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styles.xml" ContentType="application/vnd.openxmlformats-officedocument.spreadsheetml.styles+xml"/>
  <Override PartName="/xl/comments8.xml" ContentType="application/vnd.openxmlformats-officedocument.spreadsheetml.comments+xml"/>
  <Override PartName="/customXml/itemProps1.xml" ContentType="application/vnd.openxmlformats-officedocument.customXmlProperti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externalLinks/externalLink27.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comments4.xml" ContentType="application/vnd.openxmlformats-officedocument.spreadsheetml.comments+xml"/>
  <Override PartName="/xl/drawings/drawing2.xml" ContentType="application/vnd.openxmlformats-officedocument.drawing+xml"/>
  <Override PartName="/xl/worksheets/sheet3.xml" ContentType="application/vnd.openxmlformats-officedocument.spreadsheetml.worksheet+xml"/>
  <Override PartName="/xl/externalLinks/externalLink23.xml" ContentType="application/vnd.openxmlformats-officedocument.spreadsheetml.externalLink+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comments14.xml" ContentType="application/vnd.openxmlformats-officedocument.spreadsheetml.comments+xml"/>
  <Override PartName="/xl/worksheets/sheet29.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36.xml" ContentType="application/vnd.openxmlformats-officedocument.spreadsheetml.worksheet+xml"/>
  <Override PartName="/xl/comments10.xml" ContentType="application/vnd.openxmlformats-officedocument.spreadsheetml.comments+xml"/>
  <Override PartName="/xl/ctrlProps/ctrlProp2.xml" ContentType="application/vnd.ms-excel.controlproperties+xml"/>
  <Default Extension="bin" ContentType="application/vnd.openxmlformats-officedocument.spreadsheetml.printerSettings"/>
  <Default Extension="png" ContentType="image/png"/>
  <Override PartName="/xl/worksheets/sheet25.xml" ContentType="application/vnd.openxmlformats-officedocument.spreadsheetml.worksheet+xml"/>
  <Override PartName="/customXml/itemProps2.xml" ContentType="application/vnd.openxmlformats-officedocument.customXmlProperties+xml"/>
  <Override PartName="/xl/worksheets/sheet14.xml" ContentType="application/vnd.openxmlformats-officedocument.spreadsheetml.worksheet+xml"/>
  <Override PartName="/xl/worksheets/sheet32.xml" ContentType="application/vnd.openxmlformats-officedocument.spreadsheetml.worksheet+xml"/>
  <Override PartName="/xl/tables/table1.xml" ContentType="application/vnd.openxmlformats-officedocument.spreadsheetml.table+xml"/>
  <Override PartName="/xl/comments9.xml" ContentType="application/vnd.openxmlformats-officedocument.spreadsheetml.comments+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24.xml" ContentType="application/vnd.openxmlformats-officedocument.spreadsheetml.externalLink+xml"/>
  <Override PartName="/xl/comments5.xml" ContentType="application/vnd.openxmlformats-officedocument.spreadsheetml.comments+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drawings/drawing1.xml" ContentType="application/vnd.openxmlformats-officedocument.drawing+xml"/>
  <Override PartName="/xl/comments3.xml" ContentType="application/vnd.openxmlformats-officedocument.spreadsheetml.comments+xml"/>
  <Override PartName="/xl/comments17.xml" ContentType="application/vnd.openxmlformats-officedocument.spreadsheetml.comments+xml"/>
  <Default Extension="vml" ContentType="application/vnd.openxmlformats-officedocument.vmlDrawing"/>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comments1.xml" ContentType="application/vnd.openxmlformats-officedocument.spreadsheetml.comments+xml"/>
  <Override PartName="/xl/comments15.xml" ContentType="application/vnd.openxmlformats-officedocument.spreadsheetml.comments+xml"/>
  <Override PartName="/xl/ctrlProps/ctrlProp5.xml" ContentType="application/vnd.ms-excel.controlpropertie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comments13.xml" ContentType="application/vnd.openxmlformats-officedocument.spreadsheetml.comments+xml"/>
  <Override PartName="/xl/ctrlProps/ctrlProp3.xml" ContentType="application/vnd.ms-excel.controlproperties+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ctrlProps/ctrlProp1.xml" ContentType="application/vnd.ms-excel.controlproperties+xml"/>
  <Override PartName="/xl/comments11.xml" ContentType="application/vnd.openxmlformats-officedocument.spreadsheetml.comments+xml"/>
  <Override PartName="/docProps/core.xml" ContentType="application/vnd.openxmlformats-package.core-properties+xml"/>
  <Override PartName="/xl/worksheets/sheet15.xml" ContentType="application/vnd.openxmlformats-officedocument.spreadsheetml.worksheet+xml"/>
  <Override PartName="/customXml/itemProps3.xml" ContentType="application/vnd.openxmlformats-officedocument.customXmlProperties+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tables/table2.xml" ContentType="application/vnd.openxmlformats-officedocument.spreadsheetml.table+xml"/>
  <Default Extension="rels" ContentType="application/vnd.openxmlformats-package.relationships+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comments6.xml" ContentType="application/vnd.openxmlformats-officedocument.spreadsheetml.comments+xml"/>
  <Override PartName="/xl/drawings/drawing4.xml" ContentType="application/vnd.openxmlformats-officedocument.drawing+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comments2.xml" ContentType="application/vnd.openxmlformats-officedocument.spreadsheetml.comments+xml"/>
  <Override PartName="/xl/comments16.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worksheets/sheet38.xml" ContentType="application/vnd.openxmlformats-officedocument.spreadsheetml.worksheet+xml"/>
  <Override PartName="/xl/externalLinks/externalLink10.xml" ContentType="application/vnd.openxmlformats-officedocument.spreadsheetml.externalLink+xml"/>
  <Override PartName="/xl/comments12.xml" ContentType="application/vnd.openxmlformats-officedocument.spreadsheetml.comments+xml"/>
  <Override PartName="/xl/ctrlProps/ctrlProp4.xml" ContentType="application/vnd.ms-excel.controlproperties+xml"/>
  <Override PartName="/xl/worksheets/sheet27.xml" ContentType="application/vnd.openxmlformats-officedocument.spreadsheetml.worksheet+xml"/>
  <Override PartName="/xl/worksheets/sheet16.xml" ContentType="application/vnd.openxmlformats-officedocument.spreadsheetml.worksheet+xml"/>
  <Override PartName="/xl/worksheets/sheet34.xml" ContentType="application/vnd.openxmlformats-officedocument.spreadsheetml.worksheet+xml"/>
  <Override PartName="/xl/worksheets/sheet23.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worksheets/sheet30.xml" ContentType="application/vnd.openxmlformats-officedocument.spreadsheetml.worksheet+xml"/>
  <Override PartName="/xl/comments7.xml" ContentType="application/vnd.openxmlformats-officedocument.spreadsheetml.comments+xml"/>
  <Override PartName="/xl/drawings/drawing5.xml" ContentType="application/vnd.openxmlformats-officedocument.drawing+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6.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180" windowWidth="15600" windowHeight="6765" firstSheet="10" activeTab="13"/>
  </bookViews>
  <sheets>
    <sheet name="אשכול חברתי מעודכן" sheetId="104" r:id="rId1"/>
    <sheet name="הנחות עבודה" sheetId="11" r:id="rId2"/>
    <sheet name="התפלגות מים 2012" sheetId="102" state="hidden" r:id="rId3"/>
    <sheet name="תחשיב להיטל מופחת" sheetId="70" r:id="rId4"/>
    <sheet name="התפלגות מים 2011 מעודכן" sheetId="100" state="hidden" r:id="rId5"/>
    <sheet name="מטשים 2016" sheetId="96" r:id="rId6"/>
    <sheet name="נתוני מים 2012" sheetId="103" state="hidden" r:id="rId7"/>
    <sheet name="סל מדדים" sheetId="116" r:id="rId8"/>
    <sheet name="מדד שכר ממוצע" sheetId="115" r:id="rId9"/>
    <sheet name="מדד חשמל" sheetId="114" r:id="rId10"/>
    <sheet name="מדד מחירים" sheetId="113" r:id="rId11"/>
    <sheet name="תחשיב תעריף לתאגיד בודד" sheetId="117" r:id="rId12"/>
    <sheet name="נתוני מים 2011 מעודכן" sheetId="101" state="hidden" r:id="rId13"/>
    <sheet name="תעריפי 2016 לכללים" sheetId="118" r:id="rId14"/>
    <sheet name="ריכוז עלויות" sheetId="79" r:id="rId15"/>
    <sheet name="נתוני תאגידים" sheetId="64" r:id="rId16"/>
    <sheet name="תוספת נכסים" sheetId="132" state="hidden" r:id="rId17"/>
    <sheet name="תחשיב תעריף 2016" sheetId="111" r:id="rId18"/>
    <sheet name="פחתי מים לרשויות מצטרפות" sheetId="129" r:id="rId19"/>
    <sheet name="פחת מים וגביה" sheetId="105" r:id="rId20"/>
    <sheet name="בדיקת החזר צרכנים" sheetId="108" r:id="rId21"/>
    <sheet name="סקרי נכסים-יתרות פתיחה" sheetId="39" r:id="rId22"/>
    <sheet name="כמויות מים 2014" sheetId="134" state="hidden" r:id="rId23"/>
    <sheet name="תחשיב עלות תפעול לשנת 2016" sheetId="120" r:id="rId24"/>
    <sheet name="השקעות 2012-2014" sheetId="133" r:id="rId25"/>
    <sheet name="השקעות בניכוי גריעות" sheetId="122" r:id="rId26"/>
    <sheet name="פירוט נכסי מים וביוב" sheetId="123" r:id="rId27"/>
    <sheet name="נתוני מים 2014" sheetId="137" r:id="rId28"/>
    <sheet name="צריכה בתאגיד מרחבי" sheetId="126" r:id="rId29"/>
    <sheet name="ביוביות" sheetId="127" r:id="rId30"/>
    <sheet name="ניתוח עלויות תפעול" sheetId="142" state="hidden" r:id="rId31"/>
    <sheet name="תעריפים לספקים מקומיים" sheetId="147" r:id="rId32"/>
    <sheet name="הנחיות למילוי הנתונים" sheetId="139" state="hidden" r:id="rId33"/>
    <sheet name="עלויות תפעול בהתאם לנורמה" sheetId="140" state="hidden" r:id="rId34"/>
    <sheet name="פרטים על התאגיד" sheetId="145" state="hidden" r:id="rId35"/>
    <sheet name="ריכוז התקציב" sheetId="144" state="hidden" r:id="rId36"/>
    <sheet name="עלויות תפעול מול הנורמה לתאגיד" sheetId="143" state="hidden" r:id="rId37"/>
    <sheet name="ביאור הכנסות" sheetId="146" state="hidden" r:id="rId38"/>
  </sheets>
  <externalReferences>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s>
  <definedNames>
    <definedName name="_xlnm._FilterDatabase" localSheetId="0" hidden="1">'אשכול חברתי מעודכן'!$A$1:$D$202</definedName>
    <definedName name="_xlnm._FilterDatabase" localSheetId="6" hidden="1">'נתוני מים 2012'!$C$6:$S$213</definedName>
    <definedName name="_xlnm._FilterDatabase" localSheetId="27" hidden="1">'נתוני מים 2014'!$A$2:$L$169</definedName>
    <definedName name="_xlnm.Print_Area" localSheetId="34">'פרטים על התאגיד'!$A$1:$I$16</definedName>
    <definedName name="בית_שאן">'פחתי מים לרשויות מצטרפות'!#REF!</definedName>
    <definedName name="קלנסווה">'פחתי מים לרשויות מצטרפות'!#REF!</definedName>
  </definedNames>
  <calcPr calcId="145621"/>
</workbook>
</file>

<file path=xl/calcChain.xml><?xml version="1.0" encoding="utf-8"?>
<calcChain xmlns="http://schemas.openxmlformats.org/spreadsheetml/2006/main">
  <c r="H111" i="96" l="1"/>
  <c r="D109" i="96"/>
  <c r="D63" i="111"/>
  <c r="E63" i="111"/>
  <c r="F63" i="111"/>
  <c r="G63" i="111"/>
  <c r="H63" i="111"/>
  <c r="I63" i="111"/>
  <c r="J63" i="111"/>
  <c r="K63" i="111"/>
  <c r="L63" i="111"/>
  <c r="M63" i="111"/>
  <c r="N63" i="111"/>
  <c r="O63" i="111"/>
  <c r="P63" i="111"/>
  <c r="Q63" i="111"/>
  <c r="R63" i="111"/>
  <c r="S63" i="111"/>
  <c r="T63" i="111"/>
  <c r="U63" i="111"/>
  <c r="V63" i="111"/>
  <c r="W63" i="111"/>
  <c r="X63" i="111"/>
  <c r="Y63" i="111"/>
  <c r="Z63" i="111"/>
  <c r="AA63" i="111"/>
  <c r="AB63" i="111"/>
  <c r="AC63" i="111"/>
  <c r="AD63" i="111"/>
  <c r="AE63" i="111"/>
  <c r="AF63" i="111"/>
  <c r="AG63" i="111"/>
  <c r="AH63" i="111"/>
  <c r="AI63" i="111"/>
  <c r="AJ63" i="111"/>
  <c r="AK63" i="111"/>
  <c r="AL63" i="111"/>
  <c r="AM63" i="111"/>
  <c r="AN63" i="111"/>
  <c r="AO63" i="111"/>
  <c r="AP63" i="111"/>
  <c r="AQ63" i="111"/>
  <c r="AR63" i="111"/>
  <c r="AS63" i="111"/>
  <c r="AT63" i="111"/>
  <c r="AU63" i="111"/>
  <c r="AV63" i="111"/>
  <c r="AW63" i="111"/>
  <c r="AX63" i="111"/>
  <c r="AY63" i="111"/>
  <c r="AZ63" i="111"/>
  <c r="BA63" i="111"/>
  <c r="BB63" i="111"/>
  <c r="BC63" i="111"/>
  <c r="BD63" i="111"/>
  <c r="BE63" i="111"/>
  <c r="BF63" i="111"/>
  <c r="C63" i="111"/>
  <c r="D56" i="111"/>
  <c r="E56" i="111"/>
  <c r="F56" i="111"/>
  <c r="G56" i="111"/>
  <c r="H56" i="111"/>
  <c r="I56" i="111"/>
  <c r="J56" i="111"/>
  <c r="K56" i="111"/>
  <c r="L56" i="111"/>
  <c r="M56" i="111"/>
  <c r="N56" i="111"/>
  <c r="O56" i="111"/>
  <c r="P56" i="111"/>
  <c r="Q56" i="111"/>
  <c r="R56" i="111"/>
  <c r="S56" i="111"/>
  <c r="T56" i="111"/>
  <c r="U56" i="111"/>
  <c r="V56" i="111"/>
  <c r="W56" i="111"/>
  <c r="X56" i="111"/>
  <c r="Y56" i="111"/>
  <c r="Z56" i="111"/>
  <c r="AA56" i="111"/>
  <c r="AB56" i="111"/>
  <c r="AC56" i="111"/>
  <c r="AD56" i="111"/>
  <c r="AE56" i="111"/>
  <c r="AF56" i="111"/>
  <c r="AG56" i="111"/>
  <c r="AH56" i="111"/>
  <c r="AI56" i="111"/>
  <c r="AJ56" i="111"/>
  <c r="AK56" i="111"/>
  <c r="AL56" i="111"/>
  <c r="AM56" i="111"/>
  <c r="AN56" i="111"/>
  <c r="AO56" i="111"/>
  <c r="AP56" i="111"/>
  <c r="AQ56" i="111"/>
  <c r="AR56" i="111"/>
  <c r="AS56" i="111"/>
  <c r="AT56" i="111"/>
  <c r="AU56" i="111"/>
  <c r="AV56" i="111"/>
  <c r="AW56" i="111"/>
  <c r="AX56" i="111"/>
  <c r="AY56" i="111"/>
  <c r="AZ56" i="111"/>
  <c r="BA56" i="111"/>
  <c r="BB56" i="111"/>
  <c r="BC56" i="111"/>
  <c r="BD56" i="111"/>
  <c r="BE56" i="111"/>
  <c r="BF56" i="111"/>
  <c r="C56" i="111"/>
  <c r="G8" i="143" l="1"/>
  <c r="I27" i="147"/>
  <c r="G21" i="147"/>
  <c r="H18" i="147"/>
  <c r="B71" i="79" l="1"/>
  <c r="J6" i="147" s="1"/>
  <c r="B70" i="79"/>
  <c r="H6" i="147" s="1"/>
  <c r="G14" i="147" l="1"/>
  <c r="G11" i="147"/>
  <c r="H14" i="147"/>
  <c r="K6" i="147"/>
  <c r="H11" i="147"/>
  <c r="F27" i="147" s="1"/>
  <c r="H16" i="147"/>
  <c r="F31" i="147" s="1"/>
  <c r="I6" i="147"/>
  <c r="G16" i="147"/>
  <c r="E31" i="147" s="1"/>
  <c r="E27" i="147" l="1"/>
  <c r="G25" i="147"/>
  <c r="E29" i="147"/>
  <c r="G6" i="147"/>
  <c r="L6" i="147" s="1"/>
  <c r="F29" i="147"/>
  <c r="F6" i="147"/>
  <c r="M6" i="147" s="1"/>
  <c r="G9" i="143" l="1"/>
  <c r="B8" i="96" l="1"/>
  <c r="B7" i="96" l="1"/>
  <c r="K167" i="123" l="1"/>
  <c r="K68" i="123"/>
  <c r="L276" i="64" l="1"/>
  <c r="L272" i="64"/>
  <c r="L241" i="64"/>
  <c r="L239" i="64"/>
  <c r="L237" i="64"/>
  <c r="L235" i="64"/>
  <c r="AI200" i="123" l="1"/>
  <c r="AI167" i="123"/>
  <c r="AI101" i="123"/>
  <c r="AI68" i="123"/>
  <c r="B5" i="96" l="1"/>
  <c r="E78" i="113" l="1"/>
  <c r="AD6" i="39"/>
  <c r="AI307" i="64" l="1"/>
  <c r="AI305" i="64"/>
  <c r="BF311" i="64"/>
  <c r="BF344" i="64"/>
  <c r="W5" i="79"/>
  <c r="W6" i="79"/>
  <c r="W7" i="79"/>
  <c r="W8" i="79"/>
  <c r="W9" i="79"/>
  <c r="W10" i="79"/>
  <c r="W11" i="79"/>
  <c r="W12" i="79"/>
  <c r="W13" i="79"/>
  <c r="W14" i="79"/>
  <c r="W15" i="79"/>
  <c r="W16" i="79"/>
  <c r="W17" i="79"/>
  <c r="W18" i="79"/>
  <c r="W19" i="79"/>
  <c r="W20" i="79"/>
  <c r="W21" i="79"/>
  <c r="W22" i="79"/>
  <c r="W23" i="79"/>
  <c r="W24" i="79"/>
  <c r="W25" i="79"/>
  <c r="W26" i="79"/>
  <c r="W27" i="79"/>
  <c r="W28" i="79"/>
  <c r="W29" i="79"/>
  <c r="W30" i="79"/>
  <c r="W31" i="79"/>
  <c r="W32" i="79"/>
  <c r="W33" i="79"/>
  <c r="W34" i="79"/>
  <c r="W35" i="79"/>
  <c r="W36" i="79"/>
  <c r="W37" i="79"/>
  <c r="W38" i="79"/>
  <c r="W39" i="79"/>
  <c r="W40" i="79"/>
  <c r="W41" i="79"/>
  <c r="W42" i="79"/>
  <c r="W43" i="79"/>
  <c r="W44" i="79"/>
  <c r="W45" i="79"/>
  <c r="W46" i="79"/>
  <c r="W47" i="79"/>
  <c r="W48" i="79"/>
  <c r="W49" i="79"/>
  <c r="W50" i="79"/>
  <c r="W51" i="79"/>
  <c r="W52" i="79"/>
  <c r="W53" i="79"/>
  <c r="W54" i="79"/>
  <c r="W55" i="79"/>
  <c r="W56" i="79"/>
  <c r="W57" i="79"/>
  <c r="W58" i="79"/>
  <c r="Z5" i="79"/>
  <c r="Z6" i="79"/>
  <c r="Z7" i="79"/>
  <c r="Z8" i="79"/>
  <c r="Z9" i="79"/>
  <c r="Z10" i="79"/>
  <c r="Z11" i="79"/>
  <c r="Z12" i="79"/>
  <c r="Z13" i="79"/>
  <c r="Z14" i="79"/>
  <c r="Z15" i="79"/>
  <c r="Z16" i="79"/>
  <c r="Z17" i="79"/>
  <c r="Z18" i="79"/>
  <c r="Z19" i="79"/>
  <c r="Z20" i="79"/>
  <c r="Z21" i="79"/>
  <c r="Z22" i="79"/>
  <c r="Z23" i="79"/>
  <c r="Z24" i="79"/>
  <c r="Z25" i="79"/>
  <c r="Z26" i="79"/>
  <c r="Z27" i="79"/>
  <c r="Z28" i="79"/>
  <c r="Z29" i="79"/>
  <c r="Z30" i="79"/>
  <c r="Z31" i="79"/>
  <c r="Z32" i="79"/>
  <c r="Z33" i="79"/>
  <c r="Z34" i="79"/>
  <c r="Z35" i="79"/>
  <c r="Z36" i="79"/>
  <c r="Z37" i="79"/>
  <c r="Z38" i="79"/>
  <c r="Z39" i="79"/>
  <c r="Z40" i="79"/>
  <c r="Z41" i="79"/>
  <c r="Z42" i="79"/>
  <c r="Z43" i="79"/>
  <c r="Z44" i="79"/>
  <c r="Z45" i="79"/>
  <c r="Z46" i="79"/>
  <c r="Z47" i="79"/>
  <c r="Z48" i="79"/>
  <c r="Z49" i="79"/>
  <c r="Z50" i="79"/>
  <c r="Z51" i="79"/>
  <c r="Z52" i="79"/>
  <c r="Z53" i="79"/>
  <c r="Z54" i="79"/>
  <c r="Z55" i="79"/>
  <c r="Z56" i="79"/>
  <c r="Z57" i="79"/>
  <c r="Z58" i="79"/>
  <c r="Z4" i="79"/>
  <c r="Z3" i="79"/>
  <c r="H58" i="79"/>
  <c r="AP58" i="79"/>
  <c r="BE58" i="79"/>
  <c r="BF58" i="79" s="1"/>
  <c r="S279" i="64"/>
  <c r="AN41" i="70"/>
  <c r="AM241" i="64"/>
  <c r="AM242" i="64"/>
  <c r="S239" i="64"/>
  <c r="S242" i="64"/>
  <c r="BF74" i="111"/>
  <c r="BF26" i="111"/>
  <c r="BF22" i="111"/>
  <c r="BF19" i="111"/>
  <c r="BF18" i="111"/>
  <c r="BF17" i="111"/>
  <c r="BF15" i="111"/>
  <c r="BF16" i="111" s="1"/>
  <c r="BF7" i="111"/>
  <c r="BF6" i="111"/>
  <c r="BF25" i="111" s="1"/>
  <c r="BF5" i="111"/>
  <c r="D141" i="96"/>
  <c r="J141" i="96" s="1"/>
  <c r="D140" i="96"/>
  <c r="J140" i="96" s="1"/>
  <c r="H138" i="96"/>
  <c r="D138" i="96"/>
  <c r="H137" i="96"/>
  <c r="I136" i="96"/>
  <c r="H136" i="96"/>
  <c r="I135" i="96"/>
  <c r="H133" i="96"/>
  <c r="D133" i="96"/>
  <c r="H132" i="96"/>
  <c r="D119" i="96"/>
  <c r="I119" i="96" s="1"/>
  <c r="D118" i="96"/>
  <c r="I118" i="96" s="1"/>
  <c r="D116" i="96"/>
  <c r="I117" i="96" s="1"/>
  <c r="D115" i="96"/>
  <c r="I115" i="96" s="1"/>
  <c r="D113" i="96"/>
  <c r="I114" i="96" s="1"/>
  <c r="D112" i="96"/>
  <c r="I112" i="96" s="1"/>
  <c r="I111" i="96"/>
  <c r="I101" i="96"/>
  <c r="I100" i="96"/>
  <c r="I99" i="96"/>
  <c r="I98" i="96"/>
  <c r="G96" i="96"/>
  <c r="F96" i="96"/>
  <c r="E96" i="96"/>
  <c r="I90" i="96"/>
  <c r="D90" i="96"/>
  <c r="I88" i="96"/>
  <c r="D88" i="96"/>
  <c r="I87" i="96"/>
  <c r="D87" i="96"/>
  <c r="I80" i="96"/>
  <c r="I79" i="96"/>
  <c r="P77" i="96"/>
  <c r="P76" i="96"/>
  <c r="P74" i="96"/>
  <c r="D71" i="96"/>
  <c r="I72" i="96" s="1"/>
  <c r="D62" i="96"/>
  <c r="I62" i="96" s="1"/>
  <c r="D60" i="96"/>
  <c r="I64" i="96" s="1"/>
  <c r="I56" i="96"/>
  <c r="D56" i="96"/>
  <c r="I57" i="96" s="1"/>
  <c r="I55" i="96"/>
  <c r="I52" i="96"/>
  <c r="I53" i="96" s="1"/>
  <c r="D44" i="96"/>
  <c r="I44" i="96" s="1"/>
  <c r="D42" i="96"/>
  <c r="I50" i="96" s="1"/>
  <c r="D41" i="96"/>
  <c r="H40" i="96"/>
  <c r="D40" i="96"/>
  <c r="I40" i="96" s="1"/>
  <c r="P39" i="96"/>
  <c r="I37" i="96"/>
  <c r="I36" i="96"/>
  <c r="I35" i="96"/>
  <c r="I34" i="96"/>
  <c r="I33" i="96"/>
  <c r="I19" i="96"/>
  <c r="I21" i="96" s="1"/>
  <c r="P18" i="96"/>
  <c r="D17" i="96"/>
  <c r="I13" i="96"/>
  <c r="I12" i="96"/>
  <c r="H12" i="96"/>
  <c r="L11" i="96"/>
  <c r="I11" i="96"/>
  <c r="B8" i="115"/>
  <c r="F44" i="70"/>
  <c r="G44" i="70"/>
  <c r="H44" i="70"/>
  <c r="I44" i="70"/>
  <c r="J44" i="70"/>
  <c r="K44" i="70"/>
  <c r="L44" i="70"/>
  <c r="M44" i="70"/>
  <c r="N44" i="70"/>
  <c r="O44" i="70"/>
  <c r="P44" i="70"/>
  <c r="Q44" i="70"/>
  <c r="R44" i="70"/>
  <c r="S44" i="70"/>
  <c r="T44" i="70"/>
  <c r="U44" i="70"/>
  <c r="V44" i="70"/>
  <c r="W44" i="70"/>
  <c r="X44" i="70"/>
  <c r="Y44" i="70"/>
  <c r="Z44" i="70"/>
  <c r="AA44" i="70"/>
  <c r="AB44" i="70"/>
  <c r="AC44" i="70"/>
  <c r="AD44" i="70"/>
  <c r="AE44" i="70"/>
  <c r="AF44" i="70"/>
  <c r="AG44" i="70"/>
  <c r="AH44" i="70"/>
  <c r="AI44" i="70"/>
  <c r="AJ44" i="70"/>
  <c r="AK44" i="70"/>
  <c r="AL44" i="70"/>
  <c r="AM44" i="70"/>
  <c r="AN44" i="70"/>
  <c r="AO44" i="70"/>
  <c r="AP44" i="70"/>
  <c r="AQ44" i="70"/>
  <c r="AR44" i="70"/>
  <c r="AS44" i="70"/>
  <c r="AT44" i="70"/>
  <c r="AU44" i="70"/>
  <c r="AV44" i="70"/>
  <c r="AW44" i="70"/>
  <c r="AX44" i="70"/>
  <c r="AY44" i="70"/>
  <c r="AZ44" i="70"/>
  <c r="BA44" i="70"/>
  <c r="BB44" i="70"/>
  <c r="BC44" i="70"/>
  <c r="BD44" i="70"/>
  <c r="BE44" i="70"/>
  <c r="BF44" i="70"/>
  <c r="BG44" i="70"/>
  <c r="E44" i="70"/>
  <c r="F43" i="70"/>
  <c r="G43" i="70"/>
  <c r="H43" i="70"/>
  <c r="I43" i="70"/>
  <c r="J43" i="70"/>
  <c r="K43" i="70"/>
  <c r="L43" i="70"/>
  <c r="M43" i="70"/>
  <c r="N43" i="70"/>
  <c r="O43" i="70"/>
  <c r="P43" i="70"/>
  <c r="Q43" i="70"/>
  <c r="R43" i="70"/>
  <c r="S43" i="70"/>
  <c r="T43" i="70"/>
  <c r="U43" i="70"/>
  <c r="V43" i="70"/>
  <c r="W43" i="70"/>
  <c r="X43" i="70"/>
  <c r="Y43" i="70"/>
  <c r="Z43" i="70"/>
  <c r="AA43" i="70"/>
  <c r="AB43" i="70"/>
  <c r="AC43" i="70"/>
  <c r="AD43" i="70"/>
  <c r="AE43" i="70"/>
  <c r="AF43" i="70"/>
  <c r="AG43" i="70"/>
  <c r="AH43" i="70"/>
  <c r="AI43" i="70"/>
  <c r="AJ43" i="70"/>
  <c r="AK43" i="70"/>
  <c r="AL43" i="70"/>
  <c r="AM43" i="70"/>
  <c r="AN43" i="70"/>
  <c r="AO43" i="70"/>
  <c r="AP43" i="70"/>
  <c r="AQ43" i="70"/>
  <c r="AR43" i="70"/>
  <c r="AS43" i="70"/>
  <c r="AT43" i="70"/>
  <c r="AU43" i="70"/>
  <c r="AV43" i="70"/>
  <c r="AW43" i="70"/>
  <c r="AX43" i="70"/>
  <c r="AY43" i="70"/>
  <c r="AZ43" i="70"/>
  <c r="BA43" i="70"/>
  <c r="BB43" i="70"/>
  <c r="BC43" i="70"/>
  <c r="BD43" i="70"/>
  <c r="BE43" i="70"/>
  <c r="BF43" i="70"/>
  <c r="BG43" i="70"/>
  <c r="E43" i="70"/>
  <c r="F42" i="70"/>
  <c r="G42" i="70"/>
  <c r="H42" i="70"/>
  <c r="I42" i="70"/>
  <c r="J42" i="70"/>
  <c r="K42" i="70"/>
  <c r="L42" i="70"/>
  <c r="M42" i="70"/>
  <c r="N42" i="70"/>
  <c r="O42" i="70"/>
  <c r="P42" i="70"/>
  <c r="Q42" i="70"/>
  <c r="R42" i="70"/>
  <c r="S42" i="70"/>
  <c r="T42" i="70"/>
  <c r="U42" i="70"/>
  <c r="V42" i="70"/>
  <c r="W42" i="70"/>
  <c r="X42" i="70"/>
  <c r="Y42" i="70"/>
  <c r="Z42" i="70"/>
  <c r="AA42" i="70"/>
  <c r="AB42" i="70"/>
  <c r="AC42" i="70"/>
  <c r="AD42" i="70"/>
  <c r="AE42" i="70"/>
  <c r="AF42" i="70"/>
  <c r="AG42" i="70"/>
  <c r="AH42" i="70"/>
  <c r="AI42" i="70"/>
  <c r="AJ42" i="70"/>
  <c r="AK42" i="70"/>
  <c r="AL42" i="70"/>
  <c r="AM42" i="70"/>
  <c r="AN42" i="70"/>
  <c r="AO42" i="70"/>
  <c r="AP42" i="70"/>
  <c r="AQ42" i="70"/>
  <c r="AR42" i="70"/>
  <c r="AS42" i="70"/>
  <c r="AT42" i="70"/>
  <c r="AU42" i="70"/>
  <c r="AV42" i="70"/>
  <c r="AW42" i="70"/>
  <c r="AX42" i="70"/>
  <c r="AY42" i="70"/>
  <c r="AZ42" i="70"/>
  <c r="BA42" i="70"/>
  <c r="BB42" i="70"/>
  <c r="BC42" i="70"/>
  <c r="BD42" i="70"/>
  <c r="BE42" i="70"/>
  <c r="BF42" i="70"/>
  <c r="BG42" i="70"/>
  <c r="E42" i="70"/>
  <c r="F41" i="70"/>
  <c r="G41" i="70"/>
  <c r="H41" i="70"/>
  <c r="I41" i="70"/>
  <c r="J41" i="70"/>
  <c r="K41" i="70"/>
  <c r="L41" i="70"/>
  <c r="M41" i="70"/>
  <c r="N41" i="70"/>
  <c r="O41" i="70"/>
  <c r="P41" i="70"/>
  <c r="Q41" i="70"/>
  <c r="R41" i="70"/>
  <c r="S41" i="70"/>
  <c r="T41" i="70"/>
  <c r="U41" i="70"/>
  <c r="V41" i="70"/>
  <c r="W41" i="70"/>
  <c r="X41" i="70"/>
  <c r="Y41" i="70"/>
  <c r="Z41" i="70"/>
  <c r="AA41" i="70"/>
  <c r="AB41" i="70"/>
  <c r="AC41" i="70"/>
  <c r="AD41" i="70"/>
  <c r="AE41" i="70"/>
  <c r="AF41" i="70"/>
  <c r="AG41" i="70"/>
  <c r="AH41" i="70"/>
  <c r="AI41" i="70"/>
  <c r="AJ41" i="70"/>
  <c r="AK41" i="70"/>
  <c r="AL41" i="70"/>
  <c r="AM41" i="70"/>
  <c r="AO41" i="70"/>
  <c r="AP41" i="70"/>
  <c r="AQ41" i="70"/>
  <c r="AR41" i="70"/>
  <c r="AS41" i="70"/>
  <c r="AT41" i="70"/>
  <c r="AU41" i="70"/>
  <c r="AV41" i="70"/>
  <c r="AW41" i="70"/>
  <c r="AX41" i="70"/>
  <c r="AY41" i="70"/>
  <c r="AZ41" i="70"/>
  <c r="BA41" i="70"/>
  <c r="BB41" i="70"/>
  <c r="BC41" i="70"/>
  <c r="BD41" i="70"/>
  <c r="BE41" i="70"/>
  <c r="BF41" i="70"/>
  <c r="BG41" i="70"/>
  <c r="E41" i="70"/>
  <c r="F40" i="70"/>
  <c r="G40" i="70"/>
  <c r="H40" i="70"/>
  <c r="I40" i="70"/>
  <c r="J40" i="70"/>
  <c r="K40" i="70"/>
  <c r="L40" i="70"/>
  <c r="M40" i="70"/>
  <c r="N40" i="70"/>
  <c r="O40" i="70"/>
  <c r="P40" i="70"/>
  <c r="Q40" i="70"/>
  <c r="R40" i="70"/>
  <c r="S40" i="70"/>
  <c r="T40" i="70"/>
  <c r="U40" i="70"/>
  <c r="V40" i="70"/>
  <c r="W40" i="70"/>
  <c r="X40" i="70"/>
  <c r="Y40" i="70"/>
  <c r="Z40" i="70"/>
  <c r="AA40" i="70"/>
  <c r="AB40" i="70"/>
  <c r="AC40" i="70"/>
  <c r="AD40" i="70"/>
  <c r="AE40" i="70"/>
  <c r="AF40" i="70"/>
  <c r="AG40" i="70"/>
  <c r="AH40" i="70"/>
  <c r="AI40" i="70"/>
  <c r="AJ40" i="70"/>
  <c r="AK40" i="70"/>
  <c r="AL40" i="70"/>
  <c r="AM40" i="70"/>
  <c r="AN40" i="70"/>
  <c r="AO40" i="70"/>
  <c r="AP40" i="70"/>
  <c r="AQ40" i="70"/>
  <c r="AR40" i="70"/>
  <c r="AS40" i="70"/>
  <c r="AT40" i="70"/>
  <c r="AU40" i="70"/>
  <c r="AV40" i="70"/>
  <c r="AW40" i="70"/>
  <c r="AX40" i="70"/>
  <c r="AY40" i="70"/>
  <c r="AZ40" i="70"/>
  <c r="BA40" i="70"/>
  <c r="BB40" i="70"/>
  <c r="BC40" i="70"/>
  <c r="BD40" i="70"/>
  <c r="BE40" i="70"/>
  <c r="BF40" i="70"/>
  <c r="BG40" i="70"/>
  <c r="E40" i="70"/>
  <c r="F39" i="70"/>
  <c r="G39" i="70"/>
  <c r="H39" i="70"/>
  <c r="I39" i="70"/>
  <c r="J39" i="70"/>
  <c r="K39" i="70"/>
  <c r="L39" i="70"/>
  <c r="M39" i="70"/>
  <c r="N39" i="70"/>
  <c r="O39" i="70"/>
  <c r="P39" i="70"/>
  <c r="Q39" i="70"/>
  <c r="R39" i="70"/>
  <c r="S39" i="70"/>
  <c r="T39" i="70"/>
  <c r="U39" i="70"/>
  <c r="V39" i="70"/>
  <c r="W39" i="70"/>
  <c r="X39" i="70"/>
  <c r="Y39" i="70"/>
  <c r="Z39" i="70"/>
  <c r="AA39" i="70"/>
  <c r="AB39" i="70"/>
  <c r="AC39" i="70"/>
  <c r="AD39" i="70"/>
  <c r="AE39" i="70"/>
  <c r="AF39" i="70"/>
  <c r="AG39" i="70"/>
  <c r="AH39" i="70"/>
  <c r="AI39" i="70"/>
  <c r="AJ39" i="70"/>
  <c r="AK39" i="70"/>
  <c r="AL39" i="70"/>
  <c r="AM39" i="70"/>
  <c r="AN39" i="70"/>
  <c r="AO39" i="70"/>
  <c r="AP39" i="70"/>
  <c r="AQ39" i="70"/>
  <c r="AR39" i="70"/>
  <c r="AS39" i="70"/>
  <c r="AT39" i="70"/>
  <c r="AU39" i="70"/>
  <c r="AV39" i="70"/>
  <c r="AW39" i="70"/>
  <c r="AX39" i="70"/>
  <c r="AY39" i="70"/>
  <c r="AZ39" i="70"/>
  <c r="BA39" i="70"/>
  <c r="BB39" i="70"/>
  <c r="BC39" i="70"/>
  <c r="BD39" i="70"/>
  <c r="BE39" i="70"/>
  <c r="BF39" i="70"/>
  <c r="BG39" i="70"/>
  <c r="E39" i="70"/>
  <c r="F32" i="70"/>
  <c r="G32" i="70"/>
  <c r="H32" i="70"/>
  <c r="I32" i="70"/>
  <c r="J32" i="70"/>
  <c r="K32" i="70"/>
  <c r="L32" i="70"/>
  <c r="M32" i="70"/>
  <c r="N32" i="70"/>
  <c r="O32" i="70"/>
  <c r="P32" i="70"/>
  <c r="Q32" i="70"/>
  <c r="R32" i="70"/>
  <c r="S32" i="70"/>
  <c r="T32" i="70"/>
  <c r="U32" i="70"/>
  <c r="V32" i="70"/>
  <c r="W32" i="70"/>
  <c r="X32" i="70"/>
  <c r="Y32" i="70"/>
  <c r="Z32" i="70"/>
  <c r="AA32" i="70"/>
  <c r="AB32" i="70"/>
  <c r="AC32" i="70"/>
  <c r="AD32" i="70"/>
  <c r="AE32" i="70"/>
  <c r="AF32" i="70"/>
  <c r="AG32" i="70"/>
  <c r="AH32" i="70"/>
  <c r="AI32" i="70"/>
  <c r="AJ32" i="70"/>
  <c r="AK32" i="70"/>
  <c r="AL32" i="70"/>
  <c r="AM32" i="70"/>
  <c r="AN32" i="70"/>
  <c r="AO32" i="70"/>
  <c r="AP32" i="70"/>
  <c r="AQ32" i="70"/>
  <c r="AR32" i="70"/>
  <c r="AS32" i="70"/>
  <c r="AT32" i="70"/>
  <c r="AU32" i="70"/>
  <c r="AV32" i="70"/>
  <c r="AW32" i="70"/>
  <c r="AX32" i="70"/>
  <c r="AY32" i="70"/>
  <c r="AZ32" i="70"/>
  <c r="BA32" i="70"/>
  <c r="BB32" i="70"/>
  <c r="BC32" i="70"/>
  <c r="BD32" i="70"/>
  <c r="BE32" i="70"/>
  <c r="BF32" i="70"/>
  <c r="BG32" i="70"/>
  <c r="E32" i="70"/>
  <c r="F31" i="70"/>
  <c r="G31" i="70"/>
  <c r="H31" i="70"/>
  <c r="I31" i="70"/>
  <c r="J31" i="70"/>
  <c r="K31" i="70"/>
  <c r="L31" i="70"/>
  <c r="M31" i="70"/>
  <c r="N31" i="70"/>
  <c r="O31" i="70"/>
  <c r="P31" i="70"/>
  <c r="Q31" i="70"/>
  <c r="R31" i="70"/>
  <c r="S31" i="70"/>
  <c r="T31" i="70"/>
  <c r="U31" i="70"/>
  <c r="V31" i="70"/>
  <c r="W31" i="70"/>
  <c r="X31" i="70"/>
  <c r="Y31" i="70"/>
  <c r="Z31" i="70"/>
  <c r="AA31" i="70"/>
  <c r="AB31" i="70"/>
  <c r="AC31" i="70"/>
  <c r="AD31" i="70"/>
  <c r="AE31" i="70"/>
  <c r="AF31" i="70"/>
  <c r="AG31" i="70"/>
  <c r="AH31" i="70"/>
  <c r="AI31" i="70"/>
  <c r="AJ31" i="70"/>
  <c r="AK31" i="70"/>
  <c r="AL31" i="70"/>
  <c r="AM31" i="70"/>
  <c r="AN31" i="70"/>
  <c r="AO31" i="70"/>
  <c r="AP31" i="70"/>
  <c r="AQ31" i="70"/>
  <c r="AR31" i="70"/>
  <c r="AS31" i="70"/>
  <c r="AT31" i="70"/>
  <c r="AU31" i="70"/>
  <c r="AV31" i="70"/>
  <c r="AW31" i="70"/>
  <c r="AX31" i="70"/>
  <c r="AY31" i="70"/>
  <c r="AZ31" i="70"/>
  <c r="BA31" i="70"/>
  <c r="BB31" i="70"/>
  <c r="BC31" i="70"/>
  <c r="BD31" i="70"/>
  <c r="BE31" i="70"/>
  <c r="BF31" i="70"/>
  <c r="BG31" i="70"/>
  <c r="E31" i="70"/>
  <c r="F30" i="70"/>
  <c r="G30" i="70"/>
  <c r="H30" i="70"/>
  <c r="I30" i="70"/>
  <c r="J30" i="70"/>
  <c r="K30" i="70"/>
  <c r="L30" i="70"/>
  <c r="M30" i="70"/>
  <c r="N30" i="70"/>
  <c r="O30" i="70"/>
  <c r="P30" i="70"/>
  <c r="Q30" i="70"/>
  <c r="R30" i="70"/>
  <c r="S30" i="70"/>
  <c r="T30" i="70"/>
  <c r="U30" i="70"/>
  <c r="V30" i="70"/>
  <c r="W30" i="70"/>
  <c r="X30" i="70"/>
  <c r="Y30" i="70"/>
  <c r="Z30" i="70"/>
  <c r="AA30" i="70"/>
  <c r="AB30" i="70"/>
  <c r="AC30" i="70"/>
  <c r="AD30" i="70"/>
  <c r="AE30" i="70"/>
  <c r="AF30" i="70"/>
  <c r="AG30" i="70"/>
  <c r="AH30" i="70"/>
  <c r="AI30" i="70"/>
  <c r="AJ30" i="70"/>
  <c r="AK30" i="70"/>
  <c r="AL30" i="70"/>
  <c r="AM30" i="70"/>
  <c r="AN30" i="70"/>
  <c r="AO30" i="70"/>
  <c r="AP30" i="70"/>
  <c r="AQ30" i="70"/>
  <c r="AR30" i="70"/>
  <c r="AS30" i="70"/>
  <c r="AT30" i="70"/>
  <c r="AU30" i="70"/>
  <c r="AV30" i="70"/>
  <c r="AW30" i="70"/>
  <c r="AX30" i="70"/>
  <c r="AY30" i="70"/>
  <c r="AZ30" i="70"/>
  <c r="BA30" i="70"/>
  <c r="BB30" i="70"/>
  <c r="BC30" i="70"/>
  <c r="BD30" i="70"/>
  <c r="BE30" i="70"/>
  <c r="BF30" i="70"/>
  <c r="BG30" i="70"/>
  <c r="E30" i="70"/>
  <c r="F29" i="70"/>
  <c r="G29" i="70"/>
  <c r="H29" i="70"/>
  <c r="I29" i="70"/>
  <c r="J29" i="70"/>
  <c r="K29" i="70"/>
  <c r="L29" i="70"/>
  <c r="M29" i="70"/>
  <c r="N29" i="70"/>
  <c r="O29" i="70"/>
  <c r="P29" i="70"/>
  <c r="Q29" i="70"/>
  <c r="R29" i="70"/>
  <c r="S29" i="70"/>
  <c r="T29" i="70"/>
  <c r="U29" i="70"/>
  <c r="V29" i="70"/>
  <c r="W29" i="70"/>
  <c r="X29" i="70"/>
  <c r="Y29" i="70"/>
  <c r="Z29" i="70"/>
  <c r="AA29" i="70"/>
  <c r="AB29" i="70"/>
  <c r="AC29" i="70"/>
  <c r="AD29" i="70"/>
  <c r="AE29" i="70"/>
  <c r="AF29" i="70"/>
  <c r="AG29" i="70"/>
  <c r="AH29" i="70"/>
  <c r="AI29" i="70"/>
  <c r="AJ29" i="70"/>
  <c r="AK29" i="70"/>
  <c r="AL29" i="70"/>
  <c r="AM29" i="70"/>
  <c r="AN29" i="70"/>
  <c r="AO29" i="70"/>
  <c r="AP29" i="70"/>
  <c r="AQ29" i="70"/>
  <c r="AR29" i="70"/>
  <c r="AS29" i="70"/>
  <c r="AT29" i="70"/>
  <c r="AU29" i="70"/>
  <c r="AV29" i="70"/>
  <c r="AW29" i="70"/>
  <c r="AX29" i="70"/>
  <c r="AY29" i="70"/>
  <c r="AZ29" i="70"/>
  <c r="BA29" i="70"/>
  <c r="BB29" i="70"/>
  <c r="BC29" i="70"/>
  <c r="BD29" i="70"/>
  <c r="BE29" i="70"/>
  <c r="BF29" i="70"/>
  <c r="BG29" i="70"/>
  <c r="E29" i="70"/>
  <c r="F28" i="70"/>
  <c r="G28" i="70"/>
  <c r="H28" i="70"/>
  <c r="I28" i="70"/>
  <c r="J28" i="70"/>
  <c r="K28" i="70"/>
  <c r="L28" i="70"/>
  <c r="M28" i="70"/>
  <c r="N28" i="70"/>
  <c r="O28" i="70"/>
  <c r="P28" i="70"/>
  <c r="Q28" i="70"/>
  <c r="R28" i="70"/>
  <c r="S28" i="70"/>
  <c r="T28" i="70"/>
  <c r="U28" i="70"/>
  <c r="V28" i="70"/>
  <c r="W28" i="70"/>
  <c r="X28" i="70"/>
  <c r="Y28" i="70"/>
  <c r="Z28" i="70"/>
  <c r="AA28" i="70"/>
  <c r="AB28" i="70"/>
  <c r="AC28" i="70"/>
  <c r="AD28" i="70"/>
  <c r="AE28" i="70"/>
  <c r="AF28" i="70"/>
  <c r="AG28" i="70"/>
  <c r="AH28" i="70"/>
  <c r="AI28" i="70"/>
  <c r="AJ28" i="70"/>
  <c r="AK28" i="70"/>
  <c r="AL28" i="70"/>
  <c r="AM28" i="70"/>
  <c r="AN28" i="70"/>
  <c r="AO28" i="70"/>
  <c r="AP28" i="70"/>
  <c r="AQ28" i="70"/>
  <c r="AR28" i="70"/>
  <c r="AS28" i="70"/>
  <c r="AT28" i="70"/>
  <c r="AU28" i="70"/>
  <c r="AV28" i="70"/>
  <c r="AW28" i="70"/>
  <c r="AX28" i="70"/>
  <c r="AY28" i="70"/>
  <c r="AZ28" i="70"/>
  <c r="BA28" i="70"/>
  <c r="BB28" i="70"/>
  <c r="BC28" i="70"/>
  <c r="BD28" i="70"/>
  <c r="BE28" i="70"/>
  <c r="BF28" i="70"/>
  <c r="BG28" i="70"/>
  <c r="E28" i="70"/>
  <c r="F27" i="70"/>
  <c r="G27" i="70"/>
  <c r="H27" i="70"/>
  <c r="I27" i="70"/>
  <c r="J27" i="70"/>
  <c r="K27" i="70"/>
  <c r="L27" i="70"/>
  <c r="M27" i="70"/>
  <c r="N27" i="70"/>
  <c r="O27" i="70"/>
  <c r="P27" i="70"/>
  <c r="Q27" i="70"/>
  <c r="R27" i="70"/>
  <c r="S27" i="70"/>
  <c r="T27" i="70"/>
  <c r="U27" i="70"/>
  <c r="V27" i="70"/>
  <c r="W27" i="70"/>
  <c r="X27" i="70"/>
  <c r="Y27" i="70"/>
  <c r="Z27" i="70"/>
  <c r="AA27" i="70"/>
  <c r="AB27" i="70"/>
  <c r="AC27" i="70"/>
  <c r="AD27" i="70"/>
  <c r="AE27" i="70"/>
  <c r="AF27" i="70"/>
  <c r="AG27" i="70"/>
  <c r="AH27" i="70"/>
  <c r="AI27" i="70"/>
  <c r="AJ27" i="70"/>
  <c r="AK27" i="70"/>
  <c r="AL27" i="70"/>
  <c r="AM27" i="70"/>
  <c r="AN27" i="70"/>
  <c r="AO27" i="70"/>
  <c r="AP27" i="70"/>
  <c r="AQ27" i="70"/>
  <c r="AR27" i="70"/>
  <c r="AS27" i="70"/>
  <c r="AT27" i="70"/>
  <c r="AU27" i="70"/>
  <c r="AV27" i="70"/>
  <c r="AW27" i="70"/>
  <c r="AX27" i="70"/>
  <c r="AY27" i="70"/>
  <c r="AZ27" i="70"/>
  <c r="BA27" i="70"/>
  <c r="BB27" i="70"/>
  <c r="BC27" i="70"/>
  <c r="BD27" i="70"/>
  <c r="BE27" i="70"/>
  <c r="BF27" i="70"/>
  <c r="BG27" i="70"/>
  <c r="E27" i="70"/>
  <c r="BF123" i="120"/>
  <c r="BF85" i="120"/>
  <c r="BF24" i="120"/>
  <c r="BF127" i="120"/>
  <c r="BF117" i="120"/>
  <c r="BF114" i="120"/>
  <c r="BF105" i="120"/>
  <c r="BF100" i="120"/>
  <c r="BF96" i="120"/>
  <c r="BF91" i="120"/>
  <c r="BF84" i="120"/>
  <c r="BF78" i="120"/>
  <c r="BF72" i="120"/>
  <c r="BF58" i="120"/>
  <c r="BF28" i="120"/>
  <c r="BF10" i="120"/>
  <c r="BF104" i="120" s="1"/>
  <c r="BF5" i="120"/>
  <c r="AZ85" i="120"/>
  <c r="BG40" i="120"/>
  <c r="AL123" i="120"/>
  <c r="AK123" i="120"/>
  <c r="AE123" i="120"/>
  <c r="W123" i="120"/>
  <c r="V123" i="120"/>
  <c r="R123" i="120"/>
  <c r="Q123" i="120"/>
  <c r="K123" i="120"/>
  <c r="BE117" i="120"/>
  <c r="BD117" i="120"/>
  <c r="BC117" i="120"/>
  <c r="BB117" i="120"/>
  <c r="BA117" i="120"/>
  <c r="AZ117" i="120"/>
  <c r="AY117" i="120"/>
  <c r="AX117" i="120"/>
  <c r="AW117" i="120"/>
  <c r="AV117" i="120"/>
  <c r="AU117" i="120"/>
  <c r="AT117" i="120"/>
  <c r="AS117" i="120"/>
  <c r="AR117" i="120"/>
  <c r="AQ117" i="120"/>
  <c r="AP117" i="120"/>
  <c r="AO117" i="120"/>
  <c r="AN117" i="120"/>
  <c r="AM117" i="120"/>
  <c r="AL117" i="120"/>
  <c r="AK117" i="120"/>
  <c r="AJ117" i="120"/>
  <c r="AI117" i="120"/>
  <c r="AH117" i="120"/>
  <c r="AG117" i="120"/>
  <c r="AF117" i="120"/>
  <c r="AE117" i="120"/>
  <c r="AD117" i="120"/>
  <c r="AC117" i="120"/>
  <c r="AB117" i="120"/>
  <c r="AA117" i="120"/>
  <c r="Z117" i="120"/>
  <c r="Y117" i="120"/>
  <c r="X117" i="120"/>
  <c r="W117" i="120"/>
  <c r="V117" i="120"/>
  <c r="U117" i="120"/>
  <c r="T117" i="120"/>
  <c r="S117" i="120"/>
  <c r="R117" i="120"/>
  <c r="Q117" i="120"/>
  <c r="P117" i="120"/>
  <c r="O117" i="120"/>
  <c r="N117" i="120"/>
  <c r="M117" i="120"/>
  <c r="L117" i="120"/>
  <c r="K117" i="120"/>
  <c r="J117" i="120"/>
  <c r="I117" i="120"/>
  <c r="H117" i="120"/>
  <c r="G117" i="120"/>
  <c r="F117" i="120"/>
  <c r="E117" i="120"/>
  <c r="D117" i="120"/>
  <c r="AZ24" i="120"/>
  <c r="D356" i="64"/>
  <c r="E356" i="64"/>
  <c r="F356" i="64"/>
  <c r="G356" i="64"/>
  <c r="H356" i="64"/>
  <c r="I356" i="64"/>
  <c r="J356" i="64"/>
  <c r="K356" i="64"/>
  <c r="L356" i="64"/>
  <c r="M356" i="64"/>
  <c r="N356" i="64"/>
  <c r="O356" i="64"/>
  <c r="P356" i="64"/>
  <c r="Q356" i="64"/>
  <c r="R356" i="64"/>
  <c r="S356" i="64"/>
  <c r="T356" i="64"/>
  <c r="U356" i="64"/>
  <c r="V356" i="64"/>
  <c r="W356" i="64"/>
  <c r="X356" i="64"/>
  <c r="Y356" i="64"/>
  <c r="Z356" i="64"/>
  <c r="AA356" i="64"/>
  <c r="AB356" i="64"/>
  <c r="AC356" i="64"/>
  <c r="AD356" i="64"/>
  <c r="AE356" i="64"/>
  <c r="AF356" i="64"/>
  <c r="AG356" i="64"/>
  <c r="AH356" i="64"/>
  <c r="AI356" i="64"/>
  <c r="AJ356" i="64"/>
  <c r="AK356" i="64"/>
  <c r="AL356" i="64"/>
  <c r="AM356" i="64"/>
  <c r="AN356" i="64"/>
  <c r="AO356" i="64"/>
  <c r="AP356" i="64"/>
  <c r="AQ356" i="64"/>
  <c r="AR356" i="64"/>
  <c r="AS356" i="64"/>
  <c r="AT356" i="64"/>
  <c r="AU356" i="64"/>
  <c r="AV356" i="64"/>
  <c r="AW356" i="64"/>
  <c r="AX356" i="64"/>
  <c r="AY356" i="64"/>
  <c r="AZ356" i="64"/>
  <c r="BA356" i="64"/>
  <c r="BB356" i="64"/>
  <c r="BC356" i="64"/>
  <c r="BD356" i="64"/>
  <c r="BE356" i="64"/>
  <c r="BF356" i="64"/>
  <c r="C356" i="64"/>
  <c r="N184" i="137"/>
  <c r="M184" i="137"/>
  <c r="L184" i="137"/>
  <c r="K184" i="137"/>
  <c r="J184" i="137"/>
  <c r="I184" i="137"/>
  <c r="H184" i="137"/>
  <c r="E184" i="137"/>
  <c r="D184" i="137"/>
  <c r="G183" i="137"/>
  <c r="G182" i="137"/>
  <c r="G181" i="137"/>
  <c r="G180" i="137"/>
  <c r="G179" i="137"/>
  <c r="G178" i="137"/>
  <c r="G177" i="137"/>
  <c r="G176" i="137"/>
  <c r="G175" i="137"/>
  <c r="G174" i="137"/>
  <c r="G173" i="137"/>
  <c r="G172" i="137"/>
  <c r="G171" i="137"/>
  <c r="G170" i="137"/>
  <c r="G169" i="137"/>
  <c r="G168" i="137"/>
  <c r="G167" i="137"/>
  <c r="G166" i="137"/>
  <c r="G165" i="137"/>
  <c r="G164" i="137"/>
  <c r="G163" i="137"/>
  <c r="G162" i="137"/>
  <c r="G161" i="137"/>
  <c r="G160" i="137"/>
  <c r="G159" i="137"/>
  <c r="G158" i="137"/>
  <c r="G157" i="137"/>
  <c r="G156" i="137"/>
  <c r="G155" i="137"/>
  <c r="G154" i="137"/>
  <c r="G153" i="137"/>
  <c r="G152" i="137"/>
  <c r="G151" i="137"/>
  <c r="G150" i="137"/>
  <c r="G149" i="137"/>
  <c r="G148" i="137"/>
  <c r="G147" i="137"/>
  <c r="G146" i="137"/>
  <c r="G145" i="137"/>
  <c r="G144" i="137"/>
  <c r="G143" i="137"/>
  <c r="F143" i="137"/>
  <c r="G142" i="137"/>
  <c r="G141" i="137"/>
  <c r="G140" i="137"/>
  <c r="G139" i="137"/>
  <c r="G138" i="137"/>
  <c r="G137" i="137"/>
  <c r="G136" i="137"/>
  <c r="G135" i="137"/>
  <c r="G134" i="137"/>
  <c r="G133" i="137"/>
  <c r="G132" i="137"/>
  <c r="G131" i="137"/>
  <c r="G130" i="137"/>
  <c r="G129" i="137"/>
  <c r="G128" i="137"/>
  <c r="G127" i="137"/>
  <c r="G126" i="137"/>
  <c r="G125" i="137"/>
  <c r="G124" i="137"/>
  <c r="G123" i="137"/>
  <c r="G122" i="137"/>
  <c r="G121" i="137"/>
  <c r="G120" i="137"/>
  <c r="G119" i="137"/>
  <c r="G118" i="137"/>
  <c r="G117" i="137"/>
  <c r="G116" i="137"/>
  <c r="G115" i="137"/>
  <c r="G114" i="137"/>
  <c r="G113" i="137"/>
  <c r="G112" i="137"/>
  <c r="G111" i="137"/>
  <c r="G110" i="137"/>
  <c r="G109" i="137"/>
  <c r="G108" i="137"/>
  <c r="G107" i="137"/>
  <c r="G106" i="137"/>
  <c r="G105" i="137"/>
  <c r="G104" i="137"/>
  <c r="G103" i="137"/>
  <c r="G102" i="137"/>
  <c r="G101" i="137"/>
  <c r="G100" i="137"/>
  <c r="G99" i="137"/>
  <c r="G98" i="137"/>
  <c r="G97" i="137"/>
  <c r="G96" i="137"/>
  <c r="G95" i="137"/>
  <c r="G94" i="137"/>
  <c r="G93" i="137"/>
  <c r="G92" i="137"/>
  <c r="G91" i="137"/>
  <c r="G90" i="137"/>
  <c r="G89" i="137"/>
  <c r="G88" i="137"/>
  <c r="G87" i="137"/>
  <c r="G86" i="137"/>
  <c r="G85" i="137"/>
  <c r="G84" i="137"/>
  <c r="G83" i="137"/>
  <c r="G82" i="137"/>
  <c r="G81" i="137"/>
  <c r="G80" i="137"/>
  <c r="G79" i="137"/>
  <c r="G78" i="137"/>
  <c r="G77" i="137"/>
  <c r="G76" i="137"/>
  <c r="G75" i="137"/>
  <c r="G74" i="137"/>
  <c r="F74" i="137"/>
  <c r="F184" i="137" s="1"/>
  <c r="G73" i="137"/>
  <c r="G72" i="137"/>
  <c r="G71" i="137"/>
  <c r="G70" i="137"/>
  <c r="G69" i="137"/>
  <c r="G68" i="137"/>
  <c r="G67" i="137"/>
  <c r="G66" i="137"/>
  <c r="G65" i="137"/>
  <c r="G64" i="137"/>
  <c r="G63" i="137"/>
  <c r="G62" i="137"/>
  <c r="G61" i="137"/>
  <c r="G60" i="137"/>
  <c r="G59" i="137"/>
  <c r="G58" i="137"/>
  <c r="G57" i="137"/>
  <c r="G56" i="137"/>
  <c r="G55" i="137"/>
  <c r="G54" i="137"/>
  <c r="G53" i="137"/>
  <c r="G52" i="137"/>
  <c r="G51" i="137"/>
  <c r="G50" i="137"/>
  <c r="G49" i="137"/>
  <c r="G48" i="137"/>
  <c r="G47" i="137"/>
  <c r="G46" i="137"/>
  <c r="G45" i="137"/>
  <c r="G44" i="137"/>
  <c r="G43" i="137"/>
  <c r="G42" i="137"/>
  <c r="G41" i="137"/>
  <c r="G40" i="137"/>
  <c r="G39" i="137"/>
  <c r="G38" i="137"/>
  <c r="G37" i="137"/>
  <c r="G36" i="137"/>
  <c r="G35" i="137"/>
  <c r="G34" i="137"/>
  <c r="G33" i="137"/>
  <c r="G32" i="137"/>
  <c r="G31" i="137"/>
  <c r="G30" i="137"/>
  <c r="G29" i="137"/>
  <c r="G28" i="137"/>
  <c r="G27" i="137"/>
  <c r="G26" i="137"/>
  <c r="G25" i="137"/>
  <c r="G24" i="137"/>
  <c r="G23" i="137"/>
  <c r="G22" i="137"/>
  <c r="G21" i="137"/>
  <c r="G20" i="137"/>
  <c r="G19" i="137"/>
  <c r="G18" i="137"/>
  <c r="G17" i="137"/>
  <c r="G16" i="137"/>
  <c r="G15" i="137"/>
  <c r="G14" i="137"/>
  <c r="G13" i="137"/>
  <c r="G12" i="137"/>
  <c r="G11" i="137"/>
  <c r="G10" i="137"/>
  <c r="G9" i="137"/>
  <c r="G8" i="137"/>
  <c r="G7" i="137"/>
  <c r="G6" i="137"/>
  <c r="G5" i="137"/>
  <c r="G184" i="137" s="1"/>
  <c r="G4" i="137"/>
  <c r="D9" i="11"/>
  <c r="D8" i="11"/>
  <c r="BF73" i="111" s="1"/>
  <c r="G15" i="129"/>
  <c r="F15" i="129"/>
  <c r="E15" i="129"/>
  <c r="C15" i="129"/>
  <c r="D14" i="129"/>
  <c r="D13" i="129"/>
  <c r="D15" i="129" s="1"/>
  <c r="D12" i="129"/>
  <c r="G10" i="129"/>
  <c r="F10" i="129"/>
  <c r="E10" i="129"/>
  <c r="D10" i="129"/>
  <c r="C10" i="129"/>
  <c r="D9" i="129"/>
  <c r="D8" i="129"/>
  <c r="D7" i="129"/>
  <c r="D927" i="64"/>
  <c r="E927" i="64"/>
  <c r="F927" i="64"/>
  <c r="G927" i="64"/>
  <c r="H927" i="64"/>
  <c r="I927" i="64"/>
  <c r="J927" i="64"/>
  <c r="K927" i="64"/>
  <c r="L927" i="64"/>
  <c r="M927" i="64"/>
  <c r="N927" i="64"/>
  <c r="O927" i="64"/>
  <c r="P927" i="64"/>
  <c r="Q927" i="64"/>
  <c r="R927" i="64"/>
  <c r="S927" i="64"/>
  <c r="T927" i="64"/>
  <c r="U927" i="64"/>
  <c r="V927" i="64"/>
  <c r="W927" i="64"/>
  <c r="X927" i="64"/>
  <c r="Y927" i="64"/>
  <c r="Z927" i="64"/>
  <c r="AA927" i="64"/>
  <c r="AB927" i="64"/>
  <c r="AC927" i="64"/>
  <c r="AD927" i="64"/>
  <c r="AE927" i="64"/>
  <c r="AF927" i="64"/>
  <c r="AG927" i="64"/>
  <c r="AH927" i="64"/>
  <c r="AI927" i="64"/>
  <c r="AJ927" i="64"/>
  <c r="AK927" i="64"/>
  <c r="AL927" i="64"/>
  <c r="AM927" i="64"/>
  <c r="AN927" i="64"/>
  <c r="AO927" i="64"/>
  <c r="AP927" i="64"/>
  <c r="AQ927" i="64"/>
  <c r="AR927" i="64"/>
  <c r="AS927" i="64"/>
  <c r="AT927" i="64"/>
  <c r="AU927" i="64"/>
  <c r="AV927" i="64"/>
  <c r="AW927" i="64"/>
  <c r="AX927" i="64"/>
  <c r="AY927" i="64"/>
  <c r="AZ927" i="64"/>
  <c r="BA927" i="64"/>
  <c r="BB927" i="64"/>
  <c r="BC927" i="64"/>
  <c r="BD927" i="64"/>
  <c r="BE927" i="64"/>
  <c r="BF927" i="64"/>
  <c r="D928" i="64"/>
  <c r="E928" i="64"/>
  <c r="F928" i="64"/>
  <c r="G928" i="64"/>
  <c r="H928" i="64"/>
  <c r="I928" i="64"/>
  <c r="J928" i="64"/>
  <c r="K928" i="64"/>
  <c r="L928" i="64"/>
  <c r="M928" i="64"/>
  <c r="N928" i="64"/>
  <c r="O928" i="64"/>
  <c r="P928" i="64"/>
  <c r="Q928" i="64"/>
  <c r="R928" i="64"/>
  <c r="S928" i="64"/>
  <c r="T928" i="64"/>
  <c r="U928" i="64"/>
  <c r="V928" i="64"/>
  <c r="W928" i="64"/>
  <c r="X928" i="64"/>
  <c r="Y928" i="64"/>
  <c r="Z928" i="64"/>
  <c r="AA928" i="64"/>
  <c r="AB928" i="64"/>
  <c r="AC928" i="64"/>
  <c r="AD928" i="64"/>
  <c r="AE928" i="64"/>
  <c r="AF928" i="64"/>
  <c r="AG928" i="64"/>
  <c r="AH928" i="64"/>
  <c r="AI928" i="64"/>
  <c r="AJ928" i="64"/>
  <c r="AK928" i="64"/>
  <c r="AL928" i="64"/>
  <c r="AM928" i="64"/>
  <c r="AN928" i="64"/>
  <c r="AO928" i="64"/>
  <c r="AP928" i="64"/>
  <c r="AQ928" i="64"/>
  <c r="AR928" i="64"/>
  <c r="AS928" i="64"/>
  <c r="AT928" i="64"/>
  <c r="AU928" i="64"/>
  <c r="AV928" i="64"/>
  <c r="AW928" i="64"/>
  <c r="AX928" i="64"/>
  <c r="AY928" i="64"/>
  <c r="AZ928" i="64"/>
  <c r="BA928" i="64"/>
  <c r="BB928" i="64"/>
  <c r="BC928" i="64"/>
  <c r="BD928" i="64"/>
  <c r="BE928" i="64"/>
  <c r="BF928" i="64"/>
  <c r="D929" i="64"/>
  <c r="E929" i="64"/>
  <c r="F929" i="64"/>
  <c r="G929" i="64"/>
  <c r="H929" i="64"/>
  <c r="I929" i="64"/>
  <c r="J929" i="64"/>
  <c r="K929" i="64"/>
  <c r="L929" i="64"/>
  <c r="M929" i="64"/>
  <c r="N929" i="64"/>
  <c r="O929" i="64"/>
  <c r="P929" i="64"/>
  <c r="Q929" i="64"/>
  <c r="R929" i="64"/>
  <c r="S929" i="64"/>
  <c r="T929" i="64"/>
  <c r="U929" i="64"/>
  <c r="V929" i="64"/>
  <c r="W929" i="64"/>
  <c r="X929" i="64"/>
  <c r="Y929" i="64"/>
  <c r="Z929" i="64"/>
  <c r="AA929" i="64"/>
  <c r="AB929" i="64"/>
  <c r="AC929" i="64"/>
  <c r="AD929" i="64"/>
  <c r="AE929" i="64"/>
  <c r="AF929" i="64"/>
  <c r="AG929" i="64"/>
  <c r="AH929" i="64"/>
  <c r="AI929" i="64"/>
  <c r="AJ929" i="64"/>
  <c r="AK929" i="64"/>
  <c r="AL929" i="64"/>
  <c r="AM929" i="64"/>
  <c r="AN929" i="64"/>
  <c r="AO929" i="64"/>
  <c r="AP929" i="64"/>
  <c r="AQ929" i="64"/>
  <c r="AR929" i="64"/>
  <c r="AS929" i="64"/>
  <c r="AT929" i="64"/>
  <c r="AU929" i="64"/>
  <c r="AV929" i="64"/>
  <c r="AW929" i="64"/>
  <c r="AX929" i="64"/>
  <c r="AY929" i="64"/>
  <c r="AZ929" i="64"/>
  <c r="BA929" i="64"/>
  <c r="BB929" i="64"/>
  <c r="BC929" i="64"/>
  <c r="BD929" i="64"/>
  <c r="BE929" i="64"/>
  <c r="BF929" i="64"/>
  <c r="D930" i="64"/>
  <c r="E930" i="64"/>
  <c r="F930" i="64"/>
  <c r="G930" i="64"/>
  <c r="H930" i="64"/>
  <c r="I930" i="64"/>
  <c r="J930" i="64"/>
  <c r="K930" i="64"/>
  <c r="L930" i="64"/>
  <c r="M930" i="64"/>
  <c r="N930" i="64"/>
  <c r="O930" i="64"/>
  <c r="P930" i="64"/>
  <c r="Q930" i="64"/>
  <c r="R930" i="64"/>
  <c r="S930" i="64"/>
  <c r="T930" i="64"/>
  <c r="U930" i="64"/>
  <c r="V930" i="64"/>
  <c r="W930" i="64"/>
  <c r="X930" i="64"/>
  <c r="Y930" i="64"/>
  <c r="Z930" i="64"/>
  <c r="AA930" i="64"/>
  <c r="AB930" i="64"/>
  <c r="AC930" i="64"/>
  <c r="AD930" i="64"/>
  <c r="AE930" i="64"/>
  <c r="AF930" i="64"/>
  <c r="AG930" i="64"/>
  <c r="AH930" i="64"/>
  <c r="AI930" i="64"/>
  <c r="AJ930" i="64"/>
  <c r="AK930" i="64"/>
  <c r="AL930" i="64"/>
  <c r="AM930" i="64"/>
  <c r="AN930" i="64"/>
  <c r="AO930" i="64"/>
  <c r="AP930" i="64"/>
  <c r="AQ930" i="64"/>
  <c r="AR930" i="64"/>
  <c r="AS930" i="64"/>
  <c r="AT930" i="64"/>
  <c r="AU930" i="64"/>
  <c r="AV930" i="64"/>
  <c r="AW930" i="64"/>
  <c r="AX930" i="64"/>
  <c r="AY930" i="64"/>
  <c r="AZ930" i="64"/>
  <c r="BA930" i="64"/>
  <c r="BB930" i="64"/>
  <c r="BC930" i="64"/>
  <c r="BD930" i="64"/>
  <c r="BE930" i="64"/>
  <c r="BF930" i="64"/>
  <c r="D931" i="64"/>
  <c r="E931" i="64"/>
  <c r="F931" i="64"/>
  <c r="G931" i="64"/>
  <c r="H931" i="64"/>
  <c r="I931" i="64"/>
  <c r="J931" i="64"/>
  <c r="K931" i="64"/>
  <c r="L931" i="64"/>
  <c r="M931" i="64"/>
  <c r="N931" i="64"/>
  <c r="O931" i="64"/>
  <c r="P931" i="64"/>
  <c r="Q931" i="64"/>
  <c r="R931" i="64"/>
  <c r="S931" i="64"/>
  <c r="T931" i="64"/>
  <c r="U931" i="64"/>
  <c r="V931" i="64"/>
  <c r="W931" i="64"/>
  <c r="X931" i="64"/>
  <c r="Y931" i="64"/>
  <c r="Z931" i="64"/>
  <c r="AA931" i="64"/>
  <c r="AB931" i="64"/>
  <c r="AC931" i="64"/>
  <c r="AD931" i="64"/>
  <c r="AE931" i="64"/>
  <c r="AF931" i="64"/>
  <c r="AG931" i="64"/>
  <c r="AH931" i="64"/>
  <c r="AI931" i="64"/>
  <c r="AJ931" i="64"/>
  <c r="AK931" i="64"/>
  <c r="AL931" i="64"/>
  <c r="AM931" i="64"/>
  <c r="AN931" i="64"/>
  <c r="AO931" i="64"/>
  <c r="AP931" i="64"/>
  <c r="AQ931" i="64"/>
  <c r="AR931" i="64"/>
  <c r="AS931" i="64"/>
  <c r="AT931" i="64"/>
  <c r="AU931" i="64"/>
  <c r="AV931" i="64"/>
  <c r="AW931" i="64"/>
  <c r="AX931" i="64"/>
  <c r="AY931" i="64"/>
  <c r="AZ931" i="64"/>
  <c r="BA931" i="64"/>
  <c r="BB931" i="64"/>
  <c r="BC931" i="64"/>
  <c r="BD931" i="64"/>
  <c r="BE931" i="64"/>
  <c r="BF931" i="64"/>
  <c r="D932" i="64"/>
  <c r="E932" i="64"/>
  <c r="F932" i="64"/>
  <c r="G932" i="64"/>
  <c r="H932" i="64"/>
  <c r="I932" i="64"/>
  <c r="J932" i="64"/>
  <c r="K932" i="64"/>
  <c r="L932" i="64"/>
  <c r="M932" i="64"/>
  <c r="N932" i="64"/>
  <c r="O932" i="64"/>
  <c r="P932" i="64"/>
  <c r="Q932" i="64"/>
  <c r="R932" i="64"/>
  <c r="S932" i="64"/>
  <c r="T932" i="64"/>
  <c r="U932" i="64"/>
  <c r="V932" i="64"/>
  <c r="W932" i="64"/>
  <c r="X932" i="64"/>
  <c r="Y932" i="64"/>
  <c r="Z932" i="64"/>
  <c r="AA932" i="64"/>
  <c r="AB932" i="64"/>
  <c r="AC932" i="64"/>
  <c r="AD932" i="64"/>
  <c r="AE932" i="64"/>
  <c r="AF932" i="64"/>
  <c r="AG932" i="64"/>
  <c r="AH932" i="64"/>
  <c r="AI932" i="64"/>
  <c r="AJ932" i="64"/>
  <c r="AK932" i="64"/>
  <c r="AL932" i="64"/>
  <c r="AM932" i="64"/>
  <c r="AN932" i="64"/>
  <c r="AO932" i="64"/>
  <c r="AP932" i="64"/>
  <c r="AQ932" i="64"/>
  <c r="AR932" i="64"/>
  <c r="AS932" i="64"/>
  <c r="AT932" i="64"/>
  <c r="AU932" i="64"/>
  <c r="AV932" i="64"/>
  <c r="AW932" i="64"/>
  <c r="AX932" i="64"/>
  <c r="AY932" i="64"/>
  <c r="AZ932" i="64"/>
  <c r="BA932" i="64"/>
  <c r="BB932" i="64"/>
  <c r="BC932" i="64"/>
  <c r="BD932" i="64"/>
  <c r="BE932" i="64"/>
  <c r="BF932" i="64"/>
  <c r="D933" i="64"/>
  <c r="E933" i="64"/>
  <c r="F933" i="64"/>
  <c r="G933" i="64"/>
  <c r="H933" i="64"/>
  <c r="I933" i="64"/>
  <c r="J933" i="64"/>
  <c r="K933" i="64"/>
  <c r="L933" i="64"/>
  <c r="M933" i="64"/>
  <c r="N933" i="64"/>
  <c r="O933" i="64"/>
  <c r="P933" i="64"/>
  <c r="Q933" i="64"/>
  <c r="R933" i="64"/>
  <c r="S933" i="64"/>
  <c r="T933" i="64"/>
  <c r="U933" i="64"/>
  <c r="V933" i="64"/>
  <c r="W933" i="64"/>
  <c r="X933" i="64"/>
  <c r="Y933" i="64"/>
  <c r="Z933" i="64"/>
  <c r="AA933" i="64"/>
  <c r="AB933" i="64"/>
  <c r="AC933" i="64"/>
  <c r="AD933" i="64"/>
  <c r="AE933" i="64"/>
  <c r="AF933" i="64"/>
  <c r="AG933" i="64"/>
  <c r="AH933" i="64"/>
  <c r="AI933" i="64"/>
  <c r="AJ933" i="64"/>
  <c r="AK933" i="64"/>
  <c r="AL933" i="64"/>
  <c r="AM933" i="64"/>
  <c r="AN933" i="64"/>
  <c r="AO933" i="64"/>
  <c r="AP933" i="64"/>
  <c r="AQ933" i="64"/>
  <c r="AR933" i="64"/>
  <c r="AS933" i="64"/>
  <c r="AT933" i="64"/>
  <c r="AU933" i="64"/>
  <c r="AV933" i="64"/>
  <c r="AW933" i="64"/>
  <c r="AX933" i="64"/>
  <c r="AY933" i="64"/>
  <c r="AZ933" i="64"/>
  <c r="BA933" i="64"/>
  <c r="BB933" i="64"/>
  <c r="BC933" i="64"/>
  <c r="BD933" i="64"/>
  <c r="BE933" i="64"/>
  <c r="BF933" i="64"/>
  <c r="D934" i="64"/>
  <c r="E934" i="64"/>
  <c r="F934" i="64"/>
  <c r="G934" i="64"/>
  <c r="H934" i="64"/>
  <c r="I934" i="64"/>
  <c r="J934" i="64"/>
  <c r="K934" i="64"/>
  <c r="L934" i="64"/>
  <c r="M934" i="64"/>
  <c r="N934" i="64"/>
  <c r="O934" i="64"/>
  <c r="P934" i="64"/>
  <c r="Q934" i="64"/>
  <c r="R934" i="64"/>
  <c r="S934" i="64"/>
  <c r="T934" i="64"/>
  <c r="U934" i="64"/>
  <c r="V934" i="64"/>
  <c r="W934" i="64"/>
  <c r="X934" i="64"/>
  <c r="Y934" i="64"/>
  <c r="Z934" i="64"/>
  <c r="AA934" i="64"/>
  <c r="AB934" i="64"/>
  <c r="AC934" i="64"/>
  <c r="AD934" i="64"/>
  <c r="AE934" i="64"/>
  <c r="AF934" i="64"/>
  <c r="AG934" i="64"/>
  <c r="AH934" i="64"/>
  <c r="AI934" i="64"/>
  <c r="AJ934" i="64"/>
  <c r="AK934" i="64"/>
  <c r="AL934" i="64"/>
  <c r="AM934" i="64"/>
  <c r="AN934" i="64"/>
  <c r="AO934" i="64"/>
  <c r="AP934" i="64"/>
  <c r="AQ934" i="64"/>
  <c r="AR934" i="64"/>
  <c r="AS934" i="64"/>
  <c r="AT934" i="64"/>
  <c r="AU934" i="64"/>
  <c r="AV934" i="64"/>
  <c r="AW934" i="64"/>
  <c r="AX934" i="64"/>
  <c r="AY934" i="64"/>
  <c r="AZ934" i="64"/>
  <c r="BA934" i="64"/>
  <c r="BB934" i="64"/>
  <c r="BC934" i="64"/>
  <c r="BD934" i="64"/>
  <c r="BE934" i="64"/>
  <c r="BF934" i="64"/>
  <c r="D935" i="64"/>
  <c r="E935" i="64"/>
  <c r="F935" i="64"/>
  <c r="G935" i="64"/>
  <c r="H935" i="64"/>
  <c r="I935" i="64"/>
  <c r="J935" i="64"/>
  <c r="K935" i="64"/>
  <c r="L935" i="64"/>
  <c r="M935" i="64"/>
  <c r="N935" i="64"/>
  <c r="O935" i="64"/>
  <c r="P935" i="64"/>
  <c r="Q935" i="64"/>
  <c r="R935" i="64"/>
  <c r="S935" i="64"/>
  <c r="T935" i="64"/>
  <c r="U935" i="64"/>
  <c r="V935" i="64"/>
  <c r="W935" i="64"/>
  <c r="X935" i="64"/>
  <c r="Y935" i="64"/>
  <c r="Z935" i="64"/>
  <c r="AA935" i="64"/>
  <c r="AB935" i="64"/>
  <c r="AC935" i="64"/>
  <c r="AD935" i="64"/>
  <c r="AE935" i="64"/>
  <c r="AF935" i="64"/>
  <c r="AG935" i="64"/>
  <c r="AH935" i="64"/>
  <c r="AI935" i="64"/>
  <c r="AJ935" i="64"/>
  <c r="AK935" i="64"/>
  <c r="AL935" i="64"/>
  <c r="AM935" i="64"/>
  <c r="AN935" i="64"/>
  <c r="AO935" i="64"/>
  <c r="AP935" i="64"/>
  <c r="AQ935" i="64"/>
  <c r="AR935" i="64"/>
  <c r="AS935" i="64"/>
  <c r="AT935" i="64"/>
  <c r="AU935" i="64"/>
  <c r="AV935" i="64"/>
  <c r="AW935" i="64"/>
  <c r="AX935" i="64"/>
  <c r="AY935" i="64"/>
  <c r="AZ935" i="64"/>
  <c r="BA935" i="64"/>
  <c r="BB935" i="64"/>
  <c r="BC935" i="64"/>
  <c r="BD935" i="64"/>
  <c r="BE935" i="64"/>
  <c r="BF935" i="64"/>
  <c r="D936" i="64"/>
  <c r="E936" i="64"/>
  <c r="F936" i="64"/>
  <c r="G936" i="64"/>
  <c r="H936" i="64"/>
  <c r="I936" i="64"/>
  <c r="J936" i="64"/>
  <c r="K936" i="64"/>
  <c r="L936" i="64"/>
  <c r="M936" i="64"/>
  <c r="N936" i="64"/>
  <c r="O936" i="64"/>
  <c r="P936" i="64"/>
  <c r="Q936" i="64"/>
  <c r="R936" i="64"/>
  <c r="S936" i="64"/>
  <c r="T936" i="64"/>
  <c r="U936" i="64"/>
  <c r="V936" i="64"/>
  <c r="W936" i="64"/>
  <c r="X936" i="64"/>
  <c r="Y936" i="64"/>
  <c r="Z936" i="64"/>
  <c r="AA936" i="64"/>
  <c r="AB936" i="64"/>
  <c r="AC936" i="64"/>
  <c r="AD936" i="64"/>
  <c r="AE936" i="64"/>
  <c r="AF936" i="64"/>
  <c r="AG936" i="64"/>
  <c r="AH936" i="64"/>
  <c r="AI936" i="64"/>
  <c r="AJ936" i="64"/>
  <c r="AK936" i="64"/>
  <c r="AL936" i="64"/>
  <c r="AM936" i="64"/>
  <c r="AN936" i="64"/>
  <c r="AO936" i="64"/>
  <c r="AP936" i="64"/>
  <c r="AQ936" i="64"/>
  <c r="AR936" i="64"/>
  <c r="AS936" i="64"/>
  <c r="AT936" i="64"/>
  <c r="AU936" i="64"/>
  <c r="AV936" i="64"/>
  <c r="AW936" i="64"/>
  <c r="AX936" i="64"/>
  <c r="AY936" i="64"/>
  <c r="AZ936" i="64"/>
  <c r="BA936" i="64"/>
  <c r="BB936" i="64"/>
  <c r="BC936" i="64"/>
  <c r="BD936" i="64"/>
  <c r="BE936" i="64"/>
  <c r="BF936" i="64"/>
  <c r="D937" i="64"/>
  <c r="E937" i="64"/>
  <c r="F937" i="64"/>
  <c r="G937" i="64"/>
  <c r="H937" i="64"/>
  <c r="I937" i="64"/>
  <c r="J937" i="64"/>
  <c r="K937" i="64"/>
  <c r="L937" i="64"/>
  <c r="M937" i="64"/>
  <c r="N937" i="64"/>
  <c r="O937" i="64"/>
  <c r="P937" i="64"/>
  <c r="Q937" i="64"/>
  <c r="R937" i="64"/>
  <c r="S937" i="64"/>
  <c r="T937" i="64"/>
  <c r="U937" i="64"/>
  <c r="V937" i="64"/>
  <c r="W937" i="64"/>
  <c r="X937" i="64"/>
  <c r="Y937" i="64"/>
  <c r="Z937" i="64"/>
  <c r="AA937" i="64"/>
  <c r="AB937" i="64"/>
  <c r="AC937" i="64"/>
  <c r="AD937" i="64"/>
  <c r="AE937" i="64"/>
  <c r="AF937" i="64"/>
  <c r="AG937" i="64"/>
  <c r="AH937" i="64"/>
  <c r="AI937" i="64"/>
  <c r="AJ937" i="64"/>
  <c r="AK937" i="64"/>
  <c r="AL937" i="64"/>
  <c r="AM937" i="64"/>
  <c r="AN937" i="64"/>
  <c r="AO937" i="64"/>
  <c r="AP937" i="64"/>
  <c r="AQ937" i="64"/>
  <c r="AR937" i="64"/>
  <c r="AS937" i="64"/>
  <c r="AT937" i="64"/>
  <c r="AU937" i="64"/>
  <c r="AV937" i="64"/>
  <c r="AW937" i="64"/>
  <c r="AX937" i="64"/>
  <c r="AY937" i="64"/>
  <c r="AZ937" i="64"/>
  <c r="BA937" i="64"/>
  <c r="BB937" i="64"/>
  <c r="BC937" i="64"/>
  <c r="BD937" i="64"/>
  <c r="BE937" i="64"/>
  <c r="BF937" i="64"/>
  <c r="D938" i="64"/>
  <c r="E938" i="64"/>
  <c r="F938" i="64"/>
  <c r="G938" i="64"/>
  <c r="H938" i="64"/>
  <c r="I938" i="64"/>
  <c r="J938" i="64"/>
  <c r="K938" i="64"/>
  <c r="L938" i="64"/>
  <c r="M938" i="64"/>
  <c r="N938" i="64"/>
  <c r="O938" i="64"/>
  <c r="P938" i="64"/>
  <c r="Q938" i="64"/>
  <c r="R938" i="64"/>
  <c r="S938" i="64"/>
  <c r="T938" i="64"/>
  <c r="U938" i="64"/>
  <c r="V938" i="64"/>
  <c r="W938" i="64"/>
  <c r="X938" i="64"/>
  <c r="Y938" i="64"/>
  <c r="Z938" i="64"/>
  <c r="AA938" i="64"/>
  <c r="AB938" i="64"/>
  <c r="AC938" i="64"/>
  <c r="AD938" i="64"/>
  <c r="AE938" i="64"/>
  <c r="AF938" i="64"/>
  <c r="AG938" i="64"/>
  <c r="AH938" i="64"/>
  <c r="AI938" i="64"/>
  <c r="AJ938" i="64"/>
  <c r="AK938" i="64"/>
  <c r="AL938" i="64"/>
  <c r="AM938" i="64"/>
  <c r="AN938" i="64"/>
  <c r="AO938" i="64"/>
  <c r="AP938" i="64"/>
  <c r="AQ938" i="64"/>
  <c r="AR938" i="64"/>
  <c r="AS938" i="64"/>
  <c r="AT938" i="64"/>
  <c r="AU938" i="64"/>
  <c r="AV938" i="64"/>
  <c r="AW938" i="64"/>
  <c r="AX938" i="64"/>
  <c r="AY938" i="64"/>
  <c r="AZ938" i="64"/>
  <c r="BA938" i="64"/>
  <c r="BB938" i="64"/>
  <c r="BC938" i="64"/>
  <c r="BD938" i="64"/>
  <c r="BE938" i="64"/>
  <c r="BF938" i="64"/>
  <c r="D939" i="64"/>
  <c r="E939" i="64"/>
  <c r="F939" i="64"/>
  <c r="G939" i="64"/>
  <c r="H939" i="64"/>
  <c r="I939" i="64"/>
  <c r="J939" i="64"/>
  <c r="K939" i="64"/>
  <c r="L939" i="64"/>
  <c r="M939" i="64"/>
  <c r="N939" i="64"/>
  <c r="O939" i="64"/>
  <c r="P939" i="64"/>
  <c r="Q939" i="64"/>
  <c r="R939" i="64"/>
  <c r="S939" i="64"/>
  <c r="T939" i="64"/>
  <c r="U939" i="64"/>
  <c r="V939" i="64"/>
  <c r="W939" i="64"/>
  <c r="X939" i="64"/>
  <c r="Y939" i="64"/>
  <c r="Z939" i="64"/>
  <c r="AA939" i="64"/>
  <c r="AB939" i="64"/>
  <c r="AC939" i="64"/>
  <c r="AD939" i="64"/>
  <c r="AE939" i="64"/>
  <c r="AF939" i="64"/>
  <c r="AG939" i="64"/>
  <c r="AH939" i="64"/>
  <c r="AI939" i="64"/>
  <c r="AJ939" i="64"/>
  <c r="AK939" i="64"/>
  <c r="AL939" i="64"/>
  <c r="AM939" i="64"/>
  <c r="AN939" i="64"/>
  <c r="AO939" i="64"/>
  <c r="AP939" i="64"/>
  <c r="AQ939" i="64"/>
  <c r="AR939" i="64"/>
  <c r="AS939" i="64"/>
  <c r="AT939" i="64"/>
  <c r="AU939" i="64"/>
  <c r="AV939" i="64"/>
  <c r="AW939" i="64"/>
  <c r="AX939" i="64"/>
  <c r="AY939" i="64"/>
  <c r="AZ939" i="64"/>
  <c r="BA939" i="64"/>
  <c r="BB939" i="64"/>
  <c r="BC939" i="64"/>
  <c r="BD939" i="64"/>
  <c r="BE939" i="64"/>
  <c r="BF939" i="64"/>
  <c r="D940" i="64"/>
  <c r="E940" i="64"/>
  <c r="F940" i="64"/>
  <c r="G940" i="64"/>
  <c r="H940" i="64"/>
  <c r="I940" i="64"/>
  <c r="J940" i="64"/>
  <c r="K940" i="64"/>
  <c r="L940" i="64"/>
  <c r="M940" i="64"/>
  <c r="N940" i="64"/>
  <c r="O940" i="64"/>
  <c r="P940" i="64"/>
  <c r="Q940" i="64"/>
  <c r="R940" i="64"/>
  <c r="S940" i="64"/>
  <c r="T940" i="64"/>
  <c r="U940" i="64"/>
  <c r="V940" i="64"/>
  <c r="W940" i="64"/>
  <c r="X940" i="64"/>
  <c r="Y940" i="64"/>
  <c r="Z940" i="64"/>
  <c r="AA940" i="64"/>
  <c r="AB940" i="64"/>
  <c r="AC940" i="64"/>
  <c r="AD940" i="64"/>
  <c r="AE940" i="64"/>
  <c r="AF940" i="64"/>
  <c r="AG940" i="64"/>
  <c r="AH940" i="64"/>
  <c r="AI940" i="64"/>
  <c r="AJ940" i="64"/>
  <c r="AK940" i="64"/>
  <c r="AL940" i="64"/>
  <c r="AM940" i="64"/>
  <c r="AN940" i="64"/>
  <c r="AO940" i="64"/>
  <c r="AP940" i="64"/>
  <c r="AQ940" i="64"/>
  <c r="AR940" i="64"/>
  <c r="AS940" i="64"/>
  <c r="AT940" i="64"/>
  <c r="AU940" i="64"/>
  <c r="AV940" i="64"/>
  <c r="AW940" i="64"/>
  <c r="AX940" i="64"/>
  <c r="AY940" i="64"/>
  <c r="AZ940" i="64"/>
  <c r="BA940" i="64"/>
  <c r="BB940" i="64"/>
  <c r="BC940" i="64"/>
  <c r="BD940" i="64"/>
  <c r="BE940" i="64"/>
  <c r="BF940" i="64"/>
  <c r="D941" i="64"/>
  <c r="E941" i="64"/>
  <c r="F941" i="64"/>
  <c r="G941" i="64"/>
  <c r="H941" i="64"/>
  <c r="I941" i="64"/>
  <c r="J941" i="64"/>
  <c r="K941" i="64"/>
  <c r="L941" i="64"/>
  <c r="M941" i="64"/>
  <c r="N941" i="64"/>
  <c r="O941" i="64"/>
  <c r="P941" i="64"/>
  <c r="Q941" i="64"/>
  <c r="R941" i="64"/>
  <c r="S941" i="64"/>
  <c r="T941" i="64"/>
  <c r="U941" i="64"/>
  <c r="V941" i="64"/>
  <c r="W941" i="64"/>
  <c r="X941" i="64"/>
  <c r="Y941" i="64"/>
  <c r="Z941" i="64"/>
  <c r="AA941" i="64"/>
  <c r="AB941" i="64"/>
  <c r="AC941" i="64"/>
  <c r="AD941" i="64"/>
  <c r="AE941" i="64"/>
  <c r="AF941" i="64"/>
  <c r="AG941" i="64"/>
  <c r="AH941" i="64"/>
  <c r="AI941" i="64"/>
  <c r="AJ941" i="64"/>
  <c r="AK941" i="64"/>
  <c r="AL941" i="64"/>
  <c r="AM941" i="64"/>
  <c r="AN941" i="64"/>
  <c r="AO941" i="64"/>
  <c r="AP941" i="64"/>
  <c r="AQ941" i="64"/>
  <c r="AR941" i="64"/>
  <c r="AS941" i="64"/>
  <c r="AT941" i="64"/>
  <c r="AU941" i="64"/>
  <c r="AV941" i="64"/>
  <c r="AW941" i="64"/>
  <c r="AX941" i="64"/>
  <c r="AY941" i="64"/>
  <c r="AZ941" i="64"/>
  <c r="BA941" i="64"/>
  <c r="BB941" i="64"/>
  <c r="BC941" i="64"/>
  <c r="BD941" i="64"/>
  <c r="BE941" i="64"/>
  <c r="BF941" i="64"/>
  <c r="D942" i="64"/>
  <c r="E942" i="64"/>
  <c r="F942" i="64"/>
  <c r="G942" i="64"/>
  <c r="H942" i="64"/>
  <c r="I942" i="64"/>
  <c r="J942" i="64"/>
  <c r="K942" i="64"/>
  <c r="L942" i="64"/>
  <c r="M942" i="64"/>
  <c r="N942" i="64"/>
  <c r="O942" i="64"/>
  <c r="P942" i="64"/>
  <c r="Q942" i="64"/>
  <c r="R942" i="64"/>
  <c r="S942" i="64"/>
  <c r="T942" i="64"/>
  <c r="U942" i="64"/>
  <c r="V942" i="64"/>
  <c r="W942" i="64"/>
  <c r="X942" i="64"/>
  <c r="Y942" i="64"/>
  <c r="Z942" i="64"/>
  <c r="AA942" i="64"/>
  <c r="AB942" i="64"/>
  <c r="AC942" i="64"/>
  <c r="AD942" i="64"/>
  <c r="AE942" i="64"/>
  <c r="AF942" i="64"/>
  <c r="AG942" i="64"/>
  <c r="AH942" i="64"/>
  <c r="AI942" i="64"/>
  <c r="AJ942" i="64"/>
  <c r="AK942" i="64"/>
  <c r="AL942" i="64"/>
  <c r="AM942" i="64"/>
  <c r="AN942" i="64"/>
  <c r="AO942" i="64"/>
  <c r="AP942" i="64"/>
  <c r="AQ942" i="64"/>
  <c r="AR942" i="64"/>
  <c r="AS942" i="64"/>
  <c r="AT942" i="64"/>
  <c r="AU942" i="64"/>
  <c r="AV942" i="64"/>
  <c r="AW942" i="64"/>
  <c r="AX942" i="64"/>
  <c r="AY942" i="64"/>
  <c r="AZ942" i="64"/>
  <c r="BA942" i="64"/>
  <c r="BB942" i="64"/>
  <c r="BC942" i="64"/>
  <c r="BD942" i="64"/>
  <c r="BE942" i="64"/>
  <c r="BF942" i="64"/>
  <c r="D943" i="64"/>
  <c r="E943" i="64"/>
  <c r="F943" i="64"/>
  <c r="G943" i="64"/>
  <c r="H943" i="64"/>
  <c r="I943" i="64"/>
  <c r="J943" i="64"/>
  <c r="K943" i="64"/>
  <c r="L943" i="64"/>
  <c r="M943" i="64"/>
  <c r="N943" i="64"/>
  <c r="O943" i="64"/>
  <c r="P943" i="64"/>
  <c r="Q943" i="64"/>
  <c r="R943" i="64"/>
  <c r="S943" i="64"/>
  <c r="T943" i="64"/>
  <c r="U943" i="64"/>
  <c r="V943" i="64"/>
  <c r="W943" i="64"/>
  <c r="X943" i="64"/>
  <c r="Y943" i="64"/>
  <c r="Z943" i="64"/>
  <c r="AA943" i="64"/>
  <c r="AB943" i="64"/>
  <c r="AC943" i="64"/>
  <c r="AD943" i="64"/>
  <c r="AE943" i="64"/>
  <c r="AF943" i="64"/>
  <c r="AG943" i="64"/>
  <c r="AH943" i="64"/>
  <c r="AI943" i="64"/>
  <c r="AJ943" i="64"/>
  <c r="AK943" i="64"/>
  <c r="AL943" i="64"/>
  <c r="AM943" i="64"/>
  <c r="AN943" i="64"/>
  <c r="AO943" i="64"/>
  <c r="AP943" i="64"/>
  <c r="AQ943" i="64"/>
  <c r="AR943" i="64"/>
  <c r="AS943" i="64"/>
  <c r="AT943" i="64"/>
  <c r="AU943" i="64"/>
  <c r="AV943" i="64"/>
  <c r="AW943" i="64"/>
  <c r="AX943" i="64"/>
  <c r="AY943" i="64"/>
  <c r="AZ943" i="64"/>
  <c r="BA943" i="64"/>
  <c r="BB943" i="64"/>
  <c r="BC943" i="64"/>
  <c r="BD943" i="64"/>
  <c r="BE943" i="64"/>
  <c r="BF943" i="64"/>
  <c r="D944" i="64"/>
  <c r="E944" i="64"/>
  <c r="F944" i="64"/>
  <c r="G944" i="64"/>
  <c r="H944" i="64"/>
  <c r="I944" i="64"/>
  <c r="J944" i="64"/>
  <c r="K944" i="64"/>
  <c r="L944" i="64"/>
  <c r="M944" i="64"/>
  <c r="N944" i="64"/>
  <c r="O944" i="64"/>
  <c r="P944" i="64"/>
  <c r="Q944" i="64"/>
  <c r="R944" i="64"/>
  <c r="S944" i="64"/>
  <c r="T944" i="64"/>
  <c r="U944" i="64"/>
  <c r="V944" i="64"/>
  <c r="W944" i="64"/>
  <c r="X944" i="64"/>
  <c r="Y944" i="64"/>
  <c r="Z944" i="64"/>
  <c r="AA944" i="64"/>
  <c r="AB944" i="64"/>
  <c r="AC944" i="64"/>
  <c r="AD944" i="64"/>
  <c r="AE944" i="64"/>
  <c r="AF944" i="64"/>
  <c r="AG944" i="64"/>
  <c r="AH944" i="64"/>
  <c r="AI944" i="64"/>
  <c r="AJ944" i="64"/>
  <c r="AK944" i="64"/>
  <c r="AL944" i="64"/>
  <c r="AM944" i="64"/>
  <c r="AN944" i="64"/>
  <c r="AO944" i="64"/>
  <c r="AP944" i="64"/>
  <c r="AQ944" i="64"/>
  <c r="AR944" i="64"/>
  <c r="AS944" i="64"/>
  <c r="AT944" i="64"/>
  <c r="AU944" i="64"/>
  <c r="AV944" i="64"/>
  <c r="AW944" i="64"/>
  <c r="AX944" i="64"/>
  <c r="AY944" i="64"/>
  <c r="AZ944" i="64"/>
  <c r="BA944" i="64"/>
  <c r="BB944" i="64"/>
  <c r="BC944" i="64"/>
  <c r="BD944" i="64"/>
  <c r="BE944" i="64"/>
  <c r="BF944" i="64"/>
  <c r="D945" i="64"/>
  <c r="E945" i="64"/>
  <c r="F945" i="64"/>
  <c r="G945" i="64"/>
  <c r="H945" i="64"/>
  <c r="I945" i="64"/>
  <c r="J945" i="64"/>
  <c r="K945" i="64"/>
  <c r="L945" i="64"/>
  <c r="M945" i="64"/>
  <c r="N945" i="64"/>
  <c r="O945" i="64"/>
  <c r="P945" i="64"/>
  <c r="Q945" i="64"/>
  <c r="R945" i="64"/>
  <c r="S945" i="64"/>
  <c r="T945" i="64"/>
  <c r="U945" i="64"/>
  <c r="V945" i="64"/>
  <c r="W945" i="64"/>
  <c r="X945" i="64"/>
  <c r="Y945" i="64"/>
  <c r="Z945" i="64"/>
  <c r="AA945" i="64"/>
  <c r="AB945" i="64"/>
  <c r="AC945" i="64"/>
  <c r="AD945" i="64"/>
  <c r="AE945" i="64"/>
  <c r="AF945" i="64"/>
  <c r="AG945" i="64"/>
  <c r="AH945" i="64"/>
  <c r="AI945" i="64"/>
  <c r="AJ945" i="64"/>
  <c r="AK945" i="64"/>
  <c r="AL945" i="64"/>
  <c r="AM945" i="64"/>
  <c r="AN945" i="64"/>
  <c r="AO945" i="64"/>
  <c r="AP945" i="64"/>
  <c r="AQ945" i="64"/>
  <c r="AR945" i="64"/>
  <c r="AS945" i="64"/>
  <c r="AT945" i="64"/>
  <c r="AU945" i="64"/>
  <c r="AV945" i="64"/>
  <c r="AW945" i="64"/>
  <c r="AX945" i="64"/>
  <c r="AY945" i="64"/>
  <c r="AZ945" i="64"/>
  <c r="BA945" i="64"/>
  <c r="BB945" i="64"/>
  <c r="BC945" i="64"/>
  <c r="BD945" i="64"/>
  <c r="BE945" i="64"/>
  <c r="BF945" i="64"/>
  <c r="D946" i="64"/>
  <c r="E946" i="64"/>
  <c r="F946" i="64"/>
  <c r="G946" i="64"/>
  <c r="H946" i="64"/>
  <c r="I946" i="64"/>
  <c r="J946" i="64"/>
  <c r="K946" i="64"/>
  <c r="L946" i="64"/>
  <c r="M946" i="64"/>
  <c r="N946" i="64"/>
  <c r="O946" i="64"/>
  <c r="P946" i="64"/>
  <c r="Q946" i="64"/>
  <c r="R946" i="64"/>
  <c r="S946" i="64"/>
  <c r="T946" i="64"/>
  <c r="U946" i="64"/>
  <c r="V946" i="64"/>
  <c r="W946" i="64"/>
  <c r="X946" i="64"/>
  <c r="Y946" i="64"/>
  <c r="Z946" i="64"/>
  <c r="AA946" i="64"/>
  <c r="AB946" i="64"/>
  <c r="AC946" i="64"/>
  <c r="AD946" i="64"/>
  <c r="AE946" i="64"/>
  <c r="AF946" i="64"/>
  <c r="AG946" i="64"/>
  <c r="AH946" i="64"/>
  <c r="AI946" i="64"/>
  <c r="AJ946" i="64"/>
  <c r="AK946" i="64"/>
  <c r="AL946" i="64"/>
  <c r="AM946" i="64"/>
  <c r="AN946" i="64"/>
  <c r="AO946" i="64"/>
  <c r="AP946" i="64"/>
  <c r="AQ946" i="64"/>
  <c r="AR946" i="64"/>
  <c r="AS946" i="64"/>
  <c r="AT946" i="64"/>
  <c r="AU946" i="64"/>
  <c r="AV946" i="64"/>
  <c r="AW946" i="64"/>
  <c r="AX946" i="64"/>
  <c r="AY946" i="64"/>
  <c r="AZ946" i="64"/>
  <c r="BA946" i="64"/>
  <c r="BB946" i="64"/>
  <c r="BC946" i="64"/>
  <c r="BD946" i="64"/>
  <c r="BE946" i="64"/>
  <c r="BF946" i="64"/>
  <c r="D947" i="64"/>
  <c r="E947" i="64"/>
  <c r="F947" i="64"/>
  <c r="G947" i="64"/>
  <c r="H947" i="64"/>
  <c r="I947" i="64"/>
  <c r="J947" i="64"/>
  <c r="K947" i="64"/>
  <c r="L947" i="64"/>
  <c r="M947" i="64"/>
  <c r="N947" i="64"/>
  <c r="O947" i="64"/>
  <c r="P947" i="64"/>
  <c r="Q947" i="64"/>
  <c r="R947" i="64"/>
  <c r="S947" i="64"/>
  <c r="T947" i="64"/>
  <c r="U947" i="64"/>
  <c r="V947" i="64"/>
  <c r="W947" i="64"/>
  <c r="X947" i="64"/>
  <c r="Y947" i="64"/>
  <c r="Z947" i="64"/>
  <c r="AA947" i="64"/>
  <c r="AB947" i="64"/>
  <c r="AC947" i="64"/>
  <c r="AD947" i="64"/>
  <c r="AE947" i="64"/>
  <c r="AF947" i="64"/>
  <c r="AG947" i="64"/>
  <c r="AH947" i="64"/>
  <c r="AI947" i="64"/>
  <c r="AJ947" i="64"/>
  <c r="AK947" i="64"/>
  <c r="AL947" i="64"/>
  <c r="AM947" i="64"/>
  <c r="AN947" i="64"/>
  <c r="AO947" i="64"/>
  <c r="AP947" i="64"/>
  <c r="AQ947" i="64"/>
  <c r="AR947" i="64"/>
  <c r="AS947" i="64"/>
  <c r="AT947" i="64"/>
  <c r="AU947" i="64"/>
  <c r="AV947" i="64"/>
  <c r="AW947" i="64"/>
  <c r="AX947" i="64"/>
  <c r="AY947" i="64"/>
  <c r="AZ947" i="64"/>
  <c r="BA947" i="64"/>
  <c r="BB947" i="64"/>
  <c r="BC947" i="64"/>
  <c r="BD947" i="64"/>
  <c r="BE947" i="64"/>
  <c r="BF947" i="64"/>
  <c r="D948" i="64"/>
  <c r="E948" i="64"/>
  <c r="F948" i="64"/>
  <c r="G948" i="64"/>
  <c r="H948" i="64"/>
  <c r="I948" i="64"/>
  <c r="J948" i="64"/>
  <c r="K948" i="64"/>
  <c r="L948" i="64"/>
  <c r="M948" i="64"/>
  <c r="N948" i="64"/>
  <c r="O948" i="64"/>
  <c r="P948" i="64"/>
  <c r="Q948" i="64"/>
  <c r="R948" i="64"/>
  <c r="S948" i="64"/>
  <c r="T948" i="64"/>
  <c r="U948" i="64"/>
  <c r="V948" i="64"/>
  <c r="W948" i="64"/>
  <c r="X948" i="64"/>
  <c r="Y948" i="64"/>
  <c r="Z948" i="64"/>
  <c r="AA948" i="64"/>
  <c r="AB948" i="64"/>
  <c r="AC948" i="64"/>
  <c r="AD948" i="64"/>
  <c r="AE948" i="64"/>
  <c r="AF948" i="64"/>
  <c r="AG948" i="64"/>
  <c r="AH948" i="64"/>
  <c r="AI948" i="64"/>
  <c r="AJ948" i="64"/>
  <c r="AK948" i="64"/>
  <c r="AL948" i="64"/>
  <c r="AM948" i="64"/>
  <c r="AN948" i="64"/>
  <c r="AO948" i="64"/>
  <c r="AP948" i="64"/>
  <c r="AQ948" i="64"/>
  <c r="AR948" i="64"/>
  <c r="AS948" i="64"/>
  <c r="AT948" i="64"/>
  <c r="AU948" i="64"/>
  <c r="AV948" i="64"/>
  <c r="AW948" i="64"/>
  <c r="AX948" i="64"/>
  <c r="AY948" i="64"/>
  <c r="AZ948" i="64"/>
  <c r="BA948" i="64"/>
  <c r="BB948" i="64"/>
  <c r="BC948" i="64"/>
  <c r="BD948" i="64"/>
  <c r="BE948" i="64"/>
  <c r="BF948" i="64"/>
  <c r="D949" i="64"/>
  <c r="E949" i="64"/>
  <c r="F949" i="64"/>
  <c r="G949" i="64"/>
  <c r="H949" i="64"/>
  <c r="I949" i="64"/>
  <c r="J949" i="64"/>
  <c r="K949" i="64"/>
  <c r="L949" i="64"/>
  <c r="M949" i="64"/>
  <c r="N949" i="64"/>
  <c r="O949" i="64"/>
  <c r="P949" i="64"/>
  <c r="Q949" i="64"/>
  <c r="R949" i="64"/>
  <c r="S949" i="64"/>
  <c r="T949" i="64"/>
  <c r="U949" i="64"/>
  <c r="V949" i="64"/>
  <c r="W949" i="64"/>
  <c r="X949" i="64"/>
  <c r="Y949" i="64"/>
  <c r="Z949" i="64"/>
  <c r="AA949" i="64"/>
  <c r="AB949" i="64"/>
  <c r="AC949" i="64"/>
  <c r="AD949" i="64"/>
  <c r="AE949" i="64"/>
  <c r="AF949" i="64"/>
  <c r="AG949" i="64"/>
  <c r="AH949" i="64"/>
  <c r="AI949" i="64"/>
  <c r="AJ949" i="64"/>
  <c r="AK949" i="64"/>
  <c r="AL949" i="64"/>
  <c r="AM949" i="64"/>
  <c r="AN949" i="64"/>
  <c r="AO949" i="64"/>
  <c r="AP949" i="64"/>
  <c r="AQ949" i="64"/>
  <c r="AR949" i="64"/>
  <c r="AS949" i="64"/>
  <c r="AT949" i="64"/>
  <c r="AU949" i="64"/>
  <c r="AV949" i="64"/>
  <c r="AW949" i="64"/>
  <c r="AX949" i="64"/>
  <c r="AY949" i="64"/>
  <c r="AZ949" i="64"/>
  <c r="BA949" i="64"/>
  <c r="BB949" i="64"/>
  <c r="BC949" i="64"/>
  <c r="BD949" i="64"/>
  <c r="BE949" i="64"/>
  <c r="BF949" i="64"/>
  <c r="D950" i="64"/>
  <c r="E950" i="64"/>
  <c r="F950" i="64"/>
  <c r="G950" i="64"/>
  <c r="H950" i="64"/>
  <c r="I950" i="64"/>
  <c r="J950" i="64"/>
  <c r="K950" i="64"/>
  <c r="L950" i="64"/>
  <c r="M950" i="64"/>
  <c r="N950" i="64"/>
  <c r="O950" i="64"/>
  <c r="P950" i="64"/>
  <c r="Q950" i="64"/>
  <c r="R950" i="64"/>
  <c r="S950" i="64"/>
  <c r="S958" i="64" s="1"/>
  <c r="S472" i="64" s="1"/>
  <c r="T950" i="64"/>
  <c r="U950" i="64"/>
  <c r="V950" i="64"/>
  <c r="W950" i="64"/>
  <c r="X950" i="64"/>
  <c r="Y950" i="64"/>
  <c r="Z950" i="64"/>
  <c r="AA950" i="64"/>
  <c r="AB950" i="64"/>
  <c r="AC950" i="64"/>
  <c r="AD950" i="64"/>
  <c r="AE950" i="64"/>
  <c r="AF950" i="64"/>
  <c r="AG950" i="64"/>
  <c r="AH950" i="64"/>
  <c r="AI950" i="64"/>
  <c r="AI958" i="64" s="1"/>
  <c r="AI472" i="64" s="1"/>
  <c r="AJ950" i="64"/>
  <c r="AK950" i="64"/>
  <c r="AL950" i="64"/>
  <c r="AM950" i="64"/>
  <c r="AN950" i="64"/>
  <c r="AO950" i="64"/>
  <c r="AP950" i="64"/>
  <c r="AQ950" i="64"/>
  <c r="AR950" i="64"/>
  <c r="AS950" i="64"/>
  <c r="AT950" i="64"/>
  <c r="AU950" i="64"/>
  <c r="AV950" i="64"/>
  <c r="AW950" i="64"/>
  <c r="AX950" i="64"/>
  <c r="AY950" i="64"/>
  <c r="AY958" i="64" s="1"/>
  <c r="AY472" i="64" s="1"/>
  <c r="AZ950" i="64"/>
  <c r="BA950" i="64"/>
  <c r="BB950" i="64"/>
  <c r="BC950" i="64"/>
  <c r="BD950" i="64"/>
  <c r="BE950" i="64"/>
  <c r="BF950" i="64"/>
  <c r="D951" i="64"/>
  <c r="E951" i="64"/>
  <c r="F951" i="64"/>
  <c r="G951" i="64"/>
  <c r="H951" i="64"/>
  <c r="I951" i="64"/>
  <c r="J951" i="64"/>
  <c r="K951" i="64"/>
  <c r="L951" i="64"/>
  <c r="M951" i="64"/>
  <c r="N951" i="64"/>
  <c r="O951" i="64"/>
  <c r="P951" i="64"/>
  <c r="Q951" i="64"/>
  <c r="R951" i="64"/>
  <c r="S951" i="64"/>
  <c r="T951" i="64"/>
  <c r="U951" i="64"/>
  <c r="V951" i="64"/>
  <c r="W951" i="64"/>
  <c r="X951" i="64"/>
  <c r="Y951" i="64"/>
  <c r="Z951" i="64"/>
  <c r="AA951" i="64"/>
  <c r="AB951" i="64"/>
  <c r="AC951" i="64"/>
  <c r="AD951" i="64"/>
  <c r="AE951" i="64"/>
  <c r="AF951" i="64"/>
  <c r="AG951" i="64"/>
  <c r="AH951" i="64"/>
  <c r="AI951" i="64"/>
  <c r="AJ951" i="64"/>
  <c r="AK951" i="64"/>
  <c r="AL951" i="64"/>
  <c r="AM951" i="64"/>
  <c r="AN951" i="64"/>
  <c r="AO951" i="64"/>
  <c r="AP951" i="64"/>
  <c r="AQ951" i="64"/>
  <c r="AR951" i="64"/>
  <c r="AS951" i="64"/>
  <c r="AT951" i="64"/>
  <c r="AU951" i="64"/>
  <c r="AV951" i="64"/>
  <c r="AW951" i="64"/>
  <c r="AX951" i="64"/>
  <c r="AY951" i="64"/>
  <c r="AZ951" i="64"/>
  <c r="BA951" i="64"/>
  <c r="BB951" i="64"/>
  <c r="BC951" i="64"/>
  <c r="BD951" i="64"/>
  <c r="BE951" i="64"/>
  <c r="BF951" i="64"/>
  <c r="D952" i="64"/>
  <c r="E952" i="64"/>
  <c r="F952" i="64"/>
  <c r="G952" i="64"/>
  <c r="H952" i="64"/>
  <c r="I952" i="64"/>
  <c r="J952" i="64"/>
  <c r="K952" i="64"/>
  <c r="L952" i="64"/>
  <c r="M952" i="64"/>
  <c r="N952" i="64"/>
  <c r="O952" i="64"/>
  <c r="P952" i="64"/>
  <c r="Q952" i="64"/>
  <c r="R952" i="64"/>
  <c r="S952" i="64"/>
  <c r="T952" i="64"/>
  <c r="U952" i="64"/>
  <c r="V952" i="64"/>
  <c r="W952" i="64"/>
  <c r="X952" i="64"/>
  <c r="Y952" i="64"/>
  <c r="Z952" i="64"/>
  <c r="AA952" i="64"/>
  <c r="AB952" i="64"/>
  <c r="AC952" i="64"/>
  <c r="AD952" i="64"/>
  <c r="AE952" i="64"/>
  <c r="AF952" i="64"/>
  <c r="AG952" i="64"/>
  <c r="AH952" i="64"/>
  <c r="AI952" i="64"/>
  <c r="AJ952" i="64"/>
  <c r="AK952" i="64"/>
  <c r="AL952" i="64"/>
  <c r="AM952" i="64"/>
  <c r="AN952" i="64"/>
  <c r="AO952" i="64"/>
  <c r="AP952" i="64"/>
  <c r="AQ952" i="64"/>
  <c r="AR952" i="64"/>
  <c r="AS952" i="64"/>
  <c r="AT952" i="64"/>
  <c r="AU952" i="64"/>
  <c r="AV952" i="64"/>
  <c r="AW952" i="64"/>
  <c r="AX952" i="64"/>
  <c r="AY952" i="64"/>
  <c r="AZ952" i="64"/>
  <c r="BA952" i="64"/>
  <c r="BB952" i="64"/>
  <c r="BC952" i="64"/>
  <c r="BD952" i="64"/>
  <c r="BE952" i="64"/>
  <c r="BF952" i="64"/>
  <c r="D953" i="64"/>
  <c r="E953" i="64"/>
  <c r="F953" i="64"/>
  <c r="G953" i="64"/>
  <c r="H953" i="64"/>
  <c r="I953" i="64"/>
  <c r="J953" i="64"/>
  <c r="K953" i="64"/>
  <c r="L953" i="64"/>
  <c r="M953" i="64"/>
  <c r="N953" i="64"/>
  <c r="O953" i="64"/>
  <c r="P953" i="64"/>
  <c r="Q953" i="64"/>
  <c r="R953" i="64"/>
  <c r="S953" i="64"/>
  <c r="T953" i="64"/>
  <c r="U953" i="64"/>
  <c r="V953" i="64"/>
  <c r="W953" i="64"/>
  <c r="X953" i="64"/>
  <c r="Y953" i="64"/>
  <c r="Z953" i="64"/>
  <c r="AA953" i="64"/>
  <c r="AB953" i="64"/>
  <c r="AC953" i="64"/>
  <c r="AD953" i="64"/>
  <c r="AE953" i="64"/>
  <c r="AF953" i="64"/>
  <c r="AG953" i="64"/>
  <c r="AH953" i="64"/>
  <c r="AI953" i="64"/>
  <c r="AJ953" i="64"/>
  <c r="AK953" i="64"/>
  <c r="AL953" i="64"/>
  <c r="AM953" i="64"/>
  <c r="AN953" i="64"/>
  <c r="AO953" i="64"/>
  <c r="AP953" i="64"/>
  <c r="AQ953" i="64"/>
  <c r="AR953" i="64"/>
  <c r="AS953" i="64"/>
  <c r="AT953" i="64"/>
  <c r="AU953" i="64"/>
  <c r="AV953" i="64"/>
  <c r="AW953" i="64"/>
  <c r="AX953" i="64"/>
  <c r="AY953" i="64"/>
  <c r="AZ953" i="64"/>
  <c r="BA953" i="64"/>
  <c r="BB953" i="64"/>
  <c r="BC953" i="64"/>
  <c r="BD953" i="64"/>
  <c r="BE953" i="64"/>
  <c r="BF953" i="64"/>
  <c r="D954" i="64"/>
  <c r="E954" i="64"/>
  <c r="F954" i="64"/>
  <c r="G954" i="64"/>
  <c r="H954" i="64"/>
  <c r="I954" i="64"/>
  <c r="J954" i="64"/>
  <c r="K954" i="64"/>
  <c r="L954" i="64"/>
  <c r="M954" i="64"/>
  <c r="N954" i="64"/>
  <c r="O954" i="64"/>
  <c r="P954" i="64"/>
  <c r="Q954" i="64"/>
  <c r="R954" i="64"/>
  <c r="S954" i="64"/>
  <c r="T954" i="64"/>
  <c r="U954" i="64"/>
  <c r="V954" i="64"/>
  <c r="W954" i="64"/>
  <c r="X954" i="64"/>
  <c r="Y954" i="64"/>
  <c r="Z954" i="64"/>
  <c r="AA954" i="64"/>
  <c r="AB954" i="64"/>
  <c r="AC954" i="64"/>
  <c r="AD954" i="64"/>
  <c r="AE954" i="64"/>
  <c r="AF954" i="64"/>
  <c r="AG954" i="64"/>
  <c r="AH954" i="64"/>
  <c r="AI954" i="64"/>
  <c r="AJ954" i="64"/>
  <c r="AK954" i="64"/>
  <c r="AL954" i="64"/>
  <c r="AM954" i="64"/>
  <c r="AN954" i="64"/>
  <c r="AO954" i="64"/>
  <c r="AP954" i="64"/>
  <c r="AQ954" i="64"/>
  <c r="AR954" i="64"/>
  <c r="AS954" i="64"/>
  <c r="AT954" i="64"/>
  <c r="AU954" i="64"/>
  <c r="AV954" i="64"/>
  <c r="AW954" i="64"/>
  <c r="AX954" i="64"/>
  <c r="AY954" i="64"/>
  <c r="AZ954" i="64"/>
  <c r="BA954" i="64"/>
  <c r="BB954" i="64"/>
  <c r="BC954" i="64"/>
  <c r="BD954" i="64"/>
  <c r="BE954" i="64"/>
  <c r="BF954" i="64"/>
  <c r="D955" i="64"/>
  <c r="E955" i="64"/>
  <c r="F955" i="64"/>
  <c r="G955" i="64"/>
  <c r="H955" i="64"/>
  <c r="I955" i="64"/>
  <c r="J955" i="64"/>
  <c r="K955" i="64"/>
  <c r="L955" i="64"/>
  <c r="M955" i="64"/>
  <c r="N955" i="64"/>
  <c r="O955" i="64"/>
  <c r="P955" i="64"/>
  <c r="Q955" i="64"/>
  <c r="R955" i="64"/>
  <c r="S955" i="64"/>
  <c r="T955" i="64"/>
  <c r="U955" i="64"/>
  <c r="V955" i="64"/>
  <c r="W955" i="64"/>
  <c r="X955" i="64"/>
  <c r="Y955" i="64"/>
  <c r="Z955" i="64"/>
  <c r="AA955" i="64"/>
  <c r="AB955" i="64"/>
  <c r="AC955" i="64"/>
  <c r="AD955" i="64"/>
  <c r="AE955" i="64"/>
  <c r="AF955" i="64"/>
  <c r="AG955" i="64"/>
  <c r="AH955" i="64"/>
  <c r="AI955" i="64"/>
  <c r="AJ955" i="64"/>
  <c r="AK955" i="64"/>
  <c r="AL955" i="64"/>
  <c r="AM955" i="64"/>
  <c r="AN955" i="64"/>
  <c r="AO955" i="64"/>
  <c r="AP955" i="64"/>
  <c r="AQ955" i="64"/>
  <c r="AR955" i="64"/>
  <c r="AS955" i="64"/>
  <c r="AT955" i="64"/>
  <c r="AU955" i="64"/>
  <c r="AV955" i="64"/>
  <c r="AW955" i="64"/>
  <c r="AX955" i="64"/>
  <c r="AY955" i="64"/>
  <c r="AZ955" i="64"/>
  <c r="BA955" i="64"/>
  <c r="BB955" i="64"/>
  <c r="BC955" i="64"/>
  <c r="BD955" i="64"/>
  <c r="BE955" i="64"/>
  <c r="BF955" i="64"/>
  <c r="D956" i="64"/>
  <c r="E956" i="64"/>
  <c r="F956" i="64"/>
  <c r="G956" i="64"/>
  <c r="H956" i="64"/>
  <c r="I956" i="64"/>
  <c r="J956" i="64"/>
  <c r="K956" i="64"/>
  <c r="L956" i="64"/>
  <c r="M956" i="64"/>
  <c r="N956" i="64"/>
  <c r="O956" i="64"/>
  <c r="P956" i="64"/>
  <c r="Q956" i="64"/>
  <c r="R956" i="64"/>
  <c r="S956" i="64"/>
  <c r="T956" i="64"/>
  <c r="U956" i="64"/>
  <c r="V956" i="64"/>
  <c r="W956" i="64"/>
  <c r="X956" i="64"/>
  <c r="Y956" i="64"/>
  <c r="Z956" i="64"/>
  <c r="AA956" i="64"/>
  <c r="AB956" i="64"/>
  <c r="AC956" i="64"/>
  <c r="AD956" i="64"/>
  <c r="AE956" i="64"/>
  <c r="AF956" i="64"/>
  <c r="AG956" i="64"/>
  <c r="AH956" i="64"/>
  <c r="AI956" i="64"/>
  <c r="AJ956" i="64"/>
  <c r="AK956" i="64"/>
  <c r="AL956" i="64"/>
  <c r="AM956" i="64"/>
  <c r="AN956" i="64"/>
  <c r="AO956" i="64"/>
  <c r="AP956" i="64"/>
  <c r="AQ956" i="64"/>
  <c r="AR956" i="64"/>
  <c r="AS956" i="64"/>
  <c r="AT956" i="64"/>
  <c r="AU956" i="64"/>
  <c r="AV956" i="64"/>
  <c r="AW956" i="64"/>
  <c r="AX956" i="64"/>
  <c r="AY956" i="64"/>
  <c r="AZ956" i="64"/>
  <c r="BA956" i="64"/>
  <c r="BB956" i="64"/>
  <c r="BC956" i="64"/>
  <c r="BD956" i="64"/>
  <c r="BE956" i="64"/>
  <c r="BF956" i="64"/>
  <c r="K958" i="64"/>
  <c r="K472" i="64" s="1"/>
  <c r="AA958" i="64"/>
  <c r="AA472" i="64" s="1"/>
  <c r="AQ958" i="64"/>
  <c r="AQ472" i="64" s="1"/>
  <c r="C928" i="64"/>
  <c r="C929" i="64"/>
  <c r="C930" i="64"/>
  <c r="C931" i="64"/>
  <c r="C932" i="64"/>
  <c r="C933" i="64"/>
  <c r="C934" i="64"/>
  <c r="C935" i="64"/>
  <c r="C936" i="64"/>
  <c r="C937" i="64"/>
  <c r="C938" i="64"/>
  <c r="C939" i="64"/>
  <c r="C940" i="64"/>
  <c r="C941" i="64"/>
  <c r="C942" i="64"/>
  <c r="C943" i="64"/>
  <c r="C944" i="64"/>
  <c r="C945" i="64"/>
  <c r="C946" i="64"/>
  <c r="C947" i="64"/>
  <c r="C948" i="64"/>
  <c r="C949" i="64"/>
  <c r="C950" i="64"/>
  <c r="C951" i="64"/>
  <c r="C952" i="64"/>
  <c r="C953" i="64"/>
  <c r="C954" i="64"/>
  <c r="C955" i="64"/>
  <c r="C956" i="64"/>
  <c r="C927" i="64"/>
  <c r="D893" i="64"/>
  <c r="E893" i="64"/>
  <c r="F893" i="64"/>
  <c r="G893" i="64"/>
  <c r="H893" i="64"/>
  <c r="I893" i="64"/>
  <c r="J893" i="64"/>
  <c r="K893" i="64"/>
  <c r="L893" i="64"/>
  <c r="M893" i="64"/>
  <c r="N893" i="64"/>
  <c r="O893" i="64"/>
  <c r="P893" i="64"/>
  <c r="Q893" i="64"/>
  <c r="R893" i="64"/>
  <c r="S893" i="64"/>
  <c r="T893" i="64"/>
  <c r="U893" i="64"/>
  <c r="V893" i="64"/>
  <c r="W893" i="64"/>
  <c r="X893" i="64"/>
  <c r="Y893" i="64"/>
  <c r="Z893" i="64"/>
  <c r="AA893" i="64"/>
  <c r="AB893" i="64"/>
  <c r="AC893" i="64"/>
  <c r="AD893" i="64"/>
  <c r="AE893" i="64"/>
  <c r="AF893" i="64"/>
  <c r="AG893" i="64"/>
  <c r="AH893" i="64"/>
  <c r="AI893" i="64"/>
  <c r="AJ893" i="64"/>
  <c r="AK893" i="64"/>
  <c r="AL893" i="64"/>
  <c r="AM893" i="64"/>
  <c r="AN893" i="64"/>
  <c r="AO893" i="64"/>
  <c r="AP893" i="64"/>
  <c r="AQ893" i="64"/>
  <c r="AR893" i="64"/>
  <c r="AS893" i="64"/>
  <c r="AT893" i="64"/>
  <c r="AU893" i="64"/>
  <c r="AV893" i="64"/>
  <c r="AW893" i="64"/>
  <c r="AX893" i="64"/>
  <c r="AY893" i="64"/>
  <c r="AZ893" i="64"/>
  <c r="BA893" i="64"/>
  <c r="BB893" i="64"/>
  <c r="BC893" i="64"/>
  <c r="BD893" i="64"/>
  <c r="BE893" i="64"/>
  <c r="BF893" i="64"/>
  <c r="D894" i="64"/>
  <c r="E894" i="64"/>
  <c r="F894" i="64"/>
  <c r="G894" i="64"/>
  <c r="H894" i="64"/>
  <c r="I894" i="64"/>
  <c r="J894" i="64"/>
  <c r="K894" i="64"/>
  <c r="L894" i="64"/>
  <c r="M894" i="64"/>
  <c r="N894" i="64"/>
  <c r="O894" i="64"/>
  <c r="P894" i="64"/>
  <c r="Q894" i="64"/>
  <c r="R894" i="64"/>
  <c r="S894" i="64"/>
  <c r="T894" i="64"/>
  <c r="U894" i="64"/>
  <c r="V894" i="64"/>
  <c r="W894" i="64"/>
  <c r="X894" i="64"/>
  <c r="Y894" i="64"/>
  <c r="Z894" i="64"/>
  <c r="AA894" i="64"/>
  <c r="AB894" i="64"/>
  <c r="AC894" i="64"/>
  <c r="AD894" i="64"/>
  <c r="AE894" i="64"/>
  <c r="AF894" i="64"/>
  <c r="AG894" i="64"/>
  <c r="AH894" i="64"/>
  <c r="AI894" i="64"/>
  <c r="AJ894" i="64"/>
  <c r="AK894" i="64"/>
  <c r="AL894" i="64"/>
  <c r="AM894" i="64"/>
  <c r="AN894" i="64"/>
  <c r="AO894" i="64"/>
  <c r="AP894" i="64"/>
  <c r="AQ894" i="64"/>
  <c r="AR894" i="64"/>
  <c r="AS894" i="64"/>
  <c r="AT894" i="64"/>
  <c r="AU894" i="64"/>
  <c r="AV894" i="64"/>
  <c r="AW894" i="64"/>
  <c r="AX894" i="64"/>
  <c r="AY894" i="64"/>
  <c r="AZ894" i="64"/>
  <c r="BA894" i="64"/>
  <c r="BB894" i="64"/>
  <c r="BC894" i="64"/>
  <c r="BD894" i="64"/>
  <c r="BE894" i="64"/>
  <c r="BF894" i="64"/>
  <c r="D895" i="64"/>
  <c r="E895" i="64"/>
  <c r="F895" i="64"/>
  <c r="G895" i="64"/>
  <c r="H895" i="64"/>
  <c r="I895" i="64"/>
  <c r="J895" i="64"/>
  <c r="K895" i="64"/>
  <c r="L895" i="64"/>
  <c r="M895" i="64"/>
  <c r="N895" i="64"/>
  <c r="O895" i="64"/>
  <c r="P895" i="64"/>
  <c r="Q895" i="64"/>
  <c r="R895" i="64"/>
  <c r="S895" i="64"/>
  <c r="T895" i="64"/>
  <c r="U895" i="64"/>
  <c r="V895" i="64"/>
  <c r="W895" i="64"/>
  <c r="X895" i="64"/>
  <c r="Y895" i="64"/>
  <c r="Z895" i="64"/>
  <c r="AA895" i="64"/>
  <c r="AB895" i="64"/>
  <c r="AC895" i="64"/>
  <c r="AD895" i="64"/>
  <c r="AE895" i="64"/>
  <c r="AF895" i="64"/>
  <c r="AG895" i="64"/>
  <c r="AH895" i="64"/>
  <c r="AI895" i="64"/>
  <c r="AJ895" i="64"/>
  <c r="AK895" i="64"/>
  <c r="AL895" i="64"/>
  <c r="AM895" i="64"/>
  <c r="AN895" i="64"/>
  <c r="AO895" i="64"/>
  <c r="AP895" i="64"/>
  <c r="AQ895" i="64"/>
  <c r="AR895" i="64"/>
  <c r="AS895" i="64"/>
  <c r="AT895" i="64"/>
  <c r="AU895" i="64"/>
  <c r="AV895" i="64"/>
  <c r="AW895" i="64"/>
  <c r="AX895" i="64"/>
  <c r="AY895" i="64"/>
  <c r="AZ895" i="64"/>
  <c r="BA895" i="64"/>
  <c r="BB895" i="64"/>
  <c r="BC895" i="64"/>
  <c r="BD895" i="64"/>
  <c r="BE895" i="64"/>
  <c r="BF895" i="64"/>
  <c r="D896" i="64"/>
  <c r="E896" i="64"/>
  <c r="F896" i="64"/>
  <c r="G896" i="64"/>
  <c r="H896" i="64"/>
  <c r="I896" i="64"/>
  <c r="J896" i="64"/>
  <c r="K896" i="64"/>
  <c r="L896" i="64"/>
  <c r="M896" i="64"/>
  <c r="N896" i="64"/>
  <c r="O896" i="64"/>
  <c r="P896" i="64"/>
  <c r="Q896" i="64"/>
  <c r="R896" i="64"/>
  <c r="S896" i="64"/>
  <c r="T896" i="64"/>
  <c r="U896" i="64"/>
  <c r="V896" i="64"/>
  <c r="W896" i="64"/>
  <c r="X896" i="64"/>
  <c r="Y896" i="64"/>
  <c r="Z896" i="64"/>
  <c r="AA896" i="64"/>
  <c r="AB896" i="64"/>
  <c r="AC896" i="64"/>
  <c r="AD896" i="64"/>
  <c r="AE896" i="64"/>
  <c r="AF896" i="64"/>
  <c r="AG896" i="64"/>
  <c r="AH896" i="64"/>
  <c r="AI896" i="64"/>
  <c r="AJ896" i="64"/>
  <c r="AK896" i="64"/>
  <c r="AL896" i="64"/>
  <c r="AM896" i="64"/>
  <c r="AN896" i="64"/>
  <c r="AO896" i="64"/>
  <c r="AP896" i="64"/>
  <c r="AQ896" i="64"/>
  <c r="AR896" i="64"/>
  <c r="AS896" i="64"/>
  <c r="AT896" i="64"/>
  <c r="AU896" i="64"/>
  <c r="AV896" i="64"/>
  <c r="AW896" i="64"/>
  <c r="AX896" i="64"/>
  <c r="AY896" i="64"/>
  <c r="AZ896" i="64"/>
  <c r="BA896" i="64"/>
  <c r="BB896" i="64"/>
  <c r="BC896" i="64"/>
  <c r="BD896" i="64"/>
  <c r="BE896" i="64"/>
  <c r="BF896" i="64"/>
  <c r="D897" i="64"/>
  <c r="E897" i="64"/>
  <c r="F897" i="64"/>
  <c r="G897" i="64"/>
  <c r="H897" i="64"/>
  <c r="I897" i="64"/>
  <c r="J897" i="64"/>
  <c r="K897" i="64"/>
  <c r="L897" i="64"/>
  <c r="M897" i="64"/>
  <c r="N897" i="64"/>
  <c r="O897" i="64"/>
  <c r="P897" i="64"/>
  <c r="Q897" i="64"/>
  <c r="R897" i="64"/>
  <c r="S897" i="64"/>
  <c r="T897" i="64"/>
  <c r="U897" i="64"/>
  <c r="V897" i="64"/>
  <c r="W897" i="64"/>
  <c r="X897" i="64"/>
  <c r="Y897" i="64"/>
  <c r="Z897" i="64"/>
  <c r="AA897" i="64"/>
  <c r="AB897" i="64"/>
  <c r="AC897" i="64"/>
  <c r="AD897" i="64"/>
  <c r="AE897" i="64"/>
  <c r="AF897" i="64"/>
  <c r="AG897" i="64"/>
  <c r="AH897" i="64"/>
  <c r="AI897" i="64"/>
  <c r="AJ897" i="64"/>
  <c r="AK897" i="64"/>
  <c r="AL897" i="64"/>
  <c r="AM897" i="64"/>
  <c r="AN897" i="64"/>
  <c r="AO897" i="64"/>
  <c r="AP897" i="64"/>
  <c r="AQ897" i="64"/>
  <c r="AR897" i="64"/>
  <c r="AS897" i="64"/>
  <c r="AT897" i="64"/>
  <c r="AU897" i="64"/>
  <c r="AV897" i="64"/>
  <c r="AW897" i="64"/>
  <c r="AX897" i="64"/>
  <c r="AY897" i="64"/>
  <c r="AZ897" i="64"/>
  <c r="BA897" i="64"/>
  <c r="BB897" i="64"/>
  <c r="BC897" i="64"/>
  <c r="BD897" i="64"/>
  <c r="BE897" i="64"/>
  <c r="BF897" i="64"/>
  <c r="D898" i="64"/>
  <c r="E898" i="64"/>
  <c r="F898" i="64"/>
  <c r="G898" i="64"/>
  <c r="H898" i="64"/>
  <c r="I898" i="64"/>
  <c r="J898" i="64"/>
  <c r="K898" i="64"/>
  <c r="L898" i="64"/>
  <c r="M898" i="64"/>
  <c r="N898" i="64"/>
  <c r="O898" i="64"/>
  <c r="P898" i="64"/>
  <c r="Q898" i="64"/>
  <c r="R898" i="64"/>
  <c r="S898" i="64"/>
  <c r="T898" i="64"/>
  <c r="U898" i="64"/>
  <c r="V898" i="64"/>
  <c r="W898" i="64"/>
  <c r="X898" i="64"/>
  <c r="Y898" i="64"/>
  <c r="Z898" i="64"/>
  <c r="AA898" i="64"/>
  <c r="AB898" i="64"/>
  <c r="AC898" i="64"/>
  <c r="AD898" i="64"/>
  <c r="AE898" i="64"/>
  <c r="AF898" i="64"/>
  <c r="AG898" i="64"/>
  <c r="AH898" i="64"/>
  <c r="AI898" i="64"/>
  <c r="AJ898" i="64"/>
  <c r="AK898" i="64"/>
  <c r="AL898" i="64"/>
  <c r="AM898" i="64"/>
  <c r="AN898" i="64"/>
  <c r="AO898" i="64"/>
  <c r="AP898" i="64"/>
  <c r="AQ898" i="64"/>
  <c r="AR898" i="64"/>
  <c r="AS898" i="64"/>
  <c r="AT898" i="64"/>
  <c r="AU898" i="64"/>
  <c r="AV898" i="64"/>
  <c r="AW898" i="64"/>
  <c r="AX898" i="64"/>
  <c r="AY898" i="64"/>
  <c r="AZ898" i="64"/>
  <c r="BA898" i="64"/>
  <c r="BB898" i="64"/>
  <c r="BC898" i="64"/>
  <c r="BD898" i="64"/>
  <c r="BE898" i="64"/>
  <c r="BF898" i="64"/>
  <c r="D899" i="64"/>
  <c r="E899" i="64"/>
  <c r="F899" i="64"/>
  <c r="G899" i="64"/>
  <c r="H899" i="64"/>
  <c r="I899" i="64"/>
  <c r="J899" i="64"/>
  <c r="K899" i="64"/>
  <c r="L899" i="64"/>
  <c r="M899" i="64"/>
  <c r="N899" i="64"/>
  <c r="O899" i="64"/>
  <c r="P899" i="64"/>
  <c r="Q899" i="64"/>
  <c r="R899" i="64"/>
  <c r="S899" i="64"/>
  <c r="T899" i="64"/>
  <c r="U899" i="64"/>
  <c r="V899" i="64"/>
  <c r="W899" i="64"/>
  <c r="X899" i="64"/>
  <c r="Y899" i="64"/>
  <c r="Z899" i="64"/>
  <c r="AA899" i="64"/>
  <c r="AB899" i="64"/>
  <c r="AC899" i="64"/>
  <c r="AD899" i="64"/>
  <c r="AE899" i="64"/>
  <c r="AF899" i="64"/>
  <c r="AG899" i="64"/>
  <c r="AH899" i="64"/>
  <c r="AI899" i="64"/>
  <c r="AJ899" i="64"/>
  <c r="AK899" i="64"/>
  <c r="AL899" i="64"/>
  <c r="AM899" i="64"/>
  <c r="AN899" i="64"/>
  <c r="AO899" i="64"/>
  <c r="AP899" i="64"/>
  <c r="AQ899" i="64"/>
  <c r="AR899" i="64"/>
  <c r="AS899" i="64"/>
  <c r="AT899" i="64"/>
  <c r="AU899" i="64"/>
  <c r="AV899" i="64"/>
  <c r="AW899" i="64"/>
  <c r="AX899" i="64"/>
  <c r="AY899" i="64"/>
  <c r="AZ899" i="64"/>
  <c r="BA899" i="64"/>
  <c r="BB899" i="64"/>
  <c r="BC899" i="64"/>
  <c r="BD899" i="64"/>
  <c r="BE899" i="64"/>
  <c r="BF899" i="64"/>
  <c r="D900" i="64"/>
  <c r="E900" i="64"/>
  <c r="F900" i="64"/>
  <c r="G900" i="64"/>
  <c r="H900" i="64"/>
  <c r="I900" i="64"/>
  <c r="J900" i="64"/>
  <c r="K900" i="64"/>
  <c r="L900" i="64"/>
  <c r="M900" i="64"/>
  <c r="N900" i="64"/>
  <c r="O900" i="64"/>
  <c r="P900" i="64"/>
  <c r="Q900" i="64"/>
  <c r="R900" i="64"/>
  <c r="S900" i="64"/>
  <c r="T900" i="64"/>
  <c r="U900" i="64"/>
  <c r="V900" i="64"/>
  <c r="W900" i="64"/>
  <c r="X900" i="64"/>
  <c r="Y900" i="64"/>
  <c r="Z900" i="64"/>
  <c r="AA900" i="64"/>
  <c r="AB900" i="64"/>
  <c r="AC900" i="64"/>
  <c r="AD900" i="64"/>
  <c r="AE900" i="64"/>
  <c r="AF900" i="64"/>
  <c r="AG900" i="64"/>
  <c r="AH900" i="64"/>
  <c r="AI900" i="64"/>
  <c r="AJ900" i="64"/>
  <c r="AK900" i="64"/>
  <c r="AL900" i="64"/>
  <c r="AM900" i="64"/>
  <c r="AN900" i="64"/>
  <c r="AO900" i="64"/>
  <c r="AP900" i="64"/>
  <c r="AQ900" i="64"/>
  <c r="AR900" i="64"/>
  <c r="AS900" i="64"/>
  <c r="AT900" i="64"/>
  <c r="AU900" i="64"/>
  <c r="AV900" i="64"/>
  <c r="AW900" i="64"/>
  <c r="AX900" i="64"/>
  <c r="AY900" i="64"/>
  <c r="AZ900" i="64"/>
  <c r="BA900" i="64"/>
  <c r="BB900" i="64"/>
  <c r="BC900" i="64"/>
  <c r="BD900" i="64"/>
  <c r="BE900" i="64"/>
  <c r="BF900" i="64"/>
  <c r="D901" i="64"/>
  <c r="E901" i="64"/>
  <c r="F901" i="64"/>
  <c r="G901" i="64"/>
  <c r="H901" i="64"/>
  <c r="I901" i="64"/>
  <c r="J901" i="64"/>
  <c r="K901" i="64"/>
  <c r="L901" i="64"/>
  <c r="M901" i="64"/>
  <c r="N901" i="64"/>
  <c r="O901" i="64"/>
  <c r="P901" i="64"/>
  <c r="Q901" i="64"/>
  <c r="R901" i="64"/>
  <c r="S901" i="64"/>
  <c r="T901" i="64"/>
  <c r="U901" i="64"/>
  <c r="V901" i="64"/>
  <c r="W901" i="64"/>
  <c r="X901" i="64"/>
  <c r="Y901" i="64"/>
  <c r="Z901" i="64"/>
  <c r="AA901" i="64"/>
  <c r="AB901" i="64"/>
  <c r="AC901" i="64"/>
  <c r="AD901" i="64"/>
  <c r="AE901" i="64"/>
  <c r="AF901" i="64"/>
  <c r="AG901" i="64"/>
  <c r="AH901" i="64"/>
  <c r="AI901" i="64"/>
  <c r="AJ901" i="64"/>
  <c r="AK901" i="64"/>
  <c r="AL901" i="64"/>
  <c r="AM901" i="64"/>
  <c r="AN901" i="64"/>
  <c r="AO901" i="64"/>
  <c r="AP901" i="64"/>
  <c r="AQ901" i="64"/>
  <c r="AR901" i="64"/>
  <c r="AS901" i="64"/>
  <c r="AT901" i="64"/>
  <c r="AU901" i="64"/>
  <c r="AV901" i="64"/>
  <c r="AW901" i="64"/>
  <c r="AX901" i="64"/>
  <c r="AY901" i="64"/>
  <c r="AZ901" i="64"/>
  <c r="BA901" i="64"/>
  <c r="BB901" i="64"/>
  <c r="BC901" i="64"/>
  <c r="BD901" i="64"/>
  <c r="BE901" i="64"/>
  <c r="BF901" i="64"/>
  <c r="D902" i="64"/>
  <c r="E902" i="64"/>
  <c r="F902" i="64"/>
  <c r="G902" i="64"/>
  <c r="H902" i="64"/>
  <c r="I902" i="64"/>
  <c r="J902" i="64"/>
  <c r="K902" i="64"/>
  <c r="L902" i="64"/>
  <c r="M902" i="64"/>
  <c r="N902" i="64"/>
  <c r="O902" i="64"/>
  <c r="P902" i="64"/>
  <c r="Q902" i="64"/>
  <c r="R902" i="64"/>
  <c r="S902" i="64"/>
  <c r="T902" i="64"/>
  <c r="U902" i="64"/>
  <c r="V902" i="64"/>
  <c r="W902" i="64"/>
  <c r="X902" i="64"/>
  <c r="Y902" i="64"/>
  <c r="Z902" i="64"/>
  <c r="AA902" i="64"/>
  <c r="AB902" i="64"/>
  <c r="AC902" i="64"/>
  <c r="AD902" i="64"/>
  <c r="AE902" i="64"/>
  <c r="AF902" i="64"/>
  <c r="AG902" i="64"/>
  <c r="AH902" i="64"/>
  <c r="AI902" i="64"/>
  <c r="AJ902" i="64"/>
  <c r="AK902" i="64"/>
  <c r="AL902" i="64"/>
  <c r="AM902" i="64"/>
  <c r="AN902" i="64"/>
  <c r="AO902" i="64"/>
  <c r="AP902" i="64"/>
  <c r="AQ902" i="64"/>
  <c r="AR902" i="64"/>
  <c r="AS902" i="64"/>
  <c r="AT902" i="64"/>
  <c r="AU902" i="64"/>
  <c r="AV902" i="64"/>
  <c r="AW902" i="64"/>
  <c r="AX902" i="64"/>
  <c r="AY902" i="64"/>
  <c r="AZ902" i="64"/>
  <c r="BA902" i="64"/>
  <c r="BB902" i="64"/>
  <c r="BC902" i="64"/>
  <c r="BD902" i="64"/>
  <c r="BE902" i="64"/>
  <c r="BF902" i="64"/>
  <c r="D903" i="64"/>
  <c r="E903" i="64"/>
  <c r="F903" i="64"/>
  <c r="G903" i="64"/>
  <c r="H903" i="64"/>
  <c r="I903" i="64"/>
  <c r="J903" i="64"/>
  <c r="K903" i="64"/>
  <c r="L903" i="64"/>
  <c r="M903" i="64"/>
  <c r="N903" i="64"/>
  <c r="O903" i="64"/>
  <c r="P903" i="64"/>
  <c r="Q903" i="64"/>
  <c r="R903" i="64"/>
  <c r="S903" i="64"/>
  <c r="T903" i="64"/>
  <c r="U903" i="64"/>
  <c r="V903" i="64"/>
  <c r="W903" i="64"/>
  <c r="X903" i="64"/>
  <c r="Y903" i="64"/>
  <c r="Z903" i="64"/>
  <c r="AA903" i="64"/>
  <c r="AB903" i="64"/>
  <c r="AC903" i="64"/>
  <c r="AD903" i="64"/>
  <c r="AE903" i="64"/>
  <c r="AF903" i="64"/>
  <c r="AG903" i="64"/>
  <c r="AH903" i="64"/>
  <c r="AI903" i="64"/>
  <c r="AJ903" i="64"/>
  <c r="AK903" i="64"/>
  <c r="AL903" i="64"/>
  <c r="AM903" i="64"/>
  <c r="AN903" i="64"/>
  <c r="AO903" i="64"/>
  <c r="AP903" i="64"/>
  <c r="AQ903" i="64"/>
  <c r="AR903" i="64"/>
  <c r="AS903" i="64"/>
  <c r="AT903" i="64"/>
  <c r="AU903" i="64"/>
  <c r="AV903" i="64"/>
  <c r="AW903" i="64"/>
  <c r="AX903" i="64"/>
  <c r="AY903" i="64"/>
  <c r="AZ903" i="64"/>
  <c r="BA903" i="64"/>
  <c r="BB903" i="64"/>
  <c r="BC903" i="64"/>
  <c r="BD903" i="64"/>
  <c r="BE903" i="64"/>
  <c r="BF903" i="64"/>
  <c r="D904" i="64"/>
  <c r="E904" i="64"/>
  <c r="F904" i="64"/>
  <c r="G904" i="64"/>
  <c r="H904" i="64"/>
  <c r="I904" i="64"/>
  <c r="J904" i="64"/>
  <c r="K904" i="64"/>
  <c r="L904" i="64"/>
  <c r="M904" i="64"/>
  <c r="N904" i="64"/>
  <c r="O904" i="64"/>
  <c r="P904" i="64"/>
  <c r="Q904" i="64"/>
  <c r="R904" i="64"/>
  <c r="S904" i="64"/>
  <c r="T904" i="64"/>
  <c r="U904" i="64"/>
  <c r="V904" i="64"/>
  <c r="W904" i="64"/>
  <c r="X904" i="64"/>
  <c r="Y904" i="64"/>
  <c r="Z904" i="64"/>
  <c r="AA904" i="64"/>
  <c r="AB904" i="64"/>
  <c r="AC904" i="64"/>
  <c r="AD904" i="64"/>
  <c r="AE904" i="64"/>
  <c r="AF904" i="64"/>
  <c r="AG904" i="64"/>
  <c r="AH904" i="64"/>
  <c r="AI904" i="64"/>
  <c r="AJ904" i="64"/>
  <c r="AK904" i="64"/>
  <c r="AL904" i="64"/>
  <c r="AM904" i="64"/>
  <c r="AN904" i="64"/>
  <c r="AO904" i="64"/>
  <c r="AP904" i="64"/>
  <c r="AQ904" i="64"/>
  <c r="AR904" i="64"/>
  <c r="AS904" i="64"/>
  <c r="AT904" i="64"/>
  <c r="AU904" i="64"/>
  <c r="AV904" i="64"/>
  <c r="AW904" i="64"/>
  <c r="AX904" i="64"/>
  <c r="AY904" i="64"/>
  <c r="AZ904" i="64"/>
  <c r="BA904" i="64"/>
  <c r="BB904" i="64"/>
  <c r="BC904" i="64"/>
  <c r="BD904" i="64"/>
  <c r="BE904" i="64"/>
  <c r="BF904" i="64"/>
  <c r="D905" i="64"/>
  <c r="E905" i="64"/>
  <c r="F905" i="64"/>
  <c r="G905" i="64"/>
  <c r="H905" i="64"/>
  <c r="I905" i="64"/>
  <c r="J905" i="64"/>
  <c r="K905" i="64"/>
  <c r="L905" i="64"/>
  <c r="M905" i="64"/>
  <c r="N905" i="64"/>
  <c r="O905" i="64"/>
  <c r="P905" i="64"/>
  <c r="Q905" i="64"/>
  <c r="R905" i="64"/>
  <c r="S905" i="64"/>
  <c r="T905" i="64"/>
  <c r="U905" i="64"/>
  <c r="V905" i="64"/>
  <c r="W905" i="64"/>
  <c r="X905" i="64"/>
  <c r="Y905" i="64"/>
  <c r="Z905" i="64"/>
  <c r="AA905" i="64"/>
  <c r="AB905" i="64"/>
  <c r="AC905" i="64"/>
  <c r="AD905" i="64"/>
  <c r="AE905" i="64"/>
  <c r="AF905" i="64"/>
  <c r="AG905" i="64"/>
  <c r="AH905" i="64"/>
  <c r="AI905" i="64"/>
  <c r="AJ905" i="64"/>
  <c r="AK905" i="64"/>
  <c r="AL905" i="64"/>
  <c r="AM905" i="64"/>
  <c r="AN905" i="64"/>
  <c r="AO905" i="64"/>
  <c r="AP905" i="64"/>
  <c r="AQ905" i="64"/>
  <c r="AR905" i="64"/>
  <c r="AS905" i="64"/>
  <c r="AT905" i="64"/>
  <c r="AU905" i="64"/>
  <c r="AV905" i="64"/>
  <c r="AW905" i="64"/>
  <c r="AX905" i="64"/>
  <c r="AY905" i="64"/>
  <c r="AZ905" i="64"/>
  <c r="BA905" i="64"/>
  <c r="BB905" i="64"/>
  <c r="BC905" i="64"/>
  <c r="BD905" i="64"/>
  <c r="BE905" i="64"/>
  <c r="BF905" i="64"/>
  <c r="D906" i="64"/>
  <c r="E906" i="64"/>
  <c r="F906" i="64"/>
  <c r="G906" i="64"/>
  <c r="H906" i="64"/>
  <c r="I906" i="64"/>
  <c r="J906" i="64"/>
  <c r="K906" i="64"/>
  <c r="L906" i="64"/>
  <c r="M906" i="64"/>
  <c r="N906" i="64"/>
  <c r="O906" i="64"/>
  <c r="P906" i="64"/>
  <c r="Q906" i="64"/>
  <c r="R906" i="64"/>
  <c r="S906" i="64"/>
  <c r="T906" i="64"/>
  <c r="U906" i="64"/>
  <c r="V906" i="64"/>
  <c r="W906" i="64"/>
  <c r="X906" i="64"/>
  <c r="Y906" i="64"/>
  <c r="Z906" i="64"/>
  <c r="AA906" i="64"/>
  <c r="AB906" i="64"/>
  <c r="AC906" i="64"/>
  <c r="AD906" i="64"/>
  <c r="AE906" i="64"/>
  <c r="AF906" i="64"/>
  <c r="AG906" i="64"/>
  <c r="AH906" i="64"/>
  <c r="AI906" i="64"/>
  <c r="AJ906" i="64"/>
  <c r="AK906" i="64"/>
  <c r="AL906" i="64"/>
  <c r="AM906" i="64"/>
  <c r="AN906" i="64"/>
  <c r="AO906" i="64"/>
  <c r="AP906" i="64"/>
  <c r="AQ906" i="64"/>
  <c r="AR906" i="64"/>
  <c r="AS906" i="64"/>
  <c r="AT906" i="64"/>
  <c r="AU906" i="64"/>
  <c r="AV906" i="64"/>
  <c r="AW906" i="64"/>
  <c r="AX906" i="64"/>
  <c r="AY906" i="64"/>
  <c r="AZ906" i="64"/>
  <c r="BA906" i="64"/>
  <c r="BB906" i="64"/>
  <c r="BC906" i="64"/>
  <c r="BD906" i="64"/>
  <c r="BE906" i="64"/>
  <c r="BF906" i="64"/>
  <c r="D907" i="64"/>
  <c r="E907" i="64"/>
  <c r="F907" i="64"/>
  <c r="G907" i="64"/>
  <c r="H907" i="64"/>
  <c r="I907" i="64"/>
  <c r="J907" i="64"/>
  <c r="K907" i="64"/>
  <c r="L907" i="64"/>
  <c r="M907" i="64"/>
  <c r="N907" i="64"/>
  <c r="O907" i="64"/>
  <c r="P907" i="64"/>
  <c r="Q907" i="64"/>
  <c r="R907" i="64"/>
  <c r="S907" i="64"/>
  <c r="T907" i="64"/>
  <c r="U907" i="64"/>
  <c r="V907" i="64"/>
  <c r="W907" i="64"/>
  <c r="X907" i="64"/>
  <c r="Y907" i="64"/>
  <c r="Z907" i="64"/>
  <c r="AA907" i="64"/>
  <c r="AB907" i="64"/>
  <c r="AC907" i="64"/>
  <c r="AD907" i="64"/>
  <c r="AE907" i="64"/>
  <c r="AF907" i="64"/>
  <c r="AG907" i="64"/>
  <c r="AH907" i="64"/>
  <c r="AI907" i="64"/>
  <c r="AJ907" i="64"/>
  <c r="AK907" i="64"/>
  <c r="AL907" i="64"/>
  <c r="AM907" i="64"/>
  <c r="AN907" i="64"/>
  <c r="AO907" i="64"/>
  <c r="AP907" i="64"/>
  <c r="AQ907" i="64"/>
  <c r="AR907" i="64"/>
  <c r="AS907" i="64"/>
  <c r="AT907" i="64"/>
  <c r="AU907" i="64"/>
  <c r="AV907" i="64"/>
  <c r="AW907" i="64"/>
  <c r="AX907" i="64"/>
  <c r="AY907" i="64"/>
  <c r="AZ907" i="64"/>
  <c r="BA907" i="64"/>
  <c r="BB907" i="64"/>
  <c r="BC907" i="64"/>
  <c r="BD907" i="64"/>
  <c r="BE907" i="64"/>
  <c r="BF907" i="64"/>
  <c r="D908" i="64"/>
  <c r="E908" i="64"/>
  <c r="F908" i="64"/>
  <c r="G908" i="64"/>
  <c r="H908" i="64"/>
  <c r="I908" i="64"/>
  <c r="J908" i="64"/>
  <c r="K908" i="64"/>
  <c r="L908" i="64"/>
  <c r="M908" i="64"/>
  <c r="N908" i="64"/>
  <c r="O908" i="64"/>
  <c r="P908" i="64"/>
  <c r="Q908" i="64"/>
  <c r="R908" i="64"/>
  <c r="S908" i="64"/>
  <c r="T908" i="64"/>
  <c r="U908" i="64"/>
  <c r="V908" i="64"/>
  <c r="W908" i="64"/>
  <c r="X908" i="64"/>
  <c r="Y908" i="64"/>
  <c r="Z908" i="64"/>
  <c r="AA908" i="64"/>
  <c r="AB908" i="64"/>
  <c r="AC908" i="64"/>
  <c r="AD908" i="64"/>
  <c r="AE908" i="64"/>
  <c r="AF908" i="64"/>
  <c r="AG908" i="64"/>
  <c r="AH908" i="64"/>
  <c r="AI908" i="64"/>
  <c r="AJ908" i="64"/>
  <c r="AK908" i="64"/>
  <c r="AL908" i="64"/>
  <c r="AM908" i="64"/>
  <c r="AN908" i="64"/>
  <c r="AO908" i="64"/>
  <c r="AP908" i="64"/>
  <c r="AQ908" i="64"/>
  <c r="AR908" i="64"/>
  <c r="AS908" i="64"/>
  <c r="AT908" i="64"/>
  <c r="AU908" i="64"/>
  <c r="AV908" i="64"/>
  <c r="AW908" i="64"/>
  <c r="AX908" i="64"/>
  <c r="AY908" i="64"/>
  <c r="AZ908" i="64"/>
  <c r="BA908" i="64"/>
  <c r="BB908" i="64"/>
  <c r="BC908" i="64"/>
  <c r="BD908" i="64"/>
  <c r="BE908" i="64"/>
  <c r="BF908" i="64"/>
  <c r="D909" i="64"/>
  <c r="E909" i="64"/>
  <c r="F909" i="64"/>
  <c r="G909" i="64"/>
  <c r="H909" i="64"/>
  <c r="I909" i="64"/>
  <c r="J909" i="64"/>
  <c r="K909" i="64"/>
  <c r="L909" i="64"/>
  <c r="M909" i="64"/>
  <c r="N909" i="64"/>
  <c r="O909" i="64"/>
  <c r="P909" i="64"/>
  <c r="Q909" i="64"/>
  <c r="R909" i="64"/>
  <c r="S909" i="64"/>
  <c r="T909" i="64"/>
  <c r="U909" i="64"/>
  <c r="V909" i="64"/>
  <c r="W909" i="64"/>
  <c r="X909" i="64"/>
  <c r="Y909" i="64"/>
  <c r="Z909" i="64"/>
  <c r="AA909" i="64"/>
  <c r="AB909" i="64"/>
  <c r="AC909" i="64"/>
  <c r="AD909" i="64"/>
  <c r="AE909" i="64"/>
  <c r="AF909" i="64"/>
  <c r="AG909" i="64"/>
  <c r="AH909" i="64"/>
  <c r="AI909" i="64"/>
  <c r="AJ909" i="64"/>
  <c r="AK909" i="64"/>
  <c r="AL909" i="64"/>
  <c r="AM909" i="64"/>
  <c r="AN909" i="64"/>
  <c r="AO909" i="64"/>
  <c r="AP909" i="64"/>
  <c r="AQ909" i="64"/>
  <c r="AR909" i="64"/>
  <c r="AS909" i="64"/>
  <c r="AT909" i="64"/>
  <c r="AU909" i="64"/>
  <c r="AV909" i="64"/>
  <c r="AW909" i="64"/>
  <c r="AX909" i="64"/>
  <c r="AY909" i="64"/>
  <c r="AZ909" i="64"/>
  <c r="BA909" i="64"/>
  <c r="BB909" i="64"/>
  <c r="BC909" i="64"/>
  <c r="BD909" i="64"/>
  <c r="BE909" i="64"/>
  <c r="BF909" i="64"/>
  <c r="D910" i="64"/>
  <c r="E910" i="64"/>
  <c r="F910" i="64"/>
  <c r="G910" i="64"/>
  <c r="H910" i="64"/>
  <c r="I910" i="64"/>
  <c r="J910" i="64"/>
  <c r="K910" i="64"/>
  <c r="L910" i="64"/>
  <c r="M910" i="64"/>
  <c r="N910" i="64"/>
  <c r="O910" i="64"/>
  <c r="P910" i="64"/>
  <c r="Q910" i="64"/>
  <c r="R910" i="64"/>
  <c r="S910" i="64"/>
  <c r="T910" i="64"/>
  <c r="U910" i="64"/>
  <c r="V910" i="64"/>
  <c r="W910" i="64"/>
  <c r="X910" i="64"/>
  <c r="Y910" i="64"/>
  <c r="Z910" i="64"/>
  <c r="AA910" i="64"/>
  <c r="AB910" i="64"/>
  <c r="AC910" i="64"/>
  <c r="AD910" i="64"/>
  <c r="AE910" i="64"/>
  <c r="AF910" i="64"/>
  <c r="AG910" i="64"/>
  <c r="AH910" i="64"/>
  <c r="AI910" i="64"/>
  <c r="AJ910" i="64"/>
  <c r="AK910" i="64"/>
  <c r="AL910" i="64"/>
  <c r="AM910" i="64"/>
  <c r="AN910" i="64"/>
  <c r="AO910" i="64"/>
  <c r="AP910" i="64"/>
  <c r="AQ910" i="64"/>
  <c r="AR910" i="64"/>
  <c r="AS910" i="64"/>
  <c r="AT910" i="64"/>
  <c r="AU910" i="64"/>
  <c r="AV910" i="64"/>
  <c r="AW910" i="64"/>
  <c r="AX910" i="64"/>
  <c r="AY910" i="64"/>
  <c r="AZ910" i="64"/>
  <c r="BA910" i="64"/>
  <c r="BB910" i="64"/>
  <c r="BC910" i="64"/>
  <c r="BD910" i="64"/>
  <c r="BE910" i="64"/>
  <c r="BF910" i="64"/>
  <c r="D911" i="64"/>
  <c r="E911" i="64"/>
  <c r="F911" i="64"/>
  <c r="G911" i="64"/>
  <c r="H911" i="64"/>
  <c r="I911" i="64"/>
  <c r="J911" i="64"/>
  <c r="K911" i="64"/>
  <c r="L911" i="64"/>
  <c r="M911" i="64"/>
  <c r="N911" i="64"/>
  <c r="O911" i="64"/>
  <c r="P911" i="64"/>
  <c r="Q911" i="64"/>
  <c r="R911" i="64"/>
  <c r="S911" i="64"/>
  <c r="T911" i="64"/>
  <c r="U911" i="64"/>
  <c r="V911" i="64"/>
  <c r="W911" i="64"/>
  <c r="X911" i="64"/>
  <c r="Y911" i="64"/>
  <c r="Z911" i="64"/>
  <c r="AA911" i="64"/>
  <c r="AB911" i="64"/>
  <c r="AC911" i="64"/>
  <c r="AD911" i="64"/>
  <c r="AE911" i="64"/>
  <c r="AF911" i="64"/>
  <c r="AG911" i="64"/>
  <c r="AH911" i="64"/>
  <c r="AI911" i="64"/>
  <c r="AJ911" i="64"/>
  <c r="AK911" i="64"/>
  <c r="AL911" i="64"/>
  <c r="AM911" i="64"/>
  <c r="AN911" i="64"/>
  <c r="AO911" i="64"/>
  <c r="AP911" i="64"/>
  <c r="AQ911" i="64"/>
  <c r="AR911" i="64"/>
  <c r="AS911" i="64"/>
  <c r="AT911" i="64"/>
  <c r="AU911" i="64"/>
  <c r="AV911" i="64"/>
  <c r="AW911" i="64"/>
  <c r="AX911" i="64"/>
  <c r="AY911" i="64"/>
  <c r="AZ911" i="64"/>
  <c r="BA911" i="64"/>
  <c r="BB911" i="64"/>
  <c r="BC911" i="64"/>
  <c r="BD911" i="64"/>
  <c r="BE911" i="64"/>
  <c r="BF911" i="64"/>
  <c r="D912" i="64"/>
  <c r="E912" i="64"/>
  <c r="F912" i="64"/>
  <c r="G912" i="64"/>
  <c r="H912" i="64"/>
  <c r="I912" i="64"/>
  <c r="J912" i="64"/>
  <c r="K912" i="64"/>
  <c r="L912" i="64"/>
  <c r="M912" i="64"/>
  <c r="N912" i="64"/>
  <c r="O912" i="64"/>
  <c r="P912" i="64"/>
  <c r="Q912" i="64"/>
  <c r="R912" i="64"/>
  <c r="S912" i="64"/>
  <c r="T912" i="64"/>
  <c r="U912" i="64"/>
  <c r="V912" i="64"/>
  <c r="W912" i="64"/>
  <c r="X912" i="64"/>
  <c r="Y912" i="64"/>
  <c r="Z912" i="64"/>
  <c r="AA912" i="64"/>
  <c r="AB912" i="64"/>
  <c r="AC912" i="64"/>
  <c r="AD912" i="64"/>
  <c r="AE912" i="64"/>
  <c r="AF912" i="64"/>
  <c r="AG912" i="64"/>
  <c r="AH912" i="64"/>
  <c r="AI912" i="64"/>
  <c r="AJ912" i="64"/>
  <c r="AK912" i="64"/>
  <c r="AL912" i="64"/>
  <c r="AM912" i="64"/>
  <c r="AN912" i="64"/>
  <c r="AO912" i="64"/>
  <c r="AP912" i="64"/>
  <c r="AQ912" i="64"/>
  <c r="AR912" i="64"/>
  <c r="AS912" i="64"/>
  <c r="AT912" i="64"/>
  <c r="AU912" i="64"/>
  <c r="AV912" i="64"/>
  <c r="AW912" i="64"/>
  <c r="AX912" i="64"/>
  <c r="AY912" i="64"/>
  <c r="AZ912" i="64"/>
  <c r="BA912" i="64"/>
  <c r="BB912" i="64"/>
  <c r="BC912" i="64"/>
  <c r="BD912" i="64"/>
  <c r="BE912" i="64"/>
  <c r="BF912" i="64"/>
  <c r="D913" i="64"/>
  <c r="E913" i="64"/>
  <c r="F913" i="64"/>
  <c r="G913" i="64"/>
  <c r="H913" i="64"/>
  <c r="I913" i="64"/>
  <c r="J913" i="64"/>
  <c r="K913" i="64"/>
  <c r="L913" i="64"/>
  <c r="M913" i="64"/>
  <c r="N913" i="64"/>
  <c r="O913" i="64"/>
  <c r="P913" i="64"/>
  <c r="Q913" i="64"/>
  <c r="R913" i="64"/>
  <c r="S913" i="64"/>
  <c r="T913" i="64"/>
  <c r="U913" i="64"/>
  <c r="V913" i="64"/>
  <c r="W913" i="64"/>
  <c r="X913" i="64"/>
  <c r="Y913" i="64"/>
  <c r="Z913" i="64"/>
  <c r="AA913" i="64"/>
  <c r="AB913" i="64"/>
  <c r="AC913" i="64"/>
  <c r="AD913" i="64"/>
  <c r="AE913" i="64"/>
  <c r="AF913" i="64"/>
  <c r="AG913" i="64"/>
  <c r="AH913" i="64"/>
  <c r="AI913" i="64"/>
  <c r="AJ913" i="64"/>
  <c r="AK913" i="64"/>
  <c r="AL913" i="64"/>
  <c r="AM913" i="64"/>
  <c r="AN913" i="64"/>
  <c r="AO913" i="64"/>
  <c r="AP913" i="64"/>
  <c r="AQ913" i="64"/>
  <c r="AR913" i="64"/>
  <c r="AS913" i="64"/>
  <c r="AT913" i="64"/>
  <c r="AU913" i="64"/>
  <c r="AV913" i="64"/>
  <c r="AW913" i="64"/>
  <c r="AX913" i="64"/>
  <c r="AY913" i="64"/>
  <c r="AZ913" i="64"/>
  <c r="BA913" i="64"/>
  <c r="BB913" i="64"/>
  <c r="BC913" i="64"/>
  <c r="BD913" i="64"/>
  <c r="BE913" i="64"/>
  <c r="BF913" i="64"/>
  <c r="D914" i="64"/>
  <c r="E914" i="64"/>
  <c r="F914" i="64"/>
  <c r="G914" i="64"/>
  <c r="H914" i="64"/>
  <c r="I914" i="64"/>
  <c r="J914" i="64"/>
  <c r="K914" i="64"/>
  <c r="L914" i="64"/>
  <c r="M914" i="64"/>
  <c r="N914" i="64"/>
  <c r="O914" i="64"/>
  <c r="P914" i="64"/>
  <c r="Q914" i="64"/>
  <c r="R914" i="64"/>
  <c r="S914" i="64"/>
  <c r="T914" i="64"/>
  <c r="U914" i="64"/>
  <c r="V914" i="64"/>
  <c r="W914" i="64"/>
  <c r="X914" i="64"/>
  <c r="Y914" i="64"/>
  <c r="Z914" i="64"/>
  <c r="AA914" i="64"/>
  <c r="AB914" i="64"/>
  <c r="AC914" i="64"/>
  <c r="AD914" i="64"/>
  <c r="AE914" i="64"/>
  <c r="AF914" i="64"/>
  <c r="AG914" i="64"/>
  <c r="AH914" i="64"/>
  <c r="AI914" i="64"/>
  <c r="AJ914" i="64"/>
  <c r="AK914" i="64"/>
  <c r="AL914" i="64"/>
  <c r="AM914" i="64"/>
  <c r="AN914" i="64"/>
  <c r="AO914" i="64"/>
  <c r="AP914" i="64"/>
  <c r="AQ914" i="64"/>
  <c r="AR914" i="64"/>
  <c r="AS914" i="64"/>
  <c r="AT914" i="64"/>
  <c r="AU914" i="64"/>
  <c r="AV914" i="64"/>
  <c r="AW914" i="64"/>
  <c r="AX914" i="64"/>
  <c r="AY914" i="64"/>
  <c r="AZ914" i="64"/>
  <c r="BA914" i="64"/>
  <c r="BB914" i="64"/>
  <c r="BC914" i="64"/>
  <c r="BD914" i="64"/>
  <c r="BE914" i="64"/>
  <c r="BF914" i="64"/>
  <c r="D915" i="64"/>
  <c r="E915" i="64"/>
  <c r="F915" i="64"/>
  <c r="G915" i="64"/>
  <c r="H915" i="64"/>
  <c r="I915" i="64"/>
  <c r="J915" i="64"/>
  <c r="K915" i="64"/>
  <c r="L915" i="64"/>
  <c r="M915" i="64"/>
  <c r="N915" i="64"/>
  <c r="O915" i="64"/>
  <c r="P915" i="64"/>
  <c r="Q915" i="64"/>
  <c r="R915" i="64"/>
  <c r="S915" i="64"/>
  <c r="T915" i="64"/>
  <c r="U915" i="64"/>
  <c r="V915" i="64"/>
  <c r="W915" i="64"/>
  <c r="X915" i="64"/>
  <c r="Y915" i="64"/>
  <c r="Z915" i="64"/>
  <c r="AA915" i="64"/>
  <c r="AB915" i="64"/>
  <c r="AC915" i="64"/>
  <c r="AD915" i="64"/>
  <c r="AE915" i="64"/>
  <c r="AF915" i="64"/>
  <c r="AG915" i="64"/>
  <c r="AH915" i="64"/>
  <c r="AI915" i="64"/>
  <c r="AJ915" i="64"/>
  <c r="AK915" i="64"/>
  <c r="AL915" i="64"/>
  <c r="AM915" i="64"/>
  <c r="AN915" i="64"/>
  <c r="AO915" i="64"/>
  <c r="AP915" i="64"/>
  <c r="AQ915" i="64"/>
  <c r="AR915" i="64"/>
  <c r="AS915" i="64"/>
  <c r="AT915" i="64"/>
  <c r="AU915" i="64"/>
  <c r="AV915" i="64"/>
  <c r="AW915" i="64"/>
  <c r="AX915" i="64"/>
  <c r="AY915" i="64"/>
  <c r="AZ915" i="64"/>
  <c r="BA915" i="64"/>
  <c r="BB915" i="64"/>
  <c r="BC915" i="64"/>
  <c r="BD915" i="64"/>
  <c r="BE915" i="64"/>
  <c r="BF915" i="64"/>
  <c r="D916" i="64"/>
  <c r="E916" i="64"/>
  <c r="F916" i="64"/>
  <c r="G916" i="64"/>
  <c r="H916" i="64"/>
  <c r="I916" i="64"/>
  <c r="J916" i="64"/>
  <c r="K916" i="64"/>
  <c r="L916" i="64"/>
  <c r="M916" i="64"/>
  <c r="N916" i="64"/>
  <c r="O916" i="64"/>
  <c r="P916" i="64"/>
  <c r="Q916" i="64"/>
  <c r="R916" i="64"/>
  <c r="S916" i="64"/>
  <c r="T916" i="64"/>
  <c r="U916" i="64"/>
  <c r="V916" i="64"/>
  <c r="W916" i="64"/>
  <c r="X916" i="64"/>
  <c r="Y916" i="64"/>
  <c r="Z916" i="64"/>
  <c r="AA916" i="64"/>
  <c r="AB916" i="64"/>
  <c r="AC916" i="64"/>
  <c r="AD916" i="64"/>
  <c r="AE916" i="64"/>
  <c r="AF916" i="64"/>
  <c r="AG916" i="64"/>
  <c r="AH916" i="64"/>
  <c r="AI916" i="64"/>
  <c r="AJ916" i="64"/>
  <c r="AK916" i="64"/>
  <c r="AL916" i="64"/>
  <c r="AM916" i="64"/>
  <c r="AN916" i="64"/>
  <c r="AO916" i="64"/>
  <c r="AP916" i="64"/>
  <c r="AQ916" i="64"/>
  <c r="AR916" i="64"/>
  <c r="AS916" i="64"/>
  <c r="AT916" i="64"/>
  <c r="AU916" i="64"/>
  <c r="AV916" i="64"/>
  <c r="AW916" i="64"/>
  <c r="AX916" i="64"/>
  <c r="AY916" i="64"/>
  <c r="AZ916" i="64"/>
  <c r="BA916" i="64"/>
  <c r="BB916" i="64"/>
  <c r="BC916" i="64"/>
  <c r="BD916" i="64"/>
  <c r="BE916" i="64"/>
  <c r="BF916" i="64"/>
  <c r="D917" i="64"/>
  <c r="E917" i="64"/>
  <c r="F917" i="64"/>
  <c r="G917" i="64"/>
  <c r="H917" i="64"/>
  <c r="I917" i="64"/>
  <c r="J917" i="64"/>
  <c r="K917" i="64"/>
  <c r="L917" i="64"/>
  <c r="M917" i="64"/>
  <c r="N917" i="64"/>
  <c r="O917" i="64"/>
  <c r="P917" i="64"/>
  <c r="Q917" i="64"/>
  <c r="R917" i="64"/>
  <c r="S917" i="64"/>
  <c r="T917" i="64"/>
  <c r="U917" i="64"/>
  <c r="V917" i="64"/>
  <c r="W917" i="64"/>
  <c r="X917" i="64"/>
  <c r="Y917" i="64"/>
  <c r="Z917" i="64"/>
  <c r="AA917" i="64"/>
  <c r="AB917" i="64"/>
  <c r="AC917" i="64"/>
  <c r="AD917" i="64"/>
  <c r="AE917" i="64"/>
  <c r="AF917" i="64"/>
  <c r="AG917" i="64"/>
  <c r="AH917" i="64"/>
  <c r="AI917" i="64"/>
  <c r="AJ917" i="64"/>
  <c r="AK917" i="64"/>
  <c r="AL917" i="64"/>
  <c r="AM917" i="64"/>
  <c r="AN917" i="64"/>
  <c r="AO917" i="64"/>
  <c r="AP917" i="64"/>
  <c r="AQ917" i="64"/>
  <c r="AQ924" i="64" s="1"/>
  <c r="AR917" i="64"/>
  <c r="AS917" i="64"/>
  <c r="AT917" i="64"/>
  <c r="AU917" i="64"/>
  <c r="AV917" i="64"/>
  <c r="AW917" i="64"/>
  <c r="AX917" i="64"/>
  <c r="AY917" i="64"/>
  <c r="AZ917" i="64"/>
  <c r="BA917" i="64"/>
  <c r="BB917" i="64"/>
  <c r="BC917" i="64"/>
  <c r="BD917" i="64"/>
  <c r="BE917" i="64"/>
  <c r="BF917" i="64"/>
  <c r="D918" i="64"/>
  <c r="E918" i="64"/>
  <c r="F918" i="64"/>
  <c r="G918" i="64"/>
  <c r="H918" i="64"/>
  <c r="I918" i="64"/>
  <c r="J918" i="64"/>
  <c r="K918" i="64"/>
  <c r="L918" i="64"/>
  <c r="M918" i="64"/>
  <c r="N918" i="64"/>
  <c r="O918" i="64"/>
  <c r="P918" i="64"/>
  <c r="Q918" i="64"/>
  <c r="R918" i="64"/>
  <c r="S918" i="64"/>
  <c r="T918" i="64"/>
  <c r="U918" i="64"/>
  <c r="V918" i="64"/>
  <c r="W918" i="64"/>
  <c r="X918" i="64"/>
  <c r="Y918" i="64"/>
  <c r="Z918" i="64"/>
  <c r="AA918" i="64"/>
  <c r="AB918" i="64"/>
  <c r="AC918" i="64"/>
  <c r="AD918" i="64"/>
  <c r="AE918" i="64"/>
  <c r="AF918" i="64"/>
  <c r="AG918" i="64"/>
  <c r="AH918" i="64"/>
  <c r="AI918" i="64"/>
  <c r="AJ918" i="64"/>
  <c r="AK918" i="64"/>
  <c r="AL918" i="64"/>
  <c r="AM918" i="64"/>
  <c r="AN918" i="64"/>
  <c r="AO918" i="64"/>
  <c r="AP918" i="64"/>
  <c r="AQ918" i="64"/>
  <c r="AR918" i="64"/>
  <c r="AS918" i="64"/>
  <c r="AT918" i="64"/>
  <c r="AU918" i="64"/>
  <c r="AV918" i="64"/>
  <c r="AW918" i="64"/>
  <c r="AX918" i="64"/>
  <c r="AY918" i="64"/>
  <c r="AZ918" i="64"/>
  <c r="BA918" i="64"/>
  <c r="BB918" i="64"/>
  <c r="BC918" i="64"/>
  <c r="BD918" i="64"/>
  <c r="BE918" i="64"/>
  <c r="BF918" i="64"/>
  <c r="D919" i="64"/>
  <c r="E919" i="64"/>
  <c r="F919" i="64"/>
  <c r="G919" i="64"/>
  <c r="H919" i="64"/>
  <c r="I919" i="64"/>
  <c r="J919" i="64"/>
  <c r="K919" i="64"/>
  <c r="K924" i="64" s="1"/>
  <c r="L919" i="64"/>
  <c r="M919" i="64"/>
  <c r="N919" i="64"/>
  <c r="O919" i="64"/>
  <c r="P919" i="64"/>
  <c r="Q919" i="64"/>
  <c r="R919" i="64"/>
  <c r="S919" i="64"/>
  <c r="T919" i="64"/>
  <c r="U919" i="64"/>
  <c r="V919" i="64"/>
  <c r="W919" i="64"/>
  <c r="X919" i="64"/>
  <c r="Y919" i="64"/>
  <c r="Z919" i="64"/>
  <c r="AA919" i="64"/>
  <c r="AA924" i="64" s="1"/>
  <c r="AB919" i="64"/>
  <c r="AC919" i="64"/>
  <c r="AD919" i="64"/>
  <c r="AE919" i="64"/>
  <c r="AF919" i="64"/>
  <c r="AG919" i="64"/>
  <c r="AH919" i="64"/>
  <c r="AI919" i="64"/>
  <c r="AJ919" i="64"/>
  <c r="AK919" i="64"/>
  <c r="AL919" i="64"/>
  <c r="AM919" i="64"/>
  <c r="AN919" i="64"/>
  <c r="AO919" i="64"/>
  <c r="AP919" i="64"/>
  <c r="AQ919" i="64"/>
  <c r="AR919" i="64"/>
  <c r="AS919" i="64"/>
  <c r="AT919" i="64"/>
  <c r="AU919" i="64"/>
  <c r="AV919" i="64"/>
  <c r="AW919" i="64"/>
  <c r="AX919" i="64"/>
  <c r="AY919" i="64"/>
  <c r="AZ919" i="64"/>
  <c r="BA919" i="64"/>
  <c r="BB919" i="64"/>
  <c r="BC919" i="64"/>
  <c r="BD919" i="64"/>
  <c r="BE919" i="64"/>
  <c r="BF919" i="64"/>
  <c r="D920" i="64"/>
  <c r="E920" i="64"/>
  <c r="F920" i="64"/>
  <c r="G920" i="64"/>
  <c r="H920" i="64"/>
  <c r="I920" i="64"/>
  <c r="J920" i="64"/>
  <c r="K920" i="64"/>
  <c r="L920" i="64"/>
  <c r="M920" i="64"/>
  <c r="N920" i="64"/>
  <c r="O920" i="64"/>
  <c r="P920" i="64"/>
  <c r="Q920" i="64"/>
  <c r="R920" i="64"/>
  <c r="S920" i="64"/>
  <c r="T920" i="64"/>
  <c r="U920" i="64"/>
  <c r="V920" i="64"/>
  <c r="W920" i="64"/>
  <c r="X920" i="64"/>
  <c r="Y920" i="64"/>
  <c r="Z920" i="64"/>
  <c r="AA920" i="64"/>
  <c r="AB920" i="64"/>
  <c r="AC920" i="64"/>
  <c r="AD920" i="64"/>
  <c r="AE920" i="64"/>
  <c r="AF920" i="64"/>
  <c r="AG920" i="64"/>
  <c r="AH920" i="64"/>
  <c r="AI920" i="64"/>
  <c r="AJ920" i="64"/>
  <c r="AK920" i="64"/>
  <c r="AL920" i="64"/>
  <c r="AM920" i="64"/>
  <c r="AN920" i="64"/>
  <c r="AO920" i="64"/>
  <c r="AP920" i="64"/>
  <c r="AQ920" i="64"/>
  <c r="AR920" i="64"/>
  <c r="AS920" i="64"/>
  <c r="AT920" i="64"/>
  <c r="AU920" i="64"/>
  <c r="AV920" i="64"/>
  <c r="AW920" i="64"/>
  <c r="AX920" i="64"/>
  <c r="AY920" i="64"/>
  <c r="AZ920" i="64"/>
  <c r="BA920" i="64"/>
  <c r="BB920" i="64"/>
  <c r="BC920" i="64"/>
  <c r="BD920" i="64"/>
  <c r="BE920" i="64"/>
  <c r="BF920" i="64"/>
  <c r="D921" i="64"/>
  <c r="E921" i="64"/>
  <c r="F921" i="64"/>
  <c r="G921" i="64"/>
  <c r="H921" i="64"/>
  <c r="I921" i="64"/>
  <c r="J921" i="64"/>
  <c r="K921" i="64"/>
  <c r="L921" i="64"/>
  <c r="M921" i="64"/>
  <c r="N921" i="64"/>
  <c r="O921" i="64"/>
  <c r="P921" i="64"/>
  <c r="Q921" i="64"/>
  <c r="R921" i="64"/>
  <c r="S921" i="64"/>
  <c r="T921" i="64"/>
  <c r="U921" i="64"/>
  <c r="V921" i="64"/>
  <c r="W921" i="64"/>
  <c r="X921" i="64"/>
  <c r="Y921" i="64"/>
  <c r="Z921" i="64"/>
  <c r="AA921" i="64"/>
  <c r="AB921" i="64"/>
  <c r="AC921" i="64"/>
  <c r="AD921" i="64"/>
  <c r="AE921" i="64"/>
  <c r="AF921" i="64"/>
  <c r="AG921" i="64"/>
  <c r="AH921" i="64"/>
  <c r="AI921" i="64"/>
  <c r="AJ921" i="64"/>
  <c r="AK921" i="64"/>
  <c r="AL921" i="64"/>
  <c r="AM921" i="64"/>
  <c r="AN921" i="64"/>
  <c r="AO921" i="64"/>
  <c r="AP921" i="64"/>
  <c r="AQ921" i="64"/>
  <c r="AR921" i="64"/>
  <c r="AS921" i="64"/>
  <c r="AT921" i="64"/>
  <c r="AU921" i="64"/>
  <c r="AV921" i="64"/>
  <c r="AW921" i="64"/>
  <c r="AX921" i="64"/>
  <c r="AY921" i="64"/>
  <c r="AZ921" i="64"/>
  <c r="BA921" i="64"/>
  <c r="BB921" i="64"/>
  <c r="BC921" i="64"/>
  <c r="BD921" i="64"/>
  <c r="BE921" i="64"/>
  <c r="BF921" i="64"/>
  <c r="D922" i="64"/>
  <c r="E922" i="64"/>
  <c r="F922" i="64"/>
  <c r="G922" i="64"/>
  <c r="H922" i="64"/>
  <c r="I922" i="64"/>
  <c r="J922" i="64"/>
  <c r="K922" i="64"/>
  <c r="L922" i="64"/>
  <c r="M922" i="64"/>
  <c r="N922" i="64"/>
  <c r="O922" i="64"/>
  <c r="P922" i="64"/>
  <c r="Q922" i="64"/>
  <c r="R922" i="64"/>
  <c r="S922" i="64"/>
  <c r="T922" i="64"/>
  <c r="U922" i="64"/>
  <c r="V922" i="64"/>
  <c r="W922" i="64"/>
  <c r="X922" i="64"/>
  <c r="Y922" i="64"/>
  <c r="Z922" i="64"/>
  <c r="AA922" i="64"/>
  <c r="AB922" i="64"/>
  <c r="AC922" i="64"/>
  <c r="AD922" i="64"/>
  <c r="AE922" i="64"/>
  <c r="AF922" i="64"/>
  <c r="AG922" i="64"/>
  <c r="AH922" i="64"/>
  <c r="AI922" i="64"/>
  <c r="AJ922" i="64"/>
  <c r="AK922" i="64"/>
  <c r="AL922" i="64"/>
  <c r="AM922" i="64"/>
  <c r="AN922" i="64"/>
  <c r="AO922" i="64"/>
  <c r="AP922" i="64"/>
  <c r="AQ922" i="64"/>
  <c r="AR922" i="64"/>
  <c r="AS922" i="64"/>
  <c r="AT922" i="64"/>
  <c r="AU922" i="64"/>
  <c r="AV922" i="64"/>
  <c r="AW922" i="64"/>
  <c r="AX922" i="64"/>
  <c r="AY922" i="64"/>
  <c r="AZ922" i="64"/>
  <c r="BA922" i="64"/>
  <c r="BB922" i="64"/>
  <c r="BC922" i="64"/>
  <c r="BD922" i="64"/>
  <c r="BE922" i="64"/>
  <c r="BF922" i="64"/>
  <c r="S924" i="64"/>
  <c r="AI924" i="64"/>
  <c r="AY924" i="64"/>
  <c r="C894" i="64"/>
  <c r="C895" i="64"/>
  <c r="C896" i="64"/>
  <c r="C897" i="64"/>
  <c r="C898" i="64"/>
  <c r="C899" i="64"/>
  <c r="C900" i="64"/>
  <c r="C901" i="64"/>
  <c r="C902" i="64"/>
  <c r="C903" i="64"/>
  <c r="C904" i="64"/>
  <c r="C905" i="64"/>
  <c r="C906" i="64"/>
  <c r="C907" i="64"/>
  <c r="C908" i="64"/>
  <c r="C909" i="64"/>
  <c r="C910" i="64"/>
  <c r="C911" i="64"/>
  <c r="C912" i="64"/>
  <c r="C913" i="64"/>
  <c r="C914" i="64"/>
  <c r="C915" i="64"/>
  <c r="C916" i="64"/>
  <c r="C917" i="64"/>
  <c r="C918" i="64"/>
  <c r="C919" i="64"/>
  <c r="C920" i="64"/>
  <c r="C921" i="64"/>
  <c r="C922" i="64"/>
  <c r="C893" i="64"/>
  <c r="D254" i="64"/>
  <c r="E254" i="64"/>
  <c r="F254" i="64"/>
  <c r="G254" i="64"/>
  <c r="H254" i="64"/>
  <c r="I254" i="64"/>
  <c r="J254" i="64"/>
  <c r="K254" i="64"/>
  <c r="L254" i="64"/>
  <c r="M254" i="64"/>
  <c r="N254" i="64"/>
  <c r="O254" i="64"/>
  <c r="P254" i="64"/>
  <c r="Q254" i="64"/>
  <c r="R254" i="64"/>
  <c r="S254" i="64"/>
  <c r="T254" i="64"/>
  <c r="U254" i="64"/>
  <c r="V254" i="64"/>
  <c r="W254" i="64"/>
  <c r="X254" i="64"/>
  <c r="Y254" i="64"/>
  <c r="Z254" i="64"/>
  <c r="AA254" i="64"/>
  <c r="AB254" i="64"/>
  <c r="AC254" i="64"/>
  <c r="AD254" i="64"/>
  <c r="AE254" i="64"/>
  <c r="AF254" i="64"/>
  <c r="AG254" i="64"/>
  <c r="AH254" i="64"/>
  <c r="AI254" i="64"/>
  <c r="AJ254" i="64"/>
  <c r="AK254" i="64"/>
  <c r="AL254" i="64"/>
  <c r="AM254" i="64"/>
  <c r="AN254" i="64"/>
  <c r="AO254" i="64"/>
  <c r="AP254" i="64"/>
  <c r="AQ254" i="64"/>
  <c r="AR254" i="64"/>
  <c r="AS254" i="64"/>
  <c r="AT254" i="64"/>
  <c r="AU254" i="64"/>
  <c r="AV254" i="64"/>
  <c r="AW254" i="64"/>
  <c r="AX254" i="64"/>
  <c r="AY254" i="64"/>
  <c r="AZ254" i="64"/>
  <c r="BA254" i="64"/>
  <c r="BB254" i="64"/>
  <c r="BC254" i="64"/>
  <c r="BD254" i="64"/>
  <c r="BE254" i="64"/>
  <c r="BF254" i="64"/>
  <c r="D256" i="64"/>
  <c r="E256" i="64"/>
  <c r="F256" i="64"/>
  <c r="G256" i="64"/>
  <c r="H256" i="64"/>
  <c r="I256" i="64"/>
  <c r="J256" i="64"/>
  <c r="K256" i="64"/>
  <c r="L256" i="64"/>
  <c r="M256" i="64"/>
  <c r="N256" i="64"/>
  <c r="O256" i="64"/>
  <c r="P256" i="64"/>
  <c r="Q256" i="64"/>
  <c r="R256" i="64"/>
  <c r="S256" i="64"/>
  <c r="T256" i="64"/>
  <c r="U256" i="64"/>
  <c r="V256" i="64"/>
  <c r="W256" i="64"/>
  <c r="X256" i="64"/>
  <c r="Y256" i="64"/>
  <c r="Z256" i="64"/>
  <c r="AA256" i="64"/>
  <c r="AB256" i="64"/>
  <c r="AC256" i="64"/>
  <c r="AD256" i="64"/>
  <c r="AE256" i="64"/>
  <c r="AF256" i="64"/>
  <c r="AG256" i="64"/>
  <c r="AH256" i="64"/>
  <c r="AI256" i="64"/>
  <c r="AJ256" i="64"/>
  <c r="AK256" i="64"/>
  <c r="AL256" i="64"/>
  <c r="AM256" i="64"/>
  <c r="AN256" i="64"/>
  <c r="AO256" i="64"/>
  <c r="AP256" i="64"/>
  <c r="AQ256" i="64"/>
  <c r="AR256" i="64"/>
  <c r="AS256" i="64"/>
  <c r="AT256" i="64"/>
  <c r="AU256" i="64"/>
  <c r="AV256" i="64"/>
  <c r="AW256" i="64"/>
  <c r="AX256" i="64"/>
  <c r="AY256" i="64"/>
  <c r="AZ256" i="64"/>
  <c r="BA256" i="64"/>
  <c r="BB256" i="64"/>
  <c r="BC256" i="64"/>
  <c r="BD256" i="64"/>
  <c r="BE256" i="64"/>
  <c r="BF256" i="64"/>
  <c r="D258" i="64"/>
  <c r="E258" i="64"/>
  <c r="F258" i="64"/>
  <c r="G258" i="64"/>
  <c r="H258" i="64"/>
  <c r="I258" i="64"/>
  <c r="J258" i="64"/>
  <c r="K258" i="64"/>
  <c r="L258" i="64"/>
  <c r="M258" i="64"/>
  <c r="N258" i="64"/>
  <c r="O258" i="64"/>
  <c r="P258" i="64"/>
  <c r="Q258" i="64"/>
  <c r="R258" i="64"/>
  <c r="S258" i="64"/>
  <c r="T258" i="64"/>
  <c r="U258" i="64"/>
  <c r="V258" i="64"/>
  <c r="W258" i="64"/>
  <c r="X258" i="64"/>
  <c r="Y258" i="64"/>
  <c r="Z258" i="64"/>
  <c r="AA258" i="64"/>
  <c r="AB258" i="64"/>
  <c r="AC258" i="64"/>
  <c r="AD258" i="64"/>
  <c r="AE258" i="64"/>
  <c r="AF258" i="64"/>
  <c r="AG258" i="64"/>
  <c r="AH258" i="64"/>
  <c r="AI258" i="64"/>
  <c r="AJ258" i="64"/>
  <c r="AK258" i="64"/>
  <c r="AL258" i="64"/>
  <c r="AM258" i="64"/>
  <c r="AN258" i="64"/>
  <c r="AO258" i="64"/>
  <c r="AP258" i="64"/>
  <c r="AQ258" i="64"/>
  <c r="AR258" i="64"/>
  <c r="AS258" i="64"/>
  <c r="AT258" i="64"/>
  <c r="AU258" i="64"/>
  <c r="AV258" i="64"/>
  <c r="AW258" i="64"/>
  <c r="AX258" i="64"/>
  <c r="AY258" i="64"/>
  <c r="AZ258" i="64"/>
  <c r="BA258" i="64"/>
  <c r="BB258" i="64"/>
  <c r="BC258" i="64"/>
  <c r="BD258" i="64"/>
  <c r="BE258" i="64"/>
  <c r="BF258" i="64"/>
  <c r="C258" i="64"/>
  <c r="C256" i="64"/>
  <c r="C254" i="64"/>
  <c r="D217" i="64"/>
  <c r="E217" i="64"/>
  <c r="F217" i="64"/>
  <c r="G217" i="64"/>
  <c r="H217" i="64"/>
  <c r="I217" i="64"/>
  <c r="J217" i="64"/>
  <c r="K217" i="64"/>
  <c r="L217" i="64"/>
  <c r="M217" i="64"/>
  <c r="N217" i="64"/>
  <c r="O217" i="64"/>
  <c r="P217" i="64"/>
  <c r="Q217" i="64"/>
  <c r="R217" i="64"/>
  <c r="S217" i="64"/>
  <c r="T217" i="64"/>
  <c r="U217" i="64"/>
  <c r="V217" i="64"/>
  <c r="W217" i="64"/>
  <c r="X217" i="64"/>
  <c r="Y217" i="64"/>
  <c r="Z217" i="64"/>
  <c r="AA217" i="64"/>
  <c r="AB217" i="64"/>
  <c r="AC217" i="64"/>
  <c r="AD217" i="64"/>
  <c r="AE217" i="64"/>
  <c r="AF217" i="64"/>
  <c r="AG217" i="64"/>
  <c r="AH217" i="64"/>
  <c r="AI217" i="64"/>
  <c r="AJ217" i="64"/>
  <c r="AK217" i="64"/>
  <c r="AL217" i="64"/>
  <c r="AM217" i="64"/>
  <c r="AN217" i="64"/>
  <c r="AO217" i="64"/>
  <c r="AP217" i="64"/>
  <c r="AQ217" i="64"/>
  <c r="AR217" i="64"/>
  <c r="AS217" i="64"/>
  <c r="AT217" i="64"/>
  <c r="AU217" i="64"/>
  <c r="AV217" i="64"/>
  <c r="AW217" i="64"/>
  <c r="AX217" i="64"/>
  <c r="AY217" i="64"/>
  <c r="AZ217" i="64"/>
  <c r="BA217" i="64"/>
  <c r="BB217" i="64"/>
  <c r="BC217" i="64"/>
  <c r="BD217" i="64"/>
  <c r="BE217" i="64"/>
  <c r="BF217" i="64"/>
  <c r="D219" i="64"/>
  <c r="E219" i="64"/>
  <c r="F219" i="64"/>
  <c r="G219" i="64"/>
  <c r="H219" i="64"/>
  <c r="I219" i="64"/>
  <c r="J219" i="64"/>
  <c r="K219" i="64"/>
  <c r="L219" i="64"/>
  <c r="M219" i="64"/>
  <c r="N219" i="64"/>
  <c r="O219" i="64"/>
  <c r="P219" i="64"/>
  <c r="Q219" i="64"/>
  <c r="R219" i="64"/>
  <c r="S219" i="64"/>
  <c r="T219" i="64"/>
  <c r="U219" i="64"/>
  <c r="V219" i="64"/>
  <c r="W219" i="64"/>
  <c r="X219" i="64"/>
  <c r="Y219" i="64"/>
  <c r="Z219" i="64"/>
  <c r="AA219" i="64"/>
  <c r="AB219" i="64"/>
  <c r="AC219" i="64"/>
  <c r="AD219" i="64"/>
  <c r="AE219" i="64"/>
  <c r="AF219" i="64"/>
  <c r="AG219" i="64"/>
  <c r="AH219" i="64"/>
  <c r="AI219" i="64"/>
  <c r="AJ219" i="64"/>
  <c r="AK219" i="64"/>
  <c r="AL219" i="64"/>
  <c r="AM219" i="64"/>
  <c r="AN219" i="64"/>
  <c r="AO219" i="64"/>
  <c r="AP219" i="64"/>
  <c r="AQ219" i="64"/>
  <c r="AR219" i="64"/>
  <c r="AS219" i="64"/>
  <c r="AT219" i="64"/>
  <c r="AU219" i="64"/>
  <c r="AV219" i="64"/>
  <c r="AW219" i="64"/>
  <c r="AX219" i="64"/>
  <c r="AY219" i="64"/>
  <c r="AZ219" i="64"/>
  <c r="BA219" i="64"/>
  <c r="BB219" i="64"/>
  <c r="BC219" i="64"/>
  <c r="BD219" i="64"/>
  <c r="BE219" i="64"/>
  <c r="BF219" i="64"/>
  <c r="D221" i="64"/>
  <c r="E221" i="64"/>
  <c r="F221" i="64"/>
  <c r="G221" i="64"/>
  <c r="H221" i="64"/>
  <c r="I221" i="64"/>
  <c r="J221" i="64"/>
  <c r="K221" i="64"/>
  <c r="L221" i="64"/>
  <c r="M221" i="64"/>
  <c r="N221" i="64"/>
  <c r="O221" i="64"/>
  <c r="P221" i="64"/>
  <c r="Q221" i="64"/>
  <c r="R221" i="64"/>
  <c r="S221" i="64"/>
  <c r="T221" i="64"/>
  <c r="U221" i="64"/>
  <c r="V221" i="64"/>
  <c r="W221" i="64"/>
  <c r="X221" i="64"/>
  <c r="Y221" i="64"/>
  <c r="Z221" i="64"/>
  <c r="AA221" i="64"/>
  <c r="AB221" i="64"/>
  <c r="AC221" i="64"/>
  <c r="AD221" i="64"/>
  <c r="AE221" i="64"/>
  <c r="AF221" i="64"/>
  <c r="AG221" i="64"/>
  <c r="AH221" i="64"/>
  <c r="AI221" i="64"/>
  <c r="AJ221" i="64"/>
  <c r="AK221" i="64"/>
  <c r="AL221" i="64"/>
  <c r="AM221" i="64"/>
  <c r="AN221" i="64"/>
  <c r="AO221" i="64"/>
  <c r="AP221" i="64"/>
  <c r="AQ221" i="64"/>
  <c r="AR221" i="64"/>
  <c r="AS221" i="64"/>
  <c r="AT221" i="64"/>
  <c r="AU221" i="64"/>
  <c r="AV221" i="64"/>
  <c r="AW221" i="64"/>
  <c r="AX221" i="64"/>
  <c r="AY221" i="64"/>
  <c r="AZ221" i="64"/>
  <c r="BA221" i="64"/>
  <c r="BB221" i="64"/>
  <c r="BC221" i="64"/>
  <c r="BD221" i="64"/>
  <c r="BE221" i="64"/>
  <c r="BF221" i="64"/>
  <c r="C221" i="64"/>
  <c r="C219" i="64"/>
  <c r="C217" i="64"/>
  <c r="B59" i="105"/>
  <c r="D59" i="105"/>
  <c r="J59" i="105"/>
  <c r="K59" i="105"/>
  <c r="Q59" i="105"/>
  <c r="F72" i="11"/>
  <c r="F67" i="11"/>
  <c r="F66" i="11"/>
  <c r="F65" i="11"/>
  <c r="D119" i="39"/>
  <c r="C119" i="39"/>
  <c r="B119" i="39"/>
  <c r="FY110" i="39"/>
  <c r="FO110" i="39"/>
  <c r="FN110" i="39"/>
  <c r="FM110" i="39"/>
  <c r="FL110" i="39"/>
  <c r="FK110" i="39"/>
  <c r="FJ110" i="39"/>
  <c r="FI110" i="39"/>
  <c r="FH110" i="39"/>
  <c r="FG110" i="39"/>
  <c r="FF110" i="39"/>
  <c r="FE110" i="39"/>
  <c r="FD110" i="39"/>
  <c r="FC110" i="39"/>
  <c r="FB110" i="39"/>
  <c r="FA110" i="39"/>
  <c r="EZ110" i="39"/>
  <c r="EY110" i="39"/>
  <c r="EX110" i="39"/>
  <c r="EW110" i="39"/>
  <c r="EV110" i="39"/>
  <c r="EU110" i="39"/>
  <c r="ET110" i="39"/>
  <c r="ES110" i="39"/>
  <c r="ER110" i="39"/>
  <c r="EQ110" i="39"/>
  <c r="EP110" i="39"/>
  <c r="EO110" i="39"/>
  <c r="EN110" i="39"/>
  <c r="EM110" i="39"/>
  <c r="EL110" i="39"/>
  <c r="EK110" i="39"/>
  <c r="EJ110" i="39"/>
  <c r="EI110" i="39"/>
  <c r="EH110" i="39"/>
  <c r="EG110" i="39"/>
  <c r="EF110" i="39"/>
  <c r="EE110" i="39"/>
  <c r="ED110" i="39"/>
  <c r="EC110" i="39"/>
  <c r="EB110" i="39"/>
  <c r="EA110" i="39"/>
  <c r="DZ110" i="39"/>
  <c r="DY110" i="39"/>
  <c r="DX110" i="39"/>
  <c r="DW110" i="39"/>
  <c r="DV110" i="39"/>
  <c r="DU110" i="39"/>
  <c r="DT110" i="39"/>
  <c r="DS110" i="39"/>
  <c r="DR110" i="39"/>
  <c r="DQ110" i="39"/>
  <c r="DP110" i="39"/>
  <c r="DO110" i="39"/>
  <c r="DN110" i="39"/>
  <c r="DM110" i="39"/>
  <c r="DL110" i="39"/>
  <c r="DK110" i="39"/>
  <c r="DJ110" i="39"/>
  <c r="DI110" i="39"/>
  <c r="DH110" i="39"/>
  <c r="DG110" i="39"/>
  <c r="DF110" i="39"/>
  <c r="DE110" i="39"/>
  <c r="DD110" i="39"/>
  <c r="DC110" i="39"/>
  <c r="DB110" i="39"/>
  <c r="DA110" i="39"/>
  <c r="CZ110" i="39"/>
  <c r="CY110" i="39"/>
  <c r="CX110" i="39"/>
  <c r="CW110" i="39"/>
  <c r="CV110" i="39"/>
  <c r="CU110" i="39"/>
  <c r="CT110" i="39"/>
  <c r="CS110" i="39"/>
  <c r="CR110" i="39"/>
  <c r="CQ110" i="39"/>
  <c r="CP110" i="39"/>
  <c r="CO110" i="39"/>
  <c r="CN110" i="39"/>
  <c r="CM110" i="39"/>
  <c r="CL110" i="39"/>
  <c r="CK110" i="39"/>
  <c r="CJ110" i="39"/>
  <c r="CI110" i="39"/>
  <c r="CH110" i="39"/>
  <c r="CG110" i="39"/>
  <c r="CF110" i="39"/>
  <c r="CE110" i="39"/>
  <c r="CD110" i="39"/>
  <c r="CC110" i="39"/>
  <c r="CB110" i="39"/>
  <c r="CA110" i="39"/>
  <c r="BZ110" i="39"/>
  <c r="BY110" i="39"/>
  <c r="BX110" i="39"/>
  <c r="BW110" i="39"/>
  <c r="BV110" i="39"/>
  <c r="BU110" i="39"/>
  <c r="BT110" i="39"/>
  <c r="BS110" i="39"/>
  <c r="BR110" i="39"/>
  <c r="BQ110" i="39"/>
  <c r="BP110" i="39"/>
  <c r="BO110" i="39"/>
  <c r="BN110" i="39"/>
  <c r="BM110" i="39"/>
  <c r="BL110" i="39"/>
  <c r="BK110" i="39"/>
  <c r="BJ110" i="39"/>
  <c r="BI110" i="39"/>
  <c r="BH110" i="39"/>
  <c r="BG110" i="39"/>
  <c r="BF110" i="39"/>
  <c r="BE110" i="39"/>
  <c r="BD110" i="39"/>
  <c r="BC110" i="39"/>
  <c r="BB110" i="39"/>
  <c r="BA110" i="39"/>
  <c r="AZ110" i="39"/>
  <c r="AY110" i="39"/>
  <c r="AX110" i="39"/>
  <c r="AW110" i="39"/>
  <c r="AV110" i="39"/>
  <c r="AU110" i="39"/>
  <c r="AT110" i="39"/>
  <c r="AS110" i="39"/>
  <c r="AR110" i="39"/>
  <c r="AQ110" i="39"/>
  <c r="AP110" i="39"/>
  <c r="AO110" i="39"/>
  <c r="AN110" i="39"/>
  <c r="AM110" i="39"/>
  <c r="AL110" i="39"/>
  <c r="AK110" i="39"/>
  <c r="AJ110" i="39"/>
  <c r="AI110" i="39"/>
  <c r="AH110" i="39"/>
  <c r="AG110" i="39"/>
  <c r="AF110" i="39"/>
  <c r="AE110" i="39"/>
  <c r="AD110" i="39"/>
  <c r="AC110" i="39"/>
  <c r="AB110" i="39"/>
  <c r="AA110" i="39"/>
  <c r="Z110" i="39"/>
  <c r="Y110" i="39"/>
  <c r="X110" i="39"/>
  <c r="W110" i="39"/>
  <c r="V110" i="39"/>
  <c r="U110" i="39"/>
  <c r="T110" i="39"/>
  <c r="S110" i="39"/>
  <c r="R110" i="39"/>
  <c r="Q110" i="39"/>
  <c r="P110" i="39"/>
  <c r="O110" i="39"/>
  <c r="N110" i="39"/>
  <c r="M110" i="39"/>
  <c r="L110" i="39"/>
  <c r="K110" i="39"/>
  <c r="J110" i="39"/>
  <c r="I110" i="39"/>
  <c r="H110" i="39"/>
  <c r="G110" i="39"/>
  <c r="F110" i="39"/>
  <c r="E110" i="39"/>
  <c r="D110" i="39"/>
  <c r="C110" i="39"/>
  <c r="B110" i="39"/>
  <c r="FY108" i="39"/>
  <c r="FV108" i="39"/>
  <c r="FU108" i="39"/>
  <c r="FT108" i="39"/>
  <c r="FS108" i="39"/>
  <c r="FR108" i="39"/>
  <c r="FQ108" i="39"/>
  <c r="FP108" i="39"/>
  <c r="FO108" i="39"/>
  <c r="FN108" i="39"/>
  <c r="FM108" i="39"/>
  <c r="FL108" i="39"/>
  <c r="FK108" i="39"/>
  <c r="FJ108" i="39"/>
  <c r="FI108" i="39"/>
  <c r="FH108" i="39"/>
  <c r="FG108" i="39"/>
  <c r="FF108" i="39"/>
  <c r="FE108" i="39"/>
  <c r="FD108" i="39"/>
  <c r="FC108" i="39"/>
  <c r="FB108" i="39"/>
  <c r="FA108" i="39"/>
  <c r="EZ108" i="39"/>
  <c r="EY108" i="39"/>
  <c r="EX108" i="39"/>
  <c r="EW108" i="39"/>
  <c r="EV108" i="39"/>
  <c r="EU108" i="39"/>
  <c r="ET108" i="39"/>
  <c r="ES108" i="39"/>
  <c r="ER108" i="39"/>
  <c r="EQ108" i="39"/>
  <c r="EP108" i="39"/>
  <c r="EO108" i="39"/>
  <c r="EN108" i="39"/>
  <c r="EM108" i="39"/>
  <c r="EL108" i="39"/>
  <c r="EK108" i="39"/>
  <c r="EJ108" i="39"/>
  <c r="EI108" i="39"/>
  <c r="EH108" i="39"/>
  <c r="EG108" i="39"/>
  <c r="EF108" i="39"/>
  <c r="EE108" i="39"/>
  <c r="ED108" i="39"/>
  <c r="EC108" i="39"/>
  <c r="EB108" i="39"/>
  <c r="EA108" i="39"/>
  <c r="DZ108" i="39"/>
  <c r="DY108" i="39"/>
  <c r="DX108" i="39"/>
  <c r="DW108" i="39"/>
  <c r="DV108" i="39"/>
  <c r="DU108" i="39"/>
  <c r="DT108" i="39"/>
  <c r="DS108" i="39"/>
  <c r="DR108" i="39"/>
  <c r="DQ108" i="39"/>
  <c r="DP108" i="39"/>
  <c r="DO108" i="39"/>
  <c r="DN108" i="39"/>
  <c r="DM108" i="39"/>
  <c r="DL108" i="39"/>
  <c r="DK108" i="39"/>
  <c r="DJ108" i="39"/>
  <c r="DI108" i="39"/>
  <c r="DH108" i="39"/>
  <c r="DG108" i="39"/>
  <c r="DF108" i="39"/>
  <c r="DE108" i="39"/>
  <c r="DD108" i="39"/>
  <c r="DC108" i="39"/>
  <c r="DB108" i="39"/>
  <c r="DA108" i="39"/>
  <c r="CZ108" i="39"/>
  <c r="CY108" i="39"/>
  <c r="CX108" i="39"/>
  <c r="CW108" i="39"/>
  <c r="CV108" i="39"/>
  <c r="CU108" i="39"/>
  <c r="CT108" i="39"/>
  <c r="CS108" i="39"/>
  <c r="CR108" i="39"/>
  <c r="CQ108" i="39"/>
  <c r="CP108" i="39"/>
  <c r="CO108" i="39"/>
  <c r="CN108" i="39"/>
  <c r="CM108" i="39"/>
  <c r="CL108" i="39"/>
  <c r="CK108" i="39"/>
  <c r="CJ108" i="39"/>
  <c r="CI108" i="39"/>
  <c r="CH108" i="39"/>
  <c r="CG108" i="39"/>
  <c r="CF108" i="39"/>
  <c r="CE108" i="39"/>
  <c r="CD108" i="39"/>
  <c r="CC108" i="39"/>
  <c r="CB108" i="39"/>
  <c r="CA108" i="39"/>
  <c r="BZ108" i="39"/>
  <c r="BY108" i="39"/>
  <c r="BX108" i="39"/>
  <c r="BW108" i="39"/>
  <c r="BV108" i="39"/>
  <c r="BU108" i="39"/>
  <c r="BT108" i="39"/>
  <c r="BS108" i="39"/>
  <c r="BR108" i="39"/>
  <c r="BQ108" i="39"/>
  <c r="BP108" i="39"/>
  <c r="BO108" i="39"/>
  <c r="BN108" i="39"/>
  <c r="BM108" i="39"/>
  <c r="BL108" i="39"/>
  <c r="BK108" i="39"/>
  <c r="BJ108" i="39"/>
  <c r="BI108" i="39"/>
  <c r="BH108" i="39"/>
  <c r="BG108" i="39"/>
  <c r="BF108" i="39"/>
  <c r="BE108" i="39"/>
  <c r="BD108" i="39"/>
  <c r="BC108" i="39"/>
  <c r="BB108" i="39"/>
  <c r="BA108" i="39"/>
  <c r="AZ108" i="39"/>
  <c r="AY108" i="39"/>
  <c r="AX108" i="39"/>
  <c r="AW108" i="39"/>
  <c r="AV108" i="39"/>
  <c r="AU108" i="39"/>
  <c r="AT108" i="39"/>
  <c r="AS108" i="39"/>
  <c r="AR108" i="39"/>
  <c r="AQ108" i="39"/>
  <c r="AP108" i="39"/>
  <c r="AO108" i="39"/>
  <c r="AN108" i="39"/>
  <c r="AM108" i="39"/>
  <c r="AL108" i="39"/>
  <c r="AK108" i="39"/>
  <c r="AJ108" i="39"/>
  <c r="AI108" i="39"/>
  <c r="AH108" i="39"/>
  <c r="AG108" i="39"/>
  <c r="AF108" i="39"/>
  <c r="AE108" i="39"/>
  <c r="AD108" i="39"/>
  <c r="AC108" i="39"/>
  <c r="AB108" i="39"/>
  <c r="AA108" i="39"/>
  <c r="Z108" i="39"/>
  <c r="Y108" i="39"/>
  <c r="X108" i="39"/>
  <c r="W108" i="39"/>
  <c r="V108" i="39"/>
  <c r="U108" i="39"/>
  <c r="T108" i="39"/>
  <c r="S108" i="39"/>
  <c r="R108" i="39"/>
  <c r="Q108" i="39"/>
  <c r="P108" i="39"/>
  <c r="O108" i="39"/>
  <c r="N108" i="39"/>
  <c r="M108" i="39"/>
  <c r="L108" i="39"/>
  <c r="K108" i="39"/>
  <c r="J108" i="39"/>
  <c r="I108" i="39"/>
  <c r="H108" i="39"/>
  <c r="G108" i="39"/>
  <c r="F108" i="39"/>
  <c r="E108" i="39"/>
  <c r="D108" i="39"/>
  <c r="C108" i="39"/>
  <c r="B108" i="39"/>
  <c r="F106" i="39"/>
  <c r="F107" i="39" s="1"/>
  <c r="E106" i="39"/>
  <c r="E107" i="39" s="1"/>
  <c r="D106" i="39"/>
  <c r="D107" i="39" s="1"/>
  <c r="C106" i="39"/>
  <c r="C107" i="39" s="1"/>
  <c r="B106" i="39"/>
  <c r="B107" i="39" s="1"/>
  <c r="FY99" i="39"/>
  <c r="FY103" i="39" s="1"/>
  <c r="FR99" i="39"/>
  <c r="FQ99" i="39"/>
  <c r="FP99" i="39"/>
  <c r="FO99" i="39"/>
  <c r="FN99" i="39"/>
  <c r="FM99" i="39"/>
  <c r="FL99" i="39"/>
  <c r="FL103" i="39" s="1"/>
  <c r="FK99" i="39"/>
  <c r="FK103" i="39" s="1"/>
  <c r="FJ99" i="39"/>
  <c r="FJ103" i="39" s="1"/>
  <c r="FI99" i="39"/>
  <c r="FI103" i="39" s="1"/>
  <c r="FH99" i="39"/>
  <c r="FH103" i="39" s="1"/>
  <c r="FG99" i="39"/>
  <c r="FG103" i="39" s="1"/>
  <c r="FF99" i="39"/>
  <c r="FF103" i="39" s="1"/>
  <c r="FE99" i="39"/>
  <c r="FE103" i="39" s="1"/>
  <c r="FD99" i="39"/>
  <c r="FD103" i="39" s="1"/>
  <c r="FC99" i="39"/>
  <c r="FC103" i="39" s="1"/>
  <c r="FB99" i="39"/>
  <c r="FB103" i="39" s="1"/>
  <c r="FA99" i="39"/>
  <c r="FA103" i="39" s="1"/>
  <c r="EZ99" i="39"/>
  <c r="EZ103" i="39" s="1"/>
  <c r="EY99" i="39"/>
  <c r="EY103" i="39" s="1"/>
  <c r="EX99" i="39"/>
  <c r="EX103" i="39" s="1"/>
  <c r="EW99" i="39"/>
  <c r="EW103" i="39" s="1"/>
  <c r="EV99" i="39"/>
  <c r="EV103" i="39" s="1"/>
  <c r="EU99" i="39"/>
  <c r="EU103" i="39" s="1"/>
  <c r="ET99" i="39"/>
  <c r="ET103" i="39" s="1"/>
  <c r="ES99" i="39"/>
  <c r="ES103" i="39" s="1"/>
  <c r="ER99" i="39"/>
  <c r="ER103" i="39" s="1"/>
  <c r="EQ99" i="39"/>
  <c r="EQ103" i="39" s="1"/>
  <c r="EP99" i="39"/>
  <c r="EP103" i="39" s="1"/>
  <c r="EO99" i="39"/>
  <c r="EO103" i="39" s="1"/>
  <c r="EN99" i="39"/>
  <c r="EN103" i="39" s="1"/>
  <c r="EM99" i="39"/>
  <c r="EM103" i="39" s="1"/>
  <c r="EL99" i="39"/>
  <c r="EL103" i="39" s="1"/>
  <c r="EK99" i="39"/>
  <c r="EK103" i="39" s="1"/>
  <c r="EJ99" i="39"/>
  <c r="EJ103" i="39" s="1"/>
  <c r="EI99" i="39"/>
  <c r="EI103" i="39" s="1"/>
  <c r="EH99" i="39"/>
  <c r="EH103" i="39" s="1"/>
  <c r="EG99" i="39"/>
  <c r="EG103" i="39" s="1"/>
  <c r="EF99" i="39"/>
  <c r="EF103" i="39" s="1"/>
  <c r="EE99" i="39"/>
  <c r="EE103" i="39" s="1"/>
  <c r="ED99" i="39"/>
  <c r="ED103" i="39" s="1"/>
  <c r="EC99" i="39"/>
  <c r="EC103" i="39" s="1"/>
  <c r="EB99" i="39"/>
  <c r="EB103" i="39" s="1"/>
  <c r="EA99" i="39"/>
  <c r="EA103" i="39" s="1"/>
  <c r="DZ99" i="39"/>
  <c r="DZ103" i="39" s="1"/>
  <c r="DY99" i="39"/>
  <c r="DY103" i="39" s="1"/>
  <c r="DX99" i="39"/>
  <c r="DX103" i="39" s="1"/>
  <c r="DW99" i="39"/>
  <c r="DW103" i="39" s="1"/>
  <c r="DV99" i="39"/>
  <c r="DV103" i="39" s="1"/>
  <c r="DU99" i="39"/>
  <c r="DU103" i="39" s="1"/>
  <c r="DT99" i="39"/>
  <c r="DT103" i="39" s="1"/>
  <c r="DS99" i="39"/>
  <c r="DS103" i="39" s="1"/>
  <c r="DR99" i="39"/>
  <c r="DR103" i="39" s="1"/>
  <c r="DQ99" i="39"/>
  <c r="DQ103" i="39" s="1"/>
  <c r="DP99" i="39"/>
  <c r="DP103" i="39" s="1"/>
  <c r="DO99" i="39"/>
  <c r="DN99" i="39"/>
  <c r="DN103" i="39" s="1"/>
  <c r="DM99" i="39"/>
  <c r="DM103" i="39" s="1"/>
  <c r="DL99" i="39"/>
  <c r="DL103" i="39" s="1"/>
  <c r="DK99" i="39"/>
  <c r="DK103" i="39" s="1"/>
  <c r="DJ99" i="39"/>
  <c r="DJ103" i="39" s="1"/>
  <c r="DI99" i="39"/>
  <c r="DI103" i="39" s="1"/>
  <c r="DH99" i="39"/>
  <c r="DH103" i="39" s="1"/>
  <c r="DG99" i="39"/>
  <c r="DG103" i="39" s="1"/>
  <c r="DF99" i="39"/>
  <c r="DF103" i="39" s="1"/>
  <c r="DE99" i="39"/>
  <c r="DE103" i="39" s="1"/>
  <c r="DD99" i="39"/>
  <c r="DD103" i="39" s="1"/>
  <c r="DC99" i="39"/>
  <c r="DC103" i="39" s="1"/>
  <c r="DB99" i="39"/>
  <c r="DB103" i="39" s="1"/>
  <c r="DA99" i="39"/>
  <c r="DA103" i="39" s="1"/>
  <c r="CZ99" i="39"/>
  <c r="CZ103" i="39" s="1"/>
  <c r="CY99" i="39"/>
  <c r="CY103" i="39" s="1"/>
  <c r="CX99" i="39"/>
  <c r="CX103" i="39" s="1"/>
  <c r="CW99" i="39"/>
  <c r="CW103" i="39" s="1"/>
  <c r="CV99" i="39"/>
  <c r="CV103" i="39" s="1"/>
  <c r="CU99" i="39"/>
  <c r="CU103" i="39" s="1"/>
  <c r="CT99" i="39"/>
  <c r="CT103" i="39" s="1"/>
  <c r="CS99" i="39"/>
  <c r="CS103" i="39" s="1"/>
  <c r="CR99" i="39"/>
  <c r="CR103" i="39" s="1"/>
  <c r="CQ99" i="39"/>
  <c r="CQ103" i="39" s="1"/>
  <c r="CP99" i="39"/>
  <c r="CO99" i="39"/>
  <c r="CN99" i="39"/>
  <c r="CM99" i="39"/>
  <c r="CM103" i="39" s="1"/>
  <c r="CL99" i="39"/>
  <c r="CL103" i="39" s="1"/>
  <c r="CK99" i="39"/>
  <c r="CK103" i="39" s="1"/>
  <c r="CJ99" i="39"/>
  <c r="CJ103" i="39" s="1"/>
  <c r="CI99" i="39"/>
  <c r="CI103" i="39" s="1"/>
  <c r="CH99" i="39"/>
  <c r="CH103" i="39" s="1"/>
  <c r="CG99" i="39"/>
  <c r="CG103" i="39" s="1"/>
  <c r="CF99" i="39"/>
  <c r="CF103" i="39" s="1"/>
  <c r="CE99" i="39"/>
  <c r="CE103" i="39" s="1"/>
  <c r="CD99" i="39"/>
  <c r="CD103" i="39" s="1"/>
  <c r="CC99" i="39"/>
  <c r="CC103" i="39" s="1"/>
  <c r="CB99" i="39"/>
  <c r="CB103" i="39" s="1"/>
  <c r="CA99" i="39"/>
  <c r="CA103" i="39" s="1"/>
  <c r="BZ99" i="39"/>
  <c r="BZ103" i="39" s="1"/>
  <c r="BY99" i="39"/>
  <c r="BY103" i="39" s="1"/>
  <c r="BX99" i="39"/>
  <c r="BX103" i="39" s="1"/>
  <c r="BW99" i="39"/>
  <c r="BW103" i="39" s="1"/>
  <c r="BV99" i="39"/>
  <c r="BV103" i="39" s="1"/>
  <c r="BU99" i="39"/>
  <c r="BU103" i="39" s="1"/>
  <c r="BT99" i="39"/>
  <c r="BT103" i="39" s="1"/>
  <c r="BS99" i="39"/>
  <c r="BS103" i="39" s="1"/>
  <c r="BR99" i="39"/>
  <c r="BR103" i="39" s="1"/>
  <c r="BQ99" i="39"/>
  <c r="BQ103" i="39" s="1"/>
  <c r="BP99" i="39"/>
  <c r="BP103" i="39" s="1"/>
  <c r="BO99" i="39"/>
  <c r="BO103" i="39" s="1"/>
  <c r="BN99" i="39"/>
  <c r="BN103" i="39" s="1"/>
  <c r="BM99" i="39"/>
  <c r="BM103" i="39" s="1"/>
  <c r="BL99" i="39"/>
  <c r="BL103" i="39" s="1"/>
  <c r="BK99" i="39"/>
  <c r="BK103" i="39" s="1"/>
  <c r="BJ99" i="39"/>
  <c r="BJ103" i="39" s="1"/>
  <c r="BI99" i="39"/>
  <c r="BI103" i="39" s="1"/>
  <c r="BH99" i="39"/>
  <c r="BH103" i="39" s="1"/>
  <c r="BG99" i="39"/>
  <c r="BG103" i="39" s="1"/>
  <c r="BF99" i="39"/>
  <c r="BF103" i="39" s="1"/>
  <c r="BE99" i="39"/>
  <c r="BE103" i="39" s="1"/>
  <c r="BD99" i="39"/>
  <c r="BD103" i="39" s="1"/>
  <c r="BC99" i="39"/>
  <c r="BC103" i="39" s="1"/>
  <c r="BB99" i="39"/>
  <c r="BB103" i="39" s="1"/>
  <c r="BA99" i="39"/>
  <c r="BA103" i="39" s="1"/>
  <c r="AZ99" i="39"/>
  <c r="AZ103" i="39" s="1"/>
  <c r="AY99" i="39"/>
  <c r="AY103" i="39" s="1"/>
  <c r="AX99" i="39"/>
  <c r="AX103" i="39" s="1"/>
  <c r="AW99" i="39"/>
  <c r="AW103" i="39" s="1"/>
  <c r="AV99" i="39"/>
  <c r="AV103" i="39" s="1"/>
  <c r="AU99" i="39"/>
  <c r="AU103" i="39" s="1"/>
  <c r="AT99" i="39"/>
  <c r="AT103" i="39" s="1"/>
  <c r="AS99" i="39"/>
  <c r="AS103" i="39" s="1"/>
  <c r="AR99" i="39"/>
  <c r="AR103" i="39" s="1"/>
  <c r="AQ99" i="39"/>
  <c r="AQ103" i="39" s="1"/>
  <c r="AP99" i="39"/>
  <c r="AP103" i="39" s="1"/>
  <c r="AO99" i="39"/>
  <c r="AO103" i="39" s="1"/>
  <c r="AN99" i="39"/>
  <c r="AN103" i="39" s="1"/>
  <c r="AM99" i="39"/>
  <c r="AM103" i="39" s="1"/>
  <c r="AL99" i="39"/>
  <c r="AL103" i="39" s="1"/>
  <c r="AK99" i="39"/>
  <c r="AK103" i="39" s="1"/>
  <c r="AJ99" i="39"/>
  <c r="AJ103" i="39" s="1"/>
  <c r="AI99" i="39"/>
  <c r="AI103" i="39" s="1"/>
  <c r="AH99" i="39"/>
  <c r="AH103" i="39" s="1"/>
  <c r="AG99" i="39"/>
  <c r="AG103" i="39" s="1"/>
  <c r="AF99" i="39"/>
  <c r="AF103" i="39" s="1"/>
  <c r="AE99" i="39"/>
  <c r="AE103" i="39" s="1"/>
  <c r="AD99" i="39"/>
  <c r="AD103" i="39" s="1"/>
  <c r="AC99" i="39"/>
  <c r="AC103" i="39" s="1"/>
  <c r="AB99" i="39"/>
  <c r="AB103" i="39" s="1"/>
  <c r="AA99" i="39"/>
  <c r="AA103" i="39" s="1"/>
  <c r="Z99" i="39"/>
  <c r="Z103" i="39" s="1"/>
  <c r="Y99" i="39"/>
  <c r="Y103" i="39" s="1"/>
  <c r="X99" i="39"/>
  <c r="X103" i="39" s="1"/>
  <c r="W99" i="39"/>
  <c r="W103" i="39" s="1"/>
  <c r="V99" i="39"/>
  <c r="V103" i="39" s="1"/>
  <c r="U99" i="39"/>
  <c r="U103" i="39" s="1"/>
  <c r="T99" i="39"/>
  <c r="T103" i="39" s="1"/>
  <c r="S99" i="39"/>
  <c r="S103" i="39" s="1"/>
  <c r="R99" i="39"/>
  <c r="R103" i="39" s="1"/>
  <c r="Q99" i="39"/>
  <c r="Q103" i="39" s="1"/>
  <c r="P99" i="39"/>
  <c r="P103" i="39" s="1"/>
  <c r="O99" i="39"/>
  <c r="O103" i="39" s="1"/>
  <c r="N99" i="39"/>
  <c r="N103" i="39" s="1"/>
  <c r="M99" i="39"/>
  <c r="M103" i="39" s="1"/>
  <c r="L99" i="39"/>
  <c r="L103" i="39" s="1"/>
  <c r="K99" i="39"/>
  <c r="K103" i="39" s="1"/>
  <c r="J99" i="39"/>
  <c r="J103" i="39" s="1"/>
  <c r="I99" i="39"/>
  <c r="I103" i="39" s="1"/>
  <c r="H99" i="39"/>
  <c r="H103" i="39" s="1"/>
  <c r="G99" i="39"/>
  <c r="G103" i="39" s="1"/>
  <c r="F99" i="39"/>
  <c r="F103" i="39" s="1"/>
  <c r="E99" i="39"/>
  <c r="E103" i="39" s="1"/>
  <c r="D99" i="39"/>
  <c r="D103" i="39" s="1"/>
  <c r="C99" i="39"/>
  <c r="C103" i="39" s="1"/>
  <c r="B99" i="39"/>
  <c r="B103" i="39" s="1"/>
  <c r="GA97" i="39"/>
  <c r="FZ97" i="39"/>
  <c r="FY97" i="39"/>
  <c r="FX97" i="39"/>
  <c r="FW97" i="39"/>
  <c r="FV97" i="39"/>
  <c r="FU97" i="39"/>
  <c r="FT97" i="39"/>
  <c r="FS97" i="39"/>
  <c r="FR97" i="39"/>
  <c r="FQ97" i="39"/>
  <c r="FP97" i="39"/>
  <c r="FO97" i="39"/>
  <c r="FN97" i="39"/>
  <c r="FM97" i="39"/>
  <c r="FL97" i="39"/>
  <c r="FK97" i="39"/>
  <c r="FJ97" i="39"/>
  <c r="FI97" i="39"/>
  <c r="FH97" i="39"/>
  <c r="FG97" i="39"/>
  <c r="FF97" i="39"/>
  <c r="FE97" i="39"/>
  <c r="FD97" i="39"/>
  <c r="FC97" i="39"/>
  <c r="FB97" i="39"/>
  <c r="FA97" i="39"/>
  <c r="EZ97" i="39"/>
  <c r="EY97" i="39"/>
  <c r="EX97" i="39"/>
  <c r="EW97" i="39"/>
  <c r="EV97" i="39"/>
  <c r="EU97" i="39"/>
  <c r="ET97" i="39"/>
  <c r="ES97" i="39"/>
  <c r="ER97" i="39"/>
  <c r="EQ97" i="39"/>
  <c r="EP97" i="39"/>
  <c r="EO97" i="39"/>
  <c r="EN97" i="39"/>
  <c r="EM97" i="39"/>
  <c r="EL97" i="39"/>
  <c r="EK97" i="39"/>
  <c r="EJ97" i="39"/>
  <c r="EI97" i="39"/>
  <c r="EH97" i="39"/>
  <c r="EG97" i="39"/>
  <c r="EF97" i="39"/>
  <c r="EE97" i="39"/>
  <c r="ED97" i="39"/>
  <c r="EC97" i="39"/>
  <c r="EB97" i="39"/>
  <c r="EA97" i="39"/>
  <c r="DZ97" i="39"/>
  <c r="DY97" i="39"/>
  <c r="DX97" i="39"/>
  <c r="DW97" i="39"/>
  <c r="DV97" i="39"/>
  <c r="DU97" i="39"/>
  <c r="DT97" i="39"/>
  <c r="DS97" i="39"/>
  <c r="DR97" i="39"/>
  <c r="DQ97" i="39"/>
  <c r="DP97" i="39"/>
  <c r="DO97" i="39"/>
  <c r="DN97" i="39"/>
  <c r="DM97" i="39"/>
  <c r="DL97" i="39"/>
  <c r="DK97" i="39"/>
  <c r="DJ97" i="39"/>
  <c r="DI97" i="39"/>
  <c r="DH97" i="39"/>
  <c r="DG97" i="39"/>
  <c r="DF97" i="39"/>
  <c r="DE97" i="39"/>
  <c r="DD97" i="39"/>
  <c r="DC97" i="39"/>
  <c r="DB97" i="39"/>
  <c r="DA97" i="39"/>
  <c r="CZ97" i="39"/>
  <c r="CY97" i="39"/>
  <c r="CX97" i="39"/>
  <c r="CW97" i="39"/>
  <c r="CV97" i="39"/>
  <c r="CU97" i="39"/>
  <c r="CT97" i="39"/>
  <c r="CS97" i="39"/>
  <c r="CR97" i="39"/>
  <c r="CQ97" i="39"/>
  <c r="CP97" i="39"/>
  <c r="CO97" i="39"/>
  <c r="CN97" i="39"/>
  <c r="CM97" i="39"/>
  <c r="CL97" i="39"/>
  <c r="CK97" i="39"/>
  <c r="CJ97" i="39"/>
  <c r="CI97" i="39"/>
  <c r="CH97" i="39"/>
  <c r="CG97" i="39"/>
  <c r="CF97" i="39"/>
  <c r="CE97" i="39"/>
  <c r="CD97" i="39"/>
  <c r="CC97" i="39"/>
  <c r="CB97" i="39"/>
  <c r="CA97" i="39"/>
  <c r="BZ97" i="39"/>
  <c r="BY97" i="39"/>
  <c r="BX97" i="39"/>
  <c r="BW97" i="39"/>
  <c r="BV97" i="39"/>
  <c r="BU97" i="39"/>
  <c r="BT97" i="39"/>
  <c r="BS97" i="39"/>
  <c r="BR97" i="39"/>
  <c r="BQ97" i="39"/>
  <c r="BP97" i="39"/>
  <c r="BO97" i="39"/>
  <c r="BN97" i="39"/>
  <c r="BM97" i="39"/>
  <c r="BL97" i="39"/>
  <c r="BK97" i="39"/>
  <c r="BJ97" i="39"/>
  <c r="BI97" i="39"/>
  <c r="BH97" i="39"/>
  <c r="BG97" i="39"/>
  <c r="BF97" i="39"/>
  <c r="BE97" i="39"/>
  <c r="BD97" i="39"/>
  <c r="BC97" i="39"/>
  <c r="BB97" i="39"/>
  <c r="BA97" i="39"/>
  <c r="AZ97" i="39"/>
  <c r="AY97" i="39"/>
  <c r="AX97" i="39"/>
  <c r="AW97" i="39"/>
  <c r="AV97" i="39"/>
  <c r="AU97" i="39"/>
  <c r="AT97" i="39"/>
  <c r="AS97" i="39"/>
  <c r="AR97" i="39"/>
  <c r="AQ97" i="39"/>
  <c r="AP97" i="39"/>
  <c r="AO97" i="39"/>
  <c r="AK97" i="39"/>
  <c r="AJ97" i="39"/>
  <c r="AI97" i="39"/>
  <c r="AH97" i="39"/>
  <c r="AG97" i="39"/>
  <c r="AF97" i="39"/>
  <c r="AE97" i="39"/>
  <c r="AD97" i="39"/>
  <c r="AC97" i="39"/>
  <c r="AB97" i="39"/>
  <c r="AA97" i="39"/>
  <c r="Z97" i="39"/>
  <c r="Y97" i="39"/>
  <c r="X97" i="39"/>
  <c r="W97" i="39"/>
  <c r="V97" i="39"/>
  <c r="U97" i="39"/>
  <c r="T97" i="39"/>
  <c r="S97" i="39"/>
  <c r="R97" i="39"/>
  <c r="Q97" i="39"/>
  <c r="P97" i="39"/>
  <c r="O97" i="39"/>
  <c r="N97" i="39"/>
  <c r="M97" i="39"/>
  <c r="L97" i="39"/>
  <c r="K97" i="39"/>
  <c r="J97" i="39"/>
  <c r="I97" i="39"/>
  <c r="H97" i="39"/>
  <c r="G97" i="39"/>
  <c r="F97" i="39"/>
  <c r="E97" i="39"/>
  <c r="D97" i="39"/>
  <c r="C97" i="39"/>
  <c r="B97" i="39"/>
  <c r="GA96" i="39"/>
  <c r="FZ96" i="39"/>
  <c r="FY96" i="39"/>
  <c r="FX96" i="39"/>
  <c r="FW96" i="39"/>
  <c r="FV96" i="39"/>
  <c r="FU96" i="39"/>
  <c r="FT96" i="39"/>
  <c r="FS96" i="39"/>
  <c r="FR96" i="39"/>
  <c r="FQ96" i="39"/>
  <c r="FP96" i="39"/>
  <c r="FO96" i="39"/>
  <c r="FN96" i="39"/>
  <c r="FM96" i="39"/>
  <c r="FL96" i="39"/>
  <c r="FK96" i="39"/>
  <c r="FJ96" i="39"/>
  <c r="FI96" i="39"/>
  <c r="FH96" i="39"/>
  <c r="FG96" i="39"/>
  <c r="FF96" i="39"/>
  <c r="FE96" i="39"/>
  <c r="FD96" i="39"/>
  <c r="FC96" i="39"/>
  <c r="FB96" i="39"/>
  <c r="FA96" i="39"/>
  <c r="EZ96" i="39"/>
  <c r="EY96" i="39"/>
  <c r="EX96" i="39"/>
  <c r="EW96" i="39"/>
  <c r="EV96" i="39"/>
  <c r="EU96" i="39"/>
  <c r="ET96" i="39"/>
  <c r="ES96" i="39"/>
  <c r="ER96" i="39"/>
  <c r="EQ96" i="39"/>
  <c r="EP96" i="39"/>
  <c r="EO96" i="39"/>
  <c r="EN96" i="39"/>
  <c r="EM96" i="39"/>
  <c r="EL96" i="39"/>
  <c r="EK96" i="39"/>
  <c r="EJ96" i="39"/>
  <c r="EI96" i="39"/>
  <c r="EH96" i="39"/>
  <c r="EG96" i="39"/>
  <c r="EF96" i="39"/>
  <c r="EE96" i="39"/>
  <c r="ED96" i="39"/>
  <c r="EC96" i="39"/>
  <c r="EB96" i="39"/>
  <c r="EA96" i="39"/>
  <c r="DZ96" i="39"/>
  <c r="DY96" i="39"/>
  <c r="DX96" i="39"/>
  <c r="DW96" i="39"/>
  <c r="DV96" i="39"/>
  <c r="DU96" i="39"/>
  <c r="DT96" i="39"/>
  <c r="DS96" i="39"/>
  <c r="DR96" i="39"/>
  <c r="DQ96" i="39"/>
  <c r="DP96" i="39"/>
  <c r="DO96" i="39"/>
  <c r="DN96" i="39"/>
  <c r="DM96" i="39"/>
  <c r="DL96" i="39"/>
  <c r="DK96" i="39"/>
  <c r="DJ96" i="39"/>
  <c r="DI96" i="39"/>
  <c r="DH96" i="39"/>
  <c r="DG96" i="39"/>
  <c r="DF96" i="39"/>
  <c r="DE96" i="39"/>
  <c r="DD96" i="39"/>
  <c r="DC96" i="39"/>
  <c r="DB96" i="39"/>
  <c r="DA96" i="39"/>
  <c r="CZ96" i="39"/>
  <c r="CY96" i="39"/>
  <c r="CX96" i="39"/>
  <c r="CW96" i="39"/>
  <c r="CV96" i="39"/>
  <c r="CU96" i="39"/>
  <c r="CT96" i="39"/>
  <c r="CS96" i="39"/>
  <c r="CR96" i="39"/>
  <c r="CQ96" i="39"/>
  <c r="CP96" i="39"/>
  <c r="CO96" i="39"/>
  <c r="CN96" i="39"/>
  <c r="CM96" i="39"/>
  <c r="CL96" i="39"/>
  <c r="CK96" i="39"/>
  <c r="CJ96" i="39"/>
  <c r="CI96" i="39"/>
  <c r="CH96" i="39"/>
  <c r="CG96" i="39"/>
  <c r="CF96" i="39"/>
  <c r="CE96" i="39"/>
  <c r="CD96" i="39"/>
  <c r="CC96" i="39"/>
  <c r="CB96" i="39"/>
  <c r="CA96" i="39"/>
  <c r="BZ96" i="39"/>
  <c r="BY96" i="39"/>
  <c r="BX96" i="39"/>
  <c r="BW96" i="39"/>
  <c r="BV96" i="39"/>
  <c r="BU96" i="39"/>
  <c r="BT96" i="39"/>
  <c r="BS96" i="39"/>
  <c r="BR96" i="39"/>
  <c r="BQ96" i="39"/>
  <c r="BP96" i="39"/>
  <c r="BO96" i="39"/>
  <c r="BN96" i="39"/>
  <c r="BM96" i="39"/>
  <c r="BL96" i="39"/>
  <c r="BK96" i="39"/>
  <c r="BJ96" i="39"/>
  <c r="BI96" i="39"/>
  <c r="BH96" i="39"/>
  <c r="BG96" i="39"/>
  <c r="BF96" i="39"/>
  <c r="BE96" i="39"/>
  <c r="BD96" i="39"/>
  <c r="BC96" i="39"/>
  <c r="BB96" i="39"/>
  <c r="BA96" i="39"/>
  <c r="AZ96" i="39"/>
  <c r="AY96" i="39"/>
  <c r="AX96" i="39"/>
  <c r="AW96" i="39"/>
  <c r="AV96" i="39"/>
  <c r="AU96" i="39"/>
  <c r="AT96" i="39"/>
  <c r="AS96" i="39"/>
  <c r="AR96" i="39"/>
  <c r="AQ96" i="39"/>
  <c r="AP96" i="39"/>
  <c r="AO96" i="39"/>
  <c r="AK96" i="39"/>
  <c r="AJ96" i="39"/>
  <c r="AI96" i="39"/>
  <c r="AH96" i="39"/>
  <c r="AG96" i="39"/>
  <c r="AF96" i="39"/>
  <c r="AE96" i="39"/>
  <c r="AD96" i="39"/>
  <c r="AC96" i="39"/>
  <c r="AB96" i="39"/>
  <c r="AA96" i="39"/>
  <c r="Z96" i="39"/>
  <c r="Y96" i="39"/>
  <c r="X96" i="39"/>
  <c r="W96" i="39"/>
  <c r="V96" i="39"/>
  <c r="U96" i="39"/>
  <c r="T96" i="39"/>
  <c r="S96" i="39"/>
  <c r="R96" i="39"/>
  <c r="Q96" i="39"/>
  <c r="P96" i="39"/>
  <c r="O96" i="39"/>
  <c r="N96" i="39"/>
  <c r="M96" i="39"/>
  <c r="L96" i="39"/>
  <c r="K96" i="39"/>
  <c r="J96" i="39"/>
  <c r="I96" i="39"/>
  <c r="H96" i="39"/>
  <c r="G96" i="39"/>
  <c r="F96" i="39"/>
  <c r="E96" i="39"/>
  <c r="D96" i="39"/>
  <c r="C96" i="39"/>
  <c r="B96" i="39"/>
  <c r="GA95" i="39"/>
  <c r="FZ95" i="39"/>
  <c r="FY95" i="39"/>
  <c r="FX95" i="39"/>
  <c r="FW95" i="39"/>
  <c r="FV95" i="39"/>
  <c r="FU95" i="39"/>
  <c r="FT95" i="39"/>
  <c r="FS95" i="39"/>
  <c r="FR95" i="39"/>
  <c r="FQ95" i="39"/>
  <c r="FP95" i="39"/>
  <c r="FO95" i="39"/>
  <c r="FN95" i="39"/>
  <c r="FM95" i="39"/>
  <c r="FL95" i="39"/>
  <c r="FK95" i="39"/>
  <c r="FJ95" i="39"/>
  <c r="FI95" i="39"/>
  <c r="FH95" i="39"/>
  <c r="FG95" i="39"/>
  <c r="FF95" i="39"/>
  <c r="FE95" i="39"/>
  <c r="FD95" i="39"/>
  <c r="FC95" i="39"/>
  <c r="FB95" i="39"/>
  <c r="FA95" i="39"/>
  <c r="EZ95" i="39"/>
  <c r="EY95" i="39"/>
  <c r="EX95" i="39"/>
  <c r="EW95" i="39"/>
  <c r="EV95" i="39"/>
  <c r="EU95" i="39"/>
  <c r="ET95" i="39"/>
  <c r="ES95" i="39"/>
  <c r="ER95" i="39"/>
  <c r="EQ95" i="39"/>
  <c r="EP95" i="39"/>
  <c r="EO95" i="39"/>
  <c r="EN95" i="39"/>
  <c r="EM95" i="39"/>
  <c r="EL95" i="39"/>
  <c r="EK95" i="39"/>
  <c r="EJ95" i="39"/>
  <c r="EI95" i="39"/>
  <c r="EH95" i="39"/>
  <c r="EG95" i="39"/>
  <c r="EF95" i="39"/>
  <c r="EE95" i="39"/>
  <c r="ED95" i="39"/>
  <c r="EC95" i="39"/>
  <c r="EB95" i="39"/>
  <c r="EA95" i="39"/>
  <c r="DZ95" i="39"/>
  <c r="DY95" i="39"/>
  <c r="DX95" i="39"/>
  <c r="DW95" i="39"/>
  <c r="DV95" i="39"/>
  <c r="DU95" i="39"/>
  <c r="DT95" i="39"/>
  <c r="DS95" i="39"/>
  <c r="DR95" i="39"/>
  <c r="DQ95" i="39"/>
  <c r="DP95" i="39"/>
  <c r="DO95" i="39"/>
  <c r="DN95" i="39"/>
  <c r="DM95" i="39"/>
  <c r="DL95" i="39"/>
  <c r="DK95" i="39"/>
  <c r="DJ95" i="39"/>
  <c r="DI95" i="39"/>
  <c r="DH95" i="39"/>
  <c r="DG95" i="39"/>
  <c r="DF95" i="39"/>
  <c r="DE95" i="39"/>
  <c r="DD95" i="39"/>
  <c r="DC95" i="39"/>
  <c r="DB95" i="39"/>
  <c r="DA95" i="39"/>
  <c r="CZ95" i="39"/>
  <c r="CY95" i="39"/>
  <c r="CX95" i="39"/>
  <c r="CW95" i="39"/>
  <c r="CV95" i="39"/>
  <c r="CU95" i="39"/>
  <c r="CT95" i="39"/>
  <c r="CS95" i="39"/>
  <c r="CR95" i="39"/>
  <c r="CQ95" i="39"/>
  <c r="CP95" i="39"/>
  <c r="CO95" i="39"/>
  <c r="CN95" i="39"/>
  <c r="CM95" i="39"/>
  <c r="CL95" i="39"/>
  <c r="CK95" i="39"/>
  <c r="CJ95" i="39"/>
  <c r="CI95" i="39"/>
  <c r="CH95" i="39"/>
  <c r="CG95" i="39"/>
  <c r="CF95" i="39"/>
  <c r="CE95" i="39"/>
  <c r="CD95" i="39"/>
  <c r="CC95" i="39"/>
  <c r="CB95" i="39"/>
  <c r="CA95" i="39"/>
  <c r="BZ95" i="39"/>
  <c r="BY95" i="39"/>
  <c r="BX95" i="39"/>
  <c r="BW95" i="39"/>
  <c r="BV95" i="39"/>
  <c r="BU95" i="39"/>
  <c r="BT95" i="39"/>
  <c r="BS95" i="39"/>
  <c r="BR95" i="39"/>
  <c r="BQ95" i="39"/>
  <c r="BP95" i="39"/>
  <c r="BO95" i="39"/>
  <c r="BN95" i="39"/>
  <c r="BM95" i="39"/>
  <c r="BL95" i="39"/>
  <c r="BK95" i="39"/>
  <c r="BJ95" i="39"/>
  <c r="BI95" i="39"/>
  <c r="BH95" i="39"/>
  <c r="BG95" i="39"/>
  <c r="BF95" i="39"/>
  <c r="BE95" i="39"/>
  <c r="BD95" i="39"/>
  <c r="BC95" i="39"/>
  <c r="BB95" i="39"/>
  <c r="BA95" i="39"/>
  <c r="AZ95" i="39"/>
  <c r="AY95" i="39"/>
  <c r="AX95" i="39"/>
  <c r="AW95" i="39"/>
  <c r="AV95" i="39"/>
  <c r="AU95" i="39"/>
  <c r="AT95" i="39"/>
  <c r="AS95" i="39"/>
  <c r="AR95" i="39"/>
  <c r="AQ95" i="39"/>
  <c r="AP95" i="39"/>
  <c r="AO95" i="39"/>
  <c r="AK95" i="39"/>
  <c r="AJ95" i="39"/>
  <c r="AI95" i="39"/>
  <c r="AH95" i="39"/>
  <c r="AG95" i="39"/>
  <c r="AF95" i="39"/>
  <c r="AE95" i="39"/>
  <c r="AD95" i="39"/>
  <c r="AC95" i="39"/>
  <c r="AB95" i="39"/>
  <c r="AA95" i="39"/>
  <c r="Z95" i="39"/>
  <c r="Y95" i="39"/>
  <c r="X95" i="39"/>
  <c r="W95" i="39"/>
  <c r="V95" i="39"/>
  <c r="U95" i="39"/>
  <c r="T95" i="39"/>
  <c r="S95" i="39"/>
  <c r="R95" i="39"/>
  <c r="Q95" i="39"/>
  <c r="P95" i="39"/>
  <c r="O95" i="39"/>
  <c r="N95" i="39"/>
  <c r="M95" i="39"/>
  <c r="L95" i="39"/>
  <c r="K95" i="39"/>
  <c r="J95" i="39"/>
  <c r="I95" i="39"/>
  <c r="H95" i="39"/>
  <c r="G95" i="39"/>
  <c r="F95" i="39"/>
  <c r="E95" i="39"/>
  <c r="D95" i="39"/>
  <c r="C95" i="39"/>
  <c r="B95" i="39"/>
  <c r="GA94" i="39"/>
  <c r="FZ94" i="39"/>
  <c r="FY94" i="39"/>
  <c r="FX94" i="39"/>
  <c r="FW94" i="39"/>
  <c r="FV94" i="39"/>
  <c r="FU94" i="39"/>
  <c r="FT94" i="39"/>
  <c r="FS94" i="39"/>
  <c r="FR94" i="39"/>
  <c r="FQ94" i="39"/>
  <c r="FP94" i="39"/>
  <c r="FO94" i="39"/>
  <c r="FN94" i="39"/>
  <c r="FM94" i="39"/>
  <c r="FL94" i="39"/>
  <c r="FK94" i="39"/>
  <c r="FJ94" i="39"/>
  <c r="FI94" i="39"/>
  <c r="FH94" i="39"/>
  <c r="FG94" i="39"/>
  <c r="FF94" i="39"/>
  <c r="FE94" i="39"/>
  <c r="FD94" i="39"/>
  <c r="FC94" i="39"/>
  <c r="FB94" i="39"/>
  <c r="FA94" i="39"/>
  <c r="EZ94" i="39"/>
  <c r="EY94" i="39"/>
  <c r="EX94" i="39"/>
  <c r="EW94" i="39"/>
  <c r="EU94" i="39"/>
  <c r="ET94" i="39"/>
  <c r="ES94" i="39"/>
  <c r="ER94" i="39"/>
  <c r="EQ94" i="39"/>
  <c r="EP94" i="39"/>
  <c r="EO94" i="39"/>
  <c r="EN94" i="39"/>
  <c r="EM94" i="39"/>
  <c r="EL94" i="39"/>
  <c r="EK94" i="39"/>
  <c r="EJ94" i="39"/>
  <c r="EI94" i="39"/>
  <c r="EH94" i="39"/>
  <c r="EF94" i="39"/>
  <c r="EE94" i="39"/>
  <c r="ED94" i="39"/>
  <c r="EC94" i="39"/>
  <c r="EB94" i="39"/>
  <c r="EA94" i="39"/>
  <c r="DZ94" i="39"/>
  <c r="DY94" i="39"/>
  <c r="DX94" i="39"/>
  <c r="DW94" i="39"/>
  <c r="DV94" i="39"/>
  <c r="DU94" i="39"/>
  <c r="DT94" i="39"/>
  <c r="DS94" i="39"/>
  <c r="DR94" i="39"/>
  <c r="DQ94" i="39"/>
  <c r="DP94" i="39"/>
  <c r="DO94" i="39"/>
  <c r="DN94" i="39"/>
  <c r="DM94" i="39"/>
  <c r="DL94" i="39"/>
  <c r="DK94" i="39"/>
  <c r="DJ94" i="39"/>
  <c r="DI94" i="39"/>
  <c r="DH94" i="39"/>
  <c r="DG94" i="39"/>
  <c r="DF94" i="39"/>
  <c r="DE94" i="39"/>
  <c r="DD94" i="39"/>
  <c r="DB94" i="39"/>
  <c r="DA94" i="39"/>
  <c r="CZ94" i="39"/>
  <c r="CY94" i="39"/>
  <c r="CX94" i="39"/>
  <c r="CW94" i="39"/>
  <c r="CV94" i="39"/>
  <c r="CU94" i="39"/>
  <c r="CS94" i="39"/>
  <c r="CR94" i="39"/>
  <c r="CQ94" i="39"/>
  <c r="CP94" i="39"/>
  <c r="CO94" i="39"/>
  <c r="CN94" i="39"/>
  <c r="CM94" i="39"/>
  <c r="CL94" i="39"/>
  <c r="CJ94" i="39"/>
  <c r="CI94" i="39"/>
  <c r="CH94" i="39"/>
  <c r="CG94" i="39"/>
  <c r="CF94" i="39"/>
  <c r="CE94" i="39"/>
  <c r="CD94" i="39"/>
  <c r="CC94" i="39"/>
  <c r="CB94" i="39"/>
  <c r="CA94" i="39"/>
  <c r="BZ94" i="39"/>
  <c r="BY94" i="39"/>
  <c r="BX94" i="39"/>
  <c r="BW94" i="39"/>
  <c r="BV94" i="39"/>
  <c r="BU94" i="39"/>
  <c r="BT94" i="39"/>
  <c r="BS94" i="39"/>
  <c r="BR94" i="39"/>
  <c r="BQ94" i="39"/>
  <c r="BP94" i="39"/>
  <c r="BO94" i="39"/>
  <c r="BN94" i="39"/>
  <c r="BM94" i="39"/>
  <c r="BL94" i="39"/>
  <c r="BK94" i="39"/>
  <c r="BJ94" i="39"/>
  <c r="BI94" i="39"/>
  <c r="BH94" i="39"/>
  <c r="BG94" i="39"/>
  <c r="BF94" i="39"/>
  <c r="BE94" i="39"/>
  <c r="BD94" i="39"/>
  <c r="BC94" i="39"/>
  <c r="BB94" i="39"/>
  <c r="BA94" i="39"/>
  <c r="AZ94" i="39"/>
  <c r="AY94" i="39"/>
  <c r="AX94" i="39"/>
  <c r="AW94" i="39"/>
  <c r="AV94" i="39"/>
  <c r="AU94" i="39"/>
  <c r="AT94" i="39"/>
  <c r="AS94" i="39"/>
  <c r="AR94" i="39"/>
  <c r="AQ94" i="39"/>
  <c r="AP94" i="39"/>
  <c r="AO94" i="39"/>
  <c r="AK94" i="39"/>
  <c r="AJ94" i="39"/>
  <c r="AI94" i="39"/>
  <c r="AH94" i="39"/>
  <c r="AG94" i="39"/>
  <c r="AF94" i="39"/>
  <c r="AE94" i="39"/>
  <c r="AD94" i="39"/>
  <c r="AC94" i="39"/>
  <c r="AB94" i="39"/>
  <c r="AA94" i="39"/>
  <c r="Z94" i="39"/>
  <c r="Y94" i="39"/>
  <c r="X94" i="39"/>
  <c r="W94" i="39"/>
  <c r="V94" i="39"/>
  <c r="U94" i="39"/>
  <c r="T94" i="39"/>
  <c r="Q94" i="39"/>
  <c r="P94" i="39"/>
  <c r="O94" i="39"/>
  <c r="N94" i="39"/>
  <c r="M94" i="39"/>
  <c r="L94" i="39"/>
  <c r="K94" i="39"/>
  <c r="J94" i="39"/>
  <c r="I94" i="39"/>
  <c r="H94" i="39"/>
  <c r="G94" i="39"/>
  <c r="F94" i="39"/>
  <c r="E94" i="39"/>
  <c r="D94" i="39"/>
  <c r="C94" i="39"/>
  <c r="B94" i="39"/>
  <c r="GA93" i="39"/>
  <c r="FZ93" i="39"/>
  <c r="FY93" i="39"/>
  <c r="FX93" i="39"/>
  <c r="FW93" i="39"/>
  <c r="FV93" i="39"/>
  <c r="FU93" i="39"/>
  <c r="FT93" i="39"/>
  <c r="FS93" i="39"/>
  <c r="FR93" i="39"/>
  <c r="FQ93" i="39"/>
  <c r="FP93" i="39"/>
  <c r="FO93" i="39"/>
  <c r="FN93" i="39"/>
  <c r="FM93" i="39"/>
  <c r="FL93" i="39"/>
  <c r="FK93" i="39"/>
  <c r="FJ93" i="39"/>
  <c r="FI93" i="39"/>
  <c r="FH93" i="39"/>
  <c r="FG93" i="39"/>
  <c r="FF93" i="39"/>
  <c r="FE93" i="39"/>
  <c r="FD93" i="39"/>
  <c r="FC93" i="39"/>
  <c r="FB93" i="39"/>
  <c r="FA93" i="39"/>
  <c r="EZ93" i="39"/>
  <c r="EY93" i="39"/>
  <c r="EX93" i="39"/>
  <c r="EW93" i="39"/>
  <c r="EV93" i="39"/>
  <c r="EU93" i="39"/>
  <c r="ET93" i="39"/>
  <c r="ES93" i="39"/>
  <c r="ER93" i="39"/>
  <c r="EQ93" i="39"/>
  <c r="EP93" i="39"/>
  <c r="EO93" i="39"/>
  <c r="EN93" i="39"/>
  <c r="EM93" i="39"/>
  <c r="EL93" i="39"/>
  <c r="EK93" i="39"/>
  <c r="EJ93" i="39"/>
  <c r="EH93" i="39"/>
  <c r="EG93" i="39"/>
  <c r="EF93" i="39"/>
  <c r="EE93" i="39"/>
  <c r="ED93" i="39"/>
  <c r="EC93" i="39"/>
  <c r="EB93" i="39"/>
  <c r="EA93" i="39"/>
  <c r="DZ93" i="39"/>
  <c r="DY93" i="39"/>
  <c r="DX93" i="39"/>
  <c r="DW93" i="39"/>
  <c r="DV93" i="39"/>
  <c r="DU93" i="39"/>
  <c r="DT93" i="39"/>
  <c r="DS93" i="39"/>
  <c r="DR93" i="39"/>
  <c r="DQ93" i="39"/>
  <c r="DP93" i="39"/>
  <c r="DO93" i="39"/>
  <c r="DN93" i="39"/>
  <c r="DM93" i="39"/>
  <c r="DL93" i="39"/>
  <c r="DK93" i="39"/>
  <c r="DJ93" i="39"/>
  <c r="DI93" i="39"/>
  <c r="DH93" i="39"/>
  <c r="DG93" i="39"/>
  <c r="DF93" i="39"/>
  <c r="DE93" i="39"/>
  <c r="DD93" i="39"/>
  <c r="DC93" i="39"/>
  <c r="DB93" i="39"/>
  <c r="DA93" i="39"/>
  <c r="CZ93" i="39"/>
  <c r="CY93" i="39"/>
  <c r="CX93" i="39"/>
  <c r="CW93" i="39"/>
  <c r="CV93" i="39"/>
  <c r="CU93" i="39"/>
  <c r="CT93" i="39"/>
  <c r="CS93" i="39"/>
  <c r="CR93" i="39"/>
  <c r="CQ93" i="39"/>
  <c r="CP93" i="39"/>
  <c r="CO93" i="39"/>
  <c r="CN93" i="39"/>
  <c r="CM93" i="39"/>
  <c r="CL93" i="39"/>
  <c r="CJ93" i="39"/>
  <c r="CI93" i="39"/>
  <c r="CH93" i="39"/>
  <c r="CG93" i="39"/>
  <c r="CF93" i="39"/>
  <c r="CE93" i="39"/>
  <c r="CD93" i="39"/>
  <c r="CC93" i="39"/>
  <c r="CB93" i="39"/>
  <c r="CA93" i="39"/>
  <c r="BZ93" i="39"/>
  <c r="BY93" i="39"/>
  <c r="BX93" i="39"/>
  <c r="BW93" i="39"/>
  <c r="BV93" i="39"/>
  <c r="BU93" i="39"/>
  <c r="BT93" i="39"/>
  <c r="BS93" i="39"/>
  <c r="BR93" i="39"/>
  <c r="BQ93" i="39"/>
  <c r="BP93" i="39"/>
  <c r="BO93" i="39"/>
  <c r="BN93" i="39"/>
  <c r="BM93" i="39"/>
  <c r="BL93" i="39"/>
  <c r="BK93" i="39"/>
  <c r="BJ93" i="39"/>
  <c r="BI93" i="39"/>
  <c r="BH93" i="39"/>
  <c r="BG93" i="39"/>
  <c r="BF93" i="39"/>
  <c r="BE93" i="39"/>
  <c r="BD93" i="39"/>
  <c r="BC93" i="39"/>
  <c r="BB93" i="39"/>
  <c r="BA93" i="39"/>
  <c r="AZ93" i="39"/>
  <c r="AY93" i="39"/>
  <c r="AX93" i="39"/>
  <c r="AW93" i="39"/>
  <c r="AV93" i="39"/>
  <c r="AU93" i="39"/>
  <c r="AT93" i="39"/>
  <c r="AS93" i="39"/>
  <c r="AR93" i="39"/>
  <c r="AQ93" i="39"/>
  <c r="AP93" i="39"/>
  <c r="AO93" i="39"/>
  <c r="AK93" i="39"/>
  <c r="AJ93" i="39"/>
  <c r="AI93" i="39"/>
  <c r="AH93" i="39"/>
  <c r="AG93" i="39"/>
  <c r="AF93" i="39"/>
  <c r="AE93" i="39"/>
  <c r="AD93" i="39"/>
  <c r="AC93" i="39"/>
  <c r="AB93" i="39"/>
  <c r="AA93" i="39"/>
  <c r="Z93" i="39"/>
  <c r="Y93" i="39"/>
  <c r="X93" i="39"/>
  <c r="W93" i="39"/>
  <c r="V93" i="39"/>
  <c r="U93" i="39"/>
  <c r="T93" i="39"/>
  <c r="S93" i="39"/>
  <c r="R93" i="39"/>
  <c r="Q93" i="39"/>
  <c r="P93" i="39"/>
  <c r="O93" i="39"/>
  <c r="N93" i="39"/>
  <c r="M93" i="39"/>
  <c r="L93" i="39"/>
  <c r="K93" i="39"/>
  <c r="J93" i="39"/>
  <c r="I93" i="39"/>
  <c r="H93" i="39"/>
  <c r="G93" i="39"/>
  <c r="F93" i="39"/>
  <c r="E93" i="39"/>
  <c r="D93" i="39"/>
  <c r="C93" i="39"/>
  <c r="B93" i="39"/>
  <c r="GA92" i="39"/>
  <c r="FZ92" i="39"/>
  <c r="FY92" i="39"/>
  <c r="FX92" i="39"/>
  <c r="FW92" i="39"/>
  <c r="FV92" i="39"/>
  <c r="FU92" i="39"/>
  <c r="FT92" i="39"/>
  <c r="FS92" i="39"/>
  <c r="FR92" i="39"/>
  <c r="FQ92" i="39"/>
  <c r="FP92" i="39"/>
  <c r="FO92" i="39"/>
  <c r="FN92" i="39"/>
  <c r="FM92" i="39"/>
  <c r="FL92" i="39"/>
  <c r="FK92" i="39"/>
  <c r="FJ92" i="39"/>
  <c r="FI92" i="39"/>
  <c r="FH92" i="39"/>
  <c r="FG92" i="39"/>
  <c r="FF92" i="39"/>
  <c r="FE92" i="39"/>
  <c r="FD92" i="39"/>
  <c r="FC92" i="39"/>
  <c r="FB92" i="39"/>
  <c r="FA92" i="39"/>
  <c r="EZ92" i="39"/>
  <c r="EY92" i="39"/>
  <c r="EX92" i="39"/>
  <c r="EW92" i="39"/>
  <c r="EV92" i="39"/>
  <c r="EU92" i="39"/>
  <c r="ET92" i="39"/>
  <c r="ES92" i="39"/>
  <c r="ER92" i="39"/>
  <c r="EQ92" i="39"/>
  <c r="EP92" i="39"/>
  <c r="EO92" i="39"/>
  <c r="EN92" i="39"/>
  <c r="EM92" i="39"/>
  <c r="EL92" i="39"/>
  <c r="EK92" i="39"/>
  <c r="EJ92" i="39"/>
  <c r="EH92" i="39"/>
  <c r="EG92" i="39"/>
  <c r="EF92" i="39"/>
  <c r="EE92" i="39"/>
  <c r="ED92" i="39"/>
  <c r="EC92" i="39"/>
  <c r="EB92" i="39"/>
  <c r="EA92" i="39"/>
  <c r="DZ92" i="39"/>
  <c r="DY92" i="39"/>
  <c r="DX92" i="39"/>
  <c r="DW92" i="39"/>
  <c r="DV92" i="39"/>
  <c r="DU92" i="39"/>
  <c r="DT92" i="39"/>
  <c r="DS92" i="39"/>
  <c r="DR92" i="39"/>
  <c r="DQ92" i="39"/>
  <c r="DP92" i="39"/>
  <c r="DO92" i="39"/>
  <c r="DN92" i="39"/>
  <c r="DM92" i="39"/>
  <c r="DL92" i="39"/>
  <c r="DK92" i="39"/>
  <c r="DJ92" i="39"/>
  <c r="DI92" i="39"/>
  <c r="DH92" i="39"/>
  <c r="DG92" i="39"/>
  <c r="DF92" i="39"/>
  <c r="DE92" i="39"/>
  <c r="DD92" i="39"/>
  <c r="DC92" i="39"/>
  <c r="DB92" i="39"/>
  <c r="DA92" i="39"/>
  <c r="CZ92" i="39"/>
  <c r="CY92" i="39"/>
  <c r="CX92" i="39"/>
  <c r="CW92" i="39"/>
  <c r="CV92" i="39"/>
  <c r="CU92" i="39"/>
  <c r="CT92" i="39"/>
  <c r="CS92" i="39"/>
  <c r="CR92" i="39"/>
  <c r="CQ92" i="39"/>
  <c r="CP92" i="39"/>
  <c r="CO92" i="39"/>
  <c r="CN92" i="39"/>
  <c r="CM92" i="39"/>
  <c r="CL92" i="39"/>
  <c r="CJ92" i="39"/>
  <c r="CI92" i="39"/>
  <c r="CH92" i="39"/>
  <c r="CG92" i="39"/>
  <c r="CF92" i="39"/>
  <c r="CE92" i="39"/>
  <c r="CD92" i="39"/>
  <c r="CC92" i="39"/>
  <c r="CB92" i="39"/>
  <c r="CA92" i="39"/>
  <c r="BZ92" i="39"/>
  <c r="BY92" i="39"/>
  <c r="BX92" i="39"/>
  <c r="BW92" i="39"/>
  <c r="BV92" i="39"/>
  <c r="BU92" i="39"/>
  <c r="BT92" i="39"/>
  <c r="BS92" i="39"/>
  <c r="BR92" i="39"/>
  <c r="BQ92" i="39"/>
  <c r="BP92" i="39"/>
  <c r="BO92" i="39"/>
  <c r="BN92" i="39"/>
  <c r="BM92" i="39"/>
  <c r="BL92" i="39"/>
  <c r="BK92" i="39"/>
  <c r="BJ92" i="39"/>
  <c r="BI92" i="39"/>
  <c r="BH92" i="39"/>
  <c r="BG92" i="39"/>
  <c r="BF92" i="39"/>
  <c r="BE92" i="39"/>
  <c r="BD92" i="39"/>
  <c r="BC92" i="39"/>
  <c r="BB92" i="39"/>
  <c r="BA92" i="39"/>
  <c r="AZ92" i="39"/>
  <c r="AY92" i="39"/>
  <c r="AX92" i="39"/>
  <c r="AW92" i="39"/>
  <c r="AV92" i="39"/>
  <c r="AU92" i="39"/>
  <c r="AT92" i="39"/>
  <c r="AS92" i="39"/>
  <c r="AR92" i="39"/>
  <c r="AQ92" i="39"/>
  <c r="AP92" i="39"/>
  <c r="AO92" i="39"/>
  <c r="AK92" i="39"/>
  <c r="AJ92" i="39"/>
  <c r="AI92" i="39"/>
  <c r="AH92" i="39"/>
  <c r="AG92" i="39"/>
  <c r="AF92" i="39"/>
  <c r="AE92" i="39"/>
  <c r="AD92" i="39"/>
  <c r="AC92" i="39"/>
  <c r="AB92" i="39"/>
  <c r="AA92" i="39"/>
  <c r="Z92" i="39"/>
  <c r="Y92" i="39"/>
  <c r="X92" i="39"/>
  <c r="W92" i="39"/>
  <c r="V92" i="39"/>
  <c r="U92" i="39"/>
  <c r="T92" i="39"/>
  <c r="S92" i="39"/>
  <c r="R92" i="39"/>
  <c r="Q92" i="39"/>
  <c r="P92" i="39"/>
  <c r="O92" i="39"/>
  <c r="N92" i="39"/>
  <c r="M92" i="39"/>
  <c r="L92" i="39"/>
  <c r="K92" i="39"/>
  <c r="J92" i="39"/>
  <c r="I92" i="39"/>
  <c r="H92" i="39"/>
  <c r="G92" i="39"/>
  <c r="F92" i="39"/>
  <c r="E92" i="39"/>
  <c r="D92" i="39"/>
  <c r="C92" i="39"/>
  <c r="B92" i="39"/>
  <c r="GA91" i="39"/>
  <c r="FZ91" i="39"/>
  <c r="FY91" i="39"/>
  <c r="FX91" i="39"/>
  <c r="FW91" i="39"/>
  <c r="FV91" i="39"/>
  <c r="FU91" i="39"/>
  <c r="FT91" i="39"/>
  <c r="FS91" i="39"/>
  <c r="FR91" i="39"/>
  <c r="FQ91" i="39"/>
  <c r="FP91" i="39"/>
  <c r="FO91" i="39"/>
  <c r="FN91" i="39"/>
  <c r="FM91" i="39"/>
  <c r="FL91" i="39"/>
  <c r="FK91" i="39"/>
  <c r="FJ91" i="39"/>
  <c r="FI91" i="39"/>
  <c r="FH91" i="39"/>
  <c r="FG91" i="39"/>
  <c r="FF91" i="39"/>
  <c r="FE91" i="39"/>
  <c r="FD91" i="39"/>
  <c r="FC91" i="39"/>
  <c r="FB91" i="39"/>
  <c r="FA91" i="39"/>
  <c r="EZ91" i="39"/>
  <c r="EY91" i="39"/>
  <c r="EX91" i="39"/>
  <c r="EW91" i="39"/>
  <c r="EV91" i="39"/>
  <c r="EU91" i="39"/>
  <c r="ET91" i="39"/>
  <c r="ES91" i="39"/>
  <c r="ER91" i="39"/>
  <c r="EQ91" i="39"/>
  <c r="EP91" i="39"/>
  <c r="EO91" i="39"/>
  <c r="EN91" i="39"/>
  <c r="EM91" i="39"/>
  <c r="EL91" i="39"/>
  <c r="EK91" i="39"/>
  <c r="EJ91" i="39"/>
  <c r="EH91" i="39"/>
  <c r="EF91" i="39"/>
  <c r="EE91" i="39"/>
  <c r="ED91" i="39"/>
  <c r="EC91" i="39"/>
  <c r="EB91" i="39"/>
  <c r="EA91" i="39"/>
  <c r="DZ91" i="39"/>
  <c r="DY91" i="39"/>
  <c r="DX91" i="39"/>
  <c r="DW91" i="39"/>
  <c r="DV91" i="39"/>
  <c r="DU91" i="39"/>
  <c r="DT91" i="39"/>
  <c r="DS91" i="39"/>
  <c r="DR91" i="39"/>
  <c r="DQ91" i="39"/>
  <c r="DP91" i="39"/>
  <c r="DO91" i="39"/>
  <c r="DN91" i="39"/>
  <c r="DM91" i="39"/>
  <c r="DL91" i="39"/>
  <c r="DK91" i="39"/>
  <c r="DJ91" i="39"/>
  <c r="DI91" i="39"/>
  <c r="DH91" i="39"/>
  <c r="DG91" i="39"/>
  <c r="DF91" i="39"/>
  <c r="DE91" i="39"/>
  <c r="DD91" i="39"/>
  <c r="DB91" i="39"/>
  <c r="DA91" i="39"/>
  <c r="CZ91" i="39"/>
  <c r="CY91" i="39"/>
  <c r="CX91" i="39"/>
  <c r="CW91" i="39"/>
  <c r="CV91" i="39"/>
  <c r="CU91" i="39"/>
  <c r="CT91" i="39"/>
  <c r="CS91" i="39"/>
  <c r="CR91" i="39"/>
  <c r="CQ91" i="39"/>
  <c r="CP91" i="39"/>
  <c r="CO91" i="39"/>
  <c r="CN91" i="39"/>
  <c r="CM91" i="39"/>
  <c r="CL91" i="39"/>
  <c r="CJ91" i="39"/>
  <c r="CI91" i="39"/>
  <c r="CH91" i="39"/>
  <c r="CG91" i="39"/>
  <c r="CF91" i="39"/>
  <c r="CE91" i="39"/>
  <c r="CD91" i="39"/>
  <c r="CC91" i="39"/>
  <c r="CB91" i="39"/>
  <c r="CA91" i="39"/>
  <c r="BZ91" i="39"/>
  <c r="BY91" i="39"/>
  <c r="BX91" i="39"/>
  <c r="BW91" i="39"/>
  <c r="BV91" i="39"/>
  <c r="BU91" i="39"/>
  <c r="BT91" i="39"/>
  <c r="BS91" i="39"/>
  <c r="BR91" i="39"/>
  <c r="BQ91" i="39"/>
  <c r="BP91" i="39"/>
  <c r="BO91" i="39"/>
  <c r="BN91" i="39"/>
  <c r="BM91" i="39"/>
  <c r="BL91" i="39"/>
  <c r="BK91" i="39"/>
  <c r="BJ91" i="39"/>
  <c r="BI91" i="39"/>
  <c r="BH91" i="39"/>
  <c r="BG91" i="39"/>
  <c r="BF91" i="39"/>
  <c r="BE91" i="39"/>
  <c r="BD91" i="39"/>
  <c r="BC91" i="39"/>
  <c r="BB91" i="39"/>
  <c r="BA91" i="39"/>
  <c r="AZ91" i="39"/>
  <c r="AY91" i="39"/>
  <c r="AX91" i="39"/>
  <c r="AW91" i="39"/>
  <c r="AV91" i="39"/>
  <c r="AU91" i="39"/>
  <c r="AT91" i="39"/>
  <c r="AS91" i="39"/>
  <c r="AR91" i="39"/>
  <c r="AQ91" i="39"/>
  <c r="AP91" i="39"/>
  <c r="AO91" i="39"/>
  <c r="AK91" i="39"/>
  <c r="AJ91" i="39"/>
  <c r="AI91" i="39"/>
  <c r="AH91" i="39"/>
  <c r="AG91" i="39"/>
  <c r="AF91" i="39"/>
  <c r="AE91" i="39"/>
  <c r="AC91" i="39"/>
  <c r="AB91" i="39"/>
  <c r="AA91" i="39"/>
  <c r="Z91" i="39"/>
  <c r="Y91" i="39"/>
  <c r="X91" i="39"/>
  <c r="W91" i="39"/>
  <c r="V91" i="39"/>
  <c r="U91" i="39"/>
  <c r="T91" i="39"/>
  <c r="S91" i="39"/>
  <c r="R91" i="39"/>
  <c r="Q91" i="39"/>
  <c r="P91" i="39"/>
  <c r="O91" i="39"/>
  <c r="N91" i="39"/>
  <c r="M91" i="39"/>
  <c r="L91" i="39"/>
  <c r="K91" i="39"/>
  <c r="J91" i="39"/>
  <c r="I91" i="39"/>
  <c r="H91" i="39"/>
  <c r="G91" i="39"/>
  <c r="F91" i="39"/>
  <c r="E91" i="39"/>
  <c r="D91" i="39"/>
  <c r="C91" i="39"/>
  <c r="B91" i="39"/>
  <c r="GA89" i="39"/>
  <c r="FZ89" i="39"/>
  <c r="FY89" i="39"/>
  <c r="FQ89" i="39"/>
  <c r="FM89" i="39"/>
  <c r="FK89" i="39"/>
  <c r="FJ89" i="39"/>
  <c r="FI89" i="39"/>
  <c r="ET89" i="39"/>
  <c r="EO89" i="39"/>
  <c r="DZ89" i="39"/>
  <c r="DV89" i="39"/>
  <c r="DT89" i="39"/>
  <c r="DO89" i="39"/>
  <c r="CV89" i="39"/>
  <c r="CP89" i="39"/>
  <c r="CO89" i="39"/>
  <c r="CN89" i="39"/>
  <c r="CL89" i="39"/>
  <c r="BZ89" i="39"/>
  <c r="BY89" i="39"/>
  <c r="BV89" i="39"/>
  <c r="AK89" i="39"/>
  <c r="H89" i="39"/>
  <c r="G89" i="39"/>
  <c r="F89" i="39"/>
  <c r="E89" i="39"/>
  <c r="GA88" i="39"/>
  <c r="FZ88" i="39"/>
  <c r="FY88" i="39"/>
  <c r="FQ88" i="39"/>
  <c r="FM88" i="39"/>
  <c r="FK88" i="39"/>
  <c r="FJ88" i="39"/>
  <c r="FI88" i="39"/>
  <c r="ET88" i="39"/>
  <c r="EO88" i="39"/>
  <c r="DZ88" i="39"/>
  <c r="DV88" i="39"/>
  <c r="DT88" i="39"/>
  <c r="DO88" i="39"/>
  <c r="CV88" i="39"/>
  <c r="CP88" i="39"/>
  <c r="CO88" i="39"/>
  <c r="CN88" i="39"/>
  <c r="CL88" i="39"/>
  <c r="BZ88" i="39"/>
  <c r="BY88" i="39"/>
  <c r="BV88" i="39"/>
  <c r="AK88" i="39"/>
  <c r="H88" i="39"/>
  <c r="G88" i="39"/>
  <c r="F88" i="39"/>
  <c r="E88" i="39"/>
  <c r="FY81" i="39"/>
  <c r="FH81" i="39"/>
  <c r="FG81" i="39"/>
  <c r="FF81" i="39"/>
  <c r="FE81" i="39"/>
  <c r="FD81" i="39"/>
  <c r="FC81" i="39"/>
  <c r="FB81" i="39"/>
  <c r="FA81" i="39"/>
  <c r="EZ81" i="39"/>
  <c r="EY81" i="39"/>
  <c r="EX81" i="39"/>
  <c r="EW81" i="39"/>
  <c r="EV81" i="39"/>
  <c r="EU81" i="39"/>
  <c r="ES81" i="39"/>
  <c r="ER81" i="39"/>
  <c r="EQ81" i="39"/>
  <c r="EP81" i="39"/>
  <c r="EN81" i="39"/>
  <c r="EM81" i="39"/>
  <c r="EL81" i="39"/>
  <c r="EK81" i="39"/>
  <c r="EJ81" i="39"/>
  <c r="EI81" i="39"/>
  <c r="EH81" i="39"/>
  <c r="EG81" i="39"/>
  <c r="EF81" i="39"/>
  <c r="EE81" i="39"/>
  <c r="ED81" i="39"/>
  <c r="EC81" i="39"/>
  <c r="EB81" i="39"/>
  <c r="EA81" i="39"/>
  <c r="DY81" i="39"/>
  <c r="DX81" i="39"/>
  <c r="DW81" i="39"/>
  <c r="DU81" i="39"/>
  <c r="DS81" i="39"/>
  <c r="DR81" i="39"/>
  <c r="DQ81" i="39"/>
  <c r="DP81" i="39"/>
  <c r="DN81" i="39"/>
  <c r="DM81" i="39"/>
  <c r="DL81" i="39"/>
  <c r="DK81" i="39"/>
  <c r="DJ81" i="39"/>
  <c r="DI81" i="39"/>
  <c r="DH81" i="39"/>
  <c r="DG81" i="39"/>
  <c r="DF81" i="39"/>
  <c r="DE81" i="39"/>
  <c r="DD81" i="39"/>
  <c r="DC81" i="39"/>
  <c r="DB81" i="39"/>
  <c r="DA81" i="39"/>
  <c r="CZ81" i="39"/>
  <c r="CY81" i="39"/>
  <c r="CX81" i="39"/>
  <c r="CW81" i="39"/>
  <c r="CU81" i="39"/>
  <c r="CT81" i="39"/>
  <c r="CS81" i="39"/>
  <c r="CR81" i="39"/>
  <c r="CQ81" i="39"/>
  <c r="CM81" i="39"/>
  <c r="CL81" i="39"/>
  <c r="CK81" i="39"/>
  <c r="CJ81" i="39"/>
  <c r="CI81" i="39"/>
  <c r="CH81" i="39"/>
  <c r="CG81" i="39"/>
  <c r="CF81" i="39"/>
  <c r="CE81" i="39"/>
  <c r="CD81" i="39"/>
  <c r="CC81" i="39"/>
  <c r="CB81" i="39"/>
  <c r="CA81" i="39"/>
  <c r="BX81" i="39"/>
  <c r="BW81" i="39"/>
  <c r="BV81" i="39"/>
  <c r="BU81" i="39"/>
  <c r="BT81" i="39"/>
  <c r="BS81" i="39"/>
  <c r="BR81" i="39"/>
  <c r="BQ81" i="39"/>
  <c r="BP81" i="39"/>
  <c r="BO81" i="39"/>
  <c r="BN81" i="39"/>
  <c r="BM81" i="39"/>
  <c r="BL81" i="39"/>
  <c r="BK81" i="39"/>
  <c r="BJ81" i="39"/>
  <c r="BI81" i="39"/>
  <c r="BH81" i="39"/>
  <c r="BG81" i="39"/>
  <c r="BF81" i="39"/>
  <c r="BE81" i="39"/>
  <c r="BD81" i="39"/>
  <c r="BC81" i="39"/>
  <c r="BB81" i="39"/>
  <c r="BA81" i="39"/>
  <c r="AZ81" i="39"/>
  <c r="AY81" i="39"/>
  <c r="AX81" i="39"/>
  <c r="AW81" i="39"/>
  <c r="AV81" i="39"/>
  <c r="AU81" i="39"/>
  <c r="AT81" i="39"/>
  <c r="AS81" i="39"/>
  <c r="AR81" i="39"/>
  <c r="AQ81" i="39"/>
  <c r="AP81" i="39"/>
  <c r="AO81" i="39"/>
  <c r="AN81" i="39"/>
  <c r="AM81" i="39"/>
  <c r="AL81" i="39"/>
  <c r="AJ81" i="39"/>
  <c r="AI81" i="39"/>
  <c r="AH81" i="39"/>
  <c r="AG81" i="39"/>
  <c r="AF81" i="39"/>
  <c r="AE81" i="39"/>
  <c r="AD81" i="39"/>
  <c r="AC81" i="39"/>
  <c r="AB81" i="39"/>
  <c r="AA81" i="39"/>
  <c r="Z81" i="39"/>
  <c r="Y81" i="39"/>
  <c r="X81" i="39"/>
  <c r="W81" i="39"/>
  <c r="V81" i="39"/>
  <c r="U81" i="39"/>
  <c r="T81" i="39"/>
  <c r="S81" i="39"/>
  <c r="R81" i="39"/>
  <c r="Q81" i="39"/>
  <c r="P81" i="39"/>
  <c r="O81" i="39"/>
  <c r="N81" i="39"/>
  <c r="M81" i="39"/>
  <c r="L81" i="39"/>
  <c r="K81" i="39"/>
  <c r="J81" i="39"/>
  <c r="I81" i="39"/>
  <c r="H81" i="39"/>
  <c r="G81" i="39"/>
  <c r="F81" i="39"/>
  <c r="E81" i="39"/>
  <c r="D81" i="39"/>
  <c r="C81" i="39"/>
  <c r="B81" i="39"/>
  <c r="FY80" i="39"/>
  <c r="FH80" i="39"/>
  <c r="FG80" i="39"/>
  <c r="FF80" i="39"/>
  <c r="FE80" i="39"/>
  <c r="FD80" i="39"/>
  <c r="FC80" i="39"/>
  <c r="FB80" i="39"/>
  <c r="FA80" i="39"/>
  <c r="EZ80" i="39"/>
  <c r="EY80" i="39"/>
  <c r="EX80" i="39"/>
  <c r="EW80" i="39"/>
  <c r="EV80" i="39"/>
  <c r="EU80" i="39"/>
  <c r="ES80" i="39"/>
  <c r="ER80" i="39"/>
  <c r="EQ80" i="39"/>
  <c r="EP80" i="39"/>
  <c r="EN80" i="39"/>
  <c r="EM80" i="39"/>
  <c r="EL80" i="39"/>
  <c r="EK80" i="39"/>
  <c r="EJ80" i="39"/>
  <c r="EI80" i="39"/>
  <c r="EH80" i="39"/>
  <c r="EG80" i="39"/>
  <c r="EF80" i="39"/>
  <c r="EE80" i="39"/>
  <c r="ED80" i="39"/>
  <c r="EC80" i="39"/>
  <c r="EB80" i="39"/>
  <c r="EA80" i="39"/>
  <c r="DY80" i="39"/>
  <c r="DX80" i="39"/>
  <c r="DW80" i="39"/>
  <c r="DU80" i="39"/>
  <c r="DS80" i="39"/>
  <c r="DR80" i="39"/>
  <c r="DQ80" i="39"/>
  <c r="DP80" i="39"/>
  <c r="DN80" i="39"/>
  <c r="DM80" i="39"/>
  <c r="DL80" i="39"/>
  <c r="DK80" i="39"/>
  <c r="DJ80" i="39"/>
  <c r="DI80" i="39"/>
  <c r="DH80" i="39"/>
  <c r="DG80" i="39"/>
  <c r="DF80" i="39"/>
  <c r="DE80" i="39"/>
  <c r="DD80" i="39"/>
  <c r="DC80" i="39"/>
  <c r="DB80" i="39"/>
  <c r="DA80" i="39"/>
  <c r="CZ80" i="39"/>
  <c r="CY80" i="39"/>
  <c r="CX80" i="39"/>
  <c r="CW80" i="39"/>
  <c r="CU80" i="39"/>
  <c r="CT80" i="39"/>
  <c r="CS80" i="39"/>
  <c r="CR80" i="39"/>
  <c r="CQ80" i="39"/>
  <c r="CM80" i="39"/>
  <c r="CL80" i="39"/>
  <c r="CK80" i="39"/>
  <c r="CJ80" i="39"/>
  <c r="CI80" i="39"/>
  <c r="CH80" i="39"/>
  <c r="CG80" i="39"/>
  <c r="CF80" i="39"/>
  <c r="CE80" i="39"/>
  <c r="CD80" i="39"/>
  <c r="CC80" i="39"/>
  <c r="CB80" i="39"/>
  <c r="CA80" i="39"/>
  <c r="BX80" i="39"/>
  <c r="BW80" i="39"/>
  <c r="BV80" i="39"/>
  <c r="BU80" i="39"/>
  <c r="BT80" i="39"/>
  <c r="BS80" i="39"/>
  <c r="BR80" i="39"/>
  <c r="BQ80" i="39"/>
  <c r="BP80" i="39"/>
  <c r="BO80" i="39"/>
  <c r="BN80" i="39"/>
  <c r="BM80" i="39"/>
  <c r="BL80" i="39"/>
  <c r="BK80" i="39"/>
  <c r="BJ80" i="39"/>
  <c r="BI80" i="39"/>
  <c r="BH80" i="39"/>
  <c r="BG80" i="39"/>
  <c r="BF80" i="39"/>
  <c r="BE80" i="39"/>
  <c r="BD80" i="39"/>
  <c r="BC80" i="39"/>
  <c r="BB80" i="39"/>
  <c r="BA80" i="39"/>
  <c r="AZ80" i="39"/>
  <c r="AY80" i="39"/>
  <c r="AX80" i="39"/>
  <c r="AW80" i="39"/>
  <c r="AV80" i="39"/>
  <c r="AU80" i="39"/>
  <c r="AT80" i="39"/>
  <c r="AS80" i="39"/>
  <c r="AR80" i="39"/>
  <c r="AQ80" i="39"/>
  <c r="AP80" i="39"/>
  <c r="AO80" i="39"/>
  <c r="AN80" i="39"/>
  <c r="AM80" i="39"/>
  <c r="AL80" i="39"/>
  <c r="AJ80" i="39"/>
  <c r="AI80" i="39"/>
  <c r="AH80" i="39"/>
  <c r="AG80" i="39"/>
  <c r="AF80" i="39"/>
  <c r="AE80" i="39"/>
  <c r="AD80" i="39"/>
  <c r="AC80" i="39"/>
  <c r="AB80" i="39"/>
  <c r="AA80" i="39"/>
  <c r="Z80" i="39"/>
  <c r="Y80" i="39"/>
  <c r="X80" i="39"/>
  <c r="W80" i="39"/>
  <c r="V80" i="39"/>
  <c r="U80" i="39"/>
  <c r="T80" i="39"/>
  <c r="S80" i="39"/>
  <c r="R80" i="39"/>
  <c r="Q80" i="39"/>
  <c r="P80" i="39"/>
  <c r="O80" i="39"/>
  <c r="N80" i="39"/>
  <c r="M80" i="39"/>
  <c r="L80" i="39"/>
  <c r="K80" i="39"/>
  <c r="J80" i="39"/>
  <c r="I80" i="39"/>
  <c r="H80" i="39"/>
  <c r="G80" i="39"/>
  <c r="F80" i="39"/>
  <c r="E80" i="39"/>
  <c r="D80" i="39"/>
  <c r="C80" i="39"/>
  <c r="B80" i="39"/>
  <c r="FY79" i="39"/>
  <c r="FH79" i="39"/>
  <c r="FG79" i="39"/>
  <c r="FF79" i="39"/>
  <c r="FE79" i="39"/>
  <c r="FD79" i="39"/>
  <c r="FC79" i="39"/>
  <c r="FB79" i="39"/>
  <c r="FA79" i="39"/>
  <c r="EZ79" i="39"/>
  <c r="EY79" i="39"/>
  <c r="EX79" i="39"/>
  <c r="EW79" i="39"/>
  <c r="EV79" i="39"/>
  <c r="EU79" i="39"/>
  <c r="ES79" i="39"/>
  <c r="ER79" i="39"/>
  <c r="EQ79" i="39"/>
  <c r="EP79" i="39"/>
  <c r="EN79" i="39"/>
  <c r="EM79" i="39"/>
  <c r="EL79" i="39"/>
  <c r="EK79" i="39"/>
  <c r="EJ79" i="39"/>
  <c r="EI79" i="39"/>
  <c r="EH79" i="39"/>
  <c r="EG79" i="39"/>
  <c r="EF79" i="39"/>
  <c r="EE79" i="39"/>
  <c r="ED79" i="39"/>
  <c r="EC79" i="39"/>
  <c r="EB79" i="39"/>
  <c r="EA79" i="39"/>
  <c r="DY79" i="39"/>
  <c r="DX79" i="39"/>
  <c r="DW79" i="39"/>
  <c r="DU79" i="39"/>
  <c r="DS79" i="39"/>
  <c r="DR79" i="39"/>
  <c r="DQ79" i="39"/>
  <c r="DP79" i="39"/>
  <c r="DN79" i="39"/>
  <c r="DM79" i="39"/>
  <c r="DL79" i="39"/>
  <c r="DK79" i="39"/>
  <c r="DJ79" i="39"/>
  <c r="DI79" i="39"/>
  <c r="DH79" i="39"/>
  <c r="DG79" i="39"/>
  <c r="DF79" i="39"/>
  <c r="DE79" i="39"/>
  <c r="DD79" i="39"/>
  <c r="DC79" i="39"/>
  <c r="DB79" i="39"/>
  <c r="DA79" i="39"/>
  <c r="CZ79" i="39"/>
  <c r="CY79" i="39"/>
  <c r="CX79" i="39"/>
  <c r="CW79" i="39"/>
  <c r="CU79" i="39"/>
  <c r="CT79" i="39"/>
  <c r="CS79" i="39"/>
  <c r="CR79" i="39"/>
  <c r="CQ79" i="39"/>
  <c r="CM79" i="39"/>
  <c r="CL79" i="39"/>
  <c r="CK79" i="39"/>
  <c r="CJ79" i="39"/>
  <c r="CI79" i="39"/>
  <c r="CH79" i="39"/>
  <c r="CG79" i="39"/>
  <c r="CF79" i="39"/>
  <c r="CE79" i="39"/>
  <c r="CD79" i="39"/>
  <c r="CC79" i="39"/>
  <c r="CB79" i="39"/>
  <c r="CA79" i="39"/>
  <c r="BX79" i="39"/>
  <c r="BW79" i="39"/>
  <c r="BV79" i="39"/>
  <c r="BU79" i="39"/>
  <c r="BT79" i="39"/>
  <c r="BS79" i="39"/>
  <c r="BR79" i="39"/>
  <c r="BQ79" i="39"/>
  <c r="BP79" i="39"/>
  <c r="BO79" i="39"/>
  <c r="BN79" i="39"/>
  <c r="BM79" i="39"/>
  <c r="BL79" i="39"/>
  <c r="BK79" i="39"/>
  <c r="BJ79" i="39"/>
  <c r="BI79" i="39"/>
  <c r="BH79" i="39"/>
  <c r="BG79" i="39"/>
  <c r="BF79" i="39"/>
  <c r="BE79" i="39"/>
  <c r="BD79" i="39"/>
  <c r="BC79" i="39"/>
  <c r="BB79" i="39"/>
  <c r="BA79" i="39"/>
  <c r="AZ79" i="39"/>
  <c r="AY79" i="39"/>
  <c r="AX79" i="39"/>
  <c r="AW79" i="39"/>
  <c r="AV79" i="39"/>
  <c r="AU79" i="39"/>
  <c r="AT79" i="39"/>
  <c r="AS79" i="39"/>
  <c r="AR79" i="39"/>
  <c r="AQ79" i="39"/>
  <c r="AP79" i="39"/>
  <c r="AO79" i="39"/>
  <c r="AN79" i="39"/>
  <c r="AM79" i="39"/>
  <c r="AL79" i="39"/>
  <c r="AJ79" i="39"/>
  <c r="AI79" i="39"/>
  <c r="AH79" i="39"/>
  <c r="AG79" i="39"/>
  <c r="AF79" i="39"/>
  <c r="AE79" i="39"/>
  <c r="AD79" i="39"/>
  <c r="AC79" i="39"/>
  <c r="AB79" i="39"/>
  <c r="AA79" i="39"/>
  <c r="Z79" i="39"/>
  <c r="Y79" i="39"/>
  <c r="X79" i="39"/>
  <c r="W79" i="39"/>
  <c r="V79" i="39"/>
  <c r="U79" i="39"/>
  <c r="T79" i="39"/>
  <c r="S79" i="39"/>
  <c r="R79" i="39"/>
  <c r="Q79" i="39"/>
  <c r="P79" i="39"/>
  <c r="O79" i="39"/>
  <c r="N79" i="39"/>
  <c r="M79" i="39"/>
  <c r="L79" i="39"/>
  <c r="K79" i="39"/>
  <c r="J79" i="39"/>
  <c r="I79" i="39"/>
  <c r="H79" i="39"/>
  <c r="G79" i="39"/>
  <c r="F79" i="39"/>
  <c r="E79" i="39"/>
  <c r="D79" i="39"/>
  <c r="C79" i="39"/>
  <c r="B79" i="39"/>
  <c r="FY78" i="39"/>
  <c r="FH78" i="39"/>
  <c r="FG78" i="39"/>
  <c r="FF78" i="39"/>
  <c r="FE78" i="39"/>
  <c r="FD78" i="39"/>
  <c r="FC78" i="39"/>
  <c r="FB78" i="39"/>
  <c r="FA78" i="39"/>
  <c r="EZ78" i="39"/>
  <c r="EY78" i="39"/>
  <c r="EX78" i="39"/>
  <c r="EW78" i="39"/>
  <c r="EV78" i="39"/>
  <c r="EU78" i="39"/>
  <c r="ES78" i="39"/>
  <c r="ER78" i="39"/>
  <c r="EQ78" i="39"/>
  <c r="EP78" i="39"/>
  <c r="EN78" i="39"/>
  <c r="EM78" i="39"/>
  <c r="EL78" i="39"/>
  <c r="EK78" i="39"/>
  <c r="EJ78" i="39"/>
  <c r="EI78" i="39"/>
  <c r="EH78" i="39"/>
  <c r="EG78" i="39"/>
  <c r="EF78" i="39"/>
  <c r="EE78" i="39"/>
  <c r="ED78" i="39"/>
  <c r="EC78" i="39"/>
  <c r="EB78" i="39"/>
  <c r="EA78" i="39"/>
  <c r="DY78" i="39"/>
  <c r="DX78" i="39"/>
  <c r="DW78" i="39"/>
  <c r="DU78" i="39"/>
  <c r="DS78" i="39"/>
  <c r="DR78" i="39"/>
  <c r="DQ78" i="39"/>
  <c r="DP78" i="39"/>
  <c r="DN78" i="39"/>
  <c r="DM78" i="39"/>
  <c r="DL78" i="39"/>
  <c r="DK78" i="39"/>
  <c r="DJ78" i="39"/>
  <c r="DI78" i="39"/>
  <c r="DH78" i="39"/>
  <c r="DG78" i="39"/>
  <c r="DF78" i="39"/>
  <c r="DE78" i="39"/>
  <c r="DD78" i="39"/>
  <c r="DC78" i="39"/>
  <c r="DB78" i="39"/>
  <c r="DA78" i="39"/>
  <c r="CZ78" i="39"/>
  <c r="CY78" i="39"/>
  <c r="CX78" i="39"/>
  <c r="CW78" i="39"/>
  <c r="CU78" i="39"/>
  <c r="CT78" i="39"/>
  <c r="CS78" i="39"/>
  <c r="CR78" i="39"/>
  <c r="CQ78" i="39"/>
  <c r="CM78" i="39"/>
  <c r="CL78" i="39"/>
  <c r="CK78" i="39"/>
  <c r="CJ78" i="39"/>
  <c r="CI78" i="39"/>
  <c r="CH78" i="39"/>
  <c r="CG78" i="39"/>
  <c r="CF78" i="39"/>
  <c r="CE78" i="39"/>
  <c r="CD78" i="39"/>
  <c r="CC78" i="39"/>
  <c r="CB78" i="39"/>
  <c r="CA78" i="39"/>
  <c r="BX78" i="39"/>
  <c r="BW78" i="39"/>
  <c r="BV78" i="39"/>
  <c r="BU78" i="39"/>
  <c r="BT78" i="39"/>
  <c r="BS78" i="39"/>
  <c r="BR78" i="39"/>
  <c r="BQ78" i="39"/>
  <c r="BP78" i="39"/>
  <c r="BO78" i="39"/>
  <c r="BN78" i="39"/>
  <c r="BM78" i="39"/>
  <c r="BL78" i="39"/>
  <c r="BK78" i="39"/>
  <c r="BJ78" i="39"/>
  <c r="BI78" i="39"/>
  <c r="BH78" i="39"/>
  <c r="BG78" i="39"/>
  <c r="BF78" i="39"/>
  <c r="BE78" i="39"/>
  <c r="BD78" i="39"/>
  <c r="BC78" i="39"/>
  <c r="BB78" i="39"/>
  <c r="BA78" i="39"/>
  <c r="AZ78" i="39"/>
  <c r="AY78" i="39"/>
  <c r="AX78" i="39"/>
  <c r="AW78" i="39"/>
  <c r="AV78" i="39"/>
  <c r="AU78" i="39"/>
  <c r="AT78" i="39"/>
  <c r="AS78" i="39"/>
  <c r="AR78" i="39"/>
  <c r="AQ78" i="39"/>
  <c r="AP78" i="39"/>
  <c r="AO78" i="39"/>
  <c r="AN78" i="39"/>
  <c r="AM78" i="39"/>
  <c r="AL78" i="39"/>
  <c r="AJ78" i="39"/>
  <c r="AI78" i="39"/>
  <c r="AH78" i="39"/>
  <c r="AG78" i="39"/>
  <c r="AF78" i="39"/>
  <c r="AE78" i="39"/>
  <c r="AD78" i="39"/>
  <c r="AC78" i="39"/>
  <c r="AB78" i="39"/>
  <c r="AA78" i="39"/>
  <c r="Z78" i="39"/>
  <c r="Y78" i="39"/>
  <c r="X78" i="39"/>
  <c r="W78" i="39"/>
  <c r="V78" i="39"/>
  <c r="U78" i="39"/>
  <c r="T78" i="39"/>
  <c r="S78" i="39"/>
  <c r="R78" i="39"/>
  <c r="Q78" i="39"/>
  <c r="P78" i="39"/>
  <c r="O78" i="39"/>
  <c r="N78" i="39"/>
  <c r="M78" i="39"/>
  <c r="L78" i="39"/>
  <c r="K78" i="39"/>
  <c r="J78" i="39"/>
  <c r="I78" i="39"/>
  <c r="H78" i="39"/>
  <c r="G78" i="39"/>
  <c r="F78" i="39"/>
  <c r="E78" i="39"/>
  <c r="D78" i="39"/>
  <c r="C78" i="39"/>
  <c r="B78" i="39"/>
  <c r="GA76" i="39"/>
  <c r="FZ76" i="39"/>
  <c r="FY76" i="39"/>
  <c r="FY86" i="39" s="1"/>
  <c r="FX76" i="39"/>
  <c r="FW76" i="39"/>
  <c r="FU76" i="39"/>
  <c r="FT76" i="39"/>
  <c r="FR76" i="39"/>
  <c r="FQ76" i="39"/>
  <c r="FP76" i="39"/>
  <c r="FO76" i="39"/>
  <c r="FN76" i="39"/>
  <c r="FM76" i="39"/>
  <c r="FL76" i="39"/>
  <c r="FK76" i="39"/>
  <c r="FJ76" i="39"/>
  <c r="FH76" i="39"/>
  <c r="FH86" i="39" s="1"/>
  <c r="FG76" i="39"/>
  <c r="FG86" i="39" s="1"/>
  <c r="FF76" i="39"/>
  <c r="FF86" i="39" s="1"/>
  <c r="FE76" i="39"/>
  <c r="FE86" i="39" s="1"/>
  <c r="FD76" i="39"/>
  <c r="FD86" i="39" s="1"/>
  <c r="FC76" i="39"/>
  <c r="FC86" i="39" s="1"/>
  <c r="FB76" i="39"/>
  <c r="FB86" i="39" s="1"/>
  <c r="FA76" i="39"/>
  <c r="FA86" i="39" s="1"/>
  <c r="EZ76" i="39"/>
  <c r="EZ86" i="39" s="1"/>
  <c r="EY76" i="39"/>
  <c r="EY86" i="39" s="1"/>
  <c r="EX76" i="39"/>
  <c r="EX86" i="39" s="1"/>
  <c r="EW76" i="39"/>
  <c r="EW86" i="39" s="1"/>
  <c r="EU76" i="39"/>
  <c r="EU86" i="39" s="1"/>
  <c r="ET76" i="39"/>
  <c r="ES76" i="39"/>
  <c r="ES86" i="39" s="1"/>
  <c r="ER76" i="39"/>
  <c r="ER86" i="39" s="1"/>
  <c r="EQ76" i="39"/>
  <c r="EQ86" i="39" s="1"/>
  <c r="EP76" i="39"/>
  <c r="EP86" i="39" s="1"/>
  <c r="EO76" i="39"/>
  <c r="EN76" i="39"/>
  <c r="EN86" i="39" s="1"/>
  <c r="EM76" i="39"/>
  <c r="EM86" i="39" s="1"/>
  <c r="EL76" i="39"/>
  <c r="EL86" i="39" s="1"/>
  <c r="EK76" i="39"/>
  <c r="EK86" i="39" s="1"/>
  <c r="EJ76" i="39"/>
  <c r="EJ86" i="39" s="1"/>
  <c r="EI76" i="39"/>
  <c r="EI86" i="39" s="1"/>
  <c r="EH76" i="39"/>
  <c r="EH86" i="39" s="1"/>
  <c r="EG76" i="39"/>
  <c r="EG86" i="39" s="1"/>
  <c r="EF76" i="39"/>
  <c r="EF86" i="39" s="1"/>
  <c r="EE76" i="39"/>
  <c r="EE86" i="39" s="1"/>
  <c r="ED76" i="39"/>
  <c r="ED86" i="39" s="1"/>
  <c r="EC76" i="39"/>
  <c r="EC86" i="39" s="1"/>
  <c r="EB76" i="39"/>
  <c r="EB86" i="39" s="1"/>
  <c r="DZ76" i="39"/>
  <c r="DY76" i="39"/>
  <c r="DY86" i="39" s="1"/>
  <c r="DX76" i="39"/>
  <c r="DX86" i="39" s="1"/>
  <c r="DW76" i="39"/>
  <c r="DW86" i="39" s="1"/>
  <c r="DV76" i="39"/>
  <c r="DU76" i="39"/>
  <c r="DU86" i="39" s="1"/>
  <c r="DT76" i="39"/>
  <c r="DS76" i="39"/>
  <c r="DS86" i="39" s="1"/>
  <c r="DR76" i="39"/>
  <c r="DR86" i="39" s="1"/>
  <c r="DQ76" i="39"/>
  <c r="DQ86" i="39" s="1"/>
  <c r="DP76" i="39"/>
  <c r="DP86" i="39" s="1"/>
  <c r="DO76" i="39"/>
  <c r="DN76" i="39"/>
  <c r="DN86" i="39" s="1"/>
  <c r="DM76" i="39"/>
  <c r="DM86" i="39" s="1"/>
  <c r="DL76" i="39"/>
  <c r="DL86" i="39" s="1"/>
  <c r="DK76" i="39"/>
  <c r="DK86" i="39" s="1"/>
  <c r="DJ76" i="39"/>
  <c r="DJ86" i="39" s="1"/>
  <c r="DI76" i="39"/>
  <c r="DI86" i="39" s="1"/>
  <c r="DH76" i="39"/>
  <c r="DH86" i="39" s="1"/>
  <c r="DG76" i="39"/>
  <c r="DG86" i="39" s="1"/>
  <c r="DF76" i="39"/>
  <c r="DF86" i="39" s="1"/>
  <c r="DE76" i="39"/>
  <c r="DE86" i="39" s="1"/>
  <c r="DD76" i="39"/>
  <c r="DD86" i="39" s="1"/>
  <c r="DB76" i="39"/>
  <c r="DB86" i="39" s="1"/>
  <c r="DA76" i="39"/>
  <c r="DA86" i="39" s="1"/>
  <c r="CZ76" i="39"/>
  <c r="CZ86" i="39" s="1"/>
  <c r="CY76" i="39"/>
  <c r="CY86" i="39" s="1"/>
  <c r="CX76" i="39"/>
  <c r="CX86" i="39" s="1"/>
  <c r="CW76" i="39"/>
  <c r="CW86" i="39" s="1"/>
  <c r="CV76" i="39"/>
  <c r="CU76" i="39"/>
  <c r="CU86" i="39" s="1"/>
  <c r="CT76" i="39"/>
  <c r="CT86" i="39" s="1"/>
  <c r="CS76" i="39"/>
  <c r="CS86" i="39" s="1"/>
  <c r="CR76" i="39"/>
  <c r="CR86" i="39" s="1"/>
  <c r="CQ76" i="39"/>
  <c r="CQ86" i="39" s="1"/>
  <c r="CP76" i="39"/>
  <c r="CO76" i="39"/>
  <c r="CN76" i="39"/>
  <c r="CM76" i="39"/>
  <c r="CM86" i="39" s="1"/>
  <c r="CL76" i="39"/>
  <c r="CL86" i="39" s="1"/>
  <c r="CJ76" i="39"/>
  <c r="CJ86" i="39" s="1"/>
  <c r="CI76" i="39"/>
  <c r="CI86" i="39" s="1"/>
  <c r="CH76" i="39"/>
  <c r="CH86" i="39" s="1"/>
  <c r="CG76" i="39"/>
  <c r="CG86" i="39" s="1"/>
  <c r="CF76" i="39"/>
  <c r="CF86" i="39" s="1"/>
  <c r="CE76" i="39"/>
  <c r="CE86" i="39" s="1"/>
  <c r="CC76" i="39"/>
  <c r="CC86" i="39" s="1"/>
  <c r="CB76" i="39"/>
  <c r="CB86" i="39" s="1"/>
  <c r="CA76" i="39"/>
  <c r="CA86" i="39" s="1"/>
  <c r="BZ76" i="39"/>
  <c r="BY76" i="39"/>
  <c r="BX76" i="39"/>
  <c r="BX86" i="39" s="1"/>
  <c r="BW76" i="39"/>
  <c r="BW86" i="39" s="1"/>
  <c r="BU76" i="39"/>
  <c r="BU86" i="39" s="1"/>
  <c r="BT76" i="39"/>
  <c r="BT86" i="39" s="1"/>
  <c r="BS76" i="39"/>
  <c r="BS86" i="39" s="1"/>
  <c r="BR76" i="39"/>
  <c r="BR86" i="39" s="1"/>
  <c r="BQ76" i="39"/>
  <c r="BQ86" i="39" s="1"/>
  <c r="BP76" i="39"/>
  <c r="BP86" i="39" s="1"/>
  <c r="BO76" i="39"/>
  <c r="BO86" i="39" s="1"/>
  <c r="BN76" i="39"/>
  <c r="BN86" i="39" s="1"/>
  <c r="BM76" i="39"/>
  <c r="BM86" i="39" s="1"/>
  <c r="BL76" i="39"/>
  <c r="BL86" i="39" s="1"/>
  <c r="BK76" i="39"/>
  <c r="BK86" i="39" s="1"/>
  <c r="BJ76" i="39"/>
  <c r="BJ86" i="39" s="1"/>
  <c r="BI76" i="39"/>
  <c r="BI86" i="39" s="1"/>
  <c r="BH76" i="39"/>
  <c r="BH86" i="39" s="1"/>
  <c r="BG76" i="39"/>
  <c r="BG86" i="39" s="1"/>
  <c r="BF76" i="39"/>
  <c r="BF86" i="39" s="1"/>
  <c r="BE76" i="39"/>
  <c r="BE86" i="39" s="1"/>
  <c r="BD76" i="39"/>
  <c r="BD86" i="39" s="1"/>
  <c r="BC76" i="39"/>
  <c r="BC86" i="39" s="1"/>
  <c r="BB76" i="39"/>
  <c r="BB86" i="39" s="1"/>
  <c r="BA76" i="39"/>
  <c r="BA86" i="39" s="1"/>
  <c r="AZ76" i="39"/>
  <c r="AZ86" i="39" s="1"/>
  <c r="AY76" i="39"/>
  <c r="AY86" i="39" s="1"/>
  <c r="AX76" i="39"/>
  <c r="AX86" i="39" s="1"/>
  <c r="AW76" i="39"/>
  <c r="AW86" i="39" s="1"/>
  <c r="AV76" i="39"/>
  <c r="AV86" i="39" s="1"/>
  <c r="AU76" i="39"/>
  <c r="AU86" i="39" s="1"/>
  <c r="AT76" i="39"/>
  <c r="AT86" i="39" s="1"/>
  <c r="AS76" i="39"/>
  <c r="AS86" i="39" s="1"/>
  <c r="AR76" i="39"/>
  <c r="AR86" i="39" s="1"/>
  <c r="AQ76" i="39"/>
  <c r="AQ86" i="39" s="1"/>
  <c r="AP76" i="39"/>
  <c r="AP86" i="39" s="1"/>
  <c r="AO76" i="39"/>
  <c r="AO86" i="39" s="1"/>
  <c r="AK76" i="39"/>
  <c r="AJ76" i="39"/>
  <c r="AJ86" i="39" s="1"/>
  <c r="AI76" i="39"/>
  <c r="AI86" i="39" s="1"/>
  <c r="AH76" i="39"/>
  <c r="AH86" i="39" s="1"/>
  <c r="AG76" i="39"/>
  <c r="AG86" i="39" s="1"/>
  <c r="AF76" i="39"/>
  <c r="AF86" i="39" s="1"/>
  <c r="AE76" i="39"/>
  <c r="AE86" i="39" s="1"/>
  <c r="AD76" i="39"/>
  <c r="AD86" i="39" s="1"/>
  <c r="AC76" i="39"/>
  <c r="AC86" i="39" s="1"/>
  <c r="AB76" i="39"/>
  <c r="AB86" i="39" s="1"/>
  <c r="AA76" i="39"/>
  <c r="AA86" i="39" s="1"/>
  <c r="Z76" i="39"/>
  <c r="Z86" i="39" s="1"/>
  <c r="Y76" i="39"/>
  <c r="Y86" i="39" s="1"/>
  <c r="X76" i="39"/>
  <c r="X86" i="39" s="1"/>
  <c r="W76" i="39"/>
  <c r="W86" i="39" s="1"/>
  <c r="V76" i="39"/>
  <c r="V86" i="39" s="1"/>
  <c r="U76" i="39"/>
  <c r="U86" i="39" s="1"/>
  <c r="T76" i="39"/>
  <c r="T86" i="39" s="1"/>
  <c r="S76" i="39"/>
  <c r="S86" i="39" s="1"/>
  <c r="Q76" i="39"/>
  <c r="Q86" i="39" s="1"/>
  <c r="O76" i="39"/>
  <c r="O86" i="39" s="1"/>
  <c r="N76" i="39"/>
  <c r="N86" i="39" s="1"/>
  <c r="M76" i="39"/>
  <c r="M86" i="39" s="1"/>
  <c r="L76" i="39"/>
  <c r="L86" i="39" s="1"/>
  <c r="K76" i="39"/>
  <c r="K86" i="39" s="1"/>
  <c r="J76" i="39"/>
  <c r="J86" i="39" s="1"/>
  <c r="I76" i="39"/>
  <c r="I86" i="39" s="1"/>
  <c r="H76" i="39"/>
  <c r="H86" i="39" s="1"/>
  <c r="G76" i="39"/>
  <c r="G86" i="39" s="1"/>
  <c r="F76" i="39"/>
  <c r="F86" i="39" s="1"/>
  <c r="E76" i="39"/>
  <c r="E86" i="39" s="1"/>
  <c r="D76" i="39"/>
  <c r="D86" i="39" s="1"/>
  <c r="C76" i="39"/>
  <c r="C86" i="39" s="1"/>
  <c r="B76" i="39"/>
  <c r="B86" i="39" s="1"/>
  <c r="GA75" i="39"/>
  <c r="FZ75" i="39"/>
  <c r="FY75" i="39"/>
  <c r="FY85" i="39" s="1"/>
  <c r="FX75" i="39"/>
  <c r="FW75" i="39"/>
  <c r="FU75" i="39"/>
  <c r="FT75" i="39"/>
  <c r="FR75" i="39"/>
  <c r="FR89" i="39" s="1"/>
  <c r="FQ75" i="39"/>
  <c r="FP75" i="39"/>
  <c r="FP89" i="39" s="1"/>
  <c r="FO75" i="39"/>
  <c r="FO89" i="39" s="1"/>
  <c r="FN75" i="39"/>
  <c r="FN89" i="39" s="1"/>
  <c r="FM75" i="39"/>
  <c r="FL75" i="39"/>
  <c r="FL89" i="39" s="1"/>
  <c r="FK75" i="39"/>
  <c r="FJ75" i="39"/>
  <c r="FH75" i="39"/>
  <c r="FG75" i="39"/>
  <c r="FF75" i="39"/>
  <c r="FE75" i="39"/>
  <c r="FD75" i="39"/>
  <c r="FC75" i="39"/>
  <c r="FB75" i="39"/>
  <c r="FA75" i="39"/>
  <c r="EZ75" i="39"/>
  <c r="EY75" i="39"/>
  <c r="EX75" i="39"/>
  <c r="EW75" i="39"/>
  <c r="EU75" i="39"/>
  <c r="ET75" i="39"/>
  <c r="ES75" i="39"/>
  <c r="ER75" i="39"/>
  <c r="EQ75" i="39"/>
  <c r="EP75" i="39"/>
  <c r="EO75" i="39"/>
  <c r="EN75" i="39"/>
  <c r="EM75" i="39"/>
  <c r="EL75" i="39"/>
  <c r="EK75" i="39"/>
  <c r="EJ75" i="39"/>
  <c r="EI75" i="39"/>
  <c r="EH75" i="39"/>
  <c r="EG75" i="39"/>
  <c r="EF75" i="39"/>
  <c r="EE75" i="39"/>
  <c r="ED75" i="39"/>
  <c r="EC75" i="39"/>
  <c r="EB75" i="39"/>
  <c r="DZ75" i="39"/>
  <c r="DY75" i="39"/>
  <c r="DX75" i="39"/>
  <c r="DW75" i="39"/>
  <c r="DV75" i="39"/>
  <c r="DU75" i="39"/>
  <c r="DT75" i="39"/>
  <c r="DS75" i="39"/>
  <c r="DR75" i="39"/>
  <c r="DQ75" i="39"/>
  <c r="DP75" i="39"/>
  <c r="DO75" i="39"/>
  <c r="DN75" i="39"/>
  <c r="DM75" i="39"/>
  <c r="DL75" i="39"/>
  <c r="DK75" i="39"/>
  <c r="DJ75" i="39"/>
  <c r="DI75" i="39"/>
  <c r="DH75" i="39"/>
  <c r="DG75" i="39"/>
  <c r="DF75" i="39"/>
  <c r="DE75" i="39"/>
  <c r="DD75" i="39"/>
  <c r="DB75" i="39"/>
  <c r="DA75" i="39"/>
  <c r="CZ75" i="39"/>
  <c r="CY75" i="39"/>
  <c r="CX75" i="39"/>
  <c r="CW75" i="39"/>
  <c r="CV75" i="39"/>
  <c r="CU75" i="39"/>
  <c r="CS75" i="39"/>
  <c r="CR75" i="39"/>
  <c r="CQ75" i="39"/>
  <c r="CP75" i="39"/>
  <c r="CN75" i="39"/>
  <c r="CM75" i="39"/>
  <c r="CL75" i="39"/>
  <c r="CK75" i="39"/>
  <c r="CJ75" i="39"/>
  <c r="CI75" i="39"/>
  <c r="CH75" i="39"/>
  <c r="CG75" i="39"/>
  <c r="CF75" i="39"/>
  <c r="CE75" i="39"/>
  <c r="CC75" i="39"/>
  <c r="CB75" i="39"/>
  <c r="CA75" i="39"/>
  <c r="BZ75" i="39"/>
  <c r="BX75" i="39"/>
  <c r="BW75" i="39"/>
  <c r="BU75" i="39"/>
  <c r="BT75" i="39"/>
  <c r="BS75" i="39"/>
  <c r="BR75" i="39"/>
  <c r="BQ75" i="39"/>
  <c r="BP75" i="39"/>
  <c r="BO75" i="39"/>
  <c r="BN75" i="39"/>
  <c r="BM75" i="39"/>
  <c r="BL75" i="39"/>
  <c r="BK75" i="39"/>
  <c r="BJ75" i="39"/>
  <c r="BI75" i="39"/>
  <c r="BH75" i="39"/>
  <c r="BG75" i="39"/>
  <c r="BF75" i="39"/>
  <c r="BE75" i="39"/>
  <c r="BD75" i="39"/>
  <c r="BC75" i="39"/>
  <c r="BB75" i="39"/>
  <c r="BA75" i="39"/>
  <c r="AZ75" i="39"/>
  <c r="AY75" i="39"/>
  <c r="AX75" i="39"/>
  <c r="AW75" i="39"/>
  <c r="AV75" i="39"/>
  <c r="AU75" i="39"/>
  <c r="AT75" i="39"/>
  <c r="AS75" i="39"/>
  <c r="AR75" i="39"/>
  <c r="AQ75" i="39"/>
  <c r="AP75" i="39"/>
  <c r="AO75" i="39"/>
  <c r="AK75" i="39"/>
  <c r="AJ75" i="39"/>
  <c r="AI75" i="39"/>
  <c r="AH75" i="39"/>
  <c r="AG75" i="39"/>
  <c r="AF75" i="39"/>
  <c r="AE75" i="39"/>
  <c r="AD75" i="39"/>
  <c r="AC75" i="39"/>
  <c r="AB75" i="39"/>
  <c r="AA75" i="39"/>
  <c r="Z75" i="39"/>
  <c r="Y75" i="39"/>
  <c r="W75" i="39"/>
  <c r="V75" i="39"/>
  <c r="U75" i="39"/>
  <c r="T75" i="39"/>
  <c r="S75" i="39"/>
  <c r="Q75" i="39"/>
  <c r="P75" i="39"/>
  <c r="O75" i="39"/>
  <c r="N75" i="39"/>
  <c r="M75" i="39"/>
  <c r="L75" i="39"/>
  <c r="K75" i="39"/>
  <c r="J75" i="39"/>
  <c r="I75" i="39"/>
  <c r="H75" i="39"/>
  <c r="H85" i="39" s="1"/>
  <c r="G75" i="39"/>
  <c r="G85" i="39" s="1"/>
  <c r="F75" i="39"/>
  <c r="F85" i="39" s="1"/>
  <c r="E75" i="39"/>
  <c r="E85" i="39" s="1"/>
  <c r="D75" i="39"/>
  <c r="C75" i="39"/>
  <c r="B75" i="39"/>
  <c r="GA74" i="39"/>
  <c r="FZ74" i="39"/>
  <c r="FY74" i="39"/>
  <c r="FY84" i="39" s="1"/>
  <c r="FX74" i="39"/>
  <c r="FW74" i="39"/>
  <c r="FU74" i="39"/>
  <c r="FT74" i="39"/>
  <c r="FR74" i="39"/>
  <c r="FQ74" i="39"/>
  <c r="FP74" i="39"/>
  <c r="FO74" i="39"/>
  <c r="FN74" i="39"/>
  <c r="FM74" i="39"/>
  <c r="FL74" i="39"/>
  <c r="FK74" i="39"/>
  <c r="FJ74" i="39"/>
  <c r="FH74" i="39"/>
  <c r="FH84" i="39" s="1"/>
  <c r="FG74" i="39"/>
  <c r="FF74" i="39"/>
  <c r="FF84" i="39" s="1"/>
  <c r="FE74" i="39"/>
  <c r="FD74" i="39"/>
  <c r="FD84" i="39" s="1"/>
  <c r="FC74" i="39"/>
  <c r="FB74" i="39"/>
  <c r="FB84" i="39" s="1"/>
  <c r="FA74" i="39"/>
  <c r="EZ74" i="39"/>
  <c r="EZ84" i="39" s="1"/>
  <c r="EY74" i="39"/>
  <c r="EX74" i="39"/>
  <c r="EX84" i="39" s="1"/>
  <c r="EW74" i="39"/>
  <c r="EV74" i="39"/>
  <c r="EV84" i="39" s="1"/>
  <c r="EU74" i="39"/>
  <c r="ET74" i="39"/>
  <c r="ES74" i="39"/>
  <c r="ES84" i="39" s="1"/>
  <c r="ER74" i="39"/>
  <c r="ER84" i="39" s="1"/>
  <c r="EQ74" i="39"/>
  <c r="EQ84" i="39" s="1"/>
  <c r="EP74" i="39"/>
  <c r="EP84" i="39" s="1"/>
  <c r="EO74" i="39"/>
  <c r="EN74" i="39"/>
  <c r="EN84" i="39" s="1"/>
  <c r="EM74" i="39"/>
  <c r="EL74" i="39"/>
  <c r="EL84" i="39" s="1"/>
  <c r="EK74" i="39"/>
  <c r="EJ74" i="39"/>
  <c r="EJ84" i="39" s="1"/>
  <c r="EH74" i="39"/>
  <c r="EH84" i="39" s="1"/>
  <c r="EF74" i="39"/>
  <c r="EF84" i="39" s="1"/>
  <c r="EE74" i="39"/>
  <c r="ED74" i="39"/>
  <c r="ED84" i="39" s="1"/>
  <c r="EC74" i="39"/>
  <c r="EB74" i="39"/>
  <c r="EB84" i="39" s="1"/>
  <c r="EA74" i="39"/>
  <c r="DZ74" i="39"/>
  <c r="DY74" i="39"/>
  <c r="DY84" i="39" s="1"/>
  <c r="DX74" i="39"/>
  <c r="DX84" i="39" s="1"/>
  <c r="DW74" i="39"/>
  <c r="DW84" i="39" s="1"/>
  <c r="DV74" i="39"/>
  <c r="DU74" i="39"/>
  <c r="DT74" i="39"/>
  <c r="DS74" i="39"/>
  <c r="DS84" i="39" s="1"/>
  <c r="DR74" i="39"/>
  <c r="DR84" i="39" s="1"/>
  <c r="DQ74" i="39"/>
  <c r="DQ84" i="39" s="1"/>
  <c r="DP74" i="39"/>
  <c r="DP84" i="39" s="1"/>
  <c r="DO74" i="39"/>
  <c r="DN74" i="39"/>
  <c r="DN84" i="39" s="1"/>
  <c r="DM74" i="39"/>
  <c r="DL74" i="39"/>
  <c r="DL84" i="39" s="1"/>
  <c r="DK74" i="39"/>
  <c r="DJ74" i="39"/>
  <c r="DJ84" i="39" s="1"/>
  <c r="DI74" i="39"/>
  <c r="DH74" i="39"/>
  <c r="DH84" i="39" s="1"/>
  <c r="DG74" i="39"/>
  <c r="DF74" i="39"/>
  <c r="DF84" i="39" s="1"/>
  <c r="DE74" i="39"/>
  <c r="DD74" i="39"/>
  <c r="DD84" i="39" s="1"/>
  <c r="DC74" i="39"/>
  <c r="DB74" i="39"/>
  <c r="DB84" i="39" s="1"/>
  <c r="DA74" i="39"/>
  <c r="CZ74" i="39"/>
  <c r="CZ84" i="39" s="1"/>
  <c r="CY74" i="39"/>
  <c r="CX74" i="39"/>
  <c r="CX84" i="39" s="1"/>
  <c r="CW74" i="39"/>
  <c r="CV74" i="39"/>
  <c r="CU74" i="39"/>
  <c r="CU84" i="39" s="1"/>
  <c r="CT74" i="39"/>
  <c r="CT84" i="39" s="1"/>
  <c r="CS74" i="39"/>
  <c r="CS84" i="39" s="1"/>
  <c r="CR74" i="39"/>
  <c r="CR84" i="39" s="1"/>
  <c r="CQ74" i="39"/>
  <c r="CQ84" i="39" s="1"/>
  <c r="CP74" i="39"/>
  <c r="CN74" i="39"/>
  <c r="CM74" i="39"/>
  <c r="CM84" i="39" s="1"/>
  <c r="CL74" i="39"/>
  <c r="CL84" i="39" s="1"/>
  <c r="CJ74" i="39"/>
  <c r="CJ84" i="39" s="1"/>
  <c r="CI74" i="39"/>
  <c r="CH74" i="39"/>
  <c r="CH84" i="39" s="1"/>
  <c r="CG74" i="39"/>
  <c r="CF74" i="39"/>
  <c r="CF84" i="39" s="1"/>
  <c r="CE74" i="39"/>
  <c r="CD74" i="39"/>
  <c r="CD84" i="39" s="1"/>
  <c r="CC74" i="39"/>
  <c r="CB74" i="39"/>
  <c r="CB84" i="39" s="1"/>
  <c r="CA74" i="39"/>
  <c r="BZ74" i="39"/>
  <c r="BY74" i="39"/>
  <c r="BX74" i="39"/>
  <c r="BX84" i="39" s="1"/>
  <c r="BW74" i="39"/>
  <c r="BV74" i="39"/>
  <c r="BV84" i="39" s="1"/>
  <c r="BU74" i="39"/>
  <c r="BT74" i="39"/>
  <c r="BT84" i="39" s="1"/>
  <c r="BS74" i="39"/>
  <c r="BR74" i="39"/>
  <c r="BR84" i="39" s="1"/>
  <c r="BQ74" i="39"/>
  <c r="BP74" i="39"/>
  <c r="BP84" i="39" s="1"/>
  <c r="BO74" i="39"/>
  <c r="BN74" i="39"/>
  <c r="BN84" i="39" s="1"/>
  <c r="BM74" i="39"/>
  <c r="BL74" i="39"/>
  <c r="BL84" i="39" s="1"/>
  <c r="BK74" i="39"/>
  <c r="BJ74" i="39"/>
  <c r="BJ84" i="39" s="1"/>
  <c r="BI74" i="39"/>
  <c r="BH74" i="39"/>
  <c r="BH84" i="39" s="1"/>
  <c r="BG74" i="39"/>
  <c r="BF74" i="39"/>
  <c r="BF84" i="39" s="1"/>
  <c r="BE74" i="39"/>
  <c r="BD74" i="39"/>
  <c r="BD84" i="39" s="1"/>
  <c r="BC74" i="39"/>
  <c r="BB74" i="39"/>
  <c r="BB84" i="39" s="1"/>
  <c r="BA74" i="39"/>
  <c r="AZ74" i="39"/>
  <c r="AZ84" i="39" s="1"/>
  <c r="AY74" i="39"/>
  <c r="AX74" i="39"/>
  <c r="AX84" i="39" s="1"/>
  <c r="AW74" i="39"/>
  <c r="AV74" i="39"/>
  <c r="AV84" i="39" s="1"/>
  <c r="AU74" i="39"/>
  <c r="AT74" i="39"/>
  <c r="AT84" i="39" s="1"/>
  <c r="AS74" i="39"/>
  <c r="AR74" i="39"/>
  <c r="AR84" i="39" s="1"/>
  <c r="AQ74" i="39"/>
  <c r="AP74" i="39"/>
  <c r="AP84" i="39" s="1"/>
  <c r="AO74" i="39"/>
  <c r="AK74" i="39"/>
  <c r="AJ74" i="39"/>
  <c r="AI74" i="39"/>
  <c r="AI84" i="39" s="1"/>
  <c r="AH74" i="39"/>
  <c r="AG74" i="39"/>
  <c r="AG84" i="39" s="1"/>
  <c r="AF74" i="39"/>
  <c r="AE74" i="39"/>
  <c r="AE84" i="39" s="1"/>
  <c r="AD74" i="39"/>
  <c r="AC74" i="39"/>
  <c r="AC84" i="39" s="1"/>
  <c r="AB74" i="39"/>
  <c r="AA74" i="39"/>
  <c r="AA84" i="39" s="1"/>
  <c r="Z74" i="39"/>
  <c r="Y74" i="39"/>
  <c r="Y84" i="39" s="1"/>
  <c r="X74" i="39"/>
  <c r="W74" i="39"/>
  <c r="W84" i="39" s="1"/>
  <c r="V74" i="39"/>
  <c r="U74" i="39"/>
  <c r="U84" i="39" s="1"/>
  <c r="T74" i="39"/>
  <c r="S74" i="39"/>
  <c r="S84" i="39" s="1"/>
  <c r="R74" i="39"/>
  <c r="Q74" i="39"/>
  <c r="Q84" i="39" s="1"/>
  <c r="P74" i="39"/>
  <c r="O74" i="39"/>
  <c r="O84" i="39" s="1"/>
  <c r="N74" i="39"/>
  <c r="M74" i="39"/>
  <c r="M84" i="39" s="1"/>
  <c r="L74" i="39"/>
  <c r="K74" i="39"/>
  <c r="K84" i="39" s="1"/>
  <c r="J74" i="39"/>
  <c r="I74" i="39"/>
  <c r="I84" i="39" s="1"/>
  <c r="H74" i="39"/>
  <c r="G74" i="39"/>
  <c r="G84" i="39" s="1"/>
  <c r="F74" i="39"/>
  <c r="E74" i="39"/>
  <c r="E84" i="39" s="1"/>
  <c r="D74" i="39"/>
  <c r="C74" i="39"/>
  <c r="C84" i="39" s="1"/>
  <c r="B74" i="39"/>
  <c r="GA73" i="39"/>
  <c r="FZ73" i="39"/>
  <c r="FY73" i="39"/>
  <c r="FY100" i="39" s="1"/>
  <c r="FX73" i="39"/>
  <c r="FW73" i="39"/>
  <c r="FU73" i="39"/>
  <c r="FT73" i="39"/>
  <c r="FR73" i="39"/>
  <c r="FR88" i="39" s="1"/>
  <c r="FQ73" i="39"/>
  <c r="FP73" i="39"/>
  <c r="FP88" i="39" s="1"/>
  <c r="FO73" i="39"/>
  <c r="FO88" i="39" s="1"/>
  <c r="FN73" i="39"/>
  <c r="FN88" i="39" s="1"/>
  <c r="FM73" i="39"/>
  <c r="FL73" i="39"/>
  <c r="FL88" i="39" s="1"/>
  <c r="FK73" i="39"/>
  <c r="FJ73" i="39"/>
  <c r="FH73" i="39"/>
  <c r="FH88" i="39" s="1"/>
  <c r="FG73" i="39"/>
  <c r="FG88" i="39" s="1"/>
  <c r="FF73" i="39"/>
  <c r="FF88" i="39" s="1"/>
  <c r="FE73" i="39"/>
  <c r="FE88" i="39" s="1"/>
  <c r="FD73" i="39"/>
  <c r="FD88" i="39" s="1"/>
  <c r="FC73" i="39"/>
  <c r="FC88" i="39" s="1"/>
  <c r="FB73" i="39"/>
  <c r="FB88" i="39" s="1"/>
  <c r="FA73" i="39"/>
  <c r="FA88" i="39" s="1"/>
  <c r="EZ73" i="39"/>
  <c r="EZ88" i="39" s="1"/>
  <c r="EY73" i="39"/>
  <c r="EY88" i="39" s="1"/>
  <c r="EX73" i="39"/>
  <c r="EX88" i="39" s="1"/>
  <c r="EW73" i="39"/>
  <c r="EW88" i="39" s="1"/>
  <c r="EV73" i="39"/>
  <c r="EV88" i="39" s="1"/>
  <c r="EU73" i="39"/>
  <c r="EU88" i="39" s="1"/>
  <c r="ET73" i="39"/>
  <c r="ES73" i="39"/>
  <c r="ES88" i="39" s="1"/>
  <c r="ER73" i="39"/>
  <c r="ER88" i="39" s="1"/>
  <c r="EQ73" i="39"/>
  <c r="EQ88" i="39" s="1"/>
  <c r="EP73" i="39"/>
  <c r="EP88" i="39" s="1"/>
  <c r="EO73" i="39"/>
  <c r="EN73" i="39"/>
  <c r="EN88" i="39" s="1"/>
  <c r="EM73" i="39"/>
  <c r="EM88" i="39" s="1"/>
  <c r="EL73" i="39"/>
  <c r="EL88" i="39" s="1"/>
  <c r="EK73" i="39"/>
  <c r="EK88" i="39" s="1"/>
  <c r="EJ73" i="39"/>
  <c r="EJ88" i="39" s="1"/>
  <c r="EH73" i="39"/>
  <c r="EH88" i="39" s="1"/>
  <c r="EF73" i="39"/>
  <c r="EF88" i="39" s="1"/>
  <c r="EE73" i="39"/>
  <c r="EE88" i="39" s="1"/>
  <c r="ED73" i="39"/>
  <c r="ED88" i="39" s="1"/>
  <c r="EC73" i="39"/>
  <c r="EC88" i="39" s="1"/>
  <c r="EB73" i="39"/>
  <c r="EB88" i="39" s="1"/>
  <c r="EA73" i="39"/>
  <c r="EA88" i="39" s="1"/>
  <c r="DZ73" i="39"/>
  <c r="DY73" i="39"/>
  <c r="DY88" i="39" s="1"/>
  <c r="DX73" i="39"/>
  <c r="DX88" i="39" s="1"/>
  <c r="DW73" i="39"/>
  <c r="DW88" i="39" s="1"/>
  <c r="DV73" i="39"/>
  <c r="DU73" i="39"/>
  <c r="DU88" i="39" s="1"/>
  <c r="DT73" i="39"/>
  <c r="DS73" i="39"/>
  <c r="DR73" i="39"/>
  <c r="DQ73" i="39"/>
  <c r="DP73" i="39"/>
  <c r="DP88" i="39" s="1"/>
  <c r="DO73" i="39"/>
  <c r="DN73" i="39"/>
  <c r="DN88" i="39" s="1"/>
  <c r="DM73" i="39"/>
  <c r="DM88" i="39" s="1"/>
  <c r="DL73" i="39"/>
  <c r="DL88" i="39" s="1"/>
  <c r="DK73" i="39"/>
  <c r="DK88" i="39" s="1"/>
  <c r="DJ73" i="39"/>
  <c r="DJ88" i="39" s="1"/>
  <c r="DI73" i="39"/>
  <c r="DI88" i="39" s="1"/>
  <c r="DH73" i="39"/>
  <c r="DH88" i="39" s="1"/>
  <c r="DG73" i="39"/>
  <c r="DG88" i="39" s="1"/>
  <c r="DF73" i="39"/>
  <c r="DF88" i="39" s="1"/>
  <c r="DE73" i="39"/>
  <c r="DE88" i="39" s="1"/>
  <c r="DD73" i="39"/>
  <c r="DD88" i="39" s="1"/>
  <c r="DC73" i="39"/>
  <c r="DC88" i="39" s="1"/>
  <c r="DB73" i="39"/>
  <c r="DB88" i="39" s="1"/>
  <c r="DA73" i="39"/>
  <c r="DA88" i="39" s="1"/>
  <c r="CZ73" i="39"/>
  <c r="CZ88" i="39" s="1"/>
  <c r="CY73" i="39"/>
  <c r="CY88" i="39" s="1"/>
  <c r="CX73" i="39"/>
  <c r="CX88" i="39" s="1"/>
  <c r="CW73" i="39"/>
  <c r="CW88" i="39" s="1"/>
  <c r="CV73" i="39"/>
  <c r="CU73" i="39"/>
  <c r="CU88" i="39" s="1"/>
  <c r="CT73" i="39"/>
  <c r="CT88" i="39" s="1"/>
  <c r="CS73" i="39"/>
  <c r="CS88" i="39" s="1"/>
  <c r="CR73" i="39"/>
  <c r="CR88" i="39" s="1"/>
  <c r="CQ73" i="39"/>
  <c r="CQ88" i="39" s="1"/>
  <c r="CP73" i="39"/>
  <c r="CN73" i="39"/>
  <c r="CM73" i="39"/>
  <c r="CM88" i="39" s="1"/>
  <c r="CL73" i="39"/>
  <c r="CJ73" i="39"/>
  <c r="CJ88" i="39" s="1"/>
  <c r="CI73" i="39"/>
  <c r="CI88" i="39" s="1"/>
  <c r="CH73" i="39"/>
  <c r="CH88" i="39" s="1"/>
  <c r="CG73" i="39"/>
  <c r="CG88" i="39" s="1"/>
  <c r="CF73" i="39"/>
  <c r="CF88" i="39" s="1"/>
  <c r="CE73" i="39"/>
  <c r="CE88" i="39" s="1"/>
  <c r="CD73" i="39"/>
  <c r="CD88" i="39" s="1"/>
  <c r="CC73" i="39"/>
  <c r="CC88" i="39" s="1"/>
  <c r="CB73" i="39"/>
  <c r="CB88" i="39" s="1"/>
  <c r="CA73" i="39"/>
  <c r="CA88" i="39" s="1"/>
  <c r="BZ73" i="39"/>
  <c r="BY73" i="39"/>
  <c r="BX73" i="39"/>
  <c r="BX88" i="39" s="1"/>
  <c r="BW73" i="39"/>
  <c r="BW88" i="39" s="1"/>
  <c r="BV73" i="39"/>
  <c r="BV83" i="39" s="1"/>
  <c r="BU73" i="39"/>
  <c r="BU88" i="39" s="1"/>
  <c r="BT73" i="39"/>
  <c r="BT88" i="39" s="1"/>
  <c r="BS73" i="39"/>
  <c r="BS88" i="39" s="1"/>
  <c r="BR73" i="39"/>
  <c r="BR88" i="39" s="1"/>
  <c r="BQ73" i="39"/>
  <c r="BQ88" i="39" s="1"/>
  <c r="BP73" i="39"/>
  <c r="BP88" i="39" s="1"/>
  <c r="BO73" i="39"/>
  <c r="BO88" i="39" s="1"/>
  <c r="BN73" i="39"/>
  <c r="BN88" i="39" s="1"/>
  <c r="BM73" i="39"/>
  <c r="BM88" i="39" s="1"/>
  <c r="BL73" i="39"/>
  <c r="BL88" i="39" s="1"/>
  <c r="BK73" i="39"/>
  <c r="BK88" i="39" s="1"/>
  <c r="BJ73" i="39"/>
  <c r="BJ88" i="39" s="1"/>
  <c r="BI73" i="39"/>
  <c r="BI88" i="39" s="1"/>
  <c r="BH73" i="39"/>
  <c r="BH88" i="39" s="1"/>
  <c r="BG73" i="39"/>
  <c r="BG88" i="39" s="1"/>
  <c r="BF73" i="39"/>
  <c r="BF88" i="39" s="1"/>
  <c r="BE73" i="39"/>
  <c r="BE88" i="39" s="1"/>
  <c r="BD73" i="39"/>
  <c r="BD88" i="39" s="1"/>
  <c r="BC73" i="39"/>
  <c r="BC88" i="39" s="1"/>
  <c r="BB73" i="39"/>
  <c r="BB88" i="39" s="1"/>
  <c r="BA73" i="39"/>
  <c r="BA88" i="39" s="1"/>
  <c r="AZ73" i="39"/>
  <c r="AZ88" i="39" s="1"/>
  <c r="AY73" i="39"/>
  <c r="AY88" i="39" s="1"/>
  <c r="AX73" i="39"/>
  <c r="AX88" i="39" s="1"/>
  <c r="AW73" i="39"/>
  <c r="AW88" i="39" s="1"/>
  <c r="AV73" i="39"/>
  <c r="AV88" i="39" s="1"/>
  <c r="AU73" i="39"/>
  <c r="AU88" i="39" s="1"/>
  <c r="AT73" i="39"/>
  <c r="AT88" i="39" s="1"/>
  <c r="AS73" i="39"/>
  <c r="AS88" i="39" s="1"/>
  <c r="AR73" i="39"/>
  <c r="AR88" i="39" s="1"/>
  <c r="AQ73" i="39"/>
  <c r="AQ88" i="39" s="1"/>
  <c r="AP73" i="39"/>
  <c r="AP88" i="39" s="1"/>
  <c r="AO73" i="39"/>
  <c r="AO88" i="39" s="1"/>
  <c r="AK73" i="39"/>
  <c r="AJ73" i="39"/>
  <c r="AJ88" i="39" s="1"/>
  <c r="AI73" i="39"/>
  <c r="AI88" i="39" s="1"/>
  <c r="AH73" i="39"/>
  <c r="AH88" i="39" s="1"/>
  <c r="AG73" i="39"/>
  <c r="AG88" i="39" s="1"/>
  <c r="AF73" i="39"/>
  <c r="AF88" i="39" s="1"/>
  <c r="AE73" i="39"/>
  <c r="AE88" i="39" s="1"/>
  <c r="AC73" i="39"/>
  <c r="AC88" i="39" s="1"/>
  <c r="AB73" i="39"/>
  <c r="AB88" i="39" s="1"/>
  <c r="AA73" i="39"/>
  <c r="AA88" i="39" s="1"/>
  <c r="Z73" i="39"/>
  <c r="Z88" i="39" s="1"/>
  <c r="Y73" i="39"/>
  <c r="Y88" i="39" s="1"/>
  <c r="X73" i="39"/>
  <c r="X88" i="39" s="1"/>
  <c r="W73" i="39"/>
  <c r="W88" i="39" s="1"/>
  <c r="V73" i="39"/>
  <c r="V88" i="39" s="1"/>
  <c r="U73" i="39"/>
  <c r="U88" i="39" s="1"/>
  <c r="T73" i="39"/>
  <c r="T88" i="39" s="1"/>
  <c r="S73" i="39"/>
  <c r="S88" i="39" s="1"/>
  <c r="R73" i="39"/>
  <c r="R88" i="39" s="1"/>
  <c r="Q73" i="39"/>
  <c r="Q88" i="39" s="1"/>
  <c r="P73" i="39"/>
  <c r="P88" i="39" s="1"/>
  <c r="O73" i="39"/>
  <c r="O88" i="39" s="1"/>
  <c r="N73" i="39"/>
  <c r="N88" i="39" s="1"/>
  <c r="M73" i="39"/>
  <c r="M88" i="39" s="1"/>
  <c r="L73" i="39"/>
  <c r="L88" i="39" s="1"/>
  <c r="K73" i="39"/>
  <c r="K88" i="39" s="1"/>
  <c r="J73" i="39"/>
  <c r="J88" i="39" s="1"/>
  <c r="I73" i="39"/>
  <c r="I88" i="39" s="1"/>
  <c r="H73" i="39"/>
  <c r="G73" i="39"/>
  <c r="F73" i="39"/>
  <c r="E73" i="39"/>
  <c r="D73" i="39"/>
  <c r="D88" i="39" s="1"/>
  <c r="C73" i="39"/>
  <c r="C88" i="39" s="1"/>
  <c r="B73" i="39"/>
  <c r="B88" i="39" s="1"/>
  <c r="EJ72" i="39"/>
  <c r="GA71" i="39"/>
  <c r="FZ71" i="39"/>
  <c r="FY71" i="39"/>
  <c r="FX71" i="39"/>
  <c r="FW71" i="39"/>
  <c r="FU71" i="39"/>
  <c r="FT71" i="39"/>
  <c r="FR71" i="39"/>
  <c r="FQ71" i="39"/>
  <c r="FP71" i="39"/>
  <c r="FO71" i="39"/>
  <c r="FN71" i="39"/>
  <c r="FM71" i="39"/>
  <c r="FL71" i="39"/>
  <c r="FK71" i="39"/>
  <c r="FJ71" i="39"/>
  <c r="FH71" i="39"/>
  <c r="FG71" i="39"/>
  <c r="FF71" i="39"/>
  <c r="FE71" i="39"/>
  <c r="FD71" i="39"/>
  <c r="FC71" i="39"/>
  <c r="FB71" i="39"/>
  <c r="FA71" i="39"/>
  <c r="EZ71" i="39"/>
  <c r="EY71" i="39"/>
  <c r="EX71" i="39"/>
  <c r="EW71" i="39"/>
  <c r="EV71" i="39"/>
  <c r="EU71" i="39"/>
  <c r="ET71" i="39"/>
  <c r="ES71" i="39"/>
  <c r="ER71" i="39"/>
  <c r="EQ71" i="39"/>
  <c r="EP71" i="39"/>
  <c r="EO71" i="39"/>
  <c r="EN71" i="39"/>
  <c r="EM71" i="39"/>
  <c r="EL71" i="39"/>
  <c r="EK71" i="39"/>
  <c r="EJ71" i="39"/>
  <c r="EI71" i="39"/>
  <c r="EH71" i="39"/>
  <c r="EG71" i="39"/>
  <c r="EF71" i="39"/>
  <c r="EE71" i="39"/>
  <c r="ED71" i="39"/>
  <c r="EC71" i="39"/>
  <c r="EB71" i="39"/>
  <c r="DZ71" i="39"/>
  <c r="DY71" i="39"/>
  <c r="DX71" i="39"/>
  <c r="DW71" i="39"/>
  <c r="DV71" i="39"/>
  <c r="DU71" i="39"/>
  <c r="DT71" i="39"/>
  <c r="DS71" i="39"/>
  <c r="DR71" i="39"/>
  <c r="DQ71" i="39"/>
  <c r="DP71" i="39"/>
  <c r="DO71" i="39"/>
  <c r="DN71" i="39"/>
  <c r="DM71" i="39"/>
  <c r="DL71" i="39"/>
  <c r="DK71" i="39"/>
  <c r="DJ71" i="39"/>
  <c r="DI71" i="39"/>
  <c r="DH71" i="39"/>
  <c r="DG71" i="39"/>
  <c r="DF71" i="39"/>
  <c r="DE71" i="39"/>
  <c r="DD71" i="39"/>
  <c r="DB71" i="39"/>
  <c r="DA71" i="39"/>
  <c r="CZ71" i="39"/>
  <c r="CY71" i="39"/>
  <c r="CX71" i="39"/>
  <c r="CW71" i="39"/>
  <c r="CV71" i="39"/>
  <c r="CU71" i="39"/>
  <c r="CT71" i="39"/>
  <c r="CS71" i="39"/>
  <c r="CR71" i="39"/>
  <c r="CQ71" i="39"/>
  <c r="CP71" i="39"/>
  <c r="CN71" i="39"/>
  <c r="CM71" i="39"/>
  <c r="CL71" i="39"/>
  <c r="CJ71" i="39"/>
  <c r="CI71" i="39"/>
  <c r="CH71" i="39"/>
  <c r="CG71" i="39"/>
  <c r="CF71" i="39"/>
  <c r="CE71" i="39"/>
  <c r="CD71" i="39"/>
  <c r="CC71" i="39"/>
  <c r="CB71" i="39"/>
  <c r="CA71" i="39"/>
  <c r="BZ71" i="39"/>
  <c r="BX71" i="39"/>
  <c r="BW71" i="39"/>
  <c r="BU71" i="39"/>
  <c r="BT71" i="39"/>
  <c r="BS71" i="39"/>
  <c r="BR71" i="39"/>
  <c r="BQ71" i="39"/>
  <c r="BP71" i="39"/>
  <c r="BO71" i="39"/>
  <c r="BN71" i="39"/>
  <c r="BM71" i="39"/>
  <c r="BL71" i="39"/>
  <c r="BK71" i="39"/>
  <c r="BJ71" i="39"/>
  <c r="BI71" i="39"/>
  <c r="BH71" i="39"/>
  <c r="BG71" i="39"/>
  <c r="BF71" i="39"/>
  <c r="BE71" i="39"/>
  <c r="BD71" i="39"/>
  <c r="BC71" i="39"/>
  <c r="BB71" i="39"/>
  <c r="BA71" i="39"/>
  <c r="AZ71" i="39"/>
  <c r="AY71" i="39"/>
  <c r="AX71" i="39"/>
  <c r="AW71" i="39"/>
  <c r="AV71" i="39"/>
  <c r="AT71" i="39"/>
  <c r="AS71" i="39"/>
  <c r="AR71" i="39"/>
  <c r="AQ71" i="39"/>
  <c r="AP71" i="39"/>
  <c r="AO71" i="39"/>
  <c r="AK71" i="39"/>
  <c r="AJ71" i="39"/>
  <c r="AI71" i="39"/>
  <c r="AH71" i="39"/>
  <c r="AG71" i="39"/>
  <c r="AF71" i="39"/>
  <c r="AE71" i="39"/>
  <c r="AD71" i="39"/>
  <c r="AC71" i="39"/>
  <c r="AB71" i="39"/>
  <c r="AA71" i="39"/>
  <c r="Z71" i="39"/>
  <c r="Y71" i="39"/>
  <c r="X71" i="39"/>
  <c r="W71" i="39"/>
  <c r="U71" i="39"/>
  <c r="T71" i="39"/>
  <c r="S71" i="39"/>
  <c r="Q71" i="39"/>
  <c r="O71" i="39"/>
  <c r="N71" i="39"/>
  <c r="M71" i="39"/>
  <c r="L71" i="39"/>
  <c r="K71" i="39"/>
  <c r="J71" i="39"/>
  <c r="I71" i="39"/>
  <c r="H71" i="39"/>
  <c r="G71" i="39"/>
  <c r="F71" i="39"/>
  <c r="E71" i="39"/>
  <c r="D71" i="39"/>
  <c r="C71" i="39"/>
  <c r="B71" i="39"/>
  <c r="AN70" i="39"/>
  <c r="AM70" i="39"/>
  <c r="AL70" i="39"/>
  <c r="AN69" i="39"/>
  <c r="AM69" i="39"/>
  <c r="AL69" i="39"/>
  <c r="AN68" i="39"/>
  <c r="AM68" i="39"/>
  <c r="AL68" i="39"/>
  <c r="AN67" i="39"/>
  <c r="AM67" i="39"/>
  <c r="AL67" i="39"/>
  <c r="AN66" i="39"/>
  <c r="AM66" i="39"/>
  <c r="AL66" i="39"/>
  <c r="AN65" i="39"/>
  <c r="AM65" i="39"/>
  <c r="AL65" i="39"/>
  <c r="CD64" i="39"/>
  <c r="CD76" i="39" s="1"/>
  <c r="CD86" i="39" s="1"/>
  <c r="AN64" i="39"/>
  <c r="AM64" i="39"/>
  <c r="AL64" i="39"/>
  <c r="S64" i="39"/>
  <c r="AN63" i="39"/>
  <c r="AM63" i="39"/>
  <c r="AL63" i="39"/>
  <c r="P63" i="39"/>
  <c r="P76" i="39" s="1"/>
  <c r="P86" i="39" s="1"/>
  <c r="AN62" i="39"/>
  <c r="AM62" i="39"/>
  <c r="AL62" i="39"/>
  <c r="AN61" i="39"/>
  <c r="AM61" i="39"/>
  <c r="AL61" i="39"/>
  <c r="AN60" i="39"/>
  <c r="AM60" i="39"/>
  <c r="AL60" i="39"/>
  <c r="AN59" i="39"/>
  <c r="AM59" i="39"/>
  <c r="AL59" i="39"/>
  <c r="V59" i="39"/>
  <c r="V71" i="39" s="1"/>
  <c r="AN58" i="39"/>
  <c r="AM58" i="39"/>
  <c r="AL58" i="39"/>
  <c r="AN57" i="39"/>
  <c r="AM57" i="39"/>
  <c r="AL57" i="39"/>
  <c r="DF56" i="39"/>
  <c r="AN56" i="39"/>
  <c r="AM56" i="39"/>
  <c r="AL56" i="39"/>
  <c r="AN55" i="39"/>
  <c r="AM55" i="39"/>
  <c r="AL55" i="39"/>
  <c r="FV54" i="39"/>
  <c r="FV76" i="39" s="1"/>
  <c r="EV54" i="39"/>
  <c r="EV76" i="39" s="1"/>
  <c r="EV86" i="39" s="1"/>
  <c r="DC54" i="39"/>
  <c r="DC71" i="39" s="1"/>
  <c r="CO54" i="39"/>
  <c r="CO71" i="39" s="1"/>
  <c r="CK54" i="39"/>
  <c r="CK71" i="39" s="1"/>
  <c r="BY54" i="39"/>
  <c r="BY71" i="39" s="1"/>
  <c r="BV54" i="39"/>
  <c r="BV76" i="39" s="1"/>
  <c r="BV86" i="39" s="1"/>
  <c r="AN54" i="39"/>
  <c r="AN76" i="39" s="1"/>
  <c r="AN86" i="39" s="1"/>
  <c r="AM54" i="39"/>
  <c r="AM76" i="39" s="1"/>
  <c r="AM86" i="39" s="1"/>
  <c r="AL54" i="39"/>
  <c r="AL76" i="39" s="1"/>
  <c r="AL86" i="39" s="1"/>
  <c r="R54" i="39"/>
  <c r="R76" i="39" s="1"/>
  <c r="R86" i="39" s="1"/>
  <c r="G54" i="39"/>
  <c r="GA52" i="39"/>
  <c r="FZ52" i="39"/>
  <c r="FY52" i="39"/>
  <c r="FX52" i="39"/>
  <c r="FW52" i="39"/>
  <c r="FU52" i="39"/>
  <c r="FT52" i="39"/>
  <c r="FR52" i="39"/>
  <c r="FQ52" i="39"/>
  <c r="FP52" i="39"/>
  <c r="FO52" i="39"/>
  <c r="FN52" i="39"/>
  <c r="FM52" i="39"/>
  <c r="FL52" i="39"/>
  <c r="FK52" i="39"/>
  <c r="FJ52" i="39"/>
  <c r="FH52" i="39"/>
  <c r="FG52" i="39"/>
  <c r="FF52" i="39"/>
  <c r="FE52" i="39"/>
  <c r="FD52" i="39"/>
  <c r="FC52" i="39"/>
  <c r="FB52" i="39"/>
  <c r="FA52" i="39"/>
  <c r="EZ52" i="39"/>
  <c r="EY52" i="39"/>
  <c r="EX52" i="39"/>
  <c r="EW52" i="39"/>
  <c r="EU52" i="39"/>
  <c r="ET52" i="39"/>
  <c r="ES52" i="39"/>
  <c r="ER52" i="39"/>
  <c r="EQ52" i="39"/>
  <c r="EP52" i="39"/>
  <c r="EO52" i="39"/>
  <c r="EN52" i="39"/>
  <c r="EM52" i="39"/>
  <c r="EL52" i="39"/>
  <c r="EK52" i="39"/>
  <c r="EJ52" i="39"/>
  <c r="EI52" i="39"/>
  <c r="EH52" i="39"/>
  <c r="EG52" i="39"/>
  <c r="EF52" i="39"/>
  <c r="EE52" i="39"/>
  <c r="ED52" i="39"/>
  <c r="EC52" i="39"/>
  <c r="EB52" i="39"/>
  <c r="DZ52" i="39"/>
  <c r="DY52" i="39"/>
  <c r="DX52" i="39"/>
  <c r="DW52" i="39"/>
  <c r="DV52" i="39"/>
  <c r="DU52" i="39"/>
  <c r="DT52" i="39"/>
  <c r="DS52" i="39"/>
  <c r="DR52" i="39"/>
  <c r="DQ52" i="39"/>
  <c r="DP52" i="39"/>
  <c r="DO52" i="39"/>
  <c r="DN52" i="39"/>
  <c r="DM52" i="39"/>
  <c r="DL52" i="39"/>
  <c r="DK52" i="39"/>
  <c r="DJ52" i="39"/>
  <c r="DI52" i="39"/>
  <c r="DH52" i="39"/>
  <c r="DG52" i="39"/>
  <c r="DE52" i="39"/>
  <c r="DD52" i="39"/>
  <c r="DB52" i="39"/>
  <c r="DA52" i="39"/>
  <c r="CZ52" i="39"/>
  <c r="CY52" i="39"/>
  <c r="CX52" i="39"/>
  <c r="CW52" i="39"/>
  <c r="CV52" i="39"/>
  <c r="CU52" i="39"/>
  <c r="CS52" i="39"/>
  <c r="CR52" i="39"/>
  <c r="CQ52" i="39"/>
  <c r="CP52" i="39"/>
  <c r="CN52" i="39"/>
  <c r="CM52" i="39"/>
  <c r="CL52" i="39"/>
  <c r="CK52" i="39"/>
  <c r="CJ52" i="39"/>
  <c r="CI52" i="39"/>
  <c r="CH52" i="39"/>
  <c r="CG52" i="39"/>
  <c r="CF52" i="39"/>
  <c r="CE52" i="39"/>
  <c r="CC52" i="39"/>
  <c r="CB52" i="39"/>
  <c r="CA52" i="39"/>
  <c r="BZ52" i="39"/>
  <c r="BX52" i="39"/>
  <c r="BW52" i="39"/>
  <c r="BU52" i="39"/>
  <c r="BT52" i="39"/>
  <c r="BS52" i="39"/>
  <c r="BR52" i="39"/>
  <c r="BQ52" i="39"/>
  <c r="BP52" i="39"/>
  <c r="BO52" i="39"/>
  <c r="BN52" i="39"/>
  <c r="BM52" i="39"/>
  <c r="BL52" i="39"/>
  <c r="BK52" i="39"/>
  <c r="BJ52" i="39"/>
  <c r="BI52" i="39"/>
  <c r="BH52" i="39"/>
  <c r="BG52" i="39"/>
  <c r="BF52" i="39"/>
  <c r="BE52" i="39"/>
  <c r="BD52" i="39"/>
  <c r="BC52" i="39"/>
  <c r="BB52" i="39"/>
  <c r="BA52" i="39"/>
  <c r="AZ52" i="39"/>
  <c r="AY52" i="39"/>
  <c r="AX52" i="39"/>
  <c r="AW52" i="39"/>
  <c r="AV52" i="39"/>
  <c r="AT52" i="39"/>
  <c r="AS52" i="39"/>
  <c r="AR52" i="39"/>
  <c r="AQ52" i="39"/>
  <c r="AP52" i="39"/>
  <c r="AO52" i="39"/>
  <c r="AK52" i="39"/>
  <c r="AJ52" i="39"/>
  <c r="AI52" i="39"/>
  <c r="AH52" i="39"/>
  <c r="AG52" i="39"/>
  <c r="AF52" i="39"/>
  <c r="AE52" i="39"/>
  <c r="AD52" i="39"/>
  <c r="AC52" i="39"/>
  <c r="AB52" i="39"/>
  <c r="AA52" i="39"/>
  <c r="Z52" i="39"/>
  <c r="Y52" i="39"/>
  <c r="W52" i="39"/>
  <c r="V52" i="39"/>
  <c r="U52" i="39"/>
  <c r="T52" i="39"/>
  <c r="Q52" i="39"/>
  <c r="P52" i="39"/>
  <c r="O52" i="39"/>
  <c r="N52" i="39"/>
  <c r="M52" i="39"/>
  <c r="L52" i="39"/>
  <c r="K52" i="39"/>
  <c r="J52" i="39"/>
  <c r="I52" i="39"/>
  <c r="H52" i="39"/>
  <c r="F52" i="39"/>
  <c r="E52" i="39"/>
  <c r="D52" i="39"/>
  <c r="C52" i="39"/>
  <c r="B52" i="39"/>
  <c r="AN51" i="39"/>
  <c r="AM51" i="39"/>
  <c r="AL51" i="39"/>
  <c r="EA50" i="39"/>
  <c r="EA69" i="39" s="1"/>
  <c r="AN50" i="39"/>
  <c r="AM50" i="39"/>
  <c r="AL50" i="39"/>
  <c r="AN49" i="39"/>
  <c r="AM49" i="39"/>
  <c r="AL49" i="39"/>
  <c r="AN48" i="39"/>
  <c r="AM48" i="39"/>
  <c r="AL48" i="39"/>
  <c r="AN47" i="39"/>
  <c r="AM47" i="39"/>
  <c r="AL47" i="39"/>
  <c r="AN46" i="39"/>
  <c r="AM46" i="39"/>
  <c r="AM75" i="39" s="1"/>
  <c r="AL46" i="39"/>
  <c r="CD45" i="39"/>
  <c r="CD75" i="39" s="1"/>
  <c r="CA45" i="39"/>
  <c r="AN45" i="39"/>
  <c r="AM45" i="39"/>
  <c r="AL45" i="39"/>
  <c r="AN44" i="39"/>
  <c r="AM44" i="39"/>
  <c r="AL44" i="39"/>
  <c r="AN43" i="39"/>
  <c r="AM43" i="39"/>
  <c r="AL43" i="39"/>
  <c r="AN42" i="39"/>
  <c r="AM42" i="39"/>
  <c r="AL42" i="39"/>
  <c r="X42" i="39"/>
  <c r="X75" i="39" s="1"/>
  <c r="DY41" i="39"/>
  <c r="AN41" i="39"/>
  <c r="AM41" i="39"/>
  <c r="AL41" i="39"/>
  <c r="AN40" i="39"/>
  <c r="AM40" i="39"/>
  <c r="AL40" i="39"/>
  <c r="AN39" i="39"/>
  <c r="AN97" i="39" s="1"/>
  <c r="AM39" i="39"/>
  <c r="AM97" i="39" s="1"/>
  <c r="AL39" i="39"/>
  <c r="AL97" i="39" s="1"/>
  <c r="AN38" i="39"/>
  <c r="AN96" i="39" s="1"/>
  <c r="AM38" i="39"/>
  <c r="AM96" i="39" s="1"/>
  <c r="AL38" i="39"/>
  <c r="AL96" i="39" s="1"/>
  <c r="DF37" i="39"/>
  <c r="DF52" i="39" s="1"/>
  <c r="AN37" i="39"/>
  <c r="AM37" i="39"/>
  <c r="AL37" i="39"/>
  <c r="AN36" i="39"/>
  <c r="AN95" i="39" s="1"/>
  <c r="AM36" i="39"/>
  <c r="AM95" i="39" s="1"/>
  <c r="AL36" i="39"/>
  <c r="AL95" i="39" s="1"/>
  <c r="FV35" i="39"/>
  <c r="FV75" i="39" s="1"/>
  <c r="EV35" i="39"/>
  <c r="EV94" i="39" s="1"/>
  <c r="EG35" i="39"/>
  <c r="EG94" i="39" s="1"/>
  <c r="DC35" i="39"/>
  <c r="DC94" i="39" s="1"/>
  <c r="CT35" i="39"/>
  <c r="CT94" i="39" s="1"/>
  <c r="CO35" i="39"/>
  <c r="CO75" i="39" s="1"/>
  <c r="CK35" i="39"/>
  <c r="CK94" i="39" s="1"/>
  <c r="BY35" i="39"/>
  <c r="BY75" i="39" s="1"/>
  <c r="BV35" i="39"/>
  <c r="BV75" i="39" s="1"/>
  <c r="AN35" i="39"/>
  <c r="AN94" i="39" s="1"/>
  <c r="AM35" i="39"/>
  <c r="AM94" i="39" s="1"/>
  <c r="AL35" i="39"/>
  <c r="AL94" i="39" s="1"/>
  <c r="S35" i="39"/>
  <c r="S94" i="39" s="1"/>
  <c r="R35" i="39"/>
  <c r="R94" i="39" s="1"/>
  <c r="G35" i="39"/>
  <c r="G52" i="39" s="1"/>
  <c r="GA31" i="39"/>
  <c r="FZ31" i="39"/>
  <c r="FY31" i="39"/>
  <c r="FX31" i="39"/>
  <c r="FW31" i="39"/>
  <c r="FU31" i="39"/>
  <c r="FR31" i="39"/>
  <c r="FQ31" i="39"/>
  <c r="FP31" i="39"/>
  <c r="FO31" i="39"/>
  <c r="FN31" i="39"/>
  <c r="FL31" i="39"/>
  <c r="FH31" i="39"/>
  <c r="FG31" i="39"/>
  <c r="FF31" i="39"/>
  <c r="FD31" i="39"/>
  <c r="EZ31" i="39"/>
  <c r="EY31" i="39"/>
  <c r="EX31" i="39"/>
  <c r="EW31" i="39"/>
  <c r="EV31" i="39"/>
  <c r="EU31" i="39"/>
  <c r="ET31" i="39"/>
  <c r="ES31" i="39"/>
  <c r="ER31" i="39"/>
  <c r="EP31" i="39"/>
  <c r="EO31" i="39"/>
  <c r="EN31" i="39"/>
  <c r="EM31" i="39"/>
  <c r="EL31" i="39"/>
  <c r="EK31" i="39"/>
  <c r="EH31" i="39"/>
  <c r="EF31" i="39"/>
  <c r="ED31" i="39"/>
  <c r="EC31" i="39"/>
  <c r="EB31" i="39"/>
  <c r="DZ31" i="39"/>
  <c r="DY31" i="39"/>
  <c r="DX31" i="39"/>
  <c r="DV31" i="39"/>
  <c r="DT31" i="39"/>
  <c r="DQ31" i="39"/>
  <c r="DP31" i="39"/>
  <c r="DO31" i="39"/>
  <c r="DN31" i="39"/>
  <c r="DM31" i="39"/>
  <c r="DL31" i="39"/>
  <c r="DK31" i="39"/>
  <c r="DJ31" i="39"/>
  <c r="DI31" i="39"/>
  <c r="DF31" i="39"/>
  <c r="DE31" i="39"/>
  <c r="DC31" i="39"/>
  <c r="DB31" i="39"/>
  <c r="DA31" i="39"/>
  <c r="CY31" i="39"/>
  <c r="CX31" i="39"/>
  <c r="CW31" i="39"/>
  <c r="CR31" i="39"/>
  <c r="CQ31" i="39"/>
  <c r="CP31" i="39"/>
  <c r="CN31" i="39"/>
  <c r="CM31" i="39"/>
  <c r="CL31" i="39"/>
  <c r="CI31" i="39"/>
  <c r="CF31" i="39"/>
  <c r="CD31" i="39"/>
  <c r="CC31" i="39"/>
  <c r="CB31" i="39"/>
  <c r="CA31" i="39"/>
  <c r="BZ31" i="39"/>
  <c r="BY31" i="39"/>
  <c r="BX31" i="39"/>
  <c r="BV31" i="39"/>
  <c r="BU31" i="39"/>
  <c r="BT31" i="39"/>
  <c r="BS31" i="39"/>
  <c r="BQ31" i="39"/>
  <c r="BN31" i="39"/>
  <c r="BM31" i="39"/>
  <c r="BL31" i="39"/>
  <c r="BI31" i="39"/>
  <c r="BH31" i="39"/>
  <c r="BG31" i="39"/>
  <c r="BF31" i="39"/>
  <c r="BE31" i="39"/>
  <c r="BC31" i="39"/>
  <c r="BB31" i="39"/>
  <c r="BA31" i="39"/>
  <c r="AX31" i="39"/>
  <c r="AS31" i="39"/>
  <c r="AQ31" i="39"/>
  <c r="AP31" i="39"/>
  <c r="AK31" i="39"/>
  <c r="AJ31" i="39"/>
  <c r="AH31" i="39"/>
  <c r="AG31" i="39"/>
  <c r="AF31" i="39"/>
  <c r="AC31" i="39"/>
  <c r="AB31" i="39"/>
  <c r="AA31" i="39"/>
  <c r="Z31" i="39"/>
  <c r="Y31" i="39"/>
  <c r="X31" i="39"/>
  <c r="W31" i="39"/>
  <c r="U31" i="39"/>
  <c r="R31" i="39"/>
  <c r="Q31" i="39"/>
  <c r="O31" i="39"/>
  <c r="N31" i="39"/>
  <c r="G31" i="39"/>
  <c r="D31" i="39"/>
  <c r="C31" i="39"/>
  <c r="B31" i="39"/>
  <c r="FV28" i="39"/>
  <c r="CK28" i="39"/>
  <c r="AN28" i="39"/>
  <c r="AM28" i="39"/>
  <c r="AL28" i="39"/>
  <c r="CK27" i="39"/>
  <c r="AN27" i="39"/>
  <c r="AM27" i="39"/>
  <c r="AL27" i="39"/>
  <c r="V27" i="39"/>
  <c r="V31" i="39" s="1"/>
  <c r="CK26" i="39"/>
  <c r="AN26" i="39"/>
  <c r="AM26" i="39"/>
  <c r="AL26" i="39"/>
  <c r="EI25" i="39"/>
  <c r="EA25" i="39"/>
  <c r="CZ25" i="39"/>
  <c r="CZ31" i="39" s="1"/>
  <c r="AN25" i="39"/>
  <c r="AM25" i="39"/>
  <c r="AL25" i="39"/>
  <c r="EA24" i="39"/>
  <c r="EA31" i="39" s="1"/>
  <c r="AN24" i="39"/>
  <c r="AM24" i="39"/>
  <c r="AL24" i="39"/>
  <c r="CK23" i="39"/>
  <c r="AN23" i="39"/>
  <c r="AM23" i="39"/>
  <c r="AL23" i="39"/>
  <c r="P23" i="39"/>
  <c r="P31" i="39" s="1"/>
  <c r="FV22" i="39"/>
  <c r="EI22" i="39"/>
  <c r="EI74" i="39" s="1"/>
  <c r="EI84" i="39" s="1"/>
  <c r="CK22" i="39"/>
  <c r="AN22" i="39"/>
  <c r="AM22" i="39"/>
  <c r="AL22" i="39"/>
  <c r="FV21" i="39"/>
  <c r="AN21" i="39"/>
  <c r="AM21" i="39"/>
  <c r="AL21" i="39"/>
  <c r="EI20" i="39"/>
  <c r="CK20" i="39"/>
  <c r="CK74" i="39" s="1"/>
  <c r="CK84" i="39" s="1"/>
  <c r="AN20" i="39"/>
  <c r="AM20" i="39"/>
  <c r="AM74" i="39" s="1"/>
  <c r="AM84" i="39" s="1"/>
  <c r="AL20" i="39"/>
  <c r="FV19" i="39"/>
  <c r="FV74" i="39" s="1"/>
  <c r="EI19" i="39"/>
  <c r="EG19" i="39"/>
  <c r="EG74" i="39" s="1"/>
  <c r="EG84" i="39" s="1"/>
  <c r="DC19" i="39"/>
  <c r="CO19" i="39"/>
  <c r="CO74" i="39" s="1"/>
  <c r="CK19" i="39"/>
  <c r="AN19" i="39"/>
  <c r="AN74" i="39" s="1"/>
  <c r="AN84" i="39" s="1"/>
  <c r="AM19" i="39"/>
  <c r="AM31" i="39" s="1"/>
  <c r="AL19" i="39"/>
  <c r="AL74" i="39" s="1"/>
  <c r="AL84" i="39" s="1"/>
  <c r="AN18" i="39"/>
  <c r="AM18" i="39"/>
  <c r="AL18" i="39"/>
  <c r="GA17" i="39"/>
  <c r="FZ17" i="39"/>
  <c r="FY17" i="39"/>
  <c r="FX17" i="39"/>
  <c r="FW17" i="39"/>
  <c r="FU17" i="39"/>
  <c r="FR17" i="39"/>
  <c r="FQ17" i="39"/>
  <c r="FP17" i="39"/>
  <c r="FO17" i="39"/>
  <c r="FN17" i="39"/>
  <c r="FH17" i="39"/>
  <c r="FG17" i="39"/>
  <c r="FF17" i="39"/>
  <c r="FE17" i="39"/>
  <c r="FD17" i="39"/>
  <c r="FC17" i="39"/>
  <c r="EZ17" i="39"/>
  <c r="EY17" i="39"/>
  <c r="EX17" i="39"/>
  <c r="EW17" i="39"/>
  <c r="EV17" i="39"/>
  <c r="EU17" i="39"/>
  <c r="ET17" i="39"/>
  <c r="ES17" i="39"/>
  <c r="ER17" i="39"/>
  <c r="EO17" i="39"/>
  <c r="EN17" i="39"/>
  <c r="EM17" i="39"/>
  <c r="EL17" i="39"/>
  <c r="EK17" i="39"/>
  <c r="EH17" i="39"/>
  <c r="EF17" i="39"/>
  <c r="EC17" i="39"/>
  <c r="EB17" i="39"/>
  <c r="EA17" i="39"/>
  <c r="DZ17" i="39"/>
  <c r="DY17" i="39"/>
  <c r="DX17" i="39"/>
  <c r="DW17" i="39"/>
  <c r="DV17" i="39"/>
  <c r="DT17" i="39"/>
  <c r="DQ17" i="39"/>
  <c r="DP17" i="39"/>
  <c r="DO17" i="39"/>
  <c r="DN17" i="39"/>
  <c r="DL17" i="39"/>
  <c r="DK17" i="39"/>
  <c r="DJ17" i="39"/>
  <c r="DI17" i="39"/>
  <c r="DF17" i="39"/>
  <c r="DE17" i="39"/>
  <c r="DB17" i="39"/>
  <c r="DA17" i="39"/>
  <c r="CY17" i="39"/>
  <c r="CX17" i="39"/>
  <c r="CW17" i="39"/>
  <c r="CU17" i="39"/>
  <c r="CS17" i="39"/>
  <c r="CQ17" i="39"/>
  <c r="CP17" i="39"/>
  <c r="CN17" i="39"/>
  <c r="CM17" i="39"/>
  <c r="CL17" i="39"/>
  <c r="CI17" i="39"/>
  <c r="CD17" i="39"/>
  <c r="CC17" i="39"/>
  <c r="CB17" i="39"/>
  <c r="CA17" i="39"/>
  <c r="BZ17" i="39"/>
  <c r="BY17" i="39"/>
  <c r="BX17" i="39"/>
  <c r="BV17" i="39"/>
  <c r="BU17" i="39"/>
  <c r="BT17" i="39"/>
  <c r="BS17" i="39"/>
  <c r="BQ17" i="39"/>
  <c r="BN17" i="39"/>
  <c r="BM17" i="39"/>
  <c r="BL17" i="39"/>
  <c r="BI17" i="39"/>
  <c r="BH17" i="39"/>
  <c r="BF17" i="39"/>
  <c r="BE17" i="39"/>
  <c r="BC17" i="39"/>
  <c r="BB17" i="39"/>
  <c r="AZ17" i="39"/>
  <c r="AY17" i="39"/>
  <c r="AX17" i="39"/>
  <c r="AW17" i="39"/>
  <c r="AV17" i="39"/>
  <c r="AU17" i="39"/>
  <c r="AT17" i="39"/>
  <c r="AS17" i="39"/>
  <c r="AR17" i="39"/>
  <c r="AQ17" i="39"/>
  <c r="AP17" i="39"/>
  <c r="AO17" i="39"/>
  <c r="AK17" i="39"/>
  <c r="AJ17" i="39"/>
  <c r="AI17" i="39"/>
  <c r="AH17" i="39"/>
  <c r="AG17" i="39"/>
  <c r="AF17" i="39"/>
  <c r="AE17" i="39"/>
  <c r="AC17" i="39"/>
  <c r="AB17" i="39"/>
  <c r="AA17" i="39"/>
  <c r="Z17" i="39"/>
  <c r="Y17" i="39"/>
  <c r="X17" i="39"/>
  <c r="W17" i="39"/>
  <c r="V17" i="39"/>
  <c r="U17" i="39"/>
  <c r="R17" i="39"/>
  <c r="Q17" i="39"/>
  <c r="O17" i="39"/>
  <c r="N17" i="39"/>
  <c r="G17" i="39"/>
  <c r="D17" i="39"/>
  <c r="B17" i="39"/>
  <c r="AN16" i="39"/>
  <c r="AM16" i="39"/>
  <c r="AL16" i="39"/>
  <c r="FV15" i="39"/>
  <c r="CK15" i="39"/>
  <c r="AN15" i="39"/>
  <c r="AM15" i="39"/>
  <c r="AL15" i="39"/>
  <c r="P15" i="39"/>
  <c r="P17" i="39" s="1"/>
  <c r="CK14" i="39"/>
  <c r="AN14" i="39"/>
  <c r="AM14" i="39"/>
  <c r="AL14" i="39"/>
  <c r="CK13" i="39"/>
  <c r="AN13" i="39"/>
  <c r="AM13" i="39"/>
  <c r="AL13" i="39"/>
  <c r="EI12" i="39"/>
  <c r="EA12" i="39"/>
  <c r="CZ12" i="39"/>
  <c r="CZ17" i="39" s="1"/>
  <c r="AN12" i="39"/>
  <c r="AM12" i="39"/>
  <c r="AL12" i="39"/>
  <c r="AN11" i="39"/>
  <c r="AM11" i="39"/>
  <c r="AL11" i="39"/>
  <c r="CK10" i="39"/>
  <c r="AN10" i="39"/>
  <c r="AM10" i="39"/>
  <c r="AL10" i="39"/>
  <c r="FV9" i="39"/>
  <c r="EI9" i="39"/>
  <c r="EI93" i="39" s="1"/>
  <c r="CK9" i="39"/>
  <c r="CK93" i="39" s="1"/>
  <c r="AN9" i="39"/>
  <c r="AN93" i="39" s="1"/>
  <c r="AM9" i="39"/>
  <c r="AM93" i="39" s="1"/>
  <c r="AL9" i="39"/>
  <c r="AL93" i="39" s="1"/>
  <c r="AN8" i="39"/>
  <c r="AM8" i="39"/>
  <c r="AL8" i="39"/>
  <c r="FV7" i="39"/>
  <c r="EI7" i="39"/>
  <c r="EI92" i="39" s="1"/>
  <c r="CK7" i="39"/>
  <c r="CK92" i="39" s="1"/>
  <c r="AN7" i="39"/>
  <c r="AN92" i="39" s="1"/>
  <c r="AM7" i="39"/>
  <c r="AM92" i="39" s="1"/>
  <c r="AL7" i="39"/>
  <c r="AL92" i="39" s="1"/>
  <c r="FV6" i="39"/>
  <c r="FV73" i="39" s="1"/>
  <c r="EI6" i="39"/>
  <c r="EI91" i="39" s="1"/>
  <c r="EG6" i="39"/>
  <c r="EG91" i="39" s="1"/>
  <c r="DC6" i="39"/>
  <c r="DC91" i="39" s="1"/>
  <c r="CO6" i="39"/>
  <c r="CO73" i="39" s="1"/>
  <c r="CK6" i="39"/>
  <c r="CK91" i="39" s="1"/>
  <c r="AN6" i="39"/>
  <c r="AN91" i="39" s="1"/>
  <c r="AM6" i="39"/>
  <c r="AM91" i="39" s="1"/>
  <c r="AL6" i="39"/>
  <c r="AL91" i="39" s="1"/>
  <c r="AD91" i="39"/>
  <c r="D266" i="123"/>
  <c r="E266" i="123"/>
  <c r="F266" i="123"/>
  <c r="G266" i="123"/>
  <c r="H266" i="123"/>
  <c r="I266" i="123"/>
  <c r="J266" i="123"/>
  <c r="K266" i="123"/>
  <c r="L266" i="123"/>
  <c r="M266" i="123"/>
  <c r="N266" i="123"/>
  <c r="O266" i="123"/>
  <c r="P266" i="123"/>
  <c r="Q266" i="123"/>
  <c r="R266" i="123"/>
  <c r="S266" i="123"/>
  <c r="T266" i="123"/>
  <c r="U266" i="123"/>
  <c r="V266" i="123"/>
  <c r="W266" i="123"/>
  <c r="X266" i="123"/>
  <c r="Y266" i="123"/>
  <c r="Z266" i="123"/>
  <c r="AA266" i="123"/>
  <c r="AB266" i="123"/>
  <c r="AC266" i="123"/>
  <c r="AD266" i="123"/>
  <c r="AE266" i="123"/>
  <c r="AF266" i="123"/>
  <c r="AG266" i="123"/>
  <c r="AH266" i="123"/>
  <c r="AI266" i="123"/>
  <c r="AJ266" i="123"/>
  <c r="AK266" i="123"/>
  <c r="AL266" i="123"/>
  <c r="AM266" i="123"/>
  <c r="AN266" i="123"/>
  <c r="AO266" i="123"/>
  <c r="AP266" i="123"/>
  <c r="AQ266" i="123"/>
  <c r="AR266" i="123"/>
  <c r="AS266" i="123"/>
  <c r="AT266" i="123"/>
  <c r="AU266" i="123"/>
  <c r="AV266" i="123"/>
  <c r="AW266" i="123"/>
  <c r="AX266" i="123"/>
  <c r="AY266" i="123"/>
  <c r="AZ266" i="123"/>
  <c r="BA266" i="123"/>
  <c r="BB266" i="123"/>
  <c r="BC266" i="123"/>
  <c r="BD266" i="123"/>
  <c r="BE266" i="123"/>
  <c r="BF266" i="123"/>
  <c r="C266" i="123"/>
  <c r="F200" i="123"/>
  <c r="G200" i="123"/>
  <c r="H200" i="123"/>
  <c r="I200" i="123"/>
  <c r="J200" i="123"/>
  <c r="K200" i="123"/>
  <c r="L200" i="123"/>
  <c r="M200" i="123"/>
  <c r="N200" i="123"/>
  <c r="O200" i="123"/>
  <c r="P200" i="123"/>
  <c r="Q200" i="123"/>
  <c r="R200" i="123"/>
  <c r="S200" i="123"/>
  <c r="T200" i="123"/>
  <c r="U200" i="123"/>
  <c r="V200" i="123"/>
  <c r="W200" i="123"/>
  <c r="X200" i="123"/>
  <c r="Y200" i="123"/>
  <c r="Z200" i="123"/>
  <c r="AA200" i="123"/>
  <c r="AB200" i="123"/>
  <c r="AC200" i="123"/>
  <c r="AD200" i="123"/>
  <c r="AE200" i="123"/>
  <c r="AF200" i="123"/>
  <c r="AG200" i="123"/>
  <c r="AH200" i="123"/>
  <c r="AJ200" i="123"/>
  <c r="AK200" i="123"/>
  <c r="AL200" i="123"/>
  <c r="AM200" i="123"/>
  <c r="AN200" i="123"/>
  <c r="AO200" i="123"/>
  <c r="AP200" i="123"/>
  <c r="AQ200" i="123"/>
  <c r="AR200" i="123"/>
  <c r="AS200" i="123"/>
  <c r="AT200" i="123"/>
  <c r="AU200" i="123"/>
  <c r="AV200" i="123"/>
  <c r="AW200" i="123"/>
  <c r="AX200" i="123"/>
  <c r="AY200" i="123"/>
  <c r="AZ200" i="123"/>
  <c r="BA200" i="123"/>
  <c r="BB200" i="123"/>
  <c r="BC200" i="123"/>
  <c r="BD200" i="123"/>
  <c r="BE200" i="123"/>
  <c r="BF200" i="123"/>
  <c r="E200" i="123"/>
  <c r="D200" i="123"/>
  <c r="C200" i="123"/>
  <c r="AN167" i="123"/>
  <c r="AJ167" i="123"/>
  <c r="AH167" i="123"/>
  <c r="D167" i="123"/>
  <c r="E167" i="123"/>
  <c r="F167" i="123"/>
  <c r="G167" i="123"/>
  <c r="H167" i="123"/>
  <c r="I167" i="123"/>
  <c r="J167" i="123"/>
  <c r="L167" i="123"/>
  <c r="M167" i="123"/>
  <c r="N167" i="123"/>
  <c r="O167" i="123"/>
  <c r="P167" i="123"/>
  <c r="Q167" i="123"/>
  <c r="R167" i="123"/>
  <c r="S167" i="123"/>
  <c r="U167" i="123"/>
  <c r="V167" i="123"/>
  <c r="W167" i="123"/>
  <c r="X167" i="123"/>
  <c r="Y167" i="123"/>
  <c r="Z167" i="123"/>
  <c r="AA167" i="123"/>
  <c r="AB167" i="123"/>
  <c r="AC167" i="123"/>
  <c r="AD167" i="123"/>
  <c r="AE167" i="123"/>
  <c r="AF167" i="123"/>
  <c r="AG167" i="123"/>
  <c r="AK167" i="123"/>
  <c r="AL167" i="123"/>
  <c r="AM167" i="123"/>
  <c r="AO167" i="123"/>
  <c r="AP167" i="123"/>
  <c r="AQ167" i="123"/>
  <c r="AR167" i="123"/>
  <c r="AS167" i="123"/>
  <c r="AT167" i="123"/>
  <c r="AU167" i="123"/>
  <c r="AV167" i="123"/>
  <c r="AW167" i="123"/>
  <c r="AX167" i="123"/>
  <c r="AY167" i="123"/>
  <c r="AZ167" i="123"/>
  <c r="BA167" i="123"/>
  <c r="BB167" i="123"/>
  <c r="BC167" i="123"/>
  <c r="BD167" i="123"/>
  <c r="BE167" i="123"/>
  <c r="BF167" i="123"/>
  <c r="C167" i="123"/>
  <c r="AM134" i="123"/>
  <c r="D134" i="123"/>
  <c r="E134" i="123"/>
  <c r="F134" i="123"/>
  <c r="G134" i="123"/>
  <c r="H134" i="123"/>
  <c r="I134" i="123"/>
  <c r="J134" i="123"/>
  <c r="K134" i="123"/>
  <c r="L134" i="123"/>
  <c r="M134" i="123"/>
  <c r="N134" i="123"/>
  <c r="O134" i="123"/>
  <c r="P134" i="123"/>
  <c r="Q134" i="123"/>
  <c r="R134" i="123"/>
  <c r="S134" i="123"/>
  <c r="T134" i="123"/>
  <c r="U134" i="123"/>
  <c r="V134" i="123"/>
  <c r="W134" i="123"/>
  <c r="X134" i="123"/>
  <c r="Y134" i="123"/>
  <c r="Z134" i="123"/>
  <c r="AA134" i="123"/>
  <c r="AB134" i="123"/>
  <c r="AC134" i="123"/>
  <c r="AD134" i="123"/>
  <c r="AE134" i="123"/>
  <c r="AF134" i="123"/>
  <c r="AG134" i="123"/>
  <c r="AH134" i="123"/>
  <c r="AI134" i="123"/>
  <c r="AJ134" i="123"/>
  <c r="AK134" i="123"/>
  <c r="AL134" i="123"/>
  <c r="AN134" i="123"/>
  <c r="AO134" i="123"/>
  <c r="AP134" i="123"/>
  <c r="AQ134" i="123"/>
  <c r="AR134" i="123"/>
  <c r="AS134" i="123"/>
  <c r="AT134" i="123"/>
  <c r="AU134" i="123"/>
  <c r="AV134" i="123"/>
  <c r="AW134" i="123"/>
  <c r="AX134" i="123"/>
  <c r="AY134" i="123"/>
  <c r="AZ134" i="123"/>
  <c r="BA134" i="123"/>
  <c r="BB134" i="123"/>
  <c r="BC134" i="123"/>
  <c r="BD134" i="123"/>
  <c r="BE134" i="123"/>
  <c r="BF134" i="123"/>
  <c r="C134" i="123"/>
  <c r="G101" i="123"/>
  <c r="E101" i="123"/>
  <c r="F101" i="123"/>
  <c r="H101" i="123"/>
  <c r="I101" i="123"/>
  <c r="J101" i="123"/>
  <c r="K101" i="123"/>
  <c r="L101" i="123"/>
  <c r="M101" i="123"/>
  <c r="N101" i="123"/>
  <c r="O101" i="123"/>
  <c r="P101" i="123"/>
  <c r="Q101" i="123"/>
  <c r="R101" i="123"/>
  <c r="S101" i="123"/>
  <c r="U101" i="123"/>
  <c r="V101" i="123"/>
  <c r="W101" i="123"/>
  <c r="X101" i="123"/>
  <c r="Y101" i="123"/>
  <c r="Z101" i="123"/>
  <c r="AA101" i="123"/>
  <c r="AB101" i="123"/>
  <c r="AC101" i="123"/>
  <c r="AD101" i="123"/>
  <c r="AE101" i="123"/>
  <c r="AF101" i="123"/>
  <c r="AG101" i="123"/>
  <c r="AH101" i="123"/>
  <c r="AJ101" i="123"/>
  <c r="AK101" i="123"/>
  <c r="AL101" i="123"/>
  <c r="AM101" i="123"/>
  <c r="AN101" i="123"/>
  <c r="AO101" i="123"/>
  <c r="AP101" i="123"/>
  <c r="AQ101" i="123"/>
  <c r="AR101" i="123"/>
  <c r="AS101" i="123"/>
  <c r="AT101" i="123"/>
  <c r="AU101" i="123"/>
  <c r="AV101" i="123"/>
  <c r="AW101" i="123"/>
  <c r="AX101" i="123"/>
  <c r="AY101" i="123"/>
  <c r="AZ101" i="123"/>
  <c r="BA101" i="123"/>
  <c r="BB101" i="123"/>
  <c r="BC101" i="123"/>
  <c r="BD101" i="123"/>
  <c r="BE101" i="123"/>
  <c r="BF101" i="123"/>
  <c r="D101" i="123"/>
  <c r="C101" i="123"/>
  <c r="BA66" i="133"/>
  <c r="X65" i="133"/>
  <c r="S65" i="133"/>
  <c r="BA56" i="133"/>
  <c r="AK56" i="133"/>
  <c r="AY55" i="133"/>
  <c r="AU55" i="133"/>
  <c r="X55" i="133"/>
  <c r="S55" i="133"/>
  <c r="S34" i="133"/>
  <c r="BC25" i="133"/>
  <c r="AK25" i="133"/>
  <c r="BC24" i="133"/>
  <c r="AY24" i="133"/>
  <c r="AU24" i="133"/>
  <c r="X24" i="133"/>
  <c r="S24" i="133"/>
  <c r="BC23" i="133"/>
  <c r="E83" i="133"/>
  <c r="F83" i="133"/>
  <c r="G83" i="133"/>
  <c r="H83" i="133"/>
  <c r="I83" i="133"/>
  <c r="J83" i="133"/>
  <c r="K83" i="133"/>
  <c r="L83" i="133"/>
  <c r="M83" i="133"/>
  <c r="N83" i="133"/>
  <c r="O83" i="133"/>
  <c r="P83" i="133"/>
  <c r="Q83" i="133"/>
  <c r="R83" i="133"/>
  <c r="S83" i="133"/>
  <c r="T83" i="133"/>
  <c r="U83" i="133"/>
  <c r="V83" i="133"/>
  <c r="W83" i="133"/>
  <c r="X83" i="133"/>
  <c r="Y83" i="133"/>
  <c r="Z83" i="133"/>
  <c r="AA83" i="133"/>
  <c r="AB83" i="133"/>
  <c r="AC83" i="133"/>
  <c r="AD83" i="133"/>
  <c r="AE83" i="133"/>
  <c r="AF83" i="133"/>
  <c r="AG83" i="133"/>
  <c r="AH83" i="133"/>
  <c r="AI83" i="133"/>
  <c r="AJ83" i="133"/>
  <c r="AK83" i="133"/>
  <c r="AL83" i="133"/>
  <c r="AM83" i="133"/>
  <c r="AN83" i="133"/>
  <c r="AO83" i="133"/>
  <c r="AP83" i="133"/>
  <c r="AQ83" i="133"/>
  <c r="AR83" i="133"/>
  <c r="AS83" i="133"/>
  <c r="AT83" i="133"/>
  <c r="AU83" i="133"/>
  <c r="AV83" i="133"/>
  <c r="AW83" i="133"/>
  <c r="AX83" i="133"/>
  <c r="AY83" i="133"/>
  <c r="AZ83" i="133"/>
  <c r="BA83" i="133"/>
  <c r="BB83" i="133"/>
  <c r="BC83" i="133"/>
  <c r="BD83" i="133"/>
  <c r="BE83" i="133"/>
  <c r="BF83" i="133"/>
  <c r="BG83" i="133"/>
  <c r="D83" i="133"/>
  <c r="E72" i="133"/>
  <c r="F72" i="133"/>
  <c r="G72" i="133"/>
  <c r="H72" i="133"/>
  <c r="I72" i="133"/>
  <c r="J72" i="133"/>
  <c r="K72" i="133"/>
  <c r="L72" i="133"/>
  <c r="M72" i="133"/>
  <c r="N72" i="133"/>
  <c r="O72" i="133"/>
  <c r="P72" i="133"/>
  <c r="Q72" i="133"/>
  <c r="R72" i="133"/>
  <c r="S72" i="133"/>
  <c r="T72" i="133"/>
  <c r="U72" i="133"/>
  <c r="V72" i="133"/>
  <c r="W72" i="133"/>
  <c r="X72" i="133"/>
  <c r="Y72" i="133"/>
  <c r="Z72" i="133"/>
  <c r="AA72" i="133"/>
  <c r="AB72" i="133"/>
  <c r="AC72" i="133"/>
  <c r="AD72" i="133"/>
  <c r="AE72" i="133"/>
  <c r="AF72" i="133"/>
  <c r="AG72" i="133"/>
  <c r="AH72" i="133"/>
  <c r="AI72" i="133"/>
  <c r="AJ72" i="133"/>
  <c r="AK72" i="133"/>
  <c r="AL72" i="133"/>
  <c r="AM72" i="133"/>
  <c r="AN72" i="133"/>
  <c r="AO72" i="133"/>
  <c r="AP72" i="133"/>
  <c r="AQ72" i="133"/>
  <c r="AR72" i="133"/>
  <c r="AS72" i="133"/>
  <c r="AT72" i="133"/>
  <c r="AU72" i="133"/>
  <c r="AV72" i="133"/>
  <c r="AW72" i="133"/>
  <c r="AX72" i="133"/>
  <c r="AY72" i="133"/>
  <c r="AZ72" i="133"/>
  <c r="BA72" i="133"/>
  <c r="BB72" i="133"/>
  <c r="BC72" i="133"/>
  <c r="BD72" i="133"/>
  <c r="BE72" i="133"/>
  <c r="BF72" i="133"/>
  <c r="BG72" i="133"/>
  <c r="D72" i="133"/>
  <c r="E62" i="133"/>
  <c r="F62" i="133"/>
  <c r="G62" i="133"/>
  <c r="H62" i="133"/>
  <c r="I62" i="133"/>
  <c r="J62" i="133"/>
  <c r="K62" i="133"/>
  <c r="L62" i="133"/>
  <c r="M62" i="133"/>
  <c r="N62" i="133"/>
  <c r="O62" i="133"/>
  <c r="P62" i="133"/>
  <c r="Q62" i="133"/>
  <c r="R62" i="133"/>
  <c r="S62" i="133"/>
  <c r="T62" i="133"/>
  <c r="U62" i="133"/>
  <c r="V62" i="133"/>
  <c r="W62" i="133"/>
  <c r="X62" i="133"/>
  <c r="Y62" i="133"/>
  <c r="Z62" i="133"/>
  <c r="AA62" i="133"/>
  <c r="AB62" i="133"/>
  <c r="AC62" i="133"/>
  <c r="AD62" i="133"/>
  <c r="AE62" i="133"/>
  <c r="AF62" i="133"/>
  <c r="AG62" i="133"/>
  <c r="AH62" i="133"/>
  <c r="AI62" i="133"/>
  <c r="AJ62" i="133"/>
  <c r="AK62" i="133"/>
  <c r="AL62" i="133"/>
  <c r="AM62" i="133"/>
  <c r="AN62" i="133"/>
  <c r="AO62" i="133"/>
  <c r="AP62" i="133"/>
  <c r="AQ62" i="133"/>
  <c r="AR62" i="133"/>
  <c r="AS62" i="133"/>
  <c r="AT62" i="133"/>
  <c r="AU62" i="133"/>
  <c r="AV62" i="133"/>
  <c r="AW62" i="133"/>
  <c r="AX62" i="133"/>
  <c r="AY62" i="133"/>
  <c r="AZ62" i="133"/>
  <c r="BA62" i="133"/>
  <c r="BB62" i="133"/>
  <c r="BC62" i="133"/>
  <c r="BD62" i="133"/>
  <c r="BE62" i="133"/>
  <c r="BF62" i="133"/>
  <c r="BG62" i="133"/>
  <c r="D62" i="133"/>
  <c r="E52" i="133"/>
  <c r="F52" i="133"/>
  <c r="G52" i="133"/>
  <c r="H52" i="133"/>
  <c r="I52" i="133"/>
  <c r="J52" i="133"/>
  <c r="K52" i="133"/>
  <c r="L52" i="133"/>
  <c r="M52" i="133"/>
  <c r="N52" i="133"/>
  <c r="O52" i="133"/>
  <c r="P52" i="133"/>
  <c r="Q52" i="133"/>
  <c r="R52" i="133"/>
  <c r="S52" i="133"/>
  <c r="T52" i="133"/>
  <c r="U52" i="133"/>
  <c r="V52" i="133"/>
  <c r="W52" i="133"/>
  <c r="X52" i="133"/>
  <c r="Y52" i="133"/>
  <c r="Z52" i="133"/>
  <c r="AA52" i="133"/>
  <c r="AB52" i="133"/>
  <c r="AC52" i="133"/>
  <c r="AD52" i="133"/>
  <c r="AE52" i="133"/>
  <c r="AF52" i="133"/>
  <c r="AG52" i="133"/>
  <c r="AH52" i="133"/>
  <c r="AI52" i="133"/>
  <c r="AJ52" i="133"/>
  <c r="AK52" i="133"/>
  <c r="AL52" i="133"/>
  <c r="AM52" i="133"/>
  <c r="AN52" i="133"/>
  <c r="AO52" i="133"/>
  <c r="AP52" i="133"/>
  <c r="AQ52" i="133"/>
  <c r="AR52" i="133"/>
  <c r="AS52" i="133"/>
  <c r="AT52" i="133"/>
  <c r="AU52" i="133"/>
  <c r="AV52" i="133"/>
  <c r="AW52" i="133"/>
  <c r="AX52" i="133"/>
  <c r="AY52" i="133"/>
  <c r="AZ52" i="133"/>
  <c r="BA52" i="133"/>
  <c r="BB52" i="133"/>
  <c r="BC52" i="133"/>
  <c r="BD52" i="133"/>
  <c r="BE52" i="133"/>
  <c r="BF52" i="133"/>
  <c r="BG52" i="133"/>
  <c r="D52" i="133"/>
  <c r="E41" i="133"/>
  <c r="F41" i="133"/>
  <c r="G41" i="133"/>
  <c r="H41" i="133"/>
  <c r="I41" i="133"/>
  <c r="J41" i="133"/>
  <c r="K41" i="133"/>
  <c r="L41" i="133"/>
  <c r="M41" i="133"/>
  <c r="N41" i="133"/>
  <c r="O41" i="133"/>
  <c r="P41" i="133"/>
  <c r="Q41" i="133"/>
  <c r="R41" i="133"/>
  <c r="S41" i="133"/>
  <c r="T41" i="133"/>
  <c r="U41" i="133"/>
  <c r="V41" i="133"/>
  <c r="W41" i="133"/>
  <c r="X41" i="133"/>
  <c r="Y41" i="133"/>
  <c r="Z41" i="133"/>
  <c r="AA41" i="133"/>
  <c r="AB41" i="133"/>
  <c r="AC41" i="133"/>
  <c r="AD41" i="133"/>
  <c r="AE41" i="133"/>
  <c r="AF41" i="133"/>
  <c r="AG41" i="133"/>
  <c r="AH41" i="133"/>
  <c r="AI41" i="133"/>
  <c r="AJ41" i="133"/>
  <c r="AK41" i="133"/>
  <c r="AL41" i="133"/>
  <c r="AM41" i="133"/>
  <c r="AN41" i="133"/>
  <c r="AO41" i="133"/>
  <c r="AP41" i="133"/>
  <c r="AQ41" i="133"/>
  <c r="AR41" i="133"/>
  <c r="AS41" i="133"/>
  <c r="AT41" i="133"/>
  <c r="AU41" i="133"/>
  <c r="AV41" i="133"/>
  <c r="AW41" i="133"/>
  <c r="AX41" i="133"/>
  <c r="AY41" i="133"/>
  <c r="AZ41" i="133"/>
  <c r="BA41" i="133"/>
  <c r="BB41" i="133"/>
  <c r="BC41" i="133"/>
  <c r="BD41" i="133"/>
  <c r="BE41" i="133"/>
  <c r="BF41" i="133"/>
  <c r="BG41" i="133"/>
  <c r="D41" i="133"/>
  <c r="E31" i="133"/>
  <c r="F31" i="133"/>
  <c r="G31" i="133"/>
  <c r="H31" i="133"/>
  <c r="I31" i="133"/>
  <c r="J31" i="133"/>
  <c r="K31" i="133"/>
  <c r="L31" i="133"/>
  <c r="M31" i="133"/>
  <c r="N31" i="133"/>
  <c r="O31" i="133"/>
  <c r="P31" i="133"/>
  <c r="Q31" i="133"/>
  <c r="R31" i="133"/>
  <c r="S31" i="133"/>
  <c r="T31" i="133"/>
  <c r="U31" i="133"/>
  <c r="V31" i="133"/>
  <c r="W31" i="133"/>
  <c r="X31" i="133"/>
  <c r="Y31" i="133"/>
  <c r="Z31" i="133"/>
  <c r="AA31" i="133"/>
  <c r="AB31" i="133"/>
  <c r="AC31" i="133"/>
  <c r="AD31" i="133"/>
  <c r="AE31" i="133"/>
  <c r="AF31" i="133"/>
  <c r="AG31" i="133"/>
  <c r="AH31" i="133"/>
  <c r="AI31" i="133"/>
  <c r="AJ31" i="133"/>
  <c r="AK31" i="133"/>
  <c r="AL31" i="133"/>
  <c r="AM31" i="133"/>
  <c r="AN31" i="133"/>
  <c r="AO31" i="133"/>
  <c r="AP31" i="133"/>
  <c r="AQ31" i="133"/>
  <c r="AR31" i="133"/>
  <c r="AS31" i="133"/>
  <c r="AT31" i="133"/>
  <c r="AU31" i="133"/>
  <c r="AV31" i="133"/>
  <c r="AW31" i="133"/>
  <c r="AX31" i="133"/>
  <c r="AY31" i="133"/>
  <c r="AZ31" i="133"/>
  <c r="BA31" i="133"/>
  <c r="BB31" i="133"/>
  <c r="BC31" i="133"/>
  <c r="BD31" i="133"/>
  <c r="BE31" i="133"/>
  <c r="BF31" i="133"/>
  <c r="BG31" i="133"/>
  <c r="D31" i="133"/>
  <c r="AN68" i="123"/>
  <c r="AJ68" i="123"/>
  <c r="AH68" i="123"/>
  <c r="G68" i="123"/>
  <c r="D68" i="123"/>
  <c r="E68" i="123"/>
  <c r="F68" i="123"/>
  <c r="H68" i="123"/>
  <c r="I68" i="123"/>
  <c r="J68" i="123"/>
  <c r="L68" i="123"/>
  <c r="M68" i="123"/>
  <c r="N68" i="123"/>
  <c r="O68" i="123"/>
  <c r="P68" i="123"/>
  <c r="Q68" i="123"/>
  <c r="R68" i="123"/>
  <c r="S68" i="123"/>
  <c r="U68" i="123"/>
  <c r="V68" i="123"/>
  <c r="W68" i="123"/>
  <c r="X68" i="123"/>
  <c r="Y68" i="123"/>
  <c r="Z68" i="123"/>
  <c r="AA68" i="123"/>
  <c r="AB68" i="123"/>
  <c r="AC68" i="123"/>
  <c r="AD68" i="123"/>
  <c r="AE68" i="123"/>
  <c r="AF68" i="123"/>
  <c r="AG68" i="123"/>
  <c r="AK68" i="123"/>
  <c r="AL68" i="123"/>
  <c r="AM68" i="123"/>
  <c r="AO68" i="123"/>
  <c r="AP68" i="123"/>
  <c r="AQ68" i="123"/>
  <c r="AR68" i="123"/>
  <c r="AS68" i="123"/>
  <c r="AT68" i="123"/>
  <c r="AU68" i="123"/>
  <c r="AV68" i="123"/>
  <c r="AW68" i="123"/>
  <c r="AX68" i="123"/>
  <c r="AY68" i="123"/>
  <c r="AZ68" i="123"/>
  <c r="BA68" i="123"/>
  <c r="BB68" i="123"/>
  <c r="BC68" i="123"/>
  <c r="BD68" i="123"/>
  <c r="BE68" i="123"/>
  <c r="BF68" i="123"/>
  <c r="AX71" i="122"/>
  <c r="AU71" i="122"/>
  <c r="M71" i="122"/>
  <c r="BE58" i="122"/>
  <c r="Y58" i="122"/>
  <c r="M58" i="122"/>
  <c r="M45" i="122"/>
  <c r="AU21" i="122"/>
  <c r="Y21" i="122"/>
  <c r="M21" i="122"/>
  <c r="AV277" i="123"/>
  <c r="BD275" i="123"/>
  <c r="AT275" i="123"/>
  <c r="P275" i="123"/>
  <c r="C275" i="123"/>
  <c r="AZ273" i="123"/>
  <c r="AZ271" i="123"/>
  <c r="D237" i="123"/>
  <c r="E237" i="123"/>
  <c r="F237" i="123"/>
  <c r="G237" i="123"/>
  <c r="H237" i="123"/>
  <c r="I237" i="123"/>
  <c r="J237" i="123"/>
  <c r="K237" i="123"/>
  <c r="L237" i="123"/>
  <c r="M237" i="123"/>
  <c r="N237" i="123"/>
  <c r="O237" i="123"/>
  <c r="P237" i="123"/>
  <c r="Q237" i="123"/>
  <c r="R237" i="123"/>
  <c r="S237" i="123"/>
  <c r="T237" i="123"/>
  <c r="U237" i="123"/>
  <c r="V237" i="123"/>
  <c r="W237" i="123"/>
  <c r="X237" i="123"/>
  <c r="Y237" i="123"/>
  <c r="Z237" i="123"/>
  <c r="AA237" i="123"/>
  <c r="AB237" i="123"/>
  <c r="AC237" i="123"/>
  <c r="AD237" i="123"/>
  <c r="AE237" i="123"/>
  <c r="AF237" i="123"/>
  <c r="AG237" i="123"/>
  <c r="AH237" i="123"/>
  <c r="AI237" i="123"/>
  <c r="AJ237" i="123"/>
  <c r="AK237" i="123"/>
  <c r="AL237" i="123"/>
  <c r="AM237" i="123"/>
  <c r="AN237" i="123"/>
  <c r="AO237" i="123"/>
  <c r="AP237" i="123"/>
  <c r="AQ237" i="123"/>
  <c r="AR237" i="123"/>
  <c r="AS237" i="123"/>
  <c r="AT237" i="123"/>
  <c r="AU237" i="123"/>
  <c r="AV237" i="123"/>
  <c r="AW237" i="123"/>
  <c r="AX237" i="123"/>
  <c r="AY237" i="123"/>
  <c r="AZ237" i="123"/>
  <c r="BA237" i="123"/>
  <c r="BB237" i="123"/>
  <c r="BC237" i="123"/>
  <c r="BD237" i="123"/>
  <c r="BE237" i="123"/>
  <c r="BF237" i="123"/>
  <c r="D238" i="123"/>
  <c r="E238" i="123"/>
  <c r="F238" i="123"/>
  <c r="G238" i="123"/>
  <c r="H238" i="123"/>
  <c r="I238" i="123"/>
  <c r="J238" i="123"/>
  <c r="K238" i="123"/>
  <c r="L238" i="123"/>
  <c r="M238" i="123"/>
  <c r="N238" i="123"/>
  <c r="O238" i="123"/>
  <c r="P238" i="123"/>
  <c r="Q238" i="123"/>
  <c r="R238" i="123"/>
  <c r="S238" i="123"/>
  <c r="T238" i="123"/>
  <c r="U238" i="123"/>
  <c r="V238" i="123"/>
  <c r="W238" i="123"/>
  <c r="X238" i="123"/>
  <c r="Y238" i="123"/>
  <c r="Z238" i="123"/>
  <c r="AA238" i="123"/>
  <c r="AB238" i="123"/>
  <c r="AC238" i="123"/>
  <c r="AD238" i="123"/>
  <c r="AE238" i="123"/>
  <c r="AF238" i="123"/>
  <c r="AG238" i="123"/>
  <c r="AH238" i="123"/>
  <c r="AI238" i="123"/>
  <c r="AJ238" i="123"/>
  <c r="AK238" i="123"/>
  <c r="AL238" i="123"/>
  <c r="AM238" i="123"/>
  <c r="AN238" i="123"/>
  <c r="AO238" i="123"/>
  <c r="AP238" i="123"/>
  <c r="AQ238" i="123"/>
  <c r="AR238" i="123"/>
  <c r="AS238" i="123"/>
  <c r="AT238" i="123"/>
  <c r="AU238" i="123"/>
  <c r="AV238" i="123"/>
  <c r="AW238" i="123"/>
  <c r="AX238" i="123"/>
  <c r="AY238" i="123"/>
  <c r="AZ238" i="123"/>
  <c r="BA238" i="123"/>
  <c r="BB238" i="123"/>
  <c r="BC238" i="123"/>
  <c r="BD238" i="123"/>
  <c r="BE238" i="123"/>
  <c r="BF238" i="123"/>
  <c r="D239" i="123"/>
  <c r="E239" i="123"/>
  <c r="F239" i="123"/>
  <c r="G239" i="123"/>
  <c r="H239" i="123"/>
  <c r="I239" i="123"/>
  <c r="J239" i="123"/>
  <c r="K239" i="123"/>
  <c r="L239" i="123"/>
  <c r="M239" i="123"/>
  <c r="N239" i="123"/>
  <c r="O239" i="123"/>
  <c r="P239" i="123"/>
  <c r="Q239" i="123"/>
  <c r="R239" i="123"/>
  <c r="S239" i="123"/>
  <c r="T239" i="123"/>
  <c r="U239" i="123"/>
  <c r="V239" i="123"/>
  <c r="W239" i="123"/>
  <c r="X239" i="123"/>
  <c r="Y239" i="123"/>
  <c r="Z239" i="123"/>
  <c r="AA239" i="123"/>
  <c r="AB239" i="123"/>
  <c r="AC239" i="123"/>
  <c r="AD239" i="123"/>
  <c r="AE239" i="123"/>
  <c r="AF239" i="123"/>
  <c r="AG239" i="123"/>
  <c r="AH239" i="123"/>
  <c r="AI239" i="123"/>
  <c r="AJ239" i="123"/>
  <c r="AK239" i="123"/>
  <c r="AL239" i="123"/>
  <c r="AM239" i="123"/>
  <c r="AN239" i="123"/>
  <c r="AO239" i="123"/>
  <c r="AP239" i="123"/>
  <c r="AQ239" i="123"/>
  <c r="AR239" i="123"/>
  <c r="AS239" i="123"/>
  <c r="AT239" i="123"/>
  <c r="AU239" i="123"/>
  <c r="AV239" i="123"/>
  <c r="AW239" i="123"/>
  <c r="AX239" i="123"/>
  <c r="AY239" i="123"/>
  <c r="AZ239" i="123"/>
  <c r="BA239" i="123"/>
  <c r="BB239" i="123"/>
  <c r="BC239" i="123"/>
  <c r="BD239" i="123"/>
  <c r="BE239" i="123"/>
  <c r="BF239" i="123"/>
  <c r="D240" i="123"/>
  <c r="E240" i="123"/>
  <c r="F240" i="123"/>
  <c r="G240" i="123"/>
  <c r="H240" i="123"/>
  <c r="I240" i="123"/>
  <c r="J240" i="123"/>
  <c r="K240" i="123"/>
  <c r="L240" i="123"/>
  <c r="M240" i="123"/>
  <c r="N240" i="123"/>
  <c r="O240" i="123"/>
  <c r="P240" i="123"/>
  <c r="Q240" i="123"/>
  <c r="R240" i="123"/>
  <c r="S240" i="123"/>
  <c r="T240" i="123"/>
  <c r="U240" i="123"/>
  <c r="V240" i="123"/>
  <c r="W240" i="123"/>
  <c r="X240" i="123"/>
  <c r="Y240" i="123"/>
  <c r="Z240" i="123"/>
  <c r="AA240" i="123"/>
  <c r="AB240" i="123"/>
  <c r="AC240" i="123"/>
  <c r="AD240" i="123"/>
  <c r="AE240" i="123"/>
  <c r="AF240" i="123"/>
  <c r="AG240" i="123"/>
  <c r="AH240" i="123"/>
  <c r="AI240" i="123"/>
  <c r="AJ240" i="123"/>
  <c r="AK240" i="123"/>
  <c r="AL240" i="123"/>
  <c r="AM240" i="123"/>
  <c r="AN240" i="123"/>
  <c r="AO240" i="123"/>
  <c r="AP240" i="123"/>
  <c r="AQ240" i="123"/>
  <c r="AR240" i="123"/>
  <c r="AS240" i="123"/>
  <c r="AT240" i="123"/>
  <c r="AU240" i="123"/>
  <c r="AV240" i="123"/>
  <c r="AW240" i="123"/>
  <c r="AX240" i="123"/>
  <c r="AY240" i="123"/>
  <c r="AZ240" i="123"/>
  <c r="BA240" i="123"/>
  <c r="BB240" i="123"/>
  <c r="BC240" i="123"/>
  <c r="BD240" i="123"/>
  <c r="BE240" i="123"/>
  <c r="BF240" i="123"/>
  <c r="D241" i="123"/>
  <c r="E241" i="123"/>
  <c r="F241" i="123"/>
  <c r="G241" i="123"/>
  <c r="H241" i="123"/>
  <c r="I241" i="123"/>
  <c r="J241" i="123"/>
  <c r="K241" i="123"/>
  <c r="L241" i="123"/>
  <c r="M241" i="123"/>
  <c r="N241" i="123"/>
  <c r="O241" i="123"/>
  <c r="P241" i="123"/>
  <c r="Q241" i="123"/>
  <c r="R241" i="123"/>
  <c r="S241" i="123"/>
  <c r="T241" i="123"/>
  <c r="U241" i="123"/>
  <c r="V241" i="123"/>
  <c r="W241" i="123"/>
  <c r="X241" i="123"/>
  <c r="Y241" i="123"/>
  <c r="Z241" i="123"/>
  <c r="AA241" i="123"/>
  <c r="AB241" i="123"/>
  <c r="AC241" i="123"/>
  <c r="AD241" i="123"/>
  <c r="AE241" i="123"/>
  <c r="AF241" i="123"/>
  <c r="AG241" i="123"/>
  <c r="AH241" i="123"/>
  <c r="AI241" i="123"/>
  <c r="AJ241" i="123"/>
  <c r="AK241" i="123"/>
  <c r="AL241" i="123"/>
  <c r="AM241" i="123"/>
  <c r="AN241" i="123"/>
  <c r="AO241" i="123"/>
  <c r="AP241" i="123"/>
  <c r="AQ241" i="123"/>
  <c r="AR241" i="123"/>
  <c r="AS241" i="123"/>
  <c r="AT241" i="123"/>
  <c r="AU241" i="123"/>
  <c r="AV241" i="123"/>
  <c r="AW241" i="123"/>
  <c r="AX241" i="123"/>
  <c r="AY241" i="123"/>
  <c r="AZ241" i="123"/>
  <c r="BA241" i="123"/>
  <c r="BB241" i="123"/>
  <c r="BC241" i="123"/>
  <c r="BD241" i="123"/>
  <c r="BE241" i="123"/>
  <c r="BF241" i="123"/>
  <c r="D242" i="123"/>
  <c r="E242" i="123"/>
  <c r="F242" i="123"/>
  <c r="G242" i="123"/>
  <c r="H242" i="123"/>
  <c r="I242" i="123"/>
  <c r="J242" i="123"/>
  <c r="K242" i="123"/>
  <c r="L242" i="123"/>
  <c r="M242" i="123"/>
  <c r="N242" i="123"/>
  <c r="O242" i="123"/>
  <c r="P242" i="123"/>
  <c r="Q242" i="123"/>
  <c r="R242" i="123"/>
  <c r="S242" i="123"/>
  <c r="T242" i="123"/>
  <c r="U242" i="123"/>
  <c r="V242" i="123"/>
  <c r="W242" i="123"/>
  <c r="X242" i="123"/>
  <c r="Y242" i="123"/>
  <c r="Z242" i="123"/>
  <c r="AA242" i="123"/>
  <c r="AB242" i="123"/>
  <c r="AC242" i="123"/>
  <c r="AD242" i="123"/>
  <c r="AE242" i="123"/>
  <c r="AF242" i="123"/>
  <c r="AG242" i="123"/>
  <c r="AH242" i="123"/>
  <c r="AI242" i="123"/>
  <c r="AJ242" i="123"/>
  <c r="AK242" i="123"/>
  <c r="AL242" i="123"/>
  <c r="AM242" i="123"/>
  <c r="AN242" i="123"/>
  <c r="AO242" i="123"/>
  <c r="AP242" i="123"/>
  <c r="AQ242" i="123"/>
  <c r="AR242" i="123"/>
  <c r="AS242" i="123"/>
  <c r="AT242" i="123"/>
  <c r="AU242" i="123"/>
  <c r="AV242" i="123"/>
  <c r="AW242" i="123"/>
  <c r="AX242" i="123"/>
  <c r="AY242" i="123"/>
  <c r="AZ242" i="123"/>
  <c r="BA242" i="123"/>
  <c r="BB242" i="123"/>
  <c r="BC242" i="123"/>
  <c r="BD242" i="123"/>
  <c r="BE242" i="123"/>
  <c r="BF242" i="123"/>
  <c r="D243" i="123"/>
  <c r="E243" i="123"/>
  <c r="F243" i="123"/>
  <c r="G243" i="123"/>
  <c r="H243" i="123"/>
  <c r="I243" i="123"/>
  <c r="J243" i="123"/>
  <c r="K243" i="123"/>
  <c r="L243" i="123"/>
  <c r="M243" i="123"/>
  <c r="N243" i="123"/>
  <c r="O243" i="123"/>
  <c r="P243" i="123"/>
  <c r="Q243" i="123"/>
  <c r="R243" i="123"/>
  <c r="S243" i="123"/>
  <c r="T243" i="123"/>
  <c r="U243" i="123"/>
  <c r="V243" i="123"/>
  <c r="W243" i="123"/>
  <c r="X243" i="123"/>
  <c r="Y243" i="123"/>
  <c r="Z243" i="123"/>
  <c r="AA243" i="123"/>
  <c r="AB243" i="123"/>
  <c r="AC243" i="123"/>
  <c r="AD243" i="123"/>
  <c r="AE243" i="123"/>
  <c r="AF243" i="123"/>
  <c r="AG243" i="123"/>
  <c r="AH243" i="123"/>
  <c r="AI243" i="123"/>
  <c r="AJ243" i="123"/>
  <c r="AK243" i="123"/>
  <c r="AL243" i="123"/>
  <c r="AM243" i="123"/>
  <c r="AN243" i="123"/>
  <c r="AO243" i="123"/>
  <c r="AP243" i="123"/>
  <c r="AQ243" i="123"/>
  <c r="AR243" i="123"/>
  <c r="AS243" i="123"/>
  <c r="AT243" i="123"/>
  <c r="AU243" i="123"/>
  <c r="AV243" i="123"/>
  <c r="AW243" i="123"/>
  <c r="AX243" i="123"/>
  <c r="AY243" i="123"/>
  <c r="AZ243" i="123"/>
  <c r="BA243" i="123"/>
  <c r="BB243" i="123"/>
  <c r="BC243" i="123"/>
  <c r="BD243" i="123"/>
  <c r="BE243" i="123"/>
  <c r="BF243" i="123"/>
  <c r="D244" i="123"/>
  <c r="E244" i="123"/>
  <c r="F244" i="123"/>
  <c r="G244" i="123"/>
  <c r="H244" i="123"/>
  <c r="I244" i="123"/>
  <c r="J244" i="123"/>
  <c r="K244" i="123"/>
  <c r="L244" i="123"/>
  <c r="M244" i="123"/>
  <c r="N244" i="123"/>
  <c r="O244" i="123"/>
  <c r="P244" i="123"/>
  <c r="Q244" i="123"/>
  <c r="R244" i="123"/>
  <c r="S244" i="123"/>
  <c r="T244" i="123"/>
  <c r="U244" i="123"/>
  <c r="V244" i="123"/>
  <c r="W244" i="123"/>
  <c r="X244" i="123"/>
  <c r="Y244" i="123"/>
  <c r="Z244" i="123"/>
  <c r="AA244" i="123"/>
  <c r="AB244" i="123"/>
  <c r="AC244" i="123"/>
  <c r="AD244" i="123"/>
  <c r="AE244" i="123"/>
  <c r="AF244" i="123"/>
  <c r="AG244" i="123"/>
  <c r="AH244" i="123"/>
  <c r="AI244" i="123"/>
  <c r="AJ244" i="123"/>
  <c r="AK244" i="123"/>
  <c r="AL244" i="123"/>
  <c r="AM244" i="123"/>
  <c r="AN244" i="123"/>
  <c r="AO244" i="123"/>
  <c r="AP244" i="123"/>
  <c r="AQ244" i="123"/>
  <c r="AR244" i="123"/>
  <c r="AS244" i="123"/>
  <c r="AT244" i="123"/>
  <c r="AU244" i="123"/>
  <c r="AV244" i="123"/>
  <c r="AW244" i="123"/>
  <c r="AX244" i="123"/>
  <c r="AY244" i="123"/>
  <c r="AZ244" i="123"/>
  <c r="BA244" i="123"/>
  <c r="BB244" i="123"/>
  <c r="BC244" i="123"/>
  <c r="BD244" i="123"/>
  <c r="BE244" i="123"/>
  <c r="BF244" i="123"/>
  <c r="D245" i="123"/>
  <c r="E245" i="123"/>
  <c r="F245" i="123"/>
  <c r="G245" i="123"/>
  <c r="H245" i="123"/>
  <c r="I245" i="123"/>
  <c r="J245" i="123"/>
  <c r="K245" i="123"/>
  <c r="L245" i="123"/>
  <c r="M245" i="123"/>
  <c r="N245" i="123"/>
  <c r="O245" i="123"/>
  <c r="P245" i="123"/>
  <c r="Q245" i="123"/>
  <c r="R245" i="123"/>
  <c r="S245" i="123"/>
  <c r="T245" i="123"/>
  <c r="U245" i="123"/>
  <c r="V245" i="123"/>
  <c r="W245" i="123"/>
  <c r="X245" i="123"/>
  <c r="Y245" i="123"/>
  <c r="Z245" i="123"/>
  <c r="AA245" i="123"/>
  <c r="AB245" i="123"/>
  <c r="AC245" i="123"/>
  <c r="AD245" i="123"/>
  <c r="AE245" i="123"/>
  <c r="AF245" i="123"/>
  <c r="AG245" i="123"/>
  <c r="AH245" i="123"/>
  <c r="AI245" i="123"/>
  <c r="AJ245" i="123"/>
  <c r="AK245" i="123"/>
  <c r="AL245" i="123"/>
  <c r="AM245" i="123"/>
  <c r="AN245" i="123"/>
  <c r="AO245" i="123"/>
  <c r="AP245" i="123"/>
  <c r="AQ245" i="123"/>
  <c r="AR245" i="123"/>
  <c r="AS245" i="123"/>
  <c r="AT245" i="123"/>
  <c r="AU245" i="123"/>
  <c r="AV245" i="123"/>
  <c r="AW245" i="123"/>
  <c r="AX245" i="123"/>
  <c r="AY245" i="123"/>
  <c r="AZ245" i="123"/>
  <c r="BA245" i="123"/>
  <c r="BB245" i="123"/>
  <c r="BC245" i="123"/>
  <c r="BD245" i="123"/>
  <c r="BE245" i="123"/>
  <c r="BF245" i="123"/>
  <c r="D246" i="123"/>
  <c r="E246" i="123"/>
  <c r="F246" i="123"/>
  <c r="G246" i="123"/>
  <c r="H246" i="123"/>
  <c r="I246" i="123"/>
  <c r="J246" i="123"/>
  <c r="K246" i="123"/>
  <c r="L246" i="123"/>
  <c r="M246" i="123"/>
  <c r="N246" i="123"/>
  <c r="O246" i="123"/>
  <c r="P246" i="123"/>
  <c r="Q246" i="123"/>
  <c r="R246" i="123"/>
  <c r="S246" i="123"/>
  <c r="T246" i="123"/>
  <c r="U246" i="123"/>
  <c r="V246" i="123"/>
  <c r="W246" i="123"/>
  <c r="X246" i="123"/>
  <c r="Y246" i="123"/>
  <c r="Z246" i="123"/>
  <c r="AA246" i="123"/>
  <c r="AB246" i="123"/>
  <c r="AC246" i="123"/>
  <c r="AD246" i="123"/>
  <c r="AE246" i="123"/>
  <c r="AF246" i="123"/>
  <c r="AG246" i="123"/>
  <c r="AH246" i="123"/>
  <c r="AI246" i="123"/>
  <c r="AJ246" i="123"/>
  <c r="AK246" i="123"/>
  <c r="AL246" i="123"/>
  <c r="AM246" i="123"/>
  <c r="AN246" i="123"/>
  <c r="AO246" i="123"/>
  <c r="AP246" i="123"/>
  <c r="AQ246" i="123"/>
  <c r="AR246" i="123"/>
  <c r="AS246" i="123"/>
  <c r="AT246" i="123"/>
  <c r="AU246" i="123"/>
  <c r="AV246" i="123"/>
  <c r="AW246" i="123"/>
  <c r="AX246" i="123"/>
  <c r="AY246" i="123"/>
  <c r="AZ246" i="123"/>
  <c r="BA246" i="123"/>
  <c r="BB246" i="123"/>
  <c r="BC246" i="123"/>
  <c r="BD246" i="123"/>
  <c r="BE246" i="123"/>
  <c r="BF246" i="123"/>
  <c r="D247" i="123"/>
  <c r="E247" i="123"/>
  <c r="F247" i="123"/>
  <c r="G247" i="123"/>
  <c r="H247" i="123"/>
  <c r="I247" i="123"/>
  <c r="J247" i="123"/>
  <c r="K247" i="123"/>
  <c r="L247" i="123"/>
  <c r="M247" i="123"/>
  <c r="N247" i="123"/>
  <c r="O247" i="123"/>
  <c r="P247" i="123"/>
  <c r="Q247" i="123"/>
  <c r="R247" i="123"/>
  <c r="S247" i="123"/>
  <c r="T247" i="123"/>
  <c r="U247" i="123"/>
  <c r="V247" i="123"/>
  <c r="W247" i="123"/>
  <c r="X247" i="123"/>
  <c r="Y247" i="123"/>
  <c r="Z247" i="123"/>
  <c r="AA247" i="123"/>
  <c r="AB247" i="123"/>
  <c r="AC247" i="123"/>
  <c r="AD247" i="123"/>
  <c r="AE247" i="123"/>
  <c r="AF247" i="123"/>
  <c r="AG247" i="123"/>
  <c r="AH247" i="123"/>
  <c r="AI247" i="123"/>
  <c r="AJ247" i="123"/>
  <c r="AK247" i="123"/>
  <c r="AL247" i="123"/>
  <c r="AM247" i="123"/>
  <c r="AN247" i="123"/>
  <c r="AO247" i="123"/>
  <c r="AP247" i="123"/>
  <c r="AQ247" i="123"/>
  <c r="AR247" i="123"/>
  <c r="AS247" i="123"/>
  <c r="AT247" i="123"/>
  <c r="AU247" i="123"/>
  <c r="AV247" i="123"/>
  <c r="AW247" i="123"/>
  <c r="AX247" i="123"/>
  <c r="AY247" i="123"/>
  <c r="AZ247" i="123"/>
  <c r="BA247" i="123"/>
  <c r="BB247" i="123"/>
  <c r="BC247" i="123"/>
  <c r="BD247" i="123"/>
  <c r="BE247" i="123"/>
  <c r="BF247" i="123"/>
  <c r="D248" i="123"/>
  <c r="E248" i="123"/>
  <c r="F248" i="123"/>
  <c r="G248" i="123"/>
  <c r="H248" i="123"/>
  <c r="I248" i="123"/>
  <c r="J248" i="123"/>
  <c r="K248" i="123"/>
  <c r="L248" i="123"/>
  <c r="M248" i="123"/>
  <c r="N248" i="123"/>
  <c r="O248" i="123"/>
  <c r="P248" i="123"/>
  <c r="Q248" i="123"/>
  <c r="R248" i="123"/>
  <c r="S248" i="123"/>
  <c r="T248" i="123"/>
  <c r="U248" i="123"/>
  <c r="V248" i="123"/>
  <c r="W248" i="123"/>
  <c r="X248" i="123"/>
  <c r="Y248" i="123"/>
  <c r="Z248" i="123"/>
  <c r="AA248" i="123"/>
  <c r="AB248" i="123"/>
  <c r="AC248" i="123"/>
  <c r="AD248" i="123"/>
  <c r="AE248" i="123"/>
  <c r="AF248" i="123"/>
  <c r="AG248" i="123"/>
  <c r="AH248" i="123"/>
  <c r="AI248" i="123"/>
  <c r="AJ248" i="123"/>
  <c r="AK248" i="123"/>
  <c r="AL248" i="123"/>
  <c r="AM248" i="123"/>
  <c r="AN248" i="123"/>
  <c r="AO248" i="123"/>
  <c r="AP248" i="123"/>
  <c r="AQ248" i="123"/>
  <c r="AR248" i="123"/>
  <c r="AS248" i="123"/>
  <c r="AT248" i="123"/>
  <c r="AU248" i="123"/>
  <c r="AV248" i="123"/>
  <c r="AW248" i="123"/>
  <c r="AX248" i="123"/>
  <c r="AY248" i="123"/>
  <c r="AZ248" i="123"/>
  <c r="BA248" i="123"/>
  <c r="BB248" i="123"/>
  <c r="BC248" i="123"/>
  <c r="BD248" i="123"/>
  <c r="BE248" i="123"/>
  <c r="BF248" i="123"/>
  <c r="D249" i="123"/>
  <c r="E249" i="123"/>
  <c r="F249" i="123"/>
  <c r="G249" i="123"/>
  <c r="H249" i="123"/>
  <c r="I249" i="123"/>
  <c r="J249" i="123"/>
  <c r="K249" i="123"/>
  <c r="L249" i="123"/>
  <c r="M249" i="123"/>
  <c r="N249" i="123"/>
  <c r="O249" i="123"/>
  <c r="P249" i="123"/>
  <c r="Q249" i="123"/>
  <c r="R249" i="123"/>
  <c r="S249" i="123"/>
  <c r="T249" i="123"/>
  <c r="U249" i="123"/>
  <c r="V249" i="123"/>
  <c r="W249" i="123"/>
  <c r="X249" i="123"/>
  <c r="Y249" i="123"/>
  <c r="Z249" i="123"/>
  <c r="AA249" i="123"/>
  <c r="AB249" i="123"/>
  <c r="AC249" i="123"/>
  <c r="AD249" i="123"/>
  <c r="AE249" i="123"/>
  <c r="AF249" i="123"/>
  <c r="AG249" i="123"/>
  <c r="AH249" i="123"/>
  <c r="AI249" i="123"/>
  <c r="AJ249" i="123"/>
  <c r="AK249" i="123"/>
  <c r="AL249" i="123"/>
  <c r="AM249" i="123"/>
  <c r="AN249" i="123"/>
  <c r="AO249" i="123"/>
  <c r="AP249" i="123"/>
  <c r="AQ249" i="123"/>
  <c r="AR249" i="123"/>
  <c r="AS249" i="123"/>
  <c r="AT249" i="123"/>
  <c r="AU249" i="123"/>
  <c r="AV249" i="123"/>
  <c r="AW249" i="123"/>
  <c r="AX249" i="123"/>
  <c r="AY249" i="123"/>
  <c r="AZ249" i="123"/>
  <c r="BA249" i="123"/>
  <c r="BB249" i="123"/>
  <c r="BC249" i="123"/>
  <c r="BD249" i="123"/>
  <c r="BE249" i="123"/>
  <c r="BF249" i="123"/>
  <c r="D250" i="123"/>
  <c r="E250" i="123"/>
  <c r="F250" i="123"/>
  <c r="G250" i="123"/>
  <c r="H250" i="123"/>
  <c r="I250" i="123"/>
  <c r="J250" i="123"/>
  <c r="K250" i="123"/>
  <c r="L250" i="123"/>
  <c r="M250" i="123"/>
  <c r="N250" i="123"/>
  <c r="O250" i="123"/>
  <c r="P250" i="123"/>
  <c r="Q250" i="123"/>
  <c r="R250" i="123"/>
  <c r="S250" i="123"/>
  <c r="T250" i="123"/>
  <c r="U250" i="123"/>
  <c r="V250" i="123"/>
  <c r="W250" i="123"/>
  <c r="X250" i="123"/>
  <c r="Y250" i="123"/>
  <c r="Z250" i="123"/>
  <c r="AA250" i="123"/>
  <c r="AB250" i="123"/>
  <c r="AC250" i="123"/>
  <c r="AD250" i="123"/>
  <c r="AE250" i="123"/>
  <c r="AF250" i="123"/>
  <c r="AG250" i="123"/>
  <c r="AH250" i="123"/>
  <c r="AI250" i="123"/>
  <c r="AJ250" i="123"/>
  <c r="AK250" i="123"/>
  <c r="AL250" i="123"/>
  <c r="AM250" i="123"/>
  <c r="AN250" i="123"/>
  <c r="AO250" i="123"/>
  <c r="AP250" i="123"/>
  <c r="AQ250" i="123"/>
  <c r="AR250" i="123"/>
  <c r="AS250" i="123"/>
  <c r="AT250" i="123"/>
  <c r="AU250" i="123"/>
  <c r="AV250" i="123"/>
  <c r="AW250" i="123"/>
  <c r="AX250" i="123"/>
  <c r="AY250" i="123"/>
  <c r="AZ250" i="123"/>
  <c r="BA250" i="123"/>
  <c r="BB250" i="123"/>
  <c r="BC250" i="123"/>
  <c r="BD250" i="123"/>
  <c r="BE250" i="123"/>
  <c r="BF250" i="123"/>
  <c r="D251" i="123"/>
  <c r="E251" i="123"/>
  <c r="F251" i="123"/>
  <c r="G251" i="123"/>
  <c r="H251" i="123"/>
  <c r="I251" i="123"/>
  <c r="J251" i="123"/>
  <c r="K251" i="123"/>
  <c r="L251" i="123"/>
  <c r="M251" i="123"/>
  <c r="N251" i="123"/>
  <c r="O251" i="123"/>
  <c r="P251" i="123"/>
  <c r="Q251" i="123"/>
  <c r="R251" i="123"/>
  <c r="S251" i="123"/>
  <c r="T251" i="123"/>
  <c r="U251" i="123"/>
  <c r="V251" i="123"/>
  <c r="W251" i="123"/>
  <c r="X251" i="123"/>
  <c r="Y251" i="123"/>
  <c r="Z251" i="123"/>
  <c r="AA251" i="123"/>
  <c r="AB251" i="123"/>
  <c r="AC251" i="123"/>
  <c r="AD251" i="123"/>
  <c r="AE251" i="123"/>
  <c r="AF251" i="123"/>
  <c r="AG251" i="123"/>
  <c r="AH251" i="123"/>
  <c r="AI251" i="123"/>
  <c r="AJ251" i="123"/>
  <c r="AK251" i="123"/>
  <c r="AL251" i="123"/>
  <c r="AM251" i="123"/>
  <c r="AN251" i="123"/>
  <c r="AO251" i="123"/>
  <c r="AP251" i="123"/>
  <c r="AQ251" i="123"/>
  <c r="AR251" i="123"/>
  <c r="AS251" i="123"/>
  <c r="AT251" i="123"/>
  <c r="AU251" i="123"/>
  <c r="AV251" i="123"/>
  <c r="AW251" i="123"/>
  <c r="AX251" i="123"/>
  <c r="AY251" i="123"/>
  <c r="AZ251" i="123"/>
  <c r="BA251" i="123"/>
  <c r="BB251" i="123"/>
  <c r="BC251" i="123"/>
  <c r="BD251" i="123"/>
  <c r="BE251" i="123"/>
  <c r="BF251" i="123"/>
  <c r="D252" i="123"/>
  <c r="E252" i="123"/>
  <c r="F252" i="123"/>
  <c r="G252" i="123"/>
  <c r="H252" i="123"/>
  <c r="I252" i="123"/>
  <c r="J252" i="123"/>
  <c r="K252" i="123"/>
  <c r="L252" i="123"/>
  <c r="M252" i="123"/>
  <c r="N252" i="123"/>
  <c r="O252" i="123"/>
  <c r="P252" i="123"/>
  <c r="Q252" i="123"/>
  <c r="R252" i="123"/>
  <c r="S252" i="123"/>
  <c r="T252" i="123"/>
  <c r="U252" i="123"/>
  <c r="V252" i="123"/>
  <c r="W252" i="123"/>
  <c r="X252" i="123"/>
  <c r="Y252" i="123"/>
  <c r="Z252" i="123"/>
  <c r="AA252" i="123"/>
  <c r="AB252" i="123"/>
  <c r="AC252" i="123"/>
  <c r="AD252" i="123"/>
  <c r="AE252" i="123"/>
  <c r="AF252" i="123"/>
  <c r="AG252" i="123"/>
  <c r="AH252" i="123"/>
  <c r="AI252" i="123"/>
  <c r="AJ252" i="123"/>
  <c r="AK252" i="123"/>
  <c r="AL252" i="123"/>
  <c r="AM252" i="123"/>
  <c r="AN252" i="123"/>
  <c r="AO252" i="123"/>
  <c r="AP252" i="123"/>
  <c r="AQ252" i="123"/>
  <c r="AR252" i="123"/>
  <c r="AS252" i="123"/>
  <c r="AT252" i="123"/>
  <c r="AU252" i="123"/>
  <c r="AV252" i="123"/>
  <c r="AW252" i="123"/>
  <c r="AX252" i="123"/>
  <c r="AY252" i="123"/>
  <c r="AZ252" i="123"/>
  <c r="BA252" i="123"/>
  <c r="BB252" i="123"/>
  <c r="BC252" i="123"/>
  <c r="BD252" i="123"/>
  <c r="BE252" i="123"/>
  <c r="BF252" i="123"/>
  <c r="D253" i="123"/>
  <c r="E253" i="123"/>
  <c r="F253" i="123"/>
  <c r="G253" i="123"/>
  <c r="H253" i="123"/>
  <c r="I253" i="123"/>
  <c r="J253" i="123"/>
  <c r="K253" i="123"/>
  <c r="L253" i="123"/>
  <c r="M253" i="123"/>
  <c r="N253" i="123"/>
  <c r="O253" i="123"/>
  <c r="P253" i="123"/>
  <c r="Q253" i="123"/>
  <c r="R253" i="123"/>
  <c r="S253" i="123"/>
  <c r="T253" i="123"/>
  <c r="U253" i="123"/>
  <c r="V253" i="123"/>
  <c r="W253" i="123"/>
  <c r="X253" i="123"/>
  <c r="Y253" i="123"/>
  <c r="Z253" i="123"/>
  <c r="AA253" i="123"/>
  <c r="AB253" i="123"/>
  <c r="AC253" i="123"/>
  <c r="AD253" i="123"/>
  <c r="AE253" i="123"/>
  <c r="AF253" i="123"/>
  <c r="AG253" i="123"/>
  <c r="AH253" i="123"/>
  <c r="AI253" i="123"/>
  <c r="AJ253" i="123"/>
  <c r="AK253" i="123"/>
  <c r="AL253" i="123"/>
  <c r="AM253" i="123"/>
  <c r="AN253" i="123"/>
  <c r="AO253" i="123"/>
  <c r="AP253" i="123"/>
  <c r="AQ253" i="123"/>
  <c r="AR253" i="123"/>
  <c r="AS253" i="123"/>
  <c r="AT253" i="123"/>
  <c r="AU253" i="123"/>
  <c r="AV253" i="123"/>
  <c r="AW253" i="123"/>
  <c r="AX253" i="123"/>
  <c r="AY253" i="123"/>
  <c r="AZ253" i="123"/>
  <c r="BA253" i="123"/>
  <c r="BB253" i="123"/>
  <c r="BC253" i="123"/>
  <c r="BD253" i="123"/>
  <c r="BE253" i="123"/>
  <c r="BF253" i="123"/>
  <c r="D254" i="123"/>
  <c r="E254" i="123"/>
  <c r="F254" i="123"/>
  <c r="G254" i="123"/>
  <c r="H254" i="123"/>
  <c r="I254" i="123"/>
  <c r="J254" i="123"/>
  <c r="K254" i="123"/>
  <c r="L254" i="123"/>
  <c r="M254" i="123"/>
  <c r="N254" i="123"/>
  <c r="O254" i="123"/>
  <c r="P254" i="123"/>
  <c r="Q254" i="123"/>
  <c r="R254" i="123"/>
  <c r="S254" i="123"/>
  <c r="T254" i="123"/>
  <c r="U254" i="123"/>
  <c r="V254" i="123"/>
  <c r="W254" i="123"/>
  <c r="X254" i="123"/>
  <c r="Y254" i="123"/>
  <c r="Z254" i="123"/>
  <c r="AA254" i="123"/>
  <c r="AB254" i="123"/>
  <c r="AC254" i="123"/>
  <c r="AD254" i="123"/>
  <c r="AE254" i="123"/>
  <c r="AF254" i="123"/>
  <c r="AG254" i="123"/>
  <c r="AH254" i="123"/>
  <c r="AI254" i="123"/>
  <c r="AJ254" i="123"/>
  <c r="AK254" i="123"/>
  <c r="AL254" i="123"/>
  <c r="AM254" i="123"/>
  <c r="AN254" i="123"/>
  <c r="AO254" i="123"/>
  <c r="AP254" i="123"/>
  <c r="AQ254" i="123"/>
  <c r="AR254" i="123"/>
  <c r="AS254" i="123"/>
  <c r="AT254" i="123"/>
  <c r="AU254" i="123"/>
  <c r="AV254" i="123"/>
  <c r="AW254" i="123"/>
  <c r="AX254" i="123"/>
  <c r="AY254" i="123"/>
  <c r="AZ254" i="123"/>
  <c r="BA254" i="123"/>
  <c r="BB254" i="123"/>
  <c r="BC254" i="123"/>
  <c r="BD254" i="123"/>
  <c r="BE254" i="123"/>
  <c r="BF254" i="123"/>
  <c r="D255" i="123"/>
  <c r="E255" i="123"/>
  <c r="F255" i="123"/>
  <c r="G255" i="123"/>
  <c r="H255" i="123"/>
  <c r="I255" i="123"/>
  <c r="J255" i="123"/>
  <c r="K255" i="123"/>
  <c r="L255" i="123"/>
  <c r="M255" i="123"/>
  <c r="N255" i="123"/>
  <c r="O255" i="123"/>
  <c r="P255" i="123"/>
  <c r="Q255" i="123"/>
  <c r="R255" i="123"/>
  <c r="S255" i="123"/>
  <c r="T255" i="123"/>
  <c r="U255" i="123"/>
  <c r="V255" i="123"/>
  <c r="W255" i="123"/>
  <c r="X255" i="123"/>
  <c r="Y255" i="123"/>
  <c r="Z255" i="123"/>
  <c r="AA255" i="123"/>
  <c r="AB255" i="123"/>
  <c r="AC255" i="123"/>
  <c r="AD255" i="123"/>
  <c r="AE255" i="123"/>
  <c r="AF255" i="123"/>
  <c r="AG255" i="123"/>
  <c r="AH255" i="123"/>
  <c r="AI255" i="123"/>
  <c r="AJ255" i="123"/>
  <c r="AK255" i="123"/>
  <c r="AL255" i="123"/>
  <c r="AM255" i="123"/>
  <c r="AN255" i="123"/>
  <c r="AO255" i="123"/>
  <c r="AP255" i="123"/>
  <c r="AQ255" i="123"/>
  <c r="AR255" i="123"/>
  <c r="AS255" i="123"/>
  <c r="AT255" i="123"/>
  <c r="AU255" i="123"/>
  <c r="AV255" i="123"/>
  <c r="AW255" i="123"/>
  <c r="AX255" i="123"/>
  <c r="AY255" i="123"/>
  <c r="AZ255" i="123"/>
  <c r="BA255" i="123"/>
  <c r="BB255" i="123"/>
  <c r="BC255" i="123"/>
  <c r="BD255" i="123"/>
  <c r="BE255" i="123"/>
  <c r="BF255" i="123"/>
  <c r="D256" i="123"/>
  <c r="E256" i="123"/>
  <c r="F256" i="123"/>
  <c r="G256" i="123"/>
  <c r="H256" i="123"/>
  <c r="I256" i="123"/>
  <c r="J256" i="123"/>
  <c r="K256" i="123"/>
  <c r="L256" i="123"/>
  <c r="M256" i="123"/>
  <c r="N256" i="123"/>
  <c r="O256" i="123"/>
  <c r="P256" i="123"/>
  <c r="Q256" i="123"/>
  <c r="R256" i="123"/>
  <c r="S256" i="123"/>
  <c r="T256" i="123"/>
  <c r="U256" i="123"/>
  <c r="V256" i="123"/>
  <c r="W256" i="123"/>
  <c r="X256" i="123"/>
  <c r="Y256" i="123"/>
  <c r="Z256" i="123"/>
  <c r="AA256" i="123"/>
  <c r="AB256" i="123"/>
  <c r="AC256" i="123"/>
  <c r="AD256" i="123"/>
  <c r="AE256" i="123"/>
  <c r="AF256" i="123"/>
  <c r="AG256" i="123"/>
  <c r="AH256" i="123"/>
  <c r="AI256" i="123"/>
  <c r="AJ256" i="123"/>
  <c r="AK256" i="123"/>
  <c r="AL256" i="123"/>
  <c r="AM256" i="123"/>
  <c r="AN256" i="123"/>
  <c r="AO256" i="123"/>
  <c r="AP256" i="123"/>
  <c r="AQ256" i="123"/>
  <c r="AR256" i="123"/>
  <c r="AS256" i="123"/>
  <c r="AT256" i="123"/>
  <c r="AU256" i="123"/>
  <c r="AV256" i="123"/>
  <c r="AW256" i="123"/>
  <c r="AX256" i="123"/>
  <c r="AY256" i="123"/>
  <c r="AZ256" i="123"/>
  <c r="BA256" i="123"/>
  <c r="BB256" i="123"/>
  <c r="BC256" i="123"/>
  <c r="BD256" i="123"/>
  <c r="BE256" i="123"/>
  <c r="BF256" i="123"/>
  <c r="D257" i="123"/>
  <c r="E257" i="123"/>
  <c r="F257" i="123"/>
  <c r="G257" i="123"/>
  <c r="H257" i="123"/>
  <c r="I257" i="123"/>
  <c r="J257" i="123"/>
  <c r="K257" i="123"/>
  <c r="L257" i="123"/>
  <c r="M257" i="123"/>
  <c r="N257" i="123"/>
  <c r="O257" i="123"/>
  <c r="P257" i="123"/>
  <c r="Q257" i="123"/>
  <c r="R257" i="123"/>
  <c r="S257" i="123"/>
  <c r="T257" i="123"/>
  <c r="U257" i="123"/>
  <c r="V257" i="123"/>
  <c r="W257" i="123"/>
  <c r="X257" i="123"/>
  <c r="Y257" i="123"/>
  <c r="Z257" i="123"/>
  <c r="AA257" i="123"/>
  <c r="AB257" i="123"/>
  <c r="AC257" i="123"/>
  <c r="AD257" i="123"/>
  <c r="AE257" i="123"/>
  <c r="AF257" i="123"/>
  <c r="AG257" i="123"/>
  <c r="AH257" i="123"/>
  <c r="AI257" i="123"/>
  <c r="AJ257" i="123"/>
  <c r="AK257" i="123"/>
  <c r="AL257" i="123"/>
  <c r="AM257" i="123"/>
  <c r="AN257" i="123"/>
  <c r="AO257" i="123"/>
  <c r="AP257" i="123"/>
  <c r="AQ257" i="123"/>
  <c r="AR257" i="123"/>
  <c r="AS257" i="123"/>
  <c r="AT257" i="123"/>
  <c r="AU257" i="123"/>
  <c r="AV257" i="123"/>
  <c r="AW257" i="123"/>
  <c r="AX257" i="123"/>
  <c r="AY257" i="123"/>
  <c r="AZ257" i="123"/>
  <c r="BA257" i="123"/>
  <c r="BB257" i="123"/>
  <c r="BC257" i="123"/>
  <c r="BD257" i="123"/>
  <c r="BE257" i="123"/>
  <c r="BF257" i="123"/>
  <c r="D258" i="123"/>
  <c r="E258" i="123"/>
  <c r="F258" i="123"/>
  <c r="G258" i="123"/>
  <c r="H258" i="123"/>
  <c r="I258" i="123"/>
  <c r="J258" i="123"/>
  <c r="K258" i="123"/>
  <c r="L258" i="123"/>
  <c r="M258" i="123"/>
  <c r="N258" i="123"/>
  <c r="O258" i="123"/>
  <c r="P258" i="123"/>
  <c r="Q258" i="123"/>
  <c r="R258" i="123"/>
  <c r="S258" i="123"/>
  <c r="T258" i="123"/>
  <c r="U258" i="123"/>
  <c r="V258" i="123"/>
  <c r="W258" i="123"/>
  <c r="X258" i="123"/>
  <c r="Y258" i="123"/>
  <c r="Z258" i="123"/>
  <c r="AA258" i="123"/>
  <c r="AB258" i="123"/>
  <c r="AC258" i="123"/>
  <c r="AD258" i="123"/>
  <c r="AE258" i="123"/>
  <c r="AF258" i="123"/>
  <c r="AG258" i="123"/>
  <c r="AH258" i="123"/>
  <c r="AI258" i="123"/>
  <c r="AJ258" i="123"/>
  <c r="AK258" i="123"/>
  <c r="AL258" i="123"/>
  <c r="AM258" i="123"/>
  <c r="AN258" i="123"/>
  <c r="AO258" i="123"/>
  <c r="AP258" i="123"/>
  <c r="AQ258" i="123"/>
  <c r="AR258" i="123"/>
  <c r="AS258" i="123"/>
  <c r="AT258" i="123"/>
  <c r="AU258" i="123"/>
  <c r="AV258" i="123"/>
  <c r="AW258" i="123"/>
  <c r="AX258" i="123"/>
  <c r="AY258" i="123"/>
  <c r="AZ258" i="123"/>
  <c r="BA258" i="123"/>
  <c r="BB258" i="123"/>
  <c r="BC258" i="123"/>
  <c r="BD258" i="123"/>
  <c r="BE258" i="123"/>
  <c r="BF258" i="123"/>
  <c r="D259" i="123"/>
  <c r="E259" i="123"/>
  <c r="F259" i="123"/>
  <c r="G259" i="123"/>
  <c r="H259" i="123"/>
  <c r="I259" i="123"/>
  <c r="J259" i="123"/>
  <c r="K259" i="123"/>
  <c r="L259" i="123"/>
  <c r="M259" i="123"/>
  <c r="N259" i="123"/>
  <c r="O259" i="123"/>
  <c r="P259" i="123"/>
  <c r="Q259" i="123"/>
  <c r="R259" i="123"/>
  <c r="S259" i="123"/>
  <c r="T259" i="123"/>
  <c r="U259" i="123"/>
  <c r="V259" i="123"/>
  <c r="W259" i="123"/>
  <c r="X259" i="123"/>
  <c r="Y259" i="123"/>
  <c r="Z259" i="123"/>
  <c r="AA259" i="123"/>
  <c r="AB259" i="123"/>
  <c r="AC259" i="123"/>
  <c r="AD259" i="123"/>
  <c r="AE259" i="123"/>
  <c r="AF259" i="123"/>
  <c r="AG259" i="123"/>
  <c r="AH259" i="123"/>
  <c r="AI259" i="123"/>
  <c r="AJ259" i="123"/>
  <c r="AK259" i="123"/>
  <c r="AL259" i="123"/>
  <c r="AM259" i="123"/>
  <c r="AN259" i="123"/>
  <c r="AO259" i="123"/>
  <c r="AP259" i="123"/>
  <c r="AQ259" i="123"/>
  <c r="AR259" i="123"/>
  <c r="AS259" i="123"/>
  <c r="AT259" i="123"/>
  <c r="AU259" i="123"/>
  <c r="AV259" i="123"/>
  <c r="AW259" i="123"/>
  <c r="AX259" i="123"/>
  <c r="AY259" i="123"/>
  <c r="AZ259" i="123"/>
  <c r="BA259" i="123"/>
  <c r="BB259" i="123"/>
  <c r="BC259" i="123"/>
  <c r="BD259" i="123"/>
  <c r="BE259" i="123"/>
  <c r="BF259" i="123"/>
  <c r="D260" i="123"/>
  <c r="E260" i="123"/>
  <c r="F260" i="123"/>
  <c r="G260" i="123"/>
  <c r="H260" i="123"/>
  <c r="I260" i="123"/>
  <c r="J260" i="123"/>
  <c r="K260" i="123"/>
  <c r="L260" i="123"/>
  <c r="M260" i="123"/>
  <c r="N260" i="123"/>
  <c r="O260" i="123"/>
  <c r="P260" i="123"/>
  <c r="Q260" i="123"/>
  <c r="R260" i="123"/>
  <c r="S260" i="123"/>
  <c r="T260" i="123"/>
  <c r="U260" i="123"/>
  <c r="V260" i="123"/>
  <c r="W260" i="123"/>
  <c r="X260" i="123"/>
  <c r="Y260" i="123"/>
  <c r="Z260" i="123"/>
  <c r="AA260" i="123"/>
  <c r="AB260" i="123"/>
  <c r="AC260" i="123"/>
  <c r="AD260" i="123"/>
  <c r="AE260" i="123"/>
  <c r="AF260" i="123"/>
  <c r="AG260" i="123"/>
  <c r="AH260" i="123"/>
  <c r="AI260" i="123"/>
  <c r="AJ260" i="123"/>
  <c r="AK260" i="123"/>
  <c r="AL260" i="123"/>
  <c r="AM260" i="123"/>
  <c r="AN260" i="123"/>
  <c r="AO260" i="123"/>
  <c r="AP260" i="123"/>
  <c r="AQ260" i="123"/>
  <c r="AR260" i="123"/>
  <c r="AS260" i="123"/>
  <c r="AT260" i="123"/>
  <c r="AU260" i="123"/>
  <c r="AV260" i="123"/>
  <c r="AW260" i="123"/>
  <c r="AX260" i="123"/>
  <c r="AY260" i="123"/>
  <c r="AZ260" i="123"/>
  <c r="BA260" i="123"/>
  <c r="BB260" i="123"/>
  <c r="BC260" i="123"/>
  <c r="BD260" i="123"/>
  <c r="BE260" i="123"/>
  <c r="BF260" i="123"/>
  <c r="D261" i="123"/>
  <c r="E261" i="123"/>
  <c r="F261" i="123"/>
  <c r="G261" i="123"/>
  <c r="H261" i="123"/>
  <c r="I261" i="123"/>
  <c r="J261" i="123"/>
  <c r="K261" i="123"/>
  <c r="L261" i="123"/>
  <c r="M261" i="123"/>
  <c r="N261" i="123"/>
  <c r="O261" i="123"/>
  <c r="P261" i="123"/>
  <c r="Q261" i="123"/>
  <c r="R261" i="123"/>
  <c r="S261" i="123"/>
  <c r="T261" i="123"/>
  <c r="U261" i="123"/>
  <c r="V261" i="123"/>
  <c r="W261" i="123"/>
  <c r="X261" i="123"/>
  <c r="Y261" i="123"/>
  <c r="Z261" i="123"/>
  <c r="AA261" i="123"/>
  <c r="AB261" i="123"/>
  <c r="AC261" i="123"/>
  <c r="AD261" i="123"/>
  <c r="AE261" i="123"/>
  <c r="AF261" i="123"/>
  <c r="AG261" i="123"/>
  <c r="AH261" i="123"/>
  <c r="AI261" i="123"/>
  <c r="AJ261" i="123"/>
  <c r="AK261" i="123"/>
  <c r="AL261" i="123"/>
  <c r="AM261" i="123"/>
  <c r="AN261" i="123"/>
  <c r="AO261" i="123"/>
  <c r="AP261" i="123"/>
  <c r="AQ261" i="123"/>
  <c r="AR261" i="123"/>
  <c r="AS261" i="123"/>
  <c r="AT261" i="123"/>
  <c r="AU261" i="123"/>
  <c r="AV261" i="123"/>
  <c r="AW261" i="123"/>
  <c r="AX261" i="123"/>
  <c r="AY261" i="123"/>
  <c r="AZ261" i="123"/>
  <c r="BA261" i="123"/>
  <c r="BB261" i="123"/>
  <c r="BC261" i="123"/>
  <c r="BD261" i="123"/>
  <c r="BE261" i="123"/>
  <c r="BF261" i="123"/>
  <c r="D262" i="123"/>
  <c r="E262" i="123"/>
  <c r="F262" i="123"/>
  <c r="G262" i="123"/>
  <c r="H262" i="123"/>
  <c r="I262" i="123"/>
  <c r="J262" i="123"/>
  <c r="K262" i="123"/>
  <c r="L262" i="123"/>
  <c r="M262" i="123"/>
  <c r="N262" i="123"/>
  <c r="O262" i="123"/>
  <c r="P262" i="123"/>
  <c r="Q262" i="123"/>
  <c r="R262" i="123"/>
  <c r="S262" i="123"/>
  <c r="T262" i="123"/>
  <c r="U262" i="123"/>
  <c r="V262" i="123"/>
  <c r="W262" i="123"/>
  <c r="X262" i="123"/>
  <c r="Y262" i="123"/>
  <c r="Z262" i="123"/>
  <c r="AA262" i="123"/>
  <c r="AB262" i="123"/>
  <c r="AC262" i="123"/>
  <c r="AD262" i="123"/>
  <c r="AE262" i="123"/>
  <c r="AF262" i="123"/>
  <c r="AG262" i="123"/>
  <c r="AH262" i="123"/>
  <c r="AI262" i="123"/>
  <c r="AJ262" i="123"/>
  <c r="AK262" i="123"/>
  <c r="AL262" i="123"/>
  <c r="AM262" i="123"/>
  <c r="AN262" i="123"/>
  <c r="AO262" i="123"/>
  <c r="AP262" i="123"/>
  <c r="AQ262" i="123"/>
  <c r="AR262" i="123"/>
  <c r="AS262" i="123"/>
  <c r="AT262" i="123"/>
  <c r="AU262" i="123"/>
  <c r="AV262" i="123"/>
  <c r="AW262" i="123"/>
  <c r="AX262" i="123"/>
  <c r="AY262" i="123"/>
  <c r="AZ262" i="123"/>
  <c r="BA262" i="123"/>
  <c r="BB262" i="123"/>
  <c r="BC262" i="123"/>
  <c r="BD262" i="123"/>
  <c r="BE262" i="123"/>
  <c r="BF262" i="123"/>
  <c r="D263" i="123"/>
  <c r="E263" i="123"/>
  <c r="F263" i="123"/>
  <c r="G263" i="123"/>
  <c r="H263" i="123"/>
  <c r="I263" i="123"/>
  <c r="J263" i="123"/>
  <c r="K263" i="123"/>
  <c r="L263" i="123"/>
  <c r="M263" i="123"/>
  <c r="N263" i="123"/>
  <c r="O263" i="123"/>
  <c r="P263" i="123"/>
  <c r="Q263" i="123"/>
  <c r="R263" i="123"/>
  <c r="S263" i="123"/>
  <c r="T263" i="123"/>
  <c r="U263" i="123"/>
  <c r="V263" i="123"/>
  <c r="W263" i="123"/>
  <c r="X263" i="123"/>
  <c r="Y263" i="123"/>
  <c r="Z263" i="123"/>
  <c r="AA263" i="123"/>
  <c r="AB263" i="123"/>
  <c r="AC263" i="123"/>
  <c r="AD263" i="123"/>
  <c r="AE263" i="123"/>
  <c r="AF263" i="123"/>
  <c r="AG263" i="123"/>
  <c r="AH263" i="123"/>
  <c r="AI263" i="123"/>
  <c r="AJ263" i="123"/>
  <c r="AK263" i="123"/>
  <c r="AL263" i="123"/>
  <c r="AM263" i="123"/>
  <c r="AN263" i="123"/>
  <c r="AO263" i="123"/>
  <c r="AP263" i="123"/>
  <c r="AQ263" i="123"/>
  <c r="AR263" i="123"/>
  <c r="AS263" i="123"/>
  <c r="AT263" i="123"/>
  <c r="AU263" i="123"/>
  <c r="AV263" i="123"/>
  <c r="AW263" i="123"/>
  <c r="AX263" i="123"/>
  <c r="AY263" i="123"/>
  <c r="AZ263" i="123"/>
  <c r="BA263" i="123"/>
  <c r="BB263" i="123"/>
  <c r="BC263" i="123"/>
  <c r="BD263" i="123"/>
  <c r="BE263" i="123"/>
  <c r="BF263" i="123"/>
  <c r="D264" i="123"/>
  <c r="E264" i="123"/>
  <c r="F264" i="123"/>
  <c r="G264" i="123"/>
  <c r="H264" i="123"/>
  <c r="I264" i="123"/>
  <c r="J264" i="123"/>
  <c r="K264" i="123"/>
  <c r="L264" i="123"/>
  <c r="M264" i="123"/>
  <c r="N264" i="123"/>
  <c r="O264" i="123"/>
  <c r="P264" i="123"/>
  <c r="Q264" i="123"/>
  <c r="R264" i="123"/>
  <c r="S264" i="123"/>
  <c r="T264" i="123"/>
  <c r="U264" i="123"/>
  <c r="V264" i="123"/>
  <c r="W264" i="123"/>
  <c r="X264" i="123"/>
  <c r="Y264" i="123"/>
  <c r="Z264" i="123"/>
  <c r="AA264" i="123"/>
  <c r="AB264" i="123"/>
  <c r="AC264" i="123"/>
  <c r="AD264" i="123"/>
  <c r="AE264" i="123"/>
  <c r="AF264" i="123"/>
  <c r="AG264" i="123"/>
  <c r="AH264" i="123"/>
  <c r="AI264" i="123"/>
  <c r="AJ264" i="123"/>
  <c r="AK264" i="123"/>
  <c r="AL264" i="123"/>
  <c r="AM264" i="123"/>
  <c r="AN264" i="123"/>
  <c r="AO264" i="123"/>
  <c r="AP264" i="123"/>
  <c r="AQ264" i="123"/>
  <c r="AR264" i="123"/>
  <c r="AS264" i="123"/>
  <c r="AT264" i="123"/>
  <c r="AU264" i="123"/>
  <c r="AV264" i="123"/>
  <c r="AW264" i="123"/>
  <c r="AX264" i="123"/>
  <c r="AY264" i="123"/>
  <c r="AZ264" i="123"/>
  <c r="BA264" i="123"/>
  <c r="BB264" i="123"/>
  <c r="BC264" i="123"/>
  <c r="BD264" i="123"/>
  <c r="BE264" i="123"/>
  <c r="BF264" i="123"/>
  <c r="D265" i="123"/>
  <c r="E265" i="123"/>
  <c r="F265" i="123"/>
  <c r="G265" i="123"/>
  <c r="H265" i="123"/>
  <c r="I265" i="123"/>
  <c r="J265" i="123"/>
  <c r="K265" i="123"/>
  <c r="L265" i="123"/>
  <c r="M265" i="123"/>
  <c r="N265" i="123"/>
  <c r="O265" i="123"/>
  <c r="P265" i="123"/>
  <c r="Q265" i="123"/>
  <c r="R265" i="123"/>
  <c r="S265" i="123"/>
  <c r="T265" i="123"/>
  <c r="U265" i="123"/>
  <c r="V265" i="123"/>
  <c r="W265" i="123"/>
  <c r="X265" i="123"/>
  <c r="Y265" i="123"/>
  <c r="Z265" i="123"/>
  <c r="AA265" i="123"/>
  <c r="AB265" i="123"/>
  <c r="AC265" i="123"/>
  <c r="AD265" i="123"/>
  <c r="AE265" i="123"/>
  <c r="AF265" i="123"/>
  <c r="AG265" i="123"/>
  <c r="AH265" i="123"/>
  <c r="AI265" i="123"/>
  <c r="AJ265" i="123"/>
  <c r="AK265" i="123"/>
  <c r="AL265" i="123"/>
  <c r="AM265" i="123"/>
  <c r="AN265" i="123"/>
  <c r="AO265" i="123"/>
  <c r="AP265" i="123"/>
  <c r="AQ265" i="123"/>
  <c r="AR265" i="123"/>
  <c r="AS265" i="123"/>
  <c r="AT265" i="123"/>
  <c r="AU265" i="123"/>
  <c r="AV265" i="123"/>
  <c r="AW265" i="123"/>
  <c r="AX265" i="123"/>
  <c r="AY265" i="123"/>
  <c r="AZ265" i="123"/>
  <c r="BA265" i="123"/>
  <c r="BB265" i="123"/>
  <c r="BC265" i="123"/>
  <c r="BD265" i="123"/>
  <c r="BE265" i="123"/>
  <c r="BF265" i="123"/>
  <c r="C238" i="123"/>
  <c r="C239" i="123"/>
  <c r="C240" i="123"/>
  <c r="C241" i="123"/>
  <c r="C242" i="123"/>
  <c r="C243" i="123"/>
  <c r="C244" i="123"/>
  <c r="C245" i="123"/>
  <c r="C246" i="123"/>
  <c r="C247" i="123"/>
  <c r="C248" i="123"/>
  <c r="C249" i="123"/>
  <c r="C250" i="123"/>
  <c r="C251" i="123"/>
  <c r="C252" i="123"/>
  <c r="C253" i="123"/>
  <c r="C254" i="123"/>
  <c r="C255" i="123"/>
  <c r="C256" i="123"/>
  <c r="C257" i="123"/>
  <c r="C258" i="123"/>
  <c r="C259" i="123"/>
  <c r="C260" i="123"/>
  <c r="C261" i="123"/>
  <c r="C262" i="123"/>
  <c r="C263" i="123"/>
  <c r="C264" i="123"/>
  <c r="C265" i="123"/>
  <c r="C237" i="123"/>
  <c r="D204" i="123"/>
  <c r="E204" i="123"/>
  <c r="F204" i="123"/>
  <c r="G204" i="123"/>
  <c r="H204" i="123"/>
  <c r="I204" i="123"/>
  <c r="J204" i="123"/>
  <c r="K204" i="123"/>
  <c r="L204" i="123"/>
  <c r="M204" i="123"/>
  <c r="N204" i="123"/>
  <c r="O204" i="123"/>
  <c r="P204" i="123"/>
  <c r="Q204" i="123"/>
  <c r="R204" i="123"/>
  <c r="S204" i="123"/>
  <c r="T204" i="123"/>
  <c r="U204" i="123"/>
  <c r="V204" i="123"/>
  <c r="W204" i="123"/>
  <c r="X204" i="123"/>
  <c r="Y204" i="123"/>
  <c r="Z204" i="123"/>
  <c r="AA204" i="123"/>
  <c r="AB204" i="123"/>
  <c r="AC204" i="123"/>
  <c r="AD204" i="123"/>
  <c r="AE204" i="123"/>
  <c r="AF204" i="123"/>
  <c r="AG204" i="123"/>
  <c r="AH204" i="123"/>
  <c r="AI204" i="123"/>
  <c r="AJ204" i="123"/>
  <c r="AK204" i="123"/>
  <c r="AL204" i="123"/>
  <c r="AM204" i="123"/>
  <c r="AN204" i="123"/>
  <c r="AO204" i="123"/>
  <c r="AP204" i="123"/>
  <c r="AQ204" i="123"/>
  <c r="AR204" i="123"/>
  <c r="AS204" i="123"/>
  <c r="AT204" i="123"/>
  <c r="AU204" i="123"/>
  <c r="AV204" i="123"/>
  <c r="AW204" i="123"/>
  <c r="AX204" i="123"/>
  <c r="AY204" i="123"/>
  <c r="AZ204" i="123"/>
  <c r="BA204" i="123"/>
  <c r="BB204" i="123"/>
  <c r="BC204" i="123"/>
  <c r="BD204" i="123"/>
  <c r="BE204" i="123"/>
  <c r="BF204" i="123"/>
  <c r="D205" i="123"/>
  <c r="E205" i="123"/>
  <c r="F205" i="123"/>
  <c r="G205" i="123"/>
  <c r="H205" i="123"/>
  <c r="I205" i="123"/>
  <c r="J205" i="123"/>
  <c r="K205" i="123"/>
  <c r="L205" i="123"/>
  <c r="M205" i="123"/>
  <c r="N205" i="123"/>
  <c r="O205" i="123"/>
  <c r="P205" i="123"/>
  <c r="Q205" i="123"/>
  <c r="R205" i="123"/>
  <c r="S205" i="123"/>
  <c r="T205" i="123"/>
  <c r="U205" i="123"/>
  <c r="V205" i="123"/>
  <c r="W205" i="123"/>
  <c r="X205" i="123"/>
  <c r="Y205" i="123"/>
  <c r="Z205" i="123"/>
  <c r="AA205" i="123"/>
  <c r="AB205" i="123"/>
  <c r="AC205" i="123"/>
  <c r="AD205" i="123"/>
  <c r="AE205" i="123"/>
  <c r="AF205" i="123"/>
  <c r="AG205" i="123"/>
  <c r="AH205" i="123"/>
  <c r="AI205" i="123"/>
  <c r="AJ205" i="123"/>
  <c r="AK205" i="123"/>
  <c r="AL205" i="123"/>
  <c r="AM205" i="123"/>
  <c r="AN205" i="123"/>
  <c r="AO205" i="123"/>
  <c r="AP205" i="123"/>
  <c r="AQ205" i="123"/>
  <c r="AR205" i="123"/>
  <c r="AS205" i="123"/>
  <c r="AT205" i="123"/>
  <c r="AU205" i="123"/>
  <c r="AV205" i="123"/>
  <c r="AW205" i="123"/>
  <c r="AX205" i="123"/>
  <c r="AY205" i="123"/>
  <c r="AZ205" i="123"/>
  <c r="BA205" i="123"/>
  <c r="BB205" i="123"/>
  <c r="BC205" i="123"/>
  <c r="BD205" i="123"/>
  <c r="BE205" i="123"/>
  <c r="BF205" i="123"/>
  <c r="D206" i="123"/>
  <c r="E206" i="123"/>
  <c r="F206" i="123"/>
  <c r="G206" i="123"/>
  <c r="H206" i="123"/>
  <c r="I206" i="123"/>
  <c r="J206" i="123"/>
  <c r="K206" i="123"/>
  <c r="L206" i="123"/>
  <c r="M206" i="123"/>
  <c r="N206" i="123"/>
  <c r="O206" i="123"/>
  <c r="P206" i="123"/>
  <c r="Q206" i="123"/>
  <c r="R206" i="123"/>
  <c r="S206" i="123"/>
  <c r="T206" i="123"/>
  <c r="U206" i="123"/>
  <c r="V206" i="123"/>
  <c r="W206" i="123"/>
  <c r="X206" i="123"/>
  <c r="Y206" i="123"/>
  <c r="Z206" i="123"/>
  <c r="AA206" i="123"/>
  <c r="AB206" i="123"/>
  <c r="AC206" i="123"/>
  <c r="AD206" i="123"/>
  <c r="AE206" i="123"/>
  <c r="AF206" i="123"/>
  <c r="AG206" i="123"/>
  <c r="AH206" i="123"/>
  <c r="AI206" i="123"/>
  <c r="AJ206" i="123"/>
  <c r="AK206" i="123"/>
  <c r="AL206" i="123"/>
  <c r="AM206" i="123"/>
  <c r="AN206" i="123"/>
  <c r="AO206" i="123"/>
  <c r="AP206" i="123"/>
  <c r="AQ206" i="123"/>
  <c r="AR206" i="123"/>
  <c r="AS206" i="123"/>
  <c r="AT206" i="123"/>
  <c r="AU206" i="123"/>
  <c r="AV206" i="123"/>
  <c r="AW206" i="123"/>
  <c r="AX206" i="123"/>
  <c r="AY206" i="123"/>
  <c r="AZ206" i="123"/>
  <c r="BA206" i="123"/>
  <c r="BB206" i="123"/>
  <c r="BC206" i="123"/>
  <c r="BD206" i="123"/>
  <c r="BE206" i="123"/>
  <c r="BF206" i="123"/>
  <c r="D207" i="123"/>
  <c r="E207" i="123"/>
  <c r="F207" i="123"/>
  <c r="G207" i="123"/>
  <c r="H207" i="123"/>
  <c r="I207" i="123"/>
  <c r="J207" i="123"/>
  <c r="K207" i="123"/>
  <c r="L207" i="123"/>
  <c r="M207" i="123"/>
  <c r="N207" i="123"/>
  <c r="O207" i="123"/>
  <c r="P207" i="123"/>
  <c r="Q207" i="123"/>
  <c r="R207" i="123"/>
  <c r="S207" i="123"/>
  <c r="T207" i="123"/>
  <c r="U207" i="123"/>
  <c r="V207" i="123"/>
  <c r="W207" i="123"/>
  <c r="X207" i="123"/>
  <c r="Y207" i="123"/>
  <c r="Z207" i="123"/>
  <c r="AA207" i="123"/>
  <c r="AB207" i="123"/>
  <c r="AC207" i="123"/>
  <c r="AD207" i="123"/>
  <c r="AE207" i="123"/>
  <c r="AF207" i="123"/>
  <c r="AG207" i="123"/>
  <c r="AH207" i="123"/>
  <c r="AI207" i="123"/>
  <c r="AJ207" i="123"/>
  <c r="AK207" i="123"/>
  <c r="AL207" i="123"/>
  <c r="AM207" i="123"/>
  <c r="AN207" i="123"/>
  <c r="AO207" i="123"/>
  <c r="AP207" i="123"/>
  <c r="AQ207" i="123"/>
  <c r="AR207" i="123"/>
  <c r="AS207" i="123"/>
  <c r="AT207" i="123"/>
  <c r="AU207" i="123"/>
  <c r="AV207" i="123"/>
  <c r="AW207" i="123"/>
  <c r="AX207" i="123"/>
  <c r="AY207" i="123"/>
  <c r="AZ207" i="123"/>
  <c r="BA207" i="123"/>
  <c r="BB207" i="123"/>
  <c r="BC207" i="123"/>
  <c r="BD207" i="123"/>
  <c r="BE207" i="123"/>
  <c r="BF207" i="123"/>
  <c r="D208" i="123"/>
  <c r="E208" i="123"/>
  <c r="F208" i="123"/>
  <c r="G208" i="123"/>
  <c r="H208" i="123"/>
  <c r="I208" i="123"/>
  <c r="J208" i="123"/>
  <c r="K208" i="123"/>
  <c r="L208" i="123"/>
  <c r="M208" i="123"/>
  <c r="N208" i="123"/>
  <c r="O208" i="123"/>
  <c r="P208" i="123"/>
  <c r="Q208" i="123"/>
  <c r="R208" i="123"/>
  <c r="S208" i="123"/>
  <c r="T208" i="123"/>
  <c r="U208" i="123"/>
  <c r="V208" i="123"/>
  <c r="W208" i="123"/>
  <c r="X208" i="123"/>
  <c r="Y208" i="123"/>
  <c r="Z208" i="123"/>
  <c r="AA208" i="123"/>
  <c r="AB208" i="123"/>
  <c r="AC208" i="123"/>
  <c r="AD208" i="123"/>
  <c r="AE208" i="123"/>
  <c r="AF208" i="123"/>
  <c r="AG208" i="123"/>
  <c r="AH208" i="123"/>
  <c r="AI208" i="123"/>
  <c r="AJ208" i="123"/>
  <c r="AK208" i="123"/>
  <c r="AL208" i="123"/>
  <c r="AM208" i="123"/>
  <c r="AN208" i="123"/>
  <c r="AO208" i="123"/>
  <c r="AP208" i="123"/>
  <c r="AQ208" i="123"/>
  <c r="AR208" i="123"/>
  <c r="AS208" i="123"/>
  <c r="AT208" i="123"/>
  <c r="AU208" i="123"/>
  <c r="AV208" i="123"/>
  <c r="AW208" i="123"/>
  <c r="AX208" i="123"/>
  <c r="AY208" i="123"/>
  <c r="AZ208" i="123"/>
  <c r="BA208" i="123"/>
  <c r="BB208" i="123"/>
  <c r="BC208" i="123"/>
  <c r="BD208" i="123"/>
  <c r="BE208" i="123"/>
  <c r="BF208" i="123"/>
  <c r="D209" i="123"/>
  <c r="E209" i="123"/>
  <c r="F209" i="123"/>
  <c r="G209" i="123"/>
  <c r="H209" i="123"/>
  <c r="I209" i="123"/>
  <c r="J209" i="123"/>
  <c r="K209" i="123"/>
  <c r="L209" i="123"/>
  <c r="M209" i="123"/>
  <c r="N209" i="123"/>
  <c r="O209" i="123"/>
  <c r="P209" i="123"/>
  <c r="Q209" i="123"/>
  <c r="R209" i="123"/>
  <c r="S209" i="123"/>
  <c r="T209" i="123"/>
  <c r="U209" i="123"/>
  <c r="V209" i="123"/>
  <c r="W209" i="123"/>
  <c r="X209" i="123"/>
  <c r="Y209" i="123"/>
  <c r="Z209" i="123"/>
  <c r="AA209" i="123"/>
  <c r="AB209" i="123"/>
  <c r="AC209" i="123"/>
  <c r="AD209" i="123"/>
  <c r="AE209" i="123"/>
  <c r="AF209" i="123"/>
  <c r="AG209" i="123"/>
  <c r="AH209" i="123"/>
  <c r="AI209" i="123"/>
  <c r="AJ209" i="123"/>
  <c r="AK209" i="123"/>
  <c r="AL209" i="123"/>
  <c r="AM209" i="123"/>
  <c r="AN209" i="123"/>
  <c r="AO209" i="123"/>
  <c r="AP209" i="123"/>
  <c r="AQ209" i="123"/>
  <c r="AR209" i="123"/>
  <c r="AS209" i="123"/>
  <c r="AT209" i="123"/>
  <c r="AU209" i="123"/>
  <c r="AV209" i="123"/>
  <c r="AW209" i="123"/>
  <c r="AX209" i="123"/>
  <c r="AY209" i="123"/>
  <c r="AZ209" i="123"/>
  <c r="BA209" i="123"/>
  <c r="BB209" i="123"/>
  <c r="BC209" i="123"/>
  <c r="BD209" i="123"/>
  <c r="BE209" i="123"/>
  <c r="BF209" i="123"/>
  <c r="D210" i="123"/>
  <c r="E210" i="123"/>
  <c r="F210" i="123"/>
  <c r="G210" i="123"/>
  <c r="H210" i="123"/>
  <c r="I210" i="123"/>
  <c r="J210" i="123"/>
  <c r="K210" i="123"/>
  <c r="L210" i="123"/>
  <c r="M210" i="123"/>
  <c r="N210" i="123"/>
  <c r="O210" i="123"/>
  <c r="P210" i="123"/>
  <c r="Q210" i="123"/>
  <c r="R210" i="123"/>
  <c r="S210" i="123"/>
  <c r="T210" i="123"/>
  <c r="U210" i="123"/>
  <c r="V210" i="123"/>
  <c r="W210" i="123"/>
  <c r="X210" i="123"/>
  <c r="Y210" i="123"/>
  <c r="Z210" i="123"/>
  <c r="AA210" i="123"/>
  <c r="AB210" i="123"/>
  <c r="AC210" i="123"/>
  <c r="AD210" i="123"/>
  <c r="AE210" i="123"/>
  <c r="AF210" i="123"/>
  <c r="AG210" i="123"/>
  <c r="AH210" i="123"/>
  <c r="AI210" i="123"/>
  <c r="AJ210" i="123"/>
  <c r="AK210" i="123"/>
  <c r="AL210" i="123"/>
  <c r="AM210" i="123"/>
  <c r="AN210" i="123"/>
  <c r="AO210" i="123"/>
  <c r="AP210" i="123"/>
  <c r="AQ210" i="123"/>
  <c r="AR210" i="123"/>
  <c r="AS210" i="123"/>
  <c r="AT210" i="123"/>
  <c r="AU210" i="123"/>
  <c r="AV210" i="123"/>
  <c r="AW210" i="123"/>
  <c r="AX210" i="123"/>
  <c r="AY210" i="123"/>
  <c r="AZ210" i="123"/>
  <c r="BA210" i="123"/>
  <c r="BB210" i="123"/>
  <c r="BC210" i="123"/>
  <c r="BD210" i="123"/>
  <c r="BE210" i="123"/>
  <c r="BF210" i="123"/>
  <c r="D211" i="123"/>
  <c r="E211" i="123"/>
  <c r="F211" i="123"/>
  <c r="G211" i="123"/>
  <c r="H211" i="123"/>
  <c r="I211" i="123"/>
  <c r="J211" i="123"/>
  <c r="K211" i="123"/>
  <c r="L211" i="123"/>
  <c r="M211" i="123"/>
  <c r="N211" i="123"/>
  <c r="O211" i="123"/>
  <c r="P211" i="123"/>
  <c r="Q211" i="123"/>
  <c r="R211" i="123"/>
  <c r="S211" i="123"/>
  <c r="T211" i="123"/>
  <c r="U211" i="123"/>
  <c r="V211" i="123"/>
  <c r="W211" i="123"/>
  <c r="X211" i="123"/>
  <c r="Y211" i="123"/>
  <c r="Z211" i="123"/>
  <c r="AA211" i="123"/>
  <c r="AB211" i="123"/>
  <c r="AC211" i="123"/>
  <c r="AD211" i="123"/>
  <c r="AE211" i="123"/>
  <c r="AF211" i="123"/>
  <c r="AG211" i="123"/>
  <c r="AH211" i="123"/>
  <c r="AI211" i="123"/>
  <c r="AJ211" i="123"/>
  <c r="AK211" i="123"/>
  <c r="AL211" i="123"/>
  <c r="AM211" i="123"/>
  <c r="AN211" i="123"/>
  <c r="AO211" i="123"/>
  <c r="AP211" i="123"/>
  <c r="AQ211" i="123"/>
  <c r="AR211" i="123"/>
  <c r="AS211" i="123"/>
  <c r="AT211" i="123"/>
  <c r="AU211" i="123"/>
  <c r="AV211" i="123"/>
  <c r="AW211" i="123"/>
  <c r="AX211" i="123"/>
  <c r="AY211" i="123"/>
  <c r="AZ211" i="123"/>
  <c r="BA211" i="123"/>
  <c r="BB211" i="123"/>
  <c r="BC211" i="123"/>
  <c r="BD211" i="123"/>
  <c r="BE211" i="123"/>
  <c r="BF211" i="123"/>
  <c r="D212" i="123"/>
  <c r="E212" i="123"/>
  <c r="F212" i="123"/>
  <c r="G212" i="123"/>
  <c r="H212" i="123"/>
  <c r="I212" i="123"/>
  <c r="J212" i="123"/>
  <c r="K212" i="123"/>
  <c r="L212" i="123"/>
  <c r="M212" i="123"/>
  <c r="N212" i="123"/>
  <c r="O212" i="123"/>
  <c r="P212" i="123"/>
  <c r="Q212" i="123"/>
  <c r="R212" i="123"/>
  <c r="S212" i="123"/>
  <c r="T212" i="123"/>
  <c r="U212" i="123"/>
  <c r="V212" i="123"/>
  <c r="W212" i="123"/>
  <c r="X212" i="123"/>
  <c r="Y212" i="123"/>
  <c r="Z212" i="123"/>
  <c r="AA212" i="123"/>
  <c r="AB212" i="123"/>
  <c r="AC212" i="123"/>
  <c r="AD212" i="123"/>
  <c r="AE212" i="123"/>
  <c r="AF212" i="123"/>
  <c r="AG212" i="123"/>
  <c r="AH212" i="123"/>
  <c r="AI212" i="123"/>
  <c r="AJ212" i="123"/>
  <c r="AK212" i="123"/>
  <c r="AL212" i="123"/>
  <c r="AM212" i="123"/>
  <c r="AN212" i="123"/>
  <c r="AO212" i="123"/>
  <c r="AP212" i="123"/>
  <c r="AQ212" i="123"/>
  <c r="AR212" i="123"/>
  <c r="AS212" i="123"/>
  <c r="AT212" i="123"/>
  <c r="AU212" i="123"/>
  <c r="AV212" i="123"/>
  <c r="AW212" i="123"/>
  <c r="AX212" i="123"/>
  <c r="AY212" i="123"/>
  <c r="AZ212" i="123"/>
  <c r="BA212" i="123"/>
  <c r="BB212" i="123"/>
  <c r="BC212" i="123"/>
  <c r="BD212" i="123"/>
  <c r="BE212" i="123"/>
  <c r="BF212" i="123"/>
  <c r="D213" i="123"/>
  <c r="E213" i="123"/>
  <c r="F213" i="123"/>
  <c r="G213" i="123"/>
  <c r="H213" i="123"/>
  <c r="I213" i="123"/>
  <c r="J213" i="123"/>
  <c r="K213" i="123"/>
  <c r="L213" i="123"/>
  <c r="M213" i="123"/>
  <c r="N213" i="123"/>
  <c r="O213" i="123"/>
  <c r="P213" i="123"/>
  <c r="Q213" i="123"/>
  <c r="R213" i="123"/>
  <c r="S213" i="123"/>
  <c r="T213" i="123"/>
  <c r="U213" i="123"/>
  <c r="V213" i="123"/>
  <c r="W213" i="123"/>
  <c r="X213" i="123"/>
  <c r="Y213" i="123"/>
  <c r="Z213" i="123"/>
  <c r="AA213" i="123"/>
  <c r="AB213" i="123"/>
  <c r="AC213" i="123"/>
  <c r="AD213" i="123"/>
  <c r="AE213" i="123"/>
  <c r="AF213" i="123"/>
  <c r="AG213" i="123"/>
  <c r="AH213" i="123"/>
  <c r="AI213" i="123"/>
  <c r="AJ213" i="123"/>
  <c r="AK213" i="123"/>
  <c r="AL213" i="123"/>
  <c r="AM213" i="123"/>
  <c r="AN213" i="123"/>
  <c r="AO213" i="123"/>
  <c r="AP213" i="123"/>
  <c r="AQ213" i="123"/>
  <c r="AR213" i="123"/>
  <c r="AS213" i="123"/>
  <c r="AT213" i="123"/>
  <c r="AU213" i="123"/>
  <c r="AV213" i="123"/>
  <c r="AW213" i="123"/>
  <c r="AX213" i="123"/>
  <c r="AY213" i="123"/>
  <c r="AZ213" i="123"/>
  <c r="BA213" i="123"/>
  <c r="BB213" i="123"/>
  <c r="BC213" i="123"/>
  <c r="BD213" i="123"/>
  <c r="BE213" i="123"/>
  <c r="BF213" i="123"/>
  <c r="D214" i="123"/>
  <c r="E214" i="123"/>
  <c r="F214" i="123"/>
  <c r="G214" i="123"/>
  <c r="H214" i="123"/>
  <c r="I214" i="123"/>
  <c r="J214" i="123"/>
  <c r="K214" i="123"/>
  <c r="L214" i="123"/>
  <c r="M214" i="123"/>
  <c r="N214" i="123"/>
  <c r="O214" i="123"/>
  <c r="P214" i="123"/>
  <c r="Q214" i="123"/>
  <c r="R214" i="123"/>
  <c r="S214" i="123"/>
  <c r="T214" i="123"/>
  <c r="U214" i="123"/>
  <c r="V214" i="123"/>
  <c r="W214" i="123"/>
  <c r="X214" i="123"/>
  <c r="Y214" i="123"/>
  <c r="Z214" i="123"/>
  <c r="AA214" i="123"/>
  <c r="AB214" i="123"/>
  <c r="AC214" i="123"/>
  <c r="AD214" i="123"/>
  <c r="AE214" i="123"/>
  <c r="AF214" i="123"/>
  <c r="AG214" i="123"/>
  <c r="AH214" i="123"/>
  <c r="AI214" i="123"/>
  <c r="AJ214" i="123"/>
  <c r="AK214" i="123"/>
  <c r="AL214" i="123"/>
  <c r="AM214" i="123"/>
  <c r="AN214" i="123"/>
  <c r="AO214" i="123"/>
  <c r="AP214" i="123"/>
  <c r="AQ214" i="123"/>
  <c r="AR214" i="123"/>
  <c r="AS214" i="123"/>
  <c r="AT214" i="123"/>
  <c r="AU214" i="123"/>
  <c r="AV214" i="123"/>
  <c r="AW214" i="123"/>
  <c r="AX214" i="123"/>
  <c r="AY214" i="123"/>
  <c r="AZ214" i="123"/>
  <c r="BA214" i="123"/>
  <c r="BB214" i="123"/>
  <c r="BC214" i="123"/>
  <c r="BD214" i="123"/>
  <c r="BE214" i="123"/>
  <c r="BF214" i="123"/>
  <c r="D215" i="123"/>
  <c r="E215" i="123"/>
  <c r="F215" i="123"/>
  <c r="G215" i="123"/>
  <c r="H215" i="123"/>
  <c r="I215" i="123"/>
  <c r="J215" i="123"/>
  <c r="K215" i="123"/>
  <c r="L215" i="123"/>
  <c r="M215" i="123"/>
  <c r="N215" i="123"/>
  <c r="O215" i="123"/>
  <c r="P215" i="123"/>
  <c r="Q215" i="123"/>
  <c r="R215" i="123"/>
  <c r="S215" i="123"/>
  <c r="T215" i="123"/>
  <c r="U215" i="123"/>
  <c r="V215" i="123"/>
  <c r="W215" i="123"/>
  <c r="X215" i="123"/>
  <c r="Y215" i="123"/>
  <c r="Z215" i="123"/>
  <c r="AA215" i="123"/>
  <c r="AB215" i="123"/>
  <c r="AC215" i="123"/>
  <c r="AD215" i="123"/>
  <c r="AE215" i="123"/>
  <c r="AF215" i="123"/>
  <c r="AG215" i="123"/>
  <c r="AH215" i="123"/>
  <c r="AI215" i="123"/>
  <c r="AJ215" i="123"/>
  <c r="AK215" i="123"/>
  <c r="AL215" i="123"/>
  <c r="AM215" i="123"/>
  <c r="AN215" i="123"/>
  <c r="AO215" i="123"/>
  <c r="AP215" i="123"/>
  <c r="AQ215" i="123"/>
  <c r="AR215" i="123"/>
  <c r="AS215" i="123"/>
  <c r="AT215" i="123"/>
  <c r="AU215" i="123"/>
  <c r="AV215" i="123"/>
  <c r="AW215" i="123"/>
  <c r="AX215" i="123"/>
  <c r="AY215" i="123"/>
  <c r="AZ215" i="123"/>
  <c r="BA215" i="123"/>
  <c r="BB215" i="123"/>
  <c r="BC215" i="123"/>
  <c r="BD215" i="123"/>
  <c r="BE215" i="123"/>
  <c r="BF215" i="123"/>
  <c r="D216" i="123"/>
  <c r="E216" i="123"/>
  <c r="F216" i="123"/>
  <c r="G216" i="123"/>
  <c r="H216" i="123"/>
  <c r="I216" i="123"/>
  <c r="J216" i="123"/>
  <c r="K216" i="123"/>
  <c r="L216" i="123"/>
  <c r="M216" i="123"/>
  <c r="N216" i="123"/>
  <c r="O216" i="123"/>
  <c r="P216" i="123"/>
  <c r="Q216" i="123"/>
  <c r="R216" i="123"/>
  <c r="S216" i="123"/>
  <c r="T216" i="123"/>
  <c r="U216" i="123"/>
  <c r="V216" i="123"/>
  <c r="W216" i="123"/>
  <c r="X216" i="123"/>
  <c r="Y216" i="123"/>
  <c r="Z216" i="123"/>
  <c r="AA216" i="123"/>
  <c r="AB216" i="123"/>
  <c r="AC216" i="123"/>
  <c r="AD216" i="123"/>
  <c r="AE216" i="123"/>
  <c r="AF216" i="123"/>
  <c r="AG216" i="123"/>
  <c r="AH216" i="123"/>
  <c r="AI216" i="123"/>
  <c r="AJ216" i="123"/>
  <c r="AK216" i="123"/>
  <c r="AL216" i="123"/>
  <c r="AM216" i="123"/>
  <c r="AN216" i="123"/>
  <c r="AO216" i="123"/>
  <c r="AP216" i="123"/>
  <c r="AQ216" i="123"/>
  <c r="AR216" i="123"/>
  <c r="AS216" i="123"/>
  <c r="AT216" i="123"/>
  <c r="AU216" i="123"/>
  <c r="AV216" i="123"/>
  <c r="AW216" i="123"/>
  <c r="AX216" i="123"/>
  <c r="AY216" i="123"/>
  <c r="AZ216" i="123"/>
  <c r="BA216" i="123"/>
  <c r="BB216" i="123"/>
  <c r="BC216" i="123"/>
  <c r="BD216" i="123"/>
  <c r="BE216" i="123"/>
  <c r="BF216" i="123"/>
  <c r="D217" i="123"/>
  <c r="E217" i="123"/>
  <c r="F217" i="123"/>
  <c r="G217" i="123"/>
  <c r="H217" i="123"/>
  <c r="I217" i="123"/>
  <c r="J217" i="123"/>
  <c r="K217" i="123"/>
  <c r="L217" i="123"/>
  <c r="M217" i="123"/>
  <c r="N217" i="123"/>
  <c r="O217" i="123"/>
  <c r="P217" i="123"/>
  <c r="Q217" i="123"/>
  <c r="R217" i="123"/>
  <c r="S217" i="123"/>
  <c r="T217" i="123"/>
  <c r="U217" i="123"/>
  <c r="V217" i="123"/>
  <c r="W217" i="123"/>
  <c r="X217" i="123"/>
  <c r="Y217" i="123"/>
  <c r="Z217" i="123"/>
  <c r="AA217" i="123"/>
  <c r="AB217" i="123"/>
  <c r="AC217" i="123"/>
  <c r="AD217" i="123"/>
  <c r="AE217" i="123"/>
  <c r="AF217" i="123"/>
  <c r="AG217" i="123"/>
  <c r="AH217" i="123"/>
  <c r="AI217" i="123"/>
  <c r="AJ217" i="123"/>
  <c r="AK217" i="123"/>
  <c r="AL217" i="123"/>
  <c r="AM217" i="123"/>
  <c r="AN217" i="123"/>
  <c r="AO217" i="123"/>
  <c r="AP217" i="123"/>
  <c r="AQ217" i="123"/>
  <c r="AR217" i="123"/>
  <c r="AS217" i="123"/>
  <c r="AT217" i="123"/>
  <c r="AU217" i="123"/>
  <c r="AV217" i="123"/>
  <c r="AW217" i="123"/>
  <c r="AX217" i="123"/>
  <c r="AY217" i="123"/>
  <c r="AZ217" i="123"/>
  <c r="BA217" i="123"/>
  <c r="BB217" i="123"/>
  <c r="BC217" i="123"/>
  <c r="BD217" i="123"/>
  <c r="BE217" i="123"/>
  <c r="BF217" i="123"/>
  <c r="D218" i="123"/>
  <c r="E218" i="123"/>
  <c r="F218" i="123"/>
  <c r="G218" i="123"/>
  <c r="H218" i="123"/>
  <c r="I218" i="123"/>
  <c r="J218" i="123"/>
  <c r="K218" i="123"/>
  <c r="L218" i="123"/>
  <c r="M218" i="123"/>
  <c r="N218" i="123"/>
  <c r="O218" i="123"/>
  <c r="P218" i="123"/>
  <c r="Q218" i="123"/>
  <c r="R218" i="123"/>
  <c r="S218" i="123"/>
  <c r="T218" i="123"/>
  <c r="U218" i="123"/>
  <c r="V218" i="123"/>
  <c r="W218" i="123"/>
  <c r="X218" i="123"/>
  <c r="Y218" i="123"/>
  <c r="Z218" i="123"/>
  <c r="AA218" i="123"/>
  <c r="AB218" i="123"/>
  <c r="AC218" i="123"/>
  <c r="AD218" i="123"/>
  <c r="AE218" i="123"/>
  <c r="AF218" i="123"/>
  <c r="AG218" i="123"/>
  <c r="AH218" i="123"/>
  <c r="AI218" i="123"/>
  <c r="AJ218" i="123"/>
  <c r="AK218" i="123"/>
  <c r="AL218" i="123"/>
  <c r="AM218" i="123"/>
  <c r="AN218" i="123"/>
  <c r="AO218" i="123"/>
  <c r="AP218" i="123"/>
  <c r="AQ218" i="123"/>
  <c r="AR218" i="123"/>
  <c r="AS218" i="123"/>
  <c r="AT218" i="123"/>
  <c r="AU218" i="123"/>
  <c r="AV218" i="123"/>
  <c r="AW218" i="123"/>
  <c r="AX218" i="123"/>
  <c r="AY218" i="123"/>
  <c r="AZ218" i="123"/>
  <c r="BA218" i="123"/>
  <c r="BB218" i="123"/>
  <c r="BC218" i="123"/>
  <c r="BD218" i="123"/>
  <c r="BE218" i="123"/>
  <c r="BF218" i="123"/>
  <c r="D219" i="123"/>
  <c r="E219" i="123"/>
  <c r="F219" i="123"/>
  <c r="G219" i="123"/>
  <c r="H219" i="123"/>
  <c r="I219" i="123"/>
  <c r="J219" i="123"/>
  <c r="K219" i="123"/>
  <c r="L219" i="123"/>
  <c r="M219" i="123"/>
  <c r="N219" i="123"/>
  <c r="O219" i="123"/>
  <c r="P219" i="123"/>
  <c r="Q219" i="123"/>
  <c r="R219" i="123"/>
  <c r="S219" i="123"/>
  <c r="T219" i="123"/>
  <c r="U219" i="123"/>
  <c r="V219" i="123"/>
  <c r="W219" i="123"/>
  <c r="X219" i="123"/>
  <c r="Y219" i="123"/>
  <c r="Z219" i="123"/>
  <c r="AA219" i="123"/>
  <c r="AB219" i="123"/>
  <c r="AC219" i="123"/>
  <c r="AD219" i="123"/>
  <c r="AE219" i="123"/>
  <c r="AF219" i="123"/>
  <c r="AG219" i="123"/>
  <c r="AH219" i="123"/>
  <c r="AI219" i="123"/>
  <c r="AJ219" i="123"/>
  <c r="AK219" i="123"/>
  <c r="AL219" i="123"/>
  <c r="AM219" i="123"/>
  <c r="AN219" i="123"/>
  <c r="AO219" i="123"/>
  <c r="AP219" i="123"/>
  <c r="AQ219" i="123"/>
  <c r="AR219" i="123"/>
  <c r="AS219" i="123"/>
  <c r="AT219" i="123"/>
  <c r="AU219" i="123"/>
  <c r="AV219" i="123"/>
  <c r="AW219" i="123"/>
  <c r="AX219" i="123"/>
  <c r="AY219" i="123"/>
  <c r="AZ219" i="123"/>
  <c r="BA219" i="123"/>
  <c r="BB219" i="123"/>
  <c r="BC219" i="123"/>
  <c r="BD219" i="123"/>
  <c r="BE219" i="123"/>
  <c r="BF219" i="123"/>
  <c r="D220" i="123"/>
  <c r="E220" i="123"/>
  <c r="F220" i="123"/>
  <c r="G220" i="123"/>
  <c r="H220" i="123"/>
  <c r="I220" i="123"/>
  <c r="J220" i="123"/>
  <c r="K220" i="123"/>
  <c r="L220" i="123"/>
  <c r="M220" i="123"/>
  <c r="N220" i="123"/>
  <c r="O220" i="123"/>
  <c r="P220" i="123"/>
  <c r="Q220" i="123"/>
  <c r="R220" i="123"/>
  <c r="S220" i="123"/>
  <c r="T220" i="123"/>
  <c r="U220" i="123"/>
  <c r="V220" i="123"/>
  <c r="W220" i="123"/>
  <c r="X220" i="123"/>
  <c r="Y220" i="123"/>
  <c r="Z220" i="123"/>
  <c r="AA220" i="123"/>
  <c r="AB220" i="123"/>
  <c r="AC220" i="123"/>
  <c r="AD220" i="123"/>
  <c r="AE220" i="123"/>
  <c r="AF220" i="123"/>
  <c r="AG220" i="123"/>
  <c r="AH220" i="123"/>
  <c r="AI220" i="123"/>
  <c r="AJ220" i="123"/>
  <c r="AK220" i="123"/>
  <c r="AL220" i="123"/>
  <c r="AM220" i="123"/>
  <c r="AN220" i="123"/>
  <c r="AO220" i="123"/>
  <c r="AP220" i="123"/>
  <c r="AQ220" i="123"/>
  <c r="AR220" i="123"/>
  <c r="AS220" i="123"/>
  <c r="AT220" i="123"/>
  <c r="AU220" i="123"/>
  <c r="AV220" i="123"/>
  <c r="AW220" i="123"/>
  <c r="AX220" i="123"/>
  <c r="AY220" i="123"/>
  <c r="AZ220" i="123"/>
  <c r="BA220" i="123"/>
  <c r="BB220" i="123"/>
  <c r="BC220" i="123"/>
  <c r="BD220" i="123"/>
  <c r="BE220" i="123"/>
  <c r="BF220" i="123"/>
  <c r="D221" i="123"/>
  <c r="E221" i="123"/>
  <c r="F221" i="123"/>
  <c r="G221" i="123"/>
  <c r="H221" i="123"/>
  <c r="I221" i="123"/>
  <c r="J221" i="123"/>
  <c r="K221" i="123"/>
  <c r="L221" i="123"/>
  <c r="M221" i="123"/>
  <c r="N221" i="123"/>
  <c r="O221" i="123"/>
  <c r="P221" i="123"/>
  <c r="Q221" i="123"/>
  <c r="R221" i="123"/>
  <c r="S221" i="123"/>
  <c r="T221" i="123"/>
  <c r="U221" i="123"/>
  <c r="V221" i="123"/>
  <c r="W221" i="123"/>
  <c r="X221" i="123"/>
  <c r="Y221" i="123"/>
  <c r="Z221" i="123"/>
  <c r="AA221" i="123"/>
  <c r="AB221" i="123"/>
  <c r="AC221" i="123"/>
  <c r="AD221" i="123"/>
  <c r="AE221" i="123"/>
  <c r="AF221" i="123"/>
  <c r="AG221" i="123"/>
  <c r="AH221" i="123"/>
  <c r="AI221" i="123"/>
  <c r="AJ221" i="123"/>
  <c r="AK221" i="123"/>
  <c r="AL221" i="123"/>
  <c r="AM221" i="123"/>
  <c r="AN221" i="123"/>
  <c r="AO221" i="123"/>
  <c r="AP221" i="123"/>
  <c r="AQ221" i="123"/>
  <c r="AR221" i="123"/>
  <c r="AS221" i="123"/>
  <c r="AT221" i="123"/>
  <c r="AU221" i="123"/>
  <c r="AV221" i="123"/>
  <c r="AW221" i="123"/>
  <c r="AX221" i="123"/>
  <c r="AY221" i="123"/>
  <c r="AZ221" i="123"/>
  <c r="BA221" i="123"/>
  <c r="BB221" i="123"/>
  <c r="BC221" i="123"/>
  <c r="BD221" i="123"/>
  <c r="BE221" i="123"/>
  <c r="BF221" i="123"/>
  <c r="D222" i="123"/>
  <c r="E222" i="123"/>
  <c r="F222" i="123"/>
  <c r="G222" i="123"/>
  <c r="H222" i="123"/>
  <c r="I222" i="123"/>
  <c r="J222" i="123"/>
  <c r="K222" i="123"/>
  <c r="L222" i="123"/>
  <c r="M222" i="123"/>
  <c r="N222" i="123"/>
  <c r="O222" i="123"/>
  <c r="P222" i="123"/>
  <c r="Q222" i="123"/>
  <c r="R222" i="123"/>
  <c r="S222" i="123"/>
  <c r="T222" i="123"/>
  <c r="U222" i="123"/>
  <c r="V222" i="123"/>
  <c r="W222" i="123"/>
  <c r="X222" i="123"/>
  <c r="Y222" i="123"/>
  <c r="Z222" i="123"/>
  <c r="AA222" i="123"/>
  <c r="AB222" i="123"/>
  <c r="AC222" i="123"/>
  <c r="AD222" i="123"/>
  <c r="AE222" i="123"/>
  <c r="AF222" i="123"/>
  <c r="AG222" i="123"/>
  <c r="AH222" i="123"/>
  <c r="AI222" i="123"/>
  <c r="AJ222" i="123"/>
  <c r="AK222" i="123"/>
  <c r="AL222" i="123"/>
  <c r="AM222" i="123"/>
  <c r="AN222" i="123"/>
  <c r="AO222" i="123"/>
  <c r="AP222" i="123"/>
  <c r="AQ222" i="123"/>
  <c r="AR222" i="123"/>
  <c r="AS222" i="123"/>
  <c r="AT222" i="123"/>
  <c r="AU222" i="123"/>
  <c r="AV222" i="123"/>
  <c r="AW222" i="123"/>
  <c r="AX222" i="123"/>
  <c r="AY222" i="123"/>
  <c r="AZ222" i="123"/>
  <c r="BA222" i="123"/>
  <c r="BB222" i="123"/>
  <c r="BC222" i="123"/>
  <c r="BD222" i="123"/>
  <c r="BE222" i="123"/>
  <c r="BF222" i="123"/>
  <c r="D223" i="123"/>
  <c r="E223" i="123"/>
  <c r="F223" i="123"/>
  <c r="G223" i="123"/>
  <c r="H223" i="123"/>
  <c r="I223" i="123"/>
  <c r="J223" i="123"/>
  <c r="K223" i="123"/>
  <c r="L223" i="123"/>
  <c r="M223" i="123"/>
  <c r="N223" i="123"/>
  <c r="O223" i="123"/>
  <c r="P223" i="123"/>
  <c r="Q223" i="123"/>
  <c r="R223" i="123"/>
  <c r="S223" i="123"/>
  <c r="T223" i="123"/>
  <c r="U223" i="123"/>
  <c r="V223" i="123"/>
  <c r="W223" i="123"/>
  <c r="X223" i="123"/>
  <c r="Y223" i="123"/>
  <c r="Z223" i="123"/>
  <c r="AA223" i="123"/>
  <c r="AB223" i="123"/>
  <c r="AC223" i="123"/>
  <c r="AD223" i="123"/>
  <c r="AE223" i="123"/>
  <c r="AF223" i="123"/>
  <c r="AG223" i="123"/>
  <c r="AH223" i="123"/>
  <c r="AI223" i="123"/>
  <c r="AJ223" i="123"/>
  <c r="AK223" i="123"/>
  <c r="AL223" i="123"/>
  <c r="AM223" i="123"/>
  <c r="AN223" i="123"/>
  <c r="AO223" i="123"/>
  <c r="AP223" i="123"/>
  <c r="AQ223" i="123"/>
  <c r="AR223" i="123"/>
  <c r="AS223" i="123"/>
  <c r="AT223" i="123"/>
  <c r="AU223" i="123"/>
  <c r="AV223" i="123"/>
  <c r="AW223" i="123"/>
  <c r="AX223" i="123"/>
  <c r="AY223" i="123"/>
  <c r="AZ223" i="123"/>
  <c r="BA223" i="123"/>
  <c r="BB223" i="123"/>
  <c r="BC223" i="123"/>
  <c r="BD223" i="123"/>
  <c r="BE223" i="123"/>
  <c r="BF223" i="123"/>
  <c r="D224" i="123"/>
  <c r="E224" i="123"/>
  <c r="F224" i="123"/>
  <c r="G224" i="123"/>
  <c r="H224" i="123"/>
  <c r="I224" i="123"/>
  <c r="J224" i="123"/>
  <c r="K224" i="123"/>
  <c r="L224" i="123"/>
  <c r="M224" i="123"/>
  <c r="N224" i="123"/>
  <c r="O224" i="123"/>
  <c r="P224" i="123"/>
  <c r="Q224" i="123"/>
  <c r="R224" i="123"/>
  <c r="S224" i="123"/>
  <c r="T224" i="123"/>
  <c r="U224" i="123"/>
  <c r="V224" i="123"/>
  <c r="W224" i="123"/>
  <c r="X224" i="123"/>
  <c r="Y224" i="123"/>
  <c r="Z224" i="123"/>
  <c r="AA224" i="123"/>
  <c r="AB224" i="123"/>
  <c r="AC224" i="123"/>
  <c r="AD224" i="123"/>
  <c r="AE224" i="123"/>
  <c r="AF224" i="123"/>
  <c r="AG224" i="123"/>
  <c r="AH224" i="123"/>
  <c r="AI224" i="123"/>
  <c r="AJ224" i="123"/>
  <c r="AK224" i="123"/>
  <c r="AL224" i="123"/>
  <c r="AM224" i="123"/>
  <c r="AN224" i="123"/>
  <c r="AO224" i="123"/>
  <c r="AP224" i="123"/>
  <c r="AQ224" i="123"/>
  <c r="AR224" i="123"/>
  <c r="AS224" i="123"/>
  <c r="AT224" i="123"/>
  <c r="AU224" i="123"/>
  <c r="AV224" i="123"/>
  <c r="AW224" i="123"/>
  <c r="AX224" i="123"/>
  <c r="AY224" i="123"/>
  <c r="AZ224" i="123"/>
  <c r="BA224" i="123"/>
  <c r="BB224" i="123"/>
  <c r="BC224" i="123"/>
  <c r="BD224" i="123"/>
  <c r="BE224" i="123"/>
  <c r="BF224" i="123"/>
  <c r="D225" i="123"/>
  <c r="E225" i="123"/>
  <c r="F225" i="123"/>
  <c r="G225" i="123"/>
  <c r="H225" i="123"/>
  <c r="I225" i="123"/>
  <c r="J225" i="123"/>
  <c r="K225" i="123"/>
  <c r="L225" i="123"/>
  <c r="M225" i="123"/>
  <c r="N225" i="123"/>
  <c r="O225" i="123"/>
  <c r="P225" i="123"/>
  <c r="Q225" i="123"/>
  <c r="R225" i="123"/>
  <c r="S225" i="123"/>
  <c r="T225" i="123"/>
  <c r="U225" i="123"/>
  <c r="V225" i="123"/>
  <c r="W225" i="123"/>
  <c r="X225" i="123"/>
  <c r="Y225" i="123"/>
  <c r="Z225" i="123"/>
  <c r="AA225" i="123"/>
  <c r="AB225" i="123"/>
  <c r="AC225" i="123"/>
  <c r="AD225" i="123"/>
  <c r="AE225" i="123"/>
  <c r="AF225" i="123"/>
  <c r="AG225" i="123"/>
  <c r="AH225" i="123"/>
  <c r="AI225" i="123"/>
  <c r="AJ225" i="123"/>
  <c r="AK225" i="123"/>
  <c r="AL225" i="123"/>
  <c r="AM225" i="123"/>
  <c r="AN225" i="123"/>
  <c r="AO225" i="123"/>
  <c r="AP225" i="123"/>
  <c r="AQ225" i="123"/>
  <c r="AR225" i="123"/>
  <c r="AS225" i="123"/>
  <c r="AT225" i="123"/>
  <c r="AU225" i="123"/>
  <c r="AV225" i="123"/>
  <c r="AW225" i="123"/>
  <c r="AX225" i="123"/>
  <c r="AY225" i="123"/>
  <c r="AZ225" i="123"/>
  <c r="BA225" i="123"/>
  <c r="BB225" i="123"/>
  <c r="BC225" i="123"/>
  <c r="BD225" i="123"/>
  <c r="BE225" i="123"/>
  <c r="BF225" i="123"/>
  <c r="D226" i="123"/>
  <c r="E226" i="123"/>
  <c r="F226" i="123"/>
  <c r="G226" i="123"/>
  <c r="H226" i="123"/>
  <c r="I226" i="123"/>
  <c r="J226" i="123"/>
  <c r="K226" i="123"/>
  <c r="L226" i="123"/>
  <c r="M226" i="123"/>
  <c r="N226" i="123"/>
  <c r="O226" i="123"/>
  <c r="P226" i="123"/>
  <c r="Q226" i="123"/>
  <c r="R226" i="123"/>
  <c r="S226" i="123"/>
  <c r="T226" i="123"/>
  <c r="U226" i="123"/>
  <c r="V226" i="123"/>
  <c r="W226" i="123"/>
  <c r="X226" i="123"/>
  <c r="Y226" i="123"/>
  <c r="Z226" i="123"/>
  <c r="AA226" i="123"/>
  <c r="AB226" i="123"/>
  <c r="AC226" i="123"/>
  <c r="AD226" i="123"/>
  <c r="AE226" i="123"/>
  <c r="AF226" i="123"/>
  <c r="AG226" i="123"/>
  <c r="AH226" i="123"/>
  <c r="AI226" i="123"/>
  <c r="AJ226" i="123"/>
  <c r="AK226" i="123"/>
  <c r="AL226" i="123"/>
  <c r="AM226" i="123"/>
  <c r="AN226" i="123"/>
  <c r="AO226" i="123"/>
  <c r="AP226" i="123"/>
  <c r="AQ226" i="123"/>
  <c r="AR226" i="123"/>
  <c r="AS226" i="123"/>
  <c r="AT226" i="123"/>
  <c r="AU226" i="123"/>
  <c r="AV226" i="123"/>
  <c r="AW226" i="123"/>
  <c r="AX226" i="123"/>
  <c r="AY226" i="123"/>
  <c r="AZ226" i="123"/>
  <c r="BA226" i="123"/>
  <c r="BB226" i="123"/>
  <c r="BC226" i="123"/>
  <c r="BD226" i="123"/>
  <c r="BE226" i="123"/>
  <c r="BF226" i="123"/>
  <c r="D227" i="123"/>
  <c r="E227" i="123"/>
  <c r="F227" i="123"/>
  <c r="G227" i="123"/>
  <c r="H227" i="123"/>
  <c r="I227" i="123"/>
  <c r="J227" i="123"/>
  <c r="K227" i="123"/>
  <c r="L227" i="123"/>
  <c r="M227" i="123"/>
  <c r="N227" i="123"/>
  <c r="O227" i="123"/>
  <c r="P227" i="123"/>
  <c r="Q227" i="123"/>
  <c r="R227" i="123"/>
  <c r="S227" i="123"/>
  <c r="T227" i="123"/>
  <c r="U227" i="123"/>
  <c r="V227" i="123"/>
  <c r="W227" i="123"/>
  <c r="X227" i="123"/>
  <c r="Y227" i="123"/>
  <c r="Z227" i="123"/>
  <c r="AA227" i="123"/>
  <c r="AB227" i="123"/>
  <c r="AC227" i="123"/>
  <c r="AD227" i="123"/>
  <c r="AE227" i="123"/>
  <c r="AF227" i="123"/>
  <c r="AG227" i="123"/>
  <c r="AH227" i="123"/>
  <c r="AI227" i="123"/>
  <c r="AJ227" i="123"/>
  <c r="AK227" i="123"/>
  <c r="AL227" i="123"/>
  <c r="AM227" i="123"/>
  <c r="AN227" i="123"/>
  <c r="AO227" i="123"/>
  <c r="AP227" i="123"/>
  <c r="AQ227" i="123"/>
  <c r="AR227" i="123"/>
  <c r="AS227" i="123"/>
  <c r="AT227" i="123"/>
  <c r="AU227" i="123"/>
  <c r="AV227" i="123"/>
  <c r="AW227" i="123"/>
  <c r="AX227" i="123"/>
  <c r="AY227" i="123"/>
  <c r="AZ227" i="123"/>
  <c r="BA227" i="123"/>
  <c r="BB227" i="123"/>
  <c r="BC227" i="123"/>
  <c r="BD227" i="123"/>
  <c r="BE227" i="123"/>
  <c r="BF227" i="123"/>
  <c r="D228" i="123"/>
  <c r="E228" i="123"/>
  <c r="F228" i="123"/>
  <c r="G228" i="123"/>
  <c r="H228" i="123"/>
  <c r="I228" i="123"/>
  <c r="J228" i="123"/>
  <c r="K228" i="123"/>
  <c r="L228" i="123"/>
  <c r="M228" i="123"/>
  <c r="N228" i="123"/>
  <c r="O228" i="123"/>
  <c r="P228" i="123"/>
  <c r="Q228" i="123"/>
  <c r="R228" i="123"/>
  <c r="S228" i="123"/>
  <c r="T228" i="123"/>
  <c r="U228" i="123"/>
  <c r="V228" i="123"/>
  <c r="W228" i="123"/>
  <c r="X228" i="123"/>
  <c r="Y228" i="123"/>
  <c r="Z228" i="123"/>
  <c r="AA228" i="123"/>
  <c r="AB228" i="123"/>
  <c r="AC228" i="123"/>
  <c r="AD228" i="123"/>
  <c r="AE228" i="123"/>
  <c r="AF228" i="123"/>
  <c r="AG228" i="123"/>
  <c r="AH228" i="123"/>
  <c r="AI228" i="123"/>
  <c r="AJ228" i="123"/>
  <c r="AK228" i="123"/>
  <c r="AL228" i="123"/>
  <c r="AM228" i="123"/>
  <c r="AN228" i="123"/>
  <c r="AO228" i="123"/>
  <c r="AP228" i="123"/>
  <c r="AQ228" i="123"/>
  <c r="AR228" i="123"/>
  <c r="AS228" i="123"/>
  <c r="AT228" i="123"/>
  <c r="AU228" i="123"/>
  <c r="AV228" i="123"/>
  <c r="AW228" i="123"/>
  <c r="AX228" i="123"/>
  <c r="AY228" i="123"/>
  <c r="AZ228" i="123"/>
  <c r="BA228" i="123"/>
  <c r="BB228" i="123"/>
  <c r="BC228" i="123"/>
  <c r="BD228" i="123"/>
  <c r="BE228" i="123"/>
  <c r="BF228" i="123"/>
  <c r="D229" i="123"/>
  <c r="E229" i="123"/>
  <c r="F229" i="123"/>
  <c r="G229" i="123"/>
  <c r="H229" i="123"/>
  <c r="I229" i="123"/>
  <c r="J229" i="123"/>
  <c r="K229" i="123"/>
  <c r="L229" i="123"/>
  <c r="M229" i="123"/>
  <c r="N229" i="123"/>
  <c r="O229" i="123"/>
  <c r="P229" i="123"/>
  <c r="Q229" i="123"/>
  <c r="R229" i="123"/>
  <c r="S229" i="123"/>
  <c r="T229" i="123"/>
  <c r="U229" i="123"/>
  <c r="V229" i="123"/>
  <c r="W229" i="123"/>
  <c r="X229" i="123"/>
  <c r="Y229" i="123"/>
  <c r="Z229" i="123"/>
  <c r="AA229" i="123"/>
  <c r="AB229" i="123"/>
  <c r="AC229" i="123"/>
  <c r="AD229" i="123"/>
  <c r="AE229" i="123"/>
  <c r="AF229" i="123"/>
  <c r="AG229" i="123"/>
  <c r="AH229" i="123"/>
  <c r="AI229" i="123"/>
  <c r="AJ229" i="123"/>
  <c r="AK229" i="123"/>
  <c r="AL229" i="123"/>
  <c r="AM229" i="123"/>
  <c r="AN229" i="123"/>
  <c r="AO229" i="123"/>
  <c r="AP229" i="123"/>
  <c r="AQ229" i="123"/>
  <c r="AR229" i="123"/>
  <c r="AS229" i="123"/>
  <c r="AT229" i="123"/>
  <c r="AU229" i="123"/>
  <c r="AV229" i="123"/>
  <c r="AW229" i="123"/>
  <c r="AX229" i="123"/>
  <c r="AY229" i="123"/>
  <c r="AZ229" i="123"/>
  <c r="BA229" i="123"/>
  <c r="BB229" i="123"/>
  <c r="BC229" i="123"/>
  <c r="BD229" i="123"/>
  <c r="BE229" i="123"/>
  <c r="BF229" i="123"/>
  <c r="D230" i="123"/>
  <c r="E230" i="123"/>
  <c r="F230" i="123"/>
  <c r="G230" i="123"/>
  <c r="H230" i="123"/>
  <c r="I230" i="123"/>
  <c r="J230" i="123"/>
  <c r="K230" i="123"/>
  <c r="L230" i="123"/>
  <c r="M230" i="123"/>
  <c r="N230" i="123"/>
  <c r="O230" i="123"/>
  <c r="P230" i="123"/>
  <c r="Q230" i="123"/>
  <c r="R230" i="123"/>
  <c r="S230" i="123"/>
  <c r="T230" i="123"/>
  <c r="U230" i="123"/>
  <c r="V230" i="123"/>
  <c r="W230" i="123"/>
  <c r="X230" i="123"/>
  <c r="Y230" i="123"/>
  <c r="Z230" i="123"/>
  <c r="AA230" i="123"/>
  <c r="AB230" i="123"/>
  <c r="AC230" i="123"/>
  <c r="AD230" i="123"/>
  <c r="AE230" i="123"/>
  <c r="AF230" i="123"/>
  <c r="AG230" i="123"/>
  <c r="AH230" i="123"/>
  <c r="AI230" i="123"/>
  <c r="AJ230" i="123"/>
  <c r="AK230" i="123"/>
  <c r="AL230" i="123"/>
  <c r="AM230" i="123"/>
  <c r="AN230" i="123"/>
  <c r="AO230" i="123"/>
  <c r="AP230" i="123"/>
  <c r="AQ230" i="123"/>
  <c r="AR230" i="123"/>
  <c r="AS230" i="123"/>
  <c r="AT230" i="123"/>
  <c r="AU230" i="123"/>
  <c r="AV230" i="123"/>
  <c r="AW230" i="123"/>
  <c r="AX230" i="123"/>
  <c r="AY230" i="123"/>
  <c r="AZ230" i="123"/>
  <c r="BA230" i="123"/>
  <c r="BB230" i="123"/>
  <c r="BC230" i="123"/>
  <c r="BD230" i="123"/>
  <c r="BE230" i="123"/>
  <c r="BF230" i="123"/>
  <c r="D231" i="123"/>
  <c r="E231" i="123"/>
  <c r="F231" i="123"/>
  <c r="G231" i="123"/>
  <c r="H231" i="123"/>
  <c r="I231" i="123"/>
  <c r="J231" i="123"/>
  <c r="K231" i="123"/>
  <c r="L231" i="123"/>
  <c r="M231" i="123"/>
  <c r="N231" i="123"/>
  <c r="O231" i="123"/>
  <c r="P231" i="123"/>
  <c r="Q231" i="123"/>
  <c r="R231" i="123"/>
  <c r="S231" i="123"/>
  <c r="T231" i="123"/>
  <c r="U231" i="123"/>
  <c r="V231" i="123"/>
  <c r="W231" i="123"/>
  <c r="X231" i="123"/>
  <c r="Y231" i="123"/>
  <c r="Z231" i="123"/>
  <c r="AA231" i="123"/>
  <c r="AB231" i="123"/>
  <c r="AC231" i="123"/>
  <c r="AD231" i="123"/>
  <c r="AE231" i="123"/>
  <c r="AF231" i="123"/>
  <c r="AG231" i="123"/>
  <c r="AH231" i="123"/>
  <c r="AI231" i="123"/>
  <c r="AJ231" i="123"/>
  <c r="AK231" i="123"/>
  <c r="AL231" i="123"/>
  <c r="AM231" i="123"/>
  <c r="AN231" i="123"/>
  <c r="AO231" i="123"/>
  <c r="AP231" i="123"/>
  <c r="AQ231" i="123"/>
  <c r="AR231" i="123"/>
  <c r="AS231" i="123"/>
  <c r="AT231" i="123"/>
  <c r="AU231" i="123"/>
  <c r="AV231" i="123"/>
  <c r="AW231" i="123"/>
  <c r="AX231" i="123"/>
  <c r="AY231" i="123"/>
  <c r="AZ231" i="123"/>
  <c r="BA231" i="123"/>
  <c r="BB231" i="123"/>
  <c r="BC231" i="123"/>
  <c r="BD231" i="123"/>
  <c r="BE231" i="123"/>
  <c r="BF231" i="123"/>
  <c r="D232" i="123"/>
  <c r="E232" i="123"/>
  <c r="F232" i="123"/>
  <c r="G232" i="123"/>
  <c r="H232" i="123"/>
  <c r="I232" i="123"/>
  <c r="J232" i="123"/>
  <c r="K232" i="123"/>
  <c r="L232" i="123"/>
  <c r="M232" i="123"/>
  <c r="N232" i="123"/>
  <c r="O232" i="123"/>
  <c r="P232" i="123"/>
  <c r="Q232" i="123"/>
  <c r="R232" i="123"/>
  <c r="S232" i="123"/>
  <c r="T232" i="123"/>
  <c r="U232" i="123"/>
  <c r="V232" i="123"/>
  <c r="W232" i="123"/>
  <c r="X232" i="123"/>
  <c r="Y232" i="123"/>
  <c r="Z232" i="123"/>
  <c r="AA232" i="123"/>
  <c r="AB232" i="123"/>
  <c r="AC232" i="123"/>
  <c r="AD232" i="123"/>
  <c r="AE232" i="123"/>
  <c r="AF232" i="123"/>
  <c r="AG232" i="123"/>
  <c r="AH232" i="123"/>
  <c r="AI232" i="123"/>
  <c r="AJ232" i="123"/>
  <c r="AK232" i="123"/>
  <c r="AL232" i="123"/>
  <c r="AM232" i="123"/>
  <c r="AN232" i="123"/>
  <c r="AO232" i="123"/>
  <c r="AP232" i="123"/>
  <c r="AQ232" i="123"/>
  <c r="AR232" i="123"/>
  <c r="AS232" i="123"/>
  <c r="AT232" i="123"/>
  <c r="AU232" i="123"/>
  <c r="AV232" i="123"/>
  <c r="AW232" i="123"/>
  <c r="AX232" i="123"/>
  <c r="AY232" i="123"/>
  <c r="AZ232" i="123"/>
  <c r="BA232" i="123"/>
  <c r="BB232" i="123"/>
  <c r="BC232" i="123"/>
  <c r="BD232" i="123"/>
  <c r="BE232" i="123"/>
  <c r="BF232" i="123"/>
  <c r="D233" i="123"/>
  <c r="E233" i="123"/>
  <c r="F233" i="123"/>
  <c r="G233" i="123"/>
  <c r="H233" i="123"/>
  <c r="I233" i="123"/>
  <c r="J233" i="123"/>
  <c r="K233" i="123"/>
  <c r="L233" i="123"/>
  <c r="M233" i="123"/>
  <c r="N233" i="123"/>
  <c r="O233" i="123"/>
  <c r="P233" i="123"/>
  <c r="Q233" i="123"/>
  <c r="R233" i="123"/>
  <c r="S233" i="123"/>
  <c r="T233" i="123"/>
  <c r="U233" i="123"/>
  <c r="V233" i="123"/>
  <c r="W233" i="123"/>
  <c r="X233" i="123"/>
  <c r="Y233" i="123"/>
  <c r="Z233" i="123"/>
  <c r="AA233" i="123"/>
  <c r="AB233" i="123"/>
  <c r="AC233" i="123"/>
  <c r="AD233" i="123"/>
  <c r="AE233" i="123"/>
  <c r="AF233" i="123"/>
  <c r="AG233" i="123"/>
  <c r="AH233" i="123"/>
  <c r="AI233" i="123"/>
  <c r="AJ233" i="123"/>
  <c r="AK233" i="123"/>
  <c r="AL233" i="123"/>
  <c r="AM233" i="123"/>
  <c r="AN233" i="123"/>
  <c r="AO233" i="123"/>
  <c r="AP233" i="123"/>
  <c r="AQ233" i="123"/>
  <c r="AR233" i="123"/>
  <c r="AS233" i="123"/>
  <c r="AT233" i="123"/>
  <c r="AU233" i="123"/>
  <c r="AV233" i="123"/>
  <c r="AW233" i="123"/>
  <c r="AX233" i="123"/>
  <c r="AY233" i="123"/>
  <c r="AZ233" i="123"/>
  <c r="BA233" i="123"/>
  <c r="BB233" i="123"/>
  <c r="BC233" i="123"/>
  <c r="BD233" i="123"/>
  <c r="BE233" i="123"/>
  <c r="BF233" i="123"/>
  <c r="C205" i="123"/>
  <c r="C206" i="123"/>
  <c r="C207" i="123"/>
  <c r="C208" i="123"/>
  <c r="C209" i="123"/>
  <c r="C210" i="123"/>
  <c r="C211" i="123"/>
  <c r="C212" i="123"/>
  <c r="C213" i="123"/>
  <c r="C214" i="123"/>
  <c r="C215" i="123"/>
  <c r="C216" i="123"/>
  <c r="C217" i="123"/>
  <c r="C218" i="123"/>
  <c r="C219" i="123"/>
  <c r="C220" i="123"/>
  <c r="C221" i="123"/>
  <c r="C222" i="123"/>
  <c r="C223" i="123"/>
  <c r="C224" i="123"/>
  <c r="C225" i="123"/>
  <c r="C226" i="123"/>
  <c r="C227" i="123"/>
  <c r="C228" i="123"/>
  <c r="C229" i="123"/>
  <c r="C230" i="123"/>
  <c r="C231" i="123"/>
  <c r="C232" i="123"/>
  <c r="C233" i="123"/>
  <c r="C204" i="123"/>
  <c r="D171" i="123"/>
  <c r="E171" i="123"/>
  <c r="F171" i="123"/>
  <c r="G171" i="123"/>
  <c r="H171" i="123"/>
  <c r="I171" i="123"/>
  <c r="J171" i="123"/>
  <c r="K171" i="123"/>
  <c r="L171" i="123"/>
  <c r="M171" i="123"/>
  <c r="N171" i="123"/>
  <c r="O171" i="123"/>
  <c r="P171" i="123"/>
  <c r="Q171" i="123"/>
  <c r="R171" i="123"/>
  <c r="S171" i="123"/>
  <c r="T171" i="123"/>
  <c r="U171" i="123"/>
  <c r="V171" i="123"/>
  <c r="W171" i="123"/>
  <c r="X171" i="123"/>
  <c r="Y171" i="123"/>
  <c r="Z171" i="123"/>
  <c r="AA171" i="123"/>
  <c r="AB171" i="123"/>
  <c r="AC171" i="123"/>
  <c r="AD171" i="123"/>
  <c r="AE171" i="123"/>
  <c r="AF171" i="123"/>
  <c r="AG171" i="123"/>
  <c r="AH171" i="123"/>
  <c r="AI171" i="123"/>
  <c r="AJ171" i="123"/>
  <c r="AK171" i="123"/>
  <c r="AL171" i="123"/>
  <c r="AM171" i="123"/>
  <c r="AN171" i="123"/>
  <c r="AO171" i="123"/>
  <c r="AP171" i="123"/>
  <c r="AQ171" i="123"/>
  <c r="AR171" i="123"/>
  <c r="AS171" i="123"/>
  <c r="AT171" i="123"/>
  <c r="AU171" i="123"/>
  <c r="AV171" i="123"/>
  <c r="AW171" i="123"/>
  <c r="AX171" i="123"/>
  <c r="AY171" i="123"/>
  <c r="AZ171" i="123"/>
  <c r="BA171" i="123"/>
  <c r="BB171" i="123"/>
  <c r="BC171" i="123"/>
  <c r="BD171" i="123"/>
  <c r="BE171" i="123"/>
  <c r="BF171" i="123"/>
  <c r="D172" i="123"/>
  <c r="E172" i="123"/>
  <c r="F172" i="123"/>
  <c r="G172" i="123"/>
  <c r="H172" i="123"/>
  <c r="I172" i="123"/>
  <c r="J172" i="123"/>
  <c r="K172" i="123"/>
  <c r="L172" i="123"/>
  <c r="M172" i="123"/>
  <c r="N172" i="123"/>
  <c r="O172" i="123"/>
  <c r="P172" i="123"/>
  <c r="Q172" i="123"/>
  <c r="R172" i="123"/>
  <c r="S172" i="123"/>
  <c r="T172" i="123"/>
  <c r="U172" i="123"/>
  <c r="V172" i="123"/>
  <c r="W172" i="123"/>
  <c r="X172" i="123"/>
  <c r="Y172" i="123"/>
  <c r="Z172" i="123"/>
  <c r="AA172" i="123"/>
  <c r="AB172" i="123"/>
  <c r="AC172" i="123"/>
  <c r="AD172" i="123"/>
  <c r="AE172" i="123"/>
  <c r="AF172" i="123"/>
  <c r="AG172" i="123"/>
  <c r="AH172" i="123"/>
  <c r="AI172" i="123"/>
  <c r="AJ172" i="123"/>
  <c r="AK172" i="123"/>
  <c r="AL172" i="123"/>
  <c r="AM172" i="123"/>
  <c r="AN172" i="123"/>
  <c r="AO172" i="123"/>
  <c r="AP172" i="123"/>
  <c r="AQ172" i="123"/>
  <c r="AR172" i="123"/>
  <c r="AS172" i="123"/>
  <c r="AT172" i="123"/>
  <c r="AU172" i="123"/>
  <c r="AV172" i="123"/>
  <c r="AW172" i="123"/>
  <c r="AX172" i="123"/>
  <c r="AY172" i="123"/>
  <c r="AZ172" i="123"/>
  <c r="BA172" i="123"/>
  <c r="BB172" i="123"/>
  <c r="BC172" i="123"/>
  <c r="BD172" i="123"/>
  <c r="BE172" i="123"/>
  <c r="BF172" i="123"/>
  <c r="D173" i="123"/>
  <c r="E173" i="123"/>
  <c r="F173" i="123"/>
  <c r="G173" i="123"/>
  <c r="H173" i="123"/>
  <c r="I173" i="123"/>
  <c r="J173" i="123"/>
  <c r="K173" i="123"/>
  <c r="L173" i="123"/>
  <c r="M173" i="123"/>
  <c r="N173" i="123"/>
  <c r="O173" i="123"/>
  <c r="P173" i="123"/>
  <c r="Q173" i="123"/>
  <c r="R173" i="123"/>
  <c r="S173" i="123"/>
  <c r="T173" i="123"/>
  <c r="U173" i="123"/>
  <c r="V173" i="123"/>
  <c r="W173" i="123"/>
  <c r="X173" i="123"/>
  <c r="Y173" i="123"/>
  <c r="Z173" i="123"/>
  <c r="AA173" i="123"/>
  <c r="AB173" i="123"/>
  <c r="AC173" i="123"/>
  <c r="AD173" i="123"/>
  <c r="AE173" i="123"/>
  <c r="AF173" i="123"/>
  <c r="AG173" i="123"/>
  <c r="AH173" i="123"/>
  <c r="AI173" i="123"/>
  <c r="AJ173" i="123"/>
  <c r="AK173" i="123"/>
  <c r="AL173" i="123"/>
  <c r="AM173" i="123"/>
  <c r="AN173" i="123"/>
  <c r="AO173" i="123"/>
  <c r="AP173" i="123"/>
  <c r="AQ173" i="123"/>
  <c r="AR173" i="123"/>
  <c r="AS173" i="123"/>
  <c r="AT173" i="123"/>
  <c r="AU173" i="123"/>
  <c r="AV173" i="123"/>
  <c r="AW173" i="123"/>
  <c r="AX173" i="123"/>
  <c r="AY173" i="123"/>
  <c r="AZ173" i="123"/>
  <c r="BA173" i="123"/>
  <c r="BB173" i="123"/>
  <c r="BC173" i="123"/>
  <c r="BD173" i="123"/>
  <c r="BE173" i="123"/>
  <c r="BF173" i="123"/>
  <c r="D174" i="123"/>
  <c r="E174" i="123"/>
  <c r="F174" i="123"/>
  <c r="G174" i="123"/>
  <c r="H174" i="123"/>
  <c r="I174" i="123"/>
  <c r="J174" i="123"/>
  <c r="K174" i="123"/>
  <c r="L174" i="123"/>
  <c r="M174" i="123"/>
  <c r="N174" i="123"/>
  <c r="O174" i="123"/>
  <c r="P174" i="123"/>
  <c r="Q174" i="123"/>
  <c r="R174" i="123"/>
  <c r="S174" i="123"/>
  <c r="T174" i="123"/>
  <c r="U174" i="123"/>
  <c r="V174" i="123"/>
  <c r="W174" i="123"/>
  <c r="X174" i="123"/>
  <c r="Y174" i="123"/>
  <c r="Z174" i="123"/>
  <c r="AA174" i="123"/>
  <c r="AB174" i="123"/>
  <c r="AC174" i="123"/>
  <c r="AD174" i="123"/>
  <c r="AE174" i="123"/>
  <c r="AF174" i="123"/>
  <c r="AG174" i="123"/>
  <c r="AH174" i="123"/>
  <c r="AI174" i="123"/>
  <c r="AJ174" i="123"/>
  <c r="AK174" i="123"/>
  <c r="AL174" i="123"/>
  <c r="AM174" i="123"/>
  <c r="AN174" i="123"/>
  <c r="AO174" i="123"/>
  <c r="AP174" i="123"/>
  <c r="AQ174" i="123"/>
  <c r="AR174" i="123"/>
  <c r="AS174" i="123"/>
  <c r="AT174" i="123"/>
  <c r="AU174" i="123"/>
  <c r="AV174" i="123"/>
  <c r="AW174" i="123"/>
  <c r="AX174" i="123"/>
  <c r="AY174" i="123"/>
  <c r="AZ174" i="123"/>
  <c r="BA174" i="123"/>
  <c r="BB174" i="123"/>
  <c r="BC174" i="123"/>
  <c r="BD174" i="123"/>
  <c r="BE174" i="123"/>
  <c r="BF174" i="123"/>
  <c r="D175" i="123"/>
  <c r="E175" i="123"/>
  <c r="F175" i="123"/>
  <c r="G175" i="123"/>
  <c r="H175" i="123"/>
  <c r="I175" i="123"/>
  <c r="J175" i="123"/>
  <c r="K175" i="123"/>
  <c r="L175" i="123"/>
  <c r="M175" i="123"/>
  <c r="N175" i="123"/>
  <c r="O175" i="123"/>
  <c r="P175" i="123"/>
  <c r="Q175" i="123"/>
  <c r="R175" i="123"/>
  <c r="S175" i="123"/>
  <c r="T175" i="123"/>
  <c r="U175" i="123"/>
  <c r="V175" i="123"/>
  <c r="W175" i="123"/>
  <c r="X175" i="123"/>
  <c r="Y175" i="123"/>
  <c r="Z175" i="123"/>
  <c r="AA175" i="123"/>
  <c r="AB175" i="123"/>
  <c r="AC175" i="123"/>
  <c r="AD175" i="123"/>
  <c r="AE175" i="123"/>
  <c r="AF175" i="123"/>
  <c r="AG175" i="123"/>
  <c r="AH175" i="123"/>
  <c r="AI175" i="123"/>
  <c r="AJ175" i="123"/>
  <c r="AK175" i="123"/>
  <c r="AL175" i="123"/>
  <c r="AM175" i="123"/>
  <c r="AN175" i="123"/>
  <c r="AO175" i="123"/>
  <c r="AP175" i="123"/>
  <c r="AQ175" i="123"/>
  <c r="AR175" i="123"/>
  <c r="AS175" i="123"/>
  <c r="AT175" i="123"/>
  <c r="AU175" i="123"/>
  <c r="AV175" i="123"/>
  <c r="AW175" i="123"/>
  <c r="AX175" i="123"/>
  <c r="AY175" i="123"/>
  <c r="AZ175" i="123"/>
  <c r="BA175" i="123"/>
  <c r="BB175" i="123"/>
  <c r="BC175" i="123"/>
  <c r="BD175" i="123"/>
  <c r="BE175" i="123"/>
  <c r="BF175" i="123"/>
  <c r="D176" i="123"/>
  <c r="E176" i="123"/>
  <c r="F176" i="123"/>
  <c r="G176" i="123"/>
  <c r="H176" i="123"/>
  <c r="I176" i="123"/>
  <c r="J176" i="123"/>
  <c r="K176" i="123"/>
  <c r="L176" i="123"/>
  <c r="M176" i="123"/>
  <c r="N176" i="123"/>
  <c r="O176" i="123"/>
  <c r="P176" i="123"/>
  <c r="Q176" i="123"/>
  <c r="R176" i="123"/>
  <c r="S176" i="123"/>
  <c r="T176" i="123"/>
  <c r="U176" i="123"/>
  <c r="V176" i="123"/>
  <c r="W176" i="123"/>
  <c r="X176" i="123"/>
  <c r="Y176" i="123"/>
  <c r="Z176" i="123"/>
  <c r="AA176" i="123"/>
  <c r="AB176" i="123"/>
  <c r="AC176" i="123"/>
  <c r="AD176" i="123"/>
  <c r="AE176" i="123"/>
  <c r="AF176" i="123"/>
  <c r="AG176" i="123"/>
  <c r="AH176" i="123"/>
  <c r="AI176" i="123"/>
  <c r="AJ176" i="123"/>
  <c r="AK176" i="123"/>
  <c r="AL176" i="123"/>
  <c r="AM176" i="123"/>
  <c r="AN176" i="123"/>
  <c r="AO176" i="123"/>
  <c r="AP176" i="123"/>
  <c r="AQ176" i="123"/>
  <c r="AR176" i="123"/>
  <c r="AS176" i="123"/>
  <c r="AT176" i="123"/>
  <c r="AU176" i="123"/>
  <c r="AV176" i="123"/>
  <c r="AW176" i="123"/>
  <c r="AX176" i="123"/>
  <c r="AY176" i="123"/>
  <c r="AZ176" i="123"/>
  <c r="BA176" i="123"/>
  <c r="BB176" i="123"/>
  <c r="BC176" i="123"/>
  <c r="BD176" i="123"/>
  <c r="BE176" i="123"/>
  <c r="BF176" i="123"/>
  <c r="D177" i="123"/>
  <c r="E177" i="123"/>
  <c r="F177" i="123"/>
  <c r="G177" i="123"/>
  <c r="H177" i="123"/>
  <c r="I177" i="123"/>
  <c r="J177" i="123"/>
  <c r="K177" i="123"/>
  <c r="L177" i="123"/>
  <c r="M177" i="123"/>
  <c r="N177" i="123"/>
  <c r="O177" i="123"/>
  <c r="P177" i="123"/>
  <c r="Q177" i="123"/>
  <c r="R177" i="123"/>
  <c r="S177" i="123"/>
  <c r="T177" i="123"/>
  <c r="U177" i="123"/>
  <c r="V177" i="123"/>
  <c r="W177" i="123"/>
  <c r="X177" i="123"/>
  <c r="Y177" i="123"/>
  <c r="Z177" i="123"/>
  <c r="AA177" i="123"/>
  <c r="AB177" i="123"/>
  <c r="AC177" i="123"/>
  <c r="AD177" i="123"/>
  <c r="AE177" i="123"/>
  <c r="AF177" i="123"/>
  <c r="AG177" i="123"/>
  <c r="AH177" i="123"/>
  <c r="AI177" i="123"/>
  <c r="AJ177" i="123"/>
  <c r="AK177" i="123"/>
  <c r="AL177" i="123"/>
  <c r="AM177" i="123"/>
  <c r="AN177" i="123"/>
  <c r="AO177" i="123"/>
  <c r="AP177" i="123"/>
  <c r="AQ177" i="123"/>
  <c r="AR177" i="123"/>
  <c r="AS177" i="123"/>
  <c r="AT177" i="123"/>
  <c r="AU177" i="123"/>
  <c r="AV177" i="123"/>
  <c r="AW177" i="123"/>
  <c r="AX177" i="123"/>
  <c r="AY177" i="123"/>
  <c r="AZ177" i="123"/>
  <c r="BA177" i="123"/>
  <c r="BB177" i="123"/>
  <c r="BC177" i="123"/>
  <c r="BD177" i="123"/>
  <c r="BE177" i="123"/>
  <c r="BF177" i="123"/>
  <c r="D178" i="123"/>
  <c r="E178" i="123"/>
  <c r="F178" i="123"/>
  <c r="G178" i="123"/>
  <c r="H178" i="123"/>
  <c r="I178" i="123"/>
  <c r="J178" i="123"/>
  <c r="K178" i="123"/>
  <c r="L178" i="123"/>
  <c r="M178" i="123"/>
  <c r="N178" i="123"/>
  <c r="O178" i="123"/>
  <c r="P178" i="123"/>
  <c r="Q178" i="123"/>
  <c r="R178" i="123"/>
  <c r="S178" i="123"/>
  <c r="T178" i="123"/>
  <c r="U178" i="123"/>
  <c r="V178" i="123"/>
  <c r="W178" i="123"/>
  <c r="X178" i="123"/>
  <c r="Y178" i="123"/>
  <c r="Z178" i="123"/>
  <c r="AA178" i="123"/>
  <c r="AB178" i="123"/>
  <c r="AC178" i="123"/>
  <c r="AD178" i="123"/>
  <c r="AE178" i="123"/>
  <c r="AF178" i="123"/>
  <c r="AG178" i="123"/>
  <c r="AH178" i="123"/>
  <c r="AI178" i="123"/>
  <c r="AJ178" i="123"/>
  <c r="AK178" i="123"/>
  <c r="AL178" i="123"/>
  <c r="AM178" i="123"/>
  <c r="AN178" i="123"/>
  <c r="AO178" i="123"/>
  <c r="AP178" i="123"/>
  <c r="AQ178" i="123"/>
  <c r="AR178" i="123"/>
  <c r="AS178" i="123"/>
  <c r="AT178" i="123"/>
  <c r="AU178" i="123"/>
  <c r="AV178" i="123"/>
  <c r="AW178" i="123"/>
  <c r="AX178" i="123"/>
  <c r="AY178" i="123"/>
  <c r="AZ178" i="123"/>
  <c r="BA178" i="123"/>
  <c r="BB178" i="123"/>
  <c r="BC178" i="123"/>
  <c r="BD178" i="123"/>
  <c r="BE178" i="123"/>
  <c r="BF178" i="123"/>
  <c r="D179" i="123"/>
  <c r="E179" i="123"/>
  <c r="F179" i="123"/>
  <c r="G179" i="123"/>
  <c r="H179" i="123"/>
  <c r="I179" i="123"/>
  <c r="J179" i="123"/>
  <c r="K179" i="123"/>
  <c r="L179" i="123"/>
  <c r="M179" i="123"/>
  <c r="N179" i="123"/>
  <c r="O179" i="123"/>
  <c r="P179" i="123"/>
  <c r="Q179" i="123"/>
  <c r="R179" i="123"/>
  <c r="S179" i="123"/>
  <c r="T179" i="123"/>
  <c r="U179" i="123"/>
  <c r="V179" i="123"/>
  <c r="W179" i="123"/>
  <c r="X179" i="123"/>
  <c r="Y179" i="123"/>
  <c r="Z179" i="123"/>
  <c r="AA179" i="123"/>
  <c r="AB179" i="123"/>
  <c r="AC179" i="123"/>
  <c r="AD179" i="123"/>
  <c r="AE179" i="123"/>
  <c r="AF179" i="123"/>
  <c r="AG179" i="123"/>
  <c r="AH179" i="123"/>
  <c r="AI179" i="123"/>
  <c r="AJ179" i="123"/>
  <c r="AK179" i="123"/>
  <c r="AL179" i="123"/>
  <c r="AM179" i="123"/>
  <c r="AN179" i="123"/>
  <c r="AO179" i="123"/>
  <c r="AP179" i="123"/>
  <c r="AQ179" i="123"/>
  <c r="AR179" i="123"/>
  <c r="AS179" i="123"/>
  <c r="AT179" i="123"/>
  <c r="AU179" i="123"/>
  <c r="AV179" i="123"/>
  <c r="AW179" i="123"/>
  <c r="AX179" i="123"/>
  <c r="AY179" i="123"/>
  <c r="AZ179" i="123"/>
  <c r="BA179" i="123"/>
  <c r="BB179" i="123"/>
  <c r="BC179" i="123"/>
  <c r="BD179" i="123"/>
  <c r="BE179" i="123"/>
  <c r="BF179" i="123"/>
  <c r="D180" i="123"/>
  <c r="E180" i="123"/>
  <c r="F180" i="123"/>
  <c r="G180" i="123"/>
  <c r="H180" i="123"/>
  <c r="I180" i="123"/>
  <c r="J180" i="123"/>
  <c r="K180" i="123"/>
  <c r="L180" i="123"/>
  <c r="M180" i="123"/>
  <c r="N180" i="123"/>
  <c r="O180" i="123"/>
  <c r="P180" i="123"/>
  <c r="Q180" i="123"/>
  <c r="R180" i="123"/>
  <c r="S180" i="123"/>
  <c r="T180" i="123"/>
  <c r="U180" i="123"/>
  <c r="V180" i="123"/>
  <c r="W180" i="123"/>
  <c r="X180" i="123"/>
  <c r="Y180" i="123"/>
  <c r="Z180" i="123"/>
  <c r="AA180" i="123"/>
  <c r="AB180" i="123"/>
  <c r="AC180" i="123"/>
  <c r="AD180" i="123"/>
  <c r="AE180" i="123"/>
  <c r="AF180" i="123"/>
  <c r="AG180" i="123"/>
  <c r="AH180" i="123"/>
  <c r="AI180" i="123"/>
  <c r="AJ180" i="123"/>
  <c r="AK180" i="123"/>
  <c r="AL180" i="123"/>
  <c r="AM180" i="123"/>
  <c r="AN180" i="123"/>
  <c r="AO180" i="123"/>
  <c r="AP180" i="123"/>
  <c r="AQ180" i="123"/>
  <c r="AR180" i="123"/>
  <c r="AS180" i="123"/>
  <c r="AT180" i="123"/>
  <c r="AU180" i="123"/>
  <c r="AV180" i="123"/>
  <c r="AW180" i="123"/>
  <c r="AX180" i="123"/>
  <c r="AY180" i="123"/>
  <c r="AZ180" i="123"/>
  <c r="BA180" i="123"/>
  <c r="BB180" i="123"/>
  <c r="BC180" i="123"/>
  <c r="BD180" i="123"/>
  <c r="BE180" i="123"/>
  <c r="BF180" i="123"/>
  <c r="D181" i="123"/>
  <c r="E181" i="123"/>
  <c r="F181" i="123"/>
  <c r="G181" i="123"/>
  <c r="H181" i="123"/>
  <c r="I181" i="123"/>
  <c r="J181" i="123"/>
  <c r="K181" i="123"/>
  <c r="L181" i="123"/>
  <c r="M181" i="123"/>
  <c r="N181" i="123"/>
  <c r="O181" i="123"/>
  <c r="P181" i="123"/>
  <c r="Q181" i="123"/>
  <c r="R181" i="123"/>
  <c r="S181" i="123"/>
  <c r="T181" i="123"/>
  <c r="U181" i="123"/>
  <c r="V181" i="123"/>
  <c r="W181" i="123"/>
  <c r="X181" i="123"/>
  <c r="Y181" i="123"/>
  <c r="Z181" i="123"/>
  <c r="AA181" i="123"/>
  <c r="AB181" i="123"/>
  <c r="AC181" i="123"/>
  <c r="AD181" i="123"/>
  <c r="AE181" i="123"/>
  <c r="AF181" i="123"/>
  <c r="AG181" i="123"/>
  <c r="AH181" i="123"/>
  <c r="AI181" i="123"/>
  <c r="AJ181" i="123"/>
  <c r="AK181" i="123"/>
  <c r="AL181" i="123"/>
  <c r="AM181" i="123"/>
  <c r="AN181" i="123"/>
  <c r="AO181" i="123"/>
  <c r="AP181" i="123"/>
  <c r="AQ181" i="123"/>
  <c r="AR181" i="123"/>
  <c r="AS181" i="123"/>
  <c r="AT181" i="123"/>
  <c r="AU181" i="123"/>
  <c r="AV181" i="123"/>
  <c r="AW181" i="123"/>
  <c r="AX181" i="123"/>
  <c r="AY181" i="123"/>
  <c r="AZ181" i="123"/>
  <c r="BA181" i="123"/>
  <c r="BB181" i="123"/>
  <c r="BC181" i="123"/>
  <c r="BD181" i="123"/>
  <c r="BE181" i="123"/>
  <c r="BF181" i="123"/>
  <c r="D182" i="123"/>
  <c r="E182" i="123"/>
  <c r="F182" i="123"/>
  <c r="G182" i="123"/>
  <c r="H182" i="123"/>
  <c r="I182" i="123"/>
  <c r="J182" i="123"/>
  <c r="K182" i="123"/>
  <c r="L182" i="123"/>
  <c r="M182" i="123"/>
  <c r="N182" i="123"/>
  <c r="O182" i="123"/>
  <c r="P182" i="123"/>
  <c r="Q182" i="123"/>
  <c r="R182" i="123"/>
  <c r="S182" i="123"/>
  <c r="T182" i="123"/>
  <c r="U182" i="123"/>
  <c r="V182" i="123"/>
  <c r="W182" i="123"/>
  <c r="X182" i="123"/>
  <c r="Y182" i="123"/>
  <c r="Z182" i="123"/>
  <c r="AA182" i="123"/>
  <c r="AB182" i="123"/>
  <c r="AC182" i="123"/>
  <c r="AD182" i="123"/>
  <c r="AE182" i="123"/>
  <c r="AF182" i="123"/>
  <c r="AG182" i="123"/>
  <c r="AH182" i="123"/>
  <c r="AI182" i="123"/>
  <c r="AJ182" i="123"/>
  <c r="AK182" i="123"/>
  <c r="AL182" i="123"/>
  <c r="AM182" i="123"/>
  <c r="AN182" i="123"/>
  <c r="AO182" i="123"/>
  <c r="AP182" i="123"/>
  <c r="AQ182" i="123"/>
  <c r="AR182" i="123"/>
  <c r="AS182" i="123"/>
  <c r="AT182" i="123"/>
  <c r="AU182" i="123"/>
  <c r="AV182" i="123"/>
  <c r="AW182" i="123"/>
  <c r="AX182" i="123"/>
  <c r="AY182" i="123"/>
  <c r="AZ182" i="123"/>
  <c r="BA182" i="123"/>
  <c r="BB182" i="123"/>
  <c r="BC182" i="123"/>
  <c r="BD182" i="123"/>
  <c r="BE182" i="123"/>
  <c r="BF182" i="123"/>
  <c r="D183" i="123"/>
  <c r="E183" i="123"/>
  <c r="F183" i="123"/>
  <c r="G183" i="123"/>
  <c r="H183" i="123"/>
  <c r="I183" i="123"/>
  <c r="J183" i="123"/>
  <c r="K183" i="123"/>
  <c r="L183" i="123"/>
  <c r="M183" i="123"/>
  <c r="N183" i="123"/>
  <c r="O183" i="123"/>
  <c r="P183" i="123"/>
  <c r="Q183" i="123"/>
  <c r="R183" i="123"/>
  <c r="S183" i="123"/>
  <c r="T183" i="123"/>
  <c r="U183" i="123"/>
  <c r="V183" i="123"/>
  <c r="W183" i="123"/>
  <c r="X183" i="123"/>
  <c r="Y183" i="123"/>
  <c r="Z183" i="123"/>
  <c r="AA183" i="123"/>
  <c r="AB183" i="123"/>
  <c r="AC183" i="123"/>
  <c r="AD183" i="123"/>
  <c r="AE183" i="123"/>
  <c r="AF183" i="123"/>
  <c r="AG183" i="123"/>
  <c r="AH183" i="123"/>
  <c r="AI183" i="123"/>
  <c r="AJ183" i="123"/>
  <c r="AK183" i="123"/>
  <c r="AL183" i="123"/>
  <c r="AM183" i="123"/>
  <c r="AN183" i="123"/>
  <c r="AO183" i="123"/>
  <c r="AP183" i="123"/>
  <c r="AQ183" i="123"/>
  <c r="AR183" i="123"/>
  <c r="AS183" i="123"/>
  <c r="AT183" i="123"/>
  <c r="AU183" i="123"/>
  <c r="AV183" i="123"/>
  <c r="AW183" i="123"/>
  <c r="AX183" i="123"/>
  <c r="AY183" i="123"/>
  <c r="AZ183" i="123"/>
  <c r="BA183" i="123"/>
  <c r="BB183" i="123"/>
  <c r="BC183" i="123"/>
  <c r="BD183" i="123"/>
  <c r="BE183" i="123"/>
  <c r="BF183" i="123"/>
  <c r="D184" i="123"/>
  <c r="E184" i="123"/>
  <c r="F184" i="123"/>
  <c r="G184" i="123"/>
  <c r="H184" i="123"/>
  <c r="I184" i="123"/>
  <c r="J184" i="123"/>
  <c r="K184" i="123"/>
  <c r="L184" i="123"/>
  <c r="M184" i="123"/>
  <c r="N184" i="123"/>
  <c r="O184" i="123"/>
  <c r="P184" i="123"/>
  <c r="Q184" i="123"/>
  <c r="R184" i="123"/>
  <c r="S184" i="123"/>
  <c r="T184" i="123"/>
  <c r="U184" i="123"/>
  <c r="V184" i="123"/>
  <c r="W184" i="123"/>
  <c r="X184" i="123"/>
  <c r="Y184" i="123"/>
  <c r="Z184" i="123"/>
  <c r="AA184" i="123"/>
  <c r="AB184" i="123"/>
  <c r="AC184" i="123"/>
  <c r="AD184" i="123"/>
  <c r="AE184" i="123"/>
  <c r="AF184" i="123"/>
  <c r="AG184" i="123"/>
  <c r="AH184" i="123"/>
  <c r="AI184" i="123"/>
  <c r="AJ184" i="123"/>
  <c r="AK184" i="123"/>
  <c r="AL184" i="123"/>
  <c r="AM184" i="123"/>
  <c r="AN184" i="123"/>
  <c r="AO184" i="123"/>
  <c r="AP184" i="123"/>
  <c r="AQ184" i="123"/>
  <c r="AR184" i="123"/>
  <c r="AS184" i="123"/>
  <c r="AT184" i="123"/>
  <c r="AU184" i="123"/>
  <c r="AV184" i="123"/>
  <c r="AW184" i="123"/>
  <c r="AX184" i="123"/>
  <c r="AY184" i="123"/>
  <c r="AZ184" i="123"/>
  <c r="BA184" i="123"/>
  <c r="BB184" i="123"/>
  <c r="BC184" i="123"/>
  <c r="BD184" i="123"/>
  <c r="BE184" i="123"/>
  <c r="BF184" i="123"/>
  <c r="D185" i="123"/>
  <c r="E185" i="123"/>
  <c r="F185" i="123"/>
  <c r="G185" i="123"/>
  <c r="H185" i="123"/>
  <c r="I185" i="123"/>
  <c r="J185" i="123"/>
  <c r="K185" i="123"/>
  <c r="L185" i="123"/>
  <c r="M185" i="123"/>
  <c r="N185" i="123"/>
  <c r="O185" i="123"/>
  <c r="P185" i="123"/>
  <c r="Q185" i="123"/>
  <c r="R185" i="123"/>
  <c r="S185" i="123"/>
  <c r="T185" i="123"/>
  <c r="U185" i="123"/>
  <c r="V185" i="123"/>
  <c r="W185" i="123"/>
  <c r="X185" i="123"/>
  <c r="Y185" i="123"/>
  <c r="Z185" i="123"/>
  <c r="AA185" i="123"/>
  <c r="AB185" i="123"/>
  <c r="AC185" i="123"/>
  <c r="AD185" i="123"/>
  <c r="AE185" i="123"/>
  <c r="AF185" i="123"/>
  <c r="AG185" i="123"/>
  <c r="AH185" i="123"/>
  <c r="AI185" i="123"/>
  <c r="AJ185" i="123"/>
  <c r="AK185" i="123"/>
  <c r="AL185" i="123"/>
  <c r="AM185" i="123"/>
  <c r="AN185" i="123"/>
  <c r="AO185" i="123"/>
  <c r="AP185" i="123"/>
  <c r="AQ185" i="123"/>
  <c r="AR185" i="123"/>
  <c r="AS185" i="123"/>
  <c r="AT185" i="123"/>
  <c r="AU185" i="123"/>
  <c r="AV185" i="123"/>
  <c r="AW185" i="123"/>
  <c r="AX185" i="123"/>
  <c r="AY185" i="123"/>
  <c r="AZ185" i="123"/>
  <c r="BA185" i="123"/>
  <c r="BB185" i="123"/>
  <c r="BC185" i="123"/>
  <c r="BD185" i="123"/>
  <c r="BE185" i="123"/>
  <c r="BF185" i="123"/>
  <c r="D186" i="123"/>
  <c r="E186" i="123"/>
  <c r="F186" i="123"/>
  <c r="G186" i="123"/>
  <c r="H186" i="123"/>
  <c r="I186" i="123"/>
  <c r="J186" i="123"/>
  <c r="K186" i="123"/>
  <c r="L186" i="123"/>
  <c r="M186" i="123"/>
  <c r="N186" i="123"/>
  <c r="O186" i="123"/>
  <c r="P186" i="123"/>
  <c r="Q186" i="123"/>
  <c r="R186" i="123"/>
  <c r="S186" i="123"/>
  <c r="T186" i="123"/>
  <c r="U186" i="123"/>
  <c r="V186" i="123"/>
  <c r="W186" i="123"/>
  <c r="X186" i="123"/>
  <c r="Y186" i="123"/>
  <c r="Z186" i="123"/>
  <c r="AA186" i="123"/>
  <c r="AB186" i="123"/>
  <c r="AC186" i="123"/>
  <c r="AD186" i="123"/>
  <c r="AE186" i="123"/>
  <c r="AF186" i="123"/>
  <c r="AG186" i="123"/>
  <c r="AH186" i="123"/>
  <c r="AI186" i="123"/>
  <c r="AJ186" i="123"/>
  <c r="AK186" i="123"/>
  <c r="AL186" i="123"/>
  <c r="AM186" i="123"/>
  <c r="AN186" i="123"/>
  <c r="AO186" i="123"/>
  <c r="AP186" i="123"/>
  <c r="AQ186" i="123"/>
  <c r="AR186" i="123"/>
  <c r="AS186" i="123"/>
  <c r="AT186" i="123"/>
  <c r="AU186" i="123"/>
  <c r="AV186" i="123"/>
  <c r="AW186" i="123"/>
  <c r="AX186" i="123"/>
  <c r="AY186" i="123"/>
  <c r="AZ186" i="123"/>
  <c r="BA186" i="123"/>
  <c r="BB186" i="123"/>
  <c r="BC186" i="123"/>
  <c r="BD186" i="123"/>
  <c r="BE186" i="123"/>
  <c r="BF186" i="123"/>
  <c r="D187" i="123"/>
  <c r="E187" i="123"/>
  <c r="F187" i="123"/>
  <c r="G187" i="123"/>
  <c r="H187" i="123"/>
  <c r="I187" i="123"/>
  <c r="J187" i="123"/>
  <c r="K187" i="123"/>
  <c r="L187" i="123"/>
  <c r="M187" i="123"/>
  <c r="N187" i="123"/>
  <c r="O187" i="123"/>
  <c r="P187" i="123"/>
  <c r="Q187" i="123"/>
  <c r="R187" i="123"/>
  <c r="S187" i="123"/>
  <c r="T187" i="123"/>
  <c r="U187" i="123"/>
  <c r="V187" i="123"/>
  <c r="W187" i="123"/>
  <c r="X187" i="123"/>
  <c r="Y187" i="123"/>
  <c r="Z187" i="123"/>
  <c r="AA187" i="123"/>
  <c r="AB187" i="123"/>
  <c r="AC187" i="123"/>
  <c r="AD187" i="123"/>
  <c r="AE187" i="123"/>
  <c r="AF187" i="123"/>
  <c r="AG187" i="123"/>
  <c r="AH187" i="123"/>
  <c r="AI187" i="123"/>
  <c r="AJ187" i="123"/>
  <c r="AK187" i="123"/>
  <c r="AL187" i="123"/>
  <c r="AM187" i="123"/>
  <c r="AN187" i="123"/>
  <c r="AO187" i="123"/>
  <c r="AP187" i="123"/>
  <c r="AQ187" i="123"/>
  <c r="AR187" i="123"/>
  <c r="AS187" i="123"/>
  <c r="AT187" i="123"/>
  <c r="AU187" i="123"/>
  <c r="AV187" i="123"/>
  <c r="AW187" i="123"/>
  <c r="AX187" i="123"/>
  <c r="AY187" i="123"/>
  <c r="AZ187" i="123"/>
  <c r="BA187" i="123"/>
  <c r="BB187" i="123"/>
  <c r="BC187" i="123"/>
  <c r="BD187" i="123"/>
  <c r="BE187" i="123"/>
  <c r="BF187" i="123"/>
  <c r="D188" i="123"/>
  <c r="E188" i="123"/>
  <c r="F188" i="123"/>
  <c r="G188" i="123"/>
  <c r="H188" i="123"/>
  <c r="I188" i="123"/>
  <c r="J188" i="123"/>
  <c r="K188" i="123"/>
  <c r="L188" i="123"/>
  <c r="M188" i="123"/>
  <c r="N188" i="123"/>
  <c r="O188" i="123"/>
  <c r="P188" i="123"/>
  <c r="Q188" i="123"/>
  <c r="R188" i="123"/>
  <c r="S188" i="123"/>
  <c r="T188" i="123"/>
  <c r="U188" i="123"/>
  <c r="V188" i="123"/>
  <c r="W188" i="123"/>
  <c r="X188" i="123"/>
  <c r="Y188" i="123"/>
  <c r="Z188" i="123"/>
  <c r="AA188" i="123"/>
  <c r="AB188" i="123"/>
  <c r="AC188" i="123"/>
  <c r="AD188" i="123"/>
  <c r="AE188" i="123"/>
  <c r="AF188" i="123"/>
  <c r="AG188" i="123"/>
  <c r="AH188" i="123"/>
  <c r="AI188" i="123"/>
  <c r="AJ188" i="123"/>
  <c r="AK188" i="123"/>
  <c r="AL188" i="123"/>
  <c r="AM188" i="123"/>
  <c r="AN188" i="123"/>
  <c r="AO188" i="123"/>
  <c r="AP188" i="123"/>
  <c r="AQ188" i="123"/>
  <c r="AR188" i="123"/>
  <c r="AS188" i="123"/>
  <c r="AT188" i="123"/>
  <c r="AU188" i="123"/>
  <c r="AV188" i="123"/>
  <c r="AW188" i="123"/>
  <c r="AX188" i="123"/>
  <c r="AY188" i="123"/>
  <c r="AZ188" i="123"/>
  <c r="BA188" i="123"/>
  <c r="BB188" i="123"/>
  <c r="BC188" i="123"/>
  <c r="BD188" i="123"/>
  <c r="BE188" i="123"/>
  <c r="BF188" i="123"/>
  <c r="D189" i="123"/>
  <c r="E189" i="123"/>
  <c r="F189" i="123"/>
  <c r="G189" i="123"/>
  <c r="H189" i="123"/>
  <c r="I189" i="123"/>
  <c r="J189" i="123"/>
  <c r="K189" i="123"/>
  <c r="L189" i="123"/>
  <c r="M189" i="123"/>
  <c r="N189" i="123"/>
  <c r="O189" i="123"/>
  <c r="P189" i="123"/>
  <c r="Q189" i="123"/>
  <c r="R189" i="123"/>
  <c r="S189" i="123"/>
  <c r="T189" i="123"/>
  <c r="U189" i="123"/>
  <c r="V189" i="123"/>
  <c r="W189" i="123"/>
  <c r="X189" i="123"/>
  <c r="Y189" i="123"/>
  <c r="Z189" i="123"/>
  <c r="AA189" i="123"/>
  <c r="AB189" i="123"/>
  <c r="AC189" i="123"/>
  <c r="AD189" i="123"/>
  <c r="AE189" i="123"/>
  <c r="AF189" i="123"/>
  <c r="AG189" i="123"/>
  <c r="AH189" i="123"/>
  <c r="AI189" i="123"/>
  <c r="AJ189" i="123"/>
  <c r="AK189" i="123"/>
  <c r="AL189" i="123"/>
  <c r="AM189" i="123"/>
  <c r="AN189" i="123"/>
  <c r="AO189" i="123"/>
  <c r="AP189" i="123"/>
  <c r="AQ189" i="123"/>
  <c r="AR189" i="123"/>
  <c r="AS189" i="123"/>
  <c r="AT189" i="123"/>
  <c r="AU189" i="123"/>
  <c r="AV189" i="123"/>
  <c r="AW189" i="123"/>
  <c r="AX189" i="123"/>
  <c r="AY189" i="123"/>
  <c r="AZ189" i="123"/>
  <c r="BA189" i="123"/>
  <c r="BB189" i="123"/>
  <c r="BC189" i="123"/>
  <c r="BD189" i="123"/>
  <c r="BE189" i="123"/>
  <c r="BF189" i="123"/>
  <c r="D190" i="123"/>
  <c r="E190" i="123"/>
  <c r="F190" i="123"/>
  <c r="G190" i="123"/>
  <c r="H190" i="123"/>
  <c r="I190" i="123"/>
  <c r="J190" i="123"/>
  <c r="K190" i="123"/>
  <c r="L190" i="123"/>
  <c r="M190" i="123"/>
  <c r="N190" i="123"/>
  <c r="O190" i="123"/>
  <c r="P190" i="123"/>
  <c r="Q190" i="123"/>
  <c r="R190" i="123"/>
  <c r="S190" i="123"/>
  <c r="T190" i="123"/>
  <c r="U190" i="123"/>
  <c r="V190" i="123"/>
  <c r="W190" i="123"/>
  <c r="X190" i="123"/>
  <c r="Y190" i="123"/>
  <c r="Z190" i="123"/>
  <c r="AA190" i="123"/>
  <c r="AB190" i="123"/>
  <c r="AC190" i="123"/>
  <c r="AD190" i="123"/>
  <c r="AE190" i="123"/>
  <c r="AF190" i="123"/>
  <c r="AG190" i="123"/>
  <c r="AH190" i="123"/>
  <c r="AI190" i="123"/>
  <c r="AJ190" i="123"/>
  <c r="AK190" i="123"/>
  <c r="AL190" i="123"/>
  <c r="AM190" i="123"/>
  <c r="AN190" i="123"/>
  <c r="AO190" i="123"/>
  <c r="AP190" i="123"/>
  <c r="AQ190" i="123"/>
  <c r="AR190" i="123"/>
  <c r="AS190" i="123"/>
  <c r="AT190" i="123"/>
  <c r="AU190" i="123"/>
  <c r="AV190" i="123"/>
  <c r="AW190" i="123"/>
  <c r="AX190" i="123"/>
  <c r="AY190" i="123"/>
  <c r="AZ190" i="123"/>
  <c r="BA190" i="123"/>
  <c r="BB190" i="123"/>
  <c r="BC190" i="123"/>
  <c r="BD190" i="123"/>
  <c r="BE190" i="123"/>
  <c r="BF190" i="123"/>
  <c r="D191" i="123"/>
  <c r="E191" i="123"/>
  <c r="F191" i="123"/>
  <c r="G191" i="123"/>
  <c r="H191" i="123"/>
  <c r="I191" i="123"/>
  <c r="J191" i="123"/>
  <c r="K191" i="123"/>
  <c r="L191" i="123"/>
  <c r="M191" i="123"/>
  <c r="N191" i="123"/>
  <c r="O191" i="123"/>
  <c r="P191" i="123"/>
  <c r="Q191" i="123"/>
  <c r="R191" i="123"/>
  <c r="S191" i="123"/>
  <c r="T191" i="123"/>
  <c r="U191" i="123"/>
  <c r="V191" i="123"/>
  <c r="W191" i="123"/>
  <c r="X191" i="123"/>
  <c r="Y191" i="123"/>
  <c r="Z191" i="123"/>
  <c r="AA191" i="123"/>
  <c r="AB191" i="123"/>
  <c r="AC191" i="123"/>
  <c r="AD191" i="123"/>
  <c r="AE191" i="123"/>
  <c r="AF191" i="123"/>
  <c r="AG191" i="123"/>
  <c r="AH191" i="123"/>
  <c r="AI191" i="123"/>
  <c r="AJ191" i="123"/>
  <c r="AK191" i="123"/>
  <c r="AL191" i="123"/>
  <c r="AM191" i="123"/>
  <c r="AN191" i="123"/>
  <c r="AO191" i="123"/>
  <c r="AP191" i="123"/>
  <c r="AQ191" i="123"/>
  <c r="AR191" i="123"/>
  <c r="AS191" i="123"/>
  <c r="AT191" i="123"/>
  <c r="AU191" i="123"/>
  <c r="AV191" i="123"/>
  <c r="AW191" i="123"/>
  <c r="AX191" i="123"/>
  <c r="AY191" i="123"/>
  <c r="AZ191" i="123"/>
  <c r="BA191" i="123"/>
  <c r="BB191" i="123"/>
  <c r="BC191" i="123"/>
  <c r="BD191" i="123"/>
  <c r="BE191" i="123"/>
  <c r="BF191" i="123"/>
  <c r="D192" i="123"/>
  <c r="E192" i="123"/>
  <c r="F192" i="123"/>
  <c r="G192" i="123"/>
  <c r="H192" i="123"/>
  <c r="I192" i="123"/>
  <c r="J192" i="123"/>
  <c r="K192" i="123"/>
  <c r="L192" i="123"/>
  <c r="M192" i="123"/>
  <c r="N192" i="123"/>
  <c r="O192" i="123"/>
  <c r="P192" i="123"/>
  <c r="Q192" i="123"/>
  <c r="R192" i="123"/>
  <c r="S192" i="123"/>
  <c r="T192" i="123"/>
  <c r="U192" i="123"/>
  <c r="V192" i="123"/>
  <c r="W192" i="123"/>
  <c r="X192" i="123"/>
  <c r="Y192" i="123"/>
  <c r="Z192" i="123"/>
  <c r="AA192" i="123"/>
  <c r="AB192" i="123"/>
  <c r="AC192" i="123"/>
  <c r="AD192" i="123"/>
  <c r="AE192" i="123"/>
  <c r="AF192" i="123"/>
  <c r="AG192" i="123"/>
  <c r="AH192" i="123"/>
  <c r="AI192" i="123"/>
  <c r="AJ192" i="123"/>
  <c r="AK192" i="123"/>
  <c r="AL192" i="123"/>
  <c r="AM192" i="123"/>
  <c r="AN192" i="123"/>
  <c r="AO192" i="123"/>
  <c r="AP192" i="123"/>
  <c r="AQ192" i="123"/>
  <c r="AR192" i="123"/>
  <c r="AS192" i="123"/>
  <c r="AT192" i="123"/>
  <c r="AU192" i="123"/>
  <c r="AV192" i="123"/>
  <c r="AW192" i="123"/>
  <c r="AX192" i="123"/>
  <c r="AY192" i="123"/>
  <c r="AZ192" i="123"/>
  <c r="BA192" i="123"/>
  <c r="BB192" i="123"/>
  <c r="BC192" i="123"/>
  <c r="BD192" i="123"/>
  <c r="BE192" i="123"/>
  <c r="BF192" i="123"/>
  <c r="D193" i="123"/>
  <c r="E193" i="123"/>
  <c r="F193" i="123"/>
  <c r="G193" i="123"/>
  <c r="H193" i="123"/>
  <c r="I193" i="123"/>
  <c r="J193" i="123"/>
  <c r="K193" i="123"/>
  <c r="L193" i="123"/>
  <c r="M193" i="123"/>
  <c r="N193" i="123"/>
  <c r="O193" i="123"/>
  <c r="P193" i="123"/>
  <c r="Q193" i="123"/>
  <c r="R193" i="123"/>
  <c r="S193" i="123"/>
  <c r="T193" i="123"/>
  <c r="U193" i="123"/>
  <c r="V193" i="123"/>
  <c r="W193" i="123"/>
  <c r="X193" i="123"/>
  <c r="Y193" i="123"/>
  <c r="Z193" i="123"/>
  <c r="AA193" i="123"/>
  <c r="AB193" i="123"/>
  <c r="AC193" i="123"/>
  <c r="AD193" i="123"/>
  <c r="AE193" i="123"/>
  <c r="AF193" i="123"/>
  <c r="AG193" i="123"/>
  <c r="AH193" i="123"/>
  <c r="AI193" i="123"/>
  <c r="AJ193" i="123"/>
  <c r="AK193" i="123"/>
  <c r="AL193" i="123"/>
  <c r="AM193" i="123"/>
  <c r="AN193" i="123"/>
  <c r="AO193" i="123"/>
  <c r="AP193" i="123"/>
  <c r="AQ193" i="123"/>
  <c r="AR193" i="123"/>
  <c r="AS193" i="123"/>
  <c r="AT193" i="123"/>
  <c r="AU193" i="123"/>
  <c r="AV193" i="123"/>
  <c r="AW193" i="123"/>
  <c r="AX193" i="123"/>
  <c r="AY193" i="123"/>
  <c r="AZ193" i="123"/>
  <c r="BA193" i="123"/>
  <c r="BB193" i="123"/>
  <c r="BC193" i="123"/>
  <c r="BD193" i="123"/>
  <c r="BE193" i="123"/>
  <c r="BF193" i="123"/>
  <c r="D194" i="123"/>
  <c r="E194" i="123"/>
  <c r="F194" i="123"/>
  <c r="G194" i="123"/>
  <c r="H194" i="123"/>
  <c r="I194" i="123"/>
  <c r="J194" i="123"/>
  <c r="K194" i="123"/>
  <c r="L194" i="123"/>
  <c r="M194" i="123"/>
  <c r="N194" i="123"/>
  <c r="O194" i="123"/>
  <c r="P194" i="123"/>
  <c r="Q194" i="123"/>
  <c r="R194" i="123"/>
  <c r="S194" i="123"/>
  <c r="T194" i="123"/>
  <c r="U194" i="123"/>
  <c r="V194" i="123"/>
  <c r="W194" i="123"/>
  <c r="X194" i="123"/>
  <c r="Y194" i="123"/>
  <c r="Z194" i="123"/>
  <c r="AA194" i="123"/>
  <c r="AB194" i="123"/>
  <c r="AC194" i="123"/>
  <c r="AD194" i="123"/>
  <c r="AE194" i="123"/>
  <c r="AF194" i="123"/>
  <c r="AG194" i="123"/>
  <c r="AH194" i="123"/>
  <c r="AI194" i="123"/>
  <c r="AJ194" i="123"/>
  <c r="AK194" i="123"/>
  <c r="AL194" i="123"/>
  <c r="AM194" i="123"/>
  <c r="AN194" i="123"/>
  <c r="AO194" i="123"/>
  <c r="AP194" i="123"/>
  <c r="AQ194" i="123"/>
  <c r="AR194" i="123"/>
  <c r="AS194" i="123"/>
  <c r="AT194" i="123"/>
  <c r="AU194" i="123"/>
  <c r="AV194" i="123"/>
  <c r="AW194" i="123"/>
  <c r="AX194" i="123"/>
  <c r="AY194" i="123"/>
  <c r="AZ194" i="123"/>
  <c r="BA194" i="123"/>
  <c r="BB194" i="123"/>
  <c r="BC194" i="123"/>
  <c r="BD194" i="123"/>
  <c r="BE194" i="123"/>
  <c r="BF194" i="123"/>
  <c r="D195" i="123"/>
  <c r="E195" i="123"/>
  <c r="F195" i="123"/>
  <c r="G195" i="123"/>
  <c r="H195" i="123"/>
  <c r="I195" i="123"/>
  <c r="J195" i="123"/>
  <c r="K195" i="123"/>
  <c r="L195" i="123"/>
  <c r="M195" i="123"/>
  <c r="N195" i="123"/>
  <c r="O195" i="123"/>
  <c r="P195" i="123"/>
  <c r="Q195" i="123"/>
  <c r="R195" i="123"/>
  <c r="S195" i="123"/>
  <c r="T195" i="123"/>
  <c r="U195" i="123"/>
  <c r="V195" i="123"/>
  <c r="W195" i="123"/>
  <c r="X195" i="123"/>
  <c r="Y195" i="123"/>
  <c r="Z195" i="123"/>
  <c r="AA195" i="123"/>
  <c r="AB195" i="123"/>
  <c r="AC195" i="123"/>
  <c r="AD195" i="123"/>
  <c r="AE195" i="123"/>
  <c r="AF195" i="123"/>
  <c r="AG195" i="123"/>
  <c r="AH195" i="123"/>
  <c r="AI195" i="123"/>
  <c r="AJ195" i="123"/>
  <c r="AK195" i="123"/>
  <c r="AL195" i="123"/>
  <c r="AM195" i="123"/>
  <c r="AN195" i="123"/>
  <c r="AO195" i="123"/>
  <c r="AP195" i="123"/>
  <c r="AQ195" i="123"/>
  <c r="AR195" i="123"/>
  <c r="AS195" i="123"/>
  <c r="AT195" i="123"/>
  <c r="AU195" i="123"/>
  <c r="AV195" i="123"/>
  <c r="AW195" i="123"/>
  <c r="AX195" i="123"/>
  <c r="AY195" i="123"/>
  <c r="AZ195" i="123"/>
  <c r="BA195" i="123"/>
  <c r="BB195" i="123"/>
  <c r="BC195" i="123"/>
  <c r="BD195" i="123"/>
  <c r="BE195" i="123"/>
  <c r="BF195" i="123"/>
  <c r="D196" i="123"/>
  <c r="E196" i="123"/>
  <c r="F196" i="123"/>
  <c r="G196" i="123"/>
  <c r="H196" i="123"/>
  <c r="I196" i="123"/>
  <c r="J196" i="123"/>
  <c r="K196" i="123"/>
  <c r="L196" i="123"/>
  <c r="M196" i="123"/>
  <c r="N196" i="123"/>
  <c r="O196" i="123"/>
  <c r="P196" i="123"/>
  <c r="Q196" i="123"/>
  <c r="R196" i="123"/>
  <c r="S196" i="123"/>
  <c r="T196" i="123"/>
  <c r="U196" i="123"/>
  <c r="V196" i="123"/>
  <c r="W196" i="123"/>
  <c r="X196" i="123"/>
  <c r="Y196" i="123"/>
  <c r="Z196" i="123"/>
  <c r="AA196" i="123"/>
  <c r="AB196" i="123"/>
  <c r="AC196" i="123"/>
  <c r="AD196" i="123"/>
  <c r="AE196" i="123"/>
  <c r="AF196" i="123"/>
  <c r="AG196" i="123"/>
  <c r="AH196" i="123"/>
  <c r="AI196" i="123"/>
  <c r="AJ196" i="123"/>
  <c r="AK196" i="123"/>
  <c r="AL196" i="123"/>
  <c r="AM196" i="123"/>
  <c r="AN196" i="123"/>
  <c r="AO196" i="123"/>
  <c r="AP196" i="123"/>
  <c r="AQ196" i="123"/>
  <c r="AR196" i="123"/>
  <c r="AS196" i="123"/>
  <c r="AT196" i="123"/>
  <c r="AU196" i="123"/>
  <c r="AV196" i="123"/>
  <c r="AW196" i="123"/>
  <c r="AX196" i="123"/>
  <c r="AY196" i="123"/>
  <c r="AZ196" i="123"/>
  <c r="BA196" i="123"/>
  <c r="BB196" i="123"/>
  <c r="BC196" i="123"/>
  <c r="BD196" i="123"/>
  <c r="BE196" i="123"/>
  <c r="BF196" i="123"/>
  <c r="D197" i="123"/>
  <c r="E197" i="123"/>
  <c r="F197" i="123"/>
  <c r="G197" i="123"/>
  <c r="H197" i="123"/>
  <c r="I197" i="123"/>
  <c r="J197" i="123"/>
  <c r="K197" i="123"/>
  <c r="L197" i="123"/>
  <c r="M197" i="123"/>
  <c r="N197" i="123"/>
  <c r="O197" i="123"/>
  <c r="P197" i="123"/>
  <c r="Q197" i="123"/>
  <c r="R197" i="123"/>
  <c r="S197" i="123"/>
  <c r="T197" i="123"/>
  <c r="U197" i="123"/>
  <c r="V197" i="123"/>
  <c r="W197" i="123"/>
  <c r="X197" i="123"/>
  <c r="Y197" i="123"/>
  <c r="Z197" i="123"/>
  <c r="AA197" i="123"/>
  <c r="AB197" i="123"/>
  <c r="AC197" i="123"/>
  <c r="AD197" i="123"/>
  <c r="AE197" i="123"/>
  <c r="AF197" i="123"/>
  <c r="AG197" i="123"/>
  <c r="AH197" i="123"/>
  <c r="AI197" i="123"/>
  <c r="AJ197" i="123"/>
  <c r="AK197" i="123"/>
  <c r="AL197" i="123"/>
  <c r="AM197" i="123"/>
  <c r="AN197" i="123"/>
  <c r="AO197" i="123"/>
  <c r="AP197" i="123"/>
  <c r="AQ197" i="123"/>
  <c r="AR197" i="123"/>
  <c r="AS197" i="123"/>
  <c r="AT197" i="123"/>
  <c r="AU197" i="123"/>
  <c r="AV197" i="123"/>
  <c r="AW197" i="123"/>
  <c r="AX197" i="123"/>
  <c r="AY197" i="123"/>
  <c r="AZ197" i="123"/>
  <c r="BA197" i="123"/>
  <c r="BB197" i="123"/>
  <c r="BC197" i="123"/>
  <c r="BD197" i="123"/>
  <c r="BE197" i="123"/>
  <c r="BF197" i="123"/>
  <c r="D198" i="123"/>
  <c r="E198" i="123"/>
  <c r="F198" i="123"/>
  <c r="G198" i="123"/>
  <c r="H198" i="123"/>
  <c r="I198" i="123"/>
  <c r="J198" i="123"/>
  <c r="K198" i="123"/>
  <c r="L198" i="123"/>
  <c r="M198" i="123"/>
  <c r="N198" i="123"/>
  <c r="O198" i="123"/>
  <c r="P198" i="123"/>
  <c r="Q198" i="123"/>
  <c r="R198" i="123"/>
  <c r="S198" i="123"/>
  <c r="T198" i="123"/>
  <c r="U198" i="123"/>
  <c r="V198" i="123"/>
  <c r="W198" i="123"/>
  <c r="X198" i="123"/>
  <c r="Y198" i="123"/>
  <c r="Z198" i="123"/>
  <c r="AA198" i="123"/>
  <c r="AB198" i="123"/>
  <c r="AC198" i="123"/>
  <c r="AD198" i="123"/>
  <c r="AE198" i="123"/>
  <c r="AF198" i="123"/>
  <c r="AG198" i="123"/>
  <c r="AH198" i="123"/>
  <c r="AI198" i="123"/>
  <c r="AJ198" i="123"/>
  <c r="AK198" i="123"/>
  <c r="AL198" i="123"/>
  <c r="AM198" i="123"/>
  <c r="AN198" i="123"/>
  <c r="AO198" i="123"/>
  <c r="AP198" i="123"/>
  <c r="AQ198" i="123"/>
  <c r="AR198" i="123"/>
  <c r="AS198" i="123"/>
  <c r="AT198" i="123"/>
  <c r="AU198" i="123"/>
  <c r="AV198" i="123"/>
  <c r="AW198" i="123"/>
  <c r="AX198" i="123"/>
  <c r="AY198" i="123"/>
  <c r="AZ198" i="123"/>
  <c r="BA198" i="123"/>
  <c r="BB198" i="123"/>
  <c r="BC198" i="123"/>
  <c r="BD198" i="123"/>
  <c r="BE198" i="123"/>
  <c r="BF198" i="123"/>
  <c r="D199" i="123"/>
  <c r="E199" i="123"/>
  <c r="F199" i="123"/>
  <c r="G199" i="123"/>
  <c r="H199" i="123"/>
  <c r="I199" i="123"/>
  <c r="J199" i="123"/>
  <c r="K199" i="123"/>
  <c r="L199" i="123"/>
  <c r="M199" i="123"/>
  <c r="N199" i="123"/>
  <c r="O199" i="123"/>
  <c r="P199" i="123"/>
  <c r="Q199" i="123"/>
  <c r="R199" i="123"/>
  <c r="S199" i="123"/>
  <c r="T199" i="123"/>
  <c r="U199" i="123"/>
  <c r="V199" i="123"/>
  <c r="W199" i="123"/>
  <c r="X199" i="123"/>
  <c r="Y199" i="123"/>
  <c r="Z199" i="123"/>
  <c r="AA199" i="123"/>
  <c r="AB199" i="123"/>
  <c r="AC199" i="123"/>
  <c r="AD199" i="123"/>
  <c r="AE199" i="123"/>
  <c r="AF199" i="123"/>
  <c r="AG199" i="123"/>
  <c r="AH199" i="123"/>
  <c r="AI199" i="123"/>
  <c r="AJ199" i="123"/>
  <c r="AK199" i="123"/>
  <c r="AL199" i="123"/>
  <c r="AM199" i="123"/>
  <c r="AN199" i="123"/>
  <c r="AO199" i="123"/>
  <c r="AP199" i="123"/>
  <c r="AQ199" i="123"/>
  <c r="AR199" i="123"/>
  <c r="AS199" i="123"/>
  <c r="AT199" i="123"/>
  <c r="AU199" i="123"/>
  <c r="AV199" i="123"/>
  <c r="AW199" i="123"/>
  <c r="AX199" i="123"/>
  <c r="AY199" i="123"/>
  <c r="AZ199" i="123"/>
  <c r="BA199" i="123"/>
  <c r="BB199" i="123"/>
  <c r="BC199" i="123"/>
  <c r="BD199" i="123"/>
  <c r="BE199" i="123"/>
  <c r="BF199" i="123"/>
  <c r="C172" i="123"/>
  <c r="C173" i="123"/>
  <c r="C174" i="123"/>
  <c r="C175" i="123"/>
  <c r="C176" i="123"/>
  <c r="C177" i="123"/>
  <c r="C178" i="123"/>
  <c r="C179" i="123"/>
  <c r="C180" i="123"/>
  <c r="C181" i="123"/>
  <c r="C182" i="123"/>
  <c r="C183" i="123"/>
  <c r="C184" i="123"/>
  <c r="C185" i="123"/>
  <c r="C186" i="123"/>
  <c r="C187" i="123"/>
  <c r="C188" i="123"/>
  <c r="C189" i="123"/>
  <c r="C190" i="123"/>
  <c r="C191" i="123"/>
  <c r="C192" i="123"/>
  <c r="C193" i="123"/>
  <c r="C194" i="123"/>
  <c r="C195" i="123"/>
  <c r="C196" i="123"/>
  <c r="C197" i="123"/>
  <c r="C198" i="123"/>
  <c r="C199" i="123"/>
  <c r="C171" i="123"/>
  <c r="D138" i="123"/>
  <c r="E138" i="123"/>
  <c r="F138" i="123"/>
  <c r="G138" i="123"/>
  <c r="H138" i="123"/>
  <c r="I138" i="123"/>
  <c r="J138" i="123"/>
  <c r="K138" i="123"/>
  <c r="L138" i="123"/>
  <c r="M138" i="123"/>
  <c r="N138" i="123"/>
  <c r="O138" i="123"/>
  <c r="P138" i="123"/>
  <c r="Q138" i="123"/>
  <c r="R138" i="123"/>
  <c r="S138" i="123"/>
  <c r="T138" i="123"/>
  <c r="U138" i="123"/>
  <c r="V138" i="123"/>
  <c r="W138" i="123"/>
  <c r="X138" i="123"/>
  <c r="Y138" i="123"/>
  <c r="Z138" i="123"/>
  <c r="AA138" i="123"/>
  <c r="AB138" i="123"/>
  <c r="AC138" i="123"/>
  <c r="AD138" i="123"/>
  <c r="AE138" i="123"/>
  <c r="AF138" i="123"/>
  <c r="AG138" i="123"/>
  <c r="AH138" i="123"/>
  <c r="AI138" i="123"/>
  <c r="AJ138" i="123"/>
  <c r="AK138" i="123"/>
  <c r="AL138" i="123"/>
  <c r="AM138" i="123"/>
  <c r="AN138" i="123"/>
  <c r="AO138" i="123"/>
  <c r="AP138" i="123"/>
  <c r="AQ138" i="123"/>
  <c r="AR138" i="123"/>
  <c r="AS138" i="123"/>
  <c r="AT138" i="123"/>
  <c r="AU138" i="123"/>
  <c r="AV138" i="123"/>
  <c r="AW138" i="123"/>
  <c r="AX138" i="123"/>
  <c r="AY138" i="123"/>
  <c r="AZ138" i="123"/>
  <c r="BA138" i="123"/>
  <c r="BB138" i="123"/>
  <c r="BC138" i="123"/>
  <c r="BD138" i="123"/>
  <c r="BE138" i="123"/>
  <c r="BF138" i="123"/>
  <c r="D139" i="123"/>
  <c r="E139" i="123"/>
  <c r="F139" i="123"/>
  <c r="G139" i="123"/>
  <c r="H139" i="123"/>
  <c r="I139" i="123"/>
  <c r="J139" i="123"/>
  <c r="K139" i="123"/>
  <c r="L139" i="123"/>
  <c r="M139" i="123"/>
  <c r="N139" i="123"/>
  <c r="O139" i="123"/>
  <c r="P139" i="123"/>
  <c r="Q139" i="123"/>
  <c r="R139" i="123"/>
  <c r="S139" i="123"/>
  <c r="T139" i="123"/>
  <c r="U139" i="123"/>
  <c r="V139" i="123"/>
  <c r="W139" i="123"/>
  <c r="X139" i="123"/>
  <c r="Y139" i="123"/>
  <c r="Z139" i="123"/>
  <c r="AA139" i="123"/>
  <c r="AB139" i="123"/>
  <c r="AC139" i="123"/>
  <c r="AD139" i="123"/>
  <c r="AE139" i="123"/>
  <c r="AF139" i="123"/>
  <c r="AG139" i="123"/>
  <c r="AH139" i="123"/>
  <c r="AI139" i="123"/>
  <c r="AJ139" i="123"/>
  <c r="AK139" i="123"/>
  <c r="AL139" i="123"/>
  <c r="AM139" i="123"/>
  <c r="AN139" i="123"/>
  <c r="AO139" i="123"/>
  <c r="AP139" i="123"/>
  <c r="AQ139" i="123"/>
  <c r="AR139" i="123"/>
  <c r="AS139" i="123"/>
  <c r="AT139" i="123"/>
  <c r="AU139" i="123"/>
  <c r="AV139" i="123"/>
  <c r="AW139" i="123"/>
  <c r="AX139" i="123"/>
  <c r="AY139" i="123"/>
  <c r="AZ139" i="123"/>
  <c r="BA139" i="123"/>
  <c r="BB139" i="123"/>
  <c r="BC139" i="123"/>
  <c r="BD139" i="123"/>
  <c r="BE139" i="123"/>
  <c r="BF139" i="123"/>
  <c r="D140" i="123"/>
  <c r="E140" i="123"/>
  <c r="F140" i="123"/>
  <c r="G140" i="123"/>
  <c r="H140" i="123"/>
  <c r="I140" i="123"/>
  <c r="J140" i="123"/>
  <c r="K140" i="123"/>
  <c r="L140" i="123"/>
  <c r="M140" i="123"/>
  <c r="N140" i="123"/>
  <c r="O140" i="123"/>
  <c r="P140" i="123"/>
  <c r="Q140" i="123"/>
  <c r="R140" i="123"/>
  <c r="S140" i="123"/>
  <c r="T140" i="123"/>
  <c r="U140" i="123"/>
  <c r="V140" i="123"/>
  <c r="W140" i="123"/>
  <c r="X140" i="123"/>
  <c r="Y140" i="123"/>
  <c r="Z140" i="123"/>
  <c r="AA140" i="123"/>
  <c r="AB140" i="123"/>
  <c r="AC140" i="123"/>
  <c r="AD140" i="123"/>
  <c r="AE140" i="123"/>
  <c r="AF140" i="123"/>
  <c r="AG140" i="123"/>
  <c r="AH140" i="123"/>
  <c r="AI140" i="123"/>
  <c r="AJ140" i="123"/>
  <c r="AK140" i="123"/>
  <c r="AL140" i="123"/>
  <c r="AM140" i="123"/>
  <c r="AN140" i="123"/>
  <c r="AO140" i="123"/>
  <c r="AP140" i="123"/>
  <c r="AQ140" i="123"/>
  <c r="AR140" i="123"/>
  <c r="AS140" i="123"/>
  <c r="AT140" i="123"/>
  <c r="AU140" i="123"/>
  <c r="AV140" i="123"/>
  <c r="AW140" i="123"/>
  <c r="AX140" i="123"/>
  <c r="AY140" i="123"/>
  <c r="AZ140" i="123"/>
  <c r="BA140" i="123"/>
  <c r="BB140" i="123"/>
  <c r="BC140" i="123"/>
  <c r="BD140" i="123"/>
  <c r="BE140" i="123"/>
  <c r="BF140" i="123"/>
  <c r="D141" i="123"/>
  <c r="E141" i="123"/>
  <c r="F141" i="123"/>
  <c r="G141" i="123"/>
  <c r="H141" i="123"/>
  <c r="I141" i="123"/>
  <c r="J141" i="123"/>
  <c r="K141" i="123"/>
  <c r="L141" i="123"/>
  <c r="M141" i="123"/>
  <c r="N141" i="123"/>
  <c r="O141" i="123"/>
  <c r="P141" i="123"/>
  <c r="Q141" i="123"/>
  <c r="R141" i="123"/>
  <c r="S141" i="123"/>
  <c r="T141" i="123"/>
  <c r="U141" i="123"/>
  <c r="V141" i="123"/>
  <c r="W141" i="123"/>
  <c r="X141" i="123"/>
  <c r="Y141" i="123"/>
  <c r="Z141" i="123"/>
  <c r="AA141" i="123"/>
  <c r="AB141" i="123"/>
  <c r="AC141" i="123"/>
  <c r="AD141" i="123"/>
  <c r="AE141" i="123"/>
  <c r="AF141" i="123"/>
  <c r="AG141" i="123"/>
  <c r="AH141" i="123"/>
  <c r="AI141" i="123"/>
  <c r="AJ141" i="123"/>
  <c r="AK141" i="123"/>
  <c r="AL141" i="123"/>
  <c r="AM141" i="123"/>
  <c r="AN141" i="123"/>
  <c r="AO141" i="123"/>
  <c r="AP141" i="123"/>
  <c r="AQ141" i="123"/>
  <c r="AR141" i="123"/>
  <c r="AS141" i="123"/>
  <c r="AT141" i="123"/>
  <c r="AU141" i="123"/>
  <c r="AV141" i="123"/>
  <c r="AW141" i="123"/>
  <c r="AX141" i="123"/>
  <c r="AY141" i="123"/>
  <c r="AZ141" i="123"/>
  <c r="BA141" i="123"/>
  <c r="BB141" i="123"/>
  <c r="BC141" i="123"/>
  <c r="BD141" i="123"/>
  <c r="BE141" i="123"/>
  <c r="BF141" i="123"/>
  <c r="D142" i="123"/>
  <c r="E142" i="123"/>
  <c r="F142" i="123"/>
  <c r="G142" i="123"/>
  <c r="H142" i="123"/>
  <c r="I142" i="123"/>
  <c r="J142" i="123"/>
  <c r="K142" i="123"/>
  <c r="L142" i="123"/>
  <c r="M142" i="123"/>
  <c r="N142" i="123"/>
  <c r="O142" i="123"/>
  <c r="P142" i="123"/>
  <c r="Q142" i="123"/>
  <c r="R142" i="123"/>
  <c r="S142" i="123"/>
  <c r="T142" i="123"/>
  <c r="U142" i="123"/>
  <c r="V142" i="123"/>
  <c r="W142" i="123"/>
  <c r="X142" i="123"/>
  <c r="Y142" i="123"/>
  <c r="Z142" i="123"/>
  <c r="AA142" i="123"/>
  <c r="AB142" i="123"/>
  <c r="AC142" i="123"/>
  <c r="AD142" i="123"/>
  <c r="AE142" i="123"/>
  <c r="AF142" i="123"/>
  <c r="AG142" i="123"/>
  <c r="AH142" i="123"/>
  <c r="AI142" i="123"/>
  <c r="AJ142" i="123"/>
  <c r="AK142" i="123"/>
  <c r="AL142" i="123"/>
  <c r="AM142" i="123"/>
  <c r="AN142" i="123"/>
  <c r="AO142" i="123"/>
  <c r="AP142" i="123"/>
  <c r="AQ142" i="123"/>
  <c r="AR142" i="123"/>
  <c r="AS142" i="123"/>
  <c r="AT142" i="123"/>
  <c r="AU142" i="123"/>
  <c r="AV142" i="123"/>
  <c r="AW142" i="123"/>
  <c r="AX142" i="123"/>
  <c r="AY142" i="123"/>
  <c r="AZ142" i="123"/>
  <c r="BA142" i="123"/>
  <c r="BB142" i="123"/>
  <c r="BC142" i="123"/>
  <c r="BD142" i="123"/>
  <c r="BE142" i="123"/>
  <c r="BF142" i="123"/>
  <c r="D143" i="123"/>
  <c r="E143" i="123"/>
  <c r="F143" i="123"/>
  <c r="G143" i="123"/>
  <c r="H143" i="123"/>
  <c r="I143" i="123"/>
  <c r="J143" i="123"/>
  <c r="K143" i="123"/>
  <c r="L143" i="123"/>
  <c r="M143" i="123"/>
  <c r="N143" i="123"/>
  <c r="O143" i="123"/>
  <c r="P143" i="123"/>
  <c r="Q143" i="123"/>
  <c r="R143" i="123"/>
  <c r="S143" i="123"/>
  <c r="T143" i="123"/>
  <c r="U143" i="123"/>
  <c r="V143" i="123"/>
  <c r="W143" i="123"/>
  <c r="X143" i="123"/>
  <c r="Y143" i="123"/>
  <c r="Z143" i="123"/>
  <c r="AA143" i="123"/>
  <c r="AB143" i="123"/>
  <c r="AC143" i="123"/>
  <c r="AD143" i="123"/>
  <c r="AE143" i="123"/>
  <c r="AF143" i="123"/>
  <c r="AG143" i="123"/>
  <c r="AH143" i="123"/>
  <c r="AI143" i="123"/>
  <c r="AJ143" i="123"/>
  <c r="AK143" i="123"/>
  <c r="AL143" i="123"/>
  <c r="AM143" i="123"/>
  <c r="AN143" i="123"/>
  <c r="AO143" i="123"/>
  <c r="AP143" i="123"/>
  <c r="AQ143" i="123"/>
  <c r="AR143" i="123"/>
  <c r="AS143" i="123"/>
  <c r="AT143" i="123"/>
  <c r="AU143" i="123"/>
  <c r="AV143" i="123"/>
  <c r="AW143" i="123"/>
  <c r="AX143" i="123"/>
  <c r="AY143" i="123"/>
  <c r="AZ143" i="123"/>
  <c r="BA143" i="123"/>
  <c r="BB143" i="123"/>
  <c r="BC143" i="123"/>
  <c r="BD143" i="123"/>
  <c r="BE143" i="123"/>
  <c r="BF143" i="123"/>
  <c r="D144" i="123"/>
  <c r="E144" i="123"/>
  <c r="F144" i="123"/>
  <c r="G144" i="123"/>
  <c r="H144" i="123"/>
  <c r="I144" i="123"/>
  <c r="J144" i="123"/>
  <c r="K144" i="123"/>
  <c r="L144" i="123"/>
  <c r="M144" i="123"/>
  <c r="N144" i="123"/>
  <c r="O144" i="123"/>
  <c r="P144" i="123"/>
  <c r="Q144" i="123"/>
  <c r="R144" i="123"/>
  <c r="S144" i="123"/>
  <c r="T144" i="123"/>
  <c r="U144" i="123"/>
  <c r="V144" i="123"/>
  <c r="W144" i="123"/>
  <c r="X144" i="123"/>
  <c r="Y144" i="123"/>
  <c r="Z144" i="123"/>
  <c r="AA144" i="123"/>
  <c r="AB144" i="123"/>
  <c r="AC144" i="123"/>
  <c r="AD144" i="123"/>
  <c r="AE144" i="123"/>
  <c r="AF144" i="123"/>
  <c r="AG144" i="123"/>
  <c r="AH144" i="123"/>
  <c r="AI144" i="123"/>
  <c r="AJ144" i="123"/>
  <c r="AK144" i="123"/>
  <c r="AL144" i="123"/>
  <c r="AM144" i="123"/>
  <c r="AN144" i="123"/>
  <c r="AO144" i="123"/>
  <c r="AP144" i="123"/>
  <c r="AQ144" i="123"/>
  <c r="AR144" i="123"/>
  <c r="AS144" i="123"/>
  <c r="AT144" i="123"/>
  <c r="AU144" i="123"/>
  <c r="AV144" i="123"/>
  <c r="AW144" i="123"/>
  <c r="AX144" i="123"/>
  <c r="AY144" i="123"/>
  <c r="AZ144" i="123"/>
  <c r="BA144" i="123"/>
  <c r="BB144" i="123"/>
  <c r="BC144" i="123"/>
  <c r="BD144" i="123"/>
  <c r="BE144" i="123"/>
  <c r="BF144" i="123"/>
  <c r="D145" i="123"/>
  <c r="E145" i="123"/>
  <c r="F145" i="123"/>
  <c r="G145" i="123"/>
  <c r="H145" i="123"/>
  <c r="I145" i="123"/>
  <c r="J145" i="123"/>
  <c r="K145" i="123"/>
  <c r="L145" i="123"/>
  <c r="M145" i="123"/>
  <c r="N145" i="123"/>
  <c r="O145" i="123"/>
  <c r="P145" i="123"/>
  <c r="Q145" i="123"/>
  <c r="R145" i="123"/>
  <c r="S145" i="123"/>
  <c r="T145" i="123"/>
  <c r="U145" i="123"/>
  <c r="V145" i="123"/>
  <c r="W145" i="123"/>
  <c r="X145" i="123"/>
  <c r="Y145" i="123"/>
  <c r="Z145" i="123"/>
  <c r="AA145" i="123"/>
  <c r="AB145" i="123"/>
  <c r="AC145" i="123"/>
  <c r="AD145" i="123"/>
  <c r="AE145" i="123"/>
  <c r="AF145" i="123"/>
  <c r="AG145" i="123"/>
  <c r="AH145" i="123"/>
  <c r="AI145" i="123"/>
  <c r="AJ145" i="123"/>
  <c r="AK145" i="123"/>
  <c r="AL145" i="123"/>
  <c r="AM145" i="123"/>
  <c r="AN145" i="123"/>
  <c r="AO145" i="123"/>
  <c r="AP145" i="123"/>
  <c r="AQ145" i="123"/>
  <c r="AR145" i="123"/>
  <c r="AS145" i="123"/>
  <c r="AT145" i="123"/>
  <c r="AU145" i="123"/>
  <c r="AV145" i="123"/>
  <c r="AW145" i="123"/>
  <c r="AX145" i="123"/>
  <c r="AY145" i="123"/>
  <c r="AZ145" i="123"/>
  <c r="BA145" i="123"/>
  <c r="BB145" i="123"/>
  <c r="BC145" i="123"/>
  <c r="BD145" i="123"/>
  <c r="BE145" i="123"/>
  <c r="BF145" i="123"/>
  <c r="D146" i="123"/>
  <c r="E146" i="123"/>
  <c r="F146" i="123"/>
  <c r="G146" i="123"/>
  <c r="H146" i="123"/>
  <c r="I146" i="123"/>
  <c r="J146" i="123"/>
  <c r="K146" i="123"/>
  <c r="L146" i="123"/>
  <c r="M146" i="123"/>
  <c r="N146" i="123"/>
  <c r="O146" i="123"/>
  <c r="P146" i="123"/>
  <c r="Q146" i="123"/>
  <c r="R146" i="123"/>
  <c r="S146" i="123"/>
  <c r="T146" i="123"/>
  <c r="U146" i="123"/>
  <c r="V146" i="123"/>
  <c r="W146" i="123"/>
  <c r="X146" i="123"/>
  <c r="Y146" i="123"/>
  <c r="Z146" i="123"/>
  <c r="AA146" i="123"/>
  <c r="AB146" i="123"/>
  <c r="AC146" i="123"/>
  <c r="AD146" i="123"/>
  <c r="AE146" i="123"/>
  <c r="AF146" i="123"/>
  <c r="AG146" i="123"/>
  <c r="AH146" i="123"/>
  <c r="AI146" i="123"/>
  <c r="AJ146" i="123"/>
  <c r="AK146" i="123"/>
  <c r="AL146" i="123"/>
  <c r="AM146" i="123"/>
  <c r="AN146" i="123"/>
  <c r="AO146" i="123"/>
  <c r="AP146" i="123"/>
  <c r="AQ146" i="123"/>
  <c r="AR146" i="123"/>
  <c r="AS146" i="123"/>
  <c r="AT146" i="123"/>
  <c r="AU146" i="123"/>
  <c r="AV146" i="123"/>
  <c r="AW146" i="123"/>
  <c r="AX146" i="123"/>
  <c r="AY146" i="123"/>
  <c r="AZ146" i="123"/>
  <c r="BA146" i="123"/>
  <c r="BB146" i="123"/>
  <c r="BC146" i="123"/>
  <c r="BD146" i="123"/>
  <c r="BE146" i="123"/>
  <c r="BF146" i="123"/>
  <c r="D147" i="123"/>
  <c r="E147" i="123"/>
  <c r="F147" i="123"/>
  <c r="G147" i="123"/>
  <c r="H147" i="123"/>
  <c r="I147" i="123"/>
  <c r="J147" i="123"/>
  <c r="K147" i="123"/>
  <c r="L147" i="123"/>
  <c r="M147" i="123"/>
  <c r="N147" i="123"/>
  <c r="O147" i="123"/>
  <c r="P147" i="123"/>
  <c r="Q147" i="123"/>
  <c r="R147" i="123"/>
  <c r="S147" i="123"/>
  <c r="T147" i="123"/>
  <c r="U147" i="123"/>
  <c r="V147" i="123"/>
  <c r="W147" i="123"/>
  <c r="X147" i="123"/>
  <c r="Y147" i="123"/>
  <c r="Z147" i="123"/>
  <c r="AA147" i="123"/>
  <c r="AB147" i="123"/>
  <c r="AC147" i="123"/>
  <c r="AD147" i="123"/>
  <c r="AE147" i="123"/>
  <c r="AF147" i="123"/>
  <c r="AG147" i="123"/>
  <c r="AH147" i="123"/>
  <c r="AI147" i="123"/>
  <c r="AJ147" i="123"/>
  <c r="AK147" i="123"/>
  <c r="AL147" i="123"/>
  <c r="AM147" i="123"/>
  <c r="AN147" i="123"/>
  <c r="AO147" i="123"/>
  <c r="AP147" i="123"/>
  <c r="AQ147" i="123"/>
  <c r="AR147" i="123"/>
  <c r="AS147" i="123"/>
  <c r="AT147" i="123"/>
  <c r="AU147" i="123"/>
  <c r="AV147" i="123"/>
  <c r="AW147" i="123"/>
  <c r="AX147" i="123"/>
  <c r="AY147" i="123"/>
  <c r="AZ147" i="123"/>
  <c r="BA147" i="123"/>
  <c r="BB147" i="123"/>
  <c r="BC147" i="123"/>
  <c r="BD147" i="123"/>
  <c r="BE147" i="123"/>
  <c r="BF147" i="123"/>
  <c r="D148" i="123"/>
  <c r="E148" i="123"/>
  <c r="F148" i="123"/>
  <c r="G148" i="123"/>
  <c r="H148" i="123"/>
  <c r="I148" i="123"/>
  <c r="J148" i="123"/>
  <c r="K148" i="123"/>
  <c r="L148" i="123"/>
  <c r="M148" i="123"/>
  <c r="N148" i="123"/>
  <c r="O148" i="123"/>
  <c r="P148" i="123"/>
  <c r="Q148" i="123"/>
  <c r="R148" i="123"/>
  <c r="S148" i="123"/>
  <c r="T148" i="123"/>
  <c r="U148" i="123"/>
  <c r="V148" i="123"/>
  <c r="W148" i="123"/>
  <c r="X148" i="123"/>
  <c r="Y148" i="123"/>
  <c r="Z148" i="123"/>
  <c r="AA148" i="123"/>
  <c r="AB148" i="123"/>
  <c r="AC148" i="123"/>
  <c r="AD148" i="123"/>
  <c r="AE148" i="123"/>
  <c r="AF148" i="123"/>
  <c r="AG148" i="123"/>
  <c r="AH148" i="123"/>
  <c r="AI148" i="123"/>
  <c r="AJ148" i="123"/>
  <c r="AK148" i="123"/>
  <c r="AL148" i="123"/>
  <c r="AM148" i="123"/>
  <c r="AN148" i="123"/>
  <c r="AO148" i="123"/>
  <c r="AP148" i="123"/>
  <c r="AQ148" i="123"/>
  <c r="AR148" i="123"/>
  <c r="AS148" i="123"/>
  <c r="AT148" i="123"/>
  <c r="AU148" i="123"/>
  <c r="AV148" i="123"/>
  <c r="AW148" i="123"/>
  <c r="AX148" i="123"/>
  <c r="AY148" i="123"/>
  <c r="AZ148" i="123"/>
  <c r="BA148" i="123"/>
  <c r="BB148" i="123"/>
  <c r="BC148" i="123"/>
  <c r="BD148" i="123"/>
  <c r="BE148" i="123"/>
  <c r="BF148" i="123"/>
  <c r="D149" i="123"/>
  <c r="E149" i="123"/>
  <c r="F149" i="123"/>
  <c r="G149" i="123"/>
  <c r="H149" i="123"/>
  <c r="I149" i="123"/>
  <c r="J149" i="123"/>
  <c r="K149" i="123"/>
  <c r="L149" i="123"/>
  <c r="M149" i="123"/>
  <c r="N149" i="123"/>
  <c r="O149" i="123"/>
  <c r="P149" i="123"/>
  <c r="Q149" i="123"/>
  <c r="R149" i="123"/>
  <c r="S149" i="123"/>
  <c r="T149" i="123"/>
  <c r="U149" i="123"/>
  <c r="V149" i="123"/>
  <c r="W149" i="123"/>
  <c r="X149" i="123"/>
  <c r="Y149" i="123"/>
  <c r="Z149" i="123"/>
  <c r="AA149" i="123"/>
  <c r="AB149" i="123"/>
  <c r="AC149" i="123"/>
  <c r="AD149" i="123"/>
  <c r="AE149" i="123"/>
  <c r="AF149" i="123"/>
  <c r="AG149" i="123"/>
  <c r="AH149" i="123"/>
  <c r="AI149" i="123"/>
  <c r="AJ149" i="123"/>
  <c r="AK149" i="123"/>
  <c r="AL149" i="123"/>
  <c r="AM149" i="123"/>
  <c r="AN149" i="123"/>
  <c r="AO149" i="123"/>
  <c r="AP149" i="123"/>
  <c r="AQ149" i="123"/>
  <c r="AR149" i="123"/>
  <c r="AS149" i="123"/>
  <c r="AT149" i="123"/>
  <c r="AU149" i="123"/>
  <c r="AV149" i="123"/>
  <c r="AW149" i="123"/>
  <c r="AX149" i="123"/>
  <c r="AY149" i="123"/>
  <c r="AZ149" i="123"/>
  <c r="BA149" i="123"/>
  <c r="BB149" i="123"/>
  <c r="BC149" i="123"/>
  <c r="BD149" i="123"/>
  <c r="BE149" i="123"/>
  <c r="BF149" i="123"/>
  <c r="D150" i="123"/>
  <c r="E150" i="123"/>
  <c r="F150" i="123"/>
  <c r="G150" i="123"/>
  <c r="H150" i="123"/>
  <c r="I150" i="123"/>
  <c r="J150" i="123"/>
  <c r="K150" i="123"/>
  <c r="L150" i="123"/>
  <c r="M150" i="123"/>
  <c r="N150" i="123"/>
  <c r="O150" i="123"/>
  <c r="P150" i="123"/>
  <c r="Q150" i="123"/>
  <c r="R150" i="123"/>
  <c r="S150" i="123"/>
  <c r="T150" i="123"/>
  <c r="U150" i="123"/>
  <c r="V150" i="123"/>
  <c r="W150" i="123"/>
  <c r="X150" i="123"/>
  <c r="Y150" i="123"/>
  <c r="Z150" i="123"/>
  <c r="AA150" i="123"/>
  <c r="AB150" i="123"/>
  <c r="AC150" i="123"/>
  <c r="AD150" i="123"/>
  <c r="AE150" i="123"/>
  <c r="AF150" i="123"/>
  <c r="AG150" i="123"/>
  <c r="AH150" i="123"/>
  <c r="AI150" i="123"/>
  <c r="AJ150" i="123"/>
  <c r="AK150" i="123"/>
  <c r="AL150" i="123"/>
  <c r="AM150" i="123"/>
  <c r="AN150" i="123"/>
  <c r="AO150" i="123"/>
  <c r="AP150" i="123"/>
  <c r="AQ150" i="123"/>
  <c r="AR150" i="123"/>
  <c r="AS150" i="123"/>
  <c r="AT150" i="123"/>
  <c r="AU150" i="123"/>
  <c r="AV150" i="123"/>
  <c r="AW150" i="123"/>
  <c r="AX150" i="123"/>
  <c r="AY150" i="123"/>
  <c r="AZ150" i="123"/>
  <c r="BA150" i="123"/>
  <c r="BB150" i="123"/>
  <c r="BC150" i="123"/>
  <c r="BD150" i="123"/>
  <c r="BE150" i="123"/>
  <c r="BF150" i="123"/>
  <c r="D151" i="123"/>
  <c r="E151" i="123"/>
  <c r="F151" i="123"/>
  <c r="G151" i="123"/>
  <c r="H151" i="123"/>
  <c r="I151" i="123"/>
  <c r="J151" i="123"/>
  <c r="K151" i="123"/>
  <c r="L151" i="123"/>
  <c r="M151" i="123"/>
  <c r="N151" i="123"/>
  <c r="O151" i="123"/>
  <c r="P151" i="123"/>
  <c r="Q151" i="123"/>
  <c r="R151" i="123"/>
  <c r="S151" i="123"/>
  <c r="T151" i="123"/>
  <c r="U151" i="123"/>
  <c r="V151" i="123"/>
  <c r="W151" i="123"/>
  <c r="X151" i="123"/>
  <c r="Y151" i="123"/>
  <c r="Z151" i="123"/>
  <c r="AA151" i="123"/>
  <c r="AB151" i="123"/>
  <c r="AC151" i="123"/>
  <c r="AD151" i="123"/>
  <c r="AE151" i="123"/>
  <c r="AF151" i="123"/>
  <c r="AG151" i="123"/>
  <c r="AH151" i="123"/>
  <c r="AI151" i="123"/>
  <c r="AJ151" i="123"/>
  <c r="AK151" i="123"/>
  <c r="AL151" i="123"/>
  <c r="AM151" i="123"/>
  <c r="AN151" i="123"/>
  <c r="AO151" i="123"/>
  <c r="AP151" i="123"/>
  <c r="AQ151" i="123"/>
  <c r="AR151" i="123"/>
  <c r="AS151" i="123"/>
  <c r="AT151" i="123"/>
  <c r="AU151" i="123"/>
  <c r="AV151" i="123"/>
  <c r="AW151" i="123"/>
  <c r="AX151" i="123"/>
  <c r="AY151" i="123"/>
  <c r="AZ151" i="123"/>
  <c r="BA151" i="123"/>
  <c r="BB151" i="123"/>
  <c r="BC151" i="123"/>
  <c r="BD151" i="123"/>
  <c r="BE151" i="123"/>
  <c r="BF151" i="123"/>
  <c r="D152" i="123"/>
  <c r="E152" i="123"/>
  <c r="F152" i="123"/>
  <c r="G152" i="123"/>
  <c r="H152" i="123"/>
  <c r="I152" i="123"/>
  <c r="J152" i="123"/>
  <c r="K152" i="123"/>
  <c r="L152" i="123"/>
  <c r="M152" i="123"/>
  <c r="N152" i="123"/>
  <c r="O152" i="123"/>
  <c r="P152" i="123"/>
  <c r="Q152" i="123"/>
  <c r="R152" i="123"/>
  <c r="S152" i="123"/>
  <c r="T152" i="123"/>
  <c r="U152" i="123"/>
  <c r="V152" i="123"/>
  <c r="W152" i="123"/>
  <c r="X152" i="123"/>
  <c r="Y152" i="123"/>
  <c r="Z152" i="123"/>
  <c r="AA152" i="123"/>
  <c r="AB152" i="123"/>
  <c r="AC152" i="123"/>
  <c r="AD152" i="123"/>
  <c r="AE152" i="123"/>
  <c r="AF152" i="123"/>
  <c r="AG152" i="123"/>
  <c r="AH152" i="123"/>
  <c r="AI152" i="123"/>
  <c r="AJ152" i="123"/>
  <c r="AK152" i="123"/>
  <c r="AL152" i="123"/>
  <c r="AM152" i="123"/>
  <c r="AN152" i="123"/>
  <c r="AO152" i="123"/>
  <c r="AP152" i="123"/>
  <c r="AQ152" i="123"/>
  <c r="AR152" i="123"/>
  <c r="AS152" i="123"/>
  <c r="AT152" i="123"/>
  <c r="AU152" i="123"/>
  <c r="AV152" i="123"/>
  <c r="AW152" i="123"/>
  <c r="AX152" i="123"/>
  <c r="AY152" i="123"/>
  <c r="AZ152" i="123"/>
  <c r="BA152" i="123"/>
  <c r="BB152" i="123"/>
  <c r="BC152" i="123"/>
  <c r="BD152" i="123"/>
  <c r="BE152" i="123"/>
  <c r="BF152" i="123"/>
  <c r="D153" i="123"/>
  <c r="E153" i="123"/>
  <c r="F153" i="123"/>
  <c r="G153" i="123"/>
  <c r="H153" i="123"/>
  <c r="I153" i="123"/>
  <c r="J153" i="123"/>
  <c r="K153" i="123"/>
  <c r="L153" i="123"/>
  <c r="M153" i="123"/>
  <c r="N153" i="123"/>
  <c r="O153" i="123"/>
  <c r="P153" i="123"/>
  <c r="Q153" i="123"/>
  <c r="R153" i="123"/>
  <c r="S153" i="123"/>
  <c r="T153" i="123"/>
  <c r="U153" i="123"/>
  <c r="V153" i="123"/>
  <c r="W153" i="123"/>
  <c r="X153" i="123"/>
  <c r="Y153" i="123"/>
  <c r="Z153" i="123"/>
  <c r="AA153" i="123"/>
  <c r="AB153" i="123"/>
  <c r="AC153" i="123"/>
  <c r="AD153" i="123"/>
  <c r="AE153" i="123"/>
  <c r="AF153" i="123"/>
  <c r="AG153" i="123"/>
  <c r="AH153" i="123"/>
  <c r="AI153" i="123"/>
  <c r="AJ153" i="123"/>
  <c r="AK153" i="123"/>
  <c r="AL153" i="123"/>
  <c r="AM153" i="123"/>
  <c r="AN153" i="123"/>
  <c r="AO153" i="123"/>
  <c r="AP153" i="123"/>
  <c r="AQ153" i="123"/>
  <c r="AR153" i="123"/>
  <c r="AS153" i="123"/>
  <c r="AT153" i="123"/>
  <c r="AU153" i="123"/>
  <c r="AV153" i="123"/>
  <c r="AW153" i="123"/>
  <c r="AX153" i="123"/>
  <c r="AY153" i="123"/>
  <c r="AZ153" i="123"/>
  <c r="BA153" i="123"/>
  <c r="BB153" i="123"/>
  <c r="BC153" i="123"/>
  <c r="BD153" i="123"/>
  <c r="BE153" i="123"/>
  <c r="BF153" i="123"/>
  <c r="D154" i="123"/>
  <c r="E154" i="123"/>
  <c r="F154" i="123"/>
  <c r="G154" i="123"/>
  <c r="H154" i="123"/>
  <c r="I154" i="123"/>
  <c r="J154" i="123"/>
  <c r="K154" i="123"/>
  <c r="L154" i="123"/>
  <c r="M154" i="123"/>
  <c r="N154" i="123"/>
  <c r="O154" i="123"/>
  <c r="P154" i="123"/>
  <c r="Q154" i="123"/>
  <c r="R154" i="123"/>
  <c r="S154" i="123"/>
  <c r="T154" i="123"/>
  <c r="U154" i="123"/>
  <c r="V154" i="123"/>
  <c r="W154" i="123"/>
  <c r="X154" i="123"/>
  <c r="Y154" i="123"/>
  <c r="Z154" i="123"/>
  <c r="AA154" i="123"/>
  <c r="AB154" i="123"/>
  <c r="AC154" i="123"/>
  <c r="AD154" i="123"/>
  <c r="AE154" i="123"/>
  <c r="AF154" i="123"/>
  <c r="AG154" i="123"/>
  <c r="AH154" i="123"/>
  <c r="AI154" i="123"/>
  <c r="AJ154" i="123"/>
  <c r="AK154" i="123"/>
  <c r="AL154" i="123"/>
  <c r="AM154" i="123"/>
  <c r="AN154" i="123"/>
  <c r="AO154" i="123"/>
  <c r="AP154" i="123"/>
  <c r="AQ154" i="123"/>
  <c r="AR154" i="123"/>
  <c r="AS154" i="123"/>
  <c r="AT154" i="123"/>
  <c r="AU154" i="123"/>
  <c r="AV154" i="123"/>
  <c r="AW154" i="123"/>
  <c r="AX154" i="123"/>
  <c r="AY154" i="123"/>
  <c r="AZ154" i="123"/>
  <c r="BA154" i="123"/>
  <c r="BB154" i="123"/>
  <c r="BC154" i="123"/>
  <c r="BD154" i="123"/>
  <c r="BE154" i="123"/>
  <c r="BF154" i="123"/>
  <c r="D155" i="123"/>
  <c r="E155" i="123"/>
  <c r="F155" i="123"/>
  <c r="G155" i="123"/>
  <c r="H155" i="123"/>
  <c r="I155" i="123"/>
  <c r="J155" i="123"/>
  <c r="K155" i="123"/>
  <c r="L155" i="123"/>
  <c r="M155" i="123"/>
  <c r="N155" i="123"/>
  <c r="O155" i="123"/>
  <c r="P155" i="123"/>
  <c r="Q155" i="123"/>
  <c r="R155" i="123"/>
  <c r="S155" i="123"/>
  <c r="T155" i="123"/>
  <c r="U155" i="123"/>
  <c r="V155" i="123"/>
  <c r="W155" i="123"/>
  <c r="X155" i="123"/>
  <c r="Y155" i="123"/>
  <c r="Z155" i="123"/>
  <c r="AA155" i="123"/>
  <c r="AB155" i="123"/>
  <c r="AC155" i="123"/>
  <c r="AD155" i="123"/>
  <c r="AE155" i="123"/>
  <c r="AF155" i="123"/>
  <c r="AG155" i="123"/>
  <c r="AH155" i="123"/>
  <c r="AI155" i="123"/>
  <c r="AJ155" i="123"/>
  <c r="AK155" i="123"/>
  <c r="AL155" i="123"/>
  <c r="AM155" i="123"/>
  <c r="AN155" i="123"/>
  <c r="AO155" i="123"/>
  <c r="AP155" i="123"/>
  <c r="AQ155" i="123"/>
  <c r="AR155" i="123"/>
  <c r="AS155" i="123"/>
  <c r="AT155" i="123"/>
  <c r="AU155" i="123"/>
  <c r="AV155" i="123"/>
  <c r="AW155" i="123"/>
  <c r="AX155" i="123"/>
  <c r="AY155" i="123"/>
  <c r="AZ155" i="123"/>
  <c r="BA155" i="123"/>
  <c r="BB155" i="123"/>
  <c r="BC155" i="123"/>
  <c r="BD155" i="123"/>
  <c r="BE155" i="123"/>
  <c r="BF155" i="123"/>
  <c r="D156" i="123"/>
  <c r="E156" i="123"/>
  <c r="F156" i="123"/>
  <c r="G156" i="123"/>
  <c r="H156" i="123"/>
  <c r="I156" i="123"/>
  <c r="J156" i="123"/>
  <c r="K156" i="123"/>
  <c r="L156" i="123"/>
  <c r="M156" i="123"/>
  <c r="N156" i="123"/>
  <c r="O156" i="123"/>
  <c r="P156" i="123"/>
  <c r="Q156" i="123"/>
  <c r="R156" i="123"/>
  <c r="S156" i="123"/>
  <c r="T156" i="123"/>
  <c r="U156" i="123"/>
  <c r="V156" i="123"/>
  <c r="W156" i="123"/>
  <c r="X156" i="123"/>
  <c r="Y156" i="123"/>
  <c r="Z156" i="123"/>
  <c r="AA156" i="123"/>
  <c r="AB156" i="123"/>
  <c r="AC156" i="123"/>
  <c r="AD156" i="123"/>
  <c r="AE156" i="123"/>
  <c r="AF156" i="123"/>
  <c r="AG156" i="123"/>
  <c r="AH156" i="123"/>
  <c r="AI156" i="123"/>
  <c r="AJ156" i="123"/>
  <c r="AK156" i="123"/>
  <c r="AL156" i="123"/>
  <c r="AM156" i="123"/>
  <c r="AN156" i="123"/>
  <c r="AO156" i="123"/>
  <c r="AP156" i="123"/>
  <c r="AQ156" i="123"/>
  <c r="AR156" i="123"/>
  <c r="AS156" i="123"/>
  <c r="AT156" i="123"/>
  <c r="AU156" i="123"/>
  <c r="AV156" i="123"/>
  <c r="AW156" i="123"/>
  <c r="AX156" i="123"/>
  <c r="AY156" i="123"/>
  <c r="AZ156" i="123"/>
  <c r="BA156" i="123"/>
  <c r="BB156" i="123"/>
  <c r="BC156" i="123"/>
  <c r="BD156" i="123"/>
  <c r="BE156" i="123"/>
  <c r="BF156" i="123"/>
  <c r="D157" i="123"/>
  <c r="E157" i="123"/>
  <c r="F157" i="123"/>
  <c r="G157" i="123"/>
  <c r="H157" i="123"/>
  <c r="I157" i="123"/>
  <c r="J157" i="123"/>
  <c r="K157" i="123"/>
  <c r="L157" i="123"/>
  <c r="M157" i="123"/>
  <c r="N157" i="123"/>
  <c r="O157" i="123"/>
  <c r="P157" i="123"/>
  <c r="Q157" i="123"/>
  <c r="R157" i="123"/>
  <c r="S157" i="123"/>
  <c r="T157" i="123"/>
  <c r="U157" i="123"/>
  <c r="V157" i="123"/>
  <c r="W157" i="123"/>
  <c r="X157" i="123"/>
  <c r="Y157" i="123"/>
  <c r="Z157" i="123"/>
  <c r="AA157" i="123"/>
  <c r="AB157" i="123"/>
  <c r="AC157" i="123"/>
  <c r="AD157" i="123"/>
  <c r="AE157" i="123"/>
  <c r="AF157" i="123"/>
  <c r="AG157" i="123"/>
  <c r="AH157" i="123"/>
  <c r="AI157" i="123"/>
  <c r="AJ157" i="123"/>
  <c r="AK157" i="123"/>
  <c r="AL157" i="123"/>
  <c r="AM157" i="123"/>
  <c r="AN157" i="123"/>
  <c r="AO157" i="123"/>
  <c r="AP157" i="123"/>
  <c r="AQ157" i="123"/>
  <c r="AR157" i="123"/>
  <c r="AS157" i="123"/>
  <c r="AT157" i="123"/>
  <c r="AU157" i="123"/>
  <c r="AV157" i="123"/>
  <c r="AW157" i="123"/>
  <c r="AX157" i="123"/>
  <c r="AY157" i="123"/>
  <c r="AZ157" i="123"/>
  <c r="BA157" i="123"/>
  <c r="BB157" i="123"/>
  <c r="BC157" i="123"/>
  <c r="BD157" i="123"/>
  <c r="BE157" i="123"/>
  <c r="BF157" i="123"/>
  <c r="D158" i="123"/>
  <c r="E158" i="123"/>
  <c r="F158" i="123"/>
  <c r="G158" i="123"/>
  <c r="H158" i="123"/>
  <c r="I158" i="123"/>
  <c r="J158" i="123"/>
  <c r="K158" i="123"/>
  <c r="L158" i="123"/>
  <c r="M158" i="123"/>
  <c r="N158" i="123"/>
  <c r="O158" i="123"/>
  <c r="P158" i="123"/>
  <c r="Q158" i="123"/>
  <c r="R158" i="123"/>
  <c r="S158" i="123"/>
  <c r="T158" i="123"/>
  <c r="U158" i="123"/>
  <c r="V158" i="123"/>
  <c r="W158" i="123"/>
  <c r="X158" i="123"/>
  <c r="Y158" i="123"/>
  <c r="Z158" i="123"/>
  <c r="AA158" i="123"/>
  <c r="AB158" i="123"/>
  <c r="AC158" i="123"/>
  <c r="AD158" i="123"/>
  <c r="AE158" i="123"/>
  <c r="AF158" i="123"/>
  <c r="AG158" i="123"/>
  <c r="AH158" i="123"/>
  <c r="AI158" i="123"/>
  <c r="AJ158" i="123"/>
  <c r="AK158" i="123"/>
  <c r="AL158" i="123"/>
  <c r="AM158" i="123"/>
  <c r="AN158" i="123"/>
  <c r="AO158" i="123"/>
  <c r="AP158" i="123"/>
  <c r="AQ158" i="123"/>
  <c r="AR158" i="123"/>
  <c r="AS158" i="123"/>
  <c r="AT158" i="123"/>
  <c r="AU158" i="123"/>
  <c r="AV158" i="123"/>
  <c r="AW158" i="123"/>
  <c r="AX158" i="123"/>
  <c r="AY158" i="123"/>
  <c r="AZ158" i="123"/>
  <c r="BA158" i="123"/>
  <c r="BB158" i="123"/>
  <c r="BC158" i="123"/>
  <c r="BD158" i="123"/>
  <c r="BE158" i="123"/>
  <c r="BF158" i="123"/>
  <c r="D159" i="123"/>
  <c r="E159" i="123"/>
  <c r="F159" i="123"/>
  <c r="G159" i="123"/>
  <c r="H159" i="123"/>
  <c r="I159" i="123"/>
  <c r="J159" i="123"/>
  <c r="K159" i="123"/>
  <c r="L159" i="123"/>
  <c r="M159" i="123"/>
  <c r="N159" i="123"/>
  <c r="O159" i="123"/>
  <c r="P159" i="123"/>
  <c r="Q159" i="123"/>
  <c r="R159" i="123"/>
  <c r="S159" i="123"/>
  <c r="T159" i="123"/>
  <c r="U159" i="123"/>
  <c r="V159" i="123"/>
  <c r="W159" i="123"/>
  <c r="X159" i="123"/>
  <c r="Y159" i="123"/>
  <c r="Z159" i="123"/>
  <c r="AA159" i="123"/>
  <c r="AB159" i="123"/>
  <c r="AC159" i="123"/>
  <c r="AD159" i="123"/>
  <c r="AE159" i="123"/>
  <c r="AF159" i="123"/>
  <c r="AG159" i="123"/>
  <c r="AH159" i="123"/>
  <c r="AI159" i="123"/>
  <c r="AJ159" i="123"/>
  <c r="AK159" i="123"/>
  <c r="AL159" i="123"/>
  <c r="AM159" i="123"/>
  <c r="AN159" i="123"/>
  <c r="AO159" i="123"/>
  <c r="AP159" i="123"/>
  <c r="AQ159" i="123"/>
  <c r="AR159" i="123"/>
  <c r="AS159" i="123"/>
  <c r="AT159" i="123"/>
  <c r="AU159" i="123"/>
  <c r="AV159" i="123"/>
  <c r="AW159" i="123"/>
  <c r="AX159" i="123"/>
  <c r="AY159" i="123"/>
  <c r="AZ159" i="123"/>
  <c r="BA159" i="123"/>
  <c r="BB159" i="123"/>
  <c r="BC159" i="123"/>
  <c r="BD159" i="123"/>
  <c r="BE159" i="123"/>
  <c r="BF159" i="123"/>
  <c r="D160" i="123"/>
  <c r="E160" i="123"/>
  <c r="F160" i="123"/>
  <c r="G160" i="123"/>
  <c r="H160" i="123"/>
  <c r="I160" i="123"/>
  <c r="J160" i="123"/>
  <c r="K160" i="123"/>
  <c r="L160" i="123"/>
  <c r="M160" i="123"/>
  <c r="N160" i="123"/>
  <c r="O160" i="123"/>
  <c r="P160" i="123"/>
  <c r="Q160" i="123"/>
  <c r="R160" i="123"/>
  <c r="S160" i="123"/>
  <c r="T160" i="123"/>
  <c r="U160" i="123"/>
  <c r="V160" i="123"/>
  <c r="W160" i="123"/>
  <c r="X160" i="123"/>
  <c r="Y160" i="123"/>
  <c r="Z160" i="123"/>
  <c r="AA160" i="123"/>
  <c r="AB160" i="123"/>
  <c r="AC160" i="123"/>
  <c r="AD160" i="123"/>
  <c r="AE160" i="123"/>
  <c r="AF160" i="123"/>
  <c r="AG160" i="123"/>
  <c r="AH160" i="123"/>
  <c r="AI160" i="123"/>
  <c r="AJ160" i="123"/>
  <c r="AK160" i="123"/>
  <c r="AL160" i="123"/>
  <c r="AM160" i="123"/>
  <c r="AN160" i="123"/>
  <c r="AO160" i="123"/>
  <c r="AP160" i="123"/>
  <c r="AQ160" i="123"/>
  <c r="AR160" i="123"/>
  <c r="AS160" i="123"/>
  <c r="AT160" i="123"/>
  <c r="AU160" i="123"/>
  <c r="AV160" i="123"/>
  <c r="AW160" i="123"/>
  <c r="AX160" i="123"/>
  <c r="AY160" i="123"/>
  <c r="AZ160" i="123"/>
  <c r="BA160" i="123"/>
  <c r="BB160" i="123"/>
  <c r="BC160" i="123"/>
  <c r="BD160" i="123"/>
  <c r="BE160" i="123"/>
  <c r="BF160" i="123"/>
  <c r="D161" i="123"/>
  <c r="E161" i="123"/>
  <c r="F161" i="123"/>
  <c r="G161" i="123"/>
  <c r="H161" i="123"/>
  <c r="I161" i="123"/>
  <c r="J161" i="123"/>
  <c r="K161" i="123"/>
  <c r="L161" i="123"/>
  <c r="M161" i="123"/>
  <c r="N161" i="123"/>
  <c r="O161" i="123"/>
  <c r="P161" i="123"/>
  <c r="Q161" i="123"/>
  <c r="R161" i="123"/>
  <c r="S161" i="123"/>
  <c r="T161" i="123"/>
  <c r="U161" i="123"/>
  <c r="V161" i="123"/>
  <c r="W161" i="123"/>
  <c r="X161" i="123"/>
  <c r="Y161" i="123"/>
  <c r="Z161" i="123"/>
  <c r="AA161" i="123"/>
  <c r="AB161" i="123"/>
  <c r="AC161" i="123"/>
  <c r="AD161" i="123"/>
  <c r="AE161" i="123"/>
  <c r="AF161" i="123"/>
  <c r="AG161" i="123"/>
  <c r="AH161" i="123"/>
  <c r="AI161" i="123"/>
  <c r="AJ161" i="123"/>
  <c r="AK161" i="123"/>
  <c r="AL161" i="123"/>
  <c r="AM161" i="123"/>
  <c r="AN161" i="123"/>
  <c r="AO161" i="123"/>
  <c r="AP161" i="123"/>
  <c r="AQ161" i="123"/>
  <c r="AR161" i="123"/>
  <c r="AS161" i="123"/>
  <c r="AT161" i="123"/>
  <c r="AU161" i="123"/>
  <c r="AV161" i="123"/>
  <c r="AW161" i="123"/>
  <c r="AX161" i="123"/>
  <c r="AY161" i="123"/>
  <c r="AZ161" i="123"/>
  <c r="BA161" i="123"/>
  <c r="BB161" i="123"/>
  <c r="BC161" i="123"/>
  <c r="BD161" i="123"/>
  <c r="BE161" i="123"/>
  <c r="BF161" i="123"/>
  <c r="D162" i="123"/>
  <c r="E162" i="123"/>
  <c r="F162" i="123"/>
  <c r="G162" i="123"/>
  <c r="H162" i="123"/>
  <c r="I162" i="123"/>
  <c r="J162" i="123"/>
  <c r="K162" i="123"/>
  <c r="L162" i="123"/>
  <c r="M162" i="123"/>
  <c r="N162" i="123"/>
  <c r="O162" i="123"/>
  <c r="P162" i="123"/>
  <c r="Q162" i="123"/>
  <c r="R162" i="123"/>
  <c r="S162" i="123"/>
  <c r="T162" i="123"/>
  <c r="U162" i="123"/>
  <c r="V162" i="123"/>
  <c r="W162" i="123"/>
  <c r="X162" i="123"/>
  <c r="Y162" i="123"/>
  <c r="Z162" i="123"/>
  <c r="AA162" i="123"/>
  <c r="AB162" i="123"/>
  <c r="AC162" i="123"/>
  <c r="AD162" i="123"/>
  <c r="AE162" i="123"/>
  <c r="AF162" i="123"/>
  <c r="AG162" i="123"/>
  <c r="AH162" i="123"/>
  <c r="AI162" i="123"/>
  <c r="AJ162" i="123"/>
  <c r="AK162" i="123"/>
  <c r="AL162" i="123"/>
  <c r="AM162" i="123"/>
  <c r="AN162" i="123"/>
  <c r="AO162" i="123"/>
  <c r="AP162" i="123"/>
  <c r="AQ162" i="123"/>
  <c r="AR162" i="123"/>
  <c r="AS162" i="123"/>
  <c r="AT162" i="123"/>
  <c r="AU162" i="123"/>
  <c r="AV162" i="123"/>
  <c r="AW162" i="123"/>
  <c r="AX162" i="123"/>
  <c r="AY162" i="123"/>
  <c r="AZ162" i="123"/>
  <c r="BA162" i="123"/>
  <c r="BB162" i="123"/>
  <c r="BC162" i="123"/>
  <c r="BD162" i="123"/>
  <c r="BE162" i="123"/>
  <c r="BF162" i="123"/>
  <c r="D163" i="123"/>
  <c r="E163" i="123"/>
  <c r="F163" i="123"/>
  <c r="G163" i="123"/>
  <c r="H163" i="123"/>
  <c r="I163" i="123"/>
  <c r="J163" i="123"/>
  <c r="K163" i="123"/>
  <c r="L163" i="123"/>
  <c r="M163" i="123"/>
  <c r="N163" i="123"/>
  <c r="O163" i="123"/>
  <c r="P163" i="123"/>
  <c r="Q163" i="123"/>
  <c r="R163" i="123"/>
  <c r="S163" i="123"/>
  <c r="T163" i="123"/>
  <c r="U163" i="123"/>
  <c r="V163" i="123"/>
  <c r="W163" i="123"/>
  <c r="X163" i="123"/>
  <c r="Y163" i="123"/>
  <c r="Z163" i="123"/>
  <c r="AA163" i="123"/>
  <c r="AB163" i="123"/>
  <c r="AC163" i="123"/>
  <c r="AD163" i="123"/>
  <c r="AE163" i="123"/>
  <c r="AF163" i="123"/>
  <c r="AG163" i="123"/>
  <c r="AH163" i="123"/>
  <c r="AI163" i="123"/>
  <c r="AJ163" i="123"/>
  <c r="AK163" i="123"/>
  <c r="AL163" i="123"/>
  <c r="AM163" i="123"/>
  <c r="AN163" i="123"/>
  <c r="AO163" i="123"/>
  <c r="AP163" i="123"/>
  <c r="AQ163" i="123"/>
  <c r="AR163" i="123"/>
  <c r="AS163" i="123"/>
  <c r="AT163" i="123"/>
  <c r="AU163" i="123"/>
  <c r="AV163" i="123"/>
  <c r="AW163" i="123"/>
  <c r="AX163" i="123"/>
  <c r="AY163" i="123"/>
  <c r="AZ163" i="123"/>
  <c r="BA163" i="123"/>
  <c r="BB163" i="123"/>
  <c r="BC163" i="123"/>
  <c r="BD163" i="123"/>
  <c r="BE163" i="123"/>
  <c r="BF163" i="123"/>
  <c r="D164" i="123"/>
  <c r="E164" i="123"/>
  <c r="F164" i="123"/>
  <c r="G164" i="123"/>
  <c r="H164" i="123"/>
  <c r="I164" i="123"/>
  <c r="J164" i="123"/>
  <c r="K164" i="123"/>
  <c r="L164" i="123"/>
  <c r="M164" i="123"/>
  <c r="N164" i="123"/>
  <c r="O164" i="123"/>
  <c r="P164" i="123"/>
  <c r="Q164" i="123"/>
  <c r="R164" i="123"/>
  <c r="S164" i="123"/>
  <c r="T164" i="123"/>
  <c r="U164" i="123"/>
  <c r="V164" i="123"/>
  <c r="W164" i="123"/>
  <c r="X164" i="123"/>
  <c r="Y164" i="123"/>
  <c r="Z164" i="123"/>
  <c r="AA164" i="123"/>
  <c r="AB164" i="123"/>
  <c r="AC164" i="123"/>
  <c r="AD164" i="123"/>
  <c r="AE164" i="123"/>
  <c r="AF164" i="123"/>
  <c r="AG164" i="123"/>
  <c r="AH164" i="123"/>
  <c r="AI164" i="123"/>
  <c r="AJ164" i="123"/>
  <c r="AK164" i="123"/>
  <c r="AL164" i="123"/>
  <c r="AM164" i="123"/>
  <c r="AN164" i="123"/>
  <c r="AO164" i="123"/>
  <c r="AP164" i="123"/>
  <c r="AQ164" i="123"/>
  <c r="AR164" i="123"/>
  <c r="AS164" i="123"/>
  <c r="AT164" i="123"/>
  <c r="AU164" i="123"/>
  <c r="AV164" i="123"/>
  <c r="AW164" i="123"/>
  <c r="AX164" i="123"/>
  <c r="AY164" i="123"/>
  <c r="AZ164" i="123"/>
  <c r="BA164" i="123"/>
  <c r="BB164" i="123"/>
  <c r="BC164" i="123"/>
  <c r="BD164" i="123"/>
  <c r="BE164" i="123"/>
  <c r="BF164" i="123"/>
  <c r="D165" i="123"/>
  <c r="E165" i="123"/>
  <c r="F165" i="123"/>
  <c r="G165" i="123"/>
  <c r="H165" i="123"/>
  <c r="I165" i="123"/>
  <c r="J165" i="123"/>
  <c r="K165" i="123"/>
  <c r="L165" i="123"/>
  <c r="M165" i="123"/>
  <c r="N165" i="123"/>
  <c r="O165" i="123"/>
  <c r="P165" i="123"/>
  <c r="Q165" i="123"/>
  <c r="R165" i="123"/>
  <c r="S165" i="123"/>
  <c r="T165" i="123"/>
  <c r="U165" i="123"/>
  <c r="V165" i="123"/>
  <c r="W165" i="123"/>
  <c r="X165" i="123"/>
  <c r="Y165" i="123"/>
  <c r="Z165" i="123"/>
  <c r="AA165" i="123"/>
  <c r="AB165" i="123"/>
  <c r="AC165" i="123"/>
  <c r="AD165" i="123"/>
  <c r="AE165" i="123"/>
  <c r="AF165" i="123"/>
  <c r="AG165" i="123"/>
  <c r="AH165" i="123"/>
  <c r="AI165" i="123"/>
  <c r="AJ165" i="123"/>
  <c r="AK165" i="123"/>
  <c r="AL165" i="123"/>
  <c r="AM165" i="123"/>
  <c r="AN165" i="123"/>
  <c r="AO165" i="123"/>
  <c r="AP165" i="123"/>
  <c r="AQ165" i="123"/>
  <c r="AR165" i="123"/>
  <c r="AS165" i="123"/>
  <c r="AT165" i="123"/>
  <c r="AU165" i="123"/>
  <c r="AV165" i="123"/>
  <c r="AW165" i="123"/>
  <c r="AX165" i="123"/>
  <c r="AY165" i="123"/>
  <c r="AZ165" i="123"/>
  <c r="BA165" i="123"/>
  <c r="BB165" i="123"/>
  <c r="BC165" i="123"/>
  <c r="BD165" i="123"/>
  <c r="BE165" i="123"/>
  <c r="BF165" i="123"/>
  <c r="D166" i="123"/>
  <c r="E166" i="123"/>
  <c r="F166" i="123"/>
  <c r="G166" i="123"/>
  <c r="H166" i="123"/>
  <c r="I166" i="123"/>
  <c r="J166" i="123"/>
  <c r="K166" i="123"/>
  <c r="L166" i="123"/>
  <c r="M166" i="123"/>
  <c r="N166" i="123"/>
  <c r="O166" i="123"/>
  <c r="P166" i="123"/>
  <c r="Q166" i="123"/>
  <c r="R166" i="123"/>
  <c r="S166" i="123"/>
  <c r="T166" i="123"/>
  <c r="U166" i="123"/>
  <c r="V166" i="123"/>
  <c r="W166" i="123"/>
  <c r="X166" i="123"/>
  <c r="Y166" i="123"/>
  <c r="Z166" i="123"/>
  <c r="AA166" i="123"/>
  <c r="AB166" i="123"/>
  <c r="AC166" i="123"/>
  <c r="AD166" i="123"/>
  <c r="AE166" i="123"/>
  <c r="AF166" i="123"/>
  <c r="AG166" i="123"/>
  <c r="AH166" i="123"/>
  <c r="AI166" i="123"/>
  <c r="AJ166" i="123"/>
  <c r="AK166" i="123"/>
  <c r="AL166" i="123"/>
  <c r="AM166" i="123"/>
  <c r="AN166" i="123"/>
  <c r="AO166" i="123"/>
  <c r="AP166" i="123"/>
  <c r="AQ166" i="123"/>
  <c r="AR166" i="123"/>
  <c r="AS166" i="123"/>
  <c r="AT166" i="123"/>
  <c r="AU166" i="123"/>
  <c r="AV166" i="123"/>
  <c r="AW166" i="123"/>
  <c r="AX166" i="123"/>
  <c r="AY166" i="123"/>
  <c r="AZ166" i="123"/>
  <c r="BA166" i="123"/>
  <c r="BB166" i="123"/>
  <c r="BC166" i="123"/>
  <c r="BD166" i="123"/>
  <c r="BE166" i="123"/>
  <c r="BF166" i="123"/>
  <c r="C139" i="123"/>
  <c r="C140" i="123"/>
  <c r="C141" i="123"/>
  <c r="C142" i="123"/>
  <c r="C143" i="123"/>
  <c r="C144" i="123"/>
  <c r="C145" i="123"/>
  <c r="C146" i="123"/>
  <c r="C147" i="123"/>
  <c r="C148" i="123"/>
  <c r="C149" i="123"/>
  <c r="C150" i="123"/>
  <c r="C151" i="123"/>
  <c r="C152" i="123"/>
  <c r="C153" i="123"/>
  <c r="C154" i="123"/>
  <c r="C155" i="123"/>
  <c r="C156" i="123"/>
  <c r="C157" i="123"/>
  <c r="C158" i="123"/>
  <c r="C159" i="123"/>
  <c r="C160" i="123"/>
  <c r="C161" i="123"/>
  <c r="C162" i="123"/>
  <c r="C163" i="123"/>
  <c r="C164" i="123"/>
  <c r="C165" i="123"/>
  <c r="C166" i="123"/>
  <c r="C138" i="123"/>
  <c r="E105" i="123"/>
  <c r="F105" i="123"/>
  <c r="G105" i="123"/>
  <c r="H105" i="123"/>
  <c r="I105" i="123"/>
  <c r="J105" i="123"/>
  <c r="K105" i="123"/>
  <c r="L105" i="123"/>
  <c r="M105" i="123"/>
  <c r="N105" i="123"/>
  <c r="O105" i="123"/>
  <c r="P105" i="123"/>
  <c r="Q105" i="123"/>
  <c r="R105" i="123"/>
  <c r="S105" i="123"/>
  <c r="T105" i="123"/>
  <c r="U105" i="123"/>
  <c r="V105" i="123"/>
  <c r="W105" i="123"/>
  <c r="X105" i="123"/>
  <c r="Y105" i="123"/>
  <c r="Z105" i="123"/>
  <c r="AA105" i="123"/>
  <c r="AB105" i="123"/>
  <c r="AC105" i="123"/>
  <c r="AD105" i="123"/>
  <c r="AE105" i="123"/>
  <c r="AF105" i="123"/>
  <c r="AG105" i="123"/>
  <c r="AH105" i="123"/>
  <c r="AI105" i="123"/>
  <c r="AJ105" i="123"/>
  <c r="AK105" i="123"/>
  <c r="AL105" i="123"/>
  <c r="AM105" i="123"/>
  <c r="AN105" i="123"/>
  <c r="AO105" i="123"/>
  <c r="AP105" i="123"/>
  <c r="AQ105" i="123"/>
  <c r="AR105" i="123"/>
  <c r="AS105" i="123"/>
  <c r="AT105" i="123"/>
  <c r="AU105" i="123"/>
  <c r="AV105" i="123"/>
  <c r="AW105" i="123"/>
  <c r="AX105" i="123"/>
  <c r="AY105" i="123"/>
  <c r="AZ105" i="123"/>
  <c r="BA105" i="123"/>
  <c r="BB105" i="123"/>
  <c r="BC105" i="123"/>
  <c r="BD105" i="123"/>
  <c r="BE105" i="123"/>
  <c r="BF105" i="123"/>
  <c r="E106" i="123"/>
  <c r="F106" i="123"/>
  <c r="G106" i="123"/>
  <c r="H106" i="123"/>
  <c r="I106" i="123"/>
  <c r="J106" i="123"/>
  <c r="K106" i="123"/>
  <c r="L106" i="123"/>
  <c r="M106" i="123"/>
  <c r="N106" i="123"/>
  <c r="O106" i="123"/>
  <c r="P106" i="123"/>
  <c r="Q106" i="123"/>
  <c r="R106" i="123"/>
  <c r="S106" i="123"/>
  <c r="T106" i="123"/>
  <c r="U106" i="123"/>
  <c r="V106" i="123"/>
  <c r="W106" i="123"/>
  <c r="X106" i="123"/>
  <c r="Y106" i="123"/>
  <c r="Z106" i="123"/>
  <c r="AA106" i="123"/>
  <c r="AB106" i="123"/>
  <c r="AC106" i="123"/>
  <c r="AD106" i="123"/>
  <c r="AE106" i="123"/>
  <c r="AF106" i="123"/>
  <c r="AG106" i="123"/>
  <c r="AH106" i="123"/>
  <c r="AI106" i="123"/>
  <c r="AJ106" i="123"/>
  <c r="AK106" i="123"/>
  <c r="AL106" i="123"/>
  <c r="AM106" i="123"/>
  <c r="AN106" i="123"/>
  <c r="AO106" i="123"/>
  <c r="AP106" i="123"/>
  <c r="AQ106" i="123"/>
  <c r="AR106" i="123"/>
  <c r="AS106" i="123"/>
  <c r="AT106" i="123"/>
  <c r="AU106" i="123"/>
  <c r="AV106" i="123"/>
  <c r="AW106" i="123"/>
  <c r="AX106" i="123"/>
  <c r="AY106" i="123"/>
  <c r="AZ106" i="123"/>
  <c r="BA106" i="123"/>
  <c r="BB106" i="123"/>
  <c r="BC106" i="123"/>
  <c r="BD106" i="123"/>
  <c r="BE106" i="123"/>
  <c r="BF106" i="123"/>
  <c r="E107" i="123"/>
  <c r="F107" i="123"/>
  <c r="G107" i="123"/>
  <c r="H107" i="123"/>
  <c r="I107" i="123"/>
  <c r="J107" i="123"/>
  <c r="K107" i="123"/>
  <c r="L107" i="123"/>
  <c r="M107" i="123"/>
  <c r="N107" i="123"/>
  <c r="O107" i="123"/>
  <c r="P107" i="123"/>
  <c r="Q107" i="123"/>
  <c r="R107" i="123"/>
  <c r="S107" i="123"/>
  <c r="T107" i="123"/>
  <c r="U107" i="123"/>
  <c r="V107" i="123"/>
  <c r="W107" i="123"/>
  <c r="X107" i="123"/>
  <c r="Y107" i="123"/>
  <c r="Z107" i="123"/>
  <c r="AA107" i="123"/>
  <c r="AB107" i="123"/>
  <c r="AC107" i="123"/>
  <c r="AD107" i="123"/>
  <c r="AE107" i="123"/>
  <c r="AF107" i="123"/>
  <c r="AG107" i="123"/>
  <c r="AH107" i="123"/>
  <c r="AI107" i="123"/>
  <c r="AJ107" i="123"/>
  <c r="AK107" i="123"/>
  <c r="AL107" i="123"/>
  <c r="AM107" i="123"/>
  <c r="AN107" i="123"/>
  <c r="AO107" i="123"/>
  <c r="AP107" i="123"/>
  <c r="AQ107" i="123"/>
  <c r="AR107" i="123"/>
  <c r="AS107" i="123"/>
  <c r="AT107" i="123"/>
  <c r="AU107" i="123"/>
  <c r="AV107" i="123"/>
  <c r="AW107" i="123"/>
  <c r="AX107" i="123"/>
  <c r="AY107" i="123"/>
  <c r="AZ107" i="123"/>
  <c r="BA107" i="123"/>
  <c r="BB107" i="123"/>
  <c r="BC107" i="123"/>
  <c r="BD107" i="123"/>
  <c r="BE107" i="123"/>
  <c r="BF107" i="123"/>
  <c r="E108" i="123"/>
  <c r="F108" i="123"/>
  <c r="G108" i="123"/>
  <c r="H108" i="123"/>
  <c r="I108" i="123"/>
  <c r="J108" i="123"/>
  <c r="K108" i="123"/>
  <c r="L108" i="123"/>
  <c r="M108" i="123"/>
  <c r="N108" i="123"/>
  <c r="O108" i="123"/>
  <c r="P108" i="123"/>
  <c r="Q108" i="123"/>
  <c r="R108" i="123"/>
  <c r="S108" i="123"/>
  <c r="T108" i="123"/>
  <c r="U108" i="123"/>
  <c r="V108" i="123"/>
  <c r="W108" i="123"/>
  <c r="X108" i="123"/>
  <c r="Y108" i="123"/>
  <c r="Z108" i="123"/>
  <c r="AA108" i="123"/>
  <c r="AB108" i="123"/>
  <c r="AC108" i="123"/>
  <c r="AD108" i="123"/>
  <c r="AE108" i="123"/>
  <c r="AF108" i="123"/>
  <c r="AG108" i="123"/>
  <c r="AH108" i="123"/>
  <c r="AI108" i="123"/>
  <c r="AJ108" i="123"/>
  <c r="AK108" i="123"/>
  <c r="AL108" i="123"/>
  <c r="AM108" i="123"/>
  <c r="AN108" i="123"/>
  <c r="AO108" i="123"/>
  <c r="AP108" i="123"/>
  <c r="AQ108" i="123"/>
  <c r="AR108" i="123"/>
  <c r="AS108" i="123"/>
  <c r="AT108" i="123"/>
  <c r="AU108" i="123"/>
  <c r="AV108" i="123"/>
  <c r="AW108" i="123"/>
  <c r="AX108" i="123"/>
  <c r="AY108" i="123"/>
  <c r="AZ108" i="123"/>
  <c r="BA108" i="123"/>
  <c r="BB108" i="123"/>
  <c r="BC108" i="123"/>
  <c r="BD108" i="123"/>
  <c r="BE108" i="123"/>
  <c r="BF108" i="123"/>
  <c r="E109" i="123"/>
  <c r="F109" i="123"/>
  <c r="G109" i="123"/>
  <c r="H109" i="123"/>
  <c r="I109" i="123"/>
  <c r="J109" i="123"/>
  <c r="K109" i="123"/>
  <c r="L109" i="123"/>
  <c r="M109" i="123"/>
  <c r="N109" i="123"/>
  <c r="O109" i="123"/>
  <c r="P109" i="123"/>
  <c r="Q109" i="123"/>
  <c r="R109" i="123"/>
  <c r="S109" i="123"/>
  <c r="T109" i="123"/>
  <c r="U109" i="123"/>
  <c r="V109" i="123"/>
  <c r="W109" i="123"/>
  <c r="X109" i="123"/>
  <c r="Y109" i="123"/>
  <c r="Z109" i="123"/>
  <c r="AA109" i="123"/>
  <c r="AB109" i="123"/>
  <c r="AC109" i="123"/>
  <c r="AD109" i="123"/>
  <c r="AE109" i="123"/>
  <c r="AF109" i="123"/>
  <c r="AG109" i="123"/>
  <c r="AH109" i="123"/>
  <c r="AI109" i="123"/>
  <c r="AJ109" i="123"/>
  <c r="AK109" i="123"/>
  <c r="AL109" i="123"/>
  <c r="AM109" i="123"/>
  <c r="AN109" i="123"/>
  <c r="AO109" i="123"/>
  <c r="AP109" i="123"/>
  <c r="AQ109" i="123"/>
  <c r="AR109" i="123"/>
  <c r="AS109" i="123"/>
  <c r="AT109" i="123"/>
  <c r="AU109" i="123"/>
  <c r="AV109" i="123"/>
  <c r="AW109" i="123"/>
  <c r="AX109" i="123"/>
  <c r="AY109" i="123"/>
  <c r="AZ109" i="123"/>
  <c r="BA109" i="123"/>
  <c r="BB109" i="123"/>
  <c r="BC109" i="123"/>
  <c r="BD109" i="123"/>
  <c r="BE109" i="123"/>
  <c r="BF109" i="123"/>
  <c r="E110" i="123"/>
  <c r="F110" i="123"/>
  <c r="G110" i="123"/>
  <c r="H110" i="123"/>
  <c r="I110" i="123"/>
  <c r="J110" i="123"/>
  <c r="K110" i="123"/>
  <c r="L110" i="123"/>
  <c r="M110" i="123"/>
  <c r="N110" i="123"/>
  <c r="O110" i="123"/>
  <c r="P110" i="123"/>
  <c r="Q110" i="123"/>
  <c r="R110" i="123"/>
  <c r="S110" i="123"/>
  <c r="T110" i="123"/>
  <c r="U110" i="123"/>
  <c r="V110" i="123"/>
  <c r="W110" i="123"/>
  <c r="X110" i="123"/>
  <c r="Y110" i="123"/>
  <c r="Z110" i="123"/>
  <c r="AA110" i="123"/>
  <c r="AB110" i="123"/>
  <c r="AC110" i="123"/>
  <c r="AD110" i="123"/>
  <c r="AE110" i="123"/>
  <c r="AF110" i="123"/>
  <c r="AG110" i="123"/>
  <c r="AH110" i="123"/>
  <c r="AI110" i="123"/>
  <c r="AJ110" i="123"/>
  <c r="AK110" i="123"/>
  <c r="AL110" i="123"/>
  <c r="AM110" i="123"/>
  <c r="AN110" i="123"/>
  <c r="AO110" i="123"/>
  <c r="AP110" i="123"/>
  <c r="AQ110" i="123"/>
  <c r="AR110" i="123"/>
  <c r="AS110" i="123"/>
  <c r="AT110" i="123"/>
  <c r="AU110" i="123"/>
  <c r="AV110" i="123"/>
  <c r="AW110" i="123"/>
  <c r="AX110" i="123"/>
  <c r="AY110" i="123"/>
  <c r="AZ110" i="123"/>
  <c r="BA110" i="123"/>
  <c r="BB110" i="123"/>
  <c r="BC110" i="123"/>
  <c r="BD110" i="123"/>
  <c r="BE110" i="123"/>
  <c r="BF110" i="123"/>
  <c r="E111" i="123"/>
  <c r="F111" i="123"/>
  <c r="G111" i="123"/>
  <c r="H111" i="123"/>
  <c r="I111" i="123"/>
  <c r="J111" i="123"/>
  <c r="K111" i="123"/>
  <c r="L111" i="123"/>
  <c r="M111" i="123"/>
  <c r="N111" i="123"/>
  <c r="O111" i="123"/>
  <c r="P111" i="123"/>
  <c r="Q111" i="123"/>
  <c r="R111" i="123"/>
  <c r="S111" i="123"/>
  <c r="T111" i="123"/>
  <c r="U111" i="123"/>
  <c r="V111" i="123"/>
  <c r="W111" i="123"/>
  <c r="X111" i="123"/>
  <c r="Y111" i="123"/>
  <c r="Z111" i="123"/>
  <c r="AA111" i="123"/>
  <c r="AB111" i="123"/>
  <c r="AC111" i="123"/>
  <c r="AD111" i="123"/>
  <c r="AE111" i="123"/>
  <c r="AF111" i="123"/>
  <c r="AG111" i="123"/>
  <c r="AH111" i="123"/>
  <c r="AI111" i="123"/>
  <c r="AJ111" i="123"/>
  <c r="AK111" i="123"/>
  <c r="AL111" i="123"/>
  <c r="AM111" i="123"/>
  <c r="AN111" i="123"/>
  <c r="AO111" i="123"/>
  <c r="AP111" i="123"/>
  <c r="AQ111" i="123"/>
  <c r="AR111" i="123"/>
  <c r="AS111" i="123"/>
  <c r="AT111" i="123"/>
  <c r="AU111" i="123"/>
  <c r="AV111" i="123"/>
  <c r="AW111" i="123"/>
  <c r="AX111" i="123"/>
  <c r="AY111" i="123"/>
  <c r="AZ111" i="123"/>
  <c r="BA111" i="123"/>
  <c r="BB111" i="123"/>
  <c r="BC111" i="123"/>
  <c r="BD111" i="123"/>
  <c r="BE111" i="123"/>
  <c r="BF111" i="123"/>
  <c r="E112" i="123"/>
  <c r="F112" i="123"/>
  <c r="G112" i="123"/>
  <c r="H112" i="123"/>
  <c r="I112" i="123"/>
  <c r="J112" i="123"/>
  <c r="K112" i="123"/>
  <c r="L112" i="123"/>
  <c r="M112" i="123"/>
  <c r="N112" i="123"/>
  <c r="O112" i="123"/>
  <c r="P112" i="123"/>
  <c r="Q112" i="123"/>
  <c r="R112" i="123"/>
  <c r="S112" i="123"/>
  <c r="T112" i="123"/>
  <c r="U112" i="123"/>
  <c r="V112" i="123"/>
  <c r="W112" i="123"/>
  <c r="X112" i="123"/>
  <c r="Y112" i="123"/>
  <c r="Z112" i="123"/>
  <c r="AA112" i="123"/>
  <c r="AB112" i="123"/>
  <c r="AC112" i="123"/>
  <c r="AD112" i="123"/>
  <c r="AE112" i="123"/>
  <c r="AF112" i="123"/>
  <c r="AG112" i="123"/>
  <c r="AH112" i="123"/>
  <c r="AI112" i="123"/>
  <c r="AJ112" i="123"/>
  <c r="AK112" i="123"/>
  <c r="AL112" i="123"/>
  <c r="AM112" i="123"/>
  <c r="AN112" i="123"/>
  <c r="AO112" i="123"/>
  <c r="AP112" i="123"/>
  <c r="AQ112" i="123"/>
  <c r="AR112" i="123"/>
  <c r="AS112" i="123"/>
  <c r="AT112" i="123"/>
  <c r="AU112" i="123"/>
  <c r="AV112" i="123"/>
  <c r="AW112" i="123"/>
  <c r="AX112" i="123"/>
  <c r="AY112" i="123"/>
  <c r="AZ112" i="123"/>
  <c r="BA112" i="123"/>
  <c r="BB112" i="123"/>
  <c r="BC112" i="123"/>
  <c r="BD112" i="123"/>
  <c r="BE112" i="123"/>
  <c r="BF112" i="123"/>
  <c r="E113" i="123"/>
  <c r="F113" i="123"/>
  <c r="G113" i="123"/>
  <c r="H113" i="123"/>
  <c r="I113" i="123"/>
  <c r="J113" i="123"/>
  <c r="K113" i="123"/>
  <c r="L113" i="123"/>
  <c r="M113" i="123"/>
  <c r="N113" i="123"/>
  <c r="O113" i="123"/>
  <c r="P113" i="123"/>
  <c r="Q113" i="123"/>
  <c r="R113" i="123"/>
  <c r="S113" i="123"/>
  <c r="T113" i="123"/>
  <c r="U113" i="123"/>
  <c r="V113" i="123"/>
  <c r="W113" i="123"/>
  <c r="X113" i="123"/>
  <c r="Y113" i="123"/>
  <c r="Z113" i="123"/>
  <c r="AA113" i="123"/>
  <c r="AB113" i="123"/>
  <c r="AC113" i="123"/>
  <c r="AD113" i="123"/>
  <c r="AE113" i="123"/>
  <c r="AF113" i="123"/>
  <c r="AG113" i="123"/>
  <c r="AH113" i="123"/>
  <c r="AI113" i="123"/>
  <c r="AJ113" i="123"/>
  <c r="AK113" i="123"/>
  <c r="AL113" i="123"/>
  <c r="AM113" i="123"/>
  <c r="AN113" i="123"/>
  <c r="AO113" i="123"/>
  <c r="AP113" i="123"/>
  <c r="AQ113" i="123"/>
  <c r="AR113" i="123"/>
  <c r="AS113" i="123"/>
  <c r="AT113" i="123"/>
  <c r="AU113" i="123"/>
  <c r="AV113" i="123"/>
  <c r="AW113" i="123"/>
  <c r="AX113" i="123"/>
  <c r="AY113" i="123"/>
  <c r="AZ113" i="123"/>
  <c r="BA113" i="123"/>
  <c r="BB113" i="123"/>
  <c r="BC113" i="123"/>
  <c r="BD113" i="123"/>
  <c r="BE113" i="123"/>
  <c r="BF113" i="123"/>
  <c r="E114" i="123"/>
  <c r="F114" i="123"/>
  <c r="G114" i="123"/>
  <c r="H114" i="123"/>
  <c r="I114" i="123"/>
  <c r="J114" i="123"/>
  <c r="K114" i="123"/>
  <c r="L114" i="123"/>
  <c r="M114" i="123"/>
  <c r="N114" i="123"/>
  <c r="O114" i="123"/>
  <c r="P114" i="123"/>
  <c r="Q114" i="123"/>
  <c r="R114" i="123"/>
  <c r="S114" i="123"/>
  <c r="T114" i="123"/>
  <c r="U114" i="123"/>
  <c r="V114" i="123"/>
  <c r="W114" i="123"/>
  <c r="X114" i="123"/>
  <c r="Y114" i="123"/>
  <c r="Z114" i="123"/>
  <c r="AA114" i="123"/>
  <c r="AB114" i="123"/>
  <c r="AC114" i="123"/>
  <c r="AD114" i="123"/>
  <c r="AE114" i="123"/>
  <c r="AF114" i="123"/>
  <c r="AG114" i="123"/>
  <c r="AH114" i="123"/>
  <c r="AI114" i="123"/>
  <c r="AJ114" i="123"/>
  <c r="AK114" i="123"/>
  <c r="AL114" i="123"/>
  <c r="AM114" i="123"/>
  <c r="AN114" i="123"/>
  <c r="AO114" i="123"/>
  <c r="AP114" i="123"/>
  <c r="AQ114" i="123"/>
  <c r="AR114" i="123"/>
  <c r="AS114" i="123"/>
  <c r="AT114" i="123"/>
  <c r="AU114" i="123"/>
  <c r="AV114" i="123"/>
  <c r="AW114" i="123"/>
  <c r="AX114" i="123"/>
  <c r="AY114" i="123"/>
  <c r="AZ114" i="123"/>
  <c r="BA114" i="123"/>
  <c r="BB114" i="123"/>
  <c r="BC114" i="123"/>
  <c r="BD114" i="123"/>
  <c r="BE114" i="123"/>
  <c r="BF114" i="123"/>
  <c r="E115" i="123"/>
  <c r="F115" i="123"/>
  <c r="G115" i="123"/>
  <c r="H115" i="123"/>
  <c r="I115" i="123"/>
  <c r="J115" i="123"/>
  <c r="K115" i="123"/>
  <c r="L115" i="123"/>
  <c r="M115" i="123"/>
  <c r="N115" i="123"/>
  <c r="O115" i="123"/>
  <c r="P115" i="123"/>
  <c r="Q115" i="123"/>
  <c r="R115" i="123"/>
  <c r="S115" i="123"/>
  <c r="T115" i="123"/>
  <c r="U115" i="123"/>
  <c r="V115" i="123"/>
  <c r="W115" i="123"/>
  <c r="X115" i="123"/>
  <c r="Y115" i="123"/>
  <c r="Z115" i="123"/>
  <c r="AA115" i="123"/>
  <c r="AB115" i="123"/>
  <c r="AC115" i="123"/>
  <c r="AD115" i="123"/>
  <c r="AE115" i="123"/>
  <c r="AF115" i="123"/>
  <c r="AG115" i="123"/>
  <c r="AH115" i="123"/>
  <c r="AI115" i="123"/>
  <c r="AJ115" i="123"/>
  <c r="AK115" i="123"/>
  <c r="AL115" i="123"/>
  <c r="AM115" i="123"/>
  <c r="AN115" i="123"/>
  <c r="AO115" i="123"/>
  <c r="AP115" i="123"/>
  <c r="AQ115" i="123"/>
  <c r="AR115" i="123"/>
  <c r="AS115" i="123"/>
  <c r="AT115" i="123"/>
  <c r="AU115" i="123"/>
  <c r="AV115" i="123"/>
  <c r="AW115" i="123"/>
  <c r="AX115" i="123"/>
  <c r="AY115" i="123"/>
  <c r="AZ115" i="123"/>
  <c r="BA115" i="123"/>
  <c r="BB115" i="123"/>
  <c r="BC115" i="123"/>
  <c r="BD115" i="123"/>
  <c r="BE115" i="123"/>
  <c r="BF115" i="123"/>
  <c r="E116" i="123"/>
  <c r="F116" i="123"/>
  <c r="G116" i="123"/>
  <c r="H116" i="123"/>
  <c r="I116" i="123"/>
  <c r="J116" i="123"/>
  <c r="K116" i="123"/>
  <c r="L116" i="123"/>
  <c r="M116" i="123"/>
  <c r="N116" i="123"/>
  <c r="O116" i="123"/>
  <c r="P116" i="123"/>
  <c r="Q116" i="123"/>
  <c r="R116" i="123"/>
  <c r="S116" i="123"/>
  <c r="T116" i="123"/>
  <c r="U116" i="123"/>
  <c r="V116" i="123"/>
  <c r="W116" i="123"/>
  <c r="X116" i="123"/>
  <c r="Y116" i="123"/>
  <c r="Z116" i="123"/>
  <c r="AA116" i="123"/>
  <c r="AB116" i="123"/>
  <c r="AC116" i="123"/>
  <c r="AD116" i="123"/>
  <c r="AE116" i="123"/>
  <c r="AF116" i="123"/>
  <c r="AG116" i="123"/>
  <c r="AH116" i="123"/>
  <c r="AI116" i="123"/>
  <c r="AJ116" i="123"/>
  <c r="AK116" i="123"/>
  <c r="AL116" i="123"/>
  <c r="AM116" i="123"/>
  <c r="AN116" i="123"/>
  <c r="AO116" i="123"/>
  <c r="AP116" i="123"/>
  <c r="AQ116" i="123"/>
  <c r="AR116" i="123"/>
  <c r="AS116" i="123"/>
  <c r="AT116" i="123"/>
  <c r="AU116" i="123"/>
  <c r="AV116" i="123"/>
  <c r="AW116" i="123"/>
  <c r="AX116" i="123"/>
  <c r="AY116" i="123"/>
  <c r="AZ116" i="123"/>
  <c r="BA116" i="123"/>
  <c r="BB116" i="123"/>
  <c r="BC116" i="123"/>
  <c r="BD116" i="123"/>
  <c r="BE116" i="123"/>
  <c r="BF116" i="123"/>
  <c r="E117" i="123"/>
  <c r="F117" i="123"/>
  <c r="G117" i="123"/>
  <c r="H117" i="123"/>
  <c r="I117" i="123"/>
  <c r="J117" i="123"/>
  <c r="K117" i="123"/>
  <c r="L117" i="123"/>
  <c r="M117" i="123"/>
  <c r="N117" i="123"/>
  <c r="O117" i="123"/>
  <c r="P117" i="123"/>
  <c r="Q117" i="123"/>
  <c r="R117" i="123"/>
  <c r="S117" i="123"/>
  <c r="T117" i="123"/>
  <c r="U117" i="123"/>
  <c r="V117" i="123"/>
  <c r="W117" i="123"/>
  <c r="X117" i="123"/>
  <c r="Y117" i="123"/>
  <c r="Z117" i="123"/>
  <c r="AA117" i="123"/>
  <c r="AB117" i="123"/>
  <c r="AC117" i="123"/>
  <c r="AD117" i="123"/>
  <c r="AE117" i="123"/>
  <c r="AF117" i="123"/>
  <c r="AG117" i="123"/>
  <c r="AH117" i="123"/>
  <c r="AI117" i="123"/>
  <c r="AJ117" i="123"/>
  <c r="AK117" i="123"/>
  <c r="AL117" i="123"/>
  <c r="AM117" i="123"/>
  <c r="AN117" i="123"/>
  <c r="AO117" i="123"/>
  <c r="AP117" i="123"/>
  <c r="AQ117" i="123"/>
  <c r="AR117" i="123"/>
  <c r="AS117" i="123"/>
  <c r="AT117" i="123"/>
  <c r="AU117" i="123"/>
  <c r="AV117" i="123"/>
  <c r="AW117" i="123"/>
  <c r="AX117" i="123"/>
  <c r="AY117" i="123"/>
  <c r="AZ117" i="123"/>
  <c r="BA117" i="123"/>
  <c r="BB117" i="123"/>
  <c r="BC117" i="123"/>
  <c r="BD117" i="123"/>
  <c r="BE117" i="123"/>
  <c r="BF117" i="123"/>
  <c r="E118" i="123"/>
  <c r="F118" i="123"/>
  <c r="G118" i="123"/>
  <c r="H118" i="123"/>
  <c r="I118" i="123"/>
  <c r="J118" i="123"/>
  <c r="K118" i="123"/>
  <c r="L118" i="123"/>
  <c r="M118" i="123"/>
  <c r="N118" i="123"/>
  <c r="O118" i="123"/>
  <c r="P118" i="123"/>
  <c r="Q118" i="123"/>
  <c r="R118" i="123"/>
  <c r="S118" i="123"/>
  <c r="T118" i="123"/>
  <c r="U118" i="123"/>
  <c r="V118" i="123"/>
  <c r="W118" i="123"/>
  <c r="X118" i="123"/>
  <c r="Y118" i="123"/>
  <c r="Z118" i="123"/>
  <c r="AA118" i="123"/>
  <c r="AB118" i="123"/>
  <c r="AC118" i="123"/>
  <c r="AD118" i="123"/>
  <c r="AE118" i="123"/>
  <c r="AF118" i="123"/>
  <c r="AG118" i="123"/>
  <c r="AH118" i="123"/>
  <c r="AI118" i="123"/>
  <c r="AJ118" i="123"/>
  <c r="AK118" i="123"/>
  <c r="AL118" i="123"/>
  <c r="AM118" i="123"/>
  <c r="AN118" i="123"/>
  <c r="AO118" i="123"/>
  <c r="AP118" i="123"/>
  <c r="AQ118" i="123"/>
  <c r="AR118" i="123"/>
  <c r="AS118" i="123"/>
  <c r="AT118" i="123"/>
  <c r="AU118" i="123"/>
  <c r="AV118" i="123"/>
  <c r="AW118" i="123"/>
  <c r="AX118" i="123"/>
  <c r="AY118" i="123"/>
  <c r="AZ118" i="123"/>
  <c r="BA118" i="123"/>
  <c r="BB118" i="123"/>
  <c r="BC118" i="123"/>
  <c r="BD118" i="123"/>
  <c r="BE118" i="123"/>
  <c r="BF118" i="123"/>
  <c r="E119" i="123"/>
  <c r="F119" i="123"/>
  <c r="G119" i="123"/>
  <c r="H119" i="123"/>
  <c r="I119" i="123"/>
  <c r="J119" i="123"/>
  <c r="K119" i="123"/>
  <c r="L119" i="123"/>
  <c r="M119" i="123"/>
  <c r="N119" i="123"/>
  <c r="O119" i="123"/>
  <c r="P119" i="123"/>
  <c r="Q119" i="123"/>
  <c r="R119" i="123"/>
  <c r="S119" i="123"/>
  <c r="T119" i="123"/>
  <c r="U119" i="123"/>
  <c r="V119" i="123"/>
  <c r="W119" i="123"/>
  <c r="X119" i="123"/>
  <c r="Y119" i="123"/>
  <c r="Z119" i="123"/>
  <c r="AA119" i="123"/>
  <c r="AB119" i="123"/>
  <c r="AC119" i="123"/>
  <c r="AD119" i="123"/>
  <c r="AE119" i="123"/>
  <c r="AF119" i="123"/>
  <c r="AG119" i="123"/>
  <c r="AH119" i="123"/>
  <c r="AI119" i="123"/>
  <c r="AJ119" i="123"/>
  <c r="AK119" i="123"/>
  <c r="AL119" i="123"/>
  <c r="AM119" i="123"/>
  <c r="AN119" i="123"/>
  <c r="AO119" i="123"/>
  <c r="AP119" i="123"/>
  <c r="AQ119" i="123"/>
  <c r="AR119" i="123"/>
  <c r="AS119" i="123"/>
  <c r="AT119" i="123"/>
  <c r="AU119" i="123"/>
  <c r="AV119" i="123"/>
  <c r="AW119" i="123"/>
  <c r="AX119" i="123"/>
  <c r="AY119" i="123"/>
  <c r="AZ119" i="123"/>
  <c r="BA119" i="123"/>
  <c r="BB119" i="123"/>
  <c r="BC119" i="123"/>
  <c r="BD119" i="123"/>
  <c r="BE119" i="123"/>
  <c r="BF119" i="123"/>
  <c r="E120" i="123"/>
  <c r="F120" i="123"/>
  <c r="G120" i="123"/>
  <c r="H120" i="123"/>
  <c r="I120" i="123"/>
  <c r="J120" i="123"/>
  <c r="K120" i="123"/>
  <c r="L120" i="123"/>
  <c r="M120" i="123"/>
  <c r="N120" i="123"/>
  <c r="O120" i="123"/>
  <c r="P120" i="123"/>
  <c r="Q120" i="123"/>
  <c r="R120" i="123"/>
  <c r="S120" i="123"/>
  <c r="T120" i="123"/>
  <c r="U120" i="123"/>
  <c r="V120" i="123"/>
  <c r="W120" i="123"/>
  <c r="X120" i="123"/>
  <c r="Y120" i="123"/>
  <c r="Z120" i="123"/>
  <c r="AA120" i="123"/>
  <c r="AB120" i="123"/>
  <c r="AC120" i="123"/>
  <c r="AD120" i="123"/>
  <c r="AE120" i="123"/>
  <c r="AF120" i="123"/>
  <c r="AG120" i="123"/>
  <c r="AH120" i="123"/>
  <c r="AI120" i="123"/>
  <c r="AJ120" i="123"/>
  <c r="AK120" i="123"/>
  <c r="AL120" i="123"/>
  <c r="AM120" i="123"/>
  <c r="AN120" i="123"/>
  <c r="AO120" i="123"/>
  <c r="AP120" i="123"/>
  <c r="AQ120" i="123"/>
  <c r="AR120" i="123"/>
  <c r="AS120" i="123"/>
  <c r="AT120" i="123"/>
  <c r="AU120" i="123"/>
  <c r="AV120" i="123"/>
  <c r="AW120" i="123"/>
  <c r="AX120" i="123"/>
  <c r="AY120" i="123"/>
  <c r="AZ120" i="123"/>
  <c r="BA120" i="123"/>
  <c r="BB120" i="123"/>
  <c r="BC120" i="123"/>
  <c r="BD120" i="123"/>
  <c r="BE120" i="123"/>
  <c r="BF120" i="123"/>
  <c r="E121" i="123"/>
  <c r="F121" i="123"/>
  <c r="G121" i="123"/>
  <c r="H121" i="123"/>
  <c r="I121" i="123"/>
  <c r="J121" i="123"/>
  <c r="K121" i="123"/>
  <c r="L121" i="123"/>
  <c r="M121" i="123"/>
  <c r="N121" i="123"/>
  <c r="O121" i="123"/>
  <c r="P121" i="123"/>
  <c r="Q121" i="123"/>
  <c r="R121" i="123"/>
  <c r="S121" i="123"/>
  <c r="T121" i="123"/>
  <c r="U121" i="123"/>
  <c r="V121" i="123"/>
  <c r="W121" i="123"/>
  <c r="X121" i="123"/>
  <c r="Y121" i="123"/>
  <c r="Z121" i="123"/>
  <c r="AA121" i="123"/>
  <c r="AB121" i="123"/>
  <c r="AC121" i="123"/>
  <c r="AD121" i="123"/>
  <c r="AE121" i="123"/>
  <c r="AF121" i="123"/>
  <c r="AG121" i="123"/>
  <c r="AH121" i="123"/>
  <c r="AI121" i="123"/>
  <c r="AJ121" i="123"/>
  <c r="AK121" i="123"/>
  <c r="AL121" i="123"/>
  <c r="AM121" i="123"/>
  <c r="AN121" i="123"/>
  <c r="AO121" i="123"/>
  <c r="AP121" i="123"/>
  <c r="AQ121" i="123"/>
  <c r="AR121" i="123"/>
  <c r="AS121" i="123"/>
  <c r="AT121" i="123"/>
  <c r="AU121" i="123"/>
  <c r="AV121" i="123"/>
  <c r="AW121" i="123"/>
  <c r="AX121" i="123"/>
  <c r="AY121" i="123"/>
  <c r="AZ121" i="123"/>
  <c r="BA121" i="123"/>
  <c r="BB121" i="123"/>
  <c r="BC121" i="123"/>
  <c r="BD121" i="123"/>
  <c r="BE121" i="123"/>
  <c r="BF121" i="123"/>
  <c r="E122" i="123"/>
  <c r="F122" i="123"/>
  <c r="G122" i="123"/>
  <c r="H122" i="123"/>
  <c r="I122" i="123"/>
  <c r="J122" i="123"/>
  <c r="K122" i="123"/>
  <c r="L122" i="123"/>
  <c r="M122" i="123"/>
  <c r="N122" i="123"/>
  <c r="O122" i="123"/>
  <c r="P122" i="123"/>
  <c r="Q122" i="123"/>
  <c r="R122" i="123"/>
  <c r="S122" i="123"/>
  <c r="T122" i="123"/>
  <c r="U122" i="123"/>
  <c r="V122" i="123"/>
  <c r="W122" i="123"/>
  <c r="X122" i="123"/>
  <c r="Y122" i="123"/>
  <c r="Z122" i="123"/>
  <c r="AA122" i="123"/>
  <c r="AB122" i="123"/>
  <c r="AC122" i="123"/>
  <c r="AD122" i="123"/>
  <c r="AE122" i="123"/>
  <c r="AF122" i="123"/>
  <c r="AG122" i="123"/>
  <c r="AH122" i="123"/>
  <c r="AI122" i="123"/>
  <c r="AJ122" i="123"/>
  <c r="AK122" i="123"/>
  <c r="AL122" i="123"/>
  <c r="AM122" i="123"/>
  <c r="AN122" i="123"/>
  <c r="AO122" i="123"/>
  <c r="AP122" i="123"/>
  <c r="AQ122" i="123"/>
  <c r="AR122" i="123"/>
  <c r="AS122" i="123"/>
  <c r="AT122" i="123"/>
  <c r="AU122" i="123"/>
  <c r="AV122" i="123"/>
  <c r="AW122" i="123"/>
  <c r="AX122" i="123"/>
  <c r="AY122" i="123"/>
  <c r="AZ122" i="123"/>
  <c r="BA122" i="123"/>
  <c r="BB122" i="123"/>
  <c r="BC122" i="123"/>
  <c r="BD122" i="123"/>
  <c r="BE122" i="123"/>
  <c r="BF122" i="123"/>
  <c r="E123" i="123"/>
  <c r="F123" i="123"/>
  <c r="G123" i="123"/>
  <c r="H123" i="123"/>
  <c r="I123" i="123"/>
  <c r="J123" i="123"/>
  <c r="K123" i="123"/>
  <c r="L123" i="123"/>
  <c r="M123" i="123"/>
  <c r="N123" i="123"/>
  <c r="O123" i="123"/>
  <c r="P123" i="123"/>
  <c r="Q123" i="123"/>
  <c r="R123" i="123"/>
  <c r="S123" i="123"/>
  <c r="T123" i="123"/>
  <c r="U123" i="123"/>
  <c r="V123" i="123"/>
  <c r="W123" i="123"/>
  <c r="X123" i="123"/>
  <c r="Y123" i="123"/>
  <c r="Z123" i="123"/>
  <c r="AA123" i="123"/>
  <c r="AB123" i="123"/>
  <c r="AC123" i="123"/>
  <c r="AD123" i="123"/>
  <c r="AE123" i="123"/>
  <c r="AF123" i="123"/>
  <c r="AG123" i="123"/>
  <c r="AH123" i="123"/>
  <c r="AI123" i="123"/>
  <c r="AJ123" i="123"/>
  <c r="AK123" i="123"/>
  <c r="AL123" i="123"/>
  <c r="AM123" i="123"/>
  <c r="AN123" i="123"/>
  <c r="AO123" i="123"/>
  <c r="AP123" i="123"/>
  <c r="AQ123" i="123"/>
  <c r="AR123" i="123"/>
  <c r="AS123" i="123"/>
  <c r="AT123" i="123"/>
  <c r="AU123" i="123"/>
  <c r="AV123" i="123"/>
  <c r="AW123" i="123"/>
  <c r="AX123" i="123"/>
  <c r="AY123" i="123"/>
  <c r="AZ123" i="123"/>
  <c r="BA123" i="123"/>
  <c r="BB123" i="123"/>
  <c r="BC123" i="123"/>
  <c r="BD123" i="123"/>
  <c r="BE123" i="123"/>
  <c r="BF123" i="123"/>
  <c r="E124" i="123"/>
  <c r="F124" i="123"/>
  <c r="G124" i="123"/>
  <c r="H124" i="123"/>
  <c r="I124" i="123"/>
  <c r="J124" i="123"/>
  <c r="K124" i="123"/>
  <c r="L124" i="123"/>
  <c r="M124" i="123"/>
  <c r="N124" i="123"/>
  <c r="O124" i="123"/>
  <c r="P124" i="123"/>
  <c r="Q124" i="123"/>
  <c r="R124" i="123"/>
  <c r="S124" i="123"/>
  <c r="T124" i="123"/>
  <c r="U124" i="123"/>
  <c r="V124" i="123"/>
  <c r="W124" i="123"/>
  <c r="X124" i="123"/>
  <c r="Y124" i="123"/>
  <c r="Z124" i="123"/>
  <c r="AA124" i="123"/>
  <c r="AB124" i="123"/>
  <c r="AC124" i="123"/>
  <c r="AD124" i="123"/>
  <c r="AE124" i="123"/>
  <c r="AF124" i="123"/>
  <c r="AG124" i="123"/>
  <c r="AH124" i="123"/>
  <c r="AI124" i="123"/>
  <c r="AJ124" i="123"/>
  <c r="AK124" i="123"/>
  <c r="AL124" i="123"/>
  <c r="AM124" i="123"/>
  <c r="AN124" i="123"/>
  <c r="AO124" i="123"/>
  <c r="AP124" i="123"/>
  <c r="AQ124" i="123"/>
  <c r="AR124" i="123"/>
  <c r="AS124" i="123"/>
  <c r="AT124" i="123"/>
  <c r="AU124" i="123"/>
  <c r="AV124" i="123"/>
  <c r="AW124" i="123"/>
  <c r="AX124" i="123"/>
  <c r="AY124" i="123"/>
  <c r="AZ124" i="123"/>
  <c r="BA124" i="123"/>
  <c r="BB124" i="123"/>
  <c r="BC124" i="123"/>
  <c r="BD124" i="123"/>
  <c r="BE124" i="123"/>
  <c r="BF124" i="123"/>
  <c r="E125" i="123"/>
  <c r="F125" i="123"/>
  <c r="G125" i="123"/>
  <c r="H125" i="123"/>
  <c r="I125" i="123"/>
  <c r="J125" i="123"/>
  <c r="K125" i="123"/>
  <c r="L125" i="123"/>
  <c r="M125" i="123"/>
  <c r="N125" i="123"/>
  <c r="O125" i="123"/>
  <c r="P125" i="123"/>
  <c r="Q125" i="123"/>
  <c r="R125" i="123"/>
  <c r="S125" i="123"/>
  <c r="T125" i="123"/>
  <c r="U125" i="123"/>
  <c r="V125" i="123"/>
  <c r="W125" i="123"/>
  <c r="X125" i="123"/>
  <c r="Y125" i="123"/>
  <c r="Z125" i="123"/>
  <c r="AA125" i="123"/>
  <c r="AB125" i="123"/>
  <c r="AC125" i="123"/>
  <c r="AD125" i="123"/>
  <c r="AE125" i="123"/>
  <c r="AF125" i="123"/>
  <c r="AG125" i="123"/>
  <c r="AH125" i="123"/>
  <c r="AI125" i="123"/>
  <c r="AJ125" i="123"/>
  <c r="AK125" i="123"/>
  <c r="AL125" i="123"/>
  <c r="AM125" i="123"/>
  <c r="AN125" i="123"/>
  <c r="AO125" i="123"/>
  <c r="AP125" i="123"/>
  <c r="AQ125" i="123"/>
  <c r="AR125" i="123"/>
  <c r="AS125" i="123"/>
  <c r="AT125" i="123"/>
  <c r="AU125" i="123"/>
  <c r="AV125" i="123"/>
  <c r="AW125" i="123"/>
  <c r="AX125" i="123"/>
  <c r="AY125" i="123"/>
  <c r="AZ125" i="123"/>
  <c r="BA125" i="123"/>
  <c r="BB125" i="123"/>
  <c r="BC125" i="123"/>
  <c r="BD125" i="123"/>
  <c r="BE125" i="123"/>
  <c r="BF125" i="123"/>
  <c r="E126" i="123"/>
  <c r="F126" i="123"/>
  <c r="G126" i="123"/>
  <c r="H126" i="123"/>
  <c r="I126" i="123"/>
  <c r="J126" i="123"/>
  <c r="K126" i="123"/>
  <c r="L126" i="123"/>
  <c r="M126" i="123"/>
  <c r="N126" i="123"/>
  <c r="O126" i="123"/>
  <c r="P126" i="123"/>
  <c r="Q126" i="123"/>
  <c r="R126" i="123"/>
  <c r="S126" i="123"/>
  <c r="T126" i="123"/>
  <c r="U126" i="123"/>
  <c r="V126" i="123"/>
  <c r="W126" i="123"/>
  <c r="X126" i="123"/>
  <c r="Y126" i="123"/>
  <c r="Z126" i="123"/>
  <c r="AA126" i="123"/>
  <c r="AB126" i="123"/>
  <c r="AC126" i="123"/>
  <c r="AD126" i="123"/>
  <c r="AE126" i="123"/>
  <c r="AF126" i="123"/>
  <c r="AG126" i="123"/>
  <c r="AH126" i="123"/>
  <c r="AI126" i="123"/>
  <c r="AJ126" i="123"/>
  <c r="AK126" i="123"/>
  <c r="AL126" i="123"/>
  <c r="AM126" i="123"/>
  <c r="AN126" i="123"/>
  <c r="AO126" i="123"/>
  <c r="AP126" i="123"/>
  <c r="AQ126" i="123"/>
  <c r="AR126" i="123"/>
  <c r="AS126" i="123"/>
  <c r="AT126" i="123"/>
  <c r="AU126" i="123"/>
  <c r="AV126" i="123"/>
  <c r="AW126" i="123"/>
  <c r="AX126" i="123"/>
  <c r="AY126" i="123"/>
  <c r="AZ126" i="123"/>
  <c r="BA126" i="123"/>
  <c r="BB126" i="123"/>
  <c r="BC126" i="123"/>
  <c r="BD126" i="123"/>
  <c r="BE126" i="123"/>
  <c r="BF126" i="123"/>
  <c r="E127" i="123"/>
  <c r="F127" i="123"/>
  <c r="G127" i="123"/>
  <c r="H127" i="123"/>
  <c r="I127" i="123"/>
  <c r="J127" i="123"/>
  <c r="K127" i="123"/>
  <c r="L127" i="123"/>
  <c r="M127" i="123"/>
  <c r="N127" i="123"/>
  <c r="O127" i="123"/>
  <c r="P127" i="123"/>
  <c r="Q127" i="123"/>
  <c r="R127" i="123"/>
  <c r="S127" i="123"/>
  <c r="T127" i="123"/>
  <c r="U127" i="123"/>
  <c r="V127" i="123"/>
  <c r="W127" i="123"/>
  <c r="X127" i="123"/>
  <c r="Y127" i="123"/>
  <c r="Z127" i="123"/>
  <c r="AA127" i="123"/>
  <c r="AB127" i="123"/>
  <c r="AC127" i="123"/>
  <c r="AD127" i="123"/>
  <c r="AE127" i="123"/>
  <c r="AF127" i="123"/>
  <c r="AG127" i="123"/>
  <c r="AH127" i="123"/>
  <c r="AI127" i="123"/>
  <c r="AJ127" i="123"/>
  <c r="AK127" i="123"/>
  <c r="AL127" i="123"/>
  <c r="AM127" i="123"/>
  <c r="AN127" i="123"/>
  <c r="AO127" i="123"/>
  <c r="AP127" i="123"/>
  <c r="AQ127" i="123"/>
  <c r="AR127" i="123"/>
  <c r="AS127" i="123"/>
  <c r="AT127" i="123"/>
  <c r="AU127" i="123"/>
  <c r="AV127" i="123"/>
  <c r="AW127" i="123"/>
  <c r="AX127" i="123"/>
  <c r="AY127" i="123"/>
  <c r="AZ127" i="123"/>
  <c r="BA127" i="123"/>
  <c r="BB127" i="123"/>
  <c r="BC127" i="123"/>
  <c r="BD127" i="123"/>
  <c r="BE127" i="123"/>
  <c r="BF127" i="123"/>
  <c r="E128" i="123"/>
  <c r="F128" i="123"/>
  <c r="G128" i="123"/>
  <c r="H128" i="123"/>
  <c r="I128" i="123"/>
  <c r="J128" i="123"/>
  <c r="K128" i="123"/>
  <c r="L128" i="123"/>
  <c r="M128" i="123"/>
  <c r="N128" i="123"/>
  <c r="O128" i="123"/>
  <c r="P128" i="123"/>
  <c r="Q128" i="123"/>
  <c r="R128" i="123"/>
  <c r="S128" i="123"/>
  <c r="T128" i="123"/>
  <c r="U128" i="123"/>
  <c r="V128" i="123"/>
  <c r="W128" i="123"/>
  <c r="X128" i="123"/>
  <c r="Y128" i="123"/>
  <c r="Z128" i="123"/>
  <c r="AA128" i="123"/>
  <c r="AB128" i="123"/>
  <c r="AC128" i="123"/>
  <c r="AD128" i="123"/>
  <c r="AE128" i="123"/>
  <c r="AF128" i="123"/>
  <c r="AG128" i="123"/>
  <c r="AH128" i="123"/>
  <c r="AI128" i="123"/>
  <c r="AJ128" i="123"/>
  <c r="AK128" i="123"/>
  <c r="AL128" i="123"/>
  <c r="AM128" i="123"/>
  <c r="AN128" i="123"/>
  <c r="AO128" i="123"/>
  <c r="AP128" i="123"/>
  <c r="AQ128" i="123"/>
  <c r="AR128" i="123"/>
  <c r="AS128" i="123"/>
  <c r="AT128" i="123"/>
  <c r="AU128" i="123"/>
  <c r="AV128" i="123"/>
  <c r="AW128" i="123"/>
  <c r="AX128" i="123"/>
  <c r="AY128" i="123"/>
  <c r="AZ128" i="123"/>
  <c r="BA128" i="123"/>
  <c r="BB128" i="123"/>
  <c r="BC128" i="123"/>
  <c r="BD128" i="123"/>
  <c r="BE128" i="123"/>
  <c r="BF128" i="123"/>
  <c r="E129" i="123"/>
  <c r="F129" i="123"/>
  <c r="G129" i="123"/>
  <c r="H129" i="123"/>
  <c r="I129" i="123"/>
  <c r="J129" i="123"/>
  <c r="K129" i="123"/>
  <c r="L129" i="123"/>
  <c r="M129" i="123"/>
  <c r="N129" i="123"/>
  <c r="O129" i="123"/>
  <c r="P129" i="123"/>
  <c r="Q129" i="123"/>
  <c r="R129" i="123"/>
  <c r="S129" i="123"/>
  <c r="T129" i="123"/>
  <c r="U129" i="123"/>
  <c r="V129" i="123"/>
  <c r="W129" i="123"/>
  <c r="X129" i="123"/>
  <c r="Y129" i="123"/>
  <c r="Z129" i="123"/>
  <c r="AA129" i="123"/>
  <c r="AB129" i="123"/>
  <c r="AC129" i="123"/>
  <c r="AD129" i="123"/>
  <c r="AE129" i="123"/>
  <c r="AF129" i="123"/>
  <c r="AG129" i="123"/>
  <c r="AH129" i="123"/>
  <c r="AI129" i="123"/>
  <c r="AJ129" i="123"/>
  <c r="AK129" i="123"/>
  <c r="AL129" i="123"/>
  <c r="AM129" i="123"/>
  <c r="AN129" i="123"/>
  <c r="AO129" i="123"/>
  <c r="AP129" i="123"/>
  <c r="AQ129" i="123"/>
  <c r="AR129" i="123"/>
  <c r="AS129" i="123"/>
  <c r="AT129" i="123"/>
  <c r="AU129" i="123"/>
  <c r="AV129" i="123"/>
  <c r="AW129" i="123"/>
  <c r="AX129" i="123"/>
  <c r="AY129" i="123"/>
  <c r="AZ129" i="123"/>
  <c r="BA129" i="123"/>
  <c r="BB129" i="123"/>
  <c r="BC129" i="123"/>
  <c r="BD129" i="123"/>
  <c r="BE129" i="123"/>
  <c r="BF129" i="123"/>
  <c r="E130" i="123"/>
  <c r="F130" i="123"/>
  <c r="G130" i="123"/>
  <c r="H130" i="123"/>
  <c r="I130" i="123"/>
  <c r="J130" i="123"/>
  <c r="K130" i="123"/>
  <c r="L130" i="123"/>
  <c r="M130" i="123"/>
  <c r="N130" i="123"/>
  <c r="O130" i="123"/>
  <c r="P130" i="123"/>
  <c r="Q130" i="123"/>
  <c r="R130" i="123"/>
  <c r="S130" i="123"/>
  <c r="T130" i="123"/>
  <c r="U130" i="123"/>
  <c r="V130" i="123"/>
  <c r="W130" i="123"/>
  <c r="X130" i="123"/>
  <c r="Y130" i="123"/>
  <c r="Z130" i="123"/>
  <c r="AA130" i="123"/>
  <c r="AB130" i="123"/>
  <c r="AC130" i="123"/>
  <c r="AD130" i="123"/>
  <c r="AE130" i="123"/>
  <c r="AF130" i="123"/>
  <c r="AG130" i="123"/>
  <c r="AH130" i="123"/>
  <c r="AI130" i="123"/>
  <c r="AJ130" i="123"/>
  <c r="AK130" i="123"/>
  <c r="AL130" i="123"/>
  <c r="AM130" i="123"/>
  <c r="AN130" i="123"/>
  <c r="AO130" i="123"/>
  <c r="AP130" i="123"/>
  <c r="AQ130" i="123"/>
  <c r="AR130" i="123"/>
  <c r="AS130" i="123"/>
  <c r="AT130" i="123"/>
  <c r="AU130" i="123"/>
  <c r="AV130" i="123"/>
  <c r="AW130" i="123"/>
  <c r="AX130" i="123"/>
  <c r="AY130" i="123"/>
  <c r="AZ130" i="123"/>
  <c r="BA130" i="123"/>
  <c r="BB130" i="123"/>
  <c r="BC130" i="123"/>
  <c r="BD130" i="123"/>
  <c r="BE130" i="123"/>
  <c r="BF130" i="123"/>
  <c r="E131" i="123"/>
  <c r="F131" i="123"/>
  <c r="G131" i="123"/>
  <c r="H131" i="123"/>
  <c r="I131" i="123"/>
  <c r="J131" i="123"/>
  <c r="K131" i="123"/>
  <c r="L131" i="123"/>
  <c r="M131" i="123"/>
  <c r="N131" i="123"/>
  <c r="O131" i="123"/>
  <c r="P131" i="123"/>
  <c r="Q131" i="123"/>
  <c r="R131" i="123"/>
  <c r="S131" i="123"/>
  <c r="T131" i="123"/>
  <c r="U131" i="123"/>
  <c r="V131" i="123"/>
  <c r="W131" i="123"/>
  <c r="X131" i="123"/>
  <c r="Y131" i="123"/>
  <c r="Z131" i="123"/>
  <c r="AA131" i="123"/>
  <c r="AB131" i="123"/>
  <c r="AC131" i="123"/>
  <c r="AD131" i="123"/>
  <c r="AE131" i="123"/>
  <c r="AF131" i="123"/>
  <c r="AG131" i="123"/>
  <c r="AH131" i="123"/>
  <c r="AI131" i="123"/>
  <c r="AJ131" i="123"/>
  <c r="AK131" i="123"/>
  <c r="AL131" i="123"/>
  <c r="AM131" i="123"/>
  <c r="AN131" i="123"/>
  <c r="AO131" i="123"/>
  <c r="AP131" i="123"/>
  <c r="AQ131" i="123"/>
  <c r="AR131" i="123"/>
  <c r="AS131" i="123"/>
  <c r="AT131" i="123"/>
  <c r="AU131" i="123"/>
  <c r="AV131" i="123"/>
  <c r="AW131" i="123"/>
  <c r="AX131" i="123"/>
  <c r="AY131" i="123"/>
  <c r="AZ131" i="123"/>
  <c r="BA131" i="123"/>
  <c r="BB131" i="123"/>
  <c r="BC131" i="123"/>
  <c r="BD131" i="123"/>
  <c r="BE131" i="123"/>
  <c r="BF131" i="123"/>
  <c r="E132" i="123"/>
  <c r="F132" i="123"/>
  <c r="G132" i="123"/>
  <c r="H132" i="123"/>
  <c r="I132" i="123"/>
  <c r="J132" i="123"/>
  <c r="K132" i="123"/>
  <c r="L132" i="123"/>
  <c r="M132" i="123"/>
  <c r="N132" i="123"/>
  <c r="O132" i="123"/>
  <c r="P132" i="123"/>
  <c r="Q132" i="123"/>
  <c r="R132" i="123"/>
  <c r="S132" i="123"/>
  <c r="T132" i="123"/>
  <c r="U132" i="123"/>
  <c r="V132" i="123"/>
  <c r="W132" i="123"/>
  <c r="X132" i="123"/>
  <c r="Y132" i="123"/>
  <c r="Z132" i="123"/>
  <c r="AA132" i="123"/>
  <c r="AB132" i="123"/>
  <c r="AC132" i="123"/>
  <c r="AD132" i="123"/>
  <c r="AE132" i="123"/>
  <c r="AF132" i="123"/>
  <c r="AG132" i="123"/>
  <c r="AH132" i="123"/>
  <c r="AI132" i="123"/>
  <c r="AJ132" i="123"/>
  <c r="AK132" i="123"/>
  <c r="AL132" i="123"/>
  <c r="AM132" i="123"/>
  <c r="AN132" i="123"/>
  <c r="AO132" i="123"/>
  <c r="AP132" i="123"/>
  <c r="AQ132" i="123"/>
  <c r="AR132" i="123"/>
  <c r="AS132" i="123"/>
  <c r="AT132" i="123"/>
  <c r="AU132" i="123"/>
  <c r="AV132" i="123"/>
  <c r="AW132" i="123"/>
  <c r="AX132" i="123"/>
  <c r="AY132" i="123"/>
  <c r="AZ132" i="123"/>
  <c r="BA132" i="123"/>
  <c r="BB132" i="123"/>
  <c r="BC132" i="123"/>
  <c r="BD132" i="123"/>
  <c r="BE132" i="123"/>
  <c r="BF132" i="123"/>
  <c r="E133" i="123"/>
  <c r="F133" i="123"/>
  <c r="G133" i="123"/>
  <c r="H133" i="123"/>
  <c r="I133" i="123"/>
  <c r="J133" i="123"/>
  <c r="K133" i="123"/>
  <c r="L133" i="123"/>
  <c r="M133" i="123"/>
  <c r="N133" i="123"/>
  <c r="O133" i="123"/>
  <c r="P133" i="123"/>
  <c r="Q133" i="123"/>
  <c r="R133" i="123"/>
  <c r="S133" i="123"/>
  <c r="T133" i="123"/>
  <c r="U133" i="123"/>
  <c r="V133" i="123"/>
  <c r="W133" i="123"/>
  <c r="X133" i="123"/>
  <c r="Y133" i="123"/>
  <c r="Z133" i="123"/>
  <c r="AA133" i="123"/>
  <c r="AB133" i="123"/>
  <c r="AC133" i="123"/>
  <c r="AD133" i="123"/>
  <c r="AE133" i="123"/>
  <c r="AF133" i="123"/>
  <c r="AG133" i="123"/>
  <c r="AH133" i="123"/>
  <c r="AI133" i="123"/>
  <c r="AJ133" i="123"/>
  <c r="AK133" i="123"/>
  <c r="AL133" i="123"/>
  <c r="AM133" i="123"/>
  <c r="AN133" i="123"/>
  <c r="AO133" i="123"/>
  <c r="AP133" i="123"/>
  <c r="AQ133" i="123"/>
  <c r="AR133" i="123"/>
  <c r="AS133" i="123"/>
  <c r="AT133" i="123"/>
  <c r="AU133" i="123"/>
  <c r="AV133" i="123"/>
  <c r="AW133" i="123"/>
  <c r="AX133" i="123"/>
  <c r="AY133" i="123"/>
  <c r="AZ133" i="123"/>
  <c r="BA133" i="123"/>
  <c r="BB133" i="123"/>
  <c r="BC133" i="123"/>
  <c r="BD133" i="123"/>
  <c r="BE133" i="123"/>
  <c r="BF133" i="123"/>
  <c r="D105" i="123"/>
  <c r="D106" i="123"/>
  <c r="D107" i="123"/>
  <c r="D108" i="123"/>
  <c r="D109" i="123"/>
  <c r="D110" i="123"/>
  <c r="D111" i="123"/>
  <c r="D112" i="123"/>
  <c r="D113" i="123"/>
  <c r="D114" i="123"/>
  <c r="D115" i="123"/>
  <c r="D116" i="123"/>
  <c r="D117" i="123"/>
  <c r="D118" i="123"/>
  <c r="D119" i="123"/>
  <c r="D120" i="123"/>
  <c r="D121" i="123"/>
  <c r="D122" i="123"/>
  <c r="D123" i="123"/>
  <c r="D124" i="123"/>
  <c r="D125" i="123"/>
  <c r="D126" i="123"/>
  <c r="D127" i="123"/>
  <c r="D128" i="123"/>
  <c r="D129" i="123"/>
  <c r="D130" i="123"/>
  <c r="D131" i="123"/>
  <c r="D132" i="123"/>
  <c r="D133" i="123"/>
  <c r="C106" i="123"/>
  <c r="C107" i="123"/>
  <c r="C108" i="123"/>
  <c r="C109" i="123"/>
  <c r="C110" i="123"/>
  <c r="C111" i="123"/>
  <c r="C112" i="123"/>
  <c r="C113" i="123"/>
  <c r="C114" i="123"/>
  <c r="C115" i="123"/>
  <c r="C116" i="123"/>
  <c r="C117" i="123"/>
  <c r="C118" i="123"/>
  <c r="C119" i="123"/>
  <c r="C120" i="123"/>
  <c r="C121" i="123"/>
  <c r="C122" i="123"/>
  <c r="C123" i="123"/>
  <c r="C124" i="123"/>
  <c r="C125" i="123"/>
  <c r="C126" i="123"/>
  <c r="C127" i="123"/>
  <c r="C128" i="123"/>
  <c r="C129" i="123"/>
  <c r="C130" i="123"/>
  <c r="C131" i="123"/>
  <c r="C132" i="123"/>
  <c r="C133" i="123"/>
  <c r="C105" i="123"/>
  <c r="D72" i="123"/>
  <c r="E72" i="123"/>
  <c r="F72" i="123"/>
  <c r="G72" i="123"/>
  <c r="H72" i="123"/>
  <c r="I72" i="123"/>
  <c r="J72" i="123"/>
  <c r="K72" i="123"/>
  <c r="L72" i="123"/>
  <c r="M72" i="123"/>
  <c r="N72" i="123"/>
  <c r="O72" i="123"/>
  <c r="P72" i="123"/>
  <c r="Q72" i="123"/>
  <c r="R72" i="123"/>
  <c r="S72" i="123"/>
  <c r="T72" i="123"/>
  <c r="U72" i="123"/>
  <c r="V72" i="123"/>
  <c r="W72" i="123"/>
  <c r="X72" i="123"/>
  <c r="Y72" i="123"/>
  <c r="Z72" i="123"/>
  <c r="AA72" i="123"/>
  <c r="AB72" i="123"/>
  <c r="AC72" i="123"/>
  <c r="AD72" i="123"/>
  <c r="AE72" i="123"/>
  <c r="AF72" i="123"/>
  <c r="AG72" i="123"/>
  <c r="AH72" i="123"/>
  <c r="AI72" i="123"/>
  <c r="AJ72" i="123"/>
  <c r="AK72" i="123"/>
  <c r="AL72" i="123"/>
  <c r="AM72" i="123"/>
  <c r="AN72" i="123"/>
  <c r="AO72" i="123"/>
  <c r="AP72" i="123"/>
  <c r="AQ72" i="123"/>
  <c r="AR72" i="123"/>
  <c r="AS72" i="123"/>
  <c r="AT72" i="123"/>
  <c r="AU72" i="123"/>
  <c r="AV72" i="123"/>
  <c r="AW72" i="123"/>
  <c r="AX72" i="123"/>
  <c r="AY72" i="123"/>
  <c r="AZ72" i="123"/>
  <c r="BA72" i="123"/>
  <c r="BB72" i="123"/>
  <c r="BC72" i="123"/>
  <c r="BD72" i="123"/>
  <c r="BE72" i="123"/>
  <c r="BF72" i="123"/>
  <c r="D73" i="123"/>
  <c r="E73" i="123"/>
  <c r="F73" i="123"/>
  <c r="G73" i="123"/>
  <c r="H73" i="123"/>
  <c r="I73" i="123"/>
  <c r="J73" i="123"/>
  <c r="K73" i="123"/>
  <c r="L73" i="123"/>
  <c r="M73" i="123"/>
  <c r="N73" i="123"/>
  <c r="O73" i="123"/>
  <c r="P73" i="123"/>
  <c r="Q73" i="123"/>
  <c r="R73" i="123"/>
  <c r="S73" i="123"/>
  <c r="T73" i="123"/>
  <c r="U73" i="123"/>
  <c r="V73" i="123"/>
  <c r="W73" i="123"/>
  <c r="X73" i="123"/>
  <c r="Y73" i="123"/>
  <c r="Z73" i="123"/>
  <c r="AA73" i="123"/>
  <c r="AB73" i="123"/>
  <c r="AC73" i="123"/>
  <c r="AD73" i="123"/>
  <c r="AE73" i="123"/>
  <c r="AF73" i="123"/>
  <c r="AG73" i="123"/>
  <c r="AH73" i="123"/>
  <c r="AI73" i="123"/>
  <c r="AJ73" i="123"/>
  <c r="AK73" i="123"/>
  <c r="AL73" i="123"/>
  <c r="AM73" i="123"/>
  <c r="AN73" i="123"/>
  <c r="AO73" i="123"/>
  <c r="AP73" i="123"/>
  <c r="AQ73" i="123"/>
  <c r="AR73" i="123"/>
  <c r="AS73" i="123"/>
  <c r="AT73" i="123"/>
  <c r="AU73" i="123"/>
  <c r="AV73" i="123"/>
  <c r="AW73" i="123"/>
  <c r="AX73" i="123"/>
  <c r="AY73" i="123"/>
  <c r="AZ73" i="123"/>
  <c r="BA73" i="123"/>
  <c r="BB73" i="123"/>
  <c r="BC73" i="123"/>
  <c r="BD73" i="123"/>
  <c r="BE73" i="123"/>
  <c r="BF73" i="123"/>
  <c r="D74" i="123"/>
  <c r="E74" i="123"/>
  <c r="F74" i="123"/>
  <c r="G74" i="123"/>
  <c r="H74" i="123"/>
  <c r="I74" i="123"/>
  <c r="J74" i="123"/>
  <c r="K74" i="123"/>
  <c r="L74" i="123"/>
  <c r="M74" i="123"/>
  <c r="N74" i="123"/>
  <c r="O74" i="123"/>
  <c r="P74" i="123"/>
  <c r="Q74" i="123"/>
  <c r="R74" i="123"/>
  <c r="S74" i="123"/>
  <c r="T74" i="123"/>
  <c r="U74" i="123"/>
  <c r="V74" i="123"/>
  <c r="W74" i="123"/>
  <c r="X74" i="123"/>
  <c r="Y74" i="123"/>
  <c r="Z74" i="123"/>
  <c r="AA74" i="123"/>
  <c r="AB74" i="123"/>
  <c r="AC74" i="123"/>
  <c r="AD74" i="123"/>
  <c r="AE74" i="123"/>
  <c r="AF74" i="123"/>
  <c r="AG74" i="123"/>
  <c r="AH74" i="123"/>
  <c r="AI74" i="123"/>
  <c r="AJ74" i="123"/>
  <c r="AK74" i="123"/>
  <c r="AL74" i="123"/>
  <c r="AM74" i="123"/>
  <c r="AN74" i="123"/>
  <c r="AO74" i="123"/>
  <c r="AP74" i="123"/>
  <c r="AQ74" i="123"/>
  <c r="AR74" i="123"/>
  <c r="AS74" i="123"/>
  <c r="AT74" i="123"/>
  <c r="AU74" i="123"/>
  <c r="AV74" i="123"/>
  <c r="AW74" i="123"/>
  <c r="AX74" i="123"/>
  <c r="AY74" i="123"/>
  <c r="AZ74" i="123"/>
  <c r="BA74" i="123"/>
  <c r="BB74" i="123"/>
  <c r="BC74" i="123"/>
  <c r="BD74" i="123"/>
  <c r="BE74" i="123"/>
  <c r="BF74" i="123"/>
  <c r="D75" i="123"/>
  <c r="E75" i="123"/>
  <c r="F75" i="123"/>
  <c r="G75" i="123"/>
  <c r="H75" i="123"/>
  <c r="I75" i="123"/>
  <c r="J75" i="123"/>
  <c r="K75" i="123"/>
  <c r="L75" i="123"/>
  <c r="M75" i="123"/>
  <c r="N75" i="123"/>
  <c r="O75" i="123"/>
  <c r="P75" i="123"/>
  <c r="Q75" i="123"/>
  <c r="R75" i="123"/>
  <c r="S75" i="123"/>
  <c r="T75" i="123"/>
  <c r="U75" i="123"/>
  <c r="V75" i="123"/>
  <c r="W75" i="123"/>
  <c r="X75" i="123"/>
  <c r="Y75" i="123"/>
  <c r="Z75" i="123"/>
  <c r="AA75" i="123"/>
  <c r="AB75" i="123"/>
  <c r="AC75" i="123"/>
  <c r="AD75" i="123"/>
  <c r="AE75" i="123"/>
  <c r="AF75" i="123"/>
  <c r="AG75" i="123"/>
  <c r="AH75" i="123"/>
  <c r="AI75" i="123"/>
  <c r="AJ75" i="123"/>
  <c r="AK75" i="123"/>
  <c r="AL75" i="123"/>
  <c r="AM75" i="123"/>
  <c r="AN75" i="123"/>
  <c r="AO75" i="123"/>
  <c r="AP75" i="123"/>
  <c r="AQ75" i="123"/>
  <c r="AR75" i="123"/>
  <c r="AS75" i="123"/>
  <c r="AT75" i="123"/>
  <c r="AU75" i="123"/>
  <c r="AV75" i="123"/>
  <c r="AW75" i="123"/>
  <c r="AX75" i="123"/>
  <c r="AY75" i="123"/>
  <c r="AZ75" i="123"/>
  <c r="BA75" i="123"/>
  <c r="BB75" i="123"/>
  <c r="BC75" i="123"/>
  <c r="BD75" i="123"/>
  <c r="BE75" i="123"/>
  <c r="BF75" i="123"/>
  <c r="D76" i="123"/>
  <c r="E76" i="123"/>
  <c r="F76" i="123"/>
  <c r="G76" i="123"/>
  <c r="H76" i="123"/>
  <c r="I76" i="123"/>
  <c r="J76" i="123"/>
  <c r="K76" i="123"/>
  <c r="L76" i="123"/>
  <c r="M76" i="123"/>
  <c r="N76" i="123"/>
  <c r="O76" i="123"/>
  <c r="P76" i="123"/>
  <c r="Q76" i="123"/>
  <c r="R76" i="123"/>
  <c r="S76" i="123"/>
  <c r="T76" i="123"/>
  <c r="U76" i="123"/>
  <c r="V76" i="123"/>
  <c r="W76" i="123"/>
  <c r="X76" i="123"/>
  <c r="Y76" i="123"/>
  <c r="Z76" i="123"/>
  <c r="AA76" i="123"/>
  <c r="AB76" i="123"/>
  <c r="AC76" i="123"/>
  <c r="AD76" i="123"/>
  <c r="AE76" i="123"/>
  <c r="AF76" i="123"/>
  <c r="AG76" i="123"/>
  <c r="AH76" i="123"/>
  <c r="AI76" i="123"/>
  <c r="AJ76" i="123"/>
  <c r="AK76" i="123"/>
  <c r="AL76" i="123"/>
  <c r="AM76" i="123"/>
  <c r="AN76" i="123"/>
  <c r="AO76" i="123"/>
  <c r="AP76" i="123"/>
  <c r="AQ76" i="123"/>
  <c r="AR76" i="123"/>
  <c r="AS76" i="123"/>
  <c r="AT76" i="123"/>
  <c r="AU76" i="123"/>
  <c r="AV76" i="123"/>
  <c r="AW76" i="123"/>
  <c r="AX76" i="123"/>
  <c r="AY76" i="123"/>
  <c r="AZ76" i="123"/>
  <c r="BA76" i="123"/>
  <c r="BB76" i="123"/>
  <c r="BC76" i="123"/>
  <c r="BD76" i="123"/>
  <c r="BE76" i="123"/>
  <c r="BF76" i="123"/>
  <c r="D77" i="123"/>
  <c r="E77" i="123"/>
  <c r="F77" i="123"/>
  <c r="G77" i="123"/>
  <c r="H77" i="123"/>
  <c r="I77" i="123"/>
  <c r="J77" i="123"/>
  <c r="K77" i="123"/>
  <c r="L77" i="123"/>
  <c r="M77" i="123"/>
  <c r="N77" i="123"/>
  <c r="O77" i="123"/>
  <c r="P77" i="123"/>
  <c r="Q77" i="123"/>
  <c r="R77" i="123"/>
  <c r="S77" i="123"/>
  <c r="T77" i="123"/>
  <c r="U77" i="123"/>
  <c r="V77" i="123"/>
  <c r="W77" i="123"/>
  <c r="X77" i="123"/>
  <c r="Y77" i="123"/>
  <c r="Z77" i="123"/>
  <c r="AA77" i="123"/>
  <c r="AB77" i="123"/>
  <c r="AC77" i="123"/>
  <c r="AD77" i="123"/>
  <c r="AE77" i="123"/>
  <c r="AF77" i="123"/>
  <c r="AG77" i="123"/>
  <c r="AH77" i="123"/>
  <c r="AI77" i="123"/>
  <c r="AJ77" i="123"/>
  <c r="AK77" i="123"/>
  <c r="AL77" i="123"/>
  <c r="AM77" i="123"/>
  <c r="AN77" i="123"/>
  <c r="AO77" i="123"/>
  <c r="AP77" i="123"/>
  <c r="AQ77" i="123"/>
  <c r="AR77" i="123"/>
  <c r="AS77" i="123"/>
  <c r="AT77" i="123"/>
  <c r="AU77" i="123"/>
  <c r="AV77" i="123"/>
  <c r="AW77" i="123"/>
  <c r="AX77" i="123"/>
  <c r="AY77" i="123"/>
  <c r="AZ77" i="123"/>
  <c r="BA77" i="123"/>
  <c r="BB77" i="123"/>
  <c r="BC77" i="123"/>
  <c r="BD77" i="123"/>
  <c r="BE77" i="123"/>
  <c r="BF77" i="123"/>
  <c r="D78" i="123"/>
  <c r="E78" i="123"/>
  <c r="F78" i="123"/>
  <c r="G78" i="123"/>
  <c r="H78" i="123"/>
  <c r="I78" i="123"/>
  <c r="J78" i="123"/>
  <c r="K78" i="123"/>
  <c r="L78" i="123"/>
  <c r="M78" i="123"/>
  <c r="N78" i="123"/>
  <c r="O78" i="123"/>
  <c r="P78" i="123"/>
  <c r="Q78" i="123"/>
  <c r="R78" i="123"/>
  <c r="S78" i="123"/>
  <c r="T78" i="123"/>
  <c r="U78" i="123"/>
  <c r="V78" i="123"/>
  <c r="W78" i="123"/>
  <c r="X78" i="123"/>
  <c r="Y78" i="123"/>
  <c r="Z78" i="123"/>
  <c r="AA78" i="123"/>
  <c r="AB78" i="123"/>
  <c r="AC78" i="123"/>
  <c r="AD78" i="123"/>
  <c r="AE78" i="123"/>
  <c r="AF78" i="123"/>
  <c r="AG78" i="123"/>
  <c r="AH78" i="123"/>
  <c r="AI78" i="123"/>
  <c r="AJ78" i="123"/>
  <c r="AK78" i="123"/>
  <c r="AL78" i="123"/>
  <c r="AM78" i="123"/>
  <c r="AN78" i="123"/>
  <c r="AO78" i="123"/>
  <c r="AP78" i="123"/>
  <c r="AQ78" i="123"/>
  <c r="AR78" i="123"/>
  <c r="AS78" i="123"/>
  <c r="AT78" i="123"/>
  <c r="AU78" i="123"/>
  <c r="AV78" i="123"/>
  <c r="AW78" i="123"/>
  <c r="AX78" i="123"/>
  <c r="AY78" i="123"/>
  <c r="AZ78" i="123"/>
  <c r="BA78" i="123"/>
  <c r="BB78" i="123"/>
  <c r="BC78" i="123"/>
  <c r="BD78" i="123"/>
  <c r="BE78" i="123"/>
  <c r="BF78" i="123"/>
  <c r="D79" i="123"/>
  <c r="E79" i="123"/>
  <c r="F79" i="123"/>
  <c r="G79" i="123"/>
  <c r="H79" i="123"/>
  <c r="I79" i="123"/>
  <c r="J79" i="123"/>
  <c r="K79" i="123"/>
  <c r="L79" i="123"/>
  <c r="M79" i="123"/>
  <c r="N79" i="123"/>
  <c r="O79" i="123"/>
  <c r="P79" i="123"/>
  <c r="Q79" i="123"/>
  <c r="R79" i="123"/>
  <c r="S79" i="123"/>
  <c r="T79" i="123"/>
  <c r="U79" i="123"/>
  <c r="V79" i="123"/>
  <c r="W79" i="123"/>
  <c r="X79" i="123"/>
  <c r="Y79" i="123"/>
  <c r="Z79" i="123"/>
  <c r="AA79" i="123"/>
  <c r="AB79" i="123"/>
  <c r="AC79" i="123"/>
  <c r="AD79" i="123"/>
  <c r="AE79" i="123"/>
  <c r="AF79" i="123"/>
  <c r="AG79" i="123"/>
  <c r="AH79" i="123"/>
  <c r="AI79" i="123"/>
  <c r="AJ79" i="123"/>
  <c r="AK79" i="123"/>
  <c r="AL79" i="123"/>
  <c r="AM79" i="123"/>
  <c r="AN79" i="123"/>
  <c r="AO79" i="123"/>
  <c r="AP79" i="123"/>
  <c r="AQ79" i="123"/>
  <c r="AR79" i="123"/>
  <c r="AS79" i="123"/>
  <c r="AT79" i="123"/>
  <c r="AU79" i="123"/>
  <c r="AV79" i="123"/>
  <c r="AW79" i="123"/>
  <c r="AX79" i="123"/>
  <c r="AY79" i="123"/>
  <c r="AZ79" i="123"/>
  <c r="BA79" i="123"/>
  <c r="BB79" i="123"/>
  <c r="BC79" i="123"/>
  <c r="BD79" i="123"/>
  <c r="BE79" i="123"/>
  <c r="BF79" i="123"/>
  <c r="D80" i="123"/>
  <c r="E80" i="123"/>
  <c r="F80" i="123"/>
  <c r="G80" i="123"/>
  <c r="H80" i="123"/>
  <c r="I80" i="123"/>
  <c r="J80" i="123"/>
  <c r="K80" i="123"/>
  <c r="L80" i="123"/>
  <c r="M80" i="123"/>
  <c r="N80" i="123"/>
  <c r="O80" i="123"/>
  <c r="P80" i="123"/>
  <c r="Q80" i="123"/>
  <c r="R80" i="123"/>
  <c r="S80" i="123"/>
  <c r="T80" i="123"/>
  <c r="U80" i="123"/>
  <c r="V80" i="123"/>
  <c r="W80" i="123"/>
  <c r="X80" i="123"/>
  <c r="Y80" i="123"/>
  <c r="Z80" i="123"/>
  <c r="AA80" i="123"/>
  <c r="AB80" i="123"/>
  <c r="AC80" i="123"/>
  <c r="AD80" i="123"/>
  <c r="AE80" i="123"/>
  <c r="AF80" i="123"/>
  <c r="AG80" i="123"/>
  <c r="AH80" i="123"/>
  <c r="AI80" i="123"/>
  <c r="AJ80" i="123"/>
  <c r="AK80" i="123"/>
  <c r="AL80" i="123"/>
  <c r="AM80" i="123"/>
  <c r="AN80" i="123"/>
  <c r="AO80" i="123"/>
  <c r="AP80" i="123"/>
  <c r="AQ80" i="123"/>
  <c r="AR80" i="123"/>
  <c r="AS80" i="123"/>
  <c r="AT80" i="123"/>
  <c r="AU80" i="123"/>
  <c r="AV80" i="123"/>
  <c r="AW80" i="123"/>
  <c r="AX80" i="123"/>
  <c r="AY80" i="123"/>
  <c r="AZ80" i="123"/>
  <c r="BA80" i="123"/>
  <c r="BB80" i="123"/>
  <c r="BC80" i="123"/>
  <c r="BD80" i="123"/>
  <c r="BE80" i="123"/>
  <c r="BF80" i="123"/>
  <c r="D81" i="123"/>
  <c r="E81" i="123"/>
  <c r="F81" i="123"/>
  <c r="G81" i="123"/>
  <c r="H81" i="123"/>
  <c r="I81" i="123"/>
  <c r="J81" i="123"/>
  <c r="K81" i="123"/>
  <c r="L81" i="123"/>
  <c r="M81" i="123"/>
  <c r="N81" i="123"/>
  <c r="O81" i="123"/>
  <c r="P81" i="123"/>
  <c r="Q81" i="123"/>
  <c r="R81" i="123"/>
  <c r="S81" i="123"/>
  <c r="T81" i="123"/>
  <c r="U81" i="123"/>
  <c r="V81" i="123"/>
  <c r="W81" i="123"/>
  <c r="X81" i="123"/>
  <c r="Y81" i="123"/>
  <c r="Z81" i="123"/>
  <c r="AA81" i="123"/>
  <c r="AB81" i="123"/>
  <c r="AC81" i="123"/>
  <c r="AD81" i="123"/>
  <c r="AE81" i="123"/>
  <c r="AF81" i="123"/>
  <c r="AG81" i="123"/>
  <c r="AH81" i="123"/>
  <c r="AI81" i="123"/>
  <c r="AJ81" i="123"/>
  <c r="AK81" i="123"/>
  <c r="AL81" i="123"/>
  <c r="AM81" i="123"/>
  <c r="AN81" i="123"/>
  <c r="AO81" i="123"/>
  <c r="AP81" i="123"/>
  <c r="AQ81" i="123"/>
  <c r="AR81" i="123"/>
  <c r="AS81" i="123"/>
  <c r="AT81" i="123"/>
  <c r="AU81" i="123"/>
  <c r="AV81" i="123"/>
  <c r="AW81" i="123"/>
  <c r="AX81" i="123"/>
  <c r="AY81" i="123"/>
  <c r="AZ81" i="123"/>
  <c r="BA81" i="123"/>
  <c r="BB81" i="123"/>
  <c r="BC81" i="123"/>
  <c r="BD81" i="123"/>
  <c r="BE81" i="123"/>
  <c r="BF81" i="123"/>
  <c r="D82" i="123"/>
  <c r="E82" i="123"/>
  <c r="F82" i="123"/>
  <c r="G82" i="123"/>
  <c r="H82" i="123"/>
  <c r="I82" i="123"/>
  <c r="J82" i="123"/>
  <c r="K82" i="123"/>
  <c r="L82" i="123"/>
  <c r="M82" i="123"/>
  <c r="N82" i="123"/>
  <c r="O82" i="123"/>
  <c r="P82" i="123"/>
  <c r="Q82" i="123"/>
  <c r="R82" i="123"/>
  <c r="S82" i="123"/>
  <c r="T82" i="123"/>
  <c r="U82" i="123"/>
  <c r="V82" i="123"/>
  <c r="W82" i="123"/>
  <c r="X82" i="123"/>
  <c r="Y82" i="123"/>
  <c r="Z82" i="123"/>
  <c r="AA82" i="123"/>
  <c r="AB82" i="123"/>
  <c r="AC82" i="123"/>
  <c r="AD82" i="123"/>
  <c r="AE82" i="123"/>
  <c r="AF82" i="123"/>
  <c r="AG82" i="123"/>
  <c r="AH82" i="123"/>
  <c r="AI82" i="123"/>
  <c r="AJ82" i="123"/>
  <c r="AK82" i="123"/>
  <c r="AL82" i="123"/>
  <c r="AM82" i="123"/>
  <c r="AN82" i="123"/>
  <c r="AO82" i="123"/>
  <c r="AP82" i="123"/>
  <c r="AQ82" i="123"/>
  <c r="AR82" i="123"/>
  <c r="AS82" i="123"/>
  <c r="AT82" i="123"/>
  <c r="AU82" i="123"/>
  <c r="AV82" i="123"/>
  <c r="AW82" i="123"/>
  <c r="AX82" i="123"/>
  <c r="AY82" i="123"/>
  <c r="AZ82" i="123"/>
  <c r="BA82" i="123"/>
  <c r="BB82" i="123"/>
  <c r="BC82" i="123"/>
  <c r="BD82" i="123"/>
  <c r="BE82" i="123"/>
  <c r="BF82" i="123"/>
  <c r="D83" i="123"/>
  <c r="E83" i="123"/>
  <c r="F83" i="123"/>
  <c r="G83" i="123"/>
  <c r="H83" i="123"/>
  <c r="I83" i="123"/>
  <c r="J83" i="123"/>
  <c r="K83" i="123"/>
  <c r="L83" i="123"/>
  <c r="M83" i="123"/>
  <c r="N83" i="123"/>
  <c r="O83" i="123"/>
  <c r="P83" i="123"/>
  <c r="Q83" i="123"/>
  <c r="R83" i="123"/>
  <c r="S83" i="123"/>
  <c r="T83" i="123"/>
  <c r="U83" i="123"/>
  <c r="V83" i="123"/>
  <c r="W83" i="123"/>
  <c r="X83" i="123"/>
  <c r="Y83" i="123"/>
  <c r="Z83" i="123"/>
  <c r="AA83" i="123"/>
  <c r="AB83" i="123"/>
  <c r="AC83" i="123"/>
  <c r="AD83" i="123"/>
  <c r="AE83" i="123"/>
  <c r="AF83" i="123"/>
  <c r="AG83" i="123"/>
  <c r="AH83" i="123"/>
  <c r="AI83" i="123"/>
  <c r="AJ83" i="123"/>
  <c r="AK83" i="123"/>
  <c r="AL83" i="123"/>
  <c r="AM83" i="123"/>
  <c r="AN83" i="123"/>
  <c r="AO83" i="123"/>
  <c r="AP83" i="123"/>
  <c r="AQ83" i="123"/>
  <c r="AR83" i="123"/>
  <c r="AS83" i="123"/>
  <c r="AT83" i="123"/>
  <c r="AU83" i="123"/>
  <c r="AV83" i="123"/>
  <c r="AW83" i="123"/>
  <c r="AX83" i="123"/>
  <c r="AY83" i="123"/>
  <c r="AZ83" i="123"/>
  <c r="BA83" i="123"/>
  <c r="BB83" i="123"/>
  <c r="BC83" i="123"/>
  <c r="BD83" i="123"/>
  <c r="BE83" i="123"/>
  <c r="BF83" i="123"/>
  <c r="D84" i="123"/>
  <c r="E84" i="123"/>
  <c r="F84" i="123"/>
  <c r="G84" i="123"/>
  <c r="H84" i="123"/>
  <c r="I84" i="123"/>
  <c r="J84" i="123"/>
  <c r="K84" i="123"/>
  <c r="L84" i="123"/>
  <c r="M84" i="123"/>
  <c r="N84" i="123"/>
  <c r="O84" i="123"/>
  <c r="P84" i="123"/>
  <c r="Q84" i="123"/>
  <c r="R84" i="123"/>
  <c r="S84" i="123"/>
  <c r="T84" i="123"/>
  <c r="U84" i="123"/>
  <c r="V84" i="123"/>
  <c r="W84" i="123"/>
  <c r="X84" i="123"/>
  <c r="Y84" i="123"/>
  <c r="Z84" i="123"/>
  <c r="AA84" i="123"/>
  <c r="AB84" i="123"/>
  <c r="AC84" i="123"/>
  <c r="AD84" i="123"/>
  <c r="AE84" i="123"/>
  <c r="AF84" i="123"/>
  <c r="AG84" i="123"/>
  <c r="AH84" i="123"/>
  <c r="AI84" i="123"/>
  <c r="AJ84" i="123"/>
  <c r="AK84" i="123"/>
  <c r="AL84" i="123"/>
  <c r="AM84" i="123"/>
  <c r="AN84" i="123"/>
  <c r="AO84" i="123"/>
  <c r="AP84" i="123"/>
  <c r="AQ84" i="123"/>
  <c r="AR84" i="123"/>
  <c r="AS84" i="123"/>
  <c r="AT84" i="123"/>
  <c r="AU84" i="123"/>
  <c r="AV84" i="123"/>
  <c r="AW84" i="123"/>
  <c r="AX84" i="123"/>
  <c r="AY84" i="123"/>
  <c r="AZ84" i="123"/>
  <c r="BA84" i="123"/>
  <c r="BB84" i="123"/>
  <c r="BC84" i="123"/>
  <c r="BD84" i="123"/>
  <c r="BE84" i="123"/>
  <c r="BF84" i="123"/>
  <c r="D85" i="123"/>
  <c r="E85" i="123"/>
  <c r="F85" i="123"/>
  <c r="G85" i="123"/>
  <c r="H85" i="123"/>
  <c r="I85" i="123"/>
  <c r="J85" i="123"/>
  <c r="K85" i="123"/>
  <c r="L85" i="123"/>
  <c r="M85" i="123"/>
  <c r="N85" i="123"/>
  <c r="O85" i="123"/>
  <c r="P85" i="123"/>
  <c r="Q85" i="123"/>
  <c r="R85" i="123"/>
  <c r="S85" i="123"/>
  <c r="T85" i="123"/>
  <c r="U85" i="123"/>
  <c r="V85" i="123"/>
  <c r="W85" i="123"/>
  <c r="X85" i="123"/>
  <c r="Y85" i="123"/>
  <c r="Z85" i="123"/>
  <c r="AA85" i="123"/>
  <c r="AB85" i="123"/>
  <c r="AC85" i="123"/>
  <c r="AD85" i="123"/>
  <c r="AE85" i="123"/>
  <c r="AF85" i="123"/>
  <c r="AG85" i="123"/>
  <c r="AH85" i="123"/>
  <c r="AI85" i="123"/>
  <c r="AJ85" i="123"/>
  <c r="AK85" i="123"/>
  <c r="AL85" i="123"/>
  <c r="AM85" i="123"/>
  <c r="AN85" i="123"/>
  <c r="AO85" i="123"/>
  <c r="AP85" i="123"/>
  <c r="AQ85" i="123"/>
  <c r="AR85" i="123"/>
  <c r="AS85" i="123"/>
  <c r="AT85" i="123"/>
  <c r="AU85" i="123"/>
  <c r="AV85" i="123"/>
  <c r="AW85" i="123"/>
  <c r="AX85" i="123"/>
  <c r="AY85" i="123"/>
  <c r="AZ85" i="123"/>
  <c r="BA85" i="123"/>
  <c r="BB85" i="123"/>
  <c r="BC85" i="123"/>
  <c r="BD85" i="123"/>
  <c r="BE85" i="123"/>
  <c r="BF85" i="123"/>
  <c r="D86" i="123"/>
  <c r="E86" i="123"/>
  <c r="F86" i="123"/>
  <c r="G86" i="123"/>
  <c r="H86" i="123"/>
  <c r="I86" i="123"/>
  <c r="J86" i="123"/>
  <c r="K86" i="123"/>
  <c r="L86" i="123"/>
  <c r="M86" i="123"/>
  <c r="N86" i="123"/>
  <c r="O86" i="123"/>
  <c r="P86" i="123"/>
  <c r="Q86" i="123"/>
  <c r="R86" i="123"/>
  <c r="S86" i="123"/>
  <c r="T86" i="123"/>
  <c r="U86" i="123"/>
  <c r="V86" i="123"/>
  <c r="W86" i="123"/>
  <c r="X86" i="123"/>
  <c r="Y86" i="123"/>
  <c r="Z86" i="123"/>
  <c r="AA86" i="123"/>
  <c r="AB86" i="123"/>
  <c r="AC86" i="123"/>
  <c r="AD86" i="123"/>
  <c r="AE86" i="123"/>
  <c r="AF86" i="123"/>
  <c r="AG86" i="123"/>
  <c r="AH86" i="123"/>
  <c r="AI86" i="123"/>
  <c r="AJ86" i="123"/>
  <c r="AK86" i="123"/>
  <c r="AL86" i="123"/>
  <c r="AM86" i="123"/>
  <c r="AN86" i="123"/>
  <c r="AO86" i="123"/>
  <c r="AP86" i="123"/>
  <c r="AQ86" i="123"/>
  <c r="AR86" i="123"/>
  <c r="AS86" i="123"/>
  <c r="AT86" i="123"/>
  <c r="AU86" i="123"/>
  <c r="AV86" i="123"/>
  <c r="AW86" i="123"/>
  <c r="AX86" i="123"/>
  <c r="AY86" i="123"/>
  <c r="AZ86" i="123"/>
  <c r="BA86" i="123"/>
  <c r="BB86" i="123"/>
  <c r="BC86" i="123"/>
  <c r="BD86" i="123"/>
  <c r="BE86" i="123"/>
  <c r="BF86" i="123"/>
  <c r="D87" i="123"/>
  <c r="E87" i="123"/>
  <c r="F87" i="123"/>
  <c r="G87" i="123"/>
  <c r="H87" i="123"/>
  <c r="I87" i="123"/>
  <c r="J87" i="123"/>
  <c r="K87" i="123"/>
  <c r="L87" i="123"/>
  <c r="M87" i="123"/>
  <c r="N87" i="123"/>
  <c r="O87" i="123"/>
  <c r="P87" i="123"/>
  <c r="Q87" i="123"/>
  <c r="R87" i="123"/>
  <c r="S87" i="123"/>
  <c r="T87" i="123"/>
  <c r="U87" i="123"/>
  <c r="V87" i="123"/>
  <c r="W87" i="123"/>
  <c r="X87" i="123"/>
  <c r="Y87" i="123"/>
  <c r="Z87" i="123"/>
  <c r="AA87" i="123"/>
  <c r="AB87" i="123"/>
  <c r="AC87" i="123"/>
  <c r="AD87" i="123"/>
  <c r="AE87" i="123"/>
  <c r="AF87" i="123"/>
  <c r="AG87" i="123"/>
  <c r="AH87" i="123"/>
  <c r="AI87" i="123"/>
  <c r="AJ87" i="123"/>
  <c r="AK87" i="123"/>
  <c r="AL87" i="123"/>
  <c r="AM87" i="123"/>
  <c r="AN87" i="123"/>
  <c r="AO87" i="123"/>
  <c r="AP87" i="123"/>
  <c r="AQ87" i="123"/>
  <c r="AR87" i="123"/>
  <c r="AS87" i="123"/>
  <c r="AT87" i="123"/>
  <c r="AU87" i="123"/>
  <c r="AV87" i="123"/>
  <c r="AW87" i="123"/>
  <c r="AX87" i="123"/>
  <c r="AY87" i="123"/>
  <c r="AZ87" i="123"/>
  <c r="BA87" i="123"/>
  <c r="BB87" i="123"/>
  <c r="BC87" i="123"/>
  <c r="BD87" i="123"/>
  <c r="BE87" i="123"/>
  <c r="BF87" i="123"/>
  <c r="D88" i="123"/>
  <c r="E88" i="123"/>
  <c r="F88" i="123"/>
  <c r="G88" i="123"/>
  <c r="H88" i="123"/>
  <c r="I88" i="123"/>
  <c r="J88" i="123"/>
  <c r="K88" i="123"/>
  <c r="L88" i="123"/>
  <c r="M88" i="123"/>
  <c r="N88" i="123"/>
  <c r="O88" i="123"/>
  <c r="P88" i="123"/>
  <c r="Q88" i="123"/>
  <c r="R88" i="123"/>
  <c r="S88" i="123"/>
  <c r="T88" i="123"/>
  <c r="U88" i="123"/>
  <c r="V88" i="123"/>
  <c r="W88" i="123"/>
  <c r="X88" i="123"/>
  <c r="Y88" i="123"/>
  <c r="Z88" i="123"/>
  <c r="AA88" i="123"/>
  <c r="AB88" i="123"/>
  <c r="AC88" i="123"/>
  <c r="AD88" i="123"/>
  <c r="AE88" i="123"/>
  <c r="AF88" i="123"/>
  <c r="AG88" i="123"/>
  <c r="AH88" i="123"/>
  <c r="AI88" i="123"/>
  <c r="AJ88" i="123"/>
  <c r="AK88" i="123"/>
  <c r="AL88" i="123"/>
  <c r="AM88" i="123"/>
  <c r="AN88" i="123"/>
  <c r="AO88" i="123"/>
  <c r="AP88" i="123"/>
  <c r="AQ88" i="123"/>
  <c r="AR88" i="123"/>
  <c r="AS88" i="123"/>
  <c r="AT88" i="123"/>
  <c r="AU88" i="123"/>
  <c r="AV88" i="123"/>
  <c r="AW88" i="123"/>
  <c r="AX88" i="123"/>
  <c r="AY88" i="123"/>
  <c r="AZ88" i="123"/>
  <c r="BA88" i="123"/>
  <c r="BB88" i="123"/>
  <c r="BC88" i="123"/>
  <c r="BD88" i="123"/>
  <c r="BE88" i="123"/>
  <c r="BF88" i="123"/>
  <c r="D89" i="123"/>
  <c r="E89" i="123"/>
  <c r="F89" i="123"/>
  <c r="G89" i="123"/>
  <c r="H89" i="123"/>
  <c r="I89" i="123"/>
  <c r="J89" i="123"/>
  <c r="K89" i="123"/>
  <c r="L89" i="123"/>
  <c r="M89" i="123"/>
  <c r="N89" i="123"/>
  <c r="O89" i="123"/>
  <c r="P89" i="123"/>
  <c r="Q89" i="123"/>
  <c r="R89" i="123"/>
  <c r="S89" i="123"/>
  <c r="T89" i="123"/>
  <c r="U89" i="123"/>
  <c r="V89" i="123"/>
  <c r="W89" i="123"/>
  <c r="X89" i="123"/>
  <c r="Y89" i="123"/>
  <c r="Z89" i="123"/>
  <c r="AA89" i="123"/>
  <c r="AB89" i="123"/>
  <c r="AC89" i="123"/>
  <c r="AD89" i="123"/>
  <c r="AE89" i="123"/>
  <c r="AF89" i="123"/>
  <c r="AG89" i="123"/>
  <c r="AH89" i="123"/>
  <c r="AI89" i="123"/>
  <c r="AJ89" i="123"/>
  <c r="AK89" i="123"/>
  <c r="AL89" i="123"/>
  <c r="AM89" i="123"/>
  <c r="AN89" i="123"/>
  <c r="AO89" i="123"/>
  <c r="AP89" i="123"/>
  <c r="AQ89" i="123"/>
  <c r="AR89" i="123"/>
  <c r="AS89" i="123"/>
  <c r="AT89" i="123"/>
  <c r="AU89" i="123"/>
  <c r="AV89" i="123"/>
  <c r="AW89" i="123"/>
  <c r="AX89" i="123"/>
  <c r="AY89" i="123"/>
  <c r="AZ89" i="123"/>
  <c r="BA89" i="123"/>
  <c r="BB89" i="123"/>
  <c r="BC89" i="123"/>
  <c r="BD89" i="123"/>
  <c r="BE89" i="123"/>
  <c r="BF89" i="123"/>
  <c r="D90" i="123"/>
  <c r="E90" i="123"/>
  <c r="F90" i="123"/>
  <c r="G90" i="123"/>
  <c r="H90" i="123"/>
  <c r="I90" i="123"/>
  <c r="J90" i="123"/>
  <c r="K90" i="123"/>
  <c r="L90" i="123"/>
  <c r="M90" i="123"/>
  <c r="N90" i="123"/>
  <c r="O90" i="123"/>
  <c r="P90" i="123"/>
  <c r="Q90" i="123"/>
  <c r="R90" i="123"/>
  <c r="S90" i="123"/>
  <c r="T90" i="123"/>
  <c r="U90" i="123"/>
  <c r="V90" i="123"/>
  <c r="W90" i="123"/>
  <c r="X90" i="123"/>
  <c r="Y90" i="123"/>
  <c r="Z90" i="123"/>
  <c r="AA90" i="123"/>
  <c r="AB90" i="123"/>
  <c r="AC90" i="123"/>
  <c r="AD90" i="123"/>
  <c r="AE90" i="123"/>
  <c r="AF90" i="123"/>
  <c r="AG90" i="123"/>
  <c r="AH90" i="123"/>
  <c r="AI90" i="123"/>
  <c r="AJ90" i="123"/>
  <c r="AK90" i="123"/>
  <c r="AL90" i="123"/>
  <c r="AM90" i="123"/>
  <c r="AN90" i="123"/>
  <c r="AO90" i="123"/>
  <c r="AP90" i="123"/>
  <c r="AQ90" i="123"/>
  <c r="AR90" i="123"/>
  <c r="AS90" i="123"/>
  <c r="AT90" i="123"/>
  <c r="AU90" i="123"/>
  <c r="AV90" i="123"/>
  <c r="AW90" i="123"/>
  <c r="AX90" i="123"/>
  <c r="AY90" i="123"/>
  <c r="AZ90" i="123"/>
  <c r="BA90" i="123"/>
  <c r="BB90" i="123"/>
  <c r="BC90" i="123"/>
  <c r="BD90" i="123"/>
  <c r="BE90" i="123"/>
  <c r="BF90" i="123"/>
  <c r="D91" i="123"/>
  <c r="E91" i="123"/>
  <c r="F91" i="123"/>
  <c r="G91" i="123"/>
  <c r="H91" i="123"/>
  <c r="I91" i="123"/>
  <c r="J91" i="123"/>
  <c r="K91" i="123"/>
  <c r="L91" i="123"/>
  <c r="M91" i="123"/>
  <c r="N91" i="123"/>
  <c r="O91" i="123"/>
  <c r="P91" i="123"/>
  <c r="Q91" i="123"/>
  <c r="R91" i="123"/>
  <c r="S91" i="123"/>
  <c r="T91" i="123"/>
  <c r="U91" i="123"/>
  <c r="V91" i="123"/>
  <c r="W91" i="123"/>
  <c r="X91" i="123"/>
  <c r="Y91" i="123"/>
  <c r="Z91" i="123"/>
  <c r="AA91" i="123"/>
  <c r="AB91" i="123"/>
  <c r="AC91" i="123"/>
  <c r="AD91" i="123"/>
  <c r="AE91" i="123"/>
  <c r="AF91" i="123"/>
  <c r="AG91" i="123"/>
  <c r="AH91" i="123"/>
  <c r="AI91" i="123"/>
  <c r="AJ91" i="123"/>
  <c r="AK91" i="123"/>
  <c r="AL91" i="123"/>
  <c r="AM91" i="123"/>
  <c r="AN91" i="123"/>
  <c r="AO91" i="123"/>
  <c r="AP91" i="123"/>
  <c r="AQ91" i="123"/>
  <c r="AR91" i="123"/>
  <c r="AS91" i="123"/>
  <c r="AT91" i="123"/>
  <c r="AU91" i="123"/>
  <c r="AV91" i="123"/>
  <c r="AW91" i="123"/>
  <c r="AX91" i="123"/>
  <c r="AY91" i="123"/>
  <c r="AZ91" i="123"/>
  <c r="BA91" i="123"/>
  <c r="BB91" i="123"/>
  <c r="BC91" i="123"/>
  <c r="BD91" i="123"/>
  <c r="BE91" i="123"/>
  <c r="BF91" i="123"/>
  <c r="D92" i="123"/>
  <c r="E92" i="123"/>
  <c r="F92" i="123"/>
  <c r="G92" i="123"/>
  <c r="H92" i="123"/>
  <c r="I92" i="123"/>
  <c r="J92" i="123"/>
  <c r="K92" i="123"/>
  <c r="L92" i="123"/>
  <c r="M92" i="123"/>
  <c r="N92" i="123"/>
  <c r="O92" i="123"/>
  <c r="P92" i="123"/>
  <c r="Q92" i="123"/>
  <c r="R92" i="123"/>
  <c r="S92" i="123"/>
  <c r="T92" i="123"/>
  <c r="U92" i="123"/>
  <c r="V92" i="123"/>
  <c r="W92" i="123"/>
  <c r="X92" i="123"/>
  <c r="Y92" i="123"/>
  <c r="Z92" i="123"/>
  <c r="AA92" i="123"/>
  <c r="AB92" i="123"/>
  <c r="AC92" i="123"/>
  <c r="AD92" i="123"/>
  <c r="AE92" i="123"/>
  <c r="AF92" i="123"/>
  <c r="AG92" i="123"/>
  <c r="AH92" i="123"/>
  <c r="AI92" i="123"/>
  <c r="AJ92" i="123"/>
  <c r="AK92" i="123"/>
  <c r="AL92" i="123"/>
  <c r="AM92" i="123"/>
  <c r="AN92" i="123"/>
  <c r="AO92" i="123"/>
  <c r="AP92" i="123"/>
  <c r="AQ92" i="123"/>
  <c r="AR92" i="123"/>
  <c r="AS92" i="123"/>
  <c r="AT92" i="123"/>
  <c r="AU92" i="123"/>
  <c r="AV92" i="123"/>
  <c r="AW92" i="123"/>
  <c r="AX92" i="123"/>
  <c r="AY92" i="123"/>
  <c r="AZ92" i="123"/>
  <c r="BA92" i="123"/>
  <c r="BB92" i="123"/>
  <c r="BC92" i="123"/>
  <c r="BD92" i="123"/>
  <c r="BE92" i="123"/>
  <c r="BF92" i="123"/>
  <c r="D93" i="123"/>
  <c r="E93" i="123"/>
  <c r="F93" i="123"/>
  <c r="G93" i="123"/>
  <c r="H93" i="123"/>
  <c r="I93" i="123"/>
  <c r="J93" i="123"/>
  <c r="K93" i="123"/>
  <c r="L93" i="123"/>
  <c r="M93" i="123"/>
  <c r="N93" i="123"/>
  <c r="O93" i="123"/>
  <c r="P93" i="123"/>
  <c r="Q93" i="123"/>
  <c r="R93" i="123"/>
  <c r="S93" i="123"/>
  <c r="T93" i="123"/>
  <c r="U93" i="123"/>
  <c r="V93" i="123"/>
  <c r="W93" i="123"/>
  <c r="X93" i="123"/>
  <c r="Y93" i="123"/>
  <c r="Z93" i="123"/>
  <c r="AA93" i="123"/>
  <c r="AB93" i="123"/>
  <c r="AC93" i="123"/>
  <c r="AD93" i="123"/>
  <c r="AE93" i="123"/>
  <c r="AF93" i="123"/>
  <c r="AG93" i="123"/>
  <c r="AH93" i="123"/>
  <c r="AI93" i="123"/>
  <c r="AJ93" i="123"/>
  <c r="AK93" i="123"/>
  <c r="AL93" i="123"/>
  <c r="AM93" i="123"/>
  <c r="AN93" i="123"/>
  <c r="AO93" i="123"/>
  <c r="AP93" i="123"/>
  <c r="AQ93" i="123"/>
  <c r="AR93" i="123"/>
  <c r="AS93" i="123"/>
  <c r="AT93" i="123"/>
  <c r="AU93" i="123"/>
  <c r="AV93" i="123"/>
  <c r="AW93" i="123"/>
  <c r="AX93" i="123"/>
  <c r="AY93" i="123"/>
  <c r="AZ93" i="123"/>
  <c r="BA93" i="123"/>
  <c r="BB93" i="123"/>
  <c r="BC93" i="123"/>
  <c r="BD93" i="123"/>
  <c r="BE93" i="123"/>
  <c r="BF93" i="123"/>
  <c r="D94" i="123"/>
  <c r="E94" i="123"/>
  <c r="F94" i="123"/>
  <c r="G94" i="123"/>
  <c r="H94" i="123"/>
  <c r="I94" i="123"/>
  <c r="J94" i="123"/>
  <c r="K94" i="123"/>
  <c r="L94" i="123"/>
  <c r="M94" i="123"/>
  <c r="N94" i="123"/>
  <c r="O94" i="123"/>
  <c r="P94" i="123"/>
  <c r="Q94" i="123"/>
  <c r="R94" i="123"/>
  <c r="S94" i="123"/>
  <c r="T94" i="123"/>
  <c r="U94" i="123"/>
  <c r="V94" i="123"/>
  <c r="W94" i="123"/>
  <c r="X94" i="123"/>
  <c r="Y94" i="123"/>
  <c r="Z94" i="123"/>
  <c r="AA94" i="123"/>
  <c r="AB94" i="123"/>
  <c r="AC94" i="123"/>
  <c r="AD94" i="123"/>
  <c r="AE94" i="123"/>
  <c r="AF94" i="123"/>
  <c r="AG94" i="123"/>
  <c r="AH94" i="123"/>
  <c r="AI94" i="123"/>
  <c r="AJ94" i="123"/>
  <c r="AK94" i="123"/>
  <c r="AL94" i="123"/>
  <c r="AM94" i="123"/>
  <c r="AN94" i="123"/>
  <c r="AO94" i="123"/>
  <c r="AP94" i="123"/>
  <c r="AQ94" i="123"/>
  <c r="AR94" i="123"/>
  <c r="AS94" i="123"/>
  <c r="AT94" i="123"/>
  <c r="AU94" i="123"/>
  <c r="AV94" i="123"/>
  <c r="AW94" i="123"/>
  <c r="AX94" i="123"/>
  <c r="AY94" i="123"/>
  <c r="AZ94" i="123"/>
  <c r="BA94" i="123"/>
  <c r="BB94" i="123"/>
  <c r="BC94" i="123"/>
  <c r="BD94" i="123"/>
  <c r="BE94" i="123"/>
  <c r="BF94" i="123"/>
  <c r="D95" i="123"/>
  <c r="E95" i="123"/>
  <c r="F95" i="123"/>
  <c r="G95" i="123"/>
  <c r="H95" i="123"/>
  <c r="I95" i="123"/>
  <c r="J95" i="123"/>
  <c r="K95" i="123"/>
  <c r="L95" i="123"/>
  <c r="M95" i="123"/>
  <c r="N95" i="123"/>
  <c r="O95" i="123"/>
  <c r="P95" i="123"/>
  <c r="Q95" i="123"/>
  <c r="R95" i="123"/>
  <c r="S95" i="123"/>
  <c r="T95" i="123"/>
  <c r="U95" i="123"/>
  <c r="V95" i="123"/>
  <c r="W95" i="123"/>
  <c r="X95" i="123"/>
  <c r="Y95" i="123"/>
  <c r="Z95" i="123"/>
  <c r="AA95" i="123"/>
  <c r="AB95" i="123"/>
  <c r="AC95" i="123"/>
  <c r="AD95" i="123"/>
  <c r="AE95" i="123"/>
  <c r="AF95" i="123"/>
  <c r="AG95" i="123"/>
  <c r="AH95" i="123"/>
  <c r="AI95" i="123"/>
  <c r="AJ95" i="123"/>
  <c r="AK95" i="123"/>
  <c r="AL95" i="123"/>
  <c r="AM95" i="123"/>
  <c r="AN95" i="123"/>
  <c r="AO95" i="123"/>
  <c r="AP95" i="123"/>
  <c r="AQ95" i="123"/>
  <c r="AR95" i="123"/>
  <c r="AS95" i="123"/>
  <c r="AT95" i="123"/>
  <c r="AU95" i="123"/>
  <c r="AV95" i="123"/>
  <c r="AW95" i="123"/>
  <c r="AX95" i="123"/>
  <c r="AY95" i="123"/>
  <c r="AZ95" i="123"/>
  <c r="BA95" i="123"/>
  <c r="BB95" i="123"/>
  <c r="BC95" i="123"/>
  <c r="BD95" i="123"/>
  <c r="BE95" i="123"/>
  <c r="BF95" i="123"/>
  <c r="D96" i="123"/>
  <c r="E96" i="123"/>
  <c r="F96" i="123"/>
  <c r="G96" i="123"/>
  <c r="H96" i="123"/>
  <c r="I96" i="123"/>
  <c r="J96" i="123"/>
  <c r="K96" i="123"/>
  <c r="L96" i="123"/>
  <c r="M96" i="123"/>
  <c r="N96" i="123"/>
  <c r="O96" i="123"/>
  <c r="P96" i="123"/>
  <c r="Q96" i="123"/>
  <c r="R96" i="123"/>
  <c r="S96" i="123"/>
  <c r="T96" i="123"/>
  <c r="U96" i="123"/>
  <c r="V96" i="123"/>
  <c r="W96" i="123"/>
  <c r="X96" i="123"/>
  <c r="Y96" i="123"/>
  <c r="Z96" i="123"/>
  <c r="AA96" i="123"/>
  <c r="AB96" i="123"/>
  <c r="AC96" i="123"/>
  <c r="AD96" i="123"/>
  <c r="AE96" i="123"/>
  <c r="AF96" i="123"/>
  <c r="AG96" i="123"/>
  <c r="AH96" i="123"/>
  <c r="AI96" i="123"/>
  <c r="AJ96" i="123"/>
  <c r="AK96" i="123"/>
  <c r="AL96" i="123"/>
  <c r="AM96" i="123"/>
  <c r="AN96" i="123"/>
  <c r="AO96" i="123"/>
  <c r="AP96" i="123"/>
  <c r="AQ96" i="123"/>
  <c r="AR96" i="123"/>
  <c r="AS96" i="123"/>
  <c r="AT96" i="123"/>
  <c r="AU96" i="123"/>
  <c r="AV96" i="123"/>
  <c r="AW96" i="123"/>
  <c r="AX96" i="123"/>
  <c r="AY96" i="123"/>
  <c r="AZ96" i="123"/>
  <c r="BA96" i="123"/>
  <c r="BB96" i="123"/>
  <c r="BC96" i="123"/>
  <c r="BD96" i="123"/>
  <c r="BE96" i="123"/>
  <c r="BF96" i="123"/>
  <c r="D97" i="123"/>
  <c r="E97" i="123"/>
  <c r="F97" i="123"/>
  <c r="G97" i="123"/>
  <c r="H97" i="123"/>
  <c r="I97" i="123"/>
  <c r="J97" i="123"/>
  <c r="K97" i="123"/>
  <c r="L97" i="123"/>
  <c r="M97" i="123"/>
  <c r="N97" i="123"/>
  <c r="O97" i="123"/>
  <c r="P97" i="123"/>
  <c r="Q97" i="123"/>
  <c r="R97" i="123"/>
  <c r="S97" i="123"/>
  <c r="T97" i="123"/>
  <c r="U97" i="123"/>
  <c r="V97" i="123"/>
  <c r="W97" i="123"/>
  <c r="X97" i="123"/>
  <c r="Y97" i="123"/>
  <c r="Z97" i="123"/>
  <c r="AA97" i="123"/>
  <c r="AB97" i="123"/>
  <c r="AC97" i="123"/>
  <c r="AD97" i="123"/>
  <c r="AE97" i="123"/>
  <c r="AF97" i="123"/>
  <c r="AG97" i="123"/>
  <c r="AH97" i="123"/>
  <c r="AI97" i="123"/>
  <c r="AJ97" i="123"/>
  <c r="AK97" i="123"/>
  <c r="AL97" i="123"/>
  <c r="AM97" i="123"/>
  <c r="AN97" i="123"/>
  <c r="AO97" i="123"/>
  <c r="AP97" i="123"/>
  <c r="AQ97" i="123"/>
  <c r="AR97" i="123"/>
  <c r="AS97" i="123"/>
  <c r="AT97" i="123"/>
  <c r="AU97" i="123"/>
  <c r="AV97" i="123"/>
  <c r="AW97" i="123"/>
  <c r="AX97" i="123"/>
  <c r="AY97" i="123"/>
  <c r="AZ97" i="123"/>
  <c r="BA97" i="123"/>
  <c r="BB97" i="123"/>
  <c r="BC97" i="123"/>
  <c r="BD97" i="123"/>
  <c r="BE97" i="123"/>
  <c r="BF97" i="123"/>
  <c r="D98" i="123"/>
  <c r="E98" i="123"/>
  <c r="F98" i="123"/>
  <c r="G98" i="123"/>
  <c r="H98" i="123"/>
  <c r="I98" i="123"/>
  <c r="J98" i="123"/>
  <c r="K98" i="123"/>
  <c r="L98" i="123"/>
  <c r="M98" i="123"/>
  <c r="N98" i="123"/>
  <c r="O98" i="123"/>
  <c r="P98" i="123"/>
  <c r="Q98" i="123"/>
  <c r="R98" i="123"/>
  <c r="S98" i="123"/>
  <c r="T98" i="123"/>
  <c r="U98" i="123"/>
  <c r="V98" i="123"/>
  <c r="W98" i="123"/>
  <c r="X98" i="123"/>
  <c r="Y98" i="123"/>
  <c r="Z98" i="123"/>
  <c r="AA98" i="123"/>
  <c r="AB98" i="123"/>
  <c r="AC98" i="123"/>
  <c r="AD98" i="123"/>
  <c r="AE98" i="123"/>
  <c r="AF98" i="123"/>
  <c r="AG98" i="123"/>
  <c r="AH98" i="123"/>
  <c r="AI98" i="123"/>
  <c r="AJ98" i="123"/>
  <c r="AK98" i="123"/>
  <c r="AL98" i="123"/>
  <c r="AM98" i="123"/>
  <c r="AN98" i="123"/>
  <c r="AO98" i="123"/>
  <c r="AP98" i="123"/>
  <c r="AQ98" i="123"/>
  <c r="AR98" i="123"/>
  <c r="AS98" i="123"/>
  <c r="AT98" i="123"/>
  <c r="AU98" i="123"/>
  <c r="AV98" i="123"/>
  <c r="AW98" i="123"/>
  <c r="AX98" i="123"/>
  <c r="AY98" i="123"/>
  <c r="AZ98" i="123"/>
  <c r="BA98" i="123"/>
  <c r="BB98" i="123"/>
  <c r="BC98" i="123"/>
  <c r="BD98" i="123"/>
  <c r="BE98" i="123"/>
  <c r="BF98" i="123"/>
  <c r="D99" i="123"/>
  <c r="E99" i="123"/>
  <c r="F99" i="123"/>
  <c r="G99" i="123"/>
  <c r="H99" i="123"/>
  <c r="I99" i="123"/>
  <c r="J99" i="123"/>
  <c r="K99" i="123"/>
  <c r="L99" i="123"/>
  <c r="M99" i="123"/>
  <c r="N99" i="123"/>
  <c r="O99" i="123"/>
  <c r="P99" i="123"/>
  <c r="Q99" i="123"/>
  <c r="R99" i="123"/>
  <c r="S99" i="123"/>
  <c r="T99" i="123"/>
  <c r="U99" i="123"/>
  <c r="V99" i="123"/>
  <c r="W99" i="123"/>
  <c r="X99" i="123"/>
  <c r="Y99" i="123"/>
  <c r="Z99" i="123"/>
  <c r="AA99" i="123"/>
  <c r="AB99" i="123"/>
  <c r="AC99" i="123"/>
  <c r="AD99" i="123"/>
  <c r="AE99" i="123"/>
  <c r="AF99" i="123"/>
  <c r="AG99" i="123"/>
  <c r="AH99" i="123"/>
  <c r="AI99" i="123"/>
  <c r="AJ99" i="123"/>
  <c r="AK99" i="123"/>
  <c r="AL99" i="123"/>
  <c r="AM99" i="123"/>
  <c r="AN99" i="123"/>
  <c r="AO99" i="123"/>
  <c r="AP99" i="123"/>
  <c r="AQ99" i="123"/>
  <c r="AR99" i="123"/>
  <c r="AS99" i="123"/>
  <c r="AT99" i="123"/>
  <c r="AU99" i="123"/>
  <c r="AV99" i="123"/>
  <c r="AW99" i="123"/>
  <c r="AX99" i="123"/>
  <c r="AY99" i="123"/>
  <c r="AZ99" i="123"/>
  <c r="BA99" i="123"/>
  <c r="BB99" i="123"/>
  <c r="BC99" i="123"/>
  <c r="BD99" i="123"/>
  <c r="BE99" i="123"/>
  <c r="BF99" i="123"/>
  <c r="D100" i="123"/>
  <c r="E100" i="123"/>
  <c r="F100" i="123"/>
  <c r="G100" i="123"/>
  <c r="H100" i="123"/>
  <c r="I100" i="123"/>
  <c r="J100" i="123"/>
  <c r="K100" i="123"/>
  <c r="L100" i="123"/>
  <c r="M100" i="123"/>
  <c r="N100" i="123"/>
  <c r="O100" i="123"/>
  <c r="P100" i="123"/>
  <c r="Q100" i="123"/>
  <c r="R100" i="123"/>
  <c r="S100" i="123"/>
  <c r="T100" i="123"/>
  <c r="U100" i="123"/>
  <c r="V100" i="123"/>
  <c r="W100" i="123"/>
  <c r="X100" i="123"/>
  <c r="Y100" i="123"/>
  <c r="Z100" i="123"/>
  <c r="AA100" i="123"/>
  <c r="AB100" i="123"/>
  <c r="AC100" i="123"/>
  <c r="AD100" i="123"/>
  <c r="AE100" i="123"/>
  <c r="AF100" i="123"/>
  <c r="AG100" i="123"/>
  <c r="AH100" i="123"/>
  <c r="AI100" i="123"/>
  <c r="AJ100" i="123"/>
  <c r="AK100" i="123"/>
  <c r="AL100" i="123"/>
  <c r="AM100" i="123"/>
  <c r="AN100" i="123"/>
  <c r="AO100" i="123"/>
  <c r="AP100" i="123"/>
  <c r="AQ100" i="123"/>
  <c r="AR100" i="123"/>
  <c r="AS100" i="123"/>
  <c r="AT100" i="123"/>
  <c r="AU100" i="123"/>
  <c r="AV100" i="123"/>
  <c r="AW100" i="123"/>
  <c r="AX100" i="123"/>
  <c r="AY100" i="123"/>
  <c r="AZ100" i="123"/>
  <c r="BA100" i="123"/>
  <c r="BB100" i="123"/>
  <c r="BC100" i="123"/>
  <c r="BD100" i="123"/>
  <c r="BE100" i="123"/>
  <c r="BF100" i="123"/>
  <c r="C73" i="123"/>
  <c r="C74" i="123"/>
  <c r="C75" i="123"/>
  <c r="C76" i="123"/>
  <c r="C77" i="123"/>
  <c r="C78" i="123"/>
  <c r="C79" i="123"/>
  <c r="C80" i="123"/>
  <c r="C81" i="123"/>
  <c r="C82" i="123"/>
  <c r="C83" i="123"/>
  <c r="C84" i="123"/>
  <c r="C85" i="123"/>
  <c r="C86" i="123"/>
  <c r="C87" i="123"/>
  <c r="C88" i="123"/>
  <c r="C89" i="123"/>
  <c r="C90" i="123"/>
  <c r="C91" i="123"/>
  <c r="C92" i="123"/>
  <c r="C93" i="123"/>
  <c r="C94" i="123"/>
  <c r="C95" i="123"/>
  <c r="C96" i="123"/>
  <c r="C97" i="123"/>
  <c r="C98" i="123"/>
  <c r="C99" i="123"/>
  <c r="C100" i="123"/>
  <c r="C72" i="123"/>
  <c r="D39" i="123"/>
  <c r="E39" i="123"/>
  <c r="F39" i="123"/>
  <c r="G39" i="123"/>
  <c r="H39" i="123"/>
  <c r="I39" i="123"/>
  <c r="J39" i="123"/>
  <c r="K39" i="123"/>
  <c r="L39" i="123"/>
  <c r="M39" i="123"/>
  <c r="N39" i="123"/>
  <c r="O39" i="123"/>
  <c r="P39" i="123"/>
  <c r="Q39" i="123"/>
  <c r="R39" i="123"/>
  <c r="S39" i="123"/>
  <c r="T39" i="123"/>
  <c r="U39" i="123"/>
  <c r="V39" i="123"/>
  <c r="W39" i="123"/>
  <c r="X39" i="123"/>
  <c r="Y39" i="123"/>
  <c r="Z39" i="123"/>
  <c r="AA39" i="123"/>
  <c r="AB39" i="123"/>
  <c r="AC39" i="123"/>
  <c r="AD39" i="123"/>
  <c r="AE39" i="123"/>
  <c r="AF39" i="123"/>
  <c r="AG39" i="123"/>
  <c r="AH39" i="123"/>
  <c r="AI39" i="123"/>
  <c r="AJ39" i="123"/>
  <c r="AK39" i="123"/>
  <c r="AL39" i="123"/>
  <c r="AM39" i="123"/>
  <c r="AN39" i="123"/>
  <c r="AO39" i="123"/>
  <c r="AP39" i="123"/>
  <c r="AQ39" i="123"/>
  <c r="AR39" i="123"/>
  <c r="AS39" i="123"/>
  <c r="AT39" i="123"/>
  <c r="AU39" i="123"/>
  <c r="AV39" i="123"/>
  <c r="AW39" i="123"/>
  <c r="AX39" i="123"/>
  <c r="AY39" i="123"/>
  <c r="AZ39" i="123"/>
  <c r="BA39" i="123"/>
  <c r="BB39" i="123"/>
  <c r="BC39" i="123"/>
  <c r="BD39" i="123"/>
  <c r="BE39" i="123"/>
  <c r="BF39" i="123"/>
  <c r="D40" i="123"/>
  <c r="E40" i="123"/>
  <c r="F40" i="123"/>
  <c r="G40" i="123"/>
  <c r="H40" i="123"/>
  <c r="I40" i="123"/>
  <c r="J40" i="123"/>
  <c r="K40" i="123"/>
  <c r="L40" i="123"/>
  <c r="M40" i="123"/>
  <c r="N40" i="123"/>
  <c r="O40" i="123"/>
  <c r="P40" i="123"/>
  <c r="Q40" i="123"/>
  <c r="R40" i="123"/>
  <c r="S40" i="123"/>
  <c r="T40" i="123"/>
  <c r="U40" i="123"/>
  <c r="V40" i="123"/>
  <c r="W40" i="123"/>
  <c r="X40" i="123"/>
  <c r="Y40" i="123"/>
  <c r="Z40" i="123"/>
  <c r="AA40" i="123"/>
  <c r="AB40" i="123"/>
  <c r="AC40" i="123"/>
  <c r="AD40" i="123"/>
  <c r="AE40" i="123"/>
  <c r="AF40" i="123"/>
  <c r="AG40" i="123"/>
  <c r="AH40" i="123"/>
  <c r="AI40" i="123"/>
  <c r="AJ40" i="123"/>
  <c r="AK40" i="123"/>
  <c r="AL40" i="123"/>
  <c r="AM40" i="123"/>
  <c r="AN40" i="123"/>
  <c r="AO40" i="123"/>
  <c r="AP40" i="123"/>
  <c r="AQ40" i="123"/>
  <c r="AR40" i="123"/>
  <c r="AS40" i="123"/>
  <c r="AT40" i="123"/>
  <c r="AU40" i="123"/>
  <c r="AV40" i="123"/>
  <c r="AW40" i="123"/>
  <c r="AX40" i="123"/>
  <c r="AY40" i="123"/>
  <c r="AZ40" i="123"/>
  <c r="BA40" i="123"/>
  <c r="BB40" i="123"/>
  <c r="BC40" i="123"/>
  <c r="BD40" i="123"/>
  <c r="BE40" i="123"/>
  <c r="BF40" i="123"/>
  <c r="D41" i="123"/>
  <c r="E41" i="123"/>
  <c r="F41" i="123"/>
  <c r="G41" i="123"/>
  <c r="H41" i="123"/>
  <c r="I41" i="123"/>
  <c r="J41" i="123"/>
  <c r="K41" i="123"/>
  <c r="L41" i="123"/>
  <c r="M41" i="123"/>
  <c r="N41" i="123"/>
  <c r="O41" i="123"/>
  <c r="P41" i="123"/>
  <c r="Q41" i="123"/>
  <c r="R41" i="123"/>
  <c r="S41" i="123"/>
  <c r="T41" i="123"/>
  <c r="U41" i="123"/>
  <c r="V41" i="123"/>
  <c r="W41" i="123"/>
  <c r="X41" i="123"/>
  <c r="Y41" i="123"/>
  <c r="Z41" i="123"/>
  <c r="AA41" i="123"/>
  <c r="AB41" i="123"/>
  <c r="AC41" i="123"/>
  <c r="AD41" i="123"/>
  <c r="AE41" i="123"/>
  <c r="AF41" i="123"/>
  <c r="AG41" i="123"/>
  <c r="AH41" i="123"/>
  <c r="AI41" i="123"/>
  <c r="AJ41" i="123"/>
  <c r="AK41" i="123"/>
  <c r="AL41" i="123"/>
  <c r="AM41" i="123"/>
  <c r="AN41" i="123"/>
  <c r="AO41" i="123"/>
  <c r="AP41" i="123"/>
  <c r="AQ41" i="123"/>
  <c r="AR41" i="123"/>
  <c r="AS41" i="123"/>
  <c r="AT41" i="123"/>
  <c r="AU41" i="123"/>
  <c r="AV41" i="123"/>
  <c r="AW41" i="123"/>
  <c r="AX41" i="123"/>
  <c r="AY41" i="123"/>
  <c r="AZ41" i="123"/>
  <c r="BA41" i="123"/>
  <c r="BB41" i="123"/>
  <c r="BC41" i="123"/>
  <c r="BD41" i="123"/>
  <c r="BE41" i="123"/>
  <c r="BF41" i="123"/>
  <c r="D42" i="123"/>
  <c r="E42" i="123"/>
  <c r="F42" i="123"/>
  <c r="G42" i="123"/>
  <c r="H42" i="123"/>
  <c r="I42" i="123"/>
  <c r="J42" i="123"/>
  <c r="K42" i="123"/>
  <c r="L42" i="123"/>
  <c r="M42" i="123"/>
  <c r="N42" i="123"/>
  <c r="O42" i="123"/>
  <c r="P42" i="123"/>
  <c r="Q42" i="123"/>
  <c r="R42" i="123"/>
  <c r="S42" i="123"/>
  <c r="T42" i="123"/>
  <c r="U42" i="123"/>
  <c r="V42" i="123"/>
  <c r="W42" i="123"/>
  <c r="X42" i="123"/>
  <c r="Y42" i="123"/>
  <c r="Z42" i="123"/>
  <c r="AA42" i="123"/>
  <c r="AB42" i="123"/>
  <c r="AC42" i="123"/>
  <c r="AD42" i="123"/>
  <c r="AE42" i="123"/>
  <c r="AF42" i="123"/>
  <c r="AG42" i="123"/>
  <c r="AH42" i="123"/>
  <c r="AI42" i="123"/>
  <c r="AJ42" i="123"/>
  <c r="AK42" i="123"/>
  <c r="AL42" i="123"/>
  <c r="AM42" i="123"/>
  <c r="AN42" i="123"/>
  <c r="AO42" i="123"/>
  <c r="AP42" i="123"/>
  <c r="AQ42" i="123"/>
  <c r="AR42" i="123"/>
  <c r="AS42" i="123"/>
  <c r="AT42" i="123"/>
  <c r="AU42" i="123"/>
  <c r="AV42" i="123"/>
  <c r="AW42" i="123"/>
  <c r="AX42" i="123"/>
  <c r="AY42" i="123"/>
  <c r="AZ42" i="123"/>
  <c r="BA42" i="123"/>
  <c r="BB42" i="123"/>
  <c r="BC42" i="123"/>
  <c r="BD42" i="123"/>
  <c r="BE42" i="123"/>
  <c r="BF42" i="123"/>
  <c r="D43" i="123"/>
  <c r="E43" i="123"/>
  <c r="F43" i="123"/>
  <c r="G43" i="123"/>
  <c r="H43" i="123"/>
  <c r="I43" i="123"/>
  <c r="J43" i="123"/>
  <c r="K43" i="123"/>
  <c r="L43" i="123"/>
  <c r="M43" i="123"/>
  <c r="N43" i="123"/>
  <c r="O43" i="123"/>
  <c r="P43" i="123"/>
  <c r="Q43" i="123"/>
  <c r="R43" i="123"/>
  <c r="S43" i="123"/>
  <c r="T43" i="123"/>
  <c r="U43" i="123"/>
  <c r="V43" i="123"/>
  <c r="W43" i="123"/>
  <c r="X43" i="123"/>
  <c r="Y43" i="123"/>
  <c r="Z43" i="123"/>
  <c r="AA43" i="123"/>
  <c r="AB43" i="123"/>
  <c r="AC43" i="123"/>
  <c r="AD43" i="123"/>
  <c r="AE43" i="123"/>
  <c r="AF43" i="123"/>
  <c r="AG43" i="123"/>
  <c r="AH43" i="123"/>
  <c r="AI43" i="123"/>
  <c r="AJ43" i="123"/>
  <c r="AK43" i="123"/>
  <c r="AL43" i="123"/>
  <c r="AM43" i="123"/>
  <c r="AN43" i="123"/>
  <c r="AO43" i="123"/>
  <c r="AP43" i="123"/>
  <c r="AQ43" i="123"/>
  <c r="AR43" i="123"/>
  <c r="AS43" i="123"/>
  <c r="AT43" i="123"/>
  <c r="AU43" i="123"/>
  <c r="AV43" i="123"/>
  <c r="AW43" i="123"/>
  <c r="AX43" i="123"/>
  <c r="AY43" i="123"/>
  <c r="AZ43" i="123"/>
  <c r="BA43" i="123"/>
  <c r="BB43" i="123"/>
  <c r="BC43" i="123"/>
  <c r="BD43" i="123"/>
  <c r="BE43" i="123"/>
  <c r="BF43" i="123"/>
  <c r="D44" i="123"/>
  <c r="E44" i="123"/>
  <c r="F44" i="123"/>
  <c r="G44" i="123"/>
  <c r="H44" i="123"/>
  <c r="I44" i="123"/>
  <c r="J44" i="123"/>
  <c r="K44" i="123"/>
  <c r="L44" i="123"/>
  <c r="M44" i="123"/>
  <c r="N44" i="123"/>
  <c r="O44" i="123"/>
  <c r="P44" i="123"/>
  <c r="Q44" i="123"/>
  <c r="R44" i="123"/>
  <c r="S44" i="123"/>
  <c r="T44" i="123"/>
  <c r="U44" i="123"/>
  <c r="V44" i="123"/>
  <c r="W44" i="123"/>
  <c r="X44" i="123"/>
  <c r="Y44" i="123"/>
  <c r="Z44" i="123"/>
  <c r="AA44" i="123"/>
  <c r="AB44" i="123"/>
  <c r="AC44" i="123"/>
  <c r="AD44" i="123"/>
  <c r="AE44" i="123"/>
  <c r="AF44" i="123"/>
  <c r="AG44" i="123"/>
  <c r="AH44" i="123"/>
  <c r="AI44" i="123"/>
  <c r="AJ44" i="123"/>
  <c r="AK44" i="123"/>
  <c r="AL44" i="123"/>
  <c r="AM44" i="123"/>
  <c r="AN44" i="123"/>
  <c r="AO44" i="123"/>
  <c r="AP44" i="123"/>
  <c r="AQ44" i="123"/>
  <c r="AR44" i="123"/>
  <c r="AS44" i="123"/>
  <c r="AT44" i="123"/>
  <c r="AU44" i="123"/>
  <c r="AV44" i="123"/>
  <c r="AW44" i="123"/>
  <c r="AX44" i="123"/>
  <c r="AY44" i="123"/>
  <c r="AZ44" i="123"/>
  <c r="BA44" i="123"/>
  <c r="BB44" i="123"/>
  <c r="BC44" i="123"/>
  <c r="BD44" i="123"/>
  <c r="BE44" i="123"/>
  <c r="BF44" i="123"/>
  <c r="D45" i="123"/>
  <c r="E45" i="123"/>
  <c r="F45" i="123"/>
  <c r="G45" i="123"/>
  <c r="H45" i="123"/>
  <c r="I45" i="123"/>
  <c r="J45" i="123"/>
  <c r="K45" i="123"/>
  <c r="L45" i="123"/>
  <c r="M45" i="123"/>
  <c r="N45" i="123"/>
  <c r="O45" i="123"/>
  <c r="P45" i="123"/>
  <c r="Q45" i="123"/>
  <c r="R45" i="123"/>
  <c r="S45" i="123"/>
  <c r="T45" i="123"/>
  <c r="U45" i="123"/>
  <c r="V45" i="123"/>
  <c r="W45" i="123"/>
  <c r="X45" i="123"/>
  <c r="Y45" i="123"/>
  <c r="Z45" i="123"/>
  <c r="AA45" i="123"/>
  <c r="AB45" i="123"/>
  <c r="AC45" i="123"/>
  <c r="AD45" i="123"/>
  <c r="AE45" i="123"/>
  <c r="AF45" i="123"/>
  <c r="AG45" i="123"/>
  <c r="AH45" i="123"/>
  <c r="AI45" i="123"/>
  <c r="AJ45" i="123"/>
  <c r="AK45" i="123"/>
  <c r="AL45" i="123"/>
  <c r="AM45" i="123"/>
  <c r="AN45" i="123"/>
  <c r="AO45" i="123"/>
  <c r="AP45" i="123"/>
  <c r="AQ45" i="123"/>
  <c r="AR45" i="123"/>
  <c r="AS45" i="123"/>
  <c r="AT45" i="123"/>
  <c r="AU45" i="123"/>
  <c r="AV45" i="123"/>
  <c r="AW45" i="123"/>
  <c r="AX45" i="123"/>
  <c r="AY45" i="123"/>
  <c r="AZ45" i="123"/>
  <c r="BA45" i="123"/>
  <c r="BB45" i="123"/>
  <c r="BC45" i="123"/>
  <c r="BD45" i="123"/>
  <c r="BE45" i="123"/>
  <c r="BF45" i="123"/>
  <c r="D46" i="123"/>
  <c r="E46" i="123"/>
  <c r="F46" i="123"/>
  <c r="G46" i="123"/>
  <c r="H46" i="123"/>
  <c r="I46" i="123"/>
  <c r="J46" i="123"/>
  <c r="K46" i="123"/>
  <c r="L46" i="123"/>
  <c r="M46" i="123"/>
  <c r="N46" i="123"/>
  <c r="O46" i="123"/>
  <c r="P46" i="123"/>
  <c r="Q46" i="123"/>
  <c r="R46" i="123"/>
  <c r="S46" i="123"/>
  <c r="T46" i="123"/>
  <c r="U46" i="123"/>
  <c r="V46" i="123"/>
  <c r="W46" i="123"/>
  <c r="X46" i="123"/>
  <c r="Y46" i="123"/>
  <c r="Z46" i="123"/>
  <c r="AA46" i="123"/>
  <c r="AB46" i="123"/>
  <c r="AC46" i="123"/>
  <c r="AD46" i="123"/>
  <c r="AE46" i="123"/>
  <c r="AF46" i="123"/>
  <c r="AG46" i="123"/>
  <c r="AH46" i="123"/>
  <c r="AI46" i="123"/>
  <c r="AJ46" i="123"/>
  <c r="AK46" i="123"/>
  <c r="AL46" i="123"/>
  <c r="AM46" i="123"/>
  <c r="AN46" i="123"/>
  <c r="AO46" i="123"/>
  <c r="AP46" i="123"/>
  <c r="AQ46" i="123"/>
  <c r="AR46" i="123"/>
  <c r="AS46" i="123"/>
  <c r="AT46" i="123"/>
  <c r="AU46" i="123"/>
  <c r="AV46" i="123"/>
  <c r="AW46" i="123"/>
  <c r="AX46" i="123"/>
  <c r="AY46" i="123"/>
  <c r="AZ46" i="123"/>
  <c r="BA46" i="123"/>
  <c r="BB46" i="123"/>
  <c r="BC46" i="123"/>
  <c r="BD46" i="123"/>
  <c r="BE46" i="123"/>
  <c r="BF46" i="123"/>
  <c r="D47" i="123"/>
  <c r="E47" i="123"/>
  <c r="F47" i="123"/>
  <c r="G47" i="123"/>
  <c r="H47" i="123"/>
  <c r="I47" i="123"/>
  <c r="J47" i="123"/>
  <c r="K47" i="123"/>
  <c r="L47" i="123"/>
  <c r="M47" i="123"/>
  <c r="N47" i="123"/>
  <c r="O47" i="123"/>
  <c r="P47" i="123"/>
  <c r="Q47" i="123"/>
  <c r="R47" i="123"/>
  <c r="S47" i="123"/>
  <c r="T47" i="123"/>
  <c r="U47" i="123"/>
  <c r="V47" i="123"/>
  <c r="W47" i="123"/>
  <c r="X47" i="123"/>
  <c r="Y47" i="123"/>
  <c r="Z47" i="123"/>
  <c r="AA47" i="123"/>
  <c r="AB47" i="123"/>
  <c r="AC47" i="123"/>
  <c r="AD47" i="123"/>
  <c r="AE47" i="123"/>
  <c r="AF47" i="123"/>
  <c r="AG47" i="123"/>
  <c r="AH47" i="123"/>
  <c r="AI47" i="123"/>
  <c r="AJ47" i="123"/>
  <c r="AK47" i="123"/>
  <c r="AL47" i="123"/>
  <c r="AM47" i="123"/>
  <c r="AN47" i="123"/>
  <c r="AO47" i="123"/>
  <c r="AP47" i="123"/>
  <c r="AQ47" i="123"/>
  <c r="AR47" i="123"/>
  <c r="AS47" i="123"/>
  <c r="AT47" i="123"/>
  <c r="AU47" i="123"/>
  <c r="AV47" i="123"/>
  <c r="AW47" i="123"/>
  <c r="AX47" i="123"/>
  <c r="AY47" i="123"/>
  <c r="AZ47" i="123"/>
  <c r="BA47" i="123"/>
  <c r="BB47" i="123"/>
  <c r="BC47" i="123"/>
  <c r="BD47" i="123"/>
  <c r="BE47" i="123"/>
  <c r="BF47" i="123"/>
  <c r="D48" i="123"/>
  <c r="E48" i="123"/>
  <c r="F48" i="123"/>
  <c r="G48" i="123"/>
  <c r="H48" i="123"/>
  <c r="I48" i="123"/>
  <c r="J48" i="123"/>
  <c r="K48" i="123"/>
  <c r="L48" i="123"/>
  <c r="M48" i="123"/>
  <c r="N48" i="123"/>
  <c r="O48" i="123"/>
  <c r="P48" i="123"/>
  <c r="Q48" i="123"/>
  <c r="R48" i="123"/>
  <c r="S48" i="123"/>
  <c r="T48" i="123"/>
  <c r="U48" i="123"/>
  <c r="V48" i="123"/>
  <c r="W48" i="123"/>
  <c r="X48" i="123"/>
  <c r="Y48" i="123"/>
  <c r="Z48" i="123"/>
  <c r="AA48" i="123"/>
  <c r="AB48" i="123"/>
  <c r="AC48" i="123"/>
  <c r="AD48" i="123"/>
  <c r="AE48" i="123"/>
  <c r="AF48" i="123"/>
  <c r="AG48" i="123"/>
  <c r="AH48" i="123"/>
  <c r="AI48" i="123"/>
  <c r="AJ48" i="123"/>
  <c r="AK48" i="123"/>
  <c r="AL48" i="123"/>
  <c r="AM48" i="123"/>
  <c r="AN48" i="123"/>
  <c r="AO48" i="123"/>
  <c r="AP48" i="123"/>
  <c r="AQ48" i="123"/>
  <c r="AR48" i="123"/>
  <c r="AS48" i="123"/>
  <c r="AT48" i="123"/>
  <c r="AU48" i="123"/>
  <c r="AV48" i="123"/>
  <c r="AW48" i="123"/>
  <c r="AX48" i="123"/>
  <c r="AY48" i="123"/>
  <c r="AZ48" i="123"/>
  <c r="BA48" i="123"/>
  <c r="BB48" i="123"/>
  <c r="BC48" i="123"/>
  <c r="BD48" i="123"/>
  <c r="BE48" i="123"/>
  <c r="BF48" i="123"/>
  <c r="D49" i="123"/>
  <c r="E49" i="123"/>
  <c r="F49" i="123"/>
  <c r="G49" i="123"/>
  <c r="H49" i="123"/>
  <c r="I49" i="123"/>
  <c r="J49" i="123"/>
  <c r="K49" i="123"/>
  <c r="L49" i="123"/>
  <c r="M49" i="123"/>
  <c r="N49" i="123"/>
  <c r="O49" i="123"/>
  <c r="P49" i="123"/>
  <c r="Q49" i="123"/>
  <c r="R49" i="123"/>
  <c r="S49" i="123"/>
  <c r="T49" i="123"/>
  <c r="U49" i="123"/>
  <c r="V49" i="123"/>
  <c r="W49" i="123"/>
  <c r="X49" i="123"/>
  <c r="Y49" i="123"/>
  <c r="Z49" i="123"/>
  <c r="AA49" i="123"/>
  <c r="AB49" i="123"/>
  <c r="AC49" i="123"/>
  <c r="AD49" i="123"/>
  <c r="AE49" i="123"/>
  <c r="AF49" i="123"/>
  <c r="AG49" i="123"/>
  <c r="AH49" i="123"/>
  <c r="AI49" i="123"/>
  <c r="AJ49" i="123"/>
  <c r="AK49" i="123"/>
  <c r="AL49" i="123"/>
  <c r="AM49" i="123"/>
  <c r="AN49" i="123"/>
  <c r="AO49" i="123"/>
  <c r="AP49" i="123"/>
  <c r="AQ49" i="123"/>
  <c r="AR49" i="123"/>
  <c r="AS49" i="123"/>
  <c r="AT49" i="123"/>
  <c r="AU49" i="123"/>
  <c r="AV49" i="123"/>
  <c r="AW49" i="123"/>
  <c r="AX49" i="123"/>
  <c r="AY49" i="123"/>
  <c r="AZ49" i="123"/>
  <c r="BA49" i="123"/>
  <c r="BB49" i="123"/>
  <c r="BC49" i="123"/>
  <c r="BD49" i="123"/>
  <c r="BE49" i="123"/>
  <c r="BF49" i="123"/>
  <c r="D50" i="123"/>
  <c r="E50" i="123"/>
  <c r="F50" i="123"/>
  <c r="G50" i="123"/>
  <c r="H50" i="123"/>
  <c r="I50" i="123"/>
  <c r="J50" i="123"/>
  <c r="K50" i="123"/>
  <c r="L50" i="123"/>
  <c r="M50" i="123"/>
  <c r="N50" i="123"/>
  <c r="O50" i="123"/>
  <c r="P50" i="123"/>
  <c r="Q50" i="123"/>
  <c r="R50" i="123"/>
  <c r="S50" i="123"/>
  <c r="T50" i="123"/>
  <c r="U50" i="123"/>
  <c r="V50" i="123"/>
  <c r="W50" i="123"/>
  <c r="X50" i="123"/>
  <c r="Y50" i="123"/>
  <c r="Z50" i="123"/>
  <c r="AA50" i="123"/>
  <c r="AB50" i="123"/>
  <c r="AC50" i="123"/>
  <c r="AD50" i="123"/>
  <c r="AE50" i="123"/>
  <c r="AF50" i="123"/>
  <c r="AG50" i="123"/>
  <c r="AH50" i="123"/>
  <c r="AI50" i="123"/>
  <c r="AJ50" i="123"/>
  <c r="AK50" i="123"/>
  <c r="AL50" i="123"/>
  <c r="AM50" i="123"/>
  <c r="AN50" i="123"/>
  <c r="AO50" i="123"/>
  <c r="AP50" i="123"/>
  <c r="AQ50" i="123"/>
  <c r="AR50" i="123"/>
  <c r="AS50" i="123"/>
  <c r="AT50" i="123"/>
  <c r="AU50" i="123"/>
  <c r="AV50" i="123"/>
  <c r="AW50" i="123"/>
  <c r="AX50" i="123"/>
  <c r="AY50" i="123"/>
  <c r="AZ50" i="123"/>
  <c r="BA50" i="123"/>
  <c r="BB50" i="123"/>
  <c r="BC50" i="123"/>
  <c r="BD50" i="123"/>
  <c r="BE50" i="123"/>
  <c r="BF50" i="123"/>
  <c r="D51" i="123"/>
  <c r="E51" i="123"/>
  <c r="F51" i="123"/>
  <c r="G51" i="123"/>
  <c r="H51" i="123"/>
  <c r="I51" i="123"/>
  <c r="J51" i="123"/>
  <c r="K51" i="123"/>
  <c r="L51" i="123"/>
  <c r="M51" i="123"/>
  <c r="N51" i="123"/>
  <c r="O51" i="123"/>
  <c r="P51" i="123"/>
  <c r="Q51" i="123"/>
  <c r="R51" i="123"/>
  <c r="S51" i="123"/>
  <c r="T51" i="123"/>
  <c r="U51" i="123"/>
  <c r="V51" i="123"/>
  <c r="W51" i="123"/>
  <c r="X51" i="123"/>
  <c r="Y51" i="123"/>
  <c r="Z51" i="123"/>
  <c r="AA51" i="123"/>
  <c r="AB51" i="123"/>
  <c r="AC51" i="123"/>
  <c r="AD51" i="123"/>
  <c r="AE51" i="123"/>
  <c r="AF51" i="123"/>
  <c r="AG51" i="123"/>
  <c r="AH51" i="123"/>
  <c r="AI51" i="123"/>
  <c r="AJ51" i="123"/>
  <c r="AK51" i="123"/>
  <c r="AL51" i="123"/>
  <c r="AM51" i="123"/>
  <c r="AN51" i="123"/>
  <c r="AO51" i="123"/>
  <c r="AP51" i="123"/>
  <c r="AQ51" i="123"/>
  <c r="AR51" i="123"/>
  <c r="AS51" i="123"/>
  <c r="AT51" i="123"/>
  <c r="AU51" i="123"/>
  <c r="AV51" i="123"/>
  <c r="AW51" i="123"/>
  <c r="AX51" i="123"/>
  <c r="AY51" i="123"/>
  <c r="AZ51" i="123"/>
  <c r="BA51" i="123"/>
  <c r="BB51" i="123"/>
  <c r="BC51" i="123"/>
  <c r="BD51" i="123"/>
  <c r="BE51" i="123"/>
  <c r="BF51" i="123"/>
  <c r="D52" i="123"/>
  <c r="E52" i="123"/>
  <c r="F52" i="123"/>
  <c r="G52" i="123"/>
  <c r="H52" i="123"/>
  <c r="I52" i="123"/>
  <c r="J52" i="123"/>
  <c r="K52" i="123"/>
  <c r="L52" i="123"/>
  <c r="M52" i="123"/>
  <c r="N52" i="123"/>
  <c r="O52" i="123"/>
  <c r="P52" i="123"/>
  <c r="Q52" i="123"/>
  <c r="R52" i="123"/>
  <c r="S52" i="123"/>
  <c r="T52" i="123"/>
  <c r="U52" i="123"/>
  <c r="V52" i="123"/>
  <c r="W52" i="123"/>
  <c r="X52" i="123"/>
  <c r="Y52" i="123"/>
  <c r="Z52" i="123"/>
  <c r="AA52" i="123"/>
  <c r="AB52" i="123"/>
  <c r="AC52" i="123"/>
  <c r="AD52" i="123"/>
  <c r="AE52" i="123"/>
  <c r="AF52" i="123"/>
  <c r="AG52" i="123"/>
  <c r="AH52" i="123"/>
  <c r="AI52" i="123"/>
  <c r="AJ52" i="123"/>
  <c r="AK52" i="123"/>
  <c r="AL52" i="123"/>
  <c r="AM52" i="123"/>
  <c r="AN52" i="123"/>
  <c r="AO52" i="123"/>
  <c r="AP52" i="123"/>
  <c r="AQ52" i="123"/>
  <c r="AR52" i="123"/>
  <c r="AS52" i="123"/>
  <c r="AT52" i="123"/>
  <c r="AU52" i="123"/>
  <c r="AV52" i="123"/>
  <c r="AW52" i="123"/>
  <c r="AX52" i="123"/>
  <c r="AY52" i="123"/>
  <c r="AZ52" i="123"/>
  <c r="BA52" i="123"/>
  <c r="BB52" i="123"/>
  <c r="BC52" i="123"/>
  <c r="BD52" i="123"/>
  <c r="BE52" i="123"/>
  <c r="BF52" i="123"/>
  <c r="D53" i="123"/>
  <c r="E53" i="123"/>
  <c r="F53" i="123"/>
  <c r="G53" i="123"/>
  <c r="H53" i="123"/>
  <c r="I53" i="123"/>
  <c r="J53" i="123"/>
  <c r="K53" i="123"/>
  <c r="L53" i="123"/>
  <c r="M53" i="123"/>
  <c r="N53" i="123"/>
  <c r="O53" i="123"/>
  <c r="P53" i="123"/>
  <c r="Q53" i="123"/>
  <c r="R53" i="123"/>
  <c r="S53" i="123"/>
  <c r="T53" i="123"/>
  <c r="U53" i="123"/>
  <c r="V53" i="123"/>
  <c r="W53" i="123"/>
  <c r="X53" i="123"/>
  <c r="Y53" i="123"/>
  <c r="Z53" i="123"/>
  <c r="AA53" i="123"/>
  <c r="AB53" i="123"/>
  <c r="AC53" i="123"/>
  <c r="AD53" i="123"/>
  <c r="AE53" i="123"/>
  <c r="AF53" i="123"/>
  <c r="AG53" i="123"/>
  <c r="AH53" i="123"/>
  <c r="AI53" i="123"/>
  <c r="AJ53" i="123"/>
  <c r="AK53" i="123"/>
  <c r="AL53" i="123"/>
  <c r="AM53" i="123"/>
  <c r="AN53" i="123"/>
  <c r="AO53" i="123"/>
  <c r="AP53" i="123"/>
  <c r="AQ53" i="123"/>
  <c r="AR53" i="123"/>
  <c r="AS53" i="123"/>
  <c r="AT53" i="123"/>
  <c r="AU53" i="123"/>
  <c r="AV53" i="123"/>
  <c r="AW53" i="123"/>
  <c r="AX53" i="123"/>
  <c r="AY53" i="123"/>
  <c r="AZ53" i="123"/>
  <c r="BA53" i="123"/>
  <c r="BB53" i="123"/>
  <c r="BC53" i="123"/>
  <c r="BD53" i="123"/>
  <c r="BE53" i="123"/>
  <c r="BF53" i="123"/>
  <c r="D54" i="123"/>
  <c r="E54" i="123"/>
  <c r="F54" i="123"/>
  <c r="G54" i="123"/>
  <c r="H54" i="123"/>
  <c r="I54" i="123"/>
  <c r="J54" i="123"/>
  <c r="K54" i="123"/>
  <c r="L54" i="123"/>
  <c r="M54" i="123"/>
  <c r="N54" i="123"/>
  <c r="O54" i="123"/>
  <c r="P54" i="123"/>
  <c r="Q54" i="123"/>
  <c r="R54" i="123"/>
  <c r="S54" i="123"/>
  <c r="T54" i="123"/>
  <c r="U54" i="123"/>
  <c r="V54" i="123"/>
  <c r="W54" i="123"/>
  <c r="X54" i="123"/>
  <c r="Y54" i="123"/>
  <c r="Z54" i="123"/>
  <c r="AA54" i="123"/>
  <c r="AB54" i="123"/>
  <c r="AC54" i="123"/>
  <c r="AD54" i="123"/>
  <c r="AE54" i="123"/>
  <c r="AF54" i="123"/>
  <c r="AG54" i="123"/>
  <c r="AH54" i="123"/>
  <c r="AI54" i="123"/>
  <c r="AJ54" i="123"/>
  <c r="AK54" i="123"/>
  <c r="AL54" i="123"/>
  <c r="AM54" i="123"/>
  <c r="AN54" i="123"/>
  <c r="AO54" i="123"/>
  <c r="AP54" i="123"/>
  <c r="AQ54" i="123"/>
  <c r="AR54" i="123"/>
  <c r="AS54" i="123"/>
  <c r="AT54" i="123"/>
  <c r="AU54" i="123"/>
  <c r="AV54" i="123"/>
  <c r="AW54" i="123"/>
  <c r="AX54" i="123"/>
  <c r="AY54" i="123"/>
  <c r="AZ54" i="123"/>
  <c r="BA54" i="123"/>
  <c r="BB54" i="123"/>
  <c r="BC54" i="123"/>
  <c r="BD54" i="123"/>
  <c r="BE54" i="123"/>
  <c r="BF54" i="123"/>
  <c r="D55" i="123"/>
  <c r="E55" i="123"/>
  <c r="F55" i="123"/>
  <c r="G55" i="123"/>
  <c r="H55" i="123"/>
  <c r="I55" i="123"/>
  <c r="J55" i="123"/>
  <c r="K55" i="123"/>
  <c r="L55" i="123"/>
  <c r="M55" i="123"/>
  <c r="N55" i="123"/>
  <c r="O55" i="123"/>
  <c r="P55" i="123"/>
  <c r="Q55" i="123"/>
  <c r="R55" i="123"/>
  <c r="S55" i="123"/>
  <c r="T55" i="123"/>
  <c r="U55" i="123"/>
  <c r="V55" i="123"/>
  <c r="W55" i="123"/>
  <c r="X55" i="123"/>
  <c r="Y55" i="123"/>
  <c r="Z55" i="123"/>
  <c r="AA55" i="123"/>
  <c r="AB55" i="123"/>
  <c r="AC55" i="123"/>
  <c r="AD55" i="123"/>
  <c r="AE55" i="123"/>
  <c r="AF55" i="123"/>
  <c r="AG55" i="123"/>
  <c r="AH55" i="123"/>
  <c r="AI55" i="123"/>
  <c r="AJ55" i="123"/>
  <c r="AK55" i="123"/>
  <c r="AL55" i="123"/>
  <c r="AM55" i="123"/>
  <c r="AN55" i="123"/>
  <c r="AO55" i="123"/>
  <c r="AP55" i="123"/>
  <c r="AQ55" i="123"/>
  <c r="AR55" i="123"/>
  <c r="AS55" i="123"/>
  <c r="AT55" i="123"/>
  <c r="AU55" i="123"/>
  <c r="AV55" i="123"/>
  <c r="AW55" i="123"/>
  <c r="AX55" i="123"/>
  <c r="AY55" i="123"/>
  <c r="AZ55" i="123"/>
  <c r="BA55" i="123"/>
  <c r="BB55" i="123"/>
  <c r="BC55" i="123"/>
  <c r="BD55" i="123"/>
  <c r="BE55" i="123"/>
  <c r="BF55" i="123"/>
  <c r="D56" i="123"/>
  <c r="E56" i="123"/>
  <c r="F56" i="123"/>
  <c r="G56" i="123"/>
  <c r="H56" i="123"/>
  <c r="I56" i="123"/>
  <c r="J56" i="123"/>
  <c r="K56" i="123"/>
  <c r="L56" i="123"/>
  <c r="M56" i="123"/>
  <c r="N56" i="123"/>
  <c r="O56" i="123"/>
  <c r="P56" i="123"/>
  <c r="Q56" i="123"/>
  <c r="R56" i="123"/>
  <c r="S56" i="123"/>
  <c r="T56" i="123"/>
  <c r="U56" i="123"/>
  <c r="V56" i="123"/>
  <c r="W56" i="123"/>
  <c r="X56" i="123"/>
  <c r="Y56" i="123"/>
  <c r="Z56" i="123"/>
  <c r="AA56" i="123"/>
  <c r="AB56" i="123"/>
  <c r="AC56" i="123"/>
  <c r="AD56" i="123"/>
  <c r="AE56" i="123"/>
  <c r="AF56" i="123"/>
  <c r="AG56" i="123"/>
  <c r="AH56" i="123"/>
  <c r="AI56" i="123"/>
  <c r="AJ56" i="123"/>
  <c r="AK56" i="123"/>
  <c r="AL56" i="123"/>
  <c r="AM56" i="123"/>
  <c r="AN56" i="123"/>
  <c r="AO56" i="123"/>
  <c r="AP56" i="123"/>
  <c r="AQ56" i="123"/>
  <c r="AR56" i="123"/>
  <c r="AS56" i="123"/>
  <c r="AT56" i="123"/>
  <c r="AU56" i="123"/>
  <c r="AV56" i="123"/>
  <c r="AW56" i="123"/>
  <c r="AX56" i="123"/>
  <c r="AY56" i="123"/>
  <c r="AZ56" i="123"/>
  <c r="BA56" i="123"/>
  <c r="BB56" i="123"/>
  <c r="BC56" i="123"/>
  <c r="BD56" i="123"/>
  <c r="BE56" i="123"/>
  <c r="BF56" i="123"/>
  <c r="D57" i="123"/>
  <c r="E57" i="123"/>
  <c r="F57" i="123"/>
  <c r="G57" i="123"/>
  <c r="H57" i="123"/>
  <c r="I57" i="123"/>
  <c r="J57" i="123"/>
  <c r="K57" i="123"/>
  <c r="L57" i="123"/>
  <c r="M57" i="123"/>
  <c r="N57" i="123"/>
  <c r="O57" i="123"/>
  <c r="P57" i="123"/>
  <c r="Q57" i="123"/>
  <c r="R57" i="123"/>
  <c r="S57" i="123"/>
  <c r="T57" i="123"/>
  <c r="U57" i="123"/>
  <c r="V57" i="123"/>
  <c r="W57" i="123"/>
  <c r="X57" i="123"/>
  <c r="Y57" i="123"/>
  <c r="Z57" i="123"/>
  <c r="AA57" i="123"/>
  <c r="AB57" i="123"/>
  <c r="AC57" i="123"/>
  <c r="AD57" i="123"/>
  <c r="AE57" i="123"/>
  <c r="AF57" i="123"/>
  <c r="AG57" i="123"/>
  <c r="AH57" i="123"/>
  <c r="AI57" i="123"/>
  <c r="AJ57" i="123"/>
  <c r="AK57" i="123"/>
  <c r="AL57" i="123"/>
  <c r="AM57" i="123"/>
  <c r="AN57" i="123"/>
  <c r="AO57" i="123"/>
  <c r="AP57" i="123"/>
  <c r="AQ57" i="123"/>
  <c r="AR57" i="123"/>
  <c r="AS57" i="123"/>
  <c r="AT57" i="123"/>
  <c r="AU57" i="123"/>
  <c r="AV57" i="123"/>
  <c r="AW57" i="123"/>
  <c r="AX57" i="123"/>
  <c r="AY57" i="123"/>
  <c r="AZ57" i="123"/>
  <c r="BA57" i="123"/>
  <c r="BB57" i="123"/>
  <c r="BC57" i="123"/>
  <c r="BD57" i="123"/>
  <c r="BE57" i="123"/>
  <c r="BF57" i="123"/>
  <c r="D58" i="123"/>
  <c r="E58" i="123"/>
  <c r="F58" i="123"/>
  <c r="G58" i="123"/>
  <c r="H58" i="123"/>
  <c r="I58" i="123"/>
  <c r="J58" i="123"/>
  <c r="K58" i="123"/>
  <c r="L58" i="123"/>
  <c r="M58" i="123"/>
  <c r="N58" i="123"/>
  <c r="O58" i="123"/>
  <c r="P58" i="123"/>
  <c r="Q58" i="123"/>
  <c r="R58" i="123"/>
  <c r="S58" i="123"/>
  <c r="T58" i="123"/>
  <c r="U58" i="123"/>
  <c r="V58" i="123"/>
  <c r="W58" i="123"/>
  <c r="X58" i="123"/>
  <c r="Y58" i="123"/>
  <c r="Z58" i="123"/>
  <c r="AA58" i="123"/>
  <c r="AB58" i="123"/>
  <c r="AC58" i="123"/>
  <c r="AD58" i="123"/>
  <c r="AE58" i="123"/>
  <c r="AF58" i="123"/>
  <c r="AG58" i="123"/>
  <c r="AH58" i="123"/>
  <c r="AI58" i="123"/>
  <c r="AJ58" i="123"/>
  <c r="AK58" i="123"/>
  <c r="AL58" i="123"/>
  <c r="AM58" i="123"/>
  <c r="AN58" i="123"/>
  <c r="AO58" i="123"/>
  <c r="AP58" i="123"/>
  <c r="AQ58" i="123"/>
  <c r="AR58" i="123"/>
  <c r="AS58" i="123"/>
  <c r="AT58" i="123"/>
  <c r="AU58" i="123"/>
  <c r="AV58" i="123"/>
  <c r="AW58" i="123"/>
  <c r="AX58" i="123"/>
  <c r="AY58" i="123"/>
  <c r="AZ58" i="123"/>
  <c r="BA58" i="123"/>
  <c r="BB58" i="123"/>
  <c r="BC58" i="123"/>
  <c r="BD58" i="123"/>
  <c r="BE58" i="123"/>
  <c r="BF58" i="123"/>
  <c r="D59" i="123"/>
  <c r="E59" i="123"/>
  <c r="F59" i="123"/>
  <c r="G59" i="123"/>
  <c r="H59" i="123"/>
  <c r="I59" i="123"/>
  <c r="J59" i="123"/>
  <c r="K59" i="123"/>
  <c r="L59" i="123"/>
  <c r="M59" i="123"/>
  <c r="N59" i="123"/>
  <c r="O59" i="123"/>
  <c r="P59" i="123"/>
  <c r="Q59" i="123"/>
  <c r="R59" i="123"/>
  <c r="S59" i="123"/>
  <c r="T59" i="123"/>
  <c r="U59" i="123"/>
  <c r="V59" i="123"/>
  <c r="W59" i="123"/>
  <c r="X59" i="123"/>
  <c r="Y59" i="123"/>
  <c r="Z59" i="123"/>
  <c r="AA59" i="123"/>
  <c r="AB59" i="123"/>
  <c r="AC59" i="123"/>
  <c r="AD59" i="123"/>
  <c r="AE59" i="123"/>
  <c r="AF59" i="123"/>
  <c r="AG59" i="123"/>
  <c r="AH59" i="123"/>
  <c r="AI59" i="123"/>
  <c r="AJ59" i="123"/>
  <c r="AK59" i="123"/>
  <c r="AL59" i="123"/>
  <c r="AM59" i="123"/>
  <c r="AN59" i="123"/>
  <c r="AO59" i="123"/>
  <c r="AP59" i="123"/>
  <c r="AQ59" i="123"/>
  <c r="AR59" i="123"/>
  <c r="AS59" i="123"/>
  <c r="AT59" i="123"/>
  <c r="AU59" i="123"/>
  <c r="AV59" i="123"/>
  <c r="AW59" i="123"/>
  <c r="AX59" i="123"/>
  <c r="AY59" i="123"/>
  <c r="AZ59" i="123"/>
  <c r="BA59" i="123"/>
  <c r="BB59" i="123"/>
  <c r="BC59" i="123"/>
  <c r="BD59" i="123"/>
  <c r="BE59" i="123"/>
  <c r="BF59" i="123"/>
  <c r="D60" i="123"/>
  <c r="E60" i="123"/>
  <c r="F60" i="123"/>
  <c r="G60" i="123"/>
  <c r="H60" i="123"/>
  <c r="I60" i="123"/>
  <c r="J60" i="123"/>
  <c r="K60" i="123"/>
  <c r="L60" i="123"/>
  <c r="M60" i="123"/>
  <c r="N60" i="123"/>
  <c r="O60" i="123"/>
  <c r="P60" i="123"/>
  <c r="Q60" i="123"/>
  <c r="R60" i="123"/>
  <c r="S60" i="123"/>
  <c r="T60" i="123"/>
  <c r="U60" i="123"/>
  <c r="V60" i="123"/>
  <c r="W60" i="123"/>
  <c r="X60" i="123"/>
  <c r="Y60" i="123"/>
  <c r="Z60" i="123"/>
  <c r="AA60" i="123"/>
  <c r="AB60" i="123"/>
  <c r="AC60" i="123"/>
  <c r="AD60" i="123"/>
  <c r="AE60" i="123"/>
  <c r="AF60" i="123"/>
  <c r="AG60" i="123"/>
  <c r="AH60" i="123"/>
  <c r="AI60" i="123"/>
  <c r="AJ60" i="123"/>
  <c r="AK60" i="123"/>
  <c r="AL60" i="123"/>
  <c r="AM60" i="123"/>
  <c r="AN60" i="123"/>
  <c r="AO60" i="123"/>
  <c r="AP60" i="123"/>
  <c r="AQ60" i="123"/>
  <c r="AR60" i="123"/>
  <c r="AS60" i="123"/>
  <c r="AT60" i="123"/>
  <c r="AU60" i="123"/>
  <c r="AV60" i="123"/>
  <c r="AW60" i="123"/>
  <c r="AX60" i="123"/>
  <c r="AY60" i="123"/>
  <c r="AZ60" i="123"/>
  <c r="BA60" i="123"/>
  <c r="BB60" i="123"/>
  <c r="BC60" i="123"/>
  <c r="BD60" i="123"/>
  <c r="BE60" i="123"/>
  <c r="BF60" i="123"/>
  <c r="D61" i="123"/>
  <c r="E61" i="123"/>
  <c r="F61" i="123"/>
  <c r="G61" i="123"/>
  <c r="H61" i="123"/>
  <c r="I61" i="123"/>
  <c r="J61" i="123"/>
  <c r="K61" i="123"/>
  <c r="L61" i="123"/>
  <c r="M61" i="123"/>
  <c r="N61" i="123"/>
  <c r="O61" i="123"/>
  <c r="P61" i="123"/>
  <c r="Q61" i="123"/>
  <c r="R61" i="123"/>
  <c r="S61" i="123"/>
  <c r="T61" i="123"/>
  <c r="U61" i="123"/>
  <c r="V61" i="123"/>
  <c r="W61" i="123"/>
  <c r="X61" i="123"/>
  <c r="Y61" i="123"/>
  <c r="Z61" i="123"/>
  <c r="AA61" i="123"/>
  <c r="AB61" i="123"/>
  <c r="AC61" i="123"/>
  <c r="AD61" i="123"/>
  <c r="AE61" i="123"/>
  <c r="AF61" i="123"/>
  <c r="AG61" i="123"/>
  <c r="AH61" i="123"/>
  <c r="AI61" i="123"/>
  <c r="AJ61" i="123"/>
  <c r="AK61" i="123"/>
  <c r="AL61" i="123"/>
  <c r="AM61" i="123"/>
  <c r="AN61" i="123"/>
  <c r="AO61" i="123"/>
  <c r="AP61" i="123"/>
  <c r="AQ61" i="123"/>
  <c r="AR61" i="123"/>
  <c r="AS61" i="123"/>
  <c r="AT61" i="123"/>
  <c r="AU61" i="123"/>
  <c r="AV61" i="123"/>
  <c r="AW61" i="123"/>
  <c r="AX61" i="123"/>
  <c r="AY61" i="123"/>
  <c r="AZ61" i="123"/>
  <c r="BA61" i="123"/>
  <c r="BB61" i="123"/>
  <c r="BC61" i="123"/>
  <c r="BD61" i="123"/>
  <c r="BE61" i="123"/>
  <c r="BF61" i="123"/>
  <c r="D62" i="123"/>
  <c r="E62" i="123"/>
  <c r="F62" i="123"/>
  <c r="G62" i="123"/>
  <c r="H62" i="123"/>
  <c r="I62" i="123"/>
  <c r="J62" i="123"/>
  <c r="K62" i="123"/>
  <c r="L62" i="123"/>
  <c r="M62" i="123"/>
  <c r="N62" i="123"/>
  <c r="O62" i="123"/>
  <c r="P62" i="123"/>
  <c r="Q62" i="123"/>
  <c r="R62" i="123"/>
  <c r="S62" i="123"/>
  <c r="T62" i="123"/>
  <c r="U62" i="123"/>
  <c r="V62" i="123"/>
  <c r="W62" i="123"/>
  <c r="X62" i="123"/>
  <c r="Y62" i="123"/>
  <c r="Z62" i="123"/>
  <c r="AA62" i="123"/>
  <c r="AB62" i="123"/>
  <c r="AC62" i="123"/>
  <c r="AD62" i="123"/>
  <c r="AE62" i="123"/>
  <c r="AF62" i="123"/>
  <c r="AG62" i="123"/>
  <c r="AH62" i="123"/>
  <c r="AI62" i="123"/>
  <c r="AJ62" i="123"/>
  <c r="AK62" i="123"/>
  <c r="AL62" i="123"/>
  <c r="AM62" i="123"/>
  <c r="AN62" i="123"/>
  <c r="AO62" i="123"/>
  <c r="AP62" i="123"/>
  <c r="AQ62" i="123"/>
  <c r="AR62" i="123"/>
  <c r="AS62" i="123"/>
  <c r="AT62" i="123"/>
  <c r="AU62" i="123"/>
  <c r="AV62" i="123"/>
  <c r="AW62" i="123"/>
  <c r="AX62" i="123"/>
  <c r="AY62" i="123"/>
  <c r="AZ62" i="123"/>
  <c r="BA62" i="123"/>
  <c r="BB62" i="123"/>
  <c r="BC62" i="123"/>
  <c r="BD62" i="123"/>
  <c r="BE62" i="123"/>
  <c r="BF62" i="123"/>
  <c r="D63" i="123"/>
  <c r="E63" i="123"/>
  <c r="F63" i="123"/>
  <c r="G63" i="123"/>
  <c r="H63" i="123"/>
  <c r="I63" i="123"/>
  <c r="J63" i="123"/>
  <c r="K63" i="123"/>
  <c r="L63" i="123"/>
  <c r="M63" i="123"/>
  <c r="N63" i="123"/>
  <c r="O63" i="123"/>
  <c r="P63" i="123"/>
  <c r="Q63" i="123"/>
  <c r="R63" i="123"/>
  <c r="S63" i="123"/>
  <c r="T63" i="123"/>
  <c r="U63" i="123"/>
  <c r="V63" i="123"/>
  <c r="W63" i="123"/>
  <c r="X63" i="123"/>
  <c r="Y63" i="123"/>
  <c r="Z63" i="123"/>
  <c r="AA63" i="123"/>
  <c r="AB63" i="123"/>
  <c r="AC63" i="123"/>
  <c r="AD63" i="123"/>
  <c r="AE63" i="123"/>
  <c r="AF63" i="123"/>
  <c r="AG63" i="123"/>
  <c r="AH63" i="123"/>
  <c r="AI63" i="123"/>
  <c r="AJ63" i="123"/>
  <c r="AK63" i="123"/>
  <c r="AL63" i="123"/>
  <c r="AM63" i="123"/>
  <c r="AN63" i="123"/>
  <c r="AO63" i="123"/>
  <c r="AP63" i="123"/>
  <c r="AQ63" i="123"/>
  <c r="AR63" i="123"/>
  <c r="AS63" i="123"/>
  <c r="AT63" i="123"/>
  <c r="AU63" i="123"/>
  <c r="AV63" i="123"/>
  <c r="AW63" i="123"/>
  <c r="AX63" i="123"/>
  <c r="AY63" i="123"/>
  <c r="AZ63" i="123"/>
  <c r="BA63" i="123"/>
  <c r="BB63" i="123"/>
  <c r="BC63" i="123"/>
  <c r="BD63" i="123"/>
  <c r="BE63" i="123"/>
  <c r="BF63" i="123"/>
  <c r="D64" i="123"/>
  <c r="E64" i="123"/>
  <c r="F64" i="123"/>
  <c r="G64" i="123"/>
  <c r="H64" i="123"/>
  <c r="I64" i="123"/>
  <c r="J64" i="123"/>
  <c r="K64" i="123"/>
  <c r="L64" i="123"/>
  <c r="M64" i="123"/>
  <c r="N64" i="123"/>
  <c r="O64" i="123"/>
  <c r="P64" i="123"/>
  <c r="Q64" i="123"/>
  <c r="R64" i="123"/>
  <c r="S64" i="123"/>
  <c r="T64" i="123"/>
  <c r="U64" i="123"/>
  <c r="V64" i="123"/>
  <c r="W64" i="123"/>
  <c r="X64" i="123"/>
  <c r="Y64" i="123"/>
  <c r="Z64" i="123"/>
  <c r="AA64" i="123"/>
  <c r="AB64" i="123"/>
  <c r="AC64" i="123"/>
  <c r="AD64" i="123"/>
  <c r="AE64" i="123"/>
  <c r="AF64" i="123"/>
  <c r="AG64" i="123"/>
  <c r="AH64" i="123"/>
  <c r="AI64" i="123"/>
  <c r="AJ64" i="123"/>
  <c r="AK64" i="123"/>
  <c r="AL64" i="123"/>
  <c r="AM64" i="123"/>
  <c r="AN64" i="123"/>
  <c r="AO64" i="123"/>
  <c r="AP64" i="123"/>
  <c r="AQ64" i="123"/>
  <c r="AR64" i="123"/>
  <c r="AS64" i="123"/>
  <c r="AT64" i="123"/>
  <c r="AU64" i="123"/>
  <c r="AV64" i="123"/>
  <c r="AW64" i="123"/>
  <c r="AX64" i="123"/>
  <c r="AY64" i="123"/>
  <c r="AZ64" i="123"/>
  <c r="BA64" i="123"/>
  <c r="BB64" i="123"/>
  <c r="BC64" i="123"/>
  <c r="BD64" i="123"/>
  <c r="BE64" i="123"/>
  <c r="BF64" i="123"/>
  <c r="D65" i="123"/>
  <c r="E65" i="123"/>
  <c r="F65" i="123"/>
  <c r="G65" i="123"/>
  <c r="H65" i="123"/>
  <c r="I65" i="123"/>
  <c r="J65" i="123"/>
  <c r="K65" i="123"/>
  <c r="L65" i="123"/>
  <c r="M65" i="123"/>
  <c r="N65" i="123"/>
  <c r="O65" i="123"/>
  <c r="P65" i="123"/>
  <c r="Q65" i="123"/>
  <c r="R65" i="123"/>
  <c r="S65" i="123"/>
  <c r="T65" i="123"/>
  <c r="U65" i="123"/>
  <c r="V65" i="123"/>
  <c r="W65" i="123"/>
  <c r="X65" i="123"/>
  <c r="Y65" i="123"/>
  <c r="Z65" i="123"/>
  <c r="AA65" i="123"/>
  <c r="AB65" i="123"/>
  <c r="AC65" i="123"/>
  <c r="AD65" i="123"/>
  <c r="AE65" i="123"/>
  <c r="AF65" i="123"/>
  <c r="AG65" i="123"/>
  <c r="AH65" i="123"/>
  <c r="AI65" i="123"/>
  <c r="AJ65" i="123"/>
  <c r="AK65" i="123"/>
  <c r="AL65" i="123"/>
  <c r="AM65" i="123"/>
  <c r="AN65" i="123"/>
  <c r="AO65" i="123"/>
  <c r="AP65" i="123"/>
  <c r="AQ65" i="123"/>
  <c r="AR65" i="123"/>
  <c r="AS65" i="123"/>
  <c r="AT65" i="123"/>
  <c r="AU65" i="123"/>
  <c r="AV65" i="123"/>
  <c r="AW65" i="123"/>
  <c r="AX65" i="123"/>
  <c r="AY65" i="123"/>
  <c r="AZ65" i="123"/>
  <c r="BA65" i="123"/>
  <c r="BB65" i="123"/>
  <c r="BC65" i="123"/>
  <c r="BD65" i="123"/>
  <c r="BE65" i="123"/>
  <c r="BF65" i="123"/>
  <c r="D66" i="123"/>
  <c r="E66" i="123"/>
  <c r="F66" i="123"/>
  <c r="G66" i="123"/>
  <c r="H66" i="123"/>
  <c r="I66" i="123"/>
  <c r="J66" i="123"/>
  <c r="K66" i="123"/>
  <c r="L66" i="123"/>
  <c r="M66" i="123"/>
  <c r="N66" i="123"/>
  <c r="O66" i="123"/>
  <c r="P66" i="123"/>
  <c r="Q66" i="123"/>
  <c r="R66" i="123"/>
  <c r="S66" i="123"/>
  <c r="T66" i="123"/>
  <c r="U66" i="123"/>
  <c r="V66" i="123"/>
  <c r="W66" i="123"/>
  <c r="X66" i="123"/>
  <c r="Y66" i="123"/>
  <c r="Z66" i="123"/>
  <c r="AA66" i="123"/>
  <c r="AB66" i="123"/>
  <c r="AC66" i="123"/>
  <c r="AD66" i="123"/>
  <c r="AE66" i="123"/>
  <c r="AF66" i="123"/>
  <c r="AG66" i="123"/>
  <c r="AH66" i="123"/>
  <c r="AI66" i="123"/>
  <c r="AJ66" i="123"/>
  <c r="AK66" i="123"/>
  <c r="AL66" i="123"/>
  <c r="AM66" i="123"/>
  <c r="AN66" i="123"/>
  <c r="AO66" i="123"/>
  <c r="AP66" i="123"/>
  <c r="AQ66" i="123"/>
  <c r="AR66" i="123"/>
  <c r="AS66" i="123"/>
  <c r="AT66" i="123"/>
  <c r="AU66" i="123"/>
  <c r="AV66" i="123"/>
  <c r="AW66" i="123"/>
  <c r="AX66" i="123"/>
  <c r="AY66" i="123"/>
  <c r="AZ66" i="123"/>
  <c r="BA66" i="123"/>
  <c r="BB66" i="123"/>
  <c r="BC66" i="123"/>
  <c r="BD66" i="123"/>
  <c r="BE66" i="123"/>
  <c r="BF66" i="123"/>
  <c r="D67" i="123"/>
  <c r="E67" i="123"/>
  <c r="F67" i="123"/>
  <c r="G67" i="123"/>
  <c r="H67" i="123"/>
  <c r="I67" i="123"/>
  <c r="J67" i="123"/>
  <c r="K67" i="123"/>
  <c r="L67" i="123"/>
  <c r="M67" i="123"/>
  <c r="N67" i="123"/>
  <c r="O67" i="123"/>
  <c r="P67" i="123"/>
  <c r="Q67" i="123"/>
  <c r="R67" i="123"/>
  <c r="S67" i="123"/>
  <c r="T67" i="123"/>
  <c r="U67" i="123"/>
  <c r="V67" i="123"/>
  <c r="W67" i="123"/>
  <c r="X67" i="123"/>
  <c r="Y67" i="123"/>
  <c r="Z67" i="123"/>
  <c r="AA67" i="123"/>
  <c r="AB67" i="123"/>
  <c r="AC67" i="123"/>
  <c r="AD67" i="123"/>
  <c r="AE67" i="123"/>
  <c r="AF67" i="123"/>
  <c r="AG67" i="123"/>
  <c r="AH67" i="123"/>
  <c r="AI67" i="123"/>
  <c r="AJ67" i="123"/>
  <c r="AK67" i="123"/>
  <c r="AL67" i="123"/>
  <c r="AM67" i="123"/>
  <c r="AN67" i="123"/>
  <c r="AO67" i="123"/>
  <c r="AP67" i="123"/>
  <c r="AQ67" i="123"/>
  <c r="AR67" i="123"/>
  <c r="AS67" i="123"/>
  <c r="AT67" i="123"/>
  <c r="AU67" i="123"/>
  <c r="AV67" i="123"/>
  <c r="AW67" i="123"/>
  <c r="AX67" i="123"/>
  <c r="AY67" i="123"/>
  <c r="AZ67" i="123"/>
  <c r="BA67" i="123"/>
  <c r="BB67" i="123"/>
  <c r="BC67" i="123"/>
  <c r="BD67" i="123"/>
  <c r="BE67" i="123"/>
  <c r="BF67" i="123"/>
  <c r="C40" i="123"/>
  <c r="C41" i="123"/>
  <c r="C42" i="123"/>
  <c r="C43" i="123"/>
  <c r="C44" i="123"/>
  <c r="C45" i="123"/>
  <c r="C46" i="123"/>
  <c r="C47" i="123"/>
  <c r="C48" i="123"/>
  <c r="C49" i="123"/>
  <c r="C50" i="123"/>
  <c r="C51" i="123"/>
  <c r="C52" i="123"/>
  <c r="C53" i="123"/>
  <c r="C54" i="123"/>
  <c r="C55" i="123"/>
  <c r="C56" i="123"/>
  <c r="C57" i="123"/>
  <c r="C58" i="123"/>
  <c r="C59" i="123"/>
  <c r="C60" i="123"/>
  <c r="C61" i="123"/>
  <c r="C62" i="123"/>
  <c r="C63" i="123"/>
  <c r="C64" i="123"/>
  <c r="C65" i="123"/>
  <c r="C66" i="123"/>
  <c r="C67" i="123"/>
  <c r="C39" i="123"/>
  <c r="BV85" i="39" l="1"/>
  <c r="CL85" i="39"/>
  <c r="K133" i="96"/>
  <c r="J138" i="96"/>
  <c r="F83" i="39"/>
  <c r="H83" i="39"/>
  <c r="I41" i="96"/>
  <c r="B84" i="39"/>
  <c r="D84" i="39"/>
  <c r="F84" i="39"/>
  <c r="H84" i="39"/>
  <c r="J84" i="39"/>
  <c r="L84" i="39"/>
  <c r="N84" i="39"/>
  <c r="P84" i="39"/>
  <c r="R84" i="39"/>
  <c r="T84" i="39"/>
  <c r="V84" i="39"/>
  <c r="X84" i="39"/>
  <c r="Z84" i="39"/>
  <c r="AB84" i="39"/>
  <c r="AD84" i="39"/>
  <c r="AF84" i="39"/>
  <c r="AH84" i="39"/>
  <c r="AJ84" i="39"/>
  <c r="AO84" i="39"/>
  <c r="AQ84" i="39"/>
  <c r="AS84" i="39"/>
  <c r="AU84" i="39"/>
  <c r="AW84" i="39"/>
  <c r="AY84" i="39"/>
  <c r="BA84" i="39"/>
  <c r="BC84" i="39"/>
  <c r="BE84" i="39"/>
  <c r="BG84" i="39"/>
  <c r="BI84" i="39"/>
  <c r="BK84" i="39"/>
  <c r="BM84" i="39"/>
  <c r="BO84" i="39"/>
  <c r="BQ84" i="39"/>
  <c r="BS84" i="39"/>
  <c r="BU84" i="39"/>
  <c r="BW84" i="39"/>
  <c r="CA84" i="39"/>
  <c r="CC84" i="39"/>
  <c r="CE84" i="39"/>
  <c r="CG84" i="39"/>
  <c r="CI84" i="39"/>
  <c r="CW84" i="39"/>
  <c r="CY84" i="39"/>
  <c r="DA84" i="39"/>
  <c r="DC84" i="39"/>
  <c r="DE84" i="39"/>
  <c r="DG84" i="39"/>
  <c r="DI84" i="39"/>
  <c r="DK84" i="39"/>
  <c r="DM84" i="39"/>
  <c r="DU84" i="39"/>
  <c r="EA84" i="39"/>
  <c r="EC84" i="39"/>
  <c r="EE84" i="39"/>
  <c r="EK84" i="39"/>
  <c r="EM84" i="39"/>
  <c r="EU84" i="39"/>
  <c r="EW84" i="39"/>
  <c r="EY84" i="39"/>
  <c r="FA84" i="39"/>
  <c r="FC84" i="39"/>
  <c r="FE84" i="39"/>
  <c r="FG84" i="39"/>
  <c r="E83" i="39"/>
  <c r="G83" i="39"/>
  <c r="CL83" i="39"/>
  <c r="G58" i="79"/>
  <c r="I58" i="79" s="1"/>
  <c r="N58" i="79" s="1"/>
  <c r="BG46" i="70"/>
  <c r="BE46" i="70"/>
  <c r="BC46" i="70"/>
  <c r="BA46" i="70"/>
  <c r="AY46" i="70"/>
  <c r="AW46" i="70"/>
  <c r="AU46" i="70"/>
  <c r="AS46" i="70"/>
  <c r="AQ46" i="70"/>
  <c r="AO46" i="70"/>
  <c r="AM46" i="70"/>
  <c r="AK46" i="70"/>
  <c r="AI46" i="70"/>
  <c r="AG46" i="70"/>
  <c r="AE46" i="70"/>
  <c r="AC46" i="70"/>
  <c r="AA46" i="70"/>
  <c r="Y46" i="70"/>
  <c r="W46" i="70"/>
  <c r="U46" i="70"/>
  <c r="S46" i="70"/>
  <c r="Q46" i="70"/>
  <c r="O46" i="70"/>
  <c r="M46" i="70"/>
  <c r="K46" i="70"/>
  <c r="I46" i="70"/>
  <c r="G46" i="70"/>
  <c r="E46" i="70"/>
  <c r="BF46" i="70"/>
  <c r="BD46" i="70"/>
  <c r="BB46" i="70"/>
  <c r="AZ46" i="70"/>
  <c r="AX46" i="70"/>
  <c r="AV46" i="70"/>
  <c r="AT46" i="70"/>
  <c r="AR46" i="70"/>
  <c r="AP46" i="70"/>
  <c r="AN46" i="70"/>
  <c r="AL46" i="70"/>
  <c r="AJ46" i="70"/>
  <c r="AH46" i="70"/>
  <c r="AF46" i="70"/>
  <c r="AD46" i="70"/>
  <c r="AB46" i="70"/>
  <c r="Z46" i="70"/>
  <c r="X46" i="70"/>
  <c r="V46" i="70"/>
  <c r="T46" i="70"/>
  <c r="R46" i="70"/>
  <c r="P46" i="70"/>
  <c r="N46" i="70"/>
  <c r="L46" i="70"/>
  <c r="J46" i="70"/>
  <c r="H46" i="70"/>
  <c r="F46" i="70"/>
  <c r="BF24" i="111"/>
  <c r="I45" i="96"/>
  <c r="I46" i="96"/>
  <c r="I47" i="96"/>
  <c r="I71" i="96"/>
  <c r="I42" i="96"/>
  <c r="I43" i="96"/>
  <c r="I48" i="96"/>
  <c r="I49" i="96"/>
  <c r="J133" i="96"/>
  <c r="I60" i="96"/>
  <c r="I61" i="96"/>
  <c r="I63" i="96"/>
  <c r="I109" i="96"/>
  <c r="I110" i="96"/>
  <c r="I113" i="96"/>
  <c r="I116" i="96"/>
  <c r="BF107" i="120"/>
  <c r="BF20" i="120"/>
  <c r="BF23" i="120"/>
  <c r="BF26" i="120" s="1"/>
  <c r="BF29" i="120"/>
  <c r="BF30" i="120" s="1"/>
  <c r="BF40" i="120"/>
  <c r="BF89" i="120"/>
  <c r="BF99" i="120"/>
  <c r="BF102" i="120" s="1"/>
  <c r="BF120" i="120"/>
  <c r="BF121" i="120" s="1"/>
  <c r="BF15" i="120"/>
  <c r="BF34" i="120"/>
  <c r="BF83" i="120"/>
  <c r="BF87" i="120" s="1"/>
  <c r="BC924" i="64"/>
  <c r="AU924" i="64"/>
  <c r="AM924" i="64"/>
  <c r="AE924" i="64"/>
  <c r="W924" i="64"/>
  <c r="O924" i="64"/>
  <c r="G924" i="64"/>
  <c r="C958" i="64"/>
  <c r="C472" i="64" s="1"/>
  <c r="C924" i="64"/>
  <c r="BE924" i="64"/>
  <c r="BA924" i="64"/>
  <c r="AW924" i="64"/>
  <c r="AS924" i="64"/>
  <c r="AO924" i="64"/>
  <c r="AK924" i="64"/>
  <c r="AG924" i="64"/>
  <c r="AC924" i="64"/>
  <c r="Y924" i="64"/>
  <c r="U924" i="64"/>
  <c r="Q924" i="64"/>
  <c r="M924" i="64"/>
  <c r="I924" i="64"/>
  <c r="E924" i="64"/>
  <c r="BC958" i="64"/>
  <c r="BC472" i="64" s="1"/>
  <c r="AU958" i="64"/>
  <c r="AU472" i="64" s="1"/>
  <c r="AM958" i="64"/>
  <c r="AM472" i="64" s="1"/>
  <c r="AE958" i="64"/>
  <c r="AE472" i="64" s="1"/>
  <c r="W958" i="64"/>
  <c r="W472" i="64" s="1"/>
  <c r="O958" i="64"/>
  <c r="O472" i="64" s="1"/>
  <c r="G958" i="64"/>
  <c r="G472" i="64" s="1"/>
  <c r="BD924" i="64"/>
  <c r="AZ924" i="64"/>
  <c r="AV924" i="64"/>
  <c r="AR924" i="64"/>
  <c r="AN924" i="64"/>
  <c r="AJ924" i="64"/>
  <c r="AF924" i="64"/>
  <c r="AB924" i="64"/>
  <c r="X924" i="64"/>
  <c r="T924" i="64"/>
  <c r="P924" i="64"/>
  <c r="L924" i="64"/>
  <c r="H924" i="64"/>
  <c r="D924" i="64"/>
  <c r="BF924" i="64"/>
  <c r="BB924" i="64"/>
  <c r="AX924" i="64"/>
  <c r="AT924" i="64"/>
  <c r="AP924" i="64"/>
  <c r="AL924" i="64"/>
  <c r="AH924" i="64"/>
  <c r="AD924" i="64"/>
  <c r="Z924" i="64"/>
  <c r="V924" i="64"/>
  <c r="R924" i="64"/>
  <c r="N924" i="64"/>
  <c r="J924" i="64"/>
  <c r="F924" i="64"/>
  <c r="J958" i="64"/>
  <c r="J472" i="64" s="1"/>
  <c r="H958" i="64"/>
  <c r="H472" i="64" s="1"/>
  <c r="F958" i="64"/>
  <c r="F472" i="64" s="1"/>
  <c r="D958" i="64"/>
  <c r="D472" i="64" s="1"/>
  <c r="BF958" i="64"/>
  <c r="BF472" i="64" s="1"/>
  <c r="BD958" i="64"/>
  <c r="BD472" i="64" s="1"/>
  <c r="BB958" i="64"/>
  <c r="BB472" i="64" s="1"/>
  <c r="AZ958" i="64"/>
  <c r="AZ472" i="64" s="1"/>
  <c r="AX958" i="64"/>
  <c r="AX472" i="64" s="1"/>
  <c r="AV958" i="64"/>
  <c r="AV472" i="64" s="1"/>
  <c r="AT958" i="64"/>
  <c r="AT472" i="64" s="1"/>
  <c r="AR958" i="64"/>
  <c r="AR472" i="64" s="1"/>
  <c r="AP958" i="64"/>
  <c r="AP472" i="64" s="1"/>
  <c r="AN958" i="64"/>
  <c r="AN472" i="64" s="1"/>
  <c r="AL958" i="64"/>
  <c r="AL472" i="64" s="1"/>
  <c r="AJ958" i="64"/>
  <c r="AJ472" i="64" s="1"/>
  <c r="AH958" i="64"/>
  <c r="AH472" i="64" s="1"/>
  <c r="AF958" i="64"/>
  <c r="AF472" i="64" s="1"/>
  <c r="AD958" i="64"/>
  <c r="AD472" i="64" s="1"/>
  <c r="AB958" i="64"/>
  <c r="AB472" i="64" s="1"/>
  <c r="Z958" i="64"/>
  <c r="Z472" i="64" s="1"/>
  <c r="X958" i="64"/>
  <c r="X472" i="64" s="1"/>
  <c r="U958" i="64"/>
  <c r="U472" i="64" s="1"/>
  <c r="Q958" i="64"/>
  <c r="Q472" i="64" s="1"/>
  <c r="M958" i="64"/>
  <c r="M472" i="64" s="1"/>
  <c r="I958" i="64"/>
  <c r="I472" i="64" s="1"/>
  <c r="E958" i="64"/>
  <c r="E472" i="64" s="1"/>
  <c r="BE958" i="64"/>
  <c r="BE472" i="64" s="1"/>
  <c r="BA958" i="64"/>
  <c r="BA472" i="64" s="1"/>
  <c r="AW958" i="64"/>
  <c r="AW472" i="64" s="1"/>
  <c r="AS958" i="64"/>
  <c r="AS472" i="64" s="1"/>
  <c r="AO958" i="64"/>
  <c r="AO472" i="64" s="1"/>
  <c r="AK958" i="64"/>
  <c r="AK472" i="64" s="1"/>
  <c r="AG958" i="64"/>
  <c r="AG472" i="64" s="1"/>
  <c r="AC958" i="64"/>
  <c r="AC472" i="64" s="1"/>
  <c r="Y958" i="64"/>
  <c r="Y472" i="64" s="1"/>
  <c r="V958" i="64"/>
  <c r="V472" i="64" s="1"/>
  <c r="T958" i="64"/>
  <c r="T472" i="64" s="1"/>
  <c r="R958" i="64"/>
  <c r="R472" i="64" s="1"/>
  <c r="P958" i="64"/>
  <c r="P472" i="64" s="1"/>
  <c r="N958" i="64"/>
  <c r="N472" i="64" s="1"/>
  <c r="L958" i="64"/>
  <c r="L472" i="64" s="1"/>
  <c r="X89" i="39"/>
  <c r="X85" i="39"/>
  <c r="CD89" i="39"/>
  <c r="CD85" i="39"/>
  <c r="AM89" i="39"/>
  <c r="AM85" i="39"/>
  <c r="EA71" i="39"/>
  <c r="EA76" i="39"/>
  <c r="EA86" i="39" s="1"/>
  <c r="AM17" i="39"/>
  <c r="CK17" i="39"/>
  <c r="CO17" i="39"/>
  <c r="EG17" i="39"/>
  <c r="EI17" i="39"/>
  <c r="AL31" i="39"/>
  <c r="AN31" i="39"/>
  <c r="CK31" i="39"/>
  <c r="CO31" i="39"/>
  <c r="EG31" i="39"/>
  <c r="EI31" i="39"/>
  <c r="R52" i="39"/>
  <c r="X52" i="39"/>
  <c r="AL52" i="39"/>
  <c r="AN52" i="39"/>
  <c r="BY52" i="39"/>
  <c r="CO52" i="39"/>
  <c r="DC52" i="39"/>
  <c r="EA52" i="39"/>
  <c r="AM71" i="39"/>
  <c r="BV71" i="39"/>
  <c r="FV71" i="39"/>
  <c r="AM73" i="39"/>
  <c r="CK73" i="39"/>
  <c r="DQ88" i="39"/>
  <c r="DQ100" i="39" s="1"/>
  <c r="DS88" i="39"/>
  <c r="DS100" i="39" s="1"/>
  <c r="EG73" i="39"/>
  <c r="EI73" i="39"/>
  <c r="C89" i="39"/>
  <c r="C85" i="39"/>
  <c r="I89" i="39"/>
  <c r="I85" i="39"/>
  <c r="K89" i="39"/>
  <c r="K85" i="39"/>
  <c r="M89" i="39"/>
  <c r="M85" i="39"/>
  <c r="O89" i="39"/>
  <c r="O85" i="39"/>
  <c r="Q89" i="39"/>
  <c r="Q85" i="39"/>
  <c r="S89" i="39"/>
  <c r="S85" i="39"/>
  <c r="U89" i="39"/>
  <c r="U85" i="39"/>
  <c r="W89" i="39"/>
  <c r="W85" i="39"/>
  <c r="Y89" i="39"/>
  <c r="Y85" i="39"/>
  <c r="AA89" i="39"/>
  <c r="AA85" i="39"/>
  <c r="AC89" i="39"/>
  <c r="AC85" i="39"/>
  <c r="AE89" i="39"/>
  <c r="AE85" i="39"/>
  <c r="AG89" i="39"/>
  <c r="AG85" i="39"/>
  <c r="AI89" i="39"/>
  <c r="AI85" i="39"/>
  <c r="AO89" i="39"/>
  <c r="AO85" i="39"/>
  <c r="AQ89" i="39"/>
  <c r="AQ85" i="39"/>
  <c r="AS89" i="39"/>
  <c r="AS85" i="39"/>
  <c r="AU89" i="39"/>
  <c r="AU85" i="39"/>
  <c r="AW89" i="39"/>
  <c r="AW85" i="39"/>
  <c r="AY89" i="39"/>
  <c r="AY85" i="39"/>
  <c r="BA89" i="39"/>
  <c r="BA85" i="39"/>
  <c r="BC89" i="39"/>
  <c r="BC85" i="39"/>
  <c r="BE89" i="39"/>
  <c r="BE85" i="39"/>
  <c r="BG89" i="39"/>
  <c r="BG85" i="39"/>
  <c r="BI89" i="39"/>
  <c r="BI85" i="39"/>
  <c r="BK89" i="39"/>
  <c r="BK85" i="39"/>
  <c r="BM89" i="39"/>
  <c r="BM85" i="39"/>
  <c r="BO89" i="39"/>
  <c r="BO85" i="39"/>
  <c r="BQ89" i="39"/>
  <c r="BQ85" i="39"/>
  <c r="BS89" i="39"/>
  <c r="BS85" i="39"/>
  <c r="BU89" i="39"/>
  <c r="BU85" i="39"/>
  <c r="BW89" i="39"/>
  <c r="BW85" i="39"/>
  <c r="CA89" i="39"/>
  <c r="CA85" i="39"/>
  <c r="CC89" i="39"/>
  <c r="CC85" i="39"/>
  <c r="CE89" i="39"/>
  <c r="CE85" i="39"/>
  <c r="CG89" i="39"/>
  <c r="CG85" i="39"/>
  <c r="CI89" i="39"/>
  <c r="CI85" i="39"/>
  <c r="CK89" i="39"/>
  <c r="CK85" i="39"/>
  <c r="CM89" i="39"/>
  <c r="CM85" i="39"/>
  <c r="CQ89" i="39"/>
  <c r="CQ85" i="39"/>
  <c r="CS89" i="39"/>
  <c r="CS85" i="39"/>
  <c r="CU89" i="39"/>
  <c r="CU85" i="39"/>
  <c r="CW89" i="39"/>
  <c r="CW85" i="39"/>
  <c r="CY89" i="39"/>
  <c r="CY85" i="39"/>
  <c r="DA89" i="39"/>
  <c r="DA85" i="39"/>
  <c r="DC75" i="39"/>
  <c r="DE89" i="39"/>
  <c r="DE85" i="39"/>
  <c r="DG89" i="39"/>
  <c r="DG85" i="39"/>
  <c r="DI89" i="39"/>
  <c r="DI85" i="39"/>
  <c r="DK89" i="39"/>
  <c r="DK85" i="39"/>
  <c r="DM89" i="39"/>
  <c r="DM85" i="39"/>
  <c r="DQ89" i="39"/>
  <c r="DQ107" i="39" s="1"/>
  <c r="DQ85" i="39"/>
  <c r="DS89" i="39"/>
  <c r="DS85" i="39"/>
  <c r="DU89" i="39"/>
  <c r="DU85" i="39"/>
  <c r="DW89" i="39"/>
  <c r="DW85" i="39"/>
  <c r="DY89" i="39"/>
  <c r="DY85" i="39"/>
  <c r="EA75" i="39"/>
  <c r="EC89" i="39"/>
  <c r="EC85" i="39"/>
  <c r="EE89" i="39"/>
  <c r="EE85" i="39"/>
  <c r="EG89" i="39"/>
  <c r="EG85" i="39"/>
  <c r="EI89" i="39"/>
  <c r="EI85" i="39"/>
  <c r="EK89" i="39"/>
  <c r="EK85" i="39"/>
  <c r="EM89" i="39"/>
  <c r="EM85" i="39"/>
  <c r="EQ89" i="39"/>
  <c r="EQ85" i="39"/>
  <c r="ES89" i="39"/>
  <c r="ES85" i="39"/>
  <c r="EU89" i="39"/>
  <c r="EU85" i="39"/>
  <c r="EW89" i="39"/>
  <c r="EW85" i="39"/>
  <c r="EY89" i="39"/>
  <c r="EY85" i="39"/>
  <c r="FA89" i="39"/>
  <c r="FA85" i="39"/>
  <c r="FC89" i="39"/>
  <c r="FC85" i="39"/>
  <c r="FE89" i="39"/>
  <c r="FE85" i="39"/>
  <c r="FG89" i="39"/>
  <c r="FG85" i="39"/>
  <c r="CK76" i="39"/>
  <c r="CK86" i="39" s="1"/>
  <c r="DC76" i="39"/>
  <c r="DC86" i="39" s="1"/>
  <c r="C83" i="39"/>
  <c r="I83" i="39"/>
  <c r="K83" i="39"/>
  <c r="M83" i="39"/>
  <c r="O83" i="39"/>
  <c r="Q83" i="39"/>
  <c r="S83" i="39"/>
  <c r="U83" i="39"/>
  <c r="W83" i="39"/>
  <c r="Y83" i="39"/>
  <c r="AA83" i="39"/>
  <c r="AC83" i="39"/>
  <c r="AE83" i="39"/>
  <c r="AG83" i="39"/>
  <c r="AI83" i="39"/>
  <c r="AP83" i="39"/>
  <c r="AR83" i="39"/>
  <c r="AT83" i="39"/>
  <c r="AV83" i="39"/>
  <c r="AX83" i="39"/>
  <c r="AZ83" i="39"/>
  <c r="BB83" i="39"/>
  <c r="BD83" i="39"/>
  <c r="BF83" i="39"/>
  <c r="BH83" i="39"/>
  <c r="BJ83" i="39"/>
  <c r="BL83" i="39"/>
  <c r="BN83" i="39"/>
  <c r="BP83" i="39"/>
  <c r="BR83" i="39"/>
  <c r="BT83" i="39"/>
  <c r="BX83" i="39"/>
  <c r="CB83" i="39"/>
  <c r="CD83" i="39"/>
  <c r="CF83" i="39"/>
  <c r="CH83" i="39"/>
  <c r="CJ83" i="39"/>
  <c r="CQ83" i="39"/>
  <c r="CS83" i="39"/>
  <c r="CU83" i="39"/>
  <c r="CX83" i="39"/>
  <c r="CZ83" i="39"/>
  <c r="DB83" i="39"/>
  <c r="DD83" i="39"/>
  <c r="DF83" i="39"/>
  <c r="DH83" i="39"/>
  <c r="DJ83" i="39"/>
  <c r="DL83" i="39"/>
  <c r="DN83" i="39"/>
  <c r="DQ83" i="39"/>
  <c r="DS83" i="39"/>
  <c r="DW83" i="39"/>
  <c r="DY83" i="39"/>
  <c r="EB83" i="39"/>
  <c r="ED83" i="39"/>
  <c r="EF83" i="39"/>
  <c r="EH83" i="39"/>
  <c r="EJ83" i="39"/>
  <c r="EL83" i="39"/>
  <c r="EN83" i="39"/>
  <c r="EQ83" i="39"/>
  <c r="ES83" i="39"/>
  <c r="EV83" i="39"/>
  <c r="EX83" i="39"/>
  <c r="EZ83" i="39"/>
  <c r="FB83" i="39"/>
  <c r="FD83" i="39"/>
  <c r="FF83" i="39"/>
  <c r="FH83" i="39"/>
  <c r="AD17" i="39"/>
  <c r="AL17" i="39"/>
  <c r="AN17" i="39"/>
  <c r="DC17" i="39"/>
  <c r="FV17" i="39"/>
  <c r="FV31" i="39"/>
  <c r="S52" i="39"/>
  <c r="AM52" i="39"/>
  <c r="BV52" i="39"/>
  <c r="CD52" i="39"/>
  <c r="CT52" i="39"/>
  <c r="EV52" i="39"/>
  <c r="FV52" i="39"/>
  <c r="P71" i="39"/>
  <c r="R71" i="39"/>
  <c r="AL71" i="39"/>
  <c r="AN71" i="39"/>
  <c r="AD73" i="39"/>
  <c r="AL73" i="39"/>
  <c r="AN73" i="39"/>
  <c r="DR88" i="39"/>
  <c r="DR100" i="39" s="1"/>
  <c r="B89" i="39"/>
  <c r="B85" i="39"/>
  <c r="D89" i="39"/>
  <c r="D85" i="39"/>
  <c r="J89" i="39"/>
  <c r="J85" i="39"/>
  <c r="L89" i="39"/>
  <c r="L85" i="39"/>
  <c r="N89" i="39"/>
  <c r="N85" i="39"/>
  <c r="P89" i="39"/>
  <c r="P85" i="39"/>
  <c r="R75" i="39"/>
  <c r="T89" i="39"/>
  <c r="T85" i="39"/>
  <c r="V89" i="39"/>
  <c r="V85" i="39"/>
  <c r="Z89" i="39"/>
  <c r="Z85" i="39"/>
  <c r="AB89" i="39"/>
  <c r="AB85" i="39"/>
  <c r="AD89" i="39"/>
  <c r="AD85" i="39"/>
  <c r="AF89" i="39"/>
  <c r="AF85" i="39"/>
  <c r="AH89" i="39"/>
  <c r="AH85" i="39"/>
  <c r="AJ89" i="39"/>
  <c r="AJ85" i="39"/>
  <c r="AL75" i="39"/>
  <c r="AN75" i="39"/>
  <c r="AP89" i="39"/>
  <c r="AP85" i="39"/>
  <c r="AR89" i="39"/>
  <c r="AR85" i="39"/>
  <c r="AT89" i="39"/>
  <c r="AT85" i="39"/>
  <c r="AV89" i="39"/>
  <c r="AV85" i="39"/>
  <c r="AX89" i="39"/>
  <c r="AX85" i="39"/>
  <c r="AZ89" i="39"/>
  <c r="AZ85" i="39"/>
  <c r="BB89" i="39"/>
  <c r="BB85" i="39"/>
  <c r="BD89" i="39"/>
  <c r="BD85" i="39"/>
  <c r="BF89" i="39"/>
  <c r="BF85" i="39"/>
  <c r="BH89" i="39"/>
  <c r="BH85" i="39"/>
  <c r="BJ89" i="39"/>
  <c r="BJ85" i="39"/>
  <c r="BL89" i="39"/>
  <c r="BL85" i="39"/>
  <c r="BN89" i="39"/>
  <c r="BN85" i="39"/>
  <c r="BP89" i="39"/>
  <c r="BP85" i="39"/>
  <c r="BR89" i="39"/>
  <c r="BR85" i="39"/>
  <c r="BT89" i="39"/>
  <c r="BT85" i="39"/>
  <c r="BX89" i="39"/>
  <c r="BX85" i="39"/>
  <c r="CB89" i="39"/>
  <c r="CB85" i="39"/>
  <c r="CF89" i="39"/>
  <c r="CF85" i="39"/>
  <c r="CH89" i="39"/>
  <c r="CH85" i="39"/>
  <c r="CJ89" i="39"/>
  <c r="CJ85" i="39"/>
  <c r="CR89" i="39"/>
  <c r="CR85" i="39"/>
  <c r="CT75" i="39"/>
  <c r="CX89" i="39"/>
  <c r="CX85" i="39"/>
  <c r="CZ89" i="39"/>
  <c r="CZ85" i="39"/>
  <c r="DB89" i="39"/>
  <c r="DB85" i="39"/>
  <c r="DD89" i="39"/>
  <c r="DD85" i="39"/>
  <c r="DF89" i="39"/>
  <c r="DF85" i="39"/>
  <c r="DH89" i="39"/>
  <c r="DH85" i="39"/>
  <c r="DJ89" i="39"/>
  <c r="DJ85" i="39"/>
  <c r="DL89" i="39"/>
  <c r="DL85" i="39"/>
  <c r="DN89" i="39"/>
  <c r="DN85" i="39"/>
  <c r="DP89" i="39"/>
  <c r="DP85" i="39"/>
  <c r="DR89" i="39"/>
  <c r="DR85" i="39"/>
  <c r="DX89" i="39"/>
  <c r="DX85" i="39"/>
  <c r="EB89" i="39"/>
  <c r="EB85" i="39"/>
  <c r="ED89" i="39"/>
  <c r="ED85" i="39"/>
  <c r="EF89" i="39"/>
  <c r="EF85" i="39"/>
  <c r="EH89" i="39"/>
  <c r="EH85" i="39"/>
  <c r="EJ89" i="39"/>
  <c r="EJ85" i="39"/>
  <c r="EL89" i="39"/>
  <c r="EL85" i="39"/>
  <c r="EN89" i="39"/>
  <c r="EN85" i="39"/>
  <c r="EP89" i="39"/>
  <c r="EP85" i="39"/>
  <c r="ER89" i="39"/>
  <c r="ER85" i="39"/>
  <c r="EV75" i="39"/>
  <c r="EX89" i="39"/>
  <c r="EX85" i="39"/>
  <c r="EZ89" i="39"/>
  <c r="EZ85" i="39"/>
  <c r="FB89" i="39"/>
  <c r="FB85" i="39"/>
  <c r="FD89" i="39"/>
  <c r="FD85" i="39"/>
  <c r="FF89" i="39"/>
  <c r="FF85" i="39"/>
  <c r="FH89" i="39"/>
  <c r="FH85" i="39"/>
  <c r="B83" i="39"/>
  <c r="D83" i="39"/>
  <c r="J83" i="39"/>
  <c r="L83" i="39"/>
  <c r="N83" i="39"/>
  <c r="P83" i="39"/>
  <c r="R83" i="39"/>
  <c r="T83" i="39"/>
  <c r="V83" i="39"/>
  <c r="X83" i="39"/>
  <c r="Z83" i="39"/>
  <c r="AB83" i="39"/>
  <c r="AF83" i="39"/>
  <c r="AH83" i="39"/>
  <c r="AJ83" i="39"/>
  <c r="AO83" i="39"/>
  <c r="AQ83" i="39"/>
  <c r="AS83" i="39"/>
  <c r="AU83" i="39"/>
  <c r="AW83" i="39"/>
  <c r="AY83" i="39"/>
  <c r="BA83" i="39"/>
  <c r="BC83" i="39"/>
  <c r="BE83" i="39"/>
  <c r="BG83" i="39"/>
  <c r="BI83" i="39"/>
  <c r="BK83" i="39"/>
  <c r="BM83" i="39"/>
  <c r="BO83" i="39"/>
  <c r="BQ83" i="39"/>
  <c r="BS83" i="39"/>
  <c r="BU83" i="39"/>
  <c r="BW83" i="39"/>
  <c r="CA83" i="39"/>
  <c r="CC83" i="39"/>
  <c r="CE83" i="39"/>
  <c r="CG83" i="39"/>
  <c r="CI83" i="39"/>
  <c r="CM83" i="39"/>
  <c r="CR83" i="39"/>
  <c r="CT83" i="39"/>
  <c r="CW83" i="39"/>
  <c r="CY83" i="39"/>
  <c r="DA83" i="39"/>
  <c r="DC83" i="39"/>
  <c r="DE83" i="39"/>
  <c r="DG83" i="39"/>
  <c r="DI83" i="39"/>
  <c r="DK83" i="39"/>
  <c r="DM83" i="39"/>
  <c r="DP83" i="39"/>
  <c r="DR83" i="39"/>
  <c r="DU83" i="39"/>
  <c r="DX83" i="39"/>
  <c r="EA83" i="39"/>
  <c r="EC83" i="39"/>
  <c r="EE83" i="39"/>
  <c r="EK83" i="39"/>
  <c r="EM83" i="39"/>
  <c r="EP83" i="39"/>
  <c r="ER83" i="39"/>
  <c r="EU83" i="39"/>
  <c r="EW83" i="39"/>
  <c r="EY83" i="39"/>
  <c r="FA83" i="39"/>
  <c r="FC83" i="39"/>
  <c r="FE83" i="39"/>
  <c r="FG83" i="39"/>
  <c r="FY83" i="39"/>
  <c r="B101" i="39"/>
  <c r="D101" i="39"/>
  <c r="F101" i="39"/>
  <c r="H101" i="39"/>
  <c r="J101" i="39"/>
  <c r="L101" i="39"/>
  <c r="N101" i="39"/>
  <c r="P101" i="39"/>
  <c r="R101" i="39"/>
  <c r="T101" i="39"/>
  <c r="V101" i="39"/>
  <c r="X101" i="39"/>
  <c r="Z101" i="39"/>
  <c r="AB101" i="39"/>
  <c r="AD101" i="39"/>
  <c r="AF101" i="39"/>
  <c r="AH101" i="39"/>
  <c r="AJ101" i="39"/>
  <c r="AL101" i="39"/>
  <c r="AN101" i="39"/>
  <c r="AP101" i="39"/>
  <c r="AR101" i="39"/>
  <c r="AT101" i="39"/>
  <c r="AV101" i="39"/>
  <c r="AX101" i="39"/>
  <c r="AZ101" i="39"/>
  <c r="BB101" i="39"/>
  <c r="BD101" i="39"/>
  <c r="BF101" i="39"/>
  <c r="BH101" i="39"/>
  <c r="BJ101" i="39"/>
  <c r="BL101" i="39"/>
  <c r="BN101" i="39"/>
  <c r="BP101" i="39"/>
  <c r="BR101" i="39"/>
  <c r="BT101" i="39"/>
  <c r="BV101" i="39"/>
  <c r="BX101" i="39"/>
  <c r="BZ101" i="39"/>
  <c r="CB101" i="39"/>
  <c r="CD101" i="39"/>
  <c r="CF101" i="39"/>
  <c r="CH101" i="39"/>
  <c r="CJ101" i="39"/>
  <c r="CL101" i="39"/>
  <c r="CQ101" i="39"/>
  <c r="CS101" i="39"/>
  <c r="CU101" i="39"/>
  <c r="CW101" i="39"/>
  <c r="CY101" i="39"/>
  <c r="DA101" i="39"/>
  <c r="DC101" i="39"/>
  <c r="DE101" i="39"/>
  <c r="DG101" i="39"/>
  <c r="DI101" i="39"/>
  <c r="DK101" i="39"/>
  <c r="DM101" i="39"/>
  <c r="DP101" i="39"/>
  <c r="DR101" i="39"/>
  <c r="DT101" i="39"/>
  <c r="DW101" i="39"/>
  <c r="DY101" i="39"/>
  <c r="EA101" i="39"/>
  <c r="EC101" i="39"/>
  <c r="EE101" i="39"/>
  <c r="EG101" i="39"/>
  <c r="EI101" i="39"/>
  <c r="EK101" i="39"/>
  <c r="EM101" i="39"/>
  <c r="EO101" i="39"/>
  <c r="EQ101" i="39"/>
  <c r="ES101" i="39"/>
  <c r="EU101" i="39"/>
  <c r="EW101" i="39"/>
  <c r="EY101" i="39"/>
  <c r="FA101" i="39"/>
  <c r="FC101" i="39"/>
  <c r="FE101" i="39"/>
  <c r="FG101" i="39"/>
  <c r="FY101" i="39"/>
  <c r="C101" i="39"/>
  <c r="E101" i="39"/>
  <c r="G101" i="39"/>
  <c r="I101" i="39"/>
  <c r="K101" i="39"/>
  <c r="M101" i="39"/>
  <c r="O101" i="39"/>
  <c r="Q101" i="39"/>
  <c r="S101" i="39"/>
  <c r="U101" i="39"/>
  <c r="W101" i="39"/>
  <c r="Y101" i="39"/>
  <c r="AA101" i="39"/>
  <c r="AC101" i="39"/>
  <c r="AE101" i="39"/>
  <c r="AG101" i="39"/>
  <c r="AI101" i="39"/>
  <c r="AK101" i="39"/>
  <c r="AM101" i="39"/>
  <c r="AO101" i="39"/>
  <c r="AQ101" i="39"/>
  <c r="AS101" i="39"/>
  <c r="AU101" i="39"/>
  <c r="AW101" i="39"/>
  <c r="AY101" i="39"/>
  <c r="BA101" i="39"/>
  <c r="BC101" i="39"/>
  <c r="BE101" i="39"/>
  <c r="BG101" i="39"/>
  <c r="BI101" i="39"/>
  <c r="BK101" i="39"/>
  <c r="BM101" i="39"/>
  <c r="BO101" i="39"/>
  <c r="BQ101" i="39"/>
  <c r="BS101" i="39"/>
  <c r="BU101" i="39"/>
  <c r="BW101" i="39"/>
  <c r="BY101" i="39"/>
  <c r="CA101" i="39"/>
  <c r="CC101" i="39"/>
  <c r="CE101" i="39"/>
  <c r="CG101" i="39"/>
  <c r="CI101" i="39"/>
  <c r="CK101" i="39"/>
  <c r="CM101" i="39"/>
  <c r="CR101" i="39"/>
  <c r="CT101" i="39"/>
  <c r="CV101" i="39"/>
  <c r="CX101" i="39"/>
  <c r="CZ101" i="39"/>
  <c r="DB101" i="39"/>
  <c r="DD101" i="39"/>
  <c r="DF101" i="39"/>
  <c r="DH101" i="39"/>
  <c r="DJ101" i="39"/>
  <c r="DL101" i="39"/>
  <c r="DN101" i="39"/>
  <c r="DQ101" i="39"/>
  <c r="DS101" i="39"/>
  <c r="DU101" i="39"/>
  <c r="DX101" i="39"/>
  <c r="DZ101" i="39"/>
  <c r="EB101" i="39"/>
  <c r="ED101" i="39"/>
  <c r="EF101" i="39"/>
  <c r="EH101" i="39"/>
  <c r="EJ101" i="39"/>
  <c r="EL101" i="39"/>
  <c r="EN101" i="39"/>
  <c r="EP101" i="39"/>
  <c r="ER101" i="39"/>
  <c r="ET101" i="39"/>
  <c r="EV101" i="39"/>
  <c r="EX101" i="39"/>
  <c r="EZ101" i="39"/>
  <c r="FB101" i="39"/>
  <c r="FD101" i="39"/>
  <c r="FF101" i="39"/>
  <c r="FH101" i="39"/>
  <c r="J143" i="96" l="1"/>
  <c r="K97" i="96" s="1"/>
  <c r="AF58" i="79"/>
  <c r="AH58" i="79"/>
  <c r="BF55" i="120"/>
  <c r="BF45" i="120"/>
  <c r="BF124" i="120"/>
  <c r="BF125" i="120" s="1"/>
  <c r="BF50" i="120"/>
  <c r="CT89" i="39"/>
  <c r="CT85" i="39"/>
  <c r="AL89" i="39"/>
  <c r="AL85" i="39"/>
  <c r="AN88" i="39"/>
  <c r="AN83" i="39"/>
  <c r="AD88" i="39"/>
  <c r="AD83" i="39"/>
  <c r="EI88" i="39"/>
  <c r="EI83" i="39"/>
  <c r="CK88" i="39"/>
  <c r="CK83" i="39"/>
  <c r="EV89" i="39"/>
  <c r="EV85" i="39"/>
  <c r="AN89" i="39"/>
  <c r="AN85" i="39"/>
  <c r="R89" i="39"/>
  <c r="R85" i="39"/>
  <c r="AL88" i="39"/>
  <c r="AL83" i="39"/>
  <c r="EA89" i="39"/>
  <c r="EA85" i="39"/>
  <c r="DC89" i="39"/>
  <c r="DC85" i="39"/>
  <c r="EG88" i="39"/>
  <c r="EG83" i="39"/>
  <c r="AM88" i="39"/>
  <c r="AM83" i="39"/>
  <c r="BF59" i="120" l="1"/>
  <c r="BF64" i="120" l="1"/>
  <c r="BF60" i="120"/>
  <c r="G110" i="126" l="1"/>
  <c r="G102" i="126"/>
  <c r="G98" i="126"/>
  <c r="G91" i="126"/>
  <c r="G84" i="126"/>
  <c r="G85" i="126"/>
  <c r="G74" i="126"/>
  <c r="G75" i="126"/>
  <c r="G76" i="126"/>
  <c r="G77" i="126"/>
  <c r="G78" i="126"/>
  <c r="G79" i="126"/>
  <c r="G80" i="126"/>
  <c r="G81" i="126"/>
  <c r="G66" i="126"/>
  <c r="G67" i="126"/>
  <c r="G68" i="126"/>
  <c r="G51" i="126"/>
  <c r="G54" i="126"/>
  <c r="G45" i="126"/>
  <c r="G40" i="126"/>
  <c r="G41" i="126"/>
  <c r="G39" i="126"/>
  <c r="G32" i="126"/>
  <c r="G29" i="126"/>
  <c r="G23" i="126"/>
  <c r="G24" i="126"/>
  <c r="G25" i="126"/>
  <c r="G26" i="126"/>
  <c r="G17" i="126"/>
  <c r="G18" i="126"/>
  <c r="G16" i="126"/>
  <c r="K92" i="127" l="1"/>
  <c r="G92" i="127"/>
  <c r="H92" i="127" s="1"/>
  <c r="E92" i="127"/>
  <c r="C92" i="127"/>
  <c r="K91" i="127"/>
  <c r="G91" i="127"/>
  <c r="H91" i="127" s="1"/>
  <c r="K90" i="127"/>
  <c r="N89" i="127"/>
  <c r="O89" i="127" s="1"/>
  <c r="K89" i="127"/>
  <c r="H89" i="127"/>
  <c r="L89" i="127" s="1"/>
  <c r="M89" i="127" s="1"/>
  <c r="G89" i="127"/>
  <c r="E89" i="127"/>
  <c r="C89" i="127"/>
  <c r="D89" i="127" s="1"/>
  <c r="K88" i="127"/>
  <c r="H88" i="127"/>
  <c r="L88" i="127" s="1"/>
  <c r="M88" i="127" s="1"/>
  <c r="G88" i="127"/>
  <c r="E88" i="127"/>
  <c r="N88" i="127" s="1"/>
  <c r="O88" i="127" s="1"/>
  <c r="C88" i="127"/>
  <c r="D88" i="127" s="1"/>
  <c r="K87" i="127"/>
  <c r="H87" i="127"/>
  <c r="L87" i="127" s="1"/>
  <c r="M87" i="127" s="1"/>
  <c r="M90" i="127" s="1"/>
  <c r="G87" i="127"/>
  <c r="E87" i="127"/>
  <c r="N87" i="127" s="1"/>
  <c r="C87" i="127"/>
  <c r="K86" i="127"/>
  <c r="G86" i="127"/>
  <c r="H86" i="127" s="1"/>
  <c r="K85" i="127"/>
  <c r="N84" i="127"/>
  <c r="O84" i="127" s="1"/>
  <c r="K84" i="127"/>
  <c r="G84" i="127"/>
  <c r="H84" i="127" s="1"/>
  <c r="E84" i="127"/>
  <c r="C84" i="127"/>
  <c r="D84" i="127" s="1"/>
  <c r="N83" i="127"/>
  <c r="O83" i="127" s="1"/>
  <c r="K83" i="127"/>
  <c r="G83" i="127"/>
  <c r="H83" i="127" s="1"/>
  <c r="E83" i="127"/>
  <c r="C83" i="127"/>
  <c r="D83" i="127" s="1"/>
  <c r="K82" i="127"/>
  <c r="L82" i="127" s="1"/>
  <c r="M82" i="127" s="1"/>
  <c r="G82" i="127"/>
  <c r="H82" i="127" s="1"/>
  <c r="E82" i="127"/>
  <c r="N82" i="127" s="1"/>
  <c r="C82" i="127"/>
  <c r="D82" i="127" s="1"/>
  <c r="N81" i="127"/>
  <c r="O81" i="127" s="1"/>
  <c r="K81" i="127"/>
  <c r="L81" i="127" s="1"/>
  <c r="M81" i="127" s="1"/>
  <c r="G81" i="127"/>
  <c r="H81" i="127" s="1"/>
  <c r="E81" i="127"/>
  <c r="C81" i="127"/>
  <c r="D81" i="127" s="1"/>
  <c r="N80" i="127"/>
  <c r="O80" i="127" s="1"/>
  <c r="K80" i="127"/>
  <c r="L80" i="127" s="1"/>
  <c r="M80" i="127" s="1"/>
  <c r="G80" i="127"/>
  <c r="H80" i="127" s="1"/>
  <c r="E80" i="127"/>
  <c r="C80" i="127"/>
  <c r="K79" i="127"/>
  <c r="G79" i="127"/>
  <c r="K78" i="127"/>
  <c r="L78" i="127" s="1"/>
  <c r="K77" i="127"/>
  <c r="G77" i="127"/>
  <c r="H77" i="127" s="1"/>
  <c r="E77" i="127"/>
  <c r="N77" i="127" s="1"/>
  <c r="O77" i="127" s="1"/>
  <c r="C77" i="127"/>
  <c r="D77" i="127" s="1"/>
  <c r="K76" i="127"/>
  <c r="L76" i="127" s="1"/>
  <c r="M76" i="127" s="1"/>
  <c r="G76" i="127"/>
  <c r="H76" i="127" s="1"/>
  <c r="E76" i="127"/>
  <c r="N76" i="127" s="1"/>
  <c r="O76" i="127" s="1"/>
  <c r="C76" i="127"/>
  <c r="D76" i="127" s="1"/>
  <c r="K75" i="127"/>
  <c r="G75" i="127"/>
  <c r="H75" i="127" s="1"/>
  <c r="E75" i="127"/>
  <c r="N75" i="127" s="1"/>
  <c r="O75" i="127" s="1"/>
  <c r="C75" i="127"/>
  <c r="D75" i="127" s="1"/>
  <c r="N74" i="127"/>
  <c r="O74" i="127" s="1"/>
  <c r="K74" i="127"/>
  <c r="G74" i="127"/>
  <c r="H74" i="127" s="1"/>
  <c r="E74" i="127"/>
  <c r="C74" i="127"/>
  <c r="D74" i="127" s="1"/>
  <c r="K73" i="127"/>
  <c r="L73" i="127" s="1"/>
  <c r="M73" i="127" s="1"/>
  <c r="G73" i="127"/>
  <c r="H73" i="127" s="1"/>
  <c r="E73" i="127"/>
  <c r="N73" i="127" s="1"/>
  <c r="O73" i="127" s="1"/>
  <c r="C73" i="127"/>
  <c r="D73" i="127" s="1"/>
  <c r="K72" i="127"/>
  <c r="G72" i="127"/>
  <c r="H72" i="127" s="1"/>
  <c r="E72" i="127"/>
  <c r="N72" i="127" s="1"/>
  <c r="O72" i="127" s="1"/>
  <c r="C72" i="127"/>
  <c r="D72" i="127" s="1"/>
  <c r="K71" i="127"/>
  <c r="L71" i="127" s="1"/>
  <c r="M71" i="127" s="1"/>
  <c r="G71" i="127"/>
  <c r="H71" i="127" s="1"/>
  <c r="E71" i="127"/>
  <c r="N71" i="127" s="1"/>
  <c r="C71" i="127"/>
  <c r="K70" i="127"/>
  <c r="G70" i="127"/>
  <c r="K69" i="127"/>
  <c r="N68" i="127"/>
  <c r="O68" i="127" s="1"/>
  <c r="K68" i="127"/>
  <c r="H68" i="127"/>
  <c r="L68" i="127" s="1"/>
  <c r="M68" i="127" s="1"/>
  <c r="G68" i="127"/>
  <c r="E68" i="127"/>
  <c r="C68" i="127"/>
  <c r="D68" i="127" s="1"/>
  <c r="N67" i="127"/>
  <c r="O67" i="127" s="1"/>
  <c r="K67" i="127"/>
  <c r="H67" i="127"/>
  <c r="L67" i="127" s="1"/>
  <c r="M67" i="127" s="1"/>
  <c r="G67" i="127"/>
  <c r="E67" i="127"/>
  <c r="C67" i="127"/>
  <c r="D67" i="127" s="1"/>
  <c r="N66" i="127"/>
  <c r="O66" i="127" s="1"/>
  <c r="K66" i="127"/>
  <c r="H66" i="127"/>
  <c r="L66" i="127" s="1"/>
  <c r="M66" i="127" s="1"/>
  <c r="G66" i="127"/>
  <c r="E66" i="127"/>
  <c r="C66" i="127"/>
  <c r="D66" i="127" s="1"/>
  <c r="K65" i="127"/>
  <c r="H65" i="127"/>
  <c r="L65" i="127" s="1"/>
  <c r="M65" i="127" s="1"/>
  <c r="F65" i="127"/>
  <c r="G65" i="127" s="1"/>
  <c r="E65" i="127"/>
  <c r="N65" i="127" s="1"/>
  <c r="O65" i="127" s="1"/>
  <c r="C65" i="127"/>
  <c r="D65" i="127" s="1"/>
  <c r="K64" i="127"/>
  <c r="G64" i="127"/>
  <c r="H64" i="127" s="1"/>
  <c r="F64" i="127"/>
  <c r="E64" i="127"/>
  <c r="N64" i="127" s="1"/>
  <c r="O64" i="127" s="1"/>
  <c r="C64" i="127"/>
  <c r="D64" i="127" s="1"/>
  <c r="K63" i="127"/>
  <c r="L63" i="127" s="1"/>
  <c r="M63" i="127" s="1"/>
  <c r="G63" i="127"/>
  <c r="H63" i="127" s="1"/>
  <c r="F63" i="127"/>
  <c r="E63" i="127"/>
  <c r="N63" i="127" s="1"/>
  <c r="O63" i="127" s="1"/>
  <c r="C63" i="127"/>
  <c r="D63" i="127" s="1"/>
  <c r="N62" i="127"/>
  <c r="O62" i="127" s="1"/>
  <c r="K62" i="127"/>
  <c r="H62" i="127"/>
  <c r="L62" i="127" s="1"/>
  <c r="M62" i="127" s="1"/>
  <c r="G62" i="127"/>
  <c r="E62" i="127"/>
  <c r="C62" i="127"/>
  <c r="K61" i="127"/>
  <c r="G61" i="127"/>
  <c r="L60" i="127"/>
  <c r="K60" i="127"/>
  <c r="N59" i="127"/>
  <c r="O59" i="127" s="1"/>
  <c r="K59" i="127"/>
  <c r="H59" i="127"/>
  <c r="L59" i="127" s="1"/>
  <c r="M59" i="127" s="1"/>
  <c r="G59" i="127"/>
  <c r="E59" i="127"/>
  <c r="C59" i="127"/>
  <c r="D59" i="127" s="1"/>
  <c r="K58" i="127"/>
  <c r="H58" i="127"/>
  <c r="L58" i="127" s="1"/>
  <c r="M58" i="127" s="1"/>
  <c r="G58" i="127"/>
  <c r="E58" i="127"/>
  <c r="N58" i="127" s="1"/>
  <c r="O58" i="127" s="1"/>
  <c r="C58" i="127"/>
  <c r="D58" i="127" s="1"/>
  <c r="N57" i="127"/>
  <c r="O57" i="127" s="1"/>
  <c r="K57" i="127"/>
  <c r="H57" i="127"/>
  <c r="L57" i="127" s="1"/>
  <c r="M57" i="127" s="1"/>
  <c r="G57" i="127"/>
  <c r="E57" i="127"/>
  <c r="C57" i="127"/>
  <c r="D57" i="127" s="1"/>
  <c r="K56" i="127"/>
  <c r="H56" i="127"/>
  <c r="L56" i="127" s="1"/>
  <c r="M56" i="127" s="1"/>
  <c r="G56" i="127"/>
  <c r="E56" i="127"/>
  <c r="N56" i="127" s="1"/>
  <c r="O56" i="127" s="1"/>
  <c r="C56" i="127"/>
  <c r="D56" i="127" s="1"/>
  <c r="K55" i="127"/>
  <c r="H55" i="127"/>
  <c r="L55" i="127" s="1"/>
  <c r="M55" i="127" s="1"/>
  <c r="G55" i="127"/>
  <c r="E55" i="127"/>
  <c r="N55" i="127" s="1"/>
  <c r="O55" i="127" s="1"/>
  <c r="C55" i="127"/>
  <c r="D55" i="127" s="1"/>
  <c r="N54" i="127"/>
  <c r="K54" i="127"/>
  <c r="H54" i="127"/>
  <c r="L54" i="127" s="1"/>
  <c r="M54" i="127" s="1"/>
  <c r="M60" i="127" s="1"/>
  <c r="G54" i="127"/>
  <c r="E54" i="127"/>
  <c r="C54" i="127"/>
  <c r="K53" i="127"/>
  <c r="G53" i="127"/>
  <c r="N52" i="127"/>
  <c r="O52" i="127" s="1"/>
  <c r="K52" i="127"/>
  <c r="H52" i="127"/>
  <c r="L52" i="127" s="1"/>
  <c r="M52" i="127" s="1"/>
  <c r="G52" i="127"/>
  <c r="E52" i="127"/>
  <c r="C52" i="127"/>
  <c r="D52" i="127" s="1"/>
  <c r="K51" i="127"/>
  <c r="G51" i="127"/>
  <c r="K50" i="127"/>
  <c r="K49" i="127"/>
  <c r="G49" i="127"/>
  <c r="H49" i="127" s="1"/>
  <c r="F49" i="127"/>
  <c r="E49" i="127"/>
  <c r="N49" i="127" s="1"/>
  <c r="O49" i="127" s="1"/>
  <c r="C49" i="127"/>
  <c r="D49" i="127" s="1"/>
  <c r="K48" i="127"/>
  <c r="F48" i="127"/>
  <c r="G48" i="127" s="1"/>
  <c r="H48" i="127" s="1"/>
  <c r="L48" i="127" s="1"/>
  <c r="M48" i="127" s="1"/>
  <c r="E48" i="127"/>
  <c r="N48" i="127" s="1"/>
  <c r="O48" i="127" s="1"/>
  <c r="C48" i="127"/>
  <c r="D48" i="127" s="1"/>
  <c r="K47" i="127"/>
  <c r="L47" i="127" s="1"/>
  <c r="M47" i="127" s="1"/>
  <c r="G47" i="127"/>
  <c r="H47" i="127" s="1"/>
  <c r="F47" i="127"/>
  <c r="E47" i="127"/>
  <c r="N47" i="127" s="1"/>
  <c r="O47" i="127" s="1"/>
  <c r="C47" i="127"/>
  <c r="D47" i="127" s="1"/>
  <c r="K46" i="127"/>
  <c r="H46" i="127"/>
  <c r="L46" i="127" s="1"/>
  <c r="M46" i="127" s="1"/>
  <c r="F46" i="127"/>
  <c r="G46" i="127" s="1"/>
  <c r="E46" i="127"/>
  <c r="N46" i="127" s="1"/>
  <c r="O46" i="127" s="1"/>
  <c r="C46" i="127"/>
  <c r="D46" i="127" s="1"/>
  <c r="K45" i="127"/>
  <c r="G45" i="127"/>
  <c r="H45" i="127" s="1"/>
  <c r="F45" i="127"/>
  <c r="E45" i="127"/>
  <c r="N45" i="127" s="1"/>
  <c r="O45" i="127" s="1"/>
  <c r="C45" i="127"/>
  <c r="D45" i="127" s="1"/>
  <c r="K44" i="127"/>
  <c r="F44" i="127"/>
  <c r="G44" i="127" s="1"/>
  <c r="H44" i="127" s="1"/>
  <c r="L44" i="127" s="1"/>
  <c r="M44" i="127" s="1"/>
  <c r="E44" i="127"/>
  <c r="N44" i="127" s="1"/>
  <c r="O44" i="127" s="1"/>
  <c r="C44" i="127"/>
  <c r="D44" i="127" s="1"/>
  <c r="K43" i="127"/>
  <c r="L43" i="127" s="1"/>
  <c r="M43" i="127" s="1"/>
  <c r="G43" i="127"/>
  <c r="H43" i="127" s="1"/>
  <c r="E43" i="127"/>
  <c r="N43" i="127" s="1"/>
  <c r="O43" i="127" s="1"/>
  <c r="C43" i="127"/>
  <c r="D43" i="127" s="1"/>
  <c r="K42" i="127"/>
  <c r="G42" i="127"/>
  <c r="H42" i="127" s="1"/>
  <c r="F42" i="127"/>
  <c r="E42" i="127"/>
  <c r="N42" i="127" s="1"/>
  <c r="O42" i="127" s="1"/>
  <c r="C42" i="127"/>
  <c r="D42" i="127" s="1"/>
  <c r="K41" i="127"/>
  <c r="F41" i="127"/>
  <c r="G41" i="127" s="1"/>
  <c r="H41" i="127" s="1"/>
  <c r="L41" i="127" s="1"/>
  <c r="M41" i="127" s="1"/>
  <c r="E41" i="127"/>
  <c r="N41" i="127" s="1"/>
  <c r="O41" i="127" s="1"/>
  <c r="C41" i="127"/>
  <c r="D41" i="127" s="1"/>
  <c r="K40" i="127"/>
  <c r="L40" i="127" s="1"/>
  <c r="M40" i="127" s="1"/>
  <c r="G40" i="127"/>
  <c r="H40" i="127" s="1"/>
  <c r="E40" i="127"/>
  <c r="N40" i="127" s="1"/>
  <c r="O40" i="127" s="1"/>
  <c r="C40" i="127"/>
  <c r="D40" i="127" s="1"/>
  <c r="K39" i="127"/>
  <c r="G39" i="127"/>
  <c r="H39" i="127" s="1"/>
  <c r="F39" i="127"/>
  <c r="E39" i="127"/>
  <c r="N39" i="127" s="1"/>
  <c r="C39" i="127"/>
  <c r="D39" i="127" s="1"/>
  <c r="K38" i="127"/>
  <c r="G38" i="127"/>
  <c r="K37" i="127"/>
  <c r="N35" i="127"/>
  <c r="O35" i="127" s="1"/>
  <c r="K35" i="127"/>
  <c r="L35" i="127" s="1"/>
  <c r="M35" i="127" s="1"/>
  <c r="G35" i="127"/>
  <c r="H35" i="127" s="1"/>
  <c r="E35" i="127"/>
  <c r="C35" i="127"/>
  <c r="D35" i="127" s="1"/>
  <c r="K34" i="127"/>
  <c r="G34" i="127"/>
  <c r="H34" i="127" s="1"/>
  <c r="F34" i="127"/>
  <c r="E34" i="127"/>
  <c r="N34" i="127" s="1"/>
  <c r="O34" i="127" s="1"/>
  <c r="C34" i="127"/>
  <c r="D34" i="127" s="1"/>
  <c r="K33" i="127"/>
  <c r="F33" i="127"/>
  <c r="G33" i="127" s="1"/>
  <c r="H33" i="127" s="1"/>
  <c r="L33" i="127" s="1"/>
  <c r="M33" i="127" s="1"/>
  <c r="E33" i="127"/>
  <c r="N33" i="127" s="1"/>
  <c r="O33" i="127" s="1"/>
  <c r="C33" i="127"/>
  <c r="D33" i="127" s="1"/>
  <c r="K32" i="127"/>
  <c r="L32" i="127" s="1"/>
  <c r="M32" i="127" s="1"/>
  <c r="G32" i="127"/>
  <c r="H32" i="127" s="1"/>
  <c r="F32" i="127"/>
  <c r="E32" i="127"/>
  <c r="N32" i="127" s="1"/>
  <c r="O32" i="127" s="1"/>
  <c r="C32" i="127"/>
  <c r="D32" i="127" s="1"/>
  <c r="N31" i="127"/>
  <c r="O31" i="127" s="1"/>
  <c r="K31" i="127"/>
  <c r="H31" i="127"/>
  <c r="L31" i="127" s="1"/>
  <c r="M31" i="127" s="1"/>
  <c r="G31" i="127"/>
  <c r="E31" i="127"/>
  <c r="C31" i="127"/>
  <c r="D31" i="127" s="1"/>
  <c r="N30" i="127"/>
  <c r="O30" i="127" s="1"/>
  <c r="K30" i="127"/>
  <c r="H30" i="127"/>
  <c r="L30" i="127" s="1"/>
  <c r="M30" i="127" s="1"/>
  <c r="G30" i="127"/>
  <c r="E30" i="127"/>
  <c r="C30" i="127"/>
  <c r="D30" i="127" s="1"/>
  <c r="K29" i="127"/>
  <c r="H29" i="127"/>
  <c r="L29" i="127" s="1"/>
  <c r="M29" i="127" s="1"/>
  <c r="F29" i="127"/>
  <c r="G29" i="127" s="1"/>
  <c r="E29" i="127"/>
  <c r="N29" i="127" s="1"/>
  <c r="O29" i="127" s="1"/>
  <c r="C29" i="127"/>
  <c r="D29" i="127" s="1"/>
  <c r="K28" i="127"/>
  <c r="G28" i="127"/>
  <c r="K27" i="127"/>
  <c r="O26" i="127"/>
  <c r="N26" i="127"/>
  <c r="K26" i="127"/>
  <c r="D26" i="127"/>
  <c r="F26" i="127" s="1"/>
  <c r="G26" i="127" s="1"/>
  <c r="H26" i="127" s="1"/>
  <c r="N25" i="127"/>
  <c r="O25" i="127" s="1"/>
  <c r="K25" i="127"/>
  <c r="H25" i="127"/>
  <c r="L25" i="127" s="1"/>
  <c r="M25" i="127" s="1"/>
  <c r="G25" i="127"/>
  <c r="E25" i="127"/>
  <c r="C25" i="127"/>
  <c r="D25" i="127" s="1"/>
  <c r="N24" i="127"/>
  <c r="O24" i="127" s="1"/>
  <c r="K24" i="127"/>
  <c r="H24" i="127"/>
  <c r="L24" i="127" s="1"/>
  <c r="M24" i="127" s="1"/>
  <c r="G24" i="127"/>
  <c r="E24" i="127"/>
  <c r="C24" i="127"/>
  <c r="D24" i="127" s="1"/>
  <c r="K23" i="127"/>
  <c r="H23" i="127"/>
  <c r="L23" i="127" s="1"/>
  <c r="M23" i="127" s="1"/>
  <c r="G23" i="127"/>
  <c r="E23" i="127"/>
  <c r="N23" i="127" s="1"/>
  <c r="O23" i="127" s="1"/>
  <c r="C23" i="127"/>
  <c r="D23" i="127" s="1"/>
  <c r="N22" i="127"/>
  <c r="O22" i="127" s="1"/>
  <c r="K22" i="127"/>
  <c r="H22" i="127"/>
  <c r="L22" i="127" s="1"/>
  <c r="M22" i="127" s="1"/>
  <c r="G22" i="127"/>
  <c r="D22" i="127"/>
  <c r="K21" i="127"/>
  <c r="H21" i="127"/>
  <c r="L21" i="127" s="1"/>
  <c r="M21" i="127" s="1"/>
  <c r="G21" i="127"/>
  <c r="E21" i="127"/>
  <c r="N21" i="127" s="1"/>
  <c r="O21" i="127" s="1"/>
  <c r="C21" i="127"/>
  <c r="D21" i="127" s="1"/>
  <c r="K20" i="127"/>
  <c r="H20" i="127"/>
  <c r="L20" i="127" s="1"/>
  <c r="M20" i="127" s="1"/>
  <c r="G20" i="127"/>
  <c r="E20" i="127"/>
  <c r="N20" i="127" s="1"/>
  <c r="O20" i="127" s="1"/>
  <c r="C20" i="127"/>
  <c r="D20" i="127" s="1"/>
  <c r="N19" i="127"/>
  <c r="K19" i="127"/>
  <c r="H19" i="127"/>
  <c r="L19" i="127" s="1"/>
  <c r="M19" i="127" s="1"/>
  <c r="G19" i="127"/>
  <c r="E19" i="127"/>
  <c r="C19" i="127"/>
  <c r="K18" i="127"/>
  <c r="G18" i="127"/>
  <c r="H18" i="127" s="1"/>
  <c r="K17" i="127"/>
  <c r="N16" i="127"/>
  <c r="O16" i="127" s="1"/>
  <c r="K16" i="127"/>
  <c r="L16" i="127" s="1"/>
  <c r="M16" i="127" s="1"/>
  <c r="G16" i="127"/>
  <c r="H16" i="127" s="1"/>
  <c r="E16" i="127"/>
  <c r="C16" i="127"/>
  <c r="D16" i="127" s="1"/>
  <c r="N15" i="127"/>
  <c r="O15" i="127" s="1"/>
  <c r="K15" i="127"/>
  <c r="H15" i="127"/>
  <c r="L15" i="127" s="1"/>
  <c r="M15" i="127" s="1"/>
  <c r="G15" i="127"/>
  <c r="E15" i="127"/>
  <c r="C15" i="127"/>
  <c r="D15" i="127" s="1"/>
  <c r="N14" i="127"/>
  <c r="O14" i="127" s="1"/>
  <c r="K14" i="127"/>
  <c r="H14" i="127"/>
  <c r="L14" i="127" s="1"/>
  <c r="M14" i="127" s="1"/>
  <c r="G14" i="127"/>
  <c r="E14" i="127"/>
  <c r="C14" i="127"/>
  <c r="D14" i="127" s="1"/>
  <c r="N13" i="127"/>
  <c r="O13" i="127" s="1"/>
  <c r="K13" i="127"/>
  <c r="H13" i="127"/>
  <c r="L13" i="127" s="1"/>
  <c r="M13" i="127" s="1"/>
  <c r="G13" i="127"/>
  <c r="E13" i="127"/>
  <c r="C13" i="127"/>
  <c r="D13" i="127" s="1"/>
  <c r="N12" i="127"/>
  <c r="O12" i="127" s="1"/>
  <c r="K12" i="127"/>
  <c r="H12" i="127"/>
  <c r="L12" i="127" s="1"/>
  <c r="M12" i="127" s="1"/>
  <c r="G12" i="127"/>
  <c r="E12" i="127"/>
  <c r="C12" i="127"/>
  <c r="D12" i="127" s="1"/>
  <c r="K11" i="127"/>
  <c r="H11" i="127"/>
  <c r="L11" i="127" s="1"/>
  <c r="M11" i="127" s="1"/>
  <c r="G11" i="127"/>
  <c r="E11" i="127"/>
  <c r="N11" i="127" s="1"/>
  <c r="O11" i="127" s="1"/>
  <c r="C11" i="127"/>
  <c r="D11" i="127" s="1"/>
  <c r="K10" i="127"/>
  <c r="H10" i="127"/>
  <c r="L10" i="127" s="1"/>
  <c r="M10" i="127" s="1"/>
  <c r="G10" i="127"/>
  <c r="E10" i="127"/>
  <c r="N10" i="127" s="1"/>
  <c r="O10" i="127" s="1"/>
  <c r="C10" i="127"/>
  <c r="D10" i="127" s="1"/>
  <c r="K9" i="127"/>
  <c r="H9" i="127"/>
  <c r="L9" i="127" s="1"/>
  <c r="M9" i="127" s="1"/>
  <c r="G9" i="127"/>
  <c r="E9" i="127"/>
  <c r="N9" i="127" s="1"/>
  <c r="O9" i="127" s="1"/>
  <c r="C9" i="127"/>
  <c r="D9" i="127" s="1"/>
  <c r="N8" i="127"/>
  <c r="O8" i="127" s="1"/>
  <c r="K8" i="127"/>
  <c r="H8" i="127"/>
  <c r="L8" i="127" s="1"/>
  <c r="M8" i="127" s="1"/>
  <c r="G8" i="127"/>
  <c r="E8" i="127"/>
  <c r="C8" i="127"/>
  <c r="D8" i="127" s="1"/>
  <c r="N7" i="127"/>
  <c r="O7" i="127" s="1"/>
  <c r="K7" i="127"/>
  <c r="H7" i="127"/>
  <c r="L7" i="127" s="1"/>
  <c r="M7" i="127" s="1"/>
  <c r="G7" i="127"/>
  <c r="E7" i="127"/>
  <c r="C7" i="127"/>
  <c r="D7" i="127" s="1"/>
  <c r="N6" i="127"/>
  <c r="O6" i="127" s="1"/>
  <c r="K6" i="127"/>
  <c r="H6" i="127"/>
  <c r="L6" i="127" s="1"/>
  <c r="M6" i="127" s="1"/>
  <c r="G6" i="127"/>
  <c r="E6" i="127"/>
  <c r="C6" i="127"/>
  <c r="D6" i="127" s="1"/>
  <c r="N5" i="127"/>
  <c r="O5" i="127" s="1"/>
  <c r="K5" i="127"/>
  <c r="H5" i="127"/>
  <c r="L5" i="127" s="1"/>
  <c r="M5" i="127" s="1"/>
  <c r="G5" i="127"/>
  <c r="E5" i="127"/>
  <c r="C5" i="127"/>
  <c r="D5" i="127" s="1"/>
  <c r="N4" i="127"/>
  <c r="K4" i="127"/>
  <c r="H4" i="127"/>
  <c r="L4" i="127" s="1"/>
  <c r="M4" i="127" s="1"/>
  <c r="G4" i="127"/>
  <c r="E4" i="127"/>
  <c r="C4" i="127"/>
  <c r="O3" i="127"/>
  <c r="K3" i="127"/>
  <c r="L3" i="127" s="1"/>
  <c r="M3" i="127" s="1"/>
  <c r="G3" i="127"/>
  <c r="H3" i="127" s="1"/>
  <c r="E17" i="127" l="1"/>
  <c r="E60" i="127"/>
  <c r="C85" i="127"/>
  <c r="N78" i="127"/>
  <c r="C27" i="127"/>
  <c r="C69" i="127"/>
  <c r="C78" i="127"/>
  <c r="E85" i="127"/>
  <c r="N50" i="127"/>
  <c r="E69" i="127"/>
  <c r="D71" i="127"/>
  <c r="D78" i="127" s="1"/>
  <c r="B78" i="127" s="1"/>
  <c r="G78" i="127" s="1"/>
  <c r="D80" i="127"/>
  <c r="D85" i="127" s="1"/>
  <c r="B85" i="127" s="1"/>
  <c r="G85" i="127" s="1"/>
  <c r="E27" i="127"/>
  <c r="E37" i="127"/>
  <c r="E78" i="127"/>
  <c r="N85" i="127"/>
  <c r="N27" i="127"/>
  <c r="M17" i="127"/>
  <c r="C17" i="127"/>
  <c r="D4" i="127"/>
  <c r="D17" i="127" s="1"/>
  <c r="N17" i="127"/>
  <c r="O4" i="127"/>
  <c r="O17" i="127" s="1"/>
  <c r="L18" i="127"/>
  <c r="M27" i="127"/>
  <c r="D19" i="127"/>
  <c r="D27" i="127" s="1"/>
  <c r="B27" i="127" s="1"/>
  <c r="G27" i="127" s="1"/>
  <c r="O19" i="127"/>
  <c r="O27" i="127" s="1"/>
  <c r="D37" i="127"/>
  <c r="O37" i="127"/>
  <c r="L34" i="127"/>
  <c r="M34" i="127" s="1"/>
  <c r="M37" i="127" s="1"/>
  <c r="N37" i="127"/>
  <c r="D50" i="127"/>
  <c r="L39" i="127"/>
  <c r="M39" i="127" s="1"/>
  <c r="O39" i="127"/>
  <c r="O50" i="127" s="1"/>
  <c r="L42" i="127"/>
  <c r="M42" i="127" s="1"/>
  <c r="L45" i="127"/>
  <c r="M45" i="127" s="1"/>
  <c r="L49" i="127"/>
  <c r="M49" i="127" s="1"/>
  <c r="E50" i="127"/>
  <c r="M69" i="127"/>
  <c r="O69" i="127"/>
  <c r="L26" i="127"/>
  <c r="M26" i="127" s="1"/>
  <c r="P26" i="127" s="1"/>
  <c r="Q26" i="127" s="1"/>
  <c r="C37" i="127"/>
  <c r="C50" i="127"/>
  <c r="C60" i="127"/>
  <c r="D54" i="127"/>
  <c r="D60" i="127" s="1"/>
  <c r="N60" i="127"/>
  <c r="O54" i="127"/>
  <c r="O60" i="127" s="1"/>
  <c r="P60" i="127" s="1"/>
  <c r="Q60" i="127" s="1"/>
  <c r="U23" i="127" s="1"/>
  <c r="V23" i="127" s="1"/>
  <c r="D62" i="127"/>
  <c r="D69" i="127" s="1"/>
  <c r="L64" i="127"/>
  <c r="M64" i="127" s="1"/>
  <c r="L72" i="127"/>
  <c r="M72" i="127" s="1"/>
  <c r="L74" i="127"/>
  <c r="M74" i="127" s="1"/>
  <c r="M78" i="127" s="1"/>
  <c r="L75" i="127"/>
  <c r="M75" i="127" s="1"/>
  <c r="L77" i="127"/>
  <c r="M77" i="127" s="1"/>
  <c r="L83" i="127"/>
  <c r="M83" i="127" s="1"/>
  <c r="M85" i="127" s="1"/>
  <c r="L84" i="127"/>
  <c r="M84" i="127" s="1"/>
  <c r="L86" i="127"/>
  <c r="N90" i="127"/>
  <c r="O87" i="127"/>
  <c r="O90" i="127" s="1"/>
  <c r="P90" i="127" s="1"/>
  <c r="N69" i="127"/>
  <c r="O71" i="127"/>
  <c r="O78" i="127" s="1"/>
  <c r="O82" i="127"/>
  <c r="O85" i="127" s="1"/>
  <c r="C90" i="127"/>
  <c r="D87" i="127"/>
  <c r="D90" i="127" s="1"/>
  <c r="L91" i="127"/>
  <c r="M91" i="127" s="1"/>
  <c r="L92" i="127"/>
  <c r="M92" i="127" s="1"/>
  <c r="N92" i="127" s="1"/>
  <c r="O92" i="127" s="1"/>
  <c r="E90" i="127"/>
  <c r="H22" i="146"/>
  <c r="I27" i="146"/>
  <c r="K22" i="146"/>
  <c r="K23" i="146"/>
  <c r="B69" i="127" l="1"/>
  <c r="G69" i="127" s="1"/>
  <c r="E28" i="127"/>
  <c r="B17" i="127"/>
  <c r="G17" i="127" s="1"/>
  <c r="P37" i="127"/>
  <c r="Q37" i="127" s="1"/>
  <c r="U21" i="127" s="1"/>
  <c r="V21" i="127" s="1"/>
  <c r="P85" i="127"/>
  <c r="Q85" i="127" s="1"/>
  <c r="U26" i="127" s="1"/>
  <c r="V26" i="127" s="1"/>
  <c r="P78" i="127"/>
  <c r="Q78" i="127" s="1"/>
  <c r="U25" i="127" s="1"/>
  <c r="V25" i="127" s="1"/>
  <c r="P69" i="127"/>
  <c r="Q69" i="127" s="1"/>
  <c r="U24" i="127" s="1"/>
  <c r="V24" i="127" s="1"/>
  <c r="Q90" i="127"/>
  <c r="U27" i="127" s="1"/>
  <c r="V27" i="127" s="1"/>
  <c r="M50" i="127"/>
  <c r="P50" i="127" s="1"/>
  <c r="Q50" i="127" s="1"/>
  <c r="U22" i="127" s="1"/>
  <c r="V22" i="127" s="1"/>
  <c r="P27" i="127"/>
  <c r="B90" i="127"/>
  <c r="B60" i="127"/>
  <c r="G60" i="127" s="1"/>
  <c r="B50" i="127"/>
  <c r="G50" i="127" s="1"/>
  <c r="B37" i="127"/>
  <c r="G37" i="127" s="1"/>
  <c r="P17" i="127"/>
  <c r="Q27" i="127" l="1"/>
  <c r="U20" i="127" s="1"/>
  <c r="V20" i="127" s="1"/>
  <c r="P93" i="127"/>
  <c r="Q17" i="127"/>
  <c r="U19" i="127" s="1"/>
  <c r="V19" i="127" s="1"/>
  <c r="G18" i="146" l="1"/>
  <c r="G56" i="144" l="1"/>
  <c r="G11" i="144" s="1"/>
  <c r="M27" i="146" l="1"/>
  <c r="L27" i="146"/>
  <c r="F27" i="146"/>
  <c r="H26" i="146"/>
  <c r="H23" i="146"/>
  <c r="H18" i="146"/>
  <c r="F14" i="146"/>
  <c r="F2" i="145" l="1"/>
  <c r="J113" i="144" l="1"/>
  <c r="I113" i="144"/>
  <c r="H113" i="144"/>
  <c r="G113" i="144"/>
  <c r="J92" i="144"/>
  <c r="I92" i="144"/>
  <c r="H92" i="144"/>
  <c r="G92" i="144"/>
  <c r="G21" i="144" s="1"/>
  <c r="I80" i="144"/>
  <c r="H80" i="144"/>
  <c r="G80" i="144"/>
  <c r="G14" i="144" s="1"/>
  <c r="K56" i="144"/>
  <c r="J56" i="144"/>
  <c r="H56" i="144"/>
  <c r="J35" i="144"/>
  <c r="H35" i="144"/>
  <c r="J15" i="144"/>
  <c r="J19" i="144" s="1"/>
  <c r="I15" i="144"/>
  <c r="I19" i="144" s="1"/>
  <c r="I22" i="144" s="1"/>
  <c r="I25" i="144" s="1"/>
  <c r="I29" i="144" s="1"/>
  <c r="I35" i="144" s="1"/>
  <c r="H15" i="144"/>
  <c r="O171" i="143"/>
  <c r="P171" i="143"/>
  <c r="Q171" i="143"/>
  <c r="N171" i="143"/>
  <c r="N348" i="143" l="1"/>
  <c r="O348" i="143"/>
  <c r="P348" i="143"/>
  <c r="Q348" i="143"/>
  <c r="K348" i="143"/>
  <c r="O94" i="143"/>
  <c r="P94" i="143"/>
  <c r="Q94" i="143"/>
  <c r="N94" i="143"/>
  <c r="W89" i="143"/>
  <c r="S90" i="143"/>
  <c r="W90" i="143"/>
  <c r="S91" i="143"/>
  <c r="W91" i="143"/>
  <c r="S92" i="143"/>
  <c r="W92" i="143"/>
  <c r="W93" i="143"/>
  <c r="M90" i="143"/>
  <c r="U90" i="143" s="1"/>
  <c r="T90" i="143" l="1"/>
  <c r="V90" i="143"/>
  <c r="I362" i="143"/>
  <c r="P356" i="143"/>
  <c r="O356" i="143"/>
  <c r="C354" i="143"/>
  <c r="C350" i="143"/>
  <c r="M348" i="143"/>
  <c r="V348" i="143" s="1"/>
  <c r="Q342" i="143"/>
  <c r="P342" i="143"/>
  <c r="O342" i="143"/>
  <c r="N342" i="143"/>
  <c r="K342" i="143"/>
  <c r="W342" i="143" s="1"/>
  <c r="Q312" i="143"/>
  <c r="Q326" i="143" s="1"/>
  <c r="N312" i="143"/>
  <c r="N326" i="143" s="1"/>
  <c r="M312" i="143"/>
  <c r="M326" i="143" s="1"/>
  <c r="I310" i="143"/>
  <c r="Q302" i="143"/>
  <c r="N302" i="143"/>
  <c r="M302" i="143"/>
  <c r="I276" i="143"/>
  <c r="Q267" i="143"/>
  <c r="N267" i="143"/>
  <c r="M267" i="143"/>
  <c r="Q266" i="143"/>
  <c r="N266" i="143"/>
  <c r="M266" i="143"/>
  <c r="Q265" i="143"/>
  <c r="N265" i="143"/>
  <c r="M265" i="143"/>
  <c r="Q264" i="143"/>
  <c r="N264" i="143"/>
  <c r="M264" i="143"/>
  <c r="Q263" i="143"/>
  <c r="N263" i="143"/>
  <c r="M263" i="143"/>
  <c r="Q262" i="143"/>
  <c r="Q270" i="143" s="1"/>
  <c r="N262" i="143"/>
  <c r="N270" i="143" s="1"/>
  <c r="M262" i="143"/>
  <c r="M270" i="143" s="1"/>
  <c r="I260" i="143"/>
  <c r="Q253" i="143"/>
  <c r="Q257" i="143" s="1"/>
  <c r="N253" i="143"/>
  <c r="N257" i="143" s="1"/>
  <c r="M253" i="143"/>
  <c r="M257" i="143" s="1"/>
  <c r="I249" i="143"/>
  <c r="Q244" i="143"/>
  <c r="Q245" i="143" s="1"/>
  <c r="N244" i="143"/>
  <c r="N245" i="143" s="1"/>
  <c r="M244" i="143"/>
  <c r="M245" i="143" s="1"/>
  <c r="I240" i="143"/>
  <c r="Q233" i="143"/>
  <c r="N233" i="143"/>
  <c r="M233" i="143"/>
  <c r="I223" i="143"/>
  <c r="Q208" i="143"/>
  <c r="Q216" i="143" s="1"/>
  <c r="N208" i="143"/>
  <c r="N216" i="143" s="1"/>
  <c r="M208" i="143"/>
  <c r="M216" i="143" s="1"/>
  <c r="Q204" i="143"/>
  <c r="N204" i="143"/>
  <c r="M204" i="143"/>
  <c r="I197" i="143"/>
  <c r="P193" i="143"/>
  <c r="O193" i="143"/>
  <c r="M193" i="143"/>
  <c r="W190" i="143"/>
  <c r="V190" i="143"/>
  <c r="U190" i="143"/>
  <c r="T190" i="143"/>
  <c r="W189" i="143"/>
  <c r="V189" i="143"/>
  <c r="U189" i="143"/>
  <c r="T189" i="143"/>
  <c r="W188" i="143"/>
  <c r="V188" i="143"/>
  <c r="U188" i="143"/>
  <c r="T188" i="143"/>
  <c r="W187" i="143"/>
  <c r="V187" i="143"/>
  <c r="U187" i="143"/>
  <c r="T187" i="143"/>
  <c r="W186" i="143"/>
  <c r="V186" i="143"/>
  <c r="U186" i="143"/>
  <c r="T186" i="143"/>
  <c r="W185" i="143"/>
  <c r="V185" i="143"/>
  <c r="U185" i="143"/>
  <c r="T185" i="143"/>
  <c r="V184" i="143"/>
  <c r="U184" i="143"/>
  <c r="T184" i="143"/>
  <c r="N193" i="143"/>
  <c r="V183" i="143"/>
  <c r="U183" i="143"/>
  <c r="T183" i="143"/>
  <c r="W183" i="143"/>
  <c r="W182" i="143"/>
  <c r="V182" i="143"/>
  <c r="U182" i="143"/>
  <c r="T182" i="143"/>
  <c r="W181" i="143"/>
  <c r="V181" i="143"/>
  <c r="U181" i="143"/>
  <c r="T181" i="143"/>
  <c r="W180" i="143"/>
  <c r="V180" i="143"/>
  <c r="U180" i="143"/>
  <c r="T180" i="143"/>
  <c r="W179" i="143"/>
  <c r="V179" i="143"/>
  <c r="U179" i="143"/>
  <c r="T179" i="143"/>
  <c r="W178" i="143"/>
  <c r="V178" i="143"/>
  <c r="U178" i="143"/>
  <c r="T178" i="143"/>
  <c r="W177" i="143"/>
  <c r="V177" i="143"/>
  <c r="U177" i="143"/>
  <c r="Q193" i="143"/>
  <c r="T191" i="143" s="1"/>
  <c r="I175" i="143"/>
  <c r="N350" i="143"/>
  <c r="K171" i="143"/>
  <c r="K350" i="143" s="1"/>
  <c r="W170" i="143"/>
  <c r="W169" i="143"/>
  <c r="W168" i="143"/>
  <c r="W167" i="143"/>
  <c r="W166" i="143"/>
  <c r="W165" i="143"/>
  <c r="W164" i="143"/>
  <c r="W163" i="143"/>
  <c r="W162" i="143"/>
  <c r="W161" i="143"/>
  <c r="W160" i="143"/>
  <c r="W159" i="143"/>
  <c r="W158" i="143"/>
  <c r="W157" i="143"/>
  <c r="W156" i="143"/>
  <c r="W155" i="143"/>
  <c r="W154" i="143"/>
  <c r="W153" i="143"/>
  <c r="I151" i="143"/>
  <c r="Q147" i="143"/>
  <c r="N147" i="143"/>
  <c r="M147" i="143"/>
  <c r="I140" i="143"/>
  <c r="Q137" i="143"/>
  <c r="N137" i="143"/>
  <c r="M137" i="143"/>
  <c r="I130" i="143"/>
  <c r="Q127" i="143"/>
  <c r="N127" i="143"/>
  <c r="M127" i="143"/>
  <c r="I123" i="143"/>
  <c r="P110" i="143"/>
  <c r="O110" i="143"/>
  <c r="N110" i="143"/>
  <c r="M110" i="143"/>
  <c r="K110" i="143"/>
  <c r="W109" i="143"/>
  <c r="V109" i="143"/>
  <c r="U109" i="143"/>
  <c r="T109" i="143"/>
  <c r="S109" i="143"/>
  <c r="W108" i="143"/>
  <c r="V108" i="143"/>
  <c r="U108" i="143"/>
  <c r="T108" i="143"/>
  <c r="S108" i="143"/>
  <c r="V107" i="143"/>
  <c r="U107" i="143"/>
  <c r="S107" i="143"/>
  <c r="T107" i="143"/>
  <c r="W106" i="143"/>
  <c r="V106" i="143"/>
  <c r="U106" i="143"/>
  <c r="T106" i="143"/>
  <c r="S106" i="143"/>
  <c r="W105" i="143"/>
  <c r="V105" i="143"/>
  <c r="U105" i="143"/>
  <c r="T105" i="143"/>
  <c r="S105" i="143"/>
  <c r="W104" i="143"/>
  <c r="V104" i="143"/>
  <c r="U104" i="143"/>
  <c r="T104" i="143"/>
  <c r="S104" i="143"/>
  <c r="W103" i="143"/>
  <c r="V103" i="143"/>
  <c r="U103" i="143"/>
  <c r="T103" i="143"/>
  <c r="S103" i="143"/>
  <c r="W102" i="143"/>
  <c r="V102" i="143"/>
  <c r="U102" i="143"/>
  <c r="T102" i="143"/>
  <c r="S102" i="143"/>
  <c r="W101" i="143"/>
  <c r="V101" i="143"/>
  <c r="U101" i="143"/>
  <c r="T101" i="143"/>
  <c r="S101" i="143"/>
  <c r="W100" i="143"/>
  <c r="V100" i="143"/>
  <c r="U100" i="143"/>
  <c r="T100" i="143"/>
  <c r="S100" i="143"/>
  <c r="W99" i="143"/>
  <c r="V99" i="143"/>
  <c r="U99" i="143"/>
  <c r="T99" i="143"/>
  <c r="S99" i="143"/>
  <c r="W98" i="143"/>
  <c r="V98" i="143"/>
  <c r="U98" i="143"/>
  <c r="T98" i="143"/>
  <c r="S98" i="143"/>
  <c r="W97" i="143"/>
  <c r="V97" i="143"/>
  <c r="U97" i="143"/>
  <c r="T97" i="143"/>
  <c r="S97" i="143"/>
  <c r="N354" i="143"/>
  <c r="K94" i="143"/>
  <c r="K354" i="143" s="1"/>
  <c r="M92" i="143"/>
  <c r="M91" i="143"/>
  <c r="W88" i="143"/>
  <c r="W87" i="143"/>
  <c r="W86" i="143"/>
  <c r="W85" i="143"/>
  <c r="W84" i="143"/>
  <c r="W83" i="143"/>
  <c r="W82" i="143"/>
  <c r="W81" i="143"/>
  <c r="W80" i="143"/>
  <c r="W79" i="143"/>
  <c r="W78" i="143"/>
  <c r="W77" i="143"/>
  <c r="W76" i="143"/>
  <c r="W75" i="143"/>
  <c r="W74" i="143"/>
  <c r="W73" i="143"/>
  <c r="W72" i="143"/>
  <c r="W71" i="143"/>
  <c r="W70" i="143"/>
  <c r="W69" i="143"/>
  <c r="S65" i="143"/>
  <c r="Q65" i="143"/>
  <c r="W65" i="143" s="1"/>
  <c r="P65" i="143"/>
  <c r="O65" i="143"/>
  <c r="N65" i="143"/>
  <c r="M65" i="143"/>
  <c r="W64" i="143"/>
  <c r="V64" i="143"/>
  <c r="U64" i="143"/>
  <c r="T64" i="143"/>
  <c r="S64" i="143"/>
  <c r="W63" i="143"/>
  <c r="V63" i="143"/>
  <c r="U63" i="143"/>
  <c r="T63" i="143"/>
  <c r="S63" i="143"/>
  <c r="W62" i="143"/>
  <c r="V62" i="143"/>
  <c r="U62" i="143"/>
  <c r="T62" i="143"/>
  <c r="S62" i="143"/>
  <c r="Q52" i="143"/>
  <c r="P52" i="143"/>
  <c r="O52" i="143"/>
  <c r="N52" i="143"/>
  <c r="M52" i="143"/>
  <c r="K52" i="143"/>
  <c r="W51" i="143"/>
  <c r="V51" i="143"/>
  <c r="U51" i="143"/>
  <c r="T51" i="143"/>
  <c r="S51" i="143"/>
  <c r="W50" i="143"/>
  <c r="V50" i="143"/>
  <c r="U50" i="143"/>
  <c r="T50" i="143"/>
  <c r="S50" i="143"/>
  <c r="W49" i="143"/>
  <c r="V49" i="143"/>
  <c r="U49" i="143"/>
  <c r="T49" i="143"/>
  <c r="S49" i="143"/>
  <c r="W48" i="143"/>
  <c r="V48" i="143"/>
  <c r="U48" i="143"/>
  <c r="T48" i="143"/>
  <c r="S48" i="143"/>
  <c r="W47" i="143"/>
  <c r="V47" i="143"/>
  <c r="U47" i="143"/>
  <c r="T47" i="143"/>
  <c r="S47" i="143"/>
  <c r="W46" i="143"/>
  <c r="V46" i="143"/>
  <c r="U46" i="143"/>
  <c r="T46" i="143"/>
  <c r="S46" i="143"/>
  <c r="W45" i="143"/>
  <c r="V45" i="143"/>
  <c r="U45" i="143"/>
  <c r="T45" i="143"/>
  <c r="S45" i="143"/>
  <c r="W44" i="143"/>
  <c r="V44" i="143"/>
  <c r="U44" i="143"/>
  <c r="T44" i="143"/>
  <c r="S44" i="143"/>
  <c r="W43" i="143"/>
  <c r="V43" i="143"/>
  <c r="U43" i="143"/>
  <c r="T43" i="143"/>
  <c r="S43" i="143"/>
  <c r="W42" i="143"/>
  <c r="V42" i="143"/>
  <c r="U42" i="143"/>
  <c r="T42" i="143"/>
  <c r="S42" i="143"/>
  <c r="W41" i="143"/>
  <c r="V41" i="143"/>
  <c r="U41" i="143"/>
  <c r="T41" i="143"/>
  <c r="S41" i="143"/>
  <c r="W40" i="143"/>
  <c r="V40" i="143"/>
  <c r="U40" i="143"/>
  <c r="T40" i="143"/>
  <c r="S40" i="143"/>
  <c r="W39" i="143"/>
  <c r="V39" i="143"/>
  <c r="U39" i="143"/>
  <c r="T39" i="143"/>
  <c r="S39" i="143"/>
  <c r="P36" i="143"/>
  <c r="O36" i="143"/>
  <c r="W35" i="143"/>
  <c r="W34" i="143"/>
  <c r="S34" i="143"/>
  <c r="M34" i="143"/>
  <c r="V34" i="143" s="1"/>
  <c r="W33" i="143"/>
  <c r="S33" i="143"/>
  <c r="M33" i="143"/>
  <c r="V33" i="143" s="1"/>
  <c r="W32" i="143"/>
  <c r="W31" i="143"/>
  <c r="W30" i="143"/>
  <c r="W28" i="143"/>
  <c r="W27" i="143"/>
  <c r="W26" i="143"/>
  <c r="W25" i="143"/>
  <c r="W23" i="143"/>
  <c r="W22" i="143"/>
  <c r="W21" i="143"/>
  <c r="W20" i="143"/>
  <c r="W19" i="143"/>
  <c r="W18" i="143"/>
  <c r="W17" i="143"/>
  <c r="W16" i="143"/>
  <c r="W15" i="143"/>
  <c r="Q11" i="143"/>
  <c r="P11" i="143"/>
  <c r="O11" i="143"/>
  <c r="N11" i="143"/>
  <c r="M11" i="143"/>
  <c r="K11" i="143"/>
  <c r="I11" i="143"/>
  <c r="W10" i="143"/>
  <c r="V10" i="143"/>
  <c r="U10" i="143"/>
  <c r="T10" i="143"/>
  <c r="S10" i="143"/>
  <c r="G10" i="143"/>
  <c r="W9" i="143"/>
  <c r="V9" i="143"/>
  <c r="U9" i="143"/>
  <c r="T9" i="143"/>
  <c r="S9" i="143"/>
  <c r="W8" i="143"/>
  <c r="V8" i="143"/>
  <c r="U8" i="143"/>
  <c r="T8" i="143"/>
  <c r="S8" i="143"/>
  <c r="W52" i="143" l="1"/>
  <c r="U52" i="143"/>
  <c r="U65" i="143"/>
  <c r="Q218" i="143"/>
  <c r="G13" i="144"/>
  <c r="G17" i="144"/>
  <c r="T91" i="143"/>
  <c r="U91" i="143"/>
  <c r="V91" i="143"/>
  <c r="U92" i="143"/>
  <c r="T92" i="143"/>
  <c r="V92" i="143"/>
  <c r="U33" i="143"/>
  <c r="U34" i="143"/>
  <c r="N115" i="143"/>
  <c r="G11" i="143"/>
  <c r="U110" i="143"/>
  <c r="M218" i="143"/>
  <c r="N218" i="143"/>
  <c r="U11" i="143"/>
  <c r="W11" i="143"/>
  <c r="V52" i="143"/>
  <c r="V65" i="143"/>
  <c r="V193" i="143"/>
  <c r="U193" i="143"/>
  <c r="Q346" i="143"/>
  <c r="M346" i="143"/>
  <c r="V346" i="143" s="1"/>
  <c r="W107" i="143"/>
  <c r="Q110" i="143"/>
  <c r="S11" i="143"/>
  <c r="W24" i="143"/>
  <c r="S52" i="143"/>
  <c r="Q350" i="143"/>
  <c r="W171" i="143"/>
  <c r="T11" i="143"/>
  <c r="V11" i="143"/>
  <c r="T33" i="143"/>
  <c r="T34" i="143"/>
  <c r="T52" i="143"/>
  <c r="T65" i="143"/>
  <c r="Q354" i="143"/>
  <c r="W354" i="143" s="1"/>
  <c r="W94" i="143"/>
  <c r="V110" i="143"/>
  <c r="N346" i="143"/>
  <c r="U348" i="143"/>
  <c r="T348" i="143"/>
  <c r="T177" i="143"/>
  <c r="T193" i="143"/>
  <c r="U346" i="143" l="1"/>
  <c r="W350" i="143"/>
  <c r="T346" i="143"/>
  <c r="W110" i="143"/>
  <c r="T110" i="143"/>
  <c r="Q115" i="143"/>
  <c r="G56" i="142" l="1"/>
  <c r="F56" i="142"/>
  <c r="E56" i="142"/>
  <c r="D56" i="142"/>
  <c r="H55" i="142"/>
  <c r="G55" i="142"/>
  <c r="F55" i="142"/>
  <c r="E55" i="142"/>
  <c r="E15" i="142" s="1"/>
  <c r="D55" i="142"/>
  <c r="H54" i="142"/>
  <c r="G54" i="142"/>
  <c r="F54" i="142"/>
  <c r="E54" i="142"/>
  <c r="D54" i="142"/>
  <c r="H53" i="142"/>
  <c r="G53" i="142"/>
  <c r="F53" i="142"/>
  <c r="E53" i="142"/>
  <c r="D53" i="142"/>
  <c r="H52" i="142"/>
  <c r="G52" i="142"/>
  <c r="F52" i="142"/>
  <c r="E52" i="142"/>
  <c r="D52" i="142"/>
  <c r="H51" i="142"/>
  <c r="G51" i="142"/>
  <c r="F51" i="142"/>
  <c r="F14" i="142" s="1"/>
  <c r="E51" i="142"/>
  <c r="E58" i="142" s="1"/>
  <c r="E11" i="142" s="1"/>
  <c r="D51" i="142"/>
  <c r="H50" i="142"/>
  <c r="G50" i="142"/>
  <c r="F50" i="142"/>
  <c r="E50" i="142"/>
  <c r="D50" i="142"/>
  <c r="E44" i="142"/>
  <c r="F44" i="142" s="1"/>
  <c r="G44" i="142" s="1"/>
  <c r="D44" i="142"/>
  <c r="H43" i="142"/>
  <c r="F43" i="142"/>
  <c r="G43" i="142" s="1"/>
  <c r="D43" i="142"/>
  <c r="G42" i="142"/>
  <c r="F42" i="142"/>
  <c r="D42" i="142"/>
  <c r="H41" i="142"/>
  <c r="E41" i="142"/>
  <c r="F41" i="142" s="1"/>
  <c r="G41" i="142" s="1"/>
  <c r="D41" i="142"/>
  <c r="H40" i="142"/>
  <c r="E40" i="142"/>
  <c r="F40" i="142" s="1"/>
  <c r="G40" i="142" s="1"/>
  <c r="D40" i="142"/>
  <c r="H39" i="142"/>
  <c r="E39" i="142"/>
  <c r="D39" i="142"/>
  <c r="H33" i="142"/>
  <c r="H5" i="142" s="1"/>
  <c r="G30" i="142"/>
  <c r="F30" i="142"/>
  <c r="E30" i="142"/>
  <c r="D30" i="142"/>
  <c r="G29" i="142"/>
  <c r="F29" i="142"/>
  <c r="E29" i="142"/>
  <c r="D29" i="142"/>
  <c r="G24" i="142"/>
  <c r="G25" i="142" s="1"/>
  <c r="F24" i="142"/>
  <c r="E24" i="142"/>
  <c r="E25" i="142" s="1"/>
  <c r="D24" i="142"/>
  <c r="H15" i="142"/>
  <c r="G15" i="142"/>
  <c r="F15" i="142"/>
  <c r="D15" i="142"/>
  <c r="K14" i="142"/>
  <c r="J14" i="142"/>
  <c r="I14" i="142"/>
  <c r="H14" i="142"/>
  <c r="G14" i="142"/>
  <c r="D14" i="142"/>
  <c r="K13" i="142"/>
  <c r="J13" i="142"/>
  <c r="I13" i="142"/>
  <c r="K12" i="142"/>
  <c r="J12" i="142"/>
  <c r="I12" i="142"/>
  <c r="G12" i="142"/>
  <c r="F12" i="142"/>
  <c r="E12" i="142"/>
  <c r="D12" i="142"/>
  <c r="K11" i="142"/>
  <c r="J11" i="142"/>
  <c r="I11" i="142"/>
  <c r="K10" i="142"/>
  <c r="J10" i="142"/>
  <c r="I10" i="142"/>
  <c r="D10" i="142"/>
  <c r="K9" i="142"/>
  <c r="J9" i="142"/>
  <c r="I9" i="142"/>
  <c r="K8" i="142"/>
  <c r="J8" i="142"/>
  <c r="I8" i="142"/>
  <c r="K7" i="142"/>
  <c r="J7" i="142"/>
  <c r="I7" i="142"/>
  <c r="F7" i="142"/>
  <c r="K6" i="142"/>
  <c r="J6" i="142"/>
  <c r="I6" i="142"/>
  <c r="H6" i="142"/>
  <c r="H8" i="142" s="1"/>
  <c r="F6" i="142"/>
  <c r="F8" i="142" s="1"/>
  <c r="E6" i="142"/>
  <c r="E8" i="142" s="1"/>
  <c r="D6" i="142"/>
  <c r="D8" i="142" s="1"/>
  <c r="K5" i="142"/>
  <c r="J5" i="142"/>
  <c r="I5" i="142"/>
  <c r="D46" i="142" l="1"/>
  <c r="D9" i="142" s="1"/>
  <c r="I16" i="142"/>
  <c r="I17" i="142" s="1"/>
  <c r="E46" i="142"/>
  <c r="E9" i="142" s="1"/>
  <c r="F58" i="142"/>
  <c r="F11" i="142" s="1"/>
  <c r="J16" i="142"/>
  <c r="J17" i="142" s="1"/>
  <c r="H46" i="142"/>
  <c r="H9" i="142" s="1"/>
  <c r="G58" i="142"/>
  <c r="G11" i="142" s="1"/>
  <c r="K16" i="142"/>
  <c r="K17" i="142" s="1"/>
  <c r="E14" i="142"/>
  <c r="D58" i="142"/>
  <c r="D11" i="142" s="1"/>
  <c r="H58" i="142"/>
  <c r="H11" i="142" s="1"/>
  <c r="H16" i="142" s="1"/>
  <c r="H17" i="142" s="1"/>
  <c r="G6" i="142"/>
  <c r="G8" i="142" s="1"/>
  <c r="D25" i="142"/>
  <c r="F25" i="142"/>
  <c r="E27" i="142"/>
  <c r="G27" i="142"/>
  <c r="E28" i="142"/>
  <c r="G28" i="142"/>
  <c r="E33" i="142"/>
  <c r="E5" i="142" s="1"/>
  <c r="E16" i="142" s="1"/>
  <c r="E17" i="142" s="1"/>
  <c r="G33" i="142"/>
  <c r="G5" i="142" s="1"/>
  <c r="F39" i="142"/>
  <c r="F27" i="142"/>
  <c r="D28" i="142"/>
  <c r="F28" i="142"/>
  <c r="BG309" i="123"/>
  <c r="BF279" i="123"/>
  <c r="BF109" i="120" s="1"/>
  <c r="BF111" i="120" s="1"/>
  <c r="BE279" i="123"/>
  <c r="BD279" i="123"/>
  <c r="BC279" i="123"/>
  <c r="BB279" i="123"/>
  <c r="BA279" i="123"/>
  <c r="AZ279" i="123"/>
  <c r="AY279" i="123"/>
  <c r="AX279" i="123"/>
  <c r="AW279" i="123"/>
  <c r="AV279" i="123"/>
  <c r="AU279" i="123"/>
  <c r="AT279" i="123"/>
  <c r="AS279" i="123"/>
  <c r="AR279" i="123"/>
  <c r="AQ279" i="123"/>
  <c r="AP279" i="123"/>
  <c r="AO279" i="123"/>
  <c r="AN279" i="123"/>
  <c r="AM279" i="123"/>
  <c r="AL279" i="123"/>
  <c r="AK279" i="123"/>
  <c r="AJ279" i="123"/>
  <c r="AI279" i="123"/>
  <c r="AH279" i="123"/>
  <c r="AG279" i="123"/>
  <c r="AF279" i="123"/>
  <c r="AE279" i="123"/>
  <c r="AD279" i="123"/>
  <c r="AC279" i="123"/>
  <c r="AB279" i="123"/>
  <c r="AA279" i="123"/>
  <c r="Z279" i="123"/>
  <c r="Y279" i="123"/>
  <c r="X279" i="123"/>
  <c r="W279" i="123"/>
  <c r="V279" i="123"/>
  <c r="U279" i="123"/>
  <c r="T279" i="123"/>
  <c r="S279" i="123"/>
  <c r="R279" i="123"/>
  <c r="Q279" i="123"/>
  <c r="P279" i="123"/>
  <c r="O279" i="123"/>
  <c r="N279" i="123"/>
  <c r="M279" i="123"/>
  <c r="L279" i="123"/>
  <c r="K279" i="123"/>
  <c r="J279" i="123"/>
  <c r="I279" i="123"/>
  <c r="H279" i="123"/>
  <c r="G279" i="123"/>
  <c r="F279" i="123"/>
  <c r="E279" i="123"/>
  <c r="D279" i="123"/>
  <c r="C279" i="123"/>
  <c r="BF235" i="123"/>
  <c r="BF48" i="120" s="1"/>
  <c r="BF51" i="120" s="1"/>
  <c r="BE235" i="123"/>
  <c r="BD235" i="123"/>
  <c r="BC235" i="123"/>
  <c r="BB235" i="123"/>
  <c r="BA235" i="123"/>
  <c r="AZ235" i="123"/>
  <c r="AY235" i="123"/>
  <c r="AX235" i="123"/>
  <c r="AW235" i="123"/>
  <c r="AV235" i="123"/>
  <c r="AU235" i="123"/>
  <c r="AT235" i="123"/>
  <c r="AS235" i="123"/>
  <c r="AR235" i="123"/>
  <c r="AQ235" i="123"/>
  <c r="AP235" i="123"/>
  <c r="AO235" i="123"/>
  <c r="AN235" i="123"/>
  <c r="AM235" i="123"/>
  <c r="AL235" i="123"/>
  <c r="AK235" i="123"/>
  <c r="AJ235" i="123"/>
  <c r="AI235" i="123"/>
  <c r="AH235" i="123"/>
  <c r="AG235" i="123"/>
  <c r="AF235" i="123"/>
  <c r="AE235" i="123"/>
  <c r="AD235" i="123"/>
  <c r="AC235" i="123"/>
  <c r="AB235" i="123"/>
  <c r="AA235" i="123"/>
  <c r="Z235" i="123"/>
  <c r="Y235" i="123"/>
  <c r="X235" i="123"/>
  <c r="W235" i="123"/>
  <c r="V235" i="123"/>
  <c r="U235" i="123"/>
  <c r="T235" i="123"/>
  <c r="S235" i="123"/>
  <c r="R235" i="123"/>
  <c r="Q235" i="123"/>
  <c r="P235" i="123"/>
  <c r="O235" i="123"/>
  <c r="N235" i="123"/>
  <c r="M235" i="123"/>
  <c r="L235" i="123"/>
  <c r="K235" i="123"/>
  <c r="J235" i="123"/>
  <c r="I235" i="123"/>
  <c r="H235" i="123"/>
  <c r="G235" i="123"/>
  <c r="F235" i="123"/>
  <c r="E235" i="123"/>
  <c r="D235" i="123"/>
  <c r="C235" i="123"/>
  <c r="BF202" i="123"/>
  <c r="BF169" i="123"/>
  <c r="BF38" i="120" s="1"/>
  <c r="BF41" i="120" s="1"/>
  <c r="BF136" i="123"/>
  <c r="BF18" i="120" s="1"/>
  <c r="BF103" i="123"/>
  <c r="BF13" i="120" s="1"/>
  <c r="BF16" i="120" s="1"/>
  <c r="IF35" i="123"/>
  <c r="IE35" i="123"/>
  <c r="ID35" i="123"/>
  <c r="IC35" i="123"/>
  <c r="IB35" i="123"/>
  <c r="IA35" i="123"/>
  <c r="HZ35" i="123"/>
  <c r="HY35" i="123"/>
  <c r="HX35" i="123"/>
  <c r="HW35" i="123"/>
  <c r="HV35" i="123"/>
  <c r="HU35" i="123"/>
  <c r="HT35" i="123"/>
  <c r="HS35" i="123"/>
  <c r="HR35" i="123"/>
  <c r="HQ35" i="123"/>
  <c r="HP35" i="123"/>
  <c r="HO35" i="123"/>
  <c r="HN35" i="123"/>
  <c r="HM35" i="123"/>
  <c r="HL35" i="123"/>
  <c r="HK35" i="123"/>
  <c r="HJ35" i="123"/>
  <c r="HI35" i="123"/>
  <c r="HH35" i="123"/>
  <c r="HG35" i="123"/>
  <c r="HF35" i="123"/>
  <c r="HE35" i="123"/>
  <c r="HD35" i="123"/>
  <c r="HC35" i="123"/>
  <c r="HB35" i="123"/>
  <c r="HA35" i="123"/>
  <c r="GZ35" i="123"/>
  <c r="GY35" i="123"/>
  <c r="GX35" i="123"/>
  <c r="GW35" i="123"/>
  <c r="GV35" i="123"/>
  <c r="GU35" i="123"/>
  <c r="GT35" i="123"/>
  <c r="GS35" i="123"/>
  <c r="GR35" i="123"/>
  <c r="GQ35" i="123"/>
  <c r="GP35" i="123"/>
  <c r="GO35" i="123"/>
  <c r="GN35" i="123"/>
  <c r="GM35" i="123"/>
  <c r="GL35" i="123"/>
  <c r="GK35" i="123"/>
  <c r="GJ35" i="123"/>
  <c r="GI35" i="123"/>
  <c r="GH35" i="123"/>
  <c r="GG35" i="123"/>
  <c r="BF35" i="123"/>
  <c r="BE35" i="123"/>
  <c r="BD35" i="123"/>
  <c r="BC35" i="123"/>
  <c r="BB35" i="123"/>
  <c r="BA35" i="123"/>
  <c r="AZ35" i="123"/>
  <c r="AY35" i="123"/>
  <c r="AX35" i="123"/>
  <c r="AW35" i="123"/>
  <c r="AV35" i="123"/>
  <c r="AU35" i="123"/>
  <c r="AT35" i="123"/>
  <c r="AS35" i="123"/>
  <c r="AR35" i="123"/>
  <c r="AQ35" i="123"/>
  <c r="AP35" i="123"/>
  <c r="AO35" i="123"/>
  <c r="AN35" i="123"/>
  <c r="AM35" i="123"/>
  <c r="AL35" i="123"/>
  <c r="AK35" i="123"/>
  <c r="AJ35" i="123"/>
  <c r="AI35" i="123"/>
  <c r="AH35" i="123"/>
  <c r="AG35" i="123"/>
  <c r="AF35" i="123"/>
  <c r="AE35" i="123"/>
  <c r="AD35" i="123"/>
  <c r="AC35" i="123"/>
  <c r="AB35" i="123"/>
  <c r="AA35" i="123"/>
  <c r="Z35" i="123"/>
  <c r="Y35" i="123"/>
  <c r="X35" i="123"/>
  <c r="W35" i="123"/>
  <c r="V35" i="123"/>
  <c r="U35" i="123"/>
  <c r="T35" i="123"/>
  <c r="S35" i="123"/>
  <c r="R35" i="123"/>
  <c r="Q35" i="123"/>
  <c r="P35" i="123"/>
  <c r="O35" i="123"/>
  <c r="N35" i="123"/>
  <c r="M35" i="123"/>
  <c r="L35" i="123"/>
  <c r="K35" i="123"/>
  <c r="J35" i="123"/>
  <c r="I35" i="123"/>
  <c r="H35" i="123"/>
  <c r="G35" i="123"/>
  <c r="F35" i="123"/>
  <c r="E35" i="123"/>
  <c r="D35" i="123"/>
  <c r="C35" i="123"/>
  <c r="BF62" i="120" l="1"/>
  <c r="BF65" i="120" s="1"/>
  <c r="BF43" i="120"/>
  <c r="BF46" i="120" s="1"/>
  <c r="BF32" i="120"/>
  <c r="BF35" i="120" s="1"/>
  <c r="BF21" i="120"/>
  <c r="F33" i="142"/>
  <c r="F5" i="142" s="1"/>
  <c r="D33" i="142"/>
  <c r="D5" i="142" s="1"/>
  <c r="D16" i="142" s="1"/>
  <c r="D17" i="142" s="1"/>
  <c r="G39" i="142"/>
  <c r="G46" i="142" s="1"/>
  <c r="G9" i="142" s="1"/>
  <c r="G16" i="142" s="1"/>
  <c r="G17" i="142" s="1"/>
  <c r="F46" i="142"/>
  <c r="F9" i="142" s="1"/>
  <c r="F16" i="142" s="1"/>
  <c r="F17" i="142" s="1"/>
  <c r="BF70" i="123"/>
  <c r="BF8" i="120" s="1"/>
  <c r="BF11" i="120" s="1"/>
  <c r="BF268" i="123"/>
  <c r="BF53" i="120" s="1"/>
  <c r="BF56" i="120" s="1"/>
  <c r="Z75" i="140" l="1"/>
  <c r="AA75" i="140"/>
  <c r="AB75" i="140"/>
  <c r="AC75" i="140"/>
  <c r="AD75" i="140"/>
  <c r="AE75" i="140"/>
  <c r="AF75" i="140"/>
  <c r="AG75" i="140"/>
  <c r="AH75" i="140"/>
  <c r="AI75" i="140"/>
  <c r="AJ75" i="140"/>
  <c r="AK75" i="140"/>
  <c r="AN75" i="140"/>
  <c r="AO75" i="140"/>
  <c r="AP75" i="140"/>
  <c r="AQ75" i="140"/>
  <c r="AR75" i="140"/>
  <c r="AS75" i="140"/>
  <c r="AT75" i="140"/>
  <c r="AU75" i="140"/>
  <c r="AV75" i="140"/>
  <c r="AW75" i="140"/>
  <c r="AX75" i="140"/>
  <c r="AY75" i="140"/>
  <c r="AZ75" i="140"/>
  <c r="BA75" i="140"/>
  <c r="BB75" i="140"/>
  <c r="BC75" i="140"/>
  <c r="BD75" i="140"/>
  <c r="BE75" i="140"/>
  <c r="BF75" i="140"/>
  <c r="E75" i="140"/>
  <c r="F75" i="140"/>
  <c r="G75" i="140"/>
  <c r="H75" i="140"/>
  <c r="I75" i="140"/>
  <c r="J75" i="140"/>
  <c r="K75" i="140"/>
  <c r="M75" i="140"/>
  <c r="N75" i="140"/>
  <c r="O75" i="140"/>
  <c r="P75" i="140"/>
  <c r="Q75" i="140"/>
  <c r="R75" i="140"/>
  <c r="T75" i="140"/>
  <c r="U75" i="140"/>
  <c r="V75" i="140"/>
  <c r="W75" i="140"/>
  <c r="Y75" i="140"/>
  <c r="D75" i="140"/>
  <c r="F53" i="140"/>
  <c r="H53" i="140"/>
  <c r="I53" i="140"/>
  <c r="J53" i="140"/>
  <c r="K53" i="140"/>
  <c r="L53" i="140"/>
  <c r="M53" i="140"/>
  <c r="N53" i="140"/>
  <c r="O53" i="140"/>
  <c r="P53" i="140"/>
  <c r="Q53" i="140"/>
  <c r="R53" i="140"/>
  <c r="S53" i="140"/>
  <c r="T53" i="140"/>
  <c r="U53" i="140"/>
  <c r="V53" i="140"/>
  <c r="W53" i="140"/>
  <c r="X53" i="140"/>
  <c r="Y53" i="140"/>
  <c r="Z53" i="140"/>
  <c r="AA53" i="140"/>
  <c r="AB53" i="140"/>
  <c r="AC53" i="140"/>
  <c r="AD53" i="140"/>
  <c r="AE53" i="140"/>
  <c r="AF53" i="140"/>
  <c r="AG53" i="140"/>
  <c r="AH53" i="140"/>
  <c r="AI53" i="140"/>
  <c r="AJ53" i="140"/>
  <c r="AK53" i="140"/>
  <c r="AL53" i="140"/>
  <c r="AM53" i="140"/>
  <c r="AN53" i="140"/>
  <c r="AO53" i="140"/>
  <c r="AP53" i="140"/>
  <c r="AQ53" i="140"/>
  <c r="AR53" i="140"/>
  <c r="AS53" i="140"/>
  <c r="AT53" i="140"/>
  <c r="AU53" i="140"/>
  <c r="AW53" i="140"/>
  <c r="AX53" i="140"/>
  <c r="AY53" i="140"/>
  <c r="AZ53" i="140"/>
  <c r="BA53" i="140"/>
  <c r="BB53" i="140"/>
  <c r="BC53" i="140"/>
  <c r="BD53" i="140"/>
  <c r="BE53" i="140"/>
  <c r="BF53" i="140"/>
  <c r="E53" i="140"/>
  <c r="D53" i="140"/>
  <c r="G32" i="140"/>
  <c r="G116" i="140" s="1"/>
  <c r="H32" i="140"/>
  <c r="H33" i="140" s="1"/>
  <c r="I32" i="140"/>
  <c r="I116" i="140" s="1"/>
  <c r="J32" i="140"/>
  <c r="J33" i="140" s="1"/>
  <c r="K32" i="140"/>
  <c r="L32" i="140"/>
  <c r="M32" i="140"/>
  <c r="N32" i="140"/>
  <c r="N33" i="140" s="1"/>
  <c r="O32" i="140"/>
  <c r="P32" i="140"/>
  <c r="P33" i="140" s="1"/>
  <c r="Q32" i="140"/>
  <c r="R32" i="140"/>
  <c r="R33" i="140" s="1"/>
  <c r="S32" i="140"/>
  <c r="T32" i="140"/>
  <c r="U32" i="140"/>
  <c r="V32" i="140"/>
  <c r="V116" i="140" s="1"/>
  <c r="W32" i="140"/>
  <c r="X32" i="140"/>
  <c r="X33" i="140" s="1"/>
  <c r="Y32" i="140"/>
  <c r="Z32" i="140"/>
  <c r="Z33" i="140" s="1"/>
  <c r="AA32" i="140"/>
  <c r="AB32" i="140"/>
  <c r="AC32" i="140"/>
  <c r="AD32" i="140"/>
  <c r="AD33" i="140" s="1"/>
  <c r="AE32" i="140"/>
  <c r="AF32" i="140"/>
  <c r="AF33" i="140" s="1"/>
  <c r="AG32" i="140"/>
  <c r="AH32" i="140"/>
  <c r="AH33" i="140" s="1"/>
  <c r="AI32" i="140"/>
  <c r="AJ32" i="140"/>
  <c r="AK32" i="140"/>
  <c r="AL32" i="140"/>
  <c r="AL33" i="140" s="1"/>
  <c r="AM32" i="140"/>
  <c r="AM116" i="140" s="1"/>
  <c r="AN32" i="140"/>
  <c r="AN33" i="140" s="1"/>
  <c r="AO32" i="140"/>
  <c r="AP32" i="140"/>
  <c r="AP33" i="140" s="1"/>
  <c r="AQ32" i="140"/>
  <c r="AR32" i="140"/>
  <c r="AR33" i="140" s="1"/>
  <c r="AS32" i="140"/>
  <c r="AT32" i="140"/>
  <c r="AT33" i="140" s="1"/>
  <c r="AU32" i="140"/>
  <c r="AV32" i="140"/>
  <c r="AV33" i="140" s="1"/>
  <c r="AW32" i="140"/>
  <c r="AX32" i="140"/>
  <c r="AX33" i="140" s="1"/>
  <c r="AY32" i="140"/>
  <c r="AZ32" i="140"/>
  <c r="AZ33" i="140" s="1"/>
  <c r="BA32" i="140"/>
  <c r="BB32" i="140"/>
  <c r="BB33" i="140" s="1"/>
  <c r="BC32" i="140"/>
  <c r="BD32" i="140"/>
  <c r="BD33" i="140" s="1"/>
  <c r="BE32" i="140"/>
  <c r="BF32" i="140"/>
  <c r="BF33" i="140" s="1"/>
  <c r="F32" i="140"/>
  <c r="F33" i="140" s="1"/>
  <c r="E32" i="140"/>
  <c r="D32" i="140"/>
  <c r="D33" i="140" s="1"/>
  <c r="E28" i="140"/>
  <c r="F28" i="140"/>
  <c r="G28" i="140"/>
  <c r="H28" i="140"/>
  <c r="I28" i="140"/>
  <c r="J28" i="140"/>
  <c r="K28" i="140"/>
  <c r="L28" i="140"/>
  <c r="M28" i="140"/>
  <c r="N28" i="140"/>
  <c r="O28" i="140"/>
  <c r="P28" i="140"/>
  <c r="Q28" i="140"/>
  <c r="R28" i="140"/>
  <c r="S28" i="140"/>
  <c r="T28" i="140"/>
  <c r="U28" i="140"/>
  <c r="V28" i="140"/>
  <c r="W28" i="140"/>
  <c r="X28" i="140"/>
  <c r="Y28" i="140"/>
  <c r="Z28" i="140"/>
  <c r="AA28" i="140"/>
  <c r="AB28" i="140"/>
  <c r="AC28" i="140"/>
  <c r="AD28" i="140"/>
  <c r="AE28" i="140"/>
  <c r="AF28" i="140"/>
  <c r="AG28" i="140"/>
  <c r="AH28" i="140"/>
  <c r="AI28" i="140"/>
  <c r="AJ28" i="140"/>
  <c r="AK28" i="140"/>
  <c r="AL28" i="140"/>
  <c r="AM28" i="140"/>
  <c r="AN28" i="140"/>
  <c r="AO28" i="140"/>
  <c r="AP28" i="140"/>
  <c r="AQ28" i="140"/>
  <c r="AR28" i="140"/>
  <c r="AS28" i="140"/>
  <c r="AT28" i="140"/>
  <c r="AU28" i="140"/>
  <c r="AV28" i="140"/>
  <c r="AW28" i="140"/>
  <c r="AX28" i="140"/>
  <c r="AY28" i="140"/>
  <c r="AZ28" i="140"/>
  <c r="BA28" i="140"/>
  <c r="BB28" i="140"/>
  <c r="BC28" i="140"/>
  <c r="BD28" i="140"/>
  <c r="BE28" i="140"/>
  <c r="BF28" i="140"/>
  <c r="E29" i="140"/>
  <c r="F29" i="140"/>
  <c r="G29" i="140"/>
  <c r="H29" i="140"/>
  <c r="I29" i="140"/>
  <c r="J29" i="140"/>
  <c r="K29" i="140"/>
  <c r="L29" i="140"/>
  <c r="M29" i="140"/>
  <c r="N29" i="140"/>
  <c r="O29" i="140"/>
  <c r="P29" i="140"/>
  <c r="Q29" i="140"/>
  <c r="R29" i="140"/>
  <c r="S29" i="140"/>
  <c r="T29" i="140"/>
  <c r="U29" i="140"/>
  <c r="V29" i="140"/>
  <c r="W29" i="140"/>
  <c r="X29" i="140"/>
  <c r="Y29" i="140"/>
  <c r="Z29" i="140"/>
  <c r="AA29" i="140"/>
  <c r="AB29" i="140"/>
  <c r="AC29" i="140"/>
  <c r="AD29" i="140"/>
  <c r="AE29" i="140"/>
  <c r="AF29" i="140"/>
  <c r="AG29" i="140"/>
  <c r="AH29" i="140"/>
  <c r="AI29" i="140"/>
  <c r="AJ29" i="140"/>
  <c r="AK29" i="140"/>
  <c r="AL29" i="140"/>
  <c r="AM29" i="140"/>
  <c r="AN29" i="140"/>
  <c r="AO29" i="140"/>
  <c r="AP29" i="140"/>
  <c r="AQ29" i="140"/>
  <c r="AR29" i="140"/>
  <c r="AS29" i="140"/>
  <c r="AT29" i="140"/>
  <c r="AU29" i="140"/>
  <c r="AV29" i="140"/>
  <c r="AW29" i="140"/>
  <c r="AX29" i="140"/>
  <c r="AY29" i="140"/>
  <c r="AZ29" i="140"/>
  <c r="BA29" i="140"/>
  <c r="BB29" i="140"/>
  <c r="BC29" i="140"/>
  <c r="BD29" i="140"/>
  <c r="BE29" i="140"/>
  <c r="BF29" i="140"/>
  <c r="D29" i="140"/>
  <c r="D28" i="140"/>
  <c r="E25" i="140"/>
  <c r="F25" i="140"/>
  <c r="G25" i="140"/>
  <c r="H25" i="140"/>
  <c r="I25" i="140"/>
  <c r="J25" i="140"/>
  <c r="K25" i="140"/>
  <c r="L25" i="140"/>
  <c r="M25" i="140"/>
  <c r="N25" i="140"/>
  <c r="O25" i="140"/>
  <c r="P25" i="140"/>
  <c r="Q25" i="140"/>
  <c r="R25" i="140"/>
  <c r="S25" i="140"/>
  <c r="T25" i="140"/>
  <c r="U25" i="140"/>
  <c r="V25" i="140"/>
  <c r="W25" i="140"/>
  <c r="X25" i="140"/>
  <c r="Y25" i="140"/>
  <c r="Z25" i="140"/>
  <c r="AA25" i="140"/>
  <c r="AB25" i="140"/>
  <c r="AC25" i="140"/>
  <c r="AD25" i="140"/>
  <c r="AE25" i="140"/>
  <c r="AF25" i="140"/>
  <c r="AG25" i="140"/>
  <c r="AH25" i="140"/>
  <c r="AI25" i="140"/>
  <c r="AJ25" i="140"/>
  <c r="AK25" i="140"/>
  <c r="AL25" i="140"/>
  <c r="AM25" i="140"/>
  <c r="AN25" i="140"/>
  <c r="AO25" i="140"/>
  <c r="AP25" i="140"/>
  <c r="AQ25" i="140"/>
  <c r="AR25" i="140"/>
  <c r="AS25" i="140"/>
  <c r="AT25" i="140"/>
  <c r="AU25" i="140"/>
  <c r="AV25" i="140"/>
  <c r="AW25" i="140"/>
  <c r="AX25" i="140"/>
  <c r="AY25" i="140"/>
  <c r="AZ25" i="140"/>
  <c r="BA25" i="140"/>
  <c r="BB25" i="140"/>
  <c r="BC25" i="140"/>
  <c r="BD25" i="140"/>
  <c r="BE25" i="140"/>
  <c r="BF25" i="140"/>
  <c r="E26" i="140"/>
  <c r="F26" i="140"/>
  <c r="G26" i="140"/>
  <c r="H26" i="140"/>
  <c r="I26" i="140"/>
  <c r="J26" i="140"/>
  <c r="K26" i="140"/>
  <c r="L26" i="140"/>
  <c r="M26" i="140"/>
  <c r="N26" i="140"/>
  <c r="O26" i="140"/>
  <c r="P26" i="140"/>
  <c r="Q26" i="140"/>
  <c r="R26" i="140"/>
  <c r="S26" i="140"/>
  <c r="T26" i="140"/>
  <c r="U26" i="140"/>
  <c r="V26" i="140"/>
  <c r="W26" i="140"/>
  <c r="X26" i="140"/>
  <c r="Y26" i="140"/>
  <c r="Z26" i="140"/>
  <c r="AA26" i="140"/>
  <c r="AB26" i="140"/>
  <c r="AC26" i="140"/>
  <c r="AD26" i="140"/>
  <c r="AE26" i="140"/>
  <c r="AF26" i="140"/>
  <c r="AG26" i="140"/>
  <c r="AH26" i="140"/>
  <c r="AI26" i="140"/>
  <c r="AJ26" i="140"/>
  <c r="AK26" i="140"/>
  <c r="AL26" i="140"/>
  <c r="AM26" i="140"/>
  <c r="AN26" i="140"/>
  <c r="AO26" i="140"/>
  <c r="AP26" i="140"/>
  <c r="AQ26" i="140"/>
  <c r="AR26" i="140"/>
  <c r="AS26" i="140"/>
  <c r="AT26" i="140"/>
  <c r="AU26" i="140"/>
  <c r="AV26" i="140"/>
  <c r="AW26" i="140"/>
  <c r="AX26" i="140"/>
  <c r="AY26" i="140"/>
  <c r="AZ26" i="140"/>
  <c r="BA26" i="140"/>
  <c r="BB26" i="140"/>
  <c r="BC26" i="140"/>
  <c r="BD26" i="140"/>
  <c r="BE26" i="140"/>
  <c r="BF26" i="140"/>
  <c r="D26" i="140"/>
  <c r="D25" i="140"/>
  <c r="E21" i="140"/>
  <c r="F21" i="140"/>
  <c r="G21" i="140"/>
  <c r="H21" i="140"/>
  <c r="I21" i="140"/>
  <c r="J21" i="140"/>
  <c r="K21" i="140"/>
  <c r="L21" i="140"/>
  <c r="M21" i="140"/>
  <c r="N21" i="140"/>
  <c r="O21" i="140"/>
  <c r="P21" i="140"/>
  <c r="Q21" i="140"/>
  <c r="R21" i="140"/>
  <c r="S21" i="140"/>
  <c r="T21" i="140"/>
  <c r="U21" i="140"/>
  <c r="V21" i="140"/>
  <c r="W21" i="140"/>
  <c r="X21" i="140"/>
  <c r="Y21" i="140"/>
  <c r="Z21" i="140"/>
  <c r="AA21" i="140"/>
  <c r="AB21" i="140"/>
  <c r="AC21" i="140"/>
  <c r="AD21" i="140"/>
  <c r="AE21" i="140"/>
  <c r="AF21" i="140"/>
  <c r="AG21" i="140"/>
  <c r="AH21" i="140"/>
  <c r="AI21" i="140"/>
  <c r="AJ21" i="140"/>
  <c r="AK21" i="140"/>
  <c r="AL21" i="140"/>
  <c r="AM21" i="140"/>
  <c r="AN21" i="140"/>
  <c r="AO21" i="140"/>
  <c r="AP21" i="140"/>
  <c r="AQ21" i="140"/>
  <c r="AR21" i="140"/>
  <c r="AS21" i="140"/>
  <c r="AT21" i="140"/>
  <c r="AU21" i="140"/>
  <c r="AV21" i="140"/>
  <c r="AW21" i="140"/>
  <c r="AX21" i="140"/>
  <c r="AY21" i="140"/>
  <c r="AZ21" i="140"/>
  <c r="BA21" i="140"/>
  <c r="BB21" i="140"/>
  <c r="BC21" i="140"/>
  <c r="BD21" i="140"/>
  <c r="BE21" i="140"/>
  <c r="BF21" i="140"/>
  <c r="E22" i="140"/>
  <c r="F22" i="140"/>
  <c r="G22" i="140"/>
  <c r="H22" i="140"/>
  <c r="I22" i="140"/>
  <c r="J22" i="140"/>
  <c r="K22" i="140"/>
  <c r="L22" i="140"/>
  <c r="M22" i="140"/>
  <c r="N22" i="140"/>
  <c r="O22" i="140"/>
  <c r="P22" i="140"/>
  <c r="Q22" i="140"/>
  <c r="R22" i="140"/>
  <c r="S22" i="140"/>
  <c r="T22" i="140"/>
  <c r="U22" i="140"/>
  <c r="V22" i="140"/>
  <c r="W22" i="140"/>
  <c r="X22" i="140"/>
  <c r="Y22" i="140"/>
  <c r="Z22" i="140"/>
  <c r="AA22" i="140"/>
  <c r="AB22" i="140"/>
  <c r="AC22" i="140"/>
  <c r="AD22" i="140"/>
  <c r="AE22" i="140"/>
  <c r="AF22" i="140"/>
  <c r="AG22" i="140"/>
  <c r="AH22" i="140"/>
  <c r="AI22" i="140"/>
  <c r="AJ22" i="140"/>
  <c r="AK22" i="140"/>
  <c r="AL22" i="140"/>
  <c r="AM22" i="140"/>
  <c r="AN22" i="140"/>
  <c r="AO22" i="140"/>
  <c r="AP22" i="140"/>
  <c r="AQ22" i="140"/>
  <c r="AR22" i="140"/>
  <c r="AS22" i="140"/>
  <c r="AT22" i="140"/>
  <c r="AU22" i="140"/>
  <c r="AV22" i="140"/>
  <c r="AW22" i="140"/>
  <c r="AX22" i="140"/>
  <c r="AY22" i="140"/>
  <c r="AZ22" i="140"/>
  <c r="BA22" i="140"/>
  <c r="BB22" i="140"/>
  <c r="BC22" i="140"/>
  <c r="BD22" i="140"/>
  <c r="BE22" i="140"/>
  <c r="BF22" i="140"/>
  <c r="E23" i="140"/>
  <c r="F23" i="140"/>
  <c r="G23" i="140"/>
  <c r="H23" i="140"/>
  <c r="I23" i="140"/>
  <c r="J23" i="140"/>
  <c r="K23" i="140"/>
  <c r="L23" i="140"/>
  <c r="M23" i="140"/>
  <c r="N23" i="140"/>
  <c r="O23" i="140"/>
  <c r="P23" i="140"/>
  <c r="Q23" i="140"/>
  <c r="R23" i="140"/>
  <c r="S23" i="140"/>
  <c r="T23" i="140"/>
  <c r="U23" i="140"/>
  <c r="V23" i="140"/>
  <c r="W23" i="140"/>
  <c r="X23" i="140"/>
  <c r="Y23" i="140"/>
  <c r="Z23" i="140"/>
  <c r="AA23" i="140"/>
  <c r="AB23" i="140"/>
  <c r="AC23" i="140"/>
  <c r="AD23" i="140"/>
  <c r="AE23" i="140"/>
  <c r="AF23" i="140"/>
  <c r="AG23" i="140"/>
  <c r="AH23" i="140"/>
  <c r="AI23" i="140"/>
  <c r="AJ23" i="140"/>
  <c r="AK23" i="140"/>
  <c r="AL23" i="140"/>
  <c r="AM23" i="140"/>
  <c r="AN23" i="140"/>
  <c r="AO23" i="140"/>
  <c r="AP23" i="140"/>
  <c r="AQ23" i="140"/>
  <c r="AR23" i="140"/>
  <c r="AS23" i="140"/>
  <c r="AT23" i="140"/>
  <c r="AU23" i="140"/>
  <c r="AV23" i="140"/>
  <c r="AW23" i="140"/>
  <c r="AX23" i="140"/>
  <c r="AY23" i="140"/>
  <c r="AZ23" i="140"/>
  <c r="BA23" i="140"/>
  <c r="BB23" i="140"/>
  <c r="BC23" i="140"/>
  <c r="BD23" i="140"/>
  <c r="BE23" i="140"/>
  <c r="BF23" i="140"/>
  <c r="E24" i="140"/>
  <c r="F24" i="140"/>
  <c r="G24" i="140"/>
  <c r="H24" i="140"/>
  <c r="I24" i="140"/>
  <c r="J24" i="140"/>
  <c r="K24" i="140"/>
  <c r="L24" i="140"/>
  <c r="M24" i="140"/>
  <c r="N24" i="140"/>
  <c r="O24" i="140"/>
  <c r="P24" i="140"/>
  <c r="Q24" i="140"/>
  <c r="R24" i="140"/>
  <c r="S24" i="140"/>
  <c r="T24" i="140"/>
  <c r="U24" i="140"/>
  <c r="V24" i="140"/>
  <c r="W24" i="140"/>
  <c r="X24" i="140"/>
  <c r="Y24" i="140"/>
  <c r="Z24" i="140"/>
  <c r="AA24" i="140"/>
  <c r="AB24" i="140"/>
  <c r="AC24" i="140"/>
  <c r="AD24" i="140"/>
  <c r="AE24" i="140"/>
  <c r="AF24" i="140"/>
  <c r="AG24" i="140"/>
  <c r="AH24" i="140"/>
  <c r="AI24" i="140"/>
  <c r="AJ24" i="140"/>
  <c r="AK24" i="140"/>
  <c r="AL24" i="140"/>
  <c r="AM24" i="140"/>
  <c r="AN24" i="140"/>
  <c r="AO24" i="140"/>
  <c r="AP24" i="140"/>
  <c r="AQ24" i="140"/>
  <c r="AR24" i="140"/>
  <c r="AS24" i="140"/>
  <c r="AT24" i="140"/>
  <c r="AU24" i="140"/>
  <c r="AV24" i="140"/>
  <c r="AW24" i="140"/>
  <c r="AX24" i="140"/>
  <c r="AY24" i="140"/>
  <c r="AZ24" i="140"/>
  <c r="BA24" i="140"/>
  <c r="BB24" i="140"/>
  <c r="BC24" i="140"/>
  <c r="BD24" i="140"/>
  <c r="BE24" i="140"/>
  <c r="BF24" i="140"/>
  <c r="D24" i="140"/>
  <c r="D23" i="140"/>
  <c r="D22" i="140"/>
  <c r="D21" i="140"/>
  <c r="E20" i="140"/>
  <c r="F20" i="140"/>
  <c r="G20" i="140"/>
  <c r="H20" i="140"/>
  <c r="I20" i="140"/>
  <c r="J20" i="140"/>
  <c r="K20" i="140"/>
  <c r="L20" i="140"/>
  <c r="M20" i="140"/>
  <c r="N20" i="140"/>
  <c r="O20" i="140"/>
  <c r="P20" i="140"/>
  <c r="Q20" i="140"/>
  <c r="R20" i="140"/>
  <c r="S20" i="140"/>
  <c r="T20" i="140"/>
  <c r="U20" i="140"/>
  <c r="V20" i="140"/>
  <c r="W20" i="140"/>
  <c r="X20" i="140"/>
  <c r="Y20" i="140"/>
  <c r="Z20" i="140"/>
  <c r="AA20" i="140"/>
  <c r="AB20" i="140"/>
  <c r="AC20" i="140"/>
  <c r="AD20" i="140"/>
  <c r="AE20" i="140"/>
  <c r="AF20" i="140"/>
  <c r="AG20" i="140"/>
  <c r="AH20" i="140"/>
  <c r="AI20" i="140"/>
  <c r="AJ20" i="140"/>
  <c r="AK20" i="140"/>
  <c r="AL20" i="140"/>
  <c r="AM20" i="140"/>
  <c r="AN20" i="140"/>
  <c r="AO20" i="140"/>
  <c r="AP20" i="140"/>
  <c r="AQ20" i="140"/>
  <c r="AR20" i="140"/>
  <c r="AS20" i="140"/>
  <c r="AT20" i="140"/>
  <c r="AU20" i="140"/>
  <c r="AV20" i="140"/>
  <c r="AW20" i="140"/>
  <c r="AX20" i="140"/>
  <c r="AY20" i="140"/>
  <c r="AZ20" i="140"/>
  <c r="BA20" i="140"/>
  <c r="BB20" i="140"/>
  <c r="BC20" i="140"/>
  <c r="BD20" i="140"/>
  <c r="BE20" i="140"/>
  <c r="BF20" i="140"/>
  <c r="D20" i="140"/>
  <c r="E17" i="140"/>
  <c r="F17" i="140"/>
  <c r="G17" i="140"/>
  <c r="H17" i="140"/>
  <c r="I17" i="140"/>
  <c r="J17" i="140"/>
  <c r="K17" i="140"/>
  <c r="L17" i="140"/>
  <c r="M17" i="140"/>
  <c r="N17" i="140"/>
  <c r="O17" i="140"/>
  <c r="P17" i="140"/>
  <c r="Q17" i="140"/>
  <c r="R17" i="140"/>
  <c r="S17" i="140"/>
  <c r="T17" i="140"/>
  <c r="U17" i="140"/>
  <c r="V17" i="140"/>
  <c r="W17" i="140"/>
  <c r="X17" i="140"/>
  <c r="Y17" i="140"/>
  <c r="Z17" i="140"/>
  <c r="AA17" i="140"/>
  <c r="AB17" i="140"/>
  <c r="AC17" i="140"/>
  <c r="AD17" i="140"/>
  <c r="AE17" i="140"/>
  <c r="AF17" i="140"/>
  <c r="AG17" i="140"/>
  <c r="AH17" i="140"/>
  <c r="AI17" i="140"/>
  <c r="AJ17" i="140"/>
  <c r="AK17" i="140"/>
  <c r="AL17" i="140"/>
  <c r="AM17" i="140"/>
  <c r="AN17" i="140"/>
  <c r="AO17" i="140"/>
  <c r="AP17" i="140"/>
  <c r="AQ17" i="140"/>
  <c r="AR17" i="140"/>
  <c r="AS17" i="140"/>
  <c r="AT17" i="140"/>
  <c r="AU17" i="140"/>
  <c r="AV17" i="140"/>
  <c r="AW17" i="140"/>
  <c r="AX17" i="140"/>
  <c r="AY17" i="140"/>
  <c r="AZ17" i="140"/>
  <c r="BA17" i="140"/>
  <c r="BB17" i="140"/>
  <c r="BC17" i="140"/>
  <c r="BD17" i="140"/>
  <c r="BE17" i="140"/>
  <c r="BF17" i="140"/>
  <c r="E18" i="140"/>
  <c r="F18" i="140"/>
  <c r="G18" i="140"/>
  <c r="H18" i="140"/>
  <c r="I18" i="140"/>
  <c r="J18" i="140"/>
  <c r="K18" i="140"/>
  <c r="L18" i="140"/>
  <c r="M18" i="140"/>
  <c r="N18" i="140"/>
  <c r="O18" i="140"/>
  <c r="P18" i="140"/>
  <c r="Q18" i="140"/>
  <c r="R18" i="140"/>
  <c r="S18" i="140"/>
  <c r="T18" i="140"/>
  <c r="U18" i="140"/>
  <c r="V18" i="140"/>
  <c r="W18" i="140"/>
  <c r="X18" i="140"/>
  <c r="Y18" i="140"/>
  <c r="Z18" i="140"/>
  <c r="AA18" i="140"/>
  <c r="AB18" i="140"/>
  <c r="AC18" i="140"/>
  <c r="AD18" i="140"/>
  <c r="AE18" i="140"/>
  <c r="AF18" i="140"/>
  <c r="AG18" i="140"/>
  <c r="AH18" i="140"/>
  <c r="AI18" i="140"/>
  <c r="AJ18" i="140"/>
  <c r="AK18" i="140"/>
  <c r="AL18" i="140"/>
  <c r="AM18" i="140"/>
  <c r="AN18" i="140"/>
  <c r="AO18" i="140"/>
  <c r="AP18" i="140"/>
  <c r="AQ18" i="140"/>
  <c r="AR18" i="140"/>
  <c r="AS18" i="140"/>
  <c r="AT18" i="140"/>
  <c r="AU18" i="140"/>
  <c r="AV18" i="140"/>
  <c r="AW18" i="140"/>
  <c r="AX18" i="140"/>
  <c r="AY18" i="140"/>
  <c r="AZ18" i="140"/>
  <c r="BA18" i="140"/>
  <c r="BB18" i="140"/>
  <c r="BC18" i="140"/>
  <c r="BD18" i="140"/>
  <c r="BE18" i="140"/>
  <c r="BF18" i="140"/>
  <c r="E19" i="140"/>
  <c r="F19" i="140"/>
  <c r="G19" i="140"/>
  <c r="H19" i="140"/>
  <c r="I19" i="140"/>
  <c r="J19" i="140"/>
  <c r="K19" i="140"/>
  <c r="L19" i="140"/>
  <c r="M19" i="140"/>
  <c r="N19" i="140"/>
  <c r="O19" i="140"/>
  <c r="P19" i="140"/>
  <c r="Q19" i="140"/>
  <c r="R19" i="140"/>
  <c r="S19" i="140"/>
  <c r="T19" i="140"/>
  <c r="U19" i="140"/>
  <c r="V19" i="140"/>
  <c r="W19" i="140"/>
  <c r="X19" i="140"/>
  <c r="Y19" i="140"/>
  <c r="Z19" i="140"/>
  <c r="AA19" i="140"/>
  <c r="AB19" i="140"/>
  <c r="AC19" i="140"/>
  <c r="AD19" i="140"/>
  <c r="AE19" i="140"/>
  <c r="AF19" i="140"/>
  <c r="AG19" i="140"/>
  <c r="AH19" i="140"/>
  <c r="AI19" i="140"/>
  <c r="AJ19" i="140"/>
  <c r="AK19" i="140"/>
  <c r="AL19" i="140"/>
  <c r="AM19" i="140"/>
  <c r="AN19" i="140"/>
  <c r="AO19" i="140"/>
  <c r="AP19" i="140"/>
  <c r="AQ19" i="140"/>
  <c r="AR19" i="140"/>
  <c r="AS19" i="140"/>
  <c r="AT19" i="140"/>
  <c r="AU19" i="140"/>
  <c r="AV19" i="140"/>
  <c r="AW19" i="140"/>
  <c r="AX19" i="140"/>
  <c r="AY19" i="140"/>
  <c r="AZ19" i="140"/>
  <c r="BA19" i="140"/>
  <c r="BB19" i="140"/>
  <c r="BC19" i="140"/>
  <c r="BD19" i="140"/>
  <c r="BE19" i="140"/>
  <c r="BF19" i="140"/>
  <c r="D19" i="140"/>
  <c r="D18" i="140"/>
  <c r="D17" i="140"/>
  <c r="E13" i="140"/>
  <c r="F13" i="140"/>
  <c r="G13" i="140"/>
  <c r="H13" i="140"/>
  <c r="I13" i="140"/>
  <c r="J13" i="140"/>
  <c r="K13" i="140"/>
  <c r="L13" i="140"/>
  <c r="M13" i="140"/>
  <c r="N13" i="140"/>
  <c r="O13" i="140"/>
  <c r="P13" i="140"/>
  <c r="Q13" i="140"/>
  <c r="R13" i="140"/>
  <c r="S13" i="140"/>
  <c r="T13" i="140"/>
  <c r="U13" i="140"/>
  <c r="V13" i="140"/>
  <c r="W13" i="140"/>
  <c r="X13" i="140"/>
  <c r="Y13" i="140"/>
  <c r="Z13" i="140"/>
  <c r="AA13" i="140"/>
  <c r="AB13" i="140"/>
  <c r="AC13" i="140"/>
  <c r="AD13" i="140"/>
  <c r="AE13" i="140"/>
  <c r="AF13" i="140"/>
  <c r="AG13" i="140"/>
  <c r="AH13" i="140"/>
  <c r="AI13" i="140"/>
  <c r="AJ13" i="140"/>
  <c r="AK13" i="140"/>
  <c r="AL13" i="140"/>
  <c r="AM13" i="140"/>
  <c r="AN13" i="140"/>
  <c r="AO13" i="140"/>
  <c r="AP13" i="140"/>
  <c r="AQ13" i="140"/>
  <c r="AR13" i="140"/>
  <c r="AS13" i="140"/>
  <c r="AT13" i="140"/>
  <c r="AU13" i="140"/>
  <c r="AV13" i="140"/>
  <c r="AW13" i="140"/>
  <c r="AX13" i="140"/>
  <c r="AY13" i="140"/>
  <c r="AZ13" i="140"/>
  <c r="BA13" i="140"/>
  <c r="BB13" i="140"/>
  <c r="BC13" i="140"/>
  <c r="BD13" i="140"/>
  <c r="BE13" i="140"/>
  <c r="BF13" i="140"/>
  <c r="E14" i="140"/>
  <c r="F14" i="140"/>
  <c r="G14" i="140"/>
  <c r="H14" i="140"/>
  <c r="I14" i="140"/>
  <c r="J14" i="140"/>
  <c r="K14" i="140"/>
  <c r="L14" i="140"/>
  <c r="M14" i="140"/>
  <c r="N14" i="140"/>
  <c r="O14" i="140"/>
  <c r="P14" i="140"/>
  <c r="Q14" i="140"/>
  <c r="R14" i="140"/>
  <c r="S14" i="140"/>
  <c r="T14" i="140"/>
  <c r="U14" i="140"/>
  <c r="V14" i="140"/>
  <c r="W14" i="140"/>
  <c r="X14" i="140"/>
  <c r="Y14" i="140"/>
  <c r="Z14" i="140"/>
  <c r="AA14" i="140"/>
  <c r="AB14" i="140"/>
  <c r="AC14" i="140"/>
  <c r="AD14" i="140"/>
  <c r="AE14" i="140"/>
  <c r="AF14" i="140"/>
  <c r="AG14" i="140"/>
  <c r="AH14" i="140"/>
  <c r="AI14" i="140"/>
  <c r="AJ14" i="140"/>
  <c r="AK14" i="140"/>
  <c r="AL14" i="140"/>
  <c r="AM14" i="140"/>
  <c r="AN14" i="140"/>
  <c r="AO14" i="140"/>
  <c r="AP14" i="140"/>
  <c r="AQ14" i="140"/>
  <c r="AR14" i="140"/>
  <c r="AS14" i="140"/>
  <c r="AT14" i="140"/>
  <c r="AU14" i="140"/>
  <c r="AV14" i="140"/>
  <c r="AW14" i="140"/>
  <c r="AX14" i="140"/>
  <c r="AY14" i="140"/>
  <c r="AZ14" i="140"/>
  <c r="BA14" i="140"/>
  <c r="BB14" i="140"/>
  <c r="BC14" i="140"/>
  <c r="BD14" i="140"/>
  <c r="BE14" i="140"/>
  <c r="BF14" i="140"/>
  <c r="E15" i="140"/>
  <c r="F15" i="140"/>
  <c r="G15" i="140"/>
  <c r="H15" i="140"/>
  <c r="I15" i="140"/>
  <c r="J15" i="140"/>
  <c r="K15" i="140"/>
  <c r="L15" i="140"/>
  <c r="M15" i="140"/>
  <c r="N15" i="140"/>
  <c r="O15" i="140"/>
  <c r="P15" i="140"/>
  <c r="Q15" i="140"/>
  <c r="R15" i="140"/>
  <c r="S15" i="140"/>
  <c r="T15" i="140"/>
  <c r="U15" i="140"/>
  <c r="V15" i="140"/>
  <c r="W15" i="140"/>
  <c r="X15" i="140"/>
  <c r="Y15" i="140"/>
  <c r="Z15" i="140"/>
  <c r="AA15" i="140"/>
  <c r="AB15" i="140"/>
  <c r="AC15" i="140"/>
  <c r="AD15" i="140"/>
  <c r="AE15" i="140"/>
  <c r="AF15" i="140"/>
  <c r="AG15" i="140"/>
  <c r="AH15" i="140"/>
  <c r="AI15" i="140"/>
  <c r="AJ15" i="140"/>
  <c r="AK15" i="140"/>
  <c r="AL15" i="140"/>
  <c r="AM15" i="140"/>
  <c r="AN15" i="140"/>
  <c r="AO15" i="140"/>
  <c r="AP15" i="140"/>
  <c r="AQ15" i="140"/>
  <c r="AR15" i="140"/>
  <c r="AS15" i="140"/>
  <c r="AT15" i="140"/>
  <c r="AU15" i="140"/>
  <c r="AV15" i="140"/>
  <c r="AW15" i="140"/>
  <c r="AX15" i="140"/>
  <c r="AY15" i="140"/>
  <c r="AZ15" i="140"/>
  <c r="BA15" i="140"/>
  <c r="BB15" i="140"/>
  <c r="BC15" i="140"/>
  <c r="BD15" i="140"/>
  <c r="BE15" i="140"/>
  <c r="BF15" i="140"/>
  <c r="E16" i="140"/>
  <c r="F16" i="140"/>
  <c r="G16" i="140"/>
  <c r="H16" i="140"/>
  <c r="I16" i="140"/>
  <c r="J16" i="140"/>
  <c r="K16" i="140"/>
  <c r="L16" i="140"/>
  <c r="M16" i="140"/>
  <c r="N16" i="140"/>
  <c r="O16" i="140"/>
  <c r="P16" i="140"/>
  <c r="Q16" i="140"/>
  <c r="R16" i="140"/>
  <c r="S16" i="140"/>
  <c r="T16" i="140"/>
  <c r="U16" i="140"/>
  <c r="V16" i="140"/>
  <c r="W16" i="140"/>
  <c r="X16" i="140"/>
  <c r="Y16" i="140"/>
  <c r="Z16" i="140"/>
  <c r="AA16" i="140"/>
  <c r="AB16" i="140"/>
  <c r="AC16" i="140"/>
  <c r="AD16" i="140"/>
  <c r="AE16" i="140"/>
  <c r="AF16" i="140"/>
  <c r="AG16" i="140"/>
  <c r="AH16" i="140"/>
  <c r="AI16" i="140"/>
  <c r="AJ16" i="140"/>
  <c r="AK16" i="140"/>
  <c r="AL16" i="140"/>
  <c r="AM16" i="140"/>
  <c r="AN16" i="140"/>
  <c r="AO16" i="140"/>
  <c r="AP16" i="140"/>
  <c r="AQ16" i="140"/>
  <c r="AR16" i="140"/>
  <c r="AS16" i="140"/>
  <c r="AT16" i="140"/>
  <c r="AU16" i="140"/>
  <c r="AV16" i="140"/>
  <c r="AW16" i="140"/>
  <c r="AX16" i="140"/>
  <c r="AY16" i="140"/>
  <c r="AZ16" i="140"/>
  <c r="BA16" i="140"/>
  <c r="BB16" i="140"/>
  <c r="BC16" i="140"/>
  <c r="BD16" i="140"/>
  <c r="BE16" i="140"/>
  <c r="BF16" i="140"/>
  <c r="D15" i="140"/>
  <c r="D14" i="140"/>
  <c r="D13" i="140"/>
  <c r="E10" i="140"/>
  <c r="F10" i="140"/>
  <c r="G10" i="140"/>
  <c r="H10" i="140"/>
  <c r="I10" i="140"/>
  <c r="J10" i="140"/>
  <c r="K10" i="140"/>
  <c r="L10" i="140"/>
  <c r="M10" i="140"/>
  <c r="N10" i="140"/>
  <c r="O10" i="140"/>
  <c r="P10" i="140"/>
  <c r="Q10" i="140"/>
  <c r="R10" i="140"/>
  <c r="S10" i="140"/>
  <c r="T10" i="140"/>
  <c r="U10" i="140"/>
  <c r="V10" i="140"/>
  <c r="W10" i="140"/>
  <c r="X10" i="140"/>
  <c r="Y10" i="140"/>
  <c r="Z10" i="140"/>
  <c r="AA10" i="140"/>
  <c r="AB10" i="140"/>
  <c r="AC10" i="140"/>
  <c r="AD10" i="140"/>
  <c r="AE10" i="140"/>
  <c r="AF10" i="140"/>
  <c r="AG10" i="140"/>
  <c r="AH10" i="140"/>
  <c r="AI10" i="140"/>
  <c r="AJ10" i="140"/>
  <c r="AK10" i="140"/>
  <c r="AL10" i="140"/>
  <c r="AM10" i="140"/>
  <c r="AN10" i="140"/>
  <c r="AO10" i="140"/>
  <c r="AP10" i="140"/>
  <c r="AQ10" i="140"/>
  <c r="AR10" i="140"/>
  <c r="AS10" i="140"/>
  <c r="AT10" i="140"/>
  <c r="AU10" i="140"/>
  <c r="AV10" i="140"/>
  <c r="AW10" i="140"/>
  <c r="AX10" i="140"/>
  <c r="AY10" i="140"/>
  <c r="AZ10" i="140"/>
  <c r="BA10" i="140"/>
  <c r="BB10" i="140"/>
  <c r="BC10" i="140"/>
  <c r="BD10" i="140"/>
  <c r="BE10" i="140"/>
  <c r="BF10" i="140"/>
  <c r="D10" i="140"/>
  <c r="AM124" i="140"/>
  <c r="V124" i="140"/>
  <c r="I124" i="140"/>
  <c r="G124" i="140"/>
  <c r="BF120" i="140"/>
  <c r="BE120" i="140"/>
  <c r="BD120" i="140"/>
  <c r="BC120" i="140"/>
  <c r="BB120" i="140"/>
  <c r="BA120" i="140"/>
  <c r="AZ120" i="140"/>
  <c r="AY120" i="140"/>
  <c r="AX120" i="140"/>
  <c r="AW120" i="140"/>
  <c r="AV120" i="140"/>
  <c r="AU120" i="140"/>
  <c r="AT120" i="140"/>
  <c r="AS120" i="140"/>
  <c r="AR120" i="140"/>
  <c r="AQ120" i="140"/>
  <c r="AP120" i="140"/>
  <c r="AO120" i="140"/>
  <c r="AN120" i="140"/>
  <c r="AM120" i="140"/>
  <c r="AL120" i="140"/>
  <c r="AK120" i="140"/>
  <c r="AJ120" i="140"/>
  <c r="AI120" i="140"/>
  <c r="AH120" i="140"/>
  <c r="AG120" i="140"/>
  <c r="AF120" i="140"/>
  <c r="AE120" i="140"/>
  <c r="AD120" i="140"/>
  <c r="AC120" i="140"/>
  <c r="AB120" i="140"/>
  <c r="AA120" i="140"/>
  <c r="Z120" i="140"/>
  <c r="Y120" i="140"/>
  <c r="X120" i="140"/>
  <c r="W120" i="140"/>
  <c r="V120" i="140"/>
  <c r="U120" i="140"/>
  <c r="T120" i="140"/>
  <c r="S120" i="140"/>
  <c r="R120" i="140"/>
  <c r="Q120" i="140"/>
  <c r="P120" i="140"/>
  <c r="O120" i="140"/>
  <c r="N120" i="140"/>
  <c r="M120" i="140"/>
  <c r="L120" i="140"/>
  <c r="K120" i="140"/>
  <c r="J120" i="140"/>
  <c r="I120" i="140"/>
  <c r="H120" i="140"/>
  <c r="G120" i="140"/>
  <c r="F120" i="140"/>
  <c r="E120" i="140"/>
  <c r="D120" i="140"/>
  <c r="BF119" i="140"/>
  <c r="BE119" i="140"/>
  <c r="BD119" i="140"/>
  <c r="BC119" i="140"/>
  <c r="BB119" i="140"/>
  <c r="BA119" i="140"/>
  <c r="AZ119" i="140"/>
  <c r="AY119" i="140"/>
  <c r="AX119" i="140"/>
  <c r="AW119" i="140"/>
  <c r="AV119" i="140"/>
  <c r="AU119" i="140"/>
  <c r="AT119" i="140"/>
  <c r="AS119" i="140"/>
  <c r="AR119" i="140"/>
  <c r="AQ119" i="140"/>
  <c r="AP119" i="140"/>
  <c r="AO119" i="140"/>
  <c r="AN119" i="140"/>
  <c r="AM119" i="140"/>
  <c r="AL119" i="140"/>
  <c r="AK119" i="140"/>
  <c r="AJ119" i="140"/>
  <c r="AI119" i="140"/>
  <c r="AH119" i="140"/>
  <c r="AG119" i="140"/>
  <c r="AF119" i="140"/>
  <c r="AE119" i="140"/>
  <c r="AD119" i="140"/>
  <c r="AC119" i="140"/>
  <c r="AB119" i="140"/>
  <c r="AA119" i="140"/>
  <c r="Z119" i="140"/>
  <c r="Y119" i="140"/>
  <c r="X119" i="140"/>
  <c r="W119" i="140"/>
  <c r="V119" i="140"/>
  <c r="U119" i="140"/>
  <c r="T119" i="140"/>
  <c r="S119" i="140"/>
  <c r="R119" i="140"/>
  <c r="Q119" i="140"/>
  <c r="P119" i="140"/>
  <c r="O119" i="140"/>
  <c r="N119" i="140"/>
  <c r="M119" i="140"/>
  <c r="L119" i="140"/>
  <c r="K119" i="140"/>
  <c r="J119" i="140"/>
  <c r="I119" i="140"/>
  <c r="H119" i="140"/>
  <c r="G119" i="140"/>
  <c r="F119" i="140"/>
  <c r="E119" i="140"/>
  <c r="D119" i="140"/>
  <c r="BF118" i="140"/>
  <c r="BE118" i="140"/>
  <c r="BD118" i="140"/>
  <c r="BC118" i="140"/>
  <c r="BB118" i="140"/>
  <c r="BA118" i="140"/>
  <c r="AZ118" i="140"/>
  <c r="AY118" i="140"/>
  <c r="AX118" i="140"/>
  <c r="AW118" i="140"/>
  <c r="AV118" i="140"/>
  <c r="AU118" i="140"/>
  <c r="AT118" i="140"/>
  <c r="AS118" i="140"/>
  <c r="AR118" i="140"/>
  <c r="AQ118" i="140"/>
  <c r="AP118" i="140"/>
  <c r="AO118" i="140"/>
  <c r="AN118" i="140"/>
  <c r="AM118" i="140"/>
  <c r="AL118" i="140"/>
  <c r="AK118" i="140"/>
  <c r="AJ118" i="140"/>
  <c r="AI118" i="140"/>
  <c r="AH118" i="140"/>
  <c r="AG118" i="140"/>
  <c r="AF118" i="140"/>
  <c r="AE118" i="140"/>
  <c r="AD118" i="140"/>
  <c r="AC118" i="140"/>
  <c r="AB118" i="140"/>
  <c r="AA118" i="140"/>
  <c r="Z118" i="140"/>
  <c r="Y118" i="140"/>
  <c r="X118" i="140"/>
  <c r="W118" i="140"/>
  <c r="V118" i="140"/>
  <c r="U118" i="140"/>
  <c r="T118" i="140"/>
  <c r="S118" i="140"/>
  <c r="R118" i="140"/>
  <c r="Q118" i="140"/>
  <c r="P118" i="140"/>
  <c r="O118" i="140"/>
  <c r="N118" i="140"/>
  <c r="M118" i="140"/>
  <c r="L118" i="140"/>
  <c r="K118" i="140"/>
  <c r="J118" i="140"/>
  <c r="I118" i="140"/>
  <c r="H118" i="140"/>
  <c r="G118" i="140"/>
  <c r="F118" i="140"/>
  <c r="E118" i="140"/>
  <c r="D118" i="140"/>
  <c r="BF117" i="140"/>
  <c r="BE117" i="140"/>
  <c r="BD117" i="140"/>
  <c r="BC117" i="140"/>
  <c r="BB117" i="140"/>
  <c r="BA117" i="140"/>
  <c r="AZ117" i="140"/>
  <c r="AY117" i="140"/>
  <c r="AX117" i="140"/>
  <c r="AW117" i="140"/>
  <c r="AV117" i="140"/>
  <c r="AU117" i="140"/>
  <c r="AT117" i="140"/>
  <c r="AS117" i="140"/>
  <c r="AR117" i="140"/>
  <c r="AQ117" i="140"/>
  <c r="AP117" i="140"/>
  <c r="AO117" i="140"/>
  <c r="AN117" i="140"/>
  <c r="AM117" i="140"/>
  <c r="AL117" i="140"/>
  <c r="AK117" i="140"/>
  <c r="AJ117" i="140"/>
  <c r="AI117" i="140"/>
  <c r="AH117" i="140"/>
  <c r="AG117" i="140"/>
  <c r="AF117" i="140"/>
  <c r="AE117" i="140"/>
  <c r="AD117" i="140"/>
  <c r="AC117" i="140"/>
  <c r="AB117" i="140"/>
  <c r="AA117" i="140"/>
  <c r="Z117" i="140"/>
  <c r="Y117" i="140"/>
  <c r="X117" i="140"/>
  <c r="W117" i="140"/>
  <c r="V117" i="140"/>
  <c r="U117" i="140"/>
  <c r="T117" i="140"/>
  <c r="S117" i="140"/>
  <c r="R117" i="140"/>
  <c r="Q117" i="140"/>
  <c r="P117" i="140"/>
  <c r="O117" i="140"/>
  <c r="N117" i="140"/>
  <c r="M117" i="140"/>
  <c r="L117" i="140"/>
  <c r="K117" i="140"/>
  <c r="J117" i="140"/>
  <c r="I117" i="140"/>
  <c r="H117" i="140"/>
  <c r="G117" i="140"/>
  <c r="F117" i="140"/>
  <c r="E117" i="140"/>
  <c r="D117" i="140"/>
  <c r="B113" i="140"/>
  <c r="B112" i="140"/>
  <c r="B111" i="140"/>
  <c r="B110" i="140"/>
  <c r="B109" i="140"/>
  <c r="B108" i="140"/>
  <c r="B107" i="140"/>
  <c r="B106" i="140"/>
  <c r="B105" i="140"/>
  <c r="B104" i="140"/>
  <c r="B103" i="140"/>
  <c r="B102" i="140"/>
  <c r="B101" i="140"/>
  <c r="B100" i="140"/>
  <c r="B99" i="140"/>
  <c r="AJ33" i="140"/>
  <c r="AB33" i="140"/>
  <c r="T33" i="140"/>
  <c r="L33" i="140"/>
  <c r="D16" i="140"/>
  <c r="BF5" i="140"/>
  <c r="BE5" i="140"/>
  <c r="BD5" i="140"/>
  <c r="BC5" i="140"/>
  <c r="BB5" i="140"/>
  <c r="BA5" i="140"/>
  <c r="AZ5" i="140"/>
  <c r="AY5" i="140"/>
  <c r="AX5" i="140"/>
  <c r="AW5" i="140"/>
  <c r="AV5" i="140"/>
  <c r="AU5" i="140"/>
  <c r="AT5" i="140"/>
  <c r="AS5" i="140"/>
  <c r="AR5" i="140"/>
  <c r="AQ5" i="140"/>
  <c r="AP5" i="140"/>
  <c r="AO5" i="140"/>
  <c r="AN5" i="140"/>
  <c r="AM5" i="140"/>
  <c r="AL5" i="140"/>
  <c r="AK5" i="140"/>
  <c r="AJ5" i="140"/>
  <c r="AI5" i="140"/>
  <c r="AH5" i="140"/>
  <c r="AG5" i="140"/>
  <c r="AF5" i="140"/>
  <c r="AE5" i="140"/>
  <c r="AD5" i="140"/>
  <c r="AC5" i="140"/>
  <c r="AB5" i="140"/>
  <c r="AA5" i="140"/>
  <c r="Z5" i="140"/>
  <c r="Y5" i="140"/>
  <c r="X5" i="140"/>
  <c r="W5" i="140"/>
  <c r="V5" i="140"/>
  <c r="U5" i="140"/>
  <c r="T5" i="140"/>
  <c r="S5" i="140"/>
  <c r="R5" i="140"/>
  <c r="Q5" i="140"/>
  <c r="P5" i="140"/>
  <c r="O5" i="140"/>
  <c r="N5" i="140"/>
  <c r="M5" i="140"/>
  <c r="L5" i="140"/>
  <c r="K5" i="140"/>
  <c r="J5" i="140"/>
  <c r="I5" i="140"/>
  <c r="H5" i="140"/>
  <c r="G5" i="140"/>
  <c r="F5" i="140"/>
  <c r="E5" i="140"/>
  <c r="D5" i="140"/>
  <c r="E116" i="140" l="1"/>
  <c r="K116" i="140"/>
  <c r="M116" i="140"/>
  <c r="O116" i="140"/>
  <c r="Q116" i="140"/>
  <c r="S116" i="140"/>
  <c r="U116" i="140"/>
  <c r="W116" i="140"/>
  <c r="Y116" i="140"/>
  <c r="AA116" i="140"/>
  <c r="AC116" i="140"/>
  <c r="AE116" i="140"/>
  <c r="AG116" i="140"/>
  <c r="AI116" i="140"/>
  <c r="AK116" i="140"/>
  <c r="AO116" i="140"/>
  <c r="AQ116" i="140"/>
  <c r="AS116" i="140"/>
  <c r="AU116" i="140"/>
  <c r="AW116" i="140"/>
  <c r="AY116" i="140"/>
  <c r="BA116" i="140"/>
  <c r="BC116" i="140"/>
  <c r="BE116" i="140"/>
  <c r="V33" i="140"/>
  <c r="D116" i="140"/>
  <c r="F116" i="140"/>
  <c r="H116" i="140"/>
  <c r="J116" i="140"/>
  <c r="L116" i="140"/>
  <c r="N116" i="140"/>
  <c r="P116" i="140"/>
  <c r="R116" i="140"/>
  <c r="T116" i="140"/>
  <c r="X116" i="140"/>
  <c r="Z116" i="140"/>
  <c r="AB116" i="140"/>
  <c r="AD116" i="140"/>
  <c r="AF116" i="140"/>
  <c r="AH116" i="140"/>
  <c r="AJ116" i="140"/>
  <c r="AL116" i="140"/>
  <c r="AN116" i="140"/>
  <c r="AP116" i="140"/>
  <c r="AR116" i="140"/>
  <c r="AT116" i="140"/>
  <c r="AV116" i="140"/>
  <c r="AX116" i="140"/>
  <c r="AZ116" i="140"/>
  <c r="BB116" i="140"/>
  <c r="BD116" i="140"/>
  <c r="BF116" i="140"/>
  <c r="E33" i="140"/>
  <c r="G33" i="140"/>
  <c r="I33" i="140"/>
  <c r="K33" i="140"/>
  <c r="M33" i="140"/>
  <c r="O33" i="140"/>
  <c r="Q33" i="140"/>
  <c r="S33" i="140"/>
  <c r="U33" i="140"/>
  <c r="W33" i="140"/>
  <c r="Y33" i="140"/>
  <c r="AA33" i="140"/>
  <c r="AC33" i="140"/>
  <c r="AE33" i="140"/>
  <c r="AG33" i="140"/>
  <c r="AI33" i="140"/>
  <c r="AK33" i="140"/>
  <c r="AM33" i="140"/>
  <c r="AO33" i="140"/>
  <c r="AQ33" i="140"/>
  <c r="AS33" i="140"/>
  <c r="AU33" i="140"/>
  <c r="AW33" i="140"/>
  <c r="AY33" i="140"/>
  <c r="BA33" i="140"/>
  <c r="BC33" i="140"/>
  <c r="BE33" i="140"/>
  <c r="Q223" i="64"/>
  <c r="X75" i="140" l="1"/>
  <c r="AB309" i="64" l="1"/>
  <c r="AB307" i="64"/>
  <c r="AB305" i="64"/>
  <c r="AB342" i="64"/>
  <c r="L75" i="140"/>
  <c r="X342" i="64"/>
  <c r="X340" i="64"/>
  <c r="X338" i="64"/>
  <c r="X309" i="64"/>
  <c r="X307" i="64"/>
  <c r="X305" i="64"/>
  <c r="Y96" i="133"/>
  <c r="Y94" i="133"/>
  <c r="Y92" i="133"/>
  <c r="Y90" i="133"/>
  <c r="Y88" i="133"/>
  <c r="Y86" i="133"/>
  <c r="Y21" i="133"/>
  <c r="W21" i="134" l="1"/>
  <c r="W22" i="134"/>
  <c r="W23" i="134"/>
  <c r="W24" i="134"/>
  <c r="W25" i="134"/>
  <c r="W26" i="134"/>
  <c r="W27" i="134"/>
  <c r="W28" i="134"/>
  <c r="W29" i="134"/>
  <c r="W30" i="134"/>
  <c r="W31" i="134"/>
  <c r="W32" i="134"/>
  <c r="W33" i="134"/>
  <c r="W34" i="134"/>
  <c r="W35" i="134"/>
  <c r="W36" i="134"/>
  <c r="W37" i="134"/>
  <c r="W38" i="134"/>
  <c r="W39" i="134"/>
  <c r="W40" i="134"/>
  <c r="W41" i="134"/>
  <c r="W42" i="134"/>
  <c r="W43" i="134"/>
  <c r="W44" i="134"/>
  <c r="W45" i="134"/>
  <c r="W46" i="134"/>
  <c r="W47" i="134"/>
  <c r="W48" i="134"/>
  <c r="W49" i="134"/>
  <c r="W50" i="134"/>
  <c r="W51" i="134"/>
  <c r="W52" i="134"/>
  <c r="W53" i="134"/>
  <c r="W54" i="134"/>
  <c r="W55" i="134"/>
  <c r="W56" i="134"/>
  <c r="W57" i="134"/>
  <c r="W58" i="134"/>
  <c r="W59" i="134"/>
  <c r="W60" i="134"/>
  <c r="W61" i="134"/>
  <c r="W62" i="134"/>
  <c r="W63" i="134"/>
  <c r="W64" i="134"/>
  <c r="W65" i="134"/>
  <c r="W66" i="134"/>
  <c r="W67" i="134"/>
  <c r="W68" i="134"/>
  <c r="W69" i="134"/>
  <c r="W70" i="134"/>
  <c r="W71" i="134"/>
  <c r="W72" i="134"/>
  <c r="W73" i="134"/>
  <c r="W74" i="134"/>
  <c r="W75" i="134"/>
  <c r="W76" i="134"/>
  <c r="W77" i="134"/>
  <c r="W78" i="134"/>
  <c r="W79" i="134"/>
  <c r="W80" i="134"/>
  <c r="W81" i="134"/>
  <c r="W82" i="134"/>
  <c r="W83" i="134"/>
  <c r="W84" i="134"/>
  <c r="W85" i="134"/>
  <c r="W86" i="134"/>
  <c r="W87" i="134"/>
  <c r="W88" i="134"/>
  <c r="W89" i="134"/>
  <c r="W90" i="134"/>
  <c r="W91" i="134"/>
  <c r="W92" i="134"/>
  <c r="W93" i="134"/>
  <c r="W94" i="134"/>
  <c r="W95" i="134"/>
  <c r="W96" i="134"/>
  <c r="W97" i="134"/>
  <c r="W98" i="134"/>
  <c r="W99" i="134"/>
  <c r="W100" i="134"/>
  <c r="W101" i="134"/>
  <c r="W102" i="134"/>
  <c r="W103" i="134"/>
  <c r="W104" i="134"/>
  <c r="W105" i="134"/>
  <c r="W106" i="134"/>
  <c r="W107" i="134"/>
  <c r="W108" i="134"/>
  <c r="W109" i="134"/>
  <c r="W110" i="134"/>
  <c r="W111" i="134"/>
  <c r="W112" i="134"/>
  <c r="W113" i="134"/>
  <c r="W114" i="134"/>
  <c r="W115" i="134"/>
  <c r="W116" i="134"/>
  <c r="W117" i="134"/>
  <c r="W118" i="134"/>
  <c r="W119" i="134"/>
  <c r="W120" i="134"/>
  <c r="W121" i="134"/>
  <c r="W122" i="134"/>
  <c r="W123" i="134"/>
  <c r="W124" i="134"/>
  <c r="W125" i="134"/>
  <c r="W126" i="134"/>
  <c r="W127" i="134"/>
  <c r="W128" i="134"/>
  <c r="W129" i="134"/>
  <c r="W130" i="134"/>
  <c r="W131" i="134"/>
  <c r="W132" i="134"/>
  <c r="W133" i="134"/>
  <c r="W134" i="134"/>
  <c r="W135" i="134"/>
  <c r="W136" i="134"/>
  <c r="W137" i="134"/>
  <c r="W138" i="134"/>
  <c r="W139" i="134"/>
  <c r="W140" i="134"/>
  <c r="W141" i="134"/>
  <c r="W142" i="134"/>
  <c r="W143" i="134"/>
  <c r="W144" i="134"/>
  <c r="W145" i="134"/>
  <c r="W146" i="134"/>
  <c r="W147" i="134"/>
  <c r="W148" i="134"/>
  <c r="W149" i="134"/>
  <c r="W150" i="134"/>
  <c r="W151" i="134"/>
  <c r="W152" i="134"/>
  <c r="W153" i="134"/>
  <c r="W154" i="134"/>
  <c r="W155" i="134"/>
  <c r="W156" i="134"/>
  <c r="W157" i="134"/>
  <c r="W158" i="134"/>
  <c r="W159" i="134"/>
  <c r="W160" i="134"/>
  <c r="W161" i="134"/>
  <c r="W162" i="134"/>
  <c r="W163" i="134"/>
  <c r="W164" i="134"/>
  <c r="W165" i="134"/>
  <c r="W166" i="134"/>
  <c r="W167" i="134"/>
  <c r="W168" i="134"/>
  <c r="W169" i="134"/>
  <c r="W170" i="134"/>
  <c r="W171" i="134"/>
  <c r="W172" i="134"/>
  <c r="W173" i="134"/>
  <c r="W174" i="134"/>
  <c r="W175" i="134"/>
  <c r="W176" i="134"/>
  <c r="W177" i="134"/>
  <c r="W178" i="134"/>
  <c r="W179" i="134"/>
  <c r="W180" i="134"/>
  <c r="W181" i="134"/>
  <c r="W182" i="134"/>
  <c r="W183" i="134"/>
  <c r="W184" i="134"/>
  <c r="W185" i="134"/>
  <c r="W186" i="134"/>
  <c r="W187" i="134"/>
  <c r="W188" i="134"/>
  <c r="W189" i="134"/>
  <c r="W190" i="134"/>
  <c r="W191" i="134"/>
  <c r="W192" i="134"/>
  <c r="W193" i="134"/>
  <c r="W194" i="134"/>
  <c r="W195" i="134"/>
  <c r="W196" i="134"/>
  <c r="W197" i="134"/>
  <c r="W198" i="134"/>
  <c r="W199" i="134"/>
  <c r="W200" i="134"/>
  <c r="W201" i="134"/>
  <c r="W202" i="134"/>
  <c r="W203" i="134"/>
  <c r="W204" i="134"/>
  <c r="W205" i="134"/>
  <c r="W206" i="134"/>
  <c r="W207" i="134"/>
  <c r="W208" i="134"/>
  <c r="W209" i="134"/>
  <c r="W210" i="134"/>
  <c r="W211" i="134"/>
  <c r="W212" i="134"/>
  <c r="W213" i="134"/>
  <c r="W214" i="134"/>
  <c r="W20" i="134"/>
  <c r="W17" i="134"/>
  <c r="W18" i="134"/>
  <c r="W19" i="134"/>
  <c r="W16" i="134"/>
  <c r="BH99" i="133"/>
  <c r="BG96" i="133"/>
  <c r="BF96" i="133"/>
  <c r="BE96" i="133"/>
  <c r="BD96" i="133"/>
  <c r="BC96" i="133"/>
  <c r="BB96" i="133"/>
  <c r="AZ96" i="133"/>
  <c r="AY96" i="133"/>
  <c r="AX96" i="133"/>
  <c r="AW96" i="133"/>
  <c r="AV96" i="133"/>
  <c r="AU96" i="133"/>
  <c r="AT96" i="133"/>
  <c r="AS96" i="133"/>
  <c r="AR96" i="133"/>
  <c r="AQ96" i="133"/>
  <c r="AP96" i="133"/>
  <c r="AO96" i="133"/>
  <c r="AN96" i="133"/>
  <c r="AM96" i="133"/>
  <c r="AL96" i="133"/>
  <c r="AK96" i="133"/>
  <c r="AJ96" i="133"/>
  <c r="AI96" i="133"/>
  <c r="AH96" i="133"/>
  <c r="AG96" i="133"/>
  <c r="AF96" i="133"/>
  <c r="AE96" i="133"/>
  <c r="AD96" i="133"/>
  <c r="AC96" i="133"/>
  <c r="AB96" i="133"/>
  <c r="AA96" i="133"/>
  <c r="Z96" i="133"/>
  <c r="X96" i="133"/>
  <c r="W96" i="133"/>
  <c r="V96" i="133"/>
  <c r="U96" i="133"/>
  <c r="T96" i="133"/>
  <c r="S96" i="133"/>
  <c r="R96" i="133"/>
  <c r="Q96" i="133"/>
  <c r="P96" i="133"/>
  <c r="O96" i="133"/>
  <c r="N96" i="133"/>
  <c r="M96" i="133"/>
  <c r="L96" i="133"/>
  <c r="K96" i="133"/>
  <c r="J96" i="133"/>
  <c r="I96" i="133"/>
  <c r="H96" i="133"/>
  <c r="G96" i="133"/>
  <c r="F96" i="133"/>
  <c r="E96" i="133"/>
  <c r="D96" i="133"/>
  <c r="BG94" i="133"/>
  <c r="BF94" i="133"/>
  <c r="BE94" i="133"/>
  <c r="BD94" i="133"/>
  <c r="BC94" i="133"/>
  <c r="BB94" i="133"/>
  <c r="BA94" i="133"/>
  <c r="AZ94" i="133"/>
  <c r="AY94" i="133"/>
  <c r="AX94" i="133"/>
  <c r="AW94" i="133"/>
  <c r="AV94" i="133"/>
  <c r="AU94" i="133"/>
  <c r="AT94" i="133"/>
  <c r="AS94" i="133"/>
  <c r="AR94" i="133"/>
  <c r="AQ94" i="133"/>
  <c r="AP94" i="133"/>
  <c r="AO94" i="133"/>
  <c r="AN94" i="133"/>
  <c r="AM94" i="133"/>
  <c r="AL94" i="133"/>
  <c r="AK94" i="133"/>
  <c r="AJ94" i="133"/>
  <c r="AI94" i="133"/>
  <c r="AH94" i="133"/>
  <c r="AG94" i="133"/>
  <c r="AF94" i="133"/>
  <c r="AE94" i="133"/>
  <c r="AD94" i="133"/>
  <c r="AC94" i="133"/>
  <c r="AB94" i="133"/>
  <c r="AA94" i="133"/>
  <c r="Z94" i="133"/>
  <c r="X94" i="133"/>
  <c r="W94" i="133"/>
  <c r="V94" i="133"/>
  <c r="U94" i="133"/>
  <c r="T94" i="133"/>
  <c r="S94" i="133"/>
  <c r="R94" i="133"/>
  <c r="Q94" i="133"/>
  <c r="P94" i="133"/>
  <c r="O94" i="133"/>
  <c r="N94" i="133"/>
  <c r="M94" i="133"/>
  <c r="L94" i="133"/>
  <c r="K94" i="133"/>
  <c r="J94" i="133"/>
  <c r="I94" i="133"/>
  <c r="H94" i="133"/>
  <c r="G94" i="133"/>
  <c r="F94" i="133"/>
  <c r="E94" i="133"/>
  <c r="D94" i="133"/>
  <c r="BG92" i="133"/>
  <c r="BF92" i="133"/>
  <c r="BE92" i="133"/>
  <c r="BD92" i="133"/>
  <c r="BC92" i="133"/>
  <c r="BB92" i="133"/>
  <c r="BA92" i="133"/>
  <c r="AZ92" i="133"/>
  <c r="AX92" i="133"/>
  <c r="AW92" i="133"/>
  <c r="AV92" i="133"/>
  <c r="AT92" i="133"/>
  <c r="AS92" i="133"/>
  <c r="AR92" i="133"/>
  <c r="AQ92" i="133"/>
  <c r="AP92" i="133"/>
  <c r="AO92" i="133"/>
  <c r="AN92" i="133"/>
  <c r="AM92" i="133"/>
  <c r="AL92" i="133"/>
  <c r="AK92" i="133"/>
  <c r="AJ92" i="133"/>
  <c r="AI92" i="133"/>
  <c r="AH92" i="133"/>
  <c r="AG92" i="133"/>
  <c r="AF92" i="133"/>
  <c r="AE92" i="133"/>
  <c r="AD92" i="133"/>
  <c r="AC92" i="133"/>
  <c r="AB92" i="133"/>
  <c r="AA92" i="133"/>
  <c r="Z92" i="133"/>
  <c r="W92" i="133"/>
  <c r="V92" i="133"/>
  <c r="U92" i="133"/>
  <c r="T92" i="133"/>
  <c r="R92" i="133"/>
  <c r="Q92" i="133"/>
  <c r="P92" i="133"/>
  <c r="O92" i="133"/>
  <c r="N92" i="133"/>
  <c r="M92" i="133"/>
  <c r="L92" i="133"/>
  <c r="K92" i="133"/>
  <c r="J92" i="133"/>
  <c r="I92" i="133"/>
  <c r="H92" i="133"/>
  <c r="G92" i="133"/>
  <c r="F92" i="133"/>
  <c r="E92" i="133"/>
  <c r="D92" i="133"/>
  <c r="BG90" i="133"/>
  <c r="BF90" i="133"/>
  <c r="BE90" i="133"/>
  <c r="BD90" i="133"/>
  <c r="BC90" i="133"/>
  <c r="BB90" i="133"/>
  <c r="BA90" i="133"/>
  <c r="AZ90" i="133"/>
  <c r="AX90" i="133"/>
  <c r="AW90" i="133"/>
  <c r="AV90" i="133"/>
  <c r="AT90" i="133"/>
  <c r="AS90" i="133"/>
  <c r="AR90" i="133"/>
  <c r="AQ90" i="133"/>
  <c r="AP90" i="133"/>
  <c r="AO90" i="133"/>
  <c r="AN90" i="133"/>
  <c r="AM90" i="133"/>
  <c r="AL90" i="133"/>
  <c r="AK90" i="133"/>
  <c r="AJ90" i="133"/>
  <c r="AI90" i="133"/>
  <c r="AH90" i="133"/>
  <c r="AG90" i="133"/>
  <c r="AF90" i="133"/>
  <c r="AE90" i="133"/>
  <c r="AD90" i="133"/>
  <c r="AC90" i="133"/>
  <c r="AB90" i="133"/>
  <c r="AA90" i="133"/>
  <c r="Z90" i="133"/>
  <c r="W90" i="133"/>
  <c r="V90" i="133"/>
  <c r="U90" i="133"/>
  <c r="T90" i="133"/>
  <c r="S90" i="133"/>
  <c r="R90" i="133"/>
  <c r="Q90" i="133"/>
  <c r="P90" i="133"/>
  <c r="O90" i="133"/>
  <c r="N90" i="133"/>
  <c r="M90" i="133"/>
  <c r="L90" i="133"/>
  <c r="K90" i="133"/>
  <c r="J90" i="133"/>
  <c r="I90" i="133"/>
  <c r="H90" i="133"/>
  <c r="G90" i="133"/>
  <c r="F90" i="133"/>
  <c r="E90" i="133"/>
  <c r="D90" i="133"/>
  <c r="BG88" i="133"/>
  <c r="BF88" i="133"/>
  <c r="BE88" i="133"/>
  <c r="BD88" i="133"/>
  <c r="BC88" i="133"/>
  <c r="BB88" i="133"/>
  <c r="BA88" i="133"/>
  <c r="AZ88" i="133"/>
  <c r="AY88" i="133"/>
  <c r="AX88" i="133"/>
  <c r="AW88" i="133"/>
  <c r="AV88" i="133"/>
  <c r="AU88" i="133"/>
  <c r="AT88" i="133"/>
  <c r="AS88" i="133"/>
  <c r="AR88" i="133"/>
  <c r="AQ88" i="133"/>
  <c r="AP88" i="133"/>
  <c r="AO88" i="133"/>
  <c r="AN88" i="133"/>
  <c r="AM88" i="133"/>
  <c r="AL88" i="133"/>
  <c r="AK88" i="133"/>
  <c r="AJ88" i="133"/>
  <c r="AI88" i="133"/>
  <c r="AH88" i="133"/>
  <c r="AG88" i="133"/>
  <c r="AF88" i="133"/>
  <c r="AE88" i="133"/>
  <c r="AD88" i="133"/>
  <c r="AC88" i="133"/>
  <c r="AB88" i="133"/>
  <c r="AA88" i="133"/>
  <c r="Z88" i="133"/>
  <c r="X88" i="133"/>
  <c r="W88" i="133"/>
  <c r="V88" i="133"/>
  <c r="U88" i="133"/>
  <c r="T88" i="133"/>
  <c r="S88" i="133"/>
  <c r="R88" i="133"/>
  <c r="Q88" i="133"/>
  <c r="P88" i="133"/>
  <c r="O88" i="133"/>
  <c r="N88" i="133"/>
  <c r="M88" i="133"/>
  <c r="L88" i="133"/>
  <c r="K88" i="133"/>
  <c r="J88" i="133"/>
  <c r="I88" i="133"/>
  <c r="H88" i="133"/>
  <c r="G88" i="133"/>
  <c r="F88" i="133"/>
  <c r="E88" i="133"/>
  <c r="D88" i="133"/>
  <c r="BG86" i="133"/>
  <c r="BF86" i="133"/>
  <c r="BE86" i="133"/>
  <c r="BD86" i="133"/>
  <c r="BC86" i="133"/>
  <c r="BB86" i="133"/>
  <c r="BA86" i="133"/>
  <c r="AZ86" i="133"/>
  <c r="AY86" i="133"/>
  <c r="AX86" i="133"/>
  <c r="AW86" i="133"/>
  <c r="AV86" i="133"/>
  <c r="AU86" i="133"/>
  <c r="AT86" i="133"/>
  <c r="AS86" i="133"/>
  <c r="AR86" i="133"/>
  <c r="AQ86" i="133"/>
  <c r="AP86" i="133"/>
  <c r="AO86" i="133"/>
  <c r="AN86" i="133"/>
  <c r="AM86" i="133"/>
  <c r="AL86" i="133"/>
  <c r="AK86" i="133"/>
  <c r="AJ86" i="133"/>
  <c r="AI86" i="133"/>
  <c r="AH86" i="133"/>
  <c r="AG86" i="133"/>
  <c r="AF86" i="133"/>
  <c r="AE86" i="133"/>
  <c r="AD86" i="133"/>
  <c r="AC86" i="133"/>
  <c r="AB86" i="133"/>
  <c r="AA86" i="133"/>
  <c r="Z86" i="133"/>
  <c r="X86" i="133"/>
  <c r="W86" i="133"/>
  <c r="V86" i="133"/>
  <c r="U86" i="133"/>
  <c r="T86" i="133"/>
  <c r="S86" i="133"/>
  <c r="R86" i="133"/>
  <c r="Q86" i="133"/>
  <c r="P86" i="133"/>
  <c r="O86" i="133"/>
  <c r="N86" i="133"/>
  <c r="M86" i="133"/>
  <c r="L86" i="133"/>
  <c r="K86" i="133"/>
  <c r="J86" i="133"/>
  <c r="I86" i="133"/>
  <c r="H86" i="133"/>
  <c r="G86" i="133"/>
  <c r="F86" i="133"/>
  <c r="E86" i="133"/>
  <c r="D86" i="133"/>
  <c r="AZ57" i="133"/>
  <c r="AT57" i="133"/>
  <c r="AL57" i="133"/>
  <c r="AK57" i="133"/>
  <c r="AA57" i="133"/>
  <c r="AY92" i="133"/>
  <c r="AU92" i="133"/>
  <c r="AY90" i="133"/>
  <c r="AU90" i="133"/>
  <c r="X90" i="133"/>
  <c r="AU21" i="133"/>
  <c r="BH57" i="133" l="1"/>
  <c r="BA96" i="133"/>
  <c r="BA92" i="140"/>
  <c r="BA90" i="140"/>
  <c r="BA84" i="140"/>
  <c r="X92" i="133"/>
  <c r="S92" i="133"/>
  <c r="AJ99" i="133"/>
  <c r="L260" i="64"/>
  <c r="K260" i="64"/>
  <c r="E260" i="64"/>
  <c r="D859" i="64"/>
  <c r="E859" i="64"/>
  <c r="F859" i="64"/>
  <c r="G859" i="64"/>
  <c r="H859" i="64"/>
  <c r="I859" i="64"/>
  <c r="J859" i="64"/>
  <c r="K859" i="64"/>
  <c r="L859" i="64"/>
  <c r="M859" i="64"/>
  <c r="N859" i="64"/>
  <c r="O859" i="64"/>
  <c r="P859" i="64"/>
  <c r="Q859" i="64"/>
  <c r="R859" i="64"/>
  <c r="S859" i="64"/>
  <c r="T859" i="64"/>
  <c r="U859" i="64"/>
  <c r="V859" i="64"/>
  <c r="W859" i="64"/>
  <c r="X859" i="64"/>
  <c r="Y859" i="64"/>
  <c r="Z859" i="64"/>
  <c r="AA859" i="64"/>
  <c r="AB859" i="64"/>
  <c r="AC859" i="64"/>
  <c r="AD859" i="64"/>
  <c r="AE859" i="64"/>
  <c r="AF859" i="64"/>
  <c r="AG859" i="64"/>
  <c r="AH859" i="64"/>
  <c r="AI859" i="64"/>
  <c r="AJ859" i="64"/>
  <c r="AK859" i="64"/>
  <c r="AL859" i="64"/>
  <c r="AM859" i="64"/>
  <c r="AN859" i="64"/>
  <c r="AO859" i="64"/>
  <c r="AP859" i="64"/>
  <c r="AQ859" i="64"/>
  <c r="AR859" i="64"/>
  <c r="AS859" i="64"/>
  <c r="AT859" i="64"/>
  <c r="AU859" i="64"/>
  <c r="AV859" i="64"/>
  <c r="AW859" i="64"/>
  <c r="AX859" i="64"/>
  <c r="AY859" i="64"/>
  <c r="AZ859" i="64"/>
  <c r="BA859" i="64"/>
  <c r="BB859" i="64"/>
  <c r="BC859" i="64"/>
  <c r="BD859" i="64"/>
  <c r="BE859" i="64"/>
  <c r="BF859" i="64"/>
  <c r="D860" i="64"/>
  <c r="E860" i="64"/>
  <c r="F860" i="64"/>
  <c r="G860" i="64"/>
  <c r="H860" i="64"/>
  <c r="I860" i="64"/>
  <c r="J860" i="64"/>
  <c r="K860" i="64"/>
  <c r="L860" i="64"/>
  <c r="M860" i="64"/>
  <c r="N860" i="64"/>
  <c r="O860" i="64"/>
  <c r="P860" i="64"/>
  <c r="Q860" i="64"/>
  <c r="R860" i="64"/>
  <c r="S860" i="64"/>
  <c r="T860" i="64"/>
  <c r="U860" i="64"/>
  <c r="V860" i="64"/>
  <c r="W860" i="64"/>
  <c r="X860" i="64"/>
  <c r="Y860" i="64"/>
  <c r="Z860" i="64"/>
  <c r="AA860" i="64"/>
  <c r="AB860" i="64"/>
  <c r="AC860" i="64"/>
  <c r="AD860" i="64"/>
  <c r="AE860" i="64"/>
  <c r="AF860" i="64"/>
  <c r="AG860" i="64"/>
  <c r="AH860" i="64"/>
  <c r="AI860" i="64"/>
  <c r="AJ860" i="64"/>
  <c r="AK860" i="64"/>
  <c r="AL860" i="64"/>
  <c r="AM860" i="64"/>
  <c r="AN860" i="64"/>
  <c r="AO860" i="64"/>
  <c r="AP860" i="64"/>
  <c r="AQ860" i="64"/>
  <c r="AR860" i="64"/>
  <c r="AS860" i="64"/>
  <c r="AT860" i="64"/>
  <c r="AU860" i="64"/>
  <c r="AV860" i="64"/>
  <c r="AW860" i="64"/>
  <c r="AX860" i="64"/>
  <c r="AY860" i="64"/>
  <c r="AZ860" i="64"/>
  <c r="BA860" i="64"/>
  <c r="BB860" i="64"/>
  <c r="BC860" i="64"/>
  <c r="BD860" i="64"/>
  <c r="BE860" i="64"/>
  <c r="BF860" i="64"/>
  <c r="D861" i="64"/>
  <c r="E861" i="64"/>
  <c r="F861" i="64"/>
  <c r="G861" i="64"/>
  <c r="H861" i="64"/>
  <c r="I861" i="64"/>
  <c r="J861" i="64"/>
  <c r="K861" i="64"/>
  <c r="L861" i="64"/>
  <c r="M861" i="64"/>
  <c r="N861" i="64"/>
  <c r="O861" i="64"/>
  <c r="P861" i="64"/>
  <c r="Q861" i="64"/>
  <c r="R861" i="64"/>
  <c r="S861" i="64"/>
  <c r="T861" i="64"/>
  <c r="U861" i="64"/>
  <c r="V861" i="64"/>
  <c r="W861" i="64"/>
  <c r="X861" i="64"/>
  <c r="Y861" i="64"/>
  <c r="Z861" i="64"/>
  <c r="AA861" i="64"/>
  <c r="AB861" i="64"/>
  <c r="AC861" i="64"/>
  <c r="AD861" i="64"/>
  <c r="AE861" i="64"/>
  <c r="AF861" i="64"/>
  <c r="AG861" i="64"/>
  <c r="AH861" i="64"/>
  <c r="AI861" i="64"/>
  <c r="AJ861" i="64"/>
  <c r="AK861" i="64"/>
  <c r="AL861" i="64"/>
  <c r="AM861" i="64"/>
  <c r="AN861" i="64"/>
  <c r="AO861" i="64"/>
  <c r="AP861" i="64"/>
  <c r="AQ861" i="64"/>
  <c r="AR861" i="64"/>
  <c r="AS861" i="64"/>
  <c r="AT861" i="64"/>
  <c r="AU861" i="64"/>
  <c r="AV861" i="64"/>
  <c r="AW861" i="64"/>
  <c r="AX861" i="64"/>
  <c r="AY861" i="64"/>
  <c r="AZ861" i="64"/>
  <c r="BA861" i="64"/>
  <c r="BB861" i="64"/>
  <c r="BC861" i="64"/>
  <c r="BD861" i="64"/>
  <c r="BE861" i="64"/>
  <c r="BF861" i="64"/>
  <c r="D862" i="64"/>
  <c r="E862" i="64"/>
  <c r="F862" i="64"/>
  <c r="G862" i="64"/>
  <c r="H862" i="64"/>
  <c r="I862" i="64"/>
  <c r="J862" i="64"/>
  <c r="K862" i="64"/>
  <c r="L862" i="64"/>
  <c r="M862" i="64"/>
  <c r="N862" i="64"/>
  <c r="O862" i="64"/>
  <c r="P862" i="64"/>
  <c r="Q862" i="64"/>
  <c r="R862" i="64"/>
  <c r="S862" i="64"/>
  <c r="T862" i="64"/>
  <c r="U862" i="64"/>
  <c r="V862" i="64"/>
  <c r="W862" i="64"/>
  <c r="X862" i="64"/>
  <c r="Y862" i="64"/>
  <c r="Z862" i="64"/>
  <c r="AA862" i="64"/>
  <c r="AB862" i="64"/>
  <c r="AC862" i="64"/>
  <c r="AD862" i="64"/>
  <c r="AE862" i="64"/>
  <c r="AF862" i="64"/>
  <c r="AG862" i="64"/>
  <c r="AH862" i="64"/>
  <c r="AI862" i="64"/>
  <c r="AJ862" i="64"/>
  <c r="AK862" i="64"/>
  <c r="AL862" i="64"/>
  <c r="AM862" i="64"/>
  <c r="AN862" i="64"/>
  <c r="AO862" i="64"/>
  <c r="AP862" i="64"/>
  <c r="AQ862" i="64"/>
  <c r="AR862" i="64"/>
  <c r="AS862" i="64"/>
  <c r="AT862" i="64"/>
  <c r="AU862" i="64"/>
  <c r="AV862" i="64"/>
  <c r="AW862" i="64"/>
  <c r="AX862" i="64"/>
  <c r="AY862" i="64"/>
  <c r="AZ862" i="64"/>
  <c r="BA862" i="64"/>
  <c r="BB862" i="64"/>
  <c r="BC862" i="64"/>
  <c r="BD862" i="64"/>
  <c r="BE862" i="64"/>
  <c r="BF862" i="64"/>
  <c r="D863" i="64"/>
  <c r="E863" i="64"/>
  <c r="F863" i="64"/>
  <c r="G863" i="64"/>
  <c r="H863" i="64"/>
  <c r="I863" i="64"/>
  <c r="J863" i="64"/>
  <c r="K863" i="64"/>
  <c r="L863" i="64"/>
  <c r="M863" i="64"/>
  <c r="N863" i="64"/>
  <c r="O863" i="64"/>
  <c r="P863" i="64"/>
  <c r="Q863" i="64"/>
  <c r="R863" i="64"/>
  <c r="S863" i="64"/>
  <c r="T863" i="64"/>
  <c r="U863" i="64"/>
  <c r="V863" i="64"/>
  <c r="W863" i="64"/>
  <c r="X863" i="64"/>
  <c r="Y863" i="64"/>
  <c r="Z863" i="64"/>
  <c r="AA863" i="64"/>
  <c r="AB863" i="64"/>
  <c r="AC863" i="64"/>
  <c r="AD863" i="64"/>
  <c r="AE863" i="64"/>
  <c r="AF863" i="64"/>
  <c r="AG863" i="64"/>
  <c r="AH863" i="64"/>
  <c r="AI863" i="64"/>
  <c r="AJ863" i="64"/>
  <c r="AK863" i="64"/>
  <c r="AL863" i="64"/>
  <c r="AM863" i="64"/>
  <c r="AN863" i="64"/>
  <c r="AO863" i="64"/>
  <c r="AP863" i="64"/>
  <c r="AQ863" i="64"/>
  <c r="AR863" i="64"/>
  <c r="AS863" i="64"/>
  <c r="AT863" i="64"/>
  <c r="AU863" i="64"/>
  <c r="AV863" i="64"/>
  <c r="AW863" i="64"/>
  <c r="AX863" i="64"/>
  <c r="AY863" i="64"/>
  <c r="AZ863" i="64"/>
  <c r="BA863" i="64"/>
  <c r="BB863" i="64"/>
  <c r="BC863" i="64"/>
  <c r="BD863" i="64"/>
  <c r="BE863" i="64"/>
  <c r="BF863" i="64"/>
  <c r="D864" i="64"/>
  <c r="E864" i="64"/>
  <c r="F864" i="64"/>
  <c r="G864" i="64"/>
  <c r="H864" i="64"/>
  <c r="I864" i="64"/>
  <c r="J864" i="64"/>
  <c r="K864" i="64"/>
  <c r="L864" i="64"/>
  <c r="M864" i="64"/>
  <c r="N864" i="64"/>
  <c r="O864" i="64"/>
  <c r="P864" i="64"/>
  <c r="Q864" i="64"/>
  <c r="R864" i="64"/>
  <c r="S864" i="64"/>
  <c r="T864" i="64"/>
  <c r="U864" i="64"/>
  <c r="V864" i="64"/>
  <c r="W864" i="64"/>
  <c r="X864" i="64"/>
  <c r="Y864" i="64"/>
  <c r="Z864" i="64"/>
  <c r="AA864" i="64"/>
  <c r="AB864" i="64"/>
  <c r="AC864" i="64"/>
  <c r="AD864" i="64"/>
  <c r="AE864" i="64"/>
  <c r="AF864" i="64"/>
  <c r="AG864" i="64"/>
  <c r="AH864" i="64"/>
  <c r="AI864" i="64"/>
  <c r="AJ864" i="64"/>
  <c r="AK864" i="64"/>
  <c r="AL864" i="64"/>
  <c r="AM864" i="64"/>
  <c r="AN864" i="64"/>
  <c r="AO864" i="64"/>
  <c r="AP864" i="64"/>
  <c r="AQ864" i="64"/>
  <c r="AR864" i="64"/>
  <c r="AS864" i="64"/>
  <c r="AT864" i="64"/>
  <c r="AU864" i="64"/>
  <c r="AV864" i="64"/>
  <c r="AW864" i="64"/>
  <c r="AX864" i="64"/>
  <c r="AY864" i="64"/>
  <c r="AZ864" i="64"/>
  <c r="BA864" i="64"/>
  <c r="BB864" i="64"/>
  <c r="BC864" i="64"/>
  <c r="BD864" i="64"/>
  <c r="BE864" i="64"/>
  <c r="BF864" i="64"/>
  <c r="D865" i="64"/>
  <c r="E865" i="64"/>
  <c r="F865" i="64"/>
  <c r="G865" i="64"/>
  <c r="H865" i="64"/>
  <c r="I865" i="64"/>
  <c r="J865" i="64"/>
  <c r="K865" i="64"/>
  <c r="L865" i="64"/>
  <c r="M865" i="64"/>
  <c r="N865" i="64"/>
  <c r="O865" i="64"/>
  <c r="P865" i="64"/>
  <c r="Q865" i="64"/>
  <c r="R865" i="64"/>
  <c r="S865" i="64"/>
  <c r="T865" i="64"/>
  <c r="U865" i="64"/>
  <c r="V865" i="64"/>
  <c r="W865" i="64"/>
  <c r="X865" i="64"/>
  <c r="Y865" i="64"/>
  <c r="Z865" i="64"/>
  <c r="AA865" i="64"/>
  <c r="AB865" i="64"/>
  <c r="AC865" i="64"/>
  <c r="AD865" i="64"/>
  <c r="AE865" i="64"/>
  <c r="AF865" i="64"/>
  <c r="AG865" i="64"/>
  <c r="AH865" i="64"/>
  <c r="AI865" i="64"/>
  <c r="AJ865" i="64"/>
  <c r="AK865" i="64"/>
  <c r="AL865" i="64"/>
  <c r="AM865" i="64"/>
  <c r="AN865" i="64"/>
  <c r="AO865" i="64"/>
  <c r="AP865" i="64"/>
  <c r="AQ865" i="64"/>
  <c r="AR865" i="64"/>
  <c r="AS865" i="64"/>
  <c r="AT865" i="64"/>
  <c r="AU865" i="64"/>
  <c r="AV865" i="64"/>
  <c r="AW865" i="64"/>
  <c r="AX865" i="64"/>
  <c r="AY865" i="64"/>
  <c r="AZ865" i="64"/>
  <c r="BA865" i="64"/>
  <c r="BB865" i="64"/>
  <c r="BC865" i="64"/>
  <c r="BD865" i="64"/>
  <c r="BE865" i="64"/>
  <c r="BF865" i="64"/>
  <c r="D866" i="64"/>
  <c r="E866" i="64"/>
  <c r="F866" i="64"/>
  <c r="G866" i="64"/>
  <c r="H866" i="64"/>
  <c r="I866" i="64"/>
  <c r="J866" i="64"/>
  <c r="K866" i="64"/>
  <c r="L866" i="64"/>
  <c r="M866" i="64"/>
  <c r="N866" i="64"/>
  <c r="O866" i="64"/>
  <c r="P866" i="64"/>
  <c r="Q866" i="64"/>
  <c r="R866" i="64"/>
  <c r="S866" i="64"/>
  <c r="T866" i="64"/>
  <c r="U866" i="64"/>
  <c r="V866" i="64"/>
  <c r="W866" i="64"/>
  <c r="X866" i="64"/>
  <c r="Y866" i="64"/>
  <c r="Z866" i="64"/>
  <c r="AA866" i="64"/>
  <c r="AB866" i="64"/>
  <c r="AC866" i="64"/>
  <c r="AD866" i="64"/>
  <c r="AE866" i="64"/>
  <c r="AF866" i="64"/>
  <c r="AG866" i="64"/>
  <c r="AH866" i="64"/>
  <c r="AI866" i="64"/>
  <c r="AJ866" i="64"/>
  <c r="AK866" i="64"/>
  <c r="AL866" i="64"/>
  <c r="AM866" i="64"/>
  <c r="AN866" i="64"/>
  <c r="AO866" i="64"/>
  <c r="AP866" i="64"/>
  <c r="AQ866" i="64"/>
  <c r="AR866" i="64"/>
  <c r="AS866" i="64"/>
  <c r="AT866" i="64"/>
  <c r="AU866" i="64"/>
  <c r="AV866" i="64"/>
  <c r="AW866" i="64"/>
  <c r="AX866" i="64"/>
  <c r="AY866" i="64"/>
  <c r="AZ866" i="64"/>
  <c r="BA866" i="64"/>
  <c r="BB866" i="64"/>
  <c r="BC866" i="64"/>
  <c r="BD866" i="64"/>
  <c r="BE866" i="64"/>
  <c r="BF866" i="64"/>
  <c r="D867" i="64"/>
  <c r="E867" i="64"/>
  <c r="F867" i="64"/>
  <c r="G867" i="64"/>
  <c r="H867" i="64"/>
  <c r="I867" i="64"/>
  <c r="J867" i="64"/>
  <c r="K867" i="64"/>
  <c r="L867" i="64"/>
  <c r="M867" i="64"/>
  <c r="N867" i="64"/>
  <c r="O867" i="64"/>
  <c r="P867" i="64"/>
  <c r="Q867" i="64"/>
  <c r="R867" i="64"/>
  <c r="S867" i="64"/>
  <c r="T867" i="64"/>
  <c r="U867" i="64"/>
  <c r="V867" i="64"/>
  <c r="W867" i="64"/>
  <c r="X867" i="64"/>
  <c r="Y867" i="64"/>
  <c r="Z867" i="64"/>
  <c r="AA867" i="64"/>
  <c r="AB867" i="64"/>
  <c r="AC867" i="64"/>
  <c r="AD867" i="64"/>
  <c r="AE867" i="64"/>
  <c r="AF867" i="64"/>
  <c r="AG867" i="64"/>
  <c r="AH867" i="64"/>
  <c r="AI867" i="64"/>
  <c r="AJ867" i="64"/>
  <c r="AK867" i="64"/>
  <c r="AL867" i="64"/>
  <c r="AM867" i="64"/>
  <c r="AN867" i="64"/>
  <c r="AO867" i="64"/>
  <c r="AP867" i="64"/>
  <c r="AQ867" i="64"/>
  <c r="AR867" i="64"/>
  <c r="AS867" i="64"/>
  <c r="AT867" i="64"/>
  <c r="AU867" i="64"/>
  <c r="AV867" i="64"/>
  <c r="AW867" i="64"/>
  <c r="AX867" i="64"/>
  <c r="AY867" i="64"/>
  <c r="AZ867" i="64"/>
  <c r="BA867" i="64"/>
  <c r="BB867" i="64"/>
  <c r="BC867" i="64"/>
  <c r="BD867" i="64"/>
  <c r="BE867" i="64"/>
  <c r="BF867" i="64"/>
  <c r="D868" i="64"/>
  <c r="E868" i="64"/>
  <c r="F868" i="64"/>
  <c r="G868" i="64"/>
  <c r="H868" i="64"/>
  <c r="I868" i="64"/>
  <c r="J868" i="64"/>
  <c r="K868" i="64"/>
  <c r="L868" i="64"/>
  <c r="M868" i="64"/>
  <c r="N868" i="64"/>
  <c r="O868" i="64"/>
  <c r="P868" i="64"/>
  <c r="Q868" i="64"/>
  <c r="R868" i="64"/>
  <c r="S868" i="64"/>
  <c r="T868" i="64"/>
  <c r="U868" i="64"/>
  <c r="V868" i="64"/>
  <c r="W868" i="64"/>
  <c r="X868" i="64"/>
  <c r="Y868" i="64"/>
  <c r="Z868" i="64"/>
  <c r="AA868" i="64"/>
  <c r="AB868" i="64"/>
  <c r="AC868" i="64"/>
  <c r="AD868" i="64"/>
  <c r="AE868" i="64"/>
  <c r="AF868" i="64"/>
  <c r="AG868" i="64"/>
  <c r="AH868" i="64"/>
  <c r="AI868" i="64"/>
  <c r="AJ868" i="64"/>
  <c r="AK868" i="64"/>
  <c r="AL868" i="64"/>
  <c r="AM868" i="64"/>
  <c r="AN868" i="64"/>
  <c r="AO868" i="64"/>
  <c r="AP868" i="64"/>
  <c r="AQ868" i="64"/>
  <c r="AR868" i="64"/>
  <c r="AS868" i="64"/>
  <c r="AT868" i="64"/>
  <c r="AU868" i="64"/>
  <c r="AV868" i="64"/>
  <c r="AW868" i="64"/>
  <c r="AX868" i="64"/>
  <c r="AY868" i="64"/>
  <c r="AZ868" i="64"/>
  <c r="BA868" i="64"/>
  <c r="BB868" i="64"/>
  <c r="BC868" i="64"/>
  <c r="BD868" i="64"/>
  <c r="BE868" i="64"/>
  <c r="BF868" i="64"/>
  <c r="D869" i="64"/>
  <c r="E869" i="64"/>
  <c r="F869" i="64"/>
  <c r="G869" i="64"/>
  <c r="H869" i="64"/>
  <c r="I869" i="64"/>
  <c r="J869" i="64"/>
  <c r="K869" i="64"/>
  <c r="L869" i="64"/>
  <c r="M869" i="64"/>
  <c r="N869" i="64"/>
  <c r="O869" i="64"/>
  <c r="P869" i="64"/>
  <c r="Q869" i="64"/>
  <c r="R869" i="64"/>
  <c r="S869" i="64"/>
  <c r="T869" i="64"/>
  <c r="U869" i="64"/>
  <c r="V869" i="64"/>
  <c r="W869" i="64"/>
  <c r="X869" i="64"/>
  <c r="Y869" i="64"/>
  <c r="Z869" i="64"/>
  <c r="AA869" i="64"/>
  <c r="AB869" i="64"/>
  <c r="AC869" i="64"/>
  <c r="AD869" i="64"/>
  <c r="AE869" i="64"/>
  <c r="AF869" i="64"/>
  <c r="AG869" i="64"/>
  <c r="AH869" i="64"/>
  <c r="AI869" i="64"/>
  <c r="AJ869" i="64"/>
  <c r="AK869" i="64"/>
  <c r="AL869" i="64"/>
  <c r="AM869" i="64"/>
  <c r="AN869" i="64"/>
  <c r="AO869" i="64"/>
  <c r="AP869" i="64"/>
  <c r="AQ869" i="64"/>
  <c r="AR869" i="64"/>
  <c r="AS869" i="64"/>
  <c r="AT869" i="64"/>
  <c r="AU869" i="64"/>
  <c r="AV869" i="64"/>
  <c r="AW869" i="64"/>
  <c r="AX869" i="64"/>
  <c r="AY869" i="64"/>
  <c r="AZ869" i="64"/>
  <c r="BA869" i="64"/>
  <c r="BB869" i="64"/>
  <c r="BC869" i="64"/>
  <c r="BD869" i="64"/>
  <c r="BE869" i="64"/>
  <c r="BF869" i="64"/>
  <c r="D870" i="64"/>
  <c r="E870" i="64"/>
  <c r="F870" i="64"/>
  <c r="G870" i="64"/>
  <c r="H870" i="64"/>
  <c r="I870" i="64"/>
  <c r="J870" i="64"/>
  <c r="K870" i="64"/>
  <c r="L870" i="64"/>
  <c r="M870" i="64"/>
  <c r="N870" i="64"/>
  <c r="O870" i="64"/>
  <c r="P870" i="64"/>
  <c r="Q870" i="64"/>
  <c r="R870" i="64"/>
  <c r="S870" i="64"/>
  <c r="T870" i="64"/>
  <c r="U870" i="64"/>
  <c r="V870" i="64"/>
  <c r="W870" i="64"/>
  <c r="X870" i="64"/>
  <c r="Y870" i="64"/>
  <c r="Z870" i="64"/>
  <c r="AA870" i="64"/>
  <c r="AB870" i="64"/>
  <c r="AC870" i="64"/>
  <c r="AD870" i="64"/>
  <c r="AE870" i="64"/>
  <c r="AF870" i="64"/>
  <c r="AG870" i="64"/>
  <c r="AH870" i="64"/>
  <c r="AI870" i="64"/>
  <c r="AJ870" i="64"/>
  <c r="AK870" i="64"/>
  <c r="AL870" i="64"/>
  <c r="AM870" i="64"/>
  <c r="AN870" i="64"/>
  <c r="AO870" i="64"/>
  <c r="AP870" i="64"/>
  <c r="AQ870" i="64"/>
  <c r="AR870" i="64"/>
  <c r="AS870" i="64"/>
  <c r="AT870" i="64"/>
  <c r="AU870" i="64"/>
  <c r="AV870" i="64"/>
  <c r="AW870" i="64"/>
  <c r="AX870" i="64"/>
  <c r="AY870" i="64"/>
  <c r="AZ870" i="64"/>
  <c r="BA870" i="64"/>
  <c r="BB870" i="64"/>
  <c r="BC870" i="64"/>
  <c r="BD870" i="64"/>
  <c r="BE870" i="64"/>
  <c r="BF870" i="64"/>
  <c r="D871" i="64"/>
  <c r="E871" i="64"/>
  <c r="F871" i="64"/>
  <c r="G871" i="64"/>
  <c r="H871" i="64"/>
  <c r="I871" i="64"/>
  <c r="J871" i="64"/>
  <c r="K871" i="64"/>
  <c r="L871" i="64"/>
  <c r="M871" i="64"/>
  <c r="N871" i="64"/>
  <c r="O871" i="64"/>
  <c r="P871" i="64"/>
  <c r="Q871" i="64"/>
  <c r="R871" i="64"/>
  <c r="S871" i="64"/>
  <c r="T871" i="64"/>
  <c r="U871" i="64"/>
  <c r="V871" i="64"/>
  <c r="W871" i="64"/>
  <c r="X871" i="64"/>
  <c r="Y871" i="64"/>
  <c r="Z871" i="64"/>
  <c r="AA871" i="64"/>
  <c r="AB871" i="64"/>
  <c r="AC871" i="64"/>
  <c r="AD871" i="64"/>
  <c r="AE871" i="64"/>
  <c r="AF871" i="64"/>
  <c r="AG871" i="64"/>
  <c r="AH871" i="64"/>
  <c r="AI871" i="64"/>
  <c r="AJ871" i="64"/>
  <c r="AK871" i="64"/>
  <c r="AL871" i="64"/>
  <c r="AM871" i="64"/>
  <c r="AN871" i="64"/>
  <c r="AO871" i="64"/>
  <c r="AP871" i="64"/>
  <c r="AQ871" i="64"/>
  <c r="AR871" i="64"/>
  <c r="AS871" i="64"/>
  <c r="AT871" i="64"/>
  <c r="AU871" i="64"/>
  <c r="AV871" i="64"/>
  <c r="AW871" i="64"/>
  <c r="AX871" i="64"/>
  <c r="AY871" i="64"/>
  <c r="AZ871" i="64"/>
  <c r="BA871" i="64"/>
  <c r="BB871" i="64"/>
  <c r="BC871" i="64"/>
  <c r="BD871" i="64"/>
  <c r="BE871" i="64"/>
  <c r="BF871" i="64"/>
  <c r="D872" i="64"/>
  <c r="E872" i="64"/>
  <c r="F872" i="64"/>
  <c r="G872" i="64"/>
  <c r="H872" i="64"/>
  <c r="I872" i="64"/>
  <c r="J872" i="64"/>
  <c r="K872" i="64"/>
  <c r="L872" i="64"/>
  <c r="M872" i="64"/>
  <c r="N872" i="64"/>
  <c r="O872" i="64"/>
  <c r="P872" i="64"/>
  <c r="Q872" i="64"/>
  <c r="R872" i="64"/>
  <c r="S872" i="64"/>
  <c r="T872" i="64"/>
  <c r="U872" i="64"/>
  <c r="V872" i="64"/>
  <c r="W872" i="64"/>
  <c r="X872" i="64"/>
  <c r="Y872" i="64"/>
  <c r="Z872" i="64"/>
  <c r="AA872" i="64"/>
  <c r="AB872" i="64"/>
  <c r="AC872" i="64"/>
  <c r="AD872" i="64"/>
  <c r="AE872" i="64"/>
  <c r="AF872" i="64"/>
  <c r="AG872" i="64"/>
  <c r="AH872" i="64"/>
  <c r="AI872" i="64"/>
  <c r="AJ872" i="64"/>
  <c r="AK872" i="64"/>
  <c r="AL872" i="64"/>
  <c r="AM872" i="64"/>
  <c r="AN872" i="64"/>
  <c r="AO872" i="64"/>
  <c r="AP872" i="64"/>
  <c r="AQ872" i="64"/>
  <c r="AR872" i="64"/>
  <c r="AS872" i="64"/>
  <c r="AT872" i="64"/>
  <c r="AU872" i="64"/>
  <c r="AV872" i="64"/>
  <c r="AW872" i="64"/>
  <c r="AX872" i="64"/>
  <c r="AY872" i="64"/>
  <c r="AZ872" i="64"/>
  <c r="BA872" i="64"/>
  <c r="BB872" i="64"/>
  <c r="BC872" i="64"/>
  <c r="BD872" i="64"/>
  <c r="BE872" i="64"/>
  <c r="BF872" i="64"/>
  <c r="D873" i="64"/>
  <c r="E873" i="64"/>
  <c r="F873" i="64"/>
  <c r="G873" i="64"/>
  <c r="H873" i="64"/>
  <c r="I873" i="64"/>
  <c r="J873" i="64"/>
  <c r="K873" i="64"/>
  <c r="L873" i="64"/>
  <c r="M873" i="64"/>
  <c r="N873" i="64"/>
  <c r="O873" i="64"/>
  <c r="P873" i="64"/>
  <c r="Q873" i="64"/>
  <c r="R873" i="64"/>
  <c r="S873" i="64"/>
  <c r="T873" i="64"/>
  <c r="U873" i="64"/>
  <c r="V873" i="64"/>
  <c r="W873" i="64"/>
  <c r="X873" i="64"/>
  <c r="Y873" i="64"/>
  <c r="Z873" i="64"/>
  <c r="AA873" i="64"/>
  <c r="AB873" i="64"/>
  <c r="AC873" i="64"/>
  <c r="AD873" i="64"/>
  <c r="AE873" i="64"/>
  <c r="AF873" i="64"/>
  <c r="AG873" i="64"/>
  <c r="AH873" i="64"/>
  <c r="AI873" i="64"/>
  <c r="AJ873" i="64"/>
  <c r="AK873" i="64"/>
  <c r="AL873" i="64"/>
  <c r="AM873" i="64"/>
  <c r="AN873" i="64"/>
  <c r="AO873" i="64"/>
  <c r="AP873" i="64"/>
  <c r="AQ873" i="64"/>
  <c r="AR873" i="64"/>
  <c r="AS873" i="64"/>
  <c r="AT873" i="64"/>
  <c r="AU873" i="64"/>
  <c r="AV873" i="64"/>
  <c r="AW873" i="64"/>
  <c r="AX873" i="64"/>
  <c r="AY873" i="64"/>
  <c r="AZ873" i="64"/>
  <c r="BA873" i="64"/>
  <c r="BB873" i="64"/>
  <c r="BC873" i="64"/>
  <c r="BD873" i="64"/>
  <c r="BE873" i="64"/>
  <c r="BF873" i="64"/>
  <c r="D874" i="64"/>
  <c r="E874" i="64"/>
  <c r="F874" i="64"/>
  <c r="G874" i="64"/>
  <c r="H874" i="64"/>
  <c r="I874" i="64"/>
  <c r="J874" i="64"/>
  <c r="K874" i="64"/>
  <c r="L874" i="64"/>
  <c r="M874" i="64"/>
  <c r="N874" i="64"/>
  <c r="O874" i="64"/>
  <c r="P874" i="64"/>
  <c r="Q874" i="64"/>
  <c r="R874" i="64"/>
  <c r="S874" i="64"/>
  <c r="T874" i="64"/>
  <c r="U874" i="64"/>
  <c r="V874" i="64"/>
  <c r="W874" i="64"/>
  <c r="X874" i="64"/>
  <c r="Y874" i="64"/>
  <c r="Z874" i="64"/>
  <c r="AA874" i="64"/>
  <c r="AB874" i="64"/>
  <c r="AC874" i="64"/>
  <c r="AD874" i="64"/>
  <c r="AE874" i="64"/>
  <c r="AF874" i="64"/>
  <c r="AG874" i="64"/>
  <c r="AH874" i="64"/>
  <c r="AI874" i="64"/>
  <c r="AJ874" i="64"/>
  <c r="AK874" i="64"/>
  <c r="AL874" i="64"/>
  <c r="AM874" i="64"/>
  <c r="AN874" i="64"/>
  <c r="AO874" i="64"/>
  <c r="AP874" i="64"/>
  <c r="AQ874" i="64"/>
  <c r="AR874" i="64"/>
  <c r="AS874" i="64"/>
  <c r="AT874" i="64"/>
  <c r="AU874" i="64"/>
  <c r="AV874" i="64"/>
  <c r="AW874" i="64"/>
  <c r="AX874" i="64"/>
  <c r="AY874" i="64"/>
  <c r="AZ874" i="64"/>
  <c r="BA874" i="64"/>
  <c r="BB874" i="64"/>
  <c r="BC874" i="64"/>
  <c r="BD874" i="64"/>
  <c r="BE874" i="64"/>
  <c r="BF874" i="64"/>
  <c r="D875" i="64"/>
  <c r="E875" i="64"/>
  <c r="F875" i="64"/>
  <c r="G875" i="64"/>
  <c r="H875" i="64"/>
  <c r="I875" i="64"/>
  <c r="J875" i="64"/>
  <c r="K875" i="64"/>
  <c r="L875" i="64"/>
  <c r="M875" i="64"/>
  <c r="N875" i="64"/>
  <c r="O875" i="64"/>
  <c r="P875" i="64"/>
  <c r="Q875" i="64"/>
  <c r="R875" i="64"/>
  <c r="S875" i="64"/>
  <c r="T875" i="64"/>
  <c r="U875" i="64"/>
  <c r="V875" i="64"/>
  <c r="W875" i="64"/>
  <c r="X875" i="64"/>
  <c r="Y875" i="64"/>
  <c r="Z875" i="64"/>
  <c r="AA875" i="64"/>
  <c r="AB875" i="64"/>
  <c r="AC875" i="64"/>
  <c r="AD875" i="64"/>
  <c r="AE875" i="64"/>
  <c r="AF875" i="64"/>
  <c r="AG875" i="64"/>
  <c r="AH875" i="64"/>
  <c r="AI875" i="64"/>
  <c r="AJ875" i="64"/>
  <c r="AK875" i="64"/>
  <c r="AL875" i="64"/>
  <c r="AM875" i="64"/>
  <c r="AN875" i="64"/>
  <c r="AO875" i="64"/>
  <c r="AP875" i="64"/>
  <c r="AQ875" i="64"/>
  <c r="AR875" i="64"/>
  <c r="AS875" i="64"/>
  <c r="AT875" i="64"/>
  <c r="AU875" i="64"/>
  <c r="AV875" i="64"/>
  <c r="AW875" i="64"/>
  <c r="AX875" i="64"/>
  <c r="AY875" i="64"/>
  <c r="AZ875" i="64"/>
  <c r="BA875" i="64"/>
  <c r="BB875" i="64"/>
  <c r="BC875" i="64"/>
  <c r="BD875" i="64"/>
  <c r="BE875" i="64"/>
  <c r="BF875" i="64"/>
  <c r="D876" i="64"/>
  <c r="E876" i="64"/>
  <c r="F876" i="64"/>
  <c r="G876" i="64"/>
  <c r="H876" i="64"/>
  <c r="I876" i="64"/>
  <c r="J876" i="64"/>
  <c r="K876" i="64"/>
  <c r="L876" i="64"/>
  <c r="M876" i="64"/>
  <c r="N876" i="64"/>
  <c r="O876" i="64"/>
  <c r="P876" i="64"/>
  <c r="Q876" i="64"/>
  <c r="R876" i="64"/>
  <c r="S876" i="64"/>
  <c r="T876" i="64"/>
  <c r="U876" i="64"/>
  <c r="V876" i="64"/>
  <c r="W876" i="64"/>
  <c r="X876" i="64"/>
  <c r="Y876" i="64"/>
  <c r="Z876" i="64"/>
  <c r="AA876" i="64"/>
  <c r="AB876" i="64"/>
  <c r="AC876" i="64"/>
  <c r="AD876" i="64"/>
  <c r="AE876" i="64"/>
  <c r="AF876" i="64"/>
  <c r="AG876" i="64"/>
  <c r="AH876" i="64"/>
  <c r="AI876" i="64"/>
  <c r="AJ876" i="64"/>
  <c r="AK876" i="64"/>
  <c r="AL876" i="64"/>
  <c r="AM876" i="64"/>
  <c r="AN876" i="64"/>
  <c r="AO876" i="64"/>
  <c r="AP876" i="64"/>
  <c r="AQ876" i="64"/>
  <c r="AR876" i="64"/>
  <c r="AS876" i="64"/>
  <c r="AT876" i="64"/>
  <c r="AU876" i="64"/>
  <c r="AV876" i="64"/>
  <c r="AW876" i="64"/>
  <c r="AX876" i="64"/>
  <c r="AY876" i="64"/>
  <c r="AZ876" i="64"/>
  <c r="BA876" i="64"/>
  <c r="BB876" i="64"/>
  <c r="BC876" i="64"/>
  <c r="BD876" i="64"/>
  <c r="BE876" i="64"/>
  <c r="BF876" i="64"/>
  <c r="D877" i="64"/>
  <c r="E877" i="64"/>
  <c r="F877" i="64"/>
  <c r="G877" i="64"/>
  <c r="H877" i="64"/>
  <c r="I877" i="64"/>
  <c r="J877" i="64"/>
  <c r="K877" i="64"/>
  <c r="L877" i="64"/>
  <c r="M877" i="64"/>
  <c r="N877" i="64"/>
  <c r="O877" i="64"/>
  <c r="P877" i="64"/>
  <c r="Q877" i="64"/>
  <c r="R877" i="64"/>
  <c r="S877" i="64"/>
  <c r="T877" i="64"/>
  <c r="U877" i="64"/>
  <c r="V877" i="64"/>
  <c r="W877" i="64"/>
  <c r="X877" i="64"/>
  <c r="Y877" i="64"/>
  <c r="Z877" i="64"/>
  <c r="AA877" i="64"/>
  <c r="AB877" i="64"/>
  <c r="AC877" i="64"/>
  <c r="AD877" i="64"/>
  <c r="AE877" i="64"/>
  <c r="AF877" i="64"/>
  <c r="AG877" i="64"/>
  <c r="AH877" i="64"/>
  <c r="AI877" i="64"/>
  <c r="AJ877" i="64"/>
  <c r="AK877" i="64"/>
  <c r="AL877" i="64"/>
  <c r="AM877" i="64"/>
  <c r="AN877" i="64"/>
  <c r="AO877" i="64"/>
  <c r="AP877" i="64"/>
  <c r="AQ877" i="64"/>
  <c r="AR877" i="64"/>
  <c r="AS877" i="64"/>
  <c r="AT877" i="64"/>
  <c r="AU877" i="64"/>
  <c r="AV877" i="64"/>
  <c r="AW877" i="64"/>
  <c r="AX877" i="64"/>
  <c r="AY877" i="64"/>
  <c r="AZ877" i="64"/>
  <c r="BA877" i="64"/>
  <c r="BB877" i="64"/>
  <c r="BC877" i="64"/>
  <c r="BD877" i="64"/>
  <c r="BE877" i="64"/>
  <c r="BF877" i="64"/>
  <c r="D878" i="64"/>
  <c r="E878" i="64"/>
  <c r="F878" i="64"/>
  <c r="G878" i="64"/>
  <c r="H878" i="64"/>
  <c r="I878" i="64"/>
  <c r="J878" i="64"/>
  <c r="K878" i="64"/>
  <c r="L878" i="64"/>
  <c r="M878" i="64"/>
  <c r="N878" i="64"/>
  <c r="O878" i="64"/>
  <c r="P878" i="64"/>
  <c r="Q878" i="64"/>
  <c r="R878" i="64"/>
  <c r="S878" i="64"/>
  <c r="T878" i="64"/>
  <c r="U878" i="64"/>
  <c r="V878" i="64"/>
  <c r="W878" i="64"/>
  <c r="X878" i="64"/>
  <c r="Y878" i="64"/>
  <c r="Z878" i="64"/>
  <c r="AA878" i="64"/>
  <c r="AB878" i="64"/>
  <c r="AC878" i="64"/>
  <c r="AD878" i="64"/>
  <c r="AE878" i="64"/>
  <c r="AF878" i="64"/>
  <c r="AG878" i="64"/>
  <c r="AH878" i="64"/>
  <c r="AI878" i="64"/>
  <c r="AJ878" i="64"/>
  <c r="AK878" i="64"/>
  <c r="AL878" i="64"/>
  <c r="AM878" i="64"/>
  <c r="AN878" i="64"/>
  <c r="AO878" i="64"/>
  <c r="AP878" i="64"/>
  <c r="AQ878" i="64"/>
  <c r="AR878" i="64"/>
  <c r="AS878" i="64"/>
  <c r="AT878" i="64"/>
  <c r="AU878" i="64"/>
  <c r="AV878" i="64"/>
  <c r="AW878" i="64"/>
  <c r="AX878" i="64"/>
  <c r="AY878" i="64"/>
  <c r="AZ878" i="64"/>
  <c r="BA878" i="64"/>
  <c r="BB878" i="64"/>
  <c r="BC878" i="64"/>
  <c r="BD878" i="64"/>
  <c r="BE878" i="64"/>
  <c r="BF878" i="64"/>
  <c r="D879" i="64"/>
  <c r="E879" i="64"/>
  <c r="F879" i="64"/>
  <c r="G879" i="64"/>
  <c r="H879" i="64"/>
  <c r="I879" i="64"/>
  <c r="J879" i="64"/>
  <c r="K879" i="64"/>
  <c r="L879" i="64"/>
  <c r="M879" i="64"/>
  <c r="N879" i="64"/>
  <c r="O879" i="64"/>
  <c r="P879" i="64"/>
  <c r="Q879" i="64"/>
  <c r="R879" i="64"/>
  <c r="S879" i="64"/>
  <c r="T879" i="64"/>
  <c r="U879" i="64"/>
  <c r="V879" i="64"/>
  <c r="W879" i="64"/>
  <c r="X879" i="64"/>
  <c r="Y879" i="64"/>
  <c r="Z879" i="64"/>
  <c r="AA879" i="64"/>
  <c r="AB879" i="64"/>
  <c r="AC879" i="64"/>
  <c r="AD879" i="64"/>
  <c r="AE879" i="64"/>
  <c r="AF879" i="64"/>
  <c r="AG879" i="64"/>
  <c r="AH879" i="64"/>
  <c r="AI879" i="64"/>
  <c r="AJ879" i="64"/>
  <c r="AK879" i="64"/>
  <c r="AL879" i="64"/>
  <c r="AM879" i="64"/>
  <c r="AN879" i="64"/>
  <c r="AO879" i="64"/>
  <c r="AP879" i="64"/>
  <c r="AQ879" i="64"/>
  <c r="AR879" i="64"/>
  <c r="AS879" i="64"/>
  <c r="AT879" i="64"/>
  <c r="AU879" i="64"/>
  <c r="AV879" i="64"/>
  <c r="AW879" i="64"/>
  <c r="AX879" i="64"/>
  <c r="AY879" i="64"/>
  <c r="AZ879" i="64"/>
  <c r="BA879" i="64"/>
  <c r="BB879" i="64"/>
  <c r="BC879" i="64"/>
  <c r="BD879" i="64"/>
  <c r="BE879" i="64"/>
  <c r="BF879" i="64"/>
  <c r="D880" i="64"/>
  <c r="E880" i="64"/>
  <c r="F880" i="64"/>
  <c r="G880" i="64"/>
  <c r="H880" i="64"/>
  <c r="I880" i="64"/>
  <c r="J880" i="64"/>
  <c r="K880" i="64"/>
  <c r="L880" i="64"/>
  <c r="M880" i="64"/>
  <c r="N880" i="64"/>
  <c r="O880" i="64"/>
  <c r="P880" i="64"/>
  <c r="Q880" i="64"/>
  <c r="R880" i="64"/>
  <c r="S880" i="64"/>
  <c r="T880" i="64"/>
  <c r="U880" i="64"/>
  <c r="V880" i="64"/>
  <c r="W880" i="64"/>
  <c r="X880" i="64"/>
  <c r="Y880" i="64"/>
  <c r="Z880" i="64"/>
  <c r="AA880" i="64"/>
  <c r="AB880" i="64"/>
  <c r="AC880" i="64"/>
  <c r="AD880" i="64"/>
  <c r="AE880" i="64"/>
  <c r="AF880" i="64"/>
  <c r="AG880" i="64"/>
  <c r="AH880" i="64"/>
  <c r="AI880" i="64"/>
  <c r="AJ880" i="64"/>
  <c r="AK880" i="64"/>
  <c r="AL880" i="64"/>
  <c r="AM880" i="64"/>
  <c r="AN880" i="64"/>
  <c r="AO880" i="64"/>
  <c r="AP880" i="64"/>
  <c r="AQ880" i="64"/>
  <c r="AR880" i="64"/>
  <c r="AS880" i="64"/>
  <c r="AT880" i="64"/>
  <c r="AU880" i="64"/>
  <c r="AV880" i="64"/>
  <c r="AW880" i="64"/>
  <c r="AX880" i="64"/>
  <c r="AY880" i="64"/>
  <c r="AZ880" i="64"/>
  <c r="BA880" i="64"/>
  <c r="BB880" i="64"/>
  <c r="BC880" i="64"/>
  <c r="BD880" i="64"/>
  <c r="BE880" i="64"/>
  <c r="BF880" i="64"/>
  <c r="D881" i="64"/>
  <c r="E881" i="64"/>
  <c r="F881" i="64"/>
  <c r="G881" i="64"/>
  <c r="H881" i="64"/>
  <c r="I881" i="64"/>
  <c r="J881" i="64"/>
  <c r="K881" i="64"/>
  <c r="L881" i="64"/>
  <c r="M881" i="64"/>
  <c r="N881" i="64"/>
  <c r="O881" i="64"/>
  <c r="P881" i="64"/>
  <c r="Q881" i="64"/>
  <c r="R881" i="64"/>
  <c r="S881" i="64"/>
  <c r="T881" i="64"/>
  <c r="U881" i="64"/>
  <c r="V881" i="64"/>
  <c r="W881" i="64"/>
  <c r="X881" i="64"/>
  <c r="Y881" i="64"/>
  <c r="Z881" i="64"/>
  <c r="AA881" i="64"/>
  <c r="AB881" i="64"/>
  <c r="AC881" i="64"/>
  <c r="AD881" i="64"/>
  <c r="AE881" i="64"/>
  <c r="AF881" i="64"/>
  <c r="AG881" i="64"/>
  <c r="AH881" i="64"/>
  <c r="AI881" i="64"/>
  <c r="AJ881" i="64"/>
  <c r="AK881" i="64"/>
  <c r="AL881" i="64"/>
  <c r="AM881" i="64"/>
  <c r="AN881" i="64"/>
  <c r="AO881" i="64"/>
  <c r="AP881" i="64"/>
  <c r="AQ881" i="64"/>
  <c r="AR881" i="64"/>
  <c r="AS881" i="64"/>
  <c r="AT881" i="64"/>
  <c r="AU881" i="64"/>
  <c r="AV881" i="64"/>
  <c r="AW881" i="64"/>
  <c r="AX881" i="64"/>
  <c r="AY881" i="64"/>
  <c r="AZ881" i="64"/>
  <c r="BA881" i="64"/>
  <c r="BB881" i="64"/>
  <c r="BC881" i="64"/>
  <c r="BD881" i="64"/>
  <c r="BE881" i="64"/>
  <c r="BF881" i="64"/>
  <c r="D882" i="64"/>
  <c r="E882" i="64"/>
  <c r="F882" i="64"/>
  <c r="G882" i="64"/>
  <c r="H882" i="64"/>
  <c r="I882" i="64"/>
  <c r="J882" i="64"/>
  <c r="K882" i="64"/>
  <c r="L882" i="64"/>
  <c r="M882" i="64"/>
  <c r="N882" i="64"/>
  <c r="O882" i="64"/>
  <c r="P882" i="64"/>
  <c r="Q882" i="64"/>
  <c r="R882" i="64"/>
  <c r="S882" i="64"/>
  <c r="T882" i="64"/>
  <c r="U882" i="64"/>
  <c r="V882" i="64"/>
  <c r="W882" i="64"/>
  <c r="X882" i="64"/>
  <c r="Y882" i="64"/>
  <c r="Z882" i="64"/>
  <c r="AA882" i="64"/>
  <c r="AB882" i="64"/>
  <c r="AC882" i="64"/>
  <c r="AD882" i="64"/>
  <c r="AE882" i="64"/>
  <c r="AF882" i="64"/>
  <c r="AG882" i="64"/>
  <c r="AH882" i="64"/>
  <c r="AI882" i="64"/>
  <c r="AJ882" i="64"/>
  <c r="AK882" i="64"/>
  <c r="AL882" i="64"/>
  <c r="AM882" i="64"/>
  <c r="AN882" i="64"/>
  <c r="AO882" i="64"/>
  <c r="AP882" i="64"/>
  <c r="AQ882" i="64"/>
  <c r="AR882" i="64"/>
  <c r="AS882" i="64"/>
  <c r="AT882" i="64"/>
  <c r="AU882" i="64"/>
  <c r="AV882" i="64"/>
  <c r="AW882" i="64"/>
  <c r="AX882" i="64"/>
  <c r="AY882" i="64"/>
  <c r="AZ882" i="64"/>
  <c r="BA882" i="64"/>
  <c r="BB882" i="64"/>
  <c r="BC882" i="64"/>
  <c r="BD882" i="64"/>
  <c r="BE882" i="64"/>
  <c r="BF882" i="64"/>
  <c r="D883" i="64"/>
  <c r="E883" i="64"/>
  <c r="F883" i="64"/>
  <c r="G883" i="64"/>
  <c r="H883" i="64"/>
  <c r="I883" i="64"/>
  <c r="J883" i="64"/>
  <c r="K883" i="64"/>
  <c r="L883" i="64"/>
  <c r="M883" i="64"/>
  <c r="N883" i="64"/>
  <c r="O883" i="64"/>
  <c r="P883" i="64"/>
  <c r="Q883" i="64"/>
  <c r="R883" i="64"/>
  <c r="S883" i="64"/>
  <c r="T883" i="64"/>
  <c r="U883" i="64"/>
  <c r="V883" i="64"/>
  <c r="W883" i="64"/>
  <c r="X883" i="64"/>
  <c r="Y883" i="64"/>
  <c r="Z883" i="64"/>
  <c r="AA883" i="64"/>
  <c r="AB883" i="64"/>
  <c r="AC883" i="64"/>
  <c r="AD883" i="64"/>
  <c r="AE883" i="64"/>
  <c r="AF883" i="64"/>
  <c r="AG883" i="64"/>
  <c r="AH883" i="64"/>
  <c r="AI883" i="64"/>
  <c r="AJ883" i="64"/>
  <c r="AK883" i="64"/>
  <c r="AL883" i="64"/>
  <c r="AM883" i="64"/>
  <c r="AN883" i="64"/>
  <c r="AO883" i="64"/>
  <c r="AP883" i="64"/>
  <c r="AQ883" i="64"/>
  <c r="AR883" i="64"/>
  <c r="AS883" i="64"/>
  <c r="AT883" i="64"/>
  <c r="AU883" i="64"/>
  <c r="AV883" i="64"/>
  <c r="AW883" i="64"/>
  <c r="AX883" i="64"/>
  <c r="AY883" i="64"/>
  <c r="AZ883" i="64"/>
  <c r="BA883" i="64"/>
  <c r="BB883" i="64"/>
  <c r="BC883" i="64"/>
  <c r="BD883" i="64"/>
  <c r="BE883" i="64"/>
  <c r="BF883" i="64"/>
  <c r="D884" i="64"/>
  <c r="E884" i="64"/>
  <c r="F884" i="64"/>
  <c r="G884" i="64"/>
  <c r="H884" i="64"/>
  <c r="I884" i="64"/>
  <c r="J884" i="64"/>
  <c r="K884" i="64"/>
  <c r="L884" i="64"/>
  <c r="M884" i="64"/>
  <c r="N884" i="64"/>
  <c r="O884" i="64"/>
  <c r="P884" i="64"/>
  <c r="Q884" i="64"/>
  <c r="R884" i="64"/>
  <c r="S884" i="64"/>
  <c r="T884" i="64"/>
  <c r="U884" i="64"/>
  <c r="V884" i="64"/>
  <c r="W884" i="64"/>
  <c r="X884" i="64"/>
  <c r="Y884" i="64"/>
  <c r="Z884" i="64"/>
  <c r="AA884" i="64"/>
  <c r="AB884" i="64"/>
  <c r="AC884" i="64"/>
  <c r="AD884" i="64"/>
  <c r="AE884" i="64"/>
  <c r="AF884" i="64"/>
  <c r="AG884" i="64"/>
  <c r="AH884" i="64"/>
  <c r="AI884" i="64"/>
  <c r="AJ884" i="64"/>
  <c r="AK884" i="64"/>
  <c r="AL884" i="64"/>
  <c r="AM884" i="64"/>
  <c r="AN884" i="64"/>
  <c r="AO884" i="64"/>
  <c r="AP884" i="64"/>
  <c r="AQ884" i="64"/>
  <c r="AR884" i="64"/>
  <c r="AS884" i="64"/>
  <c r="AT884" i="64"/>
  <c r="AU884" i="64"/>
  <c r="AV884" i="64"/>
  <c r="AW884" i="64"/>
  <c r="AX884" i="64"/>
  <c r="AY884" i="64"/>
  <c r="AZ884" i="64"/>
  <c r="BA884" i="64"/>
  <c r="BB884" i="64"/>
  <c r="BC884" i="64"/>
  <c r="BD884" i="64"/>
  <c r="BE884" i="64"/>
  <c r="BF884" i="64"/>
  <c r="D885" i="64"/>
  <c r="E885" i="64"/>
  <c r="F885" i="64"/>
  <c r="G885" i="64"/>
  <c r="H885" i="64"/>
  <c r="I885" i="64"/>
  <c r="J885" i="64"/>
  <c r="K885" i="64"/>
  <c r="L885" i="64"/>
  <c r="M885" i="64"/>
  <c r="N885" i="64"/>
  <c r="O885" i="64"/>
  <c r="P885" i="64"/>
  <c r="Q885" i="64"/>
  <c r="R885" i="64"/>
  <c r="S885" i="64"/>
  <c r="T885" i="64"/>
  <c r="U885" i="64"/>
  <c r="V885" i="64"/>
  <c r="W885" i="64"/>
  <c r="X885" i="64"/>
  <c r="Y885" i="64"/>
  <c r="Z885" i="64"/>
  <c r="AA885" i="64"/>
  <c r="AB885" i="64"/>
  <c r="AC885" i="64"/>
  <c r="AD885" i="64"/>
  <c r="AE885" i="64"/>
  <c r="AF885" i="64"/>
  <c r="AG885" i="64"/>
  <c r="AH885" i="64"/>
  <c r="AI885" i="64"/>
  <c r="AJ885" i="64"/>
  <c r="AK885" i="64"/>
  <c r="AL885" i="64"/>
  <c r="AM885" i="64"/>
  <c r="AN885" i="64"/>
  <c r="AO885" i="64"/>
  <c r="AP885" i="64"/>
  <c r="AQ885" i="64"/>
  <c r="AR885" i="64"/>
  <c r="AS885" i="64"/>
  <c r="AT885" i="64"/>
  <c r="AU885" i="64"/>
  <c r="AV885" i="64"/>
  <c r="AW885" i="64"/>
  <c r="AX885" i="64"/>
  <c r="AY885" i="64"/>
  <c r="AZ885" i="64"/>
  <c r="BA885" i="64"/>
  <c r="BB885" i="64"/>
  <c r="BC885" i="64"/>
  <c r="BD885" i="64"/>
  <c r="BE885" i="64"/>
  <c r="BF885" i="64"/>
  <c r="D886" i="64"/>
  <c r="E886" i="64"/>
  <c r="F886" i="64"/>
  <c r="G886" i="64"/>
  <c r="H886" i="64"/>
  <c r="I886" i="64"/>
  <c r="J886" i="64"/>
  <c r="K886" i="64"/>
  <c r="L886" i="64"/>
  <c r="M886" i="64"/>
  <c r="N886" i="64"/>
  <c r="O886" i="64"/>
  <c r="P886" i="64"/>
  <c r="Q886" i="64"/>
  <c r="R886" i="64"/>
  <c r="S886" i="64"/>
  <c r="T886" i="64"/>
  <c r="U886" i="64"/>
  <c r="V886" i="64"/>
  <c r="W886" i="64"/>
  <c r="X886" i="64"/>
  <c r="Y886" i="64"/>
  <c r="Z886" i="64"/>
  <c r="AA886" i="64"/>
  <c r="AB886" i="64"/>
  <c r="AC886" i="64"/>
  <c r="AD886" i="64"/>
  <c r="AE886" i="64"/>
  <c r="AF886" i="64"/>
  <c r="AG886" i="64"/>
  <c r="AH886" i="64"/>
  <c r="AI886" i="64"/>
  <c r="AJ886" i="64"/>
  <c r="AK886" i="64"/>
  <c r="AL886" i="64"/>
  <c r="AM886" i="64"/>
  <c r="AN886" i="64"/>
  <c r="AO886" i="64"/>
  <c r="AP886" i="64"/>
  <c r="AQ886" i="64"/>
  <c r="AR886" i="64"/>
  <c r="AS886" i="64"/>
  <c r="AT886" i="64"/>
  <c r="AU886" i="64"/>
  <c r="AV886" i="64"/>
  <c r="AW886" i="64"/>
  <c r="AX886" i="64"/>
  <c r="AY886" i="64"/>
  <c r="AZ886" i="64"/>
  <c r="BA886" i="64"/>
  <c r="BB886" i="64"/>
  <c r="BC886" i="64"/>
  <c r="BD886" i="64"/>
  <c r="BE886" i="64"/>
  <c r="BF886" i="64"/>
  <c r="D887" i="64"/>
  <c r="E887" i="64"/>
  <c r="F887" i="64"/>
  <c r="G887" i="64"/>
  <c r="H887" i="64"/>
  <c r="I887" i="64"/>
  <c r="J887" i="64"/>
  <c r="K887" i="64"/>
  <c r="L887" i="64"/>
  <c r="M887" i="64"/>
  <c r="N887" i="64"/>
  <c r="O887" i="64"/>
  <c r="P887" i="64"/>
  <c r="Q887" i="64"/>
  <c r="R887" i="64"/>
  <c r="S887" i="64"/>
  <c r="T887" i="64"/>
  <c r="U887" i="64"/>
  <c r="V887" i="64"/>
  <c r="W887" i="64"/>
  <c r="X887" i="64"/>
  <c r="Y887" i="64"/>
  <c r="Z887" i="64"/>
  <c r="AA887" i="64"/>
  <c r="AB887" i="64"/>
  <c r="AC887" i="64"/>
  <c r="AD887" i="64"/>
  <c r="AE887" i="64"/>
  <c r="AF887" i="64"/>
  <c r="AG887" i="64"/>
  <c r="AH887" i="64"/>
  <c r="AI887" i="64"/>
  <c r="AJ887" i="64"/>
  <c r="AK887" i="64"/>
  <c r="AL887" i="64"/>
  <c r="AM887" i="64"/>
  <c r="AN887" i="64"/>
  <c r="AO887" i="64"/>
  <c r="AP887" i="64"/>
  <c r="AQ887" i="64"/>
  <c r="AR887" i="64"/>
  <c r="AS887" i="64"/>
  <c r="AT887" i="64"/>
  <c r="AU887" i="64"/>
  <c r="AV887" i="64"/>
  <c r="AW887" i="64"/>
  <c r="AX887" i="64"/>
  <c r="AY887" i="64"/>
  <c r="AZ887" i="64"/>
  <c r="BA887" i="64"/>
  <c r="BB887" i="64"/>
  <c r="BC887" i="64"/>
  <c r="BD887" i="64"/>
  <c r="BE887" i="64"/>
  <c r="BF887" i="64"/>
  <c r="D888" i="64"/>
  <c r="E888" i="64"/>
  <c r="F888" i="64"/>
  <c r="G888" i="64"/>
  <c r="H888" i="64"/>
  <c r="I888" i="64"/>
  <c r="J888" i="64"/>
  <c r="K888" i="64"/>
  <c r="L888" i="64"/>
  <c r="M888" i="64"/>
  <c r="N888" i="64"/>
  <c r="O888" i="64"/>
  <c r="P888" i="64"/>
  <c r="Q888" i="64"/>
  <c r="R888" i="64"/>
  <c r="S888" i="64"/>
  <c r="T888" i="64"/>
  <c r="U888" i="64"/>
  <c r="V888" i="64"/>
  <c r="W888" i="64"/>
  <c r="X888" i="64"/>
  <c r="Y888" i="64"/>
  <c r="Z888" i="64"/>
  <c r="AA888" i="64"/>
  <c r="AB888" i="64"/>
  <c r="AC888" i="64"/>
  <c r="AD888" i="64"/>
  <c r="AE888" i="64"/>
  <c r="AF888" i="64"/>
  <c r="AG888" i="64"/>
  <c r="AH888" i="64"/>
  <c r="AI888" i="64"/>
  <c r="AJ888" i="64"/>
  <c r="AK888" i="64"/>
  <c r="AL888" i="64"/>
  <c r="AM888" i="64"/>
  <c r="AN888" i="64"/>
  <c r="AO888" i="64"/>
  <c r="AP888" i="64"/>
  <c r="AQ888" i="64"/>
  <c r="AR888" i="64"/>
  <c r="AS888" i="64"/>
  <c r="AT888" i="64"/>
  <c r="AU888" i="64"/>
  <c r="AV888" i="64"/>
  <c r="AW888" i="64"/>
  <c r="AX888" i="64"/>
  <c r="AY888" i="64"/>
  <c r="AZ888" i="64"/>
  <c r="BA888" i="64"/>
  <c r="BB888" i="64"/>
  <c r="BC888" i="64"/>
  <c r="BD888" i="64"/>
  <c r="BE888" i="64"/>
  <c r="BF888" i="64"/>
  <c r="C860" i="64"/>
  <c r="C861" i="64"/>
  <c r="C862" i="64"/>
  <c r="C863" i="64"/>
  <c r="C864" i="64"/>
  <c r="C865" i="64"/>
  <c r="C866" i="64"/>
  <c r="C867" i="64"/>
  <c r="C868" i="64"/>
  <c r="C869" i="64"/>
  <c r="C870" i="64"/>
  <c r="C871" i="64"/>
  <c r="C872" i="64"/>
  <c r="C873" i="64"/>
  <c r="C874" i="64"/>
  <c r="C875" i="64"/>
  <c r="C876" i="64"/>
  <c r="C877" i="64"/>
  <c r="C878" i="64"/>
  <c r="C879" i="64"/>
  <c r="C880" i="64"/>
  <c r="C881" i="64"/>
  <c r="C882" i="64"/>
  <c r="C883" i="64"/>
  <c r="C884" i="64"/>
  <c r="C885" i="64"/>
  <c r="C886" i="64"/>
  <c r="C887" i="64"/>
  <c r="C888" i="64"/>
  <c r="C859" i="64"/>
  <c r="D825" i="64"/>
  <c r="E825" i="64"/>
  <c r="F825" i="64"/>
  <c r="G825" i="64"/>
  <c r="H825" i="64"/>
  <c r="I825" i="64"/>
  <c r="J825" i="64"/>
  <c r="K825" i="64"/>
  <c r="L825" i="64"/>
  <c r="M825" i="64"/>
  <c r="N825" i="64"/>
  <c r="O825" i="64"/>
  <c r="P825" i="64"/>
  <c r="Q825" i="64"/>
  <c r="R825" i="64"/>
  <c r="S825" i="64"/>
  <c r="T825" i="64"/>
  <c r="U825" i="64"/>
  <c r="V825" i="64"/>
  <c r="W825" i="64"/>
  <c r="X825" i="64"/>
  <c r="Y825" i="64"/>
  <c r="Z825" i="64"/>
  <c r="AA825" i="64"/>
  <c r="AB825" i="64"/>
  <c r="AC825" i="64"/>
  <c r="AD825" i="64"/>
  <c r="AE825" i="64"/>
  <c r="AF825" i="64"/>
  <c r="AG825" i="64"/>
  <c r="AH825" i="64"/>
  <c r="AI825" i="64"/>
  <c r="AJ825" i="64"/>
  <c r="AK825" i="64"/>
  <c r="AL825" i="64"/>
  <c r="AM825" i="64"/>
  <c r="AN825" i="64"/>
  <c r="AO825" i="64"/>
  <c r="AP825" i="64"/>
  <c r="AQ825" i="64"/>
  <c r="AR825" i="64"/>
  <c r="AS825" i="64"/>
  <c r="AT825" i="64"/>
  <c r="AU825" i="64"/>
  <c r="AV825" i="64"/>
  <c r="AW825" i="64"/>
  <c r="AX825" i="64"/>
  <c r="AY825" i="64"/>
  <c r="AZ825" i="64"/>
  <c r="BA825" i="64"/>
  <c r="BB825" i="64"/>
  <c r="BC825" i="64"/>
  <c r="BD825" i="64"/>
  <c r="BE825" i="64"/>
  <c r="BF825" i="64"/>
  <c r="D826" i="64"/>
  <c r="E826" i="64"/>
  <c r="F826" i="64"/>
  <c r="G826" i="64"/>
  <c r="H826" i="64"/>
  <c r="I826" i="64"/>
  <c r="J826" i="64"/>
  <c r="K826" i="64"/>
  <c r="L826" i="64"/>
  <c r="M826" i="64"/>
  <c r="N826" i="64"/>
  <c r="O826" i="64"/>
  <c r="P826" i="64"/>
  <c r="Q826" i="64"/>
  <c r="R826" i="64"/>
  <c r="S826" i="64"/>
  <c r="T826" i="64"/>
  <c r="U826" i="64"/>
  <c r="V826" i="64"/>
  <c r="W826" i="64"/>
  <c r="X826" i="64"/>
  <c r="Y826" i="64"/>
  <c r="Z826" i="64"/>
  <c r="AA826" i="64"/>
  <c r="AB826" i="64"/>
  <c r="AC826" i="64"/>
  <c r="AD826" i="64"/>
  <c r="AE826" i="64"/>
  <c r="AF826" i="64"/>
  <c r="AG826" i="64"/>
  <c r="AH826" i="64"/>
  <c r="AI826" i="64"/>
  <c r="AJ826" i="64"/>
  <c r="AK826" i="64"/>
  <c r="AL826" i="64"/>
  <c r="AM826" i="64"/>
  <c r="AN826" i="64"/>
  <c r="AO826" i="64"/>
  <c r="AP826" i="64"/>
  <c r="AQ826" i="64"/>
  <c r="AR826" i="64"/>
  <c r="AS826" i="64"/>
  <c r="AT826" i="64"/>
  <c r="AU826" i="64"/>
  <c r="AV826" i="64"/>
  <c r="AW826" i="64"/>
  <c r="AX826" i="64"/>
  <c r="AY826" i="64"/>
  <c r="AZ826" i="64"/>
  <c r="BA826" i="64"/>
  <c r="BB826" i="64"/>
  <c r="BC826" i="64"/>
  <c r="BD826" i="64"/>
  <c r="BE826" i="64"/>
  <c r="BF826" i="64"/>
  <c r="D827" i="64"/>
  <c r="E827" i="64"/>
  <c r="F827" i="64"/>
  <c r="G827" i="64"/>
  <c r="H827" i="64"/>
  <c r="I827" i="64"/>
  <c r="J827" i="64"/>
  <c r="K827" i="64"/>
  <c r="L827" i="64"/>
  <c r="M827" i="64"/>
  <c r="N827" i="64"/>
  <c r="O827" i="64"/>
  <c r="P827" i="64"/>
  <c r="Q827" i="64"/>
  <c r="R827" i="64"/>
  <c r="S827" i="64"/>
  <c r="T827" i="64"/>
  <c r="U827" i="64"/>
  <c r="V827" i="64"/>
  <c r="W827" i="64"/>
  <c r="X827" i="64"/>
  <c r="Y827" i="64"/>
  <c r="Z827" i="64"/>
  <c r="AA827" i="64"/>
  <c r="AB827" i="64"/>
  <c r="AC827" i="64"/>
  <c r="AD827" i="64"/>
  <c r="AE827" i="64"/>
  <c r="AF827" i="64"/>
  <c r="AG827" i="64"/>
  <c r="AH827" i="64"/>
  <c r="AI827" i="64"/>
  <c r="AJ827" i="64"/>
  <c r="AK827" i="64"/>
  <c r="AL827" i="64"/>
  <c r="AM827" i="64"/>
  <c r="AN827" i="64"/>
  <c r="AO827" i="64"/>
  <c r="AP827" i="64"/>
  <c r="AQ827" i="64"/>
  <c r="AR827" i="64"/>
  <c r="AS827" i="64"/>
  <c r="AT827" i="64"/>
  <c r="AU827" i="64"/>
  <c r="AV827" i="64"/>
  <c r="AW827" i="64"/>
  <c r="AX827" i="64"/>
  <c r="AY827" i="64"/>
  <c r="AZ827" i="64"/>
  <c r="BA827" i="64"/>
  <c r="BB827" i="64"/>
  <c r="BC827" i="64"/>
  <c r="BD827" i="64"/>
  <c r="BE827" i="64"/>
  <c r="BF827" i="64"/>
  <c r="D828" i="64"/>
  <c r="E828" i="64"/>
  <c r="F828" i="64"/>
  <c r="G828" i="64"/>
  <c r="H828" i="64"/>
  <c r="I828" i="64"/>
  <c r="J828" i="64"/>
  <c r="K828" i="64"/>
  <c r="L828" i="64"/>
  <c r="M828" i="64"/>
  <c r="N828" i="64"/>
  <c r="O828" i="64"/>
  <c r="P828" i="64"/>
  <c r="Q828" i="64"/>
  <c r="R828" i="64"/>
  <c r="S828" i="64"/>
  <c r="T828" i="64"/>
  <c r="U828" i="64"/>
  <c r="V828" i="64"/>
  <c r="W828" i="64"/>
  <c r="X828" i="64"/>
  <c r="Y828" i="64"/>
  <c r="Z828" i="64"/>
  <c r="AA828" i="64"/>
  <c r="AB828" i="64"/>
  <c r="AC828" i="64"/>
  <c r="AD828" i="64"/>
  <c r="AE828" i="64"/>
  <c r="AF828" i="64"/>
  <c r="AG828" i="64"/>
  <c r="AH828" i="64"/>
  <c r="AI828" i="64"/>
  <c r="AJ828" i="64"/>
  <c r="AK828" i="64"/>
  <c r="AL828" i="64"/>
  <c r="AM828" i="64"/>
  <c r="AN828" i="64"/>
  <c r="AO828" i="64"/>
  <c r="AP828" i="64"/>
  <c r="AQ828" i="64"/>
  <c r="AR828" i="64"/>
  <c r="AS828" i="64"/>
  <c r="AT828" i="64"/>
  <c r="AU828" i="64"/>
  <c r="AV828" i="64"/>
  <c r="AW828" i="64"/>
  <c r="AX828" i="64"/>
  <c r="AY828" i="64"/>
  <c r="AZ828" i="64"/>
  <c r="BA828" i="64"/>
  <c r="BB828" i="64"/>
  <c r="BC828" i="64"/>
  <c r="BD828" i="64"/>
  <c r="BE828" i="64"/>
  <c r="BF828" i="64"/>
  <c r="D829" i="64"/>
  <c r="E829" i="64"/>
  <c r="F829" i="64"/>
  <c r="G829" i="64"/>
  <c r="H829" i="64"/>
  <c r="I829" i="64"/>
  <c r="J829" i="64"/>
  <c r="K829" i="64"/>
  <c r="L829" i="64"/>
  <c r="M829" i="64"/>
  <c r="N829" i="64"/>
  <c r="O829" i="64"/>
  <c r="P829" i="64"/>
  <c r="Q829" i="64"/>
  <c r="R829" i="64"/>
  <c r="S829" i="64"/>
  <c r="T829" i="64"/>
  <c r="U829" i="64"/>
  <c r="V829" i="64"/>
  <c r="W829" i="64"/>
  <c r="X829" i="64"/>
  <c r="Y829" i="64"/>
  <c r="Z829" i="64"/>
  <c r="AA829" i="64"/>
  <c r="AB829" i="64"/>
  <c r="AC829" i="64"/>
  <c r="AD829" i="64"/>
  <c r="AE829" i="64"/>
  <c r="AF829" i="64"/>
  <c r="AG829" i="64"/>
  <c r="AH829" i="64"/>
  <c r="AI829" i="64"/>
  <c r="AJ829" i="64"/>
  <c r="AK829" i="64"/>
  <c r="AL829" i="64"/>
  <c r="AM829" i="64"/>
  <c r="AN829" i="64"/>
  <c r="AO829" i="64"/>
  <c r="AP829" i="64"/>
  <c r="AQ829" i="64"/>
  <c r="AR829" i="64"/>
  <c r="AS829" i="64"/>
  <c r="AT829" i="64"/>
  <c r="AU829" i="64"/>
  <c r="AV829" i="64"/>
  <c r="AW829" i="64"/>
  <c r="AX829" i="64"/>
  <c r="AY829" i="64"/>
  <c r="AZ829" i="64"/>
  <c r="BA829" i="64"/>
  <c r="BB829" i="64"/>
  <c r="BC829" i="64"/>
  <c r="BD829" i="64"/>
  <c r="BE829" i="64"/>
  <c r="BF829" i="64"/>
  <c r="D830" i="64"/>
  <c r="E830" i="64"/>
  <c r="F830" i="64"/>
  <c r="G830" i="64"/>
  <c r="H830" i="64"/>
  <c r="I830" i="64"/>
  <c r="J830" i="64"/>
  <c r="K830" i="64"/>
  <c r="L830" i="64"/>
  <c r="M830" i="64"/>
  <c r="N830" i="64"/>
  <c r="O830" i="64"/>
  <c r="P830" i="64"/>
  <c r="Q830" i="64"/>
  <c r="R830" i="64"/>
  <c r="S830" i="64"/>
  <c r="T830" i="64"/>
  <c r="U830" i="64"/>
  <c r="V830" i="64"/>
  <c r="W830" i="64"/>
  <c r="X830" i="64"/>
  <c r="Y830" i="64"/>
  <c r="Z830" i="64"/>
  <c r="AA830" i="64"/>
  <c r="AB830" i="64"/>
  <c r="AC830" i="64"/>
  <c r="AD830" i="64"/>
  <c r="AE830" i="64"/>
  <c r="AF830" i="64"/>
  <c r="AG830" i="64"/>
  <c r="AH830" i="64"/>
  <c r="AI830" i="64"/>
  <c r="AJ830" i="64"/>
  <c r="AK830" i="64"/>
  <c r="AL830" i="64"/>
  <c r="AM830" i="64"/>
  <c r="AN830" i="64"/>
  <c r="AO830" i="64"/>
  <c r="AP830" i="64"/>
  <c r="AQ830" i="64"/>
  <c r="AR830" i="64"/>
  <c r="AS830" i="64"/>
  <c r="AT830" i="64"/>
  <c r="AU830" i="64"/>
  <c r="AV830" i="64"/>
  <c r="AW830" i="64"/>
  <c r="AX830" i="64"/>
  <c r="AY830" i="64"/>
  <c r="AZ830" i="64"/>
  <c r="BA830" i="64"/>
  <c r="BB830" i="64"/>
  <c r="BC830" i="64"/>
  <c r="BD830" i="64"/>
  <c r="BE830" i="64"/>
  <c r="BF830" i="64"/>
  <c r="D831" i="64"/>
  <c r="E831" i="64"/>
  <c r="F831" i="64"/>
  <c r="G831" i="64"/>
  <c r="H831" i="64"/>
  <c r="I831" i="64"/>
  <c r="J831" i="64"/>
  <c r="K831" i="64"/>
  <c r="L831" i="64"/>
  <c r="M831" i="64"/>
  <c r="N831" i="64"/>
  <c r="O831" i="64"/>
  <c r="P831" i="64"/>
  <c r="Q831" i="64"/>
  <c r="R831" i="64"/>
  <c r="S831" i="64"/>
  <c r="T831" i="64"/>
  <c r="U831" i="64"/>
  <c r="V831" i="64"/>
  <c r="W831" i="64"/>
  <c r="X831" i="64"/>
  <c r="Y831" i="64"/>
  <c r="Z831" i="64"/>
  <c r="AA831" i="64"/>
  <c r="AB831" i="64"/>
  <c r="AC831" i="64"/>
  <c r="AD831" i="64"/>
  <c r="AE831" i="64"/>
  <c r="AF831" i="64"/>
  <c r="AG831" i="64"/>
  <c r="AH831" i="64"/>
  <c r="AI831" i="64"/>
  <c r="AJ831" i="64"/>
  <c r="AK831" i="64"/>
  <c r="AL831" i="64"/>
  <c r="AM831" i="64"/>
  <c r="AN831" i="64"/>
  <c r="AO831" i="64"/>
  <c r="AP831" i="64"/>
  <c r="AQ831" i="64"/>
  <c r="AR831" i="64"/>
  <c r="AS831" i="64"/>
  <c r="AT831" i="64"/>
  <c r="AU831" i="64"/>
  <c r="AV831" i="64"/>
  <c r="AW831" i="64"/>
  <c r="AX831" i="64"/>
  <c r="AY831" i="64"/>
  <c r="AZ831" i="64"/>
  <c r="BA831" i="64"/>
  <c r="BB831" i="64"/>
  <c r="BC831" i="64"/>
  <c r="BD831" i="64"/>
  <c r="BE831" i="64"/>
  <c r="BF831" i="64"/>
  <c r="D832" i="64"/>
  <c r="E832" i="64"/>
  <c r="F832" i="64"/>
  <c r="G832" i="64"/>
  <c r="H832" i="64"/>
  <c r="I832" i="64"/>
  <c r="J832" i="64"/>
  <c r="K832" i="64"/>
  <c r="L832" i="64"/>
  <c r="M832" i="64"/>
  <c r="N832" i="64"/>
  <c r="O832" i="64"/>
  <c r="P832" i="64"/>
  <c r="Q832" i="64"/>
  <c r="R832" i="64"/>
  <c r="S832" i="64"/>
  <c r="T832" i="64"/>
  <c r="U832" i="64"/>
  <c r="V832" i="64"/>
  <c r="W832" i="64"/>
  <c r="X832" i="64"/>
  <c r="Y832" i="64"/>
  <c r="Z832" i="64"/>
  <c r="AA832" i="64"/>
  <c r="AB832" i="64"/>
  <c r="AC832" i="64"/>
  <c r="AD832" i="64"/>
  <c r="AE832" i="64"/>
  <c r="AF832" i="64"/>
  <c r="AG832" i="64"/>
  <c r="AH832" i="64"/>
  <c r="AI832" i="64"/>
  <c r="AJ832" i="64"/>
  <c r="AK832" i="64"/>
  <c r="AL832" i="64"/>
  <c r="AM832" i="64"/>
  <c r="AN832" i="64"/>
  <c r="AO832" i="64"/>
  <c r="AP832" i="64"/>
  <c r="AQ832" i="64"/>
  <c r="AR832" i="64"/>
  <c r="AS832" i="64"/>
  <c r="AT832" i="64"/>
  <c r="AU832" i="64"/>
  <c r="AV832" i="64"/>
  <c r="AW832" i="64"/>
  <c r="AX832" i="64"/>
  <c r="AY832" i="64"/>
  <c r="AZ832" i="64"/>
  <c r="BA832" i="64"/>
  <c r="BB832" i="64"/>
  <c r="BC832" i="64"/>
  <c r="BD832" i="64"/>
  <c r="BE832" i="64"/>
  <c r="BF832" i="64"/>
  <c r="D833" i="64"/>
  <c r="E833" i="64"/>
  <c r="F833" i="64"/>
  <c r="G833" i="64"/>
  <c r="H833" i="64"/>
  <c r="I833" i="64"/>
  <c r="J833" i="64"/>
  <c r="K833" i="64"/>
  <c r="L833" i="64"/>
  <c r="M833" i="64"/>
  <c r="N833" i="64"/>
  <c r="O833" i="64"/>
  <c r="P833" i="64"/>
  <c r="Q833" i="64"/>
  <c r="R833" i="64"/>
  <c r="S833" i="64"/>
  <c r="T833" i="64"/>
  <c r="U833" i="64"/>
  <c r="V833" i="64"/>
  <c r="W833" i="64"/>
  <c r="X833" i="64"/>
  <c r="Y833" i="64"/>
  <c r="Z833" i="64"/>
  <c r="AA833" i="64"/>
  <c r="AB833" i="64"/>
  <c r="AC833" i="64"/>
  <c r="AD833" i="64"/>
  <c r="AE833" i="64"/>
  <c r="AF833" i="64"/>
  <c r="AG833" i="64"/>
  <c r="AH833" i="64"/>
  <c r="AI833" i="64"/>
  <c r="AJ833" i="64"/>
  <c r="AK833" i="64"/>
  <c r="AL833" i="64"/>
  <c r="AM833" i="64"/>
  <c r="AN833" i="64"/>
  <c r="AO833" i="64"/>
  <c r="AP833" i="64"/>
  <c r="AQ833" i="64"/>
  <c r="AR833" i="64"/>
  <c r="AS833" i="64"/>
  <c r="AT833" i="64"/>
  <c r="AU833" i="64"/>
  <c r="AV833" i="64"/>
  <c r="AW833" i="64"/>
  <c r="AX833" i="64"/>
  <c r="AY833" i="64"/>
  <c r="AZ833" i="64"/>
  <c r="BA833" i="64"/>
  <c r="BB833" i="64"/>
  <c r="BC833" i="64"/>
  <c r="BD833" i="64"/>
  <c r="BE833" i="64"/>
  <c r="BF833" i="64"/>
  <c r="D834" i="64"/>
  <c r="E834" i="64"/>
  <c r="F834" i="64"/>
  <c r="G834" i="64"/>
  <c r="H834" i="64"/>
  <c r="I834" i="64"/>
  <c r="J834" i="64"/>
  <c r="K834" i="64"/>
  <c r="L834" i="64"/>
  <c r="M834" i="64"/>
  <c r="N834" i="64"/>
  <c r="O834" i="64"/>
  <c r="P834" i="64"/>
  <c r="Q834" i="64"/>
  <c r="R834" i="64"/>
  <c r="S834" i="64"/>
  <c r="T834" i="64"/>
  <c r="U834" i="64"/>
  <c r="V834" i="64"/>
  <c r="W834" i="64"/>
  <c r="X834" i="64"/>
  <c r="Y834" i="64"/>
  <c r="Z834" i="64"/>
  <c r="AA834" i="64"/>
  <c r="AB834" i="64"/>
  <c r="AC834" i="64"/>
  <c r="AD834" i="64"/>
  <c r="AE834" i="64"/>
  <c r="AF834" i="64"/>
  <c r="AG834" i="64"/>
  <c r="AH834" i="64"/>
  <c r="AI834" i="64"/>
  <c r="AJ834" i="64"/>
  <c r="AK834" i="64"/>
  <c r="AL834" i="64"/>
  <c r="AM834" i="64"/>
  <c r="AN834" i="64"/>
  <c r="AO834" i="64"/>
  <c r="AP834" i="64"/>
  <c r="AQ834" i="64"/>
  <c r="AR834" i="64"/>
  <c r="AS834" i="64"/>
  <c r="AT834" i="64"/>
  <c r="AU834" i="64"/>
  <c r="AV834" i="64"/>
  <c r="AW834" i="64"/>
  <c r="AX834" i="64"/>
  <c r="AY834" i="64"/>
  <c r="AZ834" i="64"/>
  <c r="BA834" i="64"/>
  <c r="BB834" i="64"/>
  <c r="BC834" i="64"/>
  <c r="BD834" i="64"/>
  <c r="BE834" i="64"/>
  <c r="BF834" i="64"/>
  <c r="D835" i="64"/>
  <c r="E835" i="64"/>
  <c r="F835" i="64"/>
  <c r="G835" i="64"/>
  <c r="H835" i="64"/>
  <c r="I835" i="64"/>
  <c r="J835" i="64"/>
  <c r="K835" i="64"/>
  <c r="L835" i="64"/>
  <c r="M835" i="64"/>
  <c r="N835" i="64"/>
  <c r="O835" i="64"/>
  <c r="P835" i="64"/>
  <c r="Q835" i="64"/>
  <c r="R835" i="64"/>
  <c r="S835" i="64"/>
  <c r="T835" i="64"/>
  <c r="U835" i="64"/>
  <c r="V835" i="64"/>
  <c r="W835" i="64"/>
  <c r="X835" i="64"/>
  <c r="Y835" i="64"/>
  <c r="Z835" i="64"/>
  <c r="AA835" i="64"/>
  <c r="AB835" i="64"/>
  <c r="AC835" i="64"/>
  <c r="AD835" i="64"/>
  <c r="AE835" i="64"/>
  <c r="AF835" i="64"/>
  <c r="AG835" i="64"/>
  <c r="AH835" i="64"/>
  <c r="AI835" i="64"/>
  <c r="AJ835" i="64"/>
  <c r="AK835" i="64"/>
  <c r="AL835" i="64"/>
  <c r="AM835" i="64"/>
  <c r="AN835" i="64"/>
  <c r="AO835" i="64"/>
  <c r="AP835" i="64"/>
  <c r="AQ835" i="64"/>
  <c r="AR835" i="64"/>
  <c r="AS835" i="64"/>
  <c r="AT835" i="64"/>
  <c r="AU835" i="64"/>
  <c r="AV835" i="64"/>
  <c r="AW835" i="64"/>
  <c r="AX835" i="64"/>
  <c r="AY835" i="64"/>
  <c r="AZ835" i="64"/>
  <c r="BA835" i="64"/>
  <c r="BB835" i="64"/>
  <c r="BC835" i="64"/>
  <c r="BD835" i="64"/>
  <c r="BE835" i="64"/>
  <c r="BF835" i="64"/>
  <c r="D836" i="64"/>
  <c r="E836" i="64"/>
  <c r="F836" i="64"/>
  <c r="G836" i="64"/>
  <c r="H836" i="64"/>
  <c r="I836" i="64"/>
  <c r="J836" i="64"/>
  <c r="K836" i="64"/>
  <c r="L836" i="64"/>
  <c r="M836" i="64"/>
  <c r="N836" i="64"/>
  <c r="O836" i="64"/>
  <c r="P836" i="64"/>
  <c r="Q836" i="64"/>
  <c r="R836" i="64"/>
  <c r="S836" i="64"/>
  <c r="T836" i="64"/>
  <c r="U836" i="64"/>
  <c r="V836" i="64"/>
  <c r="W836" i="64"/>
  <c r="X836" i="64"/>
  <c r="Y836" i="64"/>
  <c r="Z836" i="64"/>
  <c r="AA836" i="64"/>
  <c r="AB836" i="64"/>
  <c r="AC836" i="64"/>
  <c r="AD836" i="64"/>
  <c r="AE836" i="64"/>
  <c r="AF836" i="64"/>
  <c r="AG836" i="64"/>
  <c r="AH836" i="64"/>
  <c r="AI836" i="64"/>
  <c r="AJ836" i="64"/>
  <c r="AK836" i="64"/>
  <c r="AL836" i="64"/>
  <c r="AM836" i="64"/>
  <c r="AN836" i="64"/>
  <c r="AO836" i="64"/>
  <c r="AP836" i="64"/>
  <c r="AQ836" i="64"/>
  <c r="AR836" i="64"/>
  <c r="AS836" i="64"/>
  <c r="AT836" i="64"/>
  <c r="AU836" i="64"/>
  <c r="AV836" i="64"/>
  <c r="AW836" i="64"/>
  <c r="AX836" i="64"/>
  <c r="AY836" i="64"/>
  <c r="AZ836" i="64"/>
  <c r="BA836" i="64"/>
  <c r="BB836" i="64"/>
  <c r="BC836" i="64"/>
  <c r="BD836" i="64"/>
  <c r="BE836" i="64"/>
  <c r="BF836" i="64"/>
  <c r="D837" i="64"/>
  <c r="E837" i="64"/>
  <c r="F837" i="64"/>
  <c r="G837" i="64"/>
  <c r="H837" i="64"/>
  <c r="I837" i="64"/>
  <c r="J837" i="64"/>
  <c r="K837" i="64"/>
  <c r="L837" i="64"/>
  <c r="M837" i="64"/>
  <c r="N837" i="64"/>
  <c r="O837" i="64"/>
  <c r="P837" i="64"/>
  <c r="Q837" i="64"/>
  <c r="R837" i="64"/>
  <c r="S837" i="64"/>
  <c r="T837" i="64"/>
  <c r="U837" i="64"/>
  <c r="V837" i="64"/>
  <c r="W837" i="64"/>
  <c r="X837" i="64"/>
  <c r="Y837" i="64"/>
  <c r="Z837" i="64"/>
  <c r="AA837" i="64"/>
  <c r="AB837" i="64"/>
  <c r="AC837" i="64"/>
  <c r="AD837" i="64"/>
  <c r="AE837" i="64"/>
  <c r="AF837" i="64"/>
  <c r="AG837" i="64"/>
  <c r="AH837" i="64"/>
  <c r="AI837" i="64"/>
  <c r="AJ837" i="64"/>
  <c r="AK837" i="64"/>
  <c r="AL837" i="64"/>
  <c r="AM837" i="64"/>
  <c r="AN837" i="64"/>
  <c r="AO837" i="64"/>
  <c r="AP837" i="64"/>
  <c r="AQ837" i="64"/>
  <c r="AR837" i="64"/>
  <c r="AS837" i="64"/>
  <c r="AT837" i="64"/>
  <c r="AU837" i="64"/>
  <c r="AV837" i="64"/>
  <c r="AW837" i="64"/>
  <c r="AX837" i="64"/>
  <c r="AY837" i="64"/>
  <c r="AZ837" i="64"/>
  <c r="BA837" i="64"/>
  <c r="BB837" i="64"/>
  <c r="BC837" i="64"/>
  <c r="BD837" i="64"/>
  <c r="BE837" i="64"/>
  <c r="BF837" i="64"/>
  <c r="D838" i="64"/>
  <c r="E838" i="64"/>
  <c r="F838" i="64"/>
  <c r="G838" i="64"/>
  <c r="H838" i="64"/>
  <c r="I838" i="64"/>
  <c r="J838" i="64"/>
  <c r="K838" i="64"/>
  <c r="L838" i="64"/>
  <c r="M838" i="64"/>
  <c r="N838" i="64"/>
  <c r="O838" i="64"/>
  <c r="P838" i="64"/>
  <c r="Q838" i="64"/>
  <c r="R838" i="64"/>
  <c r="S838" i="64"/>
  <c r="T838" i="64"/>
  <c r="U838" i="64"/>
  <c r="V838" i="64"/>
  <c r="W838" i="64"/>
  <c r="X838" i="64"/>
  <c r="Y838" i="64"/>
  <c r="Z838" i="64"/>
  <c r="AA838" i="64"/>
  <c r="AB838" i="64"/>
  <c r="AC838" i="64"/>
  <c r="AD838" i="64"/>
  <c r="AE838" i="64"/>
  <c r="AF838" i="64"/>
  <c r="AG838" i="64"/>
  <c r="AH838" i="64"/>
  <c r="AI838" i="64"/>
  <c r="AJ838" i="64"/>
  <c r="AK838" i="64"/>
  <c r="AL838" i="64"/>
  <c r="AM838" i="64"/>
  <c r="AN838" i="64"/>
  <c r="AO838" i="64"/>
  <c r="AP838" i="64"/>
  <c r="AQ838" i="64"/>
  <c r="AR838" i="64"/>
  <c r="AS838" i="64"/>
  <c r="AT838" i="64"/>
  <c r="AU838" i="64"/>
  <c r="AV838" i="64"/>
  <c r="AW838" i="64"/>
  <c r="AX838" i="64"/>
  <c r="AY838" i="64"/>
  <c r="AZ838" i="64"/>
  <c r="BA838" i="64"/>
  <c r="BB838" i="64"/>
  <c r="BC838" i="64"/>
  <c r="BD838" i="64"/>
  <c r="BE838" i="64"/>
  <c r="BF838" i="64"/>
  <c r="D839" i="64"/>
  <c r="E839" i="64"/>
  <c r="F839" i="64"/>
  <c r="G839" i="64"/>
  <c r="H839" i="64"/>
  <c r="I839" i="64"/>
  <c r="J839" i="64"/>
  <c r="K839" i="64"/>
  <c r="L839" i="64"/>
  <c r="M839" i="64"/>
  <c r="N839" i="64"/>
  <c r="O839" i="64"/>
  <c r="P839" i="64"/>
  <c r="Q839" i="64"/>
  <c r="R839" i="64"/>
  <c r="S839" i="64"/>
  <c r="T839" i="64"/>
  <c r="U839" i="64"/>
  <c r="V839" i="64"/>
  <c r="W839" i="64"/>
  <c r="X839" i="64"/>
  <c r="Y839" i="64"/>
  <c r="Z839" i="64"/>
  <c r="AA839" i="64"/>
  <c r="AB839" i="64"/>
  <c r="AC839" i="64"/>
  <c r="AD839" i="64"/>
  <c r="AE839" i="64"/>
  <c r="AF839" i="64"/>
  <c r="AG839" i="64"/>
  <c r="AH839" i="64"/>
  <c r="AI839" i="64"/>
  <c r="AJ839" i="64"/>
  <c r="AK839" i="64"/>
  <c r="AL839" i="64"/>
  <c r="AM839" i="64"/>
  <c r="AN839" i="64"/>
  <c r="AO839" i="64"/>
  <c r="AP839" i="64"/>
  <c r="AQ839" i="64"/>
  <c r="AR839" i="64"/>
  <c r="AS839" i="64"/>
  <c r="AT839" i="64"/>
  <c r="AU839" i="64"/>
  <c r="AV839" i="64"/>
  <c r="AW839" i="64"/>
  <c r="AX839" i="64"/>
  <c r="AY839" i="64"/>
  <c r="AZ839" i="64"/>
  <c r="BA839" i="64"/>
  <c r="BB839" i="64"/>
  <c r="BC839" i="64"/>
  <c r="BD839" i="64"/>
  <c r="BE839" i="64"/>
  <c r="BF839" i="64"/>
  <c r="D840" i="64"/>
  <c r="E840" i="64"/>
  <c r="F840" i="64"/>
  <c r="G840" i="64"/>
  <c r="H840" i="64"/>
  <c r="I840" i="64"/>
  <c r="J840" i="64"/>
  <c r="K840" i="64"/>
  <c r="L840" i="64"/>
  <c r="M840" i="64"/>
  <c r="N840" i="64"/>
  <c r="O840" i="64"/>
  <c r="P840" i="64"/>
  <c r="Q840" i="64"/>
  <c r="R840" i="64"/>
  <c r="S840" i="64"/>
  <c r="T840" i="64"/>
  <c r="U840" i="64"/>
  <c r="V840" i="64"/>
  <c r="W840" i="64"/>
  <c r="X840" i="64"/>
  <c r="Y840" i="64"/>
  <c r="Z840" i="64"/>
  <c r="AA840" i="64"/>
  <c r="AB840" i="64"/>
  <c r="AC840" i="64"/>
  <c r="AD840" i="64"/>
  <c r="AE840" i="64"/>
  <c r="AF840" i="64"/>
  <c r="AG840" i="64"/>
  <c r="AH840" i="64"/>
  <c r="AI840" i="64"/>
  <c r="AJ840" i="64"/>
  <c r="AK840" i="64"/>
  <c r="AL840" i="64"/>
  <c r="AM840" i="64"/>
  <c r="AN840" i="64"/>
  <c r="AO840" i="64"/>
  <c r="AP840" i="64"/>
  <c r="AQ840" i="64"/>
  <c r="AR840" i="64"/>
  <c r="AS840" i="64"/>
  <c r="AT840" i="64"/>
  <c r="AU840" i="64"/>
  <c r="AV840" i="64"/>
  <c r="AW840" i="64"/>
  <c r="AX840" i="64"/>
  <c r="AY840" i="64"/>
  <c r="AZ840" i="64"/>
  <c r="BA840" i="64"/>
  <c r="BB840" i="64"/>
  <c r="BC840" i="64"/>
  <c r="BD840" i="64"/>
  <c r="BE840" i="64"/>
  <c r="BF840" i="64"/>
  <c r="D841" i="64"/>
  <c r="E841" i="64"/>
  <c r="F841" i="64"/>
  <c r="G841" i="64"/>
  <c r="H841" i="64"/>
  <c r="I841" i="64"/>
  <c r="J841" i="64"/>
  <c r="K841" i="64"/>
  <c r="L841" i="64"/>
  <c r="M841" i="64"/>
  <c r="N841" i="64"/>
  <c r="O841" i="64"/>
  <c r="P841" i="64"/>
  <c r="Q841" i="64"/>
  <c r="R841" i="64"/>
  <c r="S841" i="64"/>
  <c r="T841" i="64"/>
  <c r="U841" i="64"/>
  <c r="V841" i="64"/>
  <c r="W841" i="64"/>
  <c r="X841" i="64"/>
  <c r="Y841" i="64"/>
  <c r="Z841" i="64"/>
  <c r="AA841" i="64"/>
  <c r="AB841" i="64"/>
  <c r="AC841" i="64"/>
  <c r="AD841" i="64"/>
  <c r="AE841" i="64"/>
  <c r="AF841" i="64"/>
  <c r="AG841" i="64"/>
  <c r="AH841" i="64"/>
  <c r="AI841" i="64"/>
  <c r="AJ841" i="64"/>
  <c r="AK841" i="64"/>
  <c r="AL841" i="64"/>
  <c r="AM841" i="64"/>
  <c r="AN841" i="64"/>
  <c r="AO841" i="64"/>
  <c r="AP841" i="64"/>
  <c r="AQ841" i="64"/>
  <c r="AR841" i="64"/>
  <c r="AS841" i="64"/>
  <c r="AT841" i="64"/>
  <c r="AU841" i="64"/>
  <c r="AV841" i="64"/>
  <c r="AW841" i="64"/>
  <c r="AX841" i="64"/>
  <c r="AY841" i="64"/>
  <c r="AZ841" i="64"/>
  <c r="BA841" i="64"/>
  <c r="BB841" i="64"/>
  <c r="BC841" i="64"/>
  <c r="BD841" i="64"/>
  <c r="BE841" i="64"/>
  <c r="BF841" i="64"/>
  <c r="D842" i="64"/>
  <c r="E842" i="64"/>
  <c r="F842" i="64"/>
  <c r="G842" i="64"/>
  <c r="H842" i="64"/>
  <c r="I842" i="64"/>
  <c r="J842" i="64"/>
  <c r="K842" i="64"/>
  <c r="L842" i="64"/>
  <c r="M842" i="64"/>
  <c r="N842" i="64"/>
  <c r="O842" i="64"/>
  <c r="P842" i="64"/>
  <c r="Q842" i="64"/>
  <c r="R842" i="64"/>
  <c r="S842" i="64"/>
  <c r="T842" i="64"/>
  <c r="U842" i="64"/>
  <c r="V842" i="64"/>
  <c r="W842" i="64"/>
  <c r="X842" i="64"/>
  <c r="Y842" i="64"/>
  <c r="Z842" i="64"/>
  <c r="AA842" i="64"/>
  <c r="AB842" i="64"/>
  <c r="AC842" i="64"/>
  <c r="AD842" i="64"/>
  <c r="AE842" i="64"/>
  <c r="AF842" i="64"/>
  <c r="AG842" i="64"/>
  <c r="AH842" i="64"/>
  <c r="AI842" i="64"/>
  <c r="AJ842" i="64"/>
  <c r="AK842" i="64"/>
  <c r="AL842" i="64"/>
  <c r="AM842" i="64"/>
  <c r="AN842" i="64"/>
  <c r="AO842" i="64"/>
  <c r="AP842" i="64"/>
  <c r="AQ842" i="64"/>
  <c r="AR842" i="64"/>
  <c r="AS842" i="64"/>
  <c r="AT842" i="64"/>
  <c r="AU842" i="64"/>
  <c r="AV842" i="64"/>
  <c r="AW842" i="64"/>
  <c r="AX842" i="64"/>
  <c r="AY842" i="64"/>
  <c r="AZ842" i="64"/>
  <c r="BA842" i="64"/>
  <c r="BB842" i="64"/>
  <c r="BC842" i="64"/>
  <c r="BD842" i="64"/>
  <c r="BE842" i="64"/>
  <c r="BF842" i="64"/>
  <c r="D843" i="64"/>
  <c r="E843" i="64"/>
  <c r="F843" i="64"/>
  <c r="G843" i="64"/>
  <c r="H843" i="64"/>
  <c r="I843" i="64"/>
  <c r="J843" i="64"/>
  <c r="K843" i="64"/>
  <c r="L843" i="64"/>
  <c r="M843" i="64"/>
  <c r="N843" i="64"/>
  <c r="O843" i="64"/>
  <c r="P843" i="64"/>
  <c r="Q843" i="64"/>
  <c r="R843" i="64"/>
  <c r="S843" i="64"/>
  <c r="T843" i="64"/>
  <c r="U843" i="64"/>
  <c r="V843" i="64"/>
  <c r="W843" i="64"/>
  <c r="X843" i="64"/>
  <c r="Y843" i="64"/>
  <c r="Z843" i="64"/>
  <c r="AA843" i="64"/>
  <c r="AB843" i="64"/>
  <c r="AC843" i="64"/>
  <c r="AD843" i="64"/>
  <c r="AE843" i="64"/>
  <c r="AF843" i="64"/>
  <c r="AG843" i="64"/>
  <c r="AH843" i="64"/>
  <c r="AI843" i="64"/>
  <c r="AJ843" i="64"/>
  <c r="AK843" i="64"/>
  <c r="AL843" i="64"/>
  <c r="AM843" i="64"/>
  <c r="AN843" i="64"/>
  <c r="AO843" i="64"/>
  <c r="AP843" i="64"/>
  <c r="AQ843" i="64"/>
  <c r="AR843" i="64"/>
  <c r="AS843" i="64"/>
  <c r="AT843" i="64"/>
  <c r="AU843" i="64"/>
  <c r="AV843" i="64"/>
  <c r="AW843" i="64"/>
  <c r="AX843" i="64"/>
  <c r="AY843" i="64"/>
  <c r="AZ843" i="64"/>
  <c r="BA843" i="64"/>
  <c r="BB843" i="64"/>
  <c r="BC843" i="64"/>
  <c r="BD843" i="64"/>
  <c r="BE843" i="64"/>
  <c r="BF843" i="64"/>
  <c r="D844" i="64"/>
  <c r="E844" i="64"/>
  <c r="F844" i="64"/>
  <c r="G844" i="64"/>
  <c r="H844" i="64"/>
  <c r="I844" i="64"/>
  <c r="J844" i="64"/>
  <c r="K844" i="64"/>
  <c r="L844" i="64"/>
  <c r="M844" i="64"/>
  <c r="N844" i="64"/>
  <c r="O844" i="64"/>
  <c r="P844" i="64"/>
  <c r="Q844" i="64"/>
  <c r="R844" i="64"/>
  <c r="S844" i="64"/>
  <c r="T844" i="64"/>
  <c r="U844" i="64"/>
  <c r="V844" i="64"/>
  <c r="W844" i="64"/>
  <c r="X844" i="64"/>
  <c r="Y844" i="64"/>
  <c r="Z844" i="64"/>
  <c r="AA844" i="64"/>
  <c r="AB844" i="64"/>
  <c r="AC844" i="64"/>
  <c r="AD844" i="64"/>
  <c r="AE844" i="64"/>
  <c r="AF844" i="64"/>
  <c r="AG844" i="64"/>
  <c r="AH844" i="64"/>
  <c r="AI844" i="64"/>
  <c r="AJ844" i="64"/>
  <c r="AK844" i="64"/>
  <c r="AL844" i="64"/>
  <c r="AM844" i="64"/>
  <c r="AN844" i="64"/>
  <c r="AO844" i="64"/>
  <c r="AP844" i="64"/>
  <c r="AQ844" i="64"/>
  <c r="AR844" i="64"/>
  <c r="AS844" i="64"/>
  <c r="AT844" i="64"/>
  <c r="AU844" i="64"/>
  <c r="AV844" i="64"/>
  <c r="AW844" i="64"/>
  <c r="AX844" i="64"/>
  <c r="AY844" i="64"/>
  <c r="AZ844" i="64"/>
  <c r="BA844" i="64"/>
  <c r="BB844" i="64"/>
  <c r="BC844" i="64"/>
  <c r="BD844" i="64"/>
  <c r="BE844" i="64"/>
  <c r="BF844" i="64"/>
  <c r="D845" i="64"/>
  <c r="E845" i="64"/>
  <c r="F845" i="64"/>
  <c r="G845" i="64"/>
  <c r="H845" i="64"/>
  <c r="I845" i="64"/>
  <c r="J845" i="64"/>
  <c r="K845" i="64"/>
  <c r="L845" i="64"/>
  <c r="M845" i="64"/>
  <c r="N845" i="64"/>
  <c r="O845" i="64"/>
  <c r="P845" i="64"/>
  <c r="Q845" i="64"/>
  <c r="R845" i="64"/>
  <c r="S845" i="64"/>
  <c r="T845" i="64"/>
  <c r="U845" i="64"/>
  <c r="V845" i="64"/>
  <c r="W845" i="64"/>
  <c r="X845" i="64"/>
  <c r="Y845" i="64"/>
  <c r="Z845" i="64"/>
  <c r="AA845" i="64"/>
  <c r="AB845" i="64"/>
  <c r="AC845" i="64"/>
  <c r="AD845" i="64"/>
  <c r="AE845" i="64"/>
  <c r="AF845" i="64"/>
  <c r="AG845" i="64"/>
  <c r="AH845" i="64"/>
  <c r="AI845" i="64"/>
  <c r="AJ845" i="64"/>
  <c r="AK845" i="64"/>
  <c r="AL845" i="64"/>
  <c r="AM845" i="64"/>
  <c r="AN845" i="64"/>
  <c r="AO845" i="64"/>
  <c r="AP845" i="64"/>
  <c r="AQ845" i="64"/>
  <c r="AR845" i="64"/>
  <c r="AS845" i="64"/>
  <c r="AT845" i="64"/>
  <c r="AU845" i="64"/>
  <c r="AV845" i="64"/>
  <c r="AW845" i="64"/>
  <c r="AX845" i="64"/>
  <c r="AY845" i="64"/>
  <c r="AZ845" i="64"/>
  <c r="BA845" i="64"/>
  <c r="BB845" i="64"/>
  <c r="BC845" i="64"/>
  <c r="BD845" i="64"/>
  <c r="BE845" i="64"/>
  <c r="BF845" i="64"/>
  <c r="D846" i="64"/>
  <c r="E846" i="64"/>
  <c r="F846" i="64"/>
  <c r="G846" i="64"/>
  <c r="H846" i="64"/>
  <c r="I846" i="64"/>
  <c r="J846" i="64"/>
  <c r="K846" i="64"/>
  <c r="L846" i="64"/>
  <c r="M846" i="64"/>
  <c r="N846" i="64"/>
  <c r="O846" i="64"/>
  <c r="P846" i="64"/>
  <c r="Q846" i="64"/>
  <c r="R846" i="64"/>
  <c r="S846" i="64"/>
  <c r="T846" i="64"/>
  <c r="U846" i="64"/>
  <c r="V846" i="64"/>
  <c r="W846" i="64"/>
  <c r="X846" i="64"/>
  <c r="Y846" i="64"/>
  <c r="Z846" i="64"/>
  <c r="AA846" i="64"/>
  <c r="AB846" i="64"/>
  <c r="AC846" i="64"/>
  <c r="AD846" i="64"/>
  <c r="AE846" i="64"/>
  <c r="AF846" i="64"/>
  <c r="AG846" i="64"/>
  <c r="AH846" i="64"/>
  <c r="AI846" i="64"/>
  <c r="AJ846" i="64"/>
  <c r="AK846" i="64"/>
  <c r="AL846" i="64"/>
  <c r="AM846" i="64"/>
  <c r="AN846" i="64"/>
  <c r="AO846" i="64"/>
  <c r="AP846" i="64"/>
  <c r="AQ846" i="64"/>
  <c r="AR846" i="64"/>
  <c r="AS846" i="64"/>
  <c r="AT846" i="64"/>
  <c r="AU846" i="64"/>
  <c r="AV846" i="64"/>
  <c r="AW846" i="64"/>
  <c r="AX846" i="64"/>
  <c r="AY846" i="64"/>
  <c r="AZ846" i="64"/>
  <c r="BA846" i="64"/>
  <c r="BB846" i="64"/>
  <c r="BC846" i="64"/>
  <c r="BD846" i="64"/>
  <c r="BE846" i="64"/>
  <c r="BF846" i="64"/>
  <c r="D847" i="64"/>
  <c r="E847" i="64"/>
  <c r="F847" i="64"/>
  <c r="G847" i="64"/>
  <c r="H847" i="64"/>
  <c r="I847" i="64"/>
  <c r="J847" i="64"/>
  <c r="K847" i="64"/>
  <c r="L847" i="64"/>
  <c r="M847" i="64"/>
  <c r="N847" i="64"/>
  <c r="O847" i="64"/>
  <c r="P847" i="64"/>
  <c r="Q847" i="64"/>
  <c r="R847" i="64"/>
  <c r="S847" i="64"/>
  <c r="T847" i="64"/>
  <c r="U847" i="64"/>
  <c r="V847" i="64"/>
  <c r="W847" i="64"/>
  <c r="X847" i="64"/>
  <c r="Y847" i="64"/>
  <c r="Z847" i="64"/>
  <c r="AA847" i="64"/>
  <c r="AB847" i="64"/>
  <c r="AC847" i="64"/>
  <c r="AD847" i="64"/>
  <c r="AE847" i="64"/>
  <c r="AF847" i="64"/>
  <c r="AG847" i="64"/>
  <c r="AH847" i="64"/>
  <c r="AI847" i="64"/>
  <c r="AJ847" i="64"/>
  <c r="AK847" i="64"/>
  <c r="AL847" i="64"/>
  <c r="AM847" i="64"/>
  <c r="AN847" i="64"/>
  <c r="AO847" i="64"/>
  <c r="AP847" i="64"/>
  <c r="AQ847" i="64"/>
  <c r="AR847" i="64"/>
  <c r="AS847" i="64"/>
  <c r="AT847" i="64"/>
  <c r="AU847" i="64"/>
  <c r="AV847" i="64"/>
  <c r="AW847" i="64"/>
  <c r="AX847" i="64"/>
  <c r="AY847" i="64"/>
  <c r="AZ847" i="64"/>
  <c r="BA847" i="64"/>
  <c r="BB847" i="64"/>
  <c r="BC847" i="64"/>
  <c r="BD847" i="64"/>
  <c r="BE847" i="64"/>
  <c r="BF847" i="64"/>
  <c r="D848" i="64"/>
  <c r="E848" i="64"/>
  <c r="F848" i="64"/>
  <c r="G848" i="64"/>
  <c r="H848" i="64"/>
  <c r="I848" i="64"/>
  <c r="J848" i="64"/>
  <c r="K848" i="64"/>
  <c r="L848" i="64"/>
  <c r="M848" i="64"/>
  <c r="N848" i="64"/>
  <c r="O848" i="64"/>
  <c r="P848" i="64"/>
  <c r="Q848" i="64"/>
  <c r="R848" i="64"/>
  <c r="S848" i="64"/>
  <c r="T848" i="64"/>
  <c r="U848" i="64"/>
  <c r="V848" i="64"/>
  <c r="W848" i="64"/>
  <c r="X848" i="64"/>
  <c r="Y848" i="64"/>
  <c r="Z848" i="64"/>
  <c r="AA848" i="64"/>
  <c r="AB848" i="64"/>
  <c r="AC848" i="64"/>
  <c r="AD848" i="64"/>
  <c r="AE848" i="64"/>
  <c r="AF848" i="64"/>
  <c r="AG848" i="64"/>
  <c r="AH848" i="64"/>
  <c r="AI848" i="64"/>
  <c r="AJ848" i="64"/>
  <c r="AK848" i="64"/>
  <c r="AL848" i="64"/>
  <c r="AM848" i="64"/>
  <c r="AN848" i="64"/>
  <c r="AO848" i="64"/>
  <c r="AP848" i="64"/>
  <c r="AQ848" i="64"/>
  <c r="AR848" i="64"/>
  <c r="AS848" i="64"/>
  <c r="AT848" i="64"/>
  <c r="AU848" i="64"/>
  <c r="AV848" i="64"/>
  <c r="AW848" i="64"/>
  <c r="AX848" i="64"/>
  <c r="AY848" i="64"/>
  <c r="AZ848" i="64"/>
  <c r="BA848" i="64"/>
  <c r="BB848" i="64"/>
  <c r="BC848" i="64"/>
  <c r="BD848" i="64"/>
  <c r="BE848" i="64"/>
  <c r="BF848" i="64"/>
  <c r="D849" i="64"/>
  <c r="E849" i="64"/>
  <c r="F849" i="64"/>
  <c r="G849" i="64"/>
  <c r="H849" i="64"/>
  <c r="I849" i="64"/>
  <c r="J849" i="64"/>
  <c r="K849" i="64"/>
  <c r="L849" i="64"/>
  <c r="M849" i="64"/>
  <c r="N849" i="64"/>
  <c r="O849" i="64"/>
  <c r="P849" i="64"/>
  <c r="Q849" i="64"/>
  <c r="R849" i="64"/>
  <c r="S849" i="64"/>
  <c r="T849" i="64"/>
  <c r="U849" i="64"/>
  <c r="V849" i="64"/>
  <c r="W849" i="64"/>
  <c r="X849" i="64"/>
  <c r="Y849" i="64"/>
  <c r="Z849" i="64"/>
  <c r="AA849" i="64"/>
  <c r="AB849" i="64"/>
  <c r="AC849" i="64"/>
  <c r="AD849" i="64"/>
  <c r="AE849" i="64"/>
  <c r="AF849" i="64"/>
  <c r="AG849" i="64"/>
  <c r="AH849" i="64"/>
  <c r="AI849" i="64"/>
  <c r="AJ849" i="64"/>
  <c r="AK849" i="64"/>
  <c r="AL849" i="64"/>
  <c r="AM849" i="64"/>
  <c r="AN849" i="64"/>
  <c r="AO849" i="64"/>
  <c r="AP849" i="64"/>
  <c r="AQ849" i="64"/>
  <c r="AR849" i="64"/>
  <c r="AS849" i="64"/>
  <c r="AT849" i="64"/>
  <c r="AU849" i="64"/>
  <c r="AV849" i="64"/>
  <c r="AW849" i="64"/>
  <c r="AX849" i="64"/>
  <c r="AY849" i="64"/>
  <c r="AZ849" i="64"/>
  <c r="BA849" i="64"/>
  <c r="BB849" i="64"/>
  <c r="BC849" i="64"/>
  <c r="BD849" i="64"/>
  <c r="BE849" i="64"/>
  <c r="BF849" i="64"/>
  <c r="D850" i="64"/>
  <c r="E850" i="64"/>
  <c r="F850" i="64"/>
  <c r="G850" i="64"/>
  <c r="H850" i="64"/>
  <c r="I850" i="64"/>
  <c r="J850" i="64"/>
  <c r="K850" i="64"/>
  <c r="L850" i="64"/>
  <c r="M850" i="64"/>
  <c r="N850" i="64"/>
  <c r="O850" i="64"/>
  <c r="P850" i="64"/>
  <c r="Q850" i="64"/>
  <c r="R850" i="64"/>
  <c r="S850" i="64"/>
  <c r="T850" i="64"/>
  <c r="U850" i="64"/>
  <c r="V850" i="64"/>
  <c r="W850" i="64"/>
  <c r="X850" i="64"/>
  <c r="Y850" i="64"/>
  <c r="Z850" i="64"/>
  <c r="AA850" i="64"/>
  <c r="AB850" i="64"/>
  <c r="AC850" i="64"/>
  <c r="AD850" i="64"/>
  <c r="AE850" i="64"/>
  <c r="AF850" i="64"/>
  <c r="AG850" i="64"/>
  <c r="AH850" i="64"/>
  <c r="AI850" i="64"/>
  <c r="AJ850" i="64"/>
  <c r="AK850" i="64"/>
  <c r="AL850" i="64"/>
  <c r="AM850" i="64"/>
  <c r="AN850" i="64"/>
  <c r="AO850" i="64"/>
  <c r="AP850" i="64"/>
  <c r="AQ850" i="64"/>
  <c r="AR850" i="64"/>
  <c r="AS850" i="64"/>
  <c r="AT850" i="64"/>
  <c r="AU850" i="64"/>
  <c r="AV850" i="64"/>
  <c r="AW850" i="64"/>
  <c r="AX850" i="64"/>
  <c r="AY850" i="64"/>
  <c r="AZ850" i="64"/>
  <c r="BA850" i="64"/>
  <c r="BB850" i="64"/>
  <c r="BC850" i="64"/>
  <c r="BD850" i="64"/>
  <c r="BE850" i="64"/>
  <c r="BF850" i="64"/>
  <c r="D851" i="64"/>
  <c r="E851" i="64"/>
  <c r="F851" i="64"/>
  <c r="G851" i="64"/>
  <c r="H851" i="64"/>
  <c r="I851" i="64"/>
  <c r="J851" i="64"/>
  <c r="K851" i="64"/>
  <c r="L851" i="64"/>
  <c r="M851" i="64"/>
  <c r="N851" i="64"/>
  <c r="O851" i="64"/>
  <c r="P851" i="64"/>
  <c r="Q851" i="64"/>
  <c r="R851" i="64"/>
  <c r="S851" i="64"/>
  <c r="T851" i="64"/>
  <c r="U851" i="64"/>
  <c r="V851" i="64"/>
  <c r="W851" i="64"/>
  <c r="X851" i="64"/>
  <c r="Y851" i="64"/>
  <c r="Z851" i="64"/>
  <c r="AA851" i="64"/>
  <c r="AB851" i="64"/>
  <c r="AC851" i="64"/>
  <c r="AD851" i="64"/>
  <c r="AE851" i="64"/>
  <c r="AF851" i="64"/>
  <c r="AG851" i="64"/>
  <c r="AH851" i="64"/>
  <c r="AI851" i="64"/>
  <c r="AJ851" i="64"/>
  <c r="AK851" i="64"/>
  <c r="AL851" i="64"/>
  <c r="AM851" i="64"/>
  <c r="AN851" i="64"/>
  <c r="AO851" i="64"/>
  <c r="AP851" i="64"/>
  <c r="AQ851" i="64"/>
  <c r="AR851" i="64"/>
  <c r="AS851" i="64"/>
  <c r="AT851" i="64"/>
  <c r="AU851" i="64"/>
  <c r="AV851" i="64"/>
  <c r="AW851" i="64"/>
  <c r="AX851" i="64"/>
  <c r="AY851" i="64"/>
  <c r="AZ851" i="64"/>
  <c r="BA851" i="64"/>
  <c r="BB851" i="64"/>
  <c r="BC851" i="64"/>
  <c r="BD851" i="64"/>
  <c r="BE851" i="64"/>
  <c r="BF851" i="64"/>
  <c r="D852" i="64"/>
  <c r="E852" i="64"/>
  <c r="F852" i="64"/>
  <c r="G852" i="64"/>
  <c r="H852" i="64"/>
  <c r="I852" i="64"/>
  <c r="J852" i="64"/>
  <c r="K852" i="64"/>
  <c r="L852" i="64"/>
  <c r="M852" i="64"/>
  <c r="N852" i="64"/>
  <c r="O852" i="64"/>
  <c r="P852" i="64"/>
  <c r="Q852" i="64"/>
  <c r="R852" i="64"/>
  <c r="S852" i="64"/>
  <c r="T852" i="64"/>
  <c r="U852" i="64"/>
  <c r="V852" i="64"/>
  <c r="W852" i="64"/>
  <c r="X852" i="64"/>
  <c r="Y852" i="64"/>
  <c r="Z852" i="64"/>
  <c r="AA852" i="64"/>
  <c r="AB852" i="64"/>
  <c r="AC852" i="64"/>
  <c r="AD852" i="64"/>
  <c r="AE852" i="64"/>
  <c r="AF852" i="64"/>
  <c r="AG852" i="64"/>
  <c r="AH852" i="64"/>
  <c r="AI852" i="64"/>
  <c r="AJ852" i="64"/>
  <c r="AK852" i="64"/>
  <c r="AL852" i="64"/>
  <c r="AM852" i="64"/>
  <c r="AN852" i="64"/>
  <c r="AO852" i="64"/>
  <c r="AP852" i="64"/>
  <c r="AQ852" i="64"/>
  <c r="AR852" i="64"/>
  <c r="AS852" i="64"/>
  <c r="AT852" i="64"/>
  <c r="AU852" i="64"/>
  <c r="AV852" i="64"/>
  <c r="AW852" i="64"/>
  <c r="AX852" i="64"/>
  <c r="AY852" i="64"/>
  <c r="AZ852" i="64"/>
  <c r="BA852" i="64"/>
  <c r="BB852" i="64"/>
  <c r="BC852" i="64"/>
  <c r="BD852" i="64"/>
  <c r="BE852" i="64"/>
  <c r="BF852" i="64"/>
  <c r="D853" i="64"/>
  <c r="E853" i="64"/>
  <c r="F853" i="64"/>
  <c r="G853" i="64"/>
  <c r="H853" i="64"/>
  <c r="I853" i="64"/>
  <c r="J853" i="64"/>
  <c r="K853" i="64"/>
  <c r="L853" i="64"/>
  <c r="M853" i="64"/>
  <c r="N853" i="64"/>
  <c r="O853" i="64"/>
  <c r="P853" i="64"/>
  <c r="Q853" i="64"/>
  <c r="R853" i="64"/>
  <c r="S853" i="64"/>
  <c r="T853" i="64"/>
  <c r="U853" i="64"/>
  <c r="V853" i="64"/>
  <c r="W853" i="64"/>
  <c r="X853" i="64"/>
  <c r="Y853" i="64"/>
  <c r="Z853" i="64"/>
  <c r="AA853" i="64"/>
  <c r="AB853" i="64"/>
  <c r="AC853" i="64"/>
  <c r="AD853" i="64"/>
  <c r="AE853" i="64"/>
  <c r="AF853" i="64"/>
  <c r="AG853" i="64"/>
  <c r="AH853" i="64"/>
  <c r="AI853" i="64"/>
  <c r="AJ853" i="64"/>
  <c r="AK853" i="64"/>
  <c r="AL853" i="64"/>
  <c r="AM853" i="64"/>
  <c r="AN853" i="64"/>
  <c r="AO853" i="64"/>
  <c r="AP853" i="64"/>
  <c r="AQ853" i="64"/>
  <c r="AR853" i="64"/>
  <c r="AS853" i="64"/>
  <c r="AT853" i="64"/>
  <c r="AU853" i="64"/>
  <c r="AV853" i="64"/>
  <c r="AW853" i="64"/>
  <c r="AX853" i="64"/>
  <c r="AY853" i="64"/>
  <c r="AZ853" i="64"/>
  <c r="BA853" i="64"/>
  <c r="BB853" i="64"/>
  <c r="BC853" i="64"/>
  <c r="BD853" i="64"/>
  <c r="BE853" i="64"/>
  <c r="BF853" i="64"/>
  <c r="D854" i="64"/>
  <c r="E854" i="64"/>
  <c r="F854" i="64"/>
  <c r="G854" i="64"/>
  <c r="H854" i="64"/>
  <c r="I854" i="64"/>
  <c r="J854" i="64"/>
  <c r="K854" i="64"/>
  <c r="L854" i="64"/>
  <c r="M854" i="64"/>
  <c r="N854" i="64"/>
  <c r="O854" i="64"/>
  <c r="P854" i="64"/>
  <c r="Q854" i="64"/>
  <c r="R854" i="64"/>
  <c r="S854" i="64"/>
  <c r="T854" i="64"/>
  <c r="U854" i="64"/>
  <c r="V854" i="64"/>
  <c r="W854" i="64"/>
  <c r="X854" i="64"/>
  <c r="Y854" i="64"/>
  <c r="Z854" i="64"/>
  <c r="AA854" i="64"/>
  <c r="AB854" i="64"/>
  <c r="AC854" i="64"/>
  <c r="AD854" i="64"/>
  <c r="AE854" i="64"/>
  <c r="AF854" i="64"/>
  <c r="AG854" i="64"/>
  <c r="AH854" i="64"/>
  <c r="AI854" i="64"/>
  <c r="AJ854" i="64"/>
  <c r="AK854" i="64"/>
  <c r="AL854" i="64"/>
  <c r="AM854" i="64"/>
  <c r="AN854" i="64"/>
  <c r="AO854" i="64"/>
  <c r="AP854" i="64"/>
  <c r="AQ854" i="64"/>
  <c r="AR854" i="64"/>
  <c r="AS854" i="64"/>
  <c r="AT854" i="64"/>
  <c r="AU854" i="64"/>
  <c r="AV854" i="64"/>
  <c r="AW854" i="64"/>
  <c r="AX854" i="64"/>
  <c r="AY854" i="64"/>
  <c r="AZ854" i="64"/>
  <c r="BA854" i="64"/>
  <c r="BB854" i="64"/>
  <c r="BC854" i="64"/>
  <c r="BD854" i="64"/>
  <c r="BE854" i="64"/>
  <c r="BF854" i="64"/>
  <c r="C826" i="64"/>
  <c r="C827" i="64"/>
  <c r="C828" i="64"/>
  <c r="C829" i="64"/>
  <c r="C830" i="64"/>
  <c r="C831" i="64"/>
  <c r="C832" i="64"/>
  <c r="C833" i="64"/>
  <c r="C834" i="64"/>
  <c r="C835" i="64"/>
  <c r="C836" i="64"/>
  <c r="C837" i="64"/>
  <c r="C838" i="64"/>
  <c r="C839" i="64"/>
  <c r="C840" i="64"/>
  <c r="C841" i="64"/>
  <c r="C842" i="64"/>
  <c r="C843" i="64"/>
  <c r="C844" i="64"/>
  <c r="C845" i="64"/>
  <c r="C846" i="64"/>
  <c r="C847" i="64"/>
  <c r="C848" i="64"/>
  <c r="C849" i="64"/>
  <c r="C850" i="64"/>
  <c r="C851" i="64"/>
  <c r="C852" i="64"/>
  <c r="C853" i="64"/>
  <c r="C854" i="64"/>
  <c r="C825" i="64"/>
  <c r="D791" i="64"/>
  <c r="E791" i="64"/>
  <c r="F791" i="64"/>
  <c r="G791" i="64"/>
  <c r="H791" i="64"/>
  <c r="I791" i="64"/>
  <c r="J791" i="64"/>
  <c r="K791" i="64"/>
  <c r="L791" i="64"/>
  <c r="M791" i="64"/>
  <c r="N791" i="64"/>
  <c r="O791" i="64"/>
  <c r="P791" i="64"/>
  <c r="Q791" i="64"/>
  <c r="R791" i="64"/>
  <c r="S791" i="64"/>
  <c r="T791" i="64"/>
  <c r="U791" i="64"/>
  <c r="V791" i="64"/>
  <c r="W791" i="64"/>
  <c r="X791" i="64"/>
  <c r="Y791" i="64"/>
  <c r="Z791" i="64"/>
  <c r="AA791" i="64"/>
  <c r="AB791" i="64"/>
  <c r="AC791" i="64"/>
  <c r="AD791" i="64"/>
  <c r="AE791" i="64"/>
  <c r="AF791" i="64"/>
  <c r="AG791" i="64"/>
  <c r="AH791" i="64"/>
  <c r="AI791" i="64"/>
  <c r="AJ791" i="64"/>
  <c r="AK791" i="64"/>
  <c r="AL791" i="64"/>
  <c r="AM791" i="64"/>
  <c r="AN791" i="64"/>
  <c r="AO791" i="64"/>
  <c r="AP791" i="64"/>
  <c r="AQ791" i="64"/>
  <c r="AR791" i="64"/>
  <c r="AS791" i="64"/>
  <c r="AT791" i="64"/>
  <c r="AU791" i="64"/>
  <c r="AV791" i="64"/>
  <c r="AW791" i="64"/>
  <c r="AX791" i="64"/>
  <c r="AY791" i="64"/>
  <c r="AZ791" i="64"/>
  <c r="BA791" i="64"/>
  <c r="BB791" i="64"/>
  <c r="BC791" i="64"/>
  <c r="BD791" i="64"/>
  <c r="BE791" i="64"/>
  <c r="BF791" i="64"/>
  <c r="D792" i="64"/>
  <c r="E792" i="64"/>
  <c r="F792" i="64"/>
  <c r="G792" i="64"/>
  <c r="H792" i="64"/>
  <c r="I792" i="64"/>
  <c r="J792" i="64"/>
  <c r="K792" i="64"/>
  <c r="L792" i="64"/>
  <c r="M792" i="64"/>
  <c r="N792" i="64"/>
  <c r="O792" i="64"/>
  <c r="P792" i="64"/>
  <c r="Q792" i="64"/>
  <c r="R792" i="64"/>
  <c r="S792" i="64"/>
  <c r="T792" i="64"/>
  <c r="U792" i="64"/>
  <c r="V792" i="64"/>
  <c r="W792" i="64"/>
  <c r="X792" i="64"/>
  <c r="Y792" i="64"/>
  <c r="Z792" i="64"/>
  <c r="AA792" i="64"/>
  <c r="AB792" i="64"/>
  <c r="AC792" i="64"/>
  <c r="AD792" i="64"/>
  <c r="AE792" i="64"/>
  <c r="AF792" i="64"/>
  <c r="AG792" i="64"/>
  <c r="AH792" i="64"/>
  <c r="AI792" i="64"/>
  <c r="AJ792" i="64"/>
  <c r="AK792" i="64"/>
  <c r="AL792" i="64"/>
  <c r="AM792" i="64"/>
  <c r="AN792" i="64"/>
  <c r="AO792" i="64"/>
  <c r="AP792" i="64"/>
  <c r="AQ792" i="64"/>
  <c r="AR792" i="64"/>
  <c r="AS792" i="64"/>
  <c r="AT792" i="64"/>
  <c r="AU792" i="64"/>
  <c r="AV792" i="64"/>
  <c r="AW792" i="64"/>
  <c r="AX792" i="64"/>
  <c r="AY792" i="64"/>
  <c r="AZ792" i="64"/>
  <c r="BA792" i="64"/>
  <c r="BB792" i="64"/>
  <c r="BC792" i="64"/>
  <c r="BD792" i="64"/>
  <c r="BE792" i="64"/>
  <c r="BF792" i="64"/>
  <c r="D793" i="64"/>
  <c r="E793" i="64"/>
  <c r="F793" i="64"/>
  <c r="G793" i="64"/>
  <c r="H793" i="64"/>
  <c r="I793" i="64"/>
  <c r="J793" i="64"/>
  <c r="K793" i="64"/>
  <c r="L793" i="64"/>
  <c r="M793" i="64"/>
  <c r="N793" i="64"/>
  <c r="O793" i="64"/>
  <c r="P793" i="64"/>
  <c r="Q793" i="64"/>
  <c r="R793" i="64"/>
  <c r="S793" i="64"/>
  <c r="T793" i="64"/>
  <c r="U793" i="64"/>
  <c r="V793" i="64"/>
  <c r="W793" i="64"/>
  <c r="X793" i="64"/>
  <c r="Y793" i="64"/>
  <c r="Z793" i="64"/>
  <c r="AA793" i="64"/>
  <c r="AB793" i="64"/>
  <c r="AC793" i="64"/>
  <c r="AD793" i="64"/>
  <c r="AE793" i="64"/>
  <c r="AF793" i="64"/>
  <c r="AG793" i="64"/>
  <c r="AH793" i="64"/>
  <c r="AI793" i="64"/>
  <c r="AJ793" i="64"/>
  <c r="AK793" i="64"/>
  <c r="AL793" i="64"/>
  <c r="AM793" i="64"/>
  <c r="AN793" i="64"/>
  <c r="AO793" i="64"/>
  <c r="AP793" i="64"/>
  <c r="AQ793" i="64"/>
  <c r="AR793" i="64"/>
  <c r="AS793" i="64"/>
  <c r="AT793" i="64"/>
  <c r="AU793" i="64"/>
  <c r="AV793" i="64"/>
  <c r="AW793" i="64"/>
  <c r="AX793" i="64"/>
  <c r="AY793" i="64"/>
  <c r="AZ793" i="64"/>
  <c r="BA793" i="64"/>
  <c r="BB793" i="64"/>
  <c r="BC793" i="64"/>
  <c r="BD793" i="64"/>
  <c r="BE793" i="64"/>
  <c r="BF793" i="64"/>
  <c r="D794" i="64"/>
  <c r="E794" i="64"/>
  <c r="F794" i="64"/>
  <c r="G794" i="64"/>
  <c r="H794" i="64"/>
  <c r="I794" i="64"/>
  <c r="J794" i="64"/>
  <c r="K794" i="64"/>
  <c r="L794" i="64"/>
  <c r="M794" i="64"/>
  <c r="N794" i="64"/>
  <c r="O794" i="64"/>
  <c r="P794" i="64"/>
  <c r="Q794" i="64"/>
  <c r="R794" i="64"/>
  <c r="S794" i="64"/>
  <c r="T794" i="64"/>
  <c r="U794" i="64"/>
  <c r="V794" i="64"/>
  <c r="W794" i="64"/>
  <c r="X794" i="64"/>
  <c r="Y794" i="64"/>
  <c r="Z794" i="64"/>
  <c r="AA794" i="64"/>
  <c r="AB794" i="64"/>
  <c r="AC794" i="64"/>
  <c r="AD794" i="64"/>
  <c r="AE794" i="64"/>
  <c r="AF794" i="64"/>
  <c r="AG794" i="64"/>
  <c r="AH794" i="64"/>
  <c r="AI794" i="64"/>
  <c r="AJ794" i="64"/>
  <c r="AK794" i="64"/>
  <c r="AL794" i="64"/>
  <c r="AM794" i="64"/>
  <c r="AN794" i="64"/>
  <c r="AO794" i="64"/>
  <c r="AP794" i="64"/>
  <c r="AQ794" i="64"/>
  <c r="AR794" i="64"/>
  <c r="AS794" i="64"/>
  <c r="AT794" i="64"/>
  <c r="AU794" i="64"/>
  <c r="AV794" i="64"/>
  <c r="AW794" i="64"/>
  <c r="AX794" i="64"/>
  <c r="AY794" i="64"/>
  <c r="AZ794" i="64"/>
  <c r="BA794" i="64"/>
  <c r="BB794" i="64"/>
  <c r="BC794" i="64"/>
  <c r="BD794" i="64"/>
  <c r="BE794" i="64"/>
  <c r="BF794" i="64"/>
  <c r="D795" i="64"/>
  <c r="E795" i="64"/>
  <c r="F795" i="64"/>
  <c r="G795" i="64"/>
  <c r="H795" i="64"/>
  <c r="I795" i="64"/>
  <c r="J795" i="64"/>
  <c r="K795" i="64"/>
  <c r="L795" i="64"/>
  <c r="M795" i="64"/>
  <c r="N795" i="64"/>
  <c r="O795" i="64"/>
  <c r="P795" i="64"/>
  <c r="Q795" i="64"/>
  <c r="R795" i="64"/>
  <c r="S795" i="64"/>
  <c r="T795" i="64"/>
  <c r="U795" i="64"/>
  <c r="V795" i="64"/>
  <c r="W795" i="64"/>
  <c r="X795" i="64"/>
  <c r="Y795" i="64"/>
  <c r="Z795" i="64"/>
  <c r="AA795" i="64"/>
  <c r="AB795" i="64"/>
  <c r="AC795" i="64"/>
  <c r="AD795" i="64"/>
  <c r="AE795" i="64"/>
  <c r="AF795" i="64"/>
  <c r="AG795" i="64"/>
  <c r="AH795" i="64"/>
  <c r="AI795" i="64"/>
  <c r="AJ795" i="64"/>
  <c r="AK795" i="64"/>
  <c r="AL795" i="64"/>
  <c r="AM795" i="64"/>
  <c r="AN795" i="64"/>
  <c r="AO795" i="64"/>
  <c r="AP795" i="64"/>
  <c r="AQ795" i="64"/>
  <c r="AR795" i="64"/>
  <c r="AS795" i="64"/>
  <c r="AT795" i="64"/>
  <c r="AU795" i="64"/>
  <c r="AV795" i="64"/>
  <c r="AW795" i="64"/>
  <c r="AX795" i="64"/>
  <c r="AY795" i="64"/>
  <c r="AZ795" i="64"/>
  <c r="BA795" i="64"/>
  <c r="BB795" i="64"/>
  <c r="BC795" i="64"/>
  <c r="BD795" i="64"/>
  <c r="BE795" i="64"/>
  <c r="BF795" i="64"/>
  <c r="D796" i="64"/>
  <c r="E796" i="64"/>
  <c r="F796" i="64"/>
  <c r="G796" i="64"/>
  <c r="H796" i="64"/>
  <c r="I796" i="64"/>
  <c r="J796" i="64"/>
  <c r="K796" i="64"/>
  <c r="L796" i="64"/>
  <c r="M796" i="64"/>
  <c r="N796" i="64"/>
  <c r="O796" i="64"/>
  <c r="P796" i="64"/>
  <c r="Q796" i="64"/>
  <c r="R796" i="64"/>
  <c r="S796" i="64"/>
  <c r="T796" i="64"/>
  <c r="U796" i="64"/>
  <c r="V796" i="64"/>
  <c r="W796" i="64"/>
  <c r="X796" i="64"/>
  <c r="Y796" i="64"/>
  <c r="Z796" i="64"/>
  <c r="AA796" i="64"/>
  <c r="AB796" i="64"/>
  <c r="AC796" i="64"/>
  <c r="AD796" i="64"/>
  <c r="AE796" i="64"/>
  <c r="AF796" i="64"/>
  <c r="AG796" i="64"/>
  <c r="AH796" i="64"/>
  <c r="AI796" i="64"/>
  <c r="AJ796" i="64"/>
  <c r="AK796" i="64"/>
  <c r="AL796" i="64"/>
  <c r="AM796" i="64"/>
  <c r="AN796" i="64"/>
  <c r="AO796" i="64"/>
  <c r="AP796" i="64"/>
  <c r="AQ796" i="64"/>
  <c r="AR796" i="64"/>
  <c r="AS796" i="64"/>
  <c r="AT796" i="64"/>
  <c r="AU796" i="64"/>
  <c r="AV796" i="64"/>
  <c r="AW796" i="64"/>
  <c r="AX796" i="64"/>
  <c r="AY796" i="64"/>
  <c r="AZ796" i="64"/>
  <c r="BA796" i="64"/>
  <c r="BB796" i="64"/>
  <c r="BC796" i="64"/>
  <c r="BD796" i="64"/>
  <c r="BE796" i="64"/>
  <c r="BF796" i="64"/>
  <c r="D797" i="64"/>
  <c r="E797" i="64"/>
  <c r="F797" i="64"/>
  <c r="G797" i="64"/>
  <c r="H797" i="64"/>
  <c r="I797" i="64"/>
  <c r="J797" i="64"/>
  <c r="K797" i="64"/>
  <c r="L797" i="64"/>
  <c r="M797" i="64"/>
  <c r="N797" i="64"/>
  <c r="O797" i="64"/>
  <c r="P797" i="64"/>
  <c r="Q797" i="64"/>
  <c r="R797" i="64"/>
  <c r="S797" i="64"/>
  <c r="T797" i="64"/>
  <c r="U797" i="64"/>
  <c r="V797" i="64"/>
  <c r="W797" i="64"/>
  <c r="X797" i="64"/>
  <c r="Y797" i="64"/>
  <c r="Z797" i="64"/>
  <c r="AA797" i="64"/>
  <c r="AB797" i="64"/>
  <c r="AC797" i="64"/>
  <c r="AD797" i="64"/>
  <c r="AE797" i="64"/>
  <c r="AF797" i="64"/>
  <c r="AG797" i="64"/>
  <c r="AH797" i="64"/>
  <c r="AI797" i="64"/>
  <c r="AJ797" i="64"/>
  <c r="AK797" i="64"/>
  <c r="AL797" i="64"/>
  <c r="AM797" i="64"/>
  <c r="AN797" i="64"/>
  <c r="AO797" i="64"/>
  <c r="AP797" i="64"/>
  <c r="AQ797" i="64"/>
  <c r="AR797" i="64"/>
  <c r="AS797" i="64"/>
  <c r="AT797" i="64"/>
  <c r="AU797" i="64"/>
  <c r="AV797" i="64"/>
  <c r="AW797" i="64"/>
  <c r="AX797" i="64"/>
  <c r="AY797" i="64"/>
  <c r="AZ797" i="64"/>
  <c r="BA797" i="64"/>
  <c r="BB797" i="64"/>
  <c r="BC797" i="64"/>
  <c r="BD797" i="64"/>
  <c r="BE797" i="64"/>
  <c r="BF797" i="64"/>
  <c r="D798" i="64"/>
  <c r="E798" i="64"/>
  <c r="F798" i="64"/>
  <c r="G798" i="64"/>
  <c r="H798" i="64"/>
  <c r="I798" i="64"/>
  <c r="J798" i="64"/>
  <c r="K798" i="64"/>
  <c r="L798" i="64"/>
  <c r="M798" i="64"/>
  <c r="N798" i="64"/>
  <c r="O798" i="64"/>
  <c r="P798" i="64"/>
  <c r="Q798" i="64"/>
  <c r="R798" i="64"/>
  <c r="S798" i="64"/>
  <c r="T798" i="64"/>
  <c r="U798" i="64"/>
  <c r="V798" i="64"/>
  <c r="W798" i="64"/>
  <c r="X798" i="64"/>
  <c r="Y798" i="64"/>
  <c r="Z798" i="64"/>
  <c r="AA798" i="64"/>
  <c r="AB798" i="64"/>
  <c r="AC798" i="64"/>
  <c r="AD798" i="64"/>
  <c r="AE798" i="64"/>
  <c r="AF798" i="64"/>
  <c r="AG798" i="64"/>
  <c r="AH798" i="64"/>
  <c r="AI798" i="64"/>
  <c r="AJ798" i="64"/>
  <c r="AK798" i="64"/>
  <c r="AL798" i="64"/>
  <c r="AM798" i="64"/>
  <c r="AN798" i="64"/>
  <c r="AO798" i="64"/>
  <c r="AP798" i="64"/>
  <c r="AQ798" i="64"/>
  <c r="AR798" i="64"/>
  <c r="AS798" i="64"/>
  <c r="AT798" i="64"/>
  <c r="AU798" i="64"/>
  <c r="AV798" i="64"/>
  <c r="AW798" i="64"/>
  <c r="AX798" i="64"/>
  <c r="AY798" i="64"/>
  <c r="AZ798" i="64"/>
  <c r="BA798" i="64"/>
  <c r="BB798" i="64"/>
  <c r="BC798" i="64"/>
  <c r="BD798" i="64"/>
  <c r="BE798" i="64"/>
  <c r="BF798" i="64"/>
  <c r="D799" i="64"/>
  <c r="E799" i="64"/>
  <c r="F799" i="64"/>
  <c r="G799" i="64"/>
  <c r="H799" i="64"/>
  <c r="I799" i="64"/>
  <c r="J799" i="64"/>
  <c r="K799" i="64"/>
  <c r="L799" i="64"/>
  <c r="M799" i="64"/>
  <c r="N799" i="64"/>
  <c r="O799" i="64"/>
  <c r="P799" i="64"/>
  <c r="Q799" i="64"/>
  <c r="R799" i="64"/>
  <c r="S799" i="64"/>
  <c r="T799" i="64"/>
  <c r="U799" i="64"/>
  <c r="V799" i="64"/>
  <c r="W799" i="64"/>
  <c r="X799" i="64"/>
  <c r="Y799" i="64"/>
  <c r="Z799" i="64"/>
  <c r="AA799" i="64"/>
  <c r="AB799" i="64"/>
  <c r="AC799" i="64"/>
  <c r="AD799" i="64"/>
  <c r="AE799" i="64"/>
  <c r="AF799" i="64"/>
  <c r="AG799" i="64"/>
  <c r="AH799" i="64"/>
  <c r="AI799" i="64"/>
  <c r="AJ799" i="64"/>
  <c r="AK799" i="64"/>
  <c r="AL799" i="64"/>
  <c r="AM799" i="64"/>
  <c r="AN799" i="64"/>
  <c r="AO799" i="64"/>
  <c r="AP799" i="64"/>
  <c r="AQ799" i="64"/>
  <c r="AR799" i="64"/>
  <c r="AS799" i="64"/>
  <c r="AT799" i="64"/>
  <c r="AU799" i="64"/>
  <c r="AV799" i="64"/>
  <c r="AW799" i="64"/>
  <c r="AX799" i="64"/>
  <c r="AY799" i="64"/>
  <c r="AZ799" i="64"/>
  <c r="BA799" i="64"/>
  <c r="BB799" i="64"/>
  <c r="BC799" i="64"/>
  <c r="BD799" i="64"/>
  <c r="BE799" i="64"/>
  <c r="BF799" i="64"/>
  <c r="D800" i="64"/>
  <c r="E800" i="64"/>
  <c r="F800" i="64"/>
  <c r="G800" i="64"/>
  <c r="H800" i="64"/>
  <c r="I800" i="64"/>
  <c r="J800" i="64"/>
  <c r="K800" i="64"/>
  <c r="L800" i="64"/>
  <c r="M800" i="64"/>
  <c r="N800" i="64"/>
  <c r="O800" i="64"/>
  <c r="P800" i="64"/>
  <c r="Q800" i="64"/>
  <c r="R800" i="64"/>
  <c r="S800" i="64"/>
  <c r="T800" i="64"/>
  <c r="U800" i="64"/>
  <c r="V800" i="64"/>
  <c r="W800" i="64"/>
  <c r="X800" i="64"/>
  <c r="Y800" i="64"/>
  <c r="Z800" i="64"/>
  <c r="AA800" i="64"/>
  <c r="AB800" i="64"/>
  <c r="AC800" i="64"/>
  <c r="AD800" i="64"/>
  <c r="AE800" i="64"/>
  <c r="AF800" i="64"/>
  <c r="AG800" i="64"/>
  <c r="AH800" i="64"/>
  <c r="AI800" i="64"/>
  <c r="AJ800" i="64"/>
  <c r="AK800" i="64"/>
  <c r="AL800" i="64"/>
  <c r="AM800" i="64"/>
  <c r="AN800" i="64"/>
  <c r="AO800" i="64"/>
  <c r="AP800" i="64"/>
  <c r="AQ800" i="64"/>
  <c r="AR800" i="64"/>
  <c r="AS800" i="64"/>
  <c r="AT800" i="64"/>
  <c r="AU800" i="64"/>
  <c r="AV800" i="64"/>
  <c r="AW800" i="64"/>
  <c r="AX800" i="64"/>
  <c r="AY800" i="64"/>
  <c r="AZ800" i="64"/>
  <c r="BA800" i="64"/>
  <c r="BB800" i="64"/>
  <c r="BC800" i="64"/>
  <c r="BD800" i="64"/>
  <c r="BE800" i="64"/>
  <c r="BF800" i="64"/>
  <c r="D801" i="64"/>
  <c r="E801" i="64"/>
  <c r="F801" i="64"/>
  <c r="G801" i="64"/>
  <c r="H801" i="64"/>
  <c r="I801" i="64"/>
  <c r="J801" i="64"/>
  <c r="K801" i="64"/>
  <c r="L801" i="64"/>
  <c r="M801" i="64"/>
  <c r="N801" i="64"/>
  <c r="O801" i="64"/>
  <c r="P801" i="64"/>
  <c r="Q801" i="64"/>
  <c r="R801" i="64"/>
  <c r="S801" i="64"/>
  <c r="T801" i="64"/>
  <c r="U801" i="64"/>
  <c r="V801" i="64"/>
  <c r="W801" i="64"/>
  <c r="X801" i="64"/>
  <c r="Y801" i="64"/>
  <c r="Z801" i="64"/>
  <c r="AA801" i="64"/>
  <c r="AB801" i="64"/>
  <c r="AC801" i="64"/>
  <c r="AD801" i="64"/>
  <c r="AE801" i="64"/>
  <c r="AF801" i="64"/>
  <c r="AG801" i="64"/>
  <c r="AH801" i="64"/>
  <c r="AI801" i="64"/>
  <c r="AJ801" i="64"/>
  <c r="AK801" i="64"/>
  <c r="AL801" i="64"/>
  <c r="AM801" i="64"/>
  <c r="AN801" i="64"/>
  <c r="AO801" i="64"/>
  <c r="AP801" i="64"/>
  <c r="AQ801" i="64"/>
  <c r="AR801" i="64"/>
  <c r="AS801" i="64"/>
  <c r="AT801" i="64"/>
  <c r="AU801" i="64"/>
  <c r="AV801" i="64"/>
  <c r="AW801" i="64"/>
  <c r="AX801" i="64"/>
  <c r="AY801" i="64"/>
  <c r="AZ801" i="64"/>
  <c r="BA801" i="64"/>
  <c r="BB801" i="64"/>
  <c r="BC801" i="64"/>
  <c r="BD801" i="64"/>
  <c r="BE801" i="64"/>
  <c r="BF801" i="64"/>
  <c r="D802" i="64"/>
  <c r="E802" i="64"/>
  <c r="F802" i="64"/>
  <c r="G802" i="64"/>
  <c r="H802" i="64"/>
  <c r="I802" i="64"/>
  <c r="J802" i="64"/>
  <c r="K802" i="64"/>
  <c r="L802" i="64"/>
  <c r="M802" i="64"/>
  <c r="N802" i="64"/>
  <c r="O802" i="64"/>
  <c r="P802" i="64"/>
  <c r="Q802" i="64"/>
  <c r="R802" i="64"/>
  <c r="S802" i="64"/>
  <c r="T802" i="64"/>
  <c r="U802" i="64"/>
  <c r="V802" i="64"/>
  <c r="W802" i="64"/>
  <c r="X802" i="64"/>
  <c r="Y802" i="64"/>
  <c r="Z802" i="64"/>
  <c r="AA802" i="64"/>
  <c r="AB802" i="64"/>
  <c r="AC802" i="64"/>
  <c r="AD802" i="64"/>
  <c r="AE802" i="64"/>
  <c r="AF802" i="64"/>
  <c r="AG802" i="64"/>
  <c r="AH802" i="64"/>
  <c r="AI802" i="64"/>
  <c r="AJ802" i="64"/>
  <c r="AK802" i="64"/>
  <c r="AL802" i="64"/>
  <c r="AM802" i="64"/>
  <c r="AN802" i="64"/>
  <c r="AO802" i="64"/>
  <c r="AP802" i="64"/>
  <c r="AQ802" i="64"/>
  <c r="AR802" i="64"/>
  <c r="AS802" i="64"/>
  <c r="AT802" i="64"/>
  <c r="AU802" i="64"/>
  <c r="AV802" i="64"/>
  <c r="AW802" i="64"/>
  <c r="AX802" i="64"/>
  <c r="AY802" i="64"/>
  <c r="AZ802" i="64"/>
  <c r="BA802" i="64"/>
  <c r="BB802" i="64"/>
  <c r="BC802" i="64"/>
  <c r="BD802" i="64"/>
  <c r="BE802" i="64"/>
  <c r="BF802" i="64"/>
  <c r="D803" i="64"/>
  <c r="E803" i="64"/>
  <c r="F803" i="64"/>
  <c r="G803" i="64"/>
  <c r="H803" i="64"/>
  <c r="I803" i="64"/>
  <c r="J803" i="64"/>
  <c r="K803" i="64"/>
  <c r="L803" i="64"/>
  <c r="M803" i="64"/>
  <c r="N803" i="64"/>
  <c r="O803" i="64"/>
  <c r="P803" i="64"/>
  <c r="Q803" i="64"/>
  <c r="R803" i="64"/>
  <c r="S803" i="64"/>
  <c r="T803" i="64"/>
  <c r="U803" i="64"/>
  <c r="V803" i="64"/>
  <c r="W803" i="64"/>
  <c r="X803" i="64"/>
  <c r="Y803" i="64"/>
  <c r="Z803" i="64"/>
  <c r="AA803" i="64"/>
  <c r="AB803" i="64"/>
  <c r="AC803" i="64"/>
  <c r="AD803" i="64"/>
  <c r="AE803" i="64"/>
  <c r="AF803" i="64"/>
  <c r="AG803" i="64"/>
  <c r="AH803" i="64"/>
  <c r="AI803" i="64"/>
  <c r="AJ803" i="64"/>
  <c r="AK803" i="64"/>
  <c r="AL803" i="64"/>
  <c r="AM803" i="64"/>
  <c r="AN803" i="64"/>
  <c r="AO803" i="64"/>
  <c r="AP803" i="64"/>
  <c r="AQ803" i="64"/>
  <c r="AR803" i="64"/>
  <c r="AS803" i="64"/>
  <c r="AT803" i="64"/>
  <c r="AU803" i="64"/>
  <c r="AV803" i="64"/>
  <c r="AW803" i="64"/>
  <c r="AX803" i="64"/>
  <c r="AY803" i="64"/>
  <c r="AZ803" i="64"/>
  <c r="BA803" i="64"/>
  <c r="BB803" i="64"/>
  <c r="BC803" i="64"/>
  <c r="BD803" i="64"/>
  <c r="BE803" i="64"/>
  <c r="BF803" i="64"/>
  <c r="D804" i="64"/>
  <c r="E804" i="64"/>
  <c r="F804" i="64"/>
  <c r="G804" i="64"/>
  <c r="H804" i="64"/>
  <c r="I804" i="64"/>
  <c r="J804" i="64"/>
  <c r="K804" i="64"/>
  <c r="L804" i="64"/>
  <c r="M804" i="64"/>
  <c r="N804" i="64"/>
  <c r="O804" i="64"/>
  <c r="P804" i="64"/>
  <c r="Q804" i="64"/>
  <c r="R804" i="64"/>
  <c r="S804" i="64"/>
  <c r="T804" i="64"/>
  <c r="U804" i="64"/>
  <c r="V804" i="64"/>
  <c r="W804" i="64"/>
  <c r="X804" i="64"/>
  <c r="Y804" i="64"/>
  <c r="Z804" i="64"/>
  <c r="AA804" i="64"/>
  <c r="AB804" i="64"/>
  <c r="AC804" i="64"/>
  <c r="AD804" i="64"/>
  <c r="AE804" i="64"/>
  <c r="AF804" i="64"/>
  <c r="AG804" i="64"/>
  <c r="AH804" i="64"/>
  <c r="AI804" i="64"/>
  <c r="AJ804" i="64"/>
  <c r="AK804" i="64"/>
  <c r="AL804" i="64"/>
  <c r="AM804" i="64"/>
  <c r="AN804" i="64"/>
  <c r="AO804" i="64"/>
  <c r="AP804" i="64"/>
  <c r="AQ804" i="64"/>
  <c r="AR804" i="64"/>
  <c r="AS804" i="64"/>
  <c r="AT804" i="64"/>
  <c r="AU804" i="64"/>
  <c r="AV804" i="64"/>
  <c r="AW804" i="64"/>
  <c r="AX804" i="64"/>
  <c r="AY804" i="64"/>
  <c r="AZ804" i="64"/>
  <c r="BA804" i="64"/>
  <c r="BB804" i="64"/>
  <c r="BC804" i="64"/>
  <c r="BD804" i="64"/>
  <c r="BE804" i="64"/>
  <c r="BF804" i="64"/>
  <c r="D805" i="64"/>
  <c r="E805" i="64"/>
  <c r="F805" i="64"/>
  <c r="G805" i="64"/>
  <c r="H805" i="64"/>
  <c r="I805" i="64"/>
  <c r="J805" i="64"/>
  <c r="K805" i="64"/>
  <c r="L805" i="64"/>
  <c r="M805" i="64"/>
  <c r="N805" i="64"/>
  <c r="O805" i="64"/>
  <c r="P805" i="64"/>
  <c r="Q805" i="64"/>
  <c r="R805" i="64"/>
  <c r="S805" i="64"/>
  <c r="T805" i="64"/>
  <c r="U805" i="64"/>
  <c r="V805" i="64"/>
  <c r="W805" i="64"/>
  <c r="X805" i="64"/>
  <c r="Y805" i="64"/>
  <c r="Z805" i="64"/>
  <c r="AA805" i="64"/>
  <c r="AB805" i="64"/>
  <c r="AC805" i="64"/>
  <c r="AD805" i="64"/>
  <c r="AE805" i="64"/>
  <c r="AF805" i="64"/>
  <c r="AG805" i="64"/>
  <c r="AH805" i="64"/>
  <c r="AI805" i="64"/>
  <c r="AJ805" i="64"/>
  <c r="AK805" i="64"/>
  <c r="AL805" i="64"/>
  <c r="AM805" i="64"/>
  <c r="AN805" i="64"/>
  <c r="AO805" i="64"/>
  <c r="AP805" i="64"/>
  <c r="AQ805" i="64"/>
  <c r="AR805" i="64"/>
  <c r="AS805" i="64"/>
  <c r="AT805" i="64"/>
  <c r="AU805" i="64"/>
  <c r="AV805" i="64"/>
  <c r="AW805" i="64"/>
  <c r="AX805" i="64"/>
  <c r="AY805" i="64"/>
  <c r="AZ805" i="64"/>
  <c r="BA805" i="64"/>
  <c r="BB805" i="64"/>
  <c r="BC805" i="64"/>
  <c r="BD805" i="64"/>
  <c r="BE805" i="64"/>
  <c r="BF805" i="64"/>
  <c r="D806" i="64"/>
  <c r="E806" i="64"/>
  <c r="F806" i="64"/>
  <c r="G806" i="64"/>
  <c r="H806" i="64"/>
  <c r="I806" i="64"/>
  <c r="J806" i="64"/>
  <c r="K806" i="64"/>
  <c r="L806" i="64"/>
  <c r="M806" i="64"/>
  <c r="N806" i="64"/>
  <c r="O806" i="64"/>
  <c r="P806" i="64"/>
  <c r="Q806" i="64"/>
  <c r="R806" i="64"/>
  <c r="S806" i="64"/>
  <c r="T806" i="64"/>
  <c r="U806" i="64"/>
  <c r="V806" i="64"/>
  <c r="W806" i="64"/>
  <c r="X806" i="64"/>
  <c r="Y806" i="64"/>
  <c r="Z806" i="64"/>
  <c r="AA806" i="64"/>
  <c r="AB806" i="64"/>
  <c r="AC806" i="64"/>
  <c r="AD806" i="64"/>
  <c r="AE806" i="64"/>
  <c r="AF806" i="64"/>
  <c r="AG806" i="64"/>
  <c r="AH806" i="64"/>
  <c r="AI806" i="64"/>
  <c r="AJ806" i="64"/>
  <c r="AK806" i="64"/>
  <c r="AL806" i="64"/>
  <c r="AM806" i="64"/>
  <c r="AN806" i="64"/>
  <c r="AO806" i="64"/>
  <c r="AP806" i="64"/>
  <c r="AQ806" i="64"/>
  <c r="AR806" i="64"/>
  <c r="AS806" i="64"/>
  <c r="AT806" i="64"/>
  <c r="AU806" i="64"/>
  <c r="AV806" i="64"/>
  <c r="AW806" i="64"/>
  <c r="AX806" i="64"/>
  <c r="AY806" i="64"/>
  <c r="AZ806" i="64"/>
  <c r="BA806" i="64"/>
  <c r="BB806" i="64"/>
  <c r="BC806" i="64"/>
  <c r="BD806" i="64"/>
  <c r="BE806" i="64"/>
  <c r="BF806" i="64"/>
  <c r="D807" i="64"/>
  <c r="E807" i="64"/>
  <c r="F807" i="64"/>
  <c r="G807" i="64"/>
  <c r="H807" i="64"/>
  <c r="I807" i="64"/>
  <c r="J807" i="64"/>
  <c r="K807" i="64"/>
  <c r="L807" i="64"/>
  <c r="M807" i="64"/>
  <c r="N807" i="64"/>
  <c r="O807" i="64"/>
  <c r="P807" i="64"/>
  <c r="Q807" i="64"/>
  <c r="R807" i="64"/>
  <c r="S807" i="64"/>
  <c r="T807" i="64"/>
  <c r="U807" i="64"/>
  <c r="V807" i="64"/>
  <c r="W807" i="64"/>
  <c r="X807" i="64"/>
  <c r="Y807" i="64"/>
  <c r="Z807" i="64"/>
  <c r="AA807" i="64"/>
  <c r="AB807" i="64"/>
  <c r="AC807" i="64"/>
  <c r="AD807" i="64"/>
  <c r="AE807" i="64"/>
  <c r="AF807" i="64"/>
  <c r="AG807" i="64"/>
  <c r="AH807" i="64"/>
  <c r="AI807" i="64"/>
  <c r="AJ807" i="64"/>
  <c r="AK807" i="64"/>
  <c r="AL807" i="64"/>
  <c r="AM807" i="64"/>
  <c r="AN807" i="64"/>
  <c r="AO807" i="64"/>
  <c r="AP807" i="64"/>
  <c r="AQ807" i="64"/>
  <c r="AR807" i="64"/>
  <c r="AS807" i="64"/>
  <c r="AT807" i="64"/>
  <c r="AU807" i="64"/>
  <c r="AV807" i="64"/>
  <c r="AW807" i="64"/>
  <c r="AX807" i="64"/>
  <c r="AY807" i="64"/>
  <c r="AZ807" i="64"/>
  <c r="BA807" i="64"/>
  <c r="BB807" i="64"/>
  <c r="BC807" i="64"/>
  <c r="BD807" i="64"/>
  <c r="BE807" i="64"/>
  <c r="BF807" i="64"/>
  <c r="D808" i="64"/>
  <c r="E808" i="64"/>
  <c r="F808" i="64"/>
  <c r="G808" i="64"/>
  <c r="H808" i="64"/>
  <c r="I808" i="64"/>
  <c r="J808" i="64"/>
  <c r="K808" i="64"/>
  <c r="L808" i="64"/>
  <c r="M808" i="64"/>
  <c r="N808" i="64"/>
  <c r="O808" i="64"/>
  <c r="P808" i="64"/>
  <c r="Q808" i="64"/>
  <c r="R808" i="64"/>
  <c r="S808" i="64"/>
  <c r="T808" i="64"/>
  <c r="U808" i="64"/>
  <c r="V808" i="64"/>
  <c r="W808" i="64"/>
  <c r="X808" i="64"/>
  <c r="Y808" i="64"/>
  <c r="Z808" i="64"/>
  <c r="AA808" i="64"/>
  <c r="AB808" i="64"/>
  <c r="AC808" i="64"/>
  <c r="AD808" i="64"/>
  <c r="AE808" i="64"/>
  <c r="AF808" i="64"/>
  <c r="AG808" i="64"/>
  <c r="AH808" i="64"/>
  <c r="AI808" i="64"/>
  <c r="AJ808" i="64"/>
  <c r="AK808" i="64"/>
  <c r="AL808" i="64"/>
  <c r="AM808" i="64"/>
  <c r="AN808" i="64"/>
  <c r="AO808" i="64"/>
  <c r="AP808" i="64"/>
  <c r="AQ808" i="64"/>
  <c r="AR808" i="64"/>
  <c r="AS808" i="64"/>
  <c r="AT808" i="64"/>
  <c r="AU808" i="64"/>
  <c r="AV808" i="64"/>
  <c r="AW808" i="64"/>
  <c r="AX808" i="64"/>
  <c r="AY808" i="64"/>
  <c r="AZ808" i="64"/>
  <c r="BA808" i="64"/>
  <c r="BB808" i="64"/>
  <c r="BC808" i="64"/>
  <c r="BD808" i="64"/>
  <c r="BE808" i="64"/>
  <c r="BF808" i="64"/>
  <c r="D809" i="64"/>
  <c r="E809" i="64"/>
  <c r="F809" i="64"/>
  <c r="G809" i="64"/>
  <c r="H809" i="64"/>
  <c r="I809" i="64"/>
  <c r="J809" i="64"/>
  <c r="K809" i="64"/>
  <c r="L809" i="64"/>
  <c r="M809" i="64"/>
  <c r="N809" i="64"/>
  <c r="O809" i="64"/>
  <c r="P809" i="64"/>
  <c r="Q809" i="64"/>
  <c r="R809" i="64"/>
  <c r="S809" i="64"/>
  <c r="T809" i="64"/>
  <c r="U809" i="64"/>
  <c r="V809" i="64"/>
  <c r="W809" i="64"/>
  <c r="X809" i="64"/>
  <c r="Y809" i="64"/>
  <c r="Z809" i="64"/>
  <c r="AA809" i="64"/>
  <c r="AB809" i="64"/>
  <c r="AC809" i="64"/>
  <c r="AD809" i="64"/>
  <c r="AE809" i="64"/>
  <c r="AF809" i="64"/>
  <c r="AG809" i="64"/>
  <c r="AH809" i="64"/>
  <c r="AI809" i="64"/>
  <c r="AJ809" i="64"/>
  <c r="AK809" i="64"/>
  <c r="AL809" i="64"/>
  <c r="AM809" i="64"/>
  <c r="AN809" i="64"/>
  <c r="AO809" i="64"/>
  <c r="AP809" i="64"/>
  <c r="AQ809" i="64"/>
  <c r="AR809" i="64"/>
  <c r="AS809" i="64"/>
  <c r="AT809" i="64"/>
  <c r="AU809" i="64"/>
  <c r="AV809" i="64"/>
  <c r="AW809" i="64"/>
  <c r="AX809" i="64"/>
  <c r="AY809" i="64"/>
  <c r="AZ809" i="64"/>
  <c r="BA809" i="64"/>
  <c r="BB809" i="64"/>
  <c r="BC809" i="64"/>
  <c r="BD809" i="64"/>
  <c r="BE809" i="64"/>
  <c r="BF809" i="64"/>
  <c r="D810" i="64"/>
  <c r="E810" i="64"/>
  <c r="F810" i="64"/>
  <c r="G810" i="64"/>
  <c r="H810" i="64"/>
  <c r="I810" i="64"/>
  <c r="J810" i="64"/>
  <c r="K810" i="64"/>
  <c r="L810" i="64"/>
  <c r="M810" i="64"/>
  <c r="N810" i="64"/>
  <c r="O810" i="64"/>
  <c r="P810" i="64"/>
  <c r="Q810" i="64"/>
  <c r="R810" i="64"/>
  <c r="S810" i="64"/>
  <c r="T810" i="64"/>
  <c r="U810" i="64"/>
  <c r="V810" i="64"/>
  <c r="W810" i="64"/>
  <c r="X810" i="64"/>
  <c r="Y810" i="64"/>
  <c r="Z810" i="64"/>
  <c r="AA810" i="64"/>
  <c r="AB810" i="64"/>
  <c r="AC810" i="64"/>
  <c r="AD810" i="64"/>
  <c r="AE810" i="64"/>
  <c r="AF810" i="64"/>
  <c r="AG810" i="64"/>
  <c r="AH810" i="64"/>
  <c r="AI810" i="64"/>
  <c r="AJ810" i="64"/>
  <c r="AK810" i="64"/>
  <c r="AL810" i="64"/>
  <c r="AM810" i="64"/>
  <c r="AN810" i="64"/>
  <c r="AO810" i="64"/>
  <c r="AP810" i="64"/>
  <c r="AQ810" i="64"/>
  <c r="AR810" i="64"/>
  <c r="AS810" i="64"/>
  <c r="AT810" i="64"/>
  <c r="AU810" i="64"/>
  <c r="AV810" i="64"/>
  <c r="AW810" i="64"/>
  <c r="AX810" i="64"/>
  <c r="AY810" i="64"/>
  <c r="AZ810" i="64"/>
  <c r="BA810" i="64"/>
  <c r="BB810" i="64"/>
  <c r="BC810" i="64"/>
  <c r="BD810" i="64"/>
  <c r="BE810" i="64"/>
  <c r="BF810" i="64"/>
  <c r="D811" i="64"/>
  <c r="E811" i="64"/>
  <c r="F811" i="64"/>
  <c r="G811" i="64"/>
  <c r="H811" i="64"/>
  <c r="I811" i="64"/>
  <c r="J811" i="64"/>
  <c r="K811" i="64"/>
  <c r="L811" i="64"/>
  <c r="M811" i="64"/>
  <c r="N811" i="64"/>
  <c r="O811" i="64"/>
  <c r="P811" i="64"/>
  <c r="Q811" i="64"/>
  <c r="R811" i="64"/>
  <c r="S811" i="64"/>
  <c r="T811" i="64"/>
  <c r="U811" i="64"/>
  <c r="V811" i="64"/>
  <c r="W811" i="64"/>
  <c r="X811" i="64"/>
  <c r="Y811" i="64"/>
  <c r="Z811" i="64"/>
  <c r="AA811" i="64"/>
  <c r="AB811" i="64"/>
  <c r="AC811" i="64"/>
  <c r="AD811" i="64"/>
  <c r="AE811" i="64"/>
  <c r="AF811" i="64"/>
  <c r="AG811" i="64"/>
  <c r="AH811" i="64"/>
  <c r="AI811" i="64"/>
  <c r="AJ811" i="64"/>
  <c r="AK811" i="64"/>
  <c r="AL811" i="64"/>
  <c r="AM811" i="64"/>
  <c r="AN811" i="64"/>
  <c r="AO811" i="64"/>
  <c r="AP811" i="64"/>
  <c r="AQ811" i="64"/>
  <c r="AR811" i="64"/>
  <c r="AS811" i="64"/>
  <c r="AT811" i="64"/>
  <c r="AU811" i="64"/>
  <c r="AV811" i="64"/>
  <c r="AW811" i="64"/>
  <c r="AX811" i="64"/>
  <c r="AY811" i="64"/>
  <c r="AZ811" i="64"/>
  <c r="BA811" i="64"/>
  <c r="BB811" i="64"/>
  <c r="BC811" i="64"/>
  <c r="BD811" i="64"/>
  <c r="BE811" i="64"/>
  <c r="BF811" i="64"/>
  <c r="D812" i="64"/>
  <c r="E812" i="64"/>
  <c r="F812" i="64"/>
  <c r="G812" i="64"/>
  <c r="H812" i="64"/>
  <c r="I812" i="64"/>
  <c r="J812" i="64"/>
  <c r="K812" i="64"/>
  <c r="L812" i="64"/>
  <c r="M812" i="64"/>
  <c r="N812" i="64"/>
  <c r="O812" i="64"/>
  <c r="P812" i="64"/>
  <c r="Q812" i="64"/>
  <c r="R812" i="64"/>
  <c r="S812" i="64"/>
  <c r="T812" i="64"/>
  <c r="U812" i="64"/>
  <c r="V812" i="64"/>
  <c r="W812" i="64"/>
  <c r="X812" i="64"/>
  <c r="Y812" i="64"/>
  <c r="Z812" i="64"/>
  <c r="AA812" i="64"/>
  <c r="AB812" i="64"/>
  <c r="AC812" i="64"/>
  <c r="AD812" i="64"/>
  <c r="AE812" i="64"/>
  <c r="AF812" i="64"/>
  <c r="AG812" i="64"/>
  <c r="AH812" i="64"/>
  <c r="AI812" i="64"/>
  <c r="AJ812" i="64"/>
  <c r="AK812" i="64"/>
  <c r="AL812" i="64"/>
  <c r="AM812" i="64"/>
  <c r="AN812" i="64"/>
  <c r="AO812" i="64"/>
  <c r="AP812" i="64"/>
  <c r="AQ812" i="64"/>
  <c r="AR812" i="64"/>
  <c r="AS812" i="64"/>
  <c r="AT812" i="64"/>
  <c r="AU812" i="64"/>
  <c r="AV812" i="64"/>
  <c r="AW812" i="64"/>
  <c r="AX812" i="64"/>
  <c r="AY812" i="64"/>
  <c r="AZ812" i="64"/>
  <c r="BA812" i="64"/>
  <c r="BB812" i="64"/>
  <c r="BC812" i="64"/>
  <c r="BD812" i="64"/>
  <c r="BE812" i="64"/>
  <c r="BF812" i="64"/>
  <c r="D813" i="64"/>
  <c r="E813" i="64"/>
  <c r="F813" i="64"/>
  <c r="G813" i="64"/>
  <c r="H813" i="64"/>
  <c r="I813" i="64"/>
  <c r="J813" i="64"/>
  <c r="K813" i="64"/>
  <c r="L813" i="64"/>
  <c r="M813" i="64"/>
  <c r="N813" i="64"/>
  <c r="O813" i="64"/>
  <c r="P813" i="64"/>
  <c r="Q813" i="64"/>
  <c r="R813" i="64"/>
  <c r="S813" i="64"/>
  <c r="T813" i="64"/>
  <c r="U813" i="64"/>
  <c r="V813" i="64"/>
  <c r="W813" i="64"/>
  <c r="X813" i="64"/>
  <c r="Y813" i="64"/>
  <c r="Z813" i="64"/>
  <c r="AA813" i="64"/>
  <c r="AB813" i="64"/>
  <c r="AC813" i="64"/>
  <c r="AD813" i="64"/>
  <c r="AE813" i="64"/>
  <c r="AF813" i="64"/>
  <c r="AG813" i="64"/>
  <c r="AH813" i="64"/>
  <c r="AI813" i="64"/>
  <c r="AJ813" i="64"/>
  <c r="AK813" i="64"/>
  <c r="AL813" i="64"/>
  <c r="AM813" i="64"/>
  <c r="AN813" i="64"/>
  <c r="AO813" i="64"/>
  <c r="AP813" i="64"/>
  <c r="AQ813" i="64"/>
  <c r="AR813" i="64"/>
  <c r="AS813" i="64"/>
  <c r="AT813" i="64"/>
  <c r="AU813" i="64"/>
  <c r="AV813" i="64"/>
  <c r="AW813" i="64"/>
  <c r="AX813" i="64"/>
  <c r="AY813" i="64"/>
  <c r="AZ813" i="64"/>
  <c r="BA813" i="64"/>
  <c r="BB813" i="64"/>
  <c r="BC813" i="64"/>
  <c r="BD813" i="64"/>
  <c r="BE813" i="64"/>
  <c r="BF813" i="64"/>
  <c r="D814" i="64"/>
  <c r="E814" i="64"/>
  <c r="F814" i="64"/>
  <c r="G814" i="64"/>
  <c r="H814" i="64"/>
  <c r="I814" i="64"/>
  <c r="J814" i="64"/>
  <c r="K814" i="64"/>
  <c r="L814" i="64"/>
  <c r="M814" i="64"/>
  <c r="N814" i="64"/>
  <c r="O814" i="64"/>
  <c r="P814" i="64"/>
  <c r="Q814" i="64"/>
  <c r="R814" i="64"/>
  <c r="S814" i="64"/>
  <c r="T814" i="64"/>
  <c r="U814" i="64"/>
  <c r="V814" i="64"/>
  <c r="W814" i="64"/>
  <c r="X814" i="64"/>
  <c r="Y814" i="64"/>
  <c r="Z814" i="64"/>
  <c r="AA814" i="64"/>
  <c r="AB814" i="64"/>
  <c r="AC814" i="64"/>
  <c r="AD814" i="64"/>
  <c r="AE814" i="64"/>
  <c r="AF814" i="64"/>
  <c r="AG814" i="64"/>
  <c r="AH814" i="64"/>
  <c r="AI814" i="64"/>
  <c r="AJ814" i="64"/>
  <c r="AK814" i="64"/>
  <c r="AL814" i="64"/>
  <c r="AM814" i="64"/>
  <c r="AN814" i="64"/>
  <c r="AO814" i="64"/>
  <c r="AP814" i="64"/>
  <c r="AQ814" i="64"/>
  <c r="AR814" i="64"/>
  <c r="AS814" i="64"/>
  <c r="AT814" i="64"/>
  <c r="AU814" i="64"/>
  <c r="AV814" i="64"/>
  <c r="AW814" i="64"/>
  <c r="AX814" i="64"/>
  <c r="AY814" i="64"/>
  <c r="AZ814" i="64"/>
  <c r="BA814" i="64"/>
  <c r="BB814" i="64"/>
  <c r="BC814" i="64"/>
  <c r="BD814" i="64"/>
  <c r="BE814" i="64"/>
  <c r="BF814" i="64"/>
  <c r="D815" i="64"/>
  <c r="E815" i="64"/>
  <c r="F815" i="64"/>
  <c r="G815" i="64"/>
  <c r="H815" i="64"/>
  <c r="I815" i="64"/>
  <c r="J815" i="64"/>
  <c r="K815" i="64"/>
  <c r="L815" i="64"/>
  <c r="M815" i="64"/>
  <c r="N815" i="64"/>
  <c r="O815" i="64"/>
  <c r="P815" i="64"/>
  <c r="Q815" i="64"/>
  <c r="R815" i="64"/>
  <c r="S815" i="64"/>
  <c r="T815" i="64"/>
  <c r="U815" i="64"/>
  <c r="V815" i="64"/>
  <c r="W815" i="64"/>
  <c r="X815" i="64"/>
  <c r="Y815" i="64"/>
  <c r="Z815" i="64"/>
  <c r="AA815" i="64"/>
  <c r="AB815" i="64"/>
  <c r="AC815" i="64"/>
  <c r="AD815" i="64"/>
  <c r="AE815" i="64"/>
  <c r="AF815" i="64"/>
  <c r="AG815" i="64"/>
  <c r="AH815" i="64"/>
  <c r="AI815" i="64"/>
  <c r="AJ815" i="64"/>
  <c r="AK815" i="64"/>
  <c r="AL815" i="64"/>
  <c r="AM815" i="64"/>
  <c r="AN815" i="64"/>
  <c r="AO815" i="64"/>
  <c r="AP815" i="64"/>
  <c r="AQ815" i="64"/>
  <c r="AR815" i="64"/>
  <c r="AS815" i="64"/>
  <c r="AT815" i="64"/>
  <c r="AU815" i="64"/>
  <c r="AV815" i="64"/>
  <c r="AW815" i="64"/>
  <c r="AX815" i="64"/>
  <c r="AY815" i="64"/>
  <c r="AZ815" i="64"/>
  <c r="BA815" i="64"/>
  <c r="BB815" i="64"/>
  <c r="BC815" i="64"/>
  <c r="BD815" i="64"/>
  <c r="BE815" i="64"/>
  <c r="BF815" i="64"/>
  <c r="D816" i="64"/>
  <c r="E816" i="64"/>
  <c r="F816" i="64"/>
  <c r="G816" i="64"/>
  <c r="H816" i="64"/>
  <c r="I816" i="64"/>
  <c r="J816" i="64"/>
  <c r="K816" i="64"/>
  <c r="L816" i="64"/>
  <c r="M816" i="64"/>
  <c r="N816" i="64"/>
  <c r="O816" i="64"/>
  <c r="P816" i="64"/>
  <c r="Q816" i="64"/>
  <c r="R816" i="64"/>
  <c r="S816" i="64"/>
  <c r="T816" i="64"/>
  <c r="U816" i="64"/>
  <c r="V816" i="64"/>
  <c r="W816" i="64"/>
  <c r="X816" i="64"/>
  <c r="Y816" i="64"/>
  <c r="Z816" i="64"/>
  <c r="AA816" i="64"/>
  <c r="AB816" i="64"/>
  <c r="AC816" i="64"/>
  <c r="AD816" i="64"/>
  <c r="AE816" i="64"/>
  <c r="AF816" i="64"/>
  <c r="AG816" i="64"/>
  <c r="AH816" i="64"/>
  <c r="AI816" i="64"/>
  <c r="AJ816" i="64"/>
  <c r="AK816" i="64"/>
  <c r="AL816" i="64"/>
  <c r="AM816" i="64"/>
  <c r="AN816" i="64"/>
  <c r="AO816" i="64"/>
  <c r="AP816" i="64"/>
  <c r="AQ816" i="64"/>
  <c r="AR816" i="64"/>
  <c r="AS816" i="64"/>
  <c r="AT816" i="64"/>
  <c r="AU816" i="64"/>
  <c r="AV816" i="64"/>
  <c r="AW816" i="64"/>
  <c r="AX816" i="64"/>
  <c r="AY816" i="64"/>
  <c r="AZ816" i="64"/>
  <c r="BA816" i="64"/>
  <c r="BB816" i="64"/>
  <c r="BC816" i="64"/>
  <c r="BD816" i="64"/>
  <c r="BE816" i="64"/>
  <c r="BF816" i="64"/>
  <c r="D817" i="64"/>
  <c r="E817" i="64"/>
  <c r="F817" i="64"/>
  <c r="G817" i="64"/>
  <c r="H817" i="64"/>
  <c r="I817" i="64"/>
  <c r="J817" i="64"/>
  <c r="K817" i="64"/>
  <c r="L817" i="64"/>
  <c r="M817" i="64"/>
  <c r="N817" i="64"/>
  <c r="O817" i="64"/>
  <c r="P817" i="64"/>
  <c r="Q817" i="64"/>
  <c r="R817" i="64"/>
  <c r="S817" i="64"/>
  <c r="T817" i="64"/>
  <c r="U817" i="64"/>
  <c r="V817" i="64"/>
  <c r="W817" i="64"/>
  <c r="X817" i="64"/>
  <c r="Y817" i="64"/>
  <c r="Z817" i="64"/>
  <c r="AA817" i="64"/>
  <c r="AB817" i="64"/>
  <c r="AC817" i="64"/>
  <c r="AD817" i="64"/>
  <c r="AE817" i="64"/>
  <c r="AF817" i="64"/>
  <c r="AG817" i="64"/>
  <c r="AH817" i="64"/>
  <c r="AI817" i="64"/>
  <c r="AJ817" i="64"/>
  <c r="AK817" i="64"/>
  <c r="AL817" i="64"/>
  <c r="AM817" i="64"/>
  <c r="AN817" i="64"/>
  <c r="AO817" i="64"/>
  <c r="AP817" i="64"/>
  <c r="AQ817" i="64"/>
  <c r="AR817" i="64"/>
  <c r="AS817" i="64"/>
  <c r="AT817" i="64"/>
  <c r="AU817" i="64"/>
  <c r="AV817" i="64"/>
  <c r="AW817" i="64"/>
  <c r="AX817" i="64"/>
  <c r="AY817" i="64"/>
  <c r="AZ817" i="64"/>
  <c r="BA817" i="64"/>
  <c r="BB817" i="64"/>
  <c r="BC817" i="64"/>
  <c r="BD817" i="64"/>
  <c r="BE817" i="64"/>
  <c r="BF817" i="64"/>
  <c r="D818" i="64"/>
  <c r="E818" i="64"/>
  <c r="F818" i="64"/>
  <c r="G818" i="64"/>
  <c r="H818" i="64"/>
  <c r="I818" i="64"/>
  <c r="J818" i="64"/>
  <c r="K818" i="64"/>
  <c r="L818" i="64"/>
  <c r="M818" i="64"/>
  <c r="N818" i="64"/>
  <c r="O818" i="64"/>
  <c r="P818" i="64"/>
  <c r="Q818" i="64"/>
  <c r="R818" i="64"/>
  <c r="S818" i="64"/>
  <c r="T818" i="64"/>
  <c r="U818" i="64"/>
  <c r="V818" i="64"/>
  <c r="W818" i="64"/>
  <c r="X818" i="64"/>
  <c r="Y818" i="64"/>
  <c r="Z818" i="64"/>
  <c r="AA818" i="64"/>
  <c r="AB818" i="64"/>
  <c r="AC818" i="64"/>
  <c r="AD818" i="64"/>
  <c r="AE818" i="64"/>
  <c r="AF818" i="64"/>
  <c r="AG818" i="64"/>
  <c r="AH818" i="64"/>
  <c r="AI818" i="64"/>
  <c r="AJ818" i="64"/>
  <c r="AK818" i="64"/>
  <c r="AL818" i="64"/>
  <c r="AM818" i="64"/>
  <c r="AN818" i="64"/>
  <c r="AO818" i="64"/>
  <c r="AP818" i="64"/>
  <c r="AQ818" i="64"/>
  <c r="AR818" i="64"/>
  <c r="AS818" i="64"/>
  <c r="AT818" i="64"/>
  <c r="AU818" i="64"/>
  <c r="AV818" i="64"/>
  <c r="AW818" i="64"/>
  <c r="AX818" i="64"/>
  <c r="AY818" i="64"/>
  <c r="AZ818" i="64"/>
  <c r="BA818" i="64"/>
  <c r="BB818" i="64"/>
  <c r="BC818" i="64"/>
  <c r="BD818" i="64"/>
  <c r="BE818" i="64"/>
  <c r="BF818" i="64"/>
  <c r="D819" i="64"/>
  <c r="E819" i="64"/>
  <c r="F819" i="64"/>
  <c r="G819" i="64"/>
  <c r="H819" i="64"/>
  <c r="I819" i="64"/>
  <c r="J819" i="64"/>
  <c r="K819" i="64"/>
  <c r="L819" i="64"/>
  <c r="M819" i="64"/>
  <c r="N819" i="64"/>
  <c r="O819" i="64"/>
  <c r="P819" i="64"/>
  <c r="Q819" i="64"/>
  <c r="R819" i="64"/>
  <c r="S819" i="64"/>
  <c r="T819" i="64"/>
  <c r="U819" i="64"/>
  <c r="V819" i="64"/>
  <c r="W819" i="64"/>
  <c r="X819" i="64"/>
  <c r="Y819" i="64"/>
  <c r="Z819" i="64"/>
  <c r="AA819" i="64"/>
  <c r="AB819" i="64"/>
  <c r="AC819" i="64"/>
  <c r="AD819" i="64"/>
  <c r="AE819" i="64"/>
  <c r="AF819" i="64"/>
  <c r="AG819" i="64"/>
  <c r="AH819" i="64"/>
  <c r="AI819" i="64"/>
  <c r="AJ819" i="64"/>
  <c r="AK819" i="64"/>
  <c r="AL819" i="64"/>
  <c r="AM819" i="64"/>
  <c r="AN819" i="64"/>
  <c r="AO819" i="64"/>
  <c r="AP819" i="64"/>
  <c r="AQ819" i="64"/>
  <c r="AR819" i="64"/>
  <c r="AS819" i="64"/>
  <c r="AT819" i="64"/>
  <c r="AU819" i="64"/>
  <c r="AV819" i="64"/>
  <c r="AW819" i="64"/>
  <c r="AX819" i="64"/>
  <c r="AY819" i="64"/>
  <c r="AZ819" i="64"/>
  <c r="BA819" i="64"/>
  <c r="BB819" i="64"/>
  <c r="BC819" i="64"/>
  <c r="BD819" i="64"/>
  <c r="BE819" i="64"/>
  <c r="BF819" i="64"/>
  <c r="D820" i="64"/>
  <c r="E820" i="64"/>
  <c r="F820" i="64"/>
  <c r="G820" i="64"/>
  <c r="H820" i="64"/>
  <c r="I820" i="64"/>
  <c r="J820" i="64"/>
  <c r="K820" i="64"/>
  <c r="L820" i="64"/>
  <c r="M820" i="64"/>
  <c r="N820" i="64"/>
  <c r="O820" i="64"/>
  <c r="P820" i="64"/>
  <c r="Q820" i="64"/>
  <c r="R820" i="64"/>
  <c r="S820" i="64"/>
  <c r="T820" i="64"/>
  <c r="U820" i="64"/>
  <c r="V820" i="64"/>
  <c r="W820" i="64"/>
  <c r="X820" i="64"/>
  <c r="Y820" i="64"/>
  <c r="Z820" i="64"/>
  <c r="AA820" i="64"/>
  <c r="AB820" i="64"/>
  <c r="AC820" i="64"/>
  <c r="AD820" i="64"/>
  <c r="AE820" i="64"/>
  <c r="AF820" i="64"/>
  <c r="AG820" i="64"/>
  <c r="AH820" i="64"/>
  <c r="AI820" i="64"/>
  <c r="AJ820" i="64"/>
  <c r="AK820" i="64"/>
  <c r="AL820" i="64"/>
  <c r="AM820" i="64"/>
  <c r="AN820" i="64"/>
  <c r="AO820" i="64"/>
  <c r="AP820" i="64"/>
  <c r="AQ820" i="64"/>
  <c r="AR820" i="64"/>
  <c r="AS820" i="64"/>
  <c r="AT820" i="64"/>
  <c r="AU820" i="64"/>
  <c r="AV820" i="64"/>
  <c r="AW820" i="64"/>
  <c r="AX820" i="64"/>
  <c r="AY820" i="64"/>
  <c r="AZ820" i="64"/>
  <c r="BA820" i="64"/>
  <c r="BB820" i="64"/>
  <c r="BC820" i="64"/>
  <c r="BD820" i="64"/>
  <c r="BE820" i="64"/>
  <c r="BF820" i="64"/>
  <c r="C792" i="64"/>
  <c r="C793" i="64"/>
  <c r="C794" i="64"/>
  <c r="C795" i="64"/>
  <c r="C796" i="64"/>
  <c r="C797" i="64"/>
  <c r="C798" i="64"/>
  <c r="C799" i="64"/>
  <c r="C800" i="64"/>
  <c r="C801" i="64"/>
  <c r="C802" i="64"/>
  <c r="C803" i="64"/>
  <c r="C804" i="64"/>
  <c r="C805" i="64"/>
  <c r="C806" i="64"/>
  <c r="C807" i="64"/>
  <c r="C808" i="64"/>
  <c r="C809" i="64"/>
  <c r="C810" i="64"/>
  <c r="C811" i="64"/>
  <c r="C812" i="64"/>
  <c r="C813" i="64"/>
  <c r="C814" i="64"/>
  <c r="C815" i="64"/>
  <c r="C816" i="64"/>
  <c r="C817" i="64"/>
  <c r="C818" i="64"/>
  <c r="C819" i="64"/>
  <c r="C820" i="64"/>
  <c r="C791" i="64"/>
  <c r="D757" i="64"/>
  <c r="E757" i="64"/>
  <c r="F757" i="64"/>
  <c r="G757" i="64"/>
  <c r="H757" i="64"/>
  <c r="I757" i="64"/>
  <c r="J757" i="64"/>
  <c r="K757" i="64"/>
  <c r="L757" i="64"/>
  <c r="M757" i="64"/>
  <c r="N757" i="64"/>
  <c r="O757" i="64"/>
  <c r="P757" i="64"/>
  <c r="Q757" i="64"/>
  <c r="R757" i="64"/>
  <c r="S757" i="64"/>
  <c r="T757" i="64"/>
  <c r="U757" i="64"/>
  <c r="V757" i="64"/>
  <c r="W757" i="64"/>
  <c r="X757" i="64"/>
  <c r="Y757" i="64"/>
  <c r="Z757" i="64"/>
  <c r="AA757" i="64"/>
  <c r="AB757" i="64"/>
  <c r="AC757" i="64"/>
  <c r="AD757" i="64"/>
  <c r="AE757" i="64"/>
  <c r="AF757" i="64"/>
  <c r="AG757" i="64"/>
  <c r="AH757" i="64"/>
  <c r="AI757" i="64"/>
  <c r="AJ757" i="64"/>
  <c r="AK757" i="64"/>
  <c r="AL757" i="64"/>
  <c r="AM757" i="64"/>
  <c r="AN757" i="64"/>
  <c r="AO757" i="64"/>
  <c r="AP757" i="64"/>
  <c r="AQ757" i="64"/>
  <c r="AR757" i="64"/>
  <c r="AS757" i="64"/>
  <c r="AT757" i="64"/>
  <c r="AU757" i="64"/>
  <c r="AV757" i="64"/>
  <c r="AW757" i="64"/>
  <c r="AX757" i="64"/>
  <c r="AY757" i="64"/>
  <c r="AZ757" i="64"/>
  <c r="BA757" i="64"/>
  <c r="BB757" i="64"/>
  <c r="BC757" i="64"/>
  <c r="BD757" i="64"/>
  <c r="BE757" i="64"/>
  <c r="BF757" i="64"/>
  <c r="D758" i="64"/>
  <c r="E758" i="64"/>
  <c r="F758" i="64"/>
  <c r="G758" i="64"/>
  <c r="H758" i="64"/>
  <c r="I758" i="64"/>
  <c r="J758" i="64"/>
  <c r="K758" i="64"/>
  <c r="L758" i="64"/>
  <c r="M758" i="64"/>
  <c r="N758" i="64"/>
  <c r="O758" i="64"/>
  <c r="P758" i="64"/>
  <c r="Q758" i="64"/>
  <c r="R758" i="64"/>
  <c r="S758" i="64"/>
  <c r="T758" i="64"/>
  <c r="U758" i="64"/>
  <c r="V758" i="64"/>
  <c r="W758" i="64"/>
  <c r="X758" i="64"/>
  <c r="Y758" i="64"/>
  <c r="Z758" i="64"/>
  <c r="AA758" i="64"/>
  <c r="AB758" i="64"/>
  <c r="AC758" i="64"/>
  <c r="AD758" i="64"/>
  <c r="AE758" i="64"/>
  <c r="AF758" i="64"/>
  <c r="AG758" i="64"/>
  <c r="AH758" i="64"/>
  <c r="AI758" i="64"/>
  <c r="AJ758" i="64"/>
  <c r="AK758" i="64"/>
  <c r="AL758" i="64"/>
  <c r="AM758" i="64"/>
  <c r="AN758" i="64"/>
  <c r="AO758" i="64"/>
  <c r="AP758" i="64"/>
  <c r="AQ758" i="64"/>
  <c r="AR758" i="64"/>
  <c r="AS758" i="64"/>
  <c r="AT758" i="64"/>
  <c r="AU758" i="64"/>
  <c r="AV758" i="64"/>
  <c r="AW758" i="64"/>
  <c r="AX758" i="64"/>
  <c r="AY758" i="64"/>
  <c r="AZ758" i="64"/>
  <c r="BA758" i="64"/>
  <c r="BB758" i="64"/>
  <c r="BC758" i="64"/>
  <c r="BD758" i="64"/>
  <c r="BE758" i="64"/>
  <c r="BF758" i="64"/>
  <c r="D759" i="64"/>
  <c r="E759" i="64"/>
  <c r="F759" i="64"/>
  <c r="G759" i="64"/>
  <c r="H759" i="64"/>
  <c r="I759" i="64"/>
  <c r="J759" i="64"/>
  <c r="K759" i="64"/>
  <c r="L759" i="64"/>
  <c r="M759" i="64"/>
  <c r="N759" i="64"/>
  <c r="O759" i="64"/>
  <c r="P759" i="64"/>
  <c r="Q759" i="64"/>
  <c r="R759" i="64"/>
  <c r="S759" i="64"/>
  <c r="T759" i="64"/>
  <c r="U759" i="64"/>
  <c r="V759" i="64"/>
  <c r="W759" i="64"/>
  <c r="X759" i="64"/>
  <c r="Y759" i="64"/>
  <c r="Z759" i="64"/>
  <c r="AA759" i="64"/>
  <c r="AB759" i="64"/>
  <c r="AC759" i="64"/>
  <c r="AD759" i="64"/>
  <c r="AE759" i="64"/>
  <c r="AF759" i="64"/>
  <c r="AG759" i="64"/>
  <c r="AH759" i="64"/>
  <c r="AI759" i="64"/>
  <c r="AJ759" i="64"/>
  <c r="AK759" i="64"/>
  <c r="AL759" i="64"/>
  <c r="AM759" i="64"/>
  <c r="AN759" i="64"/>
  <c r="AO759" i="64"/>
  <c r="AP759" i="64"/>
  <c r="AQ759" i="64"/>
  <c r="AR759" i="64"/>
  <c r="AS759" i="64"/>
  <c r="AT759" i="64"/>
  <c r="AU759" i="64"/>
  <c r="AV759" i="64"/>
  <c r="AW759" i="64"/>
  <c r="AX759" i="64"/>
  <c r="AY759" i="64"/>
  <c r="AZ759" i="64"/>
  <c r="BA759" i="64"/>
  <c r="BB759" i="64"/>
  <c r="BC759" i="64"/>
  <c r="BD759" i="64"/>
  <c r="BE759" i="64"/>
  <c r="BF759" i="64"/>
  <c r="D760" i="64"/>
  <c r="E760" i="64"/>
  <c r="F760" i="64"/>
  <c r="G760" i="64"/>
  <c r="H760" i="64"/>
  <c r="I760" i="64"/>
  <c r="J760" i="64"/>
  <c r="K760" i="64"/>
  <c r="L760" i="64"/>
  <c r="M760" i="64"/>
  <c r="N760" i="64"/>
  <c r="O760" i="64"/>
  <c r="P760" i="64"/>
  <c r="Q760" i="64"/>
  <c r="R760" i="64"/>
  <c r="S760" i="64"/>
  <c r="T760" i="64"/>
  <c r="U760" i="64"/>
  <c r="V760" i="64"/>
  <c r="W760" i="64"/>
  <c r="X760" i="64"/>
  <c r="Y760" i="64"/>
  <c r="Z760" i="64"/>
  <c r="AA760" i="64"/>
  <c r="AB760" i="64"/>
  <c r="AC760" i="64"/>
  <c r="AD760" i="64"/>
  <c r="AE760" i="64"/>
  <c r="AF760" i="64"/>
  <c r="AG760" i="64"/>
  <c r="AH760" i="64"/>
  <c r="AI760" i="64"/>
  <c r="AJ760" i="64"/>
  <c r="AK760" i="64"/>
  <c r="AL760" i="64"/>
  <c r="AM760" i="64"/>
  <c r="AN760" i="64"/>
  <c r="AO760" i="64"/>
  <c r="AP760" i="64"/>
  <c r="AQ760" i="64"/>
  <c r="AR760" i="64"/>
  <c r="AS760" i="64"/>
  <c r="AT760" i="64"/>
  <c r="AU760" i="64"/>
  <c r="AV760" i="64"/>
  <c r="AW760" i="64"/>
  <c r="AX760" i="64"/>
  <c r="AY760" i="64"/>
  <c r="AZ760" i="64"/>
  <c r="BA760" i="64"/>
  <c r="BB760" i="64"/>
  <c r="BC760" i="64"/>
  <c r="BD760" i="64"/>
  <c r="BE760" i="64"/>
  <c r="BF760" i="64"/>
  <c r="D761" i="64"/>
  <c r="E761" i="64"/>
  <c r="F761" i="64"/>
  <c r="G761" i="64"/>
  <c r="H761" i="64"/>
  <c r="I761" i="64"/>
  <c r="J761" i="64"/>
  <c r="K761" i="64"/>
  <c r="L761" i="64"/>
  <c r="M761" i="64"/>
  <c r="N761" i="64"/>
  <c r="O761" i="64"/>
  <c r="P761" i="64"/>
  <c r="Q761" i="64"/>
  <c r="R761" i="64"/>
  <c r="S761" i="64"/>
  <c r="T761" i="64"/>
  <c r="U761" i="64"/>
  <c r="V761" i="64"/>
  <c r="W761" i="64"/>
  <c r="X761" i="64"/>
  <c r="Y761" i="64"/>
  <c r="Z761" i="64"/>
  <c r="AA761" i="64"/>
  <c r="AB761" i="64"/>
  <c r="AC761" i="64"/>
  <c r="AD761" i="64"/>
  <c r="AE761" i="64"/>
  <c r="AF761" i="64"/>
  <c r="AG761" i="64"/>
  <c r="AH761" i="64"/>
  <c r="AI761" i="64"/>
  <c r="AJ761" i="64"/>
  <c r="AK761" i="64"/>
  <c r="AL761" i="64"/>
  <c r="AM761" i="64"/>
  <c r="AN761" i="64"/>
  <c r="AO761" i="64"/>
  <c r="AP761" i="64"/>
  <c r="AQ761" i="64"/>
  <c r="AR761" i="64"/>
  <c r="AS761" i="64"/>
  <c r="AT761" i="64"/>
  <c r="AU761" i="64"/>
  <c r="AV761" i="64"/>
  <c r="AW761" i="64"/>
  <c r="AX761" i="64"/>
  <c r="AY761" i="64"/>
  <c r="AZ761" i="64"/>
  <c r="BA761" i="64"/>
  <c r="BB761" i="64"/>
  <c r="BC761" i="64"/>
  <c r="BD761" i="64"/>
  <c r="BE761" i="64"/>
  <c r="BF761" i="64"/>
  <c r="D762" i="64"/>
  <c r="E762" i="64"/>
  <c r="F762" i="64"/>
  <c r="G762" i="64"/>
  <c r="H762" i="64"/>
  <c r="I762" i="64"/>
  <c r="J762" i="64"/>
  <c r="K762" i="64"/>
  <c r="L762" i="64"/>
  <c r="M762" i="64"/>
  <c r="N762" i="64"/>
  <c r="O762" i="64"/>
  <c r="P762" i="64"/>
  <c r="Q762" i="64"/>
  <c r="R762" i="64"/>
  <c r="S762" i="64"/>
  <c r="T762" i="64"/>
  <c r="U762" i="64"/>
  <c r="V762" i="64"/>
  <c r="W762" i="64"/>
  <c r="X762" i="64"/>
  <c r="Y762" i="64"/>
  <c r="Z762" i="64"/>
  <c r="AA762" i="64"/>
  <c r="AB762" i="64"/>
  <c r="AC762" i="64"/>
  <c r="AD762" i="64"/>
  <c r="AE762" i="64"/>
  <c r="AF762" i="64"/>
  <c r="AG762" i="64"/>
  <c r="AH762" i="64"/>
  <c r="AI762" i="64"/>
  <c r="AJ762" i="64"/>
  <c r="AK762" i="64"/>
  <c r="AL762" i="64"/>
  <c r="AM762" i="64"/>
  <c r="AN762" i="64"/>
  <c r="AO762" i="64"/>
  <c r="AP762" i="64"/>
  <c r="AQ762" i="64"/>
  <c r="AR762" i="64"/>
  <c r="AS762" i="64"/>
  <c r="AT762" i="64"/>
  <c r="AU762" i="64"/>
  <c r="AV762" i="64"/>
  <c r="AW762" i="64"/>
  <c r="AX762" i="64"/>
  <c r="AY762" i="64"/>
  <c r="AZ762" i="64"/>
  <c r="BA762" i="64"/>
  <c r="BB762" i="64"/>
  <c r="BC762" i="64"/>
  <c r="BD762" i="64"/>
  <c r="BE762" i="64"/>
  <c r="BF762" i="64"/>
  <c r="D763" i="64"/>
  <c r="E763" i="64"/>
  <c r="F763" i="64"/>
  <c r="G763" i="64"/>
  <c r="H763" i="64"/>
  <c r="I763" i="64"/>
  <c r="J763" i="64"/>
  <c r="K763" i="64"/>
  <c r="L763" i="64"/>
  <c r="M763" i="64"/>
  <c r="N763" i="64"/>
  <c r="O763" i="64"/>
  <c r="P763" i="64"/>
  <c r="Q763" i="64"/>
  <c r="R763" i="64"/>
  <c r="S763" i="64"/>
  <c r="T763" i="64"/>
  <c r="U763" i="64"/>
  <c r="V763" i="64"/>
  <c r="W763" i="64"/>
  <c r="X763" i="64"/>
  <c r="Y763" i="64"/>
  <c r="Z763" i="64"/>
  <c r="AA763" i="64"/>
  <c r="AB763" i="64"/>
  <c r="AC763" i="64"/>
  <c r="AD763" i="64"/>
  <c r="AE763" i="64"/>
  <c r="AF763" i="64"/>
  <c r="AG763" i="64"/>
  <c r="AH763" i="64"/>
  <c r="AI763" i="64"/>
  <c r="AJ763" i="64"/>
  <c r="AK763" i="64"/>
  <c r="AL763" i="64"/>
  <c r="AM763" i="64"/>
  <c r="AN763" i="64"/>
  <c r="AO763" i="64"/>
  <c r="AP763" i="64"/>
  <c r="AQ763" i="64"/>
  <c r="AR763" i="64"/>
  <c r="AS763" i="64"/>
  <c r="AT763" i="64"/>
  <c r="AU763" i="64"/>
  <c r="AV763" i="64"/>
  <c r="AW763" i="64"/>
  <c r="AX763" i="64"/>
  <c r="AY763" i="64"/>
  <c r="AZ763" i="64"/>
  <c r="BA763" i="64"/>
  <c r="BB763" i="64"/>
  <c r="BC763" i="64"/>
  <c r="BD763" i="64"/>
  <c r="BE763" i="64"/>
  <c r="BF763" i="64"/>
  <c r="D764" i="64"/>
  <c r="E764" i="64"/>
  <c r="F764" i="64"/>
  <c r="G764" i="64"/>
  <c r="H764" i="64"/>
  <c r="I764" i="64"/>
  <c r="J764" i="64"/>
  <c r="K764" i="64"/>
  <c r="L764" i="64"/>
  <c r="M764" i="64"/>
  <c r="N764" i="64"/>
  <c r="O764" i="64"/>
  <c r="P764" i="64"/>
  <c r="Q764" i="64"/>
  <c r="R764" i="64"/>
  <c r="S764" i="64"/>
  <c r="T764" i="64"/>
  <c r="U764" i="64"/>
  <c r="V764" i="64"/>
  <c r="W764" i="64"/>
  <c r="X764" i="64"/>
  <c r="Y764" i="64"/>
  <c r="Z764" i="64"/>
  <c r="AA764" i="64"/>
  <c r="AB764" i="64"/>
  <c r="AC764" i="64"/>
  <c r="AD764" i="64"/>
  <c r="AE764" i="64"/>
  <c r="AF764" i="64"/>
  <c r="AG764" i="64"/>
  <c r="AH764" i="64"/>
  <c r="AI764" i="64"/>
  <c r="AJ764" i="64"/>
  <c r="AK764" i="64"/>
  <c r="AL764" i="64"/>
  <c r="AM764" i="64"/>
  <c r="AN764" i="64"/>
  <c r="AO764" i="64"/>
  <c r="AP764" i="64"/>
  <c r="AQ764" i="64"/>
  <c r="AR764" i="64"/>
  <c r="AS764" i="64"/>
  <c r="AT764" i="64"/>
  <c r="AU764" i="64"/>
  <c r="AV764" i="64"/>
  <c r="AW764" i="64"/>
  <c r="AX764" i="64"/>
  <c r="AY764" i="64"/>
  <c r="AZ764" i="64"/>
  <c r="BA764" i="64"/>
  <c r="BB764" i="64"/>
  <c r="BC764" i="64"/>
  <c r="BD764" i="64"/>
  <c r="BE764" i="64"/>
  <c r="BF764" i="64"/>
  <c r="D765" i="64"/>
  <c r="E765" i="64"/>
  <c r="F765" i="64"/>
  <c r="G765" i="64"/>
  <c r="H765" i="64"/>
  <c r="I765" i="64"/>
  <c r="J765" i="64"/>
  <c r="K765" i="64"/>
  <c r="L765" i="64"/>
  <c r="M765" i="64"/>
  <c r="N765" i="64"/>
  <c r="O765" i="64"/>
  <c r="P765" i="64"/>
  <c r="Q765" i="64"/>
  <c r="R765" i="64"/>
  <c r="S765" i="64"/>
  <c r="T765" i="64"/>
  <c r="U765" i="64"/>
  <c r="V765" i="64"/>
  <c r="W765" i="64"/>
  <c r="X765" i="64"/>
  <c r="Y765" i="64"/>
  <c r="Z765" i="64"/>
  <c r="AA765" i="64"/>
  <c r="AB765" i="64"/>
  <c r="AC765" i="64"/>
  <c r="AD765" i="64"/>
  <c r="AE765" i="64"/>
  <c r="AF765" i="64"/>
  <c r="AG765" i="64"/>
  <c r="AH765" i="64"/>
  <c r="AI765" i="64"/>
  <c r="AJ765" i="64"/>
  <c r="AK765" i="64"/>
  <c r="AL765" i="64"/>
  <c r="AM765" i="64"/>
  <c r="AN765" i="64"/>
  <c r="AO765" i="64"/>
  <c r="AP765" i="64"/>
  <c r="AQ765" i="64"/>
  <c r="AR765" i="64"/>
  <c r="AS765" i="64"/>
  <c r="AT765" i="64"/>
  <c r="AU765" i="64"/>
  <c r="AV765" i="64"/>
  <c r="AW765" i="64"/>
  <c r="AX765" i="64"/>
  <c r="AY765" i="64"/>
  <c r="AZ765" i="64"/>
  <c r="BA765" i="64"/>
  <c r="BB765" i="64"/>
  <c r="BC765" i="64"/>
  <c r="BD765" i="64"/>
  <c r="BE765" i="64"/>
  <c r="BF765" i="64"/>
  <c r="D766" i="64"/>
  <c r="E766" i="64"/>
  <c r="F766" i="64"/>
  <c r="G766" i="64"/>
  <c r="H766" i="64"/>
  <c r="I766" i="64"/>
  <c r="J766" i="64"/>
  <c r="K766" i="64"/>
  <c r="L766" i="64"/>
  <c r="M766" i="64"/>
  <c r="N766" i="64"/>
  <c r="O766" i="64"/>
  <c r="P766" i="64"/>
  <c r="Q766" i="64"/>
  <c r="R766" i="64"/>
  <c r="S766" i="64"/>
  <c r="T766" i="64"/>
  <c r="U766" i="64"/>
  <c r="V766" i="64"/>
  <c r="W766" i="64"/>
  <c r="X766" i="64"/>
  <c r="Y766" i="64"/>
  <c r="Z766" i="64"/>
  <c r="AA766" i="64"/>
  <c r="AB766" i="64"/>
  <c r="AC766" i="64"/>
  <c r="AD766" i="64"/>
  <c r="AE766" i="64"/>
  <c r="AF766" i="64"/>
  <c r="AG766" i="64"/>
  <c r="AH766" i="64"/>
  <c r="AI766" i="64"/>
  <c r="AJ766" i="64"/>
  <c r="AK766" i="64"/>
  <c r="AL766" i="64"/>
  <c r="AM766" i="64"/>
  <c r="AN766" i="64"/>
  <c r="AO766" i="64"/>
  <c r="AP766" i="64"/>
  <c r="AQ766" i="64"/>
  <c r="AR766" i="64"/>
  <c r="AS766" i="64"/>
  <c r="AT766" i="64"/>
  <c r="AU766" i="64"/>
  <c r="AV766" i="64"/>
  <c r="AW766" i="64"/>
  <c r="AX766" i="64"/>
  <c r="AY766" i="64"/>
  <c r="AZ766" i="64"/>
  <c r="BA766" i="64"/>
  <c r="BB766" i="64"/>
  <c r="BC766" i="64"/>
  <c r="BD766" i="64"/>
  <c r="BE766" i="64"/>
  <c r="BF766" i="64"/>
  <c r="D767" i="64"/>
  <c r="E767" i="64"/>
  <c r="F767" i="64"/>
  <c r="G767" i="64"/>
  <c r="H767" i="64"/>
  <c r="I767" i="64"/>
  <c r="J767" i="64"/>
  <c r="K767" i="64"/>
  <c r="L767" i="64"/>
  <c r="M767" i="64"/>
  <c r="N767" i="64"/>
  <c r="O767" i="64"/>
  <c r="P767" i="64"/>
  <c r="Q767" i="64"/>
  <c r="R767" i="64"/>
  <c r="S767" i="64"/>
  <c r="T767" i="64"/>
  <c r="U767" i="64"/>
  <c r="V767" i="64"/>
  <c r="W767" i="64"/>
  <c r="X767" i="64"/>
  <c r="Y767" i="64"/>
  <c r="Z767" i="64"/>
  <c r="AA767" i="64"/>
  <c r="AB767" i="64"/>
  <c r="AC767" i="64"/>
  <c r="AD767" i="64"/>
  <c r="AE767" i="64"/>
  <c r="AF767" i="64"/>
  <c r="AG767" i="64"/>
  <c r="AH767" i="64"/>
  <c r="AI767" i="64"/>
  <c r="AJ767" i="64"/>
  <c r="AK767" i="64"/>
  <c r="AL767" i="64"/>
  <c r="AM767" i="64"/>
  <c r="AN767" i="64"/>
  <c r="AO767" i="64"/>
  <c r="AP767" i="64"/>
  <c r="AQ767" i="64"/>
  <c r="AR767" i="64"/>
  <c r="AS767" i="64"/>
  <c r="AT767" i="64"/>
  <c r="AU767" i="64"/>
  <c r="AV767" i="64"/>
  <c r="AW767" i="64"/>
  <c r="AX767" i="64"/>
  <c r="AY767" i="64"/>
  <c r="AZ767" i="64"/>
  <c r="BA767" i="64"/>
  <c r="BB767" i="64"/>
  <c r="BC767" i="64"/>
  <c r="BD767" i="64"/>
  <c r="BE767" i="64"/>
  <c r="BF767" i="64"/>
  <c r="D768" i="64"/>
  <c r="E768" i="64"/>
  <c r="F768" i="64"/>
  <c r="G768" i="64"/>
  <c r="H768" i="64"/>
  <c r="I768" i="64"/>
  <c r="J768" i="64"/>
  <c r="K768" i="64"/>
  <c r="L768" i="64"/>
  <c r="M768" i="64"/>
  <c r="N768" i="64"/>
  <c r="O768" i="64"/>
  <c r="P768" i="64"/>
  <c r="Q768" i="64"/>
  <c r="R768" i="64"/>
  <c r="S768" i="64"/>
  <c r="T768" i="64"/>
  <c r="U768" i="64"/>
  <c r="V768" i="64"/>
  <c r="W768" i="64"/>
  <c r="X768" i="64"/>
  <c r="Y768" i="64"/>
  <c r="Z768" i="64"/>
  <c r="AA768" i="64"/>
  <c r="AB768" i="64"/>
  <c r="AC768" i="64"/>
  <c r="AD768" i="64"/>
  <c r="AE768" i="64"/>
  <c r="AF768" i="64"/>
  <c r="AG768" i="64"/>
  <c r="AH768" i="64"/>
  <c r="AI768" i="64"/>
  <c r="AJ768" i="64"/>
  <c r="AK768" i="64"/>
  <c r="AL768" i="64"/>
  <c r="AM768" i="64"/>
  <c r="AN768" i="64"/>
  <c r="AO768" i="64"/>
  <c r="AP768" i="64"/>
  <c r="AQ768" i="64"/>
  <c r="AR768" i="64"/>
  <c r="AS768" i="64"/>
  <c r="AT768" i="64"/>
  <c r="AU768" i="64"/>
  <c r="AV768" i="64"/>
  <c r="AW768" i="64"/>
  <c r="AX768" i="64"/>
  <c r="AY768" i="64"/>
  <c r="AZ768" i="64"/>
  <c r="BA768" i="64"/>
  <c r="BB768" i="64"/>
  <c r="BC768" i="64"/>
  <c r="BD768" i="64"/>
  <c r="BE768" i="64"/>
  <c r="BF768" i="64"/>
  <c r="D769" i="64"/>
  <c r="E769" i="64"/>
  <c r="F769" i="64"/>
  <c r="G769" i="64"/>
  <c r="H769" i="64"/>
  <c r="I769" i="64"/>
  <c r="J769" i="64"/>
  <c r="K769" i="64"/>
  <c r="L769" i="64"/>
  <c r="M769" i="64"/>
  <c r="N769" i="64"/>
  <c r="O769" i="64"/>
  <c r="P769" i="64"/>
  <c r="Q769" i="64"/>
  <c r="R769" i="64"/>
  <c r="S769" i="64"/>
  <c r="T769" i="64"/>
  <c r="U769" i="64"/>
  <c r="V769" i="64"/>
  <c r="W769" i="64"/>
  <c r="X769" i="64"/>
  <c r="Y769" i="64"/>
  <c r="Z769" i="64"/>
  <c r="AA769" i="64"/>
  <c r="AB769" i="64"/>
  <c r="AC769" i="64"/>
  <c r="AD769" i="64"/>
  <c r="AE769" i="64"/>
  <c r="AF769" i="64"/>
  <c r="AG769" i="64"/>
  <c r="AH769" i="64"/>
  <c r="AI769" i="64"/>
  <c r="AJ769" i="64"/>
  <c r="AK769" i="64"/>
  <c r="AL769" i="64"/>
  <c r="AM769" i="64"/>
  <c r="AN769" i="64"/>
  <c r="AO769" i="64"/>
  <c r="AP769" i="64"/>
  <c r="AQ769" i="64"/>
  <c r="AR769" i="64"/>
  <c r="AS769" i="64"/>
  <c r="AT769" i="64"/>
  <c r="AU769" i="64"/>
  <c r="AV769" i="64"/>
  <c r="AW769" i="64"/>
  <c r="AX769" i="64"/>
  <c r="AY769" i="64"/>
  <c r="AZ769" i="64"/>
  <c r="BA769" i="64"/>
  <c r="BB769" i="64"/>
  <c r="BC769" i="64"/>
  <c r="BD769" i="64"/>
  <c r="BE769" i="64"/>
  <c r="BF769" i="64"/>
  <c r="D770" i="64"/>
  <c r="E770" i="64"/>
  <c r="F770" i="64"/>
  <c r="G770" i="64"/>
  <c r="H770" i="64"/>
  <c r="I770" i="64"/>
  <c r="J770" i="64"/>
  <c r="K770" i="64"/>
  <c r="L770" i="64"/>
  <c r="M770" i="64"/>
  <c r="N770" i="64"/>
  <c r="O770" i="64"/>
  <c r="P770" i="64"/>
  <c r="Q770" i="64"/>
  <c r="R770" i="64"/>
  <c r="S770" i="64"/>
  <c r="T770" i="64"/>
  <c r="U770" i="64"/>
  <c r="V770" i="64"/>
  <c r="W770" i="64"/>
  <c r="X770" i="64"/>
  <c r="Y770" i="64"/>
  <c r="Z770" i="64"/>
  <c r="AA770" i="64"/>
  <c r="AB770" i="64"/>
  <c r="AC770" i="64"/>
  <c r="AD770" i="64"/>
  <c r="AE770" i="64"/>
  <c r="AF770" i="64"/>
  <c r="AG770" i="64"/>
  <c r="AH770" i="64"/>
  <c r="AI770" i="64"/>
  <c r="AJ770" i="64"/>
  <c r="AK770" i="64"/>
  <c r="AL770" i="64"/>
  <c r="AM770" i="64"/>
  <c r="AN770" i="64"/>
  <c r="AO770" i="64"/>
  <c r="AP770" i="64"/>
  <c r="AQ770" i="64"/>
  <c r="AR770" i="64"/>
  <c r="AS770" i="64"/>
  <c r="AT770" i="64"/>
  <c r="AU770" i="64"/>
  <c r="AV770" i="64"/>
  <c r="AW770" i="64"/>
  <c r="AX770" i="64"/>
  <c r="AY770" i="64"/>
  <c r="AZ770" i="64"/>
  <c r="BA770" i="64"/>
  <c r="BB770" i="64"/>
  <c r="BC770" i="64"/>
  <c r="BD770" i="64"/>
  <c r="BE770" i="64"/>
  <c r="BF770" i="64"/>
  <c r="D771" i="64"/>
  <c r="E771" i="64"/>
  <c r="F771" i="64"/>
  <c r="G771" i="64"/>
  <c r="H771" i="64"/>
  <c r="I771" i="64"/>
  <c r="J771" i="64"/>
  <c r="K771" i="64"/>
  <c r="L771" i="64"/>
  <c r="M771" i="64"/>
  <c r="N771" i="64"/>
  <c r="O771" i="64"/>
  <c r="P771" i="64"/>
  <c r="Q771" i="64"/>
  <c r="R771" i="64"/>
  <c r="S771" i="64"/>
  <c r="T771" i="64"/>
  <c r="U771" i="64"/>
  <c r="V771" i="64"/>
  <c r="W771" i="64"/>
  <c r="X771" i="64"/>
  <c r="Y771" i="64"/>
  <c r="Z771" i="64"/>
  <c r="AA771" i="64"/>
  <c r="AB771" i="64"/>
  <c r="AC771" i="64"/>
  <c r="AD771" i="64"/>
  <c r="AE771" i="64"/>
  <c r="AF771" i="64"/>
  <c r="AG771" i="64"/>
  <c r="AH771" i="64"/>
  <c r="AI771" i="64"/>
  <c r="AJ771" i="64"/>
  <c r="AK771" i="64"/>
  <c r="AL771" i="64"/>
  <c r="AM771" i="64"/>
  <c r="AN771" i="64"/>
  <c r="AO771" i="64"/>
  <c r="AP771" i="64"/>
  <c r="AQ771" i="64"/>
  <c r="AR771" i="64"/>
  <c r="AS771" i="64"/>
  <c r="AT771" i="64"/>
  <c r="AU771" i="64"/>
  <c r="AV771" i="64"/>
  <c r="AW771" i="64"/>
  <c r="AX771" i="64"/>
  <c r="AY771" i="64"/>
  <c r="AZ771" i="64"/>
  <c r="BA771" i="64"/>
  <c r="BB771" i="64"/>
  <c r="BC771" i="64"/>
  <c r="BD771" i="64"/>
  <c r="BE771" i="64"/>
  <c r="BF771" i="64"/>
  <c r="D772" i="64"/>
  <c r="E772" i="64"/>
  <c r="F772" i="64"/>
  <c r="G772" i="64"/>
  <c r="H772" i="64"/>
  <c r="I772" i="64"/>
  <c r="J772" i="64"/>
  <c r="K772" i="64"/>
  <c r="L772" i="64"/>
  <c r="M772" i="64"/>
  <c r="N772" i="64"/>
  <c r="O772" i="64"/>
  <c r="P772" i="64"/>
  <c r="Q772" i="64"/>
  <c r="R772" i="64"/>
  <c r="S772" i="64"/>
  <c r="T772" i="64"/>
  <c r="U772" i="64"/>
  <c r="V772" i="64"/>
  <c r="W772" i="64"/>
  <c r="X772" i="64"/>
  <c r="Y772" i="64"/>
  <c r="Z772" i="64"/>
  <c r="AA772" i="64"/>
  <c r="AB772" i="64"/>
  <c r="AC772" i="64"/>
  <c r="AD772" i="64"/>
  <c r="AE772" i="64"/>
  <c r="AF772" i="64"/>
  <c r="AG772" i="64"/>
  <c r="AH772" i="64"/>
  <c r="AI772" i="64"/>
  <c r="AJ772" i="64"/>
  <c r="AK772" i="64"/>
  <c r="AL772" i="64"/>
  <c r="AM772" i="64"/>
  <c r="AN772" i="64"/>
  <c r="AO772" i="64"/>
  <c r="AP772" i="64"/>
  <c r="AQ772" i="64"/>
  <c r="AR772" i="64"/>
  <c r="AS772" i="64"/>
  <c r="AT772" i="64"/>
  <c r="AU772" i="64"/>
  <c r="AV772" i="64"/>
  <c r="AW772" i="64"/>
  <c r="AX772" i="64"/>
  <c r="AY772" i="64"/>
  <c r="AZ772" i="64"/>
  <c r="BA772" i="64"/>
  <c r="BB772" i="64"/>
  <c r="BC772" i="64"/>
  <c r="BD772" i="64"/>
  <c r="BE772" i="64"/>
  <c r="BF772" i="64"/>
  <c r="D773" i="64"/>
  <c r="E773" i="64"/>
  <c r="F773" i="64"/>
  <c r="G773" i="64"/>
  <c r="H773" i="64"/>
  <c r="I773" i="64"/>
  <c r="J773" i="64"/>
  <c r="K773" i="64"/>
  <c r="L773" i="64"/>
  <c r="M773" i="64"/>
  <c r="N773" i="64"/>
  <c r="O773" i="64"/>
  <c r="P773" i="64"/>
  <c r="Q773" i="64"/>
  <c r="R773" i="64"/>
  <c r="S773" i="64"/>
  <c r="T773" i="64"/>
  <c r="U773" i="64"/>
  <c r="V773" i="64"/>
  <c r="W773" i="64"/>
  <c r="X773" i="64"/>
  <c r="Y773" i="64"/>
  <c r="Z773" i="64"/>
  <c r="AA773" i="64"/>
  <c r="AB773" i="64"/>
  <c r="AC773" i="64"/>
  <c r="AD773" i="64"/>
  <c r="AE773" i="64"/>
  <c r="AF773" i="64"/>
  <c r="AG773" i="64"/>
  <c r="AH773" i="64"/>
  <c r="AI773" i="64"/>
  <c r="AJ773" i="64"/>
  <c r="AK773" i="64"/>
  <c r="AL773" i="64"/>
  <c r="AM773" i="64"/>
  <c r="AN773" i="64"/>
  <c r="AO773" i="64"/>
  <c r="AP773" i="64"/>
  <c r="AQ773" i="64"/>
  <c r="AR773" i="64"/>
  <c r="AS773" i="64"/>
  <c r="AT773" i="64"/>
  <c r="AU773" i="64"/>
  <c r="AV773" i="64"/>
  <c r="AW773" i="64"/>
  <c r="AX773" i="64"/>
  <c r="AY773" i="64"/>
  <c r="AZ773" i="64"/>
  <c r="BA773" i="64"/>
  <c r="BB773" i="64"/>
  <c r="BC773" i="64"/>
  <c r="BD773" i="64"/>
  <c r="BE773" i="64"/>
  <c r="BF773" i="64"/>
  <c r="D774" i="64"/>
  <c r="E774" i="64"/>
  <c r="F774" i="64"/>
  <c r="G774" i="64"/>
  <c r="H774" i="64"/>
  <c r="I774" i="64"/>
  <c r="J774" i="64"/>
  <c r="K774" i="64"/>
  <c r="L774" i="64"/>
  <c r="M774" i="64"/>
  <c r="N774" i="64"/>
  <c r="O774" i="64"/>
  <c r="P774" i="64"/>
  <c r="Q774" i="64"/>
  <c r="R774" i="64"/>
  <c r="S774" i="64"/>
  <c r="T774" i="64"/>
  <c r="U774" i="64"/>
  <c r="V774" i="64"/>
  <c r="W774" i="64"/>
  <c r="X774" i="64"/>
  <c r="Y774" i="64"/>
  <c r="Z774" i="64"/>
  <c r="AA774" i="64"/>
  <c r="AB774" i="64"/>
  <c r="AC774" i="64"/>
  <c r="AD774" i="64"/>
  <c r="AE774" i="64"/>
  <c r="AF774" i="64"/>
  <c r="AG774" i="64"/>
  <c r="AH774" i="64"/>
  <c r="AI774" i="64"/>
  <c r="AJ774" i="64"/>
  <c r="AK774" i="64"/>
  <c r="AL774" i="64"/>
  <c r="AM774" i="64"/>
  <c r="AN774" i="64"/>
  <c r="AO774" i="64"/>
  <c r="AP774" i="64"/>
  <c r="AQ774" i="64"/>
  <c r="AR774" i="64"/>
  <c r="AS774" i="64"/>
  <c r="AT774" i="64"/>
  <c r="AU774" i="64"/>
  <c r="AV774" i="64"/>
  <c r="AW774" i="64"/>
  <c r="AX774" i="64"/>
  <c r="AY774" i="64"/>
  <c r="AZ774" i="64"/>
  <c r="BA774" i="64"/>
  <c r="BB774" i="64"/>
  <c r="BC774" i="64"/>
  <c r="BD774" i="64"/>
  <c r="BE774" i="64"/>
  <c r="BF774" i="64"/>
  <c r="D775" i="64"/>
  <c r="E775" i="64"/>
  <c r="F775" i="64"/>
  <c r="G775" i="64"/>
  <c r="H775" i="64"/>
  <c r="I775" i="64"/>
  <c r="J775" i="64"/>
  <c r="K775" i="64"/>
  <c r="L775" i="64"/>
  <c r="M775" i="64"/>
  <c r="N775" i="64"/>
  <c r="O775" i="64"/>
  <c r="P775" i="64"/>
  <c r="Q775" i="64"/>
  <c r="R775" i="64"/>
  <c r="S775" i="64"/>
  <c r="T775" i="64"/>
  <c r="U775" i="64"/>
  <c r="V775" i="64"/>
  <c r="W775" i="64"/>
  <c r="X775" i="64"/>
  <c r="Y775" i="64"/>
  <c r="Z775" i="64"/>
  <c r="AA775" i="64"/>
  <c r="AB775" i="64"/>
  <c r="AC775" i="64"/>
  <c r="AD775" i="64"/>
  <c r="AE775" i="64"/>
  <c r="AF775" i="64"/>
  <c r="AG775" i="64"/>
  <c r="AH775" i="64"/>
  <c r="AI775" i="64"/>
  <c r="AJ775" i="64"/>
  <c r="AK775" i="64"/>
  <c r="AL775" i="64"/>
  <c r="AM775" i="64"/>
  <c r="AN775" i="64"/>
  <c r="AO775" i="64"/>
  <c r="AP775" i="64"/>
  <c r="AQ775" i="64"/>
  <c r="AR775" i="64"/>
  <c r="AS775" i="64"/>
  <c r="AT775" i="64"/>
  <c r="AU775" i="64"/>
  <c r="AV775" i="64"/>
  <c r="AW775" i="64"/>
  <c r="AX775" i="64"/>
  <c r="AY775" i="64"/>
  <c r="AZ775" i="64"/>
  <c r="BA775" i="64"/>
  <c r="BB775" i="64"/>
  <c r="BC775" i="64"/>
  <c r="BD775" i="64"/>
  <c r="BE775" i="64"/>
  <c r="BF775" i="64"/>
  <c r="D776" i="64"/>
  <c r="E776" i="64"/>
  <c r="F776" i="64"/>
  <c r="G776" i="64"/>
  <c r="H776" i="64"/>
  <c r="I776" i="64"/>
  <c r="J776" i="64"/>
  <c r="K776" i="64"/>
  <c r="L776" i="64"/>
  <c r="M776" i="64"/>
  <c r="N776" i="64"/>
  <c r="O776" i="64"/>
  <c r="P776" i="64"/>
  <c r="Q776" i="64"/>
  <c r="R776" i="64"/>
  <c r="S776" i="64"/>
  <c r="T776" i="64"/>
  <c r="U776" i="64"/>
  <c r="V776" i="64"/>
  <c r="W776" i="64"/>
  <c r="X776" i="64"/>
  <c r="Y776" i="64"/>
  <c r="Z776" i="64"/>
  <c r="AA776" i="64"/>
  <c r="AB776" i="64"/>
  <c r="AC776" i="64"/>
  <c r="AD776" i="64"/>
  <c r="AE776" i="64"/>
  <c r="AF776" i="64"/>
  <c r="AG776" i="64"/>
  <c r="AH776" i="64"/>
  <c r="AI776" i="64"/>
  <c r="AJ776" i="64"/>
  <c r="AK776" i="64"/>
  <c r="AL776" i="64"/>
  <c r="AM776" i="64"/>
  <c r="AN776" i="64"/>
  <c r="AO776" i="64"/>
  <c r="AP776" i="64"/>
  <c r="AQ776" i="64"/>
  <c r="AR776" i="64"/>
  <c r="AS776" i="64"/>
  <c r="AT776" i="64"/>
  <c r="AU776" i="64"/>
  <c r="AV776" i="64"/>
  <c r="AW776" i="64"/>
  <c r="AX776" i="64"/>
  <c r="AY776" i="64"/>
  <c r="AZ776" i="64"/>
  <c r="BA776" i="64"/>
  <c r="BB776" i="64"/>
  <c r="BC776" i="64"/>
  <c r="BD776" i="64"/>
  <c r="BE776" i="64"/>
  <c r="BF776" i="64"/>
  <c r="D777" i="64"/>
  <c r="E777" i="64"/>
  <c r="F777" i="64"/>
  <c r="G777" i="64"/>
  <c r="H777" i="64"/>
  <c r="I777" i="64"/>
  <c r="J777" i="64"/>
  <c r="K777" i="64"/>
  <c r="L777" i="64"/>
  <c r="M777" i="64"/>
  <c r="N777" i="64"/>
  <c r="O777" i="64"/>
  <c r="P777" i="64"/>
  <c r="Q777" i="64"/>
  <c r="R777" i="64"/>
  <c r="S777" i="64"/>
  <c r="T777" i="64"/>
  <c r="U777" i="64"/>
  <c r="V777" i="64"/>
  <c r="W777" i="64"/>
  <c r="X777" i="64"/>
  <c r="Y777" i="64"/>
  <c r="Z777" i="64"/>
  <c r="AA777" i="64"/>
  <c r="AB777" i="64"/>
  <c r="AC777" i="64"/>
  <c r="AD777" i="64"/>
  <c r="AE777" i="64"/>
  <c r="AF777" i="64"/>
  <c r="AG777" i="64"/>
  <c r="AH777" i="64"/>
  <c r="AI777" i="64"/>
  <c r="AJ777" i="64"/>
  <c r="AK777" i="64"/>
  <c r="AL777" i="64"/>
  <c r="AM777" i="64"/>
  <c r="AN777" i="64"/>
  <c r="AO777" i="64"/>
  <c r="AP777" i="64"/>
  <c r="AQ777" i="64"/>
  <c r="AR777" i="64"/>
  <c r="AS777" i="64"/>
  <c r="AT777" i="64"/>
  <c r="AU777" i="64"/>
  <c r="AV777" i="64"/>
  <c r="AW777" i="64"/>
  <c r="AX777" i="64"/>
  <c r="AY777" i="64"/>
  <c r="AZ777" i="64"/>
  <c r="BA777" i="64"/>
  <c r="BB777" i="64"/>
  <c r="BC777" i="64"/>
  <c r="BD777" i="64"/>
  <c r="BE777" i="64"/>
  <c r="BF777" i="64"/>
  <c r="D778" i="64"/>
  <c r="E778" i="64"/>
  <c r="F778" i="64"/>
  <c r="G778" i="64"/>
  <c r="H778" i="64"/>
  <c r="I778" i="64"/>
  <c r="J778" i="64"/>
  <c r="K778" i="64"/>
  <c r="L778" i="64"/>
  <c r="M778" i="64"/>
  <c r="N778" i="64"/>
  <c r="O778" i="64"/>
  <c r="P778" i="64"/>
  <c r="Q778" i="64"/>
  <c r="R778" i="64"/>
  <c r="S778" i="64"/>
  <c r="T778" i="64"/>
  <c r="U778" i="64"/>
  <c r="V778" i="64"/>
  <c r="W778" i="64"/>
  <c r="X778" i="64"/>
  <c r="Y778" i="64"/>
  <c r="Z778" i="64"/>
  <c r="AA778" i="64"/>
  <c r="AB778" i="64"/>
  <c r="AC778" i="64"/>
  <c r="AD778" i="64"/>
  <c r="AE778" i="64"/>
  <c r="AF778" i="64"/>
  <c r="AG778" i="64"/>
  <c r="AH778" i="64"/>
  <c r="AI778" i="64"/>
  <c r="AJ778" i="64"/>
  <c r="AK778" i="64"/>
  <c r="AL778" i="64"/>
  <c r="AM778" i="64"/>
  <c r="AN778" i="64"/>
  <c r="AO778" i="64"/>
  <c r="AP778" i="64"/>
  <c r="AQ778" i="64"/>
  <c r="AR778" i="64"/>
  <c r="AS778" i="64"/>
  <c r="AT778" i="64"/>
  <c r="AU778" i="64"/>
  <c r="AV778" i="64"/>
  <c r="AW778" i="64"/>
  <c r="AX778" i="64"/>
  <c r="AY778" i="64"/>
  <c r="AZ778" i="64"/>
  <c r="BA778" i="64"/>
  <c r="BB778" i="64"/>
  <c r="BC778" i="64"/>
  <c r="BD778" i="64"/>
  <c r="BE778" i="64"/>
  <c r="BF778" i="64"/>
  <c r="D779" i="64"/>
  <c r="E779" i="64"/>
  <c r="F779" i="64"/>
  <c r="G779" i="64"/>
  <c r="H779" i="64"/>
  <c r="I779" i="64"/>
  <c r="J779" i="64"/>
  <c r="K779" i="64"/>
  <c r="L779" i="64"/>
  <c r="M779" i="64"/>
  <c r="N779" i="64"/>
  <c r="O779" i="64"/>
  <c r="P779" i="64"/>
  <c r="Q779" i="64"/>
  <c r="R779" i="64"/>
  <c r="S779" i="64"/>
  <c r="T779" i="64"/>
  <c r="U779" i="64"/>
  <c r="V779" i="64"/>
  <c r="W779" i="64"/>
  <c r="X779" i="64"/>
  <c r="Y779" i="64"/>
  <c r="Z779" i="64"/>
  <c r="AA779" i="64"/>
  <c r="AB779" i="64"/>
  <c r="AC779" i="64"/>
  <c r="AD779" i="64"/>
  <c r="AE779" i="64"/>
  <c r="AF779" i="64"/>
  <c r="AG779" i="64"/>
  <c r="AH779" i="64"/>
  <c r="AI779" i="64"/>
  <c r="AJ779" i="64"/>
  <c r="AK779" i="64"/>
  <c r="AL779" i="64"/>
  <c r="AM779" i="64"/>
  <c r="AN779" i="64"/>
  <c r="AO779" i="64"/>
  <c r="AP779" i="64"/>
  <c r="AQ779" i="64"/>
  <c r="AR779" i="64"/>
  <c r="AS779" i="64"/>
  <c r="AT779" i="64"/>
  <c r="AU779" i="64"/>
  <c r="AV779" i="64"/>
  <c r="AW779" i="64"/>
  <c r="AX779" i="64"/>
  <c r="AY779" i="64"/>
  <c r="AZ779" i="64"/>
  <c r="BA779" i="64"/>
  <c r="BB779" i="64"/>
  <c r="BC779" i="64"/>
  <c r="BD779" i="64"/>
  <c r="BE779" i="64"/>
  <c r="BF779" i="64"/>
  <c r="D780" i="64"/>
  <c r="E780" i="64"/>
  <c r="F780" i="64"/>
  <c r="G780" i="64"/>
  <c r="H780" i="64"/>
  <c r="I780" i="64"/>
  <c r="J780" i="64"/>
  <c r="K780" i="64"/>
  <c r="L780" i="64"/>
  <c r="M780" i="64"/>
  <c r="N780" i="64"/>
  <c r="O780" i="64"/>
  <c r="P780" i="64"/>
  <c r="Q780" i="64"/>
  <c r="R780" i="64"/>
  <c r="S780" i="64"/>
  <c r="T780" i="64"/>
  <c r="U780" i="64"/>
  <c r="V780" i="64"/>
  <c r="W780" i="64"/>
  <c r="X780" i="64"/>
  <c r="Y780" i="64"/>
  <c r="Z780" i="64"/>
  <c r="AA780" i="64"/>
  <c r="AB780" i="64"/>
  <c r="AC780" i="64"/>
  <c r="AD780" i="64"/>
  <c r="AE780" i="64"/>
  <c r="AF780" i="64"/>
  <c r="AG780" i="64"/>
  <c r="AH780" i="64"/>
  <c r="AI780" i="64"/>
  <c r="AJ780" i="64"/>
  <c r="AK780" i="64"/>
  <c r="AL780" i="64"/>
  <c r="AM780" i="64"/>
  <c r="AN780" i="64"/>
  <c r="AO780" i="64"/>
  <c r="AP780" i="64"/>
  <c r="AQ780" i="64"/>
  <c r="AR780" i="64"/>
  <c r="AS780" i="64"/>
  <c r="AT780" i="64"/>
  <c r="AU780" i="64"/>
  <c r="AV780" i="64"/>
  <c r="AW780" i="64"/>
  <c r="AX780" i="64"/>
  <c r="AY780" i="64"/>
  <c r="AZ780" i="64"/>
  <c r="BA780" i="64"/>
  <c r="BB780" i="64"/>
  <c r="BC780" i="64"/>
  <c r="BD780" i="64"/>
  <c r="BE780" i="64"/>
  <c r="BF780" i="64"/>
  <c r="D781" i="64"/>
  <c r="E781" i="64"/>
  <c r="F781" i="64"/>
  <c r="G781" i="64"/>
  <c r="H781" i="64"/>
  <c r="I781" i="64"/>
  <c r="J781" i="64"/>
  <c r="K781" i="64"/>
  <c r="L781" i="64"/>
  <c r="M781" i="64"/>
  <c r="N781" i="64"/>
  <c r="O781" i="64"/>
  <c r="P781" i="64"/>
  <c r="Q781" i="64"/>
  <c r="R781" i="64"/>
  <c r="S781" i="64"/>
  <c r="T781" i="64"/>
  <c r="U781" i="64"/>
  <c r="V781" i="64"/>
  <c r="W781" i="64"/>
  <c r="X781" i="64"/>
  <c r="Y781" i="64"/>
  <c r="Z781" i="64"/>
  <c r="AA781" i="64"/>
  <c r="AB781" i="64"/>
  <c r="AC781" i="64"/>
  <c r="AD781" i="64"/>
  <c r="AE781" i="64"/>
  <c r="AF781" i="64"/>
  <c r="AG781" i="64"/>
  <c r="AH781" i="64"/>
  <c r="AI781" i="64"/>
  <c r="AJ781" i="64"/>
  <c r="AK781" i="64"/>
  <c r="AL781" i="64"/>
  <c r="AM781" i="64"/>
  <c r="AN781" i="64"/>
  <c r="AO781" i="64"/>
  <c r="AP781" i="64"/>
  <c r="AQ781" i="64"/>
  <c r="AR781" i="64"/>
  <c r="AS781" i="64"/>
  <c r="AT781" i="64"/>
  <c r="AU781" i="64"/>
  <c r="AV781" i="64"/>
  <c r="AW781" i="64"/>
  <c r="AX781" i="64"/>
  <c r="AY781" i="64"/>
  <c r="AZ781" i="64"/>
  <c r="BA781" i="64"/>
  <c r="BB781" i="64"/>
  <c r="BC781" i="64"/>
  <c r="BD781" i="64"/>
  <c r="BE781" i="64"/>
  <c r="BF781" i="64"/>
  <c r="D782" i="64"/>
  <c r="E782" i="64"/>
  <c r="F782" i="64"/>
  <c r="G782" i="64"/>
  <c r="H782" i="64"/>
  <c r="I782" i="64"/>
  <c r="J782" i="64"/>
  <c r="K782" i="64"/>
  <c r="L782" i="64"/>
  <c r="M782" i="64"/>
  <c r="N782" i="64"/>
  <c r="O782" i="64"/>
  <c r="P782" i="64"/>
  <c r="Q782" i="64"/>
  <c r="R782" i="64"/>
  <c r="S782" i="64"/>
  <c r="T782" i="64"/>
  <c r="U782" i="64"/>
  <c r="V782" i="64"/>
  <c r="W782" i="64"/>
  <c r="X782" i="64"/>
  <c r="Y782" i="64"/>
  <c r="Z782" i="64"/>
  <c r="AA782" i="64"/>
  <c r="AB782" i="64"/>
  <c r="AC782" i="64"/>
  <c r="AD782" i="64"/>
  <c r="AE782" i="64"/>
  <c r="AF782" i="64"/>
  <c r="AG782" i="64"/>
  <c r="AH782" i="64"/>
  <c r="AI782" i="64"/>
  <c r="AJ782" i="64"/>
  <c r="AK782" i="64"/>
  <c r="AL782" i="64"/>
  <c r="AM782" i="64"/>
  <c r="AN782" i="64"/>
  <c r="AO782" i="64"/>
  <c r="AP782" i="64"/>
  <c r="AQ782" i="64"/>
  <c r="AR782" i="64"/>
  <c r="AS782" i="64"/>
  <c r="AT782" i="64"/>
  <c r="AU782" i="64"/>
  <c r="AV782" i="64"/>
  <c r="AW782" i="64"/>
  <c r="AX782" i="64"/>
  <c r="AY782" i="64"/>
  <c r="AZ782" i="64"/>
  <c r="BA782" i="64"/>
  <c r="BB782" i="64"/>
  <c r="BC782" i="64"/>
  <c r="BD782" i="64"/>
  <c r="BE782" i="64"/>
  <c r="BF782" i="64"/>
  <c r="D783" i="64"/>
  <c r="E783" i="64"/>
  <c r="F783" i="64"/>
  <c r="G783" i="64"/>
  <c r="H783" i="64"/>
  <c r="I783" i="64"/>
  <c r="J783" i="64"/>
  <c r="K783" i="64"/>
  <c r="L783" i="64"/>
  <c r="M783" i="64"/>
  <c r="N783" i="64"/>
  <c r="O783" i="64"/>
  <c r="P783" i="64"/>
  <c r="Q783" i="64"/>
  <c r="R783" i="64"/>
  <c r="S783" i="64"/>
  <c r="T783" i="64"/>
  <c r="U783" i="64"/>
  <c r="V783" i="64"/>
  <c r="W783" i="64"/>
  <c r="X783" i="64"/>
  <c r="Y783" i="64"/>
  <c r="Z783" i="64"/>
  <c r="AA783" i="64"/>
  <c r="AB783" i="64"/>
  <c r="AC783" i="64"/>
  <c r="AD783" i="64"/>
  <c r="AE783" i="64"/>
  <c r="AF783" i="64"/>
  <c r="AG783" i="64"/>
  <c r="AH783" i="64"/>
  <c r="AI783" i="64"/>
  <c r="AJ783" i="64"/>
  <c r="AK783" i="64"/>
  <c r="AL783" i="64"/>
  <c r="AM783" i="64"/>
  <c r="AN783" i="64"/>
  <c r="AO783" i="64"/>
  <c r="AP783" i="64"/>
  <c r="AQ783" i="64"/>
  <c r="AR783" i="64"/>
  <c r="AS783" i="64"/>
  <c r="AT783" i="64"/>
  <c r="AU783" i="64"/>
  <c r="AV783" i="64"/>
  <c r="AW783" i="64"/>
  <c r="AX783" i="64"/>
  <c r="AY783" i="64"/>
  <c r="AZ783" i="64"/>
  <c r="BA783" i="64"/>
  <c r="BB783" i="64"/>
  <c r="BC783" i="64"/>
  <c r="BD783" i="64"/>
  <c r="BE783" i="64"/>
  <c r="BF783" i="64"/>
  <c r="D784" i="64"/>
  <c r="E784" i="64"/>
  <c r="F784" i="64"/>
  <c r="G784" i="64"/>
  <c r="H784" i="64"/>
  <c r="I784" i="64"/>
  <c r="J784" i="64"/>
  <c r="K784" i="64"/>
  <c r="L784" i="64"/>
  <c r="M784" i="64"/>
  <c r="N784" i="64"/>
  <c r="O784" i="64"/>
  <c r="P784" i="64"/>
  <c r="Q784" i="64"/>
  <c r="R784" i="64"/>
  <c r="S784" i="64"/>
  <c r="T784" i="64"/>
  <c r="U784" i="64"/>
  <c r="V784" i="64"/>
  <c r="W784" i="64"/>
  <c r="X784" i="64"/>
  <c r="Y784" i="64"/>
  <c r="Z784" i="64"/>
  <c r="AA784" i="64"/>
  <c r="AB784" i="64"/>
  <c r="AC784" i="64"/>
  <c r="AD784" i="64"/>
  <c r="AE784" i="64"/>
  <c r="AF784" i="64"/>
  <c r="AG784" i="64"/>
  <c r="AH784" i="64"/>
  <c r="AI784" i="64"/>
  <c r="AJ784" i="64"/>
  <c r="AK784" i="64"/>
  <c r="AL784" i="64"/>
  <c r="AM784" i="64"/>
  <c r="AN784" i="64"/>
  <c r="AO784" i="64"/>
  <c r="AP784" i="64"/>
  <c r="AQ784" i="64"/>
  <c r="AR784" i="64"/>
  <c r="AS784" i="64"/>
  <c r="AT784" i="64"/>
  <c r="AU784" i="64"/>
  <c r="AV784" i="64"/>
  <c r="AW784" i="64"/>
  <c r="AX784" i="64"/>
  <c r="AY784" i="64"/>
  <c r="AZ784" i="64"/>
  <c r="BA784" i="64"/>
  <c r="BB784" i="64"/>
  <c r="BC784" i="64"/>
  <c r="BD784" i="64"/>
  <c r="BE784" i="64"/>
  <c r="BF784" i="64"/>
  <c r="D785" i="64"/>
  <c r="E785" i="64"/>
  <c r="F785" i="64"/>
  <c r="G785" i="64"/>
  <c r="H785" i="64"/>
  <c r="I785" i="64"/>
  <c r="J785" i="64"/>
  <c r="K785" i="64"/>
  <c r="L785" i="64"/>
  <c r="M785" i="64"/>
  <c r="N785" i="64"/>
  <c r="O785" i="64"/>
  <c r="P785" i="64"/>
  <c r="Q785" i="64"/>
  <c r="R785" i="64"/>
  <c r="S785" i="64"/>
  <c r="T785" i="64"/>
  <c r="U785" i="64"/>
  <c r="V785" i="64"/>
  <c r="W785" i="64"/>
  <c r="X785" i="64"/>
  <c r="Y785" i="64"/>
  <c r="Z785" i="64"/>
  <c r="AA785" i="64"/>
  <c r="AB785" i="64"/>
  <c r="AC785" i="64"/>
  <c r="AD785" i="64"/>
  <c r="AE785" i="64"/>
  <c r="AF785" i="64"/>
  <c r="AG785" i="64"/>
  <c r="AH785" i="64"/>
  <c r="AI785" i="64"/>
  <c r="AJ785" i="64"/>
  <c r="AK785" i="64"/>
  <c r="AL785" i="64"/>
  <c r="AM785" i="64"/>
  <c r="AN785" i="64"/>
  <c r="AO785" i="64"/>
  <c r="AP785" i="64"/>
  <c r="AQ785" i="64"/>
  <c r="AR785" i="64"/>
  <c r="AS785" i="64"/>
  <c r="AT785" i="64"/>
  <c r="AU785" i="64"/>
  <c r="AV785" i="64"/>
  <c r="AW785" i="64"/>
  <c r="AX785" i="64"/>
  <c r="AY785" i="64"/>
  <c r="AZ785" i="64"/>
  <c r="BA785" i="64"/>
  <c r="BB785" i="64"/>
  <c r="BC785" i="64"/>
  <c r="BD785" i="64"/>
  <c r="BE785" i="64"/>
  <c r="BF785" i="64"/>
  <c r="D786" i="64"/>
  <c r="E786" i="64"/>
  <c r="F786" i="64"/>
  <c r="G786" i="64"/>
  <c r="H786" i="64"/>
  <c r="I786" i="64"/>
  <c r="J786" i="64"/>
  <c r="K786" i="64"/>
  <c r="L786" i="64"/>
  <c r="M786" i="64"/>
  <c r="N786" i="64"/>
  <c r="O786" i="64"/>
  <c r="P786" i="64"/>
  <c r="Q786" i="64"/>
  <c r="R786" i="64"/>
  <c r="S786" i="64"/>
  <c r="T786" i="64"/>
  <c r="U786" i="64"/>
  <c r="V786" i="64"/>
  <c r="W786" i="64"/>
  <c r="X786" i="64"/>
  <c r="Y786" i="64"/>
  <c r="Z786" i="64"/>
  <c r="AA786" i="64"/>
  <c r="AB786" i="64"/>
  <c r="AC786" i="64"/>
  <c r="AD786" i="64"/>
  <c r="AE786" i="64"/>
  <c r="AF786" i="64"/>
  <c r="AG786" i="64"/>
  <c r="AH786" i="64"/>
  <c r="AI786" i="64"/>
  <c r="AJ786" i="64"/>
  <c r="AK786" i="64"/>
  <c r="AL786" i="64"/>
  <c r="AM786" i="64"/>
  <c r="AN786" i="64"/>
  <c r="AO786" i="64"/>
  <c r="AP786" i="64"/>
  <c r="AQ786" i="64"/>
  <c r="AR786" i="64"/>
  <c r="AS786" i="64"/>
  <c r="AT786" i="64"/>
  <c r="AU786" i="64"/>
  <c r="AV786" i="64"/>
  <c r="AW786" i="64"/>
  <c r="AX786" i="64"/>
  <c r="AY786" i="64"/>
  <c r="AZ786" i="64"/>
  <c r="BA786" i="64"/>
  <c r="BB786" i="64"/>
  <c r="BC786" i="64"/>
  <c r="BD786" i="64"/>
  <c r="BE786" i="64"/>
  <c r="BF786" i="64"/>
  <c r="C758" i="64"/>
  <c r="C759" i="64"/>
  <c r="C760" i="64"/>
  <c r="C761" i="64"/>
  <c r="C762" i="64"/>
  <c r="C763" i="64"/>
  <c r="C764" i="64"/>
  <c r="C765" i="64"/>
  <c r="C766" i="64"/>
  <c r="C767" i="64"/>
  <c r="C768" i="64"/>
  <c r="C769" i="64"/>
  <c r="C770" i="64"/>
  <c r="C771" i="64"/>
  <c r="C772" i="64"/>
  <c r="C773" i="64"/>
  <c r="C774" i="64"/>
  <c r="C775" i="64"/>
  <c r="C776" i="64"/>
  <c r="C777" i="64"/>
  <c r="C778" i="64"/>
  <c r="C779" i="64"/>
  <c r="C780" i="64"/>
  <c r="C781" i="64"/>
  <c r="C782" i="64"/>
  <c r="C783" i="64"/>
  <c r="C784" i="64"/>
  <c r="C785" i="64"/>
  <c r="C786" i="64"/>
  <c r="C757" i="64"/>
  <c r="AX722" i="64"/>
  <c r="BC722" i="64"/>
  <c r="BD722" i="64"/>
  <c r="BF722" i="64"/>
  <c r="E723" i="64"/>
  <c r="G723" i="64"/>
  <c r="I723" i="64"/>
  <c r="J723" i="64"/>
  <c r="M723" i="64"/>
  <c r="Q723" i="64"/>
  <c r="S723" i="64"/>
  <c r="T723" i="64"/>
  <c r="U723" i="64"/>
  <c r="Z723" i="64"/>
  <c r="AA723" i="64"/>
  <c r="AB723" i="64"/>
  <c r="AC723" i="64"/>
  <c r="AD723" i="64"/>
  <c r="AE723" i="64"/>
  <c r="AG723" i="64"/>
  <c r="AH723" i="64"/>
  <c r="AI723" i="64"/>
  <c r="AK723" i="64"/>
  <c r="AL723" i="64"/>
  <c r="AO723" i="64"/>
  <c r="AP723" i="64"/>
  <c r="AQ723" i="64"/>
  <c r="AR723" i="64"/>
  <c r="AT723" i="64"/>
  <c r="AU723" i="64"/>
  <c r="AW723" i="64"/>
  <c r="AY723" i="64"/>
  <c r="BE723" i="64"/>
  <c r="BF723" i="64"/>
  <c r="E724" i="64"/>
  <c r="F724" i="64"/>
  <c r="G724" i="64"/>
  <c r="I724" i="64"/>
  <c r="J724" i="64"/>
  <c r="L724" i="64"/>
  <c r="M724" i="64"/>
  <c r="N724" i="64"/>
  <c r="Q724" i="64"/>
  <c r="S724" i="64"/>
  <c r="T724" i="64"/>
  <c r="U724" i="64"/>
  <c r="Z724" i="64"/>
  <c r="AA724" i="64"/>
  <c r="AB724" i="64"/>
  <c r="AC724" i="64"/>
  <c r="AD724" i="64"/>
  <c r="AE724" i="64"/>
  <c r="AF724" i="64"/>
  <c r="AG724" i="64"/>
  <c r="AH724" i="64"/>
  <c r="AI724" i="64"/>
  <c r="AJ724" i="64"/>
  <c r="AK724" i="64"/>
  <c r="AL724" i="64"/>
  <c r="AO724" i="64"/>
  <c r="AP724" i="64"/>
  <c r="AQ724" i="64"/>
  <c r="AR724" i="64"/>
  <c r="AT724" i="64"/>
  <c r="AU724" i="64"/>
  <c r="AV724" i="64"/>
  <c r="AW724" i="64"/>
  <c r="AY724" i="64"/>
  <c r="BD724" i="64"/>
  <c r="BE724" i="64"/>
  <c r="BF724" i="64"/>
  <c r="E725" i="64"/>
  <c r="F725" i="64"/>
  <c r="G725" i="64"/>
  <c r="H725" i="64"/>
  <c r="I725" i="64"/>
  <c r="J725" i="64"/>
  <c r="K725" i="64"/>
  <c r="M725" i="64"/>
  <c r="N725" i="64"/>
  <c r="Q725" i="64"/>
  <c r="R725" i="64"/>
  <c r="S725" i="64"/>
  <c r="T725" i="64"/>
  <c r="U725" i="64"/>
  <c r="Z725" i="64"/>
  <c r="AA725" i="64"/>
  <c r="AB725" i="64"/>
  <c r="AC725" i="64"/>
  <c r="AD725" i="64"/>
  <c r="AE725" i="64"/>
  <c r="AF725" i="64"/>
  <c r="AG725" i="64"/>
  <c r="AH725" i="64"/>
  <c r="AI725" i="64"/>
  <c r="AJ725" i="64"/>
  <c r="AK725" i="64"/>
  <c r="AL725" i="64"/>
  <c r="AO725" i="64"/>
  <c r="AP725" i="64"/>
  <c r="AQ725" i="64"/>
  <c r="AR725" i="64"/>
  <c r="AT725" i="64"/>
  <c r="AU725" i="64"/>
  <c r="AV725" i="64"/>
  <c r="AW725" i="64"/>
  <c r="AY725" i="64"/>
  <c r="AZ725" i="64"/>
  <c r="BD725" i="64"/>
  <c r="BE725" i="64"/>
  <c r="BF725" i="64"/>
  <c r="E726" i="64"/>
  <c r="F726" i="64"/>
  <c r="G726" i="64"/>
  <c r="H726" i="64"/>
  <c r="I726" i="64"/>
  <c r="J726" i="64"/>
  <c r="K726" i="64"/>
  <c r="L726" i="64"/>
  <c r="M726" i="64"/>
  <c r="N726" i="64"/>
  <c r="O726" i="64"/>
  <c r="Q726" i="64"/>
  <c r="R726" i="64"/>
  <c r="S726" i="64"/>
  <c r="T726" i="64"/>
  <c r="U726" i="64"/>
  <c r="Y726" i="64"/>
  <c r="Z726" i="64"/>
  <c r="AA726" i="64"/>
  <c r="AB726" i="64"/>
  <c r="AC726" i="64"/>
  <c r="AD726" i="64"/>
  <c r="AE726" i="64"/>
  <c r="AF726" i="64"/>
  <c r="AG726" i="64"/>
  <c r="AH726" i="64"/>
  <c r="AI726" i="64"/>
  <c r="AJ726" i="64"/>
  <c r="AK726" i="64"/>
  <c r="AL726" i="64"/>
  <c r="AO726" i="64"/>
  <c r="AP726" i="64"/>
  <c r="AQ726" i="64"/>
  <c r="AR726" i="64"/>
  <c r="AT726" i="64"/>
  <c r="AU726" i="64"/>
  <c r="AV726" i="64"/>
  <c r="AW726" i="64"/>
  <c r="AX726" i="64"/>
  <c r="AY726" i="64"/>
  <c r="AZ726" i="64"/>
  <c r="BA726" i="64"/>
  <c r="BD726" i="64"/>
  <c r="BE726" i="64"/>
  <c r="BF726" i="64"/>
  <c r="D727" i="64"/>
  <c r="E727" i="64"/>
  <c r="F727" i="64"/>
  <c r="G727" i="64"/>
  <c r="H727" i="64"/>
  <c r="I727" i="64"/>
  <c r="J727" i="64"/>
  <c r="K727" i="64"/>
  <c r="L727" i="64"/>
  <c r="M727" i="64"/>
  <c r="N727" i="64"/>
  <c r="O727" i="64"/>
  <c r="Q727" i="64"/>
  <c r="R727" i="64"/>
  <c r="S727" i="64"/>
  <c r="T727" i="64"/>
  <c r="U727" i="64"/>
  <c r="X727" i="64"/>
  <c r="Y727" i="64"/>
  <c r="Z727" i="64"/>
  <c r="AA727" i="64"/>
  <c r="AB727" i="64"/>
  <c r="AC727" i="64"/>
  <c r="AD727" i="64"/>
  <c r="AE727" i="64"/>
  <c r="AF727" i="64"/>
  <c r="AG727" i="64"/>
  <c r="AH727" i="64"/>
  <c r="AI727" i="64"/>
  <c r="AJ727" i="64"/>
  <c r="AK727" i="64"/>
  <c r="AL727" i="64"/>
  <c r="AM727" i="64"/>
  <c r="AO727" i="64"/>
  <c r="AP727" i="64"/>
  <c r="AQ727" i="64"/>
  <c r="AR727" i="64"/>
  <c r="AT727" i="64"/>
  <c r="AU727" i="64"/>
  <c r="AV727" i="64"/>
  <c r="AW727" i="64"/>
  <c r="AX727" i="64"/>
  <c r="AY727" i="64"/>
  <c r="AZ727" i="64"/>
  <c r="BA727" i="64"/>
  <c r="BD727" i="64"/>
  <c r="BE727" i="64"/>
  <c r="BF727" i="64"/>
  <c r="D728" i="64"/>
  <c r="E728" i="64"/>
  <c r="F728" i="64"/>
  <c r="G728" i="64"/>
  <c r="H728" i="64"/>
  <c r="I728" i="64"/>
  <c r="J728" i="64"/>
  <c r="K728" i="64"/>
  <c r="L728" i="64"/>
  <c r="M728" i="64"/>
  <c r="N728" i="64"/>
  <c r="O728" i="64"/>
  <c r="Q728" i="64"/>
  <c r="R728" i="64"/>
  <c r="S728" i="64"/>
  <c r="T728" i="64"/>
  <c r="U728" i="64"/>
  <c r="W728" i="64"/>
  <c r="X728" i="64"/>
  <c r="Y728" i="64"/>
  <c r="Z728" i="64"/>
  <c r="AA728" i="64"/>
  <c r="AB728" i="64"/>
  <c r="AC728" i="64"/>
  <c r="AD728" i="64"/>
  <c r="AE728" i="64"/>
  <c r="AF728" i="64"/>
  <c r="AG728" i="64"/>
  <c r="AH728" i="64"/>
  <c r="AI728" i="64"/>
  <c r="AJ728" i="64"/>
  <c r="AK728" i="64"/>
  <c r="AL728" i="64"/>
  <c r="AM728" i="64"/>
  <c r="AN728" i="64"/>
  <c r="AO728" i="64"/>
  <c r="AP728" i="64"/>
  <c r="AQ728" i="64"/>
  <c r="AR728" i="64"/>
  <c r="AT728" i="64"/>
  <c r="AU728" i="64"/>
  <c r="AV728" i="64"/>
  <c r="AW728" i="64"/>
  <c r="AX728" i="64"/>
  <c r="AY728" i="64"/>
  <c r="AZ728" i="64"/>
  <c r="BA728" i="64"/>
  <c r="BD728" i="64"/>
  <c r="BE728" i="64"/>
  <c r="BF728" i="64"/>
  <c r="D729" i="64"/>
  <c r="E729" i="64"/>
  <c r="F729" i="64"/>
  <c r="G729" i="64"/>
  <c r="H729" i="64"/>
  <c r="I729" i="64"/>
  <c r="J729" i="64"/>
  <c r="K729" i="64"/>
  <c r="L729" i="64"/>
  <c r="M729" i="64"/>
  <c r="N729" i="64"/>
  <c r="O729" i="64"/>
  <c r="Q729" i="64"/>
  <c r="R729" i="64"/>
  <c r="S729" i="64"/>
  <c r="T729" i="64"/>
  <c r="U729" i="64"/>
  <c r="V729" i="64"/>
  <c r="W729" i="64"/>
  <c r="X729" i="64"/>
  <c r="Y729" i="64"/>
  <c r="Z729" i="64"/>
  <c r="AA729" i="64"/>
  <c r="AB729" i="64"/>
  <c r="AC729" i="64"/>
  <c r="AD729" i="64"/>
  <c r="AE729" i="64"/>
  <c r="AF729" i="64"/>
  <c r="AG729" i="64"/>
  <c r="AH729" i="64"/>
  <c r="AI729" i="64"/>
  <c r="AJ729" i="64"/>
  <c r="AK729" i="64"/>
  <c r="AL729" i="64"/>
  <c r="AM729" i="64"/>
  <c r="AN729" i="64"/>
  <c r="AO729" i="64"/>
  <c r="AP729" i="64"/>
  <c r="AQ729" i="64"/>
  <c r="AR729" i="64"/>
  <c r="AT729" i="64"/>
  <c r="AU729" i="64"/>
  <c r="AV729" i="64"/>
  <c r="AW729" i="64"/>
  <c r="AX729" i="64"/>
  <c r="AY729" i="64"/>
  <c r="AZ729" i="64"/>
  <c r="BA729" i="64"/>
  <c r="BB729" i="64"/>
  <c r="BC729" i="64"/>
  <c r="BD729" i="64"/>
  <c r="BE729" i="64"/>
  <c r="BF729" i="64"/>
  <c r="D730" i="64"/>
  <c r="E730" i="64"/>
  <c r="F730" i="64"/>
  <c r="G730" i="64"/>
  <c r="H730" i="64"/>
  <c r="I730" i="64"/>
  <c r="J730" i="64"/>
  <c r="K730" i="64"/>
  <c r="L730" i="64"/>
  <c r="M730" i="64"/>
  <c r="N730" i="64"/>
  <c r="O730" i="64"/>
  <c r="Q730" i="64"/>
  <c r="R730" i="64"/>
  <c r="S730" i="64"/>
  <c r="T730" i="64"/>
  <c r="U730" i="64"/>
  <c r="V730" i="64"/>
  <c r="W730" i="64"/>
  <c r="X730" i="64"/>
  <c r="Y730" i="64"/>
  <c r="Z730" i="64"/>
  <c r="AA730" i="64"/>
  <c r="AB730" i="64"/>
  <c r="AC730" i="64"/>
  <c r="AD730" i="64"/>
  <c r="AE730" i="64"/>
  <c r="AF730" i="64"/>
  <c r="AG730" i="64"/>
  <c r="AH730" i="64"/>
  <c r="AI730" i="64"/>
  <c r="AJ730" i="64"/>
  <c r="AK730" i="64"/>
  <c r="AL730" i="64"/>
  <c r="AM730" i="64"/>
  <c r="AN730" i="64"/>
  <c r="AO730" i="64"/>
  <c r="AP730" i="64"/>
  <c r="AQ730" i="64"/>
  <c r="AR730" i="64"/>
  <c r="AT730" i="64"/>
  <c r="AU730" i="64"/>
  <c r="AV730" i="64"/>
  <c r="AW730" i="64"/>
  <c r="AX730" i="64"/>
  <c r="AY730" i="64"/>
  <c r="AZ730" i="64"/>
  <c r="BA730" i="64"/>
  <c r="BB730" i="64"/>
  <c r="BC730" i="64"/>
  <c r="BD730" i="64"/>
  <c r="BE730" i="64"/>
  <c r="BF730" i="64"/>
  <c r="D731" i="64"/>
  <c r="E731" i="64"/>
  <c r="F731" i="64"/>
  <c r="G731" i="64"/>
  <c r="H731" i="64"/>
  <c r="I731" i="64"/>
  <c r="J731" i="64"/>
  <c r="K731" i="64"/>
  <c r="L731" i="64"/>
  <c r="M731" i="64"/>
  <c r="N731" i="64"/>
  <c r="O731" i="64"/>
  <c r="Q731" i="64"/>
  <c r="R731" i="64"/>
  <c r="S731" i="64"/>
  <c r="T731" i="64"/>
  <c r="U731" i="64"/>
  <c r="V731" i="64"/>
  <c r="W731" i="64"/>
  <c r="X731" i="64"/>
  <c r="Y731" i="64"/>
  <c r="Z731" i="64"/>
  <c r="AA731" i="64"/>
  <c r="AB731" i="64"/>
  <c r="AC731" i="64"/>
  <c r="AD731" i="64"/>
  <c r="AE731" i="64"/>
  <c r="AF731" i="64"/>
  <c r="AG731" i="64"/>
  <c r="AH731" i="64"/>
  <c r="AI731" i="64"/>
  <c r="AJ731" i="64"/>
  <c r="AK731" i="64"/>
  <c r="AL731" i="64"/>
  <c r="AM731" i="64"/>
  <c r="AN731" i="64"/>
  <c r="AO731" i="64"/>
  <c r="AP731" i="64"/>
  <c r="AQ731" i="64"/>
  <c r="AR731" i="64"/>
  <c r="AT731" i="64"/>
  <c r="AU731" i="64"/>
  <c r="AV731" i="64"/>
  <c r="AW731" i="64"/>
  <c r="AX731" i="64"/>
  <c r="AY731" i="64"/>
  <c r="AZ731" i="64"/>
  <c r="BA731" i="64"/>
  <c r="BB731" i="64"/>
  <c r="BC731" i="64"/>
  <c r="BD731" i="64"/>
  <c r="BE731" i="64"/>
  <c r="BF731" i="64"/>
  <c r="D732" i="64"/>
  <c r="E732" i="64"/>
  <c r="F732" i="64"/>
  <c r="G732" i="64"/>
  <c r="H732" i="64"/>
  <c r="I732" i="64"/>
  <c r="J732" i="64"/>
  <c r="K732" i="64"/>
  <c r="L732" i="64"/>
  <c r="M732" i="64"/>
  <c r="N732" i="64"/>
  <c r="O732" i="64"/>
  <c r="Q732" i="64"/>
  <c r="R732" i="64"/>
  <c r="S732" i="64"/>
  <c r="T732" i="64"/>
  <c r="U732" i="64"/>
  <c r="V732" i="64"/>
  <c r="W732" i="64"/>
  <c r="X732" i="64"/>
  <c r="Y732" i="64"/>
  <c r="Z732" i="64"/>
  <c r="AA732" i="64"/>
  <c r="AB732" i="64"/>
  <c r="AC732" i="64"/>
  <c r="AD732" i="64"/>
  <c r="AE732" i="64"/>
  <c r="AF732" i="64"/>
  <c r="AG732" i="64"/>
  <c r="AH732" i="64"/>
  <c r="AI732" i="64"/>
  <c r="AJ732" i="64"/>
  <c r="AK732" i="64"/>
  <c r="AL732" i="64"/>
  <c r="AM732" i="64"/>
  <c r="AN732" i="64"/>
  <c r="AO732" i="64"/>
  <c r="AP732" i="64"/>
  <c r="AQ732" i="64"/>
  <c r="AR732" i="64"/>
  <c r="AS732" i="64"/>
  <c r="AT732" i="64"/>
  <c r="AU732" i="64"/>
  <c r="AV732" i="64"/>
  <c r="AW732" i="64"/>
  <c r="AX732" i="64"/>
  <c r="AY732" i="64"/>
  <c r="AZ732" i="64"/>
  <c r="BA732" i="64"/>
  <c r="BB732" i="64"/>
  <c r="BC732" i="64"/>
  <c r="BD732" i="64"/>
  <c r="BE732" i="64"/>
  <c r="BF732" i="64"/>
  <c r="D733" i="64"/>
  <c r="E733" i="64"/>
  <c r="F733" i="64"/>
  <c r="G733" i="64"/>
  <c r="H733" i="64"/>
  <c r="I733" i="64"/>
  <c r="J733" i="64"/>
  <c r="K733" i="64"/>
  <c r="L733" i="64"/>
  <c r="M733" i="64"/>
  <c r="N733" i="64"/>
  <c r="O733" i="64"/>
  <c r="P733" i="64"/>
  <c r="Q733" i="64"/>
  <c r="R733" i="64"/>
  <c r="S733" i="64"/>
  <c r="T733" i="64"/>
  <c r="U733" i="64"/>
  <c r="V733" i="64"/>
  <c r="W733" i="64"/>
  <c r="X733" i="64"/>
  <c r="Y733" i="64"/>
  <c r="Z733" i="64"/>
  <c r="AA733" i="64"/>
  <c r="AB733" i="64"/>
  <c r="AC733" i="64"/>
  <c r="AD733" i="64"/>
  <c r="AE733" i="64"/>
  <c r="AF733" i="64"/>
  <c r="AG733" i="64"/>
  <c r="AH733" i="64"/>
  <c r="AI733" i="64"/>
  <c r="AJ733" i="64"/>
  <c r="AK733" i="64"/>
  <c r="AL733" i="64"/>
  <c r="AM733" i="64"/>
  <c r="AN733" i="64"/>
  <c r="AO733" i="64"/>
  <c r="AP733" i="64"/>
  <c r="AQ733" i="64"/>
  <c r="AR733" i="64"/>
  <c r="AS733" i="64"/>
  <c r="AT733" i="64"/>
  <c r="AU733" i="64"/>
  <c r="AV733" i="64"/>
  <c r="AW733" i="64"/>
  <c r="AX733" i="64"/>
  <c r="AY733" i="64"/>
  <c r="AZ733" i="64"/>
  <c r="BA733" i="64"/>
  <c r="BB733" i="64"/>
  <c r="BC733" i="64"/>
  <c r="BD733" i="64"/>
  <c r="BE733" i="64"/>
  <c r="BF733" i="64"/>
  <c r="D734" i="64"/>
  <c r="E734" i="64"/>
  <c r="F734" i="64"/>
  <c r="G734" i="64"/>
  <c r="H734" i="64"/>
  <c r="I734" i="64"/>
  <c r="J734" i="64"/>
  <c r="K734" i="64"/>
  <c r="L734" i="64"/>
  <c r="M734" i="64"/>
  <c r="N734" i="64"/>
  <c r="O734" i="64"/>
  <c r="Q734" i="64"/>
  <c r="R734" i="64"/>
  <c r="S734" i="64"/>
  <c r="T734" i="64"/>
  <c r="U734" i="64"/>
  <c r="V734" i="64"/>
  <c r="W734" i="64"/>
  <c r="X734" i="64"/>
  <c r="Y734" i="64"/>
  <c r="Z734" i="64"/>
  <c r="AA734" i="64"/>
  <c r="AB734" i="64"/>
  <c r="AC734" i="64"/>
  <c r="AD734" i="64"/>
  <c r="AE734" i="64"/>
  <c r="AF734" i="64"/>
  <c r="AG734" i="64"/>
  <c r="AH734" i="64"/>
  <c r="AI734" i="64"/>
  <c r="AJ734" i="64"/>
  <c r="AK734" i="64"/>
  <c r="AL734" i="64"/>
  <c r="AM734" i="64"/>
  <c r="AN734" i="64"/>
  <c r="AO734" i="64"/>
  <c r="AP734" i="64"/>
  <c r="AQ734" i="64"/>
  <c r="AR734" i="64"/>
  <c r="AS734" i="64"/>
  <c r="AT734" i="64"/>
  <c r="AU734" i="64"/>
  <c r="AV734" i="64"/>
  <c r="AW734" i="64"/>
  <c r="AX734" i="64"/>
  <c r="AY734" i="64"/>
  <c r="AZ734" i="64"/>
  <c r="BA734" i="64"/>
  <c r="BB734" i="64"/>
  <c r="BC734" i="64"/>
  <c r="BD734" i="64"/>
  <c r="BE734" i="64"/>
  <c r="BF734" i="64"/>
  <c r="D735" i="64"/>
  <c r="E735" i="64"/>
  <c r="F735" i="64"/>
  <c r="G735" i="64"/>
  <c r="H735" i="64"/>
  <c r="I735" i="64"/>
  <c r="J735" i="64"/>
  <c r="K735" i="64"/>
  <c r="L735" i="64"/>
  <c r="M735" i="64"/>
  <c r="N735" i="64"/>
  <c r="O735" i="64"/>
  <c r="P735" i="64"/>
  <c r="Q735" i="64"/>
  <c r="R735" i="64"/>
  <c r="S735" i="64"/>
  <c r="T735" i="64"/>
  <c r="U735" i="64"/>
  <c r="V735" i="64"/>
  <c r="W735" i="64"/>
  <c r="X735" i="64"/>
  <c r="Y735" i="64"/>
  <c r="Z735" i="64"/>
  <c r="AA735" i="64"/>
  <c r="AB735" i="64"/>
  <c r="AC735" i="64"/>
  <c r="AD735" i="64"/>
  <c r="AE735" i="64"/>
  <c r="AF735" i="64"/>
  <c r="AG735" i="64"/>
  <c r="AH735" i="64"/>
  <c r="AI735" i="64"/>
  <c r="AJ735" i="64"/>
  <c r="AK735" i="64"/>
  <c r="AL735" i="64"/>
  <c r="AM735" i="64"/>
  <c r="AN735" i="64"/>
  <c r="AO735" i="64"/>
  <c r="AP735" i="64"/>
  <c r="AQ735" i="64"/>
  <c r="AR735" i="64"/>
  <c r="AS735" i="64"/>
  <c r="AT735" i="64"/>
  <c r="AU735" i="64"/>
  <c r="AV735" i="64"/>
  <c r="AW735" i="64"/>
  <c r="AX735" i="64"/>
  <c r="AY735" i="64"/>
  <c r="AZ735" i="64"/>
  <c r="BA735" i="64"/>
  <c r="BB735" i="64"/>
  <c r="BC735" i="64"/>
  <c r="BD735" i="64"/>
  <c r="BE735" i="64"/>
  <c r="BF735" i="64"/>
  <c r="D736" i="64"/>
  <c r="E736" i="64"/>
  <c r="F736" i="64"/>
  <c r="G736" i="64"/>
  <c r="H736" i="64"/>
  <c r="I736" i="64"/>
  <c r="J736" i="64"/>
  <c r="K736" i="64"/>
  <c r="L736" i="64"/>
  <c r="M736" i="64"/>
  <c r="N736" i="64"/>
  <c r="O736" i="64"/>
  <c r="P736" i="64"/>
  <c r="Q736" i="64"/>
  <c r="R736" i="64"/>
  <c r="S736" i="64"/>
  <c r="T736" i="64"/>
  <c r="U736" i="64"/>
  <c r="V736" i="64"/>
  <c r="W736" i="64"/>
  <c r="X736" i="64"/>
  <c r="Y736" i="64"/>
  <c r="Z736" i="64"/>
  <c r="AA736" i="64"/>
  <c r="AB736" i="64"/>
  <c r="AC736" i="64"/>
  <c r="AD736" i="64"/>
  <c r="AE736" i="64"/>
  <c r="AF736" i="64"/>
  <c r="AG736" i="64"/>
  <c r="AH736" i="64"/>
  <c r="AI736" i="64"/>
  <c r="AJ736" i="64"/>
  <c r="AK736" i="64"/>
  <c r="AL736" i="64"/>
  <c r="AM736" i="64"/>
  <c r="AN736" i="64"/>
  <c r="AO736" i="64"/>
  <c r="AP736" i="64"/>
  <c r="AQ736" i="64"/>
  <c r="AR736" i="64"/>
  <c r="AS736" i="64"/>
  <c r="AT736" i="64"/>
  <c r="AU736" i="64"/>
  <c r="AV736" i="64"/>
  <c r="AW736" i="64"/>
  <c r="AX736" i="64"/>
  <c r="AY736" i="64"/>
  <c r="AZ736" i="64"/>
  <c r="BA736" i="64"/>
  <c r="BB736" i="64"/>
  <c r="BC736" i="64"/>
  <c r="BD736" i="64"/>
  <c r="BE736" i="64"/>
  <c r="BF736" i="64"/>
  <c r="D737" i="64"/>
  <c r="E737" i="64"/>
  <c r="F737" i="64"/>
  <c r="G737" i="64"/>
  <c r="H737" i="64"/>
  <c r="I737" i="64"/>
  <c r="J737" i="64"/>
  <c r="K737" i="64"/>
  <c r="L737" i="64"/>
  <c r="M737" i="64"/>
  <c r="N737" i="64"/>
  <c r="O737" i="64"/>
  <c r="P737" i="64"/>
  <c r="Q737" i="64"/>
  <c r="R737" i="64"/>
  <c r="S737" i="64"/>
  <c r="T737" i="64"/>
  <c r="U737" i="64"/>
  <c r="V737" i="64"/>
  <c r="W737" i="64"/>
  <c r="X737" i="64"/>
  <c r="Y737" i="64"/>
  <c r="Z737" i="64"/>
  <c r="AA737" i="64"/>
  <c r="AB737" i="64"/>
  <c r="AC737" i="64"/>
  <c r="AD737" i="64"/>
  <c r="AE737" i="64"/>
  <c r="AF737" i="64"/>
  <c r="AG737" i="64"/>
  <c r="AH737" i="64"/>
  <c r="AI737" i="64"/>
  <c r="AJ737" i="64"/>
  <c r="AK737" i="64"/>
  <c r="AL737" i="64"/>
  <c r="AM737" i="64"/>
  <c r="AN737" i="64"/>
  <c r="AO737" i="64"/>
  <c r="AP737" i="64"/>
  <c r="AQ737" i="64"/>
  <c r="AR737" i="64"/>
  <c r="AS737" i="64"/>
  <c r="AT737" i="64"/>
  <c r="AU737" i="64"/>
  <c r="AV737" i="64"/>
  <c r="AW737" i="64"/>
  <c r="AX737" i="64"/>
  <c r="AY737" i="64"/>
  <c r="AZ737" i="64"/>
  <c r="BA737" i="64"/>
  <c r="BB737" i="64"/>
  <c r="BC737" i="64"/>
  <c r="BD737" i="64"/>
  <c r="BE737" i="64"/>
  <c r="BF737" i="64"/>
  <c r="D738" i="64"/>
  <c r="E738" i="64"/>
  <c r="F738" i="64"/>
  <c r="G738" i="64"/>
  <c r="H738" i="64"/>
  <c r="I738" i="64"/>
  <c r="J738" i="64"/>
  <c r="K738" i="64"/>
  <c r="L738" i="64"/>
  <c r="M738" i="64"/>
  <c r="N738" i="64"/>
  <c r="O738" i="64"/>
  <c r="P738" i="64"/>
  <c r="Q738" i="64"/>
  <c r="R738" i="64"/>
  <c r="S738" i="64"/>
  <c r="T738" i="64"/>
  <c r="U738" i="64"/>
  <c r="V738" i="64"/>
  <c r="W738" i="64"/>
  <c r="X738" i="64"/>
  <c r="Y738" i="64"/>
  <c r="Z738" i="64"/>
  <c r="AA738" i="64"/>
  <c r="AB738" i="64"/>
  <c r="AC738" i="64"/>
  <c r="AD738" i="64"/>
  <c r="AE738" i="64"/>
  <c r="AF738" i="64"/>
  <c r="AG738" i="64"/>
  <c r="AH738" i="64"/>
  <c r="AI738" i="64"/>
  <c r="AJ738" i="64"/>
  <c r="AK738" i="64"/>
  <c r="AL738" i="64"/>
  <c r="AM738" i="64"/>
  <c r="AN738" i="64"/>
  <c r="AO738" i="64"/>
  <c r="AP738" i="64"/>
  <c r="AQ738" i="64"/>
  <c r="AR738" i="64"/>
  <c r="AS738" i="64"/>
  <c r="AT738" i="64"/>
  <c r="AU738" i="64"/>
  <c r="AV738" i="64"/>
  <c r="AW738" i="64"/>
  <c r="AX738" i="64"/>
  <c r="AY738" i="64"/>
  <c r="AZ738" i="64"/>
  <c r="BA738" i="64"/>
  <c r="BB738" i="64"/>
  <c r="BC738" i="64"/>
  <c r="BD738" i="64"/>
  <c r="BE738" i="64"/>
  <c r="BF738" i="64"/>
  <c r="D739" i="64"/>
  <c r="E739" i="64"/>
  <c r="F739" i="64"/>
  <c r="G739" i="64"/>
  <c r="H739" i="64"/>
  <c r="I739" i="64"/>
  <c r="J739" i="64"/>
  <c r="K739" i="64"/>
  <c r="L739" i="64"/>
  <c r="M739" i="64"/>
  <c r="N739" i="64"/>
  <c r="O739" i="64"/>
  <c r="P739" i="64"/>
  <c r="Q739" i="64"/>
  <c r="R739" i="64"/>
  <c r="S739" i="64"/>
  <c r="T739" i="64"/>
  <c r="U739" i="64"/>
  <c r="V739" i="64"/>
  <c r="W739" i="64"/>
  <c r="X739" i="64"/>
  <c r="Y739" i="64"/>
  <c r="Z739" i="64"/>
  <c r="AA739" i="64"/>
  <c r="AB739" i="64"/>
  <c r="AC739" i="64"/>
  <c r="AD739" i="64"/>
  <c r="AE739" i="64"/>
  <c r="AF739" i="64"/>
  <c r="AG739" i="64"/>
  <c r="AH739" i="64"/>
  <c r="AI739" i="64"/>
  <c r="AJ739" i="64"/>
  <c r="AK739" i="64"/>
  <c r="AL739" i="64"/>
  <c r="AM739" i="64"/>
  <c r="AN739" i="64"/>
  <c r="AO739" i="64"/>
  <c r="AP739" i="64"/>
  <c r="AQ739" i="64"/>
  <c r="AR739" i="64"/>
  <c r="AS739" i="64"/>
  <c r="AT739" i="64"/>
  <c r="AU739" i="64"/>
  <c r="AV739" i="64"/>
  <c r="AW739" i="64"/>
  <c r="AX739" i="64"/>
  <c r="AY739" i="64"/>
  <c r="AZ739" i="64"/>
  <c r="BA739" i="64"/>
  <c r="BB739" i="64"/>
  <c r="BC739" i="64"/>
  <c r="BD739" i="64"/>
  <c r="BE739" i="64"/>
  <c r="BF739" i="64"/>
  <c r="D740" i="64"/>
  <c r="E740" i="64"/>
  <c r="F740" i="64"/>
  <c r="G740" i="64"/>
  <c r="H740" i="64"/>
  <c r="I740" i="64"/>
  <c r="J740" i="64"/>
  <c r="K740" i="64"/>
  <c r="L740" i="64"/>
  <c r="M740" i="64"/>
  <c r="N740" i="64"/>
  <c r="O740" i="64"/>
  <c r="P740" i="64"/>
  <c r="Q740" i="64"/>
  <c r="R740" i="64"/>
  <c r="S740" i="64"/>
  <c r="T740" i="64"/>
  <c r="U740" i="64"/>
  <c r="V740" i="64"/>
  <c r="W740" i="64"/>
  <c r="X740" i="64"/>
  <c r="Y740" i="64"/>
  <c r="Z740" i="64"/>
  <c r="AA740" i="64"/>
  <c r="AB740" i="64"/>
  <c r="AC740" i="64"/>
  <c r="AD740" i="64"/>
  <c r="AE740" i="64"/>
  <c r="AF740" i="64"/>
  <c r="AG740" i="64"/>
  <c r="AH740" i="64"/>
  <c r="AI740" i="64"/>
  <c r="AJ740" i="64"/>
  <c r="AK740" i="64"/>
  <c r="AL740" i="64"/>
  <c r="AM740" i="64"/>
  <c r="AN740" i="64"/>
  <c r="AO740" i="64"/>
  <c r="AP740" i="64"/>
  <c r="AQ740" i="64"/>
  <c r="AR740" i="64"/>
  <c r="AS740" i="64"/>
  <c r="AT740" i="64"/>
  <c r="AU740" i="64"/>
  <c r="AV740" i="64"/>
  <c r="AW740" i="64"/>
  <c r="AX740" i="64"/>
  <c r="AY740" i="64"/>
  <c r="AZ740" i="64"/>
  <c r="BA740" i="64"/>
  <c r="BB740" i="64"/>
  <c r="BC740" i="64"/>
  <c r="BD740" i="64"/>
  <c r="BE740" i="64"/>
  <c r="BF740" i="64"/>
  <c r="D741" i="64"/>
  <c r="E741" i="64"/>
  <c r="F741" i="64"/>
  <c r="G741" i="64"/>
  <c r="H741" i="64"/>
  <c r="I741" i="64"/>
  <c r="J741" i="64"/>
  <c r="K741" i="64"/>
  <c r="L741" i="64"/>
  <c r="M741" i="64"/>
  <c r="N741" i="64"/>
  <c r="O741" i="64"/>
  <c r="P741" i="64"/>
  <c r="Q741" i="64"/>
  <c r="R741" i="64"/>
  <c r="S741" i="64"/>
  <c r="T741" i="64"/>
  <c r="U741" i="64"/>
  <c r="V741" i="64"/>
  <c r="W741" i="64"/>
  <c r="X741" i="64"/>
  <c r="Y741" i="64"/>
  <c r="Z741" i="64"/>
  <c r="AA741" i="64"/>
  <c r="AB741" i="64"/>
  <c r="AC741" i="64"/>
  <c r="AD741" i="64"/>
  <c r="AE741" i="64"/>
  <c r="AF741" i="64"/>
  <c r="AG741" i="64"/>
  <c r="AH741" i="64"/>
  <c r="AI741" i="64"/>
  <c r="AJ741" i="64"/>
  <c r="AK741" i="64"/>
  <c r="AL741" i="64"/>
  <c r="AM741" i="64"/>
  <c r="AN741" i="64"/>
  <c r="AO741" i="64"/>
  <c r="AP741" i="64"/>
  <c r="AQ741" i="64"/>
  <c r="AR741" i="64"/>
  <c r="AS741" i="64"/>
  <c r="AT741" i="64"/>
  <c r="AU741" i="64"/>
  <c r="AV741" i="64"/>
  <c r="AW741" i="64"/>
  <c r="AX741" i="64"/>
  <c r="AY741" i="64"/>
  <c r="AZ741" i="64"/>
  <c r="BA741" i="64"/>
  <c r="BB741" i="64"/>
  <c r="BC741" i="64"/>
  <c r="BD741" i="64"/>
  <c r="BE741" i="64"/>
  <c r="BF741" i="64"/>
  <c r="D742" i="64"/>
  <c r="E742" i="64"/>
  <c r="F742" i="64"/>
  <c r="G742" i="64"/>
  <c r="H742" i="64"/>
  <c r="I742" i="64"/>
  <c r="J742" i="64"/>
  <c r="K742" i="64"/>
  <c r="L742" i="64"/>
  <c r="M742" i="64"/>
  <c r="N742" i="64"/>
  <c r="O742" i="64"/>
  <c r="P742" i="64"/>
  <c r="Q742" i="64"/>
  <c r="R742" i="64"/>
  <c r="S742" i="64"/>
  <c r="T742" i="64"/>
  <c r="U742" i="64"/>
  <c r="V742" i="64"/>
  <c r="W742" i="64"/>
  <c r="X742" i="64"/>
  <c r="Y742" i="64"/>
  <c r="Z742" i="64"/>
  <c r="AA742" i="64"/>
  <c r="AB742" i="64"/>
  <c r="AC742" i="64"/>
  <c r="AD742" i="64"/>
  <c r="AE742" i="64"/>
  <c r="AF742" i="64"/>
  <c r="AG742" i="64"/>
  <c r="AH742" i="64"/>
  <c r="AI742" i="64"/>
  <c r="AJ742" i="64"/>
  <c r="AK742" i="64"/>
  <c r="AL742" i="64"/>
  <c r="AM742" i="64"/>
  <c r="AN742" i="64"/>
  <c r="AO742" i="64"/>
  <c r="AP742" i="64"/>
  <c r="AQ742" i="64"/>
  <c r="AR742" i="64"/>
  <c r="AS742" i="64"/>
  <c r="AT742" i="64"/>
  <c r="AU742" i="64"/>
  <c r="AV742" i="64"/>
  <c r="AW742" i="64"/>
  <c r="AX742" i="64"/>
  <c r="AY742" i="64"/>
  <c r="AZ742" i="64"/>
  <c r="BA742" i="64"/>
  <c r="BB742" i="64"/>
  <c r="BC742" i="64"/>
  <c r="BD742" i="64"/>
  <c r="BE742" i="64"/>
  <c r="BF742" i="64"/>
  <c r="D743" i="64"/>
  <c r="E743" i="64"/>
  <c r="F743" i="64"/>
  <c r="G743" i="64"/>
  <c r="H743" i="64"/>
  <c r="I743" i="64"/>
  <c r="J743" i="64"/>
  <c r="K743" i="64"/>
  <c r="L743" i="64"/>
  <c r="M743" i="64"/>
  <c r="N743" i="64"/>
  <c r="O743" i="64"/>
  <c r="P743" i="64"/>
  <c r="Q743" i="64"/>
  <c r="R743" i="64"/>
  <c r="S743" i="64"/>
  <c r="T743" i="64"/>
  <c r="U743" i="64"/>
  <c r="V743" i="64"/>
  <c r="W743" i="64"/>
  <c r="X743" i="64"/>
  <c r="Y743" i="64"/>
  <c r="Z743" i="64"/>
  <c r="AA743" i="64"/>
  <c r="AB743" i="64"/>
  <c r="AC743" i="64"/>
  <c r="AD743" i="64"/>
  <c r="AE743" i="64"/>
  <c r="AF743" i="64"/>
  <c r="AG743" i="64"/>
  <c r="AH743" i="64"/>
  <c r="AI743" i="64"/>
  <c r="AJ743" i="64"/>
  <c r="AK743" i="64"/>
  <c r="AL743" i="64"/>
  <c r="AM743" i="64"/>
  <c r="AN743" i="64"/>
  <c r="AO743" i="64"/>
  <c r="AP743" i="64"/>
  <c r="AQ743" i="64"/>
  <c r="AR743" i="64"/>
  <c r="AS743" i="64"/>
  <c r="AT743" i="64"/>
  <c r="AU743" i="64"/>
  <c r="AV743" i="64"/>
  <c r="AW743" i="64"/>
  <c r="AX743" i="64"/>
  <c r="AY743" i="64"/>
  <c r="AZ743" i="64"/>
  <c r="BA743" i="64"/>
  <c r="BB743" i="64"/>
  <c r="BC743" i="64"/>
  <c r="BD743" i="64"/>
  <c r="BE743" i="64"/>
  <c r="BF743" i="64"/>
  <c r="D744" i="64"/>
  <c r="E744" i="64"/>
  <c r="F744" i="64"/>
  <c r="G744" i="64"/>
  <c r="H744" i="64"/>
  <c r="I744" i="64"/>
  <c r="J744" i="64"/>
  <c r="K744" i="64"/>
  <c r="L744" i="64"/>
  <c r="M744" i="64"/>
  <c r="N744" i="64"/>
  <c r="O744" i="64"/>
  <c r="P744" i="64"/>
  <c r="Q744" i="64"/>
  <c r="R744" i="64"/>
  <c r="S744" i="64"/>
  <c r="T744" i="64"/>
  <c r="U744" i="64"/>
  <c r="V744" i="64"/>
  <c r="W744" i="64"/>
  <c r="X744" i="64"/>
  <c r="Y744" i="64"/>
  <c r="Z744" i="64"/>
  <c r="AA744" i="64"/>
  <c r="AB744" i="64"/>
  <c r="AC744" i="64"/>
  <c r="AD744" i="64"/>
  <c r="AE744" i="64"/>
  <c r="AF744" i="64"/>
  <c r="AG744" i="64"/>
  <c r="AH744" i="64"/>
  <c r="AI744" i="64"/>
  <c r="AJ744" i="64"/>
  <c r="AK744" i="64"/>
  <c r="AL744" i="64"/>
  <c r="AM744" i="64"/>
  <c r="AN744" i="64"/>
  <c r="AO744" i="64"/>
  <c r="AP744" i="64"/>
  <c r="AQ744" i="64"/>
  <c r="AR744" i="64"/>
  <c r="AS744" i="64"/>
  <c r="AT744" i="64"/>
  <c r="AU744" i="64"/>
  <c r="AV744" i="64"/>
  <c r="AW744" i="64"/>
  <c r="AX744" i="64"/>
  <c r="AY744" i="64"/>
  <c r="AZ744" i="64"/>
  <c r="BA744" i="64"/>
  <c r="BB744" i="64"/>
  <c r="BC744" i="64"/>
  <c r="BD744" i="64"/>
  <c r="BE744" i="64"/>
  <c r="BF744" i="64"/>
  <c r="D745" i="64"/>
  <c r="E745" i="64"/>
  <c r="F745" i="64"/>
  <c r="G745" i="64"/>
  <c r="H745" i="64"/>
  <c r="I745" i="64"/>
  <c r="J745" i="64"/>
  <c r="K745" i="64"/>
  <c r="L745" i="64"/>
  <c r="M745" i="64"/>
  <c r="N745" i="64"/>
  <c r="O745" i="64"/>
  <c r="P745" i="64"/>
  <c r="Q745" i="64"/>
  <c r="R745" i="64"/>
  <c r="S745" i="64"/>
  <c r="T745" i="64"/>
  <c r="U745" i="64"/>
  <c r="V745" i="64"/>
  <c r="W745" i="64"/>
  <c r="X745" i="64"/>
  <c r="Y745" i="64"/>
  <c r="Z745" i="64"/>
  <c r="AA745" i="64"/>
  <c r="AB745" i="64"/>
  <c r="AC745" i="64"/>
  <c r="AD745" i="64"/>
  <c r="AE745" i="64"/>
  <c r="AF745" i="64"/>
  <c r="AG745" i="64"/>
  <c r="AH745" i="64"/>
  <c r="AI745" i="64"/>
  <c r="AJ745" i="64"/>
  <c r="AK745" i="64"/>
  <c r="AL745" i="64"/>
  <c r="AM745" i="64"/>
  <c r="AN745" i="64"/>
  <c r="AO745" i="64"/>
  <c r="AP745" i="64"/>
  <c r="AQ745" i="64"/>
  <c r="AR745" i="64"/>
  <c r="AS745" i="64"/>
  <c r="AT745" i="64"/>
  <c r="AU745" i="64"/>
  <c r="AV745" i="64"/>
  <c r="AW745" i="64"/>
  <c r="AX745" i="64"/>
  <c r="AY745" i="64"/>
  <c r="AZ745" i="64"/>
  <c r="BA745" i="64"/>
  <c r="BB745" i="64"/>
  <c r="BC745" i="64"/>
  <c r="BD745" i="64"/>
  <c r="BE745" i="64"/>
  <c r="BF745" i="64"/>
  <c r="D746" i="64"/>
  <c r="E746" i="64"/>
  <c r="F746" i="64"/>
  <c r="G746" i="64"/>
  <c r="H746" i="64"/>
  <c r="I746" i="64"/>
  <c r="J746" i="64"/>
  <c r="K746" i="64"/>
  <c r="L746" i="64"/>
  <c r="M746" i="64"/>
  <c r="N746" i="64"/>
  <c r="O746" i="64"/>
  <c r="P746" i="64"/>
  <c r="Q746" i="64"/>
  <c r="R746" i="64"/>
  <c r="S746" i="64"/>
  <c r="T746" i="64"/>
  <c r="U746" i="64"/>
  <c r="V746" i="64"/>
  <c r="W746" i="64"/>
  <c r="X746" i="64"/>
  <c r="Y746" i="64"/>
  <c r="Z746" i="64"/>
  <c r="AA746" i="64"/>
  <c r="AB746" i="64"/>
  <c r="AC746" i="64"/>
  <c r="AD746" i="64"/>
  <c r="AE746" i="64"/>
  <c r="AF746" i="64"/>
  <c r="AG746" i="64"/>
  <c r="AH746" i="64"/>
  <c r="AI746" i="64"/>
  <c r="AJ746" i="64"/>
  <c r="AK746" i="64"/>
  <c r="AL746" i="64"/>
  <c r="AM746" i="64"/>
  <c r="AN746" i="64"/>
  <c r="AO746" i="64"/>
  <c r="AP746" i="64"/>
  <c r="AQ746" i="64"/>
  <c r="AR746" i="64"/>
  <c r="AS746" i="64"/>
  <c r="AT746" i="64"/>
  <c r="AU746" i="64"/>
  <c r="AV746" i="64"/>
  <c r="AW746" i="64"/>
  <c r="AX746" i="64"/>
  <c r="AY746" i="64"/>
  <c r="AZ746" i="64"/>
  <c r="BA746" i="64"/>
  <c r="BB746" i="64"/>
  <c r="BC746" i="64"/>
  <c r="BD746" i="64"/>
  <c r="BE746" i="64"/>
  <c r="BF746" i="64"/>
  <c r="D747" i="64"/>
  <c r="E747" i="64"/>
  <c r="F747" i="64"/>
  <c r="G747" i="64"/>
  <c r="H747" i="64"/>
  <c r="I747" i="64"/>
  <c r="J747" i="64"/>
  <c r="K747" i="64"/>
  <c r="L747" i="64"/>
  <c r="M747" i="64"/>
  <c r="N747" i="64"/>
  <c r="O747" i="64"/>
  <c r="P747" i="64"/>
  <c r="Q747" i="64"/>
  <c r="R747" i="64"/>
  <c r="S747" i="64"/>
  <c r="T747" i="64"/>
  <c r="U747" i="64"/>
  <c r="V747" i="64"/>
  <c r="W747" i="64"/>
  <c r="X747" i="64"/>
  <c r="Y747" i="64"/>
  <c r="Z747" i="64"/>
  <c r="AA747" i="64"/>
  <c r="AB747" i="64"/>
  <c r="AC747" i="64"/>
  <c r="AD747" i="64"/>
  <c r="AE747" i="64"/>
  <c r="AF747" i="64"/>
  <c r="AG747" i="64"/>
  <c r="AH747" i="64"/>
  <c r="AI747" i="64"/>
  <c r="AJ747" i="64"/>
  <c r="AK747" i="64"/>
  <c r="AL747" i="64"/>
  <c r="AM747" i="64"/>
  <c r="AN747" i="64"/>
  <c r="AO747" i="64"/>
  <c r="AP747" i="64"/>
  <c r="AQ747" i="64"/>
  <c r="AR747" i="64"/>
  <c r="AS747" i="64"/>
  <c r="AT747" i="64"/>
  <c r="AU747" i="64"/>
  <c r="AV747" i="64"/>
  <c r="AW747" i="64"/>
  <c r="AX747" i="64"/>
  <c r="AY747" i="64"/>
  <c r="AZ747" i="64"/>
  <c r="BA747" i="64"/>
  <c r="BB747" i="64"/>
  <c r="BC747" i="64"/>
  <c r="BD747" i="64"/>
  <c r="BE747" i="64"/>
  <c r="BF747" i="64"/>
  <c r="D748" i="64"/>
  <c r="E748" i="64"/>
  <c r="F748" i="64"/>
  <c r="G748" i="64"/>
  <c r="H748" i="64"/>
  <c r="I748" i="64"/>
  <c r="J748" i="64"/>
  <c r="K748" i="64"/>
  <c r="L748" i="64"/>
  <c r="M748" i="64"/>
  <c r="N748" i="64"/>
  <c r="O748" i="64"/>
  <c r="P748" i="64"/>
  <c r="Q748" i="64"/>
  <c r="R748" i="64"/>
  <c r="S748" i="64"/>
  <c r="T748" i="64"/>
  <c r="U748" i="64"/>
  <c r="V748" i="64"/>
  <c r="W748" i="64"/>
  <c r="X748" i="64"/>
  <c r="Y748" i="64"/>
  <c r="Z748" i="64"/>
  <c r="AA748" i="64"/>
  <c r="AB748" i="64"/>
  <c r="AC748" i="64"/>
  <c r="AD748" i="64"/>
  <c r="AE748" i="64"/>
  <c r="AF748" i="64"/>
  <c r="AG748" i="64"/>
  <c r="AH748" i="64"/>
  <c r="AI748" i="64"/>
  <c r="AJ748" i="64"/>
  <c r="AK748" i="64"/>
  <c r="AL748" i="64"/>
  <c r="AM748" i="64"/>
  <c r="AN748" i="64"/>
  <c r="AO748" i="64"/>
  <c r="AP748" i="64"/>
  <c r="AQ748" i="64"/>
  <c r="AR748" i="64"/>
  <c r="AS748" i="64"/>
  <c r="AT748" i="64"/>
  <c r="AU748" i="64"/>
  <c r="AV748" i="64"/>
  <c r="AW748" i="64"/>
  <c r="AX748" i="64"/>
  <c r="AY748" i="64"/>
  <c r="AZ748" i="64"/>
  <c r="BA748" i="64"/>
  <c r="BB748" i="64"/>
  <c r="BC748" i="64"/>
  <c r="BD748" i="64"/>
  <c r="BE748" i="64"/>
  <c r="BF748" i="64"/>
  <c r="D749" i="64"/>
  <c r="E749" i="64"/>
  <c r="F749" i="64"/>
  <c r="G749" i="64"/>
  <c r="H749" i="64"/>
  <c r="I749" i="64"/>
  <c r="J749" i="64"/>
  <c r="K749" i="64"/>
  <c r="L749" i="64"/>
  <c r="M749" i="64"/>
  <c r="N749" i="64"/>
  <c r="O749" i="64"/>
  <c r="P749" i="64"/>
  <c r="Q749" i="64"/>
  <c r="R749" i="64"/>
  <c r="S749" i="64"/>
  <c r="T749" i="64"/>
  <c r="U749" i="64"/>
  <c r="V749" i="64"/>
  <c r="W749" i="64"/>
  <c r="X749" i="64"/>
  <c r="Y749" i="64"/>
  <c r="Z749" i="64"/>
  <c r="AA749" i="64"/>
  <c r="AB749" i="64"/>
  <c r="AC749" i="64"/>
  <c r="AD749" i="64"/>
  <c r="AE749" i="64"/>
  <c r="AF749" i="64"/>
  <c r="AG749" i="64"/>
  <c r="AH749" i="64"/>
  <c r="AI749" i="64"/>
  <c r="AJ749" i="64"/>
  <c r="AK749" i="64"/>
  <c r="AL749" i="64"/>
  <c r="AM749" i="64"/>
  <c r="AN749" i="64"/>
  <c r="AO749" i="64"/>
  <c r="AP749" i="64"/>
  <c r="AQ749" i="64"/>
  <c r="AR749" i="64"/>
  <c r="AS749" i="64"/>
  <c r="AT749" i="64"/>
  <c r="AU749" i="64"/>
  <c r="AV749" i="64"/>
  <c r="AW749" i="64"/>
  <c r="AX749" i="64"/>
  <c r="AY749" i="64"/>
  <c r="AZ749" i="64"/>
  <c r="BA749" i="64"/>
  <c r="BB749" i="64"/>
  <c r="BC749" i="64"/>
  <c r="BD749" i="64"/>
  <c r="BE749" i="64"/>
  <c r="BF749" i="64"/>
  <c r="D750" i="64"/>
  <c r="E750" i="64"/>
  <c r="F750" i="64"/>
  <c r="G750" i="64"/>
  <c r="H750" i="64"/>
  <c r="I750" i="64"/>
  <c r="J750" i="64"/>
  <c r="K750" i="64"/>
  <c r="L750" i="64"/>
  <c r="M750" i="64"/>
  <c r="N750" i="64"/>
  <c r="O750" i="64"/>
  <c r="P750" i="64"/>
  <c r="Q750" i="64"/>
  <c r="R750" i="64"/>
  <c r="S750" i="64"/>
  <c r="T750" i="64"/>
  <c r="U750" i="64"/>
  <c r="V750" i="64"/>
  <c r="W750" i="64"/>
  <c r="X750" i="64"/>
  <c r="Y750" i="64"/>
  <c r="Z750" i="64"/>
  <c r="AA750" i="64"/>
  <c r="AB750" i="64"/>
  <c r="AC750" i="64"/>
  <c r="AD750" i="64"/>
  <c r="AE750" i="64"/>
  <c r="AF750" i="64"/>
  <c r="AG750" i="64"/>
  <c r="AH750" i="64"/>
  <c r="AI750" i="64"/>
  <c r="AJ750" i="64"/>
  <c r="AK750" i="64"/>
  <c r="AL750" i="64"/>
  <c r="AM750" i="64"/>
  <c r="AN750" i="64"/>
  <c r="AO750" i="64"/>
  <c r="AP750" i="64"/>
  <c r="AQ750" i="64"/>
  <c r="AR750" i="64"/>
  <c r="AS750" i="64"/>
  <c r="AT750" i="64"/>
  <c r="AU750" i="64"/>
  <c r="AV750" i="64"/>
  <c r="AW750" i="64"/>
  <c r="AX750" i="64"/>
  <c r="AY750" i="64"/>
  <c r="AZ750" i="64"/>
  <c r="BA750" i="64"/>
  <c r="BB750" i="64"/>
  <c r="BC750" i="64"/>
  <c r="BD750" i="64"/>
  <c r="BE750" i="64"/>
  <c r="BF750" i="64"/>
  <c r="D751" i="64"/>
  <c r="E751" i="64"/>
  <c r="F751" i="64"/>
  <c r="G751" i="64"/>
  <c r="H751" i="64"/>
  <c r="I751" i="64"/>
  <c r="J751" i="64"/>
  <c r="K751" i="64"/>
  <c r="L751" i="64"/>
  <c r="M751" i="64"/>
  <c r="N751" i="64"/>
  <c r="O751" i="64"/>
  <c r="P751" i="64"/>
  <c r="Q751" i="64"/>
  <c r="R751" i="64"/>
  <c r="S751" i="64"/>
  <c r="T751" i="64"/>
  <c r="U751" i="64"/>
  <c r="V751" i="64"/>
  <c r="W751" i="64"/>
  <c r="X751" i="64"/>
  <c r="Y751" i="64"/>
  <c r="Z751" i="64"/>
  <c r="AA751" i="64"/>
  <c r="AB751" i="64"/>
  <c r="AC751" i="64"/>
  <c r="AD751" i="64"/>
  <c r="AE751" i="64"/>
  <c r="AF751" i="64"/>
  <c r="AG751" i="64"/>
  <c r="AH751" i="64"/>
  <c r="AI751" i="64"/>
  <c r="AJ751" i="64"/>
  <c r="AK751" i="64"/>
  <c r="AL751" i="64"/>
  <c r="AM751" i="64"/>
  <c r="AN751" i="64"/>
  <c r="AO751" i="64"/>
  <c r="AP751" i="64"/>
  <c r="AQ751" i="64"/>
  <c r="AR751" i="64"/>
  <c r="AS751" i="64"/>
  <c r="AT751" i="64"/>
  <c r="AU751" i="64"/>
  <c r="AV751" i="64"/>
  <c r="AW751" i="64"/>
  <c r="AX751" i="64"/>
  <c r="AY751" i="64"/>
  <c r="AZ751" i="64"/>
  <c r="BA751" i="64"/>
  <c r="BB751" i="64"/>
  <c r="BC751" i="64"/>
  <c r="BD751" i="64"/>
  <c r="BE751" i="64"/>
  <c r="BF751" i="64"/>
  <c r="C725" i="64"/>
  <c r="C726" i="64"/>
  <c r="C727" i="64"/>
  <c r="C728" i="64"/>
  <c r="C729" i="64"/>
  <c r="C730" i="64"/>
  <c r="C731" i="64"/>
  <c r="C732" i="64"/>
  <c r="C733" i="64"/>
  <c r="C734" i="64"/>
  <c r="C735" i="64"/>
  <c r="C736" i="64"/>
  <c r="C737" i="64"/>
  <c r="C738" i="64"/>
  <c r="C739" i="64"/>
  <c r="C740" i="64"/>
  <c r="C741" i="64"/>
  <c r="C742" i="64"/>
  <c r="C743" i="64"/>
  <c r="C744" i="64"/>
  <c r="C745" i="64"/>
  <c r="C746" i="64"/>
  <c r="C747" i="64"/>
  <c r="C748" i="64"/>
  <c r="C749" i="64"/>
  <c r="C750" i="64"/>
  <c r="C751" i="64"/>
  <c r="BA342" i="64"/>
  <c r="AZ342" i="64"/>
  <c r="AX342" i="64"/>
  <c r="AO342" i="64"/>
  <c r="AN342" i="64"/>
  <c r="AL342" i="64"/>
  <c r="AJ342" i="64"/>
  <c r="U342" i="64"/>
  <c r="K342" i="64"/>
  <c r="I342" i="64"/>
  <c r="BC340" i="64"/>
  <c r="BB340" i="64"/>
  <c r="BA340" i="64"/>
  <c r="AZ340" i="64"/>
  <c r="AX340" i="64"/>
  <c r="AW340" i="64"/>
  <c r="AV340" i="64"/>
  <c r="AT340" i="64"/>
  <c r="AR340" i="64"/>
  <c r="AO340" i="64"/>
  <c r="AN340" i="64"/>
  <c r="AM340" i="64"/>
  <c r="AL340" i="64"/>
  <c r="AJ340" i="64"/>
  <c r="AG340" i="64"/>
  <c r="AF340" i="64"/>
  <c r="AE340" i="64"/>
  <c r="Z340" i="64"/>
  <c r="W340" i="64"/>
  <c r="V340" i="64"/>
  <c r="U340" i="64"/>
  <c r="T340" i="64"/>
  <c r="S340" i="64"/>
  <c r="R340" i="64"/>
  <c r="P340" i="64"/>
  <c r="M340" i="64"/>
  <c r="L340" i="64"/>
  <c r="K340" i="64"/>
  <c r="J340" i="64"/>
  <c r="I340" i="64"/>
  <c r="E340" i="64"/>
  <c r="D340" i="64"/>
  <c r="BD338" i="64"/>
  <c r="BB338" i="64"/>
  <c r="BA338" i="64"/>
  <c r="AZ338" i="64"/>
  <c r="AW338" i="64"/>
  <c r="AV338" i="64"/>
  <c r="AT338" i="64"/>
  <c r="AR338" i="64"/>
  <c r="AO338" i="64"/>
  <c r="AN338" i="64"/>
  <c r="AM338" i="64"/>
  <c r="AL338" i="64"/>
  <c r="AJ338" i="64"/>
  <c r="AG338" i="64"/>
  <c r="AF338" i="64"/>
  <c r="AE338" i="64"/>
  <c r="Z338" i="64"/>
  <c r="V338" i="64"/>
  <c r="U338" i="64"/>
  <c r="T338" i="64"/>
  <c r="S338" i="64"/>
  <c r="M338" i="64"/>
  <c r="L338" i="64"/>
  <c r="K338" i="64"/>
  <c r="J338" i="64"/>
  <c r="I338" i="64"/>
  <c r="E338" i="64"/>
  <c r="D338" i="64"/>
  <c r="BE309" i="64"/>
  <c r="BA309" i="64"/>
  <c r="AZ309" i="64"/>
  <c r="AX309" i="64"/>
  <c r="AO309" i="64"/>
  <c r="AN309" i="64"/>
  <c r="AL309" i="64"/>
  <c r="AJ309" i="64"/>
  <c r="AE309" i="64"/>
  <c r="AD309" i="64"/>
  <c r="AC309" i="64"/>
  <c r="AA309" i="64"/>
  <c r="U309" i="64"/>
  <c r="S309" i="64"/>
  <c r="R309" i="64"/>
  <c r="Q309" i="64"/>
  <c r="O309" i="64"/>
  <c r="N309" i="64"/>
  <c r="K309" i="64"/>
  <c r="I309" i="64"/>
  <c r="G309" i="64"/>
  <c r="F309" i="64"/>
  <c r="BE307" i="64"/>
  <c r="BD307" i="64"/>
  <c r="BC307" i="64"/>
  <c r="BB307" i="64"/>
  <c r="BA307" i="64"/>
  <c r="AZ307" i="64"/>
  <c r="AX307" i="64"/>
  <c r="AW307" i="64"/>
  <c r="AV307" i="64"/>
  <c r="AU307" i="64"/>
  <c r="AT307" i="64"/>
  <c r="AR307" i="64"/>
  <c r="AO307" i="64"/>
  <c r="AN307" i="64"/>
  <c r="AM307" i="64"/>
  <c r="AL307" i="64"/>
  <c r="AJ307" i="64"/>
  <c r="AG307" i="64"/>
  <c r="AF307" i="64"/>
  <c r="AE307" i="64"/>
  <c r="AD307" i="64"/>
  <c r="AC307" i="64"/>
  <c r="AA307" i="64"/>
  <c r="Z307" i="64"/>
  <c r="Y307" i="64"/>
  <c r="W307" i="64"/>
  <c r="V307" i="64"/>
  <c r="U307" i="64"/>
  <c r="T307" i="64"/>
  <c r="S307" i="64"/>
  <c r="R307" i="64"/>
  <c r="Q307" i="64"/>
  <c r="P307" i="64"/>
  <c r="O307" i="64"/>
  <c r="N307" i="64"/>
  <c r="M307" i="64"/>
  <c r="L307" i="64"/>
  <c r="K307" i="64"/>
  <c r="J307" i="64"/>
  <c r="I307" i="64"/>
  <c r="G307" i="64"/>
  <c r="F307" i="64"/>
  <c r="E307" i="64"/>
  <c r="D307" i="64"/>
  <c r="C307" i="64"/>
  <c r="BD305" i="64"/>
  <c r="BB305" i="64"/>
  <c r="BA305" i="64"/>
  <c r="AZ305" i="64"/>
  <c r="AW305" i="64"/>
  <c r="AV305" i="64"/>
  <c r="AU305" i="64"/>
  <c r="AT305" i="64"/>
  <c r="AR305" i="64"/>
  <c r="AO305" i="64"/>
  <c r="AN305" i="64"/>
  <c r="AM305" i="64"/>
  <c r="AL305" i="64"/>
  <c r="AJ305" i="64"/>
  <c r="AG305" i="64"/>
  <c r="AF305" i="64"/>
  <c r="AE305" i="64"/>
  <c r="AD305" i="64"/>
  <c r="AC305" i="64"/>
  <c r="AA305" i="64"/>
  <c r="Z305" i="64"/>
  <c r="V305" i="64"/>
  <c r="U305" i="64"/>
  <c r="T305" i="64"/>
  <c r="S305" i="64"/>
  <c r="R305" i="64"/>
  <c r="Q305" i="64"/>
  <c r="O305" i="64"/>
  <c r="N305" i="64"/>
  <c r="M305" i="64"/>
  <c r="L305" i="64"/>
  <c r="K305" i="64"/>
  <c r="J305" i="64"/>
  <c r="I305" i="64"/>
  <c r="G305" i="64"/>
  <c r="F305" i="64"/>
  <c r="E305" i="64"/>
  <c r="D305" i="64"/>
  <c r="C305" i="64"/>
  <c r="A1" i="64"/>
  <c r="B3" i="64"/>
  <c r="C39" i="64"/>
  <c r="D39" i="64"/>
  <c r="E39" i="64"/>
  <c r="F39" i="64"/>
  <c r="G39" i="64"/>
  <c r="H39" i="64"/>
  <c r="I39" i="64"/>
  <c r="J39" i="64"/>
  <c r="K39" i="64"/>
  <c r="L39" i="64"/>
  <c r="M39" i="64"/>
  <c r="N39" i="64"/>
  <c r="O39" i="64"/>
  <c r="P39" i="64"/>
  <c r="Q39" i="64"/>
  <c r="R39" i="64"/>
  <c r="S39" i="64"/>
  <c r="T39" i="64"/>
  <c r="U39" i="64"/>
  <c r="V39" i="64"/>
  <c r="W39" i="64"/>
  <c r="X39" i="64"/>
  <c r="Y39" i="64"/>
  <c r="Z39" i="64"/>
  <c r="AA39" i="64"/>
  <c r="AB39" i="64"/>
  <c r="AC39" i="64"/>
  <c r="AD39" i="64"/>
  <c r="AE39" i="64"/>
  <c r="AF39" i="64"/>
  <c r="AG39" i="64"/>
  <c r="AH39" i="64"/>
  <c r="AI39" i="64"/>
  <c r="AJ39" i="64"/>
  <c r="AK39" i="64"/>
  <c r="AL39" i="64"/>
  <c r="AM39" i="64"/>
  <c r="AN39" i="64"/>
  <c r="AO39" i="64"/>
  <c r="AP39" i="64"/>
  <c r="AQ39" i="64"/>
  <c r="AR39" i="64"/>
  <c r="AS39" i="64"/>
  <c r="AT39" i="64"/>
  <c r="AU39" i="64"/>
  <c r="AV39" i="64"/>
  <c r="AW39" i="64"/>
  <c r="AX39" i="64"/>
  <c r="AY39" i="64"/>
  <c r="AZ39" i="64"/>
  <c r="BA39" i="64"/>
  <c r="BB39" i="64"/>
  <c r="BC39" i="64"/>
  <c r="BD39" i="64"/>
  <c r="BE39" i="64"/>
  <c r="BF39" i="64"/>
  <c r="AX43" i="64"/>
  <c r="E44" i="64"/>
  <c r="G44" i="64"/>
  <c r="I44" i="64"/>
  <c r="J44" i="64"/>
  <c r="M44" i="64"/>
  <c r="Q44" i="64"/>
  <c r="S44" i="64"/>
  <c r="U44" i="64"/>
  <c r="Z44" i="64"/>
  <c r="AA44" i="64"/>
  <c r="AB44" i="64"/>
  <c r="AC44" i="64"/>
  <c r="AD44" i="64"/>
  <c r="AE44" i="64"/>
  <c r="AG44" i="64"/>
  <c r="AH44" i="64"/>
  <c r="AI44" i="64"/>
  <c r="AK44" i="64"/>
  <c r="AL44" i="64"/>
  <c r="AO44" i="64"/>
  <c r="AP44" i="64"/>
  <c r="AQ44" i="64"/>
  <c r="AT44" i="64"/>
  <c r="AU44" i="64"/>
  <c r="AW44" i="64"/>
  <c r="AY44" i="64"/>
  <c r="BE44" i="64"/>
  <c r="E45" i="64"/>
  <c r="F45" i="64"/>
  <c r="G45" i="64"/>
  <c r="I45" i="64"/>
  <c r="J45" i="64"/>
  <c r="M45" i="64"/>
  <c r="N45" i="64"/>
  <c r="Q45" i="64"/>
  <c r="S45" i="64"/>
  <c r="U45" i="64"/>
  <c r="Z45" i="64"/>
  <c r="AA45" i="64"/>
  <c r="AB45" i="64"/>
  <c r="AC45" i="64"/>
  <c r="AD45" i="64"/>
  <c r="AE45" i="64"/>
  <c r="AF45" i="64"/>
  <c r="AG45" i="64"/>
  <c r="AH45" i="64"/>
  <c r="AI45" i="64"/>
  <c r="AJ45" i="64"/>
  <c r="AK45" i="64"/>
  <c r="AL45" i="64"/>
  <c r="AO45" i="64"/>
  <c r="AP45" i="64"/>
  <c r="AQ45" i="64"/>
  <c r="AR45" i="64"/>
  <c r="AT45" i="64"/>
  <c r="AU45" i="64"/>
  <c r="AV45" i="64"/>
  <c r="AW45" i="64"/>
  <c r="AY45" i="64"/>
  <c r="BD45" i="64"/>
  <c r="BE45" i="64"/>
  <c r="BF45" i="64"/>
  <c r="C46" i="64"/>
  <c r="E46" i="64"/>
  <c r="F46" i="64"/>
  <c r="G46" i="64"/>
  <c r="H46" i="64"/>
  <c r="I46" i="64"/>
  <c r="J46" i="64"/>
  <c r="K46" i="64"/>
  <c r="M46" i="64"/>
  <c r="N46" i="64"/>
  <c r="Q46" i="64"/>
  <c r="R46" i="64"/>
  <c r="S46" i="64"/>
  <c r="U46" i="64"/>
  <c r="Z46" i="64"/>
  <c r="AA46" i="64"/>
  <c r="AB46" i="64"/>
  <c r="AC46" i="64"/>
  <c r="AD46" i="64"/>
  <c r="AE46" i="64"/>
  <c r="AF46" i="64"/>
  <c r="AG46" i="64"/>
  <c r="AH46" i="64"/>
  <c r="AI46" i="64"/>
  <c r="AJ46" i="64"/>
  <c r="AK46" i="64"/>
  <c r="AL46" i="64"/>
  <c r="AO46" i="64"/>
  <c r="AP46" i="64"/>
  <c r="AQ46" i="64"/>
  <c r="AR46" i="64"/>
  <c r="AT46" i="64"/>
  <c r="AU46" i="64"/>
  <c r="AV46" i="64"/>
  <c r="AW46" i="64"/>
  <c r="AY46" i="64"/>
  <c r="AZ46" i="64"/>
  <c r="BD46" i="64"/>
  <c r="BE46" i="64"/>
  <c r="BF46" i="64"/>
  <c r="C47" i="64"/>
  <c r="E47" i="64"/>
  <c r="F47" i="64"/>
  <c r="G47" i="64"/>
  <c r="H47" i="64"/>
  <c r="I47" i="64"/>
  <c r="J47" i="64"/>
  <c r="K47" i="64"/>
  <c r="L47" i="64"/>
  <c r="M47" i="64"/>
  <c r="N47" i="64"/>
  <c r="O47" i="64"/>
  <c r="Q47" i="64"/>
  <c r="R47" i="64"/>
  <c r="S47" i="64"/>
  <c r="T47" i="64"/>
  <c r="U47" i="64"/>
  <c r="Y47" i="64"/>
  <c r="Z47" i="64"/>
  <c r="AA47" i="64"/>
  <c r="AB47" i="64"/>
  <c r="AC47" i="64"/>
  <c r="AD47" i="64"/>
  <c r="AE47" i="64"/>
  <c r="AF47" i="64"/>
  <c r="AG47" i="64"/>
  <c r="AH47" i="64"/>
  <c r="AI47" i="64"/>
  <c r="AJ47" i="64"/>
  <c r="AK47" i="64"/>
  <c r="AL47" i="64"/>
  <c r="AO47" i="64"/>
  <c r="AP47" i="64"/>
  <c r="AQ47" i="64"/>
  <c r="AR47" i="64"/>
  <c r="AT47" i="64"/>
  <c r="AU47" i="64"/>
  <c r="AV47" i="64"/>
  <c r="AW47" i="64"/>
  <c r="AX47" i="64"/>
  <c r="AY47" i="64"/>
  <c r="AZ47" i="64"/>
  <c r="BA47" i="64"/>
  <c r="BD47" i="64"/>
  <c r="BE47" i="64"/>
  <c r="BF47" i="64"/>
  <c r="C48" i="64"/>
  <c r="E48" i="64"/>
  <c r="F48" i="64"/>
  <c r="G48" i="64"/>
  <c r="H48" i="64"/>
  <c r="I48" i="64"/>
  <c r="J48" i="64"/>
  <c r="K48" i="64"/>
  <c r="L48" i="64"/>
  <c r="M48" i="64"/>
  <c r="N48" i="64"/>
  <c r="O48" i="64"/>
  <c r="Q48" i="64"/>
  <c r="R48" i="64"/>
  <c r="S48" i="64"/>
  <c r="T48" i="64"/>
  <c r="U48" i="64"/>
  <c r="X48" i="64"/>
  <c r="Y48" i="64"/>
  <c r="Z48" i="64"/>
  <c r="AA48" i="64"/>
  <c r="AB48" i="64"/>
  <c r="AC48" i="64"/>
  <c r="AD48" i="64"/>
  <c r="AE48" i="64"/>
  <c r="AF48" i="64"/>
  <c r="AG48" i="64"/>
  <c r="AH48" i="64"/>
  <c r="AI48" i="64"/>
  <c r="AJ48" i="64"/>
  <c r="AK48" i="64"/>
  <c r="AL48" i="64"/>
  <c r="AM48" i="64"/>
  <c r="AO48" i="64"/>
  <c r="AP48" i="64"/>
  <c r="AQ48" i="64"/>
  <c r="AR48" i="64"/>
  <c r="AT48" i="64"/>
  <c r="AU48" i="64"/>
  <c r="AV48" i="64"/>
  <c r="AW48" i="64"/>
  <c r="AX48" i="64"/>
  <c r="AY48" i="64"/>
  <c r="AZ48" i="64"/>
  <c r="BA48" i="64"/>
  <c r="BD48" i="64"/>
  <c r="BE48" i="64"/>
  <c r="BF48" i="64"/>
  <c r="C49" i="64"/>
  <c r="E49" i="64"/>
  <c r="F49" i="64"/>
  <c r="G49" i="64"/>
  <c r="H49" i="64"/>
  <c r="I49" i="64"/>
  <c r="J49" i="64"/>
  <c r="K49" i="64"/>
  <c r="L49" i="64"/>
  <c r="M49" i="64"/>
  <c r="N49" i="64"/>
  <c r="O49" i="64"/>
  <c r="Q49" i="64"/>
  <c r="R49" i="64"/>
  <c r="S49" i="64"/>
  <c r="T49" i="64"/>
  <c r="U49" i="64"/>
  <c r="X49" i="64"/>
  <c r="Y49" i="64"/>
  <c r="Z49" i="64"/>
  <c r="AA49" i="64"/>
  <c r="AB49" i="64"/>
  <c r="AC49" i="64"/>
  <c r="AD49" i="64"/>
  <c r="AE49" i="64"/>
  <c r="AF49" i="64"/>
  <c r="AG49" i="64"/>
  <c r="AH49" i="64"/>
  <c r="AI49" i="64"/>
  <c r="AJ49" i="64"/>
  <c r="AK49" i="64"/>
  <c r="AL49" i="64"/>
  <c r="AM49" i="64"/>
  <c r="AN49" i="64"/>
  <c r="AO49" i="64"/>
  <c r="AP49" i="64"/>
  <c r="AQ49" i="64"/>
  <c r="AR49" i="64"/>
  <c r="AT49" i="64"/>
  <c r="AU49" i="64"/>
  <c r="AV49" i="64"/>
  <c r="AW49" i="64"/>
  <c r="AX49" i="64"/>
  <c r="AY49" i="64"/>
  <c r="AZ49" i="64"/>
  <c r="BA49" i="64"/>
  <c r="BD49" i="64"/>
  <c r="BE49" i="64"/>
  <c r="BF49" i="64"/>
  <c r="C50" i="64"/>
  <c r="D50" i="64"/>
  <c r="E50" i="64"/>
  <c r="F50" i="64"/>
  <c r="G50" i="64"/>
  <c r="H50" i="64"/>
  <c r="I50" i="64"/>
  <c r="J50" i="64"/>
  <c r="K50" i="64"/>
  <c r="L50" i="64"/>
  <c r="M50" i="64"/>
  <c r="N50" i="64"/>
  <c r="O50" i="64"/>
  <c r="Q50" i="64"/>
  <c r="R50" i="64"/>
  <c r="S50" i="64"/>
  <c r="T50" i="64"/>
  <c r="U50" i="64"/>
  <c r="V50" i="64"/>
  <c r="W50" i="64"/>
  <c r="X50" i="64"/>
  <c r="Y50" i="64"/>
  <c r="Z50" i="64"/>
  <c r="AA50" i="64"/>
  <c r="AB50" i="64"/>
  <c r="AC50" i="64"/>
  <c r="AD50" i="64"/>
  <c r="AE50" i="64"/>
  <c r="AF50" i="64"/>
  <c r="AG50" i="64"/>
  <c r="AH50" i="64"/>
  <c r="AI50" i="64"/>
  <c r="AJ50" i="64"/>
  <c r="AK50" i="64"/>
  <c r="AL50" i="64"/>
  <c r="AM50" i="64"/>
  <c r="AN50" i="64"/>
  <c r="AO50" i="64"/>
  <c r="AP50" i="64"/>
  <c r="AQ50" i="64"/>
  <c r="AR50" i="64"/>
  <c r="AT50" i="64"/>
  <c r="AU50" i="64"/>
  <c r="AV50" i="64"/>
  <c r="AW50" i="64"/>
  <c r="AX50" i="64"/>
  <c r="AY50" i="64"/>
  <c r="AZ50" i="64"/>
  <c r="BA50" i="64"/>
  <c r="BB50" i="64"/>
  <c r="BC50" i="64"/>
  <c r="BD50" i="64"/>
  <c r="BE50" i="64"/>
  <c r="BF50" i="64"/>
  <c r="C51" i="64"/>
  <c r="D51" i="64"/>
  <c r="E51" i="64"/>
  <c r="F51" i="64"/>
  <c r="G51" i="64"/>
  <c r="H51" i="64"/>
  <c r="I51" i="64"/>
  <c r="J51" i="64"/>
  <c r="K51" i="64"/>
  <c r="L51" i="64"/>
  <c r="M51" i="64"/>
  <c r="N51" i="64"/>
  <c r="O51" i="64"/>
  <c r="Q51" i="64"/>
  <c r="R51" i="64"/>
  <c r="S51" i="64"/>
  <c r="T51" i="64"/>
  <c r="U51" i="64"/>
  <c r="V51" i="64"/>
  <c r="W51" i="64"/>
  <c r="X51" i="64"/>
  <c r="Y51" i="64"/>
  <c r="Z51" i="64"/>
  <c r="AA51" i="64"/>
  <c r="AB51" i="64"/>
  <c r="AC51" i="64"/>
  <c r="AD51" i="64"/>
  <c r="AE51" i="64"/>
  <c r="AF51" i="64"/>
  <c r="AG51" i="64"/>
  <c r="AH51" i="64"/>
  <c r="AI51" i="64"/>
  <c r="AJ51" i="64"/>
  <c r="AK51" i="64"/>
  <c r="AL51" i="64"/>
  <c r="AM51" i="64"/>
  <c r="AN51" i="64"/>
  <c r="AO51" i="64"/>
  <c r="AP51" i="64"/>
  <c r="AQ51" i="64"/>
  <c r="AR51" i="64"/>
  <c r="AT51" i="64"/>
  <c r="AU51" i="64"/>
  <c r="AV51" i="64"/>
  <c r="AW51" i="64"/>
  <c r="AX51" i="64"/>
  <c r="AY51" i="64"/>
  <c r="AZ51" i="64"/>
  <c r="BA51" i="64"/>
  <c r="BB51" i="64"/>
  <c r="BC51" i="64"/>
  <c r="BD51" i="64"/>
  <c r="BE51" i="64"/>
  <c r="BF51" i="64"/>
  <c r="C52" i="64"/>
  <c r="D52" i="64"/>
  <c r="E52" i="64"/>
  <c r="F52" i="64"/>
  <c r="G52" i="64"/>
  <c r="H52" i="64"/>
  <c r="I52" i="64"/>
  <c r="J52" i="64"/>
  <c r="K52" i="64"/>
  <c r="L52" i="64"/>
  <c r="M52" i="64"/>
  <c r="N52" i="64"/>
  <c r="O52" i="64"/>
  <c r="Q52" i="64"/>
  <c r="R52" i="64"/>
  <c r="S52" i="64"/>
  <c r="T52" i="64"/>
  <c r="U52" i="64"/>
  <c r="V52" i="64"/>
  <c r="W52" i="64"/>
  <c r="X52" i="64"/>
  <c r="Y52" i="64"/>
  <c r="Z52" i="64"/>
  <c r="AA52" i="64"/>
  <c r="AB52" i="64"/>
  <c r="AC52" i="64"/>
  <c r="AD52" i="64"/>
  <c r="AE52" i="64"/>
  <c r="AF52" i="64"/>
  <c r="AG52" i="64"/>
  <c r="AH52" i="64"/>
  <c r="AI52" i="64"/>
  <c r="AJ52" i="64"/>
  <c r="AK52" i="64"/>
  <c r="AL52" i="64"/>
  <c r="AM52" i="64"/>
  <c r="AN52" i="64"/>
  <c r="AO52" i="64"/>
  <c r="AP52" i="64"/>
  <c r="AQ52" i="64"/>
  <c r="AR52" i="64"/>
  <c r="AT52" i="64"/>
  <c r="AU52" i="64"/>
  <c r="AV52" i="64"/>
  <c r="AW52" i="64"/>
  <c r="AX52" i="64"/>
  <c r="AY52" i="64"/>
  <c r="AZ52" i="64"/>
  <c r="BA52" i="64"/>
  <c r="BB52" i="64"/>
  <c r="BC52" i="64"/>
  <c r="BD52" i="64"/>
  <c r="BE52" i="64"/>
  <c r="BF52" i="64"/>
  <c r="C53" i="64"/>
  <c r="D53" i="64"/>
  <c r="E53" i="64"/>
  <c r="F53" i="64"/>
  <c r="G53" i="64"/>
  <c r="H53" i="64"/>
  <c r="I53" i="64"/>
  <c r="J53" i="64"/>
  <c r="K53" i="64"/>
  <c r="L53" i="64"/>
  <c r="M53" i="64"/>
  <c r="N53" i="64"/>
  <c r="O53" i="64"/>
  <c r="Q53" i="64"/>
  <c r="R53" i="64"/>
  <c r="S53" i="64"/>
  <c r="T53" i="64"/>
  <c r="U53" i="64"/>
  <c r="V53" i="64"/>
  <c r="W53" i="64"/>
  <c r="X53" i="64"/>
  <c r="Y53" i="64"/>
  <c r="Z53" i="64"/>
  <c r="AA53" i="64"/>
  <c r="AB53" i="64"/>
  <c r="AC53" i="64"/>
  <c r="AD53" i="64"/>
  <c r="AE53" i="64"/>
  <c r="AF53" i="64"/>
  <c r="AG53" i="64"/>
  <c r="AH53" i="64"/>
  <c r="AI53" i="64"/>
  <c r="AJ53" i="64"/>
  <c r="AK53" i="64"/>
  <c r="AL53" i="64"/>
  <c r="AM53" i="64"/>
  <c r="AN53" i="64"/>
  <c r="AO53" i="64"/>
  <c r="AP53" i="64"/>
  <c r="AQ53" i="64"/>
  <c r="AR53" i="64"/>
  <c r="AT53" i="64"/>
  <c r="AU53" i="64"/>
  <c r="AV53" i="64"/>
  <c r="AW53" i="64"/>
  <c r="AX53" i="64"/>
  <c r="AY53" i="64"/>
  <c r="AZ53" i="64"/>
  <c r="BA53" i="64"/>
  <c r="BB53" i="64"/>
  <c r="BC53" i="64"/>
  <c r="BD53" i="64"/>
  <c r="BE53" i="64"/>
  <c r="BF53" i="64"/>
  <c r="C54" i="64"/>
  <c r="D54" i="64"/>
  <c r="E54" i="64"/>
  <c r="F54" i="64"/>
  <c r="G54" i="64"/>
  <c r="H54" i="64"/>
  <c r="I54" i="64"/>
  <c r="J54" i="64"/>
  <c r="K54" i="64"/>
  <c r="L54" i="64"/>
  <c r="M54" i="64"/>
  <c r="N54" i="64"/>
  <c r="O54" i="64"/>
  <c r="Q54" i="64"/>
  <c r="R54" i="64"/>
  <c r="S54" i="64"/>
  <c r="T54" i="64"/>
  <c r="U54" i="64"/>
  <c r="V54" i="64"/>
  <c r="W54" i="64"/>
  <c r="X54" i="64"/>
  <c r="Y54" i="64"/>
  <c r="Z54" i="64"/>
  <c r="AA54" i="64"/>
  <c r="AB54" i="64"/>
  <c r="AC54" i="64"/>
  <c r="AD54" i="64"/>
  <c r="AE54" i="64"/>
  <c r="AF54" i="64"/>
  <c r="AG54" i="64"/>
  <c r="AH54" i="64"/>
  <c r="AI54" i="64"/>
  <c r="AJ54" i="64"/>
  <c r="AK54" i="64"/>
  <c r="AL54" i="64"/>
  <c r="AM54" i="64"/>
  <c r="AN54" i="64"/>
  <c r="AO54" i="64"/>
  <c r="AP54" i="64"/>
  <c r="AQ54" i="64"/>
  <c r="AR54" i="64"/>
  <c r="AS54" i="64"/>
  <c r="AT54" i="64"/>
  <c r="AU54" i="64"/>
  <c r="AV54" i="64"/>
  <c r="AW54" i="64"/>
  <c r="AX54" i="64"/>
  <c r="AY54" i="64"/>
  <c r="AZ54" i="64"/>
  <c r="BA54" i="64"/>
  <c r="BB54" i="64"/>
  <c r="BC54" i="64"/>
  <c r="BD54" i="64"/>
  <c r="BE54" i="64"/>
  <c r="BF54" i="64"/>
  <c r="C55" i="64"/>
  <c r="D55" i="64"/>
  <c r="E55" i="64"/>
  <c r="F55" i="64"/>
  <c r="G55" i="64"/>
  <c r="H55" i="64"/>
  <c r="I55" i="64"/>
  <c r="J55" i="64"/>
  <c r="K55" i="64"/>
  <c r="L55" i="64"/>
  <c r="M55" i="64"/>
  <c r="N55" i="64"/>
  <c r="O55" i="64"/>
  <c r="Q55" i="64"/>
  <c r="R55" i="64"/>
  <c r="S55" i="64"/>
  <c r="T55" i="64"/>
  <c r="U55" i="64"/>
  <c r="V55" i="64"/>
  <c r="W55" i="64"/>
  <c r="X55" i="64"/>
  <c r="Y55" i="64"/>
  <c r="Z55" i="64"/>
  <c r="AA55" i="64"/>
  <c r="AB55" i="64"/>
  <c r="AC55" i="64"/>
  <c r="AD55" i="64"/>
  <c r="AE55" i="64"/>
  <c r="AF55" i="64"/>
  <c r="AG55" i="64"/>
  <c r="AH55" i="64"/>
  <c r="AI55" i="64"/>
  <c r="AJ55" i="64"/>
  <c r="AK55" i="64"/>
  <c r="AL55" i="64"/>
  <c r="AM55" i="64"/>
  <c r="AN55" i="64"/>
  <c r="AO55" i="64"/>
  <c r="AP55" i="64"/>
  <c r="AQ55" i="64"/>
  <c r="AR55" i="64"/>
  <c r="AS55" i="64"/>
  <c r="AT55" i="64"/>
  <c r="AU55" i="64"/>
  <c r="AV55" i="64"/>
  <c r="AW55" i="64"/>
  <c r="AX55" i="64"/>
  <c r="AY55" i="64"/>
  <c r="AZ55" i="64"/>
  <c r="BA55" i="64"/>
  <c r="BB55" i="64"/>
  <c r="BC55" i="64"/>
  <c r="BD55" i="64"/>
  <c r="BE55" i="64"/>
  <c r="BF55" i="64"/>
  <c r="C56" i="64"/>
  <c r="D56" i="64"/>
  <c r="E56" i="64"/>
  <c r="F56" i="64"/>
  <c r="G56" i="64"/>
  <c r="H56" i="64"/>
  <c r="I56" i="64"/>
  <c r="J56" i="64"/>
  <c r="K56" i="64"/>
  <c r="L56" i="64"/>
  <c r="M56" i="64"/>
  <c r="N56" i="64"/>
  <c r="O56" i="64"/>
  <c r="P56" i="64"/>
  <c r="Q56" i="64"/>
  <c r="R56" i="64"/>
  <c r="S56" i="64"/>
  <c r="T56" i="64"/>
  <c r="U56" i="64"/>
  <c r="V56" i="64"/>
  <c r="W56" i="64"/>
  <c r="X56" i="64"/>
  <c r="Y56" i="64"/>
  <c r="Z56" i="64"/>
  <c r="AA56" i="64"/>
  <c r="AB56" i="64"/>
  <c r="AC56" i="64"/>
  <c r="AD56" i="64"/>
  <c r="AE56" i="64"/>
  <c r="AF56" i="64"/>
  <c r="AG56" i="64"/>
  <c r="AH56" i="64"/>
  <c r="AI56" i="64"/>
  <c r="AJ56" i="64"/>
  <c r="AK56" i="64"/>
  <c r="AL56" i="64"/>
  <c r="AM56" i="64"/>
  <c r="AN56" i="64"/>
  <c r="AO56" i="64"/>
  <c r="AP56" i="64"/>
  <c r="AQ56" i="64"/>
  <c r="AR56" i="64"/>
  <c r="AS56" i="64"/>
  <c r="AT56" i="64"/>
  <c r="AU56" i="64"/>
  <c r="AV56" i="64"/>
  <c r="AW56" i="64"/>
  <c r="AX56" i="64"/>
  <c r="AY56" i="64"/>
  <c r="AZ56" i="64"/>
  <c r="BA56" i="64"/>
  <c r="BB56" i="64"/>
  <c r="BC56" i="64"/>
  <c r="BD56" i="64"/>
  <c r="BE56" i="64"/>
  <c r="BF56" i="64"/>
  <c r="C57" i="64"/>
  <c r="D57" i="64"/>
  <c r="E57" i="64"/>
  <c r="F57" i="64"/>
  <c r="G57" i="64"/>
  <c r="H57" i="64"/>
  <c r="I57" i="64"/>
  <c r="J57" i="64"/>
  <c r="K57" i="64"/>
  <c r="L57" i="64"/>
  <c r="M57" i="64"/>
  <c r="N57" i="64"/>
  <c r="O57" i="64"/>
  <c r="P57" i="64"/>
  <c r="Q57" i="64"/>
  <c r="R57" i="64"/>
  <c r="S57" i="64"/>
  <c r="T57" i="64"/>
  <c r="U57" i="64"/>
  <c r="V57" i="64"/>
  <c r="W57" i="64"/>
  <c r="X57" i="64"/>
  <c r="Y57" i="64"/>
  <c r="Z57" i="64"/>
  <c r="AA57" i="64"/>
  <c r="AB57" i="64"/>
  <c r="AC57" i="64"/>
  <c r="AD57" i="64"/>
  <c r="AE57" i="64"/>
  <c r="AF57" i="64"/>
  <c r="AG57" i="64"/>
  <c r="AH57" i="64"/>
  <c r="AI57" i="64"/>
  <c r="AJ57" i="64"/>
  <c r="AK57" i="64"/>
  <c r="AL57" i="64"/>
  <c r="AM57" i="64"/>
  <c r="AN57" i="64"/>
  <c r="AO57" i="64"/>
  <c r="AP57" i="64"/>
  <c r="AQ57" i="64"/>
  <c r="AR57" i="64"/>
  <c r="AS57" i="64"/>
  <c r="AT57" i="64"/>
  <c r="AU57" i="64"/>
  <c r="AV57" i="64"/>
  <c r="AW57" i="64"/>
  <c r="AX57" i="64"/>
  <c r="AY57" i="64"/>
  <c r="AZ57" i="64"/>
  <c r="BA57" i="64"/>
  <c r="BB57" i="64"/>
  <c r="BC57" i="64"/>
  <c r="BD57" i="64"/>
  <c r="BE57" i="64"/>
  <c r="BF57" i="64"/>
  <c r="C58" i="64"/>
  <c r="D58" i="64"/>
  <c r="E58" i="64"/>
  <c r="F58" i="64"/>
  <c r="G58" i="64"/>
  <c r="H58" i="64"/>
  <c r="I58" i="64"/>
  <c r="J58" i="64"/>
  <c r="K58" i="64"/>
  <c r="L58" i="64"/>
  <c r="M58" i="64"/>
  <c r="N58" i="64"/>
  <c r="O58" i="64"/>
  <c r="P58" i="64"/>
  <c r="Q58" i="64"/>
  <c r="R58" i="64"/>
  <c r="S58" i="64"/>
  <c r="T58" i="64"/>
  <c r="U58" i="64"/>
  <c r="V58" i="64"/>
  <c r="W58" i="64"/>
  <c r="X58" i="64"/>
  <c r="Y58" i="64"/>
  <c r="Z58" i="64"/>
  <c r="AA58" i="64"/>
  <c r="AB58" i="64"/>
  <c r="AC58" i="64"/>
  <c r="AD58" i="64"/>
  <c r="AE58" i="64"/>
  <c r="AF58" i="64"/>
  <c r="AG58" i="64"/>
  <c r="AH58" i="64"/>
  <c r="AI58" i="64"/>
  <c r="AJ58" i="64"/>
  <c r="AK58" i="64"/>
  <c r="AL58" i="64"/>
  <c r="AM58" i="64"/>
  <c r="AN58" i="64"/>
  <c r="AO58" i="64"/>
  <c r="AP58" i="64"/>
  <c r="AQ58" i="64"/>
  <c r="AR58" i="64"/>
  <c r="AS58" i="64"/>
  <c r="AT58" i="64"/>
  <c r="AU58" i="64"/>
  <c r="AV58" i="64"/>
  <c r="AW58" i="64"/>
  <c r="AX58" i="64"/>
  <c r="AY58" i="64"/>
  <c r="AZ58" i="64"/>
  <c r="BA58" i="64"/>
  <c r="BB58" i="64"/>
  <c r="BC58" i="64"/>
  <c r="BD58" i="64"/>
  <c r="BE58" i="64"/>
  <c r="BF58" i="64"/>
  <c r="C59" i="64"/>
  <c r="D59" i="64"/>
  <c r="E59" i="64"/>
  <c r="F59" i="64"/>
  <c r="G59" i="64"/>
  <c r="H59" i="64"/>
  <c r="I59" i="64"/>
  <c r="J59" i="64"/>
  <c r="K59" i="64"/>
  <c r="L59" i="64"/>
  <c r="M59" i="64"/>
  <c r="N59" i="64"/>
  <c r="O59" i="64"/>
  <c r="P59" i="64"/>
  <c r="Q59" i="64"/>
  <c r="R59" i="64"/>
  <c r="S59" i="64"/>
  <c r="T59" i="64"/>
  <c r="U59" i="64"/>
  <c r="V59" i="64"/>
  <c r="W59" i="64"/>
  <c r="X59" i="64"/>
  <c r="Y59" i="64"/>
  <c r="Z59" i="64"/>
  <c r="AA59" i="64"/>
  <c r="AB59" i="64"/>
  <c r="AC59" i="64"/>
  <c r="AD59" i="64"/>
  <c r="AE59" i="64"/>
  <c r="AF59" i="64"/>
  <c r="AG59" i="64"/>
  <c r="AH59" i="64"/>
  <c r="AI59" i="64"/>
  <c r="AJ59" i="64"/>
  <c r="AK59" i="64"/>
  <c r="AL59" i="64"/>
  <c r="AM59" i="64"/>
  <c r="AN59" i="64"/>
  <c r="AO59" i="64"/>
  <c r="AP59" i="64"/>
  <c r="AQ59" i="64"/>
  <c r="AR59" i="64"/>
  <c r="AS59" i="64"/>
  <c r="AT59" i="64"/>
  <c r="AU59" i="64"/>
  <c r="AV59" i="64"/>
  <c r="AW59" i="64"/>
  <c r="AX59" i="64"/>
  <c r="AY59" i="64"/>
  <c r="AZ59" i="64"/>
  <c r="BA59" i="64"/>
  <c r="BB59" i="64"/>
  <c r="BC59" i="64"/>
  <c r="BD59" i="64"/>
  <c r="BE59" i="64"/>
  <c r="BF59" i="64"/>
  <c r="C60" i="64"/>
  <c r="D60" i="64"/>
  <c r="E60" i="64"/>
  <c r="F60" i="64"/>
  <c r="G60" i="64"/>
  <c r="H60" i="64"/>
  <c r="I60" i="64"/>
  <c r="J60" i="64"/>
  <c r="K60" i="64"/>
  <c r="L60" i="64"/>
  <c r="M60" i="64"/>
  <c r="N60" i="64"/>
  <c r="O60" i="64"/>
  <c r="P60" i="64"/>
  <c r="Q60" i="64"/>
  <c r="R60" i="64"/>
  <c r="S60" i="64"/>
  <c r="T60" i="64"/>
  <c r="U60" i="64"/>
  <c r="V60" i="64"/>
  <c r="W60" i="64"/>
  <c r="X60" i="64"/>
  <c r="Y60" i="64"/>
  <c r="Z60" i="64"/>
  <c r="AA60" i="64"/>
  <c r="AB60" i="64"/>
  <c r="AC60" i="64"/>
  <c r="AD60" i="64"/>
  <c r="AE60" i="64"/>
  <c r="AF60" i="64"/>
  <c r="AG60" i="64"/>
  <c r="AH60" i="64"/>
  <c r="AI60" i="64"/>
  <c r="AJ60" i="64"/>
  <c r="AK60" i="64"/>
  <c r="AL60" i="64"/>
  <c r="AM60" i="64"/>
  <c r="AN60" i="64"/>
  <c r="AO60" i="64"/>
  <c r="AP60" i="64"/>
  <c r="AQ60" i="64"/>
  <c r="AR60" i="64"/>
  <c r="AS60" i="64"/>
  <c r="AT60" i="64"/>
  <c r="AU60" i="64"/>
  <c r="AV60" i="64"/>
  <c r="AW60" i="64"/>
  <c r="AX60" i="64"/>
  <c r="AY60" i="64"/>
  <c r="AZ60" i="64"/>
  <c r="BA60" i="64"/>
  <c r="BB60" i="64"/>
  <c r="BC60" i="64"/>
  <c r="BD60" i="64"/>
  <c r="BE60" i="64"/>
  <c r="BF60" i="64"/>
  <c r="C61" i="64"/>
  <c r="D61" i="64"/>
  <c r="E61" i="64"/>
  <c r="F61" i="64"/>
  <c r="G61" i="64"/>
  <c r="H61" i="64"/>
  <c r="I61" i="64"/>
  <c r="J61" i="64"/>
  <c r="K61" i="64"/>
  <c r="L61" i="64"/>
  <c r="M61" i="64"/>
  <c r="N61" i="64"/>
  <c r="O61" i="64"/>
  <c r="P61" i="64"/>
  <c r="Q61" i="64"/>
  <c r="R61" i="64"/>
  <c r="S61" i="64"/>
  <c r="T61" i="64"/>
  <c r="U61" i="64"/>
  <c r="V61" i="64"/>
  <c r="W61" i="64"/>
  <c r="X61" i="64"/>
  <c r="Y61" i="64"/>
  <c r="Z61" i="64"/>
  <c r="AA61" i="64"/>
  <c r="AB61" i="64"/>
  <c r="AC61" i="64"/>
  <c r="AD61" i="64"/>
  <c r="AE61" i="64"/>
  <c r="AF61" i="64"/>
  <c r="AG61" i="64"/>
  <c r="AH61" i="64"/>
  <c r="AI61" i="64"/>
  <c r="AJ61" i="64"/>
  <c r="AK61" i="64"/>
  <c r="AL61" i="64"/>
  <c r="AM61" i="64"/>
  <c r="AN61" i="64"/>
  <c r="AO61" i="64"/>
  <c r="AP61" i="64"/>
  <c r="AQ61" i="64"/>
  <c r="AR61" i="64"/>
  <c r="AS61" i="64"/>
  <c r="AT61" i="64"/>
  <c r="AU61" i="64"/>
  <c r="AV61" i="64"/>
  <c r="AW61" i="64"/>
  <c r="AX61" i="64"/>
  <c r="AY61" i="64"/>
  <c r="AZ61" i="64"/>
  <c r="BA61" i="64"/>
  <c r="BB61" i="64"/>
  <c r="BC61" i="64"/>
  <c r="BD61" i="64"/>
  <c r="BE61" i="64"/>
  <c r="BF61" i="64"/>
  <c r="C62" i="64"/>
  <c r="D62" i="64"/>
  <c r="E62" i="64"/>
  <c r="F62" i="64"/>
  <c r="G62" i="64"/>
  <c r="H62" i="64"/>
  <c r="I62" i="64"/>
  <c r="J62" i="64"/>
  <c r="K62" i="64"/>
  <c r="L62" i="64"/>
  <c r="M62" i="64"/>
  <c r="N62" i="64"/>
  <c r="O62" i="64"/>
  <c r="P62" i="64"/>
  <c r="Q62" i="64"/>
  <c r="R62" i="64"/>
  <c r="S62" i="64"/>
  <c r="T62" i="64"/>
  <c r="U62" i="64"/>
  <c r="V62" i="64"/>
  <c r="W62" i="64"/>
  <c r="X62" i="64"/>
  <c r="Y62" i="64"/>
  <c r="Z62" i="64"/>
  <c r="AA62" i="64"/>
  <c r="AB62" i="64"/>
  <c r="AC62" i="64"/>
  <c r="AD62" i="64"/>
  <c r="AE62" i="64"/>
  <c r="AF62" i="64"/>
  <c r="AG62" i="64"/>
  <c r="AH62" i="64"/>
  <c r="AI62" i="64"/>
  <c r="AJ62" i="64"/>
  <c r="AK62" i="64"/>
  <c r="AL62" i="64"/>
  <c r="AM62" i="64"/>
  <c r="AN62" i="64"/>
  <c r="AO62" i="64"/>
  <c r="AP62" i="64"/>
  <c r="AQ62" i="64"/>
  <c r="AR62" i="64"/>
  <c r="AS62" i="64"/>
  <c r="AT62" i="64"/>
  <c r="AU62" i="64"/>
  <c r="AV62" i="64"/>
  <c r="AW62" i="64"/>
  <c r="AX62" i="64"/>
  <c r="AY62" i="64"/>
  <c r="AZ62" i="64"/>
  <c r="BA62" i="64"/>
  <c r="BB62" i="64"/>
  <c r="BC62" i="64"/>
  <c r="BD62" i="64"/>
  <c r="BE62" i="64"/>
  <c r="BF62" i="64"/>
  <c r="C63" i="64"/>
  <c r="D63" i="64"/>
  <c r="E63" i="64"/>
  <c r="F63" i="64"/>
  <c r="G63" i="64"/>
  <c r="H63" i="64"/>
  <c r="I63" i="64"/>
  <c r="J63" i="64"/>
  <c r="K63" i="64"/>
  <c r="L63" i="64"/>
  <c r="M63" i="64"/>
  <c r="N63" i="64"/>
  <c r="O63" i="64"/>
  <c r="P63" i="64"/>
  <c r="Q63" i="64"/>
  <c r="R63" i="64"/>
  <c r="S63" i="64"/>
  <c r="T63" i="64"/>
  <c r="U63" i="64"/>
  <c r="V63" i="64"/>
  <c r="W63" i="64"/>
  <c r="X63" i="64"/>
  <c r="Y63" i="64"/>
  <c r="Z63" i="64"/>
  <c r="AA63" i="64"/>
  <c r="AB63" i="64"/>
  <c r="AC63" i="64"/>
  <c r="AD63" i="64"/>
  <c r="AE63" i="64"/>
  <c r="AF63" i="64"/>
  <c r="AG63" i="64"/>
  <c r="AH63" i="64"/>
  <c r="AI63" i="64"/>
  <c r="AJ63" i="64"/>
  <c r="AK63" i="64"/>
  <c r="AL63" i="64"/>
  <c r="AM63" i="64"/>
  <c r="AN63" i="64"/>
  <c r="AO63" i="64"/>
  <c r="AP63" i="64"/>
  <c r="AQ63" i="64"/>
  <c r="AR63" i="64"/>
  <c r="AS63" i="64"/>
  <c r="AT63" i="64"/>
  <c r="AU63" i="64"/>
  <c r="AV63" i="64"/>
  <c r="AW63" i="64"/>
  <c r="AX63" i="64"/>
  <c r="AY63" i="64"/>
  <c r="AZ63" i="64"/>
  <c r="BA63" i="64"/>
  <c r="BB63" i="64"/>
  <c r="BC63" i="64"/>
  <c r="BD63" i="64"/>
  <c r="BE63" i="64"/>
  <c r="BF63" i="64"/>
  <c r="C64" i="64"/>
  <c r="D64" i="64"/>
  <c r="E64" i="64"/>
  <c r="F64" i="64"/>
  <c r="G64" i="64"/>
  <c r="H64" i="64"/>
  <c r="I64" i="64"/>
  <c r="J64" i="64"/>
  <c r="K64" i="64"/>
  <c r="L64" i="64"/>
  <c r="M64" i="64"/>
  <c r="N64" i="64"/>
  <c r="O64" i="64"/>
  <c r="P64" i="64"/>
  <c r="Q64" i="64"/>
  <c r="R64" i="64"/>
  <c r="S64" i="64"/>
  <c r="T64" i="64"/>
  <c r="U64" i="64"/>
  <c r="V64" i="64"/>
  <c r="W64" i="64"/>
  <c r="X64" i="64"/>
  <c r="Y64" i="64"/>
  <c r="Z64" i="64"/>
  <c r="AA64" i="64"/>
  <c r="AB64" i="64"/>
  <c r="AC64" i="64"/>
  <c r="AD64" i="64"/>
  <c r="AE64" i="64"/>
  <c r="AF64" i="64"/>
  <c r="AG64" i="64"/>
  <c r="AH64" i="64"/>
  <c r="AI64" i="64"/>
  <c r="AJ64" i="64"/>
  <c r="AK64" i="64"/>
  <c r="AL64" i="64"/>
  <c r="AM64" i="64"/>
  <c r="AN64" i="64"/>
  <c r="AO64" i="64"/>
  <c r="AP64" i="64"/>
  <c r="AQ64" i="64"/>
  <c r="AR64" i="64"/>
  <c r="AS64" i="64"/>
  <c r="AT64" i="64"/>
  <c r="AU64" i="64"/>
  <c r="AV64" i="64"/>
  <c r="AW64" i="64"/>
  <c r="AX64" i="64"/>
  <c r="AY64" i="64"/>
  <c r="AZ64" i="64"/>
  <c r="BA64" i="64"/>
  <c r="BB64" i="64"/>
  <c r="BC64" i="64"/>
  <c r="BD64" i="64"/>
  <c r="BE64" i="64"/>
  <c r="BF64" i="64"/>
  <c r="C65" i="64"/>
  <c r="D65" i="64"/>
  <c r="E65" i="64"/>
  <c r="F65" i="64"/>
  <c r="G65" i="64"/>
  <c r="H65" i="64"/>
  <c r="I65" i="64"/>
  <c r="J65" i="64"/>
  <c r="K65" i="64"/>
  <c r="L65" i="64"/>
  <c r="M65" i="64"/>
  <c r="N65" i="64"/>
  <c r="O65" i="64"/>
  <c r="P65" i="64"/>
  <c r="Q65" i="64"/>
  <c r="R65" i="64"/>
  <c r="S65" i="64"/>
  <c r="T65" i="64"/>
  <c r="U65" i="64"/>
  <c r="V65" i="64"/>
  <c r="W65" i="64"/>
  <c r="X65" i="64"/>
  <c r="Y65" i="64"/>
  <c r="Z65" i="64"/>
  <c r="AA65" i="64"/>
  <c r="AB65" i="64"/>
  <c r="AC65" i="64"/>
  <c r="AD65" i="64"/>
  <c r="AE65" i="64"/>
  <c r="AF65" i="64"/>
  <c r="AG65" i="64"/>
  <c r="AH65" i="64"/>
  <c r="AI65" i="64"/>
  <c r="AJ65" i="64"/>
  <c r="AK65" i="64"/>
  <c r="AL65" i="64"/>
  <c r="AM65" i="64"/>
  <c r="AN65" i="64"/>
  <c r="AO65" i="64"/>
  <c r="AP65" i="64"/>
  <c r="AQ65" i="64"/>
  <c r="AR65" i="64"/>
  <c r="AS65" i="64"/>
  <c r="AT65" i="64"/>
  <c r="AU65" i="64"/>
  <c r="AV65" i="64"/>
  <c r="AW65" i="64"/>
  <c r="AX65" i="64"/>
  <c r="AY65" i="64"/>
  <c r="AZ65" i="64"/>
  <c r="BA65" i="64"/>
  <c r="BB65" i="64"/>
  <c r="BC65" i="64"/>
  <c r="BD65" i="64"/>
  <c r="BE65" i="64"/>
  <c r="BF65" i="64"/>
  <c r="C66" i="64"/>
  <c r="D66" i="64"/>
  <c r="E66" i="64"/>
  <c r="F66" i="64"/>
  <c r="G66" i="64"/>
  <c r="H66" i="64"/>
  <c r="I66" i="64"/>
  <c r="J66" i="64"/>
  <c r="K66" i="64"/>
  <c r="L66" i="64"/>
  <c r="M66" i="64"/>
  <c r="N66" i="64"/>
  <c r="O66" i="64"/>
  <c r="P66" i="64"/>
  <c r="Q66" i="64"/>
  <c r="R66" i="64"/>
  <c r="S66" i="64"/>
  <c r="T66" i="64"/>
  <c r="U66" i="64"/>
  <c r="V66" i="64"/>
  <c r="W66" i="64"/>
  <c r="X66" i="64"/>
  <c r="Y66" i="64"/>
  <c r="Z66" i="64"/>
  <c r="AA66" i="64"/>
  <c r="AB66" i="64"/>
  <c r="AC66" i="64"/>
  <c r="AD66" i="64"/>
  <c r="AE66" i="64"/>
  <c r="AF66" i="64"/>
  <c r="AG66" i="64"/>
  <c r="AH66" i="64"/>
  <c r="AI66" i="64"/>
  <c r="AJ66" i="64"/>
  <c r="AK66" i="64"/>
  <c r="AL66" i="64"/>
  <c r="AM66" i="64"/>
  <c r="AN66" i="64"/>
  <c r="AO66" i="64"/>
  <c r="AP66" i="64"/>
  <c r="AQ66" i="64"/>
  <c r="AR66" i="64"/>
  <c r="AS66" i="64"/>
  <c r="AT66" i="64"/>
  <c r="AU66" i="64"/>
  <c r="AV66" i="64"/>
  <c r="AW66" i="64"/>
  <c r="AX66" i="64"/>
  <c r="AY66" i="64"/>
  <c r="AZ66" i="64"/>
  <c r="BA66" i="64"/>
  <c r="BB66" i="64"/>
  <c r="BC66" i="64"/>
  <c r="BD66" i="64"/>
  <c r="BE66" i="64"/>
  <c r="BF66" i="64"/>
  <c r="C67" i="64"/>
  <c r="D67" i="64"/>
  <c r="E67" i="64"/>
  <c r="F67" i="64"/>
  <c r="G67" i="64"/>
  <c r="H67" i="64"/>
  <c r="I67" i="64"/>
  <c r="J67" i="64"/>
  <c r="K67" i="64"/>
  <c r="L67" i="64"/>
  <c r="M67" i="64"/>
  <c r="N67" i="64"/>
  <c r="O67" i="64"/>
  <c r="P67" i="64"/>
  <c r="Q67" i="64"/>
  <c r="R67" i="64"/>
  <c r="S67" i="64"/>
  <c r="T67" i="64"/>
  <c r="U67" i="64"/>
  <c r="V67" i="64"/>
  <c r="W67" i="64"/>
  <c r="X67" i="64"/>
  <c r="Y67" i="64"/>
  <c r="Z67" i="64"/>
  <c r="AA67" i="64"/>
  <c r="AB67" i="64"/>
  <c r="AC67" i="64"/>
  <c r="AD67" i="64"/>
  <c r="AE67" i="64"/>
  <c r="AF67" i="64"/>
  <c r="AG67" i="64"/>
  <c r="AH67" i="64"/>
  <c r="AI67" i="64"/>
  <c r="AJ67" i="64"/>
  <c r="AK67" i="64"/>
  <c r="AL67" i="64"/>
  <c r="AM67" i="64"/>
  <c r="AN67" i="64"/>
  <c r="AO67" i="64"/>
  <c r="AP67" i="64"/>
  <c r="AQ67" i="64"/>
  <c r="AR67" i="64"/>
  <c r="AS67" i="64"/>
  <c r="AT67" i="64"/>
  <c r="AU67" i="64"/>
  <c r="AV67" i="64"/>
  <c r="AW67" i="64"/>
  <c r="AX67" i="64"/>
  <c r="AY67" i="64"/>
  <c r="AZ67" i="64"/>
  <c r="BA67" i="64"/>
  <c r="BB67" i="64"/>
  <c r="BC67" i="64"/>
  <c r="BD67" i="64"/>
  <c r="BE67" i="64"/>
  <c r="BF67" i="64"/>
  <c r="C68" i="64"/>
  <c r="D68" i="64"/>
  <c r="E68" i="64"/>
  <c r="F68" i="64"/>
  <c r="G68" i="64"/>
  <c r="H68" i="64"/>
  <c r="I68" i="64"/>
  <c r="J68" i="64"/>
  <c r="K68" i="64"/>
  <c r="L68" i="64"/>
  <c r="M68" i="64"/>
  <c r="N68" i="64"/>
  <c r="O68" i="64"/>
  <c r="P68" i="64"/>
  <c r="Q68" i="64"/>
  <c r="R68" i="64"/>
  <c r="S68" i="64"/>
  <c r="T68" i="64"/>
  <c r="U68" i="64"/>
  <c r="V68" i="64"/>
  <c r="W68" i="64"/>
  <c r="X68" i="64"/>
  <c r="Y68" i="64"/>
  <c r="Z68" i="64"/>
  <c r="AA68" i="64"/>
  <c r="AB68" i="64"/>
  <c r="AC68" i="64"/>
  <c r="AD68" i="64"/>
  <c r="AE68" i="64"/>
  <c r="AF68" i="64"/>
  <c r="AG68" i="64"/>
  <c r="AH68" i="64"/>
  <c r="AI68" i="64"/>
  <c r="AJ68" i="64"/>
  <c r="AK68" i="64"/>
  <c r="AL68" i="64"/>
  <c r="AM68" i="64"/>
  <c r="AN68" i="64"/>
  <c r="AO68" i="64"/>
  <c r="AP68" i="64"/>
  <c r="AQ68" i="64"/>
  <c r="AR68" i="64"/>
  <c r="AS68" i="64"/>
  <c r="AT68" i="64"/>
  <c r="AU68" i="64"/>
  <c r="AV68" i="64"/>
  <c r="AW68" i="64"/>
  <c r="AX68" i="64"/>
  <c r="AY68" i="64"/>
  <c r="AZ68" i="64"/>
  <c r="BA68" i="64"/>
  <c r="BB68" i="64"/>
  <c r="BC68" i="64"/>
  <c r="BD68" i="64"/>
  <c r="BE68" i="64"/>
  <c r="BF68" i="64"/>
  <c r="C69" i="64"/>
  <c r="D69" i="64"/>
  <c r="E69" i="64"/>
  <c r="F69" i="64"/>
  <c r="G69" i="64"/>
  <c r="H69" i="64"/>
  <c r="I69" i="64"/>
  <c r="J69" i="64"/>
  <c r="K69" i="64"/>
  <c r="L69" i="64"/>
  <c r="M69" i="64"/>
  <c r="N69" i="64"/>
  <c r="O69" i="64"/>
  <c r="P69" i="64"/>
  <c r="Q69" i="64"/>
  <c r="R69" i="64"/>
  <c r="S69" i="64"/>
  <c r="T69" i="64"/>
  <c r="U69" i="64"/>
  <c r="V69" i="64"/>
  <c r="W69" i="64"/>
  <c r="X69" i="64"/>
  <c r="Y69" i="64"/>
  <c r="Z69" i="64"/>
  <c r="AA69" i="64"/>
  <c r="AB69" i="64"/>
  <c r="AC69" i="64"/>
  <c r="AD69" i="64"/>
  <c r="AE69" i="64"/>
  <c r="AF69" i="64"/>
  <c r="AG69" i="64"/>
  <c r="AH69" i="64"/>
  <c r="AI69" i="64"/>
  <c r="AJ69" i="64"/>
  <c r="AK69" i="64"/>
  <c r="AL69" i="64"/>
  <c r="AM69" i="64"/>
  <c r="AN69" i="64"/>
  <c r="AO69" i="64"/>
  <c r="AP69" i="64"/>
  <c r="AQ69" i="64"/>
  <c r="AR69" i="64"/>
  <c r="AS69" i="64"/>
  <c r="AT69" i="64"/>
  <c r="AU69" i="64"/>
  <c r="AV69" i="64"/>
  <c r="AW69" i="64"/>
  <c r="AX69" i="64"/>
  <c r="AY69" i="64"/>
  <c r="AZ69" i="64"/>
  <c r="BA69" i="64"/>
  <c r="BB69" i="64"/>
  <c r="BC69" i="64"/>
  <c r="BD69" i="64"/>
  <c r="BE69" i="64"/>
  <c r="BF69" i="64"/>
  <c r="C70" i="64"/>
  <c r="D70" i="64"/>
  <c r="E70" i="64"/>
  <c r="F70" i="64"/>
  <c r="G70" i="64"/>
  <c r="H70" i="64"/>
  <c r="I70" i="64"/>
  <c r="J70" i="64"/>
  <c r="K70" i="64"/>
  <c r="L70" i="64"/>
  <c r="M70" i="64"/>
  <c r="N70" i="64"/>
  <c r="O70" i="64"/>
  <c r="P70" i="64"/>
  <c r="Q70" i="64"/>
  <c r="R70" i="64"/>
  <c r="S70" i="64"/>
  <c r="T70" i="64"/>
  <c r="U70" i="64"/>
  <c r="V70" i="64"/>
  <c r="W70" i="64"/>
  <c r="X70" i="64"/>
  <c r="Y70" i="64"/>
  <c r="Z70" i="64"/>
  <c r="AA70" i="64"/>
  <c r="AB70" i="64"/>
  <c r="AC70" i="64"/>
  <c r="AD70" i="64"/>
  <c r="AE70" i="64"/>
  <c r="AF70" i="64"/>
  <c r="AG70" i="64"/>
  <c r="AH70" i="64"/>
  <c r="AI70" i="64"/>
  <c r="AJ70" i="64"/>
  <c r="AK70" i="64"/>
  <c r="AL70" i="64"/>
  <c r="AM70" i="64"/>
  <c r="AN70" i="64"/>
  <c r="AO70" i="64"/>
  <c r="AP70" i="64"/>
  <c r="AQ70" i="64"/>
  <c r="AR70" i="64"/>
  <c r="AS70" i="64"/>
  <c r="AT70" i="64"/>
  <c r="AU70" i="64"/>
  <c r="AV70" i="64"/>
  <c r="AW70" i="64"/>
  <c r="AX70" i="64"/>
  <c r="AY70" i="64"/>
  <c r="AZ70" i="64"/>
  <c r="BA70" i="64"/>
  <c r="BB70" i="64"/>
  <c r="BC70" i="64"/>
  <c r="BD70" i="64"/>
  <c r="BE70" i="64"/>
  <c r="BF70" i="64"/>
  <c r="C71" i="64"/>
  <c r="D71" i="64"/>
  <c r="E71" i="64"/>
  <c r="F71" i="64"/>
  <c r="G71" i="64"/>
  <c r="H71" i="64"/>
  <c r="I71" i="64"/>
  <c r="J71" i="64"/>
  <c r="K71" i="64"/>
  <c r="L71" i="64"/>
  <c r="M71" i="64"/>
  <c r="N71" i="64"/>
  <c r="O71" i="64"/>
  <c r="P71" i="64"/>
  <c r="Q71" i="64"/>
  <c r="R71" i="64"/>
  <c r="S71" i="64"/>
  <c r="T71" i="64"/>
  <c r="U71" i="64"/>
  <c r="V71" i="64"/>
  <c r="W71" i="64"/>
  <c r="X71" i="64"/>
  <c r="Y71" i="64"/>
  <c r="Z71" i="64"/>
  <c r="AA71" i="64"/>
  <c r="AB71" i="64"/>
  <c r="AC71" i="64"/>
  <c r="AD71" i="64"/>
  <c r="AE71" i="64"/>
  <c r="AF71" i="64"/>
  <c r="AG71" i="64"/>
  <c r="AH71" i="64"/>
  <c r="AI71" i="64"/>
  <c r="AJ71" i="64"/>
  <c r="AK71" i="64"/>
  <c r="AL71" i="64"/>
  <c r="AM71" i="64"/>
  <c r="AN71" i="64"/>
  <c r="AO71" i="64"/>
  <c r="AP71" i="64"/>
  <c r="AQ71" i="64"/>
  <c r="AR71" i="64"/>
  <c r="AS71" i="64"/>
  <c r="AT71" i="64"/>
  <c r="AU71" i="64"/>
  <c r="AV71" i="64"/>
  <c r="AW71" i="64"/>
  <c r="AX71" i="64"/>
  <c r="AY71" i="64"/>
  <c r="AZ71" i="64"/>
  <c r="BA71" i="64"/>
  <c r="BB71" i="64"/>
  <c r="BC71" i="64"/>
  <c r="BD71" i="64"/>
  <c r="BE71" i="64"/>
  <c r="BF71" i="64"/>
  <c r="C72" i="64"/>
  <c r="D72" i="64"/>
  <c r="E72" i="64"/>
  <c r="F72" i="64"/>
  <c r="G72" i="64"/>
  <c r="H72" i="64"/>
  <c r="I72" i="64"/>
  <c r="J72" i="64"/>
  <c r="K72" i="64"/>
  <c r="L72" i="64"/>
  <c r="M72" i="64"/>
  <c r="N72" i="64"/>
  <c r="O72" i="64"/>
  <c r="P72" i="64"/>
  <c r="Q72" i="64"/>
  <c r="R72" i="64"/>
  <c r="S72" i="64"/>
  <c r="T72" i="64"/>
  <c r="U72" i="64"/>
  <c r="V72" i="64"/>
  <c r="W72" i="64"/>
  <c r="X72" i="64"/>
  <c r="Y72" i="64"/>
  <c r="Z72" i="64"/>
  <c r="AA72" i="64"/>
  <c r="AB72" i="64"/>
  <c r="AC72" i="64"/>
  <c r="AD72" i="64"/>
  <c r="AE72" i="64"/>
  <c r="AF72" i="64"/>
  <c r="AG72" i="64"/>
  <c r="AH72" i="64"/>
  <c r="AI72" i="64"/>
  <c r="AJ72" i="64"/>
  <c r="AK72" i="64"/>
  <c r="AL72" i="64"/>
  <c r="AM72" i="64"/>
  <c r="AN72" i="64"/>
  <c r="AO72" i="64"/>
  <c r="AP72" i="64"/>
  <c r="AQ72" i="64"/>
  <c r="AR72" i="64"/>
  <c r="AS72" i="64"/>
  <c r="AT72" i="64"/>
  <c r="AU72" i="64"/>
  <c r="AV72" i="64"/>
  <c r="AW72" i="64"/>
  <c r="AX72" i="64"/>
  <c r="AY72" i="64"/>
  <c r="AZ72" i="64"/>
  <c r="BA72" i="64"/>
  <c r="BB72" i="64"/>
  <c r="BC72" i="64"/>
  <c r="BD72" i="64"/>
  <c r="BE72" i="64"/>
  <c r="BF72" i="64"/>
  <c r="AX76" i="64"/>
  <c r="E77" i="64"/>
  <c r="G77" i="64"/>
  <c r="I77" i="64"/>
  <c r="J77" i="64"/>
  <c r="M77" i="64"/>
  <c r="Q77" i="64"/>
  <c r="S77" i="64"/>
  <c r="U77" i="64"/>
  <c r="Z77" i="64"/>
  <c r="AA77" i="64"/>
  <c r="AB77" i="64"/>
  <c r="AC77" i="64"/>
  <c r="AD77" i="64"/>
  <c r="AE77" i="64"/>
  <c r="AG77" i="64"/>
  <c r="AH77" i="64"/>
  <c r="AI77" i="64"/>
  <c r="AK77" i="64"/>
  <c r="AL77" i="64"/>
  <c r="AO77" i="64"/>
  <c r="AP77" i="64"/>
  <c r="AQ77" i="64"/>
  <c r="AT77" i="64"/>
  <c r="AU77" i="64"/>
  <c r="AW77" i="64"/>
  <c r="AY77" i="64"/>
  <c r="BE77" i="64"/>
  <c r="E78" i="64"/>
  <c r="F78" i="64"/>
  <c r="G78" i="64"/>
  <c r="I78" i="64"/>
  <c r="J78" i="64"/>
  <c r="M78" i="64"/>
  <c r="N78" i="64"/>
  <c r="Q78" i="64"/>
  <c r="S78" i="64"/>
  <c r="U78" i="64"/>
  <c r="Z78" i="64"/>
  <c r="AA78" i="64"/>
  <c r="AB78" i="64"/>
  <c r="AC78" i="64"/>
  <c r="AD78" i="64"/>
  <c r="AE78" i="64"/>
  <c r="AF78" i="64"/>
  <c r="AG78" i="64"/>
  <c r="AH78" i="64"/>
  <c r="AI78" i="64"/>
  <c r="AJ78" i="64"/>
  <c r="AK78" i="64"/>
  <c r="AL78" i="64"/>
  <c r="AO78" i="64"/>
  <c r="AP78" i="64"/>
  <c r="AQ78" i="64"/>
  <c r="AR78" i="64"/>
  <c r="AT78" i="64"/>
  <c r="AU78" i="64"/>
  <c r="AV78" i="64"/>
  <c r="AW78" i="64"/>
  <c r="AY78" i="64"/>
  <c r="BD78" i="64"/>
  <c r="BE78" i="64"/>
  <c r="BF78" i="64"/>
  <c r="C79" i="64"/>
  <c r="E79" i="64"/>
  <c r="F79" i="64"/>
  <c r="G79" i="64"/>
  <c r="H79" i="64"/>
  <c r="I79" i="64"/>
  <c r="J79" i="64"/>
  <c r="K79" i="64"/>
  <c r="M79" i="64"/>
  <c r="N79" i="64"/>
  <c r="Q79" i="64"/>
  <c r="R79" i="64"/>
  <c r="S79" i="64"/>
  <c r="U79" i="64"/>
  <c r="Z79" i="64"/>
  <c r="AA79" i="64"/>
  <c r="AB79" i="64"/>
  <c r="AC79" i="64"/>
  <c r="AD79" i="64"/>
  <c r="AE79" i="64"/>
  <c r="AF79" i="64"/>
  <c r="AG79" i="64"/>
  <c r="AH79" i="64"/>
  <c r="AI79" i="64"/>
  <c r="AJ79" i="64"/>
  <c r="AK79" i="64"/>
  <c r="AL79" i="64"/>
  <c r="AO79" i="64"/>
  <c r="AP79" i="64"/>
  <c r="AQ79" i="64"/>
  <c r="AR79" i="64"/>
  <c r="AT79" i="64"/>
  <c r="AU79" i="64"/>
  <c r="AV79" i="64"/>
  <c r="AW79" i="64"/>
  <c r="AY79" i="64"/>
  <c r="AZ79" i="64"/>
  <c r="BD79" i="64"/>
  <c r="BE79" i="64"/>
  <c r="BF79" i="64"/>
  <c r="C80" i="64"/>
  <c r="E80" i="64"/>
  <c r="F80" i="64"/>
  <c r="G80" i="64"/>
  <c r="H80" i="64"/>
  <c r="I80" i="64"/>
  <c r="J80" i="64"/>
  <c r="K80" i="64"/>
  <c r="L80" i="64"/>
  <c r="M80" i="64"/>
  <c r="N80" i="64"/>
  <c r="O80" i="64"/>
  <c r="Q80" i="64"/>
  <c r="R80" i="64"/>
  <c r="S80" i="64"/>
  <c r="T80" i="64"/>
  <c r="U80" i="64"/>
  <c r="Y80" i="64"/>
  <c r="Z80" i="64"/>
  <c r="AA80" i="64"/>
  <c r="AB80" i="64"/>
  <c r="AC80" i="64"/>
  <c r="AD80" i="64"/>
  <c r="AE80" i="64"/>
  <c r="AF80" i="64"/>
  <c r="AG80" i="64"/>
  <c r="AH80" i="64"/>
  <c r="AI80" i="64"/>
  <c r="AJ80" i="64"/>
  <c r="AK80" i="64"/>
  <c r="AL80" i="64"/>
  <c r="AO80" i="64"/>
  <c r="AP80" i="64"/>
  <c r="AQ80" i="64"/>
  <c r="AR80" i="64"/>
  <c r="AT80" i="64"/>
  <c r="AU80" i="64"/>
  <c r="AV80" i="64"/>
  <c r="AW80" i="64"/>
  <c r="AX80" i="64"/>
  <c r="AY80" i="64"/>
  <c r="AZ80" i="64"/>
  <c r="BA80" i="64"/>
  <c r="BD80" i="64"/>
  <c r="BE80" i="64"/>
  <c r="BF80" i="64"/>
  <c r="C81" i="64"/>
  <c r="E81" i="64"/>
  <c r="F81" i="64"/>
  <c r="G81" i="64"/>
  <c r="H81" i="64"/>
  <c r="I81" i="64"/>
  <c r="J81" i="64"/>
  <c r="K81" i="64"/>
  <c r="L81" i="64"/>
  <c r="M81" i="64"/>
  <c r="N81" i="64"/>
  <c r="O81" i="64"/>
  <c r="Q81" i="64"/>
  <c r="R81" i="64"/>
  <c r="S81" i="64"/>
  <c r="T81" i="64"/>
  <c r="U81" i="64"/>
  <c r="X81" i="64"/>
  <c r="Y81" i="64"/>
  <c r="Z81" i="64"/>
  <c r="AA81" i="64"/>
  <c r="AB81" i="64"/>
  <c r="AC81" i="64"/>
  <c r="AD81" i="64"/>
  <c r="AE81" i="64"/>
  <c r="AF81" i="64"/>
  <c r="AG81" i="64"/>
  <c r="AH81" i="64"/>
  <c r="AI81" i="64"/>
  <c r="AJ81" i="64"/>
  <c r="AK81" i="64"/>
  <c r="AL81" i="64"/>
  <c r="AM81" i="64"/>
  <c r="AO81" i="64"/>
  <c r="AP81" i="64"/>
  <c r="AQ81" i="64"/>
  <c r="AR81" i="64"/>
  <c r="AT81" i="64"/>
  <c r="AU81" i="64"/>
  <c r="AV81" i="64"/>
  <c r="AW81" i="64"/>
  <c r="AX81" i="64"/>
  <c r="AY81" i="64"/>
  <c r="AZ81" i="64"/>
  <c r="BA81" i="64"/>
  <c r="BD81" i="64"/>
  <c r="BE81" i="64"/>
  <c r="BF81" i="64"/>
  <c r="C82" i="64"/>
  <c r="E82" i="64"/>
  <c r="F82" i="64"/>
  <c r="G82" i="64"/>
  <c r="H82" i="64"/>
  <c r="I82" i="64"/>
  <c r="J82" i="64"/>
  <c r="K82" i="64"/>
  <c r="L82" i="64"/>
  <c r="M82" i="64"/>
  <c r="N82" i="64"/>
  <c r="O82" i="64"/>
  <c r="Q82" i="64"/>
  <c r="R82" i="64"/>
  <c r="S82" i="64"/>
  <c r="T82" i="64"/>
  <c r="U82" i="64"/>
  <c r="X82" i="64"/>
  <c r="Y82" i="64"/>
  <c r="Z82" i="64"/>
  <c r="AA82" i="64"/>
  <c r="AB82" i="64"/>
  <c r="AC82" i="64"/>
  <c r="AD82" i="64"/>
  <c r="AE82" i="64"/>
  <c r="AF82" i="64"/>
  <c r="AG82" i="64"/>
  <c r="AH82" i="64"/>
  <c r="AI82" i="64"/>
  <c r="AJ82" i="64"/>
  <c r="AK82" i="64"/>
  <c r="AL82" i="64"/>
  <c r="AM82" i="64"/>
  <c r="AN82" i="64"/>
  <c r="AO82" i="64"/>
  <c r="AP82" i="64"/>
  <c r="AQ82" i="64"/>
  <c r="AR82" i="64"/>
  <c r="AT82" i="64"/>
  <c r="AU82" i="64"/>
  <c r="AV82" i="64"/>
  <c r="AW82" i="64"/>
  <c r="AX82" i="64"/>
  <c r="AY82" i="64"/>
  <c r="AZ82" i="64"/>
  <c r="BA82" i="64"/>
  <c r="BD82" i="64"/>
  <c r="BE82" i="64"/>
  <c r="BF82" i="64"/>
  <c r="C83" i="64"/>
  <c r="D83" i="64"/>
  <c r="E83" i="64"/>
  <c r="F83" i="64"/>
  <c r="G83" i="64"/>
  <c r="H83" i="64"/>
  <c r="I83" i="64"/>
  <c r="J83" i="64"/>
  <c r="K83" i="64"/>
  <c r="L83" i="64"/>
  <c r="M83" i="64"/>
  <c r="N83" i="64"/>
  <c r="O83" i="64"/>
  <c r="Q83" i="64"/>
  <c r="R83" i="64"/>
  <c r="S83" i="64"/>
  <c r="T83" i="64"/>
  <c r="U83" i="64"/>
  <c r="V83" i="64"/>
  <c r="W83" i="64"/>
  <c r="X83" i="64"/>
  <c r="Y83" i="64"/>
  <c r="Z83" i="64"/>
  <c r="AA83" i="64"/>
  <c r="AB83" i="64"/>
  <c r="AC83" i="64"/>
  <c r="AD83" i="64"/>
  <c r="AE83" i="64"/>
  <c r="AF83" i="64"/>
  <c r="AG83" i="64"/>
  <c r="AH83" i="64"/>
  <c r="AI83" i="64"/>
  <c r="AJ83" i="64"/>
  <c r="AK83" i="64"/>
  <c r="AL83" i="64"/>
  <c r="AM83" i="64"/>
  <c r="AN83" i="64"/>
  <c r="AO83" i="64"/>
  <c r="AP83" i="64"/>
  <c r="AQ83" i="64"/>
  <c r="AR83" i="64"/>
  <c r="AT83" i="64"/>
  <c r="AU83" i="64"/>
  <c r="AV83" i="64"/>
  <c r="AW83" i="64"/>
  <c r="AX83" i="64"/>
  <c r="AY83" i="64"/>
  <c r="AZ83" i="64"/>
  <c r="BA83" i="64"/>
  <c r="BB83" i="64"/>
  <c r="BC83" i="64"/>
  <c r="BD83" i="64"/>
  <c r="BE83" i="64"/>
  <c r="BF83" i="64"/>
  <c r="C84" i="64"/>
  <c r="D84" i="64"/>
  <c r="E84" i="64"/>
  <c r="F84" i="64"/>
  <c r="G84" i="64"/>
  <c r="H84" i="64"/>
  <c r="I84" i="64"/>
  <c r="J84" i="64"/>
  <c r="K84" i="64"/>
  <c r="L84" i="64"/>
  <c r="M84" i="64"/>
  <c r="N84" i="64"/>
  <c r="O84" i="64"/>
  <c r="Q84" i="64"/>
  <c r="R84" i="64"/>
  <c r="S84" i="64"/>
  <c r="T84" i="64"/>
  <c r="U84" i="64"/>
  <c r="V84" i="64"/>
  <c r="W84" i="64"/>
  <c r="X84" i="64"/>
  <c r="Y84" i="64"/>
  <c r="Z84" i="64"/>
  <c r="AA84" i="64"/>
  <c r="AB84" i="64"/>
  <c r="AC84" i="64"/>
  <c r="AD84" i="64"/>
  <c r="AE84" i="64"/>
  <c r="AF84" i="64"/>
  <c r="AG84" i="64"/>
  <c r="AH84" i="64"/>
  <c r="AI84" i="64"/>
  <c r="AJ84" i="64"/>
  <c r="AK84" i="64"/>
  <c r="AL84" i="64"/>
  <c r="AM84" i="64"/>
  <c r="AN84" i="64"/>
  <c r="AO84" i="64"/>
  <c r="AP84" i="64"/>
  <c r="AQ84" i="64"/>
  <c r="AR84" i="64"/>
  <c r="AT84" i="64"/>
  <c r="AU84" i="64"/>
  <c r="AV84" i="64"/>
  <c r="AW84" i="64"/>
  <c r="AX84" i="64"/>
  <c r="AY84" i="64"/>
  <c r="AZ84" i="64"/>
  <c r="BA84" i="64"/>
  <c r="BB84" i="64"/>
  <c r="BC84" i="64"/>
  <c r="BD84" i="64"/>
  <c r="BE84" i="64"/>
  <c r="BF84" i="64"/>
  <c r="C85" i="64"/>
  <c r="D85" i="64"/>
  <c r="E85" i="64"/>
  <c r="F85" i="64"/>
  <c r="G85" i="64"/>
  <c r="H85" i="64"/>
  <c r="I85" i="64"/>
  <c r="J85" i="64"/>
  <c r="K85" i="64"/>
  <c r="L85" i="64"/>
  <c r="M85" i="64"/>
  <c r="N85" i="64"/>
  <c r="O85" i="64"/>
  <c r="Q85" i="64"/>
  <c r="R85" i="64"/>
  <c r="S85" i="64"/>
  <c r="T85" i="64"/>
  <c r="U85" i="64"/>
  <c r="V85" i="64"/>
  <c r="W85" i="64"/>
  <c r="X85" i="64"/>
  <c r="Y85" i="64"/>
  <c r="Z85" i="64"/>
  <c r="AA85" i="64"/>
  <c r="AB85" i="64"/>
  <c r="AC85" i="64"/>
  <c r="AD85" i="64"/>
  <c r="AE85" i="64"/>
  <c r="AF85" i="64"/>
  <c r="AG85" i="64"/>
  <c r="AH85" i="64"/>
  <c r="AI85" i="64"/>
  <c r="AJ85" i="64"/>
  <c r="AK85" i="64"/>
  <c r="AL85" i="64"/>
  <c r="AM85" i="64"/>
  <c r="AN85" i="64"/>
  <c r="AO85" i="64"/>
  <c r="AP85" i="64"/>
  <c r="AQ85" i="64"/>
  <c r="AR85" i="64"/>
  <c r="AT85" i="64"/>
  <c r="AU85" i="64"/>
  <c r="AV85" i="64"/>
  <c r="AW85" i="64"/>
  <c r="AX85" i="64"/>
  <c r="AY85" i="64"/>
  <c r="AZ85" i="64"/>
  <c r="BA85" i="64"/>
  <c r="BB85" i="64"/>
  <c r="BC85" i="64"/>
  <c r="BD85" i="64"/>
  <c r="BE85" i="64"/>
  <c r="BF85" i="64"/>
  <c r="C86" i="64"/>
  <c r="D86" i="64"/>
  <c r="E86" i="64"/>
  <c r="F86" i="64"/>
  <c r="G86" i="64"/>
  <c r="H86" i="64"/>
  <c r="I86" i="64"/>
  <c r="J86" i="64"/>
  <c r="K86" i="64"/>
  <c r="L86" i="64"/>
  <c r="M86" i="64"/>
  <c r="N86" i="64"/>
  <c r="O86" i="64"/>
  <c r="Q86" i="64"/>
  <c r="R86" i="64"/>
  <c r="S86" i="64"/>
  <c r="T86" i="64"/>
  <c r="U86" i="64"/>
  <c r="V86" i="64"/>
  <c r="W86" i="64"/>
  <c r="X86" i="64"/>
  <c r="Y86" i="64"/>
  <c r="Z86" i="64"/>
  <c r="AA86" i="64"/>
  <c r="AB86" i="64"/>
  <c r="AC86" i="64"/>
  <c r="AD86" i="64"/>
  <c r="AE86" i="64"/>
  <c r="AF86" i="64"/>
  <c r="AG86" i="64"/>
  <c r="AH86" i="64"/>
  <c r="AI86" i="64"/>
  <c r="AJ86" i="64"/>
  <c r="AK86" i="64"/>
  <c r="AL86" i="64"/>
  <c r="AM86" i="64"/>
  <c r="AN86" i="64"/>
  <c r="AO86" i="64"/>
  <c r="AP86" i="64"/>
  <c r="AQ86" i="64"/>
  <c r="AR86" i="64"/>
  <c r="AT86" i="64"/>
  <c r="AU86" i="64"/>
  <c r="AV86" i="64"/>
  <c r="AW86" i="64"/>
  <c r="AX86" i="64"/>
  <c r="AY86" i="64"/>
  <c r="AZ86" i="64"/>
  <c r="BA86" i="64"/>
  <c r="BB86" i="64"/>
  <c r="BC86" i="64"/>
  <c r="BD86" i="64"/>
  <c r="BE86" i="64"/>
  <c r="BF86" i="64"/>
  <c r="C87" i="64"/>
  <c r="D87" i="64"/>
  <c r="E87" i="64"/>
  <c r="F87" i="64"/>
  <c r="G87" i="64"/>
  <c r="H87" i="64"/>
  <c r="I87" i="64"/>
  <c r="J87" i="64"/>
  <c r="K87" i="64"/>
  <c r="L87" i="64"/>
  <c r="M87" i="64"/>
  <c r="N87" i="64"/>
  <c r="O87" i="64"/>
  <c r="Q87" i="64"/>
  <c r="R87" i="64"/>
  <c r="S87" i="64"/>
  <c r="T87" i="64"/>
  <c r="U87" i="64"/>
  <c r="V87" i="64"/>
  <c r="W87" i="64"/>
  <c r="X87" i="64"/>
  <c r="Y87" i="64"/>
  <c r="Z87" i="64"/>
  <c r="AA87" i="64"/>
  <c r="AB87" i="64"/>
  <c r="AC87" i="64"/>
  <c r="AD87" i="64"/>
  <c r="AE87" i="64"/>
  <c r="AF87" i="64"/>
  <c r="AG87" i="64"/>
  <c r="AH87" i="64"/>
  <c r="AI87" i="64"/>
  <c r="AJ87" i="64"/>
  <c r="AK87" i="64"/>
  <c r="AL87" i="64"/>
  <c r="AM87" i="64"/>
  <c r="AN87" i="64"/>
  <c r="AO87" i="64"/>
  <c r="AP87" i="64"/>
  <c r="AQ87" i="64"/>
  <c r="AR87" i="64"/>
  <c r="AS87" i="64"/>
  <c r="AT87" i="64"/>
  <c r="AU87" i="64"/>
  <c r="AV87" i="64"/>
  <c r="AW87" i="64"/>
  <c r="AX87" i="64"/>
  <c r="AY87" i="64"/>
  <c r="AZ87" i="64"/>
  <c r="BA87" i="64"/>
  <c r="BB87" i="64"/>
  <c r="BC87" i="64"/>
  <c r="BD87" i="64"/>
  <c r="BE87" i="64"/>
  <c r="BF87" i="64"/>
  <c r="C88" i="64"/>
  <c r="D88" i="64"/>
  <c r="E88" i="64"/>
  <c r="F88" i="64"/>
  <c r="G88" i="64"/>
  <c r="H88" i="64"/>
  <c r="I88" i="64"/>
  <c r="J88" i="64"/>
  <c r="K88" i="64"/>
  <c r="L88" i="64"/>
  <c r="M88" i="64"/>
  <c r="N88" i="64"/>
  <c r="O88" i="64"/>
  <c r="Q88" i="64"/>
  <c r="R88" i="64"/>
  <c r="S88" i="64"/>
  <c r="T88" i="64"/>
  <c r="U88" i="64"/>
  <c r="V88" i="64"/>
  <c r="W88" i="64"/>
  <c r="X88" i="64"/>
  <c r="Y88" i="64"/>
  <c r="Z88" i="64"/>
  <c r="AA88" i="64"/>
  <c r="AB88" i="64"/>
  <c r="AC88" i="64"/>
  <c r="AD88" i="64"/>
  <c r="AE88" i="64"/>
  <c r="AF88" i="64"/>
  <c r="AG88" i="64"/>
  <c r="AH88" i="64"/>
  <c r="AI88" i="64"/>
  <c r="AJ88" i="64"/>
  <c r="AK88" i="64"/>
  <c r="AL88" i="64"/>
  <c r="AM88" i="64"/>
  <c r="AN88" i="64"/>
  <c r="AO88" i="64"/>
  <c r="AP88" i="64"/>
  <c r="AQ88" i="64"/>
  <c r="AR88" i="64"/>
  <c r="AS88" i="64"/>
  <c r="AT88" i="64"/>
  <c r="AU88" i="64"/>
  <c r="AV88" i="64"/>
  <c r="AW88" i="64"/>
  <c r="AX88" i="64"/>
  <c r="AY88" i="64"/>
  <c r="AZ88" i="64"/>
  <c r="BA88" i="64"/>
  <c r="BB88" i="64"/>
  <c r="BC88" i="64"/>
  <c r="BD88" i="64"/>
  <c r="BE88" i="64"/>
  <c r="BF88" i="64"/>
  <c r="C89" i="64"/>
  <c r="D89" i="64"/>
  <c r="E89" i="64"/>
  <c r="F89" i="64"/>
  <c r="G89" i="64"/>
  <c r="H89" i="64"/>
  <c r="I89" i="64"/>
  <c r="J89" i="64"/>
  <c r="K89" i="64"/>
  <c r="L89" i="64"/>
  <c r="M89" i="64"/>
  <c r="N89" i="64"/>
  <c r="O89" i="64"/>
  <c r="P89" i="64"/>
  <c r="Q89" i="64"/>
  <c r="R89" i="64"/>
  <c r="S89" i="64"/>
  <c r="T89" i="64"/>
  <c r="U89" i="64"/>
  <c r="V89" i="64"/>
  <c r="W89" i="64"/>
  <c r="X89" i="64"/>
  <c r="Y89" i="64"/>
  <c r="Z89" i="64"/>
  <c r="AA89" i="64"/>
  <c r="AB89" i="64"/>
  <c r="AC89" i="64"/>
  <c r="AD89" i="64"/>
  <c r="AE89" i="64"/>
  <c r="AF89" i="64"/>
  <c r="AG89" i="64"/>
  <c r="AH89" i="64"/>
  <c r="AI89" i="64"/>
  <c r="AJ89" i="64"/>
  <c r="AK89" i="64"/>
  <c r="AL89" i="64"/>
  <c r="AM89" i="64"/>
  <c r="AN89" i="64"/>
  <c r="AO89" i="64"/>
  <c r="AP89" i="64"/>
  <c r="AQ89" i="64"/>
  <c r="AR89" i="64"/>
  <c r="AS89" i="64"/>
  <c r="AT89" i="64"/>
  <c r="AU89" i="64"/>
  <c r="AV89" i="64"/>
  <c r="AW89" i="64"/>
  <c r="AX89" i="64"/>
  <c r="AY89" i="64"/>
  <c r="AZ89" i="64"/>
  <c r="BA89" i="64"/>
  <c r="BB89" i="64"/>
  <c r="BC89" i="64"/>
  <c r="BD89" i="64"/>
  <c r="BE89" i="64"/>
  <c r="BF89" i="64"/>
  <c r="C90" i="64"/>
  <c r="D90" i="64"/>
  <c r="E90" i="64"/>
  <c r="F90" i="64"/>
  <c r="G90" i="64"/>
  <c r="H90" i="64"/>
  <c r="I90" i="64"/>
  <c r="J90" i="64"/>
  <c r="K90" i="64"/>
  <c r="L90" i="64"/>
  <c r="M90" i="64"/>
  <c r="N90" i="64"/>
  <c r="O90" i="64"/>
  <c r="P90" i="64"/>
  <c r="Q90" i="64"/>
  <c r="R90" i="64"/>
  <c r="S90" i="64"/>
  <c r="T90" i="64"/>
  <c r="U90" i="64"/>
  <c r="V90" i="64"/>
  <c r="W90" i="64"/>
  <c r="X90" i="64"/>
  <c r="Y90" i="64"/>
  <c r="Z90" i="64"/>
  <c r="AA90" i="64"/>
  <c r="AB90" i="64"/>
  <c r="AC90" i="64"/>
  <c r="AD90" i="64"/>
  <c r="AE90" i="64"/>
  <c r="AF90" i="64"/>
  <c r="AG90" i="64"/>
  <c r="AH90" i="64"/>
  <c r="AI90" i="64"/>
  <c r="AJ90" i="64"/>
  <c r="AK90" i="64"/>
  <c r="AL90" i="64"/>
  <c r="AM90" i="64"/>
  <c r="AN90" i="64"/>
  <c r="AO90" i="64"/>
  <c r="AP90" i="64"/>
  <c r="AQ90" i="64"/>
  <c r="AR90" i="64"/>
  <c r="AS90" i="64"/>
  <c r="AT90" i="64"/>
  <c r="AU90" i="64"/>
  <c r="AV90" i="64"/>
  <c r="AW90" i="64"/>
  <c r="AX90" i="64"/>
  <c r="AY90" i="64"/>
  <c r="AZ90" i="64"/>
  <c r="BA90" i="64"/>
  <c r="BB90" i="64"/>
  <c r="BC90" i="64"/>
  <c r="BD90" i="64"/>
  <c r="BE90" i="64"/>
  <c r="BF90" i="64"/>
  <c r="C91" i="64"/>
  <c r="D91" i="64"/>
  <c r="E91" i="64"/>
  <c r="F91" i="64"/>
  <c r="G91" i="64"/>
  <c r="H91" i="64"/>
  <c r="I91" i="64"/>
  <c r="J91" i="64"/>
  <c r="K91" i="64"/>
  <c r="L91" i="64"/>
  <c r="M91" i="64"/>
  <c r="N91" i="64"/>
  <c r="O91" i="64"/>
  <c r="P91" i="64"/>
  <c r="Q91" i="64"/>
  <c r="R91" i="64"/>
  <c r="S91" i="64"/>
  <c r="T91" i="64"/>
  <c r="U91" i="64"/>
  <c r="V91" i="64"/>
  <c r="W91" i="64"/>
  <c r="X91" i="64"/>
  <c r="Y91" i="64"/>
  <c r="Z91" i="64"/>
  <c r="AA91" i="64"/>
  <c r="AB91" i="64"/>
  <c r="AC91" i="64"/>
  <c r="AD91" i="64"/>
  <c r="AE91" i="64"/>
  <c r="AF91" i="64"/>
  <c r="AG91" i="64"/>
  <c r="AH91" i="64"/>
  <c r="AI91" i="64"/>
  <c r="AJ91" i="64"/>
  <c r="AK91" i="64"/>
  <c r="AL91" i="64"/>
  <c r="AM91" i="64"/>
  <c r="AN91" i="64"/>
  <c r="AO91" i="64"/>
  <c r="AP91" i="64"/>
  <c r="AQ91" i="64"/>
  <c r="AR91" i="64"/>
  <c r="AS91" i="64"/>
  <c r="AT91" i="64"/>
  <c r="AU91" i="64"/>
  <c r="AV91" i="64"/>
  <c r="AW91" i="64"/>
  <c r="AX91" i="64"/>
  <c r="AY91" i="64"/>
  <c r="AZ91" i="64"/>
  <c r="BA91" i="64"/>
  <c r="BB91" i="64"/>
  <c r="BC91" i="64"/>
  <c r="BD91" i="64"/>
  <c r="BE91" i="64"/>
  <c r="BF91" i="64"/>
  <c r="C92" i="64"/>
  <c r="D92" i="64"/>
  <c r="E92" i="64"/>
  <c r="F92" i="64"/>
  <c r="G92" i="64"/>
  <c r="H92" i="64"/>
  <c r="I92" i="64"/>
  <c r="J92" i="64"/>
  <c r="K92" i="64"/>
  <c r="L92" i="64"/>
  <c r="M92" i="64"/>
  <c r="N92" i="64"/>
  <c r="O92" i="64"/>
  <c r="P92" i="64"/>
  <c r="Q92" i="64"/>
  <c r="R92" i="64"/>
  <c r="S92" i="64"/>
  <c r="T92" i="64"/>
  <c r="U92" i="64"/>
  <c r="V92" i="64"/>
  <c r="W92" i="64"/>
  <c r="X92" i="64"/>
  <c r="Y92" i="64"/>
  <c r="Z92" i="64"/>
  <c r="AA92" i="64"/>
  <c r="AB92" i="64"/>
  <c r="AC92" i="64"/>
  <c r="AD92" i="64"/>
  <c r="AE92" i="64"/>
  <c r="AF92" i="64"/>
  <c r="AG92" i="64"/>
  <c r="AH92" i="64"/>
  <c r="AI92" i="64"/>
  <c r="AJ92" i="64"/>
  <c r="AK92" i="64"/>
  <c r="AL92" i="64"/>
  <c r="AM92" i="64"/>
  <c r="AN92" i="64"/>
  <c r="AO92" i="64"/>
  <c r="AP92" i="64"/>
  <c r="AQ92" i="64"/>
  <c r="AR92" i="64"/>
  <c r="AS92" i="64"/>
  <c r="AT92" i="64"/>
  <c r="AU92" i="64"/>
  <c r="AV92" i="64"/>
  <c r="AW92" i="64"/>
  <c r="AX92" i="64"/>
  <c r="AY92" i="64"/>
  <c r="AZ92" i="64"/>
  <c r="BA92" i="64"/>
  <c r="BB92" i="64"/>
  <c r="BC92" i="64"/>
  <c r="BD92" i="64"/>
  <c r="BE92" i="64"/>
  <c r="BF92" i="64"/>
  <c r="C93" i="64"/>
  <c r="D93" i="64"/>
  <c r="E93" i="64"/>
  <c r="F93" i="64"/>
  <c r="G93" i="64"/>
  <c r="H93" i="64"/>
  <c r="I93" i="64"/>
  <c r="J93" i="64"/>
  <c r="K93" i="64"/>
  <c r="L93" i="64"/>
  <c r="M93" i="64"/>
  <c r="N93" i="64"/>
  <c r="O93" i="64"/>
  <c r="P93" i="64"/>
  <c r="Q93" i="64"/>
  <c r="R93" i="64"/>
  <c r="S93" i="64"/>
  <c r="T93" i="64"/>
  <c r="U93" i="64"/>
  <c r="V93" i="64"/>
  <c r="W93" i="64"/>
  <c r="X93" i="64"/>
  <c r="Y93" i="64"/>
  <c r="Z93" i="64"/>
  <c r="AA93" i="64"/>
  <c r="AB93" i="64"/>
  <c r="AC93" i="64"/>
  <c r="AD93" i="64"/>
  <c r="AE93" i="64"/>
  <c r="AF93" i="64"/>
  <c r="AG93" i="64"/>
  <c r="AH93" i="64"/>
  <c r="AI93" i="64"/>
  <c r="AJ93" i="64"/>
  <c r="AK93" i="64"/>
  <c r="AL93" i="64"/>
  <c r="AM93" i="64"/>
  <c r="AN93" i="64"/>
  <c r="AO93" i="64"/>
  <c r="AP93" i="64"/>
  <c r="AQ93" i="64"/>
  <c r="AR93" i="64"/>
  <c r="AS93" i="64"/>
  <c r="AT93" i="64"/>
  <c r="AU93" i="64"/>
  <c r="AV93" i="64"/>
  <c r="AW93" i="64"/>
  <c r="AX93" i="64"/>
  <c r="AY93" i="64"/>
  <c r="AZ93" i="64"/>
  <c r="BA93" i="64"/>
  <c r="BB93" i="64"/>
  <c r="BC93" i="64"/>
  <c r="BD93" i="64"/>
  <c r="BE93" i="64"/>
  <c r="BF93" i="64"/>
  <c r="C94" i="64"/>
  <c r="D94" i="64"/>
  <c r="E94" i="64"/>
  <c r="F94" i="64"/>
  <c r="G94" i="64"/>
  <c r="H94" i="64"/>
  <c r="I94" i="64"/>
  <c r="J94" i="64"/>
  <c r="K94" i="64"/>
  <c r="L94" i="64"/>
  <c r="M94" i="64"/>
  <c r="N94" i="64"/>
  <c r="O94" i="64"/>
  <c r="P94" i="64"/>
  <c r="Q94" i="64"/>
  <c r="R94" i="64"/>
  <c r="S94" i="64"/>
  <c r="T94" i="64"/>
  <c r="U94" i="64"/>
  <c r="V94" i="64"/>
  <c r="W94" i="64"/>
  <c r="X94" i="64"/>
  <c r="Y94" i="64"/>
  <c r="Z94" i="64"/>
  <c r="AA94" i="64"/>
  <c r="AB94" i="64"/>
  <c r="AC94" i="64"/>
  <c r="AD94" i="64"/>
  <c r="AE94" i="64"/>
  <c r="AF94" i="64"/>
  <c r="AG94" i="64"/>
  <c r="AH94" i="64"/>
  <c r="AI94" i="64"/>
  <c r="AJ94" i="64"/>
  <c r="AK94" i="64"/>
  <c r="AL94" i="64"/>
  <c r="AM94" i="64"/>
  <c r="AN94" i="64"/>
  <c r="AO94" i="64"/>
  <c r="AP94" i="64"/>
  <c r="AQ94" i="64"/>
  <c r="AR94" i="64"/>
  <c r="AS94" i="64"/>
  <c r="AT94" i="64"/>
  <c r="AU94" i="64"/>
  <c r="AV94" i="64"/>
  <c r="AW94" i="64"/>
  <c r="AX94" i="64"/>
  <c r="AY94" i="64"/>
  <c r="AZ94" i="64"/>
  <c r="BA94" i="64"/>
  <c r="BB94" i="64"/>
  <c r="BC94" i="64"/>
  <c r="BD94" i="64"/>
  <c r="BE94" i="64"/>
  <c r="BF94" i="64"/>
  <c r="C95" i="64"/>
  <c r="D95" i="64"/>
  <c r="E95" i="64"/>
  <c r="F95" i="64"/>
  <c r="G95" i="64"/>
  <c r="H95" i="64"/>
  <c r="I95" i="64"/>
  <c r="J95" i="64"/>
  <c r="K95" i="64"/>
  <c r="L95" i="64"/>
  <c r="M95" i="64"/>
  <c r="N95" i="64"/>
  <c r="O95" i="64"/>
  <c r="P95" i="64"/>
  <c r="Q95" i="64"/>
  <c r="R95" i="64"/>
  <c r="S95" i="64"/>
  <c r="T95" i="64"/>
  <c r="U95" i="64"/>
  <c r="V95" i="64"/>
  <c r="W95" i="64"/>
  <c r="X95" i="64"/>
  <c r="Y95" i="64"/>
  <c r="Z95" i="64"/>
  <c r="AA95" i="64"/>
  <c r="AB95" i="64"/>
  <c r="AC95" i="64"/>
  <c r="AD95" i="64"/>
  <c r="AE95" i="64"/>
  <c r="AF95" i="64"/>
  <c r="AG95" i="64"/>
  <c r="AH95" i="64"/>
  <c r="AI95" i="64"/>
  <c r="AJ95" i="64"/>
  <c r="AK95" i="64"/>
  <c r="AL95" i="64"/>
  <c r="AM95" i="64"/>
  <c r="AN95" i="64"/>
  <c r="AO95" i="64"/>
  <c r="AP95" i="64"/>
  <c r="AQ95" i="64"/>
  <c r="AR95" i="64"/>
  <c r="AS95" i="64"/>
  <c r="AT95" i="64"/>
  <c r="AU95" i="64"/>
  <c r="AV95" i="64"/>
  <c r="AW95" i="64"/>
  <c r="AX95" i="64"/>
  <c r="AY95" i="64"/>
  <c r="AZ95" i="64"/>
  <c r="BA95" i="64"/>
  <c r="BB95" i="64"/>
  <c r="BC95" i="64"/>
  <c r="BD95" i="64"/>
  <c r="BE95" i="64"/>
  <c r="BF95" i="64"/>
  <c r="C96" i="64"/>
  <c r="D96" i="64"/>
  <c r="E96" i="64"/>
  <c r="F96" i="64"/>
  <c r="G96" i="64"/>
  <c r="H96" i="64"/>
  <c r="I96" i="64"/>
  <c r="J96" i="64"/>
  <c r="K96" i="64"/>
  <c r="L96" i="64"/>
  <c r="M96" i="64"/>
  <c r="N96" i="64"/>
  <c r="O96" i="64"/>
  <c r="P96" i="64"/>
  <c r="Q96" i="64"/>
  <c r="R96" i="64"/>
  <c r="S96" i="64"/>
  <c r="T96" i="64"/>
  <c r="U96" i="64"/>
  <c r="V96" i="64"/>
  <c r="W96" i="64"/>
  <c r="X96" i="64"/>
  <c r="Y96" i="64"/>
  <c r="Z96" i="64"/>
  <c r="AA96" i="64"/>
  <c r="AB96" i="64"/>
  <c r="AC96" i="64"/>
  <c r="AD96" i="64"/>
  <c r="AE96" i="64"/>
  <c r="AF96" i="64"/>
  <c r="AG96" i="64"/>
  <c r="AH96" i="64"/>
  <c r="AI96" i="64"/>
  <c r="AJ96" i="64"/>
  <c r="AK96" i="64"/>
  <c r="AL96" i="64"/>
  <c r="AM96" i="64"/>
  <c r="AN96" i="64"/>
  <c r="AO96" i="64"/>
  <c r="AP96" i="64"/>
  <c r="AQ96" i="64"/>
  <c r="AR96" i="64"/>
  <c r="AS96" i="64"/>
  <c r="AT96" i="64"/>
  <c r="AU96" i="64"/>
  <c r="AV96" i="64"/>
  <c r="AW96" i="64"/>
  <c r="AX96" i="64"/>
  <c r="AY96" i="64"/>
  <c r="AZ96" i="64"/>
  <c r="BA96" i="64"/>
  <c r="BB96" i="64"/>
  <c r="BC96" i="64"/>
  <c r="BD96" i="64"/>
  <c r="BE96" i="64"/>
  <c r="BF96" i="64"/>
  <c r="C97" i="64"/>
  <c r="D97" i="64"/>
  <c r="E97" i="64"/>
  <c r="F97" i="64"/>
  <c r="G97" i="64"/>
  <c r="H97" i="64"/>
  <c r="I97" i="64"/>
  <c r="J97" i="64"/>
  <c r="K97" i="64"/>
  <c r="L97" i="64"/>
  <c r="M97" i="64"/>
  <c r="N97" i="64"/>
  <c r="O97" i="64"/>
  <c r="P97" i="64"/>
  <c r="Q97" i="64"/>
  <c r="R97" i="64"/>
  <c r="S97" i="64"/>
  <c r="T97" i="64"/>
  <c r="U97" i="64"/>
  <c r="V97" i="64"/>
  <c r="W97" i="64"/>
  <c r="X97" i="64"/>
  <c r="Y97" i="64"/>
  <c r="Z97" i="64"/>
  <c r="AA97" i="64"/>
  <c r="AB97" i="64"/>
  <c r="AC97" i="64"/>
  <c r="AD97" i="64"/>
  <c r="AE97" i="64"/>
  <c r="AF97" i="64"/>
  <c r="AG97" i="64"/>
  <c r="AH97" i="64"/>
  <c r="AI97" i="64"/>
  <c r="AJ97" i="64"/>
  <c r="AK97" i="64"/>
  <c r="AL97" i="64"/>
  <c r="AM97" i="64"/>
  <c r="AN97" i="64"/>
  <c r="AO97" i="64"/>
  <c r="AP97" i="64"/>
  <c r="AQ97" i="64"/>
  <c r="AR97" i="64"/>
  <c r="AS97" i="64"/>
  <c r="AT97" i="64"/>
  <c r="AU97" i="64"/>
  <c r="AV97" i="64"/>
  <c r="AW97" i="64"/>
  <c r="AX97" i="64"/>
  <c r="AY97" i="64"/>
  <c r="AZ97" i="64"/>
  <c r="BA97" i="64"/>
  <c r="BB97" i="64"/>
  <c r="BC97" i="64"/>
  <c r="BD97" i="64"/>
  <c r="BE97" i="64"/>
  <c r="BF97" i="64"/>
  <c r="C98" i="64"/>
  <c r="D98" i="64"/>
  <c r="E98" i="64"/>
  <c r="F98" i="64"/>
  <c r="G98" i="64"/>
  <c r="H98" i="64"/>
  <c r="I98" i="64"/>
  <c r="J98" i="64"/>
  <c r="K98" i="64"/>
  <c r="L98" i="64"/>
  <c r="M98" i="64"/>
  <c r="N98" i="64"/>
  <c r="O98" i="64"/>
  <c r="P98" i="64"/>
  <c r="Q98" i="64"/>
  <c r="R98" i="64"/>
  <c r="S98" i="64"/>
  <c r="T98" i="64"/>
  <c r="U98" i="64"/>
  <c r="V98" i="64"/>
  <c r="W98" i="64"/>
  <c r="X98" i="64"/>
  <c r="Y98" i="64"/>
  <c r="Z98" i="64"/>
  <c r="AA98" i="64"/>
  <c r="AB98" i="64"/>
  <c r="AC98" i="64"/>
  <c r="AD98" i="64"/>
  <c r="AE98" i="64"/>
  <c r="AF98" i="64"/>
  <c r="AG98" i="64"/>
  <c r="AH98" i="64"/>
  <c r="AI98" i="64"/>
  <c r="AJ98" i="64"/>
  <c r="AK98" i="64"/>
  <c r="AL98" i="64"/>
  <c r="AM98" i="64"/>
  <c r="AN98" i="64"/>
  <c r="AO98" i="64"/>
  <c r="AP98" i="64"/>
  <c r="AQ98" i="64"/>
  <c r="AR98" i="64"/>
  <c r="AS98" i="64"/>
  <c r="AT98" i="64"/>
  <c r="AU98" i="64"/>
  <c r="AV98" i="64"/>
  <c r="AW98" i="64"/>
  <c r="AX98" i="64"/>
  <c r="AY98" i="64"/>
  <c r="AZ98" i="64"/>
  <c r="BA98" i="64"/>
  <c r="BB98" i="64"/>
  <c r="BC98" i="64"/>
  <c r="BD98" i="64"/>
  <c r="BE98" i="64"/>
  <c r="BF98" i="64"/>
  <c r="C99" i="64"/>
  <c r="D99" i="64"/>
  <c r="E99" i="64"/>
  <c r="F99" i="64"/>
  <c r="G99" i="64"/>
  <c r="H99" i="64"/>
  <c r="I99" i="64"/>
  <c r="J99" i="64"/>
  <c r="K99" i="64"/>
  <c r="L99" i="64"/>
  <c r="M99" i="64"/>
  <c r="N99" i="64"/>
  <c r="O99" i="64"/>
  <c r="P99" i="64"/>
  <c r="Q99" i="64"/>
  <c r="R99" i="64"/>
  <c r="S99" i="64"/>
  <c r="T99" i="64"/>
  <c r="U99" i="64"/>
  <c r="V99" i="64"/>
  <c r="W99" i="64"/>
  <c r="X99" i="64"/>
  <c r="Y99" i="64"/>
  <c r="Z99" i="64"/>
  <c r="AA99" i="64"/>
  <c r="AB99" i="64"/>
  <c r="AC99" i="64"/>
  <c r="AD99" i="64"/>
  <c r="AE99" i="64"/>
  <c r="AF99" i="64"/>
  <c r="AG99" i="64"/>
  <c r="AH99" i="64"/>
  <c r="AI99" i="64"/>
  <c r="AJ99" i="64"/>
  <c r="AK99" i="64"/>
  <c r="AL99" i="64"/>
  <c r="AM99" i="64"/>
  <c r="AN99" i="64"/>
  <c r="AO99" i="64"/>
  <c r="AP99" i="64"/>
  <c r="AQ99" i="64"/>
  <c r="AR99" i="64"/>
  <c r="AS99" i="64"/>
  <c r="AT99" i="64"/>
  <c r="AU99" i="64"/>
  <c r="AV99" i="64"/>
  <c r="AW99" i="64"/>
  <c r="AX99" i="64"/>
  <c r="AY99" i="64"/>
  <c r="AZ99" i="64"/>
  <c r="BA99" i="64"/>
  <c r="BB99" i="64"/>
  <c r="BC99" i="64"/>
  <c r="BD99" i="64"/>
  <c r="BE99" i="64"/>
  <c r="BF99" i="64"/>
  <c r="C100" i="64"/>
  <c r="D100" i="64"/>
  <c r="E100" i="64"/>
  <c r="F100" i="64"/>
  <c r="G100" i="64"/>
  <c r="H100" i="64"/>
  <c r="I100" i="64"/>
  <c r="J100" i="64"/>
  <c r="K100" i="64"/>
  <c r="L100" i="64"/>
  <c r="M100" i="64"/>
  <c r="N100" i="64"/>
  <c r="O100" i="64"/>
  <c r="P100" i="64"/>
  <c r="Q100" i="64"/>
  <c r="R100" i="64"/>
  <c r="S100" i="64"/>
  <c r="T100" i="64"/>
  <c r="U100" i="64"/>
  <c r="V100" i="64"/>
  <c r="W100" i="64"/>
  <c r="X100" i="64"/>
  <c r="Y100" i="64"/>
  <c r="Z100" i="64"/>
  <c r="AA100" i="64"/>
  <c r="AB100" i="64"/>
  <c r="AC100" i="64"/>
  <c r="AD100" i="64"/>
  <c r="AE100" i="64"/>
  <c r="AF100" i="64"/>
  <c r="AG100" i="64"/>
  <c r="AH100" i="64"/>
  <c r="AI100" i="64"/>
  <c r="AJ100" i="64"/>
  <c r="AK100" i="64"/>
  <c r="AL100" i="64"/>
  <c r="AM100" i="64"/>
  <c r="AN100" i="64"/>
  <c r="AO100" i="64"/>
  <c r="AP100" i="64"/>
  <c r="AQ100" i="64"/>
  <c r="AR100" i="64"/>
  <c r="AS100" i="64"/>
  <c r="AT100" i="64"/>
  <c r="AU100" i="64"/>
  <c r="AV100" i="64"/>
  <c r="AW100" i="64"/>
  <c r="AX100" i="64"/>
  <c r="AY100" i="64"/>
  <c r="AZ100" i="64"/>
  <c r="BA100" i="64"/>
  <c r="BB100" i="64"/>
  <c r="BC100" i="64"/>
  <c r="BD100" i="64"/>
  <c r="BE100" i="64"/>
  <c r="BF100" i="64"/>
  <c r="C101" i="64"/>
  <c r="D101" i="64"/>
  <c r="E101" i="64"/>
  <c r="F101" i="64"/>
  <c r="G101" i="64"/>
  <c r="H101" i="64"/>
  <c r="I101" i="64"/>
  <c r="J101" i="64"/>
  <c r="K101" i="64"/>
  <c r="L101" i="64"/>
  <c r="M101" i="64"/>
  <c r="N101" i="64"/>
  <c r="O101" i="64"/>
  <c r="P101" i="64"/>
  <c r="Q101" i="64"/>
  <c r="R101" i="64"/>
  <c r="S101" i="64"/>
  <c r="T101" i="64"/>
  <c r="U101" i="64"/>
  <c r="V101" i="64"/>
  <c r="W101" i="64"/>
  <c r="X101" i="64"/>
  <c r="Y101" i="64"/>
  <c r="Z101" i="64"/>
  <c r="AA101" i="64"/>
  <c r="AB101" i="64"/>
  <c r="AC101" i="64"/>
  <c r="AD101" i="64"/>
  <c r="AE101" i="64"/>
  <c r="AF101" i="64"/>
  <c r="AG101" i="64"/>
  <c r="AH101" i="64"/>
  <c r="AI101" i="64"/>
  <c r="AJ101" i="64"/>
  <c r="AK101" i="64"/>
  <c r="AL101" i="64"/>
  <c r="AM101" i="64"/>
  <c r="AN101" i="64"/>
  <c r="AO101" i="64"/>
  <c r="AP101" i="64"/>
  <c r="AQ101" i="64"/>
  <c r="AR101" i="64"/>
  <c r="AS101" i="64"/>
  <c r="AT101" i="64"/>
  <c r="AU101" i="64"/>
  <c r="AV101" i="64"/>
  <c r="AW101" i="64"/>
  <c r="AX101" i="64"/>
  <c r="AY101" i="64"/>
  <c r="AZ101" i="64"/>
  <c r="BA101" i="64"/>
  <c r="BB101" i="64"/>
  <c r="BC101" i="64"/>
  <c r="BD101" i="64"/>
  <c r="BE101" i="64"/>
  <c r="BF101" i="64"/>
  <c r="C102" i="64"/>
  <c r="D102" i="64"/>
  <c r="E102" i="64"/>
  <c r="F102" i="64"/>
  <c r="G102" i="64"/>
  <c r="H102" i="64"/>
  <c r="I102" i="64"/>
  <c r="J102" i="64"/>
  <c r="K102" i="64"/>
  <c r="L102" i="64"/>
  <c r="M102" i="64"/>
  <c r="N102" i="64"/>
  <c r="O102" i="64"/>
  <c r="P102" i="64"/>
  <c r="Q102" i="64"/>
  <c r="R102" i="64"/>
  <c r="S102" i="64"/>
  <c r="T102" i="64"/>
  <c r="U102" i="64"/>
  <c r="V102" i="64"/>
  <c r="W102" i="64"/>
  <c r="X102" i="64"/>
  <c r="Y102" i="64"/>
  <c r="Z102" i="64"/>
  <c r="AA102" i="64"/>
  <c r="AB102" i="64"/>
  <c r="AC102" i="64"/>
  <c r="AD102" i="64"/>
  <c r="AE102" i="64"/>
  <c r="AF102" i="64"/>
  <c r="AG102" i="64"/>
  <c r="AH102" i="64"/>
  <c r="AI102" i="64"/>
  <c r="AJ102" i="64"/>
  <c r="AK102" i="64"/>
  <c r="AL102" i="64"/>
  <c r="AM102" i="64"/>
  <c r="AN102" i="64"/>
  <c r="AO102" i="64"/>
  <c r="AP102" i="64"/>
  <c r="AQ102" i="64"/>
  <c r="AR102" i="64"/>
  <c r="AS102" i="64"/>
  <c r="AT102" i="64"/>
  <c r="AU102" i="64"/>
  <c r="AV102" i="64"/>
  <c r="AW102" i="64"/>
  <c r="AX102" i="64"/>
  <c r="AY102" i="64"/>
  <c r="AZ102" i="64"/>
  <c r="BA102" i="64"/>
  <c r="BB102" i="64"/>
  <c r="BC102" i="64"/>
  <c r="BD102" i="64"/>
  <c r="BE102" i="64"/>
  <c r="BF102" i="64"/>
  <c r="C103" i="64"/>
  <c r="D103" i="64"/>
  <c r="E103" i="64"/>
  <c r="F103" i="64"/>
  <c r="G103" i="64"/>
  <c r="H103" i="64"/>
  <c r="I103" i="64"/>
  <c r="J103" i="64"/>
  <c r="K103" i="64"/>
  <c r="L103" i="64"/>
  <c r="M103" i="64"/>
  <c r="N103" i="64"/>
  <c r="O103" i="64"/>
  <c r="P103" i="64"/>
  <c r="Q103" i="64"/>
  <c r="R103" i="64"/>
  <c r="S103" i="64"/>
  <c r="T103" i="64"/>
  <c r="U103" i="64"/>
  <c r="V103" i="64"/>
  <c r="W103" i="64"/>
  <c r="X103" i="64"/>
  <c r="Y103" i="64"/>
  <c r="Z103" i="64"/>
  <c r="AA103" i="64"/>
  <c r="AB103" i="64"/>
  <c r="AC103" i="64"/>
  <c r="AD103" i="64"/>
  <c r="AE103" i="64"/>
  <c r="AF103" i="64"/>
  <c r="AG103" i="64"/>
  <c r="AH103" i="64"/>
  <c r="AI103" i="64"/>
  <c r="AJ103" i="64"/>
  <c r="AK103" i="64"/>
  <c r="AL103" i="64"/>
  <c r="AM103" i="64"/>
  <c r="AN103" i="64"/>
  <c r="AO103" i="64"/>
  <c r="AP103" i="64"/>
  <c r="AQ103" i="64"/>
  <c r="AR103" i="64"/>
  <c r="AS103" i="64"/>
  <c r="AT103" i="64"/>
  <c r="AU103" i="64"/>
  <c r="AV103" i="64"/>
  <c r="AW103" i="64"/>
  <c r="AX103" i="64"/>
  <c r="AY103" i="64"/>
  <c r="AZ103" i="64"/>
  <c r="BA103" i="64"/>
  <c r="BB103" i="64"/>
  <c r="BC103" i="64"/>
  <c r="BD103" i="64"/>
  <c r="BE103" i="64"/>
  <c r="BF103" i="64"/>
  <c r="C104" i="64"/>
  <c r="D104" i="64"/>
  <c r="E104" i="64"/>
  <c r="F104" i="64"/>
  <c r="G104" i="64"/>
  <c r="H104" i="64"/>
  <c r="I104" i="64"/>
  <c r="J104" i="64"/>
  <c r="K104" i="64"/>
  <c r="L104" i="64"/>
  <c r="M104" i="64"/>
  <c r="N104" i="64"/>
  <c r="O104" i="64"/>
  <c r="P104" i="64"/>
  <c r="Q104" i="64"/>
  <c r="R104" i="64"/>
  <c r="S104" i="64"/>
  <c r="T104" i="64"/>
  <c r="U104" i="64"/>
  <c r="V104" i="64"/>
  <c r="W104" i="64"/>
  <c r="X104" i="64"/>
  <c r="Y104" i="64"/>
  <c r="Z104" i="64"/>
  <c r="AA104" i="64"/>
  <c r="AB104" i="64"/>
  <c r="AC104" i="64"/>
  <c r="AD104" i="64"/>
  <c r="AE104" i="64"/>
  <c r="AF104" i="64"/>
  <c r="AG104" i="64"/>
  <c r="AH104" i="64"/>
  <c r="AI104" i="64"/>
  <c r="AJ104" i="64"/>
  <c r="AK104" i="64"/>
  <c r="AL104" i="64"/>
  <c r="AM104" i="64"/>
  <c r="AN104" i="64"/>
  <c r="AO104" i="64"/>
  <c r="AP104" i="64"/>
  <c r="AQ104" i="64"/>
  <c r="AR104" i="64"/>
  <c r="AS104" i="64"/>
  <c r="AT104" i="64"/>
  <c r="AU104" i="64"/>
  <c r="AV104" i="64"/>
  <c r="AW104" i="64"/>
  <c r="AX104" i="64"/>
  <c r="AY104" i="64"/>
  <c r="AZ104" i="64"/>
  <c r="BA104" i="64"/>
  <c r="BB104" i="64"/>
  <c r="BC104" i="64"/>
  <c r="BD104" i="64"/>
  <c r="BE104" i="64"/>
  <c r="BF104" i="64"/>
  <c r="C105" i="64"/>
  <c r="D105" i="64"/>
  <c r="E105" i="64"/>
  <c r="F105" i="64"/>
  <c r="G105" i="64"/>
  <c r="H105" i="64"/>
  <c r="I105" i="64"/>
  <c r="J105" i="64"/>
  <c r="K105" i="64"/>
  <c r="L105" i="64"/>
  <c r="M105" i="64"/>
  <c r="N105" i="64"/>
  <c r="O105" i="64"/>
  <c r="P105" i="64"/>
  <c r="Q105" i="64"/>
  <c r="R105" i="64"/>
  <c r="S105" i="64"/>
  <c r="T105" i="64"/>
  <c r="U105" i="64"/>
  <c r="V105" i="64"/>
  <c r="W105" i="64"/>
  <c r="X105" i="64"/>
  <c r="Y105" i="64"/>
  <c r="Z105" i="64"/>
  <c r="AA105" i="64"/>
  <c r="AB105" i="64"/>
  <c r="AC105" i="64"/>
  <c r="AD105" i="64"/>
  <c r="AE105" i="64"/>
  <c r="AF105" i="64"/>
  <c r="AG105" i="64"/>
  <c r="AH105" i="64"/>
  <c r="AI105" i="64"/>
  <c r="AJ105" i="64"/>
  <c r="AK105" i="64"/>
  <c r="AL105" i="64"/>
  <c r="AM105" i="64"/>
  <c r="AN105" i="64"/>
  <c r="AO105" i="64"/>
  <c r="AP105" i="64"/>
  <c r="AQ105" i="64"/>
  <c r="AR105" i="64"/>
  <c r="AS105" i="64"/>
  <c r="AT105" i="64"/>
  <c r="AU105" i="64"/>
  <c r="AV105" i="64"/>
  <c r="AW105" i="64"/>
  <c r="AX105" i="64"/>
  <c r="AY105" i="64"/>
  <c r="AZ105" i="64"/>
  <c r="BA105" i="64"/>
  <c r="BB105" i="64"/>
  <c r="BC105" i="64"/>
  <c r="BD105" i="64"/>
  <c r="BE105" i="64"/>
  <c r="BF105" i="64"/>
  <c r="AX109" i="64"/>
  <c r="E110" i="64"/>
  <c r="G110" i="64"/>
  <c r="I110" i="64"/>
  <c r="J110" i="64"/>
  <c r="M110" i="64"/>
  <c r="Q110" i="64"/>
  <c r="S110" i="64"/>
  <c r="U110" i="64"/>
  <c r="Z110" i="64"/>
  <c r="AA110" i="64"/>
  <c r="AB110" i="64"/>
  <c r="AC110" i="64"/>
  <c r="AD110" i="64"/>
  <c r="AE110" i="64"/>
  <c r="AG110" i="64"/>
  <c r="AH110" i="64"/>
  <c r="AI110" i="64"/>
  <c r="AK110" i="64"/>
  <c r="AL110" i="64"/>
  <c r="AO110" i="64"/>
  <c r="AP110" i="64"/>
  <c r="AQ110" i="64"/>
  <c r="AT110" i="64"/>
  <c r="AU110" i="64"/>
  <c r="AW110" i="64"/>
  <c r="AY110" i="64"/>
  <c r="BE110" i="64"/>
  <c r="E111" i="64"/>
  <c r="F111" i="64"/>
  <c r="G111" i="64"/>
  <c r="I111" i="64"/>
  <c r="J111" i="64"/>
  <c r="M111" i="64"/>
  <c r="N111" i="64"/>
  <c r="Q111" i="64"/>
  <c r="S111" i="64"/>
  <c r="U111" i="64"/>
  <c r="Z111" i="64"/>
  <c r="AA111" i="64"/>
  <c r="AB111" i="64"/>
  <c r="AC111" i="64"/>
  <c r="AD111" i="64"/>
  <c r="AE111" i="64"/>
  <c r="AF111" i="64"/>
  <c r="AG111" i="64"/>
  <c r="AH111" i="64"/>
  <c r="AI111" i="64"/>
  <c r="AJ111" i="64"/>
  <c r="AK111" i="64"/>
  <c r="AL111" i="64"/>
  <c r="AO111" i="64"/>
  <c r="AP111" i="64"/>
  <c r="AQ111" i="64"/>
  <c r="AR111" i="64"/>
  <c r="AT111" i="64"/>
  <c r="AU111" i="64"/>
  <c r="AV111" i="64"/>
  <c r="AW111" i="64"/>
  <c r="AY111" i="64"/>
  <c r="BD111" i="64"/>
  <c r="BE111" i="64"/>
  <c r="BF111" i="64"/>
  <c r="C112" i="64"/>
  <c r="E112" i="64"/>
  <c r="F112" i="64"/>
  <c r="G112" i="64"/>
  <c r="H112" i="64"/>
  <c r="I112" i="64"/>
  <c r="J112" i="64"/>
  <c r="K112" i="64"/>
  <c r="M112" i="64"/>
  <c r="N112" i="64"/>
  <c r="Q112" i="64"/>
  <c r="R112" i="64"/>
  <c r="S112" i="64"/>
  <c r="U112" i="64"/>
  <c r="Z112" i="64"/>
  <c r="AA112" i="64"/>
  <c r="AB112" i="64"/>
  <c r="AC112" i="64"/>
  <c r="AD112" i="64"/>
  <c r="AE112" i="64"/>
  <c r="AF112" i="64"/>
  <c r="AG112" i="64"/>
  <c r="AH112" i="64"/>
  <c r="AI112" i="64"/>
  <c r="AJ112" i="64"/>
  <c r="AK112" i="64"/>
  <c r="AL112" i="64"/>
  <c r="AO112" i="64"/>
  <c r="AP112" i="64"/>
  <c r="AQ112" i="64"/>
  <c r="AR112" i="64"/>
  <c r="AT112" i="64"/>
  <c r="AU112" i="64"/>
  <c r="AV112" i="64"/>
  <c r="AW112" i="64"/>
  <c r="AY112" i="64"/>
  <c r="AZ112" i="64"/>
  <c r="BD112" i="64"/>
  <c r="BE112" i="64"/>
  <c r="BF112" i="64"/>
  <c r="C113" i="64"/>
  <c r="E113" i="64"/>
  <c r="F113" i="64"/>
  <c r="G113" i="64"/>
  <c r="H113" i="64"/>
  <c r="I113" i="64"/>
  <c r="J113" i="64"/>
  <c r="K113" i="64"/>
  <c r="L113" i="64"/>
  <c r="M113" i="64"/>
  <c r="N113" i="64"/>
  <c r="O113" i="64"/>
  <c r="Q113" i="64"/>
  <c r="R113" i="64"/>
  <c r="S113" i="64"/>
  <c r="T113" i="64"/>
  <c r="U113" i="64"/>
  <c r="Y113" i="64"/>
  <c r="Z113" i="64"/>
  <c r="AA113" i="64"/>
  <c r="AB113" i="64"/>
  <c r="AC113" i="64"/>
  <c r="AD113" i="64"/>
  <c r="AE113" i="64"/>
  <c r="AF113" i="64"/>
  <c r="AG113" i="64"/>
  <c r="AH113" i="64"/>
  <c r="AI113" i="64"/>
  <c r="AJ113" i="64"/>
  <c r="AK113" i="64"/>
  <c r="AL113" i="64"/>
  <c r="AO113" i="64"/>
  <c r="AP113" i="64"/>
  <c r="AQ113" i="64"/>
  <c r="AR113" i="64"/>
  <c r="AT113" i="64"/>
  <c r="AU113" i="64"/>
  <c r="AV113" i="64"/>
  <c r="AW113" i="64"/>
  <c r="AX113" i="64"/>
  <c r="AY113" i="64"/>
  <c r="AZ113" i="64"/>
  <c r="BA113" i="64"/>
  <c r="BD113" i="64"/>
  <c r="BE113" i="64"/>
  <c r="BF113" i="64"/>
  <c r="C114" i="64"/>
  <c r="E114" i="64"/>
  <c r="F114" i="64"/>
  <c r="G114" i="64"/>
  <c r="H114" i="64"/>
  <c r="I114" i="64"/>
  <c r="J114" i="64"/>
  <c r="K114" i="64"/>
  <c r="L114" i="64"/>
  <c r="M114" i="64"/>
  <c r="N114" i="64"/>
  <c r="O114" i="64"/>
  <c r="Q114" i="64"/>
  <c r="R114" i="64"/>
  <c r="S114" i="64"/>
  <c r="T114" i="64"/>
  <c r="U114" i="64"/>
  <c r="X114" i="64"/>
  <c r="Y114" i="64"/>
  <c r="Z114" i="64"/>
  <c r="AA114" i="64"/>
  <c r="AB114" i="64"/>
  <c r="AC114" i="64"/>
  <c r="AD114" i="64"/>
  <c r="AE114" i="64"/>
  <c r="AF114" i="64"/>
  <c r="AG114" i="64"/>
  <c r="AH114" i="64"/>
  <c r="AI114" i="64"/>
  <c r="AJ114" i="64"/>
  <c r="AK114" i="64"/>
  <c r="AL114" i="64"/>
  <c r="AM114" i="64"/>
  <c r="AO114" i="64"/>
  <c r="AP114" i="64"/>
  <c r="AQ114" i="64"/>
  <c r="AR114" i="64"/>
  <c r="AT114" i="64"/>
  <c r="AU114" i="64"/>
  <c r="AV114" i="64"/>
  <c r="AW114" i="64"/>
  <c r="AX114" i="64"/>
  <c r="AY114" i="64"/>
  <c r="AZ114" i="64"/>
  <c r="BA114" i="64"/>
  <c r="BD114" i="64"/>
  <c r="BE114" i="64"/>
  <c r="BF114" i="64"/>
  <c r="C115" i="64"/>
  <c r="E115" i="64"/>
  <c r="F115" i="64"/>
  <c r="G115" i="64"/>
  <c r="H115" i="64"/>
  <c r="I115" i="64"/>
  <c r="J115" i="64"/>
  <c r="K115" i="64"/>
  <c r="L115" i="64"/>
  <c r="M115" i="64"/>
  <c r="N115" i="64"/>
  <c r="O115" i="64"/>
  <c r="Q115" i="64"/>
  <c r="R115" i="64"/>
  <c r="S115" i="64"/>
  <c r="T115" i="64"/>
  <c r="U115" i="64"/>
  <c r="X115" i="64"/>
  <c r="Y115" i="64"/>
  <c r="Z115" i="64"/>
  <c r="AA115" i="64"/>
  <c r="AB115" i="64"/>
  <c r="AC115" i="64"/>
  <c r="AD115" i="64"/>
  <c r="AE115" i="64"/>
  <c r="AF115" i="64"/>
  <c r="AG115" i="64"/>
  <c r="AH115" i="64"/>
  <c r="AI115" i="64"/>
  <c r="AJ115" i="64"/>
  <c r="AK115" i="64"/>
  <c r="AL115" i="64"/>
  <c r="AM115" i="64"/>
  <c r="AN115" i="64"/>
  <c r="AO115" i="64"/>
  <c r="AP115" i="64"/>
  <c r="AQ115" i="64"/>
  <c r="AR115" i="64"/>
  <c r="AT115" i="64"/>
  <c r="AU115" i="64"/>
  <c r="AV115" i="64"/>
  <c r="AW115" i="64"/>
  <c r="AX115" i="64"/>
  <c r="AY115" i="64"/>
  <c r="AZ115" i="64"/>
  <c r="BA115" i="64"/>
  <c r="BD115" i="64"/>
  <c r="BE115" i="64"/>
  <c r="BF115" i="64"/>
  <c r="C116" i="64"/>
  <c r="D116" i="64"/>
  <c r="E116" i="64"/>
  <c r="F116" i="64"/>
  <c r="G116" i="64"/>
  <c r="H116" i="64"/>
  <c r="I116" i="64"/>
  <c r="J116" i="64"/>
  <c r="K116" i="64"/>
  <c r="L116" i="64"/>
  <c r="M116" i="64"/>
  <c r="N116" i="64"/>
  <c r="O116" i="64"/>
  <c r="Q116" i="64"/>
  <c r="R116" i="64"/>
  <c r="S116" i="64"/>
  <c r="T116" i="64"/>
  <c r="U116" i="64"/>
  <c r="V116" i="64"/>
  <c r="W116" i="64"/>
  <c r="X116" i="64"/>
  <c r="Y116" i="64"/>
  <c r="Z116" i="64"/>
  <c r="AA116" i="64"/>
  <c r="AB116" i="64"/>
  <c r="AC116" i="64"/>
  <c r="AD116" i="64"/>
  <c r="AE116" i="64"/>
  <c r="AF116" i="64"/>
  <c r="AG116" i="64"/>
  <c r="AH116" i="64"/>
  <c r="AI116" i="64"/>
  <c r="AJ116" i="64"/>
  <c r="AK116" i="64"/>
  <c r="AL116" i="64"/>
  <c r="AM116" i="64"/>
  <c r="AN116" i="64"/>
  <c r="AO116" i="64"/>
  <c r="AP116" i="64"/>
  <c r="AQ116" i="64"/>
  <c r="AR116" i="64"/>
  <c r="AT116" i="64"/>
  <c r="AU116" i="64"/>
  <c r="AV116" i="64"/>
  <c r="AW116" i="64"/>
  <c r="AX116" i="64"/>
  <c r="AY116" i="64"/>
  <c r="AZ116" i="64"/>
  <c r="BA116" i="64"/>
  <c r="BB116" i="64"/>
  <c r="BC116" i="64"/>
  <c r="BD116" i="64"/>
  <c r="BE116" i="64"/>
  <c r="BF116" i="64"/>
  <c r="C117" i="64"/>
  <c r="D117" i="64"/>
  <c r="E117" i="64"/>
  <c r="F117" i="64"/>
  <c r="G117" i="64"/>
  <c r="H117" i="64"/>
  <c r="I117" i="64"/>
  <c r="J117" i="64"/>
  <c r="K117" i="64"/>
  <c r="L117" i="64"/>
  <c r="M117" i="64"/>
  <c r="N117" i="64"/>
  <c r="O117" i="64"/>
  <c r="Q117" i="64"/>
  <c r="R117" i="64"/>
  <c r="S117" i="64"/>
  <c r="T117" i="64"/>
  <c r="U117" i="64"/>
  <c r="V117" i="64"/>
  <c r="W117" i="64"/>
  <c r="X117" i="64"/>
  <c r="Y117" i="64"/>
  <c r="Z117" i="64"/>
  <c r="AA117" i="64"/>
  <c r="AB117" i="64"/>
  <c r="AC117" i="64"/>
  <c r="AD117" i="64"/>
  <c r="AE117" i="64"/>
  <c r="AF117" i="64"/>
  <c r="AG117" i="64"/>
  <c r="AH117" i="64"/>
  <c r="AI117" i="64"/>
  <c r="AJ117" i="64"/>
  <c r="AK117" i="64"/>
  <c r="AL117" i="64"/>
  <c r="AM117" i="64"/>
  <c r="AN117" i="64"/>
  <c r="AO117" i="64"/>
  <c r="AP117" i="64"/>
  <c r="AQ117" i="64"/>
  <c r="AR117" i="64"/>
  <c r="AT117" i="64"/>
  <c r="AU117" i="64"/>
  <c r="AV117" i="64"/>
  <c r="AW117" i="64"/>
  <c r="AX117" i="64"/>
  <c r="AY117" i="64"/>
  <c r="AZ117" i="64"/>
  <c r="BA117" i="64"/>
  <c r="BB117" i="64"/>
  <c r="BC117" i="64"/>
  <c r="BD117" i="64"/>
  <c r="BE117" i="64"/>
  <c r="BF117" i="64"/>
  <c r="C118" i="64"/>
  <c r="D118" i="64"/>
  <c r="E118" i="64"/>
  <c r="F118" i="64"/>
  <c r="G118" i="64"/>
  <c r="H118" i="64"/>
  <c r="I118" i="64"/>
  <c r="J118" i="64"/>
  <c r="K118" i="64"/>
  <c r="L118" i="64"/>
  <c r="M118" i="64"/>
  <c r="N118" i="64"/>
  <c r="O118" i="64"/>
  <c r="Q118" i="64"/>
  <c r="R118" i="64"/>
  <c r="S118" i="64"/>
  <c r="T118" i="64"/>
  <c r="U118" i="64"/>
  <c r="V118" i="64"/>
  <c r="W118" i="64"/>
  <c r="X118" i="64"/>
  <c r="Y118" i="64"/>
  <c r="Z118" i="64"/>
  <c r="AA118" i="64"/>
  <c r="AB118" i="64"/>
  <c r="AC118" i="64"/>
  <c r="AD118" i="64"/>
  <c r="AE118" i="64"/>
  <c r="AF118" i="64"/>
  <c r="AG118" i="64"/>
  <c r="AH118" i="64"/>
  <c r="AI118" i="64"/>
  <c r="AJ118" i="64"/>
  <c r="AK118" i="64"/>
  <c r="AL118" i="64"/>
  <c r="AM118" i="64"/>
  <c r="AN118" i="64"/>
  <c r="AO118" i="64"/>
  <c r="AP118" i="64"/>
  <c r="AQ118" i="64"/>
  <c r="AR118" i="64"/>
  <c r="AT118" i="64"/>
  <c r="AU118" i="64"/>
  <c r="AV118" i="64"/>
  <c r="AW118" i="64"/>
  <c r="AX118" i="64"/>
  <c r="AY118" i="64"/>
  <c r="AZ118" i="64"/>
  <c r="BA118" i="64"/>
  <c r="BB118" i="64"/>
  <c r="BC118" i="64"/>
  <c r="BD118" i="64"/>
  <c r="BE118" i="64"/>
  <c r="BF118" i="64"/>
  <c r="C119" i="64"/>
  <c r="D119" i="64"/>
  <c r="E119" i="64"/>
  <c r="F119" i="64"/>
  <c r="G119" i="64"/>
  <c r="H119" i="64"/>
  <c r="I119" i="64"/>
  <c r="J119" i="64"/>
  <c r="K119" i="64"/>
  <c r="L119" i="64"/>
  <c r="M119" i="64"/>
  <c r="N119" i="64"/>
  <c r="O119" i="64"/>
  <c r="Q119" i="64"/>
  <c r="R119" i="64"/>
  <c r="S119" i="64"/>
  <c r="T119" i="64"/>
  <c r="U119" i="64"/>
  <c r="V119" i="64"/>
  <c r="W119" i="64"/>
  <c r="X119" i="64"/>
  <c r="Y119" i="64"/>
  <c r="Z119" i="64"/>
  <c r="AA119" i="64"/>
  <c r="AB119" i="64"/>
  <c r="AC119" i="64"/>
  <c r="AD119" i="64"/>
  <c r="AE119" i="64"/>
  <c r="AF119" i="64"/>
  <c r="AG119" i="64"/>
  <c r="AH119" i="64"/>
  <c r="AI119" i="64"/>
  <c r="AJ119" i="64"/>
  <c r="AK119" i="64"/>
  <c r="AL119" i="64"/>
  <c r="AM119" i="64"/>
  <c r="AN119" i="64"/>
  <c r="AO119" i="64"/>
  <c r="AP119" i="64"/>
  <c r="AQ119" i="64"/>
  <c r="AR119" i="64"/>
  <c r="AT119" i="64"/>
  <c r="AU119" i="64"/>
  <c r="AV119" i="64"/>
  <c r="AW119" i="64"/>
  <c r="AX119" i="64"/>
  <c r="AY119" i="64"/>
  <c r="AZ119" i="64"/>
  <c r="BA119" i="64"/>
  <c r="BB119" i="64"/>
  <c r="BC119" i="64"/>
  <c r="BD119" i="64"/>
  <c r="BE119" i="64"/>
  <c r="BF119" i="64"/>
  <c r="C120" i="64"/>
  <c r="D120" i="64"/>
  <c r="E120" i="64"/>
  <c r="F120" i="64"/>
  <c r="G120" i="64"/>
  <c r="H120" i="64"/>
  <c r="I120" i="64"/>
  <c r="J120" i="64"/>
  <c r="K120" i="64"/>
  <c r="L120" i="64"/>
  <c r="M120" i="64"/>
  <c r="N120" i="64"/>
  <c r="O120" i="64"/>
  <c r="Q120" i="64"/>
  <c r="R120" i="64"/>
  <c r="S120" i="64"/>
  <c r="T120" i="64"/>
  <c r="U120" i="64"/>
  <c r="V120" i="64"/>
  <c r="W120" i="64"/>
  <c r="X120" i="64"/>
  <c r="Y120" i="64"/>
  <c r="Z120" i="64"/>
  <c r="AA120" i="64"/>
  <c r="AB120" i="64"/>
  <c r="AC120" i="64"/>
  <c r="AD120" i="64"/>
  <c r="AE120" i="64"/>
  <c r="AF120" i="64"/>
  <c r="AG120" i="64"/>
  <c r="AH120" i="64"/>
  <c r="AI120" i="64"/>
  <c r="AJ120" i="64"/>
  <c r="AK120" i="64"/>
  <c r="AL120" i="64"/>
  <c r="AM120" i="64"/>
  <c r="AN120" i="64"/>
  <c r="AO120" i="64"/>
  <c r="AP120" i="64"/>
  <c r="AQ120" i="64"/>
  <c r="AR120" i="64"/>
  <c r="AS120" i="64"/>
  <c r="AT120" i="64"/>
  <c r="AU120" i="64"/>
  <c r="AV120" i="64"/>
  <c r="AW120" i="64"/>
  <c r="AX120" i="64"/>
  <c r="AY120" i="64"/>
  <c r="AZ120" i="64"/>
  <c r="BA120" i="64"/>
  <c r="BB120" i="64"/>
  <c r="BC120" i="64"/>
  <c r="BD120" i="64"/>
  <c r="BE120" i="64"/>
  <c r="BF120" i="64"/>
  <c r="C121" i="64"/>
  <c r="D121" i="64"/>
  <c r="E121" i="64"/>
  <c r="F121" i="64"/>
  <c r="G121" i="64"/>
  <c r="H121" i="64"/>
  <c r="I121" i="64"/>
  <c r="J121" i="64"/>
  <c r="K121" i="64"/>
  <c r="L121" i="64"/>
  <c r="M121" i="64"/>
  <c r="N121" i="64"/>
  <c r="O121" i="64"/>
  <c r="Q121" i="64"/>
  <c r="R121" i="64"/>
  <c r="S121" i="64"/>
  <c r="T121" i="64"/>
  <c r="U121" i="64"/>
  <c r="V121" i="64"/>
  <c r="W121" i="64"/>
  <c r="X121" i="64"/>
  <c r="Y121" i="64"/>
  <c r="Z121" i="64"/>
  <c r="AA121" i="64"/>
  <c r="AB121" i="64"/>
  <c r="AC121" i="64"/>
  <c r="AD121" i="64"/>
  <c r="AE121" i="64"/>
  <c r="AF121" i="64"/>
  <c r="AG121" i="64"/>
  <c r="AH121" i="64"/>
  <c r="AI121" i="64"/>
  <c r="AJ121" i="64"/>
  <c r="AK121" i="64"/>
  <c r="AL121" i="64"/>
  <c r="AM121" i="64"/>
  <c r="AN121" i="64"/>
  <c r="AO121" i="64"/>
  <c r="AP121" i="64"/>
  <c r="AQ121" i="64"/>
  <c r="AR121" i="64"/>
  <c r="AS121" i="64"/>
  <c r="AT121" i="64"/>
  <c r="AU121" i="64"/>
  <c r="AV121" i="64"/>
  <c r="AW121" i="64"/>
  <c r="AX121" i="64"/>
  <c r="AY121" i="64"/>
  <c r="AZ121" i="64"/>
  <c r="BA121" i="64"/>
  <c r="BB121" i="64"/>
  <c r="BC121" i="64"/>
  <c r="BD121" i="64"/>
  <c r="BE121" i="64"/>
  <c r="BF121" i="64"/>
  <c r="C122" i="64"/>
  <c r="D122" i="64"/>
  <c r="E122" i="64"/>
  <c r="F122" i="64"/>
  <c r="G122" i="64"/>
  <c r="H122" i="64"/>
  <c r="I122" i="64"/>
  <c r="J122" i="64"/>
  <c r="K122" i="64"/>
  <c r="L122" i="64"/>
  <c r="M122" i="64"/>
  <c r="N122" i="64"/>
  <c r="O122" i="64"/>
  <c r="P122" i="64"/>
  <c r="Q122" i="64"/>
  <c r="R122" i="64"/>
  <c r="S122" i="64"/>
  <c r="T122" i="64"/>
  <c r="U122" i="64"/>
  <c r="V122" i="64"/>
  <c r="W122" i="64"/>
  <c r="X122" i="64"/>
  <c r="Y122" i="64"/>
  <c r="Z122" i="64"/>
  <c r="AA122" i="64"/>
  <c r="AB122" i="64"/>
  <c r="AC122" i="64"/>
  <c r="AD122" i="64"/>
  <c r="AE122" i="64"/>
  <c r="AF122" i="64"/>
  <c r="AG122" i="64"/>
  <c r="AH122" i="64"/>
  <c r="AI122" i="64"/>
  <c r="AJ122" i="64"/>
  <c r="AK122" i="64"/>
  <c r="AL122" i="64"/>
  <c r="AM122" i="64"/>
  <c r="AN122" i="64"/>
  <c r="AO122" i="64"/>
  <c r="AP122" i="64"/>
  <c r="AQ122" i="64"/>
  <c r="AR122" i="64"/>
  <c r="AS122" i="64"/>
  <c r="AT122" i="64"/>
  <c r="AU122" i="64"/>
  <c r="AV122" i="64"/>
  <c r="AW122" i="64"/>
  <c r="AX122" i="64"/>
  <c r="AY122" i="64"/>
  <c r="AZ122" i="64"/>
  <c r="BA122" i="64"/>
  <c r="BB122" i="64"/>
  <c r="BC122" i="64"/>
  <c r="BD122" i="64"/>
  <c r="BE122" i="64"/>
  <c r="BF122" i="64"/>
  <c r="C123" i="64"/>
  <c r="D123" i="64"/>
  <c r="E123" i="64"/>
  <c r="F123" i="64"/>
  <c r="G123" i="64"/>
  <c r="H123" i="64"/>
  <c r="I123" i="64"/>
  <c r="J123" i="64"/>
  <c r="K123" i="64"/>
  <c r="L123" i="64"/>
  <c r="M123" i="64"/>
  <c r="N123" i="64"/>
  <c r="O123" i="64"/>
  <c r="P123" i="64"/>
  <c r="Q123" i="64"/>
  <c r="R123" i="64"/>
  <c r="S123" i="64"/>
  <c r="T123" i="64"/>
  <c r="U123" i="64"/>
  <c r="V123" i="64"/>
  <c r="W123" i="64"/>
  <c r="X123" i="64"/>
  <c r="Y123" i="64"/>
  <c r="Z123" i="64"/>
  <c r="AA123" i="64"/>
  <c r="AB123" i="64"/>
  <c r="AC123" i="64"/>
  <c r="AD123" i="64"/>
  <c r="AE123" i="64"/>
  <c r="AF123" i="64"/>
  <c r="AG123" i="64"/>
  <c r="AH123" i="64"/>
  <c r="AI123" i="64"/>
  <c r="AJ123" i="64"/>
  <c r="AK123" i="64"/>
  <c r="AL123" i="64"/>
  <c r="AM123" i="64"/>
  <c r="AN123" i="64"/>
  <c r="AO123" i="64"/>
  <c r="AP123" i="64"/>
  <c r="AQ123" i="64"/>
  <c r="AR123" i="64"/>
  <c r="AS123" i="64"/>
  <c r="AT123" i="64"/>
  <c r="AU123" i="64"/>
  <c r="AV123" i="64"/>
  <c r="AW123" i="64"/>
  <c r="AX123" i="64"/>
  <c r="AY123" i="64"/>
  <c r="AZ123" i="64"/>
  <c r="BA123" i="64"/>
  <c r="BB123" i="64"/>
  <c r="BC123" i="64"/>
  <c r="BD123" i="64"/>
  <c r="BE123" i="64"/>
  <c r="BF123" i="64"/>
  <c r="C124" i="64"/>
  <c r="D124" i="64"/>
  <c r="E124" i="64"/>
  <c r="F124" i="64"/>
  <c r="G124" i="64"/>
  <c r="H124" i="64"/>
  <c r="I124" i="64"/>
  <c r="J124" i="64"/>
  <c r="K124" i="64"/>
  <c r="L124" i="64"/>
  <c r="M124" i="64"/>
  <c r="N124" i="64"/>
  <c r="O124" i="64"/>
  <c r="P124" i="64"/>
  <c r="Q124" i="64"/>
  <c r="R124" i="64"/>
  <c r="S124" i="64"/>
  <c r="T124" i="64"/>
  <c r="U124" i="64"/>
  <c r="V124" i="64"/>
  <c r="W124" i="64"/>
  <c r="X124" i="64"/>
  <c r="Y124" i="64"/>
  <c r="Z124" i="64"/>
  <c r="AA124" i="64"/>
  <c r="AB124" i="64"/>
  <c r="AC124" i="64"/>
  <c r="AD124" i="64"/>
  <c r="AE124" i="64"/>
  <c r="AF124" i="64"/>
  <c r="AG124" i="64"/>
  <c r="AH124" i="64"/>
  <c r="AI124" i="64"/>
  <c r="AJ124" i="64"/>
  <c r="AK124" i="64"/>
  <c r="AL124" i="64"/>
  <c r="AM124" i="64"/>
  <c r="AN124" i="64"/>
  <c r="AO124" i="64"/>
  <c r="AP124" i="64"/>
  <c r="AQ124" i="64"/>
  <c r="AR124" i="64"/>
  <c r="AS124" i="64"/>
  <c r="AT124" i="64"/>
  <c r="AU124" i="64"/>
  <c r="AV124" i="64"/>
  <c r="AW124" i="64"/>
  <c r="AX124" i="64"/>
  <c r="AY124" i="64"/>
  <c r="AZ124" i="64"/>
  <c r="BA124" i="64"/>
  <c r="BB124" i="64"/>
  <c r="BC124" i="64"/>
  <c r="BD124" i="64"/>
  <c r="BE124" i="64"/>
  <c r="BF124" i="64"/>
  <c r="C125" i="64"/>
  <c r="D125" i="64"/>
  <c r="E125" i="64"/>
  <c r="F125" i="64"/>
  <c r="G125" i="64"/>
  <c r="H125" i="64"/>
  <c r="I125" i="64"/>
  <c r="J125" i="64"/>
  <c r="K125" i="64"/>
  <c r="L125" i="64"/>
  <c r="M125" i="64"/>
  <c r="N125" i="64"/>
  <c r="O125" i="64"/>
  <c r="P125" i="64"/>
  <c r="Q125" i="64"/>
  <c r="R125" i="64"/>
  <c r="S125" i="64"/>
  <c r="T125" i="64"/>
  <c r="U125" i="64"/>
  <c r="V125" i="64"/>
  <c r="W125" i="64"/>
  <c r="X125" i="64"/>
  <c r="Y125" i="64"/>
  <c r="Z125" i="64"/>
  <c r="AA125" i="64"/>
  <c r="AB125" i="64"/>
  <c r="AC125" i="64"/>
  <c r="AD125" i="64"/>
  <c r="AE125" i="64"/>
  <c r="AF125" i="64"/>
  <c r="AG125" i="64"/>
  <c r="AH125" i="64"/>
  <c r="AI125" i="64"/>
  <c r="AJ125" i="64"/>
  <c r="AK125" i="64"/>
  <c r="AL125" i="64"/>
  <c r="AM125" i="64"/>
  <c r="AN125" i="64"/>
  <c r="AO125" i="64"/>
  <c r="AP125" i="64"/>
  <c r="AQ125" i="64"/>
  <c r="AR125" i="64"/>
  <c r="AS125" i="64"/>
  <c r="AT125" i="64"/>
  <c r="AU125" i="64"/>
  <c r="AV125" i="64"/>
  <c r="AW125" i="64"/>
  <c r="AX125" i="64"/>
  <c r="AY125" i="64"/>
  <c r="AZ125" i="64"/>
  <c r="BA125" i="64"/>
  <c r="BB125" i="64"/>
  <c r="BC125" i="64"/>
  <c r="BD125" i="64"/>
  <c r="BE125" i="64"/>
  <c r="BF125" i="64"/>
  <c r="C126" i="64"/>
  <c r="D126" i="64"/>
  <c r="E126" i="64"/>
  <c r="F126" i="64"/>
  <c r="G126" i="64"/>
  <c r="H126" i="64"/>
  <c r="I126" i="64"/>
  <c r="J126" i="64"/>
  <c r="K126" i="64"/>
  <c r="L126" i="64"/>
  <c r="M126" i="64"/>
  <c r="N126" i="64"/>
  <c r="O126" i="64"/>
  <c r="P126" i="64"/>
  <c r="Q126" i="64"/>
  <c r="R126" i="64"/>
  <c r="S126" i="64"/>
  <c r="T126" i="64"/>
  <c r="U126" i="64"/>
  <c r="V126" i="64"/>
  <c r="W126" i="64"/>
  <c r="X126" i="64"/>
  <c r="Y126" i="64"/>
  <c r="Z126" i="64"/>
  <c r="AA126" i="64"/>
  <c r="AB126" i="64"/>
  <c r="AC126" i="64"/>
  <c r="AD126" i="64"/>
  <c r="AE126" i="64"/>
  <c r="AF126" i="64"/>
  <c r="AG126" i="64"/>
  <c r="AH126" i="64"/>
  <c r="AI126" i="64"/>
  <c r="AJ126" i="64"/>
  <c r="AK126" i="64"/>
  <c r="AL126" i="64"/>
  <c r="AM126" i="64"/>
  <c r="AN126" i="64"/>
  <c r="AO126" i="64"/>
  <c r="AP126" i="64"/>
  <c r="AQ126" i="64"/>
  <c r="AR126" i="64"/>
  <c r="AS126" i="64"/>
  <c r="AT126" i="64"/>
  <c r="AU126" i="64"/>
  <c r="AV126" i="64"/>
  <c r="AW126" i="64"/>
  <c r="AX126" i="64"/>
  <c r="AY126" i="64"/>
  <c r="AZ126" i="64"/>
  <c r="BA126" i="64"/>
  <c r="BB126" i="64"/>
  <c r="BC126" i="64"/>
  <c r="BD126" i="64"/>
  <c r="BE126" i="64"/>
  <c r="BF126" i="64"/>
  <c r="C127" i="64"/>
  <c r="D127" i="64"/>
  <c r="E127" i="64"/>
  <c r="F127" i="64"/>
  <c r="G127" i="64"/>
  <c r="H127" i="64"/>
  <c r="I127" i="64"/>
  <c r="J127" i="64"/>
  <c r="K127" i="64"/>
  <c r="L127" i="64"/>
  <c r="M127" i="64"/>
  <c r="N127" i="64"/>
  <c r="O127" i="64"/>
  <c r="P127" i="64"/>
  <c r="Q127" i="64"/>
  <c r="R127" i="64"/>
  <c r="S127" i="64"/>
  <c r="T127" i="64"/>
  <c r="U127" i="64"/>
  <c r="V127" i="64"/>
  <c r="W127" i="64"/>
  <c r="X127" i="64"/>
  <c r="Y127" i="64"/>
  <c r="Z127" i="64"/>
  <c r="AA127" i="64"/>
  <c r="AB127" i="64"/>
  <c r="AC127" i="64"/>
  <c r="AD127" i="64"/>
  <c r="AE127" i="64"/>
  <c r="AF127" i="64"/>
  <c r="AG127" i="64"/>
  <c r="AH127" i="64"/>
  <c r="AI127" i="64"/>
  <c r="AJ127" i="64"/>
  <c r="AK127" i="64"/>
  <c r="AL127" i="64"/>
  <c r="AM127" i="64"/>
  <c r="AN127" i="64"/>
  <c r="AO127" i="64"/>
  <c r="AP127" i="64"/>
  <c r="AQ127" i="64"/>
  <c r="AR127" i="64"/>
  <c r="AS127" i="64"/>
  <c r="AT127" i="64"/>
  <c r="AU127" i="64"/>
  <c r="AV127" i="64"/>
  <c r="AW127" i="64"/>
  <c r="AX127" i="64"/>
  <c r="AY127" i="64"/>
  <c r="AZ127" i="64"/>
  <c r="BA127" i="64"/>
  <c r="BB127" i="64"/>
  <c r="BC127" i="64"/>
  <c r="BD127" i="64"/>
  <c r="BE127" i="64"/>
  <c r="BF127" i="64"/>
  <c r="C128" i="64"/>
  <c r="D128" i="64"/>
  <c r="E128" i="64"/>
  <c r="F128" i="64"/>
  <c r="G128" i="64"/>
  <c r="H128" i="64"/>
  <c r="I128" i="64"/>
  <c r="J128" i="64"/>
  <c r="K128" i="64"/>
  <c r="L128" i="64"/>
  <c r="M128" i="64"/>
  <c r="N128" i="64"/>
  <c r="O128" i="64"/>
  <c r="P128" i="64"/>
  <c r="Q128" i="64"/>
  <c r="R128" i="64"/>
  <c r="S128" i="64"/>
  <c r="T128" i="64"/>
  <c r="U128" i="64"/>
  <c r="V128" i="64"/>
  <c r="W128" i="64"/>
  <c r="X128" i="64"/>
  <c r="Y128" i="64"/>
  <c r="Z128" i="64"/>
  <c r="AA128" i="64"/>
  <c r="AB128" i="64"/>
  <c r="AC128" i="64"/>
  <c r="AD128" i="64"/>
  <c r="AE128" i="64"/>
  <c r="AF128" i="64"/>
  <c r="AG128" i="64"/>
  <c r="AH128" i="64"/>
  <c r="AI128" i="64"/>
  <c r="AJ128" i="64"/>
  <c r="AK128" i="64"/>
  <c r="AL128" i="64"/>
  <c r="AM128" i="64"/>
  <c r="AN128" i="64"/>
  <c r="AO128" i="64"/>
  <c r="AP128" i="64"/>
  <c r="AQ128" i="64"/>
  <c r="AR128" i="64"/>
  <c r="AS128" i="64"/>
  <c r="AT128" i="64"/>
  <c r="AU128" i="64"/>
  <c r="AV128" i="64"/>
  <c r="AW128" i="64"/>
  <c r="AX128" i="64"/>
  <c r="AY128" i="64"/>
  <c r="AZ128" i="64"/>
  <c r="BA128" i="64"/>
  <c r="BB128" i="64"/>
  <c r="BC128" i="64"/>
  <c r="BD128" i="64"/>
  <c r="BE128" i="64"/>
  <c r="BF128" i="64"/>
  <c r="C129" i="64"/>
  <c r="D129" i="64"/>
  <c r="E129" i="64"/>
  <c r="F129" i="64"/>
  <c r="G129" i="64"/>
  <c r="H129" i="64"/>
  <c r="I129" i="64"/>
  <c r="J129" i="64"/>
  <c r="K129" i="64"/>
  <c r="L129" i="64"/>
  <c r="M129" i="64"/>
  <c r="N129" i="64"/>
  <c r="O129" i="64"/>
  <c r="P129" i="64"/>
  <c r="Q129" i="64"/>
  <c r="R129" i="64"/>
  <c r="S129" i="64"/>
  <c r="T129" i="64"/>
  <c r="U129" i="64"/>
  <c r="V129" i="64"/>
  <c r="W129" i="64"/>
  <c r="X129" i="64"/>
  <c r="Y129" i="64"/>
  <c r="Z129" i="64"/>
  <c r="AA129" i="64"/>
  <c r="AB129" i="64"/>
  <c r="AC129" i="64"/>
  <c r="AD129" i="64"/>
  <c r="AE129" i="64"/>
  <c r="AF129" i="64"/>
  <c r="AG129" i="64"/>
  <c r="AH129" i="64"/>
  <c r="AI129" i="64"/>
  <c r="AJ129" i="64"/>
  <c r="AK129" i="64"/>
  <c r="AL129" i="64"/>
  <c r="AM129" i="64"/>
  <c r="AN129" i="64"/>
  <c r="AO129" i="64"/>
  <c r="AP129" i="64"/>
  <c r="AQ129" i="64"/>
  <c r="AR129" i="64"/>
  <c r="AS129" i="64"/>
  <c r="AT129" i="64"/>
  <c r="AU129" i="64"/>
  <c r="AV129" i="64"/>
  <c r="AW129" i="64"/>
  <c r="AX129" i="64"/>
  <c r="AY129" i="64"/>
  <c r="AZ129" i="64"/>
  <c r="BA129" i="64"/>
  <c r="BB129" i="64"/>
  <c r="BC129" i="64"/>
  <c r="BD129" i="64"/>
  <c r="BE129" i="64"/>
  <c r="BF129" i="64"/>
  <c r="C130" i="64"/>
  <c r="D130" i="64"/>
  <c r="E130" i="64"/>
  <c r="F130" i="64"/>
  <c r="G130" i="64"/>
  <c r="H130" i="64"/>
  <c r="I130" i="64"/>
  <c r="J130" i="64"/>
  <c r="K130" i="64"/>
  <c r="L130" i="64"/>
  <c r="M130" i="64"/>
  <c r="N130" i="64"/>
  <c r="O130" i="64"/>
  <c r="P130" i="64"/>
  <c r="Q130" i="64"/>
  <c r="R130" i="64"/>
  <c r="S130" i="64"/>
  <c r="T130" i="64"/>
  <c r="U130" i="64"/>
  <c r="V130" i="64"/>
  <c r="W130" i="64"/>
  <c r="X130" i="64"/>
  <c r="Y130" i="64"/>
  <c r="Z130" i="64"/>
  <c r="AA130" i="64"/>
  <c r="AB130" i="64"/>
  <c r="AC130" i="64"/>
  <c r="AD130" i="64"/>
  <c r="AE130" i="64"/>
  <c r="AF130" i="64"/>
  <c r="AG130" i="64"/>
  <c r="AH130" i="64"/>
  <c r="AI130" i="64"/>
  <c r="AJ130" i="64"/>
  <c r="AK130" i="64"/>
  <c r="AL130" i="64"/>
  <c r="AM130" i="64"/>
  <c r="AN130" i="64"/>
  <c r="AO130" i="64"/>
  <c r="AP130" i="64"/>
  <c r="AQ130" i="64"/>
  <c r="AR130" i="64"/>
  <c r="AS130" i="64"/>
  <c r="AT130" i="64"/>
  <c r="AU130" i="64"/>
  <c r="AV130" i="64"/>
  <c r="AW130" i="64"/>
  <c r="AX130" i="64"/>
  <c r="AY130" i="64"/>
  <c r="AZ130" i="64"/>
  <c r="BA130" i="64"/>
  <c r="BB130" i="64"/>
  <c r="BC130" i="64"/>
  <c r="BD130" i="64"/>
  <c r="BE130" i="64"/>
  <c r="BF130" i="64"/>
  <c r="C131" i="64"/>
  <c r="D131" i="64"/>
  <c r="E131" i="64"/>
  <c r="F131" i="64"/>
  <c r="G131" i="64"/>
  <c r="H131" i="64"/>
  <c r="I131" i="64"/>
  <c r="J131" i="64"/>
  <c r="K131" i="64"/>
  <c r="L131" i="64"/>
  <c r="M131" i="64"/>
  <c r="N131" i="64"/>
  <c r="O131" i="64"/>
  <c r="P131" i="64"/>
  <c r="Q131" i="64"/>
  <c r="R131" i="64"/>
  <c r="S131" i="64"/>
  <c r="T131" i="64"/>
  <c r="U131" i="64"/>
  <c r="V131" i="64"/>
  <c r="W131" i="64"/>
  <c r="X131" i="64"/>
  <c r="Y131" i="64"/>
  <c r="Z131" i="64"/>
  <c r="AA131" i="64"/>
  <c r="AB131" i="64"/>
  <c r="AC131" i="64"/>
  <c r="AD131" i="64"/>
  <c r="AE131" i="64"/>
  <c r="AF131" i="64"/>
  <c r="AG131" i="64"/>
  <c r="AH131" i="64"/>
  <c r="AI131" i="64"/>
  <c r="AJ131" i="64"/>
  <c r="AK131" i="64"/>
  <c r="AL131" i="64"/>
  <c r="AM131" i="64"/>
  <c r="AN131" i="64"/>
  <c r="AO131" i="64"/>
  <c r="AP131" i="64"/>
  <c r="AQ131" i="64"/>
  <c r="AR131" i="64"/>
  <c r="AS131" i="64"/>
  <c r="AT131" i="64"/>
  <c r="AU131" i="64"/>
  <c r="AV131" i="64"/>
  <c r="AW131" i="64"/>
  <c r="AX131" i="64"/>
  <c r="AY131" i="64"/>
  <c r="AZ131" i="64"/>
  <c r="BA131" i="64"/>
  <c r="BB131" i="64"/>
  <c r="BC131" i="64"/>
  <c r="BD131" i="64"/>
  <c r="BE131" i="64"/>
  <c r="BF131" i="64"/>
  <c r="C132" i="64"/>
  <c r="D132" i="64"/>
  <c r="E132" i="64"/>
  <c r="F132" i="64"/>
  <c r="G132" i="64"/>
  <c r="H132" i="64"/>
  <c r="I132" i="64"/>
  <c r="J132" i="64"/>
  <c r="K132" i="64"/>
  <c r="L132" i="64"/>
  <c r="M132" i="64"/>
  <c r="N132" i="64"/>
  <c r="O132" i="64"/>
  <c r="P132" i="64"/>
  <c r="Q132" i="64"/>
  <c r="R132" i="64"/>
  <c r="S132" i="64"/>
  <c r="T132" i="64"/>
  <c r="U132" i="64"/>
  <c r="V132" i="64"/>
  <c r="W132" i="64"/>
  <c r="X132" i="64"/>
  <c r="Y132" i="64"/>
  <c r="Z132" i="64"/>
  <c r="AA132" i="64"/>
  <c r="AB132" i="64"/>
  <c r="AC132" i="64"/>
  <c r="AD132" i="64"/>
  <c r="AE132" i="64"/>
  <c r="AF132" i="64"/>
  <c r="AG132" i="64"/>
  <c r="AH132" i="64"/>
  <c r="AI132" i="64"/>
  <c r="AJ132" i="64"/>
  <c r="AK132" i="64"/>
  <c r="AL132" i="64"/>
  <c r="AM132" i="64"/>
  <c r="AN132" i="64"/>
  <c r="AO132" i="64"/>
  <c r="AP132" i="64"/>
  <c r="AQ132" i="64"/>
  <c r="AR132" i="64"/>
  <c r="AS132" i="64"/>
  <c r="AT132" i="64"/>
  <c r="AU132" i="64"/>
  <c r="AV132" i="64"/>
  <c r="AW132" i="64"/>
  <c r="AX132" i="64"/>
  <c r="AY132" i="64"/>
  <c r="AZ132" i="64"/>
  <c r="BA132" i="64"/>
  <c r="BB132" i="64"/>
  <c r="BC132" i="64"/>
  <c r="BD132" i="64"/>
  <c r="BE132" i="64"/>
  <c r="BF132" i="64"/>
  <c r="C133" i="64"/>
  <c r="D133" i="64"/>
  <c r="E133" i="64"/>
  <c r="F133" i="64"/>
  <c r="G133" i="64"/>
  <c r="H133" i="64"/>
  <c r="I133" i="64"/>
  <c r="J133" i="64"/>
  <c r="K133" i="64"/>
  <c r="L133" i="64"/>
  <c r="M133" i="64"/>
  <c r="N133" i="64"/>
  <c r="O133" i="64"/>
  <c r="P133" i="64"/>
  <c r="Q133" i="64"/>
  <c r="R133" i="64"/>
  <c r="S133" i="64"/>
  <c r="T133" i="64"/>
  <c r="U133" i="64"/>
  <c r="V133" i="64"/>
  <c r="W133" i="64"/>
  <c r="X133" i="64"/>
  <c r="Y133" i="64"/>
  <c r="Z133" i="64"/>
  <c r="AA133" i="64"/>
  <c r="AB133" i="64"/>
  <c r="AC133" i="64"/>
  <c r="AD133" i="64"/>
  <c r="AE133" i="64"/>
  <c r="AF133" i="64"/>
  <c r="AG133" i="64"/>
  <c r="AH133" i="64"/>
  <c r="AI133" i="64"/>
  <c r="AJ133" i="64"/>
  <c r="AK133" i="64"/>
  <c r="AL133" i="64"/>
  <c r="AM133" i="64"/>
  <c r="AN133" i="64"/>
  <c r="AO133" i="64"/>
  <c r="AP133" i="64"/>
  <c r="AQ133" i="64"/>
  <c r="AR133" i="64"/>
  <c r="AS133" i="64"/>
  <c r="AT133" i="64"/>
  <c r="AU133" i="64"/>
  <c r="AV133" i="64"/>
  <c r="AW133" i="64"/>
  <c r="AX133" i="64"/>
  <c r="AY133" i="64"/>
  <c r="AZ133" i="64"/>
  <c r="BA133" i="64"/>
  <c r="BB133" i="64"/>
  <c r="BC133" i="64"/>
  <c r="BD133" i="64"/>
  <c r="BE133" i="64"/>
  <c r="BF133" i="64"/>
  <c r="C134" i="64"/>
  <c r="D134" i="64"/>
  <c r="E134" i="64"/>
  <c r="F134" i="64"/>
  <c r="G134" i="64"/>
  <c r="H134" i="64"/>
  <c r="I134" i="64"/>
  <c r="J134" i="64"/>
  <c r="K134" i="64"/>
  <c r="L134" i="64"/>
  <c r="M134" i="64"/>
  <c r="N134" i="64"/>
  <c r="O134" i="64"/>
  <c r="P134" i="64"/>
  <c r="Q134" i="64"/>
  <c r="R134" i="64"/>
  <c r="S134" i="64"/>
  <c r="T134" i="64"/>
  <c r="U134" i="64"/>
  <c r="V134" i="64"/>
  <c r="W134" i="64"/>
  <c r="X134" i="64"/>
  <c r="Y134" i="64"/>
  <c r="Z134" i="64"/>
  <c r="AA134" i="64"/>
  <c r="AB134" i="64"/>
  <c r="AC134" i="64"/>
  <c r="AD134" i="64"/>
  <c r="AE134" i="64"/>
  <c r="AF134" i="64"/>
  <c r="AG134" i="64"/>
  <c r="AH134" i="64"/>
  <c r="AI134" i="64"/>
  <c r="AJ134" i="64"/>
  <c r="AK134" i="64"/>
  <c r="AL134" i="64"/>
  <c r="AM134" i="64"/>
  <c r="AN134" i="64"/>
  <c r="AO134" i="64"/>
  <c r="AP134" i="64"/>
  <c r="AQ134" i="64"/>
  <c r="AR134" i="64"/>
  <c r="AS134" i="64"/>
  <c r="AT134" i="64"/>
  <c r="AU134" i="64"/>
  <c r="AV134" i="64"/>
  <c r="AW134" i="64"/>
  <c r="AX134" i="64"/>
  <c r="AY134" i="64"/>
  <c r="AZ134" i="64"/>
  <c r="BA134" i="64"/>
  <c r="BB134" i="64"/>
  <c r="BC134" i="64"/>
  <c r="BD134" i="64"/>
  <c r="BE134" i="64"/>
  <c r="BF134" i="64"/>
  <c r="C135" i="64"/>
  <c r="D135" i="64"/>
  <c r="E135" i="64"/>
  <c r="F135" i="64"/>
  <c r="G135" i="64"/>
  <c r="H135" i="64"/>
  <c r="I135" i="64"/>
  <c r="J135" i="64"/>
  <c r="K135" i="64"/>
  <c r="L135" i="64"/>
  <c r="M135" i="64"/>
  <c r="N135" i="64"/>
  <c r="O135" i="64"/>
  <c r="P135" i="64"/>
  <c r="Q135" i="64"/>
  <c r="R135" i="64"/>
  <c r="S135" i="64"/>
  <c r="T135" i="64"/>
  <c r="U135" i="64"/>
  <c r="V135" i="64"/>
  <c r="W135" i="64"/>
  <c r="X135" i="64"/>
  <c r="Y135" i="64"/>
  <c r="Z135" i="64"/>
  <c r="AA135" i="64"/>
  <c r="AB135" i="64"/>
  <c r="AC135" i="64"/>
  <c r="AD135" i="64"/>
  <c r="AE135" i="64"/>
  <c r="AF135" i="64"/>
  <c r="AG135" i="64"/>
  <c r="AH135" i="64"/>
  <c r="AI135" i="64"/>
  <c r="AJ135" i="64"/>
  <c r="AK135" i="64"/>
  <c r="AL135" i="64"/>
  <c r="AM135" i="64"/>
  <c r="AN135" i="64"/>
  <c r="AO135" i="64"/>
  <c r="AP135" i="64"/>
  <c r="AQ135" i="64"/>
  <c r="AR135" i="64"/>
  <c r="AS135" i="64"/>
  <c r="AT135" i="64"/>
  <c r="AU135" i="64"/>
  <c r="AV135" i="64"/>
  <c r="AW135" i="64"/>
  <c r="AX135" i="64"/>
  <c r="AY135" i="64"/>
  <c r="AZ135" i="64"/>
  <c r="BA135" i="64"/>
  <c r="BB135" i="64"/>
  <c r="BC135" i="64"/>
  <c r="BD135" i="64"/>
  <c r="BE135" i="64"/>
  <c r="BF135" i="64"/>
  <c r="C136" i="64"/>
  <c r="D136" i="64"/>
  <c r="E136" i="64"/>
  <c r="F136" i="64"/>
  <c r="G136" i="64"/>
  <c r="H136" i="64"/>
  <c r="I136" i="64"/>
  <c r="J136" i="64"/>
  <c r="K136" i="64"/>
  <c r="L136" i="64"/>
  <c r="M136" i="64"/>
  <c r="N136" i="64"/>
  <c r="O136" i="64"/>
  <c r="P136" i="64"/>
  <c r="Q136" i="64"/>
  <c r="R136" i="64"/>
  <c r="S136" i="64"/>
  <c r="T136" i="64"/>
  <c r="U136" i="64"/>
  <c r="V136" i="64"/>
  <c r="W136" i="64"/>
  <c r="X136" i="64"/>
  <c r="Y136" i="64"/>
  <c r="Z136" i="64"/>
  <c r="AA136" i="64"/>
  <c r="AB136" i="64"/>
  <c r="AC136" i="64"/>
  <c r="AD136" i="64"/>
  <c r="AE136" i="64"/>
  <c r="AF136" i="64"/>
  <c r="AG136" i="64"/>
  <c r="AH136" i="64"/>
  <c r="AI136" i="64"/>
  <c r="AJ136" i="64"/>
  <c r="AK136" i="64"/>
  <c r="AL136" i="64"/>
  <c r="AM136" i="64"/>
  <c r="AN136" i="64"/>
  <c r="AO136" i="64"/>
  <c r="AP136" i="64"/>
  <c r="AQ136" i="64"/>
  <c r="AR136" i="64"/>
  <c r="AS136" i="64"/>
  <c r="AT136" i="64"/>
  <c r="AU136" i="64"/>
  <c r="AV136" i="64"/>
  <c r="AW136" i="64"/>
  <c r="AX136" i="64"/>
  <c r="AY136" i="64"/>
  <c r="AZ136" i="64"/>
  <c r="BA136" i="64"/>
  <c r="BB136" i="64"/>
  <c r="BC136" i="64"/>
  <c r="BD136" i="64"/>
  <c r="BE136" i="64"/>
  <c r="BF136" i="64"/>
  <c r="C137" i="64"/>
  <c r="D137" i="64"/>
  <c r="E137" i="64"/>
  <c r="F137" i="64"/>
  <c r="G137" i="64"/>
  <c r="H137" i="64"/>
  <c r="I137" i="64"/>
  <c r="J137" i="64"/>
  <c r="K137" i="64"/>
  <c r="L137" i="64"/>
  <c r="M137" i="64"/>
  <c r="N137" i="64"/>
  <c r="O137" i="64"/>
  <c r="P137" i="64"/>
  <c r="Q137" i="64"/>
  <c r="R137" i="64"/>
  <c r="S137" i="64"/>
  <c r="T137" i="64"/>
  <c r="U137" i="64"/>
  <c r="V137" i="64"/>
  <c r="W137" i="64"/>
  <c r="X137" i="64"/>
  <c r="Y137" i="64"/>
  <c r="Z137" i="64"/>
  <c r="AA137" i="64"/>
  <c r="AB137" i="64"/>
  <c r="AC137" i="64"/>
  <c r="AD137" i="64"/>
  <c r="AE137" i="64"/>
  <c r="AF137" i="64"/>
  <c r="AG137" i="64"/>
  <c r="AH137" i="64"/>
  <c r="AI137" i="64"/>
  <c r="AJ137" i="64"/>
  <c r="AK137" i="64"/>
  <c r="AL137" i="64"/>
  <c r="AM137" i="64"/>
  <c r="AN137" i="64"/>
  <c r="AO137" i="64"/>
  <c r="AP137" i="64"/>
  <c r="AQ137" i="64"/>
  <c r="AR137" i="64"/>
  <c r="AS137" i="64"/>
  <c r="AT137" i="64"/>
  <c r="AU137" i="64"/>
  <c r="AV137" i="64"/>
  <c r="AW137" i="64"/>
  <c r="AX137" i="64"/>
  <c r="AY137" i="64"/>
  <c r="AZ137" i="64"/>
  <c r="BA137" i="64"/>
  <c r="BB137" i="64"/>
  <c r="BC137" i="64"/>
  <c r="BD137" i="64"/>
  <c r="BE137" i="64"/>
  <c r="BF137" i="64"/>
  <c r="C138" i="64"/>
  <c r="D138" i="64"/>
  <c r="E138" i="64"/>
  <c r="F138" i="64"/>
  <c r="G138" i="64"/>
  <c r="H138" i="64"/>
  <c r="I138" i="64"/>
  <c r="J138" i="64"/>
  <c r="K138" i="64"/>
  <c r="L138" i="64"/>
  <c r="M138" i="64"/>
  <c r="N138" i="64"/>
  <c r="O138" i="64"/>
  <c r="P138" i="64"/>
  <c r="Q138" i="64"/>
  <c r="R138" i="64"/>
  <c r="S138" i="64"/>
  <c r="T138" i="64"/>
  <c r="U138" i="64"/>
  <c r="V138" i="64"/>
  <c r="W138" i="64"/>
  <c r="X138" i="64"/>
  <c r="Y138" i="64"/>
  <c r="Z138" i="64"/>
  <c r="AA138" i="64"/>
  <c r="AB138" i="64"/>
  <c r="AC138" i="64"/>
  <c r="AD138" i="64"/>
  <c r="AE138" i="64"/>
  <c r="AF138" i="64"/>
  <c r="AG138" i="64"/>
  <c r="AH138" i="64"/>
  <c r="AI138" i="64"/>
  <c r="AJ138" i="64"/>
  <c r="AK138" i="64"/>
  <c r="AL138" i="64"/>
  <c r="AM138" i="64"/>
  <c r="AN138" i="64"/>
  <c r="AO138" i="64"/>
  <c r="AP138" i="64"/>
  <c r="AQ138" i="64"/>
  <c r="AR138" i="64"/>
  <c r="AS138" i="64"/>
  <c r="AT138" i="64"/>
  <c r="AU138" i="64"/>
  <c r="AV138" i="64"/>
  <c r="AW138" i="64"/>
  <c r="AX138" i="64"/>
  <c r="AY138" i="64"/>
  <c r="AZ138" i="64"/>
  <c r="BA138" i="64"/>
  <c r="BB138" i="64"/>
  <c r="BC138" i="64"/>
  <c r="BD138" i="64"/>
  <c r="BE138" i="64"/>
  <c r="BF138" i="64"/>
  <c r="AX142" i="64"/>
  <c r="E143" i="64"/>
  <c r="G143" i="64"/>
  <c r="I143" i="64"/>
  <c r="J143" i="64"/>
  <c r="M143" i="64"/>
  <c r="Q143" i="64"/>
  <c r="S143" i="64"/>
  <c r="U143" i="64"/>
  <c r="Z143" i="64"/>
  <c r="AA143" i="64"/>
  <c r="AB143" i="64"/>
  <c r="AC143" i="64"/>
  <c r="AD143" i="64"/>
  <c r="AE143" i="64"/>
  <c r="AG143" i="64"/>
  <c r="AH143" i="64"/>
  <c r="AI143" i="64"/>
  <c r="AK143" i="64"/>
  <c r="AL143" i="64"/>
  <c r="AO143" i="64"/>
  <c r="AP143" i="64"/>
  <c r="AQ143" i="64"/>
  <c r="AT143" i="64"/>
  <c r="AU143" i="64"/>
  <c r="AW143" i="64"/>
  <c r="AY143" i="64"/>
  <c r="BE143" i="64"/>
  <c r="E144" i="64"/>
  <c r="F144" i="64"/>
  <c r="G144" i="64"/>
  <c r="I144" i="64"/>
  <c r="J144" i="64"/>
  <c r="M144" i="64"/>
  <c r="N144" i="64"/>
  <c r="Q144" i="64"/>
  <c r="S144" i="64"/>
  <c r="U144" i="64"/>
  <c r="Z144" i="64"/>
  <c r="AA144" i="64"/>
  <c r="AB144" i="64"/>
  <c r="AC144" i="64"/>
  <c r="AD144" i="64"/>
  <c r="AE144" i="64"/>
  <c r="AF144" i="64"/>
  <c r="AG144" i="64"/>
  <c r="AH144" i="64"/>
  <c r="AI144" i="64"/>
  <c r="AJ144" i="64"/>
  <c r="AK144" i="64"/>
  <c r="AL144" i="64"/>
  <c r="AO144" i="64"/>
  <c r="AP144" i="64"/>
  <c r="AQ144" i="64"/>
  <c r="AR144" i="64"/>
  <c r="AT144" i="64"/>
  <c r="AU144" i="64"/>
  <c r="AV144" i="64"/>
  <c r="AW144" i="64"/>
  <c r="AY144" i="64"/>
  <c r="BD144" i="64"/>
  <c r="BE144" i="64"/>
  <c r="BF144" i="64"/>
  <c r="C145" i="64"/>
  <c r="E145" i="64"/>
  <c r="F145" i="64"/>
  <c r="G145" i="64"/>
  <c r="H145" i="64"/>
  <c r="I145" i="64"/>
  <c r="J145" i="64"/>
  <c r="K145" i="64"/>
  <c r="M145" i="64"/>
  <c r="N145" i="64"/>
  <c r="Q145" i="64"/>
  <c r="R145" i="64"/>
  <c r="S145" i="64"/>
  <c r="U145" i="64"/>
  <c r="Z145" i="64"/>
  <c r="AA145" i="64"/>
  <c r="AB145" i="64"/>
  <c r="AC145" i="64"/>
  <c r="AD145" i="64"/>
  <c r="AE145" i="64"/>
  <c r="AF145" i="64"/>
  <c r="AG145" i="64"/>
  <c r="AH145" i="64"/>
  <c r="AI145" i="64"/>
  <c r="AJ145" i="64"/>
  <c r="AK145" i="64"/>
  <c r="AL145" i="64"/>
  <c r="AO145" i="64"/>
  <c r="AP145" i="64"/>
  <c r="AQ145" i="64"/>
  <c r="AR145" i="64"/>
  <c r="AT145" i="64"/>
  <c r="AU145" i="64"/>
  <c r="AV145" i="64"/>
  <c r="AW145" i="64"/>
  <c r="AY145" i="64"/>
  <c r="AZ145" i="64"/>
  <c r="BD145" i="64"/>
  <c r="BE145" i="64"/>
  <c r="BF145" i="64"/>
  <c r="C146" i="64"/>
  <c r="E146" i="64"/>
  <c r="F146" i="64"/>
  <c r="G146" i="64"/>
  <c r="H146" i="64"/>
  <c r="I146" i="64"/>
  <c r="J146" i="64"/>
  <c r="K146" i="64"/>
  <c r="L146" i="64"/>
  <c r="M146" i="64"/>
  <c r="N146" i="64"/>
  <c r="O146" i="64"/>
  <c r="Q146" i="64"/>
  <c r="R146" i="64"/>
  <c r="S146" i="64"/>
  <c r="T146" i="64"/>
  <c r="U146" i="64"/>
  <c r="Y146" i="64"/>
  <c r="Z146" i="64"/>
  <c r="AA146" i="64"/>
  <c r="AB146" i="64"/>
  <c r="AC146" i="64"/>
  <c r="AD146" i="64"/>
  <c r="AE146" i="64"/>
  <c r="AF146" i="64"/>
  <c r="AG146" i="64"/>
  <c r="AH146" i="64"/>
  <c r="AI146" i="64"/>
  <c r="AJ146" i="64"/>
  <c r="AK146" i="64"/>
  <c r="AL146" i="64"/>
  <c r="AO146" i="64"/>
  <c r="AP146" i="64"/>
  <c r="AQ146" i="64"/>
  <c r="AR146" i="64"/>
  <c r="AT146" i="64"/>
  <c r="AU146" i="64"/>
  <c r="AV146" i="64"/>
  <c r="AW146" i="64"/>
  <c r="AX146" i="64"/>
  <c r="AY146" i="64"/>
  <c r="AZ146" i="64"/>
  <c r="BA146" i="64"/>
  <c r="BD146" i="64"/>
  <c r="BE146" i="64"/>
  <c r="BF146" i="64"/>
  <c r="C147" i="64"/>
  <c r="E147" i="64"/>
  <c r="F147" i="64"/>
  <c r="G147" i="64"/>
  <c r="H147" i="64"/>
  <c r="I147" i="64"/>
  <c r="J147" i="64"/>
  <c r="K147" i="64"/>
  <c r="L147" i="64"/>
  <c r="M147" i="64"/>
  <c r="N147" i="64"/>
  <c r="O147" i="64"/>
  <c r="Q147" i="64"/>
  <c r="R147" i="64"/>
  <c r="S147" i="64"/>
  <c r="T147" i="64"/>
  <c r="U147" i="64"/>
  <c r="X147" i="64"/>
  <c r="Y147" i="64"/>
  <c r="Z147" i="64"/>
  <c r="AA147" i="64"/>
  <c r="AB147" i="64"/>
  <c r="AC147" i="64"/>
  <c r="AD147" i="64"/>
  <c r="AE147" i="64"/>
  <c r="AF147" i="64"/>
  <c r="AG147" i="64"/>
  <c r="AH147" i="64"/>
  <c r="AI147" i="64"/>
  <c r="AJ147" i="64"/>
  <c r="AK147" i="64"/>
  <c r="AL147" i="64"/>
  <c r="AM147" i="64"/>
  <c r="AO147" i="64"/>
  <c r="AP147" i="64"/>
  <c r="AQ147" i="64"/>
  <c r="AR147" i="64"/>
  <c r="AT147" i="64"/>
  <c r="AU147" i="64"/>
  <c r="AV147" i="64"/>
  <c r="AW147" i="64"/>
  <c r="AX147" i="64"/>
  <c r="AY147" i="64"/>
  <c r="AZ147" i="64"/>
  <c r="BA147" i="64"/>
  <c r="BD147" i="64"/>
  <c r="BE147" i="64"/>
  <c r="BF147" i="64"/>
  <c r="C148" i="64"/>
  <c r="E148" i="64"/>
  <c r="F148" i="64"/>
  <c r="G148" i="64"/>
  <c r="H148" i="64"/>
  <c r="I148" i="64"/>
  <c r="J148" i="64"/>
  <c r="K148" i="64"/>
  <c r="L148" i="64"/>
  <c r="M148" i="64"/>
  <c r="N148" i="64"/>
  <c r="O148" i="64"/>
  <c r="Q148" i="64"/>
  <c r="R148" i="64"/>
  <c r="S148" i="64"/>
  <c r="T148" i="64"/>
  <c r="U148" i="64"/>
  <c r="X148" i="64"/>
  <c r="Y148" i="64"/>
  <c r="Z148" i="64"/>
  <c r="AA148" i="64"/>
  <c r="AB148" i="64"/>
  <c r="AC148" i="64"/>
  <c r="AD148" i="64"/>
  <c r="AE148" i="64"/>
  <c r="AF148" i="64"/>
  <c r="AG148" i="64"/>
  <c r="AH148" i="64"/>
  <c r="AI148" i="64"/>
  <c r="AJ148" i="64"/>
  <c r="AK148" i="64"/>
  <c r="AL148" i="64"/>
  <c r="AM148" i="64"/>
  <c r="AN148" i="64"/>
  <c r="AO148" i="64"/>
  <c r="AP148" i="64"/>
  <c r="AQ148" i="64"/>
  <c r="AR148" i="64"/>
  <c r="AT148" i="64"/>
  <c r="AU148" i="64"/>
  <c r="AV148" i="64"/>
  <c r="AW148" i="64"/>
  <c r="AX148" i="64"/>
  <c r="AY148" i="64"/>
  <c r="AZ148" i="64"/>
  <c r="BA148" i="64"/>
  <c r="BD148" i="64"/>
  <c r="BE148" i="64"/>
  <c r="BF148" i="64"/>
  <c r="C149" i="64"/>
  <c r="D149" i="64"/>
  <c r="E149" i="64"/>
  <c r="F149" i="64"/>
  <c r="G149" i="64"/>
  <c r="H149" i="64"/>
  <c r="I149" i="64"/>
  <c r="J149" i="64"/>
  <c r="K149" i="64"/>
  <c r="L149" i="64"/>
  <c r="M149" i="64"/>
  <c r="N149" i="64"/>
  <c r="O149" i="64"/>
  <c r="Q149" i="64"/>
  <c r="R149" i="64"/>
  <c r="S149" i="64"/>
  <c r="T149" i="64"/>
  <c r="U149" i="64"/>
  <c r="V149" i="64"/>
  <c r="W149" i="64"/>
  <c r="X149" i="64"/>
  <c r="Y149" i="64"/>
  <c r="Z149" i="64"/>
  <c r="AA149" i="64"/>
  <c r="AB149" i="64"/>
  <c r="AC149" i="64"/>
  <c r="AD149" i="64"/>
  <c r="AE149" i="64"/>
  <c r="AF149" i="64"/>
  <c r="AG149" i="64"/>
  <c r="AH149" i="64"/>
  <c r="AI149" i="64"/>
  <c r="AJ149" i="64"/>
  <c r="AK149" i="64"/>
  <c r="AL149" i="64"/>
  <c r="AM149" i="64"/>
  <c r="AN149" i="64"/>
  <c r="AO149" i="64"/>
  <c r="AP149" i="64"/>
  <c r="AQ149" i="64"/>
  <c r="AR149" i="64"/>
  <c r="AT149" i="64"/>
  <c r="AU149" i="64"/>
  <c r="AV149" i="64"/>
  <c r="AW149" i="64"/>
  <c r="AX149" i="64"/>
  <c r="AY149" i="64"/>
  <c r="AZ149" i="64"/>
  <c r="BA149" i="64"/>
  <c r="BB149" i="64"/>
  <c r="BC149" i="64"/>
  <c r="BD149" i="64"/>
  <c r="BE149" i="64"/>
  <c r="BF149" i="64"/>
  <c r="C150" i="64"/>
  <c r="D150" i="64"/>
  <c r="E150" i="64"/>
  <c r="F150" i="64"/>
  <c r="G150" i="64"/>
  <c r="H150" i="64"/>
  <c r="I150" i="64"/>
  <c r="J150" i="64"/>
  <c r="K150" i="64"/>
  <c r="L150" i="64"/>
  <c r="M150" i="64"/>
  <c r="N150" i="64"/>
  <c r="O150" i="64"/>
  <c r="Q150" i="64"/>
  <c r="R150" i="64"/>
  <c r="S150" i="64"/>
  <c r="T150" i="64"/>
  <c r="U150" i="64"/>
  <c r="V150" i="64"/>
  <c r="W150" i="64"/>
  <c r="X150" i="64"/>
  <c r="Y150" i="64"/>
  <c r="Z150" i="64"/>
  <c r="AA150" i="64"/>
  <c r="AB150" i="64"/>
  <c r="AC150" i="64"/>
  <c r="AD150" i="64"/>
  <c r="AE150" i="64"/>
  <c r="AF150" i="64"/>
  <c r="AG150" i="64"/>
  <c r="AH150" i="64"/>
  <c r="AI150" i="64"/>
  <c r="AJ150" i="64"/>
  <c r="AK150" i="64"/>
  <c r="AL150" i="64"/>
  <c r="AM150" i="64"/>
  <c r="AN150" i="64"/>
  <c r="AO150" i="64"/>
  <c r="AP150" i="64"/>
  <c r="AQ150" i="64"/>
  <c r="AR150" i="64"/>
  <c r="AT150" i="64"/>
  <c r="AU150" i="64"/>
  <c r="AV150" i="64"/>
  <c r="AW150" i="64"/>
  <c r="AX150" i="64"/>
  <c r="AY150" i="64"/>
  <c r="AZ150" i="64"/>
  <c r="BA150" i="64"/>
  <c r="BB150" i="64"/>
  <c r="BC150" i="64"/>
  <c r="BD150" i="64"/>
  <c r="BE150" i="64"/>
  <c r="BF150" i="64"/>
  <c r="C151" i="64"/>
  <c r="D151" i="64"/>
  <c r="E151" i="64"/>
  <c r="F151" i="64"/>
  <c r="G151" i="64"/>
  <c r="H151" i="64"/>
  <c r="I151" i="64"/>
  <c r="J151" i="64"/>
  <c r="K151" i="64"/>
  <c r="L151" i="64"/>
  <c r="M151" i="64"/>
  <c r="N151" i="64"/>
  <c r="O151" i="64"/>
  <c r="Q151" i="64"/>
  <c r="R151" i="64"/>
  <c r="S151" i="64"/>
  <c r="T151" i="64"/>
  <c r="U151" i="64"/>
  <c r="V151" i="64"/>
  <c r="W151" i="64"/>
  <c r="X151" i="64"/>
  <c r="Y151" i="64"/>
  <c r="Z151" i="64"/>
  <c r="AA151" i="64"/>
  <c r="AB151" i="64"/>
  <c r="AC151" i="64"/>
  <c r="AD151" i="64"/>
  <c r="AE151" i="64"/>
  <c r="AF151" i="64"/>
  <c r="AG151" i="64"/>
  <c r="AH151" i="64"/>
  <c r="AI151" i="64"/>
  <c r="AJ151" i="64"/>
  <c r="AK151" i="64"/>
  <c r="AL151" i="64"/>
  <c r="AM151" i="64"/>
  <c r="AN151" i="64"/>
  <c r="AO151" i="64"/>
  <c r="AP151" i="64"/>
  <c r="AQ151" i="64"/>
  <c r="AR151" i="64"/>
  <c r="AT151" i="64"/>
  <c r="AU151" i="64"/>
  <c r="AV151" i="64"/>
  <c r="AW151" i="64"/>
  <c r="AX151" i="64"/>
  <c r="AY151" i="64"/>
  <c r="AZ151" i="64"/>
  <c r="BA151" i="64"/>
  <c r="BB151" i="64"/>
  <c r="BC151" i="64"/>
  <c r="BD151" i="64"/>
  <c r="BE151" i="64"/>
  <c r="BF151" i="64"/>
  <c r="C152" i="64"/>
  <c r="D152" i="64"/>
  <c r="E152" i="64"/>
  <c r="F152" i="64"/>
  <c r="G152" i="64"/>
  <c r="H152" i="64"/>
  <c r="I152" i="64"/>
  <c r="J152" i="64"/>
  <c r="K152" i="64"/>
  <c r="L152" i="64"/>
  <c r="M152" i="64"/>
  <c r="N152" i="64"/>
  <c r="O152" i="64"/>
  <c r="Q152" i="64"/>
  <c r="R152" i="64"/>
  <c r="S152" i="64"/>
  <c r="T152" i="64"/>
  <c r="U152" i="64"/>
  <c r="V152" i="64"/>
  <c r="W152" i="64"/>
  <c r="X152" i="64"/>
  <c r="Y152" i="64"/>
  <c r="Z152" i="64"/>
  <c r="AA152" i="64"/>
  <c r="AB152" i="64"/>
  <c r="AC152" i="64"/>
  <c r="AD152" i="64"/>
  <c r="AE152" i="64"/>
  <c r="AF152" i="64"/>
  <c r="AG152" i="64"/>
  <c r="AH152" i="64"/>
  <c r="AI152" i="64"/>
  <c r="AJ152" i="64"/>
  <c r="AK152" i="64"/>
  <c r="AL152" i="64"/>
  <c r="AM152" i="64"/>
  <c r="AN152" i="64"/>
  <c r="AO152" i="64"/>
  <c r="AP152" i="64"/>
  <c r="AQ152" i="64"/>
  <c r="AR152" i="64"/>
  <c r="AT152" i="64"/>
  <c r="AU152" i="64"/>
  <c r="AV152" i="64"/>
  <c r="AW152" i="64"/>
  <c r="AX152" i="64"/>
  <c r="AY152" i="64"/>
  <c r="AZ152" i="64"/>
  <c r="BA152" i="64"/>
  <c r="BB152" i="64"/>
  <c r="BC152" i="64"/>
  <c r="BD152" i="64"/>
  <c r="BE152" i="64"/>
  <c r="BF152" i="64"/>
  <c r="C153" i="64"/>
  <c r="D153" i="64"/>
  <c r="E153" i="64"/>
  <c r="F153" i="64"/>
  <c r="G153" i="64"/>
  <c r="H153" i="64"/>
  <c r="I153" i="64"/>
  <c r="J153" i="64"/>
  <c r="K153" i="64"/>
  <c r="L153" i="64"/>
  <c r="M153" i="64"/>
  <c r="N153" i="64"/>
  <c r="O153" i="64"/>
  <c r="Q153" i="64"/>
  <c r="R153" i="64"/>
  <c r="S153" i="64"/>
  <c r="T153" i="64"/>
  <c r="U153" i="64"/>
  <c r="V153" i="64"/>
  <c r="W153" i="64"/>
  <c r="X153" i="64"/>
  <c r="Y153" i="64"/>
  <c r="Z153" i="64"/>
  <c r="AA153" i="64"/>
  <c r="AB153" i="64"/>
  <c r="AC153" i="64"/>
  <c r="AD153" i="64"/>
  <c r="AE153" i="64"/>
  <c r="AF153" i="64"/>
  <c r="AG153" i="64"/>
  <c r="AH153" i="64"/>
  <c r="AI153" i="64"/>
  <c r="AJ153" i="64"/>
  <c r="AK153" i="64"/>
  <c r="AL153" i="64"/>
  <c r="AM153" i="64"/>
  <c r="AN153" i="64"/>
  <c r="AO153" i="64"/>
  <c r="AP153" i="64"/>
  <c r="AQ153" i="64"/>
  <c r="AR153" i="64"/>
  <c r="AS153" i="64"/>
  <c r="AT153" i="64"/>
  <c r="AU153" i="64"/>
  <c r="AV153" i="64"/>
  <c r="AW153" i="64"/>
  <c r="AX153" i="64"/>
  <c r="AY153" i="64"/>
  <c r="AZ153" i="64"/>
  <c r="BA153" i="64"/>
  <c r="BB153" i="64"/>
  <c r="BC153" i="64"/>
  <c r="BD153" i="64"/>
  <c r="BE153" i="64"/>
  <c r="BF153" i="64"/>
  <c r="C154" i="64"/>
  <c r="D154" i="64"/>
  <c r="E154" i="64"/>
  <c r="F154" i="64"/>
  <c r="G154" i="64"/>
  <c r="H154" i="64"/>
  <c r="I154" i="64"/>
  <c r="J154" i="64"/>
  <c r="K154" i="64"/>
  <c r="L154" i="64"/>
  <c r="M154" i="64"/>
  <c r="N154" i="64"/>
  <c r="O154" i="64"/>
  <c r="Q154" i="64"/>
  <c r="R154" i="64"/>
  <c r="S154" i="64"/>
  <c r="T154" i="64"/>
  <c r="U154" i="64"/>
  <c r="V154" i="64"/>
  <c r="W154" i="64"/>
  <c r="X154" i="64"/>
  <c r="Y154" i="64"/>
  <c r="Z154" i="64"/>
  <c r="AA154" i="64"/>
  <c r="AB154" i="64"/>
  <c r="AC154" i="64"/>
  <c r="AD154" i="64"/>
  <c r="AE154" i="64"/>
  <c r="AF154" i="64"/>
  <c r="AG154" i="64"/>
  <c r="AH154" i="64"/>
  <c r="AI154" i="64"/>
  <c r="AJ154" i="64"/>
  <c r="AK154" i="64"/>
  <c r="AL154" i="64"/>
  <c r="AM154" i="64"/>
  <c r="AN154" i="64"/>
  <c r="AO154" i="64"/>
  <c r="AP154" i="64"/>
  <c r="AQ154" i="64"/>
  <c r="AR154" i="64"/>
  <c r="AS154" i="64"/>
  <c r="AT154" i="64"/>
  <c r="AU154" i="64"/>
  <c r="AV154" i="64"/>
  <c r="AW154" i="64"/>
  <c r="AX154" i="64"/>
  <c r="AY154" i="64"/>
  <c r="AZ154" i="64"/>
  <c r="BA154" i="64"/>
  <c r="BB154" i="64"/>
  <c r="BC154" i="64"/>
  <c r="BD154" i="64"/>
  <c r="BE154" i="64"/>
  <c r="BF154" i="64"/>
  <c r="C155" i="64"/>
  <c r="D155" i="64"/>
  <c r="E155" i="64"/>
  <c r="F155" i="64"/>
  <c r="G155" i="64"/>
  <c r="H155" i="64"/>
  <c r="I155" i="64"/>
  <c r="J155" i="64"/>
  <c r="K155" i="64"/>
  <c r="L155" i="64"/>
  <c r="M155" i="64"/>
  <c r="N155" i="64"/>
  <c r="O155" i="64"/>
  <c r="P155" i="64"/>
  <c r="Q155" i="64"/>
  <c r="R155" i="64"/>
  <c r="S155" i="64"/>
  <c r="T155" i="64"/>
  <c r="U155" i="64"/>
  <c r="V155" i="64"/>
  <c r="W155" i="64"/>
  <c r="X155" i="64"/>
  <c r="Y155" i="64"/>
  <c r="Z155" i="64"/>
  <c r="AA155" i="64"/>
  <c r="AB155" i="64"/>
  <c r="AC155" i="64"/>
  <c r="AD155" i="64"/>
  <c r="AE155" i="64"/>
  <c r="AF155" i="64"/>
  <c r="AG155" i="64"/>
  <c r="AH155" i="64"/>
  <c r="AI155" i="64"/>
  <c r="AJ155" i="64"/>
  <c r="AK155" i="64"/>
  <c r="AL155" i="64"/>
  <c r="AM155" i="64"/>
  <c r="AN155" i="64"/>
  <c r="AO155" i="64"/>
  <c r="AP155" i="64"/>
  <c r="AQ155" i="64"/>
  <c r="AR155" i="64"/>
  <c r="AS155" i="64"/>
  <c r="AT155" i="64"/>
  <c r="AU155" i="64"/>
  <c r="AV155" i="64"/>
  <c r="AW155" i="64"/>
  <c r="AX155" i="64"/>
  <c r="AY155" i="64"/>
  <c r="AZ155" i="64"/>
  <c r="BA155" i="64"/>
  <c r="BB155" i="64"/>
  <c r="BC155" i="64"/>
  <c r="BD155" i="64"/>
  <c r="BE155" i="64"/>
  <c r="BF155" i="64"/>
  <c r="C156" i="64"/>
  <c r="D156" i="64"/>
  <c r="E156" i="64"/>
  <c r="F156" i="64"/>
  <c r="G156" i="64"/>
  <c r="H156" i="64"/>
  <c r="I156" i="64"/>
  <c r="J156" i="64"/>
  <c r="K156" i="64"/>
  <c r="L156" i="64"/>
  <c r="M156" i="64"/>
  <c r="N156" i="64"/>
  <c r="O156" i="64"/>
  <c r="P156" i="64"/>
  <c r="Q156" i="64"/>
  <c r="R156" i="64"/>
  <c r="S156" i="64"/>
  <c r="T156" i="64"/>
  <c r="U156" i="64"/>
  <c r="V156" i="64"/>
  <c r="W156" i="64"/>
  <c r="X156" i="64"/>
  <c r="Y156" i="64"/>
  <c r="Z156" i="64"/>
  <c r="AA156" i="64"/>
  <c r="AB156" i="64"/>
  <c r="AC156" i="64"/>
  <c r="AD156" i="64"/>
  <c r="AE156" i="64"/>
  <c r="AF156" i="64"/>
  <c r="AG156" i="64"/>
  <c r="AH156" i="64"/>
  <c r="AI156" i="64"/>
  <c r="AJ156" i="64"/>
  <c r="AK156" i="64"/>
  <c r="AL156" i="64"/>
  <c r="AM156" i="64"/>
  <c r="AN156" i="64"/>
  <c r="AO156" i="64"/>
  <c r="AP156" i="64"/>
  <c r="AQ156" i="64"/>
  <c r="AR156" i="64"/>
  <c r="AS156" i="64"/>
  <c r="AT156" i="64"/>
  <c r="AU156" i="64"/>
  <c r="AV156" i="64"/>
  <c r="AW156" i="64"/>
  <c r="AX156" i="64"/>
  <c r="AY156" i="64"/>
  <c r="AZ156" i="64"/>
  <c r="BA156" i="64"/>
  <c r="BB156" i="64"/>
  <c r="BC156" i="64"/>
  <c r="BD156" i="64"/>
  <c r="BE156" i="64"/>
  <c r="BF156" i="64"/>
  <c r="C157" i="64"/>
  <c r="D157" i="64"/>
  <c r="E157" i="64"/>
  <c r="F157" i="64"/>
  <c r="G157" i="64"/>
  <c r="H157" i="64"/>
  <c r="I157" i="64"/>
  <c r="J157" i="64"/>
  <c r="K157" i="64"/>
  <c r="L157" i="64"/>
  <c r="M157" i="64"/>
  <c r="N157" i="64"/>
  <c r="O157" i="64"/>
  <c r="P157" i="64"/>
  <c r="Q157" i="64"/>
  <c r="R157" i="64"/>
  <c r="S157" i="64"/>
  <c r="T157" i="64"/>
  <c r="U157" i="64"/>
  <c r="V157" i="64"/>
  <c r="W157" i="64"/>
  <c r="X157" i="64"/>
  <c r="Y157" i="64"/>
  <c r="Z157" i="64"/>
  <c r="AA157" i="64"/>
  <c r="AB157" i="64"/>
  <c r="AC157" i="64"/>
  <c r="AD157" i="64"/>
  <c r="AE157" i="64"/>
  <c r="AF157" i="64"/>
  <c r="AG157" i="64"/>
  <c r="AH157" i="64"/>
  <c r="AI157" i="64"/>
  <c r="AJ157" i="64"/>
  <c r="AK157" i="64"/>
  <c r="AL157" i="64"/>
  <c r="AM157" i="64"/>
  <c r="AN157" i="64"/>
  <c r="AO157" i="64"/>
  <c r="AP157" i="64"/>
  <c r="AQ157" i="64"/>
  <c r="AR157" i="64"/>
  <c r="AS157" i="64"/>
  <c r="AT157" i="64"/>
  <c r="AU157" i="64"/>
  <c r="AV157" i="64"/>
  <c r="AW157" i="64"/>
  <c r="AX157" i="64"/>
  <c r="AY157" i="64"/>
  <c r="AZ157" i="64"/>
  <c r="BA157" i="64"/>
  <c r="BB157" i="64"/>
  <c r="BC157" i="64"/>
  <c r="BD157" i="64"/>
  <c r="BE157" i="64"/>
  <c r="BF157" i="64"/>
  <c r="C158" i="64"/>
  <c r="D158" i="64"/>
  <c r="E158" i="64"/>
  <c r="F158" i="64"/>
  <c r="G158" i="64"/>
  <c r="H158" i="64"/>
  <c r="I158" i="64"/>
  <c r="J158" i="64"/>
  <c r="K158" i="64"/>
  <c r="L158" i="64"/>
  <c r="M158" i="64"/>
  <c r="N158" i="64"/>
  <c r="O158" i="64"/>
  <c r="P158" i="64"/>
  <c r="Q158" i="64"/>
  <c r="R158" i="64"/>
  <c r="S158" i="64"/>
  <c r="T158" i="64"/>
  <c r="U158" i="64"/>
  <c r="V158" i="64"/>
  <c r="W158" i="64"/>
  <c r="X158" i="64"/>
  <c r="Y158" i="64"/>
  <c r="Z158" i="64"/>
  <c r="AA158" i="64"/>
  <c r="AB158" i="64"/>
  <c r="AC158" i="64"/>
  <c r="AD158" i="64"/>
  <c r="AE158" i="64"/>
  <c r="AF158" i="64"/>
  <c r="AG158" i="64"/>
  <c r="AH158" i="64"/>
  <c r="AI158" i="64"/>
  <c r="AJ158" i="64"/>
  <c r="AK158" i="64"/>
  <c r="AL158" i="64"/>
  <c r="AM158" i="64"/>
  <c r="AN158" i="64"/>
  <c r="AO158" i="64"/>
  <c r="AP158" i="64"/>
  <c r="AQ158" i="64"/>
  <c r="AR158" i="64"/>
  <c r="AS158" i="64"/>
  <c r="AT158" i="64"/>
  <c r="AU158" i="64"/>
  <c r="AV158" i="64"/>
  <c r="AW158" i="64"/>
  <c r="AX158" i="64"/>
  <c r="AY158" i="64"/>
  <c r="AZ158" i="64"/>
  <c r="BA158" i="64"/>
  <c r="BB158" i="64"/>
  <c r="BC158" i="64"/>
  <c r="BD158" i="64"/>
  <c r="BE158" i="64"/>
  <c r="BF158" i="64"/>
  <c r="C159" i="64"/>
  <c r="D159" i="64"/>
  <c r="E159" i="64"/>
  <c r="F159" i="64"/>
  <c r="G159" i="64"/>
  <c r="H159" i="64"/>
  <c r="I159" i="64"/>
  <c r="J159" i="64"/>
  <c r="K159" i="64"/>
  <c r="L159" i="64"/>
  <c r="M159" i="64"/>
  <c r="N159" i="64"/>
  <c r="O159" i="64"/>
  <c r="P159" i="64"/>
  <c r="Q159" i="64"/>
  <c r="R159" i="64"/>
  <c r="S159" i="64"/>
  <c r="T159" i="64"/>
  <c r="U159" i="64"/>
  <c r="V159" i="64"/>
  <c r="W159" i="64"/>
  <c r="X159" i="64"/>
  <c r="Y159" i="64"/>
  <c r="Z159" i="64"/>
  <c r="AA159" i="64"/>
  <c r="AB159" i="64"/>
  <c r="AC159" i="64"/>
  <c r="AD159" i="64"/>
  <c r="AE159" i="64"/>
  <c r="AF159" i="64"/>
  <c r="AG159" i="64"/>
  <c r="AH159" i="64"/>
  <c r="AI159" i="64"/>
  <c r="AJ159" i="64"/>
  <c r="AK159" i="64"/>
  <c r="AL159" i="64"/>
  <c r="AM159" i="64"/>
  <c r="AN159" i="64"/>
  <c r="AO159" i="64"/>
  <c r="AP159" i="64"/>
  <c r="AQ159" i="64"/>
  <c r="AR159" i="64"/>
  <c r="AS159" i="64"/>
  <c r="AT159" i="64"/>
  <c r="AU159" i="64"/>
  <c r="AV159" i="64"/>
  <c r="AW159" i="64"/>
  <c r="AX159" i="64"/>
  <c r="AY159" i="64"/>
  <c r="AZ159" i="64"/>
  <c r="BA159" i="64"/>
  <c r="BB159" i="64"/>
  <c r="BC159" i="64"/>
  <c r="BD159" i="64"/>
  <c r="BE159" i="64"/>
  <c r="BF159" i="64"/>
  <c r="C160" i="64"/>
  <c r="D160" i="64"/>
  <c r="E160" i="64"/>
  <c r="F160" i="64"/>
  <c r="G160" i="64"/>
  <c r="H160" i="64"/>
  <c r="I160" i="64"/>
  <c r="J160" i="64"/>
  <c r="K160" i="64"/>
  <c r="L160" i="64"/>
  <c r="M160" i="64"/>
  <c r="N160" i="64"/>
  <c r="O160" i="64"/>
  <c r="P160" i="64"/>
  <c r="Q160" i="64"/>
  <c r="R160" i="64"/>
  <c r="S160" i="64"/>
  <c r="T160" i="64"/>
  <c r="U160" i="64"/>
  <c r="V160" i="64"/>
  <c r="W160" i="64"/>
  <c r="X160" i="64"/>
  <c r="Y160" i="64"/>
  <c r="Z160" i="64"/>
  <c r="AA160" i="64"/>
  <c r="AB160" i="64"/>
  <c r="AC160" i="64"/>
  <c r="AD160" i="64"/>
  <c r="AE160" i="64"/>
  <c r="AF160" i="64"/>
  <c r="AG160" i="64"/>
  <c r="AH160" i="64"/>
  <c r="AI160" i="64"/>
  <c r="AJ160" i="64"/>
  <c r="AK160" i="64"/>
  <c r="AL160" i="64"/>
  <c r="AM160" i="64"/>
  <c r="AN160" i="64"/>
  <c r="AO160" i="64"/>
  <c r="AP160" i="64"/>
  <c r="AQ160" i="64"/>
  <c r="AR160" i="64"/>
  <c r="AS160" i="64"/>
  <c r="AT160" i="64"/>
  <c r="AU160" i="64"/>
  <c r="AV160" i="64"/>
  <c r="AW160" i="64"/>
  <c r="AX160" i="64"/>
  <c r="AY160" i="64"/>
  <c r="AZ160" i="64"/>
  <c r="BA160" i="64"/>
  <c r="BB160" i="64"/>
  <c r="BC160" i="64"/>
  <c r="BD160" i="64"/>
  <c r="BE160" i="64"/>
  <c r="BF160" i="64"/>
  <c r="C161" i="64"/>
  <c r="D161" i="64"/>
  <c r="E161" i="64"/>
  <c r="F161" i="64"/>
  <c r="G161" i="64"/>
  <c r="H161" i="64"/>
  <c r="I161" i="64"/>
  <c r="J161" i="64"/>
  <c r="K161" i="64"/>
  <c r="L161" i="64"/>
  <c r="M161" i="64"/>
  <c r="N161" i="64"/>
  <c r="O161" i="64"/>
  <c r="P161" i="64"/>
  <c r="Q161" i="64"/>
  <c r="R161" i="64"/>
  <c r="S161" i="64"/>
  <c r="T161" i="64"/>
  <c r="U161" i="64"/>
  <c r="V161" i="64"/>
  <c r="W161" i="64"/>
  <c r="X161" i="64"/>
  <c r="Y161" i="64"/>
  <c r="Z161" i="64"/>
  <c r="AA161" i="64"/>
  <c r="AB161" i="64"/>
  <c r="AC161" i="64"/>
  <c r="AD161" i="64"/>
  <c r="AE161" i="64"/>
  <c r="AF161" i="64"/>
  <c r="AG161" i="64"/>
  <c r="AH161" i="64"/>
  <c r="AI161" i="64"/>
  <c r="AJ161" i="64"/>
  <c r="AK161" i="64"/>
  <c r="AL161" i="64"/>
  <c r="AM161" i="64"/>
  <c r="AN161" i="64"/>
  <c r="AO161" i="64"/>
  <c r="AP161" i="64"/>
  <c r="AQ161" i="64"/>
  <c r="AR161" i="64"/>
  <c r="AS161" i="64"/>
  <c r="AT161" i="64"/>
  <c r="AU161" i="64"/>
  <c r="AV161" i="64"/>
  <c r="AW161" i="64"/>
  <c r="AX161" i="64"/>
  <c r="AY161" i="64"/>
  <c r="AZ161" i="64"/>
  <c r="BA161" i="64"/>
  <c r="BB161" i="64"/>
  <c r="BC161" i="64"/>
  <c r="BD161" i="64"/>
  <c r="BE161" i="64"/>
  <c r="BF161" i="64"/>
  <c r="C162" i="64"/>
  <c r="D162" i="64"/>
  <c r="E162" i="64"/>
  <c r="F162" i="64"/>
  <c r="G162" i="64"/>
  <c r="H162" i="64"/>
  <c r="I162" i="64"/>
  <c r="J162" i="64"/>
  <c r="K162" i="64"/>
  <c r="L162" i="64"/>
  <c r="M162" i="64"/>
  <c r="N162" i="64"/>
  <c r="O162" i="64"/>
  <c r="P162" i="64"/>
  <c r="Q162" i="64"/>
  <c r="R162" i="64"/>
  <c r="S162" i="64"/>
  <c r="T162" i="64"/>
  <c r="U162" i="64"/>
  <c r="V162" i="64"/>
  <c r="W162" i="64"/>
  <c r="X162" i="64"/>
  <c r="Y162" i="64"/>
  <c r="Z162" i="64"/>
  <c r="AA162" i="64"/>
  <c r="AB162" i="64"/>
  <c r="AC162" i="64"/>
  <c r="AD162" i="64"/>
  <c r="AE162" i="64"/>
  <c r="AF162" i="64"/>
  <c r="AG162" i="64"/>
  <c r="AH162" i="64"/>
  <c r="AI162" i="64"/>
  <c r="AJ162" i="64"/>
  <c r="AK162" i="64"/>
  <c r="AL162" i="64"/>
  <c r="AM162" i="64"/>
  <c r="AN162" i="64"/>
  <c r="AO162" i="64"/>
  <c r="AP162" i="64"/>
  <c r="AQ162" i="64"/>
  <c r="AR162" i="64"/>
  <c r="AS162" i="64"/>
  <c r="AT162" i="64"/>
  <c r="AU162" i="64"/>
  <c r="AV162" i="64"/>
  <c r="AW162" i="64"/>
  <c r="AX162" i="64"/>
  <c r="AY162" i="64"/>
  <c r="AZ162" i="64"/>
  <c r="BA162" i="64"/>
  <c r="BB162" i="64"/>
  <c r="BC162" i="64"/>
  <c r="BD162" i="64"/>
  <c r="BE162" i="64"/>
  <c r="BF162" i="64"/>
  <c r="C163" i="64"/>
  <c r="D163" i="64"/>
  <c r="E163" i="64"/>
  <c r="F163" i="64"/>
  <c r="G163" i="64"/>
  <c r="H163" i="64"/>
  <c r="I163" i="64"/>
  <c r="J163" i="64"/>
  <c r="K163" i="64"/>
  <c r="L163" i="64"/>
  <c r="M163" i="64"/>
  <c r="N163" i="64"/>
  <c r="O163" i="64"/>
  <c r="P163" i="64"/>
  <c r="Q163" i="64"/>
  <c r="R163" i="64"/>
  <c r="S163" i="64"/>
  <c r="T163" i="64"/>
  <c r="U163" i="64"/>
  <c r="V163" i="64"/>
  <c r="W163" i="64"/>
  <c r="X163" i="64"/>
  <c r="Y163" i="64"/>
  <c r="Z163" i="64"/>
  <c r="AA163" i="64"/>
  <c r="AB163" i="64"/>
  <c r="AC163" i="64"/>
  <c r="AD163" i="64"/>
  <c r="AE163" i="64"/>
  <c r="AF163" i="64"/>
  <c r="AG163" i="64"/>
  <c r="AH163" i="64"/>
  <c r="AI163" i="64"/>
  <c r="AJ163" i="64"/>
  <c r="AK163" i="64"/>
  <c r="AL163" i="64"/>
  <c r="AM163" i="64"/>
  <c r="AN163" i="64"/>
  <c r="AO163" i="64"/>
  <c r="AP163" i="64"/>
  <c r="AQ163" i="64"/>
  <c r="AR163" i="64"/>
  <c r="AS163" i="64"/>
  <c r="AT163" i="64"/>
  <c r="AU163" i="64"/>
  <c r="AV163" i="64"/>
  <c r="AW163" i="64"/>
  <c r="AX163" i="64"/>
  <c r="AY163" i="64"/>
  <c r="AZ163" i="64"/>
  <c r="BA163" i="64"/>
  <c r="BB163" i="64"/>
  <c r="BC163" i="64"/>
  <c r="BD163" i="64"/>
  <c r="BE163" i="64"/>
  <c r="BF163" i="64"/>
  <c r="C164" i="64"/>
  <c r="D164" i="64"/>
  <c r="E164" i="64"/>
  <c r="F164" i="64"/>
  <c r="G164" i="64"/>
  <c r="H164" i="64"/>
  <c r="I164" i="64"/>
  <c r="J164" i="64"/>
  <c r="K164" i="64"/>
  <c r="L164" i="64"/>
  <c r="M164" i="64"/>
  <c r="N164" i="64"/>
  <c r="O164" i="64"/>
  <c r="P164" i="64"/>
  <c r="Q164" i="64"/>
  <c r="R164" i="64"/>
  <c r="S164" i="64"/>
  <c r="T164" i="64"/>
  <c r="U164" i="64"/>
  <c r="V164" i="64"/>
  <c r="W164" i="64"/>
  <c r="X164" i="64"/>
  <c r="Y164" i="64"/>
  <c r="Z164" i="64"/>
  <c r="AA164" i="64"/>
  <c r="AB164" i="64"/>
  <c r="AC164" i="64"/>
  <c r="AD164" i="64"/>
  <c r="AE164" i="64"/>
  <c r="AF164" i="64"/>
  <c r="AG164" i="64"/>
  <c r="AH164" i="64"/>
  <c r="AI164" i="64"/>
  <c r="AJ164" i="64"/>
  <c r="AK164" i="64"/>
  <c r="AL164" i="64"/>
  <c r="AM164" i="64"/>
  <c r="AN164" i="64"/>
  <c r="AO164" i="64"/>
  <c r="AP164" i="64"/>
  <c r="AQ164" i="64"/>
  <c r="AR164" i="64"/>
  <c r="AS164" i="64"/>
  <c r="AT164" i="64"/>
  <c r="AU164" i="64"/>
  <c r="AV164" i="64"/>
  <c r="AW164" i="64"/>
  <c r="AX164" i="64"/>
  <c r="AY164" i="64"/>
  <c r="AZ164" i="64"/>
  <c r="BA164" i="64"/>
  <c r="BB164" i="64"/>
  <c r="BC164" i="64"/>
  <c r="BD164" i="64"/>
  <c r="BE164" i="64"/>
  <c r="BF164" i="64"/>
  <c r="C165" i="64"/>
  <c r="D165" i="64"/>
  <c r="E165" i="64"/>
  <c r="F165" i="64"/>
  <c r="G165" i="64"/>
  <c r="H165" i="64"/>
  <c r="I165" i="64"/>
  <c r="J165" i="64"/>
  <c r="K165" i="64"/>
  <c r="L165" i="64"/>
  <c r="M165" i="64"/>
  <c r="N165" i="64"/>
  <c r="O165" i="64"/>
  <c r="P165" i="64"/>
  <c r="Q165" i="64"/>
  <c r="R165" i="64"/>
  <c r="S165" i="64"/>
  <c r="T165" i="64"/>
  <c r="U165" i="64"/>
  <c r="V165" i="64"/>
  <c r="W165" i="64"/>
  <c r="X165" i="64"/>
  <c r="Y165" i="64"/>
  <c r="Z165" i="64"/>
  <c r="AA165" i="64"/>
  <c r="AB165" i="64"/>
  <c r="AC165" i="64"/>
  <c r="AD165" i="64"/>
  <c r="AE165" i="64"/>
  <c r="AF165" i="64"/>
  <c r="AG165" i="64"/>
  <c r="AH165" i="64"/>
  <c r="AI165" i="64"/>
  <c r="AJ165" i="64"/>
  <c r="AK165" i="64"/>
  <c r="AL165" i="64"/>
  <c r="AM165" i="64"/>
  <c r="AN165" i="64"/>
  <c r="AO165" i="64"/>
  <c r="AP165" i="64"/>
  <c r="AQ165" i="64"/>
  <c r="AR165" i="64"/>
  <c r="AS165" i="64"/>
  <c r="AT165" i="64"/>
  <c r="AU165" i="64"/>
  <c r="AV165" i="64"/>
  <c r="AW165" i="64"/>
  <c r="AX165" i="64"/>
  <c r="AY165" i="64"/>
  <c r="AZ165" i="64"/>
  <c r="BA165" i="64"/>
  <c r="BB165" i="64"/>
  <c r="BC165" i="64"/>
  <c r="BD165" i="64"/>
  <c r="BE165" i="64"/>
  <c r="BF165" i="64"/>
  <c r="C166" i="64"/>
  <c r="D166" i="64"/>
  <c r="E166" i="64"/>
  <c r="F166" i="64"/>
  <c r="G166" i="64"/>
  <c r="H166" i="64"/>
  <c r="I166" i="64"/>
  <c r="J166" i="64"/>
  <c r="K166" i="64"/>
  <c r="L166" i="64"/>
  <c r="M166" i="64"/>
  <c r="N166" i="64"/>
  <c r="O166" i="64"/>
  <c r="P166" i="64"/>
  <c r="Q166" i="64"/>
  <c r="R166" i="64"/>
  <c r="S166" i="64"/>
  <c r="T166" i="64"/>
  <c r="U166" i="64"/>
  <c r="V166" i="64"/>
  <c r="W166" i="64"/>
  <c r="X166" i="64"/>
  <c r="Y166" i="64"/>
  <c r="Z166" i="64"/>
  <c r="AA166" i="64"/>
  <c r="AB166" i="64"/>
  <c r="AC166" i="64"/>
  <c r="AD166" i="64"/>
  <c r="AE166" i="64"/>
  <c r="AF166" i="64"/>
  <c r="AG166" i="64"/>
  <c r="AH166" i="64"/>
  <c r="AI166" i="64"/>
  <c r="AJ166" i="64"/>
  <c r="AK166" i="64"/>
  <c r="AL166" i="64"/>
  <c r="AM166" i="64"/>
  <c r="AN166" i="64"/>
  <c r="AO166" i="64"/>
  <c r="AP166" i="64"/>
  <c r="AQ166" i="64"/>
  <c r="AR166" i="64"/>
  <c r="AS166" i="64"/>
  <c r="AT166" i="64"/>
  <c r="AU166" i="64"/>
  <c r="AV166" i="64"/>
  <c r="AW166" i="64"/>
  <c r="AX166" i="64"/>
  <c r="AY166" i="64"/>
  <c r="AZ166" i="64"/>
  <c r="BA166" i="64"/>
  <c r="BB166" i="64"/>
  <c r="BC166" i="64"/>
  <c r="BD166" i="64"/>
  <c r="BE166" i="64"/>
  <c r="BF166" i="64"/>
  <c r="C167" i="64"/>
  <c r="D167" i="64"/>
  <c r="E167" i="64"/>
  <c r="F167" i="64"/>
  <c r="G167" i="64"/>
  <c r="H167" i="64"/>
  <c r="I167" i="64"/>
  <c r="J167" i="64"/>
  <c r="K167" i="64"/>
  <c r="L167" i="64"/>
  <c r="M167" i="64"/>
  <c r="N167" i="64"/>
  <c r="O167" i="64"/>
  <c r="P167" i="64"/>
  <c r="Q167" i="64"/>
  <c r="R167" i="64"/>
  <c r="S167" i="64"/>
  <c r="T167" i="64"/>
  <c r="U167" i="64"/>
  <c r="V167" i="64"/>
  <c r="W167" i="64"/>
  <c r="X167" i="64"/>
  <c r="Y167" i="64"/>
  <c r="Z167" i="64"/>
  <c r="AA167" i="64"/>
  <c r="AB167" i="64"/>
  <c r="AC167" i="64"/>
  <c r="AD167" i="64"/>
  <c r="AE167" i="64"/>
  <c r="AF167" i="64"/>
  <c r="AG167" i="64"/>
  <c r="AH167" i="64"/>
  <c r="AI167" i="64"/>
  <c r="AJ167" i="64"/>
  <c r="AK167" i="64"/>
  <c r="AL167" i="64"/>
  <c r="AM167" i="64"/>
  <c r="AN167" i="64"/>
  <c r="AO167" i="64"/>
  <c r="AP167" i="64"/>
  <c r="AQ167" i="64"/>
  <c r="AR167" i="64"/>
  <c r="AS167" i="64"/>
  <c r="AT167" i="64"/>
  <c r="AU167" i="64"/>
  <c r="AV167" i="64"/>
  <c r="AW167" i="64"/>
  <c r="AX167" i="64"/>
  <c r="AY167" i="64"/>
  <c r="AZ167" i="64"/>
  <c r="BA167" i="64"/>
  <c r="BB167" i="64"/>
  <c r="BC167" i="64"/>
  <c r="BD167" i="64"/>
  <c r="BE167" i="64"/>
  <c r="BF167" i="64"/>
  <c r="C168" i="64"/>
  <c r="D168" i="64"/>
  <c r="E168" i="64"/>
  <c r="F168" i="64"/>
  <c r="G168" i="64"/>
  <c r="H168" i="64"/>
  <c r="I168" i="64"/>
  <c r="J168" i="64"/>
  <c r="K168" i="64"/>
  <c r="L168" i="64"/>
  <c r="M168" i="64"/>
  <c r="N168" i="64"/>
  <c r="O168" i="64"/>
  <c r="P168" i="64"/>
  <c r="Q168" i="64"/>
  <c r="R168" i="64"/>
  <c r="S168" i="64"/>
  <c r="T168" i="64"/>
  <c r="U168" i="64"/>
  <c r="V168" i="64"/>
  <c r="W168" i="64"/>
  <c r="X168" i="64"/>
  <c r="Y168" i="64"/>
  <c r="Z168" i="64"/>
  <c r="AA168" i="64"/>
  <c r="AB168" i="64"/>
  <c r="AC168" i="64"/>
  <c r="AD168" i="64"/>
  <c r="AE168" i="64"/>
  <c r="AF168" i="64"/>
  <c r="AG168" i="64"/>
  <c r="AH168" i="64"/>
  <c r="AI168" i="64"/>
  <c r="AJ168" i="64"/>
  <c r="AK168" i="64"/>
  <c r="AL168" i="64"/>
  <c r="AM168" i="64"/>
  <c r="AN168" i="64"/>
  <c r="AO168" i="64"/>
  <c r="AP168" i="64"/>
  <c r="AQ168" i="64"/>
  <c r="AR168" i="64"/>
  <c r="AS168" i="64"/>
  <c r="AT168" i="64"/>
  <c r="AU168" i="64"/>
  <c r="AV168" i="64"/>
  <c r="AW168" i="64"/>
  <c r="AX168" i="64"/>
  <c r="AY168" i="64"/>
  <c r="AZ168" i="64"/>
  <c r="BA168" i="64"/>
  <c r="BB168" i="64"/>
  <c r="BC168" i="64"/>
  <c r="BD168" i="64"/>
  <c r="BE168" i="64"/>
  <c r="BF168" i="64"/>
  <c r="C169" i="64"/>
  <c r="D169" i="64"/>
  <c r="E169" i="64"/>
  <c r="F169" i="64"/>
  <c r="G169" i="64"/>
  <c r="H169" i="64"/>
  <c r="I169" i="64"/>
  <c r="J169" i="64"/>
  <c r="K169" i="64"/>
  <c r="L169" i="64"/>
  <c r="M169" i="64"/>
  <c r="N169" i="64"/>
  <c r="O169" i="64"/>
  <c r="P169" i="64"/>
  <c r="Q169" i="64"/>
  <c r="R169" i="64"/>
  <c r="S169" i="64"/>
  <c r="T169" i="64"/>
  <c r="U169" i="64"/>
  <c r="V169" i="64"/>
  <c r="W169" i="64"/>
  <c r="X169" i="64"/>
  <c r="Y169" i="64"/>
  <c r="Z169" i="64"/>
  <c r="AA169" i="64"/>
  <c r="AB169" i="64"/>
  <c r="AC169" i="64"/>
  <c r="AD169" i="64"/>
  <c r="AE169" i="64"/>
  <c r="AF169" i="64"/>
  <c r="AG169" i="64"/>
  <c r="AH169" i="64"/>
  <c r="AI169" i="64"/>
  <c r="AJ169" i="64"/>
  <c r="AK169" i="64"/>
  <c r="AL169" i="64"/>
  <c r="AM169" i="64"/>
  <c r="AN169" i="64"/>
  <c r="AO169" i="64"/>
  <c r="AP169" i="64"/>
  <c r="AQ169" i="64"/>
  <c r="AR169" i="64"/>
  <c r="AS169" i="64"/>
  <c r="AT169" i="64"/>
  <c r="AU169" i="64"/>
  <c r="AV169" i="64"/>
  <c r="AW169" i="64"/>
  <c r="AX169" i="64"/>
  <c r="AY169" i="64"/>
  <c r="AZ169" i="64"/>
  <c r="BA169" i="64"/>
  <c r="BB169" i="64"/>
  <c r="BC169" i="64"/>
  <c r="BD169" i="64"/>
  <c r="BE169" i="64"/>
  <c r="BF169" i="64"/>
  <c r="C170" i="64"/>
  <c r="D170" i="64"/>
  <c r="E170" i="64"/>
  <c r="F170" i="64"/>
  <c r="G170" i="64"/>
  <c r="H170" i="64"/>
  <c r="I170" i="64"/>
  <c r="J170" i="64"/>
  <c r="K170" i="64"/>
  <c r="L170" i="64"/>
  <c r="M170" i="64"/>
  <c r="N170" i="64"/>
  <c r="O170" i="64"/>
  <c r="P170" i="64"/>
  <c r="Q170" i="64"/>
  <c r="R170" i="64"/>
  <c r="S170" i="64"/>
  <c r="T170" i="64"/>
  <c r="U170" i="64"/>
  <c r="V170" i="64"/>
  <c r="W170" i="64"/>
  <c r="X170" i="64"/>
  <c r="Y170" i="64"/>
  <c r="Z170" i="64"/>
  <c r="AA170" i="64"/>
  <c r="AB170" i="64"/>
  <c r="AC170" i="64"/>
  <c r="AD170" i="64"/>
  <c r="AE170" i="64"/>
  <c r="AF170" i="64"/>
  <c r="AG170" i="64"/>
  <c r="AH170" i="64"/>
  <c r="AI170" i="64"/>
  <c r="AJ170" i="64"/>
  <c r="AK170" i="64"/>
  <c r="AL170" i="64"/>
  <c r="AM170" i="64"/>
  <c r="AN170" i="64"/>
  <c r="AO170" i="64"/>
  <c r="AP170" i="64"/>
  <c r="AQ170" i="64"/>
  <c r="AR170" i="64"/>
  <c r="AS170" i="64"/>
  <c r="AT170" i="64"/>
  <c r="AU170" i="64"/>
  <c r="AV170" i="64"/>
  <c r="AW170" i="64"/>
  <c r="AX170" i="64"/>
  <c r="AY170" i="64"/>
  <c r="AZ170" i="64"/>
  <c r="BA170" i="64"/>
  <c r="BB170" i="64"/>
  <c r="BC170" i="64"/>
  <c r="BD170" i="64"/>
  <c r="BE170" i="64"/>
  <c r="BF170" i="64"/>
  <c r="C171" i="64"/>
  <c r="D171" i="64"/>
  <c r="E171" i="64"/>
  <c r="F171" i="64"/>
  <c r="G171" i="64"/>
  <c r="H171" i="64"/>
  <c r="I171" i="64"/>
  <c r="J171" i="64"/>
  <c r="K171" i="64"/>
  <c r="L171" i="64"/>
  <c r="M171" i="64"/>
  <c r="N171" i="64"/>
  <c r="O171" i="64"/>
  <c r="P171" i="64"/>
  <c r="Q171" i="64"/>
  <c r="R171" i="64"/>
  <c r="S171" i="64"/>
  <c r="T171" i="64"/>
  <c r="U171" i="64"/>
  <c r="V171" i="64"/>
  <c r="W171" i="64"/>
  <c r="X171" i="64"/>
  <c r="Y171" i="64"/>
  <c r="Z171" i="64"/>
  <c r="AA171" i="64"/>
  <c r="AB171" i="64"/>
  <c r="AC171" i="64"/>
  <c r="AD171" i="64"/>
  <c r="AE171" i="64"/>
  <c r="AF171" i="64"/>
  <c r="AG171" i="64"/>
  <c r="AH171" i="64"/>
  <c r="AI171" i="64"/>
  <c r="AJ171" i="64"/>
  <c r="AK171" i="64"/>
  <c r="AL171" i="64"/>
  <c r="AM171" i="64"/>
  <c r="AN171" i="64"/>
  <c r="AO171" i="64"/>
  <c r="AP171" i="64"/>
  <c r="AQ171" i="64"/>
  <c r="AR171" i="64"/>
  <c r="AS171" i="64"/>
  <c r="AT171" i="64"/>
  <c r="AU171" i="64"/>
  <c r="AV171" i="64"/>
  <c r="AW171" i="64"/>
  <c r="AX171" i="64"/>
  <c r="AY171" i="64"/>
  <c r="AZ171" i="64"/>
  <c r="BA171" i="64"/>
  <c r="BB171" i="64"/>
  <c r="BC171" i="64"/>
  <c r="BD171" i="64"/>
  <c r="BE171" i="64"/>
  <c r="BF171" i="64"/>
  <c r="C175" i="64"/>
  <c r="D175" i="64"/>
  <c r="E175" i="64"/>
  <c r="F175" i="64"/>
  <c r="G175" i="64"/>
  <c r="H175" i="64"/>
  <c r="I175" i="64"/>
  <c r="J175" i="64"/>
  <c r="K175" i="64"/>
  <c r="L175" i="64"/>
  <c r="M175" i="64"/>
  <c r="N175" i="64"/>
  <c r="O175" i="64"/>
  <c r="P175" i="64"/>
  <c r="Q175" i="64"/>
  <c r="R175" i="64"/>
  <c r="S175" i="64"/>
  <c r="T175" i="64"/>
  <c r="U175" i="64"/>
  <c r="V175" i="64"/>
  <c r="W175" i="64"/>
  <c r="X175" i="64"/>
  <c r="Y175" i="64"/>
  <c r="Z175" i="64"/>
  <c r="AA175" i="64"/>
  <c r="AB175" i="64"/>
  <c r="AC175" i="64"/>
  <c r="AD175" i="64"/>
  <c r="AE175" i="64"/>
  <c r="AF175" i="64"/>
  <c r="AG175" i="64"/>
  <c r="AH175" i="64"/>
  <c r="AI175" i="64"/>
  <c r="AJ175" i="64"/>
  <c r="AK175" i="64"/>
  <c r="AL175" i="64"/>
  <c r="AM175" i="64"/>
  <c r="AN175" i="64"/>
  <c r="AO175" i="64"/>
  <c r="AP175" i="64"/>
  <c r="AQ175" i="64"/>
  <c r="AR175" i="64"/>
  <c r="AS175" i="64"/>
  <c r="AT175" i="64"/>
  <c r="AU175" i="64"/>
  <c r="AV175" i="64"/>
  <c r="AW175" i="64"/>
  <c r="AX175" i="64"/>
  <c r="AY175" i="64"/>
  <c r="AZ175" i="64"/>
  <c r="BA175" i="64"/>
  <c r="BB175" i="64"/>
  <c r="BD175" i="64"/>
  <c r="BE175" i="64"/>
  <c r="BF175" i="64"/>
  <c r="C176" i="64"/>
  <c r="D176" i="64"/>
  <c r="E176" i="64"/>
  <c r="F176" i="64"/>
  <c r="G176" i="64"/>
  <c r="H176" i="64"/>
  <c r="I176" i="64"/>
  <c r="J176" i="64"/>
  <c r="K176" i="64"/>
  <c r="L176" i="64"/>
  <c r="M176" i="64"/>
  <c r="N176" i="64"/>
  <c r="O176" i="64"/>
  <c r="P176" i="64"/>
  <c r="Q176" i="64"/>
  <c r="R176" i="64"/>
  <c r="S176" i="64"/>
  <c r="T176" i="64"/>
  <c r="U176" i="64"/>
  <c r="V176" i="64"/>
  <c r="W176" i="64"/>
  <c r="X176" i="64"/>
  <c r="Y176" i="64"/>
  <c r="Z176" i="64"/>
  <c r="AA176" i="64"/>
  <c r="AB176" i="64"/>
  <c r="AC176" i="64"/>
  <c r="AD176" i="64"/>
  <c r="AE176" i="64"/>
  <c r="AF176" i="64"/>
  <c r="AG176" i="64"/>
  <c r="AH176" i="64"/>
  <c r="AI176" i="64"/>
  <c r="AJ176" i="64"/>
  <c r="AK176" i="64"/>
  <c r="AL176" i="64"/>
  <c r="AM176" i="64"/>
  <c r="AN176" i="64"/>
  <c r="AO176" i="64"/>
  <c r="AP176" i="64"/>
  <c r="AQ176" i="64"/>
  <c r="AR176" i="64"/>
  <c r="AS176" i="64"/>
  <c r="AT176" i="64"/>
  <c r="AU176" i="64"/>
  <c r="AV176" i="64"/>
  <c r="AW176" i="64"/>
  <c r="AX176" i="64"/>
  <c r="AY176" i="64"/>
  <c r="AZ176" i="64"/>
  <c r="BA176" i="64"/>
  <c r="BB176" i="64"/>
  <c r="BC176" i="64"/>
  <c r="BD176" i="64"/>
  <c r="BE176" i="64"/>
  <c r="BF176" i="64"/>
  <c r="C177" i="64"/>
  <c r="D177" i="64"/>
  <c r="E177" i="64"/>
  <c r="F177" i="64"/>
  <c r="G177" i="64"/>
  <c r="H177" i="64"/>
  <c r="I177" i="64"/>
  <c r="J177" i="64"/>
  <c r="K177" i="64"/>
  <c r="L177" i="64"/>
  <c r="M177" i="64"/>
  <c r="N177" i="64"/>
  <c r="O177" i="64"/>
  <c r="P177" i="64"/>
  <c r="Q177" i="64"/>
  <c r="R177" i="64"/>
  <c r="S177" i="64"/>
  <c r="T177" i="64"/>
  <c r="U177" i="64"/>
  <c r="V177" i="64"/>
  <c r="W177" i="64"/>
  <c r="X177" i="64"/>
  <c r="Y177" i="64"/>
  <c r="Z177" i="64"/>
  <c r="AA177" i="64"/>
  <c r="AB177" i="64"/>
  <c r="AC177" i="64"/>
  <c r="AD177" i="64"/>
  <c r="AE177" i="64"/>
  <c r="AF177" i="64"/>
  <c r="AG177" i="64"/>
  <c r="AH177" i="64"/>
  <c r="AI177" i="64"/>
  <c r="AJ177" i="64"/>
  <c r="AK177" i="64"/>
  <c r="AL177" i="64"/>
  <c r="AM177" i="64"/>
  <c r="AN177" i="64"/>
  <c r="AO177" i="64"/>
  <c r="AP177" i="64"/>
  <c r="AQ177" i="64"/>
  <c r="AR177" i="64"/>
  <c r="AS177" i="64"/>
  <c r="AT177" i="64"/>
  <c r="AU177" i="64"/>
  <c r="AV177" i="64"/>
  <c r="AW177" i="64"/>
  <c r="AX177" i="64"/>
  <c r="AY177" i="64"/>
  <c r="AZ177" i="64"/>
  <c r="BA177" i="64"/>
  <c r="BB177" i="64"/>
  <c r="BC177" i="64"/>
  <c r="BD177" i="64"/>
  <c r="BE177" i="64"/>
  <c r="BF177" i="64"/>
  <c r="C178" i="64"/>
  <c r="D178" i="64"/>
  <c r="E178" i="64"/>
  <c r="F178" i="64"/>
  <c r="G178" i="64"/>
  <c r="H178" i="64"/>
  <c r="I178" i="64"/>
  <c r="J178" i="64"/>
  <c r="K178" i="64"/>
  <c r="L178" i="64"/>
  <c r="M178" i="64"/>
  <c r="N178" i="64"/>
  <c r="O178" i="64"/>
  <c r="P178" i="64"/>
  <c r="Q178" i="64"/>
  <c r="R178" i="64"/>
  <c r="S178" i="64"/>
  <c r="T178" i="64"/>
  <c r="U178" i="64"/>
  <c r="V178" i="64"/>
  <c r="W178" i="64"/>
  <c r="X178" i="64"/>
  <c r="Y178" i="64"/>
  <c r="Z178" i="64"/>
  <c r="AA178" i="64"/>
  <c r="AB178" i="64"/>
  <c r="AC178" i="64"/>
  <c r="AD178" i="64"/>
  <c r="AE178" i="64"/>
  <c r="AF178" i="64"/>
  <c r="AG178" i="64"/>
  <c r="AH178" i="64"/>
  <c r="AI178" i="64"/>
  <c r="AJ178" i="64"/>
  <c r="AK178" i="64"/>
  <c r="AL178" i="64"/>
  <c r="AM178" i="64"/>
  <c r="AN178" i="64"/>
  <c r="AO178" i="64"/>
  <c r="AP178" i="64"/>
  <c r="AQ178" i="64"/>
  <c r="AR178" i="64"/>
  <c r="AS178" i="64"/>
  <c r="AT178" i="64"/>
  <c r="AU178" i="64"/>
  <c r="AV178" i="64"/>
  <c r="AW178" i="64"/>
  <c r="AX178" i="64"/>
  <c r="AY178" i="64"/>
  <c r="AZ178" i="64"/>
  <c r="BA178" i="64"/>
  <c r="BB178" i="64"/>
  <c r="BC178" i="64"/>
  <c r="BD178" i="64"/>
  <c r="BE178" i="64"/>
  <c r="BF178" i="64"/>
  <c r="C179" i="64"/>
  <c r="D179" i="64"/>
  <c r="E179" i="64"/>
  <c r="F179" i="64"/>
  <c r="G179" i="64"/>
  <c r="H179" i="64"/>
  <c r="I179" i="64"/>
  <c r="J179" i="64"/>
  <c r="K179" i="64"/>
  <c r="L179" i="64"/>
  <c r="M179" i="64"/>
  <c r="N179" i="64"/>
  <c r="O179" i="64"/>
  <c r="P179" i="64"/>
  <c r="Q179" i="64"/>
  <c r="R179" i="64"/>
  <c r="S179" i="64"/>
  <c r="T179" i="64"/>
  <c r="U179" i="64"/>
  <c r="V179" i="64"/>
  <c r="W179" i="64"/>
  <c r="X179" i="64"/>
  <c r="Y179" i="64"/>
  <c r="Z179" i="64"/>
  <c r="AA179" i="64"/>
  <c r="AB179" i="64"/>
  <c r="AC179" i="64"/>
  <c r="AD179" i="64"/>
  <c r="AE179" i="64"/>
  <c r="AF179" i="64"/>
  <c r="AG179" i="64"/>
  <c r="AH179" i="64"/>
  <c r="AI179" i="64"/>
  <c r="AJ179" i="64"/>
  <c r="AK179" i="64"/>
  <c r="AL179" i="64"/>
  <c r="AM179" i="64"/>
  <c r="AN179" i="64"/>
  <c r="AO179" i="64"/>
  <c r="AP179" i="64"/>
  <c r="AQ179" i="64"/>
  <c r="AR179" i="64"/>
  <c r="AS179" i="64"/>
  <c r="AT179" i="64"/>
  <c r="AU179" i="64"/>
  <c r="AV179" i="64"/>
  <c r="AW179" i="64"/>
  <c r="AX179" i="64"/>
  <c r="AY179" i="64"/>
  <c r="AZ179" i="64"/>
  <c r="BA179" i="64"/>
  <c r="BB179" i="64"/>
  <c r="BC179" i="64"/>
  <c r="BD179" i="64"/>
  <c r="BE179" i="64"/>
  <c r="BF179" i="64"/>
  <c r="C180" i="64"/>
  <c r="D180" i="64"/>
  <c r="E180" i="64"/>
  <c r="F180" i="64"/>
  <c r="G180" i="64"/>
  <c r="H180" i="64"/>
  <c r="I180" i="64"/>
  <c r="J180" i="64"/>
  <c r="K180" i="64"/>
  <c r="L180" i="64"/>
  <c r="M180" i="64"/>
  <c r="N180" i="64"/>
  <c r="O180" i="64"/>
  <c r="P180" i="64"/>
  <c r="Q180" i="64"/>
  <c r="R180" i="64"/>
  <c r="S180" i="64"/>
  <c r="T180" i="64"/>
  <c r="U180" i="64"/>
  <c r="V180" i="64"/>
  <c r="X180" i="64"/>
  <c r="Y180" i="64"/>
  <c r="Z180" i="64"/>
  <c r="AA180" i="64"/>
  <c r="AB180" i="64"/>
  <c r="AC180" i="64"/>
  <c r="AD180" i="64"/>
  <c r="AE180" i="64"/>
  <c r="AF180" i="64"/>
  <c r="AG180" i="64"/>
  <c r="AH180" i="64"/>
  <c r="AI180" i="64"/>
  <c r="AJ180" i="64"/>
  <c r="AK180" i="64"/>
  <c r="AL180" i="64"/>
  <c r="AM180" i="64"/>
  <c r="AN180" i="64"/>
  <c r="AO180" i="64"/>
  <c r="AP180" i="64"/>
  <c r="AQ180" i="64"/>
  <c r="AR180" i="64"/>
  <c r="AS180" i="64"/>
  <c r="AT180" i="64"/>
  <c r="AU180" i="64"/>
  <c r="AV180" i="64"/>
  <c r="AW180" i="64"/>
  <c r="AX180" i="64"/>
  <c r="AY180" i="64"/>
  <c r="AZ180" i="64"/>
  <c r="BA180" i="64"/>
  <c r="BB180" i="64"/>
  <c r="BD180" i="64"/>
  <c r="BE180" i="64"/>
  <c r="BF180" i="64"/>
  <c r="C181" i="64"/>
  <c r="D181" i="64"/>
  <c r="E181" i="64"/>
  <c r="F181" i="64"/>
  <c r="G181" i="64"/>
  <c r="H181" i="64"/>
  <c r="I181" i="64"/>
  <c r="J181" i="64"/>
  <c r="K181" i="64"/>
  <c r="L181" i="64"/>
  <c r="M181" i="64"/>
  <c r="N181" i="64"/>
  <c r="O181" i="64"/>
  <c r="P181" i="64"/>
  <c r="Q181" i="64"/>
  <c r="R181" i="64"/>
  <c r="S181" i="64"/>
  <c r="T181" i="64"/>
  <c r="U181" i="64"/>
  <c r="V181" i="64"/>
  <c r="W181" i="64"/>
  <c r="X181" i="64"/>
  <c r="Y181" i="64"/>
  <c r="Z181" i="64"/>
  <c r="AA181" i="64"/>
  <c r="AB181" i="64"/>
  <c r="AC181" i="64"/>
  <c r="AD181" i="64"/>
  <c r="AE181" i="64"/>
  <c r="AF181" i="64"/>
  <c r="AG181" i="64"/>
  <c r="AH181" i="64"/>
  <c r="AI181" i="64"/>
  <c r="AJ181" i="64"/>
  <c r="AK181" i="64"/>
  <c r="AL181" i="64"/>
  <c r="AM181" i="64"/>
  <c r="AN181" i="64"/>
  <c r="AO181" i="64"/>
  <c r="AP181" i="64"/>
  <c r="AQ181" i="64"/>
  <c r="AR181" i="64"/>
  <c r="AS181" i="64"/>
  <c r="AT181" i="64"/>
  <c r="AU181" i="64"/>
  <c r="AV181" i="64"/>
  <c r="AW181" i="64"/>
  <c r="AX181" i="64"/>
  <c r="AY181" i="64"/>
  <c r="AZ181" i="64"/>
  <c r="BA181" i="64"/>
  <c r="BB181" i="64"/>
  <c r="BD181" i="64"/>
  <c r="BE181" i="64"/>
  <c r="BF181" i="64"/>
  <c r="C182" i="64"/>
  <c r="D182" i="64"/>
  <c r="E182" i="64"/>
  <c r="F182" i="64"/>
  <c r="G182" i="64"/>
  <c r="H182" i="64"/>
  <c r="I182" i="64"/>
  <c r="J182" i="64"/>
  <c r="K182" i="64"/>
  <c r="L182" i="64"/>
  <c r="M182" i="64"/>
  <c r="N182" i="64"/>
  <c r="O182" i="64"/>
  <c r="P182" i="64"/>
  <c r="Q182" i="64"/>
  <c r="R182" i="64"/>
  <c r="S182" i="64"/>
  <c r="T182" i="64"/>
  <c r="U182" i="64"/>
  <c r="V182" i="64"/>
  <c r="W182" i="64"/>
  <c r="X182" i="64"/>
  <c r="Y182" i="64"/>
  <c r="Z182" i="64"/>
  <c r="AA182" i="64"/>
  <c r="AB182" i="64"/>
  <c r="AC182" i="64"/>
  <c r="AD182" i="64"/>
  <c r="AE182" i="64"/>
  <c r="AF182" i="64"/>
  <c r="AG182" i="64"/>
  <c r="AH182" i="64"/>
  <c r="AI182" i="64"/>
  <c r="AJ182" i="64"/>
  <c r="AK182" i="64"/>
  <c r="AL182" i="64"/>
  <c r="AM182" i="64"/>
  <c r="AN182" i="64"/>
  <c r="AO182" i="64"/>
  <c r="AP182" i="64"/>
  <c r="AQ182" i="64"/>
  <c r="AR182" i="64"/>
  <c r="AS182" i="64"/>
  <c r="AT182" i="64"/>
  <c r="AU182" i="64"/>
  <c r="AV182" i="64"/>
  <c r="AW182" i="64"/>
  <c r="AX182" i="64"/>
  <c r="AY182" i="64"/>
  <c r="AZ182" i="64"/>
  <c r="BA182" i="64"/>
  <c r="BB182" i="64"/>
  <c r="BC182" i="64"/>
  <c r="BD182" i="64"/>
  <c r="BE182" i="64"/>
  <c r="BF182" i="64"/>
  <c r="C183" i="64"/>
  <c r="D183" i="64"/>
  <c r="E183" i="64"/>
  <c r="F183" i="64"/>
  <c r="G183" i="64"/>
  <c r="H183" i="64"/>
  <c r="I183" i="64"/>
  <c r="J183" i="64"/>
  <c r="K183" i="64"/>
  <c r="L183" i="64"/>
  <c r="M183" i="64"/>
  <c r="N183" i="64"/>
  <c r="O183" i="64"/>
  <c r="P183" i="64"/>
  <c r="Q183" i="64"/>
  <c r="R183" i="64"/>
  <c r="S183" i="64"/>
  <c r="T183" i="64"/>
  <c r="U183" i="64"/>
  <c r="V183" i="64"/>
  <c r="W183" i="64"/>
  <c r="X183" i="64"/>
  <c r="Y183" i="64"/>
  <c r="Z183" i="64"/>
  <c r="AA183" i="64"/>
  <c r="AB183" i="64"/>
  <c r="AC183" i="64"/>
  <c r="AD183" i="64"/>
  <c r="AE183" i="64"/>
  <c r="AF183" i="64"/>
  <c r="AG183" i="64"/>
  <c r="AH183" i="64"/>
  <c r="AI183" i="64"/>
  <c r="AJ183" i="64"/>
  <c r="AK183" i="64"/>
  <c r="AL183" i="64"/>
  <c r="AM183" i="64"/>
  <c r="AN183" i="64"/>
  <c r="AO183" i="64"/>
  <c r="AP183" i="64"/>
  <c r="AQ183" i="64"/>
  <c r="AR183" i="64"/>
  <c r="AS183" i="64"/>
  <c r="AT183" i="64"/>
  <c r="AU183" i="64"/>
  <c r="AV183" i="64"/>
  <c r="AW183" i="64"/>
  <c r="AX183" i="64"/>
  <c r="AY183" i="64"/>
  <c r="AZ183" i="64"/>
  <c r="BA183" i="64"/>
  <c r="BB183" i="64"/>
  <c r="BC183" i="64"/>
  <c r="BD183" i="64"/>
  <c r="BE183" i="64"/>
  <c r="BF183" i="64"/>
  <c r="C184" i="64"/>
  <c r="D184" i="64"/>
  <c r="E184" i="64"/>
  <c r="F184" i="64"/>
  <c r="G184" i="64"/>
  <c r="H184" i="64"/>
  <c r="I184" i="64"/>
  <c r="J184" i="64"/>
  <c r="K184" i="64"/>
  <c r="L184" i="64"/>
  <c r="M184" i="64"/>
  <c r="N184" i="64"/>
  <c r="O184" i="64"/>
  <c r="P184" i="64"/>
  <c r="Q184" i="64"/>
  <c r="R184" i="64"/>
  <c r="S184" i="64"/>
  <c r="T184" i="64"/>
  <c r="U184" i="64"/>
  <c r="V184" i="64"/>
  <c r="W184" i="64"/>
  <c r="X184" i="64"/>
  <c r="Y184" i="64"/>
  <c r="Z184" i="64"/>
  <c r="AA184" i="64"/>
  <c r="AB184" i="64"/>
  <c r="AC184" i="64"/>
  <c r="AD184" i="64"/>
  <c r="AE184" i="64"/>
  <c r="AF184" i="64"/>
  <c r="AG184" i="64"/>
  <c r="AH184" i="64"/>
  <c r="AI184" i="64"/>
  <c r="AJ184" i="64"/>
  <c r="AK184" i="64"/>
  <c r="AL184" i="64"/>
  <c r="AM184" i="64"/>
  <c r="AN184" i="64"/>
  <c r="AO184" i="64"/>
  <c r="AP184" i="64"/>
  <c r="AQ184" i="64"/>
  <c r="AR184" i="64"/>
  <c r="AS184" i="64"/>
  <c r="AT184" i="64"/>
  <c r="AU184" i="64"/>
  <c r="AV184" i="64"/>
  <c r="AW184" i="64"/>
  <c r="AX184" i="64"/>
  <c r="AY184" i="64"/>
  <c r="AZ184" i="64"/>
  <c r="BA184" i="64"/>
  <c r="BB184" i="64"/>
  <c r="BC184" i="64"/>
  <c r="BD184" i="64"/>
  <c r="BE184" i="64"/>
  <c r="BF184" i="64"/>
  <c r="C185" i="64"/>
  <c r="D185" i="64"/>
  <c r="E185" i="64"/>
  <c r="F185" i="64"/>
  <c r="G185" i="64"/>
  <c r="H185" i="64"/>
  <c r="I185" i="64"/>
  <c r="J185" i="64"/>
  <c r="K185" i="64"/>
  <c r="L185" i="64"/>
  <c r="M185" i="64"/>
  <c r="N185" i="64"/>
  <c r="O185" i="64"/>
  <c r="P185" i="64"/>
  <c r="Q185" i="64"/>
  <c r="R185" i="64"/>
  <c r="S185" i="64"/>
  <c r="T185" i="64"/>
  <c r="U185" i="64"/>
  <c r="V185" i="64"/>
  <c r="W185" i="64"/>
  <c r="X185" i="64"/>
  <c r="Y185" i="64"/>
  <c r="Z185" i="64"/>
  <c r="AA185" i="64"/>
  <c r="AB185" i="64"/>
  <c r="AC185" i="64"/>
  <c r="AD185" i="64"/>
  <c r="AE185" i="64"/>
  <c r="AF185" i="64"/>
  <c r="AG185" i="64"/>
  <c r="AH185" i="64"/>
  <c r="AI185" i="64"/>
  <c r="AJ185" i="64"/>
  <c r="AK185" i="64"/>
  <c r="AL185" i="64"/>
  <c r="AM185" i="64"/>
  <c r="AN185" i="64"/>
  <c r="AO185" i="64"/>
  <c r="AP185" i="64"/>
  <c r="AQ185" i="64"/>
  <c r="AR185" i="64"/>
  <c r="AS185" i="64"/>
  <c r="AT185" i="64"/>
  <c r="AU185" i="64"/>
  <c r="AV185" i="64"/>
  <c r="AW185" i="64"/>
  <c r="AX185" i="64"/>
  <c r="AY185" i="64"/>
  <c r="AZ185" i="64"/>
  <c r="BA185" i="64"/>
  <c r="BB185" i="64"/>
  <c r="BC185" i="64"/>
  <c r="BD185" i="64"/>
  <c r="BE185" i="64"/>
  <c r="BF185" i="64"/>
  <c r="C186" i="64"/>
  <c r="D186" i="64"/>
  <c r="E186" i="64"/>
  <c r="F186" i="64"/>
  <c r="G186" i="64"/>
  <c r="H186" i="64"/>
  <c r="I186" i="64"/>
  <c r="J186" i="64"/>
  <c r="K186" i="64"/>
  <c r="L186" i="64"/>
  <c r="M186" i="64"/>
  <c r="N186" i="64"/>
  <c r="O186" i="64"/>
  <c r="P186" i="64"/>
  <c r="Q186" i="64"/>
  <c r="R186" i="64"/>
  <c r="S186" i="64"/>
  <c r="T186" i="64"/>
  <c r="U186" i="64"/>
  <c r="V186" i="64"/>
  <c r="W186" i="64"/>
  <c r="X186" i="64"/>
  <c r="Y186" i="64"/>
  <c r="Z186" i="64"/>
  <c r="AA186" i="64"/>
  <c r="AB186" i="64"/>
  <c r="AC186" i="64"/>
  <c r="AD186" i="64"/>
  <c r="AE186" i="64"/>
  <c r="AF186" i="64"/>
  <c r="AG186" i="64"/>
  <c r="AH186" i="64"/>
  <c r="AI186" i="64"/>
  <c r="AJ186" i="64"/>
  <c r="AK186" i="64"/>
  <c r="AL186" i="64"/>
  <c r="AM186" i="64"/>
  <c r="AN186" i="64"/>
  <c r="AO186" i="64"/>
  <c r="AP186" i="64"/>
  <c r="AQ186" i="64"/>
  <c r="AR186" i="64"/>
  <c r="AS186" i="64"/>
  <c r="AT186" i="64"/>
  <c r="AU186" i="64"/>
  <c r="AV186" i="64"/>
  <c r="AW186" i="64"/>
  <c r="AX186" i="64"/>
  <c r="AY186" i="64"/>
  <c r="AZ186" i="64"/>
  <c r="BA186" i="64"/>
  <c r="BB186" i="64"/>
  <c r="BC186" i="64"/>
  <c r="BD186" i="64"/>
  <c r="BE186" i="64"/>
  <c r="BF186" i="64"/>
  <c r="C187" i="64"/>
  <c r="D187" i="64"/>
  <c r="E187" i="64"/>
  <c r="F187" i="64"/>
  <c r="G187" i="64"/>
  <c r="H187" i="64"/>
  <c r="I187" i="64"/>
  <c r="J187" i="64"/>
  <c r="K187" i="64"/>
  <c r="L187" i="64"/>
  <c r="M187" i="64"/>
  <c r="N187" i="64"/>
  <c r="O187" i="64"/>
  <c r="P187" i="64"/>
  <c r="Q187" i="64"/>
  <c r="R187" i="64"/>
  <c r="S187" i="64"/>
  <c r="T187" i="64"/>
  <c r="U187" i="64"/>
  <c r="V187" i="64"/>
  <c r="W187" i="64"/>
  <c r="X187" i="64"/>
  <c r="Y187" i="64"/>
  <c r="Z187" i="64"/>
  <c r="AA187" i="64"/>
  <c r="AB187" i="64"/>
  <c r="AC187" i="64"/>
  <c r="AD187" i="64"/>
  <c r="AE187" i="64"/>
  <c r="AF187" i="64"/>
  <c r="AG187" i="64"/>
  <c r="AH187" i="64"/>
  <c r="AI187" i="64"/>
  <c r="AJ187" i="64"/>
  <c r="AK187" i="64"/>
  <c r="AL187" i="64"/>
  <c r="AM187" i="64"/>
  <c r="AN187" i="64"/>
  <c r="AO187" i="64"/>
  <c r="AP187" i="64"/>
  <c r="AQ187" i="64"/>
  <c r="AR187" i="64"/>
  <c r="AS187" i="64"/>
  <c r="AT187" i="64"/>
  <c r="AU187" i="64"/>
  <c r="AV187" i="64"/>
  <c r="AW187" i="64"/>
  <c r="AX187" i="64"/>
  <c r="AY187" i="64"/>
  <c r="AZ187" i="64"/>
  <c r="BA187" i="64"/>
  <c r="BB187" i="64"/>
  <c r="BC187" i="64"/>
  <c r="BD187" i="64"/>
  <c r="BE187" i="64"/>
  <c r="BF187" i="64"/>
  <c r="C188" i="64"/>
  <c r="D188" i="64"/>
  <c r="E188" i="64"/>
  <c r="F188" i="64"/>
  <c r="G188" i="64"/>
  <c r="H188" i="64"/>
  <c r="I188" i="64"/>
  <c r="J188" i="64"/>
  <c r="K188" i="64"/>
  <c r="L188" i="64"/>
  <c r="M188" i="64"/>
  <c r="N188" i="64"/>
  <c r="O188" i="64"/>
  <c r="P188" i="64"/>
  <c r="Q188" i="64"/>
  <c r="R188" i="64"/>
  <c r="S188" i="64"/>
  <c r="T188" i="64"/>
  <c r="U188" i="64"/>
  <c r="V188" i="64"/>
  <c r="W188" i="64"/>
  <c r="X188" i="64"/>
  <c r="Y188" i="64"/>
  <c r="Z188" i="64"/>
  <c r="AA188" i="64"/>
  <c r="AB188" i="64"/>
  <c r="AC188" i="64"/>
  <c r="AD188" i="64"/>
  <c r="AE188" i="64"/>
  <c r="AF188" i="64"/>
  <c r="AG188" i="64"/>
  <c r="AH188" i="64"/>
  <c r="AI188" i="64"/>
  <c r="AJ188" i="64"/>
  <c r="AK188" i="64"/>
  <c r="AL188" i="64"/>
  <c r="AM188" i="64"/>
  <c r="AN188" i="64"/>
  <c r="AO188" i="64"/>
  <c r="AP188" i="64"/>
  <c r="AQ188" i="64"/>
  <c r="AR188" i="64"/>
  <c r="AS188" i="64"/>
  <c r="AT188" i="64"/>
  <c r="AU188" i="64"/>
  <c r="AV188" i="64"/>
  <c r="AW188" i="64"/>
  <c r="AX188" i="64"/>
  <c r="AY188" i="64"/>
  <c r="AZ188" i="64"/>
  <c r="BA188" i="64"/>
  <c r="BB188" i="64"/>
  <c r="BC188" i="64"/>
  <c r="BD188" i="64"/>
  <c r="BE188" i="64"/>
  <c r="BF188" i="64"/>
  <c r="C189" i="64"/>
  <c r="D189" i="64"/>
  <c r="E189" i="64"/>
  <c r="F189" i="64"/>
  <c r="G189" i="64"/>
  <c r="H189" i="64"/>
  <c r="I189" i="64"/>
  <c r="J189" i="64"/>
  <c r="K189" i="64"/>
  <c r="L189" i="64"/>
  <c r="M189" i="64"/>
  <c r="N189" i="64"/>
  <c r="O189" i="64"/>
  <c r="P189" i="64"/>
  <c r="Q189" i="64"/>
  <c r="R189" i="64"/>
  <c r="S189" i="64"/>
  <c r="T189" i="64"/>
  <c r="U189" i="64"/>
  <c r="V189" i="64"/>
  <c r="W189" i="64"/>
  <c r="X189" i="64"/>
  <c r="Y189" i="64"/>
  <c r="Z189" i="64"/>
  <c r="AA189" i="64"/>
  <c r="AB189" i="64"/>
  <c r="AC189" i="64"/>
  <c r="AD189" i="64"/>
  <c r="AE189" i="64"/>
  <c r="AF189" i="64"/>
  <c r="AG189" i="64"/>
  <c r="AH189" i="64"/>
  <c r="AI189" i="64"/>
  <c r="AJ189" i="64"/>
  <c r="AK189" i="64"/>
  <c r="AL189" i="64"/>
  <c r="AM189" i="64"/>
  <c r="AN189" i="64"/>
  <c r="AO189" i="64"/>
  <c r="AP189" i="64"/>
  <c r="AQ189" i="64"/>
  <c r="AR189" i="64"/>
  <c r="AS189" i="64"/>
  <c r="AT189" i="64"/>
  <c r="AU189" i="64"/>
  <c r="AV189" i="64"/>
  <c r="AW189" i="64"/>
  <c r="AX189" i="64"/>
  <c r="AY189" i="64"/>
  <c r="AZ189" i="64"/>
  <c r="BA189" i="64"/>
  <c r="BB189" i="64"/>
  <c r="BC189" i="64"/>
  <c r="BD189" i="64"/>
  <c r="BE189" i="64"/>
  <c r="BF189" i="64"/>
  <c r="C190" i="64"/>
  <c r="D190" i="64"/>
  <c r="E190" i="64"/>
  <c r="F190" i="64"/>
  <c r="G190" i="64"/>
  <c r="H190" i="64"/>
  <c r="I190" i="64"/>
  <c r="J190" i="64"/>
  <c r="K190" i="64"/>
  <c r="L190" i="64"/>
  <c r="M190" i="64"/>
  <c r="N190" i="64"/>
  <c r="O190" i="64"/>
  <c r="P190" i="64"/>
  <c r="Q190" i="64"/>
  <c r="R190" i="64"/>
  <c r="S190" i="64"/>
  <c r="T190" i="64"/>
  <c r="U190" i="64"/>
  <c r="V190" i="64"/>
  <c r="W190" i="64"/>
  <c r="X190" i="64"/>
  <c r="Y190" i="64"/>
  <c r="Z190" i="64"/>
  <c r="AA190" i="64"/>
  <c r="AB190" i="64"/>
  <c r="AC190" i="64"/>
  <c r="AD190" i="64"/>
  <c r="AE190" i="64"/>
  <c r="AF190" i="64"/>
  <c r="AG190" i="64"/>
  <c r="AH190" i="64"/>
  <c r="AI190" i="64"/>
  <c r="AJ190" i="64"/>
  <c r="AK190" i="64"/>
  <c r="AL190" i="64"/>
  <c r="AM190" i="64"/>
  <c r="AN190" i="64"/>
  <c r="AO190" i="64"/>
  <c r="AP190" i="64"/>
  <c r="AQ190" i="64"/>
  <c r="AR190" i="64"/>
  <c r="AS190" i="64"/>
  <c r="AT190" i="64"/>
  <c r="AU190" i="64"/>
  <c r="AV190" i="64"/>
  <c r="AW190" i="64"/>
  <c r="AX190" i="64"/>
  <c r="AY190" i="64"/>
  <c r="AZ190" i="64"/>
  <c r="BA190" i="64"/>
  <c r="BB190" i="64"/>
  <c r="BC190" i="64"/>
  <c r="BD190" i="64"/>
  <c r="BE190" i="64"/>
  <c r="BF190" i="64"/>
  <c r="C191" i="64"/>
  <c r="D191" i="64"/>
  <c r="E191" i="64"/>
  <c r="F191" i="64"/>
  <c r="G191" i="64"/>
  <c r="H191" i="64"/>
  <c r="I191" i="64"/>
  <c r="J191" i="64"/>
  <c r="K191" i="64"/>
  <c r="L191" i="64"/>
  <c r="M191" i="64"/>
  <c r="N191" i="64"/>
  <c r="O191" i="64"/>
  <c r="P191" i="64"/>
  <c r="Q191" i="64"/>
  <c r="R191" i="64"/>
  <c r="S191" i="64"/>
  <c r="T191" i="64"/>
  <c r="U191" i="64"/>
  <c r="V191" i="64"/>
  <c r="W191" i="64"/>
  <c r="X191" i="64"/>
  <c r="Y191" i="64"/>
  <c r="Z191" i="64"/>
  <c r="AA191" i="64"/>
  <c r="AB191" i="64"/>
  <c r="AC191" i="64"/>
  <c r="AD191" i="64"/>
  <c r="AE191" i="64"/>
  <c r="AF191" i="64"/>
  <c r="AG191" i="64"/>
  <c r="AH191" i="64"/>
  <c r="AI191" i="64"/>
  <c r="AJ191" i="64"/>
  <c r="AK191" i="64"/>
  <c r="AL191" i="64"/>
  <c r="AM191" i="64"/>
  <c r="AN191" i="64"/>
  <c r="AO191" i="64"/>
  <c r="AP191" i="64"/>
  <c r="AQ191" i="64"/>
  <c r="AR191" i="64"/>
  <c r="AS191" i="64"/>
  <c r="AT191" i="64"/>
  <c r="AU191" i="64"/>
  <c r="AV191" i="64"/>
  <c r="AW191" i="64"/>
  <c r="AX191" i="64"/>
  <c r="AY191" i="64"/>
  <c r="AZ191" i="64"/>
  <c r="BA191" i="64"/>
  <c r="BB191" i="64"/>
  <c r="BC191" i="64"/>
  <c r="BD191" i="64"/>
  <c r="BE191" i="64"/>
  <c r="BF191" i="64"/>
  <c r="C192" i="64"/>
  <c r="D192" i="64"/>
  <c r="E192" i="64"/>
  <c r="F192" i="64"/>
  <c r="G192" i="64"/>
  <c r="H192" i="64"/>
  <c r="I192" i="64"/>
  <c r="J192" i="64"/>
  <c r="K192" i="64"/>
  <c r="L192" i="64"/>
  <c r="M192" i="64"/>
  <c r="N192" i="64"/>
  <c r="O192" i="64"/>
  <c r="P192" i="64"/>
  <c r="Q192" i="64"/>
  <c r="R192" i="64"/>
  <c r="S192" i="64"/>
  <c r="T192" i="64"/>
  <c r="U192" i="64"/>
  <c r="V192" i="64"/>
  <c r="W192" i="64"/>
  <c r="X192" i="64"/>
  <c r="Y192" i="64"/>
  <c r="Z192" i="64"/>
  <c r="AA192" i="64"/>
  <c r="AB192" i="64"/>
  <c r="AC192" i="64"/>
  <c r="AD192" i="64"/>
  <c r="AE192" i="64"/>
  <c r="AF192" i="64"/>
  <c r="AG192" i="64"/>
  <c r="AH192" i="64"/>
  <c r="AI192" i="64"/>
  <c r="AJ192" i="64"/>
  <c r="AK192" i="64"/>
  <c r="AL192" i="64"/>
  <c r="AM192" i="64"/>
  <c r="AN192" i="64"/>
  <c r="AO192" i="64"/>
  <c r="AP192" i="64"/>
  <c r="AQ192" i="64"/>
  <c r="AR192" i="64"/>
  <c r="AS192" i="64"/>
  <c r="AT192" i="64"/>
  <c r="AU192" i="64"/>
  <c r="AV192" i="64"/>
  <c r="AW192" i="64"/>
  <c r="AX192" i="64"/>
  <c r="AY192" i="64"/>
  <c r="AZ192" i="64"/>
  <c r="BA192" i="64"/>
  <c r="BB192" i="64"/>
  <c r="BC192" i="64"/>
  <c r="BD192" i="64"/>
  <c r="BE192" i="64"/>
  <c r="BF192" i="64"/>
  <c r="C193" i="64"/>
  <c r="D193" i="64"/>
  <c r="E193" i="64"/>
  <c r="F193" i="64"/>
  <c r="G193" i="64"/>
  <c r="H193" i="64"/>
  <c r="I193" i="64"/>
  <c r="J193" i="64"/>
  <c r="K193" i="64"/>
  <c r="L193" i="64"/>
  <c r="M193" i="64"/>
  <c r="N193" i="64"/>
  <c r="O193" i="64"/>
  <c r="P193" i="64"/>
  <c r="Q193" i="64"/>
  <c r="R193" i="64"/>
  <c r="S193" i="64"/>
  <c r="T193" i="64"/>
  <c r="U193" i="64"/>
  <c r="V193" i="64"/>
  <c r="W193" i="64"/>
  <c r="X193" i="64"/>
  <c r="Y193" i="64"/>
  <c r="Z193" i="64"/>
  <c r="AA193" i="64"/>
  <c r="AB193" i="64"/>
  <c r="AC193" i="64"/>
  <c r="AD193" i="64"/>
  <c r="AE193" i="64"/>
  <c r="AF193" i="64"/>
  <c r="AG193" i="64"/>
  <c r="AH193" i="64"/>
  <c r="AI193" i="64"/>
  <c r="AJ193" i="64"/>
  <c r="AK193" i="64"/>
  <c r="AL193" i="64"/>
  <c r="AM193" i="64"/>
  <c r="AN193" i="64"/>
  <c r="AO193" i="64"/>
  <c r="AP193" i="64"/>
  <c r="AQ193" i="64"/>
  <c r="AR193" i="64"/>
  <c r="AS193" i="64"/>
  <c r="AT193" i="64"/>
  <c r="AU193" i="64"/>
  <c r="AV193" i="64"/>
  <c r="AW193" i="64"/>
  <c r="AX193" i="64"/>
  <c r="AY193" i="64"/>
  <c r="AZ193" i="64"/>
  <c r="BA193" i="64"/>
  <c r="BB193" i="64"/>
  <c r="BC193" i="64"/>
  <c r="BD193" i="64"/>
  <c r="BE193" i="64"/>
  <c r="BF193" i="64"/>
  <c r="C194" i="64"/>
  <c r="D194" i="64"/>
  <c r="E194" i="64"/>
  <c r="F194" i="64"/>
  <c r="G194" i="64"/>
  <c r="H194" i="64"/>
  <c r="I194" i="64"/>
  <c r="J194" i="64"/>
  <c r="K194" i="64"/>
  <c r="L194" i="64"/>
  <c r="M194" i="64"/>
  <c r="N194" i="64"/>
  <c r="O194" i="64"/>
  <c r="P194" i="64"/>
  <c r="Q194" i="64"/>
  <c r="R194" i="64"/>
  <c r="S194" i="64"/>
  <c r="T194" i="64"/>
  <c r="U194" i="64"/>
  <c r="V194" i="64"/>
  <c r="W194" i="64"/>
  <c r="X194" i="64"/>
  <c r="Y194" i="64"/>
  <c r="Z194" i="64"/>
  <c r="AA194" i="64"/>
  <c r="AB194" i="64"/>
  <c r="AC194" i="64"/>
  <c r="AD194" i="64"/>
  <c r="AE194" i="64"/>
  <c r="AF194" i="64"/>
  <c r="AG194" i="64"/>
  <c r="AH194" i="64"/>
  <c r="AI194" i="64"/>
  <c r="AJ194" i="64"/>
  <c r="AK194" i="64"/>
  <c r="AL194" i="64"/>
  <c r="AM194" i="64"/>
  <c r="AN194" i="64"/>
  <c r="AO194" i="64"/>
  <c r="AP194" i="64"/>
  <c r="AQ194" i="64"/>
  <c r="AR194" i="64"/>
  <c r="AS194" i="64"/>
  <c r="AT194" i="64"/>
  <c r="AU194" i="64"/>
  <c r="AV194" i="64"/>
  <c r="AW194" i="64"/>
  <c r="AX194" i="64"/>
  <c r="AY194" i="64"/>
  <c r="AZ194" i="64"/>
  <c r="BA194" i="64"/>
  <c r="BB194" i="64"/>
  <c r="BC194" i="64"/>
  <c r="BD194" i="64"/>
  <c r="BE194" i="64"/>
  <c r="BF194" i="64"/>
  <c r="C195" i="64"/>
  <c r="D195" i="64"/>
  <c r="E195" i="64"/>
  <c r="F195" i="64"/>
  <c r="G195" i="64"/>
  <c r="H195" i="64"/>
  <c r="I195" i="64"/>
  <c r="J195" i="64"/>
  <c r="K195" i="64"/>
  <c r="L195" i="64"/>
  <c r="M195" i="64"/>
  <c r="N195" i="64"/>
  <c r="O195" i="64"/>
  <c r="P195" i="64"/>
  <c r="Q195" i="64"/>
  <c r="R195" i="64"/>
  <c r="S195" i="64"/>
  <c r="T195" i="64"/>
  <c r="U195" i="64"/>
  <c r="V195" i="64"/>
  <c r="W195" i="64"/>
  <c r="X195" i="64"/>
  <c r="Y195" i="64"/>
  <c r="Z195" i="64"/>
  <c r="AA195" i="64"/>
  <c r="AB195" i="64"/>
  <c r="AC195" i="64"/>
  <c r="AD195" i="64"/>
  <c r="AE195" i="64"/>
  <c r="AF195" i="64"/>
  <c r="AG195" i="64"/>
  <c r="AH195" i="64"/>
  <c r="AI195" i="64"/>
  <c r="AJ195" i="64"/>
  <c r="AK195" i="64"/>
  <c r="AL195" i="64"/>
  <c r="AM195" i="64"/>
  <c r="AN195" i="64"/>
  <c r="AO195" i="64"/>
  <c r="AP195" i="64"/>
  <c r="AQ195" i="64"/>
  <c r="AR195" i="64"/>
  <c r="AS195" i="64"/>
  <c r="AT195" i="64"/>
  <c r="AU195" i="64"/>
  <c r="AV195" i="64"/>
  <c r="AW195" i="64"/>
  <c r="AX195" i="64"/>
  <c r="AY195" i="64"/>
  <c r="AZ195" i="64"/>
  <c r="BA195" i="64"/>
  <c r="BB195" i="64"/>
  <c r="BC195" i="64"/>
  <c r="BD195" i="64"/>
  <c r="BE195" i="64"/>
  <c r="BF195" i="64"/>
  <c r="C196" i="64"/>
  <c r="D196" i="64"/>
  <c r="E196" i="64"/>
  <c r="F196" i="64"/>
  <c r="G196" i="64"/>
  <c r="H196" i="64"/>
  <c r="I196" i="64"/>
  <c r="J196" i="64"/>
  <c r="K196" i="64"/>
  <c r="L196" i="64"/>
  <c r="M196" i="64"/>
  <c r="N196" i="64"/>
  <c r="O196" i="64"/>
  <c r="P196" i="64"/>
  <c r="Q196" i="64"/>
  <c r="R196" i="64"/>
  <c r="S196" i="64"/>
  <c r="T196" i="64"/>
  <c r="U196" i="64"/>
  <c r="V196" i="64"/>
  <c r="W196" i="64"/>
  <c r="X196" i="64"/>
  <c r="Y196" i="64"/>
  <c r="Z196" i="64"/>
  <c r="AA196" i="64"/>
  <c r="AB196" i="64"/>
  <c r="AC196" i="64"/>
  <c r="AD196" i="64"/>
  <c r="AE196" i="64"/>
  <c r="AF196" i="64"/>
  <c r="AG196" i="64"/>
  <c r="AH196" i="64"/>
  <c r="AI196" i="64"/>
  <c r="AJ196" i="64"/>
  <c r="AK196" i="64"/>
  <c r="AL196" i="64"/>
  <c r="AM196" i="64"/>
  <c r="AN196" i="64"/>
  <c r="AO196" i="64"/>
  <c r="AP196" i="64"/>
  <c r="AQ196" i="64"/>
  <c r="AR196" i="64"/>
  <c r="AS196" i="64"/>
  <c r="AT196" i="64"/>
  <c r="AU196" i="64"/>
  <c r="AV196" i="64"/>
  <c r="AW196" i="64"/>
  <c r="AX196" i="64"/>
  <c r="AY196" i="64"/>
  <c r="AZ196" i="64"/>
  <c r="BA196" i="64"/>
  <c r="BB196" i="64"/>
  <c r="BC196" i="64"/>
  <c r="BD196" i="64"/>
  <c r="BE196" i="64"/>
  <c r="BF196" i="64"/>
  <c r="C197" i="64"/>
  <c r="D197" i="64"/>
  <c r="E197" i="64"/>
  <c r="F197" i="64"/>
  <c r="G197" i="64"/>
  <c r="H197" i="64"/>
  <c r="I197" i="64"/>
  <c r="J197" i="64"/>
  <c r="K197" i="64"/>
  <c r="L197" i="64"/>
  <c r="M197" i="64"/>
  <c r="N197" i="64"/>
  <c r="O197" i="64"/>
  <c r="P197" i="64"/>
  <c r="Q197" i="64"/>
  <c r="R197" i="64"/>
  <c r="S197" i="64"/>
  <c r="T197" i="64"/>
  <c r="U197" i="64"/>
  <c r="V197" i="64"/>
  <c r="W197" i="64"/>
  <c r="X197" i="64"/>
  <c r="Y197" i="64"/>
  <c r="Z197" i="64"/>
  <c r="AA197" i="64"/>
  <c r="AB197" i="64"/>
  <c r="AC197" i="64"/>
  <c r="AD197" i="64"/>
  <c r="AE197" i="64"/>
  <c r="AF197" i="64"/>
  <c r="AG197" i="64"/>
  <c r="AH197" i="64"/>
  <c r="AI197" i="64"/>
  <c r="AJ197" i="64"/>
  <c r="AK197" i="64"/>
  <c r="AL197" i="64"/>
  <c r="AM197" i="64"/>
  <c r="AN197" i="64"/>
  <c r="AO197" i="64"/>
  <c r="AP197" i="64"/>
  <c r="AQ197" i="64"/>
  <c r="AR197" i="64"/>
  <c r="AS197" i="64"/>
  <c r="AT197" i="64"/>
  <c r="AU197" i="64"/>
  <c r="AV197" i="64"/>
  <c r="AW197" i="64"/>
  <c r="AX197" i="64"/>
  <c r="AY197" i="64"/>
  <c r="AZ197" i="64"/>
  <c r="BA197" i="64"/>
  <c r="BB197" i="64"/>
  <c r="BC197" i="64"/>
  <c r="BD197" i="64"/>
  <c r="BE197" i="64"/>
  <c r="BF197" i="64"/>
  <c r="C198" i="64"/>
  <c r="D198" i="64"/>
  <c r="E198" i="64"/>
  <c r="F198" i="64"/>
  <c r="G198" i="64"/>
  <c r="H198" i="64"/>
  <c r="I198" i="64"/>
  <c r="J198" i="64"/>
  <c r="K198" i="64"/>
  <c r="L198" i="64"/>
  <c r="M198" i="64"/>
  <c r="N198" i="64"/>
  <c r="O198" i="64"/>
  <c r="P198" i="64"/>
  <c r="Q198" i="64"/>
  <c r="R198" i="64"/>
  <c r="S198" i="64"/>
  <c r="T198" i="64"/>
  <c r="U198" i="64"/>
  <c r="V198" i="64"/>
  <c r="W198" i="64"/>
  <c r="X198" i="64"/>
  <c r="Y198" i="64"/>
  <c r="Z198" i="64"/>
  <c r="AA198" i="64"/>
  <c r="AB198" i="64"/>
  <c r="AC198" i="64"/>
  <c r="AD198" i="64"/>
  <c r="AE198" i="64"/>
  <c r="AF198" i="64"/>
  <c r="AG198" i="64"/>
  <c r="AH198" i="64"/>
  <c r="AI198" i="64"/>
  <c r="AJ198" i="64"/>
  <c r="AK198" i="64"/>
  <c r="AL198" i="64"/>
  <c r="AM198" i="64"/>
  <c r="AN198" i="64"/>
  <c r="AO198" i="64"/>
  <c r="AP198" i="64"/>
  <c r="AQ198" i="64"/>
  <c r="AR198" i="64"/>
  <c r="AS198" i="64"/>
  <c r="AT198" i="64"/>
  <c r="AU198" i="64"/>
  <c r="AV198" i="64"/>
  <c r="AW198" i="64"/>
  <c r="AX198" i="64"/>
  <c r="AY198" i="64"/>
  <c r="AZ198" i="64"/>
  <c r="BA198" i="64"/>
  <c r="BB198" i="64"/>
  <c r="BC198" i="64"/>
  <c r="BD198" i="64"/>
  <c r="BE198" i="64"/>
  <c r="BF198" i="64"/>
  <c r="C199" i="64"/>
  <c r="D199" i="64"/>
  <c r="E199" i="64"/>
  <c r="F199" i="64"/>
  <c r="G199" i="64"/>
  <c r="H199" i="64"/>
  <c r="I199" i="64"/>
  <c r="J199" i="64"/>
  <c r="K199" i="64"/>
  <c r="L199" i="64"/>
  <c r="M199" i="64"/>
  <c r="N199" i="64"/>
  <c r="O199" i="64"/>
  <c r="P199" i="64"/>
  <c r="Q199" i="64"/>
  <c r="R199" i="64"/>
  <c r="S199" i="64"/>
  <c r="T199" i="64"/>
  <c r="U199" i="64"/>
  <c r="V199" i="64"/>
  <c r="W199" i="64"/>
  <c r="X199" i="64"/>
  <c r="Y199" i="64"/>
  <c r="Z199" i="64"/>
  <c r="AA199" i="64"/>
  <c r="AB199" i="64"/>
  <c r="AC199" i="64"/>
  <c r="AD199" i="64"/>
  <c r="AE199" i="64"/>
  <c r="AF199" i="64"/>
  <c r="AG199" i="64"/>
  <c r="AH199" i="64"/>
  <c r="AI199" i="64"/>
  <c r="AJ199" i="64"/>
  <c r="AK199" i="64"/>
  <c r="AL199" i="64"/>
  <c r="AM199" i="64"/>
  <c r="AN199" i="64"/>
  <c r="AO199" i="64"/>
  <c r="AP199" i="64"/>
  <c r="AQ199" i="64"/>
  <c r="AR199" i="64"/>
  <c r="AS199" i="64"/>
  <c r="AT199" i="64"/>
  <c r="AU199" i="64"/>
  <c r="AV199" i="64"/>
  <c r="AW199" i="64"/>
  <c r="AX199" i="64"/>
  <c r="AY199" i="64"/>
  <c r="AZ199" i="64"/>
  <c r="BA199" i="64"/>
  <c r="BB199" i="64"/>
  <c r="BC199" i="64"/>
  <c r="BD199" i="64"/>
  <c r="BE199" i="64"/>
  <c r="BF199" i="64"/>
  <c r="C200" i="64"/>
  <c r="D200" i="64"/>
  <c r="E200" i="64"/>
  <c r="F200" i="64"/>
  <c r="G200" i="64"/>
  <c r="H200" i="64"/>
  <c r="I200" i="64"/>
  <c r="J200" i="64"/>
  <c r="K200" i="64"/>
  <c r="L200" i="64"/>
  <c r="M200" i="64"/>
  <c r="N200" i="64"/>
  <c r="O200" i="64"/>
  <c r="P200" i="64"/>
  <c r="Q200" i="64"/>
  <c r="R200" i="64"/>
  <c r="S200" i="64"/>
  <c r="T200" i="64"/>
  <c r="U200" i="64"/>
  <c r="V200" i="64"/>
  <c r="W200" i="64"/>
  <c r="X200" i="64"/>
  <c r="Y200" i="64"/>
  <c r="Z200" i="64"/>
  <c r="AA200" i="64"/>
  <c r="AB200" i="64"/>
  <c r="AC200" i="64"/>
  <c r="AD200" i="64"/>
  <c r="AE200" i="64"/>
  <c r="AF200" i="64"/>
  <c r="AG200" i="64"/>
  <c r="AH200" i="64"/>
  <c r="AI200" i="64"/>
  <c r="AJ200" i="64"/>
  <c r="AK200" i="64"/>
  <c r="AL200" i="64"/>
  <c r="AM200" i="64"/>
  <c r="AN200" i="64"/>
  <c r="AO200" i="64"/>
  <c r="AP200" i="64"/>
  <c r="AQ200" i="64"/>
  <c r="AR200" i="64"/>
  <c r="AS200" i="64"/>
  <c r="AT200" i="64"/>
  <c r="AU200" i="64"/>
  <c r="AV200" i="64"/>
  <c r="AW200" i="64"/>
  <c r="AX200" i="64"/>
  <c r="AY200" i="64"/>
  <c r="AZ200" i="64"/>
  <c r="BA200" i="64"/>
  <c r="BB200" i="64"/>
  <c r="BC200" i="64"/>
  <c r="BD200" i="64"/>
  <c r="BE200" i="64"/>
  <c r="BF200" i="64"/>
  <c r="C201" i="64"/>
  <c r="D201" i="64"/>
  <c r="E201" i="64"/>
  <c r="F201" i="64"/>
  <c r="G201" i="64"/>
  <c r="H201" i="64"/>
  <c r="I201" i="64"/>
  <c r="J201" i="64"/>
  <c r="K201" i="64"/>
  <c r="L201" i="64"/>
  <c r="M201" i="64"/>
  <c r="N201" i="64"/>
  <c r="O201" i="64"/>
  <c r="P201" i="64"/>
  <c r="Q201" i="64"/>
  <c r="R201" i="64"/>
  <c r="S201" i="64"/>
  <c r="T201" i="64"/>
  <c r="U201" i="64"/>
  <c r="V201" i="64"/>
  <c r="W201" i="64"/>
  <c r="X201" i="64"/>
  <c r="Y201" i="64"/>
  <c r="Z201" i="64"/>
  <c r="AA201" i="64"/>
  <c r="AB201" i="64"/>
  <c r="AC201" i="64"/>
  <c r="AD201" i="64"/>
  <c r="AE201" i="64"/>
  <c r="AF201" i="64"/>
  <c r="AG201" i="64"/>
  <c r="AH201" i="64"/>
  <c r="AI201" i="64"/>
  <c r="AJ201" i="64"/>
  <c r="AK201" i="64"/>
  <c r="AL201" i="64"/>
  <c r="AM201" i="64"/>
  <c r="AN201" i="64"/>
  <c r="AO201" i="64"/>
  <c r="AP201" i="64"/>
  <c r="AQ201" i="64"/>
  <c r="AR201" i="64"/>
  <c r="AS201" i="64"/>
  <c r="AT201" i="64"/>
  <c r="AU201" i="64"/>
  <c r="AV201" i="64"/>
  <c r="AW201" i="64"/>
  <c r="AX201" i="64"/>
  <c r="AY201" i="64"/>
  <c r="AZ201" i="64"/>
  <c r="BA201" i="64"/>
  <c r="BB201" i="64"/>
  <c r="BC201" i="64"/>
  <c r="BD201" i="64"/>
  <c r="BE201" i="64"/>
  <c r="BF201" i="64"/>
  <c r="C202" i="64"/>
  <c r="D202" i="64"/>
  <c r="E202" i="64"/>
  <c r="F202" i="64"/>
  <c r="G202" i="64"/>
  <c r="H202" i="64"/>
  <c r="I202" i="64"/>
  <c r="J202" i="64"/>
  <c r="K202" i="64"/>
  <c r="L202" i="64"/>
  <c r="M202" i="64"/>
  <c r="N202" i="64"/>
  <c r="O202" i="64"/>
  <c r="P202" i="64"/>
  <c r="Q202" i="64"/>
  <c r="R202" i="64"/>
  <c r="S202" i="64"/>
  <c r="T202" i="64"/>
  <c r="U202" i="64"/>
  <c r="V202" i="64"/>
  <c r="W202" i="64"/>
  <c r="X202" i="64"/>
  <c r="Y202" i="64"/>
  <c r="Z202" i="64"/>
  <c r="AA202" i="64"/>
  <c r="AB202" i="64"/>
  <c r="AC202" i="64"/>
  <c r="AD202" i="64"/>
  <c r="AE202" i="64"/>
  <c r="AF202" i="64"/>
  <c r="AG202" i="64"/>
  <c r="AH202" i="64"/>
  <c r="AI202" i="64"/>
  <c r="AJ202" i="64"/>
  <c r="AK202" i="64"/>
  <c r="AL202" i="64"/>
  <c r="AM202" i="64"/>
  <c r="AN202" i="64"/>
  <c r="AO202" i="64"/>
  <c r="AP202" i="64"/>
  <c r="AQ202" i="64"/>
  <c r="AR202" i="64"/>
  <c r="AS202" i="64"/>
  <c r="AT202" i="64"/>
  <c r="AU202" i="64"/>
  <c r="AV202" i="64"/>
  <c r="AW202" i="64"/>
  <c r="AX202" i="64"/>
  <c r="AY202" i="64"/>
  <c r="AZ202" i="64"/>
  <c r="BA202" i="64"/>
  <c r="BB202" i="64"/>
  <c r="BC202" i="64"/>
  <c r="BD202" i="64"/>
  <c r="BE202" i="64"/>
  <c r="BF202" i="64"/>
  <c r="C203" i="64"/>
  <c r="D203" i="64"/>
  <c r="E203" i="64"/>
  <c r="F203" i="64"/>
  <c r="G203" i="64"/>
  <c r="H203" i="64"/>
  <c r="I203" i="64"/>
  <c r="J203" i="64"/>
  <c r="K203" i="64"/>
  <c r="L203" i="64"/>
  <c r="M203" i="64"/>
  <c r="N203" i="64"/>
  <c r="O203" i="64"/>
  <c r="P203" i="64"/>
  <c r="Q203" i="64"/>
  <c r="R203" i="64"/>
  <c r="S203" i="64"/>
  <c r="T203" i="64"/>
  <c r="U203" i="64"/>
  <c r="V203" i="64"/>
  <c r="W203" i="64"/>
  <c r="X203" i="64"/>
  <c r="Y203" i="64"/>
  <c r="Z203" i="64"/>
  <c r="AA203" i="64"/>
  <c r="AB203" i="64"/>
  <c r="AC203" i="64"/>
  <c r="AD203" i="64"/>
  <c r="AE203" i="64"/>
  <c r="AF203" i="64"/>
  <c r="AG203" i="64"/>
  <c r="AH203" i="64"/>
  <c r="AI203" i="64"/>
  <c r="AJ203" i="64"/>
  <c r="AK203" i="64"/>
  <c r="AL203" i="64"/>
  <c r="AM203" i="64"/>
  <c r="AN203" i="64"/>
  <c r="AO203" i="64"/>
  <c r="AP203" i="64"/>
  <c r="AQ203" i="64"/>
  <c r="AR203" i="64"/>
  <c r="AS203" i="64"/>
  <c r="AT203" i="64"/>
  <c r="AU203" i="64"/>
  <c r="AV203" i="64"/>
  <c r="AW203" i="64"/>
  <c r="AX203" i="64"/>
  <c r="AY203" i="64"/>
  <c r="AZ203" i="64"/>
  <c r="BA203" i="64"/>
  <c r="BB203" i="64"/>
  <c r="BC203" i="64"/>
  <c r="BD203" i="64"/>
  <c r="BE203" i="64"/>
  <c r="BF203" i="64"/>
  <c r="C204" i="64"/>
  <c r="D204" i="64"/>
  <c r="E204" i="64"/>
  <c r="F204" i="64"/>
  <c r="G204" i="64"/>
  <c r="H204" i="64"/>
  <c r="I204" i="64"/>
  <c r="J204" i="64"/>
  <c r="K204" i="64"/>
  <c r="L204" i="64"/>
  <c r="M204" i="64"/>
  <c r="N204" i="64"/>
  <c r="O204" i="64"/>
  <c r="P204" i="64"/>
  <c r="Q204" i="64"/>
  <c r="R204" i="64"/>
  <c r="S204" i="64"/>
  <c r="T204" i="64"/>
  <c r="U204" i="64"/>
  <c r="V204" i="64"/>
  <c r="W204" i="64"/>
  <c r="X204" i="64"/>
  <c r="Y204" i="64"/>
  <c r="Z204" i="64"/>
  <c r="AA204" i="64"/>
  <c r="AB204" i="64"/>
  <c r="AC204" i="64"/>
  <c r="AD204" i="64"/>
  <c r="AE204" i="64"/>
  <c r="AF204" i="64"/>
  <c r="AG204" i="64"/>
  <c r="AH204" i="64"/>
  <c r="AI204" i="64"/>
  <c r="AJ204" i="64"/>
  <c r="AK204" i="64"/>
  <c r="AL204" i="64"/>
  <c r="AM204" i="64"/>
  <c r="AN204" i="64"/>
  <c r="AO204" i="64"/>
  <c r="AP204" i="64"/>
  <c r="AQ204" i="64"/>
  <c r="AR204" i="64"/>
  <c r="AS204" i="64"/>
  <c r="AT204" i="64"/>
  <c r="AU204" i="64"/>
  <c r="AV204" i="64"/>
  <c r="AW204" i="64"/>
  <c r="AX204" i="64"/>
  <c r="AY204" i="64"/>
  <c r="AZ204" i="64"/>
  <c r="BA204" i="64"/>
  <c r="BB204" i="64"/>
  <c r="BC204" i="64"/>
  <c r="BD204" i="64"/>
  <c r="BE204" i="64"/>
  <c r="BF204" i="64"/>
  <c r="BL209" i="64"/>
  <c r="J211" i="64"/>
  <c r="L211" i="64"/>
  <c r="Z211" i="64"/>
  <c r="K213" i="64"/>
  <c r="L213" i="64"/>
  <c r="Z213" i="64"/>
  <c r="AQ213" i="64"/>
  <c r="AQ225" i="64" s="1"/>
  <c r="C215" i="64"/>
  <c r="D215" i="64"/>
  <c r="E215" i="64"/>
  <c r="G215" i="64"/>
  <c r="J215" i="64"/>
  <c r="K215" i="64"/>
  <c r="Q215" i="64"/>
  <c r="R215" i="64"/>
  <c r="R225" i="64" s="1"/>
  <c r="T215" i="64"/>
  <c r="T225" i="64" s="1"/>
  <c r="U215" i="64"/>
  <c r="V215" i="64"/>
  <c r="V225" i="64" s="1"/>
  <c r="X215" i="64"/>
  <c r="X225" i="64" s="1"/>
  <c r="Z215" i="64"/>
  <c r="AC215" i="64"/>
  <c r="AD215" i="64"/>
  <c r="AD225" i="64" s="1"/>
  <c r="AG215" i="64"/>
  <c r="AI215" i="64"/>
  <c r="AM215" i="64"/>
  <c r="AP215" i="64"/>
  <c r="AP225" i="64" s="1"/>
  <c r="AT215" i="64"/>
  <c r="AW215" i="64"/>
  <c r="AZ215" i="64"/>
  <c r="AV293" i="64"/>
  <c r="AX293" i="64"/>
  <c r="AZ293" i="64"/>
  <c r="BB293" i="64"/>
  <c r="BD293" i="64"/>
  <c r="BF293" i="64"/>
  <c r="D295" i="64"/>
  <c r="F295" i="64"/>
  <c r="H295" i="64"/>
  <c r="J295" i="64"/>
  <c r="L295" i="64"/>
  <c r="N295" i="64"/>
  <c r="Q295" i="64"/>
  <c r="S295" i="64"/>
  <c r="U295" i="64"/>
  <c r="W295" i="64"/>
  <c r="Y295" i="64"/>
  <c r="AA295" i="64"/>
  <c r="AC295" i="64"/>
  <c r="AE295" i="64"/>
  <c r="AG295" i="64"/>
  <c r="AI295" i="64"/>
  <c r="AK295" i="64"/>
  <c r="AM295" i="64"/>
  <c r="AO295" i="64"/>
  <c r="AQ295" i="64"/>
  <c r="AS295" i="64"/>
  <c r="AV295" i="64"/>
  <c r="AX295" i="64"/>
  <c r="AZ295" i="64"/>
  <c r="BB295" i="64"/>
  <c r="BD295" i="64"/>
  <c r="BF295" i="64"/>
  <c r="D297" i="64"/>
  <c r="F297" i="64"/>
  <c r="H297" i="64"/>
  <c r="J297" i="64"/>
  <c r="L297" i="64"/>
  <c r="N297" i="64"/>
  <c r="O297" i="64"/>
  <c r="Q297" i="64"/>
  <c r="R297" i="64"/>
  <c r="S297" i="64"/>
  <c r="U297" i="64"/>
  <c r="V297" i="64"/>
  <c r="W297" i="64"/>
  <c r="Y297" i="64"/>
  <c r="Z297" i="64"/>
  <c r="AA297" i="64"/>
  <c r="AC297" i="64"/>
  <c r="AD297" i="64"/>
  <c r="AE297" i="64"/>
  <c r="AG297" i="64"/>
  <c r="AH297" i="64"/>
  <c r="AI297" i="64"/>
  <c r="AK297" i="64"/>
  <c r="AL297" i="64"/>
  <c r="AM297" i="64"/>
  <c r="AO297" i="64"/>
  <c r="AP297" i="64"/>
  <c r="AQ297" i="64"/>
  <c r="AS297" i="64"/>
  <c r="AT297" i="64"/>
  <c r="AV297" i="64"/>
  <c r="AX297" i="64"/>
  <c r="AY297" i="64"/>
  <c r="AZ297" i="64"/>
  <c r="BB297" i="64"/>
  <c r="BC297" i="64"/>
  <c r="BD297" i="64"/>
  <c r="BF297" i="64"/>
  <c r="E223" i="64"/>
  <c r="L223" i="64"/>
  <c r="T223" i="64"/>
  <c r="BL223" i="64"/>
  <c r="C225" i="64"/>
  <c r="D225" i="64"/>
  <c r="E225" i="64"/>
  <c r="F225" i="64"/>
  <c r="G225" i="64"/>
  <c r="H225" i="64"/>
  <c r="I225" i="64"/>
  <c r="K225" i="64"/>
  <c r="M225" i="64"/>
  <c r="N225" i="64"/>
  <c r="O225" i="64"/>
  <c r="P225" i="64"/>
  <c r="Q225" i="64"/>
  <c r="S225" i="64"/>
  <c r="U225" i="64"/>
  <c r="W225" i="64"/>
  <c r="Y225" i="64"/>
  <c r="AA225" i="64"/>
  <c r="AB225" i="64"/>
  <c r="AC225" i="64"/>
  <c r="AE225" i="64"/>
  <c r="AF225" i="64"/>
  <c r="AG225" i="64"/>
  <c r="AH225" i="64"/>
  <c r="AI225" i="64"/>
  <c r="AJ225" i="64"/>
  <c r="AK225" i="64"/>
  <c r="AL225" i="64"/>
  <c r="AM225" i="64"/>
  <c r="AN225" i="64"/>
  <c r="AO225" i="64"/>
  <c r="AR225" i="64"/>
  <c r="AS225" i="64"/>
  <c r="AT225" i="64"/>
  <c r="AU225" i="64"/>
  <c r="AV225" i="64"/>
  <c r="AW225" i="64"/>
  <c r="AX225" i="64"/>
  <c r="AY225" i="64"/>
  <c r="AZ225" i="64"/>
  <c r="BA225" i="64"/>
  <c r="BB225" i="64"/>
  <c r="BC225" i="64"/>
  <c r="BD225" i="64"/>
  <c r="BE225" i="64"/>
  <c r="BF225" i="64"/>
  <c r="D231" i="64"/>
  <c r="C233" i="64"/>
  <c r="D233" i="64"/>
  <c r="E233" i="64"/>
  <c r="F233" i="64"/>
  <c r="H233" i="64"/>
  <c r="I233" i="64"/>
  <c r="J233" i="64"/>
  <c r="K233" i="64"/>
  <c r="M233" i="64"/>
  <c r="N233" i="64"/>
  <c r="O233" i="64"/>
  <c r="S233" i="64"/>
  <c r="T233" i="64"/>
  <c r="U233" i="64"/>
  <c r="X233" i="64"/>
  <c r="Z233" i="64"/>
  <c r="AA233" i="64"/>
  <c r="AB233" i="64"/>
  <c r="AC233" i="64"/>
  <c r="AD233" i="64"/>
  <c r="AI233" i="64"/>
  <c r="AO233" i="64"/>
  <c r="AQ233" i="64"/>
  <c r="AS233" i="64"/>
  <c r="C235" i="64"/>
  <c r="D235" i="64"/>
  <c r="E235" i="64"/>
  <c r="F235" i="64"/>
  <c r="H235" i="64"/>
  <c r="I235" i="64"/>
  <c r="J235" i="64"/>
  <c r="K235" i="64"/>
  <c r="M235" i="64"/>
  <c r="N235" i="64"/>
  <c r="O235" i="64"/>
  <c r="P235" i="64"/>
  <c r="R235" i="64"/>
  <c r="S235" i="64"/>
  <c r="T235" i="64"/>
  <c r="U235" i="64"/>
  <c r="V235" i="64"/>
  <c r="W235" i="64"/>
  <c r="X235" i="64"/>
  <c r="Z235" i="64"/>
  <c r="AA235" i="64"/>
  <c r="AB235" i="64"/>
  <c r="AC235" i="64"/>
  <c r="AD235" i="64"/>
  <c r="AE235" i="64"/>
  <c r="AF235" i="64"/>
  <c r="AI235" i="64"/>
  <c r="AJ235" i="64"/>
  <c r="AL235" i="64"/>
  <c r="AM235" i="64"/>
  <c r="AO235" i="64"/>
  <c r="AP235" i="64"/>
  <c r="AQ235" i="64"/>
  <c r="AR235" i="64"/>
  <c r="AS235" i="64"/>
  <c r="AT235" i="64"/>
  <c r="AU235" i="64"/>
  <c r="AV235" i="64"/>
  <c r="AZ235" i="64"/>
  <c r="BC235" i="64"/>
  <c r="C237" i="64"/>
  <c r="D237" i="64"/>
  <c r="E237" i="64"/>
  <c r="F237" i="64"/>
  <c r="H237" i="64"/>
  <c r="I237" i="64"/>
  <c r="J237" i="64"/>
  <c r="K237" i="64"/>
  <c r="M237" i="64"/>
  <c r="N237" i="64"/>
  <c r="O237" i="64"/>
  <c r="P237" i="64"/>
  <c r="Q237" i="64"/>
  <c r="R237" i="64"/>
  <c r="S237" i="64"/>
  <c r="T237" i="64"/>
  <c r="U237" i="64"/>
  <c r="V237" i="64"/>
  <c r="W237" i="64"/>
  <c r="X237" i="64"/>
  <c r="Z237" i="64"/>
  <c r="AA237" i="64"/>
  <c r="AB237" i="64"/>
  <c r="AC237" i="64"/>
  <c r="AD237" i="64"/>
  <c r="AE237" i="64"/>
  <c r="AF237" i="64"/>
  <c r="AI237" i="64"/>
  <c r="AJ237" i="64"/>
  <c r="AL237" i="64"/>
  <c r="AM237" i="64"/>
  <c r="AO237" i="64"/>
  <c r="AP237" i="64"/>
  <c r="AQ237" i="64"/>
  <c r="AR237" i="64"/>
  <c r="AS237" i="64"/>
  <c r="AT237" i="64"/>
  <c r="AU237" i="64"/>
  <c r="AV237" i="64"/>
  <c r="AW237" i="64"/>
  <c r="AY237" i="64"/>
  <c r="AZ237" i="64"/>
  <c r="BC237" i="64"/>
  <c r="BG238" i="64"/>
  <c r="BK238" i="64" s="1"/>
  <c r="BG239" i="64"/>
  <c r="BK239" i="64" s="1"/>
  <c r="BG240" i="64"/>
  <c r="BK240" i="64" s="1"/>
  <c r="BG241" i="64"/>
  <c r="BK241" i="64" s="1"/>
  <c r="BG242" i="64"/>
  <c r="BH243" i="64"/>
  <c r="BK244" i="64"/>
  <c r="L248" i="64"/>
  <c r="R248" i="64"/>
  <c r="X248" i="64"/>
  <c r="Z248" i="64"/>
  <c r="L250" i="64"/>
  <c r="W250" i="64"/>
  <c r="Z250" i="64"/>
  <c r="AY250" i="64"/>
  <c r="F252" i="64"/>
  <c r="J252" i="64"/>
  <c r="J262" i="64" s="1"/>
  <c r="K252" i="64"/>
  <c r="L252" i="64"/>
  <c r="R252" i="64"/>
  <c r="T252" i="64"/>
  <c r="T262" i="64" s="1"/>
  <c r="U252" i="64"/>
  <c r="U322" i="64" s="1"/>
  <c r="V252" i="64"/>
  <c r="V262" i="64" s="1"/>
  <c r="X252" i="64"/>
  <c r="Z252" i="64"/>
  <c r="AD252" i="64"/>
  <c r="AD262" i="64" s="1"/>
  <c r="AG252" i="64"/>
  <c r="AV252" i="64"/>
  <c r="AV262" i="64" s="1"/>
  <c r="AW252" i="64"/>
  <c r="AW262" i="64" s="1"/>
  <c r="AZ252" i="64"/>
  <c r="BC252" i="64"/>
  <c r="C324" i="64"/>
  <c r="D324" i="64"/>
  <c r="F324" i="64"/>
  <c r="J324" i="64"/>
  <c r="L324" i="64"/>
  <c r="P324" i="64"/>
  <c r="T324" i="64"/>
  <c r="V324" i="64"/>
  <c r="W324" i="64"/>
  <c r="X324" i="64"/>
  <c r="AB324" i="64"/>
  <c r="AD324" i="64"/>
  <c r="AF324" i="64"/>
  <c r="AJ324" i="64"/>
  <c r="AL324" i="64"/>
  <c r="AN324" i="64"/>
  <c r="AQ324" i="64"/>
  <c r="AR324" i="64"/>
  <c r="AT324" i="64"/>
  <c r="AV324" i="64"/>
  <c r="AX324" i="64"/>
  <c r="AZ324" i="64"/>
  <c r="BB324" i="64"/>
  <c r="BD324" i="64"/>
  <c r="BF324" i="64"/>
  <c r="E326" i="64"/>
  <c r="G326" i="64"/>
  <c r="H326" i="64"/>
  <c r="K326" i="64"/>
  <c r="L326" i="64"/>
  <c r="O326" i="64"/>
  <c r="Q326" i="64"/>
  <c r="S326" i="64"/>
  <c r="T326" i="64"/>
  <c r="W326" i="64"/>
  <c r="X326" i="64"/>
  <c r="Y326" i="64"/>
  <c r="AA326" i="64"/>
  <c r="AB326" i="64"/>
  <c r="AC326" i="64"/>
  <c r="AE326" i="64"/>
  <c r="AF326" i="64"/>
  <c r="AG326" i="64"/>
  <c r="AI326" i="64"/>
  <c r="AJ326" i="64"/>
  <c r="AK326" i="64"/>
  <c r="AL326" i="64"/>
  <c r="AM326" i="64"/>
  <c r="AN326" i="64"/>
  <c r="AO326" i="64"/>
  <c r="AP326" i="64"/>
  <c r="AQ326" i="64"/>
  <c r="AR326" i="64"/>
  <c r="AS326" i="64"/>
  <c r="AV326" i="64"/>
  <c r="AW326" i="64"/>
  <c r="AZ326" i="64"/>
  <c r="BA326" i="64"/>
  <c r="BC326" i="64"/>
  <c r="BD326" i="64"/>
  <c r="BE326" i="64"/>
  <c r="D328" i="64"/>
  <c r="E328" i="64"/>
  <c r="F328" i="64"/>
  <c r="G328" i="64"/>
  <c r="H328" i="64"/>
  <c r="I328" i="64"/>
  <c r="J328" i="64"/>
  <c r="L328" i="64"/>
  <c r="M328" i="64"/>
  <c r="N328" i="64"/>
  <c r="O328" i="64"/>
  <c r="P328" i="64"/>
  <c r="Q328" i="64"/>
  <c r="R328" i="64"/>
  <c r="T328" i="64"/>
  <c r="U328" i="64"/>
  <c r="V328" i="64"/>
  <c r="W328" i="64"/>
  <c r="X328" i="64"/>
  <c r="Y328" i="64"/>
  <c r="Z328" i="64"/>
  <c r="AB328" i="64"/>
  <c r="AC328" i="64"/>
  <c r="AD328" i="64"/>
  <c r="AE328" i="64"/>
  <c r="AF328" i="64"/>
  <c r="AG328" i="64"/>
  <c r="AH328" i="64"/>
  <c r="AJ328" i="64"/>
  <c r="AK328" i="64"/>
  <c r="AL328" i="64"/>
  <c r="AM328" i="64"/>
  <c r="AN328" i="64"/>
  <c r="AO328" i="64"/>
  <c r="AP328" i="64"/>
  <c r="AQ328" i="64"/>
  <c r="AR328" i="64"/>
  <c r="AS328" i="64"/>
  <c r="AT328" i="64"/>
  <c r="AV328" i="64"/>
  <c r="AW328" i="64"/>
  <c r="AX328" i="64"/>
  <c r="AY328" i="64"/>
  <c r="BA328" i="64"/>
  <c r="BB328" i="64"/>
  <c r="BC328" i="64"/>
  <c r="BE328" i="64"/>
  <c r="BF328" i="64"/>
  <c r="D262" i="64"/>
  <c r="E262" i="64"/>
  <c r="F262" i="64"/>
  <c r="G262" i="64"/>
  <c r="H262" i="64"/>
  <c r="I262" i="64"/>
  <c r="K262" i="64"/>
  <c r="M262" i="64"/>
  <c r="N262" i="64"/>
  <c r="O262" i="64"/>
  <c r="P262" i="64"/>
  <c r="Q262" i="64"/>
  <c r="R262" i="64"/>
  <c r="S262" i="64"/>
  <c r="U262" i="64"/>
  <c r="W262" i="64"/>
  <c r="Y262" i="64"/>
  <c r="AA262" i="64"/>
  <c r="AB262" i="64"/>
  <c r="AC262" i="64"/>
  <c r="AE262" i="64"/>
  <c r="AF262" i="64"/>
  <c r="AG262" i="64"/>
  <c r="AH262" i="64"/>
  <c r="AI262" i="64"/>
  <c r="AJ262" i="64"/>
  <c r="AK262" i="64"/>
  <c r="AM262" i="64"/>
  <c r="AN262" i="64"/>
  <c r="AO262" i="64"/>
  <c r="AR262" i="64"/>
  <c r="AS262" i="64"/>
  <c r="AT262" i="64"/>
  <c r="AU262" i="64"/>
  <c r="AX262" i="64"/>
  <c r="AY262" i="64"/>
  <c r="BA262" i="64"/>
  <c r="BB262" i="64"/>
  <c r="BC262" i="64"/>
  <c r="BD262" i="64"/>
  <c r="BE262" i="64"/>
  <c r="BF262" i="64"/>
  <c r="C270" i="64"/>
  <c r="D270" i="64"/>
  <c r="E270" i="64"/>
  <c r="H270" i="64"/>
  <c r="I270" i="64"/>
  <c r="J270" i="64"/>
  <c r="M270" i="64"/>
  <c r="N270" i="64"/>
  <c r="O270" i="64"/>
  <c r="S270" i="64"/>
  <c r="T270" i="64"/>
  <c r="U270" i="64"/>
  <c r="Z270" i="64"/>
  <c r="AA270" i="64"/>
  <c r="AB270" i="64"/>
  <c r="AD270" i="64"/>
  <c r="AI270" i="64"/>
  <c r="AO270" i="64"/>
  <c r="AS270" i="64"/>
  <c r="C272" i="64"/>
  <c r="D272" i="64"/>
  <c r="E272" i="64"/>
  <c r="H272" i="64"/>
  <c r="I272" i="64"/>
  <c r="J272" i="64"/>
  <c r="K272" i="64"/>
  <c r="M272" i="64"/>
  <c r="N272" i="64"/>
  <c r="O272" i="64"/>
  <c r="P272" i="64"/>
  <c r="R272" i="64"/>
  <c r="S272" i="64"/>
  <c r="T272" i="64"/>
  <c r="U272" i="64"/>
  <c r="V272" i="64"/>
  <c r="W272" i="64"/>
  <c r="Z272" i="64"/>
  <c r="AA272" i="64"/>
  <c r="AB272" i="64"/>
  <c r="AC272" i="64"/>
  <c r="AD272" i="64"/>
  <c r="AE272" i="64"/>
  <c r="AF272" i="64"/>
  <c r="AI272" i="64"/>
  <c r="AL272" i="64"/>
  <c r="AM272" i="64"/>
  <c r="AO272" i="64"/>
  <c r="AP272" i="64"/>
  <c r="AR272" i="64"/>
  <c r="AS272" i="64"/>
  <c r="AT272" i="64"/>
  <c r="AZ272" i="64"/>
  <c r="BA272" i="64"/>
  <c r="BC272" i="64"/>
  <c r="BG274" i="64"/>
  <c r="BG276" i="64"/>
  <c r="BG278" i="64"/>
  <c r="BK281" i="64"/>
  <c r="C285" i="64"/>
  <c r="D285" i="64"/>
  <c r="E285" i="64"/>
  <c r="F285" i="64"/>
  <c r="G285" i="64"/>
  <c r="H285" i="64"/>
  <c r="I285" i="64"/>
  <c r="J285" i="64"/>
  <c r="K285" i="64"/>
  <c r="L285" i="64"/>
  <c r="M285" i="64"/>
  <c r="N285" i="64"/>
  <c r="O285" i="64"/>
  <c r="P285" i="64"/>
  <c r="Q285" i="64"/>
  <c r="R285" i="64"/>
  <c r="S285" i="64"/>
  <c r="T285" i="64"/>
  <c r="U285" i="64"/>
  <c r="W285" i="64"/>
  <c r="X285" i="64"/>
  <c r="Y285" i="64"/>
  <c r="Z285" i="64"/>
  <c r="AA285" i="64"/>
  <c r="AB285" i="64"/>
  <c r="AC285" i="64"/>
  <c r="AD285" i="64"/>
  <c r="AE285" i="64"/>
  <c r="AF285" i="64"/>
  <c r="AG285" i="64"/>
  <c r="AH285" i="64"/>
  <c r="AI285" i="64"/>
  <c r="AJ285" i="64"/>
  <c r="AK285" i="64"/>
  <c r="AL285" i="64"/>
  <c r="AM285" i="64"/>
  <c r="AN285" i="64"/>
  <c r="AO285" i="64"/>
  <c r="AP285" i="64"/>
  <c r="AQ285" i="64"/>
  <c r="AR285" i="64"/>
  <c r="AS285" i="64"/>
  <c r="AT285" i="64"/>
  <c r="AU285" i="64"/>
  <c r="AV285" i="64"/>
  <c r="AW285" i="64"/>
  <c r="AX285" i="64"/>
  <c r="AY285" i="64"/>
  <c r="AZ285" i="64"/>
  <c r="BA285" i="64"/>
  <c r="BC285" i="64"/>
  <c r="BD285" i="64"/>
  <c r="BE285" i="64"/>
  <c r="BF285" i="64"/>
  <c r="C287" i="64"/>
  <c r="D287" i="64"/>
  <c r="E287" i="64"/>
  <c r="F287" i="64"/>
  <c r="G287" i="64"/>
  <c r="H287" i="64"/>
  <c r="I287" i="64"/>
  <c r="J287" i="64"/>
  <c r="K287" i="64"/>
  <c r="L287" i="64"/>
  <c r="M287" i="64"/>
  <c r="N287" i="64"/>
  <c r="O287" i="64"/>
  <c r="P287" i="64"/>
  <c r="Q287" i="64"/>
  <c r="R287" i="64"/>
  <c r="S287" i="64"/>
  <c r="T287" i="64"/>
  <c r="U287" i="64"/>
  <c r="V287" i="64"/>
  <c r="W287" i="64"/>
  <c r="X287" i="64"/>
  <c r="Y287" i="64"/>
  <c r="Z287" i="64"/>
  <c r="AA287" i="64"/>
  <c r="AB287" i="64"/>
  <c r="AC287" i="64"/>
  <c r="AD287" i="64"/>
  <c r="AE287" i="64"/>
  <c r="AF287" i="64"/>
  <c r="AG287" i="64"/>
  <c r="AH287" i="64"/>
  <c r="AI287" i="64"/>
  <c r="AJ287" i="64"/>
  <c r="AK287" i="64"/>
  <c r="AL287" i="64"/>
  <c r="AM287" i="64"/>
  <c r="AN287" i="64"/>
  <c r="AO287" i="64"/>
  <c r="AP287" i="64"/>
  <c r="AQ287" i="64"/>
  <c r="AR287" i="64"/>
  <c r="AS287" i="64"/>
  <c r="AT287" i="64"/>
  <c r="AU287" i="64"/>
  <c r="AV287" i="64"/>
  <c r="AW287" i="64"/>
  <c r="AX287" i="64"/>
  <c r="AY287" i="64"/>
  <c r="AZ287" i="64"/>
  <c r="BA287" i="64"/>
  <c r="BC287" i="64"/>
  <c r="BD287" i="64"/>
  <c r="BE287" i="64"/>
  <c r="BF287" i="64"/>
  <c r="C289" i="64"/>
  <c r="D289" i="64"/>
  <c r="E289" i="64"/>
  <c r="F289" i="64"/>
  <c r="G289" i="64"/>
  <c r="H289" i="64"/>
  <c r="I289" i="64"/>
  <c r="J289" i="64"/>
  <c r="K289" i="64"/>
  <c r="L289" i="64"/>
  <c r="M289" i="64"/>
  <c r="N289" i="64"/>
  <c r="O289" i="64"/>
  <c r="P289" i="64"/>
  <c r="Q289" i="64"/>
  <c r="R289" i="64"/>
  <c r="S289" i="64"/>
  <c r="T289" i="64"/>
  <c r="U289" i="64"/>
  <c r="V289" i="64"/>
  <c r="W289" i="64"/>
  <c r="X289" i="64"/>
  <c r="Y289" i="64"/>
  <c r="Z289" i="64"/>
  <c r="AA289" i="64"/>
  <c r="AB289" i="64"/>
  <c r="AC289" i="64"/>
  <c r="AD289" i="64"/>
  <c r="AE289" i="64"/>
  <c r="AF289" i="64"/>
  <c r="AG289" i="64"/>
  <c r="AH289" i="64"/>
  <c r="AI289" i="64"/>
  <c r="AJ289" i="64"/>
  <c r="AK289" i="64"/>
  <c r="AL289" i="64"/>
  <c r="AM289" i="64"/>
  <c r="AN289" i="64"/>
  <c r="AO289" i="64"/>
  <c r="AP289" i="64"/>
  <c r="AQ289" i="64"/>
  <c r="AR289" i="64"/>
  <c r="AS289" i="64"/>
  <c r="AT289" i="64"/>
  <c r="AU289" i="64"/>
  <c r="AV289" i="64"/>
  <c r="AW289" i="64"/>
  <c r="AX289" i="64"/>
  <c r="AZ289" i="64"/>
  <c r="BA289" i="64"/>
  <c r="BB289" i="64"/>
  <c r="BC289" i="64"/>
  <c r="BD289" i="64"/>
  <c r="BE289" i="64"/>
  <c r="BF289" i="64"/>
  <c r="C291" i="64"/>
  <c r="D291" i="64"/>
  <c r="E291" i="64"/>
  <c r="F291" i="64"/>
  <c r="G291" i="64"/>
  <c r="H291" i="64"/>
  <c r="I291" i="64"/>
  <c r="J291" i="64"/>
  <c r="K291" i="64"/>
  <c r="L291" i="64"/>
  <c r="M291" i="64"/>
  <c r="N291" i="64"/>
  <c r="O291" i="64"/>
  <c r="P291" i="64"/>
  <c r="Q291" i="64"/>
  <c r="R291" i="64"/>
  <c r="S291" i="64"/>
  <c r="T291" i="64"/>
  <c r="U291" i="64"/>
  <c r="V291" i="64"/>
  <c r="W291" i="64"/>
  <c r="X291" i="64"/>
  <c r="Y291" i="64"/>
  <c r="Z291" i="64"/>
  <c r="AA291" i="64"/>
  <c r="AB291" i="64"/>
  <c r="AC291" i="64"/>
  <c r="AD291" i="64"/>
  <c r="AE291" i="64"/>
  <c r="AF291" i="64"/>
  <c r="AG291" i="64"/>
  <c r="AH291" i="64"/>
  <c r="AI291" i="64"/>
  <c r="AJ291" i="64"/>
  <c r="AK291" i="64"/>
  <c r="AL291" i="64"/>
  <c r="AM291" i="64"/>
  <c r="AN291" i="64"/>
  <c r="AO291" i="64"/>
  <c r="AP291" i="64"/>
  <c r="AQ291" i="64"/>
  <c r="AR291" i="64"/>
  <c r="AS291" i="64"/>
  <c r="AT291" i="64"/>
  <c r="AU291" i="64"/>
  <c r="AV291" i="64"/>
  <c r="AW291" i="64"/>
  <c r="AX291" i="64"/>
  <c r="AY291" i="64"/>
  <c r="AZ291" i="64"/>
  <c r="BA291" i="64"/>
  <c r="BC291" i="64"/>
  <c r="BD291" i="64"/>
  <c r="BE291" i="64"/>
  <c r="BF291" i="64"/>
  <c r="C293" i="64"/>
  <c r="D293" i="64"/>
  <c r="E293" i="64"/>
  <c r="F293" i="64"/>
  <c r="G293" i="64"/>
  <c r="H293" i="64"/>
  <c r="I293" i="64"/>
  <c r="J293" i="64"/>
  <c r="K293" i="64"/>
  <c r="L293" i="64"/>
  <c r="M293" i="64"/>
  <c r="N293" i="64"/>
  <c r="O293" i="64"/>
  <c r="P293" i="64"/>
  <c r="Q293" i="64"/>
  <c r="R293" i="64"/>
  <c r="S293" i="64"/>
  <c r="T293" i="64"/>
  <c r="U293" i="64"/>
  <c r="V293" i="64"/>
  <c r="W293" i="64"/>
  <c r="X293" i="64"/>
  <c r="Y293" i="64"/>
  <c r="Z293" i="64"/>
  <c r="AA293" i="64"/>
  <c r="AB293" i="64"/>
  <c r="AC293" i="64"/>
  <c r="AD293" i="64"/>
  <c r="AE293" i="64"/>
  <c r="AF293" i="64"/>
  <c r="AG293" i="64"/>
  <c r="AH293" i="64"/>
  <c r="AI293" i="64"/>
  <c r="AJ293" i="64"/>
  <c r="AK293" i="64"/>
  <c r="AL293" i="64"/>
  <c r="AM293" i="64"/>
  <c r="AN293" i="64"/>
  <c r="AO293" i="64"/>
  <c r="AP293" i="64"/>
  <c r="AQ293" i="64"/>
  <c r="AR293" i="64"/>
  <c r="AS293" i="64"/>
  <c r="AT293" i="64"/>
  <c r="AW293" i="64"/>
  <c r="AY293" i="64"/>
  <c r="BA293" i="64"/>
  <c r="BC293" i="64"/>
  <c r="BE293" i="64"/>
  <c r="C295" i="64"/>
  <c r="E295" i="64"/>
  <c r="G295" i="64"/>
  <c r="I295" i="64"/>
  <c r="K295" i="64"/>
  <c r="M295" i="64"/>
  <c r="O295" i="64"/>
  <c r="R295" i="64"/>
  <c r="T295" i="64"/>
  <c r="V295" i="64"/>
  <c r="X295" i="64"/>
  <c r="Z295" i="64"/>
  <c r="AB295" i="64"/>
  <c r="AD295" i="64"/>
  <c r="AF295" i="64"/>
  <c r="AH295" i="64"/>
  <c r="AJ295" i="64"/>
  <c r="AL295" i="64"/>
  <c r="AN295" i="64"/>
  <c r="AP295" i="64"/>
  <c r="AR295" i="64"/>
  <c r="AT295" i="64"/>
  <c r="AW295" i="64"/>
  <c r="AY295" i="64"/>
  <c r="BA295" i="64"/>
  <c r="BC295" i="64"/>
  <c r="BE295" i="64"/>
  <c r="C297" i="64"/>
  <c r="E297" i="64"/>
  <c r="G297" i="64"/>
  <c r="I297" i="64"/>
  <c r="K297" i="64"/>
  <c r="M297" i="64"/>
  <c r="P297" i="64"/>
  <c r="T297" i="64"/>
  <c r="X297" i="64"/>
  <c r="AB297" i="64"/>
  <c r="AF297" i="64"/>
  <c r="AJ297" i="64"/>
  <c r="AN297" i="64"/>
  <c r="AR297" i="64"/>
  <c r="AW297" i="64"/>
  <c r="BA297" i="64"/>
  <c r="BE297" i="64"/>
  <c r="K299" i="64"/>
  <c r="L299" i="64"/>
  <c r="R299" i="64"/>
  <c r="Z299" i="64"/>
  <c r="AQ299" i="64"/>
  <c r="K301" i="64"/>
  <c r="L301" i="64"/>
  <c r="V301" i="64"/>
  <c r="V299" i="64" s="1"/>
  <c r="Z301" i="64"/>
  <c r="AQ301" i="64"/>
  <c r="AY301" i="64"/>
  <c r="E303" i="64"/>
  <c r="J303" i="64"/>
  <c r="K303" i="64"/>
  <c r="L303" i="64"/>
  <c r="R303" i="64"/>
  <c r="V303" i="64"/>
  <c r="Z303" i="64"/>
  <c r="AG303" i="64"/>
  <c r="AL303" i="64"/>
  <c r="BA303" i="64"/>
  <c r="C318" i="64"/>
  <c r="D318" i="64"/>
  <c r="E318" i="64"/>
  <c r="F318" i="64"/>
  <c r="G318" i="64"/>
  <c r="H318" i="64"/>
  <c r="I318" i="64"/>
  <c r="J318" i="64"/>
  <c r="K318" i="64"/>
  <c r="L318" i="64"/>
  <c r="M318" i="64"/>
  <c r="N318" i="64"/>
  <c r="O318" i="64"/>
  <c r="P318" i="64"/>
  <c r="Q318" i="64"/>
  <c r="R318" i="64"/>
  <c r="S318" i="64"/>
  <c r="T318" i="64"/>
  <c r="U318" i="64"/>
  <c r="V318" i="64"/>
  <c r="W318" i="64"/>
  <c r="X318" i="64"/>
  <c r="Y318" i="64"/>
  <c r="Z318" i="64"/>
  <c r="AA318" i="64"/>
  <c r="AB318" i="64"/>
  <c r="AC318" i="64"/>
  <c r="AD318" i="64"/>
  <c r="AE318" i="64"/>
  <c r="AF318" i="64"/>
  <c r="AG318" i="64"/>
  <c r="AH318" i="64"/>
  <c r="AI318" i="64"/>
  <c r="AJ318" i="64"/>
  <c r="AK318" i="64"/>
  <c r="AL318" i="64"/>
  <c r="AM318" i="64"/>
  <c r="AN318" i="64"/>
  <c r="AO318" i="64"/>
  <c r="AP318" i="64"/>
  <c r="AQ318" i="64"/>
  <c r="AR318" i="64"/>
  <c r="AS318" i="64"/>
  <c r="AT318" i="64"/>
  <c r="AU318" i="64"/>
  <c r="AV318" i="64"/>
  <c r="AW318" i="64"/>
  <c r="AX318" i="64"/>
  <c r="AY318" i="64"/>
  <c r="AZ318" i="64"/>
  <c r="BA318" i="64"/>
  <c r="BB318" i="64"/>
  <c r="BC318" i="64"/>
  <c r="BD318" i="64"/>
  <c r="BE318" i="64"/>
  <c r="BF318" i="64"/>
  <c r="D320" i="64"/>
  <c r="E320" i="64"/>
  <c r="F320" i="64"/>
  <c r="G320" i="64"/>
  <c r="H320" i="64"/>
  <c r="I320" i="64"/>
  <c r="J320" i="64"/>
  <c r="K320" i="64"/>
  <c r="L320" i="64"/>
  <c r="M320" i="64"/>
  <c r="N320" i="64"/>
  <c r="O320" i="64"/>
  <c r="P320" i="64"/>
  <c r="Q320" i="64"/>
  <c r="R320" i="64"/>
  <c r="S320" i="64"/>
  <c r="T320" i="64"/>
  <c r="U320" i="64"/>
  <c r="V320" i="64"/>
  <c r="X320" i="64"/>
  <c r="Y320" i="64"/>
  <c r="Z320" i="64"/>
  <c r="AA320" i="64"/>
  <c r="AB320" i="64"/>
  <c r="AC320" i="64"/>
  <c r="AD320" i="64"/>
  <c r="AE320" i="64"/>
  <c r="AF320" i="64"/>
  <c r="AG320" i="64"/>
  <c r="AH320" i="64"/>
  <c r="AI320" i="64"/>
  <c r="AJ320" i="64"/>
  <c r="AK320" i="64"/>
  <c r="AM320" i="64"/>
  <c r="AN320" i="64"/>
  <c r="AO320" i="64"/>
  <c r="AR320" i="64"/>
  <c r="AS320" i="64"/>
  <c r="AT320" i="64"/>
  <c r="AU320" i="64"/>
  <c r="AV320" i="64"/>
  <c r="AW320" i="64"/>
  <c r="AX320" i="64"/>
  <c r="AY320" i="64"/>
  <c r="AZ320" i="64"/>
  <c r="BA320" i="64"/>
  <c r="BB320" i="64"/>
  <c r="BC320" i="64"/>
  <c r="BD320" i="64"/>
  <c r="BE320" i="64"/>
  <c r="BF320" i="64"/>
  <c r="D322" i="64"/>
  <c r="E322" i="64"/>
  <c r="F322" i="64"/>
  <c r="G322" i="64"/>
  <c r="H322" i="64"/>
  <c r="I322" i="64"/>
  <c r="K322" i="64"/>
  <c r="L322" i="64"/>
  <c r="M322" i="64"/>
  <c r="N322" i="64"/>
  <c r="O322" i="64"/>
  <c r="P322" i="64"/>
  <c r="Q322" i="64"/>
  <c r="R322" i="64"/>
  <c r="S322" i="64"/>
  <c r="T322" i="64"/>
  <c r="V322" i="64"/>
  <c r="W322" i="64"/>
  <c r="X322" i="64"/>
  <c r="Y322" i="64"/>
  <c r="Z322" i="64"/>
  <c r="AA322" i="64"/>
  <c r="AB322" i="64"/>
  <c r="AC322" i="64"/>
  <c r="AD322" i="64"/>
  <c r="AE322" i="64"/>
  <c r="AF322" i="64"/>
  <c r="AG322" i="64"/>
  <c r="AH322" i="64"/>
  <c r="AI322" i="64"/>
  <c r="AJ322" i="64"/>
  <c r="AK322" i="64"/>
  <c r="AM322" i="64"/>
  <c r="AN322" i="64"/>
  <c r="AO322" i="64"/>
  <c r="AR322" i="64"/>
  <c r="AS322" i="64"/>
  <c r="AT322" i="64"/>
  <c r="AU322" i="64"/>
  <c r="AV322" i="64"/>
  <c r="AW322" i="64"/>
  <c r="AX322" i="64"/>
  <c r="AY322" i="64"/>
  <c r="BA322" i="64"/>
  <c r="BB322" i="64"/>
  <c r="BC322" i="64"/>
  <c r="BD322" i="64"/>
  <c r="BE322" i="64"/>
  <c r="BF322" i="64"/>
  <c r="H324" i="64"/>
  <c r="N324" i="64"/>
  <c r="R324" i="64"/>
  <c r="Z324" i="64"/>
  <c r="AH324" i="64"/>
  <c r="AP324" i="64"/>
  <c r="C326" i="64"/>
  <c r="I326" i="64"/>
  <c r="M326" i="64"/>
  <c r="U326" i="64"/>
  <c r="AY326" i="64"/>
  <c r="C328" i="64"/>
  <c r="K328" i="64"/>
  <c r="S328" i="64"/>
  <c r="AA328" i="64"/>
  <c r="AI328" i="64"/>
  <c r="C330" i="64"/>
  <c r="E330" i="64"/>
  <c r="F330" i="64"/>
  <c r="G330" i="64"/>
  <c r="H330" i="64"/>
  <c r="I330" i="64"/>
  <c r="J330" i="64"/>
  <c r="K330" i="64"/>
  <c r="L330" i="64"/>
  <c r="M330" i="64"/>
  <c r="N330" i="64"/>
  <c r="O330" i="64"/>
  <c r="P330" i="64"/>
  <c r="Q330" i="64"/>
  <c r="R330" i="64"/>
  <c r="S330" i="64"/>
  <c r="T330" i="64"/>
  <c r="U330" i="64"/>
  <c r="V330" i="64"/>
  <c r="W330" i="64"/>
  <c r="X330" i="64"/>
  <c r="Y330" i="64"/>
  <c r="Z330" i="64"/>
  <c r="AA330" i="64"/>
  <c r="AB330" i="64"/>
  <c r="AC330" i="64"/>
  <c r="AD330" i="64"/>
  <c r="AE330" i="64"/>
  <c r="AF330" i="64"/>
  <c r="AG330" i="64"/>
  <c r="AH330" i="64"/>
  <c r="AI330" i="64"/>
  <c r="AJ330" i="64"/>
  <c r="AK330" i="64"/>
  <c r="AL330" i="64"/>
  <c r="AM330" i="64"/>
  <c r="AN330" i="64"/>
  <c r="AO330" i="64"/>
  <c r="AP330" i="64"/>
  <c r="AQ330" i="64"/>
  <c r="AR330" i="64"/>
  <c r="AS330" i="64"/>
  <c r="AT330" i="64"/>
  <c r="AU330" i="64"/>
  <c r="AV330" i="64"/>
  <c r="AW330" i="64"/>
  <c r="AX330" i="64"/>
  <c r="AY330" i="64"/>
  <c r="AZ330" i="64"/>
  <c r="BA330" i="64"/>
  <c r="BC330" i="64"/>
  <c r="BD330" i="64"/>
  <c r="BE330" i="64"/>
  <c r="BF330" i="64"/>
  <c r="K332" i="64"/>
  <c r="L332" i="64"/>
  <c r="R332" i="64"/>
  <c r="Z332" i="64"/>
  <c r="AQ332" i="64"/>
  <c r="K334" i="64"/>
  <c r="L334" i="64"/>
  <c r="V334" i="64"/>
  <c r="V332" i="64" s="1"/>
  <c r="Z334" i="64"/>
  <c r="AQ334" i="64"/>
  <c r="AY334" i="64"/>
  <c r="E336" i="64"/>
  <c r="J336" i="64"/>
  <c r="K336" i="64"/>
  <c r="L336" i="64"/>
  <c r="R336" i="64"/>
  <c r="V336" i="64"/>
  <c r="Z336" i="64"/>
  <c r="AG336" i="64"/>
  <c r="AW336" i="64"/>
  <c r="BA336" i="64"/>
  <c r="BI345" i="64"/>
  <c r="C361" i="64"/>
  <c r="D361" i="64"/>
  <c r="E361" i="64"/>
  <c r="F361" i="64"/>
  <c r="G361" i="64"/>
  <c r="H361" i="64"/>
  <c r="I361" i="64"/>
  <c r="J361" i="64"/>
  <c r="K361" i="64"/>
  <c r="L361" i="64"/>
  <c r="M361" i="64"/>
  <c r="N361" i="64"/>
  <c r="O361" i="64"/>
  <c r="P361" i="64"/>
  <c r="Q361" i="64"/>
  <c r="R361" i="64"/>
  <c r="S361" i="64"/>
  <c r="T361" i="64"/>
  <c r="U361" i="64"/>
  <c r="V361" i="64"/>
  <c r="W361" i="64"/>
  <c r="X361" i="64"/>
  <c r="Y361" i="64"/>
  <c r="Z361" i="64"/>
  <c r="AA361" i="64"/>
  <c r="AB361" i="64"/>
  <c r="AC361" i="64"/>
  <c r="AD361" i="64"/>
  <c r="AE361" i="64"/>
  <c r="AF361" i="64"/>
  <c r="AG361" i="64"/>
  <c r="AH361" i="64"/>
  <c r="AI361" i="64"/>
  <c r="AJ361" i="64"/>
  <c r="AK361" i="64"/>
  <c r="AL361" i="64"/>
  <c r="AM361" i="64"/>
  <c r="AN361" i="64"/>
  <c r="AO361" i="64"/>
  <c r="AP361" i="64"/>
  <c r="AQ361" i="64"/>
  <c r="AR361" i="64"/>
  <c r="AS361" i="64"/>
  <c r="AT361" i="64"/>
  <c r="AU361" i="64"/>
  <c r="AV361" i="64"/>
  <c r="AW361" i="64"/>
  <c r="AX361" i="64"/>
  <c r="AY361" i="64"/>
  <c r="AZ361" i="64"/>
  <c r="BA361" i="64"/>
  <c r="BB361" i="64"/>
  <c r="BC361" i="64"/>
  <c r="BD361" i="64"/>
  <c r="BE361" i="64"/>
  <c r="BF361" i="64"/>
  <c r="C362" i="64"/>
  <c r="D362" i="64"/>
  <c r="E362" i="64"/>
  <c r="F362" i="64"/>
  <c r="G362" i="64"/>
  <c r="H362" i="64"/>
  <c r="I362" i="64"/>
  <c r="J362" i="64"/>
  <c r="K362" i="64"/>
  <c r="L362" i="64"/>
  <c r="M362" i="64"/>
  <c r="N362" i="64"/>
  <c r="O362" i="64"/>
  <c r="P362" i="64"/>
  <c r="Q362" i="64"/>
  <c r="R362" i="64"/>
  <c r="S362" i="64"/>
  <c r="T362" i="64"/>
  <c r="U362" i="64"/>
  <c r="V362" i="64"/>
  <c r="W362" i="64"/>
  <c r="X362" i="64"/>
  <c r="Y362" i="64"/>
  <c r="Z362" i="64"/>
  <c r="AA362" i="64"/>
  <c r="AB362" i="64"/>
  <c r="AC362" i="64"/>
  <c r="AD362" i="64"/>
  <c r="AE362" i="64"/>
  <c r="AF362" i="64"/>
  <c r="AG362" i="64"/>
  <c r="AH362" i="64"/>
  <c r="AI362" i="64"/>
  <c r="AJ362" i="64"/>
  <c r="AK362" i="64"/>
  <c r="AL362" i="64"/>
  <c r="AM362" i="64"/>
  <c r="AN362" i="64"/>
  <c r="AO362" i="64"/>
  <c r="AP362" i="64"/>
  <c r="AQ362" i="64"/>
  <c r="AR362" i="64"/>
  <c r="AS362" i="64"/>
  <c r="AT362" i="64"/>
  <c r="AU362" i="64"/>
  <c r="AV362" i="64"/>
  <c r="AW362" i="64"/>
  <c r="AX362" i="64"/>
  <c r="AY362" i="64"/>
  <c r="AZ362" i="64"/>
  <c r="BA362" i="64"/>
  <c r="BB362" i="64"/>
  <c r="BC362" i="64"/>
  <c r="BD362" i="64"/>
  <c r="BE362" i="64"/>
  <c r="BF362" i="64"/>
  <c r="C363" i="64"/>
  <c r="D363" i="64"/>
  <c r="E363" i="64"/>
  <c r="F363" i="64"/>
  <c r="G363" i="64"/>
  <c r="H363" i="64"/>
  <c r="I363" i="64"/>
  <c r="J363" i="64"/>
  <c r="K363" i="64"/>
  <c r="L363" i="64"/>
  <c r="M363" i="64"/>
  <c r="N363" i="64"/>
  <c r="O363" i="64"/>
  <c r="P363" i="64"/>
  <c r="Q363" i="64"/>
  <c r="R363" i="64"/>
  <c r="S363" i="64"/>
  <c r="T363" i="64"/>
  <c r="U363" i="64"/>
  <c r="V363" i="64"/>
  <c r="W363" i="64"/>
  <c r="X363" i="64"/>
  <c r="Y363" i="64"/>
  <c r="Z363" i="64"/>
  <c r="AA363" i="64"/>
  <c r="AB363" i="64"/>
  <c r="AC363" i="64"/>
  <c r="AD363" i="64"/>
  <c r="AE363" i="64"/>
  <c r="AF363" i="64"/>
  <c r="AG363" i="64"/>
  <c r="AH363" i="64"/>
  <c r="AI363" i="64"/>
  <c r="AJ363" i="64"/>
  <c r="AK363" i="64"/>
  <c r="AL363" i="64"/>
  <c r="AM363" i="64"/>
  <c r="AN363" i="64"/>
  <c r="AO363" i="64"/>
  <c r="AP363" i="64"/>
  <c r="AQ363" i="64"/>
  <c r="AR363" i="64"/>
  <c r="AS363" i="64"/>
  <c r="AT363" i="64"/>
  <c r="AU363" i="64"/>
  <c r="AV363" i="64"/>
  <c r="AW363" i="64"/>
  <c r="AX363" i="64"/>
  <c r="AY363" i="64"/>
  <c r="AZ363" i="64"/>
  <c r="BA363" i="64"/>
  <c r="BB363" i="64"/>
  <c r="BC363" i="64"/>
  <c r="BD363" i="64"/>
  <c r="BE363" i="64"/>
  <c r="BF363" i="64"/>
  <c r="C364" i="64"/>
  <c r="D364" i="64"/>
  <c r="E364" i="64"/>
  <c r="F364" i="64"/>
  <c r="G364" i="64"/>
  <c r="H364" i="64"/>
  <c r="I364" i="64"/>
  <c r="J364" i="64"/>
  <c r="K364" i="64"/>
  <c r="L364" i="64"/>
  <c r="M364" i="64"/>
  <c r="N364" i="64"/>
  <c r="O364" i="64"/>
  <c r="P364" i="64"/>
  <c r="Q364" i="64"/>
  <c r="R364" i="64"/>
  <c r="S364" i="64"/>
  <c r="T364" i="64"/>
  <c r="U364" i="64"/>
  <c r="V364" i="64"/>
  <c r="W364" i="64"/>
  <c r="X364" i="64"/>
  <c r="Y364" i="64"/>
  <c r="Z364" i="64"/>
  <c r="AA364" i="64"/>
  <c r="AB364" i="64"/>
  <c r="AC364" i="64"/>
  <c r="AD364" i="64"/>
  <c r="AE364" i="64"/>
  <c r="AF364" i="64"/>
  <c r="AG364" i="64"/>
  <c r="AH364" i="64"/>
  <c r="AI364" i="64"/>
  <c r="AJ364" i="64"/>
  <c r="AK364" i="64"/>
  <c r="AL364" i="64"/>
  <c r="AM364" i="64"/>
  <c r="AN364" i="64"/>
  <c r="AO364" i="64"/>
  <c r="AP364" i="64"/>
  <c r="AQ364" i="64"/>
  <c r="AR364" i="64"/>
  <c r="AS364" i="64"/>
  <c r="AT364" i="64"/>
  <c r="AU364" i="64"/>
  <c r="AV364" i="64"/>
  <c r="AW364" i="64"/>
  <c r="AX364" i="64"/>
  <c r="AY364" i="64"/>
  <c r="AZ364" i="64"/>
  <c r="BA364" i="64"/>
  <c r="BB364" i="64"/>
  <c r="BC364" i="64"/>
  <c r="BD364" i="64"/>
  <c r="BE364" i="64"/>
  <c r="BF364" i="64"/>
  <c r="C365" i="64"/>
  <c r="D365" i="64"/>
  <c r="E365" i="64"/>
  <c r="F365" i="64"/>
  <c r="G365" i="64"/>
  <c r="H365" i="64"/>
  <c r="I365" i="64"/>
  <c r="J365" i="64"/>
  <c r="K365" i="64"/>
  <c r="L365" i="64"/>
  <c r="M365" i="64"/>
  <c r="N365" i="64"/>
  <c r="O365" i="64"/>
  <c r="P365" i="64"/>
  <c r="Q365" i="64"/>
  <c r="R365" i="64"/>
  <c r="S365" i="64"/>
  <c r="T365" i="64"/>
  <c r="U365" i="64"/>
  <c r="V365" i="64"/>
  <c r="W365" i="64"/>
  <c r="X365" i="64"/>
  <c r="Y365" i="64"/>
  <c r="Z365" i="64"/>
  <c r="AA365" i="64"/>
  <c r="AB365" i="64"/>
  <c r="AC365" i="64"/>
  <c r="AD365" i="64"/>
  <c r="AE365" i="64"/>
  <c r="AF365" i="64"/>
  <c r="AG365" i="64"/>
  <c r="AH365" i="64"/>
  <c r="AI365" i="64"/>
  <c r="AJ365" i="64"/>
  <c r="AK365" i="64"/>
  <c r="AL365" i="64"/>
  <c r="AM365" i="64"/>
  <c r="AN365" i="64"/>
  <c r="AO365" i="64"/>
  <c r="AP365" i="64"/>
  <c r="AQ365" i="64"/>
  <c r="AR365" i="64"/>
  <c r="AS365" i="64"/>
  <c r="AT365" i="64"/>
  <c r="AU365" i="64"/>
  <c r="AV365" i="64"/>
  <c r="AW365" i="64"/>
  <c r="AX365" i="64"/>
  <c r="AY365" i="64"/>
  <c r="AZ365" i="64"/>
  <c r="BA365" i="64"/>
  <c r="BB365" i="64"/>
  <c r="BC365" i="64"/>
  <c r="BD365" i="64"/>
  <c r="BE365" i="64"/>
  <c r="BF365" i="64"/>
  <c r="C366" i="64"/>
  <c r="D366" i="64"/>
  <c r="E366" i="64"/>
  <c r="F366" i="64"/>
  <c r="G366" i="64"/>
  <c r="H366" i="64"/>
  <c r="I366" i="64"/>
  <c r="J366" i="64"/>
  <c r="K366" i="64"/>
  <c r="L366" i="64"/>
  <c r="M366" i="64"/>
  <c r="N366" i="64"/>
  <c r="O366" i="64"/>
  <c r="P366" i="64"/>
  <c r="Q366" i="64"/>
  <c r="R366" i="64"/>
  <c r="S366" i="64"/>
  <c r="T366" i="64"/>
  <c r="U366" i="64"/>
  <c r="V366" i="64"/>
  <c r="W366" i="64"/>
  <c r="X366" i="64"/>
  <c r="Y366" i="64"/>
  <c r="Z366" i="64"/>
  <c r="AA366" i="64"/>
  <c r="AB366" i="64"/>
  <c r="AC366" i="64"/>
  <c r="AD366" i="64"/>
  <c r="AE366" i="64"/>
  <c r="AF366" i="64"/>
  <c r="AG366" i="64"/>
  <c r="AH366" i="64"/>
  <c r="AI366" i="64"/>
  <c r="AJ366" i="64"/>
  <c r="AK366" i="64"/>
  <c r="AL366" i="64"/>
  <c r="AM366" i="64"/>
  <c r="AN366" i="64"/>
  <c r="AO366" i="64"/>
  <c r="AP366" i="64"/>
  <c r="AQ366" i="64"/>
  <c r="AR366" i="64"/>
  <c r="AS366" i="64"/>
  <c r="AT366" i="64"/>
  <c r="AU366" i="64"/>
  <c r="AV366" i="64"/>
  <c r="AW366" i="64"/>
  <c r="AX366" i="64"/>
  <c r="AY366" i="64"/>
  <c r="AZ366" i="64"/>
  <c r="BA366" i="64"/>
  <c r="BB366" i="64"/>
  <c r="BC366" i="64"/>
  <c r="BD366" i="64"/>
  <c r="BE366" i="64"/>
  <c r="BF366" i="64"/>
  <c r="C367" i="64"/>
  <c r="D367" i="64"/>
  <c r="E367" i="64"/>
  <c r="F367" i="64"/>
  <c r="G367" i="64"/>
  <c r="H367" i="64"/>
  <c r="I367" i="64"/>
  <c r="J367" i="64"/>
  <c r="K367" i="64"/>
  <c r="L367" i="64"/>
  <c r="M367" i="64"/>
  <c r="N367" i="64"/>
  <c r="O367" i="64"/>
  <c r="P367" i="64"/>
  <c r="Q367" i="64"/>
  <c r="R367" i="64"/>
  <c r="S367" i="64"/>
  <c r="T367" i="64"/>
  <c r="U367" i="64"/>
  <c r="V367" i="64"/>
  <c r="W367" i="64"/>
  <c r="X367" i="64"/>
  <c r="Y367" i="64"/>
  <c r="Z367" i="64"/>
  <c r="AA367" i="64"/>
  <c r="AB367" i="64"/>
  <c r="AC367" i="64"/>
  <c r="AD367" i="64"/>
  <c r="AE367" i="64"/>
  <c r="AF367" i="64"/>
  <c r="AG367" i="64"/>
  <c r="AH367" i="64"/>
  <c r="AI367" i="64"/>
  <c r="AJ367" i="64"/>
  <c r="AK367" i="64"/>
  <c r="AL367" i="64"/>
  <c r="AM367" i="64"/>
  <c r="AN367" i="64"/>
  <c r="AO367" i="64"/>
  <c r="AP367" i="64"/>
  <c r="AQ367" i="64"/>
  <c r="AR367" i="64"/>
  <c r="AS367" i="64"/>
  <c r="AT367" i="64"/>
  <c r="AU367" i="64"/>
  <c r="AV367" i="64"/>
  <c r="AW367" i="64"/>
  <c r="AX367" i="64"/>
  <c r="AY367" i="64"/>
  <c r="AZ367" i="64"/>
  <c r="BA367" i="64"/>
  <c r="BB367" i="64"/>
  <c r="BC367" i="64"/>
  <c r="BD367" i="64"/>
  <c r="BE367" i="64"/>
  <c r="BF367" i="64"/>
  <c r="C368" i="64"/>
  <c r="D368" i="64"/>
  <c r="E368" i="64"/>
  <c r="F368" i="64"/>
  <c r="G368" i="64"/>
  <c r="H368" i="64"/>
  <c r="I368" i="64"/>
  <c r="J368" i="64"/>
  <c r="K368" i="64"/>
  <c r="L368" i="64"/>
  <c r="M368" i="64"/>
  <c r="N368" i="64"/>
  <c r="O368" i="64"/>
  <c r="P368" i="64"/>
  <c r="Q368" i="64"/>
  <c r="R368" i="64"/>
  <c r="S368" i="64"/>
  <c r="T368" i="64"/>
  <c r="U368" i="64"/>
  <c r="V368" i="64"/>
  <c r="W368" i="64"/>
  <c r="X368" i="64"/>
  <c r="Y368" i="64"/>
  <c r="Z368" i="64"/>
  <c r="AA368" i="64"/>
  <c r="AB368" i="64"/>
  <c r="AC368" i="64"/>
  <c r="AD368" i="64"/>
  <c r="AE368" i="64"/>
  <c r="AF368" i="64"/>
  <c r="AG368" i="64"/>
  <c r="AH368" i="64"/>
  <c r="AI368" i="64"/>
  <c r="AJ368" i="64"/>
  <c r="AK368" i="64"/>
  <c r="AL368" i="64"/>
  <c r="AM368" i="64"/>
  <c r="AN368" i="64"/>
  <c r="AO368" i="64"/>
  <c r="AP368" i="64"/>
  <c r="AQ368" i="64"/>
  <c r="AR368" i="64"/>
  <c r="AS368" i="64"/>
  <c r="AT368" i="64"/>
  <c r="AU368" i="64"/>
  <c r="AV368" i="64"/>
  <c r="AW368" i="64"/>
  <c r="AX368" i="64"/>
  <c r="AY368" i="64"/>
  <c r="AZ368" i="64"/>
  <c r="BA368" i="64"/>
  <c r="BB368" i="64"/>
  <c r="BC368" i="64"/>
  <c r="BD368" i="64"/>
  <c r="BE368" i="64"/>
  <c r="BF368" i="64"/>
  <c r="C369" i="64"/>
  <c r="D369" i="64"/>
  <c r="E369" i="64"/>
  <c r="F369" i="64"/>
  <c r="G369" i="64"/>
  <c r="H369" i="64"/>
  <c r="I369" i="64"/>
  <c r="J369" i="64"/>
  <c r="K369" i="64"/>
  <c r="L369" i="64"/>
  <c r="M369" i="64"/>
  <c r="N369" i="64"/>
  <c r="O369" i="64"/>
  <c r="P369" i="64"/>
  <c r="Q369" i="64"/>
  <c r="R369" i="64"/>
  <c r="S369" i="64"/>
  <c r="T369" i="64"/>
  <c r="U369" i="64"/>
  <c r="V369" i="64"/>
  <c r="W369" i="64"/>
  <c r="X369" i="64"/>
  <c r="Y369" i="64"/>
  <c r="Z369" i="64"/>
  <c r="AA369" i="64"/>
  <c r="AB369" i="64"/>
  <c r="AC369" i="64"/>
  <c r="AD369" i="64"/>
  <c r="AE369" i="64"/>
  <c r="AF369" i="64"/>
  <c r="AG369" i="64"/>
  <c r="AH369" i="64"/>
  <c r="AI369" i="64"/>
  <c r="AJ369" i="64"/>
  <c r="AK369" i="64"/>
  <c r="AL369" i="64"/>
  <c r="AM369" i="64"/>
  <c r="AN369" i="64"/>
  <c r="AO369" i="64"/>
  <c r="AP369" i="64"/>
  <c r="AQ369" i="64"/>
  <c r="AR369" i="64"/>
  <c r="AS369" i="64"/>
  <c r="AT369" i="64"/>
  <c r="AU369" i="64"/>
  <c r="AV369" i="64"/>
  <c r="AW369" i="64"/>
  <c r="AX369" i="64"/>
  <c r="AY369" i="64"/>
  <c r="AZ369" i="64"/>
  <c r="BA369" i="64"/>
  <c r="BB369" i="64"/>
  <c r="BC369" i="64"/>
  <c r="BD369" i="64"/>
  <c r="BE369" i="64"/>
  <c r="BF369" i="64"/>
  <c r="C370" i="64"/>
  <c r="D370" i="64"/>
  <c r="E370" i="64"/>
  <c r="F370" i="64"/>
  <c r="G370" i="64"/>
  <c r="H370" i="64"/>
  <c r="I370" i="64"/>
  <c r="J370" i="64"/>
  <c r="K370" i="64"/>
  <c r="L370" i="64"/>
  <c r="M370" i="64"/>
  <c r="N370" i="64"/>
  <c r="O370" i="64"/>
  <c r="P370" i="64"/>
  <c r="Q370" i="64"/>
  <c r="R370" i="64"/>
  <c r="S370" i="64"/>
  <c r="T370" i="64"/>
  <c r="U370" i="64"/>
  <c r="V370" i="64"/>
  <c r="W370" i="64"/>
  <c r="X370" i="64"/>
  <c r="Y370" i="64"/>
  <c r="Z370" i="64"/>
  <c r="AA370" i="64"/>
  <c r="AB370" i="64"/>
  <c r="AC370" i="64"/>
  <c r="AD370" i="64"/>
  <c r="AE370" i="64"/>
  <c r="AF370" i="64"/>
  <c r="AG370" i="64"/>
  <c r="AH370" i="64"/>
  <c r="AI370" i="64"/>
  <c r="AJ370" i="64"/>
  <c r="AK370" i="64"/>
  <c r="AL370" i="64"/>
  <c r="AM370" i="64"/>
  <c r="AN370" i="64"/>
  <c r="AO370" i="64"/>
  <c r="AP370" i="64"/>
  <c r="AQ370" i="64"/>
  <c r="AR370" i="64"/>
  <c r="AS370" i="64"/>
  <c r="AT370" i="64"/>
  <c r="AU370" i="64"/>
  <c r="AV370" i="64"/>
  <c r="AW370" i="64"/>
  <c r="AX370" i="64"/>
  <c r="AY370" i="64"/>
  <c r="AZ370" i="64"/>
  <c r="BA370" i="64"/>
  <c r="BB370" i="64"/>
  <c r="BC370" i="64"/>
  <c r="BD370" i="64"/>
  <c r="BE370" i="64"/>
  <c r="BF370" i="64"/>
  <c r="C371" i="64"/>
  <c r="D371" i="64"/>
  <c r="E371" i="64"/>
  <c r="F371" i="64"/>
  <c r="G371" i="64"/>
  <c r="H371" i="64"/>
  <c r="I371" i="64"/>
  <c r="J371" i="64"/>
  <c r="K371" i="64"/>
  <c r="L371" i="64"/>
  <c r="M371" i="64"/>
  <c r="N371" i="64"/>
  <c r="O371" i="64"/>
  <c r="P371" i="64"/>
  <c r="Q371" i="64"/>
  <c r="R371" i="64"/>
  <c r="S371" i="64"/>
  <c r="T371" i="64"/>
  <c r="U371" i="64"/>
  <c r="V371" i="64"/>
  <c r="W371" i="64"/>
  <c r="X371" i="64"/>
  <c r="Y371" i="64"/>
  <c r="Z371" i="64"/>
  <c r="AA371" i="64"/>
  <c r="AB371" i="64"/>
  <c r="AC371" i="64"/>
  <c r="AD371" i="64"/>
  <c r="AE371" i="64"/>
  <c r="AF371" i="64"/>
  <c r="AG371" i="64"/>
  <c r="AH371" i="64"/>
  <c r="AI371" i="64"/>
  <c r="AJ371" i="64"/>
  <c r="AK371" i="64"/>
  <c r="AL371" i="64"/>
  <c r="AM371" i="64"/>
  <c r="AN371" i="64"/>
  <c r="AO371" i="64"/>
  <c r="AP371" i="64"/>
  <c r="AQ371" i="64"/>
  <c r="AR371" i="64"/>
  <c r="AS371" i="64"/>
  <c r="AT371" i="64"/>
  <c r="AU371" i="64"/>
  <c r="AV371" i="64"/>
  <c r="AW371" i="64"/>
  <c r="AX371" i="64"/>
  <c r="AY371" i="64"/>
  <c r="AZ371" i="64"/>
  <c r="BA371" i="64"/>
  <c r="BB371" i="64"/>
  <c r="BC371" i="64"/>
  <c r="BD371" i="64"/>
  <c r="BE371" i="64"/>
  <c r="BF371" i="64"/>
  <c r="C372" i="64"/>
  <c r="D372" i="64"/>
  <c r="E372" i="64"/>
  <c r="F372" i="64"/>
  <c r="G372" i="64"/>
  <c r="H372" i="64"/>
  <c r="I372" i="64"/>
  <c r="J372" i="64"/>
  <c r="K372" i="64"/>
  <c r="L372" i="64"/>
  <c r="M372" i="64"/>
  <c r="N372" i="64"/>
  <c r="O372" i="64"/>
  <c r="P372" i="64"/>
  <c r="Q372" i="64"/>
  <c r="R372" i="64"/>
  <c r="S372" i="64"/>
  <c r="T372" i="64"/>
  <c r="U372" i="64"/>
  <c r="V372" i="64"/>
  <c r="W372" i="64"/>
  <c r="X372" i="64"/>
  <c r="Y372" i="64"/>
  <c r="Z372" i="64"/>
  <c r="AA372" i="64"/>
  <c r="AB372" i="64"/>
  <c r="AC372" i="64"/>
  <c r="AD372" i="64"/>
  <c r="AE372" i="64"/>
  <c r="AF372" i="64"/>
  <c r="AG372" i="64"/>
  <c r="AH372" i="64"/>
  <c r="AI372" i="64"/>
  <c r="AJ372" i="64"/>
  <c r="AK372" i="64"/>
  <c r="AL372" i="64"/>
  <c r="AM372" i="64"/>
  <c r="AN372" i="64"/>
  <c r="AO372" i="64"/>
  <c r="AP372" i="64"/>
  <c r="AQ372" i="64"/>
  <c r="AR372" i="64"/>
  <c r="AS372" i="64"/>
  <c r="AT372" i="64"/>
  <c r="AU372" i="64"/>
  <c r="AV372" i="64"/>
  <c r="AW372" i="64"/>
  <c r="AX372" i="64"/>
  <c r="AY372" i="64"/>
  <c r="AZ372" i="64"/>
  <c r="BA372" i="64"/>
  <c r="BB372" i="64"/>
  <c r="BC372" i="64"/>
  <c r="BD372" i="64"/>
  <c r="BE372" i="64"/>
  <c r="BF372" i="64"/>
  <c r="C373" i="64"/>
  <c r="D373" i="64"/>
  <c r="E373" i="64"/>
  <c r="F373" i="64"/>
  <c r="G373" i="64"/>
  <c r="H373" i="64"/>
  <c r="I373" i="64"/>
  <c r="J373" i="64"/>
  <c r="K373" i="64"/>
  <c r="L373" i="64"/>
  <c r="M373" i="64"/>
  <c r="N373" i="64"/>
  <c r="O373" i="64"/>
  <c r="P373" i="64"/>
  <c r="Q373" i="64"/>
  <c r="R373" i="64"/>
  <c r="S373" i="64"/>
  <c r="T373" i="64"/>
  <c r="U373" i="64"/>
  <c r="V373" i="64"/>
  <c r="W373" i="64"/>
  <c r="X373" i="64"/>
  <c r="Y373" i="64"/>
  <c r="Z373" i="64"/>
  <c r="AA373" i="64"/>
  <c r="AB373" i="64"/>
  <c r="AC373" i="64"/>
  <c r="AD373" i="64"/>
  <c r="AE373" i="64"/>
  <c r="AF373" i="64"/>
  <c r="AG373" i="64"/>
  <c r="AH373" i="64"/>
  <c r="AI373" i="64"/>
  <c r="AJ373" i="64"/>
  <c r="AK373" i="64"/>
  <c r="AL373" i="64"/>
  <c r="AM373" i="64"/>
  <c r="AN373" i="64"/>
  <c r="AO373" i="64"/>
  <c r="AP373" i="64"/>
  <c r="AQ373" i="64"/>
  <c r="AR373" i="64"/>
  <c r="AS373" i="64"/>
  <c r="AT373" i="64"/>
  <c r="AU373" i="64"/>
  <c r="AV373" i="64"/>
  <c r="AW373" i="64"/>
  <c r="AX373" i="64"/>
  <c r="AY373" i="64"/>
  <c r="AZ373" i="64"/>
  <c r="BA373" i="64"/>
  <c r="BB373" i="64"/>
  <c r="BC373" i="64"/>
  <c r="BD373" i="64"/>
  <c r="BE373" i="64"/>
  <c r="BF373" i="64"/>
  <c r="C374" i="64"/>
  <c r="D374" i="64"/>
  <c r="E374" i="64"/>
  <c r="F374" i="64"/>
  <c r="G374" i="64"/>
  <c r="H374" i="64"/>
  <c r="I374" i="64"/>
  <c r="J374" i="64"/>
  <c r="K374" i="64"/>
  <c r="L374" i="64"/>
  <c r="M374" i="64"/>
  <c r="N374" i="64"/>
  <c r="O374" i="64"/>
  <c r="P374" i="64"/>
  <c r="Q374" i="64"/>
  <c r="R374" i="64"/>
  <c r="S374" i="64"/>
  <c r="T374" i="64"/>
  <c r="U374" i="64"/>
  <c r="V374" i="64"/>
  <c r="W374" i="64"/>
  <c r="X374" i="64"/>
  <c r="Y374" i="64"/>
  <c r="Z374" i="64"/>
  <c r="AA374" i="64"/>
  <c r="AB374" i="64"/>
  <c r="AC374" i="64"/>
  <c r="AD374" i="64"/>
  <c r="AE374" i="64"/>
  <c r="AF374" i="64"/>
  <c r="AG374" i="64"/>
  <c r="AH374" i="64"/>
  <c r="AI374" i="64"/>
  <c r="AJ374" i="64"/>
  <c r="AK374" i="64"/>
  <c r="AL374" i="64"/>
  <c r="AM374" i="64"/>
  <c r="AN374" i="64"/>
  <c r="AO374" i="64"/>
  <c r="AP374" i="64"/>
  <c r="AQ374" i="64"/>
  <c r="AR374" i="64"/>
  <c r="AS374" i="64"/>
  <c r="AT374" i="64"/>
  <c r="AU374" i="64"/>
  <c r="AV374" i="64"/>
  <c r="AW374" i="64"/>
  <c r="AX374" i="64"/>
  <c r="AY374" i="64"/>
  <c r="AZ374" i="64"/>
  <c r="BA374" i="64"/>
  <c r="BB374" i="64"/>
  <c r="BC374" i="64"/>
  <c r="BD374" i="64"/>
  <c r="BE374" i="64"/>
  <c r="BF374" i="64"/>
  <c r="C375" i="64"/>
  <c r="D375" i="64"/>
  <c r="E375" i="64"/>
  <c r="F375" i="64"/>
  <c r="G375" i="64"/>
  <c r="H375" i="64"/>
  <c r="I375" i="64"/>
  <c r="J375" i="64"/>
  <c r="K375" i="64"/>
  <c r="L375" i="64"/>
  <c r="M375" i="64"/>
  <c r="N375" i="64"/>
  <c r="O375" i="64"/>
  <c r="P375" i="64"/>
  <c r="Q375" i="64"/>
  <c r="R375" i="64"/>
  <c r="S375" i="64"/>
  <c r="T375" i="64"/>
  <c r="U375" i="64"/>
  <c r="V375" i="64"/>
  <c r="W375" i="64"/>
  <c r="X375" i="64"/>
  <c r="Y375" i="64"/>
  <c r="Z375" i="64"/>
  <c r="AA375" i="64"/>
  <c r="AB375" i="64"/>
  <c r="AC375" i="64"/>
  <c r="AD375" i="64"/>
  <c r="AE375" i="64"/>
  <c r="AF375" i="64"/>
  <c r="AG375" i="64"/>
  <c r="AH375" i="64"/>
  <c r="AI375" i="64"/>
  <c r="AJ375" i="64"/>
  <c r="AK375" i="64"/>
  <c r="AL375" i="64"/>
  <c r="AM375" i="64"/>
  <c r="AN375" i="64"/>
  <c r="AO375" i="64"/>
  <c r="AP375" i="64"/>
  <c r="AQ375" i="64"/>
  <c r="AR375" i="64"/>
  <c r="AS375" i="64"/>
  <c r="AT375" i="64"/>
  <c r="AU375" i="64"/>
  <c r="AV375" i="64"/>
  <c r="AW375" i="64"/>
  <c r="AX375" i="64"/>
  <c r="AY375" i="64"/>
  <c r="AZ375" i="64"/>
  <c r="BA375" i="64"/>
  <c r="BB375" i="64"/>
  <c r="BC375" i="64"/>
  <c r="BD375" i="64"/>
  <c r="BE375" i="64"/>
  <c r="BF375" i="64"/>
  <c r="C376" i="64"/>
  <c r="D376" i="64"/>
  <c r="E376" i="64"/>
  <c r="F376" i="64"/>
  <c r="G376" i="64"/>
  <c r="H376" i="64"/>
  <c r="I376" i="64"/>
  <c r="J376" i="64"/>
  <c r="K376" i="64"/>
  <c r="L376" i="64"/>
  <c r="M376" i="64"/>
  <c r="N376" i="64"/>
  <c r="O376" i="64"/>
  <c r="P376" i="64"/>
  <c r="Q376" i="64"/>
  <c r="R376" i="64"/>
  <c r="S376" i="64"/>
  <c r="T376" i="64"/>
  <c r="U376" i="64"/>
  <c r="V376" i="64"/>
  <c r="W376" i="64"/>
  <c r="X376" i="64"/>
  <c r="Y376" i="64"/>
  <c r="Z376" i="64"/>
  <c r="AA376" i="64"/>
  <c r="AB376" i="64"/>
  <c r="AC376" i="64"/>
  <c r="AD376" i="64"/>
  <c r="AE376" i="64"/>
  <c r="AF376" i="64"/>
  <c r="AG376" i="64"/>
  <c r="AH376" i="64"/>
  <c r="AI376" i="64"/>
  <c r="AJ376" i="64"/>
  <c r="AK376" i="64"/>
  <c r="AL376" i="64"/>
  <c r="AM376" i="64"/>
  <c r="AN376" i="64"/>
  <c r="AO376" i="64"/>
  <c r="AP376" i="64"/>
  <c r="AQ376" i="64"/>
  <c r="AR376" i="64"/>
  <c r="AS376" i="64"/>
  <c r="AT376" i="64"/>
  <c r="AU376" i="64"/>
  <c r="AV376" i="64"/>
  <c r="AW376" i="64"/>
  <c r="AX376" i="64"/>
  <c r="AY376" i="64"/>
  <c r="AZ376" i="64"/>
  <c r="BA376" i="64"/>
  <c r="BB376" i="64"/>
  <c r="BC376" i="64"/>
  <c r="BD376" i="64"/>
  <c r="BE376" i="64"/>
  <c r="BF376" i="64"/>
  <c r="C377" i="64"/>
  <c r="D377" i="64"/>
  <c r="E377" i="64"/>
  <c r="F377" i="64"/>
  <c r="G377" i="64"/>
  <c r="H377" i="64"/>
  <c r="I377" i="64"/>
  <c r="J377" i="64"/>
  <c r="K377" i="64"/>
  <c r="L377" i="64"/>
  <c r="M377" i="64"/>
  <c r="N377" i="64"/>
  <c r="O377" i="64"/>
  <c r="P377" i="64"/>
  <c r="Q377" i="64"/>
  <c r="R377" i="64"/>
  <c r="S377" i="64"/>
  <c r="T377" i="64"/>
  <c r="U377" i="64"/>
  <c r="V377" i="64"/>
  <c r="W377" i="64"/>
  <c r="X377" i="64"/>
  <c r="Y377" i="64"/>
  <c r="Z377" i="64"/>
  <c r="AA377" i="64"/>
  <c r="AB377" i="64"/>
  <c r="AC377" i="64"/>
  <c r="AD377" i="64"/>
  <c r="AE377" i="64"/>
  <c r="AF377" i="64"/>
  <c r="AG377" i="64"/>
  <c r="AH377" i="64"/>
  <c r="AI377" i="64"/>
  <c r="AJ377" i="64"/>
  <c r="AK377" i="64"/>
  <c r="AL377" i="64"/>
  <c r="AM377" i="64"/>
  <c r="AN377" i="64"/>
  <c r="AO377" i="64"/>
  <c r="AP377" i="64"/>
  <c r="AQ377" i="64"/>
  <c r="AR377" i="64"/>
  <c r="AS377" i="64"/>
  <c r="AT377" i="64"/>
  <c r="AU377" i="64"/>
  <c r="AV377" i="64"/>
  <c r="AW377" i="64"/>
  <c r="AX377" i="64"/>
  <c r="AY377" i="64"/>
  <c r="AZ377" i="64"/>
  <c r="BA377" i="64"/>
  <c r="BB377" i="64"/>
  <c r="BC377" i="64"/>
  <c r="BD377" i="64"/>
  <c r="BE377" i="64"/>
  <c r="BF377" i="64"/>
  <c r="C378" i="64"/>
  <c r="D378" i="64"/>
  <c r="E378" i="64"/>
  <c r="F378" i="64"/>
  <c r="G378" i="64"/>
  <c r="H378" i="64"/>
  <c r="I378" i="64"/>
  <c r="J378" i="64"/>
  <c r="K378" i="64"/>
  <c r="L378" i="64"/>
  <c r="M378" i="64"/>
  <c r="N378" i="64"/>
  <c r="O378" i="64"/>
  <c r="P378" i="64"/>
  <c r="Q378" i="64"/>
  <c r="R378" i="64"/>
  <c r="S378" i="64"/>
  <c r="T378" i="64"/>
  <c r="U378" i="64"/>
  <c r="V378" i="64"/>
  <c r="W378" i="64"/>
  <c r="X378" i="64"/>
  <c r="Y378" i="64"/>
  <c r="Z378" i="64"/>
  <c r="AA378" i="64"/>
  <c r="AB378" i="64"/>
  <c r="AC378" i="64"/>
  <c r="AD378" i="64"/>
  <c r="AE378" i="64"/>
  <c r="AF378" i="64"/>
  <c r="AG378" i="64"/>
  <c r="AH378" i="64"/>
  <c r="AI378" i="64"/>
  <c r="AJ378" i="64"/>
  <c r="AK378" i="64"/>
  <c r="AL378" i="64"/>
  <c r="AM378" i="64"/>
  <c r="AN378" i="64"/>
  <c r="AO378" i="64"/>
  <c r="AP378" i="64"/>
  <c r="AQ378" i="64"/>
  <c r="AR378" i="64"/>
  <c r="AS378" i="64"/>
  <c r="AT378" i="64"/>
  <c r="AU378" i="64"/>
  <c r="AV378" i="64"/>
  <c r="AW378" i="64"/>
  <c r="AX378" i="64"/>
  <c r="AY378" i="64"/>
  <c r="AZ378" i="64"/>
  <c r="BA378" i="64"/>
  <c r="BB378" i="64"/>
  <c r="BC378" i="64"/>
  <c r="BD378" i="64"/>
  <c r="BE378" i="64"/>
  <c r="BF378" i="64"/>
  <c r="C379" i="64"/>
  <c r="D379" i="64"/>
  <c r="E379" i="64"/>
  <c r="F379" i="64"/>
  <c r="G379" i="64"/>
  <c r="H379" i="64"/>
  <c r="I379" i="64"/>
  <c r="J379" i="64"/>
  <c r="K379" i="64"/>
  <c r="L379" i="64"/>
  <c r="M379" i="64"/>
  <c r="N379" i="64"/>
  <c r="O379" i="64"/>
  <c r="P379" i="64"/>
  <c r="Q379" i="64"/>
  <c r="R379" i="64"/>
  <c r="S379" i="64"/>
  <c r="T379" i="64"/>
  <c r="U379" i="64"/>
  <c r="V379" i="64"/>
  <c r="W379" i="64"/>
  <c r="X379" i="64"/>
  <c r="Y379" i="64"/>
  <c r="Z379" i="64"/>
  <c r="AA379" i="64"/>
  <c r="AB379" i="64"/>
  <c r="AC379" i="64"/>
  <c r="AD379" i="64"/>
  <c r="AE379" i="64"/>
  <c r="AF379" i="64"/>
  <c r="AG379" i="64"/>
  <c r="AH379" i="64"/>
  <c r="AI379" i="64"/>
  <c r="AJ379" i="64"/>
  <c r="AK379" i="64"/>
  <c r="AL379" i="64"/>
  <c r="AM379" i="64"/>
  <c r="AN379" i="64"/>
  <c r="AO379" i="64"/>
  <c r="AP379" i="64"/>
  <c r="AQ379" i="64"/>
  <c r="AR379" i="64"/>
  <c r="AS379" i="64"/>
  <c r="AT379" i="64"/>
  <c r="AU379" i="64"/>
  <c r="AV379" i="64"/>
  <c r="AW379" i="64"/>
  <c r="AX379" i="64"/>
  <c r="AY379" i="64"/>
  <c r="AZ379" i="64"/>
  <c r="BA379" i="64"/>
  <c r="BB379" i="64"/>
  <c r="BC379" i="64"/>
  <c r="BD379" i="64"/>
  <c r="BE379" i="64"/>
  <c r="BF379" i="64"/>
  <c r="C380" i="64"/>
  <c r="D380" i="64"/>
  <c r="E380" i="64"/>
  <c r="F380" i="64"/>
  <c r="G380" i="64"/>
  <c r="H380" i="64"/>
  <c r="I380" i="64"/>
  <c r="J380" i="64"/>
  <c r="K380" i="64"/>
  <c r="L380" i="64"/>
  <c r="M380" i="64"/>
  <c r="N380" i="64"/>
  <c r="O380" i="64"/>
  <c r="P380" i="64"/>
  <c r="Q380" i="64"/>
  <c r="R380" i="64"/>
  <c r="S380" i="64"/>
  <c r="T380" i="64"/>
  <c r="U380" i="64"/>
  <c r="V380" i="64"/>
  <c r="W380" i="64"/>
  <c r="X380" i="64"/>
  <c r="Y380" i="64"/>
  <c r="Z380" i="64"/>
  <c r="AA380" i="64"/>
  <c r="AB380" i="64"/>
  <c r="AC380" i="64"/>
  <c r="AD380" i="64"/>
  <c r="AE380" i="64"/>
  <c r="AF380" i="64"/>
  <c r="AG380" i="64"/>
  <c r="AH380" i="64"/>
  <c r="AI380" i="64"/>
  <c r="AJ380" i="64"/>
  <c r="AK380" i="64"/>
  <c r="AL380" i="64"/>
  <c r="AM380" i="64"/>
  <c r="AN380" i="64"/>
  <c r="AO380" i="64"/>
  <c r="AP380" i="64"/>
  <c r="AQ380" i="64"/>
  <c r="AR380" i="64"/>
  <c r="AS380" i="64"/>
  <c r="AT380" i="64"/>
  <c r="AU380" i="64"/>
  <c r="AV380" i="64"/>
  <c r="AW380" i="64"/>
  <c r="AX380" i="64"/>
  <c r="AY380" i="64"/>
  <c r="AZ380" i="64"/>
  <c r="BA380" i="64"/>
  <c r="BB380" i="64"/>
  <c r="BC380" i="64"/>
  <c r="BD380" i="64"/>
  <c r="BE380" i="64"/>
  <c r="BF380" i="64"/>
  <c r="C381" i="64"/>
  <c r="D381" i="64"/>
  <c r="E381" i="64"/>
  <c r="F381" i="64"/>
  <c r="G381" i="64"/>
  <c r="H381" i="64"/>
  <c r="I381" i="64"/>
  <c r="J381" i="64"/>
  <c r="K381" i="64"/>
  <c r="L381" i="64"/>
  <c r="M381" i="64"/>
  <c r="N381" i="64"/>
  <c r="O381" i="64"/>
  <c r="P381" i="64"/>
  <c r="Q381" i="64"/>
  <c r="R381" i="64"/>
  <c r="S381" i="64"/>
  <c r="T381" i="64"/>
  <c r="U381" i="64"/>
  <c r="V381" i="64"/>
  <c r="W381" i="64"/>
  <c r="X381" i="64"/>
  <c r="Y381" i="64"/>
  <c r="Z381" i="64"/>
  <c r="AA381" i="64"/>
  <c r="AB381" i="64"/>
  <c r="AC381" i="64"/>
  <c r="AD381" i="64"/>
  <c r="AE381" i="64"/>
  <c r="AF381" i="64"/>
  <c r="AG381" i="64"/>
  <c r="AH381" i="64"/>
  <c r="AI381" i="64"/>
  <c r="AJ381" i="64"/>
  <c r="AK381" i="64"/>
  <c r="AL381" i="64"/>
  <c r="AM381" i="64"/>
  <c r="AN381" i="64"/>
  <c r="AO381" i="64"/>
  <c r="AP381" i="64"/>
  <c r="AQ381" i="64"/>
  <c r="AR381" i="64"/>
  <c r="AS381" i="64"/>
  <c r="AT381" i="64"/>
  <c r="AU381" i="64"/>
  <c r="AV381" i="64"/>
  <c r="AW381" i="64"/>
  <c r="AX381" i="64"/>
  <c r="AY381" i="64"/>
  <c r="AZ381" i="64"/>
  <c r="BA381" i="64"/>
  <c r="BB381" i="64"/>
  <c r="BC381" i="64"/>
  <c r="BD381" i="64"/>
  <c r="BE381" i="64"/>
  <c r="BF381" i="64"/>
  <c r="C382" i="64"/>
  <c r="D382" i="64"/>
  <c r="E382" i="64"/>
  <c r="F382" i="64"/>
  <c r="G382" i="64"/>
  <c r="H382" i="64"/>
  <c r="I382" i="64"/>
  <c r="J382" i="64"/>
  <c r="K382" i="64"/>
  <c r="L382" i="64"/>
  <c r="M382" i="64"/>
  <c r="N382" i="64"/>
  <c r="O382" i="64"/>
  <c r="P382" i="64"/>
  <c r="Q382" i="64"/>
  <c r="R382" i="64"/>
  <c r="S382" i="64"/>
  <c r="T382" i="64"/>
  <c r="U382" i="64"/>
  <c r="V382" i="64"/>
  <c r="W382" i="64"/>
  <c r="X382" i="64"/>
  <c r="Y382" i="64"/>
  <c r="Z382" i="64"/>
  <c r="AA382" i="64"/>
  <c r="AB382" i="64"/>
  <c r="AC382" i="64"/>
  <c r="AD382" i="64"/>
  <c r="AE382" i="64"/>
  <c r="AF382" i="64"/>
  <c r="AG382" i="64"/>
  <c r="AH382" i="64"/>
  <c r="AI382" i="64"/>
  <c r="AJ382" i="64"/>
  <c r="AK382" i="64"/>
  <c r="AL382" i="64"/>
  <c r="AM382" i="64"/>
  <c r="AN382" i="64"/>
  <c r="AO382" i="64"/>
  <c r="AP382" i="64"/>
  <c r="AQ382" i="64"/>
  <c r="AR382" i="64"/>
  <c r="AS382" i="64"/>
  <c r="AT382" i="64"/>
  <c r="AU382" i="64"/>
  <c r="AV382" i="64"/>
  <c r="AW382" i="64"/>
  <c r="AX382" i="64"/>
  <c r="AY382" i="64"/>
  <c r="AZ382" i="64"/>
  <c r="BA382" i="64"/>
  <c r="BB382" i="64"/>
  <c r="BC382" i="64"/>
  <c r="BD382" i="64"/>
  <c r="BE382" i="64"/>
  <c r="BF382" i="64"/>
  <c r="C383" i="64"/>
  <c r="D383" i="64"/>
  <c r="E383" i="64"/>
  <c r="F383" i="64"/>
  <c r="G383" i="64"/>
  <c r="H383" i="64"/>
  <c r="I383" i="64"/>
  <c r="J383" i="64"/>
  <c r="K383" i="64"/>
  <c r="L383" i="64"/>
  <c r="M383" i="64"/>
  <c r="N383" i="64"/>
  <c r="O383" i="64"/>
  <c r="P383" i="64"/>
  <c r="Q383" i="64"/>
  <c r="R383" i="64"/>
  <c r="S383" i="64"/>
  <c r="T383" i="64"/>
  <c r="U383" i="64"/>
  <c r="V383" i="64"/>
  <c r="W383" i="64"/>
  <c r="X383" i="64"/>
  <c r="Y383" i="64"/>
  <c r="Z383" i="64"/>
  <c r="AA383" i="64"/>
  <c r="AB383" i="64"/>
  <c r="AC383" i="64"/>
  <c r="AD383" i="64"/>
  <c r="AE383" i="64"/>
  <c r="AF383" i="64"/>
  <c r="AG383" i="64"/>
  <c r="AH383" i="64"/>
  <c r="AI383" i="64"/>
  <c r="AJ383" i="64"/>
  <c r="AK383" i="64"/>
  <c r="AL383" i="64"/>
  <c r="AM383" i="64"/>
  <c r="AN383" i="64"/>
  <c r="AO383" i="64"/>
  <c r="AP383" i="64"/>
  <c r="AQ383" i="64"/>
  <c r="AR383" i="64"/>
  <c r="AS383" i="64"/>
  <c r="AT383" i="64"/>
  <c r="AU383" i="64"/>
  <c r="AV383" i="64"/>
  <c r="AW383" i="64"/>
  <c r="AX383" i="64"/>
  <c r="AY383" i="64"/>
  <c r="AZ383" i="64"/>
  <c r="BA383" i="64"/>
  <c r="BB383" i="64"/>
  <c r="BC383" i="64"/>
  <c r="BD383" i="64"/>
  <c r="BE383" i="64"/>
  <c r="BF383" i="64"/>
  <c r="C384" i="64"/>
  <c r="D384" i="64"/>
  <c r="E384" i="64"/>
  <c r="F384" i="64"/>
  <c r="G384" i="64"/>
  <c r="H384" i="64"/>
  <c r="I384" i="64"/>
  <c r="J384" i="64"/>
  <c r="K384" i="64"/>
  <c r="L384" i="64"/>
  <c r="M384" i="64"/>
  <c r="N384" i="64"/>
  <c r="O384" i="64"/>
  <c r="P384" i="64"/>
  <c r="Q384" i="64"/>
  <c r="R384" i="64"/>
  <c r="S384" i="64"/>
  <c r="T384" i="64"/>
  <c r="U384" i="64"/>
  <c r="V384" i="64"/>
  <c r="W384" i="64"/>
  <c r="X384" i="64"/>
  <c r="Y384" i="64"/>
  <c r="Z384" i="64"/>
  <c r="AA384" i="64"/>
  <c r="AB384" i="64"/>
  <c r="AC384" i="64"/>
  <c r="AD384" i="64"/>
  <c r="AE384" i="64"/>
  <c r="AF384" i="64"/>
  <c r="AG384" i="64"/>
  <c r="AH384" i="64"/>
  <c r="AI384" i="64"/>
  <c r="AJ384" i="64"/>
  <c r="AK384" i="64"/>
  <c r="AL384" i="64"/>
  <c r="AM384" i="64"/>
  <c r="AN384" i="64"/>
  <c r="AO384" i="64"/>
  <c r="AP384" i="64"/>
  <c r="AQ384" i="64"/>
  <c r="AR384" i="64"/>
  <c r="AS384" i="64"/>
  <c r="AT384" i="64"/>
  <c r="AU384" i="64"/>
  <c r="AV384" i="64"/>
  <c r="AW384" i="64"/>
  <c r="AX384" i="64"/>
  <c r="AY384" i="64"/>
  <c r="AZ384" i="64"/>
  <c r="BA384" i="64"/>
  <c r="BB384" i="64"/>
  <c r="BC384" i="64"/>
  <c r="BD384" i="64"/>
  <c r="BE384" i="64"/>
  <c r="BF384" i="64"/>
  <c r="C385" i="64"/>
  <c r="D385" i="64"/>
  <c r="E385" i="64"/>
  <c r="F385" i="64"/>
  <c r="G385" i="64"/>
  <c r="H385" i="64"/>
  <c r="I385" i="64"/>
  <c r="J385" i="64"/>
  <c r="K385" i="64"/>
  <c r="L385" i="64"/>
  <c r="M385" i="64"/>
  <c r="N385" i="64"/>
  <c r="O385" i="64"/>
  <c r="P385" i="64"/>
  <c r="Q385" i="64"/>
  <c r="R385" i="64"/>
  <c r="S385" i="64"/>
  <c r="T385" i="64"/>
  <c r="U385" i="64"/>
  <c r="V385" i="64"/>
  <c r="W385" i="64"/>
  <c r="X385" i="64"/>
  <c r="Y385" i="64"/>
  <c r="Z385" i="64"/>
  <c r="AA385" i="64"/>
  <c r="AB385" i="64"/>
  <c r="AC385" i="64"/>
  <c r="AD385" i="64"/>
  <c r="AE385" i="64"/>
  <c r="AF385" i="64"/>
  <c r="AG385" i="64"/>
  <c r="AH385" i="64"/>
  <c r="AI385" i="64"/>
  <c r="AJ385" i="64"/>
  <c r="AK385" i="64"/>
  <c r="AL385" i="64"/>
  <c r="AM385" i="64"/>
  <c r="AN385" i="64"/>
  <c r="AO385" i="64"/>
  <c r="AP385" i="64"/>
  <c r="AQ385" i="64"/>
  <c r="AR385" i="64"/>
  <c r="AS385" i="64"/>
  <c r="AT385" i="64"/>
  <c r="AU385" i="64"/>
  <c r="AV385" i="64"/>
  <c r="AW385" i="64"/>
  <c r="AX385" i="64"/>
  <c r="AY385" i="64"/>
  <c r="AZ385" i="64"/>
  <c r="BA385" i="64"/>
  <c r="BB385" i="64"/>
  <c r="BC385" i="64"/>
  <c r="BD385" i="64"/>
  <c r="BE385" i="64"/>
  <c r="BF385" i="64"/>
  <c r="C386" i="64"/>
  <c r="D386" i="64"/>
  <c r="E386" i="64"/>
  <c r="F386" i="64"/>
  <c r="G386" i="64"/>
  <c r="H386" i="64"/>
  <c r="I386" i="64"/>
  <c r="J386" i="64"/>
  <c r="K386" i="64"/>
  <c r="L386" i="64"/>
  <c r="M386" i="64"/>
  <c r="N386" i="64"/>
  <c r="O386" i="64"/>
  <c r="P386" i="64"/>
  <c r="Q386" i="64"/>
  <c r="R386" i="64"/>
  <c r="S386" i="64"/>
  <c r="T386" i="64"/>
  <c r="U386" i="64"/>
  <c r="V386" i="64"/>
  <c r="W386" i="64"/>
  <c r="X386" i="64"/>
  <c r="Y386" i="64"/>
  <c r="Z386" i="64"/>
  <c r="AA386" i="64"/>
  <c r="AB386" i="64"/>
  <c r="AC386" i="64"/>
  <c r="AD386" i="64"/>
  <c r="AE386" i="64"/>
  <c r="AF386" i="64"/>
  <c r="AG386" i="64"/>
  <c r="AH386" i="64"/>
  <c r="AI386" i="64"/>
  <c r="AJ386" i="64"/>
  <c r="AK386" i="64"/>
  <c r="AL386" i="64"/>
  <c r="AM386" i="64"/>
  <c r="AN386" i="64"/>
  <c r="AO386" i="64"/>
  <c r="AP386" i="64"/>
  <c r="AQ386" i="64"/>
  <c r="AR386" i="64"/>
  <c r="AS386" i="64"/>
  <c r="AT386" i="64"/>
  <c r="AU386" i="64"/>
  <c r="AV386" i="64"/>
  <c r="AW386" i="64"/>
  <c r="AX386" i="64"/>
  <c r="AY386" i="64"/>
  <c r="AZ386" i="64"/>
  <c r="BA386" i="64"/>
  <c r="BB386" i="64"/>
  <c r="BC386" i="64"/>
  <c r="BD386" i="64"/>
  <c r="BE386" i="64"/>
  <c r="BF386" i="64"/>
  <c r="C387" i="64"/>
  <c r="D387" i="64"/>
  <c r="E387" i="64"/>
  <c r="F387" i="64"/>
  <c r="G387" i="64"/>
  <c r="H387" i="64"/>
  <c r="I387" i="64"/>
  <c r="J387" i="64"/>
  <c r="K387" i="64"/>
  <c r="L387" i="64"/>
  <c r="M387" i="64"/>
  <c r="N387" i="64"/>
  <c r="O387" i="64"/>
  <c r="P387" i="64"/>
  <c r="Q387" i="64"/>
  <c r="R387" i="64"/>
  <c r="S387" i="64"/>
  <c r="T387" i="64"/>
  <c r="U387" i="64"/>
  <c r="V387" i="64"/>
  <c r="W387" i="64"/>
  <c r="X387" i="64"/>
  <c r="Y387" i="64"/>
  <c r="Z387" i="64"/>
  <c r="AA387" i="64"/>
  <c r="AB387" i="64"/>
  <c r="AC387" i="64"/>
  <c r="AD387" i="64"/>
  <c r="AE387" i="64"/>
  <c r="AF387" i="64"/>
  <c r="AG387" i="64"/>
  <c r="AH387" i="64"/>
  <c r="AI387" i="64"/>
  <c r="AJ387" i="64"/>
  <c r="AK387" i="64"/>
  <c r="AL387" i="64"/>
  <c r="AM387" i="64"/>
  <c r="AN387" i="64"/>
  <c r="AO387" i="64"/>
  <c r="AP387" i="64"/>
  <c r="AQ387" i="64"/>
  <c r="AR387" i="64"/>
  <c r="AS387" i="64"/>
  <c r="AT387" i="64"/>
  <c r="AU387" i="64"/>
  <c r="AV387" i="64"/>
  <c r="AW387" i="64"/>
  <c r="AX387" i="64"/>
  <c r="AY387" i="64"/>
  <c r="AZ387" i="64"/>
  <c r="BA387" i="64"/>
  <c r="BB387" i="64"/>
  <c r="BC387" i="64"/>
  <c r="BD387" i="64"/>
  <c r="BE387" i="64"/>
  <c r="BF387" i="64"/>
  <c r="C388" i="64"/>
  <c r="D388" i="64"/>
  <c r="E388" i="64"/>
  <c r="F388" i="64"/>
  <c r="G388" i="64"/>
  <c r="H388" i="64"/>
  <c r="I388" i="64"/>
  <c r="J388" i="64"/>
  <c r="K388" i="64"/>
  <c r="L388" i="64"/>
  <c r="M388" i="64"/>
  <c r="N388" i="64"/>
  <c r="O388" i="64"/>
  <c r="P388" i="64"/>
  <c r="Q388" i="64"/>
  <c r="R388" i="64"/>
  <c r="S388" i="64"/>
  <c r="T388" i="64"/>
  <c r="U388" i="64"/>
  <c r="V388" i="64"/>
  <c r="W388" i="64"/>
  <c r="X388" i="64"/>
  <c r="Y388" i="64"/>
  <c r="Z388" i="64"/>
  <c r="AA388" i="64"/>
  <c r="AB388" i="64"/>
  <c r="AC388" i="64"/>
  <c r="AD388" i="64"/>
  <c r="AE388" i="64"/>
  <c r="AF388" i="64"/>
  <c r="AG388" i="64"/>
  <c r="AH388" i="64"/>
  <c r="AI388" i="64"/>
  <c r="AJ388" i="64"/>
  <c r="AK388" i="64"/>
  <c r="AL388" i="64"/>
  <c r="AM388" i="64"/>
  <c r="AN388" i="64"/>
  <c r="AO388" i="64"/>
  <c r="AP388" i="64"/>
  <c r="AQ388" i="64"/>
  <c r="AR388" i="64"/>
  <c r="AS388" i="64"/>
  <c r="AT388" i="64"/>
  <c r="AU388" i="64"/>
  <c r="AV388" i="64"/>
  <c r="AW388" i="64"/>
  <c r="AX388" i="64"/>
  <c r="AY388" i="64"/>
  <c r="AZ388" i="64"/>
  <c r="BA388" i="64"/>
  <c r="BB388" i="64"/>
  <c r="BC388" i="64"/>
  <c r="BD388" i="64"/>
  <c r="BE388" i="64"/>
  <c r="BF388" i="64"/>
  <c r="C389" i="64"/>
  <c r="D389" i="64"/>
  <c r="E389" i="64"/>
  <c r="F389" i="64"/>
  <c r="G389" i="64"/>
  <c r="H389" i="64"/>
  <c r="I389" i="64"/>
  <c r="J389" i="64"/>
  <c r="K389" i="64"/>
  <c r="L389" i="64"/>
  <c r="M389" i="64"/>
  <c r="N389" i="64"/>
  <c r="O389" i="64"/>
  <c r="P389" i="64"/>
  <c r="Q389" i="64"/>
  <c r="R389" i="64"/>
  <c r="S389" i="64"/>
  <c r="T389" i="64"/>
  <c r="U389" i="64"/>
  <c r="V389" i="64"/>
  <c r="W389" i="64"/>
  <c r="X389" i="64"/>
  <c r="Y389" i="64"/>
  <c r="Z389" i="64"/>
  <c r="AA389" i="64"/>
  <c r="AB389" i="64"/>
  <c r="AC389" i="64"/>
  <c r="AD389" i="64"/>
  <c r="AE389" i="64"/>
  <c r="AF389" i="64"/>
  <c r="AG389" i="64"/>
  <c r="AH389" i="64"/>
  <c r="AI389" i="64"/>
  <c r="AJ389" i="64"/>
  <c r="AK389" i="64"/>
  <c r="AL389" i="64"/>
  <c r="AM389" i="64"/>
  <c r="AN389" i="64"/>
  <c r="AO389" i="64"/>
  <c r="AP389" i="64"/>
  <c r="AQ389" i="64"/>
  <c r="AR389" i="64"/>
  <c r="AS389" i="64"/>
  <c r="AT389" i="64"/>
  <c r="AU389" i="64"/>
  <c r="AV389" i="64"/>
  <c r="AW389" i="64"/>
  <c r="AX389" i="64"/>
  <c r="AY389" i="64"/>
  <c r="AZ389" i="64"/>
  <c r="BA389" i="64"/>
  <c r="BB389" i="64"/>
  <c r="BC389" i="64"/>
  <c r="BD389" i="64"/>
  <c r="BE389" i="64"/>
  <c r="BF389" i="64"/>
  <c r="C390" i="64"/>
  <c r="D390" i="64"/>
  <c r="E390" i="64"/>
  <c r="F390" i="64"/>
  <c r="G390" i="64"/>
  <c r="H390" i="64"/>
  <c r="I390" i="64"/>
  <c r="J390" i="64"/>
  <c r="K390" i="64"/>
  <c r="L390" i="64"/>
  <c r="M390" i="64"/>
  <c r="N390" i="64"/>
  <c r="O390" i="64"/>
  <c r="P390" i="64"/>
  <c r="Q390" i="64"/>
  <c r="R390" i="64"/>
  <c r="S390" i="64"/>
  <c r="T390" i="64"/>
  <c r="U390" i="64"/>
  <c r="V390" i="64"/>
  <c r="W390" i="64"/>
  <c r="X390" i="64"/>
  <c r="Y390" i="64"/>
  <c r="Z390" i="64"/>
  <c r="AA390" i="64"/>
  <c r="AB390" i="64"/>
  <c r="AC390" i="64"/>
  <c r="AD390" i="64"/>
  <c r="AE390" i="64"/>
  <c r="AF390" i="64"/>
  <c r="AG390" i="64"/>
  <c r="AH390" i="64"/>
  <c r="AI390" i="64"/>
  <c r="AJ390" i="64"/>
  <c r="AK390" i="64"/>
  <c r="AL390" i="64"/>
  <c r="AM390" i="64"/>
  <c r="AN390" i="64"/>
  <c r="AO390" i="64"/>
  <c r="AP390" i="64"/>
  <c r="AQ390" i="64"/>
  <c r="AR390" i="64"/>
  <c r="AS390" i="64"/>
  <c r="AT390" i="64"/>
  <c r="AU390" i="64"/>
  <c r="AV390" i="64"/>
  <c r="AW390" i="64"/>
  <c r="AX390" i="64"/>
  <c r="AY390" i="64"/>
  <c r="AZ390" i="64"/>
  <c r="BA390" i="64"/>
  <c r="BB390" i="64"/>
  <c r="BC390" i="64"/>
  <c r="BD390" i="64"/>
  <c r="BE390" i="64"/>
  <c r="BF390" i="64"/>
  <c r="C394" i="64"/>
  <c r="D394" i="64"/>
  <c r="E394" i="64"/>
  <c r="F394" i="64"/>
  <c r="G394" i="64"/>
  <c r="H394" i="64"/>
  <c r="I394" i="64"/>
  <c r="J394" i="64"/>
  <c r="K394" i="64"/>
  <c r="L394" i="64"/>
  <c r="M394" i="64"/>
  <c r="N394" i="64"/>
  <c r="O394" i="64"/>
  <c r="P394" i="64"/>
  <c r="Q394" i="64"/>
  <c r="R394" i="64"/>
  <c r="S394" i="64"/>
  <c r="T394" i="64"/>
  <c r="U394" i="64"/>
  <c r="V394" i="64"/>
  <c r="W394" i="64"/>
  <c r="X394" i="64"/>
  <c r="Y394" i="64"/>
  <c r="Z394" i="64"/>
  <c r="AA394" i="64"/>
  <c r="AB394" i="64"/>
  <c r="AC394" i="64"/>
  <c r="AD394" i="64"/>
  <c r="AE394" i="64"/>
  <c r="AF394" i="64"/>
  <c r="AG394" i="64"/>
  <c r="AH394" i="64"/>
  <c r="AI394" i="64"/>
  <c r="AJ394" i="64"/>
  <c r="AK394" i="64"/>
  <c r="AL394" i="64"/>
  <c r="AM394" i="64"/>
  <c r="AN394" i="64"/>
  <c r="AO394" i="64"/>
  <c r="AP394" i="64"/>
  <c r="AQ394" i="64"/>
  <c r="AR394" i="64"/>
  <c r="AS394" i="64"/>
  <c r="AT394" i="64"/>
  <c r="AU394" i="64"/>
  <c r="AV394" i="64"/>
  <c r="AW394" i="64"/>
  <c r="AX394" i="64"/>
  <c r="AY394" i="64"/>
  <c r="AZ394" i="64"/>
  <c r="BA394" i="64"/>
  <c r="BB394" i="64"/>
  <c r="BC394" i="64"/>
  <c r="BD394" i="64"/>
  <c r="BE394" i="64"/>
  <c r="BF394" i="64"/>
  <c r="C395" i="64"/>
  <c r="D395" i="64"/>
  <c r="E395" i="64"/>
  <c r="F395" i="64"/>
  <c r="G395" i="64"/>
  <c r="H395" i="64"/>
  <c r="I395" i="64"/>
  <c r="J395" i="64"/>
  <c r="K395" i="64"/>
  <c r="L395" i="64"/>
  <c r="M395" i="64"/>
  <c r="N395" i="64"/>
  <c r="O395" i="64"/>
  <c r="P395" i="64"/>
  <c r="Q395" i="64"/>
  <c r="R395" i="64"/>
  <c r="S395" i="64"/>
  <c r="T395" i="64"/>
  <c r="U395" i="64"/>
  <c r="V395" i="64"/>
  <c r="W395" i="64"/>
  <c r="X395" i="64"/>
  <c r="Y395" i="64"/>
  <c r="Z395" i="64"/>
  <c r="AA395" i="64"/>
  <c r="AB395" i="64"/>
  <c r="AC395" i="64"/>
  <c r="AD395" i="64"/>
  <c r="AE395" i="64"/>
  <c r="AF395" i="64"/>
  <c r="AG395" i="64"/>
  <c r="AH395" i="64"/>
  <c r="AI395" i="64"/>
  <c r="AJ395" i="64"/>
  <c r="AK395" i="64"/>
  <c r="AL395" i="64"/>
  <c r="AM395" i="64"/>
  <c r="AN395" i="64"/>
  <c r="AO395" i="64"/>
  <c r="AP395" i="64"/>
  <c r="AQ395" i="64"/>
  <c r="AR395" i="64"/>
  <c r="AS395" i="64"/>
  <c r="AT395" i="64"/>
  <c r="AU395" i="64"/>
  <c r="AV395" i="64"/>
  <c r="AW395" i="64"/>
  <c r="AX395" i="64"/>
  <c r="AY395" i="64"/>
  <c r="AZ395" i="64"/>
  <c r="BA395" i="64"/>
  <c r="BB395" i="64"/>
  <c r="BC395" i="64"/>
  <c r="BD395" i="64"/>
  <c r="BE395" i="64"/>
  <c r="BF395" i="64"/>
  <c r="C396" i="64"/>
  <c r="D396" i="64"/>
  <c r="E396" i="64"/>
  <c r="F396" i="64"/>
  <c r="G396" i="64"/>
  <c r="H396" i="64"/>
  <c r="I396" i="64"/>
  <c r="J396" i="64"/>
  <c r="K396" i="64"/>
  <c r="L396" i="64"/>
  <c r="M396" i="64"/>
  <c r="N396" i="64"/>
  <c r="O396" i="64"/>
  <c r="P396" i="64"/>
  <c r="Q396" i="64"/>
  <c r="R396" i="64"/>
  <c r="S396" i="64"/>
  <c r="T396" i="64"/>
  <c r="U396" i="64"/>
  <c r="V396" i="64"/>
  <c r="W396" i="64"/>
  <c r="X396" i="64"/>
  <c r="Y396" i="64"/>
  <c r="Z396" i="64"/>
  <c r="AA396" i="64"/>
  <c r="AB396" i="64"/>
  <c r="AC396" i="64"/>
  <c r="AD396" i="64"/>
  <c r="AE396" i="64"/>
  <c r="AF396" i="64"/>
  <c r="AG396" i="64"/>
  <c r="AH396" i="64"/>
  <c r="AI396" i="64"/>
  <c r="AJ396" i="64"/>
  <c r="AK396" i="64"/>
  <c r="AL396" i="64"/>
  <c r="AM396" i="64"/>
  <c r="AN396" i="64"/>
  <c r="AO396" i="64"/>
  <c r="AP396" i="64"/>
  <c r="AQ396" i="64"/>
  <c r="AR396" i="64"/>
  <c r="AS396" i="64"/>
  <c r="AT396" i="64"/>
  <c r="AU396" i="64"/>
  <c r="AV396" i="64"/>
  <c r="AW396" i="64"/>
  <c r="AX396" i="64"/>
  <c r="AY396" i="64"/>
  <c r="AZ396" i="64"/>
  <c r="BA396" i="64"/>
  <c r="BB396" i="64"/>
  <c r="BC396" i="64"/>
  <c r="BD396" i="64"/>
  <c r="BE396" i="64"/>
  <c r="BF396" i="64"/>
  <c r="C397" i="64"/>
  <c r="D397" i="64"/>
  <c r="E397" i="64"/>
  <c r="F397" i="64"/>
  <c r="G397" i="64"/>
  <c r="H397" i="64"/>
  <c r="I397" i="64"/>
  <c r="J397" i="64"/>
  <c r="K397" i="64"/>
  <c r="L397" i="64"/>
  <c r="M397" i="64"/>
  <c r="N397" i="64"/>
  <c r="O397" i="64"/>
  <c r="P397" i="64"/>
  <c r="Q397" i="64"/>
  <c r="R397" i="64"/>
  <c r="S397" i="64"/>
  <c r="T397" i="64"/>
  <c r="U397" i="64"/>
  <c r="V397" i="64"/>
  <c r="W397" i="64"/>
  <c r="X397" i="64"/>
  <c r="Y397" i="64"/>
  <c r="Z397" i="64"/>
  <c r="AA397" i="64"/>
  <c r="AB397" i="64"/>
  <c r="AC397" i="64"/>
  <c r="AD397" i="64"/>
  <c r="AE397" i="64"/>
  <c r="AF397" i="64"/>
  <c r="AG397" i="64"/>
  <c r="AH397" i="64"/>
  <c r="AI397" i="64"/>
  <c r="AJ397" i="64"/>
  <c r="AK397" i="64"/>
  <c r="AL397" i="64"/>
  <c r="AM397" i="64"/>
  <c r="AN397" i="64"/>
  <c r="AO397" i="64"/>
  <c r="AP397" i="64"/>
  <c r="AQ397" i="64"/>
  <c r="AR397" i="64"/>
  <c r="AS397" i="64"/>
  <c r="AT397" i="64"/>
  <c r="AU397" i="64"/>
  <c r="AV397" i="64"/>
  <c r="AW397" i="64"/>
  <c r="AX397" i="64"/>
  <c r="AY397" i="64"/>
  <c r="AZ397" i="64"/>
  <c r="BA397" i="64"/>
  <c r="BB397" i="64"/>
  <c r="BC397" i="64"/>
  <c r="BD397" i="64"/>
  <c r="BE397" i="64"/>
  <c r="BF397" i="64"/>
  <c r="C398" i="64"/>
  <c r="D398" i="64"/>
  <c r="E398" i="64"/>
  <c r="F398" i="64"/>
  <c r="G398" i="64"/>
  <c r="H398" i="64"/>
  <c r="I398" i="64"/>
  <c r="J398" i="64"/>
  <c r="K398" i="64"/>
  <c r="L398" i="64"/>
  <c r="M398" i="64"/>
  <c r="N398" i="64"/>
  <c r="O398" i="64"/>
  <c r="P398" i="64"/>
  <c r="Q398" i="64"/>
  <c r="R398" i="64"/>
  <c r="S398" i="64"/>
  <c r="T398" i="64"/>
  <c r="U398" i="64"/>
  <c r="V398" i="64"/>
  <c r="W398" i="64"/>
  <c r="X398" i="64"/>
  <c r="Y398" i="64"/>
  <c r="Z398" i="64"/>
  <c r="AA398" i="64"/>
  <c r="AB398" i="64"/>
  <c r="AC398" i="64"/>
  <c r="AD398" i="64"/>
  <c r="AE398" i="64"/>
  <c r="AF398" i="64"/>
  <c r="AG398" i="64"/>
  <c r="AH398" i="64"/>
  <c r="AI398" i="64"/>
  <c r="AJ398" i="64"/>
  <c r="AK398" i="64"/>
  <c r="AL398" i="64"/>
  <c r="AM398" i="64"/>
  <c r="AN398" i="64"/>
  <c r="AO398" i="64"/>
  <c r="AP398" i="64"/>
  <c r="AQ398" i="64"/>
  <c r="AR398" i="64"/>
  <c r="AS398" i="64"/>
  <c r="AT398" i="64"/>
  <c r="AU398" i="64"/>
  <c r="AV398" i="64"/>
  <c r="AW398" i="64"/>
  <c r="AX398" i="64"/>
  <c r="AY398" i="64"/>
  <c r="AZ398" i="64"/>
  <c r="BA398" i="64"/>
  <c r="BB398" i="64"/>
  <c r="BC398" i="64"/>
  <c r="BD398" i="64"/>
  <c r="BE398" i="64"/>
  <c r="BF398" i="64"/>
  <c r="C399" i="64"/>
  <c r="D399" i="64"/>
  <c r="E399" i="64"/>
  <c r="F399" i="64"/>
  <c r="G399" i="64"/>
  <c r="H399" i="64"/>
  <c r="I399" i="64"/>
  <c r="J399" i="64"/>
  <c r="K399" i="64"/>
  <c r="L399" i="64"/>
  <c r="M399" i="64"/>
  <c r="N399" i="64"/>
  <c r="O399" i="64"/>
  <c r="P399" i="64"/>
  <c r="Q399" i="64"/>
  <c r="R399" i="64"/>
  <c r="S399" i="64"/>
  <c r="T399" i="64"/>
  <c r="U399" i="64"/>
  <c r="V399" i="64"/>
  <c r="W399" i="64"/>
  <c r="X399" i="64"/>
  <c r="Y399" i="64"/>
  <c r="Z399" i="64"/>
  <c r="AA399" i="64"/>
  <c r="AB399" i="64"/>
  <c r="AC399" i="64"/>
  <c r="AD399" i="64"/>
  <c r="AE399" i="64"/>
  <c r="AF399" i="64"/>
  <c r="AG399" i="64"/>
  <c r="AH399" i="64"/>
  <c r="AI399" i="64"/>
  <c r="AJ399" i="64"/>
  <c r="AK399" i="64"/>
  <c r="AL399" i="64"/>
  <c r="AM399" i="64"/>
  <c r="AN399" i="64"/>
  <c r="AO399" i="64"/>
  <c r="AP399" i="64"/>
  <c r="AQ399" i="64"/>
  <c r="AR399" i="64"/>
  <c r="AS399" i="64"/>
  <c r="AT399" i="64"/>
  <c r="AU399" i="64"/>
  <c r="AV399" i="64"/>
  <c r="AW399" i="64"/>
  <c r="AX399" i="64"/>
  <c r="AY399" i="64"/>
  <c r="AZ399" i="64"/>
  <c r="BA399" i="64"/>
  <c r="BB399" i="64"/>
  <c r="BC399" i="64"/>
  <c r="BD399" i="64"/>
  <c r="BE399" i="64"/>
  <c r="BF399" i="64"/>
  <c r="C400" i="64"/>
  <c r="D400" i="64"/>
  <c r="E400" i="64"/>
  <c r="F400" i="64"/>
  <c r="G400" i="64"/>
  <c r="H400" i="64"/>
  <c r="I400" i="64"/>
  <c r="J400" i="64"/>
  <c r="K400" i="64"/>
  <c r="L400" i="64"/>
  <c r="M400" i="64"/>
  <c r="N400" i="64"/>
  <c r="O400" i="64"/>
  <c r="P400" i="64"/>
  <c r="Q400" i="64"/>
  <c r="R400" i="64"/>
  <c r="S400" i="64"/>
  <c r="T400" i="64"/>
  <c r="U400" i="64"/>
  <c r="V400" i="64"/>
  <c r="W400" i="64"/>
  <c r="X400" i="64"/>
  <c r="Y400" i="64"/>
  <c r="Z400" i="64"/>
  <c r="AA400" i="64"/>
  <c r="AB400" i="64"/>
  <c r="AC400" i="64"/>
  <c r="AD400" i="64"/>
  <c r="AE400" i="64"/>
  <c r="AF400" i="64"/>
  <c r="AG400" i="64"/>
  <c r="AH400" i="64"/>
  <c r="AI400" i="64"/>
  <c r="AJ400" i="64"/>
  <c r="AK400" i="64"/>
  <c r="AL400" i="64"/>
  <c r="AM400" i="64"/>
  <c r="AN400" i="64"/>
  <c r="AO400" i="64"/>
  <c r="AP400" i="64"/>
  <c r="AQ400" i="64"/>
  <c r="AR400" i="64"/>
  <c r="AS400" i="64"/>
  <c r="AT400" i="64"/>
  <c r="AU400" i="64"/>
  <c r="AV400" i="64"/>
  <c r="AW400" i="64"/>
  <c r="AX400" i="64"/>
  <c r="AY400" i="64"/>
  <c r="AZ400" i="64"/>
  <c r="BA400" i="64"/>
  <c r="BB400" i="64"/>
  <c r="BC400" i="64"/>
  <c r="BD400" i="64"/>
  <c r="BE400" i="64"/>
  <c r="BF400" i="64"/>
  <c r="C401" i="64"/>
  <c r="D401" i="64"/>
  <c r="E401" i="64"/>
  <c r="F401" i="64"/>
  <c r="G401" i="64"/>
  <c r="H401" i="64"/>
  <c r="I401" i="64"/>
  <c r="J401" i="64"/>
  <c r="K401" i="64"/>
  <c r="L401" i="64"/>
  <c r="M401" i="64"/>
  <c r="N401" i="64"/>
  <c r="O401" i="64"/>
  <c r="P401" i="64"/>
  <c r="Q401" i="64"/>
  <c r="R401" i="64"/>
  <c r="S401" i="64"/>
  <c r="T401" i="64"/>
  <c r="U401" i="64"/>
  <c r="V401" i="64"/>
  <c r="W401" i="64"/>
  <c r="X401" i="64"/>
  <c r="Y401" i="64"/>
  <c r="Z401" i="64"/>
  <c r="AA401" i="64"/>
  <c r="AB401" i="64"/>
  <c r="AC401" i="64"/>
  <c r="AD401" i="64"/>
  <c r="AE401" i="64"/>
  <c r="AF401" i="64"/>
  <c r="AG401" i="64"/>
  <c r="AH401" i="64"/>
  <c r="AI401" i="64"/>
  <c r="AJ401" i="64"/>
  <c r="AK401" i="64"/>
  <c r="AL401" i="64"/>
  <c r="AM401" i="64"/>
  <c r="AN401" i="64"/>
  <c r="AO401" i="64"/>
  <c r="AP401" i="64"/>
  <c r="AQ401" i="64"/>
  <c r="AR401" i="64"/>
  <c r="AS401" i="64"/>
  <c r="AT401" i="64"/>
  <c r="AU401" i="64"/>
  <c r="AV401" i="64"/>
  <c r="AW401" i="64"/>
  <c r="AX401" i="64"/>
  <c r="AY401" i="64"/>
  <c r="AZ401" i="64"/>
  <c r="BA401" i="64"/>
  <c r="BB401" i="64"/>
  <c r="BC401" i="64"/>
  <c r="BD401" i="64"/>
  <c r="BE401" i="64"/>
  <c r="BF401" i="64"/>
  <c r="C402" i="64"/>
  <c r="D402" i="64"/>
  <c r="E402" i="64"/>
  <c r="F402" i="64"/>
  <c r="G402" i="64"/>
  <c r="H402" i="64"/>
  <c r="I402" i="64"/>
  <c r="J402" i="64"/>
  <c r="K402" i="64"/>
  <c r="L402" i="64"/>
  <c r="M402" i="64"/>
  <c r="N402" i="64"/>
  <c r="O402" i="64"/>
  <c r="P402" i="64"/>
  <c r="Q402" i="64"/>
  <c r="R402" i="64"/>
  <c r="S402" i="64"/>
  <c r="T402" i="64"/>
  <c r="U402" i="64"/>
  <c r="V402" i="64"/>
  <c r="W402" i="64"/>
  <c r="X402" i="64"/>
  <c r="Y402" i="64"/>
  <c r="Z402" i="64"/>
  <c r="AA402" i="64"/>
  <c r="AB402" i="64"/>
  <c r="AC402" i="64"/>
  <c r="AD402" i="64"/>
  <c r="AE402" i="64"/>
  <c r="AF402" i="64"/>
  <c r="AG402" i="64"/>
  <c r="AH402" i="64"/>
  <c r="AI402" i="64"/>
  <c r="AJ402" i="64"/>
  <c r="AK402" i="64"/>
  <c r="AL402" i="64"/>
  <c r="AM402" i="64"/>
  <c r="AN402" i="64"/>
  <c r="AO402" i="64"/>
  <c r="AP402" i="64"/>
  <c r="AQ402" i="64"/>
  <c r="AR402" i="64"/>
  <c r="AS402" i="64"/>
  <c r="AT402" i="64"/>
  <c r="AU402" i="64"/>
  <c r="AV402" i="64"/>
  <c r="AW402" i="64"/>
  <c r="AX402" i="64"/>
  <c r="AY402" i="64"/>
  <c r="AZ402" i="64"/>
  <c r="BA402" i="64"/>
  <c r="BB402" i="64"/>
  <c r="BC402" i="64"/>
  <c r="BD402" i="64"/>
  <c r="BE402" i="64"/>
  <c r="BF402" i="64"/>
  <c r="C403" i="64"/>
  <c r="D403" i="64"/>
  <c r="E403" i="64"/>
  <c r="F403" i="64"/>
  <c r="G403" i="64"/>
  <c r="H403" i="64"/>
  <c r="I403" i="64"/>
  <c r="J403" i="64"/>
  <c r="K403" i="64"/>
  <c r="L403" i="64"/>
  <c r="M403" i="64"/>
  <c r="N403" i="64"/>
  <c r="O403" i="64"/>
  <c r="P403" i="64"/>
  <c r="Q403" i="64"/>
  <c r="R403" i="64"/>
  <c r="S403" i="64"/>
  <c r="T403" i="64"/>
  <c r="U403" i="64"/>
  <c r="V403" i="64"/>
  <c r="W403" i="64"/>
  <c r="X403" i="64"/>
  <c r="Y403" i="64"/>
  <c r="Z403" i="64"/>
  <c r="AA403" i="64"/>
  <c r="AB403" i="64"/>
  <c r="AC403" i="64"/>
  <c r="AD403" i="64"/>
  <c r="AE403" i="64"/>
  <c r="AF403" i="64"/>
  <c r="AG403" i="64"/>
  <c r="AH403" i="64"/>
  <c r="AI403" i="64"/>
  <c r="AJ403" i="64"/>
  <c r="AK403" i="64"/>
  <c r="AL403" i="64"/>
  <c r="AM403" i="64"/>
  <c r="AN403" i="64"/>
  <c r="AO403" i="64"/>
  <c r="AP403" i="64"/>
  <c r="AQ403" i="64"/>
  <c r="AR403" i="64"/>
  <c r="AS403" i="64"/>
  <c r="AT403" i="64"/>
  <c r="AU403" i="64"/>
  <c r="AV403" i="64"/>
  <c r="AW403" i="64"/>
  <c r="AX403" i="64"/>
  <c r="AY403" i="64"/>
  <c r="AZ403" i="64"/>
  <c r="BA403" i="64"/>
  <c r="BB403" i="64"/>
  <c r="BC403" i="64"/>
  <c r="BD403" i="64"/>
  <c r="BE403" i="64"/>
  <c r="BF403" i="64"/>
  <c r="C404" i="64"/>
  <c r="D404" i="64"/>
  <c r="E404" i="64"/>
  <c r="F404" i="64"/>
  <c r="G404" i="64"/>
  <c r="H404" i="64"/>
  <c r="I404" i="64"/>
  <c r="J404" i="64"/>
  <c r="K404" i="64"/>
  <c r="L404" i="64"/>
  <c r="M404" i="64"/>
  <c r="N404" i="64"/>
  <c r="O404" i="64"/>
  <c r="P404" i="64"/>
  <c r="Q404" i="64"/>
  <c r="R404" i="64"/>
  <c r="S404" i="64"/>
  <c r="T404" i="64"/>
  <c r="U404" i="64"/>
  <c r="V404" i="64"/>
  <c r="W404" i="64"/>
  <c r="X404" i="64"/>
  <c r="Y404" i="64"/>
  <c r="Z404" i="64"/>
  <c r="AA404" i="64"/>
  <c r="AB404" i="64"/>
  <c r="AC404" i="64"/>
  <c r="AD404" i="64"/>
  <c r="AE404" i="64"/>
  <c r="AF404" i="64"/>
  <c r="AG404" i="64"/>
  <c r="AH404" i="64"/>
  <c r="AI404" i="64"/>
  <c r="AJ404" i="64"/>
  <c r="AK404" i="64"/>
  <c r="AL404" i="64"/>
  <c r="AM404" i="64"/>
  <c r="AN404" i="64"/>
  <c r="AO404" i="64"/>
  <c r="AP404" i="64"/>
  <c r="AQ404" i="64"/>
  <c r="AR404" i="64"/>
  <c r="AS404" i="64"/>
  <c r="AT404" i="64"/>
  <c r="AU404" i="64"/>
  <c r="AV404" i="64"/>
  <c r="AW404" i="64"/>
  <c r="AX404" i="64"/>
  <c r="AY404" i="64"/>
  <c r="AZ404" i="64"/>
  <c r="BA404" i="64"/>
  <c r="BB404" i="64"/>
  <c r="BC404" i="64"/>
  <c r="BD404" i="64"/>
  <c r="BE404" i="64"/>
  <c r="BF404" i="64"/>
  <c r="C405" i="64"/>
  <c r="D405" i="64"/>
  <c r="E405" i="64"/>
  <c r="F405" i="64"/>
  <c r="G405" i="64"/>
  <c r="H405" i="64"/>
  <c r="I405" i="64"/>
  <c r="J405" i="64"/>
  <c r="K405" i="64"/>
  <c r="L405" i="64"/>
  <c r="M405" i="64"/>
  <c r="N405" i="64"/>
  <c r="O405" i="64"/>
  <c r="P405" i="64"/>
  <c r="Q405" i="64"/>
  <c r="R405" i="64"/>
  <c r="S405" i="64"/>
  <c r="T405" i="64"/>
  <c r="U405" i="64"/>
  <c r="V405" i="64"/>
  <c r="W405" i="64"/>
  <c r="X405" i="64"/>
  <c r="Y405" i="64"/>
  <c r="Z405" i="64"/>
  <c r="AA405" i="64"/>
  <c r="AB405" i="64"/>
  <c r="AC405" i="64"/>
  <c r="AD405" i="64"/>
  <c r="AE405" i="64"/>
  <c r="AF405" i="64"/>
  <c r="AG405" i="64"/>
  <c r="AH405" i="64"/>
  <c r="AI405" i="64"/>
  <c r="AJ405" i="64"/>
  <c r="AK405" i="64"/>
  <c r="AL405" i="64"/>
  <c r="AM405" i="64"/>
  <c r="AN405" i="64"/>
  <c r="AO405" i="64"/>
  <c r="AP405" i="64"/>
  <c r="AQ405" i="64"/>
  <c r="AR405" i="64"/>
  <c r="AS405" i="64"/>
  <c r="AT405" i="64"/>
  <c r="AU405" i="64"/>
  <c r="AV405" i="64"/>
  <c r="AW405" i="64"/>
  <c r="AX405" i="64"/>
  <c r="AY405" i="64"/>
  <c r="AZ405" i="64"/>
  <c r="BA405" i="64"/>
  <c r="BB405" i="64"/>
  <c r="BC405" i="64"/>
  <c r="BD405" i="64"/>
  <c r="BE405" i="64"/>
  <c r="BF405" i="64"/>
  <c r="C406" i="64"/>
  <c r="D406" i="64"/>
  <c r="E406" i="64"/>
  <c r="F406" i="64"/>
  <c r="G406" i="64"/>
  <c r="H406" i="64"/>
  <c r="I406" i="64"/>
  <c r="J406" i="64"/>
  <c r="K406" i="64"/>
  <c r="L406" i="64"/>
  <c r="M406" i="64"/>
  <c r="N406" i="64"/>
  <c r="O406" i="64"/>
  <c r="P406" i="64"/>
  <c r="Q406" i="64"/>
  <c r="R406" i="64"/>
  <c r="S406" i="64"/>
  <c r="T406" i="64"/>
  <c r="U406" i="64"/>
  <c r="V406" i="64"/>
  <c r="W406" i="64"/>
  <c r="X406" i="64"/>
  <c r="Y406" i="64"/>
  <c r="Z406" i="64"/>
  <c r="AA406" i="64"/>
  <c r="AB406" i="64"/>
  <c r="AC406" i="64"/>
  <c r="AD406" i="64"/>
  <c r="AE406" i="64"/>
  <c r="AF406" i="64"/>
  <c r="AG406" i="64"/>
  <c r="AH406" i="64"/>
  <c r="AI406" i="64"/>
  <c r="AJ406" i="64"/>
  <c r="AK406" i="64"/>
  <c r="AL406" i="64"/>
  <c r="AM406" i="64"/>
  <c r="AN406" i="64"/>
  <c r="AO406" i="64"/>
  <c r="AP406" i="64"/>
  <c r="AQ406" i="64"/>
  <c r="AR406" i="64"/>
  <c r="AS406" i="64"/>
  <c r="AT406" i="64"/>
  <c r="AU406" i="64"/>
  <c r="AV406" i="64"/>
  <c r="AW406" i="64"/>
  <c r="AX406" i="64"/>
  <c r="AY406" i="64"/>
  <c r="AZ406" i="64"/>
  <c r="BA406" i="64"/>
  <c r="BB406" i="64"/>
  <c r="BC406" i="64"/>
  <c r="BD406" i="64"/>
  <c r="BE406" i="64"/>
  <c r="BF406" i="64"/>
  <c r="C407" i="64"/>
  <c r="D407" i="64"/>
  <c r="E407" i="64"/>
  <c r="F407" i="64"/>
  <c r="G407" i="64"/>
  <c r="H407" i="64"/>
  <c r="I407" i="64"/>
  <c r="J407" i="64"/>
  <c r="K407" i="64"/>
  <c r="L407" i="64"/>
  <c r="M407" i="64"/>
  <c r="N407" i="64"/>
  <c r="O407" i="64"/>
  <c r="P407" i="64"/>
  <c r="Q407" i="64"/>
  <c r="R407" i="64"/>
  <c r="S407" i="64"/>
  <c r="T407" i="64"/>
  <c r="U407" i="64"/>
  <c r="V407" i="64"/>
  <c r="W407" i="64"/>
  <c r="X407" i="64"/>
  <c r="Y407" i="64"/>
  <c r="Z407" i="64"/>
  <c r="AA407" i="64"/>
  <c r="AB407" i="64"/>
  <c r="AC407" i="64"/>
  <c r="AD407" i="64"/>
  <c r="AE407" i="64"/>
  <c r="AF407" i="64"/>
  <c r="AG407" i="64"/>
  <c r="AH407" i="64"/>
  <c r="AI407" i="64"/>
  <c r="AJ407" i="64"/>
  <c r="AK407" i="64"/>
  <c r="AL407" i="64"/>
  <c r="AM407" i="64"/>
  <c r="AN407" i="64"/>
  <c r="AO407" i="64"/>
  <c r="AP407" i="64"/>
  <c r="AQ407" i="64"/>
  <c r="AR407" i="64"/>
  <c r="AS407" i="64"/>
  <c r="AT407" i="64"/>
  <c r="AU407" i="64"/>
  <c r="AV407" i="64"/>
  <c r="AW407" i="64"/>
  <c r="AX407" i="64"/>
  <c r="AY407" i="64"/>
  <c r="AZ407" i="64"/>
  <c r="BA407" i="64"/>
  <c r="BB407" i="64"/>
  <c r="BC407" i="64"/>
  <c r="BD407" i="64"/>
  <c r="BE407" i="64"/>
  <c r="BF407" i="64"/>
  <c r="C408" i="64"/>
  <c r="D408" i="64"/>
  <c r="E408" i="64"/>
  <c r="F408" i="64"/>
  <c r="G408" i="64"/>
  <c r="H408" i="64"/>
  <c r="I408" i="64"/>
  <c r="J408" i="64"/>
  <c r="K408" i="64"/>
  <c r="L408" i="64"/>
  <c r="M408" i="64"/>
  <c r="N408" i="64"/>
  <c r="O408" i="64"/>
  <c r="P408" i="64"/>
  <c r="Q408" i="64"/>
  <c r="R408" i="64"/>
  <c r="S408" i="64"/>
  <c r="T408" i="64"/>
  <c r="U408" i="64"/>
  <c r="V408" i="64"/>
  <c r="W408" i="64"/>
  <c r="X408" i="64"/>
  <c r="Y408" i="64"/>
  <c r="Z408" i="64"/>
  <c r="AA408" i="64"/>
  <c r="AB408" i="64"/>
  <c r="AC408" i="64"/>
  <c r="AD408" i="64"/>
  <c r="AE408" i="64"/>
  <c r="AF408" i="64"/>
  <c r="AG408" i="64"/>
  <c r="AH408" i="64"/>
  <c r="AI408" i="64"/>
  <c r="AJ408" i="64"/>
  <c r="AK408" i="64"/>
  <c r="AL408" i="64"/>
  <c r="AM408" i="64"/>
  <c r="AN408" i="64"/>
  <c r="AO408" i="64"/>
  <c r="AP408" i="64"/>
  <c r="AQ408" i="64"/>
  <c r="AR408" i="64"/>
  <c r="AS408" i="64"/>
  <c r="AT408" i="64"/>
  <c r="AU408" i="64"/>
  <c r="AV408" i="64"/>
  <c r="AW408" i="64"/>
  <c r="AX408" i="64"/>
  <c r="AY408" i="64"/>
  <c r="AZ408" i="64"/>
  <c r="BA408" i="64"/>
  <c r="BB408" i="64"/>
  <c r="BC408" i="64"/>
  <c r="BD408" i="64"/>
  <c r="BE408" i="64"/>
  <c r="BF408" i="64"/>
  <c r="C409" i="64"/>
  <c r="D409" i="64"/>
  <c r="E409" i="64"/>
  <c r="F409" i="64"/>
  <c r="G409" i="64"/>
  <c r="H409" i="64"/>
  <c r="I409" i="64"/>
  <c r="J409" i="64"/>
  <c r="K409" i="64"/>
  <c r="L409" i="64"/>
  <c r="M409" i="64"/>
  <c r="N409" i="64"/>
  <c r="O409" i="64"/>
  <c r="P409" i="64"/>
  <c r="Q409" i="64"/>
  <c r="R409" i="64"/>
  <c r="S409" i="64"/>
  <c r="T409" i="64"/>
  <c r="U409" i="64"/>
  <c r="V409" i="64"/>
  <c r="W409" i="64"/>
  <c r="X409" i="64"/>
  <c r="Y409" i="64"/>
  <c r="Z409" i="64"/>
  <c r="AA409" i="64"/>
  <c r="AB409" i="64"/>
  <c r="AC409" i="64"/>
  <c r="AD409" i="64"/>
  <c r="AE409" i="64"/>
  <c r="AF409" i="64"/>
  <c r="AG409" i="64"/>
  <c r="AH409" i="64"/>
  <c r="AI409" i="64"/>
  <c r="AJ409" i="64"/>
  <c r="AK409" i="64"/>
  <c r="AL409" i="64"/>
  <c r="AM409" i="64"/>
  <c r="AN409" i="64"/>
  <c r="AO409" i="64"/>
  <c r="AP409" i="64"/>
  <c r="AQ409" i="64"/>
  <c r="AR409" i="64"/>
  <c r="AS409" i="64"/>
  <c r="AT409" i="64"/>
  <c r="AU409" i="64"/>
  <c r="AV409" i="64"/>
  <c r="AW409" i="64"/>
  <c r="AX409" i="64"/>
  <c r="AY409" i="64"/>
  <c r="AZ409" i="64"/>
  <c r="BA409" i="64"/>
  <c r="BB409" i="64"/>
  <c r="BC409" i="64"/>
  <c r="BD409" i="64"/>
  <c r="BE409" i="64"/>
  <c r="BF409" i="64"/>
  <c r="C410" i="64"/>
  <c r="D410" i="64"/>
  <c r="E410" i="64"/>
  <c r="F410" i="64"/>
  <c r="G410" i="64"/>
  <c r="H410" i="64"/>
  <c r="I410" i="64"/>
  <c r="J410" i="64"/>
  <c r="K410" i="64"/>
  <c r="L410" i="64"/>
  <c r="M410" i="64"/>
  <c r="N410" i="64"/>
  <c r="O410" i="64"/>
  <c r="P410" i="64"/>
  <c r="Q410" i="64"/>
  <c r="R410" i="64"/>
  <c r="S410" i="64"/>
  <c r="T410" i="64"/>
  <c r="U410" i="64"/>
  <c r="V410" i="64"/>
  <c r="W410" i="64"/>
  <c r="X410" i="64"/>
  <c r="Y410" i="64"/>
  <c r="Z410" i="64"/>
  <c r="AA410" i="64"/>
  <c r="AB410" i="64"/>
  <c r="AC410" i="64"/>
  <c r="AD410" i="64"/>
  <c r="AE410" i="64"/>
  <c r="AF410" i="64"/>
  <c r="AG410" i="64"/>
  <c r="AH410" i="64"/>
  <c r="AI410" i="64"/>
  <c r="AJ410" i="64"/>
  <c r="AK410" i="64"/>
  <c r="AL410" i="64"/>
  <c r="AM410" i="64"/>
  <c r="AN410" i="64"/>
  <c r="AO410" i="64"/>
  <c r="AP410" i="64"/>
  <c r="AQ410" i="64"/>
  <c r="AR410" i="64"/>
  <c r="AS410" i="64"/>
  <c r="AT410" i="64"/>
  <c r="AU410" i="64"/>
  <c r="AV410" i="64"/>
  <c r="AW410" i="64"/>
  <c r="AX410" i="64"/>
  <c r="AY410" i="64"/>
  <c r="AZ410" i="64"/>
  <c r="BA410" i="64"/>
  <c r="BB410" i="64"/>
  <c r="BC410" i="64"/>
  <c r="BD410" i="64"/>
  <c r="BE410" i="64"/>
  <c r="BF410" i="64"/>
  <c r="C411" i="64"/>
  <c r="D411" i="64"/>
  <c r="E411" i="64"/>
  <c r="F411" i="64"/>
  <c r="G411" i="64"/>
  <c r="H411" i="64"/>
  <c r="I411" i="64"/>
  <c r="J411" i="64"/>
  <c r="K411" i="64"/>
  <c r="L411" i="64"/>
  <c r="M411" i="64"/>
  <c r="N411" i="64"/>
  <c r="O411" i="64"/>
  <c r="P411" i="64"/>
  <c r="Q411" i="64"/>
  <c r="R411" i="64"/>
  <c r="S411" i="64"/>
  <c r="T411" i="64"/>
  <c r="U411" i="64"/>
  <c r="V411" i="64"/>
  <c r="W411" i="64"/>
  <c r="X411" i="64"/>
  <c r="Y411" i="64"/>
  <c r="Z411" i="64"/>
  <c r="AA411" i="64"/>
  <c r="AB411" i="64"/>
  <c r="AC411" i="64"/>
  <c r="AD411" i="64"/>
  <c r="AE411" i="64"/>
  <c r="AF411" i="64"/>
  <c r="AG411" i="64"/>
  <c r="AH411" i="64"/>
  <c r="AI411" i="64"/>
  <c r="AJ411" i="64"/>
  <c r="AK411" i="64"/>
  <c r="AL411" i="64"/>
  <c r="AM411" i="64"/>
  <c r="AN411" i="64"/>
  <c r="AO411" i="64"/>
  <c r="AP411" i="64"/>
  <c r="AQ411" i="64"/>
  <c r="AR411" i="64"/>
  <c r="AS411" i="64"/>
  <c r="AT411" i="64"/>
  <c r="AU411" i="64"/>
  <c r="AV411" i="64"/>
  <c r="AW411" i="64"/>
  <c r="AX411" i="64"/>
  <c r="AY411" i="64"/>
  <c r="AZ411" i="64"/>
  <c r="BA411" i="64"/>
  <c r="BB411" i="64"/>
  <c r="BC411" i="64"/>
  <c r="BD411" i="64"/>
  <c r="BE411" i="64"/>
  <c r="BF411" i="64"/>
  <c r="C412" i="64"/>
  <c r="D412" i="64"/>
  <c r="E412" i="64"/>
  <c r="F412" i="64"/>
  <c r="G412" i="64"/>
  <c r="H412" i="64"/>
  <c r="I412" i="64"/>
  <c r="J412" i="64"/>
  <c r="K412" i="64"/>
  <c r="L412" i="64"/>
  <c r="M412" i="64"/>
  <c r="N412" i="64"/>
  <c r="O412" i="64"/>
  <c r="P412" i="64"/>
  <c r="Q412" i="64"/>
  <c r="R412" i="64"/>
  <c r="S412" i="64"/>
  <c r="T412" i="64"/>
  <c r="U412" i="64"/>
  <c r="V412" i="64"/>
  <c r="W412" i="64"/>
  <c r="X412" i="64"/>
  <c r="Y412" i="64"/>
  <c r="Z412" i="64"/>
  <c r="AA412" i="64"/>
  <c r="AB412" i="64"/>
  <c r="AC412" i="64"/>
  <c r="AD412" i="64"/>
  <c r="AE412" i="64"/>
  <c r="AF412" i="64"/>
  <c r="AG412" i="64"/>
  <c r="AH412" i="64"/>
  <c r="AI412" i="64"/>
  <c r="AJ412" i="64"/>
  <c r="AK412" i="64"/>
  <c r="AL412" i="64"/>
  <c r="AM412" i="64"/>
  <c r="AN412" i="64"/>
  <c r="AO412" i="64"/>
  <c r="AP412" i="64"/>
  <c r="AQ412" i="64"/>
  <c r="AR412" i="64"/>
  <c r="AS412" i="64"/>
  <c r="AT412" i="64"/>
  <c r="AU412" i="64"/>
  <c r="AV412" i="64"/>
  <c r="AW412" i="64"/>
  <c r="AX412" i="64"/>
  <c r="AY412" i="64"/>
  <c r="AZ412" i="64"/>
  <c r="BA412" i="64"/>
  <c r="BB412" i="64"/>
  <c r="BC412" i="64"/>
  <c r="BD412" i="64"/>
  <c r="BE412" i="64"/>
  <c r="BF412" i="64"/>
  <c r="C413" i="64"/>
  <c r="D413" i="64"/>
  <c r="E413" i="64"/>
  <c r="F413" i="64"/>
  <c r="G413" i="64"/>
  <c r="H413" i="64"/>
  <c r="I413" i="64"/>
  <c r="J413" i="64"/>
  <c r="K413" i="64"/>
  <c r="L413" i="64"/>
  <c r="M413" i="64"/>
  <c r="N413" i="64"/>
  <c r="O413" i="64"/>
  <c r="P413" i="64"/>
  <c r="Q413" i="64"/>
  <c r="R413" i="64"/>
  <c r="S413" i="64"/>
  <c r="T413" i="64"/>
  <c r="U413" i="64"/>
  <c r="V413" i="64"/>
  <c r="W413" i="64"/>
  <c r="X413" i="64"/>
  <c r="Y413" i="64"/>
  <c r="Z413" i="64"/>
  <c r="AA413" i="64"/>
  <c r="AB413" i="64"/>
  <c r="AC413" i="64"/>
  <c r="AD413" i="64"/>
  <c r="AE413" i="64"/>
  <c r="AF413" i="64"/>
  <c r="AG413" i="64"/>
  <c r="AH413" i="64"/>
  <c r="AI413" i="64"/>
  <c r="AJ413" i="64"/>
  <c r="AK413" i="64"/>
  <c r="AL413" i="64"/>
  <c r="AM413" i="64"/>
  <c r="AN413" i="64"/>
  <c r="AO413" i="64"/>
  <c r="AP413" i="64"/>
  <c r="AQ413" i="64"/>
  <c r="AR413" i="64"/>
  <c r="AS413" i="64"/>
  <c r="AT413" i="64"/>
  <c r="AU413" i="64"/>
  <c r="AV413" i="64"/>
  <c r="AW413" i="64"/>
  <c r="AX413" i="64"/>
  <c r="AY413" i="64"/>
  <c r="AZ413" i="64"/>
  <c r="BA413" i="64"/>
  <c r="BB413" i="64"/>
  <c r="BC413" i="64"/>
  <c r="BD413" i="64"/>
  <c r="BE413" i="64"/>
  <c r="BF413" i="64"/>
  <c r="C414" i="64"/>
  <c r="D414" i="64"/>
  <c r="E414" i="64"/>
  <c r="F414" i="64"/>
  <c r="G414" i="64"/>
  <c r="H414" i="64"/>
  <c r="I414" i="64"/>
  <c r="J414" i="64"/>
  <c r="K414" i="64"/>
  <c r="L414" i="64"/>
  <c r="M414" i="64"/>
  <c r="N414" i="64"/>
  <c r="O414" i="64"/>
  <c r="P414" i="64"/>
  <c r="Q414" i="64"/>
  <c r="R414" i="64"/>
  <c r="S414" i="64"/>
  <c r="T414" i="64"/>
  <c r="U414" i="64"/>
  <c r="V414" i="64"/>
  <c r="W414" i="64"/>
  <c r="X414" i="64"/>
  <c r="Y414" i="64"/>
  <c r="Z414" i="64"/>
  <c r="AA414" i="64"/>
  <c r="AB414" i="64"/>
  <c r="AC414" i="64"/>
  <c r="AD414" i="64"/>
  <c r="AE414" i="64"/>
  <c r="AF414" i="64"/>
  <c r="AG414" i="64"/>
  <c r="AH414" i="64"/>
  <c r="AI414" i="64"/>
  <c r="AJ414" i="64"/>
  <c r="AK414" i="64"/>
  <c r="AL414" i="64"/>
  <c r="AM414" i="64"/>
  <c r="AN414" i="64"/>
  <c r="AO414" i="64"/>
  <c r="AP414" i="64"/>
  <c r="AQ414" i="64"/>
  <c r="AR414" i="64"/>
  <c r="AS414" i="64"/>
  <c r="AT414" i="64"/>
  <c r="AU414" i="64"/>
  <c r="AV414" i="64"/>
  <c r="AW414" i="64"/>
  <c r="AX414" i="64"/>
  <c r="AY414" i="64"/>
  <c r="AZ414" i="64"/>
  <c r="BA414" i="64"/>
  <c r="BB414" i="64"/>
  <c r="BC414" i="64"/>
  <c r="BD414" i="64"/>
  <c r="BE414" i="64"/>
  <c r="BF414" i="64"/>
  <c r="C415" i="64"/>
  <c r="D415" i="64"/>
  <c r="E415" i="64"/>
  <c r="F415" i="64"/>
  <c r="G415" i="64"/>
  <c r="H415" i="64"/>
  <c r="I415" i="64"/>
  <c r="J415" i="64"/>
  <c r="K415" i="64"/>
  <c r="L415" i="64"/>
  <c r="M415" i="64"/>
  <c r="N415" i="64"/>
  <c r="O415" i="64"/>
  <c r="P415" i="64"/>
  <c r="Q415" i="64"/>
  <c r="R415" i="64"/>
  <c r="S415" i="64"/>
  <c r="T415" i="64"/>
  <c r="U415" i="64"/>
  <c r="V415" i="64"/>
  <c r="W415" i="64"/>
  <c r="X415" i="64"/>
  <c r="Y415" i="64"/>
  <c r="Z415" i="64"/>
  <c r="AA415" i="64"/>
  <c r="AB415" i="64"/>
  <c r="AC415" i="64"/>
  <c r="AD415" i="64"/>
  <c r="AE415" i="64"/>
  <c r="AF415" i="64"/>
  <c r="AG415" i="64"/>
  <c r="AH415" i="64"/>
  <c r="AI415" i="64"/>
  <c r="AJ415" i="64"/>
  <c r="AK415" i="64"/>
  <c r="AL415" i="64"/>
  <c r="AM415" i="64"/>
  <c r="AN415" i="64"/>
  <c r="AO415" i="64"/>
  <c r="AP415" i="64"/>
  <c r="AQ415" i="64"/>
  <c r="AR415" i="64"/>
  <c r="AS415" i="64"/>
  <c r="AT415" i="64"/>
  <c r="AU415" i="64"/>
  <c r="AV415" i="64"/>
  <c r="AW415" i="64"/>
  <c r="AX415" i="64"/>
  <c r="AY415" i="64"/>
  <c r="AZ415" i="64"/>
  <c r="BA415" i="64"/>
  <c r="BB415" i="64"/>
  <c r="BC415" i="64"/>
  <c r="BD415" i="64"/>
  <c r="BE415" i="64"/>
  <c r="BF415" i="64"/>
  <c r="C416" i="64"/>
  <c r="D416" i="64"/>
  <c r="E416" i="64"/>
  <c r="F416" i="64"/>
  <c r="G416" i="64"/>
  <c r="H416" i="64"/>
  <c r="I416" i="64"/>
  <c r="J416" i="64"/>
  <c r="K416" i="64"/>
  <c r="L416" i="64"/>
  <c r="M416" i="64"/>
  <c r="N416" i="64"/>
  <c r="O416" i="64"/>
  <c r="P416" i="64"/>
  <c r="Q416" i="64"/>
  <c r="R416" i="64"/>
  <c r="S416" i="64"/>
  <c r="T416" i="64"/>
  <c r="U416" i="64"/>
  <c r="V416" i="64"/>
  <c r="W416" i="64"/>
  <c r="X416" i="64"/>
  <c r="Y416" i="64"/>
  <c r="Z416" i="64"/>
  <c r="AA416" i="64"/>
  <c r="AB416" i="64"/>
  <c r="AC416" i="64"/>
  <c r="AD416" i="64"/>
  <c r="AE416" i="64"/>
  <c r="AF416" i="64"/>
  <c r="AG416" i="64"/>
  <c r="AH416" i="64"/>
  <c r="AI416" i="64"/>
  <c r="AJ416" i="64"/>
  <c r="AK416" i="64"/>
  <c r="AL416" i="64"/>
  <c r="AM416" i="64"/>
  <c r="AN416" i="64"/>
  <c r="AO416" i="64"/>
  <c r="AP416" i="64"/>
  <c r="AQ416" i="64"/>
  <c r="AR416" i="64"/>
  <c r="AS416" i="64"/>
  <c r="AT416" i="64"/>
  <c r="AU416" i="64"/>
  <c r="AV416" i="64"/>
  <c r="AW416" i="64"/>
  <c r="AX416" i="64"/>
  <c r="AY416" i="64"/>
  <c r="AZ416" i="64"/>
  <c r="BA416" i="64"/>
  <c r="BB416" i="64"/>
  <c r="BC416" i="64"/>
  <c r="BD416" i="64"/>
  <c r="BE416" i="64"/>
  <c r="BF416" i="64"/>
  <c r="C417" i="64"/>
  <c r="D417" i="64"/>
  <c r="E417" i="64"/>
  <c r="F417" i="64"/>
  <c r="G417" i="64"/>
  <c r="H417" i="64"/>
  <c r="I417" i="64"/>
  <c r="J417" i="64"/>
  <c r="K417" i="64"/>
  <c r="L417" i="64"/>
  <c r="M417" i="64"/>
  <c r="N417" i="64"/>
  <c r="O417" i="64"/>
  <c r="P417" i="64"/>
  <c r="Q417" i="64"/>
  <c r="R417" i="64"/>
  <c r="S417" i="64"/>
  <c r="T417" i="64"/>
  <c r="U417" i="64"/>
  <c r="V417" i="64"/>
  <c r="W417" i="64"/>
  <c r="X417" i="64"/>
  <c r="Y417" i="64"/>
  <c r="Z417" i="64"/>
  <c r="AA417" i="64"/>
  <c r="AB417" i="64"/>
  <c r="AC417" i="64"/>
  <c r="AD417" i="64"/>
  <c r="AE417" i="64"/>
  <c r="AF417" i="64"/>
  <c r="AG417" i="64"/>
  <c r="AH417" i="64"/>
  <c r="AI417" i="64"/>
  <c r="AJ417" i="64"/>
  <c r="AK417" i="64"/>
  <c r="AL417" i="64"/>
  <c r="AM417" i="64"/>
  <c r="AN417" i="64"/>
  <c r="AO417" i="64"/>
  <c r="AP417" i="64"/>
  <c r="AQ417" i="64"/>
  <c r="AR417" i="64"/>
  <c r="AS417" i="64"/>
  <c r="AT417" i="64"/>
  <c r="AU417" i="64"/>
  <c r="AV417" i="64"/>
  <c r="AW417" i="64"/>
  <c r="AX417" i="64"/>
  <c r="AY417" i="64"/>
  <c r="AZ417" i="64"/>
  <c r="BA417" i="64"/>
  <c r="BB417" i="64"/>
  <c r="BC417" i="64"/>
  <c r="BD417" i="64"/>
  <c r="BE417" i="64"/>
  <c r="BF417" i="64"/>
  <c r="C418" i="64"/>
  <c r="D418" i="64"/>
  <c r="E418" i="64"/>
  <c r="F418" i="64"/>
  <c r="G418" i="64"/>
  <c r="H418" i="64"/>
  <c r="I418" i="64"/>
  <c r="J418" i="64"/>
  <c r="K418" i="64"/>
  <c r="L418" i="64"/>
  <c r="M418" i="64"/>
  <c r="N418" i="64"/>
  <c r="O418" i="64"/>
  <c r="P418" i="64"/>
  <c r="Q418" i="64"/>
  <c r="R418" i="64"/>
  <c r="S418" i="64"/>
  <c r="T418" i="64"/>
  <c r="U418" i="64"/>
  <c r="V418" i="64"/>
  <c r="W418" i="64"/>
  <c r="X418" i="64"/>
  <c r="Y418" i="64"/>
  <c r="Z418" i="64"/>
  <c r="AA418" i="64"/>
  <c r="AB418" i="64"/>
  <c r="AC418" i="64"/>
  <c r="AD418" i="64"/>
  <c r="AE418" i="64"/>
  <c r="AF418" i="64"/>
  <c r="AG418" i="64"/>
  <c r="AH418" i="64"/>
  <c r="AI418" i="64"/>
  <c r="AJ418" i="64"/>
  <c r="AK418" i="64"/>
  <c r="AL418" i="64"/>
  <c r="AM418" i="64"/>
  <c r="AN418" i="64"/>
  <c r="AO418" i="64"/>
  <c r="AP418" i="64"/>
  <c r="AQ418" i="64"/>
  <c r="AR418" i="64"/>
  <c r="AS418" i="64"/>
  <c r="AT418" i="64"/>
  <c r="AU418" i="64"/>
  <c r="AV418" i="64"/>
  <c r="AW418" i="64"/>
  <c r="AX418" i="64"/>
  <c r="AY418" i="64"/>
  <c r="AZ418" i="64"/>
  <c r="BA418" i="64"/>
  <c r="BB418" i="64"/>
  <c r="BC418" i="64"/>
  <c r="BD418" i="64"/>
  <c r="BE418" i="64"/>
  <c r="BF418" i="64"/>
  <c r="C419" i="64"/>
  <c r="D419" i="64"/>
  <c r="E419" i="64"/>
  <c r="F419" i="64"/>
  <c r="G419" i="64"/>
  <c r="H419" i="64"/>
  <c r="I419" i="64"/>
  <c r="J419" i="64"/>
  <c r="K419" i="64"/>
  <c r="L419" i="64"/>
  <c r="M419" i="64"/>
  <c r="N419" i="64"/>
  <c r="O419" i="64"/>
  <c r="P419" i="64"/>
  <c r="Q419" i="64"/>
  <c r="R419" i="64"/>
  <c r="S419" i="64"/>
  <c r="T419" i="64"/>
  <c r="U419" i="64"/>
  <c r="V419" i="64"/>
  <c r="W419" i="64"/>
  <c r="X419" i="64"/>
  <c r="Y419" i="64"/>
  <c r="Z419" i="64"/>
  <c r="AA419" i="64"/>
  <c r="AB419" i="64"/>
  <c r="AC419" i="64"/>
  <c r="AD419" i="64"/>
  <c r="AE419" i="64"/>
  <c r="AF419" i="64"/>
  <c r="AG419" i="64"/>
  <c r="AH419" i="64"/>
  <c r="AI419" i="64"/>
  <c r="AJ419" i="64"/>
  <c r="AK419" i="64"/>
  <c r="AL419" i="64"/>
  <c r="AM419" i="64"/>
  <c r="AN419" i="64"/>
  <c r="AO419" i="64"/>
  <c r="AP419" i="64"/>
  <c r="AQ419" i="64"/>
  <c r="AR419" i="64"/>
  <c r="AS419" i="64"/>
  <c r="AT419" i="64"/>
  <c r="AU419" i="64"/>
  <c r="AV419" i="64"/>
  <c r="AW419" i="64"/>
  <c r="AX419" i="64"/>
  <c r="AY419" i="64"/>
  <c r="AZ419" i="64"/>
  <c r="BA419" i="64"/>
  <c r="BB419" i="64"/>
  <c r="BC419" i="64"/>
  <c r="BD419" i="64"/>
  <c r="BE419" i="64"/>
  <c r="BF419" i="64"/>
  <c r="C420" i="64"/>
  <c r="D420" i="64"/>
  <c r="E420" i="64"/>
  <c r="F420" i="64"/>
  <c r="G420" i="64"/>
  <c r="H420" i="64"/>
  <c r="I420" i="64"/>
  <c r="J420" i="64"/>
  <c r="K420" i="64"/>
  <c r="L420" i="64"/>
  <c r="M420" i="64"/>
  <c r="N420" i="64"/>
  <c r="O420" i="64"/>
  <c r="P420" i="64"/>
  <c r="Q420" i="64"/>
  <c r="R420" i="64"/>
  <c r="S420" i="64"/>
  <c r="T420" i="64"/>
  <c r="U420" i="64"/>
  <c r="V420" i="64"/>
  <c r="W420" i="64"/>
  <c r="X420" i="64"/>
  <c r="Y420" i="64"/>
  <c r="Z420" i="64"/>
  <c r="AA420" i="64"/>
  <c r="AB420" i="64"/>
  <c r="AC420" i="64"/>
  <c r="AD420" i="64"/>
  <c r="AE420" i="64"/>
  <c r="AF420" i="64"/>
  <c r="AG420" i="64"/>
  <c r="AH420" i="64"/>
  <c r="AI420" i="64"/>
  <c r="AJ420" i="64"/>
  <c r="AK420" i="64"/>
  <c r="AL420" i="64"/>
  <c r="AM420" i="64"/>
  <c r="AN420" i="64"/>
  <c r="AO420" i="64"/>
  <c r="AP420" i="64"/>
  <c r="AQ420" i="64"/>
  <c r="AR420" i="64"/>
  <c r="AS420" i="64"/>
  <c r="AT420" i="64"/>
  <c r="AU420" i="64"/>
  <c r="AV420" i="64"/>
  <c r="AW420" i="64"/>
  <c r="AX420" i="64"/>
  <c r="AY420" i="64"/>
  <c r="AZ420" i="64"/>
  <c r="BA420" i="64"/>
  <c r="BB420" i="64"/>
  <c r="BC420" i="64"/>
  <c r="BD420" i="64"/>
  <c r="BE420" i="64"/>
  <c r="BF420" i="64"/>
  <c r="C421" i="64"/>
  <c r="D421" i="64"/>
  <c r="E421" i="64"/>
  <c r="F421" i="64"/>
  <c r="G421" i="64"/>
  <c r="H421" i="64"/>
  <c r="I421" i="64"/>
  <c r="J421" i="64"/>
  <c r="K421" i="64"/>
  <c r="L421" i="64"/>
  <c r="M421" i="64"/>
  <c r="N421" i="64"/>
  <c r="O421" i="64"/>
  <c r="P421" i="64"/>
  <c r="Q421" i="64"/>
  <c r="R421" i="64"/>
  <c r="S421" i="64"/>
  <c r="T421" i="64"/>
  <c r="U421" i="64"/>
  <c r="V421" i="64"/>
  <c r="W421" i="64"/>
  <c r="X421" i="64"/>
  <c r="Y421" i="64"/>
  <c r="Z421" i="64"/>
  <c r="AA421" i="64"/>
  <c r="AB421" i="64"/>
  <c r="AC421" i="64"/>
  <c r="AD421" i="64"/>
  <c r="AE421" i="64"/>
  <c r="AF421" i="64"/>
  <c r="AG421" i="64"/>
  <c r="AH421" i="64"/>
  <c r="AI421" i="64"/>
  <c r="AJ421" i="64"/>
  <c r="AK421" i="64"/>
  <c r="AL421" i="64"/>
  <c r="AM421" i="64"/>
  <c r="AN421" i="64"/>
  <c r="AO421" i="64"/>
  <c r="AP421" i="64"/>
  <c r="AQ421" i="64"/>
  <c r="AR421" i="64"/>
  <c r="AS421" i="64"/>
  <c r="AT421" i="64"/>
  <c r="AU421" i="64"/>
  <c r="AV421" i="64"/>
  <c r="AW421" i="64"/>
  <c r="AX421" i="64"/>
  <c r="AY421" i="64"/>
  <c r="AZ421" i="64"/>
  <c r="BA421" i="64"/>
  <c r="BB421" i="64"/>
  <c r="BC421" i="64"/>
  <c r="BD421" i="64"/>
  <c r="BE421" i="64"/>
  <c r="BF421" i="64"/>
  <c r="C422" i="64"/>
  <c r="D422" i="64"/>
  <c r="E422" i="64"/>
  <c r="F422" i="64"/>
  <c r="G422" i="64"/>
  <c r="H422" i="64"/>
  <c r="I422" i="64"/>
  <c r="J422" i="64"/>
  <c r="K422" i="64"/>
  <c r="L422" i="64"/>
  <c r="M422" i="64"/>
  <c r="N422" i="64"/>
  <c r="O422" i="64"/>
  <c r="P422" i="64"/>
  <c r="Q422" i="64"/>
  <c r="R422" i="64"/>
  <c r="S422" i="64"/>
  <c r="T422" i="64"/>
  <c r="U422" i="64"/>
  <c r="V422" i="64"/>
  <c r="W422" i="64"/>
  <c r="X422" i="64"/>
  <c r="Y422" i="64"/>
  <c r="Z422" i="64"/>
  <c r="AA422" i="64"/>
  <c r="AB422" i="64"/>
  <c r="AC422" i="64"/>
  <c r="AD422" i="64"/>
  <c r="AE422" i="64"/>
  <c r="AF422" i="64"/>
  <c r="AG422" i="64"/>
  <c r="AH422" i="64"/>
  <c r="AI422" i="64"/>
  <c r="AJ422" i="64"/>
  <c r="AK422" i="64"/>
  <c r="AL422" i="64"/>
  <c r="AM422" i="64"/>
  <c r="AN422" i="64"/>
  <c r="AO422" i="64"/>
  <c r="AP422" i="64"/>
  <c r="AQ422" i="64"/>
  <c r="AR422" i="64"/>
  <c r="AS422" i="64"/>
  <c r="AT422" i="64"/>
  <c r="AU422" i="64"/>
  <c r="AV422" i="64"/>
  <c r="AW422" i="64"/>
  <c r="AX422" i="64"/>
  <c r="AY422" i="64"/>
  <c r="AZ422" i="64"/>
  <c r="BA422" i="64"/>
  <c r="BB422" i="64"/>
  <c r="BC422" i="64"/>
  <c r="BD422" i="64"/>
  <c r="BE422" i="64"/>
  <c r="BF422" i="64"/>
  <c r="C423" i="64"/>
  <c r="D423" i="64"/>
  <c r="E423" i="64"/>
  <c r="F423" i="64"/>
  <c r="G423" i="64"/>
  <c r="H423" i="64"/>
  <c r="I423" i="64"/>
  <c r="J423" i="64"/>
  <c r="K423" i="64"/>
  <c r="L423" i="64"/>
  <c r="M423" i="64"/>
  <c r="N423" i="64"/>
  <c r="O423" i="64"/>
  <c r="P423" i="64"/>
  <c r="Q423" i="64"/>
  <c r="R423" i="64"/>
  <c r="S423" i="64"/>
  <c r="T423" i="64"/>
  <c r="U423" i="64"/>
  <c r="V423" i="64"/>
  <c r="W423" i="64"/>
  <c r="X423" i="64"/>
  <c r="Y423" i="64"/>
  <c r="Z423" i="64"/>
  <c r="AA423" i="64"/>
  <c r="AB423" i="64"/>
  <c r="AC423" i="64"/>
  <c r="AD423" i="64"/>
  <c r="AE423" i="64"/>
  <c r="AF423" i="64"/>
  <c r="AG423" i="64"/>
  <c r="AH423" i="64"/>
  <c r="AI423" i="64"/>
  <c r="AJ423" i="64"/>
  <c r="AK423" i="64"/>
  <c r="AL423" i="64"/>
  <c r="AM423" i="64"/>
  <c r="AN423" i="64"/>
  <c r="AO423" i="64"/>
  <c r="AP423" i="64"/>
  <c r="AQ423" i="64"/>
  <c r="AR423" i="64"/>
  <c r="AS423" i="64"/>
  <c r="AT423" i="64"/>
  <c r="AU423" i="64"/>
  <c r="AV423" i="64"/>
  <c r="AW423" i="64"/>
  <c r="AX423" i="64"/>
  <c r="AY423" i="64"/>
  <c r="AZ423" i="64"/>
  <c r="BA423" i="64"/>
  <c r="BB423" i="64"/>
  <c r="BC423" i="64"/>
  <c r="BD423" i="64"/>
  <c r="BE423" i="64"/>
  <c r="BF423" i="64"/>
  <c r="C425" i="64"/>
  <c r="D425" i="64"/>
  <c r="E425" i="64"/>
  <c r="F425" i="64"/>
  <c r="G425" i="64"/>
  <c r="H425" i="64"/>
  <c r="I425" i="64"/>
  <c r="J425" i="64"/>
  <c r="K425" i="64"/>
  <c r="L425" i="64"/>
  <c r="M425" i="64"/>
  <c r="N425" i="64"/>
  <c r="O425" i="64"/>
  <c r="P425" i="64"/>
  <c r="Q425" i="64"/>
  <c r="R425" i="64"/>
  <c r="S425" i="64"/>
  <c r="T425" i="64"/>
  <c r="U425" i="64"/>
  <c r="V425" i="64"/>
  <c r="W425" i="64"/>
  <c r="X425" i="64"/>
  <c r="Y425" i="64"/>
  <c r="Z425" i="64"/>
  <c r="AA425" i="64"/>
  <c r="AB425" i="64"/>
  <c r="AC425" i="64"/>
  <c r="AD425" i="64"/>
  <c r="AE425" i="64"/>
  <c r="AF425" i="64"/>
  <c r="AG425" i="64"/>
  <c r="AH425" i="64"/>
  <c r="AI425" i="64"/>
  <c r="AJ425" i="64"/>
  <c r="AK425" i="64"/>
  <c r="AL425" i="64"/>
  <c r="AM425" i="64"/>
  <c r="AN425" i="64"/>
  <c r="AO425" i="64"/>
  <c r="AP425" i="64"/>
  <c r="AQ425" i="64"/>
  <c r="AR425" i="64"/>
  <c r="AS425" i="64"/>
  <c r="AT425" i="64"/>
  <c r="AU425" i="64"/>
  <c r="AV425" i="64"/>
  <c r="AW425" i="64"/>
  <c r="AX425" i="64"/>
  <c r="AY425" i="64"/>
  <c r="AZ425" i="64"/>
  <c r="BA425" i="64"/>
  <c r="BB425" i="64"/>
  <c r="BC425" i="64"/>
  <c r="BD425" i="64"/>
  <c r="BE425" i="64"/>
  <c r="BF425" i="64"/>
  <c r="C428" i="64"/>
  <c r="D428" i="64"/>
  <c r="E428" i="64"/>
  <c r="F428" i="64"/>
  <c r="G428" i="64"/>
  <c r="H428" i="64"/>
  <c r="I428" i="64"/>
  <c r="J428" i="64"/>
  <c r="K428" i="64"/>
  <c r="L428" i="64"/>
  <c r="M428" i="64"/>
  <c r="N428" i="64"/>
  <c r="O428" i="64"/>
  <c r="P428" i="64"/>
  <c r="Q428" i="64"/>
  <c r="R428" i="64"/>
  <c r="S428" i="64"/>
  <c r="T428" i="64"/>
  <c r="U428" i="64"/>
  <c r="V428" i="64"/>
  <c r="W428" i="64"/>
  <c r="X428" i="64"/>
  <c r="Y428" i="64"/>
  <c r="Z428" i="64"/>
  <c r="AA428" i="64"/>
  <c r="AB428" i="64"/>
  <c r="AC428" i="64"/>
  <c r="AD428" i="64"/>
  <c r="AE428" i="64"/>
  <c r="AF428" i="64"/>
  <c r="AG428" i="64"/>
  <c r="AH428" i="64"/>
  <c r="AI428" i="64"/>
  <c r="AJ428" i="64"/>
  <c r="AK428" i="64"/>
  <c r="AL428" i="64"/>
  <c r="AM428" i="64"/>
  <c r="AN428" i="64"/>
  <c r="AO428" i="64"/>
  <c r="AP428" i="64"/>
  <c r="AQ428" i="64"/>
  <c r="AR428" i="64"/>
  <c r="AS428" i="64"/>
  <c r="AT428" i="64"/>
  <c r="AU428" i="64"/>
  <c r="AV428" i="64"/>
  <c r="AW428" i="64"/>
  <c r="AX428" i="64"/>
  <c r="AY428" i="64"/>
  <c r="AZ428" i="64"/>
  <c r="BA428" i="64"/>
  <c r="BB428" i="64"/>
  <c r="BC428" i="64"/>
  <c r="BD428" i="64"/>
  <c r="BE428" i="64"/>
  <c r="BF428" i="64"/>
  <c r="C429" i="64"/>
  <c r="D429" i="64"/>
  <c r="E429" i="64"/>
  <c r="F429" i="64"/>
  <c r="G429" i="64"/>
  <c r="H429" i="64"/>
  <c r="I429" i="64"/>
  <c r="J429" i="64"/>
  <c r="K429" i="64"/>
  <c r="L429" i="64"/>
  <c r="M429" i="64"/>
  <c r="N429" i="64"/>
  <c r="O429" i="64"/>
  <c r="P429" i="64"/>
  <c r="Q429" i="64"/>
  <c r="R429" i="64"/>
  <c r="S429" i="64"/>
  <c r="T429" i="64"/>
  <c r="U429" i="64"/>
  <c r="V429" i="64"/>
  <c r="W429" i="64"/>
  <c r="X429" i="64"/>
  <c r="Y429" i="64"/>
  <c r="Z429" i="64"/>
  <c r="AA429" i="64"/>
  <c r="AB429" i="64"/>
  <c r="AC429" i="64"/>
  <c r="AD429" i="64"/>
  <c r="AE429" i="64"/>
  <c r="AF429" i="64"/>
  <c r="AG429" i="64"/>
  <c r="AH429" i="64"/>
  <c r="AI429" i="64"/>
  <c r="AJ429" i="64"/>
  <c r="AK429" i="64"/>
  <c r="AL429" i="64"/>
  <c r="AM429" i="64"/>
  <c r="AN429" i="64"/>
  <c r="AO429" i="64"/>
  <c r="AP429" i="64"/>
  <c r="AQ429" i="64"/>
  <c r="AR429" i="64"/>
  <c r="AS429" i="64"/>
  <c r="AT429" i="64"/>
  <c r="AU429" i="64"/>
  <c r="AV429" i="64"/>
  <c r="AW429" i="64"/>
  <c r="AX429" i="64"/>
  <c r="AY429" i="64"/>
  <c r="AZ429" i="64"/>
  <c r="BA429" i="64"/>
  <c r="BB429" i="64"/>
  <c r="BC429" i="64"/>
  <c r="BD429" i="64"/>
  <c r="BE429" i="64"/>
  <c r="BF429" i="64"/>
  <c r="C430" i="64"/>
  <c r="D430" i="64"/>
  <c r="E430" i="64"/>
  <c r="F430" i="64"/>
  <c r="G430" i="64"/>
  <c r="H430" i="64"/>
  <c r="I430" i="64"/>
  <c r="J430" i="64"/>
  <c r="K430" i="64"/>
  <c r="L430" i="64"/>
  <c r="M430" i="64"/>
  <c r="N430" i="64"/>
  <c r="O430" i="64"/>
  <c r="P430" i="64"/>
  <c r="Q430" i="64"/>
  <c r="R430" i="64"/>
  <c r="S430" i="64"/>
  <c r="T430" i="64"/>
  <c r="U430" i="64"/>
  <c r="V430" i="64"/>
  <c r="W430" i="64"/>
  <c r="X430" i="64"/>
  <c r="Y430" i="64"/>
  <c r="Z430" i="64"/>
  <c r="AA430" i="64"/>
  <c r="AB430" i="64"/>
  <c r="AC430" i="64"/>
  <c r="AD430" i="64"/>
  <c r="AE430" i="64"/>
  <c r="AF430" i="64"/>
  <c r="AG430" i="64"/>
  <c r="AH430" i="64"/>
  <c r="AI430" i="64"/>
  <c r="AJ430" i="64"/>
  <c r="AK430" i="64"/>
  <c r="AL430" i="64"/>
  <c r="AM430" i="64"/>
  <c r="AN430" i="64"/>
  <c r="AO430" i="64"/>
  <c r="AP430" i="64"/>
  <c r="AQ430" i="64"/>
  <c r="AR430" i="64"/>
  <c r="AS430" i="64"/>
  <c r="AT430" i="64"/>
  <c r="AU430" i="64"/>
  <c r="AV430" i="64"/>
  <c r="AW430" i="64"/>
  <c r="AX430" i="64"/>
  <c r="AY430" i="64"/>
  <c r="AZ430" i="64"/>
  <c r="BA430" i="64"/>
  <c r="BB430" i="64"/>
  <c r="BC430" i="64"/>
  <c r="BD430" i="64"/>
  <c r="BE430" i="64"/>
  <c r="BF430" i="64"/>
  <c r="C431" i="64"/>
  <c r="D431" i="64"/>
  <c r="E431" i="64"/>
  <c r="F431" i="64"/>
  <c r="G431" i="64"/>
  <c r="H431" i="64"/>
  <c r="I431" i="64"/>
  <c r="J431" i="64"/>
  <c r="K431" i="64"/>
  <c r="L431" i="64"/>
  <c r="M431" i="64"/>
  <c r="N431" i="64"/>
  <c r="O431" i="64"/>
  <c r="P431" i="64"/>
  <c r="Q431" i="64"/>
  <c r="R431" i="64"/>
  <c r="S431" i="64"/>
  <c r="T431" i="64"/>
  <c r="U431" i="64"/>
  <c r="V431" i="64"/>
  <c r="W431" i="64"/>
  <c r="X431" i="64"/>
  <c r="Y431" i="64"/>
  <c r="Z431" i="64"/>
  <c r="AA431" i="64"/>
  <c r="AB431" i="64"/>
  <c r="AC431" i="64"/>
  <c r="AD431" i="64"/>
  <c r="AE431" i="64"/>
  <c r="AF431" i="64"/>
  <c r="AG431" i="64"/>
  <c r="AH431" i="64"/>
  <c r="AI431" i="64"/>
  <c r="AJ431" i="64"/>
  <c r="AK431" i="64"/>
  <c r="AL431" i="64"/>
  <c r="AM431" i="64"/>
  <c r="AN431" i="64"/>
  <c r="AO431" i="64"/>
  <c r="AP431" i="64"/>
  <c r="AQ431" i="64"/>
  <c r="AR431" i="64"/>
  <c r="AS431" i="64"/>
  <c r="AT431" i="64"/>
  <c r="AU431" i="64"/>
  <c r="AV431" i="64"/>
  <c r="AW431" i="64"/>
  <c r="AX431" i="64"/>
  <c r="AY431" i="64"/>
  <c r="AZ431" i="64"/>
  <c r="BA431" i="64"/>
  <c r="BB431" i="64"/>
  <c r="BC431" i="64"/>
  <c r="BD431" i="64"/>
  <c r="BE431" i="64"/>
  <c r="BF431" i="64"/>
  <c r="C432" i="64"/>
  <c r="D432" i="64"/>
  <c r="E432" i="64"/>
  <c r="F432" i="64"/>
  <c r="G432" i="64"/>
  <c r="H432" i="64"/>
  <c r="I432" i="64"/>
  <c r="J432" i="64"/>
  <c r="K432" i="64"/>
  <c r="L432" i="64"/>
  <c r="M432" i="64"/>
  <c r="N432" i="64"/>
  <c r="O432" i="64"/>
  <c r="P432" i="64"/>
  <c r="Q432" i="64"/>
  <c r="R432" i="64"/>
  <c r="S432" i="64"/>
  <c r="T432" i="64"/>
  <c r="U432" i="64"/>
  <c r="V432" i="64"/>
  <c r="W432" i="64"/>
  <c r="X432" i="64"/>
  <c r="Y432" i="64"/>
  <c r="Z432" i="64"/>
  <c r="AA432" i="64"/>
  <c r="AB432" i="64"/>
  <c r="AC432" i="64"/>
  <c r="AD432" i="64"/>
  <c r="AE432" i="64"/>
  <c r="AF432" i="64"/>
  <c r="AG432" i="64"/>
  <c r="AH432" i="64"/>
  <c r="AI432" i="64"/>
  <c r="AJ432" i="64"/>
  <c r="AK432" i="64"/>
  <c r="AL432" i="64"/>
  <c r="AM432" i="64"/>
  <c r="AN432" i="64"/>
  <c r="AO432" i="64"/>
  <c r="AP432" i="64"/>
  <c r="AQ432" i="64"/>
  <c r="AR432" i="64"/>
  <c r="AS432" i="64"/>
  <c r="AT432" i="64"/>
  <c r="AU432" i="64"/>
  <c r="AV432" i="64"/>
  <c r="AW432" i="64"/>
  <c r="AX432" i="64"/>
  <c r="AY432" i="64"/>
  <c r="AZ432" i="64"/>
  <c r="BA432" i="64"/>
  <c r="BB432" i="64"/>
  <c r="BC432" i="64"/>
  <c r="BD432" i="64"/>
  <c r="BE432" i="64"/>
  <c r="BF432" i="64"/>
  <c r="C433" i="64"/>
  <c r="D433" i="64"/>
  <c r="E433" i="64"/>
  <c r="F433" i="64"/>
  <c r="G433" i="64"/>
  <c r="H433" i="64"/>
  <c r="I433" i="64"/>
  <c r="J433" i="64"/>
  <c r="K433" i="64"/>
  <c r="L433" i="64"/>
  <c r="M433" i="64"/>
  <c r="N433" i="64"/>
  <c r="O433" i="64"/>
  <c r="P433" i="64"/>
  <c r="Q433" i="64"/>
  <c r="R433" i="64"/>
  <c r="S433" i="64"/>
  <c r="T433" i="64"/>
  <c r="U433" i="64"/>
  <c r="V433" i="64"/>
  <c r="W433" i="64"/>
  <c r="X433" i="64"/>
  <c r="Y433" i="64"/>
  <c r="Z433" i="64"/>
  <c r="AA433" i="64"/>
  <c r="AB433" i="64"/>
  <c r="AC433" i="64"/>
  <c r="AD433" i="64"/>
  <c r="AE433" i="64"/>
  <c r="AF433" i="64"/>
  <c r="AG433" i="64"/>
  <c r="AH433" i="64"/>
  <c r="AI433" i="64"/>
  <c r="AJ433" i="64"/>
  <c r="AK433" i="64"/>
  <c r="AL433" i="64"/>
  <c r="AM433" i="64"/>
  <c r="AN433" i="64"/>
  <c r="AO433" i="64"/>
  <c r="AP433" i="64"/>
  <c r="AQ433" i="64"/>
  <c r="AR433" i="64"/>
  <c r="AS433" i="64"/>
  <c r="AT433" i="64"/>
  <c r="AU433" i="64"/>
  <c r="AV433" i="64"/>
  <c r="AW433" i="64"/>
  <c r="AX433" i="64"/>
  <c r="AY433" i="64"/>
  <c r="AZ433" i="64"/>
  <c r="BA433" i="64"/>
  <c r="BB433" i="64"/>
  <c r="BC433" i="64"/>
  <c r="BD433" i="64"/>
  <c r="BE433" i="64"/>
  <c r="BF433" i="64"/>
  <c r="C434" i="64"/>
  <c r="D434" i="64"/>
  <c r="E434" i="64"/>
  <c r="F434" i="64"/>
  <c r="G434" i="64"/>
  <c r="H434" i="64"/>
  <c r="I434" i="64"/>
  <c r="J434" i="64"/>
  <c r="K434" i="64"/>
  <c r="L434" i="64"/>
  <c r="M434" i="64"/>
  <c r="N434" i="64"/>
  <c r="O434" i="64"/>
  <c r="P434" i="64"/>
  <c r="Q434" i="64"/>
  <c r="R434" i="64"/>
  <c r="S434" i="64"/>
  <c r="T434" i="64"/>
  <c r="U434" i="64"/>
  <c r="V434" i="64"/>
  <c r="W434" i="64"/>
  <c r="X434" i="64"/>
  <c r="Y434" i="64"/>
  <c r="Z434" i="64"/>
  <c r="AA434" i="64"/>
  <c r="AB434" i="64"/>
  <c r="AC434" i="64"/>
  <c r="AD434" i="64"/>
  <c r="AE434" i="64"/>
  <c r="AF434" i="64"/>
  <c r="AG434" i="64"/>
  <c r="AH434" i="64"/>
  <c r="AI434" i="64"/>
  <c r="AJ434" i="64"/>
  <c r="AK434" i="64"/>
  <c r="AL434" i="64"/>
  <c r="AM434" i="64"/>
  <c r="AN434" i="64"/>
  <c r="AO434" i="64"/>
  <c r="AP434" i="64"/>
  <c r="AQ434" i="64"/>
  <c r="AR434" i="64"/>
  <c r="AS434" i="64"/>
  <c r="AT434" i="64"/>
  <c r="AU434" i="64"/>
  <c r="AV434" i="64"/>
  <c r="AW434" i="64"/>
  <c r="AX434" i="64"/>
  <c r="AY434" i="64"/>
  <c r="AZ434" i="64"/>
  <c r="BA434" i="64"/>
  <c r="BB434" i="64"/>
  <c r="BC434" i="64"/>
  <c r="BD434" i="64"/>
  <c r="BE434" i="64"/>
  <c r="BF434" i="64"/>
  <c r="C435" i="64"/>
  <c r="D435" i="64"/>
  <c r="E435" i="64"/>
  <c r="F435" i="64"/>
  <c r="G435" i="64"/>
  <c r="H435" i="64"/>
  <c r="I435" i="64"/>
  <c r="J435" i="64"/>
  <c r="K435" i="64"/>
  <c r="L435" i="64"/>
  <c r="M435" i="64"/>
  <c r="N435" i="64"/>
  <c r="O435" i="64"/>
  <c r="P435" i="64"/>
  <c r="Q435" i="64"/>
  <c r="R435" i="64"/>
  <c r="S435" i="64"/>
  <c r="T435" i="64"/>
  <c r="U435" i="64"/>
  <c r="V435" i="64"/>
  <c r="W435" i="64"/>
  <c r="X435" i="64"/>
  <c r="Y435" i="64"/>
  <c r="Z435" i="64"/>
  <c r="AA435" i="64"/>
  <c r="AB435" i="64"/>
  <c r="AC435" i="64"/>
  <c r="AD435" i="64"/>
  <c r="AE435" i="64"/>
  <c r="AF435" i="64"/>
  <c r="AG435" i="64"/>
  <c r="AH435" i="64"/>
  <c r="AI435" i="64"/>
  <c r="AJ435" i="64"/>
  <c r="AK435" i="64"/>
  <c r="AL435" i="64"/>
  <c r="AM435" i="64"/>
  <c r="AN435" i="64"/>
  <c r="AO435" i="64"/>
  <c r="AP435" i="64"/>
  <c r="AQ435" i="64"/>
  <c r="AR435" i="64"/>
  <c r="AS435" i="64"/>
  <c r="AT435" i="64"/>
  <c r="AU435" i="64"/>
  <c r="AV435" i="64"/>
  <c r="AW435" i="64"/>
  <c r="AX435" i="64"/>
  <c r="AY435" i="64"/>
  <c r="AZ435" i="64"/>
  <c r="BA435" i="64"/>
  <c r="BB435" i="64"/>
  <c r="BC435" i="64"/>
  <c r="BD435" i="64"/>
  <c r="BE435" i="64"/>
  <c r="BF435" i="64"/>
  <c r="C436" i="64"/>
  <c r="D436" i="64"/>
  <c r="E436" i="64"/>
  <c r="F436" i="64"/>
  <c r="G436" i="64"/>
  <c r="H436" i="64"/>
  <c r="I436" i="64"/>
  <c r="J436" i="64"/>
  <c r="K436" i="64"/>
  <c r="L436" i="64"/>
  <c r="M436" i="64"/>
  <c r="N436" i="64"/>
  <c r="O436" i="64"/>
  <c r="P436" i="64"/>
  <c r="Q436" i="64"/>
  <c r="R436" i="64"/>
  <c r="S436" i="64"/>
  <c r="T436" i="64"/>
  <c r="U436" i="64"/>
  <c r="V436" i="64"/>
  <c r="W436" i="64"/>
  <c r="X436" i="64"/>
  <c r="Y436" i="64"/>
  <c r="Z436" i="64"/>
  <c r="AA436" i="64"/>
  <c r="AB436" i="64"/>
  <c r="AC436" i="64"/>
  <c r="AD436" i="64"/>
  <c r="AE436" i="64"/>
  <c r="AF436" i="64"/>
  <c r="AG436" i="64"/>
  <c r="AH436" i="64"/>
  <c r="AI436" i="64"/>
  <c r="AJ436" i="64"/>
  <c r="AK436" i="64"/>
  <c r="AL436" i="64"/>
  <c r="AM436" i="64"/>
  <c r="AN436" i="64"/>
  <c r="AO436" i="64"/>
  <c r="AP436" i="64"/>
  <c r="AQ436" i="64"/>
  <c r="AR436" i="64"/>
  <c r="AS436" i="64"/>
  <c r="AT436" i="64"/>
  <c r="AU436" i="64"/>
  <c r="AV436" i="64"/>
  <c r="AW436" i="64"/>
  <c r="AX436" i="64"/>
  <c r="AY436" i="64"/>
  <c r="AZ436" i="64"/>
  <c r="BA436" i="64"/>
  <c r="BB436" i="64"/>
  <c r="BC436" i="64"/>
  <c r="BD436" i="64"/>
  <c r="BE436" i="64"/>
  <c r="BF436" i="64"/>
  <c r="C437" i="64"/>
  <c r="D437" i="64"/>
  <c r="E437" i="64"/>
  <c r="F437" i="64"/>
  <c r="G437" i="64"/>
  <c r="H437" i="64"/>
  <c r="I437" i="64"/>
  <c r="J437" i="64"/>
  <c r="K437" i="64"/>
  <c r="L437" i="64"/>
  <c r="M437" i="64"/>
  <c r="N437" i="64"/>
  <c r="O437" i="64"/>
  <c r="P437" i="64"/>
  <c r="Q437" i="64"/>
  <c r="R437" i="64"/>
  <c r="S437" i="64"/>
  <c r="T437" i="64"/>
  <c r="U437" i="64"/>
  <c r="V437" i="64"/>
  <c r="W437" i="64"/>
  <c r="X437" i="64"/>
  <c r="Y437" i="64"/>
  <c r="Z437" i="64"/>
  <c r="AA437" i="64"/>
  <c r="AB437" i="64"/>
  <c r="AC437" i="64"/>
  <c r="AD437" i="64"/>
  <c r="AE437" i="64"/>
  <c r="AF437" i="64"/>
  <c r="AG437" i="64"/>
  <c r="AH437" i="64"/>
  <c r="AI437" i="64"/>
  <c r="AJ437" i="64"/>
  <c r="AK437" i="64"/>
  <c r="AL437" i="64"/>
  <c r="AM437" i="64"/>
  <c r="AN437" i="64"/>
  <c r="AO437" i="64"/>
  <c r="AP437" i="64"/>
  <c r="AQ437" i="64"/>
  <c r="AR437" i="64"/>
  <c r="AS437" i="64"/>
  <c r="AT437" i="64"/>
  <c r="AU437" i="64"/>
  <c r="AV437" i="64"/>
  <c r="AW437" i="64"/>
  <c r="AX437" i="64"/>
  <c r="AY437" i="64"/>
  <c r="AZ437" i="64"/>
  <c r="BA437" i="64"/>
  <c r="BB437" i="64"/>
  <c r="BC437" i="64"/>
  <c r="BD437" i="64"/>
  <c r="BE437" i="64"/>
  <c r="BF437" i="64"/>
  <c r="C438" i="64"/>
  <c r="D438" i="64"/>
  <c r="E438" i="64"/>
  <c r="F438" i="64"/>
  <c r="G438" i="64"/>
  <c r="H438" i="64"/>
  <c r="I438" i="64"/>
  <c r="J438" i="64"/>
  <c r="K438" i="64"/>
  <c r="L438" i="64"/>
  <c r="M438" i="64"/>
  <c r="N438" i="64"/>
  <c r="O438" i="64"/>
  <c r="P438" i="64"/>
  <c r="Q438" i="64"/>
  <c r="R438" i="64"/>
  <c r="S438" i="64"/>
  <c r="T438" i="64"/>
  <c r="U438" i="64"/>
  <c r="V438" i="64"/>
  <c r="W438" i="64"/>
  <c r="X438" i="64"/>
  <c r="Y438" i="64"/>
  <c r="Z438" i="64"/>
  <c r="AA438" i="64"/>
  <c r="AB438" i="64"/>
  <c r="AC438" i="64"/>
  <c r="AD438" i="64"/>
  <c r="AE438" i="64"/>
  <c r="AF438" i="64"/>
  <c r="AG438" i="64"/>
  <c r="AH438" i="64"/>
  <c r="AI438" i="64"/>
  <c r="AJ438" i="64"/>
  <c r="AK438" i="64"/>
  <c r="AL438" i="64"/>
  <c r="AM438" i="64"/>
  <c r="AN438" i="64"/>
  <c r="AO438" i="64"/>
  <c r="AP438" i="64"/>
  <c r="AQ438" i="64"/>
  <c r="AR438" i="64"/>
  <c r="AS438" i="64"/>
  <c r="AT438" i="64"/>
  <c r="AU438" i="64"/>
  <c r="AV438" i="64"/>
  <c r="AW438" i="64"/>
  <c r="AX438" i="64"/>
  <c r="AY438" i="64"/>
  <c r="AZ438" i="64"/>
  <c r="BA438" i="64"/>
  <c r="BB438" i="64"/>
  <c r="BC438" i="64"/>
  <c r="BD438" i="64"/>
  <c r="BE438" i="64"/>
  <c r="BF438" i="64"/>
  <c r="C439" i="64"/>
  <c r="D439" i="64"/>
  <c r="E439" i="64"/>
  <c r="F439" i="64"/>
  <c r="G439" i="64"/>
  <c r="H439" i="64"/>
  <c r="I439" i="64"/>
  <c r="J439" i="64"/>
  <c r="K439" i="64"/>
  <c r="L439" i="64"/>
  <c r="M439" i="64"/>
  <c r="N439" i="64"/>
  <c r="O439" i="64"/>
  <c r="P439" i="64"/>
  <c r="Q439" i="64"/>
  <c r="R439" i="64"/>
  <c r="S439" i="64"/>
  <c r="T439" i="64"/>
  <c r="U439" i="64"/>
  <c r="V439" i="64"/>
  <c r="W439" i="64"/>
  <c r="X439" i="64"/>
  <c r="Y439" i="64"/>
  <c r="Z439" i="64"/>
  <c r="AA439" i="64"/>
  <c r="AB439" i="64"/>
  <c r="AC439" i="64"/>
  <c r="AD439" i="64"/>
  <c r="AE439" i="64"/>
  <c r="AF439" i="64"/>
  <c r="AG439" i="64"/>
  <c r="AH439" i="64"/>
  <c r="AI439" i="64"/>
  <c r="AJ439" i="64"/>
  <c r="AK439" i="64"/>
  <c r="AL439" i="64"/>
  <c r="AM439" i="64"/>
  <c r="AN439" i="64"/>
  <c r="AO439" i="64"/>
  <c r="AP439" i="64"/>
  <c r="AQ439" i="64"/>
  <c r="AR439" i="64"/>
  <c r="AS439" i="64"/>
  <c r="AT439" i="64"/>
  <c r="AU439" i="64"/>
  <c r="AV439" i="64"/>
  <c r="AW439" i="64"/>
  <c r="AX439" i="64"/>
  <c r="AY439" i="64"/>
  <c r="AZ439" i="64"/>
  <c r="BA439" i="64"/>
  <c r="BB439" i="64"/>
  <c r="BC439" i="64"/>
  <c r="BD439" i="64"/>
  <c r="BE439" i="64"/>
  <c r="BF439" i="64"/>
  <c r="C440" i="64"/>
  <c r="D440" i="64"/>
  <c r="E440" i="64"/>
  <c r="F440" i="64"/>
  <c r="G440" i="64"/>
  <c r="H440" i="64"/>
  <c r="I440" i="64"/>
  <c r="J440" i="64"/>
  <c r="K440" i="64"/>
  <c r="L440" i="64"/>
  <c r="M440" i="64"/>
  <c r="N440" i="64"/>
  <c r="O440" i="64"/>
  <c r="P440" i="64"/>
  <c r="Q440" i="64"/>
  <c r="R440" i="64"/>
  <c r="S440" i="64"/>
  <c r="T440" i="64"/>
  <c r="U440" i="64"/>
  <c r="V440" i="64"/>
  <c r="W440" i="64"/>
  <c r="X440" i="64"/>
  <c r="Y440" i="64"/>
  <c r="Z440" i="64"/>
  <c r="AA440" i="64"/>
  <c r="AB440" i="64"/>
  <c r="AC440" i="64"/>
  <c r="AD440" i="64"/>
  <c r="AE440" i="64"/>
  <c r="AF440" i="64"/>
  <c r="AG440" i="64"/>
  <c r="AH440" i="64"/>
  <c r="AI440" i="64"/>
  <c r="AJ440" i="64"/>
  <c r="AK440" i="64"/>
  <c r="AL440" i="64"/>
  <c r="AM440" i="64"/>
  <c r="AN440" i="64"/>
  <c r="AO440" i="64"/>
  <c r="AP440" i="64"/>
  <c r="AQ440" i="64"/>
  <c r="AR440" i="64"/>
  <c r="AS440" i="64"/>
  <c r="AT440" i="64"/>
  <c r="AU440" i="64"/>
  <c r="AV440" i="64"/>
  <c r="AW440" i="64"/>
  <c r="AX440" i="64"/>
  <c r="AY440" i="64"/>
  <c r="AZ440" i="64"/>
  <c r="BA440" i="64"/>
  <c r="BB440" i="64"/>
  <c r="BC440" i="64"/>
  <c r="BD440" i="64"/>
  <c r="BE440" i="64"/>
  <c r="BF440" i="64"/>
  <c r="C441" i="64"/>
  <c r="D441" i="64"/>
  <c r="E441" i="64"/>
  <c r="F441" i="64"/>
  <c r="G441" i="64"/>
  <c r="H441" i="64"/>
  <c r="I441" i="64"/>
  <c r="J441" i="64"/>
  <c r="K441" i="64"/>
  <c r="L441" i="64"/>
  <c r="M441" i="64"/>
  <c r="N441" i="64"/>
  <c r="O441" i="64"/>
  <c r="P441" i="64"/>
  <c r="Q441" i="64"/>
  <c r="R441" i="64"/>
  <c r="S441" i="64"/>
  <c r="T441" i="64"/>
  <c r="U441" i="64"/>
  <c r="V441" i="64"/>
  <c r="W441" i="64"/>
  <c r="X441" i="64"/>
  <c r="Y441" i="64"/>
  <c r="Z441" i="64"/>
  <c r="AA441" i="64"/>
  <c r="AB441" i="64"/>
  <c r="AC441" i="64"/>
  <c r="AD441" i="64"/>
  <c r="AE441" i="64"/>
  <c r="AF441" i="64"/>
  <c r="AG441" i="64"/>
  <c r="AH441" i="64"/>
  <c r="AI441" i="64"/>
  <c r="AJ441" i="64"/>
  <c r="AK441" i="64"/>
  <c r="AL441" i="64"/>
  <c r="AM441" i="64"/>
  <c r="AN441" i="64"/>
  <c r="AO441" i="64"/>
  <c r="AP441" i="64"/>
  <c r="AQ441" i="64"/>
  <c r="AR441" i="64"/>
  <c r="AS441" i="64"/>
  <c r="AT441" i="64"/>
  <c r="AU441" i="64"/>
  <c r="AV441" i="64"/>
  <c r="AW441" i="64"/>
  <c r="AX441" i="64"/>
  <c r="AY441" i="64"/>
  <c r="AZ441" i="64"/>
  <c r="BA441" i="64"/>
  <c r="BB441" i="64"/>
  <c r="BC441" i="64"/>
  <c r="BD441" i="64"/>
  <c r="BE441" i="64"/>
  <c r="BF441" i="64"/>
  <c r="C442" i="64"/>
  <c r="D442" i="64"/>
  <c r="E442" i="64"/>
  <c r="F442" i="64"/>
  <c r="G442" i="64"/>
  <c r="H442" i="64"/>
  <c r="I442" i="64"/>
  <c r="J442" i="64"/>
  <c r="K442" i="64"/>
  <c r="L442" i="64"/>
  <c r="M442" i="64"/>
  <c r="N442" i="64"/>
  <c r="O442" i="64"/>
  <c r="P442" i="64"/>
  <c r="Q442" i="64"/>
  <c r="R442" i="64"/>
  <c r="S442" i="64"/>
  <c r="T442" i="64"/>
  <c r="U442" i="64"/>
  <c r="V442" i="64"/>
  <c r="W442" i="64"/>
  <c r="X442" i="64"/>
  <c r="Y442" i="64"/>
  <c r="Z442" i="64"/>
  <c r="AA442" i="64"/>
  <c r="AB442" i="64"/>
  <c r="AC442" i="64"/>
  <c r="AD442" i="64"/>
  <c r="AE442" i="64"/>
  <c r="AF442" i="64"/>
  <c r="AG442" i="64"/>
  <c r="AH442" i="64"/>
  <c r="AI442" i="64"/>
  <c r="AJ442" i="64"/>
  <c r="AK442" i="64"/>
  <c r="AL442" i="64"/>
  <c r="AM442" i="64"/>
  <c r="AN442" i="64"/>
  <c r="AO442" i="64"/>
  <c r="AP442" i="64"/>
  <c r="AQ442" i="64"/>
  <c r="AR442" i="64"/>
  <c r="AS442" i="64"/>
  <c r="AT442" i="64"/>
  <c r="AU442" i="64"/>
  <c r="AV442" i="64"/>
  <c r="AW442" i="64"/>
  <c r="AX442" i="64"/>
  <c r="AY442" i="64"/>
  <c r="AZ442" i="64"/>
  <c r="BA442" i="64"/>
  <c r="BB442" i="64"/>
  <c r="BC442" i="64"/>
  <c r="BD442" i="64"/>
  <c r="BE442" i="64"/>
  <c r="BF442" i="64"/>
  <c r="C443" i="64"/>
  <c r="D443" i="64"/>
  <c r="E443" i="64"/>
  <c r="F443" i="64"/>
  <c r="G443" i="64"/>
  <c r="H443" i="64"/>
  <c r="I443" i="64"/>
  <c r="J443" i="64"/>
  <c r="K443" i="64"/>
  <c r="L443" i="64"/>
  <c r="M443" i="64"/>
  <c r="N443" i="64"/>
  <c r="O443" i="64"/>
  <c r="P443" i="64"/>
  <c r="Q443" i="64"/>
  <c r="R443" i="64"/>
  <c r="S443" i="64"/>
  <c r="T443" i="64"/>
  <c r="U443" i="64"/>
  <c r="V443" i="64"/>
  <c r="W443" i="64"/>
  <c r="X443" i="64"/>
  <c r="Y443" i="64"/>
  <c r="Z443" i="64"/>
  <c r="AA443" i="64"/>
  <c r="AB443" i="64"/>
  <c r="AC443" i="64"/>
  <c r="AD443" i="64"/>
  <c r="AE443" i="64"/>
  <c r="AF443" i="64"/>
  <c r="AG443" i="64"/>
  <c r="AH443" i="64"/>
  <c r="AI443" i="64"/>
  <c r="AJ443" i="64"/>
  <c r="AK443" i="64"/>
  <c r="AL443" i="64"/>
  <c r="AM443" i="64"/>
  <c r="AN443" i="64"/>
  <c r="AO443" i="64"/>
  <c r="AP443" i="64"/>
  <c r="AQ443" i="64"/>
  <c r="AR443" i="64"/>
  <c r="AS443" i="64"/>
  <c r="AT443" i="64"/>
  <c r="AU443" i="64"/>
  <c r="AV443" i="64"/>
  <c r="AW443" i="64"/>
  <c r="AX443" i="64"/>
  <c r="AY443" i="64"/>
  <c r="AZ443" i="64"/>
  <c r="BA443" i="64"/>
  <c r="BB443" i="64"/>
  <c r="BC443" i="64"/>
  <c r="BD443" i="64"/>
  <c r="BE443" i="64"/>
  <c r="BF443" i="64"/>
  <c r="C444" i="64"/>
  <c r="D444" i="64"/>
  <c r="E444" i="64"/>
  <c r="F444" i="64"/>
  <c r="G444" i="64"/>
  <c r="H444" i="64"/>
  <c r="I444" i="64"/>
  <c r="J444" i="64"/>
  <c r="K444" i="64"/>
  <c r="L444" i="64"/>
  <c r="M444" i="64"/>
  <c r="N444" i="64"/>
  <c r="O444" i="64"/>
  <c r="P444" i="64"/>
  <c r="Q444" i="64"/>
  <c r="R444" i="64"/>
  <c r="S444" i="64"/>
  <c r="T444" i="64"/>
  <c r="U444" i="64"/>
  <c r="V444" i="64"/>
  <c r="W444" i="64"/>
  <c r="X444" i="64"/>
  <c r="Y444" i="64"/>
  <c r="Z444" i="64"/>
  <c r="AA444" i="64"/>
  <c r="AB444" i="64"/>
  <c r="AC444" i="64"/>
  <c r="AD444" i="64"/>
  <c r="AE444" i="64"/>
  <c r="AF444" i="64"/>
  <c r="AG444" i="64"/>
  <c r="AH444" i="64"/>
  <c r="AI444" i="64"/>
  <c r="AJ444" i="64"/>
  <c r="AK444" i="64"/>
  <c r="AL444" i="64"/>
  <c r="AM444" i="64"/>
  <c r="AN444" i="64"/>
  <c r="AO444" i="64"/>
  <c r="AP444" i="64"/>
  <c r="AQ444" i="64"/>
  <c r="AR444" i="64"/>
  <c r="AS444" i="64"/>
  <c r="AT444" i="64"/>
  <c r="AU444" i="64"/>
  <c r="AV444" i="64"/>
  <c r="AW444" i="64"/>
  <c r="AX444" i="64"/>
  <c r="AY444" i="64"/>
  <c r="AZ444" i="64"/>
  <c r="BA444" i="64"/>
  <c r="BB444" i="64"/>
  <c r="BC444" i="64"/>
  <c r="BD444" i="64"/>
  <c r="BE444" i="64"/>
  <c r="BF444" i="64"/>
  <c r="C445" i="64"/>
  <c r="D445" i="64"/>
  <c r="E445" i="64"/>
  <c r="F445" i="64"/>
  <c r="G445" i="64"/>
  <c r="H445" i="64"/>
  <c r="I445" i="64"/>
  <c r="J445" i="64"/>
  <c r="K445" i="64"/>
  <c r="L445" i="64"/>
  <c r="M445" i="64"/>
  <c r="N445" i="64"/>
  <c r="O445" i="64"/>
  <c r="P445" i="64"/>
  <c r="Q445" i="64"/>
  <c r="R445" i="64"/>
  <c r="S445" i="64"/>
  <c r="T445" i="64"/>
  <c r="U445" i="64"/>
  <c r="V445" i="64"/>
  <c r="W445" i="64"/>
  <c r="X445" i="64"/>
  <c r="Y445" i="64"/>
  <c r="Z445" i="64"/>
  <c r="AA445" i="64"/>
  <c r="AB445" i="64"/>
  <c r="AC445" i="64"/>
  <c r="AD445" i="64"/>
  <c r="AE445" i="64"/>
  <c r="AF445" i="64"/>
  <c r="AG445" i="64"/>
  <c r="AH445" i="64"/>
  <c r="AI445" i="64"/>
  <c r="AJ445" i="64"/>
  <c r="AK445" i="64"/>
  <c r="AL445" i="64"/>
  <c r="AM445" i="64"/>
  <c r="AN445" i="64"/>
  <c r="AO445" i="64"/>
  <c r="AP445" i="64"/>
  <c r="AQ445" i="64"/>
  <c r="AR445" i="64"/>
  <c r="AS445" i="64"/>
  <c r="AT445" i="64"/>
  <c r="AU445" i="64"/>
  <c r="AV445" i="64"/>
  <c r="AW445" i="64"/>
  <c r="AX445" i="64"/>
  <c r="AY445" i="64"/>
  <c r="AZ445" i="64"/>
  <c r="BA445" i="64"/>
  <c r="BB445" i="64"/>
  <c r="BC445" i="64"/>
  <c r="BD445" i="64"/>
  <c r="BE445" i="64"/>
  <c r="BF445" i="64"/>
  <c r="C446" i="64"/>
  <c r="D446" i="64"/>
  <c r="E446" i="64"/>
  <c r="F446" i="64"/>
  <c r="G446" i="64"/>
  <c r="H446" i="64"/>
  <c r="I446" i="64"/>
  <c r="J446" i="64"/>
  <c r="K446" i="64"/>
  <c r="L446" i="64"/>
  <c r="M446" i="64"/>
  <c r="N446" i="64"/>
  <c r="O446" i="64"/>
  <c r="P446" i="64"/>
  <c r="Q446" i="64"/>
  <c r="R446" i="64"/>
  <c r="S446" i="64"/>
  <c r="T446" i="64"/>
  <c r="U446" i="64"/>
  <c r="V446" i="64"/>
  <c r="W446" i="64"/>
  <c r="X446" i="64"/>
  <c r="Y446" i="64"/>
  <c r="Z446" i="64"/>
  <c r="AA446" i="64"/>
  <c r="AB446" i="64"/>
  <c r="AC446" i="64"/>
  <c r="AD446" i="64"/>
  <c r="AE446" i="64"/>
  <c r="AF446" i="64"/>
  <c r="AG446" i="64"/>
  <c r="AH446" i="64"/>
  <c r="AI446" i="64"/>
  <c r="AJ446" i="64"/>
  <c r="AK446" i="64"/>
  <c r="AL446" i="64"/>
  <c r="AM446" i="64"/>
  <c r="AN446" i="64"/>
  <c r="AO446" i="64"/>
  <c r="AP446" i="64"/>
  <c r="AQ446" i="64"/>
  <c r="AR446" i="64"/>
  <c r="AS446" i="64"/>
  <c r="AT446" i="64"/>
  <c r="AU446" i="64"/>
  <c r="AV446" i="64"/>
  <c r="AW446" i="64"/>
  <c r="AX446" i="64"/>
  <c r="AY446" i="64"/>
  <c r="AZ446" i="64"/>
  <c r="BA446" i="64"/>
  <c r="BB446" i="64"/>
  <c r="BC446" i="64"/>
  <c r="BD446" i="64"/>
  <c r="BE446" i="64"/>
  <c r="BF446" i="64"/>
  <c r="C447" i="64"/>
  <c r="D447" i="64"/>
  <c r="E447" i="64"/>
  <c r="F447" i="64"/>
  <c r="G447" i="64"/>
  <c r="H447" i="64"/>
  <c r="I447" i="64"/>
  <c r="J447" i="64"/>
  <c r="K447" i="64"/>
  <c r="L447" i="64"/>
  <c r="M447" i="64"/>
  <c r="N447" i="64"/>
  <c r="O447" i="64"/>
  <c r="P447" i="64"/>
  <c r="Q447" i="64"/>
  <c r="R447" i="64"/>
  <c r="S447" i="64"/>
  <c r="T447" i="64"/>
  <c r="U447" i="64"/>
  <c r="V447" i="64"/>
  <c r="W447" i="64"/>
  <c r="X447" i="64"/>
  <c r="Y447" i="64"/>
  <c r="Z447" i="64"/>
  <c r="AA447" i="64"/>
  <c r="AB447" i="64"/>
  <c r="AC447" i="64"/>
  <c r="AD447" i="64"/>
  <c r="AE447" i="64"/>
  <c r="AF447" i="64"/>
  <c r="AG447" i="64"/>
  <c r="AH447" i="64"/>
  <c r="AI447" i="64"/>
  <c r="AJ447" i="64"/>
  <c r="AK447" i="64"/>
  <c r="AL447" i="64"/>
  <c r="AM447" i="64"/>
  <c r="AN447" i="64"/>
  <c r="AO447" i="64"/>
  <c r="AP447" i="64"/>
  <c r="AQ447" i="64"/>
  <c r="AR447" i="64"/>
  <c r="AS447" i="64"/>
  <c r="AT447" i="64"/>
  <c r="AU447" i="64"/>
  <c r="AV447" i="64"/>
  <c r="AW447" i="64"/>
  <c r="AX447" i="64"/>
  <c r="AY447" i="64"/>
  <c r="AZ447" i="64"/>
  <c r="BA447" i="64"/>
  <c r="BB447" i="64"/>
  <c r="BC447" i="64"/>
  <c r="BD447" i="64"/>
  <c r="BE447" i="64"/>
  <c r="BF447" i="64"/>
  <c r="C448" i="64"/>
  <c r="D448" i="64"/>
  <c r="E448" i="64"/>
  <c r="F448" i="64"/>
  <c r="G448" i="64"/>
  <c r="H448" i="64"/>
  <c r="I448" i="64"/>
  <c r="J448" i="64"/>
  <c r="K448" i="64"/>
  <c r="L448" i="64"/>
  <c r="M448" i="64"/>
  <c r="N448" i="64"/>
  <c r="O448" i="64"/>
  <c r="P448" i="64"/>
  <c r="Q448" i="64"/>
  <c r="R448" i="64"/>
  <c r="S448" i="64"/>
  <c r="T448" i="64"/>
  <c r="U448" i="64"/>
  <c r="V448" i="64"/>
  <c r="W448" i="64"/>
  <c r="X448" i="64"/>
  <c r="Y448" i="64"/>
  <c r="Z448" i="64"/>
  <c r="AA448" i="64"/>
  <c r="AB448" i="64"/>
  <c r="AC448" i="64"/>
  <c r="AD448" i="64"/>
  <c r="AE448" i="64"/>
  <c r="AF448" i="64"/>
  <c r="AG448" i="64"/>
  <c r="AH448" i="64"/>
  <c r="AI448" i="64"/>
  <c r="AJ448" i="64"/>
  <c r="AK448" i="64"/>
  <c r="AL448" i="64"/>
  <c r="AM448" i="64"/>
  <c r="AN448" i="64"/>
  <c r="AO448" i="64"/>
  <c r="AP448" i="64"/>
  <c r="AQ448" i="64"/>
  <c r="AR448" i="64"/>
  <c r="AS448" i="64"/>
  <c r="AT448" i="64"/>
  <c r="AU448" i="64"/>
  <c r="AV448" i="64"/>
  <c r="AW448" i="64"/>
  <c r="AX448" i="64"/>
  <c r="AY448" i="64"/>
  <c r="AZ448" i="64"/>
  <c r="BA448" i="64"/>
  <c r="BB448" i="64"/>
  <c r="BC448" i="64"/>
  <c r="BD448" i="64"/>
  <c r="BE448" i="64"/>
  <c r="BF448" i="64"/>
  <c r="C449" i="64"/>
  <c r="D449" i="64"/>
  <c r="E449" i="64"/>
  <c r="F449" i="64"/>
  <c r="G449" i="64"/>
  <c r="H449" i="64"/>
  <c r="I449" i="64"/>
  <c r="J449" i="64"/>
  <c r="K449" i="64"/>
  <c r="L449" i="64"/>
  <c r="M449" i="64"/>
  <c r="N449" i="64"/>
  <c r="O449" i="64"/>
  <c r="P449" i="64"/>
  <c r="Q449" i="64"/>
  <c r="R449" i="64"/>
  <c r="S449" i="64"/>
  <c r="T449" i="64"/>
  <c r="U449" i="64"/>
  <c r="V449" i="64"/>
  <c r="W449" i="64"/>
  <c r="X449" i="64"/>
  <c r="Y449" i="64"/>
  <c r="Z449" i="64"/>
  <c r="AA449" i="64"/>
  <c r="AB449" i="64"/>
  <c r="AC449" i="64"/>
  <c r="AD449" i="64"/>
  <c r="AE449" i="64"/>
  <c r="AF449" i="64"/>
  <c r="AG449" i="64"/>
  <c r="AH449" i="64"/>
  <c r="AI449" i="64"/>
  <c r="AJ449" i="64"/>
  <c r="AK449" i="64"/>
  <c r="AL449" i="64"/>
  <c r="AM449" i="64"/>
  <c r="AN449" i="64"/>
  <c r="AO449" i="64"/>
  <c r="AP449" i="64"/>
  <c r="AQ449" i="64"/>
  <c r="AR449" i="64"/>
  <c r="AS449" i="64"/>
  <c r="AT449" i="64"/>
  <c r="AU449" i="64"/>
  <c r="AV449" i="64"/>
  <c r="AW449" i="64"/>
  <c r="AX449" i="64"/>
  <c r="AY449" i="64"/>
  <c r="AZ449" i="64"/>
  <c r="BA449" i="64"/>
  <c r="BB449" i="64"/>
  <c r="BC449" i="64"/>
  <c r="BD449" i="64"/>
  <c r="BE449" i="64"/>
  <c r="BF449" i="64"/>
  <c r="C450" i="64"/>
  <c r="D450" i="64"/>
  <c r="E450" i="64"/>
  <c r="F450" i="64"/>
  <c r="G450" i="64"/>
  <c r="H450" i="64"/>
  <c r="I450" i="64"/>
  <c r="J450" i="64"/>
  <c r="K450" i="64"/>
  <c r="L450" i="64"/>
  <c r="M450" i="64"/>
  <c r="N450" i="64"/>
  <c r="O450" i="64"/>
  <c r="P450" i="64"/>
  <c r="Q450" i="64"/>
  <c r="R450" i="64"/>
  <c r="S450" i="64"/>
  <c r="T450" i="64"/>
  <c r="U450" i="64"/>
  <c r="V450" i="64"/>
  <c r="W450" i="64"/>
  <c r="X450" i="64"/>
  <c r="Y450" i="64"/>
  <c r="Z450" i="64"/>
  <c r="AA450" i="64"/>
  <c r="AB450" i="64"/>
  <c r="AC450" i="64"/>
  <c r="AD450" i="64"/>
  <c r="AE450" i="64"/>
  <c r="AF450" i="64"/>
  <c r="AG450" i="64"/>
  <c r="AH450" i="64"/>
  <c r="AI450" i="64"/>
  <c r="AJ450" i="64"/>
  <c r="AK450" i="64"/>
  <c r="AL450" i="64"/>
  <c r="AM450" i="64"/>
  <c r="AN450" i="64"/>
  <c r="AO450" i="64"/>
  <c r="AP450" i="64"/>
  <c r="AQ450" i="64"/>
  <c r="AR450" i="64"/>
  <c r="AS450" i="64"/>
  <c r="AT450" i="64"/>
  <c r="AU450" i="64"/>
  <c r="AV450" i="64"/>
  <c r="AW450" i="64"/>
  <c r="AX450" i="64"/>
  <c r="AY450" i="64"/>
  <c r="AZ450" i="64"/>
  <c r="BA450" i="64"/>
  <c r="BB450" i="64"/>
  <c r="BC450" i="64"/>
  <c r="BD450" i="64"/>
  <c r="BE450" i="64"/>
  <c r="BF450" i="64"/>
  <c r="C451" i="64"/>
  <c r="D451" i="64"/>
  <c r="E451" i="64"/>
  <c r="F451" i="64"/>
  <c r="G451" i="64"/>
  <c r="H451" i="64"/>
  <c r="I451" i="64"/>
  <c r="J451" i="64"/>
  <c r="K451" i="64"/>
  <c r="L451" i="64"/>
  <c r="M451" i="64"/>
  <c r="N451" i="64"/>
  <c r="O451" i="64"/>
  <c r="P451" i="64"/>
  <c r="Q451" i="64"/>
  <c r="R451" i="64"/>
  <c r="S451" i="64"/>
  <c r="T451" i="64"/>
  <c r="U451" i="64"/>
  <c r="V451" i="64"/>
  <c r="W451" i="64"/>
  <c r="X451" i="64"/>
  <c r="Y451" i="64"/>
  <c r="Z451" i="64"/>
  <c r="AA451" i="64"/>
  <c r="AB451" i="64"/>
  <c r="AC451" i="64"/>
  <c r="AD451" i="64"/>
  <c r="AE451" i="64"/>
  <c r="AF451" i="64"/>
  <c r="AG451" i="64"/>
  <c r="AH451" i="64"/>
  <c r="AI451" i="64"/>
  <c r="AJ451" i="64"/>
  <c r="AK451" i="64"/>
  <c r="AL451" i="64"/>
  <c r="AM451" i="64"/>
  <c r="AN451" i="64"/>
  <c r="AO451" i="64"/>
  <c r="AP451" i="64"/>
  <c r="AQ451" i="64"/>
  <c r="AR451" i="64"/>
  <c r="AS451" i="64"/>
  <c r="AT451" i="64"/>
  <c r="AU451" i="64"/>
  <c r="AV451" i="64"/>
  <c r="AW451" i="64"/>
  <c r="AX451" i="64"/>
  <c r="AY451" i="64"/>
  <c r="AZ451" i="64"/>
  <c r="BA451" i="64"/>
  <c r="BB451" i="64"/>
  <c r="BC451" i="64"/>
  <c r="BD451" i="64"/>
  <c r="BE451" i="64"/>
  <c r="BF451" i="64"/>
  <c r="C452" i="64"/>
  <c r="D452" i="64"/>
  <c r="E452" i="64"/>
  <c r="F452" i="64"/>
  <c r="G452" i="64"/>
  <c r="H452" i="64"/>
  <c r="I452" i="64"/>
  <c r="J452" i="64"/>
  <c r="K452" i="64"/>
  <c r="L452" i="64"/>
  <c r="M452" i="64"/>
  <c r="N452" i="64"/>
  <c r="O452" i="64"/>
  <c r="P452" i="64"/>
  <c r="Q452" i="64"/>
  <c r="R452" i="64"/>
  <c r="S452" i="64"/>
  <c r="T452" i="64"/>
  <c r="U452" i="64"/>
  <c r="V452" i="64"/>
  <c r="W452" i="64"/>
  <c r="X452" i="64"/>
  <c r="Y452" i="64"/>
  <c r="Z452" i="64"/>
  <c r="AA452" i="64"/>
  <c r="AB452" i="64"/>
  <c r="AC452" i="64"/>
  <c r="AD452" i="64"/>
  <c r="AE452" i="64"/>
  <c r="AF452" i="64"/>
  <c r="AG452" i="64"/>
  <c r="AH452" i="64"/>
  <c r="AI452" i="64"/>
  <c r="AJ452" i="64"/>
  <c r="AK452" i="64"/>
  <c r="AL452" i="64"/>
  <c r="AM452" i="64"/>
  <c r="AN452" i="64"/>
  <c r="AO452" i="64"/>
  <c r="AP452" i="64"/>
  <c r="AQ452" i="64"/>
  <c r="AR452" i="64"/>
  <c r="AS452" i="64"/>
  <c r="AT452" i="64"/>
  <c r="AU452" i="64"/>
  <c r="AV452" i="64"/>
  <c r="AW452" i="64"/>
  <c r="AX452" i="64"/>
  <c r="AY452" i="64"/>
  <c r="AZ452" i="64"/>
  <c r="BA452" i="64"/>
  <c r="BB452" i="64"/>
  <c r="BC452" i="64"/>
  <c r="BD452" i="64"/>
  <c r="BE452" i="64"/>
  <c r="BF452" i="64"/>
  <c r="C453" i="64"/>
  <c r="D453" i="64"/>
  <c r="E453" i="64"/>
  <c r="F453" i="64"/>
  <c r="G453" i="64"/>
  <c r="H453" i="64"/>
  <c r="I453" i="64"/>
  <c r="J453" i="64"/>
  <c r="K453" i="64"/>
  <c r="L453" i="64"/>
  <c r="M453" i="64"/>
  <c r="N453" i="64"/>
  <c r="O453" i="64"/>
  <c r="P453" i="64"/>
  <c r="Q453" i="64"/>
  <c r="R453" i="64"/>
  <c r="S453" i="64"/>
  <c r="T453" i="64"/>
  <c r="U453" i="64"/>
  <c r="V453" i="64"/>
  <c r="W453" i="64"/>
  <c r="X453" i="64"/>
  <c r="Y453" i="64"/>
  <c r="Z453" i="64"/>
  <c r="AA453" i="64"/>
  <c r="AB453" i="64"/>
  <c r="AC453" i="64"/>
  <c r="AD453" i="64"/>
  <c r="AE453" i="64"/>
  <c r="AF453" i="64"/>
  <c r="AG453" i="64"/>
  <c r="AH453" i="64"/>
  <c r="AI453" i="64"/>
  <c r="AJ453" i="64"/>
  <c r="AK453" i="64"/>
  <c r="AL453" i="64"/>
  <c r="AM453" i="64"/>
  <c r="AN453" i="64"/>
  <c r="AO453" i="64"/>
  <c r="AP453" i="64"/>
  <c r="AQ453" i="64"/>
  <c r="AR453" i="64"/>
  <c r="AS453" i="64"/>
  <c r="AT453" i="64"/>
  <c r="AU453" i="64"/>
  <c r="AV453" i="64"/>
  <c r="AW453" i="64"/>
  <c r="AX453" i="64"/>
  <c r="AY453" i="64"/>
  <c r="AZ453" i="64"/>
  <c r="BA453" i="64"/>
  <c r="BB453" i="64"/>
  <c r="BC453" i="64"/>
  <c r="BD453" i="64"/>
  <c r="BE453" i="64"/>
  <c r="BF453" i="64"/>
  <c r="C454" i="64"/>
  <c r="D454" i="64"/>
  <c r="E454" i="64"/>
  <c r="F454" i="64"/>
  <c r="G454" i="64"/>
  <c r="H454" i="64"/>
  <c r="I454" i="64"/>
  <c r="J454" i="64"/>
  <c r="K454" i="64"/>
  <c r="L454" i="64"/>
  <c r="M454" i="64"/>
  <c r="N454" i="64"/>
  <c r="O454" i="64"/>
  <c r="P454" i="64"/>
  <c r="Q454" i="64"/>
  <c r="R454" i="64"/>
  <c r="S454" i="64"/>
  <c r="T454" i="64"/>
  <c r="U454" i="64"/>
  <c r="V454" i="64"/>
  <c r="W454" i="64"/>
  <c r="X454" i="64"/>
  <c r="Y454" i="64"/>
  <c r="Z454" i="64"/>
  <c r="AA454" i="64"/>
  <c r="AB454" i="64"/>
  <c r="AC454" i="64"/>
  <c r="AD454" i="64"/>
  <c r="AE454" i="64"/>
  <c r="AF454" i="64"/>
  <c r="AG454" i="64"/>
  <c r="AH454" i="64"/>
  <c r="AI454" i="64"/>
  <c r="AJ454" i="64"/>
  <c r="AK454" i="64"/>
  <c r="AL454" i="64"/>
  <c r="AM454" i="64"/>
  <c r="AN454" i="64"/>
  <c r="AO454" i="64"/>
  <c r="AP454" i="64"/>
  <c r="AQ454" i="64"/>
  <c r="AR454" i="64"/>
  <c r="AS454" i="64"/>
  <c r="AT454" i="64"/>
  <c r="AU454" i="64"/>
  <c r="AV454" i="64"/>
  <c r="AW454" i="64"/>
  <c r="AX454" i="64"/>
  <c r="AY454" i="64"/>
  <c r="AZ454" i="64"/>
  <c r="BA454" i="64"/>
  <c r="BB454" i="64"/>
  <c r="BC454" i="64"/>
  <c r="BD454" i="64"/>
  <c r="BE454" i="64"/>
  <c r="BF454" i="64"/>
  <c r="C455" i="64"/>
  <c r="D455" i="64"/>
  <c r="E455" i="64"/>
  <c r="F455" i="64"/>
  <c r="G455" i="64"/>
  <c r="H455" i="64"/>
  <c r="I455" i="64"/>
  <c r="J455" i="64"/>
  <c r="K455" i="64"/>
  <c r="L455" i="64"/>
  <c r="M455" i="64"/>
  <c r="N455" i="64"/>
  <c r="O455" i="64"/>
  <c r="P455" i="64"/>
  <c r="Q455" i="64"/>
  <c r="R455" i="64"/>
  <c r="S455" i="64"/>
  <c r="T455" i="64"/>
  <c r="U455" i="64"/>
  <c r="V455" i="64"/>
  <c r="W455" i="64"/>
  <c r="X455" i="64"/>
  <c r="Y455" i="64"/>
  <c r="Z455" i="64"/>
  <c r="AA455" i="64"/>
  <c r="AB455" i="64"/>
  <c r="AC455" i="64"/>
  <c r="AD455" i="64"/>
  <c r="AE455" i="64"/>
  <c r="AF455" i="64"/>
  <c r="AG455" i="64"/>
  <c r="AH455" i="64"/>
  <c r="AI455" i="64"/>
  <c r="AJ455" i="64"/>
  <c r="AK455" i="64"/>
  <c r="AL455" i="64"/>
  <c r="AM455" i="64"/>
  <c r="AN455" i="64"/>
  <c r="AO455" i="64"/>
  <c r="AP455" i="64"/>
  <c r="AQ455" i="64"/>
  <c r="AR455" i="64"/>
  <c r="AS455" i="64"/>
  <c r="AT455" i="64"/>
  <c r="AU455" i="64"/>
  <c r="AV455" i="64"/>
  <c r="AW455" i="64"/>
  <c r="AX455" i="64"/>
  <c r="AY455" i="64"/>
  <c r="AZ455" i="64"/>
  <c r="BA455" i="64"/>
  <c r="BB455" i="64"/>
  <c r="BC455" i="64"/>
  <c r="BD455" i="64"/>
  <c r="BE455" i="64"/>
  <c r="BF455" i="64"/>
  <c r="C456" i="64"/>
  <c r="D456" i="64"/>
  <c r="E456" i="64"/>
  <c r="F456" i="64"/>
  <c r="G456" i="64"/>
  <c r="H456" i="64"/>
  <c r="I456" i="64"/>
  <c r="J456" i="64"/>
  <c r="K456" i="64"/>
  <c r="L456" i="64"/>
  <c r="M456" i="64"/>
  <c r="N456" i="64"/>
  <c r="O456" i="64"/>
  <c r="P456" i="64"/>
  <c r="Q456" i="64"/>
  <c r="R456" i="64"/>
  <c r="S456" i="64"/>
  <c r="T456" i="64"/>
  <c r="U456" i="64"/>
  <c r="V456" i="64"/>
  <c r="W456" i="64"/>
  <c r="X456" i="64"/>
  <c r="Y456" i="64"/>
  <c r="Z456" i="64"/>
  <c r="AA456" i="64"/>
  <c r="AB456" i="64"/>
  <c r="AC456" i="64"/>
  <c r="AD456" i="64"/>
  <c r="AE456" i="64"/>
  <c r="AF456" i="64"/>
  <c r="AG456" i="64"/>
  <c r="AH456" i="64"/>
  <c r="AI456" i="64"/>
  <c r="AJ456" i="64"/>
  <c r="AK456" i="64"/>
  <c r="AL456" i="64"/>
  <c r="AM456" i="64"/>
  <c r="AN456" i="64"/>
  <c r="AO456" i="64"/>
  <c r="AP456" i="64"/>
  <c r="AQ456" i="64"/>
  <c r="AR456" i="64"/>
  <c r="AS456" i="64"/>
  <c r="AT456" i="64"/>
  <c r="AU456" i="64"/>
  <c r="AV456" i="64"/>
  <c r="AW456" i="64"/>
  <c r="AX456" i="64"/>
  <c r="AY456" i="64"/>
  <c r="AZ456" i="64"/>
  <c r="BA456" i="64"/>
  <c r="BB456" i="64"/>
  <c r="BC456" i="64"/>
  <c r="BD456" i="64"/>
  <c r="BE456" i="64"/>
  <c r="BF456" i="64"/>
  <c r="C457" i="64"/>
  <c r="D457" i="64"/>
  <c r="E457" i="64"/>
  <c r="F457" i="64"/>
  <c r="G457" i="64"/>
  <c r="H457" i="64"/>
  <c r="I457" i="64"/>
  <c r="J457" i="64"/>
  <c r="K457" i="64"/>
  <c r="L457" i="64"/>
  <c r="M457" i="64"/>
  <c r="N457" i="64"/>
  <c r="O457" i="64"/>
  <c r="P457" i="64"/>
  <c r="Q457" i="64"/>
  <c r="R457" i="64"/>
  <c r="S457" i="64"/>
  <c r="T457" i="64"/>
  <c r="U457" i="64"/>
  <c r="V457" i="64"/>
  <c r="W457" i="64"/>
  <c r="X457" i="64"/>
  <c r="Y457" i="64"/>
  <c r="Z457" i="64"/>
  <c r="AA457" i="64"/>
  <c r="AB457" i="64"/>
  <c r="AC457" i="64"/>
  <c r="AD457" i="64"/>
  <c r="AE457" i="64"/>
  <c r="AF457" i="64"/>
  <c r="AG457" i="64"/>
  <c r="AH457" i="64"/>
  <c r="AI457" i="64"/>
  <c r="AJ457" i="64"/>
  <c r="AK457" i="64"/>
  <c r="AL457" i="64"/>
  <c r="AM457" i="64"/>
  <c r="AN457" i="64"/>
  <c r="AO457" i="64"/>
  <c r="AP457" i="64"/>
  <c r="AQ457" i="64"/>
  <c r="AR457" i="64"/>
  <c r="AS457" i="64"/>
  <c r="AT457" i="64"/>
  <c r="AU457" i="64"/>
  <c r="AV457" i="64"/>
  <c r="AW457" i="64"/>
  <c r="AX457" i="64"/>
  <c r="AY457" i="64"/>
  <c r="AZ457" i="64"/>
  <c r="BA457" i="64"/>
  <c r="BB457" i="64"/>
  <c r="BC457" i="64"/>
  <c r="BD457" i="64"/>
  <c r="BE457" i="64"/>
  <c r="BF457" i="64"/>
  <c r="C459" i="64"/>
  <c r="D459" i="64"/>
  <c r="E459" i="64"/>
  <c r="F459" i="64"/>
  <c r="G459" i="64"/>
  <c r="H459" i="64"/>
  <c r="I459" i="64"/>
  <c r="J459" i="64"/>
  <c r="K459" i="64"/>
  <c r="L459" i="64"/>
  <c r="M459" i="64"/>
  <c r="N459" i="64"/>
  <c r="O459" i="64"/>
  <c r="P459" i="64"/>
  <c r="Q459" i="64"/>
  <c r="R459" i="64"/>
  <c r="S459" i="64"/>
  <c r="T459" i="64"/>
  <c r="U459" i="64"/>
  <c r="V459" i="64"/>
  <c r="W459" i="64"/>
  <c r="X459" i="64"/>
  <c r="Y459" i="64"/>
  <c r="Z459" i="64"/>
  <c r="AA459" i="64"/>
  <c r="AB459" i="64"/>
  <c r="AC459" i="64"/>
  <c r="AD459" i="64"/>
  <c r="AE459" i="64"/>
  <c r="AF459" i="64"/>
  <c r="AG459" i="64"/>
  <c r="AH459" i="64"/>
  <c r="AI459" i="64"/>
  <c r="AJ459" i="64"/>
  <c r="AK459" i="64"/>
  <c r="AL459" i="64"/>
  <c r="AM459" i="64"/>
  <c r="AN459" i="64"/>
  <c r="AO459" i="64"/>
  <c r="AP459" i="64"/>
  <c r="AQ459" i="64"/>
  <c r="AR459" i="64"/>
  <c r="AS459" i="64"/>
  <c r="AT459" i="64"/>
  <c r="AU459" i="64"/>
  <c r="AV459" i="64"/>
  <c r="AW459" i="64"/>
  <c r="AX459" i="64"/>
  <c r="AY459" i="64"/>
  <c r="AZ459" i="64"/>
  <c r="BA459" i="64"/>
  <c r="BB459" i="64"/>
  <c r="BC459" i="64"/>
  <c r="BD459" i="64"/>
  <c r="BE459" i="64"/>
  <c r="BF459" i="64"/>
  <c r="C462" i="64"/>
  <c r="D462" i="64"/>
  <c r="E462" i="64"/>
  <c r="F462" i="64"/>
  <c r="G462" i="64"/>
  <c r="H462" i="64"/>
  <c r="I462" i="64"/>
  <c r="J462" i="64"/>
  <c r="K462" i="64"/>
  <c r="L462" i="64"/>
  <c r="M462" i="64"/>
  <c r="N462" i="64"/>
  <c r="O462" i="64"/>
  <c r="P462" i="64"/>
  <c r="Q462" i="64"/>
  <c r="R462" i="64"/>
  <c r="S462" i="64"/>
  <c r="T462" i="64"/>
  <c r="U462" i="64"/>
  <c r="V462" i="64"/>
  <c r="W462" i="64"/>
  <c r="X462" i="64"/>
  <c r="Y462" i="64"/>
  <c r="Z462" i="64"/>
  <c r="AA462" i="64"/>
  <c r="AB462" i="64"/>
  <c r="AC462" i="64"/>
  <c r="AD462" i="64"/>
  <c r="AE462" i="64"/>
  <c r="AF462" i="64"/>
  <c r="AG462" i="64"/>
  <c r="AH462" i="64"/>
  <c r="AI462" i="64"/>
  <c r="AJ462" i="64"/>
  <c r="AK462" i="64"/>
  <c r="AL462" i="64"/>
  <c r="AM462" i="64"/>
  <c r="AN462" i="64"/>
  <c r="AO462" i="64"/>
  <c r="AP462" i="64"/>
  <c r="AQ462" i="64"/>
  <c r="AR462" i="64"/>
  <c r="AS462" i="64"/>
  <c r="AT462" i="64"/>
  <c r="AU462" i="64"/>
  <c r="AV462" i="64"/>
  <c r="AW462" i="64"/>
  <c r="AX462" i="64"/>
  <c r="AY462" i="64"/>
  <c r="AZ462" i="64"/>
  <c r="BA462" i="64"/>
  <c r="BB462" i="64"/>
  <c r="BC462" i="64"/>
  <c r="BD462" i="64"/>
  <c r="BE462" i="64"/>
  <c r="BF462" i="64"/>
  <c r="C468" i="64"/>
  <c r="D468" i="64"/>
  <c r="E468" i="64"/>
  <c r="F468" i="64"/>
  <c r="G468" i="64"/>
  <c r="H468" i="64"/>
  <c r="I468" i="64"/>
  <c r="J468" i="64"/>
  <c r="K468" i="64"/>
  <c r="L468" i="64"/>
  <c r="M468" i="64"/>
  <c r="N468" i="64"/>
  <c r="O468" i="64"/>
  <c r="P468" i="64"/>
  <c r="Q468" i="64"/>
  <c r="R468" i="64"/>
  <c r="S468" i="64"/>
  <c r="T468" i="64"/>
  <c r="U468" i="64"/>
  <c r="V468" i="64"/>
  <c r="W468" i="64"/>
  <c r="X468" i="64"/>
  <c r="Y468" i="64"/>
  <c r="Z468" i="64"/>
  <c r="AA468" i="64"/>
  <c r="AB468" i="64"/>
  <c r="AC468" i="64"/>
  <c r="AD468" i="64"/>
  <c r="AE468" i="64"/>
  <c r="AF468" i="64"/>
  <c r="AG468" i="64"/>
  <c r="AH468" i="64"/>
  <c r="AI468" i="64"/>
  <c r="AJ468" i="64"/>
  <c r="AK468" i="64"/>
  <c r="AL468" i="64"/>
  <c r="AM468" i="64"/>
  <c r="AN468" i="64"/>
  <c r="AO468" i="64"/>
  <c r="AP468" i="64"/>
  <c r="AQ468" i="64"/>
  <c r="AR468" i="64"/>
  <c r="AS468" i="64"/>
  <c r="AT468" i="64"/>
  <c r="AU468" i="64"/>
  <c r="AV468" i="64"/>
  <c r="AW468" i="64"/>
  <c r="AX468" i="64"/>
  <c r="AY468" i="64"/>
  <c r="AZ468" i="64"/>
  <c r="BA468" i="64"/>
  <c r="BB468" i="64"/>
  <c r="BC468" i="64"/>
  <c r="BD468" i="64"/>
  <c r="BE468" i="64"/>
  <c r="BF468" i="64"/>
  <c r="C480" i="64"/>
  <c r="D480" i="64"/>
  <c r="E480" i="64"/>
  <c r="F480" i="64"/>
  <c r="G480" i="64"/>
  <c r="H480" i="64"/>
  <c r="I480" i="64"/>
  <c r="J480" i="64"/>
  <c r="K480" i="64"/>
  <c r="L480" i="64"/>
  <c r="M480" i="64"/>
  <c r="N480" i="64"/>
  <c r="O480" i="64"/>
  <c r="P480" i="64"/>
  <c r="Q480" i="64"/>
  <c r="R480" i="64"/>
  <c r="S480" i="64"/>
  <c r="T480" i="64"/>
  <c r="U480" i="64"/>
  <c r="V480" i="64"/>
  <c r="W480" i="64"/>
  <c r="X480" i="64"/>
  <c r="Y480" i="64"/>
  <c r="Z480" i="64"/>
  <c r="AA480" i="64"/>
  <c r="AB480" i="64"/>
  <c r="AC480" i="64"/>
  <c r="AD480" i="64"/>
  <c r="AE480" i="64"/>
  <c r="AF480" i="64"/>
  <c r="AG480" i="64"/>
  <c r="AH480" i="64"/>
  <c r="AI480" i="64"/>
  <c r="AJ480" i="64"/>
  <c r="AK480" i="64"/>
  <c r="AL480" i="64"/>
  <c r="AM480" i="64"/>
  <c r="AN480" i="64"/>
  <c r="AO480" i="64"/>
  <c r="AP480" i="64"/>
  <c r="AQ480" i="64"/>
  <c r="AR480" i="64"/>
  <c r="AS480" i="64"/>
  <c r="AT480" i="64"/>
  <c r="AU480" i="64"/>
  <c r="AV480" i="64"/>
  <c r="AW480" i="64"/>
  <c r="AX480" i="64"/>
  <c r="AY480" i="64"/>
  <c r="AZ480" i="64"/>
  <c r="BA480" i="64"/>
  <c r="BB480" i="64"/>
  <c r="BC480" i="64"/>
  <c r="BD480" i="64"/>
  <c r="BE480" i="64"/>
  <c r="BF480" i="64"/>
  <c r="C481" i="64"/>
  <c r="D481" i="64"/>
  <c r="E481" i="64"/>
  <c r="F481" i="64"/>
  <c r="G481" i="64"/>
  <c r="H481" i="64"/>
  <c r="I481" i="64"/>
  <c r="J481" i="64"/>
  <c r="K481" i="64"/>
  <c r="L481" i="64"/>
  <c r="M481" i="64"/>
  <c r="N481" i="64"/>
  <c r="O481" i="64"/>
  <c r="P481" i="64"/>
  <c r="Q481" i="64"/>
  <c r="R481" i="64"/>
  <c r="S481" i="64"/>
  <c r="T481" i="64"/>
  <c r="U481" i="64"/>
  <c r="V481" i="64"/>
  <c r="W481" i="64"/>
  <c r="X481" i="64"/>
  <c r="Y481" i="64"/>
  <c r="Z481" i="64"/>
  <c r="AA481" i="64"/>
  <c r="AB481" i="64"/>
  <c r="AC481" i="64"/>
  <c r="AD481" i="64"/>
  <c r="AE481" i="64"/>
  <c r="AF481" i="64"/>
  <c r="AG481" i="64"/>
  <c r="AH481" i="64"/>
  <c r="AI481" i="64"/>
  <c r="AJ481" i="64"/>
  <c r="AK481" i="64"/>
  <c r="AL481" i="64"/>
  <c r="AM481" i="64"/>
  <c r="AN481" i="64"/>
  <c r="AO481" i="64"/>
  <c r="AP481" i="64"/>
  <c r="AQ481" i="64"/>
  <c r="AR481" i="64"/>
  <c r="AS481" i="64"/>
  <c r="AT481" i="64"/>
  <c r="AU481" i="64"/>
  <c r="AV481" i="64"/>
  <c r="AW481" i="64"/>
  <c r="AX481" i="64"/>
  <c r="AY481" i="64"/>
  <c r="AZ481" i="64"/>
  <c r="BA481" i="64"/>
  <c r="BB481" i="64"/>
  <c r="BC481" i="64"/>
  <c r="BD481" i="64"/>
  <c r="BE481" i="64"/>
  <c r="BF481" i="64"/>
  <c r="C482" i="64"/>
  <c r="D482" i="64"/>
  <c r="E482" i="64"/>
  <c r="F482" i="64"/>
  <c r="G482" i="64"/>
  <c r="H482" i="64"/>
  <c r="I482" i="64"/>
  <c r="J482" i="64"/>
  <c r="K482" i="64"/>
  <c r="L482" i="64"/>
  <c r="M482" i="64"/>
  <c r="N482" i="64"/>
  <c r="O482" i="64"/>
  <c r="P482" i="64"/>
  <c r="Q482" i="64"/>
  <c r="R482" i="64"/>
  <c r="S482" i="64"/>
  <c r="T482" i="64"/>
  <c r="U482" i="64"/>
  <c r="V482" i="64"/>
  <c r="W482" i="64"/>
  <c r="X482" i="64"/>
  <c r="Y482" i="64"/>
  <c r="Z482" i="64"/>
  <c r="AA482" i="64"/>
  <c r="AB482" i="64"/>
  <c r="AC482" i="64"/>
  <c r="AD482" i="64"/>
  <c r="AE482" i="64"/>
  <c r="AF482" i="64"/>
  <c r="AG482" i="64"/>
  <c r="AH482" i="64"/>
  <c r="AI482" i="64"/>
  <c r="AJ482" i="64"/>
  <c r="AK482" i="64"/>
  <c r="AL482" i="64"/>
  <c r="AM482" i="64"/>
  <c r="AN482" i="64"/>
  <c r="AO482" i="64"/>
  <c r="AP482" i="64"/>
  <c r="AQ482" i="64"/>
  <c r="AR482" i="64"/>
  <c r="AS482" i="64"/>
  <c r="AT482" i="64"/>
  <c r="AU482" i="64"/>
  <c r="AV482" i="64"/>
  <c r="AW482" i="64"/>
  <c r="AX482" i="64"/>
  <c r="AY482" i="64"/>
  <c r="AZ482" i="64"/>
  <c r="BA482" i="64"/>
  <c r="BB482" i="64"/>
  <c r="BC482" i="64"/>
  <c r="BD482" i="64"/>
  <c r="BE482" i="64"/>
  <c r="BF482" i="64"/>
  <c r="C483" i="64"/>
  <c r="D483" i="64"/>
  <c r="E483" i="64"/>
  <c r="F483" i="64"/>
  <c r="G483" i="64"/>
  <c r="H483" i="64"/>
  <c r="I483" i="64"/>
  <c r="J483" i="64"/>
  <c r="K483" i="64"/>
  <c r="L483" i="64"/>
  <c r="M483" i="64"/>
  <c r="N483" i="64"/>
  <c r="O483" i="64"/>
  <c r="P483" i="64"/>
  <c r="Q483" i="64"/>
  <c r="R483" i="64"/>
  <c r="S483" i="64"/>
  <c r="T483" i="64"/>
  <c r="U483" i="64"/>
  <c r="V483" i="64"/>
  <c r="W483" i="64"/>
  <c r="X483" i="64"/>
  <c r="Y483" i="64"/>
  <c r="Z483" i="64"/>
  <c r="AA483" i="64"/>
  <c r="AB483" i="64"/>
  <c r="AC483" i="64"/>
  <c r="AD483" i="64"/>
  <c r="AE483" i="64"/>
  <c r="AF483" i="64"/>
  <c r="AG483" i="64"/>
  <c r="AH483" i="64"/>
  <c r="AI483" i="64"/>
  <c r="AJ483" i="64"/>
  <c r="AK483" i="64"/>
  <c r="AL483" i="64"/>
  <c r="AM483" i="64"/>
  <c r="AN483" i="64"/>
  <c r="AO483" i="64"/>
  <c r="AP483" i="64"/>
  <c r="AQ483" i="64"/>
  <c r="AR483" i="64"/>
  <c r="AS483" i="64"/>
  <c r="AT483" i="64"/>
  <c r="AU483" i="64"/>
  <c r="AV483" i="64"/>
  <c r="AW483" i="64"/>
  <c r="AX483" i="64"/>
  <c r="AY483" i="64"/>
  <c r="AZ483" i="64"/>
  <c r="BA483" i="64"/>
  <c r="BB483" i="64"/>
  <c r="BC483" i="64"/>
  <c r="BD483" i="64"/>
  <c r="BE483" i="64"/>
  <c r="BF483" i="64"/>
  <c r="C484" i="64"/>
  <c r="D484" i="64"/>
  <c r="E484" i="64"/>
  <c r="F484" i="64"/>
  <c r="G484" i="64"/>
  <c r="H484" i="64"/>
  <c r="I484" i="64"/>
  <c r="J484" i="64"/>
  <c r="K484" i="64"/>
  <c r="L484" i="64"/>
  <c r="M484" i="64"/>
  <c r="N484" i="64"/>
  <c r="O484" i="64"/>
  <c r="P484" i="64"/>
  <c r="Q484" i="64"/>
  <c r="R484" i="64"/>
  <c r="S484" i="64"/>
  <c r="T484" i="64"/>
  <c r="U484" i="64"/>
  <c r="V484" i="64"/>
  <c r="W484" i="64"/>
  <c r="X484" i="64"/>
  <c r="Y484" i="64"/>
  <c r="Z484" i="64"/>
  <c r="AA484" i="64"/>
  <c r="AB484" i="64"/>
  <c r="AC484" i="64"/>
  <c r="AD484" i="64"/>
  <c r="AE484" i="64"/>
  <c r="AF484" i="64"/>
  <c r="AG484" i="64"/>
  <c r="AH484" i="64"/>
  <c r="AI484" i="64"/>
  <c r="AJ484" i="64"/>
  <c r="AK484" i="64"/>
  <c r="AL484" i="64"/>
  <c r="AM484" i="64"/>
  <c r="AN484" i="64"/>
  <c r="AO484" i="64"/>
  <c r="AP484" i="64"/>
  <c r="AQ484" i="64"/>
  <c r="AR484" i="64"/>
  <c r="AS484" i="64"/>
  <c r="AT484" i="64"/>
  <c r="AU484" i="64"/>
  <c r="AV484" i="64"/>
  <c r="AW484" i="64"/>
  <c r="AX484" i="64"/>
  <c r="AY484" i="64"/>
  <c r="AZ484" i="64"/>
  <c r="BA484" i="64"/>
  <c r="BB484" i="64"/>
  <c r="BC484" i="64"/>
  <c r="BD484" i="64"/>
  <c r="BE484" i="64"/>
  <c r="BF484" i="64"/>
  <c r="C485" i="64"/>
  <c r="D485" i="64"/>
  <c r="E485" i="64"/>
  <c r="F485" i="64"/>
  <c r="G485" i="64"/>
  <c r="H485" i="64"/>
  <c r="I485" i="64"/>
  <c r="J485" i="64"/>
  <c r="K485" i="64"/>
  <c r="L485" i="64"/>
  <c r="M485" i="64"/>
  <c r="N485" i="64"/>
  <c r="O485" i="64"/>
  <c r="P485" i="64"/>
  <c r="Q485" i="64"/>
  <c r="R485" i="64"/>
  <c r="S485" i="64"/>
  <c r="T485" i="64"/>
  <c r="U485" i="64"/>
  <c r="V485" i="64"/>
  <c r="W485" i="64"/>
  <c r="X485" i="64"/>
  <c r="Y485" i="64"/>
  <c r="Z485" i="64"/>
  <c r="AA485" i="64"/>
  <c r="AB485" i="64"/>
  <c r="AC485" i="64"/>
  <c r="AD485" i="64"/>
  <c r="AE485" i="64"/>
  <c r="AF485" i="64"/>
  <c r="AG485" i="64"/>
  <c r="AH485" i="64"/>
  <c r="AI485" i="64"/>
  <c r="AJ485" i="64"/>
  <c r="AK485" i="64"/>
  <c r="AL485" i="64"/>
  <c r="AM485" i="64"/>
  <c r="AN485" i="64"/>
  <c r="AO485" i="64"/>
  <c r="AP485" i="64"/>
  <c r="AQ485" i="64"/>
  <c r="AR485" i="64"/>
  <c r="AS485" i="64"/>
  <c r="AT485" i="64"/>
  <c r="AU485" i="64"/>
  <c r="AV485" i="64"/>
  <c r="AW485" i="64"/>
  <c r="AX485" i="64"/>
  <c r="AY485" i="64"/>
  <c r="AZ485" i="64"/>
  <c r="BA485" i="64"/>
  <c r="BB485" i="64"/>
  <c r="BC485" i="64"/>
  <c r="BD485" i="64"/>
  <c r="BE485" i="64"/>
  <c r="BF485" i="64"/>
  <c r="C486" i="64"/>
  <c r="D486" i="64"/>
  <c r="E486" i="64"/>
  <c r="F486" i="64"/>
  <c r="G486" i="64"/>
  <c r="H486" i="64"/>
  <c r="I486" i="64"/>
  <c r="J486" i="64"/>
  <c r="K486" i="64"/>
  <c r="L486" i="64"/>
  <c r="M486" i="64"/>
  <c r="N486" i="64"/>
  <c r="O486" i="64"/>
  <c r="P486" i="64"/>
  <c r="Q486" i="64"/>
  <c r="R486" i="64"/>
  <c r="S486" i="64"/>
  <c r="T486" i="64"/>
  <c r="U486" i="64"/>
  <c r="V486" i="64"/>
  <c r="W486" i="64"/>
  <c r="X486" i="64"/>
  <c r="Y486" i="64"/>
  <c r="Z486" i="64"/>
  <c r="AA486" i="64"/>
  <c r="AB486" i="64"/>
  <c r="AC486" i="64"/>
  <c r="AD486" i="64"/>
  <c r="AE486" i="64"/>
  <c r="AF486" i="64"/>
  <c r="AG486" i="64"/>
  <c r="AH486" i="64"/>
  <c r="AI486" i="64"/>
  <c r="AJ486" i="64"/>
  <c r="AK486" i="64"/>
  <c r="AL486" i="64"/>
  <c r="AM486" i="64"/>
  <c r="AN486" i="64"/>
  <c r="AO486" i="64"/>
  <c r="AP486" i="64"/>
  <c r="AQ486" i="64"/>
  <c r="AR486" i="64"/>
  <c r="AS486" i="64"/>
  <c r="AT486" i="64"/>
  <c r="AU486" i="64"/>
  <c r="AV486" i="64"/>
  <c r="AW486" i="64"/>
  <c r="AX486" i="64"/>
  <c r="AY486" i="64"/>
  <c r="AZ486" i="64"/>
  <c r="BA486" i="64"/>
  <c r="BB486" i="64"/>
  <c r="BC486" i="64"/>
  <c r="BD486" i="64"/>
  <c r="BE486" i="64"/>
  <c r="BF486" i="64"/>
  <c r="C487" i="64"/>
  <c r="D487" i="64"/>
  <c r="E487" i="64"/>
  <c r="F487" i="64"/>
  <c r="G487" i="64"/>
  <c r="H487" i="64"/>
  <c r="I487" i="64"/>
  <c r="J487" i="64"/>
  <c r="K487" i="64"/>
  <c r="L487" i="64"/>
  <c r="M487" i="64"/>
  <c r="N487" i="64"/>
  <c r="O487" i="64"/>
  <c r="P487" i="64"/>
  <c r="Q487" i="64"/>
  <c r="R487" i="64"/>
  <c r="S487" i="64"/>
  <c r="T487" i="64"/>
  <c r="U487" i="64"/>
  <c r="V487" i="64"/>
  <c r="W487" i="64"/>
  <c r="X487" i="64"/>
  <c r="Y487" i="64"/>
  <c r="Z487" i="64"/>
  <c r="AA487" i="64"/>
  <c r="AB487" i="64"/>
  <c r="AC487" i="64"/>
  <c r="AD487" i="64"/>
  <c r="AE487" i="64"/>
  <c r="AF487" i="64"/>
  <c r="AG487" i="64"/>
  <c r="AH487" i="64"/>
  <c r="AI487" i="64"/>
  <c r="AJ487" i="64"/>
  <c r="AK487" i="64"/>
  <c r="AL487" i="64"/>
  <c r="AM487" i="64"/>
  <c r="AN487" i="64"/>
  <c r="AO487" i="64"/>
  <c r="AP487" i="64"/>
  <c r="AQ487" i="64"/>
  <c r="AR487" i="64"/>
  <c r="AS487" i="64"/>
  <c r="AT487" i="64"/>
  <c r="AU487" i="64"/>
  <c r="AV487" i="64"/>
  <c r="AW487" i="64"/>
  <c r="AX487" i="64"/>
  <c r="AY487" i="64"/>
  <c r="AZ487" i="64"/>
  <c r="BA487" i="64"/>
  <c r="BB487" i="64"/>
  <c r="BC487" i="64"/>
  <c r="BD487" i="64"/>
  <c r="BE487" i="64"/>
  <c r="BF487" i="64"/>
  <c r="C488" i="64"/>
  <c r="D488" i="64"/>
  <c r="E488" i="64"/>
  <c r="F488" i="64"/>
  <c r="G488" i="64"/>
  <c r="H488" i="64"/>
  <c r="I488" i="64"/>
  <c r="J488" i="64"/>
  <c r="K488" i="64"/>
  <c r="L488" i="64"/>
  <c r="M488" i="64"/>
  <c r="N488" i="64"/>
  <c r="O488" i="64"/>
  <c r="P488" i="64"/>
  <c r="Q488" i="64"/>
  <c r="R488" i="64"/>
  <c r="S488" i="64"/>
  <c r="T488" i="64"/>
  <c r="U488" i="64"/>
  <c r="V488" i="64"/>
  <c r="W488" i="64"/>
  <c r="X488" i="64"/>
  <c r="Y488" i="64"/>
  <c r="Z488" i="64"/>
  <c r="AA488" i="64"/>
  <c r="AB488" i="64"/>
  <c r="AC488" i="64"/>
  <c r="AD488" i="64"/>
  <c r="AE488" i="64"/>
  <c r="AF488" i="64"/>
  <c r="AG488" i="64"/>
  <c r="AH488" i="64"/>
  <c r="AI488" i="64"/>
  <c r="AJ488" i="64"/>
  <c r="AK488" i="64"/>
  <c r="AL488" i="64"/>
  <c r="AM488" i="64"/>
  <c r="AN488" i="64"/>
  <c r="AO488" i="64"/>
  <c r="AP488" i="64"/>
  <c r="AQ488" i="64"/>
  <c r="AR488" i="64"/>
  <c r="AS488" i="64"/>
  <c r="AT488" i="64"/>
  <c r="AU488" i="64"/>
  <c r="AV488" i="64"/>
  <c r="AW488" i="64"/>
  <c r="AX488" i="64"/>
  <c r="AY488" i="64"/>
  <c r="AZ488" i="64"/>
  <c r="BA488" i="64"/>
  <c r="BB488" i="64"/>
  <c r="BC488" i="64"/>
  <c r="BD488" i="64"/>
  <c r="BE488" i="64"/>
  <c r="BF488" i="64"/>
  <c r="C489" i="64"/>
  <c r="D489" i="64"/>
  <c r="E489" i="64"/>
  <c r="F489" i="64"/>
  <c r="G489" i="64"/>
  <c r="H489" i="64"/>
  <c r="I489" i="64"/>
  <c r="J489" i="64"/>
  <c r="K489" i="64"/>
  <c r="L489" i="64"/>
  <c r="M489" i="64"/>
  <c r="N489" i="64"/>
  <c r="O489" i="64"/>
  <c r="P489" i="64"/>
  <c r="Q489" i="64"/>
  <c r="R489" i="64"/>
  <c r="S489" i="64"/>
  <c r="T489" i="64"/>
  <c r="U489" i="64"/>
  <c r="V489" i="64"/>
  <c r="W489" i="64"/>
  <c r="X489" i="64"/>
  <c r="Y489" i="64"/>
  <c r="Z489" i="64"/>
  <c r="AA489" i="64"/>
  <c r="AB489" i="64"/>
  <c r="AC489" i="64"/>
  <c r="AD489" i="64"/>
  <c r="AE489" i="64"/>
  <c r="AF489" i="64"/>
  <c r="AG489" i="64"/>
  <c r="AH489" i="64"/>
  <c r="AI489" i="64"/>
  <c r="AJ489" i="64"/>
  <c r="AK489" i="64"/>
  <c r="AL489" i="64"/>
  <c r="AM489" i="64"/>
  <c r="AN489" i="64"/>
  <c r="AO489" i="64"/>
  <c r="AP489" i="64"/>
  <c r="AQ489" i="64"/>
  <c r="AR489" i="64"/>
  <c r="AS489" i="64"/>
  <c r="AT489" i="64"/>
  <c r="AU489" i="64"/>
  <c r="AV489" i="64"/>
  <c r="AW489" i="64"/>
  <c r="AX489" i="64"/>
  <c r="AY489" i="64"/>
  <c r="AZ489" i="64"/>
  <c r="BA489" i="64"/>
  <c r="BB489" i="64"/>
  <c r="BC489" i="64"/>
  <c r="BD489" i="64"/>
  <c r="BE489" i="64"/>
  <c r="BF489" i="64"/>
  <c r="C490" i="64"/>
  <c r="D490" i="64"/>
  <c r="E490" i="64"/>
  <c r="F490" i="64"/>
  <c r="G490" i="64"/>
  <c r="H490" i="64"/>
  <c r="I490" i="64"/>
  <c r="J490" i="64"/>
  <c r="K490" i="64"/>
  <c r="L490" i="64"/>
  <c r="M490" i="64"/>
  <c r="N490" i="64"/>
  <c r="O490" i="64"/>
  <c r="P490" i="64"/>
  <c r="Q490" i="64"/>
  <c r="R490" i="64"/>
  <c r="S490" i="64"/>
  <c r="T490" i="64"/>
  <c r="U490" i="64"/>
  <c r="V490" i="64"/>
  <c r="W490" i="64"/>
  <c r="X490" i="64"/>
  <c r="Y490" i="64"/>
  <c r="Z490" i="64"/>
  <c r="AA490" i="64"/>
  <c r="AB490" i="64"/>
  <c r="AC490" i="64"/>
  <c r="AD490" i="64"/>
  <c r="AE490" i="64"/>
  <c r="AF490" i="64"/>
  <c r="AG490" i="64"/>
  <c r="AH490" i="64"/>
  <c r="AI490" i="64"/>
  <c r="AJ490" i="64"/>
  <c r="AK490" i="64"/>
  <c r="AL490" i="64"/>
  <c r="AM490" i="64"/>
  <c r="AN490" i="64"/>
  <c r="AO490" i="64"/>
  <c r="AP490" i="64"/>
  <c r="AQ490" i="64"/>
  <c r="AR490" i="64"/>
  <c r="AS490" i="64"/>
  <c r="AT490" i="64"/>
  <c r="AU490" i="64"/>
  <c r="AV490" i="64"/>
  <c r="AW490" i="64"/>
  <c r="AX490" i="64"/>
  <c r="AY490" i="64"/>
  <c r="AZ490" i="64"/>
  <c r="BA490" i="64"/>
  <c r="BB490" i="64"/>
  <c r="BC490" i="64"/>
  <c r="BD490" i="64"/>
  <c r="BE490" i="64"/>
  <c r="BF490" i="64"/>
  <c r="C491" i="64"/>
  <c r="D491" i="64"/>
  <c r="E491" i="64"/>
  <c r="F491" i="64"/>
  <c r="G491" i="64"/>
  <c r="H491" i="64"/>
  <c r="I491" i="64"/>
  <c r="J491" i="64"/>
  <c r="K491" i="64"/>
  <c r="L491" i="64"/>
  <c r="M491" i="64"/>
  <c r="N491" i="64"/>
  <c r="O491" i="64"/>
  <c r="P491" i="64"/>
  <c r="Q491" i="64"/>
  <c r="R491" i="64"/>
  <c r="S491" i="64"/>
  <c r="T491" i="64"/>
  <c r="U491" i="64"/>
  <c r="V491" i="64"/>
  <c r="W491" i="64"/>
  <c r="X491" i="64"/>
  <c r="Y491" i="64"/>
  <c r="Z491" i="64"/>
  <c r="AA491" i="64"/>
  <c r="AB491" i="64"/>
  <c r="AC491" i="64"/>
  <c r="AD491" i="64"/>
  <c r="AE491" i="64"/>
  <c r="AF491" i="64"/>
  <c r="AG491" i="64"/>
  <c r="AH491" i="64"/>
  <c r="AI491" i="64"/>
  <c r="AJ491" i="64"/>
  <c r="AK491" i="64"/>
  <c r="AL491" i="64"/>
  <c r="AM491" i="64"/>
  <c r="AN491" i="64"/>
  <c r="AO491" i="64"/>
  <c r="AP491" i="64"/>
  <c r="AQ491" i="64"/>
  <c r="AR491" i="64"/>
  <c r="AS491" i="64"/>
  <c r="AT491" i="64"/>
  <c r="AU491" i="64"/>
  <c r="AV491" i="64"/>
  <c r="AW491" i="64"/>
  <c r="AX491" i="64"/>
  <c r="AY491" i="64"/>
  <c r="AZ491" i="64"/>
  <c r="BA491" i="64"/>
  <c r="BB491" i="64"/>
  <c r="BC491" i="64"/>
  <c r="BD491" i="64"/>
  <c r="BE491" i="64"/>
  <c r="BF491" i="64"/>
  <c r="C492" i="64"/>
  <c r="D492" i="64"/>
  <c r="E492" i="64"/>
  <c r="F492" i="64"/>
  <c r="G492" i="64"/>
  <c r="H492" i="64"/>
  <c r="I492" i="64"/>
  <c r="J492" i="64"/>
  <c r="K492" i="64"/>
  <c r="L492" i="64"/>
  <c r="M492" i="64"/>
  <c r="N492" i="64"/>
  <c r="O492" i="64"/>
  <c r="P492" i="64"/>
  <c r="Q492" i="64"/>
  <c r="R492" i="64"/>
  <c r="S492" i="64"/>
  <c r="T492" i="64"/>
  <c r="U492" i="64"/>
  <c r="V492" i="64"/>
  <c r="W492" i="64"/>
  <c r="X492" i="64"/>
  <c r="Y492" i="64"/>
  <c r="Z492" i="64"/>
  <c r="AA492" i="64"/>
  <c r="AB492" i="64"/>
  <c r="AC492" i="64"/>
  <c r="AD492" i="64"/>
  <c r="AE492" i="64"/>
  <c r="AF492" i="64"/>
  <c r="AG492" i="64"/>
  <c r="AH492" i="64"/>
  <c r="AI492" i="64"/>
  <c r="AJ492" i="64"/>
  <c r="AK492" i="64"/>
  <c r="AL492" i="64"/>
  <c r="AM492" i="64"/>
  <c r="AN492" i="64"/>
  <c r="AO492" i="64"/>
  <c r="AP492" i="64"/>
  <c r="AQ492" i="64"/>
  <c r="AR492" i="64"/>
  <c r="AS492" i="64"/>
  <c r="AT492" i="64"/>
  <c r="AU492" i="64"/>
  <c r="AV492" i="64"/>
  <c r="AW492" i="64"/>
  <c r="AX492" i="64"/>
  <c r="AY492" i="64"/>
  <c r="AZ492" i="64"/>
  <c r="BA492" i="64"/>
  <c r="BB492" i="64"/>
  <c r="BC492" i="64"/>
  <c r="BD492" i="64"/>
  <c r="BE492" i="64"/>
  <c r="BF492" i="64"/>
  <c r="C493" i="64"/>
  <c r="D493" i="64"/>
  <c r="E493" i="64"/>
  <c r="F493" i="64"/>
  <c r="G493" i="64"/>
  <c r="H493" i="64"/>
  <c r="I493" i="64"/>
  <c r="J493" i="64"/>
  <c r="K493" i="64"/>
  <c r="L493" i="64"/>
  <c r="M493" i="64"/>
  <c r="N493" i="64"/>
  <c r="O493" i="64"/>
  <c r="P493" i="64"/>
  <c r="Q493" i="64"/>
  <c r="R493" i="64"/>
  <c r="S493" i="64"/>
  <c r="T493" i="64"/>
  <c r="U493" i="64"/>
  <c r="V493" i="64"/>
  <c r="W493" i="64"/>
  <c r="X493" i="64"/>
  <c r="Y493" i="64"/>
  <c r="Z493" i="64"/>
  <c r="AA493" i="64"/>
  <c r="AB493" i="64"/>
  <c r="AC493" i="64"/>
  <c r="AD493" i="64"/>
  <c r="AE493" i="64"/>
  <c r="AF493" i="64"/>
  <c r="AG493" i="64"/>
  <c r="AH493" i="64"/>
  <c r="AI493" i="64"/>
  <c r="AJ493" i="64"/>
  <c r="AK493" i="64"/>
  <c r="AL493" i="64"/>
  <c r="AM493" i="64"/>
  <c r="AN493" i="64"/>
  <c r="AO493" i="64"/>
  <c r="AP493" i="64"/>
  <c r="AQ493" i="64"/>
  <c r="AR493" i="64"/>
  <c r="AS493" i="64"/>
  <c r="AT493" i="64"/>
  <c r="AU493" i="64"/>
  <c r="AV493" i="64"/>
  <c r="AW493" i="64"/>
  <c r="AX493" i="64"/>
  <c r="AY493" i="64"/>
  <c r="AZ493" i="64"/>
  <c r="BA493" i="64"/>
  <c r="BB493" i="64"/>
  <c r="BC493" i="64"/>
  <c r="BD493" i="64"/>
  <c r="BE493" i="64"/>
  <c r="BF493" i="64"/>
  <c r="C494" i="64"/>
  <c r="D494" i="64"/>
  <c r="E494" i="64"/>
  <c r="F494" i="64"/>
  <c r="G494" i="64"/>
  <c r="H494" i="64"/>
  <c r="I494" i="64"/>
  <c r="J494" i="64"/>
  <c r="K494" i="64"/>
  <c r="L494" i="64"/>
  <c r="M494" i="64"/>
  <c r="N494" i="64"/>
  <c r="O494" i="64"/>
  <c r="P494" i="64"/>
  <c r="Q494" i="64"/>
  <c r="R494" i="64"/>
  <c r="S494" i="64"/>
  <c r="T494" i="64"/>
  <c r="U494" i="64"/>
  <c r="V494" i="64"/>
  <c r="W494" i="64"/>
  <c r="X494" i="64"/>
  <c r="Y494" i="64"/>
  <c r="Z494" i="64"/>
  <c r="AA494" i="64"/>
  <c r="AB494" i="64"/>
  <c r="AC494" i="64"/>
  <c r="AD494" i="64"/>
  <c r="AE494" i="64"/>
  <c r="AF494" i="64"/>
  <c r="AG494" i="64"/>
  <c r="AH494" i="64"/>
  <c r="AI494" i="64"/>
  <c r="AJ494" i="64"/>
  <c r="AK494" i="64"/>
  <c r="AL494" i="64"/>
  <c r="AM494" i="64"/>
  <c r="AN494" i="64"/>
  <c r="AO494" i="64"/>
  <c r="AP494" i="64"/>
  <c r="AQ494" i="64"/>
  <c r="AR494" i="64"/>
  <c r="AS494" i="64"/>
  <c r="AT494" i="64"/>
  <c r="AU494" i="64"/>
  <c r="AV494" i="64"/>
  <c r="AW494" i="64"/>
  <c r="AX494" i="64"/>
  <c r="AY494" i="64"/>
  <c r="AZ494" i="64"/>
  <c r="BA494" i="64"/>
  <c r="BB494" i="64"/>
  <c r="BC494" i="64"/>
  <c r="BD494" i="64"/>
  <c r="BE494" i="64"/>
  <c r="BF494" i="64"/>
  <c r="C495" i="64"/>
  <c r="D495" i="64"/>
  <c r="E495" i="64"/>
  <c r="F495" i="64"/>
  <c r="G495" i="64"/>
  <c r="H495" i="64"/>
  <c r="I495" i="64"/>
  <c r="J495" i="64"/>
  <c r="K495" i="64"/>
  <c r="L495" i="64"/>
  <c r="M495" i="64"/>
  <c r="N495" i="64"/>
  <c r="O495" i="64"/>
  <c r="P495" i="64"/>
  <c r="Q495" i="64"/>
  <c r="R495" i="64"/>
  <c r="S495" i="64"/>
  <c r="T495" i="64"/>
  <c r="U495" i="64"/>
  <c r="V495" i="64"/>
  <c r="W495" i="64"/>
  <c r="X495" i="64"/>
  <c r="Y495" i="64"/>
  <c r="Z495" i="64"/>
  <c r="AA495" i="64"/>
  <c r="AB495" i="64"/>
  <c r="AC495" i="64"/>
  <c r="AD495" i="64"/>
  <c r="AE495" i="64"/>
  <c r="AF495" i="64"/>
  <c r="AG495" i="64"/>
  <c r="AH495" i="64"/>
  <c r="AI495" i="64"/>
  <c r="AJ495" i="64"/>
  <c r="AK495" i="64"/>
  <c r="AL495" i="64"/>
  <c r="AM495" i="64"/>
  <c r="AN495" i="64"/>
  <c r="AO495" i="64"/>
  <c r="AP495" i="64"/>
  <c r="AQ495" i="64"/>
  <c r="AR495" i="64"/>
  <c r="AS495" i="64"/>
  <c r="AT495" i="64"/>
  <c r="AU495" i="64"/>
  <c r="AV495" i="64"/>
  <c r="AW495" i="64"/>
  <c r="AX495" i="64"/>
  <c r="AY495" i="64"/>
  <c r="AZ495" i="64"/>
  <c r="BA495" i="64"/>
  <c r="BB495" i="64"/>
  <c r="BC495" i="64"/>
  <c r="BD495" i="64"/>
  <c r="BE495" i="64"/>
  <c r="BF495" i="64"/>
  <c r="C496" i="64"/>
  <c r="D496" i="64"/>
  <c r="E496" i="64"/>
  <c r="F496" i="64"/>
  <c r="G496" i="64"/>
  <c r="H496" i="64"/>
  <c r="I496" i="64"/>
  <c r="J496" i="64"/>
  <c r="K496" i="64"/>
  <c r="L496" i="64"/>
  <c r="M496" i="64"/>
  <c r="N496" i="64"/>
  <c r="O496" i="64"/>
  <c r="P496" i="64"/>
  <c r="Q496" i="64"/>
  <c r="R496" i="64"/>
  <c r="S496" i="64"/>
  <c r="T496" i="64"/>
  <c r="U496" i="64"/>
  <c r="V496" i="64"/>
  <c r="W496" i="64"/>
  <c r="X496" i="64"/>
  <c r="Y496" i="64"/>
  <c r="Z496" i="64"/>
  <c r="AA496" i="64"/>
  <c r="AB496" i="64"/>
  <c r="AC496" i="64"/>
  <c r="AD496" i="64"/>
  <c r="AE496" i="64"/>
  <c r="AF496" i="64"/>
  <c r="AG496" i="64"/>
  <c r="AH496" i="64"/>
  <c r="AI496" i="64"/>
  <c r="AJ496" i="64"/>
  <c r="AK496" i="64"/>
  <c r="AL496" i="64"/>
  <c r="AM496" i="64"/>
  <c r="AN496" i="64"/>
  <c r="AO496" i="64"/>
  <c r="AP496" i="64"/>
  <c r="AQ496" i="64"/>
  <c r="AR496" i="64"/>
  <c r="AS496" i="64"/>
  <c r="AT496" i="64"/>
  <c r="AU496" i="64"/>
  <c r="AV496" i="64"/>
  <c r="AW496" i="64"/>
  <c r="AX496" i="64"/>
  <c r="AY496" i="64"/>
  <c r="AZ496" i="64"/>
  <c r="BA496" i="64"/>
  <c r="BB496" i="64"/>
  <c r="BC496" i="64"/>
  <c r="BD496" i="64"/>
  <c r="BE496" i="64"/>
  <c r="BF496" i="64"/>
  <c r="C497" i="64"/>
  <c r="D497" i="64"/>
  <c r="E497" i="64"/>
  <c r="F497" i="64"/>
  <c r="G497" i="64"/>
  <c r="H497" i="64"/>
  <c r="I497" i="64"/>
  <c r="J497" i="64"/>
  <c r="K497" i="64"/>
  <c r="L497" i="64"/>
  <c r="M497" i="64"/>
  <c r="N497" i="64"/>
  <c r="O497" i="64"/>
  <c r="P497" i="64"/>
  <c r="Q497" i="64"/>
  <c r="R497" i="64"/>
  <c r="S497" i="64"/>
  <c r="T497" i="64"/>
  <c r="U497" i="64"/>
  <c r="V497" i="64"/>
  <c r="W497" i="64"/>
  <c r="X497" i="64"/>
  <c r="Y497" i="64"/>
  <c r="Z497" i="64"/>
  <c r="AA497" i="64"/>
  <c r="AB497" i="64"/>
  <c r="AC497" i="64"/>
  <c r="AD497" i="64"/>
  <c r="AE497" i="64"/>
  <c r="AF497" i="64"/>
  <c r="AG497" i="64"/>
  <c r="AH497" i="64"/>
  <c r="AI497" i="64"/>
  <c r="AJ497" i="64"/>
  <c r="AK497" i="64"/>
  <c r="AL497" i="64"/>
  <c r="AM497" i="64"/>
  <c r="AN497" i="64"/>
  <c r="AO497" i="64"/>
  <c r="AP497" i="64"/>
  <c r="AQ497" i="64"/>
  <c r="AR497" i="64"/>
  <c r="AS497" i="64"/>
  <c r="AT497" i="64"/>
  <c r="AU497" i="64"/>
  <c r="AV497" i="64"/>
  <c r="AW497" i="64"/>
  <c r="AX497" i="64"/>
  <c r="AY497" i="64"/>
  <c r="AZ497" i="64"/>
  <c r="BA497" i="64"/>
  <c r="BB497" i="64"/>
  <c r="BC497" i="64"/>
  <c r="BD497" i="64"/>
  <c r="BE497" i="64"/>
  <c r="BF497" i="64"/>
  <c r="C498" i="64"/>
  <c r="D498" i="64"/>
  <c r="E498" i="64"/>
  <c r="F498" i="64"/>
  <c r="G498" i="64"/>
  <c r="H498" i="64"/>
  <c r="I498" i="64"/>
  <c r="J498" i="64"/>
  <c r="K498" i="64"/>
  <c r="L498" i="64"/>
  <c r="M498" i="64"/>
  <c r="N498" i="64"/>
  <c r="O498" i="64"/>
  <c r="P498" i="64"/>
  <c r="Q498" i="64"/>
  <c r="R498" i="64"/>
  <c r="S498" i="64"/>
  <c r="T498" i="64"/>
  <c r="U498" i="64"/>
  <c r="V498" i="64"/>
  <c r="W498" i="64"/>
  <c r="X498" i="64"/>
  <c r="Y498" i="64"/>
  <c r="Z498" i="64"/>
  <c r="AA498" i="64"/>
  <c r="AB498" i="64"/>
  <c r="AC498" i="64"/>
  <c r="AD498" i="64"/>
  <c r="AE498" i="64"/>
  <c r="AF498" i="64"/>
  <c r="AG498" i="64"/>
  <c r="AH498" i="64"/>
  <c r="AI498" i="64"/>
  <c r="AJ498" i="64"/>
  <c r="AK498" i="64"/>
  <c r="AL498" i="64"/>
  <c r="AM498" i="64"/>
  <c r="AN498" i="64"/>
  <c r="AO498" i="64"/>
  <c r="AP498" i="64"/>
  <c r="AQ498" i="64"/>
  <c r="AR498" i="64"/>
  <c r="AS498" i="64"/>
  <c r="AT498" i="64"/>
  <c r="AU498" i="64"/>
  <c r="AV498" i="64"/>
  <c r="AW498" i="64"/>
  <c r="AX498" i="64"/>
  <c r="AY498" i="64"/>
  <c r="AZ498" i="64"/>
  <c r="BA498" i="64"/>
  <c r="BB498" i="64"/>
  <c r="BC498" i="64"/>
  <c r="BD498" i="64"/>
  <c r="BE498" i="64"/>
  <c r="BF498" i="64"/>
  <c r="C499" i="64"/>
  <c r="D499" i="64"/>
  <c r="E499" i="64"/>
  <c r="F499" i="64"/>
  <c r="G499" i="64"/>
  <c r="H499" i="64"/>
  <c r="I499" i="64"/>
  <c r="J499" i="64"/>
  <c r="K499" i="64"/>
  <c r="L499" i="64"/>
  <c r="M499" i="64"/>
  <c r="N499" i="64"/>
  <c r="O499" i="64"/>
  <c r="P499" i="64"/>
  <c r="Q499" i="64"/>
  <c r="R499" i="64"/>
  <c r="S499" i="64"/>
  <c r="T499" i="64"/>
  <c r="U499" i="64"/>
  <c r="V499" i="64"/>
  <c r="W499" i="64"/>
  <c r="X499" i="64"/>
  <c r="Y499" i="64"/>
  <c r="Z499" i="64"/>
  <c r="AA499" i="64"/>
  <c r="AB499" i="64"/>
  <c r="AC499" i="64"/>
  <c r="AD499" i="64"/>
  <c r="AE499" i="64"/>
  <c r="AF499" i="64"/>
  <c r="AG499" i="64"/>
  <c r="AH499" i="64"/>
  <c r="AI499" i="64"/>
  <c r="AJ499" i="64"/>
  <c r="AK499" i="64"/>
  <c r="AL499" i="64"/>
  <c r="AM499" i="64"/>
  <c r="AN499" i="64"/>
  <c r="AO499" i="64"/>
  <c r="AP499" i="64"/>
  <c r="AQ499" i="64"/>
  <c r="AR499" i="64"/>
  <c r="AS499" i="64"/>
  <c r="AT499" i="64"/>
  <c r="AU499" i="64"/>
  <c r="AV499" i="64"/>
  <c r="AW499" i="64"/>
  <c r="AX499" i="64"/>
  <c r="AY499" i="64"/>
  <c r="AZ499" i="64"/>
  <c r="BA499" i="64"/>
  <c r="BB499" i="64"/>
  <c r="BC499" i="64"/>
  <c r="BD499" i="64"/>
  <c r="BE499" i="64"/>
  <c r="BF499" i="64"/>
  <c r="C500" i="64"/>
  <c r="D500" i="64"/>
  <c r="E500" i="64"/>
  <c r="F500" i="64"/>
  <c r="G500" i="64"/>
  <c r="H500" i="64"/>
  <c r="I500" i="64"/>
  <c r="J500" i="64"/>
  <c r="K500" i="64"/>
  <c r="L500" i="64"/>
  <c r="M500" i="64"/>
  <c r="N500" i="64"/>
  <c r="O500" i="64"/>
  <c r="P500" i="64"/>
  <c r="Q500" i="64"/>
  <c r="R500" i="64"/>
  <c r="S500" i="64"/>
  <c r="T500" i="64"/>
  <c r="U500" i="64"/>
  <c r="V500" i="64"/>
  <c r="W500" i="64"/>
  <c r="X500" i="64"/>
  <c r="Y500" i="64"/>
  <c r="Z500" i="64"/>
  <c r="AA500" i="64"/>
  <c r="AB500" i="64"/>
  <c r="AC500" i="64"/>
  <c r="AD500" i="64"/>
  <c r="AE500" i="64"/>
  <c r="AF500" i="64"/>
  <c r="AG500" i="64"/>
  <c r="AH500" i="64"/>
  <c r="AI500" i="64"/>
  <c r="AJ500" i="64"/>
  <c r="AK500" i="64"/>
  <c r="AL500" i="64"/>
  <c r="AM500" i="64"/>
  <c r="AN500" i="64"/>
  <c r="AO500" i="64"/>
  <c r="AP500" i="64"/>
  <c r="AQ500" i="64"/>
  <c r="AR500" i="64"/>
  <c r="AS500" i="64"/>
  <c r="AT500" i="64"/>
  <c r="AU500" i="64"/>
  <c r="AV500" i="64"/>
  <c r="AW500" i="64"/>
  <c r="AX500" i="64"/>
  <c r="AY500" i="64"/>
  <c r="AZ500" i="64"/>
  <c r="BA500" i="64"/>
  <c r="BB500" i="64"/>
  <c r="BC500" i="64"/>
  <c r="BD500" i="64"/>
  <c r="BE500" i="64"/>
  <c r="BF500" i="64"/>
  <c r="C501" i="64"/>
  <c r="D501" i="64"/>
  <c r="E501" i="64"/>
  <c r="F501" i="64"/>
  <c r="G501" i="64"/>
  <c r="H501" i="64"/>
  <c r="I501" i="64"/>
  <c r="J501" i="64"/>
  <c r="K501" i="64"/>
  <c r="L501" i="64"/>
  <c r="M501" i="64"/>
  <c r="N501" i="64"/>
  <c r="O501" i="64"/>
  <c r="P501" i="64"/>
  <c r="Q501" i="64"/>
  <c r="R501" i="64"/>
  <c r="S501" i="64"/>
  <c r="T501" i="64"/>
  <c r="U501" i="64"/>
  <c r="V501" i="64"/>
  <c r="W501" i="64"/>
  <c r="X501" i="64"/>
  <c r="Y501" i="64"/>
  <c r="Z501" i="64"/>
  <c r="AA501" i="64"/>
  <c r="AB501" i="64"/>
  <c r="AC501" i="64"/>
  <c r="AD501" i="64"/>
  <c r="AE501" i="64"/>
  <c r="AF501" i="64"/>
  <c r="AG501" i="64"/>
  <c r="AH501" i="64"/>
  <c r="AI501" i="64"/>
  <c r="AJ501" i="64"/>
  <c r="AK501" i="64"/>
  <c r="AL501" i="64"/>
  <c r="AM501" i="64"/>
  <c r="AN501" i="64"/>
  <c r="AO501" i="64"/>
  <c r="AP501" i="64"/>
  <c r="AQ501" i="64"/>
  <c r="AR501" i="64"/>
  <c r="AS501" i="64"/>
  <c r="AT501" i="64"/>
  <c r="AU501" i="64"/>
  <c r="AV501" i="64"/>
  <c r="AW501" i="64"/>
  <c r="AX501" i="64"/>
  <c r="AY501" i="64"/>
  <c r="AZ501" i="64"/>
  <c r="BA501" i="64"/>
  <c r="BB501" i="64"/>
  <c r="BC501" i="64"/>
  <c r="BD501" i="64"/>
  <c r="BE501" i="64"/>
  <c r="BF501" i="64"/>
  <c r="C502" i="64"/>
  <c r="D502" i="64"/>
  <c r="E502" i="64"/>
  <c r="F502" i="64"/>
  <c r="G502" i="64"/>
  <c r="H502" i="64"/>
  <c r="I502" i="64"/>
  <c r="J502" i="64"/>
  <c r="K502" i="64"/>
  <c r="L502" i="64"/>
  <c r="M502" i="64"/>
  <c r="N502" i="64"/>
  <c r="O502" i="64"/>
  <c r="P502" i="64"/>
  <c r="Q502" i="64"/>
  <c r="R502" i="64"/>
  <c r="S502" i="64"/>
  <c r="T502" i="64"/>
  <c r="U502" i="64"/>
  <c r="V502" i="64"/>
  <c r="W502" i="64"/>
  <c r="X502" i="64"/>
  <c r="Y502" i="64"/>
  <c r="Z502" i="64"/>
  <c r="AA502" i="64"/>
  <c r="AB502" i="64"/>
  <c r="AC502" i="64"/>
  <c r="AD502" i="64"/>
  <c r="AE502" i="64"/>
  <c r="AF502" i="64"/>
  <c r="AG502" i="64"/>
  <c r="AH502" i="64"/>
  <c r="AI502" i="64"/>
  <c r="AJ502" i="64"/>
  <c r="AK502" i="64"/>
  <c r="AL502" i="64"/>
  <c r="AM502" i="64"/>
  <c r="AN502" i="64"/>
  <c r="AO502" i="64"/>
  <c r="AP502" i="64"/>
  <c r="AQ502" i="64"/>
  <c r="AR502" i="64"/>
  <c r="AS502" i="64"/>
  <c r="AT502" i="64"/>
  <c r="AU502" i="64"/>
  <c r="AV502" i="64"/>
  <c r="AW502" i="64"/>
  <c r="AX502" i="64"/>
  <c r="AY502" i="64"/>
  <c r="AZ502" i="64"/>
  <c r="BA502" i="64"/>
  <c r="BB502" i="64"/>
  <c r="BC502" i="64"/>
  <c r="BD502" i="64"/>
  <c r="BE502" i="64"/>
  <c r="BF502" i="64"/>
  <c r="C503" i="64"/>
  <c r="D503" i="64"/>
  <c r="E503" i="64"/>
  <c r="F503" i="64"/>
  <c r="G503" i="64"/>
  <c r="H503" i="64"/>
  <c r="I503" i="64"/>
  <c r="J503" i="64"/>
  <c r="K503" i="64"/>
  <c r="L503" i="64"/>
  <c r="M503" i="64"/>
  <c r="N503" i="64"/>
  <c r="O503" i="64"/>
  <c r="P503" i="64"/>
  <c r="Q503" i="64"/>
  <c r="R503" i="64"/>
  <c r="S503" i="64"/>
  <c r="T503" i="64"/>
  <c r="U503" i="64"/>
  <c r="V503" i="64"/>
  <c r="W503" i="64"/>
  <c r="X503" i="64"/>
  <c r="Y503" i="64"/>
  <c r="Z503" i="64"/>
  <c r="AA503" i="64"/>
  <c r="AB503" i="64"/>
  <c r="AC503" i="64"/>
  <c r="AD503" i="64"/>
  <c r="AE503" i="64"/>
  <c r="AF503" i="64"/>
  <c r="AG503" i="64"/>
  <c r="AH503" i="64"/>
  <c r="AI503" i="64"/>
  <c r="AJ503" i="64"/>
  <c r="AK503" i="64"/>
  <c r="AL503" i="64"/>
  <c r="AM503" i="64"/>
  <c r="AN503" i="64"/>
  <c r="AO503" i="64"/>
  <c r="AP503" i="64"/>
  <c r="AQ503" i="64"/>
  <c r="AR503" i="64"/>
  <c r="AS503" i="64"/>
  <c r="AT503" i="64"/>
  <c r="AU503" i="64"/>
  <c r="AV503" i="64"/>
  <c r="AW503" i="64"/>
  <c r="AX503" i="64"/>
  <c r="AY503" i="64"/>
  <c r="AZ503" i="64"/>
  <c r="BA503" i="64"/>
  <c r="BB503" i="64"/>
  <c r="BC503" i="64"/>
  <c r="BD503" i="64"/>
  <c r="BE503" i="64"/>
  <c r="BF503" i="64"/>
  <c r="C504" i="64"/>
  <c r="D504" i="64"/>
  <c r="E504" i="64"/>
  <c r="F504" i="64"/>
  <c r="G504" i="64"/>
  <c r="H504" i="64"/>
  <c r="I504" i="64"/>
  <c r="J504" i="64"/>
  <c r="K504" i="64"/>
  <c r="L504" i="64"/>
  <c r="M504" i="64"/>
  <c r="N504" i="64"/>
  <c r="O504" i="64"/>
  <c r="P504" i="64"/>
  <c r="Q504" i="64"/>
  <c r="R504" i="64"/>
  <c r="S504" i="64"/>
  <c r="T504" i="64"/>
  <c r="U504" i="64"/>
  <c r="V504" i="64"/>
  <c r="W504" i="64"/>
  <c r="X504" i="64"/>
  <c r="Y504" i="64"/>
  <c r="Z504" i="64"/>
  <c r="AA504" i="64"/>
  <c r="AB504" i="64"/>
  <c r="AC504" i="64"/>
  <c r="AD504" i="64"/>
  <c r="AE504" i="64"/>
  <c r="AF504" i="64"/>
  <c r="AG504" i="64"/>
  <c r="AH504" i="64"/>
  <c r="AI504" i="64"/>
  <c r="AJ504" i="64"/>
  <c r="AK504" i="64"/>
  <c r="AL504" i="64"/>
  <c r="AM504" i="64"/>
  <c r="AN504" i="64"/>
  <c r="AO504" i="64"/>
  <c r="AP504" i="64"/>
  <c r="AQ504" i="64"/>
  <c r="AR504" i="64"/>
  <c r="AS504" i="64"/>
  <c r="AT504" i="64"/>
  <c r="AU504" i="64"/>
  <c r="AV504" i="64"/>
  <c r="AW504" i="64"/>
  <c r="AX504" i="64"/>
  <c r="AY504" i="64"/>
  <c r="AZ504" i="64"/>
  <c r="BA504" i="64"/>
  <c r="BB504" i="64"/>
  <c r="BC504" i="64"/>
  <c r="BD504" i="64"/>
  <c r="BE504" i="64"/>
  <c r="BF504" i="64"/>
  <c r="C505" i="64"/>
  <c r="D505" i="64"/>
  <c r="E505" i="64"/>
  <c r="F505" i="64"/>
  <c r="G505" i="64"/>
  <c r="H505" i="64"/>
  <c r="I505" i="64"/>
  <c r="J505" i="64"/>
  <c r="K505" i="64"/>
  <c r="L505" i="64"/>
  <c r="M505" i="64"/>
  <c r="N505" i="64"/>
  <c r="O505" i="64"/>
  <c r="P505" i="64"/>
  <c r="Q505" i="64"/>
  <c r="R505" i="64"/>
  <c r="S505" i="64"/>
  <c r="T505" i="64"/>
  <c r="U505" i="64"/>
  <c r="V505" i="64"/>
  <c r="W505" i="64"/>
  <c r="X505" i="64"/>
  <c r="Y505" i="64"/>
  <c r="Z505" i="64"/>
  <c r="AA505" i="64"/>
  <c r="AB505" i="64"/>
  <c r="AC505" i="64"/>
  <c r="AD505" i="64"/>
  <c r="AE505" i="64"/>
  <c r="AF505" i="64"/>
  <c r="AG505" i="64"/>
  <c r="AH505" i="64"/>
  <c r="AI505" i="64"/>
  <c r="AJ505" i="64"/>
  <c r="AK505" i="64"/>
  <c r="AL505" i="64"/>
  <c r="AM505" i="64"/>
  <c r="AN505" i="64"/>
  <c r="AO505" i="64"/>
  <c r="AP505" i="64"/>
  <c r="AQ505" i="64"/>
  <c r="AR505" i="64"/>
  <c r="AS505" i="64"/>
  <c r="AT505" i="64"/>
  <c r="AU505" i="64"/>
  <c r="AV505" i="64"/>
  <c r="AW505" i="64"/>
  <c r="AX505" i="64"/>
  <c r="AY505" i="64"/>
  <c r="AZ505" i="64"/>
  <c r="BA505" i="64"/>
  <c r="BB505" i="64"/>
  <c r="BC505" i="64"/>
  <c r="BD505" i="64"/>
  <c r="BE505" i="64"/>
  <c r="BF505" i="64"/>
  <c r="C506" i="64"/>
  <c r="D506" i="64"/>
  <c r="E506" i="64"/>
  <c r="F506" i="64"/>
  <c r="G506" i="64"/>
  <c r="H506" i="64"/>
  <c r="I506" i="64"/>
  <c r="J506" i="64"/>
  <c r="K506" i="64"/>
  <c r="L506" i="64"/>
  <c r="M506" i="64"/>
  <c r="N506" i="64"/>
  <c r="O506" i="64"/>
  <c r="P506" i="64"/>
  <c r="Q506" i="64"/>
  <c r="R506" i="64"/>
  <c r="S506" i="64"/>
  <c r="T506" i="64"/>
  <c r="U506" i="64"/>
  <c r="V506" i="64"/>
  <c r="W506" i="64"/>
  <c r="X506" i="64"/>
  <c r="Y506" i="64"/>
  <c r="Z506" i="64"/>
  <c r="AA506" i="64"/>
  <c r="AB506" i="64"/>
  <c r="AC506" i="64"/>
  <c r="AD506" i="64"/>
  <c r="AE506" i="64"/>
  <c r="AF506" i="64"/>
  <c r="AG506" i="64"/>
  <c r="AH506" i="64"/>
  <c r="AI506" i="64"/>
  <c r="AJ506" i="64"/>
  <c r="AK506" i="64"/>
  <c r="AL506" i="64"/>
  <c r="AM506" i="64"/>
  <c r="AN506" i="64"/>
  <c r="AO506" i="64"/>
  <c r="AP506" i="64"/>
  <c r="AQ506" i="64"/>
  <c r="AR506" i="64"/>
  <c r="AS506" i="64"/>
  <c r="AT506" i="64"/>
  <c r="AU506" i="64"/>
  <c r="AV506" i="64"/>
  <c r="AW506" i="64"/>
  <c r="AX506" i="64"/>
  <c r="AY506" i="64"/>
  <c r="AZ506" i="64"/>
  <c r="BA506" i="64"/>
  <c r="BB506" i="64"/>
  <c r="BC506" i="64"/>
  <c r="BD506" i="64"/>
  <c r="BE506" i="64"/>
  <c r="BF506" i="64"/>
  <c r="C507" i="64"/>
  <c r="D507" i="64"/>
  <c r="E507" i="64"/>
  <c r="F507" i="64"/>
  <c r="G507" i="64"/>
  <c r="H507" i="64"/>
  <c r="I507" i="64"/>
  <c r="J507" i="64"/>
  <c r="K507" i="64"/>
  <c r="L507" i="64"/>
  <c r="M507" i="64"/>
  <c r="N507" i="64"/>
  <c r="O507" i="64"/>
  <c r="P507" i="64"/>
  <c r="Q507" i="64"/>
  <c r="R507" i="64"/>
  <c r="S507" i="64"/>
  <c r="T507" i="64"/>
  <c r="U507" i="64"/>
  <c r="V507" i="64"/>
  <c r="W507" i="64"/>
  <c r="X507" i="64"/>
  <c r="Y507" i="64"/>
  <c r="Z507" i="64"/>
  <c r="AA507" i="64"/>
  <c r="AB507" i="64"/>
  <c r="AC507" i="64"/>
  <c r="AD507" i="64"/>
  <c r="AE507" i="64"/>
  <c r="AF507" i="64"/>
  <c r="AG507" i="64"/>
  <c r="AH507" i="64"/>
  <c r="AI507" i="64"/>
  <c r="AJ507" i="64"/>
  <c r="AK507" i="64"/>
  <c r="AL507" i="64"/>
  <c r="AM507" i="64"/>
  <c r="AN507" i="64"/>
  <c r="AO507" i="64"/>
  <c r="AP507" i="64"/>
  <c r="AQ507" i="64"/>
  <c r="AR507" i="64"/>
  <c r="AS507" i="64"/>
  <c r="AT507" i="64"/>
  <c r="AU507" i="64"/>
  <c r="AV507" i="64"/>
  <c r="AW507" i="64"/>
  <c r="AX507" i="64"/>
  <c r="AY507" i="64"/>
  <c r="AZ507" i="64"/>
  <c r="BA507" i="64"/>
  <c r="BB507" i="64"/>
  <c r="BC507" i="64"/>
  <c r="BD507" i="64"/>
  <c r="BE507" i="64"/>
  <c r="BF507" i="64"/>
  <c r="C508" i="64"/>
  <c r="D508" i="64"/>
  <c r="E508" i="64"/>
  <c r="F508" i="64"/>
  <c r="G508" i="64"/>
  <c r="H508" i="64"/>
  <c r="I508" i="64"/>
  <c r="J508" i="64"/>
  <c r="K508" i="64"/>
  <c r="L508" i="64"/>
  <c r="M508" i="64"/>
  <c r="N508" i="64"/>
  <c r="O508" i="64"/>
  <c r="P508" i="64"/>
  <c r="Q508" i="64"/>
  <c r="R508" i="64"/>
  <c r="S508" i="64"/>
  <c r="T508" i="64"/>
  <c r="U508" i="64"/>
  <c r="V508" i="64"/>
  <c r="W508" i="64"/>
  <c r="X508" i="64"/>
  <c r="Y508" i="64"/>
  <c r="Z508" i="64"/>
  <c r="AA508" i="64"/>
  <c r="AB508" i="64"/>
  <c r="AC508" i="64"/>
  <c r="AD508" i="64"/>
  <c r="AE508" i="64"/>
  <c r="AF508" i="64"/>
  <c r="AG508" i="64"/>
  <c r="AH508" i="64"/>
  <c r="AI508" i="64"/>
  <c r="AJ508" i="64"/>
  <c r="AK508" i="64"/>
  <c r="AL508" i="64"/>
  <c r="AM508" i="64"/>
  <c r="AN508" i="64"/>
  <c r="AO508" i="64"/>
  <c r="AP508" i="64"/>
  <c r="AQ508" i="64"/>
  <c r="AR508" i="64"/>
  <c r="AS508" i="64"/>
  <c r="AT508" i="64"/>
  <c r="AU508" i="64"/>
  <c r="AV508" i="64"/>
  <c r="AW508" i="64"/>
  <c r="AX508" i="64"/>
  <c r="AY508" i="64"/>
  <c r="AZ508" i="64"/>
  <c r="BA508" i="64"/>
  <c r="BB508" i="64"/>
  <c r="BC508" i="64"/>
  <c r="BD508" i="64"/>
  <c r="BE508" i="64"/>
  <c r="BF508" i="64"/>
  <c r="AK515" i="64"/>
  <c r="AO515" i="64"/>
  <c r="BE515" i="64"/>
  <c r="BF515" i="64"/>
  <c r="C517" i="64"/>
  <c r="D517" i="64"/>
  <c r="E517" i="64"/>
  <c r="F517" i="64"/>
  <c r="H517" i="64"/>
  <c r="I517" i="64"/>
  <c r="J517" i="64"/>
  <c r="M517" i="64"/>
  <c r="N517" i="64"/>
  <c r="O517" i="64"/>
  <c r="L519" i="64"/>
  <c r="L521" i="64" s="1"/>
  <c r="C521" i="64"/>
  <c r="D521" i="64"/>
  <c r="E521" i="64"/>
  <c r="F521" i="64"/>
  <c r="G521" i="64"/>
  <c r="H521" i="64"/>
  <c r="I521" i="64"/>
  <c r="J521" i="64"/>
  <c r="K521" i="64"/>
  <c r="M521" i="64"/>
  <c r="N521" i="64"/>
  <c r="O521" i="64"/>
  <c r="P521" i="64"/>
  <c r="Q521" i="64"/>
  <c r="R521" i="64"/>
  <c r="S521" i="64"/>
  <c r="T521" i="64"/>
  <c r="U521" i="64"/>
  <c r="V521" i="64"/>
  <c r="W521" i="64"/>
  <c r="X521" i="64"/>
  <c r="Y521" i="64"/>
  <c r="Z521" i="64"/>
  <c r="AA521" i="64"/>
  <c r="AB521" i="64"/>
  <c r="AC521" i="64"/>
  <c r="AD521" i="64"/>
  <c r="AE521" i="64"/>
  <c r="AF521" i="64"/>
  <c r="AG521" i="64"/>
  <c r="AH521" i="64"/>
  <c r="AI521" i="64"/>
  <c r="AJ521" i="64"/>
  <c r="AK521" i="64"/>
  <c r="AL521" i="64"/>
  <c r="AM521" i="64"/>
  <c r="AN521" i="64"/>
  <c r="AO521" i="64"/>
  <c r="AP521" i="64"/>
  <c r="AQ521" i="64"/>
  <c r="AR521" i="64"/>
  <c r="AS521" i="64"/>
  <c r="AT521" i="64"/>
  <c r="AU521" i="64"/>
  <c r="AV521" i="64"/>
  <c r="AW521" i="64"/>
  <c r="AX521" i="64"/>
  <c r="AY521" i="64"/>
  <c r="AZ521" i="64"/>
  <c r="BA521" i="64"/>
  <c r="BB521" i="64"/>
  <c r="BC521" i="64"/>
  <c r="BD521" i="64"/>
  <c r="BE521" i="64"/>
  <c r="BF521" i="64"/>
  <c r="AK523" i="64"/>
  <c r="AO523" i="64"/>
  <c r="BE523" i="64"/>
  <c r="BF523" i="64"/>
  <c r="C525" i="64"/>
  <c r="D525" i="64"/>
  <c r="E525" i="64"/>
  <c r="F525" i="64"/>
  <c r="H525" i="64"/>
  <c r="I525" i="64"/>
  <c r="J525" i="64"/>
  <c r="M525" i="64"/>
  <c r="N525" i="64"/>
  <c r="O525" i="64"/>
  <c r="L527" i="64"/>
  <c r="C529" i="64"/>
  <c r="D529" i="64"/>
  <c r="E529" i="64"/>
  <c r="F529" i="64"/>
  <c r="G529" i="64"/>
  <c r="H529" i="64"/>
  <c r="I529" i="64"/>
  <c r="J529" i="64"/>
  <c r="K529" i="64"/>
  <c r="L529" i="64"/>
  <c r="M529" i="64"/>
  <c r="N529" i="64"/>
  <c r="O529" i="64"/>
  <c r="P529" i="64"/>
  <c r="Q529" i="64"/>
  <c r="R529" i="64"/>
  <c r="S529" i="64"/>
  <c r="T529" i="64"/>
  <c r="U529" i="64"/>
  <c r="V529" i="64"/>
  <c r="W529" i="64"/>
  <c r="X529" i="64"/>
  <c r="Y529" i="64"/>
  <c r="Z529" i="64"/>
  <c r="AA529" i="64"/>
  <c r="AB529" i="64"/>
  <c r="AC529" i="64"/>
  <c r="AD529" i="64"/>
  <c r="AE529" i="64"/>
  <c r="AF529" i="64"/>
  <c r="AG529" i="64"/>
  <c r="AH529" i="64"/>
  <c r="AI529" i="64"/>
  <c r="AJ529" i="64"/>
  <c r="AK529" i="64"/>
  <c r="AL529" i="64"/>
  <c r="AM529" i="64"/>
  <c r="AN529" i="64"/>
  <c r="AO529" i="64"/>
  <c r="AP529" i="64"/>
  <c r="AQ529" i="64"/>
  <c r="AR529" i="64"/>
  <c r="AS529" i="64"/>
  <c r="AT529" i="64"/>
  <c r="AU529" i="64"/>
  <c r="AV529" i="64"/>
  <c r="AW529" i="64"/>
  <c r="AX529" i="64"/>
  <c r="AY529" i="64"/>
  <c r="AZ529" i="64"/>
  <c r="BA529" i="64"/>
  <c r="BB529" i="64"/>
  <c r="BC529" i="64"/>
  <c r="BD529" i="64"/>
  <c r="BE529" i="64"/>
  <c r="BF529" i="64"/>
  <c r="Z541" i="64"/>
  <c r="AJ541" i="64"/>
  <c r="BG541" i="64" s="1"/>
  <c r="AK541" i="64"/>
  <c r="AY541" i="64"/>
  <c r="C545" i="64"/>
  <c r="D545" i="64"/>
  <c r="E545" i="64"/>
  <c r="F545" i="64"/>
  <c r="G545" i="64"/>
  <c r="H545" i="64"/>
  <c r="I545" i="64"/>
  <c r="J545" i="64"/>
  <c r="K545" i="64"/>
  <c r="L545" i="64"/>
  <c r="M545" i="64"/>
  <c r="N545" i="64"/>
  <c r="O545" i="64"/>
  <c r="P545" i="64"/>
  <c r="Q545" i="64"/>
  <c r="R545" i="64"/>
  <c r="S545" i="64"/>
  <c r="T545" i="64"/>
  <c r="U545" i="64"/>
  <c r="V545" i="64"/>
  <c r="W545" i="64"/>
  <c r="X545" i="64"/>
  <c r="Y545" i="64"/>
  <c r="Z545" i="64"/>
  <c r="AA545" i="64"/>
  <c r="AB545" i="64"/>
  <c r="AC545" i="64"/>
  <c r="AD545" i="64"/>
  <c r="AE545" i="64"/>
  <c r="AF545" i="64"/>
  <c r="AG545" i="64"/>
  <c r="AH545" i="64"/>
  <c r="AI545" i="64"/>
  <c r="AJ545" i="64"/>
  <c r="AK545" i="64"/>
  <c r="AL545" i="64"/>
  <c r="AM545" i="64"/>
  <c r="AN545" i="64"/>
  <c r="AO545" i="64"/>
  <c r="AP545" i="64"/>
  <c r="AQ545" i="64"/>
  <c r="AR545" i="64"/>
  <c r="AS545" i="64"/>
  <c r="AT545" i="64"/>
  <c r="AU545" i="64"/>
  <c r="AV545" i="64"/>
  <c r="AW545" i="64"/>
  <c r="AX545" i="64"/>
  <c r="AY545" i="64"/>
  <c r="AZ545" i="64"/>
  <c r="BA545" i="64"/>
  <c r="BB545" i="64"/>
  <c r="BC545" i="64"/>
  <c r="BD545" i="64"/>
  <c r="BE545" i="64"/>
  <c r="BF545" i="64"/>
  <c r="C546" i="64"/>
  <c r="D546" i="64"/>
  <c r="E546" i="64"/>
  <c r="F546" i="64"/>
  <c r="G546" i="64"/>
  <c r="H546" i="64"/>
  <c r="I546" i="64"/>
  <c r="J546" i="64"/>
  <c r="K546" i="64"/>
  <c r="L546" i="64"/>
  <c r="M546" i="64"/>
  <c r="N546" i="64"/>
  <c r="O546" i="64"/>
  <c r="P546" i="64"/>
  <c r="Q546" i="64"/>
  <c r="R546" i="64"/>
  <c r="S546" i="64"/>
  <c r="T546" i="64"/>
  <c r="U546" i="64"/>
  <c r="V546" i="64"/>
  <c r="W546" i="64"/>
  <c r="X546" i="64"/>
  <c r="Y546" i="64"/>
  <c r="Z546" i="64"/>
  <c r="AA546" i="64"/>
  <c r="AB546" i="64"/>
  <c r="AC546" i="64"/>
  <c r="AD546" i="64"/>
  <c r="AE546" i="64"/>
  <c r="AF546" i="64"/>
  <c r="AG546" i="64"/>
  <c r="AH546" i="64"/>
  <c r="AI546" i="64"/>
  <c r="AJ546" i="64"/>
  <c r="AK546" i="64"/>
  <c r="AL546" i="64"/>
  <c r="AM546" i="64"/>
  <c r="AN546" i="64"/>
  <c r="AO546" i="64"/>
  <c r="AP546" i="64"/>
  <c r="AQ546" i="64"/>
  <c r="AR546" i="64"/>
  <c r="AS546" i="64"/>
  <c r="AT546" i="64"/>
  <c r="AU546" i="64"/>
  <c r="AV546" i="64"/>
  <c r="AW546" i="64"/>
  <c r="AX546" i="64"/>
  <c r="AY546" i="64"/>
  <c r="AZ546" i="64"/>
  <c r="BA546" i="64"/>
  <c r="BB546" i="64"/>
  <c r="BC546" i="64"/>
  <c r="BD546" i="64"/>
  <c r="BE546" i="64"/>
  <c r="BF546" i="64"/>
  <c r="C547" i="64"/>
  <c r="D547" i="64"/>
  <c r="E547" i="64"/>
  <c r="F547" i="64"/>
  <c r="G547" i="64"/>
  <c r="H547" i="64"/>
  <c r="I547" i="64"/>
  <c r="J547" i="64"/>
  <c r="K547" i="64"/>
  <c r="L547" i="64"/>
  <c r="M547" i="64"/>
  <c r="N547" i="64"/>
  <c r="O547" i="64"/>
  <c r="P547" i="64"/>
  <c r="Q547" i="64"/>
  <c r="R547" i="64"/>
  <c r="S547" i="64"/>
  <c r="T547" i="64"/>
  <c r="U547" i="64"/>
  <c r="V547" i="64"/>
  <c r="W547" i="64"/>
  <c r="X547" i="64"/>
  <c r="Y547" i="64"/>
  <c r="Z547" i="64"/>
  <c r="AA547" i="64"/>
  <c r="AB547" i="64"/>
  <c r="AC547" i="64"/>
  <c r="AD547" i="64"/>
  <c r="AE547" i="64"/>
  <c r="AF547" i="64"/>
  <c r="AG547" i="64"/>
  <c r="AH547" i="64"/>
  <c r="AI547" i="64"/>
  <c r="AJ547" i="64"/>
  <c r="AK547" i="64"/>
  <c r="AL547" i="64"/>
  <c r="AM547" i="64"/>
  <c r="AN547" i="64"/>
  <c r="AO547" i="64"/>
  <c r="AP547" i="64"/>
  <c r="AQ547" i="64"/>
  <c r="AR547" i="64"/>
  <c r="AS547" i="64"/>
  <c r="AT547" i="64"/>
  <c r="AU547" i="64"/>
  <c r="AV547" i="64"/>
  <c r="AW547" i="64"/>
  <c r="AX547" i="64"/>
  <c r="AY547" i="64"/>
  <c r="AZ547" i="64"/>
  <c r="BA547" i="64"/>
  <c r="BB547" i="64"/>
  <c r="BC547" i="64"/>
  <c r="BD547" i="64"/>
  <c r="BE547" i="64"/>
  <c r="BF547" i="64"/>
  <c r="C548" i="64"/>
  <c r="D548" i="64"/>
  <c r="E548" i="64"/>
  <c r="F548" i="64"/>
  <c r="G548" i="64"/>
  <c r="H548" i="64"/>
  <c r="I548" i="64"/>
  <c r="J548" i="64"/>
  <c r="K548" i="64"/>
  <c r="L548" i="64"/>
  <c r="M548" i="64"/>
  <c r="N548" i="64"/>
  <c r="O548" i="64"/>
  <c r="P548" i="64"/>
  <c r="Q548" i="64"/>
  <c r="R548" i="64"/>
  <c r="S548" i="64"/>
  <c r="T548" i="64"/>
  <c r="U548" i="64"/>
  <c r="V548" i="64"/>
  <c r="W548" i="64"/>
  <c r="X548" i="64"/>
  <c r="Y548" i="64"/>
  <c r="Z548" i="64"/>
  <c r="AA548" i="64"/>
  <c r="AB548" i="64"/>
  <c r="AC548" i="64"/>
  <c r="AD548" i="64"/>
  <c r="AE548" i="64"/>
  <c r="AF548" i="64"/>
  <c r="AG548" i="64"/>
  <c r="AH548" i="64"/>
  <c r="AI548" i="64"/>
  <c r="AJ548" i="64"/>
  <c r="AK548" i="64"/>
  <c r="AL548" i="64"/>
  <c r="AM548" i="64"/>
  <c r="AN548" i="64"/>
  <c r="AO548" i="64"/>
  <c r="AP548" i="64"/>
  <c r="AQ548" i="64"/>
  <c r="AR548" i="64"/>
  <c r="AS548" i="64"/>
  <c r="AT548" i="64"/>
  <c r="AU548" i="64"/>
  <c r="AV548" i="64"/>
  <c r="AW548" i="64"/>
  <c r="AX548" i="64"/>
  <c r="AY548" i="64"/>
  <c r="AZ548" i="64"/>
  <c r="BA548" i="64"/>
  <c r="BB548" i="64"/>
  <c r="BC548" i="64"/>
  <c r="BD548" i="64"/>
  <c r="BE548" i="64"/>
  <c r="BF548" i="64"/>
  <c r="C549" i="64"/>
  <c r="D549" i="64"/>
  <c r="E549" i="64"/>
  <c r="F549" i="64"/>
  <c r="G549" i="64"/>
  <c r="H549" i="64"/>
  <c r="I549" i="64"/>
  <c r="J549" i="64"/>
  <c r="K549" i="64"/>
  <c r="L549" i="64"/>
  <c r="M549" i="64"/>
  <c r="N549" i="64"/>
  <c r="O549" i="64"/>
  <c r="P549" i="64"/>
  <c r="Q549" i="64"/>
  <c r="R549" i="64"/>
  <c r="S549" i="64"/>
  <c r="T549" i="64"/>
  <c r="U549" i="64"/>
  <c r="V549" i="64"/>
  <c r="W549" i="64"/>
  <c r="X549" i="64"/>
  <c r="Y549" i="64"/>
  <c r="Z549" i="64"/>
  <c r="AA549" i="64"/>
  <c r="AB549" i="64"/>
  <c r="AC549" i="64"/>
  <c r="AD549" i="64"/>
  <c r="AE549" i="64"/>
  <c r="AF549" i="64"/>
  <c r="AG549" i="64"/>
  <c r="AH549" i="64"/>
  <c r="AI549" i="64"/>
  <c r="AJ549" i="64"/>
  <c r="AK549" i="64"/>
  <c r="AL549" i="64"/>
  <c r="AM549" i="64"/>
  <c r="AN549" i="64"/>
  <c r="AO549" i="64"/>
  <c r="AP549" i="64"/>
  <c r="AQ549" i="64"/>
  <c r="AR549" i="64"/>
  <c r="AS549" i="64"/>
  <c r="AT549" i="64"/>
  <c r="AU549" i="64"/>
  <c r="AV549" i="64"/>
  <c r="AW549" i="64"/>
  <c r="AX549" i="64"/>
  <c r="AY549" i="64"/>
  <c r="AZ549" i="64"/>
  <c r="BA549" i="64"/>
  <c r="BB549" i="64"/>
  <c r="BC549" i="64"/>
  <c r="BD549" i="64"/>
  <c r="BE549" i="64"/>
  <c r="BF549" i="64"/>
  <c r="C550" i="64"/>
  <c r="D550" i="64"/>
  <c r="E550" i="64"/>
  <c r="F550" i="64"/>
  <c r="G550" i="64"/>
  <c r="H550" i="64"/>
  <c r="I550" i="64"/>
  <c r="J550" i="64"/>
  <c r="K550" i="64"/>
  <c r="L550" i="64"/>
  <c r="M550" i="64"/>
  <c r="N550" i="64"/>
  <c r="O550" i="64"/>
  <c r="P550" i="64"/>
  <c r="Q550" i="64"/>
  <c r="R550" i="64"/>
  <c r="S550" i="64"/>
  <c r="T550" i="64"/>
  <c r="U550" i="64"/>
  <c r="V550" i="64"/>
  <c r="W550" i="64"/>
  <c r="X550" i="64"/>
  <c r="Y550" i="64"/>
  <c r="Z550" i="64"/>
  <c r="AA550" i="64"/>
  <c r="AB550" i="64"/>
  <c r="AC550" i="64"/>
  <c r="AD550" i="64"/>
  <c r="AE550" i="64"/>
  <c r="AF550" i="64"/>
  <c r="AG550" i="64"/>
  <c r="AH550" i="64"/>
  <c r="AI550" i="64"/>
  <c r="AJ550" i="64"/>
  <c r="AK550" i="64"/>
  <c r="AL550" i="64"/>
  <c r="AM550" i="64"/>
  <c r="AN550" i="64"/>
  <c r="AO550" i="64"/>
  <c r="AP550" i="64"/>
  <c r="AQ550" i="64"/>
  <c r="AR550" i="64"/>
  <c r="AS550" i="64"/>
  <c r="AT550" i="64"/>
  <c r="AU550" i="64"/>
  <c r="AV550" i="64"/>
  <c r="AW550" i="64"/>
  <c r="AX550" i="64"/>
  <c r="AY550" i="64"/>
  <c r="AZ550" i="64"/>
  <c r="BA550" i="64"/>
  <c r="BB550" i="64"/>
  <c r="BC550" i="64"/>
  <c r="BD550" i="64"/>
  <c r="BE550" i="64"/>
  <c r="BF550" i="64"/>
  <c r="C551" i="64"/>
  <c r="D551" i="64"/>
  <c r="E551" i="64"/>
  <c r="F551" i="64"/>
  <c r="G551" i="64"/>
  <c r="H551" i="64"/>
  <c r="I551" i="64"/>
  <c r="J551" i="64"/>
  <c r="K551" i="64"/>
  <c r="L551" i="64"/>
  <c r="M551" i="64"/>
  <c r="N551" i="64"/>
  <c r="O551" i="64"/>
  <c r="P551" i="64"/>
  <c r="Q551" i="64"/>
  <c r="R551" i="64"/>
  <c r="S551" i="64"/>
  <c r="T551" i="64"/>
  <c r="U551" i="64"/>
  <c r="V551" i="64"/>
  <c r="W551" i="64"/>
  <c r="X551" i="64"/>
  <c r="Y551" i="64"/>
  <c r="Z551" i="64"/>
  <c r="AA551" i="64"/>
  <c r="AB551" i="64"/>
  <c r="AC551" i="64"/>
  <c r="AD551" i="64"/>
  <c r="AE551" i="64"/>
  <c r="AF551" i="64"/>
  <c r="AG551" i="64"/>
  <c r="AH551" i="64"/>
  <c r="AI551" i="64"/>
  <c r="AJ551" i="64"/>
  <c r="AK551" i="64"/>
  <c r="AL551" i="64"/>
  <c r="AM551" i="64"/>
  <c r="AN551" i="64"/>
  <c r="AO551" i="64"/>
  <c r="AP551" i="64"/>
  <c r="AQ551" i="64"/>
  <c r="AR551" i="64"/>
  <c r="AS551" i="64"/>
  <c r="AT551" i="64"/>
  <c r="AU551" i="64"/>
  <c r="AV551" i="64"/>
  <c r="AW551" i="64"/>
  <c r="AX551" i="64"/>
  <c r="AY551" i="64"/>
  <c r="AZ551" i="64"/>
  <c r="BA551" i="64"/>
  <c r="BB551" i="64"/>
  <c r="BC551" i="64"/>
  <c r="BD551" i="64"/>
  <c r="BE551" i="64"/>
  <c r="BF551" i="64"/>
  <c r="C552" i="64"/>
  <c r="D552" i="64"/>
  <c r="E552" i="64"/>
  <c r="F552" i="64"/>
  <c r="G552" i="64"/>
  <c r="H552" i="64"/>
  <c r="I552" i="64"/>
  <c r="J552" i="64"/>
  <c r="K552" i="64"/>
  <c r="L552" i="64"/>
  <c r="M552" i="64"/>
  <c r="N552" i="64"/>
  <c r="O552" i="64"/>
  <c r="P552" i="64"/>
  <c r="Q552" i="64"/>
  <c r="R552" i="64"/>
  <c r="S552" i="64"/>
  <c r="T552" i="64"/>
  <c r="U552" i="64"/>
  <c r="V552" i="64"/>
  <c r="W552" i="64"/>
  <c r="X552" i="64"/>
  <c r="Y552" i="64"/>
  <c r="Z552" i="64"/>
  <c r="AA552" i="64"/>
  <c r="AB552" i="64"/>
  <c r="AC552" i="64"/>
  <c r="AD552" i="64"/>
  <c r="AE552" i="64"/>
  <c r="AF552" i="64"/>
  <c r="AG552" i="64"/>
  <c r="AH552" i="64"/>
  <c r="AI552" i="64"/>
  <c r="AJ552" i="64"/>
  <c r="AK552" i="64"/>
  <c r="AL552" i="64"/>
  <c r="AM552" i="64"/>
  <c r="AN552" i="64"/>
  <c r="AO552" i="64"/>
  <c r="AP552" i="64"/>
  <c r="AQ552" i="64"/>
  <c r="AR552" i="64"/>
  <c r="AS552" i="64"/>
  <c r="AT552" i="64"/>
  <c r="AU552" i="64"/>
  <c r="AV552" i="64"/>
  <c r="AW552" i="64"/>
  <c r="AX552" i="64"/>
  <c r="AY552" i="64"/>
  <c r="AZ552" i="64"/>
  <c r="BA552" i="64"/>
  <c r="BB552" i="64"/>
  <c r="BC552" i="64"/>
  <c r="BD552" i="64"/>
  <c r="BE552" i="64"/>
  <c r="BF552" i="64"/>
  <c r="C553" i="64"/>
  <c r="D553" i="64"/>
  <c r="E553" i="64"/>
  <c r="F553" i="64"/>
  <c r="G553" i="64"/>
  <c r="H553" i="64"/>
  <c r="I553" i="64"/>
  <c r="J553" i="64"/>
  <c r="K553" i="64"/>
  <c r="L553" i="64"/>
  <c r="M553" i="64"/>
  <c r="N553" i="64"/>
  <c r="O553" i="64"/>
  <c r="P553" i="64"/>
  <c r="Q553" i="64"/>
  <c r="R553" i="64"/>
  <c r="S553" i="64"/>
  <c r="T553" i="64"/>
  <c r="U553" i="64"/>
  <c r="V553" i="64"/>
  <c r="W553" i="64"/>
  <c r="X553" i="64"/>
  <c r="Y553" i="64"/>
  <c r="Z553" i="64"/>
  <c r="AA553" i="64"/>
  <c r="AB553" i="64"/>
  <c r="AC553" i="64"/>
  <c r="AD553" i="64"/>
  <c r="AE553" i="64"/>
  <c r="AF553" i="64"/>
  <c r="AG553" i="64"/>
  <c r="AH553" i="64"/>
  <c r="AI553" i="64"/>
  <c r="AJ553" i="64"/>
  <c r="AK553" i="64"/>
  <c r="AL553" i="64"/>
  <c r="AM553" i="64"/>
  <c r="AN553" i="64"/>
  <c r="AO553" i="64"/>
  <c r="AP553" i="64"/>
  <c r="AQ553" i="64"/>
  <c r="AR553" i="64"/>
  <c r="AS553" i="64"/>
  <c r="AT553" i="64"/>
  <c r="AU553" i="64"/>
  <c r="AV553" i="64"/>
  <c r="AW553" i="64"/>
  <c r="AX553" i="64"/>
  <c r="AY553" i="64"/>
  <c r="AZ553" i="64"/>
  <c r="BA553" i="64"/>
  <c r="BB553" i="64"/>
  <c r="BC553" i="64"/>
  <c r="BD553" i="64"/>
  <c r="BE553" i="64"/>
  <c r="BF553" i="64"/>
  <c r="C554" i="64"/>
  <c r="D554" i="64"/>
  <c r="E554" i="64"/>
  <c r="F554" i="64"/>
  <c r="G554" i="64"/>
  <c r="H554" i="64"/>
  <c r="I554" i="64"/>
  <c r="J554" i="64"/>
  <c r="K554" i="64"/>
  <c r="L554" i="64"/>
  <c r="M554" i="64"/>
  <c r="N554" i="64"/>
  <c r="O554" i="64"/>
  <c r="P554" i="64"/>
  <c r="Q554" i="64"/>
  <c r="R554" i="64"/>
  <c r="S554" i="64"/>
  <c r="T554" i="64"/>
  <c r="U554" i="64"/>
  <c r="V554" i="64"/>
  <c r="W554" i="64"/>
  <c r="X554" i="64"/>
  <c r="Y554" i="64"/>
  <c r="Z554" i="64"/>
  <c r="AA554" i="64"/>
  <c r="AB554" i="64"/>
  <c r="AC554" i="64"/>
  <c r="AD554" i="64"/>
  <c r="AE554" i="64"/>
  <c r="AF554" i="64"/>
  <c r="AG554" i="64"/>
  <c r="AH554" i="64"/>
  <c r="AI554" i="64"/>
  <c r="AJ554" i="64"/>
  <c r="AK554" i="64"/>
  <c r="AL554" i="64"/>
  <c r="AM554" i="64"/>
  <c r="AN554" i="64"/>
  <c r="AO554" i="64"/>
  <c r="AP554" i="64"/>
  <c r="AQ554" i="64"/>
  <c r="AR554" i="64"/>
  <c r="AS554" i="64"/>
  <c r="AT554" i="64"/>
  <c r="AU554" i="64"/>
  <c r="AV554" i="64"/>
  <c r="AW554" i="64"/>
  <c r="AX554" i="64"/>
  <c r="AY554" i="64"/>
  <c r="AZ554" i="64"/>
  <c r="BA554" i="64"/>
  <c r="BB554" i="64"/>
  <c r="BC554" i="64"/>
  <c r="BD554" i="64"/>
  <c r="BE554" i="64"/>
  <c r="BF554" i="64"/>
  <c r="C555" i="64"/>
  <c r="D555" i="64"/>
  <c r="E555" i="64"/>
  <c r="F555" i="64"/>
  <c r="G555" i="64"/>
  <c r="H555" i="64"/>
  <c r="I555" i="64"/>
  <c r="J555" i="64"/>
  <c r="K555" i="64"/>
  <c r="L555" i="64"/>
  <c r="M555" i="64"/>
  <c r="N555" i="64"/>
  <c r="O555" i="64"/>
  <c r="P555" i="64"/>
  <c r="Q555" i="64"/>
  <c r="R555" i="64"/>
  <c r="S555" i="64"/>
  <c r="T555" i="64"/>
  <c r="U555" i="64"/>
  <c r="V555" i="64"/>
  <c r="W555" i="64"/>
  <c r="X555" i="64"/>
  <c r="Y555" i="64"/>
  <c r="Z555" i="64"/>
  <c r="AA555" i="64"/>
  <c r="AB555" i="64"/>
  <c r="AC555" i="64"/>
  <c r="AD555" i="64"/>
  <c r="AE555" i="64"/>
  <c r="AF555" i="64"/>
  <c r="AG555" i="64"/>
  <c r="AH555" i="64"/>
  <c r="AI555" i="64"/>
  <c r="AJ555" i="64"/>
  <c r="AK555" i="64"/>
  <c r="AL555" i="64"/>
  <c r="AM555" i="64"/>
  <c r="AN555" i="64"/>
  <c r="AO555" i="64"/>
  <c r="AP555" i="64"/>
  <c r="AQ555" i="64"/>
  <c r="AR555" i="64"/>
  <c r="AS555" i="64"/>
  <c r="AT555" i="64"/>
  <c r="AU555" i="64"/>
  <c r="AV555" i="64"/>
  <c r="AW555" i="64"/>
  <c r="AX555" i="64"/>
  <c r="AY555" i="64"/>
  <c r="AZ555" i="64"/>
  <c r="BA555" i="64"/>
  <c r="BB555" i="64"/>
  <c r="BC555" i="64"/>
  <c r="BD555" i="64"/>
  <c r="BE555" i="64"/>
  <c r="BF555" i="64"/>
  <c r="C556" i="64"/>
  <c r="D556" i="64"/>
  <c r="E556" i="64"/>
  <c r="F556" i="64"/>
  <c r="G556" i="64"/>
  <c r="H556" i="64"/>
  <c r="I556" i="64"/>
  <c r="J556" i="64"/>
  <c r="K556" i="64"/>
  <c r="L556" i="64"/>
  <c r="M556" i="64"/>
  <c r="N556" i="64"/>
  <c r="O556" i="64"/>
  <c r="P556" i="64"/>
  <c r="Q556" i="64"/>
  <c r="R556" i="64"/>
  <c r="S556" i="64"/>
  <c r="T556" i="64"/>
  <c r="U556" i="64"/>
  <c r="V556" i="64"/>
  <c r="W556" i="64"/>
  <c r="X556" i="64"/>
  <c r="Y556" i="64"/>
  <c r="Z556" i="64"/>
  <c r="AA556" i="64"/>
  <c r="AB556" i="64"/>
  <c r="AC556" i="64"/>
  <c r="AD556" i="64"/>
  <c r="AE556" i="64"/>
  <c r="AF556" i="64"/>
  <c r="AG556" i="64"/>
  <c r="AH556" i="64"/>
  <c r="AI556" i="64"/>
  <c r="AJ556" i="64"/>
  <c r="AK556" i="64"/>
  <c r="AL556" i="64"/>
  <c r="AM556" i="64"/>
  <c r="AN556" i="64"/>
  <c r="AO556" i="64"/>
  <c r="AP556" i="64"/>
  <c r="AQ556" i="64"/>
  <c r="AR556" i="64"/>
  <c r="AS556" i="64"/>
  <c r="AT556" i="64"/>
  <c r="AU556" i="64"/>
  <c r="AV556" i="64"/>
  <c r="AW556" i="64"/>
  <c r="AX556" i="64"/>
  <c r="AY556" i="64"/>
  <c r="AZ556" i="64"/>
  <c r="BA556" i="64"/>
  <c r="BB556" i="64"/>
  <c r="BC556" i="64"/>
  <c r="BD556" i="64"/>
  <c r="BE556" i="64"/>
  <c r="BF556" i="64"/>
  <c r="C557" i="64"/>
  <c r="D557" i="64"/>
  <c r="E557" i="64"/>
  <c r="F557" i="64"/>
  <c r="G557" i="64"/>
  <c r="H557" i="64"/>
  <c r="I557" i="64"/>
  <c r="J557" i="64"/>
  <c r="K557" i="64"/>
  <c r="L557" i="64"/>
  <c r="M557" i="64"/>
  <c r="N557" i="64"/>
  <c r="O557" i="64"/>
  <c r="P557" i="64"/>
  <c r="Q557" i="64"/>
  <c r="R557" i="64"/>
  <c r="S557" i="64"/>
  <c r="T557" i="64"/>
  <c r="U557" i="64"/>
  <c r="V557" i="64"/>
  <c r="W557" i="64"/>
  <c r="X557" i="64"/>
  <c r="Y557" i="64"/>
  <c r="Z557" i="64"/>
  <c r="AA557" i="64"/>
  <c r="AB557" i="64"/>
  <c r="AC557" i="64"/>
  <c r="AD557" i="64"/>
  <c r="AE557" i="64"/>
  <c r="AF557" i="64"/>
  <c r="AG557" i="64"/>
  <c r="AH557" i="64"/>
  <c r="AI557" i="64"/>
  <c r="AJ557" i="64"/>
  <c r="AK557" i="64"/>
  <c r="AL557" i="64"/>
  <c r="AM557" i="64"/>
  <c r="AN557" i="64"/>
  <c r="AO557" i="64"/>
  <c r="AP557" i="64"/>
  <c r="AQ557" i="64"/>
  <c r="AR557" i="64"/>
  <c r="AS557" i="64"/>
  <c r="AT557" i="64"/>
  <c r="AU557" i="64"/>
  <c r="AV557" i="64"/>
  <c r="AW557" i="64"/>
  <c r="AX557" i="64"/>
  <c r="AY557" i="64"/>
  <c r="AZ557" i="64"/>
  <c r="BA557" i="64"/>
  <c r="BB557" i="64"/>
  <c r="BC557" i="64"/>
  <c r="BD557" i="64"/>
  <c r="BE557" i="64"/>
  <c r="BF557" i="64"/>
  <c r="C558" i="64"/>
  <c r="D558" i="64"/>
  <c r="E558" i="64"/>
  <c r="F558" i="64"/>
  <c r="G558" i="64"/>
  <c r="H558" i="64"/>
  <c r="I558" i="64"/>
  <c r="J558" i="64"/>
  <c r="K558" i="64"/>
  <c r="L558" i="64"/>
  <c r="M558" i="64"/>
  <c r="N558" i="64"/>
  <c r="O558" i="64"/>
  <c r="P558" i="64"/>
  <c r="Q558" i="64"/>
  <c r="R558" i="64"/>
  <c r="S558" i="64"/>
  <c r="T558" i="64"/>
  <c r="U558" i="64"/>
  <c r="V558" i="64"/>
  <c r="W558" i="64"/>
  <c r="X558" i="64"/>
  <c r="Y558" i="64"/>
  <c r="Z558" i="64"/>
  <c r="AA558" i="64"/>
  <c r="AB558" i="64"/>
  <c r="AC558" i="64"/>
  <c r="AD558" i="64"/>
  <c r="AE558" i="64"/>
  <c r="AF558" i="64"/>
  <c r="AG558" i="64"/>
  <c r="AH558" i="64"/>
  <c r="AI558" i="64"/>
  <c r="AJ558" i="64"/>
  <c r="AK558" i="64"/>
  <c r="AL558" i="64"/>
  <c r="AM558" i="64"/>
  <c r="AN558" i="64"/>
  <c r="AO558" i="64"/>
  <c r="AP558" i="64"/>
  <c r="AQ558" i="64"/>
  <c r="AR558" i="64"/>
  <c r="AS558" i="64"/>
  <c r="AT558" i="64"/>
  <c r="AU558" i="64"/>
  <c r="AV558" i="64"/>
  <c r="AW558" i="64"/>
  <c r="AX558" i="64"/>
  <c r="AY558" i="64"/>
  <c r="AZ558" i="64"/>
  <c r="BA558" i="64"/>
  <c r="BB558" i="64"/>
  <c r="BC558" i="64"/>
  <c r="BD558" i="64"/>
  <c r="BE558" i="64"/>
  <c r="BF558" i="64"/>
  <c r="C559" i="64"/>
  <c r="D559" i="64"/>
  <c r="E559" i="64"/>
  <c r="F559" i="64"/>
  <c r="G559" i="64"/>
  <c r="H559" i="64"/>
  <c r="I559" i="64"/>
  <c r="J559" i="64"/>
  <c r="K559" i="64"/>
  <c r="L559" i="64"/>
  <c r="M559" i="64"/>
  <c r="N559" i="64"/>
  <c r="O559" i="64"/>
  <c r="P559" i="64"/>
  <c r="Q559" i="64"/>
  <c r="R559" i="64"/>
  <c r="S559" i="64"/>
  <c r="T559" i="64"/>
  <c r="U559" i="64"/>
  <c r="V559" i="64"/>
  <c r="W559" i="64"/>
  <c r="X559" i="64"/>
  <c r="Y559" i="64"/>
  <c r="Z559" i="64"/>
  <c r="AA559" i="64"/>
  <c r="AB559" i="64"/>
  <c r="AC559" i="64"/>
  <c r="AD559" i="64"/>
  <c r="AE559" i="64"/>
  <c r="AF559" i="64"/>
  <c r="AG559" i="64"/>
  <c r="AH559" i="64"/>
  <c r="AI559" i="64"/>
  <c r="AJ559" i="64"/>
  <c r="AK559" i="64"/>
  <c r="AL559" i="64"/>
  <c r="AM559" i="64"/>
  <c r="AN559" i="64"/>
  <c r="AO559" i="64"/>
  <c r="AP559" i="64"/>
  <c r="AQ559" i="64"/>
  <c r="AR559" i="64"/>
  <c r="AS559" i="64"/>
  <c r="AT559" i="64"/>
  <c r="AU559" i="64"/>
  <c r="AV559" i="64"/>
  <c r="AW559" i="64"/>
  <c r="AX559" i="64"/>
  <c r="AY559" i="64"/>
  <c r="AZ559" i="64"/>
  <c r="BA559" i="64"/>
  <c r="BB559" i="64"/>
  <c r="BC559" i="64"/>
  <c r="BD559" i="64"/>
  <c r="BE559" i="64"/>
  <c r="BF559" i="64"/>
  <c r="C560" i="64"/>
  <c r="D560" i="64"/>
  <c r="E560" i="64"/>
  <c r="F560" i="64"/>
  <c r="G560" i="64"/>
  <c r="H560" i="64"/>
  <c r="I560" i="64"/>
  <c r="J560" i="64"/>
  <c r="K560" i="64"/>
  <c r="L560" i="64"/>
  <c r="M560" i="64"/>
  <c r="N560" i="64"/>
  <c r="O560" i="64"/>
  <c r="P560" i="64"/>
  <c r="Q560" i="64"/>
  <c r="R560" i="64"/>
  <c r="S560" i="64"/>
  <c r="T560" i="64"/>
  <c r="U560" i="64"/>
  <c r="V560" i="64"/>
  <c r="W560" i="64"/>
  <c r="X560" i="64"/>
  <c r="Y560" i="64"/>
  <c r="Z560" i="64"/>
  <c r="AA560" i="64"/>
  <c r="AB560" i="64"/>
  <c r="AC560" i="64"/>
  <c r="AD560" i="64"/>
  <c r="AE560" i="64"/>
  <c r="AF560" i="64"/>
  <c r="AG560" i="64"/>
  <c r="AH560" i="64"/>
  <c r="AI560" i="64"/>
  <c r="AJ560" i="64"/>
  <c r="AK560" i="64"/>
  <c r="AL560" i="64"/>
  <c r="AM560" i="64"/>
  <c r="AN560" i="64"/>
  <c r="AO560" i="64"/>
  <c r="AP560" i="64"/>
  <c r="AQ560" i="64"/>
  <c r="AR560" i="64"/>
  <c r="AS560" i="64"/>
  <c r="AT560" i="64"/>
  <c r="AU560" i="64"/>
  <c r="AV560" i="64"/>
  <c r="AW560" i="64"/>
  <c r="AX560" i="64"/>
  <c r="AY560" i="64"/>
  <c r="AZ560" i="64"/>
  <c r="BA560" i="64"/>
  <c r="BB560" i="64"/>
  <c r="BC560" i="64"/>
  <c r="BD560" i="64"/>
  <c r="BE560" i="64"/>
  <c r="BF560" i="64"/>
  <c r="C561" i="64"/>
  <c r="D561" i="64"/>
  <c r="E561" i="64"/>
  <c r="F561" i="64"/>
  <c r="G561" i="64"/>
  <c r="H561" i="64"/>
  <c r="I561" i="64"/>
  <c r="J561" i="64"/>
  <c r="K561" i="64"/>
  <c r="L561" i="64"/>
  <c r="M561" i="64"/>
  <c r="N561" i="64"/>
  <c r="O561" i="64"/>
  <c r="P561" i="64"/>
  <c r="Q561" i="64"/>
  <c r="R561" i="64"/>
  <c r="S561" i="64"/>
  <c r="T561" i="64"/>
  <c r="U561" i="64"/>
  <c r="V561" i="64"/>
  <c r="W561" i="64"/>
  <c r="X561" i="64"/>
  <c r="Y561" i="64"/>
  <c r="Z561" i="64"/>
  <c r="AA561" i="64"/>
  <c r="AB561" i="64"/>
  <c r="AC561" i="64"/>
  <c r="AD561" i="64"/>
  <c r="AE561" i="64"/>
  <c r="AF561" i="64"/>
  <c r="AG561" i="64"/>
  <c r="AH561" i="64"/>
  <c r="AI561" i="64"/>
  <c r="AJ561" i="64"/>
  <c r="AK561" i="64"/>
  <c r="AL561" i="64"/>
  <c r="AM561" i="64"/>
  <c r="AN561" i="64"/>
  <c r="AO561" i="64"/>
  <c r="AP561" i="64"/>
  <c r="AQ561" i="64"/>
  <c r="AR561" i="64"/>
  <c r="AS561" i="64"/>
  <c r="AT561" i="64"/>
  <c r="AU561" i="64"/>
  <c r="AV561" i="64"/>
  <c r="AW561" i="64"/>
  <c r="AX561" i="64"/>
  <c r="AY561" i="64"/>
  <c r="AZ561" i="64"/>
  <c r="BA561" i="64"/>
  <c r="BB561" i="64"/>
  <c r="BC561" i="64"/>
  <c r="BD561" i="64"/>
  <c r="BE561" i="64"/>
  <c r="BF561" i="64"/>
  <c r="C562" i="64"/>
  <c r="D562" i="64"/>
  <c r="E562" i="64"/>
  <c r="F562" i="64"/>
  <c r="G562" i="64"/>
  <c r="H562" i="64"/>
  <c r="I562" i="64"/>
  <c r="J562" i="64"/>
  <c r="K562" i="64"/>
  <c r="L562" i="64"/>
  <c r="M562" i="64"/>
  <c r="N562" i="64"/>
  <c r="O562" i="64"/>
  <c r="P562" i="64"/>
  <c r="Q562" i="64"/>
  <c r="R562" i="64"/>
  <c r="S562" i="64"/>
  <c r="T562" i="64"/>
  <c r="U562" i="64"/>
  <c r="V562" i="64"/>
  <c r="W562" i="64"/>
  <c r="X562" i="64"/>
  <c r="Y562" i="64"/>
  <c r="Z562" i="64"/>
  <c r="AA562" i="64"/>
  <c r="AB562" i="64"/>
  <c r="AC562" i="64"/>
  <c r="AD562" i="64"/>
  <c r="AE562" i="64"/>
  <c r="AF562" i="64"/>
  <c r="AG562" i="64"/>
  <c r="AH562" i="64"/>
  <c r="AI562" i="64"/>
  <c r="AJ562" i="64"/>
  <c r="AK562" i="64"/>
  <c r="AL562" i="64"/>
  <c r="AM562" i="64"/>
  <c r="AN562" i="64"/>
  <c r="AO562" i="64"/>
  <c r="AP562" i="64"/>
  <c r="AQ562" i="64"/>
  <c r="AR562" i="64"/>
  <c r="AS562" i="64"/>
  <c r="AT562" i="64"/>
  <c r="AU562" i="64"/>
  <c r="AV562" i="64"/>
  <c r="AW562" i="64"/>
  <c r="AX562" i="64"/>
  <c r="AY562" i="64"/>
  <c r="AZ562" i="64"/>
  <c r="BA562" i="64"/>
  <c r="BB562" i="64"/>
  <c r="BC562" i="64"/>
  <c r="BD562" i="64"/>
  <c r="BE562" i="64"/>
  <c r="BF562" i="64"/>
  <c r="C563" i="64"/>
  <c r="D563" i="64"/>
  <c r="E563" i="64"/>
  <c r="F563" i="64"/>
  <c r="G563" i="64"/>
  <c r="H563" i="64"/>
  <c r="I563" i="64"/>
  <c r="J563" i="64"/>
  <c r="K563" i="64"/>
  <c r="L563" i="64"/>
  <c r="M563" i="64"/>
  <c r="N563" i="64"/>
  <c r="O563" i="64"/>
  <c r="P563" i="64"/>
  <c r="Q563" i="64"/>
  <c r="R563" i="64"/>
  <c r="S563" i="64"/>
  <c r="T563" i="64"/>
  <c r="U563" i="64"/>
  <c r="V563" i="64"/>
  <c r="W563" i="64"/>
  <c r="X563" i="64"/>
  <c r="Y563" i="64"/>
  <c r="Z563" i="64"/>
  <c r="AA563" i="64"/>
  <c r="AB563" i="64"/>
  <c r="AC563" i="64"/>
  <c r="AD563" i="64"/>
  <c r="AE563" i="64"/>
  <c r="AF563" i="64"/>
  <c r="AG563" i="64"/>
  <c r="AH563" i="64"/>
  <c r="AI563" i="64"/>
  <c r="AJ563" i="64"/>
  <c r="AK563" i="64"/>
  <c r="AL563" i="64"/>
  <c r="AM563" i="64"/>
  <c r="AN563" i="64"/>
  <c r="AO563" i="64"/>
  <c r="AP563" i="64"/>
  <c r="AQ563" i="64"/>
  <c r="AR563" i="64"/>
  <c r="AS563" i="64"/>
  <c r="AT563" i="64"/>
  <c r="AU563" i="64"/>
  <c r="AV563" i="64"/>
  <c r="AW563" i="64"/>
  <c r="AX563" i="64"/>
  <c r="AY563" i="64"/>
  <c r="AZ563" i="64"/>
  <c r="BA563" i="64"/>
  <c r="BB563" i="64"/>
  <c r="BC563" i="64"/>
  <c r="BD563" i="64"/>
  <c r="BE563" i="64"/>
  <c r="BF563" i="64"/>
  <c r="C564" i="64"/>
  <c r="D564" i="64"/>
  <c r="E564" i="64"/>
  <c r="F564" i="64"/>
  <c r="G564" i="64"/>
  <c r="H564" i="64"/>
  <c r="I564" i="64"/>
  <c r="J564" i="64"/>
  <c r="K564" i="64"/>
  <c r="L564" i="64"/>
  <c r="M564" i="64"/>
  <c r="N564" i="64"/>
  <c r="O564" i="64"/>
  <c r="P564" i="64"/>
  <c r="Q564" i="64"/>
  <c r="R564" i="64"/>
  <c r="S564" i="64"/>
  <c r="T564" i="64"/>
  <c r="U564" i="64"/>
  <c r="V564" i="64"/>
  <c r="W564" i="64"/>
  <c r="X564" i="64"/>
  <c r="Y564" i="64"/>
  <c r="Z564" i="64"/>
  <c r="AA564" i="64"/>
  <c r="AB564" i="64"/>
  <c r="AC564" i="64"/>
  <c r="AD564" i="64"/>
  <c r="AE564" i="64"/>
  <c r="AF564" i="64"/>
  <c r="AG564" i="64"/>
  <c r="AH564" i="64"/>
  <c r="AI564" i="64"/>
  <c r="AJ564" i="64"/>
  <c r="AK564" i="64"/>
  <c r="AL564" i="64"/>
  <c r="AM564" i="64"/>
  <c r="AN564" i="64"/>
  <c r="AO564" i="64"/>
  <c r="AP564" i="64"/>
  <c r="AQ564" i="64"/>
  <c r="AR564" i="64"/>
  <c r="AS564" i="64"/>
  <c r="AT564" i="64"/>
  <c r="AU564" i="64"/>
  <c r="AV564" i="64"/>
  <c r="AW564" i="64"/>
  <c r="AX564" i="64"/>
  <c r="AY564" i="64"/>
  <c r="AZ564" i="64"/>
  <c r="BA564" i="64"/>
  <c r="BB564" i="64"/>
  <c r="BC564" i="64"/>
  <c r="BD564" i="64"/>
  <c r="BE564" i="64"/>
  <c r="BF564" i="64"/>
  <c r="C615" i="64"/>
  <c r="D615" i="64"/>
  <c r="E615" i="64"/>
  <c r="F615" i="64"/>
  <c r="G615" i="64"/>
  <c r="H615" i="64"/>
  <c r="I615" i="64"/>
  <c r="J615" i="64"/>
  <c r="K615" i="64"/>
  <c r="L615" i="64"/>
  <c r="M615" i="64"/>
  <c r="N615" i="64"/>
  <c r="O615" i="64"/>
  <c r="P615" i="64"/>
  <c r="Q615" i="64"/>
  <c r="R615" i="64"/>
  <c r="S615" i="64"/>
  <c r="T615" i="64"/>
  <c r="U615" i="64"/>
  <c r="V615" i="64"/>
  <c r="W615" i="64"/>
  <c r="X615" i="64"/>
  <c r="Y615" i="64"/>
  <c r="Z615" i="64"/>
  <c r="AA615" i="64"/>
  <c r="AB615" i="64"/>
  <c r="AC615" i="64"/>
  <c r="AD615" i="64"/>
  <c r="AE615" i="64"/>
  <c r="AF615" i="64"/>
  <c r="AG615" i="64"/>
  <c r="AH615" i="64"/>
  <c r="AI615" i="64"/>
  <c r="AJ615" i="64"/>
  <c r="AK615" i="64"/>
  <c r="AL615" i="64"/>
  <c r="AM615" i="64"/>
  <c r="AN615" i="64"/>
  <c r="AO615" i="64"/>
  <c r="AP615" i="64"/>
  <c r="AQ615" i="64"/>
  <c r="AR615" i="64"/>
  <c r="AS615" i="64"/>
  <c r="AT615" i="64"/>
  <c r="AU615" i="64"/>
  <c r="AV615" i="64"/>
  <c r="AW615" i="64"/>
  <c r="AX615" i="64"/>
  <c r="AY615" i="64"/>
  <c r="AZ615" i="64"/>
  <c r="BA615" i="64"/>
  <c r="BB615" i="64"/>
  <c r="BC615" i="64"/>
  <c r="BD615" i="64"/>
  <c r="BE615" i="64"/>
  <c r="BF615" i="64"/>
  <c r="C616" i="64"/>
  <c r="D616" i="64"/>
  <c r="E616" i="64"/>
  <c r="F616" i="64"/>
  <c r="G616" i="64"/>
  <c r="H616" i="64"/>
  <c r="I616" i="64"/>
  <c r="J616" i="64"/>
  <c r="K616" i="64"/>
  <c r="L616" i="64"/>
  <c r="M616" i="64"/>
  <c r="N616" i="64"/>
  <c r="O616" i="64"/>
  <c r="P616" i="64"/>
  <c r="Q616" i="64"/>
  <c r="R616" i="64"/>
  <c r="S616" i="64"/>
  <c r="T616" i="64"/>
  <c r="U616" i="64"/>
  <c r="V616" i="64"/>
  <c r="W616" i="64"/>
  <c r="X616" i="64"/>
  <c r="Y616" i="64"/>
  <c r="Z616" i="64"/>
  <c r="AA616" i="64"/>
  <c r="AB616" i="64"/>
  <c r="AC616" i="64"/>
  <c r="AD616" i="64"/>
  <c r="AE616" i="64"/>
  <c r="AF616" i="64"/>
  <c r="AG616" i="64"/>
  <c r="AH616" i="64"/>
  <c r="AI616" i="64"/>
  <c r="AJ616" i="64"/>
  <c r="AK616" i="64"/>
  <c r="AL616" i="64"/>
  <c r="AM616" i="64"/>
  <c r="AN616" i="64"/>
  <c r="AO616" i="64"/>
  <c r="AP616" i="64"/>
  <c r="AQ616" i="64"/>
  <c r="AR616" i="64"/>
  <c r="AS616" i="64"/>
  <c r="AT616" i="64"/>
  <c r="AU616" i="64"/>
  <c r="AV616" i="64"/>
  <c r="AW616" i="64"/>
  <c r="AX616" i="64"/>
  <c r="AY616" i="64"/>
  <c r="AZ616" i="64"/>
  <c r="BA616" i="64"/>
  <c r="BB616" i="64"/>
  <c r="BC616" i="64"/>
  <c r="BD616" i="64"/>
  <c r="BE616" i="64"/>
  <c r="BF616" i="64"/>
  <c r="C617" i="64"/>
  <c r="D617" i="64"/>
  <c r="E617" i="64"/>
  <c r="F617" i="64"/>
  <c r="G617" i="64"/>
  <c r="H617" i="64"/>
  <c r="I617" i="64"/>
  <c r="J617" i="64"/>
  <c r="K617" i="64"/>
  <c r="L617" i="64"/>
  <c r="M617" i="64"/>
  <c r="N617" i="64"/>
  <c r="O617" i="64"/>
  <c r="P617" i="64"/>
  <c r="Q617" i="64"/>
  <c r="R617" i="64"/>
  <c r="S617" i="64"/>
  <c r="T617" i="64"/>
  <c r="U617" i="64"/>
  <c r="V617" i="64"/>
  <c r="W617" i="64"/>
  <c r="X617" i="64"/>
  <c r="Y617" i="64"/>
  <c r="Z617" i="64"/>
  <c r="AA617" i="64"/>
  <c r="AB617" i="64"/>
  <c r="AC617" i="64"/>
  <c r="AD617" i="64"/>
  <c r="AE617" i="64"/>
  <c r="AF617" i="64"/>
  <c r="AG617" i="64"/>
  <c r="AH617" i="64"/>
  <c r="AI617" i="64"/>
  <c r="AJ617" i="64"/>
  <c r="AK617" i="64"/>
  <c r="AL617" i="64"/>
  <c r="AM617" i="64"/>
  <c r="AN617" i="64"/>
  <c r="AO617" i="64"/>
  <c r="AP617" i="64"/>
  <c r="AQ617" i="64"/>
  <c r="AR617" i="64"/>
  <c r="AS617" i="64"/>
  <c r="AT617" i="64"/>
  <c r="AU617" i="64"/>
  <c r="AV617" i="64"/>
  <c r="AW617" i="64"/>
  <c r="AX617" i="64"/>
  <c r="AY617" i="64"/>
  <c r="AZ617" i="64"/>
  <c r="BA617" i="64"/>
  <c r="BB617" i="64"/>
  <c r="BC617" i="64"/>
  <c r="BD617" i="64"/>
  <c r="BE617" i="64"/>
  <c r="BF617" i="64"/>
  <c r="C618" i="64"/>
  <c r="D618" i="64"/>
  <c r="E618" i="64"/>
  <c r="F618" i="64"/>
  <c r="G618" i="64"/>
  <c r="H618" i="64"/>
  <c r="I618" i="64"/>
  <c r="J618" i="64"/>
  <c r="K618" i="64"/>
  <c r="L618" i="64"/>
  <c r="M618" i="64"/>
  <c r="N618" i="64"/>
  <c r="O618" i="64"/>
  <c r="P618" i="64"/>
  <c r="Q618" i="64"/>
  <c r="R618" i="64"/>
  <c r="S618" i="64"/>
  <c r="T618" i="64"/>
  <c r="U618" i="64"/>
  <c r="V618" i="64"/>
  <c r="W618" i="64"/>
  <c r="X618" i="64"/>
  <c r="Y618" i="64"/>
  <c r="Z618" i="64"/>
  <c r="AA618" i="64"/>
  <c r="AB618" i="64"/>
  <c r="AC618" i="64"/>
  <c r="AD618" i="64"/>
  <c r="AE618" i="64"/>
  <c r="AF618" i="64"/>
  <c r="AG618" i="64"/>
  <c r="AH618" i="64"/>
  <c r="AI618" i="64"/>
  <c r="AJ618" i="64"/>
  <c r="AK618" i="64"/>
  <c r="AL618" i="64"/>
  <c r="AM618" i="64"/>
  <c r="AN618" i="64"/>
  <c r="AO618" i="64"/>
  <c r="AP618" i="64"/>
  <c r="AQ618" i="64"/>
  <c r="AR618" i="64"/>
  <c r="AS618" i="64"/>
  <c r="AT618" i="64"/>
  <c r="AU618" i="64"/>
  <c r="AV618" i="64"/>
  <c r="AW618" i="64"/>
  <c r="AX618" i="64"/>
  <c r="AY618" i="64"/>
  <c r="AZ618" i="64"/>
  <c r="BA618" i="64"/>
  <c r="BB618" i="64"/>
  <c r="BC618" i="64"/>
  <c r="BD618" i="64"/>
  <c r="BE618" i="64"/>
  <c r="BF618" i="64"/>
  <c r="C619" i="64"/>
  <c r="D619" i="64"/>
  <c r="E619" i="64"/>
  <c r="F619" i="64"/>
  <c r="G619" i="64"/>
  <c r="H619" i="64"/>
  <c r="I619" i="64"/>
  <c r="J619" i="64"/>
  <c r="K619" i="64"/>
  <c r="L619" i="64"/>
  <c r="M619" i="64"/>
  <c r="N619" i="64"/>
  <c r="O619" i="64"/>
  <c r="P619" i="64"/>
  <c r="Q619" i="64"/>
  <c r="R619" i="64"/>
  <c r="S619" i="64"/>
  <c r="T619" i="64"/>
  <c r="U619" i="64"/>
  <c r="V619" i="64"/>
  <c r="W619" i="64"/>
  <c r="X619" i="64"/>
  <c r="Y619" i="64"/>
  <c r="Z619" i="64"/>
  <c r="AA619" i="64"/>
  <c r="AB619" i="64"/>
  <c r="AC619" i="64"/>
  <c r="AD619" i="64"/>
  <c r="AE619" i="64"/>
  <c r="AF619" i="64"/>
  <c r="AG619" i="64"/>
  <c r="AH619" i="64"/>
  <c r="AI619" i="64"/>
  <c r="AJ619" i="64"/>
  <c r="AK619" i="64"/>
  <c r="AL619" i="64"/>
  <c r="AM619" i="64"/>
  <c r="AN619" i="64"/>
  <c r="AO619" i="64"/>
  <c r="AP619" i="64"/>
  <c r="AQ619" i="64"/>
  <c r="AR619" i="64"/>
  <c r="AS619" i="64"/>
  <c r="AT619" i="64"/>
  <c r="AU619" i="64"/>
  <c r="AV619" i="64"/>
  <c r="AW619" i="64"/>
  <c r="AX619" i="64"/>
  <c r="AY619" i="64"/>
  <c r="AZ619" i="64"/>
  <c r="BA619" i="64"/>
  <c r="BB619" i="64"/>
  <c r="BC619" i="64"/>
  <c r="BD619" i="64"/>
  <c r="BE619" i="64"/>
  <c r="BF619" i="64"/>
  <c r="C620" i="64"/>
  <c r="D620" i="64"/>
  <c r="E620" i="64"/>
  <c r="F620" i="64"/>
  <c r="G620" i="64"/>
  <c r="H620" i="64"/>
  <c r="I620" i="64"/>
  <c r="J620" i="64"/>
  <c r="K620" i="64"/>
  <c r="L620" i="64"/>
  <c r="M620" i="64"/>
  <c r="N620" i="64"/>
  <c r="O620" i="64"/>
  <c r="P620" i="64"/>
  <c r="Q620" i="64"/>
  <c r="R620" i="64"/>
  <c r="S620" i="64"/>
  <c r="T620" i="64"/>
  <c r="U620" i="64"/>
  <c r="V620" i="64"/>
  <c r="W620" i="64"/>
  <c r="X620" i="64"/>
  <c r="Y620" i="64"/>
  <c r="Z620" i="64"/>
  <c r="AA620" i="64"/>
  <c r="AB620" i="64"/>
  <c r="AC620" i="64"/>
  <c r="AD620" i="64"/>
  <c r="AE620" i="64"/>
  <c r="AF620" i="64"/>
  <c r="AG620" i="64"/>
  <c r="AH620" i="64"/>
  <c r="AI620" i="64"/>
  <c r="AJ620" i="64"/>
  <c r="AK620" i="64"/>
  <c r="AL620" i="64"/>
  <c r="AM620" i="64"/>
  <c r="AN620" i="64"/>
  <c r="AO620" i="64"/>
  <c r="AP620" i="64"/>
  <c r="AQ620" i="64"/>
  <c r="AR620" i="64"/>
  <c r="AS620" i="64"/>
  <c r="AT620" i="64"/>
  <c r="AU620" i="64"/>
  <c r="AV620" i="64"/>
  <c r="AW620" i="64"/>
  <c r="AX620" i="64"/>
  <c r="AY620" i="64"/>
  <c r="AZ620" i="64"/>
  <c r="BA620" i="64"/>
  <c r="BB620" i="64"/>
  <c r="BC620" i="64"/>
  <c r="BD620" i="64"/>
  <c r="BE620" i="64"/>
  <c r="BF620" i="64"/>
  <c r="C621" i="64"/>
  <c r="D621" i="64"/>
  <c r="E621" i="64"/>
  <c r="F621" i="64"/>
  <c r="G621" i="64"/>
  <c r="H621" i="64"/>
  <c r="I621" i="64"/>
  <c r="J621" i="64"/>
  <c r="K621" i="64"/>
  <c r="L621" i="64"/>
  <c r="M621" i="64"/>
  <c r="N621" i="64"/>
  <c r="O621" i="64"/>
  <c r="P621" i="64"/>
  <c r="Q621" i="64"/>
  <c r="R621" i="64"/>
  <c r="S621" i="64"/>
  <c r="T621" i="64"/>
  <c r="U621" i="64"/>
  <c r="V621" i="64"/>
  <c r="W621" i="64"/>
  <c r="X621" i="64"/>
  <c r="Y621" i="64"/>
  <c r="Z621" i="64"/>
  <c r="AA621" i="64"/>
  <c r="AB621" i="64"/>
  <c r="AC621" i="64"/>
  <c r="AD621" i="64"/>
  <c r="AE621" i="64"/>
  <c r="AF621" i="64"/>
  <c r="AG621" i="64"/>
  <c r="AH621" i="64"/>
  <c r="AI621" i="64"/>
  <c r="AJ621" i="64"/>
  <c r="AK621" i="64"/>
  <c r="AL621" i="64"/>
  <c r="AM621" i="64"/>
  <c r="AN621" i="64"/>
  <c r="AO621" i="64"/>
  <c r="AP621" i="64"/>
  <c r="AQ621" i="64"/>
  <c r="AR621" i="64"/>
  <c r="AS621" i="64"/>
  <c r="AT621" i="64"/>
  <c r="AU621" i="64"/>
  <c r="AV621" i="64"/>
  <c r="AW621" i="64"/>
  <c r="AX621" i="64"/>
  <c r="AY621" i="64"/>
  <c r="AZ621" i="64"/>
  <c r="BA621" i="64"/>
  <c r="BB621" i="64"/>
  <c r="BC621" i="64"/>
  <c r="BD621" i="64"/>
  <c r="BE621" i="64"/>
  <c r="BF621" i="64"/>
  <c r="C622" i="64"/>
  <c r="D622" i="64"/>
  <c r="E622" i="64"/>
  <c r="F622" i="64"/>
  <c r="G622" i="64"/>
  <c r="H622" i="64"/>
  <c r="I622" i="64"/>
  <c r="J622" i="64"/>
  <c r="K622" i="64"/>
  <c r="L622" i="64"/>
  <c r="M622" i="64"/>
  <c r="N622" i="64"/>
  <c r="O622" i="64"/>
  <c r="P622" i="64"/>
  <c r="Q622" i="64"/>
  <c r="R622" i="64"/>
  <c r="S622" i="64"/>
  <c r="T622" i="64"/>
  <c r="U622" i="64"/>
  <c r="V622" i="64"/>
  <c r="W622" i="64"/>
  <c r="X622" i="64"/>
  <c r="Y622" i="64"/>
  <c r="Z622" i="64"/>
  <c r="AA622" i="64"/>
  <c r="AB622" i="64"/>
  <c r="AC622" i="64"/>
  <c r="AD622" i="64"/>
  <c r="AE622" i="64"/>
  <c r="AF622" i="64"/>
  <c r="AG622" i="64"/>
  <c r="AH622" i="64"/>
  <c r="AI622" i="64"/>
  <c r="AJ622" i="64"/>
  <c r="AK622" i="64"/>
  <c r="AL622" i="64"/>
  <c r="AM622" i="64"/>
  <c r="AN622" i="64"/>
  <c r="AO622" i="64"/>
  <c r="AP622" i="64"/>
  <c r="AQ622" i="64"/>
  <c r="AR622" i="64"/>
  <c r="AS622" i="64"/>
  <c r="AT622" i="64"/>
  <c r="AU622" i="64"/>
  <c r="AV622" i="64"/>
  <c r="AW622" i="64"/>
  <c r="AX622" i="64"/>
  <c r="AY622" i="64"/>
  <c r="AZ622" i="64"/>
  <c r="BA622" i="64"/>
  <c r="BB622" i="64"/>
  <c r="BC622" i="64"/>
  <c r="BD622" i="64"/>
  <c r="BE622" i="64"/>
  <c r="BF622" i="64"/>
  <c r="C623" i="64"/>
  <c r="D623" i="64"/>
  <c r="E623" i="64"/>
  <c r="F623" i="64"/>
  <c r="G623" i="64"/>
  <c r="H623" i="64"/>
  <c r="I623" i="64"/>
  <c r="J623" i="64"/>
  <c r="K623" i="64"/>
  <c r="L623" i="64"/>
  <c r="M623" i="64"/>
  <c r="N623" i="64"/>
  <c r="O623" i="64"/>
  <c r="P623" i="64"/>
  <c r="Q623" i="64"/>
  <c r="R623" i="64"/>
  <c r="S623" i="64"/>
  <c r="T623" i="64"/>
  <c r="U623" i="64"/>
  <c r="V623" i="64"/>
  <c r="W623" i="64"/>
  <c r="X623" i="64"/>
  <c r="Y623" i="64"/>
  <c r="Z623" i="64"/>
  <c r="AA623" i="64"/>
  <c r="AB623" i="64"/>
  <c r="AC623" i="64"/>
  <c r="AD623" i="64"/>
  <c r="AE623" i="64"/>
  <c r="AF623" i="64"/>
  <c r="AG623" i="64"/>
  <c r="AH623" i="64"/>
  <c r="AI623" i="64"/>
  <c r="AJ623" i="64"/>
  <c r="AK623" i="64"/>
  <c r="AL623" i="64"/>
  <c r="AM623" i="64"/>
  <c r="AN623" i="64"/>
  <c r="AO623" i="64"/>
  <c r="AP623" i="64"/>
  <c r="AQ623" i="64"/>
  <c r="AR623" i="64"/>
  <c r="AS623" i="64"/>
  <c r="AT623" i="64"/>
  <c r="AU623" i="64"/>
  <c r="AV623" i="64"/>
  <c r="AW623" i="64"/>
  <c r="AX623" i="64"/>
  <c r="AY623" i="64"/>
  <c r="AZ623" i="64"/>
  <c r="BA623" i="64"/>
  <c r="BB623" i="64"/>
  <c r="BC623" i="64"/>
  <c r="BD623" i="64"/>
  <c r="BE623" i="64"/>
  <c r="BF623" i="64"/>
  <c r="C624" i="64"/>
  <c r="D624" i="64"/>
  <c r="E624" i="64"/>
  <c r="F624" i="64"/>
  <c r="G624" i="64"/>
  <c r="H624" i="64"/>
  <c r="I624" i="64"/>
  <c r="J624" i="64"/>
  <c r="K624" i="64"/>
  <c r="L624" i="64"/>
  <c r="M624" i="64"/>
  <c r="N624" i="64"/>
  <c r="O624" i="64"/>
  <c r="P624" i="64"/>
  <c r="Q624" i="64"/>
  <c r="R624" i="64"/>
  <c r="S624" i="64"/>
  <c r="T624" i="64"/>
  <c r="U624" i="64"/>
  <c r="V624" i="64"/>
  <c r="W624" i="64"/>
  <c r="X624" i="64"/>
  <c r="Y624" i="64"/>
  <c r="Z624" i="64"/>
  <c r="AA624" i="64"/>
  <c r="AB624" i="64"/>
  <c r="AC624" i="64"/>
  <c r="AD624" i="64"/>
  <c r="AE624" i="64"/>
  <c r="AF624" i="64"/>
  <c r="AG624" i="64"/>
  <c r="AH624" i="64"/>
  <c r="AI624" i="64"/>
  <c r="AJ624" i="64"/>
  <c r="AK624" i="64"/>
  <c r="AL624" i="64"/>
  <c r="AM624" i="64"/>
  <c r="AN624" i="64"/>
  <c r="AO624" i="64"/>
  <c r="AP624" i="64"/>
  <c r="AQ624" i="64"/>
  <c r="AR624" i="64"/>
  <c r="AS624" i="64"/>
  <c r="AT624" i="64"/>
  <c r="AU624" i="64"/>
  <c r="AV624" i="64"/>
  <c r="AW624" i="64"/>
  <c r="AX624" i="64"/>
  <c r="AY624" i="64"/>
  <c r="AZ624" i="64"/>
  <c r="BA624" i="64"/>
  <c r="BB624" i="64"/>
  <c r="BC624" i="64"/>
  <c r="BD624" i="64"/>
  <c r="BE624" i="64"/>
  <c r="BF624" i="64"/>
  <c r="C625" i="64"/>
  <c r="D625" i="64"/>
  <c r="E625" i="64"/>
  <c r="F625" i="64"/>
  <c r="G625" i="64"/>
  <c r="H625" i="64"/>
  <c r="I625" i="64"/>
  <c r="J625" i="64"/>
  <c r="K625" i="64"/>
  <c r="L625" i="64"/>
  <c r="M625" i="64"/>
  <c r="N625" i="64"/>
  <c r="O625" i="64"/>
  <c r="P625" i="64"/>
  <c r="Q625" i="64"/>
  <c r="R625" i="64"/>
  <c r="S625" i="64"/>
  <c r="T625" i="64"/>
  <c r="U625" i="64"/>
  <c r="V625" i="64"/>
  <c r="W625" i="64"/>
  <c r="X625" i="64"/>
  <c r="Y625" i="64"/>
  <c r="Z625" i="64"/>
  <c r="AA625" i="64"/>
  <c r="AB625" i="64"/>
  <c r="AC625" i="64"/>
  <c r="AD625" i="64"/>
  <c r="AE625" i="64"/>
  <c r="AF625" i="64"/>
  <c r="AG625" i="64"/>
  <c r="AH625" i="64"/>
  <c r="AI625" i="64"/>
  <c r="AJ625" i="64"/>
  <c r="AK625" i="64"/>
  <c r="AL625" i="64"/>
  <c r="AM625" i="64"/>
  <c r="AN625" i="64"/>
  <c r="AO625" i="64"/>
  <c r="AP625" i="64"/>
  <c r="AQ625" i="64"/>
  <c r="AR625" i="64"/>
  <c r="AS625" i="64"/>
  <c r="AT625" i="64"/>
  <c r="AU625" i="64"/>
  <c r="AV625" i="64"/>
  <c r="AW625" i="64"/>
  <c r="AX625" i="64"/>
  <c r="AY625" i="64"/>
  <c r="AZ625" i="64"/>
  <c r="BA625" i="64"/>
  <c r="BB625" i="64"/>
  <c r="BC625" i="64"/>
  <c r="BD625" i="64"/>
  <c r="BE625" i="64"/>
  <c r="BF625" i="64"/>
  <c r="C626" i="64"/>
  <c r="D626" i="64"/>
  <c r="E626" i="64"/>
  <c r="F626" i="64"/>
  <c r="G626" i="64"/>
  <c r="H626" i="64"/>
  <c r="I626" i="64"/>
  <c r="J626" i="64"/>
  <c r="K626" i="64"/>
  <c r="L626" i="64"/>
  <c r="M626" i="64"/>
  <c r="N626" i="64"/>
  <c r="O626" i="64"/>
  <c r="P626" i="64"/>
  <c r="Q626" i="64"/>
  <c r="R626" i="64"/>
  <c r="S626" i="64"/>
  <c r="T626" i="64"/>
  <c r="U626" i="64"/>
  <c r="V626" i="64"/>
  <c r="W626" i="64"/>
  <c r="X626" i="64"/>
  <c r="Y626" i="64"/>
  <c r="Z626" i="64"/>
  <c r="AA626" i="64"/>
  <c r="AB626" i="64"/>
  <c r="AC626" i="64"/>
  <c r="AD626" i="64"/>
  <c r="AE626" i="64"/>
  <c r="AF626" i="64"/>
  <c r="AG626" i="64"/>
  <c r="AH626" i="64"/>
  <c r="AI626" i="64"/>
  <c r="AJ626" i="64"/>
  <c r="AK626" i="64"/>
  <c r="AL626" i="64"/>
  <c r="AM626" i="64"/>
  <c r="AN626" i="64"/>
  <c r="AO626" i="64"/>
  <c r="AP626" i="64"/>
  <c r="AQ626" i="64"/>
  <c r="AR626" i="64"/>
  <c r="AS626" i="64"/>
  <c r="AT626" i="64"/>
  <c r="AU626" i="64"/>
  <c r="AV626" i="64"/>
  <c r="AW626" i="64"/>
  <c r="AX626" i="64"/>
  <c r="AY626" i="64"/>
  <c r="AZ626" i="64"/>
  <c r="BA626" i="64"/>
  <c r="BB626" i="64"/>
  <c r="BC626" i="64"/>
  <c r="BD626" i="64"/>
  <c r="BE626" i="64"/>
  <c r="BF626" i="64"/>
  <c r="C627" i="64"/>
  <c r="D627" i="64"/>
  <c r="E627" i="64"/>
  <c r="F627" i="64"/>
  <c r="G627" i="64"/>
  <c r="H627" i="64"/>
  <c r="I627" i="64"/>
  <c r="J627" i="64"/>
  <c r="K627" i="64"/>
  <c r="L627" i="64"/>
  <c r="M627" i="64"/>
  <c r="N627" i="64"/>
  <c r="O627" i="64"/>
  <c r="P627" i="64"/>
  <c r="Q627" i="64"/>
  <c r="R627" i="64"/>
  <c r="S627" i="64"/>
  <c r="T627" i="64"/>
  <c r="U627" i="64"/>
  <c r="V627" i="64"/>
  <c r="W627" i="64"/>
  <c r="X627" i="64"/>
  <c r="Y627" i="64"/>
  <c r="Z627" i="64"/>
  <c r="AA627" i="64"/>
  <c r="AB627" i="64"/>
  <c r="AC627" i="64"/>
  <c r="AD627" i="64"/>
  <c r="AE627" i="64"/>
  <c r="AF627" i="64"/>
  <c r="AG627" i="64"/>
  <c r="AH627" i="64"/>
  <c r="AI627" i="64"/>
  <c r="AJ627" i="64"/>
  <c r="AK627" i="64"/>
  <c r="AL627" i="64"/>
  <c r="AM627" i="64"/>
  <c r="AN627" i="64"/>
  <c r="AO627" i="64"/>
  <c r="AP627" i="64"/>
  <c r="AQ627" i="64"/>
  <c r="AR627" i="64"/>
  <c r="AS627" i="64"/>
  <c r="AT627" i="64"/>
  <c r="AU627" i="64"/>
  <c r="AV627" i="64"/>
  <c r="AW627" i="64"/>
  <c r="AX627" i="64"/>
  <c r="AY627" i="64"/>
  <c r="AZ627" i="64"/>
  <c r="BA627" i="64"/>
  <c r="BB627" i="64"/>
  <c r="BC627" i="64"/>
  <c r="BD627" i="64"/>
  <c r="BE627" i="64"/>
  <c r="BF627" i="64"/>
  <c r="C628" i="64"/>
  <c r="D628" i="64"/>
  <c r="E628" i="64"/>
  <c r="F628" i="64"/>
  <c r="G628" i="64"/>
  <c r="H628" i="64"/>
  <c r="I628" i="64"/>
  <c r="J628" i="64"/>
  <c r="K628" i="64"/>
  <c r="L628" i="64"/>
  <c r="M628" i="64"/>
  <c r="N628" i="64"/>
  <c r="O628" i="64"/>
  <c r="P628" i="64"/>
  <c r="Q628" i="64"/>
  <c r="R628" i="64"/>
  <c r="S628" i="64"/>
  <c r="T628" i="64"/>
  <c r="U628" i="64"/>
  <c r="V628" i="64"/>
  <c r="W628" i="64"/>
  <c r="X628" i="64"/>
  <c r="Y628" i="64"/>
  <c r="Z628" i="64"/>
  <c r="AA628" i="64"/>
  <c r="AB628" i="64"/>
  <c r="AC628" i="64"/>
  <c r="AD628" i="64"/>
  <c r="AE628" i="64"/>
  <c r="AF628" i="64"/>
  <c r="AG628" i="64"/>
  <c r="AH628" i="64"/>
  <c r="AI628" i="64"/>
  <c r="AJ628" i="64"/>
  <c r="AK628" i="64"/>
  <c r="AL628" i="64"/>
  <c r="AM628" i="64"/>
  <c r="AN628" i="64"/>
  <c r="AO628" i="64"/>
  <c r="AP628" i="64"/>
  <c r="AQ628" i="64"/>
  <c r="AR628" i="64"/>
  <c r="AS628" i="64"/>
  <c r="AT628" i="64"/>
  <c r="AU628" i="64"/>
  <c r="AV628" i="64"/>
  <c r="AW628" i="64"/>
  <c r="AX628" i="64"/>
  <c r="AY628" i="64"/>
  <c r="AZ628" i="64"/>
  <c r="BA628" i="64"/>
  <c r="BB628" i="64"/>
  <c r="BC628" i="64"/>
  <c r="BD628" i="64"/>
  <c r="BE628" i="64"/>
  <c r="BF628" i="64"/>
  <c r="C629" i="64"/>
  <c r="D629" i="64"/>
  <c r="E629" i="64"/>
  <c r="F629" i="64"/>
  <c r="G629" i="64"/>
  <c r="H629" i="64"/>
  <c r="I629" i="64"/>
  <c r="J629" i="64"/>
  <c r="K629" i="64"/>
  <c r="L629" i="64"/>
  <c r="M629" i="64"/>
  <c r="N629" i="64"/>
  <c r="O629" i="64"/>
  <c r="P629" i="64"/>
  <c r="Q629" i="64"/>
  <c r="R629" i="64"/>
  <c r="S629" i="64"/>
  <c r="T629" i="64"/>
  <c r="U629" i="64"/>
  <c r="V629" i="64"/>
  <c r="W629" i="64"/>
  <c r="X629" i="64"/>
  <c r="Y629" i="64"/>
  <c r="Z629" i="64"/>
  <c r="AA629" i="64"/>
  <c r="AB629" i="64"/>
  <c r="AC629" i="64"/>
  <c r="AD629" i="64"/>
  <c r="AE629" i="64"/>
  <c r="AF629" i="64"/>
  <c r="AG629" i="64"/>
  <c r="AH629" i="64"/>
  <c r="AI629" i="64"/>
  <c r="AJ629" i="64"/>
  <c r="AK629" i="64"/>
  <c r="AL629" i="64"/>
  <c r="AM629" i="64"/>
  <c r="AN629" i="64"/>
  <c r="AO629" i="64"/>
  <c r="AP629" i="64"/>
  <c r="AQ629" i="64"/>
  <c r="AR629" i="64"/>
  <c r="AS629" i="64"/>
  <c r="AT629" i="64"/>
  <c r="AU629" i="64"/>
  <c r="AV629" i="64"/>
  <c r="AW629" i="64"/>
  <c r="AX629" i="64"/>
  <c r="AY629" i="64"/>
  <c r="AZ629" i="64"/>
  <c r="BA629" i="64"/>
  <c r="BB629" i="64"/>
  <c r="BC629" i="64"/>
  <c r="BD629" i="64"/>
  <c r="BE629" i="64"/>
  <c r="BF629" i="64"/>
  <c r="C630" i="64"/>
  <c r="D630" i="64"/>
  <c r="E630" i="64"/>
  <c r="F630" i="64"/>
  <c r="G630" i="64"/>
  <c r="H630" i="64"/>
  <c r="I630" i="64"/>
  <c r="J630" i="64"/>
  <c r="K630" i="64"/>
  <c r="L630" i="64"/>
  <c r="M630" i="64"/>
  <c r="N630" i="64"/>
  <c r="O630" i="64"/>
  <c r="P630" i="64"/>
  <c r="Q630" i="64"/>
  <c r="R630" i="64"/>
  <c r="S630" i="64"/>
  <c r="T630" i="64"/>
  <c r="U630" i="64"/>
  <c r="V630" i="64"/>
  <c r="W630" i="64"/>
  <c r="X630" i="64"/>
  <c r="Y630" i="64"/>
  <c r="Z630" i="64"/>
  <c r="AA630" i="64"/>
  <c r="AB630" i="64"/>
  <c r="AC630" i="64"/>
  <c r="AD630" i="64"/>
  <c r="AE630" i="64"/>
  <c r="AF630" i="64"/>
  <c r="AG630" i="64"/>
  <c r="AH630" i="64"/>
  <c r="AI630" i="64"/>
  <c r="AJ630" i="64"/>
  <c r="AK630" i="64"/>
  <c r="AL630" i="64"/>
  <c r="AM630" i="64"/>
  <c r="AN630" i="64"/>
  <c r="AO630" i="64"/>
  <c r="AP630" i="64"/>
  <c r="AQ630" i="64"/>
  <c r="AR630" i="64"/>
  <c r="AS630" i="64"/>
  <c r="AT630" i="64"/>
  <c r="AU630" i="64"/>
  <c r="AV630" i="64"/>
  <c r="AW630" i="64"/>
  <c r="AX630" i="64"/>
  <c r="AY630" i="64"/>
  <c r="AZ630" i="64"/>
  <c r="BA630" i="64"/>
  <c r="BB630" i="64"/>
  <c r="BC630" i="64"/>
  <c r="BD630" i="64"/>
  <c r="BE630" i="64"/>
  <c r="BF630" i="64"/>
  <c r="C631" i="64"/>
  <c r="D631" i="64"/>
  <c r="E631" i="64"/>
  <c r="F631" i="64"/>
  <c r="G631" i="64"/>
  <c r="H631" i="64"/>
  <c r="I631" i="64"/>
  <c r="J631" i="64"/>
  <c r="K631" i="64"/>
  <c r="L631" i="64"/>
  <c r="M631" i="64"/>
  <c r="N631" i="64"/>
  <c r="O631" i="64"/>
  <c r="P631" i="64"/>
  <c r="Q631" i="64"/>
  <c r="R631" i="64"/>
  <c r="S631" i="64"/>
  <c r="T631" i="64"/>
  <c r="U631" i="64"/>
  <c r="V631" i="64"/>
  <c r="W631" i="64"/>
  <c r="X631" i="64"/>
  <c r="Y631" i="64"/>
  <c r="Z631" i="64"/>
  <c r="AA631" i="64"/>
  <c r="AB631" i="64"/>
  <c r="AC631" i="64"/>
  <c r="AD631" i="64"/>
  <c r="AE631" i="64"/>
  <c r="AF631" i="64"/>
  <c r="AG631" i="64"/>
  <c r="AH631" i="64"/>
  <c r="AI631" i="64"/>
  <c r="AJ631" i="64"/>
  <c r="AK631" i="64"/>
  <c r="AL631" i="64"/>
  <c r="AM631" i="64"/>
  <c r="AN631" i="64"/>
  <c r="AO631" i="64"/>
  <c r="AP631" i="64"/>
  <c r="AQ631" i="64"/>
  <c r="AR631" i="64"/>
  <c r="AS631" i="64"/>
  <c r="AT631" i="64"/>
  <c r="AU631" i="64"/>
  <c r="AV631" i="64"/>
  <c r="AW631" i="64"/>
  <c r="AX631" i="64"/>
  <c r="AY631" i="64"/>
  <c r="AZ631" i="64"/>
  <c r="BA631" i="64"/>
  <c r="BB631" i="64"/>
  <c r="BC631" i="64"/>
  <c r="BD631" i="64"/>
  <c r="BE631" i="64"/>
  <c r="BF631" i="64"/>
  <c r="C632" i="64"/>
  <c r="D632" i="64"/>
  <c r="E632" i="64"/>
  <c r="F632" i="64"/>
  <c r="G632" i="64"/>
  <c r="H632" i="64"/>
  <c r="I632" i="64"/>
  <c r="J632" i="64"/>
  <c r="K632" i="64"/>
  <c r="L632" i="64"/>
  <c r="M632" i="64"/>
  <c r="N632" i="64"/>
  <c r="O632" i="64"/>
  <c r="P632" i="64"/>
  <c r="Q632" i="64"/>
  <c r="R632" i="64"/>
  <c r="S632" i="64"/>
  <c r="T632" i="64"/>
  <c r="U632" i="64"/>
  <c r="V632" i="64"/>
  <c r="W632" i="64"/>
  <c r="X632" i="64"/>
  <c r="Y632" i="64"/>
  <c r="Z632" i="64"/>
  <c r="AA632" i="64"/>
  <c r="AB632" i="64"/>
  <c r="AC632" i="64"/>
  <c r="AD632" i="64"/>
  <c r="AE632" i="64"/>
  <c r="AF632" i="64"/>
  <c r="AG632" i="64"/>
  <c r="AH632" i="64"/>
  <c r="AI632" i="64"/>
  <c r="AJ632" i="64"/>
  <c r="AK632" i="64"/>
  <c r="AL632" i="64"/>
  <c r="AM632" i="64"/>
  <c r="AN632" i="64"/>
  <c r="AO632" i="64"/>
  <c r="AP632" i="64"/>
  <c r="AQ632" i="64"/>
  <c r="AR632" i="64"/>
  <c r="AS632" i="64"/>
  <c r="AT632" i="64"/>
  <c r="AU632" i="64"/>
  <c r="AV632" i="64"/>
  <c r="AW632" i="64"/>
  <c r="AX632" i="64"/>
  <c r="AY632" i="64"/>
  <c r="AZ632" i="64"/>
  <c r="BA632" i="64"/>
  <c r="BB632" i="64"/>
  <c r="BC632" i="64"/>
  <c r="BD632" i="64"/>
  <c r="BE632" i="64"/>
  <c r="BF632" i="64"/>
  <c r="C633" i="64"/>
  <c r="D633" i="64"/>
  <c r="E633" i="64"/>
  <c r="F633" i="64"/>
  <c r="G633" i="64"/>
  <c r="H633" i="64"/>
  <c r="I633" i="64"/>
  <c r="J633" i="64"/>
  <c r="K633" i="64"/>
  <c r="L633" i="64"/>
  <c r="M633" i="64"/>
  <c r="N633" i="64"/>
  <c r="O633" i="64"/>
  <c r="P633" i="64"/>
  <c r="Q633" i="64"/>
  <c r="R633" i="64"/>
  <c r="S633" i="64"/>
  <c r="T633" i="64"/>
  <c r="U633" i="64"/>
  <c r="V633" i="64"/>
  <c r="W633" i="64"/>
  <c r="X633" i="64"/>
  <c r="Y633" i="64"/>
  <c r="Z633" i="64"/>
  <c r="AA633" i="64"/>
  <c r="AB633" i="64"/>
  <c r="AC633" i="64"/>
  <c r="AD633" i="64"/>
  <c r="AE633" i="64"/>
  <c r="AF633" i="64"/>
  <c r="AG633" i="64"/>
  <c r="AH633" i="64"/>
  <c r="AI633" i="64"/>
  <c r="AJ633" i="64"/>
  <c r="AK633" i="64"/>
  <c r="AL633" i="64"/>
  <c r="AM633" i="64"/>
  <c r="AN633" i="64"/>
  <c r="AO633" i="64"/>
  <c r="AP633" i="64"/>
  <c r="AQ633" i="64"/>
  <c r="AR633" i="64"/>
  <c r="AS633" i="64"/>
  <c r="AT633" i="64"/>
  <c r="AU633" i="64"/>
  <c r="AV633" i="64"/>
  <c r="AW633" i="64"/>
  <c r="AX633" i="64"/>
  <c r="AY633" i="64"/>
  <c r="AZ633" i="64"/>
  <c r="BA633" i="64"/>
  <c r="BB633" i="64"/>
  <c r="BC633" i="64"/>
  <c r="BD633" i="64"/>
  <c r="BE633" i="64"/>
  <c r="BF633" i="64"/>
  <c r="C634" i="64"/>
  <c r="D634" i="64"/>
  <c r="E634" i="64"/>
  <c r="F634" i="64"/>
  <c r="G634" i="64"/>
  <c r="H634" i="64"/>
  <c r="I634" i="64"/>
  <c r="J634" i="64"/>
  <c r="K634" i="64"/>
  <c r="L634" i="64"/>
  <c r="M634" i="64"/>
  <c r="N634" i="64"/>
  <c r="O634" i="64"/>
  <c r="P634" i="64"/>
  <c r="Q634" i="64"/>
  <c r="R634" i="64"/>
  <c r="S634" i="64"/>
  <c r="T634" i="64"/>
  <c r="U634" i="64"/>
  <c r="V634" i="64"/>
  <c r="W634" i="64"/>
  <c r="X634" i="64"/>
  <c r="Y634" i="64"/>
  <c r="Z634" i="64"/>
  <c r="AA634" i="64"/>
  <c r="AB634" i="64"/>
  <c r="AC634" i="64"/>
  <c r="AD634" i="64"/>
  <c r="AE634" i="64"/>
  <c r="AF634" i="64"/>
  <c r="AG634" i="64"/>
  <c r="AH634" i="64"/>
  <c r="AI634" i="64"/>
  <c r="AJ634" i="64"/>
  <c r="AK634" i="64"/>
  <c r="AL634" i="64"/>
  <c r="AM634" i="64"/>
  <c r="AN634" i="64"/>
  <c r="AO634" i="64"/>
  <c r="AP634" i="64"/>
  <c r="AQ634" i="64"/>
  <c r="AR634" i="64"/>
  <c r="AS634" i="64"/>
  <c r="AT634" i="64"/>
  <c r="AU634" i="64"/>
  <c r="AV634" i="64"/>
  <c r="AW634" i="64"/>
  <c r="AX634" i="64"/>
  <c r="AY634" i="64"/>
  <c r="AZ634" i="64"/>
  <c r="BA634" i="64"/>
  <c r="BB634" i="64"/>
  <c r="BC634" i="64"/>
  <c r="BD634" i="64"/>
  <c r="BE634" i="64"/>
  <c r="BF634" i="64"/>
  <c r="C635" i="64"/>
  <c r="D635" i="64"/>
  <c r="E635" i="64"/>
  <c r="F635" i="64"/>
  <c r="G635" i="64"/>
  <c r="H635" i="64"/>
  <c r="I635" i="64"/>
  <c r="J635" i="64"/>
  <c r="K635" i="64"/>
  <c r="L635" i="64"/>
  <c r="M635" i="64"/>
  <c r="N635" i="64"/>
  <c r="O635" i="64"/>
  <c r="P635" i="64"/>
  <c r="Q635" i="64"/>
  <c r="R635" i="64"/>
  <c r="S635" i="64"/>
  <c r="T635" i="64"/>
  <c r="U635" i="64"/>
  <c r="V635" i="64"/>
  <c r="W635" i="64"/>
  <c r="X635" i="64"/>
  <c r="Y635" i="64"/>
  <c r="Z635" i="64"/>
  <c r="AA635" i="64"/>
  <c r="AB635" i="64"/>
  <c r="AC635" i="64"/>
  <c r="AD635" i="64"/>
  <c r="AE635" i="64"/>
  <c r="AF635" i="64"/>
  <c r="AG635" i="64"/>
  <c r="AH635" i="64"/>
  <c r="AI635" i="64"/>
  <c r="AJ635" i="64"/>
  <c r="AK635" i="64"/>
  <c r="AL635" i="64"/>
  <c r="AM635" i="64"/>
  <c r="AN635" i="64"/>
  <c r="AO635" i="64"/>
  <c r="AP635" i="64"/>
  <c r="AQ635" i="64"/>
  <c r="AR635" i="64"/>
  <c r="AS635" i="64"/>
  <c r="AT635" i="64"/>
  <c r="AU635" i="64"/>
  <c r="AV635" i="64"/>
  <c r="AW635" i="64"/>
  <c r="AX635" i="64"/>
  <c r="AY635" i="64"/>
  <c r="AZ635" i="64"/>
  <c r="BA635" i="64"/>
  <c r="BB635" i="64"/>
  <c r="BC635" i="64"/>
  <c r="BD635" i="64"/>
  <c r="BE635" i="64"/>
  <c r="BF635" i="64"/>
  <c r="C636" i="64"/>
  <c r="D636" i="64"/>
  <c r="E636" i="64"/>
  <c r="F636" i="64"/>
  <c r="G636" i="64"/>
  <c r="H636" i="64"/>
  <c r="I636" i="64"/>
  <c r="J636" i="64"/>
  <c r="K636" i="64"/>
  <c r="L636" i="64"/>
  <c r="M636" i="64"/>
  <c r="N636" i="64"/>
  <c r="O636" i="64"/>
  <c r="P636" i="64"/>
  <c r="Q636" i="64"/>
  <c r="R636" i="64"/>
  <c r="S636" i="64"/>
  <c r="T636" i="64"/>
  <c r="U636" i="64"/>
  <c r="V636" i="64"/>
  <c r="W636" i="64"/>
  <c r="X636" i="64"/>
  <c r="Y636" i="64"/>
  <c r="Z636" i="64"/>
  <c r="AA636" i="64"/>
  <c r="AB636" i="64"/>
  <c r="AC636" i="64"/>
  <c r="AD636" i="64"/>
  <c r="AE636" i="64"/>
  <c r="AF636" i="64"/>
  <c r="AG636" i="64"/>
  <c r="AH636" i="64"/>
  <c r="AI636" i="64"/>
  <c r="AJ636" i="64"/>
  <c r="AK636" i="64"/>
  <c r="AL636" i="64"/>
  <c r="AM636" i="64"/>
  <c r="AN636" i="64"/>
  <c r="AO636" i="64"/>
  <c r="AP636" i="64"/>
  <c r="AQ636" i="64"/>
  <c r="AR636" i="64"/>
  <c r="AS636" i="64"/>
  <c r="AT636" i="64"/>
  <c r="AU636" i="64"/>
  <c r="AV636" i="64"/>
  <c r="AW636" i="64"/>
  <c r="AX636" i="64"/>
  <c r="AY636" i="64"/>
  <c r="AZ636" i="64"/>
  <c r="BA636" i="64"/>
  <c r="BB636" i="64"/>
  <c r="BC636" i="64"/>
  <c r="BD636" i="64"/>
  <c r="BE636" i="64"/>
  <c r="BF636" i="64"/>
  <c r="C637" i="64"/>
  <c r="D637" i="64"/>
  <c r="E637" i="64"/>
  <c r="F637" i="64"/>
  <c r="G637" i="64"/>
  <c r="H637" i="64"/>
  <c r="I637" i="64"/>
  <c r="J637" i="64"/>
  <c r="K637" i="64"/>
  <c r="L637" i="64"/>
  <c r="M637" i="64"/>
  <c r="N637" i="64"/>
  <c r="O637" i="64"/>
  <c r="P637" i="64"/>
  <c r="Q637" i="64"/>
  <c r="R637" i="64"/>
  <c r="S637" i="64"/>
  <c r="T637" i="64"/>
  <c r="U637" i="64"/>
  <c r="V637" i="64"/>
  <c r="W637" i="64"/>
  <c r="X637" i="64"/>
  <c r="Y637" i="64"/>
  <c r="Z637" i="64"/>
  <c r="AA637" i="64"/>
  <c r="AB637" i="64"/>
  <c r="AC637" i="64"/>
  <c r="AD637" i="64"/>
  <c r="AE637" i="64"/>
  <c r="AF637" i="64"/>
  <c r="AG637" i="64"/>
  <c r="AH637" i="64"/>
  <c r="AI637" i="64"/>
  <c r="AJ637" i="64"/>
  <c r="AK637" i="64"/>
  <c r="AL637" i="64"/>
  <c r="AM637" i="64"/>
  <c r="AN637" i="64"/>
  <c r="AO637" i="64"/>
  <c r="AP637" i="64"/>
  <c r="AQ637" i="64"/>
  <c r="AR637" i="64"/>
  <c r="AS637" i="64"/>
  <c r="AT637" i="64"/>
  <c r="AU637" i="64"/>
  <c r="AV637" i="64"/>
  <c r="AW637" i="64"/>
  <c r="AX637" i="64"/>
  <c r="AY637" i="64"/>
  <c r="AZ637" i="64"/>
  <c r="BA637" i="64"/>
  <c r="BB637" i="64"/>
  <c r="BC637" i="64"/>
  <c r="BD637" i="64"/>
  <c r="BE637" i="64"/>
  <c r="BF637" i="64"/>
  <c r="C638" i="64"/>
  <c r="D638" i="64"/>
  <c r="E638" i="64"/>
  <c r="F638" i="64"/>
  <c r="G638" i="64"/>
  <c r="H638" i="64"/>
  <c r="I638" i="64"/>
  <c r="J638" i="64"/>
  <c r="K638" i="64"/>
  <c r="L638" i="64"/>
  <c r="M638" i="64"/>
  <c r="N638" i="64"/>
  <c r="O638" i="64"/>
  <c r="P638" i="64"/>
  <c r="Q638" i="64"/>
  <c r="R638" i="64"/>
  <c r="S638" i="64"/>
  <c r="T638" i="64"/>
  <c r="U638" i="64"/>
  <c r="V638" i="64"/>
  <c r="W638" i="64"/>
  <c r="X638" i="64"/>
  <c r="Y638" i="64"/>
  <c r="Z638" i="64"/>
  <c r="AA638" i="64"/>
  <c r="AB638" i="64"/>
  <c r="AC638" i="64"/>
  <c r="AD638" i="64"/>
  <c r="AE638" i="64"/>
  <c r="AF638" i="64"/>
  <c r="AG638" i="64"/>
  <c r="AH638" i="64"/>
  <c r="AI638" i="64"/>
  <c r="AJ638" i="64"/>
  <c r="AK638" i="64"/>
  <c r="AL638" i="64"/>
  <c r="AM638" i="64"/>
  <c r="AN638" i="64"/>
  <c r="AO638" i="64"/>
  <c r="AP638" i="64"/>
  <c r="AQ638" i="64"/>
  <c r="AR638" i="64"/>
  <c r="AS638" i="64"/>
  <c r="AT638" i="64"/>
  <c r="AU638" i="64"/>
  <c r="AV638" i="64"/>
  <c r="AW638" i="64"/>
  <c r="AX638" i="64"/>
  <c r="AY638" i="64"/>
  <c r="AZ638" i="64"/>
  <c r="BA638" i="64"/>
  <c r="BB638" i="64"/>
  <c r="BC638" i="64"/>
  <c r="BD638" i="64"/>
  <c r="BE638" i="64"/>
  <c r="BF638" i="64"/>
  <c r="C639" i="64"/>
  <c r="D639" i="64"/>
  <c r="E639" i="64"/>
  <c r="F639" i="64"/>
  <c r="G639" i="64"/>
  <c r="H639" i="64"/>
  <c r="I639" i="64"/>
  <c r="J639" i="64"/>
  <c r="K639" i="64"/>
  <c r="L639" i="64"/>
  <c r="M639" i="64"/>
  <c r="N639" i="64"/>
  <c r="O639" i="64"/>
  <c r="P639" i="64"/>
  <c r="Q639" i="64"/>
  <c r="R639" i="64"/>
  <c r="S639" i="64"/>
  <c r="T639" i="64"/>
  <c r="U639" i="64"/>
  <c r="V639" i="64"/>
  <c r="W639" i="64"/>
  <c r="X639" i="64"/>
  <c r="Y639" i="64"/>
  <c r="Z639" i="64"/>
  <c r="AA639" i="64"/>
  <c r="AB639" i="64"/>
  <c r="AC639" i="64"/>
  <c r="AD639" i="64"/>
  <c r="AE639" i="64"/>
  <c r="AF639" i="64"/>
  <c r="AG639" i="64"/>
  <c r="AH639" i="64"/>
  <c r="AI639" i="64"/>
  <c r="AJ639" i="64"/>
  <c r="AK639" i="64"/>
  <c r="AL639" i="64"/>
  <c r="AM639" i="64"/>
  <c r="AN639" i="64"/>
  <c r="AO639" i="64"/>
  <c r="AP639" i="64"/>
  <c r="AQ639" i="64"/>
  <c r="AR639" i="64"/>
  <c r="AS639" i="64"/>
  <c r="AT639" i="64"/>
  <c r="AU639" i="64"/>
  <c r="AV639" i="64"/>
  <c r="AW639" i="64"/>
  <c r="AX639" i="64"/>
  <c r="AY639" i="64"/>
  <c r="AZ639" i="64"/>
  <c r="BA639" i="64"/>
  <c r="BB639" i="64"/>
  <c r="BC639" i="64"/>
  <c r="BD639" i="64"/>
  <c r="BE639" i="64"/>
  <c r="BF639" i="64"/>
  <c r="C640" i="64"/>
  <c r="D640" i="64"/>
  <c r="E640" i="64"/>
  <c r="F640" i="64"/>
  <c r="G640" i="64"/>
  <c r="H640" i="64"/>
  <c r="I640" i="64"/>
  <c r="J640" i="64"/>
  <c r="K640" i="64"/>
  <c r="L640" i="64"/>
  <c r="M640" i="64"/>
  <c r="N640" i="64"/>
  <c r="O640" i="64"/>
  <c r="P640" i="64"/>
  <c r="Q640" i="64"/>
  <c r="R640" i="64"/>
  <c r="S640" i="64"/>
  <c r="T640" i="64"/>
  <c r="U640" i="64"/>
  <c r="V640" i="64"/>
  <c r="W640" i="64"/>
  <c r="X640" i="64"/>
  <c r="Y640" i="64"/>
  <c r="Z640" i="64"/>
  <c r="AA640" i="64"/>
  <c r="AB640" i="64"/>
  <c r="AC640" i="64"/>
  <c r="AD640" i="64"/>
  <c r="AE640" i="64"/>
  <c r="AF640" i="64"/>
  <c r="AG640" i="64"/>
  <c r="AH640" i="64"/>
  <c r="AI640" i="64"/>
  <c r="AJ640" i="64"/>
  <c r="AK640" i="64"/>
  <c r="AL640" i="64"/>
  <c r="AM640" i="64"/>
  <c r="AN640" i="64"/>
  <c r="AO640" i="64"/>
  <c r="AP640" i="64"/>
  <c r="AQ640" i="64"/>
  <c r="AR640" i="64"/>
  <c r="AS640" i="64"/>
  <c r="AT640" i="64"/>
  <c r="AU640" i="64"/>
  <c r="AV640" i="64"/>
  <c r="AW640" i="64"/>
  <c r="AX640" i="64"/>
  <c r="AY640" i="64"/>
  <c r="AZ640" i="64"/>
  <c r="BA640" i="64"/>
  <c r="BB640" i="64"/>
  <c r="BC640" i="64"/>
  <c r="BD640" i="64"/>
  <c r="BE640" i="64"/>
  <c r="BF640" i="64"/>
  <c r="C641" i="64"/>
  <c r="D641" i="64"/>
  <c r="E641" i="64"/>
  <c r="F641" i="64"/>
  <c r="G641" i="64"/>
  <c r="H641" i="64"/>
  <c r="I641" i="64"/>
  <c r="J641" i="64"/>
  <c r="K641" i="64"/>
  <c r="L641" i="64"/>
  <c r="M641" i="64"/>
  <c r="N641" i="64"/>
  <c r="O641" i="64"/>
  <c r="P641" i="64"/>
  <c r="Q641" i="64"/>
  <c r="R641" i="64"/>
  <c r="S641" i="64"/>
  <c r="T641" i="64"/>
  <c r="U641" i="64"/>
  <c r="V641" i="64"/>
  <c r="W641" i="64"/>
  <c r="X641" i="64"/>
  <c r="Y641" i="64"/>
  <c r="Z641" i="64"/>
  <c r="AA641" i="64"/>
  <c r="AB641" i="64"/>
  <c r="AC641" i="64"/>
  <c r="AD641" i="64"/>
  <c r="AE641" i="64"/>
  <c r="AF641" i="64"/>
  <c r="AG641" i="64"/>
  <c r="AH641" i="64"/>
  <c r="AI641" i="64"/>
  <c r="AJ641" i="64"/>
  <c r="AK641" i="64"/>
  <c r="AL641" i="64"/>
  <c r="AM641" i="64"/>
  <c r="AN641" i="64"/>
  <c r="AO641" i="64"/>
  <c r="AP641" i="64"/>
  <c r="AQ641" i="64"/>
  <c r="AR641" i="64"/>
  <c r="AS641" i="64"/>
  <c r="AT641" i="64"/>
  <c r="AU641" i="64"/>
  <c r="AV641" i="64"/>
  <c r="AW641" i="64"/>
  <c r="AX641" i="64"/>
  <c r="AY641" i="64"/>
  <c r="AZ641" i="64"/>
  <c r="BA641" i="64"/>
  <c r="BB641" i="64"/>
  <c r="BC641" i="64"/>
  <c r="BD641" i="64"/>
  <c r="BE641" i="64"/>
  <c r="BF641" i="64"/>
  <c r="C642" i="64"/>
  <c r="D642" i="64"/>
  <c r="E642" i="64"/>
  <c r="F642" i="64"/>
  <c r="G642" i="64"/>
  <c r="H642" i="64"/>
  <c r="I642" i="64"/>
  <c r="J642" i="64"/>
  <c r="K642" i="64"/>
  <c r="L642" i="64"/>
  <c r="M642" i="64"/>
  <c r="N642" i="64"/>
  <c r="O642" i="64"/>
  <c r="P642" i="64"/>
  <c r="Q642" i="64"/>
  <c r="R642" i="64"/>
  <c r="S642" i="64"/>
  <c r="T642" i="64"/>
  <c r="U642" i="64"/>
  <c r="V642" i="64"/>
  <c r="W642" i="64"/>
  <c r="X642" i="64"/>
  <c r="Y642" i="64"/>
  <c r="Z642" i="64"/>
  <c r="AA642" i="64"/>
  <c r="AB642" i="64"/>
  <c r="AC642" i="64"/>
  <c r="AD642" i="64"/>
  <c r="AE642" i="64"/>
  <c r="AF642" i="64"/>
  <c r="AG642" i="64"/>
  <c r="AH642" i="64"/>
  <c r="AI642" i="64"/>
  <c r="AJ642" i="64"/>
  <c r="AK642" i="64"/>
  <c r="AL642" i="64"/>
  <c r="AM642" i="64"/>
  <c r="AN642" i="64"/>
  <c r="AO642" i="64"/>
  <c r="AP642" i="64"/>
  <c r="AQ642" i="64"/>
  <c r="AR642" i="64"/>
  <c r="AS642" i="64"/>
  <c r="AT642" i="64"/>
  <c r="AU642" i="64"/>
  <c r="AV642" i="64"/>
  <c r="AW642" i="64"/>
  <c r="AX642" i="64"/>
  <c r="AY642" i="64"/>
  <c r="AZ642" i="64"/>
  <c r="BA642" i="64"/>
  <c r="BB642" i="64"/>
  <c r="BC642" i="64"/>
  <c r="BD642" i="64"/>
  <c r="BE642" i="64"/>
  <c r="BF642" i="64"/>
  <c r="C643" i="64"/>
  <c r="D643" i="64"/>
  <c r="E643" i="64"/>
  <c r="F643" i="64"/>
  <c r="G643" i="64"/>
  <c r="H643" i="64"/>
  <c r="I643" i="64"/>
  <c r="J643" i="64"/>
  <c r="K643" i="64"/>
  <c r="L643" i="64"/>
  <c r="M643" i="64"/>
  <c r="N643" i="64"/>
  <c r="O643" i="64"/>
  <c r="P643" i="64"/>
  <c r="Q643" i="64"/>
  <c r="R643" i="64"/>
  <c r="S643" i="64"/>
  <c r="T643" i="64"/>
  <c r="U643" i="64"/>
  <c r="V643" i="64"/>
  <c r="W643" i="64"/>
  <c r="X643" i="64"/>
  <c r="Y643" i="64"/>
  <c r="Z643" i="64"/>
  <c r="AA643" i="64"/>
  <c r="AB643" i="64"/>
  <c r="AC643" i="64"/>
  <c r="AD643" i="64"/>
  <c r="AE643" i="64"/>
  <c r="AF643" i="64"/>
  <c r="AG643" i="64"/>
  <c r="AH643" i="64"/>
  <c r="AI643" i="64"/>
  <c r="AJ643" i="64"/>
  <c r="AK643" i="64"/>
  <c r="AL643" i="64"/>
  <c r="AM643" i="64"/>
  <c r="AN643" i="64"/>
  <c r="AO643" i="64"/>
  <c r="AP643" i="64"/>
  <c r="AQ643" i="64"/>
  <c r="AR643" i="64"/>
  <c r="AS643" i="64"/>
  <c r="AT643" i="64"/>
  <c r="AU643" i="64"/>
  <c r="AV643" i="64"/>
  <c r="AW643" i="64"/>
  <c r="AX643" i="64"/>
  <c r="AY643" i="64"/>
  <c r="AZ643" i="64"/>
  <c r="BA643" i="64"/>
  <c r="BB643" i="64"/>
  <c r="BC643" i="64"/>
  <c r="BD643" i="64"/>
  <c r="BE643" i="64"/>
  <c r="BF643" i="64"/>
  <c r="C644" i="64"/>
  <c r="D644" i="64"/>
  <c r="E644" i="64"/>
  <c r="F644" i="64"/>
  <c r="G644" i="64"/>
  <c r="H644" i="64"/>
  <c r="I644" i="64"/>
  <c r="J644" i="64"/>
  <c r="K644" i="64"/>
  <c r="L644" i="64"/>
  <c r="M644" i="64"/>
  <c r="N644" i="64"/>
  <c r="O644" i="64"/>
  <c r="P644" i="64"/>
  <c r="Q644" i="64"/>
  <c r="R644" i="64"/>
  <c r="S644" i="64"/>
  <c r="T644" i="64"/>
  <c r="U644" i="64"/>
  <c r="V644" i="64"/>
  <c r="W644" i="64"/>
  <c r="X644" i="64"/>
  <c r="Y644" i="64"/>
  <c r="Z644" i="64"/>
  <c r="AA644" i="64"/>
  <c r="AB644" i="64"/>
  <c r="AC644" i="64"/>
  <c r="AD644" i="64"/>
  <c r="AE644" i="64"/>
  <c r="AF644" i="64"/>
  <c r="AG644" i="64"/>
  <c r="AH644" i="64"/>
  <c r="AI644" i="64"/>
  <c r="AJ644" i="64"/>
  <c r="AK644" i="64"/>
  <c r="AL644" i="64"/>
  <c r="AM644" i="64"/>
  <c r="AN644" i="64"/>
  <c r="AO644" i="64"/>
  <c r="AP644" i="64"/>
  <c r="AQ644" i="64"/>
  <c r="AR644" i="64"/>
  <c r="AS644" i="64"/>
  <c r="AT644" i="64"/>
  <c r="AU644" i="64"/>
  <c r="AV644" i="64"/>
  <c r="AW644" i="64"/>
  <c r="AX644" i="64"/>
  <c r="AY644" i="64"/>
  <c r="AZ644" i="64"/>
  <c r="BA644" i="64"/>
  <c r="BB644" i="64"/>
  <c r="BC644" i="64"/>
  <c r="BD644" i="64"/>
  <c r="BE644" i="64"/>
  <c r="BF644" i="64"/>
  <c r="C649" i="64"/>
  <c r="D649" i="64"/>
  <c r="E649" i="64"/>
  <c r="F649" i="64"/>
  <c r="G649" i="64"/>
  <c r="H649" i="64"/>
  <c r="I649" i="64"/>
  <c r="J649" i="64"/>
  <c r="K649" i="64"/>
  <c r="L649" i="64"/>
  <c r="M649" i="64"/>
  <c r="N649" i="64"/>
  <c r="O649" i="64"/>
  <c r="P649" i="64"/>
  <c r="Q649" i="64"/>
  <c r="R649" i="64"/>
  <c r="S649" i="64"/>
  <c r="T649" i="64"/>
  <c r="U649" i="64"/>
  <c r="V649" i="64"/>
  <c r="W649" i="64"/>
  <c r="X649" i="64"/>
  <c r="Y649" i="64"/>
  <c r="Z649" i="64"/>
  <c r="AA649" i="64"/>
  <c r="AB649" i="64"/>
  <c r="AC649" i="64"/>
  <c r="AD649" i="64"/>
  <c r="AE649" i="64"/>
  <c r="AF649" i="64"/>
  <c r="AG649" i="64"/>
  <c r="AH649" i="64"/>
  <c r="AI649" i="64"/>
  <c r="AJ649" i="64"/>
  <c r="AK649" i="64"/>
  <c r="AL649" i="64"/>
  <c r="AM649" i="64"/>
  <c r="AN649" i="64"/>
  <c r="AO649" i="64"/>
  <c r="AP649" i="64"/>
  <c r="AQ649" i="64"/>
  <c r="AR649" i="64"/>
  <c r="AS649" i="64"/>
  <c r="AT649" i="64"/>
  <c r="AU649" i="64"/>
  <c r="AV649" i="64"/>
  <c r="AW649" i="64"/>
  <c r="AX649" i="64"/>
  <c r="AY649" i="64"/>
  <c r="AZ649" i="64"/>
  <c r="BA649" i="64"/>
  <c r="BB649" i="64"/>
  <c r="BC649" i="64"/>
  <c r="BD649" i="64"/>
  <c r="BE649" i="64"/>
  <c r="BF649" i="64"/>
  <c r="C650" i="64"/>
  <c r="D650" i="64"/>
  <c r="E650" i="64"/>
  <c r="F650" i="64"/>
  <c r="G650" i="64"/>
  <c r="H650" i="64"/>
  <c r="I650" i="64"/>
  <c r="J650" i="64"/>
  <c r="K650" i="64"/>
  <c r="L650" i="64"/>
  <c r="M650" i="64"/>
  <c r="N650" i="64"/>
  <c r="O650" i="64"/>
  <c r="P650" i="64"/>
  <c r="Q650" i="64"/>
  <c r="R650" i="64"/>
  <c r="S650" i="64"/>
  <c r="T650" i="64"/>
  <c r="U650" i="64"/>
  <c r="V650" i="64"/>
  <c r="W650" i="64"/>
  <c r="X650" i="64"/>
  <c r="Y650" i="64"/>
  <c r="Z650" i="64"/>
  <c r="AA650" i="64"/>
  <c r="AB650" i="64"/>
  <c r="AC650" i="64"/>
  <c r="AD650" i="64"/>
  <c r="AE650" i="64"/>
  <c r="AF650" i="64"/>
  <c r="AG650" i="64"/>
  <c r="AH650" i="64"/>
  <c r="AI650" i="64"/>
  <c r="AJ650" i="64"/>
  <c r="AK650" i="64"/>
  <c r="AL650" i="64"/>
  <c r="AM650" i="64"/>
  <c r="AN650" i="64"/>
  <c r="AO650" i="64"/>
  <c r="AP650" i="64"/>
  <c r="AQ650" i="64"/>
  <c r="AR650" i="64"/>
  <c r="AS650" i="64"/>
  <c r="AT650" i="64"/>
  <c r="AU650" i="64"/>
  <c r="AV650" i="64"/>
  <c r="AW650" i="64"/>
  <c r="AX650" i="64"/>
  <c r="AY650" i="64"/>
  <c r="AZ650" i="64"/>
  <c r="BA650" i="64"/>
  <c r="BB650" i="64"/>
  <c r="BC650" i="64"/>
  <c r="BD650" i="64"/>
  <c r="BE650" i="64"/>
  <c r="BF650" i="64"/>
  <c r="C651" i="64"/>
  <c r="D651" i="64"/>
  <c r="E651" i="64"/>
  <c r="F651" i="64"/>
  <c r="G651" i="64"/>
  <c r="H651" i="64"/>
  <c r="I651" i="64"/>
  <c r="J651" i="64"/>
  <c r="K651" i="64"/>
  <c r="L651" i="64"/>
  <c r="M651" i="64"/>
  <c r="N651" i="64"/>
  <c r="O651" i="64"/>
  <c r="P651" i="64"/>
  <c r="Q651" i="64"/>
  <c r="R651" i="64"/>
  <c r="S651" i="64"/>
  <c r="T651" i="64"/>
  <c r="U651" i="64"/>
  <c r="V651" i="64"/>
  <c r="W651" i="64"/>
  <c r="X651" i="64"/>
  <c r="Y651" i="64"/>
  <c r="Z651" i="64"/>
  <c r="AA651" i="64"/>
  <c r="AB651" i="64"/>
  <c r="AC651" i="64"/>
  <c r="AD651" i="64"/>
  <c r="AE651" i="64"/>
  <c r="AF651" i="64"/>
  <c r="AG651" i="64"/>
  <c r="AH651" i="64"/>
  <c r="AI651" i="64"/>
  <c r="AJ651" i="64"/>
  <c r="AK651" i="64"/>
  <c r="AL651" i="64"/>
  <c r="AM651" i="64"/>
  <c r="AN651" i="64"/>
  <c r="AO651" i="64"/>
  <c r="AP651" i="64"/>
  <c r="AQ651" i="64"/>
  <c r="AR651" i="64"/>
  <c r="AS651" i="64"/>
  <c r="AT651" i="64"/>
  <c r="AU651" i="64"/>
  <c r="AV651" i="64"/>
  <c r="AW651" i="64"/>
  <c r="AX651" i="64"/>
  <c r="AY651" i="64"/>
  <c r="AZ651" i="64"/>
  <c r="BA651" i="64"/>
  <c r="BB651" i="64"/>
  <c r="BC651" i="64"/>
  <c r="BD651" i="64"/>
  <c r="BE651" i="64"/>
  <c r="BF651" i="64"/>
  <c r="C652" i="64"/>
  <c r="D652" i="64"/>
  <c r="E652" i="64"/>
  <c r="F652" i="64"/>
  <c r="G652" i="64"/>
  <c r="H652" i="64"/>
  <c r="I652" i="64"/>
  <c r="J652" i="64"/>
  <c r="K652" i="64"/>
  <c r="L652" i="64"/>
  <c r="M652" i="64"/>
  <c r="N652" i="64"/>
  <c r="O652" i="64"/>
  <c r="P652" i="64"/>
  <c r="Q652" i="64"/>
  <c r="R652" i="64"/>
  <c r="S652" i="64"/>
  <c r="T652" i="64"/>
  <c r="U652" i="64"/>
  <c r="V652" i="64"/>
  <c r="W652" i="64"/>
  <c r="X652" i="64"/>
  <c r="Y652" i="64"/>
  <c r="Z652" i="64"/>
  <c r="AA652" i="64"/>
  <c r="AB652" i="64"/>
  <c r="AC652" i="64"/>
  <c r="AD652" i="64"/>
  <c r="AE652" i="64"/>
  <c r="AF652" i="64"/>
  <c r="AG652" i="64"/>
  <c r="AH652" i="64"/>
  <c r="AI652" i="64"/>
  <c r="AJ652" i="64"/>
  <c r="AK652" i="64"/>
  <c r="AL652" i="64"/>
  <c r="AM652" i="64"/>
  <c r="AN652" i="64"/>
  <c r="AO652" i="64"/>
  <c r="AP652" i="64"/>
  <c r="AQ652" i="64"/>
  <c r="AR652" i="64"/>
  <c r="AS652" i="64"/>
  <c r="AT652" i="64"/>
  <c r="AU652" i="64"/>
  <c r="AV652" i="64"/>
  <c r="AW652" i="64"/>
  <c r="AX652" i="64"/>
  <c r="AY652" i="64"/>
  <c r="AZ652" i="64"/>
  <c r="BA652" i="64"/>
  <c r="BB652" i="64"/>
  <c r="BC652" i="64"/>
  <c r="BD652" i="64"/>
  <c r="BE652" i="64"/>
  <c r="BF652" i="64"/>
  <c r="C653" i="64"/>
  <c r="D653" i="64"/>
  <c r="E653" i="64"/>
  <c r="F653" i="64"/>
  <c r="G653" i="64"/>
  <c r="H653" i="64"/>
  <c r="I653" i="64"/>
  <c r="J653" i="64"/>
  <c r="K653" i="64"/>
  <c r="L653" i="64"/>
  <c r="M653" i="64"/>
  <c r="N653" i="64"/>
  <c r="O653" i="64"/>
  <c r="P653" i="64"/>
  <c r="Q653" i="64"/>
  <c r="R653" i="64"/>
  <c r="S653" i="64"/>
  <c r="T653" i="64"/>
  <c r="U653" i="64"/>
  <c r="V653" i="64"/>
  <c r="W653" i="64"/>
  <c r="X653" i="64"/>
  <c r="Y653" i="64"/>
  <c r="Z653" i="64"/>
  <c r="AA653" i="64"/>
  <c r="AB653" i="64"/>
  <c r="AC653" i="64"/>
  <c r="AD653" i="64"/>
  <c r="AE653" i="64"/>
  <c r="AF653" i="64"/>
  <c r="AG653" i="64"/>
  <c r="AH653" i="64"/>
  <c r="AI653" i="64"/>
  <c r="AJ653" i="64"/>
  <c r="AK653" i="64"/>
  <c r="AL653" i="64"/>
  <c r="AM653" i="64"/>
  <c r="AN653" i="64"/>
  <c r="AO653" i="64"/>
  <c r="AP653" i="64"/>
  <c r="AQ653" i="64"/>
  <c r="AR653" i="64"/>
  <c r="AS653" i="64"/>
  <c r="AT653" i="64"/>
  <c r="AU653" i="64"/>
  <c r="AV653" i="64"/>
  <c r="AW653" i="64"/>
  <c r="AX653" i="64"/>
  <c r="AY653" i="64"/>
  <c r="AZ653" i="64"/>
  <c r="BA653" i="64"/>
  <c r="BB653" i="64"/>
  <c r="BC653" i="64"/>
  <c r="BD653" i="64"/>
  <c r="BE653" i="64"/>
  <c r="BF653" i="64"/>
  <c r="C654" i="64"/>
  <c r="D654" i="64"/>
  <c r="E654" i="64"/>
  <c r="F654" i="64"/>
  <c r="G654" i="64"/>
  <c r="H654" i="64"/>
  <c r="I654" i="64"/>
  <c r="J654" i="64"/>
  <c r="K654" i="64"/>
  <c r="L654" i="64"/>
  <c r="M654" i="64"/>
  <c r="N654" i="64"/>
  <c r="O654" i="64"/>
  <c r="P654" i="64"/>
  <c r="Q654" i="64"/>
  <c r="R654" i="64"/>
  <c r="S654" i="64"/>
  <c r="T654" i="64"/>
  <c r="U654" i="64"/>
  <c r="V654" i="64"/>
  <c r="W654" i="64"/>
  <c r="X654" i="64"/>
  <c r="Y654" i="64"/>
  <c r="Z654" i="64"/>
  <c r="AA654" i="64"/>
  <c r="AB654" i="64"/>
  <c r="AC654" i="64"/>
  <c r="AD654" i="64"/>
  <c r="AE654" i="64"/>
  <c r="AF654" i="64"/>
  <c r="AG654" i="64"/>
  <c r="AH654" i="64"/>
  <c r="AI654" i="64"/>
  <c r="AJ654" i="64"/>
  <c r="AK654" i="64"/>
  <c r="AL654" i="64"/>
  <c r="AM654" i="64"/>
  <c r="AN654" i="64"/>
  <c r="AO654" i="64"/>
  <c r="AP654" i="64"/>
  <c r="AQ654" i="64"/>
  <c r="AR654" i="64"/>
  <c r="AS654" i="64"/>
  <c r="AT654" i="64"/>
  <c r="AU654" i="64"/>
  <c r="AV654" i="64"/>
  <c r="AW654" i="64"/>
  <c r="AX654" i="64"/>
  <c r="AY654" i="64"/>
  <c r="AZ654" i="64"/>
  <c r="BA654" i="64"/>
  <c r="BB654" i="64"/>
  <c r="BC654" i="64"/>
  <c r="BD654" i="64"/>
  <c r="BE654" i="64"/>
  <c r="BF654" i="64"/>
  <c r="C655" i="64"/>
  <c r="D655" i="64"/>
  <c r="E655" i="64"/>
  <c r="F655" i="64"/>
  <c r="G655" i="64"/>
  <c r="H655" i="64"/>
  <c r="I655" i="64"/>
  <c r="J655" i="64"/>
  <c r="K655" i="64"/>
  <c r="L655" i="64"/>
  <c r="M655" i="64"/>
  <c r="N655" i="64"/>
  <c r="O655" i="64"/>
  <c r="P655" i="64"/>
  <c r="Q655" i="64"/>
  <c r="R655" i="64"/>
  <c r="S655" i="64"/>
  <c r="T655" i="64"/>
  <c r="U655" i="64"/>
  <c r="V655" i="64"/>
  <c r="W655" i="64"/>
  <c r="X655" i="64"/>
  <c r="Y655" i="64"/>
  <c r="Z655" i="64"/>
  <c r="AA655" i="64"/>
  <c r="AB655" i="64"/>
  <c r="AC655" i="64"/>
  <c r="AD655" i="64"/>
  <c r="AE655" i="64"/>
  <c r="AF655" i="64"/>
  <c r="AG655" i="64"/>
  <c r="AH655" i="64"/>
  <c r="AI655" i="64"/>
  <c r="AJ655" i="64"/>
  <c r="AK655" i="64"/>
  <c r="AL655" i="64"/>
  <c r="AM655" i="64"/>
  <c r="AN655" i="64"/>
  <c r="AO655" i="64"/>
  <c r="AP655" i="64"/>
  <c r="AQ655" i="64"/>
  <c r="AR655" i="64"/>
  <c r="AS655" i="64"/>
  <c r="AT655" i="64"/>
  <c r="AU655" i="64"/>
  <c r="AV655" i="64"/>
  <c r="AW655" i="64"/>
  <c r="AX655" i="64"/>
  <c r="AY655" i="64"/>
  <c r="AZ655" i="64"/>
  <c r="BA655" i="64"/>
  <c r="BB655" i="64"/>
  <c r="BC655" i="64"/>
  <c r="BD655" i="64"/>
  <c r="BE655" i="64"/>
  <c r="BF655" i="64"/>
  <c r="C656" i="64"/>
  <c r="D656" i="64"/>
  <c r="E656" i="64"/>
  <c r="F656" i="64"/>
  <c r="G656" i="64"/>
  <c r="H656" i="64"/>
  <c r="I656" i="64"/>
  <c r="J656" i="64"/>
  <c r="K656" i="64"/>
  <c r="L656" i="64"/>
  <c r="M656" i="64"/>
  <c r="N656" i="64"/>
  <c r="O656" i="64"/>
  <c r="P656" i="64"/>
  <c r="Q656" i="64"/>
  <c r="R656" i="64"/>
  <c r="S656" i="64"/>
  <c r="T656" i="64"/>
  <c r="U656" i="64"/>
  <c r="V656" i="64"/>
  <c r="W656" i="64"/>
  <c r="X656" i="64"/>
  <c r="Y656" i="64"/>
  <c r="Z656" i="64"/>
  <c r="AA656" i="64"/>
  <c r="AB656" i="64"/>
  <c r="AC656" i="64"/>
  <c r="AD656" i="64"/>
  <c r="AE656" i="64"/>
  <c r="AF656" i="64"/>
  <c r="AG656" i="64"/>
  <c r="AH656" i="64"/>
  <c r="AI656" i="64"/>
  <c r="AJ656" i="64"/>
  <c r="AK656" i="64"/>
  <c r="AL656" i="64"/>
  <c r="AM656" i="64"/>
  <c r="AN656" i="64"/>
  <c r="AO656" i="64"/>
  <c r="AP656" i="64"/>
  <c r="AQ656" i="64"/>
  <c r="AR656" i="64"/>
  <c r="AS656" i="64"/>
  <c r="AT656" i="64"/>
  <c r="AU656" i="64"/>
  <c r="AV656" i="64"/>
  <c r="AW656" i="64"/>
  <c r="AX656" i="64"/>
  <c r="AY656" i="64"/>
  <c r="AZ656" i="64"/>
  <c r="BA656" i="64"/>
  <c r="BB656" i="64"/>
  <c r="BC656" i="64"/>
  <c r="BD656" i="64"/>
  <c r="BE656" i="64"/>
  <c r="BF656" i="64"/>
  <c r="C657" i="64"/>
  <c r="D657" i="64"/>
  <c r="E657" i="64"/>
  <c r="F657" i="64"/>
  <c r="G657" i="64"/>
  <c r="H657" i="64"/>
  <c r="I657" i="64"/>
  <c r="J657" i="64"/>
  <c r="K657" i="64"/>
  <c r="L657" i="64"/>
  <c r="M657" i="64"/>
  <c r="N657" i="64"/>
  <c r="O657" i="64"/>
  <c r="P657" i="64"/>
  <c r="Q657" i="64"/>
  <c r="R657" i="64"/>
  <c r="S657" i="64"/>
  <c r="T657" i="64"/>
  <c r="U657" i="64"/>
  <c r="V657" i="64"/>
  <c r="W657" i="64"/>
  <c r="X657" i="64"/>
  <c r="Y657" i="64"/>
  <c r="Z657" i="64"/>
  <c r="AA657" i="64"/>
  <c r="AB657" i="64"/>
  <c r="AC657" i="64"/>
  <c r="AD657" i="64"/>
  <c r="AE657" i="64"/>
  <c r="AF657" i="64"/>
  <c r="AG657" i="64"/>
  <c r="AH657" i="64"/>
  <c r="AI657" i="64"/>
  <c r="AJ657" i="64"/>
  <c r="AK657" i="64"/>
  <c r="AL657" i="64"/>
  <c r="AM657" i="64"/>
  <c r="AN657" i="64"/>
  <c r="AO657" i="64"/>
  <c r="AP657" i="64"/>
  <c r="AQ657" i="64"/>
  <c r="AR657" i="64"/>
  <c r="AS657" i="64"/>
  <c r="AT657" i="64"/>
  <c r="AU657" i="64"/>
  <c r="AV657" i="64"/>
  <c r="AW657" i="64"/>
  <c r="AX657" i="64"/>
  <c r="AY657" i="64"/>
  <c r="AZ657" i="64"/>
  <c r="BA657" i="64"/>
  <c r="BB657" i="64"/>
  <c r="BC657" i="64"/>
  <c r="BD657" i="64"/>
  <c r="BE657" i="64"/>
  <c r="BF657" i="64"/>
  <c r="C658" i="64"/>
  <c r="D658" i="64"/>
  <c r="E658" i="64"/>
  <c r="F658" i="64"/>
  <c r="G658" i="64"/>
  <c r="H658" i="64"/>
  <c r="I658" i="64"/>
  <c r="J658" i="64"/>
  <c r="K658" i="64"/>
  <c r="L658" i="64"/>
  <c r="M658" i="64"/>
  <c r="N658" i="64"/>
  <c r="O658" i="64"/>
  <c r="P658" i="64"/>
  <c r="Q658" i="64"/>
  <c r="R658" i="64"/>
  <c r="S658" i="64"/>
  <c r="T658" i="64"/>
  <c r="U658" i="64"/>
  <c r="V658" i="64"/>
  <c r="W658" i="64"/>
  <c r="X658" i="64"/>
  <c r="Y658" i="64"/>
  <c r="Z658" i="64"/>
  <c r="AA658" i="64"/>
  <c r="AB658" i="64"/>
  <c r="AC658" i="64"/>
  <c r="AD658" i="64"/>
  <c r="AE658" i="64"/>
  <c r="AF658" i="64"/>
  <c r="AG658" i="64"/>
  <c r="AH658" i="64"/>
  <c r="AI658" i="64"/>
  <c r="AJ658" i="64"/>
  <c r="AK658" i="64"/>
  <c r="AL658" i="64"/>
  <c r="AM658" i="64"/>
  <c r="AN658" i="64"/>
  <c r="AO658" i="64"/>
  <c r="AP658" i="64"/>
  <c r="AQ658" i="64"/>
  <c r="AR658" i="64"/>
  <c r="AS658" i="64"/>
  <c r="AT658" i="64"/>
  <c r="AU658" i="64"/>
  <c r="AV658" i="64"/>
  <c r="AW658" i="64"/>
  <c r="AX658" i="64"/>
  <c r="AY658" i="64"/>
  <c r="AZ658" i="64"/>
  <c r="BA658" i="64"/>
  <c r="BB658" i="64"/>
  <c r="BC658" i="64"/>
  <c r="BD658" i="64"/>
  <c r="BE658" i="64"/>
  <c r="BF658" i="64"/>
  <c r="C659" i="64"/>
  <c r="D659" i="64"/>
  <c r="E659" i="64"/>
  <c r="F659" i="64"/>
  <c r="G659" i="64"/>
  <c r="H659" i="64"/>
  <c r="I659" i="64"/>
  <c r="J659" i="64"/>
  <c r="K659" i="64"/>
  <c r="L659" i="64"/>
  <c r="M659" i="64"/>
  <c r="N659" i="64"/>
  <c r="O659" i="64"/>
  <c r="P659" i="64"/>
  <c r="Q659" i="64"/>
  <c r="R659" i="64"/>
  <c r="S659" i="64"/>
  <c r="T659" i="64"/>
  <c r="U659" i="64"/>
  <c r="V659" i="64"/>
  <c r="W659" i="64"/>
  <c r="X659" i="64"/>
  <c r="Y659" i="64"/>
  <c r="Z659" i="64"/>
  <c r="AA659" i="64"/>
  <c r="AB659" i="64"/>
  <c r="AC659" i="64"/>
  <c r="AD659" i="64"/>
  <c r="AE659" i="64"/>
  <c r="AF659" i="64"/>
  <c r="AG659" i="64"/>
  <c r="AH659" i="64"/>
  <c r="AI659" i="64"/>
  <c r="AJ659" i="64"/>
  <c r="AK659" i="64"/>
  <c r="AL659" i="64"/>
  <c r="AM659" i="64"/>
  <c r="AN659" i="64"/>
  <c r="AO659" i="64"/>
  <c r="AP659" i="64"/>
  <c r="AQ659" i="64"/>
  <c r="AR659" i="64"/>
  <c r="AS659" i="64"/>
  <c r="AT659" i="64"/>
  <c r="AU659" i="64"/>
  <c r="AV659" i="64"/>
  <c r="AW659" i="64"/>
  <c r="AX659" i="64"/>
  <c r="AY659" i="64"/>
  <c r="AZ659" i="64"/>
  <c r="BA659" i="64"/>
  <c r="BB659" i="64"/>
  <c r="BC659" i="64"/>
  <c r="BD659" i="64"/>
  <c r="BE659" i="64"/>
  <c r="BF659" i="64"/>
  <c r="C660" i="64"/>
  <c r="D660" i="64"/>
  <c r="E660" i="64"/>
  <c r="F660" i="64"/>
  <c r="G660" i="64"/>
  <c r="H660" i="64"/>
  <c r="I660" i="64"/>
  <c r="J660" i="64"/>
  <c r="K660" i="64"/>
  <c r="L660" i="64"/>
  <c r="M660" i="64"/>
  <c r="N660" i="64"/>
  <c r="O660" i="64"/>
  <c r="P660" i="64"/>
  <c r="Q660" i="64"/>
  <c r="R660" i="64"/>
  <c r="S660" i="64"/>
  <c r="T660" i="64"/>
  <c r="U660" i="64"/>
  <c r="V660" i="64"/>
  <c r="W660" i="64"/>
  <c r="X660" i="64"/>
  <c r="Y660" i="64"/>
  <c r="Z660" i="64"/>
  <c r="AA660" i="64"/>
  <c r="AB660" i="64"/>
  <c r="AC660" i="64"/>
  <c r="AD660" i="64"/>
  <c r="AE660" i="64"/>
  <c r="AF660" i="64"/>
  <c r="AG660" i="64"/>
  <c r="AH660" i="64"/>
  <c r="AI660" i="64"/>
  <c r="AJ660" i="64"/>
  <c r="AK660" i="64"/>
  <c r="AL660" i="64"/>
  <c r="AM660" i="64"/>
  <c r="AN660" i="64"/>
  <c r="AO660" i="64"/>
  <c r="AP660" i="64"/>
  <c r="AQ660" i="64"/>
  <c r="AR660" i="64"/>
  <c r="AS660" i="64"/>
  <c r="AT660" i="64"/>
  <c r="AU660" i="64"/>
  <c r="AV660" i="64"/>
  <c r="AW660" i="64"/>
  <c r="AX660" i="64"/>
  <c r="AY660" i="64"/>
  <c r="AZ660" i="64"/>
  <c r="BA660" i="64"/>
  <c r="BB660" i="64"/>
  <c r="BC660" i="64"/>
  <c r="BD660" i="64"/>
  <c r="BE660" i="64"/>
  <c r="BF660" i="64"/>
  <c r="C661" i="64"/>
  <c r="D661" i="64"/>
  <c r="E661" i="64"/>
  <c r="F661" i="64"/>
  <c r="G661" i="64"/>
  <c r="H661" i="64"/>
  <c r="I661" i="64"/>
  <c r="J661" i="64"/>
  <c r="K661" i="64"/>
  <c r="L661" i="64"/>
  <c r="M661" i="64"/>
  <c r="N661" i="64"/>
  <c r="O661" i="64"/>
  <c r="P661" i="64"/>
  <c r="Q661" i="64"/>
  <c r="R661" i="64"/>
  <c r="S661" i="64"/>
  <c r="T661" i="64"/>
  <c r="U661" i="64"/>
  <c r="V661" i="64"/>
  <c r="W661" i="64"/>
  <c r="X661" i="64"/>
  <c r="Y661" i="64"/>
  <c r="Z661" i="64"/>
  <c r="AA661" i="64"/>
  <c r="AB661" i="64"/>
  <c r="AC661" i="64"/>
  <c r="AD661" i="64"/>
  <c r="AE661" i="64"/>
  <c r="AF661" i="64"/>
  <c r="AG661" i="64"/>
  <c r="AH661" i="64"/>
  <c r="AI661" i="64"/>
  <c r="AJ661" i="64"/>
  <c r="AK661" i="64"/>
  <c r="AL661" i="64"/>
  <c r="AM661" i="64"/>
  <c r="AN661" i="64"/>
  <c r="AO661" i="64"/>
  <c r="AP661" i="64"/>
  <c r="AQ661" i="64"/>
  <c r="AR661" i="64"/>
  <c r="AS661" i="64"/>
  <c r="AT661" i="64"/>
  <c r="AU661" i="64"/>
  <c r="AV661" i="64"/>
  <c r="AW661" i="64"/>
  <c r="AX661" i="64"/>
  <c r="AY661" i="64"/>
  <c r="AZ661" i="64"/>
  <c r="BA661" i="64"/>
  <c r="BB661" i="64"/>
  <c r="BC661" i="64"/>
  <c r="BD661" i="64"/>
  <c r="BE661" i="64"/>
  <c r="BF661" i="64"/>
  <c r="C662" i="64"/>
  <c r="D662" i="64"/>
  <c r="E662" i="64"/>
  <c r="F662" i="64"/>
  <c r="G662" i="64"/>
  <c r="H662" i="64"/>
  <c r="I662" i="64"/>
  <c r="J662" i="64"/>
  <c r="K662" i="64"/>
  <c r="L662" i="64"/>
  <c r="M662" i="64"/>
  <c r="N662" i="64"/>
  <c r="O662" i="64"/>
  <c r="P662" i="64"/>
  <c r="Q662" i="64"/>
  <c r="R662" i="64"/>
  <c r="S662" i="64"/>
  <c r="T662" i="64"/>
  <c r="U662" i="64"/>
  <c r="V662" i="64"/>
  <c r="W662" i="64"/>
  <c r="X662" i="64"/>
  <c r="Y662" i="64"/>
  <c r="Z662" i="64"/>
  <c r="AA662" i="64"/>
  <c r="AB662" i="64"/>
  <c r="AC662" i="64"/>
  <c r="AD662" i="64"/>
  <c r="AE662" i="64"/>
  <c r="AF662" i="64"/>
  <c r="AG662" i="64"/>
  <c r="AH662" i="64"/>
  <c r="AI662" i="64"/>
  <c r="AJ662" i="64"/>
  <c r="AK662" i="64"/>
  <c r="AL662" i="64"/>
  <c r="AM662" i="64"/>
  <c r="AN662" i="64"/>
  <c r="AO662" i="64"/>
  <c r="AP662" i="64"/>
  <c r="AQ662" i="64"/>
  <c r="AR662" i="64"/>
  <c r="AS662" i="64"/>
  <c r="AT662" i="64"/>
  <c r="AU662" i="64"/>
  <c r="AV662" i="64"/>
  <c r="AW662" i="64"/>
  <c r="AX662" i="64"/>
  <c r="AY662" i="64"/>
  <c r="AZ662" i="64"/>
  <c r="BA662" i="64"/>
  <c r="BB662" i="64"/>
  <c r="BC662" i="64"/>
  <c r="BD662" i="64"/>
  <c r="BE662" i="64"/>
  <c r="BF662" i="64"/>
  <c r="C663" i="64"/>
  <c r="D663" i="64"/>
  <c r="E663" i="64"/>
  <c r="F663" i="64"/>
  <c r="G663" i="64"/>
  <c r="H663" i="64"/>
  <c r="I663" i="64"/>
  <c r="J663" i="64"/>
  <c r="K663" i="64"/>
  <c r="L663" i="64"/>
  <c r="M663" i="64"/>
  <c r="N663" i="64"/>
  <c r="O663" i="64"/>
  <c r="P663" i="64"/>
  <c r="Q663" i="64"/>
  <c r="R663" i="64"/>
  <c r="S663" i="64"/>
  <c r="T663" i="64"/>
  <c r="U663" i="64"/>
  <c r="V663" i="64"/>
  <c r="W663" i="64"/>
  <c r="X663" i="64"/>
  <c r="Y663" i="64"/>
  <c r="Z663" i="64"/>
  <c r="AA663" i="64"/>
  <c r="AB663" i="64"/>
  <c r="AC663" i="64"/>
  <c r="AD663" i="64"/>
  <c r="AE663" i="64"/>
  <c r="AF663" i="64"/>
  <c r="AG663" i="64"/>
  <c r="AH663" i="64"/>
  <c r="AI663" i="64"/>
  <c r="AJ663" i="64"/>
  <c r="AK663" i="64"/>
  <c r="AL663" i="64"/>
  <c r="AM663" i="64"/>
  <c r="AN663" i="64"/>
  <c r="AO663" i="64"/>
  <c r="AP663" i="64"/>
  <c r="AQ663" i="64"/>
  <c r="AR663" i="64"/>
  <c r="AS663" i="64"/>
  <c r="AT663" i="64"/>
  <c r="AU663" i="64"/>
  <c r="AV663" i="64"/>
  <c r="AW663" i="64"/>
  <c r="AX663" i="64"/>
  <c r="AY663" i="64"/>
  <c r="AZ663" i="64"/>
  <c r="BA663" i="64"/>
  <c r="BB663" i="64"/>
  <c r="BC663" i="64"/>
  <c r="BD663" i="64"/>
  <c r="BE663" i="64"/>
  <c r="BF663" i="64"/>
  <c r="C664" i="64"/>
  <c r="D664" i="64"/>
  <c r="E664" i="64"/>
  <c r="F664" i="64"/>
  <c r="G664" i="64"/>
  <c r="H664" i="64"/>
  <c r="I664" i="64"/>
  <c r="J664" i="64"/>
  <c r="K664" i="64"/>
  <c r="L664" i="64"/>
  <c r="M664" i="64"/>
  <c r="N664" i="64"/>
  <c r="O664" i="64"/>
  <c r="P664" i="64"/>
  <c r="Q664" i="64"/>
  <c r="R664" i="64"/>
  <c r="S664" i="64"/>
  <c r="T664" i="64"/>
  <c r="U664" i="64"/>
  <c r="V664" i="64"/>
  <c r="W664" i="64"/>
  <c r="X664" i="64"/>
  <c r="Y664" i="64"/>
  <c r="Z664" i="64"/>
  <c r="AA664" i="64"/>
  <c r="AB664" i="64"/>
  <c r="AC664" i="64"/>
  <c r="AD664" i="64"/>
  <c r="AE664" i="64"/>
  <c r="AF664" i="64"/>
  <c r="AG664" i="64"/>
  <c r="AH664" i="64"/>
  <c r="AI664" i="64"/>
  <c r="AJ664" i="64"/>
  <c r="AK664" i="64"/>
  <c r="AL664" i="64"/>
  <c r="AM664" i="64"/>
  <c r="AN664" i="64"/>
  <c r="AO664" i="64"/>
  <c r="AP664" i="64"/>
  <c r="AQ664" i="64"/>
  <c r="AR664" i="64"/>
  <c r="AS664" i="64"/>
  <c r="AT664" i="64"/>
  <c r="AU664" i="64"/>
  <c r="AV664" i="64"/>
  <c r="AW664" i="64"/>
  <c r="AX664" i="64"/>
  <c r="AY664" i="64"/>
  <c r="AZ664" i="64"/>
  <c r="BA664" i="64"/>
  <c r="BB664" i="64"/>
  <c r="BC664" i="64"/>
  <c r="BD664" i="64"/>
  <c r="BE664" i="64"/>
  <c r="BF664" i="64"/>
  <c r="C665" i="64"/>
  <c r="D665" i="64"/>
  <c r="E665" i="64"/>
  <c r="F665" i="64"/>
  <c r="G665" i="64"/>
  <c r="H665" i="64"/>
  <c r="I665" i="64"/>
  <c r="J665" i="64"/>
  <c r="K665" i="64"/>
  <c r="L665" i="64"/>
  <c r="M665" i="64"/>
  <c r="N665" i="64"/>
  <c r="O665" i="64"/>
  <c r="P665" i="64"/>
  <c r="Q665" i="64"/>
  <c r="R665" i="64"/>
  <c r="S665" i="64"/>
  <c r="T665" i="64"/>
  <c r="U665" i="64"/>
  <c r="V665" i="64"/>
  <c r="W665" i="64"/>
  <c r="X665" i="64"/>
  <c r="Y665" i="64"/>
  <c r="Z665" i="64"/>
  <c r="AA665" i="64"/>
  <c r="AB665" i="64"/>
  <c r="AC665" i="64"/>
  <c r="AD665" i="64"/>
  <c r="AE665" i="64"/>
  <c r="AF665" i="64"/>
  <c r="AG665" i="64"/>
  <c r="AH665" i="64"/>
  <c r="AI665" i="64"/>
  <c r="AJ665" i="64"/>
  <c r="AK665" i="64"/>
  <c r="AL665" i="64"/>
  <c r="AM665" i="64"/>
  <c r="AN665" i="64"/>
  <c r="AO665" i="64"/>
  <c r="AP665" i="64"/>
  <c r="AQ665" i="64"/>
  <c r="AR665" i="64"/>
  <c r="AS665" i="64"/>
  <c r="AT665" i="64"/>
  <c r="AU665" i="64"/>
  <c r="AV665" i="64"/>
  <c r="AW665" i="64"/>
  <c r="AX665" i="64"/>
  <c r="AY665" i="64"/>
  <c r="AZ665" i="64"/>
  <c r="BA665" i="64"/>
  <c r="BB665" i="64"/>
  <c r="BC665" i="64"/>
  <c r="BD665" i="64"/>
  <c r="BE665" i="64"/>
  <c r="BF665" i="64"/>
  <c r="C666" i="64"/>
  <c r="D666" i="64"/>
  <c r="E666" i="64"/>
  <c r="F666" i="64"/>
  <c r="G666" i="64"/>
  <c r="H666" i="64"/>
  <c r="I666" i="64"/>
  <c r="J666" i="64"/>
  <c r="K666" i="64"/>
  <c r="L666" i="64"/>
  <c r="M666" i="64"/>
  <c r="N666" i="64"/>
  <c r="O666" i="64"/>
  <c r="P666" i="64"/>
  <c r="Q666" i="64"/>
  <c r="R666" i="64"/>
  <c r="S666" i="64"/>
  <c r="T666" i="64"/>
  <c r="U666" i="64"/>
  <c r="V666" i="64"/>
  <c r="W666" i="64"/>
  <c r="X666" i="64"/>
  <c r="Y666" i="64"/>
  <c r="Z666" i="64"/>
  <c r="AA666" i="64"/>
  <c r="AB666" i="64"/>
  <c r="AC666" i="64"/>
  <c r="AD666" i="64"/>
  <c r="AE666" i="64"/>
  <c r="AF666" i="64"/>
  <c r="AG666" i="64"/>
  <c r="AH666" i="64"/>
  <c r="AI666" i="64"/>
  <c r="AJ666" i="64"/>
  <c r="AK666" i="64"/>
  <c r="AL666" i="64"/>
  <c r="AM666" i="64"/>
  <c r="AN666" i="64"/>
  <c r="AO666" i="64"/>
  <c r="AP666" i="64"/>
  <c r="AQ666" i="64"/>
  <c r="AR666" i="64"/>
  <c r="AS666" i="64"/>
  <c r="AT666" i="64"/>
  <c r="AU666" i="64"/>
  <c r="AV666" i="64"/>
  <c r="AW666" i="64"/>
  <c r="AX666" i="64"/>
  <c r="AY666" i="64"/>
  <c r="AZ666" i="64"/>
  <c r="BA666" i="64"/>
  <c r="BB666" i="64"/>
  <c r="BC666" i="64"/>
  <c r="BD666" i="64"/>
  <c r="BE666" i="64"/>
  <c r="BF666" i="64"/>
  <c r="C667" i="64"/>
  <c r="D667" i="64"/>
  <c r="E667" i="64"/>
  <c r="F667" i="64"/>
  <c r="G667" i="64"/>
  <c r="H667" i="64"/>
  <c r="I667" i="64"/>
  <c r="J667" i="64"/>
  <c r="K667" i="64"/>
  <c r="L667" i="64"/>
  <c r="M667" i="64"/>
  <c r="N667" i="64"/>
  <c r="O667" i="64"/>
  <c r="P667" i="64"/>
  <c r="Q667" i="64"/>
  <c r="R667" i="64"/>
  <c r="S667" i="64"/>
  <c r="T667" i="64"/>
  <c r="U667" i="64"/>
  <c r="V667" i="64"/>
  <c r="W667" i="64"/>
  <c r="X667" i="64"/>
  <c r="Y667" i="64"/>
  <c r="Z667" i="64"/>
  <c r="AA667" i="64"/>
  <c r="AB667" i="64"/>
  <c r="AC667" i="64"/>
  <c r="AD667" i="64"/>
  <c r="AE667" i="64"/>
  <c r="AF667" i="64"/>
  <c r="AG667" i="64"/>
  <c r="AH667" i="64"/>
  <c r="AI667" i="64"/>
  <c r="AJ667" i="64"/>
  <c r="AK667" i="64"/>
  <c r="AL667" i="64"/>
  <c r="AM667" i="64"/>
  <c r="AN667" i="64"/>
  <c r="AO667" i="64"/>
  <c r="AP667" i="64"/>
  <c r="AQ667" i="64"/>
  <c r="AR667" i="64"/>
  <c r="AS667" i="64"/>
  <c r="AT667" i="64"/>
  <c r="AU667" i="64"/>
  <c r="AV667" i="64"/>
  <c r="AW667" i="64"/>
  <c r="AX667" i="64"/>
  <c r="AY667" i="64"/>
  <c r="AZ667" i="64"/>
  <c r="BA667" i="64"/>
  <c r="BB667" i="64"/>
  <c r="BC667" i="64"/>
  <c r="BD667" i="64"/>
  <c r="BE667" i="64"/>
  <c r="BF667" i="64"/>
  <c r="C668" i="64"/>
  <c r="D668" i="64"/>
  <c r="E668" i="64"/>
  <c r="F668" i="64"/>
  <c r="G668" i="64"/>
  <c r="H668" i="64"/>
  <c r="I668" i="64"/>
  <c r="J668" i="64"/>
  <c r="K668" i="64"/>
  <c r="L668" i="64"/>
  <c r="M668" i="64"/>
  <c r="N668" i="64"/>
  <c r="O668" i="64"/>
  <c r="P668" i="64"/>
  <c r="Q668" i="64"/>
  <c r="R668" i="64"/>
  <c r="S668" i="64"/>
  <c r="T668" i="64"/>
  <c r="U668" i="64"/>
  <c r="V668" i="64"/>
  <c r="W668" i="64"/>
  <c r="X668" i="64"/>
  <c r="Y668" i="64"/>
  <c r="Z668" i="64"/>
  <c r="AA668" i="64"/>
  <c r="AB668" i="64"/>
  <c r="AC668" i="64"/>
  <c r="AD668" i="64"/>
  <c r="AE668" i="64"/>
  <c r="AF668" i="64"/>
  <c r="AG668" i="64"/>
  <c r="AH668" i="64"/>
  <c r="AI668" i="64"/>
  <c r="AJ668" i="64"/>
  <c r="AK668" i="64"/>
  <c r="AL668" i="64"/>
  <c r="AM668" i="64"/>
  <c r="AN668" i="64"/>
  <c r="AO668" i="64"/>
  <c r="AP668" i="64"/>
  <c r="AQ668" i="64"/>
  <c r="AR668" i="64"/>
  <c r="AS668" i="64"/>
  <c r="AT668" i="64"/>
  <c r="AU668" i="64"/>
  <c r="AV668" i="64"/>
  <c r="AW668" i="64"/>
  <c r="AX668" i="64"/>
  <c r="AY668" i="64"/>
  <c r="AZ668" i="64"/>
  <c r="BA668" i="64"/>
  <c r="BB668" i="64"/>
  <c r="BC668" i="64"/>
  <c r="BD668" i="64"/>
  <c r="BE668" i="64"/>
  <c r="BF668" i="64"/>
  <c r="C669" i="64"/>
  <c r="D669" i="64"/>
  <c r="E669" i="64"/>
  <c r="F669" i="64"/>
  <c r="G669" i="64"/>
  <c r="H669" i="64"/>
  <c r="I669" i="64"/>
  <c r="J669" i="64"/>
  <c r="K669" i="64"/>
  <c r="L669" i="64"/>
  <c r="M669" i="64"/>
  <c r="N669" i="64"/>
  <c r="O669" i="64"/>
  <c r="P669" i="64"/>
  <c r="Q669" i="64"/>
  <c r="R669" i="64"/>
  <c r="S669" i="64"/>
  <c r="T669" i="64"/>
  <c r="U669" i="64"/>
  <c r="V669" i="64"/>
  <c r="W669" i="64"/>
  <c r="X669" i="64"/>
  <c r="Y669" i="64"/>
  <c r="Z669" i="64"/>
  <c r="AA669" i="64"/>
  <c r="AB669" i="64"/>
  <c r="AC669" i="64"/>
  <c r="AD669" i="64"/>
  <c r="AE669" i="64"/>
  <c r="AF669" i="64"/>
  <c r="AG669" i="64"/>
  <c r="AH669" i="64"/>
  <c r="AI669" i="64"/>
  <c r="AJ669" i="64"/>
  <c r="AK669" i="64"/>
  <c r="AL669" i="64"/>
  <c r="AM669" i="64"/>
  <c r="AN669" i="64"/>
  <c r="AO669" i="64"/>
  <c r="AP669" i="64"/>
  <c r="AQ669" i="64"/>
  <c r="AR669" i="64"/>
  <c r="AS669" i="64"/>
  <c r="AT669" i="64"/>
  <c r="AU669" i="64"/>
  <c r="AV669" i="64"/>
  <c r="AW669" i="64"/>
  <c r="AX669" i="64"/>
  <c r="AY669" i="64"/>
  <c r="AZ669" i="64"/>
  <c r="BA669" i="64"/>
  <c r="BB669" i="64"/>
  <c r="BC669" i="64"/>
  <c r="BD669" i="64"/>
  <c r="BE669" i="64"/>
  <c r="BF669" i="64"/>
  <c r="C670" i="64"/>
  <c r="D670" i="64"/>
  <c r="E670" i="64"/>
  <c r="F670" i="64"/>
  <c r="G670" i="64"/>
  <c r="H670" i="64"/>
  <c r="I670" i="64"/>
  <c r="J670" i="64"/>
  <c r="K670" i="64"/>
  <c r="L670" i="64"/>
  <c r="M670" i="64"/>
  <c r="N670" i="64"/>
  <c r="O670" i="64"/>
  <c r="P670" i="64"/>
  <c r="Q670" i="64"/>
  <c r="R670" i="64"/>
  <c r="S670" i="64"/>
  <c r="T670" i="64"/>
  <c r="U670" i="64"/>
  <c r="V670" i="64"/>
  <c r="W670" i="64"/>
  <c r="X670" i="64"/>
  <c r="Y670" i="64"/>
  <c r="Z670" i="64"/>
  <c r="AA670" i="64"/>
  <c r="AB670" i="64"/>
  <c r="AC670" i="64"/>
  <c r="AD670" i="64"/>
  <c r="AE670" i="64"/>
  <c r="AF670" i="64"/>
  <c r="AG670" i="64"/>
  <c r="AH670" i="64"/>
  <c r="AI670" i="64"/>
  <c r="AJ670" i="64"/>
  <c r="AK670" i="64"/>
  <c r="AL670" i="64"/>
  <c r="AM670" i="64"/>
  <c r="AN670" i="64"/>
  <c r="AO670" i="64"/>
  <c r="AP670" i="64"/>
  <c r="AQ670" i="64"/>
  <c r="AR670" i="64"/>
  <c r="AS670" i="64"/>
  <c r="AT670" i="64"/>
  <c r="AU670" i="64"/>
  <c r="AV670" i="64"/>
  <c r="AW670" i="64"/>
  <c r="AX670" i="64"/>
  <c r="AY670" i="64"/>
  <c r="AZ670" i="64"/>
  <c r="BA670" i="64"/>
  <c r="BB670" i="64"/>
  <c r="BC670" i="64"/>
  <c r="BD670" i="64"/>
  <c r="BE670" i="64"/>
  <c r="BF670" i="64"/>
  <c r="C671" i="64"/>
  <c r="D671" i="64"/>
  <c r="E671" i="64"/>
  <c r="F671" i="64"/>
  <c r="G671" i="64"/>
  <c r="H671" i="64"/>
  <c r="I671" i="64"/>
  <c r="J671" i="64"/>
  <c r="K671" i="64"/>
  <c r="L671" i="64"/>
  <c r="M671" i="64"/>
  <c r="N671" i="64"/>
  <c r="O671" i="64"/>
  <c r="P671" i="64"/>
  <c r="Q671" i="64"/>
  <c r="R671" i="64"/>
  <c r="S671" i="64"/>
  <c r="T671" i="64"/>
  <c r="U671" i="64"/>
  <c r="V671" i="64"/>
  <c r="W671" i="64"/>
  <c r="X671" i="64"/>
  <c r="Y671" i="64"/>
  <c r="Z671" i="64"/>
  <c r="AA671" i="64"/>
  <c r="AB671" i="64"/>
  <c r="AC671" i="64"/>
  <c r="AD671" i="64"/>
  <c r="AE671" i="64"/>
  <c r="AF671" i="64"/>
  <c r="AG671" i="64"/>
  <c r="AH671" i="64"/>
  <c r="AI671" i="64"/>
  <c r="AJ671" i="64"/>
  <c r="AK671" i="64"/>
  <c r="AL671" i="64"/>
  <c r="AM671" i="64"/>
  <c r="AN671" i="64"/>
  <c r="AO671" i="64"/>
  <c r="AP671" i="64"/>
  <c r="AQ671" i="64"/>
  <c r="AR671" i="64"/>
  <c r="AS671" i="64"/>
  <c r="AT671" i="64"/>
  <c r="AU671" i="64"/>
  <c r="AV671" i="64"/>
  <c r="AW671" i="64"/>
  <c r="AX671" i="64"/>
  <c r="AY671" i="64"/>
  <c r="AZ671" i="64"/>
  <c r="BA671" i="64"/>
  <c r="BB671" i="64"/>
  <c r="BC671" i="64"/>
  <c r="BD671" i="64"/>
  <c r="BE671" i="64"/>
  <c r="BF671" i="64"/>
  <c r="C672" i="64"/>
  <c r="D672" i="64"/>
  <c r="E672" i="64"/>
  <c r="F672" i="64"/>
  <c r="G672" i="64"/>
  <c r="H672" i="64"/>
  <c r="I672" i="64"/>
  <c r="J672" i="64"/>
  <c r="K672" i="64"/>
  <c r="L672" i="64"/>
  <c r="M672" i="64"/>
  <c r="N672" i="64"/>
  <c r="O672" i="64"/>
  <c r="P672" i="64"/>
  <c r="Q672" i="64"/>
  <c r="R672" i="64"/>
  <c r="S672" i="64"/>
  <c r="T672" i="64"/>
  <c r="U672" i="64"/>
  <c r="V672" i="64"/>
  <c r="W672" i="64"/>
  <c r="X672" i="64"/>
  <c r="Y672" i="64"/>
  <c r="Z672" i="64"/>
  <c r="AA672" i="64"/>
  <c r="AB672" i="64"/>
  <c r="AC672" i="64"/>
  <c r="AD672" i="64"/>
  <c r="AE672" i="64"/>
  <c r="AF672" i="64"/>
  <c r="AG672" i="64"/>
  <c r="AH672" i="64"/>
  <c r="AI672" i="64"/>
  <c r="AJ672" i="64"/>
  <c r="AK672" i="64"/>
  <c r="AL672" i="64"/>
  <c r="AM672" i="64"/>
  <c r="AN672" i="64"/>
  <c r="AO672" i="64"/>
  <c r="AP672" i="64"/>
  <c r="AQ672" i="64"/>
  <c r="AR672" i="64"/>
  <c r="AS672" i="64"/>
  <c r="AT672" i="64"/>
  <c r="AU672" i="64"/>
  <c r="AV672" i="64"/>
  <c r="AW672" i="64"/>
  <c r="AX672" i="64"/>
  <c r="AY672" i="64"/>
  <c r="AZ672" i="64"/>
  <c r="BA672" i="64"/>
  <c r="BB672" i="64"/>
  <c r="BC672" i="64"/>
  <c r="BD672" i="64"/>
  <c r="BE672" i="64"/>
  <c r="BF672" i="64"/>
  <c r="C673" i="64"/>
  <c r="D673" i="64"/>
  <c r="E673" i="64"/>
  <c r="F673" i="64"/>
  <c r="G673" i="64"/>
  <c r="H673" i="64"/>
  <c r="I673" i="64"/>
  <c r="J673" i="64"/>
  <c r="K673" i="64"/>
  <c r="L673" i="64"/>
  <c r="M673" i="64"/>
  <c r="N673" i="64"/>
  <c r="O673" i="64"/>
  <c r="P673" i="64"/>
  <c r="Q673" i="64"/>
  <c r="R673" i="64"/>
  <c r="S673" i="64"/>
  <c r="T673" i="64"/>
  <c r="U673" i="64"/>
  <c r="V673" i="64"/>
  <c r="W673" i="64"/>
  <c r="X673" i="64"/>
  <c r="Y673" i="64"/>
  <c r="Z673" i="64"/>
  <c r="AA673" i="64"/>
  <c r="AB673" i="64"/>
  <c r="AC673" i="64"/>
  <c r="AD673" i="64"/>
  <c r="AE673" i="64"/>
  <c r="AF673" i="64"/>
  <c r="AG673" i="64"/>
  <c r="AH673" i="64"/>
  <c r="AI673" i="64"/>
  <c r="AJ673" i="64"/>
  <c r="AK673" i="64"/>
  <c r="AL673" i="64"/>
  <c r="AM673" i="64"/>
  <c r="AN673" i="64"/>
  <c r="AO673" i="64"/>
  <c r="AP673" i="64"/>
  <c r="AQ673" i="64"/>
  <c r="AR673" i="64"/>
  <c r="AS673" i="64"/>
  <c r="AT673" i="64"/>
  <c r="AU673" i="64"/>
  <c r="AV673" i="64"/>
  <c r="AW673" i="64"/>
  <c r="AX673" i="64"/>
  <c r="AY673" i="64"/>
  <c r="AZ673" i="64"/>
  <c r="BA673" i="64"/>
  <c r="BB673" i="64"/>
  <c r="BC673" i="64"/>
  <c r="BD673" i="64"/>
  <c r="BE673" i="64"/>
  <c r="BF673" i="64"/>
  <c r="C674" i="64"/>
  <c r="D674" i="64"/>
  <c r="E674" i="64"/>
  <c r="F674" i="64"/>
  <c r="G674" i="64"/>
  <c r="H674" i="64"/>
  <c r="I674" i="64"/>
  <c r="J674" i="64"/>
  <c r="K674" i="64"/>
  <c r="L674" i="64"/>
  <c r="M674" i="64"/>
  <c r="N674" i="64"/>
  <c r="O674" i="64"/>
  <c r="P674" i="64"/>
  <c r="Q674" i="64"/>
  <c r="R674" i="64"/>
  <c r="S674" i="64"/>
  <c r="T674" i="64"/>
  <c r="U674" i="64"/>
  <c r="V674" i="64"/>
  <c r="W674" i="64"/>
  <c r="X674" i="64"/>
  <c r="Y674" i="64"/>
  <c r="Z674" i="64"/>
  <c r="AA674" i="64"/>
  <c r="AB674" i="64"/>
  <c r="AC674" i="64"/>
  <c r="AD674" i="64"/>
  <c r="AE674" i="64"/>
  <c r="AF674" i="64"/>
  <c r="AG674" i="64"/>
  <c r="AH674" i="64"/>
  <c r="AI674" i="64"/>
  <c r="AJ674" i="64"/>
  <c r="AK674" i="64"/>
  <c r="AL674" i="64"/>
  <c r="AM674" i="64"/>
  <c r="AN674" i="64"/>
  <c r="AO674" i="64"/>
  <c r="AP674" i="64"/>
  <c r="AQ674" i="64"/>
  <c r="AR674" i="64"/>
  <c r="AS674" i="64"/>
  <c r="AT674" i="64"/>
  <c r="AU674" i="64"/>
  <c r="AV674" i="64"/>
  <c r="AW674" i="64"/>
  <c r="AX674" i="64"/>
  <c r="AY674" i="64"/>
  <c r="AZ674" i="64"/>
  <c r="BA674" i="64"/>
  <c r="BB674" i="64"/>
  <c r="BC674" i="64"/>
  <c r="BD674" i="64"/>
  <c r="BE674" i="64"/>
  <c r="BF674" i="64"/>
  <c r="C675" i="64"/>
  <c r="D675" i="64"/>
  <c r="E675" i="64"/>
  <c r="F675" i="64"/>
  <c r="G675" i="64"/>
  <c r="H675" i="64"/>
  <c r="I675" i="64"/>
  <c r="J675" i="64"/>
  <c r="K675" i="64"/>
  <c r="L675" i="64"/>
  <c r="M675" i="64"/>
  <c r="N675" i="64"/>
  <c r="O675" i="64"/>
  <c r="P675" i="64"/>
  <c r="Q675" i="64"/>
  <c r="R675" i="64"/>
  <c r="S675" i="64"/>
  <c r="T675" i="64"/>
  <c r="U675" i="64"/>
  <c r="V675" i="64"/>
  <c r="W675" i="64"/>
  <c r="X675" i="64"/>
  <c r="Y675" i="64"/>
  <c r="Z675" i="64"/>
  <c r="AA675" i="64"/>
  <c r="AB675" i="64"/>
  <c r="AC675" i="64"/>
  <c r="AD675" i="64"/>
  <c r="AE675" i="64"/>
  <c r="AF675" i="64"/>
  <c r="AG675" i="64"/>
  <c r="AH675" i="64"/>
  <c r="AI675" i="64"/>
  <c r="AJ675" i="64"/>
  <c r="AK675" i="64"/>
  <c r="AL675" i="64"/>
  <c r="AM675" i="64"/>
  <c r="AN675" i="64"/>
  <c r="AO675" i="64"/>
  <c r="AP675" i="64"/>
  <c r="AQ675" i="64"/>
  <c r="AR675" i="64"/>
  <c r="AS675" i="64"/>
  <c r="AT675" i="64"/>
  <c r="AU675" i="64"/>
  <c r="AV675" i="64"/>
  <c r="AW675" i="64"/>
  <c r="AX675" i="64"/>
  <c r="AY675" i="64"/>
  <c r="AZ675" i="64"/>
  <c r="BA675" i="64"/>
  <c r="BB675" i="64"/>
  <c r="BC675" i="64"/>
  <c r="BD675" i="64"/>
  <c r="BE675" i="64"/>
  <c r="BF675" i="64"/>
  <c r="C676" i="64"/>
  <c r="D676" i="64"/>
  <c r="E676" i="64"/>
  <c r="F676" i="64"/>
  <c r="G676" i="64"/>
  <c r="H676" i="64"/>
  <c r="I676" i="64"/>
  <c r="J676" i="64"/>
  <c r="K676" i="64"/>
  <c r="L676" i="64"/>
  <c r="M676" i="64"/>
  <c r="N676" i="64"/>
  <c r="O676" i="64"/>
  <c r="P676" i="64"/>
  <c r="Q676" i="64"/>
  <c r="R676" i="64"/>
  <c r="S676" i="64"/>
  <c r="T676" i="64"/>
  <c r="U676" i="64"/>
  <c r="V676" i="64"/>
  <c r="W676" i="64"/>
  <c r="X676" i="64"/>
  <c r="Y676" i="64"/>
  <c r="Z676" i="64"/>
  <c r="AA676" i="64"/>
  <c r="AB676" i="64"/>
  <c r="AC676" i="64"/>
  <c r="AD676" i="64"/>
  <c r="AE676" i="64"/>
  <c r="AF676" i="64"/>
  <c r="AG676" i="64"/>
  <c r="AH676" i="64"/>
  <c r="AI676" i="64"/>
  <c r="AJ676" i="64"/>
  <c r="AK676" i="64"/>
  <c r="AL676" i="64"/>
  <c r="AM676" i="64"/>
  <c r="AN676" i="64"/>
  <c r="AO676" i="64"/>
  <c r="AP676" i="64"/>
  <c r="AQ676" i="64"/>
  <c r="AR676" i="64"/>
  <c r="AS676" i="64"/>
  <c r="AT676" i="64"/>
  <c r="AU676" i="64"/>
  <c r="AV676" i="64"/>
  <c r="AW676" i="64"/>
  <c r="AX676" i="64"/>
  <c r="AY676" i="64"/>
  <c r="AZ676" i="64"/>
  <c r="BA676" i="64"/>
  <c r="BB676" i="64"/>
  <c r="BC676" i="64"/>
  <c r="BD676" i="64"/>
  <c r="BE676" i="64"/>
  <c r="BF676" i="64"/>
  <c r="C677" i="64"/>
  <c r="D677" i="64"/>
  <c r="E677" i="64"/>
  <c r="F677" i="64"/>
  <c r="G677" i="64"/>
  <c r="H677" i="64"/>
  <c r="I677" i="64"/>
  <c r="J677" i="64"/>
  <c r="K677" i="64"/>
  <c r="L677" i="64"/>
  <c r="M677" i="64"/>
  <c r="N677" i="64"/>
  <c r="O677" i="64"/>
  <c r="P677" i="64"/>
  <c r="Q677" i="64"/>
  <c r="R677" i="64"/>
  <c r="S677" i="64"/>
  <c r="T677" i="64"/>
  <c r="U677" i="64"/>
  <c r="V677" i="64"/>
  <c r="W677" i="64"/>
  <c r="X677" i="64"/>
  <c r="Y677" i="64"/>
  <c r="Z677" i="64"/>
  <c r="AA677" i="64"/>
  <c r="AB677" i="64"/>
  <c r="AC677" i="64"/>
  <c r="AD677" i="64"/>
  <c r="AE677" i="64"/>
  <c r="AF677" i="64"/>
  <c r="AG677" i="64"/>
  <c r="AH677" i="64"/>
  <c r="AI677" i="64"/>
  <c r="AJ677" i="64"/>
  <c r="AK677" i="64"/>
  <c r="AL677" i="64"/>
  <c r="AM677" i="64"/>
  <c r="AN677" i="64"/>
  <c r="AO677" i="64"/>
  <c r="AP677" i="64"/>
  <c r="AQ677" i="64"/>
  <c r="AR677" i="64"/>
  <c r="AS677" i="64"/>
  <c r="AT677" i="64"/>
  <c r="AU677" i="64"/>
  <c r="AV677" i="64"/>
  <c r="AW677" i="64"/>
  <c r="AX677" i="64"/>
  <c r="AY677" i="64"/>
  <c r="AZ677" i="64"/>
  <c r="BA677" i="64"/>
  <c r="BB677" i="64"/>
  <c r="BC677" i="64"/>
  <c r="BD677" i="64"/>
  <c r="BE677" i="64"/>
  <c r="BF677" i="64"/>
  <c r="C678" i="64"/>
  <c r="D678" i="64"/>
  <c r="E678" i="64"/>
  <c r="F678" i="64"/>
  <c r="G678" i="64"/>
  <c r="H678" i="64"/>
  <c r="I678" i="64"/>
  <c r="J678" i="64"/>
  <c r="K678" i="64"/>
  <c r="L678" i="64"/>
  <c r="M678" i="64"/>
  <c r="N678" i="64"/>
  <c r="O678" i="64"/>
  <c r="P678" i="64"/>
  <c r="Q678" i="64"/>
  <c r="R678" i="64"/>
  <c r="S678" i="64"/>
  <c r="T678" i="64"/>
  <c r="U678" i="64"/>
  <c r="V678" i="64"/>
  <c r="W678" i="64"/>
  <c r="X678" i="64"/>
  <c r="Y678" i="64"/>
  <c r="Z678" i="64"/>
  <c r="AA678" i="64"/>
  <c r="AB678" i="64"/>
  <c r="AC678" i="64"/>
  <c r="AD678" i="64"/>
  <c r="AE678" i="64"/>
  <c r="AF678" i="64"/>
  <c r="AG678" i="64"/>
  <c r="AH678" i="64"/>
  <c r="AI678" i="64"/>
  <c r="AJ678" i="64"/>
  <c r="AK678" i="64"/>
  <c r="AL678" i="64"/>
  <c r="AM678" i="64"/>
  <c r="AN678" i="64"/>
  <c r="AO678" i="64"/>
  <c r="AP678" i="64"/>
  <c r="AQ678" i="64"/>
  <c r="AR678" i="64"/>
  <c r="AS678" i="64"/>
  <c r="AT678" i="64"/>
  <c r="AU678" i="64"/>
  <c r="AV678" i="64"/>
  <c r="AW678" i="64"/>
  <c r="AX678" i="64"/>
  <c r="AY678" i="64"/>
  <c r="AZ678" i="64"/>
  <c r="BA678" i="64"/>
  <c r="BB678" i="64"/>
  <c r="BC678" i="64"/>
  <c r="BD678" i="64"/>
  <c r="BE678" i="64"/>
  <c r="BF678" i="64"/>
  <c r="AX682" i="64"/>
  <c r="BC682" i="64"/>
  <c r="BD682" i="64"/>
  <c r="BF682" i="64"/>
  <c r="E683" i="64"/>
  <c r="G683" i="64"/>
  <c r="I683" i="64"/>
  <c r="J683" i="64"/>
  <c r="M683" i="64"/>
  <c r="Q683" i="64"/>
  <c r="S683" i="64"/>
  <c r="T683" i="64"/>
  <c r="U683" i="64"/>
  <c r="Z683" i="64"/>
  <c r="AA683" i="64"/>
  <c r="AB683" i="64"/>
  <c r="AC683" i="64"/>
  <c r="AD683" i="64"/>
  <c r="AE683" i="64"/>
  <c r="AG683" i="64"/>
  <c r="AH683" i="64"/>
  <c r="AI683" i="64"/>
  <c r="AK683" i="64"/>
  <c r="AL683" i="64"/>
  <c r="AO683" i="64"/>
  <c r="AP683" i="64"/>
  <c r="AQ683" i="64"/>
  <c r="AR683" i="64"/>
  <c r="AT683" i="64"/>
  <c r="AU683" i="64"/>
  <c r="AW683" i="64"/>
  <c r="AY683" i="64"/>
  <c r="BE683" i="64"/>
  <c r="BF683" i="64"/>
  <c r="E684" i="64"/>
  <c r="F684" i="64"/>
  <c r="G684" i="64"/>
  <c r="I684" i="64"/>
  <c r="J684" i="64"/>
  <c r="L684" i="64"/>
  <c r="M684" i="64"/>
  <c r="N684" i="64"/>
  <c r="Q684" i="64"/>
  <c r="S684" i="64"/>
  <c r="T684" i="64"/>
  <c r="U684" i="64"/>
  <c r="Z684" i="64"/>
  <c r="AA684" i="64"/>
  <c r="AB684" i="64"/>
  <c r="AC684" i="64"/>
  <c r="AD684" i="64"/>
  <c r="AE684" i="64"/>
  <c r="AF684" i="64"/>
  <c r="AG684" i="64"/>
  <c r="AH684" i="64"/>
  <c r="AI684" i="64"/>
  <c r="AJ684" i="64"/>
  <c r="AK684" i="64"/>
  <c r="AL684" i="64"/>
  <c r="AO684" i="64"/>
  <c r="AP684" i="64"/>
  <c r="AQ684" i="64"/>
  <c r="AR684" i="64"/>
  <c r="AT684" i="64"/>
  <c r="AU684" i="64"/>
  <c r="AV684" i="64"/>
  <c r="AW684" i="64"/>
  <c r="AY684" i="64"/>
  <c r="BD684" i="64"/>
  <c r="BE684" i="64"/>
  <c r="BF684" i="64"/>
  <c r="C685" i="64"/>
  <c r="E685" i="64"/>
  <c r="F685" i="64"/>
  <c r="G685" i="64"/>
  <c r="H685" i="64"/>
  <c r="I685" i="64"/>
  <c r="J685" i="64"/>
  <c r="K685" i="64"/>
  <c r="M685" i="64"/>
  <c r="N685" i="64"/>
  <c r="Q685" i="64"/>
  <c r="R685" i="64"/>
  <c r="S685" i="64"/>
  <c r="T685" i="64"/>
  <c r="U685" i="64"/>
  <c r="Z685" i="64"/>
  <c r="AA685" i="64"/>
  <c r="AB685" i="64"/>
  <c r="AC685" i="64"/>
  <c r="AD685" i="64"/>
  <c r="AE685" i="64"/>
  <c r="AF685" i="64"/>
  <c r="AG685" i="64"/>
  <c r="AH685" i="64"/>
  <c r="AI685" i="64"/>
  <c r="AJ685" i="64"/>
  <c r="AK685" i="64"/>
  <c r="AL685" i="64"/>
  <c r="AO685" i="64"/>
  <c r="AP685" i="64"/>
  <c r="AQ685" i="64"/>
  <c r="AR685" i="64"/>
  <c r="AT685" i="64"/>
  <c r="AU685" i="64"/>
  <c r="AV685" i="64"/>
  <c r="AW685" i="64"/>
  <c r="AY685" i="64"/>
  <c r="AZ685" i="64"/>
  <c r="BD685" i="64"/>
  <c r="BE685" i="64"/>
  <c r="BF685" i="64"/>
  <c r="C686" i="64"/>
  <c r="E686" i="64"/>
  <c r="F686" i="64"/>
  <c r="G686" i="64"/>
  <c r="H686" i="64"/>
  <c r="I686" i="64"/>
  <c r="J686" i="64"/>
  <c r="K686" i="64"/>
  <c r="L686" i="64"/>
  <c r="M686" i="64"/>
  <c r="N686" i="64"/>
  <c r="O686" i="64"/>
  <c r="Q686" i="64"/>
  <c r="R686" i="64"/>
  <c r="S686" i="64"/>
  <c r="T686" i="64"/>
  <c r="U686" i="64"/>
  <c r="Y686" i="64"/>
  <c r="Z686" i="64"/>
  <c r="AA686" i="64"/>
  <c r="AB686" i="64"/>
  <c r="AC686" i="64"/>
  <c r="AD686" i="64"/>
  <c r="AE686" i="64"/>
  <c r="AF686" i="64"/>
  <c r="AG686" i="64"/>
  <c r="AH686" i="64"/>
  <c r="AI686" i="64"/>
  <c r="AJ686" i="64"/>
  <c r="AK686" i="64"/>
  <c r="AL686" i="64"/>
  <c r="AO686" i="64"/>
  <c r="AP686" i="64"/>
  <c r="AQ686" i="64"/>
  <c r="AR686" i="64"/>
  <c r="AT686" i="64"/>
  <c r="AU686" i="64"/>
  <c r="AV686" i="64"/>
  <c r="AW686" i="64"/>
  <c r="AX686" i="64"/>
  <c r="AY686" i="64"/>
  <c r="AZ686" i="64"/>
  <c r="BA686" i="64"/>
  <c r="BD686" i="64"/>
  <c r="BE686" i="64"/>
  <c r="BF686" i="64"/>
  <c r="C687" i="64"/>
  <c r="D687" i="64"/>
  <c r="E687" i="64"/>
  <c r="F687" i="64"/>
  <c r="G687" i="64"/>
  <c r="H687" i="64"/>
  <c r="I687" i="64"/>
  <c r="J687" i="64"/>
  <c r="K687" i="64"/>
  <c r="L687" i="64"/>
  <c r="M687" i="64"/>
  <c r="N687" i="64"/>
  <c r="O687" i="64"/>
  <c r="Q687" i="64"/>
  <c r="R687" i="64"/>
  <c r="S687" i="64"/>
  <c r="T687" i="64"/>
  <c r="U687" i="64"/>
  <c r="X687" i="64"/>
  <c r="Y687" i="64"/>
  <c r="Z687" i="64"/>
  <c r="AA687" i="64"/>
  <c r="AB687" i="64"/>
  <c r="AC687" i="64"/>
  <c r="AD687" i="64"/>
  <c r="AE687" i="64"/>
  <c r="AF687" i="64"/>
  <c r="AG687" i="64"/>
  <c r="AH687" i="64"/>
  <c r="AI687" i="64"/>
  <c r="AJ687" i="64"/>
  <c r="AK687" i="64"/>
  <c r="AL687" i="64"/>
  <c r="AM687" i="64"/>
  <c r="AO687" i="64"/>
  <c r="AP687" i="64"/>
  <c r="AQ687" i="64"/>
  <c r="AR687" i="64"/>
  <c r="AT687" i="64"/>
  <c r="AU687" i="64"/>
  <c r="AV687" i="64"/>
  <c r="AW687" i="64"/>
  <c r="AX687" i="64"/>
  <c r="AY687" i="64"/>
  <c r="AZ687" i="64"/>
  <c r="BA687" i="64"/>
  <c r="BD687" i="64"/>
  <c r="BE687" i="64"/>
  <c r="BF687" i="64"/>
  <c r="C688" i="64"/>
  <c r="D688" i="64"/>
  <c r="E688" i="64"/>
  <c r="F688" i="64"/>
  <c r="G688" i="64"/>
  <c r="H688" i="64"/>
  <c r="I688" i="64"/>
  <c r="J688" i="64"/>
  <c r="K688" i="64"/>
  <c r="L688" i="64"/>
  <c r="M688" i="64"/>
  <c r="N688" i="64"/>
  <c r="O688" i="64"/>
  <c r="Q688" i="64"/>
  <c r="R688" i="64"/>
  <c r="S688" i="64"/>
  <c r="T688" i="64"/>
  <c r="U688" i="64"/>
  <c r="W688" i="64"/>
  <c r="X688" i="64"/>
  <c r="Y688" i="64"/>
  <c r="Z688" i="64"/>
  <c r="AA688" i="64"/>
  <c r="AB688" i="64"/>
  <c r="AC688" i="64"/>
  <c r="AD688" i="64"/>
  <c r="AE688" i="64"/>
  <c r="AF688" i="64"/>
  <c r="AG688" i="64"/>
  <c r="AH688" i="64"/>
  <c r="AI688" i="64"/>
  <c r="AJ688" i="64"/>
  <c r="AK688" i="64"/>
  <c r="AL688" i="64"/>
  <c r="AM688" i="64"/>
  <c r="AN688" i="64"/>
  <c r="AO688" i="64"/>
  <c r="AP688" i="64"/>
  <c r="AQ688" i="64"/>
  <c r="AR688" i="64"/>
  <c r="AT688" i="64"/>
  <c r="AU688" i="64"/>
  <c r="AV688" i="64"/>
  <c r="AW688" i="64"/>
  <c r="AX688" i="64"/>
  <c r="AY688" i="64"/>
  <c r="AZ688" i="64"/>
  <c r="BA688" i="64"/>
  <c r="BD688" i="64"/>
  <c r="BE688" i="64"/>
  <c r="BF688" i="64"/>
  <c r="C689" i="64"/>
  <c r="D689" i="64"/>
  <c r="E689" i="64"/>
  <c r="F689" i="64"/>
  <c r="G689" i="64"/>
  <c r="H689" i="64"/>
  <c r="I689" i="64"/>
  <c r="J689" i="64"/>
  <c r="K689" i="64"/>
  <c r="L689" i="64"/>
  <c r="M689" i="64"/>
  <c r="N689" i="64"/>
  <c r="O689" i="64"/>
  <c r="Q689" i="64"/>
  <c r="R689" i="64"/>
  <c r="S689" i="64"/>
  <c r="T689" i="64"/>
  <c r="U689" i="64"/>
  <c r="V689" i="64"/>
  <c r="W689" i="64"/>
  <c r="X689" i="64"/>
  <c r="Y689" i="64"/>
  <c r="Z689" i="64"/>
  <c r="AA689" i="64"/>
  <c r="AB689" i="64"/>
  <c r="AC689" i="64"/>
  <c r="AD689" i="64"/>
  <c r="AE689" i="64"/>
  <c r="AF689" i="64"/>
  <c r="AG689" i="64"/>
  <c r="AH689" i="64"/>
  <c r="AI689" i="64"/>
  <c r="AJ689" i="64"/>
  <c r="AK689" i="64"/>
  <c r="AL689" i="64"/>
  <c r="AM689" i="64"/>
  <c r="AN689" i="64"/>
  <c r="AO689" i="64"/>
  <c r="AP689" i="64"/>
  <c r="AQ689" i="64"/>
  <c r="AR689" i="64"/>
  <c r="AT689" i="64"/>
  <c r="AU689" i="64"/>
  <c r="AV689" i="64"/>
  <c r="AW689" i="64"/>
  <c r="AX689" i="64"/>
  <c r="AY689" i="64"/>
  <c r="AZ689" i="64"/>
  <c r="BA689" i="64"/>
  <c r="BB689" i="64"/>
  <c r="BC689" i="64"/>
  <c r="BD689" i="64"/>
  <c r="BE689" i="64"/>
  <c r="BF689" i="64"/>
  <c r="C690" i="64"/>
  <c r="D690" i="64"/>
  <c r="E690" i="64"/>
  <c r="F690" i="64"/>
  <c r="G690" i="64"/>
  <c r="H690" i="64"/>
  <c r="I690" i="64"/>
  <c r="J690" i="64"/>
  <c r="K690" i="64"/>
  <c r="L690" i="64"/>
  <c r="M690" i="64"/>
  <c r="N690" i="64"/>
  <c r="O690" i="64"/>
  <c r="Q690" i="64"/>
  <c r="R690" i="64"/>
  <c r="S690" i="64"/>
  <c r="T690" i="64"/>
  <c r="U690" i="64"/>
  <c r="V690" i="64"/>
  <c r="W690" i="64"/>
  <c r="X690" i="64"/>
  <c r="Y690" i="64"/>
  <c r="Z690" i="64"/>
  <c r="AA690" i="64"/>
  <c r="AB690" i="64"/>
  <c r="AC690" i="64"/>
  <c r="AD690" i="64"/>
  <c r="AE690" i="64"/>
  <c r="AF690" i="64"/>
  <c r="AG690" i="64"/>
  <c r="AH690" i="64"/>
  <c r="AI690" i="64"/>
  <c r="AJ690" i="64"/>
  <c r="AK690" i="64"/>
  <c r="AL690" i="64"/>
  <c r="AM690" i="64"/>
  <c r="AN690" i="64"/>
  <c r="AO690" i="64"/>
  <c r="AP690" i="64"/>
  <c r="AQ690" i="64"/>
  <c r="AR690" i="64"/>
  <c r="AT690" i="64"/>
  <c r="AU690" i="64"/>
  <c r="AV690" i="64"/>
  <c r="AW690" i="64"/>
  <c r="AX690" i="64"/>
  <c r="AY690" i="64"/>
  <c r="AZ690" i="64"/>
  <c r="BA690" i="64"/>
  <c r="BB690" i="64"/>
  <c r="BC690" i="64"/>
  <c r="BD690" i="64"/>
  <c r="BE690" i="64"/>
  <c r="BF690" i="64"/>
  <c r="C691" i="64"/>
  <c r="D691" i="64"/>
  <c r="E691" i="64"/>
  <c r="F691" i="64"/>
  <c r="G691" i="64"/>
  <c r="H691" i="64"/>
  <c r="I691" i="64"/>
  <c r="J691" i="64"/>
  <c r="K691" i="64"/>
  <c r="L691" i="64"/>
  <c r="M691" i="64"/>
  <c r="N691" i="64"/>
  <c r="O691" i="64"/>
  <c r="Q691" i="64"/>
  <c r="R691" i="64"/>
  <c r="S691" i="64"/>
  <c r="T691" i="64"/>
  <c r="U691" i="64"/>
  <c r="V691" i="64"/>
  <c r="W691" i="64"/>
  <c r="X691" i="64"/>
  <c r="Y691" i="64"/>
  <c r="Z691" i="64"/>
  <c r="AA691" i="64"/>
  <c r="AB691" i="64"/>
  <c r="AC691" i="64"/>
  <c r="AD691" i="64"/>
  <c r="AE691" i="64"/>
  <c r="AF691" i="64"/>
  <c r="AG691" i="64"/>
  <c r="AH691" i="64"/>
  <c r="AI691" i="64"/>
  <c r="AJ691" i="64"/>
  <c r="AK691" i="64"/>
  <c r="AL691" i="64"/>
  <c r="AM691" i="64"/>
  <c r="AN691" i="64"/>
  <c r="AO691" i="64"/>
  <c r="AP691" i="64"/>
  <c r="AQ691" i="64"/>
  <c r="AR691" i="64"/>
  <c r="AT691" i="64"/>
  <c r="AU691" i="64"/>
  <c r="AV691" i="64"/>
  <c r="AW691" i="64"/>
  <c r="AX691" i="64"/>
  <c r="AY691" i="64"/>
  <c r="AZ691" i="64"/>
  <c r="BA691" i="64"/>
  <c r="BB691" i="64"/>
  <c r="BC691" i="64"/>
  <c r="BD691" i="64"/>
  <c r="BE691" i="64"/>
  <c r="BF691" i="64"/>
  <c r="C692" i="64"/>
  <c r="D692" i="64"/>
  <c r="E692" i="64"/>
  <c r="F692" i="64"/>
  <c r="G692" i="64"/>
  <c r="H692" i="64"/>
  <c r="I692" i="64"/>
  <c r="J692" i="64"/>
  <c r="K692" i="64"/>
  <c r="L692" i="64"/>
  <c r="M692" i="64"/>
  <c r="N692" i="64"/>
  <c r="O692" i="64"/>
  <c r="Q692" i="64"/>
  <c r="R692" i="64"/>
  <c r="S692" i="64"/>
  <c r="T692" i="64"/>
  <c r="U692" i="64"/>
  <c r="V692" i="64"/>
  <c r="W692" i="64"/>
  <c r="X692" i="64"/>
  <c r="Y692" i="64"/>
  <c r="Z692" i="64"/>
  <c r="AA692" i="64"/>
  <c r="AB692" i="64"/>
  <c r="AC692" i="64"/>
  <c r="AD692" i="64"/>
  <c r="AE692" i="64"/>
  <c r="AF692" i="64"/>
  <c r="AG692" i="64"/>
  <c r="AH692" i="64"/>
  <c r="AI692" i="64"/>
  <c r="AJ692" i="64"/>
  <c r="AK692" i="64"/>
  <c r="AL692" i="64"/>
  <c r="AM692" i="64"/>
  <c r="AN692" i="64"/>
  <c r="AO692" i="64"/>
  <c r="AP692" i="64"/>
  <c r="AQ692" i="64"/>
  <c r="AR692" i="64"/>
  <c r="AS692" i="64"/>
  <c r="AT692" i="64"/>
  <c r="AU692" i="64"/>
  <c r="AV692" i="64"/>
  <c r="AW692" i="64"/>
  <c r="AX692" i="64"/>
  <c r="AY692" i="64"/>
  <c r="AZ692" i="64"/>
  <c r="BA692" i="64"/>
  <c r="BB692" i="64"/>
  <c r="BC692" i="64"/>
  <c r="BD692" i="64"/>
  <c r="BE692" i="64"/>
  <c r="BF692" i="64"/>
  <c r="C693" i="64"/>
  <c r="D693" i="64"/>
  <c r="E693" i="64"/>
  <c r="F693" i="64"/>
  <c r="G693" i="64"/>
  <c r="H693" i="64"/>
  <c r="I693" i="64"/>
  <c r="J693" i="64"/>
  <c r="K693" i="64"/>
  <c r="L693" i="64"/>
  <c r="M693" i="64"/>
  <c r="N693" i="64"/>
  <c r="O693" i="64"/>
  <c r="P693" i="64"/>
  <c r="Q693" i="64"/>
  <c r="R693" i="64"/>
  <c r="S693" i="64"/>
  <c r="T693" i="64"/>
  <c r="U693" i="64"/>
  <c r="V693" i="64"/>
  <c r="W693" i="64"/>
  <c r="X693" i="64"/>
  <c r="Y693" i="64"/>
  <c r="Z693" i="64"/>
  <c r="AA693" i="64"/>
  <c r="AB693" i="64"/>
  <c r="AC693" i="64"/>
  <c r="AD693" i="64"/>
  <c r="AE693" i="64"/>
  <c r="AF693" i="64"/>
  <c r="AG693" i="64"/>
  <c r="AH693" i="64"/>
  <c r="AI693" i="64"/>
  <c r="AJ693" i="64"/>
  <c r="AK693" i="64"/>
  <c r="AL693" i="64"/>
  <c r="AM693" i="64"/>
  <c r="AN693" i="64"/>
  <c r="AO693" i="64"/>
  <c r="AP693" i="64"/>
  <c r="AQ693" i="64"/>
  <c r="AR693" i="64"/>
  <c r="AS693" i="64"/>
  <c r="AT693" i="64"/>
  <c r="AU693" i="64"/>
  <c r="AV693" i="64"/>
  <c r="AW693" i="64"/>
  <c r="AX693" i="64"/>
  <c r="AY693" i="64"/>
  <c r="AZ693" i="64"/>
  <c r="BA693" i="64"/>
  <c r="BB693" i="64"/>
  <c r="BC693" i="64"/>
  <c r="BD693" i="64"/>
  <c r="BE693" i="64"/>
  <c r="BF693" i="64"/>
  <c r="C694" i="64"/>
  <c r="D694" i="64"/>
  <c r="E694" i="64"/>
  <c r="F694" i="64"/>
  <c r="G694" i="64"/>
  <c r="H694" i="64"/>
  <c r="I694" i="64"/>
  <c r="J694" i="64"/>
  <c r="K694" i="64"/>
  <c r="L694" i="64"/>
  <c r="M694" i="64"/>
  <c r="N694" i="64"/>
  <c r="O694" i="64"/>
  <c r="Q694" i="64"/>
  <c r="R694" i="64"/>
  <c r="S694" i="64"/>
  <c r="T694" i="64"/>
  <c r="U694" i="64"/>
  <c r="V694" i="64"/>
  <c r="W694" i="64"/>
  <c r="X694" i="64"/>
  <c r="Y694" i="64"/>
  <c r="Z694" i="64"/>
  <c r="AA694" i="64"/>
  <c r="AB694" i="64"/>
  <c r="AC694" i="64"/>
  <c r="AD694" i="64"/>
  <c r="AE694" i="64"/>
  <c r="AF694" i="64"/>
  <c r="AG694" i="64"/>
  <c r="AH694" i="64"/>
  <c r="AI694" i="64"/>
  <c r="AJ694" i="64"/>
  <c r="AK694" i="64"/>
  <c r="AL694" i="64"/>
  <c r="AM694" i="64"/>
  <c r="AN694" i="64"/>
  <c r="AO694" i="64"/>
  <c r="AP694" i="64"/>
  <c r="AQ694" i="64"/>
  <c r="AR694" i="64"/>
  <c r="AS694" i="64"/>
  <c r="AT694" i="64"/>
  <c r="AU694" i="64"/>
  <c r="AV694" i="64"/>
  <c r="AW694" i="64"/>
  <c r="AX694" i="64"/>
  <c r="AY694" i="64"/>
  <c r="AZ694" i="64"/>
  <c r="BA694" i="64"/>
  <c r="BB694" i="64"/>
  <c r="BC694" i="64"/>
  <c r="BD694" i="64"/>
  <c r="BE694" i="64"/>
  <c r="BF694" i="64"/>
  <c r="C695" i="64"/>
  <c r="D695" i="64"/>
  <c r="E695" i="64"/>
  <c r="F695" i="64"/>
  <c r="G695" i="64"/>
  <c r="H695" i="64"/>
  <c r="I695" i="64"/>
  <c r="J695" i="64"/>
  <c r="K695" i="64"/>
  <c r="L695" i="64"/>
  <c r="M695" i="64"/>
  <c r="N695" i="64"/>
  <c r="O695" i="64"/>
  <c r="P695" i="64"/>
  <c r="Q695" i="64"/>
  <c r="R695" i="64"/>
  <c r="S695" i="64"/>
  <c r="T695" i="64"/>
  <c r="U695" i="64"/>
  <c r="V695" i="64"/>
  <c r="W695" i="64"/>
  <c r="X695" i="64"/>
  <c r="Y695" i="64"/>
  <c r="Z695" i="64"/>
  <c r="AA695" i="64"/>
  <c r="AB695" i="64"/>
  <c r="AC695" i="64"/>
  <c r="AD695" i="64"/>
  <c r="AE695" i="64"/>
  <c r="AF695" i="64"/>
  <c r="AG695" i="64"/>
  <c r="AH695" i="64"/>
  <c r="AI695" i="64"/>
  <c r="AJ695" i="64"/>
  <c r="AK695" i="64"/>
  <c r="AL695" i="64"/>
  <c r="AM695" i="64"/>
  <c r="AN695" i="64"/>
  <c r="AO695" i="64"/>
  <c r="AP695" i="64"/>
  <c r="AQ695" i="64"/>
  <c r="AR695" i="64"/>
  <c r="AS695" i="64"/>
  <c r="AT695" i="64"/>
  <c r="AU695" i="64"/>
  <c r="AV695" i="64"/>
  <c r="AW695" i="64"/>
  <c r="AX695" i="64"/>
  <c r="AY695" i="64"/>
  <c r="AZ695" i="64"/>
  <c r="BA695" i="64"/>
  <c r="BB695" i="64"/>
  <c r="BC695" i="64"/>
  <c r="BD695" i="64"/>
  <c r="BE695" i="64"/>
  <c r="BF695" i="64"/>
  <c r="C696" i="64"/>
  <c r="D696" i="64"/>
  <c r="E696" i="64"/>
  <c r="F696" i="64"/>
  <c r="G696" i="64"/>
  <c r="H696" i="64"/>
  <c r="I696" i="64"/>
  <c r="J696" i="64"/>
  <c r="K696" i="64"/>
  <c r="L696" i="64"/>
  <c r="M696" i="64"/>
  <c r="N696" i="64"/>
  <c r="O696" i="64"/>
  <c r="P696" i="64"/>
  <c r="Q696" i="64"/>
  <c r="R696" i="64"/>
  <c r="S696" i="64"/>
  <c r="T696" i="64"/>
  <c r="U696" i="64"/>
  <c r="V696" i="64"/>
  <c r="W696" i="64"/>
  <c r="X696" i="64"/>
  <c r="Y696" i="64"/>
  <c r="Z696" i="64"/>
  <c r="AA696" i="64"/>
  <c r="AB696" i="64"/>
  <c r="AC696" i="64"/>
  <c r="AD696" i="64"/>
  <c r="AE696" i="64"/>
  <c r="AF696" i="64"/>
  <c r="AG696" i="64"/>
  <c r="AH696" i="64"/>
  <c r="AI696" i="64"/>
  <c r="AJ696" i="64"/>
  <c r="AK696" i="64"/>
  <c r="AL696" i="64"/>
  <c r="AM696" i="64"/>
  <c r="AN696" i="64"/>
  <c r="AO696" i="64"/>
  <c r="AP696" i="64"/>
  <c r="AQ696" i="64"/>
  <c r="AR696" i="64"/>
  <c r="AS696" i="64"/>
  <c r="AT696" i="64"/>
  <c r="AU696" i="64"/>
  <c r="AV696" i="64"/>
  <c r="AW696" i="64"/>
  <c r="AX696" i="64"/>
  <c r="AY696" i="64"/>
  <c r="AZ696" i="64"/>
  <c r="BA696" i="64"/>
  <c r="BB696" i="64"/>
  <c r="BC696" i="64"/>
  <c r="BD696" i="64"/>
  <c r="BE696" i="64"/>
  <c r="BF696" i="64"/>
  <c r="C697" i="64"/>
  <c r="D697" i="64"/>
  <c r="E697" i="64"/>
  <c r="F697" i="64"/>
  <c r="G697" i="64"/>
  <c r="H697" i="64"/>
  <c r="I697" i="64"/>
  <c r="J697" i="64"/>
  <c r="K697" i="64"/>
  <c r="L697" i="64"/>
  <c r="M697" i="64"/>
  <c r="N697" i="64"/>
  <c r="O697" i="64"/>
  <c r="P697" i="64"/>
  <c r="Q697" i="64"/>
  <c r="R697" i="64"/>
  <c r="S697" i="64"/>
  <c r="T697" i="64"/>
  <c r="U697" i="64"/>
  <c r="V697" i="64"/>
  <c r="W697" i="64"/>
  <c r="X697" i="64"/>
  <c r="Y697" i="64"/>
  <c r="Z697" i="64"/>
  <c r="AA697" i="64"/>
  <c r="AB697" i="64"/>
  <c r="AC697" i="64"/>
  <c r="AD697" i="64"/>
  <c r="AE697" i="64"/>
  <c r="AF697" i="64"/>
  <c r="AG697" i="64"/>
  <c r="AH697" i="64"/>
  <c r="AI697" i="64"/>
  <c r="AJ697" i="64"/>
  <c r="AK697" i="64"/>
  <c r="AL697" i="64"/>
  <c r="AM697" i="64"/>
  <c r="AN697" i="64"/>
  <c r="AO697" i="64"/>
  <c r="AP697" i="64"/>
  <c r="AQ697" i="64"/>
  <c r="AR697" i="64"/>
  <c r="AS697" i="64"/>
  <c r="AT697" i="64"/>
  <c r="AU697" i="64"/>
  <c r="AV697" i="64"/>
  <c r="AW697" i="64"/>
  <c r="AX697" i="64"/>
  <c r="AY697" i="64"/>
  <c r="AZ697" i="64"/>
  <c r="BA697" i="64"/>
  <c r="BB697" i="64"/>
  <c r="BC697" i="64"/>
  <c r="BD697" i="64"/>
  <c r="BE697" i="64"/>
  <c r="BF697" i="64"/>
  <c r="C698" i="64"/>
  <c r="D698" i="64"/>
  <c r="E698" i="64"/>
  <c r="F698" i="64"/>
  <c r="G698" i="64"/>
  <c r="H698" i="64"/>
  <c r="I698" i="64"/>
  <c r="J698" i="64"/>
  <c r="K698" i="64"/>
  <c r="L698" i="64"/>
  <c r="M698" i="64"/>
  <c r="N698" i="64"/>
  <c r="O698" i="64"/>
  <c r="P698" i="64"/>
  <c r="Q698" i="64"/>
  <c r="R698" i="64"/>
  <c r="S698" i="64"/>
  <c r="T698" i="64"/>
  <c r="U698" i="64"/>
  <c r="V698" i="64"/>
  <c r="W698" i="64"/>
  <c r="X698" i="64"/>
  <c r="Y698" i="64"/>
  <c r="Z698" i="64"/>
  <c r="AA698" i="64"/>
  <c r="AB698" i="64"/>
  <c r="AC698" i="64"/>
  <c r="AD698" i="64"/>
  <c r="AE698" i="64"/>
  <c r="AF698" i="64"/>
  <c r="AG698" i="64"/>
  <c r="AH698" i="64"/>
  <c r="AI698" i="64"/>
  <c r="AJ698" i="64"/>
  <c r="AK698" i="64"/>
  <c r="AL698" i="64"/>
  <c r="AM698" i="64"/>
  <c r="AN698" i="64"/>
  <c r="AO698" i="64"/>
  <c r="AP698" i="64"/>
  <c r="AQ698" i="64"/>
  <c r="AR698" i="64"/>
  <c r="AS698" i="64"/>
  <c r="AT698" i="64"/>
  <c r="AU698" i="64"/>
  <c r="AV698" i="64"/>
  <c r="AW698" i="64"/>
  <c r="AX698" i="64"/>
  <c r="AY698" i="64"/>
  <c r="AZ698" i="64"/>
  <c r="BA698" i="64"/>
  <c r="BB698" i="64"/>
  <c r="BC698" i="64"/>
  <c r="BD698" i="64"/>
  <c r="BE698" i="64"/>
  <c r="BF698" i="64"/>
  <c r="C699" i="64"/>
  <c r="D699" i="64"/>
  <c r="E699" i="64"/>
  <c r="F699" i="64"/>
  <c r="G699" i="64"/>
  <c r="H699" i="64"/>
  <c r="I699" i="64"/>
  <c r="J699" i="64"/>
  <c r="K699" i="64"/>
  <c r="L699" i="64"/>
  <c r="M699" i="64"/>
  <c r="N699" i="64"/>
  <c r="O699" i="64"/>
  <c r="P699" i="64"/>
  <c r="Q699" i="64"/>
  <c r="R699" i="64"/>
  <c r="S699" i="64"/>
  <c r="T699" i="64"/>
  <c r="U699" i="64"/>
  <c r="V699" i="64"/>
  <c r="W699" i="64"/>
  <c r="X699" i="64"/>
  <c r="Y699" i="64"/>
  <c r="Z699" i="64"/>
  <c r="AA699" i="64"/>
  <c r="AB699" i="64"/>
  <c r="AC699" i="64"/>
  <c r="AD699" i="64"/>
  <c r="AE699" i="64"/>
  <c r="AF699" i="64"/>
  <c r="AG699" i="64"/>
  <c r="AH699" i="64"/>
  <c r="AI699" i="64"/>
  <c r="AJ699" i="64"/>
  <c r="AK699" i="64"/>
  <c r="AL699" i="64"/>
  <c r="AM699" i="64"/>
  <c r="AN699" i="64"/>
  <c r="AO699" i="64"/>
  <c r="AP699" i="64"/>
  <c r="AQ699" i="64"/>
  <c r="AR699" i="64"/>
  <c r="AS699" i="64"/>
  <c r="AT699" i="64"/>
  <c r="AU699" i="64"/>
  <c r="AV699" i="64"/>
  <c r="AW699" i="64"/>
  <c r="AX699" i="64"/>
  <c r="AY699" i="64"/>
  <c r="AZ699" i="64"/>
  <c r="BA699" i="64"/>
  <c r="BB699" i="64"/>
  <c r="BC699" i="64"/>
  <c r="BD699" i="64"/>
  <c r="BE699" i="64"/>
  <c r="BF699" i="64"/>
  <c r="C700" i="64"/>
  <c r="D700" i="64"/>
  <c r="E700" i="64"/>
  <c r="F700" i="64"/>
  <c r="G700" i="64"/>
  <c r="H700" i="64"/>
  <c r="I700" i="64"/>
  <c r="J700" i="64"/>
  <c r="K700" i="64"/>
  <c r="L700" i="64"/>
  <c r="M700" i="64"/>
  <c r="N700" i="64"/>
  <c r="O700" i="64"/>
  <c r="P700" i="64"/>
  <c r="Q700" i="64"/>
  <c r="R700" i="64"/>
  <c r="S700" i="64"/>
  <c r="T700" i="64"/>
  <c r="U700" i="64"/>
  <c r="V700" i="64"/>
  <c r="W700" i="64"/>
  <c r="X700" i="64"/>
  <c r="Y700" i="64"/>
  <c r="Z700" i="64"/>
  <c r="AA700" i="64"/>
  <c r="AB700" i="64"/>
  <c r="AC700" i="64"/>
  <c r="AD700" i="64"/>
  <c r="AE700" i="64"/>
  <c r="AF700" i="64"/>
  <c r="AG700" i="64"/>
  <c r="AH700" i="64"/>
  <c r="AI700" i="64"/>
  <c r="AJ700" i="64"/>
  <c r="AK700" i="64"/>
  <c r="AL700" i="64"/>
  <c r="AM700" i="64"/>
  <c r="AN700" i="64"/>
  <c r="AO700" i="64"/>
  <c r="AP700" i="64"/>
  <c r="AQ700" i="64"/>
  <c r="AR700" i="64"/>
  <c r="AS700" i="64"/>
  <c r="AT700" i="64"/>
  <c r="AU700" i="64"/>
  <c r="AV700" i="64"/>
  <c r="AW700" i="64"/>
  <c r="AX700" i="64"/>
  <c r="AY700" i="64"/>
  <c r="AZ700" i="64"/>
  <c r="BA700" i="64"/>
  <c r="BB700" i="64"/>
  <c r="BC700" i="64"/>
  <c r="BD700" i="64"/>
  <c r="BE700" i="64"/>
  <c r="BF700" i="64"/>
  <c r="C701" i="64"/>
  <c r="D701" i="64"/>
  <c r="E701" i="64"/>
  <c r="F701" i="64"/>
  <c r="G701" i="64"/>
  <c r="H701" i="64"/>
  <c r="I701" i="64"/>
  <c r="J701" i="64"/>
  <c r="K701" i="64"/>
  <c r="L701" i="64"/>
  <c r="M701" i="64"/>
  <c r="N701" i="64"/>
  <c r="O701" i="64"/>
  <c r="P701" i="64"/>
  <c r="Q701" i="64"/>
  <c r="R701" i="64"/>
  <c r="S701" i="64"/>
  <c r="T701" i="64"/>
  <c r="U701" i="64"/>
  <c r="V701" i="64"/>
  <c r="W701" i="64"/>
  <c r="X701" i="64"/>
  <c r="Y701" i="64"/>
  <c r="Z701" i="64"/>
  <c r="AA701" i="64"/>
  <c r="AB701" i="64"/>
  <c r="AC701" i="64"/>
  <c r="AD701" i="64"/>
  <c r="AE701" i="64"/>
  <c r="AF701" i="64"/>
  <c r="AG701" i="64"/>
  <c r="AH701" i="64"/>
  <c r="AI701" i="64"/>
  <c r="AJ701" i="64"/>
  <c r="AK701" i="64"/>
  <c r="AL701" i="64"/>
  <c r="AM701" i="64"/>
  <c r="AN701" i="64"/>
  <c r="AO701" i="64"/>
  <c r="AP701" i="64"/>
  <c r="AQ701" i="64"/>
  <c r="AR701" i="64"/>
  <c r="AS701" i="64"/>
  <c r="AT701" i="64"/>
  <c r="AU701" i="64"/>
  <c r="AV701" i="64"/>
  <c r="AW701" i="64"/>
  <c r="AX701" i="64"/>
  <c r="AY701" i="64"/>
  <c r="AZ701" i="64"/>
  <c r="BA701" i="64"/>
  <c r="BB701" i="64"/>
  <c r="BC701" i="64"/>
  <c r="BD701" i="64"/>
  <c r="BE701" i="64"/>
  <c r="BF701" i="64"/>
  <c r="C702" i="64"/>
  <c r="D702" i="64"/>
  <c r="E702" i="64"/>
  <c r="F702" i="64"/>
  <c r="G702" i="64"/>
  <c r="H702" i="64"/>
  <c r="I702" i="64"/>
  <c r="J702" i="64"/>
  <c r="K702" i="64"/>
  <c r="L702" i="64"/>
  <c r="M702" i="64"/>
  <c r="N702" i="64"/>
  <c r="O702" i="64"/>
  <c r="P702" i="64"/>
  <c r="Q702" i="64"/>
  <c r="R702" i="64"/>
  <c r="S702" i="64"/>
  <c r="T702" i="64"/>
  <c r="U702" i="64"/>
  <c r="V702" i="64"/>
  <c r="W702" i="64"/>
  <c r="X702" i="64"/>
  <c r="Y702" i="64"/>
  <c r="Z702" i="64"/>
  <c r="AA702" i="64"/>
  <c r="AB702" i="64"/>
  <c r="AC702" i="64"/>
  <c r="AD702" i="64"/>
  <c r="AE702" i="64"/>
  <c r="AF702" i="64"/>
  <c r="AG702" i="64"/>
  <c r="AH702" i="64"/>
  <c r="AI702" i="64"/>
  <c r="AJ702" i="64"/>
  <c r="AK702" i="64"/>
  <c r="AL702" i="64"/>
  <c r="AM702" i="64"/>
  <c r="AN702" i="64"/>
  <c r="AO702" i="64"/>
  <c r="AP702" i="64"/>
  <c r="AQ702" i="64"/>
  <c r="AR702" i="64"/>
  <c r="AS702" i="64"/>
  <c r="AT702" i="64"/>
  <c r="AU702" i="64"/>
  <c r="AV702" i="64"/>
  <c r="AW702" i="64"/>
  <c r="AX702" i="64"/>
  <c r="AY702" i="64"/>
  <c r="AZ702" i="64"/>
  <c r="BA702" i="64"/>
  <c r="BB702" i="64"/>
  <c r="BC702" i="64"/>
  <c r="BD702" i="64"/>
  <c r="BE702" i="64"/>
  <c r="BF702" i="64"/>
  <c r="C703" i="64"/>
  <c r="D703" i="64"/>
  <c r="E703" i="64"/>
  <c r="F703" i="64"/>
  <c r="G703" i="64"/>
  <c r="H703" i="64"/>
  <c r="I703" i="64"/>
  <c r="J703" i="64"/>
  <c r="K703" i="64"/>
  <c r="L703" i="64"/>
  <c r="M703" i="64"/>
  <c r="N703" i="64"/>
  <c r="O703" i="64"/>
  <c r="P703" i="64"/>
  <c r="Q703" i="64"/>
  <c r="R703" i="64"/>
  <c r="S703" i="64"/>
  <c r="T703" i="64"/>
  <c r="U703" i="64"/>
  <c r="V703" i="64"/>
  <c r="W703" i="64"/>
  <c r="X703" i="64"/>
  <c r="Y703" i="64"/>
  <c r="Z703" i="64"/>
  <c r="AA703" i="64"/>
  <c r="AB703" i="64"/>
  <c r="AC703" i="64"/>
  <c r="AD703" i="64"/>
  <c r="AE703" i="64"/>
  <c r="AF703" i="64"/>
  <c r="AG703" i="64"/>
  <c r="AH703" i="64"/>
  <c r="AI703" i="64"/>
  <c r="AJ703" i="64"/>
  <c r="AK703" i="64"/>
  <c r="AL703" i="64"/>
  <c r="AM703" i="64"/>
  <c r="AN703" i="64"/>
  <c r="AO703" i="64"/>
  <c r="AP703" i="64"/>
  <c r="AQ703" i="64"/>
  <c r="AR703" i="64"/>
  <c r="AS703" i="64"/>
  <c r="AT703" i="64"/>
  <c r="AU703" i="64"/>
  <c r="AV703" i="64"/>
  <c r="AW703" i="64"/>
  <c r="AX703" i="64"/>
  <c r="AY703" i="64"/>
  <c r="AZ703" i="64"/>
  <c r="BA703" i="64"/>
  <c r="BB703" i="64"/>
  <c r="BC703" i="64"/>
  <c r="BD703" i="64"/>
  <c r="BE703" i="64"/>
  <c r="BF703" i="64"/>
  <c r="C704" i="64"/>
  <c r="D704" i="64"/>
  <c r="E704" i="64"/>
  <c r="F704" i="64"/>
  <c r="G704" i="64"/>
  <c r="H704" i="64"/>
  <c r="I704" i="64"/>
  <c r="J704" i="64"/>
  <c r="K704" i="64"/>
  <c r="L704" i="64"/>
  <c r="M704" i="64"/>
  <c r="N704" i="64"/>
  <c r="O704" i="64"/>
  <c r="P704" i="64"/>
  <c r="Q704" i="64"/>
  <c r="R704" i="64"/>
  <c r="S704" i="64"/>
  <c r="T704" i="64"/>
  <c r="U704" i="64"/>
  <c r="V704" i="64"/>
  <c r="W704" i="64"/>
  <c r="X704" i="64"/>
  <c r="Y704" i="64"/>
  <c r="Z704" i="64"/>
  <c r="AA704" i="64"/>
  <c r="AB704" i="64"/>
  <c r="AC704" i="64"/>
  <c r="AD704" i="64"/>
  <c r="AE704" i="64"/>
  <c r="AF704" i="64"/>
  <c r="AG704" i="64"/>
  <c r="AH704" i="64"/>
  <c r="AI704" i="64"/>
  <c r="AJ704" i="64"/>
  <c r="AK704" i="64"/>
  <c r="AL704" i="64"/>
  <c r="AM704" i="64"/>
  <c r="AN704" i="64"/>
  <c r="AO704" i="64"/>
  <c r="AP704" i="64"/>
  <c r="AQ704" i="64"/>
  <c r="AR704" i="64"/>
  <c r="AS704" i="64"/>
  <c r="AT704" i="64"/>
  <c r="AU704" i="64"/>
  <c r="AV704" i="64"/>
  <c r="AW704" i="64"/>
  <c r="AX704" i="64"/>
  <c r="AY704" i="64"/>
  <c r="AZ704" i="64"/>
  <c r="BA704" i="64"/>
  <c r="BB704" i="64"/>
  <c r="BC704" i="64"/>
  <c r="BD704" i="64"/>
  <c r="BE704" i="64"/>
  <c r="BF704" i="64"/>
  <c r="C705" i="64"/>
  <c r="D705" i="64"/>
  <c r="E705" i="64"/>
  <c r="F705" i="64"/>
  <c r="G705" i="64"/>
  <c r="H705" i="64"/>
  <c r="I705" i="64"/>
  <c r="J705" i="64"/>
  <c r="K705" i="64"/>
  <c r="L705" i="64"/>
  <c r="M705" i="64"/>
  <c r="N705" i="64"/>
  <c r="O705" i="64"/>
  <c r="P705" i="64"/>
  <c r="Q705" i="64"/>
  <c r="R705" i="64"/>
  <c r="S705" i="64"/>
  <c r="T705" i="64"/>
  <c r="U705" i="64"/>
  <c r="V705" i="64"/>
  <c r="W705" i="64"/>
  <c r="X705" i="64"/>
  <c r="Y705" i="64"/>
  <c r="Z705" i="64"/>
  <c r="AA705" i="64"/>
  <c r="AB705" i="64"/>
  <c r="AC705" i="64"/>
  <c r="AD705" i="64"/>
  <c r="AE705" i="64"/>
  <c r="AF705" i="64"/>
  <c r="AG705" i="64"/>
  <c r="AH705" i="64"/>
  <c r="AI705" i="64"/>
  <c r="AJ705" i="64"/>
  <c r="AK705" i="64"/>
  <c r="AL705" i="64"/>
  <c r="AM705" i="64"/>
  <c r="AN705" i="64"/>
  <c r="AO705" i="64"/>
  <c r="AP705" i="64"/>
  <c r="AQ705" i="64"/>
  <c r="AR705" i="64"/>
  <c r="AS705" i="64"/>
  <c r="AT705" i="64"/>
  <c r="AU705" i="64"/>
  <c r="AV705" i="64"/>
  <c r="AW705" i="64"/>
  <c r="AX705" i="64"/>
  <c r="AY705" i="64"/>
  <c r="AZ705" i="64"/>
  <c r="BA705" i="64"/>
  <c r="BB705" i="64"/>
  <c r="BC705" i="64"/>
  <c r="BD705" i="64"/>
  <c r="BE705" i="64"/>
  <c r="BF705" i="64"/>
  <c r="C706" i="64"/>
  <c r="D706" i="64"/>
  <c r="E706" i="64"/>
  <c r="F706" i="64"/>
  <c r="G706" i="64"/>
  <c r="H706" i="64"/>
  <c r="I706" i="64"/>
  <c r="J706" i="64"/>
  <c r="K706" i="64"/>
  <c r="L706" i="64"/>
  <c r="M706" i="64"/>
  <c r="N706" i="64"/>
  <c r="O706" i="64"/>
  <c r="P706" i="64"/>
  <c r="Q706" i="64"/>
  <c r="R706" i="64"/>
  <c r="S706" i="64"/>
  <c r="T706" i="64"/>
  <c r="U706" i="64"/>
  <c r="V706" i="64"/>
  <c r="W706" i="64"/>
  <c r="X706" i="64"/>
  <c r="Y706" i="64"/>
  <c r="Z706" i="64"/>
  <c r="AA706" i="64"/>
  <c r="AB706" i="64"/>
  <c r="AC706" i="64"/>
  <c r="AD706" i="64"/>
  <c r="AE706" i="64"/>
  <c r="AF706" i="64"/>
  <c r="AG706" i="64"/>
  <c r="AH706" i="64"/>
  <c r="AI706" i="64"/>
  <c r="AJ706" i="64"/>
  <c r="AK706" i="64"/>
  <c r="AL706" i="64"/>
  <c r="AM706" i="64"/>
  <c r="AN706" i="64"/>
  <c r="AO706" i="64"/>
  <c r="AP706" i="64"/>
  <c r="AQ706" i="64"/>
  <c r="AR706" i="64"/>
  <c r="AS706" i="64"/>
  <c r="AT706" i="64"/>
  <c r="AU706" i="64"/>
  <c r="AV706" i="64"/>
  <c r="AW706" i="64"/>
  <c r="AX706" i="64"/>
  <c r="AY706" i="64"/>
  <c r="AZ706" i="64"/>
  <c r="BA706" i="64"/>
  <c r="BB706" i="64"/>
  <c r="BC706" i="64"/>
  <c r="BD706" i="64"/>
  <c r="BE706" i="64"/>
  <c r="BF706" i="64"/>
  <c r="C707" i="64"/>
  <c r="D707" i="64"/>
  <c r="E707" i="64"/>
  <c r="F707" i="64"/>
  <c r="G707" i="64"/>
  <c r="H707" i="64"/>
  <c r="I707" i="64"/>
  <c r="J707" i="64"/>
  <c r="K707" i="64"/>
  <c r="L707" i="64"/>
  <c r="M707" i="64"/>
  <c r="N707" i="64"/>
  <c r="O707" i="64"/>
  <c r="P707" i="64"/>
  <c r="Q707" i="64"/>
  <c r="R707" i="64"/>
  <c r="S707" i="64"/>
  <c r="T707" i="64"/>
  <c r="U707" i="64"/>
  <c r="V707" i="64"/>
  <c r="W707" i="64"/>
  <c r="X707" i="64"/>
  <c r="Y707" i="64"/>
  <c r="Z707" i="64"/>
  <c r="AA707" i="64"/>
  <c r="AB707" i="64"/>
  <c r="AC707" i="64"/>
  <c r="AD707" i="64"/>
  <c r="AE707" i="64"/>
  <c r="AF707" i="64"/>
  <c r="AG707" i="64"/>
  <c r="AH707" i="64"/>
  <c r="AI707" i="64"/>
  <c r="AJ707" i="64"/>
  <c r="AK707" i="64"/>
  <c r="AL707" i="64"/>
  <c r="AM707" i="64"/>
  <c r="AN707" i="64"/>
  <c r="AO707" i="64"/>
  <c r="AP707" i="64"/>
  <c r="AQ707" i="64"/>
  <c r="AR707" i="64"/>
  <c r="AS707" i="64"/>
  <c r="AT707" i="64"/>
  <c r="AU707" i="64"/>
  <c r="AV707" i="64"/>
  <c r="AW707" i="64"/>
  <c r="AX707" i="64"/>
  <c r="AY707" i="64"/>
  <c r="AZ707" i="64"/>
  <c r="BA707" i="64"/>
  <c r="BB707" i="64"/>
  <c r="BC707" i="64"/>
  <c r="BD707" i="64"/>
  <c r="BE707" i="64"/>
  <c r="BF707" i="64"/>
  <c r="C708" i="64"/>
  <c r="D708" i="64"/>
  <c r="E708" i="64"/>
  <c r="F708" i="64"/>
  <c r="G708" i="64"/>
  <c r="H708" i="64"/>
  <c r="I708" i="64"/>
  <c r="J708" i="64"/>
  <c r="K708" i="64"/>
  <c r="L708" i="64"/>
  <c r="M708" i="64"/>
  <c r="N708" i="64"/>
  <c r="O708" i="64"/>
  <c r="P708" i="64"/>
  <c r="Q708" i="64"/>
  <c r="R708" i="64"/>
  <c r="S708" i="64"/>
  <c r="T708" i="64"/>
  <c r="U708" i="64"/>
  <c r="V708" i="64"/>
  <c r="W708" i="64"/>
  <c r="X708" i="64"/>
  <c r="Y708" i="64"/>
  <c r="Z708" i="64"/>
  <c r="AA708" i="64"/>
  <c r="AB708" i="64"/>
  <c r="AC708" i="64"/>
  <c r="AD708" i="64"/>
  <c r="AE708" i="64"/>
  <c r="AF708" i="64"/>
  <c r="AG708" i="64"/>
  <c r="AH708" i="64"/>
  <c r="AI708" i="64"/>
  <c r="AJ708" i="64"/>
  <c r="AK708" i="64"/>
  <c r="AL708" i="64"/>
  <c r="AM708" i="64"/>
  <c r="AN708" i="64"/>
  <c r="AO708" i="64"/>
  <c r="AP708" i="64"/>
  <c r="AQ708" i="64"/>
  <c r="AR708" i="64"/>
  <c r="AS708" i="64"/>
  <c r="AT708" i="64"/>
  <c r="AU708" i="64"/>
  <c r="AV708" i="64"/>
  <c r="AW708" i="64"/>
  <c r="AX708" i="64"/>
  <c r="AY708" i="64"/>
  <c r="AZ708" i="64"/>
  <c r="BA708" i="64"/>
  <c r="BB708" i="64"/>
  <c r="BC708" i="64"/>
  <c r="BD708" i="64"/>
  <c r="BE708" i="64"/>
  <c r="BF708" i="64"/>
  <c r="C709" i="64"/>
  <c r="D709" i="64"/>
  <c r="E709" i="64"/>
  <c r="F709" i="64"/>
  <c r="G709" i="64"/>
  <c r="H709" i="64"/>
  <c r="I709" i="64"/>
  <c r="J709" i="64"/>
  <c r="K709" i="64"/>
  <c r="L709" i="64"/>
  <c r="M709" i="64"/>
  <c r="N709" i="64"/>
  <c r="O709" i="64"/>
  <c r="P709" i="64"/>
  <c r="Q709" i="64"/>
  <c r="R709" i="64"/>
  <c r="S709" i="64"/>
  <c r="T709" i="64"/>
  <c r="U709" i="64"/>
  <c r="V709" i="64"/>
  <c r="W709" i="64"/>
  <c r="X709" i="64"/>
  <c r="Y709" i="64"/>
  <c r="Z709" i="64"/>
  <c r="AA709" i="64"/>
  <c r="AB709" i="64"/>
  <c r="AC709" i="64"/>
  <c r="AD709" i="64"/>
  <c r="AE709" i="64"/>
  <c r="AF709" i="64"/>
  <c r="AG709" i="64"/>
  <c r="AH709" i="64"/>
  <c r="AI709" i="64"/>
  <c r="AJ709" i="64"/>
  <c r="AK709" i="64"/>
  <c r="AL709" i="64"/>
  <c r="AM709" i="64"/>
  <c r="AN709" i="64"/>
  <c r="AO709" i="64"/>
  <c r="AP709" i="64"/>
  <c r="AQ709" i="64"/>
  <c r="AR709" i="64"/>
  <c r="AS709" i="64"/>
  <c r="AT709" i="64"/>
  <c r="AU709" i="64"/>
  <c r="AV709" i="64"/>
  <c r="AW709" i="64"/>
  <c r="AX709" i="64"/>
  <c r="AY709" i="64"/>
  <c r="AZ709" i="64"/>
  <c r="BA709" i="64"/>
  <c r="BB709" i="64"/>
  <c r="BC709" i="64"/>
  <c r="BD709" i="64"/>
  <c r="BE709" i="64"/>
  <c r="BF709" i="64"/>
  <c r="C710" i="64"/>
  <c r="D710" i="64"/>
  <c r="E710" i="64"/>
  <c r="F710" i="64"/>
  <c r="G710" i="64"/>
  <c r="H710" i="64"/>
  <c r="I710" i="64"/>
  <c r="J710" i="64"/>
  <c r="K710" i="64"/>
  <c r="L710" i="64"/>
  <c r="M710" i="64"/>
  <c r="N710" i="64"/>
  <c r="O710" i="64"/>
  <c r="P710" i="64"/>
  <c r="Q710" i="64"/>
  <c r="R710" i="64"/>
  <c r="S710" i="64"/>
  <c r="T710" i="64"/>
  <c r="U710" i="64"/>
  <c r="V710" i="64"/>
  <c r="W710" i="64"/>
  <c r="X710" i="64"/>
  <c r="Y710" i="64"/>
  <c r="Z710" i="64"/>
  <c r="AA710" i="64"/>
  <c r="AB710" i="64"/>
  <c r="AC710" i="64"/>
  <c r="AD710" i="64"/>
  <c r="AE710" i="64"/>
  <c r="AF710" i="64"/>
  <c r="AG710" i="64"/>
  <c r="AH710" i="64"/>
  <c r="AI710" i="64"/>
  <c r="AJ710" i="64"/>
  <c r="AK710" i="64"/>
  <c r="AL710" i="64"/>
  <c r="AM710" i="64"/>
  <c r="AN710" i="64"/>
  <c r="AO710" i="64"/>
  <c r="AP710" i="64"/>
  <c r="AQ710" i="64"/>
  <c r="AR710" i="64"/>
  <c r="AS710" i="64"/>
  <c r="AT710" i="64"/>
  <c r="AU710" i="64"/>
  <c r="AV710" i="64"/>
  <c r="AW710" i="64"/>
  <c r="AX710" i="64"/>
  <c r="AY710" i="64"/>
  <c r="AZ710" i="64"/>
  <c r="BA710" i="64"/>
  <c r="BB710" i="64"/>
  <c r="BC710" i="64"/>
  <c r="BD710" i="64"/>
  <c r="BE710" i="64"/>
  <c r="BF710" i="64"/>
  <c r="C711" i="64"/>
  <c r="D711" i="64"/>
  <c r="E711" i="64"/>
  <c r="F711" i="64"/>
  <c r="G711" i="64"/>
  <c r="H711" i="64"/>
  <c r="I711" i="64"/>
  <c r="J711" i="64"/>
  <c r="K711" i="64"/>
  <c r="L711" i="64"/>
  <c r="M711" i="64"/>
  <c r="N711" i="64"/>
  <c r="O711" i="64"/>
  <c r="P711" i="64"/>
  <c r="Q711" i="64"/>
  <c r="R711" i="64"/>
  <c r="S711" i="64"/>
  <c r="T711" i="64"/>
  <c r="U711" i="64"/>
  <c r="V711" i="64"/>
  <c r="W711" i="64"/>
  <c r="X711" i="64"/>
  <c r="Y711" i="64"/>
  <c r="Z711" i="64"/>
  <c r="AA711" i="64"/>
  <c r="AB711" i="64"/>
  <c r="AC711" i="64"/>
  <c r="AD711" i="64"/>
  <c r="AE711" i="64"/>
  <c r="AF711" i="64"/>
  <c r="AG711" i="64"/>
  <c r="AH711" i="64"/>
  <c r="AI711" i="64"/>
  <c r="AJ711" i="64"/>
  <c r="AK711" i="64"/>
  <c r="AL711" i="64"/>
  <c r="AM711" i="64"/>
  <c r="AN711" i="64"/>
  <c r="AO711" i="64"/>
  <c r="AP711" i="64"/>
  <c r="AQ711" i="64"/>
  <c r="AR711" i="64"/>
  <c r="AS711" i="64"/>
  <c r="AT711" i="64"/>
  <c r="AU711" i="64"/>
  <c r="AV711" i="64"/>
  <c r="AW711" i="64"/>
  <c r="AX711" i="64"/>
  <c r="AY711" i="64"/>
  <c r="AZ711" i="64"/>
  <c r="BA711" i="64"/>
  <c r="BB711" i="64"/>
  <c r="BC711" i="64"/>
  <c r="BD711" i="64"/>
  <c r="BE711" i="64"/>
  <c r="BF711" i="64"/>
  <c r="BG719" i="64"/>
  <c r="C788" i="64"/>
  <c r="G788" i="64"/>
  <c r="K788" i="64"/>
  <c r="O788" i="64"/>
  <c r="S788" i="64"/>
  <c r="W788" i="64"/>
  <c r="AA788" i="64"/>
  <c r="AE788" i="64"/>
  <c r="AI788" i="64"/>
  <c r="AM788" i="64"/>
  <c r="AQ788" i="64"/>
  <c r="AU788" i="64"/>
  <c r="AY788" i="64"/>
  <c r="BC788" i="64"/>
  <c r="C822" i="64"/>
  <c r="D822" i="64"/>
  <c r="E822" i="64"/>
  <c r="F822" i="64"/>
  <c r="G822" i="64"/>
  <c r="H822" i="64"/>
  <c r="I822" i="64"/>
  <c r="J822" i="64"/>
  <c r="K822" i="64"/>
  <c r="L822" i="64"/>
  <c r="M822" i="64"/>
  <c r="N822" i="64"/>
  <c r="O822" i="64"/>
  <c r="P822" i="64"/>
  <c r="Q822" i="64"/>
  <c r="R822" i="64"/>
  <c r="S822" i="64"/>
  <c r="T822" i="64"/>
  <c r="U822" i="64"/>
  <c r="V822" i="64"/>
  <c r="W822" i="64"/>
  <c r="X822" i="64"/>
  <c r="Y822" i="64"/>
  <c r="Z822" i="64"/>
  <c r="AA822" i="64"/>
  <c r="AB822" i="64"/>
  <c r="AC822" i="64"/>
  <c r="AD822" i="64"/>
  <c r="AE822" i="64"/>
  <c r="AF822" i="64"/>
  <c r="AG822" i="64"/>
  <c r="AH822" i="64"/>
  <c r="AI822" i="64"/>
  <c r="AJ822" i="64"/>
  <c r="AK822" i="64"/>
  <c r="AL822" i="64"/>
  <c r="AM822" i="64"/>
  <c r="AN822" i="64"/>
  <c r="AO822" i="64"/>
  <c r="AP822" i="64"/>
  <c r="AQ822" i="64"/>
  <c r="AR822" i="64"/>
  <c r="AS822" i="64"/>
  <c r="AT822" i="64"/>
  <c r="AU822" i="64"/>
  <c r="AV822" i="64"/>
  <c r="AW822" i="64"/>
  <c r="AX822" i="64"/>
  <c r="AY822" i="64"/>
  <c r="AZ822" i="64"/>
  <c r="BA822" i="64"/>
  <c r="BB822" i="64"/>
  <c r="BC822" i="64"/>
  <c r="BD822" i="64"/>
  <c r="BE822" i="64"/>
  <c r="BF822" i="64"/>
  <c r="F59" i="105" s="1"/>
  <c r="C856" i="64"/>
  <c r="E856" i="64"/>
  <c r="G856" i="64"/>
  <c r="I856" i="64"/>
  <c r="K856" i="64"/>
  <c r="M856" i="64"/>
  <c r="O856" i="64"/>
  <c r="Q856" i="64"/>
  <c r="S856" i="64"/>
  <c r="U856" i="64"/>
  <c r="W856" i="64"/>
  <c r="Y856" i="64"/>
  <c r="AA856" i="64"/>
  <c r="AC856" i="64"/>
  <c r="AE856" i="64"/>
  <c r="AG856" i="64"/>
  <c r="AI856" i="64"/>
  <c r="AK856" i="64"/>
  <c r="AM856" i="64"/>
  <c r="AO856" i="64"/>
  <c r="AQ856" i="64"/>
  <c r="AS856" i="64"/>
  <c r="AU856" i="64"/>
  <c r="AW856" i="64"/>
  <c r="AY856" i="64"/>
  <c r="BA856" i="64"/>
  <c r="BC856" i="64"/>
  <c r="BE856" i="64"/>
  <c r="C890" i="64"/>
  <c r="C358" i="64" s="1"/>
  <c r="E890" i="64"/>
  <c r="E358" i="64" s="1"/>
  <c r="G890" i="64"/>
  <c r="G358" i="64" s="1"/>
  <c r="I890" i="64"/>
  <c r="I358" i="64" s="1"/>
  <c r="K890" i="64"/>
  <c r="K358" i="64" s="1"/>
  <c r="M890" i="64"/>
  <c r="M358" i="64" s="1"/>
  <c r="O890" i="64"/>
  <c r="O358" i="64" s="1"/>
  <c r="Q890" i="64"/>
  <c r="Q358" i="64" s="1"/>
  <c r="S890" i="64"/>
  <c r="S358" i="64" s="1"/>
  <c r="U890" i="64"/>
  <c r="U358" i="64" s="1"/>
  <c r="W890" i="64"/>
  <c r="W358" i="64" s="1"/>
  <c r="Y890" i="64"/>
  <c r="Y358" i="64" s="1"/>
  <c r="AA890" i="64"/>
  <c r="AA358" i="64" s="1"/>
  <c r="AC890" i="64"/>
  <c r="AC358" i="64" s="1"/>
  <c r="AE890" i="64"/>
  <c r="AE358" i="64" s="1"/>
  <c r="AG890" i="64"/>
  <c r="AG358" i="64" s="1"/>
  <c r="AI890" i="64"/>
  <c r="AI358" i="64" s="1"/>
  <c r="AK890" i="64"/>
  <c r="AK358" i="64" s="1"/>
  <c r="AM890" i="64"/>
  <c r="AM358" i="64" s="1"/>
  <c r="AO890" i="64"/>
  <c r="AO358" i="64" s="1"/>
  <c r="AQ890" i="64"/>
  <c r="AQ358" i="64" s="1"/>
  <c r="AS890" i="64"/>
  <c r="AS358" i="64" s="1"/>
  <c r="AU890" i="64"/>
  <c r="AU358" i="64" s="1"/>
  <c r="AW890" i="64"/>
  <c r="AW358" i="64" s="1"/>
  <c r="AY890" i="64"/>
  <c r="AY358" i="64" s="1"/>
  <c r="BA890" i="64"/>
  <c r="BA358" i="64" s="1"/>
  <c r="BC890" i="64"/>
  <c r="BC358" i="64" s="1"/>
  <c r="BE890" i="64"/>
  <c r="BE358" i="64" s="1"/>
  <c r="J113" i="126"/>
  <c r="F113" i="126"/>
  <c r="C138" i="126" s="1"/>
  <c r="M112" i="126"/>
  <c r="I112" i="126"/>
  <c r="K112" i="126" s="1"/>
  <c r="M111" i="126"/>
  <c r="K109" i="126"/>
  <c r="D109" i="126"/>
  <c r="M109" i="126" s="1"/>
  <c r="K108" i="126"/>
  <c r="D108" i="126"/>
  <c r="M108" i="126" s="1"/>
  <c r="M107" i="126"/>
  <c r="I107" i="126"/>
  <c r="J106" i="126"/>
  <c r="F106" i="126"/>
  <c r="C137" i="126" s="1"/>
  <c r="D106" i="126"/>
  <c r="M105" i="126"/>
  <c r="K105" i="126"/>
  <c r="K104" i="126"/>
  <c r="D104" i="126"/>
  <c r="M104" i="126" s="1"/>
  <c r="K103" i="126"/>
  <c r="D103" i="126"/>
  <c r="M103" i="126" s="1"/>
  <c r="K102" i="126"/>
  <c r="K101" i="126"/>
  <c r="D101" i="126"/>
  <c r="M101" i="126" s="1"/>
  <c r="M100" i="126"/>
  <c r="I100" i="126"/>
  <c r="I106" i="126" s="1"/>
  <c r="F137" i="126" s="1"/>
  <c r="J99" i="126"/>
  <c r="F99" i="126"/>
  <c r="C136" i="126" s="1"/>
  <c r="D99" i="126"/>
  <c r="K98" i="126"/>
  <c r="D98" i="126"/>
  <c r="M98" i="126" s="1"/>
  <c r="M97" i="126"/>
  <c r="I97" i="126"/>
  <c r="I99" i="126" s="1"/>
  <c r="F136" i="126" s="1"/>
  <c r="K96" i="126"/>
  <c r="D96" i="126"/>
  <c r="M96" i="126" s="1"/>
  <c r="K95" i="126"/>
  <c r="D95" i="126"/>
  <c r="M95" i="126" s="1"/>
  <c r="K94" i="126"/>
  <c r="D94" i="126"/>
  <c r="M94" i="126" s="1"/>
  <c r="K93" i="126"/>
  <c r="D93" i="126"/>
  <c r="M93" i="126" s="1"/>
  <c r="J92" i="126"/>
  <c r="F92" i="126"/>
  <c r="C135" i="126" s="1"/>
  <c r="D92" i="126"/>
  <c r="I91" i="126"/>
  <c r="K91" i="126" s="1"/>
  <c r="K90" i="126"/>
  <c r="D90" i="126"/>
  <c r="M90" i="126" s="1"/>
  <c r="K89" i="126"/>
  <c r="E89" i="126"/>
  <c r="M89" i="126" s="1"/>
  <c r="K88" i="126"/>
  <c r="D88" i="126"/>
  <c r="M88" i="126" s="1"/>
  <c r="K87" i="126"/>
  <c r="D87" i="126"/>
  <c r="M87" i="126" s="1"/>
  <c r="K86" i="126"/>
  <c r="D86" i="126"/>
  <c r="M86" i="126" s="1"/>
  <c r="M85" i="126"/>
  <c r="I85" i="126"/>
  <c r="M84" i="126"/>
  <c r="K83" i="126"/>
  <c r="D83" i="126"/>
  <c r="M83" i="126" s="1"/>
  <c r="J82" i="126"/>
  <c r="F82" i="126"/>
  <c r="C134" i="126" s="1"/>
  <c r="D82" i="126"/>
  <c r="I81" i="126"/>
  <c r="I82" i="126" s="1"/>
  <c r="F134" i="126" s="1"/>
  <c r="M80" i="126"/>
  <c r="M79" i="126"/>
  <c r="M78" i="126"/>
  <c r="M77" i="126"/>
  <c r="M76" i="126"/>
  <c r="M75" i="126"/>
  <c r="K73" i="126"/>
  <c r="D73" i="126"/>
  <c r="M73" i="126" s="1"/>
  <c r="K72" i="126"/>
  <c r="D72" i="126"/>
  <c r="M72" i="126" s="1"/>
  <c r="K71" i="126"/>
  <c r="D71" i="126"/>
  <c r="M71" i="126" s="1"/>
  <c r="K70" i="126"/>
  <c r="D70" i="126"/>
  <c r="M70" i="126" s="1"/>
  <c r="M82" i="126" s="1"/>
  <c r="J69" i="126"/>
  <c r="F69" i="126"/>
  <c r="C133" i="126" s="1"/>
  <c r="M68" i="126"/>
  <c r="I68" i="126"/>
  <c r="I69" i="126" s="1"/>
  <c r="F133" i="126" s="1"/>
  <c r="M67" i="126"/>
  <c r="M66" i="126"/>
  <c r="K65" i="126"/>
  <c r="D65" i="126"/>
  <c r="M65" i="126" s="1"/>
  <c r="K64" i="126"/>
  <c r="D64" i="126"/>
  <c r="M64" i="126" s="1"/>
  <c r="M63" i="126"/>
  <c r="K63" i="126"/>
  <c r="D63" i="126"/>
  <c r="K62" i="126"/>
  <c r="D62" i="126"/>
  <c r="M62" i="126" s="1"/>
  <c r="K61" i="126"/>
  <c r="D61" i="126"/>
  <c r="M61" i="126" s="1"/>
  <c r="K60" i="126"/>
  <c r="D60" i="126"/>
  <c r="M60" i="126" s="1"/>
  <c r="J59" i="126"/>
  <c r="I59" i="126"/>
  <c r="F59" i="126"/>
  <c r="C132" i="126" s="1"/>
  <c r="D59" i="126"/>
  <c r="K58" i="126"/>
  <c r="D58" i="126"/>
  <c r="M58" i="126" s="1"/>
  <c r="K57" i="126"/>
  <c r="D57" i="126"/>
  <c r="M57" i="126" s="1"/>
  <c r="K56" i="126"/>
  <c r="D56" i="126"/>
  <c r="M56" i="126" s="1"/>
  <c r="J55" i="126"/>
  <c r="I55" i="126"/>
  <c r="F131" i="126" s="1"/>
  <c r="F55" i="126"/>
  <c r="C131" i="126" s="1"/>
  <c r="D55" i="126"/>
  <c r="M54" i="126"/>
  <c r="K54" i="126"/>
  <c r="K53" i="126"/>
  <c r="D53" i="126"/>
  <c r="M53" i="126" s="1"/>
  <c r="K52" i="126"/>
  <c r="D52" i="126"/>
  <c r="M52" i="126" s="1"/>
  <c r="K51" i="126"/>
  <c r="D51" i="126"/>
  <c r="M51" i="126" s="1"/>
  <c r="K50" i="126"/>
  <c r="D50" i="126"/>
  <c r="M50" i="126" s="1"/>
  <c r="K49" i="126"/>
  <c r="D49" i="126"/>
  <c r="M49" i="126" s="1"/>
  <c r="L48" i="126"/>
  <c r="K48" i="126"/>
  <c r="D48" i="126"/>
  <c r="M48" i="126" s="1"/>
  <c r="J47" i="126"/>
  <c r="F47" i="126"/>
  <c r="C130" i="126" s="1"/>
  <c r="D47" i="126"/>
  <c r="K46" i="126"/>
  <c r="D46" i="126"/>
  <c r="M46" i="126" s="1"/>
  <c r="K45" i="126"/>
  <c r="D45" i="126"/>
  <c r="M45" i="126" s="1"/>
  <c r="K44" i="126"/>
  <c r="D44" i="126"/>
  <c r="M44" i="126" s="1"/>
  <c r="M43" i="126"/>
  <c r="K43" i="126"/>
  <c r="I43" i="126"/>
  <c r="I47" i="126" s="1"/>
  <c r="F130" i="126" s="1"/>
  <c r="J42" i="126"/>
  <c r="F42" i="126"/>
  <c r="C129" i="126" s="1"/>
  <c r="D42" i="126"/>
  <c r="K41" i="126"/>
  <c r="D41" i="126"/>
  <c r="M41" i="126" s="1"/>
  <c r="I40" i="126"/>
  <c r="I42" i="126" s="1"/>
  <c r="F129" i="126" s="1"/>
  <c r="D40" i="126"/>
  <c r="M40" i="126" s="1"/>
  <c r="K39" i="126"/>
  <c r="D39" i="126"/>
  <c r="M39" i="126" s="1"/>
  <c r="K38" i="126"/>
  <c r="D38" i="126"/>
  <c r="M38" i="126" s="1"/>
  <c r="K37" i="126"/>
  <c r="D37" i="126"/>
  <c r="M37" i="126" s="1"/>
  <c r="K36" i="126"/>
  <c r="D36" i="126"/>
  <c r="M36" i="126" s="1"/>
  <c r="K35" i="126"/>
  <c r="D35" i="126"/>
  <c r="M35" i="126" s="1"/>
  <c r="K34" i="126"/>
  <c r="D34" i="126"/>
  <c r="M34" i="126" s="1"/>
  <c r="M42" i="126" s="1"/>
  <c r="J33" i="126"/>
  <c r="I33" i="126"/>
  <c r="F128" i="126" s="1"/>
  <c r="F33" i="126"/>
  <c r="C128" i="126" s="1"/>
  <c r="D33" i="126"/>
  <c r="K32" i="126"/>
  <c r="D32" i="126"/>
  <c r="M32" i="126" s="1"/>
  <c r="M31" i="126"/>
  <c r="L31" i="126"/>
  <c r="K31" i="126"/>
  <c r="K33" i="126" s="1"/>
  <c r="J30" i="126"/>
  <c r="I30" i="126"/>
  <c r="F127" i="126" s="1"/>
  <c r="F30" i="126"/>
  <c r="C127" i="126" s="1"/>
  <c r="D30" i="126"/>
  <c r="K29" i="126"/>
  <c r="D29" i="126"/>
  <c r="M29" i="126" s="1"/>
  <c r="K28" i="126"/>
  <c r="D28" i="126"/>
  <c r="M28" i="126" s="1"/>
  <c r="M30" i="126" s="1"/>
  <c r="J27" i="126"/>
  <c r="F27" i="126"/>
  <c r="C126" i="126" s="1"/>
  <c r="D27" i="126"/>
  <c r="I26" i="126"/>
  <c r="I27" i="126" s="1"/>
  <c r="D26" i="126"/>
  <c r="M26" i="126" s="1"/>
  <c r="M25" i="126"/>
  <c r="M24" i="126"/>
  <c r="K23" i="126"/>
  <c r="D23" i="126"/>
  <c r="M23" i="126" s="1"/>
  <c r="K22" i="126"/>
  <c r="D22" i="126"/>
  <c r="M22" i="126" s="1"/>
  <c r="K21" i="126"/>
  <c r="D21" i="126"/>
  <c r="M21" i="126" s="1"/>
  <c r="K20" i="126"/>
  <c r="D20" i="126"/>
  <c r="M20" i="126" s="1"/>
  <c r="M27" i="126" s="1"/>
  <c r="J19" i="126"/>
  <c r="F19" i="126"/>
  <c r="C125" i="126" s="1"/>
  <c r="D19" i="126"/>
  <c r="K18" i="126"/>
  <c r="I18" i="126"/>
  <c r="I19" i="126" s="1"/>
  <c r="D18" i="126"/>
  <c r="M18" i="126" s="1"/>
  <c r="D17" i="126"/>
  <c r="M17" i="126" s="1"/>
  <c r="D16" i="126"/>
  <c r="M16" i="126" s="1"/>
  <c r="K15" i="126"/>
  <c r="D15" i="126"/>
  <c r="M15" i="126" s="1"/>
  <c r="K14" i="126"/>
  <c r="D14" i="126"/>
  <c r="M14" i="126" s="1"/>
  <c r="K13" i="126"/>
  <c r="D13" i="126"/>
  <c r="M13" i="126" s="1"/>
  <c r="K12" i="126"/>
  <c r="D12" i="126"/>
  <c r="M12" i="126" s="1"/>
  <c r="K11" i="126"/>
  <c r="D11" i="126"/>
  <c r="M11" i="126" s="1"/>
  <c r="J10" i="126"/>
  <c r="I10" i="126"/>
  <c r="L9" i="126" s="1"/>
  <c r="F10" i="126"/>
  <c r="M9" i="126"/>
  <c r="M10" i="126" s="1"/>
  <c r="K9" i="126"/>
  <c r="K10" i="126" s="1"/>
  <c r="L10" i="126" s="1"/>
  <c r="G124" i="126" s="1"/>
  <c r="W4" i="79"/>
  <c r="W3" i="79"/>
  <c r="D722" i="64"/>
  <c r="BE586" i="64" l="1"/>
  <c r="BE610" i="64"/>
  <c r="BC586" i="64"/>
  <c r="BC610" i="64"/>
  <c r="BA586" i="64"/>
  <c r="BA610" i="64"/>
  <c r="AY586" i="64"/>
  <c r="AY610" i="64"/>
  <c r="AW586" i="64"/>
  <c r="AW610" i="64"/>
  <c r="AU586" i="64"/>
  <c r="AU610" i="64"/>
  <c r="AS586" i="64"/>
  <c r="AS610" i="64"/>
  <c r="AQ586" i="64"/>
  <c r="AQ610" i="64"/>
  <c r="AO586" i="64"/>
  <c r="AO610" i="64"/>
  <c r="AM586" i="64"/>
  <c r="AM610" i="64"/>
  <c r="AK586" i="64"/>
  <c r="AK610" i="64"/>
  <c r="AI586" i="64"/>
  <c r="AI610" i="64"/>
  <c r="AG586" i="64"/>
  <c r="AG610" i="64"/>
  <c r="AE586" i="64"/>
  <c r="AE610" i="64"/>
  <c r="AC586" i="64"/>
  <c r="AC610" i="64"/>
  <c r="AA586" i="64"/>
  <c r="AA610" i="64"/>
  <c r="Y586" i="64"/>
  <c r="Y610" i="64"/>
  <c r="W586" i="64"/>
  <c r="W610" i="64"/>
  <c r="U586" i="64"/>
  <c r="U610" i="64"/>
  <c r="S586" i="64"/>
  <c r="S610" i="64"/>
  <c r="Q586" i="64"/>
  <c r="Q610" i="64"/>
  <c r="O586" i="64"/>
  <c r="O610" i="64"/>
  <c r="M586" i="64"/>
  <c r="M610" i="64"/>
  <c r="K586" i="64"/>
  <c r="K610" i="64"/>
  <c r="I586" i="64"/>
  <c r="I610" i="64"/>
  <c r="G586" i="64"/>
  <c r="G610" i="64"/>
  <c r="E586" i="64"/>
  <c r="E610" i="64"/>
  <c r="C586" i="64"/>
  <c r="C610" i="64"/>
  <c r="BE585" i="64"/>
  <c r="BE609" i="64"/>
  <c r="BC585" i="64"/>
  <c r="BC609" i="64"/>
  <c r="BA585" i="64"/>
  <c r="BA609" i="64"/>
  <c r="AY585" i="64"/>
  <c r="AY609" i="64"/>
  <c r="AW585" i="64"/>
  <c r="AW609" i="64"/>
  <c r="AU585" i="64"/>
  <c r="AU609" i="64"/>
  <c r="AS585" i="64"/>
  <c r="AS609" i="64"/>
  <c r="AQ585" i="64"/>
  <c r="AQ609" i="64"/>
  <c r="AO585" i="64"/>
  <c r="AO609" i="64"/>
  <c r="AM585" i="64"/>
  <c r="AM609" i="64"/>
  <c r="AK585" i="64"/>
  <c r="AK609" i="64"/>
  <c r="AI585" i="64"/>
  <c r="AI609" i="64"/>
  <c r="AG585" i="64"/>
  <c r="AG609" i="64"/>
  <c r="AE585" i="64"/>
  <c r="AE609" i="64"/>
  <c r="AC585" i="64"/>
  <c r="AC609" i="64"/>
  <c r="AA585" i="64"/>
  <c r="AA609" i="64"/>
  <c r="Y585" i="64"/>
  <c r="Y609" i="64"/>
  <c r="W585" i="64"/>
  <c r="W609" i="64"/>
  <c r="U585" i="64"/>
  <c r="U609" i="64"/>
  <c r="S585" i="64"/>
  <c r="S609" i="64"/>
  <c r="Q585" i="64"/>
  <c r="Q609" i="64"/>
  <c r="O585" i="64"/>
  <c r="O609" i="64"/>
  <c r="M585" i="64"/>
  <c r="M609" i="64"/>
  <c r="K585" i="64"/>
  <c r="K609" i="64"/>
  <c r="I585" i="64"/>
  <c r="I609" i="64"/>
  <c r="G585" i="64"/>
  <c r="G609" i="64"/>
  <c r="E585" i="64"/>
  <c r="E609" i="64"/>
  <c r="C585" i="64"/>
  <c r="C609" i="64"/>
  <c r="BE584" i="64"/>
  <c r="BE608" i="64"/>
  <c r="BC584" i="64"/>
  <c r="BC608" i="64"/>
  <c r="BA584" i="64"/>
  <c r="BA608" i="64"/>
  <c r="AY584" i="64"/>
  <c r="AY608" i="64"/>
  <c r="AW584" i="64"/>
  <c r="AW608" i="64"/>
  <c r="AU584" i="64"/>
  <c r="AU608" i="64"/>
  <c r="AS584" i="64"/>
  <c r="AS608" i="64"/>
  <c r="AQ584" i="64"/>
  <c r="AQ608" i="64"/>
  <c r="AO584" i="64"/>
  <c r="AO608" i="64"/>
  <c r="AM584" i="64"/>
  <c r="AM608" i="64"/>
  <c r="AK584" i="64"/>
  <c r="AK608" i="64"/>
  <c r="AI584" i="64"/>
  <c r="AI608" i="64"/>
  <c r="AG584" i="64"/>
  <c r="AG608" i="64"/>
  <c r="AE584" i="64"/>
  <c r="AE608" i="64"/>
  <c r="AC584" i="64"/>
  <c r="AC608" i="64"/>
  <c r="AA584" i="64"/>
  <c r="AA608" i="64"/>
  <c r="Y584" i="64"/>
  <c r="Y608" i="64"/>
  <c r="W584" i="64"/>
  <c r="W608" i="64"/>
  <c r="U584" i="64"/>
  <c r="U608" i="64"/>
  <c r="S584" i="64"/>
  <c r="S608" i="64"/>
  <c r="Q584" i="64"/>
  <c r="Q608" i="64"/>
  <c r="O584" i="64"/>
  <c r="O608" i="64"/>
  <c r="M584" i="64"/>
  <c r="M608" i="64"/>
  <c r="K584" i="64"/>
  <c r="K608" i="64"/>
  <c r="I584" i="64"/>
  <c r="I608" i="64"/>
  <c r="G584" i="64"/>
  <c r="G608" i="64"/>
  <c r="E584" i="64"/>
  <c r="E608" i="64"/>
  <c r="C584" i="64"/>
  <c r="C608" i="64"/>
  <c r="BE583" i="64"/>
  <c r="BE607" i="64"/>
  <c r="BC583" i="64"/>
  <c r="BC607" i="64"/>
  <c r="BA583" i="64"/>
  <c r="BA607" i="64"/>
  <c r="AY583" i="64"/>
  <c r="AY607" i="64"/>
  <c r="AW583" i="64"/>
  <c r="AW607" i="64"/>
  <c r="AU583" i="64"/>
  <c r="AU607" i="64"/>
  <c r="AS583" i="64"/>
  <c r="AS607" i="64"/>
  <c r="AQ583" i="64"/>
  <c r="AQ607" i="64"/>
  <c r="AO583" i="64"/>
  <c r="AO607" i="64"/>
  <c r="AM583" i="64"/>
  <c r="AM607" i="64"/>
  <c r="AK583" i="64"/>
  <c r="AK607" i="64"/>
  <c r="AI583" i="64"/>
  <c r="AI607" i="64"/>
  <c r="AG583" i="64"/>
  <c r="AG607" i="64"/>
  <c r="AE583" i="64"/>
  <c r="AE607" i="64"/>
  <c r="AC583" i="64"/>
  <c r="AC607" i="64"/>
  <c r="AA583" i="64"/>
  <c r="AA607" i="64"/>
  <c r="Y583" i="64"/>
  <c r="Y607" i="64"/>
  <c r="W583" i="64"/>
  <c r="W607" i="64"/>
  <c r="U583" i="64"/>
  <c r="U607" i="64"/>
  <c r="S583" i="64"/>
  <c r="S607" i="64"/>
  <c r="Q583" i="64"/>
  <c r="Q607" i="64"/>
  <c r="O583" i="64"/>
  <c r="O607" i="64"/>
  <c r="M583" i="64"/>
  <c r="M607" i="64"/>
  <c r="K583" i="64"/>
  <c r="K607" i="64"/>
  <c r="I583" i="64"/>
  <c r="I607" i="64"/>
  <c r="G583" i="64"/>
  <c r="G607" i="64"/>
  <c r="E583" i="64"/>
  <c r="E607" i="64"/>
  <c r="C583" i="64"/>
  <c r="C607" i="64"/>
  <c r="BE582" i="64"/>
  <c r="BE606" i="64"/>
  <c r="BC582" i="64"/>
  <c r="BC606" i="64"/>
  <c r="BA582" i="64"/>
  <c r="BA606" i="64"/>
  <c r="AY582" i="64"/>
  <c r="AY606" i="64"/>
  <c r="AW582" i="64"/>
  <c r="AW606" i="64"/>
  <c r="AU582" i="64"/>
  <c r="AU606" i="64"/>
  <c r="AS582" i="64"/>
  <c r="AS606" i="64"/>
  <c r="AQ582" i="64"/>
  <c r="AQ606" i="64"/>
  <c r="AO582" i="64"/>
  <c r="AO606" i="64"/>
  <c r="AM582" i="64"/>
  <c r="AM606" i="64"/>
  <c r="AK582" i="64"/>
  <c r="AK606" i="64"/>
  <c r="AI582" i="64"/>
  <c r="AI606" i="64"/>
  <c r="AG582" i="64"/>
  <c r="AG606" i="64"/>
  <c r="AE582" i="64"/>
  <c r="AE606" i="64"/>
  <c r="AC582" i="64"/>
  <c r="AC606" i="64"/>
  <c r="AA582" i="64"/>
  <c r="AA606" i="64"/>
  <c r="Y582" i="64"/>
  <c r="Y606" i="64"/>
  <c r="W582" i="64"/>
  <c r="W606" i="64"/>
  <c r="U582" i="64"/>
  <c r="U606" i="64"/>
  <c r="S582" i="64"/>
  <c r="S606" i="64"/>
  <c r="Q582" i="64"/>
  <c r="Q606" i="64"/>
  <c r="O582" i="64"/>
  <c r="O606" i="64"/>
  <c r="M582" i="64"/>
  <c r="M606" i="64"/>
  <c r="K582" i="64"/>
  <c r="K606" i="64"/>
  <c r="I582" i="64"/>
  <c r="I606" i="64"/>
  <c r="G582" i="64"/>
  <c r="G606" i="64"/>
  <c r="E582" i="64"/>
  <c r="E606" i="64"/>
  <c r="C582" i="64"/>
  <c r="C606" i="64"/>
  <c r="BE581" i="64"/>
  <c r="BE605" i="64"/>
  <c r="BC581" i="64"/>
  <c r="BC605" i="64"/>
  <c r="BA581" i="64"/>
  <c r="BA605" i="64"/>
  <c r="AY581" i="64"/>
  <c r="AY605" i="64"/>
  <c r="AW581" i="64"/>
  <c r="AW605" i="64"/>
  <c r="AU581" i="64"/>
  <c r="AU605" i="64"/>
  <c r="AS581" i="64"/>
  <c r="AS605" i="64"/>
  <c r="AQ581" i="64"/>
  <c r="AQ605" i="64"/>
  <c r="AO581" i="64"/>
  <c r="AO605" i="64"/>
  <c r="AM581" i="64"/>
  <c r="AM605" i="64"/>
  <c r="AK581" i="64"/>
  <c r="AK605" i="64"/>
  <c r="AI581" i="64"/>
  <c r="AI605" i="64"/>
  <c r="AG581" i="64"/>
  <c r="AG605" i="64"/>
  <c r="AE581" i="64"/>
  <c r="AE605" i="64"/>
  <c r="AC581" i="64"/>
  <c r="AC605" i="64"/>
  <c r="AA581" i="64"/>
  <c r="AA605" i="64"/>
  <c r="Y581" i="64"/>
  <c r="Y605" i="64"/>
  <c r="W581" i="64"/>
  <c r="W605" i="64"/>
  <c r="U581" i="64"/>
  <c r="U605" i="64"/>
  <c r="S581" i="64"/>
  <c r="S605" i="64"/>
  <c r="Q581" i="64"/>
  <c r="Q605" i="64"/>
  <c r="O581" i="64"/>
  <c r="O605" i="64"/>
  <c r="M581" i="64"/>
  <c r="M605" i="64"/>
  <c r="K581" i="64"/>
  <c r="K605" i="64"/>
  <c r="I581" i="64"/>
  <c r="I605" i="64"/>
  <c r="G581" i="64"/>
  <c r="G605" i="64"/>
  <c r="E581" i="64"/>
  <c r="E605" i="64"/>
  <c r="C581" i="64"/>
  <c r="C605" i="64"/>
  <c r="BE580" i="64"/>
  <c r="BE604" i="64"/>
  <c r="BC580" i="64"/>
  <c r="BC604" i="64"/>
  <c r="BA580" i="64"/>
  <c r="BA604" i="64"/>
  <c r="AY580" i="64"/>
  <c r="AY604" i="64"/>
  <c r="AW580" i="64"/>
  <c r="AW604" i="64"/>
  <c r="AU580" i="64"/>
  <c r="AU604" i="64"/>
  <c r="AS580" i="64"/>
  <c r="AS604" i="64"/>
  <c r="AQ580" i="64"/>
  <c r="AQ604" i="64"/>
  <c r="AO580" i="64"/>
  <c r="AO604" i="64"/>
  <c r="AM580" i="64"/>
  <c r="AM604" i="64"/>
  <c r="AK580" i="64"/>
  <c r="AK604" i="64"/>
  <c r="AI580" i="64"/>
  <c r="AI604" i="64"/>
  <c r="AG580" i="64"/>
  <c r="AG604" i="64"/>
  <c r="AE580" i="64"/>
  <c r="AE604" i="64"/>
  <c r="AC580" i="64"/>
  <c r="AC604" i="64"/>
  <c r="AA580" i="64"/>
  <c r="AA604" i="64"/>
  <c r="Y580" i="64"/>
  <c r="Y604" i="64"/>
  <c r="W580" i="64"/>
  <c r="W604" i="64"/>
  <c r="U580" i="64"/>
  <c r="U604" i="64"/>
  <c r="S580" i="64"/>
  <c r="S604" i="64"/>
  <c r="Q580" i="64"/>
  <c r="Q604" i="64"/>
  <c r="O580" i="64"/>
  <c r="O604" i="64"/>
  <c r="M580" i="64"/>
  <c r="M604" i="64"/>
  <c r="K580" i="64"/>
  <c r="K604" i="64"/>
  <c r="I580" i="64"/>
  <c r="I604" i="64"/>
  <c r="G580" i="64"/>
  <c r="G604" i="64"/>
  <c r="E580" i="64"/>
  <c r="E604" i="64"/>
  <c r="C580" i="64"/>
  <c r="C604" i="64"/>
  <c r="BE579" i="64"/>
  <c r="BE603" i="64"/>
  <c r="BC579" i="64"/>
  <c r="BC603" i="64"/>
  <c r="BA579" i="64"/>
  <c r="BA603" i="64"/>
  <c r="AY579" i="64"/>
  <c r="AY603" i="64"/>
  <c r="AW579" i="64"/>
  <c r="AW603" i="64"/>
  <c r="AU579" i="64"/>
  <c r="AU603" i="64"/>
  <c r="AS579" i="64"/>
  <c r="AS603" i="64"/>
  <c r="AQ579" i="64"/>
  <c r="AQ603" i="64"/>
  <c r="AO579" i="64"/>
  <c r="AO603" i="64"/>
  <c r="AM579" i="64"/>
  <c r="AM603" i="64"/>
  <c r="AK579" i="64"/>
  <c r="AK603" i="64"/>
  <c r="AI579" i="64"/>
  <c r="AI603" i="64"/>
  <c r="AG579" i="64"/>
  <c r="AG603" i="64"/>
  <c r="AE579" i="64"/>
  <c r="AE603" i="64"/>
  <c r="AC579" i="64"/>
  <c r="AC603" i="64"/>
  <c r="AA579" i="64"/>
  <c r="AA603" i="64"/>
  <c r="Y579" i="64"/>
  <c r="Y603" i="64"/>
  <c r="W579" i="64"/>
  <c r="W603" i="64"/>
  <c r="U579" i="64"/>
  <c r="U603" i="64"/>
  <c r="S579" i="64"/>
  <c r="S603" i="64"/>
  <c r="Q579" i="64"/>
  <c r="Q603" i="64"/>
  <c r="O579" i="64"/>
  <c r="O603" i="64"/>
  <c r="M579" i="64"/>
  <c r="M603" i="64"/>
  <c r="K579" i="64"/>
  <c r="K603" i="64"/>
  <c r="I579" i="64"/>
  <c r="I603" i="64"/>
  <c r="G579" i="64"/>
  <c r="G603" i="64"/>
  <c r="E579" i="64"/>
  <c r="E603" i="64"/>
  <c r="C579" i="64"/>
  <c r="C603" i="64"/>
  <c r="BE578" i="64"/>
  <c r="BE602" i="64"/>
  <c r="BC578" i="64"/>
  <c r="BC602" i="64"/>
  <c r="BA578" i="64"/>
  <c r="BA602" i="64"/>
  <c r="AY578" i="64"/>
  <c r="AY602" i="64"/>
  <c r="AW578" i="64"/>
  <c r="AW602" i="64"/>
  <c r="AU578" i="64"/>
  <c r="AU602" i="64"/>
  <c r="AS578" i="64"/>
  <c r="AS602" i="64"/>
  <c r="AQ578" i="64"/>
  <c r="AQ602" i="64"/>
  <c r="AO578" i="64"/>
  <c r="AO602" i="64"/>
  <c r="AM578" i="64"/>
  <c r="AM602" i="64"/>
  <c r="AK578" i="64"/>
  <c r="AK602" i="64"/>
  <c r="AI578" i="64"/>
  <c r="AI602" i="64"/>
  <c r="AG578" i="64"/>
  <c r="AG602" i="64"/>
  <c r="AE578" i="64"/>
  <c r="AE602" i="64"/>
  <c r="AC578" i="64"/>
  <c r="AC602" i="64"/>
  <c r="AA578" i="64"/>
  <c r="AA602" i="64"/>
  <c r="Y578" i="64"/>
  <c r="Y602" i="64"/>
  <c r="W578" i="64"/>
  <c r="W602" i="64"/>
  <c r="U578" i="64"/>
  <c r="U602" i="64"/>
  <c r="S578" i="64"/>
  <c r="S602" i="64"/>
  <c r="Q578" i="64"/>
  <c r="Q602" i="64"/>
  <c r="O578" i="64"/>
  <c r="O602" i="64"/>
  <c r="M578" i="64"/>
  <c r="M602" i="64"/>
  <c r="K578" i="64"/>
  <c r="K602" i="64"/>
  <c r="I578" i="64"/>
  <c r="I602" i="64"/>
  <c r="G578" i="64"/>
  <c r="G602" i="64"/>
  <c r="E578" i="64"/>
  <c r="E602" i="64"/>
  <c r="C578" i="64"/>
  <c r="C602" i="64"/>
  <c r="BE577" i="64"/>
  <c r="BE601" i="64"/>
  <c r="BC577" i="64"/>
  <c r="BC601" i="64"/>
  <c r="BA577" i="64"/>
  <c r="BA601" i="64"/>
  <c r="AY577" i="64"/>
  <c r="AY601" i="64"/>
  <c r="AW577" i="64"/>
  <c r="AW601" i="64"/>
  <c r="AU577" i="64"/>
  <c r="AU601" i="64"/>
  <c r="AQ577" i="64"/>
  <c r="AQ601" i="64"/>
  <c r="AO577" i="64"/>
  <c r="AO601" i="64"/>
  <c r="AM577" i="64"/>
  <c r="AM601" i="64"/>
  <c r="AK577" i="64"/>
  <c r="AK601" i="64"/>
  <c r="AI577" i="64"/>
  <c r="AI601" i="64"/>
  <c r="AG577" i="64"/>
  <c r="AG601" i="64"/>
  <c r="AE577" i="64"/>
  <c r="AE601" i="64"/>
  <c r="AC577" i="64"/>
  <c r="AC601" i="64"/>
  <c r="AA577" i="64"/>
  <c r="AA601" i="64"/>
  <c r="Y577" i="64"/>
  <c r="Y601" i="64"/>
  <c r="W577" i="64"/>
  <c r="W601" i="64"/>
  <c r="U577" i="64"/>
  <c r="U601" i="64"/>
  <c r="S577" i="64"/>
  <c r="S601" i="64"/>
  <c r="Q577" i="64"/>
  <c r="Q601" i="64"/>
  <c r="O577" i="64"/>
  <c r="O601" i="64"/>
  <c r="M577" i="64"/>
  <c r="M601" i="64"/>
  <c r="K577" i="64"/>
  <c r="K601" i="64"/>
  <c r="I577" i="64"/>
  <c r="I601" i="64"/>
  <c r="G577" i="64"/>
  <c r="G601" i="64"/>
  <c r="E577" i="64"/>
  <c r="E601" i="64"/>
  <c r="C577" i="64"/>
  <c r="C601" i="64"/>
  <c r="BE576" i="64"/>
  <c r="BE600" i="64"/>
  <c r="BC576" i="64"/>
  <c r="BC600" i="64"/>
  <c r="BA576" i="64"/>
  <c r="BA600" i="64"/>
  <c r="AY576" i="64"/>
  <c r="AY600" i="64"/>
  <c r="AW576" i="64"/>
  <c r="AW600" i="64"/>
  <c r="AU576" i="64"/>
  <c r="AU600" i="64"/>
  <c r="AS576" i="64"/>
  <c r="AS600" i="64"/>
  <c r="AQ576" i="64"/>
  <c r="AQ600" i="64"/>
  <c r="AO576" i="64"/>
  <c r="AO600" i="64"/>
  <c r="AM576" i="64"/>
  <c r="AM600" i="64"/>
  <c r="AK576" i="64"/>
  <c r="AK600" i="64"/>
  <c r="AI576" i="64"/>
  <c r="AI600" i="64"/>
  <c r="AG576" i="64"/>
  <c r="AG600" i="64"/>
  <c r="AE576" i="64"/>
  <c r="AE600" i="64"/>
  <c r="AC576" i="64"/>
  <c r="AC600" i="64"/>
  <c r="AA576" i="64"/>
  <c r="AA600" i="64"/>
  <c r="Y576" i="64"/>
  <c r="Y600" i="64"/>
  <c r="W576" i="64"/>
  <c r="W600" i="64"/>
  <c r="U576" i="64"/>
  <c r="U600" i="64"/>
  <c r="S576" i="64"/>
  <c r="S600" i="64"/>
  <c r="Q576" i="64"/>
  <c r="Q600" i="64"/>
  <c r="O576" i="64"/>
  <c r="O600" i="64"/>
  <c r="M576" i="64"/>
  <c r="M600" i="64"/>
  <c r="K576" i="64"/>
  <c r="K600" i="64"/>
  <c r="I576" i="64"/>
  <c r="I600" i="64"/>
  <c r="G576" i="64"/>
  <c r="G600" i="64"/>
  <c r="E576" i="64"/>
  <c r="E600" i="64"/>
  <c r="C576" i="64"/>
  <c r="C600" i="64"/>
  <c r="BE575" i="64"/>
  <c r="BE599" i="64"/>
  <c r="BC575" i="64"/>
  <c r="BC599" i="64"/>
  <c r="BA575" i="64"/>
  <c r="BA599" i="64"/>
  <c r="AY575" i="64"/>
  <c r="AY599" i="64"/>
  <c r="AW575" i="64"/>
  <c r="AW599" i="64"/>
  <c r="AU575" i="64"/>
  <c r="AU599" i="64"/>
  <c r="AS575" i="64"/>
  <c r="AS599" i="64"/>
  <c r="AQ575" i="64"/>
  <c r="AQ599" i="64"/>
  <c r="AO575" i="64"/>
  <c r="AO599" i="64"/>
  <c r="AM575" i="64"/>
  <c r="AM599" i="64"/>
  <c r="AK575" i="64"/>
  <c r="AK599" i="64"/>
  <c r="AI575" i="64"/>
  <c r="AI599" i="64"/>
  <c r="AG575" i="64"/>
  <c r="AG599" i="64"/>
  <c r="AE575" i="64"/>
  <c r="AE599" i="64"/>
  <c r="AC575" i="64"/>
  <c r="AC599" i="64"/>
  <c r="AA575" i="64"/>
  <c r="AA599" i="64"/>
  <c r="Y575" i="64"/>
  <c r="Y599" i="64"/>
  <c r="W575" i="64"/>
  <c r="W599" i="64"/>
  <c r="U575" i="64"/>
  <c r="U599" i="64"/>
  <c r="S575" i="64"/>
  <c r="S599" i="64"/>
  <c r="Q575" i="64"/>
  <c r="Q599" i="64"/>
  <c r="O575" i="64"/>
  <c r="O599" i="64"/>
  <c r="M575" i="64"/>
  <c r="M599" i="64"/>
  <c r="K575" i="64"/>
  <c r="K599" i="64"/>
  <c r="I575" i="64"/>
  <c r="I599" i="64"/>
  <c r="G575" i="64"/>
  <c r="G599" i="64"/>
  <c r="E575" i="64"/>
  <c r="E599" i="64"/>
  <c r="C575" i="64"/>
  <c r="C599" i="64"/>
  <c r="BE574" i="64"/>
  <c r="BE598" i="64"/>
  <c r="BC574" i="64"/>
  <c r="BC598" i="64"/>
  <c r="BA574" i="64"/>
  <c r="BA598" i="64"/>
  <c r="AY574" i="64"/>
  <c r="AY598" i="64"/>
  <c r="AW574" i="64"/>
  <c r="AW598" i="64"/>
  <c r="AU574" i="64"/>
  <c r="AU598" i="64"/>
  <c r="AS574" i="64"/>
  <c r="AS598" i="64"/>
  <c r="AQ574" i="64"/>
  <c r="AQ598" i="64"/>
  <c r="AO574" i="64"/>
  <c r="AO598" i="64"/>
  <c r="AM574" i="64"/>
  <c r="AM598" i="64"/>
  <c r="AK574" i="64"/>
  <c r="AK598" i="64"/>
  <c r="AI574" i="64"/>
  <c r="AI598" i="64"/>
  <c r="AG574" i="64"/>
  <c r="AG598" i="64"/>
  <c r="AE574" i="64"/>
  <c r="AE598" i="64"/>
  <c r="AC574" i="64"/>
  <c r="AC598" i="64"/>
  <c r="AA574" i="64"/>
  <c r="AA598" i="64"/>
  <c r="Y574" i="64"/>
  <c r="Y598" i="64"/>
  <c r="W574" i="64"/>
  <c r="W598" i="64"/>
  <c r="U574" i="64"/>
  <c r="U598" i="64"/>
  <c r="S574" i="64"/>
  <c r="S598" i="64"/>
  <c r="Q574" i="64"/>
  <c r="Q598" i="64"/>
  <c r="O574" i="64"/>
  <c r="O598" i="64"/>
  <c r="M574" i="64"/>
  <c r="M598" i="64"/>
  <c r="K574" i="64"/>
  <c r="K598" i="64"/>
  <c r="I574" i="64"/>
  <c r="I598" i="64"/>
  <c r="G574" i="64"/>
  <c r="G598" i="64"/>
  <c r="E574" i="64"/>
  <c r="E598" i="64"/>
  <c r="C574" i="64"/>
  <c r="C598" i="64"/>
  <c r="BE573" i="64"/>
  <c r="BE597" i="64"/>
  <c r="BC573" i="64"/>
  <c r="BC597" i="64"/>
  <c r="BA573" i="64"/>
  <c r="BA597" i="64"/>
  <c r="AY573" i="64"/>
  <c r="AY597" i="64"/>
  <c r="AW573" i="64"/>
  <c r="AW597" i="64"/>
  <c r="AU573" i="64"/>
  <c r="AU597" i="64"/>
  <c r="AS573" i="64"/>
  <c r="AS597" i="64"/>
  <c r="AQ573" i="64"/>
  <c r="AQ597" i="64"/>
  <c r="AO573" i="64"/>
  <c r="AO597" i="64"/>
  <c r="AM573" i="64"/>
  <c r="AM597" i="64"/>
  <c r="AK573" i="64"/>
  <c r="AK597" i="64"/>
  <c r="AI573" i="64"/>
  <c r="AI597" i="64"/>
  <c r="AG573" i="64"/>
  <c r="AG597" i="64"/>
  <c r="AE573" i="64"/>
  <c r="AE597" i="64"/>
  <c r="AC573" i="64"/>
  <c r="AC597" i="64"/>
  <c r="AA573" i="64"/>
  <c r="AA597" i="64"/>
  <c r="Y573" i="64"/>
  <c r="Y597" i="64"/>
  <c r="U573" i="64"/>
  <c r="U597" i="64"/>
  <c r="S573" i="64"/>
  <c r="S597" i="64"/>
  <c r="Q573" i="64"/>
  <c r="Q597" i="64"/>
  <c r="O573" i="64"/>
  <c r="O597" i="64"/>
  <c r="M573" i="64"/>
  <c r="M597" i="64"/>
  <c r="K573" i="64"/>
  <c r="K597" i="64"/>
  <c r="I573" i="64"/>
  <c r="I597" i="64"/>
  <c r="G573" i="64"/>
  <c r="G597" i="64"/>
  <c r="E573" i="64"/>
  <c r="E597" i="64"/>
  <c r="C573" i="64"/>
  <c r="C597" i="64"/>
  <c r="BE572" i="64"/>
  <c r="BE596" i="64"/>
  <c r="BC572" i="64"/>
  <c r="BC596" i="64"/>
  <c r="BA572" i="64"/>
  <c r="BA596" i="64"/>
  <c r="AY572" i="64"/>
  <c r="AY596" i="64"/>
  <c r="AW572" i="64"/>
  <c r="AW596" i="64"/>
  <c r="AU572" i="64"/>
  <c r="AU596" i="64"/>
  <c r="AS572" i="64"/>
  <c r="AS596" i="64"/>
  <c r="AQ572" i="64"/>
  <c r="AQ596" i="64"/>
  <c r="AO572" i="64"/>
  <c r="AO596" i="64"/>
  <c r="AM572" i="64"/>
  <c r="AM596" i="64"/>
  <c r="AK572" i="64"/>
  <c r="AK596" i="64"/>
  <c r="AI572" i="64"/>
  <c r="AI596" i="64"/>
  <c r="AG572" i="64"/>
  <c r="AG596" i="64"/>
  <c r="AE572" i="64"/>
  <c r="AE596" i="64"/>
  <c r="AC572" i="64"/>
  <c r="AC596" i="64"/>
  <c r="AA572" i="64"/>
  <c r="AA596" i="64"/>
  <c r="Y572" i="64"/>
  <c r="Y596" i="64"/>
  <c r="W572" i="64"/>
  <c r="W596" i="64"/>
  <c r="U572" i="64"/>
  <c r="U596" i="64"/>
  <c r="S572" i="64"/>
  <c r="S596" i="64"/>
  <c r="Q572" i="64"/>
  <c r="Q596" i="64"/>
  <c r="O572" i="64"/>
  <c r="O596" i="64"/>
  <c r="M572" i="64"/>
  <c r="M596" i="64"/>
  <c r="K572" i="64"/>
  <c r="K596" i="64"/>
  <c r="I572" i="64"/>
  <c r="I596" i="64"/>
  <c r="G572" i="64"/>
  <c r="G596" i="64"/>
  <c r="E572" i="64"/>
  <c r="E596" i="64"/>
  <c r="C572" i="64"/>
  <c r="C596" i="64"/>
  <c r="BE571" i="64"/>
  <c r="BE595" i="64"/>
  <c r="BC571" i="64"/>
  <c r="BC595" i="64"/>
  <c r="BA571" i="64"/>
  <c r="BA595" i="64"/>
  <c r="AY571" i="64"/>
  <c r="AY595" i="64"/>
  <c r="AW571" i="64"/>
  <c r="AW595" i="64"/>
  <c r="AU571" i="64"/>
  <c r="AU595" i="64"/>
  <c r="AS571" i="64"/>
  <c r="AS595" i="64"/>
  <c r="AQ571" i="64"/>
  <c r="AQ595" i="64"/>
  <c r="AO571" i="64"/>
  <c r="AO595" i="64"/>
  <c r="AM571" i="64"/>
  <c r="AM595" i="64"/>
  <c r="AK571" i="64"/>
  <c r="AK595" i="64"/>
  <c r="AI571" i="64"/>
  <c r="AI595" i="64"/>
  <c r="AG571" i="64"/>
  <c r="AG595" i="64"/>
  <c r="AE571" i="64"/>
  <c r="AE595" i="64"/>
  <c r="AC571" i="64"/>
  <c r="AC595" i="64"/>
  <c r="AA571" i="64"/>
  <c r="AA595" i="64"/>
  <c r="Y571" i="64"/>
  <c r="Y595" i="64"/>
  <c r="W571" i="64"/>
  <c r="W595" i="64"/>
  <c r="U571" i="64"/>
  <c r="U595" i="64"/>
  <c r="S571" i="64"/>
  <c r="S595" i="64"/>
  <c r="Q571" i="64"/>
  <c r="Q595" i="64"/>
  <c r="O571" i="64"/>
  <c r="O595" i="64"/>
  <c r="M571" i="64"/>
  <c r="M595" i="64"/>
  <c r="K571" i="64"/>
  <c r="K595" i="64"/>
  <c r="I571" i="64"/>
  <c r="I595" i="64"/>
  <c r="G571" i="64"/>
  <c r="G595" i="64"/>
  <c r="E571" i="64"/>
  <c r="E595" i="64"/>
  <c r="C571" i="64"/>
  <c r="C595" i="64"/>
  <c r="BE570" i="64"/>
  <c r="BE594" i="64"/>
  <c r="BC570" i="64"/>
  <c r="BC594" i="64"/>
  <c r="BA570" i="64"/>
  <c r="BA594" i="64"/>
  <c r="AY570" i="64"/>
  <c r="AY594" i="64"/>
  <c r="AW570" i="64"/>
  <c r="AW594" i="64"/>
  <c r="AU570" i="64"/>
  <c r="AU594" i="64"/>
  <c r="AS570" i="64"/>
  <c r="AS594" i="64"/>
  <c r="AQ570" i="64"/>
  <c r="AQ594" i="64"/>
  <c r="AO570" i="64"/>
  <c r="AO594" i="64"/>
  <c r="AM570" i="64"/>
  <c r="AM594" i="64"/>
  <c r="AK570" i="64"/>
  <c r="AK594" i="64"/>
  <c r="AI570" i="64"/>
  <c r="AI594" i="64"/>
  <c r="AG570" i="64"/>
  <c r="AG594" i="64"/>
  <c r="AE570" i="64"/>
  <c r="AE594" i="64"/>
  <c r="AC570" i="64"/>
  <c r="AC594" i="64"/>
  <c r="AA570" i="64"/>
  <c r="AA594" i="64"/>
  <c r="Y570" i="64"/>
  <c r="Y594" i="64"/>
  <c r="W570" i="64"/>
  <c r="W594" i="64"/>
  <c r="U570" i="64"/>
  <c r="U594" i="64"/>
  <c r="S570" i="64"/>
  <c r="S594" i="64"/>
  <c r="Q570" i="64"/>
  <c r="Q594" i="64"/>
  <c r="O570" i="64"/>
  <c r="O594" i="64"/>
  <c r="M570" i="64"/>
  <c r="M594" i="64"/>
  <c r="K570" i="64"/>
  <c r="K594" i="64"/>
  <c r="I570" i="64"/>
  <c r="I594" i="64"/>
  <c r="G570" i="64"/>
  <c r="G594" i="64"/>
  <c r="E570" i="64"/>
  <c r="E594" i="64"/>
  <c r="C570" i="64"/>
  <c r="C594" i="64"/>
  <c r="BE569" i="64"/>
  <c r="BE593" i="64"/>
  <c r="BC569" i="64"/>
  <c r="BC593" i="64"/>
  <c r="BA569" i="64"/>
  <c r="BA593" i="64"/>
  <c r="AY569" i="64"/>
  <c r="AY593" i="64"/>
  <c r="AW569" i="64"/>
  <c r="AW593" i="64"/>
  <c r="AU569" i="64"/>
  <c r="AU593" i="64"/>
  <c r="AS569" i="64"/>
  <c r="AS593" i="64"/>
  <c r="AQ569" i="64"/>
  <c r="AQ593" i="64"/>
  <c r="AO569" i="64"/>
  <c r="AO593" i="64"/>
  <c r="AM569" i="64"/>
  <c r="AM593" i="64"/>
  <c r="AK569" i="64"/>
  <c r="AK593" i="64"/>
  <c r="AI569" i="64"/>
  <c r="AI593" i="64"/>
  <c r="AG569" i="64"/>
  <c r="AG593" i="64"/>
  <c r="AE569" i="64"/>
  <c r="AE593" i="64"/>
  <c r="AC569" i="64"/>
  <c r="AC593" i="64"/>
  <c r="AA569" i="64"/>
  <c r="AA593" i="64"/>
  <c r="Y569" i="64"/>
  <c r="Y593" i="64"/>
  <c r="W569" i="64"/>
  <c r="W593" i="64"/>
  <c r="U569" i="64"/>
  <c r="U593" i="64"/>
  <c r="S569" i="64"/>
  <c r="S593" i="64"/>
  <c r="Q569" i="64"/>
  <c r="Q593" i="64"/>
  <c r="O569" i="64"/>
  <c r="O593" i="64"/>
  <c r="M569" i="64"/>
  <c r="M593" i="64"/>
  <c r="K569" i="64"/>
  <c r="K593" i="64"/>
  <c r="I569" i="64"/>
  <c r="I593" i="64"/>
  <c r="G569" i="64"/>
  <c r="G593" i="64"/>
  <c r="E569" i="64"/>
  <c r="E593" i="64"/>
  <c r="C569" i="64"/>
  <c r="C593" i="64"/>
  <c r="BE568" i="64"/>
  <c r="BE592" i="64"/>
  <c r="BC568" i="64"/>
  <c r="BC592" i="64"/>
  <c r="BA568" i="64"/>
  <c r="BA592" i="64"/>
  <c r="AY568" i="64"/>
  <c r="AY592" i="64"/>
  <c r="AW568" i="64"/>
  <c r="AW592" i="64"/>
  <c r="AU568" i="64"/>
  <c r="AU592" i="64"/>
  <c r="AS568" i="64"/>
  <c r="AS592" i="64"/>
  <c r="AQ568" i="64"/>
  <c r="AQ592" i="64"/>
  <c r="AO568" i="64"/>
  <c r="AO592" i="64"/>
  <c r="AM568" i="64"/>
  <c r="AM592" i="64"/>
  <c r="AK568" i="64"/>
  <c r="AK592" i="64"/>
  <c r="AI568" i="64"/>
  <c r="AI592" i="64"/>
  <c r="AG568" i="64"/>
  <c r="AG592" i="64"/>
  <c r="AE568" i="64"/>
  <c r="AE592" i="64"/>
  <c r="AC568" i="64"/>
  <c r="AC592" i="64"/>
  <c r="AA568" i="64"/>
  <c r="AA592" i="64"/>
  <c r="Y568" i="64"/>
  <c r="Y592" i="64"/>
  <c r="W568" i="64"/>
  <c r="W592" i="64"/>
  <c r="U568" i="64"/>
  <c r="U592" i="64"/>
  <c r="S568" i="64"/>
  <c r="S592" i="64"/>
  <c r="Q568" i="64"/>
  <c r="Q592" i="64"/>
  <c r="O568" i="64"/>
  <c r="O592" i="64"/>
  <c r="M568" i="64"/>
  <c r="M592" i="64"/>
  <c r="K568" i="64"/>
  <c r="K592" i="64"/>
  <c r="I568" i="64"/>
  <c r="I592" i="64"/>
  <c r="G568" i="64"/>
  <c r="G592" i="64"/>
  <c r="E568" i="64"/>
  <c r="E592" i="64"/>
  <c r="C568" i="64"/>
  <c r="C592" i="64"/>
  <c r="BE567" i="64"/>
  <c r="BE591" i="64"/>
  <c r="BC567" i="64"/>
  <c r="BC591" i="64"/>
  <c r="BA567" i="64"/>
  <c r="BA591" i="64"/>
  <c r="AY591" i="64"/>
  <c r="AW567" i="64"/>
  <c r="AW591" i="64"/>
  <c r="AU567" i="64"/>
  <c r="AU591" i="64"/>
  <c r="AS567" i="64"/>
  <c r="AS591" i="64"/>
  <c r="AQ567" i="64"/>
  <c r="AQ591" i="64"/>
  <c r="AO567" i="64"/>
  <c r="AO591" i="64"/>
  <c r="AM567" i="64"/>
  <c r="AM591" i="64"/>
  <c r="AK567" i="64"/>
  <c r="AK591" i="64"/>
  <c r="AI567" i="64"/>
  <c r="AI591" i="64"/>
  <c r="AG567" i="64"/>
  <c r="AG591" i="64"/>
  <c r="AE567" i="64"/>
  <c r="AE591" i="64"/>
  <c r="AC567" i="64"/>
  <c r="AC591" i="64"/>
  <c r="AA567" i="64"/>
  <c r="AA591" i="64"/>
  <c r="Y567" i="64"/>
  <c r="Y591" i="64"/>
  <c r="W567" i="64"/>
  <c r="W591" i="64"/>
  <c r="U567" i="64"/>
  <c r="U591" i="64"/>
  <c r="S567" i="64"/>
  <c r="S591" i="64"/>
  <c r="Q567" i="64"/>
  <c r="Q591" i="64"/>
  <c r="O567" i="64"/>
  <c r="O591" i="64"/>
  <c r="M567" i="64"/>
  <c r="M591" i="64"/>
  <c r="K567" i="64"/>
  <c r="K591" i="64"/>
  <c r="I567" i="64"/>
  <c r="I591" i="64"/>
  <c r="G567" i="64"/>
  <c r="G591" i="64"/>
  <c r="E567" i="64"/>
  <c r="E591" i="64"/>
  <c r="C567" i="64"/>
  <c r="C591" i="64"/>
  <c r="BF586" i="64"/>
  <c r="BD586" i="64"/>
  <c r="BD610" i="64"/>
  <c r="BB586" i="64"/>
  <c r="BB610" i="64"/>
  <c r="AZ586" i="64"/>
  <c r="AZ610" i="64"/>
  <c r="AX586" i="64"/>
  <c r="AX610" i="64"/>
  <c r="AV586" i="64"/>
  <c r="AV610" i="64"/>
  <c r="AT586" i="64"/>
  <c r="AT610" i="64"/>
  <c r="AR586" i="64"/>
  <c r="AR610" i="64"/>
  <c r="AP586" i="64"/>
  <c r="AP610" i="64"/>
  <c r="AN586" i="64"/>
  <c r="AN610" i="64"/>
  <c r="AL586" i="64"/>
  <c r="AL610" i="64"/>
  <c r="AJ586" i="64"/>
  <c r="AJ610" i="64"/>
  <c r="AH586" i="64"/>
  <c r="AH610" i="64"/>
  <c r="AF586" i="64"/>
  <c r="AF610" i="64"/>
  <c r="AD586" i="64"/>
  <c r="AD610" i="64"/>
  <c r="AB586" i="64"/>
  <c r="AB610" i="64"/>
  <c r="Z586" i="64"/>
  <c r="Z610" i="64"/>
  <c r="X586" i="64"/>
  <c r="X610" i="64"/>
  <c r="V586" i="64"/>
  <c r="V610" i="64"/>
  <c r="T586" i="64"/>
  <c r="T610" i="64"/>
  <c r="R586" i="64"/>
  <c r="R610" i="64"/>
  <c r="P586" i="64"/>
  <c r="P610" i="64"/>
  <c r="N586" i="64"/>
  <c r="N610" i="64"/>
  <c r="L586" i="64"/>
  <c r="L610" i="64"/>
  <c r="J586" i="64"/>
  <c r="J610" i="64"/>
  <c r="H586" i="64"/>
  <c r="H610" i="64"/>
  <c r="F586" i="64"/>
  <c r="F610" i="64"/>
  <c r="D586" i="64"/>
  <c r="D610" i="64"/>
  <c r="BF585" i="64"/>
  <c r="BD585" i="64"/>
  <c r="BD609" i="64"/>
  <c r="BB585" i="64"/>
  <c r="BB609" i="64"/>
  <c r="AZ585" i="64"/>
  <c r="AZ609" i="64"/>
  <c r="AX585" i="64"/>
  <c r="AX609" i="64"/>
  <c r="AV585" i="64"/>
  <c r="AV609" i="64"/>
  <c r="AT585" i="64"/>
  <c r="AT609" i="64"/>
  <c r="AR585" i="64"/>
  <c r="AR609" i="64"/>
  <c r="AP585" i="64"/>
  <c r="AP609" i="64"/>
  <c r="AN585" i="64"/>
  <c r="AN609" i="64"/>
  <c r="AL585" i="64"/>
  <c r="AL609" i="64"/>
  <c r="AJ585" i="64"/>
  <c r="AJ609" i="64"/>
  <c r="AH585" i="64"/>
  <c r="AH609" i="64"/>
  <c r="AF585" i="64"/>
  <c r="AF609" i="64"/>
  <c r="AD585" i="64"/>
  <c r="AD609" i="64"/>
  <c r="AB585" i="64"/>
  <c r="AB609" i="64"/>
  <c r="Z585" i="64"/>
  <c r="Z609" i="64"/>
  <c r="X585" i="64"/>
  <c r="X609" i="64"/>
  <c r="V585" i="64"/>
  <c r="V609" i="64"/>
  <c r="T585" i="64"/>
  <c r="T609" i="64"/>
  <c r="R585" i="64"/>
  <c r="R609" i="64"/>
  <c r="P585" i="64"/>
  <c r="P609" i="64"/>
  <c r="N585" i="64"/>
  <c r="N609" i="64"/>
  <c r="L585" i="64"/>
  <c r="L609" i="64"/>
  <c r="J585" i="64"/>
  <c r="J609" i="64"/>
  <c r="H585" i="64"/>
  <c r="H609" i="64"/>
  <c r="F585" i="64"/>
  <c r="F609" i="64"/>
  <c r="D585" i="64"/>
  <c r="D609" i="64"/>
  <c r="BF584" i="64"/>
  <c r="BD584" i="64"/>
  <c r="BD608" i="64"/>
  <c r="BB584" i="64"/>
  <c r="BB608" i="64"/>
  <c r="AZ584" i="64"/>
  <c r="AZ608" i="64"/>
  <c r="AX584" i="64"/>
  <c r="AX608" i="64"/>
  <c r="AV584" i="64"/>
  <c r="AV608" i="64"/>
  <c r="AT584" i="64"/>
  <c r="AT608" i="64"/>
  <c r="AR584" i="64"/>
  <c r="AR608" i="64"/>
  <c r="AP584" i="64"/>
  <c r="AP608" i="64"/>
  <c r="AN584" i="64"/>
  <c r="AN608" i="64"/>
  <c r="AL584" i="64"/>
  <c r="AL608" i="64"/>
  <c r="AJ584" i="64"/>
  <c r="AJ608" i="64"/>
  <c r="AH584" i="64"/>
  <c r="AH608" i="64"/>
  <c r="AF584" i="64"/>
  <c r="AF608" i="64"/>
  <c r="AD584" i="64"/>
  <c r="AD608" i="64"/>
  <c r="AB584" i="64"/>
  <c r="AB608" i="64"/>
  <c r="Z584" i="64"/>
  <c r="Z608" i="64"/>
  <c r="X584" i="64"/>
  <c r="X608" i="64"/>
  <c r="V584" i="64"/>
  <c r="V608" i="64"/>
  <c r="T584" i="64"/>
  <c r="T608" i="64"/>
  <c r="R584" i="64"/>
  <c r="R608" i="64"/>
  <c r="P584" i="64"/>
  <c r="P608" i="64"/>
  <c r="N584" i="64"/>
  <c r="N608" i="64"/>
  <c r="L584" i="64"/>
  <c r="L608" i="64"/>
  <c r="J584" i="64"/>
  <c r="J608" i="64"/>
  <c r="H584" i="64"/>
  <c r="H608" i="64"/>
  <c r="F584" i="64"/>
  <c r="F608" i="64"/>
  <c r="D584" i="64"/>
  <c r="D608" i="64"/>
  <c r="BF583" i="64"/>
  <c r="BD583" i="64"/>
  <c r="BD607" i="64"/>
  <c r="BB583" i="64"/>
  <c r="BB607" i="64"/>
  <c r="AZ583" i="64"/>
  <c r="AZ607" i="64"/>
  <c r="AX583" i="64"/>
  <c r="AX607" i="64"/>
  <c r="AV583" i="64"/>
  <c r="AV607" i="64"/>
  <c r="AT583" i="64"/>
  <c r="AT607" i="64"/>
  <c r="AR583" i="64"/>
  <c r="AR607" i="64"/>
  <c r="AP583" i="64"/>
  <c r="AP607" i="64"/>
  <c r="AN583" i="64"/>
  <c r="AN607" i="64"/>
  <c r="AL583" i="64"/>
  <c r="AL607" i="64"/>
  <c r="AJ583" i="64"/>
  <c r="AJ607" i="64"/>
  <c r="AH583" i="64"/>
  <c r="AH607" i="64"/>
  <c r="AF583" i="64"/>
  <c r="AF607" i="64"/>
  <c r="AD583" i="64"/>
  <c r="AD607" i="64"/>
  <c r="AB583" i="64"/>
  <c r="AB607" i="64"/>
  <c r="Z583" i="64"/>
  <c r="Z607" i="64"/>
  <c r="X583" i="64"/>
  <c r="X607" i="64"/>
  <c r="V583" i="64"/>
  <c r="V607" i="64"/>
  <c r="T583" i="64"/>
  <c r="T607" i="64"/>
  <c r="R583" i="64"/>
  <c r="R607" i="64"/>
  <c r="P583" i="64"/>
  <c r="P607" i="64"/>
  <c r="N583" i="64"/>
  <c r="N607" i="64"/>
  <c r="L583" i="64"/>
  <c r="L607" i="64"/>
  <c r="J583" i="64"/>
  <c r="J607" i="64"/>
  <c r="H583" i="64"/>
  <c r="H607" i="64"/>
  <c r="F583" i="64"/>
  <c r="F607" i="64"/>
  <c r="D583" i="64"/>
  <c r="D607" i="64"/>
  <c r="BF582" i="64"/>
  <c r="BD582" i="64"/>
  <c r="BD606" i="64"/>
  <c r="BB582" i="64"/>
  <c r="BB606" i="64"/>
  <c r="AZ582" i="64"/>
  <c r="AZ606" i="64"/>
  <c r="AX582" i="64"/>
  <c r="AX606" i="64"/>
  <c r="AV582" i="64"/>
  <c r="AV606" i="64"/>
  <c r="AT582" i="64"/>
  <c r="AT606" i="64"/>
  <c r="AR582" i="64"/>
  <c r="AR606" i="64"/>
  <c r="AP582" i="64"/>
  <c r="AP606" i="64"/>
  <c r="AN582" i="64"/>
  <c r="AN606" i="64"/>
  <c r="AL582" i="64"/>
  <c r="AL606" i="64"/>
  <c r="AJ582" i="64"/>
  <c r="AJ606" i="64"/>
  <c r="AH582" i="64"/>
  <c r="AH606" i="64"/>
  <c r="AF582" i="64"/>
  <c r="AF606" i="64"/>
  <c r="AD582" i="64"/>
  <c r="AD606" i="64"/>
  <c r="AB582" i="64"/>
  <c r="AB606" i="64"/>
  <c r="Z582" i="64"/>
  <c r="Z606" i="64"/>
  <c r="X582" i="64"/>
  <c r="X606" i="64"/>
  <c r="V582" i="64"/>
  <c r="V606" i="64"/>
  <c r="T582" i="64"/>
  <c r="T606" i="64"/>
  <c r="R582" i="64"/>
  <c r="R606" i="64"/>
  <c r="P582" i="64"/>
  <c r="P606" i="64"/>
  <c r="N582" i="64"/>
  <c r="N606" i="64"/>
  <c r="L582" i="64"/>
  <c r="L606" i="64"/>
  <c r="J582" i="64"/>
  <c r="J606" i="64"/>
  <c r="H582" i="64"/>
  <c r="H606" i="64"/>
  <c r="F582" i="64"/>
  <c r="F606" i="64"/>
  <c r="D582" i="64"/>
  <c r="D606" i="64"/>
  <c r="BF581" i="64"/>
  <c r="BD581" i="64"/>
  <c r="BD605" i="64"/>
  <c r="BB581" i="64"/>
  <c r="BB605" i="64"/>
  <c r="AZ581" i="64"/>
  <c r="AZ605" i="64"/>
  <c r="AX581" i="64"/>
  <c r="AX605" i="64"/>
  <c r="AV581" i="64"/>
  <c r="AV605" i="64"/>
  <c r="AT581" i="64"/>
  <c r="AT605" i="64"/>
  <c r="AR581" i="64"/>
  <c r="AR605" i="64"/>
  <c r="AP581" i="64"/>
  <c r="AP605" i="64"/>
  <c r="AN581" i="64"/>
  <c r="AN605" i="64"/>
  <c r="AL581" i="64"/>
  <c r="AL605" i="64"/>
  <c r="AJ581" i="64"/>
  <c r="AJ605" i="64"/>
  <c r="AH581" i="64"/>
  <c r="AH605" i="64"/>
  <c r="AF581" i="64"/>
  <c r="AF605" i="64"/>
  <c r="AD581" i="64"/>
  <c r="AD605" i="64"/>
  <c r="AB581" i="64"/>
  <c r="AB605" i="64"/>
  <c r="Z581" i="64"/>
  <c r="Z605" i="64"/>
  <c r="X581" i="64"/>
  <c r="X605" i="64"/>
  <c r="V581" i="64"/>
  <c r="V605" i="64"/>
  <c r="T581" i="64"/>
  <c r="T605" i="64"/>
  <c r="R581" i="64"/>
  <c r="R605" i="64"/>
  <c r="P581" i="64"/>
  <c r="P605" i="64"/>
  <c r="N581" i="64"/>
  <c r="N605" i="64"/>
  <c r="L581" i="64"/>
  <c r="L605" i="64"/>
  <c r="J581" i="64"/>
  <c r="J605" i="64"/>
  <c r="H581" i="64"/>
  <c r="H605" i="64"/>
  <c r="F581" i="64"/>
  <c r="F605" i="64"/>
  <c r="D581" i="64"/>
  <c r="D605" i="64"/>
  <c r="BF580" i="64"/>
  <c r="BD580" i="64"/>
  <c r="BD604" i="64"/>
  <c r="BB580" i="64"/>
  <c r="BB604" i="64"/>
  <c r="AZ580" i="64"/>
  <c r="AZ604" i="64"/>
  <c r="AX580" i="64"/>
  <c r="AX604" i="64"/>
  <c r="AV580" i="64"/>
  <c r="AV604" i="64"/>
  <c r="AT580" i="64"/>
  <c r="AT604" i="64"/>
  <c r="AR580" i="64"/>
  <c r="AR604" i="64"/>
  <c r="AP580" i="64"/>
  <c r="AP604" i="64"/>
  <c r="AN580" i="64"/>
  <c r="AN604" i="64"/>
  <c r="AL580" i="64"/>
  <c r="AL604" i="64"/>
  <c r="AJ580" i="64"/>
  <c r="AJ604" i="64"/>
  <c r="AH580" i="64"/>
  <c r="AH604" i="64"/>
  <c r="AF580" i="64"/>
  <c r="AF604" i="64"/>
  <c r="AD580" i="64"/>
  <c r="AD604" i="64"/>
  <c r="AB580" i="64"/>
  <c r="AB604" i="64"/>
  <c r="Z580" i="64"/>
  <c r="Z604" i="64"/>
  <c r="X580" i="64"/>
  <c r="X604" i="64"/>
  <c r="V580" i="64"/>
  <c r="V604" i="64"/>
  <c r="T580" i="64"/>
  <c r="T604" i="64"/>
  <c r="R580" i="64"/>
  <c r="R604" i="64"/>
  <c r="P580" i="64"/>
  <c r="P604" i="64"/>
  <c r="N580" i="64"/>
  <c r="N604" i="64"/>
  <c r="L580" i="64"/>
  <c r="L604" i="64"/>
  <c r="J580" i="64"/>
  <c r="J604" i="64"/>
  <c r="H580" i="64"/>
  <c r="H604" i="64"/>
  <c r="F580" i="64"/>
  <c r="F604" i="64"/>
  <c r="D580" i="64"/>
  <c r="D604" i="64"/>
  <c r="BF579" i="64"/>
  <c r="BD579" i="64"/>
  <c r="BD603" i="64"/>
  <c r="BB579" i="64"/>
  <c r="BB603" i="64"/>
  <c r="AZ579" i="64"/>
  <c r="AZ603" i="64"/>
  <c r="AX579" i="64"/>
  <c r="AX603" i="64"/>
  <c r="AV579" i="64"/>
  <c r="AV603" i="64"/>
  <c r="AT579" i="64"/>
  <c r="AT603" i="64"/>
  <c r="AR579" i="64"/>
  <c r="AR603" i="64"/>
  <c r="AP579" i="64"/>
  <c r="AP603" i="64"/>
  <c r="AN579" i="64"/>
  <c r="AN603" i="64"/>
  <c r="AL579" i="64"/>
  <c r="AL603" i="64"/>
  <c r="AJ579" i="64"/>
  <c r="AJ603" i="64"/>
  <c r="AH579" i="64"/>
  <c r="AH603" i="64"/>
  <c r="AF579" i="64"/>
  <c r="AF603" i="64"/>
  <c r="AD579" i="64"/>
  <c r="AD603" i="64"/>
  <c r="AB579" i="64"/>
  <c r="AB603" i="64"/>
  <c r="Z579" i="64"/>
  <c r="Z603" i="64"/>
  <c r="X579" i="64"/>
  <c r="X603" i="64"/>
  <c r="V579" i="64"/>
  <c r="V603" i="64"/>
  <c r="T579" i="64"/>
  <c r="T603" i="64"/>
  <c r="R579" i="64"/>
  <c r="R603" i="64"/>
  <c r="P579" i="64"/>
  <c r="P603" i="64"/>
  <c r="N579" i="64"/>
  <c r="N603" i="64"/>
  <c r="L579" i="64"/>
  <c r="L603" i="64"/>
  <c r="J579" i="64"/>
  <c r="J603" i="64"/>
  <c r="H579" i="64"/>
  <c r="H603" i="64"/>
  <c r="F579" i="64"/>
  <c r="F603" i="64"/>
  <c r="D579" i="64"/>
  <c r="D603" i="64"/>
  <c r="BF578" i="64"/>
  <c r="BD578" i="64"/>
  <c r="BD602" i="64"/>
  <c r="BB578" i="64"/>
  <c r="BB602" i="64"/>
  <c r="AZ578" i="64"/>
  <c r="AZ602" i="64"/>
  <c r="AX578" i="64"/>
  <c r="AX602" i="64"/>
  <c r="AV578" i="64"/>
  <c r="AV602" i="64"/>
  <c r="AT578" i="64"/>
  <c r="AT602" i="64"/>
  <c r="AR578" i="64"/>
  <c r="AR602" i="64"/>
  <c r="AP578" i="64"/>
  <c r="AP602" i="64"/>
  <c r="AN578" i="64"/>
  <c r="AN602" i="64"/>
  <c r="AL578" i="64"/>
  <c r="AL602" i="64"/>
  <c r="AJ578" i="64"/>
  <c r="AJ602" i="64"/>
  <c r="AH578" i="64"/>
  <c r="AH602" i="64"/>
  <c r="AF578" i="64"/>
  <c r="AF602" i="64"/>
  <c r="AD578" i="64"/>
  <c r="AD602" i="64"/>
  <c r="AB578" i="64"/>
  <c r="AB602" i="64"/>
  <c r="Z578" i="64"/>
  <c r="Z602" i="64"/>
  <c r="X578" i="64"/>
  <c r="X602" i="64"/>
  <c r="V578" i="64"/>
  <c r="V602" i="64"/>
  <c r="T578" i="64"/>
  <c r="T602" i="64"/>
  <c r="R578" i="64"/>
  <c r="R602" i="64"/>
  <c r="P578" i="64"/>
  <c r="P602" i="64"/>
  <c r="N578" i="64"/>
  <c r="N602" i="64"/>
  <c r="L578" i="64"/>
  <c r="L602" i="64"/>
  <c r="J578" i="64"/>
  <c r="J602" i="64"/>
  <c r="H578" i="64"/>
  <c r="H602" i="64"/>
  <c r="F578" i="64"/>
  <c r="F602" i="64"/>
  <c r="D578" i="64"/>
  <c r="D602" i="64"/>
  <c r="BF577" i="64"/>
  <c r="BD577" i="64"/>
  <c r="BD601" i="64"/>
  <c r="BB577" i="64"/>
  <c r="BB601" i="64"/>
  <c r="AZ577" i="64"/>
  <c r="AZ601" i="64"/>
  <c r="AX577" i="64"/>
  <c r="AX601" i="64"/>
  <c r="AV577" i="64"/>
  <c r="AV601" i="64"/>
  <c r="AT577" i="64"/>
  <c r="AT601" i="64"/>
  <c r="AR577" i="64"/>
  <c r="AR601" i="64"/>
  <c r="AP577" i="64"/>
  <c r="AP601" i="64"/>
  <c r="AN577" i="64"/>
  <c r="AN601" i="64"/>
  <c r="AL577" i="64"/>
  <c r="AL601" i="64"/>
  <c r="AJ577" i="64"/>
  <c r="AJ601" i="64"/>
  <c r="AH577" i="64"/>
  <c r="AH601" i="64"/>
  <c r="AF577" i="64"/>
  <c r="AF601" i="64"/>
  <c r="AD577" i="64"/>
  <c r="AD601" i="64"/>
  <c r="AB577" i="64"/>
  <c r="AB601" i="64"/>
  <c r="Z577" i="64"/>
  <c r="Z601" i="64"/>
  <c r="X577" i="64"/>
  <c r="X601" i="64"/>
  <c r="V577" i="64"/>
  <c r="V601" i="64"/>
  <c r="T577" i="64"/>
  <c r="T601" i="64"/>
  <c r="R577" i="64"/>
  <c r="R601" i="64"/>
  <c r="P577" i="64"/>
  <c r="P601" i="64"/>
  <c r="N577" i="64"/>
  <c r="N601" i="64"/>
  <c r="L577" i="64"/>
  <c r="L601" i="64"/>
  <c r="J577" i="64"/>
  <c r="J601" i="64"/>
  <c r="H577" i="64"/>
  <c r="H601" i="64"/>
  <c r="F577" i="64"/>
  <c r="F601" i="64"/>
  <c r="D577" i="64"/>
  <c r="D601" i="64"/>
  <c r="BF576" i="64"/>
  <c r="BD576" i="64"/>
  <c r="BD600" i="64"/>
  <c r="BB576" i="64"/>
  <c r="BB600" i="64"/>
  <c r="AZ576" i="64"/>
  <c r="AZ600" i="64"/>
  <c r="AX576" i="64"/>
  <c r="AX600" i="64"/>
  <c r="AV576" i="64"/>
  <c r="AV600" i="64"/>
  <c r="AT576" i="64"/>
  <c r="AT600" i="64"/>
  <c r="AR576" i="64"/>
  <c r="AR600" i="64"/>
  <c r="AP576" i="64"/>
  <c r="AP600" i="64"/>
  <c r="AN576" i="64"/>
  <c r="AN600" i="64"/>
  <c r="AL576" i="64"/>
  <c r="AL600" i="64"/>
  <c r="AJ576" i="64"/>
  <c r="AJ600" i="64"/>
  <c r="AH576" i="64"/>
  <c r="AH600" i="64"/>
  <c r="AF576" i="64"/>
  <c r="AF600" i="64"/>
  <c r="AD576" i="64"/>
  <c r="AD600" i="64"/>
  <c r="AB576" i="64"/>
  <c r="AB600" i="64"/>
  <c r="Z576" i="64"/>
  <c r="Z600" i="64"/>
  <c r="X576" i="64"/>
  <c r="X600" i="64"/>
  <c r="V576" i="64"/>
  <c r="V600" i="64"/>
  <c r="T576" i="64"/>
  <c r="T600" i="64"/>
  <c r="R576" i="64"/>
  <c r="R600" i="64"/>
  <c r="P576" i="64"/>
  <c r="P600" i="64"/>
  <c r="N576" i="64"/>
  <c r="N600" i="64"/>
  <c r="L576" i="64"/>
  <c r="L600" i="64"/>
  <c r="J576" i="64"/>
  <c r="J600" i="64"/>
  <c r="H576" i="64"/>
  <c r="H600" i="64"/>
  <c r="F576" i="64"/>
  <c r="F600" i="64"/>
  <c r="D576" i="64"/>
  <c r="D600" i="64"/>
  <c r="BF575" i="64"/>
  <c r="BD575" i="64"/>
  <c r="BD599" i="64"/>
  <c r="BB575" i="64"/>
  <c r="BB599" i="64"/>
  <c r="AZ575" i="64"/>
  <c r="AZ599" i="64"/>
  <c r="AX575" i="64"/>
  <c r="AX599" i="64"/>
  <c r="AV575" i="64"/>
  <c r="AV599" i="64"/>
  <c r="AT575" i="64"/>
  <c r="AT599" i="64"/>
  <c r="AR575" i="64"/>
  <c r="AR599" i="64"/>
  <c r="AP575" i="64"/>
  <c r="AP599" i="64"/>
  <c r="AN575" i="64"/>
  <c r="AN599" i="64"/>
  <c r="AL575" i="64"/>
  <c r="AL599" i="64"/>
  <c r="AJ575" i="64"/>
  <c r="AJ599" i="64"/>
  <c r="AH575" i="64"/>
  <c r="AH599" i="64"/>
  <c r="AF575" i="64"/>
  <c r="AF599" i="64"/>
  <c r="AD575" i="64"/>
  <c r="AD599" i="64"/>
  <c r="AB575" i="64"/>
  <c r="AB599" i="64"/>
  <c r="Z575" i="64"/>
  <c r="Z599" i="64"/>
  <c r="X575" i="64"/>
  <c r="X599" i="64"/>
  <c r="V575" i="64"/>
  <c r="V599" i="64"/>
  <c r="T575" i="64"/>
  <c r="T599" i="64"/>
  <c r="R575" i="64"/>
  <c r="R599" i="64"/>
  <c r="P575" i="64"/>
  <c r="P599" i="64"/>
  <c r="N575" i="64"/>
  <c r="N599" i="64"/>
  <c r="L575" i="64"/>
  <c r="L599" i="64"/>
  <c r="J575" i="64"/>
  <c r="J599" i="64"/>
  <c r="H575" i="64"/>
  <c r="H599" i="64"/>
  <c r="F575" i="64"/>
  <c r="F599" i="64"/>
  <c r="D575" i="64"/>
  <c r="D599" i="64"/>
  <c r="BF574" i="64"/>
  <c r="BD574" i="64"/>
  <c r="BD598" i="64"/>
  <c r="BB574" i="64"/>
  <c r="BB598" i="64"/>
  <c r="AZ574" i="64"/>
  <c r="AZ598" i="64"/>
  <c r="AX574" i="64"/>
  <c r="AX598" i="64"/>
  <c r="AV574" i="64"/>
  <c r="AV598" i="64"/>
  <c r="AT574" i="64"/>
  <c r="AT598" i="64"/>
  <c r="AR574" i="64"/>
  <c r="AR598" i="64"/>
  <c r="AP574" i="64"/>
  <c r="AP598" i="64"/>
  <c r="AN574" i="64"/>
  <c r="AN598" i="64"/>
  <c r="AL574" i="64"/>
  <c r="AL598" i="64"/>
  <c r="AJ574" i="64"/>
  <c r="AJ598" i="64"/>
  <c r="AH574" i="64"/>
  <c r="AH598" i="64"/>
  <c r="AF574" i="64"/>
  <c r="AF598" i="64"/>
  <c r="AD574" i="64"/>
  <c r="AD598" i="64"/>
  <c r="AB574" i="64"/>
  <c r="AB598" i="64"/>
  <c r="Z574" i="64"/>
  <c r="Z598" i="64"/>
  <c r="X574" i="64"/>
  <c r="X598" i="64"/>
  <c r="V574" i="64"/>
  <c r="V598" i="64"/>
  <c r="T574" i="64"/>
  <c r="T598" i="64"/>
  <c r="R574" i="64"/>
  <c r="R598" i="64"/>
  <c r="P574" i="64"/>
  <c r="P598" i="64"/>
  <c r="N574" i="64"/>
  <c r="N598" i="64"/>
  <c r="L574" i="64"/>
  <c r="L598" i="64"/>
  <c r="J574" i="64"/>
  <c r="J598" i="64"/>
  <c r="H574" i="64"/>
  <c r="H598" i="64"/>
  <c r="F574" i="64"/>
  <c r="F598" i="64"/>
  <c r="D574" i="64"/>
  <c r="D598" i="64"/>
  <c r="BF573" i="64"/>
  <c r="BD573" i="64"/>
  <c r="BD597" i="64"/>
  <c r="BB573" i="64"/>
  <c r="BB597" i="64"/>
  <c r="AZ573" i="64"/>
  <c r="AZ597" i="64"/>
  <c r="AX573" i="64"/>
  <c r="AX597" i="64"/>
  <c r="AV573" i="64"/>
  <c r="AV597" i="64"/>
  <c r="AT573" i="64"/>
  <c r="AT597" i="64"/>
  <c r="AR573" i="64"/>
  <c r="AR597" i="64"/>
  <c r="AP573" i="64"/>
  <c r="AP597" i="64"/>
  <c r="AN573" i="64"/>
  <c r="AN597" i="64"/>
  <c r="AL573" i="64"/>
  <c r="AL597" i="64"/>
  <c r="AJ573" i="64"/>
  <c r="AJ597" i="64"/>
  <c r="AH573" i="64"/>
  <c r="AH597" i="64"/>
  <c r="AF573" i="64"/>
  <c r="AF597" i="64"/>
  <c r="AD573" i="64"/>
  <c r="AD597" i="64"/>
  <c r="AB573" i="64"/>
  <c r="AB597" i="64"/>
  <c r="Z573" i="64"/>
  <c r="Z597" i="64"/>
  <c r="X573" i="64"/>
  <c r="X597" i="64"/>
  <c r="V573" i="64"/>
  <c r="V597" i="64"/>
  <c r="T573" i="64"/>
  <c r="T597" i="64"/>
  <c r="R573" i="64"/>
  <c r="R597" i="64"/>
  <c r="P573" i="64"/>
  <c r="P597" i="64"/>
  <c r="N573" i="64"/>
  <c r="N597" i="64"/>
  <c r="L573" i="64"/>
  <c r="L597" i="64"/>
  <c r="J573" i="64"/>
  <c r="J597" i="64"/>
  <c r="H573" i="64"/>
  <c r="H597" i="64"/>
  <c r="F573" i="64"/>
  <c r="F597" i="64"/>
  <c r="BF572" i="64"/>
  <c r="BD572" i="64"/>
  <c r="BD596" i="64"/>
  <c r="BB572" i="64"/>
  <c r="BB596" i="64"/>
  <c r="AZ572" i="64"/>
  <c r="AZ596" i="64"/>
  <c r="AX572" i="64"/>
  <c r="AX596" i="64"/>
  <c r="AV572" i="64"/>
  <c r="AV596" i="64"/>
  <c r="AT572" i="64"/>
  <c r="AT596" i="64"/>
  <c r="AR572" i="64"/>
  <c r="AR596" i="64"/>
  <c r="AP572" i="64"/>
  <c r="AP596" i="64"/>
  <c r="AN572" i="64"/>
  <c r="AN596" i="64"/>
  <c r="AL572" i="64"/>
  <c r="AL596" i="64"/>
  <c r="AJ572" i="64"/>
  <c r="AJ596" i="64"/>
  <c r="AH572" i="64"/>
  <c r="AH596" i="64"/>
  <c r="AF572" i="64"/>
  <c r="AF596" i="64"/>
  <c r="AD572" i="64"/>
  <c r="AD596" i="64"/>
  <c r="AB572" i="64"/>
  <c r="AB596" i="64"/>
  <c r="Z572" i="64"/>
  <c r="Z596" i="64"/>
  <c r="X572" i="64"/>
  <c r="X596" i="64"/>
  <c r="V572" i="64"/>
  <c r="V596" i="64"/>
  <c r="T572" i="64"/>
  <c r="T596" i="64"/>
  <c r="R572" i="64"/>
  <c r="R596" i="64"/>
  <c r="P572" i="64"/>
  <c r="P596" i="64"/>
  <c r="N572" i="64"/>
  <c r="N596" i="64"/>
  <c r="L572" i="64"/>
  <c r="L596" i="64"/>
  <c r="J572" i="64"/>
  <c r="J596" i="64"/>
  <c r="H572" i="64"/>
  <c r="H596" i="64"/>
  <c r="F572" i="64"/>
  <c r="F596" i="64"/>
  <c r="BF571" i="64"/>
  <c r="BD571" i="64"/>
  <c r="BD595" i="64"/>
  <c r="BB571" i="64"/>
  <c r="BB595" i="64"/>
  <c r="AZ571" i="64"/>
  <c r="AZ595" i="64"/>
  <c r="AX571" i="64"/>
  <c r="AX595" i="64"/>
  <c r="AV571" i="64"/>
  <c r="AV595" i="64"/>
  <c r="AT571" i="64"/>
  <c r="AT595" i="64"/>
  <c r="AR571" i="64"/>
  <c r="AR595" i="64"/>
  <c r="AP571" i="64"/>
  <c r="AP595" i="64"/>
  <c r="AN571" i="64"/>
  <c r="AN595" i="64"/>
  <c r="AL571" i="64"/>
  <c r="AL595" i="64"/>
  <c r="AJ571" i="64"/>
  <c r="AJ595" i="64"/>
  <c r="AH571" i="64"/>
  <c r="AH595" i="64"/>
  <c r="AF571" i="64"/>
  <c r="AF595" i="64"/>
  <c r="AD571" i="64"/>
  <c r="AD595" i="64"/>
  <c r="AB571" i="64"/>
  <c r="AB595" i="64"/>
  <c r="Z571" i="64"/>
  <c r="Z595" i="64"/>
  <c r="X571" i="64"/>
  <c r="X595" i="64"/>
  <c r="V571" i="64"/>
  <c r="V595" i="64"/>
  <c r="T571" i="64"/>
  <c r="T595" i="64"/>
  <c r="R571" i="64"/>
  <c r="R595" i="64"/>
  <c r="P571" i="64"/>
  <c r="P595" i="64"/>
  <c r="N571" i="64"/>
  <c r="N595" i="64"/>
  <c r="L571" i="64"/>
  <c r="L595" i="64"/>
  <c r="J571" i="64"/>
  <c r="J595" i="64"/>
  <c r="H571" i="64"/>
  <c r="H595" i="64"/>
  <c r="F571" i="64"/>
  <c r="F595" i="64"/>
  <c r="BF570" i="64"/>
  <c r="BD570" i="64"/>
  <c r="BD594" i="64"/>
  <c r="BB570" i="64"/>
  <c r="BB594" i="64"/>
  <c r="AX570" i="64"/>
  <c r="AX594" i="64"/>
  <c r="AV570" i="64"/>
  <c r="AV594" i="64"/>
  <c r="AT570" i="64"/>
  <c r="AT594" i="64"/>
  <c r="AR570" i="64"/>
  <c r="AR594" i="64"/>
  <c r="AP570" i="64"/>
  <c r="AP594" i="64"/>
  <c r="AN570" i="64"/>
  <c r="AN594" i="64"/>
  <c r="AL570" i="64"/>
  <c r="AL594" i="64"/>
  <c r="AJ570" i="64"/>
  <c r="AJ594" i="64"/>
  <c r="AH570" i="64"/>
  <c r="AH594" i="64"/>
  <c r="AF570" i="64"/>
  <c r="AF594" i="64"/>
  <c r="AD570" i="64"/>
  <c r="AD594" i="64"/>
  <c r="AB570" i="64"/>
  <c r="AB594" i="64"/>
  <c r="Z570" i="64"/>
  <c r="Z594" i="64"/>
  <c r="X570" i="64"/>
  <c r="X594" i="64"/>
  <c r="V570" i="64"/>
  <c r="V594" i="64"/>
  <c r="R570" i="64"/>
  <c r="R594" i="64"/>
  <c r="P570" i="64"/>
  <c r="P594" i="64"/>
  <c r="N570" i="64"/>
  <c r="N594" i="64"/>
  <c r="L570" i="64"/>
  <c r="L594" i="64"/>
  <c r="J570" i="64"/>
  <c r="J594" i="64"/>
  <c r="H570" i="64"/>
  <c r="H594" i="64"/>
  <c r="F570" i="64"/>
  <c r="F594" i="64"/>
  <c r="BF569" i="64"/>
  <c r="BD569" i="64"/>
  <c r="BD593" i="64"/>
  <c r="BB569" i="64"/>
  <c r="BB593" i="64"/>
  <c r="AZ569" i="64"/>
  <c r="AZ593" i="64"/>
  <c r="AX569" i="64"/>
  <c r="AX593" i="64"/>
  <c r="AV569" i="64"/>
  <c r="AV593" i="64"/>
  <c r="AT569" i="64"/>
  <c r="AT593" i="64"/>
  <c r="AR569" i="64"/>
  <c r="AR593" i="64"/>
  <c r="AP569" i="64"/>
  <c r="AP593" i="64"/>
  <c r="AN569" i="64"/>
  <c r="AN593" i="64"/>
  <c r="AL569" i="64"/>
  <c r="AL593" i="64"/>
  <c r="AJ569" i="64"/>
  <c r="AJ593" i="64"/>
  <c r="AH569" i="64"/>
  <c r="AH593" i="64"/>
  <c r="AF569" i="64"/>
  <c r="AF593" i="64"/>
  <c r="AD569" i="64"/>
  <c r="AD593" i="64"/>
  <c r="AB569" i="64"/>
  <c r="AB593" i="64"/>
  <c r="Z569" i="64"/>
  <c r="Z593" i="64"/>
  <c r="X569" i="64"/>
  <c r="X593" i="64"/>
  <c r="V569" i="64"/>
  <c r="V593" i="64"/>
  <c r="R569" i="64"/>
  <c r="R593" i="64"/>
  <c r="P569" i="64"/>
  <c r="P593" i="64"/>
  <c r="N569" i="64"/>
  <c r="N593" i="64"/>
  <c r="L569" i="64"/>
  <c r="L593" i="64"/>
  <c r="J569" i="64"/>
  <c r="J593" i="64"/>
  <c r="H569" i="64"/>
  <c r="H593" i="64"/>
  <c r="F569" i="64"/>
  <c r="F593" i="64"/>
  <c r="D569" i="64"/>
  <c r="D593" i="64"/>
  <c r="BF568" i="64"/>
  <c r="BD568" i="64"/>
  <c r="BD592" i="64"/>
  <c r="BB568" i="64"/>
  <c r="BB592" i="64"/>
  <c r="AZ568" i="64"/>
  <c r="AZ592" i="64"/>
  <c r="AX568" i="64"/>
  <c r="AX592" i="64"/>
  <c r="AV568" i="64"/>
  <c r="AV592" i="64"/>
  <c r="AT568" i="64"/>
  <c r="AT592" i="64"/>
  <c r="AP568" i="64"/>
  <c r="AP592" i="64"/>
  <c r="AN568" i="64"/>
  <c r="AN592" i="64"/>
  <c r="AL568" i="64"/>
  <c r="AL592" i="64"/>
  <c r="AJ568" i="64"/>
  <c r="AJ592" i="64"/>
  <c r="AH568" i="64"/>
  <c r="AH592" i="64"/>
  <c r="AF568" i="64"/>
  <c r="AF592" i="64"/>
  <c r="AD568" i="64"/>
  <c r="AD592" i="64"/>
  <c r="AB568" i="64"/>
  <c r="AB592" i="64"/>
  <c r="Z568" i="64"/>
  <c r="Z592" i="64"/>
  <c r="X568" i="64"/>
  <c r="X592" i="64"/>
  <c r="V568" i="64"/>
  <c r="V592" i="64"/>
  <c r="R568" i="64"/>
  <c r="R592" i="64"/>
  <c r="P568" i="64"/>
  <c r="P592" i="64"/>
  <c r="N568" i="64"/>
  <c r="N592" i="64"/>
  <c r="L568" i="64"/>
  <c r="L592" i="64"/>
  <c r="J568" i="64"/>
  <c r="J592" i="64"/>
  <c r="H568" i="64"/>
  <c r="H592" i="64"/>
  <c r="F568" i="64"/>
  <c r="F592" i="64"/>
  <c r="D568" i="64"/>
  <c r="D592" i="64"/>
  <c r="BD567" i="64"/>
  <c r="BD591" i="64"/>
  <c r="BB567" i="64"/>
  <c r="BB591" i="64"/>
  <c r="AZ567" i="64"/>
  <c r="AZ591" i="64"/>
  <c r="AX567" i="64"/>
  <c r="AX591" i="64"/>
  <c r="AV567" i="64"/>
  <c r="AV591" i="64"/>
  <c r="AT567" i="64"/>
  <c r="AT591" i="64"/>
  <c r="AR567" i="64"/>
  <c r="AR591" i="64"/>
  <c r="AP567" i="64"/>
  <c r="AP591" i="64"/>
  <c r="AN567" i="64"/>
  <c r="AN591" i="64"/>
  <c r="AL567" i="64"/>
  <c r="AL591" i="64"/>
  <c r="AJ567" i="64"/>
  <c r="AJ591" i="64"/>
  <c r="AH567" i="64"/>
  <c r="AH591" i="64"/>
  <c r="AF567" i="64"/>
  <c r="AF591" i="64"/>
  <c r="AD567" i="64"/>
  <c r="AD591" i="64"/>
  <c r="AB567" i="64"/>
  <c r="AB591" i="64"/>
  <c r="Z567" i="64"/>
  <c r="Z591" i="64"/>
  <c r="X567" i="64"/>
  <c r="X591" i="64"/>
  <c r="V567" i="64"/>
  <c r="V591" i="64"/>
  <c r="T567" i="64"/>
  <c r="T591" i="64"/>
  <c r="R567" i="64"/>
  <c r="R591" i="64"/>
  <c r="P567" i="64"/>
  <c r="P591" i="64"/>
  <c r="N567" i="64"/>
  <c r="N591" i="64"/>
  <c r="L567" i="64"/>
  <c r="L591" i="64"/>
  <c r="J567" i="64"/>
  <c r="J591" i="64"/>
  <c r="H567" i="64"/>
  <c r="H591" i="64"/>
  <c r="F567" i="64"/>
  <c r="F591" i="64"/>
  <c r="D567" i="64"/>
  <c r="D591" i="64"/>
  <c r="W597" i="64"/>
  <c r="AS601" i="64"/>
  <c r="T592" i="64"/>
  <c r="AR592" i="64"/>
  <c r="T593" i="64"/>
  <c r="D594" i="64"/>
  <c r="T594" i="64"/>
  <c r="AZ594" i="64"/>
  <c r="D595" i="64"/>
  <c r="D596" i="64"/>
  <c r="D597" i="64"/>
  <c r="BF592" i="64"/>
  <c r="BF591" i="64"/>
  <c r="BF593" i="64"/>
  <c r="BF595" i="64"/>
  <c r="BF597" i="64"/>
  <c r="BF599" i="64"/>
  <c r="BF601" i="64"/>
  <c r="BF603" i="64"/>
  <c r="BF605" i="64"/>
  <c r="BF607" i="64"/>
  <c r="BF609" i="64"/>
  <c r="BF594" i="64"/>
  <c r="BF596" i="64"/>
  <c r="BF598" i="64"/>
  <c r="BF600" i="64"/>
  <c r="BF602" i="64"/>
  <c r="BF604" i="64"/>
  <c r="BF606" i="64"/>
  <c r="BF608" i="64"/>
  <c r="BF610" i="64"/>
  <c r="BF753" i="64"/>
  <c r="BE788" i="64"/>
  <c r="BA788" i="64"/>
  <c r="AW788" i="64"/>
  <c r="AS788" i="64"/>
  <c r="AO788" i="64"/>
  <c r="AK788" i="64"/>
  <c r="AG788" i="64"/>
  <c r="AC788" i="64"/>
  <c r="Y788" i="64"/>
  <c r="U788" i="64"/>
  <c r="Q788" i="64"/>
  <c r="M788" i="64"/>
  <c r="I788" i="64"/>
  <c r="E788" i="64"/>
  <c r="BF713" i="64"/>
  <c r="BF354" i="64" s="1"/>
  <c r="BF715" i="64" s="1"/>
  <c r="BF717" i="64" s="1"/>
  <c r="BD788" i="64"/>
  <c r="AZ788" i="64"/>
  <c r="AV788" i="64"/>
  <c r="AR788" i="64"/>
  <c r="AN788" i="64"/>
  <c r="AJ788" i="64"/>
  <c r="AF788" i="64"/>
  <c r="AB788" i="64"/>
  <c r="X788" i="64"/>
  <c r="T788" i="64"/>
  <c r="P788" i="64"/>
  <c r="L788" i="64"/>
  <c r="H788" i="64"/>
  <c r="D788" i="64"/>
  <c r="K68" i="126"/>
  <c r="K26" i="126"/>
  <c r="L33" i="126"/>
  <c r="G128" i="126" s="1"/>
  <c r="K47" i="126"/>
  <c r="L47" i="126" s="1"/>
  <c r="G130" i="126" s="1"/>
  <c r="K30" i="126"/>
  <c r="L30" i="126" s="1"/>
  <c r="G127" i="126" s="1"/>
  <c r="K55" i="126"/>
  <c r="L55" i="126" s="1"/>
  <c r="G131" i="126" s="1"/>
  <c r="J322" i="64"/>
  <c r="X262" i="64"/>
  <c r="AR206" i="64"/>
  <c r="H206" i="64"/>
  <c r="AK206" i="64"/>
  <c r="Y206" i="64"/>
  <c r="T206" i="64"/>
  <c r="D206" i="64"/>
  <c r="P206" i="64"/>
  <c r="L206" i="64"/>
  <c r="AP206" i="64"/>
  <c r="AL206" i="64"/>
  <c r="AH206" i="64"/>
  <c r="AD206" i="64"/>
  <c r="Z206" i="64"/>
  <c r="AG206" i="64"/>
  <c r="AC206" i="64"/>
  <c r="S206" i="64"/>
  <c r="O206" i="64"/>
  <c r="K206" i="64"/>
  <c r="G206" i="64"/>
  <c r="C206" i="64"/>
  <c r="U206" i="64"/>
  <c r="Q206" i="64"/>
  <c r="M206" i="64"/>
  <c r="I206" i="64"/>
  <c r="E206" i="64"/>
  <c r="AJ206" i="64"/>
  <c r="AF206" i="64"/>
  <c r="AB206" i="64"/>
  <c r="X206" i="64"/>
  <c r="V206" i="64"/>
  <c r="R206" i="64"/>
  <c r="N206" i="64"/>
  <c r="J206" i="64"/>
  <c r="F206" i="64"/>
  <c r="AM206" i="64"/>
  <c r="AI206" i="64"/>
  <c r="AE206" i="64"/>
  <c r="AA206" i="64"/>
  <c r="K27" i="126"/>
  <c r="L27" i="126" s="1"/>
  <c r="G126" i="126" s="1"/>
  <c r="M59" i="126"/>
  <c r="L60" i="126"/>
  <c r="K69" i="126"/>
  <c r="L69" i="126" s="1"/>
  <c r="G133" i="126" s="1"/>
  <c r="I92" i="126"/>
  <c r="F135" i="126" s="1"/>
  <c r="K59" i="126"/>
  <c r="L59" i="126" s="1"/>
  <c r="G132" i="126" s="1"/>
  <c r="D682" i="64"/>
  <c r="BD479" i="64"/>
  <c r="AV479" i="64"/>
  <c r="AR479" i="64"/>
  <c r="AN479" i="64"/>
  <c r="AJ479" i="64"/>
  <c r="AF479" i="64"/>
  <c r="AB479" i="64"/>
  <c r="X479" i="64"/>
  <c r="T479" i="64"/>
  <c r="P479" i="64"/>
  <c r="L479" i="64"/>
  <c r="H479" i="64"/>
  <c r="D479" i="64"/>
  <c r="K19" i="126"/>
  <c r="L19" i="126" s="1"/>
  <c r="G125" i="126" s="1"/>
  <c r="L70" i="126"/>
  <c r="BF479" i="64"/>
  <c r="O59" i="105" s="1"/>
  <c r="P59" i="105" s="1"/>
  <c r="C59" i="105" s="1"/>
  <c r="BF567" i="64" s="1"/>
  <c r="BB479" i="64"/>
  <c r="AX479" i="64"/>
  <c r="AT479" i="64"/>
  <c r="AP479" i="64"/>
  <c r="AL479" i="64"/>
  <c r="AH479" i="64"/>
  <c r="AD479" i="64"/>
  <c r="Z479" i="64"/>
  <c r="V479" i="64"/>
  <c r="R479" i="64"/>
  <c r="N479" i="64"/>
  <c r="J479" i="64"/>
  <c r="F479" i="64"/>
  <c r="BE479" i="64"/>
  <c r="BA479" i="64"/>
  <c r="AW479" i="64"/>
  <c r="AS479" i="64"/>
  <c r="AO479" i="64"/>
  <c r="AK479" i="64"/>
  <c r="AG479" i="64"/>
  <c r="AC479" i="64"/>
  <c r="Y479" i="64"/>
  <c r="U479" i="64"/>
  <c r="Q479" i="64"/>
  <c r="M479" i="64"/>
  <c r="I479" i="64"/>
  <c r="E479" i="64"/>
  <c r="BK223" i="64"/>
  <c r="AZ262" i="64"/>
  <c r="AZ322" i="64"/>
  <c r="BC479" i="64"/>
  <c r="AY479" i="64"/>
  <c r="AU479" i="64"/>
  <c r="AQ479" i="64"/>
  <c r="AM479" i="64"/>
  <c r="AI479" i="64"/>
  <c r="AE479" i="64"/>
  <c r="AA479" i="64"/>
  <c r="W479" i="64"/>
  <c r="S479" i="64"/>
  <c r="O479" i="64"/>
  <c r="K479" i="64"/>
  <c r="G479" i="64"/>
  <c r="C479" i="64"/>
  <c r="Z262" i="64"/>
  <c r="L262" i="64"/>
  <c r="Z225" i="64"/>
  <c r="J225" i="64"/>
  <c r="BH307" i="64"/>
  <c r="BF788" i="64"/>
  <c r="BB788" i="64"/>
  <c r="AX788" i="64"/>
  <c r="AT788" i="64"/>
  <c r="AP788" i="64"/>
  <c r="AL788" i="64"/>
  <c r="AH788" i="64"/>
  <c r="AD788" i="64"/>
  <c r="Z788" i="64"/>
  <c r="V788" i="64"/>
  <c r="R788" i="64"/>
  <c r="N788" i="64"/>
  <c r="J788" i="64"/>
  <c r="F788" i="64"/>
  <c r="BF856" i="64"/>
  <c r="L59" i="105" s="1"/>
  <c r="M59" i="105" s="1"/>
  <c r="N59" i="105" s="1"/>
  <c r="BB856" i="64"/>
  <c r="AX856" i="64"/>
  <c r="AT856" i="64"/>
  <c r="AP856" i="64"/>
  <c r="AL856" i="64"/>
  <c r="AH856" i="64"/>
  <c r="AD856" i="64"/>
  <c r="Z856" i="64"/>
  <c r="V856" i="64"/>
  <c r="R856" i="64"/>
  <c r="N856" i="64"/>
  <c r="J856" i="64"/>
  <c r="F856" i="64"/>
  <c r="BF890" i="64"/>
  <c r="BF358" i="64" s="1"/>
  <c r="BB890" i="64"/>
  <c r="BB358" i="64" s="1"/>
  <c r="AX890" i="64"/>
  <c r="AX358" i="64" s="1"/>
  <c r="AT890" i="64"/>
  <c r="AT358" i="64" s="1"/>
  <c r="AP890" i="64"/>
  <c r="AP358" i="64" s="1"/>
  <c r="AL890" i="64"/>
  <c r="AL358" i="64" s="1"/>
  <c r="AH890" i="64"/>
  <c r="AH358" i="64" s="1"/>
  <c r="AD890" i="64"/>
  <c r="AD358" i="64" s="1"/>
  <c r="Z890" i="64"/>
  <c r="Z358" i="64" s="1"/>
  <c r="V890" i="64"/>
  <c r="V358" i="64" s="1"/>
  <c r="R890" i="64"/>
  <c r="R358" i="64" s="1"/>
  <c r="N890" i="64"/>
  <c r="N358" i="64" s="1"/>
  <c r="J890" i="64"/>
  <c r="J358" i="64" s="1"/>
  <c r="F890" i="64"/>
  <c r="F358" i="64" s="1"/>
  <c r="BH309" i="64"/>
  <c r="BD856" i="64"/>
  <c r="AZ856" i="64"/>
  <c r="AV856" i="64"/>
  <c r="AR856" i="64"/>
  <c r="AN856" i="64"/>
  <c r="AJ856" i="64"/>
  <c r="AF856" i="64"/>
  <c r="AB856" i="64"/>
  <c r="X856" i="64"/>
  <c r="T856" i="64"/>
  <c r="P856" i="64"/>
  <c r="L856" i="64"/>
  <c r="H856" i="64"/>
  <c r="D856" i="64"/>
  <c r="BD890" i="64"/>
  <c r="BD358" i="64" s="1"/>
  <c r="AZ890" i="64"/>
  <c r="AZ358" i="64" s="1"/>
  <c r="AV890" i="64"/>
  <c r="AV358" i="64" s="1"/>
  <c r="AR890" i="64"/>
  <c r="AR358" i="64" s="1"/>
  <c r="AN890" i="64"/>
  <c r="AN358" i="64" s="1"/>
  <c r="AJ890" i="64"/>
  <c r="AJ358" i="64" s="1"/>
  <c r="AF890" i="64"/>
  <c r="AF358" i="64" s="1"/>
  <c r="AB890" i="64"/>
  <c r="AB358" i="64" s="1"/>
  <c r="X890" i="64"/>
  <c r="X358" i="64" s="1"/>
  <c r="T890" i="64"/>
  <c r="T358" i="64" s="1"/>
  <c r="P890" i="64"/>
  <c r="P358" i="64" s="1"/>
  <c r="L890" i="64"/>
  <c r="L358" i="64" s="1"/>
  <c r="H890" i="64"/>
  <c r="H358" i="64" s="1"/>
  <c r="D890" i="64"/>
  <c r="D358" i="64" s="1"/>
  <c r="F31" i="140"/>
  <c r="H31" i="140"/>
  <c r="J31" i="140"/>
  <c r="L31" i="140"/>
  <c r="N31" i="140"/>
  <c r="P31" i="140"/>
  <c r="R31" i="140"/>
  <c r="T31" i="140"/>
  <c r="V31" i="140"/>
  <c r="V115" i="140" s="1"/>
  <c r="V121" i="140" s="1"/>
  <c r="V122" i="140" s="1"/>
  <c r="X31" i="140"/>
  <c r="Z31" i="140"/>
  <c r="AB31" i="140"/>
  <c r="AD31" i="140"/>
  <c r="AF31" i="140"/>
  <c r="AH31" i="140"/>
  <c r="AJ31" i="140"/>
  <c r="AL31" i="140"/>
  <c r="AN31" i="140"/>
  <c r="AP31" i="140"/>
  <c r="AR31" i="140"/>
  <c r="AT31" i="140"/>
  <c r="AV31" i="140"/>
  <c r="AX31" i="140"/>
  <c r="AZ31" i="140"/>
  <c r="BB31" i="140"/>
  <c r="BD31" i="140"/>
  <c r="BF31" i="140"/>
  <c r="D31" i="140"/>
  <c r="E31" i="140"/>
  <c r="G31" i="140"/>
  <c r="G115" i="140" s="1"/>
  <c r="G121" i="140" s="1"/>
  <c r="G122" i="140" s="1"/>
  <c r="I31" i="140"/>
  <c r="I115" i="140" s="1"/>
  <c r="I121" i="140" s="1"/>
  <c r="I122" i="140" s="1"/>
  <c r="K31" i="140"/>
  <c r="M31" i="140"/>
  <c r="O31" i="140"/>
  <c r="Q31" i="140"/>
  <c r="S31" i="140"/>
  <c r="U31" i="140"/>
  <c r="W31" i="140"/>
  <c r="Y31" i="140"/>
  <c r="AA31" i="140"/>
  <c r="AC31" i="140"/>
  <c r="AE31" i="140"/>
  <c r="AG31" i="140"/>
  <c r="AI31" i="140"/>
  <c r="AK31" i="140"/>
  <c r="AM31" i="140"/>
  <c r="AM115" i="140" s="1"/>
  <c r="AM121" i="140" s="1"/>
  <c r="AM122" i="140" s="1"/>
  <c r="AO31" i="140"/>
  <c r="AQ31" i="140"/>
  <c r="AS31" i="140"/>
  <c r="AU31" i="140"/>
  <c r="AW31" i="140"/>
  <c r="AY31" i="140"/>
  <c r="BA31" i="140"/>
  <c r="BC31" i="140"/>
  <c r="BE31" i="140"/>
  <c r="BA206" i="64"/>
  <c r="BE206" i="64"/>
  <c r="AW206" i="64"/>
  <c r="AY206" i="64"/>
  <c r="AU206" i="64"/>
  <c r="AQ206" i="64"/>
  <c r="AO206" i="64"/>
  <c r="AN206" i="64"/>
  <c r="BF206" i="64"/>
  <c r="BF14" i="111" s="1"/>
  <c r="BD206" i="64"/>
  <c r="BB206" i="64"/>
  <c r="AZ206" i="64"/>
  <c r="AX206" i="64"/>
  <c r="AV206" i="64"/>
  <c r="AT206" i="64"/>
  <c r="AS206" i="64"/>
  <c r="AZ479" i="64"/>
  <c r="BI101" i="133"/>
  <c r="BI103" i="133"/>
  <c r="BI99" i="133"/>
  <c r="M106" i="126"/>
  <c r="M69" i="126"/>
  <c r="M55" i="126"/>
  <c r="M99" i="126"/>
  <c r="M92" i="126"/>
  <c r="BD328" i="64"/>
  <c r="AZ328" i="64"/>
  <c r="BF392" i="64"/>
  <c r="BF466" i="64" s="1"/>
  <c r="BD392" i="64"/>
  <c r="BD466" i="64" s="1"/>
  <c r="BB392" i="64"/>
  <c r="BB466" i="64" s="1"/>
  <c r="AZ392" i="64"/>
  <c r="AZ466" i="64" s="1"/>
  <c r="AX392" i="64"/>
  <c r="AX466" i="64" s="1"/>
  <c r="AV392" i="64"/>
  <c r="AV466" i="64" s="1"/>
  <c r="AT392" i="64"/>
  <c r="AT466" i="64" s="1"/>
  <c r="AR392" i="64"/>
  <c r="AR466" i="64" s="1"/>
  <c r="AP392" i="64"/>
  <c r="AP466" i="64" s="1"/>
  <c r="AN392" i="64"/>
  <c r="AN466" i="64" s="1"/>
  <c r="AL392" i="64"/>
  <c r="AL466" i="64" s="1"/>
  <c r="AJ392" i="64"/>
  <c r="AJ466" i="64" s="1"/>
  <c r="AH392" i="64"/>
  <c r="AH466" i="64" s="1"/>
  <c r="AF392" i="64"/>
  <c r="AF466" i="64" s="1"/>
  <c r="AD392" i="64"/>
  <c r="AD466" i="64" s="1"/>
  <c r="AB392" i="64"/>
  <c r="AB466" i="64" s="1"/>
  <c r="Z392" i="64"/>
  <c r="Z466" i="64" s="1"/>
  <c r="X392" i="64"/>
  <c r="X466" i="64" s="1"/>
  <c r="V392" i="64"/>
  <c r="V466" i="64" s="1"/>
  <c r="T392" i="64"/>
  <c r="T466" i="64" s="1"/>
  <c r="R392" i="64"/>
  <c r="R466" i="64" s="1"/>
  <c r="P392" i="64"/>
  <c r="P466" i="64" s="1"/>
  <c r="N392" i="64"/>
  <c r="N466" i="64" s="1"/>
  <c r="L392" i="64"/>
  <c r="L466" i="64" s="1"/>
  <c r="J392" i="64"/>
  <c r="J466" i="64" s="1"/>
  <c r="H392" i="64"/>
  <c r="F392" i="64"/>
  <c r="F466" i="64" s="1"/>
  <c r="D392" i="64"/>
  <c r="D466" i="64" s="1"/>
  <c r="BE392" i="64"/>
  <c r="BE466" i="64" s="1"/>
  <c r="BC392" i="64"/>
  <c r="BC466" i="64" s="1"/>
  <c r="BA392" i="64"/>
  <c r="BA466" i="64" s="1"/>
  <c r="AY392" i="64"/>
  <c r="AY466" i="64" s="1"/>
  <c r="AW392" i="64"/>
  <c r="AW466" i="64" s="1"/>
  <c r="AU392" i="64"/>
  <c r="AU466" i="64" s="1"/>
  <c r="AS392" i="64"/>
  <c r="AS466" i="64" s="1"/>
  <c r="AQ392" i="64"/>
  <c r="AQ466" i="64" s="1"/>
  <c r="AO392" i="64"/>
  <c r="AO466" i="64" s="1"/>
  <c r="AM392" i="64"/>
  <c r="AM466" i="64" s="1"/>
  <c r="AK392" i="64"/>
  <c r="AK466" i="64" s="1"/>
  <c r="AI392" i="64"/>
  <c r="AI466" i="64" s="1"/>
  <c r="AG392" i="64"/>
  <c r="AG466" i="64" s="1"/>
  <c r="AE392" i="64"/>
  <c r="AE466" i="64" s="1"/>
  <c r="AC392" i="64"/>
  <c r="AC466" i="64" s="1"/>
  <c r="AA392" i="64"/>
  <c r="AA466" i="64" s="1"/>
  <c r="Y392" i="64"/>
  <c r="Y466" i="64" s="1"/>
  <c r="W392" i="64"/>
  <c r="W466" i="64" s="1"/>
  <c r="U392" i="64"/>
  <c r="U466" i="64" s="1"/>
  <c r="S392" i="64"/>
  <c r="S466" i="64" s="1"/>
  <c r="Q392" i="64"/>
  <c r="Q466" i="64" s="1"/>
  <c r="O392" i="64"/>
  <c r="O466" i="64" s="1"/>
  <c r="M392" i="64"/>
  <c r="M466" i="64" s="1"/>
  <c r="K392" i="64"/>
  <c r="K466" i="64" s="1"/>
  <c r="I392" i="64"/>
  <c r="I466" i="64" s="1"/>
  <c r="G392" i="64"/>
  <c r="G466" i="64" s="1"/>
  <c r="E392" i="64"/>
  <c r="E466" i="64" s="1"/>
  <c r="C392" i="64"/>
  <c r="C466" i="64" s="1"/>
  <c r="D590" i="64"/>
  <c r="BE324" i="64"/>
  <c r="BC324" i="64"/>
  <c r="BA324" i="64"/>
  <c r="AY324" i="64"/>
  <c r="AW324" i="64"/>
  <c r="AS324" i="64"/>
  <c r="AO324" i="64"/>
  <c r="AM324" i="64"/>
  <c r="AK324" i="64"/>
  <c r="AI324" i="64"/>
  <c r="AG324" i="64"/>
  <c r="AE324" i="64"/>
  <c r="AC324" i="64"/>
  <c r="AA324" i="64"/>
  <c r="BF326" i="64"/>
  <c r="BB326" i="64"/>
  <c r="AX326" i="64"/>
  <c r="AT326" i="64"/>
  <c r="AH326" i="64"/>
  <c r="AD326" i="64"/>
  <c r="Z326" i="64"/>
  <c r="V326" i="64"/>
  <c r="R326" i="64"/>
  <c r="N326" i="64"/>
  <c r="J326" i="64"/>
  <c r="F326" i="64"/>
  <c r="D326" i="64"/>
  <c r="Y324" i="64"/>
  <c r="U324" i="64"/>
  <c r="S324" i="64"/>
  <c r="Q324" i="64"/>
  <c r="O324" i="64"/>
  <c r="M324" i="64"/>
  <c r="K324" i="64"/>
  <c r="I324" i="64"/>
  <c r="G324" i="64"/>
  <c r="E324" i="64"/>
  <c r="W320" i="64"/>
  <c r="BG237" i="64"/>
  <c r="BK237" i="64" s="1"/>
  <c r="L225" i="64"/>
  <c r="BK225" i="64" s="1"/>
  <c r="F125" i="126"/>
  <c r="L11" i="126"/>
  <c r="F126" i="126"/>
  <c r="L20" i="126"/>
  <c r="M19" i="126"/>
  <c r="M33" i="126"/>
  <c r="K40" i="126"/>
  <c r="K42" i="126" s="1"/>
  <c r="L42" i="126" s="1"/>
  <c r="G129" i="126" s="1"/>
  <c r="M47" i="126"/>
  <c r="C124" i="126"/>
  <c r="C139" i="126" s="1"/>
  <c r="F114" i="126"/>
  <c r="F124" i="126"/>
  <c r="L28" i="126"/>
  <c r="F132" i="126"/>
  <c r="L56" i="126"/>
  <c r="M113" i="126"/>
  <c r="K81" i="126"/>
  <c r="K82" i="126" s="1"/>
  <c r="L82" i="126" s="1"/>
  <c r="G134" i="126" s="1"/>
  <c r="L83" i="126"/>
  <c r="K85" i="126"/>
  <c r="K92" i="126" s="1"/>
  <c r="L92" i="126" s="1"/>
  <c r="G135" i="126" s="1"/>
  <c r="L93" i="126"/>
  <c r="K97" i="126"/>
  <c r="K99" i="126" s="1"/>
  <c r="L99" i="126" s="1"/>
  <c r="G136" i="126" s="1"/>
  <c r="K100" i="126"/>
  <c r="K106" i="126" s="1"/>
  <c r="L106" i="126" s="1"/>
  <c r="G137" i="126" s="1"/>
  <c r="K107" i="126"/>
  <c r="K113" i="126" s="1"/>
  <c r="I113" i="126"/>
  <c r="F138" i="126" s="1"/>
  <c r="L100" i="126"/>
  <c r="AE588" i="64" l="1"/>
  <c r="E59" i="105"/>
  <c r="G59" i="105" s="1"/>
  <c r="M588" i="64"/>
  <c r="Q613" i="64"/>
  <c r="AI588" i="64"/>
  <c r="BA613" i="64"/>
  <c r="U588" i="64"/>
  <c r="S613" i="64"/>
  <c r="AM613" i="64"/>
  <c r="E588" i="64"/>
  <c r="Y588" i="64"/>
  <c r="AO588" i="64"/>
  <c r="AG588" i="64"/>
  <c r="K588" i="64"/>
  <c r="AG613" i="64"/>
  <c r="AQ613" i="64"/>
  <c r="G613" i="64"/>
  <c r="I613" i="64"/>
  <c r="C588" i="64"/>
  <c r="AO613" i="64"/>
  <c r="Y613" i="64"/>
  <c r="Q588" i="64"/>
  <c r="BA588" i="64"/>
  <c r="S588" i="64"/>
  <c r="C613" i="64"/>
  <c r="AA613" i="64"/>
  <c r="AC588" i="64"/>
  <c r="BE588" i="64"/>
  <c r="AK588" i="64"/>
  <c r="AW588" i="64"/>
  <c r="I588" i="64"/>
  <c r="AC613" i="64"/>
  <c r="AY613" i="64"/>
  <c r="O588" i="64"/>
  <c r="AA588" i="64"/>
  <c r="U613" i="64"/>
  <c r="M613" i="64"/>
  <c r="AU613" i="64"/>
  <c r="BC613" i="64"/>
  <c r="AU588" i="64"/>
  <c r="O613" i="64"/>
  <c r="BC588" i="64"/>
  <c r="AW613" i="64"/>
  <c r="BE613" i="64"/>
  <c r="AK613" i="64"/>
  <c r="AE613" i="64"/>
  <c r="AQ588" i="64"/>
  <c r="G588" i="64"/>
  <c r="E613" i="64"/>
  <c r="AM588" i="64"/>
  <c r="K613" i="64"/>
  <c r="AI613" i="64"/>
  <c r="I99" i="140"/>
  <c r="I100" i="140"/>
  <c r="I101" i="140"/>
  <c r="I102" i="140"/>
  <c r="I103" i="140"/>
  <c r="I104" i="140"/>
  <c r="I105" i="140"/>
  <c r="I106" i="140"/>
  <c r="I107" i="140"/>
  <c r="I108" i="140"/>
  <c r="I109" i="140"/>
  <c r="I110" i="140"/>
  <c r="I111" i="140"/>
  <c r="I112" i="140"/>
  <c r="AM99" i="140"/>
  <c r="AM100" i="140"/>
  <c r="AM101" i="140"/>
  <c r="AM102" i="140"/>
  <c r="AM103" i="140"/>
  <c r="AM104" i="140"/>
  <c r="AM105" i="140"/>
  <c r="AM106" i="140"/>
  <c r="AM107" i="140"/>
  <c r="AM108" i="140"/>
  <c r="AM109" i="140"/>
  <c r="AM110" i="140"/>
  <c r="AM111" i="140"/>
  <c r="AM112" i="140"/>
  <c r="G99" i="140"/>
  <c r="G100" i="140"/>
  <c r="G101" i="140"/>
  <c r="G102" i="140"/>
  <c r="G103" i="140"/>
  <c r="G104" i="140"/>
  <c r="G105" i="140"/>
  <c r="G106" i="140"/>
  <c r="G107" i="140"/>
  <c r="G108" i="140"/>
  <c r="G109" i="140"/>
  <c r="G110" i="140"/>
  <c r="G111" i="140"/>
  <c r="G112" i="140"/>
  <c r="V99" i="140"/>
  <c r="V100" i="140"/>
  <c r="V101" i="140"/>
  <c r="V102" i="140"/>
  <c r="V103" i="140"/>
  <c r="V104" i="140"/>
  <c r="V105" i="140"/>
  <c r="V106" i="140"/>
  <c r="V107" i="140"/>
  <c r="V108" i="140"/>
  <c r="V109" i="140"/>
  <c r="V110" i="140"/>
  <c r="V111" i="140"/>
  <c r="V112" i="140"/>
  <c r="BC115" i="140"/>
  <c r="BC121" i="140" s="1"/>
  <c r="BC122" i="140" s="1"/>
  <c r="BC124" i="140"/>
  <c r="AY115" i="140"/>
  <c r="AY121" i="140" s="1"/>
  <c r="AY122" i="140" s="1"/>
  <c r="AY124" i="140"/>
  <c r="AU115" i="140"/>
  <c r="AU121" i="140" s="1"/>
  <c r="AU122" i="140" s="1"/>
  <c r="AU124" i="140"/>
  <c r="AQ115" i="140"/>
  <c r="AQ121" i="140" s="1"/>
  <c r="AQ122" i="140" s="1"/>
  <c r="AQ124" i="140"/>
  <c r="AI115" i="140"/>
  <c r="AI121" i="140" s="1"/>
  <c r="AI122" i="140" s="1"/>
  <c r="AI124" i="140"/>
  <c r="AE115" i="140"/>
  <c r="AE121" i="140" s="1"/>
  <c r="AE122" i="140" s="1"/>
  <c r="AE124" i="140"/>
  <c r="AA115" i="140"/>
  <c r="AA121" i="140" s="1"/>
  <c r="AA122" i="140" s="1"/>
  <c r="AA124" i="140"/>
  <c r="W115" i="140"/>
  <c r="W121" i="140" s="1"/>
  <c r="W122" i="140" s="1"/>
  <c r="W124" i="140"/>
  <c r="S115" i="140"/>
  <c r="S121" i="140" s="1"/>
  <c r="S122" i="140" s="1"/>
  <c r="S124" i="140"/>
  <c r="O115" i="140"/>
  <c r="O121" i="140" s="1"/>
  <c r="O122" i="140" s="1"/>
  <c r="O124" i="140"/>
  <c r="K115" i="140"/>
  <c r="K121" i="140" s="1"/>
  <c r="K122" i="140" s="1"/>
  <c r="K124" i="140"/>
  <c r="BF115" i="140"/>
  <c r="BF121" i="140" s="1"/>
  <c r="BF122" i="140" s="1"/>
  <c r="BF124" i="140"/>
  <c r="BB115" i="140"/>
  <c r="BB121" i="140" s="1"/>
  <c r="BB122" i="140" s="1"/>
  <c r="BB124" i="140"/>
  <c r="AX115" i="140"/>
  <c r="AX121" i="140" s="1"/>
  <c r="AX122" i="140" s="1"/>
  <c r="AX124" i="140"/>
  <c r="AT115" i="140"/>
  <c r="AT121" i="140" s="1"/>
  <c r="AT122" i="140" s="1"/>
  <c r="AT124" i="140"/>
  <c r="AP115" i="140"/>
  <c r="AP121" i="140" s="1"/>
  <c r="AP122" i="140" s="1"/>
  <c r="AP124" i="140"/>
  <c r="AL115" i="140"/>
  <c r="AL121" i="140" s="1"/>
  <c r="AL122" i="140" s="1"/>
  <c r="AL124" i="140"/>
  <c r="AH115" i="140"/>
  <c r="AH121" i="140" s="1"/>
  <c r="AH122" i="140" s="1"/>
  <c r="AH124" i="140"/>
  <c r="AD115" i="140"/>
  <c r="AD121" i="140" s="1"/>
  <c r="AD122" i="140" s="1"/>
  <c r="AD124" i="140"/>
  <c r="Z115" i="140"/>
  <c r="Z121" i="140" s="1"/>
  <c r="Z122" i="140" s="1"/>
  <c r="Z124" i="140"/>
  <c r="R115" i="140"/>
  <c r="R121" i="140" s="1"/>
  <c r="R122" i="140" s="1"/>
  <c r="R124" i="140"/>
  <c r="N115" i="140"/>
  <c r="N121" i="140" s="1"/>
  <c r="N122" i="140" s="1"/>
  <c r="N124" i="140"/>
  <c r="J115" i="140"/>
  <c r="J121" i="140" s="1"/>
  <c r="J122" i="140" s="1"/>
  <c r="J124" i="140"/>
  <c r="F115" i="140"/>
  <c r="F121" i="140" s="1"/>
  <c r="F122" i="140" s="1"/>
  <c r="F124" i="140"/>
  <c r="BE115" i="140"/>
  <c r="BE121" i="140" s="1"/>
  <c r="BE122" i="140" s="1"/>
  <c r="BE124" i="140"/>
  <c r="BA115" i="140"/>
  <c r="BA121" i="140" s="1"/>
  <c r="BA122" i="140" s="1"/>
  <c r="BA124" i="140"/>
  <c r="AW115" i="140"/>
  <c r="AW121" i="140" s="1"/>
  <c r="AW122" i="140" s="1"/>
  <c r="AW124" i="140"/>
  <c r="AS115" i="140"/>
  <c r="AS121" i="140" s="1"/>
  <c r="AS122" i="140" s="1"/>
  <c r="AS124" i="140"/>
  <c r="AO115" i="140"/>
  <c r="AO121" i="140" s="1"/>
  <c r="AO122" i="140" s="1"/>
  <c r="AO124" i="140"/>
  <c r="AK115" i="140"/>
  <c r="AK121" i="140" s="1"/>
  <c r="AK122" i="140" s="1"/>
  <c r="AK124" i="140"/>
  <c r="AG115" i="140"/>
  <c r="AG121" i="140" s="1"/>
  <c r="AG122" i="140" s="1"/>
  <c r="AG124" i="140"/>
  <c r="AC115" i="140"/>
  <c r="AC121" i="140" s="1"/>
  <c r="AC122" i="140" s="1"/>
  <c r="AC124" i="140"/>
  <c r="Y115" i="140"/>
  <c r="Y121" i="140" s="1"/>
  <c r="Y122" i="140" s="1"/>
  <c r="Y124" i="140"/>
  <c r="U115" i="140"/>
  <c r="U121" i="140" s="1"/>
  <c r="U122" i="140" s="1"/>
  <c r="U124" i="140"/>
  <c r="Q115" i="140"/>
  <c r="Q121" i="140" s="1"/>
  <c r="Q122" i="140" s="1"/>
  <c r="Q124" i="140"/>
  <c r="M115" i="140"/>
  <c r="M121" i="140" s="1"/>
  <c r="M122" i="140" s="1"/>
  <c r="M124" i="140"/>
  <c r="E115" i="140"/>
  <c r="E121" i="140" s="1"/>
  <c r="E122" i="140" s="1"/>
  <c r="E124" i="140"/>
  <c r="D115" i="140"/>
  <c r="D121" i="140" s="1"/>
  <c r="D122" i="140" s="1"/>
  <c r="D124" i="140"/>
  <c r="BD115" i="140"/>
  <c r="BD121" i="140" s="1"/>
  <c r="BD122" i="140" s="1"/>
  <c r="BD124" i="140"/>
  <c r="AZ115" i="140"/>
  <c r="AZ121" i="140" s="1"/>
  <c r="AZ122" i="140" s="1"/>
  <c r="AZ124" i="140"/>
  <c r="AV115" i="140"/>
  <c r="AV121" i="140" s="1"/>
  <c r="AV122" i="140" s="1"/>
  <c r="AV124" i="140"/>
  <c r="AR115" i="140"/>
  <c r="AR121" i="140" s="1"/>
  <c r="AR122" i="140" s="1"/>
  <c r="AR124" i="140"/>
  <c r="AN115" i="140"/>
  <c r="AN121" i="140" s="1"/>
  <c r="AN122" i="140" s="1"/>
  <c r="AN124" i="140"/>
  <c r="AJ115" i="140"/>
  <c r="AJ121" i="140" s="1"/>
  <c r="AJ122" i="140" s="1"/>
  <c r="AJ124" i="140"/>
  <c r="AF115" i="140"/>
  <c r="AF121" i="140" s="1"/>
  <c r="AF122" i="140" s="1"/>
  <c r="AF124" i="140"/>
  <c r="AB115" i="140"/>
  <c r="AB121" i="140" s="1"/>
  <c r="AB122" i="140" s="1"/>
  <c r="AB124" i="140"/>
  <c r="X115" i="140"/>
  <c r="X121" i="140" s="1"/>
  <c r="X122" i="140" s="1"/>
  <c r="X124" i="140"/>
  <c r="T115" i="140"/>
  <c r="T121" i="140" s="1"/>
  <c r="T122" i="140" s="1"/>
  <c r="T124" i="140"/>
  <c r="P115" i="140"/>
  <c r="P121" i="140" s="1"/>
  <c r="P122" i="140" s="1"/>
  <c r="P124" i="140"/>
  <c r="L115" i="140"/>
  <c r="L121" i="140" s="1"/>
  <c r="L122" i="140" s="1"/>
  <c r="L124" i="140"/>
  <c r="H115" i="140"/>
  <c r="H121" i="140" s="1"/>
  <c r="H122" i="140" s="1"/>
  <c r="H124" i="140"/>
  <c r="M114" i="126"/>
  <c r="AL588" i="64"/>
  <c r="BB588" i="64"/>
  <c r="Z588" i="64"/>
  <c r="AH588" i="64"/>
  <c r="AP588" i="64"/>
  <c r="F588" i="64"/>
  <c r="N588" i="64"/>
  <c r="R588" i="64"/>
  <c r="J588" i="64"/>
  <c r="AD588" i="64"/>
  <c r="AV588" i="64"/>
  <c r="AF613" i="64"/>
  <c r="J613" i="64"/>
  <c r="N613" i="64"/>
  <c r="Z613" i="64"/>
  <c r="AP613" i="64"/>
  <c r="AT613" i="64"/>
  <c r="BB613" i="64"/>
  <c r="AB613" i="64"/>
  <c r="H588" i="64"/>
  <c r="L588" i="64"/>
  <c r="P588" i="64"/>
  <c r="V588" i="64"/>
  <c r="X588" i="64"/>
  <c r="AB588" i="64"/>
  <c r="AF588" i="64"/>
  <c r="AJ588" i="64"/>
  <c r="AN588" i="64"/>
  <c r="AT588" i="64"/>
  <c r="AX588" i="64"/>
  <c r="BD588" i="64"/>
  <c r="X613" i="64"/>
  <c r="AJ613" i="64"/>
  <c r="AN613" i="64"/>
  <c r="AV613" i="64"/>
  <c r="BD613" i="64"/>
  <c r="H613" i="64"/>
  <c r="L613" i="64"/>
  <c r="P613" i="64"/>
  <c r="F613" i="64"/>
  <c r="R613" i="64"/>
  <c r="AX613" i="64"/>
  <c r="V613" i="64"/>
  <c r="AD613" i="64"/>
  <c r="AH613" i="64"/>
  <c r="AL613" i="64"/>
  <c r="I114" i="126"/>
  <c r="L107" i="126"/>
  <c r="L113" i="126"/>
  <c r="G138" i="126" s="1"/>
  <c r="F139" i="126"/>
  <c r="N36" i="143" l="1"/>
  <c r="K36" i="143"/>
  <c r="H99" i="140"/>
  <c r="H100" i="140"/>
  <c r="H101" i="140"/>
  <c r="H102" i="140"/>
  <c r="H103" i="140"/>
  <c r="H104" i="140"/>
  <c r="H105" i="140"/>
  <c r="H106" i="140"/>
  <c r="H107" i="140"/>
  <c r="H108" i="140"/>
  <c r="H109" i="140"/>
  <c r="H110" i="140"/>
  <c r="H111" i="140"/>
  <c r="H112" i="140"/>
  <c r="L99" i="140"/>
  <c r="L100" i="140"/>
  <c r="L101" i="140"/>
  <c r="L102" i="140"/>
  <c r="L103" i="140"/>
  <c r="L104" i="140"/>
  <c r="L105" i="140"/>
  <c r="L106" i="140"/>
  <c r="L107" i="140"/>
  <c r="L108" i="140"/>
  <c r="L109" i="140"/>
  <c r="L110" i="140"/>
  <c r="L111" i="140"/>
  <c r="L112" i="140"/>
  <c r="P99" i="140"/>
  <c r="P100" i="140"/>
  <c r="P101" i="140"/>
  <c r="P102" i="140"/>
  <c r="P103" i="140"/>
  <c r="P104" i="140"/>
  <c r="P105" i="140"/>
  <c r="P106" i="140"/>
  <c r="P107" i="140"/>
  <c r="P108" i="140"/>
  <c r="P109" i="140"/>
  <c r="P110" i="140"/>
  <c r="P111" i="140"/>
  <c r="P112" i="140"/>
  <c r="T99" i="140"/>
  <c r="T100" i="140"/>
  <c r="T101" i="140"/>
  <c r="T102" i="140"/>
  <c r="T103" i="140"/>
  <c r="T104" i="140"/>
  <c r="T105" i="140"/>
  <c r="T106" i="140"/>
  <c r="T107" i="140"/>
  <c r="T108" i="140"/>
  <c r="T109" i="140"/>
  <c r="T110" i="140"/>
  <c r="T111" i="140"/>
  <c r="T112" i="140"/>
  <c r="X99" i="140"/>
  <c r="X126" i="140" s="1"/>
  <c r="X100" i="140"/>
  <c r="X101" i="140"/>
  <c r="X102" i="140"/>
  <c r="X103" i="140"/>
  <c r="X104" i="140"/>
  <c r="X105" i="140"/>
  <c r="X106" i="140"/>
  <c r="X107" i="140"/>
  <c r="X108" i="140"/>
  <c r="X109" i="140"/>
  <c r="X110" i="140"/>
  <c r="X111" i="140"/>
  <c r="X112" i="140"/>
  <c r="AB99" i="140"/>
  <c r="AB126" i="140" s="1"/>
  <c r="AB100" i="140"/>
  <c r="AB101" i="140"/>
  <c r="AB102" i="140"/>
  <c r="AB103" i="140"/>
  <c r="AB104" i="140"/>
  <c r="AB105" i="140"/>
  <c r="AB106" i="140"/>
  <c r="AB107" i="140"/>
  <c r="AB108" i="140"/>
  <c r="AB109" i="140"/>
  <c r="AB110" i="140"/>
  <c r="AB111" i="140"/>
  <c r="AB112" i="140"/>
  <c r="AF99" i="140"/>
  <c r="AF100" i="140"/>
  <c r="AF101" i="140"/>
  <c r="AF102" i="140"/>
  <c r="AF103" i="140"/>
  <c r="AF104" i="140"/>
  <c r="AF105" i="140"/>
  <c r="AF106" i="140"/>
  <c r="AF107" i="140"/>
  <c r="AF108" i="140"/>
  <c r="AF109" i="140"/>
  <c r="AF110" i="140"/>
  <c r="AF111" i="140"/>
  <c r="AF112" i="140"/>
  <c r="AJ99" i="140"/>
  <c r="AJ100" i="140"/>
  <c r="AJ101" i="140"/>
  <c r="AJ102" i="140"/>
  <c r="AJ103" i="140"/>
  <c r="AJ104" i="140"/>
  <c r="AJ105" i="140"/>
  <c r="AJ106" i="140"/>
  <c r="AJ107" i="140"/>
  <c r="AJ108" i="140"/>
  <c r="AJ109" i="140"/>
  <c r="AJ110" i="140"/>
  <c r="AJ111" i="140"/>
  <c r="AJ112" i="140"/>
  <c r="AN99" i="140"/>
  <c r="AN100" i="140"/>
  <c r="AN101" i="140"/>
  <c r="AN102" i="140"/>
  <c r="AN103" i="140"/>
  <c r="AN104" i="140"/>
  <c r="AN105" i="140"/>
  <c r="AN106" i="140"/>
  <c r="AN107" i="140"/>
  <c r="AN108" i="140"/>
  <c r="AN109" i="140"/>
  <c r="AN110" i="140"/>
  <c r="AN111" i="140"/>
  <c r="AN112" i="140"/>
  <c r="AR99" i="140"/>
  <c r="AR100" i="140"/>
  <c r="AR101" i="140"/>
  <c r="AR102" i="140"/>
  <c r="AR103" i="140"/>
  <c r="AR104" i="140"/>
  <c r="AR105" i="140"/>
  <c r="AR106" i="140"/>
  <c r="AR107" i="140"/>
  <c r="AR108" i="140"/>
  <c r="AR109" i="140"/>
  <c r="AR110" i="140"/>
  <c r="AR111" i="140"/>
  <c r="AR112" i="140"/>
  <c r="AV99" i="140"/>
  <c r="AV126" i="140" s="1"/>
  <c r="AV100" i="140"/>
  <c r="AV101" i="140"/>
  <c r="AV102" i="140"/>
  <c r="AV103" i="140"/>
  <c r="AV104" i="140"/>
  <c r="AV105" i="140"/>
  <c r="AV106" i="140"/>
  <c r="AV107" i="140"/>
  <c r="AV108" i="140"/>
  <c r="AV109" i="140"/>
  <c r="AV110" i="140"/>
  <c r="AV111" i="140"/>
  <c r="AV112" i="140"/>
  <c r="AZ99" i="140"/>
  <c r="AZ100" i="140"/>
  <c r="AZ101" i="140"/>
  <c r="AZ102" i="140"/>
  <c r="AZ103" i="140"/>
  <c r="AZ104" i="140"/>
  <c r="AZ105" i="140"/>
  <c r="AZ106" i="140"/>
  <c r="AZ107" i="140"/>
  <c r="AZ108" i="140"/>
  <c r="AZ109" i="140"/>
  <c r="AZ110" i="140"/>
  <c r="AZ111" i="140"/>
  <c r="AZ112" i="140"/>
  <c r="BD99" i="140"/>
  <c r="BD100" i="140"/>
  <c r="BD101" i="140"/>
  <c r="BD102" i="140"/>
  <c r="BD103" i="140"/>
  <c r="BD104" i="140"/>
  <c r="BD105" i="140"/>
  <c r="BD106" i="140"/>
  <c r="BD107" i="140"/>
  <c r="BD108" i="140"/>
  <c r="BD109" i="140"/>
  <c r="BD110" i="140"/>
  <c r="BD111" i="140"/>
  <c r="BD112" i="140"/>
  <c r="D108" i="140"/>
  <c r="D110" i="140"/>
  <c r="D112" i="140"/>
  <c r="D107" i="140"/>
  <c r="D104" i="140"/>
  <c r="D101" i="140"/>
  <c r="D100" i="140"/>
  <c r="D109" i="140"/>
  <c r="D111" i="140"/>
  <c r="D106" i="140"/>
  <c r="D103" i="140"/>
  <c r="D105" i="140"/>
  <c r="D102" i="140"/>
  <c r="D99" i="140"/>
  <c r="E99" i="140"/>
  <c r="E100" i="140"/>
  <c r="E101" i="140"/>
  <c r="E102" i="140"/>
  <c r="E103" i="140"/>
  <c r="E104" i="140"/>
  <c r="E105" i="140"/>
  <c r="E106" i="140"/>
  <c r="E107" i="140"/>
  <c r="E108" i="140"/>
  <c r="E109" i="140"/>
  <c r="E110" i="140"/>
  <c r="E111" i="140"/>
  <c r="E112" i="140"/>
  <c r="M99" i="140"/>
  <c r="M126" i="140" s="1"/>
  <c r="M100" i="140"/>
  <c r="M101" i="140"/>
  <c r="M102" i="140"/>
  <c r="M103" i="140"/>
  <c r="M104" i="140"/>
  <c r="M105" i="140"/>
  <c r="M106" i="140"/>
  <c r="M107" i="140"/>
  <c r="M108" i="140"/>
  <c r="M109" i="140"/>
  <c r="M110" i="140"/>
  <c r="M111" i="140"/>
  <c r="M112" i="140"/>
  <c r="Q99" i="140"/>
  <c r="Q100" i="140"/>
  <c r="Q101" i="140"/>
  <c r="Q102" i="140"/>
  <c r="Q103" i="140"/>
  <c r="Q104" i="140"/>
  <c r="Q105" i="140"/>
  <c r="Q106" i="140"/>
  <c r="Q107" i="140"/>
  <c r="Q108" i="140"/>
  <c r="Q109" i="140"/>
  <c r="Q110" i="140"/>
  <c r="Q111" i="140"/>
  <c r="Q112" i="140"/>
  <c r="U99" i="140"/>
  <c r="U126" i="140" s="1"/>
  <c r="U100" i="140"/>
  <c r="U101" i="140"/>
  <c r="U102" i="140"/>
  <c r="U103" i="140"/>
  <c r="U104" i="140"/>
  <c r="U105" i="140"/>
  <c r="U106" i="140"/>
  <c r="U107" i="140"/>
  <c r="U108" i="140"/>
  <c r="U109" i="140"/>
  <c r="U110" i="140"/>
  <c r="U111" i="140"/>
  <c r="U112" i="140"/>
  <c r="Y99" i="140"/>
  <c r="Y100" i="140"/>
  <c r="Y101" i="140"/>
  <c r="Y102" i="140"/>
  <c r="Y103" i="140"/>
  <c r="Y104" i="140"/>
  <c r="Y105" i="140"/>
  <c r="Y106" i="140"/>
  <c r="Y107" i="140"/>
  <c r="Y108" i="140"/>
  <c r="Y109" i="140"/>
  <c r="Y110" i="140"/>
  <c r="Y111" i="140"/>
  <c r="Y112" i="140"/>
  <c r="AC99" i="140"/>
  <c r="AC126" i="140" s="1"/>
  <c r="AC100" i="140"/>
  <c r="AC101" i="140"/>
  <c r="AC102" i="140"/>
  <c r="AC103" i="140"/>
  <c r="AC104" i="140"/>
  <c r="AC105" i="140"/>
  <c r="AC106" i="140"/>
  <c r="AC107" i="140"/>
  <c r="AC108" i="140"/>
  <c r="AC109" i="140"/>
  <c r="AC110" i="140"/>
  <c r="AC111" i="140"/>
  <c r="AC112" i="140"/>
  <c r="AG99" i="140"/>
  <c r="AG100" i="140"/>
  <c r="AG101" i="140"/>
  <c r="AG102" i="140"/>
  <c r="AG103" i="140"/>
  <c r="AG104" i="140"/>
  <c r="AG105" i="140"/>
  <c r="AG106" i="140"/>
  <c r="AG107" i="140"/>
  <c r="AG108" i="140"/>
  <c r="AG109" i="140"/>
  <c r="AG110" i="140"/>
  <c r="AG111" i="140"/>
  <c r="AG112" i="140"/>
  <c r="AK99" i="140"/>
  <c r="AK126" i="140" s="1"/>
  <c r="AK100" i="140"/>
  <c r="AK101" i="140"/>
  <c r="AK102" i="140"/>
  <c r="AK103" i="140"/>
  <c r="AK104" i="140"/>
  <c r="AK105" i="140"/>
  <c r="AK106" i="140"/>
  <c r="AK107" i="140"/>
  <c r="AK108" i="140"/>
  <c r="AK109" i="140"/>
  <c r="AK110" i="140"/>
  <c r="AK111" i="140"/>
  <c r="AK112" i="140"/>
  <c r="AO99" i="140"/>
  <c r="AO100" i="140"/>
  <c r="AO101" i="140"/>
  <c r="AO102" i="140"/>
  <c r="AO103" i="140"/>
  <c r="AO104" i="140"/>
  <c r="AO105" i="140"/>
  <c r="AO106" i="140"/>
  <c r="AO107" i="140"/>
  <c r="AO108" i="140"/>
  <c r="AO109" i="140"/>
  <c r="AO110" i="140"/>
  <c r="AO111" i="140"/>
  <c r="AO112" i="140"/>
  <c r="AS99" i="140"/>
  <c r="AS100" i="140"/>
  <c r="AS101" i="140"/>
  <c r="AS102" i="140"/>
  <c r="AS103" i="140"/>
  <c r="AS104" i="140"/>
  <c r="AS105" i="140"/>
  <c r="AS106" i="140"/>
  <c r="AS107" i="140"/>
  <c r="AS108" i="140"/>
  <c r="AS109" i="140"/>
  <c r="AS110" i="140"/>
  <c r="AS111" i="140"/>
  <c r="AS112" i="140"/>
  <c r="AW99" i="140"/>
  <c r="AW100" i="140"/>
  <c r="AW101" i="140"/>
  <c r="AW102" i="140"/>
  <c r="AW103" i="140"/>
  <c r="AW104" i="140"/>
  <c r="AW105" i="140"/>
  <c r="AW106" i="140"/>
  <c r="AW107" i="140"/>
  <c r="AW108" i="140"/>
  <c r="AW109" i="140"/>
  <c r="AW110" i="140"/>
  <c r="AW111" i="140"/>
  <c r="AW112" i="140"/>
  <c r="BA99" i="140"/>
  <c r="BA100" i="140"/>
  <c r="BA101" i="140"/>
  <c r="BA102" i="140"/>
  <c r="BA103" i="140"/>
  <c r="BA104" i="140"/>
  <c r="BA105" i="140"/>
  <c r="BA106" i="140"/>
  <c r="BA107" i="140"/>
  <c r="BA108" i="140"/>
  <c r="BA109" i="140"/>
  <c r="BA110" i="140"/>
  <c r="BA111" i="140"/>
  <c r="BA112" i="140"/>
  <c r="BE99" i="140"/>
  <c r="BE100" i="140"/>
  <c r="BE101" i="140"/>
  <c r="BE102" i="140"/>
  <c r="BE103" i="140"/>
  <c r="BE104" i="140"/>
  <c r="BE105" i="140"/>
  <c r="BE106" i="140"/>
  <c r="BE107" i="140"/>
  <c r="BE108" i="140"/>
  <c r="BE109" i="140"/>
  <c r="BE110" i="140"/>
  <c r="BE111" i="140"/>
  <c r="BE112" i="140"/>
  <c r="F99" i="140"/>
  <c r="F100" i="140"/>
  <c r="F101" i="140"/>
  <c r="F102" i="140"/>
  <c r="F103" i="140"/>
  <c r="F104" i="140"/>
  <c r="F105" i="140"/>
  <c r="F106" i="140"/>
  <c r="F107" i="140"/>
  <c r="F108" i="140"/>
  <c r="F109" i="140"/>
  <c r="F110" i="140"/>
  <c r="F111" i="140"/>
  <c r="F112" i="140"/>
  <c r="J99" i="140"/>
  <c r="J100" i="140"/>
  <c r="J101" i="140"/>
  <c r="J102" i="140"/>
  <c r="J103" i="140"/>
  <c r="J104" i="140"/>
  <c r="J105" i="140"/>
  <c r="J106" i="140"/>
  <c r="J107" i="140"/>
  <c r="J108" i="140"/>
  <c r="J109" i="140"/>
  <c r="J110" i="140"/>
  <c r="J111" i="140"/>
  <c r="J112" i="140"/>
  <c r="N99" i="140"/>
  <c r="N100" i="140"/>
  <c r="N101" i="140"/>
  <c r="N102" i="140"/>
  <c r="N103" i="140"/>
  <c r="N104" i="140"/>
  <c r="N105" i="140"/>
  <c r="N106" i="140"/>
  <c r="N107" i="140"/>
  <c r="N108" i="140"/>
  <c r="N109" i="140"/>
  <c r="N110" i="140"/>
  <c r="N111" i="140"/>
  <c r="N112" i="140"/>
  <c r="R99" i="140"/>
  <c r="R100" i="140"/>
  <c r="R101" i="140"/>
  <c r="R102" i="140"/>
  <c r="R103" i="140"/>
  <c r="R104" i="140"/>
  <c r="R105" i="140"/>
  <c r="R106" i="140"/>
  <c r="R107" i="140"/>
  <c r="R108" i="140"/>
  <c r="R109" i="140"/>
  <c r="R110" i="140"/>
  <c r="R111" i="140"/>
  <c r="R112" i="140"/>
  <c r="Z99" i="140"/>
  <c r="Z100" i="140"/>
  <c r="Z101" i="140"/>
  <c r="Z102" i="140"/>
  <c r="Z103" i="140"/>
  <c r="Z104" i="140"/>
  <c r="Z105" i="140"/>
  <c r="Z106" i="140"/>
  <c r="Z107" i="140"/>
  <c r="Z108" i="140"/>
  <c r="Z109" i="140"/>
  <c r="Z110" i="140"/>
  <c r="Z111" i="140"/>
  <c r="Z112" i="140"/>
  <c r="AD99" i="140"/>
  <c r="AD100" i="140"/>
  <c r="AD101" i="140"/>
  <c r="AD102" i="140"/>
  <c r="AD103" i="140"/>
  <c r="AD104" i="140"/>
  <c r="AD105" i="140"/>
  <c r="AD106" i="140"/>
  <c r="AD107" i="140"/>
  <c r="AD108" i="140"/>
  <c r="AD109" i="140"/>
  <c r="AD110" i="140"/>
  <c r="AD111" i="140"/>
  <c r="AD112" i="140"/>
  <c r="AH99" i="140"/>
  <c r="AH100" i="140"/>
  <c r="AH101" i="140"/>
  <c r="AH102" i="140"/>
  <c r="AH103" i="140"/>
  <c r="AH104" i="140"/>
  <c r="AH105" i="140"/>
  <c r="AH106" i="140"/>
  <c r="AH107" i="140"/>
  <c r="AH108" i="140"/>
  <c r="AH109" i="140"/>
  <c r="AH110" i="140"/>
  <c r="AH111" i="140"/>
  <c r="AH112" i="140"/>
  <c r="AL99" i="140"/>
  <c r="AL100" i="140"/>
  <c r="AL101" i="140"/>
  <c r="AL102" i="140"/>
  <c r="AL103" i="140"/>
  <c r="AL104" i="140"/>
  <c r="AL105" i="140"/>
  <c r="AL106" i="140"/>
  <c r="AL107" i="140"/>
  <c r="AL108" i="140"/>
  <c r="AL109" i="140"/>
  <c r="AL110" i="140"/>
  <c r="AL111" i="140"/>
  <c r="AL112" i="140"/>
  <c r="AP99" i="140"/>
  <c r="AP126" i="140" s="1"/>
  <c r="AP100" i="140"/>
  <c r="AP101" i="140"/>
  <c r="AP102" i="140"/>
  <c r="AP103" i="140"/>
  <c r="AP104" i="140"/>
  <c r="AP105" i="140"/>
  <c r="AP106" i="140"/>
  <c r="AP107" i="140"/>
  <c r="AP108" i="140"/>
  <c r="AP109" i="140"/>
  <c r="AP110" i="140"/>
  <c r="AP111" i="140"/>
  <c r="AP112" i="140"/>
  <c r="AT99" i="140"/>
  <c r="AT100" i="140"/>
  <c r="AT101" i="140"/>
  <c r="AT102" i="140"/>
  <c r="AT103" i="140"/>
  <c r="AT104" i="140"/>
  <c r="AT105" i="140"/>
  <c r="AT106" i="140"/>
  <c r="AT107" i="140"/>
  <c r="AT108" i="140"/>
  <c r="AT109" i="140"/>
  <c r="AT110" i="140"/>
  <c r="AT111" i="140"/>
  <c r="AT112" i="140"/>
  <c r="AX99" i="140"/>
  <c r="AX126" i="140" s="1"/>
  <c r="AX100" i="140"/>
  <c r="AX101" i="140"/>
  <c r="AX102" i="140"/>
  <c r="AX103" i="140"/>
  <c r="AX104" i="140"/>
  <c r="AX105" i="140"/>
  <c r="AX106" i="140"/>
  <c r="AX107" i="140"/>
  <c r="AX108" i="140"/>
  <c r="AX109" i="140"/>
  <c r="AX110" i="140"/>
  <c r="AX111" i="140"/>
  <c r="AX112" i="140"/>
  <c r="BB99" i="140"/>
  <c r="BB100" i="140"/>
  <c r="BB101" i="140"/>
  <c r="BB102" i="140"/>
  <c r="BB103" i="140"/>
  <c r="BB104" i="140"/>
  <c r="BB105" i="140"/>
  <c r="BB106" i="140"/>
  <c r="BB107" i="140"/>
  <c r="BB108" i="140"/>
  <c r="BB109" i="140"/>
  <c r="BB110" i="140"/>
  <c r="BB111" i="140"/>
  <c r="BB112" i="140"/>
  <c r="BF99" i="140"/>
  <c r="BF126" i="140" s="1"/>
  <c r="BF100" i="140"/>
  <c r="BF101" i="140"/>
  <c r="BF102" i="140"/>
  <c r="BF103" i="140"/>
  <c r="BF104" i="140"/>
  <c r="BF105" i="140"/>
  <c r="BF106" i="140"/>
  <c r="BF107" i="140"/>
  <c r="BF108" i="140"/>
  <c r="BF109" i="140"/>
  <c r="BF110" i="140"/>
  <c r="BF111" i="140"/>
  <c r="BF112" i="140"/>
  <c r="K99" i="140"/>
  <c r="K100" i="140"/>
  <c r="K101" i="140"/>
  <c r="K102" i="140"/>
  <c r="K103" i="140"/>
  <c r="K104" i="140"/>
  <c r="K105" i="140"/>
  <c r="K106" i="140"/>
  <c r="K107" i="140"/>
  <c r="K108" i="140"/>
  <c r="K109" i="140"/>
  <c r="K110" i="140"/>
  <c r="K111" i="140"/>
  <c r="K112" i="140"/>
  <c r="O99" i="140"/>
  <c r="O126" i="140" s="1"/>
  <c r="O100" i="140"/>
  <c r="O101" i="140"/>
  <c r="O102" i="140"/>
  <c r="O103" i="140"/>
  <c r="O104" i="140"/>
  <c r="O105" i="140"/>
  <c r="O106" i="140"/>
  <c r="O107" i="140"/>
  <c r="O108" i="140"/>
  <c r="O109" i="140"/>
  <c r="O110" i="140"/>
  <c r="O111" i="140"/>
  <c r="O112" i="140"/>
  <c r="S99" i="140"/>
  <c r="S100" i="140"/>
  <c r="S101" i="140"/>
  <c r="S102" i="140"/>
  <c r="S103" i="140"/>
  <c r="S104" i="140"/>
  <c r="S105" i="140"/>
  <c r="S106" i="140"/>
  <c r="S107" i="140"/>
  <c r="S108" i="140"/>
  <c r="S109" i="140"/>
  <c r="S110" i="140"/>
  <c r="S111" i="140"/>
  <c r="S112" i="140"/>
  <c r="W99" i="140"/>
  <c r="W126" i="140" s="1"/>
  <c r="W100" i="140"/>
  <c r="W101" i="140"/>
  <c r="W102" i="140"/>
  <c r="W103" i="140"/>
  <c r="W104" i="140"/>
  <c r="W105" i="140"/>
  <c r="W106" i="140"/>
  <c r="W107" i="140"/>
  <c r="W108" i="140"/>
  <c r="W109" i="140"/>
  <c r="W110" i="140"/>
  <c r="W111" i="140"/>
  <c r="W112" i="140"/>
  <c r="AA99" i="140"/>
  <c r="AA100" i="140"/>
  <c r="AA101" i="140"/>
  <c r="AA102" i="140"/>
  <c r="AA103" i="140"/>
  <c r="AA104" i="140"/>
  <c r="AA105" i="140"/>
  <c r="AA106" i="140"/>
  <c r="AA107" i="140"/>
  <c r="AA108" i="140"/>
  <c r="AA109" i="140"/>
  <c r="AA110" i="140"/>
  <c r="AA111" i="140"/>
  <c r="AA112" i="140"/>
  <c r="AE99" i="140"/>
  <c r="AE126" i="140" s="1"/>
  <c r="AE100" i="140"/>
  <c r="AE101" i="140"/>
  <c r="AE102" i="140"/>
  <c r="AE103" i="140"/>
  <c r="AE104" i="140"/>
  <c r="AE105" i="140"/>
  <c r="AE106" i="140"/>
  <c r="AE107" i="140"/>
  <c r="AE108" i="140"/>
  <c r="AE109" i="140"/>
  <c r="AE110" i="140"/>
  <c r="AE112" i="140"/>
  <c r="AE111" i="140"/>
  <c r="AI99" i="140"/>
  <c r="AI100" i="140"/>
  <c r="AI101" i="140"/>
  <c r="AI102" i="140"/>
  <c r="AI103" i="140"/>
  <c r="AI104" i="140"/>
  <c r="AI105" i="140"/>
  <c r="AI106" i="140"/>
  <c r="AI107" i="140"/>
  <c r="AI108" i="140"/>
  <c r="AI109" i="140"/>
  <c r="AI110" i="140"/>
  <c r="AI112" i="140"/>
  <c r="AI111" i="140"/>
  <c r="AQ99" i="140"/>
  <c r="AQ100" i="140"/>
  <c r="AQ101" i="140"/>
  <c r="AQ102" i="140"/>
  <c r="AQ103" i="140"/>
  <c r="AQ104" i="140"/>
  <c r="AQ105" i="140"/>
  <c r="AQ106" i="140"/>
  <c r="AQ107" i="140"/>
  <c r="AQ108" i="140"/>
  <c r="AQ109" i="140"/>
  <c r="AQ110" i="140"/>
  <c r="AQ111" i="140"/>
  <c r="AQ112" i="140"/>
  <c r="AU99" i="140"/>
  <c r="AU100" i="140"/>
  <c r="AU101" i="140"/>
  <c r="AU102" i="140"/>
  <c r="AU103" i="140"/>
  <c r="AU104" i="140"/>
  <c r="AU105" i="140"/>
  <c r="AU106" i="140"/>
  <c r="AU107" i="140"/>
  <c r="AU108" i="140"/>
  <c r="AU109" i="140"/>
  <c r="AU110" i="140"/>
  <c r="AU111" i="140"/>
  <c r="AU112" i="140"/>
  <c r="AY99" i="140"/>
  <c r="AY100" i="140"/>
  <c r="AY101" i="140"/>
  <c r="AY102" i="140"/>
  <c r="AY103" i="140"/>
  <c r="AY104" i="140"/>
  <c r="AY105" i="140"/>
  <c r="AY106" i="140"/>
  <c r="AY107" i="140"/>
  <c r="AY108" i="140"/>
  <c r="AY109" i="140"/>
  <c r="AY110" i="140"/>
  <c r="AY111" i="140"/>
  <c r="AY112" i="140"/>
  <c r="BC99" i="140"/>
  <c r="BC100" i="140"/>
  <c r="BC101" i="140"/>
  <c r="BC102" i="140"/>
  <c r="BC103" i="140"/>
  <c r="BC104" i="140"/>
  <c r="BC105" i="140"/>
  <c r="BC106" i="140"/>
  <c r="BC107" i="140"/>
  <c r="BC108" i="140"/>
  <c r="BC109" i="140"/>
  <c r="BC110" i="140"/>
  <c r="BC111" i="140"/>
  <c r="BC112" i="140"/>
  <c r="V126" i="140"/>
  <c r="V113" i="140"/>
  <c r="G126" i="140"/>
  <c r="G113" i="140"/>
  <c r="AJ126" i="140"/>
  <c r="I113" i="140"/>
  <c r="I126" i="140"/>
  <c r="AM113" i="140"/>
  <c r="AM126" i="140"/>
  <c r="BF143" i="64"/>
  <c r="BF110" i="64"/>
  <c r="BF77" i="64"/>
  <c r="BF44" i="64"/>
  <c r="D64" i="105"/>
  <c r="Q58" i="105"/>
  <c r="Q57" i="105"/>
  <c r="Q56" i="105"/>
  <c r="Q55" i="105"/>
  <c r="Q54" i="105"/>
  <c r="Q53" i="105"/>
  <c r="Q52" i="105"/>
  <c r="Q51" i="105"/>
  <c r="Q50" i="105"/>
  <c r="Q49" i="105"/>
  <c r="Q48" i="105"/>
  <c r="Q47" i="105"/>
  <c r="Q46" i="105"/>
  <c r="Q45" i="105"/>
  <c r="Q44" i="105"/>
  <c r="Q43" i="105"/>
  <c r="Q42" i="105"/>
  <c r="Q41" i="105"/>
  <c r="Q40" i="105"/>
  <c r="Q39" i="105"/>
  <c r="Q38" i="105"/>
  <c r="Q37" i="105"/>
  <c r="Q36" i="105"/>
  <c r="Q35" i="105"/>
  <c r="Q34" i="105"/>
  <c r="Q33" i="105"/>
  <c r="Q32" i="105"/>
  <c r="Q31" i="105"/>
  <c r="Q30" i="105"/>
  <c r="Q29" i="105"/>
  <c r="Q28" i="105"/>
  <c r="Q27" i="105"/>
  <c r="Q26" i="105"/>
  <c r="Q25" i="105"/>
  <c r="Q24" i="105"/>
  <c r="Q23" i="105"/>
  <c r="Q22" i="105"/>
  <c r="Q21" i="105"/>
  <c r="Q20" i="105"/>
  <c r="Q19" i="105"/>
  <c r="Q18" i="105"/>
  <c r="Q17" i="105"/>
  <c r="Q16" i="105"/>
  <c r="Q15" i="105"/>
  <c r="Q14" i="105"/>
  <c r="Q13" i="105"/>
  <c r="Q12" i="105"/>
  <c r="Q11" i="105"/>
  <c r="Q10" i="105"/>
  <c r="Q9" i="105"/>
  <c r="Q8" i="105"/>
  <c r="Q7" i="105"/>
  <c r="Q6" i="105"/>
  <c r="Q5" i="105"/>
  <c r="Q4" i="105"/>
  <c r="P3" i="105"/>
  <c r="K1" i="105"/>
  <c r="I1" i="105"/>
  <c r="A32" i="70"/>
  <c r="A44" i="70" s="1"/>
  <c r="A31" i="70"/>
  <c r="A43" i="70" s="1"/>
  <c r="A30" i="70"/>
  <c r="AV22" i="70"/>
  <c r="AU22" i="70"/>
  <c r="AT22" i="70"/>
  <c r="AR22" i="70"/>
  <c r="AQ22" i="70"/>
  <c r="AP22" i="70"/>
  <c r="AO22" i="70"/>
  <c r="AN22" i="70"/>
  <c r="AM22" i="70"/>
  <c r="AL22" i="70"/>
  <c r="AJ22" i="70"/>
  <c r="AI22" i="70"/>
  <c r="AG22" i="70"/>
  <c r="AF22" i="70"/>
  <c r="AD22" i="70"/>
  <c r="AC22" i="70"/>
  <c r="AB22" i="70"/>
  <c r="Z22" i="70"/>
  <c r="Y22" i="70"/>
  <c r="X22" i="70"/>
  <c r="W22" i="70"/>
  <c r="U22" i="70"/>
  <c r="T22" i="70"/>
  <c r="S22" i="70"/>
  <c r="R22" i="70"/>
  <c r="Q22" i="70"/>
  <c r="P22" i="70"/>
  <c r="O22" i="70"/>
  <c r="N22" i="70"/>
  <c r="M22" i="70"/>
  <c r="L22" i="70"/>
  <c r="K22" i="70"/>
  <c r="J22" i="70"/>
  <c r="I22" i="70"/>
  <c r="H22" i="70"/>
  <c r="G22" i="70"/>
  <c r="F22" i="70"/>
  <c r="E22" i="70"/>
  <c r="AU16" i="70"/>
  <c r="AT16" i="70"/>
  <c r="AS16" i="70"/>
  <c r="AR16" i="70"/>
  <c r="AQ16" i="70"/>
  <c r="AP16" i="70"/>
  <c r="AO16" i="70"/>
  <c r="AN16" i="70"/>
  <c r="AM16" i="70"/>
  <c r="AL16" i="70"/>
  <c r="AK16" i="70"/>
  <c r="AJ16" i="70"/>
  <c r="AI16" i="70"/>
  <c r="AH16" i="70"/>
  <c r="AG16" i="70"/>
  <c r="AF16" i="70"/>
  <c r="AE16" i="70"/>
  <c r="AD16" i="70"/>
  <c r="AC16" i="70"/>
  <c r="AB16" i="70"/>
  <c r="AA16" i="70"/>
  <c r="Z16" i="70"/>
  <c r="Y16" i="70"/>
  <c r="W16" i="70"/>
  <c r="V16" i="70"/>
  <c r="U16" i="70"/>
  <c r="T16" i="70"/>
  <c r="S16" i="70"/>
  <c r="R16" i="70"/>
  <c r="Q16" i="70"/>
  <c r="P16" i="70"/>
  <c r="O16" i="70"/>
  <c r="N16" i="70"/>
  <c r="M16" i="70"/>
  <c r="L16" i="70"/>
  <c r="K16" i="70"/>
  <c r="J16" i="70"/>
  <c r="I16" i="70"/>
  <c r="H16" i="70"/>
  <c r="G16" i="70"/>
  <c r="F16" i="70"/>
  <c r="E16" i="70"/>
  <c r="BG14" i="70"/>
  <c r="BF14" i="70"/>
  <c r="BE14" i="70"/>
  <c r="BD14" i="70"/>
  <c r="BC14" i="70"/>
  <c r="BB14" i="70"/>
  <c r="BA14" i="70"/>
  <c r="AZ14" i="70"/>
  <c r="AY14" i="70"/>
  <c r="AX14" i="70"/>
  <c r="AW14" i="70"/>
  <c r="AV14" i="70"/>
  <c r="AU14" i="70"/>
  <c r="AT14" i="70"/>
  <c r="AS14" i="70"/>
  <c r="AR14" i="70"/>
  <c r="AQ14" i="70"/>
  <c r="AP14" i="70"/>
  <c r="AO14" i="70"/>
  <c r="AN14" i="70"/>
  <c r="AM14" i="70"/>
  <c r="AL14" i="70"/>
  <c r="AK14" i="70"/>
  <c r="AJ14" i="70"/>
  <c r="AI14" i="70"/>
  <c r="AH14" i="70"/>
  <c r="AG14" i="70"/>
  <c r="AF14" i="70"/>
  <c r="AE14" i="70"/>
  <c r="AD14" i="70"/>
  <c r="AC14" i="70"/>
  <c r="AB14" i="70"/>
  <c r="AA14" i="70"/>
  <c r="Z14" i="70"/>
  <c r="Y14" i="70"/>
  <c r="X14" i="70"/>
  <c r="W14" i="70"/>
  <c r="V14" i="70"/>
  <c r="U14" i="70"/>
  <c r="T14" i="70"/>
  <c r="S14" i="70"/>
  <c r="R14" i="70"/>
  <c r="Q14" i="70"/>
  <c r="P14" i="70"/>
  <c r="O14" i="70"/>
  <c r="N14" i="70"/>
  <c r="M14" i="70"/>
  <c r="L14" i="70"/>
  <c r="I14" i="70"/>
  <c r="H14" i="70"/>
  <c r="G14" i="70"/>
  <c r="A11" i="70"/>
  <c r="AV11" i="70" s="1"/>
  <c r="BG8" i="70"/>
  <c r="BF8" i="70"/>
  <c r="BE8" i="70"/>
  <c r="BD8" i="70"/>
  <c r="BC8" i="70"/>
  <c r="BB8" i="70"/>
  <c r="BA8" i="70"/>
  <c r="AZ8" i="70"/>
  <c r="AY8" i="70"/>
  <c r="AX8" i="70"/>
  <c r="AW8" i="70"/>
  <c r="AV8" i="70"/>
  <c r="X8" i="70"/>
  <c r="A6" i="70"/>
  <c r="AT6" i="70" s="1"/>
  <c r="AT8" i="70" s="1"/>
  <c r="BL3" i="70"/>
  <c r="BK3" i="70"/>
  <c r="K3" i="70"/>
  <c r="K14" i="70" s="1"/>
  <c r="J3" i="70"/>
  <c r="J14" i="70" s="1"/>
  <c r="E1" i="70"/>
  <c r="F1" i="70" s="1"/>
  <c r="G1" i="70" s="1"/>
  <c r="H1" i="70" s="1"/>
  <c r="I1" i="70" s="1"/>
  <c r="J1" i="70" s="1"/>
  <c r="K1" i="70" s="1"/>
  <c r="L1" i="70" s="1"/>
  <c r="M1" i="70" s="1"/>
  <c r="N1" i="70" s="1"/>
  <c r="O1" i="70" s="1"/>
  <c r="P1" i="70" s="1"/>
  <c r="Q1" i="70" s="1"/>
  <c r="R1" i="70" s="1"/>
  <c r="S1" i="70" s="1"/>
  <c r="T1" i="70" s="1"/>
  <c r="U1" i="70" s="1"/>
  <c r="V1" i="70" s="1"/>
  <c r="W1" i="70" s="1"/>
  <c r="X1" i="70" s="1"/>
  <c r="Y1" i="70" s="1"/>
  <c r="Z1" i="70" s="1"/>
  <c r="AA1" i="70" s="1"/>
  <c r="AB1" i="70" s="1"/>
  <c r="AC1" i="70" s="1"/>
  <c r="AD1" i="70" s="1"/>
  <c r="AE1" i="70" s="1"/>
  <c r="AF1" i="70" s="1"/>
  <c r="AG1" i="70" s="1"/>
  <c r="AH1" i="70" s="1"/>
  <c r="AI1" i="70" s="1"/>
  <c r="AJ1" i="70" s="1"/>
  <c r="AK1" i="70" s="1"/>
  <c r="AL1" i="70" s="1"/>
  <c r="AM1" i="70" s="1"/>
  <c r="AN1" i="70" s="1"/>
  <c r="AO1" i="70" s="1"/>
  <c r="AP1" i="70" s="1"/>
  <c r="AQ1" i="70" s="1"/>
  <c r="AR1" i="70" s="1"/>
  <c r="AS1" i="70" s="1"/>
  <c r="AT1" i="70" s="1"/>
  <c r="AU1" i="70" s="1"/>
  <c r="AV1" i="70" s="1"/>
  <c r="AW1" i="70" s="1"/>
  <c r="AX1" i="70" s="1"/>
  <c r="AY1" i="70" s="1"/>
  <c r="AZ1" i="70" s="1"/>
  <c r="BA1" i="70" s="1"/>
  <c r="BB1" i="70" s="1"/>
  <c r="BC1" i="70" s="1"/>
  <c r="BD1" i="70" s="1"/>
  <c r="BE1" i="70" s="1"/>
  <c r="BF1" i="70" s="1"/>
  <c r="BG1" i="70" s="1"/>
  <c r="AU326" i="64"/>
  <c r="AU295" i="64"/>
  <c r="L722" i="64" l="1"/>
  <c r="L682" i="64"/>
  <c r="V723" i="64"/>
  <c r="V683" i="64"/>
  <c r="V727" i="64"/>
  <c r="V687" i="64"/>
  <c r="BB724" i="64"/>
  <c r="BB684" i="64"/>
  <c r="BB727" i="64"/>
  <c r="BB687" i="64"/>
  <c r="D726" i="64"/>
  <c r="D686" i="64"/>
  <c r="X725" i="64"/>
  <c r="X685" i="64"/>
  <c r="Y725" i="64"/>
  <c r="Y685" i="64"/>
  <c r="K723" i="64"/>
  <c r="K683" i="64"/>
  <c r="BC724" i="64"/>
  <c r="BC684" i="64"/>
  <c r="BC728" i="64"/>
  <c r="BC688" i="64"/>
  <c r="P724" i="64"/>
  <c r="P684" i="64"/>
  <c r="P728" i="64"/>
  <c r="P688" i="64"/>
  <c r="P729" i="64"/>
  <c r="P689" i="64"/>
  <c r="AS723" i="64"/>
  <c r="AS683" i="64"/>
  <c r="AS726" i="64"/>
  <c r="AS686" i="64"/>
  <c r="AS730" i="64"/>
  <c r="AS690" i="64"/>
  <c r="U722" i="64"/>
  <c r="U753" i="64" s="1"/>
  <c r="U682" i="64"/>
  <c r="U713" i="64" s="1"/>
  <c r="G72" i="126" s="1"/>
  <c r="W723" i="64"/>
  <c r="W683" i="64"/>
  <c r="AK722" i="64"/>
  <c r="AK753" i="64" s="1"/>
  <c r="AK682" i="64"/>
  <c r="AK713" i="64" s="1"/>
  <c r="G89" i="126" s="1"/>
  <c r="AJ723" i="64"/>
  <c r="AJ683" i="64"/>
  <c r="AM725" i="64"/>
  <c r="AM685" i="64"/>
  <c r="AX725" i="64"/>
  <c r="AX685" i="64"/>
  <c r="AF723" i="64"/>
  <c r="AF683" i="64"/>
  <c r="R724" i="64"/>
  <c r="R684" i="64"/>
  <c r="C723" i="64"/>
  <c r="C683" i="64"/>
  <c r="T722" i="64"/>
  <c r="T753" i="64" s="1"/>
  <c r="T682" i="64"/>
  <c r="T713" i="64" s="1"/>
  <c r="G37" i="126" s="1"/>
  <c r="AV722" i="64"/>
  <c r="AV682" i="64"/>
  <c r="AN725" i="64"/>
  <c r="AN685" i="64"/>
  <c r="AH722" i="64"/>
  <c r="AH753" i="64" s="1"/>
  <c r="AH682" i="64"/>
  <c r="AH713" i="64" s="1"/>
  <c r="G12" i="126" s="1"/>
  <c r="BA723" i="64"/>
  <c r="BA683" i="64"/>
  <c r="AB722" i="64"/>
  <c r="AB753" i="64" s="1"/>
  <c r="AB682" i="64"/>
  <c r="AB713" i="64" s="1"/>
  <c r="G15" i="126" s="1"/>
  <c r="AC722" i="64"/>
  <c r="AC753" i="64" s="1"/>
  <c r="AC682" i="64"/>
  <c r="AC713" i="64" s="1"/>
  <c r="G61" i="126" s="1"/>
  <c r="O725" i="64"/>
  <c r="O685" i="64"/>
  <c r="AL722" i="64"/>
  <c r="AL753" i="64" s="1"/>
  <c r="AL682" i="64"/>
  <c r="AL713" i="64" s="1"/>
  <c r="G58" i="126" s="1"/>
  <c r="H724" i="64"/>
  <c r="H684" i="64"/>
  <c r="L723" i="64"/>
  <c r="L683" i="64"/>
  <c r="V728" i="64"/>
  <c r="V688" i="64"/>
  <c r="V726" i="64"/>
  <c r="V686" i="64"/>
  <c r="BB725" i="64"/>
  <c r="BB685" i="64"/>
  <c r="BB728" i="64"/>
  <c r="BB688" i="64"/>
  <c r="D725" i="64"/>
  <c r="D685" i="64"/>
  <c r="X724" i="64"/>
  <c r="X684" i="64"/>
  <c r="Y724" i="64"/>
  <c r="Y684" i="64"/>
  <c r="K724" i="64"/>
  <c r="K684" i="64"/>
  <c r="BC723" i="64"/>
  <c r="BC683" i="64"/>
  <c r="P726" i="64"/>
  <c r="P686" i="64"/>
  <c r="P730" i="64"/>
  <c r="P690" i="64"/>
  <c r="P727" i="64"/>
  <c r="P687" i="64"/>
  <c r="AS725" i="64"/>
  <c r="AS685" i="64"/>
  <c r="AS727" i="64"/>
  <c r="AS687" i="64"/>
  <c r="AZ723" i="64"/>
  <c r="AZ683" i="64"/>
  <c r="AE722" i="64"/>
  <c r="AE753" i="64" s="1"/>
  <c r="AE682" i="64"/>
  <c r="AE713" i="64" s="1"/>
  <c r="G83" i="126" s="1"/>
  <c r="W726" i="64"/>
  <c r="W686" i="64"/>
  <c r="Z722" i="64"/>
  <c r="Z753" i="64" s="1"/>
  <c r="Z682" i="64"/>
  <c r="Z713" i="64" s="1"/>
  <c r="G86" i="126" s="1"/>
  <c r="AM722" i="64"/>
  <c r="AM682" i="64"/>
  <c r="AM726" i="64"/>
  <c r="AM686" i="64"/>
  <c r="AX723" i="64"/>
  <c r="AX683" i="64"/>
  <c r="S722" i="64"/>
  <c r="S753" i="64" s="1"/>
  <c r="S682" i="64"/>
  <c r="S713" i="64" s="1"/>
  <c r="G35" i="126" s="1"/>
  <c r="R723" i="64"/>
  <c r="R683" i="64"/>
  <c r="C724" i="64"/>
  <c r="C684" i="64"/>
  <c r="AA722" i="64"/>
  <c r="AA753" i="64" s="1"/>
  <c r="AA682" i="64"/>
  <c r="AA713" i="64" s="1"/>
  <c r="G62" i="126" s="1"/>
  <c r="AV723" i="64"/>
  <c r="AV683" i="64"/>
  <c r="AN724" i="64"/>
  <c r="AN684" i="64"/>
  <c r="N722" i="64"/>
  <c r="N682" i="64"/>
  <c r="BA722" i="64"/>
  <c r="BA682" i="64"/>
  <c r="Q722" i="64"/>
  <c r="Q753" i="64" s="1"/>
  <c r="Q682" i="64"/>
  <c r="Q713" i="64" s="1"/>
  <c r="G53" i="126" s="1"/>
  <c r="O723" i="64"/>
  <c r="O683" i="64"/>
  <c r="AR722" i="64"/>
  <c r="AR753" i="64" s="1"/>
  <c r="AR682" i="64"/>
  <c r="AR713" i="64" s="1"/>
  <c r="G48" i="126" s="1"/>
  <c r="AT722" i="64"/>
  <c r="AT753" i="64" s="1"/>
  <c r="AT682" i="64"/>
  <c r="AT713" i="64" s="1"/>
  <c r="G38" i="126" s="1"/>
  <c r="F722" i="64"/>
  <c r="F682" i="64"/>
  <c r="L725" i="64"/>
  <c r="L685" i="64"/>
  <c r="V724" i="64"/>
  <c r="V684" i="64"/>
  <c r="AG722" i="64"/>
  <c r="AG753" i="64" s="1"/>
  <c r="AG682" i="64"/>
  <c r="AG713" i="64" s="1"/>
  <c r="G104" i="126" s="1"/>
  <c r="BB726" i="64"/>
  <c r="BB686" i="64"/>
  <c r="D723" i="64"/>
  <c r="D683" i="64"/>
  <c r="X726" i="64"/>
  <c r="X686" i="64"/>
  <c r="X722" i="64"/>
  <c r="X682" i="64"/>
  <c r="Y723" i="64"/>
  <c r="Y683" i="64"/>
  <c r="AW722" i="64"/>
  <c r="AW753" i="64" s="1"/>
  <c r="AW682" i="64"/>
  <c r="AW713" i="64" s="1"/>
  <c r="G90" i="126" s="1"/>
  <c r="BC727" i="64"/>
  <c r="BC687" i="64"/>
  <c r="P723" i="64"/>
  <c r="P683" i="64"/>
  <c r="P722" i="64"/>
  <c r="P682" i="64"/>
  <c r="P732" i="64"/>
  <c r="P692" i="64"/>
  <c r="P731" i="64"/>
  <c r="P691" i="64"/>
  <c r="AS728" i="64"/>
  <c r="AS688" i="64"/>
  <c r="AS729" i="64"/>
  <c r="AS689" i="64"/>
  <c r="AZ722" i="64"/>
  <c r="AZ682" i="64"/>
  <c r="W722" i="64"/>
  <c r="W682" i="64"/>
  <c r="W725" i="64"/>
  <c r="W685" i="64"/>
  <c r="AY722" i="64"/>
  <c r="AY753" i="64" s="1"/>
  <c r="AY682" i="64"/>
  <c r="AY713" i="64" s="1"/>
  <c r="G88" i="126" s="1"/>
  <c r="AM723" i="64"/>
  <c r="AM683" i="64"/>
  <c r="BE722" i="64"/>
  <c r="BE753" i="64" s="1"/>
  <c r="BE682" i="64"/>
  <c r="BE713" i="64" s="1"/>
  <c r="G52" i="126" s="1"/>
  <c r="AX724" i="64"/>
  <c r="AX684" i="64"/>
  <c r="G722" i="64"/>
  <c r="G753" i="64" s="1"/>
  <c r="G682" i="64"/>
  <c r="G713" i="64" s="1"/>
  <c r="G36" i="126" s="1"/>
  <c r="E722" i="64"/>
  <c r="E753" i="64" s="1"/>
  <c r="E682" i="64"/>
  <c r="E713" i="64" s="1"/>
  <c r="G70" i="126" s="1"/>
  <c r="AI722" i="64"/>
  <c r="AI753" i="64" s="1"/>
  <c r="AI682" i="64"/>
  <c r="AI713" i="64" s="1"/>
  <c r="G50" i="126" s="1"/>
  <c r="J722" i="64"/>
  <c r="J753" i="64" s="1"/>
  <c r="J682" i="64"/>
  <c r="J713" i="64" s="1"/>
  <c r="G9" i="126" s="1"/>
  <c r="AN722" i="64"/>
  <c r="AN682" i="64"/>
  <c r="AN723" i="64"/>
  <c r="AN683" i="64"/>
  <c r="N723" i="64"/>
  <c r="N683" i="64"/>
  <c r="BA724" i="64"/>
  <c r="BA684" i="64"/>
  <c r="AQ722" i="64"/>
  <c r="AQ753" i="64" s="1"/>
  <c r="AQ682" i="64"/>
  <c r="AQ713" i="64" s="1"/>
  <c r="G44" i="126" s="1"/>
  <c r="O722" i="64"/>
  <c r="O682" i="64"/>
  <c r="AO722" i="64"/>
  <c r="AO753" i="64" s="1"/>
  <c r="AO682" i="64"/>
  <c r="AO713" i="64" s="1"/>
  <c r="G57" i="126" s="1"/>
  <c r="F723" i="64"/>
  <c r="F683" i="64"/>
  <c r="V725" i="64"/>
  <c r="V685" i="64"/>
  <c r="V722" i="64"/>
  <c r="V753" i="64" s="1"/>
  <c r="V682" i="64"/>
  <c r="V713" i="64" s="1"/>
  <c r="G96" i="126" s="1"/>
  <c r="BB722" i="64"/>
  <c r="BB682" i="64"/>
  <c r="BB723" i="64"/>
  <c r="BB683" i="64"/>
  <c r="D724" i="64"/>
  <c r="D684" i="64"/>
  <c r="X723" i="64"/>
  <c r="X683" i="64"/>
  <c r="Y722" i="64"/>
  <c r="Y753" i="64" s="1"/>
  <c r="Y682" i="64"/>
  <c r="Y713" i="64" s="1"/>
  <c r="G103" i="126" s="1"/>
  <c r="K722" i="64"/>
  <c r="K753" i="64" s="1"/>
  <c r="K682" i="64"/>
  <c r="K713" i="64" s="1"/>
  <c r="G97" i="126" s="1"/>
  <c r="BC726" i="64"/>
  <c r="BC686" i="64"/>
  <c r="BC725" i="64"/>
  <c r="BC685" i="64"/>
  <c r="P725" i="64"/>
  <c r="P685" i="64"/>
  <c r="P734" i="64"/>
  <c r="P694" i="64"/>
  <c r="AS724" i="64"/>
  <c r="AS684" i="64"/>
  <c r="AS722" i="64"/>
  <c r="AS682" i="64"/>
  <c r="AS731" i="64"/>
  <c r="AS691" i="64"/>
  <c r="AZ724" i="64"/>
  <c r="AZ684" i="64"/>
  <c r="W724" i="64"/>
  <c r="W684" i="64"/>
  <c r="W727" i="64"/>
  <c r="W687" i="64"/>
  <c r="AJ722" i="64"/>
  <c r="AJ753" i="64" s="1"/>
  <c r="AJ682" i="64"/>
  <c r="AJ713" i="64" s="1"/>
  <c r="G87" i="126" s="1"/>
  <c r="AM724" i="64"/>
  <c r="AM684" i="64"/>
  <c r="AU722" i="64"/>
  <c r="AU753" i="64" s="1"/>
  <c r="AU682" i="64"/>
  <c r="AU713" i="64" s="1"/>
  <c r="G60" i="126" s="1"/>
  <c r="AF722" i="64"/>
  <c r="AF753" i="64" s="1"/>
  <c r="AF682" i="64"/>
  <c r="AF713" i="64" s="1"/>
  <c r="G22" i="126" s="1"/>
  <c r="R722" i="64"/>
  <c r="R753" i="64" s="1"/>
  <c r="R682" i="64"/>
  <c r="R713" i="64" s="1"/>
  <c r="G43" i="126" s="1"/>
  <c r="C722" i="64"/>
  <c r="C753" i="64" s="1"/>
  <c r="C682" i="64"/>
  <c r="C713" i="64" s="1"/>
  <c r="G49" i="126" s="1"/>
  <c r="I722" i="64"/>
  <c r="I753" i="64" s="1"/>
  <c r="I682" i="64"/>
  <c r="I713" i="64" s="1"/>
  <c r="G34" i="126" s="1"/>
  <c r="G42" i="126" s="1"/>
  <c r="M722" i="64"/>
  <c r="M753" i="64" s="1"/>
  <c r="M682" i="64"/>
  <c r="M713" i="64" s="1"/>
  <c r="G20" i="126" s="1"/>
  <c r="AN726" i="64"/>
  <c r="AN686" i="64"/>
  <c r="AN727" i="64"/>
  <c r="AN687" i="64"/>
  <c r="BD723" i="64"/>
  <c r="BD753" i="64" s="1"/>
  <c r="BD683" i="64"/>
  <c r="BD713" i="64" s="1"/>
  <c r="G65" i="126" s="1"/>
  <c r="BA725" i="64"/>
  <c r="BA685" i="64"/>
  <c r="AP722" i="64"/>
  <c r="AP753" i="64" s="1"/>
  <c r="AP682" i="64"/>
  <c r="AP713" i="64" s="1"/>
  <c r="G56" i="126" s="1"/>
  <c r="G59" i="126" s="1"/>
  <c r="O724" i="64"/>
  <c r="O684" i="64"/>
  <c r="AD722" i="64"/>
  <c r="AD753" i="64" s="1"/>
  <c r="AD682" i="64"/>
  <c r="AD713" i="64" s="1"/>
  <c r="G63" i="126" s="1"/>
  <c r="H723" i="64"/>
  <c r="H683" i="64"/>
  <c r="N352" i="143"/>
  <c r="N54" i="143"/>
  <c r="K352" i="143"/>
  <c r="G12" i="144" s="1"/>
  <c r="W29" i="143"/>
  <c r="Q36" i="143"/>
  <c r="AI113" i="140"/>
  <c r="AH113" i="140"/>
  <c r="AD113" i="140"/>
  <c r="R113" i="140"/>
  <c r="BE113" i="140"/>
  <c r="BA113" i="140"/>
  <c r="AW113" i="140"/>
  <c r="AS113" i="140"/>
  <c r="AO113" i="140"/>
  <c r="D113" i="140"/>
  <c r="AZ113" i="140"/>
  <c r="AR113" i="140"/>
  <c r="P113" i="140"/>
  <c r="L113" i="140"/>
  <c r="H113" i="140"/>
  <c r="H126" i="140"/>
  <c r="AD126" i="140"/>
  <c r="R126" i="140"/>
  <c r="BA126" i="140"/>
  <c r="AS126" i="140"/>
  <c r="D126" i="140"/>
  <c r="AZ126" i="140"/>
  <c r="BC126" i="140"/>
  <c r="BC113" i="140"/>
  <c r="AY126" i="140"/>
  <c r="AY113" i="140"/>
  <c r="AU126" i="140"/>
  <c r="AU113" i="140"/>
  <c r="AQ126" i="140"/>
  <c r="AQ113" i="140"/>
  <c r="AE113" i="140"/>
  <c r="AA113" i="140"/>
  <c r="W113" i="140"/>
  <c r="S113" i="140"/>
  <c r="O113" i="140"/>
  <c r="K113" i="140"/>
  <c r="BF113" i="140"/>
  <c r="BB113" i="140"/>
  <c r="AX113" i="140"/>
  <c r="AT113" i="140"/>
  <c r="AP113" i="140"/>
  <c r="AL126" i="140"/>
  <c r="AL113" i="140"/>
  <c r="Z113" i="140"/>
  <c r="N126" i="140"/>
  <c r="N113" i="140"/>
  <c r="J126" i="140"/>
  <c r="J113" i="140"/>
  <c r="F126" i="140"/>
  <c r="F113" i="140"/>
  <c r="AK113" i="140"/>
  <c r="AG113" i="140"/>
  <c r="AC113" i="140"/>
  <c r="Y113" i="140"/>
  <c r="U113" i="140"/>
  <c r="Q113" i="140"/>
  <c r="M113" i="140"/>
  <c r="E113" i="140"/>
  <c r="BD113" i="140"/>
  <c r="AV113" i="140"/>
  <c r="AN113" i="140"/>
  <c r="AJ113" i="140"/>
  <c r="AF113" i="140"/>
  <c r="AB113" i="140"/>
  <c r="X113" i="140"/>
  <c r="T126" i="140"/>
  <c r="T113" i="140"/>
  <c r="AN126" i="140"/>
  <c r="L126" i="140"/>
  <c r="AI126" i="140"/>
  <c r="AA126" i="140"/>
  <c r="S126" i="140"/>
  <c r="K126" i="140"/>
  <c r="BB126" i="140"/>
  <c r="AT126" i="140"/>
  <c r="AH126" i="140"/>
  <c r="Z126" i="140"/>
  <c r="BE126" i="140"/>
  <c r="AW126" i="140"/>
  <c r="AO126" i="140"/>
  <c r="AG126" i="140"/>
  <c r="Y126" i="140"/>
  <c r="Q126" i="140"/>
  <c r="E126" i="140"/>
  <c r="BD126" i="140"/>
  <c r="AR126" i="140"/>
  <c r="AF126" i="140"/>
  <c r="P126" i="140"/>
  <c r="AU293" i="64"/>
  <c r="BK217" i="64"/>
  <c r="BK254" i="64"/>
  <c r="AU324" i="64"/>
  <c r="AU297" i="64"/>
  <c r="BK221" i="64"/>
  <c r="AU328" i="64"/>
  <c r="BK258" i="64"/>
  <c r="P295" i="64"/>
  <c r="BK219" i="64"/>
  <c r="P326" i="64"/>
  <c r="BK256" i="64"/>
  <c r="I11" i="70"/>
  <c r="Q11" i="70"/>
  <c r="Z11" i="70"/>
  <c r="AL11" i="70"/>
  <c r="AU11" i="70"/>
  <c r="E11" i="70"/>
  <c r="M11" i="70"/>
  <c r="U11" i="70"/>
  <c r="AF11" i="70"/>
  <c r="AP11" i="70"/>
  <c r="G6" i="70"/>
  <c r="G8" i="70" s="1"/>
  <c r="Q6" i="70"/>
  <c r="Q8" i="70" s="1"/>
  <c r="AH6" i="70"/>
  <c r="AH8" i="70" s="1"/>
  <c r="K6" i="70"/>
  <c r="K8" i="70" s="1"/>
  <c r="Z6" i="70"/>
  <c r="Z8" i="70" s="1"/>
  <c r="AP6" i="70"/>
  <c r="AP8" i="70" s="1"/>
  <c r="E6" i="70"/>
  <c r="E8" i="70" s="1"/>
  <c r="I6" i="70"/>
  <c r="I8" i="70" s="1"/>
  <c r="M6" i="70"/>
  <c r="M8" i="70" s="1"/>
  <c r="U6" i="70"/>
  <c r="U8" i="70" s="1"/>
  <c r="AD6" i="70"/>
  <c r="AD8" i="70" s="1"/>
  <c r="AL6" i="70"/>
  <c r="AL8" i="70" s="1"/>
  <c r="G11" i="70"/>
  <c r="K11" i="70"/>
  <c r="O11" i="70"/>
  <c r="S11" i="70"/>
  <c r="X11" i="70"/>
  <c r="AC11" i="70"/>
  <c r="AI11" i="70"/>
  <c r="AN11" i="70"/>
  <c r="AR11" i="70"/>
  <c r="AU6" i="70"/>
  <c r="AU8" i="70" s="1"/>
  <c r="AS6" i="70"/>
  <c r="AS8" i="70" s="1"/>
  <c r="AQ6" i="70"/>
  <c r="AQ8" i="70" s="1"/>
  <c r="AO6" i="70"/>
  <c r="AO8" i="70" s="1"/>
  <c r="AM6" i="70"/>
  <c r="AM8" i="70" s="1"/>
  <c r="AK6" i="70"/>
  <c r="AK8" i="70" s="1"/>
  <c r="AI6" i="70"/>
  <c r="AI8" i="70" s="1"/>
  <c r="AG6" i="70"/>
  <c r="AG8" i="70" s="1"/>
  <c r="AE6" i="70"/>
  <c r="AE8" i="70" s="1"/>
  <c r="AC6" i="70"/>
  <c r="AC8" i="70" s="1"/>
  <c r="AA6" i="70"/>
  <c r="AA8" i="70" s="1"/>
  <c r="Y6" i="70"/>
  <c r="Y8" i="70" s="1"/>
  <c r="V6" i="70"/>
  <c r="V8" i="70" s="1"/>
  <c r="T6" i="70"/>
  <c r="T8" i="70" s="1"/>
  <c r="R6" i="70"/>
  <c r="R8" i="70" s="1"/>
  <c r="P6" i="70"/>
  <c r="P8" i="70" s="1"/>
  <c r="N6" i="70"/>
  <c r="N8" i="70" s="1"/>
  <c r="F6" i="70"/>
  <c r="F8" i="70" s="1"/>
  <c r="H6" i="70"/>
  <c r="H8" i="70" s="1"/>
  <c r="J6" i="70"/>
  <c r="J8" i="70" s="1"/>
  <c r="L6" i="70"/>
  <c r="L8" i="70" s="1"/>
  <c r="O6" i="70"/>
  <c r="O8" i="70" s="1"/>
  <c r="S6" i="70"/>
  <c r="S8" i="70" s="1"/>
  <c r="W6" i="70"/>
  <c r="W8" i="70" s="1"/>
  <c r="AB6" i="70"/>
  <c r="AB8" i="70" s="1"/>
  <c r="AF6" i="70"/>
  <c r="AF8" i="70" s="1"/>
  <c r="AJ6" i="70"/>
  <c r="AJ8" i="70" s="1"/>
  <c r="AN6" i="70"/>
  <c r="AN8" i="70" s="1"/>
  <c r="AR6" i="70"/>
  <c r="AR8" i="70" s="1"/>
  <c r="F11" i="70"/>
  <c r="H11" i="70"/>
  <c r="J11" i="70"/>
  <c r="L11" i="70"/>
  <c r="N11" i="70"/>
  <c r="P11" i="70"/>
  <c r="R11" i="70"/>
  <c r="T11" i="70"/>
  <c r="W11" i="70"/>
  <c r="Y11" i="70"/>
  <c r="AB11" i="70"/>
  <c r="AD11" i="70"/>
  <c r="AG11" i="70"/>
  <c r="AJ11" i="70"/>
  <c r="AM11" i="70"/>
  <c r="AO11" i="70"/>
  <c r="AQ11" i="70"/>
  <c r="AT11" i="70"/>
  <c r="A42" i="70"/>
  <c r="E11" i="101"/>
  <c r="F11" i="101"/>
  <c r="G11" i="101"/>
  <c r="H11" i="101"/>
  <c r="I11" i="101"/>
  <c r="J11" i="101"/>
  <c r="K11" i="101"/>
  <c r="L11" i="101"/>
  <c r="M11" i="101"/>
  <c r="N11" i="101"/>
  <c r="R11" i="101"/>
  <c r="G15" i="101"/>
  <c r="H15" i="101"/>
  <c r="J15" i="101"/>
  <c r="E29" i="101"/>
  <c r="F29" i="101"/>
  <c r="G29" i="101"/>
  <c r="H29" i="101"/>
  <c r="I29" i="101"/>
  <c r="J29" i="101"/>
  <c r="K29" i="101"/>
  <c r="L29" i="101"/>
  <c r="M29" i="101"/>
  <c r="N29" i="101"/>
  <c r="O29" i="101"/>
  <c r="R29" i="101"/>
  <c r="R31" i="101"/>
  <c r="R34" i="101"/>
  <c r="R36" i="101"/>
  <c r="R44" i="101"/>
  <c r="E48" i="101"/>
  <c r="F48" i="101"/>
  <c r="G48" i="101"/>
  <c r="H48" i="101"/>
  <c r="I48" i="101"/>
  <c r="J48" i="101"/>
  <c r="K48" i="101"/>
  <c r="L48" i="101"/>
  <c r="M48" i="101"/>
  <c r="N48" i="101"/>
  <c r="R48" i="101"/>
  <c r="E53" i="101"/>
  <c r="F53" i="101"/>
  <c r="G53" i="101"/>
  <c r="H53" i="101"/>
  <c r="I53" i="101"/>
  <c r="J53" i="101"/>
  <c r="K53" i="101"/>
  <c r="L53" i="101"/>
  <c r="M53" i="101"/>
  <c r="N53" i="101"/>
  <c r="R53" i="101"/>
  <c r="E56" i="101"/>
  <c r="F56" i="101"/>
  <c r="G56" i="101"/>
  <c r="H56" i="101"/>
  <c r="I56" i="101"/>
  <c r="J56" i="101"/>
  <c r="K56" i="101"/>
  <c r="L56" i="101"/>
  <c r="M56" i="101"/>
  <c r="N56" i="101"/>
  <c r="R58" i="101"/>
  <c r="R60" i="101"/>
  <c r="R62" i="101"/>
  <c r="R72" i="101"/>
  <c r="R74" i="101"/>
  <c r="E76" i="101"/>
  <c r="F76" i="101"/>
  <c r="G76" i="101"/>
  <c r="H76" i="101"/>
  <c r="I76" i="101"/>
  <c r="J76" i="101"/>
  <c r="K76" i="101"/>
  <c r="L76" i="101"/>
  <c r="M76" i="101"/>
  <c r="N76" i="101"/>
  <c r="R76" i="101"/>
  <c r="E79" i="101"/>
  <c r="F79" i="101"/>
  <c r="G79" i="101"/>
  <c r="H79" i="101"/>
  <c r="I79" i="101"/>
  <c r="J79" i="101"/>
  <c r="K79" i="101"/>
  <c r="L79" i="101"/>
  <c r="M79" i="101"/>
  <c r="N79" i="101"/>
  <c r="R79" i="101"/>
  <c r="R83" i="101"/>
  <c r="E85" i="101"/>
  <c r="F85" i="101"/>
  <c r="G85" i="101"/>
  <c r="H85" i="101"/>
  <c r="I85" i="101"/>
  <c r="J85" i="101"/>
  <c r="K85" i="101"/>
  <c r="L85" i="101"/>
  <c r="M85" i="101"/>
  <c r="N85" i="101"/>
  <c r="R85" i="101"/>
  <c r="R87" i="101"/>
  <c r="E95" i="101"/>
  <c r="F95" i="101"/>
  <c r="G95" i="101"/>
  <c r="H95" i="101"/>
  <c r="I95" i="101"/>
  <c r="J95" i="101"/>
  <c r="K95" i="101"/>
  <c r="L95" i="101"/>
  <c r="M95" i="101"/>
  <c r="N95" i="101"/>
  <c r="R97" i="101"/>
  <c r="E101" i="101"/>
  <c r="F101" i="101"/>
  <c r="G101" i="101"/>
  <c r="H101" i="101"/>
  <c r="I101" i="101"/>
  <c r="J101" i="101"/>
  <c r="K101" i="101"/>
  <c r="L101" i="101"/>
  <c r="M101" i="101"/>
  <c r="N101" i="101"/>
  <c r="R101" i="101"/>
  <c r="R103" i="101"/>
  <c r="R107" i="101"/>
  <c r="E111" i="101"/>
  <c r="F111" i="101"/>
  <c r="G111" i="101"/>
  <c r="H111" i="101"/>
  <c r="I111" i="101"/>
  <c r="J111" i="101"/>
  <c r="K111" i="101"/>
  <c r="L111" i="101"/>
  <c r="M111" i="101"/>
  <c r="N111" i="101"/>
  <c r="R114" i="101"/>
  <c r="E116" i="101"/>
  <c r="F116" i="101"/>
  <c r="G116" i="101"/>
  <c r="H116" i="101"/>
  <c r="I116" i="101"/>
  <c r="J116" i="101"/>
  <c r="K116" i="101"/>
  <c r="L116" i="101"/>
  <c r="M116" i="101"/>
  <c r="N116" i="101"/>
  <c r="E121" i="101"/>
  <c r="F121" i="101"/>
  <c r="G121" i="101"/>
  <c r="H121" i="101"/>
  <c r="I121" i="101"/>
  <c r="J121" i="101"/>
  <c r="K121" i="101"/>
  <c r="L121" i="101"/>
  <c r="M121" i="101"/>
  <c r="N121" i="101"/>
  <c r="R121" i="101"/>
  <c r="E125" i="101"/>
  <c r="F125" i="101"/>
  <c r="G125" i="101"/>
  <c r="H125" i="101"/>
  <c r="I125" i="101"/>
  <c r="J125" i="101"/>
  <c r="K125" i="101"/>
  <c r="L125" i="101"/>
  <c r="M125" i="101"/>
  <c r="N125" i="101"/>
  <c r="R125" i="101"/>
  <c r="R127" i="101"/>
  <c r="R129" i="101"/>
  <c r="E144" i="101"/>
  <c r="F144" i="101"/>
  <c r="G144" i="101"/>
  <c r="H144" i="101"/>
  <c r="I144" i="101"/>
  <c r="J144" i="101"/>
  <c r="K144" i="101"/>
  <c r="L144" i="101"/>
  <c r="M144" i="101"/>
  <c r="N144" i="101"/>
  <c r="E156" i="101"/>
  <c r="F156" i="101"/>
  <c r="G156" i="101"/>
  <c r="H156" i="101"/>
  <c r="I156" i="101"/>
  <c r="J156" i="101"/>
  <c r="K156" i="101"/>
  <c r="L156" i="101"/>
  <c r="M156" i="101"/>
  <c r="N156" i="101"/>
  <c r="E169" i="101"/>
  <c r="F169" i="101"/>
  <c r="G169" i="101"/>
  <c r="H169" i="101"/>
  <c r="I169" i="101"/>
  <c r="J169" i="101"/>
  <c r="K169" i="101"/>
  <c r="L169" i="101"/>
  <c r="M169" i="101"/>
  <c r="N169" i="101"/>
  <c r="O169" i="101"/>
  <c r="P169" i="101"/>
  <c r="Q169" i="101"/>
  <c r="R169" i="101"/>
  <c r="R171" i="101"/>
  <c r="R173" i="101"/>
  <c r="E187" i="101"/>
  <c r="F187" i="101"/>
  <c r="G187" i="101"/>
  <c r="H187" i="101"/>
  <c r="I187" i="101"/>
  <c r="J187" i="101"/>
  <c r="K187" i="101"/>
  <c r="L187" i="101"/>
  <c r="M187" i="101"/>
  <c r="N187" i="101"/>
  <c r="R187" i="101"/>
  <c r="E190" i="101"/>
  <c r="F190" i="101"/>
  <c r="G190" i="101"/>
  <c r="H190" i="101"/>
  <c r="I190" i="101"/>
  <c r="J190" i="101"/>
  <c r="K190" i="101"/>
  <c r="L190" i="101"/>
  <c r="M190" i="101"/>
  <c r="N190" i="101"/>
  <c r="R192" i="101"/>
  <c r="E195" i="101"/>
  <c r="E197" i="101" s="1"/>
  <c r="F195" i="101"/>
  <c r="G195" i="101"/>
  <c r="G197" i="101" s="1"/>
  <c r="H195" i="101"/>
  <c r="H197" i="101" s="1"/>
  <c r="I195" i="101"/>
  <c r="J195" i="101"/>
  <c r="K195" i="101"/>
  <c r="K197" i="101" s="1"/>
  <c r="L195" i="101"/>
  <c r="L197" i="101" s="1"/>
  <c r="M195" i="101"/>
  <c r="M197" i="101" s="1"/>
  <c r="N195" i="101"/>
  <c r="F197" i="101"/>
  <c r="I197" i="101"/>
  <c r="J197" i="101"/>
  <c r="N197" i="101"/>
  <c r="E199" i="101"/>
  <c r="F199" i="101"/>
  <c r="G199" i="101"/>
  <c r="H199" i="101"/>
  <c r="I199" i="101"/>
  <c r="J199" i="101"/>
  <c r="K199" i="101"/>
  <c r="L199" i="101"/>
  <c r="M199" i="101"/>
  <c r="N199" i="101"/>
  <c r="R199" i="101"/>
  <c r="R210" i="101" s="1"/>
  <c r="R211" i="101" s="1"/>
  <c r="R212" i="101" s="1"/>
  <c r="E203" i="101"/>
  <c r="F203" i="101"/>
  <c r="G203" i="101"/>
  <c r="H203" i="101"/>
  <c r="I203" i="101"/>
  <c r="J203" i="101"/>
  <c r="K203" i="101"/>
  <c r="L203" i="101"/>
  <c r="M203" i="101"/>
  <c r="N203" i="101"/>
  <c r="O203" i="101"/>
  <c r="P203" i="101"/>
  <c r="Q203" i="101"/>
  <c r="E205" i="101"/>
  <c r="F205" i="101"/>
  <c r="G205" i="101"/>
  <c r="H205" i="101"/>
  <c r="I205" i="101"/>
  <c r="J205" i="101"/>
  <c r="K205" i="101"/>
  <c r="L205" i="101"/>
  <c r="M205" i="101"/>
  <c r="N205" i="101"/>
  <c r="O205" i="101"/>
  <c r="P205" i="101"/>
  <c r="Q205" i="101"/>
  <c r="E207" i="101"/>
  <c r="F207" i="101"/>
  <c r="G207" i="101"/>
  <c r="H207" i="101"/>
  <c r="I207" i="101"/>
  <c r="J207" i="101"/>
  <c r="K207" i="101"/>
  <c r="L207" i="101"/>
  <c r="M207" i="101"/>
  <c r="N207" i="101"/>
  <c r="O207" i="101"/>
  <c r="P207" i="101"/>
  <c r="Q207" i="101"/>
  <c r="E209" i="101"/>
  <c r="F209" i="101"/>
  <c r="G209" i="101"/>
  <c r="H209" i="101"/>
  <c r="I209" i="101"/>
  <c r="J209" i="101"/>
  <c r="K209" i="101"/>
  <c r="L209" i="101"/>
  <c r="M209" i="101"/>
  <c r="N209" i="101"/>
  <c r="O209" i="101"/>
  <c r="P209" i="101"/>
  <c r="Q209" i="101"/>
  <c r="S210" i="101"/>
  <c r="D29" i="100"/>
  <c r="E29" i="100"/>
  <c r="F29" i="100"/>
  <c r="G29" i="100"/>
  <c r="H29" i="100"/>
  <c r="I29" i="100"/>
  <c r="J29" i="100"/>
  <c r="K29" i="100"/>
  <c r="L29" i="100"/>
  <c r="M29" i="100"/>
  <c r="N29" i="100"/>
  <c r="O29" i="100"/>
  <c r="P29" i="100"/>
  <c r="Q29" i="100"/>
  <c r="R29" i="100"/>
  <c r="S29" i="100"/>
  <c r="T29" i="100"/>
  <c r="D48" i="100"/>
  <c r="F48" i="100"/>
  <c r="H48" i="100"/>
  <c r="J48" i="100"/>
  <c r="L48" i="100"/>
  <c r="N48" i="100"/>
  <c r="P48" i="100"/>
  <c r="R48" i="100"/>
  <c r="T48" i="100"/>
  <c r="D53" i="100"/>
  <c r="F53" i="100"/>
  <c r="H53" i="100"/>
  <c r="J53" i="100"/>
  <c r="L53" i="100"/>
  <c r="N53" i="100"/>
  <c r="P53" i="100"/>
  <c r="R53" i="100"/>
  <c r="T53" i="100"/>
  <c r="D56" i="100"/>
  <c r="F56" i="100"/>
  <c r="H56" i="100"/>
  <c r="J56" i="100"/>
  <c r="L56" i="100"/>
  <c r="N56" i="100"/>
  <c r="P56" i="100"/>
  <c r="R56" i="100"/>
  <c r="T56" i="100"/>
  <c r="D76" i="100"/>
  <c r="F76" i="100"/>
  <c r="H76" i="100"/>
  <c r="J76" i="100"/>
  <c r="L76" i="100"/>
  <c r="N76" i="100"/>
  <c r="P76" i="100"/>
  <c r="R76" i="100"/>
  <c r="T76" i="100"/>
  <c r="D79" i="100"/>
  <c r="F79" i="100"/>
  <c r="H79" i="100"/>
  <c r="J79" i="100"/>
  <c r="L79" i="100"/>
  <c r="N79" i="100"/>
  <c r="P79" i="100"/>
  <c r="R79" i="100"/>
  <c r="T79" i="100"/>
  <c r="D85" i="100"/>
  <c r="F85" i="100"/>
  <c r="H85" i="100"/>
  <c r="J85" i="100"/>
  <c r="L85" i="100"/>
  <c r="N85" i="100"/>
  <c r="P85" i="100"/>
  <c r="R85" i="100"/>
  <c r="T85" i="100"/>
  <c r="D95" i="100"/>
  <c r="F95" i="100"/>
  <c r="H95" i="100"/>
  <c r="J95" i="100"/>
  <c r="L95" i="100"/>
  <c r="N95" i="100"/>
  <c r="P95" i="100"/>
  <c r="R95" i="100"/>
  <c r="T95" i="100"/>
  <c r="D101" i="100"/>
  <c r="E101" i="100"/>
  <c r="F101" i="100"/>
  <c r="G101" i="100"/>
  <c r="H101" i="100"/>
  <c r="I101" i="100"/>
  <c r="J101" i="100"/>
  <c r="K101" i="100"/>
  <c r="L101" i="100"/>
  <c r="M101" i="100"/>
  <c r="N101" i="100"/>
  <c r="O101" i="100"/>
  <c r="P101" i="100"/>
  <c r="Q101" i="100"/>
  <c r="R101" i="100"/>
  <c r="S101" i="100"/>
  <c r="T101" i="100"/>
  <c r="D111" i="100"/>
  <c r="F111" i="100"/>
  <c r="H111" i="100"/>
  <c r="J111" i="100"/>
  <c r="L111" i="100"/>
  <c r="N111" i="100"/>
  <c r="P111" i="100"/>
  <c r="R111" i="100"/>
  <c r="T111" i="100"/>
  <c r="D116" i="100"/>
  <c r="F116" i="100"/>
  <c r="H116" i="100"/>
  <c r="J116" i="100"/>
  <c r="L116" i="100"/>
  <c r="N116" i="100"/>
  <c r="P116" i="100"/>
  <c r="R116" i="100"/>
  <c r="T116" i="100"/>
  <c r="D121" i="100"/>
  <c r="E121" i="100"/>
  <c r="F121" i="100"/>
  <c r="G121" i="100"/>
  <c r="H121" i="100"/>
  <c r="I121" i="100"/>
  <c r="J121" i="100"/>
  <c r="K121" i="100"/>
  <c r="L121" i="100"/>
  <c r="M121" i="100"/>
  <c r="N121" i="100"/>
  <c r="O121" i="100"/>
  <c r="P121" i="100"/>
  <c r="Q121" i="100"/>
  <c r="R121" i="100"/>
  <c r="S121" i="100"/>
  <c r="T121" i="100"/>
  <c r="D125" i="100"/>
  <c r="F125" i="100"/>
  <c r="H125" i="100"/>
  <c r="J125" i="100"/>
  <c r="L125" i="100"/>
  <c r="N125" i="100"/>
  <c r="P125" i="100"/>
  <c r="R125" i="100"/>
  <c r="T125" i="100"/>
  <c r="D144" i="100"/>
  <c r="F144" i="100"/>
  <c r="H144" i="100"/>
  <c r="J144" i="100"/>
  <c r="L144" i="100"/>
  <c r="N144" i="100"/>
  <c r="P144" i="100"/>
  <c r="R144" i="100"/>
  <c r="T144" i="100"/>
  <c r="D156" i="100"/>
  <c r="F156" i="100"/>
  <c r="H156" i="100"/>
  <c r="J156" i="100"/>
  <c r="L156" i="100"/>
  <c r="N156" i="100"/>
  <c r="P156" i="100"/>
  <c r="R156" i="100"/>
  <c r="T156" i="100"/>
  <c r="D188" i="100"/>
  <c r="F188" i="100"/>
  <c r="H188" i="100"/>
  <c r="J188" i="100"/>
  <c r="L188" i="100"/>
  <c r="N188" i="100"/>
  <c r="P188" i="100"/>
  <c r="R188" i="100"/>
  <c r="T188" i="100"/>
  <c r="D191" i="100"/>
  <c r="F191" i="100"/>
  <c r="H191" i="100"/>
  <c r="J191" i="100"/>
  <c r="L191" i="100"/>
  <c r="N191" i="100"/>
  <c r="P191" i="100"/>
  <c r="R191" i="100"/>
  <c r="T191" i="100"/>
  <c r="D197" i="100"/>
  <c r="D199" i="100" s="1"/>
  <c r="F197" i="100"/>
  <c r="F199" i="100" s="1"/>
  <c r="H197" i="100"/>
  <c r="H199" i="100" s="1"/>
  <c r="J197" i="100"/>
  <c r="J199" i="100" s="1"/>
  <c r="L197" i="100"/>
  <c r="L199" i="100" s="1"/>
  <c r="N197" i="100"/>
  <c r="N199" i="100" s="1"/>
  <c r="P197" i="100"/>
  <c r="P199" i="100" s="1"/>
  <c r="R197" i="100"/>
  <c r="R199" i="100" s="1"/>
  <c r="T197" i="100"/>
  <c r="T199" i="100" s="1"/>
  <c r="D201" i="100"/>
  <c r="F201" i="100"/>
  <c r="H201" i="100"/>
  <c r="J201" i="100"/>
  <c r="L201" i="100"/>
  <c r="N201" i="100"/>
  <c r="P201" i="100"/>
  <c r="R201" i="100"/>
  <c r="T201" i="100"/>
  <c r="D205" i="100"/>
  <c r="E205" i="100"/>
  <c r="F205" i="100"/>
  <c r="G205" i="100"/>
  <c r="H205" i="100"/>
  <c r="I205" i="100"/>
  <c r="J205" i="100"/>
  <c r="K205" i="100"/>
  <c r="L205" i="100"/>
  <c r="M205" i="100"/>
  <c r="N205" i="100"/>
  <c r="O205" i="100"/>
  <c r="P205" i="100"/>
  <c r="Q205" i="100"/>
  <c r="R205" i="100"/>
  <c r="S205" i="100"/>
  <c r="T205" i="100"/>
  <c r="U205" i="100"/>
  <c r="D207" i="100"/>
  <c r="F207" i="100"/>
  <c r="H207" i="100"/>
  <c r="J207" i="100"/>
  <c r="L207" i="100"/>
  <c r="N207" i="100"/>
  <c r="P207" i="100"/>
  <c r="R207" i="100"/>
  <c r="T207" i="100"/>
  <c r="Q24" i="120"/>
  <c r="R24" i="120"/>
  <c r="S24" i="120"/>
  <c r="T24" i="120"/>
  <c r="U24" i="120"/>
  <c r="V24" i="120"/>
  <c r="W24" i="120"/>
  <c r="X24" i="120"/>
  <c r="Y24" i="120"/>
  <c r="Z24" i="120"/>
  <c r="AA24" i="120"/>
  <c r="AB24" i="120"/>
  <c r="AC24" i="120"/>
  <c r="AD24" i="120"/>
  <c r="AE24" i="120"/>
  <c r="AF24" i="120"/>
  <c r="AG24" i="120"/>
  <c r="AH24" i="120"/>
  <c r="AI24" i="120"/>
  <c r="AJ24" i="120"/>
  <c r="AK24" i="120"/>
  <c r="AL24" i="120"/>
  <c r="AM24" i="120"/>
  <c r="AN24" i="120"/>
  <c r="AO24" i="120"/>
  <c r="AP24" i="120"/>
  <c r="AQ24" i="120"/>
  <c r="AR24" i="120"/>
  <c r="AS24" i="120"/>
  <c r="AT24" i="120"/>
  <c r="AU24" i="120"/>
  <c r="AV24" i="120"/>
  <c r="AW24" i="120"/>
  <c r="AX24" i="120"/>
  <c r="AY24" i="120"/>
  <c r="BA24" i="120"/>
  <c r="BB24" i="120"/>
  <c r="BC24" i="120"/>
  <c r="BD24" i="120"/>
  <c r="BE24" i="120"/>
  <c r="P24" i="120"/>
  <c r="F86" i="120"/>
  <c r="G86" i="120"/>
  <c r="H86" i="120"/>
  <c r="I86" i="120"/>
  <c r="J86" i="120"/>
  <c r="K86" i="120"/>
  <c r="L86" i="120"/>
  <c r="M86" i="120"/>
  <c r="N86" i="120"/>
  <c r="O86" i="120"/>
  <c r="P86" i="120"/>
  <c r="Q86" i="120"/>
  <c r="R86" i="120"/>
  <c r="S86" i="120"/>
  <c r="T86" i="120"/>
  <c r="U86" i="120"/>
  <c r="V86" i="120"/>
  <c r="W86" i="120"/>
  <c r="X86" i="120"/>
  <c r="Y86" i="120"/>
  <c r="Z86" i="120"/>
  <c r="AA86" i="120"/>
  <c r="AB86" i="120"/>
  <c r="AC86" i="120"/>
  <c r="AD86" i="120"/>
  <c r="AE86" i="120"/>
  <c r="AF86" i="120"/>
  <c r="AG86" i="120"/>
  <c r="AH86" i="120"/>
  <c r="AI86" i="120"/>
  <c r="AJ86" i="120"/>
  <c r="AK86" i="120"/>
  <c r="AL86" i="120"/>
  <c r="AM86" i="120"/>
  <c r="AN86" i="120"/>
  <c r="AO86" i="120"/>
  <c r="AP86" i="120"/>
  <c r="AQ86" i="120"/>
  <c r="AR86" i="120"/>
  <c r="AS86" i="120"/>
  <c r="AT86" i="120"/>
  <c r="AU86" i="120"/>
  <c r="AV86" i="120"/>
  <c r="AW86" i="120"/>
  <c r="AX86" i="120"/>
  <c r="AY86" i="120"/>
  <c r="AZ86" i="120"/>
  <c r="BA86" i="120"/>
  <c r="BB86" i="120"/>
  <c r="BC86" i="120"/>
  <c r="BD86" i="120"/>
  <c r="BE86" i="120"/>
  <c r="E86" i="120"/>
  <c r="D86" i="120"/>
  <c r="C86" i="120"/>
  <c r="D85" i="120"/>
  <c r="E85" i="120"/>
  <c r="F85" i="120"/>
  <c r="G85" i="120"/>
  <c r="H85" i="120"/>
  <c r="I85" i="120"/>
  <c r="J85" i="120"/>
  <c r="K85" i="120"/>
  <c r="L85" i="120"/>
  <c r="M85" i="120"/>
  <c r="N85" i="120"/>
  <c r="O85" i="120"/>
  <c r="P85" i="120"/>
  <c r="Q85" i="120"/>
  <c r="R85" i="120"/>
  <c r="S85" i="120"/>
  <c r="T85" i="120"/>
  <c r="U85" i="120"/>
  <c r="V85" i="120"/>
  <c r="W85" i="120"/>
  <c r="X85" i="120"/>
  <c r="Y85" i="120"/>
  <c r="Z85" i="120"/>
  <c r="AA85" i="120"/>
  <c r="AB85" i="120"/>
  <c r="AC85" i="120"/>
  <c r="AD85" i="120"/>
  <c r="AE85" i="120"/>
  <c r="AF85" i="120"/>
  <c r="AG85" i="120"/>
  <c r="AH85" i="120"/>
  <c r="AI85" i="120"/>
  <c r="AJ85" i="120"/>
  <c r="AK85" i="120"/>
  <c r="AL85" i="120"/>
  <c r="AM85" i="120"/>
  <c r="AN85" i="120"/>
  <c r="AO85" i="120"/>
  <c r="AP85" i="120"/>
  <c r="AQ85" i="120"/>
  <c r="AR85" i="120"/>
  <c r="AS85" i="120"/>
  <c r="AT85" i="120"/>
  <c r="AU85" i="120"/>
  <c r="AV85" i="120"/>
  <c r="AW85" i="120"/>
  <c r="AX85" i="120"/>
  <c r="AY85" i="120"/>
  <c r="BA85" i="120"/>
  <c r="BB85" i="120"/>
  <c r="BC85" i="120"/>
  <c r="BD85" i="120"/>
  <c r="BE85" i="120"/>
  <c r="C85" i="120"/>
  <c r="BC75" i="120"/>
  <c r="BD75" i="120"/>
  <c r="BE75" i="120"/>
  <c r="BA75" i="120"/>
  <c r="BB75" i="120"/>
  <c r="Z75" i="120"/>
  <c r="AA75" i="120"/>
  <c r="AB75" i="120"/>
  <c r="AC75" i="120"/>
  <c r="AD75" i="120"/>
  <c r="AE75" i="120"/>
  <c r="AF75" i="120"/>
  <c r="AG75" i="120"/>
  <c r="AH75" i="120"/>
  <c r="AI75" i="120"/>
  <c r="AJ75" i="120"/>
  <c r="AK75" i="120"/>
  <c r="AL75" i="120"/>
  <c r="AM75" i="120"/>
  <c r="AN75" i="120"/>
  <c r="AO75" i="120"/>
  <c r="AP75" i="120"/>
  <c r="AQ75" i="120"/>
  <c r="AR75" i="120"/>
  <c r="AS75" i="120"/>
  <c r="AT75" i="120"/>
  <c r="AU75" i="120"/>
  <c r="AV75" i="120"/>
  <c r="AW75" i="120"/>
  <c r="AX75" i="120"/>
  <c r="AY75" i="120"/>
  <c r="AZ75" i="120"/>
  <c r="W75" i="120"/>
  <c r="X75" i="120"/>
  <c r="Y75" i="120"/>
  <c r="V75" i="120"/>
  <c r="Q75" i="120"/>
  <c r="R75" i="120"/>
  <c r="S75" i="120"/>
  <c r="T75" i="120"/>
  <c r="U75" i="120"/>
  <c r="N75" i="120"/>
  <c r="O75" i="120"/>
  <c r="P75" i="120"/>
  <c r="L75" i="120"/>
  <c r="M75" i="120"/>
  <c r="J75" i="120"/>
  <c r="K75" i="120"/>
  <c r="G75" i="120"/>
  <c r="H75" i="120"/>
  <c r="I75" i="120"/>
  <c r="F75" i="120"/>
  <c r="D75" i="120"/>
  <c r="E75" i="120"/>
  <c r="C75" i="120"/>
  <c r="O24" i="120"/>
  <c r="N24" i="120"/>
  <c r="L24" i="120"/>
  <c r="M24" i="120"/>
  <c r="J24" i="120"/>
  <c r="K24" i="120"/>
  <c r="H24" i="120"/>
  <c r="I24" i="120"/>
  <c r="F24" i="120"/>
  <c r="G24" i="120"/>
  <c r="D24" i="120"/>
  <c r="E24" i="120"/>
  <c r="C24" i="120"/>
  <c r="G55" i="126" l="1"/>
  <c r="G92" i="126"/>
  <c r="AS713" i="64"/>
  <c r="G94" i="126" s="1"/>
  <c r="BE90" i="140"/>
  <c r="BE84" i="140"/>
  <c r="BE92" i="140"/>
  <c r="AV84" i="140"/>
  <c r="AV92" i="140"/>
  <c r="AV90" i="140"/>
  <c r="AN84" i="140"/>
  <c r="AN92" i="140"/>
  <c r="AN90" i="140"/>
  <c r="AF84" i="140"/>
  <c r="AF92" i="140"/>
  <c r="AF90" i="140"/>
  <c r="AB90" i="140"/>
  <c r="AB84" i="140"/>
  <c r="AB92" i="140"/>
  <c r="T84" i="140"/>
  <c r="T92" i="140"/>
  <c r="T90" i="140"/>
  <c r="L90" i="140"/>
  <c r="L92" i="140"/>
  <c r="L84" i="140"/>
  <c r="H84" i="140"/>
  <c r="H92" i="140"/>
  <c r="H90" i="140"/>
  <c r="C354" i="64"/>
  <c r="K354" i="64"/>
  <c r="V354" i="64"/>
  <c r="O713" i="64"/>
  <c r="G46" i="126" s="1"/>
  <c r="G47" i="126" s="1"/>
  <c r="J354" i="64"/>
  <c r="E354" i="64"/>
  <c r="AZ713" i="64"/>
  <c r="G93" i="126" s="1"/>
  <c r="AW354" i="64"/>
  <c r="X713" i="64"/>
  <c r="G95" i="126" s="1"/>
  <c r="D713" i="64"/>
  <c r="G107" i="126" s="1"/>
  <c r="AG354" i="64"/>
  <c r="AT354" i="64"/>
  <c r="BA713" i="64"/>
  <c r="G14" i="126" s="1"/>
  <c r="AA354" i="64"/>
  <c r="AX713" i="64"/>
  <c r="G64" i="126" s="1"/>
  <c r="G69" i="126" s="1"/>
  <c r="AM713" i="64"/>
  <c r="G71" i="126" s="1"/>
  <c r="BC713" i="64"/>
  <c r="G101" i="126" s="1"/>
  <c r="AB354" i="64"/>
  <c r="AH354" i="64"/>
  <c r="AV713" i="64"/>
  <c r="G21" i="126" s="1"/>
  <c r="G27" i="126" s="1"/>
  <c r="AK354" i="64"/>
  <c r="U354" i="64"/>
  <c r="AZ84" i="140"/>
  <c r="AZ92" i="140"/>
  <c r="AZ90" i="140"/>
  <c r="AR90" i="140"/>
  <c r="AR92" i="140"/>
  <c r="AR84" i="140"/>
  <c r="AJ84" i="140"/>
  <c r="AJ92" i="140"/>
  <c r="AJ90" i="140"/>
  <c r="X84" i="140"/>
  <c r="X92" i="140"/>
  <c r="X90" i="140"/>
  <c r="P90" i="140"/>
  <c r="P84" i="140"/>
  <c r="P92" i="140"/>
  <c r="M354" i="64"/>
  <c r="AF354" i="64"/>
  <c r="AS354" i="64"/>
  <c r="BD84" i="140"/>
  <c r="BD92" i="140"/>
  <c r="BD90" i="140"/>
  <c r="AY92" i="140"/>
  <c r="AY90" i="140"/>
  <c r="AY84" i="140"/>
  <c r="AU84" i="140"/>
  <c r="AU92" i="140"/>
  <c r="AU90" i="140"/>
  <c r="AQ90" i="140"/>
  <c r="AQ84" i="140"/>
  <c r="AQ92" i="140"/>
  <c r="AM92" i="140"/>
  <c r="AM90" i="140"/>
  <c r="AM84" i="140"/>
  <c r="AI92" i="140"/>
  <c r="AI90" i="140"/>
  <c r="AI84" i="140"/>
  <c r="AE84" i="140"/>
  <c r="AE92" i="140"/>
  <c r="AE90" i="140"/>
  <c r="AA90" i="140"/>
  <c r="AA84" i="140"/>
  <c r="AA92" i="140"/>
  <c r="W92" i="140"/>
  <c r="W90" i="140"/>
  <c r="W84" i="140"/>
  <c r="S92" i="140"/>
  <c r="S90" i="140"/>
  <c r="S84" i="140"/>
  <c r="O84" i="140"/>
  <c r="O92" i="140"/>
  <c r="O90" i="140"/>
  <c r="K90" i="140"/>
  <c r="K84" i="140"/>
  <c r="K92" i="140"/>
  <c r="G92" i="140"/>
  <c r="G90" i="140"/>
  <c r="G84" i="140"/>
  <c r="S211" i="101"/>
  <c r="H722" i="64"/>
  <c r="H753" i="64" s="1"/>
  <c r="H682" i="64"/>
  <c r="H713" i="64" s="1"/>
  <c r="G28" i="126" s="1"/>
  <c r="G30" i="126" s="1"/>
  <c r="AS753" i="64"/>
  <c r="O753" i="64"/>
  <c r="AZ753" i="64"/>
  <c r="X753" i="64"/>
  <c r="D753" i="64"/>
  <c r="BA753" i="64"/>
  <c r="AX753" i="64"/>
  <c r="AM753" i="64"/>
  <c r="BC753" i="64"/>
  <c r="AV753" i="64"/>
  <c r="BC92" i="140"/>
  <c r="BC90" i="140"/>
  <c r="BC84" i="140"/>
  <c r="AT90" i="140"/>
  <c r="AT92" i="140"/>
  <c r="AT84" i="140"/>
  <c r="AH90" i="140"/>
  <c r="AH92" i="140"/>
  <c r="AH84" i="140"/>
  <c r="Z90" i="140"/>
  <c r="Z92" i="140"/>
  <c r="Z84" i="140"/>
  <c r="R90" i="140"/>
  <c r="R92" i="140"/>
  <c r="R84" i="140"/>
  <c r="AD354" i="64"/>
  <c r="BD354" i="64"/>
  <c r="I354" i="64"/>
  <c r="AU354" i="64"/>
  <c r="BB713" i="64"/>
  <c r="G100" i="126" s="1"/>
  <c r="AO354" i="64"/>
  <c r="AQ354" i="64"/>
  <c r="AN713" i="64"/>
  <c r="AI354" i="64"/>
  <c r="G354" i="64"/>
  <c r="BE354" i="64"/>
  <c r="AY354" i="64"/>
  <c r="W713" i="64"/>
  <c r="G73" i="126" s="1"/>
  <c r="P713" i="64"/>
  <c r="G108" i="126" s="1"/>
  <c r="F713" i="64"/>
  <c r="G31" i="126" s="1"/>
  <c r="G33" i="126" s="1"/>
  <c r="AR354" i="64"/>
  <c r="Q354" i="64"/>
  <c r="N713" i="64"/>
  <c r="G13" i="126" s="1"/>
  <c r="S354" i="64"/>
  <c r="Z354" i="64"/>
  <c r="AE354" i="64"/>
  <c r="AL354" i="64"/>
  <c r="AC354" i="64"/>
  <c r="T354" i="64"/>
  <c r="L713" i="64"/>
  <c r="G109" i="126" s="1"/>
  <c r="D84" i="140"/>
  <c r="D90" i="140"/>
  <c r="D92" i="140"/>
  <c r="AX90" i="140"/>
  <c r="AX92" i="140"/>
  <c r="AX84" i="140"/>
  <c r="AP90" i="140"/>
  <c r="AP92" i="140"/>
  <c r="AP84" i="140"/>
  <c r="AL84" i="140"/>
  <c r="AL90" i="140"/>
  <c r="AL92" i="140"/>
  <c r="AD90" i="140"/>
  <c r="AD92" i="140"/>
  <c r="AD84" i="140"/>
  <c r="V90" i="140"/>
  <c r="V92" i="140"/>
  <c r="V84" i="140"/>
  <c r="N90" i="140"/>
  <c r="N92" i="140"/>
  <c r="N84" i="140"/>
  <c r="J90" i="140"/>
  <c r="J92" i="140"/>
  <c r="J84" i="140"/>
  <c r="F84" i="140"/>
  <c r="F90" i="140"/>
  <c r="F92" i="140"/>
  <c r="BK260" i="64"/>
  <c r="AP354" i="64"/>
  <c r="R354" i="64"/>
  <c r="AJ354" i="64"/>
  <c r="Y354" i="64"/>
  <c r="BF90" i="140"/>
  <c r="BF92" i="140"/>
  <c r="BF84" i="140"/>
  <c r="BB84" i="140"/>
  <c r="BB90" i="140"/>
  <c r="BB92" i="140"/>
  <c r="AW84" i="140"/>
  <c r="AW92" i="140"/>
  <c r="AW90" i="140"/>
  <c r="AS84" i="140"/>
  <c r="AS92" i="140"/>
  <c r="AS90" i="140"/>
  <c r="AO90" i="140"/>
  <c r="AO84" i="140"/>
  <c r="AO92" i="140"/>
  <c r="AK92" i="140"/>
  <c r="AK90" i="140"/>
  <c r="AK84" i="140"/>
  <c r="AG84" i="140"/>
  <c r="AG92" i="140"/>
  <c r="AG90" i="140"/>
  <c r="AC84" i="140"/>
  <c r="AC92" i="140"/>
  <c r="AC90" i="140"/>
  <c r="Y90" i="140"/>
  <c r="Y84" i="140"/>
  <c r="Y92" i="140"/>
  <c r="U92" i="140"/>
  <c r="U90" i="140"/>
  <c r="U84" i="140"/>
  <c r="Q84" i="140"/>
  <c r="Q92" i="140"/>
  <c r="Q90" i="140"/>
  <c r="M84" i="140"/>
  <c r="M92" i="140"/>
  <c r="M90" i="140"/>
  <c r="I90" i="140"/>
  <c r="I84" i="140"/>
  <c r="I92" i="140"/>
  <c r="E92" i="140"/>
  <c r="E90" i="140"/>
  <c r="E84" i="140"/>
  <c r="BB753" i="64"/>
  <c r="AN753" i="64"/>
  <c r="W753" i="64"/>
  <c r="P753" i="64"/>
  <c r="F753" i="64"/>
  <c r="N753" i="64"/>
  <c r="L753" i="64"/>
  <c r="W36" i="143"/>
  <c r="Q352" i="143"/>
  <c r="Q356" i="143" s="1"/>
  <c r="Q54" i="143"/>
  <c r="N356" i="143"/>
  <c r="BL221" i="64"/>
  <c r="BF67" i="120" l="1"/>
  <c r="BF77" i="120"/>
  <c r="BF94" i="120"/>
  <c r="G106" i="126"/>
  <c r="G113" i="126"/>
  <c r="G82" i="126"/>
  <c r="G11" i="126"/>
  <c r="G19" i="126" s="1"/>
  <c r="G99" i="126"/>
  <c r="T715" i="64"/>
  <c r="T717" i="64" s="1"/>
  <c r="X6" i="140"/>
  <c r="AL715" i="64"/>
  <c r="AL717" i="64" s="1"/>
  <c r="AM6" i="140"/>
  <c r="AM7" i="140" s="1"/>
  <c r="AM67" i="140" s="1"/>
  <c r="Z715" i="64"/>
  <c r="Z717" i="64" s="1"/>
  <c r="AA6" i="140"/>
  <c r="AA7" i="140" s="1"/>
  <c r="AA67" i="140" s="1"/>
  <c r="F354" i="64"/>
  <c r="AY715" i="64"/>
  <c r="AY717" i="64" s="1"/>
  <c r="AU6" i="140"/>
  <c r="AU7" i="140" s="1"/>
  <c r="AU67" i="140" s="1"/>
  <c r="G715" i="64"/>
  <c r="G717" i="64" s="1"/>
  <c r="Y6" i="140"/>
  <c r="Y7" i="140" s="1"/>
  <c r="Y67" i="140" s="1"/>
  <c r="BB354" i="64"/>
  <c r="I715" i="64"/>
  <c r="I717" i="64" s="1"/>
  <c r="U6" i="140"/>
  <c r="U7" i="140" s="1"/>
  <c r="U67" i="140" s="1"/>
  <c r="AD715" i="64"/>
  <c r="AD717" i="64" s="1"/>
  <c r="AE6" i="140"/>
  <c r="AE7" i="140" s="1"/>
  <c r="AE67" i="140" s="1"/>
  <c r="AK715" i="64"/>
  <c r="AK717" i="64" s="1"/>
  <c r="AL6" i="140"/>
  <c r="AL7" i="140" s="1"/>
  <c r="AL67" i="140" s="1"/>
  <c r="AX354" i="64"/>
  <c r="D354" i="64"/>
  <c r="AZ354" i="64"/>
  <c r="J715" i="64"/>
  <c r="J717" i="64" s="1"/>
  <c r="V6" i="140"/>
  <c r="V7" i="140" s="1"/>
  <c r="V67" i="140" s="1"/>
  <c r="AJ715" i="64"/>
  <c r="AJ717" i="64" s="1"/>
  <c r="AK6" i="140"/>
  <c r="AK7" i="140" s="1"/>
  <c r="AK67" i="140" s="1"/>
  <c r="AP715" i="64"/>
  <c r="AP717" i="64" s="1"/>
  <c r="AP6" i="140"/>
  <c r="AP7" i="140" s="1"/>
  <c r="AP67" i="140" s="1"/>
  <c r="Q715" i="64"/>
  <c r="Q717" i="64" s="1"/>
  <c r="D6" i="140"/>
  <c r="I3" i="143" s="1"/>
  <c r="P354" i="64"/>
  <c r="AQ715" i="64"/>
  <c r="AQ717" i="64" s="1"/>
  <c r="AQ6" i="140"/>
  <c r="AQ7" i="140" s="1"/>
  <c r="AQ67" i="140" s="1"/>
  <c r="AS715" i="64"/>
  <c r="AS717" i="64" s="1"/>
  <c r="AS6" i="140"/>
  <c r="AS7" i="140" s="1"/>
  <c r="AS67" i="140" s="1"/>
  <c r="M715" i="64"/>
  <c r="M717" i="64" s="1"/>
  <c r="H6" i="140"/>
  <c r="H7" i="140" s="1"/>
  <c r="H67" i="140" s="1"/>
  <c r="AV354" i="64"/>
  <c r="AB715" i="64"/>
  <c r="AB717" i="64" s="1"/>
  <c r="AC6" i="140"/>
  <c r="AC7" i="140" s="1"/>
  <c r="AC67" i="140" s="1"/>
  <c r="AT715" i="64"/>
  <c r="AT717" i="64" s="1"/>
  <c r="BB6" i="140"/>
  <c r="BB7" i="140" s="1"/>
  <c r="BB67" i="140" s="1"/>
  <c r="X354" i="64"/>
  <c r="O354" i="64"/>
  <c r="K715" i="64"/>
  <c r="K717" i="64" s="1"/>
  <c r="M6" i="140"/>
  <c r="M7" i="140" s="1"/>
  <c r="M67" i="140" s="1"/>
  <c r="L354" i="64"/>
  <c r="AC715" i="64"/>
  <c r="AC717" i="64" s="1"/>
  <c r="AD6" i="140"/>
  <c r="AD7" i="140" s="1"/>
  <c r="AD67" i="140" s="1"/>
  <c r="AE715" i="64"/>
  <c r="AE717" i="64" s="1"/>
  <c r="AF6" i="140"/>
  <c r="AF7" i="140" s="1"/>
  <c r="AF67" i="140" s="1"/>
  <c r="S715" i="64"/>
  <c r="S717" i="64" s="1"/>
  <c r="L6" i="140"/>
  <c r="L7" i="140" s="1"/>
  <c r="L67" i="140" s="1"/>
  <c r="W354" i="64"/>
  <c r="BE715" i="64"/>
  <c r="BE717" i="64" s="1"/>
  <c r="BF6" i="140"/>
  <c r="BF7" i="140" s="1"/>
  <c r="BF67" i="140" s="1"/>
  <c r="AI715" i="64"/>
  <c r="AI717" i="64" s="1"/>
  <c r="AJ6" i="140"/>
  <c r="AJ7" i="140" s="1"/>
  <c r="AJ67" i="140" s="1"/>
  <c r="AU715" i="64"/>
  <c r="AU717" i="64" s="1"/>
  <c r="AV6" i="140"/>
  <c r="AV7" i="140" s="1"/>
  <c r="AV67" i="140" s="1"/>
  <c r="BD715" i="64"/>
  <c r="BD717" i="64" s="1"/>
  <c r="BE6" i="140"/>
  <c r="H354" i="64"/>
  <c r="U715" i="64"/>
  <c r="U717" i="64" s="1"/>
  <c r="K6" i="140"/>
  <c r="K7" i="140" s="1"/>
  <c r="K67" i="140" s="1"/>
  <c r="BC354" i="64"/>
  <c r="AA715" i="64"/>
  <c r="AA717" i="64" s="1"/>
  <c r="AB6" i="140"/>
  <c r="AB7" i="140" s="1"/>
  <c r="AB67" i="140" s="1"/>
  <c r="E715" i="64"/>
  <c r="E717" i="64" s="1"/>
  <c r="N6" i="140"/>
  <c r="N7" i="140" s="1"/>
  <c r="N67" i="140" s="1"/>
  <c r="Y715" i="64"/>
  <c r="Y717" i="64" s="1"/>
  <c r="Z6" i="140"/>
  <c r="Z7" i="140" s="1"/>
  <c r="Z67" i="140" s="1"/>
  <c r="R715" i="64"/>
  <c r="R717" i="64" s="1"/>
  <c r="P6" i="140"/>
  <c r="P7" i="140" s="1"/>
  <c r="P67" i="140" s="1"/>
  <c r="N354" i="64"/>
  <c r="AR715" i="64"/>
  <c r="AR717" i="64" s="1"/>
  <c r="AR6" i="140"/>
  <c r="AR7" i="140" s="1"/>
  <c r="AR67" i="140" s="1"/>
  <c r="AN354" i="64"/>
  <c r="AO715" i="64"/>
  <c r="AO717" i="64" s="1"/>
  <c r="AO6" i="140"/>
  <c r="AO7" i="140" s="1"/>
  <c r="AO67" i="140" s="1"/>
  <c r="AF715" i="64"/>
  <c r="AF717" i="64" s="1"/>
  <c r="AG6" i="140"/>
  <c r="AG7" i="140" s="1"/>
  <c r="AG67" i="140" s="1"/>
  <c r="AH715" i="64"/>
  <c r="AH717" i="64" s="1"/>
  <c r="AI6" i="140"/>
  <c r="AI7" i="140" s="1"/>
  <c r="AI67" i="140" s="1"/>
  <c r="AM354" i="64"/>
  <c r="BA354" i="64"/>
  <c r="AG715" i="64"/>
  <c r="AG717" i="64" s="1"/>
  <c r="AH6" i="140"/>
  <c r="AH7" i="140" s="1"/>
  <c r="AH67" i="140" s="1"/>
  <c r="AW715" i="64"/>
  <c r="AW717" i="64" s="1"/>
  <c r="AT6" i="140"/>
  <c r="AT7" i="140" s="1"/>
  <c r="AT67" i="140" s="1"/>
  <c r="V715" i="64"/>
  <c r="V717" i="64" s="1"/>
  <c r="J6" i="140"/>
  <c r="J7" i="140" s="1"/>
  <c r="J67" i="140" s="1"/>
  <c r="C715" i="64"/>
  <c r="C717" i="64" s="1"/>
  <c r="BG354" i="64"/>
  <c r="BG355" i="64" s="1"/>
  <c r="T6" i="140"/>
  <c r="T7" i="140" s="1"/>
  <c r="T67" i="140" s="1"/>
  <c r="W352" i="143"/>
  <c r="AX127" i="120"/>
  <c r="AY127" i="120"/>
  <c r="AZ127" i="120"/>
  <c r="BA127" i="120"/>
  <c r="BD127" i="120"/>
  <c r="BE127" i="120"/>
  <c r="O127" i="120"/>
  <c r="P127" i="120"/>
  <c r="Q127" i="120"/>
  <c r="R127" i="120"/>
  <c r="S127" i="120"/>
  <c r="T127" i="120"/>
  <c r="U127" i="120"/>
  <c r="W127" i="120"/>
  <c r="X127" i="120"/>
  <c r="Y127" i="120"/>
  <c r="Z127" i="120"/>
  <c r="AA127" i="120"/>
  <c r="AB127" i="120"/>
  <c r="AC127" i="120"/>
  <c r="AD127" i="120"/>
  <c r="AE127" i="120"/>
  <c r="AF127" i="120"/>
  <c r="AG127" i="120"/>
  <c r="AH127" i="120"/>
  <c r="AI127" i="120"/>
  <c r="AJ127" i="120"/>
  <c r="AK127" i="120"/>
  <c r="AL127" i="120"/>
  <c r="AM127" i="120"/>
  <c r="AN127" i="120"/>
  <c r="AO127" i="120"/>
  <c r="AP127" i="120"/>
  <c r="AQ127" i="120"/>
  <c r="AS127" i="120"/>
  <c r="AT127" i="120"/>
  <c r="AU127" i="120"/>
  <c r="E127" i="120"/>
  <c r="F127" i="120"/>
  <c r="G127" i="120"/>
  <c r="H127" i="120"/>
  <c r="J127" i="120"/>
  <c r="K127" i="120"/>
  <c r="L127" i="120"/>
  <c r="M127" i="120"/>
  <c r="C127" i="120"/>
  <c r="BF70" i="120" l="1"/>
  <c r="BF69" i="120"/>
  <c r="D7" i="140"/>
  <c r="I4" i="143" s="1"/>
  <c r="BA715" i="64"/>
  <c r="BA717" i="64" s="1"/>
  <c r="AZ6" i="140"/>
  <c r="AZ7" i="140" s="1"/>
  <c r="AZ67" i="140" s="1"/>
  <c r="BC715" i="64"/>
  <c r="BC717" i="64" s="1"/>
  <c r="AX6" i="140"/>
  <c r="AX7" i="140" s="1"/>
  <c r="AX67" i="140" s="1"/>
  <c r="H715" i="64"/>
  <c r="H717" i="64" s="1"/>
  <c r="G6" i="140"/>
  <c r="G7" i="140" s="1"/>
  <c r="G67" i="140" s="1"/>
  <c r="X715" i="64"/>
  <c r="X717" i="64" s="1"/>
  <c r="E6" i="140"/>
  <c r="E7" i="140" s="1"/>
  <c r="E67" i="140" s="1"/>
  <c r="D715" i="64"/>
  <c r="D717" i="64" s="1"/>
  <c r="F6" i="140"/>
  <c r="F7" i="140" s="1"/>
  <c r="F67" i="140" s="1"/>
  <c r="F715" i="64"/>
  <c r="F717" i="64" s="1"/>
  <c r="I6" i="140"/>
  <c r="I7" i="140" s="1"/>
  <c r="I67" i="140" s="1"/>
  <c r="BE7" i="140"/>
  <c r="AM715" i="64"/>
  <c r="AM717" i="64" s="1"/>
  <c r="AN6" i="140"/>
  <c r="AN7" i="140" s="1"/>
  <c r="AN67" i="140" s="1"/>
  <c r="AN715" i="64"/>
  <c r="AN717" i="64" s="1"/>
  <c r="BD6" i="140"/>
  <c r="BD7" i="140" s="1"/>
  <c r="BD67" i="140" s="1"/>
  <c r="N715" i="64"/>
  <c r="N717" i="64" s="1"/>
  <c r="R6" i="140"/>
  <c r="R7" i="140" s="1"/>
  <c r="R67" i="140" s="1"/>
  <c r="W715" i="64"/>
  <c r="W717" i="64" s="1"/>
  <c r="O6" i="140"/>
  <c r="O7" i="140" s="1"/>
  <c r="O67" i="140" s="1"/>
  <c r="L715" i="64"/>
  <c r="L717" i="64" s="1"/>
  <c r="Q6" i="140"/>
  <c r="Q7" i="140" s="1"/>
  <c r="Q67" i="140" s="1"/>
  <c r="O715" i="64"/>
  <c r="O717" i="64" s="1"/>
  <c r="S6" i="140"/>
  <c r="S7" i="140" s="1"/>
  <c r="S67" i="140" s="1"/>
  <c r="AV715" i="64"/>
  <c r="AV717" i="64" s="1"/>
  <c r="AY6" i="140"/>
  <c r="AY7" i="140" s="1"/>
  <c r="AY67" i="140" s="1"/>
  <c r="P715" i="64"/>
  <c r="P717" i="64" s="1"/>
  <c r="W6" i="140"/>
  <c r="W7" i="140" s="1"/>
  <c r="W67" i="140" s="1"/>
  <c r="AZ715" i="64"/>
  <c r="AZ717" i="64" s="1"/>
  <c r="BA6" i="140"/>
  <c r="BA7" i="140" s="1"/>
  <c r="BA67" i="140" s="1"/>
  <c r="AX715" i="64"/>
  <c r="AX717" i="64" s="1"/>
  <c r="BC6" i="140"/>
  <c r="BC7" i="140" s="1"/>
  <c r="BC67" i="140" s="1"/>
  <c r="BB715" i="64"/>
  <c r="BB717" i="64" s="1"/>
  <c r="AW6" i="140"/>
  <c r="AW7" i="140" s="1"/>
  <c r="AW67" i="140" s="1"/>
  <c r="F30" i="11"/>
  <c r="BF71" i="120" l="1"/>
  <c r="D67" i="140"/>
  <c r="BE67" i="140"/>
  <c r="K95" i="143"/>
  <c r="K172" i="143"/>
  <c r="K37" i="143"/>
  <c r="F88" i="111"/>
  <c r="E88" i="111"/>
  <c r="D88" i="111"/>
  <c r="C88" i="111"/>
  <c r="BF95" i="120" l="1"/>
  <c r="BF97" i="120" s="1"/>
  <c r="BF134" i="120" s="1"/>
  <c r="BF90" i="120"/>
  <c r="BF92" i="120" s="1"/>
  <c r="BF132" i="120" s="1"/>
  <c r="BF79" i="120"/>
  <c r="BF80" i="120" s="1"/>
  <c r="BF81" i="120" s="1"/>
  <c r="BF136" i="120" s="1"/>
  <c r="BF73" i="120"/>
  <c r="BF138" i="120" s="1"/>
  <c r="G112" i="134"/>
  <c r="H112" i="134"/>
  <c r="I112" i="134"/>
  <c r="J112" i="134"/>
  <c r="K112" i="134"/>
  <c r="L112" i="134"/>
  <c r="M112" i="134"/>
  <c r="N112" i="134"/>
  <c r="O112" i="134"/>
  <c r="F112" i="134"/>
  <c r="G110" i="134"/>
  <c r="H110" i="134"/>
  <c r="I110" i="134"/>
  <c r="J110" i="134"/>
  <c r="K110" i="134"/>
  <c r="L110" i="134"/>
  <c r="M110" i="134"/>
  <c r="N110" i="134"/>
  <c r="O110" i="134"/>
  <c r="F110" i="134"/>
  <c r="G108" i="134"/>
  <c r="H108" i="134"/>
  <c r="I108" i="134"/>
  <c r="J108" i="134"/>
  <c r="K108" i="134"/>
  <c r="L108" i="134"/>
  <c r="M108" i="134"/>
  <c r="N108" i="134"/>
  <c r="O108" i="134"/>
  <c r="F108" i="134"/>
  <c r="G106" i="134"/>
  <c r="H106" i="134"/>
  <c r="I106" i="134"/>
  <c r="J106" i="134"/>
  <c r="K106" i="134"/>
  <c r="L106" i="134"/>
  <c r="M106" i="134"/>
  <c r="N106" i="134"/>
  <c r="O106" i="134"/>
  <c r="F106" i="134"/>
  <c r="G102" i="134"/>
  <c r="H102" i="134"/>
  <c r="I102" i="134"/>
  <c r="J102" i="134"/>
  <c r="K102" i="134"/>
  <c r="L102" i="134"/>
  <c r="M102" i="134"/>
  <c r="N102" i="134"/>
  <c r="O102" i="134"/>
  <c r="F102" i="134"/>
  <c r="G92" i="134"/>
  <c r="H92" i="134"/>
  <c r="I92" i="134"/>
  <c r="J92" i="134"/>
  <c r="K92" i="134"/>
  <c r="L92" i="134"/>
  <c r="M92" i="134"/>
  <c r="N92" i="134"/>
  <c r="O92" i="134"/>
  <c r="F92" i="134"/>
  <c r="G90" i="134"/>
  <c r="H90" i="134"/>
  <c r="I90" i="134"/>
  <c r="J90" i="134"/>
  <c r="K90" i="134"/>
  <c r="L90" i="134"/>
  <c r="M90" i="134"/>
  <c r="N90" i="134"/>
  <c r="O90" i="134"/>
  <c r="F90" i="134"/>
  <c r="G86" i="134"/>
  <c r="H86" i="134"/>
  <c r="I86" i="134"/>
  <c r="J86" i="134"/>
  <c r="K86" i="134"/>
  <c r="L86" i="134"/>
  <c r="M86" i="134"/>
  <c r="N86" i="134"/>
  <c r="O86" i="134"/>
  <c r="F86" i="134"/>
  <c r="J84" i="134"/>
  <c r="K84" i="134"/>
  <c r="L84" i="134"/>
  <c r="M84" i="134"/>
  <c r="N84" i="134"/>
  <c r="O84" i="134"/>
  <c r="H84" i="134"/>
  <c r="I84" i="134"/>
  <c r="G84" i="134"/>
  <c r="F84" i="134"/>
  <c r="G81" i="134"/>
  <c r="H81" i="134"/>
  <c r="I81" i="134"/>
  <c r="J81" i="134"/>
  <c r="K81" i="134"/>
  <c r="L81" i="134"/>
  <c r="M81" i="134"/>
  <c r="N81" i="134"/>
  <c r="O81" i="134"/>
  <c r="F81" i="134"/>
  <c r="G79" i="134"/>
  <c r="H79" i="134"/>
  <c r="I79" i="134"/>
  <c r="J79" i="134"/>
  <c r="K79" i="134"/>
  <c r="L79" i="134"/>
  <c r="M79" i="134"/>
  <c r="N79" i="134"/>
  <c r="O79" i="134"/>
  <c r="F79" i="134"/>
  <c r="G77" i="134"/>
  <c r="H77" i="134"/>
  <c r="I77" i="134"/>
  <c r="J77" i="134"/>
  <c r="K77" i="134"/>
  <c r="L77" i="134"/>
  <c r="M77" i="134"/>
  <c r="N77" i="134"/>
  <c r="O77" i="134"/>
  <c r="F77" i="134"/>
  <c r="G75" i="134"/>
  <c r="H75" i="134"/>
  <c r="I75" i="134"/>
  <c r="J75" i="134"/>
  <c r="K75" i="134"/>
  <c r="L75" i="134"/>
  <c r="M75" i="134"/>
  <c r="N75" i="134"/>
  <c r="O75" i="134"/>
  <c r="F75" i="134"/>
  <c r="G67" i="134"/>
  <c r="H67" i="134"/>
  <c r="I67" i="134"/>
  <c r="J67" i="134"/>
  <c r="K67" i="134"/>
  <c r="L67" i="134"/>
  <c r="M67" i="134"/>
  <c r="N67" i="134"/>
  <c r="O67" i="134"/>
  <c r="F67" i="134"/>
  <c r="G65" i="134"/>
  <c r="H65" i="134"/>
  <c r="I65" i="134"/>
  <c r="J65" i="134"/>
  <c r="K65" i="134"/>
  <c r="L65" i="134"/>
  <c r="M65" i="134"/>
  <c r="N65" i="134"/>
  <c r="O65" i="134"/>
  <c r="F65" i="134"/>
  <c r="O63" i="134"/>
  <c r="G63" i="134"/>
  <c r="H63" i="134"/>
  <c r="I63" i="134"/>
  <c r="J63" i="134"/>
  <c r="K63" i="134"/>
  <c r="L63" i="134"/>
  <c r="M63" i="134"/>
  <c r="N63" i="134"/>
  <c r="F63" i="134"/>
  <c r="I53" i="134"/>
  <c r="I39" i="134"/>
  <c r="I26" i="134"/>
  <c r="I17" i="134"/>
  <c r="BF148" i="120" l="1"/>
  <c r="BF144" i="120"/>
  <c r="BF140" i="120"/>
  <c r="BF146" i="120"/>
  <c r="BF142" i="120"/>
  <c r="F119" i="120"/>
  <c r="G53" i="140" s="1"/>
  <c r="BF150" i="120" l="1"/>
  <c r="BF152" i="120" s="1"/>
  <c r="I20" i="134"/>
  <c r="H17" i="134"/>
  <c r="H20" i="134" s="1"/>
  <c r="AU119" i="120" l="1"/>
  <c r="AV53" i="140" s="1"/>
  <c r="W19" i="111" l="1"/>
  <c r="W22" i="111"/>
  <c r="W26" i="111"/>
  <c r="T212" i="134" l="1"/>
  <c r="T214" i="134" s="1"/>
  <c r="BD19" i="111"/>
  <c r="BD22" i="111"/>
  <c r="BD26" i="111"/>
  <c r="BE26" i="111"/>
  <c r="BE22" i="111"/>
  <c r="BE19" i="111"/>
  <c r="BC19" i="111"/>
  <c r="BC22" i="111"/>
  <c r="BC26" i="111"/>
  <c r="E18" i="111"/>
  <c r="Q18" i="111"/>
  <c r="V18" i="111"/>
  <c r="D19" i="111"/>
  <c r="E19" i="111"/>
  <c r="F19" i="111"/>
  <c r="G19" i="111"/>
  <c r="H19" i="111"/>
  <c r="I19" i="111"/>
  <c r="J19" i="111"/>
  <c r="K19" i="111"/>
  <c r="L19" i="111"/>
  <c r="M19" i="111"/>
  <c r="N19" i="111"/>
  <c r="O19" i="111"/>
  <c r="P19" i="111"/>
  <c r="Q19" i="111"/>
  <c r="R19" i="111"/>
  <c r="S19" i="111"/>
  <c r="T19" i="111"/>
  <c r="U19" i="111"/>
  <c r="V19" i="111"/>
  <c r="X19" i="111"/>
  <c r="Y19" i="111"/>
  <c r="Z19" i="111"/>
  <c r="AA19" i="111"/>
  <c r="AB19" i="111"/>
  <c r="AC19" i="111"/>
  <c r="AD19" i="111"/>
  <c r="AE19" i="111"/>
  <c r="AF19" i="111"/>
  <c r="AG19" i="111"/>
  <c r="AH19" i="111"/>
  <c r="AI19" i="111"/>
  <c r="AJ19" i="111"/>
  <c r="AK19" i="111"/>
  <c r="AL19" i="111"/>
  <c r="AM19" i="111"/>
  <c r="AN19" i="111"/>
  <c r="AO19" i="111"/>
  <c r="AP19" i="111"/>
  <c r="AQ19" i="111"/>
  <c r="AR19" i="111"/>
  <c r="AS19" i="111"/>
  <c r="AT19" i="111"/>
  <c r="AU19" i="111"/>
  <c r="AV19" i="111"/>
  <c r="AW19" i="111"/>
  <c r="AX19" i="111"/>
  <c r="AY19" i="111"/>
  <c r="AZ19" i="111"/>
  <c r="BA19" i="111"/>
  <c r="BB19" i="111"/>
  <c r="D22" i="111"/>
  <c r="E22" i="111"/>
  <c r="F22" i="111"/>
  <c r="G22" i="111"/>
  <c r="H22" i="111"/>
  <c r="I22" i="111"/>
  <c r="J22" i="111"/>
  <c r="K22" i="111"/>
  <c r="L22" i="111"/>
  <c r="M22" i="111"/>
  <c r="N22" i="111"/>
  <c r="O22" i="111"/>
  <c r="P22" i="111"/>
  <c r="Q22" i="111"/>
  <c r="R22" i="111"/>
  <c r="S22" i="111"/>
  <c r="T22" i="111"/>
  <c r="U22" i="111"/>
  <c r="V22" i="111"/>
  <c r="X22" i="111"/>
  <c r="Y22" i="111"/>
  <c r="Z22" i="111"/>
  <c r="AA22" i="111"/>
  <c r="AB22" i="111"/>
  <c r="AC22" i="111"/>
  <c r="AD22" i="111"/>
  <c r="AE22" i="111"/>
  <c r="AF22" i="111"/>
  <c r="AG22" i="111"/>
  <c r="AH22" i="111"/>
  <c r="AI22" i="111"/>
  <c r="AJ22" i="111"/>
  <c r="AK22" i="111"/>
  <c r="AL22" i="111"/>
  <c r="AM22" i="111"/>
  <c r="AN22" i="111"/>
  <c r="AO22" i="111"/>
  <c r="AP22" i="111"/>
  <c r="AQ22" i="111"/>
  <c r="AR22" i="111"/>
  <c r="AS22" i="111"/>
  <c r="AT22" i="111"/>
  <c r="AU22" i="111"/>
  <c r="AV22" i="111"/>
  <c r="AW22" i="111"/>
  <c r="AX22" i="111"/>
  <c r="AY22" i="111"/>
  <c r="AZ22" i="111"/>
  <c r="BA22" i="111"/>
  <c r="BB22" i="111"/>
  <c r="D26" i="111"/>
  <c r="E26" i="111"/>
  <c r="F26" i="111"/>
  <c r="G26" i="111"/>
  <c r="H26" i="111"/>
  <c r="I26" i="111"/>
  <c r="J26" i="111"/>
  <c r="K26" i="111"/>
  <c r="L26" i="111"/>
  <c r="M26" i="111"/>
  <c r="N26" i="111"/>
  <c r="O26" i="111"/>
  <c r="P26" i="111"/>
  <c r="Q26" i="111"/>
  <c r="R26" i="111"/>
  <c r="S26" i="111"/>
  <c r="T26" i="111"/>
  <c r="U26" i="111"/>
  <c r="V26" i="111"/>
  <c r="X26" i="111"/>
  <c r="Y26" i="111"/>
  <c r="Z26" i="111"/>
  <c r="AA26" i="111"/>
  <c r="AB26" i="111"/>
  <c r="AC26" i="111"/>
  <c r="AD26" i="111"/>
  <c r="AE26" i="111"/>
  <c r="AF26" i="111"/>
  <c r="AG26" i="111"/>
  <c r="AH26" i="111"/>
  <c r="AI26" i="111"/>
  <c r="AJ26" i="111"/>
  <c r="AK26" i="111"/>
  <c r="AL26" i="111"/>
  <c r="AM26" i="111"/>
  <c r="AN26" i="111"/>
  <c r="AO26" i="111"/>
  <c r="AP26" i="111"/>
  <c r="AQ26" i="111"/>
  <c r="AR26" i="111"/>
  <c r="AS26" i="111"/>
  <c r="AT26" i="111"/>
  <c r="AU26" i="111"/>
  <c r="AV26" i="111"/>
  <c r="AW26" i="111"/>
  <c r="AX26" i="111"/>
  <c r="AY26" i="111"/>
  <c r="AZ26" i="111"/>
  <c r="BA26" i="111"/>
  <c r="BB26" i="111"/>
  <c r="D78" i="122"/>
  <c r="E78" i="122"/>
  <c r="F78" i="122"/>
  <c r="G78" i="122"/>
  <c r="H78" i="122"/>
  <c r="I78" i="122"/>
  <c r="J78" i="122"/>
  <c r="K78" i="122"/>
  <c r="L78" i="122"/>
  <c r="M78" i="122"/>
  <c r="N78" i="122"/>
  <c r="O78" i="122"/>
  <c r="P78" i="122"/>
  <c r="Q78" i="122"/>
  <c r="R78" i="122"/>
  <c r="S78" i="122"/>
  <c r="T78" i="122"/>
  <c r="U78" i="122"/>
  <c r="V78" i="122"/>
  <c r="W78" i="122"/>
  <c r="X78" i="122"/>
  <c r="Y78" i="122"/>
  <c r="Z78" i="122"/>
  <c r="AA78" i="122"/>
  <c r="AB78" i="122"/>
  <c r="AC78" i="122"/>
  <c r="AD78" i="122"/>
  <c r="AE78" i="122"/>
  <c r="AF78" i="122"/>
  <c r="AG78" i="122"/>
  <c r="AH78" i="122"/>
  <c r="AI78" i="122"/>
  <c r="AJ78" i="122"/>
  <c r="AK78" i="122"/>
  <c r="AL78" i="122"/>
  <c r="AM78" i="122"/>
  <c r="AN78" i="122"/>
  <c r="AO78" i="122"/>
  <c r="AP78" i="122"/>
  <c r="AQ78" i="122"/>
  <c r="AR78" i="122"/>
  <c r="AS78" i="122"/>
  <c r="AT78" i="122"/>
  <c r="AV78" i="122"/>
  <c r="AW78" i="122"/>
  <c r="AY78" i="122"/>
  <c r="AZ78" i="122"/>
  <c r="BA78" i="122"/>
  <c r="BB78" i="122"/>
  <c r="BC78" i="122"/>
  <c r="BD78" i="122"/>
  <c r="BE78" i="122"/>
  <c r="BF78" i="122"/>
  <c r="E66" i="122"/>
  <c r="F66" i="122"/>
  <c r="G66" i="122"/>
  <c r="H66" i="122"/>
  <c r="I66" i="122"/>
  <c r="J66" i="122"/>
  <c r="K66" i="122"/>
  <c r="L66" i="122"/>
  <c r="M66" i="122"/>
  <c r="N66" i="122"/>
  <c r="O66" i="122"/>
  <c r="P66" i="122"/>
  <c r="Q66" i="122"/>
  <c r="R66" i="122"/>
  <c r="S66" i="122"/>
  <c r="T66" i="122"/>
  <c r="V66" i="122"/>
  <c r="W66" i="122"/>
  <c r="X66" i="122"/>
  <c r="Z66" i="122"/>
  <c r="AA66" i="122"/>
  <c r="AB66" i="122"/>
  <c r="AC66" i="122"/>
  <c r="AD66" i="122"/>
  <c r="AE66" i="122"/>
  <c r="AF66" i="122"/>
  <c r="AG66" i="122"/>
  <c r="AH66" i="122"/>
  <c r="AI66" i="122"/>
  <c r="AJ66" i="122"/>
  <c r="AK66" i="122"/>
  <c r="AL66" i="122"/>
  <c r="AM66" i="122"/>
  <c r="AN66" i="122"/>
  <c r="AO66" i="122"/>
  <c r="AP66" i="122"/>
  <c r="AQ66" i="122"/>
  <c r="AR66" i="122"/>
  <c r="AS66" i="122"/>
  <c r="AT66" i="122"/>
  <c r="AU66" i="122"/>
  <c r="AV66" i="122"/>
  <c r="AW66" i="122"/>
  <c r="AX66" i="122"/>
  <c r="AY66" i="122"/>
  <c r="AZ66" i="122"/>
  <c r="BA66" i="122"/>
  <c r="BB66" i="122"/>
  <c r="BC66" i="122"/>
  <c r="BD66" i="122"/>
  <c r="BF66" i="122"/>
  <c r="D66" i="122"/>
  <c r="E52" i="122"/>
  <c r="F52" i="122"/>
  <c r="G52" i="122"/>
  <c r="H52" i="122"/>
  <c r="I52" i="122"/>
  <c r="J52" i="122"/>
  <c r="K52" i="122"/>
  <c r="L52" i="122"/>
  <c r="M52" i="122"/>
  <c r="N52" i="122"/>
  <c r="O52" i="122"/>
  <c r="P52" i="122"/>
  <c r="Q52" i="122"/>
  <c r="R52" i="122"/>
  <c r="S52" i="122"/>
  <c r="T52" i="122"/>
  <c r="U52" i="122"/>
  <c r="V52" i="122"/>
  <c r="W52" i="122"/>
  <c r="X52" i="122"/>
  <c r="Y52" i="122"/>
  <c r="Z52" i="122"/>
  <c r="AA52" i="122"/>
  <c r="AB52" i="122"/>
  <c r="AC52" i="122"/>
  <c r="AD52" i="122"/>
  <c r="AE52" i="122"/>
  <c r="AF52" i="122"/>
  <c r="AG52" i="122"/>
  <c r="AH52" i="122"/>
  <c r="AI52" i="122"/>
  <c r="AJ52" i="122"/>
  <c r="AK52" i="122"/>
  <c r="AL52" i="122"/>
  <c r="AM52" i="122"/>
  <c r="AN52" i="122"/>
  <c r="AO52" i="122"/>
  <c r="AP52" i="122"/>
  <c r="AQ52" i="122"/>
  <c r="AR52" i="122"/>
  <c r="AS52" i="122"/>
  <c r="AT52" i="122"/>
  <c r="AU52" i="122"/>
  <c r="AV52" i="122"/>
  <c r="AW52" i="122"/>
  <c r="AX52" i="122"/>
  <c r="AY52" i="122"/>
  <c r="AZ52" i="122"/>
  <c r="BA52" i="122"/>
  <c r="BB52" i="122"/>
  <c r="BC52" i="122"/>
  <c r="BD52" i="122"/>
  <c r="BE52" i="122"/>
  <c r="BF52" i="122"/>
  <c r="D52" i="122"/>
  <c r="E40" i="122"/>
  <c r="F40" i="122"/>
  <c r="G40" i="122"/>
  <c r="H40" i="122"/>
  <c r="I40" i="122"/>
  <c r="J40" i="122"/>
  <c r="K40" i="122"/>
  <c r="L40" i="122"/>
  <c r="M40" i="122"/>
  <c r="N40" i="122"/>
  <c r="O40" i="122"/>
  <c r="P40" i="122"/>
  <c r="Q40" i="122"/>
  <c r="R40" i="122"/>
  <c r="S40" i="122"/>
  <c r="T40" i="122"/>
  <c r="V40" i="122"/>
  <c r="W40" i="122"/>
  <c r="X40" i="122"/>
  <c r="Y40" i="122"/>
  <c r="Z40" i="122"/>
  <c r="AA40" i="122"/>
  <c r="AB40" i="122"/>
  <c r="AC40" i="122"/>
  <c r="AD40" i="122"/>
  <c r="AE40" i="122"/>
  <c r="AF40" i="122"/>
  <c r="AG40" i="122"/>
  <c r="AH40" i="122"/>
  <c r="AI40" i="122"/>
  <c r="AJ40" i="122"/>
  <c r="AK40" i="122"/>
  <c r="AL40" i="122"/>
  <c r="AM40" i="122"/>
  <c r="AN40" i="122"/>
  <c r="AO40" i="122"/>
  <c r="AP40" i="122"/>
  <c r="AQ40" i="122"/>
  <c r="AR40" i="122"/>
  <c r="AS40" i="122"/>
  <c r="AT40" i="122"/>
  <c r="AU40" i="122"/>
  <c r="AV40" i="122"/>
  <c r="AW40" i="122"/>
  <c r="AX40" i="122"/>
  <c r="AY40" i="122"/>
  <c r="AZ40" i="122"/>
  <c r="BA40" i="122"/>
  <c r="BB40" i="122"/>
  <c r="BC40" i="122"/>
  <c r="BD40" i="122"/>
  <c r="BE40" i="122"/>
  <c r="BF40" i="122"/>
  <c r="D40" i="122"/>
  <c r="E28" i="122"/>
  <c r="F28" i="122"/>
  <c r="G28" i="122"/>
  <c r="H28" i="122"/>
  <c r="I28" i="122"/>
  <c r="J28" i="122"/>
  <c r="K28" i="122"/>
  <c r="L28" i="122"/>
  <c r="M28" i="122"/>
  <c r="N28" i="122"/>
  <c r="O28" i="122"/>
  <c r="P28" i="122"/>
  <c r="Q28" i="122"/>
  <c r="R28" i="122"/>
  <c r="S28" i="122"/>
  <c r="T28" i="122"/>
  <c r="V28" i="122"/>
  <c r="W28" i="122"/>
  <c r="X28" i="122"/>
  <c r="Z28" i="122"/>
  <c r="AA28" i="122"/>
  <c r="AB28" i="122"/>
  <c r="AC28" i="122"/>
  <c r="AD28" i="122"/>
  <c r="AE28" i="122"/>
  <c r="AF28" i="122"/>
  <c r="AG28" i="122"/>
  <c r="AH28" i="122"/>
  <c r="AI28" i="122"/>
  <c r="AJ28" i="122"/>
  <c r="AK28" i="122"/>
  <c r="AL28" i="122"/>
  <c r="AM28" i="122"/>
  <c r="AN28" i="122"/>
  <c r="AO28" i="122"/>
  <c r="AP28" i="122"/>
  <c r="AQ28" i="122"/>
  <c r="AR28" i="122"/>
  <c r="AS28" i="122"/>
  <c r="AT28" i="122"/>
  <c r="AV28" i="122"/>
  <c r="AW28" i="122"/>
  <c r="AX28" i="122"/>
  <c r="AY28" i="122"/>
  <c r="AZ28" i="122"/>
  <c r="BA28" i="122"/>
  <c r="BB28" i="122"/>
  <c r="BC28" i="122"/>
  <c r="BD28" i="122"/>
  <c r="BE28" i="122"/>
  <c r="BF28" i="122"/>
  <c r="D28" i="122"/>
  <c r="C68" i="123" s="1"/>
  <c r="E85" i="122"/>
  <c r="F85" i="122"/>
  <c r="G85" i="122"/>
  <c r="H85" i="122"/>
  <c r="I85" i="122"/>
  <c r="J85" i="122"/>
  <c r="K85" i="122"/>
  <c r="L85" i="122"/>
  <c r="M85" i="122"/>
  <c r="N85" i="122"/>
  <c r="O85" i="122"/>
  <c r="P85" i="122"/>
  <c r="Q85" i="122"/>
  <c r="R85" i="122"/>
  <c r="S85" i="122"/>
  <c r="T85" i="122"/>
  <c r="U85" i="122"/>
  <c r="V85" i="122"/>
  <c r="W85" i="122"/>
  <c r="X85" i="122"/>
  <c r="Y85" i="122"/>
  <c r="Z85" i="122"/>
  <c r="AA85" i="122"/>
  <c r="AB85" i="122"/>
  <c r="AC85" i="122"/>
  <c r="AD85" i="122"/>
  <c r="AE85" i="122"/>
  <c r="AF85" i="122"/>
  <c r="AG85" i="122"/>
  <c r="AH85" i="122"/>
  <c r="AI85" i="122"/>
  <c r="AJ85" i="122"/>
  <c r="AK85" i="122"/>
  <c r="AL85" i="122"/>
  <c r="AM85" i="122"/>
  <c r="AN85" i="122"/>
  <c r="AO85" i="122"/>
  <c r="AP85" i="122"/>
  <c r="AQ85" i="122"/>
  <c r="AR85" i="122"/>
  <c r="AS85" i="122"/>
  <c r="AT85" i="122"/>
  <c r="AU85" i="122"/>
  <c r="AV85" i="122"/>
  <c r="AW85" i="122"/>
  <c r="AX85" i="122"/>
  <c r="AY85" i="122"/>
  <c r="AZ85" i="122"/>
  <c r="BA85" i="122"/>
  <c r="BB85" i="122"/>
  <c r="BC85" i="122"/>
  <c r="BD85" i="122"/>
  <c r="BE85" i="122"/>
  <c r="BF85" i="122"/>
  <c r="E86" i="122"/>
  <c r="E93" i="122" s="1"/>
  <c r="F86" i="122"/>
  <c r="G86" i="122"/>
  <c r="H86" i="122"/>
  <c r="I86" i="122"/>
  <c r="J86" i="122"/>
  <c r="K86" i="122"/>
  <c r="L86" i="122"/>
  <c r="L93" i="122" s="1"/>
  <c r="M86" i="122"/>
  <c r="M93" i="122" s="1"/>
  <c r="N86" i="122"/>
  <c r="O86" i="122"/>
  <c r="P86" i="122"/>
  <c r="Q86" i="122"/>
  <c r="R86" i="122"/>
  <c r="S86" i="122"/>
  <c r="T86" i="122"/>
  <c r="T93" i="122" s="1"/>
  <c r="U86" i="122"/>
  <c r="U93" i="122" s="1"/>
  <c r="V86" i="122"/>
  <c r="W86" i="122"/>
  <c r="X86" i="122"/>
  <c r="Y86" i="122"/>
  <c r="Y93" i="122" s="1"/>
  <c r="Z86" i="122"/>
  <c r="AA86" i="122"/>
  <c r="AB86" i="122"/>
  <c r="AC86" i="122"/>
  <c r="AD86" i="122"/>
  <c r="AE86" i="122"/>
  <c r="AF86" i="122"/>
  <c r="AG86" i="122"/>
  <c r="AG93" i="122" s="1"/>
  <c r="AH86" i="122"/>
  <c r="AI86" i="122"/>
  <c r="AJ86" i="122"/>
  <c r="AJ93" i="122" s="1"/>
  <c r="AK86" i="122"/>
  <c r="AK93" i="122" s="1"/>
  <c r="AL86" i="122"/>
  <c r="AM86" i="122"/>
  <c r="AN86" i="122"/>
  <c r="AN93" i="122" s="1"/>
  <c r="AO86" i="122"/>
  <c r="AP86" i="122"/>
  <c r="AQ86" i="122"/>
  <c r="AR86" i="122"/>
  <c r="AS86" i="122"/>
  <c r="AS93" i="122" s="1"/>
  <c r="AT86" i="122"/>
  <c r="AU86" i="122"/>
  <c r="AV86" i="122"/>
  <c r="AW86" i="122"/>
  <c r="AW93" i="122" s="1"/>
  <c r="AX86" i="122"/>
  <c r="AY86" i="122"/>
  <c r="AZ86" i="122"/>
  <c r="BA86" i="122"/>
  <c r="BA93" i="122" s="1"/>
  <c r="BB86" i="122"/>
  <c r="BC86" i="122"/>
  <c r="BD86" i="122"/>
  <c r="BD93" i="122" s="1"/>
  <c r="BE86" i="122"/>
  <c r="BF86" i="122"/>
  <c r="D86" i="122"/>
  <c r="D85" i="122"/>
  <c r="E90" i="122"/>
  <c r="F90" i="122"/>
  <c r="G90" i="122"/>
  <c r="H90" i="122"/>
  <c r="I90" i="122"/>
  <c r="J90" i="122"/>
  <c r="K90" i="122"/>
  <c r="L90" i="122"/>
  <c r="M90" i="122"/>
  <c r="N90" i="122"/>
  <c r="O90" i="122"/>
  <c r="P90" i="122"/>
  <c r="Q90" i="122"/>
  <c r="R90" i="122"/>
  <c r="S90" i="122"/>
  <c r="T90" i="122"/>
  <c r="U90" i="122"/>
  <c r="V90" i="122"/>
  <c r="W90" i="122"/>
  <c r="X90" i="122"/>
  <c r="Y90" i="122"/>
  <c r="Z90" i="122"/>
  <c r="AA90" i="122"/>
  <c r="AB90" i="122"/>
  <c r="AC90" i="122"/>
  <c r="AD90" i="122"/>
  <c r="AE90" i="122"/>
  <c r="AF90" i="122"/>
  <c r="AG90" i="122"/>
  <c r="AH90" i="122"/>
  <c r="AI90" i="122"/>
  <c r="AJ90" i="122"/>
  <c r="AK90" i="122"/>
  <c r="AL90" i="122"/>
  <c r="AM90" i="122"/>
  <c r="AN90" i="122"/>
  <c r="AO90" i="122"/>
  <c r="AP90" i="122"/>
  <c r="AQ90" i="122"/>
  <c r="AR90" i="122"/>
  <c r="AS90" i="122"/>
  <c r="AT90" i="122"/>
  <c r="AU90" i="122"/>
  <c r="AV90" i="122"/>
  <c r="AW90" i="122"/>
  <c r="AX90" i="122"/>
  <c r="AY90" i="122"/>
  <c r="AZ90" i="122"/>
  <c r="BA90" i="122"/>
  <c r="BB90" i="122"/>
  <c r="BC90" i="122"/>
  <c r="BD90" i="122"/>
  <c r="BE90" i="122"/>
  <c r="BF90" i="122"/>
  <c r="D90" i="122"/>
  <c r="G214" i="134"/>
  <c r="H214" i="134"/>
  <c r="I214" i="134"/>
  <c r="J214" i="134"/>
  <c r="K214" i="134"/>
  <c r="L214" i="134"/>
  <c r="M214" i="134"/>
  <c r="N214" i="134"/>
  <c r="F214" i="134"/>
  <c r="G100" i="134"/>
  <c r="H100" i="134"/>
  <c r="I100" i="134"/>
  <c r="J100" i="134"/>
  <c r="K100" i="134"/>
  <c r="L100" i="134"/>
  <c r="M100" i="134"/>
  <c r="N100" i="134"/>
  <c r="O100" i="134"/>
  <c r="F100" i="134"/>
  <c r="G58" i="134"/>
  <c r="H58" i="134"/>
  <c r="I58" i="134"/>
  <c r="J58" i="134"/>
  <c r="K58" i="134"/>
  <c r="L58" i="134"/>
  <c r="M58" i="134"/>
  <c r="N58" i="134"/>
  <c r="O58" i="134"/>
  <c r="F58" i="134"/>
  <c r="G34" i="134"/>
  <c r="H34" i="134"/>
  <c r="I34" i="134"/>
  <c r="J34" i="134"/>
  <c r="K34" i="134"/>
  <c r="L34" i="134"/>
  <c r="M34" i="134"/>
  <c r="N34" i="134"/>
  <c r="O34" i="134"/>
  <c r="F34" i="134"/>
  <c r="W28" i="120"/>
  <c r="Y28" i="122"/>
  <c r="AU28" i="122"/>
  <c r="Y66" i="122"/>
  <c r="BE66" i="122"/>
  <c r="AF60" i="122"/>
  <c r="AA64" i="122"/>
  <c r="AK64" i="122"/>
  <c r="AL64" i="122"/>
  <c r="AT64" i="122"/>
  <c r="AZ64" i="122"/>
  <c r="AU78" i="122"/>
  <c r="AX78" i="122"/>
  <c r="C28" i="120"/>
  <c r="D28" i="120"/>
  <c r="E28" i="120"/>
  <c r="F28" i="120"/>
  <c r="G28" i="120"/>
  <c r="H28" i="120"/>
  <c r="I28" i="120"/>
  <c r="J28" i="120"/>
  <c r="K28" i="120"/>
  <c r="L28" i="120"/>
  <c r="M28" i="120"/>
  <c r="N28" i="120"/>
  <c r="O28" i="120"/>
  <c r="P28" i="120"/>
  <c r="Q28" i="120"/>
  <c r="R28" i="120"/>
  <c r="S28" i="120"/>
  <c r="T28" i="120"/>
  <c r="U28" i="120"/>
  <c r="V28" i="120"/>
  <c r="X28" i="120"/>
  <c r="Y28" i="120"/>
  <c r="Z28" i="120"/>
  <c r="AA28" i="120"/>
  <c r="AB28" i="120"/>
  <c r="AC28" i="120"/>
  <c r="AD28" i="120"/>
  <c r="AE28" i="120"/>
  <c r="AF28" i="120"/>
  <c r="AG28" i="120"/>
  <c r="AH28" i="120"/>
  <c r="AI28" i="120"/>
  <c r="AJ28" i="120"/>
  <c r="AK28" i="120"/>
  <c r="AL28" i="120"/>
  <c r="AM28" i="120"/>
  <c r="AN28" i="120"/>
  <c r="AO28" i="120"/>
  <c r="AP28" i="120"/>
  <c r="AQ28" i="120"/>
  <c r="AR28" i="120"/>
  <c r="AS28" i="120"/>
  <c r="AT28" i="120"/>
  <c r="AU28" i="120"/>
  <c r="AV28" i="120"/>
  <c r="AW28" i="120"/>
  <c r="AX28" i="120"/>
  <c r="AY28" i="120"/>
  <c r="AZ28" i="120"/>
  <c r="BA28" i="120"/>
  <c r="BB28" i="120"/>
  <c r="BC28" i="120"/>
  <c r="BD28" i="120"/>
  <c r="BE28" i="120"/>
  <c r="C58" i="120"/>
  <c r="D58" i="120"/>
  <c r="E58" i="120"/>
  <c r="F58" i="120"/>
  <c r="G58" i="120"/>
  <c r="H58" i="120"/>
  <c r="I58" i="120"/>
  <c r="J58" i="120"/>
  <c r="K58" i="120"/>
  <c r="L58" i="120"/>
  <c r="M58" i="120"/>
  <c r="N58" i="120"/>
  <c r="O58" i="120"/>
  <c r="P58" i="120"/>
  <c r="Q58" i="120"/>
  <c r="R58" i="120"/>
  <c r="S58" i="120"/>
  <c r="T58" i="120"/>
  <c r="U58" i="120"/>
  <c r="V58" i="120"/>
  <c r="W58" i="120"/>
  <c r="X58" i="120"/>
  <c r="Y58" i="120"/>
  <c r="Z58" i="120"/>
  <c r="AA58" i="120"/>
  <c r="AB58" i="120"/>
  <c r="AC58" i="120"/>
  <c r="AD58" i="120"/>
  <c r="AE58" i="120"/>
  <c r="AF58" i="120"/>
  <c r="AG58" i="120"/>
  <c r="AH58" i="120"/>
  <c r="AI58" i="120"/>
  <c r="AJ58" i="120"/>
  <c r="AK58" i="120"/>
  <c r="AL58" i="120"/>
  <c r="AM58" i="120"/>
  <c r="AN58" i="120"/>
  <c r="AO58" i="120"/>
  <c r="AP58" i="120"/>
  <c r="AQ58" i="120"/>
  <c r="AR58" i="120"/>
  <c r="AS58" i="120"/>
  <c r="AT58" i="120"/>
  <c r="AU58" i="120"/>
  <c r="AV58" i="120"/>
  <c r="AW58" i="120"/>
  <c r="AX58" i="120"/>
  <c r="AY58" i="120"/>
  <c r="AZ58" i="120"/>
  <c r="BA58" i="120"/>
  <c r="BB58" i="120"/>
  <c r="BC58" i="120"/>
  <c r="BD58" i="120"/>
  <c r="BE58" i="120"/>
  <c r="I72" i="120"/>
  <c r="J72" i="120"/>
  <c r="K72" i="120"/>
  <c r="L72" i="120"/>
  <c r="M72" i="120"/>
  <c r="N72" i="120"/>
  <c r="O72" i="120"/>
  <c r="P72" i="120"/>
  <c r="Q72" i="120"/>
  <c r="R72" i="120"/>
  <c r="S72" i="120"/>
  <c r="T72" i="120"/>
  <c r="U72" i="120"/>
  <c r="V72" i="120"/>
  <c r="W72" i="120"/>
  <c r="X72" i="120"/>
  <c r="Y72" i="120"/>
  <c r="Z72" i="120"/>
  <c r="AA72" i="120"/>
  <c r="AB72" i="120"/>
  <c r="AC72" i="120"/>
  <c r="AD72" i="120"/>
  <c r="AE72" i="120"/>
  <c r="AF72" i="120"/>
  <c r="AG72" i="120"/>
  <c r="AH72" i="120"/>
  <c r="AI72" i="120"/>
  <c r="AJ72" i="120"/>
  <c r="AK72" i="120"/>
  <c r="AL72" i="120"/>
  <c r="AM72" i="120"/>
  <c r="AN72" i="120"/>
  <c r="AO72" i="120"/>
  <c r="AP72" i="120"/>
  <c r="AQ72" i="120"/>
  <c r="AR72" i="120"/>
  <c r="AS72" i="120"/>
  <c r="AT72" i="120"/>
  <c r="AU72" i="120"/>
  <c r="AV72" i="120"/>
  <c r="AW72" i="120"/>
  <c r="AX72" i="120"/>
  <c r="AY72" i="120"/>
  <c r="AZ72" i="120"/>
  <c r="BA72" i="120"/>
  <c r="BB72" i="120"/>
  <c r="BC72" i="120"/>
  <c r="BD72" i="120"/>
  <c r="BE72" i="120"/>
  <c r="H79" i="120"/>
  <c r="U79" i="120"/>
  <c r="H90" i="120"/>
  <c r="U90" i="120"/>
  <c r="D91" i="120"/>
  <c r="E91" i="120"/>
  <c r="F91" i="120"/>
  <c r="G91" i="120"/>
  <c r="H91" i="120"/>
  <c r="I91" i="120"/>
  <c r="J91" i="120"/>
  <c r="K91" i="120"/>
  <c r="L91" i="120"/>
  <c r="M91" i="120"/>
  <c r="N91" i="120"/>
  <c r="O91" i="120"/>
  <c r="P91" i="120"/>
  <c r="Q91" i="120"/>
  <c r="R91" i="120"/>
  <c r="S91" i="120"/>
  <c r="T91" i="120"/>
  <c r="U91" i="120"/>
  <c r="V91" i="120"/>
  <c r="W91" i="120"/>
  <c r="X91" i="120"/>
  <c r="Y91" i="120"/>
  <c r="Z91" i="120"/>
  <c r="AA91" i="120"/>
  <c r="AB91" i="120"/>
  <c r="AC91" i="120"/>
  <c r="AD91" i="120"/>
  <c r="AE91" i="120"/>
  <c r="AF91" i="120"/>
  <c r="AG91" i="120"/>
  <c r="AH91" i="120"/>
  <c r="AI91" i="120"/>
  <c r="AJ91" i="120"/>
  <c r="AK91" i="120"/>
  <c r="AL91" i="120"/>
  <c r="AM91" i="120"/>
  <c r="AN91" i="120"/>
  <c r="AO91" i="120"/>
  <c r="AP91" i="120"/>
  <c r="AQ91" i="120"/>
  <c r="AR91" i="120"/>
  <c r="AS91" i="120"/>
  <c r="AT91" i="120"/>
  <c r="AU91" i="120"/>
  <c r="AV91" i="120"/>
  <c r="AW91" i="120"/>
  <c r="AX91" i="120"/>
  <c r="AY91" i="120"/>
  <c r="AZ91" i="120"/>
  <c r="BA91" i="120"/>
  <c r="BB91" i="120"/>
  <c r="BC91" i="120"/>
  <c r="BD91" i="120"/>
  <c r="BE91" i="120"/>
  <c r="H95" i="120"/>
  <c r="U95" i="120"/>
  <c r="C100" i="120"/>
  <c r="D100" i="120"/>
  <c r="E100" i="120"/>
  <c r="F100" i="120"/>
  <c r="G100" i="120"/>
  <c r="H100" i="120"/>
  <c r="I100" i="120"/>
  <c r="J100" i="120"/>
  <c r="K100" i="120"/>
  <c r="L100" i="120"/>
  <c r="M100" i="120"/>
  <c r="N100" i="120"/>
  <c r="O100" i="120"/>
  <c r="P100" i="120"/>
  <c r="Q100" i="120"/>
  <c r="R100" i="120"/>
  <c r="S100" i="120"/>
  <c r="T100" i="120"/>
  <c r="U100" i="120"/>
  <c r="V100" i="120"/>
  <c r="W100" i="120"/>
  <c r="X100" i="120"/>
  <c r="Y100" i="120"/>
  <c r="Z100" i="120"/>
  <c r="AA100" i="120"/>
  <c r="AB100" i="120"/>
  <c r="AC100" i="120"/>
  <c r="AD100" i="120"/>
  <c r="AE100" i="120"/>
  <c r="AF100" i="120"/>
  <c r="AG100" i="120"/>
  <c r="AH100" i="120"/>
  <c r="AI100" i="120"/>
  <c r="AJ100" i="120"/>
  <c r="AK100" i="120"/>
  <c r="AL100" i="120"/>
  <c r="AM100" i="120"/>
  <c r="AN100" i="120"/>
  <c r="AO100" i="120"/>
  <c r="AP100" i="120"/>
  <c r="AQ100" i="120"/>
  <c r="AR100" i="120"/>
  <c r="AS100" i="120"/>
  <c r="AT100" i="120"/>
  <c r="AU100" i="120"/>
  <c r="AV100" i="120"/>
  <c r="AW100" i="120"/>
  <c r="AX100" i="120"/>
  <c r="AY100" i="120"/>
  <c r="AZ100" i="120"/>
  <c r="BA100" i="120"/>
  <c r="BB100" i="120"/>
  <c r="BC100" i="120"/>
  <c r="BD100" i="120"/>
  <c r="BE100" i="120"/>
  <c r="C105" i="120"/>
  <c r="D105" i="120"/>
  <c r="E105" i="120"/>
  <c r="F105" i="120"/>
  <c r="G105" i="120"/>
  <c r="H105" i="120"/>
  <c r="I105" i="120"/>
  <c r="J105" i="120"/>
  <c r="K105" i="120"/>
  <c r="L105" i="120"/>
  <c r="M105" i="120"/>
  <c r="N105" i="120"/>
  <c r="O105" i="120"/>
  <c r="P105" i="120"/>
  <c r="Q105" i="120"/>
  <c r="R105" i="120"/>
  <c r="S105" i="120"/>
  <c r="T105" i="120"/>
  <c r="U105" i="120"/>
  <c r="V105" i="120"/>
  <c r="W105" i="120"/>
  <c r="X105" i="120"/>
  <c r="Y105" i="120"/>
  <c r="Z105" i="120"/>
  <c r="AA105" i="120"/>
  <c r="AB105" i="120"/>
  <c r="AC105" i="120"/>
  <c r="AD105" i="120"/>
  <c r="AE105" i="120"/>
  <c r="AF105" i="120"/>
  <c r="AG105" i="120"/>
  <c r="AH105" i="120"/>
  <c r="AI105" i="120"/>
  <c r="AJ105" i="120"/>
  <c r="AK105" i="120"/>
  <c r="AL105" i="120"/>
  <c r="AM105" i="120"/>
  <c r="AN105" i="120"/>
  <c r="AO105" i="120"/>
  <c r="AP105" i="120"/>
  <c r="AQ105" i="120"/>
  <c r="AR105" i="120"/>
  <c r="AS105" i="120"/>
  <c r="AT105" i="120"/>
  <c r="AU105" i="120"/>
  <c r="AV105" i="120"/>
  <c r="AW105" i="120"/>
  <c r="AX105" i="120"/>
  <c r="AY105" i="120"/>
  <c r="AZ105" i="120"/>
  <c r="BA105" i="120"/>
  <c r="BB105" i="120"/>
  <c r="BC105" i="120"/>
  <c r="BD105" i="120"/>
  <c r="BE105" i="120"/>
  <c r="C109" i="120"/>
  <c r="C111" i="120" s="1"/>
  <c r="D54" i="140" s="1"/>
  <c r="D109" i="120"/>
  <c r="D111" i="120" s="1"/>
  <c r="E54" i="140" s="1"/>
  <c r="E109" i="120"/>
  <c r="E111" i="120" s="1"/>
  <c r="F54" i="140" s="1"/>
  <c r="F109" i="120"/>
  <c r="F111" i="120" s="1"/>
  <c r="G54" i="140" s="1"/>
  <c r="G109" i="120"/>
  <c r="G111" i="120" s="1"/>
  <c r="H54" i="140" s="1"/>
  <c r="H109" i="120"/>
  <c r="H111" i="120" s="1"/>
  <c r="I54" i="140" s="1"/>
  <c r="I109" i="120"/>
  <c r="I111" i="120" s="1"/>
  <c r="J54" i="140" s="1"/>
  <c r="J109" i="120"/>
  <c r="J111" i="120" s="1"/>
  <c r="K54" i="140" s="1"/>
  <c r="K109" i="120"/>
  <c r="K111" i="120" s="1"/>
  <c r="L54" i="140" s="1"/>
  <c r="L109" i="120"/>
  <c r="L111" i="120" s="1"/>
  <c r="M54" i="140" s="1"/>
  <c r="M109" i="120"/>
  <c r="M111" i="120" s="1"/>
  <c r="N54" i="140" s="1"/>
  <c r="N109" i="120"/>
  <c r="N111" i="120" s="1"/>
  <c r="O54" i="140" s="1"/>
  <c r="O109" i="120"/>
  <c r="O111" i="120" s="1"/>
  <c r="P54" i="140" s="1"/>
  <c r="P109" i="120"/>
  <c r="P111" i="120" s="1"/>
  <c r="Q54" i="140" s="1"/>
  <c r="Q109" i="120"/>
  <c r="Q111" i="120" s="1"/>
  <c r="R54" i="140" s="1"/>
  <c r="R109" i="120"/>
  <c r="R111" i="120" s="1"/>
  <c r="S54" i="140" s="1"/>
  <c r="S109" i="120"/>
  <c r="S111" i="120" s="1"/>
  <c r="T54" i="140" s="1"/>
  <c r="T109" i="120"/>
  <c r="T111" i="120" s="1"/>
  <c r="U54" i="140" s="1"/>
  <c r="U109" i="120"/>
  <c r="U111" i="120" s="1"/>
  <c r="V54" i="140" s="1"/>
  <c r="V109" i="120"/>
  <c r="V111" i="120" s="1"/>
  <c r="W54" i="140" s="1"/>
  <c r="W109" i="120"/>
  <c r="W111" i="120" s="1"/>
  <c r="X54" i="140" s="1"/>
  <c r="X109" i="120"/>
  <c r="X111" i="120" s="1"/>
  <c r="Y54" i="140" s="1"/>
  <c r="Y109" i="120"/>
  <c r="Y111" i="120" s="1"/>
  <c r="Z54" i="140" s="1"/>
  <c r="Z109" i="120"/>
  <c r="Z111" i="120" s="1"/>
  <c r="AA54" i="140" s="1"/>
  <c r="AA109" i="120"/>
  <c r="AA111" i="120" s="1"/>
  <c r="AB54" i="140" s="1"/>
  <c r="AB109" i="120"/>
  <c r="AB111" i="120" s="1"/>
  <c r="AC54" i="140" s="1"/>
  <c r="AC109" i="120"/>
  <c r="AC111" i="120" s="1"/>
  <c r="AD54" i="140" s="1"/>
  <c r="AD109" i="120"/>
  <c r="AD111" i="120" s="1"/>
  <c r="AE54" i="140" s="1"/>
  <c r="AE109" i="120"/>
  <c r="AE111" i="120" s="1"/>
  <c r="AF54" i="140" s="1"/>
  <c r="AF109" i="120"/>
  <c r="AF111" i="120" s="1"/>
  <c r="AG54" i="140" s="1"/>
  <c r="AG109" i="120"/>
  <c r="AG111" i="120" s="1"/>
  <c r="AH54" i="140" s="1"/>
  <c r="AH109" i="120"/>
  <c r="AH111" i="120" s="1"/>
  <c r="AI54" i="140" s="1"/>
  <c r="AI109" i="120"/>
  <c r="AI111" i="120" s="1"/>
  <c r="AJ54" i="140" s="1"/>
  <c r="AJ109" i="120"/>
  <c r="AJ111" i="120" s="1"/>
  <c r="AK54" i="140" s="1"/>
  <c r="AK109" i="120"/>
  <c r="AK111" i="120" s="1"/>
  <c r="AL54" i="140" s="1"/>
  <c r="AL109" i="120"/>
  <c r="AL111" i="120" s="1"/>
  <c r="AM54" i="140" s="1"/>
  <c r="AM109" i="120"/>
  <c r="AM111" i="120" s="1"/>
  <c r="AN54" i="140" s="1"/>
  <c r="AN109" i="120"/>
  <c r="AN111" i="120" s="1"/>
  <c r="AO54" i="140" s="1"/>
  <c r="AO109" i="120"/>
  <c r="AO111" i="120" s="1"/>
  <c r="AP54" i="140" s="1"/>
  <c r="AP109" i="120"/>
  <c r="AP111" i="120" s="1"/>
  <c r="AQ54" i="140" s="1"/>
  <c r="AQ109" i="120"/>
  <c r="AQ111" i="120" s="1"/>
  <c r="AR54" i="140" s="1"/>
  <c r="AR109" i="120"/>
  <c r="AR111" i="120" s="1"/>
  <c r="AS54" i="140" s="1"/>
  <c r="AS109" i="120"/>
  <c r="AS111" i="120" s="1"/>
  <c r="AT54" i="140" s="1"/>
  <c r="AT109" i="120"/>
  <c r="AT111" i="120" s="1"/>
  <c r="AU54" i="140" s="1"/>
  <c r="AU109" i="120"/>
  <c r="AU111" i="120" s="1"/>
  <c r="AV54" i="140" s="1"/>
  <c r="AV109" i="120"/>
  <c r="AV111" i="120" s="1"/>
  <c r="AW54" i="140" s="1"/>
  <c r="AW109" i="120"/>
  <c r="AW111" i="120" s="1"/>
  <c r="AX54" i="140" s="1"/>
  <c r="AX109" i="120"/>
  <c r="AX111" i="120" s="1"/>
  <c r="AY54" i="140" s="1"/>
  <c r="AY109" i="120"/>
  <c r="AY111" i="120" s="1"/>
  <c r="AZ54" i="140" s="1"/>
  <c r="AZ109" i="120"/>
  <c r="AZ111" i="120" s="1"/>
  <c r="BA54" i="140" s="1"/>
  <c r="BA109" i="120"/>
  <c r="BA111" i="120" s="1"/>
  <c r="BB54" i="140" s="1"/>
  <c r="BB109" i="120"/>
  <c r="BB111" i="120" s="1"/>
  <c r="BC54" i="140" s="1"/>
  <c r="BC109" i="120"/>
  <c r="BC111" i="120" s="1"/>
  <c r="BD54" i="140" s="1"/>
  <c r="BD109" i="120"/>
  <c r="BD111" i="120" s="1"/>
  <c r="BE54" i="140" s="1"/>
  <c r="BE109" i="120"/>
  <c r="BE111" i="120" s="1"/>
  <c r="BF54" i="140" s="1"/>
  <c r="C114" i="120"/>
  <c r="D114" i="120"/>
  <c r="E114" i="120"/>
  <c r="F114" i="120"/>
  <c r="G114" i="120"/>
  <c r="H114" i="120"/>
  <c r="I114" i="120"/>
  <c r="J114" i="120"/>
  <c r="K114" i="120"/>
  <c r="L114" i="120"/>
  <c r="M114" i="120"/>
  <c r="N114" i="120"/>
  <c r="O114" i="120"/>
  <c r="P114" i="120"/>
  <c r="Q114" i="120"/>
  <c r="R114" i="120"/>
  <c r="S114" i="120"/>
  <c r="T114" i="120"/>
  <c r="U114" i="120"/>
  <c r="V114" i="120"/>
  <c r="W114" i="120"/>
  <c r="X114" i="120"/>
  <c r="Y114" i="120"/>
  <c r="Z114" i="120"/>
  <c r="AA114" i="120"/>
  <c r="AB114" i="120"/>
  <c r="AC114" i="120"/>
  <c r="AD114" i="120"/>
  <c r="AE114" i="120"/>
  <c r="AF114" i="120"/>
  <c r="AG114" i="120"/>
  <c r="AH114" i="120"/>
  <c r="AI114" i="120"/>
  <c r="AJ114" i="120"/>
  <c r="AK114" i="120"/>
  <c r="AL114" i="120"/>
  <c r="AM114" i="120"/>
  <c r="AN114" i="120"/>
  <c r="AO114" i="120"/>
  <c r="AP114" i="120"/>
  <c r="AQ114" i="120"/>
  <c r="AR114" i="120"/>
  <c r="AS114" i="120"/>
  <c r="AT114" i="120"/>
  <c r="AU114" i="120"/>
  <c r="AV114" i="120"/>
  <c r="AW114" i="120"/>
  <c r="AX114" i="120"/>
  <c r="AY114" i="120"/>
  <c r="AZ114" i="120"/>
  <c r="BA114" i="120"/>
  <c r="BB114" i="120"/>
  <c r="BC114" i="120"/>
  <c r="BD114" i="120"/>
  <c r="BE114" i="120"/>
  <c r="S75" i="140"/>
  <c r="AL75" i="140"/>
  <c r="AM75" i="140"/>
  <c r="BC175" i="64"/>
  <c r="BC180" i="64"/>
  <c r="BC181" i="64"/>
  <c r="W180" i="64"/>
  <c r="W206" i="64" s="1"/>
  <c r="O79" i="64"/>
  <c r="B39" i="108"/>
  <c r="P147" i="64"/>
  <c r="D49" i="64"/>
  <c r="D48" i="64"/>
  <c r="D46" i="64"/>
  <c r="D47" i="64"/>
  <c r="W49" i="64"/>
  <c r="AR44" i="64"/>
  <c r="T44" i="64"/>
  <c r="T46" i="64"/>
  <c r="T45" i="64"/>
  <c r="AS53" i="64"/>
  <c r="D77" i="64"/>
  <c r="D78" i="64"/>
  <c r="D76" i="64"/>
  <c r="D82" i="64"/>
  <c r="D81" i="64"/>
  <c r="D79" i="64"/>
  <c r="D80" i="64"/>
  <c r="P76" i="64"/>
  <c r="P77" i="64"/>
  <c r="P78" i="64"/>
  <c r="P80" i="64"/>
  <c r="P79" i="64"/>
  <c r="P85" i="64"/>
  <c r="P84" i="64"/>
  <c r="P81" i="64"/>
  <c r="P83" i="64"/>
  <c r="P86" i="64"/>
  <c r="P88" i="64"/>
  <c r="P87" i="64"/>
  <c r="P82" i="64"/>
  <c r="BB76" i="64"/>
  <c r="BB77" i="64"/>
  <c r="BB78" i="64"/>
  <c r="BB79" i="64"/>
  <c r="BB80" i="64"/>
  <c r="BB81" i="64"/>
  <c r="BB82" i="64"/>
  <c r="X76" i="64"/>
  <c r="X80" i="64"/>
  <c r="X78" i="64"/>
  <c r="X79" i="64"/>
  <c r="X77" i="64"/>
  <c r="K76" i="64"/>
  <c r="K77" i="64"/>
  <c r="K78" i="64"/>
  <c r="BC77" i="64"/>
  <c r="BC78" i="64"/>
  <c r="BC79" i="64"/>
  <c r="BC80" i="64"/>
  <c r="V78" i="64"/>
  <c r="V79" i="64"/>
  <c r="V77" i="64"/>
  <c r="V76" i="64"/>
  <c r="V81" i="64"/>
  <c r="V82" i="64"/>
  <c r="V80" i="64"/>
  <c r="L76" i="64"/>
  <c r="L78" i="64"/>
  <c r="L77" i="64"/>
  <c r="L79" i="64"/>
  <c r="AS83" i="64"/>
  <c r="AS81" i="64"/>
  <c r="AS78" i="64"/>
  <c r="AS80" i="64"/>
  <c r="AS79" i="64"/>
  <c r="AS77" i="64"/>
  <c r="AS82" i="64"/>
  <c r="AS76" i="64"/>
  <c r="AS84" i="64"/>
  <c r="AS85" i="64"/>
  <c r="AW76" i="64"/>
  <c r="AW107" i="64" s="1"/>
  <c r="AW283" i="64" s="1"/>
  <c r="Y76" i="64"/>
  <c r="Y77" i="64"/>
  <c r="Y79" i="64"/>
  <c r="Y78" i="64"/>
  <c r="AG76" i="64"/>
  <c r="AG107" i="64" s="1"/>
  <c r="AG283" i="64" s="1"/>
  <c r="AY76" i="64"/>
  <c r="AY107" i="64" s="1"/>
  <c r="AY283" i="64" s="1"/>
  <c r="AK76" i="64"/>
  <c r="AK107" i="64" s="1"/>
  <c r="AK283" i="64" s="1"/>
  <c r="AJ76" i="64"/>
  <c r="AJ77" i="64"/>
  <c r="Z76" i="64"/>
  <c r="Z107" i="64" s="1"/>
  <c r="Z283" i="64" s="1"/>
  <c r="AZ76" i="64"/>
  <c r="AZ77" i="64"/>
  <c r="AZ78" i="64"/>
  <c r="AE76" i="64"/>
  <c r="AE107" i="64" s="1"/>
  <c r="AE283" i="64" s="1"/>
  <c r="W76" i="64"/>
  <c r="W80" i="64"/>
  <c r="W78" i="64"/>
  <c r="W77" i="64"/>
  <c r="W79" i="64"/>
  <c r="W82" i="64"/>
  <c r="U76" i="64"/>
  <c r="U107" i="64" s="1"/>
  <c r="U283" i="64" s="1"/>
  <c r="AM76" i="64"/>
  <c r="AM77" i="64"/>
  <c r="AM78" i="64"/>
  <c r="AM79" i="64"/>
  <c r="AM80" i="64"/>
  <c r="AX79" i="64"/>
  <c r="AX77" i="64"/>
  <c r="AX78" i="64"/>
  <c r="E76" i="64"/>
  <c r="E107" i="64" s="1"/>
  <c r="E283" i="64" s="1"/>
  <c r="AI76" i="64"/>
  <c r="AI107" i="64" s="1"/>
  <c r="AI283" i="64" s="1"/>
  <c r="F76" i="64"/>
  <c r="F77" i="64"/>
  <c r="BD76" i="64"/>
  <c r="BD77" i="64"/>
  <c r="AU76" i="64"/>
  <c r="AU107" i="64" s="1"/>
  <c r="AU283" i="64" s="1"/>
  <c r="AC76" i="64"/>
  <c r="AC107" i="64" s="1"/>
  <c r="AC283" i="64" s="1"/>
  <c r="AA76" i="64"/>
  <c r="AA107" i="64" s="1"/>
  <c r="AA283" i="64" s="1"/>
  <c r="AD76" i="64"/>
  <c r="AD107" i="64" s="1"/>
  <c r="AD283" i="64" s="1"/>
  <c r="AL76" i="64"/>
  <c r="AL107" i="64" s="1"/>
  <c r="AL283" i="64" s="1"/>
  <c r="AO76" i="64"/>
  <c r="AO107" i="64" s="1"/>
  <c r="AO283" i="64" s="1"/>
  <c r="AP76" i="64"/>
  <c r="AP107" i="64" s="1"/>
  <c r="AP283" i="64" s="1"/>
  <c r="Q76" i="64"/>
  <c r="Q107" i="64" s="1"/>
  <c r="Q283" i="64" s="1"/>
  <c r="AR76" i="64"/>
  <c r="AR77" i="64"/>
  <c r="BE76" i="64"/>
  <c r="BE107" i="64" s="1"/>
  <c r="BE283" i="64" s="1"/>
  <c r="C76" i="64"/>
  <c r="C78" i="64"/>
  <c r="C77" i="64"/>
  <c r="T76" i="64"/>
  <c r="T77" i="64"/>
  <c r="S76" i="64"/>
  <c r="S107" i="64" s="1"/>
  <c r="S283" i="64" s="1"/>
  <c r="G76" i="64"/>
  <c r="G107" i="64" s="1"/>
  <c r="G283" i="64" s="1"/>
  <c r="AT76" i="64"/>
  <c r="AT107" i="64" s="1"/>
  <c r="AT283" i="64" s="1"/>
  <c r="H76" i="64"/>
  <c r="H77" i="64"/>
  <c r="H78" i="64"/>
  <c r="O76" i="64"/>
  <c r="O77" i="64"/>
  <c r="O78" i="64"/>
  <c r="AQ76" i="64"/>
  <c r="AQ107" i="64" s="1"/>
  <c r="AQ283" i="64" s="1"/>
  <c r="R76" i="64"/>
  <c r="R78" i="64"/>
  <c r="R77" i="64"/>
  <c r="AF76" i="64"/>
  <c r="AF77" i="64"/>
  <c r="T79" i="64"/>
  <c r="M76" i="64"/>
  <c r="M107" i="64" s="1"/>
  <c r="M283" i="64" s="1"/>
  <c r="AB76" i="64"/>
  <c r="AB107" i="64" s="1"/>
  <c r="AB283" i="64" s="1"/>
  <c r="AV76" i="64"/>
  <c r="AV77" i="64"/>
  <c r="T78" i="64"/>
  <c r="N76" i="64"/>
  <c r="N77" i="64"/>
  <c r="BA77" i="64"/>
  <c r="BA76" i="64"/>
  <c r="BA78" i="64"/>
  <c r="BA79" i="64"/>
  <c r="AH76" i="64"/>
  <c r="AH107" i="64" s="1"/>
  <c r="AH283" i="64" s="1"/>
  <c r="AN78" i="64"/>
  <c r="AN76" i="64"/>
  <c r="AN80" i="64"/>
  <c r="AN77" i="64"/>
  <c r="AN79" i="64"/>
  <c r="AN81" i="64"/>
  <c r="J76" i="64"/>
  <c r="J107" i="64" s="1"/>
  <c r="J283" i="64" s="1"/>
  <c r="BF76" i="64"/>
  <c r="BF107" i="64" s="1"/>
  <c r="AS86" i="64"/>
  <c r="D115" i="64"/>
  <c r="D114" i="64"/>
  <c r="D112" i="64"/>
  <c r="D113" i="64"/>
  <c r="W115" i="64"/>
  <c r="AR110" i="64"/>
  <c r="T110" i="64"/>
  <c r="T112" i="64"/>
  <c r="T111" i="64"/>
  <c r="AS119" i="64"/>
  <c r="D143" i="64"/>
  <c r="D144" i="64"/>
  <c r="D142" i="64"/>
  <c r="D148" i="64"/>
  <c r="D147" i="64"/>
  <c r="D145" i="64"/>
  <c r="D146" i="64"/>
  <c r="P142" i="64"/>
  <c r="P143" i="64"/>
  <c r="P144" i="64"/>
  <c r="P146" i="64"/>
  <c r="P145" i="64"/>
  <c r="P151" i="64"/>
  <c r="P150" i="64"/>
  <c r="P149" i="64"/>
  <c r="P152" i="64"/>
  <c r="P154" i="64"/>
  <c r="P153" i="64"/>
  <c r="P148" i="64"/>
  <c r="BB142" i="64"/>
  <c r="BB143" i="64"/>
  <c r="BB144" i="64"/>
  <c r="BB145" i="64"/>
  <c r="BB146" i="64"/>
  <c r="BB147" i="64"/>
  <c r="BB148" i="64"/>
  <c r="X142" i="64"/>
  <c r="X146" i="64"/>
  <c r="X144" i="64"/>
  <c r="X145" i="64"/>
  <c r="X143" i="64"/>
  <c r="K142" i="64"/>
  <c r="K143" i="64"/>
  <c r="K144" i="64"/>
  <c r="BC148" i="64"/>
  <c r="BC143" i="64"/>
  <c r="BC144" i="64"/>
  <c r="BC145" i="64"/>
  <c r="BC146" i="64"/>
  <c r="V144" i="64"/>
  <c r="V145" i="64"/>
  <c r="V143" i="64"/>
  <c r="V142" i="64"/>
  <c r="V147" i="64"/>
  <c r="V148" i="64"/>
  <c r="V146" i="64"/>
  <c r="L142" i="64"/>
  <c r="L144" i="64"/>
  <c r="L143" i="64"/>
  <c r="L145" i="64"/>
  <c r="AS149" i="64"/>
  <c r="AS147" i="64"/>
  <c r="AS144" i="64"/>
  <c r="AS146" i="64"/>
  <c r="AS145" i="64"/>
  <c r="AS143" i="64"/>
  <c r="AS148" i="64"/>
  <c r="AS142" i="64"/>
  <c r="AS150" i="64"/>
  <c r="AS151" i="64"/>
  <c r="AW142" i="64"/>
  <c r="AW173" i="64" s="1"/>
  <c r="AW316" i="64" s="1"/>
  <c r="Y142" i="64"/>
  <c r="Y143" i="64"/>
  <c r="Y145" i="64"/>
  <c r="Y144" i="64"/>
  <c r="AG142" i="64"/>
  <c r="AG173" i="64" s="1"/>
  <c r="AG316" i="64" s="1"/>
  <c r="AY142" i="64"/>
  <c r="AY173" i="64" s="1"/>
  <c r="AY316" i="64" s="1"/>
  <c r="AK142" i="64"/>
  <c r="AK173" i="64" s="1"/>
  <c r="AK316" i="64" s="1"/>
  <c r="AJ142" i="64"/>
  <c r="AJ143" i="64"/>
  <c r="Z142" i="64"/>
  <c r="Z173" i="64" s="1"/>
  <c r="Z316" i="64" s="1"/>
  <c r="AZ142" i="64"/>
  <c r="AZ143" i="64"/>
  <c r="AZ144" i="64"/>
  <c r="AE142" i="64"/>
  <c r="AE173" i="64" s="1"/>
  <c r="AE316" i="64" s="1"/>
  <c r="W142" i="64"/>
  <c r="W146" i="64"/>
  <c r="W144" i="64"/>
  <c r="W143" i="64"/>
  <c r="W145" i="64"/>
  <c r="W147" i="64"/>
  <c r="W148" i="64"/>
  <c r="U142" i="64"/>
  <c r="U173" i="64" s="1"/>
  <c r="U316" i="64" s="1"/>
  <c r="AM142" i="64"/>
  <c r="AM143" i="64"/>
  <c r="AM144" i="64"/>
  <c r="AM145" i="64"/>
  <c r="AM146" i="64"/>
  <c r="AX145" i="64"/>
  <c r="AX143" i="64"/>
  <c r="AX144" i="64"/>
  <c r="E142" i="64"/>
  <c r="E173" i="64" s="1"/>
  <c r="E316" i="64" s="1"/>
  <c r="AI142" i="64"/>
  <c r="AI173" i="64" s="1"/>
  <c r="AI316" i="64" s="1"/>
  <c r="F142" i="64"/>
  <c r="F143" i="64"/>
  <c r="BD142" i="64"/>
  <c r="BD143" i="64"/>
  <c r="AU142" i="64"/>
  <c r="AU173" i="64" s="1"/>
  <c r="AU316" i="64" s="1"/>
  <c r="AC142" i="64"/>
  <c r="AC173" i="64" s="1"/>
  <c r="AC316" i="64" s="1"/>
  <c r="AA142" i="64"/>
  <c r="AA173" i="64" s="1"/>
  <c r="AA316" i="64" s="1"/>
  <c r="AD142" i="64"/>
  <c r="AD173" i="64" s="1"/>
  <c r="AD316" i="64" s="1"/>
  <c r="AL142" i="64"/>
  <c r="AL173" i="64" s="1"/>
  <c r="AL316" i="64" s="1"/>
  <c r="AO142" i="64"/>
  <c r="AO173" i="64" s="1"/>
  <c r="AO316" i="64" s="1"/>
  <c r="AP142" i="64"/>
  <c r="AP173" i="64" s="1"/>
  <c r="AP316" i="64" s="1"/>
  <c r="Q142" i="64"/>
  <c r="Q173" i="64" s="1"/>
  <c r="Q316" i="64" s="1"/>
  <c r="AR142" i="64"/>
  <c r="AR143" i="64"/>
  <c r="BE142" i="64"/>
  <c r="BE173" i="64" s="1"/>
  <c r="BE316" i="64" s="1"/>
  <c r="C142" i="64"/>
  <c r="C144" i="64"/>
  <c r="C143" i="64"/>
  <c r="T142" i="64"/>
  <c r="T143" i="64"/>
  <c r="S142" i="64"/>
  <c r="S173" i="64" s="1"/>
  <c r="S316" i="64" s="1"/>
  <c r="G142" i="64"/>
  <c r="G173" i="64" s="1"/>
  <c r="G316" i="64" s="1"/>
  <c r="AT142" i="64"/>
  <c r="AT173" i="64" s="1"/>
  <c r="AT316" i="64" s="1"/>
  <c r="H143" i="64"/>
  <c r="H144" i="64"/>
  <c r="O142" i="64"/>
  <c r="O143" i="64"/>
  <c r="O144" i="64"/>
  <c r="O145" i="64"/>
  <c r="AQ142" i="64"/>
  <c r="AQ173" i="64" s="1"/>
  <c r="AQ316" i="64" s="1"/>
  <c r="I142" i="64"/>
  <c r="I173" i="64" s="1"/>
  <c r="I316" i="64" s="1"/>
  <c r="R142" i="64"/>
  <c r="R144" i="64"/>
  <c r="R143" i="64"/>
  <c r="AF142" i="64"/>
  <c r="AF143" i="64"/>
  <c r="T145" i="64"/>
  <c r="M142" i="64"/>
  <c r="M173" i="64" s="1"/>
  <c r="M316" i="64" s="1"/>
  <c r="AB142" i="64"/>
  <c r="AB173" i="64" s="1"/>
  <c r="AB316" i="64" s="1"/>
  <c r="AV142" i="64"/>
  <c r="AV143" i="64"/>
  <c r="T144" i="64"/>
  <c r="N142" i="64"/>
  <c r="N143" i="64"/>
  <c r="BA143" i="64"/>
  <c r="BA142" i="64"/>
  <c r="BA144" i="64"/>
  <c r="BA145" i="64"/>
  <c r="AH142" i="64"/>
  <c r="AH173" i="64" s="1"/>
  <c r="AH316" i="64" s="1"/>
  <c r="AN144" i="64"/>
  <c r="AN142" i="64"/>
  <c r="AN146" i="64"/>
  <c r="AN143" i="64"/>
  <c r="AN145" i="64"/>
  <c r="AN147" i="64"/>
  <c r="J142" i="64"/>
  <c r="J173" i="64" s="1"/>
  <c r="J316" i="64" s="1"/>
  <c r="BF142" i="64"/>
  <c r="BF173" i="64" s="1"/>
  <c r="AS152" i="64"/>
  <c r="L4" i="108"/>
  <c r="E12" i="108" s="1"/>
  <c r="E5" i="108"/>
  <c r="L6" i="108"/>
  <c r="L7" i="108"/>
  <c r="E16" i="108" s="1"/>
  <c r="E9" i="108"/>
  <c r="E10" i="108"/>
  <c r="E11" i="108"/>
  <c r="F11" i="108" s="1"/>
  <c r="G11" i="108" s="1"/>
  <c r="L18" i="111" s="1"/>
  <c r="L11" i="108"/>
  <c r="E6" i="108" s="1"/>
  <c r="E13" i="108"/>
  <c r="E14" i="108"/>
  <c r="E15" i="108"/>
  <c r="L15" i="108"/>
  <c r="E8" i="108" s="1"/>
  <c r="L16" i="108"/>
  <c r="E4" i="108" s="1"/>
  <c r="J17" i="108"/>
  <c r="M25" i="108"/>
  <c r="M26" i="108"/>
  <c r="M27" i="108"/>
  <c r="K28" i="108"/>
  <c r="K29" i="108" s="1"/>
  <c r="C39" i="108"/>
  <c r="D39" i="108"/>
  <c r="E39" i="108"/>
  <c r="F39" i="108"/>
  <c r="G39" i="108"/>
  <c r="H39" i="108"/>
  <c r="I39" i="108"/>
  <c r="J39" i="108"/>
  <c r="K39" i="108"/>
  <c r="L39" i="108"/>
  <c r="M39" i="108"/>
  <c r="N39" i="108"/>
  <c r="O39" i="108"/>
  <c r="B40" i="108"/>
  <c r="C40" i="108"/>
  <c r="D40" i="108"/>
  <c r="E40" i="108"/>
  <c r="F40" i="108"/>
  <c r="G40" i="108"/>
  <c r="H40" i="108"/>
  <c r="I40" i="108"/>
  <c r="J40" i="108"/>
  <c r="K40" i="108"/>
  <c r="L40" i="108"/>
  <c r="M40" i="108"/>
  <c r="N40" i="108"/>
  <c r="O40" i="108"/>
  <c r="B41" i="108"/>
  <c r="C41" i="108"/>
  <c r="D41" i="108"/>
  <c r="E41" i="108"/>
  <c r="F41" i="108"/>
  <c r="G41" i="108"/>
  <c r="H41" i="108"/>
  <c r="I41" i="108"/>
  <c r="J41" i="108"/>
  <c r="K41" i="108"/>
  <c r="L41" i="108"/>
  <c r="M41" i="108"/>
  <c r="N41" i="108"/>
  <c r="O41" i="108"/>
  <c r="B46" i="108"/>
  <c r="C46" i="108"/>
  <c r="D46" i="108"/>
  <c r="F46" i="108"/>
  <c r="G46" i="108"/>
  <c r="H46" i="108"/>
  <c r="I46" i="108"/>
  <c r="J46" i="108"/>
  <c r="K46" i="108"/>
  <c r="L46" i="108"/>
  <c r="M46" i="108"/>
  <c r="N46" i="108"/>
  <c r="O46" i="108"/>
  <c r="B47" i="108"/>
  <c r="C47" i="108"/>
  <c r="D47" i="108"/>
  <c r="E47" i="108"/>
  <c r="F47" i="108"/>
  <c r="G47" i="108"/>
  <c r="H47" i="108"/>
  <c r="I47" i="108"/>
  <c r="J47" i="108"/>
  <c r="K47" i="108"/>
  <c r="L47" i="108"/>
  <c r="M47" i="108"/>
  <c r="N47" i="108"/>
  <c r="O47" i="108"/>
  <c r="B48" i="108"/>
  <c r="C48" i="108"/>
  <c r="D48" i="108"/>
  <c r="E48" i="108"/>
  <c r="F48" i="108"/>
  <c r="G48" i="108"/>
  <c r="H48" i="108"/>
  <c r="I48" i="108"/>
  <c r="J48" i="108"/>
  <c r="K48" i="108"/>
  <c r="L48" i="108"/>
  <c r="M48" i="108"/>
  <c r="N48" i="108"/>
  <c r="O48" i="108"/>
  <c r="G5" i="132"/>
  <c r="H5" i="132"/>
  <c r="G6" i="132"/>
  <c r="H6" i="132"/>
  <c r="G7" i="132"/>
  <c r="H7" i="132"/>
  <c r="I7" i="132"/>
  <c r="I8" i="132" s="1"/>
  <c r="B36" i="118"/>
  <c r="AP3" i="79"/>
  <c r="BE3" i="79"/>
  <c r="BF3" i="79" s="1"/>
  <c r="AP4" i="79"/>
  <c r="BE4" i="79"/>
  <c r="BF4" i="79" s="1"/>
  <c r="AP5" i="79"/>
  <c r="AP6" i="79"/>
  <c r="BE6" i="79"/>
  <c r="BF6" i="79" s="1"/>
  <c r="AP7" i="79"/>
  <c r="BE7" i="79"/>
  <c r="BF7" i="79" s="1"/>
  <c r="AP8" i="79"/>
  <c r="BE8" i="79"/>
  <c r="BF8" i="79" s="1"/>
  <c r="AP9" i="79"/>
  <c r="BE9" i="79"/>
  <c r="BF9" i="79" s="1"/>
  <c r="AP10" i="79"/>
  <c r="AP11" i="79"/>
  <c r="BE11" i="79"/>
  <c r="BF11" i="79" s="1"/>
  <c r="AP12" i="79"/>
  <c r="AP13" i="79"/>
  <c r="BE13" i="79"/>
  <c r="BF13" i="79" s="1"/>
  <c r="AP14" i="79"/>
  <c r="AP15" i="79"/>
  <c r="AP16" i="79"/>
  <c r="AP17" i="79"/>
  <c r="BE17" i="79"/>
  <c r="BF17" i="79" s="1"/>
  <c r="AP18" i="79"/>
  <c r="AP19" i="79"/>
  <c r="BE19" i="79"/>
  <c r="BF19" i="79" s="1"/>
  <c r="AP20" i="79"/>
  <c r="BE20" i="79"/>
  <c r="BF20" i="79" s="1"/>
  <c r="AP21" i="79"/>
  <c r="BE21" i="79"/>
  <c r="BF21" i="79" s="1"/>
  <c r="AP22" i="79"/>
  <c r="AP23" i="79"/>
  <c r="AP24" i="79"/>
  <c r="AP25" i="79"/>
  <c r="BE25" i="79"/>
  <c r="BF25" i="79" s="1"/>
  <c r="AP26" i="79"/>
  <c r="BE26" i="79"/>
  <c r="BF26" i="79" s="1"/>
  <c r="AP27" i="79"/>
  <c r="BE27" i="79"/>
  <c r="BF27" i="79" s="1"/>
  <c r="AP28" i="79"/>
  <c r="BE28" i="79"/>
  <c r="BF28" i="79" s="1"/>
  <c r="AP29" i="79"/>
  <c r="BE29" i="79"/>
  <c r="BF29" i="79" s="1"/>
  <c r="AP30" i="79"/>
  <c r="BE30" i="79"/>
  <c r="BF30" i="79" s="1"/>
  <c r="AP31" i="79"/>
  <c r="BE31" i="79"/>
  <c r="BF31" i="79" s="1"/>
  <c r="AP32" i="79"/>
  <c r="AP33" i="79"/>
  <c r="BE33" i="79"/>
  <c r="BF33" i="79" s="1"/>
  <c r="AP34" i="79"/>
  <c r="BE34" i="79"/>
  <c r="BF34" i="79" s="1"/>
  <c r="AP35" i="79"/>
  <c r="BE35" i="79"/>
  <c r="BF35" i="79" s="1"/>
  <c r="AP36" i="79"/>
  <c r="AP37" i="79"/>
  <c r="AP38" i="79"/>
  <c r="BE38" i="79"/>
  <c r="BF38" i="79" s="1"/>
  <c r="AP39" i="79"/>
  <c r="BE39" i="79"/>
  <c r="BF39" i="79" s="1"/>
  <c r="AP40" i="79"/>
  <c r="AP41" i="79"/>
  <c r="BE41" i="79"/>
  <c r="BF41" i="79" s="1"/>
  <c r="AP42" i="79"/>
  <c r="BE42" i="79"/>
  <c r="BF42" i="79" s="1"/>
  <c r="AP43" i="79"/>
  <c r="BE43" i="79"/>
  <c r="BF43" i="79" s="1"/>
  <c r="AP44" i="79"/>
  <c r="BE44" i="79"/>
  <c r="BF44" i="79" s="1"/>
  <c r="AP45" i="79"/>
  <c r="BE45" i="79"/>
  <c r="BF45" i="79" s="1"/>
  <c r="AP46" i="79"/>
  <c r="BE46" i="79"/>
  <c r="BF46" i="79" s="1"/>
  <c r="AP47" i="79"/>
  <c r="BE47" i="79"/>
  <c r="BF47" i="79" s="1"/>
  <c r="AP48" i="79"/>
  <c r="AP49" i="79"/>
  <c r="BE49" i="79"/>
  <c r="BF49" i="79" s="1"/>
  <c r="AP50" i="79"/>
  <c r="AP51" i="79"/>
  <c r="BE51" i="79"/>
  <c r="BF51" i="79" s="1"/>
  <c r="AP52" i="79"/>
  <c r="BE52" i="79"/>
  <c r="BF52" i="79" s="1"/>
  <c r="AP53" i="79"/>
  <c r="AP54" i="79"/>
  <c r="AP55" i="79"/>
  <c r="BE55" i="79"/>
  <c r="BF55" i="79" s="1"/>
  <c r="AP56" i="79"/>
  <c r="AP57" i="79"/>
  <c r="BE57" i="79"/>
  <c r="BF57" i="79" s="1"/>
  <c r="AW60" i="79"/>
  <c r="AW61" i="79"/>
  <c r="AZ61" i="79"/>
  <c r="I66" i="79"/>
  <c r="AK67" i="79"/>
  <c r="C7" i="111"/>
  <c r="C10" i="117" s="1"/>
  <c r="C19" i="111"/>
  <c r="C22" i="117" s="1"/>
  <c r="C22" i="111"/>
  <c r="C25" i="117" s="1"/>
  <c r="C26" i="111"/>
  <c r="C29" i="117" s="1"/>
  <c r="B75" i="113"/>
  <c r="E76" i="113"/>
  <c r="G78" i="113"/>
  <c r="A1" i="114"/>
  <c r="B1" i="114"/>
  <c r="A2" i="114"/>
  <c r="B2" i="114"/>
  <c r="A3" i="114"/>
  <c r="B3" i="114"/>
  <c r="A4" i="114"/>
  <c r="B4" i="114"/>
  <c r="A5" i="114"/>
  <c r="B5" i="114"/>
  <c r="A6" i="114"/>
  <c r="B6" i="114"/>
  <c r="A7" i="114"/>
  <c r="B7" i="114"/>
  <c r="A8" i="114"/>
  <c r="B8" i="114"/>
  <c r="A9" i="114"/>
  <c r="B9" i="114"/>
  <c r="A10" i="114"/>
  <c r="B10" i="114"/>
  <c r="A11" i="114"/>
  <c r="B11" i="114"/>
  <c r="A12" i="114"/>
  <c r="B12" i="114"/>
  <c r="A13" i="114"/>
  <c r="B13" i="114"/>
  <c r="A14" i="114"/>
  <c r="B14" i="114"/>
  <c r="A15" i="114"/>
  <c r="B15" i="114"/>
  <c r="A16" i="114"/>
  <c r="B16" i="114"/>
  <c r="A17" i="114"/>
  <c r="B17" i="114"/>
  <c r="A18" i="114"/>
  <c r="B18" i="114"/>
  <c r="A19" i="114"/>
  <c r="B19" i="114"/>
  <c r="A20" i="114"/>
  <c r="B20" i="114"/>
  <c r="A21" i="114"/>
  <c r="B21" i="114"/>
  <c r="A22" i="114"/>
  <c r="B22" i="114"/>
  <c r="A23" i="114"/>
  <c r="B23" i="114"/>
  <c r="A24" i="114"/>
  <c r="B24" i="114"/>
  <c r="A25" i="114"/>
  <c r="B25" i="114"/>
  <c r="A26" i="114"/>
  <c r="B26" i="114"/>
  <c r="A27" i="114"/>
  <c r="B27" i="114"/>
  <c r="A28" i="114"/>
  <c r="B28" i="114"/>
  <c r="A29" i="114"/>
  <c r="B29" i="114"/>
  <c r="A30" i="114"/>
  <c r="B30" i="114"/>
  <c r="A31" i="114"/>
  <c r="B31" i="114"/>
  <c r="A32" i="114"/>
  <c r="B32" i="114"/>
  <c r="A33" i="114"/>
  <c r="B33" i="114"/>
  <c r="A34" i="114"/>
  <c r="B34" i="114"/>
  <c r="A35" i="114"/>
  <c r="B35" i="114"/>
  <c r="A36" i="114"/>
  <c r="B36" i="114"/>
  <c r="A37" i="114"/>
  <c r="B37" i="114"/>
  <c r="A38" i="114"/>
  <c r="B38" i="114"/>
  <c r="A39" i="114"/>
  <c r="B39" i="114"/>
  <c r="A40" i="114"/>
  <c r="B40" i="114"/>
  <c r="A41" i="114"/>
  <c r="B41" i="114"/>
  <c r="A42" i="114"/>
  <c r="B42" i="114"/>
  <c r="A43" i="114"/>
  <c r="B43" i="114"/>
  <c r="A44" i="114"/>
  <c r="B44" i="114"/>
  <c r="A45" i="114"/>
  <c r="B45" i="114"/>
  <c r="A46" i="114"/>
  <c r="B46" i="114"/>
  <c r="A47" i="114"/>
  <c r="B47" i="114"/>
  <c r="A48" i="114"/>
  <c r="B48" i="114"/>
  <c r="A49" i="114"/>
  <c r="B49" i="114"/>
  <c r="A50" i="114"/>
  <c r="B50" i="114"/>
  <c r="A51" i="114"/>
  <c r="B51" i="114"/>
  <c r="A52" i="114"/>
  <c r="B52" i="114"/>
  <c r="A53" i="114"/>
  <c r="B53" i="114"/>
  <c r="A54" i="114"/>
  <c r="B54" i="114"/>
  <c r="A55" i="114"/>
  <c r="B55" i="114"/>
  <c r="A56" i="114"/>
  <c r="B56" i="114"/>
  <c r="A57" i="114"/>
  <c r="B57" i="114"/>
  <c r="A58" i="114"/>
  <c r="B58" i="114"/>
  <c r="A59" i="114"/>
  <c r="B59" i="114"/>
  <c r="A60" i="114"/>
  <c r="B60" i="114"/>
  <c r="A61" i="114"/>
  <c r="B61" i="114"/>
  <c r="A62" i="114"/>
  <c r="B62" i="114"/>
  <c r="A63" i="114"/>
  <c r="B63" i="114"/>
  <c r="A64" i="114"/>
  <c r="B64" i="114"/>
  <c r="A65" i="114"/>
  <c r="B65" i="114"/>
  <c r="A66" i="114"/>
  <c r="B66" i="114"/>
  <c r="A67" i="114"/>
  <c r="B67" i="114"/>
  <c r="A68" i="114"/>
  <c r="B68" i="114"/>
  <c r="A69" i="114"/>
  <c r="B69" i="114"/>
  <c r="A70" i="114"/>
  <c r="B70" i="114"/>
  <c r="A71" i="114"/>
  <c r="B71" i="114"/>
  <c r="A72" i="114"/>
  <c r="B72" i="114"/>
  <c r="A73" i="114"/>
  <c r="B73" i="114"/>
  <c r="A74" i="114"/>
  <c r="B74" i="114"/>
  <c r="A75" i="114"/>
  <c r="B75" i="114"/>
  <c r="A76" i="114"/>
  <c r="B76" i="114"/>
  <c r="A77" i="114"/>
  <c r="B77" i="114"/>
  <c r="A78" i="114"/>
  <c r="B78" i="114"/>
  <c r="A79" i="114"/>
  <c r="B79" i="114"/>
  <c r="A80" i="114"/>
  <c r="B80" i="114"/>
  <c r="A81" i="114"/>
  <c r="B81" i="114"/>
  <c r="A82" i="114"/>
  <c r="B82" i="114"/>
  <c r="A83" i="114"/>
  <c r="B83" i="114"/>
  <c r="A84" i="114"/>
  <c r="B84" i="114"/>
  <c r="A85" i="114"/>
  <c r="B85" i="114"/>
  <c r="A86" i="114"/>
  <c r="B86" i="114"/>
  <c r="B87" i="114" s="1"/>
  <c r="B88" i="114" s="1"/>
  <c r="B89" i="114" s="1"/>
  <c r="B90" i="114" s="1"/>
  <c r="H89" i="114"/>
  <c r="I89" i="114"/>
  <c r="J89" i="114"/>
  <c r="K89" i="114"/>
  <c r="L89" i="114"/>
  <c r="M89" i="114"/>
  <c r="N89" i="114"/>
  <c r="O89" i="114"/>
  <c r="P89" i="114"/>
  <c r="Q89" i="114"/>
  <c r="R89" i="114"/>
  <c r="S89" i="114"/>
  <c r="H90" i="114"/>
  <c r="I90" i="114"/>
  <c r="J90" i="114"/>
  <c r="K90" i="114"/>
  <c r="L90" i="114"/>
  <c r="M90" i="114"/>
  <c r="N90" i="114"/>
  <c r="O90" i="114"/>
  <c r="P90" i="114"/>
  <c r="Q90" i="114"/>
  <c r="R90" i="114"/>
  <c r="S90" i="114"/>
  <c r="H91" i="114"/>
  <c r="I91" i="114"/>
  <c r="J91" i="114"/>
  <c r="K91" i="114"/>
  <c r="L91" i="114"/>
  <c r="M91" i="114"/>
  <c r="N91" i="114"/>
  <c r="O91" i="114"/>
  <c r="P91" i="114"/>
  <c r="Q91" i="114"/>
  <c r="R91" i="114"/>
  <c r="S91" i="114"/>
  <c r="H92" i="114"/>
  <c r="I92" i="114"/>
  <c r="J92" i="114"/>
  <c r="K92" i="114"/>
  <c r="L92" i="114"/>
  <c r="M92" i="114"/>
  <c r="N92" i="114"/>
  <c r="O92" i="114"/>
  <c r="P92" i="114"/>
  <c r="Q92" i="114"/>
  <c r="R92" i="114"/>
  <c r="S92" i="114"/>
  <c r="H93" i="114"/>
  <c r="I93" i="114"/>
  <c r="J93" i="114"/>
  <c r="K93" i="114"/>
  <c r="L93" i="114"/>
  <c r="M93" i="114"/>
  <c r="N93" i="114"/>
  <c r="O93" i="114"/>
  <c r="P93" i="114"/>
  <c r="Q93" i="114"/>
  <c r="R93" i="114"/>
  <c r="S93" i="114"/>
  <c r="H94" i="114"/>
  <c r="I94" i="114"/>
  <c r="J94" i="114"/>
  <c r="K94" i="114"/>
  <c r="L94" i="114"/>
  <c r="M94" i="114"/>
  <c r="N94" i="114"/>
  <c r="O94" i="114"/>
  <c r="P94" i="114"/>
  <c r="Q94" i="114"/>
  <c r="R94" i="114"/>
  <c r="S94" i="114"/>
  <c r="I103" i="114"/>
  <c r="I110" i="114" s="1"/>
  <c r="K103" i="114"/>
  <c r="L103" i="114" s="1"/>
  <c r="O103" i="114"/>
  <c r="O110" i="114" s="1"/>
  <c r="P103" i="114"/>
  <c r="P110" i="114" s="1"/>
  <c r="S103" i="114"/>
  <c r="S110" i="114" s="1"/>
  <c r="I104" i="114"/>
  <c r="K104" i="114"/>
  <c r="L104" i="114" s="1"/>
  <c r="M104" i="114" s="1"/>
  <c r="M111" i="114" s="1"/>
  <c r="O104" i="114"/>
  <c r="P104" i="114"/>
  <c r="P111" i="114" s="1"/>
  <c r="Q104" i="114"/>
  <c r="Q111" i="114" s="1"/>
  <c r="S104" i="114"/>
  <c r="S111" i="114" s="1"/>
  <c r="I105" i="114"/>
  <c r="I112" i="114" s="1"/>
  <c r="K105" i="114"/>
  <c r="L105" i="114" s="1"/>
  <c r="O105" i="114"/>
  <c r="O112" i="114" s="1"/>
  <c r="P105" i="114"/>
  <c r="P112" i="114" s="1"/>
  <c r="S105" i="114"/>
  <c r="S112" i="114" s="1"/>
  <c r="I106" i="114"/>
  <c r="I113" i="114" s="1"/>
  <c r="K106" i="114"/>
  <c r="K113" i="114" s="1"/>
  <c r="O106" i="114"/>
  <c r="P106" i="114"/>
  <c r="P113" i="114" s="1"/>
  <c r="Q106" i="114"/>
  <c r="Q113" i="114" s="1"/>
  <c r="S106" i="114"/>
  <c r="I107" i="114"/>
  <c r="I114" i="114" s="1"/>
  <c r="K107" i="114"/>
  <c r="L107" i="114" s="1"/>
  <c r="O107" i="114"/>
  <c r="O114" i="114" s="1"/>
  <c r="P107" i="114"/>
  <c r="P114" i="114" s="1"/>
  <c r="S107" i="114"/>
  <c r="S114" i="114" s="1"/>
  <c r="I108" i="114"/>
  <c r="I115" i="114" s="1"/>
  <c r="K108" i="114"/>
  <c r="L108" i="114" s="1"/>
  <c r="M108" i="114" s="1"/>
  <c r="M115" i="114" s="1"/>
  <c r="O108" i="114"/>
  <c r="P108" i="114"/>
  <c r="P115" i="114" s="1"/>
  <c r="Q108" i="114"/>
  <c r="S108" i="114"/>
  <c r="H110" i="114"/>
  <c r="J110" i="114"/>
  <c r="N110" i="114"/>
  <c r="H111" i="114"/>
  <c r="I111" i="114"/>
  <c r="J111" i="114"/>
  <c r="N111" i="114"/>
  <c r="O111" i="114"/>
  <c r="H112" i="114"/>
  <c r="J112" i="114"/>
  <c r="N112" i="114"/>
  <c r="H113" i="114"/>
  <c r="J113" i="114"/>
  <c r="N113" i="114"/>
  <c r="O113" i="114"/>
  <c r="S113" i="114"/>
  <c r="H114" i="114"/>
  <c r="J114" i="114"/>
  <c r="N114" i="114"/>
  <c r="H115" i="114"/>
  <c r="J115" i="114"/>
  <c r="K115" i="114"/>
  <c r="N115" i="114"/>
  <c r="O115" i="114"/>
  <c r="Q115" i="114"/>
  <c r="S115" i="114"/>
  <c r="I124" i="114"/>
  <c r="I131" i="114" s="1"/>
  <c r="K124" i="114"/>
  <c r="L124" i="114"/>
  <c r="M124" i="114" s="1"/>
  <c r="M131" i="114" s="1"/>
  <c r="O124" i="114"/>
  <c r="O131" i="114" s="1"/>
  <c r="P124" i="114"/>
  <c r="P131" i="114" s="1"/>
  <c r="Q124" i="114"/>
  <c r="Q131" i="114" s="1"/>
  <c r="S124" i="114"/>
  <c r="S131" i="114" s="1"/>
  <c r="I125" i="114"/>
  <c r="K125" i="114"/>
  <c r="L125" i="114" s="1"/>
  <c r="O125" i="114"/>
  <c r="P125" i="114"/>
  <c r="S125" i="114"/>
  <c r="I126" i="114"/>
  <c r="I133" i="114" s="1"/>
  <c r="K126" i="114"/>
  <c r="L126" i="114"/>
  <c r="M126" i="114" s="1"/>
  <c r="M133" i="114" s="1"/>
  <c r="O126" i="114"/>
  <c r="O133" i="114" s="1"/>
  <c r="P126" i="114"/>
  <c r="P133" i="114" s="1"/>
  <c r="Q126" i="114"/>
  <c r="Q133" i="114" s="1"/>
  <c r="S126" i="114"/>
  <c r="S133" i="114" s="1"/>
  <c r="I127" i="114"/>
  <c r="K127" i="114"/>
  <c r="L127" i="114" s="1"/>
  <c r="O127" i="114"/>
  <c r="P127" i="114"/>
  <c r="S127" i="114"/>
  <c r="S134" i="114" s="1"/>
  <c r="I128" i="114"/>
  <c r="I135" i="114" s="1"/>
  <c r="K128" i="114"/>
  <c r="L128" i="114"/>
  <c r="M128" i="114" s="1"/>
  <c r="M135" i="114" s="1"/>
  <c r="O128" i="114"/>
  <c r="O135" i="114" s="1"/>
  <c r="P128" i="114"/>
  <c r="P135" i="114" s="1"/>
  <c r="Q128" i="114"/>
  <c r="Q135" i="114" s="1"/>
  <c r="S128" i="114"/>
  <c r="S135" i="114" s="1"/>
  <c r="I129" i="114"/>
  <c r="I136" i="114" s="1"/>
  <c r="K129" i="114"/>
  <c r="L129" i="114" s="1"/>
  <c r="O129" i="114"/>
  <c r="P129" i="114"/>
  <c r="P136" i="114" s="1"/>
  <c r="S129" i="114"/>
  <c r="S136" i="114" s="1"/>
  <c r="H131" i="114"/>
  <c r="J131" i="114"/>
  <c r="K131" i="114"/>
  <c r="N131" i="114"/>
  <c r="H132" i="114"/>
  <c r="I132" i="114"/>
  <c r="J132" i="114"/>
  <c r="N132" i="114"/>
  <c r="O132" i="114"/>
  <c r="P132" i="114"/>
  <c r="S132" i="114"/>
  <c r="H133" i="114"/>
  <c r="J133" i="114"/>
  <c r="K133" i="114"/>
  <c r="N133" i="114"/>
  <c r="H134" i="114"/>
  <c r="I134" i="114"/>
  <c r="J134" i="114"/>
  <c r="N134" i="114"/>
  <c r="O134" i="114"/>
  <c r="P134" i="114"/>
  <c r="H135" i="114"/>
  <c r="J135" i="114"/>
  <c r="K135" i="114"/>
  <c r="N135" i="114"/>
  <c r="H136" i="114"/>
  <c r="J136" i="114"/>
  <c r="N136" i="114"/>
  <c r="O136" i="114"/>
  <c r="I146" i="114"/>
  <c r="I153" i="114" s="1"/>
  <c r="K146" i="114"/>
  <c r="L146" i="114" s="1"/>
  <c r="O146" i="114"/>
  <c r="O153" i="114" s="1"/>
  <c r="P146" i="114"/>
  <c r="P153" i="114" s="1"/>
  <c r="Q146" i="114"/>
  <c r="Q153" i="114" s="1"/>
  <c r="S146" i="114"/>
  <c r="S153" i="114" s="1"/>
  <c r="I147" i="114"/>
  <c r="K147" i="114"/>
  <c r="L147" i="114" s="1"/>
  <c r="O147" i="114"/>
  <c r="O154" i="114" s="1"/>
  <c r="P147" i="114"/>
  <c r="S147" i="114"/>
  <c r="I148" i="114"/>
  <c r="I155" i="114" s="1"/>
  <c r="K148" i="114"/>
  <c r="L148" i="114" s="1"/>
  <c r="O148" i="114"/>
  <c r="O155" i="114" s="1"/>
  <c r="P148" i="114"/>
  <c r="P155" i="114" s="1"/>
  <c r="Q148" i="114"/>
  <c r="Q155" i="114" s="1"/>
  <c r="S148" i="114"/>
  <c r="S155" i="114" s="1"/>
  <c r="I149" i="114"/>
  <c r="K149" i="114"/>
  <c r="L149" i="114" s="1"/>
  <c r="O149" i="114"/>
  <c r="O156" i="114" s="1"/>
  <c r="P149" i="114"/>
  <c r="P156" i="114" s="1"/>
  <c r="S149" i="114"/>
  <c r="I150" i="114"/>
  <c r="I157" i="114" s="1"/>
  <c r="K150" i="114"/>
  <c r="K157" i="114" s="1"/>
  <c r="O150" i="114"/>
  <c r="O157" i="114" s="1"/>
  <c r="P150" i="114"/>
  <c r="P157" i="114" s="1"/>
  <c r="S150" i="114"/>
  <c r="S157" i="114" s="1"/>
  <c r="I151" i="114"/>
  <c r="K151" i="114"/>
  <c r="L151" i="114" s="1"/>
  <c r="O151" i="114"/>
  <c r="O158" i="114" s="1"/>
  <c r="P151" i="114"/>
  <c r="S151" i="114"/>
  <c r="S158" i="114" s="1"/>
  <c r="H153" i="114"/>
  <c r="J153" i="114"/>
  <c r="N153" i="114"/>
  <c r="H154" i="114"/>
  <c r="I154" i="114"/>
  <c r="J154" i="114"/>
  <c r="N154" i="114"/>
  <c r="P154" i="114"/>
  <c r="S154" i="114"/>
  <c r="H155" i="114"/>
  <c r="J155" i="114"/>
  <c r="N155" i="114"/>
  <c r="H156" i="114"/>
  <c r="I156" i="114"/>
  <c r="J156" i="114"/>
  <c r="N156" i="114"/>
  <c r="S156" i="114"/>
  <c r="H157" i="114"/>
  <c r="J157" i="114"/>
  <c r="N157" i="114"/>
  <c r="H158" i="114"/>
  <c r="I158" i="114"/>
  <c r="J158" i="114"/>
  <c r="N158" i="114"/>
  <c r="P158" i="114"/>
  <c r="C8" i="115"/>
  <c r="D8" i="115"/>
  <c r="E8" i="115"/>
  <c r="F8" i="115"/>
  <c r="N13" i="116" s="1"/>
  <c r="O13" i="116" s="1"/>
  <c r="G8" i="115"/>
  <c r="H8" i="115"/>
  <c r="I8" i="115"/>
  <c r="J8" i="115"/>
  <c r="V13" i="116" s="1"/>
  <c r="W13" i="116" s="1"/>
  <c r="K8" i="115"/>
  <c r="L8" i="115"/>
  <c r="M8" i="115"/>
  <c r="J11" i="116"/>
  <c r="K11" i="116" s="1"/>
  <c r="L11" i="116"/>
  <c r="M11" i="116" s="1"/>
  <c r="N11" i="116"/>
  <c r="O11" i="116" s="1"/>
  <c r="P11" i="116"/>
  <c r="Q11" i="116" s="1"/>
  <c r="R11" i="116"/>
  <c r="S11" i="116" s="1"/>
  <c r="T11" i="116"/>
  <c r="U11" i="116" s="1"/>
  <c r="V11" i="116"/>
  <c r="W11" i="116" s="1"/>
  <c r="X11" i="116"/>
  <c r="Y11" i="116" s="1"/>
  <c r="Z11" i="116"/>
  <c r="AA11" i="116" s="1"/>
  <c r="AB11" i="116"/>
  <c r="AC11" i="116" s="1"/>
  <c r="I9" i="103"/>
  <c r="O9" i="103" s="1"/>
  <c r="P9" i="103" s="1"/>
  <c r="N9" i="103"/>
  <c r="Q9" i="103"/>
  <c r="R9" i="103"/>
  <c r="I10" i="103"/>
  <c r="O10" i="103" s="1"/>
  <c r="P10" i="103" s="1"/>
  <c r="N10" i="103"/>
  <c r="Q10" i="103"/>
  <c r="R10" i="103"/>
  <c r="I11" i="103"/>
  <c r="O11" i="103" s="1"/>
  <c r="P11" i="103" s="1"/>
  <c r="N11" i="103"/>
  <c r="Q11" i="103"/>
  <c r="R11" i="103"/>
  <c r="I12" i="103"/>
  <c r="O12" i="103" s="1"/>
  <c r="P12" i="103" s="1"/>
  <c r="N12" i="103"/>
  <c r="Q12" i="103"/>
  <c r="R12" i="103"/>
  <c r="I13" i="103"/>
  <c r="O13" i="103" s="1"/>
  <c r="P13" i="103" s="1"/>
  <c r="N13" i="103"/>
  <c r="Q13" i="103"/>
  <c r="R13" i="103"/>
  <c r="I14" i="103"/>
  <c r="N14" i="103"/>
  <c r="O14" i="103"/>
  <c r="P14" i="103" s="1"/>
  <c r="Q14" i="103"/>
  <c r="R14" i="103"/>
  <c r="I15" i="103"/>
  <c r="N15" i="103"/>
  <c r="O15" i="103" s="1"/>
  <c r="P15" i="103" s="1"/>
  <c r="Q15" i="103"/>
  <c r="R15" i="103"/>
  <c r="F16" i="103"/>
  <c r="G16" i="103"/>
  <c r="H16" i="103"/>
  <c r="J16" i="103"/>
  <c r="K16" i="103"/>
  <c r="R16" i="103" s="1"/>
  <c r="L16" i="103"/>
  <c r="M16" i="103"/>
  <c r="I17" i="103"/>
  <c r="N17" i="103"/>
  <c r="Q17" i="103"/>
  <c r="R17" i="103"/>
  <c r="I18" i="103"/>
  <c r="N18" i="103"/>
  <c r="Q18" i="103"/>
  <c r="R18" i="103"/>
  <c r="I19" i="103"/>
  <c r="N19" i="103"/>
  <c r="Q19" i="103"/>
  <c r="R19" i="103"/>
  <c r="F20" i="103"/>
  <c r="Q20" i="103" s="1"/>
  <c r="G20" i="103"/>
  <c r="H20" i="103"/>
  <c r="J20" i="103"/>
  <c r="K20" i="103"/>
  <c r="L20" i="103"/>
  <c r="M20" i="103"/>
  <c r="I21" i="103"/>
  <c r="O21" i="103" s="1"/>
  <c r="P21" i="103" s="1"/>
  <c r="N21" i="103"/>
  <c r="N26" i="103" s="1"/>
  <c r="Q21" i="103"/>
  <c r="R21" i="103"/>
  <c r="I22" i="103"/>
  <c r="O22" i="103" s="1"/>
  <c r="P22" i="103" s="1"/>
  <c r="N22" i="103"/>
  <c r="Q22" i="103"/>
  <c r="R22" i="103"/>
  <c r="I23" i="103"/>
  <c r="O23" i="103" s="1"/>
  <c r="P23" i="103" s="1"/>
  <c r="N23" i="103"/>
  <c r="Q23" i="103"/>
  <c r="R23" i="103"/>
  <c r="I24" i="103"/>
  <c r="O24" i="103" s="1"/>
  <c r="P24" i="103" s="1"/>
  <c r="N24" i="103"/>
  <c r="Q24" i="103"/>
  <c r="R24" i="103"/>
  <c r="I25" i="103"/>
  <c r="N25" i="103"/>
  <c r="O25" i="103"/>
  <c r="P25" i="103" s="1"/>
  <c r="Q25" i="103"/>
  <c r="R25" i="103"/>
  <c r="F26" i="103"/>
  <c r="G26" i="103"/>
  <c r="H26" i="103"/>
  <c r="J26" i="103"/>
  <c r="K26" i="103"/>
  <c r="L26" i="103"/>
  <c r="M26" i="103"/>
  <c r="R26" i="103"/>
  <c r="I27" i="103"/>
  <c r="N27" i="103"/>
  <c r="O27" i="103" s="1"/>
  <c r="Q27" i="103"/>
  <c r="R27" i="103"/>
  <c r="I28" i="103"/>
  <c r="N28" i="103"/>
  <c r="O28" i="103" s="1"/>
  <c r="P28" i="103" s="1"/>
  <c r="Q28" i="103"/>
  <c r="R28" i="103"/>
  <c r="I29" i="103"/>
  <c r="N29" i="103"/>
  <c r="O29" i="103" s="1"/>
  <c r="P29" i="103" s="1"/>
  <c r="Q29" i="103"/>
  <c r="R29" i="103"/>
  <c r="F30" i="103"/>
  <c r="G30" i="103"/>
  <c r="H30" i="103"/>
  <c r="J30" i="103"/>
  <c r="K30" i="103"/>
  <c r="R30" i="103" s="1"/>
  <c r="L30" i="103"/>
  <c r="M30" i="103"/>
  <c r="Q30" i="103"/>
  <c r="I31" i="103"/>
  <c r="I32" i="103" s="1"/>
  <c r="N31" i="103"/>
  <c r="N32" i="103" s="1"/>
  <c r="Q31" i="103"/>
  <c r="R31" i="103"/>
  <c r="F32" i="103"/>
  <c r="G32" i="103"/>
  <c r="H32" i="103"/>
  <c r="J32" i="103"/>
  <c r="Q32" i="103" s="1"/>
  <c r="K32" i="103"/>
  <c r="L32" i="103"/>
  <c r="M32" i="103"/>
  <c r="R32" i="103"/>
  <c r="B33" i="103"/>
  <c r="I33" i="103"/>
  <c r="N33" i="103"/>
  <c r="Q33" i="103"/>
  <c r="R33" i="103"/>
  <c r="I34" i="103"/>
  <c r="N34" i="103"/>
  <c r="Q34" i="103"/>
  <c r="R34" i="103"/>
  <c r="F35" i="103"/>
  <c r="G35" i="103"/>
  <c r="H35" i="103"/>
  <c r="J35" i="103"/>
  <c r="K35" i="103"/>
  <c r="R35" i="103" s="1"/>
  <c r="L35" i="103"/>
  <c r="M35" i="103"/>
  <c r="Q35" i="103"/>
  <c r="I36" i="103"/>
  <c r="I37" i="103" s="1"/>
  <c r="N36" i="103"/>
  <c r="Q36" i="103"/>
  <c r="R36" i="103"/>
  <c r="F37" i="103"/>
  <c r="G37" i="103"/>
  <c r="H37" i="103"/>
  <c r="J37" i="103"/>
  <c r="Q37" i="103" s="1"/>
  <c r="K37" i="103"/>
  <c r="L37" i="103"/>
  <c r="M37" i="103"/>
  <c r="N37" i="103"/>
  <c r="R37" i="103"/>
  <c r="I38" i="103"/>
  <c r="N38" i="103"/>
  <c r="Q38" i="103"/>
  <c r="R38" i="103"/>
  <c r="I39" i="103"/>
  <c r="N39" i="103"/>
  <c r="Q39" i="103"/>
  <c r="R39" i="103"/>
  <c r="I40" i="103"/>
  <c r="N40" i="103"/>
  <c r="Q40" i="103"/>
  <c r="R40" i="103"/>
  <c r="G41" i="103"/>
  <c r="I41" i="103" s="1"/>
  <c r="O41" i="103" s="1"/>
  <c r="P41" i="103" s="1"/>
  <c r="N41" i="103"/>
  <c r="Q41" i="103"/>
  <c r="R41" i="103"/>
  <c r="I42" i="103"/>
  <c r="N42" i="103"/>
  <c r="Q42" i="103"/>
  <c r="R42" i="103"/>
  <c r="I43" i="103"/>
  <c r="N43" i="103"/>
  <c r="O43" i="103" s="1"/>
  <c r="P43" i="103" s="1"/>
  <c r="Q43" i="103"/>
  <c r="R43" i="103"/>
  <c r="I44" i="103"/>
  <c r="O44" i="103" s="1"/>
  <c r="P44" i="103" s="1"/>
  <c r="N44" i="103"/>
  <c r="Q44" i="103"/>
  <c r="R44" i="103"/>
  <c r="F45" i="103"/>
  <c r="G45" i="103"/>
  <c r="H45" i="103"/>
  <c r="J45" i="103"/>
  <c r="K45" i="103"/>
  <c r="L45" i="103"/>
  <c r="M45" i="103"/>
  <c r="R45" i="103"/>
  <c r="I46" i="103"/>
  <c r="N46" i="103"/>
  <c r="Q46" i="103"/>
  <c r="R46" i="103"/>
  <c r="I47" i="103"/>
  <c r="N47" i="103"/>
  <c r="Q47" i="103"/>
  <c r="R47" i="103"/>
  <c r="F49" i="103"/>
  <c r="G49" i="103"/>
  <c r="H49" i="103"/>
  <c r="J49" i="103"/>
  <c r="K49" i="103"/>
  <c r="L49" i="103"/>
  <c r="M49" i="103"/>
  <c r="Q49" i="103"/>
  <c r="I50" i="103"/>
  <c r="I51" i="103" s="1"/>
  <c r="N50" i="103"/>
  <c r="N51" i="103" s="1"/>
  <c r="Q50" i="103"/>
  <c r="R50" i="103"/>
  <c r="F51" i="103"/>
  <c r="G51" i="103"/>
  <c r="H51" i="103"/>
  <c r="J51" i="103"/>
  <c r="K51" i="103"/>
  <c r="L51" i="103"/>
  <c r="M51" i="103"/>
  <c r="R51" i="103"/>
  <c r="I52" i="103"/>
  <c r="I54" i="103" s="1"/>
  <c r="S54" i="103" s="1"/>
  <c r="N52" i="103"/>
  <c r="N54" i="103" s="1"/>
  <c r="Q52" i="103"/>
  <c r="R52" i="103"/>
  <c r="F54" i="103"/>
  <c r="G54" i="103"/>
  <c r="H54" i="103"/>
  <c r="J54" i="103"/>
  <c r="K54" i="103"/>
  <c r="L54" i="103"/>
  <c r="M54" i="103"/>
  <c r="R54" i="103"/>
  <c r="I55" i="103"/>
  <c r="N55" i="103"/>
  <c r="O55" i="103"/>
  <c r="P55" i="103" s="1"/>
  <c r="Q55" i="103"/>
  <c r="R55" i="103"/>
  <c r="I56" i="103"/>
  <c r="N56" i="103"/>
  <c r="N57" i="103" s="1"/>
  <c r="Q56" i="103"/>
  <c r="R56" i="103"/>
  <c r="F57" i="103"/>
  <c r="G57" i="103"/>
  <c r="H57" i="103"/>
  <c r="J57" i="103"/>
  <c r="K57" i="103"/>
  <c r="R57" i="103" s="1"/>
  <c r="L57" i="103"/>
  <c r="M57" i="103"/>
  <c r="I58" i="103"/>
  <c r="N58" i="103"/>
  <c r="Q58" i="103"/>
  <c r="R58" i="103"/>
  <c r="S58" i="103"/>
  <c r="F59" i="103"/>
  <c r="R59" i="103" s="1"/>
  <c r="G59" i="103"/>
  <c r="H59" i="103"/>
  <c r="I59" i="103"/>
  <c r="S59" i="103" s="1"/>
  <c r="J59" i="103"/>
  <c r="Q59" i="103" s="1"/>
  <c r="K59" i="103"/>
  <c r="L59" i="103"/>
  <c r="M59" i="103"/>
  <c r="N59" i="103"/>
  <c r="I60" i="103"/>
  <c r="S60" i="103" s="1"/>
  <c r="N60" i="103"/>
  <c r="N61" i="103" s="1"/>
  <c r="Q60" i="103"/>
  <c r="R60" i="103"/>
  <c r="F61" i="103"/>
  <c r="G61" i="103"/>
  <c r="H61" i="103"/>
  <c r="J61" i="103"/>
  <c r="Q61" i="103" s="1"/>
  <c r="K61" i="103"/>
  <c r="R61" i="103" s="1"/>
  <c r="L61" i="103"/>
  <c r="M61" i="103"/>
  <c r="I62" i="103"/>
  <c r="N62" i="103"/>
  <c r="Q62" i="103"/>
  <c r="R62" i="103"/>
  <c r="S62" i="103"/>
  <c r="F63" i="103"/>
  <c r="R63" i="103" s="1"/>
  <c r="G63" i="103"/>
  <c r="H63" i="103"/>
  <c r="I63" i="103"/>
  <c r="J63" i="103"/>
  <c r="Q63" i="103" s="1"/>
  <c r="K63" i="103"/>
  <c r="L63" i="103"/>
  <c r="M63" i="103"/>
  <c r="N63" i="103"/>
  <c r="I64" i="103"/>
  <c r="N64" i="103"/>
  <c r="O64" i="103" s="1"/>
  <c r="P64" i="103" s="1"/>
  <c r="Q64" i="103"/>
  <c r="R64" i="103"/>
  <c r="I65" i="103"/>
  <c r="O65" i="103" s="1"/>
  <c r="P65" i="103" s="1"/>
  <c r="N65" i="103"/>
  <c r="Q65" i="103"/>
  <c r="R65" i="103"/>
  <c r="I66" i="103"/>
  <c r="O66" i="103" s="1"/>
  <c r="P66" i="103" s="1"/>
  <c r="N66" i="103"/>
  <c r="Q66" i="103"/>
  <c r="R66" i="103"/>
  <c r="I67" i="103"/>
  <c r="O67" i="103" s="1"/>
  <c r="P67" i="103" s="1"/>
  <c r="N67" i="103"/>
  <c r="Q67" i="103"/>
  <c r="R67" i="103"/>
  <c r="I68" i="103"/>
  <c r="O68" i="103" s="1"/>
  <c r="P68" i="103" s="1"/>
  <c r="N68" i="103"/>
  <c r="Q68" i="103"/>
  <c r="R68" i="103"/>
  <c r="I69" i="103"/>
  <c r="O69" i="103" s="1"/>
  <c r="P69" i="103" s="1"/>
  <c r="N69" i="103"/>
  <c r="Q69" i="103"/>
  <c r="R69" i="103"/>
  <c r="I70" i="103"/>
  <c r="O70" i="103" s="1"/>
  <c r="P70" i="103" s="1"/>
  <c r="N70" i="103"/>
  <c r="Q70" i="103"/>
  <c r="R70" i="103"/>
  <c r="F71" i="103"/>
  <c r="G71" i="103"/>
  <c r="H71" i="103"/>
  <c r="J71" i="103"/>
  <c r="Q71" i="103" s="1"/>
  <c r="K71" i="103"/>
  <c r="L71" i="103"/>
  <c r="M71" i="103"/>
  <c r="R71" i="103"/>
  <c r="I72" i="103"/>
  <c r="N72" i="103"/>
  <c r="O72" i="103" s="1"/>
  <c r="Q72" i="103"/>
  <c r="R72" i="103"/>
  <c r="S72" i="103"/>
  <c r="F73" i="103"/>
  <c r="R73" i="103" s="1"/>
  <c r="G73" i="103"/>
  <c r="S73" i="103" s="1"/>
  <c r="H73" i="103"/>
  <c r="I73" i="103"/>
  <c r="J73" i="103"/>
  <c r="Q73" i="103" s="1"/>
  <c r="K73" i="103"/>
  <c r="L73" i="103"/>
  <c r="M73" i="103"/>
  <c r="N73" i="103"/>
  <c r="B74" i="103"/>
  <c r="I74" i="103"/>
  <c r="N74" i="103"/>
  <c r="O74" i="103" s="1"/>
  <c r="Q74" i="103"/>
  <c r="R74" i="103"/>
  <c r="S74" i="103"/>
  <c r="F75" i="103"/>
  <c r="R75" i="103" s="1"/>
  <c r="G75" i="103"/>
  <c r="H75" i="103"/>
  <c r="I75" i="103"/>
  <c r="J75" i="103"/>
  <c r="Q75" i="103" s="1"/>
  <c r="K75" i="103"/>
  <c r="L75" i="103"/>
  <c r="M75" i="103"/>
  <c r="N75" i="103"/>
  <c r="B76" i="103"/>
  <c r="I76" i="103"/>
  <c r="N76" i="103"/>
  <c r="Q76" i="103"/>
  <c r="R76" i="103"/>
  <c r="S76" i="103"/>
  <c r="F77" i="103"/>
  <c r="G77" i="103"/>
  <c r="H77" i="103"/>
  <c r="I77" i="103"/>
  <c r="J77" i="103"/>
  <c r="Q77" i="103" s="1"/>
  <c r="K77" i="103"/>
  <c r="L77" i="103"/>
  <c r="M77" i="103"/>
  <c r="N77" i="103"/>
  <c r="R77" i="103"/>
  <c r="B78" i="103"/>
  <c r="I78" i="103"/>
  <c r="N78" i="103"/>
  <c r="Q78" i="103"/>
  <c r="R78" i="103"/>
  <c r="I79" i="103"/>
  <c r="N79" i="103"/>
  <c r="Q79" i="103"/>
  <c r="R79" i="103"/>
  <c r="S79" i="103"/>
  <c r="F80" i="103"/>
  <c r="G80" i="103"/>
  <c r="S80" i="103" s="1"/>
  <c r="H80" i="103"/>
  <c r="I80" i="103"/>
  <c r="J80" i="103"/>
  <c r="Q80" i="103" s="1"/>
  <c r="K80" i="103"/>
  <c r="L80" i="103"/>
  <c r="M80" i="103"/>
  <c r="N80" i="103"/>
  <c r="R80" i="103"/>
  <c r="I81" i="103"/>
  <c r="I82" i="103" s="1"/>
  <c r="N81" i="103"/>
  <c r="N82" i="103" s="1"/>
  <c r="O81" i="103"/>
  <c r="P81" i="103" s="1"/>
  <c r="Q81" i="103"/>
  <c r="R81" i="103"/>
  <c r="F82" i="103"/>
  <c r="G82" i="103"/>
  <c r="H82" i="103"/>
  <c r="J82" i="103"/>
  <c r="K82" i="103"/>
  <c r="L82" i="103"/>
  <c r="M82" i="103"/>
  <c r="R82" i="103"/>
  <c r="I83" i="103"/>
  <c r="I84" i="103" s="1"/>
  <c r="N83" i="103"/>
  <c r="O83" i="103" s="1"/>
  <c r="Q83" i="103"/>
  <c r="R83" i="103"/>
  <c r="F84" i="103"/>
  <c r="G84" i="103"/>
  <c r="H84" i="103"/>
  <c r="J84" i="103"/>
  <c r="K84" i="103"/>
  <c r="R84" i="103" s="1"/>
  <c r="L84" i="103"/>
  <c r="M84" i="103"/>
  <c r="Q84" i="103"/>
  <c r="I85" i="103"/>
  <c r="I86" i="103" s="1"/>
  <c r="N85" i="103"/>
  <c r="N86" i="103" s="1"/>
  <c r="Q85" i="103"/>
  <c r="R85" i="103"/>
  <c r="F86" i="103"/>
  <c r="G86" i="103"/>
  <c r="H86" i="103"/>
  <c r="J86" i="103"/>
  <c r="Q86" i="103" s="1"/>
  <c r="K86" i="103"/>
  <c r="L86" i="103"/>
  <c r="M86" i="103"/>
  <c r="R86" i="103"/>
  <c r="I87" i="103"/>
  <c r="N87" i="103"/>
  <c r="Q87" i="103"/>
  <c r="R87" i="103"/>
  <c r="S87" i="103"/>
  <c r="F88" i="103"/>
  <c r="R88" i="103" s="1"/>
  <c r="G88" i="103"/>
  <c r="H88" i="103"/>
  <c r="I88" i="103"/>
  <c r="J88" i="103"/>
  <c r="Q88" i="103" s="1"/>
  <c r="K88" i="103"/>
  <c r="L88" i="103"/>
  <c r="M88" i="103"/>
  <c r="N88" i="103"/>
  <c r="B89" i="103"/>
  <c r="I89" i="103"/>
  <c r="N89" i="103"/>
  <c r="Q89" i="103"/>
  <c r="R89" i="103"/>
  <c r="I90" i="103"/>
  <c r="N90" i="103"/>
  <c r="Q90" i="103"/>
  <c r="R90" i="103"/>
  <c r="I91" i="103"/>
  <c r="N91" i="103"/>
  <c r="Q91" i="103"/>
  <c r="R91" i="103"/>
  <c r="I92" i="103"/>
  <c r="N92" i="103"/>
  <c r="Q92" i="103"/>
  <c r="R92" i="103"/>
  <c r="I93" i="103"/>
  <c r="N93" i="103"/>
  <c r="Q93" i="103"/>
  <c r="R93" i="103"/>
  <c r="I94" i="103"/>
  <c r="N94" i="103"/>
  <c r="Q94" i="103"/>
  <c r="R94" i="103"/>
  <c r="S94" i="103"/>
  <c r="F96" i="103"/>
  <c r="R96" i="103" s="1"/>
  <c r="G96" i="103"/>
  <c r="H96" i="103"/>
  <c r="I96" i="103"/>
  <c r="J96" i="103"/>
  <c r="Q96" i="103" s="1"/>
  <c r="K96" i="103"/>
  <c r="L96" i="103"/>
  <c r="M96" i="103"/>
  <c r="N96" i="103"/>
  <c r="I97" i="103"/>
  <c r="I98" i="103" s="1"/>
  <c r="N97" i="103"/>
  <c r="Q97" i="103"/>
  <c r="R97" i="103"/>
  <c r="F98" i="103"/>
  <c r="G98" i="103"/>
  <c r="H98" i="103"/>
  <c r="J98" i="103"/>
  <c r="K98" i="103"/>
  <c r="R98" i="103" s="1"/>
  <c r="L98" i="103"/>
  <c r="M98" i="103"/>
  <c r="Q98" i="103"/>
  <c r="I99" i="103"/>
  <c r="O99" i="103" s="1"/>
  <c r="N99" i="103"/>
  <c r="N102" i="103" s="1"/>
  <c r="Q99" i="103"/>
  <c r="R99" i="103"/>
  <c r="S99" i="103"/>
  <c r="F102" i="103"/>
  <c r="G102" i="103"/>
  <c r="H102" i="103"/>
  <c r="I102" i="103"/>
  <c r="J102" i="103"/>
  <c r="K102" i="103"/>
  <c r="R102" i="103" s="1"/>
  <c r="L102" i="103"/>
  <c r="M102" i="103"/>
  <c r="Q102" i="103"/>
  <c r="S102" i="103"/>
  <c r="I103" i="103"/>
  <c r="N103" i="103"/>
  <c r="Q103" i="103"/>
  <c r="R103" i="103"/>
  <c r="F104" i="103"/>
  <c r="G104" i="103"/>
  <c r="H104" i="103"/>
  <c r="I104" i="103"/>
  <c r="J104" i="103"/>
  <c r="K104" i="103"/>
  <c r="L104" i="103"/>
  <c r="M104" i="103"/>
  <c r="Q104" i="103"/>
  <c r="S107" i="103"/>
  <c r="S108" i="103"/>
  <c r="S109" i="103"/>
  <c r="S110" i="103"/>
  <c r="S112" i="103"/>
  <c r="S122" i="103"/>
  <c r="S125" i="103"/>
  <c r="S126" i="103"/>
  <c r="S127" i="103"/>
  <c r="S130" i="103"/>
  <c r="S133" i="103"/>
  <c r="S144" i="103"/>
  <c r="S145" i="103"/>
  <c r="S146" i="103"/>
  <c r="S148" i="103"/>
  <c r="F200" i="103"/>
  <c r="G200" i="103"/>
  <c r="H200" i="103"/>
  <c r="I200" i="103"/>
  <c r="J200" i="103"/>
  <c r="K200" i="103"/>
  <c r="L200" i="103"/>
  <c r="M200" i="103"/>
  <c r="N200" i="103"/>
  <c r="O200" i="103"/>
  <c r="E202" i="103"/>
  <c r="E204" i="103"/>
  <c r="S207" i="103"/>
  <c r="BE48" i="79"/>
  <c r="BF48" i="79" s="1"/>
  <c r="BE5" i="79"/>
  <c r="BF5" i="79" s="1"/>
  <c r="BE12" i="79"/>
  <c r="BF12" i="79" s="1"/>
  <c r="BE50" i="79"/>
  <c r="BF50" i="79" s="1"/>
  <c r="Z1" i="79"/>
  <c r="BE10" i="79"/>
  <c r="BF10" i="79" s="1"/>
  <c r="BE32" i="79"/>
  <c r="BF32" i="79" s="1"/>
  <c r="BE24" i="79"/>
  <c r="BF24" i="79" s="1"/>
  <c r="BE14" i="79"/>
  <c r="BF14" i="79" s="1"/>
  <c r="BE15" i="79"/>
  <c r="BF15" i="79" s="1"/>
  <c r="BE16" i="79"/>
  <c r="BF16" i="79" s="1"/>
  <c r="BE53" i="79"/>
  <c r="BF53" i="79" s="1"/>
  <c r="BE18" i="79"/>
  <c r="BF18" i="79" s="1"/>
  <c r="BE22" i="79"/>
  <c r="BF22" i="79" s="1"/>
  <c r="BE36" i="79"/>
  <c r="BF36" i="79" s="1"/>
  <c r="BE23" i="79"/>
  <c r="BF23" i="79" s="1"/>
  <c r="BE37" i="79"/>
  <c r="BF37" i="79" s="1"/>
  <c r="BE54" i="79"/>
  <c r="BF54" i="79" s="1"/>
  <c r="BE56" i="79"/>
  <c r="BF56" i="79" s="1"/>
  <c r="BE40" i="79"/>
  <c r="BF40" i="79" s="1"/>
  <c r="W50" i="102"/>
  <c r="V8" i="11"/>
  <c r="W8" i="11"/>
  <c r="X8" i="11"/>
  <c r="Y8" i="11"/>
  <c r="V9" i="11"/>
  <c r="W9" i="11"/>
  <c r="X9" i="11"/>
  <c r="Y9" i="11"/>
  <c r="D15" i="11"/>
  <c r="G19" i="11" s="1"/>
  <c r="F25" i="11"/>
  <c r="G25" i="11"/>
  <c r="D31" i="11"/>
  <c r="R74" i="111" s="1"/>
  <c r="D46" i="11"/>
  <c r="D47" i="11"/>
  <c r="D48" i="11"/>
  <c r="D49" i="11"/>
  <c r="D50" i="11"/>
  <c r="D51" i="11"/>
  <c r="D52" i="11"/>
  <c r="D53" i="11"/>
  <c r="D54" i="11"/>
  <c r="D57" i="11"/>
  <c r="D58" i="11"/>
  <c r="E63" i="11"/>
  <c r="F64" i="11"/>
  <c r="H64" i="11" s="1"/>
  <c r="H66" i="11"/>
  <c r="E67" i="11"/>
  <c r="H67" i="11"/>
  <c r="E69" i="11"/>
  <c r="H72" i="11"/>
  <c r="F77" i="11"/>
  <c r="G77" i="11"/>
  <c r="F78" i="11"/>
  <c r="G78" i="11"/>
  <c r="D79" i="11"/>
  <c r="G79" i="11" s="1"/>
  <c r="D80" i="11"/>
  <c r="G80" i="11" s="1"/>
  <c r="F80" i="11"/>
  <c r="F81" i="11"/>
  <c r="F82" i="11"/>
  <c r="F86" i="11"/>
  <c r="G86" i="11"/>
  <c r="F87" i="11"/>
  <c r="G87" i="11"/>
  <c r="D88" i="11"/>
  <c r="D89" i="11" s="1"/>
  <c r="F88" i="11"/>
  <c r="F89" i="11"/>
  <c r="E90" i="11"/>
  <c r="F90" i="11"/>
  <c r="E91" i="11"/>
  <c r="F91" i="11"/>
  <c r="D96" i="11"/>
  <c r="D111" i="11"/>
  <c r="D113" i="11"/>
  <c r="D114" i="11"/>
  <c r="D115" i="11"/>
  <c r="D116" i="11"/>
  <c r="D127" i="11"/>
  <c r="D101" i="11" s="1"/>
  <c r="D136" i="11"/>
  <c r="D138" i="11"/>
  <c r="D139" i="11" s="1"/>
  <c r="D95" i="11" s="1"/>
  <c r="D143" i="11"/>
  <c r="D148" i="11"/>
  <c r="E160" i="11"/>
  <c r="E166" i="11" s="1"/>
  <c r="D142" i="11" s="1"/>
  <c r="D182" i="11"/>
  <c r="D145" i="11" s="1"/>
  <c r="D189" i="11"/>
  <c r="D190" i="11"/>
  <c r="D191" i="11"/>
  <c r="D192" i="11"/>
  <c r="D197" i="11"/>
  <c r="D202" i="11" s="1"/>
  <c r="D220" i="11"/>
  <c r="C91" i="120" s="1"/>
  <c r="D221" i="11"/>
  <c r="D235" i="11"/>
  <c r="C2" i="104"/>
  <c r="D2" i="104" s="1"/>
  <c r="C3" i="104"/>
  <c r="D3" i="104" s="1"/>
  <c r="C4" i="104"/>
  <c r="D4" i="104" s="1"/>
  <c r="C5" i="104"/>
  <c r="D5" i="104" s="1"/>
  <c r="C6" i="104"/>
  <c r="D6" i="104" s="1"/>
  <c r="C7" i="104"/>
  <c r="D7" i="104" s="1"/>
  <c r="C8" i="104"/>
  <c r="D8" i="104" s="1"/>
  <c r="C9" i="104"/>
  <c r="D9" i="104" s="1"/>
  <c r="C10" i="104"/>
  <c r="D10" i="104" s="1"/>
  <c r="C11" i="104"/>
  <c r="D11" i="104" s="1"/>
  <c r="C12" i="104"/>
  <c r="D12" i="104" s="1"/>
  <c r="C13" i="104"/>
  <c r="D13" i="104" s="1"/>
  <c r="C14" i="104"/>
  <c r="D14" i="104" s="1"/>
  <c r="C15" i="104"/>
  <c r="D15" i="104" s="1"/>
  <c r="C16" i="104"/>
  <c r="D16" i="104" s="1"/>
  <c r="C17" i="104"/>
  <c r="D17" i="104" s="1"/>
  <c r="C18" i="104"/>
  <c r="D18" i="104" s="1"/>
  <c r="C19" i="104"/>
  <c r="D19" i="104" s="1"/>
  <c r="C20" i="104"/>
  <c r="D20" i="104" s="1"/>
  <c r="C21" i="104"/>
  <c r="D21" i="104" s="1"/>
  <c r="C22" i="104"/>
  <c r="D22" i="104" s="1"/>
  <c r="C23" i="104"/>
  <c r="D23" i="104" s="1"/>
  <c r="C24" i="104"/>
  <c r="D24" i="104" s="1"/>
  <c r="C25" i="104"/>
  <c r="D25" i="104" s="1"/>
  <c r="C26" i="104"/>
  <c r="D26" i="104" s="1"/>
  <c r="C27" i="104"/>
  <c r="D27" i="104" s="1"/>
  <c r="C28" i="104"/>
  <c r="D28" i="104" s="1"/>
  <c r="C29" i="104"/>
  <c r="D29" i="104" s="1"/>
  <c r="C30" i="104"/>
  <c r="D30" i="104" s="1"/>
  <c r="C31" i="104"/>
  <c r="D31" i="104" s="1"/>
  <c r="C32" i="104"/>
  <c r="D32" i="104" s="1"/>
  <c r="C33" i="104"/>
  <c r="D33" i="104" s="1"/>
  <c r="C34" i="104"/>
  <c r="D34" i="104" s="1"/>
  <c r="C35" i="104"/>
  <c r="D35" i="104" s="1"/>
  <c r="C36" i="104"/>
  <c r="D36" i="104" s="1"/>
  <c r="C37" i="104"/>
  <c r="D37" i="104" s="1"/>
  <c r="C38" i="104"/>
  <c r="D38" i="104" s="1"/>
  <c r="C39" i="104"/>
  <c r="D39" i="104" s="1"/>
  <c r="C40" i="104"/>
  <c r="D40" i="104" s="1"/>
  <c r="C41" i="104"/>
  <c r="D41" i="104" s="1"/>
  <c r="C42" i="104"/>
  <c r="D42" i="104" s="1"/>
  <c r="C43" i="104"/>
  <c r="D43" i="104" s="1"/>
  <c r="C44" i="104"/>
  <c r="D44" i="104" s="1"/>
  <c r="C45" i="104"/>
  <c r="D45" i="104" s="1"/>
  <c r="C46" i="104"/>
  <c r="D46" i="104" s="1"/>
  <c r="C47" i="104"/>
  <c r="D47" i="104" s="1"/>
  <c r="C48" i="104"/>
  <c r="D48" i="104" s="1"/>
  <c r="C49" i="104"/>
  <c r="D49" i="104" s="1"/>
  <c r="C50" i="104"/>
  <c r="D50" i="104" s="1"/>
  <c r="C51" i="104"/>
  <c r="D51" i="104" s="1"/>
  <c r="C52" i="104"/>
  <c r="D52" i="104" s="1"/>
  <c r="C53" i="104"/>
  <c r="D53" i="104" s="1"/>
  <c r="C54" i="104"/>
  <c r="D54" i="104" s="1"/>
  <c r="C55" i="104"/>
  <c r="D55" i="104" s="1"/>
  <c r="C56" i="104"/>
  <c r="D56" i="104" s="1"/>
  <c r="C57" i="104"/>
  <c r="D57" i="104" s="1"/>
  <c r="C58" i="104"/>
  <c r="D58" i="104" s="1"/>
  <c r="C59" i="104"/>
  <c r="D59" i="104" s="1"/>
  <c r="C60" i="104"/>
  <c r="D60" i="104" s="1"/>
  <c r="C61" i="104"/>
  <c r="D61" i="104" s="1"/>
  <c r="C62" i="104"/>
  <c r="D62" i="104" s="1"/>
  <c r="C63" i="104"/>
  <c r="D63" i="104" s="1"/>
  <c r="C64" i="104"/>
  <c r="D64" i="104" s="1"/>
  <c r="C65" i="104"/>
  <c r="D65" i="104" s="1"/>
  <c r="C66" i="104"/>
  <c r="D66" i="104" s="1"/>
  <c r="C67" i="104"/>
  <c r="D67" i="104" s="1"/>
  <c r="C68" i="104"/>
  <c r="D68" i="104" s="1"/>
  <c r="C69" i="104"/>
  <c r="D69" i="104" s="1"/>
  <c r="C70" i="104"/>
  <c r="D70" i="104" s="1"/>
  <c r="C71" i="104"/>
  <c r="D71" i="104" s="1"/>
  <c r="C72" i="104"/>
  <c r="D72" i="104" s="1"/>
  <c r="C73" i="104"/>
  <c r="D73" i="104" s="1"/>
  <c r="C74" i="104"/>
  <c r="D74" i="104" s="1"/>
  <c r="C75" i="104"/>
  <c r="D75" i="104" s="1"/>
  <c r="C76" i="104"/>
  <c r="D76" i="104" s="1"/>
  <c r="C77" i="104"/>
  <c r="D77" i="104" s="1"/>
  <c r="C78" i="104"/>
  <c r="D78" i="104" s="1"/>
  <c r="C79" i="104"/>
  <c r="D79" i="104" s="1"/>
  <c r="C80" i="104"/>
  <c r="D80" i="104" s="1"/>
  <c r="C81" i="104"/>
  <c r="D81" i="104" s="1"/>
  <c r="C82" i="104"/>
  <c r="D82" i="104" s="1"/>
  <c r="C83" i="104"/>
  <c r="D83" i="104" s="1"/>
  <c r="C84" i="104"/>
  <c r="D84" i="104" s="1"/>
  <c r="C85" i="104"/>
  <c r="D85" i="104" s="1"/>
  <c r="C86" i="104"/>
  <c r="D86" i="104" s="1"/>
  <c r="C87" i="104"/>
  <c r="D87" i="104" s="1"/>
  <c r="C88" i="104"/>
  <c r="D88" i="104" s="1"/>
  <c r="C89" i="104"/>
  <c r="D89" i="104" s="1"/>
  <c r="C90" i="104"/>
  <c r="D90" i="104" s="1"/>
  <c r="C91" i="104"/>
  <c r="D91" i="104" s="1"/>
  <c r="C92" i="104"/>
  <c r="D92" i="104" s="1"/>
  <c r="C93" i="104"/>
  <c r="D93" i="104" s="1"/>
  <c r="C94" i="104"/>
  <c r="D94" i="104" s="1"/>
  <c r="C95" i="104"/>
  <c r="D95" i="104" s="1"/>
  <c r="C96" i="104"/>
  <c r="D96" i="104" s="1"/>
  <c r="C97" i="104"/>
  <c r="D97" i="104" s="1"/>
  <c r="C98" i="104"/>
  <c r="D98" i="104" s="1"/>
  <c r="C99" i="104"/>
  <c r="D99" i="104" s="1"/>
  <c r="C100" i="104"/>
  <c r="D100" i="104" s="1"/>
  <c r="C101" i="104"/>
  <c r="D101" i="104" s="1"/>
  <c r="C102" i="104"/>
  <c r="D102" i="104" s="1"/>
  <c r="C103" i="104"/>
  <c r="D103" i="104" s="1"/>
  <c r="C104" i="104"/>
  <c r="D104" i="104" s="1"/>
  <c r="C105" i="104"/>
  <c r="D105" i="104" s="1"/>
  <c r="C106" i="104"/>
  <c r="D106" i="104" s="1"/>
  <c r="C107" i="104"/>
  <c r="D107" i="104" s="1"/>
  <c r="C108" i="104"/>
  <c r="D108" i="104" s="1"/>
  <c r="C109" i="104"/>
  <c r="D109" i="104" s="1"/>
  <c r="C110" i="104"/>
  <c r="D110" i="104" s="1"/>
  <c r="C111" i="104"/>
  <c r="D111" i="104" s="1"/>
  <c r="C112" i="104"/>
  <c r="D112" i="104" s="1"/>
  <c r="C113" i="104"/>
  <c r="D113" i="104" s="1"/>
  <c r="C114" i="104"/>
  <c r="D114" i="104" s="1"/>
  <c r="C115" i="104"/>
  <c r="D115" i="104" s="1"/>
  <c r="C116" i="104"/>
  <c r="D116" i="104" s="1"/>
  <c r="C117" i="104"/>
  <c r="D117" i="104" s="1"/>
  <c r="C118" i="104"/>
  <c r="D118" i="104" s="1"/>
  <c r="C119" i="104"/>
  <c r="D119" i="104" s="1"/>
  <c r="C120" i="104"/>
  <c r="D120" i="104" s="1"/>
  <c r="C121" i="104"/>
  <c r="D121" i="104" s="1"/>
  <c r="C122" i="104"/>
  <c r="D122" i="104" s="1"/>
  <c r="C123" i="104"/>
  <c r="D123" i="104" s="1"/>
  <c r="C124" i="104"/>
  <c r="D124" i="104" s="1"/>
  <c r="C125" i="104"/>
  <c r="D125" i="104" s="1"/>
  <c r="C126" i="104"/>
  <c r="D126" i="104" s="1"/>
  <c r="C127" i="104"/>
  <c r="D127" i="104" s="1"/>
  <c r="C128" i="104"/>
  <c r="D128" i="104" s="1"/>
  <c r="C129" i="104"/>
  <c r="D129" i="104" s="1"/>
  <c r="C130" i="104"/>
  <c r="D130" i="104" s="1"/>
  <c r="C131" i="104"/>
  <c r="D131" i="104" s="1"/>
  <c r="C132" i="104"/>
  <c r="D132" i="104" s="1"/>
  <c r="C133" i="104"/>
  <c r="D133" i="104" s="1"/>
  <c r="C134" i="104"/>
  <c r="D134" i="104" s="1"/>
  <c r="C135" i="104"/>
  <c r="D135" i="104" s="1"/>
  <c r="C136" i="104"/>
  <c r="D136" i="104" s="1"/>
  <c r="C137" i="104"/>
  <c r="D137" i="104" s="1"/>
  <c r="C138" i="104"/>
  <c r="D138" i="104" s="1"/>
  <c r="C139" i="104"/>
  <c r="D139" i="104" s="1"/>
  <c r="C140" i="104"/>
  <c r="D140" i="104" s="1"/>
  <c r="C141" i="104"/>
  <c r="D141" i="104" s="1"/>
  <c r="C142" i="104"/>
  <c r="D142" i="104" s="1"/>
  <c r="C143" i="104"/>
  <c r="D143" i="104" s="1"/>
  <c r="C144" i="104"/>
  <c r="D144" i="104" s="1"/>
  <c r="C145" i="104"/>
  <c r="D145" i="104" s="1"/>
  <c r="C146" i="104"/>
  <c r="D146" i="104" s="1"/>
  <c r="C147" i="104"/>
  <c r="D147" i="104" s="1"/>
  <c r="C148" i="104"/>
  <c r="D148" i="104" s="1"/>
  <c r="C149" i="104"/>
  <c r="D149" i="104" s="1"/>
  <c r="C150" i="104"/>
  <c r="D150" i="104" s="1"/>
  <c r="C151" i="104"/>
  <c r="D151" i="104" s="1"/>
  <c r="C152" i="104"/>
  <c r="D152" i="104" s="1"/>
  <c r="C153" i="104"/>
  <c r="D153" i="104" s="1"/>
  <c r="C154" i="104"/>
  <c r="D154" i="104" s="1"/>
  <c r="C155" i="104"/>
  <c r="D155" i="104" s="1"/>
  <c r="C156" i="104"/>
  <c r="D156" i="104" s="1"/>
  <c r="C157" i="104"/>
  <c r="D157" i="104" s="1"/>
  <c r="C158" i="104"/>
  <c r="D158" i="104" s="1"/>
  <c r="C159" i="104"/>
  <c r="D159" i="104" s="1"/>
  <c r="C160" i="104"/>
  <c r="D160" i="104" s="1"/>
  <c r="C161" i="104"/>
  <c r="D161" i="104" s="1"/>
  <c r="C162" i="104"/>
  <c r="D162" i="104" s="1"/>
  <c r="C163" i="104"/>
  <c r="D163" i="104" s="1"/>
  <c r="C164" i="104"/>
  <c r="D164" i="104" s="1"/>
  <c r="C165" i="104"/>
  <c r="D165" i="104" s="1"/>
  <c r="C166" i="104"/>
  <c r="D166" i="104" s="1"/>
  <c r="C167" i="104"/>
  <c r="D167" i="104" s="1"/>
  <c r="C168" i="104"/>
  <c r="D168" i="104" s="1"/>
  <c r="C169" i="104"/>
  <c r="D169" i="104" s="1"/>
  <c r="C170" i="104"/>
  <c r="D170" i="104" s="1"/>
  <c r="C171" i="104"/>
  <c r="D171" i="104" s="1"/>
  <c r="C172" i="104"/>
  <c r="D172" i="104" s="1"/>
  <c r="C173" i="104"/>
  <c r="D173" i="104" s="1"/>
  <c r="C174" i="104"/>
  <c r="D174" i="104" s="1"/>
  <c r="C175" i="104"/>
  <c r="D175" i="104" s="1"/>
  <c r="C176" i="104"/>
  <c r="D176" i="104" s="1"/>
  <c r="C177" i="104"/>
  <c r="D177" i="104" s="1"/>
  <c r="C178" i="104"/>
  <c r="D178" i="104" s="1"/>
  <c r="C179" i="104"/>
  <c r="D179" i="104" s="1"/>
  <c r="C180" i="104"/>
  <c r="D180" i="104" s="1"/>
  <c r="C181" i="104"/>
  <c r="D181" i="104" s="1"/>
  <c r="C182" i="104"/>
  <c r="D182" i="104" s="1"/>
  <c r="C183" i="104"/>
  <c r="D183" i="104" s="1"/>
  <c r="C184" i="104"/>
  <c r="D184" i="104" s="1"/>
  <c r="C185" i="104"/>
  <c r="D185" i="104" s="1"/>
  <c r="C186" i="104"/>
  <c r="D186" i="104" s="1"/>
  <c r="C187" i="104"/>
  <c r="D187" i="104" s="1"/>
  <c r="C188" i="104"/>
  <c r="D188" i="104" s="1"/>
  <c r="C189" i="104"/>
  <c r="D189" i="104" s="1"/>
  <c r="C190" i="104"/>
  <c r="D190" i="104" s="1"/>
  <c r="C191" i="104"/>
  <c r="D191" i="104" s="1"/>
  <c r="C192" i="104"/>
  <c r="D192" i="104" s="1"/>
  <c r="C193" i="104"/>
  <c r="D193" i="104" s="1"/>
  <c r="C194" i="104"/>
  <c r="D194" i="104" s="1"/>
  <c r="C195" i="104"/>
  <c r="D195" i="104" s="1"/>
  <c r="C196" i="104"/>
  <c r="D196" i="104" s="1"/>
  <c r="C197" i="104"/>
  <c r="D197" i="104" s="1"/>
  <c r="C198" i="104"/>
  <c r="D198" i="104" s="1"/>
  <c r="C199" i="104"/>
  <c r="D199" i="104" s="1"/>
  <c r="C200" i="104"/>
  <c r="D200" i="104" s="1"/>
  <c r="C201" i="104"/>
  <c r="D201" i="104" s="1"/>
  <c r="C202" i="104"/>
  <c r="D202" i="104" s="1"/>
  <c r="AT6" i="111"/>
  <c r="AT24" i="111" s="1"/>
  <c r="R48" i="120"/>
  <c r="AM48" i="120"/>
  <c r="Q48" i="120"/>
  <c r="AZ48" i="120"/>
  <c r="AJ48" i="120"/>
  <c r="W48" i="120"/>
  <c r="AR48" i="120"/>
  <c r="AC48" i="120"/>
  <c r="T48" i="120"/>
  <c r="BA48" i="120"/>
  <c r="AD48" i="120"/>
  <c r="P48" i="120"/>
  <c r="D5" i="120"/>
  <c r="D89" i="120" s="1"/>
  <c r="F5" i="120"/>
  <c r="F89" i="120" s="1"/>
  <c r="H5" i="120"/>
  <c r="H89" i="120" s="1"/>
  <c r="H92" i="120" s="1"/>
  <c r="J5" i="120"/>
  <c r="J89" i="120" s="1"/>
  <c r="L5" i="120"/>
  <c r="L89" i="120" s="1"/>
  <c r="N5" i="120"/>
  <c r="N89" i="120" s="1"/>
  <c r="P5" i="120"/>
  <c r="P89" i="120" s="1"/>
  <c r="R5" i="120"/>
  <c r="R89" i="120" s="1"/>
  <c r="T5" i="120"/>
  <c r="T89" i="120" s="1"/>
  <c r="V5" i="120"/>
  <c r="V89" i="120" s="1"/>
  <c r="X5" i="120"/>
  <c r="X89" i="120" s="1"/>
  <c r="Z5" i="120"/>
  <c r="Z89" i="120" s="1"/>
  <c r="AB5" i="120"/>
  <c r="AB89" i="120" s="1"/>
  <c r="AD5" i="120"/>
  <c r="AD89" i="120" s="1"/>
  <c r="AF5" i="120"/>
  <c r="AF89" i="120" s="1"/>
  <c r="AH5" i="120"/>
  <c r="AH89" i="120" s="1"/>
  <c r="AJ5" i="120"/>
  <c r="AJ89" i="120" s="1"/>
  <c r="AL5" i="120"/>
  <c r="AL89" i="120" s="1"/>
  <c r="AN5" i="120"/>
  <c r="AN89" i="120" s="1"/>
  <c r="AP5" i="120"/>
  <c r="AP89" i="120" s="1"/>
  <c r="AR5" i="120"/>
  <c r="AR89" i="120" s="1"/>
  <c r="AT5" i="120"/>
  <c r="AT89" i="120" s="1"/>
  <c r="AV5" i="120"/>
  <c r="AV89" i="120" s="1"/>
  <c r="AX5" i="120"/>
  <c r="AX89" i="120" s="1"/>
  <c r="AZ5" i="120"/>
  <c r="AZ89" i="120" s="1"/>
  <c r="BB5" i="120"/>
  <c r="BB89" i="120" s="1"/>
  <c r="BD5" i="120"/>
  <c r="BD89" i="120" s="1"/>
  <c r="E5" i="120"/>
  <c r="E89" i="120" s="1"/>
  <c r="I5" i="120"/>
  <c r="I89" i="120" s="1"/>
  <c r="M5" i="120"/>
  <c r="M89" i="120" s="1"/>
  <c r="Q5" i="120"/>
  <c r="Q89" i="120" s="1"/>
  <c r="U5" i="120"/>
  <c r="Y5" i="120"/>
  <c r="Y89" i="120" s="1"/>
  <c r="AC5" i="120"/>
  <c r="AC89" i="120" s="1"/>
  <c r="AG5" i="120"/>
  <c r="AG89" i="120" s="1"/>
  <c r="AK5" i="120"/>
  <c r="AK89" i="120" s="1"/>
  <c r="AO5" i="120"/>
  <c r="AO89" i="120" s="1"/>
  <c r="AS5" i="120"/>
  <c r="AS89" i="120" s="1"/>
  <c r="AW5" i="120"/>
  <c r="AW89" i="120" s="1"/>
  <c r="BA5" i="120"/>
  <c r="BA89" i="120" s="1"/>
  <c r="BE5" i="120"/>
  <c r="BE89" i="120" s="1"/>
  <c r="G5" i="120"/>
  <c r="G89" i="120" s="1"/>
  <c r="O5" i="120"/>
  <c r="O89" i="120" s="1"/>
  <c r="W5" i="120"/>
  <c r="W89" i="120" s="1"/>
  <c r="AE5" i="120"/>
  <c r="AE89" i="120" s="1"/>
  <c r="AM5" i="120"/>
  <c r="AM89" i="120" s="1"/>
  <c r="AU5" i="120"/>
  <c r="AU89" i="120" s="1"/>
  <c r="BC5" i="120"/>
  <c r="BC89" i="120" s="1"/>
  <c r="C5" i="120"/>
  <c r="C89" i="120" s="1"/>
  <c r="S5" i="120"/>
  <c r="S89" i="120" s="1"/>
  <c r="AI5" i="120"/>
  <c r="AI89" i="120" s="1"/>
  <c r="AY5" i="120"/>
  <c r="AY89" i="120" s="1"/>
  <c r="K5" i="120"/>
  <c r="K89" i="120" s="1"/>
  <c r="AA5" i="120"/>
  <c r="AA89" i="120" s="1"/>
  <c r="AQ5" i="120"/>
  <c r="AQ89" i="120" s="1"/>
  <c r="AP6" i="111"/>
  <c r="Q6" i="111"/>
  <c r="BB6" i="111"/>
  <c r="Z6" i="111"/>
  <c r="BA8" i="111"/>
  <c r="AK8" i="111"/>
  <c r="J8" i="111"/>
  <c r="K16" i="108"/>
  <c r="K8" i="108"/>
  <c r="N8" i="108" s="1"/>
  <c r="AE8" i="111"/>
  <c r="AA8" i="111"/>
  <c r="K8" i="111"/>
  <c r="K9" i="108"/>
  <c r="N9" i="108" s="1"/>
  <c r="K15" i="108"/>
  <c r="N15" i="108" s="1"/>
  <c r="K14" i="108"/>
  <c r="N14" i="108" s="1"/>
  <c r="K13" i="108"/>
  <c r="N13" i="108" s="1"/>
  <c r="J74" i="111"/>
  <c r="Q74" i="111"/>
  <c r="AW74" i="111"/>
  <c r="F6" i="111"/>
  <c r="V6" i="111"/>
  <c r="L6" i="111"/>
  <c r="AW6" i="111"/>
  <c r="AN48" i="120"/>
  <c r="AG48" i="120"/>
  <c r="Y48" i="120"/>
  <c r="N48" i="120"/>
  <c r="G48" i="120"/>
  <c r="L48" i="120"/>
  <c r="X48" i="120"/>
  <c r="M48" i="120"/>
  <c r="BD48" i="120"/>
  <c r="BB48" i="120"/>
  <c r="AX48" i="120"/>
  <c r="AO48" i="120"/>
  <c r="BC48" i="120"/>
  <c r="AH48" i="120"/>
  <c r="AF48" i="120"/>
  <c r="Z48" i="120"/>
  <c r="D48" i="120"/>
  <c r="O48" i="120"/>
  <c r="V48" i="120"/>
  <c r="U48" i="120"/>
  <c r="F48" i="120"/>
  <c r="BE48" i="120"/>
  <c r="AS48" i="120"/>
  <c r="AU48" i="120"/>
  <c r="AP48" i="120"/>
  <c r="AI48" i="120"/>
  <c r="K48" i="120"/>
  <c r="H5" i="79"/>
  <c r="H7" i="79"/>
  <c r="H9" i="79"/>
  <c r="H11" i="79"/>
  <c r="H13" i="79"/>
  <c r="H15" i="79"/>
  <c r="H17" i="79"/>
  <c r="H19" i="79"/>
  <c r="H21" i="79"/>
  <c r="H23" i="79"/>
  <c r="H25" i="79"/>
  <c r="H27" i="79"/>
  <c r="H29" i="79"/>
  <c r="H31" i="79"/>
  <c r="H33" i="79"/>
  <c r="H35" i="79"/>
  <c r="H37" i="79"/>
  <c r="H39" i="79"/>
  <c r="H41" i="79"/>
  <c r="H43" i="79"/>
  <c r="H45" i="79"/>
  <c r="H47" i="79"/>
  <c r="H49" i="79"/>
  <c r="H51" i="79"/>
  <c r="H53" i="79"/>
  <c r="H55" i="79"/>
  <c r="H57" i="79"/>
  <c r="H3" i="79"/>
  <c r="BD17" i="111"/>
  <c r="BE17" i="111"/>
  <c r="BC7" i="111"/>
  <c r="BC15" i="111"/>
  <c r="BC18" i="111"/>
  <c r="E7" i="111"/>
  <c r="G7" i="111"/>
  <c r="I7" i="111"/>
  <c r="K7" i="111"/>
  <c r="M7" i="111"/>
  <c r="O7" i="111"/>
  <c r="Q7" i="111"/>
  <c r="S7" i="111"/>
  <c r="U7" i="111"/>
  <c r="Y7" i="111"/>
  <c r="AA7" i="111"/>
  <c r="AC7" i="111"/>
  <c r="AE7" i="111"/>
  <c r="AG7" i="111"/>
  <c r="AI7" i="111"/>
  <c r="AK7" i="111"/>
  <c r="AM7" i="111"/>
  <c r="AO7" i="111"/>
  <c r="AQ7" i="111"/>
  <c r="AS7" i="111"/>
  <c r="AU7" i="111"/>
  <c r="AW7" i="111"/>
  <c r="AY7" i="111"/>
  <c r="BA7" i="111"/>
  <c r="E15" i="111"/>
  <c r="G15" i="111"/>
  <c r="I15" i="111"/>
  <c r="K15" i="111"/>
  <c r="M15" i="111"/>
  <c r="O15" i="111"/>
  <c r="Q15" i="111"/>
  <c r="S15" i="111"/>
  <c r="U15" i="111"/>
  <c r="Y15" i="111"/>
  <c r="AA15" i="111"/>
  <c r="AC15" i="111"/>
  <c r="AE15" i="111"/>
  <c r="AG15" i="111"/>
  <c r="AI15" i="111"/>
  <c r="AK15" i="111"/>
  <c r="AM15" i="111"/>
  <c r="AO15" i="111"/>
  <c r="AQ15" i="111"/>
  <c r="AS15" i="111"/>
  <c r="AU15" i="111"/>
  <c r="AW15" i="111"/>
  <c r="AY15" i="111"/>
  <c r="BA15" i="111"/>
  <c r="D17" i="111"/>
  <c r="F17" i="111"/>
  <c r="H17" i="111"/>
  <c r="J17" i="111"/>
  <c r="L17" i="111"/>
  <c r="N17" i="111"/>
  <c r="P17" i="111"/>
  <c r="R17" i="111"/>
  <c r="T17" i="111"/>
  <c r="V17" i="111"/>
  <c r="X17" i="111"/>
  <c r="Z17" i="111"/>
  <c r="AB17" i="111"/>
  <c r="AD17" i="111"/>
  <c r="AF17" i="111"/>
  <c r="AH17" i="111"/>
  <c r="AJ17" i="111"/>
  <c r="AL17" i="111"/>
  <c r="AN17" i="111"/>
  <c r="AP17" i="111"/>
  <c r="AR17" i="111"/>
  <c r="AT17" i="111"/>
  <c r="AV17" i="111"/>
  <c r="AX17" i="111"/>
  <c r="AZ17" i="111"/>
  <c r="BB17" i="111"/>
  <c r="I18" i="111"/>
  <c r="K18" i="111"/>
  <c r="O18" i="111"/>
  <c r="Y18" i="111"/>
  <c r="AA18" i="111"/>
  <c r="AC18" i="111"/>
  <c r="AE18" i="111"/>
  <c r="AG18" i="111"/>
  <c r="AI18" i="111"/>
  <c r="AK18" i="111"/>
  <c r="AM18" i="111"/>
  <c r="AS18" i="111"/>
  <c r="AU18" i="111"/>
  <c r="AW18" i="111"/>
  <c r="AY18" i="111"/>
  <c r="BA18" i="111"/>
  <c r="C18" i="111"/>
  <c r="C21" i="117" s="1"/>
  <c r="C15" i="111"/>
  <c r="H6" i="79"/>
  <c r="H8" i="79"/>
  <c r="H10" i="79"/>
  <c r="H12" i="79"/>
  <c r="H14" i="79"/>
  <c r="H16" i="79"/>
  <c r="H18" i="79"/>
  <c r="H20" i="79"/>
  <c r="H22" i="79"/>
  <c r="H24" i="79"/>
  <c r="H26" i="79"/>
  <c r="H28" i="79"/>
  <c r="H30" i="79"/>
  <c r="H32" i="79"/>
  <c r="H34" i="79"/>
  <c r="H36" i="79"/>
  <c r="H38" i="79"/>
  <c r="H40" i="79"/>
  <c r="H42" i="79"/>
  <c r="H44" i="79"/>
  <c r="H46" i="79"/>
  <c r="H48" i="79"/>
  <c r="H50" i="79"/>
  <c r="H52" i="79"/>
  <c r="H54" i="79"/>
  <c r="H56" i="79"/>
  <c r="H4" i="79"/>
  <c r="BD7" i="111"/>
  <c r="BD15" i="111"/>
  <c r="BD16" i="111" s="1"/>
  <c r="BD18" i="111"/>
  <c r="BE18" i="111"/>
  <c r="BE15" i="111"/>
  <c r="BE7" i="111"/>
  <c r="BC17" i="111"/>
  <c r="F5" i="111"/>
  <c r="I6" i="111"/>
  <c r="K6" i="111"/>
  <c r="AE6" i="111"/>
  <c r="D7" i="111"/>
  <c r="F7" i="111"/>
  <c r="H7" i="111"/>
  <c r="J7" i="111"/>
  <c r="L7" i="111"/>
  <c r="N7" i="111"/>
  <c r="P7" i="111"/>
  <c r="R7" i="111"/>
  <c r="T7" i="111"/>
  <c r="V7" i="111"/>
  <c r="X7" i="111"/>
  <c r="Z7" i="111"/>
  <c r="AB7" i="111"/>
  <c r="AD7" i="111"/>
  <c r="AF7" i="111"/>
  <c r="AH7" i="111"/>
  <c r="AJ7" i="111"/>
  <c r="AL7" i="111"/>
  <c r="AN7" i="111"/>
  <c r="AP7" i="111"/>
  <c r="AR7" i="111"/>
  <c r="AT7" i="111"/>
  <c r="AV7" i="111"/>
  <c r="AX7" i="111"/>
  <c r="AZ7" i="111"/>
  <c r="BB7" i="111"/>
  <c r="D15" i="111"/>
  <c r="F15" i="111"/>
  <c r="H15" i="111"/>
  <c r="J15" i="111"/>
  <c r="L15" i="111"/>
  <c r="N15" i="111"/>
  <c r="P15" i="111"/>
  <c r="R15" i="111"/>
  <c r="T15" i="111"/>
  <c r="V15" i="111"/>
  <c r="X15" i="111"/>
  <c r="Z15" i="111"/>
  <c r="AB15" i="111"/>
  <c r="AD15" i="111"/>
  <c r="AF15" i="111"/>
  <c r="AH15" i="111"/>
  <c r="AJ15" i="111"/>
  <c r="AL15" i="111"/>
  <c r="AN15" i="111"/>
  <c r="AP15" i="111"/>
  <c r="AR15" i="111"/>
  <c r="AT15" i="111"/>
  <c r="AV15" i="111"/>
  <c r="AX15" i="111"/>
  <c r="AX16" i="111" s="1"/>
  <c r="AZ15" i="111"/>
  <c r="BB15" i="111"/>
  <c r="E17" i="111"/>
  <c r="G17" i="111"/>
  <c r="I17" i="111"/>
  <c r="K17" i="111"/>
  <c r="M17" i="111"/>
  <c r="O17" i="111"/>
  <c r="Q17" i="111"/>
  <c r="S17" i="111"/>
  <c r="U17" i="111"/>
  <c r="Y17" i="111"/>
  <c r="AA17" i="111"/>
  <c r="AC17" i="111"/>
  <c r="AE17" i="111"/>
  <c r="AG17" i="111"/>
  <c r="AI17" i="111"/>
  <c r="AK17" i="111"/>
  <c r="AM17" i="111"/>
  <c r="AO17" i="111"/>
  <c r="AQ17" i="111"/>
  <c r="AS17" i="111"/>
  <c r="AU17" i="111"/>
  <c r="AW17" i="111"/>
  <c r="AY17" i="111"/>
  <c r="BA17" i="111"/>
  <c r="G18" i="111"/>
  <c r="J18" i="111"/>
  <c r="N18" i="111"/>
  <c r="Z18" i="111"/>
  <c r="AB18" i="111"/>
  <c r="AF18" i="111"/>
  <c r="AH18" i="111"/>
  <c r="AJ18" i="111"/>
  <c r="AL18" i="111"/>
  <c r="AN18" i="111"/>
  <c r="AR18" i="111"/>
  <c r="AT18" i="111"/>
  <c r="AV18" i="111"/>
  <c r="AX18" i="111"/>
  <c r="BB18" i="111"/>
  <c r="C17" i="111"/>
  <c r="C20" i="117" s="1"/>
  <c r="AZ6" i="111"/>
  <c r="J6" i="111"/>
  <c r="J24" i="111" s="1"/>
  <c r="AC6" i="111"/>
  <c r="AC24" i="111" s="1"/>
  <c r="K7" i="108"/>
  <c r="N7" i="108" s="1"/>
  <c r="X74" i="111"/>
  <c r="BD74" i="111"/>
  <c r="C74" i="111"/>
  <c r="AI74" i="111"/>
  <c r="K74" i="111"/>
  <c r="AV74" i="111"/>
  <c r="AF74" i="111"/>
  <c r="P74" i="111"/>
  <c r="D51" i="108"/>
  <c r="BB14" i="111"/>
  <c r="X9" i="111"/>
  <c r="AE9" i="111"/>
  <c r="K5" i="108"/>
  <c r="N5" i="108" s="1"/>
  <c r="K12" i="108"/>
  <c r="K4" i="108"/>
  <c r="N4" i="108" s="1"/>
  <c r="K11" i="108"/>
  <c r="N11" i="108" s="1"/>
  <c r="AB48" i="120"/>
  <c r="I48" i="120"/>
  <c r="H48" i="120"/>
  <c r="E48" i="120"/>
  <c r="AW48" i="120"/>
  <c r="AY48" i="120"/>
  <c r="AT48" i="120"/>
  <c r="AK48" i="120"/>
  <c r="AE48" i="120"/>
  <c r="AA48" i="120"/>
  <c r="J48" i="120"/>
  <c r="C48" i="120"/>
  <c r="S48" i="120"/>
  <c r="AV48" i="120"/>
  <c r="AQ48" i="120"/>
  <c r="AL48" i="120"/>
  <c r="AG14" i="111"/>
  <c r="N14" i="111"/>
  <c r="T14" i="111"/>
  <c r="AV14" i="111"/>
  <c r="Z14" i="111"/>
  <c r="D14" i="111"/>
  <c r="AY74" i="111"/>
  <c r="AB74" i="111"/>
  <c r="G74" i="111"/>
  <c r="F74" i="111"/>
  <c r="N74" i="111"/>
  <c r="V74" i="111"/>
  <c r="AD74" i="111"/>
  <c r="AL74" i="111"/>
  <c r="AT74" i="111"/>
  <c r="BB74" i="111"/>
  <c r="E74" i="111"/>
  <c r="M74" i="111"/>
  <c r="U74" i="111"/>
  <c r="AC74" i="111"/>
  <c r="AK74" i="111"/>
  <c r="AS74" i="111"/>
  <c r="BA74" i="111"/>
  <c r="AQ74" i="111"/>
  <c r="AX14" i="111"/>
  <c r="BA14" i="111"/>
  <c r="AF14" i="111"/>
  <c r="AB14" i="111"/>
  <c r="P14" i="111"/>
  <c r="F14" i="111"/>
  <c r="AY14" i="111"/>
  <c r="AS14" i="111"/>
  <c r="AM14" i="111"/>
  <c r="AI14" i="111"/>
  <c r="J14" i="111"/>
  <c r="C14" i="111"/>
  <c r="C17" i="117" s="1"/>
  <c r="M14" i="111"/>
  <c r="AK9" i="111"/>
  <c r="AP93" i="122"/>
  <c r="AH93" i="122"/>
  <c r="BC74" i="111"/>
  <c r="W74" i="111"/>
  <c r="AR74" i="111"/>
  <c r="L74" i="111"/>
  <c r="H74" i="111"/>
  <c r="AU74" i="111"/>
  <c r="AE74" i="111"/>
  <c r="O74" i="111"/>
  <c r="AZ74" i="111"/>
  <c r="AJ74" i="111"/>
  <c r="T74" i="111"/>
  <c r="AN74" i="111"/>
  <c r="S74" i="111"/>
  <c r="AZ93" i="122"/>
  <c r="AR93" i="122"/>
  <c r="AB93" i="122"/>
  <c r="X93" i="122"/>
  <c r="H93" i="122"/>
  <c r="W7" i="111"/>
  <c r="AA14" i="111"/>
  <c r="AO8" i="111"/>
  <c r="AR14" i="111"/>
  <c r="AQ14" i="111"/>
  <c r="AD14" i="111"/>
  <c r="AN9" i="111"/>
  <c r="K24" i="122"/>
  <c r="D37" i="122"/>
  <c r="BC36" i="122"/>
  <c r="AF37" i="122"/>
  <c r="AI75" i="122"/>
  <c r="AO62" i="122"/>
  <c r="AA23" i="122"/>
  <c r="AJ36" i="122"/>
  <c r="W62" i="122"/>
  <c r="AS48" i="122"/>
  <c r="AY36" i="122"/>
  <c r="Y25" i="122"/>
  <c r="AB75" i="122"/>
  <c r="AJ75" i="122"/>
  <c r="AR49" i="122"/>
  <c r="R62" i="122"/>
  <c r="M49" i="122"/>
  <c r="G37" i="122"/>
  <c r="AF36" i="122"/>
  <c r="AN61" i="122"/>
  <c r="AV61" i="122"/>
  <c r="BD25" i="122"/>
  <c r="N36" i="122"/>
  <c r="AA62" i="122"/>
  <c r="AQ37" i="122"/>
  <c r="Q49" i="122"/>
  <c r="L75" i="122"/>
  <c r="AK61" i="122"/>
  <c r="BA61" i="122"/>
  <c r="AG75" i="122"/>
  <c r="AE61" i="122"/>
  <c r="BE62" i="122"/>
  <c r="U61" i="122"/>
  <c r="E36" i="122"/>
  <c r="X23" i="122"/>
  <c r="F23" i="122"/>
  <c r="P24" i="122"/>
  <c r="AU23" i="122"/>
  <c r="Z37" i="122"/>
  <c r="V25" i="122"/>
  <c r="F48" i="122"/>
  <c r="AG23" i="122"/>
  <c r="AO24" i="122"/>
  <c r="AW23" i="122"/>
  <c r="R24" i="122"/>
  <c r="T24" i="122"/>
  <c r="G24" i="122"/>
  <c r="AA74" i="122"/>
  <c r="Q48" i="122"/>
  <c r="I74" i="122"/>
  <c r="O74" i="122"/>
  <c r="AG36" i="122"/>
  <c r="N62" i="122"/>
  <c r="S75" i="122"/>
  <c r="AS62" i="122"/>
  <c r="T61" i="122"/>
  <c r="BB74" i="122"/>
  <c r="AT61" i="122"/>
  <c r="AP36" i="122"/>
  <c r="AH74" i="122"/>
  <c r="AD74" i="122"/>
  <c r="I75" i="122"/>
  <c r="O62" i="122"/>
  <c r="T49" i="122"/>
  <c r="AH37" i="122"/>
  <c r="M24" i="122"/>
  <c r="BD24" i="122"/>
  <c r="AT23" i="122"/>
  <c r="H61" i="122"/>
  <c r="AB48" i="122"/>
  <c r="S25" i="122"/>
  <c r="AU25" i="122"/>
  <c r="X5" i="111"/>
  <c r="AC25" i="122"/>
  <c r="V62" i="122"/>
  <c r="R48" i="122"/>
  <c r="AD75" i="122"/>
  <c r="AT75" i="122"/>
  <c r="T37" i="122"/>
  <c r="I62" i="122"/>
  <c r="AP61" i="122"/>
  <c r="AX48" i="122"/>
  <c r="P61" i="122"/>
  <c r="AE75" i="122"/>
  <c r="AU75" i="122"/>
  <c r="AC75" i="122"/>
  <c r="S62" i="122"/>
  <c r="H37" i="122"/>
  <c r="BE61" i="122"/>
  <c r="AW37" i="122"/>
  <c r="AI74" i="122"/>
  <c r="AM36" i="122"/>
  <c r="W25" i="122"/>
  <c r="G48" i="122"/>
  <c r="AK24" i="122"/>
  <c r="AC23" i="122"/>
  <c r="F61" i="122"/>
  <c r="F75" i="122"/>
  <c r="U23" i="122"/>
  <c r="AM23" i="122"/>
  <c r="BA62" i="122"/>
  <c r="AV25" i="122"/>
  <c r="AZ75" i="122"/>
  <c r="E75" i="122"/>
  <c r="E61" i="122"/>
  <c r="BE75" i="122"/>
  <c r="BE37" i="122"/>
  <c r="J75" i="122"/>
  <c r="BA25" i="122"/>
  <c r="BA74" i="122"/>
  <c r="L37" i="122"/>
  <c r="Q62" i="122"/>
  <c r="AA37" i="122"/>
  <c r="BD61" i="122"/>
  <c r="BD36" i="122"/>
  <c r="AN25" i="122"/>
  <c r="AN48" i="122"/>
  <c r="G62" i="122"/>
  <c r="G75" i="122"/>
  <c r="R49" i="122"/>
  <c r="AR37" i="122"/>
  <c r="AR75" i="122"/>
  <c r="AB37" i="122"/>
  <c r="S61" i="122"/>
  <c r="S74" i="122"/>
  <c r="AB61" i="122"/>
  <c r="AB36" i="122"/>
  <c r="AB74" i="122"/>
  <c r="W23" i="122"/>
  <c r="AB24" i="122"/>
  <c r="AF24" i="122"/>
  <c r="AJ24" i="122"/>
  <c r="AN24" i="122"/>
  <c r="AR23" i="122"/>
  <c r="AZ23" i="122"/>
  <c r="BD23" i="122"/>
  <c r="M23" i="122"/>
  <c r="Q23" i="122"/>
  <c r="X61" i="122"/>
  <c r="H36" i="122"/>
  <c r="Z23" i="122"/>
  <c r="BF23" i="122"/>
  <c r="G8" i="111"/>
  <c r="X8" i="111"/>
  <c r="AE14" i="111"/>
  <c r="AG8" i="111"/>
  <c r="BD49" i="122"/>
  <c r="K6" i="108"/>
  <c r="N6" i="108" s="1"/>
  <c r="K10" i="108"/>
  <c r="N10" i="108" s="1"/>
  <c r="BC74" i="122"/>
  <c r="BC48" i="122"/>
  <c r="D75" i="122"/>
  <c r="D62" i="122"/>
  <c r="AD37" i="122"/>
  <c r="AL62" i="122"/>
  <c r="AL49" i="122"/>
  <c r="AT37" i="122"/>
  <c r="AT49" i="122"/>
  <c r="BB62" i="122"/>
  <c r="BB49" i="122"/>
  <c r="T75" i="122"/>
  <c r="T62" i="122"/>
  <c r="O49" i="122"/>
  <c r="O37" i="122"/>
  <c r="I37" i="122"/>
  <c r="I49" i="122"/>
  <c r="AH25" i="122"/>
  <c r="AH36" i="122"/>
  <c r="AP25" i="122"/>
  <c r="AP74" i="122"/>
  <c r="AP48" i="122"/>
  <c r="AX61" i="122"/>
  <c r="AX36" i="122"/>
  <c r="BF25" i="122"/>
  <c r="BF36" i="122"/>
  <c r="BF48" i="122"/>
  <c r="Y74" i="122"/>
  <c r="W75" i="122"/>
  <c r="R61" i="122"/>
  <c r="AJ61" i="122"/>
  <c r="L24" i="122"/>
  <c r="AO75" i="122"/>
  <c r="AI62" i="122"/>
  <c r="V37" i="122"/>
  <c r="AD62" i="122"/>
  <c r="AD49" i="122"/>
  <c r="AI24" i="122"/>
  <c r="AI23" i="122"/>
  <c r="S24" i="122"/>
  <c r="Y36" i="122"/>
  <c r="Y61" i="122"/>
  <c r="Y48" i="122"/>
  <c r="U49" i="122"/>
  <c r="U37" i="122"/>
  <c r="W49" i="122"/>
  <c r="W37" i="122"/>
  <c r="R74" i="122"/>
  <c r="R25" i="122"/>
  <c r="R36" i="122"/>
  <c r="AJ25" i="122"/>
  <c r="AJ74" i="122"/>
  <c r="AF62" i="122"/>
  <c r="D49" i="122"/>
  <c r="BC61" i="122"/>
  <c r="K23" i="122"/>
  <c r="AO49" i="122"/>
  <c r="AO37" i="122"/>
  <c r="AI37" i="122"/>
  <c r="AI49" i="122"/>
  <c r="V49" i="122"/>
  <c r="V75" i="122"/>
  <c r="AF49" i="122"/>
  <c r="AF75" i="122"/>
  <c r="AQ23" i="122"/>
  <c r="AK75" i="122"/>
  <c r="AK62" i="122"/>
  <c r="AN62" i="122"/>
  <c r="AN75" i="122"/>
  <c r="J74" i="122"/>
  <c r="J25" i="122"/>
  <c r="J36" i="122"/>
  <c r="AP8" i="111" l="1"/>
  <c r="AC8" i="111"/>
  <c r="H60" i="79"/>
  <c r="BF283" i="64"/>
  <c r="BF313" i="64" s="1"/>
  <c r="BF8" i="111"/>
  <c r="BF316" i="64"/>
  <c r="BF346" i="64" s="1"/>
  <c r="BF9" i="111"/>
  <c r="BF13" i="111"/>
  <c r="G88" i="11"/>
  <c r="R104" i="103"/>
  <c r="O103" i="103"/>
  <c r="S88" i="103"/>
  <c r="S77" i="103"/>
  <c r="S63" i="103"/>
  <c r="O34" i="103"/>
  <c r="P34" i="103" s="1"/>
  <c r="O33" i="103"/>
  <c r="N16" i="103"/>
  <c r="Z13" i="116"/>
  <c r="AA13" i="116" s="1"/>
  <c r="R13" i="116"/>
  <c r="S13" i="116" s="1"/>
  <c r="K112" i="114"/>
  <c r="K111" i="114"/>
  <c r="L106" i="114"/>
  <c r="M106" i="114" s="1"/>
  <c r="M113" i="114" s="1"/>
  <c r="M28" i="108"/>
  <c r="M29" i="108" s="1"/>
  <c r="L12" i="108" s="1"/>
  <c r="E7" i="108" s="1"/>
  <c r="O94" i="103"/>
  <c r="P94" i="103" s="1"/>
  <c r="O93" i="103"/>
  <c r="P93" i="103" s="1"/>
  <c r="O92" i="103"/>
  <c r="P92" i="103" s="1"/>
  <c r="O91" i="103"/>
  <c r="P91" i="103" s="1"/>
  <c r="O90" i="103"/>
  <c r="P90" i="103" s="1"/>
  <c r="O89" i="103"/>
  <c r="O87" i="103"/>
  <c r="N71" i="103"/>
  <c r="O62" i="103"/>
  <c r="O56" i="103"/>
  <c r="P56" i="103" s="1"/>
  <c r="I49" i="103"/>
  <c r="I35" i="103"/>
  <c r="X13" i="116"/>
  <c r="Y13" i="116" s="1"/>
  <c r="P13" i="116"/>
  <c r="Q13" i="116" s="1"/>
  <c r="L133" i="114"/>
  <c r="L131" i="114"/>
  <c r="K110" i="114"/>
  <c r="I20" i="103"/>
  <c r="N12" i="108"/>
  <c r="O97" i="103"/>
  <c r="O79" i="103"/>
  <c r="P79" i="103" s="1"/>
  <c r="O78" i="103"/>
  <c r="S75" i="103"/>
  <c r="O50" i="103"/>
  <c r="P50" i="103" s="1"/>
  <c r="O42" i="103"/>
  <c r="P42" i="103" s="1"/>
  <c r="O40" i="103"/>
  <c r="P40" i="103" s="1"/>
  <c r="O39" i="103"/>
  <c r="P39" i="103" s="1"/>
  <c r="O38" i="103"/>
  <c r="S32" i="103"/>
  <c r="I30" i="103"/>
  <c r="AB13" i="116"/>
  <c r="AC13" i="116" s="1"/>
  <c r="T13" i="116"/>
  <c r="U13" i="116" s="1"/>
  <c r="L13" i="116"/>
  <c r="M13" i="116" s="1"/>
  <c r="Q150" i="114"/>
  <c r="Q157" i="114" s="1"/>
  <c r="K114" i="114"/>
  <c r="BC147" i="64"/>
  <c r="BC142" i="64"/>
  <c r="H107" i="64"/>
  <c r="C173" i="64"/>
  <c r="C51" i="108"/>
  <c r="K51" i="108"/>
  <c r="X7" i="140"/>
  <c r="X67" i="140" s="1"/>
  <c r="P99" i="103"/>
  <c r="O102" i="103"/>
  <c r="P102" i="103" s="1"/>
  <c r="M146" i="114"/>
  <c r="M153" i="114" s="1"/>
  <c r="L153" i="114"/>
  <c r="M148" i="114"/>
  <c r="M155" i="114" s="1"/>
  <c r="L155" i="114"/>
  <c r="BC81" i="64"/>
  <c r="N16" i="108"/>
  <c r="D81" i="11"/>
  <c r="G18" i="11"/>
  <c r="AW25" i="111" s="1"/>
  <c r="O85" i="103"/>
  <c r="P85" i="103" s="1"/>
  <c r="I71" i="103"/>
  <c r="O60" i="103"/>
  <c r="Q57" i="103"/>
  <c r="N45" i="103"/>
  <c r="Q45" i="103"/>
  <c r="O36" i="103"/>
  <c r="P36" i="103" s="1"/>
  <c r="O31" i="103"/>
  <c r="P31" i="103" s="1"/>
  <c r="Q16" i="103"/>
  <c r="K155" i="114"/>
  <c r="K43" i="108"/>
  <c r="C43" i="108"/>
  <c r="AN173" i="64"/>
  <c r="AN316" i="64" s="1"/>
  <c r="N173" i="64"/>
  <c r="N316" i="64" s="1"/>
  <c r="AF173" i="64"/>
  <c r="AF316" i="64" s="1"/>
  <c r="AM173" i="64"/>
  <c r="AM316" i="64" s="1"/>
  <c r="AJ173" i="64"/>
  <c r="Y173" i="64"/>
  <c r="Y316" i="64" s="1"/>
  <c r="AS173" i="64"/>
  <c r="AS316" i="64" s="1"/>
  <c r="AN110" i="64"/>
  <c r="AH109" i="64"/>
  <c r="AH140" i="64" s="1"/>
  <c r="AH246" i="64" s="1"/>
  <c r="AH280" i="64" s="1"/>
  <c r="BA110" i="64"/>
  <c r="AV110" i="64"/>
  <c r="R111" i="64"/>
  <c r="O112" i="64"/>
  <c r="H111" i="64"/>
  <c r="AT109" i="64"/>
  <c r="AT140" i="64" s="1"/>
  <c r="AT246" i="64" s="1"/>
  <c r="AT280" i="64" s="1"/>
  <c r="T109" i="64"/>
  <c r="T140" i="64" s="1"/>
  <c r="T246" i="64" s="1"/>
  <c r="T280" i="64" s="1"/>
  <c r="C109" i="64"/>
  <c r="Q109" i="64"/>
  <c r="Q140" i="64" s="1"/>
  <c r="Q246" i="64" s="1"/>
  <c r="Q280" i="64" s="1"/>
  <c r="AD109" i="64"/>
  <c r="AD140" i="64" s="1"/>
  <c r="AD246" i="64" s="1"/>
  <c r="AD280" i="64" s="1"/>
  <c r="BD110" i="64"/>
  <c r="AI109" i="64"/>
  <c r="AI140" i="64" s="1"/>
  <c r="AI246" i="64" s="1"/>
  <c r="AI280" i="64" s="1"/>
  <c r="AX112" i="64"/>
  <c r="AM111" i="64"/>
  <c r="W114" i="64"/>
  <c r="W113" i="64"/>
  <c r="AZ110" i="64"/>
  <c r="AK109" i="64"/>
  <c r="AK140" i="64" s="1"/>
  <c r="AK246" i="64" s="1"/>
  <c r="AK280" i="64" s="1"/>
  <c r="Y112" i="64"/>
  <c r="AS118" i="64"/>
  <c r="AS110" i="64"/>
  <c r="AS114" i="64"/>
  <c r="L111" i="64"/>
  <c r="V114" i="64"/>
  <c r="V111" i="64"/>
  <c r="BC110" i="64"/>
  <c r="X110" i="64"/>
  <c r="X109" i="64"/>
  <c r="BB112" i="64"/>
  <c r="P115" i="64"/>
  <c r="P116" i="64"/>
  <c r="P112" i="64"/>
  <c r="P109" i="64"/>
  <c r="AN107" i="64"/>
  <c r="N107" i="64"/>
  <c r="AF107" i="64"/>
  <c r="AF283" i="64" s="1"/>
  <c r="T107" i="64"/>
  <c r="T283" i="64" s="1"/>
  <c r="C107" i="64"/>
  <c r="AJ107" i="64"/>
  <c r="Y107" i="64"/>
  <c r="Y283" i="64" s="1"/>
  <c r="AS107" i="64"/>
  <c r="X107" i="64"/>
  <c r="P107" i="64"/>
  <c r="P283" i="64" s="1"/>
  <c r="AN48" i="64"/>
  <c r="AN43" i="64"/>
  <c r="BA45" i="64"/>
  <c r="N43" i="64"/>
  <c r="AB43" i="64"/>
  <c r="AB74" i="64" s="1"/>
  <c r="AB209" i="64" s="1"/>
  <c r="AB244" i="64" s="1"/>
  <c r="AF43" i="64"/>
  <c r="AQ43" i="64"/>
  <c r="AQ74" i="64" s="1"/>
  <c r="AQ209" i="64" s="1"/>
  <c r="AQ244" i="64" s="1"/>
  <c r="O43" i="64"/>
  <c r="C45" i="64"/>
  <c r="AR43" i="64"/>
  <c r="AR74" i="64" s="1"/>
  <c r="AR209" i="64" s="1"/>
  <c r="AR244" i="64" s="1"/>
  <c r="AL43" i="64"/>
  <c r="AL74" i="64" s="1"/>
  <c r="AL209" i="64" s="1"/>
  <c r="AL244" i="64" s="1"/>
  <c r="AU43" i="64"/>
  <c r="AU74" i="64" s="1"/>
  <c r="AU209" i="64" s="1"/>
  <c r="AU244" i="64" s="1"/>
  <c r="AI43" i="64"/>
  <c r="AI74" i="64" s="1"/>
  <c r="AI209" i="64" s="1"/>
  <c r="AI244" i="64" s="1"/>
  <c r="AX46" i="64"/>
  <c r="AM45" i="64"/>
  <c r="W46" i="64"/>
  <c r="W43" i="64"/>
  <c r="AZ43" i="64"/>
  <c r="AJ44" i="64"/>
  <c r="AY43" i="64"/>
  <c r="AY74" i="64" s="1"/>
  <c r="AY209" i="64" s="1"/>
  <c r="AY244" i="64" s="1"/>
  <c r="Y44" i="64"/>
  <c r="AS51" i="64"/>
  <c r="AS46" i="64"/>
  <c r="AS50" i="64"/>
  <c r="L43" i="64"/>
  <c r="V43" i="64"/>
  <c r="BC47" i="64"/>
  <c r="K43" i="64"/>
  <c r="X47" i="64"/>
  <c r="BB47" i="64"/>
  <c r="BB43" i="64"/>
  <c r="P53" i="64"/>
  <c r="P52" i="64"/>
  <c r="P44" i="64"/>
  <c r="D44" i="64"/>
  <c r="P173" i="64"/>
  <c r="AP74" i="111"/>
  <c r="D17" i="11"/>
  <c r="D28" i="11" s="1"/>
  <c r="Q82" i="103"/>
  <c r="O76" i="103"/>
  <c r="I61" i="103"/>
  <c r="S61" i="103" s="1"/>
  <c r="O58" i="103"/>
  <c r="I57" i="103"/>
  <c r="O52" i="103"/>
  <c r="P52" i="103" s="1"/>
  <c r="Q51" i="103"/>
  <c r="S51" i="103"/>
  <c r="R49" i="103"/>
  <c r="O47" i="103"/>
  <c r="P47" i="103" s="1"/>
  <c r="O46" i="103"/>
  <c r="Q26" i="103"/>
  <c r="I26" i="103"/>
  <c r="R20" i="103"/>
  <c r="O19" i="103"/>
  <c r="P19" i="103" s="1"/>
  <c r="O18" i="103"/>
  <c r="P18" i="103" s="1"/>
  <c r="O17" i="103"/>
  <c r="F10" i="115"/>
  <c r="K153" i="114"/>
  <c r="L150" i="114"/>
  <c r="L135" i="114"/>
  <c r="BA173" i="64"/>
  <c r="BA316" i="64" s="1"/>
  <c r="O173" i="64"/>
  <c r="O316" i="64" s="1"/>
  <c r="AR173" i="64"/>
  <c r="AR316" i="64" s="1"/>
  <c r="F173" i="64"/>
  <c r="F316" i="64" s="1"/>
  <c r="AX173" i="64"/>
  <c r="AX316" i="64" s="1"/>
  <c r="K173" i="64"/>
  <c r="K316" i="64" s="1"/>
  <c r="BB173" i="64"/>
  <c r="BB316" i="64" s="1"/>
  <c r="BF109" i="64"/>
  <c r="BF140" i="64" s="1"/>
  <c r="BF246" i="64" s="1"/>
  <c r="BF280" i="64" s="1"/>
  <c r="BF11" i="111" s="1"/>
  <c r="J109" i="64"/>
  <c r="J140" i="64" s="1"/>
  <c r="J246" i="64" s="1"/>
  <c r="J280" i="64" s="1"/>
  <c r="AN113" i="64"/>
  <c r="BA112" i="64"/>
  <c r="AV109" i="64"/>
  <c r="AV140" i="64" s="1"/>
  <c r="AV246" i="64" s="1"/>
  <c r="AV280" i="64" s="1"/>
  <c r="AF110" i="64"/>
  <c r="R109" i="64"/>
  <c r="O111" i="64"/>
  <c r="H110" i="64"/>
  <c r="G109" i="64"/>
  <c r="G140" i="64" s="1"/>
  <c r="BE109" i="64"/>
  <c r="BE140" i="64" s="1"/>
  <c r="BE246" i="64" s="1"/>
  <c r="BE280" i="64" s="1"/>
  <c r="AP109" i="64"/>
  <c r="AP140" i="64" s="1"/>
  <c r="AP246" i="64" s="1"/>
  <c r="AP523" i="64" s="1"/>
  <c r="AA109" i="64"/>
  <c r="AA140" i="64" s="1"/>
  <c r="AA246" i="64" s="1"/>
  <c r="AA280" i="64" s="1"/>
  <c r="BD109" i="64"/>
  <c r="BD140" i="64" s="1"/>
  <c r="BD246" i="64" s="1"/>
  <c r="BD280" i="64" s="1"/>
  <c r="E109" i="64"/>
  <c r="E140" i="64" s="1"/>
  <c r="E246" i="64" s="1"/>
  <c r="E280" i="64" s="1"/>
  <c r="AM110" i="64"/>
  <c r="W112" i="64"/>
  <c r="W109" i="64"/>
  <c r="AZ109" i="64"/>
  <c r="AJ110" i="64"/>
  <c r="AY109" i="64"/>
  <c r="AY140" i="64" s="1"/>
  <c r="AY246" i="64" s="1"/>
  <c r="AY280" i="64" s="1"/>
  <c r="Y110" i="64"/>
  <c r="AS117" i="64"/>
  <c r="AS112" i="64"/>
  <c r="AS116" i="64"/>
  <c r="L109" i="64"/>
  <c r="V109" i="64"/>
  <c r="BC113" i="64"/>
  <c r="K111" i="64"/>
  <c r="X112" i="64"/>
  <c r="BB115" i="64"/>
  <c r="BB111" i="64"/>
  <c r="P120" i="64"/>
  <c r="P114" i="64"/>
  <c r="P113" i="64"/>
  <c r="D109" i="64"/>
  <c r="BA107" i="64"/>
  <c r="BD107" i="64"/>
  <c r="BD283" i="64" s="1"/>
  <c r="D107" i="64"/>
  <c r="AN46" i="64"/>
  <c r="AN45" i="64"/>
  <c r="BA43" i="64"/>
  <c r="M43" i="64"/>
  <c r="M74" i="64" s="1"/>
  <c r="M209" i="64" s="1"/>
  <c r="M244" i="64" s="1"/>
  <c r="R44" i="64"/>
  <c r="H45" i="64"/>
  <c r="AT43" i="64"/>
  <c r="AT74" i="64" s="1"/>
  <c r="AT209" i="64" s="1"/>
  <c r="AT244" i="64" s="1"/>
  <c r="T43" i="64"/>
  <c r="T74" i="64" s="1"/>
  <c r="T209" i="64" s="1"/>
  <c r="T244" i="64" s="1"/>
  <c r="Q43" i="64"/>
  <c r="Q74" i="64" s="1"/>
  <c r="Q209" i="64" s="1"/>
  <c r="Q244" i="64" s="1"/>
  <c r="AD43" i="64"/>
  <c r="AD74" i="64" s="1"/>
  <c r="AD209" i="64" s="1"/>
  <c r="AD244" i="64" s="1"/>
  <c r="BD44" i="64"/>
  <c r="E43" i="64"/>
  <c r="E74" i="64" s="1"/>
  <c r="E209" i="64" s="1"/>
  <c r="E244" i="64" s="1"/>
  <c r="AM44" i="64"/>
  <c r="W44" i="64"/>
  <c r="AE43" i="64"/>
  <c r="AE74" i="64" s="1"/>
  <c r="AE209" i="64" s="1"/>
  <c r="AE244" i="64" s="1"/>
  <c r="Z43" i="64"/>
  <c r="Z74" i="64" s="1"/>
  <c r="Z209" i="64" s="1"/>
  <c r="Z244" i="64" s="1"/>
  <c r="AJ43" i="64"/>
  <c r="AG43" i="64"/>
  <c r="AG74" i="64" s="1"/>
  <c r="AG209" i="64" s="1"/>
  <c r="AG244" i="64" s="1"/>
  <c r="Y43" i="64"/>
  <c r="AS43" i="64"/>
  <c r="AS47" i="64"/>
  <c r="L46" i="64"/>
  <c r="V47" i="64"/>
  <c r="V44" i="64"/>
  <c r="BC46" i="64"/>
  <c r="X44" i="64"/>
  <c r="X43" i="64"/>
  <c r="BB46" i="64"/>
  <c r="P49" i="64"/>
  <c r="P50" i="64"/>
  <c r="P46" i="64"/>
  <c r="P43" i="64"/>
  <c r="C70" i="123"/>
  <c r="V25" i="111"/>
  <c r="BB25" i="111"/>
  <c r="I16" i="103"/>
  <c r="I77" i="114"/>
  <c r="T173" i="64"/>
  <c r="T316" i="64" s="1"/>
  <c r="X173" i="64"/>
  <c r="X316" i="64" s="1"/>
  <c r="D173" i="64"/>
  <c r="D316" i="64" s="1"/>
  <c r="AN114" i="64"/>
  <c r="AN109" i="64"/>
  <c r="BA111" i="64"/>
  <c r="N109" i="64"/>
  <c r="AB109" i="64"/>
  <c r="AB140" i="64" s="1"/>
  <c r="AB246" i="64" s="1"/>
  <c r="AB280" i="64" s="1"/>
  <c r="AF109" i="64"/>
  <c r="I109" i="64"/>
  <c r="I140" i="64" s="1"/>
  <c r="O110" i="64"/>
  <c r="H109" i="64"/>
  <c r="S109" i="64"/>
  <c r="S140" i="64" s="1"/>
  <c r="S246" i="64" s="1"/>
  <c r="S280" i="64" s="1"/>
  <c r="C110" i="64"/>
  <c r="AO109" i="64"/>
  <c r="AO140" i="64" s="1"/>
  <c r="AO246" i="64" s="1"/>
  <c r="AO280" i="64" s="1"/>
  <c r="AC109" i="64"/>
  <c r="AC140" i="64" s="1"/>
  <c r="AC246" i="64" s="1"/>
  <c r="AC280" i="64" s="1"/>
  <c r="F110" i="64"/>
  <c r="AX111" i="64"/>
  <c r="AM113" i="64"/>
  <c r="AM109" i="64"/>
  <c r="U109" i="64"/>
  <c r="U140" i="64" s="1"/>
  <c r="U246" i="64" s="1"/>
  <c r="U280" i="64" s="1"/>
  <c r="W110" i="64"/>
  <c r="AE109" i="64"/>
  <c r="AE140" i="64" s="1"/>
  <c r="AE246" i="64" s="1"/>
  <c r="AE280" i="64" s="1"/>
  <c r="Z109" i="64"/>
  <c r="Z140" i="64" s="1"/>
  <c r="Z246" i="64" s="1"/>
  <c r="Z280" i="64" s="1"/>
  <c r="AJ109" i="64"/>
  <c r="AG109" i="64"/>
  <c r="AG140" i="64" s="1"/>
  <c r="AG246" i="64" s="1"/>
  <c r="AG280" i="64" s="1"/>
  <c r="Y109" i="64"/>
  <c r="AS109" i="64"/>
  <c r="AS113" i="64"/>
  <c r="L112" i="64"/>
  <c r="V113" i="64"/>
  <c r="V110" i="64"/>
  <c r="BC112" i="64"/>
  <c r="BC114" i="64"/>
  <c r="K110" i="64"/>
  <c r="X111" i="64"/>
  <c r="BB114" i="64"/>
  <c r="BB110" i="64"/>
  <c r="P121" i="64"/>
  <c r="P117" i="64"/>
  <c r="P111" i="64"/>
  <c r="D111" i="64"/>
  <c r="AM107" i="64"/>
  <c r="AM283" i="64" s="1"/>
  <c r="AN44" i="64"/>
  <c r="AH43" i="64"/>
  <c r="AH74" i="64" s="1"/>
  <c r="AH209" i="64" s="1"/>
  <c r="AH244" i="64" s="1"/>
  <c r="BA44" i="64"/>
  <c r="AV44" i="64"/>
  <c r="R45" i="64"/>
  <c r="O45" i="64"/>
  <c r="H44" i="64"/>
  <c r="G43" i="64"/>
  <c r="G74" i="64" s="1"/>
  <c r="BE43" i="64"/>
  <c r="BE74" i="64" s="1"/>
  <c r="BE209" i="64" s="1"/>
  <c r="BE244" i="64" s="1"/>
  <c r="AP43" i="64"/>
  <c r="AP74" i="64" s="1"/>
  <c r="AP209" i="64" s="1"/>
  <c r="AP244" i="64" s="1"/>
  <c r="AA43" i="64"/>
  <c r="AA74" i="64" s="1"/>
  <c r="AA209" i="64" s="1"/>
  <c r="AA244" i="64" s="1"/>
  <c r="BD43" i="64"/>
  <c r="AX45" i="64"/>
  <c r="AM47" i="64"/>
  <c r="AM43" i="64"/>
  <c r="U43" i="64"/>
  <c r="U74" i="64" s="1"/>
  <c r="U209" i="64" s="1"/>
  <c r="U244" i="64" s="1"/>
  <c r="W45" i="64"/>
  <c r="AZ45" i="64"/>
  <c r="Y45" i="64"/>
  <c r="AW43" i="64"/>
  <c r="AW74" i="64" s="1"/>
  <c r="AW209" i="64" s="1"/>
  <c r="AW244" i="64" s="1"/>
  <c r="AS49" i="64"/>
  <c r="AS45" i="64"/>
  <c r="L44" i="64"/>
  <c r="V49" i="64"/>
  <c r="V46" i="64"/>
  <c r="BC45" i="64"/>
  <c r="K45" i="64"/>
  <c r="X46" i="64"/>
  <c r="BB49" i="64"/>
  <c r="BB45" i="64"/>
  <c r="P54" i="64"/>
  <c r="P48" i="64"/>
  <c r="P47" i="64"/>
  <c r="D43" i="64"/>
  <c r="BG64" i="122"/>
  <c r="I25" i="111"/>
  <c r="F25" i="111"/>
  <c r="D188" i="11"/>
  <c r="D194" i="11" s="1"/>
  <c r="D149" i="11" s="1"/>
  <c r="F27" i="140"/>
  <c r="F91" i="140" s="1"/>
  <c r="J27" i="140"/>
  <c r="J91" i="140" s="1"/>
  <c r="N27" i="140"/>
  <c r="N91" i="140" s="1"/>
  <c r="R27" i="140"/>
  <c r="R91" i="140" s="1"/>
  <c r="V27" i="140"/>
  <c r="V91" i="140" s="1"/>
  <c r="Z27" i="140"/>
  <c r="Z91" i="140" s="1"/>
  <c r="AD27" i="140"/>
  <c r="AD91" i="140" s="1"/>
  <c r="AH27" i="140"/>
  <c r="AH91" i="140" s="1"/>
  <c r="AL27" i="140"/>
  <c r="AL91" i="140" s="1"/>
  <c r="AP27" i="140"/>
  <c r="AP91" i="140" s="1"/>
  <c r="AT27" i="140"/>
  <c r="AT91" i="140" s="1"/>
  <c r="AX27" i="140"/>
  <c r="AX91" i="140" s="1"/>
  <c r="BB27" i="140"/>
  <c r="BB91" i="140" s="1"/>
  <c r="BF27" i="140"/>
  <c r="BF91" i="140" s="1"/>
  <c r="G27" i="140"/>
  <c r="G91" i="140" s="1"/>
  <c r="K27" i="140"/>
  <c r="K91" i="140" s="1"/>
  <c r="O27" i="140"/>
  <c r="O91" i="140" s="1"/>
  <c r="S27" i="140"/>
  <c r="S91" i="140" s="1"/>
  <c r="W27" i="140"/>
  <c r="W91" i="140" s="1"/>
  <c r="AA27" i="140"/>
  <c r="AA91" i="140" s="1"/>
  <c r="AE27" i="140"/>
  <c r="AE91" i="140" s="1"/>
  <c r="AI27" i="140"/>
  <c r="AI91" i="140" s="1"/>
  <c r="AM27" i="140"/>
  <c r="AM91" i="140" s="1"/>
  <c r="AQ27" i="140"/>
  <c r="AQ91" i="140" s="1"/>
  <c r="AU27" i="140"/>
  <c r="AU91" i="140" s="1"/>
  <c r="AY27" i="140"/>
  <c r="AY91" i="140" s="1"/>
  <c r="BC27" i="140"/>
  <c r="BC91" i="140" s="1"/>
  <c r="D27" i="140"/>
  <c r="D91" i="140" s="1"/>
  <c r="H27" i="140"/>
  <c r="H91" i="140" s="1"/>
  <c r="L27" i="140"/>
  <c r="L91" i="140" s="1"/>
  <c r="P27" i="140"/>
  <c r="P91" i="140" s="1"/>
  <c r="T27" i="140"/>
  <c r="T91" i="140" s="1"/>
  <c r="X27" i="140"/>
  <c r="X91" i="140" s="1"/>
  <c r="AB27" i="140"/>
  <c r="AB91" i="140" s="1"/>
  <c r="AF27" i="140"/>
  <c r="AF91" i="140" s="1"/>
  <c r="AJ27" i="140"/>
  <c r="AJ91" i="140" s="1"/>
  <c r="AN27" i="140"/>
  <c r="AN91" i="140" s="1"/>
  <c r="AR27" i="140"/>
  <c r="AR91" i="140" s="1"/>
  <c r="AV27" i="140"/>
  <c r="AV91" i="140" s="1"/>
  <c r="AZ27" i="140"/>
  <c r="AZ91" i="140" s="1"/>
  <c r="BD27" i="140"/>
  <c r="BD91" i="140" s="1"/>
  <c r="E27" i="140"/>
  <c r="E91" i="140" s="1"/>
  <c r="I27" i="140"/>
  <c r="I91" i="140" s="1"/>
  <c r="M27" i="140"/>
  <c r="M91" i="140" s="1"/>
  <c r="Q27" i="140"/>
  <c r="Q91" i="140" s="1"/>
  <c r="U27" i="140"/>
  <c r="U91" i="140" s="1"/>
  <c r="Y27" i="140"/>
  <c r="Y91" i="140" s="1"/>
  <c r="AC27" i="140"/>
  <c r="AC91" i="140" s="1"/>
  <c r="AG27" i="140"/>
  <c r="AG91" i="140" s="1"/>
  <c r="AK27" i="140"/>
  <c r="AK91" i="140" s="1"/>
  <c r="AO27" i="140"/>
  <c r="AO91" i="140" s="1"/>
  <c r="AS27" i="140"/>
  <c r="AS91" i="140" s="1"/>
  <c r="AW27" i="140"/>
  <c r="AW91" i="140" s="1"/>
  <c r="BA27" i="140"/>
  <c r="BA91" i="140" s="1"/>
  <c r="BE27" i="140"/>
  <c r="BE91" i="140" s="1"/>
  <c r="D119" i="11"/>
  <c r="D99" i="11" s="1"/>
  <c r="D105" i="11" s="1"/>
  <c r="Q54" i="103"/>
  <c r="I45" i="103"/>
  <c r="H10" i="115"/>
  <c r="D10" i="115"/>
  <c r="F12" i="115" s="1"/>
  <c r="H13" i="116" s="1"/>
  <c r="I13" i="116" s="1"/>
  <c r="AV173" i="64"/>
  <c r="R173" i="64"/>
  <c r="BD173" i="64"/>
  <c r="W173" i="64"/>
  <c r="W316" i="64" s="1"/>
  <c r="AZ173" i="64"/>
  <c r="L173" i="64"/>
  <c r="L316" i="64" s="1"/>
  <c r="V173" i="64"/>
  <c r="V316" i="64" s="1"/>
  <c r="AN112" i="64"/>
  <c r="AN111" i="64"/>
  <c r="BA109" i="64"/>
  <c r="M109" i="64"/>
  <c r="M140" i="64" s="1"/>
  <c r="M246" i="64" s="1"/>
  <c r="M280" i="64" s="1"/>
  <c r="R110" i="64"/>
  <c r="AQ109" i="64"/>
  <c r="AQ140" i="64" s="1"/>
  <c r="AQ246" i="64" s="1"/>
  <c r="AQ523" i="64" s="1"/>
  <c r="O109" i="64"/>
  <c r="O140" i="64" s="1"/>
  <c r="O246" i="64" s="1"/>
  <c r="O280" i="64" s="1"/>
  <c r="C111" i="64"/>
  <c r="AR109" i="64"/>
  <c r="AR140" i="64" s="1"/>
  <c r="AR246" i="64" s="1"/>
  <c r="AR280" i="64" s="1"/>
  <c r="AL109" i="64"/>
  <c r="AL140" i="64" s="1"/>
  <c r="AL246" i="64" s="1"/>
  <c r="AL523" i="64" s="1"/>
  <c r="AU109" i="64"/>
  <c r="AU140" i="64" s="1"/>
  <c r="AU246" i="64" s="1"/>
  <c r="AU280" i="64" s="1"/>
  <c r="F109" i="64"/>
  <c r="AX110" i="64"/>
  <c r="AM112" i="64"/>
  <c r="W111" i="64"/>
  <c r="AZ111" i="64"/>
  <c r="Y111" i="64"/>
  <c r="AW109" i="64"/>
  <c r="AW140" i="64" s="1"/>
  <c r="AW246" i="64" s="1"/>
  <c r="AW280" i="64" s="1"/>
  <c r="AS115" i="64"/>
  <c r="AS111" i="64"/>
  <c r="L110" i="64"/>
  <c r="V115" i="64"/>
  <c r="V112" i="64"/>
  <c r="BC111" i="64"/>
  <c r="BC109" i="64"/>
  <c r="K109" i="64"/>
  <c r="X113" i="64"/>
  <c r="BB113" i="64"/>
  <c r="BB109" i="64"/>
  <c r="P119" i="64"/>
  <c r="P118" i="64"/>
  <c r="P110" i="64"/>
  <c r="D110" i="64"/>
  <c r="AV107" i="64"/>
  <c r="R107" i="64"/>
  <c r="O107" i="64"/>
  <c r="O283" i="64" s="1"/>
  <c r="AR107" i="64"/>
  <c r="AR283" i="64" s="1"/>
  <c r="F107" i="64"/>
  <c r="AX107" i="64"/>
  <c r="AZ107" i="64"/>
  <c r="L107" i="64"/>
  <c r="L283" i="64" s="1"/>
  <c r="V107" i="64"/>
  <c r="V283" i="64" s="1"/>
  <c r="K107" i="64"/>
  <c r="BB107" i="64"/>
  <c r="BB283" i="64" s="1"/>
  <c r="BF43" i="64"/>
  <c r="BF74" i="64" s="1"/>
  <c r="BF209" i="64" s="1"/>
  <c r="BF244" i="64" s="1"/>
  <c r="BF10" i="111" s="1"/>
  <c r="J43" i="64"/>
  <c r="J74" i="64" s="1"/>
  <c r="J209" i="64" s="1"/>
  <c r="J244" i="64" s="1"/>
  <c r="AN47" i="64"/>
  <c r="BA46" i="64"/>
  <c r="N44" i="64"/>
  <c r="AV43" i="64"/>
  <c r="AF44" i="64"/>
  <c r="R43" i="64"/>
  <c r="O44" i="64"/>
  <c r="H43" i="64"/>
  <c r="S43" i="64"/>
  <c r="S74" i="64" s="1"/>
  <c r="S209" i="64" s="1"/>
  <c r="S244" i="64" s="1"/>
  <c r="AO43" i="64"/>
  <c r="AO74" i="64" s="1"/>
  <c r="AO209" i="64" s="1"/>
  <c r="AO244" i="64" s="1"/>
  <c r="AC43" i="64"/>
  <c r="AC74" i="64" s="1"/>
  <c r="AC209" i="64" s="1"/>
  <c r="AC244" i="64" s="1"/>
  <c r="F43" i="64"/>
  <c r="AX44" i="64"/>
  <c r="AM46" i="64"/>
  <c r="W47" i="64"/>
  <c r="AZ44" i="64"/>
  <c r="AK43" i="64"/>
  <c r="AK74" i="64" s="1"/>
  <c r="AK209" i="64" s="1"/>
  <c r="AK244" i="64" s="1"/>
  <c r="Y46" i="64"/>
  <c r="AS52" i="64"/>
  <c r="AS44" i="64"/>
  <c r="AS48" i="64"/>
  <c r="L45" i="64"/>
  <c r="V48" i="64"/>
  <c r="V45" i="64"/>
  <c r="BC44" i="64"/>
  <c r="K44" i="64"/>
  <c r="X45" i="64"/>
  <c r="BB48" i="64"/>
  <c r="BB44" i="64"/>
  <c r="P55" i="64"/>
  <c r="P51" i="64"/>
  <c r="P45" i="64"/>
  <c r="D45" i="64"/>
  <c r="I76" i="64"/>
  <c r="I107" i="64" s="1"/>
  <c r="I283" i="64" s="1"/>
  <c r="BC206" i="64"/>
  <c r="AW14" i="111" s="1"/>
  <c r="J51" i="108"/>
  <c r="G8" i="132"/>
  <c r="N51" i="108"/>
  <c r="H51" i="108"/>
  <c r="I51" i="108"/>
  <c r="G51" i="108"/>
  <c r="D74" i="111"/>
  <c r="AG74" i="111"/>
  <c r="C75" i="117"/>
  <c r="Z74" i="111"/>
  <c r="E1" i="114"/>
  <c r="C5" i="114" s="1"/>
  <c r="L51" i="108"/>
  <c r="F51" i="108"/>
  <c r="Q56" i="122"/>
  <c r="C80" i="114"/>
  <c r="H8" i="132"/>
  <c r="O51" i="108"/>
  <c r="M51" i="108"/>
  <c r="AA74" i="111"/>
  <c r="BE74" i="111"/>
  <c r="AO74" i="111"/>
  <c r="Y74" i="111"/>
  <c r="I74" i="111"/>
  <c r="AX74" i="111"/>
  <c r="AH74" i="111"/>
  <c r="O5" i="105"/>
  <c r="O7" i="105"/>
  <c r="O9" i="105"/>
  <c r="O11" i="105"/>
  <c r="O13" i="105"/>
  <c r="O15" i="105"/>
  <c r="O17" i="105"/>
  <c r="O19" i="105"/>
  <c r="O21" i="105"/>
  <c r="O23" i="105"/>
  <c r="O25" i="105"/>
  <c r="O27" i="105"/>
  <c r="O29" i="105"/>
  <c r="O31" i="105"/>
  <c r="O33" i="105"/>
  <c r="O35" i="105"/>
  <c r="O37" i="105"/>
  <c r="O39" i="105"/>
  <c r="O41" i="105"/>
  <c r="O43" i="105"/>
  <c r="O45" i="105"/>
  <c r="O47" i="105"/>
  <c r="O49" i="105"/>
  <c r="O51" i="105"/>
  <c r="O53" i="105"/>
  <c r="O55" i="105"/>
  <c r="O57" i="105"/>
  <c r="O4" i="105"/>
  <c r="O6" i="105"/>
  <c r="O8" i="105"/>
  <c r="O10" i="105"/>
  <c r="O12" i="105"/>
  <c r="O14" i="105"/>
  <c r="O16" i="105"/>
  <c r="O18" i="105"/>
  <c r="O20" i="105"/>
  <c r="O22" i="105"/>
  <c r="O24" i="105"/>
  <c r="O26" i="105"/>
  <c r="O28" i="105"/>
  <c r="O30" i="105"/>
  <c r="O32" i="105"/>
  <c r="O34" i="105"/>
  <c r="O36" i="105"/>
  <c r="O38" i="105"/>
  <c r="O40" i="105"/>
  <c r="O42" i="105"/>
  <c r="O44" i="105"/>
  <c r="O46" i="105"/>
  <c r="O48" i="105"/>
  <c r="O50" i="105"/>
  <c r="O52" i="105"/>
  <c r="O54" i="105"/>
  <c r="O56" i="105"/>
  <c r="O58" i="105"/>
  <c r="E48" i="105"/>
  <c r="E36" i="105"/>
  <c r="F21" i="105"/>
  <c r="L48" i="105"/>
  <c r="M48" i="105" s="1"/>
  <c r="N48" i="105" s="1"/>
  <c r="L36" i="105"/>
  <c r="M36" i="105" s="1"/>
  <c r="N36" i="105" s="1"/>
  <c r="E10" i="105"/>
  <c r="F26" i="105"/>
  <c r="F31" i="105"/>
  <c r="F19" i="105"/>
  <c r="L27" i="105"/>
  <c r="M27" i="105" s="1"/>
  <c r="N27" i="105" s="1"/>
  <c r="E17" i="105"/>
  <c r="E29" i="105"/>
  <c r="F39" i="105"/>
  <c r="L17" i="105"/>
  <c r="M17" i="105" s="1"/>
  <c r="N17" i="105" s="1"/>
  <c r="L29" i="105"/>
  <c r="M29" i="105" s="1"/>
  <c r="N29" i="105" s="1"/>
  <c r="E27" i="105"/>
  <c r="F45" i="105"/>
  <c r="F28" i="105"/>
  <c r="L10" i="105"/>
  <c r="M10" i="105" s="1"/>
  <c r="N10" i="105" s="1"/>
  <c r="E5" i="105"/>
  <c r="E6" i="105"/>
  <c r="E23" i="105"/>
  <c r="E53" i="105"/>
  <c r="L4" i="105"/>
  <c r="M4" i="105" s="1"/>
  <c r="N4" i="105" s="1"/>
  <c r="L9" i="105"/>
  <c r="M9" i="105" s="1"/>
  <c r="N9" i="105" s="1"/>
  <c r="L38" i="105"/>
  <c r="M38" i="105" s="1"/>
  <c r="N38" i="105" s="1"/>
  <c r="L11" i="105"/>
  <c r="M11" i="105" s="1"/>
  <c r="N11" i="105" s="1"/>
  <c r="L54" i="105"/>
  <c r="M54" i="105" s="1"/>
  <c r="N54" i="105" s="1"/>
  <c r="L12" i="105"/>
  <c r="M12" i="105" s="1"/>
  <c r="N12" i="105" s="1"/>
  <c r="L15" i="105"/>
  <c r="M15" i="105" s="1"/>
  <c r="N15" i="105" s="1"/>
  <c r="L16" i="105"/>
  <c r="M16" i="105" s="1"/>
  <c r="N16" i="105" s="1"/>
  <c r="L49" i="105"/>
  <c r="M49" i="105" s="1"/>
  <c r="N49" i="105" s="1"/>
  <c r="L32" i="105"/>
  <c r="M32" i="105" s="1"/>
  <c r="N32" i="105" s="1"/>
  <c r="L39" i="105"/>
  <c r="M39" i="105" s="1"/>
  <c r="N39" i="105" s="1"/>
  <c r="L21" i="105"/>
  <c r="M21" i="105" s="1"/>
  <c r="N21" i="105" s="1"/>
  <c r="E26" i="105"/>
  <c r="E28" i="105"/>
  <c r="F27" i="105"/>
  <c r="E37" i="105"/>
  <c r="E34" i="105"/>
  <c r="F5" i="105"/>
  <c r="F51" i="105"/>
  <c r="F6" i="105"/>
  <c r="F25" i="105"/>
  <c r="F23" i="105"/>
  <c r="F14" i="105"/>
  <c r="F53" i="105"/>
  <c r="F8" i="105"/>
  <c r="F22" i="105"/>
  <c r="F47" i="105"/>
  <c r="E52" i="105"/>
  <c r="E44" i="105"/>
  <c r="L44" i="105"/>
  <c r="M44" i="105" s="1"/>
  <c r="N44" i="105" s="1"/>
  <c r="L7" i="105"/>
  <c r="M7" i="105" s="1"/>
  <c r="N7" i="105" s="1"/>
  <c r="L37" i="105"/>
  <c r="M37" i="105" s="1"/>
  <c r="N37" i="105" s="1"/>
  <c r="L55" i="105"/>
  <c r="M55" i="105" s="1"/>
  <c r="N55" i="105" s="1"/>
  <c r="L34" i="105"/>
  <c r="M34" i="105" s="1"/>
  <c r="N34" i="105" s="1"/>
  <c r="L52" i="105"/>
  <c r="M52" i="105" s="1"/>
  <c r="N52" i="105" s="1"/>
  <c r="L13" i="105"/>
  <c r="M13" i="105" s="1"/>
  <c r="N13" i="105" s="1"/>
  <c r="F50" i="105"/>
  <c r="F33" i="105"/>
  <c r="F42" i="105"/>
  <c r="F35" i="105"/>
  <c r="F18" i="105"/>
  <c r="F43" i="105"/>
  <c r="L30" i="105"/>
  <c r="M30" i="105" s="1"/>
  <c r="N30" i="105" s="1"/>
  <c r="L24" i="105"/>
  <c r="M24" i="105" s="1"/>
  <c r="N24" i="105" s="1"/>
  <c r="L57" i="105"/>
  <c r="M57" i="105" s="1"/>
  <c r="N57" i="105" s="1"/>
  <c r="L20" i="105"/>
  <c r="M20" i="105" s="1"/>
  <c r="N20" i="105" s="1"/>
  <c r="F41" i="105"/>
  <c r="F46" i="105"/>
  <c r="F58" i="105"/>
  <c r="F56" i="105"/>
  <c r="L31" i="105"/>
  <c r="M31" i="105" s="1"/>
  <c r="N31" i="105" s="1"/>
  <c r="L19" i="105"/>
  <c r="M19" i="105" s="1"/>
  <c r="N19" i="105" s="1"/>
  <c r="E45" i="105"/>
  <c r="F17" i="105"/>
  <c r="F36" i="105"/>
  <c r="G36" i="105" s="1"/>
  <c r="E22" i="105"/>
  <c r="E32" i="105"/>
  <c r="E58" i="105"/>
  <c r="E16" i="105"/>
  <c r="E49" i="105"/>
  <c r="E30" i="105"/>
  <c r="E47" i="105"/>
  <c r="E38" i="105"/>
  <c r="E51" i="105"/>
  <c r="E14" i="105"/>
  <c r="L33" i="105"/>
  <c r="M33" i="105" s="1"/>
  <c r="N33" i="105" s="1"/>
  <c r="L35" i="105"/>
  <c r="M35" i="105" s="1"/>
  <c r="N35" i="105" s="1"/>
  <c r="L41" i="105"/>
  <c r="M41" i="105" s="1"/>
  <c r="N41" i="105" s="1"/>
  <c r="L58" i="105"/>
  <c r="M58" i="105" s="1"/>
  <c r="N58" i="105" s="1"/>
  <c r="L26" i="105"/>
  <c r="M26" i="105" s="1"/>
  <c r="N26" i="105" s="1"/>
  <c r="E21" i="105"/>
  <c r="F48" i="105"/>
  <c r="E7" i="105"/>
  <c r="F7" i="105"/>
  <c r="F55" i="105"/>
  <c r="F52" i="105"/>
  <c r="F44" i="105"/>
  <c r="F24" i="105"/>
  <c r="F20" i="105"/>
  <c r="L14" i="105"/>
  <c r="M14" i="105" s="1"/>
  <c r="N14" i="105" s="1"/>
  <c r="L5" i="105"/>
  <c r="M5" i="105" s="1"/>
  <c r="N5" i="105" s="1"/>
  <c r="L6" i="105"/>
  <c r="M6" i="105" s="1"/>
  <c r="N6" i="105" s="1"/>
  <c r="L23" i="105"/>
  <c r="M23" i="105" s="1"/>
  <c r="N23" i="105" s="1"/>
  <c r="F38" i="105"/>
  <c r="F54" i="105"/>
  <c r="F15" i="105"/>
  <c r="L8" i="105"/>
  <c r="M8" i="105" s="1"/>
  <c r="N8" i="105" s="1"/>
  <c r="L47" i="105"/>
  <c r="M47" i="105" s="1"/>
  <c r="N47" i="105" s="1"/>
  <c r="F16" i="105"/>
  <c r="F32" i="105"/>
  <c r="L45" i="105"/>
  <c r="M45" i="105" s="1"/>
  <c r="N45" i="105" s="1"/>
  <c r="E19" i="105"/>
  <c r="F40" i="105"/>
  <c r="E24" i="105"/>
  <c r="E57" i="105"/>
  <c r="E20" i="105"/>
  <c r="E40" i="105"/>
  <c r="G40" i="105" s="1"/>
  <c r="E11" i="105"/>
  <c r="E12" i="105"/>
  <c r="E4" i="105"/>
  <c r="E33" i="105"/>
  <c r="E35" i="105"/>
  <c r="E43" i="105"/>
  <c r="E25" i="105"/>
  <c r="L43" i="105"/>
  <c r="M43" i="105" s="1"/>
  <c r="N43" i="105" s="1"/>
  <c r="L50" i="105"/>
  <c r="M50" i="105" s="1"/>
  <c r="N50" i="105" s="1"/>
  <c r="L42" i="105"/>
  <c r="M42" i="105" s="1"/>
  <c r="N42" i="105" s="1"/>
  <c r="L18" i="105"/>
  <c r="M18" i="105" s="1"/>
  <c r="N18" i="105" s="1"/>
  <c r="L46" i="105"/>
  <c r="M46" i="105" s="1"/>
  <c r="N46" i="105" s="1"/>
  <c r="L56" i="105"/>
  <c r="M56" i="105" s="1"/>
  <c r="N56" i="105" s="1"/>
  <c r="E39" i="105"/>
  <c r="F10" i="105"/>
  <c r="E55" i="105"/>
  <c r="F37" i="105"/>
  <c r="F34" i="105"/>
  <c r="F13" i="105"/>
  <c r="F30" i="105"/>
  <c r="F57" i="105"/>
  <c r="E13" i="105"/>
  <c r="L53" i="105"/>
  <c r="M53" i="105" s="1"/>
  <c r="N53" i="105" s="1"/>
  <c r="L51" i="105"/>
  <c r="M51" i="105" s="1"/>
  <c r="N51" i="105" s="1"/>
  <c r="L25" i="105"/>
  <c r="M25" i="105" s="1"/>
  <c r="N25" i="105" s="1"/>
  <c r="F9" i="105"/>
  <c r="F11" i="105"/>
  <c r="F12" i="105"/>
  <c r="F4" i="105"/>
  <c r="L22" i="105"/>
  <c r="M22" i="105" s="1"/>
  <c r="N22" i="105" s="1"/>
  <c r="L40" i="105"/>
  <c r="M40" i="105" s="1"/>
  <c r="N40" i="105" s="1"/>
  <c r="F49" i="105"/>
  <c r="L28" i="105"/>
  <c r="M28" i="105" s="1"/>
  <c r="N28" i="105" s="1"/>
  <c r="E31" i="105"/>
  <c r="G31" i="105" s="1"/>
  <c r="F29" i="105"/>
  <c r="E56" i="105"/>
  <c r="E41" i="105"/>
  <c r="E46" i="105"/>
  <c r="E8" i="105"/>
  <c r="E9" i="105"/>
  <c r="E54" i="105"/>
  <c r="E15" i="105"/>
  <c r="E50" i="105"/>
  <c r="E42" i="105"/>
  <c r="E18" i="105"/>
  <c r="AM74" i="111"/>
  <c r="BG45" i="70"/>
  <c r="BE45" i="70"/>
  <c r="BC45" i="70"/>
  <c r="BA45" i="70"/>
  <c r="AY45" i="70"/>
  <c r="AW45" i="70"/>
  <c r="AU45" i="70"/>
  <c r="AS45" i="70"/>
  <c r="AQ45" i="70"/>
  <c r="AO45" i="70"/>
  <c r="AM45" i="70"/>
  <c r="AK45" i="70"/>
  <c r="AI45" i="70"/>
  <c r="AG45" i="70"/>
  <c r="AE45" i="70"/>
  <c r="AC45" i="70"/>
  <c r="AA45" i="70"/>
  <c r="Y45" i="70"/>
  <c r="W45" i="70"/>
  <c r="U45" i="70"/>
  <c r="S45" i="70"/>
  <c r="Q45" i="70"/>
  <c r="O45" i="70"/>
  <c r="M45" i="70"/>
  <c r="K45" i="70"/>
  <c r="I45" i="70"/>
  <c r="G45" i="70"/>
  <c r="BF45" i="70"/>
  <c r="BD45" i="70"/>
  <c r="BB45" i="70"/>
  <c r="AZ45" i="70"/>
  <c r="AX45" i="70"/>
  <c r="AV45" i="70"/>
  <c r="AT45" i="70"/>
  <c r="AR45" i="70"/>
  <c r="AP45" i="70"/>
  <c r="AN45" i="70"/>
  <c r="AL45" i="70"/>
  <c r="AJ45" i="70"/>
  <c r="AH45" i="70"/>
  <c r="AF45" i="70"/>
  <c r="AD45" i="70"/>
  <c r="AB45" i="70"/>
  <c r="Z45" i="70"/>
  <c r="X45" i="70"/>
  <c r="V45" i="70"/>
  <c r="T45" i="70"/>
  <c r="R45" i="70"/>
  <c r="P45" i="70"/>
  <c r="N45" i="70"/>
  <c r="L45" i="70"/>
  <c r="J45" i="70"/>
  <c r="H45" i="70"/>
  <c r="F45" i="70"/>
  <c r="E45" i="70"/>
  <c r="G33" i="70"/>
  <c r="I33" i="70"/>
  <c r="K33" i="70"/>
  <c r="M33" i="70"/>
  <c r="O33" i="70"/>
  <c r="Q33" i="70"/>
  <c r="S33" i="70"/>
  <c r="U33" i="70"/>
  <c r="W33" i="70"/>
  <c r="Y33" i="70"/>
  <c r="AA33" i="70"/>
  <c r="AC33" i="70"/>
  <c r="AE33" i="70"/>
  <c r="AG33" i="70"/>
  <c r="AI33" i="70"/>
  <c r="AK33" i="70"/>
  <c r="AM33" i="70"/>
  <c r="AO33" i="70"/>
  <c r="AQ33" i="70"/>
  <c r="AS33" i="70"/>
  <c r="AU33" i="70"/>
  <c r="AW33" i="70"/>
  <c r="AY33" i="70"/>
  <c r="BA33" i="70"/>
  <c r="BC33" i="70"/>
  <c r="BE33" i="70"/>
  <c r="BG33" i="70"/>
  <c r="F33" i="70"/>
  <c r="H33" i="70"/>
  <c r="J33" i="70"/>
  <c r="L33" i="70"/>
  <c r="N33" i="70"/>
  <c r="P33" i="70"/>
  <c r="R33" i="70"/>
  <c r="T33" i="70"/>
  <c r="V33" i="70"/>
  <c r="X33" i="70"/>
  <c r="Z33" i="70"/>
  <c r="AB33" i="70"/>
  <c r="AD33" i="70"/>
  <c r="AF33" i="70"/>
  <c r="AH33" i="70"/>
  <c r="AJ33" i="70"/>
  <c r="AL33" i="70"/>
  <c r="AN33" i="70"/>
  <c r="AP33" i="70"/>
  <c r="AR33" i="70"/>
  <c r="AT33" i="70"/>
  <c r="AV33" i="70"/>
  <c r="AX33" i="70"/>
  <c r="AZ33" i="70"/>
  <c r="BB33" i="70"/>
  <c r="BD33" i="70"/>
  <c r="BF33" i="70"/>
  <c r="E33" i="70"/>
  <c r="S28" i="105"/>
  <c r="C90" i="114"/>
  <c r="B91" i="114"/>
  <c r="C20" i="114"/>
  <c r="C44" i="114"/>
  <c r="C21" i="114"/>
  <c r="C32" i="114"/>
  <c r="C53" i="114"/>
  <c r="C28" i="114"/>
  <c r="C25" i="114"/>
  <c r="C63" i="114"/>
  <c r="C35" i="114"/>
  <c r="C68" i="114"/>
  <c r="C81" i="114"/>
  <c r="O43" i="108"/>
  <c r="BF93" i="122"/>
  <c r="Z93" i="122"/>
  <c r="J93" i="122"/>
  <c r="AU93" i="122"/>
  <c r="AQ93" i="122"/>
  <c r="AM93" i="122"/>
  <c r="AE93" i="122"/>
  <c r="AA93" i="122"/>
  <c r="S93" i="122"/>
  <c r="O93" i="122"/>
  <c r="K93" i="122"/>
  <c r="F93" i="122"/>
  <c r="AV93" i="122"/>
  <c r="AF93" i="122"/>
  <c r="P93" i="122"/>
  <c r="O54" i="108"/>
  <c r="D17" i="108" s="1"/>
  <c r="G43" i="108"/>
  <c r="G54" i="108" s="1"/>
  <c r="D9" i="108" s="1"/>
  <c r="F9" i="108" s="1"/>
  <c r="G9" i="108" s="1"/>
  <c r="K54" i="108"/>
  <c r="D13" i="108" s="1"/>
  <c r="F13" i="108" s="1"/>
  <c r="G13" i="108" s="1"/>
  <c r="C54" i="108"/>
  <c r="D5" i="108" s="1"/>
  <c r="F5" i="108" s="1"/>
  <c r="G5" i="108" s="1"/>
  <c r="BE8" i="111"/>
  <c r="L43" i="108"/>
  <c r="H43" i="108"/>
  <c r="D43" i="108"/>
  <c r="D54" i="108" s="1"/>
  <c r="D6" i="108" s="1"/>
  <c r="C75" i="114"/>
  <c r="C46" i="114"/>
  <c r="C12" i="114"/>
  <c r="C60" i="114"/>
  <c r="C19" i="114"/>
  <c r="C78" i="114"/>
  <c r="C49" i="114"/>
  <c r="C2" i="114"/>
  <c r="C57" i="114"/>
  <c r="C13" i="114"/>
  <c r="C74" i="114"/>
  <c r="C37" i="114"/>
  <c r="C31" i="114"/>
  <c r="C1" i="114"/>
  <c r="C38" i="114"/>
  <c r="C26" i="114"/>
  <c r="C47" i="114"/>
  <c r="C48" i="114"/>
  <c r="C40" i="114"/>
  <c r="C51" i="114"/>
  <c r="C55" i="114"/>
  <c r="C77" i="114"/>
  <c r="I9" i="111"/>
  <c r="L54" i="108"/>
  <c r="D14" i="108" s="1"/>
  <c r="F14" i="108" s="1"/>
  <c r="B51" i="108"/>
  <c r="M43" i="108"/>
  <c r="M54" i="108" s="1"/>
  <c r="D15" i="108" s="1"/>
  <c r="F15" i="108" s="1"/>
  <c r="I43" i="108"/>
  <c r="E43" i="108"/>
  <c r="U14" i="111"/>
  <c r="AJ14" i="111"/>
  <c r="AP14" i="111"/>
  <c r="K14" i="111"/>
  <c r="X14" i="111"/>
  <c r="AO14" i="111"/>
  <c r="AL14" i="111"/>
  <c r="AH14" i="111"/>
  <c r="I14" i="111"/>
  <c r="O14" i="111"/>
  <c r="Q14" i="111"/>
  <c r="H14" i="111"/>
  <c r="BE14" i="111"/>
  <c r="AN14" i="111"/>
  <c r="AK14" i="111"/>
  <c r="AC14" i="111"/>
  <c r="Y14" i="111"/>
  <c r="G14" i="111"/>
  <c r="BD14" i="111"/>
  <c r="AZ14" i="111"/>
  <c r="BC14" i="111"/>
  <c r="V14" i="111"/>
  <c r="E14" i="111"/>
  <c r="AT14" i="111"/>
  <c r="AU14" i="111"/>
  <c r="R14" i="111"/>
  <c r="L14" i="111"/>
  <c r="S14" i="111"/>
  <c r="D9" i="111"/>
  <c r="AA9" i="111"/>
  <c r="BC10" i="120"/>
  <c r="BE10" i="120"/>
  <c r="E10" i="120"/>
  <c r="E104" i="120" s="1"/>
  <c r="E107" i="120" s="1"/>
  <c r="G10" i="120"/>
  <c r="I10" i="120"/>
  <c r="K10" i="120"/>
  <c r="M10" i="120"/>
  <c r="O10" i="120"/>
  <c r="Q10" i="120"/>
  <c r="S10" i="120"/>
  <c r="U10" i="120"/>
  <c r="W10" i="120"/>
  <c r="W104" i="120" s="1"/>
  <c r="W107" i="120" s="1"/>
  <c r="Y10" i="120"/>
  <c r="AA10" i="120"/>
  <c r="AC10" i="120"/>
  <c r="AE10" i="120"/>
  <c r="AG10" i="120"/>
  <c r="AI10" i="120"/>
  <c r="AK10" i="120"/>
  <c r="AM10" i="120"/>
  <c r="AO10" i="120"/>
  <c r="AQ10" i="120"/>
  <c r="AQ23" i="120" s="1"/>
  <c r="AQ26" i="120" s="1"/>
  <c r="AS10" i="120"/>
  <c r="AU10" i="120"/>
  <c r="AW10" i="120"/>
  <c r="AY10" i="120"/>
  <c r="BA10" i="120"/>
  <c r="BB10" i="120"/>
  <c r="BD10" i="120"/>
  <c r="BD40" i="120" s="1"/>
  <c r="D10" i="120"/>
  <c r="F10" i="120"/>
  <c r="H10" i="120"/>
  <c r="J10" i="120"/>
  <c r="L10" i="120"/>
  <c r="N10" i="120"/>
  <c r="N40" i="120" s="1"/>
  <c r="P10" i="120"/>
  <c r="R10" i="120"/>
  <c r="T10" i="120"/>
  <c r="V10" i="120"/>
  <c r="X10" i="120"/>
  <c r="Z10" i="120"/>
  <c r="AB10" i="120"/>
  <c r="AD10" i="120"/>
  <c r="AF10" i="120"/>
  <c r="AH10" i="120"/>
  <c r="AJ10" i="120"/>
  <c r="AL10" i="120"/>
  <c r="AN10" i="120"/>
  <c r="AP10" i="120"/>
  <c r="AR10" i="120"/>
  <c r="AT10" i="120"/>
  <c r="AV10" i="120"/>
  <c r="AX10" i="120"/>
  <c r="AX40" i="120" s="1"/>
  <c r="AZ10" i="120"/>
  <c r="C10" i="120"/>
  <c r="N43" i="108"/>
  <c r="J43" i="108"/>
  <c r="J54" i="108" s="1"/>
  <c r="D12" i="108" s="1"/>
  <c r="F12" i="108" s="1"/>
  <c r="F43" i="108"/>
  <c r="B43" i="108"/>
  <c r="AV6" i="111"/>
  <c r="AV24" i="111" s="1"/>
  <c r="S4" i="105"/>
  <c r="R4" i="105"/>
  <c r="X6" i="111"/>
  <c r="X24" i="111" s="1"/>
  <c r="AD6" i="111"/>
  <c r="AD25" i="111" s="1"/>
  <c r="BE6" i="111"/>
  <c r="BE24" i="111" s="1"/>
  <c r="AZ5" i="111"/>
  <c r="AA5" i="111"/>
  <c r="AA6" i="111"/>
  <c r="AA25" i="111" s="1"/>
  <c r="AM6" i="111"/>
  <c r="AM25" i="111" s="1"/>
  <c r="T6" i="111"/>
  <c r="T24" i="111" s="1"/>
  <c r="Y6" i="111"/>
  <c r="Y25" i="111" s="1"/>
  <c r="AC5" i="111"/>
  <c r="AL6" i="111"/>
  <c r="AL25" i="111" s="1"/>
  <c r="S26" i="105"/>
  <c r="S45" i="105"/>
  <c r="S11" i="105"/>
  <c r="S42" i="105"/>
  <c r="AZ16" i="111"/>
  <c r="AV16" i="111"/>
  <c r="AJ16" i="111"/>
  <c r="X16" i="111"/>
  <c r="G16" i="79"/>
  <c r="AF16" i="79" s="1"/>
  <c r="H16" i="111"/>
  <c r="G4" i="79"/>
  <c r="I4" i="79" s="1"/>
  <c r="N4" i="79" s="1"/>
  <c r="BA16" i="111"/>
  <c r="AS16" i="111"/>
  <c r="AO16" i="111"/>
  <c r="E81" i="11" s="1"/>
  <c r="AG16" i="111"/>
  <c r="G11" i="79"/>
  <c r="I11" i="79" s="1"/>
  <c r="N11" i="79" s="1"/>
  <c r="G16" i="111"/>
  <c r="G54" i="79"/>
  <c r="I54" i="79" s="1"/>
  <c r="G50" i="79"/>
  <c r="I50" i="79" s="1"/>
  <c r="AT16" i="111"/>
  <c r="AP16" i="111"/>
  <c r="E82" i="11" s="1"/>
  <c r="AH16" i="111"/>
  <c r="AD16" i="111"/>
  <c r="Z16" i="111"/>
  <c r="F16" i="111"/>
  <c r="BE16" i="111"/>
  <c r="G3" i="79"/>
  <c r="AM16" i="111"/>
  <c r="AI16" i="111"/>
  <c r="AE16" i="111"/>
  <c r="AA16" i="111"/>
  <c r="M16" i="111"/>
  <c r="AX93" i="122"/>
  <c r="AL93" i="122"/>
  <c r="R93" i="122"/>
  <c r="BE69" i="122"/>
  <c r="BC93" i="122"/>
  <c r="AY93" i="122"/>
  <c r="AI93" i="122"/>
  <c r="W93" i="122"/>
  <c r="G93" i="122"/>
  <c r="AN69" i="122"/>
  <c r="H43" i="122"/>
  <c r="J81" i="122"/>
  <c r="AP9" i="111"/>
  <c r="AO9" i="111"/>
  <c r="H9" i="111"/>
  <c r="I54" i="108"/>
  <c r="AH24" i="122"/>
  <c r="AU61" i="122"/>
  <c r="Q25" i="122"/>
  <c r="AH62" i="122"/>
  <c r="I81" i="122"/>
  <c r="BD6" i="111"/>
  <c r="BD25" i="111" s="1"/>
  <c r="AM5" i="111"/>
  <c r="E6" i="111"/>
  <c r="E24" i="111" s="1"/>
  <c r="Y5" i="111"/>
  <c r="AQ8" i="111"/>
  <c r="AD8" i="111"/>
  <c r="AN8" i="111"/>
  <c r="I8" i="111"/>
  <c r="BE9" i="111"/>
  <c r="AQ9" i="111"/>
  <c r="AJ81" i="122"/>
  <c r="K48" i="122"/>
  <c r="O23" i="122"/>
  <c r="BB23" i="122"/>
  <c r="AX23" i="122"/>
  <c r="AP23" i="122"/>
  <c r="AL24" i="122"/>
  <c r="AH23" i="122"/>
  <c r="AD23" i="122"/>
  <c r="H74" i="122"/>
  <c r="X48" i="122"/>
  <c r="X74" i="122"/>
  <c r="AU36" i="122"/>
  <c r="P23" i="122"/>
  <c r="Z75" i="122"/>
  <c r="V48" i="122"/>
  <c r="V56" i="122" s="1"/>
  <c r="BE23" i="122"/>
  <c r="G23" i="122"/>
  <c r="AA48" i="122"/>
  <c r="Q36" i="122"/>
  <c r="I48" i="122"/>
  <c r="I56" i="122" s="1"/>
  <c r="AP49" i="122"/>
  <c r="AP56" i="122" s="1"/>
  <c r="AP62" i="122"/>
  <c r="AP69" i="122" s="1"/>
  <c r="AX62" i="122"/>
  <c r="AX69" i="122" s="1"/>
  <c r="BF62" i="122"/>
  <c r="E62" i="122"/>
  <c r="E69" i="122" s="1"/>
  <c r="AL48" i="122"/>
  <c r="AL36" i="122"/>
  <c r="AT36" i="122"/>
  <c r="AT43" i="122" s="1"/>
  <c r="BB61" i="122"/>
  <c r="BB69" i="122" s="1"/>
  <c r="L25" i="122"/>
  <c r="L48" i="122"/>
  <c r="T25" i="122"/>
  <c r="T36" i="122"/>
  <c r="T43" i="122" s="1"/>
  <c r="AM62" i="122"/>
  <c r="AM37" i="122"/>
  <c r="AM43" i="122" s="1"/>
  <c r="BC75" i="122"/>
  <c r="BC81" i="122" s="1"/>
  <c r="BC62" i="122"/>
  <c r="BC69" i="122" s="1"/>
  <c r="AS37" i="122"/>
  <c r="AG25" i="122"/>
  <c r="AW36" i="122"/>
  <c r="O25" i="122"/>
  <c r="O36" i="122"/>
  <c r="O43" i="122" s="1"/>
  <c r="P62" i="122"/>
  <c r="P69" i="122" s="1"/>
  <c r="Y75" i="122"/>
  <c r="Y81" i="122" s="1"/>
  <c r="Y49" i="122"/>
  <c r="U25" i="122"/>
  <c r="U74" i="122"/>
  <c r="U48" i="122"/>
  <c r="U56" i="122" s="1"/>
  <c r="AE25" i="122"/>
  <c r="AG62" i="122"/>
  <c r="AG49" i="122"/>
  <c r="AK74" i="122"/>
  <c r="AK81" i="122" s="1"/>
  <c r="BA37" i="122"/>
  <c r="BA49" i="122"/>
  <c r="N61" i="122"/>
  <c r="N69" i="122" s="1"/>
  <c r="N74" i="122"/>
  <c r="N48" i="122"/>
  <c r="AF61" i="122"/>
  <c r="AF69" i="122" s="1"/>
  <c r="AF74" i="122"/>
  <c r="AF81" i="122" s="1"/>
  <c r="AF25" i="122"/>
  <c r="AZ49" i="122"/>
  <c r="AZ62" i="122"/>
  <c r="AJ37" i="122"/>
  <c r="Z74" i="122"/>
  <c r="Z81" i="122" s="1"/>
  <c r="Z25" i="122"/>
  <c r="AS36" i="122"/>
  <c r="AS74" i="122"/>
  <c r="AZ61" i="122"/>
  <c r="AZ48" i="122"/>
  <c r="K75" i="122"/>
  <c r="K37" i="122"/>
  <c r="AA24" i="122"/>
  <c r="AC61" i="122"/>
  <c r="AC74" i="122"/>
  <c r="AC81" i="122" s="1"/>
  <c r="AV37" i="122"/>
  <c r="AV75" i="122"/>
  <c r="AK49" i="122"/>
  <c r="AK37" i="122"/>
  <c r="Y56" i="122"/>
  <c r="O24" i="122"/>
  <c r="BF24" i="122"/>
  <c r="BF31" i="122" s="1"/>
  <c r="BB24" i="122"/>
  <c r="AX24" i="122"/>
  <c r="AP24" i="122"/>
  <c r="AL23" i="122"/>
  <c r="Z24" i="122"/>
  <c r="H48" i="122"/>
  <c r="H25" i="122"/>
  <c r="X36" i="122"/>
  <c r="X25" i="122"/>
  <c r="AU74" i="122"/>
  <c r="AU81" i="122" s="1"/>
  <c r="AU24" i="122"/>
  <c r="AU31" i="122" s="1"/>
  <c r="Z49" i="122"/>
  <c r="Y24" i="122"/>
  <c r="BE24" i="122"/>
  <c r="AA25" i="122"/>
  <c r="Q61" i="122"/>
  <c r="Q69" i="122" s="1"/>
  <c r="AW74" i="122"/>
  <c r="AM49" i="122"/>
  <c r="L36" i="122"/>
  <c r="L43" i="122" s="1"/>
  <c r="AT25" i="122"/>
  <c r="AD36" i="122"/>
  <c r="AD43" i="122" s="1"/>
  <c r="X37" i="122"/>
  <c r="AZ37" i="122"/>
  <c r="M75" i="122"/>
  <c r="AF48" i="122"/>
  <c r="AF56" i="122" s="1"/>
  <c r="AV36" i="122"/>
  <c r="N25" i="122"/>
  <c r="AQ49" i="122"/>
  <c r="BA75" i="122"/>
  <c r="BA81" i="122" s="1"/>
  <c r="AK36" i="122"/>
  <c r="AG37" i="122"/>
  <c r="AG43" i="122" s="1"/>
  <c r="AE48" i="122"/>
  <c r="U36" i="122"/>
  <c r="K62" i="122"/>
  <c r="AZ74" i="122"/>
  <c r="AZ81" i="122" s="1"/>
  <c r="Z61" i="122"/>
  <c r="D48" i="122"/>
  <c r="D56" i="122" s="1"/>
  <c r="AL37" i="122"/>
  <c r="AL75" i="122"/>
  <c r="AT62" i="122"/>
  <c r="AT69" i="122" s="1"/>
  <c r="BB75" i="122"/>
  <c r="BB81" i="122" s="1"/>
  <c r="AX25" i="122"/>
  <c r="AX74" i="122"/>
  <c r="BF74" i="122"/>
  <c r="P25" i="122"/>
  <c r="P74" i="122"/>
  <c r="AE49" i="122"/>
  <c r="AE37" i="122"/>
  <c r="AU37" i="122"/>
  <c r="AC37" i="122"/>
  <c r="AC49" i="122"/>
  <c r="H62" i="122"/>
  <c r="H69" i="122" s="1"/>
  <c r="H49" i="122"/>
  <c r="AO48" i="122"/>
  <c r="AO56" i="122" s="1"/>
  <c r="AO74" i="122"/>
  <c r="AO81" i="122" s="1"/>
  <c r="AO36" i="122"/>
  <c r="AO43" i="122" s="1"/>
  <c r="BE74" i="122"/>
  <c r="BE81" i="122" s="1"/>
  <c r="BE25" i="122"/>
  <c r="BE36" i="122"/>
  <c r="BE43" i="122" s="1"/>
  <c r="AW62" i="122"/>
  <c r="AW75" i="122"/>
  <c r="AW81" i="122" s="1"/>
  <c r="AI25" i="122"/>
  <c r="AI31" i="122" s="1"/>
  <c r="AI36" i="122"/>
  <c r="AI43" i="122" s="1"/>
  <c r="AI48" i="122"/>
  <c r="AI56" i="122" s="1"/>
  <c r="AQ36" i="122"/>
  <c r="AQ43" i="122" s="1"/>
  <c r="AQ25" i="122"/>
  <c r="AQ48" i="122"/>
  <c r="AM25" i="122"/>
  <c r="AM74" i="122"/>
  <c r="AM48" i="122"/>
  <c r="W61" i="122"/>
  <c r="W69" i="122" s="1"/>
  <c r="G61" i="122"/>
  <c r="G69" i="122" s="1"/>
  <c r="G74" i="122"/>
  <c r="G81" i="122" s="1"/>
  <c r="G25" i="122"/>
  <c r="E23" i="122"/>
  <c r="E24" i="122"/>
  <c r="N23" i="122"/>
  <c r="N24" i="122"/>
  <c r="BA24" i="122"/>
  <c r="AS23" i="122"/>
  <c r="AC24" i="122"/>
  <c r="AC31" i="122" s="1"/>
  <c r="F49" i="122"/>
  <c r="F56" i="122" s="1"/>
  <c r="F37" i="122"/>
  <c r="J48" i="122"/>
  <c r="J61" i="122"/>
  <c r="Q24" i="122"/>
  <c r="AZ24" i="122"/>
  <c r="AV24" i="122"/>
  <c r="AV23" i="122"/>
  <c r="AR24" i="122"/>
  <c r="AN23" i="122"/>
  <c r="AN31" i="122" s="1"/>
  <c r="AJ23" i="122"/>
  <c r="AJ31" i="122" s="1"/>
  <c r="AF23" i="122"/>
  <c r="AB23" i="122"/>
  <c r="W24" i="122"/>
  <c r="W31" i="122" s="1"/>
  <c r="AB25" i="122"/>
  <c r="S48" i="122"/>
  <c r="S36" i="122"/>
  <c r="AB62" i="122"/>
  <c r="AB69" i="122" s="1"/>
  <c r="AR62" i="122"/>
  <c r="R75" i="122"/>
  <c r="R81" i="122" s="1"/>
  <c r="G49" i="122"/>
  <c r="G56" i="122" s="1"/>
  <c r="AN36" i="122"/>
  <c r="BD48" i="122"/>
  <c r="BD56" i="122" s="1"/>
  <c r="BD74" i="122"/>
  <c r="AA49" i="122"/>
  <c r="Q37" i="122"/>
  <c r="Q43" i="122" s="1"/>
  <c r="Q75" i="122"/>
  <c r="L62" i="122"/>
  <c r="BA48" i="122"/>
  <c r="J49" i="122"/>
  <c r="BE49" i="122"/>
  <c r="E74" i="122"/>
  <c r="E81" i="122" s="1"/>
  <c r="F24" i="122"/>
  <c r="BC24" i="122"/>
  <c r="AM24" i="122"/>
  <c r="F62" i="122"/>
  <c r="F69" i="122" s="1"/>
  <c r="F36" i="122"/>
  <c r="AK23" i="122"/>
  <c r="AS24" i="122"/>
  <c r="BA23" i="122"/>
  <c r="G36" i="122"/>
  <c r="G43" i="122" s="1"/>
  <c r="W36" i="122"/>
  <c r="W43" i="122" s="1"/>
  <c r="AM61" i="122"/>
  <c r="AQ74" i="122"/>
  <c r="AI61" i="122"/>
  <c r="AI69" i="122" s="1"/>
  <c r="BE48" i="122"/>
  <c r="AO61" i="122"/>
  <c r="AO69" i="122" s="1"/>
  <c r="H75" i="122"/>
  <c r="AC62" i="122"/>
  <c r="AU49" i="122"/>
  <c r="AE62" i="122"/>
  <c r="AE69" i="122" s="1"/>
  <c r="BF61" i="122"/>
  <c r="BB37" i="122"/>
  <c r="AD81" i="122"/>
  <c r="AH43" i="122"/>
  <c r="R56" i="122"/>
  <c r="AF43" i="122"/>
  <c r="D93" i="122"/>
  <c r="AC93" i="122"/>
  <c r="Q93" i="122"/>
  <c r="J13" i="116"/>
  <c r="K13" i="116" s="1"/>
  <c r="BC16" i="111"/>
  <c r="G55" i="79"/>
  <c r="I55" i="79" s="1"/>
  <c r="N55" i="79" s="1"/>
  <c r="AC25" i="111"/>
  <c r="G42" i="79"/>
  <c r="I42" i="79" s="1"/>
  <c r="F24" i="111"/>
  <c r="G34" i="79"/>
  <c r="AF34" i="79" s="1"/>
  <c r="G41" i="79"/>
  <c r="I41" i="79" s="1"/>
  <c r="N41" i="79" s="1"/>
  <c r="G7" i="79"/>
  <c r="AF7" i="79" s="1"/>
  <c r="S69" i="122"/>
  <c r="T69" i="122"/>
  <c r="BD75" i="122"/>
  <c r="K25" i="122"/>
  <c r="K31" i="122" s="1"/>
  <c r="AK69" i="122"/>
  <c r="R69" i="122"/>
  <c r="AL56" i="122"/>
  <c r="AT24" i="122"/>
  <c r="AD24" i="122"/>
  <c r="AU48" i="122"/>
  <c r="S81" i="122"/>
  <c r="AB49" i="122"/>
  <c r="AB56" i="122" s="1"/>
  <c r="R37" i="122"/>
  <c r="R43" i="122" s="1"/>
  <c r="AN74" i="122"/>
  <c r="AN81" i="122" s="1"/>
  <c r="AA75" i="122"/>
  <c r="AA81" i="122" s="1"/>
  <c r="L49" i="122"/>
  <c r="J37" i="122"/>
  <c r="J43" i="122" s="1"/>
  <c r="E48" i="122"/>
  <c r="E25" i="122"/>
  <c r="AG24" i="122"/>
  <c r="AA36" i="122"/>
  <c r="AA43" i="122" s="1"/>
  <c r="I36" i="122"/>
  <c r="I43" i="122" s="1"/>
  <c r="P49" i="122"/>
  <c r="AW61" i="122"/>
  <c r="BC49" i="122"/>
  <c r="BC56" i="122" s="1"/>
  <c r="BB25" i="122"/>
  <c r="AL74" i="122"/>
  <c r="E37" i="122"/>
  <c r="E43" i="122" s="1"/>
  <c r="BF37" i="122"/>
  <c r="BF43" i="122" s="1"/>
  <c r="AZ36" i="122"/>
  <c r="AS25" i="122"/>
  <c r="H23" i="122"/>
  <c r="AV62" i="122"/>
  <c r="AV69" i="122" s="1"/>
  <c r="AC36" i="122"/>
  <c r="AG48" i="122"/>
  <c r="AG74" i="122"/>
  <c r="AG81" i="122" s="1"/>
  <c r="BA69" i="122"/>
  <c r="J62" i="122"/>
  <c r="AE24" i="122"/>
  <c r="V61" i="122"/>
  <c r="V69" i="122" s="1"/>
  <c r="I61" i="122"/>
  <c r="I69" i="122" s="1"/>
  <c r="N75" i="122"/>
  <c r="T48" i="122"/>
  <c r="T56" i="122" s="1"/>
  <c r="H24" i="122"/>
  <c r="BC25" i="122"/>
  <c r="O75" i="122"/>
  <c r="O81" i="122" s="1"/>
  <c r="AH48" i="122"/>
  <c r="AH61" i="122"/>
  <c r="AH69" i="122" s="1"/>
  <c r="AU62" i="122"/>
  <c r="S37" i="122"/>
  <c r="S49" i="122"/>
  <c r="W74" i="122"/>
  <c r="W81" i="122" s="1"/>
  <c r="W48" i="122"/>
  <c r="W56" i="122" s="1"/>
  <c r="F25" i="122"/>
  <c r="U24" i="122"/>
  <c r="X24" i="122"/>
  <c r="AK48" i="122"/>
  <c r="AK56" i="122" s="1"/>
  <c r="AK25" i="122"/>
  <c r="AQ62" i="122"/>
  <c r="AQ75" i="122"/>
  <c r="AV74" i="122"/>
  <c r="M62" i="122"/>
  <c r="M37" i="122"/>
  <c r="AJ49" i="122"/>
  <c r="AJ62" i="122"/>
  <c r="AJ69" i="122" s="1"/>
  <c r="S23" i="122"/>
  <c r="S31" i="122" s="1"/>
  <c r="AQ24" i="122"/>
  <c r="AN37" i="122"/>
  <c r="AN49" i="122"/>
  <c r="AN56" i="122" s="1"/>
  <c r="AP75" i="122"/>
  <c r="AP81" i="122" s="1"/>
  <c r="AP37" i="122"/>
  <c r="AP43" i="122" s="1"/>
  <c r="BF75" i="122"/>
  <c r="BF49" i="122"/>
  <c r="BF56" i="122" s="1"/>
  <c r="E49" i="122"/>
  <c r="AL25" i="122"/>
  <c r="BB36" i="122"/>
  <c r="BB48" i="122"/>
  <c r="BB56" i="122" s="1"/>
  <c r="N49" i="122"/>
  <c r="P75" i="122"/>
  <c r="P37" i="122"/>
  <c r="Z36" i="122"/>
  <c r="Z43" i="122" s="1"/>
  <c r="Z48" i="122"/>
  <c r="AS61" i="122"/>
  <c r="AS69" i="122" s="1"/>
  <c r="AZ25" i="122"/>
  <c r="AC48" i="122"/>
  <c r="AV49" i="122"/>
  <c r="AD93" i="122"/>
  <c r="K36" i="122"/>
  <c r="K74" i="122"/>
  <c r="K61" i="122"/>
  <c r="AH49" i="122"/>
  <c r="AX37" i="122"/>
  <c r="AX43" i="122" s="1"/>
  <c r="X75" i="122"/>
  <c r="X81" i="122" s="1"/>
  <c r="AD61" i="122"/>
  <c r="AD69" i="122" s="1"/>
  <c r="AD48" i="122"/>
  <c r="AD56" i="122" s="1"/>
  <c r="AT74" i="122"/>
  <c r="AT81" i="122" s="1"/>
  <c r="L61" i="122"/>
  <c r="L69" i="122" s="1"/>
  <c r="AM75" i="122"/>
  <c r="AS49" i="122"/>
  <c r="AS56" i="122" s="1"/>
  <c r="O48" i="122"/>
  <c r="O56" i="122" s="1"/>
  <c r="Y62" i="122"/>
  <c r="Y69" i="122" s="1"/>
  <c r="V24" i="122"/>
  <c r="J23" i="122"/>
  <c r="AO23" i="122"/>
  <c r="Y23" i="122"/>
  <c r="Z62" i="122"/>
  <c r="AY74" i="122"/>
  <c r="AY62" i="122"/>
  <c r="D25" i="122"/>
  <c r="AR61" i="122"/>
  <c r="AR48" i="122"/>
  <c r="AR56" i="122" s="1"/>
  <c r="AB81" i="122"/>
  <c r="BA36" i="122"/>
  <c r="BA43" i="122" s="1"/>
  <c r="J24" i="122"/>
  <c r="V23" i="122"/>
  <c r="Q74" i="122"/>
  <c r="Y37" i="122"/>
  <c r="Y43" i="122" s="1"/>
  <c r="O61" i="122"/>
  <c r="O69" i="122" s="1"/>
  <c r="AG61" i="122"/>
  <c r="AG69" i="122" s="1"/>
  <c r="AS75" i="122"/>
  <c r="AS81" i="122" s="1"/>
  <c r="L74" i="122"/>
  <c r="L81" i="122" s="1"/>
  <c r="AT48" i="122"/>
  <c r="AT56" i="122" s="1"/>
  <c r="AD25" i="122"/>
  <c r="X62" i="122"/>
  <c r="X69" i="122" s="1"/>
  <c r="AX49" i="122"/>
  <c r="AX56" i="122" s="1"/>
  <c r="AY49" i="122"/>
  <c r="AY48" i="122"/>
  <c r="AY24" i="122"/>
  <c r="AJ48" i="122"/>
  <c r="AR36" i="122"/>
  <c r="AR43" i="122" s="1"/>
  <c r="D24" i="122"/>
  <c r="P36" i="122"/>
  <c r="P48" i="122"/>
  <c r="AO25" i="122"/>
  <c r="AW49" i="122"/>
  <c r="AQ61" i="122"/>
  <c r="D23" i="122"/>
  <c r="T23" i="122"/>
  <c r="F74" i="122"/>
  <c r="F81" i="122" s="1"/>
  <c r="BC23" i="122"/>
  <c r="AE74" i="122"/>
  <c r="AE81" i="122" s="1"/>
  <c r="AE36" i="122"/>
  <c r="AV48" i="122"/>
  <c r="U62" i="122"/>
  <c r="U75" i="122"/>
  <c r="U81" i="122" s="1"/>
  <c r="AW43" i="122"/>
  <c r="X49" i="122"/>
  <c r="X56" i="122" s="1"/>
  <c r="AX75" i="122"/>
  <c r="AH75" i="122"/>
  <c r="AH81" i="122" s="1"/>
  <c r="AJ43" i="122"/>
  <c r="AZ69" i="122"/>
  <c r="K49" i="122"/>
  <c r="K56" i="122" s="1"/>
  <c r="AY75" i="122"/>
  <c r="AY61" i="122"/>
  <c r="AY23" i="122"/>
  <c r="AR25" i="122"/>
  <c r="D36" i="122"/>
  <c r="D43" i="122" s="1"/>
  <c r="AL61" i="122"/>
  <c r="AL69" i="122" s="1"/>
  <c r="T74" i="122"/>
  <c r="T81" i="122" s="1"/>
  <c r="BC37" i="122"/>
  <c r="BC43" i="122" s="1"/>
  <c r="N37" i="122"/>
  <c r="N43" i="122" s="1"/>
  <c r="AW25" i="122"/>
  <c r="AW48" i="122"/>
  <c r="I25" i="122"/>
  <c r="AA61" i="122"/>
  <c r="AA69" i="122" s="1"/>
  <c r="R23" i="122"/>
  <c r="R31" i="122" s="1"/>
  <c r="AW24" i="122"/>
  <c r="V74" i="122"/>
  <c r="V81" i="122" s="1"/>
  <c r="V36" i="122"/>
  <c r="V43" i="122" s="1"/>
  <c r="AE23" i="122"/>
  <c r="AY37" i="122"/>
  <c r="AY43" i="122" s="1"/>
  <c r="AY25" i="122"/>
  <c r="AR74" i="122"/>
  <c r="AR81" i="122" s="1"/>
  <c r="D61" i="122"/>
  <c r="D69" i="122" s="1"/>
  <c r="D74" i="122"/>
  <c r="D81" i="122" s="1"/>
  <c r="L23" i="122"/>
  <c r="L31" i="122" s="1"/>
  <c r="BE93" i="122"/>
  <c r="AO93" i="122"/>
  <c r="I93" i="122"/>
  <c r="AI81" i="122"/>
  <c r="S51" i="105"/>
  <c r="AT25" i="111"/>
  <c r="K16" i="111"/>
  <c r="AG9" i="111"/>
  <c r="C89" i="114"/>
  <c r="C88" i="114"/>
  <c r="C70" i="114"/>
  <c r="C56" i="114"/>
  <c r="C39" i="114"/>
  <c r="C16" i="114"/>
  <c r="C4" i="114"/>
  <c r="C67" i="114"/>
  <c r="C52" i="114"/>
  <c r="C33" i="114"/>
  <c r="C15" i="114"/>
  <c r="C83" i="114"/>
  <c r="C85" i="114"/>
  <c r="C18" i="114"/>
  <c r="C76" i="114"/>
  <c r="C36" i="114"/>
  <c r="C23" i="114"/>
  <c r="C62" i="114"/>
  <c r="C27" i="114"/>
  <c r="C8" i="114"/>
  <c r="C10" i="114"/>
  <c r="C45" i="114"/>
  <c r="C17" i="114"/>
  <c r="C84" i="114"/>
  <c r="C71" i="114"/>
  <c r="C42" i="114"/>
  <c r="C66" i="114"/>
  <c r="C64" i="114"/>
  <c r="C30" i="114"/>
  <c r="C59" i="114"/>
  <c r="C72" i="114"/>
  <c r="C58" i="114"/>
  <c r="C24" i="114"/>
  <c r="C7" i="114"/>
  <c r="C22" i="114"/>
  <c r="C34" i="114"/>
  <c r="C14" i="114"/>
  <c r="C3" i="114"/>
  <c r="C43" i="114"/>
  <c r="C86" i="114"/>
  <c r="C82" i="114"/>
  <c r="C11" i="114"/>
  <c r="C79" i="114"/>
  <c r="C6" i="114"/>
  <c r="J9" i="111"/>
  <c r="AC9" i="111"/>
  <c r="AD9" i="111"/>
  <c r="G9" i="111"/>
  <c r="U89" i="120"/>
  <c r="U92" i="120" s="1"/>
  <c r="W15" i="111"/>
  <c r="W18" i="111"/>
  <c r="W14" i="111"/>
  <c r="W17" i="111"/>
  <c r="AA31" i="122"/>
  <c r="AB43" i="122"/>
  <c r="BB93" i="122"/>
  <c r="AT93" i="122"/>
  <c r="V93" i="122"/>
  <c r="N93" i="122"/>
  <c r="G45" i="79"/>
  <c r="AF45" i="79" s="1"/>
  <c r="BD62" i="122"/>
  <c r="BD69" i="122" s="1"/>
  <c r="BD37" i="122"/>
  <c r="BD43" i="122" s="1"/>
  <c r="BD31" i="122"/>
  <c r="BA5" i="111"/>
  <c r="N5" i="111"/>
  <c r="K5" i="111"/>
  <c r="Q5" i="111"/>
  <c r="AR5" i="111"/>
  <c r="BB5" i="111"/>
  <c r="J5" i="111"/>
  <c r="AI5" i="111"/>
  <c r="AP5" i="111"/>
  <c r="AV5" i="111"/>
  <c r="L5" i="111"/>
  <c r="AW5" i="111"/>
  <c r="AT5" i="111"/>
  <c r="AB5" i="111"/>
  <c r="D5" i="111"/>
  <c r="V5" i="111"/>
  <c r="AS5" i="111"/>
  <c r="I5" i="111"/>
  <c r="G89" i="11"/>
  <c r="D90" i="11"/>
  <c r="P97" i="103"/>
  <c r="O98" i="103"/>
  <c r="P98" i="103" s="1"/>
  <c r="O88" i="103"/>
  <c r="P88" i="103" s="1"/>
  <c r="P87" i="103"/>
  <c r="O77" i="103"/>
  <c r="P77" i="103" s="1"/>
  <c r="P76" i="103"/>
  <c r="O73" i="103"/>
  <c r="P73" i="103" s="1"/>
  <c r="P72" i="103"/>
  <c r="O63" i="103"/>
  <c r="P63" i="103" s="1"/>
  <c r="P62" i="103"/>
  <c r="O59" i="103"/>
  <c r="P59" i="103" s="1"/>
  <c r="P58" i="103"/>
  <c r="P46" i="103"/>
  <c r="O49" i="103"/>
  <c r="P49" i="103" s="1"/>
  <c r="O45" i="103"/>
  <c r="P45" i="103" s="1"/>
  <c r="P38" i="103"/>
  <c r="P17" i="103"/>
  <c r="O20" i="103"/>
  <c r="P20" i="103" s="1"/>
  <c r="M129" i="114"/>
  <c r="M136" i="114" s="1"/>
  <c r="R129" i="114"/>
  <c r="R136" i="114" s="1"/>
  <c r="L136" i="114"/>
  <c r="M127" i="114"/>
  <c r="M134" i="114" s="1"/>
  <c r="R127" i="114"/>
  <c r="R134" i="114" s="1"/>
  <c r="L134" i="114"/>
  <c r="M125" i="114"/>
  <c r="M132" i="114" s="1"/>
  <c r="R125" i="114"/>
  <c r="R132" i="114" s="1"/>
  <c r="L132" i="114"/>
  <c r="AL5" i="111"/>
  <c r="AE5" i="111"/>
  <c r="D150" i="11"/>
  <c r="P103" i="103"/>
  <c r="O104" i="103"/>
  <c r="P104" i="103" s="1"/>
  <c r="O96" i="103"/>
  <c r="P96" i="103" s="1"/>
  <c r="P89" i="103"/>
  <c r="P83" i="103"/>
  <c r="O84" i="103"/>
  <c r="P84" i="103" s="1"/>
  <c r="O80" i="103"/>
  <c r="P80" i="103" s="1"/>
  <c r="P78" i="103"/>
  <c r="O75" i="103"/>
  <c r="P75" i="103" s="1"/>
  <c r="P74" i="103"/>
  <c r="P33" i="103"/>
  <c r="O35" i="103"/>
  <c r="P35" i="103" s="1"/>
  <c r="P27" i="103"/>
  <c r="O30" i="103"/>
  <c r="P30" i="103" s="1"/>
  <c r="M151" i="114"/>
  <c r="M158" i="114" s="1"/>
  <c r="R151" i="114"/>
  <c r="R158" i="114" s="1"/>
  <c r="L158" i="114"/>
  <c r="M149" i="114"/>
  <c r="M156" i="114" s="1"/>
  <c r="R149" i="114"/>
  <c r="R156" i="114" s="1"/>
  <c r="L156" i="114"/>
  <c r="M147" i="114"/>
  <c r="M154" i="114" s="1"/>
  <c r="R147" i="114"/>
  <c r="R154" i="114" s="1"/>
  <c r="L154" i="114"/>
  <c r="L114" i="114"/>
  <c r="M107" i="114"/>
  <c r="M114" i="114" s="1"/>
  <c r="R107" i="114"/>
  <c r="R114" i="114" s="1"/>
  <c r="L112" i="114"/>
  <c r="M105" i="114"/>
  <c r="M112" i="114" s="1"/>
  <c r="R105" i="114"/>
  <c r="R112" i="114" s="1"/>
  <c r="L110" i="114"/>
  <c r="M103" i="114"/>
  <c r="M110" i="114" s="1"/>
  <c r="R103" i="114"/>
  <c r="R110" i="114" s="1"/>
  <c r="D96" i="120"/>
  <c r="F96" i="120"/>
  <c r="H96" i="120"/>
  <c r="J96" i="120"/>
  <c r="L96" i="120"/>
  <c r="N96" i="120"/>
  <c r="P96" i="120"/>
  <c r="R96" i="120"/>
  <c r="T96" i="120"/>
  <c r="V96" i="120"/>
  <c r="X96" i="120"/>
  <c r="Z96" i="120"/>
  <c r="AB96" i="120"/>
  <c r="AD96" i="120"/>
  <c r="AF96" i="120"/>
  <c r="AH96" i="120"/>
  <c r="AJ96" i="120"/>
  <c r="AL96" i="120"/>
  <c r="AN96" i="120"/>
  <c r="AP96" i="120"/>
  <c r="AR96" i="120"/>
  <c r="AT96" i="120"/>
  <c r="AV96" i="120"/>
  <c r="AX96" i="120"/>
  <c r="AZ96" i="120"/>
  <c r="BB96" i="120"/>
  <c r="BD96" i="120"/>
  <c r="C96" i="120"/>
  <c r="E96" i="120"/>
  <c r="G96" i="120"/>
  <c r="I96" i="120"/>
  <c r="K96" i="120"/>
  <c r="M96" i="120"/>
  <c r="O96" i="120"/>
  <c r="Q96" i="120"/>
  <c r="S96" i="120"/>
  <c r="U96" i="120"/>
  <c r="W96" i="120"/>
  <c r="Y96" i="120"/>
  <c r="AA96" i="120"/>
  <c r="AC96" i="120"/>
  <c r="AE96" i="120"/>
  <c r="AG96" i="120"/>
  <c r="AI96" i="120"/>
  <c r="AK96" i="120"/>
  <c r="AM96" i="120"/>
  <c r="AO96" i="120"/>
  <c r="AQ96" i="120"/>
  <c r="AS96" i="120"/>
  <c r="AU96" i="120"/>
  <c r="AW96" i="120"/>
  <c r="AY96" i="120"/>
  <c r="BA96" i="120"/>
  <c r="BC96" i="120"/>
  <c r="BE96" i="120"/>
  <c r="C84" i="120"/>
  <c r="E84" i="120"/>
  <c r="G84" i="120"/>
  <c r="I84" i="120"/>
  <c r="K84" i="120"/>
  <c r="M84" i="120"/>
  <c r="O84" i="120"/>
  <c r="Q84" i="120"/>
  <c r="S84" i="120"/>
  <c r="U84" i="120"/>
  <c r="W84" i="120"/>
  <c r="Y84" i="120"/>
  <c r="AA84" i="120"/>
  <c r="AC84" i="120"/>
  <c r="AE84" i="120"/>
  <c r="AG84" i="120"/>
  <c r="AI84" i="120"/>
  <c r="AK84" i="120"/>
  <c r="AM84" i="120"/>
  <c r="AO84" i="120"/>
  <c r="AQ84" i="120"/>
  <c r="AS84" i="120"/>
  <c r="AU84" i="120"/>
  <c r="AW84" i="120"/>
  <c r="AY84" i="120"/>
  <c r="BA84" i="120"/>
  <c r="BC84" i="120"/>
  <c r="BE84" i="120"/>
  <c r="D84" i="120"/>
  <c r="F84" i="120"/>
  <c r="H84" i="120"/>
  <c r="J84" i="120"/>
  <c r="L84" i="120"/>
  <c r="N84" i="120"/>
  <c r="P84" i="120"/>
  <c r="R84" i="120"/>
  <c r="T84" i="120"/>
  <c r="V84" i="120"/>
  <c r="X84" i="120"/>
  <c r="Z84" i="120"/>
  <c r="AB84" i="120"/>
  <c r="AD84" i="120"/>
  <c r="AF84" i="120"/>
  <c r="AH84" i="120"/>
  <c r="AJ84" i="120"/>
  <c r="AL84" i="120"/>
  <c r="AN84" i="120"/>
  <c r="AP84" i="120"/>
  <c r="AR84" i="120"/>
  <c r="AT84" i="120"/>
  <c r="AV84" i="120"/>
  <c r="AX84" i="120"/>
  <c r="AZ84" i="120"/>
  <c r="BB84" i="120"/>
  <c r="BD84" i="120"/>
  <c r="D236" i="11"/>
  <c r="E228" i="11"/>
  <c r="D204" i="11"/>
  <c r="D205" i="11" s="1"/>
  <c r="N104" i="103"/>
  <c r="N98" i="103"/>
  <c r="O86" i="103"/>
  <c r="P86" i="103" s="1"/>
  <c r="N84" i="103"/>
  <c r="O82" i="103"/>
  <c r="P82" i="103" s="1"/>
  <c r="O71" i="103"/>
  <c r="P71" i="103" s="1"/>
  <c r="O57" i="103"/>
  <c r="P57" i="103" s="1"/>
  <c r="O54" i="103"/>
  <c r="P54" i="103" s="1"/>
  <c r="O51" i="103"/>
  <c r="P51" i="103" s="1"/>
  <c r="N49" i="103"/>
  <c r="O37" i="103"/>
  <c r="P37" i="103" s="1"/>
  <c r="N35" i="103"/>
  <c r="O32" i="103"/>
  <c r="P32" i="103" s="1"/>
  <c r="N30" i="103"/>
  <c r="O26" i="103"/>
  <c r="P26" i="103" s="1"/>
  <c r="N20" i="103"/>
  <c r="O16" i="103"/>
  <c r="P16" i="103" s="1"/>
  <c r="K158" i="114"/>
  <c r="K156" i="114"/>
  <c r="K154" i="114"/>
  <c r="Q151" i="114"/>
  <c r="Q158" i="114" s="1"/>
  <c r="R150" i="114"/>
  <c r="R157" i="114" s="1"/>
  <c r="Q149" i="114"/>
  <c r="Q156" i="114" s="1"/>
  <c r="R148" i="114"/>
  <c r="R155" i="114" s="1"/>
  <c r="Q147" i="114"/>
  <c r="Q154" i="114" s="1"/>
  <c r="R146" i="114"/>
  <c r="R153" i="114" s="1"/>
  <c r="K136" i="114"/>
  <c r="K134" i="114"/>
  <c r="K132" i="114"/>
  <c r="Q129" i="114"/>
  <c r="Q136" i="114" s="1"/>
  <c r="R128" i="114"/>
  <c r="R135" i="114" s="1"/>
  <c r="Q127" i="114"/>
  <c r="Q134" i="114" s="1"/>
  <c r="R126" i="114"/>
  <c r="R133" i="114" s="1"/>
  <c r="Q125" i="114"/>
  <c r="Q132" i="114" s="1"/>
  <c r="R124" i="114"/>
  <c r="R131" i="114" s="1"/>
  <c r="L115" i="114"/>
  <c r="L113" i="114"/>
  <c r="L111" i="114"/>
  <c r="R108" i="114"/>
  <c r="R115" i="114" s="1"/>
  <c r="Q107" i="114"/>
  <c r="Q114" i="114" s="1"/>
  <c r="R106" i="114"/>
  <c r="R113" i="114" s="1"/>
  <c r="Q105" i="114"/>
  <c r="Q112" i="114" s="1"/>
  <c r="R104" i="114"/>
  <c r="R111" i="114" s="1"/>
  <c r="Q103" i="114"/>
  <c r="Q110" i="114" s="1"/>
  <c r="W81" i="64"/>
  <c r="W107" i="64" s="1"/>
  <c r="W283" i="64" s="1"/>
  <c r="BC82" i="64"/>
  <c r="BC76" i="64"/>
  <c r="D73" i="113"/>
  <c r="E73" i="113"/>
  <c r="AW24" i="111"/>
  <c r="G56" i="79"/>
  <c r="I56" i="79" s="1"/>
  <c r="N56" i="79" s="1"/>
  <c r="G36" i="79"/>
  <c r="AF36" i="79" s="1"/>
  <c r="R40" i="105"/>
  <c r="G13" i="79"/>
  <c r="I13" i="79" s="1"/>
  <c r="N13" i="79" s="1"/>
  <c r="P16" i="111"/>
  <c r="G48" i="79"/>
  <c r="AF48" i="79" s="1"/>
  <c r="BB16" i="111"/>
  <c r="G30" i="79"/>
  <c r="AF30" i="79" s="1"/>
  <c r="J25" i="111"/>
  <c r="G8" i="79"/>
  <c r="AF8" i="79" s="1"/>
  <c r="G53" i="79"/>
  <c r="I53" i="79" s="1"/>
  <c r="V24" i="111"/>
  <c r="G31" i="79"/>
  <c r="AF31" i="79" s="1"/>
  <c r="AR16" i="111"/>
  <c r="G44" i="79"/>
  <c r="AF44" i="79" s="1"/>
  <c r="AB16" i="111"/>
  <c r="G28" i="79"/>
  <c r="AF28" i="79" s="1"/>
  <c r="I16" i="111"/>
  <c r="G9" i="79"/>
  <c r="I9" i="79" s="1"/>
  <c r="N9" i="79" s="1"/>
  <c r="G52" i="79"/>
  <c r="I52" i="79" s="1"/>
  <c r="AH52" i="79" s="1"/>
  <c r="G35" i="79"/>
  <c r="I35" i="79" s="1"/>
  <c r="G27" i="79"/>
  <c r="AF27" i="79" s="1"/>
  <c r="G39" i="79"/>
  <c r="I39" i="79" s="1"/>
  <c r="R28" i="105"/>
  <c r="G20" i="79"/>
  <c r="I20" i="79" s="1"/>
  <c r="N20" i="79" s="1"/>
  <c r="T16" i="111"/>
  <c r="G43" i="79"/>
  <c r="I43" i="79" s="1"/>
  <c r="N43" i="79" s="1"/>
  <c r="AQ16" i="111"/>
  <c r="AP25" i="111"/>
  <c r="AP24" i="111"/>
  <c r="G32" i="79"/>
  <c r="I32" i="79" s="1"/>
  <c r="AF16" i="111"/>
  <c r="AW16" i="111"/>
  <c r="G49" i="79"/>
  <c r="I49" i="79" s="1"/>
  <c r="AH49" i="79" s="1"/>
  <c r="G33" i="79"/>
  <c r="I33" i="79" s="1"/>
  <c r="AH33" i="79" s="1"/>
  <c r="G14" i="79"/>
  <c r="AF14" i="79" s="1"/>
  <c r="N16" i="111"/>
  <c r="G37" i="79"/>
  <c r="AF37" i="79" s="1"/>
  <c r="AK16" i="111"/>
  <c r="G6" i="79"/>
  <c r="I24" i="111"/>
  <c r="G40" i="79"/>
  <c r="I40" i="79" s="1"/>
  <c r="N40" i="79" s="1"/>
  <c r="AN16" i="111"/>
  <c r="Z24" i="111"/>
  <c r="Z25" i="111"/>
  <c r="G57" i="79"/>
  <c r="I57" i="79" s="1"/>
  <c r="E16" i="111"/>
  <c r="G5" i="79"/>
  <c r="G26" i="79"/>
  <c r="AF26" i="79" s="1"/>
  <c r="S38" i="105"/>
  <c r="J16" i="111"/>
  <c r="G10" i="79"/>
  <c r="AE25" i="111"/>
  <c r="AE24" i="111"/>
  <c r="AZ25" i="111"/>
  <c r="AZ24" i="111"/>
  <c r="AY16" i="111"/>
  <c r="G51" i="79"/>
  <c r="G29" i="79"/>
  <c r="AC16" i="111"/>
  <c r="U16" i="111"/>
  <c r="G21" i="79"/>
  <c r="Q16" i="111"/>
  <c r="G17" i="79"/>
  <c r="L24" i="111"/>
  <c r="L25" i="111"/>
  <c r="S19" i="105"/>
  <c r="S40" i="105"/>
  <c r="R29" i="105"/>
  <c r="S10" i="105"/>
  <c r="S5" i="105"/>
  <c r="G12" i="79"/>
  <c r="L16" i="111"/>
  <c r="Q24" i="111"/>
  <c r="Q25" i="111"/>
  <c r="K25" i="111"/>
  <c r="K24" i="111"/>
  <c r="V16" i="111"/>
  <c r="G22" i="79"/>
  <c r="G47" i="79"/>
  <c r="I47" i="79" s="1"/>
  <c r="AU16" i="111"/>
  <c r="G38" i="79"/>
  <c r="I38" i="79" s="1"/>
  <c r="AL16" i="111"/>
  <c r="Y16" i="111"/>
  <c r="G25" i="79"/>
  <c r="O16" i="111"/>
  <c r="G15" i="79"/>
  <c r="S29" i="105"/>
  <c r="G46" i="79"/>
  <c r="BB24" i="111"/>
  <c r="R19" i="105"/>
  <c r="R12" i="105"/>
  <c r="R38" i="105"/>
  <c r="R16" i="111"/>
  <c r="G18" i="79"/>
  <c r="D16" i="111"/>
  <c r="S16" i="111"/>
  <c r="G19" i="79"/>
  <c r="C16" i="111"/>
  <c r="C18" i="117"/>
  <c r="S12" i="105"/>
  <c r="G24" i="79"/>
  <c r="G24" i="105" l="1"/>
  <c r="AX140" i="64"/>
  <c r="AX246" i="64" s="1"/>
  <c r="AX280" i="64" s="1"/>
  <c r="BD74" i="64"/>
  <c r="BD209" i="64" s="1"/>
  <c r="BD244" i="64" s="1"/>
  <c r="H54" i="108"/>
  <c r="D10" i="108" s="1"/>
  <c r="F10" i="108" s="1"/>
  <c r="G10" i="108" s="1"/>
  <c r="H18" i="111" s="1"/>
  <c r="K140" i="64"/>
  <c r="K246" i="64" s="1"/>
  <c r="K280" i="64" s="1"/>
  <c r="F140" i="64"/>
  <c r="F246" i="64" s="1"/>
  <c r="F280" i="64" s="1"/>
  <c r="F54" i="108"/>
  <c r="D8" i="108" s="1"/>
  <c r="F8" i="108" s="1"/>
  <c r="G8" i="108" s="1"/>
  <c r="U18" i="111" s="1"/>
  <c r="N54" i="108"/>
  <c r="D16" i="108" s="1"/>
  <c r="F16" i="108" s="1"/>
  <c r="G16" i="108" s="1"/>
  <c r="P18" i="111" s="1"/>
  <c r="AF3" i="79"/>
  <c r="BF35" i="70"/>
  <c r="BB35" i="70"/>
  <c r="AX35" i="70"/>
  <c r="AT35" i="70"/>
  <c r="AP35" i="70"/>
  <c r="AL35" i="70"/>
  <c r="AH35" i="70"/>
  <c r="AD35" i="70"/>
  <c r="Z35" i="70"/>
  <c r="V35" i="70"/>
  <c r="R35" i="70"/>
  <c r="N35" i="70"/>
  <c r="J35" i="70"/>
  <c r="F35" i="70"/>
  <c r="BE35" i="70"/>
  <c r="BA35" i="70"/>
  <c r="AW35" i="70"/>
  <c r="AS35" i="70"/>
  <c r="AO35" i="70"/>
  <c r="AK35" i="70"/>
  <c r="AG35" i="70"/>
  <c r="AC35" i="70"/>
  <c r="Y35" i="70"/>
  <c r="U35" i="70"/>
  <c r="Q35" i="70"/>
  <c r="M35" i="70"/>
  <c r="I35" i="70"/>
  <c r="BD35" i="70"/>
  <c r="BD18" i="70" s="1"/>
  <c r="G311" i="64" s="1"/>
  <c r="AZ35" i="70"/>
  <c r="AZ18" i="70" s="1"/>
  <c r="AV35" i="70"/>
  <c r="AV18" i="70" s="1"/>
  <c r="AR35" i="70"/>
  <c r="AN35" i="70"/>
  <c r="AN18" i="70" s="1"/>
  <c r="AJ35" i="70"/>
  <c r="AJ18" i="70" s="1"/>
  <c r="AF35" i="70"/>
  <c r="AF18" i="70" s="1"/>
  <c r="AB35" i="70"/>
  <c r="X35" i="70"/>
  <c r="X18" i="70" s="1"/>
  <c r="T35" i="70"/>
  <c r="T18" i="70" s="1"/>
  <c r="P35" i="70"/>
  <c r="P18" i="70" s="1"/>
  <c r="L35" i="70"/>
  <c r="H35" i="70"/>
  <c r="H18" i="70" s="1"/>
  <c r="BG35" i="70"/>
  <c r="BC35" i="70"/>
  <c r="AY35" i="70"/>
  <c r="AU35" i="70"/>
  <c r="AQ35" i="70"/>
  <c r="AM35" i="70"/>
  <c r="AI35" i="70"/>
  <c r="AE35" i="70"/>
  <c r="AA35" i="70"/>
  <c r="W35" i="70"/>
  <c r="S35" i="70"/>
  <c r="O35" i="70"/>
  <c r="K35" i="70"/>
  <c r="G35" i="70"/>
  <c r="E35" i="70"/>
  <c r="E18" i="70" s="1"/>
  <c r="BC173" i="64"/>
  <c r="BC316" i="64" s="1"/>
  <c r="I40" i="105"/>
  <c r="H28" i="105"/>
  <c r="R18" i="111"/>
  <c r="AO18" i="111"/>
  <c r="AZ18" i="111"/>
  <c r="S18" i="111"/>
  <c r="AP18" i="111"/>
  <c r="M18" i="111"/>
  <c r="AD18" i="111"/>
  <c r="AJ74" i="64"/>
  <c r="AJ209" i="64" s="1"/>
  <c r="AJ244" i="64" s="1"/>
  <c r="C29" i="114"/>
  <c r="C44" i="64"/>
  <c r="C43" i="64"/>
  <c r="C537" i="64" s="1"/>
  <c r="D74" i="64"/>
  <c r="D209" i="64" s="1"/>
  <c r="D244" i="64" s="1"/>
  <c r="I119" i="114"/>
  <c r="BA140" i="64"/>
  <c r="BA246" i="64" s="1"/>
  <c r="AJ140" i="64"/>
  <c r="AJ246" i="64" s="1"/>
  <c r="G34" i="105"/>
  <c r="L24" i="70"/>
  <c r="T24" i="70"/>
  <c r="AB24" i="70"/>
  <c r="AJ24" i="70"/>
  <c r="G37" i="105"/>
  <c r="AZ140" i="64"/>
  <c r="AZ246" i="64" s="1"/>
  <c r="AZ280" i="64" s="1"/>
  <c r="AF74" i="64"/>
  <c r="AF209" i="64" s="1"/>
  <c r="Y74" i="64"/>
  <c r="Y209" i="64" s="1"/>
  <c r="Y244" i="64" s="1"/>
  <c r="C316" i="64"/>
  <c r="H24" i="70"/>
  <c r="AL344" i="64" s="1"/>
  <c r="P24" i="70"/>
  <c r="X24" i="70"/>
  <c r="AF24" i="70"/>
  <c r="AN24" i="70"/>
  <c r="G27" i="105"/>
  <c r="N74" i="64"/>
  <c r="N209" i="64" s="1"/>
  <c r="H283" i="64"/>
  <c r="F8" i="111"/>
  <c r="D515" i="64"/>
  <c r="AP515" i="64"/>
  <c r="AH515" i="64"/>
  <c r="AE515" i="64"/>
  <c r="T515" i="64"/>
  <c r="AZ523" i="64"/>
  <c r="E523" i="64"/>
  <c r="R140" i="64"/>
  <c r="R246" i="64" s="1"/>
  <c r="R280" i="64" s="1"/>
  <c r="M523" i="64"/>
  <c r="AJ515" i="64"/>
  <c r="Q515" i="64"/>
  <c r="AT515" i="64"/>
  <c r="D140" i="64"/>
  <c r="D246" i="64" s="1"/>
  <c r="D280" i="64" s="1"/>
  <c r="W140" i="64"/>
  <c r="W246" i="64" s="1"/>
  <c r="W280" i="64" s="1"/>
  <c r="BD523" i="64"/>
  <c r="G246" i="64"/>
  <c r="G280" i="64" s="1"/>
  <c r="G539" i="64"/>
  <c r="K74" i="64"/>
  <c r="K209" i="64" s="1"/>
  <c r="K244" i="64" s="1"/>
  <c r="AN74" i="64"/>
  <c r="AN209" i="64" s="1"/>
  <c r="AN244" i="64" s="1"/>
  <c r="P140" i="64"/>
  <c r="P246" i="64" s="1"/>
  <c r="P280" i="64" s="1"/>
  <c r="F72" i="120"/>
  <c r="G72" i="120"/>
  <c r="H72" i="120"/>
  <c r="D106" i="11"/>
  <c r="C72" i="120"/>
  <c r="D72" i="120"/>
  <c r="E72" i="120"/>
  <c r="U515" i="64"/>
  <c r="BD515" i="64"/>
  <c r="G209" i="64"/>
  <c r="G244" i="64" s="1"/>
  <c r="G537" i="64"/>
  <c r="Y515" i="64"/>
  <c r="AA523" i="64"/>
  <c r="AV523" i="64"/>
  <c r="BB74" i="64"/>
  <c r="BB209" i="64" s="1"/>
  <c r="BB244" i="64" s="1"/>
  <c r="AB515" i="64"/>
  <c r="X140" i="64"/>
  <c r="X246" i="64" s="1"/>
  <c r="X280" i="64" s="1"/>
  <c r="O523" i="64"/>
  <c r="AW515" i="64"/>
  <c r="AM74" i="64"/>
  <c r="AM209" i="64" s="1"/>
  <c r="AM244" i="64" s="1"/>
  <c r="AA515" i="64"/>
  <c r="W48" i="64"/>
  <c r="W74" i="64" s="1"/>
  <c r="W209" i="64" s="1"/>
  <c r="W244" i="64" s="1"/>
  <c r="BC107" i="64"/>
  <c r="BC283" i="64" s="1"/>
  <c r="G18" i="105"/>
  <c r="G41" i="105"/>
  <c r="C69" i="114"/>
  <c r="C61" i="114"/>
  <c r="C54" i="114"/>
  <c r="F44" i="64"/>
  <c r="F74" i="64" s="1"/>
  <c r="F209" i="64" s="1"/>
  <c r="F244" i="64" s="1"/>
  <c r="AX283" i="64"/>
  <c r="R283" i="64"/>
  <c r="O8" i="111"/>
  <c r="BD316" i="64"/>
  <c r="Y140" i="64"/>
  <c r="Y246" i="64" s="1"/>
  <c r="Y280" i="64" s="1"/>
  <c r="AE523" i="64"/>
  <c r="U523" i="64"/>
  <c r="J11" i="111"/>
  <c r="S523" i="64"/>
  <c r="AF140" i="64"/>
  <c r="AF246" i="64" s="1"/>
  <c r="AF280" i="64" s="1"/>
  <c r="AN140" i="64"/>
  <c r="AN246" i="64" s="1"/>
  <c r="AN280" i="64" s="1"/>
  <c r="P74" i="64"/>
  <c r="P209" i="64" s="1"/>
  <c r="P244" i="64" s="1"/>
  <c r="AS74" i="64"/>
  <c r="AS209" i="64" s="1"/>
  <c r="AS244" i="64" s="1"/>
  <c r="AG515" i="64"/>
  <c r="Z515" i="64"/>
  <c r="E515" i="64"/>
  <c r="AD515" i="64"/>
  <c r="BA283" i="64"/>
  <c r="J523" i="64"/>
  <c r="P316" i="64"/>
  <c r="L74" i="64"/>
  <c r="L209" i="64" s="1"/>
  <c r="L244" i="64" s="1"/>
  <c r="AI515" i="64"/>
  <c r="AL515" i="64"/>
  <c r="AQ515" i="64"/>
  <c r="AJ316" i="64"/>
  <c r="AJ9" i="111"/>
  <c r="S515" i="64"/>
  <c r="F283" i="64"/>
  <c r="H8" i="111"/>
  <c r="AV283" i="64"/>
  <c r="K523" i="64"/>
  <c r="AW523" i="64"/>
  <c r="R316" i="64"/>
  <c r="O9" i="111"/>
  <c r="BA74" i="64"/>
  <c r="BA209" i="64" s="1"/>
  <c r="BA244" i="64" s="1"/>
  <c r="BC115" i="64"/>
  <c r="BC140" i="64" s="1"/>
  <c r="BC246" i="64" s="1"/>
  <c r="BC280" i="64" s="1"/>
  <c r="V140" i="64"/>
  <c r="V246" i="64" s="1"/>
  <c r="V280" i="64" s="1"/>
  <c r="AY523" i="64"/>
  <c r="M150" i="114"/>
  <c r="M157" i="114" s="1"/>
  <c r="L157" i="114"/>
  <c r="I140" i="114" s="1"/>
  <c r="K140" i="114" s="1"/>
  <c r="E46" i="108"/>
  <c r="E51" i="108" s="1"/>
  <c r="E54" i="108" s="1"/>
  <c r="D7" i="108" s="1"/>
  <c r="F7" i="108" s="1"/>
  <c r="G7" i="108" s="1"/>
  <c r="AJ283" i="64"/>
  <c r="N283" i="64"/>
  <c r="Q523" i="64"/>
  <c r="T523" i="64"/>
  <c r="C73" i="113"/>
  <c r="H11" i="116"/>
  <c r="I11" i="116" s="1"/>
  <c r="BC48" i="64"/>
  <c r="I43" i="64"/>
  <c r="I74" i="64" s="1"/>
  <c r="G50" i="105"/>
  <c r="G8" i="105"/>
  <c r="G10" i="105"/>
  <c r="I10" i="105" s="1"/>
  <c r="G22" i="105"/>
  <c r="C65" i="114"/>
  <c r="AZ283" i="64"/>
  <c r="AZ8" i="111"/>
  <c r="AZ316" i="64"/>
  <c r="AZ9" i="111"/>
  <c r="AV316" i="64"/>
  <c r="AS140" i="64"/>
  <c r="AS246" i="64" s="1"/>
  <c r="AS280" i="64" s="1"/>
  <c r="AG523" i="64"/>
  <c r="Z523" i="64"/>
  <c r="AM140" i="64"/>
  <c r="AM246" i="64" s="1"/>
  <c r="AM280" i="64" s="1"/>
  <c r="AC523" i="64"/>
  <c r="H140" i="64"/>
  <c r="H246" i="64" s="1"/>
  <c r="H280" i="64" s="1"/>
  <c r="I539" i="64"/>
  <c r="I246" i="64"/>
  <c r="I280" i="64" s="1"/>
  <c r="AB523" i="64"/>
  <c r="X74" i="64"/>
  <c r="X209" i="64" s="1"/>
  <c r="X244" i="64" s="1"/>
  <c r="D283" i="64"/>
  <c r="E8" i="111"/>
  <c r="N110" i="64"/>
  <c r="N140" i="64" s="1"/>
  <c r="N246" i="64" s="1"/>
  <c r="N280" i="64" s="1"/>
  <c r="BC49" i="64"/>
  <c r="V74" i="64"/>
  <c r="V209" i="64" s="1"/>
  <c r="V244" i="64" s="1"/>
  <c r="AY515" i="64"/>
  <c r="AZ74" i="64"/>
  <c r="AZ209" i="64" s="1"/>
  <c r="AZ244" i="64" s="1"/>
  <c r="AU515" i="64"/>
  <c r="AR515" i="64"/>
  <c r="X283" i="64"/>
  <c r="D8" i="111"/>
  <c r="C283" i="64"/>
  <c r="AN283" i="64"/>
  <c r="P60" i="103"/>
  <c r="O61" i="103"/>
  <c r="P61" i="103" s="1"/>
  <c r="D82" i="11"/>
  <c r="G82" i="11" s="1"/>
  <c r="H82" i="11" s="1"/>
  <c r="AQ250" i="64" s="1"/>
  <c r="G81" i="11"/>
  <c r="H81" i="11" s="1"/>
  <c r="AP250" i="64" s="1"/>
  <c r="BC43" i="64"/>
  <c r="I98" i="114"/>
  <c r="I96" i="114" s="1"/>
  <c r="C41" i="114"/>
  <c r="C9" i="114"/>
  <c r="C73" i="114"/>
  <c r="AX74" i="64"/>
  <c r="AX209" i="64" s="1"/>
  <c r="AX244" i="64" s="1"/>
  <c r="AC515" i="64"/>
  <c r="H74" i="64"/>
  <c r="H209" i="64" s="1"/>
  <c r="H244" i="64" s="1"/>
  <c r="R74" i="64"/>
  <c r="R209" i="64" s="1"/>
  <c r="R244" i="64" s="1"/>
  <c r="AV74" i="64"/>
  <c r="AV209" i="64" s="1"/>
  <c r="AV244" i="64" s="1"/>
  <c r="J515" i="64"/>
  <c r="K283" i="64"/>
  <c r="BB140" i="64"/>
  <c r="BB246" i="64" s="1"/>
  <c r="BB280" i="64" s="1"/>
  <c r="AX523" i="64"/>
  <c r="AU523" i="64"/>
  <c r="AR523" i="64"/>
  <c r="O46" i="64"/>
  <c r="O74" i="64" s="1"/>
  <c r="O209" i="64" s="1"/>
  <c r="O244" i="64" s="1"/>
  <c r="M515" i="64"/>
  <c r="L140" i="64"/>
  <c r="L246" i="64" s="1"/>
  <c r="L280" i="64" s="1"/>
  <c r="AS283" i="64"/>
  <c r="AI523" i="64"/>
  <c r="AD523" i="64"/>
  <c r="C140" i="64"/>
  <c r="C246" i="64" s="1"/>
  <c r="C523" i="64" s="1"/>
  <c r="C539" i="64"/>
  <c r="AT523" i="64"/>
  <c r="AH523" i="64"/>
  <c r="X96" i="140"/>
  <c r="F96" i="140"/>
  <c r="G46" i="105"/>
  <c r="G56" i="105"/>
  <c r="G39" i="105"/>
  <c r="G43" i="105"/>
  <c r="G33" i="105"/>
  <c r="G21" i="105"/>
  <c r="AM69" i="122"/>
  <c r="BA56" i="122"/>
  <c r="AA56" i="122"/>
  <c r="Q31" i="122"/>
  <c r="AK43" i="122"/>
  <c r="B54" i="108"/>
  <c r="D4" i="108" s="1"/>
  <c r="F4" i="108" s="1"/>
  <c r="G4" i="108" s="1"/>
  <c r="L17" i="108"/>
  <c r="E17" i="108" s="1"/>
  <c r="F17" i="108" s="1"/>
  <c r="G17" i="108" s="1"/>
  <c r="C87" i="114"/>
  <c r="G17" i="105"/>
  <c r="F6" i="108"/>
  <c r="G6" i="108" s="1"/>
  <c r="X18" i="111" s="1"/>
  <c r="C50" i="114"/>
  <c r="G53" i="105"/>
  <c r="G6" i="105"/>
  <c r="AL43" i="122"/>
  <c r="AL24" i="111"/>
  <c r="AL81" i="122"/>
  <c r="Z56" i="122"/>
  <c r="AG56" i="122"/>
  <c r="AH31" i="122"/>
  <c r="AX81" i="122"/>
  <c r="T31" i="122"/>
  <c r="Q81" i="122"/>
  <c r="Z69" i="122"/>
  <c r="K69" i="122"/>
  <c r="AV81" i="122"/>
  <c r="AU69" i="122"/>
  <c r="Z31" i="122"/>
  <c r="Y31" i="122"/>
  <c r="P81" i="122"/>
  <c r="AL31" i="122"/>
  <c r="X31" i="122"/>
  <c r="AR31" i="122"/>
  <c r="AC56" i="122"/>
  <c r="N81" i="122"/>
  <c r="AZ43" i="122"/>
  <c r="BF69" i="122"/>
  <c r="H81" i="122"/>
  <c r="AX31" i="122"/>
  <c r="AC69" i="122"/>
  <c r="N56" i="122"/>
  <c r="BF81" i="122"/>
  <c r="AN43" i="122"/>
  <c r="W99" i="120"/>
  <c r="W102" i="120" s="1"/>
  <c r="I127" i="120"/>
  <c r="AW127" i="120"/>
  <c r="AV127" i="120"/>
  <c r="BB127" i="120"/>
  <c r="BC127" i="120"/>
  <c r="G42" i="105"/>
  <c r="I42" i="105" s="1"/>
  <c r="G15" i="105"/>
  <c r="G9" i="105"/>
  <c r="G29" i="105"/>
  <c r="I29" i="105" s="1"/>
  <c r="G44" i="105"/>
  <c r="G47" i="105"/>
  <c r="G58" i="105"/>
  <c r="G23" i="105"/>
  <c r="G5" i="105"/>
  <c r="I5" i="105" s="1"/>
  <c r="G28" i="105"/>
  <c r="I28" i="105" s="1"/>
  <c r="AQ81" i="122"/>
  <c r="AM31" i="122"/>
  <c r="AF31" i="122"/>
  <c r="O31" i="122"/>
  <c r="G54" i="105"/>
  <c r="G55" i="105"/>
  <c r="G35" i="105"/>
  <c r="G19" i="105"/>
  <c r="I19" i="105" s="1"/>
  <c r="G48" i="105"/>
  <c r="G45" i="105"/>
  <c r="I45" i="105" s="1"/>
  <c r="G26" i="105"/>
  <c r="I26" i="105" s="1"/>
  <c r="AR69" i="122"/>
  <c r="BB43" i="122"/>
  <c r="S43" i="122"/>
  <c r="AT31" i="122"/>
  <c r="H56" i="122"/>
  <c r="P31" i="122"/>
  <c r="E120" i="120"/>
  <c r="E121" i="120" s="1"/>
  <c r="C124" i="111"/>
  <c r="G20" i="105"/>
  <c r="G13" i="105"/>
  <c r="G12" i="105"/>
  <c r="I12" i="105" s="1"/>
  <c r="G57" i="105"/>
  <c r="G49" i="105"/>
  <c r="G52" i="105"/>
  <c r="G4" i="105"/>
  <c r="I4" i="105" s="1"/>
  <c r="G11" i="105"/>
  <c r="I11" i="105" s="1"/>
  <c r="G7" i="105"/>
  <c r="G38" i="105"/>
  <c r="I38" i="105" s="1"/>
  <c r="G30" i="105"/>
  <c r="G16" i="105"/>
  <c r="G32" i="105"/>
  <c r="G14" i="105"/>
  <c r="G25" i="105"/>
  <c r="G51" i="105"/>
  <c r="I51" i="105" s="1"/>
  <c r="R5" i="105"/>
  <c r="E99" i="120"/>
  <c r="E102" i="120" s="1"/>
  <c r="R21" i="105"/>
  <c r="F24" i="70"/>
  <c r="J24" i="70"/>
  <c r="N24" i="70"/>
  <c r="R24" i="70"/>
  <c r="V24" i="70"/>
  <c r="Z24" i="70"/>
  <c r="AD24" i="70"/>
  <c r="I344" i="64" s="1"/>
  <c r="AH24" i="70"/>
  <c r="AL24" i="70"/>
  <c r="AP24" i="70"/>
  <c r="AA24" i="111"/>
  <c r="AT24" i="70"/>
  <c r="AX24" i="70"/>
  <c r="AY344" i="64" s="1"/>
  <c r="AY346" i="64" s="1"/>
  <c r="AT13" i="111" s="1"/>
  <c r="BB24" i="70"/>
  <c r="AH344" i="64" s="1"/>
  <c r="AH346" i="64" s="1"/>
  <c r="AH13" i="111" s="1"/>
  <c r="BF24" i="70"/>
  <c r="AG344" i="64" s="1"/>
  <c r="AG346" i="64" s="1"/>
  <c r="H47" i="70"/>
  <c r="L47" i="70"/>
  <c r="P47" i="70"/>
  <c r="T47" i="70"/>
  <c r="X47" i="70"/>
  <c r="AB47" i="70"/>
  <c r="AF47" i="70"/>
  <c r="AJ47" i="70"/>
  <c r="AN47" i="70"/>
  <c r="AR47" i="70"/>
  <c r="AV47" i="70"/>
  <c r="AZ47" i="70"/>
  <c r="BD47" i="70"/>
  <c r="AM24" i="111"/>
  <c r="AD24" i="111"/>
  <c r="AQ34" i="120"/>
  <c r="AR24" i="70"/>
  <c r="AV24" i="70"/>
  <c r="AZ24" i="70"/>
  <c r="AN344" i="64" s="1"/>
  <c r="AN346" i="64" s="1"/>
  <c r="BC13" i="111" s="1"/>
  <c r="BD24" i="70"/>
  <c r="G344" i="64" s="1"/>
  <c r="G346" i="64" s="1"/>
  <c r="F47" i="70"/>
  <c r="J47" i="70"/>
  <c r="N47" i="70"/>
  <c r="R47" i="70"/>
  <c r="V47" i="70"/>
  <c r="Z47" i="70"/>
  <c r="AD47" i="70"/>
  <c r="AH47" i="70"/>
  <c r="AL47" i="70"/>
  <c r="AP47" i="70"/>
  <c r="AT47" i="70"/>
  <c r="AX47" i="70"/>
  <c r="BB47" i="70"/>
  <c r="BF47" i="70"/>
  <c r="W23" i="120"/>
  <c r="W26" i="120" s="1"/>
  <c r="W83" i="120"/>
  <c r="W87" i="120" s="1"/>
  <c r="W120" i="120"/>
  <c r="W121" i="120" s="1"/>
  <c r="G24" i="70"/>
  <c r="H344" i="64" s="1"/>
  <c r="K24" i="70"/>
  <c r="O24" i="70"/>
  <c r="S24" i="70"/>
  <c r="W24" i="70"/>
  <c r="AA24" i="70"/>
  <c r="AQ344" i="64" s="1"/>
  <c r="AE24" i="70"/>
  <c r="AI24" i="70"/>
  <c r="AM24" i="70"/>
  <c r="AQ24" i="70"/>
  <c r="AU24" i="70"/>
  <c r="AY24" i="70"/>
  <c r="BE344" i="64" s="1"/>
  <c r="BE346" i="64" s="1"/>
  <c r="BC24" i="70"/>
  <c r="AK344" i="64" s="1"/>
  <c r="AK346" i="64" s="1"/>
  <c r="BG24" i="70"/>
  <c r="BB344" i="64" s="1"/>
  <c r="BB346" i="64" s="1"/>
  <c r="AV13" i="111" s="1"/>
  <c r="I47" i="70"/>
  <c r="M47" i="70"/>
  <c r="Q47" i="70"/>
  <c r="U47" i="70"/>
  <c r="I24" i="70"/>
  <c r="M24" i="70"/>
  <c r="AP344" i="64" s="1"/>
  <c r="Q24" i="70"/>
  <c r="U24" i="70"/>
  <c r="Y24" i="70"/>
  <c r="AC24" i="70"/>
  <c r="C344" i="64" s="1"/>
  <c r="AG24" i="70"/>
  <c r="AK24" i="70"/>
  <c r="AO24" i="70"/>
  <c r="AS24" i="70"/>
  <c r="AW24" i="70"/>
  <c r="AX344" i="64" s="1"/>
  <c r="AX346" i="64" s="1"/>
  <c r="BB13" i="111" s="1"/>
  <c r="BA24" i="70"/>
  <c r="AO344" i="64" s="1"/>
  <c r="AO346" i="64" s="1"/>
  <c r="BE24" i="70"/>
  <c r="Y344" i="64" s="1"/>
  <c r="Y346" i="64" s="1"/>
  <c r="Y13" i="111" s="1"/>
  <c r="G47" i="70"/>
  <c r="K47" i="70"/>
  <c r="O47" i="70"/>
  <c r="S47" i="70"/>
  <c r="W47" i="70"/>
  <c r="AA47" i="70"/>
  <c r="AE47" i="70"/>
  <c r="AI47" i="70"/>
  <c r="AM47" i="70"/>
  <c r="AQ47" i="70"/>
  <c r="AU47" i="70"/>
  <c r="AY47" i="70"/>
  <c r="BC47" i="70"/>
  <c r="BG47" i="70"/>
  <c r="Y47" i="70"/>
  <c r="AC47" i="70"/>
  <c r="AG47" i="70"/>
  <c r="AK47" i="70"/>
  <c r="AO47" i="70"/>
  <c r="AS47" i="70"/>
  <c r="AW47" i="70"/>
  <c r="BA47" i="70"/>
  <c r="BE47" i="70"/>
  <c r="E47" i="70"/>
  <c r="BF36" i="70"/>
  <c r="BB36" i="70"/>
  <c r="AX36" i="70"/>
  <c r="AT36" i="70"/>
  <c r="AP36" i="70"/>
  <c r="AL36" i="70"/>
  <c r="AH36" i="70"/>
  <c r="AD36" i="70"/>
  <c r="Z36" i="70"/>
  <c r="V36" i="70"/>
  <c r="R36" i="70"/>
  <c r="N36" i="70"/>
  <c r="J36" i="70"/>
  <c r="F36" i="70"/>
  <c r="AR18" i="70"/>
  <c r="AB18" i="70"/>
  <c r="K311" i="64" s="1"/>
  <c r="L18" i="70"/>
  <c r="BE36" i="70"/>
  <c r="BA36" i="70"/>
  <c r="AW36" i="70"/>
  <c r="AS36" i="70"/>
  <c r="AO36" i="70"/>
  <c r="AK36" i="70"/>
  <c r="AG36" i="70"/>
  <c r="AC36" i="70"/>
  <c r="Y36" i="70"/>
  <c r="U36" i="70"/>
  <c r="Q36" i="70"/>
  <c r="M36" i="70"/>
  <c r="I36" i="70"/>
  <c r="BG18" i="70"/>
  <c r="BC18" i="70"/>
  <c r="AY18" i="70"/>
  <c r="AU18" i="70"/>
  <c r="AQ18" i="70"/>
  <c r="AM18" i="70"/>
  <c r="AI18" i="70"/>
  <c r="AE18" i="70"/>
  <c r="AA18" i="70"/>
  <c r="W18" i="70"/>
  <c r="S18" i="70"/>
  <c r="O18" i="70"/>
  <c r="K18" i="70"/>
  <c r="G18" i="70"/>
  <c r="E36" i="70"/>
  <c r="BD36" i="70"/>
  <c r="AZ36" i="70"/>
  <c r="AV36" i="70"/>
  <c r="AR36" i="70"/>
  <c r="AN36" i="70"/>
  <c r="AJ36" i="70"/>
  <c r="AF36" i="70"/>
  <c r="AB36" i="70"/>
  <c r="X36" i="70"/>
  <c r="T36" i="70"/>
  <c r="P36" i="70"/>
  <c r="L36" i="70"/>
  <c r="H36" i="70"/>
  <c r="BF18" i="70"/>
  <c r="BB18" i="70"/>
  <c r="AX18" i="70"/>
  <c r="AT18" i="70"/>
  <c r="AP18" i="70"/>
  <c r="AL18" i="70"/>
  <c r="AH18" i="70"/>
  <c r="AD18" i="70"/>
  <c r="I311" i="64" s="1"/>
  <c r="Z18" i="70"/>
  <c r="V18" i="70"/>
  <c r="R18" i="70"/>
  <c r="N18" i="70"/>
  <c r="J18" i="70"/>
  <c r="F18" i="70"/>
  <c r="BG36" i="70"/>
  <c r="BC36" i="70"/>
  <c r="AY36" i="70"/>
  <c r="AU36" i="70"/>
  <c r="AQ36" i="70"/>
  <c r="AM36" i="70"/>
  <c r="AI36" i="70"/>
  <c r="AE36" i="70"/>
  <c r="AA36" i="70"/>
  <c r="W36" i="70"/>
  <c r="S36" i="70"/>
  <c r="O36" i="70"/>
  <c r="K36" i="70"/>
  <c r="G36" i="70"/>
  <c r="BE18" i="70"/>
  <c r="BA18" i="70"/>
  <c r="AW18" i="70"/>
  <c r="AS18" i="70"/>
  <c r="AO18" i="70"/>
  <c r="AK18" i="70"/>
  <c r="AG18" i="70"/>
  <c r="AC18" i="70"/>
  <c r="C311" i="64" s="1"/>
  <c r="Y18" i="70"/>
  <c r="U18" i="70"/>
  <c r="Q18" i="70"/>
  <c r="M18" i="70"/>
  <c r="I18" i="70"/>
  <c r="E24" i="70"/>
  <c r="AJ56" i="122"/>
  <c r="N6" i="111"/>
  <c r="AB6" i="111"/>
  <c r="AI6" i="111"/>
  <c r="R6" i="111"/>
  <c r="S6" i="111"/>
  <c r="S17" i="105"/>
  <c r="BE25" i="111"/>
  <c r="W10" i="111"/>
  <c r="X13" i="111"/>
  <c r="BE10" i="111"/>
  <c r="BE11" i="111"/>
  <c r="BA11" i="111"/>
  <c r="AI11" i="111"/>
  <c r="AI9" i="111" s="1"/>
  <c r="AT11" i="111"/>
  <c r="AT9" i="111" s="1"/>
  <c r="AB11" i="111"/>
  <c r="AQ11" i="111"/>
  <c r="AN11" i="111"/>
  <c r="U11" i="111"/>
  <c r="U9" i="111" s="1"/>
  <c r="W34" i="120"/>
  <c r="W29" i="120"/>
  <c r="W30" i="120" s="1"/>
  <c r="C91" i="114"/>
  <c r="B92" i="114"/>
  <c r="BE31" i="122"/>
  <c r="E29" i="120"/>
  <c r="E30" i="120" s="1"/>
  <c r="E20" i="120"/>
  <c r="C116" i="111"/>
  <c r="C115" i="111"/>
  <c r="AI10" i="111"/>
  <c r="AQ56" i="122"/>
  <c r="E23" i="120"/>
  <c r="E26" i="120" s="1"/>
  <c r="E34" i="120"/>
  <c r="E83" i="120"/>
  <c r="E87" i="120" s="1"/>
  <c r="R42" i="105"/>
  <c r="AV31" i="122"/>
  <c r="AF11" i="79"/>
  <c r="AQ69" i="122"/>
  <c r="AZ31" i="122"/>
  <c r="AW69" i="122"/>
  <c r="AZ11" i="111"/>
  <c r="AH56" i="122"/>
  <c r="K43" i="122"/>
  <c r="E31" i="122"/>
  <c r="L56" i="122"/>
  <c r="AV43" i="122"/>
  <c r="AS43" i="122"/>
  <c r="G31" i="122"/>
  <c r="AU43" i="122"/>
  <c r="AP31" i="122"/>
  <c r="AM56" i="122"/>
  <c r="AS31" i="122"/>
  <c r="BB31" i="122"/>
  <c r="BD81" i="122"/>
  <c r="AH11" i="111"/>
  <c r="AH9" i="111" s="1"/>
  <c r="N31" i="122"/>
  <c r="G11" i="111"/>
  <c r="AD31" i="122"/>
  <c r="I16" i="79"/>
  <c r="N16" i="79" s="1"/>
  <c r="AE43" i="122"/>
  <c r="F43" i="122"/>
  <c r="AQ29" i="120"/>
  <c r="AQ30" i="120" s="1"/>
  <c r="AQ120" i="120"/>
  <c r="AQ121" i="120" s="1"/>
  <c r="BC31" i="122"/>
  <c r="AM81" i="122"/>
  <c r="K81" i="122"/>
  <c r="AQ31" i="122"/>
  <c r="S56" i="122"/>
  <c r="AC43" i="122"/>
  <c r="AG31" i="122"/>
  <c r="AE11" i="111"/>
  <c r="AD11" i="111"/>
  <c r="AQ99" i="120"/>
  <c r="AQ102" i="120" s="1"/>
  <c r="AQ104" i="120"/>
  <c r="AQ107" i="120" s="1"/>
  <c r="J69" i="122"/>
  <c r="AS11" i="111"/>
  <c r="AS9" i="111" s="1"/>
  <c r="AQ83" i="120"/>
  <c r="AQ87" i="120" s="1"/>
  <c r="AQ15" i="120"/>
  <c r="S33" i="105"/>
  <c r="S50" i="105"/>
  <c r="E25" i="111"/>
  <c r="S16" i="105"/>
  <c r="R53" i="105"/>
  <c r="BG10" i="120"/>
  <c r="AV25" i="111"/>
  <c r="X25" i="111"/>
  <c r="W20" i="120"/>
  <c r="S36" i="105"/>
  <c r="I36" i="105" s="1"/>
  <c r="BG15" i="111"/>
  <c r="AZ40" i="120"/>
  <c r="AZ15" i="120"/>
  <c r="AZ20" i="120"/>
  <c r="AZ23" i="120"/>
  <c r="AZ26" i="120" s="1"/>
  <c r="AZ34" i="120"/>
  <c r="AZ29" i="120"/>
  <c r="AZ30" i="120" s="1"/>
  <c r="AZ99" i="120"/>
  <c r="AZ102" i="120" s="1"/>
  <c r="AZ104" i="120"/>
  <c r="AZ107" i="120" s="1"/>
  <c r="AZ83" i="120"/>
  <c r="AZ87" i="120" s="1"/>
  <c r="AZ120" i="120"/>
  <c r="AZ121" i="120" s="1"/>
  <c r="AV40" i="120"/>
  <c r="AV34" i="120"/>
  <c r="AV15" i="120"/>
  <c r="AV23" i="120"/>
  <c r="AV26" i="120" s="1"/>
  <c r="AV29" i="120"/>
  <c r="AV30" i="120" s="1"/>
  <c r="AV99" i="120"/>
  <c r="AV102" i="120" s="1"/>
  <c r="AV104" i="120"/>
  <c r="AV107" i="120" s="1"/>
  <c r="AV20" i="120"/>
  <c r="AV83" i="120"/>
  <c r="AV87" i="120" s="1"/>
  <c r="AV120" i="120"/>
  <c r="AV121" i="120" s="1"/>
  <c r="AR40" i="120"/>
  <c r="AR34" i="120"/>
  <c r="AR15" i="120"/>
  <c r="AR23" i="120"/>
  <c r="AR26" i="120" s="1"/>
  <c r="AR29" i="120"/>
  <c r="AR30" i="120" s="1"/>
  <c r="AR99" i="120"/>
  <c r="AR102" i="120" s="1"/>
  <c r="AR104" i="120"/>
  <c r="AR107" i="120" s="1"/>
  <c r="AR120" i="120"/>
  <c r="AR121" i="120" s="1"/>
  <c r="AR20" i="120"/>
  <c r="AR83" i="120"/>
  <c r="AR87" i="120" s="1"/>
  <c r="AN40" i="120"/>
  <c r="AN15" i="120"/>
  <c r="AN20" i="120"/>
  <c r="AN23" i="120"/>
  <c r="AN26" i="120" s="1"/>
  <c r="AN29" i="120"/>
  <c r="AN30" i="120" s="1"/>
  <c r="AN34" i="120"/>
  <c r="AN83" i="120"/>
  <c r="AN87" i="120" s="1"/>
  <c r="AN99" i="120"/>
  <c r="AN102" i="120" s="1"/>
  <c r="AN104" i="120"/>
  <c r="AN107" i="120" s="1"/>
  <c r="AN120" i="120"/>
  <c r="AN121" i="120" s="1"/>
  <c r="AJ40" i="120"/>
  <c r="AJ15" i="120"/>
  <c r="AJ20" i="120"/>
  <c r="AJ23" i="120"/>
  <c r="AJ26" i="120" s="1"/>
  <c r="AJ29" i="120"/>
  <c r="AJ30" i="120" s="1"/>
  <c r="AJ34" i="120"/>
  <c r="AJ83" i="120"/>
  <c r="AJ87" i="120" s="1"/>
  <c r="AJ99" i="120"/>
  <c r="AJ102" i="120" s="1"/>
  <c r="AJ104" i="120"/>
  <c r="AJ107" i="120" s="1"/>
  <c r="AJ120" i="120"/>
  <c r="AJ121" i="120" s="1"/>
  <c r="AF40" i="120"/>
  <c r="AF15" i="120"/>
  <c r="AF20" i="120"/>
  <c r="AF23" i="120"/>
  <c r="AF26" i="120" s="1"/>
  <c r="AF29" i="120"/>
  <c r="AF30" i="120" s="1"/>
  <c r="AF34" i="120"/>
  <c r="AF83" i="120"/>
  <c r="AF87" i="120" s="1"/>
  <c r="AF99" i="120"/>
  <c r="AF102" i="120" s="1"/>
  <c r="AF104" i="120"/>
  <c r="AF107" i="120" s="1"/>
  <c r="AF120" i="120"/>
  <c r="AF121" i="120" s="1"/>
  <c r="AB40" i="120"/>
  <c r="AB15" i="120"/>
  <c r="AB20" i="120"/>
  <c r="AB23" i="120"/>
  <c r="AB26" i="120" s="1"/>
  <c r="AB29" i="120"/>
  <c r="AB30" i="120" s="1"/>
  <c r="AB34" i="120"/>
  <c r="AB83" i="120"/>
  <c r="AB87" i="120" s="1"/>
  <c r="AB99" i="120"/>
  <c r="AB102" i="120" s="1"/>
  <c r="AB104" i="120"/>
  <c r="AB107" i="120" s="1"/>
  <c r="AB120" i="120"/>
  <c r="AB121" i="120" s="1"/>
  <c r="X40" i="120"/>
  <c r="X15" i="120"/>
  <c r="X20" i="120"/>
  <c r="X23" i="120"/>
  <c r="X26" i="120" s="1"/>
  <c r="X29" i="120"/>
  <c r="X30" i="120" s="1"/>
  <c r="X34" i="120"/>
  <c r="X83" i="120"/>
  <c r="X87" i="120" s="1"/>
  <c r="X99" i="120"/>
  <c r="X102" i="120" s="1"/>
  <c r="X104" i="120"/>
  <c r="X107" i="120" s="1"/>
  <c r="X120" i="120"/>
  <c r="X121" i="120" s="1"/>
  <c r="T40" i="120"/>
  <c r="T34" i="120"/>
  <c r="T20" i="120"/>
  <c r="T99" i="120"/>
  <c r="T102" i="120" s="1"/>
  <c r="T104" i="120"/>
  <c r="T107" i="120" s="1"/>
  <c r="T120" i="120"/>
  <c r="T121" i="120" s="1"/>
  <c r="T15" i="120"/>
  <c r="T23" i="120"/>
  <c r="T26" i="120" s="1"/>
  <c r="T29" i="120"/>
  <c r="T30" i="120" s="1"/>
  <c r="T83" i="120"/>
  <c r="T87" i="120" s="1"/>
  <c r="P40" i="120"/>
  <c r="P34" i="120"/>
  <c r="P20" i="120"/>
  <c r="P99" i="120"/>
  <c r="P102" i="120" s="1"/>
  <c r="P104" i="120"/>
  <c r="P107" i="120" s="1"/>
  <c r="P120" i="120"/>
  <c r="P121" i="120" s="1"/>
  <c r="P15" i="120"/>
  <c r="P23" i="120"/>
  <c r="P26" i="120" s="1"/>
  <c r="P29" i="120"/>
  <c r="P30" i="120" s="1"/>
  <c r="P83" i="120"/>
  <c r="P87" i="120" s="1"/>
  <c r="L40" i="120"/>
  <c r="L15" i="120"/>
  <c r="L20" i="120"/>
  <c r="L23" i="120"/>
  <c r="L26" i="120" s="1"/>
  <c r="L29" i="120"/>
  <c r="L30" i="120" s="1"/>
  <c r="L83" i="120"/>
  <c r="L87" i="120" s="1"/>
  <c r="L34" i="120"/>
  <c r="L99" i="120"/>
  <c r="L102" i="120" s="1"/>
  <c r="L104" i="120"/>
  <c r="L107" i="120" s="1"/>
  <c r="L120" i="120"/>
  <c r="L121" i="120" s="1"/>
  <c r="H40" i="120"/>
  <c r="H15" i="120"/>
  <c r="H20" i="120"/>
  <c r="H23" i="120"/>
  <c r="H26" i="120" s="1"/>
  <c r="H29" i="120"/>
  <c r="H30" i="120" s="1"/>
  <c r="H83" i="120"/>
  <c r="H87" i="120" s="1"/>
  <c r="H34" i="120"/>
  <c r="H99" i="120"/>
  <c r="H102" i="120" s="1"/>
  <c r="H104" i="120"/>
  <c r="H107" i="120" s="1"/>
  <c r="H120" i="120"/>
  <c r="H121" i="120" s="1"/>
  <c r="D40" i="120"/>
  <c r="D34" i="120"/>
  <c r="D15" i="120"/>
  <c r="D23" i="120"/>
  <c r="D26" i="120" s="1"/>
  <c r="D29" i="120"/>
  <c r="D30" i="120" s="1"/>
  <c r="D99" i="120"/>
  <c r="D102" i="120" s="1"/>
  <c r="D104" i="120"/>
  <c r="D107" i="120" s="1"/>
  <c r="D120" i="120"/>
  <c r="D121" i="120" s="1"/>
  <c r="D20" i="120"/>
  <c r="D83" i="120"/>
  <c r="D87" i="120" s="1"/>
  <c r="BB40" i="120"/>
  <c r="BB34" i="120"/>
  <c r="BB15" i="120"/>
  <c r="BB23" i="120"/>
  <c r="BB26" i="120" s="1"/>
  <c r="BB99" i="120"/>
  <c r="BB102" i="120" s="1"/>
  <c r="BB104" i="120"/>
  <c r="BB107" i="120" s="1"/>
  <c r="BB20" i="120"/>
  <c r="BB29" i="120"/>
  <c r="BB30" i="120" s="1"/>
  <c r="BB83" i="120"/>
  <c r="BB87" i="120" s="1"/>
  <c r="BB120" i="120"/>
  <c r="BB121" i="120" s="1"/>
  <c r="AY40" i="120"/>
  <c r="AY29" i="120"/>
  <c r="AY30" i="120" s="1"/>
  <c r="AY83" i="120"/>
  <c r="AY87" i="120" s="1"/>
  <c r="AY120" i="120"/>
  <c r="AY121" i="120" s="1"/>
  <c r="AY20" i="120"/>
  <c r="AY23" i="120"/>
  <c r="AY26" i="120" s="1"/>
  <c r="AY34" i="120"/>
  <c r="AY99" i="120"/>
  <c r="AY102" i="120" s="1"/>
  <c r="AY104" i="120"/>
  <c r="AY107" i="120" s="1"/>
  <c r="AY15" i="120"/>
  <c r="AU40" i="120"/>
  <c r="AU120" i="120"/>
  <c r="AU121" i="120" s="1"/>
  <c r="AU15" i="120"/>
  <c r="AU20" i="120"/>
  <c r="AU23" i="120"/>
  <c r="AU26" i="120" s="1"/>
  <c r="AU29" i="120"/>
  <c r="AU30" i="120" s="1"/>
  <c r="AU83" i="120"/>
  <c r="AU87" i="120" s="1"/>
  <c r="AU34" i="120"/>
  <c r="AU99" i="120"/>
  <c r="AU102" i="120" s="1"/>
  <c r="AU104" i="120"/>
  <c r="AU107" i="120" s="1"/>
  <c r="AQ40" i="120"/>
  <c r="AQ50" i="120" s="1"/>
  <c r="AQ51" i="120" s="1"/>
  <c r="AQ20" i="120"/>
  <c r="AM40" i="120"/>
  <c r="AM34" i="120"/>
  <c r="AM15" i="120"/>
  <c r="AM23" i="120"/>
  <c r="AM26" i="120" s="1"/>
  <c r="AM29" i="120"/>
  <c r="AM30" i="120" s="1"/>
  <c r="AM99" i="120"/>
  <c r="AM102" i="120" s="1"/>
  <c r="AM104" i="120"/>
  <c r="AM107" i="120" s="1"/>
  <c r="AM120" i="120"/>
  <c r="AM121" i="120" s="1"/>
  <c r="AM20" i="120"/>
  <c r="AM83" i="120"/>
  <c r="AM87" i="120" s="1"/>
  <c r="AI40" i="120"/>
  <c r="AI34" i="120"/>
  <c r="AI15" i="120"/>
  <c r="AI23" i="120"/>
  <c r="AI26" i="120" s="1"/>
  <c r="AI29" i="120"/>
  <c r="AI30" i="120" s="1"/>
  <c r="AI99" i="120"/>
  <c r="AI102" i="120" s="1"/>
  <c r="AI104" i="120"/>
  <c r="AI107" i="120" s="1"/>
  <c r="AI120" i="120"/>
  <c r="AI121" i="120" s="1"/>
  <c r="AI20" i="120"/>
  <c r="AI83" i="120"/>
  <c r="AI87" i="120" s="1"/>
  <c r="AE40" i="120"/>
  <c r="AE34" i="120"/>
  <c r="AE15" i="120"/>
  <c r="AE23" i="120"/>
  <c r="AE26" i="120" s="1"/>
  <c r="AE29" i="120"/>
  <c r="AE30" i="120" s="1"/>
  <c r="AE99" i="120"/>
  <c r="AE102" i="120" s="1"/>
  <c r="AE104" i="120"/>
  <c r="AE107" i="120" s="1"/>
  <c r="AE120" i="120"/>
  <c r="AE121" i="120" s="1"/>
  <c r="AE20" i="120"/>
  <c r="AE83" i="120"/>
  <c r="AE87" i="120" s="1"/>
  <c r="AA40" i="120"/>
  <c r="AA34" i="120"/>
  <c r="AA15" i="120"/>
  <c r="AA23" i="120"/>
  <c r="AA26" i="120" s="1"/>
  <c r="AA29" i="120"/>
  <c r="AA30" i="120" s="1"/>
  <c r="AA99" i="120"/>
  <c r="AA102" i="120" s="1"/>
  <c r="AA104" i="120"/>
  <c r="AA107" i="120" s="1"/>
  <c r="AA120" i="120"/>
  <c r="AA121" i="120" s="1"/>
  <c r="AA20" i="120"/>
  <c r="AA83" i="120"/>
  <c r="AA87" i="120" s="1"/>
  <c r="W40" i="120"/>
  <c r="W55" i="120" s="1"/>
  <c r="W15" i="120"/>
  <c r="S40" i="120"/>
  <c r="S15" i="120"/>
  <c r="S20" i="120"/>
  <c r="S23" i="120"/>
  <c r="S26" i="120" s="1"/>
  <c r="S29" i="120"/>
  <c r="S30" i="120" s="1"/>
  <c r="S34" i="120"/>
  <c r="S83" i="120"/>
  <c r="S87" i="120" s="1"/>
  <c r="S99" i="120"/>
  <c r="S102" i="120" s="1"/>
  <c r="S104" i="120"/>
  <c r="S107" i="120" s="1"/>
  <c r="S120" i="120"/>
  <c r="S121" i="120" s="1"/>
  <c r="O40" i="120"/>
  <c r="O15" i="120"/>
  <c r="O20" i="120"/>
  <c r="O23" i="120"/>
  <c r="O26" i="120" s="1"/>
  <c r="O29" i="120"/>
  <c r="O30" i="120" s="1"/>
  <c r="O34" i="120"/>
  <c r="O83" i="120"/>
  <c r="O87" i="120" s="1"/>
  <c r="O99" i="120"/>
  <c r="O102" i="120" s="1"/>
  <c r="O104" i="120"/>
  <c r="O107" i="120" s="1"/>
  <c r="O120" i="120"/>
  <c r="O121" i="120" s="1"/>
  <c r="K40" i="120"/>
  <c r="K34" i="120"/>
  <c r="K20" i="120"/>
  <c r="K99" i="120"/>
  <c r="K102" i="120" s="1"/>
  <c r="K104" i="120"/>
  <c r="K107" i="120" s="1"/>
  <c r="K120" i="120"/>
  <c r="K121" i="120" s="1"/>
  <c r="K15" i="120"/>
  <c r="K23" i="120"/>
  <c r="K26" i="120" s="1"/>
  <c r="K29" i="120"/>
  <c r="K30" i="120" s="1"/>
  <c r="K83" i="120"/>
  <c r="K87" i="120" s="1"/>
  <c r="G40" i="120"/>
  <c r="G34" i="120"/>
  <c r="G20" i="120"/>
  <c r="G99" i="120"/>
  <c r="G102" i="120" s="1"/>
  <c r="G104" i="120"/>
  <c r="G107" i="120" s="1"/>
  <c r="G120" i="120"/>
  <c r="G121" i="120" s="1"/>
  <c r="G15" i="120"/>
  <c r="G23" i="120"/>
  <c r="G26" i="120" s="1"/>
  <c r="G29" i="120"/>
  <c r="G30" i="120" s="1"/>
  <c r="G83" i="120"/>
  <c r="G87" i="120" s="1"/>
  <c r="BE40" i="120"/>
  <c r="BE29" i="120"/>
  <c r="BE30" i="120" s="1"/>
  <c r="BE34" i="120"/>
  <c r="BE83" i="120"/>
  <c r="BE87" i="120" s="1"/>
  <c r="BE120" i="120"/>
  <c r="BE121" i="120" s="1"/>
  <c r="BE23" i="120"/>
  <c r="BE26" i="120" s="1"/>
  <c r="BE15" i="120"/>
  <c r="BE99" i="120"/>
  <c r="BE102" i="120" s="1"/>
  <c r="BE104" i="120"/>
  <c r="BE107" i="120" s="1"/>
  <c r="BE20" i="120"/>
  <c r="C40" i="120"/>
  <c r="C15" i="120"/>
  <c r="C20" i="120"/>
  <c r="C23" i="120"/>
  <c r="C26" i="120" s="1"/>
  <c r="C29" i="120"/>
  <c r="C30" i="120" s="1"/>
  <c r="C83" i="120"/>
  <c r="C87" i="120" s="1"/>
  <c r="C34" i="120"/>
  <c r="C99" i="120"/>
  <c r="C102" i="120" s="1"/>
  <c r="C104" i="120"/>
  <c r="C107" i="120" s="1"/>
  <c r="C120" i="120"/>
  <c r="C121" i="120" s="1"/>
  <c r="AX34" i="120"/>
  <c r="AX20" i="120"/>
  <c r="AX99" i="120"/>
  <c r="AX102" i="120" s="1"/>
  <c r="AX104" i="120"/>
  <c r="AX107" i="120" s="1"/>
  <c r="AX15" i="120"/>
  <c r="AX23" i="120"/>
  <c r="AX26" i="120" s="1"/>
  <c r="AX29" i="120"/>
  <c r="AX30" i="120" s="1"/>
  <c r="AX83" i="120"/>
  <c r="AX87" i="120" s="1"/>
  <c r="AX120" i="120"/>
  <c r="AX121" i="120" s="1"/>
  <c r="AT40" i="120"/>
  <c r="AT34" i="120"/>
  <c r="AT20" i="120"/>
  <c r="AT99" i="120"/>
  <c r="AT102" i="120" s="1"/>
  <c r="AT104" i="120"/>
  <c r="AT107" i="120" s="1"/>
  <c r="AT120" i="120"/>
  <c r="AT121" i="120" s="1"/>
  <c r="AT15" i="120"/>
  <c r="AT23" i="120"/>
  <c r="AT26" i="120" s="1"/>
  <c r="AT29" i="120"/>
  <c r="AT30" i="120" s="1"/>
  <c r="AT83" i="120"/>
  <c r="AT87" i="120" s="1"/>
  <c r="AP40" i="120"/>
  <c r="AP15" i="120"/>
  <c r="AP20" i="120"/>
  <c r="AP23" i="120"/>
  <c r="AP26" i="120" s="1"/>
  <c r="AP29" i="120"/>
  <c r="AP30" i="120" s="1"/>
  <c r="AP83" i="120"/>
  <c r="AP87" i="120" s="1"/>
  <c r="AP34" i="120"/>
  <c r="AP99" i="120"/>
  <c r="AP102" i="120" s="1"/>
  <c r="AP104" i="120"/>
  <c r="AP107" i="120" s="1"/>
  <c r="AP120" i="120"/>
  <c r="AP121" i="120" s="1"/>
  <c r="AL40" i="120"/>
  <c r="AL15" i="120"/>
  <c r="AL20" i="120"/>
  <c r="AL23" i="120"/>
  <c r="AL26" i="120" s="1"/>
  <c r="AL29" i="120"/>
  <c r="AL30" i="120" s="1"/>
  <c r="AL83" i="120"/>
  <c r="AL87" i="120" s="1"/>
  <c r="AL34" i="120"/>
  <c r="AL99" i="120"/>
  <c r="AL102" i="120" s="1"/>
  <c r="AL104" i="120"/>
  <c r="AL107" i="120" s="1"/>
  <c r="AL120" i="120"/>
  <c r="AL121" i="120" s="1"/>
  <c r="AH40" i="120"/>
  <c r="AH15" i="120"/>
  <c r="AH20" i="120"/>
  <c r="AH23" i="120"/>
  <c r="AH26" i="120" s="1"/>
  <c r="AH29" i="120"/>
  <c r="AH30" i="120" s="1"/>
  <c r="AH83" i="120"/>
  <c r="AH87" i="120" s="1"/>
  <c r="AH34" i="120"/>
  <c r="AH99" i="120"/>
  <c r="AH102" i="120" s="1"/>
  <c r="AH104" i="120"/>
  <c r="AH107" i="120" s="1"/>
  <c r="AH120" i="120"/>
  <c r="AH121" i="120" s="1"/>
  <c r="AD40" i="120"/>
  <c r="AD15" i="120"/>
  <c r="AD20" i="120"/>
  <c r="AD23" i="120"/>
  <c r="AD26" i="120" s="1"/>
  <c r="AD29" i="120"/>
  <c r="AD30" i="120" s="1"/>
  <c r="AD83" i="120"/>
  <c r="AD87" i="120" s="1"/>
  <c r="AD34" i="120"/>
  <c r="AD99" i="120"/>
  <c r="AD102" i="120" s="1"/>
  <c r="AD104" i="120"/>
  <c r="AD107" i="120" s="1"/>
  <c r="AD120" i="120"/>
  <c r="AD121" i="120" s="1"/>
  <c r="Z40" i="120"/>
  <c r="Z15" i="120"/>
  <c r="Z20" i="120"/>
  <c r="Z23" i="120"/>
  <c r="Z26" i="120" s="1"/>
  <c r="Z29" i="120"/>
  <c r="Z30" i="120" s="1"/>
  <c r="Z83" i="120"/>
  <c r="Z87" i="120" s="1"/>
  <c r="Z34" i="120"/>
  <c r="Z99" i="120"/>
  <c r="Z102" i="120" s="1"/>
  <c r="Z104" i="120"/>
  <c r="Z107" i="120" s="1"/>
  <c r="Z120" i="120"/>
  <c r="Z121" i="120" s="1"/>
  <c r="V40" i="120"/>
  <c r="V34" i="120"/>
  <c r="V15" i="120"/>
  <c r="V23" i="120"/>
  <c r="V26" i="120" s="1"/>
  <c r="V29" i="120"/>
  <c r="V30" i="120" s="1"/>
  <c r="V99" i="120"/>
  <c r="V102" i="120" s="1"/>
  <c r="V104" i="120"/>
  <c r="V107" i="120" s="1"/>
  <c r="V120" i="120"/>
  <c r="V121" i="120" s="1"/>
  <c r="V20" i="120"/>
  <c r="V83" i="120"/>
  <c r="V87" i="120" s="1"/>
  <c r="R40" i="120"/>
  <c r="R34" i="120"/>
  <c r="R15" i="120"/>
  <c r="R23" i="120"/>
  <c r="R26" i="120" s="1"/>
  <c r="R29" i="120"/>
  <c r="R30" i="120" s="1"/>
  <c r="R99" i="120"/>
  <c r="R102" i="120" s="1"/>
  <c r="R104" i="120"/>
  <c r="R107" i="120" s="1"/>
  <c r="R120" i="120"/>
  <c r="R121" i="120" s="1"/>
  <c r="R20" i="120"/>
  <c r="R83" i="120"/>
  <c r="R87" i="120" s="1"/>
  <c r="J40" i="120"/>
  <c r="J15" i="120"/>
  <c r="J20" i="120"/>
  <c r="J23" i="120"/>
  <c r="J26" i="120" s="1"/>
  <c r="J29" i="120"/>
  <c r="J30" i="120" s="1"/>
  <c r="J34" i="120"/>
  <c r="J83" i="120"/>
  <c r="J87" i="120" s="1"/>
  <c r="J99" i="120"/>
  <c r="J102" i="120" s="1"/>
  <c r="J104" i="120"/>
  <c r="J107" i="120" s="1"/>
  <c r="J120" i="120"/>
  <c r="J121" i="120" s="1"/>
  <c r="F40" i="120"/>
  <c r="F15" i="120"/>
  <c r="F20" i="120"/>
  <c r="F23" i="120"/>
  <c r="F26" i="120" s="1"/>
  <c r="F29" i="120"/>
  <c r="F30" i="120" s="1"/>
  <c r="F34" i="120"/>
  <c r="F83" i="120"/>
  <c r="F87" i="120" s="1"/>
  <c r="F99" i="120"/>
  <c r="F102" i="120" s="1"/>
  <c r="F104" i="120"/>
  <c r="F107" i="120" s="1"/>
  <c r="F120" i="120"/>
  <c r="F121" i="120" s="1"/>
  <c r="BD15" i="120"/>
  <c r="BD23" i="120"/>
  <c r="BD26" i="120" s="1"/>
  <c r="BD34" i="120"/>
  <c r="BD29" i="120"/>
  <c r="BD30" i="120" s="1"/>
  <c r="BD99" i="120"/>
  <c r="BD102" i="120" s="1"/>
  <c r="BD104" i="120"/>
  <c r="BD107" i="120" s="1"/>
  <c r="BD20" i="120"/>
  <c r="BD83" i="120"/>
  <c r="BD87" i="120" s="1"/>
  <c r="BD120" i="120"/>
  <c r="BD121" i="120" s="1"/>
  <c r="BA40" i="120"/>
  <c r="BA15" i="120"/>
  <c r="BA29" i="120"/>
  <c r="BA30" i="120" s="1"/>
  <c r="BA34" i="120"/>
  <c r="BA83" i="120"/>
  <c r="BA87" i="120" s="1"/>
  <c r="BA120" i="120"/>
  <c r="BA121" i="120" s="1"/>
  <c r="BA23" i="120"/>
  <c r="BA26" i="120" s="1"/>
  <c r="BA99" i="120"/>
  <c r="BA102" i="120" s="1"/>
  <c r="BA104" i="120"/>
  <c r="BA107" i="120" s="1"/>
  <c r="BA20" i="120"/>
  <c r="AW40" i="120"/>
  <c r="AW15" i="120"/>
  <c r="AW20" i="120"/>
  <c r="AW23" i="120"/>
  <c r="AW26" i="120" s="1"/>
  <c r="AW29" i="120"/>
  <c r="AW30" i="120" s="1"/>
  <c r="AW34" i="120"/>
  <c r="AW83" i="120"/>
  <c r="AW87" i="120" s="1"/>
  <c r="AW120" i="120"/>
  <c r="AW121" i="120" s="1"/>
  <c r="AW99" i="120"/>
  <c r="AW102" i="120" s="1"/>
  <c r="AW104" i="120"/>
  <c r="AW107" i="120" s="1"/>
  <c r="AS40" i="120"/>
  <c r="AS15" i="120"/>
  <c r="AS20" i="120"/>
  <c r="AS23" i="120"/>
  <c r="AS26" i="120" s="1"/>
  <c r="AS29" i="120"/>
  <c r="AS30" i="120" s="1"/>
  <c r="AS34" i="120"/>
  <c r="AS83" i="120"/>
  <c r="AS87" i="120" s="1"/>
  <c r="AS99" i="120"/>
  <c r="AS102" i="120" s="1"/>
  <c r="AS104" i="120"/>
  <c r="AS107" i="120" s="1"/>
  <c r="AS120" i="120"/>
  <c r="AS121" i="120" s="1"/>
  <c r="AO40" i="120"/>
  <c r="AO34" i="120"/>
  <c r="AO20" i="120"/>
  <c r="AO99" i="120"/>
  <c r="AO102" i="120" s="1"/>
  <c r="AO104" i="120"/>
  <c r="AO107" i="120" s="1"/>
  <c r="AO120" i="120"/>
  <c r="AO121" i="120" s="1"/>
  <c r="AO15" i="120"/>
  <c r="AO23" i="120"/>
  <c r="AO26" i="120" s="1"/>
  <c r="AO29" i="120"/>
  <c r="AO30" i="120" s="1"/>
  <c r="AO83" i="120"/>
  <c r="AO87" i="120" s="1"/>
  <c r="AK40" i="120"/>
  <c r="AK34" i="120"/>
  <c r="AK20" i="120"/>
  <c r="AK99" i="120"/>
  <c r="AK102" i="120" s="1"/>
  <c r="AK104" i="120"/>
  <c r="AK107" i="120" s="1"/>
  <c r="AK120" i="120"/>
  <c r="AK121" i="120" s="1"/>
  <c r="AK15" i="120"/>
  <c r="AK23" i="120"/>
  <c r="AK26" i="120" s="1"/>
  <c r="AK29" i="120"/>
  <c r="AK30" i="120" s="1"/>
  <c r="AK83" i="120"/>
  <c r="AK87" i="120" s="1"/>
  <c r="AG40" i="120"/>
  <c r="AG34" i="120"/>
  <c r="AG20" i="120"/>
  <c r="AG99" i="120"/>
  <c r="AG102" i="120" s="1"/>
  <c r="AG104" i="120"/>
  <c r="AG107" i="120" s="1"/>
  <c r="AG120" i="120"/>
  <c r="AG121" i="120" s="1"/>
  <c r="AG15" i="120"/>
  <c r="AG23" i="120"/>
  <c r="AG26" i="120" s="1"/>
  <c r="AG29" i="120"/>
  <c r="AG30" i="120" s="1"/>
  <c r="AG83" i="120"/>
  <c r="AG87" i="120" s="1"/>
  <c r="AC40" i="120"/>
  <c r="AC34" i="120"/>
  <c r="AC20" i="120"/>
  <c r="AC99" i="120"/>
  <c r="AC102" i="120" s="1"/>
  <c r="AC104" i="120"/>
  <c r="AC107" i="120" s="1"/>
  <c r="AC120" i="120"/>
  <c r="AC121" i="120" s="1"/>
  <c r="AC15" i="120"/>
  <c r="AC23" i="120"/>
  <c r="AC26" i="120" s="1"/>
  <c r="AC29" i="120"/>
  <c r="AC30" i="120" s="1"/>
  <c r="AC83" i="120"/>
  <c r="AC87" i="120" s="1"/>
  <c r="Y40" i="120"/>
  <c r="Y34" i="120"/>
  <c r="Y20" i="120"/>
  <c r="Y99" i="120"/>
  <c r="Y102" i="120" s="1"/>
  <c r="Y104" i="120"/>
  <c r="Y107" i="120" s="1"/>
  <c r="Y120" i="120"/>
  <c r="Y121" i="120" s="1"/>
  <c r="Y15" i="120"/>
  <c r="Y23" i="120"/>
  <c r="Y26" i="120" s="1"/>
  <c r="Y29" i="120"/>
  <c r="Y30" i="120" s="1"/>
  <c r="Y83" i="120"/>
  <c r="Y87" i="120" s="1"/>
  <c r="U40" i="120"/>
  <c r="U15" i="120"/>
  <c r="U20" i="120"/>
  <c r="U23" i="120"/>
  <c r="U26" i="120" s="1"/>
  <c r="U29" i="120"/>
  <c r="U30" i="120" s="1"/>
  <c r="U83" i="120"/>
  <c r="U87" i="120" s="1"/>
  <c r="U34" i="120"/>
  <c r="U99" i="120"/>
  <c r="U102" i="120" s="1"/>
  <c r="U104" i="120"/>
  <c r="U107" i="120" s="1"/>
  <c r="U120" i="120"/>
  <c r="U121" i="120" s="1"/>
  <c r="Q40" i="120"/>
  <c r="Q15" i="120"/>
  <c r="Q20" i="120"/>
  <c r="Q23" i="120"/>
  <c r="Q26" i="120" s="1"/>
  <c r="Q29" i="120"/>
  <c r="Q30" i="120" s="1"/>
  <c r="Q83" i="120"/>
  <c r="Q87" i="120" s="1"/>
  <c r="Q34" i="120"/>
  <c r="Q99" i="120"/>
  <c r="Q102" i="120" s="1"/>
  <c r="Q104" i="120"/>
  <c r="Q107" i="120" s="1"/>
  <c r="Q120" i="120"/>
  <c r="Q121" i="120" s="1"/>
  <c r="M40" i="120"/>
  <c r="M34" i="120"/>
  <c r="M15" i="120"/>
  <c r="M23" i="120"/>
  <c r="M26" i="120" s="1"/>
  <c r="M29" i="120"/>
  <c r="M30" i="120" s="1"/>
  <c r="M99" i="120"/>
  <c r="M102" i="120" s="1"/>
  <c r="M104" i="120"/>
  <c r="M107" i="120" s="1"/>
  <c r="M120" i="120"/>
  <c r="M121" i="120" s="1"/>
  <c r="M20" i="120"/>
  <c r="M83" i="120"/>
  <c r="M87" i="120" s="1"/>
  <c r="I40" i="120"/>
  <c r="I34" i="120"/>
  <c r="I15" i="120"/>
  <c r="I23" i="120"/>
  <c r="I26" i="120" s="1"/>
  <c r="I29" i="120"/>
  <c r="I30" i="120" s="1"/>
  <c r="I99" i="120"/>
  <c r="I102" i="120" s="1"/>
  <c r="I104" i="120"/>
  <c r="I107" i="120" s="1"/>
  <c r="I120" i="120"/>
  <c r="I121" i="120" s="1"/>
  <c r="I20" i="120"/>
  <c r="I83" i="120"/>
  <c r="I87" i="120" s="1"/>
  <c r="E40" i="120"/>
  <c r="E15" i="120"/>
  <c r="BC40" i="120"/>
  <c r="BC29" i="120"/>
  <c r="BC30" i="120" s="1"/>
  <c r="BC15" i="120"/>
  <c r="BC83" i="120"/>
  <c r="BC87" i="120" s="1"/>
  <c r="BC120" i="120"/>
  <c r="BC121" i="120" s="1"/>
  <c r="BC20" i="120"/>
  <c r="BC34" i="120"/>
  <c r="BC99" i="120"/>
  <c r="BC102" i="120" s="1"/>
  <c r="BC104" i="120"/>
  <c r="BC107" i="120" s="1"/>
  <c r="BC23" i="120"/>
  <c r="BC26" i="120" s="1"/>
  <c r="R46" i="105"/>
  <c r="S39" i="105"/>
  <c r="S18" i="105"/>
  <c r="R45" i="105"/>
  <c r="R39" i="105"/>
  <c r="S52" i="105"/>
  <c r="R16" i="105"/>
  <c r="S15" i="105"/>
  <c r="R8" i="105"/>
  <c r="R14" i="105"/>
  <c r="R25" i="105"/>
  <c r="R52" i="105"/>
  <c r="R11" i="105"/>
  <c r="R27" i="105"/>
  <c r="R34" i="105"/>
  <c r="S6" i="105"/>
  <c r="S53" i="105"/>
  <c r="S56" i="105"/>
  <c r="R15" i="105"/>
  <c r="S32" i="105"/>
  <c r="S22" i="105"/>
  <c r="R30" i="105"/>
  <c r="S41" i="105"/>
  <c r="R9" i="105"/>
  <c r="R17" i="105"/>
  <c r="S34" i="105"/>
  <c r="R26" i="105"/>
  <c r="T25" i="111"/>
  <c r="Y24" i="111"/>
  <c r="AE10" i="111"/>
  <c r="S21" i="105"/>
  <c r="S48" i="105"/>
  <c r="R48" i="105"/>
  <c r="R51" i="105"/>
  <c r="S57" i="105"/>
  <c r="S49" i="105"/>
  <c r="S30" i="105"/>
  <c r="AH10" i="111"/>
  <c r="AF4" i="79"/>
  <c r="AF54" i="79"/>
  <c r="I3" i="79"/>
  <c r="R58" i="105"/>
  <c r="S20" i="105"/>
  <c r="R56" i="105"/>
  <c r="R54" i="105"/>
  <c r="S54" i="105"/>
  <c r="S35" i="105"/>
  <c r="R41" i="105"/>
  <c r="H41" i="105" s="1"/>
  <c r="R50" i="105"/>
  <c r="R35" i="105"/>
  <c r="R20" i="105"/>
  <c r="R49" i="105"/>
  <c r="R24" i="105"/>
  <c r="S8" i="105"/>
  <c r="S25" i="105"/>
  <c r="R6" i="105"/>
  <c r="R23" i="105"/>
  <c r="R33" i="105"/>
  <c r="S9" i="105"/>
  <c r="S14" i="105"/>
  <c r="R18" i="105"/>
  <c r="R32" i="105"/>
  <c r="S23" i="105"/>
  <c r="S27" i="105"/>
  <c r="R36" i="105"/>
  <c r="AF50" i="79"/>
  <c r="S58" i="105"/>
  <c r="R57" i="105"/>
  <c r="S46" i="105"/>
  <c r="S24" i="105"/>
  <c r="I24" i="105" s="1"/>
  <c r="AJ6" i="111"/>
  <c r="AQ6" i="111"/>
  <c r="N104" i="120"/>
  <c r="N107" i="120" s="1"/>
  <c r="N34" i="120"/>
  <c r="N15" i="120"/>
  <c r="N23" i="120"/>
  <c r="N26" i="120" s="1"/>
  <c r="N20" i="120"/>
  <c r="N29" i="120"/>
  <c r="N30" i="120" s="1"/>
  <c r="N83" i="120"/>
  <c r="N87" i="120" s="1"/>
  <c r="N99" i="120"/>
  <c r="N102" i="120" s="1"/>
  <c r="N120" i="120"/>
  <c r="N121" i="120" s="1"/>
  <c r="G5" i="111"/>
  <c r="AH6" i="111"/>
  <c r="U6" i="111"/>
  <c r="G6" i="111"/>
  <c r="BA6" i="111"/>
  <c r="AF5" i="111"/>
  <c r="BC6" i="111"/>
  <c r="AF6" i="111"/>
  <c r="AX6" i="111"/>
  <c r="O6" i="111"/>
  <c r="AS6" i="111"/>
  <c r="AR6" i="111"/>
  <c r="C6" i="111"/>
  <c r="AY6" i="111"/>
  <c r="AO6" i="111"/>
  <c r="H6" i="111"/>
  <c r="AN6" i="111"/>
  <c r="M6" i="111"/>
  <c r="D6" i="111"/>
  <c r="AG6" i="111"/>
  <c r="AK6" i="111"/>
  <c r="P6" i="111"/>
  <c r="AU6" i="111"/>
  <c r="R22" i="105"/>
  <c r="BD24" i="111"/>
  <c r="I34" i="79"/>
  <c r="AH34" i="79" s="1"/>
  <c r="R37" i="105"/>
  <c r="S37" i="105"/>
  <c r="AZ56" i="122"/>
  <c r="AB31" i="122"/>
  <c r="C11" i="111"/>
  <c r="H11" i="111"/>
  <c r="AK31" i="122"/>
  <c r="F31" i="122"/>
  <c r="BA31" i="122"/>
  <c r="AW56" i="122"/>
  <c r="AJ10" i="111"/>
  <c r="AC11" i="111"/>
  <c r="X43" i="122"/>
  <c r="AU11" i="111"/>
  <c r="AU9" i="111" s="1"/>
  <c r="AE31" i="122"/>
  <c r="P56" i="122"/>
  <c r="BE56" i="122"/>
  <c r="AE56" i="122"/>
  <c r="AY69" i="122"/>
  <c r="L11" i="111"/>
  <c r="L9" i="111" s="1"/>
  <c r="AU56" i="122"/>
  <c r="AX11" i="111"/>
  <c r="AX9" i="111" s="1"/>
  <c r="J56" i="122"/>
  <c r="M61" i="122"/>
  <c r="M69" i="122" s="1"/>
  <c r="M36" i="122"/>
  <c r="M43" i="122" s="1"/>
  <c r="M48" i="122"/>
  <c r="M56" i="122" s="1"/>
  <c r="M25" i="122"/>
  <c r="M31" i="122" s="1"/>
  <c r="M74" i="122"/>
  <c r="M81" i="122" s="1"/>
  <c r="I24" i="122"/>
  <c r="I23" i="122"/>
  <c r="AV56" i="122"/>
  <c r="P43" i="122"/>
  <c r="V31" i="122"/>
  <c r="AA11" i="111"/>
  <c r="H31" i="122"/>
  <c r="AH55" i="79"/>
  <c r="AF42" i="79"/>
  <c r="AF55" i="79"/>
  <c r="AF41" i="79"/>
  <c r="I7" i="79"/>
  <c r="N7" i="79" s="1"/>
  <c r="I45" i="79"/>
  <c r="N45" i="79" s="1"/>
  <c r="I36" i="79"/>
  <c r="AH36" i="79" s="1"/>
  <c r="E56" i="122"/>
  <c r="J31" i="122"/>
  <c r="AK11" i="111"/>
  <c r="AK13" i="111"/>
  <c r="R11" i="111"/>
  <c r="R9" i="111" s="1"/>
  <c r="AY81" i="122"/>
  <c r="AW31" i="122"/>
  <c r="AY31" i="122"/>
  <c r="M11" i="111"/>
  <c r="M9" i="111" s="1"/>
  <c r="AO31" i="122"/>
  <c r="AG13" i="111"/>
  <c r="AG11" i="111"/>
  <c r="Z11" i="111"/>
  <c r="Z9" i="111" s="1"/>
  <c r="D31" i="122"/>
  <c r="AY56" i="122"/>
  <c r="BD11" i="111"/>
  <c r="BD9" i="111" s="1"/>
  <c r="W11" i="111"/>
  <c r="W9" i="111" s="1"/>
  <c r="W16" i="111"/>
  <c r="G23" i="79"/>
  <c r="G60" i="79" s="1"/>
  <c r="BB11" i="111"/>
  <c r="BB9" i="111" s="1"/>
  <c r="BA9" i="111"/>
  <c r="E9" i="111"/>
  <c r="AB9" i="111"/>
  <c r="N119" i="114"/>
  <c r="K119" i="114"/>
  <c r="K9" i="111"/>
  <c r="AY5" i="111"/>
  <c r="AH5" i="111"/>
  <c r="Z5" i="111"/>
  <c r="S5" i="111"/>
  <c r="D152" i="11"/>
  <c r="D151" i="11"/>
  <c r="D91" i="11"/>
  <c r="G91" i="11" s="1"/>
  <c r="H91" i="11" s="1"/>
  <c r="AQ252" i="64" s="1"/>
  <c r="AQ322" i="64" s="1"/>
  <c r="G90" i="11"/>
  <c r="H90" i="11" s="1"/>
  <c r="AP252" i="64" s="1"/>
  <c r="AP322" i="64" s="1"/>
  <c r="R5" i="111"/>
  <c r="AF56" i="79"/>
  <c r="AH56" i="79"/>
  <c r="AH41" i="79"/>
  <c r="I30" i="79"/>
  <c r="AH30" i="79" s="1"/>
  <c r="AH13" i="79"/>
  <c r="AF32" i="79"/>
  <c r="AH20" i="79"/>
  <c r="AF13" i="79"/>
  <c r="I48" i="79"/>
  <c r="AF53" i="79"/>
  <c r="I31" i="79"/>
  <c r="N31" i="79" s="1"/>
  <c r="I8" i="79"/>
  <c r="AH8" i="79" s="1"/>
  <c r="AH4" i="79"/>
  <c r="I28" i="79"/>
  <c r="AH28" i="79" s="1"/>
  <c r="AF49" i="79"/>
  <c r="AF20" i="79"/>
  <c r="AF39" i="79"/>
  <c r="N49" i="79"/>
  <c r="N52" i="79"/>
  <c r="AF43" i="79"/>
  <c r="I14" i="79"/>
  <c r="AH14" i="79" s="1"/>
  <c r="AH9" i="79"/>
  <c r="I27" i="79"/>
  <c r="N27" i="79" s="1"/>
  <c r="AH43" i="79"/>
  <c r="AF9" i="79"/>
  <c r="I37" i="79"/>
  <c r="AH37" i="79" s="1"/>
  <c r="AF52" i="79"/>
  <c r="N35" i="79"/>
  <c r="AH35" i="79"/>
  <c r="I44" i="79"/>
  <c r="AH44" i="79" s="1"/>
  <c r="N33" i="79"/>
  <c r="AF33" i="79"/>
  <c r="AF35" i="79"/>
  <c r="AH11" i="79"/>
  <c r="AF47" i="79"/>
  <c r="I26" i="79"/>
  <c r="N26" i="79" s="1"/>
  <c r="AF57" i="79"/>
  <c r="AH40" i="79"/>
  <c r="AF6" i="79"/>
  <c r="I6" i="79"/>
  <c r="I5" i="79"/>
  <c r="AF5" i="79"/>
  <c r="AF40" i="79"/>
  <c r="I10" i="79"/>
  <c r="AF10" i="79"/>
  <c r="N57" i="79"/>
  <c r="AH57" i="79"/>
  <c r="AH42" i="79"/>
  <c r="N42" i="79"/>
  <c r="I29" i="79"/>
  <c r="AF29" i="79"/>
  <c r="N54" i="79"/>
  <c r="AH54" i="79"/>
  <c r="N32" i="79"/>
  <c r="AH32" i="79"/>
  <c r="I21" i="79"/>
  <c r="AF21" i="79"/>
  <c r="I51" i="79"/>
  <c r="AF51" i="79"/>
  <c r="AF38" i="79"/>
  <c r="N50" i="79"/>
  <c r="AH50" i="79"/>
  <c r="I17" i="79"/>
  <c r="AF17" i="79"/>
  <c r="AF24" i="79"/>
  <c r="I24" i="79"/>
  <c r="E79" i="11"/>
  <c r="E80" i="11"/>
  <c r="I15" i="79"/>
  <c r="AF15" i="79"/>
  <c r="E77" i="11"/>
  <c r="AF19" i="79"/>
  <c r="I19" i="79"/>
  <c r="C19" i="117"/>
  <c r="E78" i="11"/>
  <c r="I46" i="79"/>
  <c r="AF46" i="79"/>
  <c r="AH38" i="79"/>
  <c r="N38" i="79"/>
  <c r="I22" i="79"/>
  <c r="AF22" i="79"/>
  <c r="AF18" i="79"/>
  <c r="I18" i="79"/>
  <c r="N39" i="79"/>
  <c r="AH39" i="79"/>
  <c r="N53" i="79"/>
  <c r="AH53" i="79"/>
  <c r="AF25" i="79"/>
  <c r="I25" i="79"/>
  <c r="AH47" i="79"/>
  <c r="N47" i="79"/>
  <c r="I12" i="79"/>
  <c r="AF12" i="79"/>
  <c r="F523" i="64" l="1"/>
  <c r="N515" i="64"/>
  <c r="N244" i="64"/>
  <c r="AF515" i="64"/>
  <c r="AF244" i="64"/>
  <c r="AF10" i="111" s="1"/>
  <c r="AZ60" i="79"/>
  <c r="N3" i="79"/>
  <c r="N60" i="79" s="1"/>
  <c r="AP311" i="64"/>
  <c r="AP313" i="64" s="1"/>
  <c r="AO12" i="111" s="1"/>
  <c r="Z311" i="64"/>
  <c r="Z313" i="64" s="1"/>
  <c r="Z12" i="111" s="1"/>
  <c r="Z8" i="111" s="1"/>
  <c r="X311" i="64"/>
  <c r="X313" i="64" s="1"/>
  <c r="D12" i="111" s="1"/>
  <c r="AU311" i="64"/>
  <c r="AU313" i="64" s="1"/>
  <c r="AU12" i="111" s="1"/>
  <c r="AU8" i="111" s="1"/>
  <c r="AO311" i="64"/>
  <c r="AO313" i="64" s="1"/>
  <c r="AN12" i="111" s="1"/>
  <c r="O311" i="64"/>
  <c r="O313" i="64" s="1"/>
  <c r="R12" i="111" s="1"/>
  <c r="R8" i="111" s="1"/>
  <c r="AC311" i="64"/>
  <c r="AC313" i="64" s="1"/>
  <c r="AC12" i="111" s="1"/>
  <c r="F311" i="64"/>
  <c r="F313" i="64" s="1"/>
  <c r="H12" i="111" s="1"/>
  <c r="P311" i="64"/>
  <c r="P313" i="64" s="1"/>
  <c r="V12" i="111" s="1"/>
  <c r="V8" i="111" s="1"/>
  <c r="AH311" i="64"/>
  <c r="AH313" i="64" s="1"/>
  <c r="AH12" i="111" s="1"/>
  <c r="AH8" i="111" s="1"/>
  <c r="H311" i="64"/>
  <c r="H313" i="64" s="1"/>
  <c r="U311" i="64"/>
  <c r="U313" i="64" s="1"/>
  <c r="J12" i="111" s="1"/>
  <c r="AT311" i="64"/>
  <c r="AT313" i="64" s="1"/>
  <c r="BA12" i="111" s="1"/>
  <c r="AV311" i="64"/>
  <c r="AV313" i="64" s="1"/>
  <c r="AX12" i="111" s="1"/>
  <c r="AX8" i="111" s="1"/>
  <c r="R311" i="64"/>
  <c r="R313" i="64" s="1"/>
  <c r="O12" i="111" s="1"/>
  <c r="AM311" i="64"/>
  <c r="AM313" i="64" s="1"/>
  <c r="AM12" i="111" s="1"/>
  <c r="AM8" i="111" s="1"/>
  <c r="AK311" i="64"/>
  <c r="AK313" i="64" s="1"/>
  <c r="AK12" i="111" s="1"/>
  <c r="AR311" i="64"/>
  <c r="AR313" i="64" s="1"/>
  <c r="E311" i="64"/>
  <c r="E313" i="64" s="1"/>
  <c r="M12" i="111" s="1"/>
  <c r="M8" i="111" s="1"/>
  <c r="AB311" i="64"/>
  <c r="AB313" i="64" s="1"/>
  <c r="AB12" i="111" s="1"/>
  <c r="AB8" i="111" s="1"/>
  <c r="BC311" i="64"/>
  <c r="BC313" i="64" s="1"/>
  <c r="AW12" i="111" s="1"/>
  <c r="AN311" i="64"/>
  <c r="AN313" i="64" s="1"/>
  <c r="BC12" i="111" s="1"/>
  <c r="BC8" i="111" s="1"/>
  <c r="AF311" i="64"/>
  <c r="AF313" i="64" s="1"/>
  <c r="AF12" i="111" s="1"/>
  <c r="AF8" i="111" s="1"/>
  <c r="AI311" i="64"/>
  <c r="AI313" i="64" s="1"/>
  <c r="AI12" i="111" s="1"/>
  <c r="AI8" i="111" s="1"/>
  <c r="AZ311" i="64"/>
  <c r="AZ313" i="64" s="1"/>
  <c r="AZ12" i="111" s="1"/>
  <c r="T311" i="64"/>
  <c r="T313" i="64" s="1"/>
  <c r="W12" i="111" s="1"/>
  <c r="W8" i="111" s="1"/>
  <c r="AW311" i="64"/>
  <c r="AW313" i="64" s="1"/>
  <c r="AS12" i="111" s="1"/>
  <c r="AS8" i="111" s="1"/>
  <c r="AX311" i="64"/>
  <c r="AX313" i="64" s="1"/>
  <c r="BB12" i="111" s="1"/>
  <c r="BB8" i="111" s="1"/>
  <c r="Y311" i="64"/>
  <c r="Y313" i="64" s="1"/>
  <c r="Y12" i="111" s="1"/>
  <c r="Y8" i="111" s="1"/>
  <c r="S311" i="64"/>
  <c r="S313" i="64" s="1"/>
  <c r="K12" i="111" s="1"/>
  <c r="J311" i="64"/>
  <c r="J313" i="64" s="1"/>
  <c r="U12" i="111" s="1"/>
  <c r="U8" i="111" s="1"/>
  <c r="M311" i="64"/>
  <c r="M313" i="64" s="1"/>
  <c r="G12" i="111" s="1"/>
  <c r="AJ311" i="64"/>
  <c r="AJ313" i="64" s="1"/>
  <c r="AJ12" i="111" s="1"/>
  <c r="AJ8" i="111" s="1"/>
  <c r="V311" i="64"/>
  <c r="V313" i="64" s="1"/>
  <c r="I12" i="111" s="1"/>
  <c r="AY311" i="64"/>
  <c r="AY313" i="64" s="1"/>
  <c r="AT12" i="111" s="1"/>
  <c r="AT8" i="111" s="1"/>
  <c r="AG311" i="64"/>
  <c r="AG313" i="64" s="1"/>
  <c r="AG12" i="111" s="1"/>
  <c r="W311" i="64"/>
  <c r="W313" i="64" s="1"/>
  <c r="N12" i="111" s="1"/>
  <c r="AD311" i="64"/>
  <c r="AD313" i="64" s="1"/>
  <c r="AD12" i="111" s="1"/>
  <c r="AQ311" i="64"/>
  <c r="AQ313" i="64" s="1"/>
  <c r="AS311" i="64"/>
  <c r="AS313" i="64" s="1"/>
  <c r="AR12" i="111" s="1"/>
  <c r="AR8" i="111" s="1"/>
  <c r="Q311" i="64"/>
  <c r="Q313" i="64" s="1"/>
  <c r="C12" i="111" s="1"/>
  <c r="BE311" i="64"/>
  <c r="BE313" i="64" s="1"/>
  <c r="BF12" i="111" s="1"/>
  <c r="BB311" i="64"/>
  <c r="BB313" i="64" s="1"/>
  <c r="AV12" i="111" s="1"/>
  <c r="AV8" i="111" s="1"/>
  <c r="AL311" i="64"/>
  <c r="AL313" i="64" s="1"/>
  <c r="AL12" i="111" s="1"/>
  <c r="AL8" i="111" s="1"/>
  <c r="AE311" i="64"/>
  <c r="AE313" i="64" s="1"/>
  <c r="AE12" i="111" s="1"/>
  <c r="BA311" i="64"/>
  <c r="BA313" i="64" s="1"/>
  <c r="AY12" i="111" s="1"/>
  <c r="AY8" i="111" s="1"/>
  <c r="AA311" i="64"/>
  <c r="AA313" i="64" s="1"/>
  <c r="AA12" i="111" s="1"/>
  <c r="L311" i="64"/>
  <c r="L313" i="64" s="1"/>
  <c r="P12" i="111" s="1"/>
  <c r="P8" i="111" s="1"/>
  <c r="BD311" i="64"/>
  <c r="BD313" i="64" s="1"/>
  <c r="BD12" i="111" s="1"/>
  <c r="BD8" i="111" s="1"/>
  <c r="N311" i="64"/>
  <c r="N313" i="64" s="1"/>
  <c r="Q12" i="111" s="1"/>
  <c r="Q8" i="111" s="1"/>
  <c r="D311" i="64"/>
  <c r="D313" i="64" s="1"/>
  <c r="E12" i="111" s="1"/>
  <c r="N344" i="64"/>
  <c r="N346" i="64" s="1"/>
  <c r="AU344" i="64"/>
  <c r="AU346" i="64" s="1"/>
  <c r="AU13" i="111" s="1"/>
  <c r="X344" i="64"/>
  <c r="X346" i="64" s="1"/>
  <c r="Z344" i="64"/>
  <c r="Z346" i="64" s="1"/>
  <c r="Z13" i="111" s="1"/>
  <c r="Q344" i="64"/>
  <c r="Q346" i="64" s="1"/>
  <c r="C13" i="111" s="1"/>
  <c r="C16" i="117" s="1"/>
  <c r="AS344" i="64"/>
  <c r="AS346" i="64" s="1"/>
  <c r="AR13" i="111" s="1"/>
  <c r="AD344" i="64"/>
  <c r="AD346" i="64" s="1"/>
  <c r="AD13" i="111" s="1"/>
  <c r="W344" i="64"/>
  <c r="W346" i="64" s="1"/>
  <c r="N13" i="111" s="1"/>
  <c r="BC344" i="64"/>
  <c r="BC346" i="64" s="1"/>
  <c r="AW13" i="111" s="1"/>
  <c r="P344" i="64"/>
  <c r="P346" i="64" s="1"/>
  <c r="V13" i="111" s="1"/>
  <c r="V344" i="64"/>
  <c r="V346" i="64" s="1"/>
  <c r="I13" i="111" s="1"/>
  <c r="AJ344" i="64"/>
  <c r="AJ346" i="64" s="1"/>
  <c r="AJ13" i="111" s="1"/>
  <c r="M344" i="64"/>
  <c r="M346" i="64" s="1"/>
  <c r="G13" i="111" s="1"/>
  <c r="J344" i="64"/>
  <c r="J346" i="64" s="1"/>
  <c r="U13" i="111" s="1"/>
  <c r="S344" i="64"/>
  <c r="S346" i="64" s="1"/>
  <c r="AA344" i="64"/>
  <c r="AA346" i="64" s="1"/>
  <c r="AA13" i="111" s="1"/>
  <c r="AE344" i="64"/>
  <c r="AE346" i="64" s="1"/>
  <c r="AE13" i="111" s="1"/>
  <c r="K344" i="64"/>
  <c r="K346" i="64" s="1"/>
  <c r="L13" i="111" s="1"/>
  <c r="AR344" i="64"/>
  <c r="AR346" i="64" s="1"/>
  <c r="AW344" i="64"/>
  <c r="AW346" i="64" s="1"/>
  <c r="AS13" i="111" s="1"/>
  <c r="T344" i="64"/>
  <c r="T346" i="64" s="1"/>
  <c r="W13" i="111" s="1"/>
  <c r="AZ344" i="64"/>
  <c r="AZ346" i="64" s="1"/>
  <c r="AZ13" i="111" s="1"/>
  <c r="AI344" i="64"/>
  <c r="AI346" i="64" s="1"/>
  <c r="AI13" i="111" s="1"/>
  <c r="AF344" i="64"/>
  <c r="AF346" i="64" s="1"/>
  <c r="AF13" i="111" s="1"/>
  <c r="AM344" i="64"/>
  <c r="AM346" i="64" s="1"/>
  <c r="AM13" i="111" s="1"/>
  <c r="R344" i="64"/>
  <c r="R346" i="64" s="1"/>
  <c r="O13" i="111" s="1"/>
  <c r="AV344" i="64"/>
  <c r="AV346" i="64" s="1"/>
  <c r="AX13" i="111" s="1"/>
  <c r="AT344" i="64"/>
  <c r="AT346" i="64" s="1"/>
  <c r="BA13" i="111" s="1"/>
  <c r="U344" i="64"/>
  <c r="U346" i="64" s="1"/>
  <c r="J13" i="111" s="1"/>
  <c r="BD344" i="64"/>
  <c r="BD346" i="64" s="1"/>
  <c r="BD13" i="111" s="1"/>
  <c r="D344" i="64"/>
  <c r="D346" i="64" s="1"/>
  <c r="E13" i="111" s="1"/>
  <c r="F344" i="64"/>
  <c r="F346" i="64" s="1"/>
  <c r="H13" i="111" s="1"/>
  <c r="AC344" i="64"/>
  <c r="AC346" i="64" s="1"/>
  <c r="AC13" i="111" s="1"/>
  <c r="O344" i="64"/>
  <c r="O346" i="64" s="1"/>
  <c r="R13" i="111" s="1"/>
  <c r="L344" i="64"/>
  <c r="L346" i="64" s="1"/>
  <c r="P13" i="111" s="1"/>
  <c r="BA344" i="64"/>
  <c r="BA346" i="64" s="1"/>
  <c r="AY13" i="111" s="1"/>
  <c r="AB344" i="64"/>
  <c r="AB346" i="64" s="1"/>
  <c r="AB13" i="111" s="1"/>
  <c r="E344" i="64"/>
  <c r="E346" i="64" s="1"/>
  <c r="M13" i="111" s="1"/>
  <c r="BA523" i="64"/>
  <c r="BA280" i="64"/>
  <c r="AY11" i="111" s="1"/>
  <c r="AY9" i="111" s="1"/>
  <c r="AJ280" i="64"/>
  <c r="AJ11" i="111" s="1"/>
  <c r="I14" i="105"/>
  <c r="I16" i="105"/>
  <c r="I52" i="105"/>
  <c r="I57" i="105"/>
  <c r="I48" i="105"/>
  <c r="I35" i="105"/>
  <c r="I54" i="105"/>
  <c r="I58" i="105"/>
  <c r="I9" i="105"/>
  <c r="I6" i="105"/>
  <c r="I17" i="105"/>
  <c r="I33" i="105"/>
  <c r="I39" i="105"/>
  <c r="I46" i="105"/>
  <c r="I22" i="105"/>
  <c r="I8" i="105"/>
  <c r="I18" i="105"/>
  <c r="I34" i="105"/>
  <c r="I25" i="105"/>
  <c r="I32" i="105"/>
  <c r="I30" i="105"/>
  <c r="I49" i="105"/>
  <c r="I20" i="105"/>
  <c r="I23" i="105"/>
  <c r="I15" i="105"/>
  <c r="I53" i="105"/>
  <c r="I21" i="105"/>
  <c r="I56" i="105"/>
  <c r="I50" i="105"/>
  <c r="I41" i="105"/>
  <c r="I27" i="105"/>
  <c r="I37" i="105"/>
  <c r="AP320" i="64"/>
  <c r="AQ320" i="64"/>
  <c r="T18" i="111"/>
  <c r="AQ18" i="111"/>
  <c r="F18" i="111"/>
  <c r="D18" i="111"/>
  <c r="C14" i="117"/>
  <c r="C9" i="111"/>
  <c r="C12" i="117" s="1"/>
  <c r="C74" i="64"/>
  <c r="C209" i="64" s="1"/>
  <c r="C244" i="64" s="1"/>
  <c r="S10" i="111" s="1"/>
  <c r="AJ523" i="64"/>
  <c r="K313" i="64"/>
  <c r="L12" i="111" s="1"/>
  <c r="L8" i="111" s="1"/>
  <c r="N523" i="64"/>
  <c r="Q11" i="111"/>
  <c r="Q9" i="111" s="1"/>
  <c r="BC523" i="64"/>
  <c r="AW11" i="111"/>
  <c r="AW9" i="111" s="1"/>
  <c r="O515" i="64"/>
  <c r="BB523" i="64"/>
  <c r="AV11" i="111"/>
  <c r="AV9" i="111" s="1"/>
  <c r="BC74" i="64"/>
  <c r="BC209" i="64" s="1"/>
  <c r="BC244" i="64" s="1"/>
  <c r="AZ515" i="64"/>
  <c r="X515" i="64"/>
  <c r="I334" i="64"/>
  <c r="I332" i="64"/>
  <c r="I336" i="64"/>
  <c r="AM523" i="64"/>
  <c r="AM11" i="111"/>
  <c r="AM9" i="111" s="1"/>
  <c r="V523" i="64"/>
  <c r="I11" i="111"/>
  <c r="W515" i="64"/>
  <c r="C299" i="64"/>
  <c r="C303" i="64"/>
  <c r="C301" i="64"/>
  <c r="AN523" i="64"/>
  <c r="BC11" i="111"/>
  <c r="BC9" i="111" s="1"/>
  <c r="AM515" i="64"/>
  <c r="BB515" i="64"/>
  <c r="G515" i="64"/>
  <c r="G523" i="64"/>
  <c r="D523" i="64"/>
  <c r="E11" i="111"/>
  <c r="AV515" i="64"/>
  <c r="H523" i="64"/>
  <c r="AS523" i="64"/>
  <c r="AR11" i="111"/>
  <c r="AR9" i="111" s="1"/>
  <c r="L515" i="64"/>
  <c r="D11" i="111"/>
  <c r="X523" i="64"/>
  <c r="R523" i="64"/>
  <c r="O11" i="111"/>
  <c r="R515" i="64"/>
  <c r="AX515" i="64"/>
  <c r="I209" i="64"/>
  <c r="I244" i="64" s="1"/>
  <c r="I537" i="64"/>
  <c r="H142" i="64"/>
  <c r="H173" i="64" s="1"/>
  <c r="F515" i="64"/>
  <c r="AS515" i="64"/>
  <c r="AR10" i="111"/>
  <c r="AF523" i="64"/>
  <c r="AF11" i="111"/>
  <c r="AF9" i="111" s="1"/>
  <c r="P523" i="64"/>
  <c r="V11" i="111"/>
  <c r="V9" i="111" s="1"/>
  <c r="K515" i="64"/>
  <c r="C336" i="64"/>
  <c r="C332" i="64"/>
  <c r="C334" i="64"/>
  <c r="L523" i="64"/>
  <c r="H515" i="64"/>
  <c r="V515" i="64"/>
  <c r="I523" i="64"/>
  <c r="T11" i="111"/>
  <c r="T9" i="111" s="1"/>
  <c r="BA515" i="64"/>
  <c r="AY10" i="111"/>
  <c r="P515" i="64"/>
  <c r="Y523" i="64"/>
  <c r="Y11" i="111"/>
  <c r="Y9" i="111" s="1"/>
  <c r="G301" i="64"/>
  <c r="G303" i="64"/>
  <c r="G299" i="64"/>
  <c r="AN515" i="64"/>
  <c r="W523" i="64"/>
  <c r="N11" i="111"/>
  <c r="N9" i="111" s="1"/>
  <c r="AX96" i="140"/>
  <c r="AV96" i="140"/>
  <c r="BC96" i="140"/>
  <c r="BA96" i="140"/>
  <c r="AR96" i="140"/>
  <c r="O96" i="140"/>
  <c r="BD96" i="140"/>
  <c r="J96" i="140"/>
  <c r="N96" i="140"/>
  <c r="R96" i="140"/>
  <c r="V96" i="140"/>
  <c r="Z96" i="140"/>
  <c r="AD96" i="140"/>
  <c r="AH96" i="140"/>
  <c r="AL96" i="140"/>
  <c r="AP96" i="140"/>
  <c r="AT96" i="140"/>
  <c r="BB96" i="140"/>
  <c r="BE96" i="140"/>
  <c r="G96" i="140"/>
  <c r="K96" i="140"/>
  <c r="S96" i="140"/>
  <c r="W96" i="140"/>
  <c r="AA96" i="140"/>
  <c r="AE96" i="140"/>
  <c r="AI96" i="140"/>
  <c r="AM96" i="140"/>
  <c r="AQ96" i="140"/>
  <c r="AU96" i="140"/>
  <c r="AY96" i="140"/>
  <c r="D96" i="140"/>
  <c r="BF96" i="140"/>
  <c r="H96" i="140"/>
  <c r="L96" i="140"/>
  <c r="P96" i="140"/>
  <c r="T96" i="140"/>
  <c r="AB96" i="140"/>
  <c r="AF96" i="140"/>
  <c r="AJ96" i="140"/>
  <c r="AN96" i="140"/>
  <c r="AZ96" i="140"/>
  <c r="E96" i="140"/>
  <c r="I96" i="140"/>
  <c r="M96" i="140"/>
  <c r="Q96" i="140"/>
  <c r="U96" i="140"/>
  <c r="Y96" i="140"/>
  <c r="AC96" i="140"/>
  <c r="AG96" i="140"/>
  <c r="AK96" i="140"/>
  <c r="AO96" i="140"/>
  <c r="AS96" i="140"/>
  <c r="AW96" i="140"/>
  <c r="V127" i="120"/>
  <c r="N127" i="120"/>
  <c r="D127" i="120"/>
  <c r="AR127" i="120"/>
  <c r="AQ262" i="64"/>
  <c r="AQ280" i="64" s="1"/>
  <c r="AP262" i="64"/>
  <c r="AP280" i="64" s="1"/>
  <c r="AP346" i="64"/>
  <c r="AQ346" i="64"/>
  <c r="G1" i="105"/>
  <c r="BE13" i="111"/>
  <c r="S25" i="111"/>
  <c r="S24" i="111"/>
  <c r="R24" i="111"/>
  <c r="R25" i="111"/>
  <c r="AI25" i="111"/>
  <c r="AI24" i="111"/>
  <c r="AJ5" i="111"/>
  <c r="E5" i="111"/>
  <c r="AB24" i="111"/>
  <c r="AB25" i="111"/>
  <c r="N24" i="111"/>
  <c r="N25" i="111"/>
  <c r="B93" i="114"/>
  <c r="C92" i="114"/>
  <c r="AQ45" i="120"/>
  <c r="AH16" i="79"/>
  <c r="AQ55" i="120"/>
  <c r="AQ59" i="120" s="1"/>
  <c r="W124" i="120"/>
  <c r="W59" i="120"/>
  <c r="AQ124" i="120"/>
  <c r="BC50" i="120"/>
  <c r="BC51" i="120" s="1"/>
  <c r="BC55" i="120"/>
  <c r="BC124" i="120"/>
  <c r="BC125" i="120" s="1"/>
  <c r="BC45" i="120"/>
  <c r="E55" i="120"/>
  <c r="E124" i="120"/>
  <c r="E45" i="120"/>
  <c r="E50" i="120"/>
  <c r="E51" i="120" s="1"/>
  <c r="I55" i="120"/>
  <c r="I50" i="120"/>
  <c r="I51" i="120" s="1"/>
  <c r="I45" i="120"/>
  <c r="I124" i="120"/>
  <c r="I125" i="120" s="1"/>
  <c r="M55" i="120"/>
  <c r="M124" i="120"/>
  <c r="M45" i="120"/>
  <c r="M50" i="120"/>
  <c r="M51" i="120" s="1"/>
  <c r="Q50" i="120"/>
  <c r="Q51" i="120" s="1"/>
  <c r="Q55" i="120"/>
  <c r="Q45" i="120"/>
  <c r="Q124" i="120"/>
  <c r="U50" i="120"/>
  <c r="U51" i="120" s="1"/>
  <c r="U124" i="120"/>
  <c r="U55" i="120"/>
  <c r="U45" i="120"/>
  <c r="Y55" i="120"/>
  <c r="Y124" i="120"/>
  <c r="Y50" i="120"/>
  <c r="Y51" i="120" s="1"/>
  <c r="Y45" i="120"/>
  <c r="AC45" i="120"/>
  <c r="AC50" i="120"/>
  <c r="AC51" i="120" s="1"/>
  <c r="AC55" i="120"/>
  <c r="AC124" i="120"/>
  <c r="AG124" i="120"/>
  <c r="AG55" i="120"/>
  <c r="AG45" i="120"/>
  <c r="AG50" i="120"/>
  <c r="AG51" i="120" s="1"/>
  <c r="AK50" i="120"/>
  <c r="AK51" i="120" s="1"/>
  <c r="AK55" i="120"/>
  <c r="AK45" i="120"/>
  <c r="AK124" i="120"/>
  <c r="AO45" i="120"/>
  <c r="AO124" i="120"/>
  <c r="AO50" i="120"/>
  <c r="AO51" i="120" s="1"/>
  <c r="AO55" i="120"/>
  <c r="AS50" i="120"/>
  <c r="AS51" i="120" s="1"/>
  <c r="AS55" i="120"/>
  <c r="AS124" i="120"/>
  <c r="AS45" i="120"/>
  <c r="AW45" i="120"/>
  <c r="AW50" i="120"/>
  <c r="AW51" i="120" s="1"/>
  <c r="AW55" i="120"/>
  <c r="AW124" i="120"/>
  <c r="AW125" i="120" s="1"/>
  <c r="BA124" i="120"/>
  <c r="BA50" i="120"/>
  <c r="BA51" i="120" s="1"/>
  <c r="BA45" i="120"/>
  <c r="BA55" i="120"/>
  <c r="BD45" i="120"/>
  <c r="BD50" i="120"/>
  <c r="BD51" i="120" s="1"/>
  <c r="BD55" i="120"/>
  <c r="BD124" i="120"/>
  <c r="F50" i="120"/>
  <c r="F51" i="120" s="1"/>
  <c r="F55" i="120"/>
  <c r="F45" i="120"/>
  <c r="J50" i="120"/>
  <c r="J51" i="120" s="1"/>
  <c r="J55" i="120"/>
  <c r="J124" i="120"/>
  <c r="J45" i="120"/>
  <c r="R55" i="120"/>
  <c r="R124" i="120"/>
  <c r="R50" i="120"/>
  <c r="R51" i="120" s="1"/>
  <c r="R45" i="120"/>
  <c r="V124" i="120"/>
  <c r="V125" i="120" s="1"/>
  <c r="V45" i="120"/>
  <c r="V50" i="120"/>
  <c r="V51" i="120" s="1"/>
  <c r="V55" i="120"/>
  <c r="Z50" i="120"/>
  <c r="Z51" i="120" s="1"/>
  <c r="Z124" i="120"/>
  <c r="Z55" i="120"/>
  <c r="Z45" i="120"/>
  <c r="AD50" i="120"/>
  <c r="AD51" i="120" s="1"/>
  <c r="AD124" i="120"/>
  <c r="AD45" i="120"/>
  <c r="AD55" i="120"/>
  <c r="AH45" i="120"/>
  <c r="AH55" i="120"/>
  <c r="AH50" i="120"/>
  <c r="AH51" i="120" s="1"/>
  <c r="AH124" i="120"/>
  <c r="AL45" i="120"/>
  <c r="AL55" i="120"/>
  <c r="AL50" i="120"/>
  <c r="AL51" i="120" s="1"/>
  <c r="AL124" i="120"/>
  <c r="AP50" i="120"/>
  <c r="AP51" i="120" s="1"/>
  <c r="AP45" i="120"/>
  <c r="AP124" i="120"/>
  <c r="AP55" i="120"/>
  <c r="AT45" i="120"/>
  <c r="AT50" i="120"/>
  <c r="AT51" i="120" s="1"/>
  <c r="AT124" i="120"/>
  <c r="AT55" i="120"/>
  <c r="AX45" i="120"/>
  <c r="AX55" i="120"/>
  <c r="AX124" i="120"/>
  <c r="AX50" i="120"/>
  <c r="AX51" i="120" s="1"/>
  <c r="C45" i="120"/>
  <c r="C50" i="120"/>
  <c r="C51" i="120" s="1"/>
  <c r="C55" i="120"/>
  <c r="C124" i="120"/>
  <c r="BE55" i="120"/>
  <c r="BE124" i="120"/>
  <c r="BE50" i="120"/>
  <c r="BE51" i="120" s="1"/>
  <c r="BE45" i="120"/>
  <c r="G45" i="120"/>
  <c r="G50" i="120"/>
  <c r="G51" i="120" s="1"/>
  <c r="G55" i="120"/>
  <c r="G124" i="120"/>
  <c r="K45" i="120"/>
  <c r="K124" i="120"/>
  <c r="K55" i="120"/>
  <c r="K50" i="120"/>
  <c r="K51" i="120" s="1"/>
  <c r="O50" i="120"/>
  <c r="O51" i="120" s="1"/>
  <c r="O124" i="120"/>
  <c r="O55" i="120"/>
  <c r="O45" i="120"/>
  <c r="S50" i="120"/>
  <c r="S51" i="120" s="1"/>
  <c r="S124" i="120"/>
  <c r="S55" i="120"/>
  <c r="S45" i="120"/>
  <c r="W45" i="120"/>
  <c r="W50" i="120"/>
  <c r="W51" i="120" s="1"/>
  <c r="AA45" i="120"/>
  <c r="AA50" i="120"/>
  <c r="AA51" i="120" s="1"/>
  <c r="AA55" i="120"/>
  <c r="AA124" i="120"/>
  <c r="AE50" i="120"/>
  <c r="AE51" i="120" s="1"/>
  <c r="AE55" i="120"/>
  <c r="AE45" i="120"/>
  <c r="AE124" i="120"/>
  <c r="AI50" i="120"/>
  <c r="AI51" i="120" s="1"/>
  <c r="AI45" i="120"/>
  <c r="AI55" i="120"/>
  <c r="AI124" i="120"/>
  <c r="AM124" i="120"/>
  <c r="AM45" i="120"/>
  <c r="AM50" i="120"/>
  <c r="AM51" i="120" s="1"/>
  <c r="AM55" i="120"/>
  <c r="AU50" i="120"/>
  <c r="AU51" i="120" s="1"/>
  <c r="AU124" i="120"/>
  <c r="AU55" i="120"/>
  <c r="AU45" i="120"/>
  <c r="AY55" i="120"/>
  <c r="AY124" i="120"/>
  <c r="AY45" i="120"/>
  <c r="AY50" i="120"/>
  <c r="AY51" i="120" s="1"/>
  <c r="BB124" i="120"/>
  <c r="BB125" i="120" s="1"/>
  <c r="BB55" i="120"/>
  <c r="BB50" i="120"/>
  <c r="BB51" i="120" s="1"/>
  <c r="BB45" i="120"/>
  <c r="D124" i="120"/>
  <c r="D125" i="120" s="1"/>
  <c r="D55" i="120"/>
  <c r="D50" i="120"/>
  <c r="D51" i="120" s="1"/>
  <c r="D45" i="120"/>
  <c r="H50" i="120"/>
  <c r="H51" i="120" s="1"/>
  <c r="H55" i="120"/>
  <c r="H45" i="120"/>
  <c r="H124" i="120"/>
  <c r="L50" i="120"/>
  <c r="L51" i="120" s="1"/>
  <c r="L124" i="120"/>
  <c r="L55" i="120"/>
  <c r="L45" i="120"/>
  <c r="P55" i="120"/>
  <c r="P50" i="120"/>
  <c r="P51" i="120" s="1"/>
  <c r="P124" i="120"/>
  <c r="P45" i="120"/>
  <c r="T55" i="120"/>
  <c r="T50" i="120"/>
  <c r="T51" i="120" s="1"/>
  <c r="T45" i="120"/>
  <c r="T124" i="120"/>
  <c r="X50" i="120"/>
  <c r="X51" i="120" s="1"/>
  <c r="X55" i="120"/>
  <c r="X45" i="120"/>
  <c r="X124" i="120"/>
  <c r="AB45" i="120"/>
  <c r="AB55" i="120"/>
  <c r="AB50" i="120"/>
  <c r="AB51" i="120" s="1"/>
  <c r="AB124" i="120"/>
  <c r="AF45" i="120"/>
  <c r="AF55" i="120"/>
  <c r="AF50" i="120"/>
  <c r="AF51" i="120" s="1"/>
  <c r="AF124" i="120"/>
  <c r="AJ45" i="120"/>
  <c r="AJ50" i="120"/>
  <c r="AJ51" i="120" s="1"/>
  <c r="AJ124" i="120"/>
  <c r="AJ55" i="120"/>
  <c r="AN45" i="120"/>
  <c r="AN55" i="120"/>
  <c r="AN50" i="120"/>
  <c r="AN51" i="120" s="1"/>
  <c r="AN124" i="120"/>
  <c r="AR45" i="120"/>
  <c r="AR124" i="120"/>
  <c r="AR125" i="120" s="1"/>
  <c r="AR55" i="120"/>
  <c r="AR50" i="120"/>
  <c r="AR51" i="120" s="1"/>
  <c r="AV55" i="120"/>
  <c r="AV124" i="120"/>
  <c r="AV125" i="120" s="1"/>
  <c r="AV50" i="120"/>
  <c r="AV51" i="120" s="1"/>
  <c r="AV45" i="120"/>
  <c r="AZ55" i="120"/>
  <c r="AZ50" i="120"/>
  <c r="AZ51" i="120" s="1"/>
  <c r="AZ124" i="120"/>
  <c r="AZ45" i="120"/>
  <c r="N34" i="79"/>
  <c r="AH3" i="79"/>
  <c r="AQ5" i="111"/>
  <c r="AQ25" i="111"/>
  <c r="AQ24" i="111"/>
  <c r="AJ25" i="111"/>
  <c r="AJ24" i="111"/>
  <c r="N55" i="120"/>
  <c r="N124" i="120"/>
  <c r="N125" i="120" s="1"/>
  <c r="N50" i="120"/>
  <c r="N51" i="120" s="1"/>
  <c r="N45" i="120"/>
  <c r="AD5" i="111"/>
  <c r="BE5" i="111"/>
  <c r="U5" i="111"/>
  <c r="BA24" i="111"/>
  <c r="BA25" i="111"/>
  <c r="T5" i="111"/>
  <c r="G25" i="111"/>
  <c r="G24" i="111"/>
  <c r="U24" i="111"/>
  <c r="U25" i="111"/>
  <c r="AH25" i="111"/>
  <c r="AH24" i="111"/>
  <c r="AF24" i="111"/>
  <c r="AF25" i="111"/>
  <c r="BC24" i="111"/>
  <c r="BC25" i="111"/>
  <c r="BC5" i="111"/>
  <c r="H5" i="111"/>
  <c r="D25" i="111"/>
  <c r="D24" i="111"/>
  <c r="M24" i="111"/>
  <c r="M25" i="111"/>
  <c r="AX5" i="111"/>
  <c r="H25" i="111"/>
  <c r="H24" i="111"/>
  <c r="AO24" i="111"/>
  <c r="AO25" i="111"/>
  <c r="AY25" i="111"/>
  <c r="AY24" i="111"/>
  <c r="AG5" i="111"/>
  <c r="C5" i="111"/>
  <c r="C8" i="117" s="1"/>
  <c r="BD5" i="111"/>
  <c r="C25" i="111"/>
  <c r="C28" i="117" s="1"/>
  <c r="C24" i="111"/>
  <c r="C27" i="117" s="1"/>
  <c r="C9" i="117"/>
  <c r="AS25" i="111"/>
  <c r="AS24" i="111"/>
  <c r="O25" i="111"/>
  <c r="O24" i="111"/>
  <c r="M5" i="111"/>
  <c r="AN25" i="111"/>
  <c r="AN24" i="111"/>
  <c r="AN5" i="111"/>
  <c r="AO5" i="111"/>
  <c r="AR24" i="111"/>
  <c r="AR25" i="111"/>
  <c r="O5" i="111"/>
  <c r="AX24" i="111"/>
  <c r="AX25" i="111"/>
  <c r="AG24" i="111"/>
  <c r="AG25" i="111"/>
  <c r="AK5" i="111"/>
  <c r="P24" i="111"/>
  <c r="P25" i="111"/>
  <c r="P5" i="111"/>
  <c r="AK25" i="111"/>
  <c r="AK24" i="111"/>
  <c r="AU25" i="111"/>
  <c r="AU24" i="111"/>
  <c r="AU5" i="111"/>
  <c r="BD10" i="111"/>
  <c r="AL10" i="111"/>
  <c r="AO10" i="111"/>
  <c r="I31" i="122"/>
  <c r="H10" i="111"/>
  <c r="I10" i="111"/>
  <c r="AN10" i="111"/>
  <c r="F11" i="111"/>
  <c r="P11" i="111"/>
  <c r="P9" i="111" s="1"/>
  <c r="N36" i="79"/>
  <c r="AH7" i="79"/>
  <c r="AH45" i="79"/>
  <c r="C10" i="111"/>
  <c r="C13" i="117" s="1"/>
  <c r="X10" i="111"/>
  <c r="AB10" i="111"/>
  <c r="Q10" i="111"/>
  <c r="Z10" i="111"/>
  <c r="O10" i="111"/>
  <c r="L10" i="111"/>
  <c r="AQ10" i="111"/>
  <c r="E10" i="111"/>
  <c r="M10" i="111"/>
  <c r="AT10" i="111"/>
  <c r="AA10" i="111"/>
  <c r="AM10" i="111"/>
  <c r="AD10" i="111"/>
  <c r="AS10" i="111"/>
  <c r="BB10" i="111"/>
  <c r="AZ10" i="111"/>
  <c r="F10" i="111"/>
  <c r="AX10" i="111"/>
  <c r="D10" i="111"/>
  <c r="AK10" i="111"/>
  <c r="Y10" i="111"/>
  <c r="BA10" i="111"/>
  <c r="AG10" i="111"/>
  <c r="AU10" i="111"/>
  <c r="AV10" i="111"/>
  <c r="K10" i="111"/>
  <c r="AP10" i="111"/>
  <c r="G10" i="111"/>
  <c r="J10" i="111"/>
  <c r="AC10" i="111"/>
  <c r="BC10" i="111"/>
  <c r="R10" i="111"/>
  <c r="I23" i="79"/>
  <c r="I60" i="79" s="1"/>
  <c r="AF23" i="79"/>
  <c r="N8" i="79"/>
  <c r="N30" i="79"/>
  <c r="U10" i="111"/>
  <c r="X11" i="111"/>
  <c r="N37" i="79"/>
  <c r="D78" i="120"/>
  <c r="F78" i="120"/>
  <c r="H78" i="120"/>
  <c r="H80" i="120" s="1"/>
  <c r="J78" i="120"/>
  <c r="L78" i="120"/>
  <c r="N78" i="120"/>
  <c r="P78" i="120"/>
  <c r="R78" i="120"/>
  <c r="T78" i="120"/>
  <c r="V78" i="120"/>
  <c r="X78" i="120"/>
  <c r="Z78" i="120"/>
  <c r="AB78" i="120"/>
  <c r="AD78" i="120"/>
  <c r="AF78" i="120"/>
  <c r="AH78" i="120"/>
  <c r="AJ78" i="120"/>
  <c r="AL78" i="120"/>
  <c r="AN78" i="120"/>
  <c r="AP78" i="120"/>
  <c r="AR78" i="120"/>
  <c r="AT78" i="120"/>
  <c r="AV78" i="120"/>
  <c r="AX78" i="120"/>
  <c r="AZ78" i="120"/>
  <c r="BB78" i="120"/>
  <c r="BD78" i="120"/>
  <c r="C78" i="120"/>
  <c r="E78" i="120"/>
  <c r="G78" i="120"/>
  <c r="I78" i="120"/>
  <c r="K78" i="120"/>
  <c r="M78" i="120"/>
  <c r="O78" i="120"/>
  <c r="Q78" i="120"/>
  <c r="S78" i="120"/>
  <c r="U78" i="120"/>
  <c r="U80" i="120" s="1"/>
  <c r="W78" i="120"/>
  <c r="Y78" i="120"/>
  <c r="AA78" i="120"/>
  <c r="AC78" i="120"/>
  <c r="AE78" i="120"/>
  <c r="AG78" i="120"/>
  <c r="AI78" i="120"/>
  <c r="AK78" i="120"/>
  <c r="AM78" i="120"/>
  <c r="AO78" i="120"/>
  <c r="AQ78" i="120"/>
  <c r="AS78" i="120"/>
  <c r="AU78" i="120"/>
  <c r="AW78" i="120"/>
  <c r="AY78" i="120"/>
  <c r="BA78" i="120"/>
  <c r="BC78" i="120"/>
  <c r="BE78" i="120"/>
  <c r="AW8" i="111"/>
  <c r="AO13" i="111"/>
  <c r="N8" i="111"/>
  <c r="W6" i="111"/>
  <c r="AH31" i="79"/>
  <c r="N28" i="79"/>
  <c r="AH26" i="79"/>
  <c r="N14" i="79"/>
  <c r="AH48" i="79"/>
  <c r="N48" i="79"/>
  <c r="AH27" i="79"/>
  <c r="N44" i="79"/>
  <c r="N5" i="79"/>
  <c r="AH5" i="79"/>
  <c r="N6" i="79"/>
  <c r="AH6" i="79"/>
  <c r="AH17" i="79"/>
  <c r="N17" i="79"/>
  <c r="AH21" i="79"/>
  <c r="N21" i="79"/>
  <c r="N51" i="79"/>
  <c r="AH51" i="79"/>
  <c r="N29" i="79"/>
  <c r="AH29" i="79"/>
  <c r="N10" i="79"/>
  <c r="AH10" i="79"/>
  <c r="E89" i="11"/>
  <c r="H89" i="11" s="1"/>
  <c r="H80" i="11"/>
  <c r="N12" i="79"/>
  <c r="AH12" i="79"/>
  <c r="AH25" i="79"/>
  <c r="N25" i="79"/>
  <c r="N22" i="79"/>
  <c r="AH22" i="79"/>
  <c r="N46" i="79"/>
  <c r="AH46" i="79"/>
  <c r="H78" i="11"/>
  <c r="E87" i="11"/>
  <c r="H87" i="11" s="1"/>
  <c r="N24" i="79"/>
  <c r="AH24" i="79"/>
  <c r="AH19" i="79"/>
  <c r="N19" i="79"/>
  <c r="H77" i="11"/>
  <c r="AL250" i="64" s="1"/>
  <c r="E86" i="11"/>
  <c r="H86" i="11" s="1"/>
  <c r="AL252" i="64" s="1"/>
  <c r="AL322" i="64" s="1"/>
  <c r="E88" i="11"/>
  <c r="H88" i="11" s="1"/>
  <c r="C252" i="64" s="1"/>
  <c r="C322" i="64" s="1"/>
  <c r="H79" i="11"/>
  <c r="C250" i="64" s="1"/>
  <c r="N18" i="79"/>
  <c r="AH18" i="79"/>
  <c r="N15" i="79"/>
  <c r="AH15" i="79"/>
  <c r="F12" i="111" l="1"/>
  <c r="C515" i="64"/>
  <c r="AN13" i="111"/>
  <c r="Q13" i="111"/>
  <c r="C15" i="117"/>
  <c r="C8" i="111"/>
  <c r="C11" i="117" s="1"/>
  <c r="G313" i="64"/>
  <c r="X12" i="111" s="1"/>
  <c r="C313" i="64"/>
  <c r="AP12" i="111" s="1"/>
  <c r="I346" i="64"/>
  <c r="S12" i="111"/>
  <c r="S8" i="111" s="1"/>
  <c r="I515" i="64"/>
  <c r="V10" i="111"/>
  <c r="H316" i="64"/>
  <c r="H346" i="64" s="1"/>
  <c r="F9" i="111"/>
  <c r="I303" i="64"/>
  <c r="I299" i="64"/>
  <c r="I301" i="64"/>
  <c r="BK209" i="64"/>
  <c r="BK211" i="64" s="1"/>
  <c r="BL214" i="64" s="1"/>
  <c r="BC515" i="64"/>
  <c r="AS76" i="140"/>
  <c r="AZ125" i="120"/>
  <c r="BA76" i="140"/>
  <c r="AJ125" i="120"/>
  <c r="AK76" i="140"/>
  <c r="P125" i="120"/>
  <c r="Q76" i="140"/>
  <c r="AM125" i="120"/>
  <c r="AN76" i="140"/>
  <c r="AX125" i="120"/>
  <c r="AY76" i="140"/>
  <c r="AT125" i="120"/>
  <c r="AU76" i="140"/>
  <c r="AP125" i="120"/>
  <c r="AQ76" i="140"/>
  <c r="J125" i="120"/>
  <c r="K76" i="140"/>
  <c r="F125" i="120"/>
  <c r="G76" i="140"/>
  <c r="BA125" i="120"/>
  <c r="BB76" i="140"/>
  <c r="AS125" i="120"/>
  <c r="AT76" i="140"/>
  <c r="AG125" i="120"/>
  <c r="AH76" i="140"/>
  <c r="AQ125" i="120"/>
  <c r="AR76" i="140"/>
  <c r="E76" i="140"/>
  <c r="O76" i="140"/>
  <c r="W76" i="140"/>
  <c r="AX76" i="140"/>
  <c r="AW76" i="140"/>
  <c r="AN125" i="120"/>
  <c r="AO76" i="140"/>
  <c r="AF125" i="120"/>
  <c r="AG76" i="140"/>
  <c r="AB125" i="120"/>
  <c r="AC76" i="140"/>
  <c r="X125" i="120"/>
  <c r="Y76" i="140"/>
  <c r="T125" i="120"/>
  <c r="U76" i="140"/>
  <c r="L125" i="120"/>
  <c r="M76" i="140"/>
  <c r="H125" i="120"/>
  <c r="I76" i="140"/>
  <c r="AY125" i="120"/>
  <c r="AZ76" i="140"/>
  <c r="AU125" i="120"/>
  <c r="AV76" i="140"/>
  <c r="AI125" i="120"/>
  <c r="AJ76" i="140"/>
  <c r="AE125" i="120"/>
  <c r="AF76" i="140"/>
  <c r="AA125" i="120"/>
  <c r="AB76" i="140"/>
  <c r="S125" i="120"/>
  <c r="T76" i="140"/>
  <c r="O125" i="120"/>
  <c r="P76" i="140"/>
  <c r="K125" i="120"/>
  <c r="L76" i="140"/>
  <c r="G125" i="120"/>
  <c r="H76" i="140"/>
  <c r="BE125" i="120"/>
  <c r="BF76" i="140"/>
  <c r="C125" i="120"/>
  <c r="D76" i="140"/>
  <c r="AL125" i="120"/>
  <c r="AM76" i="140"/>
  <c r="AH125" i="120"/>
  <c r="AI76" i="140"/>
  <c r="AD125" i="120"/>
  <c r="AE76" i="140"/>
  <c r="Z125" i="120"/>
  <c r="AA76" i="140"/>
  <c r="R125" i="120"/>
  <c r="S76" i="140"/>
  <c r="BD125" i="120"/>
  <c r="BE76" i="140"/>
  <c r="AO125" i="120"/>
  <c r="AP76" i="140"/>
  <c r="AK125" i="120"/>
  <c r="AL76" i="140"/>
  <c r="AC125" i="120"/>
  <c r="AD76" i="140"/>
  <c r="Y125" i="120"/>
  <c r="Z76" i="140"/>
  <c r="U125" i="120"/>
  <c r="V76" i="140"/>
  <c r="Q125" i="120"/>
  <c r="R76" i="140"/>
  <c r="M125" i="120"/>
  <c r="N76" i="140"/>
  <c r="E125" i="120"/>
  <c r="F76" i="140"/>
  <c r="W125" i="120"/>
  <c r="X76" i="140"/>
  <c r="BC76" i="140"/>
  <c r="J76" i="140"/>
  <c r="BD76" i="140"/>
  <c r="AL262" i="64"/>
  <c r="K11" i="111" s="1"/>
  <c r="AL320" i="64"/>
  <c r="AL346" i="64" s="1"/>
  <c r="C320" i="64"/>
  <c r="C346" i="64" s="1"/>
  <c r="AP13" i="111" s="1"/>
  <c r="C262" i="64"/>
  <c r="C280" i="64" s="1"/>
  <c r="BE12" i="111"/>
  <c r="AO11" i="111"/>
  <c r="AP11" i="111"/>
  <c r="C93" i="114"/>
  <c r="B94" i="114"/>
  <c r="AQ64" i="120"/>
  <c r="AQ60" i="120"/>
  <c r="W64" i="120"/>
  <c r="W60" i="120"/>
  <c r="AZ59" i="120"/>
  <c r="AV59" i="120"/>
  <c r="AR59" i="120"/>
  <c r="T59" i="120"/>
  <c r="P59" i="120"/>
  <c r="L59" i="120"/>
  <c r="AY59" i="120"/>
  <c r="AU59" i="120"/>
  <c r="AI59" i="120"/>
  <c r="AA59" i="120"/>
  <c r="S59" i="120"/>
  <c r="O59" i="120"/>
  <c r="K59" i="120"/>
  <c r="G59" i="120"/>
  <c r="BE59" i="120"/>
  <c r="C59" i="120"/>
  <c r="Z59" i="120"/>
  <c r="R59" i="120"/>
  <c r="BD59" i="120"/>
  <c r="AW59" i="120"/>
  <c r="AC59" i="120"/>
  <c r="Y59" i="120"/>
  <c r="U59" i="120"/>
  <c r="M59" i="120"/>
  <c r="I59" i="120"/>
  <c r="E59" i="120"/>
  <c r="AN59" i="120"/>
  <c r="AJ59" i="120"/>
  <c r="AF59" i="120"/>
  <c r="AB59" i="120"/>
  <c r="X59" i="120"/>
  <c r="H59" i="120"/>
  <c r="D59" i="120"/>
  <c r="BB59" i="120"/>
  <c r="AM59" i="120"/>
  <c r="AE59" i="120"/>
  <c r="AX59" i="120"/>
  <c r="AT59" i="120"/>
  <c r="AP59" i="120"/>
  <c r="AL59" i="120"/>
  <c r="AH59" i="120"/>
  <c r="AD59" i="120"/>
  <c r="V59" i="120"/>
  <c r="J59" i="120"/>
  <c r="F59" i="120"/>
  <c r="BA59" i="120"/>
  <c r="AS59" i="120"/>
  <c r="AO59" i="120"/>
  <c r="AK59" i="120"/>
  <c r="AG59" i="120"/>
  <c r="Q59" i="120"/>
  <c r="BC59" i="120"/>
  <c r="N59" i="120"/>
  <c r="P10" i="111"/>
  <c r="N23" i="79"/>
  <c r="AH23" i="79"/>
  <c r="AH60" i="79" s="1"/>
  <c r="W25" i="111"/>
  <c r="W24" i="111"/>
  <c r="W5" i="111"/>
  <c r="AW10" i="111"/>
  <c r="N10" i="111"/>
  <c r="AL280" i="64" l="1"/>
  <c r="BH280" i="64" s="1"/>
  <c r="BK280" i="64" s="1"/>
  <c r="BH244" i="64"/>
  <c r="BK246" i="64" s="1"/>
  <c r="AL13" i="111"/>
  <c r="K13" i="111"/>
  <c r="T13" i="111"/>
  <c r="AQ13" i="111"/>
  <c r="F13" i="111"/>
  <c r="D13" i="111"/>
  <c r="I313" i="64"/>
  <c r="BH346" i="64"/>
  <c r="BK346" i="64" s="1"/>
  <c r="C94" i="114"/>
  <c r="B95" i="114"/>
  <c r="BC60" i="120"/>
  <c r="BC64" i="120"/>
  <c r="Q64" i="120"/>
  <c r="Q60" i="120"/>
  <c r="AG64" i="120"/>
  <c r="AG60" i="120"/>
  <c r="AK64" i="120"/>
  <c r="AK60" i="120"/>
  <c r="AO64" i="120"/>
  <c r="AO60" i="120"/>
  <c r="AS64" i="120"/>
  <c r="AS60" i="120"/>
  <c r="BA60" i="120"/>
  <c r="BA64" i="120"/>
  <c r="F60" i="120"/>
  <c r="F64" i="120"/>
  <c r="J64" i="120"/>
  <c r="J60" i="120"/>
  <c r="V64" i="120"/>
  <c r="V60" i="120"/>
  <c r="AD60" i="120"/>
  <c r="AD64" i="120"/>
  <c r="AH64" i="120"/>
  <c r="AH60" i="120"/>
  <c r="AL64" i="120"/>
  <c r="AL60" i="120"/>
  <c r="AP64" i="120"/>
  <c r="AP60" i="120"/>
  <c r="AT64" i="120"/>
  <c r="AT60" i="120"/>
  <c r="AX60" i="120"/>
  <c r="AX64" i="120"/>
  <c r="AE64" i="120"/>
  <c r="AE60" i="120"/>
  <c r="AM60" i="120"/>
  <c r="AM64" i="120"/>
  <c r="BB60" i="120"/>
  <c r="BB64" i="120"/>
  <c r="D64" i="120"/>
  <c r="D60" i="120"/>
  <c r="H64" i="120"/>
  <c r="H60" i="120"/>
  <c r="X64" i="120"/>
  <c r="X60" i="120"/>
  <c r="AB60" i="120"/>
  <c r="AB64" i="120"/>
  <c r="AF60" i="120"/>
  <c r="AF64" i="120"/>
  <c r="AJ64" i="120"/>
  <c r="AJ60" i="120"/>
  <c r="AN60" i="120"/>
  <c r="AN64" i="120"/>
  <c r="E64" i="120"/>
  <c r="E60" i="120"/>
  <c r="I64" i="120"/>
  <c r="I60" i="120"/>
  <c r="M64" i="120"/>
  <c r="M60" i="120"/>
  <c r="U64" i="120"/>
  <c r="U60" i="120"/>
  <c r="Y64" i="120"/>
  <c r="Y60" i="120"/>
  <c r="AC60" i="120"/>
  <c r="AC64" i="120"/>
  <c r="AW64" i="120"/>
  <c r="AW60" i="120"/>
  <c r="BD64" i="120"/>
  <c r="BD60" i="120"/>
  <c r="R64" i="120"/>
  <c r="R60" i="120"/>
  <c r="Z60" i="120"/>
  <c r="Z64" i="120"/>
  <c r="C60" i="120"/>
  <c r="C64" i="120"/>
  <c r="BE64" i="120"/>
  <c r="BE60" i="120"/>
  <c r="G60" i="120"/>
  <c r="G64" i="120"/>
  <c r="K60" i="120"/>
  <c r="K64" i="120"/>
  <c r="O64" i="120"/>
  <c r="O60" i="120"/>
  <c r="S64" i="120"/>
  <c r="S60" i="120"/>
  <c r="AA64" i="120"/>
  <c r="AA60" i="120"/>
  <c r="AI60" i="120"/>
  <c r="AI64" i="120"/>
  <c r="AU60" i="120"/>
  <c r="AU64" i="120"/>
  <c r="AY64" i="120"/>
  <c r="AY60" i="120"/>
  <c r="L64" i="120"/>
  <c r="L60" i="120"/>
  <c r="P64" i="120"/>
  <c r="P60" i="120"/>
  <c r="T64" i="120"/>
  <c r="T60" i="120"/>
  <c r="AR64" i="120"/>
  <c r="AR60" i="120"/>
  <c r="AV64" i="120"/>
  <c r="AV60" i="120"/>
  <c r="AZ64" i="120"/>
  <c r="AZ60" i="120"/>
  <c r="N64" i="120"/>
  <c r="N60" i="120"/>
  <c r="T10" i="111"/>
  <c r="S13" i="111"/>
  <c r="S11" i="111"/>
  <c r="S9" i="111" s="1"/>
  <c r="AL11" i="111" l="1"/>
  <c r="AL9" i="111" s="1"/>
  <c r="BH313" i="64"/>
  <c r="BK313" i="64" s="1"/>
  <c r="AQ12" i="111"/>
  <c r="B96" i="114"/>
  <c r="C95" i="114"/>
  <c r="T12" i="111"/>
  <c r="T8" i="111" s="1"/>
  <c r="AB15" i="116" l="1"/>
  <c r="AC15" i="116" s="1"/>
  <c r="AC17" i="116" s="1"/>
  <c r="C96" i="114"/>
  <c r="B97" i="114"/>
  <c r="B98" i="114" l="1"/>
  <c r="C97" i="114"/>
  <c r="C98" i="114" l="1"/>
  <c r="B99" i="114"/>
  <c r="B100" i="114" l="1"/>
  <c r="C99" i="114"/>
  <c r="B101" i="114" l="1"/>
  <c r="C100" i="114"/>
  <c r="B102" i="114" l="1"/>
  <c r="C101" i="114"/>
  <c r="B103" i="114" l="1"/>
  <c r="Z15" i="116"/>
  <c r="AA15" i="116" s="1"/>
  <c r="C102" i="114"/>
  <c r="C103" i="114" l="1"/>
  <c r="B104" i="114"/>
  <c r="B105" i="114" l="1"/>
  <c r="C104" i="114"/>
  <c r="C105" i="114" l="1"/>
  <c r="B106" i="114"/>
  <c r="B107" i="114" l="1"/>
  <c r="C106" i="114"/>
  <c r="C107" i="114" l="1"/>
  <c r="B108" i="114"/>
  <c r="B109" i="114" l="1"/>
  <c r="X15" i="116"/>
  <c r="Y15" i="116" s="1"/>
  <c r="X17" i="116" s="1"/>
  <c r="Z23" i="116" s="1"/>
  <c r="C108" i="114"/>
  <c r="C109" i="114" l="1"/>
  <c r="B110" i="114"/>
  <c r="B111" i="114" l="1"/>
  <c r="C110" i="114"/>
  <c r="C111" i="114" l="1"/>
  <c r="B112" i="114"/>
  <c r="C112" i="114" l="1"/>
  <c r="B113" i="114"/>
  <c r="C113" i="114" l="1"/>
  <c r="B114" i="114"/>
  <c r="V15" i="116" l="1"/>
  <c r="W15" i="116" s="1"/>
  <c r="V17" i="116" s="1"/>
  <c r="B115" i="114"/>
  <c r="C114" i="114"/>
  <c r="C115" i="114" l="1"/>
  <c r="B116" i="114"/>
  <c r="B117" i="114" l="1"/>
  <c r="C116" i="114"/>
  <c r="B118" i="114" l="1"/>
  <c r="C117" i="114"/>
  <c r="C118" i="114" l="1"/>
  <c r="B119" i="114"/>
  <c r="B120" i="114" l="1"/>
  <c r="C119" i="114"/>
  <c r="C120" i="114" l="1"/>
  <c r="T15" i="116"/>
  <c r="U15" i="116" s="1"/>
  <c r="T17" i="116" s="1"/>
  <c r="B121" i="114"/>
  <c r="C121" i="114" l="1"/>
  <c r="B122" i="114"/>
  <c r="C122" i="114" l="1"/>
  <c r="B123" i="114"/>
  <c r="C123" i="114" l="1"/>
  <c r="B124" i="114"/>
  <c r="B125" i="114" l="1"/>
  <c r="C124" i="114"/>
  <c r="B126" i="114" l="1"/>
  <c r="C125" i="114"/>
  <c r="C126" i="114" l="1"/>
  <c r="R15" i="116"/>
  <c r="S15" i="116" s="1"/>
  <c r="R17" i="116" s="1"/>
  <c r="B127" i="114"/>
  <c r="C127" i="114" l="1"/>
  <c r="B128" i="114"/>
  <c r="C128" i="114" l="1"/>
  <c r="B129" i="114"/>
  <c r="B130" i="114" l="1"/>
  <c r="C129" i="114"/>
  <c r="C130" i="114" l="1"/>
  <c r="B131" i="114"/>
  <c r="C131" i="114" l="1"/>
  <c r="B132" i="114"/>
  <c r="C132" i="114" l="1"/>
  <c r="P15" i="116"/>
  <c r="Q15" i="116" s="1"/>
  <c r="P17" i="116" s="1"/>
  <c r="B133" i="114"/>
  <c r="C133" i="114" l="1"/>
  <c r="B134" i="114"/>
  <c r="C134" i="114" l="1"/>
  <c r="B135" i="114"/>
  <c r="C135" i="114" l="1"/>
  <c r="B136" i="114"/>
  <c r="C136" i="114" l="1"/>
  <c r="B137" i="114"/>
  <c r="C137" i="114" l="1"/>
  <c r="B138" i="114"/>
  <c r="N15" i="116" l="1"/>
  <c r="O15" i="116" s="1"/>
  <c r="N17" i="116" s="1"/>
  <c r="F20" i="116" s="1"/>
  <c r="B139" i="114"/>
  <c r="C138" i="114"/>
  <c r="B140" i="114" l="1"/>
  <c r="C139" i="114"/>
  <c r="C140" i="114" l="1"/>
  <c r="B141" i="114"/>
  <c r="C141" i="114" l="1"/>
  <c r="B142" i="114"/>
  <c r="B143" i="114" l="1"/>
  <c r="C142" i="114"/>
  <c r="C143" i="114" l="1"/>
  <c r="B144" i="114"/>
  <c r="L15" i="116" l="1"/>
  <c r="M15" i="116" s="1"/>
  <c r="L17" i="116" s="1"/>
  <c r="F21" i="116" s="1"/>
  <c r="C144" i="114"/>
  <c r="B145" i="114"/>
  <c r="B146" i="114" l="1"/>
  <c r="C145" i="114"/>
  <c r="B147" i="114" l="1"/>
  <c r="C146" i="114"/>
  <c r="B148" i="114" l="1"/>
  <c r="C147" i="114"/>
  <c r="C148" i="114" l="1"/>
  <c r="B149" i="114"/>
  <c r="C149" i="114" l="1"/>
  <c r="B150" i="114"/>
  <c r="C150" i="114" l="1"/>
  <c r="C151" i="114" s="1"/>
  <c r="B151" i="114"/>
  <c r="B152" i="114" l="1"/>
  <c r="J15" i="116"/>
  <c r="K15" i="116" s="1"/>
  <c r="J17" i="116" s="1"/>
  <c r="F22" i="116" s="1"/>
  <c r="B153" i="114" l="1"/>
  <c r="C152" i="114"/>
  <c r="B154" i="114" l="1"/>
  <c r="C153" i="114"/>
  <c r="C154" i="114" l="1"/>
  <c r="C155" i="114" s="1"/>
  <c r="B155" i="114"/>
  <c r="B156" i="114" s="1"/>
  <c r="C156" i="114" s="1"/>
  <c r="H15" i="116" s="1"/>
  <c r="I15" i="116" s="1"/>
  <c r="H17" i="116" s="1"/>
  <c r="F23" i="116" s="1"/>
  <c r="F25" i="116" l="1"/>
  <c r="D512" i="64" l="1"/>
  <c r="F512" i="64"/>
  <c r="H23" i="111" s="1"/>
  <c r="H512" i="64"/>
  <c r="J512" i="64"/>
  <c r="U23" i="111" s="1"/>
  <c r="L512" i="64"/>
  <c r="N512" i="64"/>
  <c r="Q23" i="111" s="1"/>
  <c r="P512" i="64"/>
  <c r="R512" i="64"/>
  <c r="O23" i="111" s="1"/>
  <c r="T512" i="64"/>
  <c r="V512" i="64"/>
  <c r="I23" i="111" s="1"/>
  <c r="X512" i="64"/>
  <c r="Z512" i="64"/>
  <c r="AB512" i="64"/>
  <c r="AD512" i="64"/>
  <c r="AD23" i="111" s="1"/>
  <c r="AF512" i="64"/>
  <c r="AH512" i="64"/>
  <c r="AJ512" i="64"/>
  <c r="AL512" i="64"/>
  <c r="AL23" i="111" s="1"/>
  <c r="AN512" i="64"/>
  <c r="AP512" i="64"/>
  <c r="AO23" i="111" s="1"/>
  <c r="AR512" i="64"/>
  <c r="AT512" i="64"/>
  <c r="BA23" i="111" s="1"/>
  <c r="AV512" i="64"/>
  <c r="AX512" i="64"/>
  <c r="BB23" i="111" s="1"/>
  <c r="AZ512" i="64"/>
  <c r="BB512" i="64"/>
  <c r="AV23" i="111" s="1"/>
  <c r="BD512" i="64"/>
  <c r="BF512" i="64"/>
  <c r="BF23" i="111" s="1"/>
  <c r="C512" i="64"/>
  <c r="G512" i="64"/>
  <c r="X23" i="111" s="1"/>
  <c r="K512" i="64"/>
  <c r="O512" i="64"/>
  <c r="R23" i="111" s="1"/>
  <c r="S512" i="64"/>
  <c r="W512" i="64"/>
  <c r="N23" i="111" s="1"/>
  <c r="AA512" i="64"/>
  <c r="AE512" i="64"/>
  <c r="AE23" i="111" s="1"/>
  <c r="AI512" i="64"/>
  <c r="AM512" i="64"/>
  <c r="AQ512" i="64"/>
  <c r="AU512" i="64"/>
  <c r="AU23" i="111" s="1"/>
  <c r="AY512" i="64"/>
  <c r="BC512" i="64"/>
  <c r="AW23" i="111" s="1"/>
  <c r="E512" i="64"/>
  <c r="I512" i="64"/>
  <c r="T23" i="111" s="1"/>
  <c r="M512" i="64"/>
  <c r="Q512" i="64"/>
  <c r="C23" i="111" s="1"/>
  <c r="U512" i="64"/>
  <c r="Y512" i="64"/>
  <c r="Y23" i="111" s="1"/>
  <c r="AC512" i="64"/>
  <c r="AG512" i="64"/>
  <c r="AG23" i="111" s="1"/>
  <c r="AK512" i="64"/>
  <c r="AO512" i="64"/>
  <c r="AS512" i="64"/>
  <c r="AW512" i="64"/>
  <c r="AS23" i="111" s="1"/>
  <c r="BA512" i="64"/>
  <c r="BE512" i="64"/>
  <c r="AK23" i="111"/>
  <c r="Z23" i="111"/>
  <c r="K23" i="111"/>
  <c r="AH23" i="111"/>
  <c r="F23" i="111"/>
  <c r="AM23" i="111"/>
  <c r="E23" i="111"/>
  <c r="AP23" i="111"/>
  <c r="AY23" i="111"/>
  <c r="W23" i="111"/>
  <c r="BD23" i="111"/>
  <c r="S23" i="111"/>
  <c r="V23" i="111"/>
  <c r="P23" i="111"/>
  <c r="G23" i="111"/>
  <c r="AB23" i="111"/>
  <c r="AX23" i="111"/>
  <c r="AA23" i="111"/>
  <c r="J23" i="111"/>
  <c r="AQ23" i="111"/>
  <c r="AI23" i="111"/>
  <c r="D23" i="111"/>
  <c r="M23" i="111"/>
  <c r="AT23" i="111"/>
  <c r="BC23" i="111"/>
  <c r="AR23" i="111"/>
  <c r="D41" i="11"/>
  <c r="AZ23" i="111"/>
  <c r="L23" i="111"/>
  <c r="BE23" i="111"/>
  <c r="AJ23" i="111"/>
  <c r="AN23" i="111"/>
  <c r="D42" i="11"/>
  <c r="AC23" i="111"/>
  <c r="AF23" i="111"/>
  <c r="L352" i="64" l="1"/>
  <c r="C26" i="117"/>
  <c r="R73" i="111" l="1"/>
  <c r="AS73" i="111"/>
  <c r="AF73" i="111"/>
  <c r="AP73" i="111"/>
  <c r="AM73" i="111"/>
  <c r="F73" i="111"/>
  <c r="AA73" i="111"/>
  <c r="BD73" i="111"/>
  <c r="X73" i="111"/>
  <c r="AH73" i="111"/>
  <c r="U73" i="111"/>
  <c r="V73" i="111"/>
  <c r="AO73" i="111"/>
  <c r="AR73" i="111"/>
  <c r="AE73" i="111"/>
  <c r="AC73" i="111"/>
  <c r="BA73" i="111"/>
  <c r="AQ73" i="111"/>
  <c r="AD73" i="111"/>
  <c r="AG73" i="111"/>
  <c r="AB73" i="111"/>
  <c r="C74" i="117"/>
  <c r="L73" i="111"/>
  <c r="K73" i="111"/>
  <c r="AZ73" i="111"/>
  <c r="AY73" i="111"/>
  <c r="I73" i="111"/>
  <c r="E73" i="111"/>
  <c r="AU73" i="111"/>
  <c r="AL73" i="111"/>
  <c r="O73" i="111"/>
  <c r="AK73" i="111"/>
  <c r="BB73" i="111"/>
  <c r="J73" i="111"/>
  <c r="AT73" i="111"/>
  <c r="Q73" i="111"/>
  <c r="G73" i="111"/>
  <c r="AJ73" i="111"/>
  <c r="H73" i="111"/>
  <c r="AX73" i="111"/>
  <c r="AI73" i="111"/>
  <c r="P73" i="111"/>
  <c r="S73" i="111"/>
  <c r="BE73" i="111"/>
  <c r="BC73" i="111"/>
  <c r="AW73" i="111"/>
  <c r="AV73" i="111"/>
  <c r="M73" i="111"/>
  <c r="D73" i="111"/>
  <c r="Z73" i="111"/>
  <c r="AN73" i="111"/>
  <c r="T73" i="111"/>
  <c r="N73" i="111"/>
  <c r="W73" i="111"/>
  <c r="Y73" i="111"/>
  <c r="C73" i="111"/>
  <c r="B67" i="79" l="1"/>
  <c r="R43" i="105" l="1"/>
  <c r="BF3" i="64" l="1"/>
  <c r="BF613" i="64" l="1"/>
  <c r="S59" i="105" s="1"/>
  <c r="I59" i="105" s="1"/>
  <c r="BF21" i="111" s="1"/>
  <c r="P58" i="79" s="1"/>
  <c r="BF76" i="111" l="1"/>
  <c r="BF110" i="111"/>
  <c r="BF588" i="64"/>
  <c r="R59" i="105" s="1"/>
  <c r="H59" i="105" s="1"/>
  <c r="BF350" i="64" l="1"/>
  <c r="BF348" i="64" l="1"/>
  <c r="I202" i="123" l="1"/>
  <c r="T43" i="120" l="1"/>
  <c r="T46" i="120" s="1"/>
  <c r="T62" i="120"/>
  <c r="T65" i="120" s="1"/>
  <c r="D136" i="123" l="1"/>
  <c r="N169" i="123"/>
  <c r="BA136" i="123"/>
  <c r="AW103" i="123"/>
  <c r="AO202" i="123"/>
  <c r="AG136" i="123"/>
  <c r="Y103" i="123"/>
  <c r="V169" i="123"/>
  <c r="W169" i="123"/>
  <c r="AH202" i="123"/>
  <c r="AH169" i="123"/>
  <c r="E169" i="123"/>
  <c r="E202" i="123"/>
  <c r="V136" i="123"/>
  <c r="V202" i="123"/>
  <c r="AA202" i="123"/>
  <c r="AI202" i="123"/>
  <c r="AM136" i="123"/>
  <c r="AQ169" i="123"/>
  <c r="AQ103" i="123"/>
  <c r="AY169" i="123"/>
  <c r="AW169" i="123"/>
  <c r="BA103" i="123"/>
  <c r="N103" i="123"/>
  <c r="Z169" i="123"/>
  <c r="AX202" i="123"/>
  <c r="AK70" i="123" l="1"/>
  <c r="AU103" i="123"/>
  <c r="AK169" i="123"/>
  <c r="AK38" i="120" s="1"/>
  <c r="AK41" i="120" s="1"/>
  <c r="J70" i="123"/>
  <c r="P169" i="123"/>
  <c r="R169" i="123"/>
  <c r="E70" i="123"/>
  <c r="I136" i="123"/>
  <c r="R103" i="123"/>
  <c r="AC70" i="123"/>
  <c r="BE103" i="123"/>
  <c r="BE13" i="120" s="1"/>
  <c r="BE16" i="120" s="1"/>
  <c r="W268" i="123"/>
  <c r="N53" i="120" s="1"/>
  <c r="N56" i="120" s="1"/>
  <c r="AQ268" i="123"/>
  <c r="AP53" i="120" s="1"/>
  <c r="AP56" i="120" s="1"/>
  <c r="AO268" i="123"/>
  <c r="AN53" i="120" s="1"/>
  <c r="AN56" i="120" s="1"/>
  <c r="BC268" i="123"/>
  <c r="AW53" i="120" s="1"/>
  <c r="AW56" i="120" s="1"/>
  <c r="AM268" i="123"/>
  <c r="AM53" i="120" s="1"/>
  <c r="AM56" i="120" s="1"/>
  <c r="AI268" i="123"/>
  <c r="AI53" i="120" s="1"/>
  <c r="AI56" i="120" s="1"/>
  <c r="S268" i="123"/>
  <c r="K53" i="120" s="1"/>
  <c r="K56" i="120" s="1"/>
  <c r="K268" i="123"/>
  <c r="L53" i="120" s="1"/>
  <c r="L56" i="120" s="1"/>
  <c r="G268" i="123"/>
  <c r="X53" i="120" s="1"/>
  <c r="X56" i="120" s="1"/>
  <c r="AA268" i="123"/>
  <c r="AA53" i="120" s="1"/>
  <c r="AA56" i="120" s="1"/>
  <c r="AY268" i="123"/>
  <c r="AT53" i="120" s="1"/>
  <c r="AT56" i="120" s="1"/>
  <c r="AG268" i="123"/>
  <c r="AG53" i="120" s="1"/>
  <c r="AG56" i="120" s="1"/>
  <c r="AZ268" i="123"/>
  <c r="AZ53" i="120" s="1"/>
  <c r="AZ56" i="120" s="1"/>
  <c r="AV268" i="123"/>
  <c r="AX53" i="120" s="1"/>
  <c r="AX56" i="120" s="1"/>
  <c r="AR268" i="123"/>
  <c r="AQ53" i="120" s="1"/>
  <c r="AQ56" i="120" s="1"/>
  <c r="AJ268" i="123"/>
  <c r="AJ53" i="120" s="1"/>
  <c r="AJ56" i="120" s="1"/>
  <c r="AF268" i="123"/>
  <c r="AF53" i="120" s="1"/>
  <c r="AF56" i="120" s="1"/>
  <c r="X268" i="123"/>
  <c r="D53" i="120" s="1"/>
  <c r="D56" i="120" s="1"/>
  <c r="T268" i="123"/>
  <c r="W53" i="120" s="1"/>
  <c r="W56" i="120" s="1"/>
  <c r="L268" i="123"/>
  <c r="P53" i="120" s="1"/>
  <c r="P56" i="120" s="1"/>
  <c r="D268" i="123"/>
  <c r="E53" i="120" s="1"/>
  <c r="E56" i="120" s="1"/>
  <c r="BB43" i="120"/>
  <c r="BB46" i="120" s="1"/>
  <c r="BB62" i="120"/>
  <c r="BB65" i="120" s="1"/>
  <c r="Z38" i="120"/>
  <c r="Z41" i="120" s="1"/>
  <c r="Q13" i="120"/>
  <c r="Q16" i="120" s="1"/>
  <c r="AY13" i="120"/>
  <c r="AY16" i="120" s="1"/>
  <c r="AS38" i="120"/>
  <c r="AS41" i="120" s="1"/>
  <c r="AK8" i="120"/>
  <c r="AK11" i="120" s="1"/>
  <c r="AT38" i="120"/>
  <c r="AT41" i="120" s="1"/>
  <c r="AP13" i="120"/>
  <c r="AP16" i="120" s="1"/>
  <c r="AP38" i="120"/>
  <c r="AP41" i="120" s="1"/>
  <c r="AM18" i="120"/>
  <c r="AI62" i="120"/>
  <c r="AI65" i="120" s="1"/>
  <c r="AI43" i="120"/>
  <c r="AI46" i="120" s="1"/>
  <c r="AA62" i="120"/>
  <c r="AA65" i="120" s="1"/>
  <c r="AA43" i="120"/>
  <c r="AA46" i="120" s="1"/>
  <c r="I62" i="120"/>
  <c r="I65" i="120" s="1"/>
  <c r="I43" i="120"/>
  <c r="I46" i="120" s="1"/>
  <c r="I18" i="120"/>
  <c r="M43" i="120"/>
  <c r="M46" i="120" s="1"/>
  <c r="M62" i="120"/>
  <c r="M65" i="120" s="1"/>
  <c r="M38" i="120"/>
  <c r="M41" i="120" s="1"/>
  <c r="AH38" i="120"/>
  <c r="AH41" i="120" s="1"/>
  <c r="AH43" i="120"/>
  <c r="AH46" i="120" s="1"/>
  <c r="AH62" i="120"/>
  <c r="AH65" i="120" s="1"/>
  <c r="N38" i="120"/>
  <c r="N41" i="120" s="1"/>
  <c r="I38" i="120"/>
  <c r="I41" i="120" s="1"/>
  <c r="Y13" i="120"/>
  <c r="Y16" i="120" s="1"/>
  <c r="AG18" i="120"/>
  <c r="AN62" i="120"/>
  <c r="AN65" i="120" s="1"/>
  <c r="AN43" i="120"/>
  <c r="AN46" i="120" s="1"/>
  <c r="AS13" i="120"/>
  <c r="AS16" i="120" s="1"/>
  <c r="AY18" i="120"/>
  <c r="Q38" i="120"/>
  <c r="Q41" i="120" s="1"/>
  <c r="E18" i="120"/>
  <c r="K55" i="105"/>
  <c r="K51" i="105"/>
  <c r="K47" i="105"/>
  <c r="K43" i="105"/>
  <c r="J37" i="105"/>
  <c r="B30" i="105"/>
  <c r="B26" i="105"/>
  <c r="B22" i="105"/>
  <c r="B18" i="105"/>
  <c r="J11" i="105"/>
  <c r="J51" i="105"/>
  <c r="J43" i="105"/>
  <c r="B35" i="105"/>
  <c r="K13" i="105"/>
  <c r="K7" i="105"/>
  <c r="B42" i="105"/>
  <c r="B32" i="105"/>
  <c r="J24" i="105"/>
  <c r="K16" i="105"/>
  <c r="J8" i="105"/>
  <c r="B57" i="105"/>
  <c r="B53" i="105"/>
  <c r="B49" i="105"/>
  <c r="B45" i="105"/>
  <c r="J38" i="105"/>
  <c r="K30" i="105"/>
  <c r="K26" i="105"/>
  <c r="K22" i="105"/>
  <c r="K18" i="105"/>
  <c r="J12" i="105"/>
  <c r="J54" i="105"/>
  <c r="J46" i="105"/>
  <c r="K38" i="105"/>
  <c r="B16" i="105"/>
  <c r="B9" i="105"/>
  <c r="B5" i="105"/>
  <c r="K35" i="105"/>
  <c r="J27" i="105"/>
  <c r="J19" i="105"/>
  <c r="B11" i="105"/>
  <c r="K56" i="105"/>
  <c r="K52" i="105"/>
  <c r="K48" i="105"/>
  <c r="K44" i="105"/>
  <c r="B39" i="105"/>
  <c r="J31" i="105"/>
  <c r="B27" i="105"/>
  <c r="B23" i="105"/>
  <c r="B19" i="105"/>
  <c r="J13" i="105"/>
  <c r="J53" i="105"/>
  <c r="J45" i="105"/>
  <c r="B37" i="105"/>
  <c r="K15" i="105"/>
  <c r="K8" i="105"/>
  <c r="K4" i="105"/>
  <c r="B34" i="105"/>
  <c r="J26" i="105"/>
  <c r="J18" i="105"/>
  <c r="K10" i="105"/>
  <c r="B58" i="105"/>
  <c r="B54" i="105"/>
  <c r="B50" i="105"/>
  <c r="B46" i="105"/>
  <c r="K39" i="105"/>
  <c r="J32" i="105"/>
  <c r="K27" i="105"/>
  <c r="K23" i="105"/>
  <c r="K19" i="105"/>
  <c r="J14" i="105"/>
  <c r="J56" i="105"/>
  <c r="J48" i="105"/>
  <c r="K40" i="105"/>
  <c r="K32" i="105"/>
  <c r="B10" i="105"/>
  <c r="B6" i="105"/>
  <c r="K37" i="105"/>
  <c r="J29" i="105"/>
  <c r="J21" i="105"/>
  <c r="B13" i="105"/>
  <c r="J5" i="105"/>
  <c r="K57" i="105"/>
  <c r="K53" i="105"/>
  <c r="K49" i="105"/>
  <c r="K45" i="105"/>
  <c r="B40" i="105"/>
  <c r="J33" i="105"/>
  <c r="B28" i="105"/>
  <c r="B24" i="105"/>
  <c r="B20" i="105"/>
  <c r="J15" i="105"/>
  <c r="J55" i="105"/>
  <c r="J47" i="105"/>
  <c r="J39" i="105"/>
  <c r="B31" i="105"/>
  <c r="K9" i="105"/>
  <c r="K5" i="105"/>
  <c r="B36" i="105"/>
  <c r="J28" i="105"/>
  <c r="J20" i="105"/>
  <c r="K12" i="105"/>
  <c r="J4" i="105"/>
  <c r="B55" i="105"/>
  <c r="B51" i="105"/>
  <c r="B47" i="105"/>
  <c r="J41" i="105"/>
  <c r="J34" i="105"/>
  <c r="K28" i="105"/>
  <c r="K24" i="105"/>
  <c r="K20" i="105"/>
  <c r="J16" i="105"/>
  <c r="J58" i="105"/>
  <c r="J50" i="105"/>
  <c r="K42" i="105"/>
  <c r="K34" i="105"/>
  <c r="B12" i="105"/>
  <c r="B7" i="105"/>
  <c r="K41" i="105"/>
  <c r="K31" i="105"/>
  <c r="J23" i="105"/>
  <c r="B15" i="105"/>
  <c r="J7" i="105"/>
  <c r="G10" i="126"/>
  <c r="G114" i="126" s="1"/>
  <c r="K58" i="105"/>
  <c r="K54" i="105"/>
  <c r="K50" i="105"/>
  <c r="K46" i="105"/>
  <c r="J42" i="105"/>
  <c r="J35" i="105"/>
  <c r="B29" i="105"/>
  <c r="B25" i="105"/>
  <c r="B21" i="105"/>
  <c r="B17" i="105"/>
  <c r="J57" i="105"/>
  <c r="J49" i="105"/>
  <c r="B41" i="105"/>
  <c r="B33" i="105"/>
  <c r="K11" i="105"/>
  <c r="K6" i="105"/>
  <c r="B38" i="105"/>
  <c r="J30" i="105"/>
  <c r="J22" i="105"/>
  <c r="K14" i="105"/>
  <c r="J6" i="105"/>
  <c r="B56" i="105"/>
  <c r="B52" i="105"/>
  <c r="B48" i="105"/>
  <c r="B43" i="105"/>
  <c r="J36" i="105"/>
  <c r="K29" i="105"/>
  <c r="K25" i="105"/>
  <c r="K21" i="105"/>
  <c r="K17" i="105"/>
  <c r="J10" i="105"/>
  <c r="J52" i="105"/>
  <c r="J44" i="105"/>
  <c r="K36" i="105"/>
  <c r="B14" i="105"/>
  <c r="B8" i="105"/>
  <c r="B4" i="105"/>
  <c r="K33" i="105"/>
  <c r="J25" i="105"/>
  <c r="J17" i="105"/>
  <c r="J9" i="105"/>
  <c r="B44" i="105"/>
  <c r="AY103" i="123"/>
  <c r="AC103" i="123"/>
  <c r="Y136" i="123"/>
  <c r="W136" i="123"/>
  <c r="U103" i="123"/>
  <c r="AX136" i="123"/>
  <c r="BD103" i="123"/>
  <c r="AD202" i="123"/>
  <c r="BE202" i="123"/>
  <c r="AW136" i="123"/>
  <c r="G136" i="123"/>
  <c r="W202" i="123"/>
  <c r="AT136" i="123"/>
  <c r="AF136" i="123"/>
  <c r="S136" i="123"/>
  <c r="AZ169" i="123"/>
  <c r="J103" i="123"/>
  <c r="N202" i="123"/>
  <c r="BA169" i="123"/>
  <c r="AW202" i="123"/>
  <c r="AG202" i="123"/>
  <c r="Y202" i="123"/>
  <c r="G169" i="123"/>
  <c r="W103" i="123"/>
  <c r="AI103" i="123"/>
  <c r="AE103" i="123"/>
  <c r="AE169" i="123"/>
  <c r="K202" i="123"/>
  <c r="AF169" i="123"/>
  <c r="M103" i="123"/>
  <c r="AE202" i="123"/>
  <c r="AI169" i="123"/>
  <c r="AM103" i="123"/>
  <c r="AQ202" i="123"/>
  <c r="AY202" i="123"/>
  <c r="AC136" i="123"/>
  <c r="K103" i="123"/>
  <c r="U169" i="123"/>
  <c r="AP169" i="123"/>
  <c r="AZ103" i="123"/>
  <c r="AJ103" i="123"/>
  <c r="AJ169" i="123"/>
  <c r="AB169" i="123"/>
  <c r="AL103" i="123"/>
  <c r="AL136" i="123"/>
  <c r="BB136" i="123"/>
  <c r="AH103" i="123"/>
  <c r="AK202" i="123"/>
  <c r="AG169" i="123"/>
  <c r="AG103" i="123"/>
  <c r="AC202" i="123"/>
  <c r="G202" i="123"/>
  <c r="AT103" i="123"/>
  <c r="AT169" i="123"/>
  <c r="P136" i="123"/>
  <c r="AQ136" i="123"/>
  <c r="AI136" i="123"/>
  <c r="AE136" i="123"/>
  <c r="V103" i="123"/>
  <c r="AH136" i="123"/>
  <c r="Z136" i="123"/>
  <c r="E103" i="123"/>
  <c r="O103" i="123"/>
  <c r="AD136" i="123"/>
  <c r="K169" i="123"/>
  <c r="AV169" i="123"/>
  <c r="BD169" i="123"/>
  <c r="Q202" i="123"/>
  <c r="AL169" i="123"/>
  <c r="T202" i="123"/>
  <c r="AB136" i="123"/>
  <c r="AZ136" i="123"/>
  <c r="AT202" i="123"/>
  <c r="AC169" i="123"/>
  <c r="AS103" i="123"/>
  <c r="BA202" i="123"/>
  <c r="N136" i="123"/>
  <c r="M202" i="123"/>
  <c r="F169" i="123"/>
  <c r="Q169" i="123"/>
  <c r="AV202" i="123"/>
  <c r="U202" i="123"/>
  <c r="H103" i="123"/>
  <c r="J169" i="123"/>
  <c r="J136" i="123"/>
  <c r="Y169" i="123"/>
  <c r="G103" i="123"/>
  <c r="AY136" i="123"/>
  <c r="AU136" i="123"/>
  <c r="AM202" i="123"/>
  <c r="AA103" i="123"/>
  <c r="AA169" i="123"/>
  <c r="O136" i="123"/>
  <c r="AD103" i="123"/>
  <c r="AV136" i="123"/>
  <c r="Q103" i="123"/>
  <c r="U136" i="123"/>
  <c r="BB202" i="123"/>
  <c r="S202" i="123"/>
  <c r="D169" i="123"/>
  <c r="F103" i="123"/>
  <c r="AM169" i="123"/>
  <c r="AA136" i="123"/>
  <c r="Z202" i="123"/>
  <c r="BB103" i="123"/>
  <c r="AB103" i="123"/>
  <c r="AR103" i="123"/>
  <c r="S103" i="123"/>
  <c r="AP202" i="123"/>
  <c r="AP136" i="123"/>
  <c r="M169" i="123"/>
  <c r="M136" i="123"/>
  <c r="D202" i="123"/>
  <c r="AR202" i="123"/>
  <c r="J202" i="123"/>
  <c r="BC169" i="123"/>
  <c r="AR169" i="123"/>
  <c r="BD202" i="123"/>
  <c r="X136" i="123"/>
  <c r="E136" i="123"/>
  <c r="AF202" i="123"/>
  <c r="AN103" i="123"/>
  <c r="BD136" i="123"/>
  <c r="I169" i="123"/>
  <c r="AR136" i="123"/>
  <c r="C202" i="123"/>
  <c r="AX103" i="123"/>
  <c r="S169" i="123"/>
  <c r="AZ202" i="123"/>
  <c r="AJ136" i="123"/>
  <c r="AJ202" i="123"/>
  <c r="T136" i="123"/>
  <c r="BB169" i="123"/>
  <c r="AP103" i="123"/>
  <c r="AL202" i="123"/>
  <c r="Z103" i="123"/>
  <c r="F136" i="123"/>
  <c r="F202" i="123"/>
  <c r="Q136" i="123"/>
  <c r="AV103" i="123"/>
  <c r="AF103" i="123"/>
  <c r="AD169" i="123"/>
  <c r="O169" i="123"/>
  <c r="O202" i="123"/>
  <c r="D103" i="123"/>
  <c r="AX169" i="123"/>
  <c r="K136" i="123"/>
  <c r="BC103" i="123"/>
  <c r="BC136" i="123"/>
  <c r="BC202" i="123"/>
  <c r="AZ70" i="123" l="1"/>
  <c r="BC13" i="120"/>
  <c r="BC16" i="120" s="1"/>
  <c r="AX70" i="123"/>
  <c r="AL70" i="123"/>
  <c r="AV70" i="123"/>
  <c r="AM70" i="123"/>
  <c r="AO70" i="123"/>
  <c r="AK136" i="123"/>
  <c r="AK18" i="120" s="1"/>
  <c r="AN70" i="123"/>
  <c r="AS136" i="123"/>
  <c r="AS70" i="123"/>
  <c r="AR70" i="123"/>
  <c r="AP70" i="123"/>
  <c r="AN136" i="123"/>
  <c r="AQ70" i="123"/>
  <c r="AO136" i="123"/>
  <c r="AN18" i="120" s="1"/>
  <c r="AW70" i="123"/>
  <c r="AU13" i="120"/>
  <c r="AU16" i="120" s="1"/>
  <c r="AN169" i="123"/>
  <c r="AU18" i="120"/>
  <c r="AT70" i="123"/>
  <c r="AO169" i="123"/>
  <c r="AN38" i="120" s="1"/>
  <c r="AN41" i="120" s="1"/>
  <c r="AR13" i="120"/>
  <c r="AR16" i="120" s="1"/>
  <c r="AN202" i="123"/>
  <c r="AY70" i="123"/>
  <c r="AK103" i="123"/>
  <c r="AK13" i="120" s="1"/>
  <c r="AK16" i="120" s="1"/>
  <c r="AO103" i="123"/>
  <c r="AN13" i="120" s="1"/>
  <c r="AN16" i="120" s="1"/>
  <c r="AS202" i="123"/>
  <c r="AU169" i="123"/>
  <c r="AS169" i="123"/>
  <c r="AU202" i="123"/>
  <c r="AJ70" i="123"/>
  <c r="D70" i="123"/>
  <c r="T38" i="120"/>
  <c r="T41" i="120" s="1"/>
  <c r="AB13" i="120"/>
  <c r="AB16" i="120" s="1"/>
  <c r="AB202" i="123"/>
  <c r="H202" i="123"/>
  <c r="AF70" i="123"/>
  <c r="H169" i="123"/>
  <c r="C136" i="123"/>
  <c r="D18" i="120"/>
  <c r="U70" i="123"/>
  <c r="S70" i="123"/>
  <c r="M70" i="123"/>
  <c r="Z70" i="123"/>
  <c r="F13" i="120"/>
  <c r="F16" i="120" s="1"/>
  <c r="AB18" i="120"/>
  <c r="I103" i="123"/>
  <c r="R202" i="123"/>
  <c r="V18" i="120"/>
  <c r="G70" i="123"/>
  <c r="AG70" i="123"/>
  <c r="R136" i="123"/>
  <c r="AA70" i="123"/>
  <c r="P103" i="123"/>
  <c r="W70" i="123"/>
  <c r="AE70" i="123"/>
  <c r="Y70" i="123"/>
  <c r="C169" i="123"/>
  <c r="O13" i="120"/>
  <c r="O16" i="120" s="1"/>
  <c r="T18" i="120"/>
  <c r="O38" i="120"/>
  <c r="O41" i="120" s="1"/>
  <c r="R70" i="123"/>
  <c r="V38" i="120"/>
  <c r="V41" i="120" s="1"/>
  <c r="H70" i="123"/>
  <c r="C103" i="123"/>
  <c r="AB70" i="123"/>
  <c r="E62" i="120"/>
  <c r="E65" i="120" s="1"/>
  <c r="K70" i="123"/>
  <c r="F70" i="123"/>
  <c r="N70" i="123"/>
  <c r="AD70" i="123"/>
  <c r="X103" i="123"/>
  <c r="V70" i="123"/>
  <c r="AB38" i="120"/>
  <c r="AB41" i="120" s="1"/>
  <c r="P202" i="123"/>
  <c r="O70" i="123"/>
  <c r="Q70" i="123"/>
  <c r="X202" i="123"/>
  <c r="X169" i="123"/>
  <c r="AH70" i="123"/>
  <c r="AI70" i="123"/>
  <c r="BB70" i="123"/>
  <c r="BD70" i="123"/>
  <c r="BC70" i="123"/>
  <c r="BE169" i="123"/>
  <c r="BE38" i="120" s="1"/>
  <c r="BE41" i="120" s="1"/>
  <c r="BE70" i="123"/>
  <c r="BE136" i="123"/>
  <c r="BE18" i="120" s="1"/>
  <c r="M268" i="123"/>
  <c r="G53" i="120" s="1"/>
  <c r="G56" i="120" s="1"/>
  <c r="AS268" i="123"/>
  <c r="AR53" i="120" s="1"/>
  <c r="AR56" i="120" s="1"/>
  <c r="H268" i="123"/>
  <c r="F53" i="120" s="1"/>
  <c r="F56" i="120" s="1"/>
  <c r="BD268" i="123"/>
  <c r="BD53" i="120" s="1"/>
  <c r="BD56" i="120" s="1"/>
  <c r="P268" i="123"/>
  <c r="V53" i="120" s="1"/>
  <c r="V56" i="120" s="1"/>
  <c r="C268" i="123"/>
  <c r="S53" i="120" s="1"/>
  <c r="S56" i="120" s="1"/>
  <c r="V268" i="123"/>
  <c r="I53" i="120" s="1"/>
  <c r="I56" i="120" s="1"/>
  <c r="AX268" i="123"/>
  <c r="BB53" i="120" s="1"/>
  <c r="BB56" i="120" s="1"/>
  <c r="AK268" i="123"/>
  <c r="AK53" i="120" s="1"/>
  <c r="AK56" i="120" s="1"/>
  <c r="O268" i="123"/>
  <c r="R53" i="120" s="1"/>
  <c r="R56" i="120" s="1"/>
  <c r="AU268" i="123"/>
  <c r="AU53" i="120" s="1"/>
  <c r="AU56" i="120" s="1"/>
  <c r="J268" i="123"/>
  <c r="U53" i="120" s="1"/>
  <c r="U56" i="120" s="1"/>
  <c r="R268" i="123"/>
  <c r="O53" i="120" s="1"/>
  <c r="O56" i="120" s="1"/>
  <c r="AD268" i="123"/>
  <c r="AD53" i="120" s="1"/>
  <c r="AD56" i="120" s="1"/>
  <c r="AP268" i="123"/>
  <c r="AO53" i="120" s="1"/>
  <c r="AO56" i="120" s="1"/>
  <c r="I268" i="123"/>
  <c r="T53" i="120" s="1"/>
  <c r="T56" i="120" s="1"/>
  <c r="BE268" i="123"/>
  <c r="BE53" i="120" s="1"/>
  <c r="BE56" i="120" s="1"/>
  <c r="U268" i="123"/>
  <c r="J53" i="120" s="1"/>
  <c r="J56" i="120" s="1"/>
  <c r="BA268" i="123"/>
  <c r="AY53" i="120" s="1"/>
  <c r="AY56" i="120" s="1"/>
  <c r="AN268" i="123"/>
  <c r="BC53" i="120" s="1"/>
  <c r="BC56" i="120" s="1"/>
  <c r="AC268" i="123"/>
  <c r="AC53" i="120" s="1"/>
  <c r="AC56" i="120" s="1"/>
  <c r="AB268" i="123"/>
  <c r="AB53" i="120" s="1"/>
  <c r="AB56" i="120" s="1"/>
  <c r="BA70" i="123"/>
  <c r="F268" i="123"/>
  <c r="H53" i="120" s="1"/>
  <c r="H56" i="120" s="1"/>
  <c r="AH268" i="123"/>
  <c r="AH53" i="120" s="1"/>
  <c r="AH56" i="120" s="1"/>
  <c r="BB268" i="123"/>
  <c r="AV53" i="120" s="1"/>
  <c r="AV56" i="120" s="1"/>
  <c r="Q268" i="123"/>
  <c r="C53" i="120" s="1"/>
  <c r="C56" i="120" s="1"/>
  <c r="AW268" i="123"/>
  <c r="AS53" i="120" s="1"/>
  <c r="AS56" i="120" s="1"/>
  <c r="AE268" i="123"/>
  <c r="AE53" i="120" s="1"/>
  <c r="AE56" i="120" s="1"/>
  <c r="E268" i="123"/>
  <c r="M53" i="120" s="1"/>
  <c r="M56" i="120" s="1"/>
  <c r="N268" i="123"/>
  <c r="Q53" i="120" s="1"/>
  <c r="Q56" i="120" s="1"/>
  <c r="Z268" i="123"/>
  <c r="Z53" i="120" s="1"/>
  <c r="Z56" i="120" s="1"/>
  <c r="AL268" i="123"/>
  <c r="AL53" i="120" s="1"/>
  <c r="AL56" i="120" s="1"/>
  <c r="AT268" i="123"/>
  <c r="BA53" i="120" s="1"/>
  <c r="BA56" i="120" s="1"/>
  <c r="Y268" i="123"/>
  <c r="Y53" i="120" s="1"/>
  <c r="Y56" i="120" s="1"/>
  <c r="AW43" i="120"/>
  <c r="AW46" i="120" s="1"/>
  <c r="AW62" i="120"/>
  <c r="AW65" i="120" s="1"/>
  <c r="AW18" i="120"/>
  <c r="AW13" i="120"/>
  <c r="AW16" i="120" s="1"/>
  <c r="L18" i="120"/>
  <c r="BB38" i="120"/>
  <c r="BB41" i="120" s="1"/>
  <c r="E13" i="120"/>
  <c r="E16" i="120" s="1"/>
  <c r="R62" i="120"/>
  <c r="R65" i="120" s="1"/>
  <c r="R43" i="120"/>
  <c r="R46" i="120" s="1"/>
  <c r="R38" i="120"/>
  <c r="R41" i="120" s="1"/>
  <c r="AD38" i="120"/>
  <c r="AD41" i="120" s="1"/>
  <c r="AF13" i="120"/>
  <c r="AF16" i="120" s="1"/>
  <c r="AX13" i="120"/>
  <c r="AX16" i="120" s="1"/>
  <c r="C18" i="120"/>
  <c r="H43" i="120"/>
  <c r="H46" i="120" s="1"/>
  <c r="H62" i="120"/>
  <c r="H65" i="120" s="1"/>
  <c r="H18" i="120"/>
  <c r="Z13" i="120"/>
  <c r="Z16" i="120" s="1"/>
  <c r="AL62" i="120"/>
  <c r="AL65" i="120" s="1"/>
  <c r="AL43" i="120"/>
  <c r="AL46" i="120" s="1"/>
  <c r="AO13" i="120"/>
  <c r="AO16" i="120" s="1"/>
  <c r="AV38" i="120"/>
  <c r="AV41" i="120" s="1"/>
  <c r="W18" i="120"/>
  <c r="AJ62" i="120"/>
  <c r="AJ65" i="120" s="1"/>
  <c r="AJ43" i="120"/>
  <c r="AJ46" i="120" s="1"/>
  <c r="AJ18" i="120"/>
  <c r="AZ62" i="120"/>
  <c r="AZ65" i="120" s="1"/>
  <c r="AZ43" i="120"/>
  <c r="AZ46" i="120" s="1"/>
  <c r="K38" i="120"/>
  <c r="K41" i="120" s="1"/>
  <c r="BB13" i="120"/>
  <c r="BB16" i="120" s="1"/>
  <c r="S43" i="120"/>
  <c r="S46" i="120" s="1"/>
  <c r="S62" i="120"/>
  <c r="S65" i="120" s="1"/>
  <c r="AQ18" i="120"/>
  <c r="BD18" i="120"/>
  <c r="AF43" i="120"/>
  <c r="AF46" i="120" s="1"/>
  <c r="AF62" i="120"/>
  <c r="AF65" i="120" s="1"/>
  <c r="M18" i="120"/>
  <c r="BD62" i="120"/>
  <c r="BD65" i="120" s="1"/>
  <c r="BD43" i="120"/>
  <c r="BD46" i="120" s="1"/>
  <c r="AQ38" i="120"/>
  <c r="AQ41" i="120" s="1"/>
  <c r="AW38" i="120"/>
  <c r="AW41" i="120" s="1"/>
  <c r="U43" i="120"/>
  <c r="U46" i="120" s="1"/>
  <c r="U62" i="120"/>
  <c r="U65" i="120" s="1"/>
  <c r="AQ62" i="120"/>
  <c r="AQ65" i="120" s="1"/>
  <c r="AQ43" i="120"/>
  <c r="AQ46" i="120" s="1"/>
  <c r="E43" i="120"/>
  <c r="E46" i="120" s="1"/>
  <c r="G18" i="120"/>
  <c r="G38" i="120"/>
  <c r="G41" i="120" s="1"/>
  <c r="AO18" i="120"/>
  <c r="AO43" i="120"/>
  <c r="AO46" i="120" s="1"/>
  <c r="AO62" i="120"/>
  <c r="AO65" i="120" s="1"/>
  <c r="K13" i="120"/>
  <c r="K16" i="120" s="1"/>
  <c r="AQ13" i="120"/>
  <c r="AQ16" i="120" s="1"/>
  <c r="AV13" i="120"/>
  <c r="AV16" i="120" s="1"/>
  <c r="Z62" i="120"/>
  <c r="Z65" i="120" s="1"/>
  <c r="Z43" i="120"/>
  <c r="Z46" i="120" s="1"/>
  <c r="AA18" i="120"/>
  <c r="AM38" i="120"/>
  <c r="AM41" i="120" s="1"/>
  <c r="H13" i="120"/>
  <c r="H16" i="120" s="1"/>
  <c r="E38" i="120"/>
  <c r="E41" i="120" s="1"/>
  <c r="K62" i="120"/>
  <c r="K65" i="120" s="1"/>
  <c r="K43" i="120"/>
  <c r="K46" i="120" s="1"/>
  <c r="AV43" i="120"/>
  <c r="AV46" i="120" s="1"/>
  <c r="AV62" i="120"/>
  <c r="AV65" i="120" s="1"/>
  <c r="J18" i="120"/>
  <c r="C13" i="120"/>
  <c r="C16" i="120" s="1"/>
  <c r="AX18" i="120"/>
  <c r="AD13" i="120"/>
  <c r="AD16" i="120" s="1"/>
  <c r="R18" i="120"/>
  <c r="AA38" i="120"/>
  <c r="AA41" i="120" s="1"/>
  <c r="AA13" i="120"/>
  <c r="AA16" i="120" s="1"/>
  <c r="AM62" i="120"/>
  <c r="AM65" i="120" s="1"/>
  <c r="AM43" i="120"/>
  <c r="AM46" i="120" s="1"/>
  <c r="AT18" i="120"/>
  <c r="X13" i="120"/>
  <c r="X16" i="120" s="1"/>
  <c r="Y38" i="120"/>
  <c r="Y41" i="120" s="1"/>
  <c r="AN8" i="120"/>
  <c r="AN11" i="120" s="1"/>
  <c r="U18" i="120"/>
  <c r="U38" i="120"/>
  <c r="U41" i="120" s="1"/>
  <c r="J43" i="120"/>
  <c r="J46" i="120" s="1"/>
  <c r="J62" i="120"/>
  <c r="J65" i="120" s="1"/>
  <c r="AX43" i="120"/>
  <c r="AX46" i="120" s="1"/>
  <c r="AX62" i="120"/>
  <c r="AX65" i="120" s="1"/>
  <c r="C38" i="120"/>
  <c r="C41" i="120" s="1"/>
  <c r="H38" i="120"/>
  <c r="H41" i="120" s="1"/>
  <c r="G62" i="120"/>
  <c r="G65" i="120" s="1"/>
  <c r="G43" i="120"/>
  <c r="G46" i="120" s="1"/>
  <c r="Q18" i="120"/>
  <c r="AY62" i="120"/>
  <c r="AY65" i="120" s="1"/>
  <c r="AY43" i="120"/>
  <c r="AY46" i="120" s="1"/>
  <c r="AC38" i="120"/>
  <c r="AC41" i="120" s="1"/>
  <c r="BA43" i="120"/>
  <c r="BA46" i="120" s="1"/>
  <c r="BA62" i="120"/>
  <c r="BA65" i="120" s="1"/>
  <c r="AZ18" i="120"/>
  <c r="W62" i="120"/>
  <c r="W65" i="120" s="1"/>
  <c r="W43" i="120"/>
  <c r="W46" i="120" s="1"/>
  <c r="AL38" i="120"/>
  <c r="AL41" i="120" s="1"/>
  <c r="C43" i="120"/>
  <c r="C46" i="120" s="1"/>
  <c r="C62" i="120"/>
  <c r="C65" i="120" s="1"/>
  <c r="BD38" i="120"/>
  <c r="BD41" i="120" s="1"/>
  <c r="AX38" i="120"/>
  <c r="AX41" i="120" s="1"/>
  <c r="L38" i="120"/>
  <c r="L41" i="120" s="1"/>
  <c r="AD18" i="120"/>
  <c r="R13" i="120"/>
  <c r="R16" i="120" s="1"/>
  <c r="M13" i="120"/>
  <c r="M16" i="120" s="1"/>
  <c r="Z18" i="120"/>
  <c r="AH18" i="120"/>
  <c r="I13" i="120"/>
  <c r="I16" i="120" s="1"/>
  <c r="AE18" i="120"/>
  <c r="AI18" i="120"/>
  <c r="AP18" i="120"/>
  <c r="BA38" i="120"/>
  <c r="BA41" i="120" s="1"/>
  <c r="BA13" i="120"/>
  <c r="BA16" i="120" s="1"/>
  <c r="X43" i="120"/>
  <c r="X46" i="120" s="1"/>
  <c r="X62" i="120"/>
  <c r="X65" i="120" s="1"/>
  <c r="AC43" i="120"/>
  <c r="AC46" i="120" s="1"/>
  <c r="AC62" i="120"/>
  <c r="AC65" i="120" s="1"/>
  <c r="AG13" i="120"/>
  <c r="AG16" i="120" s="1"/>
  <c r="AG38" i="120"/>
  <c r="AG41" i="120" s="1"/>
  <c r="AK43" i="120"/>
  <c r="AK46" i="120" s="1"/>
  <c r="AK62" i="120"/>
  <c r="AK65" i="120" s="1"/>
  <c r="AH13" i="120"/>
  <c r="AH16" i="120" s="1"/>
  <c r="AV18" i="120"/>
  <c r="AL18" i="120"/>
  <c r="AL13" i="120"/>
  <c r="AL16" i="120" s="1"/>
  <c r="AJ38" i="120"/>
  <c r="AJ41" i="120" s="1"/>
  <c r="AJ13" i="120"/>
  <c r="AJ16" i="120" s="1"/>
  <c r="AZ13" i="120"/>
  <c r="AZ16" i="120" s="1"/>
  <c r="AO38" i="120"/>
  <c r="AO41" i="120" s="1"/>
  <c r="J38" i="120"/>
  <c r="J41" i="120" s="1"/>
  <c r="L13" i="120"/>
  <c r="L16" i="120" s="1"/>
  <c r="AC18" i="120"/>
  <c r="AT62" i="120"/>
  <c r="AT65" i="120" s="1"/>
  <c r="AT43" i="120"/>
  <c r="AT46" i="120" s="1"/>
  <c r="AP62" i="120"/>
  <c r="AP65" i="120" s="1"/>
  <c r="AP43" i="120"/>
  <c r="AP46" i="120" s="1"/>
  <c r="AM13" i="120"/>
  <c r="AM16" i="120" s="1"/>
  <c r="AI38" i="120"/>
  <c r="AI41" i="120" s="1"/>
  <c r="AE43" i="120"/>
  <c r="AE46" i="120" s="1"/>
  <c r="AE62" i="120"/>
  <c r="AE65" i="120" s="1"/>
  <c r="G13" i="120"/>
  <c r="G16" i="120" s="1"/>
  <c r="AF38" i="120"/>
  <c r="AF41" i="120" s="1"/>
  <c r="L43" i="120"/>
  <c r="L46" i="120" s="1"/>
  <c r="L62" i="120"/>
  <c r="L65" i="120" s="1"/>
  <c r="AE38" i="120"/>
  <c r="AE41" i="120" s="1"/>
  <c r="AE13" i="120"/>
  <c r="AE16" i="120" s="1"/>
  <c r="AI13" i="120"/>
  <c r="AI16" i="120" s="1"/>
  <c r="N13" i="120"/>
  <c r="N16" i="120" s="1"/>
  <c r="X38" i="120"/>
  <c r="X41" i="120" s="1"/>
  <c r="Y62" i="120"/>
  <c r="Y65" i="120" s="1"/>
  <c r="Y43" i="120"/>
  <c r="Y46" i="120" s="1"/>
  <c r="AG62" i="120"/>
  <c r="AG65" i="120" s="1"/>
  <c r="AG43" i="120"/>
  <c r="AG46" i="120" s="1"/>
  <c r="AS62" i="120"/>
  <c r="AS65" i="120" s="1"/>
  <c r="AS43" i="120"/>
  <c r="AS46" i="120" s="1"/>
  <c r="AY38" i="120"/>
  <c r="AY41" i="120" s="1"/>
  <c r="BE8" i="120"/>
  <c r="BE11" i="120" s="1"/>
  <c r="Q62" i="120"/>
  <c r="Q65" i="120" s="1"/>
  <c r="Q43" i="120"/>
  <c r="Q46" i="120" s="1"/>
  <c r="U13" i="120"/>
  <c r="U16" i="120" s="1"/>
  <c r="AZ38" i="120"/>
  <c r="AZ41" i="120" s="1"/>
  <c r="K18" i="120"/>
  <c r="AF18" i="120"/>
  <c r="BA18" i="120"/>
  <c r="N43" i="120"/>
  <c r="N46" i="120" s="1"/>
  <c r="N62" i="120"/>
  <c r="N65" i="120" s="1"/>
  <c r="X18" i="120"/>
  <c r="AS18" i="120"/>
  <c r="BE43" i="120"/>
  <c r="BE46" i="120" s="1"/>
  <c r="BE62" i="120"/>
  <c r="BE65" i="120" s="1"/>
  <c r="AD62" i="120"/>
  <c r="AD65" i="120" s="1"/>
  <c r="AD43" i="120"/>
  <c r="AD46" i="120" s="1"/>
  <c r="BD13" i="120"/>
  <c r="BD16" i="120" s="1"/>
  <c r="BB18" i="120"/>
  <c r="J13" i="120"/>
  <c r="J16" i="120" s="1"/>
  <c r="N18" i="120"/>
  <c r="Y18" i="120"/>
  <c r="AC13" i="120"/>
  <c r="AC16" i="120" s="1"/>
  <c r="AT13" i="120"/>
  <c r="AT16" i="120" s="1"/>
  <c r="D44" i="105"/>
  <c r="AZ613" i="64" s="1"/>
  <c r="S44" i="105" s="1"/>
  <c r="I44" i="105" s="1"/>
  <c r="P44" i="105"/>
  <c r="D4" i="105"/>
  <c r="AV21" i="111" s="1"/>
  <c r="P4" i="105"/>
  <c r="D8" i="105"/>
  <c r="P8" i="105"/>
  <c r="P14" i="105"/>
  <c r="D14" i="105"/>
  <c r="P43" i="105"/>
  <c r="D43" i="105"/>
  <c r="S43" i="105" s="1"/>
  <c r="I43" i="105" s="1"/>
  <c r="P48" i="105"/>
  <c r="D48" i="105"/>
  <c r="P52" i="105"/>
  <c r="D52" i="105"/>
  <c r="P56" i="105"/>
  <c r="D56" i="105"/>
  <c r="D38" i="105"/>
  <c r="P38" i="105"/>
  <c r="D33" i="105"/>
  <c r="P33" i="105"/>
  <c r="D41" i="105"/>
  <c r="P41" i="105"/>
  <c r="D17" i="105"/>
  <c r="P17" i="105"/>
  <c r="D21" i="105"/>
  <c r="P21" i="105"/>
  <c r="D25" i="105"/>
  <c r="P25" i="105"/>
  <c r="D29" i="105"/>
  <c r="P29" i="105"/>
  <c r="R9" i="140"/>
  <c r="AZ9" i="140"/>
  <c r="BD9" i="140"/>
  <c r="AC9" i="140"/>
  <c r="AI9" i="140"/>
  <c r="AB77" i="120"/>
  <c r="Q77" i="120"/>
  <c r="AY67" i="120"/>
  <c r="AY77" i="120"/>
  <c r="AH67" i="120"/>
  <c r="BC77" i="120"/>
  <c r="BC67" i="120"/>
  <c r="AH77" i="120"/>
  <c r="AB67" i="120"/>
  <c r="BC94" i="120"/>
  <c r="Q67" i="120"/>
  <c r="AH94" i="120"/>
  <c r="E125" i="126"/>
  <c r="AY94" i="120"/>
  <c r="AB94" i="120"/>
  <c r="Q94" i="120"/>
  <c r="V9" i="140"/>
  <c r="U67" i="120"/>
  <c r="U77" i="120"/>
  <c r="U81" i="120" s="1"/>
  <c r="E124" i="126"/>
  <c r="U94" i="120"/>
  <c r="U97" i="120" s="1"/>
  <c r="P15" i="105"/>
  <c r="D15" i="105"/>
  <c r="P7" i="105"/>
  <c r="D7" i="105"/>
  <c r="P12" i="105"/>
  <c r="D12" i="105"/>
  <c r="D47" i="105"/>
  <c r="AS613" i="64" s="1"/>
  <c r="S47" i="105" s="1"/>
  <c r="I47" i="105" s="1"/>
  <c r="P47" i="105"/>
  <c r="D51" i="105"/>
  <c r="P51" i="105"/>
  <c r="D55" i="105"/>
  <c r="P55" i="105"/>
  <c r="P36" i="105"/>
  <c r="D36" i="105"/>
  <c r="P31" i="105"/>
  <c r="D31" i="105"/>
  <c r="W613" i="64" s="1"/>
  <c r="S31" i="105" s="1"/>
  <c r="I31" i="105" s="1"/>
  <c r="D20" i="105"/>
  <c r="P20" i="105"/>
  <c r="P24" i="105"/>
  <c r="D24" i="105"/>
  <c r="P28" i="105"/>
  <c r="D28" i="105"/>
  <c r="P40" i="105"/>
  <c r="D40" i="105"/>
  <c r="AP9" i="140"/>
  <c r="AM9" i="140"/>
  <c r="AO9" i="140"/>
  <c r="E132" i="126"/>
  <c r="AO77" i="120"/>
  <c r="AL94" i="120"/>
  <c r="AL67" i="120"/>
  <c r="AO94" i="120"/>
  <c r="AN94" i="120"/>
  <c r="AN77" i="120"/>
  <c r="AO67" i="120"/>
  <c r="AL77" i="120"/>
  <c r="AN67" i="120"/>
  <c r="Z9" i="140"/>
  <c r="AH9" i="140"/>
  <c r="AX9" i="140"/>
  <c r="AW9" i="140"/>
  <c r="Y77" i="120"/>
  <c r="AV77" i="120"/>
  <c r="AV67" i="120"/>
  <c r="E137" i="126"/>
  <c r="AW67" i="120"/>
  <c r="AG77" i="120"/>
  <c r="AW77" i="120"/>
  <c r="Y67" i="120"/>
  <c r="AG67" i="120"/>
  <c r="AV94" i="120"/>
  <c r="AW94" i="120"/>
  <c r="Y94" i="120"/>
  <c r="AG94" i="120"/>
  <c r="AF9" i="140"/>
  <c r="AL9" i="140"/>
  <c r="AT9" i="140"/>
  <c r="AA9" i="140"/>
  <c r="AK9" i="140"/>
  <c r="AU9" i="140"/>
  <c r="AJ94" i="120"/>
  <c r="AK67" i="120"/>
  <c r="AE67" i="120"/>
  <c r="AS67" i="120"/>
  <c r="E135" i="126"/>
  <c r="AS94" i="120"/>
  <c r="Z67" i="120"/>
  <c r="AJ77" i="120"/>
  <c r="Z94" i="120"/>
  <c r="AS77" i="120"/>
  <c r="AT67" i="120"/>
  <c r="Z77" i="120"/>
  <c r="AJ67" i="120"/>
  <c r="AK77" i="120"/>
  <c r="AT77" i="120"/>
  <c r="AE94" i="120"/>
  <c r="AT94" i="120"/>
  <c r="AE77" i="120"/>
  <c r="AK94" i="120"/>
  <c r="P13" i="105"/>
  <c r="D13" i="105"/>
  <c r="AR613" i="64" s="1"/>
  <c r="S13" i="105" s="1"/>
  <c r="I13" i="105" s="1"/>
  <c r="D6" i="105"/>
  <c r="P6" i="105"/>
  <c r="D10" i="105"/>
  <c r="P10" i="105"/>
  <c r="D46" i="105"/>
  <c r="P46" i="105"/>
  <c r="D50" i="105"/>
  <c r="P50" i="105"/>
  <c r="D54" i="105"/>
  <c r="P54" i="105"/>
  <c r="D58" i="105"/>
  <c r="P58" i="105"/>
  <c r="P34" i="105"/>
  <c r="D34" i="105"/>
  <c r="P37" i="105"/>
  <c r="D37" i="105"/>
  <c r="P19" i="105"/>
  <c r="D19" i="105"/>
  <c r="D23" i="105"/>
  <c r="P23" i="105"/>
  <c r="D27" i="105"/>
  <c r="P27" i="105"/>
  <c r="P39" i="105"/>
  <c r="D39" i="105"/>
  <c r="L9" i="140"/>
  <c r="X9" i="140"/>
  <c r="BB9" i="140"/>
  <c r="U9" i="140"/>
  <c r="Y9" i="140"/>
  <c r="BA77" i="120"/>
  <c r="W67" i="120"/>
  <c r="X94" i="120"/>
  <c r="T77" i="120"/>
  <c r="E129" i="126"/>
  <c r="K77" i="120"/>
  <c r="BA67" i="120"/>
  <c r="K67" i="120"/>
  <c r="T67" i="120"/>
  <c r="K94" i="120"/>
  <c r="T94" i="120"/>
  <c r="W94" i="120"/>
  <c r="X77" i="120"/>
  <c r="BA94" i="120"/>
  <c r="W77" i="120"/>
  <c r="X67" i="120"/>
  <c r="J9" i="140"/>
  <c r="E9" i="140"/>
  <c r="M9" i="140"/>
  <c r="AS9" i="140"/>
  <c r="BA9" i="140"/>
  <c r="AZ94" i="120"/>
  <c r="I67" i="120"/>
  <c r="I77" i="120"/>
  <c r="L67" i="120"/>
  <c r="E136" i="126"/>
  <c r="AR77" i="120"/>
  <c r="D67" i="120"/>
  <c r="L94" i="120"/>
  <c r="AZ67" i="120"/>
  <c r="AR94" i="120"/>
  <c r="AZ77" i="120"/>
  <c r="D94" i="120"/>
  <c r="L77" i="120"/>
  <c r="D77" i="120"/>
  <c r="I94" i="120"/>
  <c r="AR67" i="120"/>
  <c r="P9" i="140"/>
  <c r="S9" i="140"/>
  <c r="AQ9" i="140"/>
  <c r="AP67" i="120"/>
  <c r="AP77" i="120"/>
  <c r="R67" i="120"/>
  <c r="O77" i="120"/>
  <c r="AP94" i="120"/>
  <c r="O94" i="120"/>
  <c r="O67" i="120"/>
  <c r="E130" i="126"/>
  <c r="R77" i="120"/>
  <c r="R94" i="120"/>
  <c r="I9" i="140"/>
  <c r="H67" i="120"/>
  <c r="E128" i="126"/>
  <c r="H94" i="120"/>
  <c r="H97" i="120" s="1"/>
  <c r="H77" i="120"/>
  <c r="H81" i="120" s="1"/>
  <c r="P11" i="105"/>
  <c r="D11" i="105"/>
  <c r="P5" i="105"/>
  <c r="D5" i="105"/>
  <c r="P9" i="105"/>
  <c r="D9" i="105"/>
  <c r="P16" i="105"/>
  <c r="D16" i="105"/>
  <c r="P45" i="105"/>
  <c r="D45" i="105"/>
  <c r="P49" i="105"/>
  <c r="D49" i="105"/>
  <c r="P53" i="105"/>
  <c r="D53" i="105"/>
  <c r="P57" i="105"/>
  <c r="D57" i="105"/>
  <c r="P32" i="105"/>
  <c r="D32" i="105"/>
  <c r="P42" i="105"/>
  <c r="D42" i="105"/>
  <c r="P35" i="105"/>
  <c r="D35" i="105"/>
  <c r="D18" i="105"/>
  <c r="P18" i="105"/>
  <c r="D22" i="105"/>
  <c r="P22" i="105"/>
  <c r="P26" i="105"/>
  <c r="D26" i="105"/>
  <c r="P30" i="105"/>
  <c r="D30" i="105"/>
  <c r="G9" i="140"/>
  <c r="E127" i="126"/>
  <c r="F67" i="120"/>
  <c r="F94" i="120"/>
  <c r="F77" i="120"/>
  <c r="Q9" i="140"/>
  <c r="W9" i="140"/>
  <c r="F9" i="140"/>
  <c r="V94" i="120"/>
  <c r="V77" i="120"/>
  <c r="P77" i="120"/>
  <c r="P67" i="120"/>
  <c r="P94" i="120"/>
  <c r="E138" i="126"/>
  <c r="E94" i="120"/>
  <c r="V67" i="120"/>
  <c r="E77" i="120"/>
  <c r="E67" i="120"/>
  <c r="N9" i="140"/>
  <c r="AN9" i="140"/>
  <c r="K9" i="140"/>
  <c r="O9" i="140"/>
  <c r="M77" i="120"/>
  <c r="M67" i="120"/>
  <c r="J94" i="120"/>
  <c r="N77" i="120"/>
  <c r="M94" i="120"/>
  <c r="N67" i="120"/>
  <c r="E134" i="126"/>
  <c r="AM67" i="120"/>
  <c r="N94" i="120"/>
  <c r="J77" i="120"/>
  <c r="AM94" i="120"/>
  <c r="AM77" i="120"/>
  <c r="J67" i="120"/>
  <c r="AG9" i="140"/>
  <c r="AY9" i="140"/>
  <c r="H9" i="140"/>
  <c r="G94" i="120"/>
  <c r="AX94" i="120"/>
  <c r="G77" i="120"/>
  <c r="AF67" i="120"/>
  <c r="AX77" i="120"/>
  <c r="E126" i="126"/>
  <c r="AX67" i="120"/>
  <c r="G67" i="120"/>
  <c r="AF94" i="120"/>
  <c r="AF77" i="120"/>
  <c r="T9" i="140"/>
  <c r="AJ9" i="140"/>
  <c r="AR9" i="140"/>
  <c r="BF9" i="140"/>
  <c r="D9" i="140"/>
  <c r="AQ94" i="120"/>
  <c r="AI67" i="120"/>
  <c r="S77" i="120"/>
  <c r="AQ77" i="120"/>
  <c r="C67" i="120"/>
  <c r="BE77" i="120"/>
  <c r="AI77" i="120"/>
  <c r="C77" i="120"/>
  <c r="E131" i="126"/>
  <c r="BE67" i="120"/>
  <c r="BE94" i="120"/>
  <c r="S94" i="120"/>
  <c r="AI94" i="120"/>
  <c r="C94" i="120"/>
  <c r="S67" i="120"/>
  <c r="AQ67" i="120"/>
  <c r="AB9" i="140"/>
  <c r="AD9" i="140"/>
  <c r="AV9" i="140"/>
  <c r="AE9" i="140"/>
  <c r="BC9" i="140"/>
  <c r="BE9" i="140"/>
  <c r="AA77" i="120"/>
  <c r="AD94" i="120"/>
  <c r="AC77" i="120"/>
  <c r="AC67" i="120"/>
  <c r="BD77" i="120"/>
  <c r="BD67" i="120"/>
  <c r="BB77" i="120"/>
  <c r="AD67" i="120"/>
  <c r="AU77" i="120"/>
  <c r="BD94" i="120"/>
  <c r="AA67" i="120"/>
  <c r="AA94" i="120"/>
  <c r="BB67" i="120"/>
  <c r="AU94" i="120"/>
  <c r="E133" i="126"/>
  <c r="BB94" i="120"/>
  <c r="AD77" i="120"/>
  <c r="AU67" i="120"/>
  <c r="AC94" i="120"/>
  <c r="E21" i="120"/>
  <c r="AY21" i="120"/>
  <c r="AY32" i="120"/>
  <c r="AY35" i="120" s="1"/>
  <c r="AG21" i="120"/>
  <c r="AC8" i="120"/>
  <c r="AC11" i="120" s="1"/>
  <c r="M8" i="120"/>
  <c r="M11" i="120" s="1"/>
  <c r="I21" i="120"/>
  <c r="AM21" i="120"/>
  <c r="AM32" i="120"/>
  <c r="AM35" i="120" s="1"/>
  <c r="U8" i="120"/>
  <c r="U11" i="120" s="1"/>
  <c r="L103" i="123"/>
  <c r="L169" i="123"/>
  <c r="L202" i="123"/>
  <c r="L136" i="123"/>
  <c r="H136" i="123"/>
  <c r="E32" i="120" l="1"/>
  <c r="E35" i="120" s="1"/>
  <c r="M21" i="111"/>
  <c r="M76" i="111" s="1"/>
  <c r="AH21" i="111"/>
  <c r="P34" i="79" s="1"/>
  <c r="Z21" i="111"/>
  <c r="Z76" i="111" s="1"/>
  <c r="AS21" i="111"/>
  <c r="P45" i="79" s="1"/>
  <c r="AK21" i="111"/>
  <c r="AK76" i="111" s="1"/>
  <c r="BD21" i="111"/>
  <c r="P56" i="79" s="1"/>
  <c r="AG21" i="111"/>
  <c r="AG76" i="111" s="1"/>
  <c r="AM21" i="111"/>
  <c r="AM110" i="111" s="1"/>
  <c r="C21" i="111"/>
  <c r="C110" i="111" s="1"/>
  <c r="H21" i="111"/>
  <c r="P8" i="79" s="1"/>
  <c r="I21" i="111"/>
  <c r="I76" i="111" s="1"/>
  <c r="R21" i="111"/>
  <c r="R76" i="111" s="1"/>
  <c r="AW21" i="111"/>
  <c r="AW76" i="111" s="1"/>
  <c r="P21" i="111"/>
  <c r="P76" i="111" s="1"/>
  <c r="AB21" i="111"/>
  <c r="AB110" i="111" s="1"/>
  <c r="AY21" i="111"/>
  <c r="AY110" i="111" s="1"/>
  <c r="V21" i="111"/>
  <c r="V110" i="111" s="1"/>
  <c r="AL21" i="111"/>
  <c r="P38" i="79" s="1"/>
  <c r="BA21" i="111"/>
  <c r="BA110" i="111" s="1"/>
  <c r="AJ21" i="111"/>
  <c r="AJ76" i="111" s="1"/>
  <c r="AI21" i="111"/>
  <c r="AI110" i="111" s="1"/>
  <c r="AX21" i="111"/>
  <c r="P50" i="79" s="1"/>
  <c r="T20" i="111"/>
  <c r="T42" i="111" s="1"/>
  <c r="T101" i="111" s="1"/>
  <c r="AC21" i="111"/>
  <c r="AC110" i="111" s="1"/>
  <c r="AO21" i="111"/>
  <c r="AO110" i="111" s="1"/>
  <c r="K21" i="111"/>
  <c r="K110" i="111" s="1"/>
  <c r="BC21" i="111"/>
  <c r="BC110" i="111" s="1"/>
  <c r="AN21" i="111"/>
  <c r="P40" i="79" s="1"/>
  <c r="U21" i="111"/>
  <c r="U110" i="111" s="1"/>
  <c r="Y21" i="111"/>
  <c r="Y76" i="111" s="1"/>
  <c r="AT21" i="111"/>
  <c r="P46" i="79" s="1"/>
  <c r="S21" i="111"/>
  <c r="S76" i="111" s="1"/>
  <c r="X21" i="111"/>
  <c r="X76" i="111" s="1"/>
  <c r="L21" i="111"/>
  <c r="P12" i="79" s="1"/>
  <c r="AF21" i="111"/>
  <c r="AF110" i="111" s="1"/>
  <c r="AU21" i="111"/>
  <c r="P47" i="79" s="1"/>
  <c r="T21" i="111"/>
  <c r="T76" i="111" s="1"/>
  <c r="Q21" i="111"/>
  <c r="Q110" i="111" s="1"/>
  <c r="G21" i="111"/>
  <c r="P7" i="79" s="1"/>
  <c r="I32" i="120"/>
  <c r="I35" i="120" s="1"/>
  <c r="AG32" i="120"/>
  <c r="AG35" i="120" s="1"/>
  <c r="AD21" i="111"/>
  <c r="AD110" i="111" s="1"/>
  <c r="D21" i="111"/>
  <c r="D110" i="111" s="1"/>
  <c r="J21" i="111"/>
  <c r="J76" i="111" s="1"/>
  <c r="AA21" i="111"/>
  <c r="P27" i="79" s="1"/>
  <c r="AP21" i="111"/>
  <c r="AP110" i="111" s="1"/>
  <c r="O21" i="111"/>
  <c r="P15" i="79" s="1"/>
  <c r="AN21" i="120"/>
  <c r="AN32" i="120"/>
  <c r="AN35" i="120" s="1"/>
  <c r="AK21" i="120"/>
  <c r="AK32" i="120"/>
  <c r="AK35" i="120" s="1"/>
  <c r="AU43" i="120"/>
  <c r="AU46" i="120" s="1"/>
  <c r="AU62" i="120"/>
  <c r="AU65" i="120" s="1"/>
  <c r="AR38" i="120"/>
  <c r="AR41" i="120" s="1"/>
  <c r="AU38" i="120"/>
  <c r="AU41" i="120" s="1"/>
  <c r="AR62" i="120"/>
  <c r="AR65" i="120" s="1"/>
  <c r="AR43" i="120"/>
  <c r="AR46" i="120" s="1"/>
  <c r="BC43" i="120"/>
  <c r="BC46" i="120" s="1"/>
  <c r="BC62" i="120"/>
  <c r="BC65" i="120" s="1"/>
  <c r="AU32" i="120"/>
  <c r="AU35" i="120" s="1"/>
  <c r="AU21" i="120"/>
  <c r="BC38" i="120"/>
  <c r="BC41" i="120" s="1"/>
  <c r="BC18" i="120"/>
  <c r="AR8" i="120"/>
  <c r="AR11" i="120" s="1"/>
  <c r="AR18" i="120"/>
  <c r="BC8" i="120"/>
  <c r="BC11" i="120" s="1"/>
  <c r="AU70" i="123"/>
  <c r="D38" i="120"/>
  <c r="D41" i="120" s="1"/>
  <c r="D62" i="120"/>
  <c r="D65" i="120" s="1"/>
  <c r="D43" i="120"/>
  <c r="D46" i="120" s="1"/>
  <c r="P70" i="123"/>
  <c r="V43" i="120"/>
  <c r="V46" i="120" s="1"/>
  <c r="V62" i="120"/>
  <c r="V65" i="120" s="1"/>
  <c r="I70" i="123"/>
  <c r="D13" i="120"/>
  <c r="D16" i="120" s="1"/>
  <c r="AB8" i="120"/>
  <c r="AB11" i="120" s="1"/>
  <c r="F8" i="120"/>
  <c r="F11" i="120" s="1"/>
  <c r="O8" i="120"/>
  <c r="O11" i="120" s="1"/>
  <c r="T21" i="120"/>
  <c r="V13" i="120"/>
  <c r="V16" i="120" s="1"/>
  <c r="O18" i="120"/>
  <c r="V21" i="120"/>
  <c r="O62" i="120"/>
  <c r="O65" i="120" s="1"/>
  <c r="O43" i="120"/>
  <c r="O46" i="120" s="1"/>
  <c r="T13" i="120"/>
  <c r="T16" i="120" s="1"/>
  <c r="AB32" i="120"/>
  <c r="AB35" i="120" s="1"/>
  <c r="AB21" i="120"/>
  <c r="D21" i="120"/>
  <c r="BG136" i="123"/>
  <c r="F38" i="120"/>
  <c r="F41" i="120" s="1"/>
  <c r="F43" i="120"/>
  <c r="F46" i="120" s="1"/>
  <c r="F62" i="120"/>
  <c r="F65" i="120" s="1"/>
  <c r="AB62" i="120"/>
  <c r="AB65" i="120" s="1"/>
  <c r="AB43" i="120"/>
  <c r="AB46" i="120" s="1"/>
  <c r="X70" i="123"/>
  <c r="F18" i="120"/>
  <c r="L70" i="123"/>
  <c r="BG134" i="123"/>
  <c r="BE32" i="120"/>
  <c r="BE35" i="120" s="1"/>
  <c r="BE21" i="120"/>
  <c r="H136" i="120"/>
  <c r="U136" i="120"/>
  <c r="E139" i="126"/>
  <c r="H134" i="120"/>
  <c r="U134" i="120"/>
  <c r="P18" i="120"/>
  <c r="P62" i="120"/>
  <c r="P65" i="120" s="1"/>
  <c r="P43" i="120"/>
  <c r="P46" i="120" s="1"/>
  <c r="P38" i="120"/>
  <c r="P41" i="120" s="1"/>
  <c r="P13" i="120"/>
  <c r="P16" i="120" s="1"/>
  <c r="AU70" i="120"/>
  <c r="AU69" i="120"/>
  <c r="BB70" i="120"/>
  <c r="BB69" i="120"/>
  <c r="AA70" i="120"/>
  <c r="AA69" i="120"/>
  <c r="AD70" i="120"/>
  <c r="AD69" i="120"/>
  <c r="BD69" i="120"/>
  <c r="BD70" i="120"/>
  <c r="AC70" i="120"/>
  <c r="AC69" i="120"/>
  <c r="AQ69" i="120"/>
  <c r="AQ70" i="120"/>
  <c r="S69" i="120"/>
  <c r="S70" i="120"/>
  <c r="BE69" i="120"/>
  <c r="BE70" i="120"/>
  <c r="C70" i="120"/>
  <c r="C69" i="120"/>
  <c r="AI70" i="120"/>
  <c r="AI69" i="120"/>
  <c r="G69" i="120"/>
  <c r="G70" i="120"/>
  <c r="AX69" i="120"/>
  <c r="AX70" i="120"/>
  <c r="AF70" i="120"/>
  <c r="AF69" i="120"/>
  <c r="J70" i="120"/>
  <c r="J69" i="120"/>
  <c r="AM69" i="120"/>
  <c r="AM70" i="120"/>
  <c r="N70" i="120"/>
  <c r="N69" i="120"/>
  <c r="M69" i="120"/>
  <c r="M70" i="120"/>
  <c r="E70" i="120"/>
  <c r="E69" i="120"/>
  <c r="V70" i="120"/>
  <c r="V69" i="120"/>
  <c r="P70" i="120"/>
  <c r="P69" i="120"/>
  <c r="F70" i="120"/>
  <c r="F69" i="120"/>
  <c r="M110" i="111"/>
  <c r="C30" i="105"/>
  <c r="H30" i="105" s="1"/>
  <c r="E3" i="64"/>
  <c r="C26" i="105"/>
  <c r="H26" i="105" s="1"/>
  <c r="AE3" i="64"/>
  <c r="AC3" i="64"/>
  <c r="C22" i="105"/>
  <c r="H22" i="105" s="1"/>
  <c r="AP3" i="64"/>
  <c r="C18" i="105"/>
  <c r="H18" i="105" s="1"/>
  <c r="AH3" i="64"/>
  <c r="C35" i="105"/>
  <c r="H35" i="105" s="1"/>
  <c r="Z3" i="64"/>
  <c r="C42" i="105"/>
  <c r="H42" i="105" s="1"/>
  <c r="AW3" i="64"/>
  <c r="C32" i="105"/>
  <c r="H32" i="105" s="1"/>
  <c r="C57" i="105"/>
  <c r="H57" i="105" s="1"/>
  <c r="AK3" i="64"/>
  <c r="C53" i="105"/>
  <c r="H53" i="105" s="1"/>
  <c r="BD3" i="64"/>
  <c r="C49" i="105"/>
  <c r="H49" i="105" s="1"/>
  <c r="AG3" i="64"/>
  <c r="P39" i="79"/>
  <c r="C45" i="105"/>
  <c r="H45" i="105" s="1"/>
  <c r="AM3" i="64"/>
  <c r="Q3" i="64"/>
  <c r="C16" i="105"/>
  <c r="H16" i="105" s="1"/>
  <c r="H76" i="111"/>
  <c r="F3" i="64"/>
  <c r="C9" i="105"/>
  <c r="H9" i="105" s="1"/>
  <c r="H3" i="64"/>
  <c r="C5" i="105"/>
  <c r="H5" i="105" s="1"/>
  <c r="V3" i="64"/>
  <c r="C11" i="105"/>
  <c r="H11" i="105" s="1"/>
  <c r="H70" i="120"/>
  <c r="H73" i="120"/>
  <c r="I114" i="140" s="1"/>
  <c r="H69" i="120"/>
  <c r="I74" i="140"/>
  <c r="I70" i="140"/>
  <c r="I62" i="140"/>
  <c r="I73" i="140"/>
  <c r="I69" i="140"/>
  <c r="I71" i="140"/>
  <c r="I56" i="140"/>
  <c r="I43" i="140"/>
  <c r="I44" i="140"/>
  <c r="I42" i="140"/>
  <c r="I45" i="140"/>
  <c r="I52" i="140"/>
  <c r="I46" i="140"/>
  <c r="I47" i="140"/>
  <c r="I51" i="140"/>
  <c r="I36" i="140"/>
  <c r="O69" i="120"/>
  <c r="O70" i="120"/>
  <c r="R69" i="120"/>
  <c r="R70" i="120"/>
  <c r="AP69" i="120"/>
  <c r="AP70" i="120"/>
  <c r="AR69" i="120"/>
  <c r="AR70" i="120"/>
  <c r="AZ70" i="120"/>
  <c r="AZ69" i="120"/>
  <c r="D70" i="120"/>
  <c r="D69" i="120"/>
  <c r="L69" i="120"/>
  <c r="L70" i="120"/>
  <c r="I69" i="120"/>
  <c r="I70" i="120"/>
  <c r="X70" i="120"/>
  <c r="X69" i="120"/>
  <c r="T70" i="120"/>
  <c r="T69" i="120"/>
  <c r="K70" i="120"/>
  <c r="K69" i="120"/>
  <c r="BA70" i="120"/>
  <c r="BA69" i="120"/>
  <c r="W69" i="120"/>
  <c r="W70" i="120"/>
  <c r="R110" i="111"/>
  <c r="O3" i="64"/>
  <c r="C39" i="105"/>
  <c r="H39" i="105" s="1"/>
  <c r="S3" i="64"/>
  <c r="C27" i="105"/>
  <c r="H27" i="105" s="1"/>
  <c r="AN3" i="64"/>
  <c r="C23" i="105"/>
  <c r="H23" i="105" s="1"/>
  <c r="BC3" i="64"/>
  <c r="C19" i="105"/>
  <c r="H19" i="105" s="1"/>
  <c r="P110" i="111"/>
  <c r="L3" i="64"/>
  <c r="C37" i="105"/>
  <c r="H37" i="105" s="1"/>
  <c r="AB3" i="64"/>
  <c r="C34" i="105"/>
  <c r="H34" i="105" s="1"/>
  <c r="C58" i="105"/>
  <c r="H58" i="105" s="1"/>
  <c r="AO3" i="64"/>
  <c r="C54" i="105"/>
  <c r="H54" i="105" s="1"/>
  <c r="AD3" i="64"/>
  <c r="C50" i="105"/>
  <c r="H50" i="105" s="1"/>
  <c r="J3" i="64"/>
  <c r="C46" i="105"/>
  <c r="H46" i="105" s="1"/>
  <c r="Y3" i="64"/>
  <c r="C10" i="105"/>
  <c r="AY3" i="64"/>
  <c r="C6" i="105"/>
  <c r="H6" i="105" s="1"/>
  <c r="X3" i="64"/>
  <c r="AR3" i="64"/>
  <c r="C13" i="105"/>
  <c r="AJ69" i="120"/>
  <c r="AJ70" i="120"/>
  <c r="AT70" i="120"/>
  <c r="AT69" i="120"/>
  <c r="Z70" i="120"/>
  <c r="Z69" i="120"/>
  <c r="AS70" i="120"/>
  <c r="AS69" i="120"/>
  <c r="AE69" i="120"/>
  <c r="AE70" i="120"/>
  <c r="AK70" i="120"/>
  <c r="AK69" i="120"/>
  <c r="AG69" i="120"/>
  <c r="AG70" i="120"/>
  <c r="Y69" i="120"/>
  <c r="Y70" i="120"/>
  <c r="AW70" i="120"/>
  <c r="AW69" i="120"/>
  <c r="AV69" i="120"/>
  <c r="AV70" i="120"/>
  <c r="AN70" i="120"/>
  <c r="AN69" i="120"/>
  <c r="AO69" i="120"/>
  <c r="AO70" i="120"/>
  <c r="AL69" i="120"/>
  <c r="AL70" i="120"/>
  <c r="C40" i="105"/>
  <c r="H40" i="105" s="1"/>
  <c r="C3" i="64"/>
  <c r="C28" i="105"/>
  <c r="G3" i="64"/>
  <c r="C24" i="105"/>
  <c r="H24" i="105" s="1"/>
  <c r="U3" i="64"/>
  <c r="C20" i="105"/>
  <c r="H20" i="105" s="1"/>
  <c r="BA3" i="64"/>
  <c r="P51" i="79"/>
  <c r="C31" i="105"/>
  <c r="W3" i="64"/>
  <c r="C36" i="105"/>
  <c r="H36" i="105" s="1"/>
  <c r="AA3" i="64"/>
  <c r="C55" i="105"/>
  <c r="T3" i="64"/>
  <c r="C51" i="105"/>
  <c r="H51" i="105" s="1"/>
  <c r="P3" i="64"/>
  <c r="C47" i="105"/>
  <c r="AS3" i="64"/>
  <c r="AL110" i="111"/>
  <c r="C12" i="105"/>
  <c r="H12" i="105" s="1"/>
  <c r="AL3" i="64"/>
  <c r="C7" i="105"/>
  <c r="D3" i="64"/>
  <c r="C15" i="105"/>
  <c r="H15" i="105" s="1"/>
  <c r="AT3" i="64"/>
  <c r="U69" i="120"/>
  <c r="U70" i="120"/>
  <c r="U73" i="120"/>
  <c r="V114" i="140" s="1"/>
  <c r="V52" i="140"/>
  <c r="V44" i="140"/>
  <c r="V46" i="140"/>
  <c r="V42" i="140"/>
  <c r="V74" i="140"/>
  <c r="V69" i="140"/>
  <c r="V70" i="140"/>
  <c r="V56" i="140"/>
  <c r="V51" i="140"/>
  <c r="V43" i="140"/>
  <c r="V45" i="140"/>
  <c r="V47" i="140"/>
  <c r="V36" i="140"/>
  <c r="V62" i="140"/>
  <c r="V71" i="140"/>
  <c r="V73" i="140"/>
  <c r="Q69" i="120"/>
  <c r="Q70" i="120"/>
  <c r="AB70" i="120"/>
  <c r="AB69" i="120"/>
  <c r="BC69" i="120"/>
  <c r="BC70" i="120"/>
  <c r="AH70" i="120"/>
  <c r="AH69" i="120"/>
  <c r="AY70" i="120"/>
  <c r="AY69" i="120"/>
  <c r="C29" i="105"/>
  <c r="H29" i="105" s="1"/>
  <c r="K3" i="64"/>
  <c r="L110" i="111"/>
  <c r="C25" i="105"/>
  <c r="H25" i="105" s="1"/>
  <c r="AF3" i="64"/>
  <c r="AU3" i="64"/>
  <c r="C21" i="105"/>
  <c r="H21" i="105" s="1"/>
  <c r="C17" i="105"/>
  <c r="H17" i="105" s="1"/>
  <c r="AQ3" i="64"/>
  <c r="I3" i="64"/>
  <c r="C41" i="105"/>
  <c r="R3" i="64"/>
  <c r="C33" i="105"/>
  <c r="H33" i="105" s="1"/>
  <c r="N3" i="64"/>
  <c r="C38" i="105"/>
  <c r="H38" i="105" s="1"/>
  <c r="BE3" i="64"/>
  <c r="C56" i="105"/>
  <c r="H56" i="105" s="1"/>
  <c r="BF20" i="111" s="1"/>
  <c r="P36" i="79"/>
  <c r="AJ110" i="111"/>
  <c r="AJ3" i="64"/>
  <c r="C52" i="105"/>
  <c r="H52" i="105" s="1"/>
  <c r="AI3" i="64"/>
  <c r="C48" i="105"/>
  <c r="H48" i="105" s="1"/>
  <c r="C43" i="105"/>
  <c r="H43" i="105" s="1"/>
  <c r="AX3" i="64"/>
  <c r="AX76" i="111"/>
  <c r="AX110" i="111"/>
  <c r="AV3" i="64"/>
  <c r="C14" i="105"/>
  <c r="H14" i="105" s="1"/>
  <c r="C8" i="105"/>
  <c r="H8" i="105" s="1"/>
  <c r="M3" i="64"/>
  <c r="C4" i="105"/>
  <c r="H4" i="105" s="1"/>
  <c r="BB3" i="64"/>
  <c r="P48" i="79"/>
  <c r="AV76" i="111"/>
  <c r="AV110" i="111"/>
  <c r="AZ3" i="64"/>
  <c r="C44" i="105"/>
  <c r="AY8" i="120"/>
  <c r="AY11" i="120" s="1"/>
  <c r="AS8" i="120"/>
  <c r="AS11" i="120" s="1"/>
  <c r="Y21" i="120"/>
  <c r="Y32" i="120"/>
  <c r="Y35" i="120" s="1"/>
  <c r="N21" i="120"/>
  <c r="N32" i="120"/>
  <c r="N35" i="120" s="1"/>
  <c r="AP8" i="120"/>
  <c r="AP11" i="120" s="1"/>
  <c r="BB21" i="120"/>
  <c r="BB32" i="120"/>
  <c r="BB35" i="120" s="1"/>
  <c r="S38" i="120"/>
  <c r="S41" i="120" s="1"/>
  <c r="AS32" i="120"/>
  <c r="AS35" i="120" s="1"/>
  <c r="AS21" i="120"/>
  <c r="Y8" i="120"/>
  <c r="Y11" i="120" s="1"/>
  <c r="X21" i="120"/>
  <c r="X32" i="120"/>
  <c r="X35" i="120" s="1"/>
  <c r="BA21" i="120"/>
  <c r="BA32" i="120"/>
  <c r="BA35" i="120" s="1"/>
  <c r="AE8" i="120"/>
  <c r="AE11" i="120" s="1"/>
  <c r="AF21" i="120"/>
  <c r="AF32" i="120"/>
  <c r="AF35" i="120" s="1"/>
  <c r="C8" i="120"/>
  <c r="C11" i="120" s="1"/>
  <c r="K21" i="120"/>
  <c r="K32" i="120"/>
  <c r="K35" i="120" s="1"/>
  <c r="AO8" i="120"/>
  <c r="AO11" i="120" s="1"/>
  <c r="N8" i="120"/>
  <c r="N11" i="120" s="1"/>
  <c r="R8" i="120"/>
  <c r="R11" i="120" s="1"/>
  <c r="AA8" i="120"/>
  <c r="AA11" i="120" s="1"/>
  <c r="AC21" i="120"/>
  <c r="AC32" i="120"/>
  <c r="AC35" i="120" s="1"/>
  <c r="AQ8" i="120"/>
  <c r="AQ11" i="120" s="1"/>
  <c r="AL32" i="120"/>
  <c r="AL35" i="120" s="1"/>
  <c r="AL21" i="120"/>
  <c r="AV32" i="120"/>
  <c r="AV35" i="120" s="1"/>
  <c r="AV21" i="120"/>
  <c r="AG8" i="120"/>
  <c r="AG11" i="120" s="1"/>
  <c r="X8" i="120"/>
  <c r="X11" i="120" s="1"/>
  <c r="AT8" i="120"/>
  <c r="AT11" i="120" s="1"/>
  <c r="AP32" i="120"/>
  <c r="AP35" i="120" s="1"/>
  <c r="AP21" i="120"/>
  <c r="AI8" i="120"/>
  <c r="AI11" i="120" s="1"/>
  <c r="AI32" i="120"/>
  <c r="AI35" i="120" s="1"/>
  <c r="AI21" i="120"/>
  <c r="AE32" i="120"/>
  <c r="AE35" i="120" s="1"/>
  <c r="AE21" i="120"/>
  <c r="I8" i="120"/>
  <c r="I11" i="120" s="1"/>
  <c r="AH21" i="120"/>
  <c r="AH32" i="120"/>
  <c r="AH35" i="120" s="1"/>
  <c r="Z21" i="120"/>
  <c r="Z32" i="120"/>
  <c r="Z35" i="120" s="1"/>
  <c r="AD32" i="120"/>
  <c r="AD35" i="120" s="1"/>
  <c r="AD21" i="120"/>
  <c r="BD8" i="120"/>
  <c r="BD11" i="120" s="1"/>
  <c r="AZ21" i="120"/>
  <c r="AZ32" i="120"/>
  <c r="AZ35" i="120" s="1"/>
  <c r="Q32" i="120"/>
  <c r="Q35" i="120" s="1"/>
  <c r="Q21" i="120"/>
  <c r="AD8" i="120"/>
  <c r="AD11" i="120" s="1"/>
  <c r="U21" i="120"/>
  <c r="U32" i="120"/>
  <c r="U35" i="120" s="1"/>
  <c r="Q8" i="120"/>
  <c r="Q11" i="120" s="1"/>
  <c r="BA8" i="120"/>
  <c r="BA11" i="120" s="1"/>
  <c r="AT32" i="120"/>
  <c r="AT35" i="120" s="1"/>
  <c r="AT21" i="120"/>
  <c r="R32" i="120"/>
  <c r="R35" i="120" s="1"/>
  <c r="R21" i="120"/>
  <c r="AX32" i="120"/>
  <c r="AX35" i="120" s="1"/>
  <c r="AX21" i="120"/>
  <c r="H8" i="120"/>
  <c r="H11" i="120" s="1"/>
  <c r="J21" i="120"/>
  <c r="J32" i="120"/>
  <c r="J35" i="120" s="1"/>
  <c r="Z8" i="120"/>
  <c r="Z11" i="120" s="1"/>
  <c r="G8" i="120"/>
  <c r="G11" i="120" s="1"/>
  <c r="L8" i="120"/>
  <c r="L11" i="120" s="1"/>
  <c r="AM8" i="120"/>
  <c r="AM11" i="120" s="1"/>
  <c r="AA21" i="120"/>
  <c r="AA32" i="120"/>
  <c r="AA35" i="120" s="1"/>
  <c r="AX8" i="120"/>
  <c r="AX11" i="120" s="1"/>
  <c r="S8" i="120"/>
  <c r="S11" i="120" s="1"/>
  <c r="K8" i="120"/>
  <c r="K11" i="120" s="1"/>
  <c r="AV8" i="120"/>
  <c r="AV11" i="120" s="1"/>
  <c r="AO21" i="120"/>
  <c r="AO32" i="120"/>
  <c r="AO35" i="120" s="1"/>
  <c r="G21" i="120"/>
  <c r="G32" i="120"/>
  <c r="G35" i="120" s="1"/>
  <c r="AH8" i="120"/>
  <c r="AH11" i="120" s="1"/>
  <c r="AL8" i="120"/>
  <c r="AL11" i="120" s="1"/>
  <c r="J8" i="120"/>
  <c r="J11" i="120" s="1"/>
  <c r="BB8" i="120"/>
  <c r="BB11" i="120" s="1"/>
  <c r="M21" i="120"/>
  <c r="M32" i="120"/>
  <c r="M35" i="120" s="1"/>
  <c r="BD21" i="120"/>
  <c r="BD32" i="120"/>
  <c r="BD35" i="120" s="1"/>
  <c r="AJ8" i="120"/>
  <c r="AJ11" i="120" s="1"/>
  <c r="AQ21" i="120"/>
  <c r="AQ32" i="120"/>
  <c r="AQ35" i="120" s="1"/>
  <c r="S18" i="120"/>
  <c r="AZ8" i="120"/>
  <c r="AZ11" i="120" s="1"/>
  <c r="AJ21" i="120"/>
  <c r="AJ32" i="120"/>
  <c r="AJ35" i="120" s="1"/>
  <c r="W21" i="120"/>
  <c r="S13" i="120"/>
  <c r="S16" i="120" s="1"/>
  <c r="H21" i="120"/>
  <c r="H32" i="120"/>
  <c r="H35" i="120" s="1"/>
  <c r="C21" i="120"/>
  <c r="C32" i="120"/>
  <c r="C35" i="120" s="1"/>
  <c r="AF8" i="120"/>
  <c r="AF11" i="120" s="1"/>
  <c r="E8" i="120"/>
  <c r="E11" i="120" s="1"/>
  <c r="L21" i="120"/>
  <c r="L32" i="120"/>
  <c r="L35" i="120" s="1"/>
  <c r="AW21" i="120"/>
  <c r="AW32" i="120"/>
  <c r="AW35" i="120" s="1"/>
  <c r="AW8" i="120"/>
  <c r="AW11" i="120" s="1"/>
  <c r="P35" i="79" l="1"/>
  <c r="P49" i="79"/>
  <c r="P3" i="79"/>
  <c r="P33" i="79"/>
  <c r="G110" i="111"/>
  <c r="P37" i="79"/>
  <c r="G76" i="111"/>
  <c r="AI76" i="111"/>
  <c r="V76" i="111"/>
  <c r="AB76" i="111"/>
  <c r="AW110" i="111"/>
  <c r="AK110" i="111"/>
  <c r="P26" i="79"/>
  <c r="P28" i="79"/>
  <c r="AG110" i="111"/>
  <c r="Z110" i="111"/>
  <c r="P13" i="79"/>
  <c r="P16" i="79"/>
  <c r="P18" i="79"/>
  <c r="BD76" i="111"/>
  <c r="AS76" i="111"/>
  <c r="AH110" i="111"/>
  <c r="Q58" i="79"/>
  <c r="AU76" i="111"/>
  <c r="AL76" i="111"/>
  <c r="AY76" i="111"/>
  <c r="BD110" i="111"/>
  <c r="AS110" i="111"/>
  <c r="AH76" i="111"/>
  <c r="BF43" i="111"/>
  <c r="BF102" i="111" s="1"/>
  <c r="BF109" i="111"/>
  <c r="BF42" i="111"/>
  <c r="BF101" i="111" s="1"/>
  <c r="BF48" i="111"/>
  <c r="BF107" i="111" s="1"/>
  <c r="BF40" i="111"/>
  <c r="BF99" i="111" s="1"/>
  <c r="BF41" i="111"/>
  <c r="BF100" i="111" s="1"/>
  <c r="BF45" i="111"/>
  <c r="BF104" i="111" s="1"/>
  <c r="BF37" i="111"/>
  <c r="BF46" i="111"/>
  <c r="BF105" i="111" s="1"/>
  <c r="BF47" i="111"/>
  <c r="BF106" i="111" s="1"/>
  <c r="BF39" i="111"/>
  <c r="BF38" i="111"/>
  <c r="T45" i="111"/>
  <c r="T104" i="111" s="1"/>
  <c r="W573" i="64"/>
  <c r="W588" i="64" s="1"/>
  <c r="R31" i="105" s="1"/>
  <c r="AR568" i="64"/>
  <c r="AZ570" i="64"/>
  <c r="AS577" i="64"/>
  <c r="AS588" i="64" s="1"/>
  <c r="R47" i="105" s="1"/>
  <c r="H47" i="105" s="1"/>
  <c r="AY567" i="64"/>
  <c r="T569" i="64"/>
  <c r="T568" i="64"/>
  <c r="T570" i="64"/>
  <c r="D571" i="64"/>
  <c r="D573" i="64"/>
  <c r="D570" i="64"/>
  <c r="D572" i="64"/>
  <c r="P17" i="79"/>
  <c r="P32" i="79"/>
  <c r="P9" i="79"/>
  <c r="H110" i="111"/>
  <c r="C76" i="111"/>
  <c r="T110" i="111"/>
  <c r="AU110" i="111"/>
  <c r="L76" i="111"/>
  <c r="I110" i="111"/>
  <c r="C24" i="117"/>
  <c r="C77" i="117" s="1"/>
  <c r="AM76" i="111"/>
  <c r="Q76" i="111"/>
  <c r="AY588" i="64"/>
  <c r="R10" i="105" s="1"/>
  <c r="H10" i="105" s="1"/>
  <c r="O110" i="111"/>
  <c r="AF76" i="111"/>
  <c r="P22" i="79"/>
  <c r="P19" i="79"/>
  <c r="P25" i="79"/>
  <c r="AA76" i="111"/>
  <c r="X110" i="111"/>
  <c r="AT110" i="111"/>
  <c r="U76" i="111"/>
  <c r="AN110" i="111"/>
  <c r="K76" i="111"/>
  <c r="P41" i="79"/>
  <c r="BA76" i="111"/>
  <c r="T46" i="111"/>
  <c r="T105" i="111" s="1"/>
  <c r="S110" i="111"/>
  <c r="AT76" i="111"/>
  <c r="P21" i="79"/>
  <c r="T39" i="111"/>
  <c r="T98" i="111" s="1"/>
  <c r="BC76" i="111"/>
  <c r="P11" i="79"/>
  <c r="AO76" i="111"/>
  <c r="P29" i="79"/>
  <c r="P53" i="79"/>
  <c r="T43" i="111"/>
  <c r="T102" i="111" s="1"/>
  <c r="T38" i="111"/>
  <c r="T41" i="111"/>
  <c r="T100" i="111" s="1"/>
  <c r="AX20" i="111"/>
  <c r="AX43" i="111" s="1"/>
  <c r="AX102" i="111" s="1"/>
  <c r="BB20" i="111"/>
  <c r="BB37" i="111" s="1"/>
  <c r="AJ20" i="111"/>
  <c r="AJ40" i="111" s="1"/>
  <c r="AJ99" i="111" s="1"/>
  <c r="Q20" i="111"/>
  <c r="Q41" i="111" s="1"/>
  <c r="Q100" i="111" s="1"/>
  <c r="AU20" i="111"/>
  <c r="AU42" i="111" s="1"/>
  <c r="AU101" i="111" s="1"/>
  <c r="AF20" i="111"/>
  <c r="AF109" i="111" s="1"/>
  <c r="V20" i="111"/>
  <c r="V43" i="111" s="1"/>
  <c r="V102" i="111" s="1"/>
  <c r="AY20" i="111"/>
  <c r="AY38" i="111" s="1"/>
  <c r="J20" i="111"/>
  <c r="J40" i="111" s="1"/>
  <c r="J99" i="111" s="1"/>
  <c r="AB20" i="111"/>
  <c r="AB37" i="111" s="1"/>
  <c r="AW20" i="111"/>
  <c r="AW37" i="111" s="1"/>
  <c r="G20" i="111"/>
  <c r="G37" i="111" s="1"/>
  <c r="AI20" i="111"/>
  <c r="AI37" i="111" s="1"/>
  <c r="O20" i="111"/>
  <c r="O45" i="111" s="1"/>
  <c r="O104" i="111" s="1"/>
  <c r="L20" i="111"/>
  <c r="L37" i="111" s="1"/>
  <c r="AA20" i="111"/>
  <c r="AA46" i="111" s="1"/>
  <c r="AA105" i="111" s="1"/>
  <c r="AA110" i="111"/>
  <c r="P24" i="79"/>
  <c r="S20" i="111"/>
  <c r="S43" i="111" s="1"/>
  <c r="S102" i="111" s="1"/>
  <c r="D76" i="111"/>
  <c r="D20" i="111"/>
  <c r="D46" i="111" s="1"/>
  <c r="D105" i="111" s="1"/>
  <c r="Y110" i="111"/>
  <c r="Y20" i="111"/>
  <c r="Y43" i="111" s="1"/>
  <c r="Y102" i="111" s="1"/>
  <c r="AN76" i="111"/>
  <c r="P20" i="111"/>
  <c r="P47" i="111" s="1"/>
  <c r="P106" i="111" s="1"/>
  <c r="P55" i="79"/>
  <c r="R20" i="111"/>
  <c r="R43" i="111" s="1"/>
  <c r="R102" i="111" s="1"/>
  <c r="C20" i="111"/>
  <c r="C23" i="117" s="1"/>
  <c r="AS20" i="111"/>
  <c r="AS109" i="111" s="1"/>
  <c r="AH20" i="111"/>
  <c r="AH45" i="111" s="1"/>
  <c r="AH104" i="111" s="1"/>
  <c r="AC76" i="111"/>
  <c r="M20" i="111"/>
  <c r="M42" i="111" s="1"/>
  <c r="M101" i="111" s="1"/>
  <c r="T109" i="111"/>
  <c r="T47" i="111"/>
  <c r="T106" i="111" s="1"/>
  <c r="T40" i="111"/>
  <c r="T99" i="111" s="1"/>
  <c r="T37" i="111"/>
  <c r="AV20" i="111"/>
  <c r="AV48" i="111" s="1"/>
  <c r="AV107" i="111" s="1"/>
  <c r="AP20" i="111"/>
  <c r="AP48" i="111" s="1"/>
  <c r="AP107" i="111" s="1"/>
  <c r="BA20" i="111"/>
  <c r="BA45" i="111" s="1"/>
  <c r="BA104" i="111" s="1"/>
  <c r="AL20" i="111"/>
  <c r="AL47" i="111" s="1"/>
  <c r="AL106" i="111" s="1"/>
  <c r="U20" i="111"/>
  <c r="U41" i="111" s="1"/>
  <c r="U100" i="111" s="1"/>
  <c r="AD20" i="111"/>
  <c r="AD46" i="111" s="1"/>
  <c r="AD105" i="111" s="1"/>
  <c r="BC20" i="111"/>
  <c r="BC48" i="111" s="1"/>
  <c r="BC107" i="111" s="1"/>
  <c r="H20" i="111"/>
  <c r="H41" i="111" s="1"/>
  <c r="H100" i="111" s="1"/>
  <c r="AM20" i="111"/>
  <c r="Q39" i="79" s="1"/>
  <c r="BD20" i="111"/>
  <c r="BD37" i="111" s="1"/>
  <c r="Z20" i="111"/>
  <c r="Z45" i="111" s="1"/>
  <c r="Z104" i="111" s="1"/>
  <c r="BB21" i="111"/>
  <c r="BB76" i="111" s="1"/>
  <c r="T48" i="111"/>
  <c r="T107" i="111" s="1"/>
  <c r="O76" i="111"/>
  <c r="V32" i="120"/>
  <c r="V35" i="120" s="1"/>
  <c r="AP76" i="111"/>
  <c r="P10" i="79"/>
  <c r="P30" i="79"/>
  <c r="P42" i="79"/>
  <c r="J110" i="111"/>
  <c r="AD76" i="111"/>
  <c r="AZ588" i="64"/>
  <c r="R44" i="105" s="1"/>
  <c r="H44" i="105" s="1"/>
  <c r="AN20" i="111"/>
  <c r="AN37" i="111" s="1"/>
  <c r="K20" i="111"/>
  <c r="I20" i="111"/>
  <c r="I43" i="111" s="1"/>
  <c r="I102" i="111" s="1"/>
  <c r="AC20" i="111"/>
  <c r="AC41" i="111" s="1"/>
  <c r="AC100" i="111" s="1"/>
  <c r="AG20" i="111"/>
  <c r="AG40" i="111" s="1"/>
  <c r="AG99" i="111" s="1"/>
  <c r="AK20" i="111"/>
  <c r="AO20" i="111"/>
  <c r="AO109" i="111" s="1"/>
  <c r="X20" i="111"/>
  <c r="D32" i="120"/>
  <c r="D35" i="120" s="1"/>
  <c r="AU8" i="120"/>
  <c r="AU11" i="120" s="1"/>
  <c r="AR21" i="120"/>
  <c r="AR32" i="120"/>
  <c r="AR35" i="120" s="1"/>
  <c r="BC32" i="120"/>
  <c r="BC35" i="120" s="1"/>
  <c r="BC21" i="120"/>
  <c r="F32" i="120"/>
  <c r="F35" i="120" s="1"/>
  <c r="F21" i="120"/>
  <c r="O32" i="120"/>
  <c r="O35" i="120" s="1"/>
  <c r="O21" i="120"/>
  <c r="T8" i="120"/>
  <c r="T11" i="120" s="1"/>
  <c r="D8" i="120"/>
  <c r="D11" i="120" s="1"/>
  <c r="T32" i="120"/>
  <c r="T35" i="120" s="1"/>
  <c r="V8" i="120"/>
  <c r="V11" i="120" s="1"/>
  <c r="U132" i="120"/>
  <c r="AY71" i="120"/>
  <c r="AY90" i="120" s="1"/>
  <c r="AY92" i="120" s="1"/>
  <c r="AY132" i="120" s="1"/>
  <c r="AH71" i="120"/>
  <c r="AH79" i="120" s="1"/>
  <c r="AH80" i="120" s="1"/>
  <c r="AH81" i="120" s="1"/>
  <c r="AB71" i="120"/>
  <c r="AE71" i="120"/>
  <c r="AE90" i="120" s="1"/>
  <c r="AE92" i="120" s="1"/>
  <c r="AE132" i="120" s="1"/>
  <c r="AJ71" i="120"/>
  <c r="AJ79" i="120" s="1"/>
  <c r="AJ80" i="120" s="1"/>
  <c r="AJ81" i="120" s="1"/>
  <c r="BA71" i="120"/>
  <c r="BA90" i="120" s="1"/>
  <c r="BA92" i="120" s="1"/>
  <c r="BA132" i="120" s="1"/>
  <c r="K71" i="120"/>
  <c r="K73" i="120" s="1"/>
  <c r="L114" i="140" s="1"/>
  <c r="T71" i="120"/>
  <c r="T79" i="120" s="1"/>
  <c r="T80" i="120" s="1"/>
  <c r="T81" i="120" s="1"/>
  <c r="X71" i="120"/>
  <c r="X79" i="120" s="1"/>
  <c r="X80" i="120" s="1"/>
  <c r="X81" i="120" s="1"/>
  <c r="D71" i="120"/>
  <c r="D79" i="120" s="1"/>
  <c r="D80" i="120" s="1"/>
  <c r="D81" i="120" s="1"/>
  <c r="AZ71" i="120"/>
  <c r="AZ79" i="120" s="1"/>
  <c r="AZ80" i="120" s="1"/>
  <c r="AZ81" i="120" s="1"/>
  <c r="AZ136" i="120" s="1"/>
  <c r="M71" i="120"/>
  <c r="M73" i="120" s="1"/>
  <c r="N114" i="140" s="1"/>
  <c r="AM71" i="120"/>
  <c r="AM90" i="120" s="1"/>
  <c r="AM92" i="120" s="1"/>
  <c r="AM132" i="120" s="1"/>
  <c r="AX71" i="120"/>
  <c r="AX73" i="120" s="1"/>
  <c r="AY114" i="140" s="1"/>
  <c r="G71" i="120"/>
  <c r="G95" i="120" s="1"/>
  <c r="BE71" i="120"/>
  <c r="BE95" i="120" s="1"/>
  <c r="S71" i="120"/>
  <c r="S90" i="120" s="1"/>
  <c r="S92" i="120" s="1"/>
  <c r="AQ71" i="120"/>
  <c r="AQ79" i="120" s="1"/>
  <c r="AQ80" i="120" s="1"/>
  <c r="AQ81" i="120" s="1"/>
  <c r="BD71" i="120"/>
  <c r="BD73" i="120" s="1"/>
  <c r="BE114" i="140" s="1"/>
  <c r="AN71" i="120"/>
  <c r="AN73" i="120" s="1"/>
  <c r="AO114" i="140" s="1"/>
  <c r="AW71" i="120"/>
  <c r="AW79" i="120" s="1"/>
  <c r="AW80" i="120" s="1"/>
  <c r="AW81" i="120" s="1"/>
  <c r="T613" i="64"/>
  <c r="S55" i="105" s="1"/>
  <c r="I55" i="105" s="1"/>
  <c r="AP71" i="120"/>
  <c r="R71" i="120"/>
  <c r="R95" i="120" s="1"/>
  <c r="O71" i="120"/>
  <c r="O79" i="120" s="1"/>
  <c r="O80" i="120" s="1"/>
  <c r="O81" i="120" s="1"/>
  <c r="AL71" i="120"/>
  <c r="AL79" i="120" s="1"/>
  <c r="AL80" i="120" s="1"/>
  <c r="AL81" i="120" s="1"/>
  <c r="AO71" i="120"/>
  <c r="AO95" i="120" s="1"/>
  <c r="AV71" i="120"/>
  <c r="Y71" i="120"/>
  <c r="Y90" i="120" s="1"/>
  <c r="Y92" i="120" s="1"/>
  <c r="Y132" i="120" s="1"/>
  <c r="AG71" i="120"/>
  <c r="H132" i="120"/>
  <c r="BC71" i="120"/>
  <c r="BC95" i="120" s="1"/>
  <c r="Q71" i="120"/>
  <c r="Q79" i="120" s="1"/>
  <c r="Q80" i="120" s="1"/>
  <c r="Q81" i="120" s="1"/>
  <c r="D613" i="64"/>
  <c r="S7" i="105" s="1"/>
  <c r="I7" i="105" s="1"/>
  <c r="AK71" i="120"/>
  <c r="AK95" i="120" s="1"/>
  <c r="AS71" i="120"/>
  <c r="AS73" i="120" s="1"/>
  <c r="AT114" i="140" s="1"/>
  <c r="Z71" i="120"/>
  <c r="AT71" i="120"/>
  <c r="AT95" i="120" s="1"/>
  <c r="AR588" i="64"/>
  <c r="R13" i="105" s="1"/>
  <c r="H13" i="105" s="1"/>
  <c r="W71" i="120"/>
  <c r="W90" i="120" s="1"/>
  <c r="W92" i="120" s="1"/>
  <c r="I71" i="120"/>
  <c r="I90" i="120" s="1"/>
  <c r="I92" i="120" s="1"/>
  <c r="I132" i="120" s="1"/>
  <c r="L71" i="120"/>
  <c r="L95" i="120" s="1"/>
  <c r="AR71" i="120"/>
  <c r="AR90" i="120" s="1"/>
  <c r="AR92" i="120" s="1"/>
  <c r="F71" i="120"/>
  <c r="F73" i="120" s="1"/>
  <c r="G114" i="140" s="1"/>
  <c r="P71" i="120"/>
  <c r="P79" i="120" s="1"/>
  <c r="P80" i="120" s="1"/>
  <c r="P81" i="120" s="1"/>
  <c r="V71" i="120"/>
  <c r="V90" i="120" s="1"/>
  <c r="V92" i="120" s="1"/>
  <c r="E71" i="120"/>
  <c r="E95" i="120" s="1"/>
  <c r="N71" i="120"/>
  <c r="N73" i="120" s="1"/>
  <c r="O114" i="140" s="1"/>
  <c r="J71" i="120"/>
  <c r="J79" i="120" s="1"/>
  <c r="J80" i="120" s="1"/>
  <c r="J81" i="120" s="1"/>
  <c r="AF71" i="120"/>
  <c r="AF79" i="120" s="1"/>
  <c r="AF80" i="120" s="1"/>
  <c r="AF81" i="120" s="1"/>
  <c r="AI71" i="120"/>
  <c r="AI95" i="120" s="1"/>
  <c r="C71" i="120"/>
  <c r="C95" i="120" s="1"/>
  <c r="AC71" i="120"/>
  <c r="AC90" i="120" s="1"/>
  <c r="AC92" i="120" s="1"/>
  <c r="AC132" i="120" s="1"/>
  <c r="AD71" i="120"/>
  <c r="AD79" i="120" s="1"/>
  <c r="AD80" i="120" s="1"/>
  <c r="AD81" i="120" s="1"/>
  <c r="AA71" i="120"/>
  <c r="AA73" i="120" s="1"/>
  <c r="AB114" i="140" s="1"/>
  <c r="BB71" i="120"/>
  <c r="BB95" i="120" s="1"/>
  <c r="AU71" i="120"/>
  <c r="AU73" i="120" s="1"/>
  <c r="AV114" i="140" s="1"/>
  <c r="S21" i="120"/>
  <c r="S32" i="120"/>
  <c r="S35" i="120" s="1"/>
  <c r="AV109" i="111"/>
  <c r="BB41" i="111"/>
  <c r="BB100" i="111" s="1"/>
  <c r="O47" i="111"/>
  <c r="O106" i="111" s="1"/>
  <c r="AP43" i="111"/>
  <c r="AP102" i="111" s="1"/>
  <c r="AU109" i="111"/>
  <c r="AF47" i="111"/>
  <c r="AF106" i="111" s="1"/>
  <c r="U138" i="120"/>
  <c r="AL38" i="111"/>
  <c r="AY109" i="111"/>
  <c r="Q25" i="79"/>
  <c r="AD40" i="111"/>
  <c r="AD99" i="111" s="1"/>
  <c r="Q28" i="79"/>
  <c r="P38" i="111"/>
  <c r="Q18" i="79"/>
  <c r="H138" i="120"/>
  <c r="I11" i="140" s="1"/>
  <c r="C38" i="111"/>
  <c r="AG109" i="111"/>
  <c r="AS48" i="111"/>
  <c r="AS107" i="111" s="1"/>
  <c r="AH38" i="111"/>
  <c r="M40" i="111"/>
  <c r="M99" i="111" s="1"/>
  <c r="AM73" i="120"/>
  <c r="AN114" i="140" s="1"/>
  <c r="P8" i="120"/>
  <c r="P11" i="120" s="1"/>
  <c r="P32" i="120"/>
  <c r="P35" i="120" s="1"/>
  <c r="P21" i="120"/>
  <c r="S79" i="120" l="1"/>
  <c r="S80" i="120" s="1"/>
  <c r="S81" i="120" s="1"/>
  <c r="M48" i="111"/>
  <c r="M107" i="111" s="1"/>
  <c r="M39" i="111"/>
  <c r="AH46" i="111"/>
  <c r="AH105" i="111" s="1"/>
  <c r="H39" i="111"/>
  <c r="AB42" i="111"/>
  <c r="AB101" i="111" s="1"/>
  <c r="AY39" i="111"/>
  <c r="AL45" i="111"/>
  <c r="AL104" i="111" s="1"/>
  <c r="AF40" i="111"/>
  <c r="AF99" i="111" s="1"/>
  <c r="AP45" i="111"/>
  <c r="AP104" i="111" s="1"/>
  <c r="BB45" i="111"/>
  <c r="BB104" i="111" s="1"/>
  <c r="G40" i="111"/>
  <c r="G99" i="111" s="1"/>
  <c r="BD79" i="120"/>
  <c r="BD80" i="120" s="1"/>
  <c r="BD81" i="120" s="1"/>
  <c r="G73" i="120"/>
  <c r="H114" i="140" s="1"/>
  <c r="M45" i="111"/>
  <c r="M104" i="111" s="1"/>
  <c r="M41" i="111"/>
  <c r="M100" i="111" s="1"/>
  <c r="M46" i="111"/>
  <c r="M105" i="111" s="1"/>
  <c r="M37" i="111"/>
  <c r="AH37" i="111"/>
  <c r="C47" i="111"/>
  <c r="C106" i="111" s="1"/>
  <c r="AB48" i="111"/>
  <c r="AB107" i="111" s="1"/>
  <c r="AD47" i="111"/>
  <c r="AD106" i="111" s="1"/>
  <c r="AD39" i="111"/>
  <c r="AY42" i="111"/>
  <c r="AY101" i="111" s="1"/>
  <c r="AY37" i="111"/>
  <c r="AA38" i="111"/>
  <c r="AF39" i="111"/>
  <c r="O41" i="111"/>
  <c r="O100" i="111" s="1"/>
  <c r="Q39" i="111"/>
  <c r="BB39" i="111"/>
  <c r="G42" i="111"/>
  <c r="G101" i="111" s="1"/>
  <c r="AO45" i="111"/>
  <c r="AO104" i="111" s="1"/>
  <c r="BC43" i="111"/>
  <c r="BC102" i="111" s="1"/>
  <c r="Z46" i="111"/>
  <c r="Z105" i="111" s="1"/>
  <c r="BC37" i="111"/>
  <c r="AW45" i="111"/>
  <c r="AW104" i="111" s="1"/>
  <c r="U40" i="111"/>
  <c r="U99" i="111" s="1"/>
  <c r="Q19" i="79"/>
  <c r="BA73" i="120"/>
  <c r="BB114" i="140" s="1"/>
  <c r="Q33" i="79"/>
  <c r="I46" i="111"/>
  <c r="I105" i="111" s="1"/>
  <c r="AN46" i="111"/>
  <c r="AN105" i="111" s="1"/>
  <c r="AQ90" i="120"/>
  <c r="AQ92" i="120" s="1"/>
  <c r="AQ132" i="120" s="1"/>
  <c r="P95" i="120"/>
  <c r="AO47" i="111"/>
  <c r="AO106" i="111" s="1"/>
  <c r="AO39" i="111"/>
  <c r="AS40" i="111"/>
  <c r="AS99" i="111" s="1"/>
  <c r="AS45" i="111"/>
  <c r="AS104" i="111" s="1"/>
  <c r="AG41" i="111"/>
  <c r="AG100" i="111" s="1"/>
  <c r="AG38" i="111"/>
  <c r="AM37" i="111"/>
  <c r="I38" i="111"/>
  <c r="I40" i="111"/>
  <c r="I99" i="111" s="1"/>
  <c r="R38" i="111"/>
  <c r="R46" i="111"/>
  <c r="R105" i="111" s="1"/>
  <c r="BC45" i="111"/>
  <c r="BC104" i="111" s="1"/>
  <c r="AW46" i="111"/>
  <c r="AW105" i="111" s="1"/>
  <c r="AW42" i="111"/>
  <c r="AW101" i="111" s="1"/>
  <c r="P40" i="111"/>
  <c r="P99" i="111" s="1"/>
  <c r="AN39" i="111"/>
  <c r="U39" i="111"/>
  <c r="D48" i="111"/>
  <c r="D107" i="111" s="1"/>
  <c r="J39" i="111"/>
  <c r="V41" i="111"/>
  <c r="V100" i="111" s="1"/>
  <c r="BA42" i="111"/>
  <c r="BA101" i="111" s="1"/>
  <c r="L109" i="111"/>
  <c r="AU47" i="111"/>
  <c r="AU106" i="111" s="1"/>
  <c r="AJ109" i="111"/>
  <c r="AX38" i="111"/>
  <c r="AG90" i="120"/>
  <c r="AG92" i="120" s="1"/>
  <c r="AG132" i="120" s="1"/>
  <c r="AG73" i="120"/>
  <c r="AH114" i="140" s="1"/>
  <c r="O73" i="120"/>
  <c r="P114" i="140" s="1"/>
  <c r="O95" i="120"/>
  <c r="P45" i="140" s="1"/>
  <c r="AP95" i="120"/>
  <c r="AP73" i="120"/>
  <c r="AQ114" i="140" s="1"/>
  <c r="BD48" i="111"/>
  <c r="BD107" i="111" s="1"/>
  <c r="BD38" i="111"/>
  <c r="BD46" i="111"/>
  <c r="BD105" i="111" s="1"/>
  <c r="H37" i="111"/>
  <c r="H43" i="111"/>
  <c r="H102" i="111" s="1"/>
  <c r="H48" i="111"/>
  <c r="H107" i="111" s="1"/>
  <c r="AL48" i="111"/>
  <c r="AL107" i="111" s="1"/>
  <c r="AL43" i="111"/>
  <c r="AL102" i="111" s="1"/>
  <c r="AL109" i="111"/>
  <c r="AL42" i="111"/>
  <c r="AL101" i="111" s="1"/>
  <c r="AL39" i="111"/>
  <c r="AL40" i="111"/>
  <c r="AL99" i="111" s="1"/>
  <c r="AP40" i="111"/>
  <c r="AP99" i="111" s="1"/>
  <c r="AP41" i="111"/>
  <c r="AP100" i="111" s="1"/>
  <c r="AP37" i="111"/>
  <c r="AP39" i="111"/>
  <c r="AP42" i="111"/>
  <c r="AP101" i="111" s="1"/>
  <c r="AP109" i="111"/>
  <c r="AH42" i="111"/>
  <c r="AH101" i="111" s="1"/>
  <c r="AH48" i="111"/>
  <c r="AH107" i="111" s="1"/>
  <c r="AH47" i="111"/>
  <c r="AH106" i="111" s="1"/>
  <c r="AH40" i="111"/>
  <c r="AH99" i="111" s="1"/>
  <c r="Q34" i="79"/>
  <c r="C46" i="111"/>
  <c r="C105" i="111" s="1"/>
  <c r="C41" i="111"/>
  <c r="C100" i="111" s="1"/>
  <c r="C48" i="111"/>
  <c r="C107" i="111" s="1"/>
  <c r="C39" i="111"/>
  <c r="C40" i="111"/>
  <c r="C99" i="111" s="1"/>
  <c r="C42" i="111"/>
  <c r="C101" i="111" s="1"/>
  <c r="C43" i="111"/>
  <c r="C102" i="111" s="1"/>
  <c r="BD90" i="120"/>
  <c r="BD92" i="120" s="1"/>
  <c r="BD132" i="120" s="1"/>
  <c r="S95" i="120"/>
  <c r="S97" i="120" s="1"/>
  <c r="S134" i="120" s="1"/>
  <c r="G90" i="120"/>
  <c r="G92" i="120" s="1"/>
  <c r="G132" i="120" s="1"/>
  <c r="AM95" i="120"/>
  <c r="M47" i="111"/>
  <c r="M106" i="111" s="1"/>
  <c r="Q13" i="79"/>
  <c r="M43" i="111"/>
  <c r="M102" i="111" s="1"/>
  <c r="M38" i="111"/>
  <c r="M109" i="111"/>
  <c r="AH43" i="111"/>
  <c r="AH102" i="111" s="1"/>
  <c r="AH39" i="111"/>
  <c r="AH109" i="111"/>
  <c r="AH41" i="111"/>
  <c r="AH100" i="111" s="1"/>
  <c r="BD42" i="111"/>
  <c r="BD101" i="111" s="1"/>
  <c r="Q56" i="79"/>
  <c r="C37" i="111"/>
  <c r="C45" i="111"/>
  <c r="C104" i="111" s="1"/>
  <c r="Q3" i="79"/>
  <c r="C109" i="111"/>
  <c r="H38" i="111"/>
  <c r="H47" i="111"/>
  <c r="H106" i="111" s="1"/>
  <c r="AP79" i="120"/>
  <c r="AP80" i="120" s="1"/>
  <c r="AP81" i="120" s="1"/>
  <c r="AP136" i="120" s="1"/>
  <c r="AB40" i="111"/>
  <c r="AB99" i="111" s="1"/>
  <c r="AB41" i="111"/>
  <c r="AB100" i="111" s="1"/>
  <c r="AD38" i="111"/>
  <c r="Q30" i="79"/>
  <c r="AD45" i="111"/>
  <c r="AD104" i="111" s="1"/>
  <c r="AY47" i="111"/>
  <c r="AY106" i="111" s="1"/>
  <c r="AY48" i="111"/>
  <c r="AY107" i="111" s="1"/>
  <c r="AA47" i="111"/>
  <c r="AA106" i="111" s="1"/>
  <c r="AL41" i="111"/>
  <c r="AL100" i="111" s="1"/>
  <c r="AL37" i="111"/>
  <c r="AL46" i="111"/>
  <c r="AL105" i="111" s="1"/>
  <c r="Q38" i="79"/>
  <c r="AF41" i="111"/>
  <c r="AF100" i="111" s="1"/>
  <c r="AF48" i="111"/>
  <c r="AF107" i="111" s="1"/>
  <c r="AP47" i="111"/>
  <c r="AP106" i="111" s="1"/>
  <c r="AP38" i="111"/>
  <c r="Q42" i="79"/>
  <c r="AP46" i="111"/>
  <c r="AP105" i="111" s="1"/>
  <c r="Q48" i="111"/>
  <c r="Q107" i="111" s="1"/>
  <c r="BB46" i="111"/>
  <c r="BB105" i="111" s="1"/>
  <c r="BB42" i="111"/>
  <c r="BB101" i="111" s="1"/>
  <c r="AZ90" i="120"/>
  <c r="AZ92" i="120" s="1"/>
  <c r="AZ132" i="120" s="1"/>
  <c r="AZ73" i="120"/>
  <c r="BA114" i="140" s="1"/>
  <c r="X73" i="120"/>
  <c r="Y114" i="140" s="1"/>
  <c r="X90" i="120"/>
  <c r="X92" i="120" s="1"/>
  <c r="X132" i="120" s="1"/>
  <c r="K90" i="120"/>
  <c r="K92" i="120" s="1"/>
  <c r="K132" i="120" s="1"/>
  <c r="K95" i="120"/>
  <c r="AB95" i="120"/>
  <c r="AB97" i="120" s="1"/>
  <c r="AB134" i="120" s="1"/>
  <c r="AB90" i="120"/>
  <c r="AB92" i="120" s="1"/>
  <c r="AB132" i="120" s="1"/>
  <c r="BB110" i="111"/>
  <c r="P54" i="79"/>
  <c r="AD42" i="111"/>
  <c r="AD101" i="111" s="1"/>
  <c r="AD41" i="111"/>
  <c r="AD100" i="111" s="1"/>
  <c r="AD48" i="111"/>
  <c r="AD107" i="111" s="1"/>
  <c r="AD43" i="111"/>
  <c r="AD102" i="111" s="1"/>
  <c r="AD109" i="111"/>
  <c r="AD37" i="111"/>
  <c r="AA45" i="111"/>
  <c r="AA104" i="111" s="1"/>
  <c r="AA109" i="111"/>
  <c r="AA39" i="111"/>
  <c r="O42" i="111"/>
  <c r="O101" i="111" s="1"/>
  <c r="O40" i="111"/>
  <c r="O99" i="111" s="1"/>
  <c r="O43" i="111"/>
  <c r="O102" i="111" s="1"/>
  <c r="G109" i="111"/>
  <c r="Q7" i="79"/>
  <c r="G46" i="111"/>
  <c r="G105" i="111" s="1"/>
  <c r="G41" i="111"/>
  <c r="G100" i="111" s="1"/>
  <c r="AB47" i="111"/>
  <c r="AB106" i="111" s="1"/>
  <c r="AB45" i="111"/>
  <c r="AB104" i="111" s="1"/>
  <c r="AB39" i="111"/>
  <c r="AB109" i="111"/>
  <c r="AB46" i="111"/>
  <c r="AB105" i="111" s="1"/>
  <c r="AB38" i="111"/>
  <c r="AB43" i="111"/>
  <c r="AB102" i="111" s="1"/>
  <c r="AY46" i="111"/>
  <c r="AY105" i="111" s="1"/>
  <c r="Q51" i="79"/>
  <c r="AY45" i="111"/>
  <c r="AY104" i="111" s="1"/>
  <c r="AY40" i="111"/>
  <c r="AY99" i="111" s="1"/>
  <c r="AY41" i="111"/>
  <c r="AY100" i="111" s="1"/>
  <c r="AY43" i="111"/>
  <c r="AY102" i="111" s="1"/>
  <c r="AF45" i="111"/>
  <c r="AF104" i="111" s="1"/>
  <c r="Q32" i="79"/>
  <c r="AF46" i="111"/>
  <c r="AF105" i="111" s="1"/>
  <c r="AF43" i="111"/>
  <c r="AF102" i="111" s="1"/>
  <c r="AF37" i="111"/>
  <c r="AF38" i="111"/>
  <c r="AF42" i="111"/>
  <c r="AF101" i="111" s="1"/>
  <c r="Q46" i="111"/>
  <c r="Q105" i="111" s="1"/>
  <c r="Q42" i="111"/>
  <c r="Q101" i="111" s="1"/>
  <c r="Q43" i="111"/>
  <c r="Q102" i="111" s="1"/>
  <c r="Q17" i="79"/>
  <c r="BB48" i="111"/>
  <c r="BB107" i="111" s="1"/>
  <c r="BB43" i="111"/>
  <c r="BB102" i="111" s="1"/>
  <c r="BB109" i="111"/>
  <c r="BB38" i="111"/>
  <c r="BB47" i="111"/>
  <c r="BB106" i="111" s="1"/>
  <c r="BB40" i="111"/>
  <c r="BB99" i="111" s="1"/>
  <c r="Q54" i="79"/>
  <c r="AA79" i="120"/>
  <c r="AA80" i="120" s="1"/>
  <c r="AA81" i="120" s="1"/>
  <c r="J95" i="120"/>
  <c r="Q41" i="79"/>
  <c r="AO42" i="111"/>
  <c r="AO101" i="111" s="1"/>
  <c r="AO38" i="111"/>
  <c r="Z40" i="111"/>
  <c r="Z99" i="111" s="1"/>
  <c r="AS42" i="111"/>
  <c r="AS101" i="111" s="1"/>
  <c r="AS37" i="111"/>
  <c r="AG47" i="111"/>
  <c r="AG106" i="111" s="1"/>
  <c r="AG39" i="111"/>
  <c r="AM42" i="111"/>
  <c r="AM101" i="111" s="1"/>
  <c r="I42" i="111"/>
  <c r="I101" i="111" s="1"/>
  <c r="I47" i="111"/>
  <c r="I106" i="111" s="1"/>
  <c r="R37" i="111"/>
  <c r="R40" i="111"/>
  <c r="R99" i="111" s="1"/>
  <c r="Q55" i="79"/>
  <c r="BC39" i="111"/>
  <c r="AW38" i="111"/>
  <c r="AW39" i="111"/>
  <c r="AW40" i="111"/>
  <c r="AW99" i="111" s="1"/>
  <c r="P41" i="111"/>
  <c r="P100" i="111" s="1"/>
  <c r="AN40" i="111"/>
  <c r="AN99" i="111" s="1"/>
  <c r="D47" i="111"/>
  <c r="D106" i="111" s="1"/>
  <c r="J37" i="111"/>
  <c r="V37" i="111"/>
  <c r="BA40" i="111"/>
  <c r="BA99" i="111" s="1"/>
  <c r="AX42" i="111"/>
  <c r="AX101" i="111" s="1"/>
  <c r="AV37" i="111"/>
  <c r="AU90" i="120"/>
  <c r="AU92" i="120" s="1"/>
  <c r="AU132" i="120" s="1"/>
  <c r="AC79" i="120"/>
  <c r="AC80" i="120" s="1"/>
  <c r="AC81" i="120" s="1"/>
  <c r="AC136" i="120" s="1"/>
  <c r="AI73" i="120"/>
  <c r="AJ114" i="140" s="1"/>
  <c r="E79" i="120"/>
  <c r="E80" i="120" s="1"/>
  <c r="E81" i="120" s="1"/>
  <c r="E136" i="120" s="1"/>
  <c r="Z48" i="111"/>
  <c r="Z107" i="111" s="1"/>
  <c r="Z109" i="111"/>
  <c r="Z47" i="111"/>
  <c r="Z106" i="111" s="1"/>
  <c r="Q26" i="79"/>
  <c r="AM41" i="111"/>
  <c r="AM100" i="111" s="1"/>
  <c r="AM48" i="111"/>
  <c r="AM107" i="111" s="1"/>
  <c r="AM38" i="111"/>
  <c r="AR95" i="120"/>
  <c r="AR97" i="120" s="1"/>
  <c r="AR134" i="120" s="1"/>
  <c r="K42" i="111"/>
  <c r="K101" i="111" s="1"/>
  <c r="I95" i="120"/>
  <c r="J74" i="140" s="1"/>
  <c r="U37" i="111"/>
  <c r="U43" i="111"/>
  <c r="U102" i="111" s="1"/>
  <c r="Q21" i="79"/>
  <c r="U42" i="111"/>
  <c r="U101" i="111" s="1"/>
  <c r="U46" i="111"/>
  <c r="U105" i="111" s="1"/>
  <c r="U47" i="111"/>
  <c r="U106" i="111" s="1"/>
  <c r="Y40" i="111"/>
  <c r="Y99" i="111" s="1"/>
  <c r="Y39" i="111"/>
  <c r="Y109" i="111"/>
  <c r="D39" i="111"/>
  <c r="D38" i="111"/>
  <c r="D40" i="111"/>
  <c r="D99" i="111" s="1"/>
  <c r="D42" i="111"/>
  <c r="D101" i="111" s="1"/>
  <c r="D45" i="111"/>
  <c r="D104" i="111" s="1"/>
  <c r="D109" i="111"/>
  <c r="L38" i="111"/>
  <c r="L42" i="111"/>
  <c r="L101" i="111" s="1"/>
  <c r="L39" i="111"/>
  <c r="L43" i="111"/>
  <c r="L102" i="111" s="1"/>
  <c r="J46" i="111"/>
  <c r="J105" i="111" s="1"/>
  <c r="Q10" i="79"/>
  <c r="J42" i="111"/>
  <c r="J101" i="111" s="1"/>
  <c r="J109" i="111"/>
  <c r="J41" i="111"/>
  <c r="J100" i="111" s="1"/>
  <c r="J48" i="111"/>
  <c r="J107" i="111" s="1"/>
  <c r="J45" i="111"/>
  <c r="J104" i="111" s="1"/>
  <c r="AJ47" i="111"/>
  <c r="AJ106" i="111" s="1"/>
  <c r="AJ38" i="111"/>
  <c r="Q36" i="79"/>
  <c r="AJ39" i="111"/>
  <c r="AJ46" i="111"/>
  <c r="AJ105" i="111" s="1"/>
  <c r="AX39" i="111"/>
  <c r="AX45" i="111"/>
  <c r="AX104" i="111" s="1"/>
  <c r="AX41" i="111"/>
  <c r="AX100" i="111" s="1"/>
  <c r="AX109" i="111"/>
  <c r="AX47" i="111"/>
  <c r="AX106" i="111" s="1"/>
  <c r="AX40" i="111"/>
  <c r="AX99" i="111" s="1"/>
  <c r="AX48" i="111"/>
  <c r="AX107" i="111" s="1"/>
  <c r="T97" i="111"/>
  <c r="T86" i="111"/>
  <c r="Z79" i="120"/>
  <c r="Z80" i="120" s="1"/>
  <c r="Z81" i="120" s="1"/>
  <c r="Z73" i="120"/>
  <c r="AA114" i="140" s="1"/>
  <c r="BA43" i="111"/>
  <c r="BA102" i="111" s="1"/>
  <c r="Q53" i="79"/>
  <c r="BA48" i="111"/>
  <c r="BA107" i="111" s="1"/>
  <c r="BA37" i="111"/>
  <c r="BA109" i="111"/>
  <c r="BA47" i="111"/>
  <c r="BA106" i="111" s="1"/>
  <c r="AV41" i="111"/>
  <c r="AV100" i="111" s="1"/>
  <c r="AV40" i="111"/>
  <c r="AV99" i="111" s="1"/>
  <c r="AV43" i="111"/>
  <c r="AV102" i="111" s="1"/>
  <c r="AV45" i="111"/>
  <c r="AV104" i="111" s="1"/>
  <c r="AV38" i="111"/>
  <c r="AV46" i="111"/>
  <c r="AV105" i="111" s="1"/>
  <c r="AV39" i="111"/>
  <c r="P43" i="111"/>
  <c r="P102" i="111" s="1"/>
  <c r="Q16" i="79"/>
  <c r="P37" i="111"/>
  <c r="P46" i="111"/>
  <c r="P105" i="111" s="1"/>
  <c r="P45" i="111"/>
  <c r="P104" i="111" s="1"/>
  <c r="P109" i="111"/>
  <c r="S37" i="111"/>
  <c r="S38" i="111"/>
  <c r="S46" i="111"/>
  <c r="S105" i="111" s="1"/>
  <c r="AI40" i="111"/>
  <c r="AI99" i="111" s="1"/>
  <c r="AI39" i="111"/>
  <c r="AI41" i="111"/>
  <c r="AI100" i="111" s="1"/>
  <c r="V47" i="111"/>
  <c r="V106" i="111" s="1"/>
  <c r="V46" i="111"/>
  <c r="V105" i="111" s="1"/>
  <c r="V48" i="111"/>
  <c r="V107" i="111" s="1"/>
  <c r="V42" i="111"/>
  <c r="V101" i="111" s="1"/>
  <c r="V39" i="111"/>
  <c r="V40" i="111"/>
  <c r="V99" i="111" s="1"/>
  <c r="V38" i="111"/>
  <c r="AU40" i="111"/>
  <c r="AU99" i="111" s="1"/>
  <c r="AU45" i="111"/>
  <c r="AU104" i="111" s="1"/>
  <c r="Q47" i="79"/>
  <c r="AU46" i="111"/>
  <c r="AU105" i="111" s="1"/>
  <c r="AU37" i="111"/>
  <c r="AU48" i="111"/>
  <c r="AU107" i="111" s="1"/>
  <c r="AU43" i="111"/>
  <c r="AU102" i="111" s="1"/>
  <c r="AU95" i="120"/>
  <c r="AU97" i="120" s="1"/>
  <c r="AU134" i="120" s="1"/>
  <c r="AA95" i="120"/>
  <c r="AC73" i="120"/>
  <c r="AD114" i="140" s="1"/>
  <c r="AI79" i="120"/>
  <c r="AI80" i="120" s="1"/>
  <c r="AI81" i="120" s="1"/>
  <c r="J90" i="120"/>
  <c r="J92" i="120" s="1"/>
  <c r="J132" i="120" s="1"/>
  <c r="E90" i="120"/>
  <c r="E92" i="120" s="1"/>
  <c r="E132" i="120" s="1"/>
  <c r="P73" i="120"/>
  <c r="Q114" i="140" s="1"/>
  <c r="Z43" i="111"/>
  <c r="Z102" i="111" s="1"/>
  <c r="Z39" i="111"/>
  <c r="Z37" i="111"/>
  <c r="Z38" i="111"/>
  <c r="Z42" i="111"/>
  <c r="Z101" i="111" s="1"/>
  <c r="Z41" i="111"/>
  <c r="Z100" i="111" s="1"/>
  <c r="AS46" i="111"/>
  <c r="AS105" i="111" s="1"/>
  <c r="AS47" i="111"/>
  <c r="AS106" i="111" s="1"/>
  <c r="AS39" i="111"/>
  <c r="Q45" i="79"/>
  <c r="AS43" i="111"/>
  <c r="AS102" i="111" s="1"/>
  <c r="AS41" i="111"/>
  <c r="AS100" i="111" s="1"/>
  <c r="AS38" i="111"/>
  <c r="AM45" i="111"/>
  <c r="AM104" i="111" s="1"/>
  <c r="AM40" i="111"/>
  <c r="AM99" i="111" s="1"/>
  <c r="AM47" i="111"/>
  <c r="AM106" i="111" s="1"/>
  <c r="AM109" i="111"/>
  <c r="AM43" i="111"/>
  <c r="AM102" i="111" s="1"/>
  <c r="AM39" i="111"/>
  <c r="AM46" i="111"/>
  <c r="AM105" i="111" s="1"/>
  <c r="AR73" i="120"/>
  <c r="AS114" i="140" s="1"/>
  <c r="I73" i="120"/>
  <c r="J114" i="140" s="1"/>
  <c r="R45" i="111"/>
  <c r="R104" i="111" s="1"/>
  <c r="R39" i="111"/>
  <c r="R42" i="111"/>
  <c r="R101" i="111" s="1"/>
  <c r="R41" i="111"/>
  <c r="R100" i="111" s="1"/>
  <c r="R47" i="111"/>
  <c r="R106" i="111" s="1"/>
  <c r="R48" i="111"/>
  <c r="R107" i="111" s="1"/>
  <c r="R109" i="111"/>
  <c r="BC41" i="111"/>
  <c r="BC100" i="111" s="1"/>
  <c r="BC40" i="111"/>
  <c r="BC99" i="111" s="1"/>
  <c r="BC46" i="111"/>
  <c r="BC105" i="111" s="1"/>
  <c r="BC109" i="111"/>
  <c r="BC47" i="111"/>
  <c r="BC106" i="111" s="1"/>
  <c r="BC42" i="111"/>
  <c r="BC101" i="111" s="1"/>
  <c r="BC38" i="111"/>
  <c r="AW41" i="111"/>
  <c r="AW100" i="111" s="1"/>
  <c r="AW109" i="111"/>
  <c r="AW43" i="111"/>
  <c r="AW102" i="111" s="1"/>
  <c r="AW47" i="111"/>
  <c r="AW106" i="111" s="1"/>
  <c r="AW48" i="111"/>
  <c r="AW107" i="111" s="1"/>
  <c r="Q49" i="79"/>
  <c r="P39" i="111"/>
  <c r="P42" i="111"/>
  <c r="P101" i="111" s="1"/>
  <c r="P48" i="111"/>
  <c r="P107" i="111" s="1"/>
  <c r="U48" i="111"/>
  <c r="U107" i="111" s="1"/>
  <c r="U38" i="111"/>
  <c r="U45" i="111"/>
  <c r="U104" i="111" s="1"/>
  <c r="U109" i="111"/>
  <c r="Y48" i="111"/>
  <c r="Y107" i="111" s="1"/>
  <c r="D37" i="111"/>
  <c r="D43" i="111"/>
  <c r="D102" i="111" s="1"/>
  <c r="D41" i="111"/>
  <c r="D100" i="111" s="1"/>
  <c r="S45" i="111"/>
  <c r="S104" i="111" s="1"/>
  <c r="S39" i="111"/>
  <c r="J47" i="111"/>
  <c r="J106" i="111" s="1"/>
  <c r="J43" i="111"/>
  <c r="J102" i="111" s="1"/>
  <c r="J38" i="111"/>
  <c r="V109" i="111"/>
  <c r="V45" i="111"/>
  <c r="V104" i="111" s="1"/>
  <c r="Q22" i="79"/>
  <c r="BA38" i="111"/>
  <c r="BA41" i="111"/>
  <c r="BA100" i="111" s="1"/>
  <c r="BA39" i="111"/>
  <c r="BA46" i="111"/>
  <c r="BA105" i="111" s="1"/>
  <c r="L47" i="111"/>
  <c r="L106" i="111" s="1"/>
  <c r="AU41" i="111"/>
  <c r="AU100" i="111" s="1"/>
  <c r="AU38" i="111"/>
  <c r="AU39" i="111"/>
  <c r="AJ42" i="111"/>
  <c r="AJ101" i="111" s="1"/>
  <c r="AJ41" i="111"/>
  <c r="AJ100" i="111" s="1"/>
  <c r="AI43" i="111"/>
  <c r="AI102" i="111" s="1"/>
  <c r="AI47" i="111"/>
  <c r="AI106" i="111" s="1"/>
  <c r="Q50" i="79"/>
  <c r="AX46" i="111"/>
  <c r="AX105" i="111" s="1"/>
  <c r="AX37" i="111"/>
  <c r="AV47" i="111"/>
  <c r="AV106" i="111" s="1"/>
  <c r="AV42" i="111"/>
  <c r="AV101" i="111" s="1"/>
  <c r="Q48" i="79"/>
  <c r="AV95" i="120"/>
  <c r="AV97" i="120" s="1"/>
  <c r="AV134" i="120" s="1"/>
  <c r="AV79" i="120"/>
  <c r="AV80" i="120" s="1"/>
  <c r="AV81" i="120" s="1"/>
  <c r="AN45" i="111"/>
  <c r="AN104" i="111" s="1"/>
  <c r="AN43" i="111"/>
  <c r="AN102" i="111" s="1"/>
  <c r="AN41" i="111"/>
  <c r="AN100" i="111" s="1"/>
  <c r="T85" i="111"/>
  <c r="BD39" i="111"/>
  <c r="BD45" i="111"/>
  <c r="BD104" i="111" s="1"/>
  <c r="BD41" i="111"/>
  <c r="BD100" i="111" s="1"/>
  <c r="BD109" i="111"/>
  <c r="BD43" i="111"/>
  <c r="BD102" i="111" s="1"/>
  <c r="BD47" i="111"/>
  <c r="BD106" i="111" s="1"/>
  <c r="BD40" i="111"/>
  <c r="BD99" i="111" s="1"/>
  <c r="H109" i="111"/>
  <c r="H40" i="111"/>
  <c r="H99" i="111" s="1"/>
  <c r="H46" i="111"/>
  <c r="H105" i="111" s="1"/>
  <c r="H45" i="111"/>
  <c r="H104" i="111" s="1"/>
  <c r="Q8" i="79"/>
  <c r="H42" i="111"/>
  <c r="H101" i="111" s="1"/>
  <c r="AK73" i="120"/>
  <c r="AL114" i="140" s="1"/>
  <c r="AW90" i="120"/>
  <c r="AW92" i="120" s="1"/>
  <c r="AW132" i="120" s="1"/>
  <c r="AL95" i="120"/>
  <c r="BC79" i="120"/>
  <c r="BC80" i="120" s="1"/>
  <c r="BC81" i="120" s="1"/>
  <c r="BC136" i="120" s="1"/>
  <c r="Q24" i="79"/>
  <c r="AK45" i="111"/>
  <c r="AK104" i="111" s="1"/>
  <c r="AC45" i="111"/>
  <c r="AC104" i="111" s="1"/>
  <c r="K41" i="111"/>
  <c r="K100" i="111" s="1"/>
  <c r="AA37" i="111"/>
  <c r="Q15" i="79"/>
  <c r="G45" i="111"/>
  <c r="G104" i="111" s="1"/>
  <c r="Q109" i="111"/>
  <c r="BF87" i="111"/>
  <c r="BF98" i="111"/>
  <c r="AO41" i="111"/>
  <c r="AO100" i="111" s="1"/>
  <c r="AG48" i="111"/>
  <c r="AG107" i="111" s="1"/>
  <c r="Q9" i="79"/>
  <c r="AN42" i="111"/>
  <c r="AN101" i="111" s="1"/>
  <c r="Y45" i="111"/>
  <c r="Y104" i="111" s="1"/>
  <c r="S41" i="111"/>
  <c r="S100" i="111" s="1"/>
  <c r="L40" i="111"/>
  <c r="L99" i="111" s="1"/>
  <c r="AI109" i="111"/>
  <c r="AJ48" i="111"/>
  <c r="AJ107" i="111" s="1"/>
  <c r="BF97" i="111"/>
  <c r="BF86" i="111"/>
  <c r="BF85" i="111"/>
  <c r="BF96" i="111"/>
  <c r="H31" i="105"/>
  <c r="Y41" i="111"/>
  <c r="Y100" i="111" s="1"/>
  <c r="Y38" i="111"/>
  <c r="Y37" i="111"/>
  <c r="Y47" i="111"/>
  <c r="Y106" i="111" s="1"/>
  <c r="Y42" i="111"/>
  <c r="Y101" i="111" s="1"/>
  <c r="Y46" i="111"/>
  <c r="Y105" i="111" s="1"/>
  <c r="S40" i="111"/>
  <c r="S99" i="111" s="1"/>
  <c r="S109" i="111"/>
  <c r="S42" i="111"/>
  <c r="S101" i="111" s="1"/>
  <c r="S47" i="111"/>
  <c r="S106" i="111" s="1"/>
  <c r="S48" i="111"/>
  <c r="S107" i="111" s="1"/>
  <c r="AA42" i="111"/>
  <c r="AA101" i="111" s="1"/>
  <c r="AA41" i="111"/>
  <c r="AA100" i="111" s="1"/>
  <c r="AA40" i="111"/>
  <c r="AA99" i="111" s="1"/>
  <c r="AA43" i="111"/>
  <c r="AA102" i="111" s="1"/>
  <c r="Q27" i="79"/>
  <c r="AA48" i="111"/>
  <c r="AA107" i="111" s="1"/>
  <c r="L41" i="111"/>
  <c r="L100" i="111" s="1"/>
  <c r="L46" i="111"/>
  <c r="L105" i="111" s="1"/>
  <c r="L45" i="111"/>
  <c r="L104" i="111" s="1"/>
  <c r="L48" i="111"/>
  <c r="L107" i="111" s="1"/>
  <c r="Q12" i="79"/>
  <c r="O39" i="111"/>
  <c r="O46" i="111"/>
  <c r="O105" i="111" s="1"/>
  <c r="O109" i="111"/>
  <c r="O37" i="111"/>
  <c r="O48" i="111"/>
  <c r="O107" i="111" s="1"/>
  <c r="O38" i="111"/>
  <c r="Q38" i="111"/>
  <c r="Q47" i="111"/>
  <c r="Q106" i="111" s="1"/>
  <c r="Q37" i="111"/>
  <c r="Q45" i="111"/>
  <c r="Q104" i="111" s="1"/>
  <c r="Q40" i="111"/>
  <c r="Q99" i="111" s="1"/>
  <c r="AJ43" i="111"/>
  <c r="AJ102" i="111" s="1"/>
  <c r="AJ37" i="111"/>
  <c r="AJ45" i="111"/>
  <c r="AJ104" i="111" s="1"/>
  <c r="AI46" i="111"/>
  <c r="AI105" i="111" s="1"/>
  <c r="AI38" i="111"/>
  <c r="AI42" i="111"/>
  <c r="AI101" i="111" s="1"/>
  <c r="AI48" i="111"/>
  <c r="AI107" i="111" s="1"/>
  <c r="AI45" i="111"/>
  <c r="AI104" i="111" s="1"/>
  <c r="Q35" i="79"/>
  <c r="G48" i="111"/>
  <c r="G107" i="111" s="1"/>
  <c r="G39" i="111"/>
  <c r="G38" i="111"/>
  <c r="G47" i="111"/>
  <c r="G106" i="111" s="1"/>
  <c r="G43" i="111"/>
  <c r="G102" i="111" s="1"/>
  <c r="AT20" i="111"/>
  <c r="AQ21" i="111"/>
  <c r="T87" i="111"/>
  <c r="T96" i="111"/>
  <c r="AR21" i="111"/>
  <c r="AR76" i="111" s="1"/>
  <c r="AZ21" i="111"/>
  <c r="P52" i="79" s="1"/>
  <c r="AK40" i="111"/>
  <c r="AK99" i="111" s="1"/>
  <c r="F90" i="120"/>
  <c r="F92" i="120" s="1"/>
  <c r="F132" i="120" s="1"/>
  <c r="AC48" i="111"/>
  <c r="AC107" i="111" s="1"/>
  <c r="AC46" i="111"/>
  <c r="AC105" i="111" s="1"/>
  <c r="AK38" i="111"/>
  <c r="AF95" i="120"/>
  <c r="AF97" i="120" s="1"/>
  <c r="AF134" i="120" s="1"/>
  <c r="AC42" i="111"/>
  <c r="AC101" i="111" s="1"/>
  <c r="AC38" i="111"/>
  <c r="AC43" i="111"/>
  <c r="AC102" i="111" s="1"/>
  <c r="AK43" i="111"/>
  <c r="AK102" i="111" s="1"/>
  <c r="AK109" i="111"/>
  <c r="BB79" i="120"/>
  <c r="BB80" i="120" s="1"/>
  <c r="BB81" i="120" s="1"/>
  <c r="C79" i="120"/>
  <c r="C80" i="120" s="1"/>
  <c r="C81" i="120" s="1"/>
  <c r="C136" i="120" s="1"/>
  <c r="M79" i="120"/>
  <c r="M80" i="120" s="1"/>
  <c r="M81" i="120" s="1"/>
  <c r="M136" i="120" s="1"/>
  <c r="AK37" i="111"/>
  <c r="AK46" i="111"/>
  <c r="AK105" i="111" s="1"/>
  <c r="AK41" i="111"/>
  <c r="AK100" i="111" s="1"/>
  <c r="D73" i="120"/>
  <c r="E114" i="140" s="1"/>
  <c r="K109" i="111"/>
  <c r="AE95" i="120"/>
  <c r="AE97" i="120" s="1"/>
  <c r="AE134" i="120" s="1"/>
  <c r="AD95" i="120"/>
  <c r="AD97" i="120" s="1"/>
  <c r="AD134" i="120" s="1"/>
  <c r="BE79" i="120"/>
  <c r="BE80" i="120" s="1"/>
  <c r="BE81" i="120" s="1"/>
  <c r="BE136" i="120" s="1"/>
  <c r="AX95" i="120"/>
  <c r="AX97" i="120" s="1"/>
  <c r="AX134" i="120" s="1"/>
  <c r="N90" i="120"/>
  <c r="N92" i="120" s="1"/>
  <c r="N132" i="120" s="1"/>
  <c r="V79" i="120"/>
  <c r="V80" i="120" s="1"/>
  <c r="V81" i="120" s="1"/>
  <c r="R73" i="120"/>
  <c r="S114" i="140" s="1"/>
  <c r="T95" i="120"/>
  <c r="T97" i="120" s="1"/>
  <c r="T134" i="120" s="1"/>
  <c r="W95" i="120"/>
  <c r="X62" i="140" s="1"/>
  <c r="Q11" i="79"/>
  <c r="K38" i="111"/>
  <c r="AO73" i="120"/>
  <c r="AP114" i="140" s="1"/>
  <c r="Q73" i="120"/>
  <c r="R114" i="140" s="1"/>
  <c r="BB73" i="120"/>
  <c r="BC114" i="140" s="1"/>
  <c r="AD73" i="120"/>
  <c r="AE114" i="140" s="1"/>
  <c r="AQ95" i="120"/>
  <c r="AR62" i="140" s="1"/>
  <c r="BE73" i="120"/>
  <c r="BF114" i="140" s="1"/>
  <c r="C73" i="120"/>
  <c r="D114" i="140" s="1"/>
  <c r="AX90" i="120"/>
  <c r="AX92" i="120" s="1"/>
  <c r="AX132" i="120" s="1"/>
  <c r="AF90" i="120"/>
  <c r="AF92" i="120" s="1"/>
  <c r="AF132" i="120" s="1"/>
  <c r="N95" i="120"/>
  <c r="O69" i="140" s="1"/>
  <c r="M90" i="120"/>
  <c r="M92" i="120" s="1"/>
  <c r="M132" i="120" s="1"/>
  <c r="V73" i="120"/>
  <c r="W114" i="140" s="1"/>
  <c r="F95" i="120"/>
  <c r="F97" i="120" s="1"/>
  <c r="F134" i="120" s="1"/>
  <c r="AC39" i="111"/>
  <c r="AC109" i="111"/>
  <c r="AC40" i="111"/>
  <c r="AC99" i="111" s="1"/>
  <c r="Q29" i="79"/>
  <c r="AC37" i="111"/>
  <c r="AC47" i="111"/>
  <c r="AC106" i="111" s="1"/>
  <c r="AK48" i="111"/>
  <c r="AK107" i="111" s="1"/>
  <c r="AK47" i="111"/>
  <c r="AK106" i="111" s="1"/>
  <c r="AK39" i="111"/>
  <c r="Q37" i="79"/>
  <c r="AK42" i="111"/>
  <c r="AK101" i="111" s="1"/>
  <c r="R90" i="120"/>
  <c r="R92" i="120" s="1"/>
  <c r="R132" i="120" s="1"/>
  <c r="D90" i="120"/>
  <c r="D92" i="120" s="1"/>
  <c r="D132" i="120" s="1"/>
  <c r="L79" i="120"/>
  <c r="L80" i="120" s="1"/>
  <c r="L81" i="120" s="1"/>
  <c r="L136" i="120" s="1"/>
  <c r="T73" i="120"/>
  <c r="U114" i="140" s="1"/>
  <c r="BA79" i="120"/>
  <c r="BA80" i="120" s="1"/>
  <c r="BA81" i="120" s="1"/>
  <c r="BA136" i="120" s="1"/>
  <c r="K40" i="111"/>
  <c r="K99" i="111" s="1"/>
  <c r="K37" i="111"/>
  <c r="K96" i="111" s="1"/>
  <c r="Y79" i="120"/>
  <c r="Y80" i="120" s="1"/>
  <c r="Y81" i="120" s="1"/>
  <c r="Y136" i="120" s="1"/>
  <c r="AH73" i="120"/>
  <c r="AI114" i="140" s="1"/>
  <c r="K48" i="111"/>
  <c r="K107" i="111" s="1"/>
  <c r="K46" i="111"/>
  <c r="K105" i="111" s="1"/>
  <c r="K43" i="111"/>
  <c r="K102" i="111" s="1"/>
  <c r="K47" i="111"/>
  <c r="K106" i="111" s="1"/>
  <c r="K45" i="111"/>
  <c r="K104" i="111" s="1"/>
  <c r="K39" i="111"/>
  <c r="K98" i="111" s="1"/>
  <c r="AT73" i="120"/>
  <c r="AU114" i="140" s="1"/>
  <c r="AS95" i="120"/>
  <c r="AS97" i="120" s="1"/>
  <c r="AS134" i="120" s="1"/>
  <c r="AE73" i="120"/>
  <c r="AF114" i="140" s="1"/>
  <c r="AN90" i="120"/>
  <c r="AN92" i="120" s="1"/>
  <c r="AN132" i="120" s="1"/>
  <c r="AH95" i="120"/>
  <c r="AH97" i="120" s="1"/>
  <c r="AH134" i="120" s="1"/>
  <c r="P43" i="79"/>
  <c r="AJ90" i="120"/>
  <c r="AJ92" i="120" s="1"/>
  <c r="AJ132" i="120" s="1"/>
  <c r="Z90" i="120"/>
  <c r="Z92" i="120" s="1"/>
  <c r="Z132" i="120" s="1"/>
  <c r="AK90" i="120"/>
  <c r="AK92" i="120" s="1"/>
  <c r="AK132" i="120" s="1"/>
  <c r="AG79" i="120"/>
  <c r="AG80" i="120" s="1"/>
  <c r="AG81" i="120" s="1"/>
  <c r="AG136" i="120" s="1"/>
  <c r="AW95" i="120"/>
  <c r="AV90" i="120"/>
  <c r="AV92" i="120" s="1"/>
  <c r="AV132" i="120" s="1"/>
  <c r="AL90" i="120"/>
  <c r="AL92" i="120" s="1"/>
  <c r="AL132" i="120" s="1"/>
  <c r="BC73" i="120"/>
  <c r="BD114" i="140" s="1"/>
  <c r="AY73" i="120"/>
  <c r="AZ114" i="140" s="1"/>
  <c r="L73" i="120"/>
  <c r="M114" i="140" s="1"/>
  <c r="W79" i="120"/>
  <c r="W80" i="120" s="1"/>
  <c r="W81" i="120" s="1"/>
  <c r="W136" i="120" s="1"/>
  <c r="AT79" i="120"/>
  <c r="AT80" i="120" s="1"/>
  <c r="AT81" i="120" s="1"/>
  <c r="AT136" i="120" s="1"/>
  <c r="AS79" i="120"/>
  <c r="AS80" i="120" s="1"/>
  <c r="AS81" i="120" s="1"/>
  <c r="AS136" i="120" s="1"/>
  <c r="AE79" i="120"/>
  <c r="AE80" i="120" s="1"/>
  <c r="AE81" i="120" s="1"/>
  <c r="AE136" i="120" s="1"/>
  <c r="Y95" i="120"/>
  <c r="Y97" i="120" s="1"/>
  <c r="Y134" i="120" s="1"/>
  <c r="AN79" i="120"/>
  <c r="AN80" i="120" s="1"/>
  <c r="AN81" i="120" s="1"/>
  <c r="AN136" i="120" s="1"/>
  <c r="AO90" i="120"/>
  <c r="AO92" i="120" s="1"/>
  <c r="AO132" i="120" s="1"/>
  <c r="AH90" i="120"/>
  <c r="AH92" i="120" s="1"/>
  <c r="AH132" i="120" s="1"/>
  <c r="AR132" i="120"/>
  <c r="AU79" i="120"/>
  <c r="AU80" i="120" s="1"/>
  <c r="AU81" i="120" s="1"/>
  <c r="AU136" i="120" s="1"/>
  <c r="AA90" i="120"/>
  <c r="AA92" i="120" s="1"/>
  <c r="AA132" i="120" s="1"/>
  <c r="BD95" i="120"/>
  <c r="BD97" i="120" s="1"/>
  <c r="BD134" i="120" s="1"/>
  <c r="AC95" i="120"/>
  <c r="AC97" i="120" s="1"/>
  <c r="AC134" i="120" s="1"/>
  <c r="S73" i="120"/>
  <c r="T114" i="140" s="1"/>
  <c r="AI90" i="120"/>
  <c r="AI92" i="120" s="1"/>
  <c r="AI132" i="120" s="1"/>
  <c r="G79" i="120"/>
  <c r="G80" i="120" s="1"/>
  <c r="G81" i="120" s="1"/>
  <c r="G136" i="120" s="1"/>
  <c r="J73" i="120"/>
  <c r="K114" i="140" s="1"/>
  <c r="AM79" i="120"/>
  <c r="AM80" i="120" s="1"/>
  <c r="AM81" i="120" s="1"/>
  <c r="AM136" i="120" s="1"/>
  <c r="E73" i="120"/>
  <c r="F114" i="140" s="1"/>
  <c r="P90" i="120"/>
  <c r="P92" i="120" s="1"/>
  <c r="P132" i="120" s="1"/>
  <c r="AO46" i="111"/>
  <c r="AO105" i="111" s="1"/>
  <c r="AO40" i="111"/>
  <c r="AO99" i="111" s="1"/>
  <c r="AO48" i="111"/>
  <c r="AO107" i="111" s="1"/>
  <c r="AO37" i="111"/>
  <c r="AO85" i="111" s="1"/>
  <c r="AO43" i="111"/>
  <c r="AO102" i="111" s="1"/>
  <c r="AG43" i="111"/>
  <c r="AG102" i="111" s="1"/>
  <c r="AG37" i="111"/>
  <c r="AG46" i="111"/>
  <c r="AG105" i="111" s="1"/>
  <c r="AG45" i="111"/>
  <c r="AG104" i="111" s="1"/>
  <c r="AG42" i="111"/>
  <c r="AG101" i="111" s="1"/>
  <c r="I37" i="111"/>
  <c r="I45" i="111"/>
  <c r="I104" i="111" s="1"/>
  <c r="I109" i="111"/>
  <c r="I48" i="111"/>
  <c r="I107" i="111" s="1"/>
  <c r="I39" i="111"/>
  <c r="I41" i="111"/>
  <c r="I100" i="111" s="1"/>
  <c r="O90" i="120"/>
  <c r="O92" i="120" s="1"/>
  <c r="O132" i="120" s="1"/>
  <c r="AP90" i="120"/>
  <c r="AP92" i="120" s="1"/>
  <c r="AP132" i="120" s="1"/>
  <c r="AR79" i="120"/>
  <c r="AR80" i="120" s="1"/>
  <c r="AR81" i="120" s="1"/>
  <c r="AR136" i="120" s="1"/>
  <c r="AZ95" i="120"/>
  <c r="BA74" i="140" s="1"/>
  <c r="I79" i="120"/>
  <c r="I80" i="120" s="1"/>
  <c r="I81" i="120" s="1"/>
  <c r="I136" i="120" s="1"/>
  <c r="X95" i="120"/>
  <c r="X97" i="120" s="1"/>
  <c r="X134" i="120" s="1"/>
  <c r="K79" i="120"/>
  <c r="K80" i="120" s="1"/>
  <c r="K81" i="120" s="1"/>
  <c r="K136" i="120" s="1"/>
  <c r="AN48" i="111"/>
  <c r="AN107" i="111" s="1"/>
  <c r="Q40" i="79"/>
  <c r="AN38" i="111"/>
  <c r="AN86" i="111" s="1"/>
  <c r="AN47" i="111"/>
  <c r="AN106" i="111" s="1"/>
  <c r="AN109" i="111"/>
  <c r="AQ110" i="111"/>
  <c r="AJ73" i="120"/>
  <c r="AK114" i="140" s="1"/>
  <c r="Z95" i="120"/>
  <c r="Z97" i="120" s="1"/>
  <c r="Z134" i="120" s="1"/>
  <c r="AK79" i="120"/>
  <c r="AK80" i="120" s="1"/>
  <c r="AK81" i="120" s="1"/>
  <c r="AK136" i="120" s="1"/>
  <c r="AG95" i="120"/>
  <c r="AH44" i="140" s="1"/>
  <c r="AW73" i="120"/>
  <c r="AX114" i="140" s="1"/>
  <c r="AV73" i="120"/>
  <c r="AW114" i="140" s="1"/>
  <c r="AL73" i="120"/>
  <c r="AM114" i="140" s="1"/>
  <c r="AB79" i="120"/>
  <c r="AB80" i="120" s="1"/>
  <c r="AB81" i="120" s="1"/>
  <c r="AB136" i="120" s="1"/>
  <c r="BC90" i="120"/>
  <c r="BC92" i="120" s="1"/>
  <c r="BC132" i="120" s="1"/>
  <c r="AY95" i="120"/>
  <c r="V132" i="120"/>
  <c r="N21" i="111"/>
  <c r="P14" i="79" s="1"/>
  <c r="AE21" i="111"/>
  <c r="P31" i="79" s="1"/>
  <c r="X42" i="111"/>
  <c r="X101" i="111" s="1"/>
  <c r="X40" i="111"/>
  <c r="X99" i="111" s="1"/>
  <c r="X39" i="111"/>
  <c r="X41" i="111"/>
  <c r="X100" i="111" s="1"/>
  <c r="X109" i="111"/>
  <c r="X38" i="111"/>
  <c r="X37" i="111"/>
  <c r="X45" i="111"/>
  <c r="X104" i="111" s="1"/>
  <c r="X43" i="111"/>
  <c r="X102" i="111" s="1"/>
  <c r="X48" i="111"/>
  <c r="X107" i="111" s="1"/>
  <c r="X47" i="111"/>
  <c r="X106" i="111" s="1"/>
  <c r="X46" i="111"/>
  <c r="X105" i="111" s="1"/>
  <c r="Q90" i="120"/>
  <c r="Q92" i="120" s="1"/>
  <c r="Q132" i="120" s="1"/>
  <c r="U140" i="120"/>
  <c r="S132" i="120"/>
  <c r="H142" i="120"/>
  <c r="H146" i="120"/>
  <c r="BB90" i="120"/>
  <c r="BB92" i="120" s="1"/>
  <c r="BB132" i="120" s="1"/>
  <c r="AD90" i="120"/>
  <c r="AD92" i="120" s="1"/>
  <c r="AD132" i="120" s="1"/>
  <c r="AQ73" i="120"/>
  <c r="AR114" i="140" s="1"/>
  <c r="BE90" i="120"/>
  <c r="BE92" i="120" s="1"/>
  <c r="BE132" i="120" s="1"/>
  <c r="C90" i="120"/>
  <c r="C92" i="120" s="1"/>
  <c r="C132" i="120" s="1"/>
  <c r="AX79" i="120"/>
  <c r="AX80" i="120" s="1"/>
  <c r="AX81" i="120" s="1"/>
  <c r="AX136" i="120" s="1"/>
  <c r="AF73" i="120"/>
  <c r="AG114" i="140" s="1"/>
  <c r="N79" i="120"/>
  <c r="N80" i="120" s="1"/>
  <c r="N81" i="120" s="1"/>
  <c r="N136" i="120" s="1"/>
  <c r="M95" i="120"/>
  <c r="N69" i="140" s="1"/>
  <c r="V95" i="120"/>
  <c r="W70" i="140" s="1"/>
  <c r="F79" i="120"/>
  <c r="F80" i="120" s="1"/>
  <c r="F81" i="120" s="1"/>
  <c r="F136" i="120" s="1"/>
  <c r="R79" i="120"/>
  <c r="R80" i="120" s="1"/>
  <c r="R81" i="120" s="1"/>
  <c r="R136" i="120" s="1"/>
  <c r="D95" i="120"/>
  <c r="D97" i="120" s="1"/>
  <c r="D134" i="120" s="1"/>
  <c r="L90" i="120"/>
  <c r="L92" i="120" s="1"/>
  <c r="L132" i="120" s="1"/>
  <c r="T90" i="120"/>
  <c r="T92" i="120" s="1"/>
  <c r="T132" i="120" s="1"/>
  <c r="BA95" i="120"/>
  <c r="W73" i="120"/>
  <c r="X114" i="140" s="1"/>
  <c r="AJ95" i="120"/>
  <c r="AT90" i="120"/>
  <c r="AT92" i="120" s="1"/>
  <c r="AT132" i="120" s="1"/>
  <c r="AS90" i="120"/>
  <c r="AS92" i="120" s="1"/>
  <c r="AS132" i="120" s="1"/>
  <c r="Y73" i="120"/>
  <c r="Z114" i="140" s="1"/>
  <c r="AN95" i="120"/>
  <c r="AO79" i="120"/>
  <c r="AO80" i="120" s="1"/>
  <c r="AO81" i="120" s="1"/>
  <c r="AO136" i="120" s="1"/>
  <c r="Q95" i="120"/>
  <c r="R74" i="140" s="1"/>
  <c r="AB73" i="120"/>
  <c r="AC114" i="140" s="1"/>
  <c r="AY79" i="120"/>
  <c r="AY80" i="120" s="1"/>
  <c r="AY81" i="120" s="1"/>
  <c r="AY136" i="120" s="1"/>
  <c r="H148" i="120"/>
  <c r="F350" i="64" s="1"/>
  <c r="H34" i="111" s="1"/>
  <c r="H93" i="111" s="1"/>
  <c r="AA136" i="120"/>
  <c r="AD136" i="120"/>
  <c r="BD136" i="120"/>
  <c r="AQ136" i="120"/>
  <c r="S136" i="120"/>
  <c r="AI136" i="120"/>
  <c r="AF136" i="120"/>
  <c r="D136" i="120"/>
  <c r="T136" i="120"/>
  <c r="AJ136" i="120"/>
  <c r="AV136" i="120"/>
  <c r="Q136" i="120"/>
  <c r="H144" i="120"/>
  <c r="BB136" i="120"/>
  <c r="J136" i="120"/>
  <c r="P136" i="120"/>
  <c r="O136" i="120"/>
  <c r="X136" i="120"/>
  <c r="Z136" i="120"/>
  <c r="AW136" i="120"/>
  <c r="AL136" i="120"/>
  <c r="AH136" i="120"/>
  <c r="AE46" i="140"/>
  <c r="AR43" i="140"/>
  <c r="AI97" i="120"/>
  <c r="AI134" i="120" s="1"/>
  <c r="AJ62" i="140"/>
  <c r="AJ69" i="140"/>
  <c r="AJ45" i="140"/>
  <c r="AJ70" i="140"/>
  <c r="AJ56" i="140"/>
  <c r="AJ47" i="140"/>
  <c r="AJ43" i="140"/>
  <c r="AJ74" i="140"/>
  <c r="AJ73" i="140"/>
  <c r="AJ51" i="140"/>
  <c r="AJ46" i="140"/>
  <c r="AJ52" i="140"/>
  <c r="AJ36" i="140"/>
  <c r="AJ71" i="140"/>
  <c r="AJ44" i="140"/>
  <c r="AJ42" i="140"/>
  <c r="G97" i="120"/>
  <c r="G134" i="120" s="1"/>
  <c r="H47" i="140"/>
  <c r="H52" i="140"/>
  <c r="H44" i="140"/>
  <c r="H42" i="140"/>
  <c r="H69" i="140"/>
  <c r="H70" i="140"/>
  <c r="H56" i="140"/>
  <c r="H74" i="140"/>
  <c r="H45" i="140"/>
  <c r="H36" i="140"/>
  <c r="H51" i="140"/>
  <c r="H46" i="140"/>
  <c r="H43" i="140"/>
  <c r="H62" i="140"/>
  <c r="H71" i="140"/>
  <c r="H73" i="140"/>
  <c r="AY51" i="140"/>
  <c r="AY52" i="140"/>
  <c r="AG52" i="140"/>
  <c r="AG43" i="140"/>
  <c r="AG74" i="140"/>
  <c r="AG69" i="140"/>
  <c r="AG36" i="140"/>
  <c r="AG45" i="140"/>
  <c r="AG47" i="140"/>
  <c r="AG73" i="140"/>
  <c r="N97" i="120"/>
  <c r="N134" i="120" s="1"/>
  <c r="O43" i="140"/>
  <c r="O46" i="140"/>
  <c r="O56" i="140"/>
  <c r="O51" i="140"/>
  <c r="E97" i="120"/>
  <c r="E134" i="120" s="1"/>
  <c r="F43" i="140"/>
  <c r="F42" i="140"/>
  <c r="F52" i="140"/>
  <c r="F47" i="140"/>
  <c r="F69" i="140"/>
  <c r="F71" i="140"/>
  <c r="F62" i="140"/>
  <c r="F70" i="140"/>
  <c r="F51" i="140"/>
  <c r="F46" i="140"/>
  <c r="F44" i="140"/>
  <c r="F45" i="140"/>
  <c r="F36" i="140"/>
  <c r="F74" i="140"/>
  <c r="F73" i="140"/>
  <c r="F56" i="140"/>
  <c r="O97" i="120"/>
  <c r="O134" i="120" s="1"/>
  <c r="P36" i="140"/>
  <c r="P74" i="140"/>
  <c r="P46" i="140"/>
  <c r="P71" i="140"/>
  <c r="P52" i="140"/>
  <c r="P56" i="140"/>
  <c r="P42" i="140"/>
  <c r="P69" i="140"/>
  <c r="AS69" i="140"/>
  <c r="AS52" i="140"/>
  <c r="AS71" i="140"/>
  <c r="AS42" i="140"/>
  <c r="J71" i="140"/>
  <c r="J70" i="140"/>
  <c r="J56" i="140"/>
  <c r="J51" i="140"/>
  <c r="U69" i="140"/>
  <c r="U71" i="140"/>
  <c r="K97" i="120"/>
  <c r="K134" i="120" s="1"/>
  <c r="L45" i="140"/>
  <c r="L36" i="140"/>
  <c r="L62" i="140"/>
  <c r="L44" i="140"/>
  <c r="L42" i="140"/>
  <c r="L73" i="140"/>
  <c r="L69" i="140"/>
  <c r="L70" i="140"/>
  <c r="L47" i="140"/>
  <c r="L43" i="140"/>
  <c r="L51" i="140"/>
  <c r="L46" i="140"/>
  <c r="L52" i="140"/>
  <c r="L74" i="140"/>
  <c r="L71" i="140"/>
  <c r="L56" i="140"/>
  <c r="W97" i="120"/>
  <c r="X36" i="140"/>
  <c r="X42" i="140"/>
  <c r="X52" i="140"/>
  <c r="X43" i="140"/>
  <c r="AT51" i="140"/>
  <c r="AT43" i="140"/>
  <c r="AF70" i="140"/>
  <c r="AF47" i="140"/>
  <c r="AF71" i="140"/>
  <c r="AF46" i="140"/>
  <c r="AF62" i="140"/>
  <c r="AF45" i="140"/>
  <c r="AF73" i="140"/>
  <c r="AF44" i="140"/>
  <c r="AK97" i="120"/>
  <c r="AK134" i="120" s="1"/>
  <c r="AL44" i="140"/>
  <c r="AL52" i="140"/>
  <c r="AL42" i="140"/>
  <c r="AL69" i="140"/>
  <c r="AL56" i="140"/>
  <c r="AL43" i="140"/>
  <c r="AL47" i="140"/>
  <c r="AL62" i="140"/>
  <c r="AL73" i="140"/>
  <c r="AL46" i="140"/>
  <c r="AL74" i="140"/>
  <c r="AL70" i="140"/>
  <c r="AL51" i="140"/>
  <c r="AL45" i="140"/>
  <c r="AL36" i="140"/>
  <c r="AL71" i="140"/>
  <c r="Z43" i="140"/>
  <c r="AW52" i="140"/>
  <c r="AW74" i="140"/>
  <c r="AW36" i="140"/>
  <c r="AW47" i="140"/>
  <c r="R71" i="140"/>
  <c r="R43" i="140"/>
  <c r="R44" i="140"/>
  <c r="R45" i="140"/>
  <c r="AC73" i="140"/>
  <c r="AC74" i="140"/>
  <c r="AC46" i="140"/>
  <c r="AC52" i="140"/>
  <c r="AC69" i="140"/>
  <c r="AC70" i="140"/>
  <c r="AC51" i="140"/>
  <c r="AC42" i="140"/>
  <c r="AI36" i="140"/>
  <c r="U144" i="120"/>
  <c r="U148" i="120"/>
  <c r="H140" i="120"/>
  <c r="AV62" i="140"/>
  <c r="AV73" i="140"/>
  <c r="AV70" i="140"/>
  <c r="AV71" i="140"/>
  <c r="AV43" i="140"/>
  <c r="BB97" i="120"/>
  <c r="BB134" i="120" s="1"/>
  <c r="BC52" i="140"/>
  <c r="BC47" i="140"/>
  <c r="BC36" i="140"/>
  <c r="BC45" i="140"/>
  <c r="BC42" i="140"/>
  <c r="BC70" i="140"/>
  <c r="BC73" i="140"/>
  <c r="BC71" i="140"/>
  <c r="BC51" i="140"/>
  <c r="BC46" i="140"/>
  <c r="BC43" i="140"/>
  <c r="BC44" i="140"/>
  <c r="BC74" i="140"/>
  <c r="BC56" i="140"/>
  <c r="BC69" i="140"/>
  <c r="BC62" i="140"/>
  <c r="AA97" i="120"/>
  <c r="AA134" i="120" s="1"/>
  <c r="AB62" i="140"/>
  <c r="AB56" i="140"/>
  <c r="AB47" i="140"/>
  <c r="AB43" i="140"/>
  <c r="AB74" i="140"/>
  <c r="AB71" i="140"/>
  <c r="AB44" i="140"/>
  <c r="AB42" i="140"/>
  <c r="AB70" i="140"/>
  <c r="AB45" i="140"/>
  <c r="AB36" i="140"/>
  <c r="AB73" i="140"/>
  <c r="AB69" i="140"/>
  <c r="AB51" i="140"/>
  <c r="AB46" i="140"/>
  <c r="AB52" i="140"/>
  <c r="T47" i="140"/>
  <c r="T70" i="140"/>
  <c r="T44" i="140"/>
  <c r="T73" i="140"/>
  <c r="T45" i="140"/>
  <c r="T62" i="140"/>
  <c r="T51" i="140"/>
  <c r="T52" i="140"/>
  <c r="BE97" i="120"/>
  <c r="BE134" i="120" s="1"/>
  <c r="BF51" i="140"/>
  <c r="BF45" i="140"/>
  <c r="BF36" i="140"/>
  <c r="BF44" i="140"/>
  <c r="BF42" i="140"/>
  <c r="BF73" i="140"/>
  <c r="BF56" i="140"/>
  <c r="BF70" i="140"/>
  <c r="BF43" i="140"/>
  <c r="BF47" i="140"/>
  <c r="BF52" i="140"/>
  <c r="BF46" i="140"/>
  <c r="BF74" i="140"/>
  <c r="BF71" i="140"/>
  <c r="BF62" i="140"/>
  <c r="BF69" i="140"/>
  <c r="C97" i="120"/>
  <c r="C134" i="120" s="1"/>
  <c r="D69" i="140"/>
  <c r="D62" i="140"/>
  <c r="D46" i="140"/>
  <c r="D47" i="140"/>
  <c r="D74" i="140"/>
  <c r="D73" i="140"/>
  <c r="D52" i="140"/>
  <c r="D43" i="140"/>
  <c r="D56" i="140"/>
  <c r="D51" i="140"/>
  <c r="D42" i="140"/>
  <c r="D45" i="140"/>
  <c r="D71" i="140"/>
  <c r="D70" i="140"/>
  <c r="D44" i="140"/>
  <c r="D36" i="140"/>
  <c r="J97" i="120"/>
  <c r="J134" i="120" s="1"/>
  <c r="K45" i="140"/>
  <c r="K42" i="140"/>
  <c r="K51" i="140"/>
  <c r="K46" i="140"/>
  <c r="K74" i="140"/>
  <c r="K56" i="140"/>
  <c r="K69" i="140"/>
  <c r="K62" i="140"/>
  <c r="K43" i="140"/>
  <c r="K44" i="140"/>
  <c r="K52" i="140"/>
  <c r="K47" i="140"/>
  <c r="K36" i="140"/>
  <c r="K70" i="140"/>
  <c r="K73" i="140"/>
  <c r="K71" i="140"/>
  <c r="AM97" i="120"/>
  <c r="AM134" i="120" s="1"/>
  <c r="AN70" i="140"/>
  <c r="AN56" i="140"/>
  <c r="AN47" i="140"/>
  <c r="AN52" i="140"/>
  <c r="AN74" i="140"/>
  <c r="AN51" i="140"/>
  <c r="AN46" i="140"/>
  <c r="AN43" i="140"/>
  <c r="AN62" i="140"/>
  <c r="AN71" i="140"/>
  <c r="AN45" i="140"/>
  <c r="AN36" i="140"/>
  <c r="AN73" i="140"/>
  <c r="AN69" i="140"/>
  <c r="AN44" i="140"/>
  <c r="AN42" i="140"/>
  <c r="M97" i="120"/>
  <c r="M134" i="120" s="1"/>
  <c r="N42" i="140"/>
  <c r="N36" i="140"/>
  <c r="N46" i="140"/>
  <c r="N47" i="140"/>
  <c r="V97" i="120"/>
  <c r="V134" i="120" s="1"/>
  <c r="W73" i="140"/>
  <c r="W74" i="140"/>
  <c r="W69" i="140"/>
  <c r="W47" i="140"/>
  <c r="W42" i="140"/>
  <c r="W62" i="140"/>
  <c r="W46" i="140"/>
  <c r="W45" i="140"/>
  <c r="W43" i="140"/>
  <c r="P97" i="120"/>
  <c r="P134" i="120" s="1"/>
  <c r="Q44" i="140"/>
  <c r="Q45" i="140"/>
  <c r="Q51" i="140"/>
  <c r="Q36" i="140"/>
  <c r="Q74" i="140"/>
  <c r="Q62" i="140"/>
  <c r="Q69" i="140"/>
  <c r="Q56" i="140"/>
  <c r="Q43" i="140"/>
  <c r="Q42" i="140"/>
  <c r="Q52" i="140"/>
  <c r="Q46" i="140"/>
  <c r="Q47" i="140"/>
  <c r="Q70" i="140"/>
  <c r="Q73" i="140"/>
  <c r="Q71" i="140"/>
  <c r="R97" i="120"/>
  <c r="R134" i="120" s="1"/>
  <c r="S43" i="140"/>
  <c r="S44" i="140"/>
  <c r="S52" i="140"/>
  <c r="S47" i="140"/>
  <c r="S36" i="140"/>
  <c r="S70" i="140"/>
  <c r="S73" i="140"/>
  <c r="S71" i="140"/>
  <c r="S45" i="140"/>
  <c r="S42" i="140"/>
  <c r="S51" i="140"/>
  <c r="S46" i="140"/>
  <c r="S74" i="140"/>
  <c r="S56" i="140"/>
  <c r="S69" i="140"/>
  <c r="S62" i="140"/>
  <c r="AP97" i="120"/>
  <c r="AP134" i="120" s="1"/>
  <c r="AQ52" i="140"/>
  <c r="AQ47" i="140"/>
  <c r="AQ36" i="140"/>
  <c r="AQ45" i="140"/>
  <c r="AQ42" i="140"/>
  <c r="AQ70" i="140"/>
  <c r="AQ73" i="140"/>
  <c r="AQ71" i="140"/>
  <c r="AQ51" i="140"/>
  <c r="AQ46" i="140"/>
  <c r="AQ43" i="140"/>
  <c r="AQ44" i="140"/>
  <c r="AQ74" i="140"/>
  <c r="AQ56" i="140"/>
  <c r="AQ69" i="140"/>
  <c r="AQ62" i="140"/>
  <c r="AZ97" i="120"/>
  <c r="AZ134" i="120" s="1"/>
  <c r="BA62" i="140"/>
  <c r="BA56" i="140"/>
  <c r="BA47" i="140"/>
  <c r="BA42" i="140"/>
  <c r="BA73" i="140"/>
  <c r="BA43" i="140"/>
  <c r="BA44" i="140"/>
  <c r="BA36" i="140"/>
  <c r="E73" i="140"/>
  <c r="E74" i="140"/>
  <c r="E51" i="140"/>
  <c r="E46" i="140"/>
  <c r="E69" i="140"/>
  <c r="E70" i="140"/>
  <c r="E36" i="140"/>
  <c r="E42" i="140"/>
  <c r="L97" i="120"/>
  <c r="L134" i="120" s="1"/>
  <c r="M74" i="140"/>
  <c r="M62" i="140"/>
  <c r="M69" i="140"/>
  <c r="M56" i="140"/>
  <c r="M46" i="140"/>
  <c r="M45" i="140"/>
  <c r="M51" i="140"/>
  <c r="M42" i="140"/>
  <c r="M70" i="140"/>
  <c r="M73" i="140"/>
  <c r="M71" i="140"/>
  <c r="M43" i="140"/>
  <c r="M36" i="140"/>
  <c r="M44" i="140"/>
  <c r="M52" i="140"/>
  <c r="M47" i="140"/>
  <c r="Y52" i="140"/>
  <c r="Y36" i="140"/>
  <c r="Y47" i="140"/>
  <c r="Y73" i="140"/>
  <c r="Y51" i="140"/>
  <c r="Y43" i="140"/>
  <c r="Y74" i="140"/>
  <c r="Y69" i="140"/>
  <c r="BA97" i="120"/>
  <c r="BA134" i="120" s="1"/>
  <c r="BB52" i="140"/>
  <c r="BB46" i="140"/>
  <c r="BB74" i="140"/>
  <c r="BB70" i="140"/>
  <c r="BB51" i="140"/>
  <c r="BB45" i="140"/>
  <c r="BB36" i="140"/>
  <c r="BB71" i="140"/>
  <c r="BB44" i="140"/>
  <c r="BB42" i="140"/>
  <c r="BB69" i="140"/>
  <c r="BB56" i="140"/>
  <c r="BB43" i="140"/>
  <c r="BB47" i="140"/>
  <c r="BB62" i="140"/>
  <c r="BB73" i="140"/>
  <c r="AJ97" i="120"/>
  <c r="AJ134" i="120" s="1"/>
  <c r="AK73" i="140"/>
  <c r="AK71" i="140"/>
  <c r="AK74" i="140"/>
  <c r="AK62" i="140"/>
  <c r="AK46" i="140"/>
  <c r="AK47" i="140"/>
  <c r="AK45" i="140"/>
  <c r="AK52" i="140"/>
  <c r="AK69" i="140"/>
  <c r="AK56" i="140"/>
  <c r="AK70" i="140"/>
  <c r="AK43" i="140"/>
  <c r="AK51" i="140"/>
  <c r="AK44" i="140"/>
  <c r="AK36" i="140"/>
  <c r="AK42" i="140"/>
  <c r="AT97" i="120"/>
  <c r="AT134" i="120" s="1"/>
  <c r="AU52" i="140"/>
  <c r="AU47" i="140"/>
  <c r="AU36" i="140"/>
  <c r="AU45" i="140"/>
  <c r="AU42" i="140"/>
  <c r="AU70" i="140"/>
  <c r="AU73" i="140"/>
  <c r="AU71" i="140"/>
  <c r="AU51" i="140"/>
  <c r="AU46" i="140"/>
  <c r="AU43" i="140"/>
  <c r="AU44" i="140"/>
  <c r="AU74" i="140"/>
  <c r="AU56" i="140"/>
  <c r="AU69" i="140"/>
  <c r="AU62" i="140"/>
  <c r="AW97" i="120"/>
  <c r="AW134" i="120" s="1"/>
  <c r="AX44" i="140"/>
  <c r="AX42" i="140"/>
  <c r="AX73" i="140"/>
  <c r="AX56" i="140"/>
  <c r="AX43" i="140"/>
  <c r="AX47" i="140"/>
  <c r="AX62" i="140"/>
  <c r="AX70" i="140"/>
  <c r="AX52" i="140"/>
  <c r="AX46" i="140"/>
  <c r="AX74" i="140"/>
  <c r="AX71" i="140"/>
  <c r="AX51" i="140"/>
  <c r="AX45" i="140"/>
  <c r="AX36" i="140"/>
  <c r="AX69" i="140"/>
  <c r="AN97" i="120"/>
  <c r="AN134" i="120" s="1"/>
  <c r="AO52" i="140"/>
  <c r="AO46" i="140"/>
  <c r="AO44" i="140"/>
  <c r="AO43" i="140"/>
  <c r="AO74" i="140"/>
  <c r="AO62" i="140"/>
  <c r="AO69" i="140"/>
  <c r="AO56" i="140"/>
  <c r="AO36" i="140"/>
  <c r="AO51" i="140"/>
  <c r="AO45" i="140"/>
  <c r="AO47" i="140"/>
  <c r="AO42" i="140"/>
  <c r="AO70" i="140"/>
  <c r="AO73" i="140"/>
  <c r="AO71" i="140"/>
  <c r="AO97" i="120"/>
  <c r="AO134" i="120" s="1"/>
  <c r="AP44" i="140"/>
  <c r="AP42" i="140"/>
  <c r="AP73" i="140"/>
  <c r="AP56" i="140"/>
  <c r="AP43" i="140"/>
  <c r="AP47" i="140"/>
  <c r="AP62" i="140"/>
  <c r="AP70" i="140"/>
  <c r="AP52" i="140"/>
  <c r="AP46" i="140"/>
  <c r="AP74" i="140"/>
  <c r="AP71" i="140"/>
  <c r="AP51" i="140"/>
  <c r="AP45" i="140"/>
  <c r="AP36" i="140"/>
  <c r="AP69" i="140"/>
  <c r="AL97" i="120"/>
  <c r="AL134" i="120" s="1"/>
  <c r="AM51" i="140"/>
  <c r="AM46" i="140"/>
  <c r="AM43" i="140"/>
  <c r="AM44" i="140"/>
  <c r="AM74" i="140"/>
  <c r="AM56" i="140"/>
  <c r="AM69" i="140"/>
  <c r="AM62" i="140"/>
  <c r="AM52" i="140"/>
  <c r="AM47" i="140"/>
  <c r="AM36" i="140"/>
  <c r="AM45" i="140"/>
  <c r="AM42" i="140"/>
  <c r="AM70" i="140"/>
  <c r="AM73" i="140"/>
  <c r="AM71" i="140"/>
  <c r="T588" i="64"/>
  <c r="R55" i="105" s="1"/>
  <c r="H55" i="105" s="1"/>
  <c r="D588" i="64"/>
  <c r="R7" i="105" s="1"/>
  <c r="H7" i="105" s="1"/>
  <c r="BC97" i="120"/>
  <c r="BC134" i="120" s="1"/>
  <c r="BD51" i="140"/>
  <c r="BD46" i="140"/>
  <c r="BD43" i="140"/>
  <c r="BD36" i="140"/>
  <c r="BD52" i="140"/>
  <c r="BD74" i="140"/>
  <c r="BD62" i="140"/>
  <c r="BD71" i="140"/>
  <c r="BD44" i="140"/>
  <c r="BD42" i="140"/>
  <c r="BD45" i="140"/>
  <c r="BD47" i="140"/>
  <c r="BD73" i="140"/>
  <c r="BD69" i="140"/>
  <c r="BD70" i="140"/>
  <c r="BD56" i="140"/>
  <c r="AY97" i="120"/>
  <c r="AY134" i="120" s="1"/>
  <c r="AZ62" i="140"/>
  <c r="AZ69" i="140"/>
  <c r="AZ45" i="140"/>
  <c r="AZ36" i="140"/>
  <c r="AZ73" i="140"/>
  <c r="AZ71" i="140"/>
  <c r="AZ44" i="140"/>
  <c r="AZ42" i="140"/>
  <c r="AZ70" i="140"/>
  <c r="AZ56" i="140"/>
  <c r="AZ47" i="140"/>
  <c r="AZ43" i="140"/>
  <c r="AZ74" i="140"/>
  <c r="AZ51" i="140"/>
  <c r="AZ46" i="140"/>
  <c r="AZ52" i="140"/>
  <c r="U142" i="120"/>
  <c r="U146" i="120"/>
  <c r="AU138" i="120"/>
  <c r="BB138" i="120"/>
  <c r="AA138" i="120"/>
  <c r="AD138" i="120"/>
  <c r="BD138" i="120"/>
  <c r="AC138" i="120"/>
  <c r="AQ138" i="120"/>
  <c r="BE138" i="120"/>
  <c r="AI138" i="120"/>
  <c r="AI146" i="120" s="1"/>
  <c r="G138" i="120"/>
  <c r="AX138" i="120"/>
  <c r="J138" i="120"/>
  <c r="AM138" i="120"/>
  <c r="N138" i="120"/>
  <c r="N146" i="120" s="1"/>
  <c r="M138" i="120"/>
  <c r="E138" i="120"/>
  <c r="V136" i="120"/>
  <c r="V112" i="120"/>
  <c r="V113" i="120" s="1"/>
  <c r="V138" i="120"/>
  <c r="P138" i="120"/>
  <c r="F138" i="120"/>
  <c r="M86" i="111"/>
  <c r="M97" i="111"/>
  <c r="M87" i="111"/>
  <c r="M98" i="111"/>
  <c r="M85" i="111"/>
  <c r="M96" i="111"/>
  <c r="AC98" i="111"/>
  <c r="AC86" i="111"/>
  <c r="AC97" i="111"/>
  <c r="AC96" i="111"/>
  <c r="AC85" i="111"/>
  <c r="AO96" i="111"/>
  <c r="AO97" i="111"/>
  <c r="AO86" i="111"/>
  <c r="AO87" i="111"/>
  <c r="AO98" i="111"/>
  <c r="AH97" i="111"/>
  <c r="AH86" i="111"/>
  <c r="AH98" i="111"/>
  <c r="AH87" i="111"/>
  <c r="AH96" i="111"/>
  <c r="AH85" i="111"/>
  <c r="Z87" i="111"/>
  <c r="Z98" i="111"/>
  <c r="Z96" i="111"/>
  <c r="Z85" i="111"/>
  <c r="Z97" i="111"/>
  <c r="Z86" i="111"/>
  <c r="AS98" i="111"/>
  <c r="AS87" i="111"/>
  <c r="AS96" i="111"/>
  <c r="AS85" i="111"/>
  <c r="AS97" i="111"/>
  <c r="AS86" i="111"/>
  <c r="AK85" i="111"/>
  <c r="AK96" i="111"/>
  <c r="AK87" i="111"/>
  <c r="AK98" i="111"/>
  <c r="AK97" i="111"/>
  <c r="AK86" i="111"/>
  <c r="BD98" i="111"/>
  <c r="BD87" i="111"/>
  <c r="BD97" i="111"/>
  <c r="BD86" i="111"/>
  <c r="BD96" i="111"/>
  <c r="BD85" i="111"/>
  <c r="AG85" i="111"/>
  <c r="AG96" i="111"/>
  <c r="AG87" i="111"/>
  <c r="AG98" i="111"/>
  <c r="AG86" i="111"/>
  <c r="AG97" i="111"/>
  <c r="AM85" i="111"/>
  <c r="AM96" i="111"/>
  <c r="AM86" i="111"/>
  <c r="AM97" i="111"/>
  <c r="AM87" i="111"/>
  <c r="AM98" i="111"/>
  <c r="C96" i="111"/>
  <c r="C85" i="111"/>
  <c r="C97" i="111"/>
  <c r="C86" i="111"/>
  <c r="C87" i="111"/>
  <c r="C98" i="111"/>
  <c r="C46" i="117"/>
  <c r="C44" i="117"/>
  <c r="C42" i="117"/>
  <c r="C40" i="117"/>
  <c r="C49" i="117"/>
  <c r="C48" i="117"/>
  <c r="C39" i="117"/>
  <c r="C47" i="117"/>
  <c r="C43" i="117"/>
  <c r="C38" i="117"/>
  <c r="C41" i="117"/>
  <c r="H87" i="111"/>
  <c r="H98" i="111"/>
  <c r="H86" i="111"/>
  <c r="H97" i="111"/>
  <c r="H85" i="111"/>
  <c r="H96" i="111"/>
  <c r="I96" i="111"/>
  <c r="I86" i="111"/>
  <c r="I97" i="111"/>
  <c r="I98" i="111"/>
  <c r="I87" i="111"/>
  <c r="I12" i="140"/>
  <c r="I95" i="140" s="1"/>
  <c r="O138" i="120"/>
  <c r="O148" i="120" s="1"/>
  <c r="R138" i="120"/>
  <c r="AP138" i="120"/>
  <c r="AR138" i="120"/>
  <c r="AZ138" i="120"/>
  <c r="D138" i="120"/>
  <c r="L138" i="120"/>
  <c r="I138" i="120"/>
  <c r="X138" i="120"/>
  <c r="T138" i="120"/>
  <c r="K138" i="120"/>
  <c r="BA138" i="120"/>
  <c r="W138" i="120"/>
  <c r="R96" i="111"/>
  <c r="R85" i="111"/>
  <c r="R87" i="111"/>
  <c r="R98" i="111"/>
  <c r="R97" i="111"/>
  <c r="R86" i="111"/>
  <c r="K97" i="111"/>
  <c r="K86" i="111"/>
  <c r="K87" i="111"/>
  <c r="K85" i="111"/>
  <c r="BC96" i="111"/>
  <c r="BC85" i="111"/>
  <c r="BC87" i="111"/>
  <c r="BC98" i="111"/>
  <c r="BC97" i="111"/>
  <c r="BC86" i="111"/>
  <c r="AW97" i="111"/>
  <c r="AW86" i="111"/>
  <c r="AW87" i="111"/>
  <c r="AW98" i="111"/>
  <c r="AW85" i="111"/>
  <c r="AW96" i="111"/>
  <c r="P97" i="111"/>
  <c r="P86" i="111"/>
  <c r="P87" i="111"/>
  <c r="P98" i="111"/>
  <c r="P96" i="111"/>
  <c r="P85" i="111"/>
  <c r="AB86" i="111"/>
  <c r="AB97" i="111"/>
  <c r="AB87" i="111"/>
  <c r="AB98" i="111"/>
  <c r="AB96" i="111"/>
  <c r="AB85" i="111"/>
  <c r="AN98" i="111"/>
  <c r="AN97" i="111"/>
  <c r="AN96" i="111"/>
  <c r="AN85" i="111"/>
  <c r="AD97" i="111"/>
  <c r="AD86" i="111"/>
  <c r="AD85" i="111"/>
  <c r="AD96" i="111"/>
  <c r="AD87" i="111"/>
  <c r="AD98" i="111"/>
  <c r="U97" i="111"/>
  <c r="U86" i="111"/>
  <c r="U98" i="111"/>
  <c r="U87" i="111"/>
  <c r="U96" i="111"/>
  <c r="U85" i="111"/>
  <c r="Y97" i="111"/>
  <c r="Y86" i="111"/>
  <c r="Y96" i="111"/>
  <c r="Y85" i="111"/>
  <c r="Y87" i="111"/>
  <c r="Y98" i="111"/>
  <c r="D96" i="111"/>
  <c r="D85" i="111"/>
  <c r="D97" i="111"/>
  <c r="D86" i="111"/>
  <c r="D87" i="111"/>
  <c r="D98" i="111"/>
  <c r="AT138" i="120"/>
  <c r="Z138" i="120"/>
  <c r="AS138" i="120"/>
  <c r="AE138" i="120"/>
  <c r="AK138" i="120"/>
  <c r="AG138" i="120"/>
  <c r="Y138" i="120"/>
  <c r="AV138" i="120"/>
  <c r="AN138" i="120"/>
  <c r="AO138" i="120"/>
  <c r="S86" i="111"/>
  <c r="S97" i="111"/>
  <c r="S85" i="111"/>
  <c r="S96" i="111"/>
  <c r="S87" i="111"/>
  <c r="S98" i="111"/>
  <c r="J85" i="111"/>
  <c r="J96" i="111"/>
  <c r="J87" i="111"/>
  <c r="J98" i="111"/>
  <c r="J97" i="111"/>
  <c r="J86" i="111"/>
  <c r="AY85" i="111"/>
  <c r="AY96" i="111"/>
  <c r="AY86" i="111"/>
  <c r="AY97" i="111"/>
  <c r="AY98" i="111"/>
  <c r="AY87" i="111"/>
  <c r="AA87" i="111"/>
  <c r="AA98" i="111"/>
  <c r="AA86" i="111"/>
  <c r="AA97" i="111"/>
  <c r="AA96" i="111"/>
  <c r="AA85" i="111"/>
  <c r="V86" i="111"/>
  <c r="V97" i="111"/>
  <c r="V85" i="111"/>
  <c r="V96" i="111"/>
  <c r="V98" i="111"/>
  <c r="V87" i="111"/>
  <c r="AL86" i="111"/>
  <c r="AL97" i="111"/>
  <c r="AL98" i="111"/>
  <c r="AL87" i="111"/>
  <c r="AL96" i="111"/>
  <c r="AL85" i="111"/>
  <c r="BA97" i="111"/>
  <c r="BA86" i="111"/>
  <c r="BA85" i="111"/>
  <c r="BA96" i="111"/>
  <c r="BA87" i="111"/>
  <c r="BA98" i="111"/>
  <c r="V11" i="140"/>
  <c r="Q138" i="120"/>
  <c r="AB138" i="120"/>
  <c r="AH138" i="120"/>
  <c r="AY138" i="120"/>
  <c r="L87" i="111"/>
  <c r="L98" i="111"/>
  <c r="L96" i="111"/>
  <c r="L85" i="111"/>
  <c r="L86" i="111"/>
  <c r="L97" i="111"/>
  <c r="AF97" i="111"/>
  <c r="AF86" i="111"/>
  <c r="AF85" i="111"/>
  <c r="AF96" i="111"/>
  <c r="AF87" i="111"/>
  <c r="AF98" i="111"/>
  <c r="AU96" i="111"/>
  <c r="AU85" i="111"/>
  <c r="AU86" i="111"/>
  <c r="AU97" i="111"/>
  <c r="AU98" i="111"/>
  <c r="AU87" i="111"/>
  <c r="AP86" i="111"/>
  <c r="AP97" i="111"/>
  <c r="AP87" i="111"/>
  <c r="AP98" i="111"/>
  <c r="AP85" i="111"/>
  <c r="AP96" i="111"/>
  <c r="O87" i="111"/>
  <c r="O98" i="111"/>
  <c r="O96" i="111"/>
  <c r="O85" i="111"/>
  <c r="O86" i="111"/>
  <c r="O97" i="111"/>
  <c r="Q86" i="111"/>
  <c r="Q97" i="111"/>
  <c r="Q85" i="111"/>
  <c r="Q96" i="111"/>
  <c r="Q98" i="111"/>
  <c r="Q87" i="111"/>
  <c r="AJ98" i="111"/>
  <c r="AJ87" i="111"/>
  <c r="AJ97" i="111"/>
  <c r="AJ86" i="111"/>
  <c r="AJ96" i="111"/>
  <c r="AJ85" i="111"/>
  <c r="AI97" i="111"/>
  <c r="AI86" i="111"/>
  <c r="AI96" i="111"/>
  <c r="AI85" i="111"/>
  <c r="AI98" i="111"/>
  <c r="AI87" i="111"/>
  <c r="BB86" i="111"/>
  <c r="BB97" i="111"/>
  <c r="BB87" i="111"/>
  <c r="BB98" i="111"/>
  <c r="BB85" i="111"/>
  <c r="BB96" i="111"/>
  <c r="AX97" i="111"/>
  <c r="AX86" i="111"/>
  <c r="AX96" i="111"/>
  <c r="AX85" i="111"/>
  <c r="AX87" i="111"/>
  <c r="AX98" i="111"/>
  <c r="G87" i="111"/>
  <c r="G98" i="111"/>
  <c r="G86" i="111"/>
  <c r="G97" i="111"/>
  <c r="G96" i="111"/>
  <c r="G85" i="111"/>
  <c r="AV98" i="111"/>
  <c r="AV87" i="111"/>
  <c r="AV85" i="111"/>
  <c r="AV96" i="111"/>
  <c r="AV86" i="111"/>
  <c r="AV97" i="111"/>
  <c r="H150" i="120"/>
  <c r="I127" i="140" s="1"/>
  <c r="F348" i="64" l="1"/>
  <c r="H33" i="111" s="1"/>
  <c r="BC138" i="120"/>
  <c r="BC148" i="120" s="1"/>
  <c r="AL138" i="120"/>
  <c r="AW138" i="120"/>
  <c r="AW148" i="120" s="1"/>
  <c r="AJ138" i="120"/>
  <c r="AN87" i="111"/>
  <c r="I85" i="111"/>
  <c r="AC87" i="111"/>
  <c r="AF138" i="120"/>
  <c r="C138" i="120"/>
  <c r="C140" i="120" s="1"/>
  <c r="S138" i="120"/>
  <c r="BB142" i="120"/>
  <c r="Y56" i="140"/>
  <c r="Y62" i="140"/>
  <c r="Y42" i="140"/>
  <c r="Y45" i="140"/>
  <c r="Y71" i="140"/>
  <c r="Y70" i="140"/>
  <c r="Y44" i="140"/>
  <c r="Y46" i="140"/>
  <c r="E45" i="140"/>
  <c r="E52" i="140"/>
  <c r="E43" i="140"/>
  <c r="E56" i="140"/>
  <c r="E44" i="140"/>
  <c r="E47" i="140"/>
  <c r="E62" i="140"/>
  <c r="E71" i="140"/>
  <c r="BA52" i="140"/>
  <c r="BA51" i="140"/>
  <c r="BA71" i="140"/>
  <c r="BA70" i="140"/>
  <c r="BA45" i="140"/>
  <c r="BA46" i="140"/>
  <c r="BA69" i="140"/>
  <c r="N70" i="140"/>
  <c r="N73" i="140"/>
  <c r="N51" i="140"/>
  <c r="N56" i="140"/>
  <c r="AT44" i="140"/>
  <c r="AT52" i="140"/>
  <c r="G71" i="140"/>
  <c r="N43" i="140"/>
  <c r="N62" i="140"/>
  <c r="N52" i="140"/>
  <c r="N74" i="140"/>
  <c r="N45" i="140"/>
  <c r="N71" i="140"/>
  <c r="N44" i="140"/>
  <c r="T74" i="140"/>
  <c r="T46" i="140"/>
  <c r="T69" i="140"/>
  <c r="T36" i="140"/>
  <c r="T71" i="140"/>
  <c r="T42" i="140"/>
  <c r="T56" i="140"/>
  <c r="T43" i="140"/>
  <c r="AV46" i="140"/>
  <c r="AV47" i="140"/>
  <c r="AV44" i="140"/>
  <c r="AV45" i="140"/>
  <c r="AC45" i="140"/>
  <c r="AC36" i="140"/>
  <c r="AC43" i="140"/>
  <c r="AC56" i="140"/>
  <c r="AC44" i="140"/>
  <c r="AC47" i="140"/>
  <c r="AC62" i="140"/>
  <c r="AC71" i="140"/>
  <c r="R69" i="140"/>
  <c r="R73" i="140"/>
  <c r="R62" i="140"/>
  <c r="AW73" i="140"/>
  <c r="AW45" i="140"/>
  <c r="AW69" i="140"/>
  <c r="AW43" i="140"/>
  <c r="AT62" i="140"/>
  <c r="AT69" i="140"/>
  <c r="AT36" i="140"/>
  <c r="AT74" i="140"/>
  <c r="U46" i="140"/>
  <c r="U51" i="140"/>
  <c r="J36" i="140"/>
  <c r="J42" i="140"/>
  <c r="J47" i="140"/>
  <c r="J46" i="140"/>
  <c r="I97" i="120"/>
  <c r="I134" i="120" s="1"/>
  <c r="I148" i="120" s="1"/>
  <c r="AS51" i="140"/>
  <c r="AS70" i="140"/>
  <c r="AS46" i="140"/>
  <c r="AS74" i="140"/>
  <c r="P73" i="140"/>
  <c r="P44" i="140"/>
  <c r="P70" i="140"/>
  <c r="P47" i="140"/>
  <c r="P43" i="140"/>
  <c r="P51" i="140"/>
  <c r="P62" i="140"/>
  <c r="G74" i="140"/>
  <c r="AY42" i="140"/>
  <c r="AY74" i="140"/>
  <c r="AR73" i="140"/>
  <c r="BE74" i="140"/>
  <c r="AE52" i="140"/>
  <c r="AR110" i="111"/>
  <c r="AI43" i="140"/>
  <c r="Z51" i="140"/>
  <c r="AH46" i="140"/>
  <c r="O42" i="140"/>
  <c r="O71" i="140"/>
  <c r="O52" i="140"/>
  <c r="O62" i="140"/>
  <c r="AV51" i="140"/>
  <c r="AV52" i="140"/>
  <c r="AV56" i="140"/>
  <c r="AV42" i="140"/>
  <c r="AV69" i="140"/>
  <c r="AV36" i="140"/>
  <c r="AV74" i="140"/>
  <c r="AI69" i="140"/>
  <c r="AI73" i="140"/>
  <c r="AW71" i="140"/>
  <c r="AW70" i="140"/>
  <c r="AW42" i="140"/>
  <c r="AW51" i="140"/>
  <c r="AW56" i="140"/>
  <c r="AW62" i="140"/>
  <c r="AW44" i="140"/>
  <c r="AW46" i="140"/>
  <c r="Z52" i="140"/>
  <c r="Z44" i="140"/>
  <c r="AH42" i="140"/>
  <c r="AA74" i="140"/>
  <c r="U42" i="140"/>
  <c r="U70" i="140"/>
  <c r="U44" i="140"/>
  <c r="U74" i="140"/>
  <c r="J45" i="140"/>
  <c r="J69" i="140"/>
  <c r="J44" i="140"/>
  <c r="J73" i="140"/>
  <c r="J43" i="140"/>
  <c r="J62" i="140"/>
  <c r="J52" i="140"/>
  <c r="AS45" i="140"/>
  <c r="AS36" i="140"/>
  <c r="AS43" i="140"/>
  <c r="AS73" i="140"/>
  <c r="AS44" i="140"/>
  <c r="AS47" i="140"/>
  <c r="AS56" i="140"/>
  <c r="AS62" i="140"/>
  <c r="O47" i="140"/>
  <c r="O45" i="140"/>
  <c r="O74" i="140"/>
  <c r="O73" i="140"/>
  <c r="O36" i="140"/>
  <c r="O44" i="140"/>
  <c r="O70" i="140"/>
  <c r="AY73" i="140"/>
  <c r="AY36" i="140"/>
  <c r="AY69" i="140"/>
  <c r="AY43" i="140"/>
  <c r="AD74" i="140"/>
  <c r="AE56" i="140"/>
  <c r="AE70" i="140"/>
  <c r="AI74" i="140"/>
  <c r="AI51" i="140"/>
  <c r="AI42" i="140"/>
  <c r="AI52" i="140"/>
  <c r="R36" i="140"/>
  <c r="R51" i="140"/>
  <c r="R42" i="140"/>
  <c r="R56" i="140"/>
  <c r="R47" i="140"/>
  <c r="R70" i="140"/>
  <c r="R46" i="140"/>
  <c r="Q97" i="120"/>
  <c r="Q134" i="120" s="1"/>
  <c r="Q146" i="120" s="1"/>
  <c r="Z36" i="140"/>
  <c r="Z74" i="140"/>
  <c r="Z62" i="140"/>
  <c r="Z73" i="140"/>
  <c r="AH45" i="140"/>
  <c r="AH47" i="140"/>
  <c r="AA42" i="140"/>
  <c r="X51" i="140"/>
  <c r="X56" i="140"/>
  <c r="X69" i="140"/>
  <c r="X71" i="140"/>
  <c r="G44" i="140"/>
  <c r="G51" i="140"/>
  <c r="AR52" i="140"/>
  <c r="AR42" i="140"/>
  <c r="AQ97" i="120"/>
  <c r="AQ134" i="120" s="1"/>
  <c r="AQ140" i="120" s="1"/>
  <c r="S148" i="120"/>
  <c r="AE62" i="140"/>
  <c r="AE44" i="140"/>
  <c r="AE71" i="140"/>
  <c r="AE45" i="140"/>
  <c r="AT46" i="111"/>
  <c r="AT105" i="111" s="1"/>
  <c r="BE36" i="140"/>
  <c r="W51" i="140"/>
  <c r="W44" i="140"/>
  <c r="W36" i="140"/>
  <c r="W52" i="140"/>
  <c r="W56" i="140"/>
  <c r="W71" i="140"/>
  <c r="AI62" i="140"/>
  <c r="AI56" i="140"/>
  <c r="AI44" i="140"/>
  <c r="AI46" i="140"/>
  <c r="AI71" i="140"/>
  <c r="AI70" i="140"/>
  <c r="AI45" i="140"/>
  <c r="AI47" i="140"/>
  <c r="AH69" i="140"/>
  <c r="AH71" i="140"/>
  <c r="AH70" i="140"/>
  <c r="AH56" i="140"/>
  <c r="AG97" i="120"/>
  <c r="AG134" i="120" s="1"/>
  <c r="AG148" i="120" s="1"/>
  <c r="AF42" i="140"/>
  <c r="AF69" i="140"/>
  <c r="AF36" i="140"/>
  <c r="AF74" i="140"/>
  <c r="AF43" i="140"/>
  <c r="AF51" i="140"/>
  <c r="AF52" i="140"/>
  <c r="AF56" i="140"/>
  <c r="AA51" i="140"/>
  <c r="AA52" i="140"/>
  <c r="X46" i="140"/>
  <c r="X74" i="140"/>
  <c r="X47" i="140"/>
  <c r="X70" i="140"/>
  <c r="X44" i="140"/>
  <c r="X73" i="140"/>
  <c r="X45" i="140"/>
  <c r="G46" i="140"/>
  <c r="G70" i="140"/>
  <c r="G43" i="140"/>
  <c r="G56" i="140"/>
  <c r="AG71" i="140"/>
  <c r="AG70" i="140"/>
  <c r="AG42" i="140"/>
  <c r="AG51" i="140"/>
  <c r="AG56" i="140"/>
  <c r="AG62" i="140"/>
  <c r="AG44" i="140"/>
  <c r="AG46" i="140"/>
  <c r="AR51" i="140"/>
  <c r="AR45" i="140"/>
  <c r="AR71" i="140"/>
  <c r="AR56" i="140"/>
  <c r="AD69" i="140"/>
  <c r="AZ110" i="111"/>
  <c r="AZ76" i="111"/>
  <c r="I142" i="120"/>
  <c r="P44" i="79"/>
  <c r="AT41" i="111"/>
  <c r="AT100" i="111" s="1"/>
  <c r="AT38" i="111"/>
  <c r="AT40" i="111"/>
  <c r="AT99" i="111" s="1"/>
  <c r="AT43" i="111"/>
  <c r="AT102" i="111" s="1"/>
  <c r="AT47" i="111"/>
  <c r="AT106" i="111" s="1"/>
  <c r="AT45" i="111"/>
  <c r="AT104" i="111" s="1"/>
  <c r="AT42" i="111"/>
  <c r="AT101" i="111" s="1"/>
  <c r="Q46" i="79"/>
  <c r="AT39" i="111"/>
  <c r="AT109" i="111"/>
  <c r="AT48" i="111"/>
  <c r="AT107" i="111" s="1"/>
  <c r="AT37" i="111"/>
  <c r="AR20" i="111"/>
  <c r="AQ20" i="111"/>
  <c r="AQ49" i="111" s="1"/>
  <c r="AZ20" i="111"/>
  <c r="AZ109" i="111" s="1"/>
  <c r="P20" i="79"/>
  <c r="AQ76" i="111"/>
  <c r="AL144" i="120"/>
  <c r="X140" i="120"/>
  <c r="AP148" i="120"/>
  <c r="AO142" i="120"/>
  <c r="M146" i="120"/>
  <c r="BE69" i="140"/>
  <c r="BE51" i="140"/>
  <c r="BE52" i="140"/>
  <c r="AX144" i="120"/>
  <c r="AX142" i="120"/>
  <c r="R52" i="140"/>
  <c r="AH36" i="140"/>
  <c r="AH51" i="140"/>
  <c r="AH74" i="140"/>
  <c r="AH52" i="140"/>
  <c r="AH62" i="140"/>
  <c r="AH43" i="140"/>
  <c r="AH73" i="140"/>
  <c r="AA69" i="140"/>
  <c r="AA43" i="140"/>
  <c r="AA73" i="140"/>
  <c r="AA36" i="140"/>
  <c r="U36" i="140"/>
  <c r="U43" i="140"/>
  <c r="U52" i="140"/>
  <c r="U73" i="140"/>
  <c r="U47" i="140"/>
  <c r="U45" i="140"/>
  <c r="U56" i="140"/>
  <c r="U62" i="140"/>
  <c r="G45" i="140"/>
  <c r="G47" i="140"/>
  <c r="G69" i="140"/>
  <c r="G62" i="140"/>
  <c r="G36" i="140"/>
  <c r="G42" i="140"/>
  <c r="G52" i="140"/>
  <c r="G73" i="140"/>
  <c r="AY71" i="140"/>
  <c r="AY70" i="140"/>
  <c r="AY45" i="140"/>
  <c r="AY47" i="140"/>
  <c r="AY62" i="140"/>
  <c r="AY56" i="140"/>
  <c r="AY44" i="140"/>
  <c r="AY46" i="140"/>
  <c r="AR46" i="140"/>
  <c r="AR69" i="140"/>
  <c r="AR36" i="140"/>
  <c r="AR70" i="140"/>
  <c r="AR44" i="140"/>
  <c r="AR74" i="140"/>
  <c r="AR47" i="140"/>
  <c r="AD62" i="140"/>
  <c r="AD36" i="140"/>
  <c r="AE69" i="140"/>
  <c r="AE74" i="140"/>
  <c r="AE43" i="140"/>
  <c r="AE51" i="140"/>
  <c r="AE73" i="140"/>
  <c r="AE42" i="140"/>
  <c r="AE36" i="140"/>
  <c r="L144" i="120"/>
  <c r="AD146" i="120"/>
  <c r="AD43" i="140"/>
  <c r="AD44" i="140"/>
  <c r="AD51" i="140"/>
  <c r="AD52" i="140"/>
  <c r="AE47" i="140"/>
  <c r="BE44" i="140"/>
  <c r="BE73" i="140"/>
  <c r="BE43" i="140"/>
  <c r="AS140" i="120"/>
  <c r="P140" i="120"/>
  <c r="Z69" i="140"/>
  <c r="Z45" i="140"/>
  <c r="Z71" i="140"/>
  <c r="Z46" i="140"/>
  <c r="Z70" i="140"/>
  <c r="Z47" i="140"/>
  <c r="Z56" i="140"/>
  <c r="Z42" i="140"/>
  <c r="AT70" i="140"/>
  <c r="AT47" i="140"/>
  <c r="AT56" i="140"/>
  <c r="AT42" i="140"/>
  <c r="AT71" i="140"/>
  <c r="AT45" i="140"/>
  <c r="AT73" i="140"/>
  <c r="AT46" i="140"/>
  <c r="BE56" i="140"/>
  <c r="BE62" i="140"/>
  <c r="BE47" i="140"/>
  <c r="BE45" i="140"/>
  <c r="BE71" i="140"/>
  <c r="BE70" i="140"/>
  <c r="BE42" i="140"/>
  <c r="BE46" i="140"/>
  <c r="AA62" i="140"/>
  <c r="AA56" i="140"/>
  <c r="AA44" i="140"/>
  <c r="AA46" i="140"/>
  <c r="AA71" i="140"/>
  <c r="AA70" i="140"/>
  <c r="AA45" i="140"/>
  <c r="AA47" i="140"/>
  <c r="AD70" i="140"/>
  <c r="AD47" i="140"/>
  <c r="AD56" i="140"/>
  <c r="AD42" i="140"/>
  <c r="AD71" i="140"/>
  <c r="AD45" i="140"/>
  <c r="AD73" i="140"/>
  <c r="AD46" i="140"/>
  <c r="AZ146" i="120"/>
  <c r="F142" i="120"/>
  <c r="AT148" i="120"/>
  <c r="BA142" i="120"/>
  <c r="AO144" i="120"/>
  <c r="AT140" i="120"/>
  <c r="N20" i="111"/>
  <c r="AE20" i="111"/>
  <c r="X86" i="111"/>
  <c r="X97" i="111"/>
  <c r="AE76" i="111"/>
  <c r="AE110" i="111"/>
  <c r="X96" i="111"/>
  <c r="X85" i="111"/>
  <c r="X87" i="111"/>
  <c r="X98" i="111"/>
  <c r="N76" i="111"/>
  <c r="N110" i="111"/>
  <c r="J144" i="120"/>
  <c r="AL148" i="120"/>
  <c r="AK148" i="120"/>
  <c r="AJ144" i="120"/>
  <c r="AM144" i="120"/>
  <c r="J148" i="120"/>
  <c r="L148" i="120"/>
  <c r="AX146" i="120"/>
  <c r="AT144" i="120"/>
  <c r="AT142" i="120"/>
  <c r="AT146" i="120"/>
  <c r="BA144" i="120"/>
  <c r="AZ148" i="120"/>
  <c r="AO146" i="120"/>
  <c r="AO148" i="120"/>
  <c r="AZ142" i="120"/>
  <c r="AM146" i="120"/>
  <c r="AM142" i="120"/>
  <c r="J142" i="120"/>
  <c r="J146" i="120"/>
  <c r="AX148" i="120"/>
  <c r="S142" i="120"/>
  <c r="AK146" i="120"/>
  <c r="AZ144" i="120"/>
  <c r="AP144" i="120"/>
  <c r="AN144" i="120"/>
  <c r="AN148" i="120"/>
  <c r="AS144" i="120"/>
  <c r="AS142" i="120"/>
  <c r="BB146" i="120"/>
  <c r="BB144" i="120"/>
  <c r="AL142" i="120"/>
  <c r="AN146" i="120"/>
  <c r="AN142" i="120"/>
  <c r="Y148" i="120"/>
  <c r="AK142" i="120"/>
  <c r="AS148" i="120"/>
  <c r="AS146" i="120"/>
  <c r="AJ142" i="120"/>
  <c r="BA148" i="120"/>
  <c r="AP146" i="120"/>
  <c r="AP142" i="120"/>
  <c r="BB148" i="120"/>
  <c r="AJ146" i="120"/>
  <c r="AJ148" i="120"/>
  <c r="I140" i="120"/>
  <c r="L146" i="120"/>
  <c r="Y140" i="120"/>
  <c r="Z144" i="120"/>
  <c r="E140" i="120"/>
  <c r="X146" i="120"/>
  <c r="E148" i="120"/>
  <c r="Y146" i="120"/>
  <c r="Y144" i="120"/>
  <c r="AE144" i="120"/>
  <c r="K142" i="120"/>
  <c r="I144" i="120"/>
  <c r="L142" i="120"/>
  <c r="M140" i="120"/>
  <c r="S144" i="120"/>
  <c r="AC144" i="120"/>
  <c r="AE148" i="120"/>
  <c r="Z148" i="120"/>
  <c r="K144" i="120"/>
  <c r="X144" i="120"/>
  <c r="P144" i="120"/>
  <c r="M148" i="120"/>
  <c r="AF142" i="120"/>
  <c r="AC140" i="120"/>
  <c r="N142" i="120"/>
  <c r="N144" i="120"/>
  <c r="AE142" i="120"/>
  <c r="AE146" i="120"/>
  <c r="Z142" i="120"/>
  <c r="Z146" i="120"/>
  <c r="K148" i="120"/>
  <c r="K146" i="120"/>
  <c r="X148" i="120"/>
  <c r="X142" i="120"/>
  <c r="P142" i="120"/>
  <c r="P146" i="120"/>
  <c r="E144" i="120"/>
  <c r="E142" i="120"/>
  <c r="E146" i="120"/>
  <c r="M144" i="120"/>
  <c r="M142" i="120"/>
  <c r="N148" i="120"/>
  <c r="AF146" i="120"/>
  <c r="AF144" i="120"/>
  <c r="AI140" i="120"/>
  <c r="S146" i="120"/>
  <c r="AC146" i="120"/>
  <c r="AC148" i="120"/>
  <c r="AC142" i="120"/>
  <c r="AH144" i="120"/>
  <c r="AH146" i="120"/>
  <c r="AJ140" i="120"/>
  <c r="BA140" i="120"/>
  <c r="AZ140" i="120"/>
  <c r="AB148" i="120"/>
  <c r="AV144" i="120"/>
  <c r="AH142" i="120"/>
  <c r="AH148" i="120"/>
  <c r="AI144" i="120"/>
  <c r="BC144" i="120"/>
  <c r="AB144" i="120"/>
  <c r="AV140" i="120"/>
  <c r="AI142" i="120"/>
  <c r="AI148" i="120"/>
  <c r="AV146" i="120"/>
  <c r="AW146" i="120"/>
  <c r="AW142" i="120"/>
  <c r="AY148" i="120"/>
  <c r="AY146" i="120"/>
  <c r="AV142" i="120"/>
  <c r="AW144" i="120"/>
  <c r="L140" i="120"/>
  <c r="N140" i="120"/>
  <c r="AY142" i="120"/>
  <c r="AY144" i="120"/>
  <c r="AL140" i="120"/>
  <c r="AR148" i="120"/>
  <c r="K140" i="120"/>
  <c r="U150" i="120"/>
  <c r="V127" i="140" s="1"/>
  <c r="AW140" i="120"/>
  <c r="AK140" i="120"/>
  <c r="AR144" i="120"/>
  <c r="AR142" i="120"/>
  <c r="V146" i="120"/>
  <c r="J140" i="120"/>
  <c r="T140" i="120"/>
  <c r="BD140" i="120"/>
  <c r="J348" i="64"/>
  <c r="U33" i="111" s="1"/>
  <c r="U92" i="111" s="1"/>
  <c r="AB140" i="120"/>
  <c r="AB142" i="120"/>
  <c r="D142" i="120"/>
  <c r="AR146" i="120"/>
  <c r="AR140" i="120"/>
  <c r="R144" i="120"/>
  <c r="V140" i="120"/>
  <c r="BE148" i="120"/>
  <c r="BD142" i="120"/>
  <c r="BB140" i="120"/>
  <c r="AU142" i="120"/>
  <c r="D146" i="120"/>
  <c r="I41" i="140"/>
  <c r="I50" i="140"/>
  <c r="V148" i="120"/>
  <c r="G140" i="120"/>
  <c r="I79" i="140"/>
  <c r="BC140" i="120"/>
  <c r="AB146" i="120"/>
  <c r="AN140" i="120"/>
  <c r="T144" i="120"/>
  <c r="I94" i="140"/>
  <c r="I72" i="140"/>
  <c r="I38" i="140"/>
  <c r="I58" i="140"/>
  <c r="F140" i="120"/>
  <c r="F144" i="120"/>
  <c r="AF140" i="120"/>
  <c r="AX140" i="120"/>
  <c r="G148" i="120"/>
  <c r="BE140" i="120"/>
  <c r="S140" i="120"/>
  <c r="BD148" i="120"/>
  <c r="AU148" i="120"/>
  <c r="AU140" i="120"/>
  <c r="I77" i="140"/>
  <c r="AH140" i="120"/>
  <c r="AP140" i="120"/>
  <c r="R146" i="120"/>
  <c r="R140" i="120"/>
  <c r="R148" i="120"/>
  <c r="R142" i="120"/>
  <c r="V142" i="120"/>
  <c r="AM140" i="120"/>
  <c r="AD140" i="120"/>
  <c r="AD142" i="120"/>
  <c r="AD148" i="120"/>
  <c r="AD144" i="120"/>
  <c r="AO140" i="120"/>
  <c r="O142" i="120"/>
  <c r="O140" i="120"/>
  <c r="O144" i="120"/>
  <c r="C146" i="120"/>
  <c r="C148" i="120"/>
  <c r="AD11" i="140"/>
  <c r="AD12" i="140" s="1"/>
  <c r="AA140" i="120"/>
  <c r="AA142" i="120"/>
  <c r="AA148" i="120"/>
  <c r="AA144" i="120"/>
  <c r="AA146" i="120"/>
  <c r="Q14" i="79"/>
  <c r="J350" i="64"/>
  <c r="U34" i="111" s="1"/>
  <c r="T146" i="120"/>
  <c r="T142" i="120"/>
  <c r="D140" i="120"/>
  <c r="D148" i="120"/>
  <c r="I39" i="140"/>
  <c r="I37" i="140"/>
  <c r="I61" i="140"/>
  <c r="I57" i="140"/>
  <c r="I59" i="140"/>
  <c r="F148" i="120"/>
  <c r="F146" i="120"/>
  <c r="G144" i="120"/>
  <c r="G146" i="120"/>
  <c r="BE146" i="120"/>
  <c r="BE144" i="120"/>
  <c r="BD146" i="120"/>
  <c r="BD144" i="120"/>
  <c r="AU144" i="120"/>
  <c r="AU146" i="120"/>
  <c r="H92" i="111"/>
  <c r="H51" i="111"/>
  <c r="B8" i="79" s="1"/>
  <c r="H152" i="120"/>
  <c r="AY140" i="120"/>
  <c r="AZ11" i="140"/>
  <c r="AI11" i="140"/>
  <c r="AC11" i="140"/>
  <c r="R11" i="140"/>
  <c r="V12" i="140"/>
  <c r="V79" i="140" s="1"/>
  <c r="AL146" i="120"/>
  <c r="AM11" i="140"/>
  <c r="AP11" i="140"/>
  <c r="AO11" i="140"/>
  <c r="AV148" i="120"/>
  <c r="AW11" i="140"/>
  <c r="Y142" i="120"/>
  <c r="Z11" i="140"/>
  <c r="AH11" i="140"/>
  <c r="AK144" i="120"/>
  <c r="AL11" i="140"/>
  <c r="AE140" i="120"/>
  <c r="AF11" i="140"/>
  <c r="AT11" i="140"/>
  <c r="Z140" i="120"/>
  <c r="AA11" i="140"/>
  <c r="AU11" i="140"/>
  <c r="AK11" i="140"/>
  <c r="X11" i="140"/>
  <c r="BA146" i="120"/>
  <c r="BB11" i="140"/>
  <c r="L11" i="140"/>
  <c r="T148" i="120"/>
  <c r="U11" i="140"/>
  <c r="Y11" i="140"/>
  <c r="I146" i="120"/>
  <c r="J11" i="140"/>
  <c r="M11" i="140"/>
  <c r="D144" i="120"/>
  <c r="E11" i="140"/>
  <c r="BA11" i="140"/>
  <c r="AS11" i="140"/>
  <c r="AQ11" i="140"/>
  <c r="S11" i="140"/>
  <c r="O146" i="120"/>
  <c r="P11" i="140"/>
  <c r="G11" i="140"/>
  <c r="P148" i="120"/>
  <c r="Q11" i="140"/>
  <c r="V144" i="120"/>
  <c r="W11" i="140"/>
  <c r="F11" i="140"/>
  <c r="N11" i="140"/>
  <c r="O11" i="140"/>
  <c r="AM148" i="120"/>
  <c r="AN11" i="140"/>
  <c r="K11" i="140"/>
  <c r="AF148" i="120"/>
  <c r="AG11" i="140"/>
  <c r="AY11" i="140"/>
  <c r="G142" i="120"/>
  <c r="H11" i="140"/>
  <c r="AJ11" i="140"/>
  <c r="BE142" i="120"/>
  <c r="BF11" i="140"/>
  <c r="T11" i="140"/>
  <c r="AR11" i="140"/>
  <c r="BE11" i="140"/>
  <c r="AE11" i="140"/>
  <c r="AB11" i="140"/>
  <c r="BC11" i="140"/>
  <c r="AV11" i="140"/>
  <c r="D11" i="140" l="1"/>
  <c r="AX11" i="140"/>
  <c r="AX12" i="140" s="1"/>
  <c r="AX59" i="140" s="1"/>
  <c r="BD11" i="140"/>
  <c r="C144" i="120"/>
  <c r="Q350" i="64" s="1"/>
  <c r="C34" i="111" s="1"/>
  <c r="C142" i="120"/>
  <c r="BC142" i="120"/>
  <c r="BC150" i="120" s="1"/>
  <c r="BD127" i="140" s="1"/>
  <c r="BC146" i="120"/>
  <c r="AQ43" i="111"/>
  <c r="AQ102" i="111" s="1"/>
  <c r="AQ37" i="111"/>
  <c r="Q148" i="120"/>
  <c r="N350" i="64" s="1"/>
  <c r="Q34" i="111" s="1"/>
  <c r="Q93" i="111" s="1"/>
  <c r="Q144" i="120"/>
  <c r="AQ48" i="111"/>
  <c r="AQ107" i="111" s="1"/>
  <c r="Q43" i="79"/>
  <c r="AZ39" i="111"/>
  <c r="AZ98" i="111" s="1"/>
  <c r="Q140" i="120"/>
  <c r="AQ148" i="120"/>
  <c r="AZ41" i="111"/>
  <c r="AZ100" i="111" s="1"/>
  <c r="W350" i="64"/>
  <c r="N34" i="111" s="1"/>
  <c r="N93" i="111" s="1"/>
  <c r="AQ41" i="111"/>
  <c r="AQ100" i="111" s="1"/>
  <c r="AQ40" i="111"/>
  <c r="AQ99" i="111" s="1"/>
  <c r="AQ109" i="111"/>
  <c r="AG142" i="120"/>
  <c r="AQ144" i="120"/>
  <c r="Q142" i="120"/>
  <c r="N348" i="64" s="1"/>
  <c r="Q33" i="111" s="1"/>
  <c r="AQ146" i="120"/>
  <c r="AQ142" i="120"/>
  <c r="AZ43" i="111"/>
  <c r="AZ102" i="111" s="1"/>
  <c r="AZ37" i="111"/>
  <c r="AZ96" i="111" s="1"/>
  <c r="AZ40" i="111"/>
  <c r="AZ99" i="111" s="1"/>
  <c r="AZ47" i="111"/>
  <c r="AZ106" i="111" s="1"/>
  <c r="AZ45" i="111"/>
  <c r="AZ104" i="111" s="1"/>
  <c r="AZ42" i="111"/>
  <c r="AZ101" i="111" s="1"/>
  <c r="Q52" i="79"/>
  <c r="AZ46" i="111"/>
  <c r="AZ105" i="111" s="1"/>
  <c r="AZ38" i="111"/>
  <c r="AZ97" i="111" s="1"/>
  <c r="AZ48" i="111"/>
  <c r="AZ107" i="111" s="1"/>
  <c r="AQ45" i="111"/>
  <c r="AQ104" i="111" s="1"/>
  <c r="AQ39" i="111"/>
  <c r="AQ42" i="111"/>
  <c r="AQ101" i="111" s="1"/>
  <c r="AQ47" i="111"/>
  <c r="AQ106" i="111" s="1"/>
  <c r="AQ46" i="111"/>
  <c r="AQ105" i="111" s="1"/>
  <c r="AQ38" i="111"/>
  <c r="AG140" i="120"/>
  <c r="AG144" i="120"/>
  <c r="AG146" i="120"/>
  <c r="AZ348" i="64"/>
  <c r="AZ33" i="111" s="1"/>
  <c r="AZ92" i="111" s="1"/>
  <c r="Q31" i="79"/>
  <c r="Q20" i="79"/>
  <c r="AQ108" i="111"/>
  <c r="N40" i="111"/>
  <c r="N99" i="111" s="1"/>
  <c r="AP348" i="64"/>
  <c r="AK350" i="64"/>
  <c r="E350" i="64"/>
  <c r="M34" i="111" s="1"/>
  <c r="M93" i="111" s="1"/>
  <c r="AQ350" i="64"/>
  <c r="O348" i="64"/>
  <c r="R33" i="111" s="1"/>
  <c r="AT85" i="111"/>
  <c r="AT96" i="111"/>
  <c r="AT86" i="111"/>
  <c r="AT97" i="111"/>
  <c r="AT98" i="111"/>
  <c r="AT87" i="111"/>
  <c r="BD348" i="64"/>
  <c r="BD33" i="111" s="1"/>
  <c r="BD92" i="111" s="1"/>
  <c r="S150" i="120"/>
  <c r="T127" i="140" s="1"/>
  <c r="L350" i="64"/>
  <c r="P34" i="111" s="1"/>
  <c r="Q44" i="79"/>
  <c r="AR37" i="111"/>
  <c r="AR109" i="111"/>
  <c r="AR43" i="111"/>
  <c r="AR102" i="111" s="1"/>
  <c r="AR42" i="111"/>
  <c r="AR101" i="111" s="1"/>
  <c r="AR47" i="111"/>
  <c r="AR106" i="111" s="1"/>
  <c r="AR40" i="111"/>
  <c r="AR99" i="111" s="1"/>
  <c r="AR39" i="111"/>
  <c r="AR38" i="111"/>
  <c r="AR46" i="111"/>
  <c r="AR105" i="111" s="1"/>
  <c r="AR41" i="111"/>
  <c r="AR100" i="111" s="1"/>
  <c r="AR48" i="111"/>
  <c r="AR107" i="111" s="1"/>
  <c r="AR45" i="111"/>
  <c r="AR104" i="111" s="1"/>
  <c r="AQ348" i="64"/>
  <c r="AP33" i="111" s="1"/>
  <c r="C348" i="64"/>
  <c r="S33" i="111" s="1"/>
  <c r="AX348" i="64"/>
  <c r="BB33" i="111" s="1"/>
  <c r="BB51" i="111" s="1"/>
  <c r="B54" i="79" s="1"/>
  <c r="AX150" i="120"/>
  <c r="AY127" i="140" s="1"/>
  <c r="AI348" i="64"/>
  <c r="AI33" i="111" s="1"/>
  <c r="AI51" i="111" s="1"/>
  <c r="B35" i="79" s="1"/>
  <c r="AH350" i="64"/>
  <c r="AH34" i="111" s="1"/>
  <c r="AH93" i="111" s="1"/>
  <c r="AC150" i="120"/>
  <c r="AD127" i="140" s="1"/>
  <c r="E348" i="64"/>
  <c r="M33" i="111" s="1"/>
  <c r="M92" i="111" s="1"/>
  <c r="G348" i="64"/>
  <c r="X33" i="111" s="1"/>
  <c r="S348" i="64"/>
  <c r="Z348" i="64"/>
  <c r="Z33" i="111" s="1"/>
  <c r="Z92" i="111" s="1"/>
  <c r="AE150" i="120"/>
  <c r="AF127" i="140" s="1"/>
  <c r="W348" i="64"/>
  <c r="N33" i="111" s="1"/>
  <c r="Z350" i="64"/>
  <c r="Z34" i="111" s="1"/>
  <c r="Z93" i="111" s="1"/>
  <c r="K348" i="64"/>
  <c r="L33" i="111" s="1"/>
  <c r="AJ348" i="64"/>
  <c r="AJ33" i="111" s="1"/>
  <c r="AJ92" i="111" s="1"/>
  <c r="AW348" i="64"/>
  <c r="AS33" i="111" s="1"/>
  <c r="AS51" i="111" s="1"/>
  <c r="B45" i="79" s="1"/>
  <c r="AK348" i="64"/>
  <c r="AK33" i="111" s="1"/>
  <c r="AK51" i="111" s="1"/>
  <c r="B37" i="79" s="1"/>
  <c r="BB150" i="120"/>
  <c r="BC127" i="140" s="1"/>
  <c r="AZ150" i="120"/>
  <c r="BA127" i="140" s="1"/>
  <c r="AV350" i="64"/>
  <c r="AX34" i="111" s="1"/>
  <c r="AX93" i="111" s="1"/>
  <c r="E150" i="120"/>
  <c r="F127" i="140" s="1"/>
  <c r="U348" i="64"/>
  <c r="AY348" i="64"/>
  <c r="AT33" i="111" s="1"/>
  <c r="AT51" i="111" s="1"/>
  <c r="B46" i="79" s="1"/>
  <c r="P348" i="64"/>
  <c r="V33" i="111" s="1"/>
  <c r="V51" i="111" s="1"/>
  <c r="P350" i="64"/>
  <c r="V34" i="111" s="1"/>
  <c r="V93" i="111" s="1"/>
  <c r="V350" i="64"/>
  <c r="AT350" i="64"/>
  <c r="BA34" i="111" s="1"/>
  <c r="BA93" i="111" s="1"/>
  <c r="AJ350" i="64"/>
  <c r="AJ34" i="111" s="1"/>
  <c r="AJ93" i="111" s="1"/>
  <c r="Q348" i="64"/>
  <c r="C33" i="111" s="1"/>
  <c r="C92" i="111" s="1"/>
  <c r="AN348" i="64"/>
  <c r="BC33" i="111" s="1"/>
  <c r="BC51" i="111" s="1"/>
  <c r="B55" i="79" s="1"/>
  <c r="AP350" i="64"/>
  <c r="AS348" i="64"/>
  <c r="AR33" i="111" s="1"/>
  <c r="AR92" i="111" s="1"/>
  <c r="BA348" i="64"/>
  <c r="AY33" i="111" s="1"/>
  <c r="AY51" i="111" s="1"/>
  <c r="B51" i="79" s="1"/>
  <c r="BC350" i="64"/>
  <c r="AW34" i="111" s="1"/>
  <c r="BC348" i="64"/>
  <c r="AW33" i="111" s="1"/>
  <c r="AW51" i="111" s="1"/>
  <c r="B49" i="79" s="1"/>
  <c r="AI150" i="120"/>
  <c r="AJ127" i="140" s="1"/>
  <c r="AH150" i="120"/>
  <c r="AI127" i="140" s="1"/>
  <c r="AC348" i="64"/>
  <c r="AC33" i="111" s="1"/>
  <c r="AC92" i="111" s="1"/>
  <c r="AO348" i="64"/>
  <c r="AN33" i="111" s="1"/>
  <c r="AN92" i="111" s="1"/>
  <c r="N37" i="111"/>
  <c r="N96" i="111" s="1"/>
  <c r="Y150" i="120"/>
  <c r="Z127" i="140" s="1"/>
  <c r="N38" i="111"/>
  <c r="N97" i="111" s="1"/>
  <c r="N45" i="111"/>
  <c r="N104" i="111" s="1"/>
  <c r="AB150" i="120"/>
  <c r="AC127" i="140" s="1"/>
  <c r="U51" i="111"/>
  <c r="U52" i="111" s="1"/>
  <c r="N46" i="111"/>
  <c r="N105" i="111" s="1"/>
  <c r="N109" i="111"/>
  <c r="N47" i="111"/>
  <c r="N106" i="111" s="1"/>
  <c r="M150" i="120"/>
  <c r="N127" i="140" s="1"/>
  <c r="D348" i="64"/>
  <c r="K150" i="120"/>
  <c r="L127" i="140" s="1"/>
  <c r="Z150" i="120"/>
  <c r="AA127" i="140" s="1"/>
  <c r="AE348" i="64"/>
  <c r="AE33" i="111" s="1"/>
  <c r="N150" i="120"/>
  <c r="O127" i="140" s="1"/>
  <c r="L150" i="120"/>
  <c r="M127" i="140" s="1"/>
  <c r="AP150" i="120"/>
  <c r="AQ127" i="140" s="1"/>
  <c r="AN150" i="120"/>
  <c r="AO127" i="140" s="1"/>
  <c r="AX350" i="64"/>
  <c r="BB34" i="111" s="1"/>
  <c r="BB93" i="111" s="1"/>
  <c r="AV348" i="64"/>
  <c r="AX33" i="111" s="1"/>
  <c r="AX51" i="111" s="1"/>
  <c r="B50" i="79" s="1"/>
  <c r="AH348" i="64"/>
  <c r="AH33" i="111" s="1"/>
  <c r="AH51" i="111" s="1"/>
  <c r="B34" i="79" s="1"/>
  <c r="AU150" i="120"/>
  <c r="AV127" i="140" s="1"/>
  <c r="J150" i="120"/>
  <c r="K127" i="140" s="1"/>
  <c r="AT150" i="120"/>
  <c r="AU127" i="140" s="1"/>
  <c r="F150" i="120"/>
  <c r="G127" i="140" s="1"/>
  <c r="AD150" i="120"/>
  <c r="AE127" i="140" s="1"/>
  <c r="AS350" i="64"/>
  <c r="AR34" i="111" s="1"/>
  <c r="AR93" i="111" s="1"/>
  <c r="AW150" i="120"/>
  <c r="AX127" i="140" s="1"/>
  <c r="D350" i="64"/>
  <c r="G350" i="64"/>
  <c r="X34" i="111" s="1"/>
  <c r="AW350" i="64"/>
  <c r="AS34" i="111" s="1"/>
  <c r="AS93" i="111" s="1"/>
  <c r="AO150" i="120"/>
  <c r="AP127" i="140" s="1"/>
  <c r="AJ150" i="120"/>
  <c r="AK127" i="140" s="1"/>
  <c r="U350" i="64"/>
  <c r="J34" i="111" s="1"/>
  <c r="J93" i="111" s="1"/>
  <c r="AB348" i="64"/>
  <c r="AB33" i="111" s="1"/>
  <c r="AB51" i="111" s="1"/>
  <c r="B28" i="79" s="1"/>
  <c r="AY150" i="120"/>
  <c r="AZ127" i="140" s="1"/>
  <c r="K350" i="64"/>
  <c r="L34" i="111" s="1"/>
  <c r="L93" i="111" s="1"/>
  <c r="AF350" i="64"/>
  <c r="AF34" i="111" s="1"/>
  <c r="AF93" i="111" s="1"/>
  <c r="AM350" i="64"/>
  <c r="AM34" i="111" s="1"/>
  <c r="AM93" i="111" s="1"/>
  <c r="R348" i="64"/>
  <c r="X350" i="64"/>
  <c r="X150" i="120"/>
  <c r="Y127" i="140" s="1"/>
  <c r="AS150" i="120"/>
  <c r="AT127" i="140" s="1"/>
  <c r="BB350" i="64"/>
  <c r="AV34" i="111" s="1"/>
  <c r="AV93" i="111" s="1"/>
  <c r="AL350" i="64"/>
  <c r="AL34" i="111" s="1"/>
  <c r="AL93" i="111" s="1"/>
  <c r="U152" i="120"/>
  <c r="N48" i="111"/>
  <c r="N107" i="111" s="1"/>
  <c r="N42" i="111"/>
  <c r="N101" i="111" s="1"/>
  <c r="N43" i="111"/>
  <c r="N102" i="111" s="1"/>
  <c r="N39" i="111"/>
  <c r="N98" i="111" s="1"/>
  <c r="N41" i="111"/>
  <c r="N100" i="111" s="1"/>
  <c r="AZ350" i="64"/>
  <c r="AZ34" i="111" s="1"/>
  <c r="AZ93" i="111" s="1"/>
  <c r="AL150" i="120"/>
  <c r="AM127" i="140" s="1"/>
  <c r="O33" i="111"/>
  <c r="O92" i="111" s="1"/>
  <c r="AO33" i="111"/>
  <c r="AO51" i="111" s="1"/>
  <c r="B41" i="79" s="1"/>
  <c r="E20" i="111"/>
  <c r="E39" i="111" s="1"/>
  <c r="F20" i="111"/>
  <c r="W20" i="111"/>
  <c r="W39" i="111" s="1"/>
  <c r="BE20" i="111"/>
  <c r="AE46" i="111"/>
  <c r="AE105" i="111" s="1"/>
  <c r="AE41" i="111"/>
  <c r="AE100" i="111" s="1"/>
  <c r="AE45" i="111"/>
  <c r="AE104" i="111" s="1"/>
  <c r="AE47" i="111"/>
  <c r="AE106" i="111" s="1"/>
  <c r="AE48" i="111"/>
  <c r="AE107" i="111" s="1"/>
  <c r="AE42" i="111"/>
  <c r="AE101" i="111" s="1"/>
  <c r="AE38" i="111"/>
  <c r="AE40" i="111"/>
  <c r="AE99" i="111" s="1"/>
  <c r="AE39" i="111"/>
  <c r="AE43" i="111"/>
  <c r="AE102" i="111" s="1"/>
  <c r="AE109" i="111"/>
  <c r="AE37" i="111"/>
  <c r="E21" i="111"/>
  <c r="P4" i="79" s="1"/>
  <c r="F21" i="111"/>
  <c r="P6" i="79" s="1"/>
  <c r="W21" i="111"/>
  <c r="W76" i="111" s="1"/>
  <c r="BE21" i="111"/>
  <c r="P57" i="79" s="1"/>
  <c r="C350" i="64"/>
  <c r="S34" i="111" s="1"/>
  <c r="S93" i="111" s="1"/>
  <c r="AI350" i="64"/>
  <c r="AI34" i="111" s="1"/>
  <c r="P150" i="120"/>
  <c r="Q127" i="140" s="1"/>
  <c r="BA350" i="64"/>
  <c r="AY34" i="111" s="1"/>
  <c r="AY93" i="111" s="1"/>
  <c r="S350" i="64"/>
  <c r="K34" i="111" s="1"/>
  <c r="K93" i="111" s="1"/>
  <c r="AO350" i="64"/>
  <c r="AN34" i="111" s="1"/>
  <c r="AY350" i="64"/>
  <c r="AT34" i="111" s="1"/>
  <c r="AT93" i="111" s="1"/>
  <c r="AI93" i="111"/>
  <c r="AE350" i="64"/>
  <c r="AE34" i="111" s="1"/>
  <c r="AE93" i="111" s="1"/>
  <c r="Y350" i="64"/>
  <c r="Y34" i="111" s="1"/>
  <c r="Y93" i="111" s="1"/>
  <c r="O150" i="120"/>
  <c r="P127" i="140" s="1"/>
  <c r="D150" i="120"/>
  <c r="E127" i="140" s="1"/>
  <c r="BA150" i="120"/>
  <c r="BB127" i="140" s="1"/>
  <c r="AM150" i="120"/>
  <c r="AN127" i="140" s="1"/>
  <c r="AK150" i="120"/>
  <c r="AL127" i="140" s="1"/>
  <c r="AC350" i="64"/>
  <c r="AC34" i="111" s="1"/>
  <c r="AC93" i="111" s="1"/>
  <c r="AB350" i="64"/>
  <c r="AB34" i="111" s="1"/>
  <c r="AB93" i="111" s="1"/>
  <c r="AF150" i="120"/>
  <c r="AG127" i="140" s="1"/>
  <c r="I150" i="120"/>
  <c r="J127" i="140" s="1"/>
  <c r="AV150" i="120"/>
  <c r="AW127" i="140" s="1"/>
  <c r="H348" i="64"/>
  <c r="I348" i="64"/>
  <c r="T33" i="111" s="1"/>
  <c r="T92" i="111" s="1"/>
  <c r="C150" i="120"/>
  <c r="D127" i="140" s="1"/>
  <c r="AD348" i="64"/>
  <c r="AD33" i="111" s="1"/>
  <c r="AD51" i="111" s="1"/>
  <c r="B30" i="79" s="1"/>
  <c r="AU348" i="64"/>
  <c r="AU33" i="111" s="1"/>
  <c r="AU51" i="111" s="1"/>
  <c r="B47" i="79" s="1"/>
  <c r="BD150" i="120"/>
  <c r="BE127" i="140" s="1"/>
  <c r="O350" i="64"/>
  <c r="R34" i="111" s="1"/>
  <c r="X348" i="64"/>
  <c r="D33" i="111" s="1"/>
  <c r="D92" i="111" s="1"/>
  <c r="AR150" i="120"/>
  <c r="AS127" i="140" s="1"/>
  <c r="AN350" i="64"/>
  <c r="BC34" i="111" s="1"/>
  <c r="BC93" i="111" s="1"/>
  <c r="R93" i="111"/>
  <c r="R150" i="120"/>
  <c r="S127" i="140" s="1"/>
  <c r="T150" i="120"/>
  <c r="U127" i="140" s="1"/>
  <c r="AA348" i="64"/>
  <c r="AA33" i="111" s="1"/>
  <c r="AL348" i="64"/>
  <c r="AL33" i="111" s="1"/>
  <c r="AL92" i="111" s="1"/>
  <c r="V94" i="140"/>
  <c r="AD95" i="140"/>
  <c r="V95" i="140"/>
  <c r="AM348" i="64"/>
  <c r="AM33" i="111" s="1"/>
  <c r="AM92" i="111" s="1"/>
  <c r="V150" i="120"/>
  <c r="W127" i="140" s="1"/>
  <c r="L348" i="64"/>
  <c r="P33" i="111" s="1"/>
  <c r="P92" i="111" s="1"/>
  <c r="V72" i="140"/>
  <c r="V50" i="140"/>
  <c r="V58" i="140"/>
  <c r="BE350" i="64"/>
  <c r="BF34" i="111" s="1"/>
  <c r="M350" i="64"/>
  <c r="G34" i="111" s="1"/>
  <c r="G93" i="111" s="1"/>
  <c r="H350" i="64"/>
  <c r="I350" i="64"/>
  <c r="T34" i="111" s="1"/>
  <c r="AD350" i="64"/>
  <c r="AD34" i="111" s="1"/>
  <c r="AD93" i="111" s="1"/>
  <c r="V77" i="140"/>
  <c r="V37" i="140"/>
  <c r="V59" i="140"/>
  <c r="AD77" i="140"/>
  <c r="AD79" i="140"/>
  <c r="P93" i="111"/>
  <c r="AD38" i="140"/>
  <c r="AD41" i="140"/>
  <c r="AD39" i="140"/>
  <c r="AD57" i="140"/>
  <c r="AD61" i="140"/>
  <c r="L8" i="79"/>
  <c r="BB8" i="79"/>
  <c r="AQ98" i="111"/>
  <c r="AQ96" i="111"/>
  <c r="U93" i="111"/>
  <c r="R350" i="64"/>
  <c r="AD94" i="140"/>
  <c r="AD72" i="140"/>
  <c r="AD37" i="140"/>
  <c r="AD50" i="140"/>
  <c r="AD59" i="140"/>
  <c r="AD58" i="140"/>
  <c r="AF348" i="64"/>
  <c r="AF33" i="111" s="1"/>
  <c r="AF92" i="111" s="1"/>
  <c r="V348" i="64"/>
  <c r="I33" i="111" s="1"/>
  <c r="I51" i="111" s="1"/>
  <c r="AT348" i="64"/>
  <c r="BA33" i="111" s="1"/>
  <c r="BA92" i="111" s="1"/>
  <c r="BB348" i="64"/>
  <c r="AV33" i="111" s="1"/>
  <c r="AV92" i="111" s="1"/>
  <c r="V38" i="140"/>
  <c r="V41" i="140"/>
  <c r="V39" i="140"/>
  <c r="V57" i="140"/>
  <c r="V61" i="140"/>
  <c r="AQ97" i="111"/>
  <c r="AU350" i="64"/>
  <c r="AU34" i="111" s="1"/>
  <c r="BD350" i="64"/>
  <c r="BD34" i="111" s="1"/>
  <c r="AA350" i="64"/>
  <c r="AA34" i="111" s="1"/>
  <c r="AA150" i="120"/>
  <c r="AB127" i="140" s="1"/>
  <c r="Y348" i="64"/>
  <c r="Y33" i="111" s="1"/>
  <c r="AV12" i="140"/>
  <c r="AV77" i="140" s="1"/>
  <c r="BB92" i="111"/>
  <c r="BC12" i="140"/>
  <c r="BC94" i="140" s="1"/>
  <c r="AB12" i="140"/>
  <c r="AB77" i="140" s="1"/>
  <c r="AD152" i="120"/>
  <c r="AE12" i="140"/>
  <c r="AE77" i="140" s="1"/>
  <c r="BE12" i="140"/>
  <c r="BE95" i="140" s="1"/>
  <c r="AC51" i="111"/>
  <c r="B29" i="79" s="1"/>
  <c r="AR12" i="140"/>
  <c r="AR77" i="140" s="1"/>
  <c r="T12" i="140"/>
  <c r="T77" i="140" s="1"/>
  <c r="S51" i="111"/>
  <c r="S92" i="111"/>
  <c r="S152" i="120"/>
  <c r="BF12" i="140"/>
  <c r="BF77" i="140" s="1"/>
  <c r="BE150" i="120"/>
  <c r="BF127" i="140" s="1"/>
  <c r="BE348" i="64"/>
  <c r="C51" i="111"/>
  <c r="D12" i="140"/>
  <c r="D77" i="140" s="1"/>
  <c r="AJ12" i="140"/>
  <c r="AJ79" i="140" s="1"/>
  <c r="AI152" i="120"/>
  <c r="AI92" i="111"/>
  <c r="H12" i="140"/>
  <c r="H77" i="140" s="1"/>
  <c r="M348" i="64"/>
  <c r="G33" i="111" s="1"/>
  <c r="G150" i="120"/>
  <c r="H127" i="140" s="1"/>
  <c r="AY12" i="140"/>
  <c r="AY50" i="140" s="1"/>
  <c r="AX152" i="120"/>
  <c r="AX92" i="111"/>
  <c r="AG12" i="140"/>
  <c r="AG50" i="140" s="1"/>
  <c r="K12" i="140"/>
  <c r="K57" i="140" s="1"/>
  <c r="AN12" i="140"/>
  <c r="AN79" i="140" s="1"/>
  <c r="N92" i="111"/>
  <c r="O12" i="140"/>
  <c r="O77" i="140" s="1"/>
  <c r="N12" i="140"/>
  <c r="N77" i="140" s="1"/>
  <c r="M51" i="111"/>
  <c r="B13" i="79" s="1"/>
  <c r="F12" i="140"/>
  <c r="F58" i="140" s="1"/>
  <c r="V92" i="111"/>
  <c r="W12" i="140"/>
  <c r="W79" i="140" s="1"/>
  <c r="Q12" i="140"/>
  <c r="Q77" i="140" s="1"/>
  <c r="G12" i="140"/>
  <c r="G77" i="140" s="1"/>
  <c r="P12" i="140"/>
  <c r="P77" i="140" s="1"/>
  <c r="R51" i="111"/>
  <c r="R92" i="111"/>
  <c r="S12" i="140"/>
  <c r="S57" i="140" s="1"/>
  <c r="AQ12" i="140"/>
  <c r="AQ77" i="140" s="1"/>
  <c r="AS12" i="140"/>
  <c r="AS95" i="140" s="1"/>
  <c r="BA12" i="140"/>
  <c r="BA95" i="140" s="1"/>
  <c r="E12" i="140"/>
  <c r="E41" i="140" s="1"/>
  <c r="M12" i="140"/>
  <c r="M95" i="140" s="1"/>
  <c r="J12" i="140"/>
  <c r="J77" i="140" s="1"/>
  <c r="Y12" i="140"/>
  <c r="Y50" i="140" s="1"/>
  <c r="U12" i="140"/>
  <c r="U95" i="140" s="1"/>
  <c r="L12" i="140"/>
  <c r="L79" i="140" s="1"/>
  <c r="K152" i="120"/>
  <c r="BB12" i="140"/>
  <c r="BB79" i="140" s="1"/>
  <c r="X12" i="140"/>
  <c r="X61" i="140" s="1"/>
  <c r="AK12" i="140"/>
  <c r="AK59" i="140" s="1"/>
  <c r="AJ51" i="111"/>
  <c r="B36" i="79" s="1"/>
  <c r="AU12" i="140"/>
  <c r="AU95" i="140" s="1"/>
  <c r="Z51" i="111"/>
  <c r="B26" i="79" s="1"/>
  <c r="AA12" i="140"/>
  <c r="AA79" i="140" s="1"/>
  <c r="AS92" i="111"/>
  <c r="AT12" i="140"/>
  <c r="AT77" i="140" s="1"/>
  <c r="AF12" i="140"/>
  <c r="AF61" i="140" s="1"/>
  <c r="AE152" i="120"/>
  <c r="AL12" i="140"/>
  <c r="AL77" i="140" s="1"/>
  <c r="AK92" i="111"/>
  <c r="AH12" i="140"/>
  <c r="AH61" i="140" s="1"/>
  <c r="Z12" i="140"/>
  <c r="Z77" i="140" s="1"/>
  <c r="Y152" i="120"/>
  <c r="AW12" i="140"/>
  <c r="AW94" i="140" s="1"/>
  <c r="AO12" i="140"/>
  <c r="AO95" i="140" s="1"/>
  <c r="AP12" i="140"/>
  <c r="AP77" i="140" s="1"/>
  <c r="AM12" i="140"/>
  <c r="AM95" i="140" s="1"/>
  <c r="R12" i="140"/>
  <c r="R77" i="140" s="1"/>
  <c r="AC12" i="140"/>
  <c r="AC95" i="140" s="1"/>
  <c r="BD12" i="140"/>
  <c r="BD59" i="140" s="1"/>
  <c r="AH92" i="111"/>
  <c r="AI12" i="140"/>
  <c r="AI77" i="140" s="1"/>
  <c r="AZ12" i="140"/>
  <c r="AZ61" i="140" s="1"/>
  <c r="U58" i="111"/>
  <c r="H58" i="111"/>
  <c r="H52" i="111"/>
  <c r="C8" i="79" s="1"/>
  <c r="H72" i="111"/>
  <c r="H75" i="111" s="1"/>
  <c r="AP51" i="111" l="1"/>
  <c r="B42" i="79" s="1"/>
  <c r="AP92" i="111"/>
  <c r="U72" i="111"/>
  <c r="U75" i="111" s="1"/>
  <c r="BC92" i="111"/>
  <c r="AL152" i="120"/>
  <c r="AO92" i="111"/>
  <c r="AZ51" i="111"/>
  <c r="B52" i="79" s="1"/>
  <c r="M152" i="120"/>
  <c r="AC152" i="120"/>
  <c r="BD51" i="111"/>
  <c r="B56" i="79" s="1"/>
  <c r="Q150" i="120"/>
  <c r="R127" i="140" s="1"/>
  <c r="AZ85" i="111"/>
  <c r="AW152" i="120"/>
  <c r="BA152" i="120"/>
  <c r="Q23" i="79"/>
  <c r="X51" i="111"/>
  <c r="B24" i="79" s="1"/>
  <c r="X92" i="111"/>
  <c r="AR350" i="64"/>
  <c r="AY92" i="111"/>
  <c r="AB92" i="111"/>
  <c r="AN152" i="120"/>
  <c r="AW92" i="111"/>
  <c r="AT92" i="111"/>
  <c r="L152" i="120"/>
  <c r="F152" i="120"/>
  <c r="P152" i="120"/>
  <c r="J152" i="120"/>
  <c r="AD92" i="111"/>
  <c r="AQ86" i="111"/>
  <c r="L92" i="111"/>
  <c r="L51" i="111"/>
  <c r="AB152" i="120"/>
  <c r="Q152" i="120"/>
  <c r="AV152" i="120"/>
  <c r="BB152" i="120"/>
  <c r="AU152" i="120"/>
  <c r="W42" i="111"/>
  <c r="W101" i="111" s="1"/>
  <c r="W38" i="111"/>
  <c r="P5" i="79"/>
  <c r="P23" i="79"/>
  <c r="E46" i="111"/>
  <c r="E105" i="111" s="1"/>
  <c r="D152" i="120"/>
  <c r="F34" i="111"/>
  <c r="F93" i="111" s="1"/>
  <c r="AR51" i="111"/>
  <c r="B44" i="79" s="1"/>
  <c r="BB44" i="79" s="1"/>
  <c r="AQ87" i="111"/>
  <c r="F33" i="111"/>
  <c r="F92" i="111" s="1"/>
  <c r="E33" i="111"/>
  <c r="E92" i="111" s="1"/>
  <c r="Q92" i="111"/>
  <c r="Q51" i="111"/>
  <c r="B17" i="79" s="1"/>
  <c r="L17" i="79" s="1"/>
  <c r="AH152" i="120"/>
  <c r="AN51" i="111"/>
  <c r="B40" i="79" s="1"/>
  <c r="BB40" i="79" s="1"/>
  <c r="AS152" i="120"/>
  <c r="AT152" i="120"/>
  <c r="AJ152" i="120"/>
  <c r="AZ152" i="120"/>
  <c r="AP152" i="120"/>
  <c r="O51" i="111"/>
  <c r="O58" i="111" s="1"/>
  <c r="E152" i="120"/>
  <c r="N51" i="111"/>
  <c r="N52" i="111" s="1"/>
  <c r="C14" i="79" s="1"/>
  <c r="W45" i="111"/>
  <c r="W104" i="111" s="1"/>
  <c r="W109" i="111"/>
  <c r="N85" i="111"/>
  <c r="N86" i="111"/>
  <c r="E48" i="111"/>
  <c r="E107" i="111" s="1"/>
  <c r="E40" i="111"/>
  <c r="E99" i="111" s="1"/>
  <c r="AZ87" i="111"/>
  <c r="AG348" i="64"/>
  <c r="AG33" i="111" s="1"/>
  <c r="AG51" i="111" s="1"/>
  <c r="AR348" i="64"/>
  <c r="AQ33" i="111" s="1"/>
  <c r="AG150" i="120"/>
  <c r="AH127" i="140" s="1"/>
  <c r="D51" i="111"/>
  <c r="D58" i="111" s="1"/>
  <c r="AM152" i="120"/>
  <c r="E76" i="111"/>
  <c r="Q5" i="79"/>
  <c r="E45" i="111"/>
  <c r="E104" i="111" s="1"/>
  <c r="E41" i="111"/>
  <c r="E100" i="111" s="1"/>
  <c r="AZ86" i="111"/>
  <c r="AQ150" i="120"/>
  <c r="AQ152" i="120" s="1"/>
  <c r="N87" i="111"/>
  <c r="AR127" i="140"/>
  <c r="AY152" i="120"/>
  <c r="AL51" i="111"/>
  <c r="AL72" i="111" s="1"/>
  <c r="AL75" i="111" s="1"/>
  <c r="AO152" i="120"/>
  <c r="AV51" i="111"/>
  <c r="B48" i="79" s="1"/>
  <c r="BB48" i="79" s="1"/>
  <c r="Z152" i="120"/>
  <c r="T152" i="120"/>
  <c r="X152" i="120"/>
  <c r="N152" i="120"/>
  <c r="C34" i="117"/>
  <c r="C52" i="117" s="1"/>
  <c r="C59" i="117" s="1"/>
  <c r="AQ85" i="111"/>
  <c r="AG350" i="64"/>
  <c r="AG34" i="111" s="1"/>
  <c r="AE51" i="111"/>
  <c r="B31" i="79" s="1"/>
  <c r="L31" i="79" s="1"/>
  <c r="AE92" i="111"/>
  <c r="P51" i="111"/>
  <c r="B16" i="79" s="1"/>
  <c r="BB16" i="79" s="1"/>
  <c r="AM51" i="111"/>
  <c r="B39" i="79" s="1"/>
  <c r="L39" i="79" s="1"/>
  <c r="AW93" i="111"/>
  <c r="BC152" i="120"/>
  <c r="AK152" i="120"/>
  <c r="T51" i="111"/>
  <c r="T52" i="111" s="1"/>
  <c r="I152" i="120"/>
  <c r="AR152" i="120"/>
  <c r="O152" i="120"/>
  <c r="AU92" i="111"/>
  <c r="BE33" i="111"/>
  <c r="BF33" i="111"/>
  <c r="BF93" i="111"/>
  <c r="W46" i="111"/>
  <c r="W105" i="111" s="1"/>
  <c r="Q6" i="79"/>
  <c r="Q57" i="79"/>
  <c r="Q4" i="79"/>
  <c r="AR87" i="111"/>
  <c r="AR98" i="111"/>
  <c r="AR96" i="111"/>
  <c r="AR85" i="111"/>
  <c r="AR97" i="111"/>
  <c r="AR86" i="111"/>
  <c r="R152" i="120"/>
  <c r="V152" i="120"/>
  <c r="AF152" i="120"/>
  <c r="T93" i="111"/>
  <c r="I92" i="111"/>
  <c r="BA51" i="111"/>
  <c r="B53" i="79" s="1"/>
  <c r="BB53" i="79" s="1"/>
  <c r="C152" i="120"/>
  <c r="BD152" i="120"/>
  <c r="W37" i="111"/>
  <c r="W85" i="111" s="1"/>
  <c r="W41" i="111"/>
  <c r="W100" i="111" s="1"/>
  <c r="W40" i="111"/>
  <c r="W99" i="111" s="1"/>
  <c r="W47" i="111"/>
  <c r="W106" i="111" s="1"/>
  <c r="W43" i="111"/>
  <c r="W102" i="111" s="1"/>
  <c r="W48" i="111"/>
  <c r="W107" i="111" s="1"/>
  <c r="E110" i="111"/>
  <c r="W110" i="111"/>
  <c r="E34" i="111"/>
  <c r="E93" i="111" s="1"/>
  <c r="E42" i="111"/>
  <c r="E101" i="111" s="1"/>
  <c r="E38" i="111"/>
  <c r="E97" i="111" s="1"/>
  <c r="E43" i="111"/>
  <c r="E102" i="111" s="1"/>
  <c r="E47" i="111"/>
  <c r="E106" i="111" s="1"/>
  <c r="E109" i="111"/>
  <c r="E37" i="111"/>
  <c r="E96" i="111" s="1"/>
  <c r="B18" i="79"/>
  <c r="L18" i="79" s="1"/>
  <c r="B22" i="79"/>
  <c r="B3" i="79"/>
  <c r="BB3" i="79" s="1"/>
  <c r="B19" i="79"/>
  <c r="L19" i="79" s="1"/>
  <c r="O34" i="111"/>
  <c r="O93" i="111" s="1"/>
  <c r="BE34" i="111"/>
  <c r="BE93" i="111" s="1"/>
  <c r="AO34" i="111"/>
  <c r="AQ34" i="111"/>
  <c r="I34" i="111"/>
  <c r="I93" i="111" s="1"/>
  <c r="AE87" i="111"/>
  <c r="AE98" i="111"/>
  <c r="AE97" i="111"/>
  <c r="AE86" i="111"/>
  <c r="D34" i="111"/>
  <c r="D93" i="111" s="1"/>
  <c r="J33" i="111"/>
  <c r="B14" i="79"/>
  <c r="L14" i="79" s="1"/>
  <c r="BE110" i="111"/>
  <c r="BE76" i="111"/>
  <c r="AP34" i="111"/>
  <c r="F76" i="111"/>
  <c r="F110" i="111"/>
  <c r="B21" i="79"/>
  <c r="AK34" i="111"/>
  <c r="AE96" i="111"/>
  <c r="AE85" i="111"/>
  <c r="BE38" i="111"/>
  <c r="BE46" i="111"/>
  <c r="BE105" i="111" s="1"/>
  <c r="BE39" i="111"/>
  <c r="BE45" i="111"/>
  <c r="BE104" i="111" s="1"/>
  <c r="BE43" i="111"/>
  <c r="BE102" i="111" s="1"/>
  <c r="BE42" i="111"/>
  <c r="BE101" i="111" s="1"/>
  <c r="BE109" i="111"/>
  <c r="BE41" i="111"/>
  <c r="BE100" i="111" s="1"/>
  <c r="BE47" i="111"/>
  <c r="BE106" i="111" s="1"/>
  <c r="BE40" i="111"/>
  <c r="BE99" i="111" s="1"/>
  <c r="BE48" i="111"/>
  <c r="BE107" i="111" s="1"/>
  <c r="BE37" i="111"/>
  <c r="X93" i="111"/>
  <c r="F41" i="111"/>
  <c r="F100" i="111" s="1"/>
  <c r="F48" i="111"/>
  <c r="F107" i="111" s="1"/>
  <c r="F43" i="111"/>
  <c r="F102" i="111" s="1"/>
  <c r="F46" i="111"/>
  <c r="F105" i="111" s="1"/>
  <c r="F45" i="111"/>
  <c r="F104" i="111" s="1"/>
  <c r="F47" i="111"/>
  <c r="F106" i="111" s="1"/>
  <c r="F109" i="111"/>
  <c r="F37" i="111"/>
  <c r="F40" i="111"/>
  <c r="F99" i="111" s="1"/>
  <c r="F39" i="111"/>
  <c r="F42" i="111"/>
  <c r="F101" i="111" s="1"/>
  <c r="F38" i="111"/>
  <c r="K33" i="111"/>
  <c r="AN93" i="111"/>
  <c r="AF51" i="111"/>
  <c r="B32" i="79" s="1"/>
  <c r="BB32" i="79" s="1"/>
  <c r="AA92" i="111"/>
  <c r="AA51" i="111"/>
  <c r="AI94" i="140"/>
  <c r="BD72" i="140"/>
  <c r="AM94" i="140"/>
  <c r="AO94" i="140"/>
  <c r="J94" i="140"/>
  <c r="M94" i="140"/>
  <c r="M72" i="140"/>
  <c r="AS94" i="140"/>
  <c r="AS72" i="140"/>
  <c r="W94" i="140"/>
  <c r="F94" i="140"/>
  <c r="N94" i="140"/>
  <c r="O94" i="140"/>
  <c r="BF50" i="140"/>
  <c r="P94" i="140"/>
  <c r="P72" i="140"/>
  <c r="BF94" i="140"/>
  <c r="BF59" i="140"/>
  <c r="BD94" i="140"/>
  <c r="BD37" i="140"/>
  <c r="AM72" i="140"/>
  <c r="AP38" i="140"/>
  <c r="AA94" i="140"/>
  <c r="AU94" i="140"/>
  <c r="BB37" i="140"/>
  <c r="L94" i="140"/>
  <c r="L72" i="140"/>
  <c r="M58" i="140"/>
  <c r="E94" i="140"/>
  <c r="E72" i="140"/>
  <c r="AS58" i="140"/>
  <c r="AQ94" i="140"/>
  <c r="AQ37" i="140"/>
  <c r="P59" i="140"/>
  <c r="D94" i="140"/>
  <c r="D72" i="140"/>
  <c r="L59" i="140"/>
  <c r="E58" i="140"/>
  <c r="D58" i="140"/>
  <c r="BD50" i="140"/>
  <c r="AM50" i="140"/>
  <c r="AO61" i="140"/>
  <c r="AL61" i="140"/>
  <c r="AA50" i="140"/>
  <c r="AU61" i="140"/>
  <c r="G38" i="140"/>
  <c r="H41" i="140"/>
  <c r="AR39" i="140"/>
  <c r="AB39" i="140"/>
  <c r="AI95" i="140"/>
  <c r="R95" i="140"/>
  <c r="AP95" i="140"/>
  <c r="Z95" i="140"/>
  <c r="AL95" i="140"/>
  <c r="AT95" i="140"/>
  <c r="Y95" i="140"/>
  <c r="E95" i="140"/>
  <c r="P95" i="140"/>
  <c r="AG95" i="140"/>
  <c r="BC95" i="140"/>
  <c r="AW95" i="140"/>
  <c r="AA95" i="140"/>
  <c r="AK95" i="140"/>
  <c r="L95" i="140"/>
  <c r="J95" i="140"/>
  <c r="G95" i="140"/>
  <c r="F95" i="140"/>
  <c r="AY95" i="140"/>
  <c r="AJ95" i="140"/>
  <c r="AV95" i="140"/>
  <c r="S95" i="140"/>
  <c r="O95" i="140"/>
  <c r="AR95" i="140"/>
  <c r="BD61" i="140"/>
  <c r="AM39" i="140"/>
  <c r="AM61" i="140"/>
  <c r="AP61" i="140"/>
  <c r="AO72" i="140"/>
  <c r="AO39" i="140"/>
  <c r="AO59" i="140"/>
  <c r="AL38" i="140"/>
  <c r="AA72" i="140"/>
  <c r="AA39" i="140"/>
  <c r="AA61" i="140"/>
  <c r="AU72" i="140"/>
  <c r="AU39" i="140"/>
  <c r="AU59" i="140"/>
  <c r="L41" i="140"/>
  <c r="M38" i="140"/>
  <c r="AS41" i="140"/>
  <c r="S94" i="140"/>
  <c r="P41" i="140"/>
  <c r="G94" i="140"/>
  <c r="G72" i="140"/>
  <c r="G59" i="140"/>
  <c r="Q41" i="140"/>
  <c r="K94" i="140"/>
  <c r="H94" i="140"/>
  <c r="H72" i="140"/>
  <c r="H59" i="140"/>
  <c r="D57" i="140"/>
  <c r="BF72" i="140"/>
  <c r="BF41" i="140"/>
  <c r="BF58" i="140"/>
  <c r="AR94" i="140"/>
  <c r="AR72" i="140"/>
  <c r="AR59" i="140"/>
  <c r="AE94" i="140"/>
  <c r="AB94" i="140"/>
  <c r="AB72" i="140"/>
  <c r="AB59" i="140"/>
  <c r="AV94" i="140"/>
  <c r="AZ95" i="140"/>
  <c r="BD95" i="140"/>
  <c r="AH95" i="140"/>
  <c r="AF95" i="140"/>
  <c r="X95" i="140"/>
  <c r="AQ95" i="140"/>
  <c r="N95" i="140"/>
  <c r="T95" i="140"/>
  <c r="AB95" i="140"/>
  <c r="AX95" i="140"/>
  <c r="BB95" i="140"/>
  <c r="Q95" i="140"/>
  <c r="K95" i="140"/>
  <c r="H95" i="140"/>
  <c r="BF95" i="140"/>
  <c r="W95" i="140"/>
  <c r="AN95" i="140"/>
  <c r="AE95" i="140"/>
  <c r="AW38" i="140"/>
  <c r="AW57" i="140"/>
  <c r="Z39" i="140"/>
  <c r="AT39" i="140"/>
  <c r="U37" i="140"/>
  <c r="U50" i="140"/>
  <c r="J50" i="140"/>
  <c r="J41" i="140"/>
  <c r="BA37" i="140"/>
  <c r="BA50" i="140"/>
  <c r="W37" i="140"/>
  <c r="W57" i="140"/>
  <c r="N37" i="140"/>
  <c r="N59" i="140"/>
  <c r="O41" i="140"/>
  <c r="O57" i="140"/>
  <c r="AN41" i="140"/>
  <c r="AN57" i="140"/>
  <c r="AJ41" i="140"/>
  <c r="AJ57" i="140"/>
  <c r="T41" i="140"/>
  <c r="T57" i="140"/>
  <c r="BC38" i="140"/>
  <c r="BC57" i="140"/>
  <c r="AZ79" i="140"/>
  <c r="AI79" i="140"/>
  <c r="BD79" i="140"/>
  <c r="R79" i="140"/>
  <c r="AM79" i="140"/>
  <c r="AP79" i="140"/>
  <c r="AO79" i="140"/>
  <c r="Z79" i="140"/>
  <c r="AH79" i="140"/>
  <c r="AL79" i="140"/>
  <c r="AF79" i="140"/>
  <c r="AT79" i="140"/>
  <c r="X79" i="140"/>
  <c r="J79" i="140"/>
  <c r="BA79" i="140"/>
  <c r="N79" i="140"/>
  <c r="O79" i="140"/>
  <c r="T79" i="140"/>
  <c r="AC79" i="140"/>
  <c r="AW77" i="140"/>
  <c r="AX77" i="140"/>
  <c r="AA77" i="140"/>
  <c r="AU77" i="140"/>
  <c r="AK77" i="140"/>
  <c r="BB77" i="140"/>
  <c r="L77" i="140"/>
  <c r="U77" i="140"/>
  <c r="Y77" i="140"/>
  <c r="M77" i="140"/>
  <c r="E77" i="140"/>
  <c r="AS79" i="140"/>
  <c r="AQ79" i="140"/>
  <c r="S79" i="140"/>
  <c r="P79" i="140"/>
  <c r="G79" i="140"/>
  <c r="Q79" i="140"/>
  <c r="W77" i="140"/>
  <c r="F79" i="140"/>
  <c r="AN77" i="140"/>
  <c r="AG77" i="140"/>
  <c r="AJ77" i="140"/>
  <c r="D95" i="140"/>
  <c r="BF79" i="140"/>
  <c r="BE79" i="140"/>
  <c r="AE79" i="140"/>
  <c r="AV79" i="140"/>
  <c r="K79" i="140"/>
  <c r="AY79" i="140"/>
  <c r="H79" i="140"/>
  <c r="AR79" i="140"/>
  <c r="AB79" i="140"/>
  <c r="BC79" i="140"/>
  <c r="AZ94" i="140"/>
  <c r="BD38" i="140"/>
  <c r="BD58" i="140"/>
  <c r="AC94" i="140"/>
  <c r="AM38" i="140"/>
  <c r="AM58" i="140"/>
  <c r="AP39" i="140"/>
  <c r="AO38" i="140"/>
  <c r="AO57" i="140"/>
  <c r="AW72" i="140"/>
  <c r="AW39" i="140"/>
  <c r="AW61" i="140"/>
  <c r="AW59" i="140"/>
  <c r="Z38" i="140"/>
  <c r="Z61" i="140"/>
  <c r="AL39" i="140"/>
  <c r="AT38" i="140"/>
  <c r="AT61" i="140"/>
  <c r="AA38" i="140"/>
  <c r="AA58" i="140"/>
  <c r="AU38" i="140"/>
  <c r="AU57" i="140"/>
  <c r="BB59" i="140"/>
  <c r="L38" i="140"/>
  <c r="L57" i="140"/>
  <c r="U94" i="140"/>
  <c r="U72" i="140"/>
  <c r="U41" i="140"/>
  <c r="U58" i="140"/>
  <c r="J72" i="140"/>
  <c r="J37" i="140"/>
  <c r="J59" i="140"/>
  <c r="M41" i="140"/>
  <c r="M50" i="140"/>
  <c r="E39" i="140"/>
  <c r="E50" i="140"/>
  <c r="BA94" i="140"/>
  <c r="BA72" i="140"/>
  <c r="BA41" i="140"/>
  <c r="BA58" i="140"/>
  <c r="AS37" i="140"/>
  <c r="AS50" i="140"/>
  <c r="AQ57" i="140"/>
  <c r="P38" i="140"/>
  <c r="P57" i="140"/>
  <c r="G41" i="140"/>
  <c r="G57" i="140"/>
  <c r="Q50" i="140"/>
  <c r="W72" i="140"/>
  <c r="W41" i="140"/>
  <c r="W59" i="140"/>
  <c r="N72" i="140"/>
  <c r="N39" i="140"/>
  <c r="N58" i="140"/>
  <c r="O72" i="140"/>
  <c r="O38" i="140"/>
  <c r="O59" i="140"/>
  <c r="AN94" i="140"/>
  <c r="AN72" i="140"/>
  <c r="AN39" i="140"/>
  <c r="AN59" i="140"/>
  <c r="AY94" i="140"/>
  <c r="H38" i="140"/>
  <c r="H57" i="140"/>
  <c r="AJ94" i="140"/>
  <c r="AJ72" i="140"/>
  <c r="AJ39" i="140"/>
  <c r="AJ59" i="140"/>
  <c r="D50" i="140"/>
  <c r="D39" i="140"/>
  <c r="BF38" i="140"/>
  <c r="BF37" i="140"/>
  <c r="BF39" i="140"/>
  <c r="BF57" i="140"/>
  <c r="BF61" i="140"/>
  <c r="T94" i="140"/>
  <c r="T72" i="140"/>
  <c r="T39" i="140"/>
  <c r="T59" i="140"/>
  <c r="AR41" i="140"/>
  <c r="AR57" i="140"/>
  <c r="AB41" i="140"/>
  <c r="AB57" i="140"/>
  <c r="BC72" i="140"/>
  <c r="BC39" i="140"/>
  <c r="BC61" i="140"/>
  <c r="BC59" i="140"/>
  <c r="AZ77" i="140"/>
  <c r="BD77" i="140"/>
  <c r="AM77" i="140"/>
  <c r="AO77" i="140"/>
  <c r="AH77" i="140"/>
  <c r="AF77" i="140"/>
  <c r="X77" i="140"/>
  <c r="BA77" i="140"/>
  <c r="AC77" i="140"/>
  <c r="AW79" i="140"/>
  <c r="AX79" i="140"/>
  <c r="AU79" i="140"/>
  <c r="AK79" i="140"/>
  <c r="U79" i="140"/>
  <c r="Y79" i="140"/>
  <c r="M79" i="140"/>
  <c r="E79" i="140"/>
  <c r="AS77" i="140"/>
  <c r="S77" i="140"/>
  <c r="F77" i="140"/>
  <c r="AG79" i="140"/>
  <c r="D79" i="140"/>
  <c r="BE77" i="140"/>
  <c r="K77" i="140"/>
  <c r="AY77" i="140"/>
  <c r="BC77" i="140"/>
  <c r="AZ41" i="140"/>
  <c r="AZ39" i="140"/>
  <c r="AZ57" i="140"/>
  <c r="AZ59" i="140"/>
  <c r="L55" i="79"/>
  <c r="BB55" i="79"/>
  <c r="AC39" i="140"/>
  <c r="AC38" i="140"/>
  <c r="AC61" i="140"/>
  <c r="AC57" i="140"/>
  <c r="AC59" i="140"/>
  <c r="R58" i="140"/>
  <c r="R59" i="140"/>
  <c r="R39" i="140"/>
  <c r="R50" i="140"/>
  <c r="R38" i="140"/>
  <c r="R41" i="140"/>
  <c r="R61" i="140"/>
  <c r="BB51" i="79"/>
  <c r="L51" i="79"/>
  <c r="AZ72" i="140"/>
  <c r="AZ37" i="140"/>
  <c r="AZ38" i="140"/>
  <c r="AZ50" i="140"/>
  <c r="AZ58" i="140"/>
  <c r="AI72" i="140"/>
  <c r="AI39" i="140"/>
  <c r="AI38" i="140"/>
  <c r="AI50" i="140"/>
  <c r="AI58" i="140"/>
  <c r="AI61" i="140"/>
  <c r="BD41" i="140"/>
  <c r="BD39" i="140"/>
  <c r="BD57" i="140"/>
  <c r="AC72" i="140"/>
  <c r="AC37" i="140"/>
  <c r="AC41" i="140"/>
  <c r="AC50" i="140"/>
  <c r="AC58" i="140"/>
  <c r="R94" i="140"/>
  <c r="R72" i="140"/>
  <c r="R37" i="140"/>
  <c r="R57" i="140"/>
  <c r="BB41" i="79"/>
  <c r="L41" i="79"/>
  <c r="AP58" i="140"/>
  <c r="AP59" i="140"/>
  <c r="AP41" i="140"/>
  <c r="AP50" i="140"/>
  <c r="AP72" i="140"/>
  <c r="AP94" i="140"/>
  <c r="AP37" i="140"/>
  <c r="AP57" i="140"/>
  <c r="BB49" i="79"/>
  <c r="L49" i="79"/>
  <c r="AX50" i="140"/>
  <c r="Z58" i="140"/>
  <c r="Z59" i="140"/>
  <c r="Z41" i="140"/>
  <c r="Z50" i="140"/>
  <c r="Z72" i="140"/>
  <c r="Z94" i="140"/>
  <c r="Z37" i="140"/>
  <c r="Z57" i="140"/>
  <c r="AH38" i="140"/>
  <c r="AH39" i="140"/>
  <c r="AL58" i="140"/>
  <c r="AL59" i="140"/>
  <c r="AL50" i="140"/>
  <c r="AL37" i="140"/>
  <c r="AL72" i="140"/>
  <c r="AL94" i="140"/>
  <c r="AL41" i="140"/>
  <c r="AL57" i="140"/>
  <c r="AF94" i="140"/>
  <c r="AF37" i="140"/>
  <c r="AF50" i="140"/>
  <c r="AT58" i="140"/>
  <c r="AT59" i="140"/>
  <c r="AT50" i="140"/>
  <c r="AT37" i="140"/>
  <c r="AT72" i="140"/>
  <c r="AT94" i="140"/>
  <c r="AT41" i="140"/>
  <c r="AT57" i="140"/>
  <c r="BB45" i="79"/>
  <c r="L45" i="79"/>
  <c r="BB36" i="79"/>
  <c r="L36" i="79"/>
  <c r="AK94" i="140"/>
  <c r="AK39" i="140"/>
  <c r="AK61" i="140"/>
  <c r="X94" i="140"/>
  <c r="X37" i="140"/>
  <c r="X50" i="140"/>
  <c r="BB61" i="140"/>
  <c r="BB57" i="140"/>
  <c r="BB39" i="140"/>
  <c r="BB41" i="140"/>
  <c r="BB38" i="140"/>
  <c r="BB72" i="140"/>
  <c r="BB94" i="140"/>
  <c r="BB50" i="140"/>
  <c r="BB58" i="140"/>
  <c r="Y37" i="140"/>
  <c r="L44" i="79"/>
  <c r="AQ61" i="140"/>
  <c r="AQ58" i="140"/>
  <c r="AQ50" i="140"/>
  <c r="AQ38" i="140"/>
  <c r="AQ39" i="140"/>
  <c r="AQ72" i="140"/>
  <c r="AQ41" i="140"/>
  <c r="AQ59" i="140"/>
  <c r="S41" i="140"/>
  <c r="Q59" i="140"/>
  <c r="Q57" i="140"/>
  <c r="Q61" i="140"/>
  <c r="Q37" i="140"/>
  <c r="Q39" i="140"/>
  <c r="Q72" i="140"/>
  <c r="Q94" i="140"/>
  <c r="Q38" i="140"/>
  <c r="Q58" i="140"/>
  <c r="F50" i="140"/>
  <c r="K41" i="140"/>
  <c r="AG37" i="140"/>
  <c r="AY37" i="140"/>
  <c r="AI37" i="140"/>
  <c r="AI41" i="140"/>
  <c r="AI57" i="140"/>
  <c r="AI59" i="140"/>
  <c r="BB34" i="79"/>
  <c r="L34" i="79"/>
  <c r="L28" i="79"/>
  <c r="BB28" i="79"/>
  <c r="AX61" i="140"/>
  <c r="AX57" i="140"/>
  <c r="AX39" i="140"/>
  <c r="AX37" i="140"/>
  <c r="AX38" i="140"/>
  <c r="AX72" i="140"/>
  <c r="AX94" i="140"/>
  <c r="AX41" i="140"/>
  <c r="AX58" i="140"/>
  <c r="AH58" i="140"/>
  <c r="AH59" i="140"/>
  <c r="AH41" i="140"/>
  <c r="AH50" i="140"/>
  <c r="AH72" i="140"/>
  <c r="AH94" i="140"/>
  <c r="AH37" i="140"/>
  <c r="AH57" i="140"/>
  <c r="AF59" i="140"/>
  <c r="AF57" i="140"/>
  <c r="AF39" i="140"/>
  <c r="AF41" i="140"/>
  <c r="AF72" i="140"/>
  <c r="AF38" i="140"/>
  <c r="AF58" i="140"/>
  <c r="L26" i="79"/>
  <c r="BB26" i="79"/>
  <c r="AK58" i="140"/>
  <c r="AK50" i="140"/>
  <c r="AK41" i="140"/>
  <c r="AK37" i="140"/>
  <c r="AK72" i="140"/>
  <c r="AK38" i="140"/>
  <c r="AK57" i="140"/>
  <c r="X59" i="140"/>
  <c r="X57" i="140"/>
  <c r="X72" i="140"/>
  <c r="X58" i="140"/>
  <c r="Y59" i="140"/>
  <c r="Y57" i="140"/>
  <c r="Y61" i="140"/>
  <c r="Y38" i="140"/>
  <c r="Y39" i="140"/>
  <c r="Y72" i="140"/>
  <c r="Y94" i="140"/>
  <c r="Y41" i="140"/>
  <c r="Y58" i="140"/>
  <c r="S61" i="140"/>
  <c r="S58" i="140"/>
  <c r="S50" i="140"/>
  <c r="S37" i="140"/>
  <c r="S39" i="140"/>
  <c r="S72" i="140"/>
  <c r="S38" i="140"/>
  <c r="S59" i="140"/>
  <c r="F61" i="140"/>
  <c r="F59" i="140"/>
  <c r="F41" i="140"/>
  <c r="F37" i="140"/>
  <c r="F38" i="140"/>
  <c r="F72" i="140"/>
  <c r="F39" i="140"/>
  <c r="F57" i="140"/>
  <c r="K61" i="140"/>
  <c r="K58" i="140"/>
  <c r="K50" i="140"/>
  <c r="K37" i="140"/>
  <c r="K39" i="140"/>
  <c r="K72" i="140"/>
  <c r="K38" i="140"/>
  <c r="K59" i="140"/>
  <c r="AG59" i="140"/>
  <c r="AG57" i="140"/>
  <c r="AG61" i="140"/>
  <c r="AG38" i="140"/>
  <c r="AG39" i="140"/>
  <c r="AG72" i="140"/>
  <c r="AG94" i="140"/>
  <c r="AG41" i="140"/>
  <c r="AG58" i="140"/>
  <c r="AY59" i="140"/>
  <c r="AY57" i="140"/>
  <c r="AY61" i="140"/>
  <c r="AY38" i="140"/>
  <c r="AY39" i="140"/>
  <c r="AY72" i="140"/>
  <c r="AY41" i="140"/>
  <c r="AY58" i="140"/>
  <c r="BB29" i="79"/>
  <c r="L29" i="79"/>
  <c r="BE37" i="140"/>
  <c r="BE41" i="140"/>
  <c r="BE50" i="140"/>
  <c r="BE58" i="140"/>
  <c r="AE37" i="140"/>
  <c r="AE41" i="140"/>
  <c r="AE57" i="140"/>
  <c r="AE59" i="140"/>
  <c r="L30" i="79"/>
  <c r="BB30" i="79"/>
  <c r="L54" i="79"/>
  <c r="BB54" i="79"/>
  <c r="AV37" i="140"/>
  <c r="AV38" i="140"/>
  <c r="AV50" i="140"/>
  <c r="AV58" i="140"/>
  <c r="AV61" i="140"/>
  <c r="C93" i="111"/>
  <c r="C35" i="117"/>
  <c r="AA93" i="111"/>
  <c r="W97" i="111"/>
  <c r="W98" i="111"/>
  <c r="BD93" i="111"/>
  <c r="C125" i="111"/>
  <c r="E98" i="111"/>
  <c r="AM37" i="140"/>
  <c r="AM41" i="140"/>
  <c r="AM57" i="140"/>
  <c r="AM59" i="140"/>
  <c r="AO37" i="140"/>
  <c r="AO41" i="140"/>
  <c r="AO50" i="140"/>
  <c r="AO58" i="140"/>
  <c r="AW37" i="140"/>
  <c r="AW41" i="140"/>
  <c r="AW50" i="140"/>
  <c r="AW58" i="140"/>
  <c r="BB37" i="79"/>
  <c r="L37" i="79"/>
  <c r="AA37" i="140"/>
  <c r="AA41" i="140"/>
  <c r="AA57" i="140"/>
  <c r="AA59" i="140"/>
  <c r="L46" i="79"/>
  <c r="BB46" i="79"/>
  <c r="AU37" i="140"/>
  <c r="AU41" i="140"/>
  <c r="AU50" i="140"/>
  <c r="AU58" i="140"/>
  <c r="L37" i="140"/>
  <c r="L39" i="140"/>
  <c r="L50" i="140"/>
  <c r="L58" i="140"/>
  <c r="L61" i="140"/>
  <c r="U39" i="140"/>
  <c r="U38" i="140"/>
  <c r="U61" i="140"/>
  <c r="U57" i="140"/>
  <c r="U59" i="140"/>
  <c r="BB24" i="79"/>
  <c r="L24" i="79"/>
  <c r="J38" i="140"/>
  <c r="J57" i="140"/>
  <c r="J39" i="140"/>
  <c r="J58" i="140"/>
  <c r="J61" i="140"/>
  <c r="M39" i="140"/>
  <c r="M37" i="140"/>
  <c r="M61" i="140"/>
  <c r="M57" i="140"/>
  <c r="M59" i="140"/>
  <c r="E37" i="140"/>
  <c r="E38" i="140"/>
  <c r="E61" i="140"/>
  <c r="E57" i="140"/>
  <c r="E59" i="140"/>
  <c r="BB52" i="79"/>
  <c r="L52" i="79"/>
  <c r="BA39" i="140"/>
  <c r="BA38" i="140"/>
  <c r="BA61" i="140"/>
  <c r="BA57" i="140"/>
  <c r="BA59" i="140"/>
  <c r="AS39" i="140"/>
  <c r="AS38" i="140"/>
  <c r="AS61" i="140"/>
  <c r="AS57" i="140"/>
  <c r="AS59" i="140"/>
  <c r="BB42" i="79"/>
  <c r="L42" i="79"/>
  <c r="P37" i="140"/>
  <c r="P39" i="140"/>
  <c r="P50" i="140"/>
  <c r="P58" i="140"/>
  <c r="P61" i="140"/>
  <c r="G39" i="140"/>
  <c r="G37" i="140"/>
  <c r="G50" i="140"/>
  <c r="G58" i="140"/>
  <c r="G61" i="140"/>
  <c r="W39" i="140"/>
  <c r="W38" i="140"/>
  <c r="W50" i="140"/>
  <c r="W58" i="140"/>
  <c r="W61" i="140"/>
  <c r="L13" i="79"/>
  <c r="BB13" i="79"/>
  <c r="N38" i="140"/>
  <c r="N50" i="140"/>
  <c r="N41" i="140"/>
  <c r="N57" i="140"/>
  <c r="N61" i="140"/>
  <c r="O39" i="140"/>
  <c r="O37" i="140"/>
  <c r="O50" i="140"/>
  <c r="O58" i="140"/>
  <c r="O61" i="140"/>
  <c r="AN37" i="140"/>
  <c r="AN38" i="140"/>
  <c r="AN50" i="140"/>
  <c r="AN58" i="140"/>
  <c r="AN61" i="140"/>
  <c r="L50" i="79"/>
  <c r="BB50" i="79"/>
  <c r="H37" i="140"/>
  <c r="H39" i="140"/>
  <c r="H50" i="140"/>
  <c r="H58" i="140"/>
  <c r="H61" i="140"/>
  <c r="L35" i="79"/>
  <c r="BB35" i="79"/>
  <c r="AJ37" i="140"/>
  <c r="AJ38" i="140"/>
  <c r="AJ50" i="140"/>
  <c r="AJ58" i="140"/>
  <c r="AJ61" i="140"/>
  <c r="D41" i="140"/>
  <c r="D38" i="140"/>
  <c r="D37" i="140"/>
  <c r="D59" i="140"/>
  <c r="D61" i="140"/>
  <c r="T37" i="140"/>
  <c r="T38" i="140"/>
  <c r="T50" i="140"/>
  <c r="T58" i="140"/>
  <c r="T61" i="140"/>
  <c r="AR37" i="140"/>
  <c r="AR38" i="140"/>
  <c r="AR50" i="140"/>
  <c r="AR58" i="140"/>
  <c r="AR61" i="140"/>
  <c r="BE94" i="140"/>
  <c r="BE72" i="140"/>
  <c r="BE39" i="140"/>
  <c r="BE38" i="140"/>
  <c r="BE61" i="140"/>
  <c r="BE57" i="140"/>
  <c r="BE59" i="140"/>
  <c r="BB56" i="79"/>
  <c r="L56" i="79"/>
  <c r="AE72" i="140"/>
  <c r="AE39" i="140"/>
  <c r="AE38" i="140"/>
  <c r="AE50" i="140"/>
  <c r="AE58" i="140"/>
  <c r="AE61" i="140"/>
  <c r="AB37" i="140"/>
  <c r="AB38" i="140"/>
  <c r="AB50" i="140"/>
  <c r="AB58" i="140"/>
  <c r="AB61" i="140"/>
  <c r="BC37" i="140"/>
  <c r="BC41" i="140"/>
  <c r="BC50" i="140"/>
  <c r="BC58" i="140"/>
  <c r="AV72" i="140"/>
  <c r="AV41" i="140"/>
  <c r="AV39" i="140"/>
  <c r="AV57" i="140"/>
  <c r="AV59" i="140"/>
  <c r="BB47" i="79"/>
  <c r="L47" i="79"/>
  <c r="Y92" i="111"/>
  <c r="Y51" i="111"/>
  <c r="AA152" i="120"/>
  <c r="W96" i="111"/>
  <c r="AU93" i="111"/>
  <c r="C122" i="111"/>
  <c r="E85" i="111"/>
  <c r="H77" i="111"/>
  <c r="V8" i="79"/>
  <c r="M8" i="79"/>
  <c r="BA8" i="79"/>
  <c r="H65" i="111"/>
  <c r="U65" i="111"/>
  <c r="U77" i="111"/>
  <c r="AY72" i="111"/>
  <c r="AY75" i="111" s="1"/>
  <c r="AY52" i="111"/>
  <c r="C51" i="79" s="1"/>
  <c r="AY58" i="111"/>
  <c r="AH52" i="111"/>
  <c r="C34" i="79" s="1"/>
  <c r="AH72" i="111"/>
  <c r="AH75" i="111" s="1"/>
  <c r="AH58" i="111"/>
  <c r="BC52" i="111"/>
  <c r="C55" i="79" s="1"/>
  <c r="BC58" i="111"/>
  <c r="BC72" i="111"/>
  <c r="BC75" i="111" s="1"/>
  <c r="AB72" i="111"/>
  <c r="AB75" i="111" s="1"/>
  <c r="AB52" i="111"/>
  <c r="C28" i="79" s="1"/>
  <c r="AB58" i="111"/>
  <c r="Q72" i="111"/>
  <c r="Q75" i="111" s="1"/>
  <c r="Q52" i="111"/>
  <c r="C17" i="79" s="1"/>
  <c r="AL52" i="111"/>
  <c r="AL58" i="111"/>
  <c r="AO72" i="111"/>
  <c r="AO75" i="111" s="1"/>
  <c r="AO58" i="111"/>
  <c r="AO52" i="111"/>
  <c r="C41" i="79" s="1"/>
  <c r="AN52" i="111"/>
  <c r="AN58" i="111"/>
  <c r="AV72" i="111"/>
  <c r="AV75" i="111" s="1"/>
  <c r="AW52" i="111"/>
  <c r="C49" i="79" s="1"/>
  <c r="AW72" i="111"/>
  <c r="AW75" i="111" s="1"/>
  <c r="AW58" i="111"/>
  <c r="AK52" i="111"/>
  <c r="C37" i="79" s="1"/>
  <c r="AK72" i="111"/>
  <c r="AK75" i="111" s="1"/>
  <c r="AK58" i="111"/>
  <c r="AE52" i="111"/>
  <c r="C31" i="79" s="1"/>
  <c r="AS58" i="111"/>
  <c r="AS72" i="111"/>
  <c r="AS75" i="111" s="1"/>
  <c r="AS52" i="111"/>
  <c r="C45" i="79" s="1"/>
  <c r="Z72" i="111"/>
  <c r="Z75" i="111" s="1"/>
  <c r="Z58" i="111"/>
  <c r="Z52" i="111"/>
  <c r="C26" i="79" s="1"/>
  <c r="AT52" i="111"/>
  <c r="AT72" i="111"/>
  <c r="AT75" i="111" s="1"/>
  <c r="AT58" i="111"/>
  <c r="AJ58" i="111"/>
  <c r="AJ72" i="111"/>
  <c r="AJ75" i="111" s="1"/>
  <c r="AJ52" i="111"/>
  <c r="C36" i="79" s="1"/>
  <c r="BA58" i="111"/>
  <c r="BA72" i="111"/>
  <c r="BA75" i="111" s="1"/>
  <c r="T72" i="111"/>
  <c r="T75" i="111" s="1"/>
  <c r="X52" i="111"/>
  <c r="C24" i="79" s="1"/>
  <c r="X72" i="111"/>
  <c r="X75" i="111" s="1"/>
  <c r="X58" i="111"/>
  <c r="I58" i="111"/>
  <c r="I72" i="111"/>
  <c r="I75" i="111" s="1"/>
  <c r="I52" i="111"/>
  <c r="L72" i="111"/>
  <c r="L75" i="111" s="1"/>
  <c r="L58" i="111"/>
  <c r="D72" i="111"/>
  <c r="D75" i="111" s="1"/>
  <c r="AZ58" i="111"/>
  <c r="AZ52" i="111"/>
  <c r="C52" i="79" s="1"/>
  <c r="AZ72" i="111"/>
  <c r="AZ75" i="111" s="1"/>
  <c r="V21" i="79" s="1"/>
  <c r="AR52" i="111"/>
  <c r="C44" i="79" s="1"/>
  <c r="AP52" i="111"/>
  <c r="C42" i="79" s="1"/>
  <c r="AP72" i="111"/>
  <c r="AP75" i="111" s="1"/>
  <c r="AP58" i="111"/>
  <c r="R58" i="111"/>
  <c r="R72" i="111"/>
  <c r="R75" i="111" s="1"/>
  <c r="R52" i="111"/>
  <c r="C18" i="79" s="1"/>
  <c r="O72" i="111"/>
  <c r="O75" i="111" s="1"/>
  <c r="P52" i="111"/>
  <c r="C16" i="79" s="1"/>
  <c r="V52" i="111"/>
  <c r="C22" i="79" s="1"/>
  <c r="V72" i="111"/>
  <c r="V75" i="111" s="1"/>
  <c r="V58" i="111"/>
  <c r="M52" i="111"/>
  <c r="M58" i="111"/>
  <c r="M72" i="111"/>
  <c r="M75" i="111" s="1"/>
  <c r="N58" i="111"/>
  <c r="AM52" i="111"/>
  <c r="C39" i="79" s="1"/>
  <c r="AF58" i="111"/>
  <c r="AX58" i="111"/>
  <c r="AX52" i="111"/>
  <c r="C50" i="79" s="1"/>
  <c r="AX72" i="111"/>
  <c r="AX75" i="111" s="1"/>
  <c r="G152" i="120"/>
  <c r="G51" i="111"/>
  <c r="B7" i="79" s="1"/>
  <c r="G92" i="111"/>
  <c r="AI52" i="111"/>
  <c r="C35" i="79" s="1"/>
  <c r="AI72" i="111"/>
  <c r="AI75" i="111" s="1"/>
  <c r="AI58" i="111"/>
  <c r="C52" i="111"/>
  <c r="C3" i="79" s="1"/>
  <c r="C58" i="111"/>
  <c r="C72" i="111"/>
  <c r="C75" i="111" s="1"/>
  <c r="BE92" i="111"/>
  <c r="BE152" i="120"/>
  <c r="S52" i="111"/>
  <c r="C19" i="79" s="1"/>
  <c r="S58" i="111"/>
  <c r="S72" i="111"/>
  <c r="S75" i="111" s="1"/>
  <c r="AC52" i="111"/>
  <c r="C29" i="79" s="1"/>
  <c r="AC72" i="111"/>
  <c r="AC75" i="111" s="1"/>
  <c r="AC58" i="111"/>
  <c r="BD72" i="111"/>
  <c r="BD75" i="111" s="1"/>
  <c r="BD52" i="111"/>
  <c r="C56" i="79" s="1"/>
  <c r="BD58" i="111"/>
  <c r="AD72" i="111"/>
  <c r="AD75" i="111" s="1"/>
  <c r="AD52" i="111"/>
  <c r="C30" i="79" s="1"/>
  <c r="AD58" i="111"/>
  <c r="BB52" i="111"/>
  <c r="C54" i="79" s="1"/>
  <c r="BB72" i="111"/>
  <c r="BB75" i="111" s="1"/>
  <c r="BB58" i="111"/>
  <c r="AU72" i="111"/>
  <c r="AU75" i="111" s="1"/>
  <c r="AU52" i="111"/>
  <c r="C47" i="79" s="1"/>
  <c r="AU58" i="111"/>
  <c r="C120" i="111" l="1"/>
  <c r="B15" i="79"/>
  <c r="BB15" i="79" s="1"/>
  <c r="C127" i="111"/>
  <c r="L22" i="79"/>
  <c r="L48" i="79"/>
  <c r="AM72" i="111"/>
  <c r="AM75" i="111" s="1"/>
  <c r="AM77" i="111" s="1"/>
  <c r="AR58" i="111"/>
  <c r="AR65" i="111" s="1"/>
  <c r="AR72" i="111"/>
  <c r="AR75" i="111" s="1"/>
  <c r="AR77" i="111" s="1"/>
  <c r="D52" i="111"/>
  <c r="T58" i="111"/>
  <c r="T65" i="111" s="1"/>
  <c r="E87" i="111"/>
  <c r="W87" i="111"/>
  <c r="C126" i="111"/>
  <c r="C128" i="111"/>
  <c r="L52" i="111"/>
  <c r="B12" i="79"/>
  <c r="C73" i="117"/>
  <c r="C76" i="117" s="1"/>
  <c r="C78" i="117" s="1"/>
  <c r="C130" i="111"/>
  <c r="AG92" i="111"/>
  <c r="AG152" i="120"/>
  <c r="L16" i="79"/>
  <c r="BB31" i="79"/>
  <c r="L40" i="79"/>
  <c r="BB17" i="79"/>
  <c r="B33" i="79"/>
  <c r="AG58" i="111"/>
  <c r="AG65" i="111" s="1"/>
  <c r="AF72" i="111"/>
  <c r="AF75" i="111" s="1"/>
  <c r="V32" i="79" s="1"/>
  <c r="AM58" i="111"/>
  <c r="AM65" i="111" s="1"/>
  <c r="N72" i="111"/>
  <c r="N75" i="111" s="1"/>
  <c r="V14" i="79" s="1"/>
  <c r="O52" i="111"/>
  <c r="C15" i="79" s="1"/>
  <c r="AN72" i="111"/>
  <c r="AN75" i="111" s="1"/>
  <c r="AN77" i="111" s="1"/>
  <c r="Q58" i="111"/>
  <c r="Q65" i="111" s="1"/>
  <c r="E86" i="111"/>
  <c r="BB39" i="79"/>
  <c r="C131" i="111"/>
  <c r="C53" i="117"/>
  <c r="BB19" i="79"/>
  <c r="C121" i="111"/>
  <c r="BE51" i="111"/>
  <c r="B57" i="79" s="1"/>
  <c r="BB57" i="79" s="1"/>
  <c r="AF52" i="111"/>
  <c r="C32" i="79" s="1"/>
  <c r="P58" i="111"/>
  <c r="P65" i="111" s="1"/>
  <c r="P72" i="111"/>
  <c r="P75" i="111" s="1"/>
  <c r="P77" i="111" s="1"/>
  <c r="BA52" i="111"/>
  <c r="C53" i="79" s="1"/>
  <c r="AE58" i="111"/>
  <c r="AE65" i="111" s="1"/>
  <c r="AE72" i="111"/>
  <c r="AE75" i="111" s="1"/>
  <c r="AE77" i="111" s="1"/>
  <c r="AG72" i="111"/>
  <c r="AG75" i="111" s="1"/>
  <c r="V33" i="79" s="1"/>
  <c r="AG52" i="111"/>
  <c r="C33" i="79" s="1"/>
  <c r="AV52" i="111"/>
  <c r="C48" i="79" s="1"/>
  <c r="M48" i="79" s="1"/>
  <c r="AV58" i="111"/>
  <c r="AV65" i="111" s="1"/>
  <c r="W86" i="111"/>
  <c r="BF51" i="111"/>
  <c r="B58" i="79" s="1"/>
  <c r="BF92" i="111"/>
  <c r="BB18" i="79"/>
  <c r="BB22" i="79"/>
  <c r="BB14" i="79"/>
  <c r="L53" i="79"/>
  <c r="L32" i="79"/>
  <c r="C123" i="111"/>
  <c r="L3" i="79"/>
  <c r="L15" i="79"/>
  <c r="E51" i="111"/>
  <c r="K51" i="111"/>
  <c r="K92" i="111"/>
  <c r="AK93" i="111"/>
  <c r="AP93" i="111"/>
  <c r="AO93" i="111"/>
  <c r="C4" i="79"/>
  <c r="C13" i="79"/>
  <c r="C12" i="79"/>
  <c r="C46" i="79"/>
  <c r="C40" i="79"/>
  <c r="AQ51" i="111"/>
  <c r="AQ92" i="111"/>
  <c r="F97" i="111"/>
  <c r="F86" i="111"/>
  <c r="F98" i="111"/>
  <c r="F87" i="111"/>
  <c r="F85" i="111"/>
  <c r="F96" i="111"/>
  <c r="F51" i="111"/>
  <c r="BE85" i="111"/>
  <c r="BE96" i="111"/>
  <c r="BE87" i="111"/>
  <c r="BE98" i="111"/>
  <c r="BE86" i="111"/>
  <c r="BE97" i="111"/>
  <c r="L21" i="79"/>
  <c r="BB21" i="79"/>
  <c r="J92" i="111"/>
  <c r="J51" i="111"/>
  <c r="AG93" i="111"/>
  <c r="AQ93" i="111"/>
  <c r="AQ53" i="111"/>
  <c r="D43" i="79" s="1"/>
  <c r="C21" i="79"/>
  <c r="B27" i="79"/>
  <c r="AA72" i="111"/>
  <c r="AA75" i="111" s="1"/>
  <c r="AA52" i="111"/>
  <c r="C27" i="79" s="1"/>
  <c r="AA58" i="111"/>
  <c r="AA65" i="111" s="1"/>
  <c r="L7" i="79"/>
  <c r="BB7" i="79"/>
  <c r="B25" i="79"/>
  <c r="Y52" i="111"/>
  <c r="C25" i="79" s="1"/>
  <c r="Y58" i="111"/>
  <c r="Y72" i="111"/>
  <c r="Y75" i="111" s="1"/>
  <c r="AU65" i="111"/>
  <c r="BA47" i="79"/>
  <c r="M47" i="79"/>
  <c r="AU77" i="111"/>
  <c r="V47" i="79"/>
  <c r="BB65" i="111"/>
  <c r="BB77" i="111"/>
  <c r="V54" i="79"/>
  <c r="BA54" i="79"/>
  <c r="M54" i="79"/>
  <c r="AD65" i="111"/>
  <c r="BA30" i="79"/>
  <c r="M30" i="79"/>
  <c r="V30" i="79"/>
  <c r="AD77" i="111"/>
  <c r="BD65" i="111"/>
  <c r="BA56" i="79"/>
  <c r="M56" i="79"/>
  <c r="V56" i="79"/>
  <c r="BD77" i="111"/>
  <c r="AC65" i="111"/>
  <c r="AC77" i="111"/>
  <c r="V29" i="79"/>
  <c r="M29" i="79"/>
  <c r="BA29" i="79"/>
  <c r="V19" i="79"/>
  <c r="S77" i="111"/>
  <c r="S65" i="111"/>
  <c r="BA19" i="79"/>
  <c r="M19" i="79"/>
  <c r="BE52" i="111"/>
  <c r="C57" i="79" s="1"/>
  <c r="V3" i="79"/>
  <c r="C77" i="111"/>
  <c r="C65" i="111"/>
  <c r="M3" i="79"/>
  <c r="BA3" i="79"/>
  <c r="C66" i="117"/>
  <c r="AI65" i="111"/>
  <c r="AI77" i="111"/>
  <c r="V35" i="79"/>
  <c r="BA35" i="79"/>
  <c r="M35" i="79"/>
  <c r="G58" i="111"/>
  <c r="G52" i="111"/>
  <c r="C7" i="79" s="1"/>
  <c r="G72" i="111"/>
  <c r="G75" i="111" s="1"/>
  <c r="AX77" i="111"/>
  <c r="V50" i="79"/>
  <c r="BA50" i="79"/>
  <c r="M50" i="79"/>
  <c r="AX65" i="111"/>
  <c r="AF65" i="111"/>
  <c r="M39" i="79"/>
  <c r="BA39" i="79"/>
  <c r="V39" i="79"/>
  <c r="N65" i="111"/>
  <c r="BA14" i="79"/>
  <c r="M14" i="79"/>
  <c r="M77" i="111"/>
  <c r="V13" i="79"/>
  <c r="M65" i="111"/>
  <c r="V65" i="111"/>
  <c r="V22" i="79"/>
  <c r="V77" i="111"/>
  <c r="BA22" i="79"/>
  <c r="M22" i="79"/>
  <c r="M16" i="79"/>
  <c r="BA16" i="79"/>
  <c r="V15" i="79"/>
  <c r="O77" i="111"/>
  <c r="O65" i="111"/>
  <c r="BA18" i="79"/>
  <c r="M18" i="79"/>
  <c r="R77" i="111"/>
  <c r="V18" i="79"/>
  <c r="R65" i="111"/>
  <c r="AP65" i="111"/>
  <c r="AP77" i="111"/>
  <c r="V42" i="79"/>
  <c r="M42" i="79"/>
  <c r="BA42" i="79"/>
  <c r="M44" i="79"/>
  <c r="BA44" i="79"/>
  <c r="V44" i="79"/>
  <c r="V52" i="79"/>
  <c r="AZ77" i="111"/>
  <c r="BA52" i="79"/>
  <c r="M52" i="79"/>
  <c r="AZ65" i="111"/>
  <c r="D77" i="111"/>
  <c r="V4" i="79"/>
  <c r="D65" i="111"/>
  <c r="L65" i="111"/>
  <c r="V12" i="79"/>
  <c r="L77" i="111"/>
  <c r="I77" i="111"/>
  <c r="I65" i="111"/>
  <c r="X65" i="111"/>
  <c r="X77" i="111"/>
  <c r="V24" i="79"/>
  <c r="M24" i="79"/>
  <c r="BA24" i="79"/>
  <c r="T77" i="111"/>
  <c r="BA77" i="111"/>
  <c r="V53" i="79"/>
  <c r="BA65" i="111"/>
  <c r="BA36" i="79"/>
  <c r="M36" i="79"/>
  <c r="AJ77" i="111"/>
  <c r="V36" i="79"/>
  <c r="AJ65" i="111"/>
  <c r="AT65" i="111"/>
  <c r="AT77" i="111"/>
  <c r="V46" i="79"/>
  <c r="M26" i="79"/>
  <c r="BA26" i="79"/>
  <c r="Z65" i="111"/>
  <c r="V26" i="79"/>
  <c r="Z77" i="111"/>
  <c r="BA45" i="79"/>
  <c r="M45" i="79"/>
  <c r="AS77" i="111"/>
  <c r="V45" i="79"/>
  <c r="AS65" i="111"/>
  <c r="M31" i="79"/>
  <c r="BA31" i="79"/>
  <c r="AK65" i="111"/>
  <c r="V37" i="79"/>
  <c r="AK77" i="111"/>
  <c r="M37" i="79"/>
  <c r="BA37" i="79"/>
  <c r="AG77" i="111"/>
  <c r="AW65" i="111"/>
  <c r="V49" i="79"/>
  <c r="AW77" i="111"/>
  <c r="M49" i="79"/>
  <c r="BA49" i="79"/>
  <c r="AV77" i="111"/>
  <c r="V48" i="79"/>
  <c r="AN65" i="111"/>
  <c r="M41" i="79"/>
  <c r="BA41" i="79"/>
  <c r="AO65" i="111"/>
  <c r="V41" i="79"/>
  <c r="AO77" i="111"/>
  <c r="AL65" i="111"/>
  <c r="AL77" i="111"/>
  <c r="M17" i="79"/>
  <c r="BA17" i="79"/>
  <c r="Q77" i="111"/>
  <c r="V17" i="79"/>
  <c r="AB65" i="111"/>
  <c r="M28" i="79"/>
  <c r="BA28" i="79"/>
  <c r="V28" i="79"/>
  <c r="AB77" i="111"/>
  <c r="V55" i="79"/>
  <c r="BC77" i="111"/>
  <c r="BC65" i="111"/>
  <c r="M55" i="79"/>
  <c r="BA55" i="79"/>
  <c r="AH65" i="111"/>
  <c r="V34" i="79"/>
  <c r="AH77" i="111"/>
  <c r="BA34" i="79"/>
  <c r="M34" i="79"/>
  <c r="AY65" i="111"/>
  <c r="M51" i="79"/>
  <c r="BA51" i="79"/>
  <c r="AY77" i="111"/>
  <c r="V51" i="79"/>
  <c r="X21" i="79"/>
  <c r="X8" i="79"/>
  <c r="V40" i="79" l="1"/>
  <c r="X40" i="79" s="1"/>
  <c r="AF77" i="111"/>
  <c r="N77" i="111"/>
  <c r="BE58" i="111"/>
  <c r="BE65" i="111" s="1"/>
  <c r="V16" i="79"/>
  <c r="M46" i="79"/>
  <c r="BA13" i="79"/>
  <c r="BA48" i="79"/>
  <c r="BA32" i="79"/>
  <c r="M15" i="79"/>
  <c r="L12" i="79"/>
  <c r="BB12" i="79"/>
  <c r="BA40" i="79"/>
  <c r="M12" i="79"/>
  <c r="BA4" i="79"/>
  <c r="BA33" i="79"/>
  <c r="BA53" i="79"/>
  <c r="V31" i="79"/>
  <c r="X31" i="79" s="1"/>
  <c r="BE72" i="111"/>
  <c r="BE75" i="111" s="1"/>
  <c r="V57" i="79" s="1"/>
  <c r="M32" i="79"/>
  <c r="L33" i="79"/>
  <c r="BB33" i="79"/>
  <c r="L57" i="79"/>
  <c r="M33" i="79"/>
  <c r="M53" i="79"/>
  <c r="M40" i="79"/>
  <c r="L58" i="79"/>
  <c r="BB58" i="79"/>
  <c r="BF72" i="111"/>
  <c r="BF75" i="111" s="1"/>
  <c r="BF58" i="111"/>
  <c r="BF52" i="111"/>
  <c r="C58" i="79" s="1"/>
  <c r="M4" i="79"/>
  <c r="M13" i="79"/>
  <c r="BA12" i="79"/>
  <c r="B4" i="79"/>
  <c r="E72" i="111"/>
  <c r="E75" i="111" s="1"/>
  <c r="E77" i="111" s="1"/>
  <c r="E58" i="111"/>
  <c r="E65" i="111" s="1"/>
  <c r="E52" i="111"/>
  <c r="BA46" i="79"/>
  <c r="BA15" i="79"/>
  <c r="C118" i="111"/>
  <c r="C117" i="111"/>
  <c r="C119" i="111"/>
  <c r="AZ43" i="79"/>
  <c r="AQ57" i="111"/>
  <c r="AQ64" i="111" s="1"/>
  <c r="B10" i="79"/>
  <c r="B9" i="79"/>
  <c r="J72" i="111"/>
  <c r="J75" i="111" s="1"/>
  <c r="V10" i="79" s="1"/>
  <c r="X10" i="79" s="1"/>
  <c r="J58" i="111"/>
  <c r="J65" i="111" s="1"/>
  <c r="J52" i="111"/>
  <c r="B6" i="79"/>
  <c r="F72" i="111"/>
  <c r="F75" i="111" s="1"/>
  <c r="V6" i="79" s="1"/>
  <c r="X6" i="79" s="1"/>
  <c r="B5" i="79"/>
  <c r="F58" i="111"/>
  <c r="F65" i="111" s="1"/>
  <c r="F52" i="111"/>
  <c r="B43" i="79"/>
  <c r="B20" i="79"/>
  <c r="AQ58" i="111"/>
  <c r="AQ72" i="111"/>
  <c r="AQ75" i="111" s="1"/>
  <c r="V43" i="79" s="1"/>
  <c r="AA43" i="79" s="1"/>
  <c r="AB43" i="79" s="1"/>
  <c r="AQ52" i="111"/>
  <c r="B11" i="79"/>
  <c r="K52" i="111"/>
  <c r="K58" i="111"/>
  <c r="K72" i="111"/>
  <c r="K75" i="111" s="1"/>
  <c r="V11" i="79" s="1"/>
  <c r="X11" i="79" s="1"/>
  <c r="B38" i="79"/>
  <c r="BA21" i="79"/>
  <c r="M21" i="79"/>
  <c r="AA77" i="111"/>
  <c r="V27" i="79"/>
  <c r="X27" i="79" s="1"/>
  <c r="BA27" i="79"/>
  <c r="M27" i="79"/>
  <c r="BB27" i="79"/>
  <c r="L27" i="79"/>
  <c r="V25" i="79"/>
  <c r="Y77" i="111"/>
  <c r="BA25" i="79"/>
  <c r="M25" i="79"/>
  <c r="Y65" i="111"/>
  <c r="L25" i="79"/>
  <c r="BB25" i="79"/>
  <c r="X51" i="79"/>
  <c r="X34" i="79"/>
  <c r="X55" i="79"/>
  <c r="X28" i="79"/>
  <c r="X17" i="79"/>
  <c r="X41" i="79"/>
  <c r="X48" i="79"/>
  <c r="X49" i="79"/>
  <c r="X33" i="79"/>
  <c r="X37" i="79"/>
  <c r="X45" i="79"/>
  <c r="X26" i="79"/>
  <c r="X46" i="79"/>
  <c r="X36" i="79"/>
  <c r="X53" i="79"/>
  <c r="X24" i="79"/>
  <c r="X12" i="79"/>
  <c r="X4" i="79"/>
  <c r="X52" i="79"/>
  <c r="X44" i="79"/>
  <c r="X42" i="79"/>
  <c r="X18" i="79"/>
  <c r="X15" i="79"/>
  <c r="X16" i="79"/>
  <c r="X22" i="79"/>
  <c r="X13" i="79"/>
  <c r="X14" i="79"/>
  <c r="X39" i="79"/>
  <c r="X32" i="79"/>
  <c r="X50" i="79"/>
  <c r="G77" i="111"/>
  <c r="V7" i="79"/>
  <c r="BA7" i="79"/>
  <c r="M7" i="79"/>
  <c r="G65" i="111"/>
  <c r="X35" i="79"/>
  <c r="X3" i="79"/>
  <c r="BE77" i="111"/>
  <c r="M57" i="79"/>
  <c r="BA57" i="79"/>
  <c r="X19" i="79"/>
  <c r="X29" i="79"/>
  <c r="X56" i="79"/>
  <c r="X30" i="79"/>
  <c r="X54" i="79"/>
  <c r="X47" i="79"/>
  <c r="M58" i="79" l="1"/>
  <c r="BA58" i="79"/>
  <c r="BF77" i="111"/>
  <c r="V58" i="79"/>
  <c r="BF65" i="111"/>
  <c r="BB4" i="79"/>
  <c r="L4" i="79"/>
  <c r="X43" i="79"/>
  <c r="L38" i="79"/>
  <c r="BB38" i="79"/>
  <c r="K65" i="111"/>
  <c r="BB11" i="79"/>
  <c r="L11" i="79"/>
  <c r="C43" i="79"/>
  <c r="C20" i="79"/>
  <c r="AQ65" i="111"/>
  <c r="BB43" i="79"/>
  <c r="AK43" i="79"/>
  <c r="L43" i="79"/>
  <c r="V5" i="79"/>
  <c r="X5" i="79" s="1"/>
  <c r="F77" i="111"/>
  <c r="C10" i="79"/>
  <c r="C9" i="79"/>
  <c r="J77" i="111"/>
  <c r="V9" i="79"/>
  <c r="X9" i="79" s="1"/>
  <c r="BB10" i="79"/>
  <c r="L10" i="79"/>
  <c r="K77" i="111"/>
  <c r="V38" i="79"/>
  <c r="C11" i="79"/>
  <c r="C38" i="79"/>
  <c r="AQ77" i="111"/>
  <c r="V20" i="79"/>
  <c r="BB20" i="79"/>
  <c r="L20" i="79"/>
  <c r="C6" i="79"/>
  <c r="C5" i="79"/>
  <c r="L5" i="79"/>
  <c r="BB5" i="79"/>
  <c r="BB6" i="79"/>
  <c r="L6" i="79"/>
  <c r="BB9" i="79"/>
  <c r="L9" i="79"/>
  <c r="X25" i="79"/>
  <c r="X57" i="79"/>
  <c r="X7" i="79"/>
  <c r="L14" i="118" l="1"/>
  <c r="X58" i="79"/>
  <c r="M6" i="79"/>
  <c r="BA6" i="79"/>
  <c r="M38" i="79"/>
  <c r="BA38" i="79"/>
  <c r="X38" i="79"/>
  <c r="M10" i="79"/>
  <c r="BA10" i="79"/>
  <c r="BA43" i="79"/>
  <c r="E43" i="79"/>
  <c r="O43" i="79" s="1"/>
  <c r="F43" i="79"/>
  <c r="M43" i="79"/>
  <c r="M5" i="79"/>
  <c r="BA5" i="79"/>
  <c r="X20" i="79"/>
  <c r="M11" i="79"/>
  <c r="BA11" i="79"/>
  <c r="BA9" i="79"/>
  <c r="M9" i="79"/>
  <c r="M20" i="79"/>
  <c r="BA20" i="79"/>
  <c r="S187" i="143" l="1"/>
  <c r="S188" i="143"/>
  <c r="W184" i="143"/>
  <c r="K193" i="143"/>
  <c r="W193" i="143" s="1"/>
  <c r="W348" i="143" l="1"/>
  <c r="K346" i="143"/>
  <c r="G18" i="144" s="1"/>
  <c r="K360" i="143"/>
  <c r="K194" i="143"/>
  <c r="K362" i="143" l="1"/>
  <c r="S362" i="143" s="1"/>
  <c r="W360" i="143"/>
  <c r="K356" i="143"/>
  <c r="W346" i="143"/>
  <c r="K358" i="143" l="1"/>
  <c r="W356" i="143"/>
  <c r="S4" i="143"/>
  <c r="S3" i="143"/>
  <c r="G15" i="143" s="1"/>
  <c r="G20" i="143" l="1"/>
  <c r="M20" i="143" s="1"/>
  <c r="G17" i="143"/>
  <c r="M17" i="143" s="1"/>
  <c r="G22" i="143"/>
  <c r="G26" i="143"/>
  <c r="M26" i="143" s="1"/>
  <c r="G30" i="143"/>
  <c r="G24" i="143"/>
  <c r="G28" i="143"/>
  <c r="M28" i="143" s="1"/>
  <c r="G32" i="143"/>
  <c r="M32" i="143" s="1"/>
  <c r="G18" i="143"/>
  <c r="M18" i="143" s="1"/>
  <c r="I15" i="143"/>
  <c r="I29" i="143"/>
  <c r="S29" i="143" s="1"/>
  <c r="I25" i="143"/>
  <c r="S25" i="143" s="1"/>
  <c r="I21" i="143"/>
  <c r="S21" i="143" s="1"/>
  <c r="I17" i="143"/>
  <c r="S17" i="143" s="1"/>
  <c r="G84" i="143"/>
  <c r="M84" i="143" s="1"/>
  <c r="G80" i="143"/>
  <c r="G76" i="143"/>
  <c r="M76" i="143" s="1"/>
  <c r="G72" i="143"/>
  <c r="M72" i="143" s="1"/>
  <c r="G93" i="143"/>
  <c r="G169" i="143"/>
  <c r="I169" i="143" s="1"/>
  <c r="G165" i="143"/>
  <c r="G161" i="143"/>
  <c r="I161" i="143" s="1"/>
  <c r="G157" i="143"/>
  <c r="G177" i="143"/>
  <c r="G186" i="143"/>
  <c r="G182" i="143"/>
  <c r="G178" i="143"/>
  <c r="G29" i="143"/>
  <c r="M29" i="143" s="1"/>
  <c r="G25" i="143"/>
  <c r="G21" i="143"/>
  <c r="M21" i="143" s="1"/>
  <c r="I32" i="143"/>
  <c r="S32" i="143" s="1"/>
  <c r="I28" i="143"/>
  <c r="S28" i="143" s="1"/>
  <c r="I24" i="143"/>
  <c r="S24" i="143" s="1"/>
  <c r="I20" i="143"/>
  <c r="S20" i="143" s="1"/>
  <c r="I16" i="143"/>
  <c r="S16" i="143" s="1"/>
  <c r="G87" i="143"/>
  <c r="M87" i="143" s="1"/>
  <c r="G83" i="143"/>
  <c r="M83" i="143" s="1"/>
  <c r="G79" i="143"/>
  <c r="M79" i="143" s="1"/>
  <c r="G75" i="143"/>
  <c r="M75" i="143" s="1"/>
  <c r="G71" i="143"/>
  <c r="M71" i="143" s="1"/>
  <c r="G170" i="143"/>
  <c r="I170" i="143" s="1"/>
  <c r="G166" i="143"/>
  <c r="I166" i="143" s="1"/>
  <c r="G162" i="143"/>
  <c r="I162" i="143" s="1"/>
  <c r="G158" i="143"/>
  <c r="I158" i="143" s="1"/>
  <c r="G154" i="143"/>
  <c r="I154" i="143" s="1"/>
  <c r="G189" i="143"/>
  <c r="G183" i="143"/>
  <c r="G179" i="143"/>
  <c r="G16" i="143"/>
  <c r="M16" i="143" s="1"/>
  <c r="I31" i="143"/>
  <c r="S31" i="143" s="1"/>
  <c r="I27" i="143"/>
  <c r="S27" i="143" s="1"/>
  <c r="I23" i="143"/>
  <c r="S23" i="143" s="1"/>
  <c r="I19" i="143"/>
  <c r="S19" i="143" s="1"/>
  <c r="G69" i="143"/>
  <c r="G86" i="143"/>
  <c r="G82" i="143"/>
  <c r="M82" i="143" s="1"/>
  <c r="G78" i="143"/>
  <c r="G74" i="143"/>
  <c r="M74" i="143" s="1"/>
  <c r="G70" i="143"/>
  <c r="M70" i="143" s="1"/>
  <c r="G153" i="143"/>
  <c r="G167" i="143"/>
  <c r="I167" i="143" s="1"/>
  <c r="G163" i="143"/>
  <c r="I163" i="143" s="1"/>
  <c r="G159" i="143"/>
  <c r="I159" i="143" s="1"/>
  <c r="G155" i="143"/>
  <c r="I155" i="143" s="1"/>
  <c r="G190" i="143"/>
  <c r="G184" i="143"/>
  <c r="G180" i="143"/>
  <c r="G31" i="143"/>
  <c r="M31" i="143" s="1"/>
  <c r="G27" i="143"/>
  <c r="M27" i="143" s="1"/>
  <c r="G23" i="143"/>
  <c r="M23" i="143" s="1"/>
  <c r="G19" i="143"/>
  <c r="M19" i="143" s="1"/>
  <c r="G35" i="143"/>
  <c r="M35" i="143" s="1"/>
  <c r="I30" i="143"/>
  <c r="S30" i="143" s="1"/>
  <c r="I26" i="143"/>
  <c r="S26" i="143" s="1"/>
  <c r="I22" i="143"/>
  <c r="S22" i="143" s="1"/>
  <c r="I18" i="143"/>
  <c r="S18" i="143" s="1"/>
  <c r="G89" i="143"/>
  <c r="M89" i="143" s="1"/>
  <c r="G85" i="143"/>
  <c r="G81" i="143"/>
  <c r="M81" i="143" s="1"/>
  <c r="G77" i="143"/>
  <c r="M77" i="143" s="1"/>
  <c r="G73" i="143"/>
  <c r="M73" i="143" s="1"/>
  <c r="G168" i="143"/>
  <c r="I168" i="143" s="1"/>
  <c r="G164" i="143"/>
  <c r="I164" i="143" s="1"/>
  <c r="G160" i="143"/>
  <c r="I160" i="143" s="1"/>
  <c r="G156" i="143"/>
  <c r="I156" i="143" s="1"/>
  <c r="G192" i="143"/>
  <c r="G185" i="143"/>
  <c r="G181" i="143"/>
  <c r="I93" i="143"/>
  <c r="S93" i="143" s="1"/>
  <c r="I89" i="143"/>
  <c r="S89" i="143" s="1"/>
  <c r="I85" i="143"/>
  <c r="I81" i="143"/>
  <c r="S81" i="143" s="1"/>
  <c r="I77" i="143"/>
  <c r="S77" i="143" s="1"/>
  <c r="I73" i="143"/>
  <c r="S73" i="143" s="1"/>
  <c r="I88" i="143"/>
  <c r="S88" i="143" s="1"/>
  <c r="I84" i="143"/>
  <c r="S84" i="143" s="1"/>
  <c r="I80" i="143"/>
  <c r="I76" i="143"/>
  <c r="S76" i="143" s="1"/>
  <c r="I72" i="143"/>
  <c r="S72" i="143" s="1"/>
  <c r="I87" i="143"/>
  <c r="S87" i="143" s="1"/>
  <c r="I83" i="143"/>
  <c r="S83" i="143" s="1"/>
  <c r="I79" i="143"/>
  <c r="S79" i="143" s="1"/>
  <c r="I75" i="143"/>
  <c r="S75" i="143" s="1"/>
  <c r="I71" i="143"/>
  <c r="S71" i="143" s="1"/>
  <c r="I69" i="143"/>
  <c r="S69" i="143" s="1"/>
  <c r="I86" i="143"/>
  <c r="S86" i="143" s="1"/>
  <c r="I82" i="143"/>
  <c r="S82" i="143" s="1"/>
  <c r="I78" i="143"/>
  <c r="S78" i="143" s="1"/>
  <c r="I74" i="143"/>
  <c r="S74" i="143" s="1"/>
  <c r="I70" i="143"/>
  <c r="S70" i="143" s="1"/>
  <c r="I180" i="143"/>
  <c r="S180" i="143" s="1"/>
  <c r="I35" i="143"/>
  <c r="S35" i="143" s="1"/>
  <c r="I178" i="143"/>
  <c r="S178" i="143" s="1"/>
  <c r="I179" i="143"/>
  <c r="S179" i="143" s="1"/>
  <c r="I183" i="143"/>
  <c r="S183" i="143" s="1"/>
  <c r="I189" i="143"/>
  <c r="S189" i="143" s="1"/>
  <c r="I184" i="143"/>
  <c r="S184" i="143" s="1"/>
  <c r="I190" i="143"/>
  <c r="S190" i="143" s="1"/>
  <c r="M22" i="143"/>
  <c r="I177" i="143"/>
  <c r="S177" i="143" s="1"/>
  <c r="I181" i="143"/>
  <c r="S181" i="143" s="1"/>
  <c r="I185" i="143"/>
  <c r="S185" i="143" s="1"/>
  <c r="I192" i="143"/>
  <c r="I191" i="143" s="1"/>
  <c r="I182" i="143"/>
  <c r="S182" i="143" s="1"/>
  <c r="I186" i="143"/>
  <c r="S186" i="143" s="1"/>
  <c r="M24" i="143"/>
  <c r="M93" i="143"/>
  <c r="I165" i="143"/>
  <c r="M25" i="143"/>
  <c r="M78" i="143"/>
  <c r="G348" i="143"/>
  <c r="I157" i="143"/>
  <c r="M88" i="143"/>
  <c r="M30" i="143"/>
  <c r="M86" i="143"/>
  <c r="G193" i="143" l="1"/>
  <c r="G346" i="143" s="1"/>
  <c r="I193" i="143"/>
  <c r="I194" i="143" s="1"/>
  <c r="S194" i="143" s="1"/>
  <c r="I94" i="143"/>
  <c r="S94" i="143" s="1"/>
  <c r="M85" i="143"/>
  <c r="M80" i="143"/>
  <c r="G342" i="143"/>
  <c r="S168" i="143"/>
  <c r="M168" i="143"/>
  <c r="S162" i="143"/>
  <c r="M162" i="143"/>
  <c r="S161" i="143"/>
  <c r="M161" i="143"/>
  <c r="S164" i="143"/>
  <c r="M164" i="143"/>
  <c r="G36" i="143"/>
  <c r="G352" i="143" s="1"/>
  <c r="M15" i="143"/>
  <c r="V72" i="143"/>
  <c r="U72" i="143"/>
  <c r="T72" i="143"/>
  <c r="T71" i="143"/>
  <c r="V71" i="143"/>
  <c r="U71" i="143"/>
  <c r="G94" i="143"/>
  <c r="G354" i="143" s="1"/>
  <c r="M69" i="143"/>
  <c r="S169" i="143"/>
  <c r="M169" i="143"/>
  <c r="S165" i="143"/>
  <c r="M165" i="143"/>
  <c r="S191" i="143"/>
  <c r="I348" i="143"/>
  <c r="S85" i="143"/>
  <c r="S193" i="143"/>
  <c r="T22" i="143"/>
  <c r="V22" i="143"/>
  <c r="U22" i="143"/>
  <c r="T79" i="143"/>
  <c r="U79" i="143"/>
  <c r="V79" i="143"/>
  <c r="U84" i="143"/>
  <c r="V84" i="143"/>
  <c r="T84" i="143"/>
  <c r="U83" i="143"/>
  <c r="V83" i="143"/>
  <c r="T83" i="143"/>
  <c r="S163" i="143"/>
  <c r="M163" i="143"/>
  <c r="U77" i="143"/>
  <c r="V77" i="143"/>
  <c r="T77" i="143"/>
  <c r="T32" i="143"/>
  <c r="U32" i="143"/>
  <c r="V32" i="143"/>
  <c r="T88" i="143"/>
  <c r="U88" i="143"/>
  <c r="V88" i="143"/>
  <c r="S154" i="143"/>
  <c r="M154" i="143"/>
  <c r="V74" i="143"/>
  <c r="U74" i="143"/>
  <c r="T74" i="143"/>
  <c r="U89" i="143"/>
  <c r="V89" i="143"/>
  <c r="T89" i="143"/>
  <c r="U82" i="143"/>
  <c r="V82" i="143"/>
  <c r="T82" i="143"/>
  <c r="V28" i="143"/>
  <c r="T28" i="143"/>
  <c r="U28" i="143"/>
  <c r="V23" i="143"/>
  <c r="T23" i="143"/>
  <c r="U23" i="143"/>
  <c r="U73" i="143"/>
  <c r="T73" i="143"/>
  <c r="V73" i="143"/>
  <c r="T19" i="143"/>
  <c r="V19" i="143"/>
  <c r="U19" i="143"/>
  <c r="U20" i="143"/>
  <c r="T20" i="143"/>
  <c r="V20" i="143"/>
  <c r="V93" i="143"/>
  <c r="U93" i="143"/>
  <c r="T93" i="143"/>
  <c r="V87" i="143"/>
  <c r="U87" i="143"/>
  <c r="T87" i="143"/>
  <c r="S159" i="143"/>
  <c r="M159" i="143"/>
  <c r="S155" i="143"/>
  <c r="M155" i="143"/>
  <c r="S156" i="143"/>
  <c r="M156" i="143"/>
  <c r="S170" i="143"/>
  <c r="M170" i="143"/>
  <c r="U76" i="143"/>
  <c r="V76" i="143"/>
  <c r="T76" i="143"/>
  <c r="S167" i="143"/>
  <c r="M167" i="143"/>
  <c r="S166" i="143"/>
  <c r="M166" i="143"/>
  <c r="S158" i="143"/>
  <c r="M158" i="143"/>
  <c r="S80" i="143"/>
  <c r="I342" i="143"/>
  <c r="S342" i="143" s="1"/>
  <c r="S15" i="143"/>
  <c r="I36" i="143"/>
  <c r="G171" i="143"/>
  <c r="G350" i="143" s="1"/>
  <c r="I153" i="143"/>
  <c r="V27" i="143"/>
  <c r="T27" i="143"/>
  <c r="U27" i="143"/>
  <c r="S160" i="143"/>
  <c r="M160" i="143"/>
  <c r="V86" i="143"/>
  <c r="U86" i="143"/>
  <c r="T86" i="143"/>
  <c r="V21" i="143"/>
  <c r="U21" i="143"/>
  <c r="T21" i="143"/>
  <c r="U26" i="143"/>
  <c r="V26" i="143"/>
  <c r="T26" i="143"/>
  <c r="T29" i="143"/>
  <c r="V29" i="143"/>
  <c r="U29" i="143"/>
  <c r="V30" i="143"/>
  <c r="U30" i="143"/>
  <c r="T30" i="143"/>
  <c r="U31" i="143"/>
  <c r="V31" i="143"/>
  <c r="T31" i="143"/>
  <c r="M157" i="143"/>
  <c r="S157" i="143"/>
  <c r="T16" i="143"/>
  <c r="V16" i="143"/>
  <c r="U16" i="143"/>
  <c r="V24" i="143"/>
  <c r="U24" i="143"/>
  <c r="T24" i="143"/>
  <c r="U70" i="143"/>
  <c r="V70" i="143"/>
  <c r="T70" i="143"/>
  <c r="V81" i="143"/>
  <c r="U81" i="143"/>
  <c r="T81" i="143"/>
  <c r="T75" i="143"/>
  <c r="V75" i="143"/>
  <c r="U75" i="143"/>
  <c r="U78" i="143"/>
  <c r="T78" i="143"/>
  <c r="V78" i="143"/>
  <c r="U35" i="143"/>
  <c r="T35" i="143"/>
  <c r="V35" i="143"/>
  <c r="U18" i="143"/>
  <c r="V18" i="143"/>
  <c r="T18" i="143"/>
  <c r="U25" i="143"/>
  <c r="V25" i="143"/>
  <c r="T25" i="143"/>
  <c r="U17" i="143"/>
  <c r="V17" i="143"/>
  <c r="T17" i="143"/>
  <c r="I346" i="143" l="1"/>
  <c r="S346" i="143" s="1"/>
  <c r="I95" i="143"/>
  <c r="S95" i="143" s="1"/>
  <c r="I354" i="143"/>
  <c r="S354" i="143" s="1"/>
  <c r="G356" i="143"/>
  <c r="G358" i="143" s="1"/>
  <c r="G364" i="143" s="1"/>
  <c r="G360" i="143"/>
  <c r="G110" i="143"/>
  <c r="T157" i="143"/>
  <c r="U157" i="143"/>
  <c r="V157" i="143"/>
  <c r="S153" i="143"/>
  <c r="I171" i="143"/>
  <c r="M153" i="143"/>
  <c r="S36" i="143"/>
  <c r="I37" i="143"/>
  <c r="S37" i="143" s="1"/>
  <c r="I352" i="143"/>
  <c r="V158" i="143"/>
  <c r="U158" i="143"/>
  <c r="T158" i="143"/>
  <c r="V166" i="143"/>
  <c r="U166" i="143"/>
  <c r="T166" i="143"/>
  <c r="V154" i="143"/>
  <c r="T154" i="143"/>
  <c r="U154" i="143"/>
  <c r="S348" i="143"/>
  <c r="V165" i="143"/>
  <c r="U165" i="143"/>
  <c r="T165" i="143"/>
  <c r="V169" i="143"/>
  <c r="T169" i="143"/>
  <c r="U169" i="143"/>
  <c r="T69" i="143"/>
  <c r="V69" i="143"/>
  <c r="U69" i="143"/>
  <c r="M94" i="143"/>
  <c r="M36" i="143"/>
  <c r="V15" i="143"/>
  <c r="T15" i="143"/>
  <c r="U15" i="143"/>
  <c r="U164" i="143"/>
  <c r="V164" i="143"/>
  <c r="T164" i="143"/>
  <c r="T161" i="143"/>
  <c r="V161" i="143"/>
  <c r="U161" i="143"/>
  <c r="T162" i="143"/>
  <c r="V162" i="143"/>
  <c r="U162" i="143"/>
  <c r="V168" i="143"/>
  <c r="U168" i="143"/>
  <c r="M342" i="143"/>
  <c r="T168" i="143"/>
  <c r="T160" i="143"/>
  <c r="V160" i="143"/>
  <c r="U160" i="143"/>
  <c r="V167" i="143"/>
  <c r="U167" i="143"/>
  <c r="T167" i="143"/>
  <c r="U170" i="143"/>
  <c r="T170" i="143"/>
  <c r="V170" i="143"/>
  <c r="V156" i="143"/>
  <c r="T156" i="143"/>
  <c r="U156" i="143"/>
  <c r="V155" i="143"/>
  <c r="T155" i="143"/>
  <c r="U155" i="143"/>
  <c r="T159" i="143"/>
  <c r="U159" i="143"/>
  <c r="V159" i="143"/>
  <c r="T163" i="143"/>
  <c r="U163" i="143"/>
  <c r="V163" i="143"/>
  <c r="T80" i="143"/>
  <c r="U80" i="143"/>
  <c r="V80" i="143"/>
  <c r="V85" i="143"/>
  <c r="T85" i="143"/>
  <c r="U85" i="143"/>
  <c r="I110" i="143" l="1"/>
  <c r="S110" i="143" s="1"/>
  <c r="M354" i="143"/>
  <c r="V354" i="143" s="1"/>
  <c r="V36" i="143"/>
  <c r="M54" i="143"/>
  <c r="M352" i="143"/>
  <c r="T36" i="143"/>
  <c r="U36" i="143"/>
  <c r="T342" i="143"/>
  <c r="U342" i="143"/>
  <c r="V342" i="143"/>
  <c r="T94" i="143"/>
  <c r="U94" i="143"/>
  <c r="V94" i="143"/>
  <c r="T354" i="143"/>
  <c r="V153" i="143"/>
  <c r="U153" i="143"/>
  <c r="T153" i="143"/>
  <c r="M171" i="143"/>
  <c r="S352" i="143"/>
  <c r="I350" i="143"/>
  <c r="S171" i="143"/>
  <c r="I172" i="143"/>
  <c r="S172" i="143" s="1"/>
  <c r="U354" i="143" l="1"/>
  <c r="U171" i="143"/>
  <c r="T171" i="143"/>
  <c r="V171" i="143"/>
  <c r="M350" i="143"/>
  <c r="S350" i="143"/>
  <c r="I360" i="143"/>
  <c r="S360" i="143" s="1"/>
  <c r="I356" i="143"/>
  <c r="V352" i="143"/>
  <c r="U352" i="143"/>
  <c r="T352" i="143"/>
  <c r="S356" i="143" l="1"/>
  <c r="AB5" i="143"/>
  <c r="I358" i="143"/>
  <c r="V350" i="143"/>
  <c r="U350" i="143"/>
  <c r="M360" i="143"/>
  <c r="T350" i="143"/>
  <c r="M356" i="143"/>
  <c r="V356" i="143" l="1"/>
  <c r="T356" i="143"/>
  <c r="U356" i="143"/>
  <c r="T360" i="143"/>
  <c r="U360" i="143"/>
  <c r="V360" i="143"/>
  <c r="I364" i="143"/>
  <c r="S358" i="143"/>
  <c r="B6" i="96" l="1"/>
  <c r="U34" i="122" l="1"/>
  <c r="U59" i="122"/>
  <c r="U43" i="122" l="1"/>
  <c r="U40" i="122"/>
  <c r="T101" i="123" s="1"/>
  <c r="U69" i="122"/>
  <c r="U66" i="122"/>
  <c r="T167" i="123" s="1"/>
  <c r="U22" i="122"/>
  <c r="U28" i="122" l="1"/>
  <c r="T68" i="123" s="1"/>
  <c r="U31" i="122"/>
  <c r="BH31" i="122" s="1"/>
  <c r="T169" i="123"/>
  <c r="BH167" i="123"/>
  <c r="BG167" i="123"/>
  <c r="T103" i="123"/>
  <c r="BH101" i="123"/>
  <c r="W13" i="120" l="1"/>
  <c r="BH103" i="123"/>
  <c r="W38" i="120"/>
  <c r="W41" i="120" s="1"/>
  <c r="W134" i="120" s="1"/>
  <c r="BG169" i="123"/>
  <c r="BG68" i="123"/>
  <c r="T70" i="123"/>
  <c r="BH68" i="123"/>
  <c r="BH66" i="123" s="1"/>
  <c r="BH70" i="123" l="1"/>
  <c r="W8" i="120"/>
  <c r="W11" i="120" s="1"/>
  <c r="X38" i="140" s="1"/>
  <c r="W16" i="120"/>
  <c r="X39" i="140" s="1"/>
  <c r="W32" i="120"/>
  <c r="W35" i="120" s="1"/>
  <c r="W132" i="120" l="1"/>
  <c r="X41" i="140"/>
  <c r="W142" i="120" l="1"/>
  <c r="W144" i="120"/>
  <c r="W140" i="120"/>
  <c r="W148" i="120"/>
  <c r="W146" i="120"/>
  <c r="T350" i="64" l="1"/>
  <c r="W34" i="111" s="1"/>
  <c r="W93" i="111" s="1"/>
  <c r="C114" i="111" s="1"/>
  <c r="W150" i="120"/>
  <c r="T348" i="64"/>
  <c r="W33" i="111" s="1"/>
  <c r="W92" i="111" l="1"/>
  <c r="C113" i="111" s="1"/>
  <c r="W51" i="111"/>
  <c r="X127" i="140"/>
  <c r="W152" i="120"/>
  <c r="W52" i="111" l="1"/>
  <c r="C23" i="79" s="1"/>
  <c r="B23" i="79"/>
  <c r="W58" i="111"/>
  <c r="W65" i="111" s="1"/>
  <c r="W72" i="111"/>
  <c r="W75" i="111" s="1"/>
  <c r="BA23" i="79" l="1"/>
  <c r="BA61" i="79" s="1"/>
  <c r="C60" i="79" s="1"/>
  <c r="M23" i="79"/>
  <c r="M60" i="79" s="1"/>
  <c r="W77" i="111"/>
  <c r="V23" i="79"/>
  <c r="X23" i="79" s="1"/>
  <c r="X60" i="79" s="1"/>
  <c r="L23" i="79"/>
  <c r="L60" i="79" s="1"/>
  <c r="BB23" i="79"/>
  <c r="BB61" i="79" s="1"/>
  <c r="B60" i="79" s="1"/>
  <c r="B3" i="96" l="1"/>
  <c r="B1" i="96"/>
  <c r="B4" i="96"/>
  <c r="B2" i="96"/>
  <c r="H15" i="96" l="1"/>
  <c r="H34" i="96"/>
  <c r="H51" i="96"/>
  <c r="J51" i="96" s="1"/>
  <c r="H105" i="96"/>
  <c r="J105" i="96" s="1"/>
  <c r="H57" i="96"/>
  <c r="J57" i="96" s="1"/>
  <c r="H104" i="96"/>
  <c r="J104" i="96" s="1"/>
  <c r="H24" i="96"/>
  <c r="H20" i="96"/>
  <c r="H55" i="96"/>
  <c r="H80" i="96"/>
  <c r="H72" i="96"/>
  <c r="H109" i="96"/>
  <c r="H83" i="96"/>
  <c r="J83" i="96" s="1"/>
  <c r="H45" i="96"/>
  <c r="H81" i="96"/>
  <c r="J81" i="96" s="1"/>
  <c r="H27" i="96"/>
  <c r="J27" i="96" s="1"/>
  <c r="H49" i="96"/>
  <c r="H121" i="96"/>
  <c r="H71" i="96"/>
  <c r="J71" i="96" s="1"/>
  <c r="K71" i="96" s="1"/>
  <c r="Y49" i="111" s="1"/>
  <c r="H108" i="96"/>
  <c r="J108" i="96" s="1"/>
  <c r="H21" i="96"/>
  <c r="H58" i="96"/>
  <c r="J58" i="96" s="1"/>
  <c r="K58" i="96" s="1"/>
  <c r="J49" i="111" s="1"/>
  <c r="H42" i="96"/>
  <c r="H69" i="96"/>
  <c r="H94" i="96"/>
  <c r="H114" i="96"/>
  <c r="H96" i="96"/>
  <c r="J96" i="96" s="1"/>
  <c r="H28" i="96"/>
  <c r="J28" i="96" s="1"/>
  <c r="K28" i="96" s="1"/>
  <c r="U49" i="111" s="1"/>
  <c r="H23" i="96"/>
  <c r="H38" i="96"/>
  <c r="J38" i="96" s="1"/>
  <c r="K38" i="96" s="1"/>
  <c r="G49" i="111" s="1"/>
  <c r="H75" i="96"/>
  <c r="J75" i="96" s="1"/>
  <c r="K75" i="96" s="1"/>
  <c r="AB49" i="111" s="1"/>
  <c r="H82" i="96"/>
  <c r="J82" i="96" s="1"/>
  <c r="K82" i="96" s="1"/>
  <c r="AH49" i="111" s="1"/>
  <c r="H110" i="96"/>
  <c r="H90" i="96"/>
  <c r="H46" i="96"/>
  <c r="H33" i="96"/>
  <c r="H65" i="96"/>
  <c r="H103" i="96"/>
  <c r="J103" i="96" s="1"/>
  <c r="K103" i="96" s="1"/>
  <c r="BA49" i="111" s="1"/>
  <c r="H120" i="96"/>
  <c r="H102" i="96"/>
  <c r="J102" i="96" s="1"/>
  <c r="H22" i="96"/>
  <c r="J22" i="96" s="1"/>
  <c r="H64" i="96"/>
  <c r="H19" i="96"/>
  <c r="H36" i="96"/>
  <c r="H60" i="96"/>
  <c r="H97" i="96"/>
  <c r="J97" i="96" s="1"/>
  <c r="H119" i="96"/>
  <c r="H98" i="96"/>
  <c r="H30" i="96"/>
  <c r="H29" i="96"/>
  <c r="H61" i="96"/>
  <c r="H112" i="96"/>
  <c r="H68" i="96"/>
  <c r="H106" i="96"/>
  <c r="J106" i="96" s="1"/>
  <c r="H17" i="96"/>
  <c r="H54" i="96"/>
  <c r="J54" i="96" s="1"/>
  <c r="H88" i="96"/>
  <c r="H63" i="96"/>
  <c r="H70" i="96"/>
  <c r="H35" i="96"/>
  <c r="H26" i="96"/>
  <c r="H31" i="96"/>
  <c r="H92" i="96"/>
  <c r="H13" i="96"/>
  <c r="H32" i="96"/>
  <c r="H79" i="96"/>
  <c r="H93" i="96"/>
  <c r="H47" i="96"/>
  <c r="H128" i="96"/>
  <c r="H67" i="96"/>
  <c r="H116" i="96"/>
  <c r="H50" i="96"/>
  <c r="H127" i="96"/>
  <c r="J127" i="96" s="1"/>
  <c r="K127" i="96" s="1"/>
  <c r="BD49" i="111" s="1"/>
  <c r="BD53" i="111" s="1"/>
  <c r="H91" i="96"/>
  <c r="J91" i="96" s="1"/>
  <c r="K91" i="96" s="1"/>
  <c r="AU49" i="111" s="1"/>
  <c r="H77" i="96"/>
  <c r="J77" i="96" s="1"/>
  <c r="H16" i="96"/>
  <c r="H122" i="96"/>
  <c r="H43" i="96"/>
  <c r="H125" i="96"/>
  <c r="H18" i="96"/>
  <c r="J18" i="96" s="1"/>
  <c r="H39" i="96"/>
  <c r="J39" i="96" s="1"/>
  <c r="H56" i="96"/>
  <c r="H87" i="96"/>
  <c r="J87" i="96" s="1"/>
  <c r="K87" i="96" s="1"/>
  <c r="AV49" i="111" s="1"/>
  <c r="H66" i="96"/>
  <c r="H99" i="96"/>
  <c r="H74" i="96"/>
  <c r="J74" i="96" s="1"/>
  <c r="H76" i="96"/>
  <c r="J76" i="96" s="1"/>
  <c r="H100" i="96"/>
  <c r="H107" i="96"/>
  <c r="J107" i="96" s="1"/>
  <c r="K107" i="96" s="1"/>
  <c r="AS49" i="111" s="1"/>
  <c r="H101" i="96"/>
  <c r="H37" i="96"/>
  <c r="H123" i="96"/>
  <c r="H113" i="96"/>
  <c r="H52" i="96"/>
  <c r="H117" i="96"/>
  <c r="H25" i="96"/>
  <c r="J92" i="96" l="1"/>
  <c r="K92" i="96" s="1"/>
  <c r="BB49" i="111" s="1"/>
  <c r="BB108" i="111" s="1"/>
  <c r="J19" i="96"/>
  <c r="K19" i="96" s="1"/>
  <c r="H49" i="111" s="1"/>
  <c r="H53" i="111" s="1"/>
  <c r="J120" i="96"/>
  <c r="K120" i="96" s="1"/>
  <c r="AX49" i="111" s="1"/>
  <c r="AX53" i="111" s="1"/>
  <c r="BD108" i="111"/>
  <c r="AS53" i="111"/>
  <c r="AS108" i="111"/>
  <c r="AV53" i="111"/>
  <c r="AV108" i="111"/>
  <c r="J68" i="96"/>
  <c r="K68" i="96" s="1"/>
  <c r="D49" i="111" s="1"/>
  <c r="J60" i="96"/>
  <c r="K60" i="96" s="1"/>
  <c r="I49" i="111" s="1"/>
  <c r="J65" i="96"/>
  <c r="K65" i="96" s="1"/>
  <c r="N49" i="111" s="1"/>
  <c r="AB53" i="111"/>
  <c r="AB108" i="111"/>
  <c r="J23" i="96"/>
  <c r="K23" i="96" s="1"/>
  <c r="Y108" i="111"/>
  <c r="Y53" i="111"/>
  <c r="J14" i="96"/>
  <c r="K14" i="96" s="1"/>
  <c r="E49" i="111" s="1"/>
  <c r="AU108" i="111"/>
  <c r="AU53" i="111"/>
  <c r="J112" i="96"/>
  <c r="K112" i="96" s="1"/>
  <c r="AM49" i="111" s="1"/>
  <c r="J29" i="96"/>
  <c r="K29" i="96" s="1"/>
  <c r="L49" i="111" s="1"/>
  <c r="J98" i="96"/>
  <c r="K98" i="96" s="1"/>
  <c r="AY49" i="111" s="1"/>
  <c r="BA53" i="111"/>
  <c r="BA108" i="111"/>
  <c r="J33" i="96"/>
  <c r="K33" i="96" s="1"/>
  <c r="P49" i="111" s="1"/>
  <c r="AH53" i="111"/>
  <c r="AH108" i="111"/>
  <c r="G108" i="111"/>
  <c r="G53" i="111"/>
  <c r="U53" i="111"/>
  <c r="U108" i="111"/>
  <c r="J108" i="111"/>
  <c r="J53" i="111"/>
  <c r="J109" i="96"/>
  <c r="K109" i="96" s="1"/>
  <c r="AZ49" i="111" s="1"/>
  <c r="J79" i="96"/>
  <c r="K79" i="96" s="1"/>
  <c r="AF49" i="111" s="1"/>
  <c r="BD57" i="111"/>
  <c r="BD64" i="111" s="1"/>
  <c r="D56" i="79"/>
  <c r="H108" i="111" l="1"/>
  <c r="AX108" i="111"/>
  <c r="BB53" i="111"/>
  <c r="AZ53" i="111"/>
  <c r="AZ108" i="111"/>
  <c r="D21" i="79"/>
  <c r="U57" i="111"/>
  <c r="U64" i="111" s="1"/>
  <c r="D34" i="79"/>
  <c r="AH57" i="111"/>
  <c r="AH64" i="111" s="1"/>
  <c r="AY108" i="111"/>
  <c r="AY53" i="111"/>
  <c r="AM108" i="111"/>
  <c r="AM53" i="111"/>
  <c r="AU57" i="111"/>
  <c r="AU64" i="111" s="1"/>
  <c r="D47" i="79"/>
  <c r="E108" i="111"/>
  <c r="E53" i="111"/>
  <c r="F49" i="111"/>
  <c r="D28" i="79"/>
  <c r="AB57" i="111"/>
  <c r="AB64" i="111" s="1"/>
  <c r="I53" i="111"/>
  <c r="I108" i="111"/>
  <c r="AV57" i="111"/>
  <c r="AV64" i="111" s="1"/>
  <c r="D48" i="79"/>
  <c r="AS57" i="111"/>
  <c r="AS64" i="111" s="1"/>
  <c r="D45" i="79"/>
  <c r="AF108" i="111"/>
  <c r="AF53" i="111"/>
  <c r="J57" i="111"/>
  <c r="J64" i="111" s="1"/>
  <c r="D10" i="79"/>
  <c r="D7" i="79"/>
  <c r="G57" i="111"/>
  <c r="G64" i="111" s="1"/>
  <c r="P108" i="111"/>
  <c r="P53" i="111"/>
  <c r="BA57" i="111"/>
  <c r="BA64" i="111" s="1"/>
  <c r="D53" i="79"/>
  <c r="L108" i="111"/>
  <c r="L53" i="111"/>
  <c r="D25" i="79"/>
  <c r="Y57" i="111"/>
  <c r="Y64" i="111" s="1"/>
  <c r="N108" i="111"/>
  <c r="N53" i="111"/>
  <c r="AX57" i="111"/>
  <c r="AX64" i="111" s="1"/>
  <c r="D50" i="79"/>
  <c r="H57" i="111"/>
  <c r="H64" i="111" s="1"/>
  <c r="D8" i="79"/>
  <c r="D108" i="111"/>
  <c r="D53" i="111"/>
  <c r="AZ56" i="79"/>
  <c r="AK56" i="79"/>
  <c r="F56" i="79"/>
  <c r="L57" i="118"/>
  <c r="E56" i="79"/>
  <c r="O56" i="79" s="1"/>
  <c r="AA56" i="79"/>
  <c r="AB56" i="79" s="1"/>
  <c r="BB57" i="111" l="1"/>
  <c r="BB64" i="111" s="1"/>
  <c r="D54" i="79"/>
  <c r="D57" i="111"/>
  <c r="D64" i="111" s="1"/>
  <c r="D4" i="79"/>
  <c r="E8" i="79"/>
  <c r="O8" i="79" s="1"/>
  <c r="AZ8" i="79"/>
  <c r="F8" i="79"/>
  <c r="L10" i="118"/>
  <c r="AA8" i="79"/>
  <c r="AB8" i="79" s="1"/>
  <c r="AK8" i="79"/>
  <c r="F50" i="79"/>
  <c r="AZ50" i="79"/>
  <c r="E50" i="79"/>
  <c r="O50" i="79" s="1"/>
  <c r="L15" i="118"/>
  <c r="AA50" i="79"/>
  <c r="AB50" i="79" s="1"/>
  <c r="AK50" i="79"/>
  <c r="N57" i="111"/>
  <c r="N64" i="111" s="1"/>
  <c r="D14" i="79"/>
  <c r="AA7" i="79"/>
  <c r="AB7" i="79" s="1"/>
  <c r="AK7" i="79"/>
  <c r="L9" i="118"/>
  <c r="E7" i="79"/>
  <c r="O7" i="79" s="1"/>
  <c r="AZ7" i="79"/>
  <c r="F7" i="79"/>
  <c r="F108" i="111"/>
  <c r="F53" i="111"/>
  <c r="D5" i="79"/>
  <c r="E57" i="111"/>
  <c r="E64" i="111" s="1"/>
  <c r="AK47" i="79"/>
  <c r="L23" i="118"/>
  <c r="AA47" i="79"/>
  <c r="AB47" i="79" s="1"/>
  <c r="AZ47" i="79"/>
  <c r="F47" i="79"/>
  <c r="E47" i="79"/>
  <c r="O47" i="79" s="1"/>
  <c r="AM57" i="111"/>
  <c r="AM64" i="111" s="1"/>
  <c r="D39" i="79"/>
  <c r="AY57" i="111"/>
  <c r="AY64" i="111" s="1"/>
  <c r="D51" i="79"/>
  <c r="E25" i="79"/>
  <c r="O25" i="79" s="1"/>
  <c r="AZ25" i="79"/>
  <c r="AA25" i="79"/>
  <c r="AB25" i="79" s="1"/>
  <c r="L50" i="118"/>
  <c r="AK25" i="79"/>
  <c r="F25" i="79"/>
  <c r="L57" i="111"/>
  <c r="L64" i="111" s="1"/>
  <c r="D12" i="79"/>
  <c r="F53" i="79"/>
  <c r="L16" i="118"/>
  <c r="E53" i="79"/>
  <c r="O53" i="79" s="1"/>
  <c r="AZ53" i="79"/>
  <c r="AA53" i="79"/>
  <c r="AB53" i="79" s="1"/>
  <c r="AK53" i="79"/>
  <c r="P57" i="111"/>
  <c r="P64" i="111" s="1"/>
  <c r="D16" i="79"/>
  <c r="F10" i="79"/>
  <c r="L26" i="118"/>
  <c r="E10" i="79"/>
  <c r="O10" i="79" s="1"/>
  <c r="AZ10" i="79"/>
  <c r="AA10" i="79"/>
  <c r="AB10" i="79" s="1"/>
  <c r="AK10" i="79"/>
  <c r="D32" i="79"/>
  <c r="AF57" i="111"/>
  <c r="AF64" i="111" s="1"/>
  <c r="E45" i="79"/>
  <c r="O45" i="79" s="1"/>
  <c r="L34" i="118"/>
  <c r="F45" i="79"/>
  <c r="AZ45" i="79"/>
  <c r="AA45" i="79"/>
  <c r="AB45" i="79" s="1"/>
  <c r="AK45" i="79"/>
  <c r="AK48" i="79"/>
  <c r="L5" i="118"/>
  <c r="AA48" i="79"/>
  <c r="AB48" i="79" s="1"/>
  <c r="AZ48" i="79"/>
  <c r="E48" i="79"/>
  <c r="O48" i="79" s="1"/>
  <c r="F48" i="79"/>
  <c r="D9" i="79"/>
  <c r="I57" i="111"/>
  <c r="I64" i="111" s="1"/>
  <c r="L37" i="118"/>
  <c r="F28" i="79"/>
  <c r="E28" i="79"/>
  <c r="O28" i="79" s="1"/>
  <c r="AK28" i="79"/>
  <c r="AZ28" i="79"/>
  <c r="AA28" i="79"/>
  <c r="AB28" i="79" s="1"/>
  <c r="L38" i="118"/>
  <c r="E34" i="79"/>
  <c r="O34" i="79" s="1"/>
  <c r="F34" i="79"/>
  <c r="AK34" i="79"/>
  <c r="AZ34" i="79"/>
  <c r="AA34" i="79"/>
  <c r="AB34" i="79" s="1"/>
  <c r="AZ21" i="79"/>
  <c r="AA21" i="79"/>
  <c r="AB21" i="79" s="1"/>
  <c r="AK21" i="79"/>
  <c r="F21" i="79"/>
  <c r="L54" i="118"/>
  <c r="E21" i="79"/>
  <c r="O21" i="79" s="1"/>
  <c r="D52" i="79"/>
  <c r="AZ57" i="111"/>
  <c r="AZ64" i="111" s="1"/>
  <c r="L47" i="118" l="1"/>
  <c r="AA54" i="79"/>
  <c r="AB54" i="79" s="1"/>
  <c r="AK54" i="79"/>
  <c r="F54" i="79"/>
  <c r="AZ54" i="79"/>
  <c r="E54" i="79"/>
  <c r="O54" i="79" s="1"/>
  <c r="L12" i="118"/>
  <c r="E9" i="79"/>
  <c r="O9" i="79" s="1"/>
  <c r="F9" i="79"/>
  <c r="AK9" i="79"/>
  <c r="AZ9" i="79"/>
  <c r="AA9" i="79"/>
  <c r="AB9" i="79" s="1"/>
  <c r="L41" i="118"/>
  <c r="F16" i="79"/>
  <c r="E16" i="79"/>
  <c r="O16" i="79" s="1"/>
  <c r="AK16" i="79"/>
  <c r="AZ16" i="79"/>
  <c r="AA16" i="79"/>
  <c r="AB16" i="79" s="1"/>
  <c r="AZ12" i="79"/>
  <c r="F12" i="79"/>
  <c r="AA12" i="79"/>
  <c r="AB12" i="79" s="1"/>
  <c r="AK12" i="79"/>
  <c r="E12" i="79"/>
  <c r="O12" i="79" s="1"/>
  <c r="L31" i="118"/>
  <c r="D6" i="79"/>
  <c r="F57" i="111"/>
  <c r="F64" i="111" s="1"/>
  <c r="AK14" i="79"/>
  <c r="AZ14" i="79"/>
  <c r="AA14" i="79"/>
  <c r="AB14" i="79" s="1"/>
  <c r="L33" i="118"/>
  <c r="E14" i="79"/>
  <c r="O14" i="79" s="1"/>
  <c r="F14" i="79"/>
  <c r="E4" i="79"/>
  <c r="O4" i="79" s="1"/>
  <c r="L7" i="118"/>
  <c r="F4" i="79"/>
  <c r="AZ4" i="79"/>
  <c r="AA4" i="79"/>
  <c r="AB4" i="79" s="1"/>
  <c r="AK4" i="79"/>
  <c r="L48" i="118"/>
  <c r="AZ52" i="79"/>
  <c r="E52" i="79"/>
  <c r="O52" i="79" s="1"/>
  <c r="F52" i="79"/>
  <c r="AA52" i="79"/>
  <c r="AB52" i="79" s="1"/>
  <c r="AK52" i="79"/>
  <c r="L27" i="118"/>
  <c r="E32" i="79"/>
  <c r="O32" i="79" s="1"/>
  <c r="F32" i="79"/>
  <c r="AK32" i="79"/>
  <c r="AZ32" i="79"/>
  <c r="AA32" i="79"/>
  <c r="AB32" i="79" s="1"/>
  <c r="AK51" i="79"/>
  <c r="AZ51" i="79"/>
  <c r="AA51" i="79"/>
  <c r="AB51" i="79" s="1"/>
  <c r="L22" i="118"/>
  <c r="E51" i="79"/>
  <c r="O51" i="79" s="1"/>
  <c r="F51" i="79"/>
  <c r="AK39" i="79"/>
  <c r="L49" i="118"/>
  <c r="AA39" i="79"/>
  <c r="AB39" i="79" s="1"/>
  <c r="AZ39" i="79"/>
  <c r="E39" i="79"/>
  <c r="O39" i="79" s="1"/>
  <c r="F39" i="79"/>
  <c r="AZ5" i="79"/>
  <c r="AK5" i="79"/>
  <c r="E5" i="79"/>
  <c r="O5" i="79" s="1"/>
  <c r="F5" i="79"/>
  <c r="L8" i="118"/>
  <c r="AA5" i="79"/>
  <c r="AB5" i="79" s="1"/>
  <c r="AK6" i="79" l="1"/>
  <c r="L6" i="118"/>
  <c r="AA6" i="79"/>
  <c r="AB6" i="79" s="1"/>
  <c r="AZ6" i="79"/>
  <c r="F6" i="79"/>
  <c r="E6" i="79"/>
  <c r="O6" i="79" s="1"/>
  <c r="Q77" i="96" l="1"/>
  <c r="L77" i="96" s="1"/>
  <c r="K77" i="96" s="1"/>
  <c r="AD49" i="111" s="1"/>
  <c r="D137" i="96"/>
  <c r="D132" i="96"/>
  <c r="D134" i="96"/>
  <c r="D135" i="96"/>
  <c r="J132" i="96" l="1"/>
  <c r="K132" i="96"/>
  <c r="J135" i="96"/>
  <c r="H53" i="96" s="1"/>
  <c r="J52" i="96" s="1"/>
  <c r="K52" i="96" s="1"/>
  <c r="O49" i="111" s="1"/>
  <c r="K135" i="96"/>
  <c r="K134" i="96"/>
  <c r="J134" i="96"/>
  <c r="K27" i="96" s="1"/>
  <c r="T49" i="111" s="1"/>
  <c r="K137" i="96"/>
  <c r="J137" i="96"/>
  <c r="K96" i="96" s="1"/>
  <c r="BE49" i="111" s="1"/>
  <c r="AD53" i="111"/>
  <c r="AD108" i="111"/>
  <c r="Q74" i="96"/>
  <c r="L74" i="96" s="1"/>
  <c r="K74" i="96" s="1"/>
  <c r="AA49" i="111" s="1"/>
  <c r="Q76" i="96"/>
  <c r="L76" i="96" s="1"/>
  <c r="K76" i="96" s="1"/>
  <c r="AC49" i="111" s="1"/>
  <c r="Q39" i="96"/>
  <c r="L39" i="96" s="1"/>
  <c r="D136" i="96"/>
  <c r="Q18" i="96"/>
  <c r="L18" i="96" s="1"/>
  <c r="K18" i="96" s="1"/>
  <c r="M49" i="111" s="1"/>
  <c r="D139" i="96"/>
  <c r="J139" i="96" s="1"/>
  <c r="K129" i="96" s="1"/>
  <c r="BF49" i="111" s="1"/>
  <c r="BF108" i="111" l="1"/>
  <c r="BF53" i="111"/>
  <c r="M53" i="111"/>
  <c r="M108" i="111"/>
  <c r="J136" i="96"/>
  <c r="K83" i="96" s="1"/>
  <c r="AI49" i="111" s="1"/>
  <c r="K136" i="96"/>
  <c r="L124" i="96"/>
  <c r="H124" i="96" s="1"/>
  <c r="J122" i="96" s="1"/>
  <c r="K122" i="96" s="1"/>
  <c r="BC49" i="111" s="1"/>
  <c r="K39" i="96"/>
  <c r="Q49" i="111" s="1"/>
  <c r="AC53" i="111"/>
  <c r="AC108" i="111"/>
  <c r="AA53" i="111"/>
  <c r="AA108" i="111"/>
  <c r="BE108" i="111"/>
  <c r="BE53" i="111"/>
  <c r="T108" i="111"/>
  <c r="T53" i="111"/>
  <c r="AD57" i="111"/>
  <c r="AD64" i="111" s="1"/>
  <c r="D30" i="79"/>
  <c r="O53" i="111"/>
  <c r="O108" i="111"/>
  <c r="K22" i="96"/>
  <c r="X49" i="111" s="1"/>
  <c r="X53" i="111" l="1"/>
  <c r="X108" i="111"/>
  <c r="F30" i="79"/>
  <c r="L58" i="118"/>
  <c r="AA30" i="79"/>
  <c r="AB30" i="79" s="1"/>
  <c r="AK30" i="79"/>
  <c r="AZ30" i="79"/>
  <c r="E30" i="79"/>
  <c r="O30" i="79" s="1"/>
  <c r="T57" i="111"/>
  <c r="T64" i="111" s="1"/>
  <c r="D20" i="79"/>
  <c r="D57" i="79"/>
  <c r="BE57" i="111"/>
  <c r="BE64" i="111" s="1"/>
  <c r="Q108" i="111"/>
  <c r="Q53" i="111"/>
  <c r="BF57" i="111"/>
  <c r="BF64" i="111" s="1"/>
  <c r="D58" i="79"/>
  <c r="D15" i="79"/>
  <c r="O57" i="111"/>
  <c r="O64" i="111" s="1"/>
  <c r="D27" i="79"/>
  <c r="AA57" i="111"/>
  <c r="AA64" i="111" s="1"/>
  <c r="D29" i="79"/>
  <c r="AC57" i="111"/>
  <c r="AC64" i="111" s="1"/>
  <c r="BC53" i="111"/>
  <c r="BC108" i="111"/>
  <c r="AI53" i="111"/>
  <c r="AI108" i="111"/>
  <c r="D13" i="79"/>
  <c r="M57" i="111"/>
  <c r="M64" i="111" s="1"/>
  <c r="K106" i="96"/>
  <c r="AW49" i="111" s="1"/>
  <c r="H44" i="96"/>
  <c r="J42" i="96" s="1"/>
  <c r="K42" i="96" s="1"/>
  <c r="V49" i="111" s="1"/>
  <c r="K104" i="96"/>
  <c r="AP49" i="111" s="1"/>
  <c r="K54" i="96"/>
  <c r="K49" i="111" s="1"/>
  <c r="AP53" i="111" l="1"/>
  <c r="AP108" i="111"/>
  <c r="AW53" i="111"/>
  <c r="AW108" i="111"/>
  <c r="AZ58" i="79"/>
  <c r="F58" i="79"/>
  <c r="AA58" i="79"/>
  <c r="AB58" i="79" s="1"/>
  <c r="AK58" i="79"/>
  <c r="E58" i="79"/>
  <c r="O58" i="79" s="1"/>
  <c r="Q57" i="111"/>
  <c r="Q64" i="111" s="1"/>
  <c r="D17" i="79"/>
  <c r="AK20" i="79"/>
  <c r="AZ20" i="79"/>
  <c r="F20" i="79"/>
  <c r="L45" i="118"/>
  <c r="AA20" i="79"/>
  <c r="AB20" i="79" s="1"/>
  <c r="E20" i="79"/>
  <c r="O20" i="79" s="1"/>
  <c r="K53" i="111"/>
  <c r="K108" i="111"/>
  <c r="V53" i="111"/>
  <c r="V108" i="111"/>
  <c r="AK13" i="79"/>
  <c r="F13" i="79"/>
  <c r="AZ13" i="79"/>
  <c r="AA13" i="79"/>
  <c r="AB13" i="79" s="1"/>
  <c r="L32" i="118"/>
  <c r="E13" i="79"/>
  <c r="O13" i="79" s="1"/>
  <c r="D35" i="79"/>
  <c r="AI57" i="111"/>
  <c r="AI64" i="111" s="1"/>
  <c r="D55" i="79"/>
  <c r="BC57" i="111"/>
  <c r="BC64" i="111" s="1"/>
  <c r="AK29" i="79"/>
  <c r="F29" i="79"/>
  <c r="AZ29" i="79"/>
  <c r="AA29" i="79"/>
  <c r="AB29" i="79" s="1"/>
  <c r="L24" i="118"/>
  <c r="E29" i="79"/>
  <c r="O29" i="79" s="1"/>
  <c r="AK27" i="79"/>
  <c r="E27" i="79"/>
  <c r="O27" i="79" s="1"/>
  <c r="L40" i="118"/>
  <c r="AA27" i="79"/>
  <c r="AB27" i="79" s="1"/>
  <c r="AZ27" i="79"/>
  <c r="F27" i="79"/>
  <c r="AK15" i="79"/>
  <c r="F15" i="79"/>
  <c r="L35" i="118"/>
  <c r="AA15" i="79"/>
  <c r="AB15" i="79" s="1"/>
  <c r="AZ15" i="79"/>
  <c r="E15" i="79"/>
  <c r="O15" i="79" s="1"/>
  <c r="AK57" i="79"/>
  <c r="F57" i="79"/>
  <c r="AZ57" i="79"/>
  <c r="E57" i="79"/>
  <c r="O57" i="79" s="1"/>
  <c r="AA57" i="79"/>
  <c r="AB57" i="79" s="1"/>
  <c r="L21" i="118"/>
  <c r="D24" i="79"/>
  <c r="X57" i="111"/>
  <c r="X64" i="111" s="1"/>
  <c r="H73" i="96"/>
  <c r="J73" i="96" s="1"/>
  <c r="K73" i="96" s="1"/>
  <c r="Z49" i="111" s="1"/>
  <c r="H95" i="96"/>
  <c r="J95" i="96" s="1"/>
  <c r="K95" i="96" s="1"/>
  <c r="AT49" i="111" s="1"/>
  <c r="H41" i="96"/>
  <c r="J40" i="96" s="1"/>
  <c r="K40" i="96" s="1"/>
  <c r="R49" i="111" s="1"/>
  <c r="R53" i="111" l="1"/>
  <c r="R108" i="111"/>
  <c r="AT53" i="111"/>
  <c r="AT108" i="111"/>
  <c r="F17" i="79"/>
  <c r="AA17" i="79"/>
  <c r="AB17" i="79" s="1"/>
  <c r="E17" i="79"/>
  <c r="O17" i="79" s="1"/>
  <c r="AK17" i="79"/>
  <c r="AZ17" i="79"/>
  <c r="L42" i="118"/>
  <c r="D49" i="79"/>
  <c r="AW57" i="111"/>
  <c r="AW64" i="111" s="1"/>
  <c r="AP57" i="111"/>
  <c r="AP64" i="111" s="1"/>
  <c r="D42" i="79"/>
  <c r="Z108" i="111"/>
  <c r="Z53" i="111"/>
  <c r="E24" i="79"/>
  <c r="O24" i="79" s="1"/>
  <c r="AZ24" i="79"/>
  <c r="F24" i="79"/>
  <c r="AK24" i="79"/>
  <c r="AA24" i="79"/>
  <c r="AB24" i="79" s="1"/>
  <c r="L30" i="118"/>
  <c r="AK55" i="79"/>
  <c r="E55" i="79"/>
  <c r="O55" i="79" s="1"/>
  <c r="AZ55" i="79"/>
  <c r="AA55" i="79"/>
  <c r="AB55" i="79" s="1"/>
  <c r="L25" i="118"/>
  <c r="F55" i="79"/>
  <c r="AZ35" i="79"/>
  <c r="F35" i="79"/>
  <c r="L52" i="118"/>
  <c r="E35" i="79"/>
  <c r="O35" i="79" s="1"/>
  <c r="AK35" i="79"/>
  <c r="AA35" i="79"/>
  <c r="AB35" i="79" s="1"/>
  <c r="D22" i="79"/>
  <c r="AK22" i="79" s="1"/>
  <c r="V57" i="111"/>
  <c r="V64" i="111" s="1"/>
  <c r="K57" i="111"/>
  <c r="K64" i="111" s="1"/>
  <c r="D11" i="79"/>
  <c r="H86" i="96"/>
  <c r="J86" i="96" s="1"/>
  <c r="K86" i="96" s="1"/>
  <c r="AK49" i="111" s="1"/>
  <c r="K108" i="96"/>
  <c r="AN49" i="111" s="1"/>
  <c r="K81" i="96"/>
  <c r="AG49" i="111" s="1"/>
  <c r="K51" i="96"/>
  <c r="C49" i="111" s="1"/>
  <c r="K105" i="96"/>
  <c r="AO49" i="111" s="1"/>
  <c r="H78" i="96"/>
  <c r="J78" i="96" s="1"/>
  <c r="K78" i="96" s="1"/>
  <c r="AE49" i="111" s="1"/>
  <c r="K102" i="96"/>
  <c r="AL49" i="111" s="1"/>
  <c r="AL108" i="111" l="1"/>
  <c r="AL53" i="111"/>
  <c r="AE108" i="111"/>
  <c r="AE53" i="111"/>
  <c r="AO53" i="111"/>
  <c r="AO108" i="111"/>
  <c r="AG108" i="111"/>
  <c r="AG53" i="111"/>
  <c r="E22" i="79"/>
  <c r="O22" i="79" s="1"/>
  <c r="F22" i="79"/>
  <c r="AA22" i="79"/>
  <c r="AB22" i="79" s="1"/>
  <c r="L55" i="118"/>
  <c r="AZ22" i="79"/>
  <c r="AA42" i="79"/>
  <c r="AB42" i="79" s="1"/>
  <c r="F42" i="79"/>
  <c r="AK42" i="79"/>
  <c r="AZ42" i="79"/>
  <c r="L18" i="118"/>
  <c r="E42" i="79"/>
  <c r="O42" i="79" s="1"/>
  <c r="H118" i="96"/>
  <c r="H115" i="96"/>
  <c r="C108" i="111"/>
  <c r="C50" i="117"/>
  <c r="C54" i="117" s="1"/>
  <c r="C58" i="117" s="1"/>
  <c r="C65" i="117" s="1"/>
  <c r="C53" i="111"/>
  <c r="AN108" i="111"/>
  <c r="AN53" i="111"/>
  <c r="AK108" i="111"/>
  <c r="AK53" i="111"/>
  <c r="AZ11" i="79"/>
  <c r="AK11" i="79"/>
  <c r="AA11" i="79"/>
  <c r="AB11" i="79" s="1"/>
  <c r="E11" i="79"/>
  <c r="O11" i="79" s="1"/>
  <c r="L29" i="118"/>
  <c r="F11" i="79"/>
  <c r="D26" i="79"/>
  <c r="Z57" i="111"/>
  <c r="Z64" i="111" s="1"/>
  <c r="AZ49" i="79"/>
  <c r="AK49" i="79"/>
  <c r="F49" i="79"/>
  <c r="L20" i="118"/>
  <c r="E49" i="79"/>
  <c r="O49" i="79" s="1"/>
  <c r="AA49" i="79"/>
  <c r="AB49" i="79" s="1"/>
  <c r="AT57" i="111"/>
  <c r="AT64" i="111" s="1"/>
  <c r="D46" i="79"/>
  <c r="R57" i="111"/>
  <c r="R64" i="111" s="1"/>
  <c r="D18" i="79"/>
  <c r="H11" i="96"/>
  <c r="J11" i="96" s="1"/>
  <c r="K11" i="96" s="1"/>
  <c r="S49" i="111" s="1"/>
  <c r="S108" i="111" l="1"/>
  <c r="S53" i="111"/>
  <c r="AZ26" i="79"/>
  <c r="L46" i="118"/>
  <c r="F26" i="79"/>
  <c r="AK26" i="79"/>
  <c r="E26" i="79"/>
  <c r="O26" i="79" s="1"/>
  <c r="AA26" i="79"/>
  <c r="AB26" i="79" s="1"/>
  <c r="J115" i="96"/>
  <c r="K115" i="96" s="1"/>
  <c r="AR49" i="111" s="1"/>
  <c r="AG57" i="111"/>
  <c r="AG64" i="111" s="1"/>
  <c r="D33" i="79"/>
  <c r="D31" i="79"/>
  <c r="AE57" i="111"/>
  <c r="AE64" i="111" s="1"/>
  <c r="D38" i="79"/>
  <c r="AL57" i="111"/>
  <c r="AL64" i="111" s="1"/>
  <c r="AA18" i="79"/>
  <c r="AB18" i="79" s="1"/>
  <c r="F18" i="79"/>
  <c r="AZ18" i="79"/>
  <c r="AK18" i="79"/>
  <c r="L43" i="118"/>
  <c r="E18" i="79"/>
  <c r="O18" i="79" s="1"/>
  <c r="AK46" i="79"/>
  <c r="AA46" i="79"/>
  <c r="AB46" i="79" s="1"/>
  <c r="AZ46" i="79"/>
  <c r="F46" i="79"/>
  <c r="L11" i="118"/>
  <c r="E46" i="79"/>
  <c r="O46" i="79" s="1"/>
  <c r="D37" i="79"/>
  <c r="AK57" i="111"/>
  <c r="AK64" i="111" s="1"/>
  <c r="AN57" i="111"/>
  <c r="AN64" i="111" s="1"/>
  <c r="D40" i="79"/>
  <c r="C57" i="111"/>
  <c r="D3" i="79"/>
  <c r="D41" i="79"/>
  <c r="AO57" i="111"/>
  <c r="AO64" i="111" s="1"/>
  <c r="AZ38" i="79" l="1"/>
  <c r="AK38" i="79"/>
  <c r="E38" i="79"/>
  <c r="O38" i="79" s="1"/>
  <c r="L13" i="118"/>
  <c r="F38" i="79"/>
  <c r="AA38" i="79"/>
  <c r="AB38" i="79" s="1"/>
  <c r="E31" i="79"/>
  <c r="O31" i="79" s="1"/>
  <c r="F31" i="79"/>
  <c r="L28" i="118"/>
  <c r="AK31" i="79"/>
  <c r="AZ31" i="79"/>
  <c r="AA31" i="79"/>
  <c r="AB31" i="79" s="1"/>
  <c r="D19" i="79"/>
  <c r="S57" i="111"/>
  <c r="S64" i="111" s="1"/>
  <c r="C64" i="111"/>
  <c r="AZ37" i="79"/>
  <c r="L36" i="118"/>
  <c r="AK37" i="79"/>
  <c r="E37" i="79"/>
  <c r="O37" i="79" s="1"/>
  <c r="F37" i="79"/>
  <c r="AA37" i="79"/>
  <c r="AB37" i="79" s="1"/>
  <c r="H85" i="96"/>
  <c r="J84" i="96" s="1"/>
  <c r="K84" i="96" s="1"/>
  <c r="AJ49" i="111" s="1"/>
  <c r="E41" i="79"/>
  <c r="O41" i="79" s="1"/>
  <c r="AK41" i="79"/>
  <c r="AA41" i="79"/>
  <c r="AB41" i="79" s="1"/>
  <c r="F41" i="79"/>
  <c r="L19" i="118"/>
  <c r="AZ41" i="79"/>
  <c r="AZ3" i="79"/>
  <c r="E3" i="79"/>
  <c r="O3" i="79" s="1"/>
  <c r="AK3" i="79"/>
  <c r="L17" i="118"/>
  <c r="AA3" i="79"/>
  <c r="AB3" i="79" s="1"/>
  <c r="F3" i="79"/>
  <c r="L39" i="118"/>
  <c r="AA40" i="79"/>
  <c r="AB40" i="79" s="1"/>
  <c r="AK40" i="79"/>
  <c r="AZ40" i="79"/>
  <c r="F40" i="79"/>
  <c r="E40" i="79"/>
  <c r="O40" i="79" s="1"/>
  <c r="AA33" i="79"/>
  <c r="AB33" i="79" s="1"/>
  <c r="L53" i="118"/>
  <c r="AZ33" i="79"/>
  <c r="AK33" i="79"/>
  <c r="F33" i="79"/>
  <c r="E33" i="79"/>
  <c r="O33" i="79" s="1"/>
  <c r="AR108" i="111"/>
  <c r="AR53" i="111"/>
  <c r="D44" i="79" l="1"/>
  <c r="AR57" i="111"/>
  <c r="AR64" i="111" s="1"/>
  <c r="AJ53" i="111"/>
  <c r="AJ108" i="111"/>
  <c r="E19" i="79"/>
  <c r="O19" i="79" s="1"/>
  <c r="AA19" i="79"/>
  <c r="AB19" i="79" s="1"/>
  <c r="F19" i="79"/>
  <c r="AK19" i="79"/>
  <c r="L44" i="118"/>
  <c r="AZ19" i="79"/>
  <c r="L55" i="96" l="1"/>
  <c r="K55" i="96" s="1"/>
  <c r="W49" i="111" s="1"/>
  <c r="AJ57" i="111"/>
  <c r="AJ64" i="111" s="1"/>
  <c r="D36" i="79"/>
  <c r="AA44" i="79"/>
  <c r="AB44" i="79" s="1"/>
  <c r="AZ44" i="79"/>
  <c r="F44" i="79"/>
  <c r="AK44" i="79"/>
  <c r="E44" i="79"/>
  <c r="O44" i="79" s="1"/>
  <c r="L51" i="118"/>
  <c r="W108" i="111" l="1"/>
  <c r="C129" i="111" s="1"/>
  <c r="W53" i="111"/>
  <c r="AA36" i="79"/>
  <c r="AB36" i="79" s="1"/>
  <c r="AK36" i="79"/>
  <c r="E36" i="79"/>
  <c r="O36" i="79" s="1"/>
  <c r="AZ36" i="79"/>
  <c r="F36" i="79"/>
  <c r="L56" i="118"/>
  <c r="W57" i="111" l="1"/>
  <c r="W64" i="111" s="1"/>
  <c r="D23" i="79"/>
  <c r="AZ23" i="79" l="1"/>
  <c r="AZ63" i="79" s="1"/>
  <c r="B72" i="79" s="1"/>
  <c r="AA23" i="79"/>
  <c r="AB23" i="79" s="1"/>
  <c r="AB62" i="79" s="1"/>
  <c r="AK23" i="79"/>
  <c r="E23" i="79"/>
  <c r="O23" i="79" s="1"/>
  <c r="O60" i="79" s="1"/>
  <c r="F23" i="79"/>
  <c r="F60" i="79" s="1"/>
  <c r="E60" i="79" s="1"/>
  <c r="L59" i="118"/>
  <c r="J62" i="111" l="1"/>
  <c r="AK60" i="79"/>
  <c r="AK66" i="79"/>
  <c r="AK69" i="79" s="1"/>
  <c r="C61" i="79" l="1"/>
  <c r="AK64" i="79"/>
  <c r="G16" i="146"/>
  <c r="H16" i="146" s="1"/>
  <c r="C64" i="117"/>
  <c r="R3" i="79" l="1"/>
  <c r="AB59" i="111"/>
  <c r="AB60" i="111" s="1"/>
  <c r="G59" i="111"/>
  <c r="G60" i="111" s="1"/>
  <c r="AM59" i="111"/>
  <c r="AM60" i="111" s="1"/>
  <c r="N59" i="111"/>
  <c r="N60" i="111" s="1"/>
  <c r="AT59" i="111"/>
  <c r="AT60" i="111" s="1"/>
  <c r="Y59" i="111"/>
  <c r="Y60" i="111" s="1"/>
  <c r="BE59" i="111"/>
  <c r="BE60" i="111" s="1"/>
  <c r="X59" i="111"/>
  <c r="X60" i="111" s="1"/>
  <c r="BD59" i="111"/>
  <c r="BD60" i="111" s="1"/>
  <c r="AI59" i="111"/>
  <c r="AI60" i="111" s="1"/>
  <c r="J55" i="111"/>
  <c r="AP59" i="111"/>
  <c r="AP60" i="111" s="1"/>
  <c r="U59" i="111"/>
  <c r="U60" i="111" s="1"/>
  <c r="BA59" i="111"/>
  <c r="BA60" i="111" s="1"/>
  <c r="T59" i="111"/>
  <c r="T60" i="111" s="1"/>
  <c r="AZ59" i="111"/>
  <c r="AZ60" i="111" s="1"/>
  <c r="AE59" i="111"/>
  <c r="AE60" i="111" s="1"/>
  <c r="F59" i="111"/>
  <c r="F60" i="111" s="1"/>
  <c r="AL59" i="111"/>
  <c r="AL60" i="111" s="1"/>
  <c r="Q59" i="111"/>
  <c r="Q60" i="111" s="1"/>
  <c r="AW59" i="111"/>
  <c r="AW60" i="111" s="1"/>
  <c r="P59" i="111"/>
  <c r="P60" i="111" s="1"/>
  <c r="AV59" i="111"/>
  <c r="AV60" i="111" s="1"/>
  <c r="AA59" i="111"/>
  <c r="AA60" i="111" s="1"/>
  <c r="AH59" i="111"/>
  <c r="AH60" i="111" s="1"/>
  <c r="M59" i="111"/>
  <c r="M60" i="111" s="1"/>
  <c r="AS59" i="111"/>
  <c r="AS60" i="111" s="1"/>
  <c r="L59" i="111"/>
  <c r="L60" i="111" s="1"/>
  <c r="AR59" i="111"/>
  <c r="AR60" i="111" s="1"/>
  <c r="W59" i="111"/>
  <c r="W60" i="111" s="1"/>
  <c r="BC59" i="111"/>
  <c r="BC60" i="111" s="1"/>
  <c r="AD59" i="111"/>
  <c r="AD60" i="111" s="1"/>
  <c r="I59" i="111"/>
  <c r="I60" i="111" s="1"/>
  <c r="AO59" i="111"/>
  <c r="AO60" i="111" s="1"/>
  <c r="H59" i="111"/>
  <c r="H60" i="111" s="1"/>
  <c r="AN59" i="111"/>
  <c r="AN60" i="111" s="1"/>
  <c r="AY59" i="111"/>
  <c r="AY60" i="111" s="1"/>
  <c r="Z59" i="111"/>
  <c r="Z60" i="111" s="1"/>
  <c r="E59" i="111"/>
  <c r="E60" i="111" s="1"/>
  <c r="AK59" i="111"/>
  <c r="AK60" i="111" s="1"/>
  <c r="D59" i="111"/>
  <c r="D60" i="111" s="1"/>
  <c r="AJ59" i="111"/>
  <c r="AJ60" i="111" s="1"/>
  <c r="O59" i="111"/>
  <c r="O60" i="111" s="1"/>
  <c r="AU59" i="111"/>
  <c r="AU60" i="111" s="1"/>
  <c r="V59" i="111"/>
  <c r="V60" i="111" s="1"/>
  <c r="BB59" i="111"/>
  <c r="BB60" i="111" s="1"/>
  <c r="AG59" i="111"/>
  <c r="AG60" i="111" s="1"/>
  <c r="BF59" i="111"/>
  <c r="BF60" i="111" s="1"/>
  <c r="AF59" i="111"/>
  <c r="AF60" i="111" s="1"/>
  <c r="K59" i="111"/>
  <c r="K60" i="111" s="1"/>
  <c r="AQ59" i="111"/>
  <c r="AQ60" i="111" s="1"/>
  <c r="R59" i="111"/>
  <c r="R60" i="111" s="1"/>
  <c r="AX59" i="111"/>
  <c r="AX60" i="111" s="1"/>
  <c r="AC59" i="111"/>
  <c r="AC60" i="111" s="1"/>
  <c r="S59" i="111" l="1"/>
  <c r="S60" i="111" s="1"/>
  <c r="J59" i="111"/>
  <c r="J60" i="111" s="1"/>
  <c r="J66" i="111" s="1"/>
  <c r="J67" i="111" s="1"/>
  <c r="J10" i="79" s="1"/>
  <c r="K29" i="79"/>
  <c r="AE29" i="79" s="1"/>
  <c r="AC66" i="111"/>
  <c r="AC67" i="111" s="1"/>
  <c r="J29" i="79" s="1"/>
  <c r="K18" i="79"/>
  <c r="AE18" i="79" s="1"/>
  <c r="R66" i="111"/>
  <c r="R67" i="111" s="1"/>
  <c r="J18" i="79" s="1"/>
  <c r="K11" i="79"/>
  <c r="AE11" i="79" s="1"/>
  <c r="K66" i="111"/>
  <c r="K67" i="111" s="1"/>
  <c r="J11" i="79" s="1"/>
  <c r="K58" i="79"/>
  <c r="AE58" i="79" s="1"/>
  <c r="BF66" i="111"/>
  <c r="BF67" i="111" s="1"/>
  <c r="J58" i="79" s="1"/>
  <c r="K54" i="79"/>
  <c r="AE54" i="79" s="1"/>
  <c r="BB66" i="111"/>
  <c r="BB67" i="111" s="1"/>
  <c r="J54" i="79" s="1"/>
  <c r="K47" i="79"/>
  <c r="AE47" i="79" s="1"/>
  <c r="AU66" i="111"/>
  <c r="AU67" i="111" s="1"/>
  <c r="J47" i="79" s="1"/>
  <c r="K36" i="79"/>
  <c r="AE36" i="79" s="1"/>
  <c r="AJ66" i="111"/>
  <c r="AJ67" i="111" s="1"/>
  <c r="J36" i="79" s="1"/>
  <c r="K37" i="79"/>
  <c r="AE37" i="79" s="1"/>
  <c r="AK66" i="111"/>
  <c r="AK67" i="111" s="1"/>
  <c r="J37" i="79" s="1"/>
  <c r="K26" i="79"/>
  <c r="AE26" i="79" s="1"/>
  <c r="Z66" i="111"/>
  <c r="Z67" i="111" s="1"/>
  <c r="J26" i="79" s="1"/>
  <c r="K19" i="79"/>
  <c r="AE19" i="79" s="1"/>
  <c r="S66" i="111"/>
  <c r="S67" i="111" s="1"/>
  <c r="J19" i="79" s="1"/>
  <c r="K8" i="79"/>
  <c r="AE8" i="79" s="1"/>
  <c r="H66" i="111"/>
  <c r="H67" i="111" s="1"/>
  <c r="J8" i="79" s="1"/>
  <c r="K9" i="79"/>
  <c r="AE9" i="79" s="1"/>
  <c r="I66" i="111"/>
  <c r="I67" i="111" s="1"/>
  <c r="J9" i="79" s="1"/>
  <c r="K55" i="79"/>
  <c r="AE55" i="79" s="1"/>
  <c r="BC66" i="111"/>
  <c r="BC67" i="111" s="1"/>
  <c r="J55" i="79" s="1"/>
  <c r="K44" i="79"/>
  <c r="AE44" i="79" s="1"/>
  <c r="AR66" i="111"/>
  <c r="AR67" i="111" s="1"/>
  <c r="J44" i="79" s="1"/>
  <c r="K45" i="79"/>
  <c r="AE45" i="79" s="1"/>
  <c r="AS66" i="111"/>
  <c r="AS67" i="111" s="1"/>
  <c r="J45" i="79" s="1"/>
  <c r="K34" i="79"/>
  <c r="AE34" i="79" s="1"/>
  <c r="AH66" i="111"/>
  <c r="AH67" i="111" s="1"/>
  <c r="J34" i="79" s="1"/>
  <c r="K27" i="79"/>
  <c r="AE27" i="79" s="1"/>
  <c r="AA66" i="111"/>
  <c r="AA67" i="111" s="1"/>
  <c r="J27" i="79" s="1"/>
  <c r="K16" i="79"/>
  <c r="AE16" i="79" s="1"/>
  <c r="P66" i="111"/>
  <c r="P67" i="111" s="1"/>
  <c r="J16" i="79" s="1"/>
  <c r="K17" i="79"/>
  <c r="AE17" i="79" s="1"/>
  <c r="Q66" i="111"/>
  <c r="Q67" i="111" s="1"/>
  <c r="J17" i="79" s="1"/>
  <c r="K6" i="79"/>
  <c r="AE6" i="79" s="1"/>
  <c r="F89" i="111"/>
  <c r="F90" i="111" s="1"/>
  <c r="F66" i="111"/>
  <c r="F67" i="111" s="1"/>
  <c r="J6" i="79" s="1"/>
  <c r="K52" i="79"/>
  <c r="AE52" i="79" s="1"/>
  <c r="AZ66" i="111"/>
  <c r="AZ67" i="111" s="1"/>
  <c r="J52" i="79" s="1"/>
  <c r="K53" i="79"/>
  <c r="AE53" i="79" s="1"/>
  <c r="BA66" i="111"/>
  <c r="BA67" i="111" s="1"/>
  <c r="J53" i="79" s="1"/>
  <c r="K42" i="79"/>
  <c r="AE42" i="79" s="1"/>
  <c r="AP66" i="111"/>
  <c r="AP67" i="111" s="1"/>
  <c r="J42" i="79" s="1"/>
  <c r="K35" i="79"/>
  <c r="AE35" i="79" s="1"/>
  <c r="AI66" i="111"/>
  <c r="AI67" i="111" s="1"/>
  <c r="J35" i="79" s="1"/>
  <c r="K24" i="79"/>
  <c r="AE24" i="79" s="1"/>
  <c r="X66" i="111"/>
  <c r="X67" i="111" s="1"/>
  <c r="J24" i="79" s="1"/>
  <c r="K25" i="79"/>
  <c r="AE25" i="79" s="1"/>
  <c r="Y66" i="111"/>
  <c r="Y67" i="111" s="1"/>
  <c r="J25" i="79" s="1"/>
  <c r="K14" i="79"/>
  <c r="AE14" i="79" s="1"/>
  <c r="N66" i="111"/>
  <c r="N67" i="111" s="1"/>
  <c r="J14" i="79" s="1"/>
  <c r="K7" i="79"/>
  <c r="AE7" i="79" s="1"/>
  <c r="G66" i="111"/>
  <c r="G67" i="111" s="1"/>
  <c r="J7" i="79" s="1"/>
  <c r="R4" i="79"/>
  <c r="K50" i="79"/>
  <c r="AE50" i="79" s="1"/>
  <c r="AX66" i="111"/>
  <c r="AX67" i="111" s="1"/>
  <c r="J50" i="79" s="1"/>
  <c r="K43" i="79"/>
  <c r="AE43" i="79" s="1"/>
  <c r="AQ66" i="111"/>
  <c r="AQ67" i="111" s="1"/>
  <c r="J43" i="79" s="1"/>
  <c r="K32" i="79"/>
  <c r="AE32" i="79" s="1"/>
  <c r="AF66" i="111"/>
  <c r="AF67" i="111" s="1"/>
  <c r="J32" i="79" s="1"/>
  <c r="K33" i="79"/>
  <c r="AE33" i="79" s="1"/>
  <c r="AG66" i="111"/>
  <c r="AG67" i="111" s="1"/>
  <c r="J33" i="79" s="1"/>
  <c r="K22" i="79"/>
  <c r="AE22" i="79" s="1"/>
  <c r="V66" i="111"/>
  <c r="V67" i="111" s="1"/>
  <c r="J22" i="79" s="1"/>
  <c r="K15" i="79"/>
  <c r="AE15" i="79" s="1"/>
  <c r="O66" i="111"/>
  <c r="O67" i="111" s="1"/>
  <c r="J15" i="79" s="1"/>
  <c r="K4" i="79"/>
  <c r="AE4" i="79" s="1"/>
  <c r="D89" i="111"/>
  <c r="D90" i="111" s="1"/>
  <c r="D66" i="111"/>
  <c r="D67" i="111" s="1"/>
  <c r="J4" i="79" s="1"/>
  <c r="E89" i="111"/>
  <c r="E90" i="111" s="1"/>
  <c r="K5" i="79"/>
  <c r="AE5" i="79" s="1"/>
  <c r="E66" i="111"/>
  <c r="E67" i="111" s="1"/>
  <c r="J5" i="79" s="1"/>
  <c r="K51" i="79"/>
  <c r="AE51" i="79" s="1"/>
  <c r="AY66" i="111"/>
  <c r="AY67" i="111" s="1"/>
  <c r="J51" i="79" s="1"/>
  <c r="K40" i="79"/>
  <c r="AE40" i="79" s="1"/>
  <c r="AN66" i="111"/>
  <c r="AN67" i="111" s="1"/>
  <c r="J40" i="79" s="1"/>
  <c r="K41" i="79"/>
  <c r="AE41" i="79" s="1"/>
  <c r="AO66" i="111"/>
  <c r="AO67" i="111" s="1"/>
  <c r="J41" i="79" s="1"/>
  <c r="K30" i="79"/>
  <c r="AE30" i="79" s="1"/>
  <c r="AD66" i="111"/>
  <c r="AD67" i="111" s="1"/>
  <c r="J30" i="79" s="1"/>
  <c r="K23" i="79"/>
  <c r="AE23" i="79" s="1"/>
  <c r="W66" i="111"/>
  <c r="W67" i="111" s="1"/>
  <c r="J23" i="79" s="1"/>
  <c r="K12" i="79"/>
  <c r="AE12" i="79" s="1"/>
  <c r="L66" i="111"/>
  <c r="L67" i="111" s="1"/>
  <c r="J12" i="79" s="1"/>
  <c r="K13" i="79"/>
  <c r="AE13" i="79" s="1"/>
  <c r="M66" i="111"/>
  <c r="M67" i="111" s="1"/>
  <c r="J13" i="79" s="1"/>
  <c r="C57" i="117"/>
  <c r="C60" i="117" s="1"/>
  <c r="C61" i="117" s="1"/>
  <c r="C67" i="117" s="1"/>
  <c r="C68" i="117" s="1"/>
  <c r="C59" i="111"/>
  <c r="C60" i="111" s="1"/>
  <c r="G17" i="146"/>
  <c r="K48" i="79"/>
  <c r="AE48" i="79" s="1"/>
  <c r="AV66" i="111"/>
  <c r="AV67" i="111" s="1"/>
  <c r="J48" i="79" s="1"/>
  <c r="K49" i="79"/>
  <c r="AE49" i="79" s="1"/>
  <c r="AW66" i="111"/>
  <c r="AW67" i="111" s="1"/>
  <c r="J49" i="79" s="1"/>
  <c r="K38" i="79"/>
  <c r="AE38" i="79" s="1"/>
  <c r="AL66" i="111"/>
  <c r="AL67" i="111" s="1"/>
  <c r="J38" i="79" s="1"/>
  <c r="K31" i="79"/>
  <c r="AE31" i="79" s="1"/>
  <c r="AE66" i="111"/>
  <c r="AE67" i="111" s="1"/>
  <c r="J31" i="79" s="1"/>
  <c r="K20" i="79"/>
  <c r="AE20" i="79" s="1"/>
  <c r="T66" i="111"/>
  <c r="T67" i="111" s="1"/>
  <c r="J20" i="79" s="1"/>
  <c r="K21" i="79"/>
  <c r="AE21" i="79" s="1"/>
  <c r="U66" i="111"/>
  <c r="U67" i="111" s="1"/>
  <c r="J21" i="79" s="1"/>
  <c r="K10" i="79"/>
  <c r="AE10" i="79" s="1"/>
  <c r="K56" i="79"/>
  <c r="AE56" i="79" s="1"/>
  <c r="BD66" i="111"/>
  <c r="BD67" i="111" s="1"/>
  <c r="J56" i="79" s="1"/>
  <c r="K57" i="79"/>
  <c r="AE57" i="79" s="1"/>
  <c r="BE66" i="111"/>
  <c r="BE67" i="111" s="1"/>
  <c r="J57" i="79" s="1"/>
  <c r="K46" i="79"/>
  <c r="AE46" i="79" s="1"/>
  <c r="AT66" i="111"/>
  <c r="AT67" i="111" s="1"/>
  <c r="J46" i="79" s="1"/>
  <c r="K39" i="79"/>
  <c r="AE39" i="79" s="1"/>
  <c r="AM66" i="111"/>
  <c r="AM67" i="111" s="1"/>
  <c r="J39" i="79" s="1"/>
  <c r="K28" i="79"/>
  <c r="AE28" i="79" s="1"/>
  <c r="AB66" i="111"/>
  <c r="AB67" i="111" s="1"/>
  <c r="J28" i="79" s="1"/>
  <c r="AS39" i="79" l="1"/>
  <c r="AU39" i="79"/>
  <c r="AS46" i="79"/>
  <c r="AU46" i="79"/>
  <c r="AS57" i="79"/>
  <c r="AU57" i="79"/>
  <c r="AU56" i="79"/>
  <c r="AS56" i="79"/>
  <c r="AS10" i="79"/>
  <c r="AU10" i="79"/>
  <c r="AU21" i="79"/>
  <c r="AS21" i="79"/>
  <c r="AU20" i="79"/>
  <c r="AS20" i="79"/>
  <c r="AU31" i="79"/>
  <c r="AS31" i="79"/>
  <c r="AS38" i="79"/>
  <c r="AU38" i="79"/>
  <c r="AU49" i="79"/>
  <c r="AS49" i="79"/>
  <c r="AU48" i="79"/>
  <c r="AS48" i="79"/>
  <c r="H17" i="146"/>
  <c r="G19" i="146"/>
  <c r="AU4" i="79"/>
  <c r="AS4" i="79"/>
  <c r="R5" i="79"/>
  <c r="AS17" i="79"/>
  <c r="AU17" i="79"/>
  <c r="AS16" i="79"/>
  <c r="AU16" i="79"/>
  <c r="AS27" i="79"/>
  <c r="AU27" i="79"/>
  <c r="AS34" i="79"/>
  <c r="AU34" i="79"/>
  <c r="AS45" i="79"/>
  <c r="AU45" i="79"/>
  <c r="AU44" i="79"/>
  <c r="AS44" i="79"/>
  <c r="AU55" i="79"/>
  <c r="AS55" i="79"/>
  <c r="AU9" i="79"/>
  <c r="AS9" i="79"/>
  <c r="AS8" i="79"/>
  <c r="AU8" i="79"/>
  <c r="AU19" i="79"/>
  <c r="AS19" i="79"/>
  <c r="AS26" i="79"/>
  <c r="AU26" i="79"/>
  <c r="AS37" i="79"/>
  <c r="AU37" i="79"/>
  <c r="AS36" i="79"/>
  <c r="AU36" i="79"/>
  <c r="AU47" i="79"/>
  <c r="AS47" i="79"/>
  <c r="AS54" i="79"/>
  <c r="AU54" i="79"/>
  <c r="AU58" i="79"/>
  <c r="AS58" i="79"/>
  <c r="AS11" i="79"/>
  <c r="AU11" i="79"/>
  <c r="AU18" i="79"/>
  <c r="AS18" i="79"/>
  <c r="AU29" i="79"/>
  <c r="AS29" i="79"/>
  <c r="AU28" i="79"/>
  <c r="AS28" i="79"/>
  <c r="K3" i="79"/>
  <c r="AE3" i="79" s="1"/>
  <c r="C89" i="111"/>
  <c r="C90" i="111" s="1"/>
  <c r="C66" i="111"/>
  <c r="C67" i="111" s="1"/>
  <c r="J3" i="79" s="1"/>
  <c r="AU13" i="79"/>
  <c r="AS13" i="79"/>
  <c r="AU12" i="79"/>
  <c r="AS12" i="79"/>
  <c r="AU23" i="79"/>
  <c r="AS23" i="79"/>
  <c r="AS30" i="79"/>
  <c r="AU30" i="79"/>
  <c r="AU41" i="79"/>
  <c r="AS41" i="79"/>
  <c r="AU40" i="79"/>
  <c r="AS40" i="79"/>
  <c r="AU51" i="79"/>
  <c r="AS51" i="79"/>
  <c r="AS5" i="79"/>
  <c r="AU5" i="79"/>
  <c r="AU15" i="79"/>
  <c r="AS15" i="79"/>
  <c r="AU22" i="79"/>
  <c r="AS22" i="79"/>
  <c r="AU33" i="79"/>
  <c r="AS33" i="79"/>
  <c r="AS32" i="79"/>
  <c r="AU32" i="79"/>
  <c r="AU43" i="79"/>
  <c r="AS43" i="79"/>
  <c r="AU50" i="79"/>
  <c r="AS50" i="79"/>
  <c r="AS7" i="79"/>
  <c r="AU7" i="79"/>
  <c r="AU14" i="79"/>
  <c r="AS14" i="79"/>
  <c r="AS25" i="79"/>
  <c r="AU25" i="79"/>
  <c r="AU24" i="79"/>
  <c r="AS24" i="79"/>
  <c r="AS35" i="79"/>
  <c r="AU35" i="79"/>
  <c r="AS42" i="79"/>
  <c r="AU42" i="79"/>
  <c r="AU53" i="79"/>
  <c r="AS53" i="79"/>
  <c r="AS52" i="79"/>
  <c r="AU52" i="79"/>
  <c r="AS6" i="79"/>
  <c r="AU6" i="79"/>
  <c r="AT53" i="79" l="1"/>
  <c r="AW53" i="79"/>
  <c r="S53" i="79" s="1"/>
  <c r="D16" i="118"/>
  <c r="BD53" i="79"/>
  <c r="T53" i="79"/>
  <c r="G16" i="118" s="1"/>
  <c r="AW24" i="79"/>
  <c r="S24" i="79" s="1"/>
  <c r="AT24" i="79"/>
  <c r="D30" i="118"/>
  <c r="BD24" i="79"/>
  <c r="T24" i="79"/>
  <c r="G30" i="118" s="1"/>
  <c r="AT14" i="79"/>
  <c r="AW14" i="79"/>
  <c r="S14" i="79" s="1"/>
  <c r="D33" i="118"/>
  <c r="BD14" i="79"/>
  <c r="T14" i="79"/>
  <c r="G33" i="118" s="1"/>
  <c r="BD50" i="79"/>
  <c r="AT50" i="79"/>
  <c r="D15" i="118"/>
  <c r="AW50" i="79"/>
  <c r="S50" i="79" s="1"/>
  <c r="T50" i="79"/>
  <c r="G15" i="118" s="1"/>
  <c r="D14" i="118"/>
  <c r="BD43" i="79"/>
  <c r="AT43" i="79"/>
  <c r="AW43" i="79"/>
  <c r="S43" i="79" s="1"/>
  <c r="T43" i="79"/>
  <c r="G14" i="118" s="1"/>
  <c r="D53" i="118"/>
  <c r="AT33" i="79"/>
  <c r="BD33" i="79"/>
  <c r="AW33" i="79"/>
  <c r="S33" i="79" s="1"/>
  <c r="T33" i="79"/>
  <c r="G53" i="118" s="1"/>
  <c r="AW22" i="79"/>
  <c r="S22" i="79" s="1"/>
  <c r="D55" i="118"/>
  <c r="AT22" i="79"/>
  <c r="BD22" i="79"/>
  <c r="T22" i="79"/>
  <c r="G55" i="118" s="1"/>
  <c r="D35" i="118"/>
  <c r="BD15" i="79"/>
  <c r="AW15" i="79"/>
  <c r="S15" i="79" s="1"/>
  <c r="AT15" i="79"/>
  <c r="T15" i="79"/>
  <c r="G35" i="118" s="1"/>
  <c r="AW51" i="79"/>
  <c r="S51" i="79" s="1"/>
  <c r="AT51" i="79"/>
  <c r="D22" i="118"/>
  <c r="BD51" i="79"/>
  <c r="T51" i="79"/>
  <c r="G22" i="118" s="1"/>
  <c r="BD40" i="79"/>
  <c r="D39" i="118"/>
  <c r="AT40" i="79"/>
  <c r="AW40" i="79"/>
  <c r="S40" i="79" s="1"/>
  <c r="T40" i="79"/>
  <c r="AT41" i="79"/>
  <c r="BD41" i="79"/>
  <c r="AW41" i="79"/>
  <c r="S41" i="79" s="1"/>
  <c r="D19" i="118"/>
  <c r="T41" i="79"/>
  <c r="G19" i="118" s="1"/>
  <c r="BD23" i="79"/>
  <c r="D59" i="118"/>
  <c r="AT23" i="79"/>
  <c r="AW23" i="79"/>
  <c r="S23" i="79" s="1"/>
  <c r="T23" i="79"/>
  <c r="AW12" i="79"/>
  <c r="S12" i="79" s="1"/>
  <c r="BD12" i="79"/>
  <c r="D31" i="118"/>
  <c r="AT12" i="79"/>
  <c r="T12" i="79"/>
  <c r="G31" i="118" s="1"/>
  <c r="BD13" i="79"/>
  <c r="D32" i="118"/>
  <c r="AT13" i="79"/>
  <c r="AW13" i="79"/>
  <c r="S13" i="79" s="1"/>
  <c r="T13" i="79"/>
  <c r="AW6" i="79"/>
  <c r="S6" i="79" s="1"/>
  <c r="D6" i="118"/>
  <c r="BD6" i="79"/>
  <c r="AT6" i="79"/>
  <c r="T6" i="79"/>
  <c r="G6" i="118" s="1"/>
  <c r="D48" i="118"/>
  <c r="AT52" i="79"/>
  <c r="BD52" i="79"/>
  <c r="AW52" i="79"/>
  <c r="S52" i="79" s="1"/>
  <c r="T52" i="79"/>
  <c r="AW42" i="79"/>
  <c r="S42" i="79" s="1"/>
  <c r="D18" i="118"/>
  <c r="AT42" i="79"/>
  <c r="BD42" i="79"/>
  <c r="T42" i="79"/>
  <c r="G18" i="118" s="1"/>
  <c r="BD35" i="79"/>
  <c r="AT35" i="79"/>
  <c r="AW35" i="79"/>
  <c r="S35" i="79" s="1"/>
  <c r="D52" i="118"/>
  <c r="T35" i="79"/>
  <c r="G52" i="118" s="1"/>
  <c r="BD25" i="79"/>
  <c r="AT25" i="79"/>
  <c r="AW25" i="79"/>
  <c r="S25" i="79" s="1"/>
  <c r="D50" i="118"/>
  <c r="T25" i="79"/>
  <c r="G50" i="118" s="1"/>
  <c r="AT7" i="79"/>
  <c r="BD7" i="79"/>
  <c r="AW7" i="79"/>
  <c r="S7" i="79" s="1"/>
  <c r="D9" i="118"/>
  <c r="T7" i="79"/>
  <c r="G9" i="118" s="1"/>
  <c r="BD32" i="79"/>
  <c r="D27" i="118"/>
  <c r="AT32" i="79"/>
  <c r="AW32" i="79"/>
  <c r="S32" i="79" s="1"/>
  <c r="T32" i="79"/>
  <c r="AT5" i="79"/>
  <c r="AW5" i="79"/>
  <c r="S5" i="79" s="1"/>
  <c r="H8" i="118" s="1"/>
  <c r="D8" i="118"/>
  <c r="BD5" i="79"/>
  <c r="T5" i="79"/>
  <c r="AW30" i="79"/>
  <c r="S30" i="79" s="1"/>
  <c r="D58" i="118"/>
  <c r="AT30" i="79"/>
  <c r="BD30" i="79"/>
  <c r="T30" i="79"/>
  <c r="G58" i="118" s="1"/>
  <c r="BD28" i="79"/>
  <c r="D37" i="118"/>
  <c r="AW28" i="79"/>
  <c r="S28" i="79" s="1"/>
  <c r="AT28" i="79"/>
  <c r="T28" i="79"/>
  <c r="G37" i="118" s="1"/>
  <c r="D24" i="118"/>
  <c r="BD29" i="79"/>
  <c r="AW29" i="79"/>
  <c r="S29" i="79" s="1"/>
  <c r="AT29" i="79"/>
  <c r="T29" i="79"/>
  <c r="G24" i="118" s="1"/>
  <c r="BD18" i="79"/>
  <c r="AT18" i="79"/>
  <c r="AW18" i="79"/>
  <c r="S18" i="79" s="1"/>
  <c r="D43" i="118"/>
  <c r="T18" i="79"/>
  <c r="G43" i="118" s="1"/>
  <c r="AT58" i="79"/>
  <c r="AW58" i="79"/>
  <c r="S58" i="79" s="1"/>
  <c r="BD58" i="79"/>
  <c r="T58" i="79"/>
  <c r="D23" i="118"/>
  <c r="BD47" i="79"/>
  <c r="AW47" i="79"/>
  <c r="S47" i="79" s="1"/>
  <c r="AT47" i="79"/>
  <c r="T47" i="79"/>
  <c r="G23" i="118" s="1"/>
  <c r="BD19" i="79"/>
  <c r="D44" i="118"/>
  <c r="AT19" i="79"/>
  <c r="AW19" i="79"/>
  <c r="S19" i="79" s="1"/>
  <c r="T19" i="79"/>
  <c r="D12" i="118"/>
  <c r="AT9" i="79"/>
  <c r="AW9" i="79"/>
  <c r="S9" i="79" s="1"/>
  <c r="BD9" i="79"/>
  <c r="T9" i="79"/>
  <c r="G12" i="118" s="1"/>
  <c r="D25" i="118"/>
  <c r="AT55" i="79"/>
  <c r="AW55" i="79"/>
  <c r="S55" i="79" s="1"/>
  <c r="BD55" i="79"/>
  <c r="T55" i="79"/>
  <c r="G25" i="118" s="1"/>
  <c r="AW44" i="79"/>
  <c r="S44" i="79" s="1"/>
  <c r="AT44" i="79"/>
  <c r="D51" i="118"/>
  <c r="BD44" i="79"/>
  <c r="T44" i="79"/>
  <c r="G51" i="118" s="1"/>
  <c r="AT4" i="79"/>
  <c r="BD4" i="79"/>
  <c r="AW4" i="79"/>
  <c r="S4" i="79" s="1"/>
  <c r="H7" i="118" s="1"/>
  <c r="D7" i="118"/>
  <c r="T4" i="79"/>
  <c r="H19" i="146"/>
  <c r="G20" i="146"/>
  <c r="AW48" i="79"/>
  <c r="S48" i="79" s="1"/>
  <c r="D5" i="118"/>
  <c r="BD48" i="79"/>
  <c r="AT48" i="79"/>
  <c r="T48" i="79"/>
  <c r="G5" i="118" s="1"/>
  <c r="AW49" i="79"/>
  <c r="S49" i="79" s="1"/>
  <c r="BD49" i="79"/>
  <c r="D20" i="118"/>
  <c r="AT49" i="79"/>
  <c r="T49" i="79"/>
  <c r="G20" i="118" s="1"/>
  <c r="BD31" i="79"/>
  <c r="AW31" i="79"/>
  <c r="S31" i="79" s="1"/>
  <c r="AT31" i="79"/>
  <c r="D28" i="118"/>
  <c r="T31" i="79"/>
  <c r="G28" i="118" s="1"/>
  <c r="AT20" i="79"/>
  <c r="AW20" i="79"/>
  <c r="S20" i="79" s="1"/>
  <c r="BD20" i="79"/>
  <c r="D45" i="118"/>
  <c r="T20" i="79"/>
  <c r="BD21" i="79"/>
  <c r="D54" i="118"/>
  <c r="AT21" i="79"/>
  <c r="AW21" i="79"/>
  <c r="S21" i="79" s="1"/>
  <c r="T21" i="79"/>
  <c r="AW56" i="79"/>
  <c r="S56" i="79" s="1"/>
  <c r="AT56" i="79"/>
  <c r="D57" i="118"/>
  <c r="BD56" i="79"/>
  <c r="T56" i="79"/>
  <c r="G57" i="118" s="1"/>
  <c r="AU3" i="79"/>
  <c r="AS3" i="79"/>
  <c r="D29" i="118"/>
  <c r="BD11" i="79"/>
  <c r="AW11" i="79"/>
  <c r="S11" i="79" s="1"/>
  <c r="AT11" i="79"/>
  <c r="T11" i="79"/>
  <c r="G29" i="118" s="1"/>
  <c r="D47" i="118"/>
  <c r="AT54" i="79"/>
  <c r="AW54" i="79"/>
  <c r="S54" i="79" s="1"/>
  <c r="BD54" i="79"/>
  <c r="T54" i="79"/>
  <c r="G47" i="118" s="1"/>
  <c r="AW36" i="79"/>
  <c r="S36" i="79" s="1"/>
  <c r="BD36" i="79"/>
  <c r="AT36" i="79"/>
  <c r="D56" i="118"/>
  <c r="T36" i="79"/>
  <c r="G56" i="118" s="1"/>
  <c r="D36" i="118"/>
  <c r="AT37" i="79"/>
  <c r="AW37" i="79"/>
  <c r="S37" i="79" s="1"/>
  <c r="BD37" i="79"/>
  <c r="T37" i="79"/>
  <c r="G36" i="118" s="1"/>
  <c r="BD26" i="79"/>
  <c r="AW26" i="79"/>
  <c r="S26" i="79" s="1"/>
  <c r="D46" i="118"/>
  <c r="AT26" i="79"/>
  <c r="T26" i="79"/>
  <c r="AW8" i="79"/>
  <c r="S8" i="79" s="1"/>
  <c r="BD8" i="79"/>
  <c r="D10" i="118"/>
  <c r="AT8" i="79"/>
  <c r="T8" i="79"/>
  <c r="G10" i="118" s="1"/>
  <c r="BD45" i="79"/>
  <c r="AT45" i="79"/>
  <c r="AW45" i="79"/>
  <c r="S45" i="79" s="1"/>
  <c r="D34" i="118"/>
  <c r="T45" i="79"/>
  <c r="G34" i="118" s="1"/>
  <c r="AW34" i="79"/>
  <c r="S34" i="79" s="1"/>
  <c r="AT34" i="79"/>
  <c r="D38" i="118"/>
  <c r="BD34" i="79"/>
  <c r="T34" i="79"/>
  <c r="G38" i="118" s="1"/>
  <c r="AT27" i="79"/>
  <c r="D40" i="118"/>
  <c r="BD27" i="79"/>
  <c r="AW27" i="79"/>
  <c r="S27" i="79" s="1"/>
  <c r="T27" i="79"/>
  <c r="D41" i="118"/>
  <c r="BD16" i="79"/>
  <c r="AW16" i="79"/>
  <c r="S16" i="79" s="1"/>
  <c r="AT16" i="79"/>
  <c r="T16" i="79"/>
  <c r="G41" i="118" s="1"/>
  <c r="AT17" i="79"/>
  <c r="AW17" i="79"/>
  <c r="S17" i="79" s="1"/>
  <c r="BD17" i="79"/>
  <c r="D42" i="118"/>
  <c r="T17" i="79"/>
  <c r="R6" i="79"/>
  <c r="AT38" i="79"/>
  <c r="AW38" i="79"/>
  <c r="S38" i="79" s="1"/>
  <c r="BD38" i="79"/>
  <c r="D13" i="118"/>
  <c r="T38" i="79"/>
  <c r="AW10" i="79"/>
  <c r="S10" i="79" s="1"/>
  <c r="D26" i="118"/>
  <c r="AT10" i="79"/>
  <c r="BD10" i="79"/>
  <c r="T10" i="79"/>
  <c r="G26" i="118" s="1"/>
  <c r="D21" i="118"/>
  <c r="BD57" i="79"/>
  <c r="AT57" i="79"/>
  <c r="AW57" i="79"/>
  <c r="S57" i="79" s="1"/>
  <c r="T57" i="79"/>
  <c r="AW46" i="79"/>
  <c r="S46" i="79" s="1"/>
  <c r="AT46" i="79"/>
  <c r="BD46" i="79"/>
  <c r="D11" i="118"/>
  <c r="T46" i="79"/>
  <c r="G11" i="118" s="1"/>
  <c r="D49" i="118"/>
  <c r="BD39" i="79"/>
  <c r="AW39" i="79"/>
  <c r="S39" i="79" s="1"/>
  <c r="AT39" i="79"/>
  <c r="T39" i="79"/>
  <c r="G49" i="118" s="1"/>
  <c r="R130" i="140" l="1"/>
  <c r="Q130" i="140"/>
  <c r="AB130" i="140"/>
  <c r="AI130" i="140"/>
  <c r="AT130" i="140"/>
  <c r="I130" i="140"/>
  <c r="AL130" i="140"/>
  <c r="AK130" i="140"/>
  <c r="BC130" i="140"/>
  <c r="BE130" i="140"/>
  <c r="V130" i="140"/>
  <c r="AF130" i="140"/>
  <c r="AX130" i="140"/>
  <c r="AW130" i="140"/>
  <c r="BD130" i="140"/>
  <c r="AE130" i="140"/>
  <c r="F130" i="140"/>
  <c r="AG130" i="140"/>
  <c r="Z130" i="140"/>
  <c r="AQ130" i="140"/>
  <c r="BA130" i="140"/>
  <c r="G130" i="140"/>
  <c r="AP130" i="140"/>
  <c r="P130" i="140"/>
  <c r="W130" i="140"/>
  <c r="AH130" i="140"/>
  <c r="AY130" i="140"/>
  <c r="Y130" i="140"/>
  <c r="AM130" i="140"/>
  <c r="AN130" i="140"/>
  <c r="AU130" i="140"/>
  <c r="BF130" i="140"/>
  <c r="K130" i="140"/>
  <c r="AA130" i="140"/>
  <c r="L130" i="140"/>
  <c r="U130" i="140"/>
  <c r="E130" i="140"/>
  <c r="AS130" i="140"/>
  <c r="J130" i="140"/>
  <c r="T130" i="140"/>
  <c r="AV130" i="140"/>
  <c r="S130" i="140"/>
  <c r="AD130" i="140"/>
  <c r="AC130" i="140"/>
  <c r="H130" i="140"/>
  <c r="AJ130" i="140"/>
  <c r="N130" i="140"/>
  <c r="M130" i="140"/>
  <c r="X130" i="140"/>
  <c r="AO130" i="140"/>
  <c r="AZ130" i="140"/>
  <c r="AR130" i="140"/>
  <c r="O130" i="140"/>
  <c r="BB130" i="140"/>
  <c r="G54" i="118"/>
  <c r="G39" i="118"/>
  <c r="G21" i="118"/>
  <c r="G42" i="118"/>
  <c r="G40" i="118"/>
  <c r="G46" i="118"/>
  <c r="G27" i="118"/>
  <c r="G45" i="118"/>
  <c r="G44" i="118"/>
  <c r="G8" i="118"/>
  <c r="G48" i="118"/>
  <c r="G32" i="118"/>
  <c r="G59" i="118"/>
  <c r="G13" i="118"/>
  <c r="H6" i="118"/>
  <c r="U5" i="79"/>
  <c r="R7" i="79"/>
  <c r="H9" i="118" s="1"/>
  <c r="U6" i="79"/>
  <c r="AW3" i="79"/>
  <c r="S3" i="79" s="1"/>
  <c r="H17" i="118" s="1"/>
  <c r="BD3" i="79"/>
  <c r="BD59" i="79" s="1"/>
  <c r="D17" i="118"/>
  <c r="AT3" i="79"/>
  <c r="T3" i="79"/>
  <c r="H20" i="146"/>
  <c r="G21" i="146"/>
  <c r="G7" i="118"/>
  <c r="U4" i="79"/>
  <c r="D130" i="140" l="1"/>
  <c r="J16" i="146" s="1"/>
  <c r="K16" i="146" s="1"/>
  <c r="H21" i="146"/>
  <c r="G25" i="146"/>
  <c r="H25" i="146" s="1"/>
  <c r="G17" i="118"/>
  <c r="U3" i="79"/>
  <c r="R8" i="79"/>
  <c r="H10" i="118" s="1"/>
  <c r="U7" i="79"/>
  <c r="H27" i="146" l="1"/>
  <c r="G9" i="144" s="1"/>
  <c r="R9" i="79"/>
  <c r="H12" i="118" s="1"/>
  <c r="U8" i="79"/>
  <c r="U9" i="79" l="1"/>
  <c r="R10" i="79"/>
  <c r="H26" i="118" s="1"/>
  <c r="R11" i="79" l="1"/>
  <c r="H29" i="118" s="1"/>
  <c r="U10" i="79"/>
  <c r="R12" i="79" l="1"/>
  <c r="H31" i="118" s="1"/>
  <c r="U11" i="79"/>
  <c r="R13" i="79" l="1"/>
  <c r="H32" i="118" s="1"/>
  <c r="U12" i="79"/>
  <c r="R14" i="79" l="1"/>
  <c r="H33" i="118" s="1"/>
  <c r="U13" i="79"/>
  <c r="R15" i="79" l="1"/>
  <c r="H35" i="118" s="1"/>
  <c r="U14" i="79"/>
  <c r="U15" i="79" l="1"/>
  <c r="R16" i="79"/>
  <c r="H41" i="118" s="1"/>
  <c r="U16" i="79" l="1"/>
  <c r="R17" i="79"/>
  <c r="H42" i="118" s="1"/>
  <c r="R18" i="79" l="1"/>
  <c r="H43" i="118" s="1"/>
  <c r="U17" i="79"/>
  <c r="U18" i="79" l="1"/>
  <c r="R19" i="79"/>
  <c r="H44" i="118" s="1"/>
  <c r="R20" i="79" l="1"/>
  <c r="H45" i="118" s="1"/>
  <c r="U19" i="79"/>
  <c r="R21" i="79" l="1"/>
  <c r="H54" i="118" s="1"/>
  <c r="U20" i="79"/>
  <c r="R22" i="79" l="1"/>
  <c r="H55" i="118" s="1"/>
  <c r="U21" i="79"/>
  <c r="R23" i="79" l="1"/>
  <c r="H59" i="118" s="1"/>
  <c r="U22" i="79"/>
  <c r="R24" i="79" l="1"/>
  <c r="H30" i="118" s="1"/>
  <c r="U23" i="79"/>
  <c r="R25" i="79" l="1"/>
  <c r="H50" i="118" s="1"/>
  <c r="U24" i="79"/>
  <c r="R26" i="79" l="1"/>
  <c r="H46" i="118" s="1"/>
  <c r="U25" i="79"/>
  <c r="R27" i="79" l="1"/>
  <c r="H40" i="118" s="1"/>
  <c r="U26" i="79"/>
  <c r="R28" i="79" l="1"/>
  <c r="H37" i="118" s="1"/>
  <c r="U27" i="79"/>
  <c r="R29" i="79" l="1"/>
  <c r="H24" i="118" s="1"/>
  <c r="U28" i="79"/>
  <c r="R30" i="79" l="1"/>
  <c r="H58" i="118" s="1"/>
  <c r="U29" i="79"/>
  <c r="R31" i="79" l="1"/>
  <c r="H28" i="118" s="1"/>
  <c r="U30" i="79"/>
  <c r="R32" i="79" l="1"/>
  <c r="H27" i="118" s="1"/>
  <c r="U31" i="79"/>
  <c r="R33" i="79" l="1"/>
  <c r="H53" i="118" s="1"/>
  <c r="U32" i="79"/>
  <c r="R34" i="79" l="1"/>
  <c r="H38" i="118" s="1"/>
  <c r="U33" i="79"/>
  <c r="R35" i="79" l="1"/>
  <c r="H52" i="118" s="1"/>
  <c r="U34" i="79"/>
  <c r="R36" i="79" l="1"/>
  <c r="H56" i="118" s="1"/>
  <c r="U35" i="79"/>
  <c r="R37" i="79" l="1"/>
  <c r="H36" i="118" s="1"/>
  <c r="U36" i="79"/>
  <c r="R38" i="79" l="1"/>
  <c r="H13" i="118" s="1"/>
  <c r="U37" i="79"/>
  <c r="R39" i="79" l="1"/>
  <c r="H49" i="118" s="1"/>
  <c r="U38" i="79"/>
  <c r="R40" i="79" l="1"/>
  <c r="H39" i="118" s="1"/>
  <c r="U39" i="79"/>
  <c r="R41" i="79" l="1"/>
  <c r="H19" i="118" s="1"/>
  <c r="U40" i="79"/>
  <c r="R42" i="79" l="1"/>
  <c r="H18" i="118" s="1"/>
  <c r="U41" i="79"/>
  <c r="R43" i="79" l="1"/>
  <c r="H14" i="118" s="1"/>
  <c r="U42" i="79"/>
  <c r="R44" i="79" l="1"/>
  <c r="H51" i="118" s="1"/>
  <c r="U43" i="79"/>
  <c r="R45" i="79" l="1"/>
  <c r="H34" i="118" s="1"/>
  <c r="U44" i="79"/>
  <c r="R46" i="79" l="1"/>
  <c r="H11" i="118" s="1"/>
  <c r="U45" i="79"/>
  <c r="R47" i="79" l="1"/>
  <c r="H23" i="118" s="1"/>
  <c r="U46" i="79"/>
  <c r="R48" i="79" l="1"/>
  <c r="H5" i="118" s="1"/>
  <c r="U47" i="79"/>
  <c r="R49" i="79" l="1"/>
  <c r="H20" i="118" s="1"/>
  <c r="U48" i="79"/>
  <c r="R50" i="79" l="1"/>
  <c r="H15" i="118" s="1"/>
  <c r="U49" i="79"/>
  <c r="R51" i="79" l="1"/>
  <c r="H22" i="118" s="1"/>
  <c r="U50" i="79"/>
  <c r="R52" i="79" l="1"/>
  <c r="H48" i="118" s="1"/>
  <c r="U51" i="79"/>
  <c r="R53" i="79" l="1"/>
  <c r="H16" i="118" s="1"/>
  <c r="U52" i="79"/>
  <c r="R54" i="79" l="1"/>
  <c r="H47" i="118" s="1"/>
  <c r="U53" i="79"/>
  <c r="U54" i="79" l="1"/>
  <c r="R55" i="79"/>
  <c r="H25" i="118" s="1"/>
  <c r="R56" i="79" l="1"/>
  <c r="H57" i="118" s="1"/>
  <c r="U55" i="79"/>
  <c r="U56" i="79" l="1"/>
  <c r="R57" i="79"/>
  <c r="H21" i="118" s="1"/>
  <c r="R58" i="79" l="1"/>
  <c r="U58" i="79" s="1"/>
  <c r="U57" i="79"/>
  <c r="U60" i="79" l="1"/>
  <c r="B68" i="79" l="1"/>
  <c r="BF80" i="111" l="1"/>
  <c r="BF81" i="111" s="1"/>
  <c r="BF82" i="111" s="1"/>
  <c r="Y58" i="79" s="1"/>
  <c r="Y80" i="111"/>
  <c r="Y81" i="111" s="1"/>
  <c r="Y82" i="111" s="1"/>
  <c r="Y25" i="79" s="1"/>
  <c r="F50" i="118" s="1"/>
  <c r="Z132" i="140" s="1"/>
  <c r="D80" i="111"/>
  <c r="D81" i="111" s="1"/>
  <c r="D82" i="111" s="1"/>
  <c r="Y4" i="79" s="1"/>
  <c r="F7" i="118" s="1"/>
  <c r="E132" i="140" s="1"/>
  <c r="BD80" i="111"/>
  <c r="BD81" i="111" s="1"/>
  <c r="BD82" i="111" s="1"/>
  <c r="Y56" i="79" s="1"/>
  <c r="F57" i="118" s="1"/>
  <c r="BE132" i="140" s="1"/>
  <c r="AD80" i="111"/>
  <c r="AD81" i="111" s="1"/>
  <c r="AD82" i="111" s="1"/>
  <c r="Y30" i="79" s="1"/>
  <c r="F58" i="118" s="1"/>
  <c r="AE132" i="140" s="1"/>
  <c r="AX80" i="111"/>
  <c r="AX81" i="111" s="1"/>
  <c r="AX82" i="111" s="1"/>
  <c r="Y50" i="79" s="1"/>
  <c r="F15" i="118" s="1"/>
  <c r="AY132" i="140" s="1"/>
  <c r="AB80" i="111"/>
  <c r="AB81" i="111" s="1"/>
  <c r="AB82" i="111" s="1"/>
  <c r="Y28" i="79" s="1"/>
  <c r="F37" i="118" s="1"/>
  <c r="AC132" i="140" s="1"/>
  <c r="Z80" i="111"/>
  <c r="Z81" i="111" s="1"/>
  <c r="Z82" i="111" s="1"/>
  <c r="Y26" i="79" s="1"/>
  <c r="F46" i="118" s="1"/>
  <c r="AA132" i="140" s="1"/>
  <c r="F80" i="111"/>
  <c r="F81" i="111" s="1"/>
  <c r="F82" i="111" s="1"/>
  <c r="Y6" i="79" s="1"/>
  <c r="F6" i="118" s="1"/>
  <c r="G132" i="140" s="1"/>
  <c r="AF80" i="111"/>
  <c r="AF81" i="111" s="1"/>
  <c r="AF82" i="111" s="1"/>
  <c r="Y32" i="79" s="1"/>
  <c r="F27" i="118" s="1"/>
  <c r="AG132" i="140" s="1"/>
  <c r="W80" i="111"/>
  <c r="W81" i="111" s="1"/>
  <c r="W82" i="111" s="1"/>
  <c r="Y23" i="79" s="1"/>
  <c r="F59" i="118" s="1"/>
  <c r="X132" i="140" s="1"/>
  <c r="AI80" i="111"/>
  <c r="AI81" i="111" s="1"/>
  <c r="AI82" i="111" s="1"/>
  <c r="Y35" i="79" s="1"/>
  <c r="F52" i="118" s="1"/>
  <c r="AJ132" i="140" s="1"/>
  <c r="AR80" i="111"/>
  <c r="AR81" i="111" s="1"/>
  <c r="AR82" i="111" s="1"/>
  <c r="Y44" i="79" s="1"/>
  <c r="F51" i="118" s="1"/>
  <c r="AS132" i="140" s="1"/>
  <c r="AQ80" i="111"/>
  <c r="AQ81" i="111" s="1"/>
  <c r="AQ82" i="111" s="1"/>
  <c r="Y43" i="79" s="1"/>
  <c r="F14" i="118" s="1"/>
  <c r="AR132" i="140" s="1"/>
  <c r="AP80" i="111"/>
  <c r="AP81" i="111" s="1"/>
  <c r="AP82" i="111" s="1"/>
  <c r="Y42" i="79" s="1"/>
  <c r="F18" i="118" s="1"/>
  <c r="AQ132" i="140" s="1"/>
  <c r="G80" i="111"/>
  <c r="G81" i="111" s="1"/>
  <c r="G82" i="111" s="1"/>
  <c r="Y7" i="79" s="1"/>
  <c r="F9" i="118" s="1"/>
  <c r="H132" i="140" s="1"/>
  <c r="AN80" i="111"/>
  <c r="AN81" i="111" s="1"/>
  <c r="AN82" i="111" s="1"/>
  <c r="Y40" i="79" s="1"/>
  <c r="F39" i="118" s="1"/>
  <c r="AO132" i="140" s="1"/>
  <c r="AK80" i="111"/>
  <c r="AK81" i="111" s="1"/>
  <c r="AK82" i="111" s="1"/>
  <c r="Y37" i="79" s="1"/>
  <c r="F36" i="118" s="1"/>
  <c r="AL132" i="140" s="1"/>
  <c r="AY80" i="111"/>
  <c r="AY81" i="111" s="1"/>
  <c r="AY82" i="111" s="1"/>
  <c r="Y51" i="79" s="1"/>
  <c r="F22" i="118" s="1"/>
  <c r="AZ132" i="140" s="1"/>
  <c r="AW80" i="111"/>
  <c r="AW81" i="111" s="1"/>
  <c r="AW82" i="111" s="1"/>
  <c r="Y49" i="79" s="1"/>
  <c r="F20" i="118" s="1"/>
  <c r="AX132" i="140" s="1"/>
  <c r="AG80" i="111"/>
  <c r="AG81" i="111" s="1"/>
  <c r="AG82" i="111" s="1"/>
  <c r="Y33" i="79" s="1"/>
  <c r="F53" i="118" s="1"/>
  <c r="AH132" i="140" s="1"/>
  <c r="Q80" i="111"/>
  <c r="Q81" i="111" s="1"/>
  <c r="Q82" i="111" s="1"/>
  <c r="Y17" i="79" s="1"/>
  <c r="F42" i="118" s="1"/>
  <c r="R132" i="140" s="1"/>
  <c r="T80" i="111"/>
  <c r="T81" i="111" s="1"/>
  <c r="T82" i="111" s="1"/>
  <c r="Y20" i="79" s="1"/>
  <c r="F45" i="118" s="1"/>
  <c r="U132" i="140" s="1"/>
  <c r="AL80" i="111"/>
  <c r="AL81" i="111" s="1"/>
  <c r="AL82" i="111" s="1"/>
  <c r="Y38" i="79" s="1"/>
  <c r="F13" i="118" s="1"/>
  <c r="AM132" i="140" s="1"/>
  <c r="AH80" i="111"/>
  <c r="AH81" i="111" s="1"/>
  <c r="AH82" i="111" s="1"/>
  <c r="Y34" i="79" s="1"/>
  <c r="F38" i="118" s="1"/>
  <c r="AI132" i="140" s="1"/>
  <c r="AO80" i="111"/>
  <c r="AO81" i="111" s="1"/>
  <c r="AO82" i="111" s="1"/>
  <c r="Y41" i="79" s="1"/>
  <c r="F19" i="118" s="1"/>
  <c r="AP132" i="140" s="1"/>
  <c r="BB80" i="111"/>
  <c r="BB81" i="111" s="1"/>
  <c r="BB82" i="111" s="1"/>
  <c r="Y54" i="79" s="1"/>
  <c r="F47" i="118" s="1"/>
  <c r="BC132" i="140" s="1"/>
  <c r="J80" i="111"/>
  <c r="J81" i="111" s="1"/>
  <c r="J82" i="111" s="1"/>
  <c r="Y10" i="79" s="1"/>
  <c r="F26" i="118" s="1"/>
  <c r="K132" i="140" s="1"/>
  <c r="P80" i="111"/>
  <c r="P81" i="111" s="1"/>
  <c r="P82" i="111" s="1"/>
  <c r="Y16" i="79" s="1"/>
  <c r="F41" i="118" s="1"/>
  <c r="Q132" i="140" s="1"/>
  <c r="AC58" i="79"/>
  <c r="AD58" i="79" s="1"/>
  <c r="AG58" i="79" s="1"/>
  <c r="AI58" i="79" s="1"/>
  <c r="AC34" i="79"/>
  <c r="AD34" i="79" s="1"/>
  <c r="AG34" i="79" s="1"/>
  <c r="AI34" i="79" s="1"/>
  <c r="AC32" i="79"/>
  <c r="AD32" i="79" s="1"/>
  <c r="AG32" i="79" s="1"/>
  <c r="AI32" i="79" s="1"/>
  <c r="AC44" i="79"/>
  <c r="AD44" i="79" s="1"/>
  <c r="AG44" i="79" s="1"/>
  <c r="AI44" i="79" s="1"/>
  <c r="AC7" i="79"/>
  <c r="AD7" i="79" s="1"/>
  <c r="AG7" i="79" s="1"/>
  <c r="AI7" i="79" s="1"/>
  <c r="AL58" i="79"/>
  <c r="AO58" i="79" s="1"/>
  <c r="AC26" i="79"/>
  <c r="AD26" i="79" s="1"/>
  <c r="AG26" i="79" s="1"/>
  <c r="AI26" i="79" s="1"/>
  <c r="AL4" i="79"/>
  <c r="AC28" i="79"/>
  <c r="AD28" i="79" s="1"/>
  <c r="AG28" i="79" s="1"/>
  <c r="AI28" i="79" s="1"/>
  <c r="AL23" i="79"/>
  <c r="G24" i="146"/>
  <c r="X80" i="111"/>
  <c r="X81" i="111" s="1"/>
  <c r="X82" i="111" s="1"/>
  <c r="Y24" i="79" s="1"/>
  <c r="F30" i="118" s="1"/>
  <c r="Y132" i="140" s="1"/>
  <c r="BC80" i="111"/>
  <c r="BC81" i="111" s="1"/>
  <c r="BC82" i="111" s="1"/>
  <c r="Y55" i="79" s="1"/>
  <c r="F25" i="118" s="1"/>
  <c r="BD132" i="140" s="1"/>
  <c r="K80" i="111"/>
  <c r="K81" i="111" s="1"/>
  <c r="K82" i="111" s="1"/>
  <c r="Y11" i="79" s="1"/>
  <c r="F29" i="118" s="1"/>
  <c r="L132" i="140" s="1"/>
  <c r="N80" i="111"/>
  <c r="N81" i="111" s="1"/>
  <c r="N82" i="111" s="1"/>
  <c r="Y14" i="79" s="1"/>
  <c r="F33" i="118" s="1"/>
  <c r="O132" i="140" s="1"/>
  <c r="AZ80" i="111"/>
  <c r="AZ81" i="111" s="1"/>
  <c r="AZ82" i="111" s="1"/>
  <c r="Y52" i="79" s="1"/>
  <c r="F48" i="118" s="1"/>
  <c r="BA132" i="140" s="1"/>
  <c r="AE80" i="111"/>
  <c r="AE81" i="111" s="1"/>
  <c r="AE82" i="111" s="1"/>
  <c r="Y31" i="79" s="1"/>
  <c r="F28" i="118" s="1"/>
  <c r="AF132" i="140" s="1"/>
  <c r="H80" i="111"/>
  <c r="H81" i="111" s="1"/>
  <c r="H82" i="111" s="1"/>
  <c r="Y8" i="79" s="1"/>
  <c r="F10" i="118" s="1"/>
  <c r="I132" i="140" s="1"/>
  <c r="I80" i="111"/>
  <c r="I81" i="111" s="1"/>
  <c r="I82" i="111" s="1"/>
  <c r="Y9" i="79" s="1"/>
  <c r="F12" i="118" s="1"/>
  <c r="J132" i="140" s="1"/>
  <c r="S80" i="111"/>
  <c r="S81" i="111" s="1"/>
  <c r="S82" i="111" s="1"/>
  <c r="Y19" i="79" s="1"/>
  <c r="F44" i="118" s="1"/>
  <c r="T132" i="140" s="1"/>
  <c r="AU80" i="111"/>
  <c r="AU81" i="111" s="1"/>
  <c r="AU82" i="111" s="1"/>
  <c r="Y47" i="79" s="1"/>
  <c r="F23" i="118" s="1"/>
  <c r="AV132" i="140" s="1"/>
  <c r="AM80" i="111"/>
  <c r="AM81" i="111" s="1"/>
  <c r="AM82" i="111" s="1"/>
  <c r="Y39" i="79" s="1"/>
  <c r="F49" i="118" s="1"/>
  <c r="AN132" i="140" s="1"/>
  <c r="AS80" i="111"/>
  <c r="AS81" i="111" s="1"/>
  <c r="AS82" i="111" s="1"/>
  <c r="Y45" i="79" s="1"/>
  <c r="F34" i="118" s="1"/>
  <c r="AT132" i="140" s="1"/>
  <c r="C80" i="111"/>
  <c r="C81" i="111" s="1"/>
  <c r="C82" i="111" s="1"/>
  <c r="Y3" i="79" s="1"/>
  <c r="F17" i="118" s="1"/>
  <c r="D132" i="140" s="1"/>
  <c r="AC80" i="111"/>
  <c r="AC81" i="111" s="1"/>
  <c r="AC82" i="111" s="1"/>
  <c r="Y29" i="79" s="1"/>
  <c r="F24" i="118" s="1"/>
  <c r="AD132" i="140" s="1"/>
  <c r="AJ80" i="111"/>
  <c r="AJ81" i="111" s="1"/>
  <c r="AJ82" i="111" s="1"/>
  <c r="Y36" i="79" s="1"/>
  <c r="F56" i="118" s="1"/>
  <c r="AK132" i="140" s="1"/>
  <c r="O80" i="111"/>
  <c r="O81" i="111" s="1"/>
  <c r="O82" i="111" s="1"/>
  <c r="Y15" i="79" s="1"/>
  <c r="F35" i="118" s="1"/>
  <c r="P132" i="140" s="1"/>
  <c r="BA80" i="111"/>
  <c r="BA81" i="111" s="1"/>
  <c r="BA82" i="111" s="1"/>
  <c r="Y53" i="79" s="1"/>
  <c r="F16" i="118" s="1"/>
  <c r="BB132" i="140" s="1"/>
  <c r="BE80" i="111"/>
  <c r="BE81" i="111" s="1"/>
  <c r="BE82" i="111" s="1"/>
  <c r="Y57" i="79" s="1"/>
  <c r="F21" i="118" s="1"/>
  <c r="BF132" i="140" s="1"/>
  <c r="M80" i="111"/>
  <c r="M81" i="111" s="1"/>
  <c r="M82" i="111" s="1"/>
  <c r="Y13" i="79" s="1"/>
  <c r="F32" i="118" s="1"/>
  <c r="N132" i="140" s="1"/>
  <c r="AA80" i="111"/>
  <c r="AA81" i="111" s="1"/>
  <c r="AA82" i="111" s="1"/>
  <c r="Y27" i="79" s="1"/>
  <c r="F40" i="118" s="1"/>
  <c r="AB132" i="140" s="1"/>
  <c r="AT80" i="111"/>
  <c r="AT81" i="111" s="1"/>
  <c r="AT82" i="111" s="1"/>
  <c r="Y46" i="79" s="1"/>
  <c r="F11" i="118" s="1"/>
  <c r="AU132" i="140" s="1"/>
  <c r="V80" i="111"/>
  <c r="V81" i="111" s="1"/>
  <c r="V82" i="111" s="1"/>
  <c r="Y22" i="79" s="1"/>
  <c r="F55" i="118" s="1"/>
  <c r="W132" i="140" s="1"/>
  <c r="U80" i="111"/>
  <c r="U81" i="111" s="1"/>
  <c r="U82" i="111" s="1"/>
  <c r="Y21" i="79" s="1"/>
  <c r="F54" i="118" s="1"/>
  <c r="V132" i="140" s="1"/>
  <c r="E80" i="111"/>
  <c r="E81" i="111" s="1"/>
  <c r="E82" i="111" s="1"/>
  <c r="Y5" i="79" s="1"/>
  <c r="F8" i="118" s="1"/>
  <c r="F132" i="140" s="1"/>
  <c r="L80" i="111"/>
  <c r="L81" i="111" s="1"/>
  <c r="L82" i="111" s="1"/>
  <c r="Y12" i="79" s="1"/>
  <c r="F31" i="118" s="1"/>
  <c r="M132" i="140" s="1"/>
  <c r="AV80" i="111"/>
  <c r="AV81" i="111" s="1"/>
  <c r="AV82" i="111" s="1"/>
  <c r="Y48" i="79" s="1"/>
  <c r="F5" i="118" s="1"/>
  <c r="AW132" i="140" s="1"/>
  <c r="R80" i="111"/>
  <c r="R81" i="111" s="1"/>
  <c r="R82" i="111" s="1"/>
  <c r="Y18" i="79" s="1"/>
  <c r="F43" i="118" s="1"/>
  <c r="S132" i="140" s="1"/>
  <c r="C81" i="117"/>
  <c r="C82" i="117" s="1"/>
  <c r="C83" i="117" s="1"/>
  <c r="AC6" i="79"/>
  <c r="AD6" i="79" s="1"/>
  <c r="AG6" i="79" s="1"/>
  <c r="AI6" i="79" s="1"/>
  <c r="AC14" i="79"/>
  <c r="AD14" i="79" s="1"/>
  <c r="AG14" i="79" s="1"/>
  <c r="AI14" i="79" s="1"/>
  <c r="AL30" i="79"/>
  <c r="AL28" i="79"/>
  <c r="AL44" i="79"/>
  <c r="AL42" i="79"/>
  <c r="AC23" i="79"/>
  <c r="AD23" i="79" s="1"/>
  <c r="AG23" i="79" s="1"/>
  <c r="AI23" i="79" s="1"/>
  <c r="AL6" i="79"/>
  <c r="AC30" i="79"/>
  <c r="AD30" i="79" s="1"/>
  <c r="AG30" i="79" s="1"/>
  <c r="AI30" i="79" s="1"/>
  <c r="AC4" i="79"/>
  <c r="AD4" i="79" s="1"/>
  <c r="AG4" i="79" s="1"/>
  <c r="AI4" i="79" s="1"/>
  <c r="AC42" i="79"/>
  <c r="AD42" i="79" s="1"/>
  <c r="AG42" i="79" s="1"/>
  <c r="AI42" i="79" s="1"/>
  <c r="AL51" i="79"/>
  <c r="AC25" i="79"/>
  <c r="AD25" i="79" s="1"/>
  <c r="AG25" i="79" s="1"/>
  <c r="AI25" i="79" s="1"/>
  <c r="AC33" i="79"/>
  <c r="AD33" i="79" s="1"/>
  <c r="AG33" i="79" s="1"/>
  <c r="AI33" i="79" s="1"/>
  <c r="AL20" i="79"/>
  <c r="AL40" i="79"/>
  <c r="AL45" i="79"/>
  <c r="AC47" i="79"/>
  <c r="AD47" i="79" s="1"/>
  <c r="AG47" i="79" s="1"/>
  <c r="AI47" i="79" s="1"/>
  <c r="AC53" i="79"/>
  <c r="AD53" i="79" s="1"/>
  <c r="AG53" i="79" s="1"/>
  <c r="AI53" i="79" s="1"/>
  <c r="AC9" i="79"/>
  <c r="AD9" i="79" s="1"/>
  <c r="AG9" i="79" s="1"/>
  <c r="AI9" i="79" s="1"/>
  <c r="AL16" i="79"/>
  <c r="AC51" i="79"/>
  <c r="AD51" i="79" s="1"/>
  <c r="AG51" i="79" s="1"/>
  <c r="AI51" i="79" s="1"/>
  <c r="AC40" i="79"/>
  <c r="AD40" i="79" s="1"/>
  <c r="AG40" i="79" s="1"/>
  <c r="AI40" i="79" s="1"/>
  <c r="AC20" i="79"/>
  <c r="AD20" i="79" s="1"/>
  <c r="AG20" i="79" s="1"/>
  <c r="AI20" i="79" s="1"/>
  <c r="AC31" i="79"/>
  <c r="AD31" i="79" s="1"/>
  <c r="AG31" i="79" s="1"/>
  <c r="AI31" i="79" s="1"/>
  <c r="AL31" i="79"/>
  <c r="AL41" i="79"/>
  <c r="AL34" i="79"/>
  <c r="AL54" i="79" l="1"/>
  <c r="AC16" i="79"/>
  <c r="AD16" i="79" s="1"/>
  <c r="AG16" i="79" s="1"/>
  <c r="AI16" i="79" s="1"/>
  <c r="AC54" i="79"/>
  <c r="AD54" i="79" s="1"/>
  <c r="AG54" i="79" s="1"/>
  <c r="AI54" i="79" s="1"/>
  <c r="AL52" i="79"/>
  <c r="AO52" i="79" s="1"/>
  <c r="AC17" i="79"/>
  <c r="AD17" i="79" s="1"/>
  <c r="AG17" i="79" s="1"/>
  <c r="AI17" i="79" s="1"/>
  <c r="AL43" i="79"/>
  <c r="AC50" i="79"/>
  <c r="AD50" i="79" s="1"/>
  <c r="AG50" i="79" s="1"/>
  <c r="AI50" i="79" s="1"/>
  <c r="AL49" i="79"/>
  <c r="AC15" i="79"/>
  <c r="AD15" i="79" s="1"/>
  <c r="AG15" i="79" s="1"/>
  <c r="AI15" i="79" s="1"/>
  <c r="AC55" i="79"/>
  <c r="AD55" i="79" s="1"/>
  <c r="AG55" i="79" s="1"/>
  <c r="AI55" i="79" s="1"/>
  <c r="AJ55" i="79" s="1"/>
  <c r="K25" i="118" s="1"/>
  <c r="AL9" i="79"/>
  <c r="AL14" i="79"/>
  <c r="I33" i="118" s="1"/>
  <c r="AL47" i="79"/>
  <c r="AL55" i="79"/>
  <c r="AO55" i="79" s="1"/>
  <c r="AC45" i="79"/>
  <c r="AD45" i="79" s="1"/>
  <c r="AG45" i="79" s="1"/>
  <c r="AI45" i="79" s="1"/>
  <c r="AC56" i="79"/>
  <c r="AD56" i="79" s="1"/>
  <c r="AG56" i="79" s="1"/>
  <c r="AI56" i="79" s="1"/>
  <c r="AJ56" i="79" s="1"/>
  <c r="K57" i="118" s="1"/>
  <c r="AL32" i="79"/>
  <c r="AL35" i="79"/>
  <c r="AO35" i="79" s="1"/>
  <c r="AL56" i="79"/>
  <c r="AL25" i="79"/>
  <c r="AO25" i="79" s="1"/>
  <c r="AL50" i="79"/>
  <c r="AL3" i="79"/>
  <c r="AO3" i="79" s="1"/>
  <c r="AL33" i="79"/>
  <c r="J24" i="146"/>
  <c r="K24" i="146" s="1"/>
  <c r="AC12" i="79"/>
  <c r="AD12" i="79" s="1"/>
  <c r="AG12" i="79" s="1"/>
  <c r="AI12" i="79" s="1"/>
  <c r="AJ12" i="79" s="1"/>
  <c r="K31" i="118" s="1"/>
  <c r="AC10" i="79"/>
  <c r="AD10" i="79" s="1"/>
  <c r="AG10" i="79" s="1"/>
  <c r="AI10" i="79" s="1"/>
  <c r="AJ10" i="79" s="1"/>
  <c r="K26" i="118" s="1"/>
  <c r="AL19" i="79"/>
  <c r="I44" i="118" s="1"/>
  <c r="AC24" i="79"/>
  <c r="AD24" i="79" s="1"/>
  <c r="AG24" i="79" s="1"/>
  <c r="AI24" i="79" s="1"/>
  <c r="AV24" i="79" s="1"/>
  <c r="AL46" i="79"/>
  <c r="I11" i="118" s="1"/>
  <c r="AC46" i="79"/>
  <c r="AD46" i="79" s="1"/>
  <c r="AG46" i="79" s="1"/>
  <c r="AI46" i="79" s="1"/>
  <c r="AV46" i="79" s="1"/>
  <c r="AC38" i="79"/>
  <c r="AD38" i="79" s="1"/>
  <c r="AG38" i="79" s="1"/>
  <c r="AI38" i="79" s="1"/>
  <c r="AV38" i="79" s="1"/>
  <c r="AL24" i="79"/>
  <c r="I30" i="118" s="1"/>
  <c r="AL37" i="79"/>
  <c r="AO37" i="79" s="1"/>
  <c r="AC49" i="79"/>
  <c r="AD49" i="79" s="1"/>
  <c r="AG49" i="79" s="1"/>
  <c r="AI49" i="79" s="1"/>
  <c r="AJ49" i="79" s="1"/>
  <c r="K20" i="118" s="1"/>
  <c r="AC41" i="79"/>
  <c r="AD41" i="79" s="1"/>
  <c r="AG41" i="79" s="1"/>
  <c r="AI41" i="79" s="1"/>
  <c r="AV41" i="79" s="1"/>
  <c r="AL8" i="79"/>
  <c r="I10" i="118" s="1"/>
  <c r="AC19" i="79"/>
  <c r="AD19" i="79" s="1"/>
  <c r="AG19" i="79" s="1"/>
  <c r="AI19" i="79" s="1"/>
  <c r="AV19" i="79" s="1"/>
  <c r="AL11" i="79"/>
  <c r="I29" i="118" s="1"/>
  <c r="AC8" i="79"/>
  <c r="AD8" i="79" s="1"/>
  <c r="AG8" i="79" s="1"/>
  <c r="AI8" i="79" s="1"/>
  <c r="AJ8" i="79" s="1"/>
  <c r="K10" i="118" s="1"/>
  <c r="AC52" i="79"/>
  <c r="AD52" i="79" s="1"/>
  <c r="AG52" i="79" s="1"/>
  <c r="AI52" i="79" s="1"/>
  <c r="AJ52" i="79" s="1"/>
  <c r="K48" i="118" s="1"/>
  <c r="AL38" i="79"/>
  <c r="AO38" i="79" s="1"/>
  <c r="AC37" i="79"/>
  <c r="AD37" i="79" s="1"/>
  <c r="AG37" i="79" s="1"/>
  <c r="AI37" i="79" s="1"/>
  <c r="AV37" i="79" s="1"/>
  <c r="AC11" i="79"/>
  <c r="AD11" i="79" s="1"/>
  <c r="AG11" i="79" s="1"/>
  <c r="AI11" i="79" s="1"/>
  <c r="AV11" i="79" s="1"/>
  <c r="AL7" i="79"/>
  <c r="AO7" i="79" s="1"/>
  <c r="AC3" i="79"/>
  <c r="AD3" i="79" s="1"/>
  <c r="AG3" i="79" s="1"/>
  <c r="AI3" i="79" s="1"/>
  <c r="AL18" i="79"/>
  <c r="AO18" i="79" s="1"/>
  <c r="AC29" i="79"/>
  <c r="AD29" i="79" s="1"/>
  <c r="AG29" i="79" s="1"/>
  <c r="AI29" i="79" s="1"/>
  <c r="AV29" i="79" s="1"/>
  <c r="AC48" i="79"/>
  <c r="AD48" i="79" s="1"/>
  <c r="AG48" i="79" s="1"/>
  <c r="AI48" i="79" s="1"/>
  <c r="AJ48" i="79" s="1"/>
  <c r="K5" i="118" s="1"/>
  <c r="AL27" i="79"/>
  <c r="AO27" i="79" s="1"/>
  <c r="AL48" i="79"/>
  <c r="AO48" i="79" s="1"/>
  <c r="AL29" i="79"/>
  <c r="AO29" i="79" s="1"/>
  <c r="AL36" i="79"/>
  <c r="I56" i="118" s="1"/>
  <c r="AL17" i="79"/>
  <c r="AO17" i="79" s="1"/>
  <c r="AC43" i="79"/>
  <c r="AD43" i="79" s="1"/>
  <c r="AG43" i="79" s="1"/>
  <c r="AI43" i="79" s="1"/>
  <c r="AJ43" i="79" s="1"/>
  <c r="K14" i="118" s="1"/>
  <c r="AC35" i="79"/>
  <c r="AD35" i="79" s="1"/>
  <c r="AG35" i="79" s="1"/>
  <c r="AI35" i="79" s="1"/>
  <c r="AJ35" i="79" s="1"/>
  <c r="K52" i="118" s="1"/>
  <c r="AL26" i="79"/>
  <c r="I46" i="118" s="1"/>
  <c r="AL57" i="79"/>
  <c r="AO57" i="79" s="1"/>
  <c r="AL22" i="79"/>
  <c r="I55" i="118" s="1"/>
  <c r="AL15" i="79"/>
  <c r="AO15" i="79" s="1"/>
  <c r="AC27" i="79"/>
  <c r="AD27" i="79" s="1"/>
  <c r="AG27" i="79" s="1"/>
  <c r="AI27" i="79" s="1"/>
  <c r="AV27" i="79" s="1"/>
  <c r="AC5" i="79"/>
  <c r="AD5" i="79" s="1"/>
  <c r="AG5" i="79" s="1"/>
  <c r="AI5" i="79" s="1"/>
  <c r="AV5" i="79" s="1"/>
  <c r="AL5" i="79"/>
  <c r="AO5" i="79" s="1"/>
  <c r="AC22" i="79"/>
  <c r="AD22" i="79" s="1"/>
  <c r="AG22" i="79" s="1"/>
  <c r="AI22" i="79" s="1"/>
  <c r="AV22" i="79" s="1"/>
  <c r="AC57" i="79"/>
  <c r="AD57" i="79" s="1"/>
  <c r="AG57" i="79" s="1"/>
  <c r="AI57" i="79" s="1"/>
  <c r="AV57" i="79" s="1"/>
  <c r="AC13" i="79"/>
  <c r="AD13" i="79" s="1"/>
  <c r="AG13" i="79" s="1"/>
  <c r="AI13" i="79" s="1"/>
  <c r="AV13" i="79" s="1"/>
  <c r="AL53" i="79"/>
  <c r="AO53" i="79" s="1"/>
  <c r="AC36" i="79"/>
  <c r="AD36" i="79" s="1"/>
  <c r="AG36" i="79" s="1"/>
  <c r="AI36" i="79" s="1"/>
  <c r="AV36" i="79" s="1"/>
  <c r="AL13" i="79"/>
  <c r="I32" i="118" s="1"/>
  <c r="AL39" i="79"/>
  <c r="AO39" i="79" s="1"/>
  <c r="AC39" i="79"/>
  <c r="AD39" i="79" s="1"/>
  <c r="AG39" i="79" s="1"/>
  <c r="AI39" i="79" s="1"/>
  <c r="AJ39" i="79" s="1"/>
  <c r="K49" i="118" s="1"/>
  <c r="AL10" i="79"/>
  <c r="AL12" i="79"/>
  <c r="AO12" i="79" s="1"/>
  <c r="AJ13" i="79"/>
  <c r="K32" i="118" s="1"/>
  <c r="I48" i="118"/>
  <c r="AO41" i="79"/>
  <c r="I19" i="118"/>
  <c r="AO46" i="79"/>
  <c r="AO9" i="79"/>
  <c r="I12" i="118"/>
  <c r="AJ5" i="79"/>
  <c r="K8" i="118" s="1"/>
  <c r="I36" i="118"/>
  <c r="AV51" i="79"/>
  <c r="AJ51" i="79"/>
  <c r="K22" i="118" s="1"/>
  <c r="AO16" i="79"/>
  <c r="I41" i="118"/>
  <c r="AC18" i="79"/>
  <c r="AD18" i="79" s="1"/>
  <c r="AG18" i="79" s="1"/>
  <c r="AI18" i="79" s="1"/>
  <c r="AO47" i="79"/>
  <c r="I23" i="118"/>
  <c r="I49" i="118"/>
  <c r="AL21" i="79"/>
  <c r="AC21" i="79"/>
  <c r="AD21" i="79" s="1"/>
  <c r="AG21" i="79" s="1"/>
  <c r="AI21" i="79" s="1"/>
  <c r="AJ19" i="79"/>
  <c r="K44" i="118" s="1"/>
  <c r="AO45" i="79"/>
  <c r="I34" i="118"/>
  <c r="I13" i="118"/>
  <c r="I45" i="118"/>
  <c r="AO20" i="79"/>
  <c r="AV56" i="79"/>
  <c r="AJ42" i="79"/>
  <c r="K18" i="118" s="1"/>
  <c r="AV42" i="79"/>
  <c r="AJ4" i="79"/>
  <c r="K7" i="118" s="1"/>
  <c r="AV4" i="79"/>
  <c r="AJ30" i="79"/>
  <c r="K58" i="118" s="1"/>
  <c r="AV30" i="79"/>
  <c r="AJ23" i="79"/>
  <c r="K59" i="118" s="1"/>
  <c r="AV23" i="79"/>
  <c r="AO44" i="79"/>
  <c r="I51" i="118"/>
  <c r="AJ50" i="79"/>
  <c r="K15" i="118" s="1"/>
  <c r="AV50" i="79"/>
  <c r="AJ14" i="79"/>
  <c r="K33" i="118" s="1"/>
  <c r="AV14" i="79"/>
  <c r="I42" i="118"/>
  <c r="AO23" i="79"/>
  <c r="I59" i="118"/>
  <c r="AJ28" i="79"/>
  <c r="K37" i="118" s="1"/>
  <c r="AV28" i="79"/>
  <c r="AO50" i="79"/>
  <c r="I15" i="118"/>
  <c r="AJ44" i="79"/>
  <c r="K51" i="118" s="1"/>
  <c r="AV44" i="79"/>
  <c r="AJ58" i="79"/>
  <c r="AV58" i="79"/>
  <c r="AJ15" i="79"/>
  <c r="K35" i="118" s="1"/>
  <c r="AV15" i="79"/>
  <c r="AO19" i="79"/>
  <c r="I38" i="118"/>
  <c r="AO34" i="79"/>
  <c r="AV55" i="79"/>
  <c r="I28" i="118"/>
  <c r="AO31" i="79"/>
  <c r="AV31" i="79"/>
  <c r="AJ31" i="79"/>
  <c r="K28" i="118" s="1"/>
  <c r="AO14" i="79"/>
  <c r="AV20" i="79"/>
  <c r="AJ20" i="79"/>
  <c r="K45" i="118" s="1"/>
  <c r="AV40" i="79"/>
  <c r="AJ40" i="79"/>
  <c r="K39" i="118" s="1"/>
  <c r="AV17" i="79"/>
  <c r="AJ17" i="79"/>
  <c r="K42" i="118" s="1"/>
  <c r="AO54" i="79"/>
  <c r="I47" i="118"/>
  <c r="AJ16" i="79"/>
  <c r="K41" i="118" s="1"/>
  <c r="AV16" i="79"/>
  <c r="AV9" i="79"/>
  <c r="AJ9" i="79"/>
  <c r="K12" i="118" s="1"/>
  <c r="I25" i="118"/>
  <c r="AO8" i="79"/>
  <c r="AJ54" i="79"/>
  <c r="K47" i="118" s="1"/>
  <c r="AV54" i="79"/>
  <c r="AV53" i="79"/>
  <c r="AJ53" i="79"/>
  <c r="K16" i="118" s="1"/>
  <c r="AJ47" i="79"/>
  <c r="K23" i="118" s="1"/>
  <c r="AV47" i="79"/>
  <c r="AJ45" i="79"/>
  <c r="K34" i="118" s="1"/>
  <c r="AV45" i="79"/>
  <c r="I24" i="118"/>
  <c r="AV12" i="79"/>
  <c r="I39" i="118"/>
  <c r="AO40" i="79"/>
  <c r="AJ33" i="79"/>
  <c r="K53" i="118" s="1"/>
  <c r="AV33" i="79"/>
  <c r="AJ25" i="79"/>
  <c r="K50" i="118" s="1"/>
  <c r="AV25" i="79"/>
  <c r="AO43" i="79"/>
  <c r="I14" i="118"/>
  <c r="I22" i="118"/>
  <c r="AO51" i="79"/>
  <c r="AO32" i="79"/>
  <c r="I27" i="118"/>
  <c r="I52" i="118"/>
  <c r="I6" i="118"/>
  <c r="AO6" i="79"/>
  <c r="AO42" i="79"/>
  <c r="I18" i="118"/>
  <c r="I37" i="118"/>
  <c r="AO28" i="79"/>
  <c r="I58" i="118"/>
  <c r="AO30" i="79"/>
  <c r="AJ6" i="79"/>
  <c r="K6" i="118" s="1"/>
  <c r="AV6" i="79"/>
  <c r="I53" i="118"/>
  <c r="AO33" i="79"/>
  <c r="AO56" i="79"/>
  <c r="I57" i="118"/>
  <c r="I50" i="118"/>
  <c r="I20" i="118"/>
  <c r="AO49" i="79"/>
  <c r="I7" i="118"/>
  <c r="AO4" i="79"/>
  <c r="AJ26" i="79"/>
  <c r="K46" i="118" s="1"/>
  <c r="AV26" i="79"/>
  <c r="AJ7" i="79"/>
  <c r="K9" i="118" s="1"/>
  <c r="AV7" i="79"/>
  <c r="AJ32" i="79"/>
  <c r="K27" i="118" s="1"/>
  <c r="AV32" i="79"/>
  <c r="AJ34" i="79"/>
  <c r="K38" i="118" s="1"/>
  <c r="AV34" i="79"/>
  <c r="AO10" i="79"/>
  <c r="I26" i="118"/>
  <c r="AV48" i="79" l="1"/>
  <c r="AO22" i="79"/>
  <c r="AJ24" i="79"/>
  <c r="K30" i="118" s="1"/>
  <c r="I43" i="118"/>
  <c r="AV39" i="79"/>
  <c r="BG39" i="79" s="1"/>
  <c r="I8" i="118"/>
  <c r="AJ37" i="79"/>
  <c r="K36" i="118" s="1"/>
  <c r="AV52" i="79"/>
  <c r="AO13" i="79"/>
  <c r="I16" i="118"/>
  <c r="I31" i="118"/>
  <c r="AO26" i="79"/>
  <c r="I17" i="118"/>
  <c r="AV43" i="79"/>
  <c r="I9" i="118"/>
  <c r="AO11" i="79"/>
  <c r="AO36" i="79"/>
  <c r="I5" i="118"/>
  <c r="AJ57" i="79"/>
  <c r="K21" i="118" s="1"/>
  <c r="AO24" i="79"/>
  <c r="AJ22" i="79"/>
  <c r="K55" i="118" s="1"/>
  <c r="I21" i="118"/>
  <c r="AJ11" i="79"/>
  <c r="K29" i="118" s="1"/>
  <c r="AV8" i="79"/>
  <c r="BC8" i="79" s="1"/>
  <c r="AJ41" i="79"/>
  <c r="K19" i="118" s="1"/>
  <c r="AJ38" i="79"/>
  <c r="K13" i="118" s="1"/>
  <c r="I40" i="118"/>
  <c r="AV35" i="79"/>
  <c r="BC35" i="79" s="1"/>
  <c r="AV49" i="79"/>
  <c r="E20" i="118" s="1"/>
  <c r="AJ46" i="79"/>
  <c r="K11" i="118" s="1"/>
  <c r="AJ27" i="79"/>
  <c r="K40" i="118" s="1"/>
  <c r="AV10" i="79"/>
  <c r="BG10" i="79" s="1"/>
  <c r="AD62" i="79"/>
  <c r="AJ36" i="79"/>
  <c r="K56" i="118" s="1"/>
  <c r="AJ29" i="79"/>
  <c r="K24" i="118" s="1"/>
  <c r="I35" i="118"/>
  <c r="AG60" i="79"/>
  <c r="BG53" i="79"/>
  <c r="BH53" i="79"/>
  <c r="E16" i="118"/>
  <c r="BC53" i="79"/>
  <c r="BC9" i="79"/>
  <c r="BG9" i="79"/>
  <c r="E12" i="118"/>
  <c r="BH9" i="79"/>
  <c r="E55" i="118"/>
  <c r="BG22" i="79"/>
  <c r="BC22" i="79"/>
  <c r="BH22" i="79"/>
  <c r="BC17" i="79"/>
  <c r="BH17" i="79"/>
  <c r="E42" i="118"/>
  <c r="BG17" i="79"/>
  <c r="BI17" i="79" s="1"/>
  <c r="E39" i="118"/>
  <c r="BC40" i="79"/>
  <c r="BG40" i="79"/>
  <c r="BH40" i="79"/>
  <c r="E45" i="118"/>
  <c r="BG20" i="79"/>
  <c r="BH20" i="79"/>
  <c r="BC20" i="79"/>
  <c r="E56" i="118"/>
  <c r="BG36" i="79"/>
  <c r="BH36" i="79"/>
  <c r="BC36" i="79"/>
  <c r="E28" i="118"/>
  <c r="BC31" i="79"/>
  <c r="BG31" i="79"/>
  <c r="BH31" i="79"/>
  <c r="E10" i="118"/>
  <c r="BG8" i="79"/>
  <c r="AO21" i="79"/>
  <c r="I54" i="118"/>
  <c r="BG5" i="79"/>
  <c r="E8" i="118"/>
  <c r="BC5" i="79"/>
  <c r="BH5" i="79"/>
  <c r="BC38" i="79"/>
  <c r="E13" i="118"/>
  <c r="BH38" i="79"/>
  <c r="BG38" i="79"/>
  <c r="BG46" i="79"/>
  <c r="E11" i="118"/>
  <c r="BC46" i="79"/>
  <c r="BH46" i="79"/>
  <c r="BH24" i="79"/>
  <c r="E30" i="118"/>
  <c r="BC24" i="79"/>
  <c r="BG24" i="79"/>
  <c r="E24" i="118"/>
  <c r="BC29" i="79"/>
  <c r="BG29" i="79"/>
  <c r="BH29" i="79"/>
  <c r="BH27" i="79"/>
  <c r="BC27" i="79"/>
  <c r="E40" i="118"/>
  <c r="BG27" i="79"/>
  <c r="E32" i="118"/>
  <c r="BC13" i="79"/>
  <c r="BH13" i="79"/>
  <c r="BG13" i="79"/>
  <c r="BC10" i="79"/>
  <c r="E26" i="118"/>
  <c r="BH34" i="79"/>
  <c r="BC34" i="79"/>
  <c r="E38" i="118"/>
  <c r="BG34" i="79"/>
  <c r="BH32" i="79"/>
  <c r="BG32" i="79"/>
  <c r="E27" i="118"/>
  <c r="BC32" i="79"/>
  <c r="E9" i="118"/>
  <c r="BG7" i="79"/>
  <c r="BC7" i="79"/>
  <c r="BH7" i="79"/>
  <c r="E46" i="118"/>
  <c r="BH26" i="79"/>
  <c r="BC26" i="79"/>
  <c r="BG26" i="79"/>
  <c r="BI26" i="79" s="1"/>
  <c r="BG6" i="79"/>
  <c r="BC6" i="79"/>
  <c r="E6" i="118"/>
  <c r="BH6" i="79"/>
  <c r="E50" i="118"/>
  <c r="BC25" i="79"/>
  <c r="BH25" i="79"/>
  <c r="BG25" i="79"/>
  <c r="BG33" i="79"/>
  <c r="BC33" i="79"/>
  <c r="E53" i="118"/>
  <c r="BH33" i="79"/>
  <c r="BG12" i="79"/>
  <c r="BH12" i="79"/>
  <c r="E31" i="118"/>
  <c r="BC12" i="79"/>
  <c r="E34" i="118"/>
  <c r="BH45" i="79"/>
  <c r="BC45" i="79"/>
  <c r="BG45" i="79"/>
  <c r="BI45" i="79" s="1"/>
  <c r="BH47" i="79"/>
  <c r="BG47" i="79"/>
  <c r="E23" i="118"/>
  <c r="BC47" i="79"/>
  <c r="E47" i="118"/>
  <c r="BC54" i="79"/>
  <c r="BG54" i="79"/>
  <c r="BH54" i="79"/>
  <c r="BC39" i="79"/>
  <c r="E49" i="118"/>
  <c r="BH16" i="79"/>
  <c r="BG16" i="79"/>
  <c r="BC16" i="79"/>
  <c r="E41" i="118"/>
  <c r="BG55" i="79"/>
  <c r="BH55" i="79"/>
  <c r="E25" i="118"/>
  <c r="BC55" i="79"/>
  <c r="BC48" i="79"/>
  <c r="E5" i="118"/>
  <c r="BH48" i="79"/>
  <c r="BG48" i="79"/>
  <c r="E35" i="118"/>
  <c r="BC15" i="79"/>
  <c r="BH15" i="79"/>
  <c r="BG15" i="79"/>
  <c r="BG58" i="79"/>
  <c r="BC58" i="79"/>
  <c r="BH58" i="79"/>
  <c r="BG35" i="79"/>
  <c r="E52" i="118"/>
  <c r="BC44" i="79"/>
  <c r="BH44" i="79"/>
  <c r="E51" i="118"/>
  <c r="BG44" i="79"/>
  <c r="BI44" i="79" s="1"/>
  <c r="E37" i="118"/>
  <c r="BH28" i="79"/>
  <c r="BC28" i="79"/>
  <c r="BG28" i="79"/>
  <c r="BI28" i="79" s="1"/>
  <c r="E14" i="118"/>
  <c r="BC43" i="79"/>
  <c r="BG43" i="79"/>
  <c r="BH43" i="79"/>
  <c r="E33" i="118"/>
  <c r="BC14" i="79"/>
  <c r="BG14" i="79"/>
  <c r="BH14" i="79"/>
  <c r="BG50" i="79"/>
  <c r="BC50" i="79"/>
  <c r="E15" i="118"/>
  <c r="BH50" i="79"/>
  <c r="E59" i="118"/>
  <c r="BG23" i="79"/>
  <c r="BH23" i="79"/>
  <c r="BC23" i="79"/>
  <c r="BH30" i="79"/>
  <c r="BG30" i="79"/>
  <c r="E58" i="118"/>
  <c r="BC30" i="79"/>
  <c r="E7" i="118"/>
  <c r="BH4" i="79"/>
  <c r="BC4" i="79"/>
  <c r="BG4" i="79"/>
  <c r="BI4" i="79" s="1"/>
  <c r="E18" i="118"/>
  <c r="BH42" i="79"/>
  <c r="BC42" i="79"/>
  <c r="BG42" i="79"/>
  <c r="BC56" i="79"/>
  <c r="BH56" i="79"/>
  <c r="E57" i="118"/>
  <c r="BG56" i="79"/>
  <c r="BI56" i="79" s="1"/>
  <c r="BG11" i="79"/>
  <c r="BH11" i="79"/>
  <c r="E29" i="118"/>
  <c r="BC11" i="79"/>
  <c r="BC37" i="79"/>
  <c r="BG37" i="79"/>
  <c r="E36" i="118"/>
  <c r="BH37" i="79"/>
  <c r="E48" i="118"/>
  <c r="BG52" i="79"/>
  <c r="BH52" i="79"/>
  <c r="BC52" i="79"/>
  <c r="BG19" i="79"/>
  <c r="BC19" i="79"/>
  <c r="E44" i="118"/>
  <c r="BH19" i="79"/>
  <c r="AV21" i="79"/>
  <c r="AJ21" i="79"/>
  <c r="K54" i="118" s="1"/>
  <c r="BC57" i="79"/>
  <c r="BG57" i="79"/>
  <c r="E21" i="118"/>
  <c r="BH57" i="79"/>
  <c r="AJ18" i="79"/>
  <c r="K43" i="118" s="1"/>
  <c r="AV18" i="79"/>
  <c r="E19" i="118"/>
  <c r="BH41" i="79"/>
  <c r="BC41" i="79"/>
  <c r="BG41" i="79"/>
  <c r="BI41" i="79" s="1"/>
  <c r="E22" i="118"/>
  <c r="BC51" i="79"/>
  <c r="BG51" i="79"/>
  <c r="BH51" i="79"/>
  <c r="BH39" i="79" l="1"/>
  <c r="BG49" i="79"/>
  <c r="BH49" i="79"/>
  <c r="BC49" i="79"/>
  <c r="BI42" i="79"/>
  <c r="BH35" i="79"/>
  <c r="BH10" i="79"/>
  <c r="BH8" i="79"/>
  <c r="BD131" i="140"/>
  <c r="AN131" i="140"/>
  <c r="BC131" i="140"/>
  <c r="AV131" i="140"/>
  <c r="AT131" i="140"/>
  <c r="M131" i="140"/>
  <c r="AH131" i="140"/>
  <c r="Z131" i="140"/>
  <c r="G131" i="140"/>
  <c r="AA131" i="140"/>
  <c r="H131" i="140"/>
  <c r="AG131" i="140"/>
  <c r="AI131" i="140"/>
  <c r="K131" i="140"/>
  <c r="N131" i="140"/>
  <c r="AB131" i="140"/>
  <c r="AD131" i="140"/>
  <c r="AX131" i="140"/>
  <c r="I131" i="140"/>
  <c r="AF131" i="140"/>
  <c r="AK131" i="140"/>
  <c r="U131" i="140"/>
  <c r="AO131" i="140"/>
  <c r="R131" i="140"/>
  <c r="W131" i="140"/>
  <c r="J131" i="140"/>
  <c r="BB131" i="140"/>
  <c r="AJ131" i="140"/>
  <c r="P131" i="140"/>
  <c r="AZ131" i="140"/>
  <c r="AP131" i="140"/>
  <c r="BF131" i="140"/>
  <c r="T131" i="140"/>
  <c r="BA131" i="140"/>
  <c r="AL131" i="140"/>
  <c r="L131" i="140"/>
  <c r="BE131" i="140"/>
  <c r="AQ131" i="140"/>
  <c r="E131" i="140"/>
  <c r="AE131" i="140"/>
  <c r="X131" i="140"/>
  <c r="AY131" i="140"/>
  <c r="O131" i="140"/>
  <c r="AR131" i="140"/>
  <c r="AC131" i="140"/>
  <c r="AS131" i="140"/>
  <c r="AW131" i="140"/>
  <c r="Q131" i="140"/>
  <c r="Y131" i="140"/>
  <c r="AU131" i="140"/>
  <c r="AM131" i="140"/>
  <c r="F131" i="140"/>
  <c r="BI5" i="79"/>
  <c r="BI8" i="79"/>
  <c r="BI31" i="79"/>
  <c r="BI40" i="79"/>
  <c r="BI52" i="79"/>
  <c r="BI30" i="79"/>
  <c r="BI23" i="79"/>
  <c r="BI35" i="79"/>
  <c r="BI55" i="79"/>
  <c r="BI54" i="79"/>
  <c r="BI12" i="79"/>
  <c r="BI33" i="79"/>
  <c r="BI6" i="79"/>
  <c r="E43" i="118"/>
  <c r="BG18" i="79"/>
  <c r="BC18" i="79"/>
  <c r="BH18" i="79"/>
  <c r="BI57" i="79"/>
  <c r="BI37" i="79"/>
  <c r="BI51" i="79"/>
  <c r="BC21" i="79"/>
  <c r="BH21" i="79"/>
  <c r="E54" i="118"/>
  <c r="BG21" i="79"/>
  <c r="BI19" i="79"/>
  <c r="BI11" i="79"/>
  <c r="BI50" i="79"/>
  <c r="BI14" i="79"/>
  <c r="BI43" i="79"/>
  <c r="BI15" i="79"/>
  <c r="BI48" i="79"/>
  <c r="BI16" i="79"/>
  <c r="BI39" i="79"/>
  <c r="BI47" i="79"/>
  <c r="BI25" i="79"/>
  <c r="BI7" i="79"/>
  <c r="BI32" i="79"/>
  <c r="BI34" i="79"/>
  <c r="BI10" i="79"/>
  <c r="BI13" i="79"/>
  <c r="BI27" i="79"/>
  <c r="BI29" i="79"/>
  <c r="BI24" i="79"/>
  <c r="BI46" i="79"/>
  <c r="BI38" i="79"/>
  <c r="BI36" i="79"/>
  <c r="BI20" i="79"/>
  <c r="BI22" i="79"/>
  <c r="BI9" i="79"/>
  <c r="BI58" i="79"/>
  <c r="BI53" i="79"/>
  <c r="AJ3" i="79"/>
  <c r="AV3" i="79"/>
  <c r="BI49" i="79" l="1"/>
  <c r="BI21" i="79"/>
  <c r="V131" i="140"/>
  <c r="S131" i="140"/>
  <c r="BI18" i="79"/>
  <c r="E17" i="118"/>
  <c r="BH3" i="79"/>
  <c r="BC3" i="79"/>
  <c r="BC59" i="79" s="1"/>
  <c r="BG3" i="79"/>
  <c r="BI3" i="79" s="1"/>
  <c r="K17" i="118"/>
  <c r="D131" i="140" l="1"/>
  <c r="J17" i="146" s="1"/>
  <c r="J18" i="146" s="1"/>
  <c r="BC60" i="79"/>
  <c r="K17" i="146" l="1"/>
  <c r="K18" i="146"/>
  <c r="J19" i="146"/>
  <c r="J20" i="146" l="1"/>
  <c r="K19" i="146"/>
  <c r="J21" i="146" l="1"/>
  <c r="K20" i="146"/>
  <c r="J25" i="146" l="1"/>
  <c r="K25" i="146" s="1"/>
  <c r="K21" i="146"/>
  <c r="K27" i="146" l="1"/>
  <c r="G10" i="144" s="1"/>
  <c r="G15" i="144" s="1"/>
  <c r="G19" i="144" s="1"/>
  <c r="G22" i="144" s="1"/>
  <c r="G25" i="144" s="1"/>
  <c r="G29" i="144" s="1"/>
  <c r="G35" i="144" s="1"/>
</calcChain>
</file>

<file path=xl/comments1.xml><?xml version="1.0" encoding="utf-8"?>
<comments xmlns="http://schemas.openxmlformats.org/spreadsheetml/2006/main">
  <authors>
    <author>BackUp</author>
  </authors>
  <commentList>
    <comment ref="H12" authorId="0">
      <text>
        <r>
          <rPr>
            <b/>
            <sz val="9"/>
            <color indexed="81"/>
            <rFont val="Tahoma"/>
            <family val="2"/>
          </rPr>
          <t>BackUp:</t>
        </r>
        <r>
          <rPr>
            <sz val="9"/>
            <color indexed="81"/>
            <rFont val="Tahoma"/>
            <family val="2"/>
          </rPr>
          <t xml:space="preserve">
לפי הסכם</t>
        </r>
      </text>
    </comment>
    <comment ref="K54" authorId="0">
      <text>
        <r>
          <rPr>
            <b/>
            <sz val="9"/>
            <color indexed="81"/>
            <rFont val="Tahoma"/>
            <family val="2"/>
          </rPr>
          <t>BackUp:</t>
        </r>
        <r>
          <rPr>
            <sz val="9"/>
            <color indexed="81"/>
            <rFont val="Tahoma"/>
            <family val="2"/>
          </rPr>
          <t xml:space="preserve">
תוספת עבור הרכיב ההוני</t>
        </r>
      </text>
    </comment>
    <comment ref="L55" authorId="0">
      <text>
        <r>
          <rPr>
            <b/>
            <sz val="9"/>
            <color indexed="81"/>
            <rFont val="Tahoma"/>
            <family val="2"/>
          </rPr>
          <t>BackUp:</t>
        </r>
        <r>
          <rPr>
            <sz val="9"/>
            <color indexed="81"/>
            <rFont val="Tahoma"/>
            <family val="2"/>
          </rPr>
          <t xml:space="preserve">
תוספת עבור הרכיב ההוני לאיילון</t>
        </r>
      </text>
    </comment>
    <comment ref="K58" authorId="0">
      <text>
        <r>
          <rPr>
            <b/>
            <sz val="9"/>
            <color indexed="81"/>
            <rFont val="Tahoma"/>
            <family val="2"/>
          </rPr>
          <t>BackUp:</t>
        </r>
        <r>
          <rPr>
            <sz val="9"/>
            <color indexed="81"/>
            <rFont val="Tahoma"/>
            <family val="2"/>
          </rPr>
          <t xml:space="preserve">
בהתאם לתוספת קווי הולכת ביוב</t>
        </r>
      </text>
    </comment>
    <comment ref="K65" authorId="0">
      <text>
        <r>
          <rPr>
            <b/>
            <sz val="9"/>
            <color indexed="81"/>
            <rFont val="Tahoma"/>
            <family val="2"/>
          </rPr>
          <t>BackUp:</t>
        </r>
        <r>
          <rPr>
            <sz val="9"/>
            <color indexed="81"/>
            <rFont val="Tahoma"/>
            <family val="2"/>
          </rPr>
          <t xml:space="preserve">
בתוספת קווי הולכה לביוב</t>
        </r>
      </text>
    </comment>
    <comment ref="K76" authorId="0">
      <text>
        <r>
          <rPr>
            <b/>
            <sz val="9"/>
            <color indexed="81"/>
            <rFont val="Tahoma"/>
            <family val="2"/>
          </rPr>
          <t>BackUp:</t>
        </r>
        <r>
          <rPr>
            <sz val="9"/>
            <color indexed="81"/>
            <rFont val="Tahoma"/>
            <family val="2"/>
          </rPr>
          <t xml:space="preserve">
תוספת חד פעמית של 3 אגורות  בגין מעבר לשלישוני 2013</t>
        </r>
      </text>
    </comment>
    <comment ref="K77" authorId="0">
      <text>
        <r>
          <rPr>
            <b/>
            <sz val="9"/>
            <color indexed="81"/>
            <rFont val="Tahoma"/>
            <family val="2"/>
          </rPr>
          <t>BackUp:</t>
        </r>
        <r>
          <rPr>
            <sz val="9"/>
            <color indexed="81"/>
            <rFont val="Tahoma"/>
            <family val="2"/>
          </rPr>
          <t xml:space="preserve">
בהתאם לתוספת קווי ביוב</t>
        </r>
      </text>
    </comment>
    <comment ref="K81" authorId="0">
      <text>
        <r>
          <rPr>
            <b/>
            <sz val="9"/>
            <color indexed="81"/>
            <rFont val="Tahoma"/>
            <family val="2"/>
          </rPr>
          <t>BackUp:</t>
        </r>
        <r>
          <rPr>
            <sz val="9"/>
            <color indexed="81"/>
            <rFont val="Tahoma"/>
            <family val="2"/>
          </rPr>
          <t xml:space="preserve">
תוספת קווי הולכה למט"ש בסך 0.28 ₪ ובניכוי 0.1 ₪ שהוכרו לאיגוד ערים כרמיאל בגין קווי הולכה</t>
        </r>
      </text>
    </comment>
    <comment ref="H124" authorId="0">
      <text>
        <r>
          <rPr>
            <b/>
            <sz val="9"/>
            <color indexed="81"/>
            <rFont val="Tahoma"/>
            <family val="2"/>
          </rPr>
          <t>BackUp:</t>
        </r>
        <r>
          <rPr>
            <sz val="9"/>
            <color indexed="81"/>
            <rFont val="Tahoma"/>
            <family val="2"/>
          </rPr>
          <t xml:space="preserve">
</t>
        </r>
      </text>
    </comment>
    <comment ref="D132" authorId="0">
      <text>
        <r>
          <rPr>
            <b/>
            <sz val="9"/>
            <color indexed="81"/>
            <rFont val="Tahoma"/>
            <family val="2"/>
          </rPr>
          <t>BackUp:</t>
        </r>
        <r>
          <rPr>
            <sz val="9"/>
            <color indexed="81"/>
            <rFont val="Tahoma"/>
            <family val="2"/>
          </rPr>
          <t xml:space="preserve">
לפי הכמויות המוכרות בכללים במכפלת האחוז למט"ש</t>
        </r>
      </text>
    </comment>
    <comment ref="I132" authorId="0">
      <text>
        <r>
          <rPr>
            <b/>
            <sz val="9"/>
            <color indexed="81"/>
            <rFont val="Tahoma"/>
            <family val="2"/>
          </rPr>
          <t>BackUp:</t>
        </r>
        <r>
          <rPr>
            <sz val="9"/>
            <color indexed="81"/>
            <rFont val="Tahoma"/>
            <family val="2"/>
          </rPr>
          <t xml:space="preserve">
הכמויות בהתאם לאישור משפדן</t>
        </r>
      </text>
    </comment>
    <comment ref="D135" authorId="0">
      <text>
        <r>
          <rPr>
            <b/>
            <sz val="9"/>
            <color indexed="81"/>
            <rFont val="Tahoma"/>
            <family val="2"/>
          </rPr>
          <t>BackUp:</t>
        </r>
        <r>
          <rPr>
            <sz val="9"/>
            <color indexed="81"/>
            <rFont val="Tahoma"/>
            <family val="2"/>
          </rPr>
          <t xml:space="preserve">
לפי הכמות המוכרת בכללים במכפלת המט"ש</t>
        </r>
      </text>
    </comment>
    <comment ref="I136" authorId="0">
      <text>
        <r>
          <rPr>
            <b/>
            <sz val="9"/>
            <color indexed="81"/>
            <rFont val="Tahoma"/>
            <family val="2"/>
          </rPr>
          <t>BackUp:</t>
        </r>
        <r>
          <rPr>
            <sz val="9"/>
            <color indexed="81"/>
            <rFont val="Tahoma"/>
            <family val="2"/>
          </rPr>
          <t xml:space="preserve">
בניטרול כמויות קיבוץ עינת וגבעת השלושה</t>
        </r>
      </text>
    </comment>
  </commentList>
</comments>
</file>

<file path=xl/comments2.xml><?xml version="1.0" encoding="utf-8"?>
<comments xmlns="http://schemas.openxmlformats.org/spreadsheetml/2006/main">
  <authors>
    <author>BackUp</author>
  </authors>
  <commentList>
    <comment ref="H15" authorId="0">
      <text>
        <r>
          <rPr>
            <b/>
            <sz val="9"/>
            <color indexed="81"/>
            <rFont val="Tahoma"/>
            <family val="2"/>
          </rPr>
          <t>BackUp:</t>
        </r>
        <r>
          <rPr>
            <sz val="9"/>
            <color indexed="81"/>
            <rFont val="Tahoma"/>
            <family val="2"/>
          </rPr>
          <t xml:space="preserve">
הורדת כמויות רשפ ורמאללה
</t>
        </r>
      </text>
    </comment>
  </commentList>
</comments>
</file>

<file path=xl/comments3.xml><?xml version="1.0" encoding="utf-8"?>
<comments xmlns="http://schemas.openxmlformats.org/spreadsheetml/2006/main">
  <authors>
    <author>Itzhaky Shiran</author>
  </authors>
  <commentList>
    <comment ref="S14" authorId="0">
      <text>
        <r>
          <rPr>
            <b/>
            <sz val="8"/>
            <color indexed="81"/>
            <rFont val="Tahoma"/>
            <family val="2"/>
          </rPr>
          <t>Itzhaky Shiran:</t>
        </r>
        <r>
          <rPr>
            <sz val="8"/>
            <color indexed="81"/>
            <rFont val="Tahoma"/>
            <family val="2"/>
          </rPr>
          <t xml:space="preserve">
תעריף מקורות במינוס-תעריף חלוקה אחר
</t>
        </r>
      </text>
    </comment>
  </commentList>
</comments>
</file>

<file path=xl/comments4.xml><?xml version="1.0" encoding="utf-8"?>
<comments xmlns="http://schemas.openxmlformats.org/spreadsheetml/2006/main">
  <authors>
    <author>BackUp</author>
    <author>shiran itzhaky</author>
  </authors>
  <commentList>
    <comment ref="L211" authorId="0">
      <text>
        <r>
          <rPr>
            <b/>
            <sz val="9"/>
            <color indexed="81"/>
            <rFont val="Tahoma"/>
            <family val="2"/>
          </rPr>
          <t>BackUp:</t>
        </r>
        <r>
          <rPr>
            <sz val="9"/>
            <color indexed="81"/>
            <rFont val="Tahoma"/>
            <family val="2"/>
          </rPr>
          <t xml:space="preserve">
צינורות ותחנת שאיבה לשנת 2009</t>
        </r>
      </text>
    </comment>
    <comment ref="D215" authorId="0">
      <text>
        <r>
          <rPr>
            <b/>
            <sz val="9"/>
            <color indexed="81"/>
            <rFont val="Tahoma"/>
            <family val="2"/>
          </rPr>
          <t>BackUp:</t>
        </r>
        <r>
          <rPr>
            <sz val="9"/>
            <color indexed="81"/>
            <rFont val="Tahoma"/>
            <family val="2"/>
          </rPr>
          <t xml:space="preserve">
ניטרול רכוש שאינו מוכר</t>
        </r>
      </text>
    </comment>
    <comment ref="I215" authorId="0">
      <text>
        <r>
          <rPr>
            <b/>
            <sz val="9"/>
            <color indexed="81"/>
            <rFont val="Tahoma"/>
            <family val="2"/>
          </rPr>
          <t>BackUp:</t>
        </r>
        <r>
          <rPr>
            <sz val="9"/>
            <color indexed="81"/>
            <rFont val="Tahoma"/>
            <family val="2"/>
          </rPr>
          <t xml:space="preserve">
חוסר התאמה בין הרשום בדוח הכספי לבין ביאור האקסל-נלקח דוח כספי</t>
        </r>
      </text>
    </comment>
    <comment ref="AL223" authorId="0">
      <text>
        <r>
          <rPr>
            <b/>
            <sz val="9"/>
            <color indexed="81"/>
            <rFont val="Tahoma"/>
            <family val="2"/>
          </rPr>
          <t>BackUp:</t>
        </r>
        <r>
          <rPr>
            <sz val="9"/>
            <color indexed="81"/>
            <rFont val="Tahoma"/>
            <family val="2"/>
          </rPr>
          <t xml:space="preserve">
הרכוש כולל גמר הנדסי המצויין בביאור 9(א)1 לדוחות 2012</t>
        </r>
      </text>
    </comment>
    <comment ref="S242" authorId="0">
      <text>
        <r>
          <rPr>
            <b/>
            <sz val="9"/>
            <color indexed="81"/>
            <rFont val="Tahoma"/>
            <family val="2"/>
          </rPr>
          <t>BackUp:</t>
        </r>
        <r>
          <rPr>
            <sz val="9"/>
            <color indexed="81"/>
            <rFont val="Tahoma"/>
            <family val="2"/>
          </rPr>
          <t xml:space="preserve">
מקדמה לשכונת אחיסמך</t>
        </r>
      </text>
    </comment>
    <comment ref="AM242" authorId="0">
      <text>
        <r>
          <rPr>
            <b/>
            <sz val="9"/>
            <color indexed="81"/>
            <rFont val="Tahoma"/>
            <family val="2"/>
          </rPr>
          <t>BackUp:</t>
        </r>
        <r>
          <rPr>
            <sz val="9"/>
            <color indexed="81"/>
            <rFont val="Tahoma"/>
            <family val="2"/>
          </rPr>
          <t xml:space="preserve">
מקדמה על חשבון  89 א'תשלום פרויקט 267 ו</t>
        </r>
      </text>
    </comment>
    <comment ref="AL260" authorId="0">
      <text>
        <r>
          <rPr>
            <b/>
            <sz val="9"/>
            <color indexed="81"/>
            <rFont val="Tahoma"/>
            <family val="2"/>
          </rPr>
          <t>BackUp:</t>
        </r>
        <r>
          <rPr>
            <sz val="9"/>
            <color indexed="81"/>
            <rFont val="Tahoma"/>
            <family val="2"/>
          </rPr>
          <t xml:space="preserve">
הרכוש כולל גמר הנדסי המצויין בביאור 9(א)1 לדוחות 2012</t>
        </r>
      </text>
    </comment>
    <comment ref="S279" authorId="0">
      <text>
        <r>
          <rPr>
            <b/>
            <sz val="9"/>
            <color indexed="81"/>
            <rFont val="Tahoma"/>
            <family val="2"/>
          </rPr>
          <t>BackUp:</t>
        </r>
        <r>
          <rPr>
            <sz val="9"/>
            <color indexed="81"/>
            <rFont val="Tahoma"/>
            <family val="2"/>
          </rPr>
          <t xml:space="preserve">
מקדמה לשכונת אחיסמך</t>
        </r>
      </text>
    </comment>
    <comment ref="V299" authorId="0">
      <text>
        <r>
          <rPr>
            <b/>
            <sz val="9"/>
            <color indexed="81"/>
            <rFont val="Tahoma"/>
            <family val="2"/>
          </rPr>
          <t>BackUp:</t>
        </r>
        <r>
          <rPr>
            <sz val="9"/>
            <color indexed="81"/>
            <rFont val="Tahoma"/>
            <family val="2"/>
          </rPr>
          <t xml:space="preserve">
אין נתונים לשנת 2009</t>
        </r>
      </text>
    </comment>
    <comment ref="R354" authorId="0">
      <text>
        <r>
          <rPr>
            <b/>
            <sz val="9"/>
            <color indexed="81"/>
            <rFont val="Tahoma"/>
            <family val="2"/>
          </rPr>
          <t>BackUp:</t>
        </r>
        <r>
          <rPr>
            <sz val="9"/>
            <color indexed="81"/>
            <rFont val="Tahoma"/>
            <family val="2"/>
          </rPr>
          <t xml:space="preserve">
בתוספת כמויות מים של מזכרת בתיה וקרית עקרון</t>
        </r>
      </text>
    </comment>
    <comment ref="AS404" authorId="1">
      <text>
        <r>
          <rPr>
            <b/>
            <sz val="9"/>
            <color indexed="81"/>
            <rFont val="Tahoma"/>
            <family val="2"/>
          </rPr>
          <t>shiran itzhaky:</t>
        </r>
        <r>
          <rPr>
            <sz val="9"/>
            <color indexed="81"/>
            <rFont val="Tahoma"/>
            <family val="2"/>
          </rPr>
          <t xml:space="preserve">
לא מופיע בנתוני מים</t>
        </r>
      </text>
    </comment>
  </commentList>
</comments>
</file>

<file path=xl/comments5.xml><?xml version="1.0" encoding="utf-8"?>
<comments xmlns="http://schemas.openxmlformats.org/spreadsheetml/2006/main">
  <authors>
    <author>BackUp</author>
  </authors>
  <commentList>
    <comment ref="AX16" authorId="0">
      <text>
        <r>
          <rPr>
            <b/>
            <sz val="9"/>
            <color indexed="81"/>
            <rFont val="Tahoma"/>
            <family val="2"/>
          </rPr>
          <t>BackUp:</t>
        </r>
        <r>
          <rPr>
            <sz val="9"/>
            <color indexed="81"/>
            <rFont val="Tahoma"/>
            <family val="2"/>
          </rPr>
          <t xml:space="preserve">
בניכוי צרכן תעשייה פטור מביוב</t>
        </r>
      </text>
    </comment>
    <comment ref="BC16" authorId="0">
      <text>
        <r>
          <rPr>
            <b/>
            <sz val="9"/>
            <color indexed="81"/>
            <rFont val="Tahoma"/>
            <family val="2"/>
          </rPr>
          <t>BackUp:</t>
        </r>
        <r>
          <rPr>
            <sz val="9"/>
            <color indexed="81"/>
            <rFont val="Tahoma"/>
            <family val="2"/>
          </rPr>
          <t xml:space="preserve">
בניכוי הפזורה הבדואית</t>
        </r>
      </text>
    </comment>
    <comment ref="BD16" authorId="0">
      <text>
        <r>
          <rPr>
            <b/>
            <sz val="9"/>
            <color indexed="81"/>
            <rFont val="Tahoma"/>
            <family val="2"/>
          </rPr>
          <t>BackUp:</t>
        </r>
        <r>
          <rPr>
            <sz val="9"/>
            <color indexed="81"/>
            <rFont val="Tahoma"/>
            <family val="2"/>
          </rPr>
          <t xml:space="preserve">
כולל כמויות ביוב כפר סבא</t>
        </r>
      </text>
    </comment>
  </commentList>
</comments>
</file>

<file path=xl/comments6.xml><?xml version="1.0" encoding="utf-8"?>
<comments xmlns="http://schemas.openxmlformats.org/spreadsheetml/2006/main">
  <authors>
    <author>BackUp</author>
  </authors>
  <commentList>
    <comment ref="CK6" authorId="0">
      <text>
        <r>
          <rPr>
            <b/>
            <sz val="9"/>
            <color indexed="81"/>
            <rFont val="Tahoma"/>
            <family val="2"/>
          </rPr>
          <t>BackUp:</t>
        </r>
        <r>
          <rPr>
            <sz val="9"/>
            <color indexed="81"/>
            <rFont val="Tahoma"/>
            <family val="2"/>
          </rPr>
          <t xml:space="preserve">
בתוספת סקר נכסים ג'ת-באישור הממונה</t>
        </r>
      </text>
    </comment>
    <comment ref="EG6" authorId="0">
      <text>
        <r>
          <rPr>
            <b/>
            <sz val="9"/>
            <color indexed="81"/>
            <rFont val="Tahoma"/>
            <family val="2"/>
          </rPr>
          <t>BackUp:</t>
        </r>
        <r>
          <rPr>
            <sz val="9"/>
            <color indexed="81"/>
            <rFont val="Tahoma"/>
            <family val="2"/>
          </rPr>
          <t xml:space="preserve">
תוספת קווי מים רמת פנקס </t>
        </r>
      </text>
    </comment>
    <comment ref="EI6" authorId="0">
      <text>
        <r>
          <rPr>
            <b/>
            <sz val="9"/>
            <color indexed="81"/>
            <rFont val="Tahoma"/>
            <family val="2"/>
          </rPr>
          <t>BackUp:</t>
        </r>
        <r>
          <rPr>
            <sz val="9"/>
            <color indexed="81"/>
            <rFont val="Tahoma"/>
            <family val="2"/>
          </rPr>
          <t xml:space="preserve">
בהפחתה של קווי קולחין</t>
        </r>
      </text>
    </comment>
    <comment ref="CK7" authorId="0">
      <text>
        <r>
          <rPr>
            <b/>
            <sz val="9"/>
            <color indexed="81"/>
            <rFont val="Tahoma"/>
            <family val="2"/>
          </rPr>
          <t>BackUp:</t>
        </r>
        <r>
          <rPr>
            <sz val="9"/>
            <color indexed="81"/>
            <rFont val="Tahoma"/>
            <family val="2"/>
          </rPr>
          <t xml:space="preserve">
בתוספת סקר נכסים ג'ת באישור הממונה</t>
        </r>
      </text>
    </comment>
    <comment ref="CK9" authorId="0">
      <text>
        <r>
          <rPr>
            <b/>
            <sz val="9"/>
            <color indexed="81"/>
            <rFont val="Tahoma"/>
            <family val="2"/>
          </rPr>
          <t>BackUp:</t>
        </r>
        <r>
          <rPr>
            <sz val="9"/>
            <color indexed="81"/>
            <rFont val="Tahoma"/>
            <family val="2"/>
          </rPr>
          <t xml:space="preserve">
בתוספת סקר נכסים ג'ת באישור הממונה</t>
        </r>
      </text>
    </comment>
    <comment ref="CK14" authorId="0">
      <text>
        <r>
          <rPr>
            <b/>
            <sz val="9"/>
            <color indexed="81"/>
            <rFont val="Tahoma"/>
            <family val="2"/>
          </rPr>
          <t>BackUp:</t>
        </r>
        <r>
          <rPr>
            <sz val="9"/>
            <color indexed="81"/>
            <rFont val="Tahoma"/>
            <family val="2"/>
          </rPr>
          <t xml:space="preserve">
בתוספת סקר נכסים ג'ת באישור הממונה</t>
        </r>
      </text>
    </comment>
    <comment ref="CK19" authorId="0">
      <text>
        <r>
          <rPr>
            <b/>
            <sz val="9"/>
            <color indexed="81"/>
            <rFont val="Tahoma"/>
            <family val="2"/>
          </rPr>
          <t>BackUp:</t>
        </r>
        <r>
          <rPr>
            <sz val="9"/>
            <color indexed="81"/>
            <rFont val="Tahoma"/>
            <family val="2"/>
          </rPr>
          <t xml:space="preserve">
בתוספת סקר נכסים ג'ת באישור הממונה</t>
        </r>
      </text>
    </comment>
    <comment ref="EG19" authorId="0">
      <text>
        <r>
          <rPr>
            <b/>
            <sz val="9"/>
            <color indexed="81"/>
            <rFont val="Tahoma"/>
            <family val="2"/>
          </rPr>
          <t>BackUp:</t>
        </r>
        <r>
          <rPr>
            <sz val="9"/>
            <color indexed="81"/>
            <rFont val="Tahoma"/>
            <family val="2"/>
          </rPr>
          <t xml:space="preserve">
קווי מים רמת פנקס</t>
        </r>
      </text>
    </comment>
    <comment ref="CK20" authorId="0">
      <text>
        <r>
          <rPr>
            <b/>
            <sz val="9"/>
            <color indexed="81"/>
            <rFont val="Tahoma"/>
            <family val="2"/>
          </rPr>
          <t>BackUp:</t>
        </r>
        <r>
          <rPr>
            <sz val="9"/>
            <color indexed="81"/>
            <rFont val="Tahoma"/>
            <family val="2"/>
          </rPr>
          <t xml:space="preserve">
בתוספת סקר נכסים ג'ת באישור הממונה</t>
        </r>
      </text>
    </comment>
    <comment ref="CK22" authorId="0">
      <text>
        <r>
          <rPr>
            <b/>
            <sz val="9"/>
            <color indexed="81"/>
            <rFont val="Tahoma"/>
            <family val="2"/>
          </rPr>
          <t>BackUp:</t>
        </r>
        <r>
          <rPr>
            <sz val="9"/>
            <color indexed="81"/>
            <rFont val="Tahoma"/>
            <family val="2"/>
          </rPr>
          <t xml:space="preserve">
סקר נכסים ג'ת באישור הממונה</t>
        </r>
      </text>
    </comment>
    <comment ref="CK27" authorId="0">
      <text>
        <r>
          <rPr>
            <b/>
            <sz val="9"/>
            <color indexed="81"/>
            <rFont val="Tahoma"/>
            <family val="2"/>
          </rPr>
          <t>BackUp:</t>
        </r>
        <r>
          <rPr>
            <sz val="9"/>
            <color indexed="81"/>
            <rFont val="Tahoma"/>
            <family val="2"/>
          </rPr>
          <t xml:space="preserve">
בצירוף סקר נכסים ג'ת באישור הממונה</t>
        </r>
      </text>
    </comment>
    <comment ref="EG35" authorId="0">
      <text>
        <r>
          <rPr>
            <b/>
            <sz val="9"/>
            <color indexed="81"/>
            <rFont val="Tahoma"/>
            <family val="2"/>
          </rPr>
          <t>BackUp:</t>
        </r>
        <r>
          <rPr>
            <sz val="9"/>
            <color indexed="81"/>
            <rFont val="Tahoma"/>
            <family val="2"/>
          </rPr>
          <t xml:space="preserve">
</t>
        </r>
      </text>
    </comment>
  </commentList>
</comments>
</file>

<file path=xl/comments7.xml><?xml version="1.0" encoding="utf-8"?>
<comments xmlns="http://schemas.openxmlformats.org/spreadsheetml/2006/main">
  <authors>
    <author>BackUp</author>
  </authors>
  <commentList>
    <comment ref="I17" authorId="0">
      <text>
        <r>
          <rPr>
            <b/>
            <sz val="9"/>
            <color indexed="81"/>
            <rFont val="Tahoma"/>
            <family val="2"/>
          </rPr>
          <t>BackUp:</t>
        </r>
        <r>
          <rPr>
            <sz val="9"/>
            <color indexed="81"/>
            <rFont val="Tahoma"/>
            <family val="2"/>
          </rPr>
          <t xml:space="preserve">
בניכוי כמויות רשפ ורמאלה</t>
        </r>
      </text>
    </comment>
  </commentList>
</comments>
</file>

<file path=xl/comments8.xml><?xml version="1.0" encoding="utf-8"?>
<comments xmlns="http://schemas.openxmlformats.org/spreadsheetml/2006/main">
  <authors>
    <author>BackUp</author>
  </authors>
  <commentList>
    <comment ref="AZ24" authorId="0">
      <text>
        <r>
          <rPr>
            <b/>
            <sz val="9"/>
            <color indexed="81"/>
            <rFont val="Tahoma"/>
            <family val="2"/>
          </rPr>
          <t>BackUp:</t>
        </r>
        <r>
          <rPr>
            <sz val="9"/>
            <color indexed="81"/>
            <rFont val="Tahoma"/>
            <family val="2"/>
          </rPr>
          <t xml:space="preserve">
תוספת מספרי צרכן לזיכרון יעקב</t>
        </r>
      </text>
    </comment>
    <comment ref="BF24" authorId="0">
      <text>
        <r>
          <rPr>
            <b/>
            <sz val="9"/>
            <color indexed="81"/>
            <rFont val="Tahoma"/>
            <family val="2"/>
          </rPr>
          <t>BackUp:</t>
        </r>
        <r>
          <rPr>
            <sz val="9"/>
            <color indexed="81"/>
            <rFont val="Tahoma"/>
            <family val="2"/>
          </rPr>
          <t xml:space="preserve">
תוספת צרכנים ברחובות לפי כמות אוכלוסיה</t>
        </r>
      </text>
    </comment>
    <comment ref="AX40" authorId="0">
      <text>
        <r>
          <rPr>
            <b/>
            <sz val="9"/>
            <color indexed="81"/>
            <rFont val="Tahoma"/>
            <family val="2"/>
          </rPr>
          <t>BackUp:</t>
        </r>
        <r>
          <rPr>
            <sz val="9"/>
            <color indexed="81"/>
            <rFont val="Tahoma"/>
            <family val="2"/>
          </rPr>
          <t xml:space="preserve">
בניכוי צרכן תעשייה פטור מביוב</t>
        </r>
      </text>
    </comment>
    <comment ref="BC40" authorId="0">
      <text>
        <r>
          <rPr>
            <b/>
            <sz val="9"/>
            <color indexed="81"/>
            <rFont val="Tahoma"/>
            <family val="2"/>
          </rPr>
          <t>BackUp:</t>
        </r>
        <r>
          <rPr>
            <sz val="9"/>
            <color indexed="81"/>
            <rFont val="Tahoma"/>
            <family val="2"/>
          </rPr>
          <t xml:space="preserve">
בניכוי הפזורה הבדואית</t>
        </r>
      </text>
    </comment>
    <comment ref="BD40" authorId="0">
      <text>
        <r>
          <rPr>
            <b/>
            <sz val="9"/>
            <color indexed="81"/>
            <rFont val="Tahoma"/>
            <family val="2"/>
          </rPr>
          <t>BackUp:</t>
        </r>
        <r>
          <rPr>
            <sz val="9"/>
            <color indexed="81"/>
            <rFont val="Tahoma"/>
            <family val="2"/>
          </rPr>
          <t xml:space="preserve">
כולל כמויות ביוב כפר סבא</t>
        </r>
      </text>
    </comment>
    <comment ref="AZ85" authorId="0">
      <text>
        <r>
          <rPr>
            <b/>
            <sz val="9"/>
            <color indexed="81"/>
            <rFont val="Tahoma"/>
            <family val="2"/>
          </rPr>
          <t>BackUp:</t>
        </r>
        <r>
          <rPr>
            <sz val="9"/>
            <color indexed="81"/>
            <rFont val="Tahoma"/>
            <family val="2"/>
          </rPr>
          <t xml:space="preserve">
תוספת צרכנים זיכרון יעקב</t>
        </r>
      </text>
    </comment>
    <comment ref="BD87" authorId="0">
      <text>
        <r>
          <rPr>
            <b/>
            <sz val="9"/>
            <color indexed="81"/>
            <rFont val="Tahoma"/>
            <family val="2"/>
          </rPr>
          <t>BackUp:</t>
        </r>
        <r>
          <rPr>
            <sz val="9"/>
            <color indexed="81"/>
            <rFont val="Tahoma"/>
            <family val="2"/>
          </rPr>
          <t xml:space="preserve">
בתוספת עלות גביה משתנה לכפר סבא בעבור הביוב כאשר מספר הצרכנים בכפר סבא הינו- 35,000 וכמות הביוב הינה 8990 מלמ"ק</t>
        </r>
      </text>
    </comment>
    <comment ref="B108" authorId="0">
      <text>
        <r>
          <rPr>
            <b/>
            <sz val="9"/>
            <color indexed="81"/>
            <rFont val="Tahoma"/>
            <family val="2"/>
          </rPr>
          <t>BackUp:</t>
        </r>
        <r>
          <rPr>
            <sz val="9"/>
            <color indexed="81"/>
            <rFont val="Tahoma"/>
            <family val="2"/>
          </rPr>
          <t xml:space="preserve">
ישובים שהצטרפו בשנת 2015</t>
        </r>
      </text>
    </comment>
    <comment ref="F119" authorId="0">
      <text>
        <r>
          <rPr>
            <b/>
            <sz val="9"/>
            <color indexed="81"/>
            <rFont val="Tahoma"/>
            <family val="2"/>
          </rPr>
          <t>BackUp:</t>
        </r>
        <r>
          <rPr>
            <sz val="9"/>
            <color indexed="81"/>
            <rFont val="Tahoma"/>
            <family val="2"/>
          </rPr>
          <t xml:space="preserve">
הפחתת שירותי תשתית בגין רש"פ רמאללה </t>
        </r>
      </text>
    </comment>
    <comment ref="AL119" authorId="0">
      <text>
        <r>
          <rPr>
            <b/>
            <sz val="9"/>
            <color indexed="81"/>
            <rFont val="Tahoma"/>
            <family val="2"/>
          </rPr>
          <t>BackUp:</t>
        </r>
        <r>
          <rPr>
            <sz val="9"/>
            <color indexed="81"/>
            <rFont val="Tahoma"/>
            <family val="2"/>
          </rPr>
          <t xml:space="preserve">
קו מגיסטריאלי</t>
        </r>
      </text>
    </comment>
    <comment ref="K123" authorId="0">
      <text>
        <r>
          <rPr>
            <b/>
            <sz val="9"/>
            <color indexed="81"/>
            <rFont val="Tahoma"/>
            <family val="2"/>
          </rPr>
          <t>BackUp:</t>
        </r>
        <r>
          <rPr>
            <sz val="9"/>
            <color indexed="81"/>
            <rFont val="Tahoma"/>
            <family val="2"/>
          </rPr>
          <t xml:space="preserve">
פיצוי לתמר רמלה -890   בסך 328בהפחתה 10% בעבור שהם וחבל מודיעין</t>
        </r>
      </text>
    </comment>
    <comment ref="Q123" authorId="0">
      <text>
        <r>
          <rPr>
            <b/>
            <sz val="9"/>
            <color indexed="81"/>
            <rFont val="Tahoma"/>
            <family val="2"/>
          </rPr>
          <t>BackUp:</t>
        </r>
        <r>
          <rPr>
            <sz val="9"/>
            <color indexed="81"/>
            <rFont val="Tahoma"/>
            <family val="2"/>
          </rPr>
          <t xml:space="preserve">
שירותי תשתית לנווה מדבר</t>
        </r>
      </text>
    </comment>
    <comment ref="R123" authorId="0">
      <text>
        <r>
          <rPr>
            <b/>
            <sz val="9"/>
            <color indexed="81"/>
            <rFont val="Tahoma"/>
            <family val="2"/>
          </rPr>
          <t>BackUp:</t>
        </r>
        <r>
          <rPr>
            <sz val="9"/>
            <color indexed="81"/>
            <rFont val="Tahoma"/>
            <family val="2"/>
          </rPr>
          <t xml:space="preserve">
שירותי תשתית למי אביבים בגין שנת 2014</t>
        </r>
      </text>
    </comment>
    <comment ref="V123" authorId="0">
      <text>
        <r>
          <rPr>
            <b/>
            <sz val="9"/>
            <color indexed="81"/>
            <rFont val="Tahoma"/>
            <family val="2"/>
          </rPr>
          <t>BackUp:</t>
        </r>
        <r>
          <rPr>
            <sz val="9"/>
            <color indexed="81"/>
            <rFont val="Tahoma"/>
            <family val="2"/>
          </rPr>
          <t xml:space="preserve">
שירותי תשתי מעלה יוסף ומעיינות זיו</t>
        </r>
      </text>
    </comment>
    <comment ref="W123" authorId="0">
      <text>
        <r>
          <rPr>
            <b/>
            <sz val="9"/>
            <color indexed="81"/>
            <rFont val="Tahoma"/>
            <family val="2"/>
          </rPr>
          <t>BackUp:</t>
        </r>
        <r>
          <rPr>
            <sz val="9"/>
            <color indexed="81"/>
            <rFont val="Tahoma"/>
            <family val="2"/>
          </rPr>
          <t xml:space="preserve">
התאגיד מקבל שירותית תשתית ממי לוד</t>
        </r>
      </text>
    </comment>
    <comment ref="AE123" authorId="0">
      <text>
        <r>
          <rPr>
            <b/>
            <sz val="9"/>
            <color indexed="81"/>
            <rFont val="Tahoma"/>
            <family val="2"/>
          </rPr>
          <t>BackUp:</t>
        </r>
        <r>
          <rPr>
            <sz val="9"/>
            <color indexed="81"/>
            <rFont val="Tahoma"/>
            <family val="2"/>
          </rPr>
          <t xml:space="preserve">
שירותי תשתי לטירת הכרמל</t>
        </r>
      </text>
    </comment>
    <comment ref="AK123" authorId="0">
      <text>
        <r>
          <rPr>
            <b/>
            <sz val="9"/>
            <color indexed="81"/>
            <rFont val="Tahoma"/>
            <family val="2"/>
          </rPr>
          <t>BackUp:הםפחתת שירותית תשתית לסובב שפרעם</t>
        </r>
      </text>
    </comment>
    <comment ref="AL123" authorId="0">
      <text>
        <r>
          <rPr>
            <b/>
            <sz val="9"/>
            <color indexed="81"/>
            <rFont val="Tahoma"/>
            <family val="2"/>
          </rPr>
          <t>BackUp:</t>
        </r>
        <r>
          <rPr>
            <sz val="9"/>
            <color indexed="81"/>
            <rFont val="Tahoma"/>
            <family val="2"/>
          </rPr>
          <t xml:space="preserve">
הכרה בקו וולפסון בניכוי תקבולים ממי שיקמה</t>
        </r>
      </text>
    </comment>
    <comment ref="AM123" authorId="0">
      <text>
        <r>
          <rPr>
            <b/>
            <sz val="9"/>
            <color indexed="81"/>
            <rFont val="Tahoma"/>
            <family val="2"/>
          </rPr>
          <t>BackUp:</t>
        </r>
        <r>
          <rPr>
            <sz val="9"/>
            <color indexed="81"/>
            <rFont val="Tahoma"/>
            <family val="2"/>
          </rPr>
          <t xml:space="preserve">
שירותי תשתית מי נתניה</t>
        </r>
      </text>
    </comment>
    <comment ref="AR123" authorId="0">
      <text>
        <r>
          <rPr>
            <b/>
            <sz val="9"/>
            <color indexed="81"/>
            <rFont val="Tahoma"/>
            <family val="2"/>
          </rPr>
          <t>BackUp:</t>
        </r>
        <r>
          <rPr>
            <sz val="9"/>
            <color indexed="81"/>
            <rFont val="Tahoma"/>
            <family val="2"/>
          </rPr>
          <t xml:space="preserve">
תוספת בגין שירותית תשתית למי ביאליק</t>
        </r>
      </text>
    </comment>
    <comment ref="F124" authorId="0">
      <text>
        <r>
          <rPr>
            <b/>
            <sz val="9"/>
            <color indexed="81"/>
            <rFont val="Tahoma"/>
            <family val="2"/>
          </rPr>
          <t>BackUp:</t>
        </r>
        <r>
          <rPr>
            <sz val="9"/>
            <color indexed="81"/>
            <rFont val="Tahoma"/>
            <family val="2"/>
          </rPr>
          <t xml:space="preserve">
כמות ביוב אבו גוש</t>
        </r>
      </text>
    </comment>
    <comment ref="C132" authorId="0">
      <text>
        <r>
          <rPr>
            <b/>
            <sz val="9"/>
            <color indexed="81"/>
            <rFont val="Tahoma"/>
            <family val="2"/>
          </rPr>
          <t>BackUp:</t>
        </r>
        <r>
          <rPr>
            <sz val="9"/>
            <color indexed="81"/>
            <rFont val="Tahoma"/>
            <family val="2"/>
          </rPr>
          <t xml:space="preserve">
כולל תוספת תאגוד איזורי</t>
        </r>
      </text>
    </comment>
    <comment ref="C136" authorId="0">
      <text>
        <r>
          <rPr>
            <b/>
            <sz val="9"/>
            <color indexed="81"/>
            <rFont val="Tahoma"/>
            <family val="2"/>
          </rPr>
          <t>BackUp:</t>
        </r>
        <r>
          <rPr>
            <sz val="9"/>
            <color indexed="81"/>
            <rFont val="Tahoma"/>
            <family val="2"/>
          </rPr>
          <t xml:space="preserve">
כולל תוספת לצרכן גדול וצרכן תעשייה</t>
        </r>
      </text>
    </comment>
  </commentList>
</comments>
</file>

<file path=xl/comments9.xml><?xml version="1.0" encoding="utf-8"?>
<comments xmlns="http://schemas.openxmlformats.org/spreadsheetml/2006/main">
  <authors>
    <author>BackUp</author>
  </authors>
  <commentList>
    <comment ref="Y21" authorId="0">
      <text>
        <r>
          <rPr>
            <b/>
            <sz val="9"/>
            <color indexed="81"/>
            <rFont val="Tahoma"/>
            <family val="2"/>
          </rPr>
          <t>BackUp:</t>
        </r>
        <r>
          <rPr>
            <sz val="9"/>
            <color indexed="81"/>
            <rFont val="Tahoma"/>
            <family val="2"/>
          </rPr>
          <t xml:space="preserve">
תוספת לאיזור תעשייה אכסאל -באישור הממונה</t>
        </r>
      </text>
    </comment>
    <comment ref="AU21" authorId="0">
      <text>
        <r>
          <rPr>
            <b/>
            <sz val="9"/>
            <color indexed="81"/>
            <rFont val="Tahoma"/>
            <family val="2"/>
          </rPr>
          <t>BackUp:</t>
        </r>
        <r>
          <rPr>
            <sz val="9"/>
            <color indexed="81"/>
            <rFont val="Tahoma"/>
            <family val="2"/>
          </rPr>
          <t xml:space="preserve">
עידכון ספר באישור מהנדס הממונה</t>
        </r>
      </text>
    </comment>
    <comment ref="BC23" authorId="0">
      <text>
        <r>
          <rPr>
            <b/>
            <sz val="9"/>
            <color indexed="81"/>
            <rFont val="Tahoma"/>
            <family val="2"/>
          </rPr>
          <t>BackUp:</t>
        </r>
        <r>
          <rPr>
            <sz val="9"/>
            <color indexed="81"/>
            <rFont val="Tahoma"/>
            <family val="2"/>
          </rPr>
          <t xml:space="preserve">
העתקת מוני מים 80% הכרה באישור הממונה</t>
        </r>
      </text>
    </comment>
    <comment ref="BC24" authorId="0">
      <text>
        <r>
          <rPr>
            <b/>
            <sz val="9"/>
            <color indexed="81"/>
            <rFont val="Tahoma"/>
            <family val="2"/>
          </rPr>
          <t>BackUp:</t>
        </r>
        <r>
          <rPr>
            <sz val="9"/>
            <color indexed="81"/>
            <rFont val="Tahoma"/>
            <family val="2"/>
          </rPr>
          <t xml:space="preserve">
העתק מוני מים 80% באישור הממונה</t>
        </r>
      </text>
    </comment>
    <comment ref="A57" authorId="0">
      <text>
        <r>
          <rPr>
            <b/>
            <sz val="9"/>
            <color indexed="81"/>
            <rFont val="Tahoma"/>
            <family val="2"/>
          </rPr>
          <t>BackUp:</t>
        </r>
        <r>
          <rPr>
            <sz val="9"/>
            <color indexed="81"/>
            <rFont val="Tahoma"/>
            <family val="2"/>
          </rPr>
          <t xml:space="preserve">
באישור מנהל המים</t>
        </r>
      </text>
    </comment>
  </commentList>
</comments>
</file>

<file path=xl/comments10.xml><?xml version="1.0" encoding="utf-8"?>
<comments xmlns="http://schemas.openxmlformats.org/spreadsheetml/2006/main">
  <authors>
    <author>BackUp</author>
  </authors>
  <commentList>
    <comment ref="B20" authorId="0">
      <text>
        <r>
          <rPr>
            <b/>
            <sz val="9"/>
            <color indexed="81"/>
            <rFont val="Tahoma"/>
            <family val="2"/>
          </rPr>
          <t>BackUp:</t>
        </r>
        <r>
          <rPr>
            <sz val="9"/>
            <color indexed="81"/>
            <rFont val="Tahoma"/>
            <family val="2"/>
          </rPr>
          <t xml:space="preserve">
השקעות בניכוי גריעות קווי מים</t>
        </r>
      </text>
    </comment>
    <comment ref="M21" authorId="0">
      <text>
        <r>
          <rPr>
            <b/>
            <sz val="9"/>
            <color indexed="81"/>
            <rFont val="Tahoma"/>
            <family val="2"/>
          </rPr>
          <t>BackUp:</t>
        </r>
        <r>
          <rPr>
            <sz val="9"/>
            <color indexed="81"/>
            <rFont val="Tahoma"/>
            <family val="2"/>
          </rPr>
          <t xml:space="preserve">
בהפחתה של סקר נכסים כפר כמא</t>
        </r>
      </text>
    </comment>
    <comment ref="Y21" authorId="0">
      <text>
        <r>
          <rPr>
            <b/>
            <sz val="9"/>
            <color indexed="81"/>
            <rFont val="Tahoma"/>
            <family val="2"/>
          </rPr>
          <t>BackUp:</t>
        </r>
        <r>
          <rPr>
            <sz val="9"/>
            <color indexed="81"/>
            <rFont val="Tahoma"/>
            <family val="2"/>
          </rPr>
          <t xml:space="preserve">
תוספת לאיזור תעשייה אכסאל -באישור הממונה</t>
        </r>
      </text>
    </comment>
    <comment ref="AU21" authorId="0">
      <text>
        <r>
          <rPr>
            <b/>
            <sz val="9"/>
            <color indexed="81"/>
            <rFont val="Tahoma"/>
            <family val="2"/>
          </rPr>
          <t>BackUp:</t>
        </r>
        <r>
          <rPr>
            <sz val="9"/>
            <color indexed="81"/>
            <rFont val="Tahoma"/>
            <family val="2"/>
          </rPr>
          <t xml:space="preserve">
עידכון ספר באישור מהנדס הממונה</t>
        </r>
      </text>
    </comment>
    <comment ref="U22" authorId="0">
      <text>
        <r>
          <rPr>
            <b/>
            <sz val="9"/>
            <color indexed="81"/>
            <rFont val="Tahoma"/>
            <family val="2"/>
          </rPr>
          <t>BackUp:</t>
        </r>
        <r>
          <rPr>
            <sz val="9"/>
            <color indexed="81"/>
            <rFont val="Tahoma"/>
            <family val="2"/>
          </rPr>
          <t xml:space="preserve">
בתוספת קווי מים של גדרה ,בני עייש וקרית מלאכי</t>
        </r>
      </text>
    </comment>
    <comment ref="A33" authorId="0">
      <text>
        <r>
          <rPr>
            <b/>
            <sz val="9"/>
            <color indexed="81"/>
            <rFont val="Tahoma"/>
            <family val="2"/>
          </rPr>
          <t>BackUp:</t>
        </r>
        <r>
          <rPr>
            <sz val="9"/>
            <color indexed="81"/>
            <rFont val="Tahoma"/>
            <family val="2"/>
          </rPr>
          <t xml:space="preserve">
תחנות שאיבה נטו בניכוי גריעות</t>
        </r>
      </text>
    </comment>
    <comment ref="Y33" authorId="0">
      <text>
        <r>
          <rPr>
            <b/>
            <sz val="9"/>
            <color indexed="81"/>
            <rFont val="Tahoma"/>
            <family val="2"/>
          </rPr>
          <t>BackUp:</t>
        </r>
        <r>
          <rPr>
            <sz val="9"/>
            <color indexed="81"/>
            <rFont val="Tahoma"/>
            <family val="2"/>
          </rPr>
          <t xml:space="preserve">
תוספת תחנת שאיבה אכסאל לתחזוק באישור הממונה</t>
        </r>
      </text>
    </comment>
    <comment ref="U34" authorId="0">
      <text>
        <r>
          <rPr>
            <b/>
            <sz val="9"/>
            <color indexed="81"/>
            <rFont val="Tahoma"/>
            <family val="2"/>
          </rPr>
          <t>BackUp:</t>
        </r>
        <r>
          <rPr>
            <sz val="9"/>
            <color indexed="81"/>
            <rFont val="Tahoma"/>
            <family val="2"/>
          </rPr>
          <t xml:space="preserve">
בתוספת גדרה קרית מלאכי ובני עייש</t>
        </r>
      </text>
    </comment>
    <comment ref="M45" authorId="0">
      <text>
        <r>
          <rPr>
            <b/>
            <sz val="9"/>
            <color indexed="81"/>
            <rFont val="Tahoma"/>
            <family val="2"/>
          </rPr>
          <t>BackUp:</t>
        </r>
        <r>
          <rPr>
            <sz val="9"/>
            <color indexed="81"/>
            <rFont val="Tahoma"/>
            <family val="2"/>
          </rPr>
          <t xml:space="preserve">
בהפחתת מפקד נכסים כפר כמא</t>
        </r>
      </text>
    </comment>
    <comment ref="AU45" authorId="0">
      <text>
        <r>
          <rPr>
            <b/>
            <sz val="9"/>
            <color indexed="81"/>
            <rFont val="Tahoma"/>
            <family val="2"/>
          </rPr>
          <t>BackUp:</t>
        </r>
        <r>
          <rPr>
            <sz val="9"/>
            <color indexed="81"/>
            <rFont val="Tahoma"/>
            <family val="2"/>
          </rPr>
          <t xml:space="preserve">
עדכון סקר באישור מהנדס הממונה</t>
        </r>
      </text>
    </comment>
    <comment ref="A46" authorId="0">
      <text>
        <r>
          <rPr>
            <b/>
            <sz val="9"/>
            <color indexed="81"/>
            <rFont val="Tahoma"/>
            <family val="2"/>
          </rPr>
          <t>BackUp:</t>
        </r>
        <r>
          <rPr>
            <sz val="9"/>
            <color indexed="81"/>
            <rFont val="Tahoma"/>
            <family val="2"/>
          </rPr>
          <t xml:space="preserve">
בניכוי גריעות</t>
        </r>
      </text>
    </comment>
    <comment ref="A58" authorId="0">
      <text>
        <r>
          <rPr>
            <b/>
            <sz val="9"/>
            <color indexed="81"/>
            <rFont val="Tahoma"/>
            <family val="2"/>
          </rPr>
          <t>BackUp:</t>
        </r>
        <r>
          <rPr>
            <sz val="9"/>
            <color indexed="81"/>
            <rFont val="Tahoma"/>
            <family val="2"/>
          </rPr>
          <t xml:space="preserve">
בניכוי גריעות</t>
        </r>
      </text>
    </comment>
    <comment ref="M58" authorId="0">
      <text>
        <r>
          <rPr>
            <b/>
            <sz val="9"/>
            <color indexed="81"/>
            <rFont val="Tahoma"/>
            <family val="2"/>
          </rPr>
          <t>BackUp:</t>
        </r>
        <r>
          <rPr>
            <sz val="9"/>
            <color indexed="81"/>
            <rFont val="Tahoma"/>
            <family val="2"/>
          </rPr>
          <t xml:space="preserve">
בהפחתת מפקד נכסים כפר כמא</t>
        </r>
      </text>
    </comment>
    <comment ref="Y58" authorId="0">
      <text>
        <r>
          <rPr>
            <b/>
            <sz val="9"/>
            <color indexed="81"/>
            <rFont val="Tahoma"/>
            <family val="2"/>
          </rPr>
          <t>BackUp:</t>
        </r>
        <r>
          <rPr>
            <sz val="9"/>
            <color indexed="81"/>
            <rFont val="Tahoma"/>
            <family val="2"/>
          </rPr>
          <t xml:space="preserve">
תוספת קווי ביוב לתחזוקה, באכסל באישור הממונה</t>
        </r>
      </text>
    </comment>
    <comment ref="BE58" authorId="0">
      <text>
        <r>
          <rPr>
            <b/>
            <sz val="9"/>
            <color indexed="81"/>
            <rFont val="Tahoma"/>
            <family val="2"/>
          </rPr>
          <t>BackUp:</t>
        </r>
        <r>
          <rPr>
            <sz val="9"/>
            <color indexed="81"/>
            <rFont val="Tahoma"/>
            <family val="2"/>
          </rPr>
          <t xml:space="preserve">
קווי ביוב שכונה ירוקה בסך 5774 נוספו באישור הממונה</t>
        </r>
      </text>
    </comment>
    <comment ref="U59" authorId="0">
      <text>
        <r>
          <rPr>
            <b/>
            <sz val="9"/>
            <color indexed="81"/>
            <rFont val="Tahoma"/>
            <family val="2"/>
          </rPr>
          <t>BackUp:</t>
        </r>
        <r>
          <rPr>
            <sz val="9"/>
            <color indexed="81"/>
            <rFont val="Tahoma"/>
            <family val="2"/>
          </rPr>
          <t xml:space="preserve">
בתוספת קווי ביוב בני עיש,גדרה וקרית מלאכי</t>
        </r>
      </text>
    </comment>
    <comment ref="AF60" authorId="0">
      <text>
        <r>
          <rPr>
            <b/>
            <sz val="9"/>
            <color indexed="81"/>
            <rFont val="Tahoma"/>
            <family val="2"/>
          </rPr>
          <t>BackUp:</t>
        </r>
        <r>
          <rPr>
            <sz val="9"/>
            <color indexed="81"/>
            <rFont val="Tahoma"/>
            <family val="2"/>
          </rPr>
          <t xml:space="preserve">
תוספת תחנת מת"מ בסך 6318 באישור הממונה</t>
        </r>
      </text>
    </comment>
    <comment ref="A64" authorId="0">
      <text>
        <r>
          <rPr>
            <b/>
            <sz val="9"/>
            <color indexed="81"/>
            <rFont val="Tahoma"/>
            <family val="2"/>
          </rPr>
          <t>BackUp:</t>
        </r>
        <r>
          <rPr>
            <sz val="9"/>
            <color indexed="81"/>
            <rFont val="Tahoma"/>
            <family val="2"/>
          </rPr>
          <t xml:space="preserve">
באישור מנהל המים</t>
        </r>
      </text>
    </comment>
    <comment ref="M71" authorId="0">
      <text>
        <r>
          <rPr>
            <b/>
            <sz val="9"/>
            <color indexed="81"/>
            <rFont val="Tahoma"/>
            <family val="2"/>
          </rPr>
          <t>BackUp:</t>
        </r>
        <r>
          <rPr>
            <sz val="9"/>
            <color indexed="81"/>
            <rFont val="Tahoma"/>
            <family val="2"/>
          </rPr>
          <t xml:space="preserve">
בהפחתת מפקד נכסים כפר כמא</t>
        </r>
      </text>
    </comment>
    <comment ref="AU71" authorId="0">
      <text>
        <r>
          <rPr>
            <b/>
            <sz val="9"/>
            <color indexed="81"/>
            <rFont val="Tahoma"/>
            <family val="2"/>
          </rPr>
          <t>BackUp:</t>
        </r>
        <r>
          <rPr>
            <sz val="9"/>
            <color indexed="81"/>
            <rFont val="Tahoma"/>
            <family val="2"/>
          </rPr>
          <t xml:space="preserve">
עידכון ספר באישור מהנדס הממונה</t>
        </r>
      </text>
    </comment>
    <comment ref="A72" authorId="0">
      <text>
        <r>
          <rPr>
            <b/>
            <sz val="9"/>
            <color indexed="81"/>
            <rFont val="Tahoma"/>
            <family val="2"/>
          </rPr>
          <t>BackUp:</t>
        </r>
        <r>
          <rPr>
            <sz val="9"/>
            <color indexed="81"/>
            <rFont val="Tahoma"/>
            <family val="2"/>
          </rPr>
          <t xml:space="preserve">
בניכוי גריעות</t>
        </r>
      </text>
    </comment>
  </commentList>
</comments>
</file>

<file path=xl/comments11.xml><?xml version="1.0" encoding="utf-8"?>
<comments xmlns="http://schemas.openxmlformats.org/spreadsheetml/2006/main">
  <authors>
    <author>BackUp</author>
  </authors>
  <commentList>
    <comment ref="G68" authorId="0">
      <text>
        <r>
          <rPr>
            <b/>
            <sz val="9"/>
            <color indexed="81"/>
            <rFont val="Tahoma"/>
            <family val="2"/>
          </rPr>
          <t>BackUp:</t>
        </r>
        <r>
          <rPr>
            <sz val="9"/>
            <color indexed="81"/>
            <rFont val="Tahoma"/>
            <family val="2"/>
          </rPr>
          <t xml:space="preserve">
תוספת נכסי מים לתחזוקה באישור הממונה</t>
        </r>
      </text>
    </comment>
    <comment ref="K68" authorId="0">
      <text>
        <r>
          <rPr>
            <b/>
            <sz val="9"/>
            <color indexed="81"/>
            <rFont val="Tahoma"/>
            <family val="2"/>
          </rPr>
          <t>BackUp:</t>
        </r>
        <r>
          <rPr>
            <sz val="9"/>
            <color indexed="81"/>
            <rFont val="Tahoma"/>
            <family val="2"/>
          </rPr>
          <t xml:space="preserve">
תוספת קווי מים לתחזוקה ברובע יזרעאל באישור הממונה</t>
        </r>
      </text>
    </comment>
    <comment ref="AH68" authorId="0">
      <text>
        <r>
          <rPr>
            <b/>
            <sz val="9"/>
            <color indexed="81"/>
            <rFont val="Tahoma"/>
            <family val="2"/>
          </rPr>
          <t>BackUp:</t>
        </r>
        <r>
          <rPr>
            <sz val="9"/>
            <color indexed="81"/>
            <rFont val="Tahoma"/>
            <family val="2"/>
          </rPr>
          <t xml:space="preserve">
תוספת קווים לתחזוקה-באישור הממונה</t>
        </r>
      </text>
    </comment>
    <comment ref="AI68" authorId="0">
      <text>
        <r>
          <rPr>
            <b/>
            <sz val="9"/>
            <color indexed="81"/>
            <rFont val="Tahoma"/>
            <family val="2"/>
          </rPr>
          <t>BackUp:</t>
        </r>
        <r>
          <rPr>
            <sz val="9"/>
            <color indexed="81"/>
            <rFont val="Tahoma"/>
            <family val="2"/>
          </rPr>
          <t xml:space="preserve">
תוספת קווי מים לתחזוקה באישור הממונה</t>
        </r>
      </text>
    </comment>
    <comment ref="AJ68" authorId="0">
      <text>
        <r>
          <rPr>
            <b/>
            <sz val="9"/>
            <color indexed="81"/>
            <rFont val="Tahoma"/>
            <family val="2"/>
          </rPr>
          <t>BackUp:</t>
        </r>
        <r>
          <rPr>
            <sz val="9"/>
            <color indexed="81"/>
            <rFont val="Tahoma"/>
            <family val="2"/>
          </rPr>
          <t xml:space="preserve">
תוספת נכסים לתחזוקה בשכונת קורדני-באישור הממונה</t>
        </r>
      </text>
    </comment>
    <comment ref="AN68" authorId="0">
      <text>
        <r>
          <rPr>
            <b/>
            <sz val="9"/>
            <color indexed="81"/>
            <rFont val="Tahoma"/>
            <family val="2"/>
          </rPr>
          <t>BackUp:</t>
        </r>
        <r>
          <rPr>
            <sz val="9"/>
            <color indexed="81"/>
            <rFont val="Tahoma"/>
            <family val="2"/>
          </rPr>
          <t xml:space="preserve">
תוספת קווים לתחזוקה באישור הממונה</t>
        </r>
      </text>
    </comment>
    <comment ref="G101" authorId="0">
      <text>
        <r>
          <rPr>
            <b/>
            <sz val="9"/>
            <color indexed="81"/>
            <rFont val="Tahoma"/>
            <family val="2"/>
          </rPr>
          <t>BackUp:</t>
        </r>
        <r>
          <rPr>
            <sz val="9"/>
            <color indexed="81"/>
            <rFont val="Tahoma"/>
            <family val="2"/>
          </rPr>
          <t xml:space="preserve">
תוספת קווי ביוב לתחזוקה באישור הממונה</t>
        </r>
      </text>
    </comment>
    <comment ref="AI101" authorId="0">
      <text>
        <r>
          <rPr>
            <b/>
            <sz val="9"/>
            <color indexed="81"/>
            <rFont val="Tahoma"/>
            <family val="2"/>
          </rPr>
          <t>BackUp:</t>
        </r>
        <r>
          <rPr>
            <sz val="9"/>
            <color indexed="81"/>
            <rFont val="Tahoma"/>
            <family val="2"/>
          </rPr>
          <t xml:space="preserve">
תוספת תחנות שאיבה לתחזוקה באישור הממונה</t>
        </r>
      </text>
    </comment>
    <comment ref="AM134" authorId="0">
      <text>
        <r>
          <rPr>
            <b/>
            <sz val="9"/>
            <color indexed="81"/>
            <rFont val="Tahoma"/>
            <family val="2"/>
          </rPr>
          <t>BackUp:</t>
        </r>
        <r>
          <rPr>
            <sz val="9"/>
            <color indexed="81"/>
            <rFont val="Tahoma"/>
            <family val="2"/>
          </rPr>
          <t xml:space="preserve">
תוספת בריכת מים בכפר יונה לתחזוקה -באישור הממונה</t>
        </r>
      </text>
    </comment>
    <comment ref="K167" authorId="0">
      <text>
        <r>
          <rPr>
            <b/>
            <sz val="9"/>
            <color indexed="81"/>
            <rFont val="Tahoma"/>
            <family val="2"/>
          </rPr>
          <t>BackUp:</t>
        </r>
        <r>
          <rPr>
            <sz val="9"/>
            <color indexed="81"/>
            <rFont val="Tahoma"/>
            <family val="2"/>
          </rPr>
          <t xml:space="preserve">
תוספת קווי ביוב לתחזוקה ברובע יזרעאל באישור הממונה</t>
        </r>
      </text>
    </comment>
    <comment ref="AH167" authorId="0">
      <text>
        <r>
          <rPr>
            <b/>
            <sz val="9"/>
            <color indexed="81"/>
            <rFont val="Tahoma"/>
            <family val="2"/>
          </rPr>
          <t>BackUp:</t>
        </r>
        <r>
          <rPr>
            <sz val="9"/>
            <color indexed="81"/>
            <rFont val="Tahoma"/>
            <family val="2"/>
          </rPr>
          <t xml:space="preserve">
תוספת תחזוקה של קווי ביוב -באישור הממונה</t>
        </r>
      </text>
    </comment>
    <comment ref="AI167" authorId="0">
      <text>
        <r>
          <rPr>
            <b/>
            <sz val="9"/>
            <color indexed="81"/>
            <rFont val="Tahoma"/>
            <family val="2"/>
          </rPr>
          <t>BackUp:</t>
        </r>
        <r>
          <rPr>
            <sz val="9"/>
            <color indexed="81"/>
            <rFont val="Tahoma"/>
            <family val="2"/>
          </rPr>
          <t xml:space="preserve">
תוספת קווי ביוב לתחזוקה באישור הממונה</t>
        </r>
      </text>
    </comment>
    <comment ref="AJ167" authorId="0">
      <text>
        <r>
          <rPr>
            <b/>
            <sz val="9"/>
            <color indexed="81"/>
            <rFont val="Tahoma"/>
            <family val="2"/>
          </rPr>
          <t>BackUp:</t>
        </r>
        <r>
          <rPr>
            <sz val="9"/>
            <color indexed="81"/>
            <rFont val="Tahoma"/>
            <family val="2"/>
          </rPr>
          <t xml:space="preserve">
תוספת קווים בגין שכונת קורדני -באישור הממונה</t>
        </r>
      </text>
    </comment>
    <comment ref="AN167" authorId="0">
      <text>
        <r>
          <rPr>
            <b/>
            <sz val="9"/>
            <color indexed="81"/>
            <rFont val="Tahoma"/>
            <family val="2"/>
          </rPr>
          <t>BackUp:</t>
        </r>
        <r>
          <rPr>
            <sz val="9"/>
            <color indexed="81"/>
            <rFont val="Tahoma"/>
            <family val="2"/>
          </rPr>
          <t xml:space="preserve">
תוספת קווי ביוב לתחזוקה- באישור הממונה</t>
        </r>
      </text>
    </comment>
    <comment ref="AI200" authorId="0">
      <text>
        <r>
          <rPr>
            <b/>
            <sz val="9"/>
            <color indexed="81"/>
            <rFont val="Tahoma"/>
            <family val="2"/>
          </rPr>
          <t>BackUp:</t>
        </r>
        <r>
          <rPr>
            <sz val="9"/>
            <color indexed="81"/>
            <rFont val="Tahoma"/>
            <family val="2"/>
          </rPr>
          <t xml:space="preserve">
תוספת תחנות שאיבה לתחזוקה באישור הממונה</t>
        </r>
      </text>
    </comment>
    <comment ref="D271" authorId="0">
      <text>
        <r>
          <rPr>
            <b/>
            <sz val="9"/>
            <color indexed="81"/>
            <rFont val="Tahoma"/>
            <family val="2"/>
          </rPr>
          <t>BackUp:</t>
        </r>
        <r>
          <rPr>
            <sz val="9"/>
            <color indexed="81"/>
            <rFont val="Tahoma"/>
            <family val="2"/>
          </rPr>
          <t xml:space="preserve">
תוספת 25% בגין עין קיניה ובוקעתא</t>
        </r>
      </text>
    </comment>
    <comment ref="K271" authorId="0">
      <text>
        <r>
          <rPr>
            <b/>
            <sz val="9"/>
            <color indexed="81"/>
            <rFont val="Tahoma"/>
            <family val="2"/>
          </rPr>
          <t>BackUp:</t>
        </r>
        <r>
          <rPr>
            <sz val="9"/>
            <color indexed="81"/>
            <rFont val="Tahoma"/>
            <family val="2"/>
          </rPr>
          <t xml:space="preserve">
תוספת של עפולה</t>
        </r>
      </text>
    </comment>
    <comment ref="T271" authorId="0">
      <text>
        <r>
          <rPr>
            <b/>
            <sz val="9"/>
            <color indexed="81"/>
            <rFont val="Tahoma"/>
            <family val="2"/>
          </rPr>
          <t>BackUp:</t>
        </r>
        <r>
          <rPr>
            <sz val="9"/>
            <color indexed="81"/>
            <rFont val="Tahoma"/>
            <family val="2"/>
          </rPr>
          <t xml:space="preserve">
בצירוף גדרה ובני עייש</t>
        </r>
      </text>
    </comment>
    <comment ref="AZ271" authorId="0">
      <text>
        <r>
          <rPr>
            <b/>
            <sz val="9"/>
            <color indexed="81"/>
            <rFont val="Tahoma"/>
            <family val="2"/>
          </rPr>
          <t>BackUp:</t>
        </r>
        <r>
          <rPr>
            <sz val="9"/>
            <color indexed="81"/>
            <rFont val="Tahoma"/>
            <family val="2"/>
          </rPr>
          <t xml:space="preserve">
תוספת אנרגיה של זכרון יעקב</t>
        </r>
      </text>
    </comment>
    <comment ref="D273" authorId="0">
      <text>
        <r>
          <rPr>
            <b/>
            <sz val="9"/>
            <color indexed="81"/>
            <rFont val="Tahoma"/>
            <family val="2"/>
          </rPr>
          <t>BackUp:</t>
        </r>
        <r>
          <rPr>
            <sz val="9"/>
            <color indexed="81"/>
            <rFont val="Tahoma"/>
            <family val="2"/>
          </rPr>
          <t xml:space="preserve">
תוספת בגין הישובים בוקתעא ועין קניה</t>
        </r>
      </text>
    </comment>
    <comment ref="P273" authorId="0">
      <text>
        <r>
          <rPr>
            <b/>
            <sz val="9"/>
            <color indexed="81"/>
            <rFont val="Tahoma"/>
            <family val="2"/>
          </rPr>
          <t>BackUp:</t>
        </r>
        <r>
          <rPr>
            <sz val="9"/>
            <color indexed="81"/>
            <rFont val="Tahoma"/>
            <family val="2"/>
          </rPr>
          <t xml:space="preserve">
תוספת הולכה עבור תחנת לבנים</t>
        </r>
      </text>
    </comment>
    <comment ref="R273" authorId="0">
      <text>
        <r>
          <rPr>
            <b/>
            <sz val="9"/>
            <color indexed="81"/>
            <rFont val="Tahoma"/>
            <family val="2"/>
          </rPr>
          <t>BackUp:</t>
        </r>
        <r>
          <rPr>
            <sz val="9"/>
            <color indexed="81"/>
            <rFont val="Tahoma"/>
            <family val="2"/>
          </rPr>
          <t xml:space="preserve">
תוספת לרכיב הביוב באישור הממונה</t>
        </r>
      </text>
    </comment>
    <comment ref="T273" authorId="0">
      <text>
        <r>
          <rPr>
            <b/>
            <sz val="9"/>
            <color indexed="81"/>
            <rFont val="Tahoma"/>
            <family val="2"/>
          </rPr>
          <t>BackUp:הוצאת אנרגיה כנגד חיוב תאגיד מי לוד ובנוסף 85 לתחנות הנוספות לפי הדוח הכספי ובתוספת גדרה, בני עייש, וקרית מלאכי</t>
        </r>
      </text>
    </comment>
    <comment ref="AV277" authorId="0">
      <text>
        <r>
          <rPr>
            <b/>
            <sz val="9"/>
            <color indexed="81"/>
            <rFont val="Tahoma"/>
            <family val="2"/>
          </rPr>
          <t>BackUp:</t>
        </r>
        <r>
          <rPr>
            <sz val="9"/>
            <color indexed="81"/>
            <rFont val="Tahoma"/>
            <family val="2"/>
          </rPr>
          <t xml:space="preserve">
מנורמל להטבת מים בלבד</t>
        </r>
      </text>
    </comment>
  </commentList>
</comments>
</file>

<file path=xl/comments12.xml><?xml version="1.0" encoding="utf-8"?>
<comments xmlns="http://schemas.openxmlformats.org/spreadsheetml/2006/main">
  <authors>
    <author>BackUp</author>
  </authors>
  <commentList>
    <comment ref="F74" authorId="0">
      <text>
        <r>
          <rPr>
            <b/>
            <sz val="9"/>
            <color indexed="81"/>
            <rFont val="Tahoma"/>
            <family val="2"/>
          </rPr>
          <t>BackUp:</t>
        </r>
        <r>
          <rPr>
            <sz val="9"/>
            <color indexed="81"/>
            <rFont val="Tahoma"/>
            <family val="2"/>
          </rPr>
          <t xml:space="preserve">
בניטרול כמויות לקריית חיים וטירת כרמל</t>
        </r>
      </text>
    </comment>
    <comment ref="F143" authorId="0">
      <text>
        <r>
          <rPr>
            <b/>
            <sz val="9"/>
            <color indexed="81"/>
            <rFont val="Tahoma"/>
            <family val="2"/>
          </rPr>
          <t>BackUp:</t>
        </r>
        <r>
          <rPr>
            <sz val="9"/>
            <color indexed="81"/>
            <rFont val="Tahoma"/>
            <family val="2"/>
          </rPr>
          <t xml:space="preserve">
בניכוי כמויות רשפ ורמאללה</t>
        </r>
      </text>
    </comment>
  </commentList>
</comments>
</file>

<file path=xl/comments13.xml><?xml version="1.0" encoding="utf-8"?>
<comments xmlns="http://schemas.openxmlformats.org/spreadsheetml/2006/main">
  <authors>
    <author>BackUp</author>
  </authors>
  <commentList>
    <comment ref="E91" authorId="0">
      <text>
        <r>
          <rPr>
            <b/>
            <sz val="9"/>
            <color indexed="81"/>
            <rFont val="Tahoma"/>
            <family val="2"/>
          </rPr>
          <t>BackUp:</t>
        </r>
        <r>
          <rPr>
            <sz val="9"/>
            <color indexed="81"/>
            <rFont val="Tahoma"/>
            <family val="2"/>
          </rPr>
          <t xml:space="preserve">
רכמויות מים רכסים נמצאות בתוך תאגיד פלגי מוצקין</t>
        </r>
      </text>
    </comment>
  </commentList>
</comments>
</file>

<file path=xl/comments14.xml><?xml version="1.0" encoding="utf-8"?>
<comments xmlns="http://schemas.openxmlformats.org/spreadsheetml/2006/main">
  <authors>
    <author>ilan</author>
    <author>BackUp</author>
  </authors>
  <commentList>
    <comment ref="B9" authorId="0">
      <text>
        <r>
          <rPr>
            <sz val="9"/>
            <color indexed="81"/>
            <rFont val="Tahoma"/>
            <family val="2"/>
          </rPr>
          <t xml:space="preserve"> לפי דיווח התאגיד 70% מבוייב לפי מילתב 60%
</t>
        </r>
      </text>
    </comment>
    <comment ref="B10" authorId="0">
      <text>
        <r>
          <rPr>
            <b/>
            <sz val="9"/>
            <color indexed="81"/>
            <rFont val="Tahoma"/>
            <family val="2"/>
          </rPr>
          <t>ilan:</t>
        </r>
        <r>
          <rPr>
            <sz val="9"/>
            <color indexed="81"/>
            <rFont val="Tahoma"/>
            <family val="2"/>
          </rPr>
          <t xml:space="preserve">
לפי דיווח תאגיד 60% לפי מילתב 50%
</t>
        </r>
      </text>
    </comment>
    <comment ref="B12" authorId="0">
      <text>
        <r>
          <rPr>
            <b/>
            <sz val="9"/>
            <color indexed="81"/>
            <rFont val="Tahoma"/>
            <family val="2"/>
          </rPr>
          <t>ilan:</t>
        </r>
        <r>
          <rPr>
            <sz val="9"/>
            <color indexed="81"/>
            <rFont val="Tahoma"/>
            <family val="2"/>
          </rPr>
          <t xml:space="preserve">
לפי תאגיד 95% מבוייב לפי מילתב 90%
</t>
        </r>
      </text>
    </comment>
    <comment ref="B27" authorId="1">
      <text>
        <r>
          <rPr>
            <b/>
            <sz val="9"/>
            <color indexed="81"/>
            <rFont val="Tahoma"/>
            <family val="2"/>
          </rPr>
          <t>BackUp:</t>
        </r>
        <r>
          <rPr>
            <sz val="9"/>
            <color indexed="81"/>
            <rFont val="Tahoma"/>
            <family val="2"/>
          </rPr>
          <t xml:space="preserve">
עדכון שיעור התבייבות כללי -13%</t>
        </r>
      </text>
    </comment>
    <comment ref="B50" authorId="1">
      <text>
        <r>
          <rPr>
            <b/>
            <sz val="9"/>
            <color indexed="81"/>
            <rFont val="Tahoma"/>
            <family val="2"/>
          </rPr>
          <t>BackUp:</t>
        </r>
        <r>
          <rPr>
            <sz val="9"/>
            <color indexed="81"/>
            <rFont val="Tahoma"/>
            <family val="2"/>
          </rPr>
          <t xml:space="preserve">
הפחתה ב-13% שיעור התבייבות</t>
        </r>
      </text>
    </comment>
  </commentList>
</comments>
</file>

<file path=xl/comments15.xml><?xml version="1.0" encoding="utf-8"?>
<comments xmlns="http://schemas.openxmlformats.org/spreadsheetml/2006/main">
  <authors>
    <author>BackUp</author>
  </authors>
  <commentList>
    <comment ref="I5" authorId="0">
      <text>
        <r>
          <rPr>
            <b/>
            <sz val="9"/>
            <color indexed="81"/>
            <rFont val="Tahoma"/>
            <family val="2"/>
          </rPr>
          <t>BackUp:</t>
        </r>
        <r>
          <rPr>
            <sz val="9"/>
            <color indexed="81"/>
            <rFont val="Tahoma"/>
            <family val="2"/>
          </rPr>
          <t xml:space="preserve">
מקדם יובלים בשומרון</t>
        </r>
      </text>
    </comment>
    <comment ref="J5" authorId="0">
      <text>
        <r>
          <rPr>
            <b/>
            <sz val="9"/>
            <color indexed="81"/>
            <rFont val="Tahoma"/>
            <family val="2"/>
          </rPr>
          <t>BackUp:</t>
        </r>
        <r>
          <rPr>
            <sz val="9"/>
            <color indexed="81"/>
            <rFont val="Tahoma"/>
            <family val="2"/>
          </rPr>
          <t xml:space="preserve">
מקדם של מי אביבים</t>
        </r>
      </text>
    </comment>
    <comment ref="K5" authorId="0">
      <text>
        <r>
          <rPr>
            <b/>
            <sz val="9"/>
            <color indexed="81"/>
            <rFont val="Tahoma"/>
            <family val="2"/>
          </rPr>
          <t>BackUp:</t>
        </r>
        <r>
          <rPr>
            <sz val="9"/>
            <color indexed="81"/>
            <rFont val="Tahoma"/>
            <family val="2"/>
          </rPr>
          <t xml:space="preserve">
מקדם של תאגיד הגיחון</t>
        </r>
      </text>
    </comment>
    <comment ref="F6" authorId="0">
      <text>
        <r>
          <rPr>
            <b/>
            <sz val="9"/>
            <color indexed="81"/>
            <rFont val="Tahoma"/>
            <family val="2"/>
          </rPr>
          <t>BackUp:</t>
        </r>
        <r>
          <rPr>
            <sz val="9"/>
            <color indexed="81"/>
            <rFont val="Tahoma"/>
            <family val="2"/>
          </rPr>
          <t xml:space="preserve">
מקדם 20% לתאגיד גודל</t>
        </r>
      </text>
    </comment>
    <comment ref="D24" authorId="0">
      <text>
        <r>
          <rPr>
            <b/>
            <sz val="9"/>
            <color indexed="81"/>
            <rFont val="Tahoma"/>
            <family val="2"/>
          </rPr>
          <t>BackUp:</t>
        </r>
        <r>
          <rPr>
            <sz val="9"/>
            <color indexed="81"/>
            <rFont val="Tahoma"/>
            <family val="2"/>
          </rPr>
          <t xml:space="preserve">
כפוף לשכר מנכ"ל עירייה</t>
        </r>
      </text>
    </comment>
    <comment ref="E24" authorId="0">
      <text>
        <r>
          <rPr>
            <b/>
            <sz val="9"/>
            <color indexed="81"/>
            <rFont val="Tahoma"/>
            <family val="2"/>
          </rPr>
          <t>BackUp:</t>
        </r>
        <r>
          <rPr>
            <sz val="9"/>
            <color indexed="81"/>
            <rFont val="Tahoma"/>
            <family val="2"/>
          </rPr>
          <t xml:space="preserve">
כפוף לשכר מנכ"ל עירייה</t>
        </r>
      </text>
    </comment>
    <comment ref="F24" authorId="0">
      <text>
        <r>
          <rPr>
            <b/>
            <sz val="9"/>
            <color indexed="81"/>
            <rFont val="Tahoma"/>
            <family val="2"/>
          </rPr>
          <t>BackUp:</t>
        </r>
        <r>
          <rPr>
            <sz val="9"/>
            <color indexed="81"/>
            <rFont val="Tahoma"/>
            <family val="2"/>
          </rPr>
          <t xml:space="preserve">
כפוף לשכר מנכ"ל עירייה</t>
        </r>
      </text>
    </comment>
    <comment ref="G24" authorId="0">
      <text>
        <r>
          <rPr>
            <b/>
            <sz val="9"/>
            <color indexed="81"/>
            <rFont val="Tahoma"/>
            <family val="2"/>
          </rPr>
          <t>BackUp:</t>
        </r>
        <r>
          <rPr>
            <sz val="9"/>
            <color indexed="81"/>
            <rFont val="Tahoma"/>
            <family val="2"/>
          </rPr>
          <t xml:space="preserve">
כפוף לשכר מנכ"ל עירייה</t>
        </r>
      </text>
    </comment>
  </commentList>
</comments>
</file>

<file path=xl/comments16.xml><?xml version="1.0" encoding="utf-8"?>
<comments xmlns="http://schemas.openxmlformats.org/spreadsheetml/2006/main">
  <authors>
    <author>BackUp</author>
  </authors>
  <commentList>
    <comment ref="BD7" authorId="0">
      <text>
        <r>
          <rPr>
            <b/>
            <sz val="9"/>
            <color indexed="81"/>
            <rFont val="Tahoma"/>
            <family val="2"/>
          </rPr>
          <t>BackUp:</t>
        </r>
        <r>
          <rPr>
            <sz val="9"/>
            <color indexed="81"/>
            <rFont val="Tahoma"/>
            <family val="2"/>
          </rPr>
          <t xml:space="preserve">
בניכוי הפזורה הבדואית</t>
        </r>
      </text>
    </comment>
    <comment ref="BE7" authorId="0">
      <text>
        <r>
          <rPr>
            <b/>
            <sz val="9"/>
            <color indexed="81"/>
            <rFont val="Tahoma"/>
            <family val="2"/>
          </rPr>
          <t>BackUp:</t>
        </r>
        <r>
          <rPr>
            <sz val="9"/>
            <color indexed="81"/>
            <rFont val="Tahoma"/>
            <family val="2"/>
          </rPr>
          <t xml:space="preserve">
כולל כמויות ביוב כפר סבא</t>
        </r>
      </text>
    </comment>
  </commentList>
</comments>
</file>

<file path=xl/comments17.xml><?xml version="1.0" encoding="utf-8"?>
<comments xmlns="http://schemas.openxmlformats.org/spreadsheetml/2006/main">
  <authors>
    <author>BackUp</author>
    <author>samiraa</author>
  </authors>
  <commentList>
    <comment ref="Q82" authorId="0">
      <text>
        <r>
          <rPr>
            <b/>
            <sz val="9"/>
            <color indexed="81"/>
            <rFont val="Tahoma"/>
            <family val="2"/>
          </rPr>
          <t>מוקד עירוני</t>
        </r>
        <r>
          <rPr>
            <sz val="9"/>
            <color indexed="81"/>
            <rFont val="Tahoma"/>
            <family val="2"/>
          </rPr>
          <t xml:space="preserve">
</t>
        </r>
      </text>
    </comment>
    <comment ref="M255" authorId="1">
      <text>
        <r>
          <rPr>
            <b/>
            <sz val="8"/>
            <color indexed="81"/>
            <rFont val="Tahoma"/>
            <family val="2"/>
          </rPr>
          <t>samiraa:</t>
        </r>
        <r>
          <rPr>
            <sz val="8"/>
            <color indexed="81"/>
            <rFont val="Tahoma"/>
            <family val="2"/>
          </rPr>
          <t xml:space="preserve">
יש לרשום מסים נדחים לזמן קצר  בפלוס 
.נמשך לביאור חייבים -
ועתודה למס למן קצר  יש לרשום במינוס - נמשך .לביאור זכאים -
בהתאם להוראת שעה לפטור ממס הכנסה 
יתרת מיסים נדחים לז"ק תעמוד על אפס בשנים 2011-2012</t>
        </r>
      </text>
    </comment>
    <comment ref="N255" authorId="1">
      <text>
        <r>
          <rPr>
            <b/>
            <sz val="8"/>
            <color indexed="81"/>
            <rFont val="Tahoma"/>
            <family val="2"/>
          </rPr>
          <t>samiraa:</t>
        </r>
        <r>
          <rPr>
            <sz val="8"/>
            <color indexed="81"/>
            <rFont val="Tahoma"/>
            <family val="2"/>
          </rPr>
          <t xml:space="preserve">
יש לרשום מסים נדחים לזמן קצר  בפלוס 
.נמשך לביאור חייבים -
ועתודה למס למן קצר  יש לרשום במינוס - נמשך .לביאור זכאים -
בהתאם להוראת שעה לפטור ממס הכנסה 
יתרת מיסים נדחים לז"ק תעמוד על אפס בשנים 2011-2012</t>
        </r>
      </text>
    </comment>
    <comment ref="Q255" authorId="1">
      <text>
        <r>
          <rPr>
            <b/>
            <sz val="8"/>
            <color indexed="81"/>
            <rFont val="Tahoma"/>
            <family val="2"/>
          </rPr>
          <t>samiraa:</t>
        </r>
        <r>
          <rPr>
            <sz val="8"/>
            <color indexed="81"/>
            <rFont val="Tahoma"/>
            <family val="2"/>
          </rPr>
          <t xml:space="preserve">
יש לרשום מסים נדחים לזמן קצר  בפלוס 
.נמשך לביאור חייבים -
ועתודה למס למן קצר  יש לרשום במינוס - נמשך .לביאור זכאים -
בהתאם להוראת שעה לפטור ממס הכנסה 
יתרת מיסים נדחים לז"ק תעמוד על אפס בשנים 2011-2012</t>
        </r>
      </text>
    </comment>
  </commentList>
</comments>
</file>

<file path=xl/sharedStrings.xml><?xml version="1.0" encoding="utf-8"?>
<sst xmlns="http://schemas.openxmlformats.org/spreadsheetml/2006/main" count="7252" uniqueCount="2088">
  <si>
    <t>טורעאן</t>
  </si>
  <si>
    <t xml:space="preserve">אילת </t>
  </si>
  <si>
    <t>אשדוד</t>
  </si>
  <si>
    <t>אום אל-פחם</t>
  </si>
  <si>
    <t>אזור</t>
  </si>
  <si>
    <t>אכסאל</t>
  </si>
  <si>
    <t>אלעד</t>
  </si>
  <si>
    <t>באר שבע</t>
  </si>
  <si>
    <t>בסמ"ה</t>
  </si>
  <si>
    <t>אבו גוש</t>
  </si>
  <si>
    <t>אורנית</t>
  </si>
  <si>
    <t xml:space="preserve">אעבלין  </t>
  </si>
  <si>
    <t>גוש חלב</t>
  </si>
  <si>
    <t>דבורייה</t>
  </si>
  <si>
    <t>דיר חנא</t>
  </si>
  <si>
    <t>הוד השרון</t>
  </si>
  <si>
    <t>חצור הגלילית</t>
  </si>
  <si>
    <t>טבריה</t>
  </si>
  <si>
    <t>טובא-זנגרייה</t>
  </si>
  <si>
    <t>יבנאל</t>
  </si>
  <si>
    <t>יפיע</t>
  </si>
  <si>
    <t>יסוד המעלה</t>
  </si>
  <si>
    <t>כסרא-סמיע</t>
  </si>
  <si>
    <t>כפר קרע</t>
  </si>
  <si>
    <t>ראוכב</t>
  </si>
  <si>
    <t>כפר ברא</t>
  </si>
  <si>
    <t>כפר ורדים</t>
  </si>
  <si>
    <t>כפר כנא</t>
  </si>
  <si>
    <t>לוד</t>
  </si>
  <si>
    <t>מעיליה</t>
  </si>
  <si>
    <t>מעלות-תרשיחא</t>
  </si>
  <si>
    <t>בוקעאתא</t>
  </si>
  <si>
    <t>משהד</t>
  </si>
  <si>
    <t>מסעדה</t>
  </si>
  <si>
    <t>מעלה עירון</t>
  </si>
  <si>
    <t>סכנין</t>
  </si>
  <si>
    <t>עין מאהל</t>
  </si>
  <si>
    <t>עילבון</t>
  </si>
  <si>
    <t>שלומי</t>
  </si>
  <si>
    <t xml:space="preserve">שפרעם </t>
  </si>
  <si>
    <t>ריינה</t>
  </si>
  <si>
    <t xml:space="preserve">שעב </t>
  </si>
  <si>
    <t>טמרה</t>
  </si>
  <si>
    <t xml:space="preserve">מגדל </t>
  </si>
  <si>
    <t>עמנואל</t>
  </si>
  <si>
    <t>עראבה</t>
  </si>
  <si>
    <t>עילוט</t>
  </si>
  <si>
    <t>עין קיניא</t>
  </si>
  <si>
    <t>צפת</t>
  </si>
  <si>
    <t>קלנסואה</t>
  </si>
  <si>
    <t>קריית אתא</t>
  </si>
  <si>
    <t>קריית גת</t>
  </si>
  <si>
    <t>קצרין</t>
  </si>
  <si>
    <t>רמת השרון</t>
  </si>
  <si>
    <t>רעננה</t>
  </si>
  <si>
    <t>נצרת</t>
  </si>
  <si>
    <t>קרית שמונה</t>
  </si>
  <si>
    <t>בני ברק</t>
  </si>
  <si>
    <t>קרני שומרון</t>
  </si>
  <si>
    <t>נס ציונה</t>
  </si>
  <si>
    <t>רמלה</t>
  </si>
  <si>
    <t>חולון</t>
  </si>
  <si>
    <t>הרצליה</t>
  </si>
  <si>
    <t>חיפה</t>
  </si>
  <si>
    <t xml:space="preserve">ירושלים </t>
  </si>
  <si>
    <t>קדימה צורן</t>
  </si>
  <si>
    <t>רהט</t>
  </si>
  <si>
    <t>מגדל העמק</t>
  </si>
  <si>
    <t>יבנה</t>
  </si>
  <si>
    <t>ג'דידה אלמכר</t>
  </si>
  <si>
    <t>כפר יונה</t>
  </si>
  <si>
    <t>קריית עקרון</t>
  </si>
  <si>
    <t>רחובות</t>
  </si>
  <si>
    <t>כרמיאל</t>
  </si>
  <si>
    <t>קריית מוצקין</t>
  </si>
  <si>
    <t>קריית ביאליק</t>
  </si>
  <si>
    <t>ראש העין</t>
  </si>
  <si>
    <t>גן יבנה</t>
  </si>
  <si>
    <t>מזכרת בתיה</t>
  </si>
  <si>
    <t>בני עייש</t>
  </si>
  <si>
    <t>תל שבע</t>
  </si>
  <si>
    <t>לקיה</t>
  </si>
  <si>
    <t>כסיפה</t>
  </si>
  <si>
    <t>ערערה בנגב</t>
  </si>
  <si>
    <t>תל מונד</t>
  </si>
  <si>
    <t>פרדסיה</t>
  </si>
  <si>
    <t>אבן יהודה</t>
  </si>
  <si>
    <t>כפר סבא</t>
  </si>
  <si>
    <t>אבו סנאן</t>
  </si>
  <si>
    <t xml:space="preserve">כאבול </t>
  </si>
  <si>
    <t>כפר יאסיף</t>
  </si>
  <si>
    <t>ירכא</t>
  </si>
  <si>
    <t xml:space="preserve">בסמת טבעון </t>
  </si>
  <si>
    <t xml:space="preserve">כפר מנדא </t>
  </si>
  <si>
    <t>זרזיר</t>
  </si>
  <si>
    <t>אל שאג'ור</t>
  </si>
  <si>
    <t xml:space="preserve">ג'וליס </t>
  </si>
  <si>
    <t xml:space="preserve">בת ים </t>
  </si>
  <si>
    <t xml:space="preserve">גבעתיים </t>
  </si>
  <si>
    <t xml:space="preserve">קרית אונו </t>
  </si>
  <si>
    <t xml:space="preserve">פתח תקוה </t>
  </si>
  <si>
    <t>נתניה</t>
  </si>
  <si>
    <t>גני תקווה</t>
  </si>
  <si>
    <t xml:space="preserve">נצרת עילית </t>
  </si>
  <si>
    <t>מודיעין-מכבים-רעות</t>
  </si>
  <si>
    <t>נחף</t>
  </si>
  <si>
    <t>בית שמש</t>
  </si>
  <si>
    <t xml:space="preserve">אשקלון </t>
  </si>
  <si>
    <t>נתיבות</t>
  </si>
  <si>
    <t>כפר קאסם</t>
  </si>
  <si>
    <t>אור עקיבא</t>
  </si>
  <si>
    <t>אליכין</t>
  </si>
  <si>
    <t>קריית ים</t>
  </si>
  <si>
    <t>קריית טבעון</t>
  </si>
  <si>
    <t>בינימיה-גבעת עדה</t>
  </si>
  <si>
    <t>רמת ישי</t>
  </si>
  <si>
    <t>גבעת שמואל</t>
  </si>
  <si>
    <t>ג'לג'וליה</t>
  </si>
  <si>
    <t>מיתר</t>
  </si>
  <si>
    <t>מבשרת ציון</t>
  </si>
  <si>
    <t>זכרון יעקב</t>
  </si>
  <si>
    <t>פרדיס</t>
  </si>
  <si>
    <t>טירה</t>
  </si>
  <si>
    <t>עכו</t>
  </si>
  <si>
    <t>יבניאל</t>
  </si>
  <si>
    <t>יקנעם עילית</t>
  </si>
  <si>
    <t>בית שאן</t>
  </si>
  <si>
    <t>דימונה</t>
  </si>
  <si>
    <t>ערד</t>
  </si>
  <si>
    <t>ירוחם</t>
  </si>
  <si>
    <t>מצפה רמון</t>
  </si>
  <si>
    <t>יאנוח ג'ת</t>
  </si>
  <si>
    <t>פקיעין</t>
  </si>
  <si>
    <t>חורפיש</t>
  </si>
  <si>
    <t>תל אביב-יפו</t>
  </si>
  <si>
    <t>שיבלי</t>
  </si>
  <si>
    <t>אריאל</t>
  </si>
  <si>
    <t>כפר שמריהו</t>
  </si>
  <si>
    <t>חדרה</t>
  </si>
  <si>
    <t>בועיינה-נוג'ידאת</t>
  </si>
  <si>
    <t xml:space="preserve">מטולה </t>
  </si>
  <si>
    <t>אופקים</t>
  </si>
  <si>
    <t>מזרעה</t>
  </si>
  <si>
    <t>חורה</t>
  </si>
  <si>
    <t>ראשון לציון</t>
  </si>
  <si>
    <t>שגב שלום</t>
  </si>
  <si>
    <t>פסוטה</t>
  </si>
  <si>
    <t>בית ג'אן</t>
  </si>
  <si>
    <t>מגדל</t>
  </si>
  <si>
    <t>ערערה</t>
  </si>
  <si>
    <t>₪</t>
  </si>
  <si>
    <t>מים</t>
  </si>
  <si>
    <t>ערך כינון מלא</t>
  </si>
  <si>
    <t>קווי מים</t>
  </si>
  <si>
    <t>תחנות שאיבה</t>
  </si>
  <si>
    <t>קידוחים</t>
  </si>
  <si>
    <t>בריכות ומגדלים</t>
  </si>
  <si>
    <t>ציוד לשעת חירום</t>
  </si>
  <si>
    <t>מלאי במחסנים</t>
  </si>
  <si>
    <t>שונות</t>
  </si>
  <si>
    <t>נכסים בהקמה</t>
  </si>
  <si>
    <t>זכויות מים</t>
  </si>
  <si>
    <t>מוני מים</t>
  </si>
  <si>
    <t>קווי מים לחקלאות</t>
  </si>
  <si>
    <t>סה"כ</t>
  </si>
  <si>
    <t>ערך כינון מופחת</t>
  </si>
  <si>
    <t>-</t>
  </si>
  <si>
    <t>ביוב</t>
  </si>
  <si>
    <t>קווי ביוב</t>
  </si>
  <si>
    <t xml:space="preserve">מכון טיהור </t>
  </si>
  <si>
    <t>דיזל גנרטורים</t>
  </si>
  <si>
    <t>קו סניקה 40</t>
  </si>
  <si>
    <t>מט"ש ומערכת אזור</t>
  </si>
  <si>
    <t>קו עודפים למט"ש נהריה</t>
  </si>
  <si>
    <t>מאסף געתון - מעלות</t>
  </si>
  <si>
    <t>ביוב אזורי</t>
  </si>
  <si>
    <t>קווי ביוב משותף עם מסד</t>
  </si>
  <si>
    <t>תחנות שאיבה משותף עם מסד</t>
  </si>
  <si>
    <t>דיזל גנרטורים משותף עם מסד</t>
  </si>
  <si>
    <t>מכון טיהור משותף עם מסד</t>
  </si>
  <si>
    <t>מערכת אזורית</t>
  </si>
  <si>
    <t>מט"ש</t>
  </si>
  <si>
    <t>קו עדפים למט"ש נהריה</t>
  </si>
  <si>
    <t>מאסף געתון מעלות</t>
  </si>
  <si>
    <t>ערך כינון מלא מים</t>
  </si>
  <si>
    <t>ערך כינון מופחת מים</t>
  </si>
  <si>
    <t>ערך כינון מלא ביוב</t>
  </si>
  <si>
    <t>ערך כינון מופחת ביוב</t>
  </si>
  <si>
    <t>שם תאגיד</t>
  </si>
  <si>
    <t xml:space="preserve">חיפה </t>
  </si>
  <si>
    <t>האשכול החברתי של הישובים (למ"ס):</t>
  </si>
  <si>
    <t>שנת תחילת פעילות התאגיד</t>
  </si>
  <si>
    <t>פחת מים</t>
  </si>
  <si>
    <t>חלקו של ההון העצמי</t>
  </si>
  <si>
    <t>הפרש</t>
  </si>
  <si>
    <t>דירוג</t>
  </si>
  <si>
    <t>אור יהודה</t>
  </si>
  <si>
    <t>אילת</t>
  </si>
  <si>
    <t>אלפי מנשה</t>
  </si>
  <si>
    <t>אלקנה</t>
  </si>
  <si>
    <t>אפרתה</t>
  </si>
  <si>
    <t>אשקלון</t>
  </si>
  <si>
    <t>באר יעקב</t>
  </si>
  <si>
    <t>בית אל</t>
  </si>
  <si>
    <t>בית אריה</t>
  </si>
  <si>
    <t>בית ג'ן</t>
  </si>
  <si>
    <t>בית דגן</t>
  </si>
  <si>
    <t>ביתר עילית</t>
  </si>
  <si>
    <t>בת ים</t>
  </si>
  <si>
    <t xml:space="preserve">גוש חלב </t>
  </si>
  <si>
    <t>גבעת זאב</t>
  </si>
  <si>
    <t>גדרה</t>
  </si>
  <si>
    <t>הר אדר</t>
  </si>
  <si>
    <t>..</t>
  </si>
  <si>
    <t>זמר</t>
  </si>
  <si>
    <t>טייבה</t>
  </si>
  <si>
    <t>יאנוח-ג'ת</t>
  </si>
  <si>
    <t xml:space="preserve">יסוד המעלה </t>
  </si>
  <si>
    <t>ירושלים</t>
  </si>
  <si>
    <t>כפר כמא</t>
  </si>
  <si>
    <t>כפר תבור</t>
  </si>
  <si>
    <t xml:space="preserve">כרמיאל </t>
  </si>
  <si>
    <t>להבים</t>
  </si>
  <si>
    <t>מג'דל שמס</t>
  </si>
  <si>
    <t>מגאר</t>
  </si>
  <si>
    <t>מודיעין עילית</t>
  </si>
  <si>
    <t>מעיליא</t>
  </si>
  <si>
    <t>מעלה אדומים</t>
  </si>
  <si>
    <t>מעלה אפרים</t>
  </si>
  <si>
    <t xml:space="preserve">משהד </t>
  </si>
  <si>
    <t>נהרייה</t>
  </si>
  <si>
    <t>נצרת עילית</t>
  </si>
  <si>
    <t>נשר</t>
  </si>
  <si>
    <t>סאג'ור</t>
  </si>
  <si>
    <t>סביון*</t>
  </si>
  <si>
    <t>ע'ג'ר</t>
  </si>
  <si>
    <t>עומר</t>
  </si>
  <si>
    <t xml:space="preserve">עין מאהל </t>
  </si>
  <si>
    <t>עפולה</t>
  </si>
  <si>
    <t>פרדס חנה-כרכור</t>
  </si>
  <si>
    <t>פתח תקווה</t>
  </si>
  <si>
    <t>קדומים</t>
  </si>
  <si>
    <t>קריית ארבע</t>
  </si>
  <si>
    <t>קריית יערים</t>
  </si>
  <si>
    <t>קריית מלאכי</t>
  </si>
  <si>
    <t>ראמה</t>
  </si>
  <si>
    <t>ראש פינה</t>
  </si>
  <si>
    <t>רכסים</t>
  </si>
  <si>
    <t>רמת גן</t>
  </si>
  <si>
    <t>שדרות</t>
  </si>
  <si>
    <t>אל עין</t>
  </si>
  <si>
    <t>הגיחון</t>
  </si>
  <si>
    <t>מי גליל</t>
  </si>
  <si>
    <t>מי הוד השרון</t>
  </si>
  <si>
    <t>מי הרצליה</t>
  </si>
  <si>
    <t>מי יבנה</t>
  </si>
  <si>
    <t>מי כרמל</t>
  </si>
  <si>
    <t>מי מודיעין</t>
  </si>
  <si>
    <t>מי רעננה</t>
  </si>
  <si>
    <t>מעיינות השרון</t>
  </si>
  <si>
    <t>מעיינות זיו</t>
  </si>
  <si>
    <t>סובב שפרעם</t>
  </si>
  <si>
    <t>עין אפק</t>
  </si>
  <si>
    <t>פלגי מוצקין</t>
  </si>
  <si>
    <t>שרונים</t>
  </si>
  <si>
    <t>ימים</t>
  </si>
  <si>
    <t>מי אונו</t>
  </si>
  <si>
    <t>מעיינות הדרום</t>
  </si>
  <si>
    <t>מי עכו</t>
  </si>
  <si>
    <t>מי רהט</t>
  </si>
  <si>
    <t>מעיינות העמקים</t>
  </si>
  <si>
    <t>מי אשקלון</t>
  </si>
  <si>
    <t>פלגי השרון</t>
  </si>
  <si>
    <t>התאגיד</t>
  </si>
  <si>
    <t>מי רחובות</t>
  </si>
  <si>
    <t>מי קריית ביאליק</t>
  </si>
  <si>
    <t>שנת מפקד</t>
  </si>
  <si>
    <t>רשימת הישובים</t>
  </si>
  <si>
    <t>ערך כינון ביוב מופחת</t>
  </si>
  <si>
    <t>ערך כינון ביוב מלא</t>
  </si>
  <si>
    <t>ערך כינון מים מופחת</t>
  </si>
  <si>
    <t>מי רמת גן</t>
  </si>
  <si>
    <t>מספר</t>
  </si>
  <si>
    <t>אוכלוסיה</t>
  </si>
  <si>
    <t>תקבולים</t>
  </si>
  <si>
    <t>צריכה</t>
  </si>
  <si>
    <t xml:space="preserve">סה"כ </t>
  </si>
  <si>
    <t xml:space="preserve">צר' סגולית </t>
  </si>
  <si>
    <t>צר' סגולית</t>
  </si>
  <si>
    <t>סידורי</t>
  </si>
  <si>
    <t>שם הישוב</t>
  </si>
  <si>
    <t>צרכן</t>
  </si>
  <si>
    <t>הפקה</t>
  </si>
  <si>
    <t>קניה</t>
  </si>
  <si>
    <t>במגורים</t>
  </si>
  <si>
    <t>עירונית</t>
  </si>
  <si>
    <t>תעשייתית</t>
  </si>
  <si>
    <t>חקלאית</t>
  </si>
  <si>
    <t>פחת</t>
  </si>
  <si>
    <t>מגורים</t>
  </si>
  <si>
    <t>נפש</t>
  </si>
  <si>
    <t>מ"ק</t>
  </si>
  <si>
    <t>%</t>
  </si>
  <si>
    <t>מ"ק/נ/שנה</t>
  </si>
  <si>
    <t xml:space="preserve">אור עקיבא </t>
  </si>
  <si>
    <t xml:space="preserve">איכסאל </t>
  </si>
  <si>
    <t xml:space="preserve">אלפי מנשה </t>
  </si>
  <si>
    <t xml:space="preserve">אלקנה </t>
  </si>
  <si>
    <t xml:space="preserve">אריאל </t>
  </si>
  <si>
    <t xml:space="preserve">אשדוד </t>
  </si>
  <si>
    <t xml:space="preserve">באר יעקב </t>
  </si>
  <si>
    <t xml:space="preserve">בית שאן </t>
  </si>
  <si>
    <t xml:space="preserve">ביתר עילית </t>
  </si>
  <si>
    <t xml:space="preserve">בני ברק </t>
  </si>
  <si>
    <t xml:space="preserve">ג'לג'וליה </t>
  </si>
  <si>
    <t xml:space="preserve">גבעת זאב </t>
  </si>
  <si>
    <t xml:space="preserve">הרצליה </t>
  </si>
  <si>
    <t xml:space="preserve">חדרה </t>
  </si>
  <si>
    <t xml:space="preserve">טבריה </t>
  </si>
  <si>
    <t xml:space="preserve">טירת הכרמל </t>
  </si>
  <si>
    <t xml:space="preserve">יבנה </t>
  </si>
  <si>
    <t xml:space="preserve">כפר תבור </t>
  </si>
  <si>
    <t xml:space="preserve">להבים </t>
  </si>
  <si>
    <t xml:space="preserve">לוד </t>
  </si>
  <si>
    <t xml:space="preserve">מגדל העמק </t>
  </si>
  <si>
    <t>מודיעין עלית</t>
  </si>
  <si>
    <t xml:space="preserve">מזכרת בתיה </t>
  </si>
  <si>
    <t xml:space="preserve">מיתר </t>
  </si>
  <si>
    <t xml:space="preserve">מעלה אפרים </t>
  </si>
  <si>
    <t xml:space="preserve">נהריה </t>
  </si>
  <si>
    <t xml:space="preserve">נס ציונה </t>
  </si>
  <si>
    <t xml:space="preserve">נשר </t>
  </si>
  <si>
    <t xml:space="preserve">סביון </t>
  </si>
  <si>
    <t xml:space="preserve">עומר </t>
  </si>
  <si>
    <t xml:space="preserve">עילבון </t>
  </si>
  <si>
    <t xml:space="preserve">עין קניה </t>
  </si>
  <si>
    <t xml:space="preserve">עמנואל  </t>
  </si>
  <si>
    <t xml:space="preserve">פרדיס </t>
  </si>
  <si>
    <t xml:space="preserve">פרדס חנה-כרכור </t>
  </si>
  <si>
    <t xml:space="preserve">קדומים </t>
  </si>
  <si>
    <t xml:space="preserve">קלנסואה </t>
  </si>
  <si>
    <t xml:space="preserve">קרית אתא </t>
  </si>
  <si>
    <t xml:space="preserve">קרית ביאליק </t>
  </si>
  <si>
    <t xml:space="preserve">קרית גת </t>
  </si>
  <si>
    <t xml:space="preserve">קרית מוצקין </t>
  </si>
  <si>
    <t xml:space="preserve">ראש פנה </t>
  </si>
  <si>
    <t xml:space="preserve">ראשון לציון </t>
  </si>
  <si>
    <t xml:space="preserve">רהט </t>
  </si>
  <si>
    <t xml:space="preserve">רחובות </t>
  </si>
  <si>
    <t xml:space="preserve">רכסים </t>
  </si>
  <si>
    <t xml:space="preserve">רמלה </t>
  </si>
  <si>
    <t xml:space="preserve">רמת השרון </t>
  </si>
  <si>
    <t xml:space="preserve">רעננה </t>
  </si>
  <si>
    <t xml:space="preserve">שדרות </t>
  </si>
  <si>
    <t xml:space="preserve">שהם </t>
  </si>
  <si>
    <t xml:space="preserve">שלומי </t>
  </si>
  <si>
    <t>הנחות עבודה כלליות לכלל התאגידים</t>
  </si>
  <si>
    <t>ערך מופחת של ציוד אחר ומונים ביחס לכינון מלא</t>
  </si>
  <si>
    <t>רכיב תשומת המים</t>
  </si>
  <si>
    <t>כמות הצריכה הבסיסית לנפש לחודש</t>
  </si>
  <si>
    <t>רכיב ההון</t>
  </si>
  <si>
    <t>שיעור תשואה על הון עצמי</t>
  </si>
  <si>
    <t>ריבית על הון זר</t>
  </si>
  <si>
    <t>אחוז הון עצמי</t>
  </si>
  <si>
    <t>אחוז הון זר</t>
  </si>
  <si>
    <t>מחיר הון משוקלל</t>
  </si>
  <si>
    <t>פחת חשבונאי</t>
  </si>
  <si>
    <t>אורך חיים מוכר:</t>
  </si>
  <si>
    <t>צנרת (מים וביוב)</t>
  </si>
  <si>
    <t>החזר פחת לצרכנים ישנים על השקעות ישנות</t>
  </si>
  <si>
    <t>הפחתת החזר מקסימלית מהתשואה לצרכנים ישנים</t>
  </si>
  <si>
    <t>תקופה מינימלית של ההפחתה</t>
  </si>
  <si>
    <t>מוסדות</t>
  </si>
  <si>
    <t xml:space="preserve">מסחר </t>
  </si>
  <si>
    <t>בנייה</t>
  </si>
  <si>
    <t>ומלאכה</t>
  </si>
  <si>
    <t>אחרת</t>
  </si>
  <si>
    <t>בינוני</t>
  </si>
  <si>
    <t>חלש</t>
  </si>
  <si>
    <t>גודל (מק"י)</t>
  </si>
  <si>
    <t>סוג</t>
  </si>
  <si>
    <t>חלק יחסי</t>
  </si>
  <si>
    <t>משוקלל לתאגיד (₪ למ"ק)</t>
  </si>
  <si>
    <t>פתח תקוה, אלעד</t>
  </si>
  <si>
    <t>שפד"ן</t>
  </si>
  <si>
    <t>בסיסי</t>
  </si>
  <si>
    <t>שדרוג חיצוני</t>
  </si>
  <si>
    <t>חורשים</t>
  </si>
  <si>
    <t>ירוד</t>
  </si>
  <si>
    <t>קרית שמונה, מטולה</t>
  </si>
  <si>
    <t>דרום שרון</t>
  </si>
  <si>
    <t>איילון</t>
  </si>
  <si>
    <t>ירושלים מבשרת ציון אבו גוש</t>
  </si>
  <si>
    <t>שורק</t>
  </si>
  <si>
    <t>אוג</t>
  </si>
  <si>
    <t>קדרון</t>
  </si>
  <si>
    <t>ללא</t>
  </si>
  <si>
    <t>תל עדשים</t>
  </si>
  <si>
    <t>רנ"י</t>
  </si>
  <si>
    <t>חיטין</t>
  </si>
  <si>
    <t>לבנים</t>
  </si>
  <si>
    <t>באר שבע, אופקים</t>
  </si>
  <si>
    <t>שוקת</t>
  </si>
  <si>
    <t>צפת, חצור הגלילית, טובא זנגריה</t>
  </si>
  <si>
    <t>צח"ר</t>
  </si>
  <si>
    <t>ראמה, סאג'ור</t>
  </si>
  <si>
    <t>דלתון</t>
  </si>
  <si>
    <t>ברנר</t>
  </si>
  <si>
    <t>כפר כנא, טורעאן</t>
  </si>
  <si>
    <t>שדה אילן</t>
  </si>
  <si>
    <t xml:space="preserve">בועיינה-ניגידאת </t>
  </si>
  <si>
    <t>בית נטופה</t>
  </si>
  <si>
    <t>דבוריה , שיבלי</t>
  </si>
  <si>
    <t>דברת בית קשת</t>
  </si>
  <si>
    <t>דברת</t>
  </si>
  <si>
    <t>עין שמר</t>
  </si>
  <si>
    <t xml:space="preserve">נצרת, יפיע </t>
  </si>
  <si>
    <t xml:space="preserve">ריינה, עילוט </t>
  </si>
  <si>
    <t xml:space="preserve">מעלות תרשיחא, כפר ורדים, כסרא-סמיע </t>
  </si>
  <si>
    <t>געתון</t>
  </si>
  <si>
    <t>ללא מגבלות</t>
  </si>
  <si>
    <t>קרית גת</t>
  </si>
  <si>
    <t>באר טוביה</t>
  </si>
  <si>
    <t>אבו סנאן, כפר יסיף, ג'וליס, ירכא, ג'דידה - מכר</t>
  </si>
  <si>
    <t>כפר סבא-הוד השרון</t>
  </si>
  <si>
    <t>כפר קסם</t>
  </si>
  <si>
    <t>תנובות</t>
  </si>
  <si>
    <t>קרית ים</t>
  </si>
  <si>
    <t>תל אביב</t>
  </si>
  <si>
    <t>גבעתים</t>
  </si>
  <si>
    <t>דיר חנא, נחף, סכנין, ערבה, שגור</t>
  </si>
  <si>
    <t>יקנעם-טבעון</t>
  </si>
  <si>
    <t>אבן יהודה, תל מונד קדימה צורן</t>
  </si>
  <si>
    <t>הדרים</t>
  </si>
  <si>
    <t>כפר יונה, פרדסיה</t>
  </si>
  <si>
    <t>אעבלין,שפרעם</t>
  </si>
  <si>
    <t>בסמת טבעון, זרזיר</t>
  </si>
  <si>
    <t>כאבול, שעב</t>
  </si>
  <si>
    <t>אשכול חברתי</t>
  </si>
  <si>
    <t>הרי נצרת מפעלי מים וביוב בע"מ</t>
  </si>
  <si>
    <t>התנור מים וביוב בע"מ</t>
  </si>
  <si>
    <t>חברת הגיחון בע"מ תאגיד המים והביוב של ירושלים</t>
  </si>
  <si>
    <t>יובלים אשדוד בע"מ</t>
  </si>
  <si>
    <t>יובלים בשומרון בע"מ</t>
  </si>
  <si>
    <t>כפרי גליל תחתון בע"מ</t>
  </si>
  <si>
    <t>מי חדרה בע"מ</t>
  </si>
  <si>
    <t>מי לוד בע"מ</t>
  </si>
  <si>
    <t>מי נע חברת המים והביוב של עיריית נצרת עילית בע"מ</t>
  </si>
  <si>
    <t>מי נתניה (2003) בע"מ</t>
  </si>
  <si>
    <t>מי עירון בע"מ</t>
  </si>
  <si>
    <t>מי ציונה בע"מ</t>
  </si>
  <si>
    <t>מי רקת טבריה בע"מ</t>
  </si>
  <si>
    <t>מי שבע תאגיד המים והביוב לבאר שבע בע"מ</t>
  </si>
  <si>
    <t>מי שקמה תאגיד המים והביוב בע"מ</t>
  </si>
  <si>
    <t>מיתב מים תיעול וביוב בע"מ</t>
  </si>
  <si>
    <t>מניב ראשון בע"מ</t>
  </si>
  <si>
    <t>עין נטפים מפעלי מים וביוב אילת בע"מ</t>
  </si>
  <si>
    <t>פלג הגליל החברה האזורית למים וביוב בע"מ</t>
  </si>
  <si>
    <t>תמ"ר תאגיד מים רמלה בע"מ</t>
  </si>
  <si>
    <t>סה"כ כמות מים</t>
  </si>
  <si>
    <t>דצמבר</t>
  </si>
  <si>
    <t>נובמבר</t>
  </si>
  <si>
    <t>אוקטובר</t>
  </si>
  <si>
    <t>ספטמבר</t>
  </si>
  <si>
    <t>אוגוסט</t>
  </si>
  <si>
    <t>יולי</t>
  </si>
  <si>
    <t>יוני</t>
  </si>
  <si>
    <t>מאי</t>
  </si>
  <si>
    <t>אפריל</t>
  </si>
  <si>
    <t>מרס</t>
  </si>
  <si>
    <t>פברואר</t>
  </si>
  <si>
    <t>ינואר</t>
  </si>
  <si>
    <t>השימוש בנתונים אלה הינו באחריות המשתמש.</t>
  </si>
  <si>
    <t>שנה</t>
  </si>
  <si>
    <t>חודש</t>
  </si>
  <si>
    <t>מתוך: מדד המחירים לצרכן, לפי קבוצות צריכה ראשיות ומשניות</t>
  </si>
  <si>
    <t>סדרה: 120010 - מדד המחירים לצרכן - כללי</t>
  </si>
  <si>
    <t>ממוצע 2003</t>
  </si>
  <si>
    <t>מרץ</t>
  </si>
  <si>
    <t>סה"כ אשכול</t>
  </si>
  <si>
    <t>סיווג אשכול חברתי</t>
  </si>
  <si>
    <t>שנת ההצמדה</t>
  </si>
  <si>
    <t>יהוד</t>
  </si>
  <si>
    <t>תעריף שפד"ן</t>
  </si>
  <si>
    <t>כאוכב</t>
  </si>
  <si>
    <t>ביר אל מכסור</t>
  </si>
  <si>
    <t>כמויות ביוב</t>
  </si>
  <si>
    <t>נחל</t>
  </si>
  <si>
    <t>מס' תושבים</t>
  </si>
  <si>
    <t>הערות</t>
  </si>
  <si>
    <t>מראר</t>
  </si>
  <si>
    <t>ניר עציון</t>
  </si>
  <si>
    <t>נהריה</t>
  </si>
  <si>
    <t>יוקנעם עילית, קרית טבעון</t>
  </si>
  <si>
    <t>כפר מנדא, ביר אל מכסור, כאוכב</t>
  </si>
  <si>
    <t>צור יגאל</t>
  </si>
  <si>
    <t>פחת גביה</t>
  </si>
  <si>
    <t>דליית אל כרמל</t>
  </si>
  <si>
    <t>עוספייה</t>
  </si>
  <si>
    <t>תעריף עירייה</t>
  </si>
  <si>
    <t>סה"כ תעריף</t>
  </si>
  <si>
    <t>תעריף לעירייה</t>
  </si>
  <si>
    <t>גינון ציבורי</t>
  </si>
  <si>
    <t>כל התעריפים לפני מע"מ</t>
  </si>
  <si>
    <t>תאגיד</t>
  </si>
  <si>
    <t>כמות מים בסיסית</t>
  </si>
  <si>
    <t>כמות מים שולית</t>
  </si>
  <si>
    <t>תעריפי מקורות בסיסי</t>
  </si>
  <si>
    <t>מכפלת מחיר בכמות שולית</t>
  </si>
  <si>
    <t>מכפלת מחיר בכמות בסיסית</t>
  </si>
  <si>
    <t>מכפלת מחיר בכמות שולית וביוב</t>
  </si>
  <si>
    <t>מכפלת מחיר בכמות בסיסית וביוב</t>
  </si>
  <si>
    <t>תעריף אחיד לתעשייה</t>
  </si>
  <si>
    <t>תעריף מקורות לתעשייה</t>
  </si>
  <si>
    <t>תעריף עירייה גינון ותיק</t>
  </si>
  <si>
    <t>תעריף מקורות עירייה גינון</t>
  </si>
  <si>
    <t>כמות מים עירייה אחר</t>
  </si>
  <si>
    <t>תעריף עירייה ותיק כולל ביוב</t>
  </si>
  <si>
    <t>מכפלת כמות ותעריף מקורות עירייה אחר ותיק</t>
  </si>
  <si>
    <t>תעריף מקורות עירייה אחר</t>
  </si>
  <si>
    <t>מכפלת תעריף מקורות עירייה אחר בכמות</t>
  </si>
  <si>
    <t>מכפלת גבוה מקורות וכמויות</t>
  </si>
  <si>
    <t>כמות מים כללית+גינון ציבורי</t>
  </si>
  <si>
    <t>נייר עבודה לממוצע משוקלל מקורות,  עירייה  ועירייה בסיסי</t>
  </si>
  <si>
    <t>כמויות גבוהות</t>
  </si>
  <si>
    <t>תעריף משוקלל, גבוה עירייה  ועירייה אחר</t>
  </si>
  <si>
    <t>מקדם התאמה בין מקורות גבוה למקורות משוקלל</t>
  </si>
  <si>
    <t>בדיקת ממוצע אחיד גבוה לפי כמויות מותאמות</t>
  </si>
  <si>
    <t>תעריף חלוקה  ותיק- גינון ציבורי</t>
  </si>
  <si>
    <t>מי גבעתיים</t>
  </si>
  <si>
    <t>מי בת ים</t>
  </si>
  <si>
    <t>מי בית שמש</t>
  </si>
  <si>
    <t>K</t>
  </si>
  <si>
    <t>הפרש ותיק</t>
  </si>
  <si>
    <t>הפרש חדש</t>
  </si>
  <si>
    <t xml:space="preserve">סה"כ תאגיד </t>
  </si>
  <si>
    <t xml:space="preserve">צפת </t>
  </si>
  <si>
    <t xml:space="preserve">טובא-זנגריה </t>
  </si>
  <si>
    <t xml:space="preserve">חצור הגלילית </t>
  </si>
  <si>
    <t xml:space="preserve"> אורנית</t>
  </si>
  <si>
    <t xml:space="preserve">קריית אתא </t>
  </si>
  <si>
    <t>פתח תקוה</t>
  </si>
  <si>
    <t xml:space="preserve">אזור </t>
  </si>
  <si>
    <t>עכו עיריה</t>
  </si>
  <si>
    <t xml:space="preserve">נתניה </t>
  </si>
  <si>
    <t xml:space="preserve">מודיעין </t>
  </si>
  <si>
    <t>קרית אונו</t>
  </si>
  <si>
    <t>נצרת עלית</t>
  </si>
  <si>
    <t xml:space="preserve">כפר כנא </t>
  </si>
  <si>
    <t xml:space="preserve">שבלי </t>
  </si>
  <si>
    <t xml:space="preserve">טורעאן </t>
  </si>
  <si>
    <t xml:space="preserve">דבוריה </t>
  </si>
  <si>
    <t>ומקוואות</t>
  </si>
  <si>
    <t>רשות מקומית</t>
  </si>
  <si>
    <t>בתי מרחץ</t>
  </si>
  <si>
    <t>בתי חולים</t>
  </si>
  <si>
    <t>שם התאגיד</t>
  </si>
  <si>
    <t>תאגידים</t>
  </si>
  <si>
    <t>חזק מאוד</t>
  </si>
  <si>
    <t xml:space="preserve">חזק </t>
  </si>
  <si>
    <t>באקה ג'את</t>
  </si>
  <si>
    <t>תעריף מקורות נמוך כולל תעריף ב מינוס</t>
  </si>
  <si>
    <t>יחוס הפרש</t>
  </si>
  <si>
    <t>תעריף גבוה חדש</t>
  </si>
  <si>
    <t>שנת הקמה</t>
  </si>
  <si>
    <t>שנת תחולה (החל מ-)</t>
  </si>
  <si>
    <t>דירג תאגידים</t>
  </si>
  <si>
    <t>רשויות נלוות</t>
  </si>
  <si>
    <t>כמויות שפכים 2009</t>
  </si>
  <si>
    <t>איגוד הולכה</t>
  </si>
  <si>
    <t>אגודה טיהור ללא טיפול בבוצה</t>
  </si>
  <si>
    <t>טיפול בבוצה</t>
  </si>
  <si>
    <t>סה"כ ללא מע"מ</t>
  </si>
  <si>
    <t>אופן מדידת הכמויות</t>
  </si>
  <si>
    <t>ק.אונו</t>
  </si>
  <si>
    <t xml:space="preserve">תעריף הכולל בתוכו התאמות </t>
  </si>
  <si>
    <t>תעריף סופי לאחר פחת מים</t>
  </si>
  <si>
    <t>בקה</t>
  </si>
  <si>
    <t>נווה מדבר</t>
  </si>
  <si>
    <t>תל שבע, שגב שלום</t>
  </si>
  <si>
    <t>חורה לקייה</t>
  </si>
  <si>
    <t>צור יגאל - כוכב יאיר</t>
  </si>
  <si>
    <t>אייל צפון</t>
  </si>
  <si>
    <t>יתרת פתיחה ערך כינון מלא מים</t>
  </si>
  <si>
    <t>רכישות  רכוש קבוע מים לשנת 2009</t>
  </si>
  <si>
    <t>רכישות רכוש קבוע מים לשנת 2010</t>
  </si>
  <si>
    <t>רכישות רכוש קבוע מים לשנת 2011</t>
  </si>
  <si>
    <t>רכוש קבוע בהקמה</t>
  </si>
  <si>
    <t>ניכוי מענקים שניתנו לרכישת רכוש קבוע</t>
  </si>
  <si>
    <t>היטלי פיתוח מים נטו לשנת 2009</t>
  </si>
  <si>
    <t>היטלי פיתוח מים נטו לשנת 2010</t>
  </si>
  <si>
    <t>היטלי פיתוח מים נטו לשנת 2011</t>
  </si>
  <si>
    <t>סה"כ ערך כינון מלא מים</t>
  </si>
  <si>
    <t>יתרת פתיחה ערך כינון מלא ביוב</t>
  </si>
  <si>
    <t>רכישות  רכוש קבוע ביוב לשנת 2009</t>
  </si>
  <si>
    <t>רכישות רכוש קבוע ביוב לשנת 2010</t>
  </si>
  <si>
    <t>רכישות רכוש קבוע ביוב לשנת 2011</t>
  </si>
  <si>
    <t>היטלי פיתוח ביוב נטו לשנת 2009</t>
  </si>
  <si>
    <t>היטלי פיתוח ביוב נטו לשנת 2010</t>
  </si>
  <si>
    <t>היטלי פיתוח ביוב  נטו לשנת 2011</t>
  </si>
  <si>
    <t>סה"כ ערך כינון מלא ביוב</t>
  </si>
  <si>
    <t>יתרת פתיחה ערך כינון מופחת מים</t>
  </si>
  <si>
    <t>תוספת לרכוש קבוע מים לשנת 2009</t>
  </si>
  <si>
    <t>תוספת לרכוש קבוע מים לשנת 2010</t>
  </si>
  <si>
    <t>תוספת לרכוש קבוע מים לשנת 2011</t>
  </si>
  <si>
    <t>פחת לשנת 2009</t>
  </si>
  <si>
    <t>פחת לשנת 2010</t>
  </si>
  <si>
    <t>פחת לשנת 2011</t>
  </si>
  <si>
    <t>היטלי פיתוח נטו ( בניכוי פחת נצבר)</t>
  </si>
  <si>
    <t>סה"כ ערך כינון מופחת  מים</t>
  </si>
  <si>
    <t>יתרת פתיחה ערך כינון מופחת ביוב</t>
  </si>
  <si>
    <t>תוספת לרכוש קבוע ביוב לשנת 2009</t>
  </si>
  <si>
    <t>תוספת לרכוש קבוע ביוב לשנת 2010</t>
  </si>
  <si>
    <t>תוספת לרכוש קבוע ביוב לשנת 2011</t>
  </si>
  <si>
    <t>סה"כ ערך כינון מופחת  ביוב</t>
  </si>
  <si>
    <t>2009-2010</t>
  </si>
  <si>
    <t>2010 בלבד</t>
  </si>
  <si>
    <t>היטלי פיתוח מים</t>
  </si>
  <si>
    <t>היטלי פיתוח ביוב</t>
  </si>
  <si>
    <t>פחת נצבר היטלי פיתוח מים</t>
  </si>
  <si>
    <t>היטלי פיתוח נטו ( בניכוי פחת שנצבר)</t>
  </si>
  <si>
    <t>פחת נצבר היטלי פיתוח ביוב</t>
  </si>
  <si>
    <t xml:space="preserve">אור יהודה </t>
  </si>
  <si>
    <t xml:space="preserve">אליכין </t>
  </si>
  <si>
    <t>אפרת</t>
  </si>
  <si>
    <t>באקה  - ג'ת</t>
  </si>
  <si>
    <t xml:space="preserve">ביר אל-מכסור </t>
  </si>
  <si>
    <t xml:space="preserve">בית אל </t>
  </si>
  <si>
    <t xml:space="preserve">בית אריה - עופרים </t>
  </si>
  <si>
    <t xml:space="preserve">בית דגן </t>
  </si>
  <si>
    <t xml:space="preserve">בני עי"ש </t>
  </si>
  <si>
    <t xml:space="preserve">בנימינה - גבעת עדה </t>
  </si>
  <si>
    <t xml:space="preserve">גבעת שמואל </t>
  </si>
  <si>
    <t xml:space="preserve">גדרה </t>
  </si>
  <si>
    <t>גיסר אל זרקא</t>
  </si>
  <si>
    <t xml:space="preserve">גני תקוה </t>
  </si>
  <si>
    <t>דלית אל כרמל</t>
  </si>
  <si>
    <t xml:space="preserve">זמר </t>
  </si>
  <si>
    <t xml:space="preserve">יהוד </t>
  </si>
  <si>
    <t xml:space="preserve">כאוכב אבו אלהיג'א </t>
  </si>
  <si>
    <t xml:space="preserve">כוכב יאיר </t>
  </si>
  <si>
    <t xml:space="preserve">כפר סבא </t>
  </si>
  <si>
    <t xml:space="preserve">כפר קמא </t>
  </si>
  <si>
    <t xml:space="preserve">כפר שמריהו </t>
  </si>
  <si>
    <t xml:space="preserve">מבשרת ציון </t>
  </si>
  <si>
    <t xml:space="preserve">מגדל שמס </t>
  </si>
  <si>
    <t xml:space="preserve">מזרעה </t>
  </si>
  <si>
    <t xml:space="preserve">מעלה עירון </t>
  </si>
  <si>
    <t>עג'ר</t>
  </si>
  <si>
    <t xml:space="preserve">פסוטה </t>
  </si>
  <si>
    <t xml:space="preserve">פקיעין </t>
  </si>
  <si>
    <t>קציר חריש</t>
  </si>
  <si>
    <t xml:space="preserve">קרית ארבע חברון </t>
  </si>
  <si>
    <t xml:space="preserve">קרית יערים </t>
  </si>
  <si>
    <t xml:space="preserve">קרית מלאכי </t>
  </si>
  <si>
    <t xml:space="preserve">קרית עקרון </t>
  </si>
  <si>
    <t xml:space="preserve">רמה </t>
  </si>
  <si>
    <t>מספר תושבים</t>
  </si>
  <si>
    <t>מעיינות אתא</t>
  </si>
  <si>
    <t>מי קריית גת</t>
  </si>
  <si>
    <t>עין כרמים</t>
  </si>
  <si>
    <t>מעיינות המשולש</t>
  </si>
  <si>
    <t>כמות תושבים</t>
  </si>
  <si>
    <t>סה"כ תושבים</t>
  </si>
  <si>
    <t>יחס חלש לחזק</t>
  </si>
  <si>
    <t>עירייה ללא גינון ציבורי</t>
  </si>
  <si>
    <t>2009-2011</t>
  </si>
  <si>
    <t>חסר</t>
  </si>
  <si>
    <t>כמות מים 2011</t>
  </si>
  <si>
    <t>2010-2011</t>
  </si>
  <si>
    <t>קרית ביאליק</t>
  </si>
  <si>
    <t>סיווג תאגיד</t>
  </si>
  <si>
    <t>ספירת ישובים</t>
  </si>
  <si>
    <t>תפעול מים</t>
  </si>
  <si>
    <t>תפעול ביוב</t>
  </si>
  <si>
    <t>הון חוזר מים</t>
  </si>
  <si>
    <t>הון חוזר ביוב</t>
  </si>
  <si>
    <t xml:space="preserve">תאגיד </t>
  </si>
  <si>
    <t>תוספת לעלות תפעולית בש"ח למ"ק</t>
  </si>
  <si>
    <t>ביוביות</t>
  </si>
  <si>
    <t>יהוד מונוסון</t>
  </si>
  <si>
    <t>מי תקווה</t>
  </si>
  <si>
    <t>גריעה נורמטיבית</t>
  </si>
  <si>
    <t>גריעת ביוב מתוקנת</t>
  </si>
  <si>
    <t>יחס רכוש למים</t>
  </si>
  <si>
    <t>יחס רכוש לביוב</t>
  </si>
  <si>
    <t>אל עין בע"מ</t>
  </si>
  <si>
    <t>מי אביבים 2010 בע"מ</t>
  </si>
  <si>
    <t>מי אונו בע"מ</t>
  </si>
  <si>
    <t>מי אשקלון בע"מ</t>
  </si>
  <si>
    <t>מי שמש בע"מ</t>
  </si>
  <si>
    <t>מי ברק בע"מ</t>
  </si>
  <si>
    <t>מי בת ים בע"מ</t>
  </si>
  <si>
    <t>מי גבעתיים בע"מ</t>
  </si>
  <si>
    <t>מי גליל בע"מ</t>
  </si>
  <si>
    <t>מעיינות הדרום בע"מ</t>
  </si>
  <si>
    <t>מי הוד השרון בע"מ</t>
  </si>
  <si>
    <t>מי הרצליה בע"מ</t>
  </si>
  <si>
    <t>נווה מדבר בע"מ</t>
  </si>
  <si>
    <t>מי יבנה בע"מ</t>
  </si>
  <si>
    <t>מי כרמל בע"מ</t>
  </si>
  <si>
    <t>מי מודיעין בע"מ</t>
  </si>
  <si>
    <t>מי עכו בע"מ</t>
  </si>
  <si>
    <t>מי קריית גת בע"מ</t>
  </si>
  <si>
    <t>מי רהט בע"מ</t>
  </si>
  <si>
    <t>מי רעננה בע"מ</t>
  </si>
  <si>
    <t>מי קריית אתא בע"מ</t>
  </si>
  <si>
    <t>מעינות המשולש בע"מ</t>
  </si>
  <si>
    <t>מעיינות העמקים בע"מ</t>
  </si>
  <si>
    <t>מעיינות זיו בע"מ</t>
  </si>
  <si>
    <t>סובב שפרעם בע"מ</t>
  </si>
  <si>
    <t>עין אפק בע"מ</t>
  </si>
  <si>
    <t>עין כרמים בע"מ</t>
  </si>
  <si>
    <t>פלגי מוצקין בע"מ</t>
  </si>
  <si>
    <t>פלגי השרון בע"מ</t>
  </si>
  <si>
    <t>שרונים בע"מ</t>
  </si>
  <si>
    <t>גריעת מים מתוקנת</t>
  </si>
  <si>
    <t>היטלי פיתוח מים נטו לשנת 2008</t>
  </si>
  <si>
    <t>היטלי פיתוח ביוב נטו לשנת 2008</t>
  </si>
  <si>
    <t>תעריף שפדן מוכר</t>
  </si>
  <si>
    <t>תעריף שפדן בפועל</t>
  </si>
  <si>
    <t>כמות מוזרמת</t>
  </si>
  <si>
    <t>עלויות תפעול</t>
  </si>
  <si>
    <t>נכסים בהקמה מים 2008</t>
  </si>
  <si>
    <t>נכסים בהקמה ביוב 2008</t>
  </si>
  <si>
    <t>נכסים בהקמה מים מוכר בתעריף</t>
  </si>
  <si>
    <t>נכסים בהקמה ביוב מוכר בתעריף</t>
  </si>
  <si>
    <t>הפחתת רכוש לא רלוונטי למי שלא הגיש נספח</t>
  </si>
  <si>
    <t>אריאל תעשייתי</t>
  </si>
  <si>
    <t>אריאל סניטרי</t>
  </si>
  <si>
    <t>מזכרת בתיה, קרית עקרון</t>
  </si>
  <si>
    <t>בוקעתה, מג'דל שמס, מסעדה</t>
  </si>
  <si>
    <t>חרמונית</t>
  </si>
  <si>
    <t>עין קיניה</t>
  </si>
  <si>
    <t>הגושרים</t>
  </si>
  <si>
    <t>חולון, אזור, בית דגן</t>
  </si>
  <si>
    <t>א.א.פחם,ערערה,כפר קרע,בסמ"ה, באקה-ג'ת</t>
  </si>
  <si>
    <t>ינוח-ג'ת</t>
  </si>
  <si>
    <t>בענה</t>
  </si>
  <si>
    <t>מג'דל כרום</t>
  </si>
  <si>
    <t>דיר אלאסד</t>
  </si>
  <si>
    <t>טירת הכרמל</t>
  </si>
  <si>
    <t>מדד מחירים לצרכן 11/11-11-12</t>
  </si>
  <si>
    <t xml:space="preserve">אבו סנאן </t>
  </si>
  <si>
    <t xml:space="preserve">כפר יסיף </t>
  </si>
  <si>
    <t xml:space="preserve">ירכא </t>
  </si>
  <si>
    <t>גדידה-אלמכר</t>
  </si>
  <si>
    <t xml:space="preserve">אבו גוש </t>
  </si>
  <si>
    <t xml:space="preserve">ריינה </t>
  </si>
  <si>
    <t xml:space="preserve">יפיע </t>
  </si>
  <si>
    <t xml:space="preserve">נצרת </t>
  </si>
  <si>
    <t xml:space="preserve">תל אביב-יפו </t>
  </si>
  <si>
    <t xml:space="preserve">סכנין </t>
  </si>
  <si>
    <t xml:space="preserve">נחף </t>
  </si>
  <si>
    <t xml:space="preserve">דיר חנא </t>
  </si>
  <si>
    <t xml:space="preserve">בענה </t>
  </si>
  <si>
    <t>מגד' אל כרום</t>
  </si>
  <si>
    <t>דיר אל עסד</t>
  </si>
  <si>
    <t xml:space="preserve">אום אל פחם </t>
  </si>
  <si>
    <t xml:space="preserve">כפר קרע </t>
  </si>
  <si>
    <t xml:space="preserve">ערערה </t>
  </si>
  <si>
    <t>רהט עיריה</t>
  </si>
  <si>
    <t xml:space="preserve">בית שמש </t>
  </si>
  <si>
    <t xml:space="preserve">ערד </t>
  </si>
  <si>
    <t xml:space="preserve">ירוחם </t>
  </si>
  <si>
    <t xml:space="preserve">יקנעם -עלית </t>
  </si>
  <si>
    <t>קרית טבעון</t>
  </si>
  <si>
    <t xml:space="preserve">אבן יהודה </t>
  </si>
  <si>
    <t xml:space="preserve">כפר יונה </t>
  </si>
  <si>
    <t xml:space="preserve">פרדסיה </t>
  </si>
  <si>
    <t xml:space="preserve">צורן - קדימה </t>
  </si>
  <si>
    <t xml:space="preserve">תל מונד </t>
  </si>
  <si>
    <t xml:space="preserve">מעלות </t>
  </si>
  <si>
    <t xml:space="preserve">כסרא-סמיע </t>
  </si>
  <si>
    <t xml:space="preserve">כפר ורדים </t>
  </si>
  <si>
    <t>בית זרזיר</t>
  </si>
  <si>
    <t xml:space="preserve">תמרה </t>
  </si>
  <si>
    <t xml:space="preserve">אעבלין </t>
  </si>
  <si>
    <t xml:space="preserve">קריית מוצקין </t>
  </si>
  <si>
    <t xml:space="preserve">חורה </t>
  </si>
  <si>
    <t>כסייפה</t>
  </si>
  <si>
    <t xml:space="preserve">טירה </t>
  </si>
  <si>
    <t xml:space="preserve">כפר קאסם </t>
  </si>
  <si>
    <t xml:space="preserve">רמת-גן </t>
  </si>
  <si>
    <t>עוספיה</t>
  </si>
  <si>
    <t>נתוני צריכת המים בתאגידי מים וביוב לשנת 2012</t>
  </si>
  <si>
    <t>באקה-ג'ת</t>
  </si>
  <si>
    <t>ג'לג'יוליה</t>
  </si>
  <si>
    <t>מי השרון בע"מ</t>
  </si>
  <si>
    <t>כוכב יאיר</t>
  </si>
  <si>
    <t>התפלגות צריכת המים העירונית לפי סוגי השימוש לשנת 2012</t>
  </si>
  <si>
    <t>כמויות מים</t>
  </si>
  <si>
    <t>שם  הרשות המקומית</t>
  </si>
  <si>
    <t xml:space="preserve">אשכול חברתי-כלכלי 2008 (1 נמוך, 10 גבוה)   </t>
  </si>
  <si>
    <t>באקה אל-גרביה</t>
  </si>
  <si>
    <t>סוציו חדש</t>
  </si>
  <si>
    <t>תשואה משוקללת</t>
  </si>
  <si>
    <t>אחר</t>
  </si>
  <si>
    <t>שיעור חוב מוכר לתשואה וריבית</t>
  </si>
  <si>
    <t>שיעור חוב מוכר להחזר צרכנים</t>
  </si>
  <si>
    <t>זר</t>
  </si>
  <si>
    <t>פחת מים חזק</t>
  </si>
  <si>
    <t>פחת גביה חזק</t>
  </si>
  <si>
    <t>הפחתה לתאגיד מפיק</t>
  </si>
  <si>
    <t>סה"כ צריכה המים</t>
  </si>
  <si>
    <t>צריכה למגורים</t>
  </si>
  <si>
    <t>שיעור צריכה במגורים מסך הצריכה</t>
  </si>
  <si>
    <t>פחת מים מוצע</t>
  </si>
  <si>
    <t>פחת גביה מוצע</t>
  </si>
  <si>
    <t xml:space="preserve">הפקה </t>
  </si>
  <si>
    <t>שיעור הפקה</t>
  </si>
  <si>
    <t>סקר נכסים</t>
  </si>
  <si>
    <t>הלוואות</t>
  </si>
  <si>
    <t>יחס</t>
  </si>
  <si>
    <t>ראשון</t>
  </si>
  <si>
    <t>חולון,אזור</t>
  </si>
  <si>
    <t>ירושליים</t>
  </si>
  <si>
    <t>מודיעין</t>
  </si>
  <si>
    <t>אריאל,קרני שומרון</t>
  </si>
  <si>
    <t>חצור,צפת טובא זנגרייה</t>
  </si>
  <si>
    <t>מטולה ,קצרין, קרית שמונה</t>
  </si>
  <si>
    <t>ערים בתאגיד נכון לשנת 2008</t>
  </si>
  <si>
    <t>ותיק חזק מאוד החל מ-</t>
  </si>
  <si>
    <t>הלוואות ז.ק.</t>
  </si>
  <si>
    <t>הלוואות ז.א.</t>
  </si>
  <si>
    <t>אג"ח</t>
  </si>
  <si>
    <t>התחייבויות עובד מעביד</t>
  </si>
  <si>
    <t>אומדן עובדי עירייה</t>
  </si>
  <si>
    <t>מי רקת  בע"מ</t>
  </si>
  <si>
    <t>כינון מופחת מים</t>
  </si>
  <si>
    <t>כינון מופחת ביוב</t>
  </si>
  <si>
    <t>סה"כ כינון מופחת ביוב</t>
  </si>
  <si>
    <t>סה"כ כינון מופחת מים</t>
  </si>
  <si>
    <t>עידכון מפקד נכסי ביוב</t>
  </si>
  <si>
    <t>עדכון מפקד נכסי מים</t>
  </si>
  <si>
    <t>מפקד נכסים מופחת -מים</t>
  </si>
  <si>
    <t>מפקד נכסים מופחת ביוב</t>
  </si>
  <si>
    <t>רכיב זכויות מים</t>
  </si>
  <si>
    <t>עלויות תאגידים</t>
  </si>
  <si>
    <t>נתוני תאגיד כלליים</t>
  </si>
  <si>
    <t>עלות תפעול מים</t>
  </si>
  <si>
    <t>עלות תפעול ביוב</t>
  </si>
  <si>
    <t>פחת חשבונאי מים</t>
  </si>
  <si>
    <t>אורך חיי הנכסים</t>
  </si>
  <si>
    <t>סל מדדים</t>
  </si>
  <si>
    <t>מדד מחירים</t>
  </si>
  <si>
    <t>מדד חשמל</t>
  </si>
  <si>
    <t>ספטמבר 1951 - דצמבר 2013</t>
  </si>
  <si>
    <r>
      <t xml:space="preserve">הבסיס: </t>
    </r>
    <r>
      <rPr>
        <b/>
        <u/>
        <sz val="11"/>
        <color indexed="8"/>
        <rFont val="Arial"/>
        <family val="2"/>
        <charset val="177"/>
      </rPr>
      <t xml:space="preserve">ספטמבר 1951=100.0 </t>
    </r>
  </si>
  <si>
    <t>הנתונים מהתוספת החמישית</t>
  </si>
  <si>
    <t>פסגה</t>
  </si>
  <si>
    <t>מתח נמוך</t>
  </si>
  <si>
    <t>גבע</t>
  </si>
  <si>
    <t>שפל</t>
  </si>
  <si>
    <t>מתח גבוה</t>
  </si>
  <si>
    <t>15.2.2010</t>
  </si>
  <si>
    <t>תעריף אנרגיה מוכר</t>
  </si>
  <si>
    <t>אג'/קווט"ש</t>
  </si>
  <si>
    <t>תעריפי אנרגיה באגורות</t>
  </si>
  <si>
    <t>חורף</t>
  </si>
  <si>
    <t>מעבר</t>
  </si>
  <si>
    <t>קיץ</t>
  </si>
  <si>
    <t>עלייה בין פברואר למרץ</t>
  </si>
  <si>
    <t>22.3.2011</t>
  </si>
  <si>
    <t>15.08.2011</t>
  </si>
  <si>
    <t>עלייה בין מרץ לאוגוסט</t>
  </si>
  <si>
    <t>01.11.2011</t>
  </si>
  <si>
    <t>מקדם קשר</t>
  </si>
  <si>
    <t>מדד שכר ציבורי</t>
  </si>
  <si>
    <t>פחת חשבונאי ביוב</t>
  </si>
  <si>
    <t>ריבית מים</t>
  </si>
  <si>
    <t>ריבית ביוב</t>
  </si>
  <si>
    <t xml:space="preserve">ריבית מוכרת על הלוואה </t>
  </si>
  <si>
    <t>תשואה על מים</t>
  </si>
  <si>
    <t>תשואה על ביוב</t>
  </si>
  <si>
    <t>שיעור תשואה</t>
  </si>
  <si>
    <t>החזר צרכנים מים</t>
  </si>
  <si>
    <t>החזר צרכנים ביוב</t>
  </si>
  <si>
    <t>שנות החזר צרכנים</t>
  </si>
  <si>
    <t>תשואה מוכרת -זכויות מים</t>
  </si>
  <si>
    <t>ריבית מוכרת על זכויות מים</t>
  </si>
  <si>
    <t>תעריף ממוצע רכישת מים-ממקורות גבוה</t>
  </si>
  <si>
    <t>תעריף ממוצע רכישת מים-ממקורות נמוך</t>
  </si>
  <si>
    <t>סיכום עלויות תאגידים</t>
  </si>
  <si>
    <t>עלות לתעריף גבוה-מים</t>
  </si>
  <si>
    <t>עלות לתעריף נמוך-מים</t>
  </si>
  <si>
    <t>עלות ביוב</t>
  </si>
  <si>
    <t>פחת ,תשואה וריבית-מים</t>
  </si>
  <si>
    <t>פחת,תשואה וריבית-ביוב</t>
  </si>
  <si>
    <t>תעריף מט"ש-כולל פחת מים</t>
  </si>
  <si>
    <t>חישוב תעריף מקורות לתאגיד</t>
  </si>
  <si>
    <t>עלות ביוב בתוספת פחת גביה</t>
  </si>
  <si>
    <t>עלות לתאגיד ללא תעריף מקורות ובתוספת פחת גביה</t>
  </si>
  <si>
    <t>תעריף רכישת מים ממקורות ללא פחתי מים וגביה</t>
  </si>
  <si>
    <t>תעריף אחיד נמוך לצרכן ביתי</t>
  </si>
  <si>
    <t>תעריף אחיד גבוה לצרכן ביתי</t>
  </si>
  <si>
    <t>תעריף רכישה  גבוה ממקורות בתוספת פחתי מים וגביה</t>
  </si>
  <si>
    <t>תעריף רכישה נמוך ממקורות בתוספת פחתי מים וגביה</t>
  </si>
  <si>
    <t>חישוב תעריף מקורות עירייה</t>
  </si>
  <si>
    <t>סה"כ תעריף גינון עירייה</t>
  </si>
  <si>
    <t>תעריף גינון ציבורי אחיד לרשויות</t>
  </si>
  <si>
    <t>תעריף מקורות לגינון ציבורי</t>
  </si>
  <si>
    <t>תעריף מקורות בניכוי פחת גביה לגינון ציבורי</t>
  </si>
  <si>
    <t>מוסדות-נתוני 2010</t>
  </si>
  <si>
    <t>סקר 2009</t>
  </si>
  <si>
    <t>מחיר למט"ש (₪ למ"ק)</t>
  </si>
  <si>
    <t>עלות שולית ממקורות ₪ לק"ב</t>
  </si>
  <si>
    <t>תעריף מופחת ₪ לק"ב</t>
  </si>
  <si>
    <t>מצב סוציואקונומי</t>
  </si>
  <si>
    <t>צרכני שפד"ן עם הסכם</t>
  </si>
  <si>
    <t>גריעות ותוספות</t>
  </si>
  <si>
    <t>שירותי תשתית</t>
  </si>
  <si>
    <t>מכירת מים לחקלאות</t>
  </si>
  <si>
    <t>כמות</t>
  </si>
  <si>
    <t>מכירה</t>
  </si>
  <si>
    <t>הכנסה שיש להפחית</t>
  </si>
  <si>
    <t xml:space="preserve">כמות ביוב </t>
  </si>
  <si>
    <t>רכוש קבוע לתאגידים שביצעו עידכון סקר נכסים</t>
  </si>
  <si>
    <t>רשויות שלא התאגדו</t>
  </si>
  <si>
    <t>יתרת פתיחה- מפקד נכסי מים מופחת</t>
  </si>
  <si>
    <t>יתרת פתיחה מפקד נכסי ביוב מופחת</t>
  </si>
  <si>
    <t>הצמדה שוטפת</t>
  </si>
  <si>
    <t>תעריף תעשייה</t>
  </si>
  <si>
    <t>תעריף גינון ציבורי</t>
  </si>
  <si>
    <t>עמודה1</t>
  </si>
  <si>
    <t>עמודה5</t>
  </si>
  <si>
    <t>עמודה6</t>
  </si>
  <si>
    <t>עמודה2</t>
  </si>
  <si>
    <t>עמודה3</t>
  </si>
  <si>
    <t>כמות מים עירייה אחר4</t>
  </si>
  <si>
    <t>עלויות לתעריף גבוה</t>
  </si>
  <si>
    <t>עלויות לתעריף נמוך</t>
  </si>
  <si>
    <t>תעריף ביוב</t>
  </si>
  <si>
    <t>תעריף נמוך+ביוב</t>
  </si>
  <si>
    <t>תעריף מקורות גבוה</t>
  </si>
  <si>
    <t>תעריף חלוקה גבוה</t>
  </si>
  <si>
    <t>תעריף חלוקה נמוך</t>
  </si>
  <si>
    <t>תעריף אחיד רשות מקומית</t>
  </si>
  <si>
    <t>כמויות גינון ציבורי</t>
  </si>
  <si>
    <t xml:space="preserve">מכפלת כמות ותעריף לצרכן גינון </t>
  </si>
  <si>
    <t>מי ברק</t>
  </si>
  <si>
    <t>מי אביב</t>
  </si>
  <si>
    <t>מי קריית אונו</t>
  </si>
  <si>
    <t>עלויות תפעול-לרבות מרכיב פחת מים</t>
  </si>
  <si>
    <t>כולל פחת מים</t>
  </si>
  <si>
    <t xml:space="preserve">הצמדה עד ליום 31.11.2013 </t>
  </si>
  <si>
    <t>תחשיב תעריף נמוך</t>
  </si>
  <si>
    <t>מי שהם</t>
  </si>
  <si>
    <t>שהם</t>
  </si>
  <si>
    <t>מי ציונה מורחב</t>
  </si>
  <si>
    <t>מעיינות העמקים מורחב</t>
  </si>
  <si>
    <t>מי מודיעין מורחב</t>
  </si>
  <si>
    <t>מי לוד מורחב</t>
  </si>
  <si>
    <t>שיעור הון  מוכר להחזר צרכנים</t>
  </si>
  <si>
    <t>סה"כ הצמדה</t>
  </si>
  <si>
    <t xml:space="preserve">(L)
תעריף לכמות שעד לגובה הכמות מוכרת
(בש"ח למ"ק) </t>
  </si>
  <si>
    <t xml:space="preserve"> (H)
תעריף לכמות שמעל הכמות המוכרת
(בש"ח למ"ק)</t>
  </si>
  <si>
    <t xml:space="preserve">(G)
תעריף לגינון ציבורי 
(בש"ח למ"ק) 
</t>
  </si>
  <si>
    <t>תעריף חלוקה נמוך ותיק</t>
  </si>
  <si>
    <t>תעריף חלוקה גבוה ותיק</t>
  </si>
  <si>
    <t>תעריף חלוקה גינון ציבורי ותיק</t>
  </si>
  <si>
    <t>ביוב ותיק</t>
  </si>
  <si>
    <t>תל אביב ב</t>
  </si>
  <si>
    <t>קריית אונו</t>
  </si>
  <si>
    <t>באר מים חיים בע"מ</t>
  </si>
  <si>
    <t>גבעתיים</t>
  </si>
  <si>
    <t>מי גני תקווה</t>
  </si>
  <si>
    <t>מי דרום</t>
  </si>
  <si>
    <t>בדואים</t>
  </si>
  <si>
    <t>ישובי המשולש</t>
  </si>
  <si>
    <t>מי השרון</t>
  </si>
  <si>
    <t>מעיינות השרון בע"מ</t>
  </si>
  <si>
    <t>מעלות</t>
  </si>
  <si>
    <t>מי כרמיאל</t>
  </si>
  <si>
    <t>מי מוצקין</t>
  </si>
  <si>
    <t>גבוה לספק שאינו תאגיד</t>
  </si>
  <si>
    <t>נמוך לספק שאינו תאגיד</t>
  </si>
  <si>
    <t>ביוב ממוצע</t>
  </si>
  <si>
    <t>שנת צירוף לתאגיד</t>
  </si>
  <si>
    <t>ערכי כינון כולל גריעה נורמטיבית</t>
  </si>
  <si>
    <t>שיעורי הגריעה</t>
  </si>
  <si>
    <t>גריעת מים נורמטיבית</t>
  </si>
  <si>
    <t>גריעת ביוב נורמטיבית</t>
  </si>
  <si>
    <t>ערך כינון מים מלא-בניכוי גריעה נורמטיבית</t>
  </si>
  <si>
    <t>חלש רב רשותי</t>
  </si>
  <si>
    <t>מספר ישובים</t>
  </si>
  <si>
    <t>כמות ביוב לפי הכללים</t>
  </si>
  <si>
    <t>איגוד ערים כרמיאל</t>
  </si>
  <si>
    <t>מפיק סובב כנרת</t>
  </si>
  <si>
    <t>מפיק ארצי</t>
  </si>
  <si>
    <t>יובלים אשדוד</t>
  </si>
  <si>
    <t>מי חדרה</t>
  </si>
  <si>
    <t>מי נתניה</t>
  </si>
  <si>
    <t>מי ציונה</t>
  </si>
  <si>
    <t>מי רקת</t>
  </si>
  <si>
    <t>מיתב</t>
  </si>
  <si>
    <t>מניב</t>
  </si>
  <si>
    <t>לא</t>
  </si>
  <si>
    <t>שיוך איזורי</t>
  </si>
  <si>
    <t>תחשיב עלויות מים</t>
  </si>
  <si>
    <t>עלות קווי מים</t>
  </si>
  <si>
    <t>מפקד נכסים קווי מים</t>
  </si>
  <si>
    <t>שיעור אחזקת קווי מים</t>
  </si>
  <si>
    <t>סה"כ עלות קווי מים לק"ב מים</t>
  </si>
  <si>
    <t>עלות תחנות שאיבה</t>
  </si>
  <si>
    <t xml:space="preserve">תחנות שאיבה </t>
  </si>
  <si>
    <t>שיעור אחזקת תחנות שאיבה</t>
  </si>
  <si>
    <t xml:space="preserve">כמויות מים </t>
  </si>
  <si>
    <t>סה"כ עלות תחנות שאיבה לק"ב מים</t>
  </si>
  <si>
    <t>עלות בריכות ומגדלים</t>
  </si>
  <si>
    <t>שיעור אחזקת בריכות ומגדלים</t>
  </si>
  <si>
    <t>סה"כ עלות בריכות ומגדלים לק"ב מים</t>
  </si>
  <si>
    <t>עלות אחזקת מוני מים</t>
  </si>
  <si>
    <t>מספר צרכנים</t>
  </si>
  <si>
    <t>עלות לשנה לצרכן</t>
  </si>
  <si>
    <t>סה"כ עלות אחזקת מוני מים</t>
  </si>
  <si>
    <t>עלות אנרגיה</t>
  </si>
  <si>
    <t>סה"כ עלות אנרגיה  לק"ב מים</t>
  </si>
  <si>
    <t>ארנונה ושמירה</t>
  </si>
  <si>
    <t>שיעור אחזקה לארנונה ושמירה-מים</t>
  </si>
  <si>
    <t xml:space="preserve">כמות מים </t>
  </si>
  <si>
    <t>סה"כ עלות ארנונה ושמירה לק"ב מים</t>
  </si>
  <si>
    <t>תחשיב עלויות ביוב</t>
  </si>
  <si>
    <t>עלות קווי ביוב</t>
  </si>
  <si>
    <t>מפקד נכסים קווי ביוב</t>
  </si>
  <si>
    <t>שיעור אחזקת קווי ביוב</t>
  </si>
  <si>
    <t>סה"כ עלות קווי ביוב לק"ב ביוב</t>
  </si>
  <si>
    <t>שיעור אחזקת תחנות שאיבה- ביוב</t>
  </si>
  <si>
    <t>סה"כ עלות תחנות שאיבה לק"ב ביוב</t>
  </si>
  <si>
    <t>עלות גנרטורים</t>
  </si>
  <si>
    <t xml:space="preserve">גנרטורים </t>
  </si>
  <si>
    <t>שיעור אחזקת דיזל גנרטורים</t>
  </si>
  <si>
    <t>סה"כ עלות דיזל גנרטורים לק"ב ביוב</t>
  </si>
  <si>
    <t>עלות קווי סניקה</t>
  </si>
  <si>
    <t>קווי סניקה</t>
  </si>
  <si>
    <t>שיעור אחזקת קווי סניקה</t>
  </si>
  <si>
    <t>סה"כ עלות קווי סניקה לק"ב ביוב</t>
  </si>
  <si>
    <t>עלות אנרגיה בביוב</t>
  </si>
  <si>
    <t>כמות ביוב</t>
  </si>
  <si>
    <t>סה"כ עלות אנרגיה לק"ב ביוב</t>
  </si>
  <si>
    <t>עלות ארנונה ושמירה בביוב</t>
  </si>
  <si>
    <t>שיעור אחזקה לארנונה ושמירה-ביוב</t>
  </si>
  <si>
    <t>סה"כ עלות ארנונה ושמירה לק"ב ביוב</t>
  </si>
  <si>
    <t>עלות הנהלה</t>
  </si>
  <si>
    <t>כמות מים תאגיד מרחבי</t>
  </si>
  <si>
    <t>כמו תמים תאגיד מרחבי ממוצע</t>
  </si>
  <si>
    <t>מקדם לגודל תאגיד</t>
  </si>
  <si>
    <t>מקדם הנהלה</t>
  </si>
  <si>
    <t>תקורת הנהלה בתאגיד המרחבי</t>
  </si>
  <si>
    <t>סה"כ עלות הנהלה</t>
  </si>
  <si>
    <t>כח אדם</t>
  </si>
  <si>
    <t>תוספת לעלויות גביה למצב סוציואקונומי</t>
  </si>
  <si>
    <t>עלות גביה-קבועה</t>
  </si>
  <si>
    <t>תקורה תאגיד מרחבי</t>
  </si>
  <si>
    <t>תקורת גביה מרחבית</t>
  </si>
  <si>
    <t>סה"כ עלות גביה קבועה</t>
  </si>
  <si>
    <t>עלות גביה- משתנה</t>
  </si>
  <si>
    <t xml:space="preserve">כמות מים תאגיד </t>
  </si>
  <si>
    <t>עלויות גביה משתנות לצרכן</t>
  </si>
  <si>
    <t>סה"כ עלויות גביה משתנות</t>
  </si>
  <si>
    <t>תקורת אחזקת מים</t>
  </si>
  <si>
    <t>סה"כ תקורת אחזקת מים</t>
  </si>
  <si>
    <t>תקורת אחזקת ביוב</t>
  </si>
  <si>
    <t>סה"כ תקורת אחזקת ביוב</t>
  </si>
  <si>
    <t>תוספת עלות לצרכן גדול</t>
  </si>
  <si>
    <t>צרכנים גדולים</t>
  </si>
  <si>
    <t xml:space="preserve">שיעור תוספת </t>
  </si>
  <si>
    <t>סה"כ תוספת לצרכן גדול</t>
  </si>
  <si>
    <t>תוספת עלות לצרכן תעשייה גדול</t>
  </si>
  <si>
    <t>צרכני תעשייה</t>
  </si>
  <si>
    <t>שיעור תוספת</t>
  </si>
  <si>
    <t>סה"כ תוספת לצרכן  תעשייה גדול</t>
  </si>
  <si>
    <t>תוספת תיאגוד רב איזורי</t>
  </si>
  <si>
    <t>מספר ישובים חדשים בתאגיד</t>
  </si>
  <si>
    <t>מספר ישובים בתאגיד</t>
  </si>
  <si>
    <t>תוספת לכל יישוב נוסף</t>
  </si>
  <si>
    <t>סה"כ תוספת תאגוד איזורי</t>
  </si>
  <si>
    <t>החזר צרכנים שפכי תעשייה</t>
  </si>
  <si>
    <t>תוספת מפעילי מט"ש</t>
  </si>
  <si>
    <t>שירותי תשתית מים</t>
  </si>
  <si>
    <t>עלות שירותי תשתית</t>
  </si>
  <si>
    <t>סה"כ עלות שירותי תשתית</t>
  </si>
  <si>
    <t>שירותי תשתית-ביוב</t>
  </si>
  <si>
    <t>עלות שירותי תשתית-ביוב</t>
  </si>
  <si>
    <t>סה"כ שירותי תשתית ביוב</t>
  </si>
  <si>
    <t>קטימה</t>
  </si>
  <si>
    <t>סה"כ עלויות אחזקת רשת מים ותקורת מים</t>
  </si>
  <si>
    <t>סה"כ עלויות אחזקת רשת ביוב ותקורת ביוב</t>
  </si>
  <si>
    <t>עלויות גביה</t>
  </si>
  <si>
    <t>עלויות הנהלה וכלליות</t>
  </si>
  <si>
    <t>סה"כ נורמת תפעול 2015</t>
  </si>
  <si>
    <t>סה"כ נורמת תפעול 2015 לאחר קטימה</t>
  </si>
  <si>
    <t>כן</t>
  </si>
  <si>
    <t>וטאעיכע</t>
  </si>
  <si>
    <t>שיוך מרחבי</t>
  </si>
  <si>
    <t>אזור פ''ת</t>
  </si>
  <si>
    <t>אזור הגליל המזרחי</t>
  </si>
  <si>
    <t xml:space="preserve">אזור שרון צפוני </t>
  </si>
  <si>
    <t>אזור יו"ש</t>
  </si>
  <si>
    <t xml:space="preserve">אזור המרכז </t>
  </si>
  <si>
    <t xml:space="preserve">אזור י-ם </t>
  </si>
  <si>
    <t xml:space="preserve">אזור הערבה </t>
  </si>
  <si>
    <t>אזור נצרת</t>
  </si>
  <si>
    <t xml:space="preserve">אזור הדרום </t>
  </si>
  <si>
    <t>אזור הנגב</t>
  </si>
  <si>
    <t>אזור השפלה</t>
  </si>
  <si>
    <t>אזור הגליל המערבי</t>
  </si>
  <si>
    <t>אזור חיפה והקריות</t>
  </si>
  <si>
    <t>אזור השרון</t>
  </si>
  <si>
    <t>אזור ת"א מרכז</t>
  </si>
  <si>
    <t>רשימת ישובי התאגיד</t>
  </si>
  <si>
    <t xml:space="preserve">פתח תקוה  אלעד כפר ברא    </t>
  </si>
  <si>
    <t>קרית שמונה מטולה  קצרין מג'דל שמס מסעדה עין קיניא בוקעאתא</t>
  </si>
  <si>
    <t xml:space="preserve">נתניה      </t>
  </si>
  <si>
    <t xml:space="preserve">אריאל קרני שומרון     </t>
  </si>
  <si>
    <t xml:space="preserve">מודיעין-מכבים-רעות      </t>
  </si>
  <si>
    <t xml:space="preserve">ירושלים  אבו גוש מבשרת ציון    </t>
  </si>
  <si>
    <t xml:space="preserve">ראשון לציון      </t>
  </si>
  <si>
    <t xml:space="preserve">אילת       </t>
  </si>
  <si>
    <t xml:space="preserve">נצרת עילית  מגדל העמק עפולה    </t>
  </si>
  <si>
    <t xml:space="preserve">טבריה מגדל יבניאל כפר כמא   </t>
  </si>
  <si>
    <t xml:space="preserve">אשדוד      </t>
  </si>
  <si>
    <t xml:space="preserve">באר שבע אופקים     </t>
  </si>
  <si>
    <t xml:space="preserve">חולון אזור בית דגן אור יהודה   </t>
  </si>
  <si>
    <t>צפת חצור הגלילית טובא-זנגרייה גוש חלב יסוד המעלה פקיעין חורפישפסוטה מגארראמה סאג'ורעילבון בית ג'אן</t>
  </si>
  <si>
    <t xml:space="preserve">בני ברק      </t>
  </si>
  <si>
    <t xml:space="preserve">נס ציונה קריית עקרון מזכרת בתיה    </t>
  </si>
  <si>
    <t xml:space="preserve">לוד      </t>
  </si>
  <si>
    <t xml:space="preserve">רמלה      </t>
  </si>
  <si>
    <t xml:space="preserve">חדרה      </t>
  </si>
  <si>
    <t>כפר כנא טורעאן בועיינה-נוג'ידאת דבורייה עין מאהל משהד שיבלי</t>
  </si>
  <si>
    <t>אום אל-פחם ערערה כפר קרע מעלה עירון בסמ"ה באקה ג'את זמר</t>
  </si>
  <si>
    <t xml:space="preserve">נצרת ריינה יפיע עילוט אכסאל  </t>
  </si>
  <si>
    <t xml:space="preserve">מעלות-תרשיחא שלומי כפר ורדים כסרא-סמיע   </t>
  </si>
  <si>
    <t xml:space="preserve">קריית אתא      </t>
  </si>
  <si>
    <t xml:space="preserve">רעננה      </t>
  </si>
  <si>
    <t xml:space="preserve">קריית גת      </t>
  </si>
  <si>
    <t xml:space="preserve">הרצליה      </t>
  </si>
  <si>
    <t xml:space="preserve">רמת השרון      </t>
  </si>
  <si>
    <t xml:space="preserve">חיפה      </t>
  </si>
  <si>
    <t xml:space="preserve">יבנה גן יבנה     </t>
  </si>
  <si>
    <t xml:space="preserve">כרמיאל      </t>
  </si>
  <si>
    <t xml:space="preserve">רהט      </t>
  </si>
  <si>
    <t xml:space="preserve">ראש העין      </t>
  </si>
  <si>
    <t xml:space="preserve">קריית מוצקין רכסים טירת הכרמל    </t>
  </si>
  <si>
    <t xml:space="preserve">קריית ביאליק      </t>
  </si>
  <si>
    <t xml:space="preserve">תל אביב-יפו      </t>
  </si>
  <si>
    <t xml:space="preserve">אבן יהודה כפר יונה פרדסיה קדימה צורן תל מונד  </t>
  </si>
  <si>
    <t xml:space="preserve">תל שבע כסיפה ערערה בנגב לקיה חורה שגב שלום </t>
  </si>
  <si>
    <t xml:space="preserve">רמת גן      </t>
  </si>
  <si>
    <t xml:space="preserve">גבעתיים       </t>
  </si>
  <si>
    <t xml:space="preserve">בת ים       </t>
  </si>
  <si>
    <t xml:space="preserve">קרית אונו       </t>
  </si>
  <si>
    <t>שפרעם  כפר מנדא  זרזיר כאבול  טמרה בסמת טבעון  שעב אעבלין   כאוכבביר אל מכסור</t>
  </si>
  <si>
    <t xml:space="preserve">בית שמש      </t>
  </si>
  <si>
    <t xml:space="preserve">הוד השרון      </t>
  </si>
  <si>
    <t xml:space="preserve">אשקלון  נתיבות     </t>
  </si>
  <si>
    <t xml:space="preserve">עכו      </t>
  </si>
  <si>
    <t xml:space="preserve"> ג'לג'וליה  כפר קאסם טירה   </t>
  </si>
  <si>
    <t xml:space="preserve">קריית ים      </t>
  </si>
  <si>
    <t xml:space="preserve">קריית טבעון יקנעם עילית רמת ישי    </t>
  </si>
  <si>
    <t xml:space="preserve">דימונה ערד ירוחם מצפה רמון   </t>
  </si>
  <si>
    <t>אבו סנאן ג'דידה אלמכר ג'וליס  כפר יאסיף ירכא מזרעה יאנוח ג'ת</t>
  </si>
  <si>
    <t>דיר אלאסד דיר חנא נחף עראבה סכנין בענה מג'דל כרום</t>
  </si>
  <si>
    <t xml:space="preserve">כפר סבא צור יגאל     </t>
  </si>
  <si>
    <t xml:space="preserve">גני תקווה      </t>
  </si>
  <si>
    <t>שנות גריעה</t>
  </si>
  <si>
    <t>השקעות קווי מים נטו</t>
  </si>
  <si>
    <t>השקעות תחנות שאיבה נטו</t>
  </si>
  <si>
    <t>השקעות בריכות ומגדלים נטו</t>
  </si>
  <si>
    <t>השקעות בקווי  ביוב נטו</t>
  </si>
  <si>
    <t>השקעה בפרויטק המובלים</t>
  </si>
  <si>
    <t>תחנות שאיבה ביוב נטו</t>
  </si>
  <si>
    <t>סה"כ תחנות שאיבה</t>
  </si>
  <si>
    <t>קווי הולכה</t>
  </si>
  <si>
    <t>סה"כ קווי הולכה</t>
  </si>
  <si>
    <t>רשימת הישובי התאגיד</t>
  </si>
  <si>
    <t>תחנות שאיבה-ביוב</t>
  </si>
  <si>
    <t>אנרגיה במים</t>
  </si>
  <si>
    <t>אנרגיה בביוב</t>
  </si>
  <si>
    <t>גריעת תחנות שאיבה מים נורמטיבית</t>
  </si>
  <si>
    <t>גריעת קווי ביוב נורמטיבית</t>
  </si>
  <si>
    <t>גריעת תחנות שאיבה ביוב נורמטיבית</t>
  </si>
  <si>
    <t>הרי נצרת</t>
  </si>
  <si>
    <t>פלג הגליל</t>
  </si>
  <si>
    <t xml:space="preserve">  מינהל המים ברשויות המקומיות</t>
  </si>
  <si>
    <t xml:space="preserve">  והממונה על התאגידים</t>
  </si>
  <si>
    <t xml:space="preserve">תיאגוד משק המים והביוב העירוני - הצעה ל-15 תאגידים מרחביים </t>
  </si>
  <si>
    <t xml:space="preserve">תאגיד מאוחד </t>
  </si>
  <si>
    <t xml:space="preserve">רשויות מקומיות החברות בתאגיד </t>
  </si>
  <si>
    <t>מס' רשויות בתאגיד</t>
  </si>
  <si>
    <t>סה"כ צריכת מים (מ"ק)</t>
  </si>
  <si>
    <t>שייכות למערכות טיהור שפכים</t>
  </si>
  <si>
    <t>מס' תושבים (באלפים)</t>
  </si>
  <si>
    <t>מקדם סוציו אקונומי משוקלל</t>
  </si>
  <si>
    <t>סה"כ סוציו</t>
  </si>
  <si>
    <t>סוציו משוקלל לתאגיד</t>
  </si>
  <si>
    <t xml:space="preserve">כמות לביוב </t>
  </si>
  <si>
    <t>מט"ש אילת</t>
  </si>
  <si>
    <t xml:space="preserve">ערערה בנגב, תל-שבע, חורה, כסייפה, לקיה , שגב-שלום </t>
  </si>
  <si>
    <t>מט"ש ב"ש, מט"ש ערערה, מט"ש ערד, שוקת</t>
  </si>
  <si>
    <t xml:space="preserve">רהט                 </t>
  </si>
  <si>
    <t xml:space="preserve">מט"ש רהט </t>
  </si>
  <si>
    <t>באר-שבע, אופקים</t>
  </si>
  <si>
    <t>מט"ש ב"ש</t>
  </si>
  <si>
    <t>ערד, דימונה, ירוחם, מצפה-רמון</t>
  </si>
  <si>
    <t>מט"ש ערד, ירוחם, דימונה ומצפה רמון</t>
  </si>
  <si>
    <t>קרית-גת</t>
  </si>
  <si>
    <t xml:space="preserve">קרית גת, </t>
  </si>
  <si>
    <t>טרם אוגדו :</t>
  </si>
  <si>
    <t xml:space="preserve">שוקת, </t>
  </si>
  <si>
    <t>מט"ש אשדוד</t>
  </si>
  <si>
    <t>אשקלון, נתיבות</t>
  </si>
  <si>
    <t xml:space="preserve">יבנה , גן-יבנה               </t>
  </si>
  <si>
    <t>יבנה, באר טוביה</t>
  </si>
  <si>
    <t>נשג"ב</t>
  </si>
  <si>
    <t>י-ם, אבו-גוש, מבשרת-ציון</t>
  </si>
  <si>
    <t>שורק, אוג, קדרון</t>
  </si>
  <si>
    <t>קרית יערים -טרם אוגדו :</t>
  </si>
  <si>
    <t>בית שמש (שמשון)</t>
  </si>
  <si>
    <t>אריאל, קרני-שומרון</t>
  </si>
  <si>
    <t>דרום שרון, אריאל</t>
  </si>
  <si>
    <t>כלל היישובים ביו''ש</t>
  </si>
  <si>
    <t>ראשל"צ</t>
  </si>
  <si>
    <t xml:space="preserve">בית שמש             </t>
  </si>
  <si>
    <t>באר יעקב-טרם אוגדו :</t>
  </si>
  <si>
    <t>נס-ציונה, קרית-עקרון, מזכרת-בתיה</t>
  </si>
  <si>
    <t>שפד"ן, ברנר</t>
  </si>
  <si>
    <t xml:space="preserve">בת ים               </t>
  </si>
  <si>
    <t>הבאר השלישית  - בהקמה</t>
  </si>
  <si>
    <t>חולון , אזור, בית-דגן</t>
  </si>
  <si>
    <t>קרית-אונו</t>
  </si>
  <si>
    <t>פ"ת, אלעד, כפר-ברא</t>
  </si>
  <si>
    <t>שפד"ן, חורשים</t>
  </si>
  <si>
    <t xml:space="preserve">ראש העין </t>
  </si>
  <si>
    <t>מי גבעת שמואל - בהקמה</t>
  </si>
  <si>
    <t>בני-ברק</t>
  </si>
  <si>
    <t xml:space="preserve">גבעתיים             </t>
  </si>
  <si>
    <t xml:space="preserve">מי רמת גן </t>
  </si>
  <si>
    <t xml:space="preserve">תל אביב - יפו       </t>
  </si>
  <si>
    <t xml:space="preserve">הוד השרון           </t>
  </si>
  <si>
    <t>כ"ס-הוד השרון</t>
  </si>
  <si>
    <t xml:space="preserve">הרצליה, </t>
  </si>
  <si>
    <t xml:space="preserve">רעננה, </t>
  </si>
  <si>
    <t>רמת-השרון</t>
  </si>
  <si>
    <t xml:space="preserve">רמת השרון, </t>
  </si>
  <si>
    <t>טירה , ג'לג'וליה, כפר-קאסם</t>
  </si>
  <si>
    <t>חורשים, שפד"ן</t>
  </si>
  <si>
    <t>כפר-סבא, צור-יגאל</t>
  </si>
  <si>
    <t xml:space="preserve">תנובות (קלנסווה), </t>
  </si>
  <si>
    <t xml:space="preserve">אבן יהודה , כפר-יונה, פרדסיה, קדימה-צורן,  תל-מונד     </t>
  </si>
  <si>
    <t>הדרים, נתניה, תנובות, קולחי השרון</t>
  </si>
  <si>
    <r>
      <t xml:space="preserve">אום אל-פאחם, בסמה, כפר-קרע, ערערה, מעלה-עירון, באקה ג'את, </t>
    </r>
    <r>
      <rPr>
        <sz val="12"/>
        <color indexed="60"/>
        <rFont val="David"/>
        <family val="2"/>
        <charset val="177"/>
      </rPr>
      <t>זמר</t>
    </r>
  </si>
  <si>
    <t>עין שמר, מעלה עירון, מט"ש באקה</t>
  </si>
  <si>
    <t>חריש</t>
  </si>
  <si>
    <t xml:space="preserve">חריש </t>
  </si>
  <si>
    <t>אליכין, חדרה, מעיין צבי</t>
  </si>
  <si>
    <t xml:space="preserve">חיפה                </t>
  </si>
  <si>
    <t xml:space="preserve">חיפה, </t>
  </si>
  <si>
    <t>קרית-אתא</t>
  </si>
  <si>
    <t xml:space="preserve">קרית מוצקין         </t>
  </si>
  <si>
    <t xml:space="preserve">קרית ים             </t>
  </si>
  <si>
    <t xml:space="preserve">עכו                 </t>
  </si>
  <si>
    <t>טרם אוגדו:</t>
  </si>
  <si>
    <t>כעבייה</t>
  </si>
  <si>
    <t xml:space="preserve">קרית טבעון , יקנעם עלית, רמת-ישי          </t>
  </si>
  <si>
    <t>יקנעם-טבעון, רמת ישי</t>
  </si>
  <si>
    <t xml:space="preserve">אעבלין ,  בסמת-טבעון, זרזיר, טמרה, כאבול, כפר-מנדא, שעב, שפרעם ,     כאוכב , ביר אל מכסור       </t>
  </si>
  <si>
    <t>חיפה, זרזיר, עכו, כרמיאל, בית נטופה</t>
  </si>
  <si>
    <t>נצרת, איכסאל, יפיע, עילוט, ריינה</t>
  </si>
  <si>
    <t>תל עדשים, רנ"י, דברת</t>
  </si>
  <si>
    <t>כפרי גליל תחתון</t>
  </si>
  <si>
    <t>בועיינה-נוג'ידאת, דבורייה, טורעאן, כפר-כנא, משהד, שיבלי , עין מאהל</t>
  </si>
  <si>
    <t>אשדה אילן, בית נטופה, דברת בית קשת, דברת, רנ"י</t>
  </si>
  <si>
    <r>
      <t xml:space="preserve">נצרת-עלית, מגדל העמק, </t>
    </r>
    <r>
      <rPr>
        <sz val="12"/>
        <color indexed="60"/>
        <rFont val="David"/>
        <family val="2"/>
        <charset val="177"/>
      </rPr>
      <t>עפולה</t>
    </r>
  </si>
  <si>
    <t>תל עדשים, רנ"י, מ.העמק</t>
  </si>
  <si>
    <t>מקומי זמני</t>
  </si>
  <si>
    <r>
      <t xml:space="preserve">אבו סנאן , ג'דיידה מאכר, ג'וליס, כפר יאסיף, ירכא, מזרעה, יאנוח ג'את, </t>
    </r>
    <r>
      <rPr>
        <sz val="12"/>
        <color indexed="60"/>
        <rFont val="David"/>
        <family val="2"/>
        <charset val="177"/>
      </rPr>
      <t>עוספיא ודליה</t>
    </r>
  </si>
  <si>
    <t>עכו, מקומי זמני</t>
  </si>
  <si>
    <t>מי הגליל</t>
  </si>
  <si>
    <t>דיר אל אסד, בענה, מג'ד אל כרום, דיר-חנא, נחף, עראבה, סכנין</t>
  </si>
  <si>
    <t xml:space="preserve">כרמיאל, </t>
  </si>
  <si>
    <t>מעלות,שלומי, כסרא סמייע, כפר ורדים</t>
  </si>
  <si>
    <t xml:space="preserve">געתון, שלומי, </t>
  </si>
  <si>
    <t xml:space="preserve">כרמיאל              </t>
  </si>
  <si>
    <t>קרית-שמונה , מטולה , קצרין,</t>
  </si>
  <si>
    <t>קצרין, קריית שמונה</t>
  </si>
  <si>
    <t>חצור , צפת, טובא-זנגריא, גוש-חלב, יסוד המעלה, מראר , ראמה,עילבון, בית-ג'אן, סאג'ור , חורפייש, פסוטה, פקיעין</t>
  </si>
  <si>
    <t>צח"ר, לבנים, כרמיאל, פארוד, צפת, דלתון, יסוד המעלה, מקומי זמני</t>
  </si>
  <si>
    <t>טבריה , יבניאל, מגדל, כפר-קמא</t>
  </si>
  <si>
    <t>טבריה, חיטין, יבנאל, לבנים</t>
  </si>
  <si>
    <t>מעילייא</t>
  </si>
  <si>
    <t>ללא הרשויות : מגדל תפן, רמת חובב ורג'ר</t>
  </si>
  <si>
    <t>תעריף בסיסי</t>
  </si>
  <si>
    <t>תעריף שולי</t>
  </si>
  <si>
    <t>ריכוז הנתונים לאיחוד 15 תאגידים</t>
  </si>
  <si>
    <t>מס"ד</t>
  </si>
  <si>
    <t>שם התאגיד המאוחד</t>
  </si>
  <si>
    <t xml:space="preserve">סה"כ צריכת מים (מ"ק) 2010 </t>
  </si>
  <si>
    <t>אזור הערבה</t>
  </si>
  <si>
    <t>אזור דרום</t>
  </si>
  <si>
    <t>אזור י-ם</t>
  </si>
  <si>
    <t>אזור מרכז</t>
  </si>
  <si>
    <t>אזור השרון הצפוני</t>
  </si>
  <si>
    <t xml:space="preserve">אזור הגליל המערבי </t>
  </si>
  <si>
    <t>תאגיד קטן</t>
  </si>
  <si>
    <t>תאגיד גדול</t>
  </si>
  <si>
    <t xml:space="preserve"> הוצאות הנהלה</t>
  </si>
  <si>
    <t>באור</t>
  </si>
  <si>
    <t>משכורות ונלוות</t>
  </si>
  <si>
    <t xml:space="preserve">באור שכר עבודה </t>
  </si>
  <si>
    <t>דמי שכירות</t>
  </si>
  <si>
    <t xml:space="preserve">מדובר על 750 מ"ר בעלות חודשית של 60 ₪ </t>
  </si>
  <si>
    <t>ביטוח</t>
  </si>
  <si>
    <t>ארנונה</t>
  </si>
  <si>
    <t>הוצאות אחרות</t>
  </si>
  <si>
    <t>יעוץ מקצועי</t>
  </si>
  <si>
    <t>אחזקת כלי רכב</t>
  </si>
  <si>
    <t>ארבעה רכבים צמודים בעלות של 4.5 אלפי ₪ בחודש</t>
  </si>
  <si>
    <t xml:space="preserve">פיצויים ותביעות </t>
  </si>
  <si>
    <t xml:space="preserve">שונות </t>
  </si>
  <si>
    <t>סה"כ הנהלה</t>
  </si>
  <si>
    <t>תעריף למ"ק</t>
  </si>
  <si>
    <t>דמי ניהול למשרדים</t>
  </si>
  <si>
    <t xml:space="preserve">מיסים עירוניים </t>
  </si>
  <si>
    <t xml:space="preserve">ניקיון </t>
  </si>
  <si>
    <t>מחשבים+תוכנה ניהולית</t>
  </si>
  <si>
    <t>תקשורת</t>
  </si>
  <si>
    <t>מדפסות</t>
  </si>
  <si>
    <t xml:space="preserve">הדרכות שונות </t>
  </si>
  <si>
    <t xml:space="preserve">כיבודים ושונות </t>
  </si>
  <si>
    <t>יועץ משפטי</t>
  </si>
  <si>
    <t>תביעות משפטיות</t>
  </si>
  <si>
    <t>מבקר חיצוני</t>
  </si>
  <si>
    <t>מבקר פנים</t>
  </si>
  <si>
    <t>יועץ מחשוב</t>
  </si>
  <si>
    <t>דוברות</t>
  </si>
  <si>
    <t xml:space="preserve">שכר עבודה </t>
  </si>
  <si>
    <t>מנכ"ל</t>
  </si>
  <si>
    <t>סמנכ"ל כספים</t>
  </si>
  <si>
    <t>סמנכ"ל תפעול</t>
  </si>
  <si>
    <t>אחראי - משא"ן, רכש, ביטוחים, מחשבים, רכבים ומנהלה</t>
  </si>
  <si>
    <t>סמנכ"ל הנדסה</t>
  </si>
  <si>
    <t xml:space="preserve">הנהלת חשבונות 5 משרות </t>
  </si>
  <si>
    <t xml:space="preserve">פקידות - 6 משרות </t>
  </si>
  <si>
    <t xml:space="preserve">משרות נוספות או הוצאות נוספות </t>
  </si>
  <si>
    <t>עלות נורמטיבית למערך גביה ושרות לקוחות</t>
  </si>
  <si>
    <t>סכומים באלפי ₪</t>
  </si>
  <si>
    <t>באור שכר</t>
  </si>
  <si>
    <t>מבנה + שמירה + אחזקת מבנה</t>
  </si>
  <si>
    <t>1000 מ"ר בעלות 72 ₪ למ"ר כולל אחזקת מבנה לחודש בתוספת ניקיון 6000 ₪ לחודש</t>
  </si>
  <si>
    <t>לפי 15 ₪ למ"ר לחודש</t>
  </si>
  <si>
    <t>באור הוצאות אחרות</t>
  </si>
  <si>
    <t>ייעוץ מקצועי בנושא שרות לקוחות</t>
  </si>
  <si>
    <t>לפי נתוני תאגידים בתוספת לפחת הנהלה</t>
  </si>
  <si>
    <t>4 רכבי שרות או קטנועים</t>
  </si>
  <si>
    <t>הוצאות משתנות</t>
  </si>
  <si>
    <t>באור הוצאות משתנות</t>
  </si>
  <si>
    <t>סה"כ מערך גביה</t>
  </si>
  <si>
    <t xml:space="preserve">תקורת גביה </t>
  </si>
  <si>
    <t xml:space="preserve">ביאור שכר נורמטיבי - עובדי גביה ושרות </t>
  </si>
  <si>
    <t>ניתוח משכורות ונלוות</t>
  </si>
  <si>
    <t>עלות בש"ח</t>
  </si>
  <si>
    <t>מנהל שרות לקוחות</t>
  </si>
  <si>
    <t>פקידי קבלת קהל</t>
  </si>
  <si>
    <t>פקידי מענה טלפוני</t>
  </si>
  <si>
    <t>כמות בדיקה לוגית</t>
  </si>
  <si>
    <t>כמות עובדי שטח</t>
  </si>
  <si>
    <t>פקידי מענה לפניות הציבור</t>
  </si>
  <si>
    <t>תוספת מצב סוציו אקונומי נמוך מ 5</t>
  </si>
  <si>
    <t>תוספת מצב סוציו אקונומי נמוך מ 4</t>
  </si>
  <si>
    <t>בין 4 ל 3</t>
  </si>
  <si>
    <t>תוספת מצב סוציו אקונומי נמוך מ 3</t>
  </si>
  <si>
    <t>נמוך מ 3</t>
  </si>
  <si>
    <t xml:space="preserve">ביאור הוצאות אחרות -נורמטיבי  </t>
  </si>
  <si>
    <t>עלות באלפי ₪</t>
  </si>
  <si>
    <t>ביגוד מדים ניירת קפה</t>
  </si>
  <si>
    <t>חשמל</t>
  </si>
  <si>
    <t>מחשבים פנים ארגוני</t>
  </si>
  <si>
    <t>מדפסות/סורקים</t>
  </si>
  <si>
    <t>הדרכות</t>
  </si>
  <si>
    <t>ביאור הוצאות משתנות – נורמטיבי</t>
  </si>
  <si>
    <t>הוצאות משתנות לצרכן</t>
  </si>
  <si>
    <t>מיכון - מערכת חיובים</t>
  </si>
  <si>
    <t>לפי תוצאות מכרזים</t>
  </si>
  <si>
    <t>עלות קריאות מונים</t>
  </si>
  <si>
    <t>עלות חלוקת שוברים</t>
  </si>
  <si>
    <t>עלות הפקת שוברים</t>
  </si>
  <si>
    <t>עמלות - בנקים, כ.א. בנק הדואר</t>
  </si>
  <si>
    <t>לפי נתונים מתאגידים</t>
  </si>
  <si>
    <t>סוג הוצאה</t>
  </si>
  <si>
    <t>עלות שנתית לצרכן בש"ח</t>
  </si>
  <si>
    <t>מתומחר לתאגיד גדול מערך בילינג בשרותי ענן לפי 0.65 ₪ לצרכן לחודש</t>
  </si>
  <si>
    <t xml:space="preserve">מתומחר לפי 1.8 ₪ לקריאה למונה כולל לוגית ראשונה </t>
  </si>
  <si>
    <t xml:space="preserve">מתומחר לפי 1.5 ₪ למשלוח שובר חיוב </t>
  </si>
  <si>
    <t>מתומחר לפי 40 אג' להפקת שובר</t>
  </si>
  <si>
    <t>עלות עמלות בנק דואר וכ.א.</t>
  </si>
  <si>
    <t>עמלות ממוצעת לפי דוחות כספיים</t>
  </si>
  <si>
    <t>סה"כ משתנות גביה לצרכן</t>
  </si>
  <si>
    <t xml:space="preserve">אחזקת מונה </t>
  </si>
  <si>
    <t xml:space="preserve">אחזקת מונה מים </t>
  </si>
  <si>
    <t xml:space="preserve">אחזקת מונה ביוב </t>
  </si>
  <si>
    <t>מספר צרכנים ממוצע</t>
  </si>
  <si>
    <t>גביה</t>
  </si>
  <si>
    <t>תקורת רשת מים</t>
  </si>
  <si>
    <t>שכר עבודה וכלי רכב</t>
  </si>
  <si>
    <t>באור שכר עבודה</t>
  </si>
  <si>
    <t>מוקד תקלות</t>
  </si>
  <si>
    <t>מחצית עלות מוקד תקלות</t>
  </si>
  <si>
    <t>טלפונים ותקשורת</t>
  </si>
  <si>
    <t>מערכת פיקוד ובקרה</t>
  </si>
  <si>
    <t>מחסן ציוד חירום</t>
  </si>
  <si>
    <t>מחצית עלות 1000 מ"ר לפי 40 ₪ לחודש בתוספת ארנונה</t>
  </si>
  <si>
    <t>דגימות מים</t>
  </si>
  <si>
    <t>יעוץ</t>
  </si>
  <si>
    <t>אחרות</t>
  </si>
  <si>
    <t>למ"ק</t>
  </si>
  <si>
    <t>ביאור שכר עבודה נורמטיבי - מערך ביוב</t>
  </si>
  <si>
    <t>תקורת רשת ביוב</t>
  </si>
  <si>
    <t>באלפי ₪</t>
  </si>
  <si>
    <t>כמויות מים לתאגיד ממוצע</t>
  </si>
  <si>
    <t>אחוז ההתבייבות ביישובי התאגידים הזכאים</t>
  </si>
  <si>
    <t>אוכלוסיה  2010</t>
  </si>
  <si>
    <t>אוכלוסיה לא מבוייבת</t>
  </si>
  <si>
    <t>כמויות מים 2010</t>
  </si>
  <si>
    <t xml:space="preserve">כמות בתי אב </t>
  </si>
  <si>
    <t xml:space="preserve">בתי אב לא מבוייבים </t>
  </si>
  <si>
    <t>יחס בורות לבתי אב 1/4</t>
  </si>
  <si>
    <t xml:space="preserve">כמות פינויים חודשית </t>
  </si>
  <si>
    <t xml:space="preserve">מקדם ספיגה </t>
  </si>
  <si>
    <t xml:space="preserve">עלות פינוי ₪ </t>
  </si>
  <si>
    <t>עלות חודשית ₪</t>
  </si>
  <si>
    <t>עלות שנתית ₪</t>
  </si>
  <si>
    <t xml:space="preserve">מ"ק שאיבה </t>
  </si>
  <si>
    <t xml:space="preserve">תחשיב גביה שנתית מהלקוח רכיב חלוקה ביוב </t>
  </si>
  <si>
    <t>סה"כ עלות שירותי פינוי נטו</t>
  </si>
  <si>
    <t>פיצוי לתאגיד ברכיב תפעול</t>
  </si>
  <si>
    <t>מקדם הפחתה בכללים</t>
  </si>
  <si>
    <t>שם היישוב</t>
  </si>
  <si>
    <t>אחוז התבייבות %</t>
  </si>
  <si>
    <t>טובא זנג'רייה</t>
  </si>
  <si>
    <t>מג'אר</t>
  </si>
  <si>
    <t>סה"כ לתאגיד אחוז התבייבות תאגיד</t>
  </si>
  <si>
    <t xml:space="preserve">מי עירון </t>
  </si>
  <si>
    <r>
      <t>10</t>
    </r>
    <r>
      <rPr>
        <sz val="13"/>
        <rFont val="FrankRuehl"/>
        <family val="2"/>
        <charset val="177"/>
      </rPr>
      <t>א.</t>
    </r>
  </si>
  <si>
    <t>(א)</t>
  </si>
  <si>
    <t>לעניין סעיף זה –</t>
  </si>
  <si>
    <r>
      <t>"</t>
    </r>
    <r>
      <rPr>
        <sz val="10"/>
        <rFont val="Times New Roman"/>
        <family val="1"/>
      </rPr>
      <t>A</t>
    </r>
    <r>
      <rPr>
        <sz val="13"/>
        <rFont val="FrankRuehl"/>
        <family val="2"/>
        <charset val="177"/>
      </rPr>
      <t>" – מקדם הוצאות שאיבה בגובה 600 ש"ח;</t>
    </r>
  </si>
  <si>
    <r>
      <t>"</t>
    </r>
    <r>
      <rPr>
        <sz val="10"/>
        <rFont val="Times New Roman"/>
        <family val="1"/>
      </rPr>
      <t>B</t>
    </r>
    <r>
      <rPr>
        <sz val="13"/>
        <rFont val="FrankRuehl"/>
        <family val="2"/>
        <charset val="177"/>
      </rPr>
      <t>" – מספר יחידות הדיור שאינן מחוברות לרשת הציבורית, כפי שפורסם באתר האינטרנט של הרשות הממשלתית;</t>
    </r>
  </si>
  <si>
    <r>
      <t>"</t>
    </r>
    <r>
      <rPr>
        <sz val="10"/>
        <rFont val="Times New Roman"/>
        <family val="1"/>
      </rPr>
      <t>C</t>
    </r>
    <r>
      <rPr>
        <sz val="13"/>
        <rFont val="FrankRuehl"/>
        <family val="2"/>
        <charset val="177"/>
      </rPr>
      <t>" – כמות מים נכנסת;</t>
    </r>
  </si>
  <si>
    <r>
      <t>"</t>
    </r>
    <r>
      <rPr>
        <sz val="10"/>
        <rFont val="Times New Roman"/>
        <family val="1"/>
      </rPr>
      <t>D</t>
    </r>
    <r>
      <rPr>
        <sz val="13"/>
        <rFont val="FrankRuehl"/>
        <family val="2"/>
        <charset val="177"/>
      </rPr>
      <t>" – היחס שבין מספר יחידות הדיור שאינן מחוברות לרשת הציבורית, כפי שפורסם באתר האינטרנט של הרשות הממשלתית לבין סך כל מספר יחידות הדיור הידוע לרשות הממשלתית בהתאם לשנה האחרונה אשר לגביה היו קיימים ברשות הממשלתית נתונים כאמור;</t>
    </r>
  </si>
  <si>
    <r>
      <t>"</t>
    </r>
    <r>
      <rPr>
        <sz val="10"/>
        <rFont val="Times New Roman"/>
        <family val="1"/>
      </rPr>
      <t>E</t>
    </r>
    <r>
      <rPr>
        <sz val="13"/>
        <rFont val="FrankRuehl"/>
        <family val="2"/>
        <charset val="177"/>
      </rPr>
      <t>" – מקדם השתתפות בגובה 0.7 ש"ח;</t>
    </r>
  </si>
  <si>
    <t>באקה אלגרביה</t>
  </si>
  <si>
    <r>
      <t>"</t>
    </r>
    <r>
      <rPr>
        <sz val="10"/>
        <rFont val="Times New Roman"/>
        <family val="1"/>
      </rPr>
      <t>F</t>
    </r>
    <r>
      <rPr>
        <sz val="13"/>
        <rFont val="FrankRuehl"/>
        <family val="2"/>
        <charset val="177"/>
      </rPr>
      <t>" – מקדם השלמת פיתוח – בשנת 2013 מקדם בגובה 100%; בשנת 2014 מקדם בגובה 75%; בשנת 2015 מקדם בגובה 50%; בשנת 2016 מקדם בגובה 25% ומשנת 2017 מקדם בגובה 0%.</t>
    </r>
  </si>
  <si>
    <t>ג'ת</t>
  </si>
  <si>
    <r>
      <t>עלויות מוכרות לשירותי ביוב באמצעות ביוביות בחברה שבה אחוז השלמת חיבורי יחידות הדיור לרשת הציבורית (</t>
    </r>
    <r>
      <rPr>
        <sz val="10"/>
        <rFont val="Times New Roman"/>
        <family val="1"/>
      </rPr>
      <t>D</t>
    </r>
    <r>
      <rPr>
        <sz val="13"/>
        <rFont val="FrankRuehl"/>
        <family val="2"/>
        <charset val="177"/>
      </rPr>
      <t>) קטן מ-90% ושבוצעו לפי כללי אמות המידה, יהיו:</t>
    </r>
  </si>
  <si>
    <r>
      <t>A*B-C*(1-D)*E*F</t>
    </r>
    <r>
      <rPr>
        <sz val="13"/>
        <rFont val="FrankRuehl"/>
        <family val="2"/>
        <charset val="177"/>
      </rPr>
      <t>.</t>
    </r>
  </si>
  <si>
    <t>סחנין</t>
  </si>
  <si>
    <t>מג'ד אלכרום</t>
  </si>
  <si>
    <t>דיר אל אסד</t>
  </si>
  <si>
    <t>שפרעם</t>
  </si>
  <si>
    <t>תמרה</t>
  </si>
  <si>
    <t>אעבלין</t>
  </si>
  <si>
    <t>שעב</t>
  </si>
  <si>
    <t>כאוכאב אבו אלהיג'א</t>
  </si>
  <si>
    <t>כאבול</t>
  </si>
  <si>
    <t>בסמת טבעון</t>
  </si>
  <si>
    <t>ביר אלמכסור</t>
  </si>
  <si>
    <t>כפר מנדא</t>
  </si>
  <si>
    <t>שם התאגיד : מי רהט</t>
  </si>
  <si>
    <t>ג'דידה מכר</t>
  </si>
  <si>
    <t>ג'וליס</t>
  </si>
  <si>
    <t>דבוריה</t>
  </si>
  <si>
    <t>שבלי</t>
  </si>
  <si>
    <t>בעינה נוגידאת</t>
  </si>
  <si>
    <t>איכסאל</t>
  </si>
  <si>
    <t xml:space="preserve">מעינות המשולש </t>
  </si>
  <si>
    <t>שם התאגיד : מי לוד</t>
  </si>
  <si>
    <t xml:space="preserve">סה"כ עלות תמיכה שנתית לתאגידים זכאים </t>
  </si>
  <si>
    <t>השקעה בפרויקט המובלים 2014</t>
  </si>
  <si>
    <t>פחת  מים נורמטיבי לפי רשות מקומית</t>
  </si>
  <si>
    <t>פחת גביה נורמטיבי לפי רשות מקומית</t>
  </si>
  <si>
    <t>גריעת קווי מים נורטיבית</t>
  </si>
  <si>
    <t>גריעה נורמטיבית  בריכות ומגדלים</t>
  </si>
  <si>
    <t>גריעה נורמטיבית דיזל גנרטורים</t>
  </si>
  <si>
    <t>גריעה נורמטיבית קווי הולכה לביוב</t>
  </si>
  <si>
    <t>פחת מים ישובים חדשים</t>
  </si>
  <si>
    <t>פחץ גביה ישובים חדשים</t>
  </si>
  <si>
    <t>תוספת פחת מים למצטרפים</t>
  </si>
  <si>
    <t>תוספת פחת גביה למצטרפים</t>
  </si>
  <si>
    <t>תוספת פחת גביה לישובים מצטרפים חלשים</t>
  </si>
  <si>
    <t>אנרגיה -ביוב</t>
  </si>
  <si>
    <t>אנרגיה -מים</t>
  </si>
  <si>
    <t>גדרה, בני עייש</t>
  </si>
  <si>
    <t xml:space="preserve">פחת מים </t>
  </si>
  <si>
    <t>שנת תעריף</t>
  </si>
  <si>
    <t>חזק</t>
  </si>
  <si>
    <t>דירוג סוציו רשויות מצטרפות</t>
  </si>
  <si>
    <t>נשגב</t>
  </si>
  <si>
    <t>תמורים</t>
  </si>
  <si>
    <t>תחנות שאיבה מים</t>
  </si>
  <si>
    <t>משוקלל אונו מאוחד</t>
  </si>
  <si>
    <t>כעביה</t>
  </si>
  <si>
    <t>דירוג פחת</t>
  </si>
  <si>
    <t>ג'סר אזרקא</t>
  </si>
  <si>
    <t>הר חומה</t>
  </si>
  <si>
    <t>רכישות רכוש קבוע מים לשנת 2012</t>
  </si>
  <si>
    <t>רכישות רכוש קבוע מים לשנת 2013</t>
  </si>
  <si>
    <t>רכישות רכוש קבוע מים לשנת 2014</t>
  </si>
  <si>
    <t>סה"כ הון מים 2013</t>
  </si>
  <si>
    <t>סה"כ הון ביוב 2013</t>
  </si>
  <si>
    <t>סה"כ הון מים 2014</t>
  </si>
  <si>
    <t>סה"כ הון ביוב 2014</t>
  </si>
  <si>
    <t>רכישות  רכוש קבוע ביוב לשנת 2012</t>
  </si>
  <si>
    <t>רכישות רכוש קבוע ביוב לשנת 2013</t>
  </si>
  <si>
    <t>רכישות רכוש קבוע ביוב לשנת 2014</t>
  </si>
  <si>
    <t>סה"כ הון מים 2012</t>
  </si>
  <si>
    <t>סה"כ הון ביוב 2012</t>
  </si>
  <si>
    <t>היטלי פיתוח מים נטו לשנת 2012</t>
  </si>
  <si>
    <t>היטלי פיתוח מים נטו לשנת 2013</t>
  </si>
  <si>
    <t>היטלי פיתוח ביוב נטו לשנת 2012</t>
  </si>
  <si>
    <t>היטלי פיתוח ביוב נטו לשנת 2013</t>
  </si>
  <si>
    <t>פחת מים 2012</t>
  </si>
  <si>
    <t>פחת מים 2013</t>
  </si>
  <si>
    <t>פחת ביוב 2012</t>
  </si>
  <si>
    <t>פחת ביוב 2013</t>
  </si>
  <si>
    <t>ניכוי היטלים סקר קודם</t>
  </si>
  <si>
    <t>ניכוי היטלים סקר נוכחי</t>
  </si>
  <si>
    <t>רכוש קבוע בהקמה 2014</t>
  </si>
  <si>
    <t>פחת מים 2014</t>
  </si>
  <si>
    <t>פחת ביוב 2014</t>
  </si>
  <si>
    <t>נתוני צריכת המים בתאגידי מים וביוב לשנת 2013</t>
  </si>
  <si>
    <t>ביתית</t>
  </si>
  <si>
    <t>כולל פחת</t>
  </si>
  <si>
    <t>ציבור</t>
  </si>
  <si>
    <t>הוגש ביאור 2012</t>
  </si>
  <si>
    <t>הוגש ביאור 2013</t>
  </si>
  <si>
    <t>הוגש ביאור 2014</t>
  </si>
  <si>
    <t>השקעות נטו לשנים 2011-2014</t>
  </si>
  <si>
    <t>גריעות נורמטיביות השקעות חדשות</t>
  </si>
  <si>
    <t>תוספת לרכוש קבוע מים לשנת 2012</t>
  </si>
  <si>
    <t>תוספת לרכוש קבוע מים לשנת 2013</t>
  </si>
  <si>
    <t>תוספת לרכוש קבוע מים לשנת 2014</t>
  </si>
  <si>
    <t>היטלי פיתוח מים נטו לשנת 2014</t>
  </si>
  <si>
    <t>היטלי פיתוח ביוב נטו לשנת 2014</t>
  </si>
  <si>
    <t>*</t>
  </si>
  <si>
    <t>תחזית</t>
  </si>
  <si>
    <t>אוכלוסיה 2014
 נפש</t>
  </si>
  <si>
    <t>תקבולים הפקה</t>
  </si>
  <si>
    <t>תקבולים קניה</t>
  </si>
  <si>
    <t>סה"כ תקבולים</t>
  </si>
  <si>
    <t>צריכה במגורים</t>
  </si>
  <si>
    <t>צריכה ביתית</t>
  </si>
  <si>
    <t>צריכה לתעשיה</t>
  </si>
  <si>
    <t>צריכה חקלאית</t>
  </si>
  <si>
    <t>סה"כ פחת</t>
  </si>
  <si>
    <t>כמות מים 2014</t>
  </si>
  <si>
    <t>סה"כ הון</t>
  </si>
  <si>
    <t xml:space="preserve">ריבית </t>
  </si>
  <si>
    <t>תשואה</t>
  </si>
  <si>
    <t>חישוב ממוצע</t>
  </si>
  <si>
    <t>פחת ביוב</t>
  </si>
  <si>
    <t>ממוצע</t>
  </si>
  <si>
    <t>תאגיד זכאי</t>
  </si>
  <si>
    <t>תוספת סוציו לגביה</t>
  </si>
  <si>
    <t>רחובות באר יעקב</t>
  </si>
  <si>
    <t>לשנת 2016</t>
  </si>
  <si>
    <t>2008-2014</t>
  </si>
  <si>
    <t>כמות  מים ללא חקלאות</t>
  </si>
  <si>
    <t>סה"כ מים ללא חקלאות</t>
  </si>
  <si>
    <t>סה"כ פחת מים</t>
  </si>
  <si>
    <t>סה"כ צריכה למגורים</t>
  </si>
  <si>
    <t>סה"כ הפקה</t>
  </si>
  <si>
    <t>בנימינה-גבעת עדה</t>
  </si>
  <si>
    <t>ג'סר א-זרקא</t>
  </si>
  <si>
    <t>דאלית אל-כרמל</t>
  </si>
  <si>
    <t>טירת כרמל</t>
  </si>
  <si>
    <t>עספיא</t>
  </si>
  <si>
    <t>פוריידיס</t>
  </si>
  <si>
    <t>פרוד</t>
  </si>
  <si>
    <t>דרום שרון מזרחי</t>
  </si>
  <si>
    <t>הנחות יסוד לתאגידים על אופן הגשת התקציב לשנת 2015</t>
  </si>
  <si>
    <t xml:space="preserve">מגזר פעילות </t>
  </si>
  <si>
    <t>סעיפי התקציב (לפי דו"ח כספי)</t>
  </si>
  <si>
    <t>סעיפים נוספים שונים (לפי תקציבי התאגידים)</t>
  </si>
  <si>
    <t>הנחות יסוד</t>
  </si>
  <si>
    <t>אחזקת רשת המים</t>
  </si>
  <si>
    <t>במסגרת מיון עלויות השכר הכוללות במגזרים השונים, יש לפצל עלויות השכר בהתאם לסיווג המגזר הרלוונטי וכן להפחית/לחלץ מתוכו את עלויות השכר ששייכים להפקה במידת הצורך ולא לכלול עלויות מהנדסים וכח אדם אחר העוסקים בפיתוח ובאישורים לטופס 4 שעלויותיהם מכוסות במסגרת היטלי הפיתוח/ דמי הקמה, כן נדרש לפצל עלות כ"א למים וביוב כל רכיב בנפרד.</t>
  </si>
  <si>
    <t>אנרגיה</t>
  </si>
  <si>
    <t>עלות האנרגיה ברשת המים בלבד ( אין לכלול עלויות אחרות במסגרת זו , אין לכלול עלויות אנרגיה  מהפקה)</t>
  </si>
  <si>
    <t>אחזקת רשת מים</t>
  </si>
  <si>
    <t>עלות הכוונה לעלויות אחזקת צינורות ומגופים ללא תחנות שאיבה - עלות קבלנים, חומרים ועובדים במידה ומתחזקים בפועל את הרשתות</t>
  </si>
  <si>
    <t xml:space="preserve">אחזקת מתקנים </t>
  </si>
  <si>
    <t>הכוונה לעלויות אחזקת  תחנות שאיבה ובריכות אגירה -  עלות קבלנים, חומרים ועובדים במידה ומתחזקים בפועל המתקנים</t>
  </si>
  <si>
    <t xml:space="preserve">חומרים </t>
  </si>
  <si>
    <t>עלות חומרים לאחזקת רשת המים או תחנות שאיבה במידה ואילו מופרדים עדיפות לריכוזם ביחד עם סעיפי אחזקת רשת מים ומתקנים כל אחד בתחומו</t>
  </si>
  <si>
    <t>ארנונה ואבטחה</t>
  </si>
  <si>
    <t xml:space="preserve">במקרה של תאגיד מפיק - יש לפצל את העלות רכיב הארנונה, כ 30% יירשם כהוצאה ברכיב זה באחזקת רשת המים והיתר לשייכו להפקה, יחס של 30:70 </t>
  </si>
  <si>
    <t xml:space="preserve">ביטוח </t>
  </si>
  <si>
    <t>יש לפצל את עלות רכיב הביטוח לארבעה מגזרים: הנהלה, רשת המים, רשת הביוב והפקה (על אף שעלויות ההפקה אינן נכללות במסגרת תקציב עלויות התפעול), עלות הביטוח בהנהלה יחשב רכיב ביטוח דירקטורים וביטוח משרדים בלבד.</t>
  </si>
  <si>
    <t xml:space="preserve">הוצאות אחרות </t>
  </si>
  <si>
    <t>התאגיד נוטה לשייך ברכיב הוצאות אחרות רכיבים לא נכונים כגון: דמי שכירות, דיגום מים, אחזקת מתקנים, אחזקת מוני מים, וסעיף ייעוץ מקצועי - לשם כך עליו לבצע פיצול סעיפים אלו בהתאם לסעיפים המוכרים בנורמה. ברכיב הוצאות אחרות יש לשייך רכיבים כגון: מל"ח, תחזוקת מערכת gis, שונות וכו'.</t>
  </si>
  <si>
    <t xml:space="preserve">דגימות מים </t>
  </si>
  <si>
    <t>יש לפצל את עלות שירותי המוקד ולשייכה לסעיף מוקד תקלות ברשת המים ורשת הביוב מחצית לכל מגזר</t>
  </si>
  <si>
    <t xml:space="preserve">טלפון ותקשורת </t>
  </si>
  <si>
    <t>יש לפצל את עלות מערך הלוגיסטיקה ולייחסו לאחזקת רשת מים ואחזקת רשת ביוב מחצית לכל מגזר פעילות</t>
  </si>
  <si>
    <t xml:space="preserve">פיקוד ובקרה </t>
  </si>
  <si>
    <t xml:space="preserve">עלות דיגומים ניתן לרשום עלות דוגם המים ברכיב זה </t>
  </si>
  <si>
    <t xml:space="preserve">פחת הנכסים אינו נכלל  בעלות התקציב </t>
  </si>
  <si>
    <t>אחזקת רכב - כלול בשכר בנורמה</t>
  </si>
  <si>
    <t xml:space="preserve">הכוונה לרכבי תפעול ברשת המים, במקרה של תאגיד מפיק - יש לפצל את העלות רכיב אחזקת רכב, כ 30% יירשם כהוצאה ברכיב זה באחזקת רשת המים והיתר לשייכו להפקה, יחס של 30:70 </t>
  </si>
  <si>
    <t>אחזקת מוני מים</t>
  </si>
  <si>
    <t xml:space="preserve">יש לייחס סעיף אחזקת מוני המים באחזקת רשת המים, אין לכלול בעלויות גביה, מדובר בעלות כיול תקופתי של מוני המים </t>
  </si>
  <si>
    <t>במסגרת מיון עלויות רכיב יעוץ המקצועי הכולל, יש לשייך את עלות היועצים ההנדסיים הקשורים למטרת אחזקת רשת המים מתוך עלות היועצים הכוללת במגזרים השונים</t>
  </si>
  <si>
    <t>רכיב שכר דירה של משרדי ההנדסה יש לכלול בעלות ההנהלה בלבד</t>
  </si>
  <si>
    <t>עובדים מושאלים</t>
  </si>
  <si>
    <t>יש לפצל את עלויות השכר של העובדים המושאלים בין אחזקת רשת המים לרשת הביוב לפי פעילותם בפועל או לפי מפתח שיקבע התאגיד</t>
  </si>
  <si>
    <t xml:space="preserve">מערך לוגיסטיקה </t>
  </si>
  <si>
    <t>יש לפצל את עלות מערך הלוגיסטיקה ולייחסו לאחזקת רשת מים ואחזקת רשת ביוב מחצית לכל מגזר פעילות או לפי מפתח שיוחלט על ידי התאגיד</t>
  </si>
  <si>
    <t xml:space="preserve">הוצאות תשלומי פנסיה </t>
  </si>
  <si>
    <t>לגבי הגיחון - אין לכלול הוצאות בגין פנסיה לעובדים שאינם עובדים בפועל בתאגיד.</t>
  </si>
  <si>
    <t xml:space="preserve">כימיקלים למים </t>
  </si>
  <si>
    <t>אין לרשום רכיב כימיקלים למים, ההנחה כי הסעיף שייך להפקה</t>
  </si>
  <si>
    <t>צילומים והעתקות תוכניות מים</t>
  </si>
  <si>
    <t>אין לרשום רכיב זה בתקציב, ההנחה היא כי הסעיף שייך לפיתוח</t>
  </si>
  <si>
    <t xml:space="preserve">עלות אגף תכנון מים </t>
  </si>
  <si>
    <t xml:space="preserve">אין לכלול עלויות אגף תכנון מים במסגרת התקציב  - הרישום בשורה רק לאינדיקציה </t>
  </si>
  <si>
    <t>אחזקת בארות</t>
  </si>
  <si>
    <t xml:space="preserve">לא יכלל בעלות אחזקת רשת המים </t>
  </si>
  <si>
    <t xml:space="preserve">עלויות הפקה ורכישה </t>
  </si>
  <si>
    <t xml:space="preserve">רכיבי היטלי הפקה </t>
  </si>
  <si>
    <t>אין לכלול רכיבי היטל הפקה ואנרגיה במסגרת עלויות התקציב במגזרים השונים אלא בפרק הפקה</t>
  </si>
  <si>
    <t xml:space="preserve">רכישת מים ממקורות </t>
  </si>
  <si>
    <t xml:space="preserve">יש לרשום רכיב זה בעלות המים הפקה </t>
  </si>
  <si>
    <t>אחזקת רשת ביוב (עלויות איסוף והולכת שפכים)</t>
  </si>
  <si>
    <t xml:space="preserve">משכורות ונילוות </t>
  </si>
  <si>
    <t>עלות האנרגיה ברשת הביוב בלבד ( אין לכלול עלויות אחרות במסגרת זו , אין לכלול עלויות אנרגיה במט"ש)</t>
  </si>
  <si>
    <t>אחזקת רשת ביוב</t>
  </si>
  <si>
    <t>עלות הכוונה לעלויות אחזקת קווי ביוב - שטיפות ופתיחת סתימות ותיקוני שבר ומכסים ברשת הביוב - עלות קבלנים, חומרים ועובדים במידה ומתחזקים בפועל את הרשתות</t>
  </si>
  <si>
    <t>אחזקת מתקנים</t>
  </si>
  <si>
    <t xml:space="preserve">עלות פינוי פסולת </t>
  </si>
  <si>
    <t>הכוונה לעלויות אחזקת  תחנות שאיבה לביוב -  עלות קבלנים, חומרים ועובדים במידה ומתחזקים בפועל המתקנים</t>
  </si>
  <si>
    <t>חומרים</t>
  </si>
  <si>
    <t>עלות חומרים לאחזקת רשת הביוב או תחנות שאיבה לביוב במידה ואילו מופרדים עדיפות לריכוזם ביחד עם סעיפי אחזקת רשת ביוב ותחנות שאיבה לביוב כל אחד בתחומו</t>
  </si>
  <si>
    <t xml:space="preserve">ארנונה </t>
  </si>
  <si>
    <t>הכוונה לעלות ארנונה של תחנות שאיבה לביוב, אין לכלול ארנונה במט"ש</t>
  </si>
  <si>
    <t>יש לפצל את עלות רכיב הביטוח לארבעה מגזרים: הנהלה, רשת המים, רשת הביוב והפקה (על אף שעלויות ההפקה אינן נכללות במסגרת תקציב עלויות התפעול).</t>
  </si>
  <si>
    <t>אחזקת רכב - נכלל בשכר העובדים</t>
  </si>
  <si>
    <t xml:space="preserve">מדובר על רכבי תפעול ברשת הביוב </t>
  </si>
  <si>
    <t xml:space="preserve">אין לרשום במסגרת התקציב את רכיב הפחת באחזקת רשת הביוב </t>
  </si>
  <si>
    <t>עלות איסוף שפכים</t>
  </si>
  <si>
    <t>סעיף לא לשימוש</t>
  </si>
  <si>
    <t xml:space="preserve">אחזקה משתנות </t>
  </si>
  <si>
    <t>יועצים הנדסיים</t>
  </si>
  <si>
    <t xml:space="preserve">יש לשייך רכיב יעוץ הנדסי לסעיף יועצים הנדסיים ברשת הביוב </t>
  </si>
  <si>
    <t xml:space="preserve">בדיקות מעבדה </t>
  </si>
  <si>
    <t xml:space="preserve">במידת הצורך בדיקות לרשת הביוב </t>
  </si>
  <si>
    <t>פיקוח ואבטחת מט"ש</t>
  </si>
  <si>
    <t>התאגיד נוטה לשייך ברכיב הוצאות אחרות רכיבים לא נכונים כגון: פיקוח מט"ש, אחזקת מתקנים, רכיב דמי חכירה וסעיף ייעוץ מקצועי - לשם כך עליו לבצע פיצול סעיפים אלו בהתאם לסעיפים המוכרים בנורמה.</t>
  </si>
  <si>
    <t>הכנסות נוספות משרותי ביוב ליישובים סמוכים ללא מט"ש</t>
  </si>
  <si>
    <t xml:space="preserve">במידה והתאגיד משלם שרותי תשתית להולכת ביוב לאחרים ומקבל סכומים מאחרים יש לרשום ההכנסה וההוצאה במידת הצורך כולל באור והסבר </t>
  </si>
  <si>
    <t>יש לפצל את עלויות השכר של העובדים המושאלים בין אחזקת רשת המים לרשת הביוב מחצית לכל מגזר</t>
  </si>
  <si>
    <t>עלות אגף תכנון ביוב</t>
  </si>
  <si>
    <t xml:space="preserve">אין לכלול עלויות אגף תכנון ביוב במסגרת התקציב  </t>
  </si>
  <si>
    <t>צילומים והעתקות תוכניות ביוב</t>
  </si>
  <si>
    <t>אין לרשום רכיב זה בתקציב, ההנחה היא כי הסעיף משתייך לפיתוח</t>
  </si>
  <si>
    <t xml:space="preserve">דיגום שפכי תעשייה </t>
  </si>
  <si>
    <t xml:space="preserve">אין לכלול את עלות ניטור שפכים במסגרת תקציב עלויות התפעול, משום היותו מיוחס למט"ש ועקב כך שלתאגיד צפויות הכנסות משפכי תעשייה </t>
  </si>
  <si>
    <t>עלויות טיהור שפכים (מט"ש)</t>
  </si>
  <si>
    <t xml:space="preserve">עלויות מט"ש </t>
  </si>
  <si>
    <t>יש לרשום את עלויות המט"ש במסגרת עלויות התקציב במגזרים השונים</t>
  </si>
  <si>
    <t>בדיקות שפכים</t>
  </si>
  <si>
    <t>יש לכלול רכיב זה במסגרת תקציב עלויות התפעול</t>
  </si>
  <si>
    <t xml:space="preserve">עלויות גביה </t>
  </si>
  <si>
    <t>עמלות לקבלן גביה</t>
  </si>
  <si>
    <t>במידה ועבודת הגביה נעשיית באמצעות מיקור חוץ, יש לכלול הוצאה זו ברכיב עמלות קבלן גביה כולל הוצאות כל עובדי הקבלן</t>
  </si>
  <si>
    <t>הפקת דוחות</t>
  </si>
  <si>
    <t xml:space="preserve">במדה והתאגיד נושא בעלות הפקת שוברי החיוב </t>
  </si>
  <si>
    <t>גביה טלפונית</t>
  </si>
  <si>
    <t xml:space="preserve">הכוונה לעלות מוקד טלפוני בירורים וגביה </t>
  </si>
  <si>
    <t>אכיפה וגביה קשה</t>
  </si>
  <si>
    <t>במסגרת מיון התקציב בעלויות הגביה, אין לכלול את עלויות גביה ואכיפה קשה (כגון: חיבור וניתוקי מדי מים, התראות אכיפה, משפטיות גביה, איתור חייבים, עיקולי בנקים וכו') משום שבגינן קיימות הכנסות נוספות לתאגיד</t>
  </si>
  <si>
    <t>גבית היטלים</t>
  </si>
  <si>
    <t xml:space="preserve">אין לכלול עלות זו בתקציב </t>
  </si>
  <si>
    <t>עמלות כרטיסי אשראי</t>
  </si>
  <si>
    <t xml:space="preserve">העמלה המשולמת לחברות האשראי </t>
  </si>
  <si>
    <t>עמלות בנק הדואר</t>
  </si>
  <si>
    <t>העמלות המשולמות לבנק הדואר לא עמלות בנק לניהול חשבונות התאגיד</t>
  </si>
  <si>
    <t>הפרשה לחובות מסופקים ואבודים</t>
  </si>
  <si>
    <t>אין לרשום במסגרת התקציב עלויות גביה את רכיב הפרשה לחובות מסופקים ואבודים</t>
  </si>
  <si>
    <t>הוצאות שכר</t>
  </si>
  <si>
    <t>במסגרת מיון עלויות השכר יש לסווג ולשייך עלות עובדי גביה מבין עובדי התאגיד המשמשים לביצוע גביה, שרות לקוחות, טלפוני ופיקוח על עבודת הקבלן</t>
  </si>
  <si>
    <t>משרדיות ואחרות</t>
  </si>
  <si>
    <t>במסגרת מיון עלויות משרדיות בגביה של התאגיד, יש לשייך רכיב חשמל ורכיב טלפון ותקשורת לעלויות הנהלה</t>
  </si>
  <si>
    <t>הכנסות מאכיפה</t>
  </si>
  <si>
    <t xml:space="preserve">אין לרשום במסגרת התקציב עלויות גביה את רכיב הכנסות מאכיפה </t>
  </si>
  <si>
    <t>קריאת מדי מים</t>
  </si>
  <si>
    <t xml:space="preserve">עלות קריאות מדי המים במידה ואילו נפרדות </t>
  </si>
  <si>
    <t>מיכון</t>
  </si>
  <si>
    <t xml:space="preserve">יש לשייך עלויות מערכות מידע בילינג ורשת מחשבים פנימית לצרכי הגביה בלבד </t>
  </si>
  <si>
    <t>חלוקת שוברים</t>
  </si>
  <si>
    <t>עלות חלוקת שוברים במידה ועלות זו בנפרד מעלות הקבלן</t>
  </si>
  <si>
    <t xml:space="preserve">שכירות מבנה גביה </t>
  </si>
  <si>
    <t>יש לפצל את עלות דמי השכירות לשניים: בין ההנהלה לגביה כאשר מחצית מעלות שכר הדירה יש לשייך לשכירות מבנה הגביה מתוך הנחה שהעלות כוללת: אולם קבלת קהל ומשרדי פונקציות תומכות במערך גביה ושרות לקוחות והיתרה לשייך למשרדי ההנהלה</t>
  </si>
  <si>
    <t xml:space="preserve">יעוץ מקצועי </t>
  </si>
  <si>
    <t>ייעוץ בגביה בלבד</t>
  </si>
  <si>
    <t>משתנות צרכנים - הפקה וחלוקת שוברים, מיכון, קריאות מונים ועמלות</t>
  </si>
  <si>
    <t>ניתן לרשום את עלויות משתנות הצרכנים בסעיף זה במידה ועבודת הגבייה מתבצעת על ידי התאגיד ולא ע"י מיקור חוץ</t>
  </si>
  <si>
    <t xml:space="preserve">היטלי פיתוח </t>
  </si>
  <si>
    <t>אין לכלול סעיף גביית היטלי פיתוח במסגרת התקציב משום שבגינן קיימים הכנסות לתאגיד</t>
  </si>
  <si>
    <t>חשמל וטלפון</t>
  </si>
  <si>
    <t>יש לשייך רכיב חשמל ורכיב טלפון במסגרת תקציב עלויות הנהלה</t>
  </si>
  <si>
    <t xml:space="preserve">אחזקת מוני המים </t>
  </si>
  <si>
    <t xml:space="preserve">במסגרת מיון עלויות במערך הגביה, יש לשייך רכיב אחזקת מוני מים לעלויות אחזקת רשת המים אין לרשום כאן העלות </t>
  </si>
  <si>
    <t xml:space="preserve">הוצאות הנהלה וכלליות </t>
  </si>
  <si>
    <t>יש לשייך את עלות המהנדס הראשי במים ובביוב לשכ"ע בהנהלה בהתאמה למבנה הארגוני של הנורמה</t>
  </si>
  <si>
    <t>העלות הנורמטיבית ברכיב יעוץ מקצועי כוללת את השירותים הבאים במסגרתה ניתן לכלול בעלויות התקציב: יועץ משפטי, תביעות משפטיות, מבקר חיצוני, מבקר פנים, יועץ מחשוב, דוברות ויועץ ניהולי</t>
  </si>
  <si>
    <t>הוצאות משרדיות</t>
  </si>
  <si>
    <t>מסים עירוניים</t>
  </si>
  <si>
    <t>ארנונה משרדי התאגיד</t>
  </si>
  <si>
    <t xml:space="preserve">הנהלה </t>
  </si>
  <si>
    <t>לרשום בתקציב הוצאות פחת חשבונאי של נכסי ההנהלה שהינם הוצאה</t>
  </si>
  <si>
    <t xml:space="preserve">לפצל את עלות אחזקת מערכות המידע בין ההנהלה לגביה כאשר מרבית ההוצאה תשוייך למערך הגביה  </t>
  </si>
  <si>
    <t xml:space="preserve">רכבי הנהלה </t>
  </si>
  <si>
    <t>דואר/טלפון/תקשורת</t>
  </si>
  <si>
    <t>לשייך עלות רכיבי טלפון ותקשורת במסגרת מיון תקציב עלויות הנהלה</t>
  </si>
  <si>
    <t>חשמל ומים</t>
  </si>
  <si>
    <t>לשייך עלות רכיבי חשמל ומים במסגרת מיון תקציב עלויות הנהלה</t>
  </si>
  <si>
    <t>פרסום ויחסי ציבור</t>
  </si>
  <si>
    <t>לשייך רכיב עלויות פרסום ויח"צ לסעיף יעוץ מקצועי בהנהלה</t>
  </si>
  <si>
    <t>לשייך רכיב הוצאות משפטיות לסעיף יעוץ מקצועי בהנהלה</t>
  </si>
  <si>
    <t xml:space="preserve">הוצאות רזרבות מנכ"ל </t>
  </si>
  <si>
    <t xml:space="preserve">לא לכלול במסגרת התקציב הוצאות רזרבות מנכ"ל </t>
  </si>
  <si>
    <t>ייעוץ ותכנון שונות</t>
  </si>
  <si>
    <t>לא לרשום את רכיב ייעוץ ותכנון שונות במסגרת עלויות יעוץ מקצועי בהנהלה, משום שככל הניראה מיוחס להשקעות.</t>
  </si>
  <si>
    <t>כמות מים תאגיד מרחבי ממוצע</t>
  </si>
  <si>
    <t>כמות מים תאגיד מרחבי אזורי</t>
  </si>
  <si>
    <t>שכר עבודה וכלי רכב-מים</t>
  </si>
  <si>
    <t>נורמת תפעול 2015</t>
  </si>
  <si>
    <t>עלות קטימה לק"ב</t>
  </si>
  <si>
    <t>הוצאות ביטוח</t>
  </si>
  <si>
    <t>הוצאות אחרות-מים</t>
  </si>
  <si>
    <t>עלות מוקד תקלות</t>
  </si>
  <si>
    <t>טלפון ותקשורת</t>
  </si>
  <si>
    <t>פיקוד ובקרה</t>
  </si>
  <si>
    <t>יעוץ מקצועי-מים</t>
  </si>
  <si>
    <t>שכר עבודה וכלי רכב-ביוב</t>
  </si>
  <si>
    <t>ייעוץ מקצועי- ביוב</t>
  </si>
  <si>
    <t>הוצאות אחרות-ביוב</t>
  </si>
  <si>
    <t>עלות חלוקה והפקת שוברים</t>
  </si>
  <si>
    <t>יעוץ מקצועי-גביה</t>
  </si>
  <si>
    <t>עלויות אספקת מים</t>
  </si>
  <si>
    <t>משכורות ונלוות-מים</t>
  </si>
  <si>
    <t>אנרגיה-מים</t>
  </si>
  <si>
    <t>אחזקת מתקנים-מים</t>
  </si>
  <si>
    <t>ביטוח-מים</t>
  </si>
  <si>
    <t>מוקד תקלות-מים</t>
  </si>
  <si>
    <t>טלפון ותקשורת -מים</t>
  </si>
  <si>
    <t>פיקוד ובקרה-מים</t>
  </si>
  <si>
    <t>דמי שכירות-מים</t>
  </si>
  <si>
    <t>הכנסות נוספות משרותי תשתית</t>
  </si>
  <si>
    <t>תוספת עלות לתאגוד איזורי</t>
  </si>
  <si>
    <t>עלויות איסוף והולכת שפכים</t>
  </si>
  <si>
    <t>משכורות ונלוות-ביוב</t>
  </si>
  <si>
    <t>אנרגיה-ביוב</t>
  </si>
  <si>
    <t>אחזקת מתקנים-ביוב</t>
  </si>
  <si>
    <t>ביטוח-ביוב</t>
  </si>
  <si>
    <t>מוקד תקלות-ביוב</t>
  </si>
  <si>
    <t xml:space="preserve">טלפון ותקשורת-ביוב </t>
  </si>
  <si>
    <t xml:space="preserve">פיקוד ובקרה-ביוב </t>
  </si>
  <si>
    <t>(דמי שכירות)</t>
  </si>
  <si>
    <t>החזר צרכנים-שפכי תעשייה</t>
  </si>
  <si>
    <t>(הכנסות מאכיפה)</t>
  </si>
  <si>
    <t>הפקה וחלוקת שוברים</t>
  </si>
  <si>
    <t>תוספת לצרכן תעשייה גדול</t>
  </si>
  <si>
    <t>יעוץ מקצועי-הנהלה</t>
  </si>
  <si>
    <t>דמי שכירות-הנהלה</t>
  </si>
  <si>
    <t>ביטוח-הנהלה</t>
  </si>
  <si>
    <t>פחת-הנהלה</t>
  </si>
  <si>
    <t>מיכון-הנהלה</t>
  </si>
  <si>
    <t>תקשורת-הנהלה</t>
  </si>
  <si>
    <t>חשמל-הנהלה</t>
  </si>
  <si>
    <t>פיצויים ותביעות</t>
  </si>
  <si>
    <t>נורמת הנהלה כוללת תאגיד פרטני</t>
  </si>
  <si>
    <t>קריטריונים</t>
  </si>
  <si>
    <t>כמות התושבים</t>
  </si>
  <si>
    <t>כמות ישובים</t>
  </si>
  <si>
    <t>קוד תאגיד</t>
  </si>
  <si>
    <t>סוג תאגיד</t>
  </si>
  <si>
    <t>ביאור 22</t>
  </si>
  <si>
    <r>
      <t xml:space="preserve"> </t>
    </r>
    <r>
      <rPr>
        <b/>
        <u/>
        <sz val="12"/>
        <color indexed="9"/>
        <rFont val="David"/>
        <family val="2"/>
        <charset val="177"/>
      </rPr>
      <t xml:space="preserve">רווח (הפסד) גולמי </t>
    </r>
  </si>
  <si>
    <t>שיעור עלייה</t>
  </si>
  <si>
    <r>
      <t xml:space="preserve"> </t>
    </r>
    <r>
      <rPr>
        <b/>
        <u/>
        <sz val="12"/>
        <rFont val="David"/>
        <family val="2"/>
        <charset val="177"/>
      </rPr>
      <t>רווח (הפסד) גולמי מאספקת מים</t>
    </r>
  </si>
  <si>
    <t xml:space="preserve">עמודה למילוי </t>
  </si>
  <si>
    <t>22.1.1</t>
  </si>
  <si>
    <t>הכנסות -</t>
  </si>
  <si>
    <t>מאגרות מים</t>
  </si>
  <si>
    <t>מהיטלי מים</t>
  </si>
  <si>
    <t>הכנסות שונות</t>
  </si>
  <si>
    <t xml:space="preserve">אחזקת רשת מים </t>
  </si>
  <si>
    <t>נורמה למ"ק</t>
  </si>
  <si>
    <t>נורמה ל 2015</t>
  </si>
  <si>
    <t xml:space="preserve">עלויות אספקת - מים </t>
  </si>
  <si>
    <t>הוצאות שכר בגין פיתוח</t>
  </si>
  <si>
    <t>העמסות נוספות בגין פיתוח</t>
  </si>
  <si>
    <t>עלות למ"ק</t>
  </si>
  <si>
    <t>22.1.3</t>
  </si>
  <si>
    <t>עלויות הפקה ורכישה-</t>
  </si>
  <si>
    <t>רכישת מים ממקורות</t>
  </si>
  <si>
    <t>קבלני משנה</t>
  </si>
  <si>
    <t>היטל הפקה</t>
  </si>
  <si>
    <t>סולר ודלק</t>
  </si>
  <si>
    <t>בדיקות מעבדה</t>
  </si>
  <si>
    <t>אחזקת רכב</t>
  </si>
  <si>
    <t>רווח (הפסד) גולמי מאספקת מים</t>
  </si>
  <si>
    <r>
      <t xml:space="preserve"> </t>
    </r>
    <r>
      <rPr>
        <b/>
        <u/>
        <sz val="12"/>
        <rFont val="David"/>
        <family val="2"/>
        <charset val="177"/>
      </rPr>
      <t>רווח (הפסד) גולמי משירותי ביוב</t>
    </r>
  </si>
  <si>
    <t>הרכב:</t>
  </si>
  <si>
    <t>22.2.1</t>
  </si>
  <si>
    <t>מאגרות ביוב</t>
  </si>
  <si>
    <t>מהיטלי ביוב</t>
  </si>
  <si>
    <t xml:space="preserve">עלויות איסוף והולכת שפכים </t>
  </si>
  <si>
    <t>22.2.2</t>
  </si>
  <si>
    <t>ניטור שפכים</t>
  </si>
  <si>
    <t xml:space="preserve">עלות למ"ק </t>
  </si>
  <si>
    <t>22.2.3</t>
  </si>
  <si>
    <t>עלויות טיהור שפכים*</t>
  </si>
  <si>
    <t>פינוי ביצה</t>
  </si>
  <si>
    <t>הוצאות אחרות (אחזקה)</t>
  </si>
  <si>
    <t>עלות  מכון טיהור שפכים</t>
  </si>
  <si>
    <t>(הכנסה משותפים)</t>
  </si>
  <si>
    <t>(***)</t>
  </si>
  <si>
    <t>בניכוי:</t>
  </si>
  <si>
    <t>הכנסות ממכירת שפכים מטוהרים</t>
  </si>
  <si>
    <t>רווח (הפסד) גולמי משירותי ביוב</t>
  </si>
  <si>
    <t>הוספת מלל לת- מט"ש בבעלות התאגיד או כמשתמש</t>
  </si>
  <si>
    <t>רווח (הפסד) גולמי מתחזוקה שוטפת של מערכות תיעול וניקוז עירוניות</t>
  </si>
  <si>
    <t>נורמה</t>
  </si>
  <si>
    <t>תקציב 2014</t>
  </si>
  <si>
    <t>מקורי 2012</t>
  </si>
  <si>
    <t>הכנסות</t>
  </si>
  <si>
    <t>הוצאות</t>
  </si>
  <si>
    <t>רווח (הפסד) גולמי אחרות</t>
  </si>
  <si>
    <t>22.4.1</t>
  </si>
  <si>
    <t>הכנסות:</t>
  </si>
  <si>
    <t xml:space="preserve">ממזמיני עבודה </t>
  </si>
  <si>
    <t>מעמלות מגביית היטל בצורת</t>
  </si>
  <si>
    <t>הוצאות:</t>
  </si>
  <si>
    <t>ביאור 23</t>
  </si>
  <si>
    <t>עלויות גבייה</t>
  </si>
  <si>
    <t>ביאור 24</t>
  </si>
  <si>
    <t>הוצאות הנהלה וכלליות</t>
  </si>
  <si>
    <t>דואר ותקשורת</t>
  </si>
  <si>
    <t xml:space="preserve">נורמת הנהלה כוללת תאגיד מרחבי </t>
  </si>
  <si>
    <t>הערה - העלות לתאגיד יחידני לא מרחבי</t>
  </si>
  <si>
    <t>ביאור 25</t>
  </si>
  <si>
    <t>הכנסות (הוצאות) מימון נטו</t>
  </si>
  <si>
    <t>הכנסות מימון מלקוחות</t>
  </si>
  <si>
    <t>ריבית מפקדונות</t>
  </si>
  <si>
    <t>הוצאות -</t>
  </si>
  <si>
    <t>ריבית על הלוואות לזמן ארוך:</t>
  </si>
  <si>
    <t>מהבנקים</t>
  </si>
  <si>
    <t>מהרשות המקומית</t>
  </si>
  <si>
    <t>ריבית לבנקים ולאשראי לזמן קצר</t>
  </si>
  <si>
    <t>ריבית למקורות חברת מים בע"מ</t>
  </si>
  <si>
    <t xml:space="preserve">עמלות בנק </t>
  </si>
  <si>
    <t>הוצאות מימון בגין האג"ח</t>
  </si>
  <si>
    <t>ביאור 26</t>
  </si>
  <si>
    <t>הכנסות אחרות</t>
  </si>
  <si>
    <t>הכנסות ממענקי תיאגוד</t>
  </si>
  <si>
    <t>הכנסות ממענקי ייצוב בתאגידים זכאים</t>
  </si>
  <si>
    <t>הכנסות ממענקי השקעות (הפחתת  הכנסות נדחות ממענקי השקעות תאגידים זכאים )</t>
  </si>
  <si>
    <t>רווח הון</t>
  </si>
  <si>
    <t>הוצאות בגין פנסיה לרשות המקומית</t>
  </si>
  <si>
    <t>השתתפות במכרזים</t>
  </si>
  <si>
    <t>ביאור 27</t>
  </si>
  <si>
    <t xml:space="preserve">מיסים על הכנסה ומיסים נדחים </t>
  </si>
  <si>
    <t>א. לחברה שומות מס סופיות עד לשנת ____  ושומות מס סופיות לשנים ________</t>
  </si>
  <si>
    <t xml:space="preserve">    </t>
  </si>
  <si>
    <t>ב.</t>
  </si>
  <si>
    <t>הרכב הוצאות מס:</t>
  </si>
  <si>
    <t>הוצאות מיסים שוטפים</t>
  </si>
  <si>
    <t xml:space="preserve">מיסים בגין שנים קודמות </t>
  </si>
  <si>
    <t>הוצאות /(הכנסות) מיסים נדחים, נטו</t>
  </si>
  <si>
    <t>ג.</t>
  </si>
  <si>
    <t xml:space="preserve">מיסים נדחים </t>
  </si>
  <si>
    <t>יתרת פתיחה</t>
  </si>
  <si>
    <t xml:space="preserve">הכנסות/(הוצאות) </t>
  </si>
  <si>
    <t xml:space="preserve"> מיסים נדחים לזמן קצר</t>
  </si>
  <si>
    <t xml:space="preserve">מיסים נדחים לזמן ארוך </t>
  </si>
  <si>
    <t>ביאור 28</t>
  </si>
  <si>
    <t>פירוט הוצאות שכר</t>
  </si>
  <si>
    <t>אספקת מים</t>
  </si>
  <si>
    <t>22.1.2</t>
  </si>
  <si>
    <t>עלויות הפקה</t>
  </si>
  <si>
    <t>שירותי ביוב</t>
  </si>
  <si>
    <t>טיהור שפכים</t>
  </si>
  <si>
    <t>הנהלה וכלליות</t>
  </si>
  <si>
    <t>שכר גביה</t>
  </si>
  <si>
    <t>שכר שהוון לרכוש קבוע</t>
  </si>
  <si>
    <t>שכר שנרשם במקום אחר</t>
  </si>
  <si>
    <t>ביאור 29</t>
  </si>
  <si>
    <t>יתרות ועסקאות עם בעלי עניין וצדדים קשורים</t>
  </si>
  <si>
    <t>א. בדוח רווח והפסד של התאגיד נכללו הכנסות והוצאות הנובעות מפעולות עם צדדים קשורים ובעלי עניין כדלקמן:</t>
  </si>
  <si>
    <t xml:space="preserve"> (הכנסות מאגרות מים וביוב)</t>
  </si>
  <si>
    <t>(הכנסות ריבית על הלוואות לבעלי עניין)</t>
  </si>
  <si>
    <t>הוצאות ריבית על הלוואות מבעלי עניין</t>
  </si>
  <si>
    <t>(הכנסות ביוב מבעלי עניין)</t>
  </si>
  <si>
    <t>(הכנסות מים מבעלי עניין)</t>
  </si>
  <si>
    <t>הוצאות ארנונה לבעלי עניין</t>
  </si>
  <si>
    <t>עמלות גביה</t>
  </si>
  <si>
    <t xml:space="preserve">עובדים </t>
  </si>
  <si>
    <t>חמרים</t>
  </si>
  <si>
    <t xml:space="preserve">טיהור שפכים </t>
  </si>
  <si>
    <t>משרדיות</t>
  </si>
  <si>
    <t>מוקד עירוני</t>
  </si>
  <si>
    <t>הוצאות אחרות לבעלי עניין</t>
  </si>
  <si>
    <t>שכר דירקטורים</t>
  </si>
  <si>
    <t>רכישת נכסים מבעלי ענין</t>
  </si>
  <si>
    <t>חיובי רבית בגין חובות מים</t>
  </si>
  <si>
    <t>(הכנסות בגין היטלי פיתוח)</t>
  </si>
  <si>
    <t>ב.  בדוח הכספי נכללו יתרות בגין צדדים קשורים כדלקמן:</t>
  </si>
  <si>
    <t>חייבים בגין אגרות מים וביוב</t>
  </si>
  <si>
    <t>זכאים בגין ארנונה</t>
  </si>
  <si>
    <t>זכאים בגין עובדים מושאלים</t>
  </si>
  <si>
    <t>זכאים בגין ריבית לשלם</t>
  </si>
  <si>
    <t>שכר דירקטורים לשלם</t>
  </si>
  <si>
    <t>הוצאות גביה לשלם</t>
  </si>
  <si>
    <t>לקוחות</t>
  </si>
  <si>
    <t>ספקים</t>
  </si>
  <si>
    <t>ג.   פירוט לגבי חוזים ועסקאות שנערכו עם צדדים קשורים ובעלי עניין</t>
  </si>
  <si>
    <t>הוספת מלל</t>
  </si>
  <si>
    <t xml:space="preserve">סה"כ הוצאות בגין יועצים - בכל מגזרי הפעילות </t>
  </si>
  <si>
    <t>הוצאות הנהלה וכלליות לתאגיד יחידני</t>
  </si>
  <si>
    <t>הוצאות הנהלה וכלליות לתאגיד מרחבי</t>
  </si>
  <si>
    <t>סה"כ (לפי עלויות הנהלה לתאגיד יחידני)</t>
  </si>
  <si>
    <t>עלות למ"ק (₪)</t>
  </si>
  <si>
    <t xml:space="preserve">סה"כ לפי תאגיד מרחבי </t>
  </si>
  <si>
    <t>הפרש עלות למ"ק (₪)</t>
  </si>
  <si>
    <t>הוצאות הנהלה וכלליות בפילוח גודל תאגיד</t>
  </si>
  <si>
    <t>סעיף</t>
  </si>
  <si>
    <t xml:space="preserve">תאגיד חד רשותי מתחת ל 60 אלף תושבים </t>
  </si>
  <si>
    <t>תאגיד חד ורב רשותי מעל 60 עד 120</t>
  </si>
  <si>
    <t>תאגיד חד ורב רשותי מעל 120 עד 250</t>
  </si>
  <si>
    <t xml:space="preserve">תאגיד מעל 250 </t>
  </si>
  <si>
    <t>עין נטפים</t>
  </si>
  <si>
    <t>מי אביבים</t>
  </si>
  <si>
    <t>ללא פחת</t>
  </si>
  <si>
    <t>ביאור משכורות ונלוות</t>
  </si>
  <si>
    <t>תאגיד חד ורב רשותי מעל 60</t>
  </si>
  <si>
    <t>תאגיד בינוני עד 20 מלמ"ק</t>
  </si>
  <si>
    <t xml:space="preserve">תאגיד מעל 200 </t>
  </si>
  <si>
    <t>יובלים בשומרון</t>
  </si>
  <si>
    <t>חשב</t>
  </si>
  <si>
    <t>תפעול</t>
  </si>
  <si>
    <t>משא"ן ואירגון</t>
  </si>
  <si>
    <t xml:space="preserve">הנדסה </t>
  </si>
  <si>
    <t>הנהלת חשבונות</t>
  </si>
  <si>
    <t>פקידות</t>
  </si>
  <si>
    <t>כיבודים ושונות</t>
  </si>
  <si>
    <t>יועץ ניהולי</t>
  </si>
  <si>
    <t>כמות מים חזוייה 2016</t>
  </si>
  <si>
    <t xml:space="preserve">אוכלוסיה </t>
  </si>
  <si>
    <t>נורמה ל 2016</t>
  </si>
  <si>
    <t>תחזית תקציב 2016</t>
  </si>
  <si>
    <t>תקציב  2015</t>
  </si>
  <si>
    <t>עלות בפועל 14 (דו"ח כספי)</t>
  </si>
  <si>
    <t>אומדן עלויות 2015</t>
  </si>
  <si>
    <t>עלות בפועל 15 (דו"ח כספי)</t>
  </si>
  <si>
    <t>הפרש בין נורמה 16 לתחזית תקציב 16</t>
  </si>
  <si>
    <t>הפרש בין נורמה 15 לעלות בפועל 15</t>
  </si>
  <si>
    <t>הפרש בין נורמה 15 לאומדן עלויות 15</t>
  </si>
  <si>
    <t>הפרש בין נורמה 15 לעלות בפועל 14</t>
  </si>
  <si>
    <t>הפרש בין תחזית תקציב 16 לעלות בפועל 15</t>
  </si>
  <si>
    <t xml:space="preserve">להשוות לנורמה באותה שנה </t>
  </si>
  <si>
    <t>יופחת מעלויות הגביה</t>
  </si>
  <si>
    <t>רישום הכנסה במינוס</t>
  </si>
  <si>
    <t>הצעת תקציב 2015</t>
  </si>
  <si>
    <t xml:space="preserve">שם התאגיד </t>
  </si>
  <si>
    <t xml:space="preserve">תקציב שוטף </t>
  </si>
  <si>
    <t xml:space="preserve">תקציב </t>
  </si>
  <si>
    <t>ביאור</t>
  </si>
  <si>
    <t>הכנסות משירותי מים וביוב</t>
  </si>
  <si>
    <t xml:space="preserve">רכישה ממקורות </t>
  </si>
  <si>
    <t xml:space="preserve">עלויות הפקה </t>
  </si>
  <si>
    <t xml:space="preserve">גיליון עליות תפעול </t>
  </si>
  <si>
    <t xml:space="preserve">עלויות טיהור שפכים </t>
  </si>
  <si>
    <t>רווח (הפסד) גולמי</t>
  </si>
  <si>
    <t>רווח (הפסד) מפעולות לפני הוצאות מימון</t>
  </si>
  <si>
    <t>הכנסות (הוצאות) מימון, נטו</t>
  </si>
  <si>
    <t xml:space="preserve">רווח (הפסד) לאחר מימון </t>
  </si>
  <si>
    <t>הכנסות (הוצאות) אחרות, נטו</t>
  </si>
  <si>
    <t>רווח (הפסד) לפני מיסים על הכנסה</t>
  </si>
  <si>
    <t>הכנסות (הוצאות) מיסים על הכנסה</t>
  </si>
  <si>
    <t>רווח (הפסד) לשנה</t>
  </si>
  <si>
    <t xml:space="preserve">היטלים שהוכרו </t>
  </si>
  <si>
    <t xml:space="preserve">פחת והפחתות </t>
  </si>
  <si>
    <t xml:space="preserve">סה"ה תקציב שוטף </t>
  </si>
  <si>
    <t>הפרשה להיטל הפקה</t>
  </si>
  <si>
    <t xml:space="preserve">היטל הפקה בגין שנים קודמות  </t>
  </si>
  <si>
    <t>(***) הוצאות אחרות</t>
  </si>
  <si>
    <t>פינוי בוצה</t>
  </si>
  <si>
    <t>עלות טיהור שפכים</t>
  </si>
  <si>
    <t xml:space="preserve">פעילות מימון </t>
  </si>
  <si>
    <t xml:space="preserve">ריבית הלוואות בעלים </t>
  </si>
  <si>
    <t xml:space="preserve">ריבית לבנקים </t>
  </si>
  <si>
    <t xml:space="preserve">עמלות לבנק </t>
  </si>
  <si>
    <t xml:space="preserve">הכנסות ריבית מצרכנים </t>
  </si>
  <si>
    <t xml:space="preserve">הכנסות ריבית מפקדונות </t>
  </si>
  <si>
    <t xml:space="preserve">מימון נטו </t>
  </si>
  <si>
    <t xml:space="preserve">החזר קרן הלוואת בעלים </t>
  </si>
  <si>
    <t xml:space="preserve">הכנסות(הוצאות) מימון נטו </t>
  </si>
  <si>
    <t xml:space="preserve">פעילות השקעה </t>
  </si>
  <si>
    <t xml:space="preserve">יתרה מתקציב שנים קודמות </t>
  </si>
  <si>
    <t xml:space="preserve">רכיב הוני מוכר בתעריף </t>
  </si>
  <si>
    <t xml:space="preserve">היטלים </t>
  </si>
  <si>
    <t xml:space="preserve">עמלות בגין היטלים </t>
  </si>
  <si>
    <t>מענקים</t>
  </si>
  <si>
    <t xml:space="preserve">השקעה בשיקום תשתיות </t>
  </si>
  <si>
    <t xml:space="preserve">השקעה בפיתוח </t>
  </si>
  <si>
    <t xml:space="preserve">מדי מים </t>
  </si>
  <si>
    <t xml:space="preserve">הוצאות שכר שהועמסו על הרכוש קבוע </t>
  </si>
  <si>
    <t xml:space="preserve">הוצאות משפטיות שהועמסו על הרכוש הקבוע </t>
  </si>
  <si>
    <t xml:space="preserve">הוצאות אחרות שהועמסו על הרכוש הקבוע </t>
  </si>
  <si>
    <t xml:space="preserve">הלוואות שנתקבלו </t>
  </si>
  <si>
    <t xml:space="preserve">החזר קרן הלוואות בנקאיות </t>
  </si>
  <si>
    <t>פרטי התאגיד</t>
  </si>
  <si>
    <t>תוכן עניינים</t>
  </si>
  <si>
    <t>שנה נוכחית</t>
  </si>
  <si>
    <t>שנה קודמת</t>
  </si>
  <si>
    <t xml:space="preserve">דוח אחרון מבוקר </t>
  </si>
  <si>
    <t>עלויות טיהור שפכים</t>
  </si>
  <si>
    <t xml:space="preserve">תאגיד מים וביוב </t>
  </si>
  <si>
    <t>1. דו"ח מקורות ושימושים במ"ק:</t>
  </si>
  <si>
    <t xml:space="preserve"> לשנה שנסתיימה ביום 31 בדצמבר</t>
  </si>
  <si>
    <t>מקורות המים</t>
  </si>
  <si>
    <t>סה"כ קניות מים ממקורות</t>
  </si>
  <si>
    <t xml:space="preserve">הפקת מים </t>
  </si>
  <si>
    <t>(תיקונים/זיכויים)</t>
  </si>
  <si>
    <t>סה"כ רכישה והפקה</t>
  </si>
  <si>
    <t>שימושים במים</t>
  </si>
  <si>
    <t>סה"כ הכנסה</t>
  </si>
  <si>
    <t>הפרש מדוח רווח והפסד</t>
  </si>
  <si>
    <t>הסבר</t>
  </si>
  <si>
    <t>מוסדות ציבור</t>
  </si>
  <si>
    <t>בית חולים</t>
  </si>
  <si>
    <t>צריכה אחרת</t>
  </si>
  <si>
    <t>תעשייה</t>
  </si>
  <si>
    <t>חקלאות</t>
  </si>
  <si>
    <t>מסחר ומלאכה</t>
  </si>
  <si>
    <t>(***) שימושים אחרים שיצא בגינם חיובים</t>
  </si>
  <si>
    <t xml:space="preserve"> שימושים לשנה</t>
  </si>
  <si>
    <t xml:space="preserve"> (תיקונים/זיכוי צרכני)</t>
  </si>
  <si>
    <t xml:space="preserve"> סה"כ שימושים לשנה</t>
  </si>
  <si>
    <t>סה"כ פחת שנתי במ"ק</t>
  </si>
  <si>
    <t>סה"כ פחת שנתי ב - %</t>
  </si>
  <si>
    <t>תעריף לחיוב לצרכן</t>
  </si>
  <si>
    <t>תעריף לחיוב לתאגיד</t>
  </si>
  <si>
    <t>סה"כ הוצאות רכישת מים</t>
  </si>
  <si>
    <t>פירוט רכישות ממקורות</t>
  </si>
  <si>
    <t>עלויות אספקת - מים</t>
  </si>
  <si>
    <t>דוח כספי מבוקר 2014</t>
  </si>
  <si>
    <t>חקלאות חריגה</t>
  </si>
  <si>
    <t xml:space="preserve">כעביה </t>
  </si>
  <si>
    <t>גינון ציבורי מ"ק</t>
  </si>
  <si>
    <t>מוסדות ציבור מ"ק</t>
  </si>
  <si>
    <t>כפר -סבא</t>
  </si>
  <si>
    <t>שוהם</t>
  </si>
  <si>
    <t>סה"כ גינון ציבורי</t>
  </si>
  <si>
    <t>עירייה אחר</t>
  </si>
  <si>
    <t>סה"כ עירייה אחר</t>
  </si>
  <si>
    <t>חברה מנהלת</t>
  </si>
  <si>
    <t xml:space="preserve">תוספת פחת מים לישובים מצטרפים </t>
  </si>
  <si>
    <t>כמות מטש"ש בניהול עצמי</t>
  </si>
  <si>
    <t>מעיין צבי</t>
  </si>
  <si>
    <t>מע"מ</t>
  </si>
  <si>
    <t>תעריף מקורות נמוך</t>
  </si>
  <si>
    <t>מחיר שולי ממוצע-גבוה</t>
  </si>
  <si>
    <t>תעריף ממוצע שולי כולל מע"מ</t>
  </si>
  <si>
    <t>מחיר שולי ממוצע-בסיס</t>
  </si>
  <si>
    <t>תעריף ממוצע בסיסי כולל מע"מ</t>
  </si>
  <si>
    <t>סה"כ השלמה למחיר שולי</t>
  </si>
  <si>
    <t>סה"כ השלמה למחיר בסיסי</t>
  </si>
  <si>
    <t>גבוה מקורות</t>
  </si>
  <si>
    <t>נמוך מקורות</t>
  </si>
  <si>
    <t>רב רשותי</t>
  </si>
  <si>
    <t>חד רשותי</t>
  </si>
  <si>
    <t>ספק אחר</t>
  </si>
  <si>
    <t>קרן שיקום ספק אחר</t>
  </si>
</sst>
</file>

<file path=xl/styles.xml><?xml version="1.0" encoding="utf-8"?>
<styleSheet xmlns="http://schemas.openxmlformats.org/spreadsheetml/2006/main" xmlns:mc="http://schemas.openxmlformats.org/markup-compatibility/2006" xmlns:x14ac="http://schemas.microsoft.com/office/spreadsheetml/2009/9/ac" mc:Ignorable="x14ac">
  <numFmts count="29">
    <numFmt numFmtId="43" formatCode="_ * #,##0.00_ ;_ * \-#,##0.00_ ;_ * &quot;-&quot;??_ ;_ @_ "/>
    <numFmt numFmtId="164" formatCode="_ * #,##0_ ;_ * \-#,##0_ ;_ * &quot;-&quot;??_ ;_ @_ "/>
    <numFmt numFmtId="165" formatCode="0.0%"/>
    <numFmt numFmtId="166" formatCode="_ * #,##0.000_ ;_ * \-#,##0.000_ ;_ * &quot;-&quot;??_ ;_ @_ "/>
    <numFmt numFmtId="167" formatCode="0.000"/>
    <numFmt numFmtId="168" formatCode="_ * #,##0.000_ ;_ * \-#,##0.000_ ;_ * &quot;-&quot;???_ ;_ @_ "/>
    <numFmt numFmtId="169" formatCode="0.0"/>
    <numFmt numFmtId="170" formatCode="_ * #,##0.0000_ ;_ * \-#,##0.0000_ ;_ * &quot;-&quot;??_ ;_ @_ "/>
    <numFmt numFmtId="171" formatCode="0.000%"/>
    <numFmt numFmtId="172" formatCode="#,##0.0_)"/>
    <numFmt numFmtId="173" formatCode="0.0000"/>
    <numFmt numFmtId="174" formatCode="#,##0;\(#,##0\)"/>
    <numFmt numFmtId="175" formatCode="#,##0.000;\(#,##0.000\)"/>
    <numFmt numFmtId="176" formatCode="#,##0.0000;\(#,##0.0000\)"/>
    <numFmt numFmtId="177" formatCode="#,##0.00;\(#,##0.00\)"/>
    <numFmt numFmtId="178" formatCode="#,##0.0;\(#,##0.0\)"/>
    <numFmt numFmtId="179" formatCode="0.000000"/>
    <numFmt numFmtId="180" formatCode="#,##0.0\ \ ;\-#,##0.0\ \ ;@\ \ "/>
    <numFmt numFmtId="181" formatCode="#,##0.0000;\-#,##0.0000"/>
    <numFmt numFmtId="182" formatCode="#,##0.0000000;\-#,##0.0000000"/>
    <numFmt numFmtId="183" formatCode="#,##0.000;\-#,##0.000"/>
    <numFmt numFmtId="184" formatCode="0.0000000"/>
    <numFmt numFmtId="185" formatCode="_ * #,##0.0_ ;_ * \-#,##0.0_ ;_ * &quot;-&quot;??_ ;_ @_ "/>
    <numFmt numFmtId="186" formatCode="0.000000000000000%"/>
    <numFmt numFmtId="187" formatCode="#,##0.000\ \ ;\-#,##0.000\ \ ;@\ \ "/>
    <numFmt numFmtId="188" formatCode="0.000000000000000000E+00"/>
    <numFmt numFmtId="189" formatCode="#,##0.0"/>
    <numFmt numFmtId="190" formatCode="#,##0.0000"/>
    <numFmt numFmtId="191" formatCode="_ * #,##0.000000_ ;_ * \-#,##0.000000_ ;_ * &quot;-&quot;??_ ;_ @_ "/>
  </numFmts>
  <fonts count="156" x14ac:knownFonts="1">
    <font>
      <sz val="10"/>
      <name val="Arial"/>
      <charset val="177"/>
    </font>
    <font>
      <sz val="11"/>
      <color theme="1"/>
      <name val="Arial"/>
      <family val="2"/>
      <charset val="177"/>
      <scheme val="minor"/>
    </font>
    <font>
      <sz val="11"/>
      <color theme="1"/>
      <name val="Arial"/>
      <family val="2"/>
      <charset val="177"/>
      <scheme val="minor"/>
    </font>
    <font>
      <sz val="10"/>
      <name val="Arial"/>
      <family val="2"/>
    </font>
    <font>
      <b/>
      <u/>
      <sz val="10"/>
      <name val="Arial"/>
      <family val="2"/>
    </font>
    <font>
      <sz val="8"/>
      <name val="Arial"/>
      <family val="2"/>
    </font>
    <font>
      <u/>
      <sz val="10"/>
      <color indexed="18"/>
      <name val="Arial"/>
      <family val="2"/>
    </font>
    <font>
      <sz val="10"/>
      <name val="Arial"/>
      <family val="2"/>
    </font>
    <font>
      <u/>
      <sz val="10"/>
      <name val="Arial"/>
      <family val="2"/>
    </font>
    <font>
      <b/>
      <sz val="10"/>
      <name val="Arial"/>
      <family val="2"/>
    </font>
    <font>
      <b/>
      <u/>
      <sz val="14"/>
      <name val="Arial"/>
      <family val="2"/>
    </font>
    <font>
      <sz val="10"/>
      <name val="David"/>
      <family val="2"/>
      <charset val="177"/>
    </font>
    <font>
      <b/>
      <sz val="12"/>
      <name val="David"/>
      <family val="2"/>
      <charset val="177"/>
    </font>
    <font>
      <b/>
      <sz val="12"/>
      <name val="Arial"/>
      <family val="2"/>
    </font>
    <font>
      <b/>
      <u/>
      <sz val="11"/>
      <name val="Arial"/>
      <family val="2"/>
    </font>
    <font>
      <b/>
      <sz val="11"/>
      <name val="Arial"/>
      <family val="2"/>
    </font>
    <font>
      <sz val="11"/>
      <name val="Arial"/>
      <family val="2"/>
    </font>
    <font>
      <sz val="9"/>
      <name val="Arial"/>
      <family val="2"/>
      <charset val="177"/>
    </font>
    <font>
      <sz val="10"/>
      <name val="Arial"/>
      <family val="2"/>
      <charset val="177"/>
    </font>
    <font>
      <sz val="11"/>
      <name val="Arial"/>
      <family val="2"/>
      <charset val="177"/>
    </font>
    <font>
      <b/>
      <sz val="11"/>
      <name val="Arial"/>
      <family val="2"/>
      <charset val="177"/>
    </font>
    <font>
      <b/>
      <sz val="12"/>
      <name val="Arial"/>
      <family val="2"/>
      <charset val="177"/>
    </font>
    <font>
      <b/>
      <u/>
      <sz val="11"/>
      <name val="Arial"/>
      <family val="2"/>
      <charset val="177"/>
    </font>
    <font>
      <b/>
      <u/>
      <sz val="10"/>
      <name val="Arial"/>
      <family val="2"/>
      <charset val="177"/>
    </font>
    <font>
      <b/>
      <u/>
      <sz val="18"/>
      <name val="Arial"/>
      <family val="2"/>
      <charset val="177"/>
    </font>
    <font>
      <sz val="10"/>
      <color indexed="8"/>
      <name val="Arial"/>
      <family val="2"/>
    </font>
    <font>
      <b/>
      <sz val="11"/>
      <color indexed="8"/>
      <name val="Arial"/>
      <family val="2"/>
    </font>
    <font>
      <sz val="8"/>
      <color indexed="81"/>
      <name val="Tahoma"/>
      <family val="2"/>
    </font>
    <font>
      <b/>
      <sz val="8"/>
      <color indexed="81"/>
      <name val="Tahoma"/>
      <family val="2"/>
    </font>
    <font>
      <b/>
      <sz val="9"/>
      <color indexed="81"/>
      <name val="Tahoma"/>
      <family val="2"/>
    </font>
    <font>
      <sz val="9"/>
      <color indexed="81"/>
      <name val="Tahoma"/>
      <family val="2"/>
    </font>
    <font>
      <sz val="12"/>
      <name val="David"/>
      <family val="2"/>
      <charset val="177"/>
    </font>
    <font>
      <sz val="12"/>
      <color indexed="62"/>
      <name val="David"/>
      <family val="2"/>
      <charset val="177"/>
    </font>
    <font>
      <sz val="12"/>
      <color indexed="8"/>
      <name val="David"/>
      <family val="2"/>
      <charset val="177"/>
    </font>
    <font>
      <sz val="10"/>
      <name val="Arial"/>
      <family val="2"/>
    </font>
    <font>
      <b/>
      <sz val="10"/>
      <name val="Arial"/>
      <family val="2"/>
      <charset val="177"/>
    </font>
    <font>
      <sz val="12"/>
      <name val="Arial"/>
      <family val="2"/>
    </font>
    <font>
      <sz val="10"/>
      <name val="Arial"/>
      <family val="2"/>
    </font>
    <font>
      <sz val="9"/>
      <name val="Arial"/>
      <family val="2"/>
    </font>
    <font>
      <sz val="10"/>
      <name val="Arial"/>
      <family val="2"/>
    </font>
    <font>
      <b/>
      <u/>
      <sz val="11"/>
      <color indexed="8"/>
      <name val="Arial"/>
      <family val="2"/>
      <charset val="177"/>
    </font>
    <font>
      <b/>
      <u/>
      <sz val="12"/>
      <name val="David"/>
      <family val="2"/>
      <charset val="177"/>
    </font>
    <font>
      <sz val="14"/>
      <name val="David"/>
      <family val="2"/>
      <charset val="177"/>
    </font>
    <font>
      <sz val="10"/>
      <name val="Arial"/>
      <family val="2"/>
    </font>
    <font>
      <b/>
      <u/>
      <sz val="12"/>
      <name val="Arial"/>
      <family val="2"/>
      <charset val="177"/>
    </font>
    <font>
      <sz val="12"/>
      <name val="Arial"/>
      <family val="2"/>
      <charset val="177"/>
    </font>
    <font>
      <u val="singleAccounting"/>
      <sz val="10"/>
      <name val="Arial"/>
      <family val="2"/>
    </font>
    <font>
      <b/>
      <sz val="12"/>
      <color indexed="62"/>
      <name val="David"/>
      <family val="2"/>
      <charset val="177"/>
    </font>
    <font>
      <sz val="10"/>
      <name val="Arial"/>
      <family val="2"/>
    </font>
    <font>
      <b/>
      <sz val="10"/>
      <name val="Arial"/>
      <family val="2"/>
    </font>
    <font>
      <b/>
      <sz val="10"/>
      <name val="David"/>
      <family val="2"/>
      <charset val="177"/>
    </font>
    <font>
      <b/>
      <i/>
      <sz val="10"/>
      <name val="David"/>
      <family val="2"/>
      <charset val="177"/>
    </font>
    <font>
      <sz val="11"/>
      <name val="David"/>
      <family val="2"/>
      <charset val="177"/>
    </font>
    <font>
      <sz val="12"/>
      <color indexed="60"/>
      <name val="David"/>
      <family val="2"/>
      <charset val="177"/>
    </font>
    <font>
      <sz val="12"/>
      <color indexed="16"/>
      <name val="David"/>
      <family val="2"/>
      <charset val="177"/>
    </font>
    <font>
      <sz val="16"/>
      <name val="Miriam"/>
      <family val="2"/>
      <charset val="177"/>
    </font>
    <font>
      <sz val="13"/>
      <name val="FrankRuehl"/>
      <family val="2"/>
      <charset val="177"/>
    </font>
    <font>
      <sz val="10"/>
      <name val="Times New Roman"/>
      <family val="1"/>
    </font>
    <font>
      <sz val="10"/>
      <name val="Arial"/>
      <family val="2"/>
    </font>
    <font>
      <sz val="10"/>
      <name val="Arial"/>
      <family val="2"/>
    </font>
    <font>
      <b/>
      <u/>
      <sz val="12"/>
      <name val="Arial"/>
      <family val="2"/>
    </font>
    <font>
      <b/>
      <u val="singleAccounting"/>
      <sz val="10"/>
      <name val="Arial"/>
      <family val="2"/>
    </font>
    <font>
      <sz val="10"/>
      <name val="Arial"/>
      <family val="2"/>
    </font>
    <font>
      <b/>
      <u/>
      <sz val="14"/>
      <name val="Arial"/>
      <family val="2"/>
      <charset val="177"/>
    </font>
    <font>
      <sz val="11"/>
      <color rgb="FFFF0000"/>
      <name val="Arial"/>
      <family val="2"/>
      <charset val="177"/>
      <scheme val="minor"/>
    </font>
    <font>
      <b/>
      <sz val="11"/>
      <color theme="3"/>
      <name val="Arial"/>
      <family val="2"/>
      <charset val="177"/>
      <scheme val="minor"/>
    </font>
    <font>
      <b/>
      <sz val="11"/>
      <color theme="1"/>
      <name val="Arial"/>
      <family val="2"/>
      <charset val="177"/>
      <scheme val="minor"/>
    </font>
    <font>
      <b/>
      <sz val="11"/>
      <color theme="1"/>
      <name val="Arial"/>
      <family val="2"/>
      <scheme val="minor"/>
    </font>
    <font>
      <b/>
      <sz val="11"/>
      <color rgb="FF0070C0"/>
      <name val="Arial"/>
      <family val="2"/>
    </font>
    <font>
      <b/>
      <sz val="11"/>
      <color rgb="FF00589A"/>
      <name val="Arial"/>
      <family val="2"/>
    </font>
    <font>
      <b/>
      <sz val="11"/>
      <color rgb="FFFF0000"/>
      <name val="Arial"/>
      <family val="2"/>
    </font>
    <font>
      <b/>
      <u/>
      <sz val="11"/>
      <color theme="1"/>
      <name val="Arial"/>
      <family val="2"/>
      <scheme val="minor"/>
    </font>
    <font>
      <sz val="10"/>
      <color rgb="FFFF0000"/>
      <name val="Arial"/>
      <family val="2"/>
    </font>
    <font>
      <b/>
      <sz val="10"/>
      <color theme="3"/>
      <name val="Arial"/>
      <family val="2"/>
      <charset val="177"/>
      <scheme val="minor"/>
    </font>
    <font>
      <sz val="10"/>
      <color theme="3"/>
      <name val="Arial"/>
      <family val="2"/>
      <charset val="177"/>
      <scheme val="minor"/>
    </font>
    <font>
      <b/>
      <u/>
      <sz val="12"/>
      <color rgb="FFFF0000"/>
      <name val="David"/>
      <family val="2"/>
      <charset val="177"/>
    </font>
    <font>
      <b/>
      <i/>
      <sz val="11"/>
      <color theme="1" tint="0.14999847407452621"/>
      <name val="Arial"/>
      <family val="2"/>
    </font>
    <font>
      <sz val="12"/>
      <color rgb="FF00B0F0"/>
      <name val="David"/>
      <family val="2"/>
      <charset val="177"/>
    </font>
    <font>
      <b/>
      <u/>
      <sz val="10"/>
      <color theme="1"/>
      <name val="Arial"/>
      <family val="2"/>
      <scheme val="minor"/>
    </font>
    <font>
      <sz val="10"/>
      <color theme="0"/>
      <name val="Arial"/>
      <family val="2"/>
    </font>
    <font>
      <b/>
      <u/>
      <sz val="10"/>
      <color theme="0"/>
      <name val="Arial"/>
      <family val="2"/>
    </font>
    <font>
      <b/>
      <sz val="10"/>
      <color theme="0"/>
      <name val="Arial"/>
      <family val="2"/>
    </font>
    <font>
      <b/>
      <sz val="10"/>
      <color rgb="FF7030A0"/>
      <name val="Arial"/>
      <family val="2"/>
      <charset val="177"/>
      <scheme val="minor"/>
    </font>
    <font>
      <sz val="10"/>
      <color theme="5" tint="-0.249977111117893"/>
      <name val="Arial"/>
      <family val="2"/>
    </font>
    <font>
      <b/>
      <u/>
      <sz val="10"/>
      <color theme="5" tint="-0.249977111117893"/>
      <name val="Arial"/>
      <family val="2"/>
    </font>
    <font>
      <b/>
      <sz val="10"/>
      <color theme="5" tint="-0.249977111117893"/>
      <name val="Arial"/>
      <family val="2"/>
    </font>
    <font>
      <sz val="11"/>
      <color theme="1"/>
      <name val="Arial"/>
      <family val="2"/>
      <scheme val="minor"/>
    </font>
    <font>
      <sz val="10"/>
      <color theme="1"/>
      <name val="Arial"/>
      <family val="2"/>
      <charset val="177"/>
      <scheme val="minor"/>
    </font>
    <font>
      <b/>
      <sz val="12"/>
      <color rgb="FFFF0000"/>
      <name val="David"/>
      <family val="2"/>
      <charset val="177"/>
    </font>
    <font>
      <b/>
      <sz val="10"/>
      <color rgb="FFFF0000"/>
      <name val="David"/>
      <family val="2"/>
      <charset val="177"/>
    </font>
    <font>
      <sz val="11"/>
      <color rgb="FFFF0000"/>
      <name val="David"/>
      <family val="2"/>
      <charset val="177"/>
    </font>
    <font>
      <sz val="12"/>
      <color rgb="FFFF0000"/>
      <name val="David"/>
      <family val="2"/>
      <charset val="177"/>
    </font>
    <font>
      <sz val="12"/>
      <color rgb="FFC00000"/>
      <name val="David"/>
      <family val="2"/>
      <charset val="177"/>
    </font>
    <font>
      <b/>
      <sz val="12"/>
      <color theme="1"/>
      <name val="David"/>
      <family val="2"/>
      <charset val="177"/>
    </font>
    <font>
      <sz val="12"/>
      <color rgb="FF000000"/>
      <name val="David"/>
      <family val="2"/>
      <charset val="177"/>
    </font>
    <font>
      <sz val="12"/>
      <color rgb="FF000000"/>
      <name val="Arial"/>
      <family val="2"/>
    </font>
    <font>
      <b/>
      <u/>
      <sz val="12"/>
      <color theme="1"/>
      <name val="David"/>
      <family val="2"/>
      <charset val="177"/>
    </font>
    <font>
      <u/>
      <sz val="12"/>
      <color theme="1"/>
      <name val="David"/>
      <family val="2"/>
      <charset val="177"/>
    </font>
    <font>
      <sz val="12"/>
      <color theme="1"/>
      <name val="David"/>
      <family val="2"/>
      <charset val="177"/>
    </font>
    <font>
      <u/>
      <sz val="11"/>
      <color theme="1"/>
      <name val="Arial"/>
      <family val="2"/>
      <charset val="177"/>
      <scheme val="minor"/>
    </font>
    <font>
      <b/>
      <sz val="11"/>
      <color rgb="FFFF0000"/>
      <name val="Arial"/>
      <family val="2"/>
      <scheme val="minor"/>
    </font>
    <font>
      <sz val="11"/>
      <color theme="9" tint="-0.249977111117893"/>
      <name val="Arial"/>
      <family val="2"/>
      <charset val="177"/>
      <scheme val="minor"/>
    </font>
    <font>
      <b/>
      <sz val="10"/>
      <color rgb="FFFF3300"/>
      <name val="Arial"/>
      <family val="2"/>
    </font>
    <font>
      <b/>
      <sz val="11"/>
      <color rgb="FFFF0000"/>
      <name val="Arial"/>
      <family val="2"/>
      <charset val="177"/>
      <scheme val="minor"/>
    </font>
    <font>
      <b/>
      <sz val="12"/>
      <color theme="3"/>
      <name val="Arial"/>
      <family val="2"/>
      <charset val="177"/>
      <scheme val="minor"/>
    </font>
    <font>
      <b/>
      <sz val="16"/>
      <color rgb="FF00B0F0"/>
      <name val="Arial"/>
      <family val="2"/>
      <scheme val="minor"/>
    </font>
    <font>
      <sz val="9"/>
      <color rgb="FF333333"/>
      <name val="Arial"/>
      <family val="2"/>
    </font>
    <font>
      <b/>
      <sz val="8"/>
      <color rgb="FFFFFFFF"/>
      <name val="Arial"/>
      <family val="2"/>
    </font>
    <font>
      <b/>
      <sz val="7"/>
      <color rgb="FFFFFFFF"/>
      <name val="Arial"/>
      <family val="2"/>
    </font>
    <font>
      <sz val="7"/>
      <color rgb="FF333333"/>
      <name val="Arial"/>
      <family val="2"/>
    </font>
    <font>
      <b/>
      <sz val="7"/>
      <color rgb="FF333333"/>
      <name val="Arial"/>
      <family val="2"/>
    </font>
    <font>
      <sz val="10"/>
      <name val="Arial"/>
      <family val="2"/>
      <scheme val="minor"/>
    </font>
    <font>
      <b/>
      <sz val="10"/>
      <name val="Arial"/>
      <family val="2"/>
      <scheme val="minor"/>
    </font>
    <font>
      <b/>
      <sz val="10"/>
      <color theme="3"/>
      <name val="Arial"/>
      <family val="2"/>
      <scheme val="minor"/>
    </font>
    <font>
      <b/>
      <u val="singleAccounting"/>
      <sz val="12"/>
      <color indexed="9"/>
      <name val="David"/>
      <family val="2"/>
      <charset val="177"/>
    </font>
    <font>
      <b/>
      <sz val="12"/>
      <color indexed="9"/>
      <name val="David"/>
      <family val="2"/>
      <charset val="177"/>
    </font>
    <font>
      <b/>
      <u/>
      <sz val="12"/>
      <color indexed="9"/>
      <name val="David"/>
      <family val="2"/>
      <charset val="177"/>
    </font>
    <font>
      <sz val="12"/>
      <color indexed="9"/>
      <name val="David"/>
      <family val="2"/>
      <charset val="177"/>
    </font>
    <font>
      <b/>
      <u val="singleAccounting"/>
      <sz val="12"/>
      <name val="David"/>
      <family val="2"/>
      <charset val="177"/>
    </font>
    <font>
      <sz val="11"/>
      <color indexed="62"/>
      <name val="David"/>
      <family val="2"/>
      <charset val="177"/>
    </font>
    <font>
      <u/>
      <sz val="12"/>
      <name val="David"/>
      <family val="2"/>
      <charset val="177"/>
    </font>
    <font>
      <sz val="12"/>
      <color indexed="10"/>
      <name val="David"/>
      <family val="2"/>
      <charset val="177"/>
    </font>
    <font>
      <b/>
      <u/>
      <sz val="16"/>
      <color theme="1"/>
      <name val="Arial"/>
      <family val="2"/>
      <scheme val="minor"/>
    </font>
    <font>
      <b/>
      <sz val="11"/>
      <color rgb="FF000000"/>
      <name val="Arial"/>
      <family val="2"/>
      <scheme val="minor"/>
    </font>
    <font>
      <sz val="11"/>
      <color rgb="FF000000"/>
      <name val="Arial"/>
      <family val="2"/>
    </font>
    <font>
      <b/>
      <u/>
      <sz val="11"/>
      <color rgb="FF000000"/>
      <name val="Arial"/>
      <family val="2"/>
    </font>
    <font>
      <sz val="11"/>
      <color rgb="FF000000"/>
      <name val="David"/>
      <family val="2"/>
      <charset val="177"/>
    </font>
    <font>
      <sz val="11"/>
      <name val="Arial"/>
      <family val="2"/>
      <scheme val="minor"/>
    </font>
    <font>
      <u/>
      <sz val="11"/>
      <color theme="1"/>
      <name val="Arial"/>
      <family val="2"/>
      <scheme val="minor"/>
    </font>
    <font>
      <sz val="11"/>
      <color rgb="FF000000"/>
      <name val="Arial"/>
      <family val="2"/>
      <scheme val="minor"/>
    </font>
    <font>
      <b/>
      <u/>
      <sz val="11"/>
      <color rgb="FF000000"/>
      <name val="Arial"/>
      <family val="2"/>
      <scheme val="minor"/>
    </font>
    <font>
      <u/>
      <sz val="11"/>
      <color theme="1"/>
      <name val="David"/>
      <family val="2"/>
      <charset val="177"/>
    </font>
    <font>
      <sz val="11"/>
      <color theme="1"/>
      <name val="David"/>
      <family val="2"/>
      <charset val="177"/>
    </font>
    <font>
      <b/>
      <sz val="14"/>
      <name val="David"/>
      <family val="2"/>
      <charset val="177"/>
    </font>
    <font>
      <b/>
      <sz val="16"/>
      <name val="David"/>
      <family val="2"/>
      <charset val="177"/>
    </font>
    <font>
      <u/>
      <sz val="12"/>
      <color rgb="FFFF0000"/>
      <name val="David"/>
      <family val="2"/>
      <charset val="177"/>
    </font>
    <font>
      <b/>
      <sz val="11"/>
      <name val="David"/>
      <family val="2"/>
      <charset val="177"/>
    </font>
    <font>
      <b/>
      <u/>
      <sz val="11"/>
      <name val="David"/>
      <family val="2"/>
      <charset val="177"/>
    </font>
    <font>
      <u/>
      <sz val="10"/>
      <color indexed="12"/>
      <name val="Arial"/>
      <family val="2"/>
    </font>
    <font>
      <u/>
      <sz val="10"/>
      <name val="David"/>
      <family val="2"/>
      <charset val="177"/>
    </font>
    <font>
      <u/>
      <sz val="10"/>
      <color indexed="12"/>
      <name val="David"/>
      <family val="2"/>
      <charset val="177"/>
    </font>
    <font>
      <sz val="10"/>
      <color indexed="9"/>
      <name val="David"/>
      <family val="2"/>
      <charset val="177"/>
    </font>
    <font>
      <b/>
      <shadow/>
      <u/>
      <sz val="16"/>
      <color indexed="9"/>
      <name val="David"/>
      <family val="2"/>
      <charset val="177"/>
    </font>
    <font>
      <b/>
      <shadow/>
      <u/>
      <sz val="11"/>
      <color indexed="9"/>
      <name val="Calibri"/>
      <family val="2"/>
    </font>
    <font>
      <u/>
      <sz val="12"/>
      <color indexed="12"/>
      <name val="David"/>
      <family val="2"/>
      <charset val="177"/>
    </font>
    <font>
      <sz val="10"/>
      <name val="Arial"/>
      <family val="2"/>
    </font>
    <font>
      <b/>
      <u/>
      <sz val="16"/>
      <color indexed="9"/>
      <name val="Arial"/>
      <family val="2"/>
      <scheme val="minor"/>
    </font>
    <font>
      <b/>
      <u/>
      <sz val="16"/>
      <color indexed="9"/>
      <name val="David"/>
      <family val="2"/>
      <charset val="177"/>
    </font>
    <font>
      <b/>
      <u/>
      <sz val="10"/>
      <color indexed="9"/>
      <name val="Arial"/>
      <family val="2"/>
      <scheme val="minor"/>
    </font>
    <font>
      <b/>
      <u/>
      <sz val="8"/>
      <color indexed="9"/>
      <name val="Arial"/>
      <family val="2"/>
      <scheme val="minor"/>
    </font>
    <font>
      <sz val="8"/>
      <name val="Arial"/>
      <family val="2"/>
      <scheme val="minor"/>
    </font>
    <font>
      <b/>
      <sz val="8"/>
      <name val="Arial"/>
      <family val="2"/>
      <scheme val="minor"/>
    </font>
    <font>
      <b/>
      <u/>
      <sz val="10"/>
      <name val="Arial"/>
      <family val="2"/>
      <scheme val="minor"/>
    </font>
    <font>
      <u val="double"/>
      <sz val="8"/>
      <name val="Arial"/>
      <family val="2"/>
      <scheme val="minor"/>
    </font>
    <font>
      <b/>
      <u val="double"/>
      <sz val="8"/>
      <name val="Arial"/>
      <family val="2"/>
      <scheme val="minor"/>
    </font>
    <font>
      <sz val="8"/>
      <color rgb="FF333333"/>
      <name val="Arial"/>
      <family val="2"/>
    </font>
  </fonts>
  <fills count="53">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65"/>
        <bgColor indexed="64"/>
      </patternFill>
    </fill>
    <fill>
      <patternFill patternType="solid">
        <fgColor indexed="27"/>
        <bgColor indexed="64"/>
      </patternFill>
    </fill>
    <fill>
      <patternFill patternType="solid">
        <fgColor indexed="22"/>
        <bgColor indexed="64"/>
      </patternFill>
    </fill>
    <fill>
      <patternFill patternType="gray0625"/>
    </fill>
    <fill>
      <patternFill patternType="gray0625">
        <bgColor indexed="9"/>
      </patternFill>
    </fill>
    <fill>
      <patternFill patternType="solid">
        <fgColor theme="2" tint="-9.9978637043366805E-2"/>
        <bgColor indexed="64"/>
      </patternFill>
    </fill>
    <fill>
      <patternFill patternType="solid">
        <fgColor rgb="FFFFFF0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rgb="FFE6FBFE"/>
        <bgColor indexed="64"/>
      </patternFill>
    </fill>
    <fill>
      <patternFill patternType="solid">
        <fgColor theme="3" tint="0.59999389629810485"/>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8" tint="0.79998168889431442"/>
        <bgColor theme="4" tint="0.79998168889431442"/>
      </patternFill>
    </fill>
    <fill>
      <patternFill patternType="solid">
        <fgColor theme="9" tint="0.39997558519241921"/>
        <bgColor indexed="64"/>
      </patternFill>
    </fill>
    <fill>
      <patternFill patternType="solid">
        <fgColor theme="2"/>
        <bgColor indexed="64"/>
      </patternFill>
    </fill>
    <fill>
      <patternFill patternType="solid">
        <fgColor theme="0" tint="-0.14996795556505021"/>
        <bgColor theme="4" tint="0.79998168889431442"/>
      </patternFill>
    </fill>
    <fill>
      <patternFill patternType="solid">
        <fgColor rgb="FF7030A0"/>
        <bgColor indexed="64"/>
      </patternFill>
    </fill>
    <fill>
      <patternFill patternType="solid">
        <fgColor theme="5" tint="0.39997558519241921"/>
        <bgColor indexed="64"/>
      </patternFill>
    </fill>
    <fill>
      <patternFill patternType="solid">
        <fgColor theme="5" tint="0.79998168889431442"/>
        <bgColor theme="5" tint="0.79998168889431442"/>
      </patternFill>
    </fill>
    <fill>
      <patternFill patternType="solid">
        <fgColor theme="8" tint="0.59999389629810485"/>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FFFF00"/>
        <bgColor theme="5" tint="0.79998168889431442"/>
      </patternFill>
    </fill>
    <fill>
      <patternFill patternType="solid">
        <fgColor rgb="FFFF0000"/>
        <bgColor indexed="64"/>
      </patternFill>
    </fill>
    <fill>
      <patternFill patternType="solid">
        <fgColor rgb="FFFFFFFF"/>
        <bgColor rgb="FFFFFFFF"/>
      </patternFill>
    </fill>
    <fill>
      <patternFill patternType="solid">
        <fgColor rgb="FF0B64A0"/>
        <bgColor rgb="FFFFFFFF"/>
      </patternFill>
    </fill>
    <fill>
      <patternFill patternType="solid">
        <fgColor rgb="FFF8FBFC"/>
        <bgColor rgb="FFFFFFFF"/>
      </patternFill>
    </fill>
    <fill>
      <patternFill patternType="solid">
        <fgColor rgb="FFCCCCCC"/>
        <bgColor rgb="FFFFFFFF"/>
      </patternFill>
    </fill>
    <fill>
      <patternFill patternType="solid">
        <fgColor rgb="FFFFC000"/>
        <bgColor indexed="64"/>
      </patternFill>
    </fill>
    <fill>
      <patternFill patternType="solid">
        <fgColor theme="7" tint="0.59999389629810485"/>
        <bgColor indexed="64"/>
      </patternFill>
    </fill>
    <fill>
      <patternFill patternType="solid">
        <fgColor indexed="62"/>
        <bgColor indexed="64"/>
      </patternFill>
    </fill>
    <fill>
      <patternFill patternType="solid">
        <fgColor rgb="FF00B050"/>
        <bgColor indexed="64"/>
      </patternFill>
    </fill>
    <fill>
      <patternFill patternType="solid">
        <fgColor indexed="47"/>
        <bgColor indexed="64"/>
      </patternFill>
    </fill>
    <fill>
      <patternFill patternType="solid">
        <fgColor indexed="52"/>
        <bgColor indexed="64"/>
      </patternFill>
    </fill>
    <fill>
      <patternFill patternType="solid">
        <fgColor theme="5" tint="0.59999389629810485"/>
        <bgColor indexed="64"/>
      </patternFill>
    </fill>
    <fill>
      <patternFill patternType="solid">
        <fgColor rgb="FF0066FF"/>
        <bgColor indexed="64"/>
      </patternFill>
    </fill>
    <fill>
      <patternFill patternType="solid">
        <fgColor theme="6" tint="-0.249977111117893"/>
        <bgColor indexed="64"/>
      </patternFill>
    </fill>
    <fill>
      <patternFill patternType="solid">
        <fgColor theme="3" tint="0.39997558519241921"/>
        <bgColor indexed="64"/>
      </patternFill>
    </fill>
    <fill>
      <patternFill patternType="solid">
        <fgColor rgb="FFFFFF66"/>
        <bgColor indexed="64"/>
      </patternFill>
    </fill>
    <fill>
      <patternFill patternType="solid">
        <fgColor indexed="56"/>
        <bgColor indexed="64"/>
      </patternFill>
    </fill>
    <fill>
      <patternFill patternType="solid">
        <fgColor indexed="13"/>
        <bgColor indexed="64"/>
      </patternFill>
    </fill>
    <fill>
      <patternFill patternType="solid">
        <fgColor indexed="15"/>
        <bgColor indexed="64"/>
      </patternFill>
    </fill>
  </fills>
  <borders count="104">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top/>
      <bottom style="medium">
        <color indexed="64"/>
      </bottom>
      <diagonal/>
    </border>
    <border>
      <left/>
      <right/>
      <top style="thin">
        <color indexed="9"/>
      </top>
      <bottom style="thin">
        <color indexed="9"/>
      </bottom>
      <diagonal/>
    </border>
    <border>
      <left/>
      <right/>
      <top style="thin">
        <color indexed="64"/>
      </top>
      <bottom style="dotted">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thin">
        <color indexed="64"/>
      </bottom>
      <diagonal/>
    </border>
    <border>
      <left/>
      <right/>
      <top style="thin">
        <color indexed="64"/>
      </top>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bottom style="medium">
        <color theme="4" tint="0.39997558519241921"/>
      </bottom>
      <diagonal/>
    </border>
    <border>
      <left/>
      <right/>
      <top/>
      <bottom style="thin">
        <color theme="5"/>
      </bottom>
      <diagonal/>
    </border>
    <border>
      <left style="thin">
        <color indexed="64"/>
      </left>
      <right/>
      <top style="thin">
        <color theme="5"/>
      </top>
      <bottom/>
      <diagonal/>
    </border>
    <border>
      <left/>
      <right/>
      <top style="thin">
        <color theme="5"/>
      </top>
      <bottom/>
      <diagonal/>
    </border>
    <border>
      <left style="thin">
        <color indexed="64"/>
      </left>
      <right/>
      <top/>
      <bottom style="thin">
        <color theme="5"/>
      </bottom>
      <diagonal/>
    </border>
    <border>
      <left/>
      <right style="thin">
        <color rgb="FF3877A6"/>
      </right>
      <top/>
      <bottom/>
      <diagonal/>
    </border>
    <border>
      <left/>
      <right style="thin">
        <color rgb="FF000080"/>
      </right>
      <top style="thin">
        <color rgb="FFEBEBEB"/>
      </top>
      <bottom style="thin">
        <color rgb="FFEBEBEB"/>
      </bottom>
      <diagonal/>
    </border>
    <border>
      <left style="thin">
        <color rgb="FFEBEBEB"/>
      </left>
      <right style="thin">
        <color rgb="FF000080"/>
      </right>
      <top style="thin">
        <color rgb="FFEBEBEB"/>
      </top>
      <bottom style="thin">
        <color rgb="FFEBEBEB"/>
      </bottom>
      <diagonal/>
    </border>
    <border>
      <left/>
      <right style="thin">
        <color rgb="FFC0C0C0"/>
      </right>
      <top style="thin">
        <color rgb="FFEBEBEB"/>
      </top>
      <bottom style="thin">
        <color rgb="FFEBEBEB"/>
      </bottom>
      <diagonal/>
    </border>
    <border>
      <left style="thin">
        <color rgb="FFEBEBEB"/>
      </left>
      <right style="thin">
        <color rgb="FFC0C0C0"/>
      </right>
      <top style="thin">
        <color rgb="FFEBEBEB"/>
      </top>
      <bottom style="thin">
        <color rgb="FFEBEBEB"/>
      </bottom>
      <diagonal/>
    </border>
    <border>
      <left style="thin">
        <color rgb="FF000080"/>
      </left>
      <right style="thin">
        <color rgb="FFEBEBEB"/>
      </right>
      <top style="thin">
        <color rgb="FFCAC9D9"/>
      </top>
      <bottom style="thin">
        <color rgb="FF000080"/>
      </bottom>
      <diagonal/>
    </border>
    <border>
      <left/>
      <right style="thin">
        <color rgb="FF000080"/>
      </right>
      <top style="thin">
        <color rgb="FFCAC9D9"/>
      </top>
      <bottom style="thin">
        <color rgb="FF000080"/>
      </bottom>
      <diagonal/>
    </border>
    <border>
      <left/>
      <right style="thin">
        <color rgb="FF000080"/>
      </right>
      <top/>
      <bottom/>
      <diagonal/>
    </border>
    <border>
      <left/>
      <right/>
      <top style="thin">
        <color indexed="64"/>
      </top>
      <bottom style="thin">
        <color indexed="64"/>
      </bottom>
      <diagonal/>
    </border>
    <border>
      <left style="thin">
        <color indexed="62"/>
      </left>
      <right/>
      <top/>
      <bottom/>
      <diagonal/>
    </border>
    <border>
      <left/>
      <right style="thin">
        <color indexed="62"/>
      </right>
      <top/>
      <bottom/>
      <diagonal/>
    </border>
    <border>
      <left/>
      <right/>
      <top/>
      <bottom style="thin">
        <color indexed="62"/>
      </bottom>
      <diagonal/>
    </border>
    <border>
      <left/>
      <right/>
      <top style="thin">
        <color indexed="62"/>
      </top>
      <bottom/>
      <diagonal/>
    </border>
    <border>
      <left/>
      <right/>
      <top style="dotted">
        <color indexed="64"/>
      </top>
      <bottom style="thin">
        <color indexed="64"/>
      </bottom>
      <diagonal/>
    </border>
    <border>
      <left/>
      <right/>
      <top/>
      <bottom style="double">
        <color indexed="64"/>
      </bottom>
      <diagonal/>
    </border>
    <border>
      <left/>
      <right/>
      <top/>
      <bottom style="dotted">
        <color indexed="64"/>
      </bottom>
      <diagonal/>
    </border>
    <border>
      <left/>
      <right/>
      <top/>
      <bottom style="thin">
        <color indexed="9"/>
      </bottom>
      <diagonal/>
    </border>
    <border>
      <left/>
      <right/>
      <top style="thin">
        <color indexed="9"/>
      </top>
      <bottom/>
      <diagonal/>
    </border>
    <border>
      <left/>
      <right/>
      <top style="thin">
        <color indexed="64"/>
      </top>
      <bottom style="double">
        <color indexed="64"/>
      </bottom>
      <diagonal/>
    </border>
    <border>
      <left style="thin">
        <color indexed="62"/>
      </left>
      <right/>
      <top/>
      <bottom style="thin">
        <color indexed="62"/>
      </bottom>
      <diagonal/>
    </border>
    <border>
      <left/>
      <right/>
      <top style="dotted">
        <color indexed="64"/>
      </top>
      <bottom/>
      <diagonal/>
    </border>
    <border>
      <left style="medium">
        <color indexed="62"/>
      </left>
      <right/>
      <top/>
      <bottom/>
      <diagonal/>
    </border>
    <border>
      <left/>
      <right/>
      <top style="thin">
        <color indexed="62"/>
      </top>
      <bottom style="thin">
        <color indexed="62"/>
      </bottom>
      <diagonal/>
    </border>
    <border>
      <left style="thin">
        <color indexed="62"/>
      </left>
      <right/>
      <top style="thin">
        <color indexed="62"/>
      </top>
      <bottom/>
      <diagonal/>
    </border>
    <border>
      <left/>
      <right style="thin">
        <color indexed="62"/>
      </right>
      <top style="thin">
        <color indexed="62"/>
      </top>
      <bottom/>
      <diagonal/>
    </border>
    <border>
      <left style="thin">
        <color indexed="9"/>
      </left>
      <right style="thin">
        <color indexed="9"/>
      </right>
      <top style="dashed">
        <color indexed="64"/>
      </top>
      <bottom style="thin">
        <color indexed="9"/>
      </bottom>
      <diagonal/>
    </border>
    <border>
      <left style="thin">
        <color indexed="9"/>
      </left>
      <right style="thin">
        <color indexed="9"/>
      </right>
      <top style="thin">
        <color indexed="9"/>
      </top>
      <bottom style="thin">
        <color indexed="64"/>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style="thin">
        <color indexed="62"/>
      </right>
      <top/>
      <bottom style="thin">
        <color indexed="62"/>
      </bottom>
      <diagonal/>
    </border>
    <border>
      <left style="medium">
        <color indexed="62"/>
      </left>
      <right/>
      <top/>
      <bottom style="medium">
        <color indexed="62"/>
      </bottom>
      <diagonal/>
    </border>
    <border>
      <left/>
      <right/>
      <top/>
      <bottom style="medium">
        <color indexed="62"/>
      </bottom>
      <diagonal/>
    </border>
    <border>
      <left/>
      <right/>
      <top style="medium">
        <color indexed="64"/>
      </top>
      <bottom style="thin">
        <color indexed="62"/>
      </bottom>
      <diagonal/>
    </border>
    <border>
      <left/>
      <right style="medium">
        <color indexed="64"/>
      </right>
      <top style="thin">
        <color indexed="62"/>
      </top>
      <bottom/>
      <diagonal/>
    </border>
    <border>
      <left style="thin">
        <color indexed="62"/>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2"/>
      </top>
      <bottom/>
      <diagonal/>
    </border>
    <border>
      <left style="medium">
        <color indexed="62"/>
      </left>
      <right/>
      <top style="medium">
        <color indexed="62"/>
      </top>
      <bottom/>
      <diagonal/>
    </border>
    <border>
      <left/>
      <right/>
      <top style="medium">
        <color indexed="62"/>
      </top>
      <bottom/>
      <diagonal/>
    </border>
    <border>
      <left/>
      <right style="medium">
        <color indexed="62"/>
      </right>
      <top style="medium">
        <color indexed="62"/>
      </top>
      <bottom/>
      <diagonal/>
    </border>
    <border>
      <left/>
      <right style="medium">
        <color indexed="62"/>
      </right>
      <top/>
      <bottom/>
      <diagonal/>
    </border>
    <border>
      <left/>
      <right style="medium">
        <color indexed="62"/>
      </right>
      <top/>
      <bottom style="medium">
        <color indexed="62"/>
      </bottom>
      <diagonal/>
    </border>
    <border>
      <left style="thin">
        <color rgb="FF3877A6"/>
      </left>
      <right style="thin">
        <color rgb="FF3877A6"/>
      </right>
      <top style="thin">
        <color rgb="FF000080"/>
      </top>
      <bottom/>
      <diagonal/>
    </border>
    <border>
      <left style="thin">
        <color rgb="FF3877A6"/>
      </left>
      <right style="thin">
        <color rgb="FF3877A6"/>
      </right>
      <top/>
      <bottom style="thin">
        <color rgb="FFA5A5B1"/>
      </bottom>
      <diagonal/>
    </border>
    <border>
      <left style="thin">
        <color rgb="FF3877A6"/>
      </left>
      <right style="thin">
        <color rgb="FF3877A6"/>
      </right>
      <top style="double">
        <color rgb="FF000080"/>
      </top>
      <bottom/>
      <diagonal/>
    </border>
  </borders>
  <cellStyleXfs count="20">
    <xf numFmtId="0" fontId="0" fillId="0" borderId="0"/>
    <xf numFmtId="43" fontId="3" fillId="0" borderId="0" applyFont="0" applyFill="0" applyBorder="0" applyAlignment="0" applyProtection="0"/>
    <xf numFmtId="43" fontId="11" fillId="0" borderId="0" applyFont="0" applyFill="0" applyBorder="0" applyAlignment="0" applyProtection="0"/>
    <xf numFmtId="0" fontId="7" fillId="0" borderId="0"/>
    <xf numFmtId="0" fontId="37" fillId="0" borderId="0"/>
    <xf numFmtId="0" fontId="25" fillId="0" borderId="0"/>
    <xf numFmtId="9" fontId="3" fillId="0" borderId="0" applyFont="0" applyFill="0" applyBorder="0" applyAlignment="0" applyProtection="0"/>
    <xf numFmtId="9" fontId="11" fillId="0" borderId="0" applyFont="0" applyFill="0" applyBorder="0" applyAlignment="0" applyProtection="0"/>
    <xf numFmtId="0" fontId="6" fillId="0" borderId="0" applyNumberFormat="0" applyFill="0" applyBorder="0" applyAlignment="0" applyProtection="0">
      <alignment vertical="top"/>
      <protection locked="0"/>
    </xf>
    <xf numFmtId="0" fontId="65" fillId="0" borderId="53" applyNumberFormat="0" applyFill="0" applyAlignment="0" applyProtection="0"/>
    <xf numFmtId="0" fontId="3" fillId="0" borderId="0"/>
    <xf numFmtId="0" fontId="2" fillId="0" borderId="0"/>
    <xf numFmtId="0" fontId="3" fillId="0" borderId="0"/>
    <xf numFmtId="0" fontId="3" fillId="0" borderId="0"/>
    <xf numFmtId="0" fontId="1" fillId="0" borderId="0"/>
    <xf numFmtId="0" fontId="138" fillId="0" borderId="0" applyNumberFormat="0" applyFill="0" applyBorder="0" applyAlignment="0" applyProtection="0">
      <alignment vertical="top"/>
      <protection locked="0"/>
    </xf>
    <xf numFmtId="0" fontId="3" fillId="0" borderId="0"/>
    <xf numFmtId="0" fontId="145" fillId="0" borderId="0"/>
    <xf numFmtId="0" fontId="3" fillId="0" borderId="0"/>
    <xf numFmtId="9" fontId="3" fillId="0" borderId="0" applyFont="0" applyFill="0" applyBorder="0" applyAlignment="0" applyProtection="0"/>
  </cellStyleXfs>
  <cellXfs count="1869">
    <xf numFmtId="0" fontId="0" fillId="0" borderId="0" xfId="0"/>
    <xf numFmtId="0" fontId="0" fillId="0" borderId="0" xfId="0" applyFill="1"/>
    <xf numFmtId="164" fontId="0" fillId="0" borderId="0" xfId="1" applyNumberFormat="1" applyFont="1"/>
    <xf numFmtId="3" fontId="0" fillId="0" borderId="0" xfId="0" applyNumberFormat="1"/>
    <xf numFmtId="43" fontId="0" fillId="0" borderId="0" xfId="1" applyFont="1"/>
    <xf numFmtId="164" fontId="0" fillId="0" borderId="0" xfId="1" applyNumberFormat="1" applyFont="1" applyFill="1"/>
    <xf numFmtId="164" fontId="0" fillId="0" borderId="0" xfId="0" applyNumberFormat="1"/>
    <xf numFmtId="0" fontId="6" fillId="0" borderId="0" xfId="8" applyAlignment="1" applyProtection="1"/>
    <xf numFmtId="165" fontId="0" fillId="0" borderId="0" xfId="6" applyNumberFormat="1" applyFont="1" applyAlignment="1">
      <alignment horizontal="center"/>
    </xf>
    <xf numFmtId="0" fontId="7" fillId="0" borderId="0" xfId="0" applyFont="1" applyBorder="1"/>
    <xf numFmtId="0" fontId="0" fillId="0" borderId="0" xfId="0" applyBorder="1"/>
    <xf numFmtId="166" fontId="0" fillId="0" borderId="0" xfId="0" applyNumberFormat="1"/>
    <xf numFmtId="9" fontId="0" fillId="0" borderId="0" xfId="0" applyNumberFormat="1"/>
    <xf numFmtId="0" fontId="9" fillId="0" borderId="0" xfId="0" applyFont="1"/>
    <xf numFmtId="43" fontId="0" fillId="0" borderId="0" xfId="0" applyNumberFormat="1"/>
    <xf numFmtId="0" fontId="0" fillId="0" borderId="0" xfId="0" applyAlignment="1">
      <alignment horizontal="center"/>
    </xf>
    <xf numFmtId="0" fontId="7" fillId="0" borderId="0" xfId="0" applyFont="1"/>
    <xf numFmtId="9" fontId="0" fillId="0" borderId="0" xfId="6" applyFont="1"/>
    <xf numFmtId="166" fontId="0" fillId="0" borderId="0" xfId="1" applyNumberFormat="1" applyFont="1"/>
    <xf numFmtId="0" fontId="0" fillId="0" borderId="0" xfId="0" applyAlignment="1">
      <alignment horizontal="right"/>
    </xf>
    <xf numFmtId="165" fontId="0" fillId="0" borderId="0" xfId="6" applyNumberFormat="1" applyFont="1"/>
    <xf numFmtId="166" fontId="9" fillId="0" borderId="0" xfId="0" applyNumberFormat="1" applyFont="1"/>
    <xf numFmtId="167" fontId="0" fillId="0" borderId="0" xfId="0" applyNumberFormat="1"/>
    <xf numFmtId="2" fontId="0" fillId="0" borderId="0" xfId="0" applyNumberFormat="1"/>
    <xf numFmtId="0" fontId="11" fillId="2" borderId="0" xfId="0" applyFont="1" applyFill="1" applyBorder="1" applyAlignment="1">
      <alignment horizontal="right" wrapText="1"/>
    </xf>
    <xf numFmtId="0" fontId="13" fillId="0" borderId="0" xfId="0" applyFont="1"/>
    <xf numFmtId="0" fontId="0" fillId="0" borderId="0" xfId="1" applyNumberFormat="1" applyFont="1" applyFill="1"/>
    <xf numFmtId="9" fontId="0" fillId="0" borderId="0" xfId="6" applyFont="1" applyFill="1"/>
    <xf numFmtId="43" fontId="0" fillId="0" borderId="0" xfId="1" applyFont="1" applyFill="1"/>
    <xf numFmtId="169" fontId="7" fillId="0" borderId="0" xfId="0" applyNumberFormat="1" applyFont="1" applyBorder="1"/>
    <xf numFmtId="0" fontId="7" fillId="0" borderId="0" xfId="0" applyFont="1" applyAlignment="1">
      <alignment horizontal="center"/>
    </xf>
    <xf numFmtId="166" fontId="7" fillId="0" borderId="0" xfId="0" applyNumberFormat="1" applyFont="1" applyAlignment="1">
      <alignment horizontal="center"/>
    </xf>
    <xf numFmtId="43" fontId="7" fillId="0" borderId="0" xfId="0" applyNumberFormat="1" applyFont="1" applyAlignment="1">
      <alignment horizontal="center"/>
    </xf>
    <xf numFmtId="10" fontId="0" fillId="0" borderId="0" xfId="6" applyNumberFormat="1" applyFont="1"/>
    <xf numFmtId="10" fontId="0" fillId="0" borderId="0" xfId="0" applyNumberFormat="1"/>
    <xf numFmtId="0" fontId="0" fillId="0" borderId="1" xfId="0" applyBorder="1"/>
    <xf numFmtId="0" fontId="16" fillId="0" borderId="0" xfId="0" applyFont="1"/>
    <xf numFmtId="2" fontId="0" fillId="0" borderId="2" xfId="0" applyNumberFormat="1" applyBorder="1"/>
    <xf numFmtId="0" fontId="0" fillId="0" borderId="2" xfId="0" applyBorder="1"/>
    <xf numFmtId="0" fontId="4" fillId="0" borderId="0" xfId="0" applyFont="1" applyFill="1"/>
    <xf numFmtId="166" fontId="0" fillId="0" borderId="0" xfId="1" applyNumberFormat="1" applyFont="1" applyFill="1"/>
    <xf numFmtId="1" fontId="0" fillId="0" borderId="0" xfId="0" applyNumberFormat="1"/>
    <xf numFmtId="167" fontId="0" fillId="0" borderId="0" xfId="0" applyNumberFormat="1" applyFill="1"/>
    <xf numFmtId="0" fontId="9" fillId="0" borderId="0" xfId="0" applyFont="1" applyFill="1"/>
    <xf numFmtId="10" fontId="0" fillId="0" borderId="0" xfId="6" applyNumberFormat="1" applyFont="1" applyFill="1"/>
    <xf numFmtId="43" fontId="0" fillId="0" borderId="0" xfId="1" applyNumberFormat="1" applyFont="1"/>
    <xf numFmtId="0" fontId="7" fillId="0" borderId="0" xfId="0" applyFont="1" applyFill="1"/>
    <xf numFmtId="164" fontId="7" fillId="0" borderId="0" xfId="1" applyNumberFormat="1" applyFont="1" applyFill="1"/>
    <xf numFmtId="10" fontId="16" fillId="0" borderId="0" xfId="0" applyNumberFormat="1" applyFont="1"/>
    <xf numFmtId="164" fontId="9" fillId="0" borderId="0" xfId="1" applyNumberFormat="1" applyFont="1" applyFill="1"/>
    <xf numFmtId="43" fontId="0" fillId="0" borderId="0" xfId="0" applyNumberFormat="1" applyFill="1"/>
    <xf numFmtId="171" fontId="0" fillId="0" borderId="0" xfId="6" applyNumberFormat="1" applyFont="1"/>
    <xf numFmtId="167" fontId="0" fillId="0" borderId="0" xfId="6" applyNumberFormat="1" applyFont="1"/>
    <xf numFmtId="0" fontId="0" fillId="0" borderId="0" xfId="0" applyFill="1" applyBorder="1"/>
    <xf numFmtId="0" fontId="0" fillId="0" borderId="2" xfId="0" applyFill="1" applyBorder="1"/>
    <xf numFmtId="166" fontId="0" fillId="0" borderId="0" xfId="0" applyNumberFormat="1" applyFill="1"/>
    <xf numFmtId="0" fontId="18" fillId="0" borderId="0" xfId="0" applyFont="1"/>
    <xf numFmtId="169" fontId="18" fillId="0" borderId="0" xfId="0" applyNumberFormat="1" applyFont="1"/>
    <xf numFmtId="0" fontId="19" fillId="0" borderId="0" xfId="0" applyFont="1" applyAlignment="1">
      <alignment horizontal="right"/>
    </xf>
    <xf numFmtId="0" fontId="18" fillId="0" borderId="0" xfId="0" applyFont="1" applyAlignment="1">
      <alignment horizontal="right"/>
    </xf>
    <xf numFmtId="0" fontId="20" fillId="0" borderId="3" xfId="0" applyFont="1" applyBorder="1" applyAlignment="1">
      <alignment horizontal="center" vertical="center" wrapText="1"/>
    </xf>
    <xf numFmtId="169" fontId="19" fillId="0" borderId="0" xfId="0" applyNumberFormat="1" applyFont="1" applyBorder="1"/>
    <xf numFmtId="0" fontId="19" fillId="0" borderId="0" xfId="0" applyFont="1" applyBorder="1"/>
    <xf numFmtId="0" fontId="20" fillId="0" borderId="4" xfId="0" applyFont="1" applyBorder="1" applyAlignment="1">
      <alignment horizontal="center" vertical="center" wrapText="1"/>
    </xf>
    <xf numFmtId="0" fontId="15" fillId="0" borderId="0" xfId="0" applyFont="1"/>
    <xf numFmtId="0" fontId="15" fillId="0" borderId="0" xfId="0" applyFont="1" applyBorder="1" applyAlignment="1">
      <alignment horizontal="right" wrapText="1"/>
    </xf>
    <xf numFmtId="0" fontId="20" fillId="0" borderId="5" xfId="0" applyFont="1" applyBorder="1" applyAlignment="1">
      <alignment horizontal="center" vertical="center" wrapText="1"/>
    </xf>
    <xf numFmtId="169" fontId="19" fillId="0" borderId="6" xfId="0" applyNumberFormat="1" applyFont="1" applyBorder="1"/>
    <xf numFmtId="0" fontId="9" fillId="0" borderId="0" xfId="0" applyFont="1" applyBorder="1"/>
    <xf numFmtId="0" fontId="18" fillId="0" borderId="0" xfId="0" applyFont="1" applyBorder="1"/>
    <xf numFmtId="169" fontId="19" fillId="4" borderId="6" xfId="0" applyNumberFormat="1" applyFont="1" applyFill="1" applyBorder="1"/>
    <xf numFmtId="169" fontId="16" fillId="0" borderId="6" xfId="0" applyNumberFormat="1" applyFont="1" applyBorder="1"/>
    <xf numFmtId="169" fontId="15" fillId="0" borderId="7" xfId="0" applyNumberFormat="1" applyFont="1" applyBorder="1"/>
    <xf numFmtId="169" fontId="15" fillId="4" borderId="7" xfId="0" applyNumberFormat="1" applyFont="1" applyFill="1" applyBorder="1"/>
    <xf numFmtId="169" fontId="19" fillId="4" borderId="0" xfId="0" applyNumberFormat="1" applyFont="1" applyFill="1" applyBorder="1"/>
    <xf numFmtId="169" fontId="16" fillId="0" borderId="0" xfId="0" applyNumberFormat="1" applyFont="1" applyBorder="1"/>
    <xf numFmtId="0" fontId="22" fillId="0" borderId="0" xfId="0" applyFont="1" applyAlignment="1">
      <alignment horizontal="right"/>
    </xf>
    <xf numFmtId="0" fontId="23" fillId="0" borderId="0" xfId="0" applyFont="1" applyAlignment="1">
      <alignment horizontal="right"/>
    </xf>
    <xf numFmtId="164" fontId="0" fillId="0" borderId="0" xfId="0" applyNumberFormat="1" applyFill="1"/>
    <xf numFmtId="171" fontId="0" fillId="0" borderId="0" xfId="0" applyNumberFormat="1"/>
    <xf numFmtId="173" fontId="0" fillId="0" borderId="0" xfId="0" applyNumberFormat="1"/>
    <xf numFmtId="167" fontId="0" fillId="0" borderId="0" xfId="0" applyNumberFormat="1" applyAlignment="1">
      <alignment horizontal="right"/>
    </xf>
    <xf numFmtId="0" fontId="7" fillId="0" borderId="2" xfId="0" applyFont="1" applyBorder="1"/>
    <xf numFmtId="43" fontId="0" fillId="0" borderId="0" xfId="1" applyNumberFormat="1" applyFont="1" applyFill="1"/>
    <xf numFmtId="174" fontId="31" fillId="3" borderId="0" xfId="0" applyNumberFormat="1" applyFont="1" applyFill="1" applyAlignment="1">
      <alignment horizontal="right"/>
    </xf>
    <xf numFmtId="174" fontId="11" fillId="3" borderId="0" xfId="0" applyNumberFormat="1" applyFont="1" applyFill="1" applyAlignment="1">
      <alignment horizontal="right"/>
    </xf>
    <xf numFmtId="174" fontId="32" fillId="3" borderId="0" xfId="0" applyNumberFormat="1" applyFont="1" applyFill="1" applyAlignment="1">
      <alignment horizontal="right"/>
    </xf>
    <xf numFmtId="174" fontId="12" fillId="3" borderId="0" xfId="0" applyNumberFormat="1" applyFont="1" applyFill="1" applyAlignment="1">
      <alignment horizontal="right"/>
    </xf>
    <xf numFmtId="1" fontId="12" fillId="5" borderId="10" xfId="0" applyNumberFormat="1" applyFont="1" applyFill="1" applyBorder="1" applyAlignment="1">
      <alignment horizontal="center"/>
    </xf>
    <xf numFmtId="1" fontId="12" fillId="5" borderId="0" xfId="0" applyNumberFormat="1" applyFont="1" applyFill="1" applyBorder="1" applyAlignment="1">
      <alignment horizontal="center"/>
    </xf>
    <xf numFmtId="174" fontId="31" fillId="3" borderId="0" xfId="0" applyNumberFormat="1" applyFont="1" applyFill="1" applyAlignment="1">
      <alignment horizontal="center"/>
    </xf>
    <xf numFmtId="174" fontId="31" fillId="3" borderId="0" xfId="0" applyNumberFormat="1" applyFont="1" applyFill="1" applyAlignment="1"/>
    <xf numFmtId="174" fontId="31" fillId="5" borderId="11" xfId="0" applyNumberFormat="1" applyFont="1" applyFill="1" applyBorder="1" applyAlignment="1" applyProtection="1">
      <alignment horizontal="center"/>
      <protection locked="0"/>
    </xf>
    <xf numFmtId="174" fontId="31" fillId="5" borderId="0" xfId="0" applyNumberFormat="1" applyFont="1" applyFill="1" applyBorder="1" applyAlignment="1" applyProtection="1">
      <alignment horizontal="center"/>
      <protection locked="0"/>
    </xf>
    <xf numFmtId="174" fontId="31" fillId="5" borderId="12" xfId="0" applyNumberFormat="1" applyFont="1" applyFill="1" applyBorder="1" applyAlignment="1">
      <alignment horizontal="center"/>
    </xf>
    <xf numFmtId="174" fontId="31" fillId="5" borderId="0" xfId="0" applyNumberFormat="1" applyFont="1" applyFill="1" applyBorder="1" applyAlignment="1">
      <alignment horizontal="center"/>
    </xf>
    <xf numFmtId="174" fontId="33" fillId="3" borderId="0" xfId="0" applyNumberFormat="1" applyFont="1" applyFill="1" applyAlignment="1">
      <alignment horizontal="right"/>
    </xf>
    <xf numFmtId="174" fontId="31" fillId="3" borderId="0" xfId="0" applyNumberFormat="1" applyFont="1" applyFill="1" applyBorder="1" applyAlignment="1">
      <alignment horizontal="center"/>
    </xf>
    <xf numFmtId="174" fontId="0" fillId="3" borderId="0" xfId="0" applyNumberFormat="1" applyFill="1"/>
    <xf numFmtId="174" fontId="67" fillId="3" borderId="0" xfId="0" applyNumberFormat="1" applyFont="1" applyFill="1"/>
    <xf numFmtId="175" fontId="0" fillId="3" borderId="0" xfId="0" applyNumberFormat="1" applyFill="1"/>
    <xf numFmtId="10" fontId="0" fillId="3" borderId="0" xfId="6" applyNumberFormat="1" applyFont="1" applyFill="1"/>
    <xf numFmtId="176" fontId="0" fillId="3" borderId="0" xfId="0" applyNumberFormat="1" applyFill="1"/>
    <xf numFmtId="177" fontId="31" fillId="5" borderId="0" xfId="0" applyNumberFormat="1" applyFont="1" applyFill="1" applyBorder="1" applyAlignment="1" applyProtection="1">
      <alignment horizontal="center"/>
      <protection locked="0"/>
    </xf>
    <xf numFmtId="3" fontId="9" fillId="0" borderId="0" xfId="0" applyNumberFormat="1" applyFont="1"/>
    <xf numFmtId="169" fontId="0" fillId="0" borderId="0" xfId="0" applyNumberFormat="1" applyAlignment="1">
      <alignment horizontal="center"/>
    </xf>
    <xf numFmtId="166" fontId="9" fillId="0" borderId="0" xfId="1" applyNumberFormat="1" applyFont="1" applyFill="1"/>
    <xf numFmtId="17" fontId="0" fillId="0" borderId="0" xfId="0" applyNumberFormat="1"/>
    <xf numFmtId="178" fontId="0" fillId="3" borderId="0" xfId="0" applyNumberFormat="1" applyFill="1"/>
    <xf numFmtId="0" fontId="68" fillId="0" borderId="0" xfId="0" applyFont="1" applyAlignment="1">
      <alignment horizontal="center"/>
    </xf>
    <xf numFmtId="0" fontId="35" fillId="0" borderId="0" xfId="0" applyFont="1" applyAlignment="1">
      <alignment horizontal="center" vertical="center" wrapText="1"/>
    </xf>
    <xf numFmtId="0" fontId="9" fillId="0" borderId="0" xfId="0" applyFont="1" applyAlignment="1">
      <alignment horizontal="center" vertical="justify"/>
    </xf>
    <xf numFmtId="3" fontId="18" fillId="0" borderId="0" xfId="0" applyNumberFormat="1" applyFont="1"/>
    <xf numFmtId="169" fontId="18" fillId="0" borderId="0" xfId="0" applyNumberFormat="1" applyFont="1" applyAlignment="1">
      <alignment horizontal="center"/>
    </xf>
    <xf numFmtId="169" fontId="23" fillId="0" borderId="0" xfId="0" applyNumberFormat="1" applyFont="1" applyBorder="1" applyAlignment="1">
      <alignment horizontal="center"/>
    </xf>
    <xf numFmtId="0" fontId="10" fillId="0" borderId="0" xfId="0" applyFont="1" applyAlignment="1">
      <alignment horizontal="center" vertical="justify"/>
    </xf>
    <xf numFmtId="0" fontId="18" fillId="4" borderId="0" xfId="0" applyFont="1" applyFill="1"/>
    <xf numFmtId="0" fontId="4" fillId="0" borderId="0" xfId="0" applyFont="1" applyAlignment="1">
      <alignment horizontal="center" vertical="justify"/>
    </xf>
    <xf numFmtId="0" fontId="68" fillId="0" borderId="0" xfId="0" applyFont="1" applyBorder="1" applyAlignment="1">
      <alignment horizontal="center"/>
    </xf>
    <xf numFmtId="0" fontId="21" fillId="6" borderId="13" xfId="0" applyFont="1" applyFill="1" applyBorder="1" applyAlignment="1">
      <alignment horizontal="center" vertical="center" wrapText="1"/>
    </xf>
    <xf numFmtId="169" fontId="18" fillId="0" borderId="0" xfId="0" applyNumberFormat="1" applyFont="1" applyBorder="1"/>
    <xf numFmtId="0" fontId="21" fillId="6" borderId="5" xfId="0" applyFont="1" applyFill="1" applyBorder="1" applyAlignment="1">
      <alignment horizontal="center" vertical="center" wrapText="1"/>
    </xf>
    <xf numFmtId="0" fontId="21" fillId="6" borderId="14" xfId="0" applyFont="1" applyFill="1" applyBorder="1" applyAlignment="1">
      <alignment horizontal="center" vertical="center" wrapText="1"/>
    </xf>
    <xf numFmtId="0" fontId="20" fillId="0" borderId="13" xfId="0" applyFont="1" applyBorder="1" applyAlignment="1">
      <alignment horizontal="center" vertical="center" wrapText="1"/>
    </xf>
    <xf numFmtId="0" fontId="19" fillId="0" borderId="1" xfId="0" applyFont="1" applyBorder="1"/>
    <xf numFmtId="3" fontId="19" fillId="0" borderId="1" xfId="0" applyNumberFormat="1" applyFont="1" applyBorder="1"/>
    <xf numFmtId="3" fontId="19" fillId="0" borderId="1" xfId="0" applyNumberFormat="1" applyFont="1" applyFill="1" applyBorder="1"/>
    <xf numFmtId="169" fontId="19" fillId="0" borderId="1" xfId="0" applyNumberFormat="1" applyFont="1" applyFill="1" applyBorder="1" applyAlignment="1">
      <alignment horizontal="center"/>
    </xf>
    <xf numFmtId="169" fontId="19" fillId="0" borderId="15" xfId="0" applyNumberFormat="1" applyFont="1" applyFill="1" applyBorder="1" applyAlignment="1">
      <alignment horizontal="center"/>
    </xf>
    <xf numFmtId="3" fontId="19" fillId="0" borderId="0" xfId="0" applyNumberFormat="1" applyFont="1" applyFill="1" applyBorder="1"/>
    <xf numFmtId="169" fontId="19" fillId="0" borderId="0" xfId="0" applyNumberFormat="1" applyFont="1" applyFill="1" applyBorder="1" applyAlignment="1">
      <alignment horizontal="center"/>
    </xf>
    <xf numFmtId="169" fontId="19" fillId="0" borderId="6" xfId="0" applyNumberFormat="1" applyFont="1" applyFill="1" applyBorder="1" applyAlignment="1">
      <alignment horizontal="center"/>
    </xf>
    <xf numFmtId="3" fontId="19" fillId="0" borderId="0" xfId="0" applyNumberFormat="1" applyFont="1" applyBorder="1"/>
    <xf numFmtId="169" fontId="19" fillId="0" borderId="0" xfId="0" applyNumberFormat="1" applyFont="1" applyBorder="1" applyAlignment="1">
      <alignment horizontal="center"/>
    </xf>
    <xf numFmtId="169" fontId="19" fillId="0" borderId="6" xfId="0" applyNumberFormat="1" applyFont="1" applyBorder="1" applyAlignment="1">
      <alignment horizontal="center"/>
    </xf>
    <xf numFmtId="0" fontId="35" fillId="0" borderId="0" xfId="0" applyFont="1"/>
    <xf numFmtId="169" fontId="35" fillId="0" borderId="0" xfId="0" applyNumberFormat="1" applyFont="1"/>
    <xf numFmtId="0" fontId="35" fillId="0" borderId="0" xfId="0" applyFont="1" applyBorder="1"/>
    <xf numFmtId="0" fontId="16" fillId="0" borderId="0" xfId="0" applyFont="1" applyFill="1" applyBorder="1"/>
    <xf numFmtId="3" fontId="16" fillId="0" borderId="0" xfId="0" applyNumberFormat="1" applyFont="1" applyBorder="1"/>
    <xf numFmtId="3" fontId="16" fillId="0" borderId="0" xfId="0" applyNumberFormat="1" applyFont="1" applyFill="1" applyBorder="1"/>
    <xf numFmtId="169" fontId="16" fillId="0" borderId="0" xfId="0" applyNumberFormat="1" applyFont="1" applyFill="1" applyBorder="1" applyAlignment="1">
      <alignment horizontal="center"/>
    </xf>
    <xf numFmtId="169" fontId="16" fillId="0" borderId="6" xfId="0" applyNumberFormat="1" applyFont="1" applyFill="1" applyBorder="1" applyAlignment="1">
      <alignment horizontal="center"/>
    </xf>
    <xf numFmtId="0" fontId="67" fillId="0" borderId="0" xfId="0" applyFont="1" applyFill="1"/>
    <xf numFmtId="0" fontId="19" fillId="0" borderId="7" xfId="0" applyFont="1" applyBorder="1"/>
    <xf numFmtId="0" fontId="20" fillId="0" borderId="7" xfId="0" applyFont="1" applyBorder="1" applyAlignment="1">
      <alignment horizontal="right"/>
    </xf>
    <xf numFmtId="3" fontId="20" fillId="0" borderId="7" xfId="0" applyNumberFormat="1" applyFont="1" applyBorder="1"/>
    <xf numFmtId="169" fontId="20" fillId="0" borderId="7" xfId="0" applyNumberFormat="1" applyFont="1" applyBorder="1" applyAlignment="1">
      <alignment horizontal="center"/>
    </xf>
    <xf numFmtId="169" fontId="20" fillId="0" borderId="16" xfId="0" applyNumberFormat="1" applyFont="1" applyBorder="1" applyAlignment="1">
      <alignment horizontal="center"/>
    </xf>
    <xf numFmtId="0" fontId="19" fillId="0" borderId="17" xfId="0" applyFont="1" applyBorder="1"/>
    <xf numFmtId="169" fontId="16" fillId="0" borderId="0" xfId="0" applyNumberFormat="1" applyFont="1" applyBorder="1" applyAlignment="1">
      <alignment horizontal="center"/>
    </xf>
    <xf numFmtId="169" fontId="16" fillId="0" borderId="6" xfId="0" applyNumberFormat="1" applyFont="1" applyBorder="1" applyAlignment="1">
      <alignment horizontal="center"/>
    </xf>
    <xf numFmtId="3" fontId="20" fillId="0" borderId="7" xfId="0" applyNumberFormat="1" applyFont="1" applyBorder="1" applyAlignment="1">
      <alignment horizontal="right"/>
    </xf>
    <xf numFmtId="3" fontId="19" fillId="0" borderId="0" xfId="0" applyNumberFormat="1" applyFont="1" applyBorder="1" applyAlignment="1">
      <alignment horizontal="right"/>
    </xf>
    <xf numFmtId="169" fontId="20" fillId="0" borderId="0" xfId="0" applyNumberFormat="1" applyFont="1" applyBorder="1" applyAlignment="1">
      <alignment horizontal="center"/>
    </xf>
    <xf numFmtId="169" fontId="20" fillId="0" borderId="6" xfId="0" applyNumberFormat="1" applyFont="1" applyBorder="1" applyAlignment="1">
      <alignment horizontal="center"/>
    </xf>
    <xf numFmtId="3" fontId="19" fillId="4" borderId="17" xfId="0" applyNumberFormat="1" applyFont="1" applyFill="1" applyBorder="1"/>
    <xf numFmtId="3" fontId="19" fillId="0" borderId="17" xfId="0" applyNumberFormat="1" applyFont="1" applyBorder="1"/>
    <xf numFmtId="169" fontId="19" fillId="0" borderId="17" xfId="0" applyNumberFormat="1" applyFont="1" applyBorder="1" applyAlignment="1">
      <alignment horizontal="center"/>
    </xf>
    <xf numFmtId="169" fontId="19" fillId="0" borderId="18" xfId="0" applyNumberFormat="1" applyFont="1" applyBorder="1" applyAlignment="1">
      <alignment horizontal="center"/>
    </xf>
    <xf numFmtId="3" fontId="19" fillId="4" borderId="0" xfId="0" applyNumberFormat="1" applyFont="1" applyFill="1" applyBorder="1"/>
    <xf numFmtId="0" fontId="20" fillId="0" borderId="0" xfId="0" applyFont="1" applyBorder="1"/>
    <xf numFmtId="0" fontId="20" fillId="0" borderId="0" xfId="0" applyFont="1" applyBorder="1" applyAlignment="1">
      <alignment horizontal="right"/>
    </xf>
    <xf numFmtId="3" fontId="20" fillId="4" borderId="0" xfId="0" applyNumberFormat="1" applyFont="1" applyFill="1" applyBorder="1"/>
    <xf numFmtId="0" fontId="15" fillId="0" borderId="0" xfId="0" applyFont="1" applyBorder="1" applyAlignment="1">
      <alignment horizontal="right"/>
    </xf>
    <xf numFmtId="0" fontId="20" fillId="0" borderId="14" xfId="0" applyFont="1" applyBorder="1" applyAlignment="1">
      <alignment horizontal="center" vertical="center" wrapText="1"/>
    </xf>
    <xf numFmtId="0" fontId="20" fillId="0" borderId="10" xfId="0" applyFont="1" applyBorder="1"/>
    <xf numFmtId="0" fontId="20" fillId="0" borderId="10" xfId="0" applyFont="1" applyBorder="1" applyAlignment="1">
      <alignment horizontal="right"/>
    </xf>
    <xf numFmtId="3" fontId="20" fillId="0" borderId="10" xfId="0" applyNumberFormat="1" applyFont="1" applyBorder="1"/>
    <xf numFmtId="169" fontId="20" fillId="0" borderId="10" xfId="0" applyNumberFormat="1" applyFont="1" applyBorder="1" applyAlignment="1">
      <alignment horizontal="center"/>
    </xf>
    <xf numFmtId="169" fontId="20" fillId="0" borderId="19" xfId="0" applyNumberFormat="1" applyFont="1" applyBorder="1" applyAlignment="1">
      <alignment horizontal="center"/>
    </xf>
    <xf numFmtId="3" fontId="19" fillId="4" borderId="1" xfId="0" applyNumberFormat="1" applyFont="1" applyFill="1" applyBorder="1"/>
    <xf numFmtId="169" fontId="19" fillId="0" borderId="1" xfId="0" applyNumberFormat="1" applyFont="1" applyBorder="1" applyAlignment="1">
      <alignment horizontal="center"/>
    </xf>
    <xf numFmtId="169" fontId="19" fillId="0" borderId="15" xfId="0" applyNumberFormat="1" applyFont="1" applyBorder="1" applyAlignment="1">
      <alignment horizontal="center"/>
    </xf>
    <xf numFmtId="3" fontId="16" fillId="0" borderId="0" xfId="0" applyNumberFormat="1" applyFont="1" applyBorder="1" applyAlignment="1">
      <alignment horizontal="right"/>
    </xf>
    <xf numFmtId="0" fontId="15" fillId="0" borderId="1" xfId="0" applyFont="1" applyBorder="1" applyAlignment="1">
      <alignment horizontal="right" wrapText="1"/>
    </xf>
    <xf numFmtId="0" fontId="19" fillId="0" borderId="10" xfId="0" applyFont="1" applyBorder="1"/>
    <xf numFmtId="3" fontId="20" fillId="4" borderId="10" xfId="0" applyNumberFormat="1" applyFont="1" applyFill="1" applyBorder="1"/>
    <xf numFmtId="0" fontId="19" fillId="0" borderId="1" xfId="0" applyFont="1" applyBorder="1" applyAlignment="1">
      <alignment horizontal="right"/>
    </xf>
    <xf numFmtId="0" fontId="19" fillId="0" borderId="0" xfId="0" applyFont="1" applyBorder="1" applyAlignment="1">
      <alignment horizontal="right"/>
    </xf>
    <xf numFmtId="0" fontId="20" fillId="0" borderId="7" xfId="0" applyFont="1" applyBorder="1"/>
    <xf numFmtId="0" fontId="19" fillId="0" borderId="17" xfId="0" applyFont="1" applyBorder="1" applyAlignment="1">
      <alignment horizontal="right"/>
    </xf>
    <xf numFmtId="0" fontId="16" fillId="0" borderId="0" xfId="0" applyFont="1" applyBorder="1"/>
    <xf numFmtId="0" fontId="16" fillId="0" borderId="0" xfId="0" applyFont="1" applyBorder="1" applyAlignment="1">
      <alignment horizontal="right"/>
    </xf>
    <xf numFmtId="3" fontId="19" fillId="0" borderId="17" xfId="0" applyNumberFormat="1" applyFont="1" applyBorder="1" applyAlignment="1">
      <alignment horizontal="right"/>
    </xf>
    <xf numFmtId="3" fontId="20" fillId="0" borderId="0" xfId="0" applyNumberFormat="1" applyFont="1" applyBorder="1"/>
    <xf numFmtId="0" fontId="20" fillId="0" borderId="4"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69" fillId="0" borderId="0" xfId="0" applyFont="1" applyAlignment="1">
      <alignment horizontal="center"/>
    </xf>
    <xf numFmtId="0" fontId="70" fillId="13" borderId="0" xfId="0" applyFont="1" applyFill="1" applyAlignment="1">
      <alignment horizontal="center"/>
    </xf>
    <xf numFmtId="3" fontId="20" fillId="4" borderId="7" xfId="0" applyNumberFormat="1" applyFont="1" applyFill="1" applyBorder="1"/>
    <xf numFmtId="3" fontId="19" fillId="0" borderId="1" xfId="0" applyNumberFormat="1" applyFont="1" applyBorder="1" applyAlignment="1">
      <alignment horizontal="right"/>
    </xf>
    <xf numFmtId="3" fontId="19" fillId="7" borderId="0" xfId="0" applyNumberFormat="1" applyFont="1" applyFill="1" applyBorder="1"/>
    <xf numFmtId="169" fontId="19" fillId="4" borderId="0" xfId="0" applyNumberFormat="1" applyFont="1" applyFill="1" applyBorder="1" applyAlignment="1">
      <alignment horizontal="center"/>
    </xf>
    <xf numFmtId="169" fontId="19" fillId="4" borderId="6" xfId="0" applyNumberFormat="1" applyFont="1" applyFill="1" applyBorder="1" applyAlignment="1">
      <alignment horizontal="center"/>
    </xf>
    <xf numFmtId="3" fontId="16" fillId="7" borderId="0" xfId="0" applyNumberFormat="1" applyFont="1" applyFill="1" applyBorder="1" applyAlignment="1">
      <alignment horizontal="right"/>
    </xf>
    <xf numFmtId="3" fontId="16" fillId="4" borderId="0" xfId="0" applyNumberFormat="1" applyFont="1" applyFill="1" applyBorder="1" applyAlignment="1">
      <alignment horizontal="right"/>
    </xf>
    <xf numFmtId="0" fontId="20" fillId="13" borderId="4" xfId="0" applyFont="1" applyFill="1" applyBorder="1" applyAlignment="1">
      <alignment horizontal="center" vertical="center" wrapText="1"/>
    </xf>
    <xf numFmtId="0" fontId="9" fillId="13" borderId="0" xfId="0" applyFont="1" applyFill="1"/>
    <xf numFmtId="0" fontId="19" fillId="13" borderId="17" xfId="0" applyFont="1" applyFill="1" applyBorder="1"/>
    <xf numFmtId="3" fontId="19" fillId="13" borderId="0" xfId="0" applyNumberFormat="1" applyFont="1" applyFill="1" applyBorder="1"/>
    <xf numFmtId="169" fontId="19" fillId="13" borderId="0" xfId="0" applyNumberFormat="1" applyFont="1" applyFill="1" applyBorder="1" applyAlignment="1">
      <alignment horizontal="center"/>
    </xf>
    <xf numFmtId="169" fontId="19" fillId="13" borderId="6" xfId="0" applyNumberFormat="1" applyFont="1" applyFill="1" applyBorder="1" applyAlignment="1">
      <alignment horizontal="center"/>
    </xf>
    <xf numFmtId="0" fontId="18" fillId="13" borderId="0" xfId="0" applyFont="1" applyFill="1"/>
    <xf numFmtId="169" fontId="18" fillId="13" borderId="0" xfId="0" applyNumberFormat="1" applyFont="1" applyFill="1"/>
    <xf numFmtId="0" fontId="68" fillId="13" borderId="0" xfId="0" applyFont="1" applyFill="1" applyAlignment="1">
      <alignment horizontal="center"/>
    </xf>
    <xf numFmtId="0" fontId="20" fillId="13" borderId="5" xfId="0" applyFont="1" applyFill="1" applyBorder="1" applyAlignment="1">
      <alignment horizontal="center" vertical="center" wrapText="1"/>
    </xf>
    <xf numFmtId="0" fontId="15" fillId="13" borderId="0" xfId="0" applyFont="1" applyFill="1" applyBorder="1" applyAlignment="1">
      <alignment horizontal="right" wrapText="1"/>
    </xf>
    <xf numFmtId="0" fontId="19" fillId="13" borderId="0" xfId="0" applyFont="1" applyFill="1" applyBorder="1"/>
    <xf numFmtId="0" fontId="35" fillId="13" borderId="0" xfId="0" applyFont="1" applyFill="1"/>
    <xf numFmtId="0" fontId="16" fillId="13" borderId="0" xfId="0" applyFont="1" applyFill="1" applyBorder="1"/>
    <xf numFmtId="3" fontId="16" fillId="13" borderId="0" xfId="0" applyNumberFormat="1" applyFont="1" applyFill="1" applyBorder="1" applyAlignment="1">
      <alignment horizontal="right"/>
    </xf>
    <xf numFmtId="3" fontId="16" fillId="13" borderId="0" xfId="0" applyNumberFormat="1" applyFont="1" applyFill="1" applyBorder="1"/>
    <xf numFmtId="169" fontId="16" fillId="13" borderId="0" xfId="0" applyNumberFormat="1" applyFont="1" applyFill="1" applyBorder="1" applyAlignment="1">
      <alignment horizontal="center"/>
    </xf>
    <xf numFmtId="169" fontId="16" fillId="13" borderId="6" xfId="0" applyNumberFormat="1" applyFont="1" applyFill="1" applyBorder="1" applyAlignment="1">
      <alignment horizontal="center"/>
    </xf>
    <xf numFmtId="0" fontId="20" fillId="13" borderId="3" xfId="0" applyFont="1" applyFill="1" applyBorder="1" applyAlignment="1">
      <alignment horizontal="center" vertical="center" wrapText="1"/>
    </xf>
    <xf numFmtId="0" fontId="19" fillId="13" borderId="7" xfId="0" applyFont="1" applyFill="1" applyBorder="1"/>
    <xf numFmtId="0" fontId="20" fillId="13" borderId="7" xfId="0" applyFont="1" applyFill="1" applyBorder="1" applyAlignment="1">
      <alignment horizontal="right"/>
    </xf>
    <xf numFmtId="3" fontId="20" fillId="13" borderId="7" xfId="0" applyNumberFormat="1" applyFont="1" applyFill="1" applyBorder="1" applyAlignment="1">
      <alignment horizontal="right"/>
    </xf>
    <xf numFmtId="169" fontId="20" fillId="13" borderId="0" xfId="0" applyNumberFormat="1" applyFont="1" applyFill="1" applyBorder="1" applyAlignment="1">
      <alignment horizontal="center"/>
    </xf>
    <xf numFmtId="169" fontId="20" fillId="13" borderId="6" xfId="0" applyNumberFormat="1" applyFont="1" applyFill="1" applyBorder="1" applyAlignment="1">
      <alignment horizontal="center"/>
    </xf>
    <xf numFmtId="0" fontId="19" fillId="13" borderId="17" xfId="0" applyFont="1" applyFill="1" applyBorder="1" applyAlignment="1">
      <alignment horizontal="right"/>
    </xf>
    <xf numFmtId="3" fontId="19" fillId="13" borderId="17" xfId="0" applyNumberFormat="1" applyFont="1" applyFill="1" applyBorder="1"/>
    <xf numFmtId="169" fontId="19" fillId="13" borderId="17" xfId="0" applyNumberFormat="1" applyFont="1" applyFill="1" applyBorder="1" applyAlignment="1">
      <alignment horizontal="center"/>
    </xf>
    <xf numFmtId="169" fontId="19" fillId="13" borderId="18" xfId="0" applyNumberFormat="1" applyFont="1" applyFill="1" applyBorder="1" applyAlignment="1">
      <alignment horizontal="center"/>
    </xf>
    <xf numFmtId="0" fontId="19" fillId="13" borderId="0" xfId="0" applyFont="1" applyFill="1" applyBorder="1" applyAlignment="1">
      <alignment horizontal="right"/>
    </xf>
    <xf numFmtId="0" fontId="20" fillId="13" borderId="14" xfId="0" applyFont="1" applyFill="1" applyBorder="1" applyAlignment="1">
      <alignment horizontal="center" vertical="center" wrapText="1"/>
    </xf>
    <xf numFmtId="0" fontId="20" fillId="13" borderId="10" xfId="0" applyFont="1" applyFill="1" applyBorder="1"/>
    <xf numFmtId="0" fontId="20" fillId="13" borderId="10" xfId="0" applyFont="1" applyFill="1" applyBorder="1" applyAlignment="1">
      <alignment horizontal="right"/>
    </xf>
    <xf numFmtId="3" fontId="20" fillId="13" borderId="10" xfId="0" applyNumberFormat="1" applyFont="1" applyFill="1" applyBorder="1"/>
    <xf numFmtId="169" fontId="20" fillId="13" borderId="10" xfId="0" applyNumberFormat="1" applyFont="1" applyFill="1" applyBorder="1" applyAlignment="1">
      <alignment horizontal="center"/>
    </xf>
    <xf numFmtId="169" fontId="20" fillId="13" borderId="19" xfId="0" applyNumberFormat="1" applyFont="1" applyFill="1" applyBorder="1" applyAlignment="1">
      <alignment horizontal="center"/>
    </xf>
    <xf numFmtId="0" fontId="16" fillId="13" borderId="17" xfId="0" applyFont="1" applyFill="1" applyBorder="1" applyAlignment="1">
      <alignment horizontal="right"/>
    </xf>
    <xf numFmtId="0" fontId="16" fillId="13" borderId="0" xfId="0" applyFont="1" applyFill="1" applyBorder="1" applyAlignment="1">
      <alignment horizontal="right"/>
    </xf>
    <xf numFmtId="3" fontId="20" fillId="13" borderId="7" xfId="0" applyNumberFormat="1" applyFont="1" applyFill="1" applyBorder="1"/>
    <xf numFmtId="169" fontId="20" fillId="13" borderId="7" xfId="0" applyNumberFormat="1" applyFont="1" applyFill="1" applyBorder="1" applyAlignment="1">
      <alignment horizontal="center"/>
    </xf>
    <xf numFmtId="169" fontId="20" fillId="13" borderId="16" xfId="0" applyNumberFormat="1" applyFont="1" applyFill="1" applyBorder="1" applyAlignment="1">
      <alignment horizontal="center"/>
    </xf>
    <xf numFmtId="0" fontId="20" fillId="13" borderId="13" xfId="0" applyFont="1" applyFill="1" applyBorder="1" applyAlignment="1">
      <alignment horizontal="center" vertical="center" wrapText="1"/>
    </xf>
    <xf numFmtId="0" fontId="19" fillId="13" borderId="1" xfId="0" applyFont="1" applyFill="1" applyBorder="1"/>
    <xf numFmtId="3" fontId="16" fillId="13" borderId="1" xfId="0" applyNumberFormat="1" applyFont="1" applyFill="1" applyBorder="1"/>
    <xf numFmtId="169" fontId="16" fillId="13" borderId="1" xfId="0" applyNumberFormat="1" applyFont="1" applyFill="1" applyBorder="1" applyAlignment="1">
      <alignment horizontal="center"/>
    </xf>
    <xf numFmtId="169" fontId="16" fillId="13" borderId="15" xfId="0" applyNumberFormat="1" applyFont="1" applyFill="1" applyBorder="1" applyAlignment="1">
      <alignment horizontal="center"/>
    </xf>
    <xf numFmtId="0" fontId="19" fillId="0" borderId="0" xfId="0" applyFont="1"/>
    <xf numFmtId="169" fontId="19" fillId="0" borderId="0" xfId="0" applyNumberFormat="1" applyFont="1"/>
    <xf numFmtId="3" fontId="20" fillId="0" borderId="10" xfId="0" applyNumberFormat="1" applyFont="1" applyBorder="1" applyAlignment="1">
      <alignment horizontal="right"/>
    </xf>
    <xf numFmtId="0" fontId="16" fillId="0" borderId="1" xfId="0" applyFont="1" applyBorder="1" applyAlignment="1">
      <alignment horizontal="right"/>
    </xf>
    <xf numFmtId="0" fontId="35" fillId="0" borderId="14" xfId="0" applyFont="1" applyBorder="1" applyAlignment="1">
      <alignment horizontal="center" vertical="center" wrapText="1"/>
    </xf>
    <xf numFmtId="0" fontId="35" fillId="0" borderId="20" xfId="0" applyFont="1" applyBorder="1" applyAlignment="1">
      <alignment horizontal="center" vertical="center" wrapText="1"/>
    </xf>
    <xf numFmtId="0" fontId="15" fillId="0" borderId="21" xfId="0" applyFont="1" applyBorder="1" applyAlignment="1">
      <alignment horizontal="right"/>
    </xf>
    <xf numFmtId="0" fontId="18" fillId="0" borderId="21" xfId="0" applyFont="1" applyBorder="1"/>
    <xf numFmtId="3" fontId="15" fillId="0" borderId="21" xfId="0" applyNumberFormat="1" applyFont="1" applyBorder="1"/>
    <xf numFmtId="169" fontId="15" fillId="0" borderId="10" xfId="0" applyNumberFormat="1" applyFont="1" applyBorder="1" applyAlignment="1">
      <alignment horizontal="center"/>
    </xf>
    <xf numFmtId="169" fontId="15" fillId="0" borderId="19" xfId="0" applyNumberFormat="1" applyFont="1" applyBorder="1" applyAlignment="1">
      <alignment horizontal="center"/>
    </xf>
    <xf numFmtId="3" fontId="18" fillId="8" borderId="0" xfId="0" applyNumberFormat="1" applyFont="1" applyFill="1"/>
    <xf numFmtId="0" fontId="19" fillId="0" borderId="15" xfId="0" applyFont="1" applyBorder="1"/>
    <xf numFmtId="3" fontId="19" fillId="0" borderId="22" xfId="0" applyNumberFormat="1" applyFont="1" applyFill="1" applyBorder="1"/>
    <xf numFmtId="169" fontId="19" fillId="4" borderId="1" xfId="0" applyNumberFormat="1" applyFont="1" applyFill="1" applyBorder="1"/>
    <xf numFmtId="3" fontId="19" fillId="4" borderId="22" xfId="0" applyNumberFormat="1" applyFont="1" applyFill="1" applyBorder="1"/>
    <xf numFmtId="169" fontId="19" fillId="4" borderId="15" xfId="0" applyNumberFormat="1" applyFont="1" applyFill="1" applyBorder="1"/>
    <xf numFmtId="3" fontId="19" fillId="4" borderId="23" xfId="0" applyNumberFormat="1" applyFont="1" applyFill="1" applyBorder="1"/>
    <xf numFmtId="169" fontId="19" fillId="0" borderId="15" xfId="0" applyNumberFormat="1" applyFont="1" applyBorder="1"/>
    <xf numFmtId="1" fontId="19" fillId="0" borderId="24" xfId="0" applyNumberFormat="1" applyFont="1" applyBorder="1"/>
    <xf numFmtId="0" fontId="19" fillId="0" borderId="6" xfId="0" applyFont="1" applyBorder="1"/>
    <xf numFmtId="3" fontId="19" fillId="0" borderId="25" xfId="0" applyNumberFormat="1" applyFont="1" applyFill="1" applyBorder="1"/>
    <xf numFmtId="3" fontId="19" fillId="0" borderId="25" xfId="0" applyNumberFormat="1" applyFont="1" applyBorder="1"/>
    <xf numFmtId="3" fontId="19" fillId="0" borderId="26" xfId="0" applyNumberFormat="1" applyFont="1" applyBorder="1"/>
    <xf numFmtId="1" fontId="19" fillId="0" borderId="27" xfId="0" applyNumberFormat="1" applyFont="1" applyBorder="1"/>
    <xf numFmtId="3" fontId="19" fillId="4" borderId="25" xfId="0" applyNumberFormat="1" applyFont="1" applyFill="1" applyBorder="1"/>
    <xf numFmtId="0" fontId="19" fillId="0" borderId="27" xfId="0" applyFont="1" applyBorder="1"/>
    <xf numFmtId="0" fontId="16" fillId="0" borderId="6" xfId="0" applyFont="1" applyFill="1" applyBorder="1"/>
    <xf numFmtId="3" fontId="16" fillId="0" borderId="25" xfId="0" applyNumberFormat="1" applyFont="1" applyBorder="1"/>
    <xf numFmtId="3" fontId="16" fillId="0" borderId="25" xfId="0" applyNumberFormat="1" applyFont="1" applyFill="1" applyBorder="1"/>
    <xf numFmtId="0" fontId="15" fillId="0" borderId="16" xfId="0" applyFont="1" applyBorder="1" applyAlignment="1">
      <alignment horizontal="right"/>
    </xf>
    <xf numFmtId="3" fontId="15" fillId="0" borderId="28" xfId="0" applyNumberFormat="1" applyFont="1" applyBorder="1"/>
    <xf numFmtId="3" fontId="15" fillId="0" borderId="29" xfId="0" applyNumberFormat="1" applyFont="1" applyBorder="1"/>
    <xf numFmtId="169" fontId="15" fillId="0" borderId="16" xfId="0" applyNumberFormat="1" applyFont="1" applyBorder="1"/>
    <xf numFmtId="3" fontId="15" fillId="0" borderId="7" xfId="0" applyNumberFormat="1" applyFont="1" applyBorder="1"/>
    <xf numFmtId="1" fontId="15" fillId="0" borderId="9" xfId="0" applyNumberFormat="1" applyFont="1" applyBorder="1"/>
    <xf numFmtId="0" fontId="16" fillId="0" borderId="18" xfId="0" applyFont="1" applyBorder="1"/>
    <xf numFmtId="3" fontId="35" fillId="0" borderId="0" xfId="0" applyNumberFormat="1" applyFont="1" applyBorder="1"/>
    <xf numFmtId="3" fontId="15" fillId="4" borderId="28" xfId="0" applyNumberFormat="1" applyFont="1" applyFill="1" applyBorder="1"/>
    <xf numFmtId="169" fontId="15" fillId="4" borderId="16" xfId="0" applyNumberFormat="1" applyFont="1" applyFill="1" applyBorder="1"/>
    <xf numFmtId="3" fontId="15" fillId="4" borderId="29" xfId="0" applyNumberFormat="1" applyFont="1" applyFill="1" applyBorder="1"/>
    <xf numFmtId="3" fontId="19" fillId="0" borderId="30" xfId="0" applyNumberFormat="1" applyFont="1" applyFill="1" applyBorder="1"/>
    <xf numFmtId="3" fontId="19" fillId="4" borderId="26" xfId="0" applyNumberFormat="1" applyFont="1" applyFill="1" applyBorder="1"/>
    <xf numFmtId="3" fontId="15" fillId="0" borderId="26" xfId="0" applyNumberFormat="1" applyFont="1" applyBorder="1"/>
    <xf numFmtId="169" fontId="15" fillId="0" borderId="31" xfId="0" applyNumberFormat="1" applyFont="1" applyBorder="1"/>
    <xf numFmtId="3" fontId="15" fillId="0" borderId="25" xfId="0" applyNumberFormat="1" applyFont="1" applyBorder="1"/>
    <xf numFmtId="3" fontId="16" fillId="0" borderId="32" xfId="0" applyNumberFormat="1" applyFont="1" applyBorder="1"/>
    <xf numFmtId="169" fontId="16" fillId="4" borderId="0" xfId="0" applyNumberFormat="1" applyFont="1" applyFill="1" applyBorder="1"/>
    <xf numFmtId="3" fontId="16" fillId="0" borderId="30" xfId="0" applyNumberFormat="1" applyFont="1" applyBorder="1"/>
    <xf numFmtId="0" fontId="15" fillId="0" borderId="6" xfId="0" applyFont="1" applyBorder="1" applyAlignment="1">
      <alignment horizontal="right"/>
    </xf>
    <xf numFmtId="0" fontId="19" fillId="0" borderId="18" xfId="0" applyFont="1" applyBorder="1"/>
    <xf numFmtId="0" fontId="20" fillId="0" borderId="16" xfId="0" applyFont="1" applyBorder="1" applyAlignment="1">
      <alignment horizontal="right"/>
    </xf>
    <xf numFmtId="3" fontId="20" fillId="0" borderId="28" xfId="0" applyNumberFormat="1" applyFont="1" applyBorder="1"/>
    <xf numFmtId="169" fontId="20" fillId="4" borderId="7" xfId="0" applyNumberFormat="1" applyFont="1" applyFill="1" applyBorder="1"/>
    <xf numFmtId="3" fontId="20" fillId="0" borderId="29" xfId="0" applyNumberFormat="1" applyFont="1" applyBorder="1"/>
    <xf numFmtId="169" fontId="20" fillId="0" borderId="7" xfId="0" applyNumberFormat="1" applyFont="1" applyBorder="1"/>
    <xf numFmtId="169" fontId="20" fillId="0" borderId="16" xfId="0" applyNumberFormat="1" applyFont="1" applyBorder="1"/>
    <xf numFmtId="1" fontId="20" fillId="0" borderId="9" xfId="0" applyNumberFormat="1" applyFont="1" applyBorder="1"/>
    <xf numFmtId="0" fontId="20" fillId="0" borderId="19" xfId="0" applyFont="1" applyBorder="1" applyAlignment="1">
      <alignment horizontal="right"/>
    </xf>
    <xf numFmtId="3" fontId="20" fillId="0" borderId="33" xfId="0" applyNumberFormat="1" applyFont="1" applyBorder="1"/>
    <xf numFmtId="169" fontId="20" fillId="4" borderId="10" xfId="0" applyNumberFormat="1" applyFont="1" applyFill="1" applyBorder="1"/>
    <xf numFmtId="3" fontId="20" fillId="0" borderId="34" xfId="0" applyNumberFormat="1" applyFont="1" applyBorder="1"/>
    <xf numFmtId="169" fontId="20" fillId="0" borderId="10" xfId="0" applyNumberFormat="1" applyFont="1" applyBorder="1"/>
    <xf numFmtId="169" fontId="20" fillId="0" borderId="19" xfId="0" applyNumberFormat="1" applyFont="1" applyBorder="1"/>
    <xf numFmtId="1" fontId="20" fillId="0" borderId="35" xfId="0" applyNumberFormat="1" applyFont="1" applyBorder="1"/>
    <xf numFmtId="0" fontId="19" fillId="0" borderId="24" xfId="0" applyFont="1" applyBorder="1"/>
    <xf numFmtId="3" fontId="19" fillId="0" borderId="23" xfId="0" applyNumberFormat="1" applyFont="1" applyBorder="1"/>
    <xf numFmtId="169" fontId="19" fillId="0" borderId="1" xfId="0" applyNumberFormat="1" applyFont="1" applyBorder="1"/>
    <xf numFmtId="3" fontId="19" fillId="0" borderId="22" xfId="0" applyNumberFormat="1" applyFont="1" applyBorder="1"/>
    <xf numFmtId="1" fontId="19" fillId="0" borderId="15" xfId="0" applyNumberFormat="1" applyFont="1" applyBorder="1"/>
    <xf numFmtId="1" fontId="19" fillId="0" borderId="6" xfId="0" applyNumberFormat="1" applyFont="1" applyBorder="1"/>
    <xf numFmtId="3" fontId="16" fillId="0" borderId="26" xfId="0" applyNumberFormat="1" applyFont="1" applyBorder="1"/>
    <xf numFmtId="1" fontId="16" fillId="0" borderId="6" xfId="0" applyNumberFormat="1" applyFont="1" applyBorder="1"/>
    <xf numFmtId="0" fontId="20" fillId="0" borderId="27" xfId="0" applyFont="1" applyBorder="1" applyAlignment="1">
      <alignment horizontal="right"/>
    </xf>
    <xf numFmtId="3" fontId="20" fillId="4" borderId="26" xfId="0" applyNumberFormat="1" applyFont="1" applyFill="1" applyBorder="1"/>
    <xf numFmtId="169" fontId="20" fillId="4" borderId="16" xfId="0" applyNumberFormat="1" applyFont="1" applyFill="1" applyBorder="1"/>
    <xf numFmtId="1" fontId="20" fillId="0" borderId="16" xfId="0" applyNumberFormat="1" applyFont="1" applyBorder="1"/>
    <xf numFmtId="0" fontId="19" fillId="0" borderId="36" xfId="0" applyFont="1" applyBorder="1" applyAlignment="1">
      <alignment horizontal="right"/>
    </xf>
    <xf numFmtId="3" fontId="19" fillId="0" borderId="32" xfId="0" applyNumberFormat="1" applyFont="1" applyBorder="1"/>
    <xf numFmtId="0" fontId="19" fillId="0" borderId="27" xfId="0" applyFont="1" applyBorder="1" applyAlignment="1">
      <alignment horizontal="right"/>
    </xf>
    <xf numFmtId="0" fontId="15" fillId="0" borderId="9" xfId="0" applyFont="1" applyBorder="1" applyAlignment="1">
      <alignment horizontal="right"/>
    </xf>
    <xf numFmtId="1" fontId="15" fillId="0" borderId="16" xfId="0" applyNumberFormat="1" applyFont="1" applyBorder="1"/>
    <xf numFmtId="0" fontId="19" fillId="0" borderId="36" xfId="0" applyFont="1" applyBorder="1"/>
    <xf numFmtId="0" fontId="16" fillId="0" borderId="27" xfId="0" applyFont="1" applyBorder="1" applyAlignment="1">
      <alignment horizontal="right"/>
    </xf>
    <xf numFmtId="0" fontId="20" fillId="0" borderId="9" xfId="0" applyFont="1" applyBorder="1" applyAlignment="1">
      <alignment horizontal="right"/>
    </xf>
    <xf numFmtId="3" fontId="19" fillId="0" borderId="26" xfId="0" applyNumberFormat="1" applyFont="1" applyFill="1" applyBorder="1"/>
    <xf numFmtId="0" fontId="20" fillId="0" borderId="35" xfId="0" applyFont="1" applyBorder="1" applyAlignment="1">
      <alignment horizontal="right"/>
    </xf>
    <xf numFmtId="1" fontId="20" fillId="0" borderId="19" xfId="0" applyNumberFormat="1" applyFont="1" applyBorder="1"/>
    <xf numFmtId="0" fontId="19" fillId="0" borderId="24" xfId="0" applyFont="1" applyBorder="1" applyAlignment="1">
      <alignment horizontal="right"/>
    </xf>
    <xf numFmtId="3" fontId="20" fillId="4" borderId="28" xfId="0" applyNumberFormat="1" applyFont="1" applyFill="1" applyBorder="1"/>
    <xf numFmtId="3" fontId="20" fillId="4" borderId="29" xfId="0" applyNumberFormat="1" applyFont="1" applyFill="1" applyBorder="1"/>
    <xf numFmtId="3" fontId="19" fillId="4" borderId="32" xfId="0" applyNumberFormat="1" applyFont="1" applyFill="1" applyBorder="1"/>
    <xf numFmtId="0" fontId="16" fillId="0" borderId="27" xfId="0" applyFont="1" applyFill="1" applyBorder="1"/>
    <xf numFmtId="169" fontId="20" fillId="4" borderId="19" xfId="0" applyNumberFormat="1" applyFont="1" applyFill="1" applyBorder="1"/>
    <xf numFmtId="0" fontId="16" fillId="0" borderId="17" xfId="0" applyFont="1" applyBorder="1" applyAlignment="1">
      <alignment horizontal="right"/>
    </xf>
    <xf numFmtId="3" fontId="19" fillId="0" borderId="30" xfId="0" applyNumberFormat="1" applyFont="1" applyBorder="1"/>
    <xf numFmtId="3" fontId="20" fillId="4" borderId="34" xfId="0" applyNumberFormat="1" applyFont="1" applyFill="1" applyBorder="1"/>
    <xf numFmtId="169" fontId="15" fillId="0" borderId="37" xfId="0" applyNumberFormat="1" applyFont="1" applyBorder="1"/>
    <xf numFmtId="0" fontId="18" fillId="0" borderId="0" xfId="0" applyFont="1" applyFill="1"/>
    <xf numFmtId="3" fontId="15" fillId="0" borderId="34" xfId="0" applyNumberFormat="1" applyFont="1" applyBorder="1"/>
    <xf numFmtId="0" fontId="15" fillId="0" borderId="38" xfId="0" applyFont="1" applyBorder="1" applyAlignment="1">
      <alignment horizontal="right"/>
    </xf>
    <xf numFmtId="3" fontId="15" fillId="0" borderId="39" xfId="0" applyNumberFormat="1" applyFont="1" applyBorder="1"/>
    <xf numFmtId="169" fontId="15" fillId="4" borderId="19" xfId="0" applyNumberFormat="1" applyFont="1" applyFill="1" applyBorder="1"/>
    <xf numFmtId="169" fontId="15" fillId="0" borderId="10" xfId="0" applyNumberFormat="1" applyFont="1" applyBorder="1"/>
    <xf numFmtId="169" fontId="15" fillId="0" borderId="19" xfId="0" applyNumberFormat="1" applyFont="1" applyBorder="1"/>
    <xf numFmtId="1" fontId="15" fillId="0" borderId="19" xfId="0" applyNumberFormat="1" applyFont="1" applyBorder="1"/>
    <xf numFmtId="10" fontId="18" fillId="0" borderId="0" xfId="6" applyNumberFormat="1" applyFont="1"/>
    <xf numFmtId="0" fontId="7" fillId="0" borderId="0" xfId="1" applyNumberFormat="1" applyFont="1" applyFill="1"/>
    <xf numFmtId="164" fontId="7" fillId="0" borderId="0" xfId="1" quotePrefix="1" applyNumberFormat="1" applyFont="1" applyFill="1"/>
    <xf numFmtId="43" fontId="7" fillId="0" borderId="0" xfId="1" applyNumberFormat="1" applyFont="1" applyFill="1"/>
    <xf numFmtId="9" fontId="7" fillId="0" borderId="0" xfId="6" applyFont="1" applyFill="1"/>
    <xf numFmtId="164" fontId="0" fillId="0" borderId="2" xfId="1" applyNumberFormat="1" applyFont="1" applyBorder="1"/>
    <xf numFmtId="9" fontId="0" fillId="0" borderId="2" xfId="6" applyFont="1" applyBorder="1"/>
    <xf numFmtId="0" fontId="71" fillId="0" borderId="40" xfId="0" applyFont="1" applyFill="1" applyBorder="1"/>
    <xf numFmtId="0" fontId="68" fillId="0" borderId="0" xfId="3" applyFont="1" applyAlignment="1">
      <alignment horizontal="center"/>
    </xf>
    <xf numFmtId="0" fontId="15" fillId="0" borderId="5" xfId="3" applyFont="1" applyFill="1" applyBorder="1"/>
    <xf numFmtId="0" fontId="16" fillId="0" borderId="0" xfId="3" applyFont="1" applyFill="1" applyBorder="1"/>
    <xf numFmtId="3" fontId="16" fillId="0" borderId="0" xfId="3" applyNumberFormat="1" applyFont="1" applyBorder="1"/>
    <xf numFmtId="3" fontId="16" fillId="4" borderId="0" xfId="3" applyNumberFormat="1" applyFont="1" applyFill="1" applyBorder="1"/>
    <xf numFmtId="169" fontId="16" fillId="0" borderId="0" xfId="3" applyNumberFormat="1" applyFont="1" applyBorder="1" applyAlignment="1">
      <alignment horizontal="center"/>
    </xf>
    <xf numFmtId="169" fontId="16" fillId="0" borderId="6" xfId="3" applyNumberFormat="1" applyFont="1" applyBorder="1" applyAlignment="1">
      <alignment horizontal="center"/>
    </xf>
    <xf numFmtId="0" fontId="7" fillId="0" borderId="0" xfId="3" applyFont="1"/>
    <xf numFmtId="169" fontId="7" fillId="0" borderId="0" xfId="3" applyNumberFormat="1" applyFont="1"/>
    <xf numFmtId="0" fontId="7" fillId="0" borderId="0" xfId="3" applyFont="1" applyBorder="1"/>
    <xf numFmtId="0" fontId="15" fillId="0" borderId="0" xfId="3" applyFont="1" applyFill="1" applyBorder="1"/>
    <xf numFmtId="0" fontId="16" fillId="0" borderId="1" xfId="3" applyFont="1" applyFill="1" applyBorder="1"/>
    <xf numFmtId="3" fontId="16" fillId="0" borderId="1" xfId="3" applyNumberFormat="1" applyFont="1" applyBorder="1" applyAlignment="1">
      <alignment horizontal="right"/>
    </xf>
    <xf numFmtId="3" fontId="16" fillId="0" borderId="1" xfId="3" applyNumberFormat="1" applyFont="1" applyBorder="1"/>
    <xf numFmtId="169" fontId="16" fillId="0" borderId="1" xfId="3" applyNumberFormat="1" applyFont="1" applyBorder="1" applyAlignment="1">
      <alignment horizontal="center"/>
    </xf>
    <xf numFmtId="169" fontId="16" fillId="0" borderId="15" xfId="3" applyNumberFormat="1" applyFont="1" applyBorder="1" applyAlignment="1">
      <alignment horizontal="center"/>
    </xf>
    <xf numFmtId="0" fontId="15" fillId="0" borderId="13" xfId="3" applyFont="1" applyFill="1" applyBorder="1"/>
    <xf numFmtId="0" fontId="72" fillId="0" borderId="0" xfId="3" applyFont="1"/>
    <xf numFmtId="0" fontId="0" fillId="14" borderId="0" xfId="0" applyFill="1"/>
    <xf numFmtId="0" fontId="7" fillId="14" borderId="0" xfId="0" applyFont="1" applyFill="1"/>
    <xf numFmtId="0" fontId="73" fillId="14" borderId="2" xfId="9" applyFont="1" applyFill="1" applyBorder="1"/>
    <xf numFmtId="0" fontId="74" fillId="14" borderId="2" xfId="9" applyFont="1" applyFill="1" applyBorder="1"/>
    <xf numFmtId="164" fontId="74" fillId="14" borderId="2" xfId="9" applyNumberFormat="1" applyFont="1" applyFill="1" applyBorder="1" applyAlignment="1">
      <alignment horizontal="center"/>
    </xf>
    <xf numFmtId="9" fontId="74" fillId="14" borderId="2" xfId="9" applyNumberFormat="1" applyFont="1" applyFill="1" applyBorder="1"/>
    <xf numFmtId="10" fontId="39" fillId="14" borderId="0" xfId="6" applyNumberFormat="1" applyFont="1" applyFill="1"/>
    <xf numFmtId="10" fontId="74" fillId="14" borderId="2" xfId="9" applyNumberFormat="1" applyFont="1" applyFill="1" applyBorder="1"/>
    <xf numFmtId="179" fontId="0" fillId="0" borderId="0" xfId="0" applyNumberFormat="1"/>
    <xf numFmtId="37" fontId="0" fillId="0" borderId="0" xfId="0" applyNumberFormat="1"/>
    <xf numFmtId="37" fontId="41" fillId="0" borderId="0" xfId="0" applyNumberFormat="1" applyFont="1"/>
    <xf numFmtId="37" fontId="31" fillId="0" borderId="0" xfId="0" applyNumberFormat="1" applyFont="1"/>
    <xf numFmtId="171" fontId="31" fillId="0" borderId="0" xfId="6" applyNumberFormat="1" applyFont="1"/>
    <xf numFmtId="181" fontId="0" fillId="0" borderId="0" xfId="0" applyNumberFormat="1"/>
    <xf numFmtId="182" fontId="0" fillId="0" borderId="0" xfId="0" applyNumberFormat="1"/>
    <xf numFmtId="37" fontId="12" fillId="0" borderId="0" xfId="0" applyNumberFormat="1" applyFont="1"/>
    <xf numFmtId="183" fontId="75" fillId="0" borderId="0" xfId="0" applyNumberFormat="1" applyFont="1" applyFill="1" applyAlignment="1">
      <alignment horizontal="center"/>
    </xf>
    <xf numFmtId="37" fontId="0" fillId="0" borderId="0" xfId="0" applyNumberFormat="1" applyFill="1"/>
    <xf numFmtId="39" fontId="0" fillId="0" borderId="0" xfId="0" applyNumberFormat="1" applyFill="1"/>
    <xf numFmtId="183" fontId="75" fillId="0" borderId="0" xfId="0" applyNumberFormat="1" applyFont="1" applyAlignment="1">
      <alignment horizontal="center"/>
    </xf>
    <xf numFmtId="183" fontId="0" fillId="0" borderId="0" xfId="0" applyNumberFormat="1" applyFill="1"/>
    <xf numFmtId="183" fontId="75" fillId="0" borderId="0" xfId="0" applyNumberFormat="1" applyFont="1"/>
    <xf numFmtId="183" fontId="31" fillId="0" borderId="0" xfId="0" applyNumberFormat="1" applyFont="1"/>
    <xf numFmtId="37" fontId="0" fillId="0" borderId="0" xfId="0" applyNumberFormat="1" applyAlignment="1">
      <alignment wrapText="1"/>
    </xf>
    <xf numFmtId="183" fontId="67" fillId="10" borderId="0" xfId="0" applyNumberFormat="1" applyFont="1" applyFill="1"/>
    <xf numFmtId="183" fontId="0" fillId="0" borderId="0" xfId="0" applyNumberFormat="1"/>
    <xf numFmtId="183" fontId="67" fillId="0" borderId="0" xfId="0" applyNumberFormat="1" applyFont="1"/>
    <xf numFmtId="0" fontId="41" fillId="0" borderId="0" xfId="0" applyFont="1"/>
    <xf numFmtId="0" fontId="12" fillId="0" borderId="0" xfId="0" applyFont="1"/>
    <xf numFmtId="0" fontId="4" fillId="15" borderId="0" xfId="0" applyFont="1" applyFill="1"/>
    <xf numFmtId="10" fontId="4" fillId="15" borderId="0" xfId="0" applyNumberFormat="1" applyFont="1" applyFill="1"/>
    <xf numFmtId="9" fontId="73" fillId="14" borderId="2" xfId="6" applyFont="1" applyFill="1" applyBorder="1"/>
    <xf numFmtId="164" fontId="74" fillId="14" borderId="2" xfId="1" applyNumberFormat="1" applyFont="1" applyFill="1" applyBorder="1"/>
    <xf numFmtId="1" fontId="74" fillId="14" borderId="2" xfId="9" applyNumberFormat="1" applyFont="1" applyFill="1" applyBorder="1"/>
    <xf numFmtId="171" fontId="73" fillId="14" borderId="2" xfId="6" applyNumberFormat="1" applyFont="1" applyFill="1" applyBorder="1"/>
    <xf numFmtId="0" fontId="36" fillId="0" borderId="2" xfId="0" applyFont="1" applyFill="1" applyBorder="1"/>
    <xf numFmtId="0" fontId="36" fillId="0" borderId="2" xfId="0" applyFont="1" applyFill="1" applyBorder="1" applyAlignment="1">
      <alignment horizontal="center"/>
    </xf>
    <xf numFmtId="0" fontId="7" fillId="0" borderId="1" xfId="0" applyFont="1" applyBorder="1"/>
    <xf numFmtId="0" fontId="7" fillId="0" borderId="15" xfId="0" applyFont="1" applyBorder="1"/>
    <xf numFmtId="10" fontId="0" fillId="0" borderId="0" xfId="0" applyNumberFormat="1" applyBorder="1"/>
    <xf numFmtId="171" fontId="0" fillId="0" borderId="6" xfId="6" applyNumberFormat="1" applyFont="1" applyBorder="1" applyAlignment="1">
      <alignment horizontal="center"/>
    </xf>
    <xf numFmtId="10" fontId="0" fillId="0" borderId="10" xfId="0" applyNumberFormat="1" applyBorder="1"/>
    <xf numFmtId="171" fontId="0" fillId="0" borderId="19" xfId="0" applyNumberFormat="1" applyBorder="1"/>
    <xf numFmtId="0" fontId="0" fillId="0" borderId="10" xfId="0" applyBorder="1"/>
    <xf numFmtId="0" fontId="9" fillId="0" borderId="2" xfId="0" applyFont="1" applyBorder="1"/>
    <xf numFmtId="9" fontId="0" fillId="0" borderId="2" xfId="0" applyNumberFormat="1" applyBorder="1"/>
    <xf numFmtId="0" fontId="14" fillId="0" borderId="2" xfId="0" applyFont="1" applyBorder="1"/>
    <xf numFmtId="166" fontId="7" fillId="0" borderId="2" xfId="0" applyNumberFormat="1" applyFont="1" applyBorder="1" applyAlignment="1">
      <alignment horizontal="center"/>
    </xf>
    <xf numFmtId="43" fontId="7" fillId="0" borderId="2" xfId="0" applyNumberFormat="1" applyFont="1" applyBorder="1" applyAlignment="1">
      <alignment horizontal="center"/>
    </xf>
    <xf numFmtId="43" fontId="0" fillId="0" borderId="2" xfId="0" applyNumberFormat="1" applyBorder="1"/>
    <xf numFmtId="9" fontId="0" fillId="0" borderId="2" xfId="6" applyFont="1" applyBorder="1" applyAlignment="1">
      <alignment horizontal="center"/>
    </xf>
    <xf numFmtId="165" fontId="0" fillId="0" borderId="2" xfId="6" applyNumberFormat="1" applyFont="1" applyBorder="1" applyAlignment="1">
      <alignment horizontal="center"/>
    </xf>
    <xf numFmtId="165" fontId="9" fillId="0" borderId="2" xfId="6" applyNumberFormat="1" applyFont="1" applyBorder="1" applyAlignment="1">
      <alignment horizontal="center"/>
    </xf>
    <xf numFmtId="9" fontId="0" fillId="0" borderId="2" xfId="0" applyNumberFormat="1" applyBorder="1" applyAlignment="1">
      <alignment horizontal="center"/>
    </xf>
    <xf numFmtId="0" fontId="8" fillId="0" borderId="2" xfId="0" applyFont="1" applyBorder="1"/>
    <xf numFmtId="0" fontId="0" fillId="0" borderId="2" xfId="0" applyBorder="1" applyAlignment="1">
      <alignment horizontal="right"/>
    </xf>
    <xf numFmtId="0" fontId="0" fillId="0" borderId="2" xfId="0" applyBorder="1" applyAlignment="1">
      <alignment horizontal="center"/>
    </xf>
    <xf numFmtId="10" fontId="0" fillId="0" borderId="2" xfId="0" applyNumberFormat="1" applyBorder="1" applyAlignment="1">
      <alignment horizontal="center"/>
    </xf>
    <xf numFmtId="167" fontId="0" fillId="0" borderId="2" xfId="0" applyNumberFormat="1" applyBorder="1"/>
    <xf numFmtId="165" fontId="0" fillId="0" borderId="2" xfId="0" applyNumberFormat="1" applyBorder="1"/>
    <xf numFmtId="10" fontId="0" fillId="0" borderId="2" xfId="0" applyNumberFormat="1" applyBorder="1"/>
    <xf numFmtId="10" fontId="7" fillId="0" borderId="2" xfId="0" applyNumberFormat="1" applyFont="1" applyBorder="1"/>
    <xf numFmtId="164" fontId="0" fillId="0" borderId="2" xfId="0" applyNumberFormat="1" applyBorder="1"/>
    <xf numFmtId="10" fontId="0" fillId="0" borderId="2" xfId="0" applyNumberFormat="1" applyFill="1" applyBorder="1"/>
    <xf numFmtId="0" fontId="9" fillId="16" borderId="2" xfId="0" applyFont="1" applyFill="1" applyBorder="1"/>
    <xf numFmtId="0" fontId="0" fillId="16" borderId="2" xfId="0" applyFill="1" applyBorder="1"/>
    <xf numFmtId="0" fontId="45" fillId="0" borderId="0" xfId="0" applyFont="1"/>
    <xf numFmtId="0" fontId="44" fillId="0" borderId="0" xfId="0" applyFont="1" applyAlignment="1">
      <alignment horizontal="right"/>
    </xf>
    <xf numFmtId="3" fontId="45" fillId="0" borderId="0" xfId="0" applyNumberFormat="1" applyFont="1"/>
    <xf numFmtId="169" fontId="45" fillId="0" borderId="0" xfId="0" applyNumberFormat="1" applyFont="1"/>
    <xf numFmtId="3" fontId="21" fillId="0" borderId="0" xfId="0" applyNumberFormat="1" applyFont="1"/>
    <xf numFmtId="0" fontId="21" fillId="0" borderId="0" xfId="0" applyFont="1"/>
    <xf numFmtId="0" fontId="20" fillId="0" borderId="1" xfId="0" applyFont="1" applyBorder="1" applyAlignment="1">
      <alignment horizontal="center" vertical="center" wrapText="1"/>
    </xf>
    <xf numFmtId="0" fontId="20" fillId="0" borderId="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0"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7"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0" fillId="0" borderId="15" xfId="0" applyFont="1" applyBorder="1" applyAlignment="1">
      <alignment horizontal="center" vertical="center" wrapText="1"/>
    </xf>
    <xf numFmtId="0" fontId="20" fillId="0" borderId="19" xfId="0" applyFont="1" applyBorder="1" applyAlignment="1">
      <alignment horizontal="center" vertical="center" wrapText="1"/>
    </xf>
    <xf numFmtId="0" fontId="35" fillId="0" borderId="10" xfId="0" applyFont="1" applyBorder="1" applyAlignment="1">
      <alignment horizontal="center" vertical="center" wrapText="1"/>
    </xf>
    <xf numFmtId="0" fontId="35" fillId="0" borderId="21" xfId="0" applyFont="1" applyBorder="1" applyAlignment="1">
      <alignment horizontal="center" vertical="center" wrapText="1"/>
    </xf>
    <xf numFmtId="0" fontId="68" fillId="0" borderId="41" xfId="0" applyFont="1" applyBorder="1" applyAlignment="1">
      <alignment horizontal="center"/>
    </xf>
    <xf numFmtId="0" fontId="68" fillId="0" borderId="8" xfId="0" applyFont="1" applyBorder="1" applyAlignment="1">
      <alignment horizontal="center"/>
    </xf>
    <xf numFmtId="0" fontId="70" fillId="13" borderId="8" xfId="0" applyFont="1" applyFill="1" applyBorder="1" applyAlignment="1">
      <alignment horizontal="center"/>
    </xf>
    <xf numFmtId="0" fontId="68" fillId="13" borderId="8" xfId="0" applyFont="1" applyFill="1" applyBorder="1" applyAlignment="1">
      <alignment horizontal="center"/>
    </xf>
    <xf numFmtId="0" fontId="68" fillId="0" borderId="42" xfId="0" applyFont="1" applyBorder="1" applyAlignment="1">
      <alignment horizontal="center"/>
    </xf>
    <xf numFmtId="0" fontId="7" fillId="13" borderId="2" xfId="0" applyFont="1" applyFill="1" applyBorder="1"/>
    <xf numFmtId="167" fontId="9" fillId="13" borderId="2" xfId="1" applyNumberFormat="1" applyFont="1" applyFill="1" applyBorder="1"/>
    <xf numFmtId="0" fontId="9" fillId="13" borderId="2" xfId="0" applyFont="1" applyFill="1" applyBorder="1" applyAlignment="1">
      <alignment horizontal="right" vertical="center"/>
    </xf>
    <xf numFmtId="0" fontId="9" fillId="13" borderId="2" xfId="0" applyFont="1" applyFill="1" applyBorder="1" applyAlignment="1">
      <alignment horizontal="right"/>
    </xf>
    <xf numFmtId="0" fontId="15" fillId="16" borderId="2" xfId="0" applyFont="1" applyFill="1" applyBorder="1" applyAlignment="1">
      <alignment horizontal="right"/>
    </xf>
    <xf numFmtId="2" fontId="15" fillId="16" borderId="2" xfId="0" applyNumberFormat="1" applyFont="1" applyFill="1" applyBorder="1"/>
    <xf numFmtId="0" fontId="15" fillId="16" borderId="2" xfId="0" applyFont="1" applyFill="1" applyBorder="1" applyAlignment="1">
      <alignment horizontal="center"/>
    </xf>
    <xf numFmtId="2" fontId="15" fillId="16" borderId="2" xfId="0" applyNumberFormat="1" applyFont="1" applyFill="1" applyBorder="1" applyAlignment="1">
      <alignment horizontal="center"/>
    </xf>
    <xf numFmtId="0" fontId="15" fillId="16" borderId="2" xfId="0" applyFont="1" applyFill="1" applyBorder="1" applyAlignment="1">
      <alignment horizontal="center" wrapText="1"/>
    </xf>
    <xf numFmtId="0" fontId="7" fillId="17" borderId="43" xfId="0" applyFont="1" applyFill="1" applyBorder="1"/>
    <xf numFmtId="0" fontId="7" fillId="18" borderId="17" xfId="0" applyFont="1" applyFill="1" applyBorder="1"/>
    <xf numFmtId="0" fontId="7" fillId="18" borderId="32" xfId="0" applyFont="1" applyFill="1" applyBorder="1"/>
    <xf numFmtId="0" fontId="7" fillId="18" borderId="0" xfId="0" applyFont="1" applyFill="1" applyBorder="1"/>
    <xf numFmtId="165" fontId="7" fillId="18" borderId="7" xfId="0" applyNumberFormat="1" applyFont="1" applyFill="1" applyBorder="1"/>
    <xf numFmtId="0" fontId="4" fillId="0" borderId="0" xfId="0" applyFont="1" applyFill="1" applyAlignment="1">
      <alignment horizontal="center"/>
    </xf>
    <xf numFmtId="9" fontId="0" fillId="0" borderId="0" xfId="0" applyNumberFormat="1" applyFill="1"/>
    <xf numFmtId="166" fontId="7" fillId="0" borderId="0" xfId="1" applyNumberFormat="1" applyFont="1" applyFill="1"/>
    <xf numFmtId="2" fontId="0" fillId="0" borderId="0" xfId="0" applyNumberFormat="1" applyFill="1"/>
    <xf numFmtId="168" fontId="0" fillId="0" borderId="0" xfId="0" applyNumberFormat="1" applyFill="1"/>
    <xf numFmtId="166" fontId="9" fillId="0" borderId="0" xfId="0" applyNumberFormat="1" applyFont="1" applyFill="1"/>
    <xf numFmtId="166" fontId="34" fillId="0" borderId="0" xfId="1" applyNumberFormat="1" applyFont="1" applyFill="1"/>
    <xf numFmtId="166" fontId="0" fillId="0" borderId="0" xfId="6" applyNumberFormat="1" applyFont="1" applyFill="1"/>
    <xf numFmtId="167" fontId="7" fillId="0" borderId="0" xfId="0" applyNumberFormat="1" applyFont="1" applyFill="1"/>
    <xf numFmtId="166" fontId="9" fillId="0" borderId="0" xfId="1" applyNumberFormat="1" applyFont="1" applyFill="1" applyBorder="1"/>
    <xf numFmtId="170" fontId="0" fillId="0" borderId="0" xfId="1" applyNumberFormat="1" applyFont="1" applyFill="1"/>
    <xf numFmtId="2" fontId="0" fillId="0" borderId="0" xfId="0" applyNumberFormat="1" applyBorder="1" applyAlignment="1">
      <alignment horizontal="center"/>
    </xf>
    <xf numFmtId="164" fontId="9" fillId="0" borderId="0" xfId="1" applyNumberFormat="1" applyFont="1" applyFill="1" applyBorder="1" applyAlignment="1">
      <alignment horizontal="center"/>
    </xf>
    <xf numFmtId="0" fontId="26" fillId="0" borderId="2" xfId="0" applyFont="1" applyBorder="1"/>
    <xf numFmtId="10" fontId="0" fillId="0" borderId="2" xfId="6" applyNumberFormat="1" applyFont="1" applyBorder="1"/>
    <xf numFmtId="3" fontId="0" fillId="0" borderId="2" xfId="0" applyNumberFormat="1" applyBorder="1"/>
    <xf numFmtId="3" fontId="18" fillId="0" borderId="0" xfId="0" applyNumberFormat="1" applyFont="1" applyBorder="1"/>
    <xf numFmtId="3" fontId="18" fillId="4" borderId="0" xfId="0" applyNumberFormat="1" applyFont="1" applyFill="1" applyBorder="1"/>
    <xf numFmtId="169" fontId="18" fillId="0" borderId="0" xfId="0" applyNumberFormat="1" applyFont="1" applyBorder="1" applyAlignment="1">
      <alignment horizontal="center"/>
    </xf>
    <xf numFmtId="169" fontId="18" fillId="0" borderId="26" xfId="0" applyNumberFormat="1" applyFont="1" applyBorder="1" applyAlignment="1">
      <alignment horizontal="center"/>
    </xf>
    <xf numFmtId="3" fontId="18" fillId="0" borderId="0" xfId="0" applyNumberFormat="1" applyFont="1" applyBorder="1" applyAlignment="1">
      <alignment horizontal="right"/>
    </xf>
    <xf numFmtId="0" fontId="13" fillId="0" borderId="0" xfId="0" applyFont="1" applyFill="1"/>
    <xf numFmtId="2" fontId="4" fillId="0" borderId="0" xfId="0" applyNumberFormat="1" applyFont="1" applyFill="1"/>
    <xf numFmtId="43" fontId="9" fillId="0" borderId="0" xfId="0" applyNumberFormat="1" applyFont="1" applyFill="1"/>
    <xf numFmtId="165" fontId="7" fillId="0" borderId="0" xfId="6" applyNumberFormat="1" applyFont="1" applyFill="1"/>
    <xf numFmtId="1" fontId="0" fillId="0" borderId="0" xfId="0" applyNumberFormat="1" applyFill="1"/>
    <xf numFmtId="10" fontId="7" fillId="0" borderId="0" xfId="6" applyNumberFormat="1" applyFont="1" applyFill="1"/>
    <xf numFmtId="171" fontId="43" fillId="0" borderId="0" xfId="6" applyNumberFormat="1" applyFont="1" applyFill="1"/>
    <xf numFmtId="10" fontId="43" fillId="0" borderId="0" xfId="6" applyNumberFormat="1" applyFont="1" applyFill="1"/>
    <xf numFmtId="171" fontId="9" fillId="0" borderId="0" xfId="6" applyNumberFormat="1" applyFont="1" applyFill="1"/>
    <xf numFmtId="10" fontId="73" fillId="14" borderId="2" xfId="6" applyNumberFormat="1" applyFont="1" applyFill="1" applyBorder="1"/>
    <xf numFmtId="166" fontId="9" fillId="0" borderId="2" xfId="1" applyNumberFormat="1" applyFont="1" applyFill="1" applyBorder="1"/>
    <xf numFmtId="0" fontId="0" fillId="19" borderId="0" xfId="0" applyFill="1"/>
    <xf numFmtId="164" fontId="48" fillId="19" borderId="0" xfId="1" applyNumberFormat="1" applyFont="1" applyFill="1"/>
    <xf numFmtId="0" fontId="73" fillId="20" borderId="2" xfId="9" applyFont="1" applyFill="1" applyBorder="1"/>
    <xf numFmtId="0" fontId="73" fillId="19" borderId="2" xfId="9" applyFont="1" applyFill="1" applyBorder="1"/>
    <xf numFmtId="0" fontId="7" fillId="19" borderId="0" xfId="0" applyFont="1" applyFill="1"/>
    <xf numFmtId="164" fontId="48" fillId="19" borderId="2" xfId="1" applyNumberFormat="1" applyFont="1" applyFill="1" applyBorder="1"/>
    <xf numFmtId="9" fontId="48" fillId="19" borderId="2" xfId="6" applyFont="1" applyFill="1" applyBorder="1"/>
    <xf numFmtId="10" fontId="48" fillId="19" borderId="2" xfId="6" applyNumberFormat="1" applyFont="1" applyFill="1" applyBorder="1"/>
    <xf numFmtId="0" fontId="76" fillId="19" borderId="0" xfId="0" applyFont="1" applyFill="1" applyBorder="1"/>
    <xf numFmtId="0" fontId="15" fillId="16" borderId="2" xfId="0" applyFont="1" applyFill="1" applyBorder="1" applyAlignment="1">
      <alignment horizontal="center" vertical="top" wrapText="1" readingOrder="2"/>
    </xf>
    <xf numFmtId="0" fontId="16" fillId="16" borderId="0" xfId="0" applyFont="1" applyFill="1"/>
    <xf numFmtId="0" fontId="16" fillId="0" borderId="2" xfId="0" applyFont="1" applyFill="1" applyBorder="1" applyAlignment="1">
      <alignment horizontal="right" vertical="top" readingOrder="2"/>
    </xf>
    <xf numFmtId="0" fontId="16" fillId="0" borderId="2" xfId="5" applyNumberFormat="1" applyFont="1" applyFill="1" applyBorder="1" applyAlignment="1">
      <alignment horizontal="center" wrapText="1"/>
    </xf>
    <xf numFmtId="0" fontId="16" fillId="0" borderId="0" xfId="0" applyFont="1" applyFill="1"/>
    <xf numFmtId="0" fontId="16" fillId="0" borderId="2" xfId="0" applyNumberFormat="1" applyFont="1" applyFill="1" applyBorder="1" applyAlignment="1">
      <alignment horizontal="right" readingOrder="2"/>
    </xf>
    <xf numFmtId="0" fontId="16" fillId="0" borderId="2" xfId="0" applyNumberFormat="1" applyFont="1" applyFill="1" applyBorder="1" applyAlignment="1">
      <alignment horizontal="center" readingOrder="2"/>
    </xf>
    <xf numFmtId="0" fontId="16" fillId="0" borderId="2" xfId="0" applyNumberFormat="1" applyFont="1" applyFill="1" applyBorder="1" applyAlignment="1">
      <alignment horizontal="center" readingOrder="1"/>
    </xf>
    <xf numFmtId="0" fontId="16" fillId="0" borderId="2" xfId="5" applyFont="1" applyFill="1" applyBorder="1" applyAlignment="1">
      <alignment horizontal="center" wrapText="1"/>
    </xf>
    <xf numFmtId="43" fontId="0" fillId="0" borderId="2" xfId="1" applyFont="1" applyFill="1" applyBorder="1"/>
    <xf numFmtId="164" fontId="15" fillId="16" borderId="2" xfId="1" applyNumberFormat="1" applyFont="1" applyFill="1" applyBorder="1" applyAlignment="1">
      <alignment horizontal="center" vertical="top" wrapText="1" readingOrder="2"/>
    </xf>
    <xf numFmtId="164" fontId="16" fillId="0" borderId="2" xfId="1" applyNumberFormat="1" applyFont="1" applyFill="1" applyBorder="1"/>
    <xf numFmtId="164" fontId="0" fillId="0" borderId="2" xfId="1" applyNumberFormat="1" applyFont="1" applyFill="1" applyBorder="1"/>
    <xf numFmtId="0" fontId="15" fillId="16" borderId="15" xfId="0" applyFont="1" applyFill="1" applyBorder="1" applyAlignment="1">
      <alignment horizontal="center" vertical="center"/>
    </xf>
    <xf numFmtId="0" fontId="15" fillId="16" borderId="24" xfId="0" applyFont="1" applyFill="1" applyBorder="1" applyAlignment="1">
      <alignment horizontal="center" vertical="center"/>
    </xf>
    <xf numFmtId="0" fontId="15" fillId="16" borderId="6" xfId="0" applyFont="1" applyFill="1" applyBorder="1" applyAlignment="1">
      <alignment horizontal="center" vertical="center"/>
    </xf>
    <xf numFmtId="0" fontId="15" fillId="16" borderId="27" xfId="0" applyFont="1" applyFill="1" applyBorder="1" applyAlignment="1">
      <alignment horizontal="center" vertical="center"/>
    </xf>
    <xf numFmtId="0" fontId="15" fillId="16" borderId="19" xfId="0" applyFont="1" applyFill="1" applyBorder="1" applyAlignment="1">
      <alignment horizontal="center" vertical="center"/>
    </xf>
    <xf numFmtId="0" fontId="15" fillId="16" borderId="35" xfId="0" applyFont="1" applyFill="1" applyBorder="1" applyAlignment="1">
      <alignment horizontal="center" vertical="center"/>
    </xf>
    <xf numFmtId="3" fontId="15" fillId="16" borderId="46" xfId="0" applyNumberFormat="1" applyFont="1" applyFill="1" applyBorder="1" applyAlignment="1">
      <alignment horizontal="center"/>
    </xf>
    <xf numFmtId="169" fontId="15" fillId="16" borderId="10" xfId="0" applyNumberFormat="1" applyFont="1" applyFill="1" applyBorder="1" applyAlignment="1">
      <alignment horizontal="center"/>
    </xf>
    <xf numFmtId="3" fontId="15" fillId="16" borderId="47" xfId="0" applyNumberFormat="1" applyFont="1" applyFill="1" applyBorder="1" applyAlignment="1">
      <alignment horizontal="center"/>
    </xf>
    <xf numFmtId="0" fontId="15" fillId="16" borderId="19" xfId="0" applyFont="1" applyFill="1" applyBorder="1" applyAlignment="1">
      <alignment horizontal="center"/>
    </xf>
    <xf numFmtId="0" fontId="0" fillId="21" borderId="2" xfId="0" applyFill="1" applyBorder="1" applyAlignment="1">
      <alignment horizontal="center"/>
    </xf>
    <xf numFmtId="0" fontId="9" fillId="0" borderId="0" xfId="0" applyFont="1" applyFill="1" applyBorder="1"/>
    <xf numFmtId="169" fontId="0" fillId="0" borderId="2" xfId="0" applyNumberFormat="1" applyBorder="1" applyAlignment="1">
      <alignment horizontal="center"/>
    </xf>
    <xf numFmtId="3" fontId="9" fillId="0" borderId="2" xfId="0" applyNumberFormat="1" applyFont="1" applyBorder="1"/>
    <xf numFmtId="164" fontId="0" fillId="0" borderId="2" xfId="1" applyNumberFormat="1" applyFont="1" applyFill="1" applyBorder="1" applyAlignment="1">
      <alignment horizontal="center"/>
    </xf>
    <xf numFmtId="43" fontId="0" fillId="0" borderId="2" xfId="1" applyNumberFormat="1" applyFont="1" applyBorder="1"/>
    <xf numFmtId="0" fontId="7" fillId="16" borderId="2" xfId="0" applyFont="1" applyFill="1" applyBorder="1"/>
    <xf numFmtId="0" fontId="9" fillId="16" borderId="2" xfId="0" applyFont="1" applyFill="1" applyBorder="1" applyAlignment="1">
      <alignment horizontal="center" vertical="center" wrapText="1"/>
    </xf>
    <xf numFmtId="0" fontId="9" fillId="16" borderId="2" xfId="0" applyFont="1" applyFill="1" applyBorder="1" applyAlignment="1">
      <alignment horizontal="center" vertical="justify"/>
    </xf>
    <xf numFmtId="3" fontId="9" fillId="16" borderId="2" xfId="0" applyNumberFormat="1" applyFont="1" applyFill="1" applyBorder="1"/>
    <xf numFmtId="169" fontId="9" fillId="16" borderId="2" xfId="0" applyNumberFormat="1" applyFont="1" applyFill="1" applyBorder="1" applyAlignment="1">
      <alignment horizontal="center"/>
    </xf>
    <xf numFmtId="164" fontId="9" fillId="16" borderId="2" xfId="1" applyNumberFormat="1" applyFont="1" applyFill="1" applyBorder="1"/>
    <xf numFmtId="1" fontId="9" fillId="16" borderId="2" xfId="0" applyNumberFormat="1" applyFont="1" applyFill="1" applyBorder="1"/>
    <xf numFmtId="0" fontId="9" fillId="22" borderId="2" xfId="0" applyFont="1" applyFill="1" applyBorder="1" applyAlignment="1">
      <alignment horizontal="center" vertical="center" wrapText="1"/>
    </xf>
    <xf numFmtId="0" fontId="9" fillId="22" borderId="2" xfId="0" applyFont="1" applyFill="1" applyBorder="1" applyAlignment="1">
      <alignment horizontal="center" vertical="justify"/>
    </xf>
    <xf numFmtId="0" fontId="9" fillId="22" borderId="2" xfId="0" applyFont="1" applyFill="1" applyBorder="1"/>
    <xf numFmtId="3" fontId="9" fillId="22" borderId="2" xfId="0" applyNumberFormat="1" applyFont="1" applyFill="1" applyBorder="1"/>
    <xf numFmtId="169" fontId="9" fillId="22" borderId="2" xfId="0" applyNumberFormat="1" applyFont="1" applyFill="1" applyBorder="1" applyAlignment="1">
      <alignment horizontal="center"/>
    </xf>
    <xf numFmtId="164" fontId="9" fillId="22" borderId="2" xfId="1" applyNumberFormat="1" applyFont="1" applyFill="1" applyBorder="1"/>
    <xf numFmtId="0" fontId="66" fillId="0" borderId="2" xfId="0" applyFont="1" applyBorder="1" applyAlignment="1">
      <alignment horizontal="right" wrapText="1"/>
    </xf>
    <xf numFmtId="0" fontId="0" fillId="0" borderId="2" xfId="0" applyBorder="1" applyAlignment="1">
      <alignment wrapText="1"/>
    </xf>
    <xf numFmtId="0" fontId="0" fillId="0" borderId="2" xfId="0" applyBorder="1" applyAlignment="1">
      <alignment horizontal="right" wrapText="1"/>
    </xf>
    <xf numFmtId="0" fontId="66" fillId="16" borderId="2" xfId="0" applyFont="1" applyFill="1" applyBorder="1" applyAlignment="1">
      <alignment horizontal="right" wrapText="1"/>
    </xf>
    <xf numFmtId="14" fontId="0" fillId="0" borderId="2" xfId="0" applyNumberFormat="1" applyBorder="1"/>
    <xf numFmtId="43" fontId="0" fillId="0" borderId="2" xfId="1" applyFont="1" applyBorder="1"/>
    <xf numFmtId="37" fontId="0" fillId="0" borderId="2" xfId="0" applyNumberFormat="1" applyBorder="1"/>
    <xf numFmtId="37" fontId="42" fillId="0" borderId="2" xfId="0" applyNumberFormat="1" applyFont="1" applyBorder="1" applyAlignment="1">
      <alignment horizontal="right"/>
    </xf>
    <xf numFmtId="37" fontId="31" fillId="0" borderId="2" xfId="0" applyNumberFormat="1" applyFont="1" applyBorder="1"/>
    <xf numFmtId="171" fontId="31" fillId="0" borderId="2" xfId="6" applyNumberFormat="1" applyFont="1" applyBorder="1"/>
    <xf numFmtId="183" fontId="31" fillId="0" borderId="2" xfId="0" applyNumberFormat="1" applyFont="1" applyBorder="1"/>
    <xf numFmtId="39" fontId="77" fillId="0" borderId="2" xfId="0" applyNumberFormat="1" applyFont="1" applyBorder="1"/>
    <xf numFmtId="39" fontId="31" fillId="0" borderId="2" xfId="0" applyNumberFormat="1" applyFont="1" applyBorder="1"/>
    <xf numFmtId="0" fontId="31" fillId="0" borderId="2" xfId="0" applyFont="1" applyBorder="1"/>
    <xf numFmtId="0" fontId="77" fillId="0" borderId="2" xfId="0" applyFont="1" applyBorder="1"/>
    <xf numFmtId="167" fontId="31" fillId="0" borderId="2" xfId="0" applyNumberFormat="1" applyFont="1" applyBorder="1"/>
    <xf numFmtId="180" fontId="38" fillId="0" borderId="2" xfId="0" applyNumberFormat="1" applyFont="1" applyBorder="1" applyAlignment="1" applyProtection="1">
      <alignment horizontal="right"/>
    </xf>
    <xf numFmtId="172" fontId="17" fillId="0" borderId="2" xfId="0" applyNumberFormat="1" applyFont="1" applyBorder="1" applyAlignment="1" applyProtection="1"/>
    <xf numFmtId="172" fontId="17" fillId="0" borderId="2" xfId="0" applyNumberFormat="1" applyFont="1" applyFill="1" applyBorder="1" applyAlignment="1" applyProtection="1"/>
    <xf numFmtId="172" fontId="38" fillId="0" borderId="2" xfId="0" applyNumberFormat="1" applyFont="1" applyFill="1" applyBorder="1" applyAlignment="1" applyProtection="1"/>
    <xf numFmtId="180" fontId="0" fillId="0" borderId="2" xfId="0" applyNumberFormat="1" applyBorder="1"/>
    <xf numFmtId="17" fontId="0" fillId="16" borderId="2" xfId="0" applyNumberFormat="1" applyFill="1" applyBorder="1"/>
    <xf numFmtId="173" fontId="0" fillId="0" borderId="2" xfId="0" applyNumberFormat="1" applyBorder="1"/>
    <xf numFmtId="165" fontId="0" fillId="0" borderId="2" xfId="6" applyNumberFormat="1" applyFont="1" applyBorder="1"/>
    <xf numFmtId="171" fontId="0" fillId="0" borderId="2" xfId="6" applyNumberFormat="1" applyFont="1" applyFill="1" applyBorder="1"/>
    <xf numFmtId="171" fontId="0" fillId="0" borderId="2" xfId="0" applyNumberFormat="1" applyBorder="1"/>
    <xf numFmtId="171" fontId="43" fillId="10" borderId="2" xfId="6" applyNumberFormat="1" applyFont="1" applyFill="1" applyBorder="1"/>
    <xf numFmtId="0" fontId="15" fillId="16" borderId="1" xfId="0" applyFont="1" applyFill="1" applyBorder="1" applyAlignment="1">
      <alignment horizontal="center" vertical="justify"/>
    </xf>
    <xf numFmtId="0" fontId="15" fillId="16" borderId="1" xfId="0" applyFont="1" applyFill="1" applyBorder="1"/>
    <xf numFmtId="3" fontId="15" fillId="16" borderId="1" xfId="0" applyNumberFormat="1" applyFont="1" applyFill="1" applyBorder="1"/>
    <xf numFmtId="169" fontId="15" fillId="16" borderId="1" xfId="0" applyNumberFormat="1" applyFont="1" applyFill="1" applyBorder="1" applyAlignment="1">
      <alignment horizontal="center"/>
    </xf>
    <xf numFmtId="0" fontId="15" fillId="16" borderId="0" xfId="0" applyFont="1" applyFill="1" applyBorder="1" applyAlignment="1">
      <alignment horizontal="center" vertical="justify"/>
    </xf>
    <xf numFmtId="0" fontId="15" fillId="16" borderId="0" xfId="0" applyFont="1" applyFill="1" applyBorder="1"/>
    <xf numFmtId="1" fontId="15" fillId="16" borderId="0" xfId="0" applyNumberFormat="1" applyFont="1" applyFill="1" applyBorder="1"/>
    <xf numFmtId="169" fontId="15" fillId="16" borderId="0" xfId="0" applyNumberFormat="1" applyFont="1" applyFill="1" applyBorder="1" applyAlignment="1">
      <alignment horizontal="center"/>
    </xf>
    <xf numFmtId="169" fontId="15" fillId="16" borderId="6" xfId="0" applyNumberFormat="1" applyFont="1" applyFill="1" applyBorder="1" applyAlignment="1">
      <alignment horizontal="center"/>
    </xf>
    <xf numFmtId="0" fontId="15" fillId="16" borderId="10" xfId="0" applyFont="1" applyFill="1" applyBorder="1" applyAlignment="1">
      <alignment horizontal="center" vertical="justify"/>
    </xf>
    <xf numFmtId="0" fontId="15" fillId="16" borderId="10" xfId="0" applyFont="1" applyFill="1" applyBorder="1"/>
    <xf numFmtId="3" fontId="15" fillId="16" borderId="10" xfId="0" applyNumberFormat="1" applyFont="1" applyFill="1" applyBorder="1"/>
    <xf numFmtId="169" fontId="15" fillId="16" borderId="19" xfId="0" applyNumberFormat="1" applyFont="1" applyFill="1" applyBorder="1" applyAlignment="1">
      <alignment horizontal="center"/>
    </xf>
    <xf numFmtId="0" fontId="4" fillId="16" borderId="2" xfId="0" applyFont="1" applyFill="1" applyBorder="1"/>
    <xf numFmtId="0" fontId="4" fillId="16" borderId="2" xfId="0" quotePrefix="1" applyFont="1" applyFill="1" applyBorder="1"/>
    <xf numFmtId="167" fontId="0" fillId="0" borderId="2" xfId="0" applyNumberFormat="1" applyFill="1" applyBorder="1"/>
    <xf numFmtId="0" fontId="9" fillId="0" borderId="2" xfId="0" applyFont="1" applyFill="1" applyBorder="1"/>
    <xf numFmtId="164" fontId="0" fillId="0" borderId="2" xfId="0" applyNumberFormat="1" applyFill="1" applyBorder="1"/>
    <xf numFmtId="166" fontId="0" fillId="0" borderId="2" xfId="1" applyNumberFormat="1" applyFont="1" applyFill="1" applyBorder="1"/>
    <xf numFmtId="166" fontId="7" fillId="0" borderId="2" xfId="1" applyNumberFormat="1" applyFont="1" applyFill="1" applyBorder="1"/>
    <xf numFmtId="43" fontId="0" fillId="0" borderId="2" xfId="0" applyNumberFormat="1" applyFill="1" applyBorder="1"/>
    <xf numFmtId="166" fontId="0" fillId="0" borderId="2" xfId="0" applyNumberFormat="1" applyFill="1" applyBorder="1"/>
    <xf numFmtId="0" fontId="9" fillId="16" borderId="2" xfId="0" applyFont="1" applyFill="1" applyBorder="1" applyAlignment="1">
      <alignment wrapText="1"/>
    </xf>
    <xf numFmtId="0" fontId="73" fillId="16" borderId="2" xfId="9" applyFont="1" applyFill="1" applyBorder="1"/>
    <xf numFmtId="0" fontId="73" fillId="23" borderId="2" xfId="9" applyFont="1" applyFill="1" applyBorder="1"/>
    <xf numFmtId="3" fontId="0" fillId="0" borderId="2" xfId="0" applyNumberFormat="1" applyFill="1" applyBorder="1"/>
    <xf numFmtId="0" fontId="0" fillId="0" borderId="2" xfId="0" applyFill="1" applyBorder="1" applyAlignment="1"/>
    <xf numFmtId="164" fontId="9" fillId="16" borderId="2" xfId="1" quotePrefix="1" applyNumberFormat="1" applyFont="1" applyFill="1" applyBorder="1"/>
    <xf numFmtId="0" fontId="78" fillId="16" borderId="2" xfId="0" applyFont="1" applyFill="1" applyBorder="1"/>
    <xf numFmtId="17" fontId="9" fillId="16" borderId="2" xfId="0" applyNumberFormat="1" applyFont="1" applyFill="1" applyBorder="1"/>
    <xf numFmtId="1" fontId="12" fillId="5" borderId="2" xfId="0" applyNumberFormat="1" applyFont="1" applyFill="1" applyBorder="1" applyAlignment="1">
      <alignment horizontal="center"/>
    </xf>
    <xf numFmtId="174" fontId="47" fillId="3" borderId="2" xfId="0" applyNumberFormat="1" applyFont="1" applyFill="1" applyBorder="1" applyAlignment="1">
      <alignment horizontal="right"/>
    </xf>
    <xf numFmtId="0" fontId="76" fillId="14" borderId="2" xfId="0" applyFont="1" applyFill="1" applyBorder="1"/>
    <xf numFmtId="0" fontId="0" fillId="14" borderId="2" xfId="0" applyFill="1" applyBorder="1"/>
    <xf numFmtId="0" fontId="7" fillId="14" borderId="2" xfId="0" applyFont="1" applyFill="1" applyBorder="1"/>
    <xf numFmtId="167" fontId="0" fillId="14" borderId="2" xfId="0" applyNumberFormat="1" applyFill="1" applyBorder="1"/>
    <xf numFmtId="164" fontId="0" fillId="14" borderId="2" xfId="0" applyNumberFormat="1" applyFill="1" applyBorder="1"/>
    <xf numFmtId="166" fontId="0" fillId="14" borderId="2" xfId="0" applyNumberFormat="1" applyFill="1" applyBorder="1" applyAlignment="1">
      <alignment horizontal="right"/>
    </xf>
    <xf numFmtId="166" fontId="0" fillId="14" borderId="2" xfId="0" applyNumberFormat="1" applyFill="1" applyBorder="1"/>
    <xf numFmtId="43" fontId="0" fillId="14" borderId="2" xfId="0" applyNumberFormat="1" applyFill="1" applyBorder="1"/>
    <xf numFmtId="167" fontId="0" fillId="14" borderId="2" xfId="0" applyNumberFormat="1" applyFill="1" applyBorder="1" applyAlignment="1">
      <alignment horizontal="right"/>
    </xf>
    <xf numFmtId="167" fontId="0" fillId="14" borderId="2" xfId="0" applyNumberFormat="1" applyFill="1" applyBorder="1" applyAlignment="1"/>
    <xf numFmtId="167" fontId="7" fillId="14" borderId="2" xfId="0" applyNumberFormat="1" applyFont="1" applyFill="1" applyBorder="1"/>
    <xf numFmtId="167" fontId="8" fillId="14" borderId="2" xfId="0" applyNumberFormat="1" applyFont="1" applyFill="1" applyBorder="1"/>
    <xf numFmtId="10" fontId="0" fillId="14" borderId="2" xfId="0" applyNumberFormat="1" applyFill="1" applyBorder="1"/>
    <xf numFmtId="0" fontId="79" fillId="24" borderId="2" xfId="0" applyFont="1" applyFill="1" applyBorder="1"/>
    <xf numFmtId="0" fontId="80" fillId="24" borderId="2" xfId="0" applyFont="1" applyFill="1" applyBorder="1"/>
    <xf numFmtId="167" fontId="79" fillId="24" borderId="2" xfId="0" applyNumberFormat="1" applyFont="1" applyFill="1" applyBorder="1"/>
    <xf numFmtId="0" fontId="79" fillId="24" borderId="0" xfId="0" applyFont="1" applyFill="1"/>
    <xf numFmtId="0" fontId="76" fillId="19" borderId="2" xfId="0" applyFont="1" applyFill="1" applyBorder="1"/>
    <xf numFmtId="0" fontId="0" fillId="19" borderId="2" xfId="0" applyFill="1" applyBorder="1"/>
    <xf numFmtId="0" fontId="7" fillId="19" borderId="2" xfId="0" applyFont="1" applyFill="1" applyBorder="1"/>
    <xf numFmtId="166" fontId="48" fillId="19" borderId="2" xfId="1" applyNumberFormat="1" applyFont="1" applyFill="1" applyBorder="1"/>
    <xf numFmtId="43" fontId="48" fillId="19" borderId="2" xfId="1" applyNumberFormat="1" applyFont="1" applyFill="1" applyBorder="1"/>
    <xf numFmtId="166" fontId="46" fillId="19" borderId="2" xfId="1" applyNumberFormat="1" applyFont="1" applyFill="1" applyBorder="1"/>
    <xf numFmtId="0" fontId="81" fillId="24" borderId="2" xfId="0" applyFont="1" applyFill="1" applyBorder="1"/>
    <xf numFmtId="167" fontId="81" fillId="24" borderId="2" xfId="0" applyNumberFormat="1" applyFont="1" applyFill="1" applyBorder="1"/>
    <xf numFmtId="164" fontId="79" fillId="24" borderId="2" xfId="1" applyNumberFormat="1" applyFont="1" applyFill="1" applyBorder="1"/>
    <xf numFmtId="164" fontId="80" fillId="24" borderId="2" xfId="1" applyNumberFormat="1" applyFont="1" applyFill="1" applyBorder="1"/>
    <xf numFmtId="164" fontId="79" fillId="24" borderId="0" xfId="1" applyNumberFormat="1" applyFont="1" applyFill="1"/>
    <xf numFmtId="0" fontId="9" fillId="0" borderId="1" xfId="0" applyFont="1" applyFill="1" applyBorder="1"/>
    <xf numFmtId="166" fontId="9" fillId="0" borderId="1" xfId="1" applyNumberFormat="1" applyFont="1" applyFill="1" applyBorder="1"/>
    <xf numFmtId="9" fontId="0" fillId="0" borderId="0" xfId="6" applyNumberFormat="1" applyFont="1"/>
    <xf numFmtId="0" fontId="0" fillId="0" borderId="0" xfId="0" applyProtection="1">
      <protection locked="0"/>
    </xf>
    <xf numFmtId="43" fontId="48" fillId="19" borderId="0" xfId="1" applyNumberFormat="1" applyFont="1" applyFill="1"/>
    <xf numFmtId="0" fontId="82" fillId="14" borderId="2" xfId="9" applyFont="1" applyFill="1" applyBorder="1"/>
    <xf numFmtId="0" fontId="0" fillId="25" borderId="0" xfId="0" applyFill="1"/>
    <xf numFmtId="166" fontId="9" fillId="0" borderId="0" xfId="1" applyNumberFormat="1" applyFont="1" applyFill="1" applyAlignment="1">
      <alignment horizontal="left"/>
    </xf>
    <xf numFmtId="166" fontId="83" fillId="0" borderId="2" xfId="1" applyNumberFormat="1" applyFont="1" applyBorder="1"/>
    <xf numFmtId="0" fontId="83" fillId="26" borderId="0" xfId="0" applyFont="1" applyFill="1"/>
    <xf numFmtId="0" fontId="83" fillId="0" borderId="0" xfId="0" applyFont="1"/>
    <xf numFmtId="0" fontId="83" fillId="26" borderId="54" xfId="0" applyFont="1" applyFill="1" applyBorder="1"/>
    <xf numFmtId="0" fontId="84" fillId="16" borderId="48" xfId="0" applyFont="1" applyFill="1" applyBorder="1"/>
    <xf numFmtId="166" fontId="85" fillId="16" borderId="48" xfId="1" applyNumberFormat="1" applyFont="1" applyFill="1" applyBorder="1"/>
    <xf numFmtId="164" fontId="85" fillId="16" borderId="48" xfId="1" applyNumberFormat="1" applyFont="1" applyFill="1" applyBorder="1"/>
    <xf numFmtId="166" fontId="85" fillId="16" borderId="48" xfId="1" applyNumberFormat="1" applyFont="1" applyFill="1" applyBorder="1" applyAlignment="1">
      <alignment horizontal="center" vertical="center" wrapText="1"/>
    </xf>
    <xf numFmtId="166" fontId="85" fillId="16" borderId="48" xfId="1" applyNumberFormat="1" applyFont="1" applyFill="1" applyBorder="1" applyAlignment="1">
      <alignment horizontal="right" vertical="center" wrapText="1"/>
    </xf>
    <xf numFmtId="166" fontId="85" fillId="16" borderId="48" xfId="1" applyNumberFormat="1" applyFont="1" applyFill="1" applyBorder="1" applyAlignment="1">
      <alignment vertical="center" wrapText="1"/>
    </xf>
    <xf numFmtId="0" fontId="85" fillId="16" borderId="48" xfId="0" applyFont="1" applyFill="1" applyBorder="1"/>
    <xf numFmtId="0" fontId="85" fillId="16" borderId="48" xfId="0" applyFont="1" applyFill="1" applyBorder="1" applyAlignment="1">
      <alignment wrapText="1"/>
    </xf>
    <xf numFmtId="0" fontId="85" fillId="0" borderId="55" xfId="0" applyFont="1" applyBorder="1"/>
    <xf numFmtId="0" fontId="85" fillId="0" borderId="56" xfId="0" applyFont="1" applyBorder="1"/>
    <xf numFmtId="0" fontId="83" fillId="26" borderId="48" xfId="0" applyFont="1" applyFill="1" applyBorder="1"/>
    <xf numFmtId="166" fontId="83" fillId="26" borderId="48" xfId="1" applyNumberFormat="1" applyFont="1" applyFill="1" applyBorder="1"/>
    <xf numFmtId="166" fontId="83" fillId="26" borderId="48" xfId="1" applyNumberFormat="1" applyFont="1" applyFill="1" applyBorder="1"/>
    <xf numFmtId="164" fontId="83" fillId="26" borderId="48" xfId="1" applyNumberFormat="1" applyFont="1" applyFill="1" applyBorder="1"/>
    <xf numFmtId="10" fontId="83" fillId="26" borderId="48" xfId="6" applyNumberFormat="1" applyFont="1" applyFill="1" applyBorder="1"/>
    <xf numFmtId="43" fontId="83" fillId="26" borderId="48" xfId="0" applyNumberFormat="1" applyFont="1" applyFill="1" applyBorder="1"/>
    <xf numFmtId="167" fontId="83" fillId="26" borderId="48" xfId="0" applyNumberFormat="1" applyFont="1" applyFill="1" applyBorder="1"/>
    <xf numFmtId="43" fontId="83" fillId="26" borderId="48" xfId="1" applyNumberFormat="1" applyFont="1" applyFill="1" applyBorder="1"/>
    <xf numFmtId="166" fontId="83" fillId="26" borderId="48" xfId="0" applyNumberFormat="1" applyFont="1" applyFill="1" applyBorder="1"/>
    <xf numFmtId="2" fontId="83" fillId="26" borderId="48" xfId="0" applyNumberFormat="1" applyFont="1" applyFill="1" applyBorder="1"/>
    <xf numFmtId="0" fontId="83" fillId="26" borderId="55" xfId="0" applyFont="1" applyFill="1" applyBorder="1"/>
    <xf numFmtId="0" fontId="83" fillId="26" borderId="56" xfId="0" applyFont="1" applyFill="1" applyBorder="1"/>
    <xf numFmtId="0" fontId="83" fillId="0" borderId="48" xfId="0" applyFont="1" applyBorder="1"/>
    <xf numFmtId="166" fontId="83" fillId="0" borderId="48" xfId="1" applyNumberFormat="1" applyFont="1" applyBorder="1"/>
    <xf numFmtId="164" fontId="83" fillId="0" borderId="48" xfId="1" applyNumberFormat="1" applyFont="1" applyBorder="1"/>
    <xf numFmtId="10" fontId="83" fillId="0" borderId="48" xfId="6" applyNumberFormat="1" applyFont="1" applyBorder="1"/>
    <xf numFmtId="43" fontId="83" fillId="0" borderId="48" xfId="0" applyNumberFormat="1" applyFont="1" applyBorder="1"/>
    <xf numFmtId="167" fontId="83" fillId="0" borderId="48" xfId="0" applyNumberFormat="1" applyFont="1" applyBorder="1"/>
    <xf numFmtId="43" fontId="83" fillId="0" borderId="48" xfId="1" applyNumberFormat="1" applyFont="1" applyBorder="1"/>
    <xf numFmtId="166" fontId="83" fillId="0" borderId="48" xfId="0" applyNumberFormat="1" applyFont="1" applyBorder="1"/>
    <xf numFmtId="2" fontId="83" fillId="0" borderId="48" xfId="0" applyNumberFormat="1" applyFont="1" applyBorder="1"/>
    <xf numFmtId="0" fontId="83" fillId="0" borderId="43" xfId="0" applyFont="1" applyBorder="1"/>
    <xf numFmtId="0" fontId="83" fillId="26" borderId="43" xfId="0" applyFont="1" applyFill="1" applyBorder="1"/>
    <xf numFmtId="0" fontId="83" fillId="26" borderId="48" xfId="0" applyFont="1" applyFill="1" applyBorder="1"/>
    <xf numFmtId="0" fontId="83" fillId="0" borderId="48" xfId="0" applyFont="1" applyBorder="1"/>
    <xf numFmtId="0" fontId="83" fillId="26" borderId="49" xfId="0" applyFont="1" applyFill="1" applyBorder="1"/>
    <xf numFmtId="0" fontId="83" fillId="26" borderId="49" xfId="0" applyFont="1" applyFill="1" applyBorder="1"/>
    <xf numFmtId="166" fontId="83" fillId="26" borderId="49" xfId="1" applyNumberFormat="1" applyFont="1" applyFill="1" applyBorder="1"/>
    <xf numFmtId="164" fontId="83" fillId="26" borderId="49" xfId="1" applyNumberFormat="1" applyFont="1" applyFill="1" applyBorder="1"/>
    <xf numFmtId="10" fontId="83" fillId="26" borderId="49" xfId="6" applyNumberFormat="1" applyFont="1" applyFill="1" applyBorder="1"/>
    <xf numFmtId="43" fontId="83" fillId="26" borderId="49" xfId="0" applyNumberFormat="1" applyFont="1" applyFill="1" applyBorder="1"/>
    <xf numFmtId="167" fontId="83" fillId="26" borderId="49" xfId="0" applyNumberFormat="1" applyFont="1" applyFill="1" applyBorder="1"/>
    <xf numFmtId="43" fontId="83" fillId="26" borderId="49" xfId="1" applyNumberFormat="1" applyFont="1" applyFill="1" applyBorder="1"/>
    <xf numFmtId="166" fontId="83" fillId="26" borderId="49" xfId="0" applyNumberFormat="1" applyFont="1" applyFill="1" applyBorder="1"/>
    <xf numFmtId="2" fontId="83" fillId="26" borderId="49" xfId="0" applyNumberFormat="1" applyFont="1" applyFill="1" applyBorder="1"/>
    <xf numFmtId="0" fontId="83" fillId="26" borderId="57" xfId="0" applyFont="1" applyFill="1" applyBorder="1"/>
    <xf numFmtId="0" fontId="7" fillId="18" borderId="48" xfId="0" applyFont="1" applyFill="1" applyBorder="1"/>
    <xf numFmtId="9" fontId="7" fillId="18" borderId="50" xfId="0" applyNumberFormat="1" applyFont="1" applyFill="1" applyBorder="1"/>
    <xf numFmtId="9" fontId="7" fillId="18" borderId="7" xfId="6" applyNumberFormat="1" applyFont="1" applyFill="1" applyBorder="1"/>
    <xf numFmtId="9" fontId="7" fillId="18" borderId="28" xfId="6" applyNumberFormat="1" applyFont="1" applyFill="1" applyBorder="1"/>
    <xf numFmtId="2" fontId="0" fillId="0" borderId="0" xfId="6" applyNumberFormat="1" applyFont="1" applyFill="1"/>
    <xf numFmtId="167" fontId="7" fillId="0" borderId="0" xfId="6" applyNumberFormat="1" applyFont="1" applyFill="1"/>
    <xf numFmtId="3" fontId="0" fillId="0" borderId="0" xfId="0" applyNumberFormat="1" applyBorder="1"/>
    <xf numFmtId="0" fontId="0" fillId="0" borderId="40" xfId="0" applyFill="1" applyBorder="1"/>
    <xf numFmtId="3" fontId="0" fillId="0" borderId="40" xfId="0" applyNumberFormat="1" applyFill="1" applyBorder="1"/>
    <xf numFmtId="164" fontId="0" fillId="0" borderId="40" xfId="1" applyNumberFormat="1" applyFont="1" applyFill="1" applyBorder="1"/>
    <xf numFmtId="9" fontId="0" fillId="0" borderId="40" xfId="6" applyFont="1" applyFill="1" applyBorder="1"/>
    <xf numFmtId="0" fontId="9" fillId="16" borderId="40" xfId="0" applyFont="1" applyFill="1" applyBorder="1" applyAlignment="1">
      <alignment wrapText="1"/>
    </xf>
    <xf numFmtId="0" fontId="0" fillId="10" borderId="0" xfId="0" applyFill="1"/>
    <xf numFmtId="0" fontId="0" fillId="10" borderId="2" xfId="0" applyFill="1" applyBorder="1"/>
    <xf numFmtId="0" fontId="83" fillId="26" borderId="0" xfId="0" applyFont="1" applyFill="1" applyBorder="1"/>
    <xf numFmtId="0" fontId="7" fillId="0" borderId="0" xfId="0" applyFont="1" applyFill="1" applyBorder="1"/>
    <xf numFmtId="167" fontId="0" fillId="25" borderId="2" xfId="0" applyNumberFormat="1" applyFill="1" applyBorder="1"/>
    <xf numFmtId="0" fontId="9" fillId="10" borderId="2" xfId="0" applyFont="1" applyFill="1" applyBorder="1" applyAlignment="1">
      <alignment horizontal="right"/>
    </xf>
    <xf numFmtId="9" fontId="0" fillId="0" borderId="2" xfId="0" applyNumberFormat="1" applyFill="1" applyBorder="1"/>
    <xf numFmtId="165" fontId="0" fillId="0" borderId="2" xfId="0" applyNumberFormat="1" applyFill="1" applyBorder="1"/>
    <xf numFmtId="0" fontId="0" fillId="0" borderId="0" xfId="0" applyAlignment="1">
      <alignment vertical="center" wrapText="1"/>
    </xf>
    <xf numFmtId="0" fontId="7" fillId="0" borderId="0" xfId="0" applyFont="1" applyAlignment="1">
      <alignment vertical="center" wrapText="1"/>
    </xf>
    <xf numFmtId="4" fontId="0" fillId="0" borderId="0" xfId="0" applyNumberFormat="1"/>
    <xf numFmtId="4" fontId="7" fillId="0" borderId="0" xfId="0" applyNumberFormat="1" applyFont="1" applyAlignment="1">
      <alignment vertical="center" wrapText="1"/>
    </xf>
    <xf numFmtId="0" fontId="9" fillId="0" borderId="0" xfId="0" applyFont="1" applyAlignment="1">
      <alignment vertical="center" wrapText="1"/>
    </xf>
    <xf numFmtId="180" fontId="38" fillId="0" borderId="26" xfId="0" applyNumberFormat="1" applyFont="1" applyBorder="1" applyAlignment="1" applyProtection="1">
      <alignment horizontal="right"/>
    </xf>
    <xf numFmtId="0" fontId="0" fillId="0" borderId="2" xfId="0" applyNumberFormat="1" applyBorder="1"/>
    <xf numFmtId="10" fontId="38" fillId="0" borderId="26" xfId="6" applyNumberFormat="1" applyFont="1" applyBorder="1" applyAlignment="1" applyProtection="1">
      <alignment horizontal="right"/>
    </xf>
    <xf numFmtId="171" fontId="0" fillId="0" borderId="2" xfId="6" applyNumberFormat="1" applyFont="1" applyBorder="1"/>
    <xf numFmtId="0" fontId="85" fillId="0" borderId="0" xfId="0" applyFont="1" applyBorder="1"/>
    <xf numFmtId="0" fontId="9" fillId="27" borderId="0" xfId="0" applyFont="1" applyFill="1" applyAlignment="1">
      <alignment wrapText="1"/>
    </xf>
    <xf numFmtId="0" fontId="9" fillId="27" borderId="0" xfId="0" applyFont="1" applyFill="1" applyAlignment="1">
      <alignment vertical="center" wrapText="1"/>
    </xf>
    <xf numFmtId="0" fontId="9" fillId="27" borderId="0" xfId="0" applyFont="1" applyFill="1" applyAlignment="1">
      <alignment horizontal="center" vertical="center" wrapText="1"/>
    </xf>
    <xf numFmtId="167" fontId="0" fillId="0" borderId="0" xfId="0" applyNumberFormat="1" applyAlignment="1">
      <alignment horizontal="center"/>
    </xf>
    <xf numFmtId="0" fontId="0" fillId="0" borderId="20" xfId="0" applyFill="1" applyBorder="1"/>
    <xf numFmtId="167" fontId="7" fillId="0" borderId="0" xfId="0" applyNumberFormat="1" applyFont="1"/>
    <xf numFmtId="43" fontId="0" fillId="14" borderId="0" xfId="0" applyNumberFormat="1" applyFill="1"/>
    <xf numFmtId="0" fontId="49" fillId="0" borderId="1" xfId="0" applyFont="1" applyFill="1" applyBorder="1"/>
    <xf numFmtId="0" fontId="0" fillId="0" borderId="0" xfId="6" applyNumberFormat="1" applyFont="1"/>
    <xf numFmtId="1" fontId="83" fillId="26" borderId="48" xfId="0" applyNumberFormat="1" applyFont="1" applyFill="1" applyBorder="1"/>
    <xf numFmtId="0" fontId="85" fillId="16" borderId="43" xfId="0" applyFont="1" applyFill="1" applyBorder="1" applyAlignment="1">
      <alignment wrapText="1"/>
    </xf>
    <xf numFmtId="166" fontId="83" fillId="26" borderId="43" xfId="0" applyNumberFormat="1" applyFont="1" applyFill="1" applyBorder="1"/>
    <xf numFmtId="43" fontId="83" fillId="26" borderId="0" xfId="0" applyNumberFormat="1" applyFont="1" applyFill="1" applyBorder="1"/>
    <xf numFmtId="164" fontId="7" fillId="0" borderId="0" xfId="0" applyNumberFormat="1" applyFont="1" applyFill="1"/>
    <xf numFmtId="169" fontId="0" fillId="0" borderId="0" xfId="0" applyNumberFormat="1" applyFill="1"/>
    <xf numFmtId="0" fontId="9" fillId="18" borderId="48" xfId="0" applyFont="1" applyFill="1" applyBorder="1"/>
    <xf numFmtId="0" fontId="9" fillId="18" borderId="17" xfId="0" applyFont="1" applyFill="1" applyBorder="1"/>
    <xf numFmtId="0" fontId="9" fillId="18" borderId="32" xfId="0" applyFont="1" applyFill="1" applyBorder="1"/>
    <xf numFmtId="9" fontId="9" fillId="18" borderId="7" xfId="6" applyNumberFormat="1" applyFont="1" applyFill="1" applyBorder="1"/>
    <xf numFmtId="9" fontId="9" fillId="18" borderId="28" xfId="6" applyNumberFormat="1" applyFont="1" applyFill="1" applyBorder="1"/>
    <xf numFmtId="167" fontId="81" fillId="0" borderId="0" xfId="0" applyNumberFormat="1" applyFont="1" applyFill="1"/>
    <xf numFmtId="169" fontId="15" fillId="16" borderId="15" xfId="0" applyNumberFormat="1" applyFont="1" applyFill="1" applyBorder="1" applyAlignment="1">
      <alignment horizontal="center"/>
    </xf>
    <xf numFmtId="0" fontId="76" fillId="14" borderId="44" xfId="0" applyFont="1" applyFill="1" applyBorder="1"/>
    <xf numFmtId="10" fontId="7" fillId="14" borderId="0" xfId="6" applyNumberFormat="1" applyFont="1" applyFill="1"/>
    <xf numFmtId="164" fontId="7" fillId="14" borderId="2" xfId="1" applyNumberFormat="1" applyFont="1" applyFill="1" applyBorder="1"/>
    <xf numFmtId="164" fontId="0" fillId="14" borderId="0" xfId="0" applyNumberFormat="1" applyFill="1"/>
    <xf numFmtId="10" fontId="7" fillId="14" borderId="2" xfId="6" applyNumberFormat="1" applyFont="1" applyFill="1" applyBorder="1"/>
    <xf numFmtId="0" fontId="73" fillId="14" borderId="45" xfId="9" applyFont="1" applyFill="1" applyBorder="1" applyAlignment="1">
      <alignment horizontal="center"/>
    </xf>
    <xf numFmtId="0" fontId="73" fillId="14" borderId="45" xfId="9" applyFont="1" applyFill="1" applyBorder="1" applyAlignment="1">
      <alignment horizontal="center" vertical="center"/>
    </xf>
    <xf numFmtId="9" fontId="0" fillId="14" borderId="2" xfId="0" applyNumberFormat="1" applyFill="1" applyBorder="1" applyAlignment="1">
      <alignment horizontal="center"/>
    </xf>
    <xf numFmtId="9" fontId="0" fillId="14" borderId="2" xfId="0" applyNumberFormat="1" applyFill="1" applyBorder="1"/>
    <xf numFmtId="166" fontId="0" fillId="10" borderId="2" xfId="0" applyNumberFormat="1" applyFill="1" applyBorder="1"/>
    <xf numFmtId="0" fontId="73" fillId="28" borderId="45" xfId="9" applyFont="1" applyFill="1" applyBorder="1" applyAlignment="1">
      <alignment horizontal="center" vertical="center"/>
    </xf>
    <xf numFmtId="0" fontId="73" fillId="28" borderId="2" xfId="9" applyFont="1" applyFill="1" applyBorder="1"/>
    <xf numFmtId="170" fontId="0" fillId="28" borderId="2" xfId="0" applyNumberFormat="1" applyFill="1" applyBorder="1"/>
    <xf numFmtId="0" fontId="0" fillId="28" borderId="0" xfId="0" applyFill="1"/>
    <xf numFmtId="166" fontId="0" fillId="28" borderId="2" xfId="0" applyNumberFormat="1" applyFill="1" applyBorder="1"/>
    <xf numFmtId="170" fontId="73" fillId="14" borderId="45" xfId="9" applyNumberFormat="1" applyFont="1" applyFill="1" applyBorder="1" applyAlignment="1">
      <alignment horizontal="center" vertical="center"/>
    </xf>
    <xf numFmtId="170" fontId="73" fillId="14" borderId="2" xfId="9" applyNumberFormat="1" applyFont="1" applyFill="1" applyBorder="1"/>
    <xf numFmtId="170" fontId="0" fillId="14" borderId="2" xfId="0" applyNumberFormat="1" applyFill="1" applyBorder="1"/>
    <xf numFmtId="170" fontId="0" fillId="14" borderId="0" xfId="0" applyNumberFormat="1" applyFill="1"/>
    <xf numFmtId="0" fontId="0" fillId="14" borderId="2" xfId="0" applyNumberFormat="1" applyFill="1" applyBorder="1"/>
    <xf numFmtId="173" fontId="0" fillId="14" borderId="2" xfId="0" applyNumberFormat="1" applyFill="1" applyBorder="1"/>
    <xf numFmtId="2" fontId="0" fillId="14" borderId="2" xfId="0" applyNumberFormat="1" applyFill="1" applyBorder="1"/>
    <xf numFmtId="167" fontId="80" fillId="24" borderId="2" xfId="0" applyNumberFormat="1" applyFont="1" applyFill="1" applyBorder="1"/>
    <xf numFmtId="167" fontId="7" fillId="14" borderId="2" xfId="1" applyNumberFormat="1" applyFont="1" applyFill="1" applyBorder="1" applyAlignment="1"/>
    <xf numFmtId="166" fontId="7" fillId="14" borderId="2" xfId="1" applyNumberFormat="1" applyFont="1" applyFill="1" applyBorder="1" applyAlignment="1"/>
    <xf numFmtId="0" fontId="73" fillId="13" borderId="2" xfId="9" applyFont="1" applyFill="1" applyBorder="1"/>
    <xf numFmtId="167" fontId="0" fillId="13" borderId="2" xfId="0" applyNumberFormat="1" applyFill="1" applyBorder="1"/>
    <xf numFmtId="0" fontId="0" fillId="13" borderId="0" xfId="0" applyFill="1"/>
    <xf numFmtId="166" fontId="0" fillId="13" borderId="2" xfId="0" applyNumberFormat="1" applyFill="1" applyBorder="1"/>
    <xf numFmtId="0" fontId="0" fillId="13" borderId="2" xfId="0" applyFill="1" applyBorder="1"/>
    <xf numFmtId="164" fontId="0" fillId="13" borderId="2" xfId="0" applyNumberFormat="1" applyFill="1" applyBorder="1"/>
    <xf numFmtId="166" fontId="0" fillId="13" borderId="0" xfId="0" applyNumberFormat="1" applyFill="1"/>
    <xf numFmtId="43" fontId="0" fillId="13" borderId="2" xfId="0" applyNumberFormat="1" applyFill="1" applyBorder="1"/>
    <xf numFmtId="0" fontId="80" fillId="13" borderId="2" xfId="0" applyFont="1" applyFill="1" applyBorder="1"/>
    <xf numFmtId="167" fontId="80" fillId="13" borderId="2" xfId="0" applyNumberFormat="1" applyFont="1" applyFill="1" applyBorder="1"/>
    <xf numFmtId="43" fontId="80" fillId="13" borderId="2" xfId="0" applyNumberFormat="1" applyFont="1" applyFill="1" applyBorder="1"/>
    <xf numFmtId="170" fontId="80" fillId="13" borderId="2" xfId="0" applyNumberFormat="1" applyFont="1" applyFill="1" applyBorder="1"/>
    <xf numFmtId="167" fontId="7" fillId="13" borderId="2" xfId="0" applyNumberFormat="1" applyFont="1" applyFill="1" applyBorder="1"/>
    <xf numFmtId="170" fontId="0" fillId="13" borderId="2" xfId="0" applyNumberFormat="1" applyFill="1" applyBorder="1"/>
    <xf numFmtId="0" fontId="76" fillId="13" borderId="2" xfId="0" applyFont="1" applyFill="1" applyBorder="1"/>
    <xf numFmtId="167" fontId="0" fillId="13" borderId="0" xfId="0" applyNumberFormat="1" applyFill="1"/>
    <xf numFmtId="0" fontId="79" fillId="13" borderId="2" xfId="0" applyFont="1" applyFill="1" applyBorder="1"/>
    <xf numFmtId="167" fontId="79" fillId="13" borderId="2" xfId="0" applyNumberFormat="1" applyFont="1" applyFill="1" applyBorder="1"/>
    <xf numFmtId="0" fontId="79" fillId="13" borderId="0" xfId="0" applyFont="1" applyFill="1"/>
    <xf numFmtId="167" fontId="8" fillId="13" borderId="2" xfId="0" applyNumberFormat="1" applyFont="1" applyFill="1" applyBorder="1"/>
    <xf numFmtId="166" fontId="7" fillId="14" borderId="0" xfId="1" applyNumberFormat="1" applyFont="1" applyFill="1"/>
    <xf numFmtId="0" fontId="4" fillId="0" borderId="0" xfId="0" quotePrefix="1" applyFont="1" applyFill="1"/>
    <xf numFmtId="2" fontId="4" fillId="0" borderId="0" xfId="0" applyNumberFormat="1" applyFont="1"/>
    <xf numFmtId="164" fontId="7" fillId="10" borderId="0" xfId="1" applyNumberFormat="1" applyFont="1" applyFill="1"/>
    <xf numFmtId="166" fontId="9" fillId="0" borderId="0" xfId="1" applyNumberFormat="1" applyFont="1"/>
    <xf numFmtId="0" fontId="0" fillId="0" borderId="0" xfId="0" applyAlignment="1">
      <alignment horizontal="right" vertical="top"/>
    </xf>
    <xf numFmtId="164" fontId="0" fillId="0" borderId="0" xfId="1" applyNumberFormat="1" applyFont="1" applyAlignment="1">
      <alignment horizontal="right" vertical="top"/>
    </xf>
    <xf numFmtId="164" fontId="80" fillId="24" borderId="2" xfId="1" applyNumberFormat="1" applyFont="1" applyFill="1" applyBorder="1" applyAlignment="1">
      <alignment horizontal="center" vertical="center"/>
    </xf>
    <xf numFmtId="164" fontId="9" fillId="0" borderId="0" xfId="0" applyNumberFormat="1" applyFont="1" applyFill="1"/>
    <xf numFmtId="0" fontId="0" fillId="0" borderId="0" xfId="0" applyNumberFormat="1"/>
    <xf numFmtId="0" fontId="7" fillId="0" borderId="0" xfId="6" applyNumberFormat="1" applyFont="1" applyFill="1"/>
    <xf numFmtId="0" fontId="64" fillId="0" borderId="0" xfId="0" applyFont="1" applyAlignment="1">
      <alignment horizontal="center" wrapText="1"/>
    </xf>
    <xf numFmtId="0" fontId="64" fillId="0" borderId="0" xfId="0" applyFont="1" applyFill="1" applyAlignment="1">
      <alignment horizontal="center" wrapText="1"/>
    </xf>
    <xf numFmtId="164" fontId="0" fillId="0" borderId="0" xfId="1" applyNumberFormat="1" applyFont="1" applyFill="1" applyAlignment="1">
      <alignment horizontal="left"/>
    </xf>
    <xf numFmtId="164" fontId="86" fillId="0" borderId="2" xfId="1" applyNumberFormat="1" applyFont="1" applyFill="1" applyBorder="1" applyAlignment="1">
      <alignment horizontal="center"/>
    </xf>
    <xf numFmtId="164" fontId="86" fillId="0" borderId="2" xfId="1" applyNumberFormat="1" applyFont="1" applyFill="1" applyBorder="1" applyAlignment="1">
      <alignment horizontal="center" vertical="center"/>
    </xf>
    <xf numFmtId="185" fontId="0" fillId="0" borderId="0" xfId="1" applyNumberFormat="1" applyFont="1" applyFill="1"/>
    <xf numFmtId="3" fontId="87" fillId="0" borderId="0" xfId="0" applyNumberFormat="1" applyFont="1" applyBorder="1"/>
    <xf numFmtId="3" fontId="16" fillId="0" borderId="0" xfId="3" applyNumberFormat="1" applyFont="1" applyFill="1" applyBorder="1"/>
    <xf numFmtId="169" fontId="21" fillId="6" borderId="15" xfId="0" applyNumberFormat="1" applyFont="1" applyFill="1" applyBorder="1" applyAlignment="1">
      <alignment horizontal="center"/>
    </xf>
    <xf numFmtId="169" fontId="21" fillId="6" borderId="19" xfId="0" applyNumberFormat="1" applyFont="1" applyFill="1" applyBorder="1" applyAlignment="1">
      <alignment horizontal="center"/>
    </xf>
    <xf numFmtId="169" fontId="21" fillId="6" borderId="6" xfId="0" applyNumberFormat="1" applyFont="1" applyFill="1" applyBorder="1" applyAlignment="1">
      <alignment horizontal="center" wrapText="1"/>
    </xf>
    <xf numFmtId="169" fontId="16" fillId="0" borderId="0" xfId="3" applyNumberFormat="1" applyFont="1" applyFill="1" applyBorder="1" applyAlignment="1">
      <alignment horizontal="center"/>
    </xf>
    <xf numFmtId="169" fontId="21" fillId="6" borderId="0" xfId="0" applyNumberFormat="1" applyFont="1" applyFill="1" applyBorder="1" applyAlignment="1">
      <alignment horizontal="center"/>
    </xf>
    <xf numFmtId="3" fontId="16" fillId="0" borderId="0" xfId="3" applyNumberFormat="1" applyFont="1" applyBorder="1" applyAlignment="1">
      <alignment horizontal="right"/>
    </xf>
    <xf numFmtId="169" fontId="16" fillId="0" borderId="6" xfId="3" applyNumberFormat="1" applyFont="1" applyFill="1" applyBorder="1" applyAlignment="1">
      <alignment horizontal="center"/>
    </xf>
    <xf numFmtId="3" fontId="16" fillId="0" borderId="0" xfId="3" applyNumberFormat="1" applyFont="1" applyFill="1" applyBorder="1" applyAlignment="1">
      <alignment horizontal="right"/>
    </xf>
    <xf numFmtId="0" fontId="12" fillId="0" borderId="0" xfId="4" applyFont="1" applyFill="1" applyAlignment="1">
      <alignment horizontal="center" vertical="center"/>
    </xf>
    <xf numFmtId="0" fontId="88" fillId="0" borderId="0" xfId="4" applyFont="1" applyFill="1" applyAlignment="1">
      <alignment horizontal="center" vertical="center"/>
    </xf>
    <xf numFmtId="0" fontId="31" fillId="0" borderId="0" xfId="4" applyFont="1" applyFill="1" applyAlignment="1">
      <alignment horizontal="right" vertical="center"/>
    </xf>
    <xf numFmtId="0" fontId="31" fillId="0" borderId="0" xfId="4" applyFont="1" applyFill="1" applyAlignment="1">
      <alignment vertical="center"/>
    </xf>
    <xf numFmtId="164" fontId="31" fillId="0" borderId="0" xfId="2" applyNumberFormat="1" applyFont="1" applyFill="1" applyAlignment="1">
      <alignment vertical="center"/>
    </xf>
    <xf numFmtId="4" fontId="31" fillId="0" borderId="0" xfId="4" applyNumberFormat="1" applyFont="1" applyFill="1" applyAlignment="1">
      <alignment vertical="center"/>
    </xf>
    <xf numFmtId="0" fontId="31" fillId="0" borderId="0" xfId="4" applyFont="1" applyFill="1" applyBorder="1" applyAlignment="1">
      <alignment vertical="center"/>
    </xf>
    <xf numFmtId="0" fontId="12" fillId="0" borderId="0" xfId="4" applyFont="1" applyFill="1" applyAlignment="1">
      <alignment horizontal="right" vertical="center" readingOrder="2"/>
    </xf>
    <xf numFmtId="0" fontId="50" fillId="0" borderId="0" xfId="4" applyFont="1" applyFill="1" applyAlignment="1">
      <alignment horizontal="right" vertical="center" readingOrder="2"/>
    </xf>
    <xf numFmtId="0" fontId="89" fillId="0" borderId="0" xfId="4" applyFont="1" applyFill="1" applyAlignment="1">
      <alignment horizontal="right" vertical="center" readingOrder="2"/>
    </xf>
    <xf numFmtId="14" fontId="51" fillId="0" borderId="0" xfId="4" applyNumberFormat="1" applyFont="1" applyFill="1" applyAlignment="1">
      <alignment horizontal="right" vertical="center" readingOrder="2"/>
    </xf>
    <xf numFmtId="0" fontId="11" fillId="0" borderId="0" xfId="4" applyFont="1" applyFill="1" applyAlignment="1">
      <alignment horizontal="right" vertical="center"/>
    </xf>
    <xf numFmtId="4" fontId="11" fillId="0" borderId="0" xfId="4" applyNumberFormat="1" applyFont="1" applyFill="1" applyAlignment="1">
      <alignment horizontal="right" vertical="center"/>
    </xf>
    <xf numFmtId="0" fontId="11" fillId="0" borderId="0" xfId="4" applyFont="1" applyFill="1" applyBorder="1" applyAlignment="1">
      <alignment horizontal="right" vertical="center"/>
    </xf>
    <xf numFmtId="0" fontId="12" fillId="0" borderId="0" xfId="4" applyFont="1" applyFill="1" applyAlignment="1">
      <alignment horizontal="right" vertical="center"/>
    </xf>
    <xf numFmtId="0" fontId="88" fillId="0" borderId="0" xfId="4" applyFont="1" applyFill="1" applyAlignment="1">
      <alignment horizontal="right" vertical="center"/>
    </xf>
    <xf numFmtId="4" fontId="12" fillId="0" borderId="0" xfId="4" applyNumberFormat="1" applyFont="1" applyFill="1" applyAlignment="1">
      <alignment horizontal="right" vertical="center"/>
    </xf>
    <xf numFmtId="0" fontId="12" fillId="0" borderId="0" xfId="4" applyFont="1" applyFill="1" applyBorder="1" applyAlignment="1">
      <alignment horizontal="right" vertical="center"/>
    </xf>
    <xf numFmtId="0" fontId="12" fillId="0" borderId="2" xfId="4" applyFont="1" applyFill="1" applyBorder="1" applyAlignment="1">
      <alignment horizontal="center" vertical="center"/>
    </xf>
    <xf numFmtId="0" fontId="12" fillId="0" borderId="2" xfId="4" applyFont="1" applyFill="1" applyBorder="1" applyAlignment="1">
      <alignment horizontal="center" vertical="center" wrapText="1"/>
    </xf>
    <xf numFmtId="164" fontId="12" fillId="0" borderId="2" xfId="2" applyNumberFormat="1" applyFont="1" applyFill="1" applyBorder="1" applyAlignment="1">
      <alignment horizontal="center" vertical="center" wrapText="1"/>
    </xf>
    <xf numFmtId="3" fontId="12" fillId="0" borderId="2" xfId="4" applyNumberFormat="1" applyFont="1" applyFill="1" applyBorder="1" applyAlignment="1">
      <alignment horizontal="right" vertical="center" wrapText="1"/>
    </xf>
    <xf numFmtId="4" fontId="12" fillId="0" borderId="2" xfId="4" applyNumberFormat="1" applyFont="1" applyFill="1" applyBorder="1" applyAlignment="1">
      <alignment vertical="center" wrapText="1"/>
    </xf>
    <xf numFmtId="4" fontId="12" fillId="0" borderId="2" xfId="4" applyNumberFormat="1" applyFont="1" applyFill="1" applyBorder="1" applyAlignment="1">
      <alignment horizontal="center" vertical="center" wrapText="1"/>
    </xf>
    <xf numFmtId="0" fontId="12" fillId="0" borderId="2" xfId="4" applyFont="1" applyFill="1" applyBorder="1" applyAlignment="1">
      <alignment vertical="center"/>
    </xf>
    <xf numFmtId="0" fontId="12" fillId="0" borderId="2" xfId="4" applyFont="1" applyFill="1" applyBorder="1" applyAlignment="1">
      <alignment horizontal="right" vertical="center"/>
    </xf>
    <xf numFmtId="0" fontId="52" fillId="0" borderId="2" xfId="4" applyFont="1" applyFill="1" applyBorder="1" applyAlignment="1">
      <alignment horizontal="right" vertical="center"/>
    </xf>
    <xf numFmtId="0" fontId="31" fillId="0" borderId="2" xfId="4" applyFont="1" applyFill="1" applyBorder="1" applyAlignment="1">
      <alignment horizontal="right" vertical="center"/>
    </xf>
    <xf numFmtId="1" fontId="31" fillId="0" borderId="2" xfId="4" applyNumberFormat="1" applyFont="1" applyFill="1" applyBorder="1" applyAlignment="1">
      <alignment horizontal="center" vertical="center"/>
    </xf>
    <xf numFmtId="164" fontId="31" fillId="0" borderId="2" xfId="2" applyNumberFormat="1" applyFont="1" applyFill="1" applyBorder="1" applyAlignment="1">
      <alignment horizontal="center" vertical="center"/>
    </xf>
    <xf numFmtId="4" fontId="31" fillId="0" borderId="2" xfId="4" applyNumberFormat="1" applyFont="1" applyFill="1" applyBorder="1" applyAlignment="1">
      <alignment vertical="center"/>
    </xf>
    <xf numFmtId="4" fontId="31" fillId="0" borderId="2" xfId="4" applyNumberFormat="1" applyFont="1" applyFill="1" applyBorder="1" applyAlignment="1">
      <alignment horizontal="center" vertical="center"/>
    </xf>
    <xf numFmtId="164" fontId="31" fillId="0" borderId="2" xfId="1" applyNumberFormat="1" applyFont="1" applyFill="1" applyBorder="1" applyAlignment="1">
      <alignment vertical="center"/>
    </xf>
    <xf numFmtId="0" fontId="12" fillId="17" borderId="2" xfId="4" applyFont="1" applyFill="1" applyBorder="1" applyAlignment="1">
      <alignment horizontal="center" vertical="center"/>
    </xf>
    <xf numFmtId="0" fontId="12" fillId="17" borderId="51" xfId="4" applyFont="1" applyFill="1" applyBorder="1" applyAlignment="1">
      <alignment vertical="center"/>
    </xf>
    <xf numFmtId="0" fontId="12" fillId="17" borderId="2" xfId="4" applyFont="1" applyFill="1" applyBorder="1" applyAlignment="1">
      <alignment horizontal="right" vertical="center"/>
    </xf>
    <xf numFmtId="1" fontId="12" fillId="17" borderId="2" xfId="4" applyNumberFormat="1" applyFont="1" applyFill="1" applyBorder="1" applyAlignment="1">
      <alignment horizontal="center" vertical="center"/>
    </xf>
    <xf numFmtId="164" fontId="12" fillId="17" borderId="2" xfId="1" applyNumberFormat="1" applyFont="1" applyFill="1" applyBorder="1" applyAlignment="1">
      <alignment horizontal="center" vertical="center"/>
    </xf>
    <xf numFmtId="4" fontId="12" fillId="17" borderId="2" xfId="4" applyNumberFormat="1" applyFont="1" applyFill="1" applyBorder="1" applyAlignment="1">
      <alignment vertical="center"/>
    </xf>
    <xf numFmtId="0" fontId="12" fillId="0" borderId="0" xfId="4" applyFont="1" applyFill="1" applyBorder="1" applyAlignment="1">
      <alignment vertical="center"/>
    </xf>
    <xf numFmtId="0" fontId="12" fillId="0" borderId="0" xfId="4" applyFont="1" applyFill="1" applyAlignment="1">
      <alignment vertical="center"/>
    </xf>
    <xf numFmtId="0" fontId="12" fillId="0" borderId="44" xfId="4" applyFont="1" applyFill="1" applyBorder="1" applyAlignment="1">
      <alignment vertical="center"/>
    </xf>
    <xf numFmtId="0" fontId="52" fillId="0" borderId="2" xfId="4" applyFont="1" applyFill="1" applyBorder="1" applyAlignment="1">
      <alignment horizontal="right" vertical="center" wrapText="1"/>
    </xf>
    <xf numFmtId="0" fontId="31" fillId="0" borderId="2" xfId="4" applyFont="1" applyFill="1" applyBorder="1" applyAlignment="1">
      <alignment horizontal="right" vertical="center" wrapText="1"/>
    </xf>
    <xf numFmtId="0" fontId="31" fillId="0" borderId="2" xfId="4" applyFont="1" applyFill="1" applyBorder="1" applyAlignment="1">
      <alignment horizontal="center" vertical="center"/>
    </xf>
    <xf numFmtId="0" fontId="12" fillId="0" borderId="40" xfId="4" applyFont="1" applyFill="1" applyBorder="1" applyAlignment="1">
      <alignment vertical="center"/>
    </xf>
    <xf numFmtId="0" fontId="88" fillId="0" borderId="40" xfId="4" applyFont="1" applyBorder="1" applyAlignment="1">
      <alignment vertical="center" wrapText="1"/>
    </xf>
    <xf numFmtId="3" fontId="31" fillId="0" borderId="2" xfId="4" applyNumberFormat="1" applyFont="1" applyFill="1" applyBorder="1" applyAlignment="1">
      <alignment horizontal="right" vertical="center"/>
    </xf>
    <xf numFmtId="0" fontId="90" fillId="0" borderId="2" xfId="4" applyFont="1" applyFill="1" applyBorder="1" applyAlignment="1">
      <alignment horizontal="right" vertical="center"/>
    </xf>
    <xf numFmtId="0" fontId="12" fillId="0" borderId="45" xfId="4" applyFont="1" applyFill="1" applyBorder="1" applyAlignment="1">
      <alignment vertical="center"/>
    </xf>
    <xf numFmtId="0" fontId="88" fillId="0" borderId="45" xfId="4" applyFont="1" applyBorder="1" applyAlignment="1">
      <alignment vertical="center" wrapText="1"/>
    </xf>
    <xf numFmtId="0" fontId="91" fillId="0" borderId="2" xfId="4" applyFont="1" applyFill="1" applyBorder="1" applyAlignment="1">
      <alignment horizontal="center" vertical="center"/>
    </xf>
    <xf numFmtId="1" fontId="91" fillId="0" borderId="2" xfId="4" applyNumberFormat="1" applyFont="1" applyFill="1" applyBorder="1" applyAlignment="1">
      <alignment horizontal="center" vertical="center"/>
    </xf>
    <xf numFmtId="0" fontId="88" fillId="0" borderId="44" xfId="4" applyFont="1" applyBorder="1" applyAlignment="1">
      <alignment vertical="center" wrapText="1"/>
    </xf>
    <xf numFmtId="0" fontId="91" fillId="0" borderId="2" xfId="4" applyFont="1" applyFill="1" applyBorder="1" applyAlignment="1">
      <alignment horizontal="right" vertical="center"/>
    </xf>
    <xf numFmtId="0" fontId="88" fillId="0" borderId="45" xfId="4" applyFont="1" applyFill="1" applyBorder="1" applyAlignment="1">
      <alignment vertical="center" wrapText="1"/>
    </xf>
    <xf numFmtId="0" fontId="12" fillId="0" borderId="45" xfId="4" applyFont="1" applyFill="1" applyBorder="1" applyAlignment="1">
      <alignment horizontal="center" vertical="center"/>
    </xf>
    <xf numFmtId="0" fontId="88" fillId="0" borderId="50" xfId="4" applyFont="1" applyBorder="1" applyAlignment="1">
      <alignment horizontal="center" vertical="center" wrapText="1"/>
    </xf>
    <xf numFmtId="0" fontId="12" fillId="17" borderId="51" xfId="4" applyFont="1" applyFill="1" applyBorder="1" applyAlignment="1">
      <alignment horizontal="center" vertical="center"/>
    </xf>
    <xf numFmtId="0" fontId="88" fillId="0" borderId="40" xfId="4" applyFont="1" applyFill="1" applyBorder="1" applyAlignment="1">
      <alignment vertical="center"/>
    </xf>
    <xf numFmtId="0" fontId="88" fillId="0" borderId="45" xfId="4" applyFont="1" applyFill="1" applyBorder="1" applyAlignment="1">
      <alignment vertical="center"/>
    </xf>
    <xf numFmtId="0" fontId="88" fillId="0" borderId="40" xfId="4" applyFont="1" applyFill="1" applyBorder="1" applyAlignment="1">
      <alignment vertical="center" wrapText="1"/>
    </xf>
    <xf numFmtId="0" fontId="90" fillId="0" borderId="2" xfId="3" applyFont="1" applyFill="1" applyBorder="1"/>
    <xf numFmtId="3" fontId="31" fillId="0" borderId="2" xfId="4" applyNumberFormat="1" applyFont="1" applyFill="1" applyBorder="1" applyAlignment="1">
      <alignment horizontal="right" vertical="center" wrapText="1"/>
    </xf>
    <xf numFmtId="164" fontId="31" fillId="10" borderId="2" xfId="1" applyNumberFormat="1" applyFont="1" applyFill="1" applyBorder="1" applyAlignment="1">
      <alignment vertical="center"/>
    </xf>
    <xf numFmtId="1" fontId="91" fillId="0" borderId="2" xfId="4" applyNumberFormat="1" applyFont="1" applyFill="1" applyBorder="1" applyAlignment="1">
      <alignment horizontal="center" vertical="center" wrapText="1"/>
    </xf>
    <xf numFmtId="1" fontId="31" fillId="0" borderId="2" xfId="4" applyNumberFormat="1" applyFont="1" applyFill="1" applyBorder="1" applyAlignment="1">
      <alignment horizontal="center" vertical="center" wrapText="1"/>
    </xf>
    <xf numFmtId="4" fontId="31" fillId="0" borderId="2" xfId="4" applyNumberFormat="1" applyFont="1" applyFill="1" applyBorder="1" applyAlignment="1">
      <alignment vertical="center" wrapText="1"/>
    </xf>
    <xf numFmtId="0" fontId="31" fillId="0" borderId="0" xfId="4" applyFont="1" applyFill="1" applyBorder="1" applyAlignment="1">
      <alignment vertical="center" wrapText="1"/>
    </xf>
    <xf numFmtId="0" fontId="31" fillId="0" borderId="0" xfId="4" applyFont="1" applyFill="1" applyAlignment="1">
      <alignment vertical="center" wrapText="1"/>
    </xf>
    <xf numFmtId="4" fontId="92" fillId="0" borderId="2" xfId="4" applyNumberFormat="1" applyFont="1" applyFill="1" applyBorder="1" applyAlignment="1">
      <alignment vertical="center"/>
    </xf>
    <xf numFmtId="0" fontId="31" fillId="0" borderId="2" xfId="4" applyFont="1" applyBorder="1" applyAlignment="1">
      <alignment horizontal="right" vertical="center" wrapText="1"/>
    </xf>
    <xf numFmtId="0" fontId="90" fillId="0" borderId="2" xfId="4" applyFont="1" applyFill="1" applyBorder="1" applyAlignment="1">
      <alignment horizontal="right" vertical="center" wrapText="1"/>
    </xf>
    <xf numFmtId="0" fontId="12" fillId="17" borderId="32" xfId="4" applyFont="1" applyFill="1" applyBorder="1" applyAlignment="1">
      <alignment horizontal="center" vertical="center"/>
    </xf>
    <xf numFmtId="0" fontId="12" fillId="17" borderId="44" xfId="4" applyFont="1" applyFill="1" applyBorder="1" applyAlignment="1">
      <alignment horizontal="right" vertical="center"/>
    </xf>
    <xf numFmtId="1" fontId="12" fillId="17" borderId="44" xfId="4" applyNumberFormat="1" applyFont="1" applyFill="1" applyBorder="1" applyAlignment="1">
      <alignment horizontal="center" vertical="center"/>
    </xf>
    <xf numFmtId="164" fontId="12" fillId="17" borderId="44" xfId="1" applyNumberFormat="1" applyFont="1" applyFill="1" applyBorder="1" applyAlignment="1">
      <alignment horizontal="center" vertical="center"/>
    </xf>
    <xf numFmtId="0" fontId="31" fillId="0" borderId="44" xfId="4" applyFont="1" applyFill="1" applyBorder="1" applyAlignment="1">
      <alignment horizontal="right" vertical="center" wrapText="1"/>
    </xf>
    <xf numFmtId="1" fontId="31" fillId="0" borderId="44" xfId="4" applyNumberFormat="1" applyFont="1" applyFill="1" applyBorder="1" applyAlignment="1">
      <alignment horizontal="center" vertical="center"/>
    </xf>
    <xf numFmtId="3" fontId="31" fillId="0" borderId="44" xfId="4" applyNumberFormat="1" applyFont="1" applyFill="1" applyBorder="1" applyAlignment="1">
      <alignment horizontal="right" vertical="center" wrapText="1"/>
    </xf>
    <xf numFmtId="4" fontId="31" fillId="0" borderId="44" xfId="4" applyNumberFormat="1" applyFont="1" applyFill="1" applyBorder="1" applyAlignment="1">
      <alignment vertical="center"/>
    </xf>
    <xf numFmtId="0" fontId="31" fillId="0" borderId="40" xfId="4" applyFont="1" applyFill="1" applyBorder="1" applyAlignment="1">
      <alignment vertical="center"/>
    </xf>
    <xf numFmtId="1" fontId="31" fillId="0" borderId="45" xfId="4" applyNumberFormat="1" applyFont="1" applyFill="1" applyBorder="1" applyAlignment="1">
      <alignment horizontal="center" vertical="center"/>
    </xf>
    <xf numFmtId="3" fontId="31" fillId="0" borderId="45" xfId="4" applyNumberFormat="1" applyFont="1" applyFill="1" applyBorder="1" applyAlignment="1">
      <alignment horizontal="right" vertical="center" wrapText="1"/>
    </xf>
    <xf numFmtId="4" fontId="31" fillId="0" borderId="45" xfId="4" applyNumberFormat="1" applyFont="1" applyFill="1" applyBorder="1" applyAlignment="1">
      <alignment vertical="center"/>
    </xf>
    <xf numFmtId="0" fontId="31" fillId="0" borderId="45" xfId="4" applyFont="1" applyFill="1" applyBorder="1" applyAlignment="1">
      <alignment horizontal="right" vertical="center" wrapText="1"/>
    </xf>
    <xf numFmtId="0" fontId="91" fillId="0" borderId="40" xfId="4" applyFont="1" applyFill="1" applyBorder="1" applyAlignment="1">
      <alignment vertical="center" wrapText="1"/>
    </xf>
    <xf numFmtId="0" fontId="12" fillId="0" borderId="0" xfId="4" applyFont="1" applyFill="1" applyBorder="1" applyAlignment="1">
      <alignment horizontal="center" vertical="center"/>
    </xf>
    <xf numFmtId="0" fontId="88" fillId="29" borderId="2" xfId="4" applyFont="1" applyFill="1" applyBorder="1" applyAlignment="1">
      <alignment horizontal="center" vertical="center"/>
    </xf>
    <xf numFmtId="0" fontId="88" fillId="29" borderId="49" xfId="4" applyFont="1" applyFill="1" applyBorder="1" applyAlignment="1">
      <alignment horizontal="center" vertical="center"/>
    </xf>
    <xf numFmtId="0" fontId="88" fillId="29" borderId="51" xfId="4" applyFont="1" applyFill="1" applyBorder="1" applyAlignment="1">
      <alignment horizontal="center" vertical="center"/>
    </xf>
    <xf numFmtId="3" fontId="88" fillId="29" borderId="2" xfId="4" applyNumberFormat="1" applyFont="1" applyFill="1" applyBorder="1" applyAlignment="1">
      <alignment horizontal="center" vertical="center"/>
    </xf>
    <xf numFmtId="4" fontId="88" fillId="29" borderId="2" xfId="4" applyNumberFormat="1" applyFont="1" applyFill="1" applyBorder="1" applyAlignment="1">
      <alignment horizontal="center" vertical="center"/>
    </xf>
    <xf numFmtId="0" fontId="88" fillId="0" borderId="0" xfId="4" applyFont="1" applyFill="1" applyBorder="1" applyAlignment="1">
      <alignment horizontal="center" vertical="center"/>
    </xf>
    <xf numFmtId="0" fontId="54" fillId="0" borderId="0" xfId="4" applyFont="1" applyFill="1" applyBorder="1" applyAlignment="1">
      <alignment horizontal="right" vertical="center"/>
    </xf>
    <xf numFmtId="165" fontId="12" fillId="0" borderId="0" xfId="7" applyNumberFormat="1" applyFont="1" applyFill="1" applyBorder="1" applyAlignment="1">
      <alignment horizontal="center" vertical="center"/>
    </xf>
    <xf numFmtId="164" fontId="31" fillId="0" borderId="0" xfId="1" applyNumberFormat="1" applyFont="1" applyFill="1" applyBorder="1" applyAlignment="1">
      <alignment vertical="center"/>
    </xf>
    <xf numFmtId="164" fontId="31" fillId="0" borderId="0" xfId="4" applyNumberFormat="1" applyFont="1" applyFill="1" applyBorder="1" applyAlignment="1">
      <alignment horizontal="right" vertical="center"/>
    </xf>
    <xf numFmtId="165" fontId="54" fillId="0" borderId="0" xfId="7" applyNumberFormat="1" applyFont="1" applyFill="1" applyBorder="1" applyAlignment="1">
      <alignment horizontal="right" vertical="center"/>
    </xf>
    <xf numFmtId="165" fontId="31" fillId="0" borderId="0" xfId="7" applyNumberFormat="1" applyFont="1" applyFill="1" applyBorder="1" applyAlignment="1">
      <alignment horizontal="right" vertical="center"/>
    </xf>
    <xf numFmtId="165" fontId="91" fillId="0" borderId="0" xfId="7" applyNumberFormat="1" applyFont="1" applyFill="1" applyBorder="1" applyAlignment="1">
      <alignment horizontal="right" vertical="center"/>
    </xf>
    <xf numFmtId="164" fontId="31" fillId="0" borderId="0" xfId="2" applyNumberFormat="1" applyFont="1" applyFill="1" applyBorder="1" applyAlignment="1">
      <alignment horizontal="right" vertical="center"/>
    </xf>
    <xf numFmtId="4" fontId="31" fillId="0" borderId="0" xfId="4" applyNumberFormat="1" applyFont="1" applyFill="1" applyBorder="1" applyAlignment="1">
      <alignment vertical="center"/>
    </xf>
    <xf numFmtId="0" fontId="91" fillId="0" borderId="0" xfId="7" applyNumberFormat="1" applyFont="1" applyFill="1" applyBorder="1" applyAlignment="1">
      <alignment horizontal="right" vertical="center"/>
    </xf>
    <xf numFmtId="0" fontId="12" fillId="0" borderId="13" xfId="4" applyFont="1" applyFill="1" applyBorder="1" applyAlignment="1">
      <alignment horizontal="center" vertical="center"/>
    </xf>
    <xf numFmtId="0" fontId="12" fillId="0" borderId="1" xfId="4" applyFont="1" applyFill="1" applyBorder="1" applyAlignment="1">
      <alignment horizontal="center" vertical="center"/>
    </xf>
    <xf numFmtId="0" fontId="31" fillId="0" borderId="0" xfId="4" applyFont="1" applyFill="1" applyBorder="1" applyAlignment="1">
      <alignment horizontal="right" vertical="center"/>
    </xf>
    <xf numFmtId="166" fontId="91" fillId="0" borderId="0" xfId="2" applyNumberFormat="1" applyFont="1" applyFill="1" applyBorder="1" applyAlignment="1">
      <alignment vertical="center"/>
    </xf>
    <xf numFmtId="0" fontId="12" fillId="17" borderId="2" xfId="4" applyFont="1" applyFill="1" applyBorder="1" applyAlignment="1">
      <alignment horizontal="center" vertical="center" wrapText="1"/>
    </xf>
    <xf numFmtId="3" fontId="12" fillId="17" borderId="2" xfId="4" applyNumberFormat="1" applyFont="1" applyFill="1" applyBorder="1" applyAlignment="1">
      <alignment horizontal="center" vertical="center" wrapText="1"/>
    </xf>
    <xf numFmtId="4" fontId="12" fillId="17" borderId="49" xfId="4" applyNumberFormat="1" applyFont="1" applyFill="1" applyBorder="1" applyAlignment="1">
      <alignment horizontal="center" vertical="center" wrapText="1"/>
    </xf>
    <xf numFmtId="4" fontId="12" fillId="0" borderId="0" xfId="4" applyNumberFormat="1" applyFont="1" applyFill="1" applyBorder="1" applyAlignment="1">
      <alignment horizontal="center" vertical="center" wrapText="1"/>
    </xf>
    <xf numFmtId="0" fontId="12" fillId="0" borderId="0" xfId="4" applyFont="1" applyFill="1" applyBorder="1" applyAlignment="1">
      <alignment horizontal="center" vertical="center" wrapText="1"/>
    </xf>
    <xf numFmtId="0" fontId="93" fillId="0" borderId="0" xfId="4" applyFont="1" applyFill="1" applyBorder="1" applyAlignment="1">
      <alignment horizontal="center" vertical="center" wrapText="1"/>
    </xf>
    <xf numFmtId="0" fontId="88" fillId="0" borderId="0" xfId="4" applyFont="1" applyFill="1" applyBorder="1" applyAlignment="1">
      <alignment horizontal="center" vertical="center" wrapText="1"/>
    </xf>
    <xf numFmtId="3" fontId="12" fillId="0" borderId="0" xfId="4" applyNumberFormat="1" applyFont="1" applyFill="1" applyBorder="1" applyAlignment="1">
      <alignment horizontal="center" vertical="center" wrapText="1"/>
    </xf>
    <xf numFmtId="164" fontId="31" fillId="0" borderId="2" xfId="2" applyNumberFormat="1" applyFont="1" applyFill="1" applyBorder="1" applyAlignment="1">
      <alignment horizontal="center" vertical="center" wrapText="1"/>
    </xf>
    <xf numFmtId="4" fontId="31" fillId="0" borderId="49" xfId="4" applyNumberFormat="1" applyFont="1" applyFill="1" applyBorder="1" applyAlignment="1">
      <alignment horizontal="center" vertical="center"/>
    </xf>
    <xf numFmtId="4" fontId="31" fillId="0" borderId="0" xfId="4" applyNumberFormat="1" applyFont="1" applyFill="1" applyBorder="1" applyAlignment="1">
      <alignment horizontal="center" vertical="center"/>
    </xf>
    <xf numFmtId="164" fontId="31" fillId="0" borderId="0" xfId="2" applyNumberFormat="1" applyFont="1" applyFill="1" applyBorder="1" applyAlignment="1">
      <alignment vertical="center"/>
    </xf>
    <xf numFmtId="164" fontId="31" fillId="0" borderId="0" xfId="4" applyNumberFormat="1" applyFont="1" applyFill="1" applyBorder="1" applyAlignment="1">
      <alignment vertical="center"/>
    </xf>
    <xf numFmtId="1" fontId="31" fillId="0" borderId="0" xfId="4" applyNumberFormat="1" applyFont="1" applyFill="1" applyBorder="1" applyAlignment="1">
      <alignment vertical="center"/>
    </xf>
    <xf numFmtId="185" fontId="31" fillId="0" borderId="0" xfId="2" applyNumberFormat="1" applyFont="1" applyFill="1" applyBorder="1" applyAlignment="1">
      <alignment vertical="center"/>
    </xf>
    <xf numFmtId="0" fontId="12" fillId="0" borderId="2" xfId="4" applyFont="1" applyFill="1" applyBorder="1" applyAlignment="1">
      <alignment horizontal="right" vertical="center" wrapText="1"/>
    </xf>
    <xf numFmtId="164" fontId="31" fillId="0" borderId="2" xfId="2" applyNumberFormat="1" applyFont="1" applyFill="1" applyBorder="1" applyAlignment="1">
      <alignment vertical="center" wrapText="1"/>
    </xf>
    <xf numFmtId="1" fontId="88" fillId="17" borderId="2" xfId="4" applyNumberFormat="1" applyFont="1" applyFill="1" applyBorder="1" applyAlignment="1">
      <alignment horizontal="center" vertical="center" wrapText="1"/>
    </xf>
    <xf numFmtId="164" fontId="88" fillId="17" borderId="2" xfId="2" applyNumberFormat="1" applyFont="1" applyFill="1" applyBorder="1" applyAlignment="1">
      <alignment horizontal="center" vertical="center" wrapText="1"/>
    </xf>
    <xf numFmtId="164" fontId="88" fillId="17" borderId="49" xfId="2" applyNumberFormat="1" applyFont="1" applyFill="1" applyBorder="1" applyAlignment="1">
      <alignment horizontal="center" vertical="center" wrapText="1"/>
    </xf>
    <xf numFmtId="164" fontId="88" fillId="0" borderId="0" xfId="2" applyNumberFormat="1" applyFont="1" applyFill="1" applyBorder="1" applyAlignment="1">
      <alignment horizontal="center" vertical="center" wrapText="1"/>
    </xf>
    <xf numFmtId="0" fontId="91" fillId="0" borderId="0" xfId="4" applyFont="1" applyFill="1" applyBorder="1" applyAlignment="1">
      <alignment horizontal="center" vertical="center"/>
    </xf>
    <xf numFmtId="164" fontId="88" fillId="0" borderId="0" xfId="2" applyNumberFormat="1" applyFont="1" applyFill="1" applyBorder="1" applyAlignment="1">
      <alignment horizontal="center" vertical="center"/>
    </xf>
    <xf numFmtId="164" fontId="88" fillId="0" borderId="0" xfId="4" applyNumberFormat="1" applyFont="1" applyFill="1" applyBorder="1" applyAlignment="1">
      <alignment horizontal="center" vertical="center"/>
    </xf>
    <xf numFmtId="0" fontId="91" fillId="0" borderId="0" xfId="4" applyFont="1" applyFill="1" applyAlignment="1">
      <alignment horizontal="center" vertical="center"/>
    </xf>
    <xf numFmtId="3" fontId="31" fillId="0" borderId="0" xfId="4" applyNumberFormat="1" applyFont="1" applyFill="1" applyAlignment="1">
      <alignment vertical="center"/>
    </xf>
    <xf numFmtId="0" fontId="67" fillId="0" borderId="2" xfId="0" applyFont="1" applyBorder="1" applyAlignment="1">
      <alignment wrapText="1"/>
    </xf>
    <xf numFmtId="0" fontId="67" fillId="0" borderId="2" xfId="0" applyFont="1" applyBorder="1"/>
    <xf numFmtId="0" fontId="86" fillId="0" borderId="2" xfId="0" applyFont="1" applyBorder="1"/>
    <xf numFmtId="1" fontId="0" fillId="0" borderId="2" xfId="0" applyNumberFormat="1" applyBorder="1"/>
    <xf numFmtId="49" fontId="0" fillId="0" borderId="2" xfId="0" applyNumberFormat="1" applyBorder="1"/>
    <xf numFmtId="1" fontId="67" fillId="0" borderId="2" xfId="0" applyNumberFormat="1" applyFont="1" applyBorder="1"/>
    <xf numFmtId="0" fontId="94" fillId="0" borderId="0" xfId="0" applyFont="1" applyBorder="1" applyAlignment="1">
      <alignment horizontal="right" vertical="center" readingOrder="2"/>
    </xf>
    <xf numFmtId="0" fontId="95" fillId="0" borderId="0" xfId="0" applyFont="1" applyBorder="1" applyAlignment="1">
      <alignment horizontal="center" vertical="center" readingOrder="1"/>
    </xf>
    <xf numFmtId="0" fontId="95" fillId="0" borderId="0" xfId="0" applyFont="1" applyBorder="1" applyAlignment="1">
      <alignment horizontal="center" vertical="center" wrapText="1" readingOrder="2"/>
    </xf>
    <xf numFmtId="0" fontId="96" fillId="0" borderId="0" xfId="0" applyFont="1" applyAlignment="1">
      <alignment horizontal="justify" vertical="center" readingOrder="2"/>
    </xf>
    <xf numFmtId="0" fontId="97" fillId="0" borderId="0" xfId="0" applyFont="1" applyAlignment="1">
      <alignment horizontal="justify" vertical="center" readingOrder="2"/>
    </xf>
    <xf numFmtId="0" fontId="98" fillId="0" borderId="40" xfId="0" applyFont="1" applyFill="1" applyBorder="1" applyAlignment="1">
      <alignment horizontal="right" vertical="center" wrapText="1" readingOrder="2"/>
    </xf>
    <xf numFmtId="0" fontId="98" fillId="0" borderId="40" xfId="0" applyFont="1" applyFill="1" applyBorder="1" applyAlignment="1">
      <alignment horizontal="center" vertical="center" wrapText="1" readingOrder="2"/>
    </xf>
    <xf numFmtId="0" fontId="98" fillId="0" borderId="0" xfId="0" applyFont="1" applyFill="1" applyBorder="1" applyAlignment="1">
      <alignment horizontal="right" vertical="center" wrapText="1" readingOrder="2"/>
    </xf>
    <xf numFmtId="0" fontId="98" fillId="0" borderId="0" xfId="0" applyFont="1" applyFill="1" applyBorder="1" applyAlignment="1">
      <alignment horizontal="center" vertical="center" wrapText="1" readingOrder="2"/>
    </xf>
    <xf numFmtId="0" fontId="4" fillId="0" borderId="0" xfId="0" applyFont="1"/>
    <xf numFmtId="0" fontId="98" fillId="0" borderId="0" xfId="0" applyFont="1" applyAlignment="1">
      <alignment horizontal="justify" vertical="center" readingOrder="2"/>
    </xf>
    <xf numFmtId="0" fontId="0" fillId="10" borderId="2" xfId="0" applyFill="1" applyBorder="1" applyAlignment="1">
      <alignment horizontal="center"/>
    </xf>
    <xf numFmtId="0" fontId="99" fillId="10" borderId="2" xfId="0" applyFont="1" applyFill="1" applyBorder="1" applyAlignment="1">
      <alignment horizontal="center" wrapText="1"/>
    </xf>
    <xf numFmtId="164" fontId="99" fillId="10" borderId="2" xfId="1" applyNumberFormat="1" applyFont="1" applyFill="1" applyBorder="1" applyAlignment="1">
      <alignment horizontal="center" wrapText="1"/>
    </xf>
    <xf numFmtId="0" fontId="99" fillId="10" borderId="40" xfId="0" applyFont="1" applyFill="1" applyBorder="1" applyAlignment="1">
      <alignment horizontal="center" wrapText="1"/>
    </xf>
    <xf numFmtId="0" fontId="99" fillId="0" borderId="40" xfId="0" applyFont="1" applyFill="1" applyBorder="1" applyAlignment="1">
      <alignment horizontal="center" wrapText="1"/>
    </xf>
    <xf numFmtId="0" fontId="100" fillId="10" borderId="2" xfId="0" applyFont="1" applyFill="1" applyBorder="1"/>
    <xf numFmtId="0" fontId="101" fillId="0" borderId="2" xfId="0" applyFont="1" applyFill="1" applyBorder="1"/>
    <xf numFmtId="0" fontId="0" fillId="30" borderId="2" xfId="0" applyFill="1" applyBorder="1"/>
    <xf numFmtId="9" fontId="0" fillId="30" borderId="2" xfId="0" applyNumberFormat="1" applyFill="1" applyBorder="1"/>
    <xf numFmtId="9" fontId="0" fillId="31" borderId="2" xfId="0" applyNumberFormat="1" applyFill="1" applyBorder="1"/>
    <xf numFmtId="1" fontId="0" fillId="10" borderId="2" xfId="0" applyNumberFormat="1" applyFill="1" applyBorder="1"/>
    <xf numFmtId="164" fontId="0" fillId="10" borderId="2" xfId="0" applyNumberFormat="1" applyFill="1" applyBorder="1"/>
    <xf numFmtId="43" fontId="0" fillId="10" borderId="2" xfId="0" applyNumberFormat="1" applyFill="1" applyBorder="1"/>
    <xf numFmtId="9" fontId="0" fillId="10" borderId="2" xfId="0" applyNumberFormat="1" applyFill="1" applyBorder="1"/>
    <xf numFmtId="0" fontId="99" fillId="0" borderId="2" xfId="0" applyFont="1" applyFill="1" applyBorder="1" applyAlignment="1">
      <alignment horizontal="center" wrapText="1"/>
    </xf>
    <xf numFmtId="0" fontId="55" fillId="0" borderId="0" xfId="0" applyFont="1" applyAlignment="1">
      <alignment horizontal="justify" readingOrder="2"/>
    </xf>
    <xf numFmtId="0" fontId="56" fillId="17" borderId="0" xfId="0" applyFont="1" applyFill="1" applyAlignment="1">
      <alignment horizontal="right" readingOrder="2"/>
    </xf>
    <xf numFmtId="0" fontId="0" fillId="17" borderId="0" xfId="0" applyFill="1"/>
    <xf numFmtId="166" fontId="0" fillId="0" borderId="2" xfId="0" applyNumberFormat="1" applyBorder="1"/>
    <xf numFmtId="0" fontId="57" fillId="17" borderId="0" xfId="0" applyFont="1" applyFill="1" applyAlignment="1">
      <alignment horizontal="right" readingOrder="2"/>
    </xf>
    <xf numFmtId="169" fontId="0" fillId="0" borderId="2" xfId="0" applyNumberFormat="1" applyBorder="1"/>
    <xf numFmtId="0" fontId="0" fillId="32" borderId="2" xfId="0" applyFill="1" applyBorder="1"/>
    <xf numFmtId="9" fontId="0" fillId="32" borderId="2" xfId="0" applyNumberFormat="1" applyFill="1" applyBorder="1"/>
    <xf numFmtId="1" fontId="0" fillId="32" borderId="2" xfId="0" applyNumberFormat="1" applyFill="1" applyBorder="1"/>
    <xf numFmtId="9" fontId="0" fillId="0" borderId="44" xfId="0" applyNumberFormat="1" applyBorder="1"/>
    <xf numFmtId="0" fontId="0" fillId="0" borderId="44" xfId="0" applyBorder="1"/>
    <xf numFmtId="1" fontId="0" fillId="0" borderId="44" xfId="0" applyNumberFormat="1" applyBorder="1"/>
    <xf numFmtId="164" fontId="0" fillId="0" borderId="44" xfId="1" applyNumberFormat="1" applyFont="1" applyBorder="1"/>
    <xf numFmtId="164" fontId="0" fillId="0" borderId="44" xfId="0" applyNumberFormat="1" applyBorder="1"/>
    <xf numFmtId="0" fontId="0" fillId="12" borderId="2" xfId="0" applyFill="1" applyBorder="1"/>
    <xf numFmtId="164" fontId="58" fillId="14" borderId="2" xfId="1" applyNumberFormat="1" applyFont="1" applyFill="1" applyBorder="1"/>
    <xf numFmtId="10" fontId="0" fillId="0" borderId="0" xfId="0" applyNumberFormat="1" applyFill="1"/>
    <xf numFmtId="184" fontId="7" fillId="14" borderId="0" xfId="6" applyNumberFormat="1" applyFont="1" applyFill="1"/>
    <xf numFmtId="0" fontId="83" fillId="10" borderId="48" xfId="0" applyFont="1" applyFill="1" applyBorder="1"/>
    <xf numFmtId="166" fontId="83" fillId="10" borderId="2" xfId="1" applyNumberFormat="1" applyFont="1" applyFill="1" applyBorder="1"/>
    <xf numFmtId="166" fontId="83" fillId="10" borderId="48" xfId="1" applyNumberFormat="1" applyFont="1" applyFill="1" applyBorder="1"/>
    <xf numFmtId="164" fontId="83" fillId="10" borderId="48" xfId="1" applyNumberFormat="1" applyFont="1" applyFill="1" applyBorder="1"/>
    <xf numFmtId="10" fontId="83" fillId="10" borderId="48" xfId="6" applyNumberFormat="1" applyFont="1" applyFill="1" applyBorder="1"/>
    <xf numFmtId="43" fontId="83" fillId="10" borderId="48" xfId="0" applyNumberFormat="1" applyFont="1" applyFill="1" applyBorder="1"/>
    <xf numFmtId="167" fontId="83" fillId="10" borderId="48" xfId="0" applyNumberFormat="1" applyFont="1" applyFill="1" applyBorder="1"/>
    <xf numFmtId="43" fontId="83" fillId="10" borderId="48" xfId="1" applyNumberFormat="1" applyFont="1" applyFill="1" applyBorder="1"/>
    <xf numFmtId="166" fontId="83" fillId="10" borderId="48" xfId="0" applyNumberFormat="1" applyFont="1" applyFill="1" applyBorder="1"/>
    <xf numFmtId="2" fontId="83" fillId="10" borderId="48" xfId="0" applyNumberFormat="1" applyFont="1" applyFill="1" applyBorder="1"/>
    <xf numFmtId="0" fontId="83" fillId="10" borderId="43" xfId="0" applyFont="1" applyFill="1" applyBorder="1"/>
    <xf numFmtId="0" fontId="83" fillId="10" borderId="0" xfId="0" applyFont="1" applyFill="1"/>
    <xf numFmtId="43" fontId="0" fillId="10" borderId="0" xfId="0" applyNumberFormat="1" applyFill="1"/>
    <xf numFmtId="164" fontId="59" fillId="10" borderId="0" xfId="1" applyNumberFormat="1" applyFont="1" applyFill="1"/>
    <xf numFmtId="167" fontId="0" fillId="10" borderId="0" xfId="0" applyNumberFormat="1" applyFill="1"/>
    <xf numFmtId="0" fontId="83" fillId="33" borderId="48" xfId="0" applyFont="1" applyFill="1" applyBorder="1"/>
    <xf numFmtId="166" fontId="83" fillId="33" borderId="48" xfId="1" applyNumberFormat="1" applyFont="1" applyFill="1" applyBorder="1"/>
    <xf numFmtId="164" fontId="83" fillId="33" borderId="48" xfId="1" applyNumberFormat="1" applyFont="1" applyFill="1" applyBorder="1"/>
    <xf numFmtId="10" fontId="83" fillId="33" borderId="48" xfId="6" applyNumberFormat="1" applyFont="1" applyFill="1" applyBorder="1"/>
    <xf numFmtId="43" fontId="83" fillId="33" borderId="48" xfId="0" applyNumberFormat="1" applyFont="1" applyFill="1" applyBorder="1"/>
    <xf numFmtId="167" fontId="83" fillId="33" borderId="48" xfId="0" applyNumberFormat="1" applyFont="1" applyFill="1" applyBorder="1"/>
    <xf numFmtId="43" fontId="83" fillId="33" borderId="48" xfId="1" applyNumberFormat="1" applyFont="1" applyFill="1" applyBorder="1"/>
    <xf numFmtId="166" fontId="83" fillId="33" borderId="48" xfId="0" applyNumberFormat="1" applyFont="1" applyFill="1" applyBorder="1"/>
    <xf numFmtId="2" fontId="83" fillId="33" borderId="48" xfId="0" applyNumberFormat="1" applyFont="1" applyFill="1" applyBorder="1"/>
    <xf numFmtId="0" fontId="83" fillId="33" borderId="43" xfId="0" applyFont="1" applyFill="1" applyBorder="1"/>
    <xf numFmtId="0" fontId="83" fillId="33" borderId="0" xfId="0" applyFont="1" applyFill="1"/>
    <xf numFmtId="43" fontId="83" fillId="33" borderId="0" xfId="0" applyNumberFormat="1" applyFont="1" applyFill="1" applyBorder="1"/>
    <xf numFmtId="3" fontId="67" fillId="0" borderId="0" xfId="0" applyNumberFormat="1" applyFont="1" applyFill="1"/>
    <xf numFmtId="1" fontId="67" fillId="0" borderId="0" xfId="0" applyNumberFormat="1" applyFont="1" applyFill="1"/>
    <xf numFmtId="164" fontId="16" fillId="0" borderId="0" xfId="1" applyNumberFormat="1" applyFont="1" applyFill="1"/>
    <xf numFmtId="164" fontId="7" fillId="0" borderId="0" xfId="1" applyNumberFormat="1" applyFont="1" applyFill="1" applyBorder="1"/>
    <xf numFmtId="164" fontId="0" fillId="0" borderId="0" xfId="1" applyNumberFormat="1" applyFont="1" applyFill="1" applyBorder="1"/>
    <xf numFmtId="9" fontId="0" fillId="0" borderId="2" xfId="6" applyFont="1" applyFill="1" applyBorder="1"/>
    <xf numFmtId="10" fontId="0" fillId="0" borderId="2" xfId="6" applyNumberFormat="1" applyFont="1" applyFill="1" applyBorder="1"/>
    <xf numFmtId="171" fontId="0" fillId="0" borderId="0" xfId="6" applyNumberFormat="1" applyFont="1" applyFill="1"/>
    <xf numFmtId="171" fontId="0" fillId="0" borderId="0" xfId="0" applyNumberFormat="1" applyFill="1"/>
    <xf numFmtId="166" fontId="7" fillId="0" borderId="0" xfId="6" applyNumberFormat="1" applyFont="1" applyFill="1"/>
    <xf numFmtId="170" fontId="7" fillId="0" borderId="0" xfId="1" applyNumberFormat="1" applyFont="1" applyFill="1"/>
    <xf numFmtId="3" fontId="7" fillId="0" borderId="0" xfId="0" applyNumberFormat="1" applyFont="1"/>
    <xf numFmtId="0" fontId="60" fillId="0" borderId="0" xfId="0" applyFont="1" applyFill="1"/>
    <xf numFmtId="165" fontId="0" fillId="0" borderId="0" xfId="0" applyNumberFormat="1" applyFill="1"/>
    <xf numFmtId="0" fontId="9" fillId="11" borderId="2" xfId="0" applyFont="1" applyFill="1" applyBorder="1" applyAlignment="1">
      <alignment horizontal="right"/>
    </xf>
    <xf numFmtId="0" fontId="0" fillId="11" borderId="2" xfId="0" applyFill="1" applyBorder="1"/>
    <xf numFmtId="0" fontId="0" fillId="11" borderId="0" xfId="0" applyFill="1"/>
    <xf numFmtId="164" fontId="61" fillId="0" borderId="2" xfId="1" applyNumberFormat="1" applyFont="1" applyFill="1" applyBorder="1"/>
    <xf numFmtId="164" fontId="61" fillId="0" borderId="2" xfId="0" applyNumberFormat="1" applyFont="1" applyBorder="1"/>
    <xf numFmtId="0" fontId="0" fillId="0" borderId="0" xfId="0" applyNumberFormat="1" applyFill="1"/>
    <xf numFmtId="186" fontId="0" fillId="0" borderId="0" xfId="0" applyNumberFormat="1"/>
    <xf numFmtId="4" fontId="0" fillId="0" borderId="2" xfId="0" applyNumberFormat="1" applyBorder="1"/>
    <xf numFmtId="43" fontId="0" fillId="0" borderId="2" xfId="1" applyFont="1" applyBorder="1" applyAlignment="1">
      <alignment horizontal="right" wrapText="1"/>
    </xf>
    <xf numFmtId="4" fontId="0" fillId="0" borderId="2" xfId="0" applyNumberFormat="1" applyBorder="1" applyAlignment="1">
      <alignment horizontal="right" wrapText="1"/>
    </xf>
    <xf numFmtId="164" fontId="85" fillId="16" borderId="48" xfId="1" applyNumberFormat="1" applyFont="1" applyFill="1" applyBorder="1" applyAlignment="1">
      <alignment horizontal="center" vertical="center" wrapText="1"/>
    </xf>
    <xf numFmtId="10" fontId="7" fillId="0" borderId="0" xfId="6" applyNumberFormat="1" applyFont="1"/>
    <xf numFmtId="167" fontId="0" fillId="14" borderId="0" xfId="0" applyNumberFormat="1" applyFill="1"/>
    <xf numFmtId="187" fontId="0" fillId="0" borderId="0" xfId="0" applyNumberFormat="1"/>
    <xf numFmtId="0" fontId="4" fillId="34" borderId="2" xfId="0" applyFont="1" applyFill="1" applyBorder="1"/>
    <xf numFmtId="0" fontId="4" fillId="34" borderId="0" xfId="0" applyFont="1" applyFill="1"/>
    <xf numFmtId="0" fontId="0" fillId="34" borderId="0" xfId="0" applyFill="1"/>
    <xf numFmtId="166" fontId="9" fillId="34" borderId="0" xfId="1" applyNumberFormat="1" applyFont="1" applyFill="1"/>
    <xf numFmtId="164" fontId="9" fillId="0" borderId="0" xfId="1" applyNumberFormat="1" applyFont="1"/>
    <xf numFmtId="164" fontId="0" fillId="34" borderId="0" xfId="0" applyNumberFormat="1" applyFill="1"/>
    <xf numFmtId="0" fontId="0" fillId="0" borderId="0" xfId="0" applyNumberFormat="1" applyFill="1" applyBorder="1"/>
    <xf numFmtId="0" fontId="64" fillId="34" borderId="0" xfId="0" applyFont="1" applyFill="1" applyAlignment="1">
      <alignment horizontal="center" wrapText="1"/>
    </xf>
    <xf numFmtId="164" fontId="64" fillId="0" borderId="0" xfId="1" applyNumberFormat="1" applyFont="1" applyAlignment="1">
      <alignment horizontal="center" wrapText="1"/>
    </xf>
    <xf numFmtId="9" fontId="7" fillId="18" borderId="0" xfId="0" applyNumberFormat="1" applyFont="1" applyFill="1" applyBorder="1"/>
    <xf numFmtId="9" fontId="7" fillId="18" borderId="0" xfId="6" applyNumberFormat="1" applyFont="1" applyFill="1" applyBorder="1"/>
    <xf numFmtId="164" fontId="7" fillId="11" borderId="0" xfId="1" applyNumberFormat="1" applyFont="1" applyFill="1"/>
    <xf numFmtId="164" fontId="7" fillId="12" borderId="0" xfId="1" applyNumberFormat="1" applyFont="1" applyFill="1"/>
    <xf numFmtId="164" fontId="7" fillId="9" borderId="0" xfId="1" applyNumberFormat="1" applyFont="1" applyFill="1"/>
    <xf numFmtId="9" fontId="0" fillId="3" borderId="0" xfId="6" applyFont="1" applyFill="1"/>
    <xf numFmtId="0" fontId="102" fillId="0" borderId="0" xfId="3" applyFont="1" applyAlignment="1">
      <alignment horizontal="center"/>
    </xf>
    <xf numFmtId="0" fontId="35" fillId="0" borderId="0" xfId="3" applyFont="1" applyAlignment="1">
      <alignment horizontal="center" vertical="center" wrapText="1"/>
    </xf>
    <xf numFmtId="0" fontId="18" fillId="0" borderId="0" xfId="3" applyFont="1" applyAlignment="1">
      <alignment horizontal="center" vertical="justify"/>
    </xf>
    <xf numFmtId="0" fontId="18" fillId="0" borderId="0" xfId="3" applyFont="1"/>
    <xf numFmtId="3" fontId="18" fillId="0" borderId="0" xfId="3" applyNumberFormat="1" applyFont="1"/>
    <xf numFmtId="169" fontId="18" fillId="0" borderId="0" xfId="3" applyNumberFormat="1" applyFont="1" applyAlignment="1">
      <alignment horizontal="center"/>
    </xf>
    <xf numFmtId="169" fontId="23" fillId="0" borderId="0" xfId="3" applyNumberFormat="1" applyFont="1" applyBorder="1" applyAlignment="1">
      <alignment horizontal="center"/>
    </xf>
    <xf numFmtId="0" fontId="63" fillId="0" borderId="0" xfId="3" applyFont="1" applyAlignment="1">
      <alignment horizontal="center" vertical="justify"/>
    </xf>
    <xf numFmtId="0" fontId="18" fillId="4" borderId="0" xfId="3" applyFont="1" applyFill="1"/>
    <xf numFmtId="0" fontId="23" fillId="0" borderId="0" xfId="3" applyFont="1" applyAlignment="1">
      <alignment horizontal="center" vertical="justify"/>
    </xf>
    <xf numFmtId="0" fontId="102" fillId="0" borderId="0" xfId="3" applyFont="1" applyBorder="1" applyAlignment="1">
      <alignment horizontal="center"/>
    </xf>
    <xf numFmtId="0" fontId="21" fillId="6" borderId="13" xfId="3" applyFont="1" applyFill="1" applyBorder="1" applyAlignment="1">
      <alignment horizontal="center" vertical="center" wrapText="1"/>
    </xf>
    <xf numFmtId="0" fontId="21" fillId="6" borderId="1" xfId="3" applyFont="1" applyFill="1" applyBorder="1" applyAlignment="1">
      <alignment horizontal="center" vertical="justify"/>
    </xf>
    <xf numFmtId="0" fontId="21" fillId="6" borderId="1" xfId="3" applyFont="1" applyFill="1" applyBorder="1"/>
    <xf numFmtId="3" fontId="21" fillId="6" borderId="1" xfId="3" applyNumberFormat="1" applyFont="1" applyFill="1" applyBorder="1"/>
    <xf numFmtId="169" fontId="21" fillId="6" borderId="1" xfId="3" applyNumberFormat="1" applyFont="1" applyFill="1" applyBorder="1" applyAlignment="1">
      <alignment horizontal="center"/>
    </xf>
    <xf numFmtId="169" fontId="21" fillId="6" borderId="15" xfId="3" applyNumberFormat="1" applyFont="1" applyFill="1" applyBorder="1" applyAlignment="1">
      <alignment horizontal="center"/>
    </xf>
    <xf numFmtId="0" fontId="21" fillId="6" borderId="13" xfId="3" applyFont="1" applyFill="1" applyBorder="1" applyAlignment="1">
      <alignment horizontal="center"/>
    </xf>
    <xf numFmtId="0" fontId="18" fillId="0" borderId="0" xfId="3" applyFont="1" applyBorder="1"/>
    <xf numFmtId="0" fontId="21" fillId="6" borderId="5" xfId="3" applyFont="1" applyFill="1" applyBorder="1" applyAlignment="1">
      <alignment horizontal="center" vertical="center" wrapText="1"/>
    </xf>
    <xf numFmtId="0" fontId="21" fillId="6" borderId="0" xfId="3" applyFont="1" applyFill="1" applyBorder="1" applyAlignment="1">
      <alignment horizontal="center" vertical="justify"/>
    </xf>
    <xf numFmtId="0" fontId="21" fillId="6" borderId="0" xfId="3" applyFont="1" applyFill="1" applyBorder="1"/>
    <xf numFmtId="1" fontId="21" fillId="6" borderId="0" xfId="3" applyNumberFormat="1" applyFont="1" applyFill="1" applyBorder="1"/>
    <xf numFmtId="169" fontId="21" fillId="6" borderId="0" xfId="3" applyNumberFormat="1" applyFont="1" applyFill="1" applyBorder="1" applyAlignment="1">
      <alignment horizontal="center"/>
    </xf>
    <xf numFmtId="169" fontId="21" fillId="6" borderId="6" xfId="3" applyNumberFormat="1" applyFont="1" applyFill="1" applyBorder="1" applyAlignment="1">
      <alignment horizontal="center"/>
    </xf>
    <xf numFmtId="0" fontId="21" fillId="6" borderId="3" xfId="3" applyFont="1" applyFill="1" applyBorder="1" applyAlignment="1">
      <alignment horizontal="center"/>
    </xf>
    <xf numFmtId="3" fontId="21" fillId="6" borderId="0" xfId="3" applyNumberFormat="1" applyFont="1" applyFill="1" applyBorder="1"/>
    <xf numFmtId="3" fontId="21" fillId="6" borderId="47" xfId="3" applyNumberFormat="1" applyFont="1" applyFill="1" applyBorder="1" applyAlignment="1">
      <alignment horizontal="center"/>
    </xf>
    <xf numFmtId="0" fontId="20" fillId="0" borderId="13" xfId="3" applyFont="1" applyBorder="1" applyAlignment="1">
      <alignment horizontal="center" vertical="center" wrapText="1"/>
    </xf>
    <xf numFmtId="0" fontId="20" fillId="0" borderId="1" xfId="3" applyFont="1" applyBorder="1" applyAlignment="1">
      <alignment horizontal="right" wrapText="1"/>
    </xf>
    <xf numFmtId="0" fontId="19" fillId="0" borderId="1" xfId="3" applyFont="1" applyBorder="1"/>
    <xf numFmtId="3" fontId="19" fillId="0" borderId="1" xfId="3" applyNumberFormat="1" applyFont="1" applyBorder="1"/>
    <xf numFmtId="3" fontId="19" fillId="0" borderId="1" xfId="3" applyNumberFormat="1" applyFont="1" applyFill="1" applyBorder="1"/>
    <xf numFmtId="169" fontId="19" fillId="0" borderId="1" xfId="3" applyNumberFormat="1" applyFont="1" applyFill="1" applyBorder="1" applyAlignment="1">
      <alignment horizontal="center"/>
    </xf>
    <xf numFmtId="169" fontId="19" fillId="0" borderId="15" xfId="3" applyNumberFormat="1" applyFont="1" applyFill="1" applyBorder="1" applyAlignment="1">
      <alignment horizontal="center"/>
    </xf>
    <xf numFmtId="3" fontId="19" fillId="4" borderId="23" xfId="3" applyNumberFormat="1" applyFont="1" applyFill="1" applyBorder="1"/>
    <xf numFmtId="3" fontId="19" fillId="4" borderId="22" xfId="3" applyNumberFormat="1" applyFont="1" applyFill="1" applyBorder="1"/>
    <xf numFmtId="0" fontId="20" fillId="0" borderId="5" xfId="3" applyFont="1" applyBorder="1" applyAlignment="1">
      <alignment horizontal="center" vertical="center" wrapText="1"/>
    </xf>
    <xf numFmtId="0" fontId="20" fillId="0" borderId="0" xfId="3" applyFont="1" applyBorder="1" applyAlignment="1">
      <alignment horizontal="right" wrapText="1"/>
    </xf>
    <xf numFmtId="0" fontId="19" fillId="0" borderId="0" xfId="3" applyFont="1" applyBorder="1"/>
    <xf numFmtId="3" fontId="19" fillId="0" borderId="0" xfId="3" applyNumberFormat="1" applyFont="1" applyFill="1" applyBorder="1"/>
    <xf numFmtId="169" fontId="19" fillId="0" borderId="0" xfId="3" applyNumberFormat="1" applyFont="1" applyFill="1" applyBorder="1" applyAlignment="1">
      <alignment horizontal="center"/>
    </xf>
    <xf numFmtId="169" fontId="19" fillId="0" borderId="6" xfId="3" applyNumberFormat="1" applyFont="1" applyFill="1" applyBorder="1" applyAlignment="1">
      <alignment horizontal="center"/>
    </xf>
    <xf numFmtId="3" fontId="19" fillId="0" borderId="26" xfId="3" applyNumberFormat="1" applyFont="1" applyBorder="1"/>
    <xf numFmtId="3" fontId="19" fillId="0" borderId="25" xfId="3" applyNumberFormat="1" applyFont="1" applyBorder="1"/>
    <xf numFmtId="3" fontId="19" fillId="0" borderId="0" xfId="3" applyNumberFormat="1" applyFont="1" applyBorder="1"/>
    <xf numFmtId="169" fontId="19" fillId="0" borderId="0" xfId="3" applyNumberFormat="1" applyFont="1" applyBorder="1" applyAlignment="1">
      <alignment horizontal="center"/>
    </xf>
    <xf numFmtId="0" fontId="35" fillId="0" borderId="0" xfId="3" applyFont="1"/>
    <xf numFmtId="0" fontId="20" fillId="0" borderId="3" xfId="3" applyFont="1" applyBorder="1" applyAlignment="1">
      <alignment horizontal="center" vertical="center" wrapText="1"/>
    </xf>
    <xf numFmtId="164" fontId="73" fillId="23" borderId="2" xfId="1" applyNumberFormat="1" applyFont="1" applyFill="1" applyBorder="1"/>
    <xf numFmtId="0" fontId="19" fillId="0" borderId="7" xfId="3" applyFont="1" applyBorder="1"/>
    <xf numFmtId="0" fontId="20" fillId="0" borderId="7" xfId="3" applyFont="1" applyBorder="1" applyAlignment="1">
      <alignment horizontal="right"/>
    </xf>
    <xf numFmtId="3" fontId="20" fillId="0" borderId="7" xfId="3" applyNumberFormat="1" applyFont="1" applyBorder="1"/>
    <xf numFmtId="169" fontId="20" fillId="0" borderId="7" xfId="3" applyNumberFormat="1" applyFont="1" applyBorder="1" applyAlignment="1">
      <alignment horizontal="center"/>
    </xf>
    <xf numFmtId="169" fontId="15" fillId="0" borderId="16" xfId="3" applyNumberFormat="1" applyFont="1" applyFill="1" applyBorder="1" applyAlignment="1">
      <alignment horizontal="center"/>
    </xf>
    <xf numFmtId="3" fontId="15" fillId="0" borderId="28" xfId="3" applyNumberFormat="1" applyFont="1" applyBorder="1"/>
    <xf numFmtId="3" fontId="15" fillId="0" borderId="29" xfId="3" applyNumberFormat="1" applyFont="1" applyBorder="1"/>
    <xf numFmtId="3" fontId="20" fillId="0" borderId="0" xfId="3" applyNumberFormat="1" applyFont="1" applyBorder="1" applyAlignment="1">
      <alignment horizontal="right" wrapText="1"/>
    </xf>
    <xf numFmtId="3" fontId="20" fillId="0" borderId="7" xfId="3" applyNumberFormat="1" applyFont="1" applyBorder="1" applyAlignment="1">
      <alignment horizontal="right"/>
    </xf>
    <xf numFmtId="3" fontId="15" fillId="4" borderId="28" xfId="3" applyNumberFormat="1" applyFont="1" applyFill="1" applyBorder="1"/>
    <xf numFmtId="3" fontId="15" fillId="4" borderId="29" xfId="3" applyNumberFormat="1" applyFont="1" applyFill="1" applyBorder="1"/>
    <xf numFmtId="3" fontId="19" fillId="4" borderId="26" xfId="3" applyNumberFormat="1" applyFont="1" applyFill="1" applyBorder="1"/>
    <xf numFmtId="3" fontId="19" fillId="4" borderId="25" xfId="3" applyNumberFormat="1" applyFont="1" applyFill="1" applyBorder="1"/>
    <xf numFmtId="3" fontId="19" fillId="0" borderId="0" xfId="3" applyNumberFormat="1" applyFont="1" applyBorder="1" applyAlignment="1">
      <alignment horizontal="right"/>
    </xf>
    <xf numFmtId="3" fontId="20" fillId="0" borderId="7" xfId="3" applyNumberFormat="1" applyFont="1" applyFill="1" applyBorder="1"/>
    <xf numFmtId="3" fontId="15" fillId="0" borderId="26" xfId="3" applyNumberFormat="1" applyFont="1" applyBorder="1"/>
    <xf numFmtId="3" fontId="15" fillId="0" borderId="25" xfId="3" applyNumberFormat="1" applyFont="1" applyBorder="1"/>
    <xf numFmtId="3" fontId="19" fillId="4" borderId="0" xfId="3" applyNumberFormat="1" applyFont="1" applyFill="1" applyBorder="1"/>
    <xf numFmtId="3" fontId="16" fillId="0" borderId="32" xfId="3" applyNumberFormat="1" applyFont="1" applyBorder="1"/>
    <xf numFmtId="3" fontId="16" fillId="0" borderId="30" xfId="3" applyNumberFormat="1" applyFont="1" applyBorder="1"/>
    <xf numFmtId="0" fontId="20" fillId="0" borderId="7" xfId="3" applyFont="1" applyBorder="1"/>
    <xf numFmtId="3" fontId="20" fillId="4" borderId="7" xfId="3" applyNumberFormat="1" applyFont="1" applyFill="1" applyBorder="1"/>
    <xf numFmtId="0" fontId="20" fillId="0" borderId="17" xfId="3" applyFont="1" applyBorder="1" applyAlignment="1">
      <alignment horizontal="right" vertical="top" wrapText="1"/>
    </xf>
    <xf numFmtId="0" fontId="20" fillId="0" borderId="4" xfId="3" applyFont="1" applyBorder="1" applyAlignment="1">
      <alignment horizontal="center" vertical="center" wrapText="1"/>
    </xf>
    <xf numFmtId="0" fontId="19" fillId="0" borderId="17" xfId="3" applyFont="1" applyBorder="1"/>
    <xf numFmtId="0" fontId="20" fillId="0" borderId="0" xfId="3" applyFont="1" applyBorder="1" applyAlignment="1">
      <alignment horizontal="right" vertical="top" wrapText="1"/>
    </xf>
    <xf numFmtId="3" fontId="20" fillId="0" borderId="7" xfId="3" applyNumberFormat="1" applyFont="1" applyFill="1" applyBorder="1" applyAlignment="1">
      <alignment horizontal="right"/>
    </xf>
    <xf numFmtId="0" fontId="20" fillId="0" borderId="14" xfId="3" applyFont="1" applyBorder="1" applyAlignment="1">
      <alignment horizontal="center" vertical="center" wrapText="1"/>
    </xf>
    <xf numFmtId="0" fontId="20" fillId="0" borderId="10" xfId="3" applyFont="1" applyBorder="1"/>
    <xf numFmtId="0" fontId="20" fillId="0" borderId="10" xfId="3" applyFont="1" applyBorder="1" applyAlignment="1">
      <alignment horizontal="right"/>
    </xf>
    <xf numFmtId="3" fontId="20" fillId="0" borderId="10" xfId="3" applyNumberFormat="1" applyFont="1" applyBorder="1"/>
    <xf numFmtId="169" fontId="20" fillId="0" borderId="10" xfId="3" applyNumberFormat="1" applyFont="1" applyBorder="1" applyAlignment="1">
      <alignment horizontal="center"/>
    </xf>
    <xf numFmtId="169" fontId="15" fillId="0" borderId="19" xfId="3" applyNumberFormat="1" applyFont="1" applyFill="1" applyBorder="1" applyAlignment="1">
      <alignment horizontal="center"/>
    </xf>
    <xf numFmtId="3" fontId="15" fillId="0" borderId="33" xfId="3" applyNumberFormat="1" applyFont="1" applyBorder="1"/>
    <xf numFmtId="3" fontId="15" fillId="0" borderId="34" xfId="3" applyNumberFormat="1" applyFont="1" applyBorder="1"/>
    <xf numFmtId="0" fontId="20" fillId="0" borderId="1" xfId="3" applyFont="1" applyBorder="1" applyAlignment="1">
      <alignment horizontal="right" vertical="top" wrapText="1"/>
    </xf>
    <xf numFmtId="3" fontId="19" fillId="4" borderId="1" xfId="3" applyNumberFormat="1" applyFont="1" applyFill="1" applyBorder="1"/>
    <xf numFmtId="169" fontId="19" fillId="0" borderId="1" xfId="3" applyNumberFormat="1" applyFont="1" applyBorder="1" applyAlignment="1">
      <alignment horizontal="center"/>
    </xf>
    <xf numFmtId="3" fontId="16" fillId="0" borderId="25" xfId="3" applyNumberFormat="1" applyFont="1" applyBorder="1"/>
    <xf numFmtId="0" fontId="19" fillId="0" borderId="0" xfId="3" applyFont="1" applyBorder="1" applyAlignment="1">
      <alignment horizontal="right"/>
    </xf>
    <xf numFmtId="0" fontId="16" fillId="0" borderId="0" xfId="3" applyFont="1" applyBorder="1"/>
    <xf numFmtId="0" fontId="20" fillId="0" borderId="0" xfId="3" applyFont="1" applyBorder="1"/>
    <xf numFmtId="0" fontId="20" fillId="0" borderId="5" xfId="3" applyFont="1" applyFill="1" applyBorder="1" applyAlignment="1">
      <alignment horizontal="center" vertical="center" wrapText="1"/>
    </xf>
    <xf numFmtId="0" fontId="20" fillId="0" borderId="3" xfId="3" applyFont="1" applyFill="1" applyBorder="1" applyAlignment="1">
      <alignment horizontal="center" vertical="center" wrapText="1"/>
    </xf>
    <xf numFmtId="3" fontId="20" fillId="0" borderId="34" xfId="3" applyNumberFormat="1" applyFont="1" applyBorder="1"/>
    <xf numFmtId="3" fontId="19" fillId="0" borderId="22" xfId="3" applyNumberFormat="1" applyFont="1" applyBorder="1"/>
    <xf numFmtId="3" fontId="19" fillId="0" borderId="23" xfId="3" applyNumberFormat="1" applyFont="1" applyBorder="1"/>
    <xf numFmtId="3" fontId="20" fillId="0" borderId="33" xfId="3" applyNumberFormat="1" applyFont="1" applyBorder="1"/>
    <xf numFmtId="169" fontId="19" fillId="4" borderId="0" xfId="3" applyNumberFormat="1" applyFont="1" applyFill="1" applyBorder="1" applyAlignment="1">
      <alignment horizontal="center"/>
    </xf>
    <xf numFmtId="0" fontId="20" fillId="0" borderId="17" xfId="3" applyFont="1" applyBorder="1" applyAlignment="1">
      <alignment horizontal="right" wrapText="1"/>
    </xf>
    <xf numFmtId="0" fontId="19" fillId="0" borderId="10" xfId="3" applyFont="1" applyBorder="1"/>
    <xf numFmtId="3" fontId="20" fillId="0" borderId="10" xfId="3" applyNumberFormat="1" applyFont="1" applyBorder="1" applyAlignment="1">
      <alignment horizontal="right"/>
    </xf>
    <xf numFmtId="0" fontId="20" fillId="0" borderId="0" xfId="3" applyFont="1" applyBorder="1" applyAlignment="1">
      <alignment wrapText="1"/>
    </xf>
    <xf numFmtId="3" fontId="19" fillId="0" borderId="0" xfId="3" applyNumberFormat="1" applyFont="1" applyFill="1" applyBorder="1" applyAlignment="1">
      <alignment horizontal="right"/>
    </xf>
    <xf numFmtId="3" fontId="19" fillId="0" borderId="1" xfId="3" applyNumberFormat="1" applyFont="1" applyBorder="1" applyAlignment="1">
      <alignment horizontal="right"/>
    </xf>
    <xf numFmtId="3" fontId="15" fillId="4" borderId="34" xfId="3" applyNumberFormat="1" applyFont="1" applyFill="1" applyBorder="1"/>
    <xf numFmtId="3" fontId="20" fillId="0" borderId="29" xfId="3" applyNumberFormat="1" applyFont="1" applyBorder="1"/>
    <xf numFmtId="3" fontId="19" fillId="0" borderId="30" xfId="3" applyNumberFormat="1" applyFont="1" applyBorder="1"/>
    <xf numFmtId="0" fontId="35" fillId="0" borderId="5" xfId="3" applyFont="1" applyBorder="1" applyAlignment="1">
      <alignment horizontal="center" vertical="center" wrapText="1"/>
    </xf>
    <xf numFmtId="0" fontId="20" fillId="0" borderId="0" xfId="3" applyFont="1" applyBorder="1" applyAlignment="1">
      <alignment horizontal="right"/>
    </xf>
    <xf numFmtId="3" fontId="20" fillId="0" borderId="0" xfId="3" applyNumberFormat="1" applyFont="1" applyBorder="1" applyAlignment="1">
      <alignment horizontal="right"/>
    </xf>
    <xf numFmtId="169" fontId="20" fillId="0" borderId="0" xfId="3" applyNumberFormat="1" applyFont="1" applyBorder="1" applyAlignment="1">
      <alignment horizontal="center"/>
    </xf>
    <xf numFmtId="169" fontId="15" fillId="0" borderId="6" xfId="3" applyNumberFormat="1" applyFont="1" applyFill="1" applyBorder="1" applyAlignment="1">
      <alignment horizontal="center"/>
    </xf>
    <xf numFmtId="0" fontId="35" fillId="0" borderId="20" xfId="3" applyFont="1" applyBorder="1" applyAlignment="1">
      <alignment horizontal="center" vertical="center" wrapText="1"/>
    </xf>
    <xf numFmtId="0" fontId="15" fillId="0" borderId="21" xfId="3" applyFont="1" applyBorder="1" applyAlignment="1">
      <alignment horizontal="right"/>
    </xf>
    <xf numFmtId="0" fontId="18" fillId="0" borderId="21" xfId="3" applyFont="1" applyBorder="1"/>
    <xf numFmtId="3" fontId="15" fillId="0" borderId="21" xfId="3" applyNumberFormat="1" applyFont="1" applyBorder="1"/>
    <xf numFmtId="169" fontId="15" fillId="0" borderId="21" xfId="3" applyNumberFormat="1" applyFont="1" applyBorder="1" applyAlignment="1">
      <alignment horizontal="center"/>
    </xf>
    <xf numFmtId="169" fontId="15" fillId="0" borderId="52" xfId="3" applyNumberFormat="1" applyFont="1" applyFill="1" applyBorder="1" applyAlignment="1">
      <alignment horizontal="center"/>
    </xf>
    <xf numFmtId="3" fontId="0" fillId="10" borderId="2" xfId="0" applyNumberFormat="1" applyFill="1" applyBorder="1"/>
    <xf numFmtId="0" fontId="19" fillId="10" borderId="0" xfId="3" applyFont="1" applyFill="1" applyBorder="1"/>
    <xf numFmtId="3" fontId="19" fillId="10" borderId="0" xfId="3" applyNumberFormat="1" applyFont="1" applyFill="1" applyBorder="1" applyAlignment="1">
      <alignment horizontal="right"/>
    </xf>
    <xf numFmtId="3" fontId="19" fillId="10" borderId="0" xfId="3" applyNumberFormat="1" applyFont="1" applyFill="1" applyBorder="1"/>
    <xf numFmtId="169" fontId="19" fillId="10" borderId="0" xfId="3" applyNumberFormat="1" applyFont="1" applyFill="1" applyBorder="1" applyAlignment="1">
      <alignment horizontal="center"/>
    </xf>
    <xf numFmtId="9" fontId="0" fillId="0" borderId="0" xfId="6" applyNumberFormat="1" applyFont="1" applyFill="1"/>
    <xf numFmtId="9" fontId="9" fillId="18" borderId="50" xfId="6" applyFont="1" applyFill="1" applyBorder="1"/>
    <xf numFmtId="43" fontId="62" fillId="14" borderId="0" xfId="1" applyFont="1" applyFill="1"/>
    <xf numFmtId="164" fontId="62" fillId="14" borderId="0" xfId="1" applyNumberFormat="1" applyFont="1" applyFill="1"/>
    <xf numFmtId="0" fontId="0" fillId="0" borderId="2" xfId="6" applyNumberFormat="1" applyFont="1" applyBorder="1"/>
    <xf numFmtId="0" fontId="0" fillId="12" borderId="0" xfId="0" applyFill="1"/>
    <xf numFmtId="187" fontId="0" fillId="0" borderId="2" xfId="0" applyNumberFormat="1" applyBorder="1"/>
    <xf numFmtId="174" fontId="0" fillId="0" borderId="0" xfId="0" applyNumberFormat="1" applyFill="1"/>
    <xf numFmtId="164" fontId="106" fillId="35" borderId="0" xfId="1" applyNumberFormat="1" applyFont="1" applyFill="1" applyAlignment="1">
      <alignment horizontal="left"/>
    </xf>
    <xf numFmtId="164" fontId="109" fillId="37" borderId="59" xfId="1" applyNumberFormat="1" applyFont="1" applyFill="1" applyBorder="1" applyAlignment="1">
      <alignment horizontal="right"/>
    </xf>
    <xf numFmtId="164" fontId="109" fillId="37" borderId="60" xfId="1" applyNumberFormat="1" applyFont="1" applyFill="1" applyBorder="1" applyAlignment="1">
      <alignment horizontal="right"/>
    </xf>
    <xf numFmtId="164" fontId="109" fillId="35" borderId="61" xfId="1" applyNumberFormat="1" applyFont="1" applyFill="1" applyBorder="1" applyAlignment="1">
      <alignment horizontal="right"/>
    </xf>
    <xf numFmtId="164" fontId="109" fillId="35" borderId="59" xfId="1" applyNumberFormat="1" applyFont="1" applyFill="1" applyBorder="1" applyAlignment="1">
      <alignment horizontal="right"/>
    </xf>
    <xf numFmtId="164" fontId="109" fillId="37" borderId="62" xfId="1" applyNumberFormat="1" applyFont="1" applyFill="1" applyBorder="1" applyAlignment="1">
      <alignment horizontal="right"/>
    </xf>
    <xf numFmtId="164" fontId="109" fillId="35" borderId="62" xfId="1" applyNumberFormat="1" applyFont="1" applyFill="1" applyBorder="1" applyAlignment="1">
      <alignment horizontal="right"/>
    </xf>
    <xf numFmtId="164" fontId="109" fillId="35" borderId="60" xfId="1" applyNumberFormat="1" applyFont="1" applyFill="1" applyBorder="1" applyAlignment="1">
      <alignment horizontal="right"/>
    </xf>
    <xf numFmtId="0" fontId="110" fillId="38" borderId="63" xfId="0" applyFont="1" applyFill="1" applyBorder="1" applyAlignment="1">
      <alignment horizontal="left"/>
    </xf>
    <xf numFmtId="164" fontId="110" fillId="38" borderId="64" xfId="1" applyNumberFormat="1" applyFont="1" applyFill="1" applyBorder="1" applyAlignment="1">
      <alignment horizontal="right"/>
    </xf>
    <xf numFmtId="0" fontId="106" fillId="35" borderId="0" xfId="0" applyFont="1" applyFill="1" applyAlignment="1">
      <alignment horizontal="left"/>
    </xf>
    <xf numFmtId="0" fontId="3" fillId="0" borderId="0" xfId="0" applyFont="1" applyFill="1"/>
    <xf numFmtId="164" fontId="109" fillId="35" borderId="65" xfId="1" applyNumberFormat="1" applyFont="1" applyFill="1" applyBorder="1" applyAlignment="1">
      <alignment horizontal="right"/>
    </xf>
    <xf numFmtId="164" fontId="109" fillId="35" borderId="0" xfId="1" applyNumberFormat="1" applyFont="1" applyFill="1" applyBorder="1" applyAlignment="1">
      <alignment horizontal="right"/>
    </xf>
    <xf numFmtId="0" fontId="3" fillId="14" borderId="0" xfId="0" applyFont="1" applyFill="1"/>
    <xf numFmtId="166" fontId="0" fillId="14" borderId="0" xfId="0" applyNumberFormat="1" applyFill="1"/>
    <xf numFmtId="166" fontId="3" fillId="14" borderId="0" xfId="1" applyNumberFormat="1" applyFont="1" applyFill="1"/>
    <xf numFmtId="43" fontId="3" fillId="14" borderId="0" xfId="1" applyFont="1" applyFill="1"/>
    <xf numFmtId="0" fontId="3" fillId="14" borderId="2" xfId="0" applyFont="1" applyFill="1" applyBorder="1"/>
    <xf numFmtId="167" fontId="3" fillId="14" borderId="0" xfId="0" applyNumberFormat="1" applyFont="1" applyFill="1"/>
    <xf numFmtId="164" fontId="3" fillId="14" borderId="0" xfId="1" applyNumberFormat="1" applyFont="1" applyFill="1"/>
    <xf numFmtId="0" fontId="3" fillId="16" borderId="2" xfId="0" applyFont="1" applyFill="1" applyBorder="1"/>
    <xf numFmtId="173" fontId="18" fillId="0" borderId="0" xfId="3" applyNumberFormat="1" applyFont="1"/>
    <xf numFmtId="164" fontId="3" fillId="0" borderId="0" xfId="1" applyNumberFormat="1" applyFont="1" applyFill="1"/>
    <xf numFmtId="164" fontId="3" fillId="34" borderId="0" xfId="1" applyNumberFormat="1" applyFont="1" applyFill="1"/>
    <xf numFmtId="164" fontId="3" fillId="0" borderId="0" xfId="1" quotePrefix="1" applyNumberFormat="1" applyFont="1" applyFill="1"/>
    <xf numFmtId="164" fontId="3" fillId="10" borderId="0" xfId="1" applyNumberFormat="1" applyFont="1" applyFill="1"/>
    <xf numFmtId="164" fontId="3" fillId="0" borderId="0" xfId="1" applyNumberFormat="1" applyFont="1"/>
    <xf numFmtId="0" fontId="3" fillId="0" borderId="0" xfId="0" applyFont="1"/>
    <xf numFmtId="43" fontId="3" fillId="0" borderId="0" xfId="1" applyNumberFormat="1" applyFont="1" applyFill="1"/>
    <xf numFmtId="9" fontId="3" fillId="0" borderId="0" xfId="6" applyFont="1"/>
    <xf numFmtId="43" fontId="3" fillId="34" borderId="0" xfId="1" applyNumberFormat="1" applyFont="1" applyFill="1"/>
    <xf numFmtId="0" fontId="3" fillId="0" borderId="0" xfId="6" applyNumberFormat="1" applyFont="1" applyFill="1"/>
    <xf numFmtId="0" fontId="3" fillId="34" borderId="0" xfId="6" applyNumberFormat="1" applyFont="1" applyFill="1"/>
    <xf numFmtId="9" fontId="3" fillId="34" borderId="0" xfId="6" applyFont="1" applyFill="1"/>
    <xf numFmtId="9" fontId="3" fillId="0" borderId="0" xfId="6" applyFont="1" applyFill="1"/>
    <xf numFmtId="167" fontId="3" fillId="0" borderId="0" xfId="0" applyNumberFormat="1" applyFont="1"/>
    <xf numFmtId="164" fontId="3" fillId="13" borderId="2" xfId="1" applyNumberFormat="1" applyFont="1" applyFill="1" applyBorder="1" applyAlignment="1">
      <alignment horizontal="right" wrapText="1"/>
    </xf>
    <xf numFmtId="164" fontId="3" fillId="13" borderId="2" xfId="1" applyNumberFormat="1" applyFont="1" applyFill="1" applyBorder="1"/>
    <xf numFmtId="2" fontId="3" fillId="13" borderId="2" xfId="0" applyNumberFormat="1" applyFont="1" applyFill="1" applyBorder="1"/>
    <xf numFmtId="167" fontId="3" fillId="13" borderId="2" xfId="1" applyNumberFormat="1" applyFont="1" applyFill="1" applyBorder="1"/>
    <xf numFmtId="0" fontId="3" fillId="13" borderId="2" xfId="0" applyFont="1" applyFill="1" applyBorder="1" applyAlignment="1">
      <alignment vertical="center"/>
    </xf>
    <xf numFmtId="0" fontId="3" fillId="13" borderId="2" xfId="0" applyFont="1" applyFill="1" applyBorder="1"/>
    <xf numFmtId="167" fontId="3" fillId="13" borderId="2" xfId="0" applyNumberFormat="1" applyFont="1" applyFill="1" applyBorder="1" applyAlignment="1">
      <alignment horizontal="center"/>
    </xf>
    <xf numFmtId="0" fontId="3" fillId="10" borderId="2" xfId="0" applyFont="1" applyFill="1" applyBorder="1"/>
    <xf numFmtId="164" fontId="3" fillId="10" borderId="2" xfId="1" applyNumberFormat="1" applyFont="1" applyFill="1" applyBorder="1" applyAlignment="1">
      <alignment horizontal="right" wrapText="1"/>
    </xf>
    <xf numFmtId="164" fontId="3" fillId="10" borderId="2" xfId="1" applyNumberFormat="1" applyFont="1" applyFill="1" applyBorder="1"/>
    <xf numFmtId="167" fontId="3" fillId="10" borderId="2" xfId="1" applyNumberFormat="1" applyFont="1" applyFill="1" applyBorder="1"/>
    <xf numFmtId="2" fontId="3" fillId="10" borderId="2" xfId="0" applyNumberFormat="1" applyFont="1" applyFill="1" applyBorder="1"/>
    <xf numFmtId="167" fontId="3" fillId="10" borderId="2" xfId="0" applyNumberFormat="1" applyFont="1" applyFill="1" applyBorder="1" applyAlignment="1">
      <alignment horizontal="center"/>
    </xf>
    <xf numFmtId="164" fontId="3" fillId="13" borderId="2" xfId="1" applyNumberFormat="1" applyFont="1" applyFill="1" applyBorder="1" applyAlignment="1">
      <alignment horizontal="right" vertical="center" wrapText="1"/>
    </xf>
    <xf numFmtId="0" fontId="3" fillId="13" borderId="2" xfId="0" applyFont="1" applyFill="1" applyBorder="1" applyAlignment="1">
      <alignment horizontal="right" vertical="center" wrapText="1"/>
    </xf>
    <xf numFmtId="167" fontId="3" fillId="13" borderId="2" xfId="0" applyNumberFormat="1" applyFont="1" applyFill="1" applyBorder="1" applyAlignment="1">
      <alignment horizontal="center" vertical="center"/>
    </xf>
    <xf numFmtId="43" fontId="3" fillId="13" borderId="2" xfId="1" applyNumberFormat="1" applyFont="1" applyFill="1" applyBorder="1"/>
    <xf numFmtId="0" fontId="3" fillId="11" borderId="2" xfId="0" applyFont="1" applyFill="1" applyBorder="1"/>
    <xf numFmtId="164" fontId="3" fillId="11" borderId="2" xfId="1" applyNumberFormat="1" applyFont="1" applyFill="1" applyBorder="1" applyAlignment="1">
      <alignment horizontal="right" wrapText="1"/>
    </xf>
    <xf numFmtId="164" fontId="3" fillId="11" borderId="2" xfId="1" applyNumberFormat="1" applyFont="1" applyFill="1" applyBorder="1"/>
    <xf numFmtId="167" fontId="3" fillId="11" borderId="2" xfId="1" applyNumberFormat="1" applyFont="1" applyFill="1" applyBorder="1"/>
    <xf numFmtId="2" fontId="3" fillId="11" borderId="2" xfId="0" applyNumberFormat="1" applyFont="1" applyFill="1" applyBorder="1"/>
    <xf numFmtId="167" fontId="3" fillId="11" borderId="2" xfId="0" applyNumberFormat="1" applyFont="1" applyFill="1" applyBorder="1" applyAlignment="1">
      <alignment horizontal="center"/>
    </xf>
    <xf numFmtId="0" fontId="3" fillId="0" borderId="2" xfId="0" applyFont="1" applyBorder="1"/>
    <xf numFmtId="3" fontId="3" fillId="13" borderId="2" xfId="0" applyNumberFormat="1" applyFont="1" applyFill="1" applyBorder="1"/>
    <xf numFmtId="0" fontId="3" fillId="13" borderId="2" xfId="0" applyFont="1" applyFill="1" applyBorder="1" applyAlignment="1">
      <alignment horizontal="right" wrapText="1"/>
    </xf>
    <xf numFmtId="3" fontId="3" fillId="13" borderId="2" xfId="0" applyNumberFormat="1" applyFont="1" applyFill="1" applyBorder="1" applyAlignment="1">
      <alignment wrapText="1"/>
    </xf>
    <xf numFmtId="3" fontId="0" fillId="0" borderId="2" xfId="0" applyNumberFormat="1" applyBorder="1" applyAlignment="1">
      <alignment horizontal="center"/>
    </xf>
    <xf numFmtId="2" fontId="0" fillId="0" borderId="2" xfId="0" applyNumberFormat="1" applyBorder="1" applyAlignment="1">
      <alignment horizontal="center"/>
    </xf>
    <xf numFmtId="164" fontId="0" fillId="0" borderId="2" xfId="1" applyNumberFormat="1" applyFont="1" applyBorder="1" applyAlignment="1">
      <alignment horizontal="center"/>
    </xf>
    <xf numFmtId="167" fontId="0" fillId="0" borderId="2" xfId="0" applyNumberFormat="1" applyBorder="1" applyAlignment="1">
      <alignment horizontal="center"/>
    </xf>
    <xf numFmtId="2" fontId="0" fillId="0" borderId="2" xfId="0" applyNumberFormat="1" applyFill="1" applyBorder="1" applyAlignment="1">
      <alignment horizontal="center"/>
    </xf>
    <xf numFmtId="0" fontId="3" fillId="0" borderId="2" xfId="0" applyFont="1" applyBorder="1" applyAlignment="1">
      <alignment vertical="center"/>
    </xf>
    <xf numFmtId="3" fontId="0" fillId="0" borderId="2" xfId="0" applyNumberFormat="1" applyBorder="1" applyAlignment="1">
      <alignment horizontal="center" vertical="center"/>
    </xf>
    <xf numFmtId="2" fontId="0" fillId="0" borderId="2" xfId="0" applyNumberFormat="1" applyFill="1" applyBorder="1" applyAlignment="1">
      <alignment horizontal="center" vertical="center"/>
    </xf>
    <xf numFmtId="0" fontId="3" fillId="0" borderId="2" xfId="0" applyFont="1" applyFill="1" applyBorder="1"/>
    <xf numFmtId="174" fontId="3" fillId="3" borderId="0" xfId="0" applyNumberFormat="1" applyFont="1" applyFill="1"/>
    <xf numFmtId="171" fontId="3" fillId="0" borderId="0" xfId="0" applyNumberFormat="1" applyFont="1"/>
    <xf numFmtId="9" fontId="3" fillId="10" borderId="0" xfId="6" applyNumberFormat="1" applyFont="1" applyFill="1"/>
    <xf numFmtId="9" fontId="3" fillId="10" borderId="0" xfId="6" applyFont="1" applyFill="1"/>
    <xf numFmtId="171" fontId="3" fillId="10" borderId="0" xfId="6" applyNumberFormat="1" applyFont="1" applyFill="1"/>
    <xf numFmtId="188" fontId="0" fillId="0" borderId="0" xfId="0" applyNumberFormat="1"/>
    <xf numFmtId="166" fontId="3" fillId="0" borderId="0" xfId="1" applyNumberFormat="1" applyFont="1" applyFill="1"/>
    <xf numFmtId="164" fontId="72" fillId="0" borderId="0" xfId="1" applyNumberFormat="1" applyFont="1" applyFill="1"/>
    <xf numFmtId="43" fontId="3" fillId="10" borderId="0" xfId="1" applyNumberFormat="1" applyFont="1" applyFill="1"/>
    <xf numFmtId="165" fontId="3" fillId="0" borderId="0" xfId="6" applyNumberFormat="1" applyFont="1" applyFill="1"/>
    <xf numFmtId="0" fontId="3" fillId="18" borderId="48" xfId="0" applyFont="1" applyFill="1" applyBorder="1"/>
    <xf numFmtId="0" fontId="3" fillId="18" borderId="17" xfId="0" applyFont="1" applyFill="1" applyBorder="1"/>
    <xf numFmtId="0" fontId="3" fillId="18" borderId="32" xfId="0" applyFont="1" applyFill="1" applyBorder="1"/>
    <xf numFmtId="9" fontId="3" fillId="18" borderId="50" xfId="0" applyNumberFormat="1" applyFont="1" applyFill="1" applyBorder="1"/>
    <xf numFmtId="9" fontId="3" fillId="18" borderId="7" xfId="6" applyNumberFormat="1" applyFont="1" applyFill="1" applyBorder="1"/>
    <xf numFmtId="9" fontId="3" fillId="18" borderId="28" xfId="6" applyNumberFormat="1" applyFont="1" applyFill="1" applyBorder="1"/>
    <xf numFmtId="164" fontId="3" fillId="39" borderId="2" xfId="1" applyNumberFormat="1" applyFont="1" applyFill="1" applyBorder="1"/>
    <xf numFmtId="0" fontId="3" fillId="39" borderId="2" xfId="0" applyFont="1" applyFill="1" applyBorder="1"/>
    <xf numFmtId="0" fontId="0" fillId="0" borderId="0" xfId="0" applyAlignment="1">
      <alignment wrapText="1"/>
    </xf>
    <xf numFmtId="0" fontId="111" fillId="0" borderId="0" xfId="0" applyFont="1" applyAlignment="1">
      <alignment wrapText="1"/>
    </xf>
    <xf numFmtId="0" fontId="9" fillId="40" borderId="2" xfId="0" applyFont="1" applyFill="1" applyBorder="1" applyAlignment="1">
      <alignment horizontal="center" vertical="center" wrapText="1"/>
    </xf>
    <xf numFmtId="0" fontId="112" fillId="40" borderId="2" xfId="0" applyFont="1" applyFill="1" applyBorder="1" applyAlignment="1">
      <alignment horizontal="center" vertical="center" wrapText="1"/>
    </xf>
    <xf numFmtId="0" fontId="9" fillId="0" borderId="2" xfId="0" applyFont="1" applyBorder="1" applyAlignment="1">
      <alignment vertical="center" wrapText="1"/>
    </xf>
    <xf numFmtId="0" fontId="72" fillId="0" borderId="2" xfId="0" applyFont="1" applyBorder="1" applyAlignment="1">
      <alignment vertical="center" wrapText="1"/>
    </xf>
    <xf numFmtId="0" fontId="3" fillId="0" borderId="2" xfId="0" applyFont="1" applyBorder="1" applyAlignment="1">
      <alignment vertical="center" wrapText="1"/>
    </xf>
    <xf numFmtId="0" fontId="111" fillId="0" borderId="2" xfId="0" applyFont="1" applyBorder="1" applyAlignment="1">
      <alignment horizontal="right" vertical="center" wrapText="1" readingOrder="2"/>
    </xf>
    <xf numFmtId="0" fontId="0" fillId="0" borderId="2" xfId="0" applyBorder="1" applyAlignment="1">
      <alignment vertical="center" wrapText="1"/>
    </xf>
    <xf numFmtId="0" fontId="111" fillId="0" borderId="2" xfId="0" applyFont="1" applyBorder="1" applyAlignment="1">
      <alignment vertical="center" wrapText="1"/>
    </xf>
    <xf numFmtId="0" fontId="111" fillId="0" borderId="2" xfId="0" applyNumberFormat="1" applyFont="1" applyBorder="1" applyAlignment="1">
      <alignment vertical="center" wrapText="1"/>
    </xf>
    <xf numFmtId="0" fontId="111" fillId="0" borderId="2" xfId="0" applyNumberFormat="1" applyFont="1" applyBorder="1" applyAlignment="1">
      <alignment horizontal="right" vertical="center" wrapText="1" readingOrder="1"/>
    </xf>
    <xf numFmtId="0" fontId="15" fillId="0" borderId="2" xfId="0" applyFont="1" applyBorder="1" applyAlignment="1">
      <alignment vertical="center" wrapText="1"/>
    </xf>
    <xf numFmtId="0" fontId="72" fillId="0" borderId="2" xfId="0" applyFont="1" applyBorder="1" applyAlignment="1">
      <alignment horizontal="right" vertical="center" wrapText="1"/>
    </xf>
    <xf numFmtId="0" fontId="74" fillId="14" borderId="2" xfId="9" applyNumberFormat="1" applyFont="1" applyFill="1" applyBorder="1"/>
    <xf numFmtId="167" fontId="74" fillId="14" borderId="2" xfId="9" applyNumberFormat="1" applyFont="1" applyFill="1" applyBorder="1"/>
    <xf numFmtId="166" fontId="74" fillId="14" borderId="2" xfId="9" applyNumberFormat="1" applyFont="1" applyFill="1" applyBorder="1"/>
    <xf numFmtId="0" fontId="73" fillId="14" borderId="2" xfId="6" applyNumberFormat="1" applyFont="1" applyFill="1" applyBorder="1"/>
    <xf numFmtId="3" fontId="73" fillId="14" borderId="2" xfId="6" applyNumberFormat="1" applyFont="1" applyFill="1" applyBorder="1"/>
    <xf numFmtId="1" fontId="73" fillId="14" borderId="2" xfId="6" applyNumberFormat="1" applyFont="1" applyFill="1" applyBorder="1"/>
    <xf numFmtId="164" fontId="73" fillId="14" borderId="2" xfId="1" applyNumberFormat="1" applyFont="1" applyFill="1" applyBorder="1"/>
    <xf numFmtId="10" fontId="3" fillId="14" borderId="0" xfId="6" applyNumberFormat="1" applyFont="1" applyFill="1"/>
    <xf numFmtId="167" fontId="3" fillId="14" borderId="0" xfId="6" applyNumberFormat="1" applyFont="1" applyFill="1"/>
    <xf numFmtId="0" fontId="76" fillId="14" borderId="44" xfId="0" applyFont="1" applyFill="1" applyBorder="1" applyAlignment="1">
      <alignment horizontal="center" vertical="center"/>
    </xf>
    <xf numFmtId="43" fontId="3" fillId="14" borderId="2" xfId="1" applyNumberFormat="1" applyFont="1" applyFill="1" applyBorder="1"/>
    <xf numFmtId="43" fontId="3" fillId="14" borderId="2" xfId="1" applyFont="1" applyFill="1" applyBorder="1"/>
    <xf numFmtId="0" fontId="73" fillId="14" borderId="2" xfId="9" applyFont="1" applyFill="1" applyBorder="1" applyAlignment="1">
      <alignment horizontal="right"/>
    </xf>
    <xf numFmtId="0" fontId="76" fillId="14" borderId="45" xfId="0" applyFont="1" applyFill="1" applyBorder="1" applyAlignment="1">
      <alignment horizontal="center" vertical="center"/>
    </xf>
    <xf numFmtId="0" fontId="76" fillId="14" borderId="45" xfId="0" applyFont="1" applyFill="1" applyBorder="1" applyAlignment="1">
      <alignment horizontal="center" vertical="center" wrapText="1"/>
    </xf>
    <xf numFmtId="164" fontId="3" fillId="14" borderId="2" xfId="1" applyNumberFormat="1" applyFont="1" applyFill="1" applyBorder="1"/>
    <xf numFmtId="166" fontId="3" fillId="14" borderId="2" xfId="1" applyNumberFormat="1" applyFont="1" applyFill="1" applyBorder="1"/>
    <xf numFmtId="0" fontId="76" fillId="14" borderId="40" xfId="0" applyFont="1" applyFill="1" applyBorder="1" applyAlignment="1">
      <alignment horizontal="center" vertical="center"/>
    </xf>
    <xf numFmtId="0" fontId="113" fillId="14" borderId="2" xfId="9" applyFont="1" applyFill="1" applyBorder="1" applyAlignment="1">
      <alignment horizontal="right"/>
    </xf>
    <xf numFmtId="0" fontId="73" fillId="14" borderId="44" xfId="9" applyFont="1" applyFill="1" applyBorder="1" applyAlignment="1">
      <alignment horizontal="right"/>
    </xf>
    <xf numFmtId="43" fontId="3" fillId="14" borderId="44" xfId="1" applyFont="1" applyFill="1" applyBorder="1"/>
    <xf numFmtId="185" fontId="3" fillId="14" borderId="2" xfId="1" applyNumberFormat="1" applyFont="1" applyFill="1" applyBorder="1"/>
    <xf numFmtId="0" fontId="122" fillId="0" borderId="0" xfId="0" applyFont="1" applyAlignment="1"/>
    <xf numFmtId="0" fontId="71" fillId="0" borderId="0" xfId="0" applyFont="1" applyAlignment="1">
      <alignment horizontal="center"/>
    </xf>
    <xf numFmtId="0" fontId="123" fillId="0" borderId="2" xfId="0" applyFont="1" applyBorder="1" applyAlignment="1">
      <alignment horizontal="center" vertical="center" readingOrder="2"/>
    </xf>
    <xf numFmtId="0" fontId="67" fillId="0" borderId="2" xfId="0" applyFont="1" applyBorder="1" applyAlignment="1">
      <alignment horizontal="right" vertical="center" readingOrder="2"/>
    </xf>
    <xf numFmtId="3" fontId="124" fillId="0" borderId="2" xfId="0" applyNumberFormat="1" applyFont="1" applyBorder="1" applyAlignment="1">
      <alignment horizontal="right" vertical="center" readingOrder="1"/>
    </xf>
    <xf numFmtId="1" fontId="86" fillId="0" borderId="2" xfId="0" applyNumberFormat="1" applyFont="1" applyBorder="1" applyAlignment="1">
      <alignment horizontal="center" vertical="center"/>
    </xf>
    <xf numFmtId="0" fontId="124" fillId="0" borderId="2" xfId="0" applyFont="1" applyBorder="1" applyAlignment="1">
      <alignment horizontal="right" vertical="center" readingOrder="1"/>
    </xf>
    <xf numFmtId="3" fontId="125" fillId="0" borderId="2" xfId="0" applyNumberFormat="1" applyFont="1" applyBorder="1" applyAlignment="1">
      <alignment horizontal="right" vertical="center" readingOrder="1"/>
    </xf>
    <xf numFmtId="1" fontId="71" fillId="0" borderId="2" xfId="0" applyNumberFormat="1" applyFont="1" applyBorder="1" applyAlignment="1">
      <alignment horizontal="center" vertical="center"/>
    </xf>
    <xf numFmtId="1" fontId="4" fillId="0" borderId="0" xfId="0" applyNumberFormat="1" applyFont="1"/>
    <xf numFmtId="0" fontId="126" fillId="0" borderId="0" xfId="0" applyFont="1" applyBorder="1" applyAlignment="1">
      <alignment horizontal="right" vertical="center" readingOrder="2"/>
    </xf>
    <xf numFmtId="0" fontId="124" fillId="0" borderId="0" xfId="0" applyFont="1" applyBorder="1" applyAlignment="1">
      <alignment horizontal="center" vertical="center" readingOrder="1"/>
    </xf>
    <xf numFmtId="0" fontId="124" fillId="0" borderId="0" xfId="0" applyFont="1" applyBorder="1" applyAlignment="1">
      <alignment horizontal="center" vertical="center" wrapText="1" readingOrder="2"/>
    </xf>
    <xf numFmtId="3" fontId="124" fillId="0" borderId="0" xfId="0" applyNumberFormat="1" applyFont="1" applyBorder="1" applyAlignment="1">
      <alignment horizontal="right" vertical="center" readingOrder="1"/>
    </xf>
    <xf numFmtId="0" fontId="71" fillId="0" borderId="0" xfId="0" applyFont="1" applyAlignment="1">
      <alignment horizontal="justify" vertical="center" readingOrder="2"/>
    </xf>
    <xf numFmtId="0" fontId="127" fillId="0" borderId="0" xfId="0" applyFont="1"/>
    <xf numFmtId="0" fontId="128" fillId="0" borderId="0" xfId="0" applyFont="1" applyAlignment="1">
      <alignment horizontal="justify" vertical="center" readingOrder="2"/>
    </xf>
    <xf numFmtId="0" fontId="129" fillId="0" borderId="2" xfId="0" applyFont="1" applyBorder="1" applyAlignment="1">
      <alignment horizontal="right" vertical="center" readingOrder="2"/>
    </xf>
    <xf numFmtId="0" fontId="130" fillId="0" borderId="2" xfId="0" applyFont="1" applyBorder="1" applyAlignment="1">
      <alignment horizontal="right" vertical="center" readingOrder="2"/>
    </xf>
    <xf numFmtId="0" fontId="4" fillId="0" borderId="2" xfId="0" applyFont="1" applyBorder="1"/>
    <xf numFmtId="0" fontId="71" fillId="0" borderId="0" xfId="0" applyFont="1" applyAlignment="1">
      <alignment horizontal="right" vertical="center" readingOrder="2"/>
    </xf>
    <xf numFmtId="0" fontId="131" fillId="0" borderId="0" xfId="0" applyFont="1" applyAlignment="1">
      <alignment horizontal="justify" vertical="center" readingOrder="2"/>
    </xf>
    <xf numFmtId="0" fontId="123" fillId="0" borderId="2" xfId="0" applyFont="1" applyBorder="1" applyAlignment="1">
      <alignment horizontal="right" vertical="center" readingOrder="2"/>
    </xf>
    <xf numFmtId="0" fontId="126" fillId="0" borderId="2" xfId="0" applyFont="1" applyBorder="1" applyAlignment="1">
      <alignment horizontal="right" vertical="center" readingOrder="2"/>
    </xf>
    <xf numFmtId="1" fontId="16" fillId="0" borderId="0" xfId="0" applyNumberFormat="1" applyFont="1"/>
    <xf numFmtId="3" fontId="16" fillId="0" borderId="0" xfId="0" applyNumberFormat="1" applyFont="1"/>
    <xf numFmtId="0" fontId="128" fillId="0" borderId="2" xfId="0" applyFont="1" applyBorder="1" applyAlignment="1">
      <alignment horizontal="right" vertical="center" readingOrder="2"/>
    </xf>
    <xf numFmtId="0" fontId="132" fillId="0" borderId="2" xfId="0" applyFont="1" applyFill="1" applyBorder="1" applyAlignment="1">
      <alignment horizontal="right" vertical="center" wrapText="1" readingOrder="2"/>
    </xf>
    <xf numFmtId="0" fontId="8" fillId="0" borderId="0" xfId="0" applyFont="1"/>
    <xf numFmtId="174" fontId="115" fillId="41" borderId="0" xfId="12" applyNumberFormat="1" applyFont="1" applyFill="1" applyBorder="1" applyAlignment="1" applyProtection="1">
      <alignment horizontal="right" vertical="top" readingOrder="2"/>
    </xf>
    <xf numFmtId="174" fontId="31" fillId="43" borderId="0" xfId="12" applyNumberFormat="1" applyFont="1" applyFill="1" applyBorder="1" applyAlignment="1" applyProtection="1">
      <alignment horizontal="center"/>
      <protection locked="0"/>
    </xf>
    <xf numFmtId="174" fontId="31" fillId="48" borderId="11" xfId="12" applyNumberFormat="1" applyFont="1" applyFill="1" applyBorder="1" applyAlignment="1" applyProtection="1">
      <alignment horizontal="center"/>
      <protection locked="0"/>
    </xf>
    <xf numFmtId="174" fontId="31" fillId="43" borderId="11" xfId="12" applyNumberFormat="1" applyFont="1" applyFill="1" applyBorder="1" applyAlignment="1" applyProtection="1">
      <alignment horizontal="center"/>
      <protection locked="0"/>
    </xf>
    <xf numFmtId="174" fontId="91" fillId="5" borderId="0" xfId="12" applyNumberFormat="1" applyFont="1" applyFill="1" applyBorder="1" applyAlignment="1" applyProtection="1">
      <alignment horizontal="right"/>
      <protection locked="0"/>
    </xf>
    <xf numFmtId="174" fontId="31" fillId="5" borderId="0" xfId="12" applyNumberFormat="1" applyFont="1" applyFill="1" applyBorder="1" applyAlignment="1" applyProtection="1">
      <alignment horizontal="right"/>
      <protection locked="0"/>
    </xf>
    <xf numFmtId="174" fontId="31" fillId="43" borderId="11" xfId="13" applyNumberFormat="1" applyFont="1" applyFill="1" applyBorder="1" applyAlignment="1" applyProtection="1">
      <alignment horizontal="center"/>
      <protection locked="0"/>
    </xf>
    <xf numFmtId="174" fontId="31" fillId="43" borderId="73" xfId="12" applyNumberFormat="1" applyFont="1" applyFill="1" applyBorder="1" applyAlignment="1" applyProtection="1">
      <alignment horizontal="center"/>
      <protection locked="0"/>
    </xf>
    <xf numFmtId="174" fontId="31" fillId="43" borderId="74" xfId="12" applyNumberFormat="1" applyFont="1" applyFill="1" applyBorder="1" applyAlignment="1" applyProtection="1">
      <alignment horizontal="center"/>
      <protection locked="0"/>
    </xf>
    <xf numFmtId="174" fontId="31" fillId="43" borderId="75" xfId="12" applyNumberFormat="1" applyFont="1" applyFill="1" applyBorder="1" applyAlignment="1" applyProtection="1">
      <alignment horizontal="center"/>
      <protection locked="0"/>
    </xf>
    <xf numFmtId="174" fontId="31" fillId="5" borderId="0" xfId="12" applyNumberFormat="1" applyFont="1" applyFill="1" applyBorder="1" applyAlignment="1" applyProtection="1">
      <alignment horizontal="right" wrapText="1"/>
      <protection locked="0"/>
    </xf>
    <xf numFmtId="174" fontId="91" fillId="5" borderId="0" xfId="12" applyNumberFormat="1" applyFont="1" applyFill="1" applyBorder="1" applyAlignment="1" applyProtection="1">
      <alignment horizontal="right" wrapText="1"/>
      <protection locked="0"/>
    </xf>
    <xf numFmtId="174" fontId="31" fillId="45" borderId="0" xfId="12" applyNumberFormat="1" applyFont="1" applyFill="1" applyBorder="1" applyAlignment="1" applyProtection="1">
      <alignment horizontal="center"/>
      <protection locked="0"/>
    </xf>
    <xf numFmtId="175" fontId="12" fillId="45" borderId="72" xfId="12" applyNumberFormat="1" applyFont="1" applyFill="1" applyBorder="1" applyAlignment="1" applyProtection="1">
      <alignment horizontal="center"/>
      <protection locked="0"/>
    </xf>
    <xf numFmtId="174" fontId="12" fillId="45" borderId="72" xfId="12" applyNumberFormat="1" applyFont="1" applyFill="1" applyBorder="1" applyAlignment="1" applyProtection="1">
      <alignment horizontal="center"/>
      <protection locked="0"/>
    </xf>
    <xf numFmtId="174" fontId="12" fillId="5" borderId="0" xfId="12" applyNumberFormat="1" applyFont="1" applyFill="1" applyBorder="1" applyAlignment="1" applyProtection="1">
      <alignment horizontal="right"/>
      <protection locked="0"/>
    </xf>
    <xf numFmtId="175" fontId="31" fillId="5" borderId="0" xfId="12" applyNumberFormat="1" applyFont="1" applyFill="1" applyBorder="1" applyAlignment="1" applyProtection="1">
      <alignment horizontal="right"/>
      <protection locked="0"/>
    </xf>
    <xf numFmtId="174" fontId="42" fillId="43" borderId="2" xfId="12" applyNumberFormat="1" applyFont="1" applyFill="1" applyBorder="1" applyAlignment="1" applyProtection="1">
      <alignment horizontal="center"/>
      <protection locked="0"/>
    </xf>
    <xf numFmtId="174" fontId="91" fillId="43" borderId="74" xfId="12" applyNumberFormat="1" applyFont="1" applyFill="1" applyBorder="1" applyAlignment="1" applyProtection="1">
      <alignment horizontal="center"/>
      <protection locked="0"/>
    </xf>
    <xf numFmtId="174" fontId="91" fillId="43" borderId="11" xfId="12" applyNumberFormat="1" applyFont="1" applyFill="1" applyBorder="1" applyAlignment="1" applyProtection="1">
      <alignment horizontal="center"/>
      <protection locked="0"/>
    </xf>
    <xf numFmtId="174" fontId="91" fillId="43" borderId="11" xfId="13" applyNumberFormat="1" applyFont="1" applyFill="1" applyBorder="1" applyAlignment="1" applyProtection="1">
      <alignment horizontal="center"/>
      <protection locked="0"/>
    </xf>
    <xf numFmtId="174" fontId="91" fillId="43" borderId="0" xfId="12" applyNumberFormat="1" applyFont="1" applyFill="1" applyBorder="1" applyAlignment="1" applyProtection="1">
      <alignment horizontal="center"/>
      <protection locked="0"/>
    </xf>
    <xf numFmtId="177" fontId="91" fillId="43" borderId="0" xfId="12" applyNumberFormat="1" applyFont="1" applyFill="1" applyBorder="1" applyAlignment="1" applyProtection="1">
      <alignment horizontal="center"/>
      <protection locked="0"/>
    </xf>
    <xf numFmtId="174" fontId="136" fillId="5" borderId="0" xfId="10" applyNumberFormat="1" applyFont="1" applyFill="1" applyBorder="1" applyAlignment="1" applyProtection="1"/>
    <xf numFmtId="174" fontId="11" fillId="5" borderId="0" xfId="10" applyNumberFormat="1" applyFont="1" applyFill="1" applyBorder="1" applyProtection="1"/>
    <xf numFmtId="0" fontId="3" fillId="0" borderId="0" xfId="10"/>
    <xf numFmtId="174" fontId="11" fillId="5" borderId="79" xfId="10" applyNumberFormat="1" applyFont="1" applyFill="1" applyBorder="1" applyProtection="1"/>
    <xf numFmtId="174" fontId="136" fillId="5" borderId="0" xfId="10" applyNumberFormat="1" applyFont="1" applyFill="1" applyBorder="1" applyAlignment="1" applyProtection="1">
      <alignment horizontal="center"/>
    </xf>
    <xf numFmtId="174" fontId="139" fillId="5" borderId="79" xfId="15" applyNumberFormat="1" applyFont="1" applyFill="1" applyBorder="1" applyAlignment="1" applyProtection="1"/>
    <xf numFmtId="174" fontId="140" fillId="5" borderId="0" xfId="15" applyNumberFormat="1" applyFont="1" applyFill="1" applyBorder="1" applyAlignment="1" applyProtection="1"/>
    <xf numFmtId="174" fontId="117" fillId="41" borderId="81" xfId="10" applyNumberFormat="1" applyFont="1" applyFill="1" applyBorder="1" applyProtection="1"/>
    <xf numFmtId="174" fontId="117" fillId="41" borderId="70" xfId="10" applyNumberFormat="1" applyFont="1" applyFill="1" applyBorder="1" applyProtection="1"/>
    <xf numFmtId="174" fontId="115" fillId="41" borderId="70" xfId="10" applyNumberFormat="1" applyFont="1" applyFill="1" applyBorder="1" applyAlignment="1" applyProtection="1">
      <alignment horizontal="center"/>
    </xf>
    <xf numFmtId="1" fontId="116" fillId="41" borderId="70" xfId="10" applyNumberFormat="1" applyFont="1" applyFill="1" applyBorder="1" applyAlignment="1" applyProtection="1">
      <alignment horizontal="center"/>
    </xf>
    <xf numFmtId="174" fontId="141" fillId="41" borderId="82" xfId="10" applyNumberFormat="1" applyFont="1" applyFill="1" applyBorder="1" applyProtection="1"/>
    <xf numFmtId="174" fontId="41" fillId="5" borderId="67" xfId="10" applyNumberFormat="1" applyFont="1" applyFill="1" applyBorder="1" applyProtection="1"/>
    <xf numFmtId="174" fontId="31" fillId="5" borderId="0" xfId="10" applyNumberFormat="1" applyFont="1" applyFill="1" applyBorder="1" applyProtection="1"/>
    <xf numFmtId="174" fontId="8" fillId="5" borderId="0" xfId="15" applyNumberFormat="1" applyFont="1" applyFill="1" applyBorder="1" applyAlignment="1" applyProtection="1">
      <alignment horizontal="center"/>
    </xf>
    <xf numFmtId="174" fontId="31" fillId="5" borderId="68" xfId="10" applyNumberFormat="1" applyFont="1" applyFill="1" applyBorder="1" applyProtection="1"/>
    <xf numFmtId="174" fontId="31" fillId="5" borderId="67" xfId="10" applyNumberFormat="1" applyFont="1" applyFill="1" applyBorder="1" applyAlignment="1" applyProtection="1">
      <alignment horizontal="right"/>
    </xf>
    <xf numFmtId="174" fontId="31" fillId="5" borderId="0" xfId="10" applyNumberFormat="1" applyFont="1" applyFill="1" applyBorder="1" applyAlignment="1" applyProtection="1">
      <alignment horizontal="right"/>
    </xf>
    <xf numFmtId="174" fontId="31" fillId="5" borderId="0" xfId="10" applyNumberFormat="1" applyFont="1" applyFill="1" applyBorder="1" applyAlignment="1" applyProtection="1">
      <alignment horizontal="center"/>
    </xf>
    <xf numFmtId="174" fontId="31" fillId="43" borderId="0" xfId="15" applyNumberFormat="1" applyFont="1" applyFill="1" applyBorder="1" applyAlignment="1" applyProtection="1">
      <alignment horizontal="center"/>
      <protection locked="0"/>
    </xf>
    <xf numFmtId="174" fontId="31" fillId="3" borderId="83" xfId="1" applyNumberFormat="1" applyFont="1" applyFill="1" applyBorder="1" applyAlignment="1" applyProtection="1">
      <alignment horizontal="center"/>
    </xf>
    <xf numFmtId="174" fontId="11" fillId="5" borderId="68" xfId="10" applyNumberFormat="1" applyFont="1" applyFill="1" applyBorder="1" applyProtection="1"/>
    <xf numFmtId="174" fontId="31" fillId="3" borderId="84" xfId="1" applyNumberFormat="1" applyFont="1" applyFill="1" applyBorder="1" applyAlignment="1" applyProtection="1">
      <alignment horizontal="center"/>
    </xf>
    <xf numFmtId="174" fontId="31" fillId="5" borderId="7" xfId="10" applyNumberFormat="1" applyFont="1" applyFill="1" applyBorder="1" applyAlignment="1" applyProtection="1">
      <alignment horizontal="center"/>
    </xf>
    <xf numFmtId="174" fontId="31" fillId="3" borderId="85" xfId="1" applyNumberFormat="1" applyFont="1" applyFill="1" applyBorder="1" applyAlignment="1" applyProtection="1">
      <alignment horizontal="center"/>
    </xf>
    <xf numFmtId="174" fontId="31" fillId="3" borderId="86" xfId="1" applyNumberFormat="1" applyFont="1" applyFill="1" applyBorder="1" applyAlignment="1" applyProtection="1">
      <alignment horizontal="center"/>
    </xf>
    <xf numFmtId="174" fontId="12" fillId="5" borderId="67" xfId="10" applyNumberFormat="1" applyFont="1" applyFill="1" applyBorder="1" applyAlignment="1" applyProtection="1">
      <alignment horizontal="right"/>
    </xf>
    <xf numFmtId="174" fontId="31" fillId="44" borderId="76" xfId="1" applyNumberFormat="1" applyFont="1" applyFill="1" applyBorder="1" applyAlignment="1" applyProtection="1">
      <alignment horizontal="center"/>
    </xf>
    <xf numFmtId="174" fontId="12" fillId="5" borderId="0" xfId="10" applyNumberFormat="1" applyFont="1" applyFill="1" applyBorder="1" applyAlignment="1" applyProtection="1">
      <alignment horizontal="center"/>
    </xf>
    <xf numFmtId="174" fontId="31" fillId="5" borderId="77" xfId="10" applyNumberFormat="1" applyFont="1" applyFill="1" applyBorder="1" applyProtection="1"/>
    <xf numFmtId="174" fontId="31" fillId="5" borderId="69" xfId="10" applyNumberFormat="1" applyFont="1" applyFill="1" applyBorder="1" applyProtection="1"/>
    <xf numFmtId="174" fontId="31" fillId="5" borderId="87" xfId="10" applyNumberFormat="1" applyFont="1" applyFill="1" applyBorder="1" applyProtection="1"/>
    <xf numFmtId="174" fontId="11" fillId="5" borderId="88" xfId="10" applyNumberFormat="1" applyFont="1" applyFill="1" applyBorder="1" applyProtection="1"/>
    <xf numFmtId="174" fontId="31" fillId="5" borderId="89" xfId="10" applyNumberFormat="1" applyFont="1" applyFill="1" applyBorder="1" applyProtection="1"/>
    <xf numFmtId="174" fontId="31" fillId="0" borderId="1" xfId="10" applyNumberFormat="1" applyFont="1" applyFill="1" applyBorder="1" applyAlignment="1" applyProtection="1">
      <alignment horizontal="right"/>
    </xf>
    <xf numFmtId="174" fontId="31" fillId="0" borderId="1" xfId="10" applyNumberFormat="1" applyFont="1" applyFill="1" applyBorder="1" applyProtection="1"/>
    <xf numFmtId="174" fontId="8" fillId="0" borderId="1" xfId="15" applyNumberFormat="1" applyFont="1" applyFill="1" applyBorder="1" applyAlignment="1" applyProtection="1">
      <alignment horizontal="center"/>
    </xf>
    <xf numFmtId="174" fontId="31" fillId="0" borderId="1" xfId="10" applyNumberFormat="1" applyFont="1" applyFill="1" applyBorder="1" applyAlignment="1" applyProtection="1">
      <alignment horizontal="center"/>
    </xf>
    <xf numFmtId="174" fontId="31" fillId="0" borderId="1" xfId="15" applyNumberFormat="1" applyFont="1" applyFill="1" applyBorder="1" applyAlignment="1" applyProtection="1">
      <alignment horizontal="center"/>
      <protection locked="0"/>
    </xf>
    <xf numFmtId="174" fontId="31" fillId="0" borderId="15" xfId="10" applyNumberFormat="1" applyFont="1" applyFill="1" applyBorder="1" applyProtection="1"/>
    <xf numFmtId="0" fontId="3" fillId="0" borderId="0" xfId="10" applyFill="1"/>
    <xf numFmtId="174" fontId="141" fillId="41" borderId="91" xfId="10" applyNumberFormat="1" applyFont="1" applyFill="1" applyBorder="1" applyProtection="1"/>
    <xf numFmtId="174" fontId="31" fillId="5" borderId="6" xfId="10" applyNumberFormat="1" applyFont="1" applyFill="1" applyBorder="1" applyProtection="1"/>
    <xf numFmtId="174" fontId="31" fillId="5" borderId="10" xfId="10" applyNumberFormat="1" applyFont="1" applyFill="1" applyBorder="1" applyProtection="1"/>
    <xf numFmtId="174" fontId="31" fillId="5" borderId="19" xfId="10" applyNumberFormat="1" applyFont="1" applyFill="1" applyBorder="1" applyProtection="1"/>
    <xf numFmtId="174" fontId="31" fillId="0" borderId="0" xfId="10" applyNumberFormat="1" applyFont="1" applyFill="1" applyBorder="1" applyProtection="1"/>
    <xf numFmtId="174" fontId="8" fillId="0" borderId="0" xfId="15" applyNumberFormat="1" applyFont="1" applyFill="1" applyBorder="1" applyAlignment="1" applyProtection="1">
      <alignment horizontal="center"/>
    </xf>
    <xf numFmtId="174" fontId="31" fillId="0" borderId="0" xfId="10" applyNumberFormat="1" applyFont="1" applyFill="1" applyBorder="1" applyAlignment="1" applyProtection="1">
      <alignment horizontal="center"/>
    </xf>
    <xf numFmtId="174" fontId="31" fillId="0" borderId="6" xfId="10" applyNumberFormat="1" applyFont="1" applyFill="1" applyBorder="1" applyProtection="1"/>
    <xf numFmtId="0" fontId="3" fillId="0" borderId="13" xfId="10" applyBorder="1"/>
    <xf numFmtId="0" fontId="3" fillId="0" borderId="1" xfId="10" applyBorder="1"/>
    <xf numFmtId="1" fontId="116" fillId="41" borderId="90" xfId="10" applyNumberFormat="1" applyFont="1" applyFill="1" applyBorder="1" applyAlignment="1" applyProtection="1">
      <alignment horizontal="center"/>
    </xf>
    <xf numFmtId="174" fontId="31" fillId="0" borderId="15" xfId="15" applyNumberFormat="1" applyFont="1" applyFill="1" applyBorder="1" applyAlignment="1" applyProtection="1">
      <alignment horizontal="center"/>
      <protection locked="0"/>
    </xf>
    <xf numFmtId="0" fontId="3" fillId="0" borderId="5" xfId="10" applyBorder="1"/>
    <xf numFmtId="0" fontId="3" fillId="0" borderId="0" xfId="10" applyBorder="1"/>
    <xf numFmtId="1" fontId="116" fillId="41" borderId="91" xfId="10" applyNumberFormat="1" applyFont="1" applyFill="1" applyBorder="1" applyAlignment="1" applyProtection="1">
      <alignment horizontal="center"/>
    </xf>
    <xf numFmtId="174" fontId="11" fillId="5" borderId="5" xfId="10" applyNumberFormat="1" applyFont="1" applyFill="1" applyBorder="1" applyAlignment="1" applyProtection="1">
      <alignment horizontal="right"/>
    </xf>
    <xf numFmtId="174" fontId="12" fillId="5" borderId="0" xfId="10" applyNumberFormat="1" applyFont="1" applyFill="1" applyBorder="1" applyAlignment="1" applyProtection="1">
      <alignment horizontal="right"/>
    </xf>
    <xf numFmtId="174" fontId="52" fillId="5" borderId="0" xfId="10" applyNumberFormat="1" applyFont="1" applyFill="1" applyBorder="1" applyAlignment="1" applyProtection="1">
      <alignment horizontal="right"/>
    </xf>
    <xf numFmtId="174" fontId="31" fillId="5" borderId="6" xfId="10" applyNumberFormat="1" applyFont="1" applyFill="1" applyBorder="1" applyAlignment="1" applyProtection="1">
      <alignment horizontal="right"/>
    </xf>
    <xf numFmtId="174" fontId="31" fillId="5" borderId="67" xfId="10" applyNumberFormat="1" applyFont="1" applyFill="1" applyBorder="1" applyAlignment="1" applyProtection="1">
      <alignment horizontal="right" readingOrder="2"/>
    </xf>
    <xf numFmtId="174" fontId="31" fillId="5" borderId="0" xfId="10" applyNumberFormat="1" applyFont="1" applyFill="1" applyBorder="1" applyAlignment="1" applyProtection="1"/>
    <xf numFmtId="174" fontId="31" fillId="43" borderId="6" xfId="15" applyNumberFormat="1" applyFont="1" applyFill="1" applyBorder="1" applyAlignment="1" applyProtection="1">
      <alignment horizontal="center"/>
      <protection locked="0"/>
    </xf>
    <xf numFmtId="174" fontId="31" fillId="5" borderId="0" xfId="10" applyNumberFormat="1" applyFont="1" applyFill="1" applyBorder="1" applyAlignment="1" applyProtection="1">
      <alignment horizontal="right"/>
      <protection locked="0"/>
    </xf>
    <xf numFmtId="174" fontId="32" fillId="5" borderId="0" xfId="10" applyNumberFormat="1" applyFont="1" applyFill="1" applyBorder="1" applyAlignment="1" applyProtection="1">
      <alignment horizontal="right"/>
      <protection locked="0"/>
    </xf>
    <xf numFmtId="174" fontId="11" fillId="5" borderId="14" xfId="10" applyNumberFormat="1" applyFont="1" applyFill="1" applyBorder="1" applyAlignment="1" applyProtection="1">
      <alignment horizontal="right"/>
    </xf>
    <xf numFmtId="174" fontId="31" fillId="5" borderId="92" xfId="10" applyNumberFormat="1" applyFont="1" applyFill="1" applyBorder="1" applyAlignment="1" applyProtection="1">
      <alignment horizontal="right" readingOrder="2"/>
    </xf>
    <xf numFmtId="174" fontId="31" fillId="5" borderId="10" xfId="10" applyNumberFormat="1" applyFont="1" applyFill="1" applyBorder="1" applyAlignment="1" applyProtection="1">
      <alignment horizontal="right"/>
    </xf>
    <xf numFmtId="174" fontId="31" fillId="44" borderId="93" xfId="1" applyNumberFormat="1" applyFont="1" applyFill="1" applyBorder="1" applyAlignment="1" applyProtection="1">
      <alignment horizontal="center"/>
    </xf>
    <xf numFmtId="174" fontId="31" fillId="44" borderId="94" xfId="1" applyNumberFormat="1" applyFont="1" applyFill="1" applyBorder="1" applyAlignment="1" applyProtection="1">
      <alignment horizontal="center"/>
    </xf>
    <xf numFmtId="174" fontId="11" fillId="0" borderId="79" xfId="10" applyNumberFormat="1" applyFont="1" applyFill="1" applyBorder="1" applyProtection="1"/>
    <xf numFmtId="174" fontId="41" fillId="0" borderId="13" xfId="10" applyNumberFormat="1" applyFont="1" applyFill="1" applyBorder="1" applyAlignment="1" applyProtection="1">
      <alignment horizontal="right"/>
    </xf>
    <xf numFmtId="174" fontId="117" fillId="41" borderId="95" xfId="10" applyNumberFormat="1" applyFont="1" applyFill="1" applyBorder="1" applyProtection="1"/>
    <xf numFmtId="174" fontId="31" fillId="5" borderId="5" xfId="10" applyNumberFormat="1" applyFont="1" applyFill="1" applyBorder="1" applyAlignment="1" applyProtection="1">
      <alignment horizontal="right"/>
    </xf>
    <xf numFmtId="174" fontId="12" fillId="5" borderId="5" xfId="10" applyNumberFormat="1" applyFont="1" applyFill="1" applyBorder="1" applyAlignment="1" applyProtection="1">
      <alignment horizontal="right"/>
    </xf>
    <xf numFmtId="174" fontId="11" fillId="5" borderId="6" xfId="10" applyNumberFormat="1" applyFont="1" applyFill="1" applyBorder="1" applyProtection="1"/>
    <xf numFmtId="0" fontId="3" fillId="0" borderId="5" xfId="10" applyFill="1" applyBorder="1"/>
    <xf numFmtId="0" fontId="3" fillId="0" borderId="0" xfId="10" applyFill="1" applyBorder="1"/>
    <xf numFmtId="0" fontId="3" fillId="0" borderId="6" xfId="10" applyFill="1" applyBorder="1"/>
    <xf numFmtId="0" fontId="3" fillId="0" borderId="4" xfId="10" applyFill="1" applyBorder="1"/>
    <xf numFmtId="174" fontId="31" fillId="0" borderId="17" xfId="10" applyNumberFormat="1" applyFont="1" applyFill="1" applyBorder="1" applyAlignment="1" applyProtection="1">
      <alignment horizontal="right"/>
    </xf>
    <xf numFmtId="174" fontId="31" fillId="0" borderId="17" xfId="10" applyNumberFormat="1" applyFont="1" applyFill="1" applyBorder="1" applyProtection="1"/>
    <xf numFmtId="174" fontId="8" fillId="0" borderId="17" xfId="15" applyNumberFormat="1" applyFont="1" applyFill="1" applyBorder="1" applyAlignment="1" applyProtection="1">
      <alignment horizontal="center"/>
    </xf>
    <xf numFmtId="174" fontId="31" fillId="0" borderId="17" xfId="10" applyNumberFormat="1" applyFont="1" applyFill="1" applyBorder="1" applyAlignment="1" applyProtection="1">
      <alignment horizontal="center"/>
    </xf>
    <xf numFmtId="174" fontId="31" fillId="0" borderId="17" xfId="15" applyNumberFormat="1" applyFont="1" applyFill="1" applyBorder="1" applyAlignment="1" applyProtection="1">
      <alignment horizontal="center"/>
      <protection locked="0"/>
    </xf>
    <xf numFmtId="174" fontId="31" fillId="0" borderId="18" xfId="10" applyNumberFormat="1" applyFont="1" applyFill="1" applyBorder="1" applyProtection="1"/>
    <xf numFmtId="174" fontId="41" fillId="0" borderId="4" xfId="10" applyNumberFormat="1" applyFont="1" applyFill="1" applyBorder="1" applyAlignment="1" applyProtection="1">
      <alignment horizontal="right"/>
    </xf>
    <xf numFmtId="174" fontId="31" fillId="0" borderId="67" xfId="10" applyNumberFormat="1" applyFont="1" applyFill="1" applyBorder="1" applyAlignment="1" applyProtection="1">
      <alignment horizontal="right"/>
    </xf>
    <xf numFmtId="174" fontId="31" fillId="0" borderId="0" xfId="15" applyNumberFormat="1" applyFont="1" applyFill="1" applyBorder="1" applyAlignment="1" applyProtection="1">
      <alignment horizontal="center"/>
      <protection locked="0"/>
    </xf>
    <xf numFmtId="174" fontId="31" fillId="5" borderId="14" xfId="10" applyNumberFormat="1" applyFont="1" applyFill="1" applyBorder="1" applyAlignment="1" applyProtection="1">
      <alignment horizontal="right"/>
    </xf>
    <xf numFmtId="174" fontId="8" fillId="5" borderId="10" xfId="15" applyNumberFormat="1" applyFont="1" applyFill="1" applyBorder="1" applyAlignment="1" applyProtection="1">
      <alignment horizontal="center"/>
    </xf>
    <xf numFmtId="174" fontId="31" fillId="5" borderId="10" xfId="10" applyNumberFormat="1" applyFont="1" applyFill="1" applyBorder="1" applyAlignment="1" applyProtection="1">
      <alignment horizontal="center"/>
    </xf>
    <xf numFmtId="174" fontId="11" fillId="6" borderId="0" xfId="10" applyNumberFormat="1" applyFont="1" applyFill="1" applyProtection="1"/>
    <xf numFmtId="0" fontId="142" fillId="50" borderId="96" xfId="16" applyFont="1" applyFill="1" applyBorder="1" applyAlignment="1" applyProtection="1">
      <alignment vertical="center" wrapText="1" readingOrder="2"/>
    </xf>
    <xf numFmtId="0" fontId="142" fillId="50" borderId="97" xfId="16" applyFont="1" applyFill="1" applyBorder="1" applyAlignment="1" applyProtection="1">
      <alignment vertical="center" readingOrder="2"/>
    </xf>
    <xf numFmtId="0" fontId="142" fillId="50" borderId="98" xfId="16" applyFont="1" applyFill="1" applyBorder="1" applyAlignment="1" applyProtection="1">
      <alignment vertical="center" readingOrder="2"/>
    </xf>
    <xf numFmtId="0" fontId="3" fillId="6" borderId="0" xfId="16" applyFill="1" applyProtection="1"/>
    <xf numFmtId="0" fontId="142" fillId="50" borderId="79" xfId="16" applyFont="1" applyFill="1" applyBorder="1" applyAlignment="1" applyProtection="1">
      <alignment vertical="center" readingOrder="2"/>
    </xf>
    <xf numFmtId="0" fontId="142" fillId="50" borderId="0" xfId="16" applyFont="1" applyFill="1" applyBorder="1" applyAlignment="1" applyProtection="1">
      <alignment vertical="center" readingOrder="2"/>
    </xf>
    <xf numFmtId="0" fontId="142" fillId="50" borderId="0" xfId="16" applyFont="1" applyFill="1" applyBorder="1" applyAlignment="1" applyProtection="1">
      <alignment horizontal="center" readingOrder="2"/>
    </xf>
    <xf numFmtId="0" fontId="142" fillId="50" borderId="99" xfId="16" applyFont="1" applyFill="1" applyBorder="1" applyAlignment="1" applyProtection="1">
      <alignment vertical="center" readingOrder="2"/>
    </xf>
    <xf numFmtId="0" fontId="142" fillId="50" borderId="0" xfId="16" applyNumberFormat="1" applyFont="1" applyFill="1" applyBorder="1" applyAlignment="1" applyProtection="1">
      <alignment horizontal="center" readingOrder="2"/>
    </xf>
    <xf numFmtId="0" fontId="142" fillId="50" borderId="88" xfId="16" applyFont="1" applyFill="1" applyBorder="1" applyAlignment="1" applyProtection="1">
      <alignment vertical="center" readingOrder="2"/>
    </xf>
    <xf numFmtId="0" fontId="142" fillId="50" borderId="89" xfId="16" applyFont="1" applyFill="1" applyBorder="1" applyAlignment="1" applyProtection="1">
      <alignment vertical="center" readingOrder="2"/>
    </xf>
    <xf numFmtId="0" fontId="143" fillId="50" borderId="89" xfId="16" applyFont="1" applyFill="1" applyBorder="1" applyAlignment="1" applyProtection="1">
      <alignment horizontal="center" readingOrder="2"/>
    </xf>
    <xf numFmtId="0" fontId="142" fillId="50" borderId="100" xfId="16" applyFont="1" applyFill="1" applyBorder="1" applyAlignment="1" applyProtection="1">
      <alignment vertical="center" readingOrder="2"/>
    </xf>
    <xf numFmtId="0" fontId="120" fillId="5" borderId="79" xfId="15" applyFont="1" applyFill="1" applyBorder="1" applyAlignment="1" applyProtection="1">
      <protection locked="0"/>
    </xf>
    <xf numFmtId="0" fontId="144" fillId="5" borderId="0" xfId="15" applyFont="1" applyFill="1" applyBorder="1" applyAlignment="1" applyProtection="1"/>
    <xf numFmtId="0" fontId="31" fillId="5" borderId="0" xfId="16" applyFont="1" applyFill="1" applyBorder="1" applyProtection="1"/>
    <xf numFmtId="0" fontId="31" fillId="5" borderId="99" xfId="16" applyFont="1" applyFill="1" applyBorder="1" applyProtection="1"/>
    <xf numFmtId="0" fontId="31" fillId="5" borderId="79" xfId="16" applyFont="1" applyFill="1" applyBorder="1" applyProtection="1"/>
    <xf numFmtId="0" fontId="31" fillId="5" borderId="81" xfId="16" applyFont="1" applyFill="1" applyBorder="1" applyProtection="1"/>
    <xf numFmtId="0" fontId="31" fillId="5" borderId="48" xfId="16" applyFont="1" applyFill="1" applyBorder="1" applyProtection="1"/>
    <xf numFmtId="0" fontId="31" fillId="5" borderId="17" xfId="16" applyFont="1" applyFill="1" applyBorder="1" applyProtection="1"/>
    <xf numFmtId="0" fontId="31" fillId="5" borderId="32" xfId="16" applyFont="1" applyFill="1" applyBorder="1" applyProtection="1"/>
    <xf numFmtId="0" fontId="31" fillId="5" borderId="67" xfId="16" applyFont="1" applyFill="1" applyBorder="1" applyProtection="1"/>
    <xf numFmtId="0" fontId="31" fillId="5" borderId="43" xfId="16" applyFont="1" applyFill="1" applyBorder="1" applyProtection="1"/>
    <xf numFmtId="0" fontId="31" fillId="43" borderId="0" xfId="16" applyFont="1" applyFill="1" applyBorder="1" applyAlignment="1" applyProtection="1">
      <alignment horizontal="center"/>
      <protection locked="0"/>
    </xf>
    <xf numFmtId="0" fontId="31" fillId="5" borderId="26" xfId="16" applyFont="1" applyFill="1" applyBorder="1" applyProtection="1"/>
    <xf numFmtId="0" fontId="31" fillId="5" borderId="0" xfId="16" applyFont="1" applyFill="1" applyBorder="1" applyAlignment="1" applyProtection="1">
      <alignment horizontal="center"/>
    </xf>
    <xf numFmtId="0" fontId="31" fillId="5" borderId="50" xfId="16" applyFont="1" applyFill="1" applyBorder="1" applyProtection="1"/>
    <xf numFmtId="0" fontId="31" fillId="5" borderId="7" xfId="16" applyFont="1" applyFill="1" applyBorder="1" applyProtection="1"/>
    <xf numFmtId="0" fontId="31" fillId="5" borderId="28" xfId="16" applyFont="1" applyFill="1" applyBorder="1" applyProtection="1"/>
    <xf numFmtId="0" fontId="31" fillId="5" borderId="88" xfId="16" applyFont="1" applyFill="1" applyBorder="1" applyProtection="1"/>
    <xf numFmtId="0" fontId="31" fillId="5" borderId="89" xfId="16" applyFont="1" applyFill="1" applyBorder="1" applyProtection="1"/>
    <xf numFmtId="0" fontId="31" fillId="5" borderId="100" xfId="16" applyFont="1" applyFill="1" applyBorder="1" applyProtection="1"/>
    <xf numFmtId="0" fontId="138" fillId="6" borderId="0" xfId="15" applyFill="1" applyAlignment="1" applyProtection="1"/>
    <xf numFmtId="0" fontId="138" fillId="6" borderId="0" xfId="15" quotePrefix="1" applyFill="1" applyAlignment="1" applyProtection="1"/>
    <xf numFmtId="0" fontId="3" fillId="10" borderId="0" xfId="16" applyFill="1" applyProtection="1"/>
    <xf numFmtId="0" fontId="145" fillId="50" borderId="96" xfId="17" applyFill="1" applyBorder="1" applyAlignment="1" applyProtection="1"/>
    <xf numFmtId="0" fontId="145" fillId="50" borderId="97" xfId="17" applyFill="1" applyBorder="1" applyAlignment="1" applyProtection="1"/>
    <xf numFmtId="0" fontId="145" fillId="50" borderId="79" xfId="17" applyFill="1" applyBorder="1" applyAlignment="1" applyProtection="1"/>
    <xf numFmtId="0" fontId="145" fillId="50" borderId="0" xfId="17" applyFill="1" applyBorder="1" applyAlignment="1" applyProtection="1"/>
    <xf numFmtId="0" fontId="146" fillId="50" borderId="0" xfId="17" applyFont="1" applyFill="1" applyBorder="1" applyAlignment="1" applyProtection="1">
      <alignment horizontal="center" readingOrder="2"/>
    </xf>
    <xf numFmtId="0" fontId="147" fillId="50" borderId="0" xfId="17" applyFont="1" applyFill="1" applyBorder="1" applyAlignment="1" applyProtection="1">
      <alignment horizontal="center" readingOrder="2"/>
    </xf>
    <xf numFmtId="0" fontId="3" fillId="50" borderId="0" xfId="18" applyFill="1" applyBorder="1" applyProtection="1"/>
    <xf numFmtId="0" fontId="3" fillId="5" borderId="0" xfId="17" applyFont="1" applyFill="1" applyBorder="1" applyProtection="1"/>
    <xf numFmtId="0" fontId="145" fillId="5" borderId="0" xfId="17" applyFill="1" applyBorder="1" applyProtection="1"/>
    <xf numFmtId="174" fontId="8" fillId="5" borderId="79" xfId="15" applyNumberFormat="1" applyFont="1" applyFill="1" applyBorder="1" applyAlignment="1" applyProtection="1"/>
    <xf numFmtId="174" fontId="138" fillId="5" borderId="0" xfId="15" applyNumberFormat="1" applyFont="1" applyFill="1" applyBorder="1" applyAlignment="1" applyProtection="1"/>
    <xf numFmtId="0" fontId="145" fillId="5" borderId="79" xfId="17" applyFill="1" applyBorder="1" applyProtection="1"/>
    <xf numFmtId="0" fontId="148" fillId="41" borderId="2" xfId="17" applyFont="1" applyFill="1" applyBorder="1" applyAlignment="1" applyProtection="1">
      <alignment horizontal="right" vertical="top" readingOrder="2"/>
    </xf>
    <xf numFmtId="0" fontId="148" fillId="41" borderId="2" xfId="17" applyFont="1" applyFill="1" applyBorder="1" applyProtection="1"/>
    <xf numFmtId="0" fontId="148" fillId="41" borderId="2" xfId="17" applyFont="1" applyFill="1" applyBorder="1" applyAlignment="1" applyProtection="1">
      <alignment horizontal="center" vertical="top" wrapText="1" readingOrder="2"/>
    </xf>
    <xf numFmtId="0" fontId="149" fillId="41" borderId="2" xfId="17" applyFont="1" applyFill="1" applyBorder="1" applyAlignment="1" applyProtection="1">
      <alignment horizontal="center" vertical="top" wrapText="1" readingOrder="2"/>
    </xf>
    <xf numFmtId="0" fontId="41" fillId="5" borderId="67" xfId="17" applyFont="1" applyFill="1" applyBorder="1" applyAlignment="1" applyProtection="1">
      <alignment horizontal="right" vertical="top" wrapText="1" readingOrder="2"/>
    </xf>
    <xf numFmtId="0" fontId="41" fillId="5" borderId="0" xfId="17" applyFont="1" applyFill="1" applyBorder="1" applyAlignment="1" applyProtection="1">
      <alignment horizontal="right" vertical="top" wrapText="1" readingOrder="2"/>
    </xf>
    <xf numFmtId="0" fontId="31" fillId="5" borderId="0" xfId="17" applyFont="1" applyFill="1" applyBorder="1" applyProtection="1"/>
    <xf numFmtId="0" fontId="31" fillId="5" borderId="67" xfId="17" applyFont="1" applyFill="1" applyBorder="1" applyProtection="1"/>
    <xf numFmtId="0" fontId="111" fillId="5" borderId="2" xfId="17" applyFont="1" applyFill="1" applyBorder="1" applyAlignment="1" applyProtection="1">
      <alignment horizontal="right" vertical="top" wrapText="1" readingOrder="2"/>
    </xf>
    <xf numFmtId="174" fontId="150" fillId="43" borderId="2" xfId="17" applyNumberFormat="1" applyFont="1" applyFill="1" applyBorder="1" applyAlignment="1" applyProtection="1">
      <alignment horizontal="center"/>
      <protection locked="0"/>
    </xf>
    <xf numFmtId="2" fontId="31" fillId="5" borderId="0" xfId="17" applyNumberFormat="1" applyFont="1" applyFill="1" applyBorder="1" applyProtection="1"/>
    <xf numFmtId="0" fontId="112" fillId="5" borderId="2" xfId="17" applyFont="1" applyFill="1" applyBorder="1" applyAlignment="1" applyProtection="1">
      <alignment horizontal="right" vertical="top" wrapText="1" readingOrder="2"/>
    </xf>
    <xf numFmtId="3" fontId="151" fillId="44" borderId="2" xfId="17" applyNumberFormat="1" applyFont="1" applyFill="1" applyBorder="1" applyAlignment="1" applyProtection="1">
      <alignment horizontal="center" vertical="top" wrapText="1" readingOrder="2"/>
    </xf>
    <xf numFmtId="0" fontId="150" fillId="5" borderId="2" xfId="17" applyFont="1" applyFill="1" applyBorder="1" applyProtection="1"/>
    <xf numFmtId="174" fontId="111" fillId="5" borderId="2" xfId="17" applyNumberFormat="1" applyFont="1" applyFill="1" applyBorder="1" applyAlignment="1" applyProtection="1">
      <alignment horizontal="right" vertical="top" wrapText="1"/>
    </xf>
    <xf numFmtId="3" fontId="151" fillId="3" borderId="2" xfId="17" applyNumberFormat="1" applyFont="1" applyFill="1" applyBorder="1" applyAlignment="1" applyProtection="1">
      <alignment horizontal="center" vertical="top" wrapText="1" readingOrder="2"/>
    </xf>
    <xf numFmtId="3" fontId="151" fillId="44" borderId="2" xfId="17" applyNumberFormat="1" applyFont="1" applyFill="1" applyBorder="1" applyAlignment="1" applyProtection="1">
      <alignment horizontal="center" vertical="center" wrapText="1" readingOrder="2"/>
    </xf>
    <xf numFmtId="3" fontId="153" fillId="5" borderId="2" xfId="17" applyNumberFormat="1" applyFont="1" applyFill="1" applyBorder="1" applyAlignment="1" applyProtection="1">
      <alignment horizontal="center" vertical="top" wrapText="1" readingOrder="2"/>
    </xf>
    <xf numFmtId="10" fontId="31" fillId="5" borderId="0" xfId="19" applyNumberFormat="1" applyFont="1" applyFill="1" applyBorder="1" applyProtection="1"/>
    <xf numFmtId="10" fontId="154" fillId="44" borderId="2" xfId="17" applyNumberFormat="1" applyFont="1" applyFill="1" applyBorder="1" applyAlignment="1" applyProtection="1">
      <alignment horizontal="center" vertical="top" wrapText="1" readingOrder="2"/>
    </xf>
    <xf numFmtId="0" fontId="112" fillId="30" borderId="2" xfId="17" applyFont="1" applyFill="1" applyBorder="1" applyAlignment="1" applyProtection="1">
      <alignment horizontal="center" wrapText="1"/>
    </xf>
    <xf numFmtId="0" fontId="145" fillId="50" borderId="97" xfId="17" applyFill="1" applyBorder="1" applyAlignment="1" applyProtection="1">
      <alignment horizontal="center"/>
    </xf>
    <xf numFmtId="0" fontId="145" fillId="50" borderId="0" xfId="17" applyFill="1" applyBorder="1" applyAlignment="1" applyProtection="1">
      <alignment horizontal="center"/>
    </xf>
    <xf numFmtId="0" fontId="145" fillId="5" borderId="0" xfId="17" applyFill="1" applyBorder="1" applyAlignment="1" applyProtection="1">
      <alignment horizontal="center"/>
    </xf>
    <xf numFmtId="0" fontId="150" fillId="5" borderId="2" xfId="17" applyFont="1" applyFill="1" applyBorder="1" applyAlignment="1" applyProtection="1">
      <alignment horizontal="center"/>
    </xf>
    <xf numFmtId="0" fontId="31" fillId="5" borderId="0" xfId="17" applyFont="1" applyFill="1" applyBorder="1" applyAlignment="1" applyProtection="1">
      <alignment horizontal="center"/>
    </xf>
    <xf numFmtId="0" fontId="0" fillId="0" borderId="51" xfId="0" applyBorder="1" applyAlignment="1">
      <alignment horizontal="center"/>
    </xf>
    <xf numFmtId="167" fontId="150" fillId="5" borderId="2" xfId="17" applyNumberFormat="1" applyFont="1" applyFill="1" applyBorder="1" applyProtection="1"/>
    <xf numFmtId="164" fontId="0" fillId="0" borderId="0" xfId="1" applyNumberFormat="1" applyFont="1" applyAlignment="1">
      <alignment horizontal="left"/>
    </xf>
    <xf numFmtId="174" fontId="31" fillId="43" borderId="0" xfId="15" applyNumberFormat="1" applyFont="1" applyFill="1" applyBorder="1" applyAlignment="1" applyProtection="1">
      <alignment horizontal="center"/>
    </xf>
    <xf numFmtId="174" fontId="31" fillId="48" borderId="11" xfId="12" applyNumberFormat="1" applyFont="1" applyFill="1" applyBorder="1" applyAlignment="1" applyProtection="1">
      <alignment horizontal="center"/>
    </xf>
    <xf numFmtId="167" fontId="3" fillId="13" borderId="44" xfId="0" applyNumberFormat="1" applyFont="1" applyFill="1" applyBorder="1" applyAlignment="1">
      <alignment horizontal="center" vertical="center"/>
    </xf>
    <xf numFmtId="167" fontId="3" fillId="13" borderId="40" xfId="0" applyNumberFormat="1" applyFont="1" applyFill="1" applyBorder="1" applyAlignment="1">
      <alignment horizontal="center" vertical="center"/>
    </xf>
    <xf numFmtId="167" fontId="3" fillId="13" borderId="45" xfId="0" applyNumberFormat="1" applyFont="1" applyFill="1" applyBorder="1" applyAlignment="1">
      <alignment horizontal="center" vertical="center"/>
    </xf>
    <xf numFmtId="164" fontId="3" fillId="10" borderId="2" xfId="1" applyNumberFormat="1" applyFont="1" applyFill="1" applyBorder="1" applyAlignment="1">
      <alignment horizontal="center"/>
    </xf>
    <xf numFmtId="164" fontId="3" fillId="30" borderId="2" xfId="1" applyNumberFormat="1" applyFont="1" applyFill="1" applyBorder="1"/>
    <xf numFmtId="0" fontId="3" fillId="0" borderId="0" xfId="12" applyFont="1" applyBorder="1"/>
    <xf numFmtId="164" fontId="3" fillId="32" borderId="2" xfId="1" applyNumberFormat="1" applyFont="1" applyFill="1" applyBorder="1"/>
    <xf numFmtId="0" fontId="3" fillId="0" borderId="17" xfId="12" applyFont="1" applyBorder="1"/>
    <xf numFmtId="164" fontId="3" fillId="12" borderId="2" xfId="1" applyNumberFormat="1" applyFont="1" applyFill="1" applyBorder="1"/>
    <xf numFmtId="43" fontId="3" fillId="12" borderId="2" xfId="1" applyFont="1" applyFill="1" applyBorder="1"/>
    <xf numFmtId="3" fontId="109" fillId="35" borderId="62" xfId="0" applyNumberFormat="1" applyFont="1" applyFill="1" applyBorder="1" applyAlignment="1">
      <alignment horizontal="right"/>
    </xf>
    <xf numFmtId="3" fontId="155" fillId="35" borderId="59" xfId="0" applyNumberFormat="1" applyFont="1" applyFill="1" applyBorder="1" applyAlignment="1">
      <alignment horizontal="right"/>
    </xf>
    <xf numFmtId="3" fontId="155" fillId="35" borderId="62" xfId="0" applyNumberFormat="1" applyFont="1" applyFill="1" applyBorder="1" applyAlignment="1">
      <alignment horizontal="right"/>
    </xf>
    <xf numFmtId="49" fontId="155" fillId="35" borderId="62" xfId="0" applyNumberFormat="1" applyFont="1" applyFill="1" applyBorder="1" applyAlignment="1">
      <alignment horizontal="right" wrapText="1"/>
    </xf>
    <xf numFmtId="49" fontId="155" fillId="35" borderId="0" xfId="0" applyNumberFormat="1" applyFont="1" applyFill="1" applyBorder="1" applyAlignment="1">
      <alignment horizontal="right" wrapText="1"/>
    </xf>
    <xf numFmtId="3" fontId="155" fillId="35" borderId="65" xfId="0" applyNumberFormat="1" applyFont="1" applyFill="1" applyBorder="1" applyAlignment="1">
      <alignment horizontal="right"/>
    </xf>
    <xf numFmtId="3" fontId="155" fillId="35" borderId="0" xfId="0" applyNumberFormat="1" applyFont="1" applyFill="1" applyBorder="1" applyAlignment="1">
      <alignment horizontal="right"/>
    </xf>
    <xf numFmtId="3" fontId="155" fillId="37" borderId="59" xfId="0" applyNumberFormat="1" applyFont="1" applyFill="1" applyBorder="1" applyAlignment="1">
      <alignment horizontal="right"/>
    </xf>
    <xf numFmtId="3" fontId="155" fillId="37" borderId="62" xfId="0" applyNumberFormat="1" applyFont="1" applyFill="1" applyBorder="1" applyAlignment="1">
      <alignment horizontal="right"/>
    </xf>
    <xf numFmtId="164" fontId="3" fillId="0" borderId="2" xfId="1" applyNumberFormat="1" applyFont="1" applyFill="1" applyBorder="1"/>
    <xf numFmtId="43" fontId="3" fillId="16" borderId="2" xfId="1" applyFont="1" applyFill="1" applyBorder="1"/>
    <xf numFmtId="9" fontId="0" fillId="0" borderId="2" xfId="6" applyNumberFormat="1" applyFont="1" applyFill="1" applyBorder="1"/>
    <xf numFmtId="9" fontId="3" fillId="0" borderId="2" xfId="6" applyNumberFormat="1" applyFont="1" applyFill="1" applyBorder="1"/>
    <xf numFmtId="49" fontId="155" fillId="37" borderId="62" xfId="0" applyNumberFormat="1" applyFont="1" applyFill="1" applyBorder="1" applyAlignment="1">
      <alignment horizontal="right" wrapText="1"/>
    </xf>
    <xf numFmtId="179" fontId="0" fillId="14" borderId="2" xfId="0" applyNumberFormat="1" applyFill="1" applyBorder="1"/>
    <xf numFmtId="10" fontId="0" fillId="0" borderId="0" xfId="1" applyNumberFormat="1" applyFont="1"/>
    <xf numFmtId="43" fontId="3" fillId="13" borderId="2" xfId="1" applyNumberFormat="1" applyFont="1" applyFill="1" applyBorder="1" applyAlignment="1">
      <alignment horizontal="right" wrapText="1"/>
    </xf>
    <xf numFmtId="174" fontId="121" fillId="43" borderId="0" xfId="12" applyNumberFormat="1" applyFont="1" applyFill="1" applyBorder="1" applyAlignment="1" applyProtection="1">
      <alignment horizontal="right" vertical="top" wrapText="1"/>
      <protection locked="0"/>
    </xf>
    <xf numFmtId="174" fontId="31" fillId="43" borderId="0" xfId="12" applyNumberFormat="1" applyFont="1" applyFill="1" applyBorder="1" applyAlignment="1" applyProtection="1">
      <alignment horizontal="right" vertical="top"/>
      <protection locked="0"/>
    </xf>
    <xf numFmtId="174" fontId="31" fillId="43" borderId="0" xfId="12" applyNumberFormat="1" applyFont="1" applyFill="1" applyBorder="1" applyAlignment="1" applyProtection="1">
      <alignment horizontal="right" vertical="top" readingOrder="2"/>
      <protection locked="0"/>
    </xf>
    <xf numFmtId="187" fontId="38" fillId="0" borderId="2" xfId="0" applyNumberFormat="1" applyFont="1" applyBorder="1" applyAlignment="1" applyProtection="1">
      <alignment horizontal="right"/>
    </xf>
    <xf numFmtId="184" fontId="0" fillId="14" borderId="2" xfId="0" applyNumberFormat="1" applyFill="1" applyBorder="1"/>
    <xf numFmtId="191" fontId="0" fillId="14" borderId="2" xfId="0" applyNumberFormat="1" applyFill="1" applyBorder="1"/>
    <xf numFmtId="191" fontId="0" fillId="0" borderId="2" xfId="0" applyNumberFormat="1" applyFill="1" applyBorder="1"/>
    <xf numFmtId="174" fontId="114" fillId="41" borderId="67" xfId="12" applyNumberFormat="1" applyFont="1" applyFill="1" applyBorder="1" applyAlignment="1" applyProtection="1">
      <alignment horizontal="right" wrapText="1" readingOrder="2"/>
      <protection locked="0"/>
    </xf>
    <xf numFmtId="174" fontId="115" fillId="41" borderId="0" xfId="12" applyNumberFormat="1" applyFont="1" applyFill="1" applyBorder="1" applyAlignment="1" applyProtection="1">
      <alignment horizontal="center"/>
      <protection locked="0"/>
    </xf>
    <xf numFmtId="174" fontId="115" fillId="41" borderId="0" xfId="12" applyNumberFormat="1" applyFont="1" applyFill="1" applyBorder="1" applyAlignment="1" applyProtection="1">
      <alignment horizontal="right" vertical="top" readingOrder="2"/>
      <protection locked="0"/>
    </xf>
    <xf numFmtId="174" fontId="117" fillId="41" borderId="0" xfId="12" applyNumberFormat="1" applyFont="1" applyFill="1" applyBorder="1" applyAlignment="1" applyProtection="1">
      <alignment horizontal="right"/>
      <protection locked="0"/>
    </xf>
    <xf numFmtId="174" fontId="12" fillId="10" borderId="2" xfId="12" applyNumberFormat="1" applyFont="1" applyFill="1" applyBorder="1" applyAlignment="1" applyProtection="1">
      <alignment horizontal="center" wrapText="1"/>
      <protection locked="0"/>
    </xf>
    <xf numFmtId="0" fontId="3" fillId="0" borderId="0" xfId="12" applyFill="1" applyProtection="1">
      <protection locked="0"/>
    </xf>
    <xf numFmtId="0" fontId="15" fillId="0" borderId="2" xfId="12" applyFont="1" applyBorder="1" applyAlignment="1" applyProtection="1">
      <alignment horizontal="center"/>
      <protection locked="0"/>
    </xf>
    <xf numFmtId="0" fontId="3" fillId="0" borderId="0" xfId="12" applyProtection="1">
      <protection locked="0"/>
    </xf>
    <xf numFmtId="174" fontId="12" fillId="5" borderId="2" xfId="12" applyNumberFormat="1" applyFont="1" applyFill="1" applyBorder="1" applyAlignment="1" applyProtection="1">
      <alignment horizontal="center" wrapText="1"/>
      <protection locked="0"/>
    </xf>
    <xf numFmtId="174" fontId="12" fillId="5" borderId="2" xfId="12" applyNumberFormat="1" applyFont="1" applyFill="1" applyBorder="1" applyAlignment="1" applyProtection="1">
      <alignment horizontal="center"/>
      <protection locked="0"/>
    </xf>
    <xf numFmtId="164" fontId="3" fillId="0" borderId="2" xfId="1" applyNumberFormat="1" applyFont="1" applyBorder="1" applyProtection="1">
      <protection locked="0"/>
    </xf>
    <xf numFmtId="0" fontId="3" fillId="0" borderId="2" xfId="12" applyBorder="1" applyProtection="1">
      <protection locked="0"/>
    </xf>
    <xf numFmtId="189" fontId="118" fillId="5" borderId="67" xfId="12" applyNumberFormat="1" applyFont="1" applyFill="1" applyBorder="1" applyAlignment="1" applyProtection="1">
      <alignment horizontal="right" wrapText="1" readingOrder="2"/>
      <protection locked="0"/>
    </xf>
    <xf numFmtId="174" fontId="12" fillId="5" borderId="0" xfId="12" applyNumberFormat="1" applyFont="1" applyFill="1" applyBorder="1" applyAlignment="1" applyProtection="1">
      <alignment horizontal="right" vertical="top" readingOrder="2"/>
      <protection locked="0"/>
    </xf>
    <xf numFmtId="0" fontId="12" fillId="49" borderId="2" xfId="9" applyFont="1" applyFill="1" applyBorder="1" applyAlignment="1" applyProtection="1">
      <alignment horizontal="center"/>
      <protection locked="0"/>
    </xf>
    <xf numFmtId="174" fontId="12" fillId="49" borderId="2" xfId="12" applyNumberFormat="1" applyFont="1" applyFill="1" applyBorder="1" applyAlignment="1" applyProtection="1">
      <alignment horizontal="center"/>
      <protection locked="0"/>
    </xf>
    <xf numFmtId="9" fontId="133" fillId="49" borderId="2" xfId="6" applyFont="1" applyFill="1" applyBorder="1" applyAlignment="1" applyProtection="1">
      <alignment horizontal="center"/>
      <protection locked="0"/>
    </xf>
    <xf numFmtId="9" fontId="3" fillId="0" borderId="2" xfId="6" applyBorder="1" applyProtection="1">
      <protection locked="0"/>
    </xf>
    <xf numFmtId="174" fontId="3" fillId="0" borderId="2" xfId="12" applyNumberFormat="1" applyBorder="1" applyProtection="1">
      <protection locked="0"/>
    </xf>
    <xf numFmtId="9" fontId="3" fillId="0" borderId="0" xfId="6" applyBorder="1" applyProtection="1">
      <protection locked="0"/>
    </xf>
    <xf numFmtId="174" fontId="31" fillId="5" borderId="67" xfId="12" applyNumberFormat="1" applyFont="1" applyFill="1" applyBorder="1" applyAlignment="1" applyProtection="1">
      <alignment horizontal="right" wrapText="1" readingOrder="2"/>
      <protection locked="0"/>
    </xf>
    <xf numFmtId="164" fontId="15" fillId="0" borderId="0" xfId="1" applyNumberFormat="1" applyFont="1" applyFill="1" applyProtection="1">
      <protection locked="0"/>
    </xf>
    <xf numFmtId="174" fontId="3" fillId="10" borderId="2" xfId="12" applyNumberFormat="1" applyFill="1" applyBorder="1" applyProtection="1">
      <protection locked="0"/>
    </xf>
    <xf numFmtId="174" fontId="32" fillId="5" borderId="0" xfId="12" applyNumberFormat="1" applyFont="1" applyFill="1" applyBorder="1" applyAlignment="1" applyProtection="1">
      <alignment horizontal="right"/>
      <protection locked="0"/>
    </xf>
    <xf numFmtId="1" fontId="116" fillId="41" borderId="70" xfId="12" applyNumberFormat="1" applyFont="1" applyFill="1" applyBorder="1" applyAlignment="1" applyProtection="1">
      <alignment horizontal="center" wrapText="1"/>
      <protection locked="0"/>
    </xf>
    <xf numFmtId="1" fontId="116" fillId="42" borderId="0" xfId="12" applyNumberFormat="1" applyFont="1" applyFill="1" applyBorder="1" applyAlignment="1" applyProtection="1">
      <alignment horizontal="center" wrapText="1"/>
      <protection locked="0"/>
    </xf>
    <xf numFmtId="1" fontId="116" fillId="46" borderId="0" xfId="12" applyNumberFormat="1" applyFont="1" applyFill="1" applyBorder="1" applyAlignment="1" applyProtection="1">
      <alignment horizontal="center" wrapText="1"/>
      <protection locked="0"/>
    </xf>
    <xf numFmtId="1" fontId="116" fillId="39" borderId="0" xfId="12" applyNumberFormat="1" applyFont="1" applyFill="1" applyBorder="1" applyAlignment="1" applyProtection="1">
      <alignment horizontal="center" wrapText="1"/>
      <protection locked="0"/>
    </xf>
    <xf numFmtId="1" fontId="116" fillId="47" borderId="0" xfId="12" applyNumberFormat="1" applyFont="1" applyFill="1" applyBorder="1" applyAlignment="1" applyProtection="1">
      <alignment horizontal="center" wrapText="1"/>
      <protection locked="0"/>
    </xf>
    <xf numFmtId="1" fontId="116" fillId="42" borderId="70" xfId="12" applyNumberFormat="1" applyFont="1" applyFill="1" applyBorder="1" applyAlignment="1" applyProtection="1">
      <alignment horizontal="center" wrapText="1"/>
      <protection locked="0"/>
    </xf>
    <xf numFmtId="1" fontId="116" fillId="47" borderId="70" xfId="12" applyNumberFormat="1" applyFont="1" applyFill="1" applyBorder="1" applyAlignment="1" applyProtection="1">
      <alignment horizontal="center" wrapText="1"/>
      <protection locked="0"/>
    </xf>
    <xf numFmtId="1" fontId="116" fillId="39" borderId="70" xfId="12" applyNumberFormat="1" applyFont="1" applyFill="1" applyBorder="1" applyAlignment="1" applyProtection="1">
      <alignment horizontal="center" wrapText="1"/>
      <protection locked="0"/>
    </xf>
    <xf numFmtId="1" fontId="116" fillId="46" borderId="70" xfId="12" applyNumberFormat="1" applyFont="1" applyFill="1" applyBorder="1" applyAlignment="1" applyProtection="1">
      <alignment horizontal="center" wrapText="1"/>
      <protection locked="0"/>
    </xf>
    <xf numFmtId="167" fontId="3" fillId="0" borderId="0" xfId="12" applyNumberFormat="1" applyFill="1" applyProtection="1">
      <protection locked="0"/>
    </xf>
    <xf numFmtId="0" fontId="73" fillId="23" borderId="2" xfId="9" applyFont="1" applyFill="1" applyBorder="1" applyProtection="1">
      <protection locked="0"/>
    </xf>
    <xf numFmtId="174" fontId="119" fillId="5" borderId="0" xfId="12" applyNumberFormat="1" applyFont="1" applyFill="1" applyBorder="1" applyAlignment="1" applyProtection="1">
      <alignment horizontal="right"/>
      <protection locked="0"/>
    </xf>
    <xf numFmtId="1" fontId="116" fillId="5" borderId="0" xfId="12" applyNumberFormat="1" applyFont="1" applyFill="1" applyBorder="1" applyAlignment="1" applyProtection="1">
      <alignment horizontal="center"/>
      <protection locked="0"/>
    </xf>
    <xf numFmtId="174" fontId="12" fillId="5" borderId="0" xfId="12" applyNumberFormat="1" applyFont="1" applyFill="1" applyBorder="1" applyAlignment="1" applyProtection="1">
      <alignment horizontal="center"/>
      <protection locked="0"/>
    </xf>
    <xf numFmtId="174" fontId="12" fillId="44" borderId="12" xfId="12" applyNumberFormat="1" applyFont="1" applyFill="1" applyBorder="1" applyAlignment="1" applyProtection="1">
      <alignment horizontal="center"/>
      <protection locked="0"/>
    </xf>
    <xf numFmtId="1" fontId="116" fillId="41" borderId="70" xfId="12" applyNumberFormat="1" applyFont="1" applyFill="1" applyBorder="1" applyAlignment="1" applyProtection="1">
      <alignment horizontal="right"/>
      <protection locked="0"/>
    </xf>
    <xf numFmtId="174" fontId="52" fillId="5" borderId="0" xfId="12" applyNumberFormat="1" applyFont="1" applyFill="1" applyBorder="1" applyAlignment="1" applyProtection="1">
      <alignment horizontal="right"/>
      <protection locked="0"/>
    </xf>
    <xf numFmtId="174" fontId="31" fillId="5" borderId="0" xfId="12" applyNumberFormat="1" applyFont="1" applyFill="1" applyBorder="1" applyAlignment="1" applyProtection="1">
      <alignment horizontal="center"/>
      <protection locked="0"/>
    </xf>
    <xf numFmtId="174" fontId="31" fillId="5" borderId="0" xfId="12" applyNumberFormat="1" applyFont="1" applyFill="1" applyBorder="1" applyAlignment="1" applyProtection="1">
      <protection locked="0"/>
    </xf>
    <xf numFmtId="175" fontId="31" fillId="48" borderId="11" xfId="12" applyNumberFormat="1" applyFont="1" applyFill="1" applyBorder="1" applyAlignment="1" applyProtection="1">
      <alignment horizontal="center"/>
      <protection locked="0"/>
    </xf>
    <xf numFmtId="174" fontId="3" fillId="0" borderId="0" xfId="12" applyNumberFormat="1" applyProtection="1">
      <protection locked="0"/>
    </xf>
    <xf numFmtId="174" fontId="33" fillId="5" borderId="0" xfId="12" applyNumberFormat="1" applyFont="1" applyFill="1" applyBorder="1" applyAlignment="1" applyProtection="1">
      <alignment horizontal="right" wrapText="1"/>
      <protection locked="0"/>
    </xf>
    <xf numFmtId="174" fontId="33" fillId="5" borderId="0" xfId="12" applyNumberFormat="1" applyFont="1" applyFill="1" applyBorder="1" applyAlignment="1" applyProtection="1">
      <alignment horizontal="right"/>
      <protection locked="0"/>
    </xf>
    <xf numFmtId="0" fontId="9" fillId="0" borderId="0" xfId="12" applyFont="1" applyAlignment="1" applyProtection="1">
      <alignment wrapText="1"/>
      <protection locked="0"/>
    </xf>
    <xf numFmtId="174" fontId="91" fillId="5" borderId="67" xfId="12" applyNumberFormat="1" applyFont="1" applyFill="1" applyBorder="1" applyAlignment="1" applyProtection="1">
      <alignment horizontal="right" wrapText="1" readingOrder="2"/>
      <protection locked="0"/>
    </xf>
    <xf numFmtId="174" fontId="91" fillId="5" borderId="0" xfId="12" applyNumberFormat="1" applyFont="1" applyFill="1" applyBorder="1" applyAlignment="1" applyProtection="1">
      <protection locked="0"/>
    </xf>
    <xf numFmtId="174" fontId="91" fillId="48" borderId="11" xfId="12" applyNumberFormat="1" applyFont="1" applyFill="1" applyBorder="1" applyAlignment="1" applyProtection="1">
      <alignment horizontal="center"/>
      <protection locked="0"/>
    </xf>
    <xf numFmtId="174" fontId="72" fillId="0" borderId="0" xfId="12" applyNumberFormat="1" applyFont="1" applyProtection="1">
      <protection locked="0"/>
    </xf>
    <xf numFmtId="0" fontId="72" fillId="0" borderId="0" xfId="12" applyFont="1" applyProtection="1">
      <protection locked="0"/>
    </xf>
    <xf numFmtId="175" fontId="91" fillId="48" borderId="11" xfId="12" applyNumberFormat="1" applyFont="1" applyFill="1" applyBorder="1" applyAlignment="1" applyProtection="1">
      <alignment horizontal="center"/>
      <protection locked="0"/>
    </xf>
    <xf numFmtId="175" fontId="12" fillId="44" borderId="12" xfId="12" applyNumberFormat="1" applyFont="1" applyFill="1" applyBorder="1" applyAlignment="1" applyProtection="1">
      <alignment horizontal="center"/>
      <protection locked="0"/>
    </xf>
    <xf numFmtId="174" fontId="3" fillId="0" borderId="0" xfId="12" applyNumberFormat="1" applyFill="1" applyProtection="1">
      <protection locked="0"/>
    </xf>
    <xf numFmtId="175" fontId="41" fillId="44" borderId="12" xfId="12" applyNumberFormat="1" applyFont="1" applyFill="1" applyBorder="1" applyAlignment="1" applyProtection="1">
      <alignment horizontal="center"/>
      <protection locked="0"/>
    </xf>
    <xf numFmtId="177" fontId="41" fillId="44" borderId="12" xfId="12" applyNumberFormat="1" applyFont="1" applyFill="1" applyBorder="1" applyAlignment="1" applyProtection="1">
      <alignment horizontal="center"/>
      <protection locked="0"/>
    </xf>
    <xf numFmtId="177" fontId="41" fillId="44" borderId="0" xfId="12" applyNumberFormat="1" applyFont="1" applyFill="1" applyBorder="1" applyAlignment="1" applyProtection="1">
      <alignment horizontal="center"/>
      <protection locked="0"/>
    </xf>
    <xf numFmtId="177" fontId="31" fillId="5" borderId="0" xfId="12" applyNumberFormat="1" applyFont="1" applyFill="1" applyBorder="1" applyAlignment="1" applyProtection="1">
      <alignment horizontal="right"/>
      <protection locked="0"/>
    </xf>
    <xf numFmtId="174" fontId="12" fillId="5" borderId="71" xfId="12" applyNumberFormat="1" applyFont="1" applyFill="1" applyBorder="1" applyAlignment="1" applyProtection="1">
      <alignment horizontal="center"/>
      <protection locked="0"/>
    </xf>
    <xf numFmtId="174" fontId="12" fillId="5" borderId="78" xfId="12" applyNumberFormat="1" applyFont="1" applyFill="1" applyBorder="1" applyAlignment="1" applyProtection="1">
      <alignment horizontal="center"/>
      <protection locked="0"/>
    </xf>
    <xf numFmtId="174" fontId="12" fillId="44" borderId="72" xfId="12" applyNumberFormat="1" applyFont="1" applyFill="1" applyBorder="1" applyAlignment="1" applyProtection="1">
      <alignment horizontal="center"/>
      <protection locked="0"/>
    </xf>
    <xf numFmtId="174" fontId="12" fillId="44" borderId="76" xfId="12" applyNumberFormat="1" applyFont="1" applyFill="1" applyBorder="1" applyAlignment="1" applyProtection="1">
      <alignment horizontal="center"/>
      <protection locked="0"/>
    </xf>
    <xf numFmtId="174" fontId="12" fillId="5" borderId="0" xfId="12" applyNumberFormat="1" applyFont="1" applyFill="1" applyBorder="1" applyAlignment="1" applyProtection="1">
      <alignment horizontal="right" readingOrder="2"/>
      <protection locked="0"/>
    </xf>
    <xf numFmtId="174" fontId="41" fillId="5" borderId="0" xfId="12" applyNumberFormat="1" applyFont="1" applyFill="1" applyBorder="1" applyAlignment="1" applyProtection="1">
      <alignment horizontal="right"/>
      <protection locked="0"/>
    </xf>
    <xf numFmtId="174" fontId="120" fillId="5" borderId="0" xfId="12" applyNumberFormat="1" applyFont="1" applyFill="1" applyBorder="1" applyAlignment="1" applyProtection="1">
      <alignment horizontal="right"/>
      <protection locked="0"/>
    </xf>
    <xf numFmtId="174" fontId="12" fillId="44" borderId="0" xfId="12" applyNumberFormat="1" applyFont="1" applyFill="1" applyBorder="1" applyAlignment="1" applyProtection="1">
      <alignment horizontal="center"/>
      <protection locked="0"/>
    </xf>
    <xf numFmtId="174" fontId="31" fillId="5" borderId="67" xfId="12" applyNumberFormat="1" applyFont="1" applyFill="1" applyBorder="1" applyAlignment="1" applyProtection="1">
      <alignment horizontal="left" wrapText="1" readingOrder="2"/>
      <protection locked="0"/>
    </xf>
    <xf numFmtId="177" fontId="3" fillId="0" borderId="0" xfId="12" applyNumberFormat="1" applyProtection="1">
      <protection locked="0"/>
    </xf>
    <xf numFmtId="174" fontId="31" fillId="48" borderId="11" xfId="13" applyNumberFormat="1" applyFont="1" applyFill="1" applyBorder="1" applyAlignment="1" applyProtection="1">
      <alignment horizontal="center"/>
      <protection locked="0"/>
    </xf>
    <xf numFmtId="174" fontId="31" fillId="5" borderId="71" xfId="12" applyNumberFormat="1" applyFont="1" applyFill="1" applyBorder="1" applyAlignment="1" applyProtection="1">
      <alignment horizontal="center"/>
      <protection locked="0"/>
    </xf>
    <xf numFmtId="174" fontId="11" fillId="5" borderId="67" xfId="12" applyNumberFormat="1" applyFont="1" applyFill="1" applyBorder="1" applyAlignment="1" applyProtection="1">
      <alignment horizontal="right" wrapText="1"/>
      <protection locked="0"/>
    </xf>
    <xf numFmtId="174" fontId="31" fillId="5" borderId="0" xfId="12" applyNumberFormat="1" applyFont="1" applyFill="1" applyBorder="1" applyAlignment="1" applyProtection="1">
      <alignment horizontal="left" readingOrder="2"/>
      <protection locked="0"/>
    </xf>
    <xf numFmtId="174" fontId="31" fillId="5" borderId="67" xfId="12" applyNumberFormat="1" applyFont="1" applyFill="1" applyBorder="1" applyAlignment="1" applyProtection="1">
      <alignment wrapText="1" readingOrder="2"/>
      <protection locked="0"/>
    </xf>
    <xf numFmtId="174" fontId="31" fillId="5" borderId="0" xfId="12" applyNumberFormat="1" applyFont="1" applyFill="1" applyBorder="1" applyAlignment="1" applyProtection="1">
      <alignment readingOrder="2"/>
      <protection locked="0"/>
    </xf>
    <xf numFmtId="174" fontId="12" fillId="5" borderId="0" xfId="12" applyNumberFormat="1" applyFont="1" applyFill="1" applyBorder="1" applyAlignment="1" applyProtection="1">
      <alignment readingOrder="2"/>
      <protection locked="0"/>
    </xf>
    <xf numFmtId="174" fontId="116" fillId="5" borderId="0" xfId="12" applyNumberFormat="1" applyFont="1" applyFill="1" applyBorder="1" applyAlignment="1" applyProtection="1">
      <alignment readingOrder="2"/>
      <protection locked="0"/>
    </xf>
    <xf numFmtId="174" fontId="3" fillId="0" borderId="68" xfId="12" applyNumberFormat="1" applyFill="1" applyBorder="1" applyProtection="1">
      <protection locked="0"/>
    </xf>
    <xf numFmtId="174" fontId="3" fillId="0" borderId="0" xfId="12" applyNumberFormat="1" applyFill="1" applyBorder="1" applyProtection="1">
      <protection locked="0"/>
    </xf>
    <xf numFmtId="1" fontId="116" fillId="41" borderId="70" xfId="12" applyNumberFormat="1" applyFont="1" applyFill="1" applyBorder="1" applyAlignment="1" applyProtection="1">
      <alignment horizontal="center"/>
      <protection locked="0"/>
    </xf>
    <xf numFmtId="174" fontId="115" fillId="41" borderId="70" xfId="12" applyNumberFormat="1" applyFont="1" applyFill="1" applyBorder="1" applyAlignment="1" applyProtection="1">
      <alignment horizontal="center"/>
      <protection locked="0"/>
    </xf>
    <xf numFmtId="1" fontId="116" fillId="41" borderId="0" xfId="12" applyNumberFormat="1" applyFont="1" applyFill="1" applyBorder="1" applyAlignment="1" applyProtection="1">
      <alignment horizontal="center"/>
      <protection locked="0"/>
    </xf>
    <xf numFmtId="174" fontId="120" fillId="5" borderId="0" xfId="12" applyNumberFormat="1" applyFont="1" applyFill="1" applyBorder="1" applyAlignment="1" applyProtection="1">
      <alignment readingOrder="2"/>
      <protection locked="0"/>
    </xf>
    <xf numFmtId="174" fontId="11" fillId="5" borderId="0" xfId="12" applyNumberFormat="1" applyFont="1" applyFill="1" applyBorder="1" applyAlignment="1" applyProtection="1">
      <alignment horizontal="right"/>
      <protection locked="0"/>
    </xf>
    <xf numFmtId="174" fontId="12" fillId="5" borderId="67" xfId="12" applyNumberFormat="1" applyFont="1" applyFill="1" applyBorder="1" applyAlignment="1" applyProtection="1">
      <alignment wrapText="1" readingOrder="2"/>
      <protection locked="0"/>
    </xf>
    <xf numFmtId="174" fontId="31" fillId="5" borderId="74" xfId="12" applyNumberFormat="1" applyFont="1" applyFill="1" applyBorder="1" applyAlignment="1" applyProtection="1">
      <alignment horizontal="center"/>
      <protection locked="0"/>
    </xf>
    <xf numFmtId="174" fontId="116" fillId="41" borderId="0" xfId="12" applyNumberFormat="1" applyFont="1" applyFill="1" applyBorder="1" applyAlignment="1" applyProtection="1">
      <alignment horizontal="right"/>
      <protection locked="0"/>
    </xf>
    <xf numFmtId="174" fontId="115" fillId="41" borderId="0" xfId="12" applyNumberFormat="1" applyFont="1" applyFill="1" applyBorder="1" applyAlignment="1" applyProtection="1">
      <alignment horizontal="right"/>
      <protection locked="0"/>
    </xf>
    <xf numFmtId="175" fontId="31" fillId="48" borderId="74" xfId="12" applyNumberFormat="1" applyFont="1" applyFill="1" applyBorder="1" applyAlignment="1" applyProtection="1">
      <alignment horizontal="center"/>
      <protection locked="0"/>
    </xf>
    <xf numFmtId="174" fontId="31" fillId="48" borderId="74" xfId="12" applyNumberFormat="1" applyFont="1" applyFill="1" applyBorder="1" applyAlignment="1" applyProtection="1">
      <alignment horizontal="center"/>
      <protection locked="0"/>
    </xf>
    <xf numFmtId="1" fontId="12" fillId="5" borderId="0" xfId="12" applyNumberFormat="1" applyFont="1" applyFill="1" applyBorder="1" applyAlignment="1" applyProtection="1">
      <alignment horizontal="center"/>
      <protection locked="0"/>
    </xf>
    <xf numFmtId="174" fontId="135" fillId="5" borderId="0" xfId="12" applyNumberFormat="1" applyFont="1" applyFill="1" applyBorder="1" applyAlignment="1" applyProtection="1">
      <alignment horizontal="right"/>
      <protection locked="0"/>
    </xf>
    <xf numFmtId="174" fontId="91" fillId="48" borderId="74" xfId="12" applyNumberFormat="1" applyFont="1" applyFill="1" applyBorder="1" applyAlignment="1" applyProtection="1">
      <alignment horizontal="center"/>
      <protection locked="0"/>
    </xf>
    <xf numFmtId="1" fontId="88" fillId="5" borderId="0" xfId="12" applyNumberFormat="1" applyFont="1" applyFill="1" applyBorder="1" applyAlignment="1" applyProtection="1">
      <alignment horizontal="center"/>
      <protection locked="0"/>
    </xf>
    <xf numFmtId="174" fontId="31" fillId="5" borderId="0" xfId="12" quotePrefix="1" applyNumberFormat="1" applyFont="1" applyFill="1" applyBorder="1" applyAlignment="1" applyProtection="1">
      <alignment horizontal="right"/>
      <protection locked="0"/>
    </xf>
    <xf numFmtId="174" fontId="91" fillId="5" borderId="0" xfId="12" quotePrefix="1" applyNumberFormat="1" applyFont="1" applyFill="1" applyBorder="1" applyAlignment="1" applyProtection="1">
      <alignment horizontal="right"/>
      <protection locked="0"/>
    </xf>
    <xf numFmtId="0" fontId="3" fillId="0" borderId="0" xfId="12" applyFont="1" applyProtection="1">
      <protection locked="0"/>
    </xf>
    <xf numFmtId="175" fontId="12" fillId="44" borderId="72" xfId="12" applyNumberFormat="1" applyFont="1" applyFill="1" applyBorder="1" applyAlignment="1" applyProtection="1">
      <alignment horizontal="center"/>
      <protection locked="0"/>
    </xf>
    <xf numFmtId="175" fontId="41" fillId="44" borderId="72" xfId="12" applyNumberFormat="1" applyFont="1" applyFill="1" applyBorder="1" applyAlignment="1" applyProtection="1">
      <alignment horizontal="center"/>
      <protection locked="0"/>
    </xf>
    <xf numFmtId="177" fontId="41" fillId="44" borderId="72" xfId="12" applyNumberFormat="1" applyFont="1" applyFill="1" applyBorder="1" applyAlignment="1" applyProtection="1">
      <alignment horizontal="center"/>
      <protection locked="0"/>
    </xf>
    <xf numFmtId="174" fontId="116" fillId="41" borderId="0" xfId="12" applyNumberFormat="1" applyFont="1" applyFill="1" applyBorder="1" applyAlignment="1" applyProtection="1">
      <alignment horizontal="right" readingOrder="2"/>
      <protection locked="0"/>
    </xf>
    <xf numFmtId="176" fontId="31" fillId="5" borderId="0" xfId="12" applyNumberFormat="1" applyFont="1" applyFill="1" applyBorder="1" applyAlignment="1" applyProtection="1">
      <alignment horizontal="right"/>
      <protection locked="0"/>
    </xf>
    <xf numFmtId="174" fontId="117" fillId="5" borderId="67" xfId="12" applyNumberFormat="1" applyFont="1" applyFill="1" applyBorder="1" applyAlignment="1" applyProtection="1">
      <alignment horizontal="right" wrapText="1"/>
      <protection locked="0"/>
    </xf>
    <xf numFmtId="174" fontId="117" fillId="5" borderId="0" xfId="12" applyNumberFormat="1" applyFont="1" applyFill="1" applyBorder="1" applyAlignment="1" applyProtection="1">
      <alignment horizontal="right"/>
      <protection locked="0"/>
    </xf>
    <xf numFmtId="174" fontId="114" fillId="5" borderId="67" xfId="12" applyNumberFormat="1" applyFont="1" applyFill="1" applyBorder="1" applyAlignment="1" applyProtection="1">
      <alignment horizontal="right" wrapText="1" readingOrder="2"/>
      <protection locked="0"/>
    </xf>
    <xf numFmtId="174" fontId="117" fillId="5" borderId="0" xfId="12" applyNumberFormat="1" applyFont="1" applyFill="1" applyBorder="1" applyAlignment="1" applyProtection="1">
      <alignment horizontal="center"/>
      <protection locked="0"/>
    </xf>
    <xf numFmtId="0" fontId="9" fillId="0" borderId="0" xfId="12" applyFont="1" applyProtection="1">
      <protection locked="0"/>
    </xf>
    <xf numFmtId="175" fontId="31" fillId="45" borderId="0" xfId="12" applyNumberFormat="1" applyFont="1" applyFill="1" applyBorder="1" applyAlignment="1" applyProtection="1">
      <alignment horizontal="center"/>
      <protection locked="0"/>
    </xf>
    <xf numFmtId="174" fontId="121" fillId="5" borderId="0" xfId="12" applyNumberFormat="1" applyFont="1" applyFill="1" applyBorder="1" applyAlignment="1" applyProtection="1">
      <alignment horizontal="right"/>
      <protection locked="0"/>
    </xf>
    <xf numFmtId="174" fontId="31" fillId="5" borderId="67" xfId="12" applyNumberFormat="1" applyFont="1" applyFill="1" applyBorder="1" applyAlignment="1" applyProtection="1">
      <alignment horizontal="right" wrapText="1"/>
      <protection locked="0"/>
    </xf>
    <xf numFmtId="174" fontId="118" fillId="5" borderId="67" xfId="12" applyNumberFormat="1" applyFont="1" applyFill="1" applyBorder="1" applyAlignment="1" applyProtection="1">
      <alignment horizontal="right" wrapText="1" readingOrder="2"/>
      <protection locked="0"/>
    </xf>
    <xf numFmtId="174" fontId="31" fillId="5" borderId="0" xfId="12" applyNumberFormat="1" applyFont="1" applyFill="1" applyBorder="1" applyAlignment="1" applyProtection="1">
      <alignment horizontal="right" readingOrder="2"/>
      <protection locked="0"/>
    </xf>
    <xf numFmtId="174" fontId="31" fillId="3" borderId="0" xfId="1" applyNumberFormat="1" applyFont="1" applyFill="1" applyBorder="1" applyAlignment="1" applyProtection="1">
      <alignment horizontal="center"/>
      <protection locked="0"/>
    </xf>
    <xf numFmtId="174" fontId="116" fillId="5" borderId="0" xfId="12" applyNumberFormat="1" applyFont="1" applyFill="1" applyBorder="1" applyAlignment="1" applyProtection="1">
      <alignment horizontal="right"/>
      <protection locked="0"/>
    </xf>
    <xf numFmtId="174" fontId="41" fillId="5" borderId="0" xfId="12" applyNumberFormat="1" applyFont="1" applyFill="1" applyBorder="1" applyAlignment="1" applyProtection="1">
      <alignment horizontal="center" vertical="center"/>
      <protection locked="0"/>
    </xf>
    <xf numFmtId="174" fontId="120" fillId="5" borderId="0" xfId="12" applyNumberFormat="1" applyFont="1" applyFill="1" applyBorder="1" applyAlignment="1" applyProtection="1">
      <alignment horizontal="center"/>
      <protection locked="0"/>
    </xf>
    <xf numFmtId="174" fontId="31" fillId="5" borderId="0" xfId="12" applyNumberFormat="1" applyFont="1" applyFill="1" applyBorder="1" applyAlignment="1" applyProtection="1">
      <alignment horizontal="center" vertical="center"/>
      <protection locked="0"/>
    </xf>
    <xf numFmtId="174" fontId="31" fillId="3" borderId="74" xfId="12" applyNumberFormat="1" applyFont="1" applyFill="1" applyBorder="1" applyAlignment="1" applyProtection="1">
      <alignment horizontal="center"/>
      <protection locked="0"/>
    </xf>
    <xf numFmtId="174" fontId="31" fillId="3" borderId="0" xfId="12" applyNumberFormat="1" applyFont="1" applyFill="1" applyBorder="1" applyAlignment="1" applyProtection="1">
      <alignment horizontal="center"/>
      <protection locked="0"/>
    </xf>
    <xf numFmtId="174" fontId="31" fillId="3" borderId="11" xfId="12" applyNumberFormat="1" applyFont="1" applyFill="1" applyBorder="1" applyAlignment="1" applyProtection="1">
      <alignment horizontal="center"/>
      <protection locked="0"/>
    </xf>
    <xf numFmtId="174" fontId="31" fillId="5" borderId="0" xfId="12" quotePrefix="1" applyNumberFormat="1" applyFont="1" applyFill="1" applyBorder="1" applyAlignment="1" applyProtection="1">
      <alignment horizontal="center" vertical="center"/>
      <protection locked="0"/>
    </xf>
    <xf numFmtId="174" fontId="31" fillId="5" borderId="0" xfId="12" quotePrefix="1" applyNumberFormat="1" applyFont="1" applyFill="1" applyBorder="1" applyAlignment="1" applyProtection="1">
      <alignment horizontal="center"/>
      <protection locked="0"/>
    </xf>
    <xf numFmtId="174" fontId="11" fillId="5" borderId="67" xfId="12" applyNumberFormat="1" applyFont="1" applyFill="1" applyBorder="1" applyAlignment="1" applyProtection="1">
      <alignment horizontal="right" wrapText="1" readingOrder="2"/>
      <protection locked="0"/>
    </xf>
    <xf numFmtId="174" fontId="11" fillId="5" borderId="0" xfId="12" applyNumberFormat="1" applyFont="1" applyFill="1" applyBorder="1" applyAlignment="1" applyProtection="1">
      <alignment horizontal="right" wrapText="1"/>
      <protection locked="0"/>
    </xf>
    <xf numFmtId="174" fontId="11" fillId="5" borderId="0" xfId="12" applyNumberFormat="1" applyFont="1" applyFill="1" applyBorder="1" applyAlignment="1" applyProtection="1">
      <alignment horizontal="right" wrapText="1" readingOrder="2"/>
      <protection locked="0"/>
    </xf>
    <xf numFmtId="174" fontId="11" fillId="5" borderId="0" xfId="12" applyNumberFormat="1" applyFont="1" applyFill="1" applyBorder="1" applyAlignment="1" applyProtection="1">
      <alignment horizontal="right" readingOrder="2"/>
      <protection locked="0"/>
    </xf>
    <xf numFmtId="0" fontId="13" fillId="0" borderId="0" xfId="12" applyFont="1" applyProtection="1">
      <protection locked="0"/>
    </xf>
    <xf numFmtId="174" fontId="3" fillId="5" borderId="0" xfId="12" applyNumberFormat="1" applyFill="1" applyBorder="1" applyProtection="1">
      <protection locked="0"/>
    </xf>
    <xf numFmtId="174" fontId="3" fillId="5" borderId="67" xfId="12" applyNumberFormat="1" applyFill="1" applyBorder="1" applyAlignment="1" applyProtection="1">
      <alignment wrapText="1"/>
      <protection locked="0"/>
    </xf>
    <xf numFmtId="174" fontId="3" fillId="5" borderId="77" xfId="12" applyNumberFormat="1" applyFill="1" applyBorder="1" applyAlignment="1" applyProtection="1">
      <alignment wrapText="1"/>
      <protection locked="0"/>
    </xf>
    <xf numFmtId="174" fontId="3" fillId="5" borderId="69" xfId="12" applyNumberFormat="1" applyFill="1" applyBorder="1" applyProtection="1">
      <protection locked="0"/>
    </xf>
    <xf numFmtId="0" fontId="3" fillId="0" borderId="0" xfId="12" applyAlignment="1" applyProtection="1">
      <alignment wrapText="1"/>
      <protection locked="0"/>
    </xf>
    <xf numFmtId="175" fontId="3" fillId="0" borderId="0" xfId="12" applyNumberFormat="1" applyProtection="1">
      <protection locked="0"/>
    </xf>
    <xf numFmtId="190" fontId="3" fillId="0" borderId="0" xfId="12" applyNumberFormat="1" applyAlignment="1" applyProtection="1">
      <alignment horizontal="center"/>
      <protection locked="0"/>
    </xf>
    <xf numFmtId="0" fontId="3" fillId="0" borderId="0" xfId="12" applyAlignment="1" applyProtection="1">
      <alignment horizontal="center"/>
      <protection locked="0"/>
    </xf>
    <xf numFmtId="0" fontId="13" fillId="0" borderId="0" xfId="12" applyFont="1" applyAlignment="1" applyProtection="1">
      <alignment wrapText="1"/>
      <protection locked="0"/>
    </xf>
    <xf numFmtId="177" fontId="31" fillId="48" borderId="0" xfId="12" applyNumberFormat="1" applyFont="1" applyFill="1" applyBorder="1" applyAlignment="1" applyProtection="1">
      <alignment horizontal="center"/>
      <protection locked="0"/>
    </xf>
    <xf numFmtId="174" fontId="31" fillId="48" borderId="0" xfId="12" applyNumberFormat="1" applyFont="1" applyFill="1" applyBorder="1" applyAlignment="1" applyProtection="1">
      <alignment horizontal="center"/>
      <protection locked="0"/>
    </xf>
    <xf numFmtId="1" fontId="41" fillId="45" borderId="70" xfId="12" applyNumberFormat="1" applyFont="1" applyFill="1" applyBorder="1" applyAlignment="1" applyProtection="1">
      <alignment horizontal="right"/>
      <protection locked="0"/>
    </xf>
    <xf numFmtId="175" fontId="12" fillId="44" borderId="72" xfId="12" applyNumberFormat="1" applyFont="1" applyFill="1" applyBorder="1" applyAlignment="1" applyProtection="1">
      <alignment horizontal="right"/>
      <protection locked="0"/>
    </xf>
    <xf numFmtId="175" fontId="12" fillId="10" borderId="72" xfId="12" applyNumberFormat="1" applyFont="1" applyFill="1" applyBorder="1" applyAlignment="1" applyProtection="1">
      <alignment horizontal="center"/>
      <protection locked="0"/>
    </xf>
    <xf numFmtId="0" fontId="1" fillId="0" borderId="0" xfId="14" applyProtection="1">
      <protection locked="0"/>
    </xf>
    <xf numFmtId="9" fontId="9" fillId="51" borderId="0" xfId="0" applyNumberFormat="1" applyFont="1" applyFill="1"/>
    <xf numFmtId="0" fontId="9" fillId="52" borderId="0" xfId="0" applyFont="1" applyFill="1" applyAlignment="1">
      <alignment vertical="center" wrapText="1"/>
    </xf>
    <xf numFmtId="167" fontId="0" fillId="0" borderId="0" xfId="0" applyNumberFormat="1" applyAlignment="1">
      <alignment vertical="center" wrapText="1"/>
    </xf>
    <xf numFmtId="167" fontId="9" fillId="51" borderId="0" xfId="0" applyNumberFormat="1" applyFont="1" applyFill="1"/>
    <xf numFmtId="167" fontId="0" fillId="0" borderId="0" xfId="0" applyNumberFormat="1" applyAlignment="1">
      <alignment horizontal="left" vertical="center" wrapText="1"/>
    </xf>
    <xf numFmtId="17" fontId="3" fillId="0" borderId="0" xfId="0" applyNumberFormat="1" applyFont="1"/>
    <xf numFmtId="0" fontId="0" fillId="0" borderId="0" xfId="0" applyAlignment="1">
      <alignment horizontal="justify" vertical="top" wrapText="1"/>
    </xf>
    <xf numFmtId="0" fontId="15" fillId="0" borderId="0" xfId="0" applyFont="1" applyBorder="1" applyAlignment="1">
      <alignment horizontal="right" vertical="center" wrapText="1"/>
    </xf>
    <xf numFmtId="0" fontId="15" fillId="0" borderId="17" xfId="0" applyFont="1" applyBorder="1" applyAlignment="1">
      <alignment horizontal="right" wrapText="1"/>
    </xf>
    <xf numFmtId="0" fontId="15" fillId="0" borderId="7" xfId="0" applyFont="1" applyBorder="1" applyAlignment="1">
      <alignment horizontal="right" wrapText="1"/>
    </xf>
    <xf numFmtId="0" fontId="15" fillId="16" borderId="13" xfId="0" applyFont="1" applyFill="1" applyBorder="1" applyAlignment="1">
      <alignment horizontal="center"/>
    </xf>
    <xf numFmtId="0" fontId="15" fillId="16" borderId="15" xfId="0" applyFont="1" applyFill="1" applyBorder="1" applyAlignment="1">
      <alignment horizontal="center"/>
    </xf>
    <xf numFmtId="0" fontId="15" fillId="16" borderId="7" xfId="0" applyFont="1" applyFill="1" applyBorder="1" applyAlignment="1">
      <alignment horizontal="center" vertical="center"/>
    </xf>
    <xf numFmtId="169" fontId="15" fillId="16" borderId="16" xfId="0" applyNumberFormat="1" applyFont="1" applyFill="1" applyBorder="1" applyAlignment="1">
      <alignment horizontal="center" vertical="center"/>
    </xf>
    <xf numFmtId="0" fontId="15" fillId="16" borderId="3" xfId="0" applyFont="1" applyFill="1" applyBorder="1" applyAlignment="1">
      <alignment horizontal="center"/>
    </xf>
    <xf numFmtId="169" fontId="15" fillId="16" borderId="16" xfId="0" applyNumberFormat="1" applyFont="1" applyFill="1" applyBorder="1" applyAlignment="1">
      <alignment horizontal="center"/>
    </xf>
    <xf numFmtId="0" fontId="15" fillId="16" borderId="16" xfId="0" applyFont="1" applyFill="1" applyBorder="1" applyAlignment="1">
      <alignment horizontal="center"/>
    </xf>
    <xf numFmtId="1" fontId="15" fillId="16" borderId="3" xfId="0" applyNumberFormat="1" applyFont="1" applyFill="1" applyBorder="1" applyAlignment="1">
      <alignment horizontal="center"/>
    </xf>
    <xf numFmtId="1" fontId="15" fillId="16" borderId="16" xfId="0" applyNumberFormat="1" applyFont="1" applyFill="1" applyBorder="1" applyAlignment="1">
      <alignment horizontal="center"/>
    </xf>
    <xf numFmtId="1" fontId="44" fillId="0" borderId="0" xfId="0" quotePrefix="1" applyNumberFormat="1" applyFont="1" applyAlignment="1">
      <alignment horizontal="center"/>
    </xf>
    <xf numFmtId="169" fontId="44" fillId="0" borderId="0" xfId="0" quotePrefix="1" applyNumberFormat="1" applyFont="1" applyAlignment="1">
      <alignment horizontal="center"/>
    </xf>
    <xf numFmtId="0" fontId="15" fillId="16" borderId="15" xfId="0" applyFont="1" applyFill="1" applyBorder="1" applyAlignment="1">
      <alignment horizontal="center" vertical="center"/>
    </xf>
    <xf numFmtId="0" fontId="15" fillId="16" borderId="6" xfId="0" applyFont="1" applyFill="1" applyBorder="1" applyAlignment="1">
      <alignment horizontal="center" vertical="center"/>
    </xf>
    <xf numFmtId="0" fontId="15" fillId="16" borderId="19" xfId="0" applyFont="1" applyFill="1" applyBorder="1" applyAlignment="1">
      <alignment horizontal="center" vertical="center"/>
    </xf>
    <xf numFmtId="0" fontId="15" fillId="16" borderId="1" xfId="0" applyFont="1" applyFill="1" applyBorder="1" applyAlignment="1">
      <alignment horizontal="center" vertical="center"/>
    </xf>
    <xf numFmtId="169" fontId="15" fillId="16" borderId="15" xfId="0" applyNumberFormat="1" applyFont="1" applyFill="1" applyBorder="1" applyAlignment="1">
      <alignment horizontal="center" vertical="center"/>
    </xf>
    <xf numFmtId="169" fontId="15" fillId="16" borderId="15" xfId="0" applyNumberFormat="1" applyFont="1" applyFill="1" applyBorder="1" applyAlignment="1">
      <alignment horizontal="center"/>
    </xf>
    <xf numFmtId="0" fontId="15" fillId="16" borderId="13" xfId="0" applyFont="1" applyFill="1" applyBorder="1" applyAlignment="1">
      <alignment horizontal="center" vertical="center"/>
    </xf>
    <xf numFmtId="0" fontId="15" fillId="16" borderId="3" xfId="0" applyFont="1" applyFill="1" applyBorder="1" applyAlignment="1">
      <alignment horizontal="center" vertical="center"/>
    </xf>
    <xf numFmtId="1" fontId="15" fillId="16" borderId="13" xfId="0" applyNumberFormat="1" applyFont="1" applyFill="1" applyBorder="1" applyAlignment="1">
      <alignment horizontal="center"/>
    </xf>
    <xf numFmtId="1" fontId="15" fillId="16" borderId="15" xfId="0" applyNumberFormat="1" applyFont="1" applyFill="1" applyBorder="1" applyAlignment="1">
      <alignment horizontal="center"/>
    </xf>
    <xf numFmtId="3" fontId="9" fillId="16" borderId="2" xfId="0" applyNumberFormat="1" applyFont="1" applyFill="1" applyBorder="1" applyAlignment="1">
      <alignment horizontal="center"/>
    </xf>
    <xf numFmtId="167" fontId="3" fillId="13" borderId="44" xfId="0" applyNumberFormat="1" applyFont="1" applyFill="1" applyBorder="1" applyAlignment="1">
      <alignment horizontal="center" vertical="center"/>
    </xf>
    <xf numFmtId="167" fontId="3" fillId="13" borderId="45" xfId="0" applyNumberFormat="1" applyFont="1" applyFill="1" applyBorder="1" applyAlignment="1">
      <alignment horizontal="center" vertical="center"/>
    </xf>
    <xf numFmtId="0" fontId="9" fillId="13" borderId="44" xfId="0" applyFont="1" applyFill="1" applyBorder="1" applyAlignment="1">
      <alignment horizontal="right" vertical="center"/>
    </xf>
    <xf numFmtId="0" fontId="9" fillId="13" borderId="45" xfId="0" applyFont="1" applyFill="1" applyBorder="1" applyAlignment="1">
      <alignment horizontal="right" vertical="center"/>
    </xf>
    <xf numFmtId="0" fontId="9" fillId="13" borderId="40" xfId="0" applyFont="1" applyFill="1" applyBorder="1" applyAlignment="1">
      <alignment horizontal="right" vertical="center"/>
    </xf>
    <xf numFmtId="167" fontId="3" fillId="13" borderId="40" xfId="0" applyNumberFormat="1" applyFont="1" applyFill="1" applyBorder="1" applyAlignment="1">
      <alignment horizontal="center" vertical="center"/>
    </xf>
    <xf numFmtId="0" fontId="3" fillId="13" borderId="44" xfId="0" applyFont="1" applyFill="1" applyBorder="1" applyAlignment="1">
      <alignment vertical="center"/>
    </xf>
    <xf numFmtId="0" fontId="3" fillId="13" borderId="40" xfId="0" applyFont="1" applyFill="1" applyBorder="1" applyAlignment="1">
      <alignment vertical="center"/>
    </xf>
    <xf numFmtId="0" fontId="3" fillId="13" borderId="45" xfId="0" applyFont="1" applyFill="1" applyBorder="1" applyAlignment="1">
      <alignment vertical="center"/>
    </xf>
    <xf numFmtId="164" fontId="3" fillId="13" borderId="44" xfId="1" applyNumberFormat="1" applyFont="1" applyFill="1" applyBorder="1" applyAlignment="1">
      <alignment horizontal="right" vertical="center" wrapText="1"/>
    </xf>
    <xf numFmtId="164" fontId="3" fillId="13" borderId="45" xfId="1" applyNumberFormat="1" applyFont="1" applyFill="1" applyBorder="1" applyAlignment="1">
      <alignment horizontal="right" vertical="center" wrapText="1"/>
    </xf>
    <xf numFmtId="164" fontId="3" fillId="13" borderId="40" xfId="1" applyNumberFormat="1" applyFont="1" applyFill="1" applyBorder="1" applyAlignment="1">
      <alignment horizontal="right" vertical="center" wrapText="1"/>
    </xf>
    <xf numFmtId="167" fontId="3" fillId="13" borderId="44" xfId="0" applyNumberFormat="1" applyFont="1" applyFill="1" applyBorder="1" applyAlignment="1">
      <alignment horizontal="center"/>
    </xf>
    <xf numFmtId="167" fontId="3" fillId="13" borderId="45" xfId="0" applyNumberFormat="1" applyFont="1" applyFill="1" applyBorder="1" applyAlignment="1">
      <alignment horizontal="center"/>
    </xf>
    <xf numFmtId="0" fontId="3" fillId="10" borderId="44" xfId="0" applyFont="1" applyFill="1" applyBorder="1" applyAlignment="1">
      <alignment horizontal="center"/>
    </xf>
    <xf numFmtId="0" fontId="3" fillId="10" borderId="40" xfId="0" applyFont="1" applyFill="1" applyBorder="1" applyAlignment="1">
      <alignment horizontal="center"/>
    </xf>
    <xf numFmtId="0" fontId="3" fillId="10" borderId="45" xfId="0" applyFont="1" applyFill="1" applyBorder="1" applyAlignment="1">
      <alignment horizontal="center"/>
    </xf>
    <xf numFmtId="0" fontId="3" fillId="10" borderId="44" xfId="0" applyFont="1" applyFill="1" applyBorder="1" applyAlignment="1">
      <alignment horizontal="center" vertical="center"/>
    </xf>
    <xf numFmtId="0" fontId="3" fillId="10" borderId="40" xfId="0" applyFont="1" applyFill="1" applyBorder="1" applyAlignment="1">
      <alignment horizontal="center" vertical="center"/>
    </xf>
    <xf numFmtId="0" fontId="3" fillId="10" borderId="45" xfId="0" applyFont="1" applyFill="1" applyBorder="1" applyAlignment="1">
      <alignment horizontal="center" vertical="center"/>
    </xf>
    <xf numFmtId="167" fontId="3" fillId="10" borderId="44" xfId="0" applyNumberFormat="1" applyFont="1" applyFill="1" applyBorder="1" applyAlignment="1">
      <alignment horizontal="center"/>
    </xf>
    <xf numFmtId="167" fontId="3" fillId="10" borderId="40" xfId="0" applyNumberFormat="1" applyFont="1" applyFill="1" applyBorder="1" applyAlignment="1">
      <alignment horizontal="center"/>
    </xf>
    <xf numFmtId="167" fontId="3" fillId="10" borderId="45" xfId="0" applyNumberFormat="1" applyFont="1" applyFill="1" applyBorder="1" applyAlignment="1">
      <alignment horizontal="center"/>
    </xf>
    <xf numFmtId="0" fontId="9" fillId="13" borderId="44" xfId="0" applyFont="1" applyFill="1" applyBorder="1" applyAlignment="1">
      <alignment horizontal="center"/>
    </xf>
    <xf numFmtId="0" fontId="9" fillId="13" borderId="45" xfId="0" applyFont="1" applyFill="1" applyBorder="1" applyAlignment="1">
      <alignment horizontal="center"/>
    </xf>
    <xf numFmtId="0" fontId="3" fillId="13" borderId="44" xfId="0" applyFont="1" applyFill="1" applyBorder="1" applyAlignment="1">
      <alignment horizontal="center"/>
    </xf>
    <xf numFmtId="0" fontId="3" fillId="13" borderId="45" xfId="0" applyFont="1" applyFill="1" applyBorder="1" applyAlignment="1">
      <alignment horizontal="center"/>
    </xf>
    <xf numFmtId="164" fontId="3" fillId="13" borderId="44" xfId="1" applyNumberFormat="1" applyFont="1" applyFill="1" applyBorder="1" applyAlignment="1">
      <alignment horizontal="right" wrapText="1"/>
    </xf>
    <xf numFmtId="164" fontId="3" fillId="13" borderId="45" xfId="1" applyNumberFormat="1" applyFont="1" applyFill="1" applyBorder="1" applyAlignment="1">
      <alignment horizontal="right" wrapText="1"/>
    </xf>
    <xf numFmtId="0" fontId="24" fillId="0" borderId="0" xfId="0" applyFont="1" applyAlignment="1">
      <alignment horizontal="center"/>
    </xf>
    <xf numFmtId="0" fontId="66" fillId="16" borderId="2" xfId="0" applyFont="1" applyFill="1" applyBorder="1" applyAlignment="1">
      <alignment horizontal="center" wrapText="1"/>
    </xf>
    <xf numFmtId="0" fontId="103" fillId="0" borderId="0" xfId="0" applyFont="1" applyAlignment="1">
      <alignment horizontal="center" wrapText="1" readingOrder="2"/>
    </xf>
    <xf numFmtId="0" fontId="66" fillId="0" borderId="0" xfId="0" applyFont="1" applyAlignment="1">
      <alignment horizontal="center" wrapText="1" readingOrder="2"/>
    </xf>
    <xf numFmtId="0" fontId="104" fillId="19" borderId="0" xfId="9" applyFont="1" applyFill="1" applyBorder="1" applyAlignment="1">
      <alignment horizontal="center" vertical="center"/>
    </xf>
    <xf numFmtId="0" fontId="0" fillId="14" borderId="44" xfId="0" applyFill="1" applyBorder="1" applyAlignment="1">
      <alignment horizontal="center" vertical="center"/>
    </xf>
    <xf numFmtId="0" fontId="0" fillId="14" borderId="40" xfId="0" applyFill="1" applyBorder="1" applyAlignment="1">
      <alignment horizontal="center" vertical="center"/>
    </xf>
    <xf numFmtId="0" fontId="0" fillId="14" borderId="45" xfId="0" applyFill="1" applyBorder="1" applyAlignment="1">
      <alignment horizontal="center" vertical="center"/>
    </xf>
    <xf numFmtId="0" fontId="24" fillId="0" borderId="0" xfId="3" applyFont="1" applyAlignment="1">
      <alignment horizontal="center"/>
    </xf>
    <xf numFmtId="0" fontId="73" fillId="14" borderId="44" xfId="9" applyFont="1" applyFill="1" applyBorder="1" applyAlignment="1">
      <alignment horizontal="center" vertical="center"/>
    </xf>
    <xf numFmtId="0" fontId="73" fillId="14" borderId="40" xfId="9" applyFont="1" applyFill="1" applyBorder="1" applyAlignment="1">
      <alignment horizontal="center" vertical="center"/>
    </xf>
    <xf numFmtId="0" fontId="73" fillId="14" borderId="45" xfId="9" applyFont="1" applyFill="1" applyBorder="1" applyAlignment="1">
      <alignment horizontal="center" vertical="center"/>
    </xf>
    <xf numFmtId="0" fontId="73" fillId="14" borderId="44" xfId="9" applyFont="1" applyFill="1" applyBorder="1" applyAlignment="1">
      <alignment horizontal="center" vertical="center" wrapText="1"/>
    </xf>
    <xf numFmtId="0" fontId="73" fillId="14" borderId="45" xfId="9" applyFont="1" applyFill="1" applyBorder="1" applyAlignment="1">
      <alignment horizontal="center" vertical="center" wrapText="1"/>
    </xf>
    <xf numFmtId="49" fontId="107" fillId="36" borderId="103" xfId="0" applyNumberFormat="1" applyFont="1" applyFill="1" applyBorder="1" applyAlignment="1">
      <alignment horizontal="center" wrapText="1"/>
    </xf>
    <xf numFmtId="49" fontId="107" fillId="36" borderId="102" xfId="0" applyNumberFormat="1" applyFont="1" applyFill="1" applyBorder="1" applyAlignment="1">
      <alignment horizontal="center" wrapText="1"/>
    </xf>
    <xf numFmtId="164" fontId="107" fillId="36" borderId="101" xfId="1" applyNumberFormat="1" applyFont="1" applyFill="1" applyBorder="1" applyAlignment="1">
      <alignment horizontal="center" wrapText="1"/>
    </xf>
    <xf numFmtId="164" fontId="107" fillId="36" borderId="102" xfId="1" applyNumberFormat="1" applyFont="1" applyFill="1" applyBorder="1" applyAlignment="1">
      <alignment horizontal="center" wrapText="1"/>
    </xf>
    <xf numFmtId="49" fontId="107" fillId="36" borderId="58" xfId="0" applyNumberFormat="1" applyFont="1" applyFill="1" applyBorder="1" applyAlignment="1">
      <alignment horizontal="center" wrapText="1"/>
    </xf>
    <xf numFmtId="164" fontId="108" fillId="36" borderId="101" xfId="1" applyNumberFormat="1" applyFont="1" applyFill="1" applyBorder="1" applyAlignment="1">
      <alignment horizontal="center" wrapText="1"/>
    </xf>
    <xf numFmtId="164" fontId="108" fillId="36" borderId="102" xfId="1" applyNumberFormat="1" applyFont="1" applyFill="1" applyBorder="1" applyAlignment="1">
      <alignment horizontal="center" wrapText="1"/>
    </xf>
    <xf numFmtId="0" fontId="88" fillId="17" borderId="49" xfId="4" applyFont="1" applyFill="1" applyBorder="1" applyAlignment="1">
      <alignment horizontal="center" vertical="center"/>
    </xf>
    <xf numFmtId="0" fontId="88" fillId="17" borderId="51" xfId="4" applyFont="1" applyFill="1" applyBorder="1" applyAlignment="1">
      <alignment horizontal="center" vertical="center"/>
    </xf>
    <xf numFmtId="4" fontId="31" fillId="0" borderId="44" xfId="4" applyNumberFormat="1" applyFont="1" applyFill="1" applyBorder="1" applyAlignment="1">
      <alignment horizontal="center" vertical="center"/>
    </xf>
    <xf numFmtId="4" fontId="31" fillId="0" borderId="40" xfId="4" applyNumberFormat="1" applyFont="1" applyFill="1" applyBorder="1" applyAlignment="1">
      <alignment horizontal="center" vertical="center"/>
    </xf>
    <xf numFmtId="4" fontId="31" fillId="0" borderId="45" xfId="4" applyNumberFormat="1" applyFont="1" applyFill="1" applyBorder="1" applyAlignment="1">
      <alignment horizontal="center" vertical="center"/>
    </xf>
    <xf numFmtId="0" fontId="91" fillId="0" borderId="44" xfId="4" applyFont="1" applyFill="1" applyBorder="1" applyAlignment="1">
      <alignment horizontal="center" vertical="center" wrapText="1"/>
    </xf>
    <xf numFmtId="0" fontId="91" fillId="0" borderId="40" xfId="4" applyFont="1" applyFill="1" applyBorder="1" applyAlignment="1">
      <alignment horizontal="center" vertical="center" wrapText="1"/>
    </xf>
    <xf numFmtId="0" fontId="91" fillId="0" borderId="45" xfId="4" applyFont="1" applyFill="1" applyBorder="1" applyAlignment="1">
      <alignment horizontal="center" vertical="center" wrapText="1"/>
    </xf>
    <xf numFmtId="0" fontId="91" fillId="0" borderId="44" xfId="4" applyFont="1" applyFill="1" applyBorder="1" applyAlignment="1">
      <alignment horizontal="center" vertical="center"/>
    </xf>
    <xf numFmtId="0" fontId="91" fillId="0" borderId="45" xfId="4" applyFont="1" applyFill="1" applyBorder="1" applyAlignment="1">
      <alignment horizontal="center" vertical="center"/>
    </xf>
    <xf numFmtId="0" fontId="91" fillId="0" borderId="40" xfId="4" applyFont="1" applyFill="1" applyBorder="1" applyAlignment="1">
      <alignment horizontal="center" vertical="center"/>
    </xf>
    <xf numFmtId="0" fontId="105" fillId="10" borderId="49" xfId="0" applyFont="1" applyFill="1" applyBorder="1" applyAlignment="1">
      <alignment horizontal="center"/>
    </xf>
    <xf numFmtId="0" fontId="0" fillId="0" borderId="51" xfId="0" applyBorder="1" applyAlignment="1">
      <alignment horizontal="center"/>
    </xf>
    <xf numFmtId="0" fontId="122" fillId="0" borderId="0" xfId="0" applyFont="1" applyAlignment="1">
      <alignment horizontal="center"/>
    </xf>
    <xf numFmtId="0" fontId="0" fillId="40" borderId="49" xfId="0" applyFill="1" applyBorder="1" applyAlignment="1">
      <alignment horizontal="center" vertical="center" wrapText="1"/>
    </xf>
    <xf numFmtId="0" fontId="0" fillId="40" borderId="66" xfId="0" applyFill="1" applyBorder="1" applyAlignment="1">
      <alignment horizontal="center" vertical="center" wrapText="1"/>
    </xf>
    <xf numFmtId="0" fontId="0" fillId="40" borderId="51" xfId="0" applyFill="1" applyBorder="1" applyAlignment="1">
      <alignment horizontal="center" vertical="center" wrapText="1"/>
    </xf>
    <xf numFmtId="0" fontId="13" fillId="0" borderId="0" xfId="0" applyFont="1" applyAlignment="1">
      <alignment horizontal="center" wrapText="1"/>
    </xf>
    <xf numFmtId="0" fontId="76" fillId="14" borderId="44" xfId="0" applyFont="1" applyFill="1" applyBorder="1" applyAlignment="1">
      <alignment horizontal="center" vertical="center"/>
    </xf>
    <xf numFmtId="0" fontId="76" fillId="14" borderId="40" xfId="0" applyFont="1" applyFill="1" applyBorder="1" applyAlignment="1">
      <alignment horizontal="center" vertical="center"/>
    </xf>
    <xf numFmtId="0" fontId="76" fillId="14" borderId="45" xfId="0" applyFont="1" applyFill="1" applyBorder="1" applyAlignment="1">
      <alignment horizontal="center" vertical="center"/>
    </xf>
    <xf numFmtId="0" fontId="76" fillId="14" borderId="40" xfId="0" applyFont="1" applyFill="1" applyBorder="1" applyAlignment="1">
      <alignment horizontal="center" vertical="center" wrapText="1"/>
    </xf>
    <xf numFmtId="0" fontId="76" fillId="14" borderId="45" xfId="0" applyFont="1" applyFill="1" applyBorder="1" applyAlignment="1">
      <alignment horizontal="center" vertical="center" wrapText="1"/>
    </xf>
    <xf numFmtId="174" fontId="136" fillId="5" borderId="0" xfId="10" applyNumberFormat="1" applyFont="1" applyFill="1" applyBorder="1" applyAlignment="1" applyProtection="1">
      <alignment horizontal="center"/>
    </xf>
    <xf numFmtId="174" fontId="136" fillId="5" borderId="97" xfId="10" applyNumberFormat="1" applyFont="1" applyFill="1" applyBorder="1" applyAlignment="1" applyProtection="1">
      <alignment horizontal="center"/>
    </xf>
    <xf numFmtId="1" fontId="116" fillId="41" borderId="90" xfId="10" applyNumberFormat="1" applyFont="1" applyFill="1" applyBorder="1" applyAlignment="1" applyProtection="1">
      <alignment horizontal="center"/>
    </xf>
    <xf numFmtId="1" fontId="116" fillId="41" borderId="80" xfId="10" applyNumberFormat="1" applyFont="1" applyFill="1" applyBorder="1" applyAlignment="1" applyProtection="1">
      <alignment horizontal="center"/>
    </xf>
    <xf numFmtId="174" fontId="137" fillId="5" borderId="0" xfId="10" applyNumberFormat="1" applyFont="1" applyFill="1" applyBorder="1" applyAlignment="1" applyProtection="1">
      <alignment horizontal="right"/>
    </xf>
    <xf numFmtId="174" fontId="121" fillId="43" borderId="0" xfId="12" applyNumberFormat="1" applyFont="1" applyFill="1" applyBorder="1" applyAlignment="1" applyProtection="1">
      <alignment horizontal="right" vertical="top" wrapText="1"/>
      <protection locked="0"/>
    </xf>
    <xf numFmtId="174" fontId="116" fillId="41" borderId="0" xfId="12" applyNumberFormat="1" applyFont="1" applyFill="1" applyBorder="1" applyAlignment="1" applyProtection="1">
      <alignment horizontal="center"/>
      <protection locked="0"/>
    </xf>
    <xf numFmtId="174" fontId="11" fillId="5" borderId="0" xfId="12" applyNumberFormat="1" applyFont="1" applyFill="1" applyBorder="1" applyAlignment="1" applyProtection="1">
      <alignment horizontal="right" wrapText="1" readingOrder="2"/>
      <protection locked="0"/>
    </xf>
    <xf numFmtId="174" fontId="31" fillId="43" borderId="0" xfId="12" applyNumberFormat="1" applyFont="1" applyFill="1" applyBorder="1" applyAlignment="1" applyProtection="1">
      <alignment horizontal="right" vertical="top"/>
      <protection locked="0"/>
    </xf>
    <xf numFmtId="0" fontId="134" fillId="19" borderId="0" xfId="9" applyFont="1" applyFill="1" applyBorder="1" applyAlignment="1" applyProtection="1">
      <alignment horizontal="center" vertical="center"/>
      <protection locked="0"/>
    </xf>
    <xf numFmtId="0" fontId="3" fillId="0" borderId="0" xfId="12" applyBorder="1" applyAlignment="1" applyProtection="1">
      <alignment horizontal="right" vertical="top" wrapText="1"/>
      <protection locked="0"/>
    </xf>
    <xf numFmtId="174" fontId="31" fillId="5" borderId="0" xfId="12" applyNumberFormat="1" applyFont="1" applyFill="1" applyBorder="1" applyAlignment="1" applyProtection="1">
      <alignment horizontal="right" wrapText="1"/>
      <protection locked="0"/>
    </xf>
    <xf numFmtId="174" fontId="31" fillId="43" borderId="0" xfId="12" applyNumberFormat="1" applyFont="1" applyFill="1" applyBorder="1" applyAlignment="1" applyProtection="1">
      <alignment horizontal="right" vertical="top" readingOrder="2"/>
      <protection locked="0"/>
    </xf>
    <xf numFmtId="0" fontId="148" fillId="41" borderId="49" xfId="17" applyFont="1" applyFill="1" applyBorder="1" applyAlignment="1" applyProtection="1">
      <alignment horizontal="center" vertical="top" readingOrder="2"/>
    </xf>
    <xf numFmtId="0" fontId="148" fillId="41" borderId="66" xfId="17" applyFont="1" applyFill="1" applyBorder="1" applyAlignment="1" applyProtection="1">
      <alignment horizontal="center" vertical="top" readingOrder="2"/>
    </xf>
    <xf numFmtId="0" fontId="148" fillId="41" borderId="51" xfId="17" applyFont="1" applyFill="1" applyBorder="1" applyAlignment="1" applyProtection="1">
      <alignment horizontal="center" vertical="top" readingOrder="2"/>
    </xf>
    <xf numFmtId="0" fontId="112" fillId="5" borderId="45" xfId="17" applyFont="1" applyFill="1" applyBorder="1" applyAlignment="1" applyProtection="1">
      <alignment horizontal="center" vertical="center" wrapText="1" readingOrder="2"/>
    </xf>
    <xf numFmtId="0" fontId="152" fillId="30" borderId="49" xfId="17" applyFont="1" applyFill="1" applyBorder="1" applyAlignment="1" applyProtection="1">
      <alignment horizontal="center" vertical="top" wrapText="1" readingOrder="2"/>
    </xf>
    <xf numFmtId="0" fontId="152" fillId="30" borderId="51" xfId="17" applyFont="1" applyFill="1" applyBorder="1" applyAlignment="1" applyProtection="1">
      <alignment horizontal="center" vertical="top" wrapText="1" readingOrder="2"/>
    </xf>
  </cellXfs>
  <cellStyles count="20">
    <cellStyle name="Comma" xfId="1" builtinId="3"/>
    <cellStyle name="Comma 2" xfId="2"/>
    <cellStyle name="Normal" xfId="0" builtinId="0"/>
    <cellStyle name="Normal 12 2" xfId="10"/>
    <cellStyle name="Normal 12 2 2" xfId="13"/>
    <cellStyle name="Normal 2" xfId="3"/>
    <cellStyle name="Normal 2 2" xfId="12"/>
    <cellStyle name="Normal 26" xfId="11"/>
    <cellStyle name="Normal 26 2" xfId="14"/>
    <cellStyle name="Normal 3" xfId="4"/>
    <cellStyle name="Normal 4" xfId="16"/>
    <cellStyle name="Normal 5" xfId="17"/>
    <cellStyle name="Normal_Copy of financialReport" xfId="18"/>
    <cellStyle name="Normal_גיליון1" xfId="5"/>
    <cellStyle name="Percent" xfId="6" builtinId="5"/>
    <cellStyle name="Percent 2" xfId="7"/>
    <cellStyle name="Percent 4" xfId="19"/>
    <cellStyle name="היפר-קישור" xfId="8" builtinId="8"/>
    <cellStyle name="היפר-קישור 2" xfId="15"/>
    <cellStyle name="כותרת 3" xfId="9" builtinId="18"/>
  </cellStyles>
  <dxfs count="236">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dxf>
    <dxf>
      <protection locked="0" hidden="0"/>
    </dxf>
    <dxf>
      <numFmt numFmtId="0" formatCode="General"/>
    </dxf>
    <dxf>
      <protection locked="0" hidden="0"/>
    </dxf>
    <dxf>
      <numFmt numFmtId="171" formatCode="0.000%"/>
    </dxf>
    <dxf>
      <protection locked="0" hidden="0"/>
    </dxf>
    <dxf>
      <numFmt numFmtId="171" formatCode="0.000%"/>
    </dxf>
    <dxf>
      <protection locked="0" hidden="0"/>
    </dxf>
    <dxf>
      <numFmt numFmtId="0" formatCode="General"/>
    </dxf>
    <dxf>
      <protection locked="0" hidden="0"/>
    </dxf>
    <dxf>
      <numFmt numFmtId="0" formatCode="General"/>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0"/>
        <color auto="1"/>
        <name val="Arial"/>
        <scheme val="none"/>
      </font>
      <protection locked="0" hidden="0"/>
    </dxf>
    <dxf>
      <protection locked="0" hidden="0"/>
    </dxf>
    <dxf>
      <font>
        <b val="0"/>
        <i val="0"/>
        <strike val="0"/>
        <condense val="0"/>
        <extend val="0"/>
        <outline val="0"/>
        <shadow val="0"/>
        <u val="none"/>
        <vertAlign val="baseline"/>
        <sz val="10"/>
        <color auto="1"/>
        <name val="Arial"/>
        <scheme val="none"/>
      </font>
      <numFmt numFmtId="166" formatCode="_ * #,##0.000_ ;_ * \-#,##0.000_ ;_ * &quot;-&quot;??_ ;_ @_ "/>
      <fill>
        <patternFill patternType="none">
          <fgColor indexed="64"/>
          <bgColor indexed="65"/>
        </patternFill>
      </fill>
    </dxf>
    <dxf>
      <font>
        <b/>
        <i val="0"/>
        <strike val="0"/>
        <condense val="0"/>
        <extend val="0"/>
        <outline val="0"/>
        <shadow val="0"/>
        <u val="none"/>
        <vertAlign val="baseline"/>
        <sz val="10"/>
        <color auto="1"/>
        <name val="Arial"/>
        <scheme val="none"/>
      </font>
      <numFmt numFmtId="166" formatCode="_ * #,##0.000_ ;_ * \-#,##0.000_ ;_ * &quot;-&quot;??_ ;_ @_ "/>
      <fill>
        <patternFill patternType="none">
          <fgColor indexed="64"/>
          <bgColor indexed="65"/>
        </patternFill>
      </fill>
      <border diagonalUp="0" diagonalDown="0">
        <left/>
        <right/>
        <top style="medium">
          <color indexed="64"/>
        </top>
        <bottom/>
      </border>
    </dxf>
    <dxf>
      <font>
        <b/>
        <i val="0"/>
        <strike val="0"/>
        <condense val="0"/>
        <extend val="0"/>
        <outline val="0"/>
        <shadow val="0"/>
        <u val="none"/>
        <vertAlign val="baseline"/>
        <sz val="10"/>
        <color auto="1"/>
        <name val="Arial"/>
        <scheme val="none"/>
      </font>
      <numFmt numFmtId="166" formatCode="_ * #,##0.000_ ;_ * \-#,##0.000_ ;_ * &quot;-&quot;??_ ;_ @_ "/>
      <fill>
        <patternFill patternType="none">
          <fgColor indexed="64"/>
          <bgColor indexed="65"/>
        </patternFill>
      </fill>
      <border diagonalUp="0" diagonalDown="0" outline="0">
        <left/>
        <right/>
        <top/>
        <bottom/>
      </border>
    </dxf>
    <dxf>
      <font>
        <b/>
        <i val="0"/>
        <strike val="0"/>
        <condense val="0"/>
        <extend val="0"/>
        <outline val="0"/>
        <shadow val="0"/>
        <u val="none"/>
        <vertAlign val="baseline"/>
        <sz val="10"/>
        <color auto="1"/>
        <name val="Arial"/>
        <scheme val="none"/>
      </font>
      <fill>
        <patternFill patternType="none">
          <fgColor indexed="64"/>
          <bgColor indexed="65"/>
        </patternFill>
      </fill>
      <border diagonalUp="0" diagonalDown="0">
        <left/>
        <right/>
        <top style="medium">
          <color indexed="64"/>
        </top>
        <bottom/>
      </border>
    </dxf>
    <dxf>
      <font>
        <b/>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top/>
        <bottom/>
      </border>
    </dxf>
    <dxf>
      <border outline="0">
        <left style="medium">
          <color indexed="64"/>
        </left>
        <right style="medium">
          <color indexed="64"/>
        </right>
        <top style="medium">
          <color indexed="64"/>
        </top>
        <bottom style="medium">
          <color indexed="64"/>
        </bottom>
      </border>
    </dxf>
  </dxfs>
  <tableStyles count="1" defaultTableStyle="TableStyleMedium2" defaultPivotStyle="PivotStyleLight16">
    <tableStyle name="סגנון טבלה 1" pivot="0" count="0"/>
  </tableStyles>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4.xml"/><Relationship Id="rId47" Type="http://schemas.openxmlformats.org/officeDocument/2006/relationships/externalLink" Target="externalLinks/externalLink9.xml"/><Relationship Id="rId63" Type="http://schemas.openxmlformats.org/officeDocument/2006/relationships/externalLink" Target="externalLinks/externalLink25.xml"/><Relationship Id="rId6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externalLink" Target="externalLinks/externalLink7.xml"/><Relationship Id="rId53" Type="http://schemas.openxmlformats.org/officeDocument/2006/relationships/externalLink" Target="externalLinks/externalLink15.xml"/><Relationship Id="rId58" Type="http://schemas.openxmlformats.org/officeDocument/2006/relationships/externalLink" Target="externalLinks/externalLink20.xml"/><Relationship Id="rId66" Type="http://schemas.openxmlformats.org/officeDocument/2006/relationships/externalLink" Target="externalLinks/externalLink28.xml"/><Relationship Id="rId5" Type="http://schemas.openxmlformats.org/officeDocument/2006/relationships/worksheet" Target="worksheets/sheet5.xml"/><Relationship Id="rId61" Type="http://schemas.openxmlformats.org/officeDocument/2006/relationships/externalLink" Target="externalLinks/externalLink23.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5.xml"/><Relationship Id="rId48" Type="http://schemas.openxmlformats.org/officeDocument/2006/relationships/externalLink" Target="externalLinks/externalLink10.xml"/><Relationship Id="rId56" Type="http://schemas.openxmlformats.org/officeDocument/2006/relationships/externalLink" Target="externalLinks/externalLink18.xml"/><Relationship Id="rId64" Type="http://schemas.openxmlformats.org/officeDocument/2006/relationships/externalLink" Target="externalLinks/externalLink26.xml"/><Relationship Id="rId69"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13.xml"/><Relationship Id="rId72" Type="http://schemas.openxmlformats.org/officeDocument/2006/relationships/customXml" Target="../customXml/item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8.xml"/><Relationship Id="rId59" Type="http://schemas.openxmlformats.org/officeDocument/2006/relationships/externalLink" Target="externalLinks/externalLink21.xml"/><Relationship Id="rId67"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externalLink" Target="externalLinks/externalLink3.xml"/><Relationship Id="rId54" Type="http://schemas.openxmlformats.org/officeDocument/2006/relationships/externalLink" Target="externalLinks/externalLink16.xml"/><Relationship Id="rId62" Type="http://schemas.openxmlformats.org/officeDocument/2006/relationships/externalLink" Target="externalLinks/externalLink24.xml"/><Relationship Id="rId7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1.xml"/><Relationship Id="rId57" Type="http://schemas.openxmlformats.org/officeDocument/2006/relationships/externalLink" Target="externalLinks/externalLink19.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6.xml"/><Relationship Id="rId52" Type="http://schemas.openxmlformats.org/officeDocument/2006/relationships/externalLink" Target="externalLinks/externalLink14.xml"/><Relationship Id="rId60" Type="http://schemas.openxmlformats.org/officeDocument/2006/relationships/externalLink" Target="externalLinks/externalLink22.xml"/><Relationship Id="rId65" Type="http://schemas.openxmlformats.org/officeDocument/2006/relationships/externalLink" Target="externalLinks/externalLink27.xml"/><Relationship Id="rId73"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xml"/><Relationship Id="rId34" Type="http://schemas.openxmlformats.org/officeDocument/2006/relationships/worksheet" Target="worksheets/sheet34.xml"/><Relationship Id="rId50" Type="http://schemas.openxmlformats.org/officeDocument/2006/relationships/externalLink" Target="externalLinks/externalLink12.xml"/><Relationship Id="rId55" Type="http://schemas.openxmlformats.org/officeDocument/2006/relationships/externalLink" Target="externalLinks/externalLink17.xml"/><Relationship Id="rId7" Type="http://schemas.openxmlformats.org/officeDocument/2006/relationships/worksheet" Target="worksheets/sheet7.xml"/><Relationship Id="rId71" Type="http://schemas.openxmlformats.org/officeDocument/2006/relationships/customXml" Target="../customXml/item1.xml"/></Relationships>
</file>

<file path=xl/ctrlProps/ctrlProp1.xml><?xml version="1.0" encoding="utf-8"?>
<formControlPr xmlns="http://schemas.microsoft.com/office/spreadsheetml/2009/9/main" objectType="Drop" dropStyle="combo" dx="16" fmlaLink="$H$64" fmlaRange="$H$3:$H$62" val="0"/>
</file>

<file path=xl/ctrlProps/ctrlProp2.xml><?xml version="1.0" encoding="utf-8"?>
<formControlPr xmlns="http://schemas.microsoft.com/office/spreadsheetml/2009/9/main" objectType="Drop" dropStyle="combo" dx="16" fmlaLink="'עלויות תפעול מול הנורמה לתאגיד'!$Z$62" fmlaRange="'עלויות תפעול מול הנורמה לתאגיד'!$Z$6:$Z$64" val="0"/>
</file>

<file path=xl/ctrlProps/ctrlProp3.xml><?xml version="1.0" encoding="utf-8"?>
<formControlPr xmlns="http://schemas.microsoft.com/office/spreadsheetml/2009/9/main" objectType="Drop" dropStyle="combo" dx="16" fmlaLink="'עלויות תפעול מול הנורמה לתאגיד'!$Z$62" fmlaRange="'עלויות תפעול מול הנורמה לתאגיד'!$Z$6:$Z$64" val="50"/>
</file>

<file path=xl/ctrlProps/ctrlProp4.xml><?xml version="1.0" encoding="utf-8"?>
<formControlPr xmlns="http://schemas.microsoft.com/office/spreadsheetml/2009/9/main" objectType="Drop" dropStyle="combo" dx="16" fmlaLink="$Z$62" fmlaRange="$Z$6:$Z$64" val="0"/>
</file>

<file path=xl/ctrlProps/ctrlProp5.xml><?xml version="1.0" encoding="utf-8"?>
<formControlPr xmlns="http://schemas.microsoft.com/office/spreadsheetml/2009/9/main" objectType="Drop" dropStyle="combo" dx="16" fmlaLink="'עלויות תפעול מול הנורמה לתאגיד'!$Z$62" fmlaRange="'עלויות תפעול מול הנורמה לתאגיד'!$Z$6:$Z$64" val="0"/>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285750</xdr:colOff>
          <xdr:row>3</xdr:row>
          <xdr:rowOff>28575</xdr:rowOff>
        </xdr:from>
        <xdr:to>
          <xdr:col>1</xdr:col>
          <xdr:colOff>2219325</xdr:colOff>
          <xdr:row>4</xdr:row>
          <xdr:rowOff>114300</xdr:rowOff>
        </xdr:to>
        <xdr:sp macro="" textlink="">
          <xdr:nvSpPr>
            <xdr:cNvPr id="113687" name="Drop Down 23" hidden="1">
              <a:extLst>
                <a:ext uri="{63B3BB69-23CF-44E3-9099-C40C66FF867C}">
                  <a14:compatExt spid="_x0000_s113687"/>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104775</xdr:colOff>
      <xdr:row>0</xdr:row>
      <xdr:rowOff>66675</xdr:rowOff>
    </xdr:from>
    <xdr:to>
      <xdr:col>2</xdr:col>
      <xdr:colOff>866775</xdr:colOff>
      <xdr:row>4</xdr:row>
      <xdr:rowOff>114300</xdr:rowOff>
    </xdr:to>
    <xdr:pic>
      <xdr:nvPicPr>
        <xdr:cNvPr id="2" name="Picture 1" descr="רשות המים"/>
        <xdr:cNvPicPr>
          <a:picLocks noChangeAspect="1" noChangeArrowheads="1"/>
        </xdr:cNvPicPr>
      </xdr:nvPicPr>
      <xdr:blipFill>
        <a:blip xmlns:r="http://schemas.openxmlformats.org/officeDocument/2006/relationships" r:embed="rId1" cstate="print">
          <a:lum bright="6000"/>
        </a:blip>
        <a:srcRect l="5211" t="19231" b="30782"/>
        <a:stretch>
          <a:fillRect/>
        </a:stretch>
      </xdr:blipFill>
      <xdr:spPr bwMode="auto">
        <a:xfrm>
          <a:off x="9983885925" y="66675"/>
          <a:ext cx="1981200" cy="885825"/>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6</xdr:col>
          <xdr:colOff>0</xdr:colOff>
          <xdr:row>7</xdr:row>
          <xdr:rowOff>190500</xdr:rowOff>
        </xdr:from>
        <xdr:to>
          <xdr:col>6</xdr:col>
          <xdr:colOff>2019300</xdr:colOff>
          <xdr:row>9</xdr:row>
          <xdr:rowOff>28575</xdr:rowOff>
        </xdr:to>
        <xdr:sp macro="" textlink="">
          <xdr:nvSpPr>
            <xdr:cNvPr id="215042" name="Drop Down 2" hidden="1">
              <a:extLst>
                <a:ext uri="{63B3BB69-23CF-44E3-9099-C40C66FF867C}">
                  <a14:compatExt spid="_x0000_s215042"/>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885825</xdr:colOff>
          <xdr:row>0</xdr:row>
          <xdr:rowOff>171450</xdr:rowOff>
        </xdr:from>
        <xdr:to>
          <xdr:col>9</xdr:col>
          <xdr:colOff>1238250</xdr:colOff>
          <xdr:row>1</xdr:row>
          <xdr:rowOff>9525</xdr:rowOff>
        </xdr:to>
        <xdr:sp macro="" textlink="">
          <xdr:nvSpPr>
            <xdr:cNvPr id="212994" name="Drop Down 2" hidden="1">
              <a:extLst>
                <a:ext uri="{63B3BB69-23CF-44E3-9099-C40C66FF867C}">
                  <a14:compatExt spid="_x0000_s212994"/>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4</xdr:row>
          <xdr:rowOff>104775</xdr:rowOff>
        </xdr:from>
        <xdr:to>
          <xdr:col>3</xdr:col>
          <xdr:colOff>1343025</xdr:colOff>
          <xdr:row>4</xdr:row>
          <xdr:rowOff>314325</xdr:rowOff>
        </xdr:to>
        <xdr:sp macro="" textlink="">
          <xdr:nvSpPr>
            <xdr:cNvPr id="191489" name="Drop Down 1" hidden="1">
              <a:extLst>
                <a:ext uri="{63B3BB69-23CF-44E3-9099-C40C66FF867C}">
                  <a14:compatExt spid="_x0000_s191489"/>
                </a:ext>
              </a:extLst>
            </xdr:cNvPr>
            <xdr:cNvSpPr/>
          </xdr:nvSpPr>
          <xdr:spPr>
            <a:xfrm>
              <a:off x="0" y="0"/>
              <a:ext cx="0" cy="0"/>
            </a:xfrm>
            <a:prstGeom prst="rect">
              <a:avLst/>
            </a:prstGeom>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76200</xdr:colOff>
          <xdr:row>3</xdr:row>
          <xdr:rowOff>0</xdr:rowOff>
        </xdr:from>
        <xdr:to>
          <xdr:col>6</xdr:col>
          <xdr:colOff>1419225</xdr:colOff>
          <xdr:row>3</xdr:row>
          <xdr:rowOff>209550</xdr:rowOff>
        </xdr:to>
        <xdr:sp macro="" textlink="">
          <xdr:nvSpPr>
            <xdr:cNvPr id="234497" name="Drop Down 1" hidden="1">
              <a:extLst>
                <a:ext uri="{63B3BB69-23CF-44E3-9099-C40C66FF867C}">
                  <a14:compatExt spid="_x0000_s234497"/>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88;&#1493;&#1502;&#1491;&#1503;%20&#1514;&#1506;&#1512;&#1497;&#1507;%20&#1502;&#1511;&#1493;&#1512;&#1493;&#1514;%203.12.1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1488;&#1497;&#1495;&#1493;&#1491;%20&#1511;&#1493;&#1489;&#1509;%20&#1514;&#1506;&#1512;&#1497;&#1508;&#1497;&#1501;%20&#1502;&#1497;&#1501;%20&#1493;&#1506;&#1500;&#1493;&#1497;&#1493;&#1514;%20&#1514;&#1508;&#1506;&#1493;&#1500;\&#1510;&#1497;&#1512;&#1493;&#1508;&#1497;%20&#1512;&#1513;&#1493;&#1497;&#1493;&#1514;\&#1505;&#1497;&#1502;&#1493;&#1500;&#1510;&#1497;&#1492;%20&#1500;&#1514;&#1506;&#1512;&#1497;&#1508;&#1497;%20&#1502;&#1511;&#1493;&#1512;&#1493;&#1514;%2011.1.0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1488;&#1497;&#1495;&#1493;&#1491;%20&#1511;&#1493;&#1489;&#1509;%20&#1514;&#1506;&#1512;&#1497;&#1508;&#1497;&#1501;%20&#1502;&#1497;&#1501;%20&#1493;&#1506;&#1500;&#1493;&#1497;&#1493;&#1514;%20&#1514;&#1508;&#1506;&#1493;&#1500;\&#1510;&#1497;&#1512;&#1493;&#1508;&#1497;%20&#1512;&#1513;&#1493;&#1497;&#1493;&#1514;\&#1505;&#1497;&#1502;&#1493;&#1500;&#1510;&#1497;&#1492;%20&#1502;&#1493;&#1508;&#1512;&#1496;&#1514;%20&#1500;&#1514;&#1506;&#1512;&#1497;&#1508;&#1497;%20&#1502;&#1511;&#1493;&#1512;&#1493;&#1514;%20&#1489;&#1506;&#1511;&#1489;&#1493;&#1514;%20&#1513;&#1497;&#1502;&#1493;&#1506;%20201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1488;&#1497;&#1495;&#1493;&#1491;%20&#1511;&#1493;&#1489;&#1509;%20&#1514;&#1506;&#1512;&#1497;&#1508;&#1497;&#1501;%20&#1502;&#1497;&#1501;%20&#1493;&#1506;&#1500;&#1493;&#1497;&#1493;&#1514;%20&#1514;&#1508;&#1506;&#1493;&#1500;\&#1510;&#1497;&#1512;&#1493;&#1508;&#1497;%20&#1512;&#1513;&#1493;&#1497;&#1493;&#1514;\&#1506;&#1500;&#1493;&#1497;&#1493;&#1514;%20&#1514;&#1508;&#1506;&#1493;&#1500;%202015%20&#1489;&#1506;&#1511;&#1489;&#1493;&#1514;%20&#1492;&#1513;&#1497;&#1502;&#1493;&#1506;.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1495;&#1496;&#1497;&#1489;&#1514;%20&#1499;&#1500;&#1499;&#1500;&#1492;\&#1514;&#1506;&#1512;&#1497;&#1508;&#1497;&#1501;%202014\&#1514;&#1506;&#1512;&#1497;&#1508;&#1497;%202014%20&#1489;&#1492;&#1504;&#1495;&#1493;&#1514;%20&#1513;&#1493;&#1504;&#1493;&#1514;\&#1514;&#1506;&#1512;&#1497;&#1508;&#1497;&#1501;%202014%20&#1489;&#1492;&#1504;&#1495;&#1493;&#1514;%20&#1513;&#1493;&#1504;&#1493;&#151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2016\&#1514;&#1506;&#1512;&#1497;&#1508;&#1497;%20&#1497;&#1504;&#1493;&#1488;&#1512;%202016%20&#1489;&#1506;&#1511;&#1489;&#1493;&#1514;%20&#1492;&#1513;&#1497;&#1502;&#1493;&#1506;\&#1514;&#1506;&#1512;&#1497;&#1508;&#1497;%202016%20&#1489;&#1506;&#1511;&#1489;&#1493;&#1514;%20&#1492;&#1513;&#1497;&#1502;&#1493;&#1506;.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1514;&#1506;&#1512;&#1497;&#1508;&#1497;%202016%20&#1489;&#1506;&#1511;&#1489;&#1493;&#1514;%20&#1492;&#1513;&#1497;&#1502;&#1493;&#1506;.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1495;&#1496;&#1497;&#1489;&#1514;%20&#1499;&#1500;&#1499;&#1500;&#1492;/&#1514;&#1506;&#1512;&#1497;&#1508;&#1497;&#1501;%20&#1500;&#1513;&#1497;&#1502;&#1493;&#1506;%20&#1497;&#1493;&#1500;&#1497;%202015/&#1488;&#1497;&#1495;&#1493;&#1491;%20&#1511;&#1493;&#1489;&#1509;%20&#1514;&#1506;&#1512;&#1497;&#1508;&#1497;&#1501;%20&#1502;&#1497;&#1501;%20&#1493;&#1506;&#1500;&#1493;&#1497;&#1493;&#1514;%20&#1514;&#1508;&#1506;&#1493;&#1500;/&#1510;&#1497;&#1512;&#1493;&#1508;&#1497;%20&#1512;&#1513;&#1493;&#1497;&#1493;&#1514;/&#1514;&#1495;&#1513;&#1497;&#1489;%20&#1511;&#1493;&#1493;&#1497;%20&#1492;&#1493;&#1500;&#1499;&#1492;%20&#1500;&#1489;&#1497;&#1493;&#1489;%20&#1500;&#1506;&#1497;&#1503;%20&#1499;&#1512;&#1502;&#1497;&#15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1495;&#1496;&#1497;&#1489;&#1514;%20&#1499;&#1500;&#1499;&#1500;&#1492;/&#1514;&#1506;&#1512;&#1497;&#1508;&#1497;&#1501;%20&#1500;&#1513;&#1497;&#1502;&#1493;&#1506;%20&#1497;&#1493;&#1500;&#1497;%202015/&#1488;&#1497;&#1495;&#1493;&#1491;%20&#1511;&#1493;&#1489;&#1509;%20&#1514;&#1506;&#1512;&#1497;&#1508;&#1497;&#1501;%20&#1502;&#1497;&#1501;%20&#1493;&#1506;&#1500;&#1493;&#1497;&#1493;&#1514;%20&#1514;&#1508;&#1506;&#1493;&#1500;/&#1510;&#1497;&#1512;&#1493;&#1508;&#1497;%20&#1512;&#1513;&#1493;&#1497;&#1493;&#1514;/&#1514;&#1495;&#1513;&#1497;&#1489;%20&#1488;&#1497;&#1490;&#1493;&#1491;%20&#1506;&#1512;&#1497;&#1501;%20&#1499;&#1512;&#1502;&#1497;&#1488;&#1500;.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My%20Documents\&#1495;&#1496;&#1497;&#1489;&#1514;%20&#1499;&#1500;&#1499;&#1500;&#1492;\&#1506;&#1491;&#1499;&#1493;&#1503;%20&#1514;&#1506;&#1512;&#1497;&#1508;&#1497;&#1501;\&#1504;&#1497;&#1505;&#1497;&#1493;&#1503;%20&#1492;&#1514;&#1495;&#1511;&#1493;&#1514;%20&#1488;&#1495;&#1512;%20112%208.2.201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Users\Shirani\Desktop\&#1511;&#1489;&#1510;&#1497;&#1501;%20&#1499;&#1500;&#1500;&#1497;&#1501;%20&#1495;&#1491;&#1513;&#1497;&#1501;%202014\&#1511;&#1493;&#1489;&#1509;%20&#1504;&#1497;&#1505;&#1497;&#1493;&#15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2015\&#1514;&#1506;&#1512;&#1497;&#1508;&#1497;%202015%20&#1489;&#1506;&#1511;&#1489;&#1493;&#1514;%20&#1492;&#1513;&#1497;&#1502;&#1493;&#1506;\&#1514;&#1506;&#1512;&#1497;&#1508;&#1497;%20&#1502;&#1497;&#1501;%20&#1500;&#1513;&#1504;&#1514;%202015%20&#1489;&#1506;&#1511;&#1489;&#1493;&#1514;%20&#1492;&#1513;&#1497;&#1502;&#1493;&#15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user\AppData\Local\Microsoft\Windows\Temporary%20Internet%20Files\Content.Outlook\N19N1XKJ\&#1511;&#1493;&#1489;&#1509;%20&#1505;&#1493;&#1508;&#1497;%20&#1497;&#1493;&#1500;&#1497;%202015-&#1499;&#1493;&#1500;&#1500;%20&#1504;&#1493;&#1512;&#1502;&#1493;&#1514;%20&#1489;&#1514;&#1511;&#1510;&#1497;&#148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Users\Shirani\Desktop\&#1506;&#1493;&#1514;&#1511;%20&#1513;&#1500;%20&#1512;&#1497;&#1499;&#1493;&#1494;%20&#1504;&#1514;&#1493;&#1504;&#1497;%20&#1488;&#1504;&#1512;&#1490;&#1497;&#149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2014\&#1514;&#1506;&#1512;&#1497;&#1508;&#1497;%202014%20&#1489;&#1492;&#1504;&#1495;&#1493;&#1514;%20&#1513;&#1493;&#1504;&#1493;&#1514;\&#1514;&#1506;&#1512;&#1497;&#1508;&#1497;&#1501;%202014%20&#1489;&#1492;&#1504;&#1495;&#1493;&#1514;%20&#1513;&#1493;&#1504;&#1493;&#151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G:\&#1502;&#1506;&#1497;&#1497;&#1504;&#1493;&#1514;%20&#1494;&#1497;&#1493;%20&#1489;&#1506;&#1502;\&#1514;&#1493;&#1499;&#1504;&#1497;&#1514;%20&#1506;&#1505;&#1511;&#1497;&#1514;-%20&#1513;&#1500;&#1489;%20&#148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1495;&#1496;&#1497;&#1489;&#1514;%20&#1499;&#1500;&#1499;&#1500;&#1492;/&#1514;&#1506;&#1512;&#1497;&#1508;&#1497;&#1501;%20&#1500;&#1513;&#1497;&#1502;&#1493;&#1506;%20&#1497;&#1493;&#1500;&#1497;%202015/&#1495;&#1496;&#1497;&#1489;&#1514;%20&#1499;&#1500;&#1499;&#1500;&#1492;/&#1514;&#1506;&#1512;&#1497;&#1508;&#1497;&#1501;%202014/&#1514;&#1506;&#1512;&#1497;&#1508;&#1497;%202014%20&#1489;&#1492;&#1504;&#1495;&#1493;&#1514;%20&#1513;&#1493;&#1504;&#1493;&#1514;/&#1514;&#1506;&#1512;&#1497;&#1508;&#1497;&#1501;%202014%20&#1489;&#1492;&#1504;&#1495;&#1493;&#1514;%20&#1513;&#1493;&#1504;&#1493;&#151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2016\&#1514;&#1506;&#1512;&#1497;&#1508;&#1497;%20&#1497;&#1504;&#1493;&#1488;&#1512;%202016%20&#1489;&#1506;&#1511;&#1489;&#1493;&#1514;%20&#1492;&#1513;&#1497;&#1502;&#1493;&#1506;\&#1502;&#1505;&#1508;&#1512;%20&#1502;&#1493;&#1504;&#1497;&#1501;%20&#1502;&#1506;&#1493;&#1491;&#1499;&#1503;%20&#1500;&#1497;&#1493;&#1501;%2012.11.15.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1488;&#1497;&#1495;&#1493;&#1491;%20&#1511;&#1493;&#1489;&#1509;%20&#1514;&#1506;&#1512;&#1497;&#1508;&#1497;&#1501;%20&#1502;&#1497;&#1501;%20&#1493;&#1506;&#1500;&#1493;&#1497;&#1493;&#1514;%20&#1514;&#1508;&#1506;&#1493;&#1500;\&#1510;&#1497;&#1512;&#1493;&#1508;&#1497;%20&#1512;&#1513;&#1493;&#1497;&#1493;&#1514;\&#1506;&#1500;&#1493;&#1497;&#1493;&#1514;%20&#1514;&#1508;&#1506;&#1493;&#1500;%202015%20&#1502;&#1488;&#1493;&#1495;&#1491;.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2016\&#1514;&#1506;&#1512;&#1497;&#1508;&#1497;%20&#1497;&#1504;&#1493;&#1488;&#1512;%202016%20&#1489;&#1506;&#1511;&#1489;&#1493;&#1514;%20&#1492;&#1513;&#1497;&#1502;&#1493;&#1506;\&#1514;&#1506;&#1512;&#1497;&#1508;&#1497;%202016\&#1489;&#1491;&#1497;&#1511;&#1514;%20&#1492;&#1513;&#1511;&#1506;&#1493;&#1514;%20&#1489;&#1514;&#1488;&#1490;&#1497;&#1491;&#1497;&#1501;%20&#1500;&#1506;&#1491;&#1499;&#1493;&#1503;%20&#1497;&#1493;&#1500;&#1497;.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Users\ilan\AppData\Local\Microsoft\Windows\Temporary%20Internet%20Files\Content.Outlook\BYOWLX3A\&#1506;&#1500;&#1493;&#1497;&#1493;&#1514;%20&#1514;&#1508;&#1506;&#1493;&#1500;%20&#1500;&#1513;&#1504;&#1514;%202015.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1500;&#1513;&#1497;&#1502;&#1493;&#1506;%20&#1497;&#1493;&#1500;&#1497;%202015\Users\ilan\AppData\Local\Microsoft\Windows\Temporary%20Internet%20Files\Content.Outlook\BYOWLX3A\&#1502;&#1489;&#1504;&#1492;%20&#1514;&#1488;&#1490;&#1497;&#1491;&#1497;&#1501;%20&#1506;&#1491;&#1499;&#1493;&#1503;%20160913%20%20(3).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1495;&#1496;&#1497;&#1489;&#1514;%20&#1499;&#1500;&#1499;&#1500;&#1492;/&#1514;&#1506;&#1512;&#1497;&#1508;&#1497;&#1501;%20&#1500;&#1513;&#1497;&#1502;&#1493;&#1506;%20&#1497;&#1493;&#1500;&#1497;%202015/&#1495;&#1496;&#1497;&#1489;&#1514;%20&#1499;&#1500;&#1499;&#1500;&#1492;/&#1489;&#1497;&#1493;&#1489;&#1497;&#1493;&#1514;/&#1514;&#1488;&#1490;&#1497;&#1491;&#1497;&#1501;%20&#1494;&#1499;&#1488;&#1497;&#1501;-&#1488;&#1495;&#1493;&#1494;%20&#1492;&#1514;&#1489;&#1497;&#1497;&#1489;&#1493;&#1514;%2017.6.2013.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1495;&#1496;&#1497;&#1489;&#1514;%20&#1499;&#1500;&#1499;&#1500;&#1492;\&#1514;&#1506;&#1512;&#1497;&#1508;&#1497;&#1501;%202015\&#1514;&#1506;&#1512;&#1497;&#1508;&#1497;%202015%20&#1489;&#1506;&#1511;&#1489;&#1493;&#1514;%20&#1492;&#1513;&#1497;&#1502;&#1493;&#1506;\&#1506;&#1500;&#1493;&#1497;&#1493;&#1514;%20&#1514;&#1508;&#1506;&#1493;&#1500;%202015%20&#1489;&#1506;&#1511;&#1489;&#1493;&#1514;%20&#1492;&#1513;&#1497;&#1502;&#1493;&#1506;.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1506;&#1500;&#1493;&#1497;&#1493;&#1514;%20&#1492;&#1493;&#1503;%20&#1493;&#1514;&#1508;&#1506;&#1493;&#1500;%20&#1500;&#1505;&#1508;&#1511;&#1497;&#1501;%20&#1502;&#1511;&#1493;&#1502;&#1497;&#1497;&#1501;%20&#1502;&#1506;&#1493;&#1491;&#1499;&#1503;%20&#1500;&#1497;&#1493;&#1501;%2016.12.2015.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1495;&#1496;&#1497;&#1489;&#1514;%20&#1499;&#1500;&#1499;&#1500;&#1492;/&#1514;&#1506;&#1512;&#1497;&#1508;&#1497;&#1501;%202015/&#1514;&#1506;&#1512;&#1497;&#1508;&#1497;%202015%20&#1489;&#1506;&#1511;&#1489;&#1493;&#1514;%20&#1492;&#1513;&#1497;&#1502;&#1493;&#1506;/&#1514;&#1506;&#1512;&#1497;&#1508;&#1497;%20&#1502;&#1497;&#1501;%20&#1500;&#1513;&#1504;&#1514;%202015%20&#1489;&#1506;&#1511;&#1489;&#1493;&#1514;%20&#1492;&#1513;&#1497;&#1502;&#1493;&#150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Users\galit\AppData\Local\Microsoft\Windows\Temporary%20Internet%20Files\Content.Outlook\986IOUUM\&#1502;&#1514;&#1499;&#1493;&#1504;&#1514;%20&#1491;&#1493;&#1495;%20-%20&#1502;&#1497;%20&#1513;&#1489;&#1506;-2013.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Users\galit\Google%20Drive\Documents\Documents\&#1512;&#1513;&#1493;&#1514;%20&#1492;&#1502;&#1497;&#1501;\&#1514;&#1511;&#1510;&#1497;&#1489;&#1497;&#1501;\2015\&#1511;&#1493;&#1489;&#1509;%20&#1489;&#1505;&#1497;&#1505;%20&#1506;&#1500;&#1493;&#1497;&#1493;&#1514;%20&#1514;&#1508;&#1506;&#1493;&#1500;%202015%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גיליון1"/>
      <sheetName val="הכנסות וכמויות היום"/>
      <sheetName val="מאזן ארצי 2050"/>
      <sheetName val="שינוי בצריכה לשנה"/>
      <sheetName val="תחזית רשות המים 2014 חקלאות"/>
      <sheetName val="כמויות על פני השנים"/>
      <sheetName val="גיליון10"/>
      <sheetName val="כמות בסיסית"/>
      <sheetName val="סיבסוד פנימי מקורות 2011"/>
      <sheetName val="סיבסוד פנימי מקורות 2010"/>
      <sheetName val="חישוב רקע לסבסוד 2010"/>
      <sheetName val="גיליון8"/>
      <sheetName val="תרחיש מפורט 2010"/>
      <sheetName val="תחזית עלויות 2011"/>
      <sheetName val="תוכנית אב"/>
      <sheetName val="גיליון12"/>
      <sheetName val="תחשיב "/>
      <sheetName val="מחירים על פני השנים"/>
      <sheetName val="גיליון15"/>
      <sheetName val="גיליון13"/>
      <sheetName val="חישוב רקע לסבסוד 2011"/>
      <sheetName val="חקלאות 2012"/>
      <sheetName val="חקלאות 2013"/>
      <sheetName val="חקלאות 2014"/>
      <sheetName val="חקלאות 2015"/>
      <sheetName val="תרחיש מפורט"/>
      <sheetName val="גיליון הנחות 2016"/>
      <sheetName val="עלויות 2013"/>
      <sheetName val="תוספת עלויות במהלך השנים"/>
      <sheetName val="הנחות מקורות לסימולציה 2014"/>
      <sheetName val="הנחות סימולציה מקורות 2015"/>
      <sheetName val="גיליון16"/>
      <sheetName val="תחזית כמויות לשנת 2015"/>
      <sheetName val="הפרשים 2012 2013"/>
      <sheetName val="תחזית כמויות לשנת 2014"/>
      <sheetName val="תרחישים לפי סוג מחיר"/>
      <sheetName val="רב שנתי"/>
      <sheetName val="עלות שאיבות"/>
      <sheetName val="כולל מחיר בסיסי"/>
      <sheetName val="גיליון7"/>
      <sheetName val="גיליון4"/>
      <sheetName val="גיליון5"/>
      <sheetName val="גיליון9"/>
      <sheetName val="גיליון6"/>
      <sheetName val="רב שנתי שולי קבוע"/>
      <sheetName val="שולי ותעשייתי קבועים"/>
      <sheetName val="העמסת סובסידיה על שולי ובסיסי"/>
      <sheetName val="גיליון3"/>
      <sheetName val="גיליון2"/>
      <sheetName val="גיליון11"/>
      <sheetName val="גיליון1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7">
          <cell r="AD7">
            <v>4.9116749256911705</v>
          </cell>
        </row>
        <row r="17">
          <cell r="AD17">
            <v>1.0006749256911704</v>
          </cell>
        </row>
      </sheetData>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גיליון1"/>
      <sheetName val="הכנסות וכמויות היום"/>
      <sheetName val="שינוי בצריכה לשנה"/>
      <sheetName val="כמויות על פני השנים"/>
      <sheetName val="מחירים על פני השנים"/>
      <sheetName val="רב שנתי"/>
      <sheetName val="שולי ותעשייתי קבועים"/>
      <sheetName val="גיליון2"/>
      <sheetName val="גיליון3"/>
      <sheetName val="העמסת סובסידיה על שולי ובסיסי"/>
      <sheetName val="גיליון6"/>
      <sheetName val="רב שנתי שולי קבוע"/>
      <sheetName val="כולל מחיר בסיסי"/>
      <sheetName val="גיליון4"/>
      <sheetName val="עלות שאיבות"/>
      <sheetName val="גיליון7"/>
      <sheetName val="גיליון8"/>
      <sheetName val="גיליון9"/>
      <sheetName val="גיליון5"/>
      <sheetName val="תרחישים לפי סוג מחיר"/>
      <sheetName val="תוספת עלויות במהלך השני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גיליון1"/>
      <sheetName val="הכנסות וכמויות היום"/>
      <sheetName val="מאזן ארצי 2050"/>
      <sheetName val="שינוי בצריכה לשנה"/>
      <sheetName val="תחזית רשות המים 2014 חקלאות"/>
      <sheetName val="כמויות על פני השנים"/>
      <sheetName val="גיליון10"/>
      <sheetName val="כמות בסיסית"/>
      <sheetName val="סיבסוד פנימי מקורות 2011"/>
      <sheetName val="סיבסוד פנימי מקורות 2010"/>
      <sheetName val="חישוב רקע לסבסוד 2010"/>
      <sheetName val="גיליון8"/>
      <sheetName val="תרחיש מפורט 2010"/>
      <sheetName val="תחזית עלויות 2011"/>
      <sheetName val="תוכנית אב"/>
      <sheetName val="גיליון12"/>
      <sheetName val="תחשיב "/>
      <sheetName val="מחירים על פני השנים"/>
      <sheetName val="גיליון15"/>
      <sheetName val="גיליון13"/>
      <sheetName val="חישוב רקע לסבסוד 2011"/>
      <sheetName val="חקלאות 2012"/>
      <sheetName val="חקלאות 2013"/>
      <sheetName val="חקלאות 2014"/>
      <sheetName val="עלויות 2013"/>
      <sheetName val="תוספת עלויות במהלך השנים"/>
      <sheetName val="הנחות מקורות לסימולציה 2014"/>
      <sheetName val="תרחיש מפורט"/>
      <sheetName val="תחזית כמויות לשנת 2014"/>
      <sheetName val="הפרשים 2012 2013"/>
      <sheetName val="תרחישים לפי סוג מחיר"/>
      <sheetName val="רב שנתי"/>
      <sheetName val="עלות שאיבות"/>
      <sheetName val="כולל מחיר בסיסי"/>
      <sheetName val="גיליון7"/>
      <sheetName val="גיליון4"/>
      <sheetName val="גיליון5"/>
      <sheetName val="גיליון9"/>
      <sheetName val="גיליון6"/>
      <sheetName val="רב שנתי שולי קבוע"/>
      <sheetName val="שולי ותעשייתי קבועים"/>
      <sheetName val="העמסת סובסידיה על שולי ובסיסי"/>
      <sheetName val="גיליון3"/>
      <sheetName val="גיליון2"/>
      <sheetName val="גיליון11"/>
      <sheetName val="גיליון1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ow r="16">
          <cell r="V16">
            <v>3.8111733748363652</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שקעות 2011-2013"/>
      <sheetName val="נתוני תאגידים"/>
      <sheetName val="תחשיב תעריף לתאגיד בודד"/>
      <sheetName val="גביה"/>
      <sheetName val="נתוני מים 2013"/>
      <sheetName val="כמויות מים 2012"/>
      <sheetName val="כמויות מים תאגיד מרחבי"/>
      <sheetName val="הוצאות הנהלה תאגיד מרחבי"/>
      <sheetName val="מקדם לגודל תאגיד"/>
      <sheetName val="תקורת רשת מים וביוב"/>
      <sheetName val="ניתוח הוצאות הנהלה"/>
      <sheetName val="עלויות תפעול מול הנורמה לתאגיד"/>
      <sheetName val="הנחיות למילוי הנתונים "/>
      <sheetName val="עלויות תפעול בהתאם לנורמות"/>
      <sheetName val="התפלגות מים 2011"/>
      <sheetName val="נתוני מים 2011"/>
      <sheetName val="תחשיב עלות תפעול 2015"/>
      <sheetName val="ריכוז עלויות"/>
      <sheetName val="סקרי נכסים-יתרות פתיחה"/>
      <sheetName val="ביוביות"/>
      <sheetName val="נושאים לדיו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4">
          <cell r="B4" t="str">
            <v>שם תאגיד</v>
          </cell>
        </row>
      </sheetData>
      <sheetData sheetId="18" refreshError="1"/>
      <sheetData sheetId="19" refreshError="1"/>
      <sheetData sheetId="20" refreshError="1">
        <row r="18">
          <cell r="T18" t="str">
            <v xml:space="preserve">תאגיד </v>
          </cell>
          <cell r="U18" t="str">
            <v>תוספת לעלות תפעולית בש"ח למ"ק</v>
          </cell>
        </row>
        <row r="19">
          <cell r="T19" t="str">
            <v>פלג הגליל החברה האזורית למים וביוב בע"מ</v>
          </cell>
          <cell r="U19">
            <v>8.0701331266342935E-2</v>
          </cell>
        </row>
        <row r="20">
          <cell r="T20" t="str">
            <v>מי עירון בע"מ</v>
          </cell>
          <cell r="U20">
            <v>0.33036895088776946</v>
          </cell>
        </row>
        <row r="21">
          <cell r="T21" t="str">
            <v>מי גליל</v>
          </cell>
          <cell r="U21">
            <v>3.5306287568656343E-2</v>
          </cell>
        </row>
        <row r="22">
          <cell r="T22" t="str">
            <v>סובב שפרעם</v>
          </cell>
          <cell r="U22">
            <v>4.5925999962231005E-2</v>
          </cell>
        </row>
        <row r="23">
          <cell r="T23" t="str">
            <v>נווה מדבר</v>
          </cell>
          <cell r="U23">
            <v>0.26025757802173766</v>
          </cell>
        </row>
        <row r="24">
          <cell r="T24" t="str">
            <v>אל עין</v>
          </cell>
          <cell r="U24">
            <v>2.0255602131783658E-2</v>
          </cell>
        </row>
        <row r="25">
          <cell r="T25" t="str">
            <v>כפרי גליל תחתון בע"מ</v>
          </cell>
          <cell r="U25">
            <v>0.17021661194480656</v>
          </cell>
        </row>
        <row r="26">
          <cell r="T26" t="str">
            <v>הרי נצרת מפעלי מים וביוב בע"מ</v>
          </cell>
          <cell r="U26">
            <v>1.8607881589150908E-2</v>
          </cell>
        </row>
        <row r="27">
          <cell r="T27" t="str">
            <v>מעיינות המשולש</v>
          </cell>
          <cell r="U27">
            <v>0.11341506118208278</v>
          </cell>
        </row>
      </sheetData>
      <sheetData sheetId="2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התפלגות מים 2009"/>
      <sheetName val="התפלגות מים 2008"/>
      <sheetName val="נתוני מים 2008"/>
      <sheetName val="תאגידים ומט&quot;שים יוני 2010"/>
      <sheetName val="המדד המשוקלל"/>
      <sheetName val="מדדי חשמל"/>
      <sheetName val="מדד תפוקות התעשייה"/>
      <sheetName val="מדד המחירים לצרכן"/>
      <sheetName val="מדד שכר ציבורי"/>
      <sheetName val="תאגידים ומט&quot;שים מעודכן"/>
      <sheetName val="עלויות תפעול לשנת 2012 חלש מתקד"/>
      <sheetName val="עלויות תפעול לשנת 2012"/>
      <sheetName val="נתוני מים 2010"/>
      <sheetName val="התפלגות מים 2010"/>
      <sheetName val="נתוני תאגידים לשנת 2012"/>
      <sheetName val="אשכול חברתי לרשויות"/>
      <sheetName val="הנחות עבודה כלליות"/>
      <sheetName val="התפלגות מים 2011"/>
      <sheetName val="נתוני מים 2011 מעודכן"/>
      <sheetName val="התפלגות מים 2011 מעודכן"/>
      <sheetName val="נתוני מים 2011"/>
      <sheetName val="נתוני מים 2012"/>
      <sheetName val="התפלגות מים 2012"/>
      <sheetName val="אשכול חברתי מעודכן"/>
      <sheetName val="נתוני תאגידים"/>
      <sheetName val="תחשיב להיטל מופחת"/>
      <sheetName val="סל הצמדות 112 א"/>
      <sheetName val="גיליון סימולציות"/>
      <sheetName val="תעריפי שפדן עם הסכמים"/>
      <sheetName val="מטשים 2013"/>
      <sheetName val="ריכוז נתוני תאגידים"/>
      <sheetName val="תעריף מוצע"/>
      <sheetName val="עלויות ממוצעות לקוב"/>
      <sheetName val="ביוביות"/>
      <sheetName val="הוצאות תפעול"/>
      <sheetName val="פחת מים וגביה"/>
      <sheetName val="פחת מים וגביה מוצע"/>
      <sheetName val="ריכוז נתונים"/>
      <sheetName val="נתונים לגלעד"/>
      <sheetName val="תעריפי 2014"/>
      <sheetName val="בדיקת החזר צרכנים"/>
      <sheetName val="גיליון4"/>
      <sheetName val="גיליון2"/>
      <sheetName val="תעריפי יולי 2013"/>
      <sheetName val="רשימת נכסים מהקובץ"/>
      <sheetName val="נתוני דיווח רשויות מקומיות 2010"/>
      <sheetName val="תעריף השלמה לרשויות מקומיות"/>
      <sheetName val="יחס רכוש בדוחות לסקר נכסים"/>
      <sheetName val="גיליון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5">
          <cell r="D5" t="str">
            <v>מי ברק</v>
          </cell>
          <cell r="E5" t="str">
            <v>הרי נצרת מפעלי מים וביוב בע"מ</v>
          </cell>
          <cell r="F5" t="str">
            <v>התנור מים וביוב בע"מ</v>
          </cell>
          <cell r="G5" t="str">
            <v>חברת הגיחון בע"מ תאגיד המים והביוב של ירושלים</v>
          </cell>
          <cell r="H5" t="str">
            <v>יובלים אשדוד בע"מ</v>
          </cell>
          <cell r="I5" t="str">
            <v>יובלים בשומרון בע"מ</v>
          </cell>
          <cell r="J5" t="str">
            <v>כפרי גליל תחתון בע"מ</v>
          </cell>
          <cell r="K5" t="str">
            <v>מי חדרה בע"מ</v>
          </cell>
          <cell r="L5" t="str">
            <v>מי לוד בע"מ</v>
          </cell>
          <cell r="M5" t="str">
            <v>מי נע חברת המים והביוב של עיריית נצרת עילית בע"מ</v>
          </cell>
          <cell r="N5" t="str">
            <v>מי נתניה (2003) בע"מ</v>
          </cell>
          <cell r="O5" t="str">
            <v>מי עירון בע"מ</v>
          </cell>
          <cell r="P5" t="str">
            <v>מי ציונה בע"מ</v>
          </cell>
          <cell r="Q5" t="str">
            <v>מי רקת טבריה בע"מ</v>
          </cell>
          <cell r="R5" t="str">
            <v>מי שבע תאגיד המים והביוב לבאר שבע בע"מ</v>
          </cell>
          <cell r="S5" t="str">
            <v>מי שקמה תאגיד המים והביוב בע"מ</v>
          </cell>
          <cell r="T5" t="str">
            <v>מיתב מים תיעול וביוב בע"מ</v>
          </cell>
          <cell r="U5" t="str">
            <v>מניב ראשון בע"מ</v>
          </cell>
          <cell r="V5" t="str">
            <v>עין נטפים מפעלי מים וביוב אילת בע"מ</v>
          </cell>
          <cell r="W5" t="str">
            <v>פלג הגליל החברה האזורית למים וביוב בע"מ</v>
          </cell>
          <cell r="X5" t="str">
            <v>תמ"ר תאגיד מים רמלה בע"מ</v>
          </cell>
          <cell r="Y5" t="str">
            <v>מי מודיעין</v>
          </cell>
          <cell r="Z5" t="str">
            <v>מעיינות זיו</v>
          </cell>
          <cell r="AA5" t="str">
            <v>מעיינות אתא</v>
          </cell>
          <cell r="AB5" t="str">
            <v>מי רעננה</v>
          </cell>
          <cell r="AC5" t="str">
            <v>מי קריית גת</v>
          </cell>
          <cell r="AD5" t="str">
            <v>מי הרצליה</v>
          </cell>
          <cell r="AE5" t="str">
            <v>שרונים</v>
          </cell>
          <cell r="AF5" t="str">
            <v>מי כרמל</v>
          </cell>
          <cell r="AG5" t="str">
            <v>מי יבנה</v>
          </cell>
          <cell r="AH5" t="str">
            <v>עין כרמים</v>
          </cell>
          <cell r="AI5" t="str">
            <v>מי רהט</v>
          </cell>
          <cell r="AJ5" t="str">
            <v>עין אפק</v>
          </cell>
          <cell r="AK5" t="str">
            <v>פלגי מוצקין</v>
          </cell>
          <cell r="AL5" t="str">
            <v>מי קריית ביאליק</v>
          </cell>
          <cell r="AM5" t="str">
            <v>מי אביבים</v>
          </cell>
          <cell r="AN5" t="str">
            <v>מעיינות השרון</v>
          </cell>
          <cell r="AO5" t="str">
            <v>מי רמת גן</v>
          </cell>
          <cell r="AP5" t="str">
            <v>מי גבעתיים</v>
          </cell>
          <cell r="AQ5" t="str">
            <v>מי בת ים</v>
          </cell>
          <cell r="AR5" t="str">
            <v>מי קריית אונו</v>
          </cell>
          <cell r="AS5" t="str">
            <v>סובב שפרעם</v>
          </cell>
          <cell r="AT5" t="str">
            <v>מי עכו</v>
          </cell>
          <cell r="AU5" t="str">
            <v>ימים</v>
          </cell>
          <cell r="AV5" t="str">
            <v>מי הוד השרון</v>
          </cell>
          <cell r="AW5" t="str">
            <v>אל עין</v>
          </cell>
          <cell r="AX5" t="str">
            <v>מי גליל</v>
          </cell>
          <cell r="AY5" t="str">
            <v>מי אשקלון</v>
          </cell>
          <cell r="AZ5" t="str">
            <v>מעיינות הדרום</v>
          </cell>
          <cell r="BA5" t="str">
            <v>מעיינות העמקים</v>
          </cell>
          <cell r="BB5" t="str">
            <v>מי בת שמש</v>
          </cell>
          <cell r="BC5" t="str">
            <v>מעיינות המשולש</v>
          </cell>
          <cell r="BD5" t="str">
            <v>נווה מדבר</v>
          </cell>
          <cell r="BE5" t="str">
            <v>פלגי השרון</v>
          </cell>
          <cell r="BF5" t="str">
            <v>מי תקווה</v>
          </cell>
        </row>
        <row r="6">
          <cell r="C6" t="str">
            <v>שם תאגיד</v>
          </cell>
          <cell r="D6" t="str">
            <v>באר מים חיים בע"מ</v>
          </cell>
          <cell r="E6" t="str">
            <v>הרי נצרת מפעלי מים וביוב בע"מ</v>
          </cell>
          <cell r="F6" t="str">
            <v>התנור מים וביוב בע"מ</v>
          </cell>
          <cell r="G6" t="str">
            <v>חברת הגיחון בע"מ תאגיד המים והביוב של ירושלים</v>
          </cell>
          <cell r="H6" t="str">
            <v>יובלים אשדוד בע"מ</v>
          </cell>
          <cell r="I6" t="str">
            <v>יובלים בשומרון בע"מ</v>
          </cell>
          <cell r="J6" t="str">
            <v>כפרי גליל תחתון בע"מ</v>
          </cell>
          <cell r="K6" t="str">
            <v>מי חדרה בע"מ</v>
          </cell>
          <cell r="L6" t="str">
            <v>מי לוד בע"מ</v>
          </cell>
          <cell r="M6" t="str">
            <v>מי נע חברת המים והביוב של עיריית נצרת עילית בע"מ</v>
          </cell>
          <cell r="N6" t="str">
            <v>מי נתניה (2003) בע"מ</v>
          </cell>
          <cell r="O6" t="str">
            <v>מי עירון בע"מ</v>
          </cell>
          <cell r="P6" t="str">
            <v>מי ציונה בע"מ</v>
          </cell>
          <cell r="Q6" t="str">
            <v>מי רקת טבריה בע"מ</v>
          </cell>
          <cell r="R6" t="str">
            <v>מי שבע תאגיד המים והביוב לבאר שבע בע"מ</v>
          </cell>
          <cell r="S6" t="str">
            <v>מי שקמה תאגיד המים והביוב בע"מ</v>
          </cell>
          <cell r="T6" t="str">
            <v>מיתב מים תיעול וביוב בע"מ</v>
          </cell>
          <cell r="U6" t="str">
            <v>מניב ראשון בע"מ</v>
          </cell>
          <cell r="V6" t="str">
            <v>עין נטפים מפעלי מים וביוב אילת בע"מ</v>
          </cell>
          <cell r="W6" t="str">
            <v>פלג הגליל החברה האזורית למים וביוב בע"מ</v>
          </cell>
          <cell r="X6" t="str">
            <v>תמ"ר תאגיד מים רמלה בע"מ</v>
          </cell>
          <cell r="Y6" t="str">
            <v>מי מודיעין</v>
          </cell>
          <cell r="Z6" t="str">
            <v>מעלות</v>
          </cell>
          <cell r="AA6" t="str">
            <v>קריית אתא</v>
          </cell>
          <cell r="AB6" t="str">
            <v>רעננה</v>
          </cell>
          <cell r="AC6" t="str">
            <v>קריית גת</v>
          </cell>
          <cell r="AD6" t="str">
            <v>הרצליה</v>
          </cell>
          <cell r="AE6" t="str">
            <v>רמת השרון</v>
          </cell>
          <cell r="AF6" t="str">
            <v>חיפה</v>
          </cell>
          <cell r="AG6" t="str">
            <v>מי יבנה</v>
          </cell>
          <cell r="AH6" t="str">
            <v>מי כרמיאל</v>
          </cell>
          <cell r="AI6" t="str">
            <v>רהט</v>
          </cell>
          <cell r="AJ6" t="str">
            <v>עין אפק</v>
          </cell>
          <cell r="AK6" t="str">
            <v>מי מוצקין</v>
          </cell>
          <cell r="AL6" t="str">
            <v>מי קריית ביאליק</v>
          </cell>
          <cell r="AM6" t="str">
            <v>תל אביב ב</v>
          </cell>
          <cell r="AN6" t="str">
            <v>מי השרון</v>
          </cell>
          <cell r="AO6" t="str">
            <v>רמת גן</v>
          </cell>
          <cell r="AP6" t="str">
            <v>גבעתיים</v>
          </cell>
          <cell r="AQ6" t="str">
            <v>בת ים</v>
          </cell>
          <cell r="AR6" t="str">
            <v>קריית אונו</v>
          </cell>
          <cell r="AS6" t="str">
            <v>סובב שפרעם</v>
          </cell>
          <cell r="AT6" t="str">
            <v>עכו</v>
          </cell>
          <cell r="AU6" t="str">
            <v>ימים</v>
          </cell>
          <cell r="AV6" t="str">
            <v>הוד השרון</v>
          </cell>
          <cell r="AW6" t="str">
            <v>אל עין</v>
          </cell>
          <cell r="AX6" t="str">
            <v>מי גליל</v>
          </cell>
          <cell r="AY6" t="str">
            <v>מי אשקלון</v>
          </cell>
          <cell r="AZ6" t="str">
            <v>מי דרום</v>
          </cell>
          <cell r="BA6" t="str">
            <v>מעיינות העמקים</v>
          </cell>
          <cell r="BB6" t="str">
            <v>בית שמש</v>
          </cell>
          <cell r="BC6" t="str">
            <v>ישובי המשולש</v>
          </cell>
          <cell r="BD6" t="str">
            <v>בדואים</v>
          </cell>
          <cell r="BE6" t="str">
            <v>פלגי השרון</v>
          </cell>
          <cell r="BF6" t="str">
            <v>מי תקווה</v>
          </cell>
        </row>
        <row r="7">
          <cell r="A7">
            <v>1</v>
          </cell>
          <cell r="D7" t="str">
            <v>אשכול חברתי</v>
          </cell>
          <cell r="E7" t="str">
            <v>אשכול חברתי</v>
          </cell>
          <cell r="F7" t="str">
            <v>אשכול חברתי</v>
          </cell>
          <cell r="G7" t="str">
            <v>אשכול חברתי</v>
          </cell>
          <cell r="H7" t="str">
            <v>אשכול חברתי</v>
          </cell>
          <cell r="I7" t="str">
            <v>אשכול חברתי</v>
          </cell>
          <cell r="J7" t="str">
            <v>אשכול חברתי</v>
          </cell>
          <cell r="K7" t="str">
            <v>אשכול חברתי</v>
          </cell>
          <cell r="L7" t="str">
            <v>אשכול חברתי</v>
          </cell>
          <cell r="M7" t="str">
            <v>אשכול חברתי</v>
          </cell>
          <cell r="N7" t="str">
            <v>אשכול חברתי</v>
          </cell>
          <cell r="O7" t="str">
            <v>אשכול חברתי</v>
          </cell>
          <cell r="P7" t="str">
            <v>אשכול חברתי</v>
          </cell>
          <cell r="Q7" t="str">
            <v>אשכול חברתי</v>
          </cell>
          <cell r="R7" t="str">
            <v>אשכול חברתי</v>
          </cell>
          <cell r="S7" t="str">
            <v>אשכול חברתי</v>
          </cell>
          <cell r="T7" t="str">
            <v>אשכול חברתי</v>
          </cell>
          <cell r="U7" t="str">
            <v>אשכול חברתי</v>
          </cell>
          <cell r="V7" t="str">
            <v>אשכול חברתי</v>
          </cell>
          <cell r="W7" t="str">
            <v>אשכול חברתי</v>
          </cell>
          <cell r="X7" t="str">
            <v>אשכול חברתי</v>
          </cell>
          <cell r="Y7" t="str">
            <v>אשכול חברתי</v>
          </cell>
          <cell r="Z7" t="str">
            <v>אשכול חברתי</v>
          </cell>
          <cell r="AA7" t="str">
            <v>אשכול חברתי</v>
          </cell>
          <cell r="AB7" t="str">
            <v>אשכול חברתי</v>
          </cell>
          <cell r="AC7" t="str">
            <v>אשכול חברתי</v>
          </cell>
          <cell r="AD7" t="str">
            <v>אשכול חברתי</v>
          </cell>
          <cell r="AE7" t="str">
            <v>אשכול חברתי</v>
          </cell>
          <cell r="AF7" t="str">
            <v>אשכול חברתי</v>
          </cell>
          <cell r="AG7" t="str">
            <v>אשכול חברתי</v>
          </cell>
          <cell r="AH7" t="str">
            <v>אשכול חברתי</v>
          </cell>
          <cell r="AI7" t="str">
            <v>אשכול חברתי</v>
          </cell>
          <cell r="AJ7" t="str">
            <v>אשכול חברתי</v>
          </cell>
          <cell r="AK7" t="str">
            <v>אשכול חברתי</v>
          </cell>
          <cell r="AL7" t="str">
            <v>אשכול חברתי</v>
          </cell>
          <cell r="AM7" t="str">
            <v>אשכול חברתי</v>
          </cell>
          <cell r="AN7" t="str">
            <v>אשכול חברתי</v>
          </cell>
          <cell r="AO7" t="str">
            <v>אשכול חברתי</v>
          </cell>
          <cell r="AP7" t="str">
            <v>אשכול חברתי</v>
          </cell>
          <cell r="AQ7" t="str">
            <v>אשכול חברתי</v>
          </cell>
          <cell r="AR7" t="str">
            <v>אשכול חברתי</v>
          </cell>
          <cell r="AS7" t="str">
            <v>אשכול חברתי</v>
          </cell>
          <cell r="AT7" t="str">
            <v>אשכול חברתי</v>
          </cell>
          <cell r="AU7" t="str">
            <v>אשכול חברתי</v>
          </cell>
          <cell r="AV7" t="str">
            <v>אשכול חברתי</v>
          </cell>
          <cell r="AW7" t="str">
            <v>אשכול חברתי</v>
          </cell>
          <cell r="AX7" t="str">
            <v>אשכול חברתי</v>
          </cell>
          <cell r="AY7" t="str">
            <v>אשכול חברתי</v>
          </cell>
          <cell r="AZ7" t="str">
            <v>אשכול חברתי</v>
          </cell>
          <cell r="BA7" t="str">
            <v>אשכול חברתי</v>
          </cell>
          <cell r="BB7" t="str">
            <v>אשכול חברתי</v>
          </cell>
          <cell r="BC7" t="str">
            <v>אשכול חברתי</v>
          </cell>
          <cell r="BD7" t="str">
            <v>אשכול חברתי</v>
          </cell>
          <cell r="BE7" t="str">
            <v>אשכול חברתי</v>
          </cell>
          <cell r="BF7" t="str">
            <v>אשכול חברתי</v>
          </cell>
        </row>
        <row r="8">
          <cell r="A8">
            <v>2</v>
          </cell>
          <cell r="C8" t="str">
            <v>סוג תאגיד</v>
          </cell>
          <cell r="D8" t="str">
            <v>חלש</v>
          </cell>
          <cell r="E8" t="str">
            <v>חלש</v>
          </cell>
          <cell r="F8" t="str">
            <v>בינוני</v>
          </cell>
          <cell r="G8" t="str">
            <v xml:space="preserve">חזק </v>
          </cell>
          <cell r="H8" t="str">
            <v xml:space="preserve">חזק </v>
          </cell>
          <cell r="I8" t="str">
            <v xml:space="preserve">חזק </v>
          </cell>
          <cell r="J8" t="str">
            <v>חלש</v>
          </cell>
          <cell r="K8" t="str">
            <v xml:space="preserve">חזק </v>
          </cell>
          <cell r="L8" t="str">
            <v>חלש</v>
          </cell>
          <cell r="M8" t="str">
            <v xml:space="preserve">חזק </v>
          </cell>
          <cell r="N8" t="str">
            <v xml:space="preserve">חזק </v>
          </cell>
          <cell r="O8" t="str">
            <v>חלש</v>
          </cell>
          <cell r="P8" t="str">
            <v>חזק מאוד</v>
          </cell>
          <cell r="Q8" t="str">
            <v>חלש</v>
          </cell>
          <cell r="R8" t="str">
            <v>בינוני</v>
          </cell>
          <cell r="S8" t="str">
            <v xml:space="preserve">חזק </v>
          </cell>
          <cell r="T8" t="str">
            <v>בינוני</v>
          </cell>
          <cell r="U8" t="str">
            <v xml:space="preserve">חזק </v>
          </cell>
          <cell r="V8" t="str">
            <v xml:space="preserve">חזק </v>
          </cell>
          <cell r="W8" t="str">
            <v>חלש</v>
          </cell>
          <cell r="X8" t="str">
            <v>חלש</v>
          </cell>
          <cell r="Y8" t="str">
            <v>חזק מאוד</v>
          </cell>
          <cell r="Z8" t="str">
            <v>בינוני</v>
          </cell>
          <cell r="AA8" t="str">
            <v xml:space="preserve">חזק </v>
          </cell>
          <cell r="AB8" t="str">
            <v>חזק מאוד</v>
          </cell>
          <cell r="AC8" t="str">
            <v>חלש</v>
          </cell>
          <cell r="AD8" t="str">
            <v>חזק מאוד</v>
          </cell>
          <cell r="AE8" t="str">
            <v>חזק מאוד</v>
          </cell>
          <cell r="AF8" t="str">
            <v>חזק מאוד</v>
          </cell>
          <cell r="AG8" t="str">
            <v xml:space="preserve">חזק </v>
          </cell>
          <cell r="AH8" t="str">
            <v xml:space="preserve">חזק </v>
          </cell>
          <cell r="AI8" t="str">
            <v>חלש</v>
          </cell>
          <cell r="AJ8" t="str">
            <v xml:space="preserve">חזק </v>
          </cell>
          <cell r="AK8" t="str">
            <v>בינוני</v>
          </cell>
          <cell r="AL8" t="str">
            <v xml:space="preserve">חזק </v>
          </cell>
          <cell r="AM8" t="str">
            <v>חזק מאוד</v>
          </cell>
          <cell r="AN8" t="str">
            <v>חזק מאוד</v>
          </cell>
          <cell r="AO8" t="str">
            <v>חזק מאוד</v>
          </cell>
          <cell r="AP8" t="str">
            <v>חזק מאוד</v>
          </cell>
          <cell r="AQ8" t="str">
            <v xml:space="preserve">חזק </v>
          </cell>
          <cell r="AR8" t="str">
            <v>חזק מאוד</v>
          </cell>
          <cell r="AS8" t="str">
            <v>חלש</v>
          </cell>
          <cell r="AT8" t="str">
            <v>חלש</v>
          </cell>
          <cell r="AU8" t="str">
            <v xml:space="preserve">חזק </v>
          </cell>
          <cell r="AV8" t="str">
            <v>חזק מאוד</v>
          </cell>
          <cell r="AW8" t="str">
            <v>חלש</v>
          </cell>
          <cell r="AX8" t="str">
            <v>חלש</v>
          </cell>
          <cell r="AY8" t="str">
            <v>בינוני</v>
          </cell>
          <cell r="AZ8" t="str">
            <v>חלש</v>
          </cell>
          <cell r="BA8" t="str">
            <v>חזק מאוד</v>
          </cell>
          <cell r="BB8" t="str">
            <v>חלש</v>
          </cell>
          <cell r="BC8" t="str">
            <v>חלש</v>
          </cell>
          <cell r="BD8" t="str">
            <v>חלש</v>
          </cell>
          <cell r="BE8" t="str">
            <v>חזק מאוד</v>
          </cell>
          <cell r="BF8" t="str">
            <v>חזק מאוד</v>
          </cell>
        </row>
        <row r="9">
          <cell r="A9">
            <v>3</v>
          </cell>
          <cell r="C9" t="str">
            <v>האשכול החברתי של הישובים (למ"ס):</v>
          </cell>
          <cell r="D9">
            <v>3</v>
          </cell>
          <cell r="E9">
            <v>3</v>
          </cell>
          <cell r="F9">
            <v>4</v>
          </cell>
          <cell r="G9">
            <v>4</v>
          </cell>
          <cell r="H9">
            <v>5</v>
          </cell>
          <cell r="I9">
            <v>5</v>
          </cell>
          <cell r="J9">
            <v>2</v>
          </cell>
          <cell r="K9">
            <v>5</v>
          </cell>
          <cell r="L9">
            <v>4</v>
          </cell>
          <cell r="M9">
            <v>5</v>
          </cell>
          <cell r="N9">
            <v>5</v>
          </cell>
          <cell r="O9">
            <v>3</v>
          </cell>
          <cell r="P9">
            <v>7</v>
          </cell>
          <cell r="Q9">
            <v>4</v>
          </cell>
          <cell r="R9">
            <v>5</v>
          </cell>
          <cell r="S9">
            <v>5</v>
          </cell>
          <cell r="T9">
            <v>6</v>
          </cell>
          <cell r="U9">
            <v>6</v>
          </cell>
          <cell r="V9">
            <v>5</v>
          </cell>
          <cell r="W9">
            <v>3</v>
          </cell>
          <cell r="X9">
            <v>4</v>
          </cell>
          <cell r="Y9">
            <v>8</v>
          </cell>
          <cell r="Z9">
            <v>5</v>
          </cell>
          <cell r="AA9">
            <v>5</v>
          </cell>
          <cell r="AB9">
            <v>8</v>
          </cell>
          <cell r="AC9">
            <v>4</v>
          </cell>
          <cell r="AD9">
            <v>8</v>
          </cell>
          <cell r="AE9">
            <v>9</v>
          </cell>
          <cell r="AF9">
            <v>7</v>
          </cell>
          <cell r="AG9">
            <v>5</v>
          </cell>
          <cell r="AH9">
            <v>5</v>
          </cell>
          <cell r="AI9">
            <v>2</v>
          </cell>
          <cell r="AJ9">
            <v>6</v>
          </cell>
          <cell r="AK9">
            <v>5</v>
          </cell>
          <cell r="AL9">
            <v>6</v>
          </cell>
          <cell r="AM9">
            <v>8</v>
          </cell>
          <cell r="AN9">
            <v>7</v>
          </cell>
          <cell r="AO9">
            <v>7</v>
          </cell>
          <cell r="AP9">
            <v>8</v>
          </cell>
          <cell r="AQ9">
            <v>5</v>
          </cell>
          <cell r="AR9">
            <v>8</v>
          </cell>
          <cell r="AS9">
            <v>3</v>
          </cell>
          <cell r="AT9">
            <v>4</v>
          </cell>
          <cell r="AU9">
            <v>5</v>
          </cell>
          <cell r="AV9">
            <v>8</v>
          </cell>
          <cell r="AW9">
            <v>3</v>
          </cell>
          <cell r="AX9">
            <v>2</v>
          </cell>
          <cell r="AY9">
            <v>5</v>
          </cell>
          <cell r="AZ9">
            <v>4</v>
          </cell>
          <cell r="BA9">
            <v>7</v>
          </cell>
          <cell r="BB9">
            <v>3</v>
          </cell>
          <cell r="BC9">
            <v>3</v>
          </cell>
          <cell r="BD9">
            <v>2</v>
          </cell>
          <cell r="BE9">
            <v>8</v>
          </cell>
          <cell r="BF9">
            <v>8</v>
          </cell>
        </row>
        <row r="10">
          <cell r="A10">
            <v>4</v>
          </cell>
          <cell r="C10" t="str">
            <v>שנת תחילת פעילות התאגיד</v>
          </cell>
          <cell r="D10">
            <v>2008</v>
          </cell>
          <cell r="E10">
            <v>2008</v>
          </cell>
          <cell r="F10">
            <v>2006</v>
          </cell>
          <cell r="G10">
            <v>2007</v>
          </cell>
          <cell r="H10">
            <v>2008</v>
          </cell>
          <cell r="I10">
            <v>2008</v>
          </cell>
          <cell r="J10">
            <v>2008</v>
          </cell>
          <cell r="K10">
            <v>2008</v>
          </cell>
          <cell r="L10">
            <v>2008</v>
          </cell>
          <cell r="M10">
            <v>2003</v>
          </cell>
          <cell r="N10">
            <v>2009</v>
          </cell>
          <cell r="O10">
            <v>2008</v>
          </cell>
          <cell r="P10">
            <v>2008</v>
          </cell>
          <cell r="Q10">
            <v>2008</v>
          </cell>
          <cell r="R10">
            <v>2008</v>
          </cell>
          <cell r="S10">
            <v>2008</v>
          </cell>
          <cell r="T10">
            <v>2009</v>
          </cell>
          <cell r="U10">
            <v>2003</v>
          </cell>
          <cell r="V10">
            <v>2005</v>
          </cell>
          <cell r="W10">
            <v>2008</v>
          </cell>
          <cell r="X10">
            <v>2008</v>
          </cell>
          <cell r="Y10">
            <v>2005</v>
          </cell>
          <cell r="Z10">
            <v>2008</v>
          </cell>
          <cell r="AA10">
            <v>2008</v>
          </cell>
          <cell r="AB10">
            <v>2008</v>
          </cell>
          <cell r="AC10">
            <v>2008</v>
          </cell>
          <cell r="AD10">
            <v>2008</v>
          </cell>
          <cell r="AE10">
            <v>2008</v>
          </cell>
          <cell r="AF10">
            <v>2008</v>
          </cell>
          <cell r="AG10">
            <v>2008</v>
          </cell>
          <cell r="AH10">
            <v>2008</v>
          </cell>
          <cell r="AI10">
            <v>2008</v>
          </cell>
          <cell r="AJ10">
            <v>2008</v>
          </cell>
          <cell r="AK10">
            <v>2008</v>
          </cell>
          <cell r="AL10">
            <v>2008</v>
          </cell>
          <cell r="AM10">
            <v>2008</v>
          </cell>
          <cell r="AN10">
            <v>2008</v>
          </cell>
          <cell r="AO10">
            <v>2008</v>
          </cell>
          <cell r="AP10">
            <v>2008</v>
          </cell>
          <cell r="AQ10">
            <v>2008</v>
          </cell>
          <cell r="AR10">
            <v>2008</v>
          </cell>
          <cell r="AS10">
            <v>2008</v>
          </cell>
          <cell r="AT10">
            <v>2008</v>
          </cell>
          <cell r="AU10">
            <v>2008</v>
          </cell>
          <cell r="AV10">
            <v>2009</v>
          </cell>
          <cell r="AW10">
            <v>2008</v>
          </cell>
          <cell r="AX10">
            <v>2008</v>
          </cell>
          <cell r="AY10">
            <v>2008</v>
          </cell>
          <cell r="AZ10">
            <v>2008</v>
          </cell>
          <cell r="BA10">
            <v>2009</v>
          </cell>
          <cell r="BB10">
            <v>2009</v>
          </cell>
          <cell r="BC10">
            <v>2008</v>
          </cell>
          <cell r="BD10">
            <v>2008</v>
          </cell>
          <cell r="BE10">
            <v>2010</v>
          </cell>
          <cell r="BF10">
            <v>2009</v>
          </cell>
        </row>
        <row r="11">
          <cell r="A11">
            <v>5</v>
          </cell>
          <cell r="AF11">
            <v>1</v>
          </cell>
        </row>
        <row r="12">
          <cell r="A12">
            <v>6</v>
          </cell>
          <cell r="C12" t="str">
            <v>קיבל מענק תיאגוד</v>
          </cell>
          <cell r="D12" t="str">
            <v>כן</v>
          </cell>
          <cell r="E12" t="str">
            <v>כן</v>
          </cell>
          <cell r="F12" t="str">
            <v>כן</v>
          </cell>
          <cell r="G12" t="str">
            <v>כן</v>
          </cell>
          <cell r="H12" t="str">
            <v>כן</v>
          </cell>
          <cell r="I12" t="str">
            <v>כן</v>
          </cell>
          <cell r="J12" t="str">
            <v>כן</v>
          </cell>
          <cell r="K12" t="str">
            <v>כן</v>
          </cell>
          <cell r="L12" t="str">
            <v>כן</v>
          </cell>
          <cell r="M12" t="str">
            <v>כן</v>
          </cell>
          <cell r="N12" t="str">
            <v>כן</v>
          </cell>
          <cell r="O12" t="str">
            <v>כן</v>
          </cell>
          <cell r="P12" t="str">
            <v>כן</v>
          </cell>
          <cell r="Q12" t="str">
            <v>כן</v>
          </cell>
          <cell r="R12" t="str">
            <v>כן</v>
          </cell>
          <cell r="S12" t="str">
            <v>כן</v>
          </cell>
          <cell r="T12" t="str">
            <v>כן</v>
          </cell>
          <cell r="U12" t="str">
            <v>כן</v>
          </cell>
          <cell r="V12" t="str">
            <v>כן</v>
          </cell>
          <cell r="W12" t="str">
            <v>כן</v>
          </cell>
          <cell r="X12" t="str">
            <v>כן</v>
          </cell>
          <cell r="Y12" t="str">
            <v>כן</v>
          </cell>
          <cell r="Z12" t="str">
            <v>כן</v>
          </cell>
          <cell r="AA12" t="str">
            <v>כן</v>
          </cell>
          <cell r="AB12" t="str">
            <v>כן</v>
          </cell>
          <cell r="AC12" t="str">
            <v>כן</v>
          </cell>
          <cell r="AD12" t="str">
            <v>כן</v>
          </cell>
          <cell r="AE12" t="str">
            <v>כן</v>
          </cell>
          <cell r="AF12" t="str">
            <v>כן</v>
          </cell>
          <cell r="AG12" t="str">
            <v>כן</v>
          </cell>
          <cell r="AH12" t="str">
            <v>כן</v>
          </cell>
          <cell r="AI12" t="str">
            <v>כן</v>
          </cell>
          <cell r="AJ12" t="str">
            <v>כן</v>
          </cell>
          <cell r="AK12" t="str">
            <v>כן</v>
          </cell>
          <cell r="AL12" t="str">
            <v>כן</v>
          </cell>
          <cell r="AM12" t="str">
            <v>כן</v>
          </cell>
          <cell r="AN12" t="str">
            <v>כן</v>
          </cell>
          <cell r="AO12" t="str">
            <v>כן</v>
          </cell>
          <cell r="AP12" t="str">
            <v>כן</v>
          </cell>
          <cell r="AQ12" t="str">
            <v>כן</v>
          </cell>
          <cell r="AR12" t="str">
            <v>כן</v>
          </cell>
          <cell r="AS12" t="str">
            <v>כן</v>
          </cell>
          <cell r="AT12" t="str">
            <v>כן</v>
          </cell>
          <cell r="AU12" t="str">
            <v>כן</v>
          </cell>
          <cell r="AV12" t="str">
            <v>כן</v>
          </cell>
          <cell r="AW12" t="str">
            <v>כן</v>
          </cell>
          <cell r="AX12" t="str">
            <v>כן</v>
          </cell>
          <cell r="AY12" t="str">
            <v>כן</v>
          </cell>
          <cell r="AZ12" t="str">
            <v>כן</v>
          </cell>
          <cell r="BA12" t="str">
            <v>כן</v>
          </cell>
          <cell r="BB12" t="str">
            <v>כן</v>
          </cell>
          <cell r="BC12" t="str">
            <v>כן</v>
          </cell>
          <cell r="BD12" t="str">
            <v>כן</v>
          </cell>
          <cell r="BE12" t="str">
            <v>כן</v>
          </cell>
          <cell r="BF12" t="str">
            <v>כן</v>
          </cell>
        </row>
        <row r="13">
          <cell r="A13">
            <v>7</v>
          </cell>
          <cell r="D13" t="str">
            <v>כן</v>
          </cell>
          <cell r="E13" t="str">
            <v>כן</v>
          </cell>
          <cell r="F13" t="str">
            <v>כן</v>
          </cell>
          <cell r="G13" t="str">
            <v>כן</v>
          </cell>
          <cell r="H13" t="str">
            <v>כן</v>
          </cell>
          <cell r="I13" t="str">
            <v>כן</v>
          </cell>
          <cell r="J13" t="str">
            <v>כן</v>
          </cell>
          <cell r="K13" t="str">
            <v>כן</v>
          </cell>
          <cell r="L13" t="str">
            <v>כן</v>
          </cell>
          <cell r="M13" t="str">
            <v>כן</v>
          </cell>
          <cell r="N13" t="str">
            <v>כן</v>
          </cell>
          <cell r="O13" t="str">
            <v>כן</v>
          </cell>
          <cell r="P13" t="str">
            <v>כן</v>
          </cell>
          <cell r="Q13" t="str">
            <v>כן</v>
          </cell>
          <cell r="R13" t="str">
            <v>כן</v>
          </cell>
          <cell r="S13" t="str">
            <v>כן</v>
          </cell>
          <cell r="T13" t="str">
            <v>כן</v>
          </cell>
          <cell r="U13" t="str">
            <v>כן</v>
          </cell>
          <cell r="V13" t="str">
            <v>כן</v>
          </cell>
          <cell r="W13" t="str">
            <v>כן</v>
          </cell>
          <cell r="X13" t="str">
            <v>כן</v>
          </cell>
          <cell r="Y13" t="str">
            <v>כן</v>
          </cell>
          <cell r="Z13" t="str">
            <v>כן</v>
          </cell>
          <cell r="AA13" t="str">
            <v>כן</v>
          </cell>
          <cell r="AB13" t="str">
            <v>כן</v>
          </cell>
          <cell r="AC13" t="str">
            <v>כן</v>
          </cell>
          <cell r="AD13" t="str">
            <v>כן</v>
          </cell>
          <cell r="AE13" t="str">
            <v>כן</v>
          </cell>
          <cell r="AF13" t="str">
            <v>כן</v>
          </cell>
          <cell r="AG13" t="str">
            <v>כן</v>
          </cell>
          <cell r="AH13" t="str">
            <v>כן</v>
          </cell>
          <cell r="AI13" t="str">
            <v>כן</v>
          </cell>
          <cell r="AJ13" t="str">
            <v>כן</v>
          </cell>
          <cell r="AK13" t="str">
            <v>כן</v>
          </cell>
          <cell r="AL13" t="str">
            <v>כן</v>
          </cell>
          <cell r="AM13" t="str">
            <v>כן</v>
          </cell>
          <cell r="AN13" t="str">
            <v>כן</v>
          </cell>
          <cell r="AO13" t="str">
            <v>כן</v>
          </cell>
          <cell r="AP13" t="str">
            <v>כן</v>
          </cell>
          <cell r="AQ13" t="str">
            <v>כן</v>
          </cell>
          <cell r="AR13" t="str">
            <v>כן</v>
          </cell>
          <cell r="AS13" t="str">
            <v>כן</v>
          </cell>
          <cell r="AT13" t="str">
            <v>כן</v>
          </cell>
          <cell r="AU13" t="str">
            <v>כן</v>
          </cell>
          <cell r="AV13" t="str">
            <v>כן</v>
          </cell>
          <cell r="AW13" t="str">
            <v>כן</v>
          </cell>
          <cell r="AX13" t="str">
            <v>כן</v>
          </cell>
          <cell r="AY13" t="str">
            <v>כן</v>
          </cell>
          <cell r="AZ13" t="str">
            <v>כן</v>
          </cell>
          <cell r="BA13" t="str">
            <v>כן</v>
          </cell>
          <cell r="BB13" t="str">
            <v>כן</v>
          </cell>
          <cell r="BC13" t="str">
            <v>כן</v>
          </cell>
          <cell r="BD13" t="str">
            <v>כן</v>
          </cell>
          <cell r="BE13" t="str">
            <v>כן</v>
          </cell>
          <cell r="BF13" t="str">
            <v>כן</v>
          </cell>
        </row>
        <row r="14">
          <cell r="A14">
            <v>8</v>
          </cell>
          <cell r="D14" t="str">
            <v>לא</v>
          </cell>
          <cell r="E14" t="str">
            <v>לא</v>
          </cell>
          <cell r="F14" t="str">
            <v>לא</v>
          </cell>
          <cell r="G14" t="str">
            <v>לא</v>
          </cell>
          <cell r="H14" t="str">
            <v>לא</v>
          </cell>
          <cell r="I14" t="str">
            <v>לא</v>
          </cell>
          <cell r="J14" t="str">
            <v>לא</v>
          </cell>
          <cell r="K14" t="str">
            <v>לא</v>
          </cell>
          <cell r="L14" t="str">
            <v>לא</v>
          </cell>
          <cell r="M14" t="str">
            <v>לא</v>
          </cell>
          <cell r="N14" t="str">
            <v>לא</v>
          </cell>
          <cell r="O14" t="str">
            <v>לא</v>
          </cell>
          <cell r="P14" t="str">
            <v>לא</v>
          </cell>
          <cell r="Q14" t="str">
            <v>לא</v>
          </cell>
          <cell r="R14" t="str">
            <v>לא</v>
          </cell>
          <cell r="S14" t="str">
            <v>לא</v>
          </cell>
          <cell r="T14" t="str">
            <v>לא</v>
          </cell>
          <cell r="U14" t="str">
            <v>לא</v>
          </cell>
          <cell r="V14" t="str">
            <v>לא</v>
          </cell>
          <cell r="W14" t="str">
            <v>לא</v>
          </cell>
          <cell r="X14" t="str">
            <v>לא</v>
          </cell>
          <cell r="Y14" t="str">
            <v>לא</v>
          </cell>
          <cell r="Z14" t="str">
            <v>לא</v>
          </cell>
          <cell r="AA14" t="str">
            <v>לא</v>
          </cell>
          <cell r="AB14" t="str">
            <v>לא</v>
          </cell>
          <cell r="AC14" t="str">
            <v>לא</v>
          </cell>
          <cell r="AD14" t="str">
            <v>לא</v>
          </cell>
          <cell r="AE14" t="str">
            <v>לא</v>
          </cell>
          <cell r="AF14" t="str">
            <v>לא</v>
          </cell>
          <cell r="AG14" t="str">
            <v>לא</v>
          </cell>
          <cell r="AH14" t="str">
            <v>לא</v>
          </cell>
          <cell r="AI14" t="str">
            <v>לא</v>
          </cell>
          <cell r="AJ14" t="str">
            <v>לא</v>
          </cell>
          <cell r="AK14" t="str">
            <v>לא</v>
          </cell>
          <cell r="AL14" t="str">
            <v>לא</v>
          </cell>
          <cell r="AM14" t="str">
            <v>לא</v>
          </cell>
          <cell r="AN14" t="str">
            <v>לא</v>
          </cell>
          <cell r="AO14" t="str">
            <v>לא</v>
          </cell>
          <cell r="AP14" t="str">
            <v>לא</v>
          </cell>
          <cell r="AQ14" t="str">
            <v>לא</v>
          </cell>
          <cell r="AR14" t="str">
            <v>לא</v>
          </cell>
          <cell r="AS14" t="str">
            <v>לא</v>
          </cell>
          <cell r="AT14" t="str">
            <v>לא</v>
          </cell>
          <cell r="AU14" t="str">
            <v>לא</v>
          </cell>
          <cell r="AV14" t="str">
            <v>לא</v>
          </cell>
          <cell r="AW14" t="str">
            <v>לא</v>
          </cell>
          <cell r="AX14" t="str">
            <v>לא</v>
          </cell>
          <cell r="AY14" t="str">
            <v>לא</v>
          </cell>
          <cell r="AZ14" t="str">
            <v>לא</v>
          </cell>
          <cell r="BA14" t="str">
            <v>לא</v>
          </cell>
          <cell r="BB14" t="str">
            <v>לא</v>
          </cell>
          <cell r="BC14" t="str">
            <v>לא</v>
          </cell>
          <cell r="BD14" t="str">
            <v>לא</v>
          </cell>
          <cell r="BE14" t="str">
            <v>לא</v>
          </cell>
          <cell r="BF14" t="str">
            <v>לא</v>
          </cell>
        </row>
        <row r="15">
          <cell r="A15">
            <v>9</v>
          </cell>
        </row>
        <row r="16">
          <cell r="A16">
            <v>10</v>
          </cell>
          <cell r="C16" t="str">
            <v>נכסי הון בערכי כינון (לפי מפקד הנכסים)</v>
          </cell>
        </row>
        <row r="17">
          <cell r="A17">
            <v>11</v>
          </cell>
          <cell r="B17" t="str">
            <v>מלא</v>
          </cell>
          <cell r="C17" t="str">
            <v>ערך כינון מלא מים</v>
          </cell>
          <cell r="D17">
            <v>85347.297399999996</v>
          </cell>
          <cell r="E17">
            <v>93801.357600000003</v>
          </cell>
          <cell r="F17">
            <v>64617.404200000004</v>
          </cell>
          <cell r="G17">
            <v>1096623.1447000001</v>
          </cell>
          <cell r="H17">
            <v>137583.40000000002</v>
          </cell>
          <cell r="I17">
            <v>44118.648399999998</v>
          </cell>
          <cell r="J17">
            <v>80785.849600000001</v>
          </cell>
          <cell r="K17">
            <v>90444.768400000001</v>
          </cell>
          <cell r="L17">
            <v>39755.078399999999</v>
          </cell>
          <cell r="M17">
            <v>124242.57249999998</v>
          </cell>
          <cell r="N17">
            <v>225385.25839999999</v>
          </cell>
          <cell r="O17">
            <v>105618.2176</v>
          </cell>
          <cell r="P17">
            <v>71692.532800000001</v>
          </cell>
          <cell r="Q17">
            <v>143955.75880000001</v>
          </cell>
          <cell r="R17">
            <v>266980.85769999993</v>
          </cell>
          <cell r="S17">
            <v>162391.70860000001</v>
          </cell>
          <cell r="T17">
            <v>294979.0981</v>
          </cell>
          <cell r="U17">
            <v>386846.0318</v>
          </cell>
          <cell r="V17">
            <v>82197.87999999999</v>
          </cell>
          <cell r="W17">
            <v>157818.15960000001</v>
          </cell>
          <cell r="X17">
            <v>45749.165199999996</v>
          </cell>
          <cell r="Y17">
            <v>107043.81989999999</v>
          </cell>
          <cell r="Z17">
            <v>59669.766700000007</v>
          </cell>
          <cell r="AA17">
            <v>52724.4306</v>
          </cell>
          <cell r="AB17">
            <v>141256.47333333333</v>
          </cell>
          <cell r="AC17">
            <v>48786.659000000007</v>
          </cell>
          <cell r="AD17">
            <v>140371.09066666666</v>
          </cell>
          <cell r="AE17">
            <v>64306.311600000001</v>
          </cell>
          <cell r="AF17">
            <v>508830.21253333334</v>
          </cell>
          <cell r="AG17">
            <v>79554.453699999998</v>
          </cell>
          <cell r="AH17">
            <v>57300.214400000004</v>
          </cell>
          <cell r="AI17">
            <v>52982.506666666668</v>
          </cell>
          <cell r="AJ17">
            <v>51097.311000000002</v>
          </cell>
          <cell r="AK17">
            <v>28777.072800000002</v>
          </cell>
          <cell r="AL17">
            <v>27653.657999999999</v>
          </cell>
          <cell r="AM17">
            <v>595718.33786666661</v>
          </cell>
          <cell r="AN17">
            <v>106209.24413333333</v>
          </cell>
          <cell r="AO17">
            <v>178707.33500000002</v>
          </cell>
          <cell r="AP17">
            <v>49189.022666666664</v>
          </cell>
          <cell r="AQ17">
            <v>84013.125599999999</v>
          </cell>
          <cell r="AR17">
            <v>45261.618533333334</v>
          </cell>
          <cell r="AS17">
            <v>149075.37039999999</v>
          </cell>
          <cell r="AT17">
            <v>65938.492533333338</v>
          </cell>
          <cell r="AU17">
            <v>24135.292666666664</v>
          </cell>
          <cell r="AV17">
            <v>67523.53866666666</v>
          </cell>
          <cell r="AW17">
            <v>84941.368399999992</v>
          </cell>
          <cell r="AX17">
            <v>77143.966666666674</v>
          </cell>
          <cell r="AY17">
            <v>121482.69306666669</v>
          </cell>
          <cell r="AZ17">
            <v>99805.30266666667</v>
          </cell>
          <cell r="BA17">
            <v>58433.842799999991</v>
          </cell>
          <cell r="BB17">
            <v>51976.671200000004</v>
          </cell>
          <cell r="BC17">
            <v>40266.266133333331</v>
          </cell>
          <cell r="BD17">
            <v>76384.90863333334</v>
          </cell>
          <cell r="BE17">
            <v>16863.746666666666</v>
          </cell>
          <cell r="BF17">
            <v>18989.509999999998</v>
          </cell>
          <cell r="BG17">
            <v>7233347.825000002</v>
          </cell>
        </row>
        <row r="18">
          <cell r="A18">
            <v>12</v>
          </cell>
          <cell r="C18" t="str">
            <v>ערך כינון מלא ביוב</v>
          </cell>
          <cell r="D18">
            <v>82636.24579999999</v>
          </cell>
          <cell r="E18">
            <v>106136.8177</v>
          </cell>
          <cell r="F18">
            <v>88182.751099999979</v>
          </cell>
          <cell r="G18">
            <v>872181.96169999999</v>
          </cell>
          <cell r="H18">
            <v>171206.7</v>
          </cell>
          <cell r="I18">
            <v>48701.705999999998</v>
          </cell>
          <cell r="J18">
            <v>130867.3514</v>
          </cell>
          <cell r="K18">
            <v>80924.498000000007</v>
          </cell>
          <cell r="L18">
            <v>57201.333699999988</v>
          </cell>
          <cell r="M18">
            <v>136181.61059999999</v>
          </cell>
          <cell r="N18">
            <v>261540.49129999999</v>
          </cell>
          <cell r="O18">
            <v>126759.69729999999</v>
          </cell>
          <cell r="P18">
            <v>71794.281699999992</v>
          </cell>
          <cell r="Q18">
            <v>107166.4077</v>
          </cell>
          <cell r="R18">
            <v>360948.24770000001</v>
          </cell>
          <cell r="S18">
            <v>170032.47519999999</v>
          </cell>
          <cell r="T18">
            <v>249660.48060993376</v>
          </cell>
          <cell r="U18">
            <v>281361.24859999999</v>
          </cell>
          <cell r="V18">
            <v>146970.394</v>
          </cell>
          <cell r="W18">
            <v>168211.68179999999</v>
          </cell>
          <cell r="X18">
            <v>50934.145400000001</v>
          </cell>
          <cell r="Y18">
            <v>113669.6887</v>
          </cell>
          <cell r="Z18">
            <v>93521.956200000001</v>
          </cell>
          <cell r="AA18">
            <v>76564.275399999999</v>
          </cell>
          <cell r="AB18">
            <v>108672.63333333333</v>
          </cell>
          <cell r="AC18">
            <v>51890.2575</v>
          </cell>
          <cell r="AD18">
            <v>133929.82866666667</v>
          </cell>
          <cell r="AE18">
            <v>48580.1414</v>
          </cell>
          <cell r="AF18">
            <v>522917.12453333335</v>
          </cell>
          <cell r="AG18">
            <v>88197.054999999993</v>
          </cell>
          <cell r="AH18">
            <v>40095.9692</v>
          </cell>
          <cell r="AI18">
            <v>50928.486933333334</v>
          </cell>
          <cell r="AJ18">
            <v>68656.222999999998</v>
          </cell>
          <cell r="AK18">
            <v>54571.534200000002</v>
          </cell>
          <cell r="AL18">
            <v>37261.69</v>
          </cell>
          <cell r="AM18">
            <v>637687.50870751112</v>
          </cell>
          <cell r="AN18">
            <v>103515.45693333333</v>
          </cell>
          <cell r="AO18">
            <v>166393.17100000003</v>
          </cell>
          <cell r="AP18">
            <v>44797.09372631937</v>
          </cell>
          <cell r="AQ18">
            <v>81635.341197595189</v>
          </cell>
          <cell r="AR18">
            <v>34892.548800000004</v>
          </cell>
          <cell r="AS18">
            <v>198932.5196</v>
          </cell>
          <cell r="AT18">
            <v>67159.224666666676</v>
          </cell>
          <cell r="AU18">
            <v>30690.059999999998</v>
          </cell>
          <cell r="AV18">
            <v>83325.167999999991</v>
          </cell>
          <cell r="AW18">
            <v>128271.93213333332</v>
          </cell>
          <cell r="AX18">
            <v>124184.92266666667</v>
          </cell>
          <cell r="AY18">
            <v>147005.39173333332</v>
          </cell>
          <cell r="AZ18">
            <v>129973.88426666665</v>
          </cell>
          <cell r="BA18">
            <v>87658.353733333337</v>
          </cell>
          <cell r="BB18">
            <v>48914.075333333334</v>
          </cell>
          <cell r="BC18">
            <v>56550.231733333334</v>
          </cell>
          <cell r="BD18">
            <v>127125.29220000001</v>
          </cell>
          <cell r="BE18">
            <v>140937.07919999998</v>
          </cell>
          <cell r="BF18">
            <v>17786.932000000001</v>
          </cell>
        </row>
        <row r="19">
          <cell r="A19">
            <v>13</v>
          </cell>
          <cell r="C19" t="str">
            <v>סה"כ</v>
          </cell>
          <cell r="D19">
            <v>167983.54319999999</v>
          </cell>
          <cell r="E19">
            <v>199938.1753</v>
          </cell>
          <cell r="F19">
            <v>152800.15529999998</v>
          </cell>
          <cell r="G19">
            <v>1968805.1063999999</v>
          </cell>
          <cell r="H19">
            <v>308790.10000000003</v>
          </cell>
          <cell r="I19">
            <v>92820.354399999997</v>
          </cell>
          <cell r="J19">
            <v>211653.201</v>
          </cell>
          <cell r="K19">
            <v>171369.26640000002</v>
          </cell>
          <cell r="L19">
            <v>96956.412099999987</v>
          </cell>
          <cell r="M19">
            <v>260424.18309999997</v>
          </cell>
          <cell r="N19">
            <v>486925.74969999999</v>
          </cell>
          <cell r="O19">
            <v>232377.91489999997</v>
          </cell>
          <cell r="P19">
            <v>143486.81449999998</v>
          </cell>
          <cell r="Q19">
            <v>251122.16649999999</v>
          </cell>
          <cell r="R19">
            <v>627929.1054</v>
          </cell>
          <cell r="S19">
            <v>332424.1838</v>
          </cell>
          <cell r="T19">
            <v>544639.57870993379</v>
          </cell>
          <cell r="U19">
            <v>668207.28040000005</v>
          </cell>
          <cell r="V19">
            <v>229168.27399999998</v>
          </cell>
          <cell r="W19">
            <v>326029.84140000003</v>
          </cell>
          <cell r="X19">
            <v>96683.310599999997</v>
          </cell>
          <cell r="Y19">
            <v>220713.5086</v>
          </cell>
          <cell r="Z19">
            <v>153191.72289999999</v>
          </cell>
          <cell r="AA19">
            <v>129288.70600000001</v>
          </cell>
          <cell r="AB19">
            <v>249929.10666666666</v>
          </cell>
          <cell r="AC19">
            <v>100676.91650000001</v>
          </cell>
          <cell r="AD19">
            <v>274300.91933333332</v>
          </cell>
          <cell r="AE19">
            <v>112886.45300000001</v>
          </cell>
          <cell r="AF19">
            <v>1031747.3370666667</v>
          </cell>
          <cell r="AG19">
            <v>167751.50870000001</v>
          </cell>
          <cell r="AH19">
            <v>97396.183600000004</v>
          </cell>
          <cell r="AI19">
            <v>103910.9936</v>
          </cell>
          <cell r="AJ19">
            <v>119753.534</v>
          </cell>
          <cell r="AK19">
            <v>83348.607000000004</v>
          </cell>
          <cell r="AL19">
            <v>64915.347999999998</v>
          </cell>
          <cell r="AM19">
            <v>1233405.8465741777</v>
          </cell>
          <cell r="AN19">
            <v>209724.70106666666</v>
          </cell>
          <cell r="AO19">
            <v>345100.50600000005</v>
          </cell>
          <cell r="AP19">
            <v>93986.116392986034</v>
          </cell>
          <cell r="AQ19">
            <v>165648.4667975952</v>
          </cell>
          <cell r="AR19">
            <v>80154.167333333346</v>
          </cell>
          <cell r="AS19">
            <v>348007.89</v>
          </cell>
          <cell r="AT19">
            <v>133097.71720000001</v>
          </cell>
          <cell r="AU19">
            <v>54825.352666666658</v>
          </cell>
          <cell r="AV19">
            <v>150848.70666666667</v>
          </cell>
          <cell r="AW19">
            <v>213213.30053333333</v>
          </cell>
          <cell r="AX19">
            <v>201328.88933333335</v>
          </cell>
          <cell r="AY19">
            <v>268488.08480000001</v>
          </cell>
          <cell r="AZ19">
            <v>229779.18693333332</v>
          </cell>
          <cell r="BA19">
            <v>146092.19653333334</v>
          </cell>
          <cell r="BB19">
            <v>100890.74653333334</v>
          </cell>
          <cell r="BC19">
            <v>96816.497866666672</v>
          </cell>
          <cell r="BD19">
            <v>203510.20083333337</v>
          </cell>
          <cell r="BE19">
            <v>157800.82586666665</v>
          </cell>
          <cell r="BF19">
            <v>36776.441999999995</v>
          </cell>
        </row>
        <row r="20">
          <cell r="A20">
            <v>14</v>
          </cell>
          <cell r="B20" t="str">
            <v>מופחת</v>
          </cell>
          <cell r="C20" t="str">
            <v>ערך כינון מופחת מים</v>
          </cell>
          <cell r="D20">
            <v>50456.930999999997</v>
          </cell>
          <cell r="E20">
            <v>64718.004899999993</v>
          </cell>
          <cell r="F20">
            <v>43874.747000000003</v>
          </cell>
          <cell r="G20">
            <v>502087.32995999994</v>
          </cell>
          <cell r="H20">
            <v>62814.464</v>
          </cell>
          <cell r="I20">
            <v>28305.60433333334</v>
          </cell>
          <cell r="J20">
            <v>54789.836000000003</v>
          </cell>
          <cell r="K20">
            <v>53806.909999999996</v>
          </cell>
          <cell r="L20">
            <v>23194.245000000003</v>
          </cell>
          <cell r="M20">
            <v>63235.415726005951</v>
          </cell>
          <cell r="N20">
            <v>133901.01200000002</v>
          </cell>
          <cell r="O20">
            <v>79737.267999999996</v>
          </cell>
          <cell r="P20">
            <v>46875.67</v>
          </cell>
          <cell r="Q20">
            <v>77667.17300000001</v>
          </cell>
          <cell r="R20">
            <v>98683.078999999998</v>
          </cell>
          <cell r="S20">
            <v>97661.217999999993</v>
          </cell>
          <cell r="T20">
            <v>127412.89895754914</v>
          </cell>
          <cell r="U20">
            <v>213408.09260764622</v>
          </cell>
          <cell r="V20">
            <v>58211.333999999995</v>
          </cell>
          <cell r="W20">
            <v>98911.062999999995</v>
          </cell>
          <cell r="X20">
            <v>22617.687999999995</v>
          </cell>
          <cell r="Y20">
            <v>77111.579708143821</v>
          </cell>
          <cell r="Z20">
            <v>35430.512000000002</v>
          </cell>
          <cell r="AA20">
            <v>25507.825140000004</v>
          </cell>
          <cell r="AB20">
            <v>77973.284999999989</v>
          </cell>
          <cell r="AC20">
            <v>26519.905000000002</v>
          </cell>
          <cell r="AD20">
            <v>60816.479000000007</v>
          </cell>
          <cell r="AE20">
            <v>27342.949999999997</v>
          </cell>
          <cell r="AF20">
            <v>203920.25599999999</v>
          </cell>
          <cell r="AG20">
            <v>49753.554000000004</v>
          </cell>
          <cell r="AH20">
            <v>32333.231</v>
          </cell>
          <cell r="AI20">
            <v>32536.936999999998</v>
          </cell>
          <cell r="AJ20">
            <v>30275.817000000003</v>
          </cell>
          <cell r="AK20">
            <v>19925.233000000004</v>
          </cell>
          <cell r="AL20">
            <v>10808.652</v>
          </cell>
          <cell r="AM20">
            <v>168568.084</v>
          </cell>
          <cell r="AN20">
            <v>62794.250000000007</v>
          </cell>
          <cell r="AO20">
            <v>67730.303</v>
          </cell>
          <cell r="AP20">
            <v>18026.672999999999</v>
          </cell>
          <cell r="AQ20">
            <v>37731.557047999995</v>
          </cell>
          <cell r="AR20">
            <v>25918.876</v>
          </cell>
          <cell r="AS20">
            <v>101192.459</v>
          </cell>
          <cell r="AT20">
            <v>32565.701000000001</v>
          </cell>
          <cell r="AU20">
            <v>14322.864</v>
          </cell>
          <cell r="AV20">
            <v>39946.81</v>
          </cell>
          <cell r="AW20">
            <v>56261.707000000002</v>
          </cell>
          <cell r="AX20">
            <v>49246.076999999997</v>
          </cell>
          <cell r="AY20">
            <v>57644.087000000007</v>
          </cell>
          <cell r="AZ20">
            <v>37842.828999999998</v>
          </cell>
          <cell r="BA20">
            <v>32102.364999999998</v>
          </cell>
          <cell r="BB20">
            <v>32329.614000000001</v>
          </cell>
          <cell r="BC20">
            <v>27474.741999999998</v>
          </cell>
          <cell r="BD20">
            <v>44614.951000000001</v>
          </cell>
          <cell r="BE20">
            <v>5187.4089999999997</v>
          </cell>
          <cell r="BF20">
            <v>9665.0560000000005</v>
          </cell>
        </row>
        <row r="21">
          <cell r="A21">
            <v>15</v>
          </cell>
          <cell r="C21" t="str">
            <v>ערך כינון מופחת ביוב</v>
          </cell>
          <cell r="D21">
            <v>9640.7639999999992</v>
          </cell>
          <cell r="E21">
            <v>60568.055999999997</v>
          </cell>
          <cell r="F21">
            <v>58350.611000000004</v>
          </cell>
          <cell r="G21">
            <v>421295.55195999995</v>
          </cell>
          <cell r="H21">
            <v>57175.376000000004</v>
          </cell>
          <cell r="I21">
            <v>29256.145</v>
          </cell>
          <cell r="J21">
            <v>102101.327</v>
          </cell>
          <cell r="K21">
            <v>29475.002</v>
          </cell>
          <cell r="L21">
            <v>30505.428999999996</v>
          </cell>
          <cell r="M21">
            <v>44704.895484835914</v>
          </cell>
          <cell r="N21">
            <v>159702.09899999999</v>
          </cell>
          <cell r="O21">
            <v>108367.62400000001</v>
          </cell>
          <cell r="P21">
            <v>46825.206999999995</v>
          </cell>
          <cell r="Q21">
            <v>55236.301999999996</v>
          </cell>
          <cell r="R21">
            <v>149049.86000000002</v>
          </cell>
          <cell r="S21">
            <v>53060.4</v>
          </cell>
          <cell r="T21">
            <v>88565.328048741765</v>
          </cell>
          <cell r="U21">
            <v>196544.80738891952</v>
          </cell>
          <cell r="V21">
            <v>71140.187000000005</v>
          </cell>
          <cell r="W21">
            <v>111000.505</v>
          </cell>
          <cell r="X21">
            <v>16321.843000000001</v>
          </cell>
          <cell r="Y21">
            <v>76631.259999999995</v>
          </cell>
          <cell r="Z21">
            <v>61353.048999999999</v>
          </cell>
          <cell r="AA21">
            <v>35047.264679999993</v>
          </cell>
          <cell r="AB21">
            <v>31045.823</v>
          </cell>
          <cell r="AC21">
            <v>22667.613000000001</v>
          </cell>
          <cell r="AD21">
            <v>52188.422999999995</v>
          </cell>
          <cell r="AE21">
            <v>18239.028999999999</v>
          </cell>
          <cell r="AF21">
            <v>137844.90899999999</v>
          </cell>
          <cell r="AG21">
            <v>45423.459000000003</v>
          </cell>
          <cell r="AH21">
            <v>14811.713</v>
          </cell>
          <cell r="AI21">
            <v>38831.207999999999</v>
          </cell>
          <cell r="AJ21">
            <v>34189.832999999999</v>
          </cell>
          <cell r="AK21">
            <v>18761.181</v>
          </cell>
          <cell r="AL21">
            <v>7505.799</v>
          </cell>
          <cell r="AM21">
            <v>223858.82004084435</v>
          </cell>
          <cell r="AN21">
            <v>66159.262999999992</v>
          </cell>
          <cell r="AO21">
            <v>7133.4570000000003</v>
          </cell>
          <cell r="AP21">
            <v>4257.8457263193732</v>
          </cell>
          <cell r="AQ21">
            <v>29482.982415016872</v>
          </cell>
          <cell r="AR21">
            <v>12163.394</v>
          </cell>
          <cell r="AS21">
            <v>153423.91899999999</v>
          </cell>
          <cell r="AT21">
            <v>27687.477000000006</v>
          </cell>
          <cell r="AU21">
            <v>3827.1149999999998</v>
          </cell>
          <cell r="AV21">
            <v>43653.900999999998</v>
          </cell>
          <cell r="AW21">
            <v>102806.48299999999</v>
          </cell>
          <cell r="AX21">
            <v>94168.620999999985</v>
          </cell>
          <cell r="AY21">
            <v>74169.463000000003</v>
          </cell>
          <cell r="AZ21">
            <v>36608.271000000001</v>
          </cell>
          <cell r="BA21">
            <v>41222.139000000003</v>
          </cell>
          <cell r="BB21">
            <v>26110.799999999999</v>
          </cell>
          <cell r="BC21">
            <v>42313.864000000001</v>
          </cell>
          <cell r="BD21">
            <v>100516.398</v>
          </cell>
          <cell r="BE21">
            <v>54061.987999999998</v>
          </cell>
          <cell r="BF21">
            <v>10505.34</v>
          </cell>
        </row>
        <row r="22">
          <cell r="A22">
            <v>16</v>
          </cell>
          <cell r="C22" t="str">
            <v>סה"כ</v>
          </cell>
          <cell r="D22">
            <v>60097.694999999992</v>
          </cell>
          <cell r="E22">
            <v>125286.06089999998</v>
          </cell>
          <cell r="F22">
            <v>102225.35800000001</v>
          </cell>
          <cell r="G22">
            <v>923382.88191999984</v>
          </cell>
          <cell r="H22">
            <v>119989.84</v>
          </cell>
          <cell r="I22">
            <v>57561.74933333334</v>
          </cell>
          <cell r="J22">
            <v>156891.163</v>
          </cell>
          <cell r="K22">
            <v>83281.911999999997</v>
          </cell>
          <cell r="L22">
            <v>53699.673999999999</v>
          </cell>
          <cell r="M22">
            <v>107940.31121084187</v>
          </cell>
          <cell r="N22">
            <v>293603.11100000003</v>
          </cell>
          <cell r="O22">
            <v>188104.89199999999</v>
          </cell>
          <cell r="P22">
            <v>93700.876999999993</v>
          </cell>
          <cell r="Q22">
            <v>132903.47500000001</v>
          </cell>
          <cell r="R22">
            <v>247732.93900000001</v>
          </cell>
          <cell r="S22">
            <v>150721.61799999999</v>
          </cell>
          <cell r="T22">
            <v>215978.22700629092</v>
          </cell>
          <cell r="U22">
            <v>409952.89999656577</v>
          </cell>
          <cell r="V22">
            <v>129351.52100000001</v>
          </cell>
          <cell r="W22">
            <v>209911.568</v>
          </cell>
          <cell r="X22">
            <v>38939.530999999995</v>
          </cell>
          <cell r="Y22">
            <v>153742.83970814382</v>
          </cell>
          <cell r="Z22">
            <v>96783.561000000002</v>
          </cell>
          <cell r="AA22">
            <v>60555.089819999994</v>
          </cell>
          <cell r="AB22">
            <v>109019.10799999999</v>
          </cell>
          <cell r="AC22">
            <v>49187.518000000004</v>
          </cell>
          <cell r="AD22">
            <v>113004.902</v>
          </cell>
          <cell r="AE22">
            <v>45581.978999999992</v>
          </cell>
          <cell r="AF22">
            <v>341765.16499999998</v>
          </cell>
          <cell r="AG22">
            <v>95177.013000000006</v>
          </cell>
          <cell r="AH22">
            <v>47144.944000000003</v>
          </cell>
          <cell r="AI22">
            <v>71368.14499999999</v>
          </cell>
          <cell r="AJ22">
            <v>64465.65</v>
          </cell>
          <cell r="AK22">
            <v>38686.414000000004</v>
          </cell>
          <cell r="AL22">
            <v>18314.451000000001</v>
          </cell>
          <cell r="AM22">
            <v>392426.90404084435</v>
          </cell>
          <cell r="AN22">
            <v>128953.51300000001</v>
          </cell>
          <cell r="AO22">
            <v>74863.759999999995</v>
          </cell>
          <cell r="AP22">
            <v>22284.518726319373</v>
          </cell>
          <cell r="AQ22">
            <v>67214.539463016874</v>
          </cell>
          <cell r="AR22">
            <v>38082.270000000004</v>
          </cell>
          <cell r="AS22">
            <v>254616.378</v>
          </cell>
          <cell r="AT22">
            <v>60253.178000000007</v>
          </cell>
          <cell r="AU22">
            <v>18149.978999999999</v>
          </cell>
          <cell r="AV22">
            <v>83600.710999999996</v>
          </cell>
          <cell r="AW22">
            <v>159068.19</v>
          </cell>
          <cell r="AX22">
            <v>143414.69799999997</v>
          </cell>
          <cell r="AY22">
            <v>131813.55000000002</v>
          </cell>
          <cell r="AZ22">
            <v>74451.100000000006</v>
          </cell>
          <cell r="BA22">
            <v>73324.504000000001</v>
          </cell>
          <cell r="BB22">
            <v>58440.414000000004</v>
          </cell>
          <cell r="BC22">
            <v>69788.606</v>
          </cell>
          <cell r="BD22">
            <v>145131.34899999999</v>
          </cell>
          <cell r="BE22">
            <v>59249.396999999997</v>
          </cell>
          <cell r="BF22">
            <v>20170.396000000001</v>
          </cell>
        </row>
        <row r="23">
          <cell r="A23">
            <v>17</v>
          </cell>
          <cell r="C23" t="str">
            <v>זכויות מים</v>
          </cell>
          <cell r="D23">
            <v>14179.218000000001</v>
          </cell>
          <cell r="E23">
            <v>10085.833000000001</v>
          </cell>
          <cell r="F23">
            <v>10172.431</v>
          </cell>
          <cell r="G23">
            <v>183331.80300000001</v>
          </cell>
          <cell r="H23">
            <v>49855</v>
          </cell>
          <cell r="I23">
            <v>0</v>
          </cell>
          <cell r="J23">
            <v>2689.8090000000002</v>
          </cell>
          <cell r="K23">
            <v>5569.509</v>
          </cell>
          <cell r="L23">
            <v>11086.181</v>
          </cell>
          <cell r="M23">
            <v>31785.965</v>
          </cell>
          <cell r="N23">
            <v>16885</v>
          </cell>
          <cell r="O23">
            <v>5625.1350000000002</v>
          </cell>
          <cell r="P23">
            <v>1999.348</v>
          </cell>
          <cell r="Q23">
            <v>670.64700000000005</v>
          </cell>
          <cell r="R23">
            <v>42698.936999999998</v>
          </cell>
          <cell r="S23">
            <v>62353.892999999996</v>
          </cell>
          <cell r="T23">
            <v>26132.474999999999</v>
          </cell>
          <cell r="U23">
            <v>24083.142</v>
          </cell>
          <cell r="V23">
            <v>17756.685000000001</v>
          </cell>
          <cell r="W23">
            <v>13539.29</v>
          </cell>
          <cell r="X23">
            <v>12954.3</v>
          </cell>
          <cell r="Y23">
            <v>15517.846</v>
          </cell>
          <cell r="Z23">
            <v>9121.2029999999995</v>
          </cell>
          <cell r="AA23">
            <v>8509.6880000000001</v>
          </cell>
          <cell r="AB23">
            <v>0</v>
          </cell>
          <cell r="AC23">
            <v>12980.66</v>
          </cell>
          <cell r="AD23">
            <v>7224.95</v>
          </cell>
          <cell r="AE23">
            <v>19136</v>
          </cell>
          <cell r="AF23">
            <v>74480</v>
          </cell>
          <cell r="AG23">
            <v>8788.7669999999998</v>
          </cell>
          <cell r="AH23">
            <v>16834.659</v>
          </cell>
          <cell r="AI23">
            <v>4058.7759999999998</v>
          </cell>
          <cell r="AJ23">
            <v>3789.81</v>
          </cell>
          <cell r="AK23">
            <v>7694.1639999999998</v>
          </cell>
          <cell r="AL23">
            <v>7288.5680000000002</v>
          </cell>
          <cell r="AM23">
            <v>132397</v>
          </cell>
          <cell r="AN23">
            <v>7447.7290000000003</v>
          </cell>
          <cell r="AO23">
            <v>16492.634999999998</v>
          </cell>
          <cell r="AP23">
            <v>9000</v>
          </cell>
          <cell r="AQ23">
            <v>0</v>
          </cell>
          <cell r="AR23">
            <v>240</v>
          </cell>
          <cell r="AS23">
            <v>8469.7909999999993</v>
          </cell>
          <cell r="AT23">
            <v>13124.655000000001</v>
          </cell>
          <cell r="AU23">
            <v>7233.38</v>
          </cell>
          <cell r="AV23">
            <v>0</v>
          </cell>
          <cell r="AW23">
            <v>7377.9719999999998</v>
          </cell>
          <cell r="AX23">
            <v>4136.0529999999999</v>
          </cell>
          <cell r="AY23">
            <v>36753.584000000003</v>
          </cell>
          <cell r="AZ23">
            <v>25538.787</v>
          </cell>
          <cell r="BA23">
            <v>4649.616</v>
          </cell>
          <cell r="BB23">
            <v>8248.2649999999994</v>
          </cell>
          <cell r="BC23">
            <v>35.124000000000002</v>
          </cell>
          <cell r="BD23">
            <v>9236.1610000000001</v>
          </cell>
          <cell r="BE23">
            <v>2472</v>
          </cell>
          <cell r="BF23">
            <v>2772</v>
          </cell>
        </row>
        <row r="24">
          <cell r="A24">
            <v>18</v>
          </cell>
        </row>
        <row r="25">
          <cell r="A25">
            <v>19</v>
          </cell>
        </row>
        <row r="26">
          <cell r="A26">
            <v>20</v>
          </cell>
          <cell r="C26" t="str">
            <v>מקדם בלאי</v>
          </cell>
          <cell r="D26">
            <v>0.35775942009062228</v>
          </cell>
          <cell r="E26">
            <v>0.62662400870675539</v>
          </cell>
          <cell r="F26">
            <v>0.6690134430773057</v>
          </cell>
          <cell r="G26">
            <v>0.46900674877282506</v>
          </cell>
          <cell r="H26">
            <v>0.38858059244775006</v>
          </cell>
          <cell r="I26">
            <v>0.62014145179059288</v>
          </cell>
          <cell r="J26">
            <v>0.74126525022411549</v>
          </cell>
          <cell r="K26">
            <v>0.48597927591992063</v>
          </cell>
          <cell r="L26">
            <v>0.55385376621212667</v>
          </cell>
          <cell r="M26">
            <v>0.41447883190400181</v>
          </cell>
          <cell r="N26">
            <v>0.60297306351305502</v>
          </cell>
          <cell r="O26">
            <v>0.80947835374522514</v>
          </cell>
          <cell r="P26">
            <v>0.65302778744175138</v>
          </cell>
          <cell r="Q26">
            <v>0.52923832592054354</v>
          </cell>
          <cell r="R26">
            <v>0.39452373981325567</v>
          </cell>
          <cell r="S26">
            <v>0.45340148324070273</v>
          </cell>
          <cell r="T26">
            <v>0.39655257430587398</v>
          </cell>
          <cell r="U26">
            <v>0.61351157346139829</v>
          </cell>
          <cell r="V26">
            <v>0.56443904185445859</v>
          </cell>
          <cell r="W26">
            <v>0.64384157934323361</v>
          </cell>
          <cell r="X26">
            <v>0.40275338895976942</v>
          </cell>
          <cell r="Y26">
            <v>0.69657195286026918</v>
          </cell>
          <cell r="Z26">
            <v>0.63178061560922627</v>
          </cell>
          <cell r="AA26">
            <v>0.4683710719480787</v>
          </cell>
          <cell r="AB26">
            <v>0.43620012672393549</v>
          </cell>
          <cell r="AC26">
            <v>0.48856798271131002</v>
          </cell>
          <cell r="AD26">
            <v>0.41197420072324026</v>
          </cell>
          <cell r="AE26">
            <v>0.40378608582909403</v>
          </cell>
          <cell r="AF26">
            <v>0.33124889468739838</v>
          </cell>
          <cell r="AG26">
            <v>0.56736904328062243</v>
          </cell>
          <cell r="AH26">
            <v>0.4840532991890249</v>
          </cell>
          <cell r="AI26">
            <v>0.68681996512061061</v>
          </cell>
          <cell r="AJ26">
            <v>0.53831939523388095</v>
          </cell>
          <cell r="AK26">
            <v>0.4641518963838232</v>
          </cell>
          <cell r="AL26">
            <v>0.28212821103570146</v>
          </cell>
          <cell r="AM26">
            <v>0.31816526987513644</v>
          </cell>
          <cell r="AN26">
            <v>0.61487041032428813</v>
          </cell>
          <cell r="AO26">
            <v>0.21693320843754424</v>
          </cell>
          <cell r="AP26">
            <v>0.23710436798069906</v>
          </cell>
          <cell r="AQ26">
            <v>0.40576614298003666</v>
          </cell>
          <cell r="AR26">
            <v>0.47511278910339205</v>
          </cell>
          <cell r="AS26">
            <v>0.73163967058333068</v>
          </cell>
          <cell r="AT26">
            <v>0.45269880857130135</v>
          </cell>
          <cell r="AU26">
            <v>0.33105083902241872</v>
          </cell>
          <cell r="AV26">
            <v>0.55420237168313358</v>
          </cell>
          <cell r="AW26">
            <v>0.74605190952959155</v>
          </cell>
          <cell r="AX26">
            <v>0.71234038232115393</v>
          </cell>
          <cell r="AY26">
            <v>0.49094748505576891</v>
          </cell>
          <cell r="AZ26">
            <v>0.32401150423428376</v>
          </cell>
          <cell r="BA26">
            <v>0.50190568517648249</v>
          </cell>
          <cell r="BB26">
            <v>0.57924453934625064</v>
          </cell>
          <cell r="BC26">
            <v>0.72083382003872076</v>
          </cell>
          <cell r="BD26">
            <v>0.71314041461173094</v>
          </cell>
          <cell r="BE26">
            <v>0.3754694988102445</v>
          </cell>
          <cell r="BF26">
            <v>0.54845969058126942</v>
          </cell>
        </row>
        <row r="27">
          <cell r="A27">
            <v>21</v>
          </cell>
          <cell r="C27" t="str">
            <v>אורך שנים מוכר לתשתית (לא תלוי מקדם)</v>
          </cell>
          <cell r="D27">
            <v>35</v>
          </cell>
          <cell r="E27">
            <v>35</v>
          </cell>
          <cell r="F27">
            <v>35</v>
          </cell>
          <cell r="G27">
            <v>35</v>
          </cell>
          <cell r="H27">
            <v>35</v>
          </cell>
          <cell r="I27">
            <v>35</v>
          </cell>
          <cell r="J27">
            <v>35</v>
          </cell>
          <cell r="K27">
            <v>35</v>
          </cell>
          <cell r="L27">
            <v>35</v>
          </cell>
          <cell r="M27">
            <v>35</v>
          </cell>
          <cell r="N27">
            <v>35</v>
          </cell>
          <cell r="O27">
            <v>35</v>
          </cell>
          <cell r="P27">
            <v>35</v>
          </cell>
          <cell r="Q27">
            <v>35</v>
          </cell>
          <cell r="R27">
            <v>35</v>
          </cell>
          <cell r="S27">
            <v>35</v>
          </cell>
          <cell r="T27">
            <v>35</v>
          </cell>
          <cell r="U27">
            <v>35</v>
          </cell>
          <cell r="V27">
            <v>35</v>
          </cell>
          <cell r="W27">
            <v>35</v>
          </cell>
          <cell r="X27">
            <v>35</v>
          </cell>
          <cell r="Y27">
            <v>35</v>
          </cell>
          <cell r="Z27">
            <v>35</v>
          </cell>
          <cell r="AA27">
            <v>35</v>
          </cell>
          <cell r="AB27">
            <v>35</v>
          </cell>
          <cell r="AC27">
            <v>35</v>
          </cell>
          <cell r="AD27">
            <v>35</v>
          </cell>
          <cell r="AE27">
            <v>35</v>
          </cell>
          <cell r="AF27">
            <v>35</v>
          </cell>
          <cell r="AG27">
            <v>35</v>
          </cell>
          <cell r="AH27">
            <v>35</v>
          </cell>
          <cell r="AI27">
            <v>35</v>
          </cell>
          <cell r="AJ27">
            <v>35</v>
          </cell>
          <cell r="AK27">
            <v>35</v>
          </cell>
          <cell r="AL27">
            <v>35</v>
          </cell>
          <cell r="AM27">
            <v>35</v>
          </cell>
          <cell r="AN27">
            <v>35</v>
          </cell>
          <cell r="AO27">
            <v>35</v>
          </cell>
          <cell r="AP27">
            <v>35</v>
          </cell>
          <cell r="AQ27">
            <v>35</v>
          </cell>
          <cell r="AR27">
            <v>35</v>
          </cell>
          <cell r="AS27">
            <v>35</v>
          </cell>
          <cell r="AT27">
            <v>35</v>
          </cell>
          <cell r="AU27">
            <v>35</v>
          </cell>
          <cell r="AV27">
            <v>35</v>
          </cell>
          <cell r="AW27">
            <v>35</v>
          </cell>
          <cell r="AX27">
            <v>35</v>
          </cell>
          <cell r="AY27">
            <v>35</v>
          </cell>
          <cell r="AZ27">
            <v>35</v>
          </cell>
          <cell r="BA27">
            <v>35</v>
          </cell>
          <cell r="BB27">
            <v>35</v>
          </cell>
          <cell r="BC27">
            <v>35</v>
          </cell>
          <cell r="BD27">
            <v>35</v>
          </cell>
          <cell r="BE27">
            <v>35</v>
          </cell>
          <cell r="BF27">
            <v>35</v>
          </cell>
        </row>
        <row r="28">
          <cell r="A28">
            <v>22</v>
          </cell>
        </row>
        <row r="29">
          <cell r="A29">
            <v>23</v>
          </cell>
          <cell r="B29" t="str">
            <v>סה"כ כמות מים</v>
          </cell>
          <cell r="C29" t="str">
            <v>כמות המים שהובלה ברשת בשנת הבסיס (רכישה+הפקה)</v>
          </cell>
          <cell r="D29">
            <v>10201.708000000001</v>
          </cell>
          <cell r="E29">
            <v>8934.69</v>
          </cell>
          <cell r="F29">
            <v>2740.8440000000001</v>
          </cell>
          <cell r="G29">
            <v>59362.62</v>
          </cell>
          <cell r="H29">
            <v>16831.189999999999</v>
          </cell>
          <cell r="I29">
            <v>1749.1120000000001</v>
          </cell>
          <cell r="J29">
            <v>4464.2030000000004</v>
          </cell>
          <cell r="K29">
            <v>7010.8670000000002</v>
          </cell>
          <cell r="L29">
            <v>5367.8549999999996</v>
          </cell>
          <cell r="M29">
            <v>9503.4519999999993</v>
          </cell>
          <cell r="N29">
            <v>15230.214</v>
          </cell>
          <cell r="O29">
            <v>7741.3779999999997</v>
          </cell>
          <cell r="P29">
            <v>4843.5510000000004</v>
          </cell>
          <cell r="Q29">
            <v>4826.299</v>
          </cell>
          <cell r="R29">
            <v>20153.915000000001</v>
          </cell>
          <cell r="S29">
            <v>17961.762999999999</v>
          </cell>
          <cell r="T29">
            <v>17933.925999999999</v>
          </cell>
          <cell r="U29">
            <v>18578.635999999999</v>
          </cell>
          <cell r="V29">
            <v>11202.074000000001</v>
          </cell>
          <cell r="W29">
            <v>8624.5479999999989</v>
          </cell>
          <cell r="X29">
            <v>4755.5150000000003</v>
          </cell>
          <cell r="Y29">
            <v>5628.9759999999997</v>
          </cell>
          <cell r="Z29">
            <v>3401.0279999999998</v>
          </cell>
          <cell r="AA29">
            <v>3529.973</v>
          </cell>
          <cell r="AB29">
            <v>6273.5599999999995</v>
          </cell>
          <cell r="AC29">
            <v>7483.1329999999998</v>
          </cell>
          <cell r="AD29">
            <v>10014.992</v>
          </cell>
          <cell r="AE29">
            <v>4531.9290000000001</v>
          </cell>
          <cell r="AF29">
            <v>23482.1</v>
          </cell>
          <cell r="AG29">
            <v>5540.799</v>
          </cell>
          <cell r="AH29">
            <v>4062.8</v>
          </cell>
          <cell r="AI29">
            <v>3227.7650000000003</v>
          </cell>
          <cell r="AJ29">
            <v>3793.3849999999998</v>
          </cell>
          <cell r="AK29">
            <v>2535.3519999999999</v>
          </cell>
          <cell r="AL29">
            <v>2883.7170000000001</v>
          </cell>
          <cell r="AM29">
            <v>44291.270000000004</v>
          </cell>
          <cell r="AN29">
            <v>5243.2179999999998</v>
          </cell>
          <cell r="AO29">
            <v>11533.609</v>
          </cell>
          <cell r="AP29">
            <v>3628.5720000000001</v>
          </cell>
          <cell r="AQ29">
            <v>8881.8989999999994</v>
          </cell>
          <cell r="AR29">
            <v>2378.12</v>
          </cell>
          <cell r="AS29">
            <v>9464.235999999999</v>
          </cell>
          <cell r="AT29">
            <v>3620.7949999999996</v>
          </cell>
          <cell r="AU29">
            <v>2561.7849999999999</v>
          </cell>
          <cell r="AV29">
            <v>4001.3590000000004</v>
          </cell>
          <cell r="AW29">
            <v>5411.1200000000008</v>
          </cell>
          <cell r="AX29">
            <v>7444.8320000000003</v>
          </cell>
          <cell r="AY29">
            <v>12240.239</v>
          </cell>
          <cell r="AZ29">
            <v>7248.96</v>
          </cell>
          <cell r="BA29">
            <v>3267.8130000000001</v>
          </cell>
          <cell r="BB29">
            <v>5224.5789999999997</v>
          </cell>
          <cell r="BC29">
            <v>5307.0460000000003</v>
          </cell>
          <cell r="BD29">
            <v>5648.2979999999998</v>
          </cell>
          <cell r="BE29">
            <v>1017.579</v>
          </cell>
          <cell r="BF29">
            <v>1069.8119999999999</v>
          </cell>
          <cell r="BG29">
            <v>493893.01</v>
          </cell>
        </row>
        <row r="30">
          <cell r="A30">
            <v>24</v>
          </cell>
          <cell r="B30" t="str">
            <v>סה"כ כמות ביוב</v>
          </cell>
          <cell r="C30" t="str">
            <v>גזירת כמות הביוב שהובלה ברשת בשנת הבסיס</v>
          </cell>
          <cell r="D30">
            <v>10075.665000000001</v>
          </cell>
          <cell r="E30">
            <v>8877.8350000000009</v>
          </cell>
          <cell r="F30">
            <v>2571.5190000000002</v>
          </cell>
          <cell r="G30">
            <v>57949.614000000001</v>
          </cell>
          <cell r="H30">
            <v>15591.550999999999</v>
          </cell>
          <cell r="I30">
            <v>1540.8400000000001</v>
          </cell>
          <cell r="J30">
            <v>4431.9210000000003</v>
          </cell>
          <cell r="K30">
            <v>6790.4009999999998</v>
          </cell>
          <cell r="L30">
            <v>5230.53</v>
          </cell>
          <cell r="M30">
            <v>8625.7969999999987</v>
          </cell>
          <cell r="N30">
            <v>14602.780999999999</v>
          </cell>
          <cell r="O30">
            <v>7722.0349999999999</v>
          </cell>
          <cell r="P30">
            <v>4489.808</v>
          </cell>
          <cell r="Q30">
            <v>4618.6840000000002</v>
          </cell>
          <cell r="R30">
            <v>18929.647000000001</v>
          </cell>
          <cell r="S30">
            <v>16255.728999999999</v>
          </cell>
          <cell r="T30">
            <v>17356.741999999998</v>
          </cell>
          <cell r="U30">
            <v>17555.427</v>
          </cell>
          <cell r="V30">
            <v>10172.448</v>
          </cell>
          <cell r="W30">
            <v>8488.6209999999992</v>
          </cell>
          <cell r="X30">
            <v>4594.7040000000006</v>
          </cell>
          <cell r="Y30">
            <v>5126.5369999999994</v>
          </cell>
          <cell r="Z30">
            <v>3223.2179999999998</v>
          </cell>
          <cell r="AA30">
            <v>3290.194</v>
          </cell>
          <cell r="AB30">
            <v>5844.1639999999998</v>
          </cell>
          <cell r="AC30">
            <v>7268.6779999999999</v>
          </cell>
          <cell r="AD30">
            <v>9383.478000000001</v>
          </cell>
          <cell r="AE30">
            <v>4302.0590000000002</v>
          </cell>
          <cell r="AF30">
            <v>22834.205999999998</v>
          </cell>
          <cell r="AG30">
            <v>5185.0200000000004</v>
          </cell>
          <cell r="AH30">
            <v>3724.4940000000001</v>
          </cell>
          <cell r="AI30">
            <v>3217.3050000000003</v>
          </cell>
          <cell r="AJ30">
            <v>3520.1609999999996</v>
          </cell>
          <cell r="AK30">
            <v>2373.0079999999998</v>
          </cell>
          <cell r="AL30">
            <v>2637.5590000000002</v>
          </cell>
          <cell r="AM30">
            <v>41644.543000000005</v>
          </cell>
          <cell r="AN30">
            <v>4723.4229999999998</v>
          </cell>
          <cell r="AO30">
            <v>10835.531000000001</v>
          </cell>
          <cell r="AP30">
            <v>3487.223</v>
          </cell>
          <cell r="AQ30">
            <v>8405.8109999999997</v>
          </cell>
          <cell r="AR30">
            <v>2273.1089999999999</v>
          </cell>
          <cell r="AS30">
            <v>9403.8849999999984</v>
          </cell>
          <cell r="AT30">
            <v>3416.4529999999995</v>
          </cell>
          <cell r="AU30">
            <v>2335.5919999999996</v>
          </cell>
          <cell r="AV30">
            <v>3668.9480000000003</v>
          </cell>
          <cell r="AW30">
            <v>5409.612000000001</v>
          </cell>
          <cell r="AX30">
            <v>7424.8060000000005</v>
          </cell>
          <cell r="AY30">
            <v>11571.278</v>
          </cell>
          <cell r="AZ30">
            <v>6403.5740000000005</v>
          </cell>
          <cell r="BA30">
            <v>3079.0219999999999</v>
          </cell>
          <cell r="BB30">
            <v>5039.2919999999995</v>
          </cell>
          <cell r="BC30">
            <v>5105.6970000000001</v>
          </cell>
          <cell r="BD30">
            <v>4498.7831999999999</v>
          </cell>
          <cell r="BE30">
            <v>7480.9310000000005</v>
          </cell>
          <cell r="BF30">
            <v>986.14499999999987</v>
          </cell>
          <cell r="BG30">
            <v>475596.03820000001</v>
          </cell>
        </row>
        <row r="31">
          <cell r="A31">
            <v>25</v>
          </cell>
        </row>
        <row r="32">
          <cell r="A32">
            <v>26</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1</v>
          </cell>
          <cell r="AD32">
            <v>1</v>
          </cell>
          <cell r="AE32">
            <v>1</v>
          </cell>
          <cell r="AF32">
            <v>1</v>
          </cell>
          <cell r="AG32">
            <v>1</v>
          </cell>
          <cell r="AH32">
            <v>1</v>
          </cell>
          <cell r="AI32">
            <v>1</v>
          </cell>
          <cell r="AJ32">
            <v>1</v>
          </cell>
          <cell r="AK32">
            <v>1</v>
          </cell>
          <cell r="AL32">
            <v>1</v>
          </cell>
          <cell r="AM32">
            <v>1</v>
          </cell>
          <cell r="AN32">
            <v>1</v>
          </cell>
          <cell r="AO32">
            <v>1</v>
          </cell>
          <cell r="AP32">
            <v>1</v>
          </cell>
          <cell r="AQ32">
            <v>1</v>
          </cell>
          <cell r="AR32">
            <v>1</v>
          </cell>
          <cell r="AS32">
            <v>1</v>
          </cell>
          <cell r="AT32">
            <v>1</v>
          </cell>
          <cell r="AU32">
            <v>1</v>
          </cell>
          <cell r="AV32">
            <v>1</v>
          </cell>
          <cell r="AW32">
            <v>1</v>
          </cell>
          <cell r="AX32">
            <v>1</v>
          </cell>
          <cell r="AY32">
            <v>1</v>
          </cell>
          <cell r="AZ32">
            <v>1</v>
          </cell>
          <cell r="BA32">
            <v>1</v>
          </cell>
          <cell r="BB32">
            <v>1</v>
          </cell>
          <cell r="BC32">
            <v>1</v>
          </cell>
          <cell r="BD32">
            <v>1</v>
          </cell>
          <cell r="BE32">
            <v>1</v>
          </cell>
          <cell r="BF32">
            <v>1</v>
          </cell>
        </row>
        <row r="33">
          <cell r="A33">
            <v>27</v>
          </cell>
          <cell r="C33" t="str">
            <v>שיעור החוב המוכר</v>
          </cell>
          <cell r="D33">
            <v>0.55000000000000004</v>
          </cell>
          <cell r="E33">
            <v>0.55000000000000004</v>
          </cell>
          <cell r="F33">
            <v>0.55000000000000004</v>
          </cell>
          <cell r="G33">
            <v>0.55000000000000004</v>
          </cell>
          <cell r="H33">
            <v>0.55000000000000004</v>
          </cell>
          <cell r="I33">
            <v>0.55000000000000004</v>
          </cell>
          <cell r="J33">
            <v>0.55000000000000004</v>
          </cell>
          <cell r="K33">
            <v>0.55000000000000004</v>
          </cell>
          <cell r="L33">
            <v>0.55000000000000004</v>
          </cell>
          <cell r="M33">
            <v>0.55000000000000004</v>
          </cell>
          <cell r="N33">
            <v>0.55000000000000004</v>
          </cell>
          <cell r="O33">
            <v>0.55000000000000004</v>
          </cell>
          <cell r="P33">
            <v>0.55000000000000004</v>
          </cell>
          <cell r="Q33">
            <v>0.55000000000000004</v>
          </cell>
          <cell r="R33">
            <v>0.55000000000000004</v>
          </cell>
          <cell r="S33">
            <v>0.55000000000000004</v>
          </cell>
          <cell r="T33">
            <v>0.55000000000000004</v>
          </cell>
          <cell r="U33">
            <v>0.55000000000000004</v>
          </cell>
          <cell r="V33">
            <v>0.55000000000000004</v>
          </cell>
          <cell r="W33">
            <v>0.55000000000000004</v>
          </cell>
          <cell r="X33">
            <v>0.55000000000000004</v>
          </cell>
          <cell r="Y33">
            <v>0.55000000000000004</v>
          </cell>
          <cell r="Z33">
            <v>0.55000000000000004</v>
          </cell>
          <cell r="AA33">
            <v>0.55000000000000004</v>
          </cell>
          <cell r="AB33">
            <v>0.55000000000000004</v>
          </cell>
          <cell r="AC33">
            <v>0.55000000000000004</v>
          </cell>
          <cell r="AD33">
            <v>0.55000000000000004</v>
          </cell>
          <cell r="AE33">
            <v>0.55000000000000004</v>
          </cell>
          <cell r="AF33">
            <v>0.55000000000000004</v>
          </cell>
          <cell r="AG33">
            <v>0.55000000000000004</v>
          </cell>
          <cell r="AH33">
            <v>0.55000000000000004</v>
          </cell>
          <cell r="AI33">
            <v>0.55000000000000004</v>
          </cell>
          <cell r="AJ33">
            <v>0.55000000000000004</v>
          </cell>
          <cell r="AK33">
            <v>0.55000000000000004</v>
          </cell>
          <cell r="AL33">
            <v>0.55000000000000004</v>
          </cell>
          <cell r="AM33">
            <v>0.55000000000000004</v>
          </cell>
          <cell r="AN33">
            <v>0.55000000000000004</v>
          </cell>
          <cell r="AO33">
            <v>0.55000000000000004</v>
          </cell>
          <cell r="AP33">
            <v>0.55000000000000004</v>
          </cell>
          <cell r="AQ33">
            <v>0.55000000000000004</v>
          </cell>
          <cell r="AR33">
            <v>0.55000000000000004</v>
          </cell>
          <cell r="AS33">
            <v>0.55000000000000004</v>
          </cell>
          <cell r="AT33">
            <v>0.55000000000000004</v>
          </cell>
          <cell r="AU33">
            <v>0.4</v>
          </cell>
          <cell r="AV33">
            <v>0.55000000000000004</v>
          </cell>
          <cell r="AW33">
            <v>0.55000000000000004</v>
          </cell>
          <cell r="AX33">
            <v>0.55000000000000004</v>
          </cell>
          <cell r="AY33">
            <v>0.55000000000000004</v>
          </cell>
          <cell r="AZ33">
            <v>0.55000000000000004</v>
          </cell>
          <cell r="BA33">
            <v>0.55000000000000004</v>
          </cell>
          <cell r="BB33">
            <v>0.55000000000000004</v>
          </cell>
          <cell r="BC33">
            <v>0.55000000000000004</v>
          </cell>
          <cell r="BD33">
            <v>0.55000000000000004</v>
          </cell>
          <cell r="BE33">
            <v>0.55000000000000004</v>
          </cell>
          <cell r="BF33">
            <v>0.55000000000000004</v>
          </cell>
          <cell r="BG33">
            <v>0.54727272727272769</v>
          </cell>
        </row>
        <row r="34">
          <cell r="A34">
            <v>28</v>
          </cell>
          <cell r="D34" t="str">
            <v>הצמדה</v>
          </cell>
          <cell r="E34" t="str">
            <v>הצמדה</v>
          </cell>
          <cell r="F34" t="str">
            <v>הצמדה</v>
          </cell>
          <cell r="G34" t="str">
            <v>הצמדה</v>
          </cell>
          <cell r="H34" t="str">
            <v>הצמדה</v>
          </cell>
          <cell r="I34" t="str">
            <v>הצמדה</v>
          </cell>
          <cell r="J34" t="str">
            <v>הצמדה</v>
          </cell>
          <cell r="K34" t="str">
            <v>הצמדה</v>
          </cell>
          <cell r="L34" t="str">
            <v>הצמדה</v>
          </cell>
          <cell r="M34" t="str">
            <v>הצמדה</v>
          </cell>
          <cell r="N34" t="str">
            <v>הצמדה</v>
          </cell>
          <cell r="O34" t="str">
            <v>הצמדה</v>
          </cell>
          <cell r="P34" t="str">
            <v>הצמדה</v>
          </cell>
          <cell r="Q34" t="str">
            <v>הצמדה</v>
          </cell>
          <cell r="R34" t="str">
            <v>הצמדה</v>
          </cell>
          <cell r="S34" t="str">
            <v>הצמדה</v>
          </cell>
          <cell r="T34" t="str">
            <v>הצמדה</v>
          </cell>
          <cell r="U34" t="str">
            <v>הצמדה</v>
          </cell>
          <cell r="V34" t="str">
            <v>הצמדה</v>
          </cell>
          <cell r="W34" t="str">
            <v>הצמדה</v>
          </cell>
          <cell r="X34" t="str">
            <v>הצמדה</v>
          </cell>
          <cell r="Y34" t="str">
            <v>הצמדה</v>
          </cell>
          <cell r="Z34" t="str">
            <v>הצמדה</v>
          </cell>
          <cell r="AA34" t="str">
            <v>הצמדה</v>
          </cell>
          <cell r="AB34" t="str">
            <v>הצמדה</v>
          </cell>
          <cell r="AC34" t="str">
            <v>הצמדה</v>
          </cell>
          <cell r="AD34" t="str">
            <v>הצמדה</v>
          </cell>
          <cell r="AE34" t="str">
            <v>הצמדה</v>
          </cell>
          <cell r="AF34" t="str">
            <v>הצמדה</v>
          </cell>
          <cell r="AG34" t="str">
            <v>הצמדה</v>
          </cell>
          <cell r="AH34" t="str">
            <v>הצמדה</v>
          </cell>
          <cell r="AI34" t="str">
            <v>הצמדה</v>
          </cell>
          <cell r="AJ34" t="str">
            <v>הצמדה</v>
          </cell>
          <cell r="AK34" t="str">
            <v>הצמדה</v>
          </cell>
          <cell r="AL34" t="str">
            <v>הצמדה</v>
          </cell>
          <cell r="AM34" t="str">
            <v>הצמדה</v>
          </cell>
          <cell r="AN34" t="str">
            <v>הצמדה</v>
          </cell>
          <cell r="AO34" t="str">
            <v>הצמדה</v>
          </cell>
          <cell r="AP34" t="str">
            <v>הצמדה</v>
          </cell>
          <cell r="AQ34" t="str">
            <v>הצמדה</v>
          </cell>
          <cell r="AR34" t="str">
            <v>הצמדה</v>
          </cell>
          <cell r="AS34" t="str">
            <v>הצמדה</v>
          </cell>
          <cell r="AT34" t="str">
            <v>הצמדה</v>
          </cell>
          <cell r="AU34" t="str">
            <v>הצמדה</v>
          </cell>
          <cell r="AV34" t="str">
            <v>הצמדה</v>
          </cell>
          <cell r="AW34" t="str">
            <v>הצמדה</v>
          </cell>
          <cell r="AX34" t="str">
            <v>הצמדה</v>
          </cell>
          <cell r="AY34" t="str">
            <v>הצמדה</v>
          </cell>
          <cell r="AZ34" t="str">
            <v>הצמדה</v>
          </cell>
          <cell r="BA34" t="str">
            <v>הצמדה</v>
          </cell>
          <cell r="BB34" t="str">
            <v>הצמדה</v>
          </cell>
          <cell r="BC34" t="str">
            <v>הצמדה</v>
          </cell>
          <cell r="BD34" t="str">
            <v>הצמדה</v>
          </cell>
          <cell r="BE34" t="str">
            <v>הצמדה</v>
          </cell>
          <cell r="BF34" t="str">
            <v>הצמדה</v>
          </cell>
        </row>
        <row r="35">
          <cell r="A35">
            <v>29</v>
          </cell>
          <cell r="D35">
            <v>2014</v>
          </cell>
          <cell r="E35">
            <v>2014</v>
          </cell>
          <cell r="F35">
            <v>2014</v>
          </cell>
          <cell r="G35">
            <v>2014</v>
          </cell>
          <cell r="H35">
            <v>2014</v>
          </cell>
          <cell r="I35">
            <v>2014</v>
          </cell>
          <cell r="J35">
            <v>2014</v>
          </cell>
          <cell r="K35">
            <v>2014</v>
          </cell>
          <cell r="L35">
            <v>2014</v>
          </cell>
          <cell r="M35">
            <v>2014</v>
          </cell>
          <cell r="N35">
            <v>2014</v>
          </cell>
          <cell r="O35">
            <v>2014</v>
          </cell>
          <cell r="P35">
            <v>2014</v>
          </cell>
          <cell r="Q35">
            <v>2014</v>
          </cell>
          <cell r="R35">
            <v>2014</v>
          </cell>
          <cell r="S35">
            <v>2014</v>
          </cell>
          <cell r="T35">
            <v>2014</v>
          </cell>
          <cell r="U35">
            <v>2014</v>
          </cell>
          <cell r="V35">
            <v>2014</v>
          </cell>
          <cell r="W35">
            <v>2014</v>
          </cell>
          <cell r="X35">
            <v>2014</v>
          </cell>
          <cell r="Y35">
            <v>2014</v>
          </cell>
          <cell r="Z35">
            <v>2014</v>
          </cell>
          <cell r="AA35">
            <v>2014</v>
          </cell>
          <cell r="AB35">
            <v>2014</v>
          </cell>
          <cell r="AC35">
            <v>2014</v>
          </cell>
          <cell r="AD35">
            <v>2014</v>
          </cell>
          <cell r="AE35">
            <v>2014</v>
          </cell>
          <cell r="AF35">
            <v>2014</v>
          </cell>
          <cell r="AG35">
            <v>2014</v>
          </cell>
          <cell r="AH35">
            <v>2014</v>
          </cell>
          <cell r="AI35">
            <v>2014</v>
          </cell>
          <cell r="AJ35">
            <v>2014</v>
          </cell>
          <cell r="AK35">
            <v>2014</v>
          </cell>
          <cell r="AL35">
            <v>2014</v>
          </cell>
          <cell r="AM35">
            <v>2014</v>
          </cell>
          <cell r="AN35">
            <v>2014</v>
          </cell>
          <cell r="AO35">
            <v>2014</v>
          </cell>
          <cell r="AP35">
            <v>2014</v>
          </cell>
          <cell r="AQ35">
            <v>2014</v>
          </cell>
          <cell r="AR35">
            <v>2014</v>
          </cell>
          <cell r="AS35">
            <v>2014</v>
          </cell>
          <cell r="AT35">
            <v>2014</v>
          </cell>
          <cell r="AU35">
            <v>2014</v>
          </cell>
          <cell r="AV35">
            <v>2014</v>
          </cell>
          <cell r="AW35">
            <v>2014</v>
          </cell>
          <cell r="AX35">
            <v>2014</v>
          </cell>
          <cell r="AY35">
            <v>2014</v>
          </cell>
          <cell r="AZ35">
            <v>2014</v>
          </cell>
          <cell r="BA35">
            <v>2014</v>
          </cell>
          <cell r="BB35">
            <v>2014</v>
          </cell>
          <cell r="BC35">
            <v>2014</v>
          </cell>
          <cell r="BD35">
            <v>2014</v>
          </cell>
          <cell r="BE35">
            <v>2014</v>
          </cell>
          <cell r="BF35">
            <v>2014</v>
          </cell>
          <cell r="BH35">
            <v>3958613.9915000042</v>
          </cell>
        </row>
        <row r="36">
          <cell r="A36">
            <v>30</v>
          </cell>
          <cell r="C36" t="str">
            <v>שיעור עליית המדד ממועד ההקמה עד תום השנה הקודמת</v>
          </cell>
          <cell r="D36">
            <v>-1</v>
          </cell>
          <cell r="E36">
            <v>-1</v>
          </cell>
          <cell r="F36">
            <v>-1</v>
          </cell>
          <cell r="G36">
            <v>-1</v>
          </cell>
          <cell r="H36">
            <v>-1</v>
          </cell>
          <cell r="I36">
            <v>-1</v>
          </cell>
          <cell r="J36">
            <v>-1</v>
          </cell>
          <cell r="K36">
            <v>-1</v>
          </cell>
          <cell r="L36">
            <v>-1</v>
          </cell>
          <cell r="M36">
            <v>-1</v>
          </cell>
          <cell r="N36">
            <v>-1</v>
          </cell>
          <cell r="O36">
            <v>-1</v>
          </cell>
          <cell r="P36">
            <v>-1</v>
          </cell>
          <cell r="Q36">
            <v>-1</v>
          </cell>
          <cell r="R36">
            <v>-1</v>
          </cell>
          <cell r="S36">
            <v>-1</v>
          </cell>
          <cell r="T36">
            <v>-1</v>
          </cell>
          <cell r="U36">
            <v>-1</v>
          </cell>
          <cell r="V36">
            <v>-1</v>
          </cell>
          <cell r="W36">
            <v>-1</v>
          </cell>
          <cell r="X36">
            <v>-1</v>
          </cell>
          <cell r="Y36">
            <v>-1</v>
          </cell>
          <cell r="Z36">
            <v>-1</v>
          </cell>
          <cell r="AA36">
            <v>-1</v>
          </cell>
          <cell r="AB36">
            <v>-1</v>
          </cell>
          <cell r="AC36">
            <v>-1</v>
          </cell>
          <cell r="AD36">
            <v>-1</v>
          </cell>
          <cell r="AE36">
            <v>-1</v>
          </cell>
          <cell r="AF36">
            <v>-1</v>
          </cell>
          <cell r="AG36">
            <v>-1</v>
          </cell>
          <cell r="AH36">
            <v>-1</v>
          </cell>
          <cell r="AI36">
            <v>-1</v>
          </cell>
          <cell r="AJ36">
            <v>-1</v>
          </cell>
          <cell r="AK36">
            <v>-1</v>
          </cell>
          <cell r="AL36">
            <v>-1</v>
          </cell>
          <cell r="AM36">
            <v>-1</v>
          </cell>
          <cell r="AN36">
            <v>-1</v>
          </cell>
          <cell r="AO36">
            <v>-1</v>
          </cell>
          <cell r="AP36">
            <v>-1</v>
          </cell>
          <cell r="AQ36">
            <v>-1</v>
          </cell>
          <cell r="AR36">
            <v>-1</v>
          </cell>
          <cell r="AS36">
            <v>-1</v>
          </cell>
          <cell r="AT36">
            <v>-1</v>
          </cell>
          <cell r="AU36">
            <v>-1</v>
          </cell>
          <cell r="AV36">
            <v>-1</v>
          </cell>
          <cell r="AW36">
            <v>-1</v>
          </cell>
          <cell r="AX36">
            <v>-1</v>
          </cell>
          <cell r="AY36">
            <v>-1</v>
          </cell>
          <cell r="AZ36">
            <v>-1</v>
          </cell>
          <cell r="BA36">
            <v>-1</v>
          </cell>
          <cell r="BB36">
            <v>-1</v>
          </cell>
          <cell r="BC36">
            <v>-1</v>
          </cell>
          <cell r="BD36">
            <v>-1</v>
          </cell>
          <cell r="BE36">
            <v>-1</v>
          </cell>
          <cell r="BF36">
            <v>-1</v>
          </cell>
          <cell r="BH36">
            <v>237516.83949000025</v>
          </cell>
        </row>
        <row r="37">
          <cell r="A37">
            <v>31</v>
          </cell>
        </row>
        <row r="38">
          <cell r="A38">
            <v>32</v>
          </cell>
          <cell r="C38" t="str">
            <v>נתוני צריכה (לפי דיווח התאגיד)</v>
          </cell>
        </row>
      </sheetData>
      <sheetData sheetId="32" refreshError="1"/>
      <sheetData sheetId="33" refreshError="1"/>
      <sheetData sheetId="34" refreshError="1"/>
      <sheetData sheetId="35" refreshError="1"/>
      <sheetData sheetId="36" refreshError="1"/>
      <sheetData sheetId="37" refreshError="1">
        <row r="59">
          <cell r="BM59">
            <v>12.127614743674359</v>
          </cell>
        </row>
      </sheetData>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6"/>
      <sheetName val="נתוני מים 2012"/>
      <sheetName val="סל מדדים"/>
      <sheetName val="מדד שכר ממוצע"/>
      <sheetName val="מדד חשמל"/>
      <sheetName val="מדד מחירים"/>
      <sheetName val="תחשיב תעריף לתאגיד בודד"/>
      <sheetName val="תחשיב תעריף 2016"/>
      <sheetName val="כמויות מים 2014"/>
      <sheetName val="ריכוז עלויות"/>
      <sheetName val="נתוני תאגידים"/>
      <sheetName val="תעריפי 2016 לכללים"/>
      <sheetName val="תוספת נכסים"/>
      <sheetName val="פחתי מים לרשויות מצטרפות"/>
      <sheetName val="פחת מים וגביה"/>
      <sheetName val="בדיקת החזר צרכנים"/>
      <sheetName val="סקרי נכסים-יתרות פתיחה"/>
      <sheetName val="תחשיב עלות תפעול לשנת 2015"/>
      <sheetName val="השקעות 2012-2014"/>
      <sheetName val="השקעות בניכוי גריעות"/>
      <sheetName val="גיליון סימולציה לתעריפי 2016"/>
      <sheetName val="פירוט נכסי מים וביוב"/>
      <sheetName val="כמויות מים תפעול 2012"/>
      <sheetName val="כמויות מים רשויות מקומיות"/>
      <sheetName val="גיליון1"/>
      <sheetName val="צריכה בתאגיד מרחבי"/>
      <sheetName val="ביוביות"/>
      <sheetName val="התאמה לכללים"/>
      <sheetName val="תעריפים לספקים מקומיים"/>
    </sheetNames>
    <sheetDataSet>
      <sheetData sheetId="0" refreshError="1"/>
      <sheetData sheetId="1" refreshError="1">
        <row r="30">
          <cell r="D30">
            <v>2.4300000000000002</v>
          </cell>
        </row>
        <row r="63">
          <cell r="D63">
            <v>7.0000000000000007E-2</v>
          </cell>
        </row>
        <row r="69">
          <cell r="D69">
            <v>1.4999999999999999E-2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1">
          <cell r="A1" t="str">
            <v>שם תאגיד</v>
          </cell>
          <cell r="C1" t="str">
            <v>מיתב מים תיעול וביוב בע"מ</v>
          </cell>
          <cell r="D1" t="str">
            <v>התנור מים וביוב בע"מ</v>
          </cell>
          <cell r="E1" t="str">
            <v>מי נתניה (2003) בע"מ</v>
          </cell>
          <cell r="F1" t="str">
            <v>יובלים בשומרון בע"מ</v>
          </cell>
          <cell r="G1" t="str">
            <v>מי מודיעין</v>
          </cell>
          <cell r="H1" t="str">
            <v>חברת הגיחון בע"מ תאגיד המים והביוב של ירושלים</v>
          </cell>
          <cell r="I1" t="str">
            <v>מניב ראשון בע"מ</v>
          </cell>
          <cell r="J1" t="str">
            <v>עין נטפים מפעלי מים וביוב אילת בע"מ</v>
          </cell>
          <cell r="K1" t="str">
            <v>מי נע חברת המים והביוב של עיריית נצרת עילית בע"מ</v>
          </cell>
          <cell r="L1" t="str">
            <v>מי רקת  בע"מ</v>
          </cell>
          <cell r="M1" t="str">
            <v>יובלים אשדוד בע"מ</v>
          </cell>
          <cell r="N1" t="str">
            <v>מי שבע תאגיד המים והביוב לבאר שבע בע"מ</v>
          </cell>
          <cell r="O1" t="str">
            <v>מי שקמה תאגיד המים והביוב בע"מ</v>
          </cell>
          <cell r="P1" t="str">
            <v>פלג הגליל החברה האזורית למים וביוב בע"מ</v>
          </cell>
          <cell r="Q1" t="str">
            <v>מי ברק בע"מ</v>
          </cell>
          <cell r="R1" t="str">
            <v>מי ציונה בע"מ</v>
          </cell>
          <cell r="S1" t="str">
            <v>מי לוד בע"מ</v>
          </cell>
          <cell r="T1" t="str">
            <v>תמ"ר תאגיד מים רמלה בע"מ</v>
          </cell>
          <cell r="U1" t="str">
            <v>מי חדרה בע"מ</v>
          </cell>
          <cell r="V1" t="str">
            <v>כפרי גליל תחתון בע"מ</v>
          </cell>
          <cell r="W1" t="str">
            <v>מי עירון בע"מ</v>
          </cell>
          <cell r="X1" t="str">
            <v>הרי נצרת מפעלי מים וביוב בע"מ</v>
          </cell>
          <cell r="Y1" t="str">
            <v>מעיינות זיו</v>
          </cell>
          <cell r="Z1" t="str">
            <v>מעיינות אתא</v>
          </cell>
          <cell r="AA1" t="str">
            <v>מי רעננה</v>
          </cell>
          <cell r="AB1" t="str">
            <v>מי קריית גת</v>
          </cell>
          <cell r="AC1" t="str">
            <v>מי הרצליה</v>
          </cell>
          <cell r="AD1" t="str">
            <v>שרונים</v>
          </cell>
          <cell r="AE1" t="str">
            <v>מי כרמל</v>
          </cell>
          <cell r="AF1" t="str">
            <v>מי יבנה</v>
          </cell>
          <cell r="AG1" t="str">
            <v>עין כרמים</v>
          </cell>
          <cell r="AH1" t="str">
            <v>מי רהט</v>
          </cell>
          <cell r="AI1" t="str">
            <v>עין אפק</v>
          </cell>
          <cell r="AJ1" t="str">
            <v>פלגי מוצקין</v>
          </cell>
          <cell r="AK1" t="str">
            <v>מי קריית ביאליק</v>
          </cell>
          <cell r="AL1" t="str">
            <v>מי אביבים 2010 בע"מ</v>
          </cell>
          <cell r="AM1" t="str">
            <v>מעיינות השרון</v>
          </cell>
          <cell r="AN1" t="str">
            <v>נווה מדבר</v>
          </cell>
          <cell r="AO1" t="str">
            <v>מי רמת גן</v>
          </cell>
          <cell r="AP1" t="str">
            <v>מי גבעתיים</v>
          </cell>
          <cell r="AQ1" t="str">
            <v>מי בת ים</v>
          </cell>
          <cell r="AR1" t="str">
            <v>מי אונו</v>
          </cell>
          <cell r="AS1" t="str">
            <v>סובב שפרעם</v>
          </cell>
          <cell r="AT1" t="str">
            <v>מי בית שמש</v>
          </cell>
          <cell r="AU1" t="str">
            <v>מי הוד השרון</v>
          </cell>
          <cell r="AV1" t="str">
            <v>מי אשקלון</v>
          </cell>
          <cell r="AW1" t="str">
            <v>מי עכו</v>
          </cell>
          <cell r="AX1" t="str">
            <v>מעיינות המשולש</v>
          </cell>
          <cell r="AY1" t="str">
            <v>ימים</v>
          </cell>
          <cell r="AZ1" t="str">
            <v>מעיינות העמקים</v>
          </cell>
          <cell r="BA1" t="str">
            <v>מעיינות הדרום</v>
          </cell>
          <cell r="BB1" t="str">
            <v>אל עין</v>
          </cell>
          <cell r="BC1" t="str">
            <v>מי גליל</v>
          </cell>
          <cell r="BD1" t="str">
            <v>פלגי השרון</v>
          </cell>
          <cell r="BE1" t="str">
            <v>מי תקווה</v>
          </cell>
          <cell r="BF1" t="str">
            <v>מי רחובות</v>
          </cell>
        </row>
        <row r="2">
          <cell r="A2" t="str">
            <v>שיוך מרחבי</v>
          </cell>
          <cell r="C2" t="str">
            <v>אזור פ''ת</v>
          </cell>
          <cell r="D2" t="str">
            <v>אזור הגליל המזרחי</v>
          </cell>
          <cell r="E2" t="str">
            <v xml:space="preserve">אזור שרון צפוני </v>
          </cell>
          <cell r="F2" t="str">
            <v>אזור יו"ש</v>
          </cell>
          <cell r="G2" t="str">
            <v xml:space="preserve">אזור המרכז </v>
          </cell>
          <cell r="H2" t="str">
            <v xml:space="preserve">אזור י-ם </v>
          </cell>
          <cell r="I2" t="str">
            <v xml:space="preserve">אזור המרכז </v>
          </cell>
          <cell r="J2" t="str">
            <v xml:space="preserve">אזור הערבה </v>
          </cell>
          <cell r="K2" t="str">
            <v>אזור נצרת</v>
          </cell>
          <cell r="L2" t="str">
            <v>אזור הגליל המזרחי</v>
          </cell>
          <cell r="M2" t="str">
            <v xml:space="preserve">אזור הדרום </v>
          </cell>
          <cell r="N2" t="str">
            <v>אזור הנגב</v>
          </cell>
          <cell r="O2" t="str">
            <v>אזור השפלה</v>
          </cell>
          <cell r="P2" t="str">
            <v>אזור הגליל המזרחי</v>
          </cell>
          <cell r="Q2" t="str">
            <v>אזור פ''ת</v>
          </cell>
          <cell r="R2" t="str">
            <v>אזור השפלה</v>
          </cell>
          <cell r="S2" t="str">
            <v xml:space="preserve">אזור המרכז </v>
          </cell>
          <cell r="T2" t="str">
            <v xml:space="preserve">אזור המרכז </v>
          </cell>
          <cell r="U2" t="str">
            <v xml:space="preserve">אזור שרון צפוני </v>
          </cell>
          <cell r="V2" t="str">
            <v>אזור נצרת</v>
          </cell>
          <cell r="W2" t="str">
            <v xml:space="preserve">אזור שרון צפוני </v>
          </cell>
          <cell r="X2" t="str">
            <v>אזור נצרת</v>
          </cell>
          <cell r="Y2" t="str">
            <v>אזור הגליל המערבי</v>
          </cell>
          <cell r="Z2" t="str">
            <v>אזור חיפה והקריות</v>
          </cell>
          <cell r="AA2" t="str">
            <v>אזור השרון</v>
          </cell>
          <cell r="AB2" t="str">
            <v>אזור הנגב</v>
          </cell>
          <cell r="AC2" t="str">
            <v>אזור השרון</v>
          </cell>
          <cell r="AD2" t="str">
            <v>אזור השרון</v>
          </cell>
          <cell r="AE2" t="str">
            <v>אזור חיפה והקריות</v>
          </cell>
          <cell r="AF2" t="str">
            <v xml:space="preserve">אזור הדרום </v>
          </cell>
          <cell r="AG2" t="str">
            <v>אזור הגליל המערבי</v>
          </cell>
          <cell r="AH2" t="str">
            <v>אזור הנגב</v>
          </cell>
          <cell r="AI2" t="str">
            <v>אזור פ''ת</v>
          </cell>
          <cell r="AJ2" t="str">
            <v>אזור חיפה והקריות</v>
          </cell>
          <cell r="AK2" t="str">
            <v>אזור חיפה והקריות</v>
          </cell>
          <cell r="AL2" t="str">
            <v>אזור ת"א מרכז</v>
          </cell>
          <cell r="AM2" t="str">
            <v xml:space="preserve">אזור שרון צפוני </v>
          </cell>
          <cell r="AN2" t="str">
            <v>אזור הנגב</v>
          </cell>
          <cell r="AO2" t="str">
            <v>אזור ת"א מרכז</v>
          </cell>
          <cell r="AP2" t="str">
            <v>אזור ת"א מרכז</v>
          </cell>
          <cell r="AQ2" t="str">
            <v>אזור השפלה</v>
          </cell>
          <cell r="AR2" t="str">
            <v>אזור פ''ת</v>
          </cell>
          <cell r="AS2" t="str">
            <v>אזור נצרת</v>
          </cell>
          <cell r="AT2" t="str">
            <v xml:space="preserve">אזור המרכז </v>
          </cell>
          <cell r="AU2" t="str">
            <v>אזור השרון</v>
          </cell>
          <cell r="AV2" t="str">
            <v xml:space="preserve">אזור הדרום </v>
          </cell>
          <cell r="AW2" t="str">
            <v>אזור חיפה והקריות</v>
          </cell>
          <cell r="AX2" t="str">
            <v>אזור השרון</v>
          </cell>
          <cell r="AY2" t="str">
            <v>אזור חיפה והקריות</v>
          </cell>
          <cell r="AZ2" t="str">
            <v>אזור נצרת</v>
          </cell>
          <cell r="BA2" t="str">
            <v>אזור הנגב</v>
          </cell>
          <cell r="BB2" t="str">
            <v>אזור הגליל המערבי</v>
          </cell>
          <cell r="BC2" t="str">
            <v>אזור הגליל המערבי</v>
          </cell>
          <cell r="BD2" t="str">
            <v>אזור השרון</v>
          </cell>
          <cell r="BE2" t="str">
            <v>אזור פ''ת</v>
          </cell>
          <cell r="BF2" t="str">
            <v>אזור השפלה</v>
          </cell>
        </row>
        <row r="3">
          <cell r="A3" t="str">
            <v>שנת תעריף</v>
          </cell>
          <cell r="B3">
            <v>2015</v>
          </cell>
          <cell r="C3" t="str">
            <v>בינוני</v>
          </cell>
          <cell r="D3" t="str">
            <v>בינוני</v>
          </cell>
          <cell r="E3" t="str">
            <v xml:space="preserve">חזק </v>
          </cell>
          <cell r="F3" t="str">
            <v xml:space="preserve">חזק </v>
          </cell>
          <cell r="G3" t="str">
            <v>חזק מאוד</v>
          </cell>
          <cell r="H3" t="str">
            <v>בינוני</v>
          </cell>
          <cell r="I3" t="str">
            <v xml:space="preserve">חזק </v>
          </cell>
          <cell r="J3" t="str">
            <v xml:space="preserve">חזק </v>
          </cell>
          <cell r="K3" t="str">
            <v xml:space="preserve">חזק </v>
          </cell>
          <cell r="L3" t="str">
            <v>חלש רב רשותי</v>
          </cell>
          <cell r="M3" t="str">
            <v xml:space="preserve">חזק </v>
          </cell>
          <cell r="N3" t="str">
            <v>בינוני</v>
          </cell>
          <cell r="O3" t="str">
            <v xml:space="preserve">חזק </v>
          </cell>
          <cell r="P3" t="str">
            <v>חלש רב רשותי</v>
          </cell>
          <cell r="Q3" t="str">
            <v>חלש</v>
          </cell>
          <cell r="R3" t="str">
            <v>חזק מאוד</v>
          </cell>
          <cell r="S3" t="str">
            <v>חלש</v>
          </cell>
          <cell r="T3" t="str">
            <v>חלש רב רשותי</v>
          </cell>
          <cell r="U3" t="str">
            <v xml:space="preserve">חזק </v>
          </cell>
          <cell r="V3" t="str">
            <v>חלש רב רשותי</v>
          </cell>
          <cell r="W3" t="str">
            <v>חלש רב רשותי</v>
          </cell>
          <cell r="X3" t="str">
            <v>חלש רב רשותי</v>
          </cell>
          <cell r="Y3" t="str">
            <v>בינוני</v>
          </cell>
          <cell r="Z3" t="str">
            <v xml:space="preserve">חזק </v>
          </cell>
          <cell r="AA3" t="str">
            <v>חזק מאוד</v>
          </cell>
          <cell r="AB3" t="str">
            <v>חלש</v>
          </cell>
          <cell r="AC3" t="str">
            <v>חזק מאוד</v>
          </cell>
          <cell r="AD3" t="str">
            <v>חזק מאוד</v>
          </cell>
          <cell r="AE3" t="str">
            <v>חזק מאוד</v>
          </cell>
          <cell r="AF3" t="str">
            <v xml:space="preserve">חזק </v>
          </cell>
          <cell r="AG3" t="str">
            <v xml:space="preserve">חזק </v>
          </cell>
          <cell r="AH3" t="str">
            <v>חלש</v>
          </cell>
          <cell r="AI3" t="str">
            <v xml:space="preserve">חזק </v>
          </cell>
          <cell r="AJ3" t="str">
            <v>בינוני</v>
          </cell>
          <cell r="AK3" t="str">
            <v xml:space="preserve">חזק </v>
          </cell>
          <cell r="AL3" t="str">
            <v>חזק מאוד</v>
          </cell>
          <cell r="AM3" t="str">
            <v>חזק מאוד</v>
          </cell>
          <cell r="AN3" t="str">
            <v>חלש רב רשותי</v>
          </cell>
          <cell r="AO3" t="str">
            <v>חזק מאוד</v>
          </cell>
          <cell r="AP3" t="str">
            <v>חזק מאוד</v>
          </cell>
          <cell r="AQ3" t="str">
            <v xml:space="preserve">חזק </v>
          </cell>
          <cell r="AR3" t="str">
            <v>חזק מאוד</v>
          </cell>
          <cell r="AS3" t="str">
            <v>חלש רב רשותי</v>
          </cell>
          <cell r="AT3" t="str">
            <v>חלש</v>
          </cell>
          <cell r="AU3" t="str">
            <v>חזק מאוד</v>
          </cell>
          <cell r="AV3" t="str">
            <v>בינוני</v>
          </cell>
          <cell r="AW3" t="str">
            <v>חלש</v>
          </cell>
          <cell r="AX3" t="str">
            <v>חלש רב רשותי</v>
          </cell>
          <cell r="AY3" t="str">
            <v xml:space="preserve">חזק </v>
          </cell>
          <cell r="AZ3" t="str">
            <v>חזק מאוד</v>
          </cell>
          <cell r="BA3" t="str">
            <v>חלש רב רשותי</v>
          </cell>
          <cell r="BB3" t="str">
            <v>חלש רב רשותי</v>
          </cell>
          <cell r="BC3" t="str">
            <v>חלש רב רשותי</v>
          </cell>
          <cell r="BD3" t="str">
            <v>חזק מאוד</v>
          </cell>
          <cell r="BE3" t="str">
            <v>חזק מאוד</v>
          </cell>
          <cell r="BF3" t="str">
            <v xml:space="preserve">חזק </v>
          </cell>
        </row>
        <row r="4">
          <cell r="A4" t="str">
            <v>שנת ההצמדה</v>
          </cell>
          <cell r="C4">
            <v>2009</v>
          </cell>
          <cell r="D4">
            <v>2009</v>
          </cell>
          <cell r="E4">
            <v>2009</v>
          </cell>
          <cell r="F4">
            <v>2009</v>
          </cell>
          <cell r="G4">
            <v>2009</v>
          </cell>
          <cell r="H4">
            <v>2009</v>
          </cell>
          <cell r="I4">
            <v>2009</v>
          </cell>
          <cell r="J4">
            <v>2009</v>
          </cell>
          <cell r="K4">
            <v>2009</v>
          </cell>
          <cell r="L4">
            <v>2009</v>
          </cell>
          <cell r="M4">
            <v>2009</v>
          </cell>
          <cell r="N4">
            <v>2009</v>
          </cell>
          <cell r="O4">
            <v>2009</v>
          </cell>
          <cell r="P4">
            <v>2009</v>
          </cell>
          <cell r="Q4">
            <v>2009</v>
          </cell>
          <cell r="R4">
            <v>2009</v>
          </cell>
          <cell r="S4">
            <v>2009</v>
          </cell>
          <cell r="T4">
            <v>2009</v>
          </cell>
          <cell r="U4">
            <v>2009</v>
          </cell>
          <cell r="V4">
            <v>2009</v>
          </cell>
          <cell r="W4">
            <v>2009</v>
          </cell>
          <cell r="X4">
            <v>2009</v>
          </cell>
          <cell r="Y4">
            <v>2009</v>
          </cell>
          <cell r="Z4">
            <v>2009</v>
          </cell>
          <cell r="AA4">
            <v>2009</v>
          </cell>
          <cell r="AB4">
            <v>2009</v>
          </cell>
          <cell r="AC4">
            <v>2009</v>
          </cell>
          <cell r="AD4">
            <v>2009</v>
          </cell>
          <cell r="AE4">
            <v>2009</v>
          </cell>
          <cell r="AF4">
            <v>2009</v>
          </cell>
          <cell r="AG4">
            <v>2009</v>
          </cell>
          <cell r="AH4">
            <v>2009</v>
          </cell>
          <cell r="AI4">
            <v>2009</v>
          </cell>
          <cell r="AJ4">
            <v>2009</v>
          </cell>
          <cell r="AK4">
            <v>2009</v>
          </cell>
          <cell r="AL4">
            <v>2009</v>
          </cell>
          <cell r="AM4">
            <v>2009</v>
          </cell>
          <cell r="AN4">
            <v>2009</v>
          </cell>
          <cell r="AO4">
            <v>2009</v>
          </cell>
          <cell r="AP4">
            <v>2009</v>
          </cell>
          <cell r="AQ4">
            <v>2009</v>
          </cell>
          <cell r="AR4">
            <v>2009</v>
          </cell>
          <cell r="AS4">
            <v>2009</v>
          </cell>
          <cell r="AT4">
            <v>2009</v>
          </cell>
          <cell r="AU4">
            <v>2009</v>
          </cell>
          <cell r="AV4">
            <v>2009</v>
          </cell>
          <cell r="AW4">
            <v>2009</v>
          </cell>
          <cell r="AX4">
            <v>2009</v>
          </cell>
          <cell r="AY4">
            <v>2009</v>
          </cell>
          <cell r="AZ4">
            <v>2009</v>
          </cell>
          <cell r="BA4">
            <v>2009</v>
          </cell>
          <cell r="BB4">
            <v>2009</v>
          </cell>
          <cell r="BC4">
            <v>2009</v>
          </cell>
          <cell r="BD4">
            <v>2010</v>
          </cell>
          <cell r="BE4">
            <v>2009</v>
          </cell>
          <cell r="BF4">
            <v>2009</v>
          </cell>
        </row>
        <row r="5">
          <cell r="A5" t="str">
            <v>שנת מפקד</v>
          </cell>
          <cell r="C5">
            <v>2009</v>
          </cell>
          <cell r="D5">
            <v>2006</v>
          </cell>
          <cell r="E5">
            <v>2009</v>
          </cell>
          <cell r="F5">
            <v>2008</v>
          </cell>
          <cell r="G5">
            <v>2005</v>
          </cell>
          <cell r="H5">
            <v>2007</v>
          </cell>
          <cell r="I5">
            <v>2003</v>
          </cell>
          <cell r="J5">
            <v>2005</v>
          </cell>
          <cell r="K5">
            <v>2003</v>
          </cell>
          <cell r="L5">
            <v>2008</v>
          </cell>
          <cell r="M5">
            <v>2008</v>
          </cell>
          <cell r="N5">
            <v>2008</v>
          </cell>
          <cell r="O5">
            <v>2008</v>
          </cell>
          <cell r="P5">
            <v>2008</v>
          </cell>
          <cell r="Q5">
            <v>2008</v>
          </cell>
          <cell r="R5">
            <v>2008</v>
          </cell>
          <cell r="S5">
            <v>2008</v>
          </cell>
          <cell r="T5">
            <v>2008</v>
          </cell>
          <cell r="U5">
            <v>2008</v>
          </cell>
          <cell r="V5">
            <v>2008</v>
          </cell>
          <cell r="W5">
            <v>2008</v>
          </cell>
          <cell r="X5">
            <v>2008</v>
          </cell>
          <cell r="Y5">
            <v>2008</v>
          </cell>
          <cell r="Z5">
            <v>2008</v>
          </cell>
          <cell r="AA5">
            <v>2008</v>
          </cell>
          <cell r="AB5">
            <v>2008</v>
          </cell>
          <cell r="AC5">
            <v>2008</v>
          </cell>
          <cell r="AD5">
            <v>2008</v>
          </cell>
          <cell r="AE5">
            <v>2008</v>
          </cell>
          <cell r="AF5">
            <v>2008</v>
          </cell>
          <cell r="AG5">
            <v>2008</v>
          </cell>
          <cell r="AH5">
            <v>2008</v>
          </cell>
          <cell r="AI5">
            <v>2008</v>
          </cell>
          <cell r="AJ5">
            <v>2008</v>
          </cell>
          <cell r="AK5">
            <v>2008</v>
          </cell>
          <cell r="AL5">
            <v>2008</v>
          </cell>
          <cell r="AM5">
            <v>2008</v>
          </cell>
          <cell r="AN5">
            <v>2008</v>
          </cell>
          <cell r="AO5">
            <v>2008</v>
          </cell>
          <cell r="AP5">
            <v>2008</v>
          </cell>
          <cell r="AQ5">
            <v>2008</v>
          </cell>
          <cell r="AR5">
            <v>2008</v>
          </cell>
          <cell r="AS5">
            <v>2008</v>
          </cell>
          <cell r="AT5">
            <v>2009</v>
          </cell>
          <cell r="AU5">
            <v>2009</v>
          </cell>
          <cell r="AV5">
            <v>2008</v>
          </cell>
          <cell r="AW5">
            <v>2008</v>
          </cell>
          <cell r="AX5">
            <v>2008</v>
          </cell>
          <cell r="AY5">
            <v>2008</v>
          </cell>
          <cell r="AZ5">
            <v>2009</v>
          </cell>
          <cell r="BA5">
            <v>2008</v>
          </cell>
          <cell r="BB5">
            <v>2008</v>
          </cell>
          <cell r="BC5">
            <v>2008</v>
          </cell>
          <cell r="BD5">
            <v>2010</v>
          </cell>
          <cell r="BE5">
            <v>2009</v>
          </cell>
          <cell r="BF5">
            <v>2009</v>
          </cell>
        </row>
        <row r="6">
          <cell r="A6" t="str">
            <v>שנת הקמה</v>
          </cell>
          <cell r="C6">
            <v>2004</v>
          </cell>
          <cell r="D6">
            <v>2008</v>
          </cell>
          <cell r="E6">
            <v>2003</v>
          </cell>
          <cell r="F6">
            <v>2008</v>
          </cell>
          <cell r="G6">
            <v>2006</v>
          </cell>
          <cell r="H6">
            <v>2003</v>
          </cell>
          <cell r="I6">
            <v>2003</v>
          </cell>
          <cell r="J6">
            <v>2006</v>
          </cell>
          <cell r="K6">
            <v>2003</v>
          </cell>
          <cell r="L6">
            <v>2008</v>
          </cell>
          <cell r="M6">
            <v>2008</v>
          </cell>
          <cell r="N6">
            <v>2007</v>
          </cell>
          <cell r="O6">
            <v>2008</v>
          </cell>
          <cell r="P6">
            <v>2008</v>
          </cell>
          <cell r="Q6">
            <v>2009</v>
          </cell>
          <cell r="R6">
            <v>2009</v>
          </cell>
          <cell r="S6">
            <v>2009</v>
          </cell>
          <cell r="T6">
            <v>2009</v>
          </cell>
          <cell r="U6">
            <v>2009</v>
          </cell>
          <cell r="V6">
            <v>2009</v>
          </cell>
          <cell r="W6">
            <v>2009</v>
          </cell>
          <cell r="X6">
            <v>2009</v>
          </cell>
          <cell r="Y6">
            <v>2009</v>
          </cell>
          <cell r="Z6">
            <v>2009</v>
          </cell>
          <cell r="AA6">
            <v>2010</v>
          </cell>
          <cell r="AB6">
            <v>2009</v>
          </cell>
          <cell r="AC6">
            <v>2010</v>
          </cell>
          <cell r="AD6">
            <v>2009</v>
          </cell>
          <cell r="AE6">
            <v>2010</v>
          </cell>
          <cell r="AF6">
            <v>2009</v>
          </cell>
          <cell r="AG6">
            <v>2010</v>
          </cell>
          <cell r="AH6">
            <v>2010</v>
          </cell>
          <cell r="AI6">
            <v>2009</v>
          </cell>
          <cell r="AJ6">
            <v>2009</v>
          </cell>
          <cell r="AK6">
            <v>2013</v>
          </cell>
          <cell r="AL6">
            <v>2010</v>
          </cell>
          <cell r="AM6">
            <v>2010</v>
          </cell>
          <cell r="AN6">
            <v>2011</v>
          </cell>
          <cell r="AO6">
            <v>2012</v>
          </cell>
          <cell r="AP6">
            <v>2010</v>
          </cell>
          <cell r="AQ6">
            <v>2009</v>
          </cell>
          <cell r="AR6">
            <v>2010</v>
          </cell>
          <cell r="AS6">
            <v>2010</v>
          </cell>
          <cell r="AT6">
            <v>2010</v>
          </cell>
          <cell r="AU6">
            <v>2010</v>
          </cell>
          <cell r="AV6">
            <v>2010</v>
          </cell>
          <cell r="AW6">
            <v>2010</v>
          </cell>
          <cell r="AX6">
            <v>2010</v>
          </cell>
          <cell r="AY6">
            <v>2010</v>
          </cell>
          <cell r="AZ6">
            <v>2010</v>
          </cell>
          <cell r="BA6">
            <v>2010</v>
          </cell>
          <cell r="BB6">
            <v>2010</v>
          </cell>
          <cell r="BC6">
            <v>2010</v>
          </cell>
          <cell r="BD6">
            <v>2011</v>
          </cell>
          <cell r="BE6">
            <v>2013</v>
          </cell>
          <cell r="BF6">
            <v>2016</v>
          </cell>
        </row>
        <row r="8">
          <cell r="A8" t="str">
            <v>רשימת הישובים</v>
          </cell>
          <cell r="B8">
            <v>1</v>
          </cell>
          <cell r="C8" t="str">
            <v xml:space="preserve">פתח תקוה </v>
          </cell>
          <cell r="D8" t="str">
            <v>קרית שמונה</v>
          </cell>
          <cell r="E8" t="str">
            <v>נתניה</v>
          </cell>
          <cell r="F8" t="str">
            <v>אריאל</v>
          </cell>
          <cell r="G8" t="str">
            <v>מודיעין-מכבים-רעות</v>
          </cell>
          <cell r="H8" t="str">
            <v xml:space="preserve">ירושלים </v>
          </cell>
          <cell r="I8" t="str">
            <v>ראשון לציון</v>
          </cell>
          <cell r="J8" t="str">
            <v xml:space="preserve">אילת </v>
          </cell>
          <cell r="K8" t="str">
            <v xml:space="preserve">נצרת עילית </v>
          </cell>
          <cell r="L8" t="str">
            <v>טבריה</v>
          </cell>
          <cell r="M8" t="str">
            <v>אשדוד</v>
          </cell>
          <cell r="N8" t="str">
            <v>באר שבע</v>
          </cell>
          <cell r="O8" t="str">
            <v>חולון</v>
          </cell>
          <cell r="P8" t="str">
            <v>צפת</v>
          </cell>
          <cell r="Q8" t="str">
            <v>בני ברק</v>
          </cell>
          <cell r="R8" t="str">
            <v>נס ציונה</v>
          </cell>
          <cell r="S8" t="str">
            <v>לוד</v>
          </cell>
          <cell r="T8" t="str">
            <v>רמלה</v>
          </cell>
          <cell r="U8" t="str">
            <v>חדרה</v>
          </cell>
          <cell r="V8" t="str">
            <v>כפר כנא</v>
          </cell>
          <cell r="W8" t="str">
            <v>אום אל-פחם</v>
          </cell>
          <cell r="X8" t="str">
            <v>נצרת</v>
          </cell>
          <cell r="Y8" t="str">
            <v>מעלות-תרשיחא</v>
          </cell>
          <cell r="Z8" t="str">
            <v>קריית אתא</v>
          </cell>
          <cell r="AA8" t="str">
            <v>רעננה</v>
          </cell>
          <cell r="AB8" t="str">
            <v>קריית גת</v>
          </cell>
          <cell r="AC8" t="str">
            <v>הרצליה</v>
          </cell>
          <cell r="AD8" t="str">
            <v>רמת השרון</v>
          </cell>
          <cell r="AE8" t="str">
            <v>חיפה</v>
          </cell>
          <cell r="AF8" t="str">
            <v>יבנה</v>
          </cell>
          <cell r="AG8" t="str">
            <v>כרמיאל</v>
          </cell>
          <cell r="AH8" t="str">
            <v>רהט</v>
          </cell>
          <cell r="AI8" t="str">
            <v>ראש העין</v>
          </cell>
          <cell r="AJ8" t="str">
            <v>קריית מוצקין</v>
          </cell>
          <cell r="AK8" t="str">
            <v>קריית ביאליק</v>
          </cell>
          <cell r="AL8" t="str">
            <v>תל אביב-יפו</v>
          </cell>
          <cell r="AM8" t="str">
            <v>אבן יהודה</v>
          </cell>
          <cell r="AN8" t="str">
            <v>תל שבע</v>
          </cell>
          <cell r="AO8" t="str">
            <v>רמת גן</v>
          </cell>
          <cell r="AP8" t="str">
            <v xml:space="preserve">גבעתיים </v>
          </cell>
          <cell r="AQ8" t="str">
            <v xml:space="preserve">בת ים </v>
          </cell>
          <cell r="AR8" t="str">
            <v xml:space="preserve">קרית אונו </v>
          </cell>
          <cell r="AS8" t="str">
            <v xml:space="preserve">שפרעם </v>
          </cell>
          <cell r="AT8" t="str">
            <v>בית שמש</v>
          </cell>
          <cell r="AU8" t="str">
            <v>הוד השרון</v>
          </cell>
          <cell r="AV8" t="str">
            <v xml:space="preserve">אשקלון </v>
          </cell>
          <cell r="AW8" t="str">
            <v>עכו</v>
          </cell>
          <cell r="AY8" t="str">
            <v>קריית ים</v>
          </cell>
          <cell r="AZ8" t="str">
            <v>קריית טבעון</v>
          </cell>
          <cell r="BA8" t="str">
            <v>דימונה</v>
          </cell>
          <cell r="BB8" t="str">
            <v>אבו סנאן</v>
          </cell>
          <cell r="BC8" t="str">
            <v>דיר אלאסד</v>
          </cell>
          <cell r="BD8" t="str">
            <v>כפר סבא</v>
          </cell>
          <cell r="BE8" t="str">
            <v>גני תקווה</v>
          </cell>
          <cell r="BF8" t="str">
            <v>רחובות</v>
          </cell>
        </row>
        <row r="9">
          <cell r="B9">
            <v>2</v>
          </cell>
          <cell r="C9" t="str">
            <v>אלעד</v>
          </cell>
          <cell r="D9" t="str">
            <v xml:space="preserve">מטולה </v>
          </cell>
          <cell r="F9" t="str">
            <v>קרני שומרון</v>
          </cell>
          <cell r="H9" t="str">
            <v>אבו גוש</v>
          </cell>
          <cell r="K9" t="str">
            <v>מגדל העמק</v>
          </cell>
          <cell r="L9" t="str">
            <v>מגדל</v>
          </cell>
          <cell r="N9" t="str">
            <v>אופקים</v>
          </cell>
          <cell r="O9" t="str">
            <v>אזור</v>
          </cell>
          <cell r="P9" t="str">
            <v>חצור הגלילית</v>
          </cell>
          <cell r="R9" t="str">
            <v>קריית עקרון</v>
          </cell>
          <cell r="T9" t="str">
            <v>גדרה</v>
          </cell>
          <cell r="V9" t="str">
            <v>טורעאן</v>
          </cell>
          <cell r="W9" t="str">
            <v>ערערה</v>
          </cell>
          <cell r="X9" t="str">
            <v>ריינה</v>
          </cell>
          <cell r="Y9" t="str">
            <v>שלומי</v>
          </cell>
          <cell r="AF9" t="str">
            <v>גן יבנה</v>
          </cell>
          <cell r="AJ9" t="str">
            <v>רכסים</v>
          </cell>
          <cell r="AM9" t="str">
            <v>כפר יונה</v>
          </cell>
          <cell r="AN9" t="str">
            <v>כסיפה</v>
          </cell>
          <cell r="AR9" t="str">
            <v>יהוד מונוסון</v>
          </cell>
          <cell r="AS9" t="str">
            <v xml:space="preserve">כפר מנדא </v>
          </cell>
          <cell r="AV9" t="str">
            <v>נתיבות</v>
          </cell>
          <cell r="AX9" t="str">
            <v xml:space="preserve">ג'לג'וליה </v>
          </cell>
          <cell r="AZ9" t="str">
            <v>יקנעם עילית</v>
          </cell>
          <cell r="BA9" t="str">
            <v>ערד</v>
          </cell>
          <cell r="BB9" t="str">
            <v>ג'דידה אלמכר</v>
          </cell>
          <cell r="BC9" t="str">
            <v>דיר חנא</v>
          </cell>
          <cell r="BD9" t="str">
            <v>צור יגאל</v>
          </cell>
          <cell r="BF9" t="str">
            <v>באר יעקב</v>
          </cell>
        </row>
        <row r="10">
          <cell r="B10">
            <v>3</v>
          </cell>
          <cell r="C10" t="str">
            <v>כפר ברא</v>
          </cell>
          <cell r="D10" t="str">
            <v>קצרין</v>
          </cell>
          <cell r="H10" t="str">
            <v>מבשרת ציון</v>
          </cell>
          <cell r="K10" t="str">
            <v>עפולה</v>
          </cell>
          <cell r="L10" t="str">
            <v>יבניאל</v>
          </cell>
          <cell r="O10" t="str">
            <v>בית דגן</v>
          </cell>
          <cell r="P10" t="str">
            <v>טובא-זנגרייה</v>
          </cell>
          <cell r="R10" t="str">
            <v>מזכרת בתיה</v>
          </cell>
          <cell r="T10" t="str">
            <v>קריית מלאכי</v>
          </cell>
          <cell r="V10" t="str">
            <v>בועיינה-נוג'ידאת</v>
          </cell>
          <cell r="W10" t="str">
            <v>כפר קרע</v>
          </cell>
          <cell r="X10" t="str">
            <v>יפיע</v>
          </cell>
          <cell r="Y10" t="str">
            <v>כפר ורדים</v>
          </cell>
          <cell r="AM10" t="str">
            <v>פרדסיה</v>
          </cell>
          <cell r="AN10" t="str">
            <v>ערערה בנגב</v>
          </cell>
          <cell r="AS10" t="str">
            <v>זרזיר</v>
          </cell>
          <cell r="AX10" t="str">
            <v>כפר קאסם</v>
          </cell>
          <cell r="AZ10" t="str">
            <v>רמת ישי</v>
          </cell>
          <cell r="BA10" t="str">
            <v>ירוחם</v>
          </cell>
          <cell r="BB10" t="str">
            <v xml:space="preserve">ג'וליס </v>
          </cell>
          <cell r="BC10" t="str">
            <v>נחף</v>
          </cell>
        </row>
        <row r="11">
          <cell r="B11">
            <v>4</v>
          </cell>
          <cell r="D11" t="str">
            <v>מג'דל שמס</v>
          </cell>
          <cell r="L11" t="str">
            <v>כפר כמא</v>
          </cell>
          <cell r="O11" t="str">
            <v>אור יהודה</v>
          </cell>
          <cell r="P11" t="str">
            <v>גוש חלב</v>
          </cell>
          <cell r="T11" t="str">
            <v>בני עייש</v>
          </cell>
          <cell r="V11" t="str">
            <v>דבורייה</v>
          </cell>
          <cell r="W11" t="str">
            <v>מעלה עירון</v>
          </cell>
          <cell r="X11" t="str">
            <v>עילוט</v>
          </cell>
          <cell r="Y11" t="str">
            <v>כסרא-סמיע</v>
          </cell>
          <cell r="AM11" t="str">
            <v>קדימה צורן</v>
          </cell>
          <cell r="AN11" t="str">
            <v>לקיה</v>
          </cell>
          <cell r="AS11" t="str">
            <v xml:space="preserve">כאבול </v>
          </cell>
          <cell r="AX11" t="str">
            <v>טירה</v>
          </cell>
          <cell r="BA11" t="str">
            <v>מצפה רמון</v>
          </cell>
          <cell r="BB11" t="str">
            <v>כפר יאסיף</v>
          </cell>
          <cell r="BC11" t="str">
            <v>עראבה</v>
          </cell>
        </row>
        <row r="12">
          <cell r="B12">
            <v>5</v>
          </cell>
          <cell r="D12" t="str">
            <v>מסעדה</v>
          </cell>
          <cell r="P12" t="str">
            <v>יסוד המעלה</v>
          </cell>
          <cell r="V12" t="str">
            <v>עין מאהל</v>
          </cell>
          <cell r="W12" t="str">
            <v>בסמ"ה</v>
          </cell>
          <cell r="X12" t="str">
            <v>אכסאל</v>
          </cell>
          <cell r="AM12" t="str">
            <v>תל מונד</v>
          </cell>
          <cell r="AN12" t="str">
            <v>חורה</v>
          </cell>
          <cell r="AS12" t="str">
            <v>טמרה</v>
          </cell>
          <cell r="BB12" t="str">
            <v>ירכא</v>
          </cell>
          <cell r="BC12" t="str">
            <v>סכנין</v>
          </cell>
        </row>
        <row r="13">
          <cell r="B13">
            <v>6</v>
          </cell>
          <cell r="D13" t="str">
            <v>עין קיניא</v>
          </cell>
          <cell r="P13" t="str">
            <v>פקיעין</v>
          </cell>
          <cell r="V13" t="str">
            <v>משהד</v>
          </cell>
          <cell r="W13" t="str">
            <v>באקה ג'את</v>
          </cell>
          <cell r="AN13" t="str">
            <v>שגב שלום</v>
          </cell>
          <cell r="AS13" t="str">
            <v xml:space="preserve">בסמת טבעון </v>
          </cell>
          <cell r="BB13" t="str">
            <v>מזרעה</v>
          </cell>
          <cell r="BC13" t="str">
            <v>בענה</v>
          </cell>
        </row>
        <row r="14">
          <cell r="B14">
            <v>7</v>
          </cell>
          <cell r="D14" t="str">
            <v>בוקעאתא</v>
          </cell>
          <cell r="P14" t="str">
            <v>חורפיש</v>
          </cell>
          <cell r="V14" t="str">
            <v>שיבלי</v>
          </cell>
          <cell r="W14" t="str">
            <v>זמר</v>
          </cell>
          <cell r="AS14" t="str">
            <v xml:space="preserve">שעב </v>
          </cell>
          <cell r="BB14" t="str">
            <v>יאנוח ג'ת</v>
          </cell>
          <cell r="BC14" t="str">
            <v>מג'דל כרום</v>
          </cell>
        </row>
        <row r="15">
          <cell r="B15">
            <v>8</v>
          </cell>
          <cell r="P15" t="str">
            <v>פסוטה</v>
          </cell>
          <cell r="AS15" t="str">
            <v xml:space="preserve">אעבלין  </v>
          </cell>
        </row>
        <row r="16">
          <cell r="B16">
            <v>9</v>
          </cell>
          <cell r="P16" t="str">
            <v>מגאר</v>
          </cell>
          <cell r="AS16" t="str">
            <v>כאוכב</v>
          </cell>
        </row>
        <row r="17">
          <cell r="B17">
            <v>10</v>
          </cell>
          <cell r="P17" t="str">
            <v>ראמה</v>
          </cell>
          <cell r="AS17" t="str">
            <v>ביר אל מכסור</v>
          </cell>
        </row>
        <row r="18">
          <cell r="B18">
            <v>11</v>
          </cell>
          <cell r="P18" t="str">
            <v>סאג'ור</v>
          </cell>
          <cell r="AS18" t="str">
            <v>כעביה</v>
          </cell>
        </row>
        <row r="19">
          <cell r="B19">
            <v>12</v>
          </cell>
          <cell r="P19" t="str">
            <v>עילבון</v>
          </cell>
        </row>
        <row r="20">
          <cell r="B20">
            <v>13</v>
          </cell>
          <cell r="P20" t="str">
            <v>בית ג'אן</v>
          </cell>
        </row>
        <row r="21">
          <cell r="B21">
            <v>14</v>
          </cell>
        </row>
        <row r="22">
          <cell r="B22">
            <v>15</v>
          </cell>
        </row>
        <row r="23">
          <cell r="B23">
            <v>16</v>
          </cell>
        </row>
        <row r="24">
          <cell r="B24">
            <v>17</v>
          </cell>
        </row>
        <row r="25">
          <cell r="B25">
            <v>18</v>
          </cell>
        </row>
        <row r="26">
          <cell r="B26">
            <v>19</v>
          </cell>
        </row>
        <row r="27">
          <cell r="B27">
            <v>20</v>
          </cell>
        </row>
        <row r="28">
          <cell r="B28">
            <v>21</v>
          </cell>
        </row>
        <row r="29">
          <cell r="B29">
            <v>22</v>
          </cell>
        </row>
        <row r="30">
          <cell r="B30">
            <v>23</v>
          </cell>
        </row>
        <row r="31">
          <cell r="B31">
            <v>24</v>
          </cell>
        </row>
        <row r="32">
          <cell r="B32">
            <v>25</v>
          </cell>
        </row>
        <row r="33">
          <cell r="B33">
            <v>26</v>
          </cell>
        </row>
        <row r="34">
          <cell r="B34">
            <v>27</v>
          </cell>
        </row>
        <row r="35">
          <cell r="B35">
            <v>28</v>
          </cell>
        </row>
        <row r="36">
          <cell r="B36">
            <v>29</v>
          </cell>
        </row>
        <row r="37">
          <cell r="B37">
            <v>30</v>
          </cell>
        </row>
        <row r="39">
          <cell r="C39" t="str">
            <v xml:space="preserve">פתח תקוה  אלעד כפר ברא                          </v>
          </cell>
          <cell r="D39" t="str">
            <v xml:space="preserve">קרית שמונה מטולה  קצרין מג'דל שמס מסעדה עין קיניא בוקעאתא                      </v>
          </cell>
          <cell r="E39" t="str">
            <v xml:space="preserve">נתניה                            </v>
          </cell>
          <cell r="F39" t="str">
            <v xml:space="preserve">אריאל קרני שומרון                           </v>
          </cell>
          <cell r="G39" t="str">
            <v xml:space="preserve">מודיעין-מכבים-רעות                            </v>
          </cell>
          <cell r="H39" t="str">
            <v xml:space="preserve">ירושלים  אבו גוש מבשרת ציון                          </v>
          </cell>
          <cell r="I39" t="str">
            <v xml:space="preserve">ראשון לציון                            </v>
          </cell>
          <cell r="J39" t="str">
            <v xml:space="preserve">אילת                             </v>
          </cell>
          <cell r="K39" t="str">
            <v xml:space="preserve">נצרת עילית  מגדל העמק עפולה                          </v>
          </cell>
          <cell r="L39" t="str">
            <v xml:space="preserve">טבריה מגדל יבניאל כפר כמא                         </v>
          </cell>
          <cell r="M39" t="str">
            <v xml:space="preserve">אשדוד                            </v>
          </cell>
          <cell r="N39" t="str">
            <v xml:space="preserve">באר שבע אופקים                           </v>
          </cell>
          <cell r="O39" t="str">
            <v xml:space="preserve">חולון אזור בית דגן אור יהודה                         </v>
          </cell>
          <cell r="P39" t="str">
            <v xml:space="preserve">צפת חצור הגלילית טובא-זנגרייה גוש חלב יסוד המעלה פקיעין חורפיש פסוטה מגאר ראמה סאג'ור עילבון בית ג'אן                </v>
          </cell>
          <cell r="Q39" t="str">
            <v xml:space="preserve">בני ברק                            </v>
          </cell>
          <cell r="R39" t="str">
            <v xml:space="preserve">נס ציונה קריית עקרון מזכרת בתיה                          </v>
          </cell>
          <cell r="S39" t="str">
            <v xml:space="preserve">לוד                            </v>
          </cell>
          <cell r="T39" t="str">
            <v xml:space="preserve">רמלה גדרה קריית מלאכי בני עייש                         </v>
          </cell>
          <cell r="U39" t="str">
            <v xml:space="preserve">חדרה                            </v>
          </cell>
          <cell r="V39" t="str">
            <v xml:space="preserve">כפר כנא טורעאן בועיינה-נוג'ידאת דבורייה עין מאהל משהד שיבלי                      </v>
          </cell>
          <cell r="W39" t="str">
            <v xml:space="preserve">אום אל-פחם ערערה כפר קרע מעלה עירון בסמ"ה באקה ג'את זמר                      </v>
          </cell>
          <cell r="X39" t="str">
            <v xml:space="preserve">נצרת ריינה יפיע עילוט אכסאל                        </v>
          </cell>
          <cell r="Y39" t="str">
            <v xml:space="preserve">מעלות-תרשיחא שלומי כפר ורדים כסרא-סמיע                         </v>
          </cell>
          <cell r="Z39" t="str">
            <v xml:space="preserve">קריית אתא                            </v>
          </cell>
          <cell r="AA39" t="str">
            <v xml:space="preserve">רעננה                            </v>
          </cell>
          <cell r="AB39" t="str">
            <v xml:space="preserve">קריית גת                            </v>
          </cell>
          <cell r="AC39" t="str">
            <v xml:space="preserve">הרצליה                            </v>
          </cell>
          <cell r="AD39" t="str">
            <v xml:space="preserve">רמת השרון                            </v>
          </cell>
          <cell r="AE39" t="str">
            <v xml:space="preserve">חיפה                            </v>
          </cell>
          <cell r="AF39" t="str">
            <v xml:space="preserve">יבנה גן יבנה                           </v>
          </cell>
          <cell r="AG39" t="str">
            <v xml:space="preserve">כרמיאל                            </v>
          </cell>
          <cell r="AH39" t="str">
            <v xml:space="preserve">רהט                            </v>
          </cell>
          <cell r="AI39" t="str">
            <v xml:space="preserve">ראש העין                            </v>
          </cell>
          <cell r="AJ39" t="str">
            <v xml:space="preserve">קריית מוצקין רכסים                           </v>
          </cell>
          <cell r="AK39" t="str">
            <v xml:space="preserve">קריית ביאליק                            </v>
          </cell>
          <cell r="AL39" t="str">
            <v xml:space="preserve">תל אביב-יפו                            </v>
          </cell>
          <cell r="AM39" t="str">
            <v xml:space="preserve">אבן יהודה כפר יונה פרדסיה קדימה צורן תל מונד                        </v>
          </cell>
          <cell r="AN39" t="str">
            <v xml:space="preserve">תל שבע כסיפה ערערה בנגב לקיה חורה שגב שלום                       </v>
          </cell>
          <cell r="AO39" t="str">
            <v xml:space="preserve">רמת גן                            </v>
          </cell>
          <cell r="AP39" t="str">
            <v xml:space="preserve">גבעתיים                             </v>
          </cell>
          <cell r="AQ39" t="str">
            <v xml:space="preserve">בת ים                             </v>
          </cell>
          <cell r="AR39" t="str">
            <v xml:space="preserve">קרית אונו  יהוד מונוסון                           </v>
          </cell>
          <cell r="AS39" t="str">
            <v xml:space="preserve">שפרעם  כפר מנדא  זרזיר כאבול  טמרה בסמת טבעון  שעב  אעבלין   כאוכב ביר אל מכסור כעביה                  </v>
          </cell>
          <cell r="AT39" t="str">
            <v xml:space="preserve">בית שמש                            </v>
          </cell>
          <cell r="AU39" t="str">
            <v xml:space="preserve">הוד השרון                            </v>
          </cell>
          <cell r="AV39" t="str">
            <v xml:space="preserve">אשקלון  נתיבות                           </v>
          </cell>
          <cell r="AW39" t="str">
            <v xml:space="preserve">עכו                            </v>
          </cell>
          <cell r="AX39" t="str">
            <v xml:space="preserve"> ג'לג'וליה  כפר קאסם טירה                         </v>
          </cell>
          <cell r="AY39" t="str">
            <v xml:space="preserve">קריית ים                            </v>
          </cell>
          <cell r="AZ39" t="str">
            <v xml:space="preserve">קריית טבעון יקנעם עילית רמת ישי                          </v>
          </cell>
          <cell r="BA39" t="str">
            <v xml:space="preserve">דימונה ערד ירוחם מצפה רמון                         </v>
          </cell>
          <cell r="BB39" t="str">
            <v xml:space="preserve">אבו סנאן ג'דידה אלמכר ג'וליס  כפר יאסיף ירכא מזרעה יאנוח ג'ת                      </v>
          </cell>
          <cell r="BC39" t="str">
            <v xml:space="preserve">דיר אלאסד דיר חנא נחף עראבה סכנין בענה מג'דל כרום                      </v>
          </cell>
          <cell r="BD39" t="str">
            <v xml:space="preserve">כפר סבא צור יגאל                           </v>
          </cell>
          <cell r="BE39" t="str">
            <v xml:space="preserve">גני תקווה                            </v>
          </cell>
          <cell r="BF39" t="str">
            <v xml:space="preserve">רחובות באר יעקב                           </v>
          </cell>
        </row>
        <row r="43">
          <cell r="A43" t="str">
            <v>ערך כינון מים מלא-בניכוי גריעה נורמטיבית</v>
          </cell>
          <cell r="B43">
            <v>1</v>
          </cell>
          <cell r="C43">
            <v>237768218.65714285</v>
          </cell>
          <cell r="D43">
            <v>22379828.571428571</v>
          </cell>
          <cell r="E43">
            <v>192682129.02857143</v>
          </cell>
          <cell r="F43">
            <v>26886426.899999999</v>
          </cell>
          <cell r="G43">
            <v>93114313.242857143</v>
          </cell>
          <cell r="H43">
            <v>873467966.61428571</v>
          </cell>
          <cell r="I43">
            <v>293958417.21428573</v>
          </cell>
          <cell r="J43">
            <v>69389520</v>
          </cell>
          <cell r="K43">
            <v>43380075.557142854</v>
          </cell>
          <cell r="L43">
            <v>100343003.57142857</v>
          </cell>
          <cell r="M43">
            <v>130406228.57142857</v>
          </cell>
          <cell r="N43">
            <v>210697186.67142856</v>
          </cell>
          <cell r="O43">
            <v>101596011.77142857</v>
          </cell>
          <cell r="P43">
            <v>31678539.857142858</v>
          </cell>
          <cell r="Q43">
            <v>65131364.31428571</v>
          </cell>
          <cell r="R43">
            <v>42639539.700000003</v>
          </cell>
          <cell r="S43">
            <v>30412737.600000001</v>
          </cell>
          <cell r="T43">
            <v>39164397.085714288</v>
          </cell>
          <cell r="U43">
            <v>82343076.171428576</v>
          </cell>
          <cell r="V43">
            <v>13792810.328571428</v>
          </cell>
          <cell r="W43">
            <v>34727209.285714284</v>
          </cell>
          <cell r="X43">
            <v>47291067.857142858</v>
          </cell>
          <cell r="Y43">
            <v>29659306.714285713</v>
          </cell>
          <cell r="Z43">
            <v>49089081.557142854</v>
          </cell>
          <cell r="AA43">
            <v>124930097.85714287</v>
          </cell>
          <cell r="AB43">
            <v>46020586.714285716</v>
          </cell>
          <cell r="AC43">
            <v>126636538</v>
          </cell>
          <cell r="AD43">
            <v>54671243.828571424</v>
          </cell>
          <cell r="AE43">
            <v>445026415.39999998</v>
          </cell>
          <cell r="AF43">
            <v>26004534.300000001</v>
          </cell>
          <cell r="AG43">
            <v>51370831.371428572</v>
          </cell>
          <cell r="AH43">
            <v>47769687.142857142</v>
          </cell>
          <cell r="AI43">
            <v>46046871.857142858</v>
          </cell>
          <cell r="AJ43">
            <v>19903722.514285713</v>
          </cell>
          <cell r="AK43">
            <v>26073448.971428573</v>
          </cell>
          <cell r="AL43">
            <v>543019869.39999998</v>
          </cell>
          <cell r="AM43">
            <v>19443872.27142857</v>
          </cell>
          <cell r="AN43">
            <v>14242795.014285713</v>
          </cell>
          <cell r="AO43">
            <v>163387460.57142857</v>
          </cell>
          <cell r="AP43">
            <v>45305821.857142858</v>
          </cell>
          <cell r="AQ43">
            <v>68289320.657142863</v>
          </cell>
          <cell r="AR43">
            <v>39297267.757142857</v>
          </cell>
          <cell r="AS43">
            <v>32124654.428571429</v>
          </cell>
          <cell r="AT43">
            <v>46792362.257142857</v>
          </cell>
          <cell r="AU43">
            <v>62406171.142857142</v>
          </cell>
          <cell r="AV43">
            <v>88118043.27142857</v>
          </cell>
          <cell r="AW43">
            <v>57768368.257142857</v>
          </cell>
          <cell r="AX43">
            <v>0</v>
          </cell>
          <cell r="AY43">
            <v>21184274.5</v>
          </cell>
          <cell r="AZ43">
            <v>20059148.714285716</v>
          </cell>
          <cell r="BA43">
            <v>30256337.857142858</v>
          </cell>
          <cell r="BB43">
            <v>13043871.714285715</v>
          </cell>
          <cell r="BC43">
            <v>5987609.6619047625</v>
          </cell>
          <cell r="BD43">
            <v>0</v>
          </cell>
          <cell r="BE43">
            <v>17904395.142857142</v>
          </cell>
          <cell r="BF43">
            <v>94580449</v>
          </cell>
        </row>
        <row r="44">
          <cell r="B44">
            <v>2</v>
          </cell>
          <cell r="C44">
            <v>16225347.257142857</v>
          </cell>
          <cell r="D44">
            <v>5199360.8571428573</v>
          </cell>
          <cell r="E44">
            <v>0</v>
          </cell>
          <cell r="F44">
            <v>10372254.985714287</v>
          </cell>
          <cell r="G44">
            <v>0</v>
          </cell>
          <cell r="H44">
            <v>4268553.0714285718</v>
          </cell>
          <cell r="I44">
            <v>0</v>
          </cell>
          <cell r="J44">
            <v>0</v>
          </cell>
          <cell r="K44">
            <v>29687147.142857142</v>
          </cell>
          <cell r="L44">
            <v>7612363.0285714287</v>
          </cell>
          <cell r="M44">
            <v>0</v>
          </cell>
          <cell r="N44">
            <v>26369647.114285715</v>
          </cell>
          <cell r="O44">
            <v>9354864.4285714291</v>
          </cell>
          <cell r="P44">
            <v>15426414.857142856</v>
          </cell>
          <cell r="Q44">
            <v>0</v>
          </cell>
          <cell r="R44">
            <v>10521451.285714285</v>
          </cell>
          <cell r="S44">
            <v>0</v>
          </cell>
          <cell r="T44">
            <v>27530423</v>
          </cell>
          <cell r="U44">
            <v>0</v>
          </cell>
          <cell r="V44">
            <v>8967069</v>
          </cell>
          <cell r="W44">
            <v>5697849.1428571427</v>
          </cell>
          <cell r="X44">
            <v>12362624.142857142</v>
          </cell>
          <cell r="Y44">
            <v>8730406.6285714284</v>
          </cell>
          <cell r="Z44">
            <v>0</v>
          </cell>
          <cell r="AA44">
            <v>0</v>
          </cell>
          <cell r="AB44">
            <v>0</v>
          </cell>
          <cell r="AC44">
            <v>0</v>
          </cell>
          <cell r="AD44">
            <v>0</v>
          </cell>
          <cell r="AE44">
            <v>0</v>
          </cell>
          <cell r="AF44">
            <v>29918057.142857142</v>
          </cell>
          <cell r="AG44">
            <v>0</v>
          </cell>
          <cell r="AH44">
            <v>0</v>
          </cell>
          <cell r="AI44">
            <v>0</v>
          </cell>
          <cell r="AJ44">
            <v>8445194.0571428575</v>
          </cell>
          <cell r="AK44">
            <v>0</v>
          </cell>
          <cell r="AL44">
            <v>0</v>
          </cell>
          <cell r="AM44">
            <v>24253569.128571428</v>
          </cell>
          <cell r="AN44">
            <v>8467305.4285714291</v>
          </cell>
          <cell r="AO44">
            <v>0</v>
          </cell>
          <cell r="AP44">
            <v>0</v>
          </cell>
          <cell r="AQ44">
            <v>0</v>
          </cell>
          <cell r="AR44">
            <v>31596175</v>
          </cell>
          <cell r="AS44">
            <v>8968656.8571428563</v>
          </cell>
          <cell r="AT44">
            <v>0</v>
          </cell>
          <cell r="AU44">
            <v>0</v>
          </cell>
          <cell r="AV44">
            <v>25350599.957142856</v>
          </cell>
          <cell r="AW44">
            <v>0</v>
          </cell>
          <cell r="AX44">
            <v>7635069.3571428573</v>
          </cell>
          <cell r="AY44">
            <v>0</v>
          </cell>
          <cell r="AZ44">
            <v>23255518.385714285</v>
          </cell>
          <cell r="BA44">
            <v>30648814.285714284</v>
          </cell>
          <cell r="BB44">
            <v>16462892.214285715</v>
          </cell>
          <cell r="BC44">
            <v>7033002.2857142854</v>
          </cell>
          <cell r="BD44">
            <v>15106737.142857142</v>
          </cell>
          <cell r="BE44">
            <v>0</v>
          </cell>
          <cell r="BF44">
            <v>20504731</v>
          </cell>
        </row>
        <row r="45">
          <cell r="B45">
            <v>3</v>
          </cell>
          <cell r="C45">
            <v>4426381.4428571425</v>
          </cell>
          <cell r="D45">
            <v>10550972.785714285</v>
          </cell>
          <cell r="E45">
            <v>0</v>
          </cell>
          <cell r="F45">
            <v>0</v>
          </cell>
          <cell r="G45">
            <v>0</v>
          </cell>
          <cell r="H45">
            <v>29578899.128571428</v>
          </cell>
          <cell r="I45">
            <v>0</v>
          </cell>
          <cell r="J45">
            <v>0</v>
          </cell>
          <cell r="K45">
            <v>43708828.114285715</v>
          </cell>
          <cell r="L45">
            <v>0</v>
          </cell>
          <cell r="M45">
            <v>0</v>
          </cell>
          <cell r="N45">
            <v>0</v>
          </cell>
          <cell r="O45">
            <v>6312704.385714286</v>
          </cell>
          <cell r="P45">
            <v>7463962.7142857146</v>
          </cell>
          <cell r="Q45">
            <v>0</v>
          </cell>
          <cell r="R45">
            <v>10120562.571428571</v>
          </cell>
          <cell r="S45">
            <v>0</v>
          </cell>
          <cell r="T45">
            <v>19311068</v>
          </cell>
          <cell r="U45">
            <v>0</v>
          </cell>
          <cell r="V45">
            <v>9531906.4285714291</v>
          </cell>
          <cell r="W45">
            <v>16973060.185714286</v>
          </cell>
          <cell r="X45">
            <v>13204888.714285715</v>
          </cell>
          <cell r="Y45">
            <v>7714572.1714285715</v>
          </cell>
          <cell r="Z45">
            <v>0</v>
          </cell>
          <cell r="AA45">
            <v>0</v>
          </cell>
          <cell r="AB45">
            <v>0</v>
          </cell>
          <cell r="AC45">
            <v>0</v>
          </cell>
          <cell r="AD45">
            <v>0</v>
          </cell>
          <cell r="AE45">
            <v>0</v>
          </cell>
          <cell r="AF45">
            <v>0</v>
          </cell>
          <cell r="AG45">
            <v>0</v>
          </cell>
          <cell r="AH45">
            <v>0</v>
          </cell>
          <cell r="AI45">
            <v>0</v>
          </cell>
          <cell r="AJ45">
            <v>0</v>
          </cell>
          <cell r="AK45">
            <v>0</v>
          </cell>
          <cell r="AL45">
            <v>0</v>
          </cell>
          <cell r="AM45">
            <v>7810757.1428571427</v>
          </cell>
          <cell r="AN45">
            <v>11625467.142857142</v>
          </cell>
          <cell r="AO45">
            <v>0</v>
          </cell>
          <cell r="AP45">
            <v>0</v>
          </cell>
          <cell r="AQ45">
            <v>0</v>
          </cell>
          <cell r="AR45">
            <v>0</v>
          </cell>
          <cell r="AS45">
            <v>3083781.4285714286</v>
          </cell>
          <cell r="AT45">
            <v>0</v>
          </cell>
          <cell r="AU45">
            <v>0</v>
          </cell>
          <cell r="AV45">
            <v>0</v>
          </cell>
          <cell r="AW45">
            <v>0</v>
          </cell>
          <cell r="AX45">
            <v>12588317.285714285</v>
          </cell>
          <cell r="AY45">
            <v>0</v>
          </cell>
          <cell r="AZ45">
            <v>10112279.714285715</v>
          </cell>
          <cell r="BA45">
            <v>17285166.785714287</v>
          </cell>
          <cell r="BB45">
            <v>10926100.428571429</v>
          </cell>
          <cell r="BC45">
            <v>5746468.5142857144</v>
          </cell>
          <cell r="BD45">
            <v>0</v>
          </cell>
          <cell r="BE45">
            <v>0</v>
          </cell>
          <cell r="BF45">
            <v>0</v>
          </cell>
        </row>
        <row r="46">
          <cell r="B46">
            <v>4</v>
          </cell>
          <cell r="C46">
            <v>0</v>
          </cell>
          <cell r="D46">
            <v>7166803</v>
          </cell>
          <cell r="E46">
            <v>0</v>
          </cell>
          <cell r="F46">
            <v>0</v>
          </cell>
          <cell r="G46">
            <v>0</v>
          </cell>
          <cell r="H46">
            <v>0</v>
          </cell>
          <cell r="I46">
            <v>0</v>
          </cell>
          <cell r="J46">
            <v>0</v>
          </cell>
          <cell r="K46">
            <v>0</v>
          </cell>
          <cell r="L46">
            <v>4243757.0571428575</v>
          </cell>
          <cell r="M46">
            <v>0</v>
          </cell>
          <cell r="N46">
            <v>0</v>
          </cell>
          <cell r="O46">
            <v>25950167.571428571</v>
          </cell>
          <cell r="P46">
            <v>2253083.7857142854</v>
          </cell>
          <cell r="Q46">
            <v>0</v>
          </cell>
          <cell r="R46">
            <v>0</v>
          </cell>
          <cell r="S46">
            <v>0</v>
          </cell>
          <cell r="T46">
            <v>4832905</v>
          </cell>
          <cell r="U46">
            <v>0</v>
          </cell>
          <cell r="V46">
            <v>8979872.0142857134</v>
          </cell>
          <cell r="W46">
            <v>1252722.1428571427</v>
          </cell>
          <cell r="X46">
            <v>5612887.7142857146</v>
          </cell>
          <cell r="Y46">
            <v>6669541.5</v>
          </cell>
          <cell r="Z46">
            <v>0</v>
          </cell>
          <cell r="AA46">
            <v>0</v>
          </cell>
          <cell r="AB46">
            <v>0</v>
          </cell>
          <cell r="AC46">
            <v>0</v>
          </cell>
          <cell r="AD46">
            <v>0</v>
          </cell>
          <cell r="AE46">
            <v>0</v>
          </cell>
          <cell r="AF46">
            <v>0</v>
          </cell>
          <cell r="AG46">
            <v>0</v>
          </cell>
          <cell r="AH46">
            <v>0</v>
          </cell>
          <cell r="AI46">
            <v>0</v>
          </cell>
          <cell r="AJ46">
            <v>0</v>
          </cell>
          <cell r="AK46">
            <v>0</v>
          </cell>
          <cell r="AL46">
            <v>0</v>
          </cell>
          <cell r="AM46">
            <v>20759992.014285713</v>
          </cell>
          <cell r="AN46">
            <v>11665966.785714285</v>
          </cell>
          <cell r="AO46">
            <v>0</v>
          </cell>
          <cell r="AP46">
            <v>0</v>
          </cell>
          <cell r="AQ46">
            <v>0</v>
          </cell>
          <cell r="AR46">
            <v>0</v>
          </cell>
          <cell r="AS46">
            <v>10904661.857142858</v>
          </cell>
          <cell r="AT46">
            <v>0</v>
          </cell>
          <cell r="AU46">
            <v>0</v>
          </cell>
          <cell r="AV46">
            <v>0</v>
          </cell>
          <cell r="AW46">
            <v>0</v>
          </cell>
          <cell r="AX46">
            <v>17372157.757142857</v>
          </cell>
          <cell r="AY46">
            <v>0</v>
          </cell>
          <cell r="AZ46">
            <v>0</v>
          </cell>
          <cell r="BA46">
            <v>11596816.642857142</v>
          </cell>
          <cell r="BB46">
            <v>8696482</v>
          </cell>
          <cell r="BC46">
            <v>14117524.214285715</v>
          </cell>
          <cell r="BD46">
            <v>0</v>
          </cell>
          <cell r="BE46">
            <v>0</v>
          </cell>
          <cell r="BF46">
            <v>0</v>
          </cell>
        </row>
        <row r="47">
          <cell r="B47">
            <v>5</v>
          </cell>
          <cell r="C47">
            <v>0</v>
          </cell>
          <cell r="D47">
            <v>4602310</v>
          </cell>
          <cell r="E47">
            <v>0</v>
          </cell>
          <cell r="F47">
            <v>0</v>
          </cell>
          <cell r="G47">
            <v>0</v>
          </cell>
          <cell r="H47">
            <v>0</v>
          </cell>
          <cell r="I47">
            <v>0</v>
          </cell>
          <cell r="J47">
            <v>0</v>
          </cell>
          <cell r="K47">
            <v>0</v>
          </cell>
          <cell r="L47">
            <v>0</v>
          </cell>
          <cell r="M47">
            <v>0</v>
          </cell>
          <cell r="N47">
            <v>0</v>
          </cell>
          <cell r="O47">
            <v>0</v>
          </cell>
          <cell r="P47">
            <v>3222464.057142857</v>
          </cell>
          <cell r="Q47">
            <v>0</v>
          </cell>
          <cell r="R47">
            <v>0</v>
          </cell>
          <cell r="S47">
            <v>0</v>
          </cell>
          <cell r="T47">
            <v>0</v>
          </cell>
          <cell r="U47">
            <v>0</v>
          </cell>
          <cell r="V47">
            <v>7648014.0714285709</v>
          </cell>
          <cell r="W47">
            <v>0</v>
          </cell>
          <cell r="X47">
            <v>7363042.5857142862</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14971175.828571428</v>
          </cell>
          <cell r="AN47">
            <v>14859534.642857142</v>
          </cell>
          <cell r="AO47">
            <v>0</v>
          </cell>
          <cell r="AP47">
            <v>0</v>
          </cell>
          <cell r="AQ47">
            <v>0</v>
          </cell>
          <cell r="AR47">
            <v>0</v>
          </cell>
          <cell r="AS47">
            <v>16473561.857142856</v>
          </cell>
          <cell r="AT47">
            <v>0</v>
          </cell>
          <cell r="AU47">
            <v>0</v>
          </cell>
          <cell r="AV47">
            <v>0</v>
          </cell>
          <cell r="AW47">
            <v>0</v>
          </cell>
          <cell r="AX47">
            <v>0</v>
          </cell>
          <cell r="AY47">
            <v>0</v>
          </cell>
          <cell r="AZ47">
            <v>0</v>
          </cell>
          <cell r="BA47">
            <v>0</v>
          </cell>
          <cell r="BB47">
            <v>15756807.185714286</v>
          </cell>
          <cell r="BC47">
            <v>17920601</v>
          </cell>
          <cell r="BD47">
            <v>0</v>
          </cell>
          <cell r="BE47">
            <v>0</v>
          </cell>
          <cell r="BF47">
            <v>0</v>
          </cell>
        </row>
        <row r="48">
          <cell r="B48">
            <v>6</v>
          </cell>
          <cell r="C48">
            <v>0</v>
          </cell>
          <cell r="D48">
            <v>3975970</v>
          </cell>
          <cell r="E48">
            <v>0</v>
          </cell>
          <cell r="F48">
            <v>0</v>
          </cell>
          <cell r="G48">
            <v>0</v>
          </cell>
          <cell r="H48">
            <v>0</v>
          </cell>
          <cell r="I48">
            <v>0</v>
          </cell>
          <cell r="J48">
            <v>0</v>
          </cell>
          <cell r="K48">
            <v>0</v>
          </cell>
          <cell r="L48">
            <v>0</v>
          </cell>
          <cell r="M48">
            <v>0</v>
          </cell>
          <cell r="N48">
            <v>0</v>
          </cell>
          <cell r="O48">
            <v>0</v>
          </cell>
          <cell r="P48">
            <v>7510755.7142857146</v>
          </cell>
          <cell r="Q48">
            <v>0</v>
          </cell>
          <cell r="R48">
            <v>0</v>
          </cell>
          <cell r="S48">
            <v>0</v>
          </cell>
          <cell r="T48">
            <v>0</v>
          </cell>
          <cell r="U48">
            <v>0</v>
          </cell>
          <cell r="V48">
            <v>5347300.2857142854</v>
          </cell>
          <cell r="W48">
            <v>34179785.142857142</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8391588.5714285709</v>
          </cell>
          <cell r="AO48">
            <v>0</v>
          </cell>
          <cell r="AP48">
            <v>0</v>
          </cell>
          <cell r="AQ48">
            <v>0</v>
          </cell>
          <cell r="AR48">
            <v>0</v>
          </cell>
          <cell r="AS48">
            <v>7811676.5571428575</v>
          </cell>
          <cell r="AT48">
            <v>0</v>
          </cell>
          <cell r="AU48">
            <v>0</v>
          </cell>
          <cell r="AV48">
            <v>0</v>
          </cell>
          <cell r="AW48">
            <v>0</v>
          </cell>
          <cell r="AX48">
            <v>0</v>
          </cell>
          <cell r="AY48">
            <v>0</v>
          </cell>
          <cell r="AZ48">
            <v>0</v>
          </cell>
          <cell r="BA48">
            <v>0</v>
          </cell>
          <cell r="BB48">
            <v>1798829.9285714286</v>
          </cell>
          <cell r="BC48">
            <v>5987609.6619047625</v>
          </cell>
          <cell r="BD48">
            <v>0</v>
          </cell>
          <cell r="BE48">
            <v>0</v>
          </cell>
          <cell r="BF48">
            <v>0</v>
          </cell>
        </row>
        <row r="49">
          <cell r="B49">
            <v>7</v>
          </cell>
          <cell r="C49">
            <v>0</v>
          </cell>
          <cell r="D49">
            <v>7267740</v>
          </cell>
          <cell r="E49">
            <v>0</v>
          </cell>
          <cell r="F49">
            <v>0</v>
          </cell>
          <cell r="G49">
            <v>0</v>
          </cell>
          <cell r="H49">
            <v>0</v>
          </cell>
          <cell r="I49">
            <v>0</v>
          </cell>
          <cell r="J49">
            <v>0</v>
          </cell>
          <cell r="K49">
            <v>0</v>
          </cell>
          <cell r="L49">
            <v>0</v>
          </cell>
          <cell r="M49">
            <v>0</v>
          </cell>
          <cell r="N49">
            <v>0</v>
          </cell>
          <cell r="O49">
            <v>0</v>
          </cell>
          <cell r="P49">
            <v>8658545.6571428571</v>
          </cell>
          <cell r="Q49">
            <v>0</v>
          </cell>
          <cell r="R49">
            <v>0</v>
          </cell>
          <cell r="S49">
            <v>0</v>
          </cell>
          <cell r="T49">
            <v>0</v>
          </cell>
          <cell r="U49">
            <v>0</v>
          </cell>
          <cell r="V49">
            <v>7616565.5571428575</v>
          </cell>
          <cell r="W49">
            <v>6840045</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5014192.2857142854</v>
          </cell>
          <cell r="AT49">
            <v>0</v>
          </cell>
          <cell r="AU49">
            <v>0</v>
          </cell>
          <cell r="AV49">
            <v>0</v>
          </cell>
          <cell r="AW49">
            <v>0</v>
          </cell>
          <cell r="AX49">
            <v>0</v>
          </cell>
          <cell r="AY49">
            <v>0</v>
          </cell>
          <cell r="AZ49">
            <v>0</v>
          </cell>
          <cell r="BA49">
            <v>0</v>
          </cell>
          <cell r="BB49">
            <v>10362010.742857143</v>
          </cell>
          <cell r="BC49">
            <v>5987609.6619047625</v>
          </cell>
          <cell r="BD49">
            <v>0</v>
          </cell>
          <cell r="BE49">
            <v>0</v>
          </cell>
          <cell r="BF49">
            <v>0</v>
          </cell>
        </row>
        <row r="50">
          <cell r="B50">
            <v>8</v>
          </cell>
          <cell r="C50">
            <v>0</v>
          </cell>
          <cell r="D50">
            <v>0</v>
          </cell>
          <cell r="E50">
            <v>0</v>
          </cell>
          <cell r="F50">
            <v>0</v>
          </cell>
          <cell r="G50">
            <v>0</v>
          </cell>
          <cell r="H50">
            <v>0</v>
          </cell>
          <cell r="I50">
            <v>0</v>
          </cell>
          <cell r="J50">
            <v>0</v>
          </cell>
          <cell r="K50">
            <v>0</v>
          </cell>
          <cell r="L50">
            <v>0</v>
          </cell>
          <cell r="M50">
            <v>0</v>
          </cell>
          <cell r="N50">
            <v>0</v>
          </cell>
          <cell r="O50">
            <v>0</v>
          </cell>
          <cell r="P50">
            <v>2884733.5714285714</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9788145.8571428582</v>
          </cell>
          <cell r="AT50">
            <v>0</v>
          </cell>
          <cell r="AU50">
            <v>0</v>
          </cell>
          <cell r="AV50">
            <v>0</v>
          </cell>
          <cell r="AW50">
            <v>0</v>
          </cell>
          <cell r="AX50">
            <v>0</v>
          </cell>
          <cell r="AY50">
            <v>0</v>
          </cell>
          <cell r="AZ50">
            <v>0</v>
          </cell>
          <cell r="BA50">
            <v>0</v>
          </cell>
          <cell r="BB50">
            <v>0</v>
          </cell>
          <cell r="BC50">
            <v>0</v>
          </cell>
          <cell r="BD50">
            <v>0</v>
          </cell>
          <cell r="BE50">
            <v>0</v>
          </cell>
          <cell r="BF50">
            <v>0</v>
          </cell>
        </row>
        <row r="51">
          <cell r="B51">
            <v>9</v>
          </cell>
          <cell r="C51">
            <v>0</v>
          </cell>
          <cell r="D51">
            <v>0</v>
          </cell>
          <cell r="E51">
            <v>0</v>
          </cell>
          <cell r="F51">
            <v>0</v>
          </cell>
          <cell r="G51">
            <v>0</v>
          </cell>
          <cell r="H51">
            <v>0</v>
          </cell>
          <cell r="I51">
            <v>0</v>
          </cell>
          <cell r="J51">
            <v>0</v>
          </cell>
          <cell r="K51">
            <v>0</v>
          </cell>
          <cell r="L51">
            <v>0</v>
          </cell>
          <cell r="M51">
            <v>0</v>
          </cell>
          <cell r="N51">
            <v>0</v>
          </cell>
          <cell r="O51">
            <v>0</v>
          </cell>
          <cell r="P51">
            <v>13236165.357142858</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4431070.2571428567</v>
          </cell>
          <cell r="AT51">
            <v>0</v>
          </cell>
          <cell r="AU51">
            <v>0</v>
          </cell>
          <cell r="AV51">
            <v>0</v>
          </cell>
          <cell r="AW51">
            <v>0</v>
          </cell>
          <cell r="AX51">
            <v>0</v>
          </cell>
          <cell r="AY51">
            <v>0</v>
          </cell>
          <cell r="AZ51">
            <v>0</v>
          </cell>
          <cell r="BA51">
            <v>0</v>
          </cell>
          <cell r="BB51">
            <v>0</v>
          </cell>
          <cell r="BC51">
            <v>0</v>
          </cell>
          <cell r="BD51">
            <v>0</v>
          </cell>
          <cell r="BE51">
            <v>0</v>
          </cell>
          <cell r="BF51">
            <v>0</v>
          </cell>
        </row>
        <row r="52">
          <cell r="B52">
            <v>10</v>
          </cell>
          <cell r="C52">
            <v>0</v>
          </cell>
          <cell r="D52">
            <v>0</v>
          </cell>
          <cell r="E52">
            <v>0</v>
          </cell>
          <cell r="F52">
            <v>0</v>
          </cell>
          <cell r="G52">
            <v>0</v>
          </cell>
          <cell r="H52">
            <v>0</v>
          </cell>
          <cell r="I52">
            <v>0</v>
          </cell>
          <cell r="J52">
            <v>0</v>
          </cell>
          <cell r="K52">
            <v>0</v>
          </cell>
          <cell r="L52">
            <v>0</v>
          </cell>
          <cell r="M52">
            <v>0</v>
          </cell>
          <cell r="N52">
            <v>0</v>
          </cell>
          <cell r="O52">
            <v>0</v>
          </cell>
          <cell r="P52">
            <v>6378127.5714285709</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10520547.071428571</v>
          </cell>
          <cell r="AT52">
            <v>0</v>
          </cell>
          <cell r="AU52">
            <v>0</v>
          </cell>
          <cell r="AV52">
            <v>0</v>
          </cell>
          <cell r="AW52">
            <v>0</v>
          </cell>
          <cell r="AX52">
            <v>0</v>
          </cell>
          <cell r="AY52">
            <v>0</v>
          </cell>
          <cell r="AZ52">
            <v>0</v>
          </cell>
          <cell r="BA52">
            <v>0</v>
          </cell>
          <cell r="BB52">
            <v>0</v>
          </cell>
          <cell r="BC52">
            <v>0</v>
          </cell>
          <cell r="BD52">
            <v>0</v>
          </cell>
          <cell r="BE52">
            <v>0</v>
          </cell>
          <cell r="BF52">
            <v>0</v>
          </cell>
        </row>
        <row r="53">
          <cell r="B53">
            <v>11</v>
          </cell>
          <cell r="C53">
            <v>0</v>
          </cell>
          <cell r="D53">
            <v>0</v>
          </cell>
          <cell r="E53">
            <v>0</v>
          </cell>
          <cell r="F53">
            <v>0</v>
          </cell>
          <cell r="G53">
            <v>0</v>
          </cell>
          <cell r="H53">
            <v>0</v>
          </cell>
          <cell r="I53">
            <v>0</v>
          </cell>
          <cell r="J53">
            <v>0</v>
          </cell>
          <cell r="K53">
            <v>0</v>
          </cell>
          <cell r="L53">
            <v>0</v>
          </cell>
          <cell r="M53">
            <v>0</v>
          </cell>
          <cell r="N53">
            <v>0</v>
          </cell>
          <cell r="O53">
            <v>0</v>
          </cell>
          <cell r="P53">
            <v>4681306.4428571425</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row>
        <row r="54">
          <cell r="B54">
            <v>12</v>
          </cell>
          <cell r="C54">
            <v>0</v>
          </cell>
          <cell r="D54">
            <v>0</v>
          </cell>
          <cell r="E54">
            <v>0</v>
          </cell>
          <cell r="F54">
            <v>0</v>
          </cell>
          <cell r="G54">
            <v>0</v>
          </cell>
          <cell r="H54">
            <v>0</v>
          </cell>
          <cell r="I54">
            <v>0</v>
          </cell>
          <cell r="J54">
            <v>0</v>
          </cell>
          <cell r="K54">
            <v>0</v>
          </cell>
          <cell r="L54">
            <v>0</v>
          </cell>
          <cell r="M54">
            <v>0</v>
          </cell>
          <cell r="N54">
            <v>0</v>
          </cell>
          <cell r="O54">
            <v>0</v>
          </cell>
          <cell r="P54">
            <v>8665969.3571428563</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row>
        <row r="55">
          <cell r="B55">
            <v>13</v>
          </cell>
          <cell r="C55">
            <v>0</v>
          </cell>
          <cell r="D55">
            <v>0</v>
          </cell>
          <cell r="E55">
            <v>0</v>
          </cell>
          <cell r="F55">
            <v>0</v>
          </cell>
          <cell r="G55">
            <v>0</v>
          </cell>
          <cell r="H55">
            <v>0</v>
          </cell>
          <cell r="I55">
            <v>0</v>
          </cell>
          <cell r="J55">
            <v>0</v>
          </cell>
          <cell r="K55">
            <v>0</v>
          </cell>
          <cell r="L55">
            <v>0</v>
          </cell>
          <cell r="M55">
            <v>0</v>
          </cell>
          <cell r="N55">
            <v>0</v>
          </cell>
          <cell r="O55">
            <v>0</v>
          </cell>
          <cell r="P55">
            <v>11863628.571428571</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row>
        <row r="56">
          <cell r="B56">
            <v>14</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row>
        <row r="57">
          <cell r="B57">
            <v>15</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row>
        <row r="58">
          <cell r="B58">
            <v>16</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row>
        <row r="59">
          <cell r="B59">
            <v>17</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row>
        <row r="60">
          <cell r="B60">
            <v>18</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row>
        <row r="61">
          <cell r="B61">
            <v>19</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row>
        <row r="62">
          <cell r="B62">
            <v>20</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row>
        <row r="63">
          <cell r="B63">
            <v>21</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row>
        <row r="64">
          <cell r="B64">
            <v>22</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row>
        <row r="65">
          <cell r="B65">
            <v>23</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row>
        <row r="66">
          <cell r="B66">
            <v>24</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row>
        <row r="67">
          <cell r="B67">
            <v>25</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row>
        <row r="68">
          <cell r="B68">
            <v>26</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row>
        <row r="69">
          <cell r="B69">
            <v>27</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row>
        <row r="70">
          <cell r="B70">
            <v>28</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row>
        <row r="71">
          <cell r="B71">
            <v>29</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row>
        <row r="72">
          <cell r="B72">
            <v>30</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row>
        <row r="74">
          <cell r="A74" t="str">
            <v>סה"כ</v>
          </cell>
          <cell r="C74">
            <v>258419.94735714287</v>
          </cell>
          <cell r="D74">
            <v>61142.98521428572</v>
          </cell>
          <cell r="E74">
            <v>192682.12902857142</v>
          </cell>
          <cell r="F74">
            <v>37258.681885714286</v>
          </cell>
          <cell r="G74">
            <v>93114.313242857141</v>
          </cell>
          <cell r="H74">
            <v>907315.41881428566</v>
          </cell>
          <cell r="I74">
            <v>293958.41721428576</v>
          </cell>
          <cell r="J74">
            <v>69389.52</v>
          </cell>
          <cell r="K74">
            <v>116776.0508142857</v>
          </cell>
          <cell r="L74">
            <v>112199.12365714285</v>
          </cell>
          <cell r="M74">
            <v>130406.22857142857</v>
          </cell>
          <cell r="N74">
            <v>237066.83378571426</v>
          </cell>
          <cell r="O74">
            <v>143213.74815714287</v>
          </cell>
          <cell r="P74">
            <v>123923.6975142857</v>
          </cell>
          <cell r="Q74">
            <v>65131.364314285711</v>
          </cell>
          <cell r="R74">
            <v>63281.553557142855</v>
          </cell>
          <cell r="S74">
            <v>30412.7376</v>
          </cell>
          <cell r="T74">
            <v>90838.793085714278</v>
          </cell>
          <cell r="U74">
            <v>82343.076171428576</v>
          </cell>
          <cell r="V74">
            <v>61883.537685714276</v>
          </cell>
          <cell r="W74">
            <v>99670.670899999997</v>
          </cell>
          <cell r="X74">
            <v>85834.511014285716</v>
          </cell>
          <cell r="Y74">
            <v>52773.827014285707</v>
          </cell>
          <cell r="Z74">
            <v>49089.081557142854</v>
          </cell>
          <cell r="AA74">
            <v>124930.09785714287</v>
          </cell>
          <cell r="AB74">
            <v>46020.586714285717</v>
          </cell>
          <cell r="AC74">
            <v>126636.538</v>
          </cell>
          <cell r="AD74">
            <v>54671.243828571423</v>
          </cell>
          <cell r="AE74">
            <v>445026.4154</v>
          </cell>
          <cell r="AF74">
            <v>55922.591442857149</v>
          </cell>
          <cell r="AG74">
            <v>51370.831371428569</v>
          </cell>
          <cell r="AH74">
            <v>47769.687142857139</v>
          </cell>
          <cell r="AI74">
            <v>46046.871857142862</v>
          </cell>
          <cell r="AJ74">
            <v>28348.91657142857</v>
          </cell>
          <cell r="AK74">
            <v>26073.448971428574</v>
          </cell>
          <cell r="AL74">
            <v>543019.86939999997</v>
          </cell>
          <cell r="AM74">
            <v>87239.366385714282</v>
          </cell>
          <cell r="AN74">
            <v>69252.657585714274</v>
          </cell>
          <cell r="AO74">
            <v>163387.46057142856</v>
          </cell>
          <cell r="AP74">
            <v>45305.821857142859</v>
          </cell>
          <cell r="AQ74">
            <v>68289.32065714286</v>
          </cell>
          <cell r="AR74">
            <v>70893.442757142853</v>
          </cell>
          <cell r="AS74">
            <v>109120.94845714285</v>
          </cell>
          <cell r="AT74">
            <v>46792.362257142857</v>
          </cell>
          <cell r="AU74">
            <v>62406.171142857143</v>
          </cell>
          <cell r="AV74">
            <v>113468.64322857143</v>
          </cell>
          <cell r="AW74">
            <v>57768.368257142858</v>
          </cell>
          <cell r="AX74">
            <v>37595.544399999999</v>
          </cell>
          <cell r="AY74">
            <v>21184.2745</v>
          </cell>
          <cell r="AZ74">
            <v>53426.946814285715</v>
          </cell>
          <cell r="BA74">
            <v>89787.13557142856</v>
          </cell>
          <cell r="BB74">
            <v>77046.994214285703</v>
          </cell>
          <cell r="BC74">
            <v>62780.424999999996</v>
          </cell>
          <cell r="BD74">
            <v>15106.737142857142</v>
          </cell>
          <cell r="BE74">
            <v>17904.395142857142</v>
          </cell>
          <cell r="BF74">
            <v>115085.18</v>
          </cell>
        </row>
        <row r="76">
          <cell r="A76" t="str">
            <v>ערך כינון מים מופחת</v>
          </cell>
          <cell r="B76">
            <v>1</v>
          </cell>
          <cell r="C76">
            <v>136452761</v>
          </cell>
          <cell r="D76">
            <v>13475000</v>
          </cell>
          <cell r="E76">
            <v>128230596</v>
          </cell>
          <cell r="F76">
            <v>18718642</v>
          </cell>
          <cell r="G76">
            <v>82392178</v>
          </cell>
          <cell r="H76">
            <v>480334891</v>
          </cell>
          <cell r="I76">
            <v>156462403</v>
          </cell>
          <cell r="J76">
            <v>58288302</v>
          </cell>
          <cell r="K76">
            <v>30946040</v>
          </cell>
          <cell r="L76">
            <v>54678649</v>
          </cell>
          <cell r="M76">
            <v>87816000</v>
          </cell>
          <cell r="N76">
            <v>102980454</v>
          </cell>
          <cell r="O76">
            <v>70106355</v>
          </cell>
          <cell r="P76">
            <v>14763306</v>
          </cell>
          <cell r="Q76">
            <v>42979931</v>
          </cell>
          <cell r="R76">
            <v>34225331</v>
          </cell>
          <cell r="S76">
            <v>20382365</v>
          </cell>
          <cell r="T76">
            <v>25983192</v>
          </cell>
          <cell r="U76">
            <v>62864678</v>
          </cell>
          <cell r="V76">
            <v>8665798</v>
          </cell>
          <cell r="W76">
            <v>29893784</v>
          </cell>
          <cell r="X76">
            <v>36512021</v>
          </cell>
          <cell r="Y76">
            <v>20780033</v>
          </cell>
          <cell r="Z76">
            <v>36539424</v>
          </cell>
          <cell r="AA76">
            <v>85636525</v>
          </cell>
          <cell r="AB76">
            <v>35205489</v>
          </cell>
          <cell r="AC76">
            <v>68351183</v>
          </cell>
          <cell r="AD76">
            <v>28317246</v>
          </cell>
          <cell r="AE76">
            <v>214592112</v>
          </cell>
          <cell r="AF76">
            <v>11129266</v>
          </cell>
          <cell r="AG76">
            <v>36080231</v>
          </cell>
          <cell r="AH76">
            <v>35375937</v>
          </cell>
          <cell r="AI76">
            <v>34588705</v>
          </cell>
          <cell r="AJ76">
            <v>16452484</v>
          </cell>
          <cell r="AK76">
            <v>10808652</v>
          </cell>
          <cell r="AL76">
            <v>195693476</v>
          </cell>
          <cell r="AM76">
            <v>12571013</v>
          </cell>
          <cell r="AN76">
            <v>9631219</v>
          </cell>
          <cell r="AO76">
            <v>67732403</v>
          </cell>
          <cell r="AP76">
            <v>23560257</v>
          </cell>
          <cell r="AQ76">
            <v>37063227</v>
          </cell>
          <cell r="AR76">
            <v>26880556</v>
          </cell>
          <cell r="AS76">
            <v>25740957</v>
          </cell>
          <cell r="AT76">
            <v>34929398</v>
          </cell>
          <cell r="AU76">
            <v>45332274</v>
          </cell>
          <cell r="AV76">
            <v>54931390</v>
          </cell>
          <cell r="AW76">
            <v>34816701</v>
          </cell>
          <cell r="AX76">
            <v>0</v>
          </cell>
          <cell r="AY76">
            <v>15354864</v>
          </cell>
          <cell r="AZ76">
            <v>12479448</v>
          </cell>
          <cell r="BA76">
            <v>15242107</v>
          </cell>
          <cell r="BB76">
            <v>11606713</v>
          </cell>
          <cell r="BC76">
            <v>4637085.666666667</v>
          </cell>
          <cell r="BD76">
            <v>0</v>
          </cell>
          <cell r="BE76">
            <v>9665056</v>
          </cell>
          <cell r="BF76">
            <v>40311868</v>
          </cell>
        </row>
        <row r="77">
          <cell r="B77">
            <v>2</v>
          </cell>
          <cell r="C77">
            <v>15978545</v>
          </cell>
          <cell r="D77">
            <v>3699559</v>
          </cell>
          <cell r="E77">
            <v>0</v>
          </cell>
          <cell r="F77">
            <v>7217546.3333333321</v>
          </cell>
          <cell r="G77">
            <v>0</v>
          </cell>
          <cell r="H77">
            <v>3690360</v>
          </cell>
          <cell r="I77">
            <v>0</v>
          </cell>
          <cell r="J77">
            <v>0</v>
          </cell>
          <cell r="K77">
            <v>19849875</v>
          </cell>
          <cell r="L77">
            <v>5298074</v>
          </cell>
          <cell r="M77">
            <v>0</v>
          </cell>
          <cell r="N77">
            <v>11230241</v>
          </cell>
          <cell r="O77">
            <v>7217614</v>
          </cell>
          <cell r="P77">
            <v>10236310</v>
          </cell>
          <cell r="Q77">
            <v>0</v>
          </cell>
          <cell r="R77">
            <v>7652676</v>
          </cell>
          <cell r="S77">
            <v>0</v>
          </cell>
          <cell r="T77">
            <v>17622201</v>
          </cell>
          <cell r="U77">
            <v>0</v>
          </cell>
          <cell r="V77">
            <v>7567791</v>
          </cell>
          <cell r="W77">
            <v>5073110</v>
          </cell>
          <cell r="X77">
            <v>10358291</v>
          </cell>
          <cell r="Y77">
            <v>6937059</v>
          </cell>
          <cell r="Z77">
            <v>0</v>
          </cell>
          <cell r="AA77">
            <v>0</v>
          </cell>
          <cell r="AB77">
            <v>0</v>
          </cell>
          <cell r="AC77">
            <v>0</v>
          </cell>
          <cell r="AD77">
            <v>0</v>
          </cell>
          <cell r="AE77">
            <v>0</v>
          </cell>
          <cell r="AF77">
            <v>23224000</v>
          </cell>
          <cell r="AG77">
            <v>0</v>
          </cell>
          <cell r="AH77">
            <v>0</v>
          </cell>
          <cell r="AI77">
            <v>0</v>
          </cell>
          <cell r="AJ77">
            <v>6029809</v>
          </cell>
          <cell r="AK77">
            <v>0</v>
          </cell>
          <cell r="AL77">
            <v>0</v>
          </cell>
          <cell r="AM77">
            <v>17401427</v>
          </cell>
          <cell r="AN77">
            <v>5326839</v>
          </cell>
          <cell r="AO77">
            <v>0</v>
          </cell>
          <cell r="AP77">
            <v>0</v>
          </cell>
          <cell r="AQ77">
            <v>0</v>
          </cell>
          <cell r="AR77">
            <v>14885687</v>
          </cell>
          <cell r="AS77">
            <v>7852103</v>
          </cell>
          <cell r="AT77">
            <v>0</v>
          </cell>
          <cell r="AU77">
            <v>0</v>
          </cell>
          <cell r="AV77">
            <v>14652449</v>
          </cell>
          <cell r="AW77">
            <v>0</v>
          </cell>
          <cell r="AX77">
            <v>5269232</v>
          </cell>
          <cell r="AY77">
            <v>0</v>
          </cell>
          <cell r="AZ77">
            <v>17032460</v>
          </cell>
          <cell r="BA77">
            <v>10673053</v>
          </cell>
          <cell r="BB77">
            <v>12459130</v>
          </cell>
          <cell r="BC77">
            <v>5521993</v>
          </cell>
          <cell r="BD77">
            <v>5673409</v>
          </cell>
          <cell r="BE77">
            <v>0</v>
          </cell>
          <cell r="BF77">
            <v>12072778</v>
          </cell>
        </row>
        <row r="78">
          <cell r="B78">
            <v>3</v>
          </cell>
          <cell r="C78">
            <v>2737623</v>
          </cell>
          <cell r="D78">
            <v>7666305</v>
          </cell>
          <cell r="E78">
            <v>0</v>
          </cell>
          <cell r="F78">
            <v>0</v>
          </cell>
          <cell r="G78">
            <v>0</v>
          </cell>
          <cell r="H78">
            <v>15237268</v>
          </cell>
          <cell r="I78">
            <v>0</v>
          </cell>
          <cell r="J78">
            <v>0</v>
          </cell>
          <cell r="K78">
            <v>22454683</v>
          </cell>
          <cell r="L78">
            <v>0</v>
          </cell>
          <cell r="M78">
            <v>0</v>
          </cell>
          <cell r="N78">
            <v>0</v>
          </cell>
          <cell r="O78">
            <v>4907143</v>
          </cell>
          <cell r="P78">
            <v>7061221</v>
          </cell>
          <cell r="Q78">
            <v>0</v>
          </cell>
          <cell r="R78">
            <v>6583550</v>
          </cell>
          <cell r="S78">
            <v>0</v>
          </cell>
          <cell r="T78">
            <v>9754236</v>
          </cell>
          <cell r="U78">
            <v>0</v>
          </cell>
          <cell r="V78">
            <v>8242194</v>
          </cell>
          <cell r="W78">
            <v>13627786</v>
          </cell>
          <cell r="X78">
            <v>12447864</v>
          </cell>
          <cell r="Y78">
            <v>6628440</v>
          </cell>
          <cell r="Z78">
            <v>0</v>
          </cell>
          <cell r="AA78">
            <v>0</v>
          </cell>
          <cell r="AB78">
            <v>0</v>
          </cell>
          <cell r="AC78">
            <v>0</v>
          </cell>
          <cell r="AD78">
            <v>0</v>
          </cell>
          <cell r="AE78">
            <v>0</v>
          </cell>
          <cell r="AF78">
            <v>0</v>
          </cell>
          <cell r="AG78">
            <v>0</v>
          </cell>
          <cell r="AH78">
            <v>0</v>
          </cell>
          <cell r="AI78">
            <v>0</v>
          </cell>
          <cell r="AJ78">
            <v>0</v>
          </cell>
          <cell r="AK78">
            <v>0</v>
          </cell>
          <cell r="AL78">
            <v>0</v>
          </cell>
          <cell r="AM78">
            <v>6193000</v>
          </cell>
          <cell r="AN78">
            <v>2795425</v>
          </cell>
          <cell r="AO78">
            <v>0</v>
          </cell>
          <cell r="AP78">
            <v>0</v>
          </cell>
          <cell r="AQ78">
            <v>0</v>
          </cell>
          <cell r="AR78">
            <v>0</v>
          </cell>
          <cell r="AS78">
            <v>2045413</v>
          </cell>
          <cell r="AT78">
            <v>0</v>
          </cell>
          <cell r="AU78">
            <v>0</v>
          </cell>
          <cell r="AV78">
            <v>0</v>
          </cell>
          <cell r="AW78">
            <v>0</v>
          </cell>
          <cell r="AX78">
            <v>8782813</v>
          </cell>
          <cell r="AY78">
            <v>0</v>
          </cell>
          <cell r="AZ78">
            <v>8317673</v>
          </cell>
          <cell r="BA78">
            <v>9988104</v>
          </cell>
          <cell r="BB78">
            <v>8497888</v>
          </cell>
          <cell r="BC78">
            <v>4818502</v>
          </cell>
          <cell r="BD78">
            <v>0</v>
          </cell>
          <cell r="BE78">
            <v>0</v>
          </cell>
          <cell r="BF78">
            <v>0</v>
          </cell>
        </row>
        <row r="79">
          <cell r="B79">
            <v>4</v>
          </cell>
          <cell r="C79">
            <v>0</v>
          </cell>
          <cell r="D79">
            <v>4794016</v>
          </cell>
          <cell r="E79">
            <v>0</v>
          </cell>
          <cell r="F79">
            <v>0</v>
          </cell>
          <cell r="G79">
            <v>0</v>
          </cell>
          <cell r="H79">
            <v>0</v>
          </cell>
          <cell r="I79">
            <v>0</v>
          </cell>
          <cell r="J79">
            <v>0</v>
          </cell>
          <cell r="K79">
            <v>0</v>
          </cell>
          <cell r="L79">
            <v>3034282</v>
          </cell>
          <cell r="M79">
            <v>0</v>
          </cell>
          <cell r="N79">
            <v>0</v>
          </cell>
          <cell r="O79">
            <v>16682986</v>
          </cell>
          <cell r="P79">
            <v>1756460</v>
          </cell>
          <cell r="Q79">
            <v>0</v>
          </cell>
          <cell r="R79">
            <v>0</v>
          </cell>
          <cell r="S79">
            <v>0</v>
          </cell>
          <cell r="T79">
            <v>3744463</v>
          </cell>
          <cell r="U79">
            <v>0</v>
          </cell>
          <cell r="V79">
            <v>7584985</v>
          </cell>
          <cell r="W79">
            <v>1039496</v>
          </cell>
          <cell r="X79">
            <v>5399478</v>
          </cell>
          <cell r="Y79">
            <v>5727180</v>
          </cell>
          <cell r="Z79">
            <v>0</v>
          </cell>
          <cell r="AA79">
            <v>0</v>
          </cell>
          <cell r="AB79">
            <v>0</v>
          </cell>
          <cell r="AC79">
            <v>0</v>
          </cell>
          <cell r="AD79">
            <v>0</v>
          </cell>
          <cell r="AE79">
            <v>0</v>
          </cell>
          <cell r="AF79">
            <v>0</v>
          </cell>
          <cell r="AG79">
            <v>0</v>
          </cell>
          <cell r="AH79">
            <v>0</v>
          </cell>
          <cell r="AI79">
            <v>0</v>
          </cell>
          <cell r="AJ79">
            <v>0</v>
          </cell>
          <cell r="AK79">
            <v>0</v>
          </cell>
          <cell r="AL79">
            <v>0</v>
          </cell>
          <cell r="AM79">
            <v>12864998</v>
          </cell>
          <cell r="AN79">
            <v>10157870</v>
          </cell>
          <cell r="AO79">
            <v>0</v>
          </cell>
          <cell r="AP79">
            <v>0</v>
          </cell>
          <cell r="AQ79">
            <v>0</v>
          </cell>
          <cell r="AR79">
            <v>0</v>
          </cell>
          <cell r="AS79">
            <v>9551828</v>
          </cell>
          <cell r="AT79">
            <v>0</v>
          </cell>
          <cell r="AU79">
            <v>0</v>
          </cell>
          <cell r="AV79">
            <v>0</v>
          </cell>
          <cell r="AW79">
            <v>0</v>
          </cell>
          <cell r="AX79">
            <v>13422697</v>
          </cell>
          <cell r="AY79">
            <v>0</v>
          </cell>
          <cell r="AZ79">
            <v>0</v>
          </cell>
          <cell r="BA79">
            <v>5796565</v>
          </cell>
          <cell r="BB79">
            <v>8010824</v>
          </cell>
          <cell r="BC79">
            <v>12245393</v>
          </cell>
          <cell r="BD79">
            <v>0</v>
          </cell>
          <cell r="BE79">
            <v>0</v>
          </cell>
          <cell r="BF79">
            <v>0</v>
          </cell>
        </row>
        <row r="80">
          <cell r="B80">
            <v>5</v>
          </cell>
          <cell r="C80">
            <v>0</v>
          </cell>
          <cell r="D80">
            <v>3658722</v>
          </cell>
          <cell r="E80">
            <v>0</v>
          </cell>
          <cell r="F80">
            <v>0</v>
          </cell>
          <cell r="G80">
            <v>0</v>
          </cell>
          <cell r="H80">
            <v>0</v>
          </cell>
          <cell r="I80">
            <v>0</v>
          </cell>
          <cell r="J80">
            <v>0</v>
          </cell>
          <cell r="K80">
            <v>0</v>
          </cell>
          <cell r="L80">
            <v>0</v>
          </cell>
          <cell r="M80">
            <v>0</v>
          </cell>
          <cell r="N80">
            <v>0</v>
          </cell>
          <cell r="O80">
            <v>0</v>
          </cell>
          <cell r="P80">
            <v>2594946</v>
          </cell>
          <cell r="Q80">
            <v>0</v>
          </cell>
          <cell r="R80">
            <v>0</v>
          </cell>
          <cell r="S80">
            <v>0</v>
          </cell>
          <cell r="T80">
            <v>0</v>
          </cell>
          <cell r="U80">
            <v>0</v>
          </cell>
          <cell r="V80">
            <v>6093317</v>
          </cell>
          <cell r="W80">
            <v>0</v>
          </cell>
          <cell r="X80">
            <v>6711076</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10781284</v>
          </cell>
          <cell r="AN80">
            <v>12927777</v>
          </cell>
          <cell r="AO80">
            <v>0</v>
          </cell>
          <cell r="AP80">
            <v>0</v>
          </cell>
          <cell r="AQ80">
            <v>0</v>
          </cell>
          <cell r="AR80">
            <v>0</v>
          </cell>
          <cell r="AS80">
            <v>13406681</v>
          </cell>
          <cell r="AT80">
            <v>0</v>
          </cell>
          <cell r="AU80">
            <v>0</v>
          </cell>
          <cell r="AV80">
            <v>0</v>
          </cell>
          <cell r="AW80">
            <v>0</v>
          </cell>
          <cell r="AX80">
            <v>0</v>
          </cell>
          <cell r="AY80">
            <v>0</v>
          </cell>
          <cell r="AZ80">
            <v>0</v>
          </cell>
          <cell r="BA80">
            <v>0</v>
          </cell>
          <cell r="BB80">
            <v>12593750</v>
          </cell>
          <cell r="BC80">
            <v>15752036</v>
          </cell>
          <cell r="BD80">
            <v>0</v>
          </cell>
          <cell r="BE80">
            <v>0</v>
          </cell>
          <cell r="BF80">
            <v>0</v>
          </cell>
        </row>
        <row r="81">
          <cell r="B81">
            <v>6</v>
          </cell>
          <cell r="C81">
            <v>0</v>
          </cell>
          <cell r="D81">
            <v>3192141</v>
          </cell>
          <cell r="E81">
            <v>0</v>
          </cell>
          <cell r="F81">
            <v>0</v>
          </cell>
          <cell r="G81">
            <v>0</v>
          </cell>
          <cell r="H81">
            <v>0</v>
          </cell>
          <cell r="I81">
            <v>0</v>
          </cell>
          <cell r="J81">
            <v>0</v>
          </cell>
          <cell r="K81">
            <v>0</v>
          </cell>
          <cell r="L81">
            <v>0</v>
          </cell>
          <cell r="M81">
            <v>0</v>
          </cell>
          <cell r="N81">
            <v>0</v>
          </cell>
          <cell r="O81">
            <v>0</v>
          </cell>
          <cell r="P81">
            <v>5441919</v>
          </cell>
          <cell r="Q81">
            <v>0</v>
          </cell>
          <cell r="R81">
            <v>0</v>
          </cell>
          <cell r="S81">
            <v>0</v>
          </cell>
          <cell r="T81">
            <v>0</v>
          </cell>
          <cell r="U81">
            <v>0</v>
          </cell>
          <cell r="V81">
            <v>4136974</v>
          </cell>
          <cell r="W81">
            <v>21795702</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6007821</v>
          </cell>
          <cell r="AO81">
            <v>0</v>
          </cell>
          <cell r="AP81">
            <v>0</v>
          </cell>
          <cell r="AQ81">
            <v>0</v>
          </cell>
          <cell r="AR81">
            <v>0</v>
          </cell>
          <cell r="AS81">
            <v>5953439</v>
          </cell>
          <cell r="AT81">
            <v>0</v>
          </cell>
          <cell r="AU81">
            <v>0</v>
          </cell>
          <cell r="AV81">
            <v>0</v>
          </cell>
          <cell r="AW81">
            <v>0</v>
          </cell>
          <cell r="AX81">
            <v>0</v>
          </cell>
          <cell r="AY81">
            <v>0</v>
          </cell>
          <cell r="AZ81">
            <v>0</v>
          </cell>
          <cell r="BA81">
            <v>0</v>
          </cell>
          <cell r="BB81">
            <v>1463558</v>
          </cell>
          <cell r="BC81">
            <v>4637085.666666667</v>
          </cell>
          <cell r="BD81">
            <v>0</v>
          </cell>
          <cell r="BE81">
            <v>0</v>
          </cell>
          <cell r="BF81">
            <v>0</v>
          </cell>
        </row>
        <row r="82">
          <cell r="B82">
            <v>7</v>
          </cell>
          <cell r="C82">
            <v>0</v>
          </cell>
          <cell r="D82">
            <v>5543964</v>
          </cell>
          <cell r="E82">
            <v>0</v>
          </cell>
          <cell r="F82">
            <v>0</v>
          </cell>
          <cell r="G82">
            <v>0</v>
          </cell>
          <cell r="H82">
            <v>0</v>
          </cell>
          <cell r="I82">
            <v>0</v>
          </cell>
          <cell r="J82">
            <v>0</v>
          </cell>
          <cell r="K82">
            <v>0</v>
          </cell>
          <cell r="L82">
            <v>0</v>
          </cell>
          <cell r="M82">
            <v>0</v>
          </cell>
          <cell r="N82">
            <v>0</v>
          </cell>
          <cell r="O82">
            <v>0</v>
          </cell>
          <cell r="P82">
            <v>5668650</v>
          </cell>
          <cell r="Q82">
            <v>0</v>
          </cell>
          <cell r="R82">
            <v>0</v>
          </cell>
          <cell r="S82">
            <v>0</v>
          </cell>
          <cell r="T82">
            <v>0</v>
          </cell>
          <cell r="U82">
            <v>0</v>
          </cell>
          <cell r="V82">
            <v>6166493</v>
          </cell>
          <cell r="W82">
            <v>5704575</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2835649</v>
          </cell>
          <cell r="AT82">
            <v>0</v>
          </cell>
          <cell r="AU82">
            <v>0</v>
          </cell>
          <cell r="AV82">
            <v>0</v>
          </cell>
          <cell r="AW82">
            <v>0</v>
          </cell>
          <cell r="AX82">
            <v>0</v>
          </cell>
          <cell r="AY82">
            <v>0</v>
          </cell>
          <cell r="AZ82">
            <v>0</v>
          </cell>
          <cell r="BA82">
            <v>0</v>
          </cell>
          <cell r="BB82">
            <v>7965844</v>
          </cell>
          <cell r="BC82">
            <v>4637085.666666667</v>
          </cell>
          <cell r="BD82">
            <v>0</v>
          </cell>
          <cell r="BE82">
            <v>0</v>
          </cell>
          <cell r="BF82">
            <v>0</v>
          </cell>
        </row>
        <row r="83">
          <cell r="B83">
            <v>8</v>
          </cell>
          <cell r="C83">
            <v>0</v>
          </cell>
          <cell r="D83">
            <v>0</v>
          </cell>
          <cell r="E83">
            <v>0</v>
          </cell>
          <cell r="F83">
            <v>0</v>
          </cell>
          <cell r="G83">
            <v>0</v>
          </cell>
          <cell r="H83">
            <v>0</v>
          </cell>
          <cell r="I83">
            <v>0</v>
          </cell>
          <cell r="J83">
            <v>0</v>
          </cell>
          <cell r="K83">
            <v>0</v>
          </cell>
          <cell r="L83">
            <v>0</v>
          </cell>
          <cell r="M83">
            <v>0</v>
          </cell>
          <cell r="N83">
            <v>0</v>
          </cell>
          <cell r="O83">
            <v>0</v>
          </cell>
          <cell r="P83">
            <v>1260295</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8029545</v>
          </cell>
          <cell r="AT83">
            <v>0</v>
          </cell>
          <cell r="AU83">
            <v>0</v>
          </cell>
          <cell r="AV83">
            <v>0</v>
          </cell>
          <cell r="AW83">
            <v>0</v>
          </cell>
          <cell r="AX83">
            <v>0</v>
          </cell>
          <cell r="AY83">
            <v>0</v>
          </cell>
          <cell r="AZ83">
            <v>0</v>
          </cell>
          <cell r="BA83">
            <v>0</v>
          </cell>
          <cell r="BB83">
            <v>0</v>
          </cell>
          <cell r="BC83">
            <v>0</v>
          </cell>
          <cell r="BD83">
            <v>0</v>
          </cell>
          <cell r="BE83">
            <v>0</v>
          </cell>
          <cell r="BF83">
            <v>0</v>
          </cell>
        </row>
        <row r="84">
          <cell r="B84">
            <v>9</v>
          </cell>
          <cell r="C84">
            <v>0</v>
          </cell>
          <cell r="D84">
            <v>0</v>
          </cell>
          <cell r="E84">
            <v>0</v>
          </cell>
          <cell r="F84">
            <v>0</v>
          </cell>
          <cell r="G84">
            <v>0</v>
          </cell>
          <cell r="H84">
            <v>0</v>
          </cell>
          <cell r="I84">
            <v>0</v>
          </cell>
          <cell r="J84">
            <v>0</v>
          </cell>
          <cell r="K84">
            <v>0</v>
          </cell>
          <cell r="L84">
            <v>0</v>
          </cell>
          <cell r="M84">
            <v>0</v>
          </cell>
          <cell r="N84">
            <v>0</v>
          </cell>
          <cell r="O84">
            <v>0</v>
          </cell>
          <cell r="P84">
            <v>10900920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4044630</v>
          </cell>
          <cell r="AT84">
            <v>0</v>
          </cell>
          <cell r="AU84">
            <v>0</v>
          </cell>
          <cell r="AV84">
            <v>0</v>
          </cell>
          <cell r="AW84">
            <v>0</v>
          </cell>
          <cell r="AX84">
            <v>0</v>
          </cell>
          <cell r="AY84">
            <v>0</v>
          </cell>
          <cell r="AZ84">
            <v>0</v>
          </cell>
          <cell r="BA84">
            <v>0</v>
          </cell>
          <cell r="BB84">
            <v>0</v>
          </cell>
          <cell r="BC84">
            <v>0</v>
          </cell>
          <cell r="BD84">
            <v>0</v>
          </cell>
          <cell r="BE84">
            <v>0</v>
          </cell>
          <cell r="BF84">
            <v>0</v>
          </cell>
        </row>
        <row r="85">
          <cell r="B85">
            <v>10</v>
          </cell>
          <cell r="C85">
            <v>0</v>
          </cell>
          <cell r="D85">
            <v>0</v>
          </cell>
          <cell r="E85">
            <v>0</v>
          </cell>
          <cell r="F85">
            <v>0</v>
          </cell>
          <cell r="G85">
            <v>0</v>
          </cell>
          <cell r="H85">
            <v>0</v>
          </cell>
          <cell r="I85">
            <v>0</v>
          </cell>
          <cell r="J85">
            <v>0</v>
          </cell>
          <cell r="K85">
            <v>0</v>
          </cell>
          <cell r="L85">
            <v>0</v>
          </cell>
          <cell r="M85">
            <v>0</v>
          </cell>
          <cell r="N85">
            <v>0</v>
          </cell>
          <cell r="O85">
            <v>0</v>
          </cell>
          <cell r="P85">
            <v>4733558</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8225878</v>
          </cell>
          <cell r="AT85">
            <v>0</v>
          </cell>
          <cell r="AU85">
            <v>0</v>
          </cell>
          <cell r="AV85">
            <v>0</v>
          </cell>
          <cell r="AW85">
            <v>0</v>
          </cell>
          <cell r="AX85">
            <v>0</v>
          </cell>
          <cell r="AY85">
            <v>0</v>
          </cell>
          <cell r="AZ85">
            <v>0</v>
          </cell>
          <cell r="BA85">
            <v>0</v>
          </cell>
          <cell r="BB85">
            <v>0</v>
          </cell>
          <cell r="BC85">
            <v>0</v>
          </cell>
          <cell r="BD85">
            <v>0</v>
          </cell>
          <cell r="BE85">
            <v>0</v>
          </cell>
          <cell r="BF85">
            <v>0</v>
          </cell>
        </row>
        <row r="86">
          <cell r="B86">
            <v>11</v>
          </cell>
          <cell r="C86">
            <v>0</v>
          </cell>
          <cell r="D86">
            <v>0</v>
          </cell>
          <cell r="E86">
            <v>0</v>
          </cell>
          <cell r="F86">
            <v>0</v>
          </cell>
          <cell r="G86">
            <v>0</v>
          </cell>
          <cell r="H86">
            <v>0</v>
          </cell>
          <cell r="I86">
            <v>0</v>
          </cell>
          <cell r="J86">
            <v>0</v>
          </cell>
          <cell r="K86">
            <v>0</v>
          </cell>
          <cell r="L86">
            <v>0</v>
          </cell>
          <cell r="M86">
            <v>0</v>
          </cell>
          <cell r="N86">
            <v>0</v>
          </cell>
          <cell r="O86">
            <v>0</v>
          </cell>
          <cell r="P86">
            <v>2683925</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row>
        <row r="87">
          <cell r="B87">
            <v>12</v>
          </cell>
          <cell r="C87">
            <v>0</v>
          </cell>
          <cell r="D87">
            <v>0</v>
          </cell>
          <cell r="E87">
            <v>0</v>
          </cell>
          <cell r="F87">
            <v>0</v>
          </cell>
          <cell r="G87">
            <v>0</v>
          </cell>
          <cell r="H87">
            <v>0</v>
          </cell>
          <cell r="I87">
            <v>0</v>
          </cell>
          <cell r="J87">
            <v>0</v>
          </cell>
          <cell r="K87">
            <v>0</v>
          </cell>
          <cell r="L87">
            <v>0</v>
          </cell>
          <cell r="M87">
            <v>0</v>
          </cell>
          <cell r="N87">
            <v>0</v>
          </cell>
          <cell r="O87">
            <v>0</v>
          </cell>
          <cell r="P87">
            <v>6526653</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row>
        <row r="88">
          <cell r="B88">
            <v>13</v>
          </cell>
          <cell r="C88">
            <v>0</v>
          </cell>
          <cell r="D88">
            <v>0</v>
          </cell>
          <cell r="E88">
            <v>0</v>
          </cell>
          <cell r="F88">
            <v>0</v>
          </cell>
          <cell r="G88">
            <v>0</v>
          </cell>
          <cell r="H88">
            <v>0</v>
          </cell>
          <cell r="I88">
            <v>0</v>
          </cell>
          <cell r="J88">
            <v>0</v>
          </cell>
          <cell r="K88">
            <v>0</v>
          </cell>
          <cell r="L88">
            <v>0</v>
          </cell>
          <cell r="M88">
            <v>0</v>
          </cell>
          <cell r="N88">
            <v>0</v>
          </cell>
          <cell r="O88">
            <v>0</v>
          </cell>
          <cell r="P88">
            <v>10277000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row>
        <row r="89">
          <cell r="B89">
            <v>14</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row>
        <row r="90">
          <cell r="B90">
            <v>15</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row>
        <row r="91">
          <cell r="B91">
            <v>16</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row>
        <row r="92">
          <cell r="B92">
            <v>17</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row>
        <row r="93">
          <cell r="B93">
            <v>18</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row>
        <row r="94">
          <cell r="B94">
            <v>19</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row>
        <row r="95">
          <cell r="B95">
            <v>20</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row>
        <row r="96">
          <cell r="B96">
            <v>21</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row>
        <row r="97">
          <cell r="B97">
            <v>22</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row>
        <row r="98">
          <cell r="B98">
            <v>23</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row>
        <row r="99">
          <cell r="B99">
            <v>24</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row>
        <row r="100">
          <cell r="B100">
            <v>25</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row>
        <row r="101">
          <cell r="B101">
            <v>26</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row>
        <row r="102">
          <cell r="B102">
            <v>27</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row>
        <row r="103">
          <cell r="B103">
            <v>28</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row>
        <row r="104">
          <cell r="B104">
            <v>29</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row>
        <row r="105">
          <cell r="B105">
            <v>30</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row>
        <row r="107">
          <cell r="A107" t="str">
            <v>סה"כ</v>
          </cell>
          <cell r="C107">
            <v>155168.929</v>
          </cell>
          <cell r="D107">
            <v>42029.707000000002</v>
          </cell>
          <cell r="E107">
            <v>128230.59600000001</v>
          </cell>
          <cell r="F107">
            <v>25936.188333333332</v>
          </cell>
          <cell r="G107">
            <v>82392.178</v>
          </cell>
          <cell r="H107">
            <v>499262.51899999997</v>
          </cell>
          <cell r="I107">
            <v>156462.40299999999</v>
          </cell>
          <cell r="J107">
            <v>58288.302000000003</v>
          </cell>
          <cell r="K107">
            <v>73250.597999999998</v>
          </cell>
          <cell r="L107">
            <v>63011.004999999997</v>
          </cell>
          <cell r="M107">
            <v>87816</v>
          </cell>
          <cell r="N107">
            <v>114210.69500000001</v>
          </cell>
          <cell r="O107">
            <v>98914.097999999998</v>
          </cell>
          <cell r="P107">
            <v>83905.163</v>
          </cell>
          <cell r="Q107">
            <v>42979.930999999997</v>
          </cell>
          <cell r="R107">
            <v>48461.557000000001</v>
          </cell>
          <cell r="S107">
            <v>20382.365000000002</v>
          </cell>
          <cell r="T107">
            <v>57104.091999999997</v>
          </cell>
          <cell r="U107">
            <v>62864.678</v>
          </cell>
          <cell r="V107">
            <v>48457.552000000003</v>
          </cell>
          <cell r="W107">
            <v>77134.452999999994</v>
          </cell>
          <cell r="X107">
            <v>71428.73</v>
          </cell>
          <cell r="Y107">
            <v>40072.712</v>
          </cell>
          <cell r="Z107">
            <v>36539.423999999999</v>
          </cell>
          <cell r="AA107">
            <v>85636.524999999994</v>
          </cell>
          <cell r="AB107">
            <v>35205.489000000001</v>
          </cell>
          <cell r="AC107">
            <v>68351.183000000005</v>
          </cell>
          <cell r="AD107">
            <v>28317.245999999999</v>
          </cell>
          <cell r="AE107">
            <v>214592.11199999999</v>
          </cell>
          <cell r="AF107">
            <v>34353.266000000003</v>
          </cell>
          <cell r="AG107">
            <v>36080.231</v>
          </cell>
          <cell r="AH107">
            <v>35375.936999999998</v>
          </cell>
          <cell r="AI107">
            <v>34588.705000000002</v>
          </cell>
          <cell r="AJ107">
            <v>22482.293000000001</v>
          </cell>
          <cell r="AK107">
            <v>10808.652</v>
          </cell>
          <cell r="AL107">
            <v>195693.476</v>
          </cell>
          <cell r="AM107">
            <v>59811.722000000002</v>
          </cell>
          <cell r="AN107">
            <v>46846.951000000001</v>
          </cell>
          <cell r="AO107">
            <v>67732.403000000006</v>
          </cell>
          <cell r="AP107">
            <v>23560.257000000001</v>
          </cell>
          <cell r="AQ107">
            <v>37063.226999999999</v>
          </cell>
          <cell r="AR107">
            <v>41766.243000000002</v>
          </cell>
          <cell r="AS107">
            <v>87686.123000000007</v>
          </cell>
          <cell r="AT107">
            <v>34929.398000000001</v>
          </cell>
          <cell r="AU107">
            <v>45332.273999999998</v>
          </cell>
          <cell r="AV107">
            <v>69583.839000000007</v>
          </cell>
          <cell r="AW107">
            <v>34816.701000000001</v>
          </cell>
          <cell r="AX107">
            <v>27474.741999999998</v>
          </cell>
          <cell r="AY107">
            <v>15354.864</v>
          </cell>
          <cell r="AZ107">
            <v>37829.580999999998</v>
          </cell>
          <cell r="BA107">
            <v>41699.828999999998</v>
          </cell>
          <cell r="BB107">
            <v>62597.707000000002</v>
          </cell>
          <cell r="BC107">
            <v>52249.180999999997</v>
          </cell>
          <cell r="BD107">
            <v>5673.4089999999997</v>
          </cell>
          <cell r="BE107">
            <v>9665.0560000000005</v>
          </cell>
          <cell r="BF107">
            <v>52384.646000000001</v>
          </cell>
        </row>
        <row r="109">
          <cell r="A109" t="str">
            <v>ערך כינון ביוב מלא</v>
          </cell>
          <cell r="B109">
            <v>1</v>
          </cell>
          <cell r="C109">
            <v>178109072.57142857</v>
          </cell>
          <cell r="D109">
            <v>23580900</v>
          </cell>
          <cell r="E109">
            <v>205458663.55714285</v>
          </cell>
          <cell r="F109">
            <v>24209463.428571429</v>
          </cell>
          <cell r="G109">
            <v>102216099.3</v>
          </cell>
          <cell r="H109">
            <v>673145003.87142861</v>
          </cell>
          <cell r="I109">
            <v>220888072.54285714</v>
          </cell>
          <cell r="J109">
            <v>100999651.71428572</v>
          </cell>
          <cell r="K109">
            <v>37446869.828571424</v>
          </cell>
          <cell r="L109">
            <v>59799327</v>
          </cell>
          <cell r="M109">
            <v>165457971.42857143</v>
          </cell>
          <cell r="N109">
            <v>293730834.94285715</v>
          </cell>
          <cell r="O109">
            <v>111652652.87142858</v>
          </cell>
          <cell r="P109">
            <v>22409102.142857142</v>
          </cell>
          <cell r="Q109">
            <v>70391874.77142857</v>
          </cell>
          <cell r="R109">
            <v>39634626.72857143</v>
          </cell>
          <cell r="S109">
            <v>45330140.014285713</v>
          </cell>
          <cell r="T109">
            <v>46361036.31428571</v>
          </cell>
          <cell r="U109">
            <v>74317593.428571433</v>
          </cell>
          <cell r="V109">
            <v>44745491.014285713</v>
          </cell>
          <cell r="W109">
            <v>38283220.242857143</v>
          </cell>
          <cell r="X109">
            <v>49368888.857142858</v>
          </cell>
          <cell r="Y109">
            <v>34275791.27142857</v>
          </cell>
          <cell r="Z109">
            <v>63136331.742857143</v>
          </cell>
          <cell r="AA109">
            <v>99839589.285714284</v>
          </cell>
          <cell r="AB109">
            <v>47550356.785714284</v>
          </cell>
          <cell r="AC109">
            <v>116555970.78571428</v>
          </cell>
          <cell r="AD109">
            <v>46825537.45714286</v>
          </cell>
          <cell r="AE109">
            <v>462715137.97142857</v>
          </cell>
          <cell r="AF109">
            <v>39061245</v>
          </cell>
          <cell r="AG109">
            <v>36082686.471428573</v>
          </cell>
          <cell r="AH109">
            <v>45991541.77142857</v>
          </cell>
          <cell r="AI109">
            <v>60904068.428571425</v>
          </cell>
          <cell r="AJ109">
            <v>34408063.028571427</v>
          </cell>
          <cell r="AK109">
            <v>35132450.571428575</v>
          </cell>
          <cell r="AL109">
            <v>520358119.42857146</v>
          </cell>
          <cell r="AM109">
            <v>21361506.285714287</v>
          </cell>
          <cell r="AN109">
            <v>19233634.628571428</v>
          </cell>
          <cell r="AO109">
            <v>152128796.34285715</v>
          </cell>
          <cell r="AP109">
            <v>38696814.642857142</v>
          </cell>
          <cell r="AQ109">
            <v>64361034.557142854</v>
          </cell>
          <cell r="AR109">
            <v>28918502.742857143</v>
          </cell>
          <cell r="AS109">
            <v>43448359.928571433</v>
          </cell>
          <cell r="AT109">
            <v>43189512.928571433</v>
          </cell>
          <cell r="AU109">
            <v>67746901.714285716</v>
          </cell>
          <cell r="AV109">
            <v>100147550.74285714</v>
          </cell>
          <cell r="AW109">
            <v>59658233.5</v>
          </cell>
          <cell r="AX109">
            <v>0</v>
          </cell>
          <cell r="AY109">
            <v>27634630.714285716</v>
          </cell>
          <cell r="AZ109">
            <v>37578091.200000003</v>
          </cell>
          <cell r="BA109">
            <v>30838499.285714284</v>
          </cell>
          <cell r="BB109">
            <v>34251017.985714287</v>
          </cell>
          <cell r="BC109">
            <v>9589547.0190476179</v>
          </cell>
          <cell r="BD109">
            <v>102444104.98571429</v>
          </cell>
          <cell r="BE109">
            <v>16770535.885714285</v>
          </cell>
          <cell r="BF109">
            <v>139366431</v>
          </cell>
        </row>
        <row r="110">
          <cell r="B110">
            <v>2</v>
          </cell>
          <cell r="C110">
            <v>12256230.142857142</v>
          </cell>
          <cell r="D110">
            <v>12888453.214285715</v>
          </cell>
          <cell r="E110">
            <v>0</v>
          </cell>
          <cell r="F110">
            <v>18119013.428571429</v>
          </cell>
          <cell r="G110">
            <v>0</v>
          </cell>
          <cell r="H110">
            <v>6563505.5714285709</v>
          </cell>
          <cell r="I110">
            <v>0</v>
          </cell>
          <cell r="J110">
            <v>0</v>
          </cell>
          <cell r="K110">
            <v>33218052.857142858</v>
          </cell>
          <cell r="L110">
            <v>3936169.2</v>
          </cell>
          <cell r="M110">
            <v>0</v>
          </cell>
          <cell r="N110">
            <v>35378064.642857142</v>
          </cell>
          <cell r="O110">
            <v>7898595.8571428573</v>
          </cell>
          <cell r="P110">
            <v>12438173.571428571</v>
          </cell>
          <cell r="Q110">
            <v>0</v>
          </cell>
          <cell r="R110">
            <v>13311021.428571429</v>
          </cell>
          <cell r="S110">
            <v>0</v>
          </cell>
          <cell r="T110">
            <v>31299855</v>
          </cell>
          <cell r="U110">
            <v>0</v>
          </cell>
          <cell r="V110">
            <v>16631135.1</v>
          </cell>
          <cell r="W110">
            <v>7587703.4285714291</v>
          </cell>
          <cell r="X110">
            <v>10897992.857142858</v>
          </cell>
          <cell r="Y110">
            <v>12334624.928571429</v>
          </cell>
          <cell r="Z110">
            <v>0</v>
          </cell>
          <cell r="AA110">
            <v>0</v>
          </cell>
          <cell r="AB110">
            <v>0</v>
          </cell>
          <cell r="AC110">
            <v>0</v>
          </cell>
          <cell r="AD110">
            <v>0</v>
          </cell>
          <cell r="AE110">
            <v>0</v>
          </cell>
          <cell r="AF110">
            <v>27577442.857142858</v>
          </cell>
          <cell r="AG110">
            <v>0</v>
          </cell>
          <cell r="AH110">
            <v>0</v>
          </cell>
          <cell r="AI110">
            <v>0</v>
          </cell>
          <cell r="AJ110">
            <v>15593463.6</v>
          </cell>
          <cell r="AK110">
            <v>0</v>
          </cell>
          <cell r="AL110">
            <v>0</v>
          </cell>
          <cell r="AM110">
            <v>25891071.142857142</v>
          </cell>
          <cell r="AN110">
            <v>21895801.857142858</v>
          </cell>
          <cell r="AO110">
            <v>0</v>
          </cell>
          <cell r="AP110">
            <v>0</v>
          </cell>
          <cell r="AQ110">
            <v>0</v>
          </cell>
          <cell r="AR110">
            <v>33649150</v>
          </cell>
          <cell r="AS110">
            <v>12301636.585714286</v>
          </cell>
          <cell r="AT110">
            <v>0</v>
          </cell>
          <cell r="AU110">
            <v>0</v>
          </cell>
          <cell r="AV110">
            <v>31676262.199999999</v>
          </cell>
          <cell r="AW110">
            <v>0</v>
          </cell>
          <cell r="AX110">
            <v>7817563.9285714282</v>
          </cell>
          <cell r="AY110">
            <v>0</v>
          </cell>
          <cell r="AZ110">
            <v>28075160.114285715</v>
          </cell>
          <cell r="BA110">
            <v>46486777.657142855</v>
          </cell>
          <cell r="BB110">
            <v>14202315.642857142</v>
          </cell>
          <cell r="BC110">
            <v>19043337.285714287</v>
          </cell>
          <cell r="BD110">
            <v>24580503.357142858</v>
          </cell>
          <cell r="BE110">
            <v>0</v>
          </cell>
          <cell r="BF110">
            <v>31895118</v>
          </cell>
        </row>
        <row r="111">
          <cell r="B111">
            <v>3</v>
          </cell>
          <cell r="C111">
            <v>3676880</v>
          </cell>
          <cell r="D111">
            <v>10309255.328571428</v>
          </cell>
          <cell r="E111">
            <v>0</v>
          </cell>
          <cell r="F111">
            <v>0</v>
          </cell>
          <cell r="G111">
            <v>0</v>
          </cell>
          <cell r="H111">
            <v>31325208</v>
          </cell>
          <cell r="I111">
            <v>0</v>
          </cell>
          <cell r="J111">
            <v>0</v>
          </cell>
          <cell r="K111">
            <v>60775392.857142858</v>
          </cell>
          <cell r="L111">
            <v>9323897.1428571418</v>
          </cell>
          <cell r="M111">
            <v>0</v>
          </cell>
          <cell r="N111">
            <v>0</v>
          </cell>
          <cell r="O111">
            <v>7256368.2857142854</v>
          </cell>
          <cell r="P111">
            <v>9916900.7142857146</v>
          </cell>
          <cell r="Q111">
            <v>0</v>
          </cell>
          <cell r="R111">
            <v>15019950</v>
          </cell>
          <cell r="S111">
            <v>0</v>
          </cell>
          <cell r="T111">
            <v>19229574</v>
          </cell>
          <cell r="U111">
            <v>0</v>
          </cell>
          <cell r="V111">
            <v>18517861.971428573</v>
          </cell>
          <cell r="W111">
            <v>11959787.228571428</v>
          </cell>
          <cell r="X111">
            <v>16685588.828571428</v>
          </cell>
          <cell r="Y111">
            <v>20546043.300000001</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11426614.285714285</v>
          </cell>
          <cell r="AN111">
            <v>18212639.285714284</v>
          </cell>
          <cell r="AO111">
            <v>0</v>
          </cell>
          <cell r="AP111">
            <v>0</v>
          </cell>
          <cell r="AQ111">
            <v>0</v>
          </cell>
          <cell r="AR111">
            <v>0</v>
          </cell>
          <cell r="AS111">
            <v>9233044.8428571429</v>
          </cell>
          <cell r="AT111">
            <v>0</v>
          </cell>
          <cell r="AU111">
            <v>0</v>
          </cell>
          <cell r="AV111">
            <v>0</v>
          </cell>
          <cell r="AW111">
            <v>0</v>
          </cell>
          <cell r="AX111">
            <v>20357973.557142857</v>
          </cell>
          <cell r="AY111">
            <v>0</v>
          </cell>
          <cell r="AZ111">
            <v>13538764.557142857</v>
          </cell>
          <cell r="BA111">
            <v>20217423.800000001</v>
          </cell>
          <cell r="BB111">
            <v>12721408.9</v>
          </cell>
          <cell r="BC111">
            <v>13319646.985714287</v>
          </cell>
          <cell r="BD111">
            <v>0</v>
          </cell>
          <cell r="BE111">
            <v>0</v>
          </cell>
          <cell r="BF111">
            <v>0</v>
          </cell>
        </row>
        <row r="112">
          <cell r="B112">
            <v>4</v>
          </cell>
          <cell r="C112">
            <v>0</v>
          </cell>
          <cell r="D112">
            <v>12571020</v>
          </cell>
          <cell r="E112">
            <v>0</v>
          </cell>
          <cell r="F112">
            <v>0</v>
          </cell>
          <cell r="G112">
            <v>0</v>
          </cell>
          <cell r="H112">
            <v>0</v>
          </cell>
          <cell r="I112">
            <v>0</v>
          </cell>
          <cell r="J112">
            <v>0</v>
          </cell>
          <cell r="K112">
            <v>0</v>
          </cell>
          <cell r="L112">
            <v>6707786.7000000002</v>
          </cell>
          <cell r="M112">
            <v>0</v>
          </cell>
          <cell r="N112">
            <v>0</v>
          </cell>
          <cell r="O112">
            <v>23641412.142857142</v>
          </cell>
          <cell r="P112">
            <v>4262613.0857142862</v>
          </cell>
          <cell r="Q112">
            <v>0</v>
          </cell>
          <cell r="R112">
            <v>0</v>
          </cell>
          <cell r="S112">
            <v>0</v>
          </cell>
          <cell r="T112">
            <v>7613760</v>
          </cell>
          <cell r="U112">
            <v>0</v>
          </cell>
          <cell r="V112">
            <v>9877037.3571428582</v>
          </cell>
          <cell r="W112">
            <v>6895886.1714285715</v>
          </cell>
          <cell r="X112">
            <v>7760584.2000000002</v>
          </cell>
          <cell r="Y112">
            <v>16818072.300000001</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22393712.128571428</v>
          </cell>
          <cell r="AN112">
            <v>13952486.428571429</v>
          </cell>
          <cell r="AO112">
            <v>0</v>
          </cell>
          <cell r="AP112">
            <v>0</v>
          </cell>
          <cell r="AQ112">
            <v>0</v>
          </cell>
          <cell r="AR112">
            <v>0</v>
          </cell>
          <cell r="AS112">
            <v>9797655.9000000004</v>
          </cell>
          <cell r="AT112">
            <v>0</v>
          </cell>
          <cell r="AU112">
            <v>0</v>
          </cell>
          <cell r="AV112">
            <v>0</v>
          </cell>
          <cell r="AW112">
            <v>0</v>
          </cell>
          <cell r="AX112">
            <v>24623913.571428571</v>
          </cell>
          <cell r="AY112">
            <v>0</v>
          </cell>
          <cell r="AZ112">
            <v>0</v>
          </cell>
          <cell r="BA112">
            <v>19976344.742857143</v>
          </cell>
          <cell r="BB112">
            <v>9424012.6857142858</v>
          </cell>
          <cell r="BC112">
            <v>17841644.671428572</v>
          </cell>
          <cell r="BD112">
            <v>0</v>
          </cell>
          <cell r="BE112">
            <v>0</v>
          </cell>
          <cell r="BF112">
            <v>0</v>
          </cell>
        </row>
        <row r="113">
          <cell r="B113">
            <v>5</v>
          </cell>
          <cell r="C113">
            <v>0</v>
          </cell>
          <cell r="D113">
            <v>6652937</v>
          </cell>
          <cell r="E113">
            <v>0</v>
          </cell>
          <cell r="F113">
            <v>0</v>
          </cell>
          <cell r="G113">
            <v>0</v>
          </cell>
          <cell r="H113">
            <v>0</v>
          </cell>
          <cell r="I113">
            <v>0</v>
          </cell>
          <cell r="J113">
            <v>0</v>
          </cell>
          <cell r="K113">
            <v>0</v>
          </cell>
          <cell r="L113">
            <v>0</v>
          </cell>
          <cell r="M113">
            <v>0</v>
          </cell>
          <cell r="N113">
            <v>0</v>
          </cell>
          <cell r="O113">
            <v>0</v>
          </cell>
          <cell r="P113">
            <v>5694589.0714285709</v>
          </cell>
          <cell r="Q113">
            <v>0</v>
          </cell>
          <cell r="R113">
            <v>0</v>
          </cell>
          <cell r="S113">
            <v>0</v>
          </cell>
          <cell r="T113">
            <v>0</v>
          </cell>
          <cell r="U113">
            <v>0</v>
          </cell>
          <cell r="V113">
            <v>10810199.142857144</v>
          </cell>
          <cell r="W113">
            <v>3415733.1428571427</v>
          </cell>
          <cell r="X113">
            <v>9927918.8142857142</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15356747.571428571</v>
          </cell>
          <cell r="AN113">
            <v>23347401.428571429</v>
          </cell>
          <cell r="AO113">
            <v>0</v>
          </cell>
          <cell r="AP113">
            <v>0</v>
          </cell>
          <cell r="AQ113">
            <v>0</v>
          </cell>
          <cell r="AR113">
            <v>0</v>
          </cell>
          <cell r="AS113">
            <v>25275944.014285713</v>
          </cell>
          <cell r="AT113">
            <v>0</v>
          </cell>
          <cell r="AU113">
            <v>0</v>
          </cell>
          <cell r="AV113">
            <v>0</v>
          </cell>
          <cell r="AW113">
            <v>0</v>
          </cell>
          <cell r="AX113">
            <v>0</v>
          </cell>
          <cell r="AY113">
            <v>0</v>
          </cell>
          <cell r="AZ113">
            <v>0</v>
          </cell>
          <cell r="BA113">
            <v>0</v>
          </cell>
          <cell r="BB113">
            <v>26797861.528571427</v>
          </cell>
          <cell r="BC113">
            <v>27314437.714285716</v>
          </cell>
          <cell r="BD113">
            <v>0</v>
          </cell>
          <cell r="BE113">
            <v>0</v>
          </cell>
          <cell r="BF113">
            <v>0</v>
          </cell>
        </row>
        <row r="114">
          <cell r="B114">
            <v>6</v>
          </cell>
          <cell r="C114">
            <v>0</v>
          </cell>
          <cell r="D114">
            <v>9493918</v>
          </cell>
          <cell r="E114">
            <v>0</v>
          </cell>
          <cell r="F114">
            <v>0</v>
          </cell>
          <cell r="G114">
            <v>0</v>
          </cell>
          <cell r="H114">
            <v>0</v>
          </cell>
          <cell r="I114">
            <v>0</v>
          </cell>
          <cell r="J114">
            <v>0</v>
          </cell>
          <cell r="K114">
            <v>0</v>
          </cell>
          <cell r="L114">
            <v>0</v>
          </cell>
          <cell r="M114">
            <v>0</v>
          </cell>
          <cell r="N114">
            <v>0</v>
          </cell>
          <cell r="O114">
            <v>0</v>
          </cell>
          <cell r="P114">
            <v>11962174.071428571</v>
          </cell>
          <cell r="Q114">
            <v>0</v>
          </cell>
          <cell r="R114">
            <v>0</v>
          </cell>
          <cell r="S114">
            <v>0</v>
          </cell>
          <cell r="T114">
            <v>0</v>
          </cell>
          <cell r="U114">
            <v>0</v>
          </cell>
          <cell r="V114">
            <v>5763579.4285714291</v>
          </cell>
          <cell r="W114">
            <v>20614058.057142857</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17139419.428571429</v>
          </cell>
          <cell r="AO114">
            <v>0</v>
          </cell>
          <cell r="AP114">
            <v>0</v>
          </cell>
          <cell r="AQ114">
            <v>0</v>
          </cell>
          <cell r="AR114">
            <v>0</v>
          </cell>
          <cell r="AS114">
            <v>7936207.7142857146</v>
          </cell>
          <cell r="AT114">
            <v>0</v>
          </cell>
          <cell r="AU114">
            <v>0</v>
          </cell>
          <cell r="AV114">
            <v>0</v>
          </cell>
          <cell r="AW114">
            <v>0</v>
          </cell>
          <cell r="AX114">
            <v>0</v>
          </cell>
          <cell r="AY114">
            <v>0</v>
          </cell>
          <cell r="AZ114">
            <v>0</v>
          </cell>
          <cell r="BA114">
            <v>0</v>
          </cell>
          <cell r="BB114">
            <v>3111328.7571428572</v>
          </cell>
          <cell r="BC114">
            <v>9589547.0190476179</v>
          </cell>
          <cell r="BD114">
            <v>0</v>
          </cell>
          <cell r="BE114">
            <v>0</v>
          </cell>
          <cell r="BF114">
            <v>0</v>
          </cell>
        </row>
        <row r="115">
          <cell r="B115">
            <v>7</v>
          </cell>
          <cell r="C115">
            <v>0</v>
          </cell>
          <cell r="D115">
            <v>7755990</v>
          </cell>
          <cell r="E115">
            <v>0</v>
          </cell>
          <cell r="F115">
            <v>0</v>
          </cell>
          <cell r="G115">
            <v>0</v>
          </cell>
          <cell r="H115">
            <v>0</v>
          </cell>
          <cell r="I115">
            <v>0</v>
          </cell>
          <cell r="J115">
            <v>0</v>
          </cell>
          <cell r="K115">
            <v>0</v>
          </cell>
          <cell r="L115">
            <v>0</v>
          </cell>
          <cell r="M115">
            <v>0</v>
          </cell>
          <cell r="N115">
            <v>0</v>
          </cell>
          <cell r="O115">
            <v>0</v>
          </cell>
          <cell r="P115">
            <v>12237165.557142857</v>
          </cell>
          <cell r="Q115">
            <v>0</v>
          </cell>
          <cell r="R115">
            <v>0</v>
          </cell>
          <cell r="S115">
            <v>0</v>
          </cell>
          <cell r="T115">
            <v>0</v>
          </cell>
          <cell r="U115">
            <v>0</v>
          </cell>
          <cell r="V115">
            <v>9377699.4428571425</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6031221.2999999998</v>
          </cell>
          <cell r="AT115">
            <v>0</v>
          </cell>
          <cell r="AU115">
            <v>0</v>
          </cell>
          <cell r="AV115">
            <v>0</v>
          </cell>
          <cell r="AW115">
            <v>0</v>
          </cell>
          <cell r="AX115">
            <v>0</v>
          </cell>
          <cell r="AY115">
            <v>0</v>
          </cell>
          <cell r="AZ115">
            <v>0</v>
          </cell>
          <cell r="BA115">
            <v>0</v>
          </cell>
          <cell r="BB115">
            <v>15849105.4</v>
          </cell>
          <cell r="BC115">
            <v>9589547.0190476179</v>
          </cell>
          <cell r="BD115">
            <v>0</v>
          </cell>
          <cell r="BE115">
            <v>0</v>
          </cell>
          <cell r="BF115">
            <v>0</v>
          </cell>
        </row>
        <row r="116">
          <cell r="B116">
            <v>8</v>
          </cell>
          <cell r="C116">
            <v>0</v>
          </cell>
          <cell r="D116">
            <v>0</v>
          </cell>
          <cell r="E116">
            <v>0</v>
          </cell>
          <cell r="F116">
            <v>0</v>
          </cell>
          <cell r="G116">
            <v>0</v>
          </cell>
          <cell r="H116">
            <v>0</v>
          </cell>
          <cell r="I116">
            <v>0</v>
          </cell>
          <cell r="J116">
            <v>0</v>
          </cell>
          <cell r="K116">
            <v>0</v>
          </cell>
          <cell r="L116">
            <v>0</v>
          </cell>
          <cell r="M116">
            <v>0</v>
          </cell>
          <cell r="N116">
            <v>0</v>
          </cell>
          <cell r="O116">
            <v>0</v>
          </cell>
          <cell r="P116">
            <v>8356162.5571428575</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16168488.085714286</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row>
        <row r="117">
          <cell r="B117">
            <v>9</v>
          </cell>
          <cell r="C117">
            <v>0</v>
          </cell>
          <cell r="D117">
            <v>0</v>
          </cell>
          <cell r="E117">
            <v>0</v>
          </cell>
          <cell r="F117">
            <v>0</v>
          </cell>
          <cell r="G117">
            <v>0</v>
          </cell>
          <cell r="H117">
            <v>0</v>
          </cell>
          <cell r="I117">
            <v>0</v>
          </cell>
          <cell r="J117">
            <v>0</v>
          </cell>
          <cell r="K117">
            <v>0</v>
          </cell>
          <cell r="L117">
            <v>0</v>
          </cell>
          <cell r="M117">
            <v>0</v>
          </cell>
          <cell r="N117">
            <v>0</v>
          </cell>
          <cell r="O117">
            <v>0</v>
          </cell>
          <cell r="P117">
            <v>18385832.857142858</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9530120.8142857142</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row>
        <row r="118">
          <cell r="B118">
            <v>10</v>
          </cell>
          <cell r="C118">
            <v>0</v>
          </cell>
          <cell r="D118">
            <v>0</v>
          </cell>
          <cell r="E118">
            <v>0</v>
          </cell>
          <cell r="F118">
            <v>0</v>
          </cell>
          <cell r="G118">
            <v>0</v>
          </cell>
          <cell r="H118">
            <v>0</v>
          </cell>
          <cell r="I118">
            <v>0</v>
          </cell>
          <cell r="J118">
            <v>0</v>
          </cell>
          <cell r="K118">
            <v>0</v>
          </cell>
          <cell r="L118">
            <v>0</v>
          </cell>
          <cell r="M118">
            <v>0</v>
          </cell>
          <cell r="N118">
            <v>0</v>
          </cell>
          <cell r="O118">
            <v>0</v>
          </cell>
          <cell r="P118">
            <v>11597951.971428571</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9934967.8571428582</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row>
        <row r="119">
          <cell r="B119">
            <v>11</v>
          </cell>
          <cell r="C119">
            <v>0</v>
          </cell>
          <cell r="D119">
            <v>0</v>
          </cell>
          <cell r="E119">
            <v>0</v>
          </cell>
          <cell r="F119">
            <v>0</v>
          </cell>
          <cell r="G119">
            <v>0</v>
          </cell>
          <cell r="H119">
            <v>0</v>
          </cell>
          <cell r="I119">
            <v>0</v>
          </cell>
          <cell r="J119">
            <v>0</v>
          </cell>
          <cell r="K119">
            <v>0</v>
          </cell>
          <cell r="L119">
            <v>0</v>
          </cell>
          <cell r="M119">
            <v>0</v>
          </cell>
          <cell r="N119">
            <v>0</v>
          </cell>
          <cell r="O119">
            <v>0</v>
          </cell>
          <cell r="P119">
            <v>10042007.357142856</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5184530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row>
        <row r="120">
          <cell r="B120">
            <v>12</v>
          </cell>
          <cell r="C120">
            <v>0</v>
          </cell>
          <cell r="D120">
            <v>0</v>
          </cell>
          <cell r="E120">
            <v>0</v>
          </cell>
          <cell r="F120">
            <v>0</v>
          </cell>
          <cell r="G120">
            <v>0</v>
          </cell>
          <cell r="H120">
            <v>0</v>
          </cell>
          <cell r="I120">
            <v>0</v>
          </cell>
          <cell r="J120">
            <v>0</v>
          </cell>
          <cell r="K120">
            <v>0</v>
          </cell>
          <cell r="L120">
            <v>0</v>
          </cell>
          <cell r="M120">
            <v>0</v>
          </cell>
          <cell r="N120">
            <v>0</v>
          </cell>
          <cell r="O120">
            <v>0</v>
          </cell>
          <cell r="P120">
            <v>11077721.128571428</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row>
        <row r="121">
          <cell r="B121">
            <v>13</v>
          </cell>
          <cell r="C121">
            <v>0</v>
          </cell>
          <cell r="D121">
            <v>0</v>
          </cell>
          <cell r="E121">
            <v>0</v>
          </cell>
          <cell r="F121">
            <v>0</v>
          </cell>
          <cell r="G121">
            <v>0</v>
          </cell>
          <cell r="H121">
            <v>0</v>
          </cell>
          <cell r="I121">
            <v>0</v>
          </cell>
          <cell r="J121">
            <v>0</v>
          </cell>
          <cell r="K121">
            <v>0</v>
          </cell>
          <cell r="L121">
            <v>0</v>
          </cell>
          <cell r="M121">
            <v>0</v>
          </cell>
          <cell r="N121">
            <v>0</v>
          </cell>
          <cell r="O121">
            <v>0</v>
          </cell>
          <cell r="P121">
            <v>14999028.571428571</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row>
        <row r="122">
          <cell r="B122">
            <v>14</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row>
        <row r="123">
          <cell r="B123">
            <v>15</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row>
        <row r="124">
          <cell r="B124">
            <v>16</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row>
        <row r="125">
          <cell r="B125">
            <v>17</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row>
        <row r="126">
          <cell r="B126">
            <v>18</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row>
        <row r="127">
          <cell r="B127">
            <v>19</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row>
        <row r="128">
          <cell r="B128">
            <v>20</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row>
        <row r="129">
          <cell r="B129">
            <v>21</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row>
        <row r="130">
          <cell r="B130">
            <v>22</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row>
        <row r="131">
          <cell r="B131">
            <v>23</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row>
        <row r="132">
          <cell r="B132">
            <v>24</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row>
        <row r="133">
          <cell r="B133">
            <v>25</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row>
        <row r="134">
          <cell r="B134">
            <v>26</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row>
        <row r="135">
          <cell r="B135">
            <v>27</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row>
        <row r="136">
          <cell r="B136">
            <v>28</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row>
        <row r="137">
          <cell r="B137">
            <v>29</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row>
        <row r="138">
          <cell r="B138">
            <v>30</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row>
        <row r="140">
          <cell r="A140" t="str">
            <v>סה"כ</v>
          </cell>
          <cell r="C140">
            <v>194042.18271428571</v>
          </cell>
          <cell r="D140">
            <v>83252.473542857144</v>
          </cell>
          <cell r="E140">
            <v>205458.66355714286</v>
          </cell>
          <cell r="F140">
            <v>42328.476857142858</v>
          </cell>
          <cell r="G140">
            <v>102216.0993</v>
          </cell>
          <cell r="H140">
            <v>711033.7174428571</v>
          </cell>
          <cell r="I140">
            <v>220888.07254285715</v>
          </cell>
          <cell r="J140">
            <v>100999.65171428572</v>
          </cell>
          <cell r="K140">
            <v>131440.31554285713</v>
          </cell>
          <cell r="L140">
            <v>79767.180042857159</v>
          </cell>
          <cell r="M140">
            <v>165457.97142857144</v>
          </cell>
          <cell r="N140">
            <v>329108.89958571427</v>
          </cell>
          <cell r="O140">
            <v>150449.02915714285</v>
          </cell>
          <cell r="P140">
            <v>153379.42265714286</v>
          </cell>
          <cell r="Q140">
            <v>70391.874771428571</v>
          </cell>
          <cell r="R140">
            <v>67965.598157142857</v>
          </cell>
          <cell r="S140">
            <v>45330.140014285716</v>
          </cell>
          <cell r="T140">
            <v>104504.22531428571</v>
          </cell>
          <cell r="U140">
            <v>74317.593428571432</v>
          </cell>
          <cell r="V140">
            <v>115723.00345714287</v>
          </cell>
          <cell r="W140">
            <v>88756.388271428572</v>
          </cell>
          <cell r="X140">
            <v>94640.973557142861</v>
          </cell>
          <cell r="Y140">
            <v>83974.531799999997</v>
          </cell>
          <cell r="Z140">
            <v>63136.331742857146</v>
          </cell>
          <cell r="AA140">
            <v>99839.58928571429</v>
          </cell>
          <cell r="AB140">
            <v>47550.356785714284</v>
          </cell>
          <cell r="AC140">
            <v>116555.97078571428</v>
          </cell>
          <cell r="AD140">
            <v>46825.537457142862</v>
          </cell>
          <cell r="AE140">
            <v>462715.13797142857</v>
          </cell>
          <cell r="AF140">
            <v>66638.687857142853</v>
          </cell>
          <cell r="AG140">
            <v>36082.686471428577</v>
          </cell>
          <cell r="AH140">
            <v>45991.541771428572</v>
          </cell>
          <cell r="AI140">
            <v>60904.068428571423</v>
          </cell>
          <cell r="AJ140">
            <v>50001.526628571432</v>
          </cell>
          <cell r="AK140">
            <v>35132.450571428577</v>
          </cell>
          <cell r="AL140">
            <v>520358.11942857149</v>
          </cell>
          <cell r="AM140">
            <v>96429.65141428572</v>
          </cell>
          <cell r="AN140">
            <v>113781.38305714287</v>
          </cell>
          <cell r="AO140">
            <v>152128.79634285715</v>
          </cell>
          <cell r="AP140">
            <v>38696.814642857142</v>
          </cell>
          <cell r="AQ140">
            <v>64361.034557142855</v>
          </cell>
          <cell r="AR140">
            <v>62567.652742857143</v>
          </cell>
          <cell r="AS140">
            <v>154842.17704285716</v>
          </cell>
          <cell r="AT140">
            <v>43189.512928571436</v>
          </cell>
          <cell r="AU140">
            <v>67746.901714285719</v>
          </cell>
          <cell r="AV140">
            <v>131823.81294285716</v>
          </cell>
          <cell r="AW140">
            <v>59658.233500000002</v>
          </cell>
          <cell r="AX140">
            <v>52799.451057142855</v>
          </cell>
          <cell r="AY140">
            <v>27634.630714285715</v>
          </cell>
          <cell r="AZ140">
            <v>79192.015871428579</v>
          </cell>
          <cell r="BA140">
            <v>117519.04548571429</v>
          </cell>
          <cell r="BB140">
            <v>116357.0509</v>
          </cell>
          <cell r="BC140">
            <v>106287.70771428572</v>
          </cell>
          <cell r="BD140">
            <v>127024.60834285716</v>
          </cell>
          <cell r="BE140">
            <v>16770.535885714286</v>
          </cell>
          <cell r="BF140">
            <v>171261.549</v>
          </cell>
        </row>
        <row r="142">
          <cell r="A142" t="str">
            <v>ערך כינון ביוב מופחת</v>
          </cell>
          <cell r="B142">
            <v>1</v>
          </cell>
          <cell r="C142">
            <v>64226209</v>
          </cell>
          <cell r="D142">
            <v>15231000</v>
          </cell>
          <cell r="E142">
            <v>134563843</v>
          </cell>
          <cell r="F142">
            <v>14501367</v>
          </cell>
          <cell r="G142">
            <v>83146260</v>
          </cell>
          <cell r="H142">
            <v>343136605</v>
          </cell>
          <cell r="I142">
            <v>147487683</v>
          </cell>
          <cell r="J142">
            <v>47257507</v>
          </cell>
          <cell r="K142">
            <v>17454553</v>
          </cell>
          <cell r="L142">
            <v>25942187</v>
          </cell>
          <cell r="M142">
            <v>82342000</v>
          </cell>
          <cell r="N142">
            <v>146123249</v>
          </cell>
          <cell r="O142">
            <v>36469910</v>
          </cell>
          <cell r="P142">
            <v>10492252</v>
          </cell>
          <cell r="Q142">
            <v>6102764</v>
          </cell>
          <cell r="R142">
            <v>31166227</v>
          </cell>
          <cell r="S142">
            <v>27211389</v>
          </cell>
          <cell r="T142">
            <v>22027467</v>
          </cell>
          <cell r="U142">
            <v>36293538</v>
          </cell>
          <cell r="V142">
            <v>35598019</v>
          </cell>
          <cell r="W142">
            <v>35333415</v>
          </cell>
          <cell r="X142">
            <v>27914917</v>
          </cell>
          <cell r="Y142">
            <v>24707150</v>
          </cell>
          <cell r="Z142">
            <v>30555173</v>
          </cell>
          <cell r="AA142">
            <v>42980559</v>
          </cell>
          <cell r="AB142">
            <v>28159125</v>
          </cell>
          <cell r="AC142">
            <v>55224295</v>
          </cell>
          <cell r="AD142">
            <v>23392981</v>
          </cell>
          <cell r="AE142">
            <v>147519829</v>
          </cell>
          <cell r="AF142">
            <v>12943739</v>
          </cell>
          <cell r="AG142">
            <v>17120713</v>
          </cell>
          <cell r="AH142">
            <v>42084208</v>
          </cell>
          <cell r="AI142">
            <v>37136537</v>
          </cell>
          <cell r="AJ142">
            <v>9001581</v>
          </cell>
          <cell r="AK142">
            <v>7505799</v>
          </cell>
          <cell r="AL142">
            <v>175531370</v>
          </cell>
          <cell r="AM142">
            <v>16220117</v>
          </cell>
          <cell r="AN142">
            <v>19386198</v>
          </cell>
          <cell r="AO142">
            <v>7135457</v>
          </cell>
          <cell r="AP142">
            <v>2328894</v>
          </cell>
          <cell r="AQ142">
            <v>21448785</v>
          </cell>
          <cell r="AR142">
            <v>9811474</v>
          </cell>
          <cell r="AS142">
            <v>31311779</v>
          </cell>
          <cell r="AT142">
            <v>27289264</v>
          </cell>
          <cell r="AU142">
            <v>38501901</v>
          </cell>
          <cell r="AV142">
            <v>63513775</v>
          </cell>
          <cell r="AW142">
            <v>32214217</v>
          </cell>
          <cell r="AX142">
            <v>0</v>
          </cell>
          <cell r="AY142">
            <v>7134115</v>
          </cell>
          <cell r="AZ142">
            <v>17862008</v>
          </cell>
          <cell r="BA142">
            <v>8982050</v>
          </cell>
          <cell r="BB142">
            <v>31519586</v>
          </cell>
          <cell r="BC142">
            <v>7705345.333333333</v>
          </cell>
          <cell r="BD142">
            <v>48181685</v>
          </cell>
          <cell r="BE142">
            <v>10505340</v>
          </cell>
          <cell r="BF142">
            <v>62407263</v>
          </cell>
        </row>
        <row r="143">
          <cell r="B143">
            <v>2</v>
          </cell>
          <cell r="C143">
            <v>12786007</v>
          </cell>
          <cell r="D143">
            <v>8149842</v>
          </cell>
          <cell r="E143">
            <v>0</v>
          </cell>
          <cell r="F143">
            <v>14276882</v>
          </cell>
          <cell r="G143">
            <v>0</v>
          </cell>
          <cell r="H143">
            <v>6256714</v>
          </cell>
          <cell r="I143">
            <v>0</v>
          </cell>
          <cell r="J143">
            <v>0</v>
          </cell>
          <cell r="K143">
            <v>13435219</v>
          </cell>
          <cell r="L143">
            <v>2801687</v>
          </cell>
          <cell r="M143">
            <v>0</v>
          </cell>
          <cell r="N143">
            <v>24517307</v>
          </cell>
          <cell r="O143">
            <v>1801370</v>
          </cell>
          <cell r="P143">
            <v>5643500</v>
          </cell>
          <cell r="Q143">
            <v>0</v>
          </cell>
          <cell r="R143">
            <v>6950758</v>
          </cell>
          <cell r="S143">
            <v>0</v>
          </cell>
          <cell r="T143">
            <v>19984954</v>
          </cell>
          <cell r="U143">
            <v>0</v>
          </cell>
          <cell r="V143">
            <v>15134780</v>
          </cell>
          <cell r="W143">
            <v>7493900</v>
          </cell>
          <cell r="X143">
            <v>9255633</v>
          </cell>
          <cell r="Y143">
            <v>10442362</v>
          </cell>
          <cell r="Z143">
            <v>0</v>
          </cell>
          <cell r="AA143">
            <v>0</v>
          </cell>
          <cell r="AB143">
            <v>0</v>
          </cell>
          <cell r="AC143">
            <v>0</v>
          </cell>
          <cell r="AD143">
            <v>0</v>
          </cell>
          <cell r="AE143">
            <v>0</v>
          </cell>
          <cell r="AF143">
            <v>21770000</v>
          </cell>
          <cell r="AG143">
            <v>0</v>
          </cell>
          <cell r="AH143">
            <v>0</v>
          </cell>
          <cell r="AI143">
            <v>0</v>
          </cell>
          <cell r="AJ143">
            <v>6946130</v>
          </cell>
          <cell r="AK143">
            <v>0</v>
          </cell>
          <cell r="AL143">
            <v>0</v>
          </cell>
          <cell r="AM143">
            <v>19712031</v>
          </cell>
          <cell r="AN143">
            <v>20044823</v>
          </cell>
          <cell r="AO143">
            <v>0</v>
          </cell>
          <cell r="AP143">
            <v>0</v>
          </cell>
          <cell r="AQ143">
            <v>0</v>
          </cell>
          <cell r="AR143">
            <v>15266472</v>
          </cell>
          <cell r="AS143">
            <v>10186085</v>
          </cell>
          <cell r="AT143">
            <v>0</v>
          </cell>
          <cell r="AU143">
            <v>0</v>
          </cell>
          <cell r="AV143">
            <v>17398688</v>
          </cell>
          <cell r="AW143">
            <v>0</v>
          </cell>
          <cell r="AX143">
            <v>6551468</v>
          </cell>
          <cell r="AY143">
            <v>0</v>
          </cell>
          <cell r="AZ143">
            <v>18888873</v>
          </cell>
          <cell r="BA143">
            <v>13193245</v>
          </cell>
          <cell r="BB143">
            <v>11499080</v>
          </cell>
          <cell r="BC143">
            <v>17092896</v>
          </cell>
          <cell r="BD143">
            <v>8735303</v>
          </cell>
          <cell r="BE143">
            <v>0</v>
          </cell>
          <cell r="BF143">
            <v>21691674</v>
          </cell>
        </row>
        <row r="144">
          <cell r="B144">
            <v>3</v>
          </cell>
          <cell r="C144">
            <v>2203039</v>
          </cell>
          <cell r="D144">
            <v>8012441</v>
          </cell>
          <cell r="E144">
            <v>0</v>
          </cell>
          <cell r="F144">
            <v>0</v>
          </cell>
          <cell r="G144">
            <v>0</v>
          </cell>
          <cell r="H144">
            <v>11909442</v>
          </cell>
          <cell r="I144">
            <v>0</v>
          </cell>
          <cell r="J144">
            <v>0</v>
          </cell>
          <cell r="K144">
            <v>26595342</v>
          </cell>
          <cell r="L144">
            <v>6841071</v>
          </cell>
          <cell r="M144">
            <v>0</v>
          </cell>
          <cell r="N144">
            <v>0</v>
          </cell>
          <cell r="O144">
            <v>4450672</v>
          </cell>
          <cell r="P144">
            <v>10279228</v>
          </cell>
          <cell r="Q144">
            <v>0</v>
          </cell>
          <cell r="R144">
            <v>11246433</v>
          </cell>
          <cell r="S144">
            <v>0</v>
          </cell>
          <cell r="T144">
            <v>6797674</v>
          </cell>
          <cell r="U144">
            <v>0</v>
          </cell>
          <cell r="V144">
            <v>15263077</v>
          </cell>
          <cell r="W144">
            <v>11513869</v>
          </cell>
          <cell r="X144">
            <v>12320026</v>
          </cell>
          <cell r="Y144">
            <v>16073213</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10280000</v>
          </cell>
          <cell r="AN144">
            <v>14530855</v>
          </cell>
          <cell r="AO144">
            <v>0</v>
          </cell>
          <cell r="AP144">
            <v>0</v>
          </cell>
          <cell r="AQ144">
            <v>0</v>
          </cell>
          <cell r="AR144">
            <v>0</v>
          </cell>
          <cell r="AS144">
            <v>9350463</v>
          </cell>
          <cell r="AT144">
            <v>0</v>
          </cell>
          <cell r="AU144">
            <v>0</v>
          </cell>
          <cell r="AV144">
            <v>0</v>
          </cell>
          <cell r="AW144">
            <v>0</v>
          </cell>
          <cell r="AX144">
            <v>18422144</v>
          </cell>
          <cell r="AY144">
            <v>0</v>
          </cell>
          <cell r="AZ144">
            <v>10240178</v>
          </cell>
          <cell r="BA144">
            <v>11585912</v>
          </cell>
          <cell r="BB144">
            <v>10950306</v>
          </cell>
          <cell r="BC144">
            <v>11236802</v>
          </cell>
          <cell r="BD144">
            <v>0</v>
          </cell>
          <cell r="BE144">
            <v>0</v>
          </cell>
          <cell r="BF144">
            <v>0</v>
          </cell>
        </row>
        <row r="145">
          <cell r="B145">
            <v>4</v>
          </cell>
          <cell r="C145">
            <v>0</v>
          </cell>
          <cell r="D145">
            <v>8132067</v>
          </cell>
          <cell r="E145">
            <v>0</v>
          </cell>
          <cell r="F145">
            <v>0</v>
          </cell>
          <cell r="G145">
            <v>0</v>
          </cell>
          <cell r="H145">
            <v>0</v>
          </cell>
          <cell r="I145">
            <v>0</v>
          </cell>
          <cell r="J145">
            <v>0</v>
          </cell>
          <cell r="K145">
            <v>0</v>
          </cell>
          <cell r="L145">
            <v>4842797</v>
          </cell>
          <cell r="M145">
            <v>0</v>
          </cell>
          <cell r="N145">
            <v>0</v>
          </cell>
          <cell r="O145">
            <v>5592416</v>
          </cell>
          <cell r="P145">
            <v>2440776</v>
          </cell>
          <cell r="Q145">
            <v>0</v>
          </cell>
          <cell r="R145">
            <v>0</v>
          </cell>
          <cell r="S145">
            <v>0</v>
          </cell>
          <cell r="T145">
            <v>4801218</v>
          </cell>
          <cell r="U145">
            <v>0</v>
          </cell>
          <cell r="V145">
            <v>7601723</v>
          </cell>
          <cell r="W145">
            <v>7368301</v>
          </cell>
          <cell r="X145">
            <v>7356367</v>
          </cell>
          <cell r="Y145">
            <v>15140079</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18898209</v>
          </cell>
          <cell r="AN145">
            <v>14280221</v>
          </cell>
          <cell r="AO145">
            <v>0</v>
          </cell>
          <cell r="AP145">
            <v>0</v>
          </cell>
          <cell r="AQ145">
            <v>0</v>
          </cell>
          <cell r="AR145">
            <v>0</v>
          </cell>
          <cell r="AS145">
            <v>10320106</v>
          </cell>
          <cell r="AT145">
            <v>0</v>
          </cell>
          <cell r="AU145">
            <v>0</v>
          </cell>
          <cell r="AV145">
            <v>0</v>
          </cell>
          <cell r="AW145">
            <v>0</v>
          </cell>
          <cell r="AX145">
            <v>17340252</v>
          </cell>
          <cell r="AY145">
            <v>0</v>
          </cell>
          <cell r="AZ145">
            <v>0</v>
          </cell>
          <cell r="BA145">
            <v>7724272</v>
          </cell>
          <cell r="BB145">
            <v>7173559</v>
          </cell>
          <cell r="BC145">
            <v>15216528</v>
          </cell>
          <cell r="BD145">
            <v>0</v>
          </cell>
          <cell r="BE145">
            <v>0</v>
          </cell>
          <cell r="BF145">
            <v>0</v>
          </cell>
        </row>
        <row r="146">
          <cell r="B146">
            <v>5</v>
          </cell>
          <cell r="C146">
            <v>0</v>
          </cell>
          <cell r="D146">
            <v>5350032</v>
          </cell>
          <cell r="E146">
            <v>0</v>
          </cell>
          <cell r="F146">
            <v>0</v>
          </cell>
          <cell r="G146">
            <v>0</v>
          </cell>
          <cell r="H146">
            <v>0</v>
          </cell>
          <cell r="I146">
            <v>0</v>
          </cell>
          <cell r="J146">
            <v>0</v>
          </cell>
          <cell r="K146">
            <v>0</v>
          </cell>
          <cell r="L146">
            <v>0</v>
          </cell>
          <cell r="M146">
            <v>0</v>
          </cell>
          <cell r="N146">
            <v>0</v>
          </cell>
          <cell r="O146">
            <v>0</v>
          </cell>
          <cell r="P146">
            <v>4848431</v>
          </cell>
          <cell r="Q146">
            <v>0</v>
          </cell>
          <cell r="R146">
            <v>0</v>
          </cell>
          <cell r="S146">
            <v>0</v>
          </cell>
          <cell r="T146">
            <v>0</v>
          </cell>
          <cell r="U146">
            <v>0</v>
          </cell>
          <cell r="V146">
            <v>5921207</v>
          </cell>
          <cell r="W146">
            <v>4046775</v>
          </cell>
          <cell r="X146">
            <v>8428517</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11244442</v>
          </cell>
          <cell r="AN146">
            <v>19240644</v>
          </cell>
          <cell r="AO146">
            <v>0</v>
          </cell>
          <cell r="AP146">
            <v>0</v>
          </cell>
          <cell r="AQ146">
            <v>0</v>
          </cell>
          <cell r="AR146">
            <v>0</v>
          </cell>
          <cell r="AS146">
            <v>26818282</v>
          </cell>
          <cell r="AT146">
            <v>0</v>
          </cell>
          <cell r="AU146">
            <v>0</v>
          </cell>
          <cell r="AV146">
            <v>0</v>
          </cell>
          <cell r="AW146">
            <v>0</v>
          </cell>
          <cell r="AX146">
            <v>0</v>
          </cell>
          <cell r="AY146">
            <v>0</v>
          </cell>
          <cell r="AZ146">
            <v>0</v>
          </cell>
          <cell r="BA146">
            <v>0</v>
          </cell>
          <cell r="BB146">
            <v>23750544</v>
          </cell>
          <cell r="BC146">
            <v>24656681</v>
          </cell>
          <cell r="BD146">
            <v>0</v>
          </cell>
          <cell r="BE146">
            <v>0</v>
          </cell>
          <cell r="BF146">
            <v>0</v>
          </cell>
        </row>
        <row r="147">
          <cell r="B147">
            <v>6</v>
          </cell>
          <cell r="C147">
            <v>0</v>
          </cell>
          <cell r="D147">
            <v>6627387</v>
          </cell>
          <cell r="E147">
            <v>0</v>
          </cell>
          <cell r="F147">
            <v>0</v>
          </cell>
          <cell r="G147">
            <v>0</v>
          </cell>
          <cell r="H147">
            <v>0</v>
          </cell>
          <cell r="I147">
            <v>0</v>
          </cell>
          <cell r="J147">
            <v>0</v>
          </cell>
          <cell r="K147">
            <v>0</v>
          </cell>
          <cell r="L147">
            <v>0</v>
          </cell>
          <cell r="M147">
            <v>0</v>
          </cell>
          <cell r="N147">
            <v>0</v>
          </cell>
          <cell r="O147">
            <v>0</v>
          </cell>
          <cell r="P147">
            <v>9935389</v>
          </cell>
          <cell r="Q147">
            <v>0</v>
          </cell>
          <cell r="R147">
            <v>0</v>
          </cell>
          <cell r="S147">
            <v>0</v>
          </cell>
          <cell r="T147">
            <v>0</v>
          </cell>
          <cell r="U147">
            <v>0</v>
          </cell>
          <cell r="V147">
            <v>5454625</v>
          </cell>
          <cell r="W147">
            <v>18467241</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14556657</v>
          </cell>
          <cell r="AO147">
            <v>0</v>
          </cell>
          <cell r="AP147">
            <v>0</v>
          </cell>
          <cell r="AQ147">
            <v>0</v>
          </cell>
          <cell r="AR147">
            <v>0</v>
          </cell>
          <cell r="AS147">
            <v>8914534</v>
          </cell>
          <cell r="AT147">
            <v>0</v>
          </cell>
          <cell r="AU147">
            <v>0</v>
          </cell>
          <cell r="AV147">
            <v>0</v>
          </cell>
          <cell r="AW147">
            <v>0</v>
          </cell>
          <cell r="AX147">
            <v>0</v>
          </cell>
          <cell r="AY147">
            <v>0</v>
          </cell>
          <cell r="AZ147">
            <v>0</v>
          </cell>
          <cell r="BA147">
            <v>0</v>
          </cell>
          <cell r="BB147">
            <v>2873579</v>
          </cell>
          <cell r="BC147">
            <v>7705345.333333333</v>
          </cell>
          <cell r="BD147">
            <v>0</v>
          </cell>
          <cell r="BE147">
            <v>0</v>
          </cell>
          <cell r="BF147">
            <v>0</v>
          </cell>
        </row>
        <row r="148">
          <cell r="B148">
            <v>7</v>
          </cell>
          <cell r="C148">
            <v>0</v>
          </cell>
          <cell r="D148">
            <v>6313298</v>
          </cell>
          <cell r="E148">
            <v>0</v>
          </cell>
          <cell r="F148">
            <v>0</v>
          </cell>
          <cell r="G148">
            <v>0</v>
          </cell>
          <cell r="H148">
            <v>0</v>
          </cell>
          <cell r="I148">
            <v>0</v>
          </cell>
          <cell r="J148">
            <v>0</v>
          </cell>
          <cell r="K148">
            <v>0</v>
          </cell>
          <cell r="L148">
            <v>0</v>
          </cell>
          <cell r="M148">
            <v>0</v>
          </cell>
          <cell r="N148">
            <v>0</v>
          </cell>
          <cell r="O148">
            <v>0</v>
          </cell>
          <cell r="P148">
            <v>8742223</v>
          </cell>
          <cell r="Q148">
            <v>0</v>
          </cell>
          <cell r="R148">
            <v>0</v>
          </cell>
          <cell r="S148">
            <v>0</v>
          </cell>
          <cell r="T148">
            <v>0</v>
          </cell>
          <cell r="U148">
            <v>0</v>
          </cell>
          <cell r="V148">
            <v>8169959</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6809931</v>
          </cell>
          <cell r="AT148">
            <v>0</v>
          </cell>
          <cell r="AU148">
            <v>0</v>
          </cell>
          <cell r="AV148">
            <v>0</v>
          </cell>
          <cell r="AW148">
            <v>0</v>
          </cell>
          <cell r="AX148">
            <v>0</v>
          </cell>
          <cell r="AY148">
            <v>0</v>
          </cell>
          <cell r="AZ148">
            <v>0</v>
          </cell>
          <cell r="BA148">
            <v>0</v>
          </cell>
          <cell r="BB148">
            <v>11956466</v>
          </cell>
          <cell r="BC148">
            <v>7705345.333333333</v>
          </cell>
          <cell r="BD148">
            <v>0</v>
          </cell>
          <cell r="BE148">
            <v>0</v>
          </cell>
          <cell r="BF148">
            <v>0</v>
          </cell>
        </row>
        <row r="149">
          <cell r="B149">
            <v>8</v>
          </cell>
          <cell r="C149">
            <v>0</v>
          </cell>
          <cell r="D149">
            <v>0</v>
          </cell>
          <cell r="E149">
            <v>0</v>
          </cell>
          <cell r="F149">
            <v>0</v>
          </cell>
          <cell r="G149">
            <v>0</v>
          </cell>
          <cell r="H149">
            <v>0</v>
          </cell>
          <cell r="I149">
            <v>0</v>
          </cell>
          <cell r="J149">
            <v>0</v>
          </cell>
          <cell r="K149">
            <v>0</v>
          </cell>
          <cell r="L149">
            <v>0</v>
          </cell>
          <cell r="M149">
            <v>0</v>
          </cell>
          <cell r="N149">
            <v>0</v>
          </cell>
          <cell r="O149">
            <v>0</v>
          </cell>
          <cell r="P149">
            <v>6196140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15254004</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row>
        <row r="150">
          <cell r="B150">
            <v>9</v>
          </cell>
          <cell r="C150">
            <v>0</v>
          </cell>
          <cell r="D150">
            <v>0</v>
          </cell>
          <cell r="E150">
            <v>0</v>
          </cell>
          <cell r="F150">
            <v>0</v>
          </cell>
          <cell r="G150">
            <v>0</v>
          </cell>
          <cell r="H150">
            <v>0</v>
          </cell>
          <cell r="I150">
            <v>0</v>
          </cell>
          <cell r="J150">
            <v>0</v>
          </cell>
          <cell r="K150">
            <v>0</v>
          </cell>
          <cell r="L150">
            <v>0</v>
          </cell>
          <cell r="M150">
            <v>0</v>
          </cell>
          <cell r="N150">
            <v>0</v>
          </cell>
          <cell r="O150">
            <v>0</v>
          </cell>
          <cell r="P150">
            <v>14574136</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8434097</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row>
        <row r="151">
          <cell r="B151">
            <v>10</v>
          </cell>
          <cell r="C151">
            <v>0</v>
          </cell>
          <cell r="D151">
            <v>0</v>
          </cell>
          <cell r="E151">
            <v>0</v>
          </cell>
          <cell r="F151">
            <v>0</v>
          </cell>
          <cell r="G151">
            <v>0</v>
          </cell>
          <cell r="H151">
            <v>0</v>
          </cell>
          <cell r="I151">
            <v>0</v>
          </cell>
          <cell r="J151">
            <v>0</v>
          </cell>
          <cell r="K151">
            <v>0</v>
          </cell>
          <cell r="L151">
            <v>0</v>
          </cell>
          <cell r="M151">
            <v>0</v>
          </cell>
          <cell r="N151">
            <v>0</v>
          </cell>
          <cell r="O151">
            <v>0</v>
          </cell>
          <cell r="P151">
            <v>10413019</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9597147</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row>
        <row r="152">
          <cell r="B152">
            <v>11</v>
          </cell>
          <cell r="C152">
            <v>0</v>
          </cell>
          <cell r="D152">
            <v>0</v>
          </cell>
          <cell r="E152">
            <v>0</v>
          </cell>
          <cell r="F152">
            <v>0</v>
          </cell>
          <cell r="G152">
            <v>0</v>
          </cell>
          <cell r="H152">
            <v>0</v>
          </cell>
          <cell r="I152">
            <v>0</v>
          </cell>
          <cell r="J152">
            <v>0</v>
          </cell>
          <cell r="K152">
            <v>0</v>
          </cell>
          <cell r="L152">
            <v>0</v>
          </cell>
          <cell r="M152">
            <v>0</v>
          </cell>
          <cell r="N152">
            <v>0</v>
          </cell>
          <cell r="O152">
            <v>0</v>
          </cell>
          <cell r="P152">
            <v>8805250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4846361</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row>
        <row r="153">
          <cell r="B153">
            <v>12</v>
          </cell>
          <cell r="C153">
            <v>0</v>
          </cell>
          <cell r="D153">
            <v>0</v>
          </cell>
          <cell r="E153">
            <v>0</v>
          </cell>
          <cell r="F153">
            <v>0</v>
          </cell>
          <cell r="G153">
            <v>0</v>
          </cell>
          <cell r="H153">
            <v>0</v>
          </cell>
          <cell r="I153">
            <v>0</v>
          </cell>
          <cell r="J153">
            <v>0</v>
          </cell>
          <cell r="K153">
            <v>0</v>
          </cell>
          <cell r="L153">
            <v>0</v>
          </cell>
          <cell r="M153">
            <v>0</v>
          </cell>
          <cell r="N153">
            <v>0</v>
          </cell>
          <cell r="O153">
            <v>0</v>
          </cell>
          <cell r="P153">
            <v>10093637</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row>
        <row r="154">
          <cell r="B154">
            <v>13</v>
          </cell>
          <cell r="C154">
            <v>0</v>
          </cell>
          <cell r="D154">
            <v>0</v>
          </cell>
          <cell r="E154">
            <v>0</v>
          </cell>
          <cell r="F154">
            <v>0</v>
          </cell>
          <cell r="G154">
            <v>0</v>
          </cell>
          <cell r="H154">
            <v>0</v>
          </cell>
          <cell r="I154">
            <v>0</v>
          </cell>
          <cell r="J154">
            <v>0</v>
          </cell>
          <cell r="K154">
            <v>0</v>
          </cell>
          <cell r="L154">
            <v>0</v>
          </cell>
          <cell r="M154">
            <v>0</v>
          </cell>
          <cell r="N154">
            <v>0</v>
          </cell>
          <cell r="O154">
            <v>0</v>
          </cell>
          <cell r="P154">
            <v>10951000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row>
        <row r="155">
          <cell r="B155">
            <v>14</v>
          </cell>
          <cell r="C155">
            <v>0</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row>
        <row r="156">
          <cell r="B156">
            <v>15</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row>
        <row r="157">
          <cell r="B157">
            <v>16</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row>
        <row r="158">
          <cell r="B158">
            <v>17</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row>
        <row r="159">
          <cell r="B159">
            <v>18</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row>
        <row r="160">
          <cell r="B160">
            <v>19</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row>
        <row r="161">
          <cell r="B161">
            <v>20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row>
        <row r="162">
          <cell r="B162">
            <v>21</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row>
        <row r="163">
          <cell r="B163">
            <v>22</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row>
        <row r="164">
          <cell r="B164">
            <v>23</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row>
        <row r="165">
          <cell r="B165">
            <v>24</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row>
        <row r="166">
          <cell r="B166">
            <v>25</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row>
        <row r="167">
          <cell r="B167">
            <v>26</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row>
        <row r="168">
          <cell r="B168">
            <v>27</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row>
        <row r="169">
          <cell r="B169">
            <v>28</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row>
        <row r="170">
          <cell r="B170">
            <v>29</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row>
        <row r="171">
          <cell r="B171">
            <v>30</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row>
        <row r="173">
          <cell r="A173" t="str">
            <v>סה"כ</v>
          </cell>
          <cell r="C173">
            <v>79215.255000000005</v>
          </cell>
          <cell r="D173">
            <v>57816.067000000003</v>
          </cell>
          <cell r="E173">
            <v>134563.84299999999</v>
          </cell>
          <cell r="F173">
            <v>28778.249</v>
          </cell>
          <cell r="G173">
            <v>83146.259999999995</v>
          </cell>
          <cell r="H173">
            <v>361302.761</v>
          </cell>
          <cell r="I173">
            <v>147487.68299999999</v>
          </cell>
          <cell r="J173">
            <v>47257.506999999998</v>
          </cell>
          <cell r="K173">
            <v>57485.114000000001</v>
          </cell>
          <cell r="L173">
            <v>40427.741999999998</v>
          </cell>
          <cell r="M173">
            <v>82342</v>
          </cell>
          <cell r="N173">
            <v>170640.55600000001</v>
          </cell>
          <cell r="O173">
            <v>48314.368000000002</v>
          </cell>
          <cell r="P173">
            <v>113414.981</v>
          </cell>
          <cell r="Q173">
            <v>6102.7640000000001</v>
          </cell>
          <cell r="R173">
            <v>49363.417999999998</v>
          </cell>
          <cell r="S173">
            <v>27211.388999999999</v>
          </cell>
          <cell r="T173">
            <v>53611.313000000002</v>
          </cell>
          <cell r="U173">
            <v>36293.538</v>
          </cell>
          <cell r="V173">
            <v>93143.39</v>
          </cell>
          <cell r="W173">
            <v>84223.501000000004</v>
          </cell>
          <cell r="X173">
            <v>65275.46</v>
          </cell>
          <cell r="Y173">
            <v>66362.804000000004</v>
          </cell>
          <cell r="Z173">
            <v>30555.172999999999</v>
          </cell>
          <cell r="AA173">
            <v>42980.559000000001</v>
          </cell>
          <cell r="AB173">
            <v>28159.125</v>
          </cell>
          <cell r="AC173">
            <v>55224.294999999998</v>
          </cell>
          <cell r="AD173">
            <v>23392.981</v>
          </cell>
          <cell r="AE173">
            <v>147519.829</v>
          </cell>
          <cell r="AF173">
            <v>34713.739000000001</v>
          </cell>
          <cell r="AG173">
            <v>17120.713</v>
          </cell>
          <cell r="AH173">
            <v>42084.207999999999</v>
          </cell>
          <cell r="AI173">
            <v>37136.536999999997</v>
          </cell>
          <cell r="AJ173">
            <v>15947.710999999999</v>
          </cell>
          <cell r="AK173">
            <v>7505.799</v>
          </cell>
          <cell r="AL173">
            <v>175531.37</v>
          </cell>
          <cell r="AM173">
            <v>76354.798999999999</v>
          </cell>
          <cell r="AN173">
            <v>102039.398</v>
          </cell>
          <cell r="AO173">
            <v>7135.4570000000003</v>
          </cell>
          <cell r="AP173">
            <v>2328.8939999999998</v>
          </cell>
          <cell r="AQ173">
            <v>21448.785</v>
          </cell>
          <cell r="AR173">
            <v>25077.946</v>
          </cell>
          <cell r="AS173">
            <v>141842.78899999999</v>
          </cell>
          <cell r="AT173">
            <v>27289.263999999999</v>
          </cell>
          <cell r="AU173">
            <v>38501.900999999998</v>
          </cell>
          <cell r="AV173">
            <v>80912.463000000003</v>
          </cell>
          <cell r="AW173">
            <v>32214.217000000001</v>
          </cell>
          <cell r="AX173">
            <v>42313.864000000001</v>
          </cell>
          <cell r="AY173">
            <v>7134.1149999999998</v>
          </cell>
          <cell r="AZ173">
            <v>46991.059000000001</v>
          </cell>
          <cell r="BA173">
            <v>41485.478999999999</v>
          </cell>
          <cell r="BB173">
            <v>99723.12</v>
          </cell>
          <cell r="BC173">
            <v>91318.942999999985</v>
          </cell>
          <cell r="BD173">
            <v>56916.987999999998</v>
          </cell>
          <cell r="BE173">
            <v>10505.34</v>
          </cell>
          <cell r="BF173">
            <v>84098.937000000005</v>
          </cell>
        </row>
        <row r="175">
          <cell r="A175" t="str">
            <v>זכויות מים</v>
          </cell>
          <cell r="B175">
            <v>1</v>
          </cell>
          <cell r="C175">
            <v>23206646</v>
          </cell>
          <cell r="D175">
            <v>6237000</v>
          </cell>
          <cell r="E175">
            <v>16885000</v>
          </cell>
          <cell r="F175">
            <v>0</v>
          </cell>
          <cell r="G175">
            <v>15517846</v>
          </cell>
          <cell r="H175">
            <v>179680738</v>
          </cell>
          <cell r="I175">
            <v>24083142</v>
          </cell>
          <cell r="J175">
            <v>17756685</v>
          </cell>
          <cell r="K175">
            <v>15077655</v>
          </cell>
          <cell r="L175">
            <v>0</v>
          </cell>
          <cell r="M175">
            <v>49855000</v>
          </cell>
          <cell r="N175">
            <v>35386964</v>
          </cell>
          <cell r="O175">
            <v>52390850</v>
          </cell>
          <cell r="P175">
            <v>5208014</v>
          </cell>
          <cell r="Q175">
            <v>14179218</v>
          </cell>
          <cell r="R175">
            <v>0</v>
          </cell>
          <cell r="S175">
            <v>11086181</v>
          </cell>
          <cell r="T175">
            <v>12954300</v>
          </cell>
          <cell r="U175">
            <v>5569509</v>
          </cell>
          <cell r="V175">
            <v>633880</v>
          </cell>
          <cell r="W175">
            <v>1626941</v>
          </cell>
          <cell r="X175">
            <v>7972237</v>
          </cell>
          <cell r="Y175">
            <v>5969444</v>
          </cell>
          <cell r="Z175">
            <v>8509688</v>
          </cell>
          <cell r="AA175">
            <v>0</v>
          </cell>
          <cell r="AB175">
            <v>12980660</v>
          </cell>
          <cell r="AC175">
            <v>7224950</v>
          </cell>
          <cell r="AD175">
            <v>19136000</v>
          </cell>
          <cell r="AE175">
            <v>74480000</v>
          </cell>
          <cell r="AF175">
            <v>8788767</v>
          </cell>
          <cell r="AG175">
            <v>16834659</v>
          </cell>
          <cell r="AH175">
            <v>4058776</v>
          </cell>
          <cell r="AI175">
            <v>3789810</v>
          </cell>
          <cell r="AJ175">
            <v>6256662</v>
          </cell>
          <cell r="AK175">
            <v>7288568</v>
          </cell>
          <cell r="AL175">
            <v>132397000</v>
          </cell>
          <cell r="AM175">
            <v>3684665</v>
          </cell>
          <cell r="AN175">
            <v>1517969</v>
          </cell>
          <cell r="AO175">
            <v>16492635</v>
          </cell>
          <cell r="AP175">
            <v>9000000</v>
          </cell>
          <cell r="AQ175">
            <v>0</v>
          </cell>
          <cell r="AR175">
            <v>240000</v>
          </cell>
          <cell r="AS175">
            <v>3870555</v>
          </cell>
          <cell r="AT175">
            <v>8248265</v>
          </cell>
          <cell r="AU175">
            <v>0</v>
          </cell>
          <cell r="AV175">
            <v>29000712</v>
          </cell>
          <cell r="AW175">
            <v>13124655</v>
          </cell>
          <cell r="AX175">
            <v>0</v>
          </cell>
          <cell r="AY175">
            <v>7233380</v>
          </cell>
          <cell r="AZ175">
            <v>0</v>
          </cell>
          <cell r="BA175">
            <v>11751292</v>
          </cell>
          <cell r="BB175">
            <v>1541675</v>
          </cell>
          <cell r="BC175">
            <v>494975.33333333331</v>
          </cell>
          <cell r="BD175">
            <v>0</v>
          </cell>
          <cell r="BE175">
            <v>2772000</v>
          </cell>
          <cell r="BF175">
            <v>6898507</v>
          </cell>
        </row>
        <row r="176">
          <cell r="B176">
            <v>2</v>
          </cell>
          <cell r="C176">
            <v>2925829</v>
          </cell>
          <cell r="D176">
            <v>965423</v>
          </cell>
          <cell r="E176">
            <v>0</v>
          </cell>
          <cell r="F176">
            <v>0</v>
          </cell>
          <cell r="G176">
            <v>0</v>
          </cell>
          <cell r="H176">
            <v>314745</v>
          </cell>
          <cell r="I176">
            <v>0</v>
          </cell>
          <cell r="J176">
            <v>0</v>
          </cell>
          <cell r="K176">
            <v>7784166</v>
          </cell>
          <cell r="L176">
            <v>305049</v>
          </cell>
          <cell r="M176">
            <v>0</v>
          </cell>
          <cell r="N176">
            <v>7311973</v>
          </cell>
          <cell r="O176">
            <v>2603125</v>
          </cell>
          <cell r="P176">
            <v>3341670</v>
          </cell>
          <cell r="Q176">
            <v>0</v>
          </cell>
          <cell r="R176">
            <v>1266000</v>
          </cell>
          <cell r="S176">
            <v>0</v>
          </cell>
          <cell r="T176">
            <v>868450</v>
          </cell>
          <cell r="U176">
            <v>0</v>
          </cell>
          <cell r="V176">
            <v>1002663</v>
          </cell>
          <cell r="W176">
            <v>0</v>
          </cell>
          <cell r="X176">
            <v>564776</v>
          </cell>
          <cell r="Y176">
            <v>2024230</v>
          </cell>
          <cell r="Z176">
            <v>0</v>
          </cell>
          <cell r="AA176">
            <v>0</v>
          </cell>
          <cell r="AB176">
            <v>0</v>
          </cell>
          <cell r="AC176">
            <v>0</v>
          </cell>
          <cell r="AD176">
            <v>0</v>
          </cell>
          <cell r="AE176">
            <v>0</v>
          </cell>
          <cell r="AF176">
            <v>0</v>
          </cell>
          <cell r="AG176">
            <v>0</v>
          </cell>
          <cell r="AH176">
            <v>0</v>
          </cell>
          <cell r="AI176">
            <v>0</v>
          </cell>
          <cell r="AJ176">
            <v>1437502</v>
          </cell>
          <cell r="AK176">
            <v>0</v>
          </cell>
          <cell r="AL176">
            <v>0</v>
          </cell>
          <cell r="AM176">
            <v>515180</v>
          </cell>
          <cell r="AN176">
            <v>1877792</v>
          </cell>
          <cell r="AO176">
            <v>0</v>
          </cell>
          <cell r="AP176">
            <v>0</v>
          </cell>
          <cell r="AQ176">
            <v>0</v>
          </cell>
          <cell r="AR176">
            <v>4823335</v>
          </cell>
          <cell r="AS176">
            <v>430780</v>
          </cell>
          <cell r="AT176">
            <v>0</v>
          </cell>
          <cell r="AU176">
            <v>0</v>
          </cell>
          <cell r="AV176">
            <v>7752872</v>
          </cell>
          <cell r="AW176">
            <v>0</v>
          </cell>
          <cell r="AX176">
            <v>0</v>
          </cell>
          <cell r="AY176">
            <v>0</v>
          </cell>
          <cell r="AZ176">
            <v>3558846</v>
          </cell>
          <cell r="BA176">
            <v>8839932</v>
          </cell>
          <cell r="BB176">
            <v>1810993</v>
          </cell>
          <cell r="BC176">
            <v>378068</v>
          </cell>
          <cell r="BD176">
            <v>2472000</v>
          </cell>
          <cell r="BE176">
            <v>0</v>
          </cell>
          <cell r="BF176">
            <v>630580</v>
          </cell>
        </row>
        <row r="177">
          <cell r="B177">
            <v>3</v>
          </cell>
          <cell r="C177">
            <v>0</v>
          </cell>
          <cell r="D177">
            <v>2064988</v>
          </cell>
          <cell r="E177">
            <v>0</v>
          </cell>
          <cell r="F177">
            <v>0</v>
          </cell>
          <cell r="G177">
            <v>0</v>
          </cell>
          <cell r="H177">
            <v>3336320</v>
          </cell>
          <cell r="I177">
            <v>0</v>
          </cell>
          <cell r="J177">
            <v>0</v>
          </cell>
          <cell r="K177">
            <v>8924144</v>
          </cell>
          <cell r="L177">
            <v>0</v>
          </cell>
          <cell r="M177">
            <v>0</v>
          </cell>
          <cell r="N177">
            <v>0</v>
          </cell>
          <cell r="O177">
            <v>1632000</v>
          </cell>
          <cell r="P177">
            <v>491107</v>
          </cell>
          <cell r="Q177">
            <v>0</v>
          </cell>
          <cell r="R177">
            <v>733348</v>
          </cell>
          <cell r="S177">
            <v>0</v>
          </cell>
          <cell r="T177">
            <v>4199100</v>
          </cell>
          <cell r="U177">
            <v>0</v>
          </cell>
          <cell r="V177">
            <v>0</v>
          </cell>
          <cell r="W177">
            <v>2087731</v>
          </cell>
          <cell r="X177">
            <v>1345500</v>
          </cell>
          <cell r="Y177">
            <v>753480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514000</v>
          </cell>
          <cell r="AN177">
            <v>1714513</v>
          </cell>
          <cell r="AO177">
            <v>0</v>
          </cell>
          <cell r="AP177">
            <v>0</v>
          </cell>
          <cell r="AQ177">
            <v>0</v>
          </cell>
          <cell r="AR177">
            <v>0</v>
          </cell>
          <cell r="AS177">
            <v>36840</v>
          </cell>
          <cell r="AT177">
            <v>0</v>
          </cell>
          <cell r="AU177">
            <v>0</v>
          </cell>
          <cell r="AV177">
            <v>0</v>
          </cell>
          <cell r="AW177">
            <v>0</v>
          </cell>
          <cell r="AX177">
            <v>35124</v>
          </cell>
          <cell r="AY177">
            <v>0</v>
          </cell>
          <cell r="AZ177">
            <v>1090770</v>
          </cell>
          <cell r="BA177">
            <v>3100173</v>
          </cell>
          <cell r="BB177">
            <v>180555</v>
          </cell>
          <cell r="BC177">
            <v>163127</v>
          </cell>
          <cell r="BD177">
            <v>0</v>
          </cell>
          <cell r="BE177">
            <v>0</v>
          </cell>
          <cell r="BF177">
            <v>0</v>
          </cell>
        </row>
        <row r="178">
          <cell r="B178">
            <v>4</v>
          </cell>
          <cell r="C178">
            <v>0</v>
          </cell>
          <cell r="D178">
            <v>297900</v>
          </cell>
          <cell r="E178">
            <v>0</v>
          </cell>
          <cell r="F178">
            <v>0</v>
          </cell>
          <cell r="G178">
            <v>0</v>
          </cell>
          <cell r="H178">
            <v>0</v>
          </cell>
          <cell r="I178">
            <v>0</v>
          </cell>
          <cell r="J178">
            <v>0</v>
          </cell>
          <cell r="K178">
            <v>0</v>
          </cell>
          <cell r="L178">
            <v>365598</v>
          </cell>
          <cell r="M178">
            <v>0</v>
          </cell>
          <cell r="N178">
            <v>0</v>
          </cell>
          <cell r="O178">
            <v>5727918</v>
          </cell>
          <cell r="P178">
            <v>325582</v>
          </cell>
          <cell r="Q178">
            <v>0</v>
          </cell>
          <cell r="R178">
            <v>0</v>
          </cell>
          <cell r="S178">
            <v>0</v>
          </cell>
          <cell r="T178">
            <v>818607</v>
          </cell>
          <cell r="U178">
            <v>0</v>
          </cell>
          <cell r="V178">
            <v>293000</v>
          </cell>
          <cell r="W178">
            <v>0</v>
          </cell>
          <cell r="X178">
            <v>203320</v>
          </cell>
          <cell r="Y178">
            <v>374049</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1751164</v>
          </cell>
          <cell r="AN178">
            <v>1578990</v>
          </cell>
          <cell r="AO178">
            <v>0</v>
          </cell>
          <cell r="AP178">
            <v>0</v>
          </cell>
          <cell r="AQ178">
            <v>0</v>
          </cell>
          <cell r="AR178">
            <v>0</v>
          </cell>
          <cell r="AS178">
            <v>86266</v>
          </cell>
          <cell r="AT178">
            <v>0</v>
          </cell>
          <cell r="AU178">
            <v>0</v>
          </cell>
          <cell r="AV178">
            <v>0</v>
          </cell>
          <cell r="AW178">
            <v>0</v>
          </cell>
          <cell r="AX178">
            <v>0</v>
          </cell>
          <cell r="AY178">
            <v>0</v>
          </cell>
          <cell r="AZ178">
            <v>0</v>
          </cell>
          <cell r="BA178">
            <v>1847390</v>
          </cell>
          <cell r="BB178">
            <v>405190</v>
          </cell>
          <cell r="BC178">
            <v>1166694</v>
          </cell>
          <cell r="BD178">
            <v>0</v>
          </cell>
          <cell r="BE178">
            <v>0</v>
          </cell>
          <cell r="BF178">
            <v>0</v>
          </cell>
        </row>
        <row r="179">
          <cell r="B179">
            <v>5</v>
          </cell>
          <cell r="C179">
            <v>0</v>
          </cell>
          <cell r="D179">
            <v>283005</v>
          </cell>
          <cell r="E179">
            <v>0</v>
          </cell>
          <cell r="F179">
            <v>0</v>
          </cell>
          <cell r="G179">
            <v>0</v>
          </cell>
          <cell r="H179">
            <v>0</v>
          </cell>
          <cell r="I179">
            <v>0</v>
          </cell>
          <cell r="J179">
            <v>0</v>
          </cell>
          <cell r="K179">
            <v>0</v>
          </cell>
          <cell r="L179">
            <v>0</v>
          </cell>
          <cell r="M179">
            <v>0</v>
          </cell>
          <cell r="N179">
            <v>0</v>
          </cell>
          <cell r="O179">
            <v>0</v>
          </cell>
          <cell r="P179">
            <v>196700</v>
          </cell>
          <cell r="Q179">
            <v>0</v>
          </cell>
          <cell r="R179">
            <v>0</v>
          </cell>
          <cell r="S179">
            <v>0</v>
          </cell>
          <cell r="T179">
            <v>0</v>
          </cell>
          <cell r="U179">
            <v>0</v>
          </cell>
          <cell r="V179">
            <v>275190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982720</v>
          </cell>
          <cell r="AN179">
            <v>1472088</v>
          </cell>
          <cell r="AO179">
            <v>0</v>
          </cell>
          <cell r="AP179">
            <v>0</v>
          </cell>
          <cell r="AQ179">
            <v>0</v>
          </cell>
          <cell r="AR179">
            <v>0</v>
          </cell>
          <cell r="AS179">
            <v>1611386</v>
          </cell>
          <cell r="AT179">
            <v>0</v>
          </cell>
          <cell r="AU179">
            <v>0</v>
          </cell>
          <cell r="AV179">
            <v>0</v>
          </cell>
          <cell r="AW179">
            <v>0</v>
          </cell>
          <cell r="AX179">
            <v>0</v>
          </cell>
          <cell r="AY179">
            <v>0</v>
          </cell>
          <cell r="AZ179">
            <v>0</v>
          </cell>
          <cell r="BA179">
            <v>0</v>
          </cell>
          <cell r="BB179">
            <v>2763915</v>
          </cell>
          <cell r="BC179">
            <v>943238</v>
          </cell>
          <cell r="BD179">
            <v>0</v>
          </cell>
          <cell r="BE179">
            <v>0</v>
          </cell>
          <cell r="BF179">
            <v>0</v>
          </cell>
        </row>
        <row r="180">
          <cell r="B180">
            <v>6</v>
          </cell>
          <cell r="C180">
            <v>0</v>
          </cell>
          <cell r="D180">
            <v>0</v>
          </cell>
          <cell r="E180">
            <v>0</v>
          </cell>
          <cell r="F180">
            <v>0</v>
          </cell>
          <cell r="G180">
            <v>0</v>
          </cell>
          <cell r="H180">
            <v>0</v>
          </cell>
          <cell r="I180">
            <v>0</v>
          </cell>
          <cell r="J180">
            <v>0</v>
          </cell>
          <cell r="K180">
            <v>0</v>
          </cell>
          <cell r="L180">
            <v>0</v>
          </cell>
          <cell r="M180">
            <v>0</v>
          </cell>
          <cell r="N180">
            <v>0</v>
          </cell>
          <cell r="O180">
            <v>0</v>
          </cell>
          <cell r="P180">
            <v>417430</v>
          </cell>
          <cell r="Q180">
            <v>0</v>
          </cell>
          <cell r="R180">
            <v>0</v>
          </cell>
          <cell r="S180">
            <v>0</v>
          </cell>
          <cell r="T180">
            <v>0</v>
          </cell>
          <cell r="U180">
            <v>0</v>
          </cell>
          <cell r="V180">
            <v>263650</v>
          </cell>
          <cell r="W180">
            <v>2389500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1074809</v>
          </cell>
          <cell r="AO180">
            <v>0</v>
          </cell>
          <cell r="AP180">
            <v>0</v>
          </cell>
          <cell r="AQ180">
            <v>0</v>
          </cell>
          <cell r="AR180">
            <v>0</v>
          </cell>
          <cell r="AS180">
            <v>489500</v>
          </cell>
          <cell r="AT180">
            <v>0</v>
          </cell>
          <cell r="AU180">
            <v>0</v>
          </cell>
          <cell r="AV180">
            <v>0</v>
          </cell>
          <cell r="AW180">
            <v>0</v>
          </cell>
          <cell r="AX180">
            <v>0</v>
          </cell>
          <cell r="AY180">
            <v>0</v>
          </cell>
          <cell r="AZ180">
            <v>0</v>
          </cell>
          <cell r="BA180">
            <v>0</v>
          </cell>
          <cell r="BB180">
            <v>248321</v>
          </cell>
          <cell r="BC180">
            <v>494975.33333333331</v>
          </cell>
          <cell r="BD180">
            <v>0</v>
          </cell>
          <cell r="BE180">
            <v>0</v>
          </cell>
          <cell r="BF180">
            <v>0</v>
          </cell>
        </row>
        <row r="181">
          <cell r="B181">
            <v>7</v>
          </cell>
          <cell r="C181">
            <v>0</v>
          </cell>
          <cell r="D181">
            <v>324115</v>
          </cell>
          <cell r="E181">
            <v>0</v>
          </cell>
          <cell r="F181">
            <v>0</v>
          </cell>
          <cell r="G181">
            <v>0</v>
          </cell>
          <cell r="H181">
            <v>0</v>
          </cell>
          <cell r="I181">
            <v>0</v>
          </cell>
          <cell r="J181">
            <v>0</v>
          </cell>
          <cell r="K181">
            <v>0</v>
          </cell>
          <cell r="L181">
            <v>0</v>
          </cell>
          <cell r="M181">
            <v>0</v>
          </cell>
          <cell r="N181">
            <v>0</v>
          </cell>
          <cell r="O181">
            <v>0</v>
          </cell>
          <cell r="P181">
            <v>173400</v>
          </cell>
          <cell r="Q181">
            <v>0</v>
          </cell>
          <cell r="R181">
            <v>0</v>
          </cell>
          <cell r="S181">
            <v>0</v>
          </cell>
          <cell r="T181">
            <v>0</v>
          </cell>
          <cell r="U181">
            <v>0</v>
          </cell>
          <cell r="V181">
            <v>221426</v>
          </cell>
          <cell r="W181">
            <v>33660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102829</v>
          </cell>
          <cell r="AT181">
            <v>0</v>
          </cell>
          <cell r="AU181">
            <v>0</v>
          </cell>
          <cell r="AV181">
            <v>0</v>
          </cell>
          <cell r="AW181">
            <v>0</v>
          </cell>
          <cell r="AX181">
            <v>0</v>
          </cell>
          <cell r="AY181">
            <v>0</v>
          </cell>
          <cell r="AZ181">
            <v>0</v>
          </cell>
          <cell r="BA181">
            <v>0</v>
          </cell>
          <cell r="BB181">
            <v>427323</v>
          </cell>
          <cell r="BC181">
            <v>494975.33333333331</v>
          </cell>
          <cell r="BD181">
            <v>0</v>
          </cell>
          <cell r="BE181">
            <v>0</v>
          </cell>
          <cell r="BF181">
            <v>0</v>
          </cell>
        </row>
        <row r="182">
          <cell r="B182">
            <v>8</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1201888</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row>
        <row r="183">
          <cell r="B183">
            <v>9</v>
          </cell>
          <cell r="C183">
            <v>0</v>
          </cell>
          <cell r="D183">
            <v>0</v>
          </cell>
          <cell r="E183">
            <v>0</v>
          </cell>
          <cell r="F183">
            <v>0</v>
          </cell>
          <cell r="G183">
            <v>0</v>
          </cell>
          <cell r="H183">
            <v>0</v>
          </cell>
          <cell r="I183">
            <v>0</v>
          </cell>
          <cell r="J183">
            <v>0</v>
          </cell>
          <cell r="K183">
            <v>0</v>
          </cell>
          <cell r="L183">
            <v>0</v>
          </cell>
          <cell r="M183">
            <v>0</v>
          </cell>
          <cell r="N183">
            <v>0</v>
          </cell>
          <cell r="O183">
            <v>0</v>
          </cell>
          <cell r="P183">
            <v>2079830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146565</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row>
        <row r="184">
          <cell r="B184">
            <v>10</v>
          </cell>
          <cell r="C184">
            <v>0</v>
          </cell>
          <cell r="D184">
            <v>0</v>
          </cell>
          <cell r="E184">
            <v>0</v>
          </cell>
          <cell r="F184">
            <v>0</v>
          </cell>
          <cell r="G184">
            <v>0</v>
          </cell>
          <cell r="H184">
            <v>0</v>
          </cell>
          <cell r="I184">
            <v>0</v>
          </cell>
          <cell r="J184">
            <v>0</v>
          </cell>
          <cell r="K184">
            <v>0</v>
          </cell>
          <cell r="L184">
            <v>0</v>
          </cell>
          <cell r="M184">
            <v>0</v>
          </cell>
          <cell r="N184">
            <v>0</v>
          </cell>
          <cell r="O184">
            <v>0</v>
          </cell>
          <cell r="P184">
            <v>445594</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493182</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row>
        <row r="185">
          <cell r="B185">
            <v>11</v>
          </cell>
          <cell r="C185">
            <v>0</v>
          </cell>
          <cell r="D185">
            <v>0</v>
          </cell>
          <cell r="E185">
            <v>0</v>
          </cell>
          <cell r="F185">
            <v>0</v>
          </cell>
          <cell r="G185">
            <v>0</v>
          </cell>
          <cell r="H185">
            <v>0</v>
          </cell>
          <cell r="I185">
            <v>0</v>
          </cell>
          <cell r="J185">
            <v>0</v>
          </cell>
          <cell r="K185">
            <v>0</v>
          </cell>
          <cell r="L185">
            <v>0</v>
          </cell>
          <cell r="M185">
            <v>0</v>
          </cell>
          <cell r="N185">
            <v>0</v>
          </cell>
          <cell r="O185">
            <v>0</v>
          </cell>
          <cell r="P185">
            <v>321395</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row>
        <row r="186">
          <cell r="B186">
            <v>12</v>
          </cell>
          <cell r="C186">
            <v>0</v>
          </cell>
          <cell r="D186">
            <v>0</v>
          </cell>
          <cell r="E186">
            <v>0</v>
          </cell>
          <cell r="F186">
            <v>0</v>
          </cell>
          <cell r="G186">
            <v>0</v>
          </cell>
          <cell r="H186">
            <v>0</v>
          </cell>
          <cell r="I186">
            <v>0</v>
          </cell>
          <cell r="J186">
            <v>0</v>
          </cell>
          <cell r="K186">
            <v>0</v>
          </cell>
          <cell r="L186">
            <v>0</v>
          </cell>
          <cell r="M186">
            <v>0</v>
          </cell>
          <cell r="N186">
            <v>0</v>
          </cell>
          <cell r="O186">
            <v>0</v>
          </cell>
          <cell r="P186">
            <v>538568</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row>
        <row r="187">
          <cell r="B187">
            <v>13</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row>
        <row r="188">
          <cell r="B188">
            <v>14</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row>
        <row r="189">
          <cell r="B189">
            <v>15</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row>
        <row r="190">
          <cell r="B190">
            <v>16</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row>
        <row r="191">
          <cell r="B191">
            <v>17</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row>
        <row r="192">
          <cell r="B192">
            <v>18</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row>
        <row r="193">
          <cell r="B193">
            <v>19</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row>
        <row r="194">
          <cell r="B194">
            <v>20</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row>
        <row r="195">
          <cell r="B195">
            <v>21</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row>
        <row r="196">
          <cell r="B196">
            <v>22</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row>
        <row r="197">
          <cell r="B197">
            <v>23</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row>
        <row r="198">
          <cell r="B198">
            <v>24</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row>
        <row r="199">
          <cell r="B199">
            <v>25</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row>
        <row r="200">
          <cell r="B200">
            <v>26</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row>
        <row r="201">
          <cell r="B201">
            <v>27</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row>
        <row r="202">
          <cell r="B202">
            <v>28</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row>
        <row r="203">
          <cell r="B203">
            <v>29</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row>
        <row r="204">
          <cell r="B204">
            <v>30</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row>
        <row r="206">
          <cell r="A206" t="str">
            <v>סה"כ</v>
          </cell>
          <cell r="C206">
            <v>26132.474999999999</v>
          </cell>
          <cell r="D206">
            <v>10172.431</v>
          </cell>
          <cell r="E206">
            <v>16885</v>
          </cell>
          <cell r="F206">
            <v>0</v>
          </cell>
          <cell r="G206">
            <v>15517.846</v>
          </cell>
          <cell r="H206">
            <v>183331.80300000001</v>
          </cell>
          <cell r="I206">
            <v>24083.142</v>
          </cell>
          <cell r="J206">
            <v>17756.685000000001</v>
          </cell>
          <cell r="K206">
            <v>31785.965</v>
          </cell>
          <cell r="L206">
            <v>670.64700000000005</v>
          </cell>
          <cell r="M206">
            <v>49855</v>
          </cell>
          <cell r="N206">
            <v>42698.936999999998</v>
          </cell>
          <cell r="O206">
            <v>62353.892999999996</v>
          </cell>
          <cell r="P206">
            <v>13539.29</v>
          </cell>
          <cell r="Q206">
            <v>14179.218000000001</v>
          </cell>
          <cell r="R206">
            <v>1999.348</v>
          </cell>
          <cell r="S206">
            <v>11086.181</v>
          </cell>
          <cell r="T206">
            <v>18840.456999999999</v>
          </cell>
          <cell r="U206">
            <v>5569.509</v>
          </cell>
          <cell r="V206">
            <v>2689.8090000000002</v>
          </cell>
          <cell r="W206">
            <v>6137.8320000000003</v>
          </cell>
          <cell r="X206">
            <v>10085.833000000001</v>
          </cell>
          <cell r="Y206">
            <v>9121.2029999999995</v>
          </cell>
          <cell r="Z206">
            <v>8509.6880000000001</v>
          </cell>
          <cell r="AA206">
            <v>0</v>
          </cell>
          <cell r="AB206">
            <v>12980.66</v>
          </cell>
          <cell r="AC206">
            <v>7224.95</v>
          </cell>
          <cell r="AD206">
            <v>19136</v>
          </cell>
          <cell r="AE206">
            <v>74480</v>
          </cell>
          <cell r="AF206">
            <v>8788.7669999999998</v>
          </cell>
          <cell r="AG206">
            <v>16834.659</v>
          </cell>
          <cell r="AH206">
            <v>4058.7759999999998</v>
          </cell>
          <cell r="AI206">
            <v>3789.81</v>
          </cell>
          <cell r="AJ206">
            <v>7694.1639999999998</v>
          </cell>
          <cell r="AK206">
            <v>7288.5680000000002</v>
          </cell>
          <cell r="AL206">
            <v>132397</v>
          </cell>
          <cell r="AM206">
            <v>7447.7290000000003</v>
          </cell>
          <cell r="AN206">
            <v>9236.1610000000001</v>
          </cell>
          <cell r="AO206">
            <v>16492.634999999998</v>
          </cell>
          <cell r="AP206">
            <v>9000</v>
          </cell>
          <cell r="AQ206">
            <v>0</v>
          </cell>
          <cell r="AR206">
            <v>5063.335</v>
          </cell>
          <cell r="AS206">
            <v>8469.7909999999993</v>
          </cell>
          <cell r="AT206">
            <v>8248.2649999999994</v>
          </cell>
          <cell r="AU206">
            <v>0</v>
          </cell>
          <cell r="AV206">
            <v>36753.584000000003</v>
          </cell>
          <cell r="AW206">
            <v>13124.655000000001</v>
          </cell>
          <cell r="AX206">
            <v>35.124000000000002</v>
          </cell>
          <cell r="AY206">
            <v>7233.38</v>
          </cell>
          <cell r="AZ206">
            <v>4649.616</v>
          </cell>
          <cell r="BA206">
            <v>25538.787</v>
          </cell>
          <cell r="BB206">
            <v>7377.9719999999998</v>
          </cell>
          <cell r="BC206">
            <v>4136.0529999999999</v>
          </cell>
          <cell r="BD206">
            <v>2472</v>
          </cell>
          <cell r="BE206">
            <v>2772</v>
          </cell>
          <cell r="BF206">
            <v>7529.0870000000004</v>
          </cell>
        </row>
        <row r="209">
          <cell r="A209" t="str">
            <v>יתרת פתיחה ערך כינון מלא מים</v>
          </cell>
          <cell r="C209">
            <v>258419.94735714287</v>
          </cell>
          <cell r="D209">
            <v>61142.98521428572</v>
          </cell>
          <cell r="E209">
            <v>192682.12902857142</v>
          </cell>
          <cell r="F209">
            <v>37258.681885714286</v>
          </cell>
          <cell r="G209">
            <v>93114.313242857141</v>
          </cell>
          <cell r="H209">
            <v>907315.41881428566</v>
          </cell>
          <cell r="I209">
            <v>293958.41721428576</v>
          </cell>
          <cell r="J209">
            <v>69389.52</v>
          </cell>
          <cell r="K209">
            <v>116776.0508142857</v>
          </cell>
          <cell r="L209">
            <v>112199.12365714285</v>
          </cell>
          <cell r="M209">
            <v>130406.22857142857</v>
          </cell>
          <cell r="N209">
            <v>237066.83378571426</v>
          </cell>
          <cell r="O209">
            <v>143213.74815714287</v>
          </cell>
          <cell r="P209">
            <v>123923.6975142857</v>
          </cell>
          <cell r="Q209">
            <v>65131.364314285711</v>
          </cell>
          <cell r="R209">
            <v>63281.553557142855</v>
          </cell>
          <cell r="S209">
            <v>30412.7376</v>
          </cell>
          <cell r="T209">
            <v>90838.793085714278</v>
          </cell>
          <cell r="U209">
            <v>82343.076171428576</v>
          </cell>
          <cell r="V209">
            <v>61883.537685714276</v>
          </cell>
          <cell r="W209">
            <v>99670.670899999997</v>
          </cell>
          <cell r="X209">
            <v>85834.511014285716</v>
          </cell>
          <cell r="Y209">
            <v>52773.827014285707</v>
          </cell>
          <cell r="Z209">
            <v>49089.081557142854</v>
          </cell>
          <cell r="AA209">
            <v>124930.09785714287</v>
          </cell>
          <cell r="AB209">
            <v>46020.586714285717</v>
          </cell>
          <cell r="AC209">
            <v>126636.538</v>
          </cell>
          <cell r="AD209">
            <v>54671.243828571423</v>
          </cell>
          <cell r="AE209">
            <v>445026.4154</v>
          </cell>
          <cell r="AF209">
            <v>55922.591442857149</v>
          </cell>
          <cell r="AG209">
            <v>51370.831371428569</v>
          </cell>
          <cell r="AH209">
            <v>47769.687142857139</v>
          </cell>
          <cell r="AI209">
            <v>46046.871857142862</v>
          </cell>
          <cell r="AJ209">
            <v>28348.91657142857</v>
          </cell>
          <cell r="AK209">
            <v>26073.448971428574</v>
          </cell>
          <cell r="AL209">
            <v>543019.86939999997</v>
          </cell>
          <cell r="AM209">
            <v>87239.366385714282</v>
          </cell>
          <cell r="AN209">
            <v>69252.657585714274</v>
          </cell>
          <cell r="AO209">
            <v>163387.46057142856</v>
          </cell>
          <cell r="AP209">
            <v>45305.821857142859</v>
          </cell>
          <cell r="AQ209">
            <v>68289.32065714286</v>
          </cell>
          <cell r="AR209">
            <v>70893.442757142853</v>
          </cell>
          <cell r="AS209">
            <v>109120.94845714285</v>
          </cell>
          <cell r="AT209">
            <v>46792.362257142857</v>
          </cell>
          <cell r="AU209">
            <v>62406.171142857143</v>
          </cell>
          <cell r="AV209">
            <v>113468.64322857143</v>
          </cell>
          <cell r="AW209">
            <v>57768.368257142858</v>
          </cell>
          <cell r="AX209">
            <v>37595.544399999999</v>
          </cell>
          <cell r="AY209">
            <v>21184.2745</v>
          </cell>
          <cell r="AZ209">
            <v>53426.946814285715</v>
          </cell>
          <cell r="BA209">
            <v>89787.13557142856</v>
          </cell>
          <cell r="BB209">
            <v>77046.994214285703</v>
          </cell>
          <cell r="BC209">
            <v>62780.424999999996</v>
          </cell>
          <cell r="BD209">
            <v>15106.737142857142</v>
          </cell>
          <cell r="BE209">
            <v>17904.395142857142</v>
          </cell>
          <cell r="BF209">
            <v>115085.18</v>
          </cell>
          <cell r="BK209">
            <v>6437805.5426571434</v>
          </cell>
          <cell r="BL209">
            <v>6899859.0945000025</v>
          </cell>
        </row>
        <row r="211">
          <cell r="A211" t="str">
            <v>רכישות  רכוש קבוע מים לשנת 2009</v>
          </cell>
          <cell r="C211">
            <v>15110</v>
          </cell>
          <cell r="D211">
            <v>4008</v>
          </cell>
          <cell r="E211">
            <v>4618</v>
          </cell>
          <cell r="F211">
            <v>647</v>
          </cell>
          <cell r="G211">
            <v>840</v>
          </cell>
          <cell r="H211">
            <v>32417</v>
          </cell>
          <cell r="I211">
            <v>15244</v>
          </cell>
          <cell r="J211">
            <v>10156</v>
          </cell>
          <cell r="L211">
            <v>2436</v>
          </cell>
          <cell r="M211">
            <v>3616</v>
          </cell>
          <cell r="N211">
            <v>7990</v>
          </cell>
          <cell r="O211">
            <v>3334</v>
          </cell>
          <cell r="P211">
            <v>4422</v>
          </cell>
          <cell r="Q211">
            <v>0</v>
          </cell>
          <cell r="R211">
            <v>212</v>
          </cell>
          <cell r="S211">
            <v>0</v>
          </cell>
          <cell r="T211">
            <v>266</v>
          </cell>
          <cell r="U211">
            <v>856</v>
          </cell>
          <cell r="V211">
            <v>0</v>
          </cell>
          <cell r="Z211">
            <v>438.23700000000002</v>
          </cell>
          <cell r="AA211">
            <v>0</v>
          </cell>
          <cell r="AB211">
            <v>0</v>
          </cell>
          <cell r="AC211">
            <v>0</v>
          </cell>
          <cell r="AD211">
            <v>299</v>
          </cell>
          <cell r="AF211">
            <v>0</v>
          </cell>
          <cell r="AG211">
            <v>0</v>
          </cell>
          <cell r="AK211">
            <v>0</v>
          </cell>
          <cell r="AL211">
            <v>0</v>
          </cell>
          <cell r="AN211">
            <v>0</v>
          </cell>
          <cell r="AO211">
            <v>1</v>
          </cell>
          <cell r="AP211">
            <v>0</v>
          </cell>
          <cell r="AR211">
            <v>0</v>
          </cell>
          <cell r="AT211">
            <v>0</v>
          </cell>
          <cell r="AX211">
            <v>0</v>
          </cell>
          <cell r="BA211">
            <v>0</v>
          </cell>
          <cell r="BB211">
            <v>0</v>
          </cell>
          <cell r="BC211">
            <v>0</v>
          </cell>
          <cell r="BD211">
            <v>0</v>
          </cell>
          <cell r="BE211">
            <v>0</v>
          </cell>
          <cell r="BF211">
            <v>0</v>
          </cell>
          <cell r="BK211">
            <v>-462053.55184285901</v>
          </cell>
        </row>
        <row r="213">
          <cell r="A213" t="str">
            <v>רכישות רכוש קבוע מים לשנת 2010</v>
          </cell>
          <cell r="C213">
            <v>36799</v>
          </cell>
          <cell r="D213">
            <v>4148</v>
          </cell>
          <cell r="E213">
            <v>4512</v>
          </cell>
          <cell r="F213">
            <v>101</v>
          </cell>
          <cell r="G213">
            <v>313</v>
          </cell>
          <cell r="H213">
            <v>22087</v>
          </cell>
          <cell r="I213">
            <v>12967</v>
          </cell>
          <cell r="J213">
            <v>3011</v>
          </cell>
          <cell r="K213">
            <v>2075</v>
          </cell>
          <cell r="L213">
            <v>13178</v>
          </cell>
          <cell r="M213">
            <v>2286</v>
          </cell>
          <cell r="N213">
            <v>1387</v>
          </cell>
          <cell r="O213">
            <v>12717</v>
          </cell>
          <cell r="P213">
            <v>9365</v>
          </cell>
          <cell r="Q213">
            <v>4894</v>
          </cell>
          <cell r="R213">
            <v>1708</v>
          </cell>
          <cell r="S213">
            <v>260</v>
          </cell>
          <cell r="T213">
            <v>3032</v>
          </cell>
          <cell r="U213">
            <v>1218</v>
          </cell>
          <cell r="V213">
            <v>994</v>
          </cell>
          <cell r="W213">
            <v>9232</v>
          </cell>
          <cell r="X213">
            <v>1802</v>
          </cell>
          <cell r="Y213">
            <v>376</v>
          </cell>
          <cell r="Z213">
            <v>1547.6990000000001</v>
          </cell>
          <cell r="AA213">
            <v>1887</v>
          </cell>
          <cell r="AB213">
            <v>772</v>
          </cell>
          <cell r="AC213">
            <v>376</v>
          </cell>
          <cell r="AD213">
            <v>1150</v>
          </cell>
          <cell r="AE213">
            <v>4058</v>
          </cell>
          <cell r="AF213">
            <v>11734</v>
          </cell>
          <cell r="AG213">
            <v>8</v>
          </cell>
          <cell r="AH213">
            <v>85</v>
          </cell>
          <cell r="AI213">
            <v>131</v>
          </cell>
          <cell r="AK213">
            <v>0</v>
          </cell>
          <cell r="AL213">
            <v>0</v>
          </cell>
          <cell r="AM213">
            <v>10000</v>
          </cell>
          <cell r="AN213">
            <v>0</v>
          </cell>
          <cell r="AO213">
            <v>1</v>
          </cell>
          <cell r="AP213">
            <v>34</v>
          </cell>
          <cell r="AQ213">
            <v>3344.645</v>
          </cell>
          <cell r="AR213">
            <v>0</v>
          </cell>
          <cell r="AS213">
            <v>13194</v>
          </cell>
          <cell r="AT213">
            <v>0</v>
          </cell>
          <cell r="AU213">
            <v>150</v>
          </cell>
          <cell r="AV213">
            <v>439</v>
          </cell>
          <cell r="AW213">
            <v>136</v>
          </cell>
          <cell r="AX213">
            <v>0</v>
          </cell>
          <cell r="AY213">
            <v>0</v>
          </cell>
          <cell r="AZ213">
            <v>150</v>
          </cell>
          <cell r="BA213">
            <v>0</v>
          </cell>
          <cell r="BB213">
            <v>0</v>
          </cell>
          <cell r="BC213">
            <v>2536</v>
          </cell>
          <cell r="BD213">
            <v>0</v>
          </cell>
          <cell r="BE213">
            <v>0</v>
          </cell>
          <cell r="BF213">
            <v>0</v>
          </cell>
        </row>
        <row r="214">
          <cell r="BL214">
            <v>-1224795.0872228588</v>
          </cell>
        </row>
        <row r="215">
          <cell r="A215" t="str">
            <v>רכישות רכוש קבוע מים לשנת 2011</v>
          </cell>
          <cell r="C215">
            <v>15777</v>
          </cell>
          <cell r="D215">
            <v>1197</v>
          </cell>
          <cell r="E215">
            <v>2295</v>
          </cell>
          <cell r="F215">
            <v>1671</v>
          </cell>
          <cell r="G215">
            <v>3084</v>
          </cell>
          <cell r="H215">
            <v>13259</v>
          </cell>
          <cell r="I215">
            <v>21202</v>
          </cell>
          <cell r="J215">
            <v>1025</v>
          </cell>
          <cell r="K215">
            <v>1268</v>
          </cell>
          <cell r="L215">
            <v>4073</v>
          </cell>
          <cell r="M215">
            <v>3030</v>
          </cell>
          <cell r="N215">
            <v>6555</v>
          </cell>
          <cell r="O215">
            <v>9494</v>
          </cell>
          <cell r="P215">
            <v>13451</v>
          </cell>
          <cell r="Q215">
            <v>5050</v>
          </cell>
          <cell r="R215">
            <v>2030.68</v>
          </cell>
          <cell r="S215">
            <v>8862</v>
          </cell>
          <cell r="T215">
            <v>1103</v>
          </cell>
          <cell r="U215">
            <v>3348</v>
          </cell>
          <cell r="V215">
            <v>3494</v>
          </cell>
          <cell r="W215">
            <v>7721</v>
          </cell>
          <cell r="X215">
            <v>8236.2610000000004</v>
          </cell>
          <cell r="Y215">
            <v>1072</v>
          </cell>
          <cell r="Z215">
            <v>1568.933</v>
          </cell>
          <cell r="AA215">
            <v>2511</v>
          </cell>
          <cell r="AB215">
            <v>0</v>
          </cell>
          <cell r="AC215">
            <v>5152.3419999999996</v>
          </cell>
          <cell r="AD215">
            <v>3338</v>
          </cell>
          <cell r="AE215">
            <v>12038</v>
          </cell>
          <cell r="AF215">
            <v>9618</v>
          </cell>
          <cell r="AG215">
            <v>38</v>
          </cell>
          <cell r="AH215">
            <v>0</v>
          </cell>
          <cell r="AI215">
            <v>481</v>
          </cell>
          <cell r="AJ215">
            <v>1</v>
          </cell>
          <cell r="AK215">
            <v>0</v>
          </cell>
          <cell r="AL215">
            <v>5621</v>
          </cell>
          <cell r="AM215">
            <v>804</v>
          </cell>
          <cell r="AN215">
            <v>0</v>
          </cell>
          <cell r="AO215">
            <v>1</v>
          </cell>
          <cell r="AP215">
            <v>259.06400000000002</v>
          </cell>
          <cell r="AQ215">
            <v>4579</v>
          </cell>
          <cell r="AR215">
            <v>130</v>
          </cell>
          <cell r="AS215">
            <v>0</v>
          </cell>
          <cell r="AT215">
            <v>175</v>
          </cell>
          <cell r="AU215">
            <v>2400</v>
          </cell>
          <cell r="AV215">
            <v>3484</v>
          </cell>
          <cell r="AW215">
            <v>1645</v>
          </cell>
          <cell r="AX215">
            <v>0</v>
          </cell>
          <cell r="AY215">
            <v>591</v>
          </cell>
          <cell r="AZ215">
            <v>98</v>
          </cell>
          <cell r="BA215">
            <v>324</v>
          </cell>
          <cell r="BB215">
            <v>0</v>
          </cell>
          <cell r="BC215">
            <v>3195</v>
          </cell>
          <cell r="BD215">
            <v>0</v>
          </cell>
          <cell r="BE215">
            <v>0</v>
          </cell>
          <cell r="BF215">
            <v>0</v>
          </cell>
        </row>
        <row r="217">
          <cell r="A217" t="str">
            <v>רכישות רכוש קבוע מים לשנת 2012</v>
          </cell>
          <cell r="C217">
            <v>8383</v>
          </cell>
          <cell r="D217">
            <v>2293</v>
          </cell>
          <cell r="E217">
            <v>8285</v>
          </cell>
          <cell r="F217">
            <v>393</v>
          </cell>
          <cell r="G217">
            <v>1062</v>
          </cell>
          <cell r="H217">
            <v>25439</v>
          </cell>
          <cell r="I217">
            <v>16143</v>
          </cell>
          <cell r="J217">
            <v>2244</v>
          </cell>
          <cell r="K217">
            <v>160</v>
          </cell>
          <cell r="L217">
            <v>8698</v>
          </cell>
          <cell r="M217">
            <v>2287</v>
          </cell>
          <cell r="N217">
            <v>2994</v>
          </cell>
          <cell r="O217">
            <v>10804</v>
          </cell>
          <cell r="P217">
            <v>7578</v>
          </cell>
          <cell r="Q217">
            <v>7262</v>
          </cell>
          <cell r="R217">
            <v>4208.6750000000002</v>
          </cell>
          <cell r="S217">
            <v>6009</v>
          </cell>
          <cell r="T217">
            <v>1857</v>
          </cell>
          <cell r="U217">
            <v>6824</v>
          </cell>
          <cell r="V217">
            <v>4893</v>
          </cell>
          <cell r="W217">
            <v>2209</v>
          </cell>
          <cell r="X217">
            <v>8586</v>
          </cell>
          <cell r="Y217">
            <v>904</v>
          </cell>
          <cell r="Z217">
            <v>1008</v>
          </cell>
          <cell r="AA217">
            <v>1542</v>
          </cell>
          <cell r="AB217">
            <v>1571</v>
          </cell>
          <cell r="AC217">
            <v>5101</v>
          </cell>
          <cell r="AD217">
            <v>1465</v>
          </cell>
          <cell r="AE217">
            <v>18778</v>
          </cell>
          <cell r="AF217">
            <v>4707</v>
          </cell>
          <cell r="AG217">
            <v>1874</v>
          </cell>
          <cell r="AH217">
            <v>0</v>
          </cell>
          <cell r="AI217">
            <v>0</v>
          </cell>
          <cell r="AJ217">
            <v>140</v>
          </cell>
          <cell r="AK217">
            <v>0</v>
          </cell>
          <cell r="AL217">
            <v>13800</v>
          </cell>
          <cell r="AM217">
            <v>733</v>
          </cell>
          <cell r="AN217">
            <v>3237</v>
          </cell>
          <cell r="AO217">
            <v>280</v>
          </cell>
          <cell r="AP217">
            <v>2665.4189999999999</v>
          </cell>
          <cell r="AQ217">
            <v>7211</v>
          </cell>
          <cell r="AR217">
            <v>6553</v>
          </cell>
          <cell r="AS217">
            <v>16094</v>
          </cell>
          <cell r="AT217">
            <v>1593</v>
          </cell>
          <cell r="AU217">
            <v>7536</v>
          </cell>
          <cell r="AV217">
            <v>7997</v>
          </cell>
          <cell r="AW217">
            <v>2432</v>
          </cell>
          <cell r="AX217">
            <v>198</v>
          </cell>
          <cell r="AY217">
            <v>222</v>
          </cell>
          <cell r="AZ217">
            <v>2450</v>
          </cell>
          <cell r="BA217">
            <v>1732</v>
          </cell>
          <cell r="BB217">
            <v>3213</v>
          </cell>
          <cell r="BC217">
            <v>20173</v>
          </cell>
          <cell r="BD217">
            <v>102</v>
          </cell>
          <cell r="BE217">
            <v>0</v>
          </cell>
          <cell r="BF217">
            <v>0</v>
          </cell>
          <cell r="BK217">
            <v>273923.09399999998</v>
          </cell>
        </row>
        <row r="219">
          <cell r="A219" t="str">
            <v>רכישות רכוש קבוע מים לשנת 2013</v>
          </cell>
          <cell r="C219">
            <v>12436</v>
          </cell>
          <cell r="D219">
            <v>2879</v>
          </cell>
          <cell r="E219">
            <v>2428</v>
          </cell>
          <cell r="F219">
            <v>1243</v>
          </cell>
          <cell r="G219">
            <v>2338</v>
          </cell>
          <cell r="H219">
            <v>55821</v>
          </cell>
          <cell r="I219">
            <v>16594</v>
          </cell>
          <cell r="J219">
            <v>3971</v>
          </cell>
          <cell r="K219">
            <v>2579</v>
          </cell>
          <cell r="L219">
            <v>3537</v>
          </cell>
          <cell r="M219">
            <v>3097</v>
          </cell>
          <cell r="N219">
            <v>3546</v>
          </cell>
          <cell r="O219">
            <v>11982</v>
          </cell>
          <cell r="P219">
            <v>22189</v>
          </cell>
          <cell r="Q219">
            <v>2896</v>
          </cell>
          <cell r="R219">
            <v>9070.8469999999998</v>
          </cell>
          <cell r="S219">
            <v>2402</v>
          </cell>
          <cell r="T219">
            <v>4090</v>
          </cell>
          <cell r="U219">
            <v>4800</v>
          </cell>
          <cell r="V219">
            <v>4300</v>
          </cell>
          <cell r="W219">
            <v>6216.1540000000005</v>
          </cell>
          <cell r="X219">
            <v>13022</v>
          </cell>
          <cell r="Y219">
            <v>1497</v>
          </cell>
          <cell r="Z219">
            <v>7819</v>
          </cell>
          <cell r="AA219">
            <v>4797</v>
          </cell>
          <cell r="AB219">
            <v>5373</v>
          </cell>
          <cell r="AC219">
            <v>5368</v>
          </cell>
          <cell r="AD219">
            <v>11245</v>
          </cell>
          <cell r="AE219">
            <v>8218</v>
          </cell>
          <cell r="AF219">
            <v>4466</v>
          </cell>
          <cell r="AG219">
            <v>1393</v>
          </cell>
          <cell r="AH219">
            <v>214</v>
          </cell>
          <cell r="AI219">
            <v>576</v>
          </cell>
          <cell r="AJ219">
            <v>696</v>
          </cell>
          <cell r="AK219">
            <v>718</v>
          </cell>
          <cell r="AL219">
            <v>18639</v>
          </cell>
          <cell r="AM219">
            <v>6255</v>
          </cell>
          <cell r="AN219">
            <v>8447</v>
          </cell>
          <cell r="AO219">
            <v>4203</v>
          </cell>
          <cell r="AP219">
            <v>7517</v>
          </cell>
          <cell r="AQ219">
            <v>18650</v>
          </cell>
          <cell r="AR219">
            <v>3300</v>
          </cell>
          <cell r="AS219">
            <v>13508</v>
          </cell>
          <cell r="AT219">
            <v>1584.146</v>
          </cell>
          <cell r="AU219">
            <v>14253</v>
          </cell>
          <cell r="AV219">
            <v>10705</v>
          </cell>
          <cell r="AW219">
            <v>317</v>
          </cell>
          <cell r="AX219">
            <v>4191.8950000000004</v>
          </cell>
          <cell r="AY219">
            <v>71</v>
          </cell>
          <cell r="AZ219">
            <v>8230</v>
          </cell>
          <cell r="BA219">
            <v>6882</v>
          </cell>
          <cell r="BB219">
            <v>5285</v>
          </cell>
          <cell r="BC219">
            <v>7556</v>
          </cell>
          <cell r="BD219">
            <v>4200</v>
          </cell>
          <cell r="BE219">
            <v>1969</v>
          </cell>
          <cell r="BF219">
            <v>0</v>
          </cell>
          <cell r="BK219">
            <v>389580.04200000007</v>
          </cell>
        </row>
        <row r="221">
          <cell r="A221" t="str">
            <v>רכישות רכוש קבוע מים לשנת 2014</v>
          </cell>
          <cell r="C221">
            <v>12736</v>
          </cell>
          <cell r="D221">
            <v>7325</v>
          </cell>
          <cell r="E221">
            <v>10795</v>
          </cell>
          <cell r="F221">
            <v>2336</v>
          </cell>
          <cell r="G221">
            <v>5034</v>
          </cell>
          <cell r="H221">
            <v>40155</v>
          </cell>
          <cell r="I221">
            <v>35933</v>
          </cell>
          <cell r="J221">
            <v>784</v>
          </cell>
          <cell r="K221">
            <v>5000</v>
          </cell>
          <cell r="L221">
            <v>1765</v>
          </cell>
          <cell r="M221">
            <v>26044</v>
          </cell>
          <cell r="N221">
            <v>25361</v>
          </cell>
          <cell r="O221">
            <v>22638</v>
          </cell>
          <cell r="P221">
            <v>4649</v>
          </cell>
          <cell r="Q221">
            <v>6999</v>
          </cell>
          <cell r="R221">
            <v>6693</v>
          </cell>
          <cell r="S221">
            <v>2645</v>
          </cell>
          <cell r="T221">
            <v>1792</v>
          </cell>
          <cell r="U221">
            <v>5530</v>
          </cell>
          <cell r="V221">
            <v>10124</v>
          </cell>
          <cell r="W221">
            <v>7874</v>
          </cell>
          <cell r="X221">
            <v>16734</v>
          </cell>
          <cell r="Y221">
            <v>3220</v>
          </cell>
          <cell r="Z221">
            <v>10800</v>
          </cell>
          <cell r="AA221">
            <v>1643</v>
          </cell>
          <cell r="AB221">
            <v>3751</v>
          </cell>
          <cell r="AC221">
            <v>8502</v>
          </cell>
          <cell r="AD221">
            <v>7283</v>
          </cell>
          <cell r="AE221">
            <v>26021</v>
          </cell>
          <cell r="AF221">
            <v>13426</v>
          </cell>
          <cell r="AG221">
            <v>3733</v>
          </cell>
          <cell r="AH221">
            <v>0</v>
          </cell>
          <cell r="AI221">
            <v>3810</v>
          </cell>
          <cell r="AJ221">
            <v>691</v>
          </cell>
          <cell r="AK221">
            <v>448</v>
          </cell>
          <cell r="AL221">
            <v>13847</v>
          </cell>
          <cell r="AM221">
            <v>2187</v>
          </cell>
          <cell r="AN221">
            <v>1956</v>
          </cell>
          <cell r="AO221">
            <v>7806</v>
          </cell>
          <cell r="AP221">
            <v>1380</v>
          </cell>
          <cell r="AQ221">
            <v>8423</v>
          </cell>
          <cell r="AR221">
            <v>2763</v>
          </cell>
          <cell r="AS221">
            <v>17463</v>
          </cell>
          <cell r="AT221">
            <v>6731</v>
          </cell>
          <cell r="AU221">
            <v>8042</v>
          </cell>
          <cell r="AV221">
            <v>7464</v>
          </cell>
          <cell r="AW221">
            <v>8545</v>
          </cell>
          <cell r="AX221">
            <v>3355</v>
          </cell>
          <cell r="AY221">
            <v>373</v>
          </cell>
          <cell r="AZ221">
            <v>7214</v>
          </cell>
          <cell r="BA221">
            <v>848</v>
          </cell>
          <cell r="BB221">
            <v>3252</v>
          </cell>
          <cell r="BC221">
            <v>13846</v>
          </cell>
          <cell r="BD221">
            <v>4347</v>
          </cell>
          <cell r="BE221">
            <v>638</v>
          </cell>
          <cell r="BF221">
            <v>0</v>
          </cell>
          <cell r="BK221">
            <v>462754</v>
          </cell>
          <cell r="BL221">
            <v>1126257.1360000002</v>
          </cell>
        </row>
        <row r="223">
          <cell r="A223" t="str">
            <v>רכוש קבוע בהקמה 2014</v>
          </cell>
          <cell r="C223">
            <v>21434</v>
          </cell>
          <cell r="D223">
            <v>1998</v>
          </cell>
          <cell r="E223">
            <v>22908</v>
          </cell>
          <cell r="F223">
            <v>1745</v>
          </cell>
          <cell r="G223">
            <v>6279</v>
          </cell>
          <cell r="H223">
            <v>92763</v>
          </cell>
          <cell r="I223">
            <v>42655</v>
          </cell>
          <cell r="J223">
            <v>4678</v>
          </cell>
          <cell r="K223">
            <v>24</v>
          </cell>
          <cell r="L223">
            <v>9143</v>
          </cell>
          <cell r="M223">
            <v>779</v>
          </cell>
          <cell r="N223">
            <v>6721</v>
          </cell>
          <cell r="O223">
            <v>13624</v>
          </cell>
          <cell r="P223">
            <v>0</v>
          </cell>
          <cell r="Q223">
            <v>13613</v>
          </cell>
          <cell r="R223">
            <v>834</v>
          </cell>
          <cell r="S223">
            <v>1199</v>
          </cell>
          <cell r="T223">
            <v>1779</v>
          </cell>
          <cell r="U223">
            <v>4800</v>
          </cell>
          <cell r="V223">
            <v>8062</v>
          </cell>
          <cell r="W223">
            <v>0</v>
          </cell>
          <cell r="X223">
            <v>9615</v>
          </cell>
          <cell r="Y223">
            <v>0</v>
          </cell>
          <cell r="Z223">
            <v>372</v>
          </cell>
          <cell r="AA223">
            <v>10046</v>
          </cell>
          <cell r="AB223">
            <v>1159</v>
          </cell>
          <cell r="AC223">
            <v>8767</v>
          </cell>
          <cell r="AD223">
            <v>1098</v>
          </cell>
          <cell r="AE223">
            <v>34631</v>
          </cell>
          <cell r="AF223">
            <v>0</v>
          </cell>
          <cell r="AG223">
            <v>375</v>
          </cell>
          <cell r="AH223">
            <v>4759</v>
          </cell>
          <cell r="AI223">
            <v>2782</v>
          </cell>
          <cell r="AJ223">
            <v>74</v>
          </cell>
          <cell r="AK223">
            <v>0</v>
          </cell>
          <cell r="AL223">
            <v>96100</v>
          </cell>
          <cell r="AM223">
            <v>848</v>
          </cell>
          <cell r="AN223">
            <v>0</v>
          </cell>
          <cell r="AO223">
            <v>5026</v>
          </cell>
          <cell r="AP223">
            <v>13166</v>
          </cell>
          <cell r="AQ223">
            <v>1411</v>
          </cell>
          <cell r="AR223">
            <v>1099</v>
          </cell>
          <cell r="AS223">
            <v>0</v>
          </cell>
          <cell r="AT223">
            <v>3135</v>
          </cell>
          <cell r="AU223">
            <v>668</v>
          </cell>
          <cell r="AV223">
            <v>0</v>
          </cell>
          <cell r="AW223">
            <v>4048</v>
          </cell>
          <cell r="AX223">
            <v>8547</v>
          </cell>
          <cell r="AY223">
            <v>6</v>
          </cell>
          <cell r="AZ223">
            <v>0</v>
          </cell>
          <cell r="BA223">
            <v>7784</v>
          </cell>
          <cell r="BB223">
            <v>201</v>
          </cell>
          <cell r="BC223">
            <v>6853</v>
          </cell>
          <cell r="BD223">
            <v>2507</v>
          </cell>
          <cell r="BE223">
            <v>13</v>
          </cell>
          <cell r="BF223">
            <v>0</v>
          </cell>
          <cell r="BK223">
            <v>480128</v>
          </cell>
          <cell r="BL223">
            <v>299780</v>
          </cell>
        </row>
        <row r="225">
          <cell r="A225" t="str">
            <v>גריעות נורמטיביות השקעות חדשות</v>
          </cell>
          <cell r="C225">
            <v>-6768.5999999999995</v>
          </cell>
          <cell r="D225">
            <v>-935.3</v>
          </cell>
          <cell r="E225">
            <v>-1142.5</v>
          </cell>
          <cell r="F225">
            <v>-241.90000000000003</v>
          </cell>
          <cell r="G225">
            <v>-423.69999999999993</v>
          </cell>
          <cell r="H225">
            <v>-6776.3000000000011</v>
          </cell>
          <cell r="I225">
            <v>-4941.2999999999993</v>
          </cell>
          <cell r="J225">
            <v>-1419.2</v>
          </cell>
          <cell r="K225">
            <v>-334.3</v>
          </cell>
          <cell r="L225">
            <v>-1968.7</v>
          </cell>
          <cell r="M225">
            <v>-893.2</v>
          </cell>
          <cell r="N225">
            <v>-1593.2000000000003</v>
          </cell>
          <cell r="O225">
            <v>-2554.5</v>
          </cell>
          <cell r="P225">
            <v>-2723.7999999999997</v>
          </cell>
          <cell r="Q225">
            <v>-994.39999999999986</v>
          </cell>
          <cell r="R225">
            <v>-395.06799999999998</v>
          </cell>
          <cell r="S225">
            <v>-912.2</v>
          </cell>
          <cell r="T225">
            <v>-440.09999999999997</v>
          </cell>
          <cell r="U225">
            <v>-542.19999999999993</v>
          </cell>
          <cell r="V225">
            <v>-448.79999999999995</v>
          </cell>
          <cell r="W225">
            <v>-1695.3000000000002</v>
          </cell>
          <cell r="X225">
            <v>-1003.8261</v>
          </cell>
          <cell r="Y225">
            <v>-144.80000000000001</v>
          </cell>
          <cell r="Z225">
            <v>-355.48690000000005</v>
          </cell>
          <cell r="AA225">
            <v>-439.79999999999995</v>
          </cell>
          <cell r="AB225">
            <v>-77.2</v>
          </cell>
          <cell r="AC225">
            <v>-552.83420000000001</v>
          </cell>
          <cell r="AD225">
            <v>-478.7</v>
          </cell>
          <cell r="AE225">
            <v>-1609.6</v>
          </cell>
          <cell r="AF225">
            <v>-2135.1999999999998</v>
          </cell>
          <cell r="AG225">
            <v>-4.6000000000000005</v>
          </cell>
          <cell r="AH225">
            <v>-8.5</v>
          </cell>
          <cell r="AI225">
            <v>-61.199999999999996</v>
          </cell>
          <cell r="AJ225">
            <v>-0.1</v>
          </cell>
          <cell r="AK225">
            <v>0</v>
          </cell>
          <cell r="AL225">
            <v>-562.1</v>
          </cell>
          <cell r="AM225">
            <v>-1080.4000000000001</v>
          </cell>
          <cell r="AN225">
            <v>0</v>
          </cell>
          <cell r="AO225">
            <v>-0.30000000000000004</v>
          </cell>
          <cell r="AP225">
            <v>-29.306400000000004</v>
          </cell>
          <cell r="AQ225">
            <v>-792.36450000000013</v>
          </cell>
          <cell r="AR225">
            <v>-13</v>
          </cell>
          <cell r="AS225">
            <v>-1319.4</v>
          </cell>
          <cell r="AT225">
            <v>-17.5</v>
          </cell>
          <cell r="AU225">
            <v>-255</v>
          </cell>
          <cell r="AV225">
            <v>-392.30000000000007</v>
          </cell>
          <cell r="AW225">
            <v>-178.1</v>
          </cell>
          <cell r="AX225">
            <v>0</v>
          </cell>
          <cell r="AY225">
            <v>-59.099999999999994</v>
          </cell>
          <cell r="AZ225">
            <v>-24.800000000000004</v>
          </cell>
          <cell r="BA225">
            <v>-32.400000000000006</v>
          </cell>
          <cell r="BB225">
            <v>0</v>
          </cell>
          <cell r="BC225">
            <v>-573.1</v>
          </cell>
          <cell r="BD225">
            <v>0</v>
          </cell>
          <cell r="BE225">
            <v>0</v>
          </cell>
          <cell r="BF225">
            <v>0</v>
          </cell>
          <cell r="BK225">
            <v>-50345.5861</v>
          </cell>
        </row>
        <row r="231">
          <cell r="A231" t="str">
            <v>ניכוי מענקים שניתנו לרכישת רכוש קבוע</v>
          </cell>
          <cell r="D231">
            <v>-5683</v>
          </cell>
          <cell r="F231">
            <v>-1757</v>
          </cell>
          <cell r="I231">
            <v>-3041</v>
          </cell>
          <cell r="L231">
            <v>-1229</v>
          </cell>
          <cell r="AQ231">
            <v>-151</v>
          </cell>
        </row>
        <row r="233">
          <cell r="A233" t="str">
            <v>היטלי פיתוח מים נטו לשנת 2009</v>
          </cell>
          <cell r="C233">
            <v>-22000.800000000003</v>
          </cell>
          <cell r="D233">
            <v>-481.6</v>
          </cell>
          <cell r="E233">
            <v>-4283.2</v>
          </cell>
          <cell r="F233">
            <v>-293.60000000000002</v>
          </cell>
          <cell r="G233">
            <v>0</v>
          </cell>
          <cell r="H233">
            <v>-19577.600000000002</v>
          </cell>
          <cell r="I233">
            <v>-4335.2</v>
          </cell>
          <cell r="J233">
            <v>-2174.4</v>
          </cell>
          <cell r="K233">
            <v>-393.6</v>
          </cell>
          <cell r="L233">
            <v>0</v>
          </cell>
          <cell r="M233">
            <v>-5210.4000000000005</v>
          </cell>
          <cell r="N233">
            <v>-2279.2000000000003</v>
          </cell>
          <cell r="O233">
            <v>-7474.4000000000005</v>
          </cell>
          <cell r="P233">
            <v>0</v>
          </cell>
          <cell r="Q233">
            <v>0</v>
          </cell>
          <cell r="R233">
            <v>0</v>
          </cell>
          <cell r="S233">
            <v>-1780</v>
          </cell>
          <cell r="T233">
            <v>-2558.4</v>
          </cell>
          <cell r="U233">
            <v>-2048.8000000000002</v>
          </cell>
          <cell r="V233">
            <v>0</v>
          </cell>
          <cell r="W233">
            <v>0</v>
          </cell>
          <cell r="X233">
            <v>-4024</v>
          </cell>
          <cell r="Y233">
            <v>0</v>
          </cell>
          <cell r="Z233">
            <v>-1377.3984</v>
          </cell>
          <cell r="AA233">
            <v>-391.20000000000005</v>
          </cell>
          <cell r="AB233">
            <v>-237.60000000000002</v>
          </cell>
          <cell r="AC233">
            <v>-29.6</v>
          </cell>
          <cell r="AD233">
            <v>-1372</v>
          </cell>
          <cell r="AE233">
            <v>0</v>
          </cell>
          <cell r="AF233">
            <v>0</v>
          </cell>
          <cell r="AG233">
            <v>0</v>
          </cell>
          <cell r="AI233">
            <v>-146.4</v>
          </cell>
          <cell r="AK233">
            <v>0</v>
          </cell>
          <cell r="AL233">
            <v>0</v>
          </cell>
          <cell r="AM233">
            <v>0</v>
          </cell>
          <cell r="AN233">
            <v>0</v>
          </cell>
          <cell r="AO233">
            <v>-0.8</v>
          </cell>
          <cell r="AP233">
            <v>0</v>
          </cell>
          <cell r="AQ233">
            <v>-966.95680000000004</v>
          </cell>
          <cell r="AS233">
            <v>-194.4</v>
          </cell>
          <cell r="AT233">
            <v>0</v>
          </cell>
          <cell r="AU233">
            <v>0</v>
          </cell>
          <cell r="AW233">
            <v>0</v>
          </cell>
          <cell r="AX233">
            <v>0</v>
          </cell>
          <cell r="AY233">
            <v>0</v>
          </cell>
          <cell r="AZ233">
            <v>0</v>
          </cell>
          <cell r="BA233">
            <v>0</v>
          </cell>
          <cell r="BB233">
            <v>0</v>
          </cell>
          <cell r="BC233">
            <v>0</v>
          </cell>
          <cell r="BD233">
            <v>0</v>
          </cell>
          <cell r="BE233">
            <v>0</v>
          </cell>
          <cell r="BF233">
            <v>0</v>
          </cell>
        </row>
        <row r="235">
          <cell r="A235" t="str">
            <v>היטלי פיתוח מים נטו לשנת 2010</v>
          </cell>
          <cell r="C235">
            <v>-34204</v>
          </cell>
          <cell r="D235">
            <v>-535.20000000000005</v>
          </cell>
          <cell r="E235">
            <v>-6500.8</v>
          </cell>
          <cell r="F235">
            <v>-596</v>
          </cell>
          <cell r="G235">
            <v>0</v>
          </cell>
          <cell r="H235">
            <v>-32092</v>
          </cell>
          <cell r="I235">
            <v>-9830.4000000000015</v>
          </cell>
          <cell r="J235">
            <v>-3212.8</v>
          </cell>
          <cell r="K235">
            <v>-1393.6000000000001</v>
          </cell>
          <cell r="L235">
            <v>-1032.8</v>
          </cell>
          <cell r="M235">
            <v>-6606.4000000000005</v>
          </cell>
          <cell r="N235">
            <v>-8514.4</v>
          </cell>
          <cell r="O235">
            <v>-8452</v>
          </cell>
          <cell r="P235">
            <v>-1100</v>
          </cell>
          <cell r="Q235">
            <v>0</v>
          </cell>
          <cell r="R235">
            <v>-2060.8000000000002</v>
          </cell>
          <cell r="S235">
            <v>-1348</v>
          </cell>
          <cell r="T235">
            <v>-1557.6000000000001</v>
          </cell>
          <cell r="U235">
            <v>-3939.2000000000003</v>
          </cell>
          <cell r="V235">
            <v>-1635.2</v>
          </cell>
          <cell r="W235">
            <v>-1528.8000000000002</v>
          </cell>
          <cell r="X235">
            <v>-7004</v>
          </cell>
          <cell r="Y235">
            <v>0</v>
          </cell>
          <cell r="Z235">
            <v>-3552.5</v>
          </cell>
          <cell r="AA235">
            <v>-1564</v>
          </cell>
          <cell r="AB235">
            <v>-3297.6000000000004</v>
          </cell>
          <cell r="AC235">
            <v>-9125.6</v>
          </cell>
          <cell r="AD235">
            <v>-2738.4</v>
          </cell>
          <cell r="AE235">
            <v>-10742.400000000001</v>
          </cell>
          <cell r="AF235">
            <v>-2684.8</v>
          </cell>
          <cell r="AG235">
            <v>0</v>
          </cell>
          <cell r="AI235">
            <v>-551.20000000000005</v>
          </cell>
          <cell r="AJ235">
            <v>-1284</v>
          </cell>
          <cell r="AK235">
            <v>0</v>
          </cell>
          <cell r="AL235">
            <v>-41356.800000000003</v>
          </cell>
          <cell r="AM235">
            <v>-1488.8000000000002</v>
          </cell>
          <cell r="AN235">
            <v>0</v>
          </cell>
          <cell r="AO235">
            <v>-0.8</v>
          </cell>
          <cell r="AP235">
            <v>-2359.2000000000003</v>
          </cell>
          <cell r="AQ235">
            <v>-977.83280000000002</v>
          </cell>
          <cell r="AR235">
            <v>-872</v>
          </cell>
          <cell r="AS235">
            <v>-1881.6000000000001</v>
          </cell>
          <cell r="AT235">
            <v>-13.600000000000001</v>
          </cell>
          <cell r="AU235">
            <v>-8785.6</v>
          </cell>
          <cell r="AV235">
            <v>-7740.8</v>
          </cell>
          <cell r="AW235">
            <v>0</v>
          </cell>
          <cell r="AX235">
            <v>0</v>
          </cell>
          <cell r="AY235">
            <v>0</v>
          </cell>
          <cell r="AZ235">
            <v>-966.40000000000009</v>
          </cell>
          <cell r="BA235">
            <v>0</v>
          </cell>
          <cell r="BB235">
            <v>0</v>
          </cell>
          <cell r="BC235">
            <v>-541.6</v>
          </cell>
          <cell r="BD235">
            <v>0</v>
          </cell>
          <cell r="BE235">
            <v>0</v>
          </cell>
          <cell r="BF235">
            <v>0</v>
          </cell>
        </row>
        <row r="237">
          <cell r="A237" t="str">
            <v>היטלי פיתוח מים נטו לשנת 2011</v>
          </cell>
          <cell r="C237">
            <v>-22166.400000000001</v>
          </cell>
          <cell r="D237">
            <v>-355.20000000000005</v>
          </cell>
          <cell r="E237">
            <v>-7379.2000000000007</v>
          </cell>
          <cell r="F237">
            <v>-456.8</v>
          </cell>
          <cell r="G237">
            <v>0</v>
          </cell>
          <cell r="H237">
            <v>-28824.800000000003</v>
          </cell>
          <cell r="I237">
            <v>-8000.8</v>
          </cell>
          <cell r="J237">
            <v>-2478.4</v>
          </cell>
          <cell r="K237">
            <v>-1439.2</v>
          </cell>
          <cell r="L237">
            <v>-1356.8000000000002</v>
          </cell>
          <cell r="M237">
            <v>-15600.800000000001</v>
          </cell>
          <cell r="N237">
            <v>-7729.6</v>
          </cell>
          <cell r="O237">
            <v>-13748</v>
          </cell>
          <cell r="P237">
            <v>-1404</v>
          </cell>
          <cell r="Q237">
            <v>-5208</v>
          </cell>
          <cell r="R237">
            <v>-2969.6000000000004</v>
          </cell>
          <cell r="S237">
            <v>-2796.8</v>
          </cell>
          <cell r="T237">
            <v>-1076</v>
          </cell>
          <cell r="U237">
            <v>-5462.4000000000005</v>
          </cell>
          <cell r="V237">
            <v>-2040</v>
          </cell>
          <cell r="W237">
            <v>-1220</v>
          </cell>
          <cell r="X237">
            <v>-9448.8000000000011</v>
          </cell>
          <cell r="Y237">
            <v>0</v>
          </cell>
          <cell r="Z237">
            <v>-3108.2696000000001</v>
          </cell>
          <cell r="AA237">
            <v>-2620.8000000000002</v>
          </cell>
          <cell r="AB237">
            <v>-5634.4000000000005</v>
          </cell>
          <cell r="AC237">
            <v>-17504.8</v>
          </cell>
          <cell r="AD237">
            <v>-1087.2</v>
          </cell>
          <cell r="AE237">
            <v>-15252.800000000001</v>
          </cell>
          <cell r="AF237">
            <v>-302.40000000000003</v>
          </cell>
          <cell r="AG237">
            <v>0</v>
          </cell>
          <cell r="AH237">
            <v>0</v>
          </cell>
          <cell r="AI237">
            <v>-468.8</v>
          </cell>
          <cell r="AJ237">
            <v>-0.8</v>
          </cell>
          <cell r="AK237">
            <v>0</v>
          </cell>
          <cell r="AL237">
            <v>-46504</v>
          </cell>
          <cell r="AM237">
            <v>-2949.6000000000004</v>
          </cell>
          <cell r="AN237">
            <v>0</v>
          </cell>
          <cell r="AO237">
            <v>-0.8</v>
          </cell>
          <cell r="AP237">
            <v>-1384</v>
          </cell>
          <cell r="AQ237">
            <v>-11108.800000000001</v>
          </cell>
          <cell r="AR237">
            <v>-3576</v>
          </cell>
          <cell r="AS237">
            <v>-3615.2000000000003</v>
          </cell>
          <cell r="AT237">
            <v>-1712</v>
          </cell>
          <cell r="AU237">
            <v>-19521.600000000002</v>
          </cell>
          <cell r="AV237">
            <v>-14302.400000000001</v>
          </cell>
          <cell r="AW237">
            <v>-864.80000000000007</v>
          </cell>
          <cell r="AX237">
            <v>0</v>
          </cell>
          <cell r="AY237">
            <v>-588</v>
          </cell>
          <cell r="AZ237">
            <v>-2507.2000000000003</v>
          </cell>
          <cell r="BA237">
            <v>0</v>
          </cell>
          <cell r="BB237">
            <v>-909</v>
          </cell>
          <cell r="BC237">
            <v>-2204</v>
          </cell>
          <cell r="BD237">
            <v>0</v>
          </cell>
          <cell r="BE237">
            <v>0</v>
          </cell>
          <cell r="BF237">
            <v>0</v>
          </cell>
          <cell r="BG237">
            <v>-298889.26959999994</v>
          </cell>
          <cell r="BK237">
            <v>-538000.68527999986</v>
          </cell>
        </row>
        <row r="238">
          <cell r="BG238">
            <v>0</v>
          </cell>
          <cell r="BK238">
            <v>0</v>
          </cell>
        </row>
        <row r="239">
          <cell r="A239" t="str">
            <v>היטלי פיתוח מים נטו לשנת 2012</v>
          </cell>
          <cell r="C239">
            <v>-18658</v>
          </cell>
          <cell r="D239">
            <v>-986</v>
          </cell>
          <cell r="E239">
            <v>-4742</v>
          </cell>
          <cell r="F239">
            <v>-344</v>
          </cell>
          <cell r="G239">
            <v>0</v>
          </cell>
          <cell r="H239">
            <v>-63251</v>
          </cell>
          <cell r="I239">
            <v>-11422</v>
          </cell>
          <cell r="J239">
            <v>-2799</v>
          </cell>
          <cell r="K239">
            <v>-3498</v>
          </cell>
          <cell r="L239">
            <v>-1445</v>
          </cell>
          <cell r="M239">
            <v>-15621</v>
          </cell>
          <cell r="N239">
            <v>-7428</v>
          </cell>
          <cell r="O239">
            <v>-21257</v>
          </cell>
          <cell r="P239">
            <v>-4475</v>
          </cell>
          <cell r="Q239">
            <v>-3344</v>
          </cell>
          <cell r="R239">
            <v>-1251</v>
          </cell>
          <cell r="S239">
            <v>-10012</v>
          </cell>
          <cell r="T239">
            <v>-4113</v>
          </cell>
          <cell r="U239">
            <v>-6472</v>
          </cell>
          <cell r="V239">
            <v>-4427</v>
          </cell>
          <cell r="W239">
            <v>-1952</v>
          </cell>
          <cell r="X239">
            <v>-10011</v>
          </cell>
          <cell r="Y239">
            <v>-2137</v>
          </cell>
          <cell r="Z239">
            <v>-4062</v>
          </cell>
          <cell r="AA239">
            <v>-4781</v>
          </cell>
          <cell r="AB239">
            <v>-586</v>
          </cell>
          <cell r="AC239">
            <v>-11198</v>
          </cell>
          <cell r="AD239">
            <v>-2160</v>
          </cell>
          <cell r="AE239">
            <v>-20069</v>
          </cell>
          <cell r="AF239">
            <v>-736</v>
          </cell>
          <cell r="AG239">
            <v>0</v>
          </cell>
          <cell r="AH239">
            <v>0</v>
          </cell>
          <cell r="AI239">
            <v>-903</v>
          </cell>
          <cell r="AJ239">
            <v>-1124</v>
          </cell>
          <cell r="AK239">
            <v>0</v>
          </cell>
          <cell r="AL239">
            <v>-95502</v>
          </cell>
          <cell r="AM239">
            <v>-1440</v>
          </cell>
          <cell r="AN239">
            <v>0</v>
          </cell>
          <cell r="AO239">
            <v>-8100</v>
          </cell>
          <cell r="AP239">
            <v>-4236</v>
          </cell>
          <cell r="AQ239">
            <v>0</v>
          </cell>
          <cell r="AR239">
            <v>-344</v>
          </cell>
          <cell r="AS239">
            <v>-4411</v>
          </cell>
          <cell r="AT239">
            <v>-4569</v>
          </cell>
          <cell r="AU239">
            <v>-10612</v>
          </cell>
          <cell r="AV239">
            <v>-22589</v>
          </cell>
          <cell r="AW239">
            <v>-1932</v>
          </cell>
          <cell r="AX239">
            <v>-639</v>
          </cell>
          <cell r="AY239">
            <v>-243</v>
          </cell>
          <cell r="AZ239">
            <v>0</v>
          </cell>
          <cell r="BA239">
            <v>0</v>
          </cell>
          <cell r="BB239">
            <v>-1022</v>
          </cell>
          <cell r="BC239">
            <v>-3134</v>
          </cell>
          <cell r="BD239">
            <v>0</v>
          </cell>
          <cell r="BE239">
            <v>0</v>
          </cell>
          <cell r="BF239">
            <v>0</v>
          </cell>
          <cell r="BG239">
            <v>-404037</v>
          </cell>
          <cell r="BK239">
            <v>-727266.6</v>
          </cell>
        </row>
        <row r="240">
          <cell r="BG240">
            <v>0</v>
          </cell>
          <cell r="BK240">
            <v>0</v>
          </cell>
        </row>
        <row r="241">
          <cell r="A241" t="str">
            <v>היטלי פיתוח מים נטו לשנת 2013</v>
          </cell>
          <cell r="C241">
            <v>-18613</v>
          </cell>
          <cell r="D241">
            <v>-1792</v>
          </cell>
          <cell r="E241">
            <v>-4184</v>
          </cell>
          <cell r="F241">
            <v>-941</v>
          </cell>
          <cell r="G241">
            <v>0</v>
          </cell>
          <cell r="H241">
            <v>-47065</v>
          </cell>
          <cell r="I241">
            <v>-14006</v>
          </cell>
          <cell r="J241">
            <v>-2499</v>
          </cell>
          <cell r="K241">
            <v>-3852</v>
          </cell>
          <cell r="L241">
            <v>-1602</v>
          </cell>
          <cell r="M241">
            <v>-10337</v>
          </cell>
          <cell r="N241">
            <v>-6292</v>
          </cell>
          <cell r="O241">
            <v>-15846</v>
          </cell>
          <cell r="P241">
            <v>-8913</v>
          </cell>
          <cell r="Q241">
            <v>-3645</v>
          </cell>
          <cell r="R241">
            <v>-2765</v>
          </cell>
          <cell r="S241">
            <v>-1989</v>
          </cell>
          <cell r="T241">
            <v>-2592</v>
          </cell>
          <cell r="U241">
            <v>-9045</v>
          </cell>
          <cell r="V241">
            <v>-2711</v>
          </cell>
          <cell r="W241">
            <v>0</v>
          </cell>
          <cell r="X241">
            <v>-4037</v>
          </cell>
          <cell r="Y241">
            <v>-2107</v>
          </cell>
          <cell r="Z241">
            <v>-4192</v>
          </cell>
          <cell r="AA241">
            <v>-7286</v>
          </cell>
          <cell r="AB241">
            <v>-2078</v>
          </cell>
          <cell r="AC241">
            <v>-14145</v>
          </cell>
          <cell r="AD241">
            <v>-2363</v>
          </cell>
          <cell r="AE241">
            <v>-12857</v>
          </cell>
          <cell r="AF241">
            <v>-2108</v>
          </cell>
          <cell r="AG241">
            <v>0</v>
          </cell>
          <cell r="AH241">
            <v>0</v>
          </cell>
          <cell r="AI241">
            <v>-651</v>
          </cell>
          <cell r="AJ241">
            <v>-1694</v>
          </cell>
          <cell r="AK241">
            <v>-650</v>
          </cell>
          <cell r="AL241">
            <v>-88048</v>
          </cell>
          <cell r="AM241">
            <v>-4610</v>
          </cell>
          <cell r="AN241">
            <v>0</v>
          </cell>
          <cell r="AO241">
            <v>-35402</v>
          </cell>
          <cell r="AP241">
            <v>-13809</v>
          </cell>
          <cell r="AQ241">
            <v>0</v>
          </cell>
          <cell r="AR241">
            <v>-941</v>
          </cell>
          <cell r="AS241">
            <v>-6145</v>
          </cell>
          <cell r="AT241">
            <v>-2843</v>
          </cell>
          <cell r="AU241">
            <v>-8766</v>
          </cell>
          <cell r="AV241">
            <v>-18335</v>
          </cell>
          <cell r="AW241">
            <v>-7321</v>
          </cell>
          <cell r="AX241">
            <v>-1597</v>
          </cell>
          <cell r="AY241">
            <v>-226</v>
          </cell>
          <cell r="AZ241">
            <v>-2042</v>
          </cell>
          <cell r="BA241">
            <v>-4244</v>
          </cell>
          <cell r="BB241">
            <v>-2192</v>
          </cell>
          <cell r="BC241">
            <v>-6993</v>
          </cell>
          <cell r="BD241">
            <v>0</v>
          </cell>
          <cell r="BE241">
            <v>-2370</v>
          </cell>
          <cell r="BF241">
            <v>0</v>
          </cell>
          <cell r="BG241">
            <v>-418741</v>
          </cell>
          <cell r="BK241">
            <v>-753733.8</v>
          </cell>
        </row>
        <row r="242">
          <cell r="A242" t="str">
            <v>היטלי פיתוח מים נטו לשנת 2014</v>
          </cell>
          <cell r="C242">
            <v>-20803</v>
          </cell>
          <cell r="E242">
            <v>-11214</v>
          </cell>
          <cell r="F242">
            <v>-554</v>
          </cell>
          <cell r="G242">
            <v>0</v>
          </cell>
          <cell r="H242">
            <v>-64371</v>
          </cell>
          <cell r="I242">
            <v>-19481</v>
          </cell>
          <cell r="L242">
            <v>-3352</v>
          </cell>
          <cell r="M242">
            <v>-33635</v>
          </cell>
          <cell r="N242">
            <v>-21113</v>
          </cell>
          <cell r="O242">
            <v>-19696</v>
          </cell>
          <cell r="P242">
            <v>-6505</v>
          </cell>
          <cell r="Q242">
            <v>-3168</v>
          </cell>
          <cell r="R242">
            <v>-4451</v>
          </cell>
          <cell r="S242">
            <v>-258</v>
          </cell>
          <cell r="T242">
            <v>-5290</v>
          </cell>
          <cell r="U242">
            <v>-7673</v>
          </cell>
          <cell r="V242">
            <v>-2710</v>
          </cell>
          <cell r="W242">
            <v>0</v>
          </cell>
          <cell r="Y242">
            <v>-752</v>
          </cell>
          <cell r="Z242">
            <v>-2914</v>
          </cell>
          <cell r="AA242">
            <v>-11241</v>
          </cell>
          <cell r="AB242">
            <v>-3402</v>
          </cell>
          <cell r="AC242">
            <v>-10185</v>
          </cell>
          <cell r="AD242">
            <v>-6094</v>
          </cell>
          <cell r="AE242">
            <v>-34307</v>
          </cell>
          <cell r="AG242">
            <v>0</v>
          </cell>
          <cell r="AI242">
            <v>-26649</v>
          </cell>
          <cell r="AJ242">
            <v>-1937</v>
          </cell>
          <cell r="AK242">
            <v>-1377</v>
          </cell>
          <cell r="AL242">
            <v>-78811</v>
          </cell>
          <cell r="AM242">
            <v>-1506</v>
          </cell>
          <cell r="AO242">
            <v>-34742</v>
          </cell>
          <cell r="AP242">
            <v>-4358</v>
          </cell>
          <cell r="AS242">
            <v>-8643</v>
          </cell>
          <cell r="AT242">
            <v>-3994</v>
          </cell>
          <cell r="AU242">
            <v>-5880</v>
          </cell>
          <cell r="AV242">
            <v>-18540</v>
          </cell>
          <cell r="AW242">
            <v>-3255</v>
          </cell>
          <cell r="AX242">
            <v>-1555</v>
          </cell>
          <cell r="BA242">
            <v>-6407</v>
          </cell>
          <cell r="BB242">
            <v>-11996</v>
          </cell>
          <cell r="BC242">
            <v>-4620</v>
          </cell>
          <cell r="BD242">
            <v>0</v>
          </cell>
          <cell r="BE242">
            <v>-2840</v>
          </cell>
          <cell r="BF242">
            <v>0</v>
          </cell>
          <cell r="BG242">
            <v>-510279</v>
          </cell>
        </row>
        <row r="243">
          <cell r="BH243">
            <v>0</v>
          </cell>
        </row>
        <row r="244">
          <cell r="A244" t="str">
            <v>סה"כ ערך כינון מלא מים</v>
          </cell>
          <cell r="C244">
            <v>231563.54735714287</v>
          </cell>
          <cell r="D244">
            <v>73887.085214285733</v>
          </cell>
          <cell r="E244">
            <v>209082.2290285714</v>
          </cell>
          <cell r="F244">
            <v>40061.781885714285</v>
          </cell>
          <cell r="G244">
            <v>111640.61324285714</v>
          </cell>
          <cell r="H244">
            <v>961936.15481428546</v>
          </cell>
          <cell r="I244">
            <v>378258.91721428576</v>
          </cell>
          <cell r="J244">
            <v>77260.120000000024</v>
          </cell>
          <cell r="K244">
            <v>118441.35081428569</v>
          </cell>
          <cell r="L244">
            <v>144322.62365714286</v>
          </cell>
          <cell r="M244">
            <v>91404.028571428586</v>
          </cell>
          <cell r="N244">
            <v>240438.03378571421</v>
          </cell>
          <cell r="O244">
            <v>142574.64815714289</v>
          </cell>
          <cell r="P244">
            <v>164435.4975142857</v>
          </cell>
          <cell r="Q244">
            <v>91517.364314285733</v>
          </cell>
          <cell r="R244">
            <v>75839.687557142839</v>
          </cell>
          <cell r="S244">
            <v>35145.537599999996</v>
          </cell>
          <cell r="T244">
            <v>89529.693085714272</v>
          </cell>
          <cell r="U244">
            <v>79174.476171428585</v>
          </cell>
          <cell r="V244">
            <v>81748.13768571429</v>
          </cell>
          <cell r="W244">
            <v>126917.12490000001</v>
          </cell>
          <cell r="X244">
            <v>111110.74591428571</v>
          </cell>
          <cell r="Y244">
            <v>55701.227014285709</v>
          </cell>
          <cell r="Z244">
            <v>55314.895657142843</v>
          </cell>
          <cell r="AA244">
            <v>123693.89785714286</v>
          </cell>
          <cell r="AB244">
            <v>44546.986714285726</v>
          </cell>
          <cell r="AC244">
            <v>104267.6458</v>
          </cell>
          <cell r="AD244">
            <v>66379.343828571451</v>
          </cell>
          <cell r="AE244">
            <v>467379.2154000001</v>
          </cell>
          <cell r="AF244">
            <v>92475.99144285715</v>
          </cell>
          <cell r="AG244">
            <v>58787.23137142857</v>
          </cell>
          <cell r="AH244">
            <v>52819.187142857139</v>
          </cell>
          <cell r="AI244">
            <v>30036.871857142865</v>
          </cell>
          <cell r="AJ244">
            <v>24862.016571428572</v>
          </cell>
          <cell r="AK244">
            <v>25617.848971428575</v>
          </cell>
          <cell r="AL244">
            <v>392715.16939999996</v>
          </cell>
          <cell r="AM244">
            <v>96502.766385714276</v>
          </cell>
          <cell r="AN244">
            <v>82892.657585714274</v>
          </cell>
          <cell r="AO244">
            <v>118107.56057142859</v>
          </cell>
          <cell r="AP244">
            <v>48632.398457142852</v>
          </cell>
          <cell r="AQ244">
            <v>97911.011557142861</v>
          </cell>
          <cell r="AR244">
            <v>79249.442757142853</v>
          </cell>
          <cell r="AS244">
            <v>147010.14845714287</v>
          </cell>
          <cell r="AT244">
            <v>49142.608257142863</v>
          </cell>
          <cell r="AU244">
            <v>46686.57114285713</v>
          </cell>
          <cell r="AV244">
            <v>73550.943228571457</v>
          </cell>
          <cell r="AW244">
            <v>63842.068257142862</v>
          </cell>
          <cell r="AX244">
            <v>50854.6394</v>
          </cell>
          <cell r="AY244">
            <v>21424.9745</v>
          </cell>
          <cell r="AZ244">
            <v>66436.946814285708</v>
          </cell>
          <cell r="BA244">
            <v>98803.935571428563</v>
          </cell>
          <cell r="BB244">
            <v>75920.994214285703</v>
          </cell>
          <cell r="BC244">
            <v>101823.12499999997</v>
          </cell>
          <cell r="BD244">
            <v>26262.737142857142</v>
          </cell>
          <cell r="BE244">
            <v>16356.395142857142</v>
          </cell>
          <cell r="BF244">
            <v>115085.18</v>
          </cell>
          <cell r="BH244">
            <v>6747384.0319571411</v>
          </cell>
          <cell r="BK244">
            <v>0</v>
          </cell>
        </row>
        <row r="246">
          <cell r="A246" t="str">
            <v>יתרת פתיחה ערך כינון מלא ביוב</v>
          </cell>
          <cell r="C246">
            <v>194042.18271428571</v>
          </cell>
          <cell r="D246">
            <v>83252.473542857144</v>
          </cell>
          <cell r="E246">
            <v>205458.66355714286</v>
          </cell>
          <cell r="F246">
            <v>42328.476857142858</v>
          </cell>
          <cell r="G246">
            <v>102216.0993</v>
          </cell>
          <cell r="H246">
            <v>711033.7174428571</v>
          </cell>
          <cell r="I246">
            <v>220888.07254285715</v>
          </cell>
          <cell r="J246">
            <v>100999.65171428572</v>
          </cell>
          <cell r="K246">
            <v>131440.31554285713</v>
          </cell>
          <cell r="L246">
            <v>79767.180042857159</v>
          </cell>
          <cell r="M246">
            <v>165457.97142857144</v>
          </cell>
          <cell r="N246">
            <v>329108.89958571427</v>
          </cell>
          <cell r="O246">
            <v>150449.02915714285</v>
          </cell>
          <cell r="P246">
            <v>153379.42265714286</v>
          </cell>
          <cell r="Q246">
            <v>70391.874771428571</v>
          </cell>
          <cell r="R246">
            <v>67965.598157142857</v>
          </cell>
          <cell r="S246">
            <v>45330.140014285716</v>
          </cell>
          <cell r="T246">
            <v>104504.22531428571</v>
          </cell>
          <cell r="U246">
            <v>74317.593428571432</v>
          </cell>
          <cell r="V246">
            <v>115723.00345714287</v>
          </cell>
          <cell r="W246">
            <v>88756.388271428572</v>
          </cell>
          <cell r="X246">
            <v>94640.973557142861</v>
          </cell>
          <cell r="Y246">
            <v>83974.531799999997</v>
          </cell>
          <cell r="Z246">
            <v>63136.331742857146</v>
          </cell>
          <cell r="AA246">
            <v>99839.58928571429</v>
          </cell>
          <cell r="AB246">
            <v>47550.356785714284</v>
          </cell>
          <cell r="AC246">
            <v>116555.97078571428</v>
          </cell>
          <cell r="AD246">
            <v>46825.537457142862</v>
          </cell>
          <cell r="AE246">
            <v>462715.13797142857</v>
          </cell>
          <cell r="AF246">
            <v>66638.687857142853</v>
          </cell>
          <cell r="AG246">
            <v>36082.686471428577</v>
          </cell>
          <cell r="AH246">
            <v>45991.541771428572</v>
          </cell>
          <cell r="AI246">
            <v>60904.068428571423</v>
          </cell>
          <cell r="AJ246">
            <v>50001.526628571432</v>
          </cell>
          <cell r="AK246">
            <v>35132.450571428577</v>
          </cell>
          <cell r="AL246">
            <v>520358.11942857149</v>
          </cell>
          <cell r="AM246">
            <v>96429.65141428572</v>
          </cell>
          <cell r="AN246">
            <v>113781.38305714287</v>
          </cell>
          <cell r="AO246">
            <v>152128.79634285715</v>
          </cell>
          <cell r="AP246">
            <v>38696.814642857142</v>
          </cell>
          <cell r="AQ246">
            <v>64361.034557142855</v>
          </cell>
          <cell r="AR246">
            <v>62567.652742857143</v>
          </cell>
          <cell r="AS246">
            <v>154842.17704285716</v>
          </cell>
          <cell r="AT246">
            <v>43189.512928571436</v>
          </cell>
          <cell r="AU246">
            <v>67746.901714285719</v>
          </cell>
          <cell r="AV246">
            <v>131823.81294285716</v>
          </cell>
          <cell r="AW246">
            <v>59658.233500000002</v>
          </cell>
          <cell r="AX246">
            <v>52799.451057142855</v>
          </cell>
          <cell r="AY246">
            <v>27634.630714285715</v>
          </cell>
          <cell r="AZ246">
            <v>79192.015871428579</v>
          </cell>
          <cell r="BA246">
            <v>117519.04548571429</v>
          </cell>
          <cell r="BB246">
            <v>116357.0509</v>
          </cell>
          <cell r="BC246">
            <v>106287.70771428572</v>
          </cell>
          <cell r="BD246">
            <v>127024.60834285716</v>
          </cell>
          <cell r="BE246">
            <v>16770.535885714286</v>
          </cell>
          <cell r="BF246">
            <v>171261.549</v>
          </cell>
          <cell r="BK246">
            <v>6747384.0319571411</v>
          </cell>
        </row>
        <row r="248">
          <cell r="A248" t="str">
            <v>רכישות  רכוש קבוע ביוב לשנת 2009</v>
          </cell>
          <cell r="C248">
            <v>5632</v>
          </cell>
          <cell r="D248">
            <v>3279</v>
          </cell>
          <cell r="E248">
            <v>17047</v>
          </cell>
          <cell r="F248">
            <v>5</v>
          </cell>
          <cell r="G248">
            <v>216</v>
          </cell>
          <cell r="H248">
            <v>19502</v>
          </cell>
          <cell r="I248">
            <v>15244</v>
          </cell>
          <cell r="J248">
            <v>9239</v>
          </cell>
          <cell r="L248">
            <v>9733</v>
          </cell>
          <cell r="M248">
            <v>2976</v>
          </cell>
          <cell r="N248">
            <v>5914</v>
          </cell>
          <cell r="O248">
            <v>1963</v>
          </cell>
          <cell r="P248">
            <v>1263</v>
          </cell>
          <cell r="Q248">
            <v>0</v>
          </cell>
          <cell r="R248">
            <v>135</v>
          </cell>
          <cell r="S248">
            <v>285</v>
          </cell>
          <cell r="T248">
            <v>79</v>
          </cell>
          <cell r="U248">
            <v>177</v>
          </cell>
          <cell r="V248">
            <v>0</v>
          </cell>
          <cell r="X248">
            <v>362</v>
          </cell>
          <cell r="Z248">
            <v>3270.0569999999998</v>
          </cell>
          <cell r="AB248">
            <v>0</v>
          </cell>
          <cell r="AD248">
            <v>315</v>
          </cell>
          <cell r="AE248">
            <v>0</v>
          </cell>
          <cell r="AF248">
            <v>0</v>
          </cell>
          <cell r="AG248">
            <v>0</v>
          </cell>
          <cell r="AI248">
            <v>0</v>
          </cell>
          <cell r="AK248">
            <v>0</v>
          </cell>
          <cell r="AL248">
            <v>0</v>
          </cell>
          <cell r="AN248">
            <v>0</v>
          </cell>
          <cell r="AO248">
            <v>1</v>
          </cell>
          <cell r="AP248">
            <v>0</v>
          </cell>
          <cell r="AQ248">
            <v>0</v>
          </cell>
          <cell r="AS248">
            <v>0</v>
          </cell>
          <cell r="AT248">
            <v>0</v>
          </cell>
          <cell r="AU248">
            <v>0</v>
          </cell>
          <cell r="AW248">
            <v>0</v>
          </cell>
          <cell r="AX248">
            <v>0</v>
          </cell>
          <cell r="AY248">
            <v>0</v>
          </cell>
          <cell r="AZ248">
            <v>0</v>
          </cell>
          <cell r="BA248">
            <v>0</v>
          </cell>
          <cell r="BB248">
            <v>0</v>
          </cell>
          <cell r="BD248">
            <v>0</v>
          </cell>
          <cell r="BE248">
            <v>0</v>
          </cell>
          <cell r="BF248">
            <v>0</v>
          </cell>
        </row>
        <row r="250">
          <cell r="A250" t="str">
            <v>רכישות רכוש קבוע ביוב לשנת 2010</v>
          </cell>
          <cell r="C250">
            <v>42577.874364800002</v>
          </cell>
          <cell r="D250">
            <v>878</v>
          </cell>
          <cell r="E250">
            <v>1709</v>
          </cell>
          <cell r="F250">
            <v>1449</v>
          </cell>
          <cell r="G250">
            <v>217</v>
          </cell>
          <cell r="H250">
            <v>14302</v>
          </cell>
          <cell r="I250">
            <v>25369</v>
          </cell>
          <cell r="J250">
            <v>10491</v>
          </cell>
          <cell r="K250">
            <v>161</v>
          </cell>
          <cell r="L250">
            <v>8808</v>
          </cell>
          <cell r="M250">
            <v>2056</v>
          </cell>
          <cell r="N250">
            <v>2522</v>
          </cell>
          <cell r="O250">
            <v>6182</v>
          </cell>
          <cell r="P250">
            <v>1658</v>
          </cell>
          <cell r="Q250">
            <v>0</v>
          </cell>
          <cell r="R250">
            <v>135</v>
          </cell>
          <cell r="S250">
            <v>3268</v>
          </cell>
          <cell r="T250">
            <v>1986</v>
          </cell>
          <cell r="U250">
            <v>1885</v>
          </cell>
          <cell r="V250">
            <v>265</v>
          </cell>
          <cell r="W250">
            <v>39866.366000000002</v>
          </cell>
          <cell r="X250">
            <v>362</v>
          </cell>
          <cell r="Y250">
            <v>231</v>
          </cell>
          <cell r="Z250">
            <v>7707.808</v>
          </cell>
          <cell r="AA250">
            <v>0</v>
          </cell>
          <cell r="AB250">
            <v>608</v>
          </cell>
          <cell r="AC250">
            <v>207</v>
          </cell>
          <cell r="AD250">
            <v>538</v>
          </cell>
          <cell r="AE250">
            <v>3113</v>
          </cell>
          <cell r="AF250">
            <v>5885</v>
          </cell>
          <cell r="AG250">
            <v>0</v>
          </cell>
          <cell r="AH250">
            <v>0</v>
          </cell>
          <cell r="AI250">
            <v>248</v>
          </cell>
          <cell r="AK250">
            <v>0</v>
          </cell>
          <cell r="AL250">
            <v>11643.320330399998</v>
          </cell>
          <cell r="AM250">
            <v>0</v>
          </cell>
          <cell r="AN250">
            <v>0</v>
          </cell>
          <cell r="AO250">
            <v>1</v>
          </cell>
          <cell r="AP250">
            <v>982.67497679999974</v>
          </cell>
          <cell r="AQ250">
            <v>3108.3352055999994</v>
          </cell>
          <cell r="AR250">
            <v>1120</v>
          </cell>
          <cell r="AS250">
            <v>19305</v>
          </cell>
          <cell r="AT250">
            <v>0</v>
          </cell>
          <cell r="AU250">
            <v>84</v>
          </cell>
          <cell r="AV250">
            <v>320</v>
          </cell>
          <cell r="AW250">
            <v>89</v>
          </cell>
          <cell r="AX250">
            <v>0</v>
          </cell>
          <cell r="AY250">
            <v>89</v>
          </cell>
          <cell r="AZ250">
            <v>123</v>
          </cell>
          <cell r="BA250">
            <v>0</v>
          </cell>
          <cell r="BB250">
            <v>0</v>
          </cell>
          <cell r="BC250">
            <v>239</v>
          </cell>
          <cell r="BD250">
            <v>0</v>
          </cell>
          <cell r="BE250">
            <v>0</v>
          </cell>
          <cell r="BF250">
            <v>0</v>
          </cell>
        </row>
        <row r="252">
          <cell r="A252" t="str">
            <v>רכישות רכוש קבוע ביוב לשנת 2011</v>
          </cell>
          <cell r="C252">
            <v>27157.384169707493</v>
          </cell>
          <cell r="D252">
            <v>1250</v>
          </cell>
          <cell r="E252">
            <v>5606</v>
          </cell>
          <cell r="F252">
            <v>513</v>
          </cell>
          <cell r="G252">
            <v>261</v>
          </cell>
          <cell r="H252">
            <v>11876</v>
          </cell>
          <cell r="I252">
            <v>26222</v>
          </cell>
          <cell r="J252">
            <v>21452</v>
          </cell>
          <cell r="K252">
            <v>2124</v>
          </cell>
          <cell r="L252">
            <v>3489</v>
          </cell>
          <cell r="M252">
            <v>3007</v>
          </cell>
          <cell r="N252">
            <v>3162</v>
          </cell>
          <cell r="O252">
            <v>8699</v>
          </cell>
          <cell r="P252">
            <v>4515</v>
          </cell>
          <cell r="Q252">
            <v>1033</v>
          </cell>
          <cell r="R252">
            <v>1345.1890000000001</v>
          </cell>
          <cell r="S252">
            <v>7362</v>
          </cell>
          <cell r="T252">
            <v>1649</v>
          </cell>
          <cell r="U252">
            <v>1926</v>
          </cell>
          <cell r="V252">
            <v>2519</v>
          </cell>
          <cell r="W252">
            <v>3378</v>
          </cell>
          <cell r="X252">
            <v>899.596</v>
          </cell>
          <cell r="Y252">
            <v>530</v>
          </cell>
          <cell r="Z252">
            <v>2233.154</v>
          </cell>
          <cell r="AA252">
            <v>358</v>
          </cell>
          <cell r="AB252">
            <v>1</v>
          </cell>
          <cell r="AC252">
            <v>8082</v>
          </cell>
          <cell r="AD252">
            <v>4246</v>
          </cell>
          <cell r="AE252">
            <v>7001</v>
          </cell>
          <cell r="AF252">
            <v>1830</v>
          </cell>
          <cell r="AG252">
            <v>71</v>
          </cell>
          <cell r="AH252">
            <v>0</v>
          </cell>
          <cell r="AI252">
            <v>1280</v>
          </cell>
          <cell r="AJ252">
            <v>1</v>
          </cell>
          <cell r="AK252">
            <v>0</v>
          </cell>
          <cell r="AL252">
            <v>37941.857126850613</v>
          </cell>
          <cell r="AM252">
            <v>279</v>
          </cell>
          <cell r="AN252">
            <v>0</v>
          </cell>
          <cell r="AO252">
            <v>1</v>
          </cell>
          <cell r="AP252">
            <v>1761.8692919193736</v>
          </cell>
          <cell r="AQ252">
            <v>6315.9151742168715</v>
          </cell>
          <cell r="AR252">
            <v>2132</v>
          </cell>
          <cell r="AS252">
            <v>0</v>
          </cell>
          <cell r="AT252">
            <v>1174</v>
          </cell>
          <cell r="AU252">
            <v>2029</v>
          </cell>
          <cell r="AV252">
            <v>790</v>
          </cell>
          <cell r="AW252">
            <v>1008</v>
          </cell>
          <cell r="AX252">
            <v>0</v>
          </cell>
          <cell r="AY252">
            <v>0</v>
          </cell>
          <cell r="AZ252">
            <v>345</v>
          </cell>
          <cell r="BA252">
            <v>777</v>
          </cell>
          <cell r="BB252">
            <v>0</v>
          </cell>
          <cell r="BC252">
            <v>1854</v>
          </cell>
          <cell r="BD252">
            <v>114</v>
          </cell>
          <cell r="BE252">
            <v>0</v>
          </cell>
          <cell r="BF252">
            <v>0</v>
          </cell>
        </row>
        <row r="254">
          <cell r="A254" t="str">
            <v>רכישות  רכוש קבוע ביוב לשנת 2012</v>
          </cell>
          <cell r="C254">
            <v>18466</v>
          </cell>
          <cell r="D254">
            <v>699</v>
          </cell>
          <cell r="E254">
            <v>13806</v>
          </cell>
          <cell r="F254">
            <v>112</v>
          </cell>
          <cell r="G254">
            <v>82</v>
          </cell>
          <cell r="H254">
            <v>14481</v>
          </cell>
          <cell r="I254">
            <v>27626</v>
          </cell>
          <cell r="J254">
            <v>6247</v>
          </cell>
          <cell r="K254">
            <v>1940</v>
          </cell>
          <cell r="L254">
            <v>1103</v>
          </cell>
          <cell r="M254">
            <v>3481</v>
          </cell>
          <cell r="N254">
            <v>6062</v>
          </cell>
          <cell r="O254">
            <v>7249</v>
          </cell>
          <cell r="P254">
            <v>23272</v>
          </cell>
          <cell r="Q254">
            <v>4824</v>
          </cell>
          <cell r="R254">
            <v>3069</v>
          </cell>
          <cell r="S254">
            <v>22106</v>
          </cell>
          <cell r="T254">
            <v>1370</v>
          </cell>
          <cell r="U254">
            <v>2683</v>
          </cell>
          <cell r="V254">
            <v>7923</v>
          </cell>
          <cell r="W254">
            <v>16620</v>
          </cell>
          <cell r="X254">
            <v>1389</v>
          </cell>
          <cell r="Y254">
            <v>2742</v>
          </cell>
          <cell r="Z254">
            <v>1075.0909999999999</v>
          </cell>
          <cell r="AA254">
            <v>1098</v>
          </cell>
          <cell r="AB254">
            <v>3272</v>
          </cell>
          <cell r="AC254">
            <v>7752</v>
          </cell>
          <cell r="AD254">
            <v>1734</v>
          </cell>
          <cell r="AE254">
            <v>7636</v>
          </cell>
          <cell r="AF254">
            <v>1455</v>
          </cell>
          <cell r="AG254">
            <v>0</v>
          </cell>
          <cell r="AH254">
            <v>0</v>
          </cell>
          <cell r="AI254">
            <v>0</v>
          </cell>
          <cell r="AJ254">
            <v>195</v>
          </cell>
          <cell r="AK254">
            <v>0</v>
          </cell>
          <cell r="AL254">
            <v>22231</v>
          </cell>
          <cell r="AM254">
            <v>455</v>
          </cell>
          <cell r="AN254">
            <v>2731</v>
          </cell>
          <cell r="AO254">
            <v>0</v>
          </cell>
          <cell r="AP254">
            <v>5746.0370000000003</v>
          </cell>
          <cell r="AQ254">
            <v>1665</v>
          </cell>
          <cell r="AR254">
            <v>3619</v>
          </cell>
          <cell r="AS254">
            <v>16190</v>
          </cell>
          <cell r="AT254">
            <v>1962</v>
          </cell>
          <cell r="AU254">
            <v>3169</v>
          </cell>
          <cell r="AV254">
            <v>7809</v>
          </cell>
          <cell r="AW254">
            <v>1957</v>
          </cell>
          <cell r="AX254">
            <v>0</v>
          </cell>
          <cell r="AY254">
            <v>45</v>
          </cell>
          <cell r="AZ254">
            <v>1748</v>
          </cell>
          <cell r="BA254">
            <v>1563</v>
          </cell>
          <cell r="BB254">
            <v>2004</v>
          </cell>
          <cell r="BC254">
            <v>1048</v>
          </cell>
          <cell r="BD254">
            <v>6247</v>
          </cell>
          <cell r="BE254">
            <v>0</v>
          </cell>
          <cell r="BF254">
            <v>0</v>
          </cell>
          <cell r="BK254">
            <v>291758.12800000003</v>
          </cell>
        </row>
        <row r="256">
          <cell r="A256" t="str">
            <v>רכישות רכוש קבוע ביוב לשנת 2013</v>
          </cell>
          <cell r="C256">
            <v>15873</v>
          </cell>
          <cell r="D256">
            <v>1301</v>
          </cell>
          <cell r="E256">
            <v>6383</v>
          </cell>
          <cell r="F256">
            <v>1047</v>
          </cell>
          <cell r="G256">
            <v>397</v>
          </cell>
          <cell r="H256">
            <v>12097</v>
          </cell>
          <cell r="I256">
            <v>22522</v>
          </cell>
          <cell r="J256">
            <v>5440</v>
          </cell>
          <cell r="K256">
            <v>6397</v>
          </cell>
          <cell r="L256">
            <v>14081</v>
          </cell>
          <cell r="M256">
            <v>6409</v>
          </cell>
          <cell r="N256">
            <v>5652</v>
          </cell>
          <cell r="O256">
            <v>6619</v>
          </cell>
          <cell r="P256">
            <v>12766</v>
          </cell>
          <cell r="Q256">
            <v>3752</v>
          </cell>
          <cell r="R256">
            <v>3026.319</v>
          </cell>
          <cell r="S256">
            <v>5800</v>
          </cell>
          <cell r="T256">
            <v>3170</v>
          </cell>
          <cell r="U256">
            <v>5732</v>
          </cell>
          <cell r="V256">
            <v>4533</v>
          </cell>
          <cell r="W256">
            <v>33315.18</v>
          </cell>
          <cell r="X256">
            <v>2656</v>
          </cell>
          <cell r="Y256">
            <v>3485</v>
          </cell>
          <cell r="Z256">
            <v>8234</v>
          </cell>
          <cell r="AA256">
            <v>333</v>
          </cell>
          <cell r="AB256">
            <v>5532</v>
          </cell>
          <cell r="AC256">
            <v>2078</v>
          </cell>
          <cell r="AD256">
            <v>7623</v>
          </cell>
          <cell r="AE256">
            <v>8033</v>
          </cell>
          <cell r="AF256">
            <v>2837</v>
          </cell>
          <cell r="AG256">
            <v>8784</v>
          </cell>
          <cell r="AH256">
            <v>214</v>
          </cell>
          <cell r="AI256">
            <v>908</v>
          </cell>
          <cell r="AJ256">
            <v>1774</v>
          </cell>
          <cell r="AK256">
            <v>992</v>
          </cell>
          <cell r="AL256">
            <v>33898</v>
          </cell>
          <cell r="AM256">
            <v>3933</v>
          </cell>
          <cell r="AN256">
            <v>14405</v>
          </cell>
          <cell r="AO256">
            <v>5907</v>
          </cell>
          <cell r="AP256">
            <v>7228</v>
          </cell>
          <cell r="AQ256">
            <v>2911</v>
          </cell>
          <cell r="AR256">
            <v>2491</v>
          </cell>
          <cell r="AS256">
            <v>3696</v>
          </cell>
          <cell r="AT256">
            <v>1197.8889999999999</v>
          </cell>
          <cell r="AU256">
            <v>15457</v>
          </cell>
          <cell r="AV256">
            <v>7240</v>
          </cell>
          <cell r="AW256">
            <v>1883</v>
          </cell>
          <cell r="AX256">
            <v>1950.7550000000001</v>
          </cell>
          <cell r="AY256">
            <v>1</v>
          </cell>
          <cell r="AZ256">
            <v>10748</v>
          </cell>
          <cell r="BA256">
            <v>1048</v>
          </cell>
          <cell r="BB256">
            <v>4584</v>
          </cell>
          <cell r="BC256">
            <v>5379</v>
          </cell>
          <cell r="BD256">
            <v>1282</v>
          </cell>
          <cell r="BE256">
            <v>92</v>
          </cell>
          <cell r="BF256">
            <v>0</v>
          </cell>
          <cell r="BK256">
            <v>355127.14300000004</v>
          </cell>
        </row>
        <row r="258">
          <cell r="A258" t="str">
            <v>רכישות רכוש קבוע ביוב לשנת 2014</v>
          </cell>
          <cell r="C258">
            <v>17799</v>
          </cell>
          <cell r="D258">
            <v>5128</v>
          </cell>
          <cell r="E258">
            <v>28140</v>
          </cell>
          <cell r="F258">
            <v>871</v>
          </cell>
          <cell r="G258">
            <v>65</v>
          </cell>
          <cell r="H258">
            <v>33479</v>
          </cell>
          <cell r="I258">
            <v>36518</v>
          </cell>
          <cell r="J258">
            <v>10178</v>
          </cell>
          <cell r="K258">
            <v>11301</v>
          </cell>
          <cell r="L258">
            <v>1459</v>
          </cell>
          <cell r="M258">
            <v>22879</v>
          </cell>
          <cell r="N258">
            <v>39846</v>
          </cell>
          <cell r="O258">
            <v>47204</v>
          </cell>
          <cell r="P258">
            <v>12081</v>
          </cell>
          <cell r="Q258">
            <v>2857</v>
          </cell>
          <cell r="R258">
            <v>4500</v>
          </cell>
          <cell r="S258">
            <v>9944</v>
          </cell>
          <cell r="T258">
            <v>2815</v>
          </cell>
          <cell r="U258">
            <v>5711</v>
          </cell>
          <cell r="V258">
            <v>6246</v>
          </cell>
          <cell r="W258">
            <v>34366</v>
          </cell>
          <cell r="X258">
            <v>7568</v>
          </cell>
          <cell r="Y258">
            <v>5902</v>
          </cell>
          <cell r="Z258">
            <v>16235</v>
          </cell>
          <cell r="AA258">
            <v>19259</v>
          </cell>
          <cell r="AB258">
            <v>4491</v>
          </cell>
          <cell r="AC258">
            <v>9621</v>
          </cell>
          <cell r="AD258">
            <v>14592</v>
          </cell>
          <cell r="AE258">
            <v>48377</v>
          </cell>
          <cell r="AF258">
            <v>10446</v>
          </cell>
          <cell r="AG258">
            <v>4995</v>
          </cell>
          <cell r="AH258">
            <v>0</v>
          </cell>
          <cell r="AI258">
            <v>1925</v>
          </cell>
          <cell r="AJ258">
            <v>15307</v>
          </cell>
          <cell r="AK258">
            <v>750</v>
          </cell>
          <cell r="AL258">
            <v>28163</v>
          </cell>
          <cell r="AM258">
            <v>957</v>
          </cell>
          <cell r="AN258">
            <v>6559</v>
          </cell>
          <cell r="AO258">
            <v>16075</v>
          </cell>
          <cell r="AP258">
            <v>2263</v>
          </cell>
          <cell r="AQ258">
            <v>1879</v>
          </cell>
          <cell r="AR258">
            <v>1909</v>
          </cell>
          <cell r="AS258">
            <v>31932</v>
          </cell>
          <cell r="AT258">
            <v>1301</v>
          </cell>
          <cell r="AU258">
            <v>10491</v>
          </cell>
          <cell r="AV258">
            <v>11164</v>
          </cell>
          <cell r="AW258">
            <v>4448</v>
          </cell>
          <cell r="AX258">
            <v>19865</v>
          </cell>
          <cell r="AY258">
            <v>10957</v>
          </cell>
          <cell r="AZ258">
            <v>5230</v>
          </cell>
          <cell r="BA258">
            <v>3702</v>
          </cell>
          <cell r="BB258">
            <v>4584</v>
          </cell>
          <cell r="BC258">
            <v>3332</v>
          </cell>
          <cell r="BD258">
            <v>10585</v>
          </cell>
          <cell r="BE258">
            <v>788</v>
          </cell>
          <cell r="BF258">
            <v>0</v>
          </cell>
          <cell r="BK258">
            <v>669039</v>
          </cell>
        </row>
        <row r="260">
          <cell r="A260" t="str">
            <v>רכוש קבוע בהקמה 2014</v>
          </cell>
          <cell r="C260">
            <v>25303</v>
          </cell>
          <cell r="D260">
            <v>471</v>
          </cell>
          <cell r="E260">
            <v>24596</v>
          </cell>
          <cell r="F260">
            <v>2797</v>
          </cell>
          <cell r="G260">
            <v>4037</v>
          </cell>
          <cell r="H260">
            <v>102510</v>
          </cell>
          <cell r="I260">
            <v>16127</v>
          </cell>
          <cell r="J260">
            <v>4490</v>
          </cell>
          <cell r="K260">
            <v>2450</v>
          </cell>
          <cell r="L260">
            <v>20119</v>
          </cell>
          <cell r="M260">
            <v>4763</v>
          </cell>
          <cell r="N260">
            <v>3194</v>
          </cell>
          <cell r="O260">
            <v>9084</v>
          </cell>
          <cell r="P260">
            <v>0</v>
          </cell>
          <cell r="Q260">
            <v>9223</v>
          </cell>
          <cell r="R260">
            <v>1245</v>
          </cell>
          <cell r="S260">
            <v>1179</v>
          </cell>
          <cell r="T260">
            <v>1586</v>
          </cell>
          <cell r="U260">
            <v>5732</v>
          </cell>
          <cell r="V260">
            <v>15207</v>
          </cell>
          <cell r="W260">
            <v>0</v>
          </cell>
          <cell r="X260">
            <v>18662</v>
          </cell>
          <cell r="Y260">
            <v>0</v>
          </cell>
          <cell r="Z260">
            <v>883</v>
          </cell>
          <cell r="AA260">
            <v>4320</v>
          </cell>
          <cell r="AB260">
            <v>156</v>
          </cell>
          <cell r="AC260">
            <v>25851</v>
          </cell>
          <cell r="AD260">
            <v>732</v>
          </cell>
          <cell r="AE260">
            <v>18465</v>
          </cell>
          <cell r="AF260">
            <v>40</v>
          </cell>
          <cell r="AG260">
            <v>230</v>
          </cell>
          <cell r="AH260">
            <v>7539</v>
          </cell>
          <cell r="AI260">
            <v>7296</v>
          </cell>
          <cell r="AJ260">
            <v>329</v>
          </cell>
          <cell r="AK260">
            <v>5618</v>
          </cell>
          <cell r="AL260">
            <v>112405</v>
          </cell>
          <cell r="AM260">
            <v>721</v>
          </cell>
          <cell r="AN260">
            <v>0</v>
          </cell>
          <cell r="AO260">
            <v>8113</v>
          </cell>
          <cell r="AP260">
            <v>6666</v>
          </cell>
          <cell r="AQ260">
            <v>1186</v>
          </cell>
          <cell r="AR260">
            <v>727</v>
          </cell>
          <cell r="AS260">
            <v>0</v>
          </cell>
          <cell r="AT260">
            <v>6472</v>
          </cell>
          <cell r="AU260">
            <v>394</v>
          </cell>
          <cell r="AV260">
            <v>0</v>
          </cell>
          <cell r="AW260">
            <v>376</v>
          </cell>
          <cell r="AX260">
            <v>18408</v>
          </cell>
          <cell r="AY260">
            <v>28</v>
          </cell>
          <cell r="AZ260">
            <v>0</v>
          </cell>
          <cell r="BA260">
            <v>8528</v>
          </cell>
          <cell r="BB260">
            <v>0</v>
          </cell>
          <cell r="BC260">
            <v>36197</v>
          </cell>
          <cell r="BD260">
            <v>4723</v>
          </cell>
          <cell r="BE260">
            <v>475</v>
          </cell>
          <cell r="BF260">
            <v>0</v>
          </cell>
          <cell r="BK260">
            <v>1315924.2710000002</v>
          </cell>
        </row>
        <row r="262">
          <cell r="A262" t="str">
            <v>גריעות נורמטיביות השקעות חדשות</v>
          </cell>
          <cell r="C262">
            <v>-7536.7258534507491</v>
          </cell>
          <cell r="D262">
            <v>-540.69999999999993</v>
          </cell>
          <cell r="E262">
            <v>-2436.2000000000003</v>
          </cell>
          <cell r="F262">
            <v>-196.7</v>
          </cell>
          <cell r="G262">
            <v>-69.400000000000006</v>
          </cell>
          <cell r="H262">
            <v>-4568</v>
          </cell>
          <cell r="I262">
            <v>-6683.5</v>
          </cell>
          <cell r="J262">
            <v>-4118.2</v>
          </cell>
          <cell r="K262">
            <v>-228.5</v>
          </cell>
          <cell r="L262">
            <v>-2203</v>
          </cell>
          <cell r="M262">
            <v>-803.89999999999986</v>
          </cell>
          <cell r="N262">
            <v>-1159.8000000000002</v>
          </cell>
          <cell r="O262">
            <v>-1684.4</v>
          </cell>
          <cell r="P262">
            <v>-743.6</v>
          </cell>
          <cell r="Q262">
            <v>-103.29999999999998</v>
          </cell>
          <cell r="R262">
            <v>-161.51890000000003</v>
          </cell>
          <cell r="S262">
            <v>-1091.5</v>
          </cell>
          <cell r="T262">
            <v>-371.4</v>
          </cell>
          <cell r="U262">
            <v>-398.8</v>
          </cell>
          <cell r="V262">
            <v>-278.39999999999998</v>
          </cell>
          <cell r="W262">
            <v>-4324.4366000000009</v>
          </cell>
          <cell r="X262">
            <v>-162.3596</v>
          </cell>
          <cell r="Y262">
            <v>-76.099999999999994</v>
          </cell>
          <cell r="Z262">
            <v>-1321.1019000000001</v>
          </cell>
          <cell r="AA262">
            <v>-35.799999999999997</v>
          </cell>
          <cell r="AB262">
            <v>-60.900000000000006</v>
          </cell>
          <cell r="AC262">
            <v>-828.90000000000009</v>
          </cell>
          <cell r="AD262">
            <v>-509.9</v>
          </cell>
          <cell r="AE262">
            <v>-1011.4</v>
          </cell>
          <cell r="AF262">
            <v>-771.5</v>
          </cell>
          <cell r="AG262">
            <v>-7.1</v>
          </cell>
          <cell r="AH262">
            <v>0</v>
          </cell>
          <cell r="AI262">
            <v>-152.79999999999998</v>
          </cell>
          <cell r="AJ262">
            <v>-0.1</v>
          </cell>
          <cell r="AK262">
            <v>0</v>
          </cell>
          <cell r="AL262">
            <v>-4958.5177457250611</v>
          </cell>
          <cell r="AM262">
            <v>-27.900000000000002</v>
          </cell>
          <cell r="AN262">
            <v>0</v>
          </cell>
          <cell r="AO262">
            <v>-0.30000000000000004</v>
          </cell>
          <cell r="AP262">
            <v>-274.45442687193736</v>
          </cell>
          <cell r="AQ262">
            <v>-942.42503798168718</v>
          </cell>
          <cell r="AR262">
            <v>-325.20000000000005</v>
          </cell>
          <cell r="AS262">
            <v>-1930.5</v>
          </cell>
          <cell r="AT262">
            <v>-117.4</v>
          </cell>
          <cell r="AU262">
            <v>-211.3</v>
          </cell>
          <cell r="AV262">
            <v>-111</v>
          </cell>
          <cell r="AW262">
            <v>-109.70000000000002</v>
          </cell>
          <cell r="AX262">
            <v>0</v>
          </cell>
          <cell r="AY262">
            <v>-8.9</v>
          </cell>
          <cell r="AZ262">
            <v>-46.8</v>
          </cell>
          <cell r="BA262">
            <v>-77.699999999999989</v>
          </cell>
          <cell r="BB262">
            <v>0</v>
          </cell>
          <cell r="BC262">
            <v>-209.3</v>
          </cell>
          <cell r="BD262">
            <v>-11.399999999999999</v>
          </cell>
          <cell r="BE262">
            <v>0</v>
          </cell>
          <cell r="BF262">
            <v>0</v>
          </cell>
        </row>
        <row r="268">
          <cell r="A268" t="str">
            <v>ניכוי מענקים שניתנו לרכישת רכוש קבוע</v>
          </cell>
          <cell r="D268">
            <v>-323</v>
          </cell>
          <cell r="I268">
            <v>-3041</v>
          </cell>
        </row>
        <row r="270">
          <cell r="A270" t="str">
            <v>היטלי פיתוח ביוב נטו לשנת 2009</v>
          </cell>
          <cell r="C270">
            <v>-17020.8</v>
          </cell>
          <cell r="D270">
            <v>-245.60000000000002</v>
          </cell>
          <cell r="E270">
            <v>-3987.2000000000003</v>
          </cell>
          <cell r="F270">
            <v>0</v>
          </cell>
          <cell r="G270">
            <v>0</v>
          </cell>
          <cell r="H270">
            <v>-9897.6</v>
          </cell>
          <cell r="I270">
            <v>-8632</v>
          </cell>
          <cell r="J270">
            <v>-1025.6000000000001</v>
          </cell>
          <cell r="L270">
            <v>0</v>
          </cell>
          <cell r="M270">
            <v>-5432</v>
          </cell>
          <cell r="N270">
            <v>-1972</v>
          </cell>
          <cell r="O270">
            <v>-6430.4000000000005</v>
          </cell>
          <cell r="P270">
            <v>0</v>
          </cell>
          <cell r="Q270">
            <v>0</v>
          </cell>
          <cell r="R270">
            <v>0</v>
          </cell>
          <cell r="S270">
            <v>-2182.4</v>
          </cell>
          <cell r="T270">
            <v>-2049.6</v>
          </cell>
          <cell r="U270">
            <v>-1405.6000000000001</v>
          </cell>
          <cell r="V270">
            <v>0</v>
          </cell>
          <cell r="W270">
            <v>0</v>
          </cell>
          <cell r="X270">
            <v>0</v>
          </cell>
          <cell r="Y270">
            <v>0</v>
          </cell>
          <cell r="Z270">
            <v>-1518.8976</v>
          </cell>
          <cell r="AA270">
            <v>-780.80000000000007</v>
          </cell>
          <cell r="AB270">
            <v>-865.6</v>
          </cell>
          <cell r="AC270">
            <v>0</v>
          </cell>
          <cell r="AD270">
            <v>-3792</v>
          </cell>
          <cell r="AE270">
            <v>0</v>
          </cell>
          <cell r="AF270">
            <v>0</v>
          </cell>
          <cell r="AG270">
            <v>0</v>
          </cell>
          <cell r="AH270">
            <v>0</v>
          </cell>
          <cell r="AI270">
            <v>-55.2</v>
          </cell>
          <cell r="AJ270">
            <v>0</v>
          </cell>
          <cell r="AK270">
            <v>0</v>
          </cell>
          <cell r="AL270">
            <v>0</v>
          </cell>
          <cell r="AM270">
            <v>0</v>
          </cell>
          <cell r="AN270">
            <v>0</v>
          </cell>
          <cell r="AO270">
            <v>-0.8</v>
          </cell>
          <cell r="AP270">
            <v>0</v>
          </cell>
          <cell r="AQ270">
            <v>0</v>
          </cell>
          <cell r="AS270">
            <v>-240</v>
          </cell>
          <cell r="AT270">
            <v>0</v>
          </cell>
          <cell r="AU270">
            <v>0</v>
          </cell>
          <cell r="AW270">
            <v>0</v>
          </cell>
          <cell r="AX270">
            <v>0</v>
          </cell>
          <cell r="AY270">
            <v>0</v>
          </cell>
          <cell r="AZ270">
            <v>0</v>
          </cell>
          <cell r="BA270">
            <v>0</v>
          </cell>
          <cell r="BB270">
            <v>0</v>
          </cell>
          <cell r="BC270">
            <v>0</v>
          </cell>
          <cell r="BD270">
            <v>0</v>
          </cell>
          <cell r="BE270">
            <v>0</v>
          </cell>
          <cell r="BF270">
            <v>0</v>
          </cell>
        </row>
        <row r="272">
          <cell r="A272" t="str">
            <v>היטלי פיתוח ביוב נטו לשנת 2010</v>
          </cell>
          <cell r="C272">
            <v>-24963.200000000001</v>
          </cell>
          <cell r="D272">
            <v>-293.60000000000002</v>
          </cell>
          <cell r="E272">
            <v>-4994.4000000000005</v>
          </cell>
          <cell r="F272">
            <v>0</v>
          </cell>
          <cell r="G272">
            <v>0</v>
          </cell>
          <cell r="H272">
            <v>-15860</v>
          </cell>
          <cell r="I272">
            <v>-8782.4</v>
          </cell>
          <cell r="J272">
            <v>-1621.6000000000001</v>
          </cell>
          <cell r="K272">
            <v>-2007.2</v>
          </cell>
          <cell r="L272">
            <v>-2776</v>
          </cell>
          <cell r="M272">
            <v>-8770.4</v>
          </cell>
          <cell r="N272">
            <v>-7615.2000000000007</v>
          </cell>
          <cell r="O272">
            <v>-6141.6</v>
          </cell>
          <cell r="P272">
            <v>-2196.8000000000002</v>
          </cell>
          <cell r="Q272">
            <v>0</v>
          </cell>
          <cell r="R272">
            <v>-2060.8000000000002</v>
          </cell>
          <cell r="S272">
            <v>-1820</v>
          </cell>
          <cell r="T272">
            <v>-2193.6</v>
          </cell>
          <cell r="U272">
            <v>-3798.4</v>
          </cell>
          <cell r="V272">
            <v>-2072</v>
          </cell>
          <cell r="W272">
            <v>-2185.6</v>
          </cell>
          <cell r="X272">
            <v>0</v>
          </cell>
          <cell r="Y272">
            <v>0</v>
          </cell>
          <cell r="Z272">
            <v>-4686.7920000000004</v>
          </cell>
          <cell r="AA272">
            <v>-2506.4</v>
          </cell>
          <cell r="AB272">
            <v>-2588.8000000000002</v>
          </cell>
          <cell r="AC272">
            <v>-6648.8</v>
          </cell>
          <cell r="AD272">
            <v>-8460.8000000000011</v>
          </cell>
          <cell r="AE272">
            <v>-6568</v>
          </cell>
          <cell r="AF272">
            <v>-212</v>
          </cell>
          <cell r="AG272">
            <v>0</v>
          </cell>
          <cell r="AH272">
            <v>0</v>
          </cell>
          <cell r="AI272">
            <v>-209.60000000000002</v>
          </cell>
          <cell r="AJ272">
            <v>0</v>
          </cell>
          <cell r="AK272">
            <v>0</v>
          </cell>
          <cell r="AL272">
            <v>-22895.200000000001</v>
          </cell>
          <cell r="AM272">
            <v>-3714.4</v>
          </cell>
          <cell r="AN272">
            <v>0</v>
          </cell>
          <cell r="AO272">
            <v>-0.8</v>
          </cell>
          <cell r="AP272">
            <v>-1892.8000000000002</v>
          </cell>
          <cell r="AQ272">
            <v>0</v>
          </cell>
          <cell r="AR272">
            <v>-932</v>
          </cell>
          <cell r="AS272">
            <v>-2781.6000000000004</v>
          </cell>
          <cell r="AT272">
            <v>-85.600000000000009</v>
          </cell>
          <cell r="AU272">
            <v>0</v>
          </cell>
          <cell r="AW272">
            <v>0</v>
          </cell>
          <cell r="AX272">
            <v>0</v>
          </cell>
          <cell r="AY272">
            <v>0</v>
          </cell>
          <cell r="AZ272">
            <v>-468</v>
          </cell>
          <cell r="BA272">
            <v>-1083.2</v>
          </cell>
          <cell r="BB272">
            <v>0</v>
          </cell>
          <cell r="BC272">
            <v>-403.20000000000005</v>
          </cell>
          <cell r="BD272">
            <v>0</v>
          </cell>
          <cell r="BE272">
            <v>0</v>
          </cell>
          <cell r="BF272">
            <v>0</v>
          </cell>
        </row>
        <row r="274">
          <cell r="A274" t="str">
            <v>היטלי פיתוח ביוב  נטו לשנת 2011</v>
          </cell>
          <cell r="C274">
            <v>-28955</v>
          </cell>
          <cell r="D274">
            <v>-892</v>
          </cell>
          <cell r="E274">
            <v>-8285</v>
          </cell>
          <cell r="F274">
            <v>0</v>
          </cell>
          <cell r="G274">
            <v>0</v>
          </cell>
          <cell r="H274">
            <v>-26101</v>
          </cell>
          <cell r="I274">
            <v>-15647</v>
          </cell>
          <cell r="J274">
            <v>-2763</v>
          </cell>
          <cell r="K274">
            <v>-3043</v>
          </cell>
          <cell r="L274">
            <v>-6344</v>
          </cell>
          <cell r="M274">
            <v>-21017</v>
          </cell>
          <cell r="N274">
            <v>-9340</v>
          </cell>
          <cell r="O274">
            <v>-11351</v>
          </cell>
          <cell r="P274">
            <v>-2207</v>
          </cell>
          <cell r="Q274">
            <v>-8853</v>
          </cell>
          <cell r="R274">
            <v>-3705</v>
          </cell>
          <cell r="S274">
            <v>-4842</v>
          </cell>
          <cell r="T274">
            <v>-3033</v>
          </cell>
          <cell r="U274">
            <v>-7227</v>
          </cell>
          <cell r="V274">
            <v>-3229</v>
          </cell>
          <cell r="W274">
            <v>-5708</v>
          </cell>
          <cell r="X274">
            <v>0</v>
          </cell>
          <cell r="Y274">
            <v>0</v>
          </cell>
          <cell r="Z274">
            <v>-5016.6790000000001</v>
          </cell>
          <cell r="AA274">
            <v>-6080</v>
          </cell>
          <cell r="AB274">
            <v>-5686</v>
          </cell>
          <cell r="AC274">
            <v>-15913</v>
          </cell>
          <cell r="AD274">
            <v>-4923</v>
          </cell>
          <cell r="AE274">
            <v>-33135</v>
          </cell>
          <cell r="AF274">
            <v>-2864</v>
          </cell>
          <cell r="AG274">
            <v>0</v>
          </cell>
          <cell r="AH274">
            <v>0</v>
          </cell>
          <cell r="AI274">
            <v>-261</v>
          </cell>
          <cell r="AJ274">
            <v>-1</v>
          </cell>
          <cell r="AK274">
            <v>0</v>
          </cell>
          <cell r="AL274">
            <v>-28953</v>
          </cell>
          <cell r="AM274">
            <v>-5548</v>
          </cell>
          <cell r="AN274">
            <v>0</v>
          </cell>
          <cell r="AO274">
            <v>-1</v>
          </cell>
          <cell r="AP274">
            <v>-2175</v>
          </cell>
          <cell r="AQ274">
            <v>0</v>
          </cell>
          <cell r="AR274">
            <v>-5525</v>
          </cell>
          <cell r="AS274">
            <v>-4682</v>
          </cell>
          <cell r="AT274">
            <v>-12909</v>
          </cell>
          <cell r="AU274">
            <v>0</v>
          </cell>
          <cell r="AV274">
            <v>0</v>
          </cell>
          <cell r="AW274">
            <v>-636</v>
          </cell>
          <cell r="AX274">
            <v>0</v>
          </cell>
          <cell r="AY274">
            <v>0</v>
          </cell>
          <cell r="AZ274">
            <v>-3227</v>
          </cell>
          <cell r="BA274">
            <v>-1705</v>
          </cell>
          <cell r="BB274">
            <v>-2902</v>
          </cell>
          <cell r="BC274">
            <v>-2486</v>
          </cell>
          <cell r="BD274">
            <v>-13836</v>
          </cell>
          <cell r="BE274">
            <v>0</v>
          </cell>
          <cell r="BF274">
            <v>0</v>
          </cell>
          <cell r="BG274">
            <v>-331006.679</v>
          </cell>
        </row>
        <row r="276">
          <cell r="A276" t="str">
            <v>היטלי פיתוח ביוב נטו לשנת 2012</v>
          </cell>
          <cell r="C276">
            <v>-19262</v>
          </cell>
          <cell r="D276">
            <v>-937</v>
          </cell>
          <cell r="E276">
            <v>-5517</v>
          </cell>
          <cell r="F276">
            <v>-362</v>
          </cell>
          <cell r="G276">
            <v>0</v>
          </cell>
          <cell r="H276">
            <v>-29809</v>
          </cell>
          <cell r="I276">
            <v>-17039</v>
          </cell>
          <cell r="J276">
            <v>-1961</v>
          </cell>
          <cell r="K276">
            <v>-5585</v>
          </cell>
          <cell r="L276">
            <v>-5318</v>
          </cell>
          <cell r="M276">
            <v>-20612</v>
          </cell>
          <cell r="N276">
            <v>-6481</v>
          </cell>
          <cell r="O276">
            <v>-17513</v>
          </cell>
          <cell r="P276">
            <v>0</v>
          </cell>
          <cell r="Q276">
            <v>-2831</v>
          </cell>
          <cell r="R276">
            <v>-4304</v>
          </cell>
          <cell r="S276">
            <v>-15042</v>
          </cell>
          <cell r="T276">
            <v>-5962</v>
          </cell>
          <cell r="U276">
            <v>-6730</v>
          </cell>
          <cell r="V276">
            <v>-7090</v>
          </cell>
          <cell r="W276">
            <v>-3898</v>
          </cell>
          <cell r="X276">
            <v>0</v>
          </cell>
          <cell r="Y276">
            <v>-1424</v>
          </cell>
          <cell r="Z276">
            <v>-3580</v>
          </cell>
          <cell r="AA276">
            <v>-8481</v>
          </cell>
          <cell r="AB276">
            <v>-1216</v>
          </cell>
          <cell r="AC276">
            <v>-8751</v>
          </cell>
          <cell r="AD276">
            <v>-8606</v>
          </cell>
          <cell r="AE276">
            <v>-17100</v>
          </cell>
          <cell r="AF276">
            <v>-6880</v>
          </cell>
          <cell r="AG276">
            <v>0</v>
          </cell>
          <cell r="AH276">
            <v>0</v>
          </cell>
          <cell r="AI276">
            <v>-477</v>
          </cell>
          <cell r="AJ276">
            <v>-1835</v>
          </cell>
          <cell r="AK276">
            <v>0</v>
          </cell>
          <cell r="AL276">
            <v>-55703</v>
          </cell>
          <cell r="AM276">
            <v>-4408</v>
          </cell>
          <cell r="AN276">
            <v>0</v>
          </cell>
          <cell r="AO276">
            <v>-3260</v>
          </cell>
          <cell r="AP276">
            <v>-5328</v>
          </cell>
          <cell r="AQ276">
            <v>-4154</v>
          </cell>
          <cell r="AR276">
            <v>-362</v>
          </cell>
          <cell r="AS276">
            <v>-8122</v>
          </cell>
          <cell r="AT276">
            <v>-11207</v>
          </cell>
          <cell r="AU276">
            <v>-17015</v>
          </cell>
          <cell r="AV276">
            <v>0</v>
          </cell>
          <cell r="AW276">
            <v>-5268</v>
          </cell>
          <cell r="AX276">
            <v>-319</v>
          </cell>
          <cell r="AY276">
            <v>-428</v>
          </cell>
          <cell r="AZ276">
            <v>-1566</v>
          </cell>
          <cell r="BA276">
            <v>-1714</v>
          </cell>
          <cell r="BB276">
            <v>-2131</v>
          </cell>
          <cell r="BC276">
            <v>-3299</v>
          </cell>
          <cell r="BD276">
            <v>-9332</v>
          </cell>
          <cell r="BE276">
            <v>0</v>
          </cell>
          <cell r="BF276">
            <v>0</v>
          </cell>
          <cell r="BG276">
            <v>-368219</v>
          </cell>
        </row>
        <row r="278">
          <cell r="A278" t="str">
            <v>היטלי פיתוח ביוב נטו לשנת 2013</v>
          </cell>
          <cell r="C278">
            <v>-21103</v>
          </cell>
          <cell r="D278">
            <v>-2674</v>
          </cell>
          <cell r="E278">
            <v>-3288</v>
          </cell>
          <cell r="F278">
            <v>-999</v>
          </cell>
          <cell r="G278">
            <v>0</v>
          </cell>
          <cell r="H278">
            <v>-32706</v>
          </cell>
          <cell r="I278">
            <v>-18402</v>
          </cell>
          <cell r="J278">
            <v>-1921</v>
          </cell>
          <cell r="K278">
            <v>-9112</v>
          </cell>
          <cell r="L278">
            <v>-7730</v>
          </cell>
          <cell r="M278">
            <v>-15926</v>
          </cell>
          <cell r="N278">
            <v>-5359</v>
          </cell>
          <cell r="O278">
            <v>-11512</v>
          </cell>
          <cell r="P278">
            <v>0</v>
          </cell>
          <cell r="Q278">
            <v>-4948</v>
          </cell>
          <cell r="R278">
            <v>-6660</v>
          </cell>
          <cell r="S278">
            <v>-3178</v>
          </cell>
          <cell r="T278">
            <v>-5612</v>
          </cell>
          <cell r="U278">
            <v>-8549</v>
          </cell>
          <cell r="V278">
            <v>-7074</v>
          </cell>
          <cell r="W278">
            <v>0</v>
          </cell>
          <cell r="X278">
            <v>0</v>
          </cell>
          <cell r="Y278">
            <v>-1404</v>
          </cell>
          <cell r="Z278">
            <v>-4371</v>
          </cell>
          <cell r="AA278">
            <v>-15015</v>
          </cell>
          <cell r="AB278">
            <v>-4127</v>
          </cell>
          <cell r="AC278">
            <v>-16274</v>
          </cell>
          <cell r="AD278">
            <v>-6015</v>
          </cell>
          <cell r="AE278">
            <v>-19880</v>
          </cell>
          <cell r="AF278">
            <v>-2457</v>
          </cell>
          <cell r="AG278">
            <v>0</v>
          </cell>
          <cell r="AH278">
            <v>0</v>
          </cell>
          <cell r="AI278">
            <v>-1907</v>
          </cell>
          <cell r="AJ278">
            <v>-2763</v>
          </cell>
          <cell r="AK278">
            <v>-792</v>
          </cell>
          <cell r="AL278">
            <v>-57737</v>
          </cell>
          <cell r="AM278">
            <v>-6697</v>
          </cell>
          <cell r="AN278">
            <v>0</v>
          </cell>
          <cell r="AO278">
            <v>-10939</v>
          </cell>
          <cell r="AP278">
            <v>-14958</v>
          </cell>
          <cell r="AQ278">
            <v>-18662</v>
          </cell>
          <cell r="AR278">
            <v>-999</v>
          </cell>
          <cell r="AS278">
            <v>-12959</v>
          </cell>
          <cell r="AT278">
            <v>-7135</v>
          </cell>
          <cell r="AU278">
            <v>-12431</v>
          </cell>
          <cell r="AV278">
            <v>0</v>
          </cell>
          <cell r="AW278">
            <v>0</v>
          </cell>
          <cell r="AX278">
            <v>-1400</v>
          </cell>
          <cell r="AY278">
            <v>-400</v>
          </cell>
          <cell r="AZ278">
            <v>-2451</v>
          </cell>
          <cell r="BA278">
            <v>0</v>
          </cell>
          <cell r="BB278">
            <v>-3405</v>
          </cell>
          <cell r="BC278">
            <v>-5654</v>
          </cell>
          <cell r="BD278">
            <v>-8940</v>
          </cell>
          <cell r="BE278">
            <v>-4265</v>
          </cell>
          <cell r="BF278">
            <v>0</v>
          </cell>
          <cell r="BG278">
            <v>-410790</v>
          </cell>
        </row>
        <row r="279">
          <cell r="A279" t="str">
            <v>היטלי פיתוח ביוב נטו לשנת 2014</v>
          </cell>
          <cell r="C279">
            <v>-21457</v>
          </cell>
          <cell r="E279">
            <v>-9655</v>
          </cell>
          <cell r="F279">
            <v>-549</v>
          </cell>
          <cell r="G279">
            <v>0</v>
          </cell>
          <cell r="H279">
            <v>-44732</v>
          </cell>
          <cell r="I279">
            <v>-26559</v>
          </cell>
          <cell r="L279">
            <v>-10389</v>
          </cell>
          <cell r="M279">
            <v>-38337</v>
          </cell>
          <cell r="N279">
            <v>-14494</v>
          </cell>
          <cell r="O279">
            <v>-15141</v>
          </cell>
          <cell r="P279">
            <v>0</v>
          </cell>
          <cell r="Q279">
            <v>-3671</v>
          </cell>
          <cell r="R279">
            <v>-5381</v>
          </cell>
          <cell r="S279">
            <v>-414</v>
          </cell>
          <cell r="T279">
            <v>-5395</v>
          </cell>
          <cell r="U279">
            <v>-8824</v>
          </cell>
          <cell r="V279">
            <v>-5050</v>
          </cell>
          <cell r="W279">
            <v>0</v>
          </cell>
          <cell r="Y279">
            <v>-285</v>
          </cell>
          <cell r="Z279">
            <v>-3315</v>
          </cell>
          <cell r="AA279">
            <v>-24151</v>
          </cell>
          <cell r="AB279">
            <v>-5104</v>
          </cell>
          <cell r="AC279">
            <v>-10092</v>
          </cell>
          <cell r="AD279">
            <v>-27682</v>
          </cell>
          <cell r="AE279">
            <v>-37950</v>
          </cell>
          <cell r="AG279">
            <v>0</v>
          </cell>
          <cell r="AI279">
            <v>0</v>
          </cell>
          <cell r="AJ279">
            <v>-1576</v>
          </cell>
          <cell r="AK279">
            <v>-1016</v>
          </cell>
          <cell r="AL279">
            <v>-48799</v>
          </cell>
          <cell r="AM279">
            <v>-4592</v>
          </cell>
          <cell r="AO279">
            <v>-12107</v>
          </cell>
          <cell r="AP279">
            <v>-5765</v>
          </cell>
          <cell r="AR279">
            <v>-3366</v>
          </cell>
          <cell r="AS279">
            <v>-8333</v>
          </cell>
          <cell r="AT279">
            <v>-7817</v>
          </cell>
          <cell r="AU279">
            <v>-9176</v>
          </cell>
          <cell r="AV279">
            <v>0</v>
          </cell>
          <cell r="AW279">
            <v>-2763</v>
          </cell>
          <cell r="AX279">
            <v>-2020</v>
          </cell>
          <cell r="BA279">
            <v>0</v>
          </cell>
          <cell r="BB279">
            <v>0</v>
          </cell>
          <cell r="BC279">
            <v>-5225</v>
          </cell>
          <cell r="BD279">
            <v>-10330</v>
          </cell>
          <cell r="BE279">
            <v>-5672</v>
          </cell>
          <cell r="BF279">
            <v>0</v>
          </cell>
        </row>
        <row r="280">
          <cell r="A280" t="str">
            <v>סה"כ ערך כינון מלא ביוב</v>
          </cell>
          <cell r="C280">
            <v>206775.71539534241</v>
          </cell>
          <cell r="D280">
            <v>90361.973542857144</v>
          </cell>
          <cell r="E280">
            <v>266187.0635571428</v>
          </cell>
          <cell r="F280">
            <v>46881.376857142859</v>
          </cell>
          <cell r="G280">
            <v>107421.69930000001</v>
          </cell>
          <cell r="H280">
            <v>781976.75344285707</v>
          </cell>
          <cell r="I280">
            <v>290897.97254285711</v>
          </cell>
          <cell r="J280">
            <v>154282.45171428571</v>
          </cell>
          <cell r="K280">
            <v>139385.61554285712</v>
          </cell>
          <cell r="L280">
            <v>109755.38004285716</v>
          </cell>
          <cell r="M280">
            <v>113672.27142857146</v>
          </cell>
          <cell r="N280">
            <v>353001.89958571427</v>
          </cell>
          <cell r="O280">
            <v>174872.62915714289</v>
          </cell>
          <cell r="P280">
            <v>204228.42265714286</v>
          </cell>
          <cell r="Q280">
            <v>75735.174771428559</v>
          </cell>
          <cell r="R280">
            <v>63158.78725714286</v>
          </cell>
          <cell r="S280">
            <v>71399.440014285719</v>
          </cell>
          <cell r="T280">
            <v>96543.025314285696</v>
          </cell>
          <cell r="U280">
            <v>67496.793428571429</v>
          </cell>
          <cell r="V280">
            <v>132111.20345714287</v>
          </cell>
          <cell r="W280">
            <v>202107.09767142855</v>
          </cell>
          <cell r="X280">
            <v>126377.20995714287</v>
          </cell>
          <cell r="Y280">
            <v>94298.031799999997</v>
          </cell>
          <cell r="Z280">
            <v>82221.507042857149</v>
          </cell>
          <cell r="AA280">
            <v>78902.989285714284</v>
          </cell>
          <cell r="AB280">
            <v>45188.65678571428</v>
          </cell>
          <cell r="AC280">
            <v>121845.2707857143</v>
          </cell>
          <cell r="AD280">
            <v>26062.037457142873</v>
          </cell>
          <cell r="AE280">
            <v>461308.73797142855</v>
          </cell>
          <cell r="AF280">
            <v>78387.38785714285</v>
          </cell>
          <cell r="AG280">
            <v>50155.586471428578</v>
          </cell>
          <cell r="AH280">
            <v>53744.541771428572</v>
          </cell>
          <cell r="AI280">
            <v>70027.468428571417</v>
          </cell>
          <cell r="AJ280">
            <v>62667.426628571426</v>
          </cell>
          <cell r="AK280">
            <v>41046.050571428575</v>
          </cell>
          <cell r="AL280">
            <v>585832.97914009704</v>
          </cell>
          <cell r="AM280">
            <v>82036.351414285717</v>
          </cell>
          <cell r="AN280">
            <v>137476.38305714287</v>
          </cell>
          <cell r="AO280">
            <v>161179.29634285718</v>
          </cell>
          <cell r="AP280">
            <v>38596.341484704579</v>
          </cell>
          <cell r="AQ280">
            <v>62231.059898978041</v>
          </cell>
          <cell r="AR280">
            <v>65106.85274285714</v>
          </cell>
          <cell r="AS280">
            <v>193736.27704285717</v>
          </cell>
          <cell r="AT280">
            <v>23839.001928571437</v>
          </cell>
          <cell r="AU280">
            <v>68262.00171428571</v>
          </cell>
          <cell r="AV280">
            <v>159035.81294285716</v>
          </cell>
          <cell r="AW280">
            <v>62375.933500000006</v>
          </cell>
          <cell r="AX280">
            <v>90032.006057142848</v>
          </cell>
          <cell r="AY280">
            <v>38083.330714285708</v>
          </cell>
          <cell r="AZ280">
            <v>91076.015871428579</v>
          </cell>
          <cell r="BA280">
            <v>129240.94548571426</v>
          </cell>
          <cell r="BB280">
            <v>120778.65090000001</v>
          </cell>
          <cell r="BC280">
            <v>140393.00771428569</v>
          </cell>
          <cell r="BD280">
            <v>116013.80834285717</v>
          </cell>
          <cell r="BE280">
            <v>10175.935885714285</v>
          </cell>
          <cell r="BF280">
            <v>171261.549</v>
          </cell>
          <cell r="BH280">
            <v>7687249.1906762645</v>
          </cell>
          <cell r="BK280">
            <v>7687249.1906762645</v>
          </cell>
        </row>
        <row r="281">
          <cell r="BK281">
            <v>0</v>
          </cell>
        </row>
        <row r="283">
          <cell r="A283" t="str">
            <v>יתרת פתיחה ערך כינון מופחת מים</v>
          </cell>
          <cell r="C283">
            <v>155168.929</v>
          </cell>
          <cell r="D283">
            <v>42029.707000000002</v>
          </cell>
          <cell r="E283">
            <v>128230.59600000001</v>
          </cell>
          <cell r="F283">
            <v>25936.188333333332</v>
          </cell>
          <cell r="G283">
            <v>82392.178</v>
          </cell>
          <cell r="H283">
            <v>499262.51899999997</v>
          </cell>
          <cell r="I283">
            <v>156462.40299999999</v>
          </cell>
          <cell r="J283">
            <v>58288.302000000003</v>
          </cell>
          <cell r="K283">
            <v>73250.597999999998</v>
          </cell>
          <cell r="L283">
            <v>63011.004999999997</v>
          </cell>
          <cell r="M283">
            <v>87816</v>
          </cell>
          <cell r="N283">
            <v>114210.69500000001</v>
          </cell>
          <cell r="O283">
            <v>98914.097999999998</v>
          </cell>
          <cell r="P283">
            <v>83905.163</v>
          </cell>
          <cell r="Q283">
            <v>42979.930999999997</v>
          </cell>
          <cell r="R283">
            <v>48461.557000000001</v>
          </cell>
          <cell r="S283">
            <v>20382.365000000002</v>
          </cell>
          <cell r="T283">
            <v>57104.091999999997</v>
          </cell>
          <cell r="U283">
            <v>62864.678</v>
          </cell>
          <cell r="V283">
            <v>48457.552000000003</v>
          </cell>
          <cell r="W283">
            <v>77134.452999999994</v>
          </cell>
          <cell r="X283">
            <v>71428.73</v>
          </cell>
          <cell r="Y283">
            <v>40072.712</v>
          </cell>
          <cell r="Z283">
            <v>36539.423999999999</v>
          </cell>
          <cell r="AA283">
            <v>85636.524999999994</v>
          </cell>
          <cell r="AB283">
            <v>35205.489000000001</v>
          </cell>
          <cell r="AC283">
            <v>68351.183000000005</v>
          </cell>
          <cell r="AD283">
            <v>28317.245999999999</v>
          </cell>
          <cell r="AE283">
            <v>214592.11199999999</v>
          </cell>
          <cell r="AF283">
            <v>34353.266000000003</v>
          </cell>
          <cell r="AG283">
            <v>36080.231</v>
          </cell>
          <cell r="AH283">
            <v>35375.936999999998</v>
          </cell>
          <cell r="AI283">
            <v>34588.705000000002</v>
          </cell>
          <cell r="AJ283">
            <v>22482.293000000001</v>
          </cell>
          <cell r="AK283">
            <v>10808.652</v>
          </cell>
          <cell r="AL283">
            <v>195693.476</v>
          </cell>
          <cell r="AM283">
            <v>59811.722000000002</v>
          </cell>
          <cell r="AN283">
            <v>46846.951000000001</v>
          </cell>
          <cell r="AO283">
            <v>67732.403000000006</v>
          </cell>
          <cell r="AP283">
            <v>23560.257000000001</v>
          </cell>
          <cell r="AQ283">
            <v>37063.226999999999</v>
          </cell>
          <cell r="AR283">
            <v>41766.243000000002</v>
          </cell>
          <cell r="AS283">
            <v>87686.123000000007</v>
          </cell>
          <cell r="AT283">
            <v>34929.398000000001</v>
          </cell>
          <cell r="AU283">
            <v>45332.273999999998</v>
          </cell>
          <cell r="AV283">
            <v>69583.839000000007</v>
          </cell>
          <cell r="AW283">
            <v>34816.701000000001</v>
          </cell>
          <cell r="AX283">
            <v>27474.741999999998</v>
          </cell>
          <cell r="AY283">
            <v>15354.864</v>
          </cell>
          <cell r="AZ283">
            <v>37829.580999999998</v>
          </cell>
          <cell r="BA283">
            <v>41699.828999999998</v>
          </cell>
          <cell r="BB283">
            <v>62597.707000000002</v>
          </cell>
          <cell r="BC283">
            <v>52249.180999999997</v>
          </cell>
          <cell r="BD283">
            <v>5673.4089999999997</v>
          </cell>
          <cell r="BE283">
            <v>9665.0560000000005</v>
          </cell>
          <cell r="BF283">
            <v>52384.646000000001</v>
          </cell>
        </row>
        <row r="285">
          <cell r="A285" t="str">
            <v>תוספת לרכוש קבוע מים לשנת 2009</v>
          </cell>
          <cell r="C285">
            <v>15110</v>
          </cell>
          <cell r="D285">
            <v>4008</v>
          </cell>
          <cell r="E285">
            <v>4618</v>
          </cell>
          <cell r="F285">
            <v>647</v>
          </cell>
          <cell r="G285">
            <v>840</v>
          </cell>
          <cell r="H285">
            <v>32417</v>
          </cell>
          <cell r="I285">
            <v>15244</v>
          </cell>
          <cell r="J285">
            <v>10156</v>
          </cell>
          <cell r="K285">
            <v>0</v>
          </cell>
          <cell r="L285">
            <v>2436</v>
          </cell>
          <cell r="M285">
            <v>3616</v>
          </cell>
          <cell r="N285">
            <v>7990</v>
          </cell>
          <cell r="O285">
            <v>3334</v>
          </cell>
          <cell r="P285">
            <v>4422</v>
          </cell>
          <cell r="Q285">
            <v>0</v>
          </cell>
          <cell r="R285">
            <v>212</v>
          </cell>
          <cell r="S285">
            <v>0</v>
          </cell>
          <cell r="T285">
            <v>266</v>
          </cell>
          <cell r="U285">
            <v>856</v>
          </cell>
          <cell r="V285">
            <v>0</v>
          </cell>
          <cell r="W285">
            <v>0</v>
          </cell>
          <cell r="X285">
            <v>0</v>
          </cell>
          <cell r="Y285">
            <v>0</v>
          </cell>
          <cell r="Z285">
            <v>438.23700000000002</v>
          </cell>
          <cell r="AA285">
            <v>0</v>
          </cell>
          <cell r="AB285">
            <v>0</v>
          </cell>
          <cell r="AC285">
            <v>0</v>
          </cell>
          <cell r="AD285">
            <v>299</v>
          </cell>
          <cell r="AE285">
            <v>0</v>
          </cell>
          <cell r="AF285">
            <v>0</v>
          </cell>
          <cell r="AG285">
            <v>0</v>
          </cell>
          <cell r="AH285">
            <v>0</v>
          </cell>
          <cell r="AI285">
            <v>0</v>
          </cell>
          <cell r="AJ285">
            <v>0</v>
          </cell>
          <cell r="AK285">
            <v>0</v>
          </cell>
          <cell r="AL285">
            <v>0</v>
          </cell>
          <cell r="AM285">
            <v>0</v>
          </cell>
          <cell r="AN285">
            <v>0</v>
          </cell>
          <cell r="AO285">
            <v>1</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row>
        <row r="287">
          <cell r="A287" t="str">
            <v>תוספת לרכוש קבוע מים לשנת 2010</v>
          </cell>
          <cell r="C287">
            <v>36799</v>
          </cell>
          <cell r="D287">
            <v>4148</v>
          </cell>
          <cell r="E287">
            <v>4512</v>
          </cell>
          <cell r="F287">
            <v>101</v>
          </cell>
          <cell r="G287">
            <v>313</v>
          </cell>
          <cell r="H287">
            <v>22087</v>
          </cell>
          <cell r="I287">
            <v>12967</v>
          </cell>
          <cell r="J287">
            <v>3011</v>
          </cell>
          <cell r="K287">
            <v>2075</v>
          </cell>
          <cell r="L287">
            <v>13178</v>
          </cell>
          <cell r="M287">
            <v>2286</v>
          </cell>
          <cell r="N287">
            <v>1387</v>
          </cell>
          <cell r="O287">
            <v>12717</v>
          </cell>
          <cell r="P287">
            <v>9365</v>
          </cell>
          <cell r="Q287">
            <v>4894</v>
          </cell>
          <cell r="R287">
            <v>1708</v>
          </cell>
          <cell r="S287">
            <v>260</v>
          </cell>
          <cell r="T287">
            <v>3032</v>
          </cell>
          <cell r="U287">
            <v>1218</v>
          </cell>
          <cell r="V287">
            <v>994</v>
          </cell>
          <cell r="W287">
            <v>9232</v>
          </cell>
          <cell r="X287">
            <v>1802</v>
          </cell>
          <cell r="Y287">
            <v>376</v>
          </cell>
          <cell r="Z287">
            <v>1547.6990000000001</v>
          </cell>
          <cell r="AA287">
            <v>1887</v>
          </cell>
          <cell r="AB287">
            <v>772</v>
          </cell>
          <cell r="AC287">
            <v>376</v>
          </cell>
          <cell r="AD287">
            <v>1150</v>
          </cell>
          <cell r="AE287">
            <v>4058</v>
          </cell>
          <cell r="AF287">
            <v>11734</v>
          </cell>
          <cell r="AG287">
            <v>8</v>
          </cell>
          <cell r="AH287">
            <v>85</v>
          </cell>
          <cell r="AI287">
            <v>131</v>
          </cell>
          <cell r="AJ287">
            <v>0</v>
          </cell>
          <cell r="AK287">
            <v>0</v>
          </cell>
          <cell r="AL287">
            <v>0</v>
          </cell>
          <cell r="AM287">
            <v>10000</v>
          </cell>
          <cell r="AN287">
            <v>0</v>
          </cell>
          <cell r="AO287">
            <v>1</v>
          </cell>
          <cell r="AP287">
            <v>34</v>
          </cell>
          <cell r="AQ287">
            <v>3344.645</v>
          </cell>
          <cell r="AR287">
            <v>0</v>
          </cell>
          <cell r="AS287">
            <v>13194</v>
          </cell>
          <cell r="AT287">
            <v>0</v>
          </cell>
          <cell r="AU287">
            <v>150</v>
          </cell>
          <cell r="AV287">
            <v>439</v>
          </cell>
          <cell r="AW287">
            <v>136</v>
          </cell>
          <cell r="AX287">
            <v>0</v>
          </cell>
          <cell r="AY287">
            <v>0</v>
          </cell>
          <cell r="AZ287">
            <v>150</v>
          </cell>
          <cell r="BA287">
            <v>0</v>
          </cell>
          <cell r="BB287">
            <v>0</v>
          </cell>
          <cell r="BC287">
            <v>2536</v>
          </cell>
          <cell r="BD287">
            <v>0</v>
          </cell>
          <cell r="BE287">
            <v>0</v>
          </cell>
          <cell r="BF287">
            <v>0</v>
          </cell>
        </row>
        <row r="289">
          <cell r="A289" t="str">
            <v>תוספת לרכוש קבוע מים לשנת 2011</v>
          </cell>
          <cell r="C289">
            <v>15777</v>
          </cell>
          <cell r="D289">
            <v>1197</v>
          </cell>
          <cell r="E289">
            <v>2295</v>
          </cell>
          <cell r="F289">
            <v>1671</v>
          </cell>
          <cell r="G289">
            <v>3084</v>
          </cell>
          <cell r="H289">
            <v>13259</v>
          </cell>
          <cell r="I289">
            <v>21202</v>
          </cell>
          <cell r="J289">
            <v>1025</v>
          </cell>
          <cell r="K289">
            <v>1268</v>
          </cell>
          <cell r="L289">
            <v>4073</v>
          </cell>
          <cell r="M289">
            <v>3030</v>
          </cell>
          <cell r="N289">
            <v>6555</v>
          </cell>
          <cell r="O289">
            <v>9494</v>
          </cell>
          <cell r="P289">
            <v>13451</v>
          </cell>
          <cell r="Q289">
            <v>5050</v>
          </cell>
          <cell r="R289">
            <v>2030.68</v>
          </cell>
          <cell r="S289">
            <v>8862</v>
          </cell>
          <cell r="T289">
            <v>1103</v>
          </cell>
          <cell r="U289">
            <v>3348</v>
          </cell>
          <cell r="V289">
            <v>3494</v>
          </cell>
          <cell r="W289">
            <v>7721</v>
          </cell>
          <cell r="X289">
            <v>8236.2610000000004</v>
          </cell>
          <cell r="Y289">
            <v>1072</v>
          </cell>
          <cell r="Z289">
            <v>1568.933</v>
          </cell>
          <cell r="AA289">
            <v>2511</v>
          </cell>
          <cell r="AB289">
            <v>0</v>
          </cell>
          <cell r="AC289">
            <v>5152.3419999999996</v>
          </cell>
          <cell r="AD289">
            <v>3338</v>
          </cell>
          <cell r="AE289">
            <v>12038</v>
          </cell>
          <cell r="AF289">
            <v>9618</v>
          </cell>
          <cell r="AG289">
            <v>38</v>
          </cell>
          <cell r="AH289">
            <v>0</v>
          </cell>
          <cell r="AI289">
            <v>481</v>
          </cell>
          <cell r="AJ289">
            <v>1</v>
          </cell>
          <cell r="AK289">
            <v>0</v>
          </cell>
          <cell r="AL289">
            <v>5621</v>
          </cell>
          <cell r="AM289">
            <v>804</v>
          </cell>
          <cell r="AN289">
            <v>0</v>
          </cell>
          <cell r="AO289">
            <v>1</v>
          </cell>
          <cell r="AP289">
            <v>259.06400000000002</v>
          </cell>
          <cell r="AQ289">
            <v>4579</v>
          </cell>
          <cell r="AR289">
            <v>130</v>
          </cell>
          <cell r="AS289">
            <v>0</v>
          </cell>
          <cell r="AT289">
            <v>175</v>
          </cell>
          <cell r="AU289">
            <v>2400</v>
          </cell>
          <cell r="AV289">
            <v>3484</v>
          </cell>
          <cell r="AW289">
            <v>1645</v>
          </cell>
          <cell r="AX289">
            <v>0</v>
          </cell>
          <cell r="AY289">
            <v>0</v>
          </cell>
          <cell r="AZ289">
            <v>98</v>
          </cell>
          <cell r="BA289">
            <v>324</v>
          </cell>
          <cell r="BB289">
            <v>0</v>
          </cell>
          <cell r="BC289">
            <v>3195</v>
          </cell>
          <cell r="BD289">
            <v>0</v>
          </cell>
          <cell r="BE289">
            <v>0</v>
          </cell>
          <cell r="BF289">
            <v>0</v>
          </cell>
        </row>
        <row r="291">
          <cell r="A291" t="str">
            <v>רכוש קבוע בהקמה</v>
          </cell>
          <cell r="C291">
            <v>21434</v>
          </cell>
          <cell r="D291">
            <v>1998</v>
          </cell>
          <cell r="E291">
            <v>22908</v>
          </cell>
          <cell r="F291">
            <v>1745</v>
          </cell>
          <cell r="G291">
            <v>6279</v>
          </cell>
          <cell r="H291">
            <v>92763</v>
          </cell>
          <cell r="I291">
            <v>42655</v>
          </cell>
          <cell r="J291">
            <v>4678</v>
          </cell>
          <cell r="K291">
            <v>24</v>
          </cell>
          <cell r="L291">
            <v>9143</v>
          </cell>
          <cell r="M291">
            <v>779</v>
          </cell>
          <cell r="N291">
            <v>6721</v>
          </cell>
          <cell r="O291">
            <v>13624</v>
          </cell>
          <cell r="P291">
            <v>0</v>
          </cell>
          <cell r="Q291">
            <v>13613</v>
          </cell>
          <cell r="R291">
            <v>834</v>
          </cell>
          <cell r="S291">
            <v>1199</v>
          </cell>
          <cell r="T291">
            <v>1779</v>
          </cell>
          <cell r="U291">
            <v>4800</v>
          </cell>
          <cell r="V291">
            <v>8062</v>
          </cell>
          <cell r="W291">
            <v>0</v>
          </cell>
          <cell r="X291">
            <v>9615</v>
          </cell>
          <cell r="Y291">
            <v>0</v>
          </cell>
          <cell r="Z291">
            <v>372</v>
          </cell>
          <cell r="AA291">
            <v>10046</v>
          </cell>
          <cell r="AB291">
            <v>1159</v>
          </cell>
          <cell r="AC291">
            <v>8767</v>
          </cell>
          <cell r="AD291">
            <v>1098</v>
          </cell>
          <cell r="AE291">
            <v>34631</v>
          </cell>
          <cell r="AF291">
            <v>0</v>
          </cell>
          <cell r="AG291">
            <v>375</v>
          </cell>
          <cell r="AH291">
            <v>4759</v>
          </cell>
          <cell r="AI291">
            <v>2782</v>
          </cell>
          <cell r="AJ291">
            <v>74</v>
          </cell>
          <cell r="AK291">
            <v>0</v>
          </cell>
          <cell r="AL291">
            <v>96100</v>
          </cell>
          <cell r="AM291">
            <v>848</v>
          </cell>
          <cell r="AN291">
            <v>0</v>
          </cell>
          <cell r="AO291">
            <v>5026</v>
          </cell>
          <cell r="AP291">
            <v>13166</v>
          </cell>
          <cell r="AQ291">
            <v>1411</v>
          </cell>
          <cell r="AR291">
            <v>1099</v>
          </cell>
          <cell r="AS291">
            <v>0</v>
          </cell>
          <cell r="AT291">
            <v>3135</v>
          </cell>
          <cell r="AU291">
            <v>668</v>
          </cell>
          <cell r="AV291">
            <v>0</v>
          </cell>
          <cell r="AW291">
            <v>4048</v>
          </cell>
          <cell r="AX291">
            <v>8547</v>
          </cell>
          <cell r="AY291">
            <v>6</v>
          </cell>
          <cell r="AZ291">
            <v>0</v>
          </cell>
          <cell r="BA291">
            <v>7784</v>
          </cell>
          <cell r="BB291">
            <v>199</v>
          </cell>
          <cell r="BC291">
            <v>6853</v>
          </cell>
          <cell r="BD291">
            <v>2507</v>
          </cell>
          <cell r="BE291">
            <v>13</v>
          </cell>
          <cell r="BF291">
            <v>0</v>
          </cell>
        </row>
        <row r="293">
          <cell r="A293" t="str">
            <v>תוספת לרכוש קבוע מים לשנת 2012</v>
          </cell>
          <cell r="C293">
            <v>8383</v>
          </cell>
          <cell r="D293">
            <v>2293</v>
          </cell>
          <cell r="E293">
            <v>8285</v>
          </cell>
          <cell r="F293">
            <v>393</v>
          </cell>
          <cell r="G293">
            <v>1062</v>
          </cell>
          <cell r="H293">
            <v>25439</v>
          </cell>
          <cell r="I293">
            <v>16143</v>
          </cell>
          <cell r="J293">
            <v>2244</v>
          </cell>
          <cell r="K293">
            <v>160</v>
          </cell>
          <cell r="L293">
            <v>8698</v>
          </cell>
          <cell r="M293">
            <v>2287</v>
          </cell>
          <cell r="N293">
            <v>2994</v>
          </cell>
          <cell r="O293">
            <v>10804</v>
          </cell>
          <cell r="P293">
            <v>7578</v>
          </cell>
          <cell r="Q293">
            <v>7262</v>
          </cell>
          <cell r="R293">
            <v>4208.6750000000002</v>
          </cell>
          <cell r="S293">
            <v>6009</v>
          </cell>
          <cell r="T293">
            <v>1857</v>
          </cell>
          <cell r="U293">
            <v>6824</v>
          </cell>
          <cell r="V293">
            <v>4893</v>
          </cell>
          <cell r="W293">
            <v>2209</v>
          </cell>
          <cell r="X293">
            <v>8586</v>
          </cell>
          <cell r="Y293">
            <v>904</v>
          </cell>
          <cell r="Z293">
            <v>1008</v>
          </cell>
          <cell r="AA293">
            <v>1542</v>
          </cell>
          <cell r="AB293">
            <v>1571</v>
          </cell>
          <cell r="AC293">
            <v>5101</v>
          </cell>
          <cell r="AD293">
            <v>1465</v>
          </cell>
          <cell r="AE293">
            <v>18778</v>
          </cell>
          <cell r="AF293">
            <v>4707</v>
          </cell>
          <cell r="AG293">
            <v>1874</v>
          </cell>
          <cell r="AH293">
            <v>0</v>
          </cell>
          <cell r="AI293">
            <v>0</v>
          </cell>
          <cell r="AJ293">
            <v>140</v>
          </cell>
          <cell r="AK293">
            <v>0</v>
          </cell>
          <cell r="AL293">
            <v>13800</v>
          </cell>
          <cell r="AM293">
            <v>733</v>
          </cell>
          <cell r="AN293">
            <v>3237</v>
          </cell>
          <cell r="AO293">
            <v>280</v>
          </cell>
          <cell r="AP293">
            <v>2665.4189999999999</v>
          </cell>
          <cell r="AQ293">
            <v>7211</v>
          </cell>
          <cell r="AR293">
            <v>6553</v>
          </cell>
          <cell r="AS293">
            <v>16094</v>
          </cell>
          <cell r="AT293">
            <v>1593</v>
          </cell>
          <cell r="AU293">
            <v>7536</v>
          </cell>
          <cell r="AV293">
            <v>7997</v>
          </cell>
          <cell r="AW293">
            <v>2432</v>
          </cell>
          <cell r="AX293">
            <v>198</v>
          </cell>
          <cell r="AY293">
            <v>222</v>
          </cell>
          <cell r="AZ293">
            <v>2450</v>
          </cell>
          <cell r="BA293">
            <v>1732</v>
          </cell>
          <cell r="BB293">
            <v>3213</v>
          </cell>
          <cell r="BC293">
            <v>20173</v>
          </cell>
          <cell r="BD293">
            <v>102</v>
          </cell>
          <cell r="BE293">
            <v>0</v>
          </cell>
          <cell r="BF293">
            <v>0</v>
          </cell>
        </row>
        <row r="295">
          <cell r="A295" t="str">
            <v>תוספת לרכוש קבוע מים לשנת 2013</v>
          </cell>
          <cell r="C295">
            <v>12436</v>
          </cell>
          <cell r="D295">
            <v>2879</v>
          </cell>
          <cell r="E295">
            <v>2428</v>
          </cell>
          <cell r="F295">
            <v>1243</v>
          </cell>
          <cell r="G295">
            <v>2338</v>
          </cell>
          <cell r="H295">
            <v>55821</v>
          </cell>
          <cell r="I295">
            <v>16594</v>
          </cell>
          <cell r="J295">
            <v>3971</v>
          </cell>
          <cell r="K295">
            <v>2579</v>
          </cell>
          <cell r="L295">
            <v>3537</v>
          </cell>
          <cell r="M295">
            <v>3097</v>
          </cell>
          <cell r="N295">
            <v>3546</v>
          </cell>
          <cell r="O295">
            <v>11982</v>
          </cell>
          <cell r="P295">
            <v>22189</v>
          </cell>
          <cell r="Q295">
            <v>2896</v>
          </cell>
          <cell r="R295">
            <v>9070.8469999999998</v>
          </cell>
          <cell r="S295">
            <v>2402</v>
          </cell>
          <cell r="T295">
            <v>4090</v>
          </cell>
          <cell r="U295">
            <v>4800</v>
          </cell>
          <cell r="V295">
            <v>4300</v>
          </cell>
          <cell r="W295">
            <v>6216.1540000000005</v>
          </cell>
          <cell r="X295">
            <v>13022</v>
          </cell>
          <cell r="Y295">
            <v>1497</v>
          </cell>
          <cell r="Z295">
            <v>7819</v>
          </cell>
          <cell r="AA295">
            <v>4797</v>
          </cell>
          <cell r="AB295">
            <v>5373</v>
          </cell>
          <cell r="AC295">
            <v>5368</v>
          </cell>
          <cell r="AD295">
            <v>11245</v>
          </cell>
          <cell r="AE295">
            <v>8218</v>
          </cell>
          <cell r="AF295">
            <v>4466</v>
          </cell>
          <cell r="AG295">
            <v>1393</v>
          </cell>
          <cell r="AH295">
            <v>214</v>
          </cell>
          <cell r="AI295">
            <v>576</v>
          </cell>
          <cell r="AJ295">
            <v>696</v>
          </cell>
          <cell r="AK295">
            <v>718</v>
          </cell>
          <cell r="AL295">
            <v>18639</v>
          </cell>
          <cell r="AM295">
            <v>6255</v>
          </cell>
          <cell r="AN295">
            <v>8447</v>
          </cell>
          <cell r="AO295">
            <v>4203</v>
          </cell>
          <cell r="AP295">
            <v>7517</v>
          </cell>
          <cell r="AQ295">
            <v>18650</v>
          </cell>
          <cell r="AR295">
            <v>3300</v>
          </cell>
          <cell r="AS295">
            <v>13508</v>
          </cell>
          <cell r="AT295">
            <v>1584.146</v>
          </cell>
          <cell r="AU295">
            <v>14253</v>
          </cell>
          <cell r="AV295">
            <v>10705</v>
          </cell>
          <cell r="AW295">
            <v>317</v>
          </cell>
          <cell r="AX295">
            <v>4191.8950000000004</v>
          </cell>
          <cell r="AY295">
            <v>71</v>
          </cell>
          <cell r="AZ295">
            <v>8230</v>
          </cell>
          <cell r="BA295">
            <v>6882</v>
          </cell>
          <cell r="BB295">
            <v>5285</v>
          </cell>
          <cell r="BC295">
            <v>7556</v>
          </cell>
          <cell r="BD295">
            <v>4200</v>
          </cell>
          <cell r="BE295">
            <v>1969</v>
          </cell>
          <cell r="BF295">
            <v>0</v>
          </cell>
        </row>
        <row r="297">
          <cell r="A297" t="str">
            <v>תוספת לרכוש קבוע מים לשנת 2014</v>
          </cell>
          <cell r="C297">
            <v>12736</v>
          </cell>
          <cell r="D297">
            <v>7325</v>
          </cell>
          <cell r="E297">
            <v>10795</v>
          </cell>
          <cell r="F297">
            <v>2336</v>
          </cell>
          <cell r="G297">
            <v>5034</v>
          </cell>
          <cell r="H297">
            <v>40155</v>
          </cell>
          <cell r="I297">
            <v>35933</v>
          </cell>
          <cell r="J297">
            <v>784</v>
          </cell>
          <cell r="K297">
            <v>5000</v>
          </cell>
          <cell r="L297">
            <v>1765</v>
          </cell>
          <cell r="M297">
            <v>26044</v>
          </cell>
          <cell r="N297">
            <v>25361</v>
          </cell>
          <cell r="O297">
            <v>22638</v>
          </cell>
          <cell r="P297">
            <v>4649</v>
          </cell>
          <cell r="Q297">
            <v>6999</v>
          </cell>
          <cell r="R297">
            <v>6693</v>
          </cell>
          <cell r="S297">
            <v>2645</v>
          </cell>
          <cell r="T297">
            <v>1792</v>
          </cell>
          <cell r="U297">
            <v>5530</v>
          </cell>
          <cell r="V297">
            <v>10124</v>
          </cell>
          <cell r="W297">
            <v>7874</v>
          </cell>
          <cell r="X297">
            <v>16734</v>
          </cell>
          <cell r="Y297">
            <v>3220</v>
          </cell>
          <cell r="Z297">
            <v>10800</v>
          </cell>
          <cell r="AA297">
            <v>1643</v>
          </cell>
          <cell r="AB297">
            <v>3751</v>
          </cell>
          <cell r="AC297">
            <v>8502</v>
          </cell>
          <cell r="AD297">
            <v>7283</v>
          </cell>
          <cell r="AE297">
            <v>26021</v>
          </cell>
          <cell r="AF297">
            <v>13426</v>
          </cell>
          <cell r="AG297">
            <v>3733</v>
          </cell>
          <cell r="AH297">
            <v>0</v>
          </cell>
          <cell r="AI297">
            <v>3810</v>
          </cell>
          <cell r="AJ297">
            <v>691</v>
          </cell>
          <cell r="AK297">
            <v>448</v>
          </cell>
          <cell r="AL297">
            <v>13847</v>
          </cell>
          <cell r="AM297">
            <v>2187</v>
          </cell>
          <cell r="AN297">
            <v>1956</v>
          </cell>
          <cell r="AO297">
            <v>7806</v>
          </cell>
          <cell r="AP297">
            <v>1380</v>
          </cell>
          <cell r="AQ297">
            <v>8423</v>
          </cell>
          <cell r="AR297">
            <v>2763</v>
          </cell>
          <cell r="AS297">
            <v>17463</v>
          </cell>
          <cell r="AT297">
            <v>6731</v>
          </cell>
          <cell r="AU297">
            <v>8042</v>
          </cell>
          <cell r="AV297">
            <v>7464</v>
          </cell>
          <cell r="AW297">
            <v>8545</v>
          </cell>
          <cell r="AX297">
            <v>3355</v>
          </cell>
          <cell r="AY297">
            <v>373</v>
          </cell>
          <cell r="AZ297">
            <v>7214</v>
          </cell>
          <cell r="BA297">
            <v>848</v>
          </cell>
          <cell r="BB297">
            <v>3252</v>
          </cell>
          <cell r="BC297">
            <v>13846</v>
          </cell>
          <cell r="BD297">
            <v>4347</v>
          </cell>
          <cell r="BE297">
            <v>638</v>
          </cell>
          <cell r="BF297">
            <v>0</v>
          </cell>
        </row>
        <row r="299">
          <cell r="A299" t="str">
            <v>פחת לשנת 2009</v>
          </cell>
          <cell r="C299">
            <v>-12670.339755456429</v>
          </cell>
          <cell r="D299">
            <v>-2108</v>
          </cell>
          <cell r="E299">
            <v>-2504</v>
          </cell>
          <cell r="F299">
            <v>-1002</v>
          </cell>
          <cell r="G299">
            <v>-2475.0813338448138</v>
          </cell>
          <cell r="H299">
            <v>-31657</v>
          </cell>
          <cell r="I299">
            <v>-9068.3469891133846</v>
          </cell>
          <cell r="J299">
            <v>-2387</v>
          </cell>
          <cell r="K299">
            <v>-1289</v>
          </cell>
          <cell r="L299">
            <v>-3457</v>
          </cell>
          <cell r="M299">
            <v>-6633</v>
          </cell>
          <cell r="N299">
            <v>-8906</v>
          </cell>
          <cell r="O299">
            <v>-5815</v>
          </cell>
          <cell r="P299">
            <v>-2143</v>
          </cell>
          <cell r="Q299">
            <v>-1884</v>
          </cell>
          <cell r="R299">
            <v>-2591</v>
          </cell>
          <cell r="S299">
            <v>-1173</v>
          </cell>
          <cell r="T299">
            <v>-2603</v>
          </cell>
          <cell r="U299">
            <v>-3246</v>
          </cell>
          <cell r="V299">
            <v>-2194.3139999999999</v>
          </cell>
          <cell r="W299">
            <v>-1337</v>
          </cell>
          <cell r="Y299">
            <v>-1170</v>
          </cell>
          <cell r="Z299">
            <v>-3265.0390000000002</v>
          </cell>
          <cell r="AA299">
            <v>-1381</v>
          </cell>
          <cell r="AB299">
            <v>-2791</v>
          </cell>
          <cell r="AC299">
            <v>-1263</v>
          </cell>
          <cell r="AD299">
            <v>-1832</v>
          </cell>
          <cell r="AE299">
            <v>0</v>
          </cell>
          <cell r="AF299">
            <v>-453</v>
          </cell>
          <cell r="AG299">
            <v>-505</v>
          </cell>
          <cell r="AH299">
            <v>0</v>
          </cell>
          <cell r="AI299">
            <v>-873</v>
          </cell>
          <cell r="AJ299">
            <v>-410</v>
          </cell>
          <cell r="AK299">
            <v>0</v>
          </cell>
          <cell r="AL299">
            <v>0</v>
          </cell>
          <cell r="AN299">
            <v>0</v>
          </cell>
          <cell r="AO299">
            <v>-1</v>
          </cell>
          <cell r="AP299">
            <v>0</v>
          </cell>
          <cell r="AQ299">
            <v>-2090.4589999999998</v>
          </cell>
          <cell r="AS299">
            <v>-1081</v>
          </cell>
          <cell r="AT299">
            <v>0</v>
          </cell>
          <cell r="AU299">
            <v>0</v>
          </cell>
          <cell r="AW299">
            <v>0</v>
          </cell>
          <cell r="AX299">
            <v>0</v>
          </cell>
          <cell r="AY299">
            <v>0</v>
          </cell>
          <cell r="AZ299">
            <v>0</v>
          </cell>
          <cell r="BA299">
            <v>0</v>
          </cell>
          <cell r="BB299">
            <v>0</v>
          </cell>
          <cell r="BC299">
            <v>0</v>
          </cell>
          <cell r="BD299">
            <v>0</v>
          </cell>
          <cell r="BE299">
            <v>0</v>
          </cell>
          <cell r="BF299">
            <v>0</v>
          </cell>
        </row>
        <row r="301">
          <cell r="A301" t="str">
            <v>פחת לשנת 2010</v>
          </cell>
          <cell r="C301">
            <v>-15187.111314933371</v>
          </cell>
          <cell r="D301">
            <v>-1876</v>
          </cell>
          <cell r="E301">
            <v>-4762</v>
          </cell>
          <cell r="F301">
            <v>-1146</v>
          </cell>
          <cell r="G301">
            <v>-3044.2825997208415</v>
          </cell>
          <cell r="H301">
            <v>-32355</v>
          </cell>
          <cell r="I301">
            <v>-11360.938820516085</v>
          </cell>
          <cell r="J301">
            <v>-2778</v>
          </cell>
          <cell r="K301">
            <v>-3955</v>
          </cell>
          <cell r="L301">
            <v>-2937</v>
          </cell>
          <cell r="M301">
            <v>-6614</v>
          </cell>
          <cell r="N301">
            <v>-7438</v>
          </cell>
          <cell r="O301">
            <v>-3924</v>
          </cell>
          <cell r="P301">
            <v>-2917</v>
          </cell>
          <cell r="Q301">
            <v>-1919</v>
          </cell>
          <cell r="R301">
            <v>-2591</v>
          </cell>
          <cell r="S301">
            <v>-1455</v>
          </cell>
          <cell r="T301">
            <v>-1800</v>
          </cell>
          <cell r="U301">
            <v>-2972</v>
          </cell>
          <cell r="V301">
            <v>-2194.3139999999999</v>
          </cell>
          <cell r="W301">
            <v>-1539</v>
          </cell>
          <cell r="X301">
            <v>-3205</v>
          </cell>
          <cell r="Y301">
            <v>-2372</v>
          </cell>
          <cell r="Z301">
            <v>-3464.49</v>
          </cell>
          <cell r="AA301">
            <v>-4137</v>
          </cell>
          <cell r="AB301">
            <v>-1962</v>
          </cell>
          <cell r="AC301">
            <v>-3560</v>
          </cell>
          <cell r="AD301">
            <v>-1988</v>
          </cell>
          <cell r="AE301">
            <v>-13615</v>
          </cell>
          <cell r="AF301">
            <v>-1595</v>
          </cell>
          <cell r="AG301">
            <v>-2021</v>
          </cell>
          <cell r="AH301">
            <v>-1351</v>
          </cell>
          <cell r="AI301">
            <v>-1823</v>
          </cell>
          <cell r="AJ301">
            <v>-940</v>
          </cell>
          <cell r="AK301">
            <v>0</v>
          </cell>
          <cell r="AL301">
            <v>-13615</v>
          </cell>
          <cell r="AM301">
            <v>-3140</v>
          </cell>
          <cell r="AN301">
            <v>0</v>
          </cell>
          <cell r="AO301">
            <v>-1</v>
          </cell>
          <cell r="AP301">
            <v>-2731</v>
          </cell>
          <cell r="AQ301">
            <v>-3207.0320000000002</v>
          </cell>
          <cell r="AR301">
            <v>-1060</v>
          </cell>
          <cell r="AS301">
            <v>-2774</v>
          </cell>
          <cell r="AT301">
            <v>-1373</v>
          </cell>
          <cell r="AU301">
            <v>-2190</v>
          </cell>
          <cell r="AV301">
            <v>-2762</v>
          </cell>
          <cell r="AW301">
            <v>-2392</v>
          </cell>
          <cell r="AX301">
            <v>0</v>
          </cell>
          <cell r="AY301">
            <v>-534</v>
          </cell>
          <cell r="AZ301">
            <v>-2295</v>
          </cell>
          <cell r="BA301">
            <v>-1977</v>
          </cell>
          <cell r="BB301">
            <v>-3255</v>
          </cell>
          <cell r="BC301">
            <v>-5547</v>
          </cell>
          <cell r="BD301">
            <v>0</v>
          </cell>
          <cell r="BE301">
            <v>0</v>
          </cell>
          <cell r="BF301">
            <v>0</v>
          </cell>
        </row>
        <row r="303">
          <cell r="A303" t="str">
            <v>פחת לשנת 2011</v>
          </cell>
          <cell r="C303">
            <v>-8500.1504213202024</v>
          </cell>
          <cell r="D303">
            <v>-1821</v>
          </cell>
          <cell r="E303">
            <v>-6387</v>
          </cell>
          <cell r="F303">
            <v>-1157</v>
          </cell>
          <cell r="G303">
            <v>-2141.9232469458116</v>
          </cell>
          <cell r="H303">
            <v>-33193</v>
          </cell>
          <cell r="I303">
            <v>-10143.572558041251</v>
          </cell>
          <cell r="J303">
            <v>-1843</v>
          </cell>
          <cell r="K303">
            <v>-3303</v>
          </cell>
          <cell r="L303">
            <v>-2901</v>
          </cell>
          <cell r="M303">
            <v>-6614</v>
          </cell>
          <cell r="N303">
            <v>-8589</v>
          </cell>
          <cell r="O303">
            <v>-7954</v>
          </cell>
          <cell r="P303">
            <v>-4793</v>
          </cell>
          <cell r="Q303">
            <v>-1995</v>
          </cell>
          <cell r="R303">
            <v>-1388.415</v>
          </cell>
          <cell r="S303">
            <v>-960</v>
          </cell>
          <cell r="T303">
            <v>-1510</v>
          </cell>
          <cell r="U303">
            <v>-2715</v>
          </cell>
          <cell r="V303">
            <v>-2052</v>
          </cell>
          <cell r="W303">
            <v>-1603</v>
          </cell>
          <cell r="X303">
            <v>-3260</v>
          </cell>
          <cell r="Y303">
            <v>-2441</v>
          </cell>
          <cell r="Z303">
            <v>-3121.0369999999998</v>
          </cell>
          <cell r="AA303">
            <v>-3710</v>
          </cell>
          <cell r="AB303">
            <v>-2076</v>
          </cell>
          <cell r="AC303">
            <v>-3403</v>
          </cell>
          <cell r="AD303">
            <v>-1256</v>
          </cell>
          <cell r="AE303">
            <v>-13000</v>
          </cell>
          <cell r="AF303">
            <v>-1579</v>
          </cell>
          <cell r="AG303">
            <v>-1636</v>
          </cell>
          <cell r="AH303">
            <v>-1573</v>
          </cell>
          <cell r="AI303">
            <v>-1868</v>
          </cell>
          <cell r="AJ303">
            <v>-1</v>
          </cell>
          <cell r="AK303">
            <v>0</v>
          </cell>
          <cell r="AL303">
            <v>-10400</v>
          </cell>
          <cell r="AM303">
            <v>-3572</v>
          </cell>
          <cell r="AN303">
            <v>-2232</v>
          </cell>
          <cell r="AO303">
            <v>-1</v>
          </cell>
          <cell r="AP303">
            <v>-1964</v>
          </cell>
          <cell r="AQ303">
            <v>-2725</v>
          </cell>
          <cell r="AR303">
            <v>-1700</v>
          </cell>
          <cell r="AS303">
            <v>-7353</v>
          </cell>
          <cell r="AT303">
            <v>-1389</v>
          </cell>
          <cell r="AU303">
            <v>-2141</v>
          </cell>
          <cell r="AV303">
            <v>-5476</v>
          </cell>
          <cell r="AW303">
            <v>-1828</v>
          </cell>
          <cell r="AX303">
            <v>0</v>
          </cell>
          <cell r="AY303">
            <v>-739</v>
          </cell>
          <cell r="AZ303">
            <v>-2762</v>
          </cell>
          <cell r="BA303">
            <v>-2260</v>
          </cell>
          <cell r="BB303">
            <v>-3280</v>
          </cell>
          <cell r="BC303">
            <v>-5113</v>
          </cell>
          <cell r="BD303">
            <v>-592</v>
          </cell>
          <cell r="BE303">
            <v>0</v>
          </cell>
          <cell r="BF303">
            <v>0</v>
          </cell>
        </row>
        <row r="305">
          <cell r="A305" t="str">
            <v>פחת מים 2012</v>
          </cell>
          <cell r="C305">
            <v>-6137</v>
          </cell>
          <cell r="D305">
            <v>-1374</v>
          </cell>
          <cell r="E305">
            <v>-6706</v>
          </cell>
          <cell r="F305">
            <v>-724</v>
          </cell>
          <cell r="G305">
            <v>-1864</v>
          </cell>
          <cell r="H305">
            <v>-38532</v>
          </cell>
          <cell r="I305">
            <v>-8060</v>
          </cell>
          <cell r="J305">
            <v>-1939</v>
          </cell>
          <cell r="K305">
            <v>-2562</v>
          </cell>
          <cell r="L305">
            <v>-3889</v>
          </cell>
          <cell r="M305">
            <v>-4020</v>
          </cell>
          <cell r="N305">
            <v>-6473</v>
          </cell>
          <cell r="O305">
            <v>-9474</v>
          </cell>
          <cell r="P305">
            <v>-4793</v>
          </cell>
          <cell r="Q305">
            <v>-2280</v>
          </cell>
          <cell r="R305">
            <v>-1681</v>
          </cell>
          <cell r="S305">
            <v>-949</v>
          </cell>
          <cell r="T305">
            <v>-1356</v>
          </cell>
          <cell r="U305">
            <v>-2715</v>
          </cell>
          <cell r="V305">
            <v>-2269</v>
          </cell>
          <cell r="W305">
            <v>-235</v>
          </cell>
          <cell r="X305">
            <v>-3480</v>
          </cell>
          <cell r="Y305">
            <v>-2526</v>
          </cell>
          <cell r="Z305">
            <v>-1665</v>
          </cell>
          <cell r="AA305">
            <v>-3592</v>
          </cell>
          <cell r="AB305">
            <v>-2418</v>
          </cell>
          <cell r="AC305">
            <v>-3463</v>
          </cell>
          <cell r="AD305">
            <v>-1216</v>
          </cell>
          <cell r="AE305">
            <v>-12105</v>
          </cell>
          <cell r="AF305">
            <v>-1675</v>
          </cell>
          <cell r="AG305">
            <v>-1717</v>
          </cell>
          <cell r="AH305">
            <v>-1544</v>
          </cell>
          <cell r="AI305">
            <v>-1968</v>
          </cell>
          <cell r="AJ305">
            <v>-840</v>
          </cell>
          <cell r="AK305">
            <v>0</v>
          </cell>
          <cell r="AL305">
            <v>-10033</v>
          </cell>
          <cell r="AM305">
            <v>-3755</v>
          </cell>
          <cell r="AN305">
            <v>-2296</v>
          </cell>
          <cell r="AO305">
            <v>-2303</v>
          </cell>
          <cell r="AP305">
            <v>-2002</v>
          </cell>
          <cell r="AQ305">
            <v>-1280</v>
          </cell>
          <cell r="AR305">
            <v>-852</v>
          </cell>
          <cell r="AS305">
            <v>-2322</v>
          </cell>
          <cell r="AT305">
            <v>-1813</v>
          </cell>
          <cell r="AU305">
            <v>-1736</v>
          </cell>
          <cell r="AV305">
            <v>-4518</v>
          </cell>
          <cell r="AW305">
            <v>-1890</v>
          </cell>
          <cell r="AX305">
            <v>-1033</v>
          </cell>
          <cell r="AY305">
            <v>-603</v>
          </cell>
          <cell r="AZ305">
            <v>-1940</v>
          </cell>
          <cell r="BA305">
            <v>-2253</v>
          </cell>
          <cell r="BB305">
            <v>-3213</v>
          </cell>
          <cell r="BC305">
            <v>-6548</v>
          </cell>
          <cell r="BD305">
            <v>-575</v>
          </cell>
        </row>
        <row r="307">
          <cell r="A307" t="str">
            <v>פחת מים 2013</v>
          </cell>
          <cell r="C307">
            <v>-6387</v>
          </cell>
          <cell r="D307">
            <v>-1706</v>
          </cell>
          <cell r="E307">
            <v>-6313</v>
          </cell>
          <cell r="F307">
            <v>-825</v>
          </cell>
          <cell r="G307">
            <v>-1861</v>
          </cell>
          <cell r="H307">
            <v>-42220</v>
          </cell>
          <cell r="I307">
            <v>-9613</v>
          </cell>
          <cell r="J307">
            <v>-1978</v>
          </cell>
          <cell r="K307">
            <v>-3939</v>
          </cell>
          <cell r="L307">
            <v>-3196</v>
          </cell>
          <cell r="M307">
            <v>-3963</v>
          </cell>
          <cell r="N307">
            <v>-7024</v>
          </cell>
          <cell r="O307">
            <v>-8155</v>
          </cell>
          <cell r="P307">
            <v>-5585</v>
          </cell>
          <cell r="Q307">
            <v>-2556</v>
          </cell>
          <cell r="R307">
            <v>-2402.1179999999999</v>
          </cell>
          <cell r="S307">
            <v>-991</v>
          </cell>
          <cell r="T307">
            <v>-1514</v>
          </cell>
          <cell r="U307">
            <v>-2718</v>
          </cell>
          <cell r="V307">
            <v>-2475</v>
          </cell>
          <cell r="W307">
            <v>-2383.7289999999998</v>
          </cell>
          <cell r="X307">
            <v>-4129</v>
          </cell>
          <cell r="Y307">
            <v>-1902</v>
          </cell>
          <cell r="Z307">
            <v>-2191</v>
          </cell>
          <cell r="AA307">
            <v>-3018</v>
          </cell>
          <cell r="AB307">
            <v>-2056</v>
          </cell>
          <cell r="AC307">
            <v>-3926</v>
          </cell>
          <cell r="AD307">
            <v>-1212</v>
          </cell>
          <cell r="AE307">
            <v>-11564</v>
          </cell>
          <cell r="AF307">
            <v>-2045</v>
          </cell>
          <cell r="AG307">
            <v>-1715</v>
          </cell>
          <cell r="AH307">
            <v>-1551</v>
          </cell>
          <cell r="AI307">
            <v>-1601</v>
          </cell>
          <cell r="AJ307">
            <v>-839</v>
          </cell>
          <cell r="AK307">
            <v>-1157</v>
          </cell>
          <cell r="AL307">
            <v>-9889</v>
          </cell>
          <cell r="AM307">
            <v>-3790</v>
          </cell>
          <cell r="AN307">
            <v>-2268</v>
          </cell>
          <cell r="AO307">
            <v>-4483</v>
          </cell>
          <cell r="AP307">
            <v>-1329</v>
          </cell>
          <cell r="AQ307">
            <v>-1329</v>
          </cell>
          <cell r="AR307">
            <v>-1312</v>
          </cell>
          <cell r="AS307">
            <v>-1779</v>
          </cell>
          <cell r="AT307">
            <v>-1809.482</v>
          </cell>
          <cell r="AU307">
            <v>-1715</v>
          </cell>
          <cell r="AV307">
            <v>-4784</v>
          </cell>
          <cell r="AW307">
            <v>-1935</v>
          </cell>
          <cell r="AX307">
            <v>-1079.6759999999999</v>
          </cell>
          <cell r="AY307">
            <v>-580</v>
          </cell>
          <cell r="AZ307">
            <v>-2024</v>
          </cell>
          <cell r="BA307">
            <v>-2611</v>
          </cell>
          <cell r="BB307">
            <v>-3568</v>
          </cell>
          <cell r="BC307">
            <v>-5928</v>
          </cell>
          <cell r="BD307">
            <v>-415</v>
          </cell>
          <cell r="BE307">
            <v>-559</v>
          </cell>
          <cell r="BF307">
            <v>0</v>
          </cell>
          <cell r="BH307">
            <v>-209898.005</v>
          </cell>
        </row>
        <row r="309">
          <cell r="A309" t="str">
            <v>פחת מים 2014</v>
          </cell>
          <cell r="C309">
            <v>-6813</v>
          </cell>
          <cell r="D309">
            <v>-1840</v>
          </cell>
          <cell r="E309">
            <v>-6472</v>
          </cell>
          <cell r="F309">
            <v>-910</v>
          </cell>
          <cell r="G309">
            <v>-1971</v>
          </cell>
          <cell r="H309">
            <v>-44124</v>
          </cell>
          <cell r="I309">
            <v>-7372</v>
          </cell>
          <cell r="J309">
            <v>-2095</v>
          </cell>
          <cell r="K309">
            <v>-4066</v>
          </cell>
          <cell r="L309">
            <v>-3254</v>
          </cell>
          <cell r="M309">
            <v>-6439</v>
          </cell>
          <cell r="N309">
            <v>-7847</v>
          </cell>
          <cell r="O309">
            <v>-6716</v>
          </cell>
          <cell r="P309">
            <v>-5380</v>
          </cell>
          <cell r="Q309">
            <v>-2623</v>
          </cell>
          <cell r="R309">
            <v>-2246</v>
          </cell>
          <cell r="S309">
            <v>-1398</v>
          </cell>
          <cell r="T309">
            <v>-1354</v>
          </cell>
          <cell r="U309">
            <v>-3316</v>
          </cell>
          <cell r="V309">
            <v>-2437</v>
          </cell>
          <cell r="W309">
            <v>-2560</v>
          </cell>
          <cell r="X309">
            <v>-4394</v>
          </cell>
          <cell r="Y309">
            <v>-1949</v>
          </cell>
          <cell r="Z309">
            <v>-2592</v>
          </cell>
          <cell r="AA309">
            <v>-4483</v>
          </cell>
          <cell r="AB309">
            <v>-2217</v>
          </cell>
          <cell r="AC309">
            <v>-3769</v>
          </cell>
          <cell r="AD309">
            <v>-2214</v>
          </cell>
          <cell r="AE309">
            <v>-11931</v>
          </cell>
          <cell r="AF309">
            <v>-2179</v>
          </cell>
          <cell r="AG309">
            <v>-1721</v>
          </cell>
          <cell r="AH309">
            <v>-1551</v>
          </cell>
          <cell r="AI309">
            <v>-1653</v>
          </cell>
          <cell r="AJ309">
            <v>-941</v>
          </cell>
          <cell r="AK309">
            <v>-1167</v>
          </cell>
          <cell r="AL309">
            <v>-10399</v>
          </cell>
          <cell r="AM309">
            <v>-3962</v>
          </cell>
          <cell r="AN309">
            <v>-2175</v>
          </cell>
          <cell r="AO309">
            <v>-4882</v>
          </cell>
          <cell r="AP309">
            <v>-1915</v>
          </cell>
          <cell r="AQ309">
            <v>-1705</v>
          </cell>
          <cell r="AR309">
            <v>-1372</v>
          </cell>
          <cell r="AS309">
            <v>-5455</v>
          </cell>
          <cell r="AT309">
            <v>-1752</v>
          </cell>
          <cell r="AU309">
            <v>-2960</v>
          </cell>
          <cell r="AV309">
            <v>-4890</v>
          </cell>
          <cell r="AW309">
            <v>-2004</v>
          </cell>
          <cell r="AX309">
            <v>-1100</v>
          </cell>
          <cell r="AY309">
            <v>-596</v>
          </cell>
          <cell r="AZ309">
            <v>-2188</v>
          </cell>
          <cell r="BA309">
            <v>-2395</v>
          </cell>
          <cell r="BB309">
            <v>-3568</v>
          </cell>
          <cell r="BC309">
            <v>-8097</v>
          </cell>
          <cell r="BD309">
            <v>-217</v>
          </cell>
          <cell r="BE309">
            <v>-633</v>
          </cell>
          <cell r="BF309">
            <v>0</v>
          </cell>
          <cell r="BH309">
            <v>-226259</v>
          </cell>
        </row>
        <row r="311">
          <cell r="A311" t="str">
            <v>היטלי פיתוח נטו ( בניכוי פחת נצבר)</v>
          </cell>
          <cell r="C311">
            <v>-117468.65119999999</v>
          </cell>
          <cell r="D311">
            <v>-3775.8815999999997</v>
          </cell>
          <cell r="E311">
            <v>-32077.993600000002</v>
          </cell>
          <cell r="F311">
            <v>-2803.7904000000008</v>
          </cell>
          <cell r="G311">
            <v>0</v>
          </cell>
          <cell r="H311">
            <v>-193039.86775999999</v>
          </cell>
          <cell r="I311">
            <v>-58643.974399999999</v>
          </cell>
          <cell r="J311">
            <v>-13241.843200000001</v>
          </cell>
          <cell r="K311">
            <v>-7855.1936000000005</v>
          </cell>
          <cell r="L311">
            <v>-6653.4464000000007</v>
          </cell>
          <cell r="M311">
            <v>-68680.534400000004</v>
          </cell>
          <cell r="N311">
            <v>-43077.8848</v>
          </cell>
          <cell r="O311">
            <v>-70479.552000000011</v>
          </cell>
          <cell r="P311">
            <v>-16892.448</v>
          </cell>
          <cell r="Q311">
            <v>-11215.536</v>
          </cell>
          <cell r="R311">
            <v>-10202.524799999999</v>
          </cell>
          <cell r="S311">
            <v>-13324.598399999999</v>
          </cell>
          <cell r="T311">
            <v>-13070.976000000002</v>
          </cell>
          <cell r="U311">
            <v>-26063.651200000004</v>
          </cell>
          <cell r="V311">
            <v>-10095.136000000002</v>
          </cell>
          <cell r="W311">
            <v>-3498.4160000000006</v>
          </cell>
          <cell r="X311">
            <v>-25626.518400000001</v>
          </cell>
          <cell r="Y311">
            <v>-3712.6720000000005</v>
          </cell>
          <cell r="Z311">
            <v>-14487.510236800001</v>
          </cell>
          <cell r="AA311">
            <v>-21125.062400000003</v>
          </cell>
          <cell r="AB311">
            <v>-11417.5712</v>
          </cell>
          <cell r="AC311">
            <v>-46234.022400000009</v>
          </cell>
          <cell r="AD311">
            <v>-12173.513599999998</v>
          </cell>
          <cell r="AE311">
            <v>-70317.526400000002</v>
          </cell>
          <cell r="AF311">
            <v>-4524.7232000000004</v>
          </cell>
          <cell r="AG311">
            <v>0</v>
          </cell>
          <cell r="AH311">
            <v>0</v>
          </cell>
          <cell r="AI311">
            <v>-22921.238400000002</v>
          </cell>
          <cell r="AJ311">
            <v>-4655.2064000000009</v>
          </cell>
          <cell r="AK311">
            <v>-1568.3679999999999</v>
          </cell>
          <cell r="AL311">
            <v>-262668.68800000002</v>
          </cell>
          <cell r="AM311">
            <v>-8934.3647999999994</v>
          </cell>
          <cell r="AN311">
            <v>0</v>
          </cell>
          <cell r="AO311">
            <v>-59693.862399999998</v>
          </cell>
          <cell r="AP311">
            <v>-19737.696000000004</v>
          </cell>
          <cell r="AQ311">
            <v>-9198.9036000000015</v>
          </cell>
          <cell r="AR311">
            <v>-4130.6400000000003</v>
          </cell>
          <cell r="AS311">
            <v>-18754.873600000003</v>
          </cell>
          <cell r="AT311">
            <v>-9747.92</v>
          </cell>
          <cell r="AU311">
            <v>-39477.644800000002</v>
          </cell>
          <cell r="AV311">
            <v>-60774.867200000008</v>
          </cell>
          <cell r="AW311">
            <v>-10043.3344</v>
          </cell>
          <cell r="AX311">
            <v>-2880.1440000000002</v>
          </cell>
          <cell r="AY311">
            <v>-749.45600000000002</v>
          </cell>
          <cell r="AZ311">
            <v>-4052.9856</v>
          </cell>
          <cell r="BA311">
            <v>-8214.5760000000009</v>
          </cell>
          <cell r="BB311">
            <v>-12414.48</v>
          </cell>
          <cell r="BC311">
            <v>-13097.76</v>
          </cell>
          <cell r="BD311">
            <v>0</v>
          </cell>
          <cell r="BE311">
            <v>-4008.8</v>
          </cell>
          <cell r="BF311">
            <v>0</v>
          </cell>
        </row>
        <row r="313">
          <cell r="A313" t="str">
            <v>סה"כ ערך כינון מופחת  מים</v>
          </cell>
          <cell r="C313">
            <v>104680.67630829001</v>
          </cell>
          <cell r="D313">
            <v>51376.825399999994</v>
          </cell>
          <cell r="E313">
            <v>118849.60240000002</v>
          </cell>
          <cell r="F313">
            <v>25504.39793333333</v>
          </cell>
          <cell r="G313">
            <v>87984.89081948853</v>
          </cell>
          <cell r="H313">
            <v>366082.65123999998</v>
          </cell>
          <cell r="I313">
            <v>202938.57023232925</v>
          </cell>
          <cell r="J313">
            <v>57895.458799999993</v>
          </cell>
          <cell r="K313">
            <v>57387.404399999999</v>
          </cell>
          <cell r="L313">
            <v>79553.558600000004</v>
          </cell>
          <cell r="M313">
            <v>25991.465599999996</v>
          </cell>
          <cell r="N313">
            <v>79409.810200000007</v>
          </cell>
          <cell r="O313">
            <v>70989.545999999988</v>
          </cell>
          <cell r="P313">
            <v>103055.715</v>
          </cell>
          <cell r="Q313">
            <v>59221.394999999997</v>
          </cell>
          <cell r="R313">
            <v>50116.70120000001</v>
          </cell>
          <cell r="S313">
            <v>21508.766600000006</v>
          </cell>
          <cell r="T313">
            <v>47815.116000000002</v>
          </cell>
          <cell r="U313">
            <v>46495.026799999992</v>
          </cell>
          <cell r="V313">
            <v>56607.788</v>
          </cell>
          <cell r="W313">
            <v>97230.461999999985</v>
          </cell>
          <cell r="X313">
            <v>85329.472599999994</v>
          </cell>
          <cell r="Y313">
            <v>31069.040000000001</v>
          </cell>
          <cell r="Z313">
            <v>29307.216763200006</v>
          </cell>
          <cell r="AA313">
            <v>66616.462599999999</v>
          </cell>
          <cell r="AB313">
            <v>22893.917800000003</v>
          </cell>
          <cell r="AC313">
            <v>35999.5026</v>
          </cell>
          <cell r="AD313">
            <v>32303.732400000001</v>
          </cell>
          <cell r="AE313">
            <v>185803.58559999996</v>
          </cell>
          <cell r="AF313">
            <v>64253.542800000003</v>
          </cell>
          <cell r="AG313">
            <v>34186.231</v>
          </cell>
          <cell r="AH313">
            <v>32863.936999999998</v>
          </cell>
          <cell r="AI313">
            <v>9661.4665999999997</v>
          </cell>
          <cell r="AJ313">
            <v>15458.086600000001</v>
          </cell>
          <cell r="AK313">
            <v>8082.2839999999997</v>
          </cell>
          <cell r="AL313">
            <v>26695.788</v>
          </cell>
          <cell r="AM313">
            <v>53485.357200000013</v>
          </cell>
          <cell r="AN313">
            <v>51515.951000000001</v>
          </cell>
          <cell r="AO313">
            <v>13685.540600000008</v>
          </cell>
          <cell r="AP313">
            <v>18903.043999999994</v>
          </cell>
          <cell r="AQ313">
            <v>59146.477399999989</v>
          </cell>
          <cell r="AR313">
            <v>45184.603000000003</v>
          </cell>
          <cell r="AS313">
            <v>108426.24940000002</v>
          </cell>
          <cell r="AT313">
            <v>30263.142000000007</v>
          </cell>
          <cell r="AU313">
            <v>28161.629200000003</v>
          </cell>
          <cell r="AV313">
            <v>16467.971799999999</v>
          </cell>
          <cell r="AW313">
            <v>31847.366600000001</v>
          </cell>
          <cell r="AX313">
            <v>37673.817000000003</v>
          </cell>
          <cell r="AY313">
            <v>12225.407999999999</v>
          </cell>
          <cell r="AZ313">
            <v>40709.595399999998</v>
          </cell>
          <cell r="BA313">
            <v>39559.252999999997</v>
          </cell>
          <cell r="BB313">
            <v>45248.226999999999</v>
          </cell>
          <cell r="BC313">
            <v>62077.420999999995</v>
          </cell>
          <cell r="BD313">
            <v>15030.409</v>
          </cell>
          <cell r="BE313">
            <v>7084.2560000000003</v>
          </cell>
          <cell r="BF313">
            <v>52384.646000000001</v>
          </cell>
          <cell r="BH313">
            <v>3260300.4594966411</v>
          </cell>
          <cell r="BK313">
            <v>3260300.4594966411</v>
          </cell>
        </row>
        <row r="316">
          <cell r="A316" t="str">
            <v>יתרת פתיחה ערך כינון מופחת ביוב</v>
          </cell>
          <cell r="C316">
            <v>79215.255000000005</v>
          </cell>
          <cell r="D316">
            <v>57816.067000000003</v>
          </cell>
          <cell r="E316">
            <v>134563.84299999999</v>
          </cell>
          <cell r="F316">
            <v>28778.249</v>
          </cell>
          <cell r="G316">
            <v>83146.259999999995</v>
          </cell>
          <cell r="H316">
            <v>361302.761</v>
          </cell>
          <cell r="I316">
            <v>147487.68299999999</v>
          </cell>
          <cell r="J316">
            <v>47257.506999999998</v>
          </cell>
          <cell r="K316">
            <v>57485.114000000001</v>
          </cell>
          <cell r="L316">
            <v>40427.741999999998</v>
          </cell>
          <cell r="M316">
            <v>82342</v>
          </cell>
          <cell r="N316">
            <v>170640.55600000001</v>
          </cell>
          <cell r="O316">
            <v>48314.368000000002</v>
          </cell>
          <cell r="P316">
            <v>113414.981</v>
          </cell>
          <cell r="Q316">
            <v>6102.7640000000001</v>
          </cell>
          <cell r="R316">
            <v>49363.417999999998</v>
          </cell>
          <cell r="S316">
            <v>27211.388999999999</v>
          </cell>
          <cell r="T316">
            <v>53611.313000000002</v>
          </cell>
          <cell r="U316">
            <v>36293.538</v>
          </cell>
          <cell r="V316">
            <v>93143.39</v>
          </cell>
          <cell r="W316">
            <v>84223.501000000004</v>
          </cell>
          <cell r="X316">
            <v>65275.46</v>
          </cell>
          <cell r="Y316">
            <v>66362.804000000004</v>
          </cell>
          <cell r="Z316">
            <v>30555.172999999999</v>
          </cell>
          <cell r="AA316">
            <v>42980.559000000001</v>
          </cell>
          <cell r="AB316">
            <v>28159.125</v>
          </cell>
          <cell r="AC316">
            <v>55224.294999999998</v>
          </cell>
          <cell r="AD316">
            <v>23392.981</v>
          </cell>
          <cell r="AE316">
            <v>147519.829</v>
          </cell>
          <cell r="AF316">
            <v>34713.739000000001</v>
          </cell>
          <cell r="AG316">
            <v>17120.713</v>
          </cell>
          <cell r="AH316">
            <v>42084.207999999999</v>
          </cell>
          <cell r="AI316">
            <v>37136.536999999997</v>
          </cell>
          <cell r="AJ316">
            <v>15947.710999999999</v>
          </cell>
          <cell r="AK316">
            <v>7505.799</v>
          </cell>
          <cell r="AL316">
            <v>175531.37</v>
          </cell>
          <cell r="AM316">
            <v>76354.798999999999</v>
          </cell>
          <cell r="AN316">
            <v>102039.398</v>
          </cell>
          <cell r="AO316">
            <v>7135.4570000000003</v>
          </cell>
          <cell r="AP316">
            <v>2328.8939999999998</v>
          </cell>
          <cell r="AQ316">
            <v>21448.785</v>
          </cell>
          <cell r="AR316">
            <v>25077.946</v>
          </cell>
          <cell r="AS316">
            <v>141842.78899999999</v>
          </cell>
          <cell r="AT316">
            <v>27289.263999999999</v>
          </cell>
          <cell r="AU316">
            <v>38501.900999999998</v>
          </cell>
          <cell r="AV316">
            <v>80912.463000000003</v>
          </cell>
          <cell r="AW316">
            <v>32214.217000000001</v>
          </cell>
          <cell r="AX316">
            <v>42313.864000000001</v>
          </cell>
          <cell r="AY316">
            <v>7134.1149999999998</v>
          </cell>
          <cell r="AZ316">
            <v>46991.059000000001</v>
          </cell>
          <cell r="BA316">
            <v>41485.478999999999</v>
          </cell>
          <cell r="BB316">
            <v>99723.12</v>
          </cell>
          <cell r="BC316">
            <v>91318.942999999985</v>
          </cell>
          <cell r="BD316">
            <v>56916.987999999998</v>
          </cell>
          <cell r="BE316">
            <v>10505.34</v>
          </cell>
          <cell r="BF316">
            <v>84098.937000000005</v>
          </cell>
        </row>
        <row r="318">
          <cell r="A318" t="str">
            <v>תוספת לרכוש קבוע ביוב לשנת 2009</v>
          </cell>
          <cell r="C318">
            <v>5632</v>
          </cell>
          <cell r="D318">
            <v>3279</v>
          </cell>
          <cell r="E318">
            <v>17047</v>
          </cell>
          <cell r="F318">
            <v>5</v>
          </cell>
          <cell r="G318">
            <v>216</v>
          </cell>
          <cell r="H318">
            <v>19502</v>
          </cell>
          <cell r="I318">
            <v>15244</v>
          </cell>
          <cell r="J318">
            <v>9239</v>
          </cell>
          <cell r="K318">
            <v>0</v>
          </cell>
          <cell r="L318">
            <v>9733</v>
          </cell>
          <cell r="M318">
            <v>2976</v>
          </cell>
          <cell r="N318">
            <v>5914</v>
          </cell>
          <cell r="O318">
            <v>1963</v>
          </cell>
          <cell r="P318">
            <v>1263</v>
          </cell>
          <cell r="Q318">
            <v>0</v>
          </cell>
          <cell r="R318">
            <v>135</v>
          </cell>
          <cell r="S318">
            <v>285</v>
          </cell>
          <cell r="T318">
            <v>79</v>
          </cell>
          <cell r="U318">
            <v>177</v>
          </cell>
          <cell r="V318">
            <v>0</v>
          </cell>
          <cell r="W318">
            <v>0</v>
          </cell>
          <cell r="X318">
            <v>362</v>
          </cell>
          <cell r="Y318">
            <v>0</v>
          </cell>
          <cell r="Z318">
            <v>3270.0569999999998</v>
          </cell>
          <cell r="AA318">
            <v>0</v>
          </cell>
          <cell r="AB318">
            <v>0</v>
          </cell>
          <cell r="AC318">
            <v>0</v>
          </cell>
          <cell r="AD318">
            <v>315</v>
          </cell>
          <cell r="AE318">
            <v>0</v>
          </cell>
          <cell r="AF318">
            <v>0</v>
          </cell>
          <cell r="AG318">
            <v>0</v>
          </cell>
          <cell r="AH318">
            <v>0</v>
          </cell>
          <cell r="AI318">
            <v>0</v>
          </cell>
          <cell r="AJ318">
            <v>0</v>
          </cell>
          <cell r="AK318">
            <v>0</v>
          </cell>
          <cell r="AL318">
            <v>0</v>
          </cell>
          <cell r="AM318">
            <v>0</v>
          </cell>
          <cell r="AN318">
            <v>0</v>
          </cell>
          <cell r="AO318">
            <v>1</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row>
        <row r="320">
          <cell r="A320" t="str">
            <v>תוספת לרכוש קבוע ביוב לשנת 2010</v>
          </cell>
          <cell r="C320">
            <v>42577.874364800002</v>
          </cell>
          <cell r="D320">
            <v>878</v>
          </cell>
          <cell r="E320">
            <v>1709</v>
          </cell>
          <cell r="F320">
            <v>1449</v>
          </cell>
          <cell r="G320">
            <v>217</v>
          </cell>
          <cell r="H320">
            <v>14302</v>
          </cell>
          <cell r="I320">
            <v>25369</v>
          </cell>
          <cell r="J320">
            <v>10491</v>
          </cell>
          <cell r="K320">
            <v>161</v>
          </cell>
          <cell r="L320">
            <v>8808</v>
          </cell>
          <cell r="M320">
            <v>2056</v>
          </cell>
          <cell r="N320">
            <v>2522</v>
          </cell>
          <cell r="O320">
            <v>6182</v>
          </cell>
          <cell r="P320">
            <v>1658</v>
          </cell>
          <cell r="Q320">
            <v>0</v>
          </cell>
          <cell r="R320">
            <v>135</v>
          </cell>
          <cell r="S320">
            <v>3268</v>
          </cell>
          <cell r="T320">
            <v>1986</v>
          </cell>
          <cell r="U320">
            <v>1885</v>
          </cell>
          <cell r="V320">
            <v>265</v>
          </cell>
          <cell r="W320">
            <v>39866.366000000002</v>
          </cell>
          <cell r="X320">
            <v>362</v>
          </cell>
          <cell r="Y320">
            <v>231</v>
          </cell>
          <cell r="Z320">
            <v>7707.808</v>
          </cell>
          <cell r="AA320">
            <v>0</v>
          </cell>
          <cell r="AB320">
            <v>608</v>
          </cell>
          <cell r="AC320">
            <v>207</v>
          </cell>
          <cell r="AD320">
            <v>538</v>
          </cell>
          <cell r="AE320">
            <v>3113</v>
          </cell>
          <cell r="AF320">
            <v>5885</v>
          </cell>
          <cell r="AG320">
            <v>0</v>
          </cell>
          <cell r="AH320">
            <v>0</v>
          </cell>
          <cell r="AI320">
            <v>248</v>
          </cell>
          <cell r="AJ320">
            <v>0</v>
          </cell>
          <cell r="AK320">
            <v>0</v>
          </cell>
          <cell r="AL320">
            <v>11643.320330399998</v>
          </cell>
          <cell r="AM320">
            <v>0</v>
          </cell>
          <cell r="AN320">
            <v>0</v>
          </cell>
          <cell r="AO320">
            <v>1</v>
          </cell>
          <cell r="AP320">
            <v>982.67497679999974</v>
          </cell>
          <cell r="AQ320">
            <v>3108.3352055999994</v>
          </cell>
          <cell r="AR320">
            <v>1120</v>
          </cell>
          <cell r="AS320">
            <v>19305</v>
          </cell>
          <cell r="AT320">
            <v>0</v>
          </cell>
          <cell r="AU320">
            <v>84</v>
          </cell>
          <cell r="AV320">
            <v>320</v>
          </cell>
          <cell r="AW320">
            <v>89</v>
          </cell>
          <cell r="AX320">
            <v>0</v>
          </cell>
          <cell r="AY320">
            <v>89</v>
          </cell>
          <cell r="AZ320">
            <v>123</v>
          </cell>
          <cell r="BA320">
            <v>0</v>
          </cell>
          <cell r="BB320">
            <v>0</v>
          </cell>
          <cell r="BC320">
            <v>239</v>
          </cell>
          <cell r="BD320">
            <v>0</v>
          </cell>
          <cell r="BE320">
            <v>0</v>
          </cell>
          <cell r="BF320">
            <v>0</v>
          </cell>
        </row>
        <row r="322">
          <cell r="A322" t="str">
            <v>תוספת לרכוש קבוע ביוב לשנת 2011</v>
          </cell>
          <cell r="C322">
            <v>27157.384169707493</v>
          </cell>
          <cell r="D322">
            <v>1250</v>
          </cell>
          <cell r="E322">
            <v>5606</v>
          </cell>
          <cell r="F322">
            <v>513</v>
          </cell>
          <cell r="G322">
            <v>261</v>
          </cell>
          <cell r="H322">
            <v>11876</v>
          </cell>
          <cell r="I322">
            <v>26222</v>
          </cell>
          <cell r="J322">
            <v>21452</v>
          </cell>
          <cell r="K322">
            <v>2124</v>
          </cell>
          <cell r="L322">
            <v>3489</v>
          </cell>
          <cell r="M322">
            <v>3007</v>
          </cell>
          <cell r="N322">
            <v>3162</v>
          </cell>
          <cell r="O322">
            <v>8699</v>
          </cell>
          <cell r="P322">
            <v>4515</v>
          </cell>
          <cell r="Q322">
            <v>1033</v>
          </cell>
          <cell r="R322">
            <v>1345.1890000000001</v>
          </cell>
          <cell r="S322">
            <v>7362</v>
          </cell>
          <cell r="T322">
            <v>1649</v>
          </cell>
          <cell r="U322">
            <v>1926</v>
          </cell>
          <cell r="V322">
            <v>2519</v>
          </cell>
          <cell r="W322">
            <v>3378</v>
          </cell>
          <cell r="X322">
            <v>899.596</v>
          </cell>
          <cell r="Y322">
            <v>530</v>
          </cell>
          <cell r="Z322">
            <v>2233.154</v>
          </cell>
          <cell r="AA322">
            <v>358</v>
          </cell>
          <cell r="AB322">
            <v>1</v>
          </cell>
          <cell r="AC322">
            <v>8082</v>
          </cell>
          <cell r="AD322">
            <v>4246</v>
          </cell>
          <cell r="AE322">
            <v>7001</v>
          </cell>
          <cell r="AF322">
            <v>1830</v>
          </cell>
          <cell r="AG322">
            <v>71</v>
          </cell>
          <cell r="AH322">
            <v>0</v>
          </cell>
          <cell r="AI322">
            <v>1280</v>
          </cell>
          <cell r="AJ322">
            <v>1</v>
          </cell>
          <cell r="AK322">
            <v>0</v>
          </cell>
          <cell r="AL322">
            <v>37941.857126850613</v>
          </cell>
          <cell r="AM322">
            <v>279</v>
          </cell>
          <cell r="AN322">
            <v>0</v>
          </cell>
          <cell r="AO322">
            <v>1</v>
          </cell>
          <cell r="AP322">
            <v>1761.8692919193736</v>
          </cell>
          <cell r="AQ322">
            <v>6315.9151742168715</v>
          </cell>
          <cell r="AR322">
            <v>2132</v>
          </cell>
          <cell r="AS322">
            <v>0</v>
          </cell>
          <cell r="AT322">
            <v>1174</v>
          </cell>
          <cell r="AU322">
            <v>2029</v>
          </cell>
          <cell r="AV322">
            <v>790</v>
          </cell>
          <cell r="AW322">
            <v>1008</v>
          </cell>
          <cell r="AX322">
            <v>0</v>
          </cell>
          <cell r="AY322">
            <v>0</v>
          </cell>
          <cell r="AZ322">
            <v>345</v>
          </cell>
          <cell r="BA322">
            <v>777</v>
          </cell>
          <cell r="BB322">
            <v>0</v>
          </cell>
          <cell r="BC322">
            <v>1854</v>
          </cell>
          <cell r="BD322">
            <v>114</v>
          </cell>
          <cell r="BE322">
            <v>0</v>
          </cell>
          <cell r="BF322">
            <v>0</v>
          </cell>
        </row>
        <row r="324">
          <cell r="A324" t="str">
            <v>תוספת לרכוש קבוע מים לשנת 2012</v>
          </cell>
          <cell r="C324">
            <v>18466</v>
          </cell>
          <cell r="D324">
            <v>699</v>
          </cell>
          <cell r="E324">
            <v>13806</v>
          </cell>
          <cell r="F324">
            <v>112</v>
          </cell>
          <cell r="G324">
            <v>82</v>
          </cell>
          <cell r="H324">
            <v>14481</v>
          </cell>
          <cell r="I324">
            <v>27626</v>
          </cell>
          <cell r="J324">
            <v>6247</v>
          </cell>
          <cell r="K324">
            <v>1940</v>
          </cell>
          <cell r="L324">
            <v>1103</v>
          </cell>
          <cell r="M324">
            <v>3481</v>
          </cell>
          <cell r="N324">
            <v>6062</v>
          </cell>
          <cell r="O324">
            <v>7249</v>
          </cell>
          <cell r="P324">
            <v>23272</v>
          </cell>
          <cell r="Q324">
            <v>4824</v>
          </cell>
          <cell r="R324">
            <v>3069</v>
          </cell>
          <cell r="S324">
            <v>22106</v>
          </cell>
          <cell r="T324">
            <v>1370</v>
          </cell>
          <cell r="U324">
            <v>2683</v>
          </cell>
          <cell r="V324">
            <v>7923</v>
          </cell>
          <cell r="W324">
            <v>16620</v>
          </cell>
          <cell r="X324">
            <v>1389</v>
          </cell>
          <cell r="Y324">
            <v>2742</v>
          </cell>
          <cell r="Z324">
            <v>1075.0909999999999</v>
          </cell>
          <cell r="AA324">
            <v>1098</v>
          </cell>
          <cell r="AB324">
            <v>3272</v>
          </cell>
          <cell r="AC324">
            <v>7752</v>
          </cell>
          <cell r="AD324">
            <v>1734</v>
          </cell>
          <cell r="AE324">
            <v>7636</v>
          </cell>
          <cell r="AF324">
            <v>1455</v>
          </cell>
          <cell r="AG324">
            <v>0</v>
          </cell>
          <cell r="AH324">
            <v>0</v>
          </cell>
          <cell r="AI324">
            <v>0</v>
          </cell>
          <cell r="AJ324">
            <v>195</v>
          </cell>
          <cell r="AK324">
            <v>0</v>
          </cell>
          <cell r="AL324">
            <v>22231</v>
          </cell>
          <cell r="AM324">
            <v>455</v>
          </cell>
          <cell r="AN324">
            <v>2731</v>
          </cell>
          <cell r="AO324">
            <v>0</v>
          </cell>
          <cell r="AP324">
            <v>5746.0370000000003</v>
          </cell>
          <cell r="AQ324">
            <v>1665</v>
          </cell>
          <cell r="AR324">
            <v>3619</v>
          </cell>
          <cell r="AS324">
            <v>16190</v>
          </cell>
          <cell r="AT324">
            <v>1962</v>
          </cell>
          <cell r="AU324">
            <v>3169</v>
          </cell>
          <cell r="AV324">
            <v>7809</v>
          </cell>
          <cell r="AW324">
            <v>1957</v>
          </cell>
          <cell r="AX324">
            <v>0</v>
          </cell>
          <cell r="AY324">
            <v>45</v>
          </cell>
          <cell r="AZ324">
            <v>1748</v>
          </cell>
          <cell r="BA324">
            <v>1563</v>
          </cell>
          <cell r="BB324">
            <v>2004</v>
          </cell>
          <cell r="BC324">
            <v>1048</v>
          </cell>
          <cell r="BD324">
            <v>6247</v>
          </cell>
          <cell r="BE324">
            <v>0</v>
          </cell>
          <cell r="BF324">
            <v>0</v>
          </cell>
        </row>
        <row r="326">
          <cell r="A326" t="str">
            <v>תוספת לרכוש קבוע מים לשנת 2013</v>
          </cell>
          <cell r="C326">
            <v>15873</v>
          </cell>
          <cell r="D326">
            <v>1301</v>
          </cell>
          <cell r="E326">
            <v>6383</v>
          </cell>
          <cell r="F326">
            <v>1047</v>
          </cell>
          <cell r="G326">
            <v>397</v>
          </cell>
          <cell r="H326">
            <v>12097</v>
          </cell>
          <cell r="I326">
            <v>22522</v>
          </cell>
          <cell r="J326">
            <v>5440</v>
          </cell>
          <cell r="K326">
            <v>6397</v>
          </cell>
          <cell r="L326">
            <v>14081</v>
          </cell>
          <cell r="M326">
            <v>6409</v>
          </cell>
          <cell r="N326">
            <v>5652</v>
          </cell>
          <cell r="O326">
            <v>6619</v>
          </cell>
          <cell r="P326">
            <v>12766</v>
          </cell>
          <cell r="Q326">
            <v>3752</v>
          </cell>
          <cell r="R326">
            <v>3026.319</v>
          </cell>
          <cell r="S326">
            <v>5800</v>
          </cell>
          <cell r="T326">
            <v>3170</v>
          </cell>
          <cell r="U326">
            <v>5732</v>
          </cell>
          <cell r="V326">
            <v>4533</v>
          </cell>
          <cell r="W326">
            <v>33315.18</v>
          </cell>
          <cell r="X326">
            <v>2656</v>
          </cell>
          <cell r="Y326">
            <v>3485</v>
          </cell>
          <cell r="Z326">
            <v>8234</v>
          </cell>
          <cell r="AA326">
            <v>333</v>
          </cell>
          <cell r="AB326">
            <v>5532</v>
          </cell>
          <cell r="AC326">
            <v>2078</v>
          </cell>
          <cell r="AD326">
            <v>7623</v>
          </cell>
          <cell r="AE326">
            <v>8033</v>
          </cell>
          <cell r="AF326">
            <v>2837</v>
          </cell>
          <cell r="AG326">
            <v>8784</v>
          </cell>
          <cell r="AH326">
            <v>214</v>
          </cell>
          <cell r="AI326">
            <v>908</v>
          </cell>
          <cell r="AJ326">
            <v>1774</v>
          </cell>
          <cell r="AK326">
            <v>992</v>
          </cell>
          <cell r="AL326">
            <v>33898</v>
          </cell>
          <cell r="AM326">
            <v>3933</v>
          </cell>
          <cell r="AN326">
            <v>14405</v>
          </cell>
          <cell r="AO326">
            <v>5907</v>
          </cell>
          <cell r="AP326">
            <v>7228</v>
          </cell>
          <cell r="AQ326">
            <v>2911</v>
          </cell>
          <cell r="AR326">
            <v>2491</v>
          </cell>
          <cell r="AS326">
            <v>3696</v>
          </cell>
          <cell r="AT326">
            <v>1197.8889999999999</v>
          </cell>
          <cell r="AU326">
            <v>15457</v>
          </cell>
          <cell r="AV326">
            <v>7240</v>
          </cell>
          <cell r="AW326">
            <v>1883</v>
          </cell>
          <cell r="AX326">
            <v>1950.7550000000001</v>
          </cell>
          <cell r="AY326">
            <v>1</v>
          </cell>
          <cell r="AZ326">
            <v>10748</v>
          </cell>
          <cell r="BA326">
            <v>1048</v>
          </cell>
          <cell r="BB326">
            <v>4584</v>
          </cell>
          <cell r="BC326">
            <v>5379</v>
          </cell>
          <cell r="BD326">
            <v>1282</v>
          </cell>
          <cell r="BE326">
            <v>92</v>
          </cell>
          <cell r="BF326">
            <v>0</v>
          </cell>
        </row>
        <row r="328">
          <cell r="A328" t="str">
            <v>תוספת לרכוש קבוע מים לשנת 2014</v>
          </cell>
          <cell r="C328">
            <v>17799</v>
          </cell>
          <cell r="D328">
            <v>5128</v>
          </cell>
          <cell r="E328">
            <v>28140</v>
          </cell>
          <cell r="F328">
            <v>871</v>
          </cell>
          <cell r="G328">
            <v>65</v>
          </cell>
          <cell r="H328">
            <v>33479</v>
          </cell>
          <cell r="I328">
            <v>36518</v>
          </cell>
          <cell r="J328">
            <v>10178</v>
          </cell>
          <cell r="K328">
            <v>11301</v>
          </cell>
          <cell r="L328">
            <v>1459</v>
          </cell>
          <cell r="M328">
            <v>22879</v>
          </cell>
          <cell r="N328">
            <v>39846</v>
          </cell>
          <cell r="O328">
            <v>47204</v>
          </cell>
          <cell r="P328">
            <v>12081</v>
          </cell>
          <cell r="Q328">
            <v>2857</v>
          </cell>
          <cell r="R328">
            <v>4500</v>
          </cell>
          <cell r="S328">
            <v>9944</v>
          </cell>
          <cell r="T328">
            <v>2815</v>
          </cell>
          <cell r="U328">
            <v>5711</v>
          </cell>
          <cell r="V328">
            <v>6246</v>
          </cell>
          <cell r="W328">
            <v>34366</v>
          </cell>
          <cell r="X328">
            <v>7568</v>
          </cell>
          <cell r="Y328">
            <v>5902</v>
          </cell>
          <cell r="Z328">
            <v>16235</v>
          </cell>
          <cell r="AA328">
            <v>19259</v>
          </cell>
          <cell r="AB328">
            <v>4491</v>
          </cell>
          <cell r="AC328">
            <v>9621</v>
          </cell>
          <cell r="AD328">
            <v>14592</v>
          </cell>
          <cell r="AE328">
            <v>48377</v>
          </cell>
          <cell r="AF328">
            <v>10446</v>
          </cell>
          <cell r="AG328">
            <v>4995</v>
          </cell>
          <cell r="AH328">
            <v>0</v>
          </cell>
          <cell r="AI328">
            <v>1925</v>
          </cell>
          <cell r="AJ328">
            <v>15307</v>
          </cell>
          <cell r="AK328">
            <v>750</v>
          </cell>
          <cell r="AL328">
            <v>28163</v>
          </cell>
          <cell r="AM328">
            <v>957</v>
          </cell>
          <cell r="AN328">
            <v>6559</v>
          </cell>
          <cell r="AO328">
            <v>16075</v>
          </cell>
          <cell r="AP328">
            <v>2263</v>
          </cell>
          <cell r="AQ328">
            <v>1879</v>
          </cell>
          <cell r="AR328">
            <v>1909</v>
          </cell>
          <cell r="AS328">
            <v>31932</v>
          </cell>
          <cell r="AT328">
            <v>1301</v>
          </cell>
          <cell r="AU328">
            <v>10491</v>
          </cell>
          <cell r="AV328">
            <v>11164</v>
          </cell>
          <cell r="AW328">
            <v>4448</v>
          </cell>
          <cell r="AX328">
            <v>19865</v>
          </cell>
          <cell r="AY328">
            <v>10957</v>
          </cell>
          <cell r="AZ328">
            <v>5230</v>
          </cell>
          <cell r="BA328">
            <v>3702</v>
          </cell>
          <cell r="BB328">
            <v>4584</v>
          </cell>
          <cell r="BC328">
            <v>3332</v>
          </cell>
          <cell r="BD328">
            <v>10585</v>
          </cell>
          <cell r="BE328">
            <v>788</v>
          </cell>
          <cell r="BF328">
            <v>0</v>
          </cell>
        </row>
        <row r="330">
          <cell r="A330" t="str">
            <v>רכוש קבוע בהקמה</v>
          </cell>
          <cell r="C330">
            <v>25303</v>
          </cell>
          <cell r="D330">
            <v>0</v>
          </cell>
          <cell r="E330">
            <v>24596</v>
          </cell>
          <cell r="F330">
            <v>2797</v>
          </cell>
          <cell r="G330">
            <v>4037</v>
          </cell>
          <cell r="H330">
            <v>102510</v>
          </cell>
          <cell r="I330">
            <v>16127</v>
          </cell>
          <cell r="J330">
            <v>4490</v>
          </cell>
          <cell r="K330">
            <v>2450</v>
          </cell>
          <cell r="L330">
            <v>20119</v>
          </cell>
          <cell r="M330">
            <v>4763</v>
          </cell>
          <cell r="N330">
            <v>3194</v>
          </cell>
          <cell r="O330">
            <v>9084</v>
          </cell>
          <cell r="P330">
            <v>0</v>
          </cell>
          <cell r="Q330">
            <v>9223</v>
          </cell>
          <cell r="R330">
            <v>1245</v>
          </cell>
          <cell r="S330">
            <v>1179</v>
          </cell>
          <cell r="T330">
            <v>1586</v>
          </cell>
          <cell r="U330">
            <v>5732</v>
          </cell>
          <cell r="V330">
            <v>15207</v>
          </cell>
          <cell r="W330">
            <v>0</v>
          </cell>
          <cell r="X330">
            <v>18662</v>
          </cell>
          <cell r="Y330">
            <v>0</v>
          </cell>
          <cell r="Z330">
            <v>883</v>
          </cell>
          <cell r="AA330">
            <v>4320</v>
          </cell>
          <cell r="AB330">
            <v>156</v>
          </cell>
          <cell r="AC330">
            <v>25851</v>
          </cell>
          <cell r="AD330">
            <v>732</v>
          </cell>
          <cell r="AE330">
            <v>18465</v>
          </cell>
          <cell r="AF330">
            <v>40</v>
          </cell>
          <cell r="AG330">
            <v>230</v>
          </cell>
          <cell r="AH330">
            <v>7539</v>
          </cell>
          <cell r="AI330">
            <v>7296</v>
          </cell>
          <cell r="AJ330">
            <v>329</v>
          </cell>
          <cell r="AK330">
            <v>5618</v>
          </cell>
          <cell r="AL330">
            <v>112405</v>
          </cell>
          <cell r="AM330">
            <v>721</v>
          </cell>
          <cell r="AN330">
            <v>0</v>
          </cell>
          <cell r="AO330">
            <v>8113</v>
          </cell>
          <cell r="AP330">
            <v>6666</v>
          </cell>
          <cell r="AQ330">
            <v>1186</v>
          </cell>
          <cell r="AR330">
            <v>727</v>
          </cell>
          <cell r="AS330">
            <v>0</v>
          </cell>
          <cell r="AT330">
            <v>6472</v>
          </cell>
          <cell r="AU330">
            <v>394</v>
          </cell>
          <cell r="AV330">
            <v>0</v>
          </cell>
          <cell r="AW330">
            <v>376</v>
          </cell>
          <cell r="AX330">
            <v>18408</v>
          </cell>
          <cell r="AY330">
            <v>28</v>
          </cell>
          <cell r="AZ330">
            <v>0</v>
          </cell>
          <cell r="BA330">
            <v>8528</v>
          </cell>
          <cell r="BB330">
            <v>5448</v>
          </cell>
          <cell r="BC330">
            <v>36197</v>
          </cell>
          <cell r="BD330">
            <v>4723</v>
          </cell>
          <cell r="BE330">
            <v>475</v>
          </cell>
          <cell r="BF330">
            <v>0</v>
          </cell>
        </row>
        <row r="332">
          <cell r="A332" t="str">
            <v>פחת לשנת 2009</v>
          </cell>
          <cell r="C332">
            <v>-6724.5309107794201</v>
          </cell>
          <cell r="D332">
            <v>-1292</v>
          </cell>
          <cell r="E332">
            <v>-4115</v>
          </cell>
          <cell r="F332">
            <v>-696</v>
          </cell>
          <cell r="G332">
            <v>-2398</v>
          </cell>
          <cell r="H332">
            <v>-33898</v>
          </cell>
          <cell r="I332">
            <v>-6556.4530711666266</v>
          </cell>
          <cell r="J332">
            <v>-4153</v>
          </cell>
          <cell r="K332">
            <v>-1056</v>
          </cell>
          <cell r="L332">
            <v>-1566</v>
          </cell>
          <cell r="M332">
            <v>-5141</v>
          </cell>
          <cell r="N332">
            <v>-7090</v>
          </cell>
          <cell r="O332">
            <v>-1875</v>
          </cell>
          <cell r="P332">
            <v>-1298</v>
          </cell>
          <cell r="Q332">
            <v>-349</v>
          </cell>
          <cell r="R332">
            <v>-1146</v>
          </cell>
          <cell r="S332">
            <v>-1576</v>
          </cell>
          <cell r="T332">
            <v>-2634</v>
          </cell>
          <cell r="U332">
            <v>-2133</v>
          </cell>
          <cell r="V332">
            <v>-3134.9279999999999</v>
          </cell>
          <cell r="W332">
            <v>-2343</v>
          </cell>
          <cell r="Y332">
            <v>-1536</v>
          </cell>
          <cell r="Z332">
            <v>-765.1</v>
          </cell>
          <cell r="AA332">
            <v>-1401</v>
          </cell>
          <cell r="AB332">
            <v>-2636</v>
          </cell>
          <cell r="AC332">
            <v>-1197</v>
          </cell>
          <cell r="AD332">
            <v>-815</v>
          </cell>
          <cell r="AE332">
            <v>0</v>
          </cell>
          <cell r="AF332">
            <v>-646</v>
          </cell>
          <cell r="AG332">
            <v>-284</v>
          </cell>
          <cell r="AH332">
            <v>0</v>
          </cell>
          <cell r="AI332">
            <v>-772</v>
          </cell>
          <cell r="AJ332">
            <v>-585</v>
          </cell>
          <cell r="AK332">
            <v>0</v>
          </cell>
          <cell r="AL332">
            <v>0</v>
          </cell>
          <cell r="AM332">
            <v>0</v>
          </cell>
          <cell r="AN332">
            <v>0</v>
          </cell>
          <cell r="AO332">
            <v>-1</v>
          </cell>
          <cell r="AP332">
            <v>0</v>
          </cell>
          <cell r="AQ332">
            <v>-886.649</v>
          </cell>
          <cell r="AR332">
            <v>0</v>
          </cell>
          <cell r="AS332">
            <v>-2196</v>
          </cell>
          <cell r="AT332">
            <v>0</v>
          </cell>
          <cell r="AU332">
            <v>0</v>
          </cell>
          <cell r="AV332">
            <v>0</v>
          </cell>
          <cell r="AW332">
            <v>0</v>
          </cell>
          <cell r="AX332">
            <v>0</v>
          </cell>
          <cell r="AY332">
            <v>0</v>
          </cell>
          <cell r="AZ332">
            <v>0</v>
          </cell>
          <cell r="BA332">
            <v>0</v>
          </cell>
          <cell r="BC332">
            <v>0</v>
          </cell>
          <cell r="BD332">
            <v>0</v>
          </cell>
          <cell r="BE332">
            <v>0</v>
          </cell>
          <cell r="BF332">
            <v>0</v>
          </cell>
        </row>
        <row r="334">
          <cell r="A334" t="str">
            <v>פחת לשנת 2010</v>
          </cell>
          <cell r="C334">
            <v>-8818.6037432215198</v>
          </cell>
          <cell r="D334">
            <v>-1150</v>
          </cell>
          <cell r="E334">
            <v>-10898</v>
          </cell>
          <cell r="F334">
            <v>-836</v>
          </cell>
          <cell r="G334">
            <v>-2390</v>
          </cell>
          <cell r="H334">
            <v>-34359</v>
          </cell>
          <cell r="I334">
            <v>-6021.8920509539512</v>
          </cell>
          <cell r="J334">
            <v>-4368</v>
          </cell>
          <cell r="K334">
            <v>-4225</v>
          </cell>
          <cell r="L334">
            <v>-2132</v>
          </cell>
          <cell r="M334">
            <v>-5239</v>
          </cell>
          <cell r="N334">
            <v>-7531</v>
          </cell>
          <cell r="O334">
            <v>-1825</v>
          </cell>
          <cell r="P334">
            <v>-2061</v>
          </cell>
          <cell r="Q334">
            <v>-348</v>
          </cell>
          <cell r="R334">
            <v>-1146</v>
          </cell>
          <cell r="S334">
            <v>-1334</v>
          </cell>
          <cell r="T334">
            <v>-1182</v>
          </cell>
          <cell r="U334">
            <v>-1868</v>
          </cell>
          <cell r="V334">
            <v>-3134.9279999999999</v>
          </cell>
          <cell r="W334">
            <v>-2968</v>
          </cell>
          <cell r="X334">
            <v>-3195</v>
          </cell>
          <cell r="Y334">
            <v>-3061</v>
          </cell>
          <cell r="Z334">
            <v>-997.11099999999999</v>
          </cell>
          <cell r="AA334">
            <v>-4223</v>
          </cell>
          <cell r="AB334">
            <v>-1249</v>
          </cell>
          <cell r="AC334">
            <v>-3621</v>
          </cell>
          <cell r="AD334">
            <v>-1259</v>
          </cell>
          <cell r="AE334">
            <v>-9807</v>
          </cell>
          <cell r="AF334">
            <v>-1815</v>
          </cell>
          <cell r="AG334">
            <v>-1132</v>
          </cell>
          <cell r="AH334">
            <v>-1477</v>
          </cell>
          <cell r="AI334">
            <v>-1646</v>
          </cell>
          <cell r="AJ334">
            <v>-972</v>
          </cell>
          <cell r="AK334">
            <v>0</v>
          </cell>
          <cell r="AL334">
            <v>-7169</v>
          </cell>
          <cell r="AM334">
            <v>-3959</v>
          </cell>
          <cell r="AN334">
            <v>0</v>
          </cell>
          <cell r="AO334">
            <v>-1</v>
          </cell>
          <cell r="AP334">
            <v>-60</v>
          </cell>
          <cell r="AQ334">
            <v>-1364.2059999999999</v>
          </cell>
          <cell r="AR334">
            <v>-309</v>
          </cell>
          <cell r="AS334">
            <v>-5509</v>
          </cell>
          <cell r="AT334">
            <v>-842</v>
          </cell>
          <cell r="AU334">
            <v>-1594</v>
          </cell>
          <cell r="AV334">
            <v>-2604</v>
          </cell>
          <cell r="AW334">
            <v>-2742</v>
          </cell>
          <cell r="AX334">
            <v>0</v>
          </cell>
          <cell r="AY334">
            <v>-218</v>
          </cell>
          <cell r="AZ334">
            <v>-2631</v>
          </cell>
          <cell r="BA334">
            <v>-2047</v>
          </cell>
          <cell r="BB334">
            <v>-3695</v>
          </cell>
          <cell r="BC334">
            <v>-3231</v>
          </cell>
          <cell r="BD334">
            <v>0</v>
          </cell>
          <cell r="BE334">
            <v>0</v>
          </cell>
          <cell r="BF334">
            <v>0</v>
          </cell>
        </row>
        <row r="336">
          <cell r="A336" t="str">
            <v>פחת לשנת 2011</v>
          </cell>
          <cell r="C336">
            <v>-10636.231317255424</v>
          </cell>
          <cell r="D336">
            <v>-1167</v>
          </cell>
          <cell r="E336">
            <v>-5242</v>
          </cell>
          <cell r="F336">
            <v>-1</v>
          </cell>
          <cell r="G336">
            <v>-2421</v>
          </cell>
          <cell r="H336">
            <v>-34653</v>
          </cell>
          <cell r="I336">
            <v>-5334.8361040449472</v>
          </cell>
          <cell r="J336">
            <v>-4152</v>
          </cell>
          <cell r="K336">
            <v>-2281</v>
          </cell>
          <cell r="L336">
            <v>-2319</v>
          </cell>
          <cell r="M336">
            <v>-5239</v>
          </cell>
          <cell r="N336">
            <v>-8408</v>
          </cell>
          <cell r="O336">
            <v>-1946</v>
          </cell>
          <cell r="P336">
            <v>-5181</v>
          </cell>
          <cell r="Q336">
            <v>-455</v>
          </cell>
          <cell r="R336">
            <v>-1314.248</v>
          </cell>
          <cell r="S336">
            <v>-1223</v>
          </cell>
          <cell r="T336">
            <v>-1537</v>
          </cell>
          <cell r="U336">
            <v>-1903</v>
          </cell>
          <cell r="V336">
            <v>-3324</v>
          </cell>
          <cell r="W336">
            <v>-3257</v>
          </cell>
          <cell r="X336">
            <v>-3136</v>
          </cell>
          <cell r="Y336">
            <v>-3094</v>
          </cell>
          <cell r="Z336">
            <v>-1184.124</v>
          </cell>
          <cell r="AA336">
            <v>-4655</v>
          </cell>
          <cell r="AB336">
            <v>-1183</v>
          </cell>
          <cell r="AC336">
            <v>-3479</v>
          </cell>
          <cell r="AD336">
            <v>-1200</v>
          </cell>
          <cell r="AE336">
            <v>-10791</v>
          </cell>
          <cell r="AF336">
            <v>-2419</v>
          </cell>
          <cell r="AG336">
            <v>-1033</v>
          </cell>
          <cell r="AH336">
            <v>-1776</v>
          </cell>
          <cell r="AI336">
            <v>-1888</v>
          </cell>
          <cell r="AJ336">
            <v>-1</v>
          </cell>
          <cell r="AK336">
            <v>0</v>
          </cell>
          <cell r="AL336">
            <v>-7349</v>
          </cell>
          <cell r="AM336">
            <v>-3194</v>
          </cell>
          <cell r="AN336">
            <v>-3323</v>
          </cell>
          <cell r="AO336">
            <v>-1</v>
          </cell>
          <cell r="AP336">
            <v>-71</v>
          </cell>
          <cell r="AQ336">
            <v>-846</v>
          </cell>
          <cell r="AR336">
            <v>-478</v>
          </cell>
          <cell r="AS336">
            <v>-9662</v>
          </cell>
          <cell r="AT336">
            <v>-1430</v>
          </cell>
          <cell r="AU336">
            <v>-1560</v>
          </cell>
          <cell r="AV336">
            <v>-5249</v>
          </cell>
          <cell r="AW336">
            <v>-2575</v>
          </cell>
          <cell r="AX336">
            <v>0</v>
          </cell>
          <cell r="AY336">
            <v>-436</v>
          </cell>
          <cell r="AZ336">
            <v>-3166</v>
          </cell>
          <cell r="BA336">
            <v>-2735</v>
          </cell>
          <cell r="BB336">
            <v>-3584</v>
          </cell>
          <cell r="BC336">
            <v>-3258</v>
          </cell>
          <cell r="BD336">
            <v>-2885</v>
          </cell>
          <cell r="BE336">
            <v>0</v>
          </cell>
          <cell r="BF336">
            <v>0</v>
          </cell>
        </row>
        <row r="338">
          <cell r="A338" t="str">
            <v>פחת ביוב 2012</v>
          </cell>
          <cell r="C338">
            <v>-4663</v>
          </cell>
          <cell r="D338">
            <v>-1186</v>
          </cell>
          <cell r="E338">
            <v>-5728</v>
          </cell>
          <cell r="F338">
            <v>-796</v>
          </cell>
          <cell r="G338">
            <v>-2392</v>
          </cell>
          <cell r="H338">
            <v>-31695</v>
          </cell>
          <cell r="I338">
            <v>-7663</v>
          </cell>
          <cell r="J338">
            <v>-4432</v>
          </cell>
          <cell r="K338">
            <v>-2044</v>
          </cell>
          <cell r="L338">
            <v>-1461</v>
          </cell>
          <cell r="M338">
            <v>-4506</v>
          </cell>
          <cell r="N338">
            <v>-8239</v>
          </cell>
          <cell r="O338">
            <v>-2181</v>
          </cell>
          <cell r="P338">
            <v>-5181</v>
          </cell>
          <cell r="Q338">
            <v>-427</v>
          </cell>
          <cell r="R338">
            <v>0</v>
          </cell>
          <cell r="S338">
            <v>-1298</v>
          </cell>
          <cell r="T338">
            <v>-1931</v>
          </cell>
          <cell r="U338">
            <v>-1943</v>
          </cell>
          <cell r="V338">
            <v>-3623</v>
          </cell>
          <cell r="W338">
            <v>-357</v>
          </cell>
          <cell r="X338">
            <v>-3203</v>
          </cell>
          <cell r="Y338">
            <v>-3171</v>
          </cell>
          <cell r="Z338">
            <v>-1169</v>
          </cell>
          <cell r="AA338">
            <v>-4069</v>
          </cell>
          <cell r="AB338">
            <v>-840</v>
          </cell>
          <cell r="AC338">
            <v>-3615</v>
          </cell>
          <cell r="AD338">
            <v>-1407</v>
          </cell>
          <cell r="AE338">
            <v>-10454</v>
          </cell>
          <cell r="AF338">
            <v>-2191</v>
          </cell>
          <cell r="AG338">
            <v>-1035</v>
          </cell>
          <cell r="AH338">
            <v>-1772</v>
          </cell>
          <cell r="AI338">
            <v>-1468</v>
          </cell>
          <cell r="AJ338">
            <v>-759</v>
          </cell>
          <cell r="AK338">
            <v>0</v>
          </cell>
          <cell r="AL338">
            <v>-7511</v>
          </cell>
          <cell r="AM338">
            <v>-3143</v>
          </cell>
          <cell r="AN338">
            <v>-3666</v>
          </cell>
          <cell r="AO338">
            <v>-610</v>
          </cell>
          <cell r="AP338">
            <v>-105</v>
          </cell>
          <cell r="AQ338">
            <v>-105</v>
          </cell>
          <cell r="AR338">
            <v>-325</v>
          </cell>
          <cell r="AS338">
            <v>-4801</v>
          </cell>
          <cell r="AT338">
            <v>-1458</v>
          </cell>
          <cell r="AU338">
            <v>-1594</v>
          </cell>
          <cell r="AV338">
            <v>-5288</v>
          </cell>
          <cell r="AW338">
            <v>-2239</v>
          </cell>
          <cell r="AX338">
            <v>-1280</v>
          </cell>
          <cell r="AY338">
            <v>-419</v>
          </cell>
          <cell r="AZ338">
            <v>-3088</v>
          </cell>
          <cell r="BA338">
            <v>-2589</v>
          </cell>
          <cell r="BB338">
            <v>-3841</v>
          </cell>
          <cell r="BC338">
            <v>-3291</v>
          </cell>
          <cell r="BD338">
            <v>-3194</v>
          </cell>
          <cell r="BE338">
            <v>0</v>
          </cell>
          <cell r="BF338">
            <v>0</v>
          </cell>
        </row>
        <row r="340">
          <cell r="A340" t="str">
            <v>פחת ביוב 2013</v>
          </cell>
          <cell r="C340">
            <v>-5046</v>
          </cell>
          <cell r="D340">
            <v>-1107</v>
          </cell>
          <cell r="E340">
            <v>-6027</v>
          </cell>
          <cell r="F340">
            <v>-747</v>
          </cell>
          <cell r="G340">
            <v>-2411</v>
          </cell>
          <cell r="H340">
            <v>-31933</v>
          </cell>
          <cell r="I340">
            <v>-7940</v>
          </cell>
          <cell r="J340">
            <v>-4593</v>
          </cell>
          <cell r="K340">
            <v>-3937</v>
          </cell>
          <cell r="L340">
            <v>-3008</v>
          </cell>
          <cell r="M340">
            <v>-4475</v>
          </cell>
          <cell r="N340">
            <v>-8547</v>
          </cell>
          <cell r="O340">
            <v>-2571</v>
          </cell>
          <cell r="P340">
            <v>-7797</v>
          </cell>
          <cell r="Q340">
            <v>-572</v>
          </cell>
          <cell r="R340">
            <v>-2405.413</v>
          </cell>
          <cell r="S340">
            <v>-1186</v>
          </cell>
          <cell r="T340">
            <v>-1766</v>
          </cell>
          <cell r="U340">
            <v>-2063</v>
          </cell>
          <cell r="V340">
            <v>-3778</v>
          </cell>
          <cell r="W340">
            <v>-4707.357</v>
          </cell>
          <cell r="X340">
            <v>-3195</v>
          </cell>
          <cell r="Z340">
            <v>-1221</v>
          </cell>
          <cell r="AA340">
            <v>-4040</v>
          </cell>
          <cell r="AB340">
            <v>-1874</v>
          </cell>
          <cell r="AC340">
            <v>-3154</v>
          </cell>
          <cell r="AD340">
            <v>-1477</v>
          </cell>
          <cell r="AE340">
            <v>-10441</v>
          </cell>
          <cell r="AF340">
            <v>-2248</v>
          </cell>
          <cell r="AG340">
            <v>-1035</v>
          </cell>
          <cell r="AH340">
            <v>-1772</v>
          </cell>
          <cell r="AI340">
            <v>-1603</v>
          </cell>
          <cell r="AJ340">
            <v>-1145</v>
          </cell>
          <cell r="AK340">
            <v>-649</v>
          </cell>
          <cell r="AL340">
            <v>-7932</v>
          </cell>
          <cell r="AM340">
            <v>-3038</v>
          </cell>
          <cell r="AN340">
            <v>-3666</v>
          </cell>
          <cell r="AO340">
            <v>-1221</v>
          </cell>
          <cell r="AP340">
            <v>-264</v>
          </cell>
          <cell r="AQ340">
            <v>-264</v>
          </cell>
          <cell r="AR340">
            <v>-441</v>
          </cell>
          <cell r="AS340">
            <v>-4481</v>
          </cell>
          <cell r="AT340">
            <v>-1438.7329999999999</v>
          </cell>
          <cell r="AU340">
            <v>-2070</v>
          </cell>
          <cell r="AV340">
            <v>-4528</v>
          </cell>
          <cell r="AW340">
            <v>-2285</v>
          </cell>
          <cell r="AX340">
            <v>-1192.8009999999999</v>
          </cell>
          <cell r="AY340">
            <v>-374</v>
          </cell>
          <cell r="AZ340">
            <v>-2564</v>
          </cell>
          <cell r="BA340">
            <v>-2237</v>
          </cell>
          <cell r="BB340">
            <v>-3922</v>
          </cell>
          <cell r="BC340">
            <v>-3330</v>
          </cell>
          <cell r="BD340">
            <v>-3194</v>
          </cell>
          <cell r="BE340">
            <v>-537</v>
          </cell>
          <cell r="BF340">
            <v>0</v>
          </cell>
        </row>
        <row r="342">
          <cell r="A342" t="str">
            <v>פחת ביוב 2014</v>
          </cell>
          <cell r="C342">
            <v>-5526</v>
          </cell>
          <cell r="D342">
            <v>-1945</v>
          </cell>
          <cell r="E342">
            <v>-6348</v>
          </cell>
          <cell r="F342">
            <v>-766</v>
          </cell>
          <cell r="G342">
            <v>-2210</v>
          </cell>
          <cell r="H342">
            <v>-33360</v>
          </cell>
          <cell r="I342">
            <v>-7988</v>
          </cell>
          <cell r="J342">
            <v>-4893</v>
          </cell>
          <cell r="K342">
            <v>-3968</v>
          </cell>
          <cell r="L342">
            <v>-3070</v>
          </cell>
          <cell r="M342">
            <v>-5291</v>
          </cell>
          <cell r="N342">
            <v>-9394</v>
          </cell>
          <cell r="O342">
            <v>-2672</v>
          </cell>
          <cell r="P342">
            <v>-6876</v>
          </cell>
          <cell r="Q342">
            <v>-698</v>
          </cell>
          <cell r="R342">
            <v>-2269</v>
          </cell>
          <cell r="S342">
            <v>-1370</v>
          </cell>
          <cell r="T342">
            <v>-1963</v>
          </cell>
          <cell r="U342">
            <v>-2062</v>
          </cell>
          <cell r="V342">
            <v>-3970</v>
          </cell>
          <cell r="W342">
            <v>-5437</v>
          </cell>
          <cell r="X342">
            <v>-3385</v>
          </cell>
          <cell r="Y342">
            <v>-2786</v>
          </cell>
          <cell r="Z342">
            <v>-1609</v>
          </cell>
          <cell r="AA342">
            <v>-3856</v>
          </cell>
          <cell r="AB342">
            <v>-2052</v>
          </cell>
          <cell r="AC342">
            <v>-3690</v>
          </cell>
          <cell r="AD342">
            <v>-1710</v>
          </cell>
          <cell r="AE342">
            <v>-8296</v>
          </cell>
          <cell r="AF342">
            <v>-2213</v>
          </cell>
          <cell r="AG342">
            <v>-1247</v>
          </cell>
          <cell r="AH342">
            <v>-1762</v>
          </cell>
          <cell r="AI342">
            <v>-1608</v>
          </cell>
          <cell r="AJ342">
            <v>-1349</v>
          </cell>
          <cell r="AK342">
            <v>-627.43399999999997</v>
          </cell>
          <cell r="AL342">
            <v>8823</v>
          </cell>
          <cell r="AM342">
            <v>-3104</v>
          </cell>
          <cell r="AN342">
            <v>-3670</v>
          </cell>
          <cell r="AO342">
            <v>-1321</v>
          </cell>
          <cell r="AP342">
            <v>-457</v>
          </cell>
          <cell r="AQ342">
            <v>-457</v>
          </cell>
          <cell r="AR342">
            <v>-498</v>
          </cell>
          <cell r="AS342">
            <v>-8111</v>
          </cell>
          <cell r="AT342">
            <v>-1432</v>
          </cell>
          <cell r="AU342">
            <v>-2168</v>
          </cell>
          <cell r="AV342">
            <v>-4674</v>
          </cell>
          <cell r="AW342">
            <v>-1495</v>
          </cell>
          <cell r="AX342">
            <v>-1434</v>
          </cell>
          <cell r="AY342">
            <v>-407</v>
          </cell>
          <cell r="AZ342">
            <v>-2419</v>
          </cell>
          <cell r="BA342">
            <v>-2322</v>
          </cell>
          <cell r="BB342">
            <v>-3922</v>
          </cell>
          <cell r="BC342">
            <v>-3670</v>
          </cell>
          <cell r="BD342">
            <v>-3440</v>
          </cell>
          <cell r="BE342">
            <v>-413</v>
          </cell>
          <cell r="BF342">
            <v>0</v>
          </cell>
        </row>
        <row r="344">
          <cell r="A344" t="str">
            <v>היטלי פיתוח נטו ( בניכוי פחת נצבר)</v>
          </cell>
          <cell r="C344">
            <v>-113497.448</v>
          </cell>
          <cell r="D344">
            <v>-4390.9920000000002</v>
          </cell>
          <cell r="E344">
            <v>-29690.992000000006</v>
          </cell>
          <cell r="F344">
            <v>-1824.44</v>
          </cell>
          <cell r="G344">
            <v>0</v>
          </cell>
          <cell r="H344">
            <v>-120032.06935999999</v>
          </cell>
          <cell r="I344">
            <v>-79295.888000000006</v>
          </cell>
          <cell r="J344">
            <v>-8495.0080000000016</v>
          </cell>
          <cell r="K344">
            <v>-14612.912</v>
          </cell>
          <cell r="L344">
            <v>-24427.887999999999</v>
          </cell>
          <cell r="M344">
            <v>-86932.815999999992</v>
          </cell>
          <cell r="N344">
            <v>-36616</v>
          </cell>
          <cell r="O344">
            <v>-53888.976000000002</v>
          </cell>
          <cell r="P344">
            <v>-3319.7920000000004</v>
          </cell>
          <cell r="Q344">
            <v>-14728.144000000002</v>
          </cell>
          <cell r="R344">
            <v>-16564.800000000003</v>
          </cell>
          <cell r="S344">
            <v>-20070.64</v>
          </cell>
          <cell r="T344">
            <v>-18226.688000000002</v>
          </cell>
          <cell r="U344">
            <v>-27375.696</v>
          </cell>
          <cell r="V344">
            <v>-18304.240000000002</v>
          </cell>
          <cell r="W344">
            <v>-8525.8559999999998</v>
          </cell>
          <cell r="X344">
            <v>0</v>
          </cell>
          <cell r="Y344">
            <v>-2304.5279999999998</v>
          </cell>
          <cell r="Z344">
            <v>-16942.936720000002</v>
          </cell>
          <cell r="AA344">
            <v>-43179.296000000002</v>
          </cell>
          <cell r="AB344">
            <v>-14690.512000000002</v>
          </cell>
          <cell r="AC344">
            <v>-42851.055999999997</v>
          </cell>
          <cell r="AD344">
            <v>-45704.928</v>
          </cell>
          <cell r="AE344">
            <v>-85197.200000000012</v>
          </cell>
          <cell r="AF344">
            <v>-8945.5360000000001</v>
          </cell>
          <cell r="AG344">
            <v>0</v>
          </cell>
          <cell r="AH344">
            <v>0</v>
          </cell>
          <cell r="AI344">
            <v>-2172</v>
          </cell>
          <cell r="AJ344">
            <v>-4635.2479999999996</v>
          </cell>
          <cell r="AK344">
            <v>-1392.1280000000002</v>
          </cell>
          <cell r="AL344">
            <v>-160476.52799999999</v>
          </cell>
          <cell r="AM344">
            <v>-18672.864000000001</v>
          </cell>
          <cell r="AN344">
            <v>0</v>
          </cell>
          <cell r="AO344">
            <v>-20067.184000000001</v>
          </cell>
          <cell r="AP344">
            <v>-22652.832000000002</v>
          </cell>
          <cell r="AQ344">
            <v>-17024.704000000002</v>
          </cell>
          <cell r="AR344">
            <v>-8216.2720000000008</v>
          </cell>
          <cell r="AS344">
            <v>-27815.408000000003</v>
          </cell>
          <cell r="AT344">
            <v>-28514.671999999999</v>
          </cell>
          <cell r="AU344">
            <v>-28792.896000000001</v>
          </cell>
          <cell r="AV344">
            <v>0</v>
          </cell>
          <cell r="AW344">
            <v>-6396.72</v>
          </cell>
          <cell r="AX344">
            <v>-2866.16</v>
          </cell>
          <cell r="AY344">
            <v>-608.96</v>
          </cell>
          <cell r="AZ344">
            <v>-5574.6080000000002</v>
          </cell>
          <cell r="BA344">
            <v>-3295.3440000000001</v>
          </cell>
          <cell r="BB344">
            <v>-6091.4560000000001</v>
          </cell>
          <cell r="BC344">
            <v>-12764.480000000003</v>
          </cell>
          <cell r="BD344">
            <v>-31059.808000000001</v>
          </cell>
          <cell r="BE344">
            <v>-7654.1280000000006</v>
          </cell>
          <cell r="BF344">
            <v>0</v>
          </cell>
        </row>
        <row r="346">
          <cell r="A346" t="str">
            <v>סה"כ ערך כינון מופחת  ביוב</v>
          </cell>
          <cell r="C346">
            <v>77111.69956325111</v>
          </cell>
          <cell r="D346">
            <v>58113.075000000012</v>
          </cell>
          <cell r="E346">
            <v>163801.851</v>
          </cell>
          <cell r="F346">
            <v>29905.808999999997</v>
          </cell>
          <cell r="G346">
            <v>74199.259999999995</v>
          </cell>
          <cell r="H346">
            <v>249619.69163999995</v>
          </cell>
          <cell r="I346">
            <v>196315.61377383446</v>
          </cell>
          <cell r="J346">
            <v>79708.498999999996</v>
          </cell>
          <cell r="K346">
            <v>49734.202000000005</v>
          </cell>
          <cell r="L346">
            <v>61235.853999999999</v>
          </cell>
          <cell r="M346">
            <v>11089.184000000008</v>
          </cell>
          <cell r="N346">
            <v>151167.55600000001</v>
          </cell>
          <cell r="O346">
            <v>68355.392000000022</v>
          </cell>
          <cell r="P346">
            <v>137256.18900000001</v>
          </cell>
          <cell r="Q346">
            <v>10214.619999999997</v>
          </cell>
          <cell r="R346">
            <v>37973.464999999997</v>
          </cell>
          <cell r="S346">
            <v>49097.748999999996</v>
          </cell>
          <cell r="T346">
            <v>37026.624999999993</v>
          </cell>
          <cell r="U346">
            <v>20791.842000000001</v>
          </cell>
          <cell r="V346">
            <v>90567.293999999994</v>
          </cell>
          <cell r="W346">
            <v>184173.834</v>
          </cell>
          <cell r="X346">
            <v>81060.055999999997</v>
          </cell>
          <cell r="Y346">
            <v>63300.276000000005</v>
          </cell>
          <cell r="Z346">
            <v>50556.418279999991</v>
          </cell>
          <cell r="AA346">
            <v>2925.2630000000063</v>
          </cell>
          <cell r="AB346">
            <v>17694.612999999998</v>
          </cell>
          <cell r="AC346">
            <v>47208.239000000001</v>
          </cell>
          <cell r="AD346">
            <v>-399.94700000000012</v>
          </cell>
          <cell r="AE346">
            <v>136421.62899999999</v>
          </cell>
          <cell r="AF346">
            <v>36729.203000000001</v>
          </cell>
          <cell r="AG346">
            <v>25434.713</v>
          </cell>
          <cell r="AH346">
            <v>41278.207999999999</v>
          </cell>
          <cell r="AI346">
            <v>37636.536999999997</v>
          </cell>
          <cell r="AJ346">
            <v>31073.220999999998</v>
          </cell>
          <cell r="AK346">
            <v>15247.645999999999</v>
          </cell>
          <cell r="AL346">
            <v>240199.0194572506</v>
          </cell>
          <cell r="AM346">
            <v>47588.934999999998</v>
          </cell>
          <cell r="AN346">
            <v>111409.398</v>
          </cell>
          <cell r="AO346">
            <v>14011.273000000001</v>
          </cell>
          <cell r="AP346">
            <v>3366.6432687193701</v>
          </cell>
          <cell r="AQ346">
            <v>17566.476379816875</v>
          </cell>
          <cell r="AR346">
            <v>26808.673999999995</v>
          </cell>
          <cell r="AS346">
            <v>152110.38099999999</v>
          </cell>
          <cell r="AT346">
            <v>4280.7479999999996</v>
          </cell>
          <cell r="AU346">
            <v>32347.004999999997</v>
          </cell>
          <cell r="AV346">
            <v>85892.463000000003</v>
          </cell>
          <cell r="AW346">
            <v>24242.497000000003</v>
          </cell>
          <cell r="AX346">
            <v>75764.657999999996</v>
          </cell>
          <cell r="AY346">
            <v>22364.420999999998</v>
          </cell>
          <cell r="AZ346">
            <v>45742.451000000001</v>
          </cell>
          <cell r="BA346">
            <v>41878.135000000002</v>
          </cell>
          <cell r="BB346">
            <v>91287.66399999999</v>
          </cell>
          <cell r="BC346">
            <v>109823.46299999996</v>
          </cell>
          <cell r="BD346">
            <v>36095.179999999993</v>
          </cell>
          <cell r="BE346">
            <v>3256.2119999999995</v>
          </cell>
          <cell r="BF346">
            <v>84098.937000000005</v>
          </cell>
          <cell r="BH346">
            <v>3693760.0143628726</v>
          </cell>
          <cell r="BK346">
            <v>3693760.0143628726</v>
          </cell>
        </row>
        <row r="348">
          <cell r="A348" t="str">
            <v>עלות תפעול מים</v>
          </cell>
          <cell r="C348">
            <v>1.0599645289595714</v>
          </cell>
          <cell r="D348">
            <v>1.330118857156305</v>
          </cell>
          <cell r="E348">
            <v>0.88586124711180847</v>
          </cell>
          <cell r="F348">
            <v>1.5515981965433985</v>
          </cell>
          <cell r="G348">
            <v>0.93381987579432568</v>
          </cell>
          <cell r="H348">
            <v>0.94590970019030451</v>
          </cell>
          <cell r="I348">
            <v>1.073508339371757</v>
          </cell>
          <cell r="J348">
            <v>1.0016966418130966</v>
          </cell>
          <cell r="K348">
            <v>0.99160905777436015</v>
          </cell>
          <cell r="L348">
            <v>1.645800008415393</v>
          </cell>
          <cell r="M348">
            <v>0.9052879704059178</v>
          </cell>
          <cell r="N348">
            <v>0.96943319200816702</v>
          </cell>
          <cell r="O348">
            <v>0.89631346116904065</v>
          </cell>
          <cell r="P348">
            <v>1.453721105886252</v>
          </cell>
          <cell r="Q348">
            <v>0.82480206766452491</v>
          </cell>
          <cell r="R348">
            <v>0.9008928228624743</v>
          </cell>
          <cell r="S348">
            <v>0.76834613347493419</v>
          </cell>
          <cell r="T348">
            <v>1.054765809031835</v>
          </cell>
          <cell r="U348">
            <v>0.90876892859805802</v>
          </cell>
          <cell r="V348">
            <v>1.1630786100017565</v>
          </cell>
          <cell r="W348">
            <v>0.9666132921646271</v>
          </cell>
          <cell r="X348">
            <v>0.88074442563933353</v>
          </cell>
          <cell r="Y348">
            <v>1.1660460394378007</v>
          </cell>
          <cell r="Z348">
            <v>1.0407067699310464</v>
          </cell>
          <cell r="AA348">
            <v>1.1079675031812262</v>
          </cell>
          <cell r="AB348">
            <v>1.3379945689184576</v>
          </cell>
          <cell r="AC348">
            <v>0.87852312869056759</v>
          </cell>
          <cell r="AD348">
            <v>1.1098559302451818</v>
          </cell>
          <cell r="AE348">
            <v>1.4362098225419093</v>
          </cell>
          <cell r="AF348">
            <v>0.93125504720508756</v>
          </cell>
          <cell r="AG348">
            <v>1.0353598363197667</v>
          </cell>
          <cell r="AH348">
            <v>0.80369578361165994</v>
          </cell>
          <cell r="AI348">
            <v>0.88112502385648428</v>
          </cell>
          <cell r="AJ348">
            <v>0.83373804753038339</v>
          </cell>
          <cell r="AK348">
            <v>0.83825601156356488</v>
          </cell>
          <cell r="AL348">
            <v>0.8587747362531909</v>
          </cell>
          <cell r="AM348">
            <v>1.0531920388738834</v>
          </cell>
          <cell r="AN348">
            <v>0.77330650261648681</v>
          </cell>
          <cell r="AO348">
            <v>0.93200707066839195</v>
          </cell>
          <cell r="AP348">
            <v>1.0017128725744129</v>
          </cell>
          <cell r="AQ348">
            <v>0.89282779275128366</v>
          </cell>
          <cell r="AR348">
            <v>0.94153581008553111</v>
          </cell>
          <cell r="AS348">
            <v>1.2450161296381317</v>
          </cell>
          <cell r="AT348">
            <v>0.82347423423302724</v>
          </cell>
          <cell r="AU348">
            <v>1.0495318002796146</v>
          </cell>
          <cell r="AV348">
            <v>0.77568952642354505</v>
          </cell>
          <cell r="AW348">
            <v>1.115378997606326</v>
          </cell>
          <cell r="AX348">
            <v>0.76500896588810774</v>
          </cell>
          <cell r="AY348">
            <v>0.76450926487004578</v>
          </cell>
          <cell r="AZ348">
            <v>1.107402974154837</v>
          </cell>
          <cell r="BA348">
            <v>0.95728005408750538</v>
          </cell>
          <cell r="BB348">
            <v>1.1212088104438178</v>
          </cell>
          <cell r="BC348">
            <v>1.0496469614103145</v>
          </cell>
          <cell r="BD348">
            <v>1.0936690834065759</v>
          </cell>
          <cell r="BE348">
            <v>0.99216131842805166</v>
          </cell>
          <cell r="BF348">
            <v>0.70786685734967758</v>
          </cell>
        </row>
        <row r="350">
          <cell r="A350" t="str">
            <v>עלות תפעול ביוב</v>
          </cell>
          <cell r="C350">
            <v>0.59924917425452084</v>
          </cell>
          <cell r="D350">
            <v>0.98377793465762098</v>
          </cell>
          <cell r="E350">
            <v>0.79655359131083847</v>
          </cell>
          <cell r="F350">
            <v>1.5198454602089995</v>
          </cell>
          <cell r="G350">
            <v>0.71065058979860385</v>
          </cell>
          <cell r="H350">
            <v>0.57443116341143274</v>
          </cell>
          <cell r="I350">
            <v>0.75629116714677125</v>
          </cell>
          <cell r="J350">
            <v>1.121759663761398</v>
          </cell>
          <cell r="K350">
            <v>0.77678514935991749</v>
          </cell>
          <cell r="L350">
            <v>1.2151676309412875</v>
          </cell>
          <cell r="M350">
            <v>0.82326932037838507</v>
          </cell>
          <cell r="N350">
            <v>0.80500344770714705</v>
          </cell>
          <cell r="O350">
            <v>0.63629551956072927</v>
          </cell>
          <cell r="P350">
            <v>1.1907668688682689</v>
          </cell>
          <cell r="Q350">
            <v>0.49832363790927248</v>
          </cell>
          <cell r="R350">
            <v>0.8053884593870696</v>
          </cell>
          <cell r="S350">
            <v>0.96884503144792866</v>
          </cell>
          <cell r="T350">
            <v>0.69197614671419938</v>
          </cell>
          <cell r="U350">
            <v>0.63963908900003918</v>
          </cell>
          <cell r="V350">
            <v>1.1105908483010705</v>
          </cell>
          <cell r="W350">
            <v>0.93488843437600411</v>
          </cell>
          <cell r="X350">
            <v>0.61366454878999044</v>
          </cell>
          <cell r="Y350">
            <v>1.3814557564462941</v>
          </cell>
          <cell r="Z350">
            <v>0.90507165035458004</v>
          </cell>
          <cell r="AA350">
            <v>0.86772677908660167</v>
          </cell>
          <cell r="AB350">
            <v>1.1761332521184225</v>
          </cell>
          <cell r="AC350">
            <v>0.73106407072747426</v>
          </cell>
          <cell r="AD350">
            <v>0.79664135113665235</v>
          </cell>
          <cell r="AE350">
            <v>0.89994072834812899</v>
          </cell>
          <cell r="AF350">
            <v>0.87972835866305876</v>
          </cell>
          <cell r="AG350">
            <v>0.77423277326456619</v>
          </cell>
          <cell r="AH350">
            <v>0.58826080982955398</v>
          </cell>
          <cell r="AI350">
            <v>0.79089759388222547</v>
          </cell>
          <cell r="AJ350">
            <v>1.0017596576967733</v>
          </cell>
          <cell r="AK350">
            <v>0.7060736860260769</v>
          </cell>
          <cell r="AL350">
            <v>0.64044081050171664</v>
          </cell>
          <cell r="AM350">
            <v>0.83838078006805739</v>
          </cell>
          <cell r="AN350">
            <v>1.3035234816789827</v>
          </cell>
          <cell r="AO350">
            <v>0.62046645885353491</v>
          </cell>
          <cell r="AP350">
            <v>0.6405767429251672</v>
          </cell>
          <cell r="AQ350">
            <v>0.65370374741919868</v>
          </cell>
          <cell r="AR350">
            <v>0.58317282363599932</v>
          </cell>
          <cell r="AS350">
            <v>1.1168226847542924</v>
          </cell>
          <cell r="AT350">
            <v>0.63354448586275891</v>
          </cell>
          <cell r="AU350">
            <v>0.84547566858298584</v>
          </cell>
          <cell r="AV350">
            <v>0.61562407956966947</v>
          </cell>
          <cell r="AW350">
            <v>1.0522594563140735</v>
          </cell>
          <cell r="AX350">
            <v>0.8829557010830682</v>
          </cell>
          <cell r="AY350">
            <v>0.74492815604484586</v>
          </cell>
          <cell r="AZ350">
            <v>1.0259100923512421</v>
          </cell>
          <cell r="BA350">
            <v>0.87053323660314075</v>
          </cell>
          <cell r="BB350">
            <v>0.82726747011191548</v>
          </cell>
          <cell r="BC350">
            <v>0.78032709020306124</v>
          </cell>
          <cell r="BD350">
            <v>0.84169002135526161</v>
          </cell>
          <cell r="BE350">
            <v>0.75379846030758524</v>
          </cell>
          <cell r="BF350">
            <v>0.58685189121923742</v>
          </cell>
        </row>
        <row r="352">
          <cell r="L352">
            <v>1.9845460208999452E-2</v>
          </cell>
        </row>
        <row r="354">
          <cell r="A354" t="str">
            <v>כמות מים 2014</v>
          </cell>
          <cell r="C354">
            <v>19665.205999999998</v>
          </cell>
          <cell r="D354">
            <v>4206.8999999999996</v>
          </cell>
          <cell r="E354">
            <v>16724.746999999999</v>
          </cell>
          <cell r="F354">
            <v>2004.4870000000001</v>
          </cell>
          <cell r="G354">
            <v>6495.7709999999997</v>
          </cell>
          <cell r="H354">
            <v>54306.558000000005</v>
          </cell>
          <cell r="I354">
            <v>19849.735000000001</v>
          </cell>
          <cell r="J354">
            <v>11081.690999999999</v>
          </cell>
          <cell r="K354">
            <v>9928.9809999999998</v>
          </cell>
          <cell r="L354">
            <v>4715.7889999999998</v>
          </cell>
          <cell r="M354">
            <v>17049.447</v>
          </cell>
          <cell r="N354">
            <v>20929.161</v>
          </cell>
          <cell r="O354">
            <v>18659.955999999998</v>
          </cell>
          <cell r="P354">
            <v>8573.5360000000001</v>
          </cell>
          <cell r="Q354">
            <v>10780.42</v>
          </cell>
          <cell r="R354">
            <v>5681.5389999999998</v>
          </cell>
          <cell r="S354">
            <v>5391.3759999999993</v>
          </cell>
          <cell r="T354">
            <v>8741.3060000000005</v>
          </cell>
          <cell r="U354">
            <v>7271.4120000000003</v>
          </cell>
          <cell r="V354">
            <v>4334.6769999999997</v>
          </cell>
          <cell r="W354">
            <v>9228.0609999999997</v>
          </cell>
          <cell r="X354">
            <v>9340.4369999999999</v>
          </cell>
          <cell r="Y354">
            <v>3201.0769999999998</v>
          </cell>
          <cell r="Z354">
            <v>3917.029</v>
          </cell>
          <cell r="AA354">
            <v>6640.0940000000001</v>
          </cell>
          <cell r="AB354">
            <v>6789.9260000000004</v>
          </cell>
          <cell r="AC354">
            <v>10469.824999999999</v>
          </cell>
          <cell r="AD354">
            <v>4708.6639999999998</v>
          </cell>
          <cell r="AE354">
            <v>24047.748</v>
          </cell>
          <cell r="AF354">
            <v>5412.576</v>
          </cell>
          <cell r="AG354">
            <v>3747.5639999999999</v>
          </cell>
          <cell r="AH354">
            <v>3174.326</v>
          </cell>
          <cell r="AI354">
            <v>3853.471</v>
          </cell>
          <cell r="AJ354">
            <v>3276.6880000000001</v>
          </cell>
          <cell r="AK354">
            <v>2922.759</v>
          </cell>
          <cell r="AL354">
            <v>46124.361000000004</v>
          </cell>
          <cell r="AM354">
            <v>5738.3119999999999</v>
          </cell>
          <cell r="AN354">
            <v>6044.5029999999997</v>
          </cell>
          <cell r="AO354">
            <v>12026.431</v>
          </cell>
          <cell r="AP354">
            <v>3748.2510000000002</v>
          </cell>
          <cell r="AQ354">
            <v>9026.4089999999997</v>
          </cell>
          <cell r="AR354">
            <v>5354.7740000000003</v>
          </cell>
          <cell r="AS354">
            <v>10326.152000000002</v>
          </cell>
          <cell r="AT354">
            <v>5761.5990000000002</v>
          </cell>
          <cell r="AU354">
            <v>4710.6399999999994</v>
          </cell>
          <cell r="AV354">
            <v>14360.366</v>
          </cell>
          <cell r="AW354">
            <v>3423.1089999999999</v>
          </cell>
          <cell r="AX354">
            <v>4786.3330000000005</v>
          </cell>
          <cell r="AY354">
            <v>2910.1680000000001</v>
          </cell>
          <cell r="AZ354">
            <v>3576.049</v>
          </cell>
          <cell r="BA354">
            <v>6640.4369999999999</v>
          </cell>
          <cell r="BB354">
            <v>5711.9690000000001</v>
          </cell>
          <cell r="BC354">
            <v>7207.7849999999999</v>
          </cell>
          <cell r="BD354">
            <v>975.60500000000002</v>
          </cell>
          <cell r="BE354">
            <v>1173.269</v>
          </cell>
          <cell r="BF354">
            <v>11885.953</v>
          </cell>
          <cell r="BG354">
            <v>516749.46199999977</v>
          </cell>
        </row>
        <row r="355">
          <cell r="BG355" t="e">
            <v>#DIV/0!</v>
          </cell>
        </row>
        <row r="356">
          <cell r="A356" t="str">
            <v>גינון ציבורי</v>
          </cell>
          <cell r="C356">
            <v>827.69</v>
          </cell>
          <cell r="D356">
            <v>210.36</v>
          </cell>
          <cell r="E356">
            <v>1086.79</v>
          </cell>
          <cell r="F356">
            <v>216.309</v>
          </cell>
          <cell r="G356">
            <v>662.77300000000002</v>
          </cell>
          <cell r="H356">
            <v>1586.2819999999999</v>
          </cell>
          <cell r="I356">
            <v>1376.9939999999999</v>
          </cell>
          <cell r="J356">
            <v>1297.3019999999999</v>
          </cell>
          <cell r="K356">
            <v>305.81700000000001</v>
          </cell>
          <cell r="L356">
            <v>176.43600000000001</v>
          </cell>
          <cell r="M356">
            <v>1044.114</v>
          </cell>
          <cell r="N356">
            <v>1474.9649999999999</v>
          </cell>
          <cell r="O356">
            <v>968.44299999999998</v>
          </cell>
          <cell r="P356">
            <v>198.07499999999999</v>
          </cell>
          <cell r="Q356">
            <v>92.564999999999998</v>
          </cell>
          <cell r="R356">
            <v>398.815</v>
          </cell>
          <cell r="S356">
            <v>204.05699999999999</v>
          </cell>
          <cell r="T356">
            <v>416.93</v>
          </cell>
          <cell r="U356">
            <v>361.63200000000001</v>
          </cell>
          <cell r="V356">
            <v>25.059000000000001</v>
          </cell>
          <cell r="W356">
            <v>13.349</v>
          </cell>
          <cell r="X356">
            <v>285.15699999999998</v>
          </cell>
          <cell r="Y356">
            <v>248.11500000000001</v>
          </cell>
          <cell r="Z356">
            <v>472.08600000000001</v>
          </cell>
          <cell r="AA356">
            <v>637.78800000000001</v>
          </cell>
          <cell r="AB356">
            <v>296.70699999999999</v>
          </cell>
          <cell r="AC356">
            <v>737.82500000000005</v>
          </cell>
          <cell r="AD356">
            <v>345.56299999999999</v>
          </cell>
          <cell r="AE356">
            <v>1004.064</v>
          </cell>
          <cell r="AF356">
            <v>426.83499999999998</v>
          </cell>
          <cell r="AG356">
            <v>487.988</v>
          </cell>
          <cell r="AH356">
            <v>45.677999999999997</v>
          </cell>
          <cell r="AI356">
            <v>406.613</v>
          </cell>
          <cell r="AJ356">
            <v>220.41300000000001</v>
          </cell>
          <cell r="AK356">
            <v>236.36799999999999</v>
          </cell>
          <cell r="AL356">
            <v>3443.5680000000002</v>
          </cell>
          <cell r="AM356">
            <v>415.10500000000002</v>
          </cell>
          <cell r="AN356">
            <v>31.469000000000001</v>
          </cell>
          <cell r="AO356">
            <v>805.48599999999999</v>
          </cell>
          <cell r="AP356">
            <v>146.07</v>
          </cell>
          <cell r="AQ356">
            <v>458.58199999999999</v>
          </cell>
          <cell r="AR356">
            <v>159.773</v>
          </cell>
          <cell r="AS356">
            <v>156.642</v>
          </cell>
          <cell r="AT356">
            <v>212.76599999999999</v>
          </cell>
          <cell r="AU356">
            <v>456.81799999999998</v>
          </cell>
          <cell r="AV356">
            <v>807.18799999999999</v>
          </cell>
          <cell r="AW356">
            <v>253.14400000000001</v>
          </cell>
          <cell r="AX356">
            <v>25.544</v>
          </cell>
          <cell r="AY356">
            <v>347.35199999999998</v>
          </cell>
          <cell r="AZ356">
            <v>389.33199999999999</v>
          </cell>
          <cell r="BA356">
            <v>835.14599999999996</v>
          </cell>
          <cell r="BB356">
            <v>2.64</v>
          </cell>
          <cell r="BC356">
            <v>8.0169999999999995</v>
          </cell>
          <cell r="BD356">
            <v>58.918999999999997</v>
          </cell>
          <cell r="BE356">
            <v>111.572</v>
          </cell>
          <cell r="BF356">
            <v>0</v>
          </cell>
        </row>
        <row r="358">
          <cell r="A358" t="str">
            <v>מספר תושבים</v>
          </cell>
          <cell r="C358">
            <v>272.25700000000001</v>
          </cell>
          <cell r="D358">
            <v>53.222999999999999</v>
          </cell>
          <cell r="E358">
            <v>202.428</v>
          </cell>
          <cell r="F358">
            <v>25.040999999999997</v>
          </cell>
          <cell r="G358">
            <v>86.97</v>
          </cell>
          <cell r="H358">
            <v>880.83199999999999</v>
          </cell>
          <cell r="I358">
            <v>240.666</v>
          </cell>
          <cell r="J358">
            <v>48.945999999999998</v>
          </cell>
          <cell r="K358">
            <v>108.91</v>
          </cell>
          <cell r="L358">
            <v>47.243000000000002</v>
          </cell>
          <cell r="M358">
            <v>217.959</v>
          </cell>
          <cell r="N358">
            <v>226.38100000000003</v>
          </cell>
          <cell r="O358">
            <v>242.26600000000002</v>
          </cell>
          <cell r="P358">
            <v>116.26600000000001</v>
          </cell>
          <cell r="Q358">
            <v>178.28800000000001</v>
          </cell>
          <cell r="R358">
            <v>68.34</v>
          </cell>
          <cell r="S358">
            <v>72.155000000000001</v>
          </cell>
          <cell r="T358">
            <v>126.40500000000002</v>
          </cell>
          <cell r="U358">
            <v>86.774000000000001</v>
          </cell>
          <cell r="V358">
            <v>77.95</v>
          </cell>
          <cell r="W358">
            <v>126.61199999999999</v>
          </cell>
          <cell r="X358">
            <v>131.52599999999998</v>
          </cell>
          <cell r="Y358">
            <v>40.904999999999994</v>
          </cell>
          <cell r="Z358">
            <v>54.326999999999998</v>
          </cell>
          <cell r="AA358">
            <v>70.206000000000003</v>
          </cell>
          <cell r="AB358">
            <v>50.57</v>
          </cell>
          <cell r="AC358">
            <v>90.733000000000004</v>
          </cell>
          <cell r="AD358">
            <v>44.05</v>
          </cell>
          <cell r="AE358">
            <v>277.08199999999999</v>
          </cell>
          <cell r="AF358">
            <v>61.442</v>
          </cell>
          <cell r="AG358">
            <v>44.633000000000003</v>
          </cell>
          <cell r="AH358">
            <v>60.426000000000002</v>
          </cell>
          <cell r="AI358">
            <v>42.164999999999999</v>
          </cell>
          <cell r="AJ358">
            <v>49.892000000000003</v>
          </cell>
          <cell r="AK358">
            <v>39.031999999999996</v>
          </cell>
          <cell r="AL358">
            <v>426.13799999999998</v>
          </cell>
          <cell r="AM358">
            <v>70.906000000000006</v>
          </cell>
          <cell r="AN358">
            <v>90.76</v>
          </cell>
          <cell r="AO358">
            <v>150.917</v>
          </cell>
          <cell r="AP358">
            <v>56.848999999999997</v>
          </cell>
          <cell r="AQ358">
            <v>128.49799999999999</v>
          </cell>
          <cell r="AR358">
            <v>65.078999999999994</v>
          </cell>
          <cell r="AS358">
            <v>147.19499999999999</v>
          </cell>
          <cell r="AT358">
            <v>98.084000000000003</v>
          </cell>
          <cell r="AU358">
            <v>54.134</v>
          </cell>
          <cell r="AV358">
            <v>157.119</v>
          </cell>
          <cell r="AW358">
            <v>47.463999999999999</v>
          </cell>
          <cell r="AX358">
            <v>55.003999999999998</v>
          </cell>
          <cell r="AY358">
            <v>38.945</v>
          </cell>
          <cell r="AZ358">
            <v>46.125</v>
          </cell>
          <cell r="BA358">
            <v>71.39</v>
          </cell>
          <cell r="BB358">
            <v>74.117000000000004</v>
          </cell>
          <cell r="BC358">
            <v>107.274</v>
          </cell>
          <cell r="BD358">
            <v>9.1120000000000001</v>
          </cell>
          <cell r="BE358">
            <v>15.606</v>
          </cell>
          <cell r="BF358">
            <v>146.501</v>
          </cell>
        </row>
        <row r="361">
          <cell r="A361" t="str">
            <v>אשכול חברתי</v>
          </cell>
          <cell r="B361">
            <v>1</v>
          </cell>
          <cell r="C361">
            <v>6</v>
          </cell>
          <cell r="D361">
            <v>5</v>
          </cell>
          <cell r="E361">
            <v>5</v>
          </cell>
          <cell r="F361">
            <v>5</v>
          </cell>
          <cell r="G361">
            <v>8</v>
          </cell>
          <cell r="H361">
            <v>5</v>
          </cell>
          <cell r="I361">
            <v>6</v>
          </cell>
          <cell r="J361">
            <v>5</v>
          </cell>
          <cell r="K361">
            <v>5</v>
          </cell>
          <cell r="L361">
            <v>4</v>
          </cell>
          <cell r="M361">
            <v>5</v>
          </cell>
          <cell r="N361">
            <v>5</v>
          </cell>
          <cell r="O361">
            <v>5</v>
          </cell>
          <cell r="P361">
            <v>4</v>
          </cell>
          <cell r="Q361">
            <v>3</v>
          </cell>
          <cell r="R361">
            <v>7</v>
          </cell>
          <cell r="S361">
            <v>4</v>
          </cell>
          <cell r="T361">
            <v>4</v>
          </cell>
          <cell r="U361">
            <v>5</v>
          </cell>
          <cell r="V361">
            <v>2</v>
          </cell>
          <cell r="W361">
            <v>2</v>
          </cell>
          <cell r="X361">
            <v>3</v>
          </cell>
          <cell r="Y361">
            <v>5</v>
          </cell>
          <cell r="Z361">
            <v>5</v>
          </cell>
          <cell r="AA361">
            <v>8</v>
          </cell>
          <cell r="AB361">
            <v>4</v>
          </cell>
          <cell r="AC361">
            <v>8</v>
          </cell>
          <cell r="AD361">
            <v>9</v>
          </cell>
          <cell r="AE361">
            <v>7</v>
          </cell>
          <cell r="AF361">
            <v>5</v>
          </cell>
          <cell r="AG361">
            <v>5</v>
          </cell>
          <cell r="AH361">
            <v>2</v>
          </cell>
          <cell r="AI361">
            <v>6</v>
          </cell>
          <cell r="AJ361">
            <v>6</v>
          </cell>
          <cell r="AK361">
            <v>6</v>
          </cell>
          <cell r="AL361">
            <v>8</v>
          </cell>
          <cell r="AM361">
            <v>8</v>
          </cell>
          <cell r="AN361">
            <v>1</v>
          </cell>
          <cell r="AO361">
            <v>7</v>
          </cell>
          <cell r="AP361">
            <v>8</v>
          </cell>
          <cell r="AQ361">
            <v>5</v>
          </cell>
          <cell r="AR361">
            <v>8</v>
          </cell>
          <cell r="AS361">
            <v>3</v>
          </cell>
          <cell r="AT361">
            <v>3</v>
          </cell>
          <cell r="AU361">
            <v>8</v>
          </cell>
          <cell r="AV361">
            <v>5</v>
          </cell>
          <cell r="AW361">
            <v>4</v>
          </cell>
          <cell r="AX361">
            <v>0</v>
          </cell>
          <cell r="AY361">
            <v>5</v>
          </cell>
          <cell r="AZ361">
            <v>8</v>
          </cell>
          <cell r="BA361">
            <v>4</v>
          </cell>
          <cell r="BB361">
            <v>3</v>
          </cell>
          <cell r="BC361">
            <v>2</v>
          </cell>
          <cell r="BD361">
            <v>8</v>
          </cell>
          <cell r="BE361">
            <v>8</v>
          </cell>
          <cell r="BF361">
            <v>6</v>
          </cell>
        </row>
        <row r="362">
          <cell r="B362">
            <v>2</v>
          </cell>
          <cell r="C362">
            <v>2</v>
          </cell>
          <cell r="D362">
            <v>7</v>
          </cell>
          <cell r="E362">
            <v>0</v>
          </cell>
          <cell r="F362">
            <v>6</v>
          </cell>
          <cell r="G362">
            <v>0</v>
          </cell>
          <cell r="H362">
            <v>3</v>
          </cell>
          <cell r="I362">
            <v>0</v>
          </cell>
          <cell r="J362">
            <v>0</v>
          </cell>
          <cell r="K362">
            <v>5</v>
          </cell>
          <cell r="L362">
            <v>5</v>
          </cell>
          <cell r="M362">
            <v>0</v>
          </cell>
          <cell r="N362">
            <v>3</v>
          </cell>
          <cell r="O362">
            <v>6</v>
          </cell>
          <cell r="P362">
            <v>3</v>
          </cell>
          <cell r="Q362">
            <v>0</v>
          </cell>
          <cell r="R362">
            <v>5</v>
          </cell>
          <cell r="S362">
            <v>0</v>
          </cell>
          <cell r="T362">
            <v>6</v>
          </cell>
          <cell r="U362">
            <v>0</v>
          </cell>
          <cell r="V362">
            <v>3</v>
          </cell>
          <cell r="W362">
            <v>2</v>
          </cell>
          <cell r="X362">
            <v>3</v>
          </cell>
          <cell r="Y362">
            <v>5</v>
          </cell>
          <cell r="Z362">
            <v>0</v>
          </cell>
          <cell r="AA362">
            <v>0</v>
          </cell>
          <cell r="AB362">
            <v>0</v>
          </cell>
          <cell r="AC362">
            <v>0</v>
          </cell>
          <cell r="AD362">
            <v>0</v>
          </cell>
          <cell r="AE362">
            <v>0</v>
          </cell>
          <cell r="AF362">
            <v>6</v>
          </cell>
          <cell r="AG362">
            <v>0</v>
          </cell>
          <cell r="AH362">
            <v>0</v>
          </cell>
          <cell r="AI362">
            <v>0</v>
          </cell>
          <cell r="AJ362">
            <v>2</v>
          </cell>
          <cell r="AK362">
            <v>0</v>
          </cell>
          <cell r="AL362">
            <v>0</v>
          </cell>
          <cell r="AM362">
            <v>7</v>
          </cell>
          <cell r="AN362">
            <v>2</v>
          </cell>
          <cell r="AO362">
            <v>0</v>
          </cell>
          <cell r="AP362">
            <v>0</v>
          </cell>
          <cell r="AQ362">
            <v>0</v>
          </cell>
          <cell r="AR362">
            <v>7</v>
          </cell>
          <cell r="AS362">
            <v>2</v>
          </cell>
          <cell r="AT362">
            <v>0</v>
          </cell>
          <cell r="AU362">
            <v>0</v>
          </cell>
          <cell r="AV362">
            <v>3</v>
          </cell>
          <cell r="AW362">
            <v>0</v>
          </cell>
          <cell r="AX362">
            <v>2</v>
          </cell>
          <cell r="AY362">
            <v>0</v>
          </cell>
          <cell r="AZ362">
            <v>6</v>
          </cell>
          <cell r="BA362">
            <v>5</v>
          </cell>
          <cell r="BB362">
            <v>2</v>
          </cell>
          <cell r="BC362">
            <v>3</v>
          </cell>
          <cell r="BD362">
            <v>9</v>
          </cell>
          <cell r="BE362">
            <v>0</v>
          </cell>
          <cell r="BF362">
            <v>6</v>
          </cell>
        </row>
        <row r="363">
          <cell r="B363">
            <v>3</v>
          </cell>
          <cell r="C363">
            <v>3</v>
          </cell>
          <cell r="D363">
            <v>5</v>
          </cell>
          <cell r="E363">
            <v>0</v>
          </cell>
          <cell r="F363">
            <v>0</v>
          </cell>
          <cell r="G363">
            <v>0</v>
          </cell>
          <cell r="H363">
            <v>8</v>
          </cell>
          <cell r="I363">
            <v>0</v>
          </cell>
          <cell r="J363">
            <v>0</v>
          </cell>
          <cell r="K363">
            <v>5</v>
          </cell>
          <cell r="L363">
            <v>4</v>
          </cell>
          <cell r="M363">
            <v>0</v>
          </cell>
          <cell r="N363">
            <v>0</v>
          </cell>
          <cell r="O363">
            <v>7</v>
          </cell>
          <cell r="P363">
            <v>2</v>
          </cell>
          <cell r="Q363">
            <v>0</v>
          </cell>
          <cell r="R363">
            <v>8</v>
          </cell>
          <cell r="S363">
            <v>0</v>
          </cell>
          <cell r="T363">
            <v>4</v>
          </cell>
          <cell r="U363">
            <v>0</v>
          </cell>
          <cell r="V363">
            <v>2</v>
          </cell>
          <cell r="W363">
            <v>4</v>
          </cell>
          <cell r="X363">
            <v>3</v>
          </cell>
          <cell r="Y363">
            <v>9</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6</v>
          </cell>
          <cell r="AN363">
            <v>2</v>
          </cell>
          <cell r="AO363">
            <v>0</v>
          </cell>
          <cell r="AP363">
            <v>0</v>
          </cell>
          <cell r="AQ363">
            <v>0</v>
          </cell>
          <cell r="AR363">
            <v>0</v>
          </cell>
          <cell r="AS363">
            <v>2</v>
          </cell>
          <cell r="AT363">
            <v>0</v>
          </cell>
          <cell r="AU363">
            <v>0</v>
          </cell>
          <cell r="AV363">
            <v>0</v>
          </cell>
          <cell r="AW363">
            <v>0</v>
          </cell>
          <cell r="AX363">
            <v>3</v>
          </cell>
          <cell r="AY363">
            <v>0</v>
          </cell>
          <cell r="AZ363">
            <v>8</v>
          </cell>
          <cell r="BA363">
            <v>4</v>
          </cell>
          <cell r="BB363">
            <v>3</v>
          </cell>
          <cell r="BC363">
            <v>2</v>
          </cell>
          <cell r="BD363">
            <v>0</v>
          </cell>
          <cell r="BE363">
            <v>0</v>
          </cell>
          <cell r="BF363">
            <v>0</v>
          </cell>
        </row>
        <row r="364">
          <cell r="B364">
            <v>4</v>
          </cell>
          <cell r="C364">
            <v>0</v>
          </cell>
          <cell r="D364">
            <v>2</v>
          </cell>
          <cell r="E364">
            <v>0</v>
          </cell>
          <cell r="F364">
            <v>0</v>
          </cell>
          <cell r="G364">
            <v>0</v>
          </cell>
          <cell r="H364">
            <v>0</v>
          </cell>
          <cell r="I364">
            <v>0</v>
          </cell>
          <cell r="J364">
            <v>0</v>
          </cell>
          <cell r="K364">
            <v>0</v>
          </cell>
          <cell r="L364">
            <v>4</v>
          </cell>
          <cell r="M364">
            <v>0</v>
          </cell>
          <cell r="N364">
            <v>0</v>
          </cell>
          <cell r="O364">
            <v>5</v>
          </cell>
          <cell r="P364">
            <v>5</v>
          </cell>
          <cell r="Q364">
            <v>0</v>
          </cell>
          <cell r="R364">
            <v>0</v>
          </cell>
          <cell r="S364">
            <v>0</v>
          </cell>
          <cell r="T364">
            <v>5</v>
          </cell>
          <cell r="U364">
            <v>0</v>
          </cell>
          <cell r="V364">
            <v>2</v>
          </cell>
          <cell r="W364">
            <v>2</v>
          </cell>
          <cell r="X364">
            <v>2</v>
          </cell>
          <cell r="Y364">
            <v>2</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7</v>
          </cell>
          <cell r="AN364">
            <v>1</v>
          </cell>
          <cell r="AO364">
            <v>0</v>
          </cell>
          <cell r="AP364">
            <v>0</v>
          </cell>
          <cell r="AQ364">
            <v>0</v>
          </cell>
          <cell r="AR364">
            <v>0</v>
          </cell>
          <cell r="AS364">
            <v>2</v>
          </cell>
          <cell r="AT364">
            <v>0</v>
          </cell>
          <cell r="AU364">
            <v>0</v>
          </cell>
          <cell r="AV364">
            <v>0</v>
          </cell>
          <cell r="AW364">
            <v>0</v>
          </cell>
          <cell r="AX364">
            <v>3</v>
          </cell>
          <cell r="AY364">
            <v>0</v>
          </cell>
          <cell r="AZ364">
            <v>0</v>
          </cell>
          <cell r="BA364">
            <v>4</v>
          </cell>
          <cell r="BB364">
            <v>4</v>
          </cell>
          <cell r="BC364">
            <v>2</v>
          </cell>
          <cell r="BD364">
            <v>0</v>
          </cell>
          <cell r="BE364">
            <v>0</v>
          </cell>
          <cell r="BF364">
            <v>0</v>
          </cell>
        </row>
        <row r="365">
          <cell r="B365">
            <v>5</v>
          </cell>
          <cell r="C365">
            <v>0</v>
          </cell>
          <cell r="D365">
            <v>2</v>
          </cell>
          <cell r="E365">
            <v>0</v>
          </cell>
          <cell r="F365">
            <v>0</v>
          </cell>
          <cell r="G365">
            <v>0</v>
          </cell>
          <cell r="H365">
            <v>0</v>
          </cell>
          <cell r="I365">
            <v>0</v>
          </cell>
          <cell r="J365">
            <v>0</v>
          </cell>
          <cell r="K365">
            <v>0</v>
          </cell>
          <cell r="L365">
            <v>0</v>
          </cell>
          <cell r="M365">
            <v>0</v>
          </cell>
          <cell r="N365">
            <v>0</v>
          </cell>
          <cell r="O365">
            <v>0</v>
          </cell>
          <cell r="P365">
            <v>8</v>
          </cell>
          <cell r="Q365">
            <v>0</v>
          </cell>
          <cell r="R365">
            <v>0</v>
          </cell>
          <cell r="S365">
            <v>0</v>
          </cell>
          <cell r="T365">
            <v>0</v>
          </cell>
          <cell r="U365">
            <v>0</v>
          </cell>
          <cell r="V365">
            <v>2</v>
          </cell>
          <cell r="W365">
            <v>2</v>
          </cell>
          <cell r="X365">
            <v>2</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9</v>
          </cell>
          <cell r="AN365">
            <v>2</v>
          </cell>
          <cell r="AO365">
            <v>0</v>
          </cell>
          <cell r="AP365">
            <v>0</v>
          </cell>
          <cell r="AQ365">
            <v>0</v>
          </cell>
          <cell r="AR365">
            <v>0</v>
          </cell>
          <cell r="AS365">
            <v>3</v>
          </cell>
          <cell r="AT365">
            <v>0</v>
          </cell>
          <cell r="AU365">
            <v>0</v>
          </cell>
          <cell r="AV365">
            <v>0</v>
          </cell>
          <cell r="AW365">
            <v>0</v>
          </cell>
          <cell r="AX365">
            <v>0</v>
          </cell>
          <cell r="AY365">
            <v>0</v>
          </cell>
          <cell r="AZ365">
            <v>0</v>
          </cell>
          <cell r="BA365">
            <v>0</v>
          </cell>
          <cell r="BB365">
            <v>2</v>
          </cell>
          <cell r="BC365">
            <v>2</v>
          </cell>
          <cell r="BD365">
            <v>0</v>
          </cell>
          <cell r="BE365">
            <v>0</v>
          </cell>
          <cell r="BF365">
            <v>0</v>
          </cell>
        </row>
        <row r="366">
          <cell r="B366">
            <v>6</v>
          </cell>
          <cell r="C366">
            <v>0</v>
          </cell>
          <cell r="D366">
            <v>2</v>
          </cell>
          <cell r="E366">
            <v>0</v>
          </cell>
          <cell r="F366">
            <v>0</v>
          </cell>
          <cell r="G366">
            <v>0</v>
          </cell>
          <cell r="H366">
            <v>0</v>
          </cell>
          <cell r="I366">
            <v>0</v>
          </cell>
          <cell r="J366">
            <v>0</v>
          </cell>
          <cell r="K366">
            <v>0</v>
          </cell>
          <cell r="L366">
            <v>0</v>
          </cell>
          <cell r="M366">
            <v>0</v>
          </cell>
          <cell r="N366">
            <v>0</v>
          </cell>
          <cell r="O366">
            <v>0</v>
          </cell>
          <cell r="P366">
            <v>4</v>
          </cell>
          <cell r="Q366">
            <v>0</v>
          </cell>
          <cell r="R366">
            <v>0</v>
          </cell>
          <cell r="S366">
            <v>0</v>
          </cell>
          <cell r="T366">
            <v>0</v>
          </cell>
          <cell r="U366">
            <v>0</v>
          </cell>
          <cell r="V366">
            <v>2</v>
          </cell>
          <cell r="W366">
            <v>3</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2</v>
          </cell>
          <cell r="AO366">
            <v>0</v>
          </cell>
          <cell r="AP366">
            <v>0</v>
          </cell>
          <cell r="AQ366">
            <v>0</v>
          </cell>
          <cell r="AR366">
            <v>0</v>
          </cell>
          <cell r="AS366">
            <v>2</v>
          </cell>
          <cell r="AT366">
            <v>0</v>
          </cell>
          <cell r="AU366">
            <v>0</v>
          </cell>
          <cell r="AV366">
            <v>0</v>
          </cell>
          <cell r="AW366">
            <v>0</v>
          </cell>
          <cell r="AX366">
            <v>0</v>
          </cell>
          <cell r="AY366">
            <v>0</v>
          </cell>
          <cell r="AZ366">
            <v>0</v>
          </cell>
          <cell r="BA366">
            <v>0</v>
          </cell>
          <cell r="BB366">
            <v>2</v>
          </cell>
          <cell r="BC366">
            <v>2</v>
          </cell>
          <cell r="BD366">
            <v>0</v>
          </cell>
          <cell r="BE366">
            <v>0</v>
          </cell>
          <cell r="BF366">
            <v>0</v>
          </cell>
        </row>
        <row r="367">
          <cell r="B367">
            <v>7</v>
          </cell>
          <cell r="C367">
            <v>0</v>
          </cell>
          <cell r="D367">
            <v>2</v>
          </cell>
          <cell r="E367">
            <v>0</v>
          </cell>
          <cell r="F367">
            <v>0</v>
          </cell>
          <cell r="G367">
            <v>0</v>
          </cell>
          <cell r="H367">
            <v>0</v>
          </cell>
          <cell r="I367">
            <v>0</v>
          </cell>
          <cell r="J367">
            <v>0</v>
          </cell>
          <cell r="K367">
            <v>0</v>
          </cell>
          <cell r="L367">
            <v>0</v>
          </cell>
          <cell r="M367">
            <v>0</v>
          </cell>
          <cell r="N367">
            <v>0</v>
          </cell>
          <cell r="O367">
            <v>0</v>
          </cell>
          <cell r="P367">
            <v>3</v>
          </cell>
          <cell r="Q367">
            <v>0</v>
          </cell>
          <cell r="R367">
            <v>0</v>
          </cell>
          <cell r="S367">
            <v>0</v>
          </cell>
          <cell r="T367">
            <v>0</v>
          </cell>
          <cell r="U367">
            <v>0</v>
          </cell>
          <cell r="V367">
            <v>2</v>
          </cell>
          <cell r="W367">
            <v>3</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2</v>
          </cell>
          <cell r="AT367">
            <v>0</v>
          </cell>
          <cell r="AU367">
            <v>0</v>
          </cell>
          <cell r="AV367">
            <v>0</v>
          </cell>
          <cell r="AW367">
            <v>0</v>
          </cell>
          <cell r="AX367">
            <v>0</v>
          </cell>
          <cell r="AY367">
            <v>0</v>
          </cell>
          <cell r="AZ367">
            <v>0</v>
          </cell>
          <cell r="BA367">
            <v>0</v>
          </cell>
          <cell r="BB367">
            <v>3</v>
          </cell>
          <cell r="BC367">
            <v>2</v>
          </cell>
          <cell r="BD367">
            <v>0</v>
          </cell>
          <cell r="BE367">
            <v>0</v>
          </cell>
          <cell r="BF367">
            <v>0</v>
          </cell>
        </row>
        <row r="368">
          <cell r="B368">
            <v>8</v>
          </cell>
          <cell r="C368">
            <v>0</v>
          </cell>
          <cell r="D368">
            <v>0</v>
          </cell>
          <cell r="E368">
            <v>0</v>
          </cell>
          <cell r="F368">
            <v>0</v>
          </cell>
          <cell r="G368">
            <v>0</v>
          </cell>
          <cell r="H368">
            <v>0</v>
          </cell>
          <cell r="I368">
            <v>0</v>
          </cell>
          <cell r="J368">
            <v>0</v>
          </cell>
          <cell r="K368">
            <v>0</v>
          </cell>
          <cell r="L368">
            <v>0</v>
          </cell>
          <cell r="M368">
            <v>0</v>
          </cell>
          <cell r="N368">
            <v>0</v>
          </cell>
          <cell r="O368">
            <v>0</v>
          </cell>
          <cell r="P368">
            <v>4</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3</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row>
        <row r="369">
          <cell r="B369">
            <v>9</v>
          </cell>
          <cell r="C369">
            <v>0</v>
          </cell>
          <cell r="D369">
            <v>0</v>
          </cell>
          <cell r="E369">
            <v>0</v>
          </cell>
          <cell r="F369">
            <v>0</v>
          </cell>
          <cell r="G369">
            <v>0</v>
          </cell>
          <cell r="H369">
            <v>0</v>
          </cell>
          <cell r="I369">
            <v>0</v>
          </cell>
          <cell r="J369">
            <v>0</v>
          </cell>
          <cell r="K369">
            <v>0</v>
          </cell>
          <cell r="L369">
            <v>0</v>
          </cell>
          <cell r="M369">
            <v>0</v>
          </cell>
          <cell r="N369">
            <v>0</v>
          </cell>
          <cell r="O369">
            <v>0</v>
          </cell>
          <cell r="P369">
            <v>2</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2</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row>
        <row r="370">
          <cell r="B370">
            <v>10</v>
          </cell>
          <cell r="C370">
            <v>0</v>
          </cell>
          <cell r="D370">
            <v>0</v>
          </cell>
          <cell r="E370">
            <v>0</v>
          </cell>
          <cell r="F370">
            <v>0</v>
          </cell>
          <cell r="G370">
            <v>0</v>
          </cell>
          <cell r="H370">
            <v>0</v>
          </cell>
          <cell r="I370">
            <v>0</v>
          </cell>
          <cell r="J370">
            <v>0</v>
          </cell>
          <cell r="K370">
            <v>0</v>
          </cell>
          <cell r="L370">
            <v>0</v>
          </cell>
          <cell r="M370">
            <v>0</v>
          </cell>
          <cell r="N370">
            <v>0</v>
          </cell>
          <cell r="O370">
            <v>0</v>
          </cell>
          <cell r="P370">
            <v>4</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2</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row>
        <row r="371">
          <cell r="B371">
            <v>11</v>
          </cell>
          <cell r="C371">
            <v>0</v>
          </cell>
          <cell r="D371">
            <v>0</v>
          </cell>
          <cell r="E371">
            <v>0</v>
          </cell>
          <cell r="F371">
            <v>0</v>
          </cell>
          <cell r="G371">
            <v>0</v>
          </cell>
          <cell r="H371">
            <v>0</v>
          </cell>
          <cell r="I371">
            <v>0</v>
          </cell>
          <cell r="J371">
            <v>0</v>
          </cell>
          <cell r="K371">
            <v>0</v>
          </cell>
          <cell r="L371">
            <v>0</v>
          </cell>
          <cell r="M371">
            <v>0</v>
          </cell>
          <cell r="N371">
            <v>0</v>
          </cell>
          <cell r="O371">
            <v>0</v>
          </cell>
          <cell r="P371">
            <v>3</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3</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row>
        <row r="372">
          <cell r="B372">
            <v>12</v>
          </cell>
          <cell r="C372">
            <v>0</v>
          </cell>
          <cell r="D372">
            <v>0</v>
          </cell>
          <cell r="E372">
            <v>0</v>
          </cell>
          <cell r="F372">
            <v>0</v>
          </cell>
          <cell r="G372">
            <v>0</v>
          </cell>
          <cell r="H372">
            <v>0</v>
          </cell>
          <cell r="I372">
            <v>0</v>
          </cell>
          <cell r="J372">
            <v>0</v>
          </cell>
          <cell r="K372">
            <v>0</v>
          </cell>
          <cell r="L372">
            <v>0</v>
          </cell>
          <cell r="M372">
            <v>0</v>
          </cell>
          <cell r="N372">
            <v>0</v>
          </cell>
          <cell r="O372">
            <v>0</v>
          </cell>
          <cell r="P372">
            <v>4</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row>
        <row r="373">
          <cell r="B373">
            <v>13</v>
          </cell>
          <cell r="C373">
            <v>0</v>
          </cell>
          <cell r="D373">
            <v>0</v>
          </cell>
          <cell r="E373">
            <v>0</v>
          </cell>
          <cell r="F373">
            <v>0</v>
          </cell>
          <cell r="G373">
            <v>0</v>
          </cell>
          <cell r="H373">
            <v>0</v>
          </cell>
          <cell r="I373">
            <v>0</v>
          </cell>
          <cell r="J373">
            <v>0</v>
          </cell>
          <cell r="K373">
            <v>0</v>
          </cell>
          <cell r="L373">
            <v>0</v>
          </cell>
          <cell r="M373">
            <v>0</v>
          </cell>
          <cell r="N373">
            <v>0</v>
          </cell>
          <cell r="O373">
            <v>0</v>
          </cell>
          <cell r="P373">
            <v>2</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row>
        <row r="374">
          <cell r="B374">
            <v>14</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row>
        <row r="375">
          <cell r="B375">
            <v>15</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row>
        <row r="376">
          <cell r="B376">
            <v>16</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row>
        <row r="377">
          <cell r="B377">
            <v>17</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row>
        <row r="378">
          <cell r="B378">
            <v>18</v>
          </cell>
          <cell r="C378">
            <v>0</v>
          </cell>
          <cell r="D378">
            <v>0</v>
          </cell>
          <cell r="E378">
            <v>0</v>
          </cell>
          <cell r="F378">
            <v>0</v>
          </cell>
          <cell r="G378">
            <v>0</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row>
        <row r="379">
          <cell r="B379">
            <v>19</v>
          </cell>
          <cell r="C379">
            <v>0</v>
          </cell>
          <cell r="D379">
            <v>0</v>
          </cell>
          <cell r="E379">
            <v>0</v>
          </cell>
          <cell r="F379">
            <v>0</v>
          </cell>
          <cell r="G379">
            <v>0</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row>
        <row r="380">
          <cell r="B380">
            <v>20</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row>
        <row r="381">
          <cell r="B381">
            <v>21</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row>
        <row r="382">
          <cell r="B382">
            <v>22</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row>
        <row r="383">
          <cell r="B383">
            <v>23</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row>
        <row r="384">
          <cell r="B384">
            <v>24</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row>
        <row r="385">
          <cell r="B385">
            <v>25</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row>
        <row r="386">
          <cell r="B386">
            <v>26</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row>
        <row r="387">
          <cell r="B387">
            <v>27</v>
          </cell>
          <cell r="C387">
            <v>0</v>
          </cell>
          <cell r="D387">
            <v>0</v>
          </cell>
          <cell r="E387">
            <v>0</v>
          </cell>
          <cell r="F387">
            <v>0</v>
          </cell>
          <cell r="G387">
            <v>0</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row>
        <row r="388">
          <cell r="B388">
            <v>28</v>
          </cell>
          <cell r="C388">
            <v>0</v>
          </cell>
          <cell r="D388">
            <v>0</v>
          </cell>
          <cell r="E388">
            <v>0</v>
          </cell>
          <cell r="F388">
            <v>0</v>
          </cell>
          <cell r="G388">
            <v>0</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row>
        <row r="389">
          <cell r="B389">
            <v>29</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row>
        <row r="390">
          <cell r="B390">
            <v>30</v>
          </cell>
          <cell r="C390">
            <v>0</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row>
        <row r="392">
          <cell r="A392" t="str">
            <v>סה"כ אשכול</v>
          </cell>
          <cell r="C392">
            <v>5.322955883595279</v>
          </cell>
          <cell r="D392">
            <v>3.8351840369764951</v>
          </cell>
          <cell r="E392">
            <v>5</v>
          </cell>
          <cell r="F392">
            <v>5.2655644742622103</v>
          </cell>
          <cell r="G392">
            <v>8</v>
          </cell>
          <cell r="H392">
            <v>5.0671808017874014</v>
          </cell>
          <cell r="I392">
            <v>6</v>
          </cell>
          <cell r="J392">
            <v>5</v>
          </cell>
          <cell r="K392">
            <v>5</v>
          </cell>
          <cell r="L392">
            <v>4.0383972228689968</v>
          </cell>
          <cell r="M392">
            <v>5</v>
          </cell>
          <cell r="N392">
            <v>4.7765271820514972</v>
          </cell>
          <cell r="O392">
            <v>5.1078772919022892</v>
          </cell>
          <cell r="P392">
            <v>3.2560679820411815</v>
          </cell>
          <cell r="Q392">
            <v>3</v>
          </cell>
          <cell r="R392">
            <v>6.8603892303189928</v>
          </cell>
          <cell r="S392">
            <v>4</v>
          </cell>
          <cell r="T392">
            <v>4.4635813456746174</v>
          </cell>
          <cell r="U392">
            <v>5</v>
          </cell>
          <cell r="V392">
            <v>2.1670429762668375</v>
          </cell>
          <cell r="W392">
            <v>2.6278630777493444</v>
          </cell>
          <cell r="X392">
            <v>2.8416662865136932</v>
          </cell>
          <cell r="Y392">
            <v>4.9481725950372812</v>
          </cell>
          <cell r="Z392">
            <v>5</v>
          </cell>
          <cell r="AA392">
            <v>8</v>
          </cell>
          <cell r="AB392">
            <v>4</v>
          </cell>
          <cell r="AC392">
            <v>8</v>
          </cell>
          <cell r="AD392">
            <v>9</v>
          </cell>
          <cell r="AE392">
            <v>7</v>
          </cell>
          <cell r="AF392">
            <v>5.3541876892028251</v>
          </cell>
          <cell r="AG392">
            <v>5</v>
          </cell>
          <cell r="AH392">
            <v>2</v>
          </cell>
          <cell r="AI392">
            <v>6</v>
          </cell>
          <cell r="AJ392">
            <v>5.1740559608754912</v>
          </cell>
          <cell r="AK392">
            <v>6</v>
          </cell>
          <cell r="AL392">
            <v>8</v>
          </cell>
          <cell r="AM392">
            <v>7.4356612980565817</v>
          </cell>
          <cell r="AN392">
            <v>1.6768179814896431</v>
          </cell>
          <cell r="AO392">
            <v>7</v>
          </cell>
          <cell r="AP392">
            <v>8</v>
          </cell>
          <cell r="AQ392">
            <v>5</v>
          </cell>
          <cell r="AR392">
            <v>7.5624241306719524</v>
          </cell>
          <cell r="AS392">
            <v>2.5665817453038486</v>
          </cell>
          <cell r="AT392">
            <v>3</v>
          </cell>
          <cell r="AU392">
            <v>8</v>
          </cell>
          <cell r="AV392">
            <v>4.6143050808622768</v>
          </cell>
          <cell r="AW392">
            <v>4</v>
          </cell>
          <cell r="AX392">
            <v>2.832448549196422</v>
          </cell>
          <cell r="AY392">
            <v>5</v>
          </cell>
          <cell r="AZ392">
            <v>7.086829268292683</v>
          </cell>
          <cell r="BA392">
            <v>4.3393892702059116</v>
          </cell>
          <cell r="BB392">
            <v>2.5951131319400407</v>
          </cell>
          <cell r="BC392">
            <v>2.0897141898316463</v>
          </cell>
          <cell r="BD392">
            <v>9</v>
          </cell>
          <cell r="BE392">
            <v>8</v>
          </cell>
          <cell r="BF392">
            <v>6</v>
          </cell>
        </row>
        <row r="394">
          <cell r="A394" t="str">
            <v>כמות תושבים</v>
          </cell>
          <cell r="B394">
            <v>1</v>
          </cell>
          <cell r="C394">
            <v>225356</v>
          </cell>
          <cell r="D394">
            <v>23074</v>
          </cell>
          <cell r="E394">
            <v>202428</v>
          </cell>
          <cell r="F394">
            <v>18391</v>
          </cell>
          <cell r="G394">
            <v>86970</v>
          </cell>
          <cell r="H394">
            <v>849782</v>
          </cell>
          <cell r="I394">
            <v>240666</v>
          </cell>
          <cell r="J394">
            <v>48946</v>
          </cell>
          <cell r="K394">
            <v>40312</v>
          </cell>
          <cell r="L394">
            <v>42287</v>
          </cell>
          <cell r="M394">
            <v>217959</v>
          </cell>
          <cell r="N394">
            <v>201086</v>
          </cell>
          <cell r="O394">
            <v>187294</v>
          </cell>
          <cell r="P394">
            <v>32896</v>
          </cell>
          <cell r="Q394">
            <v>178288</v>
          </cell>
          <cell r="R394">
            <v>45784</v>
          </cell>
          <cell r="S394">
            <v>72155</v>
          </cell>
          <cell r="T394">
            <v>72293</v>
          </cell>
          <cell r="U394">
            <v>86774</v>
          </cell>
          <cell r="V394">
            <v>20832</v>
          </cell>
          <cell r="W394">
            <v>51367</v>
          </cell>
          <cell r="X394">
            <v>74619</v>
          </cell>
          <cell r="Y394">
            <v>21153</v>
          </cell>
          <cell r="Z394">
            <v>54327</v>
          </cell>
          <cell r="AA394">
            <v>70206</v>
          </cell>
          <cell r="AB394">
            <v>50570</v>
          </cell>
          <cell r="AC394">
            <v>90733</v>
          </cell>
          <cell r="AD394">
            <v>44050</v>
          </cell>
          <cell r="AE394">
            <v>277082</v>
          </cell>
          <cell r="AF394">
            <v>39680</v>
          </cell>
          <cell r="AG394">
            <v>44633</v>
          </cell>
          <cell r="AH394">
            <v>60426</v>
          </cell>
          <cell r="AI394">
            <v>42165</v>
          </cell>
          <cell r="AJ394">
            <v>39590</v>
          </cell>
          <cell r="AK394">
            <v>39032</v>
          </cell>
          <cell r="AL394">
            <v>426138</v>
          </cell>
          <cell r="AM394">
            <v>12973</v>
          </cell>
          <cell r="AN394">
            <v>18083</v>
          </cell>
          <cell r="AO394">
            <v>150917</v>
          </cell>
          <cell r="AP394">
            <v>56849</v>
          </cell>
          <cell r="AQ394">
            <v>128498</v>
          </cell>
          <cell r="AR394">
            <v>36602</v>
          </cell>
          <cell r="AS394">
            <v>39246</v>
          </cell>
          <cell r="AT394">
            <v>98084</v>
          </cell>
          <cell r="AU394">
            <v>54134</v>
          </cell>
          <cell r="AV394">
            <v>126819</v>
          </cell>
          <cell r="AW394">
            <v>47464</v>
          </cell>
          <cell r="AX394">
            <v>0</v>
          </cell>
          <cell r="AY394">
            <v>38945</v>
          </cell>
          <cell r="AZ394">
            <v>17605</v>
          </cell>
          <cell r="BA394">
            <v>33195</v>
          </cell>
          <cell r="BB394">
            <v>13151</v>
          </cell>
          <cell r="BC394">
            <v>11479</v>
          </cell>
          <cell r="BD394">
            <v>0</v>
          </cell>
          <cell r="BE394">
            <v>15606</v>
          </cell>
          <cell r="BF394">
            <v>128892</v>
          </cell>
        </row>
        <row r="395">
          <cell r="B395">
            <v>2</v>
          </cell>
          <cell r="C395">
            <v>43627</v>
          </cell>
          <cell r="D395">
            <v>1593</v>
          </cell>
          <cell r="E395">
            <v>0</v>
          </cell>
          <cell r="F395">
            <v>6650</v>
          </cell>
          <cell r="G395">
            <v>0</v>
          </cell>
          <cell r="H395">
            <v>6795</v>
          </cell>
          <cell r="I395">
            <v>0</v>
          </cell>
          <cell r="J395">
            <v>0</v>
          </cell>
          <cell r="K395">
            <v>24766</v>
          </cell>
          <cell r="L395">
            <v>1814</v>
          </cell>
          <cell r="M395">
            <v>0</v>
          </cell>
          <cell r="N395">
            <v>25295</v>
          </cell>
          <cell r="O395">
            <v>11979</v>
          </cell>
          <cell r="P395">
            <v>8839</v>
          </cell>
          <cell r="Q395">
            <v>0</v>
          </cell>
          <cell r="R395">
            <v>10699</v>
          </cell>
          <cell r="S395">
            <v>0</v>
          </cell>
          <cell r="T395">
            <v>25835</v>
          </cell>
          <cell r="U395">
            <v>0</v>
          </cell>
          <cell r="V395">
            <v>13021</v>
          </cell>
          <cell r="W395">
            <v>9000</v>
          </cell>
          <cell r="X395">
            <v>18152</v>
          </cell>
          <cell r="Y395">
            <v>6254</v>
          </cell>
          <cell r="Z395">
            <v>0</v>
          </cell>
          <cell r="AA395">
            <v>0</v>
          </cell>
          <cell r="AB395">
            <v>0</v>
          </cell>
          <cell r="AC395">
            <v>0</v>
          </cell>
          <cell r="AD395">
            <v>0</v>
          </cell>
          <cell r="AE395">
            <v>0</v>
          </cell>
          <cell r="AF395">
            <v>21762</v>
          </cell>
          <cell r="AG395">
            <v>0</v>
          </cell>
          <cell r="AH395">
            <v>0</v>
          </cell>
          <cell r="AI395">
            <v>0</v>
          </cell>
          <cell r="AJ395">
            <v>10302</v>
          </cell>
          <cell r="AK395">
            <v>0</v>
          </cell>
          <cell r="AL395">
            <v>0</v>
          </cell>
          <cell r="AM395">
            <v>21226</v>
          </cell>
          <cell r="AN395">
            <v>18586</v>
          </cell>
          <cell r="AO395">
            <v>0</v>
          </cell>
          <cell r="AP395">
            <v>0</v>
          </cell>
          <cell r="AQ395">
            <v>0</v>
          </cell>
          <cell r="AR395">
            <v>28477</v>
          </cell>
          <cell r="AS395">
            <v>18053</v>
          </cell>
          <cell r="AT395">
            <v>0</v>
          </cell>
          <cell r="AU395">
            <v>0</v>
          </cell>
          <cell r="AV395">
            <v>30300</v>
          </cell>
          <cell r="AW395">
            <v>0</v>
          </cell>
          <cell r="AX395">
            <v>9216</v>
          </cell>
          <cell r="AY395">
            <v>0</v>
          </cell>
          <cell r="AZ395">
            <v>21060</v>
          </cell>
          <cell r="BA395">
            <v>24229</v>
          </cell>
          <cell r="BB395">
            <v>19736</v>
          </cell>
          <cell r="BC395">
            <v>9624</v>
          </cell>
          <cell r="BD395">
            <v>9112</v>
          </cell>
          <cell r="BE395">
            <v>0</v>
          </cell>
          <cell r="BF395">
            <v>17609</v>
          </cell>
        </row>
        <row r="396">
          <cell r="B396">
            <v>3</v>
          </cell>
          <cell r="C396">
            <v>3274</v>
          </cell>
          <cell r="D396">
            <v>6829</v>
          </cell>
          <cell r="E396">
            <v>0</v>
          </cell>
          <cell r="F396">
            <v>0</v>
          </cell>
          <cell r="G396">
            <v>0</v>
          </cell>
          <cell r="H396">
            <v>24255</v>
          </cell>
          <cell r="I396">
            <v>0</v>
          </cell>
          <cell r="J396">
            <v>0</v>
          </cell>
          <cell r="K396">
            <v>43832</v>
          </cell>
          <cell r="L396">
            <v>0</v>
          </cell>
          <cell r="M396">
            <v>0</v>
          </cell>
          <cell r="N396">
            <v>0</v>
          </cell>
          <cell r="O396">
            <v>7078</v>
          </cell>
          <cell r="P396">
            <v>6114</v>
          </cell>
          <cell r="Q396">
            <v>0</v>
          </cell>
          <cell r="R396">
            <v>11857</v>
          </cell>
          <cell r="S396">
            <v>0</v>
          </cell>
          <cell r="T396">
            <v>21348</v>
          </cell>
          <cell r="U396">
            <v>0</v>
          </cell>
          <cell r="V396">
            <v>8896</v>
          </cell>
          <cell r="W396">
            <v>17350</v>
          </cell>
          <cell r="X396">
            <v>17930</v>
          </cell>
          <cell r="Y396">
            <v>5482</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5430</v>
          </cell>
          <cell r="AN396">
            <v>15298</v>
          </cell>
          <cell r="AO396">
            <v>0</v>
          </cell>
          <cell r="AP396">
            <v>0</v>
          </cell>
          <cell r="AQ396">
            <v>0</v>
          </cell>
          <cell r="AR396">
            <v>0</v>
          </cell>
          <cell r="AS396">
            <v>7232</v>
          </cell>
          <cell r="AT396">
            <v>0</v>
          </cell>
          <cell r="AU396">
            <v>0</v>
          </cell>
          <cell r="AV396">
            <v>0</v>
          </cell>
          <cell r="AW396">
            <v>0</v>
          </cell>
          <cell r="AX396">
            <v>21361</v>
          </cell>
          <cell r="AY396">
            <v>0</v>
          </cell>
          <cell r="AZ396">
            <v>7460</v>
          </cell>
          <cell r="BA396">
            <v>8959</v>
          </cell>
          <cell r="BB396">
            <v>6036</v>
          </cell>
          <cell r="BC396">
            <v>11866</v>
          </cell>
          <cell r="BD396">
            <v>0</v>
          </cell>
          <cell r="BE396">
            <v>0</v>
          </cell>
          <cell r="BF396">
            <v>0</v>
          </cell>
        </row>
        <row r="397">
          <cell r="B397">
            <v>4</v>
          </cell>
          <cell r="C397">
            <v>0</v>
          </cell>
          <cell r="D397">
            <v>10485</v>
          </cell>
          <cell r="E397">
            <v>0</v>
          </cell>
          <cell r="F397">
            <v>0</v>
          </cell>
          <cell r="G397">
            <v>0</v>
          </cell>
          <cell r="H397">
            <v>0</v>
          </cell>
          <cell r="I397">
            <v>0</v>
          </cell>
          <cell r="J397">
            <v>0</v>
          </cell>
          <cell r="K397">
            <v>0</v>
          </cell>
          <cell r="L397">
            <v>3142</v>
          </cell>
          <cell r="M397">
            <v>0</v>
          </cell>
          <cell r="N397">
            <v>0</v>
          </cell>
          <cell r="O397">
            <v>35915</v>
          </cell>
          <cell r="P397">
            <v>3015</v>
          </cell>
          <cell r="Q397">
            <v>0</v>
          </cell>
          <cell r="R397">
            <v>0</v>
          </cell>
          <cell r="S397">
            <v>0</v>
          </cell>
          <cell r="T397">
            <v>6929</v>
          </cell>
          <cell r="U397">
            <v>0</v>
          </cell>
          <cell r="V397">
            <v>9699</v>
          </cell>
          <cell r="W397">
            <v>2100</v>
          </cell>
          <cell r="X397">
            <v>7422</v>
          </cell>
          <cell r="Y397">
            <v>8016</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19603</v>
          </cell>
          <cell r="AN397">
            <v>11249</v>
          </cell>
          <cell r="AO397">
            <v>0</v>
          </cell>
          <cell r="AP397">
            <v>0</v>
          </cell>
          <cell r="AQ397">
            <v>0</v>
          </cell>
          <cell r="AR397">
            <v>0</v>
          </cell>
          <cell r="AS397">
            <v>12985</v>
          </cell>
          <cell r="AT397">
            <v>0</v>
          </cell>
          <cell r="AU397">
            <v>0</v>
          </cell>
          <cell r="AV397">
            <v>0</v>
          </cell>
          <cell r="AW397">
            <v>0</v>
          </cell>
          <cell r="AX397">
            <v>24427</v>
          </cell>
          <cell r="AY397">
            <v>0</v>
          </cell>
          <cell r="AZ397">
            <v>0</v>
          </cell>
          <cell r="BA397">
            <v>5007</v>
          </cell>
          <cell r="BB397">
            <v>9371</v>
          </cell>
          <cell r="BC397">
            <v>23493</v>
          </cell>
          <cell r="BD397">
            <v>0</v>
          </cell>
          <cell r="BE397">
            <v>0</v>
          </cell>
          <cell r="BF397">
            <v>0</v>
          </cell>
        </row>
        <row r="398">
          <cell r="B398">
            <v>5</v>
          </cell>
          <cell r="C398">
            <v>0</v>
          </cell>
          <cell r="D398">
            <v>3447</v>
          </cell>
          <cell r="E398">
            <v>0</v>
          </cell>
          <cell r="F398">
            <v>0</v>
          </cell>
          <cell r="G398">
            <v>0</v>
          </cell>
          <cell r="H398">
            <v>0</v>
          </cell>
          <cell r="I398">
            <v>0</v>
          </cell>
          <cell r="J398">
            <v>0</v>
          </cell>
          <cell r="K398">
            <v>0</v>
          </cell>
          <cell r="L398">
            <v>0</v>
          </cell>
          <cell r="M398">
            <v>0</v>
          </cell>
          <cell r="N398">
            <v>0</v>
          </cell>
          <cell r="O398">
            <v>0</v>
          </cell>
          <cell r="P398">
            <v>1654</v>
          </cell>
          <cell r="Q398">
            <v>0</v>
          </cell>
          <cell r="R398">
            <v>0</v>
          </cell>
          <cell r="S398">
            <v>0</v>
          </cell>
          <cell r="T398">
            <v>0</v>
          </cell>
          <cell r="U398">
            <v>0</v>
          </cell>
          <cell r="V398">
            <v>12267</v>
          </cell>
          <cell r="W398">
            <v>2000</v>
          </cell>
          <cell r="X398">
            <v>13403</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11674</v>
          </cell>
          <cell r="AN398">
            <v>18790</v>
          </cell>
          <cell r="AO398">
            <v>0</v>
          </cell>
          <cell r="AP398">
            <v>0</v>
          </cell>
          <cell r="AQ398">
            <v>0</v>
          </cell>
          <cell r="AR398">
            <v>0</v>
          </cell>
          <cell r="AS398">
            <v>31673</v>
          </cell>
          <cell r="AT398">
            <v>0</v>
          </cell>
          <cell r="AU398">
            <v>0</v>
          </cell>
          <cell r="AV398">
            <v>0</v>
          </cell>
          <cell r="AW398">
            <v>0</v>
          </cell>
          <cell r="AX398">
            <v>0</v>
          </cell>
          <cell r="AY398">
            <v>0</v>
          </cell>
          <cell r="AZ398">
            <v>0</v>
          </cell>
          <cell r="BA398">
            <v>0</v>
          </cell>
          <cell r="BB398">
            <v>16048</v>
          </cell>
          <cell r="BC398">
            <v>28556</v>
          </cell>
          <cell r="BD398">
            <v>0</v>
          </cell>
          <cell r="BE398">
            <v>0</v>
          </cell>
          <cell r="BF398">
            <v>0</v>
          </cell>
        </row>
        <row r="399">
          <cell r="B399">
            <v>6</v>
          </cell>
          <cell r="C399">
            <v>0</v>
          </cell>
          <cell r="D399">
            <v>1806</v>
          </cell>
          <cell r="E399">
            <v>0</v>
          </cell>
          <cell r="F399">
            <v>0</v>
          </cell>
          <cell r="G399">
            <v>0</v>
          </cell>
          <cell r="H399">
            <v>0</v>
          </cell>
          <cell r="I399">
            <v>0</v>
          </cell>
          <cell r="J399">
            <v>0</v>
          </cell>
          <cell r="K399">
            <v>0</v>
          </cell>
          <cell r="L399">
            <v>0</v>
          </cell>
          <cell r="M399">
            <v>0</v>
          </cell>
          <cell r="N399">
            <v>0</v>
          </cell>
          <cell r="O399">
            <v>0</v>
          </cell>
          <cell r="P399">
            <v>5609</v>
          </cell>
          <cell r="Q399">
            <v>0</v>
          </cell>
          <cell r="R399">
            <v>0</v>
          </cell>
          <cell r="S399">
            <v>0</v>
          </cell>
          <cell r="T399">
            <v>0</v>
          </cell>
          <cell r="U399">
            <v>0</v>
          </cell>
          <cell r="V399">
            <v>7667</v>
          </cell>
          <cell r="W399">
            <v>38420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8754</v>
          </cell>
          <cell r="AO399">
            <v>0</v>
          </cell>
          <cell r="AP399">
            <v>0</v>
          </cell>
          <cell r="AQ399">
            <v>0</v>
          </cell>
          <cell r="AR399">
            <v>0</v>
          </cell>
          <cell r="AS399">
            <v>7321</v>
          </cell>
          <cell r="AT399">
            <v>0</v>
          </cell>
          <cell r="AU399">
            <v>0</v>
          </cell>
          <cell r="AV399">
            <v>0</v>
          </cell>
          <cell r="AW399">
            <v>0</v>
          </cell>
          <cell r="AX399">
            <v>0</v>
          </cell>
          <cell r="AY399">
            <v>0</v>
          </cell>
          <cell r="AZ399">
            <v>0</v>
          </cell>
          <cell r="BA399">
            <v>0</v>
          </cell>
          <cell r="BB399">
            <v>3596</v>
          </cell>
          <cell r="BC399">
            <v>7751</v>
          </cell>
          <cell r="BD399">
            <v>0</v>
          </cell>
          <cell r="BE399">
            <v>0</v>
          </cell>
          <cell r="BF399">
            <v>0</v>
          </cell>
        </row>
        <row r="400">
          <cell r="B400">
            <v>7</v>
          </cell>
          <cell r="C400">
            <v>0</v>
          </cell>
          <cell r="D400">
            <v>5989</v>
          </cell>
          <cell r="E400">
            <v>0</v>
          </cell>
          <cell r="F400">
            <v>0</v>
          </cell>
          <cell r="G400">
            <v>0</v>
          </cell>
          <cell r="H400">
            <v>0</v>
          </cell>
          <cell r="I400">
            <v>0</v>
          </cell>
          <cell r="J400">
            <v>0</v>
          </cell>
          <cell r="K400">
            <v>0</v>
          </cell>
          <cell r="L400">
            <v>0</v>
          </cell>
          <cell r="M400">
            <v>0</v>
          </cell>
          <cell r="N400">
            <v>0</v>
          </cell>
          <cell r="O400">
            <v>0</v>
          </cell>
          <cell r="P400">
            <v>5960</v>
          </cell>
          <cell r="Q400">
            <v>0</v>
          </cell>
          <cell r="R400">
            <v>0</v>
          </cell>
          <cell r="S400">
            <v>0</v>
          </cell>
          <cell r="T400">
            <v>0</v>
          </cell>
          <cell r="U400">
            <v>0</v>
          </cell>
          <cell r="V400">
            <v>5568</v>
          </cell>
          <cell r="W400">
            <v>6375</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6480</v>
          </cell>
          <cell r="AT400">
            <v>0</v>
          </cell>
          <cell r="AU400">
            <v>0</v>
          </cell>
          <cell r="AV400">
            <v>0</v>
          </cell>
          <cell r="AW400">
            <v>0</v>
          </cell>
          <cell r="AX400">
            <v>0</v>
          </cell>
          <cell r="AY400">
            <v>0</v>
          </cell>
          <cell r="AZ400">
            <v>0</v>
          </cell>
          <cell r="BA400">
            <v>0</v>
          </cell>
          <cell r="BB400">
            <v>6179</v>
          </cell>
          <cell r="BC400">
            <v>14505</v>
          </cell>
          <cell r="BD400">
            <v>0</v>
          </cell>
          <cell r="BE400">
            <v>0</v>
          </cell>
          <cell r="BF400">
            <v>0</v>
          </cell>
        </row>
        <row r="401">
          <cell r="B401">
            <v>8</v>
          </cell>
          <cell r="C401">
            <v>0</v>
          </cell>
          <cell r="D401">
            <v>0</v>
          </cell>
          <cell r="E401">
            <v>0</v>
          </cell>
          <cell r="F401">
            <v>0</v>
          </cell>
          <cell r="G401">
            <v>0</v>
          </cell>
          <cell r="H401">
            <v>0</v>
          </cell>
          <cell r="I401">
            <v>0</v>
          </cell>
          <cell r="J401">
            <v>0</v>
          </cell>
          <cell r="K401">
            <v>0</v>
          </cell>
          <cell r="L401">
            <v>0</v>
          </cell>
          <cell r="M401">
            <v>0</v>
          </cell>
          <cell r="N401">
            <v>0</v>
          </cell>
          <cell r="O401">
            <v>0</v>
          </cell>
          <cell r="P401">
            <v>2977</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12479</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row>
        <row r="402">
          <cell r="B402">
            <v>9</v>
          </cell>
          <cell r="C402">
            <v>0</v>
          </cell>
          <cell r="D402">
            <v>0</v>
          </cell>
          <cell r="E402">
            <v>0</v>
          </cell>
          <cell r="F402">
            <v>0</v>
          </cell>
          <cell r="G402">
            <v>0</v>
          </cell>
          <cell r="H402">
            <v>0</v>
          </cell>
          <cell r="I402">
            <v>0</v>
          </cell>
          <cell r="J402">
            <v>0</v>
          </cell>
          <cell r="K402">
            <v>0</v>
          </cell>
          <cell r="L402">
            <v>0</v>
          </cell>
          <cell r="M402">
            <v>0</v>
          </cell>
          <cell r="N402">
            <v>0</v>
          </cell>
          <cell r="O402">
            <v>0</v>
          </cell>
          <cell r="P402">
            <v>21312</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3237</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row>
        <row r="403">
          <cell r="B403">
            <v>10</v>
          </cell>
          <cell r="C403">
            <v>0</v>
          </cell>
          <cell r="D403">
            <v>0</v>
          </cell>
          <cell r="E403">
            <v>0</v>
          </cell>
          <cell r="F403">
            <v>0</v>
          </cell>
          <cell r="G403">
            <v>0</v>
          </cell>
          <cell r="H403">
            <v>0</v>
          </cell>
          <cell r="I403">
            <v>0</v>
          </cell>
          <cell r="J403">
            <v>0</v>
          </cell>
          <cell r="K403">
            <v>0</v>
          </cell>
          <cell r="L403">
            <v>0</v>
          </cell>
          <cell r="M403">
            <v>0</v>
          </cell>
          <cell r="N403">
            <v>0</v>
          </cell>
          <cell r="O403">
            <v>0</v>
          </cell>
          <cell r="P403">
            <v>7341</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8489</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row>
        <row r="404">
          <cell r="B404">
            <v>11</v>
          </cell>
          <cell r="C404">
            <v>0</v>
          </cell>
          <cell r="D404">
            <v>0</v>
          </cell>
          <cell r="E404">
            <v>0</v>
          </cell>
          <cell r="F404">
            <v>0</v>
          </cell>
          <cell r="G404">
            <v>0</v>
          </cell>
          <cell r="H404">
            <v>0</v>
          </cell>
          <cell r="I404">
            <v>0</v>
          </cell>
          <cell r="J404">
            <v>0</v>
          </cell>
          <cell r="K404">
            <v>0</v>
          </cell>
          <cell r="L404">
            <v>0</v>
          </cell>
          <cell r="M404">
            <v>0</v>
          </cell>
          <cell r="N404">
            <v>0</v>
          </cell>
          <cell r="O404">
            <v>0</v>
          </cell>
          <cell r="P404">
            <v>3968</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row>
        <row r="405">
          <cell r="B405">
            <v>12</v>
          </cell>
          <cell r="C405">
            <v>0</v>
          </cell>
          <cell r="D405">
            <v>0</v>
          </cell>
          <cell r="E405">
            <v>0</v>
          </cell>
          <cell r="F405">
            <v>0</v>
          </cell>
          <cell r="G405">
            <v>0</v>
          </cell>
          <cell r="H405">
            <v>0</v>
          </cell>
          <cell r="I405">
            <v>0</v>
          </cell>
          <cell r="J405">
            <v>0</v>
          </cell>
          <cell r="K405">
            <v>0</v>
          </cell>
          <cell r="L405">
            <v>0</v>
          </cell>
          <cell r="M405">
            <v>0</v>
          </cell>
          <cell r="N405">
            <v>0</v>
          </cell>
          <cell r="O405">
            <v>0</v>
          </cell>
          <cell r="P405">
            <v>5328</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row>
        <row r="406">
          <cell r="B406">
            <v>13</v>
          </cell>
          <cell r="C406">
            <v>0</v>
          </cell>
          <cell r="D406">
            <v>0</v>
          </cell>
          <cell r="E406">
            <v>0</v>
          </cell>
          <cell r="F406">
            <v>0</v>
          </cell>
          <cell r="G406">
            <v>0</v>
          </cell>
          <cell r="H406">
            <v>0</v>
          </cell>
          <cell r="I406">
            <v>0</v>
          </cell>
          <cell r="J406">
            <v>0</v>
          </cell>
          <cell r="K406">
            <v>0</v>
          </cell>
          <cell r="L406">
            <v>0</v>
          </cell>
          <cell r="M406">
            <v>0</v>
          </cell>
          <cell r="N406">
            <v>0</v>
          </cell>
          <cell r="O406">
            <v>0</v>
          </cell>
          <cell r="P406">
            <v>11253</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row>
        <row r="407">
          <cell r="B407">
            <v>14</v>
          </cell>
          <cell r="C407">
            <v>0</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row>
        <row r="408">
          <cell r="B408">
            <v>15</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row>
        <row r="409">
          <cell r="B409">
            <v>16</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row>
        <row r="410">
          <cell r="B410">
            <v>17</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row>
        <row r="411">
          <cell r="B411">
            <v>18</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row>
        <row r="412">
          <cell r="B412">
            <v>19</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row>
        <row r="413">
          <cell r="B413">
            <v>20</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row>
        <row r="414">
          <cell r="B414">
            <v>21</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row>
        <row r="415">
          <cell r="B415">
            <v>22</v>
          </cell>
          <cell r="C415">
            <v>0</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row>
        <row r="416">
          <cell r="B416">
            <v>23</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row>
        <row r="417">
          <cell r="B417">
            <v>24</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row>
        <row r="418">
          <cell r="B418">
            <v>25</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row>
        <row r="419">
          <cell r="B419">
            <v>26</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row>
        <row r="420">
          <cell r="B420">
            <v>27</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row>
        <row r="421">
          <cell r="B421">
            <v>28</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row>
        <row r="422">
          <cell r="B422">
            <v>29</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row>
        <row r="423">
          <cell r="B423">
            <v>30</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row>
        <row r="425">
          <cell r="A425" t="str">
            <v>סה"כ תושבים</v>
          </cell>
          <cell r="C425">
            <v>272257</v>
          </cell>
          <cell r="D425">
            <v>53223</v>
          </cell>
          <cell r="E425">
            <v>202428</v>
          </cell>
          <cell r="F425">
            <v>25041</v>
          </cell>
          <cell r="G425">
            <v>86970</v>
          </cell>
          <cell r="H425">
            <v>880832</v>
          </cell>
          <cell r="I425">
            <v>240666</v>
          </cell>
          <cell r="J425">
            <v>48946</v>
          </cell>
          <cell r="K425">
            <v>108910</v>
          </cell>
          <cell r="L425">
            <v>47243</v>
          </cell>
          <cell r="M425">
            <v>217959</v>
          </cell>
          <cell r="N425">
            <v>226381</v>
          </cell>
          <cell r="O425">
            <v>242266</v>
          </cell>
          <cell r="P425">
            <v>116266</v>
          </cell>
          <cell r="Q425">
            <v>178288</v>
          </cell>
          <cell r="R425">
            <v>68340</v>
          </cell>
          <cell r="S425">
            <v>72155</v>
          </cell>
          <cell r="T425">
            <v>126405</v>
          </cell>
          <cell r="U425">
            <v>86774</v>
          </cell>
          <cell r="V425">
            <v>77950</v>
          </cell>
          <cell r="W425">
            <v>126612</v>
          </cell>
          <cell r="X425">
            <v>131526</v>
          </cell>
          <cell r="Y425">
            <v>40905</v>
          </cell>
          <cell r="Z425">
            <v>54327</v>
          </cell>
          <cell r="AA425">
            <v>70206</v>
          </cell>
          <cell r="AB425">
            <v>50570</v>
          </cell>
          <cell r="AC425">
            <v>90733</v>
          </cell>
          <cell r="AD425">
            <v>44050</v>
          </cell>
          <cell r="AE425">
            <v>277082</v>
          </cell>
          <cell r="AF425">
            <v>61442</v>
          </cell>
          <cell r="AG425">
            <v>44633</v>
          </cell>
          <cell r="AH425">
            <v>60426</v>
          </cell>
          <cell r="AI425">
            <v>42165</v>
          </cell>
          <cell r="AJ425">
            <v>49892</v>
          </cell>
          <cell r="AK425">
            <v>39032</v>
          </cell>
          <cell r="AL425">
            <v>426138</v>
          </cell>
          <cell r="AM425">
            <v>70906</v>
          </cell>
          <cell r="AN425">
            <v>90760</v>
          </cell>
          <cell r="AO425">
            <v>150917</v>
          </cell>
          <cell r="AP425">
            <v>56849</v>
          </cell>
          <cell r="AQ425">
            <v>128498</v>
          </cell>
          <cell r="AR425">
            <v>65079</v>
          </cell>
          <cell r="AS425">
            <v>147195</v>
          </cell>
          <cell r="AT425">
            <v>98084</v>
          </cell>
          <cell r="AU425">
            <v>54134</v>
          </cell>
          <cell r="AV425">
            <v>157119</v>
          </cell>
          <cell r="AW425">
            <v>47464</v>
          </cell>
          <cell r="AX425">
            <v>55004</v>
          </cell>
          <cell r="AY425">
            <v>38945</v>
          </cell>
          <cell r="AZ425">
            <v>46125</v>
          </cell>
          <cell r="BA425">
            <v>71390</v>
          </cell>
          <cell r="BB425">
            <v>74117</v>
          </cell>
          <cell r="BC425">
            <v>107274</v>
          </cell>
          <cell r="BD425">
            <v>9112</v>
          </cell>
          <cell r="BE425">
            <v>15606</v>
          </cell>
          <cell r="BF425">
            <v>146501</v>
          </cell>
        </row>
        <row r="428">
          <cell r="B428">
            <v>1</v>
          </cell>
          <cell r="C428">
            <v>0</v>
          </cell>
          <cell r="D428">
            <v>0</v>
          </cell>
          <cell r="E428">
            <v>0</v>
          </cell>
          <cell r="F428">
            <v>0</v>
          </cell>
          <cell r="G428">
            <v>0</v>
          </cell>
          <cell r="H428">
            <v>0</v>
          </cell>
          <cell r="I428">
            <v>0</v>
          </cell>
          <cell r="J428">
            <v>0</v>
          </cell>
          <cell r="K428">
            <v>0</v>
          </cell>
          <cell r="L428">
            <v>42287</v>
          </cell>
          <cell r="M428">
            <v>0</v>
          </cell>
          <cell r="N428">
            <v>0</v>
          </cell>
          <cell r="O428">
            <v>0</v>
          </cell>
          <cell r="P428">
            <v>32896</v>
          </cell>
          <cell r="Q428">
            <v>178288</v>
          </cell>
          <cell r="R428">
            <v>0</v>
          </cell>
          <cell r="S428">
            <v>72155</v>
          </cell>
          <cell r="T428">
            <v>72293</v>
          </cell>
          <cell r="U428">
            <v>0</v>
          </cell>
          <cell r="V428">
            <v>20832</v>
          </cell>
          <cell r="W428">
            <v>51367</v>
          </cell>
          <cell r="X428">
            <v>74619</v>
          </cell>
          <cell r="Y428">
            <v>0</v>
          </cell>
          <cell r="Z428">
            <v>0</v>
          </cell>
          <cell r="AA428">
            <v>0</v>
          </cell>
          <cell r="AB428">
            <v>50570</v>
          </cell>
          <cell r="AC428">
            <v>0</v>
          </cell>
          <cell r="AD428">
            <v>0</v>
          </cell>
          <cell r="AE428">
            <v>0</v>
          </cell>
          <cell r="AF428">
            <v>0</v>
          </cell>
          <cell r="AG428">
            <v>0</v>
          </cell>
          <cell r="AH428">
            <v>60426</v>
          </cell>
          <cell r="AI428">
            <v>0</v>
          </cell>
          <cell r="AJ428">
            <v>0</v>
          </cell>
          <cell r="AK428">
            <v>0</v>
          </cell>
          <cell r="AL428">
            <v>0</v>
          </cell>
          <cell r="AM428">
            <v>0</v>
          </cell>
          <cell r="AN428">
            <v>18083</v>
          </cell>
          <cell r="AO428">
            <v>0</v>
          </cell>
          <cell r="AP428">
            <v>0</v>
          </cell>
          <cell r="AQ428">
            <v>0</v>
          </cell>
          <cell r="AR428">
            <v>0</v>
          </cell>
          <cell r="AS428">
            <v>39246</v>
          </cell>
          <cell r="AT428">
            <v>98084</v>
          </cell>
          <cell r="AU428">
            <v>0</v>
          </cell>
          <cell r="AV428">
            <v>0</v>
          </cell>
          <cell r="AW428">
            <v>47464</v>
          </cell>
          <cell r="AX428">
            <v>0</v>
          </cell>
          <cell r="AY428">
            <v>0</v>
          </cell>
          <cell r="AZ428">
            <v>0</v>
          </cell>
          <cell r="BA428">
            <v>33195</v>
          </cell>
          <cell r="BB428">
            <v>13151</v>
          </cell>
          <cell r="BC428">
            <v>11479</v>
          </cell>
          <cell r="BD428">
            <v>0</v>
          </cell>
          <cell r="BE428">
            <v>0</v>
          </cell>
          <cell r="BF428">
            <v>0</v>
          </cell>
        </row>
        <row r="429">
          <cell r="B429">
            <v>2</v>
          </cell>
          <cell r="C429">
            <v>43627</v>
          </cell>
          <cell r="D429">
            <v>0</v>
          </cell>
          <cell r="E429">
            <v>0</v>
          </cell>
          <cell r="F429">
            <v>0</v>
          </cell>
          <cell r="G429">
            <v>0</v>
          </cell>
          <cell r="H429">
            <v>6795</v>
          </cell>
          <cell r="I429">
            <v>0</v>
          </cell>
          <cell r="J429">
            <v>0</v>
          </cell>
          <cell r="K429">
            <v>0</v>
          </cell>
          <cell r="L429">
            <v>0</v>
          </cell>
          <cell r="M429">
            <v>0</v>
          </cell>
          <cell r="N429">
            <v>25295</v>
          </cell>
          <cell r="O429">
            <v>0</v>
          </cell>
          <cell r="P429">
            <v>8839</v>
          </cell>
          <cell r="Q429">
            <v>0</v>
          </cell>
          <cell r="R429">
            <v>0</v>
          </cell>
          <cell r="S429">
            <v>0</v>
          </cell>
          <cell r="T429">
            <v>0</v>
          </cell>
          <cell r="U429">
            <v>0</v>
          </cell>
          <cell r="V429">
            <v>13021</v>
          </cell>
          <cell r="W429">
            <v>9000</v>
          </cell>
          <cell r="X429">
            <v>18152</v>
          </cell>
          <cell r="Y429">
            <v>0</v>
          </cell>
          <cell r="Z429">
            <v>0</v>
          </cell>
          <cell r="AA429">
            <v>0</v>
          </cell>
          <cell r="AB429">
            <v>0</v>
          </cell>
          <cell r="AC429">
            <v>0</v>
          </cell>
          <cell r="AD429">
            <v>0</v>
          </cell>
          <cell r="AE429">
            <v>0</v>
          </cell>
          <cell r="AF429">
            <v>0</v>
          </cell>
          <cell r="AG429">
            <v>0</v>
          </cell>
          <cell r="AH429">
            <v>0</v>
          </cell>
          <cell r="AI429">
            <v>0</v>
          </cell>
          <cell r="AJ429">
            <v>10302</v>
          </cell>
          <cell r="AK429">
            <v>0</v>
          </cell>
          <cell r="AL429">
            <v>0</v>
          </cell>
          <cell r="AM429">
            <v>0</v>
          </cell>
          <cell r="AN429">
            <v>18586</v>
          </cell>
          <cell r="AO429">
            <v>0</v>
          </cell>
          <cell r="AP429">
            <v>0</v>
          </cell>
          <cell r="AQ429">
            <v>0</v>
          </cell>
          <cell r="AR429">
            <v>0</v>
          </cell>
          <cell r="AS429">
            <v>18053</v>
          </cell>
          <cell r="AT429">
            <v>0</v>
          </cell>
          <cell r="AU429">
            <v>0</v>
          </cell>
          <cell r="AV429">
            <v>30300</v>
          </cell>
          <cell r="AW429">
            <v>0</v>
          </cell>
          <cell r="AX429">
            <v>9216</v>
          </cell>
          <cell r="AY429">
            <v>0</v>
          </cell>
          <cell r="AZ429">
            <v>0</v>
          </cell>
          <cell r="BA429">
            <v>0</v>
          </cell>
          <cell r="BB429">
            <v>19736</v>
          </cell>
          <cell r="BC429">
            <v>9624</v>
          </cell>
          <cell r="BD429">
            <v>0</v>
          </cell>
          <cell r="BE429">
            <v>0</v>
          </cell>
          <cell r="BF429">
            <v>0</v>
          </cell>
        </row>
        <row r="430">
          <cell r="B430">
            <v>3</v>
          </cell>
          <cell r="C430">
            <v>3274</v>
          </cell>
          <cell r="D430">
            <v>0</v>
          </cell>
          <cell r="E430">
            <v>0</v>
          </cell>
          <cell r="F430">
            <v>0</v>
          </cell>
          <cell r="G430">
            <v>0</v>
          </cell>
          <cell r="H430">
            <v>0</v>
          </cell>
          <cell r="I430">
            <v>0</v>
          </cell>
          <cell r="J430">
            <v>0</v>
          </cell>
          <cell r="K430">
            <v>0</v>
          </cell>
          <cell r="L430">
            <v>0</v>
          </cell>
          <cell r="M430">
            <v>0</v>
          </cell>
          <cell r="N430">
            <v>0</v>
          </cell>
          <cell r="O430">
            <v>0</v>
          </cell>
          <cell r="P430">
            <v>6114</v>
          </cell>
          <cell r="Q430">
            <v>0</v>
          </cell>
          <cell r="R430">
            <v>0</v>
          </cell>
          <cell r="S430">
            <v>0</v>
          </cell>
          <cell r="T430">
            <v>21348</v>
          </cell>
          <cell r="U430">
            <v>0</v>
          </cell>
          <cell r="V430">
            <v>8896</v>
          </cell>
          <cell r="W430">
            <v>17350</v>
          </cell>
          <cell r="X430">
            <v>17930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15298</v>
          </cell>
          <cell r="AO430">
            <v>0</v>
          </cell>
          <cell r="AP430">
            <v>0</v>
          </cell>
          <cell r="AQ430">
            <v>0</v>
          </cell>
          <cell r="AR430">
            <v>0</v>
          </cell>
          <cell r="AS430">
            <v>7232</v>
          </cell>
          <cell r="AT430">
            <v>0</v>
          </cell>
          <cell r="AU430">
            <v>0</v>
          </cell>
          <cell r="AV430">
            <v>0</v>
          </cell>
          <cell r="AW430">
            <v>0</v>
          </cell>
          <cell r="AX430">
            <v>21361</v>
          </cell>
          <cell r="AY430">
            <v>0</v>
          </cell>
          <cell r="AZ430">
            <v>0</v>
          </cell>
          <cell r="BA430">
            <v>8959</v>
          </cell>
          <cell r="BB430">
            <v>6036</v>
          </cell>
          <cell r="BC430">
            <v>11866</v>
          </cell>
          <cell r="BD430">
            <v>0</v>
          </cell>
          <cell r="BE430">
            <v>0</v>
          </cell>
          <cell r="BF430">
            <v>0</v>
          </cell>
        </row>
        <row r="431">
          <cell r="B431">
            <v>4</v>
          </cell>
          <cell r="C431">
            <v>0</v>
          </cell>
          <cell r="D431">
            <v>10485</v>
          </cell>
          <cell r="E431">
            <v>0</v>
          </cell>
          <cell r="F431">
            <v>0</v>
          </cell>
          <cell r="G431">
            <v>0</v>
          </cell>
          <cell r="H431">
            <v>0</v>
          </cell>
          <cell r="I431">
            <v>0</v>
          </cell>
          <cell r="J431">
            <v>0</v>
          </cell>
          <cell r="K431">
            <v>0</v>
          </cell>
          <cell r="L431">
            <v>3142</v>
          </cell>
          <cell r="M431">
            <v>0</v>
          </cell>
          <cell r="N431">
            <v>0</v>
          </cell>
          <cell r="O431">
            <v>0</v>
          </cell>
          <cell r="P431">
            <v>0</v>
          </cell>
          <cell r="Q431">
            <v>0</v>
          </cell>
          <cell r="R431">
            <v>0</v>
          </cell>
          <cell r="S431">
            <v>0</v>
          </cell>
          <cell r="T431">
            <v>0</v>
          </cell>
          <cell r="U431">
            <v>0</v>
          </cell>
          <cell r="V431">
            <v>9699</v>
          </cell>
          <cell r="W431">
            <v>2100</v>
          </cell>
          <cell r="X431">
            <v>7422</v>
          </cell>
          <cell r="Y431">
            <v>8016</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11249</v>
          </cell>
          <cell r="AO431">
            <v>0</v>
          </cell>
          <cell r="AP431">
            <v>0</v>
          </cell>
          <cell r="AQ431">
            <v>0</v>
          </cell>
          <cell r="AR431">
            <v>0</v>
          </cell>
          <cell r="AS431">
            <v>12985</v>
          </cell>
          <cell r="AT431">
            <v>0</v>
          </cell>
          <cell r="AU431">
            <v>0</v>
          </cell>
          <cell r="AV431">
            <v>0</v>
          </cell>
          <cell r="AW431">
            <v>0</v>
          </cell>
          <cell r="AX431">
            <v>24427</v>
          </cell>
          <cell r="AY431">
            <v>0</v>
          </cell>
          <cell r="AZ431">
            <v>0</v>
          </cell>
          <cell r="BA431">
            <v>5007</v>
          </cell>
          <cell r="BB431">
            <v>9371</v>
          </cell>
          <cell r="BC431">
            <v>23493</v>
          </cell>
          <cell r="BD431">
            <v>0</v>
          </cell>
          <cell r="BE431">
            <v>0</v>
          </cell>
          <cell r="BF431">
            <v>0</v>
          </cell>
        </row>
        <row r="432">
          <cell r="B432">
            <v>5</v>
          </cell>
          <cell r="C432">
            <v>0</v>
          </cell>
          <cell r="D432">
            <v>3447</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12267</v>
          </cell>
          <cell r="W432">
            <v>2000</v>
          </cell>
          <cell r="X432">
            <v>13403</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18790</v>
          </cell>
          <cell r="AO432">
            <v>0</v>
          </cell>
          <cell r="AP432">
            <v>0</v>
          </cell>
          <cell r="AQ432">
            <v>0</v>
          </cell>
          <cell r="AR432">
            <v>0</v>
          </cell>
          <cell r="AS432">
            <v>31673</v>
          </cell>
          <cell r="AT432">
            <v>0</v>
          </cell>
          <cell r="AU432">
            <v>0</v>
          </cell>
          <cell r="AV432">
            <v>0</v>
          </cell>
          <cell r="AW432">
            <v>0</v>
          </cell>
          <cell r="AX432">
            <v>0</v>
          </cell>
          <cell r="AY432">
            <v>0</v>
          </cell>
          <cell r="AZ432">
            <v>0</v>
          </cell>
          <cell r="BA432">
            <v>0</v>
          </cell>
          <cell r="BB432">
            <v>16048</v>
          </cell>
          <cell r="BC432">
            <v>28556</v>
          </cell>
          <cell r="BD432">
            <v>0</v>
          </cell>
          <cell r="BE432">
            <v>0</v>
          </cell>
          <cell r="BF432">
            <v>0</v>
          </cell>
        </row>
        <row r="433">
          <cell r="B433">
            <v>6</v>
          </cell>
          <cell r="C433">
            <v>0</v>
          </cell>
          <cell r="D433">
            <v>1806</v>
          </cell>
          <cell r="E433">
            <v>0</v>
          </cell>
          <cell r="F433">
            <v>0</v>
          </cell>
          <cell r="G433">
            <v>0</v>
          </cell>
          <cell r="H433">
            <v>0</v>
          </cell>
          <cell r="I433">
            <v>0</v>
          </cell>
          <cell r="J433">
            <v>0</v>
          </cell>
          <cell r="K433">
            <v>0</v>
          </cell>
          <cell r="L433">
            <v>0</v>
          </cell>
          <cell r="M433">
            <v>0</v>
          </cell>
          <cell r="N433">
            <v>0</v>
          </cell>
          <cell r="O433">
            <v>0</v>
          </cell>
          <cell r="P433">
            <v>5609</v>
          </cell>
          <cell r="Q433">
            <v>0</v>
          </cell>
          <cell r="R433">
            <v>0</v>
          </cell>
          <cell r="S433">
            <v>0</v>
          </cell>
          <cell r="T433">
            <v>0</v>
          </cell>
          <cell r="U433">
            <v>0</v>
          </cell>
          <cell r="V433">
            <v>7667</v>
          </cell>
          <cell r="W433">
            <v>38420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8754</v>
          </cell>
          <cell r="AO433">
            <v>0</v>
          </cell>
          <cell r="AP433">
            <v>0</v>
          </cell>
          <cell r="AQ433">
            <v>0</v>
          </cell>
          <cell r="AR433">
            <v>0</v>
          </cell>
          <cell r="AS433">
            <v>7321</v>
          </cell>
          <cell r="AT433">
            <v>0</v>
          </cell>
          <cell r="AU433">
            <v>0</v>
          </cell>
          <cell r="AV433">
            <v>0</v>
          </cell>
          <cell r="AW433">
            <v>0</v>
          </cell>
          <cell r="AX433">
            <v>0</v>
          </cell>
          <cell r="AY433">
            <v>0</v>
          </cell>
          <cell r="AZ433">
            <v>0</v>
          </cell>
          <cell r="BA433">
            <v>0</v>
          </cell>
          <cell r="BB433">
            <v>3596</v>
          </cell>
          <cell r="BC433">
            <v>7751</v>
          </cell>
          <cell r="BD433">
            <v>0</v>
          </cell>
          <cell r="BE433">
            <v>0</v>
          </cell>
          <cell r="BF433">
            <v>0</v>
          </cell>
        </row>
        <row r="434">
          <cell r="B434">
            <v>7</v>
          </cell>
          <cell r="C434">
            <v>0</v>
          </cell>
          <cell r="D434">
            <v>5989</v>
          </cell>
          <cell r="E434">
            <v>0</v>
          </cell>
          <cell r="F434">
            <v>0</v>
          </cell>
          <cell r="G434">
            <v>0</v>
          </cell>
          <cell r="H434">
            <v>0</v>
          </cell>
          <cell r="I434">
            <v>0</v>
          </cell>
          <cell r="J434">
            <v>0</v>
          </cell>
          <cell r="K434">
            <v>0</v>
          </cell>
          <cell r="L434">
            <v>0</v>
          </cell>
          <cell r="M434">
            <v>0</v>
          </cell>
          <cell r="N434">
            <v>0</v>
          </cell>
          <cell r="O434">
            <v>0</v>
          </cell>
          <cell r="P434">
            <v>5960</v>
          </cell>
          <cell r="Q434">
            <v>0</v>
          </cell>
          <cell r="R434">
            <v>0</v>
          </cell>
          <cell r="S434">
            <v>0</v>
          </cell>
          <cell r="T434">
            <v>0</v>
          </cell>
          <cell r="U434">
            <v>0</v>
          </cell>
          <cell r="V434">
            <v>5568</v>
          </cell>
          <cell r="W434">
            <v>6375</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6480</v>
          </cell>
          <cell r="AT434">
            <v>0</v>
          </cell>
          <cell r="AU434">
            <v>0</v>
          </cell>
          <cell r="AV434">
            <v>0</v>
          </cell>
          <cell r="AW434">
            <v>0</v>
          </cell>
          <cell r="AX434">
            <v>0</v>
          </cell>
          <cell r="AY434">
            <v>0</v>
          </cell>
          <cell r="AZ434">
            <v>0</v>
          </cell>
          <cell r="BA434">
            <v>0</v>
          </cell>
          <cell r="BB434">
            <v>6179</v>
          </cell>
          <cell r="BC434">
            <v>14505</v>
          </cell>
          <cell r="BD434">
            <v>0</v>
          </cell>
          <cell r="BE434">
            <v>0</v>
          </cell>
          <cell r="BF434">
            <v>0</v>
          </cell>
        </row>
        <row r="435">
          <cell r="B435">
            <v>8</v>
          </cell>
          <cell r="C435">
            <v>0</v>
          </cell>
          <cell r="D435">
            <v>0</v>
          </cell>
          <cell r="E435">
            <v>0</v>
          </cell>
          <cell r="F435">
            <v>0</v>
          </cell>
          <cell r="G435">
            <v>0</v>
          </cell>
          <cell r="H435">
            <v>0</v>
          </cell>
          <cell r="I435">
            <v>0</v>
          </cell>
          <cell r="J435">
            <v>0</v>
          </cell>
          <cell r="K435">
            <v>0</v>
          </cell>
          <cell r="L435">
            <v>0</v>
          </cell>
          <cell r="M435">
            <v>0</v>
          </cell>
          <cell r="N435">
            <v>0</v>
          </cell>
          <cell r="O435">
            <v>0</v>
          </cell>
          <cell r="P435">
            <v>2977</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12479</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row>
        <row r="436">
          <cell r="B436">
            <v>9</v>
          </cell>
          <cell r="C436">
            <v>0</v>
          </cell>
          <cell r="D436">
            <v>0</v>
          </cell>
          <cell r="E436">
            <v>0</v>
          </cell>
          <cell r="F436">
            <v>0</v>
          </cell>
          <cell r="G436">
            <v>0</v>
          </cell>
          <cell r="H436">
            <v>0</v>
          </cell>
          <cell r="I436">
            <v>0</v>
          </cell>
          <cell r="J436">
            <v>0</v>
          </cell>
          <cell r="K436">
            <v>0</v>
          </cell>
          <cell r="L436">
            <v>0</v>
          </cell>
          <cell r="M436">
            <v>0</v>
          </cell>
          <cell r="N436">
            <v>0</v>
          </cell>
          <cell r="O436">
            <v>0</v>
          </cell>
          <cell r="P436">
            <v>21312</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3237</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row>
        <row r="437">
          <cell r="B437">
            <v>10</v>
          </cell>
          <cell r="C437">
            <v>0</v>
          </cell>
          <cell r="D437">
            <v>0</v>
          </cell>
          <cell r="E437">
            <v>0</v>
          </cell>
          <cell r="F437">
            <v>0</v>
          </cell>
          <cell r="G437">
            <v>0</v>
          </cell>
          <cell r="H437">
            <v>0</v>
          </cell>
          <cell r="I437">
            <v>0</v>
          </cell>
          <cell r="J437">
            <v>0</v>
          </cell>
          <cell r="K437">
            <v>0</v>
          </cell>
          <cell r="L437">
            <v>0</v>
          </cell>
          <cell r="M437">
            <v>0</v>
          </cell>
          <cell r="N437">
            <v>0</v>
          </cell>
          <cell r="O437">
            <v>0</v>
          </cell>
          <cell r="P437">
            <v>7341</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8489</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row>
        <row r="438">
          <cell r="B438">
            <v>11</v>
          </cell>
          <cell r="C438">
            <v>0</v>
          </cell>
          <cell r="D438">
            <v>0</v>
          </cell>
          <cell r="E438">
            <v>0</v>
          </cell>
          <cell r="F438">
            <v>0</v>
          </cell>
          <cell r="G438">
            <v>0</v>
          </cell>
          <cell r="H438">
            <v>0</v>
          </cell>
          <cell r="I438">
            <v>0</v>
          </cell>
          <cell r="J438">
            <v>0</v>
          </cell>
          <cell r="K438">
            <v>0</v>
          </cell>
          <cell r="L438">
            <v>0</v>
          </cell>
          <cell r="M438">
            <v>0</v>
          </cell>
          <cell r="N438">
            <v>0</v>
          </cell>
          <cell r="O438">
            <v>0</v>
          </cell>
          <cell r="P438">
            <v>3968</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row>
        <row r="439">
          <cell r="B439">
            <v>12</v>
          </cell>
          <cell r="C439">
            <v>0</v>
          </cell>
          <cell r="D439">
            <v>0</v>
          </cell>
          <cell r="E439">
            <v>0</v>
          </cell>
          <cell r="F439">
            <v>0</v>
          </cell>
          <cell r="G439">
            <v>0</v>
          </cell>
          <cell r="H439">
            <v>0</v>
          </cell>
          <cell r="I439">
            <v>0</v>
          </cell>
          <cell r="J439">
            <v>0</v>
          </cell>
          <cell r="K439">
            <v>0</v>
          </cell>
          <cell r="L439">
            <v>0</v>
          </cell>
          <cell r="M439">
            <v>0</v>
          </cell>
          <cell r="N439">
            <v>0</v>
          </cell>
          <cell r="O439">
            <v>0</v>
          </cell>
          <cell r="P439">
            <v>5328</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row>
        <row r="440">
          <cell r="B440">
            <v>13</v>
          </cell>
          <cell r="C440">
            <v>0</v>
          </cell>
          <cell r="D440">
            <v>0</v>
          </cell>
          <cell r="E440">
            <v>0</v>
          </cell>
          <cell r="F440">
            <v>0</v>
          </cell>
          <cell r="G440">
            <v>0</v>
          </cell>
          <cell r="H440">
            <v>0</v>
          </cell>
          <cell r="I440">
            <v>0</v>
          </cell>
          <cell r="J440">
            <v>0</v>
          </cell>
          <cell r="K440">
            <v>0</v>
          </cell>
          <cell r="L440">
            <v>0</v>
          </cell>
          <cell r="M440">
            <v>0</v>
          </cell>
          <cell r="N440">
            <v>0</v>
          </cell>
          <cell r="O440">
            <v>0</v>
          </cell>
          <cell r="P440">
            <v>11253</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row>
        <row r="441">
          <cell r="B441">
            <v>14</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row>
        <row r="442">
          <cell r="B442">
            <v>15</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row>
        <row r="443">
          <cell r="B443">
            <v>16</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row>
        <row r="444">
          <cell r="B444">
            <v>17</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row>
        <row r="445">
          <cell r="B445">
            <v>18</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row>
        <row r="446">
          <cell r="B446">
            <v>19</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row>
        <row r="447">
          <cell r="B447">
            <v>20</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row>
        <row r="448">
          <cell r="B448">
            <v>21</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row>
        <row r="449">
          <cell r="B449">
            <v>22</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row>
        <row r="450">
          <cell r="B450">
            <v>23</v>
          </cell>
          <cell r="C450">
            <v>0</v>
          </cell>
          <cell r="D450">
            <v>0</v>
          </cell>
          <cell r="E450">
            <v>0</v>
          </cell>
          <cell r="F450">
            <v>0</v>
          </cell>
          <cell r="G450">
            <v>0</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row>
        <row r="451">
          <cell r="B451">
            <v>24</v>
          </cell>
          <cell r="C451">
            <v>0</v>
          </cell>
          <cell r="D451">
            <v>0</v>
          </cell>
          <cell r="E451">
            <v>0</v>
          </cell>
          <cell r="F451">
            <v>0</v>
          </cell>
          <cell r="G451">
            <v>0</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row>
        <row r="452">
          <cell r="B452">
            <v>25</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row>
        <row r="453">
          <cell r="B453">
            <v>26</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row>
        <row r="454">
          <cell r="B454">
            <v>27</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row>
        <row r="455">
          <cell r="B455">
            <v>28</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row>
        <row r="456">
          <cell r="B456">
            <v>29</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row>
        <row r="457">
          <cell r="B457">
            <v>30</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row>
        <row r="459">
          <cell r="C459">
            <v>46901</v>
          </cell>
          <cell r="D459">
            <v>21727</v>
          </cell>
          <cell r="E459">
            <v>0</v>
          </cell>
          <cell r="F459">
            <v>0</v>
          </cell>
          <cell r="G459">
            <v>0</v>
          </cell>
          <cell r="H459">
            <v>6795</v>
          </cell>
          <cell r="I459">
            <v>0</v>
          </cell>
          <cell r="J459">
            <v>0</v>
          </cell>
          <cell r="K459">
            <v>0</v>
          </cell>
          <cell r="L459">
            <v>45429</v>
          </cell>
          <cell r="M459">
            <v>0</v>
          </cell>
          <cell r="N459">
            <v>25295</v>
          </cell>
          <cell r="O459">
            <v>0</v>
          </cell>
          <cell r="P459">
            <v>111597</v>
          </cell>
          <cell r="Q459">
            <v>178288</v>
          </cell>
          <cell r="R459">
            <v>0</v>
          </cell>
          <cell r="S459">
            <v>72155</v>
          </cell>
          <cell r="T459">
            <v>93641</v>
          </cell>
          <cell r="U459">
            <v>0</v>
          </cell>
          <cell r="V459">
            <v>77950</v>
          </cell>
          <cell r="W459">
            <v>126612</v>
          </cell>
          <cell r="X459">
            <v>131526</v>
          </cell>
          <cell r="Y459">
            <v>8016</v>
          </cell>
          <cell r="Z459">
            <v>0</v>
          </cell>
          <cell r="AA459">
            <v>0</v>
          </cell>
          <cell r="AB459">
            <v>50570</v>
          </cell>
          <cell r="AC459">
            <v>0</v>
          </cell>
          <cell r="AD459">
            <v>0</v>
          </cell>
          <cell r="AE459">
            <v>0</v>
          </cell>
          <cell r="AF459">
            <v>0</v>
          </cell>
          <cell r="AG459">
            <v>0</v>
          </cell>
          <cell r="AH459">
            <v>60426</v>
          </cell>
          <cell r="AI459">
            <v>0</v>
          </cell>
          <cell r="AJ459">
            <v>10302</v>
          </cell>
          <cell r="AK459">
            <v>0</v>
          </cell>
          <cell r="AL459">
            <v>0</v>
          </cell>
          <cell r="AM459">
            <v>0</v>
          </cell>
          <cell r="AN459">
            <v>90760</v>
          </cell>
          <cell r="AO459">
            <v>0</v>
          </cell>
          <cell r="AP459">
            <v>0</v>
          </cell>
          <cell r="AQ459">
            <v>0</v>
          </cell>
          <cell r="AR459">
            <v>0</v>
          </cell>
          <cell r="AS459">
            <v>147195</v>
          </cell>
          <cell r="AT459">
            <v>98084</v>
          </cell>
          <cell r="AU459">
            <v>0</v>
          </cell>
          <cell r="AV459">
            <v>30300</v>
          </cell>
          <cell r="AW459">
            <v>47464</v>
          </cell>
          <cell r="AX459">
            <v>55004</v>
          </cell>
          <cell r="AY459">
            <v>0</v>
          </cell>
          <cell r="AZ459">
            <v>0</v>
          </cell>
          <cell r="BA459">
            <v>47161</v>
          </cell>
          <cell r="BB459">
            <v>74117</v>
          </cell>
          <cell r="BC459">
            <v>107274</v>
          </cell>
          <cell r="BD459">
            <v>0</v>
          </cell>
          <cell r="BE459">
            <v>0</v>
          </cell>
          <cell r="BF459">
            <v>0</v>
          </cell>
        </row>
        <row r="462">
          <cell r="A462" t="str">
            <v>יחס חלש לחזק</v>
          </cell>
          <cell r="C462">
            <v>0.17226737971842782</v>
          </cell>
          <cell r="D462">
            <v>0.40822576705559627</v>
          </cell>
          <cell r="E462">
            <v>0</v>
          </cell>
          <cell r="F462">
            <v>0</v>
          </cell>
          <cell r="G462">
            <v>0</v>
          </cell>
          <cell r="H462">
            <v>7.7142973915570734E-3</v>
          </cell>
          <cell r="I462">
            <v>0</v>
          </cell>
          <cell r="J462">
            <v>0</v>
          </cell>
          <cell r="K462">
            <v>0</v>
          </cell>
          <cell r="L462">
            <v>0.96160277713100351</v>
          </cell>
          <cell r="M462">
            <v>0</v>
          </cell>
          <cell r="N462">
            <v>0.11173640897425137</v>
          </cell>
          <cell r="O462">
            <v>0</v>
          </cell>
          <cell r="P462">
            <v>0.95984208625049461</v>
          </cell>
          <cell r="Q462">
            <v>1</v>
          </cell>
          <cell r="R462">
            <v>0</v>
          </cell>
          <cell r="S462">
            <v>1</v>
          </cell>
          <cell r="T462">
            <v>0.74080139234998621</v>
          </cell>
          <cell r="U462">
            <v>0</v>
          </cell>
          <cell r="V462">
            <v>1</v>
          </cell>
          <cell r="W462">
            <v>1</v>
          </cell>
          <cell r="X462">
            <v>1</v>
          </cell>
          <cell r="Y462">
            <v>0.19596626329299596</v>
          </cell>
          <cell r="Z462">
            <v>0</v>
          </cell>
          <cell r="AA462">
            <v>0</v>
          </cell>
          <cell r="AB462">
            <v>1</v>
          </cell>
          <cell r="AC462">
            <v>0</v>
          </cell>
          <cell r="AD462">
            <v>0</v>
          </cell>
          <cell r="AE462">
            <v>0</v>
          </cell>
          <cell r="AF462">
            <v>0</v>
          </cell>
          <cell r="AG462">
            <v>0</v>
          </cell>
          <cell r="AH462">
            <v>1</v>
          </cell>
          <cell r="AI462">
            <v>0</v>
          </cell>
          <cell r="AJ462">
            <v>0.20648600978112724</v>
          </cell>
          <cell r="AK462">
            <v>0</v>
          </cell>
          <cell r="AL462">
            <v>0</v>
          </cell>
          <cell r="AM462">
            <v>0</v>
          </cell>
          <cell r="AN462">
            <v>1</v>
          </cell>
          <cell r="AO462">
            <v>0</v>
          </cell>
          <cell r="AP462">
            <v>0</v>
          </cell>
          <cell r="AQ462">
            <v>0</v>
          </cell>
          <cell r="AR462">
            <v>0</v>
          </cell>
          <cell r="AS462">
            <v>1</v>
          </cell>
          <cell r="AT462">
            <v>1</v>
          </cell>
          <cell r="AU462">
            <v>0</v>
          </cell>
          <cell r="AV462">
            <v>0.19284745956886182</v>
          </cell>
          <cell r="AW462">
            <v>1</v>
          </cell>
          <cell r="AX462">
            <v>1</v>
          </cell>
          <cell r="AY462">
            <v>0</v>
          </cell>
          <cell r="AZ462">
            <v>0</v>
          </cell>
          <cell r="BA462">
            <v>0.66061072979408886</v>
          </cell>
          <cell r="BB462">
            <v>1</v>
          </cell>
          <cell r="BC462">
            <v>1</v>
          </cell>
          <cell r="BD462">
            <v>0</v>
          </cell>
          <cell r="BE462">
            <v>0</v>
          </cell>
          <cell r="BF462">
            <v>0</v>
          </cell>
        </row>
        <row r="464">
          <cell r="A464" t="str">
            <v>שנת הקמה</v>
          </cell>
          <cell r="C464">
            <v>2004</v>
          </cell>
          <cell r="D464">
            <v>2008</v>
          </cell>
          <cell r="E464">
            <v>2004</v>
          </cell>
          <cell r="F464">
            <v>2008</v>
          </cell>
          <cell r="G464">
            <v>2006</v>
          </cell>
          <cell r="H464">
            <v>1997</v>
          </cell>
          <cell r="I464">
            <v>2003</v>
          </cell>
          <cell r="J464">
            <v>2006</v>
          </cell>
          <cell r="K464">
            <v>2004</v>
          </cell>
          <cell r="L464">
            <v>2008</v>
          </cell>
          <cell r="M464">
            <v>2008</v>
          </cell>
          <cell r="N464">
            <v>2007</v>
          </cell>
          <cell r="O464">
            <v>2008</v>
          </cell>
          <cell r="P464">
            <v>2008</v>
          </cell>
          <cell r="Q464">
            <v>2009</v>
          </cell>
          <cell r="R464">
            <v>2009</v>
          </cell>
          <cell r="S464">
            <v>2009</v>
          </cell>
          <cell r="T464">
            <v>2009</v>
          </cell>
          <cell r="U464">
            <v>2009</v>
          </cell>
          <cell r="V464">
            <v>2009</v>
          </cell>
          <cell r="W464">
            <v>2009</v>
          </cell>
          <cell r="X464">
            <v>2009</v>
          </cell>
          <cell r="Y464">
            <v>2009</v>
          </cell>
          <cell r="Z464">
            <v>2009</v>
          </cell>
          <cell r="AA464">
            <v>2009</v>
          </cell>
          <cell r="AB464">
            <v>2009</v>
          </cell>
          <cell r="AC464">
            <v>2009</v>
          </cell>
          <cell r="AD464">
            <v>2009</v>
          </cell>
          <cell r="AE464">
            <v>2010</v>
          </cell>
          <cell r="AF464">
            <v>2009</v>
          </cell>
          <cell r="AG464">
            <v>2010</v>
          </cell>
          <cell r="AH464">
            <v>2010</v>
          </cell>
          <cell r="AI464">
            <v>2009</v>
          </cell>
          <cell r="AJ464">
            <v>2009</v>
          </cell>
          <cell r="AK464">
            <v>2010</v>
          </cell>
          <cell r="AL464">
            <v>2010</v>
          </cell>
          <cell r="AM464">
            <v>2009</v>
          </cell>
          <cell r="AN464">
            <v>2011</v>
          </cell>
          <cell r="AO464">
            <v>2010</v>
          </cell>
          <cell r="AP464">
            <v>2011</v>
          </cell>
          <cell r="AQ464">
            <v>2009</v>
          </cell>
          <cell r="AR464">
            <v>2010</v>
          </cell>
          <cell r="AS464">
            <v>2009</v>
          </cell>
          <cell r="AT464">
            <v>2010</v>
          </cell>
          <cell r="AU464">
            <v>2010</v>
          </cell>
          <cell r="AV464">
            <v>2010</v>
          </cell>
          <cell r="AW464">
            <v>2010</v>
          </cell>
          <cell r="AX464">
            <v>2011</v>
          </cell>
          <cell r="AY464">
            <v>2010</v>
          </cell>
          <cell r="AZ464">
            <v>2010</v>
          </cell>
          <cell r="BA464">
            <v>2010</v>
          </cell>
          <cell r="BB464">
            <v>2010</v>
          </cell>
          <cell r="BC464">
            <v>2010</v>
          </cell>
          <cell r="BD464">
            <v>2010</v>
          </cell>
          <cell r="BE464">
            <v>2010</v>
          </cell>
          <cell r="BF464">
            <v>2016</v>
          </cell>
        </row>
        <row r="466">
          <cell r="A466" t="str">
            <v>סיווג אשכול חברתי</v>
          </cell>
          <cell r="C466" t="str">
            <v>בינוני</v>
          </cell>
          <cell r="D466" t="str">
            <v>בינוני</v>
          </cell>
          <cell r="E466" t="str">
            <v xml:space="preserve">חזק </v>
          </cell>
          <cell r="F466" t="str">
            <v xml:space="preserve">חזק </v>
          </cell>
          <cell r="G466" t="str">
            <v>חזק מאוד</v>
          </cell>
          <cell r="H466" t="str">
            <v>בינוני</v>
          </cell>
          <cell r="I466" t="str">
            <v xml:space="preserve">חזק </v>
          </cell>
          <cell r="J466" t="str">
            <v xml:space="preserve">חזק </v>
          </cell>
          <cell r="K466" t="str">
            <v xml:space="preserve">חזק </v>
          </cell>
          <cell r="L466" t="str">
            <v>חלש</v>
          </cell>
          <cell r="M466" t="str">
            <v xml:space="preserve">חזק </v>
          </cell>
          <cell r="N466" t="str">
            <v>בינוני</v>
          </cell>
          <cell r="O466" t="str">
            <v xml:space="preserve">חזק </v>
          </cell>
          <cell r="P466" t="str">
            <v>חלש</v>
          </cell>
          <cell r="Q466" t="str">
            <v>חלש</v>
          </cell>
          <cell r="R466" t="str">
            <v>חזק מאוד</v>
          </cell>
          <cell r="S466" t="str">
            <v>חלש</v>
          </cell>
          <cell r="T466" t="str">
            <v>חלש</v>
          </cell>
          <cell r="U466" t="str">
            <v xml:space="preserve">חזק </v>
          </cell>
          <cell r="V466" t="str">
            <v>חלש</v>
          </cell>
          <cell r="W466" t="str">
            <v>חלש</v>
          </cell>
          <cell r="X466" t="str">
            <v>חלש</v>
          </cell>
          <cell r="Y466" t="str">
            <v>בינוני</v>
          </cell>
          <cell r="Z466" t="str">
            <v xml:space="preserve">חזק </v>
          </cell>
          <cell r="AA466" t="str">
            <v>חזק מאוד</v>
          </cell>
          <cell r="AB466" t="str">
            <v>חלש</v>
          </cell>
          <cell r="AC466" t="str">
            <v>חזק מאוד</v>
          </cell>
          <cell r="AD466" t="str">
            <v>חזק מאוד</v>
          </cell>
          <cell r="AE466" t="str">
            <v>חזק מאוד</v>
          </cell>
          <cell r="AF466" t="str">
            <v xml:space="preserve">חזק </v>
          </cell>
          <cell r="AG466" t="str">
            <v xml:space="preserve">חזק </v>
          </cell>
          <cell r="AH466" t="str">
            <v>חלש</v>
          </cell>
          <cell r="AI466" t="str">
            <v xml:space="preserve">חזק </v>
          </cell>
          <cell r="AJ466" t="str">
            <v>בינוני</v>
          </cell>
          <cell r="AK466" t="str">
            <v xml:space="preserve">חזק </v>
          </cell>
          <cell r="AL466" t="str">
            <v>חזק מאוד</v>
          </cell>
          <cell r="AM466" t="str">
            <v>חזק מאוד</v>
          </cell>
          <cell r="AN466" t="str">
            <v>חלש</v>
          </cell>
          <cell r="AO466" t="str">
            <v>חזק מאוד</v>
          </cell>
          <cell r="AP466" t="str">
            <v>חזק מאוד</v>
          </cell>
          <cell r="AQ466" t="str">
            <v xml:space="preserve">חזק </v>
          </cell>
          <cell r="AR466" t="str">
            <v>חזק מאוד</v>
          </cell>
          <cell r="AS466" t="str">
            <v>חלש</v>
          </cell>
          <cell r="AT466" t="str">
            <v>חלש</v>
          </cell>
          <cell r="AU466" t="str">
            <v>חזק מאוד</v>
          </cell>
          <cell r="AV466" t="str">
            <v>בינוני</v>
          </cell>
          <cell r="AW466" t="str">
            <v>חלש</v>
          </cell>
          <cell r="AX466" t="str">
            <v>חלש</v>
          </cell>
          <cell r="AY466" t="str">
            <v xml:space="preserve">חזק </v>
          </cell>
          <cell r="AZ466" t="str">
            <v>חזק מאוד</v>
          </cell>
          <cell r="BA466" t="str">
            <v>חלש</v>
          </cell>
          <cell r="BB466" t="str">
            <v>חלש</v>
          </cell>
          <cell r="BC466" t="str">
            <v>חלש</v>
          </cell>
          <cell r="BD466" t="str">
            <v>חזק מאוד</v>
          </cell>
          <cell r="BE466" t="str">
            <v>חזק מאוד</v>
          </cell>
          <cell r="BF466" t="str">
            <v xml:space="preserve">חזק </v>
          </cell>
        </row>
        <row r="468">
          <cell r="A468" t="str">
            <v>שיעור חוב מוכר לתשואה וריבית</v>
          </cell>
          <cell r="C468">
            <v>0.7</v>
          </cell>
          <cell r="D468">
            <v>0.7</v>
          </cell>
          <cell r="E468">
            <v>0.7</v>
          </cell>
          <cell r="F468">
            <v>0.7</v>
          </cell>
          <cell r="G468">
            <v>0.7</v>
          </cell>
          <cell r="H468">
            <v>0.7</v>
          </cell>
          <cell r="I468">
            <v>0.7</v>
          </cell>
          <cell r="J468">
            <v>0.7</v>
          </cell>
          <cell r="K468">
            <v>0.7</v>
          </cell>
          <cell r="L468">
            <v>0.7</v>
          </cell>
          <cell r="M468">
            <v>0.7</v>
          </cell>
          <cell r="N468">
            <v>0.7</v>
          </cell>
          <cell r="O468">
            <v>0.7</v>
          </cell>
          <cell r="P468">
            <v>0.7</v>
          </cell>
          <cell r="Q468">
            <v>0.7</v>
          </cell>
          <cell r="R468">
            <v>0.7</v>
          </cell>
          <cell r="S468">
            <v>0.7</v>
          </cell>
          <cell r="T468">
            <v>0.7</v>
          </cell>
          <cell r="U468">
            <v>0.7</v>
          </cell>
          <cell r="V468">
            <v>0.7</v>
          </cell>
          <cell r="W468">
            <v>0.7</v>
          </cell>
          <cell r="X468">
            <v>0.7</v>
          </cell>
          <cell r="Y468">
            <v>0.7</v>
          </cell>
          <cell r="Z468">
            <v>0.7</v>
          </cell>
          <cell r="AA468">
            <v>0.7</v>
          </cell>
          <cell r="AB468">
            <v>0.7</v>
          </cell>
          <cell r="AC468">
            <v>0.7</v>
          </cell>
          <cell r="AD468">
            <v>0.7</v>
          </cell>
          <cell r="AE468">
            <v>0.7</v>
          </cell>
          <cell r="AF468">
            <v>0.7</v>
          </cell>
          <cell r="AG468">
            <v>0.7</v>
          </cell>
          <cell r="AH468">
            <v>0.7</v>
          </cell>
          <cell r="AI468">
            <v>0.7</v>
          </cell>
          <cell r="AJ468">
            <v>0.7</v>
          </cell>
          <cell r="AK468">
            <v>0.7</v>
          </cell>
          <cell r="AL468">
            <v>0.7</v>
          </cell>
          <cell r="AM468">
            <v>0.7</v>
          </cell>
          <cell r="AN468">
            <v>0.7</v>
          </cell>
          <cell r="AO468">
            <v>0.7</v>
          </cell>
          <cell r="AP468">
            <v>0.7</v>
          </cell>
          <cell r="AQ468">
            <v>0.7</v>
          </cell>
          <cell r="AR468">
            <v>0.7</v>
          </cell>
          <cell r="AS468">
            <v>0.7</v>
          </cell>
          <cell r="AT468">
            <v>0.7</v>
          </cell>
          <cell r="AU468">
            <v>0.7</v>
          </cell>
          <cell r="AV468">
            <v>0.7</v>
          </cell>
          <cell r="AW468">
            <v>0.7</v>
          </cell>
          <cell r="AX468">
            <v>0.7</v>
          </cell>
          <cell r="AY468">
            <v>0.7</v>
          </cell>
          <cell r="AZ468">
            <v>0.7</v>
          </cell>
          <cell r="BA468">
            <v>0.7</v>
          </cell>
          <cell r="BB468">
            <v>0.7</v>
          </cell>
          <cell r="BC468">
            <v>0.7</v>
          </cell>
          <cell r="BD468">
            <v>0.7</v>
          </cell>
          <cell r="BE468">
            <v>0.7</v>
          </cell>
          <cell r="BF468">
            <v>0.7</v>
          </cell>
        </row>
        <row r="469">
          <cell r="A469" t="str">
            <v>שיעור חוב מוכר להחזר צרכנים</v>
          </cell>
          <cell r="C469">
            <v>0.31</v>
          </cell>
          <cell r="D469">
            <v>0.6</v>
          </cell>
          <cell r="E469">
            <v>0.55000000000000004</v>
          </cell>
          <cell r="F469">
            <v>0.4</v>
          </cell>
          <cell r="G469">
            <v>0.3</v>
          </cell>
          <cell r="H469">
            <v>0.19700000000000001</v>
          </cell>
          <cell r="I469">
            <v>0.5</v>
          </cell>
          <cell r="J469">
            <v>0.4</v>
          </cell>
          <cell r="K469">
            <v>0.4</v>
          </cell>
          <cell r="L469">
            <v>0.4</v>
          </cell>
          <cell r="M469">
            <v>0.35</v>
          </cell>
          <cell r="N469">
            <v>0.4</v>
          </cell>
          <cell r="O469">
            <v>0.4</v>
          </cell>
          <cell r="P469">
            <v>0.4</v>
          </cell>
          <cell r="Q469">
            <v>0.3</v>
          </cell>
          <cell r="R469">
            <v>0.4</v>
          </cell>
          <cell r="S469">
            <v>0.3</v>
          </cell>
          <cell r="T469">
            <v>0.4</v>
          </cell>
          <cell r="U469">
            <v>0.3</v>
          </cell>
          <cell r="V469">
            <v>0.4</v>
          </cell>
          <cell r="W469">
            <v>0.4</v>
          </cell>
          <cell r="X469">
            <v>0.4</v>
          </cell>
          <cell r="Y469">
            <v>0.4</v>
          </cell>
          <cell r="Z469">
            <v>0.3</v>
          </cell>
          <cell r="AA469">
            <v>0.3</v>
          </cell>
          <cell r="AB469">
            <v>0.3</v>
          </cell>
          <cell r="AC469">
            <v>0.35</v>
          </cell>
          <cell r="AD469">
            <v>0.3</v>
          </cell>
          <cell r="AE469">
            <v>0.4</v>
          </cell>
          <cell r="AF469">
            <v>0.4</v>
          </cell>
          <cell r="AG469">
            <v>0.3</v>
          </cell>
          <cell r="AH469">
            <v>0.3</v>
          </cell>
          <cell r="AI469">
            <v>0.3</v>
          </cell>
          <cell r="AJ469">
            <v>0.4</v>
          </cell>
          <cell r="AK469">
            <v>0.3</v>
          </cell>
          <cell r="AL469">
            <v>0.4</v>
          </cell>
          <cell r="AM469">
            <v>0.4</v>
          </cell>
          <cell r="AN469">
            <v>0.4</v>
          </cell>
          <cell r="AO469">
            <v>0.3</v>
          </cell>
          <cell r="AP469">
            <v>0.3</v>
          </cell>
          <cell r="AQ469">
            <v>0.3</v>
          </cell>
          <cell r="AR469">
            <v>0.4</v>
          </cell>
          <cell r="AS469">
            <v>0.4</v>
          </cell>
          <cell r="AT469">
            <v>0.3</v>
          </cell>
          <cell r="AU469">
            <v>0.3</v>
          </cell>
          <cell r="AV469">
            <v>0.4</v>
          </cell>
          <cell r="AW469">
            <v>0.3</v>
          </cell>
          <cell r="AX469">
            <v>0.4</v>
          </cell>
          <cell r="AY469">
            <v>0.3</v>
          </cell>
          <cell r="AZ469">
            <v>0.4</v>
          </cell>
          <cell r="BA469">
            <v>0.4</v>
          </cell>
          <cell r="BB469">
            <v>0.4</v>
          </cell>
          <cell r="BC469">
            <v>0.4</v>
          </cell>
          <cell r="BD469">
            <v>0.4</v>
          </cell>
          <cell r="BE469">
            <v>0.4</v>
          </cell>
          <cell r="BF469">
            <v>0.4</v>
          </cell>
        </row>
        <row r="472">
          <cell r="A472" t="str">
            <v>עירייה ללא גינון ציבורי</v>
          </cell>
          <cell r="C472">
            <v>417.31299999999999</v>
          </cell>
          <cell r="D472">
            <v>420.04</v>
          </cell>
          <cell r="E472">
            <v>519.995</v>
          </cell>
          <cell r="F472">
            <v>153.297</v>
          </cell>
          <cell r="G472">
            <v>287.06900000000002</v>
          </cell>
          <cell r="H472">
            <v>481.67500000000001</v>
          </cell>
          <cell r="I472">
            <v>719.84199999999998</v>
          </cell>
          <cell r="J472">
            <v>309.32600000000002</v>
          </cell>
          <cell r="K472">
            <v>291.40100000000001</v>
          </cell>
          <cell r="L472">
            <v>219.71100000000001</v>
          </cell>
          <cell r="M472">
            <v>643.04700000000003</v>
          </cell>
          <cell r="N472">
            <v>970.61800000000005</v>
          </cell>
          <cell r="O472">
            <v>159.495</v>
          </cell>
          <cell r="P472">
            <v>44.152000000000001</v>
          </cell>
          <cell r="Q472">
            <v>222.74700000000001</v>
          </cell>
          <cell r="R472">
            <v>213.06200000000001</v>
          </cell>
          <cell r="S472">
            <v>41.927999999999997</v>
          </cell>
          <cell r="T472">
            <v>228.44900000000001</v>
          </cell>
          <cell r="U472">
            <v>308.49799999999999</v>
          </cell>
          <cell r="V472">
            <v>173.97300000000001</v>
          </cell>
          <cell r="W472">
            <v>331.49400000000003</v>
          </cell>
          <cell r="X472">
            <v>209.18100000000001</v>
          </cell>
          <cell r="Y472">
            <v>59.534999999999997</v>
          </cell>
          <cell r="Z472">
            <v>30.199000000000002</v>
          </cell>
          <cell r="AA472">
            <v>102.47199999999999</v>
          </cell>
          <cell r="AB472">
            <v>156.773</v>
          </cell>
          <cell r="AC472">
            <v>447.721</v>
          </cell>
          <cell r="AD472">
            <v>112.512</v>
          </cell>
          <cell r="AE472">
            <v>1916.827</v>
          </cell>
          <cell r="AF472">
            <v>93.067999999999998</v>
          </cell>
          <cell r="AG472">
            <v>123.706</v>
          </cell>
          <cell r="AH472">
            <v>74.076999999999998</v>
          </cell>
          <cell r="AI472">
            <v>91.212999999999994</v>
          </cell>
          <cell r="AJ472">
            <v>172.84399999999999</v>
          </cell>
          <cell r="AK472">
            <v>151.14599999999999</v>
          </cell>
          <cell r="AL472">
            <v>1386.0260000000001</v>
          </cell>
          <cell r="AM472">
            <v>175.84800000000001</v>
          </cell>
          <cell r="AN472">
            <v>356.62200000000001</v>
          </cell>
          <cell r="AO472">
            <v>252.863</v>
          </cell>
          <cell r="AP472">
            <v>54.527000000000001</v>
          </cell>
          <cell r="AQ472">
            <v>262.23500000000001</v>
          </cell>
          <cell r="AR472">
            <v>122.146</v>
          </cell>
          <cell r="AS472">
            <v>317.75599999999997</v>
          </cell>
          <cell r="AT472">
            <v>328.90600000000001</v>
          </cell>
          <cell r="AU472">
            <v>33.159999999999997</v>
          </cell>
          <cell r="AV472">
            <v>267.70999999999998</v>
          </cell>
          <cell r="AW472">
            <v>226.578</v>
          </cell>
          <cell r="AX472">
            <v>570.10699999999997</v>
          </cell>
          <cell r="AY472">
            <v>66.975999999999999</v>
          </cell>
          <cell r="AZ472">
            <v>182.73500000000001</v>
          </cell>
          <cell r="BA472">
            <v>208.84299999999999</v>
          </cell>
          <cell r="BB472">
            <v>221.40899999999999</v>
          </cell>
          <cell r="BC472">
            <v>391.267</v>
          </cell>
          <cell r="BD472">
            <v>26.832999999999998</v>
          </cell>
          <cell r="BE472">
            <v>54.09</v>
          </cell>
          <cell r="BF472">
            <v>79.45</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row r="3">
          <cell r="I3">
            <v>1</v>
          </cell>
        </row>
        <row r="15">
          <cell r="F15" t="str">
            <v>כן</v>
          </cell>
        </row>
        <row r="31">
          <cell r="F31">
            <v>0.8</v>
          </cell>
        </row>
      </sheetData>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6"/>
      <sheetName val="נתוני מים 2012"/>
      <sheetName val="סל מדדים"/>
      <sheetName val="מדד שכר ממוצע"/>
      <sheetName val="מדד חשמל"/>
      <sheetName val="מדד מחירים"/>
      <sheetName val="תחשיב תעריף לתאגיד בודד"/>
      <sheetName val="תחשיב תעריף 2016"/>
      <sheetName val="כמויות מים 2014"/>
      <sheetName val="ריכוז עלויות"/>
      <sheetName val="נתוני תאגידים"/>
      <sheetName val="תעריפי 2016 לכללים"/>
      <sheetName val="תוספת נכסים"/>
      <sheetName val="פחתי מים לרשויות מצטרפות"/>
      <sheetName val="פחת מים וגביה"/>
      <sheetName val="בדיקת החזר צרכנים"/>
      <sheetName val="סקרי נכסים-יתרות פתיחה"/>
      <sheetName val="תחשיב עלות תפעול לשנת 2016"/>
      <sheetName val="השקעות 2012-2014"/>
      <sheetName val="השקעות בניכוי גריעות"/>
      <sheetName val="השפעה כספית תיקוני שימוע"/>
      <sheetName val="גיליון סימולציה לתעריפי 2016"/>
      <sheetName val="פירוט נכסי מים וביוב"/>
      <sheetName val="כמויות מים תפעול 2012"/>
      <sheetName val="כמויות מים רשויות מקומיות"/>
      <sheetName val="גיליון1"/>
      <sheetName val="צריכה בתאגיד מרחבי"/>
      <sheetName val="ביוביות"/>
      <sheetName val="התאמה לכללים"/>
      <sheetName val="תעריפים לספקים מקומיים"/>
      <sheetName val="תעריף גיחון מעבר לגדר"/>
    </sheetNames>
    <sheetDataSet>
      <sheetData sheetId="0">
        <row r="1">
          <cell r="A1" t="str">
            <v>שם  הרשות המקומית</v>
          </cell>
          <cell r="B1" t="str">
            <v xml:space="preserve">אשכול חברתי-כלכלי 2008 (1 נמוך, 10 גבוה)   </v>
          </cell>
          <cell r="C1" t="str">
            <v>סוציו חדש</v>
          </cell>
          <cell r="E1" t="str">
            <v>מס' תושבים</v>
          </cell>
        </row>
        <row r="2">
          <cell r="A2" t="str">
            <v>אבו גוש</v>
          </cell>
          <cell r="B2">
            <v>3</v>
          </cell>
          <cell r="C2" t="e">
            <v>#REF!</v>
          </cell>
          <cell r="D2" t="e">
            <v>#REF!</v>
          </cell>
          <cell r="E2">
            <v>5279</v>
          </cell>
        </row>
        <row r="3">
          <cell r="A3" t="str">
            <v>אבו סנאן</v>
          </cell>
          <cell r="B3">
            <v>3</v>
          </cell>
          <cell r="C3" t="e">
            <v>#REF!</v>
          </cell>
          <cell r="D3" t="e">
            <v>#REF!</v>
          </cell>
          <cell r="E3">
            <v>10948</v>
          </cell>
        </row>
        <row r="4">
          <cell r="A4" t="str">
            <v>אבן יהודה</v>
          </cell>
          <cell r="B4">
            <v>8</v>
          </cell>
          <cell r="C4" t="e">
            <v>#REF!</v>
          </cell>
          <cell r="D4" t="e">
            <v>#REF!</v>
          </cell>
          <cell r="E4">
            <v>8675</v>
          </cell>
        </row>
        <row r="5">
          <cell r="A5" t="str">
            <v>אום אל-פחם</v>
          </cell>
          <cell r="B5">
            <v>2</v>
          </cell>
          <cell r="C5" t="e">
            <v>#REF!</v>
          </cell>
          <cell r="D5" t="e">
            <v>#REF!</v>
          </cell>
          <cell r="E5">
            <v>39046</v>
          </cell>
        </row>
        <row r="6">
          <cell r="A6" t="str">
            <v>אופקים</v>
          </cell>
          <cell r="B6">
            <v>3</v>
          </cell>
          <cell r="C6" t="e">
            <v>#REF!</v>
          </cell>
          <cell r="D6" t="e">
            <v>#REF!</v>
          </cell>
          <cell r="E6">
            <v>23694</v>
          </cell>
        </row>
        <row r="7">
          <cell r="A7" t="str">
            <v>אור יהודה</v>
          </cell>
          <cell r="B7">
            <v>5</v>
          </cell>
          <cell r="C7" t="e">
            <v>#REF!</v>
          </cell>
          <cell r="D7" t="e">
            <v>#REF!</v>
          </cell>
          <cell r="E7">
            <v>29421</v>
          </cell>
        </row>
        <row r="8">
          <cell r="A8" t="str">
            <v>אור עקיבא</v>
          </cell>
          <cell r="B8">
            <v>4</v>
          </cell>
          <cell r="C8" t="e">
            <v>#REF!</v>
          </cell>
          <cell r="D8" t="e">
            <v>#REF!</v>
          </cell>
          <cell r="E8">
            <v>15673</v>
          </cell>
        </row>
        <row r="9">
          <cell r="A9" t="str">
            <v>אורנית</v>
          </cell>
          <cell r="B9">
            <v>8</v>
          </cell>
          <cell r="C9" t="e">
            <v>#REF!</v>
          </cell>
          <cell r="D9" t="e">
            <v>#REF!</v>
          </cell>
          <cell r="E9">
            <v>5316</v>
          </cell>
        </row>
        <row r="10">
          <cell r="A10" t="str">
            <v>אזור</v>
          </cell>
          <cell r="B10">
            <v>6</v>
          </cell>
          <cell r="C10" t="e">
            <v>#REF!</v>
          </cell>
          <cell r="D10" t="e">
            <v>#REF!</v>
          </cell>
          <cell r="E10">
            <v>9895</v>
          </cell>
        </row>
        <row r="11">
          <cell r="A11" t="str">
            <v xml:space="preserve">אילת </v>
          </cell>
          <cell r="B11">
            <v>5</v>
          </cell>
          <cell r="C11" t="e">
            <v>#REF!</v>
          </cell>
          <cell r="D11" t="e">
            <v>#REF!</v>
          </cell>
          <cell r="E11">
            <v>43547</v>
          </cell>
        </row>
        <row r="12">
          <cell r="A12" t="str">
            <v>אכסאל</v>
          </cell>
          <cell r="B12">
            <v>2</v>
          </cell>
          <cell r="C12" t="e">
            <v>#REF!</v>
          </cell>
          <cell r="D12" t="e">
            <v>#REF!</v>
          </cell>
          <cell r="E12">
            <v>10623</v>
          </cell>
        </row>
        <row r="13">
          <cell r="A13" t="str">
            <v>אליכין</v>
          </cell>
          <cell r="B13">
            <v>5</v>
          </cell>
          <cell r="C13" t="e">
            <v>#REF!</v>
          </cell>
          <cell r="D13" t="e">
            <v>#REF!</v>
          </cell>
          <cell r="E13">
            <v>2499</v>
          </cell>
        </row>
        <row r="14">
          <cell r="A14" t="str">
            <v>אלעד</v>
          </cell>
          <cell r="B14">
            <v>2</v>
          </cell>
          <cell r="C14" t="e">
            <v>#REF!</v>
          </cell>
          <cell r="D14" t="e">
            <v>#REF!</v>
          </cell>
          <cell r="E14">
            <v>18968</v>
          </cell>
        </row>
        <row r="15">
          <cell r="A15" t="str">
            <v>אלפי מנשה</v>
          </cell>
          <cell r="B15">
            <v>8</v>
          </cell>
          <cell r="C15" t="e">
            <v>#REF!</v>
          </cell>
          <cell r="D15" t="e">
            <v>#REF!</v>
          </cell>
          <cell r="E15">
            <v>5347</v>
          </cell>
        </row>
        <row r="16">
          <cell r="A16" t="str">
            <v>אלקנה</v>
          </cell>
          <cell r="B16">
            <v>8</v>
          </cell>
          <cell r="C16" t="e">
            <v>#REF!</v>
          </cell>
          <cell r="D16" t="e">
            <v>#REF!</v>
          </cell>
          <cell r="E16">
            <v>3050</v>
          </cell>
        </row>
        <row r="17">
          <cell r="A17" t="str">
            <v xml:space="preserve">אעבלין  </v>
          </cell>
          <cell r="B17">
            <v>3</v>
          </cell>
          <cell r="C17" t="e">
            <v>#REF!</v>
          </cell>
          <cell r="D17" t="e">
            <v>#REF!</v>
          </cell>
          <cell r="E17">
            <v>10264</v>
          </cell>
        </row>
        <row r="18">
          <cell r="A18" t="str">
            <v>אפרתה</v>
          </cell>
          <cell r="B18">
            <v>7</v>
          </cell>
          <cell r="C18" t="e">
            <v>#REF!</v>
          </cell>
          <cell r="D18" t="e">
            <v>#REF!</v>
          </cell>
          <cell r="E18">
            <v>7037</v>
          </cell>
        </row>
        <row r="19">
          <cell r="A19" t="str">
            <v>אריאל</v>
          </cell>
          <cell r="B19">
            <v>5</v>
          </cell>
          <cell r="C19" t="e">
            <v>#REF!</v>
          </cell>
          <cell r="D19" t="e">
            <v>#REF!</v>
          </cell>
          <cell r="E19">
            <v>16503</v>
          </cell>
        </row>
        <row r="20">
          <cell r="A20" t="str">
            <v>אשדוד</v>
          </cell>
          <cell r="B20">
            <v>5</v>
          </cell>
          <cell r="C20" t="e">
            <v>#REF!</v>
          </cell>
          <cell r="D20" t="e">
            <v>#REF!</v>
          </cell>
          <cell r="E20">
            <v>192038</v>
          </cell>
        </row>
        <row r="21">
          <cell r="A21" t="str">
            <v xml:space="preserve">אשקלון </v>
          </cell>
          <cell r="B21">
            <v>5</v>
          </cell>
          <cell r="C21" t="e">
            <v>#REF!</v>
          </cell>
          <cell r="D21" t="e">
            <v>#REF!</v>
          </cell>
          <cell r="E21">
            <v>104482</v>
          </cell>
        </row>
        <row r="22">
          <cell r="A22" t="str">
            <v>באקה אל-גרביה</v>
          </cell>
          <cell r="B22">
            <v>3</v>
          </cell>
          <cell r="C22" t="e">
            <v>#REF!</v>
          </cell>
          <cell r="D22" t="e">
            <v>#REF!</v>
          </cell>
          <cell r="E22">
            <v>0</v>
          </cell>
        </row>
        <row r="23">
          <cell r="A23" t="str">
            <v>באר יעקב</v>
          </cell>
          <cell r="B23">
            <v>6</v>
          </cell>
          <cell r="C23" t="e">
            <v>#REF!</v>
          </cell>
          <cell r="D23" t="e">
            <v>#REF!</v>
          </cell>
          <cell r="E23">
            <v>8706</v>
          </cell>
        </row>
        <row r="24">
          <cell r="A24" t="str">
            <v>באר שבע</v>
          </cell>
          <cell r="B24">
            <v>5</v>
          </cell>
          <cell r="C24" t="e">
            <v>#REF!</v>
          </cell>
          <cell r="D24" t="e">
            <v>#REF!</v>
          </cell>
          <cell r="E24">
            <v>183018</v>
          </cell>
        </row>
        <row r="25">
          <cell r="A25" t="str">
            <v>בועיינה-נוג'ידאת</v>
          </cell>
          <cell r="B25">
            <v>2</v>
          </cell>
          <cell r="C25" t="e">
            <v>#REF!</v>
          </cell>
          <cell r="D25" t="e">
            <v>#REF!</v>
          </cell>
          <cell r="E25">
            <v>0</v>
          </cell>
        </row>
        <row r="26">
          <cell r="A26" t="str">
            <v>בוקעאתא</v>
          </cell>
          <cell r="B26">
            <v>2</v>
          </cell>
          <cell r="C26" t="e">
            <v>#REF!</v>
          </cell>
          <cell r="D26" t="e">
            <v>#REF!</v>
          </cell>
          <cell r="E26">
            <v>5214</v>
          </cell>
        </row>
        <row r="27">
          <cell r="A27" t="str">
            <v>ביר אל מכסור</v>
          </cell>
          <cell r="B27">
            <v>2</v>
          </cell>
          <cell r="C27" t="e">
            <v>#REF!</v>
          </cell>
          <cell r="D27" t="e">
            <v>#REF!</v>
          </cell>
          <cell r="E27">
            <v>6650</v>
          </cell>
        </row>
        <row r="28">
          <cell r="A28" t="str">
            <v>בית אל</v>
          </cell>
          <cell r="B28">
            <v>5</v>
          </cell>
          <cell r="C28" t="e">
            <v>#REF!</v>
          </cell>
          <cell r="D28" t="e">
            <v>#REF!</v>
          </cell>
          <cell r="E28">
            <v>4627</v>
          </cell>
        </row>
        <row r="29">
          <cell r="A29" t="str">
            <v>בית אריה</v>
          </cell>
          <cell r="B29">
            <v>7</v>
          </cell>
          <cell r="C29" t="e">
            <v>#REF!</v>
          </cell>
          <cell r="D29" t="e">
            <v>#REF!</v>
          </cell>
          <cell r="E29">
            <v>3392</v>
          </cell>
        </row>
        <row r="30">
          <cell r="A30" t="str">
            <v>בית ג'אן</v>
          </cell>
          <cell r="B30">
            <v>2</v>
          </cell>
          <cell r="C30" t="e">
            <v>#REF!</v>
          </cell>
          <cell r="D30" t="e">
            <v>#REF!</v>
          </cell>
          <cell r="E30">
            <v>9626</v>
          </cell>
        </row>
        <row r="31">
          <cell r="A31" t="str">
            <v>בית דגן</v>
          </cell>
          <cell r="B31">
            <v>7</v>
          </cell>
          <cell r="C31" t="e">
            <v>#REF!</v>
          </cell>
          <cell r="D31" t="e">
            <v>#REF!</v>
          </cell>
          <cell r="E31">
            <v>5236</v>
          </cell>
        </row>
        <row r="32">
          <cell r="A32" t="str">
            <v>בית שאן</v>
          </cell>
          <cell r="B32">
            <v>4</v>
          </cell>
          <cell r="C32" t="e">
            <v>#REF!</v>
          </cell>
          <cell r="D32" t="e">
            <v>#REF!</v>
          </cell>
          <cell r="E32">
            <v>16096</v>
          </cell>
        </row>
        <row r="33">
          <cell r="A33" t="str">
            <v>בית שמש</v>
          </cell>
          <cell r="B33">
            <v>3</v>
          </cell>
          <cell r="C33" t="e">
            <v>#REF!</v>
          </cell>
          <cell r="D33" t="e">
            <v>#REF!</v>
          </cell>
          <cell r="E33">
            <v>57046</v>
          </cell>
        </row>
        <row r="34">
          <cell r="A34" t="str">
            <v>ביתר עילית</v>
          </cell>
          <cell r="B34">
            <v>1</v>
          </cell>
          <cell r="C34" t="e">
            <v>#REF!</v>
          </cell>
          <cell r="D34" t="e">
            <v>#REF!</v>
          </cell>
          <cell r="E34">
            <v>22926</v>
          </cell>
        </row>
        <row r="35">
          <cell r="A35" t="str">
            <v>בני ברק</v>
          </cell>
          <cell r="B35">
            <v>3</v>
          </cell>
          <cell r="C35" t="e">
            <v>#REF!</v>
          </cell>
          <cell r="D35" t="e">
            <v>#REF!</v>
          </cell>
          <cell r="E35">
            <v>139634</v>
          </cell>
        </row>
        <row r="36">
          <cell r="A36" t="str">
            <v>בני עייש</v>
          </cell>
          <cell r="B36">
            <v>5</v>
          </cell>
          <cell r="C36" t="e">
            <v>#REF!</v>
          </cell>
          <cell r="D36" t="e">
            <v>#REF!</v>
          </cell>
          <cell r="E36">
            <v>7668</v>
          </cell>
        </row>
        <row r="37">
          <cell r="A37" t="str">
            <v>בינימיה-גבעת עדה</v>
          </cell>
          <cell r="B37">
            <v>8</v>
          </cell>
          <cell r="C37" t="e">
            <v>#REF!</v>
          </cell>
          <cell r="D37" t="e">
            <v>#REF!</v>
          </cell>
          <cell r="E37">
            <v>9313</v>
          </cell>
        </row>
        <row r="38">
          <cell r="A38" t="str">
            <v>בסמ"ה</v>
          </cell>
          <cell r="B38">
            <v>2</v>
          </cell>
          <cell r="C38" t="e">
            <v>#REF!</v>
          </cell>
          <cell r="D38" t="e">
            <v>#REF!</v>
          </cell>
          <cell r="E38">
            <v>6985</v>
          </cell>
        </row>
        <row r="39">
          <cell r="A39" t="str">
            <v xml:space="preserve">בסמת טבעון </v>
          </cell>
          <cell r="B39">
            <v>2</v>
          </cell>
          <cell r="C39" t="e">
            <v>#REF!</v>
          </cell>
          <cell r="D39" t="e">
            <v>#REF!</v>
          </cell>
          <cell r="E39">
            <v>5900</v>
          </cell>
        </row>
        <row r="40">
          <cell r="A40" t="str">
            <v>בענה</v>
          </cell>
          <cell r="B40">
            <v>2</v>
          </cell>
          <cell r="C40" t="e">
            <v>#REF!</v>
          </cell>
          <cell r="D40" t="e">
            <v>#REF!</v>
          </cell>
          <cell r="E40">
            <v>7296</v>
          </cell>
        </row>
        <row r="41">
          <cell r="A41" t="str">
            <v xml:space="preserve">בת ים </v>
          </cell>
          <cell r="B41">
            <v>5</v>
          </cell>
          <cell r="C41" t="e">
            <v>#REF!</v>
          </cell>
          <cell r="D41" t="e">
            <v>#REF!</v>
          </cell>
          <cell r="E41">
            <v>131917</v>
          </cell>
        </row>
        <row r="42">
          <cell r="A42" t="str">
            <v>ג'דידה אלמכר</v>
          </cell>
          <cell r="B42">
            <v>2</v>
          </cell>
          <cell r="C42" t="e">
            <v>#REF!</v>
          </cell>
          <cell r="D42" t="e">
            <v>#REF!</v>
          </cell>
          <cell r="E42">
            <v>16855</v>
          </cell>
        </row>
        <row r="43">
          <cell r="A43" t="str">
            <v xml:space="preserve">ג'וליס </v>
          </cell>
          <cell r="B43">
            <v>3</v>
          </cell>
          <cell r="C43" t="e">
            <v>#REF!</v>
          </cell>
          <cell r="D43" t="e">
            <v>#REF!</v>
          </cell>
          <cell r="E43">
            <v>5091</v>
          </cell>
        </row>
        <row r="44">
          <cell r="A44" t="str">
            <v xml:space="preserve">ג'לג'וליה </v>
          </cell>
          <cell r="B44">
            <v>2</v>
          </cell>
          <cell r="C44" t="e">
            <v>#REF!</v>
          </cell>
          <cell r="D44" t="e">
            <v>#REF!</v>
          </cell>
          <cell r="E44">
            <v>7112</v>
          </cell>
        </row>
        <row r="45">
          <cell r="A45" t="str">
            <v>ג'סר אזרקא</v>
          </cell>
          <cell r="B45">
            <v>1</v>
          </cell>
          <cell r="C45" t="e">
            <v>#REF!</v>
          </cell>
          <cell r="D45" t="e">
            <v>#REF!</v>
          </cell>
          <cell r="E45">
            <v>10483</v>
          </cell>
        </row>
        <row r="46">
          <cell r="A46" t="str">
            <v>גוש חלב</v>
          </cell>
          <cell r="B46">
            <v>5</v>
          </cell>
          <cell r="C46" t="e">
            <v>#REF!</v>
          </cell>
          <cell r="D46" t="e">
            <v>#REF!</v>
          </cell>
          <cell r="E46">
            <v>2593</v>
          </cell>
        </row>
        <row r="47">
          <cell r="A47" t="str">
            <v>באקה ג'את</v>
          </cell>
          <cell r="B47">
            <v>3</v>
          </cell>
          <cell r="C47" t="e">
            <v>#REF!</v>
          </cell>
          <cell r="D47" t="e">
            <v>#REF!</v>
          </cell>
          <cell r="E47">
            <v>29388</v>
          </cell>
        </row>
        <row r="48">
          <cell r="A48" t="str">
            <v>גבעת זאב</v>
          </cell>
          <cell r="B48">
            <v>5</v>
          </cell>
          <cell r="C48" t="e">
            <v>#REF!</v>
          </cell>
          <cell r="D48" t="e">
            <v>#REF!</v>
          </cell>
          <cell r="E48">
            <v>10790</v>
          </cell>
        </row>
        <row r="49">
          <cell r="A49" t="str">
            <v>גבעת שמואל</v>
          </cell>
          <cell r="B49">
            <v>8</v>
          </cell>
          <cell r="C49" t="e">
            <v>#REF!</v>
          </cell>
          <cell r="D49" t="e">
            <v>#REF!</v>
          </cell>
          <cell r="E49">
            <v>16544</v>
          </cell>
        </row>
        <row r="50">
          <cell r="A50" t="str">
            <v xml:space="preserve">גבעתיים </v>
          </cell>
          <cell r="B50">
            <v>8</v>
          </cell>
          <cell r="C50" t="e">
            <v>#REF!</v>
          </cell>
          <cell r="D50" t="e">
            <v>#REF!</v>
          </cell>
          <cell r="E50">
            <v>47202</v>
          </cell>
        </row>
        <row r="51">
          <cell r="A51" t="str">
            <v>גדרה</v>
          </cell>
          <cell r="B51">
            <v>6</v>
          </cell>
          <cell r="C51" t="e">
            <v>#REF!</v>
          </cell>
          <cell r="D51" t="e">
            <v>#REF!</v>
          </cell>
          <cell r="E51">
            <v>12649</v>
          </cell>
        </row>
        <row r="52">
          <cell r="A52" t="str">
            <v>גן יבנה</v>
          </cell>
          <cell r="B52">
            <v>6</v>
          </cell>
          <cell r="C52" t="e">
            <v>#REF!</v>
          </cell>
          <cell r="D52" t="e">
            <v>#REF!</v>
          </cell>
          <cell r="E52">
            <v>13074</v>
          </cell>
        </row>
        <row r="53">
          <cell r="A53" t="str">
            <v>גני תקווה</v>
          </cell>
          <cell r="B53">
            <v>8</v>
          </cell>
          <cell r="C53" t="e">
            <v>#REF!</v>
          </cell>
          <cell r="D53" t="e">
            <v>#REF!</v>
          </cell>
          <cell r="E53">
            <v>11843</v>
          </cell>
        </row>
        <row r="54">
          <cell r="A54" t="str">
            <v>דליית אל כרמל</v>
          </cell>
          <cell r="B54">
            <v>3</v>
          </cell>
          <cell r="C54" t="e">
            <v>#REF!</v>
          </cell>
          <cell r="D54" t="e">
            <v>#REF!</v>
          </cell>
          <cell r="E54">
            <v>23219</v>
          </cell>
        </row>
        <row r="55">
          <cell r="A55" t="str">
            <v>דבורייה</v>
          </cell>
          <cell r="B55">
            <v>2</v>
          </cell>
          <cell r="C55" t="e">
            <v>#REF!</v>
          </cell>
          <cell r="D55" t="e">
            <v>#REF!</v>
          </cell>
          <cell r="E55">
            <v>7902</v>
          </cell>
        </row>
        <row r="56">
          <cell r="A56" t="str">
            <v>דיר אלאסד</v>
          </cell>
          <cell r="B56">
            <v>2</v>
          </cell>
          <cell r="C56" t="e">
            <v>#REF!</v>
          </cell>
          <cell r="D56" t="e">
            <v>#REF!</v>
          </cell>
          <cell r="E56">
            <v>0</v>
          </cell>
        </row>
        <row r="57">
          <cell r="A57" t="str">
            <v>דיר חנא</v>
          </cell>
          <cell r="B57">
            <v>3</v>
          </cell>
          <cell r="C57" t="e">
            <v>#REF!</v>
          </cell>
          <cell r="D57" t="e">
            <v>#REF!</v>
          </cell>
          <cell r="E57">
            <v>8166</v>
          </cell>
        </row>
        <row r="58">
          <cell r="A58" t="str">
            <v>דימונה</v>
          </cell>
          <cell r="B58">
            <v>4</v>
          </cell>
          <cell r="C58" t="e">
            <v>#REF!</v>
          </cell>
          <cell r="D58" t="e">
            <v>#REF!</v>
          </cell>
          <cell r="E58">
            <v>33896</v>
          </cell>
        </row>
        <row r="59">
          <cell r="A59" t="str">
            <v>הוד השרון</v>
          </cell>
          <cell r="B59">
            <v>8</v>
          </cell>
          <cell r="C59" t="e">
            <v>#REF!</v>
          </cell>
          <cell r="D59" t="e">
            <v>#REF!</v>
          </cell>
          <cell r="E59">
            <v>40173</v>
          </cell>
        </row>
        <row r="60">
          <cell r="A60" t="str">
            <v>הר אדר</v>
          </cell>
          <cell r="B60">
            <v>9</v>
          </cell>
          <cell r="C60" t="e">
            <v>#REF!</v>
          </cell>
          <cell r="D60" t="e">
            <v>#REF!</v>
          </cell>
          <cell r="E60">
            <v>1839</v>
          </cell>
        </row>
        <row r="61">
          <cell r="A61" t="str">
            <v>הרצליה</v>
          </cell>
          <cell r="B61">
            <v>8</v>
          </cell>
          <cell r="C61" t="e">
            <v>#REF!</v>
          </cell>
          <cell r="D61" t="e">
            <v>#REF!</v>
          </cell>
          <cell r="E61">
            <v>83644</v>
          </cell>
        </row>
        <row r="62">
          <cell r="A62" t="str">
            <v>זכרון יעקב</v>
          </cell>
          <cell r="B62">
            <v>8</v>
          </cell>
          <cell r="C62" t="e">
            <v>#REF!</v>
          </cell>
          <cell r="D62" t="e">
            <v>#REF!</v>
          </cell>
          <cell r="E62">
            <v>14990</v>
          </cell>
        </row>
        <row r="63">
          <cell r="A63" t="str">
            <v>זמר</v>
          </cell>
          <cell r="B63">
            <v>3</v>
          </cell>
          <cell r="C63" t="e">
            <v>#REF!</v>
          </cell>
          <cell r="D63" t="e">
            <v>#REF!</v>
          </cell>
          <cell r="E63">
            <v>4909</v>
          </cell>
        </row>
        <row r="64">
          <cell r="A64" t="str">
            <v>זרזיר</v>
          </cell>
          <cell r="B64">
            <v>2</v>
          </cell>
          <cell r="C64" t="e">
            <v>#REF!</v>
          </cell>
          <cell r="D64" t="e">
            <v>#REF!</v>
          </cell>
          <cell r="E64">
            <v>5946</v>
          </cell>
        </row>
        <row r="65">
          <cell r="A65" t="str">
            <v>חדרה</v>
          </cell>
          <cell r="B65">
            <v>5</v>
          </cell>
          <cell r="C65" t="e">
            <v>#REF!</v>
          </cell>
          <cell r="D65" t="e">
            <v>#REF!</v>
          </cell>
          <cell r="E65">
            <v>74920</v>
          </cell>
        </row>
        <row r="66">
          <cell r="A66" t="str">
            <v>חולון</v>
          </cell>
          <cell r="B66">
            <v>5</v>
          </cell>
          <cell r="C66" t="e">
            <v>#REF!</v>
          </cell>
          <cell r="D66" t="e">
            <v>#REF!</v>
          </cell>
          <cell r="E66">
            <v>165773</v>
          </cell>
        </row>
        <row r="67">
          <cell r="A67" t="str">
            <v>חורה</v>
          </cell>
          <cell r="B67">
            <v>2</v>
          </cell>
          <cell r="C67" t="e">
            <v>#REF!</v>
          </cell>
          <cell r="D67" t="e">
            <v>#REF!</v>
          </cell>
          <cell r="E67">
            <v>8152</v>
          </cell>
        </row>
        <row r="68">
          <cell r="A68" t="str">
            <v>חורפיש</v>
          </cell>
          <cell r="B68">
            <v>3</v>
          </cell>
          <cell r="C68" t="e">
            <v>#REF!</v>
          </cell>
          <cell r="D68" t="e">
            <v>#REF!</v>
          </cell>
          <cell r="E68">
            <v>4933</v>
          </cell>
        </row>
        <row r="69">
          <cell r="A69" t="str">
            <v>חיפה</v>
          </cell>
          <cell r="B69">
            <v>7</v>
          </cell>
          <cell r="C69" t="e">
            <v>#REF!</v>
          </cell>
          <cell r="D69" t="e">
            <v>#REF!</v>
          </cell>
          <cell r="E69">
            <v>269406</v>
          </cell>
        </row>
        <row r="70">
          <cell r="A70" t="str">
            <v>חצור הגלילית</v>
          </cell>
          <cell r="B70">
            <v>3</v>
          </cell>
          <cell r="C70" t="e">
            <v>#REF!</v>
          </cell>
          <cell r="D70" t="e">
            <v>#REF!</v>
          </cell>
          <cell r="E70">
            <v>8522</v>
          </cell>
        </row>
        <row r="71">
          <cell r="A71" t="str">
            <v>טבריה</v>
          </cell>
          <cell r="B71">
            <v>4</v>
          </cell>
          <cell r="C71" t="e">
            <v>#REF!</v>
          </cell>
          <cell r="D71" t="e">
            <v>#REF!</v>
          </cell>
          <cell r="E71">
            <v>40104</v>
          </cell>
        </row>
        <row r="72">
          <cell r="A72" t="str">
            <v>טובא-זנגרייה</v>
          </cell>
          <cell r="B72">
            <v>2</v>
          </cell>
          <cell r="C72" t="e">
            <v>#REF!</v>
          </cell>
          <cell r="D72" t="e">
            <v>#REF!</v>
          </cell>
          <cell r="E72">
            <v>4917</v>
          </cell>
        </row>
        <row r="73">
          <cell r="A73" t="str">
            <v>טורעאן</v>
          </cell>
          <cell r="B73">
            <v>3</v>
          </cell>
          <cell r="C73" t="e">
            <v>#REF!</v>
          </cell>
          <cell r="D73" t="e">
            <v>#REF!</v>
          </cell>
          <cell r="E73">
            <v>10616</v>
          </cell>
        </row>
        <row r="74">
          <cell r="A74" t="str">
            <v>טייבה</v>
          </cell>
          <cell r="B74">
            <v>3</v>
          </cell>
          <cell r="C74" t="e">
            <v>#REF!</v>
          </cell>
          <cell r="D74" t="e">
            <v>#REF!</v>
          </cell>
          <cell r="E74">
            <v>31248</v>
          </cell>
        </row>
        <row r="75">
          <cell r="A75" t="str">
            <v>טירה</v>
          </cell>
          <cell r="B75">
            <v>3</v>
          </cell>
          <cell r="C75" t="e">
            <v>#REF!</v>
          </cell>
          <cell r="D75" t="e">
            <v>#REF!</v>
          </cell>
          <cell r="E75">
            <v>19779</v>
          </cell>
        </row>
        <row r="76">
          <cell r="A76" t="str">
            <v>טירת הכרמל</v>
          </cell>
          <cell r="B76">
            <v>4</v>
          </cell>
          <cell r="C76" t="e">
            <v>#REF!</v>
          </cell>
          <cell r="D76" t="e">
            <v>#REF!</v>
          </cell>
          <cell r="E76">
            <v>18829</v>
          </cell>
        </row>
        <row r="77">
          <cell r="A77" t="str">
            <v>טמרה</v>
          </cell>
          <cell r="B77">
            <v>3</v>
          </cell>
          <cell r="C77" t="e">
            <v>#REF!</v>
          </cell>
          <cell r="D77" t="e">
            <v>#REF!</v>
          </cell>
          <cell r="E77">
            <v>24722</v>
          </cell>
        </row>
        <row r="78">
          <cell r="A78" t="str">
            <v>יאנוח ג'ת</v>
          </cell>
          <cell r="B78">
            <v>3</v>
          </cell>
          <cell r="C78" t="e">
            <v>#REF!</v>
          </cell>
          <cell r="D78" t="e">
            <v>#REF!</v>
          </cell>
          <cell r="E78">
            <v>4921</v>
          </cell>
        </row>
        <row r="79">
          <cell r="A79" t="str">
            <v>יבניאל</v>
          </cell>
          <cell r="B79">
            <v>4</v>
          </cell>
          <cell r="C79" t="e">
            <v>#REF!</v>
          </cell>
          <cell r="D79" t="e">
            <v>#REF!</v>
          </cell>
          <cell r="E79">
            <v>0</v>
          </cell>
        </row>
        <row r="80">
          <cell r="A80" t="str">
            <v>יבנה</v>
          </cell>
          <cell r="B80">
            <v>5</v>
          </cell>
          <cell r="C80" t="e">
            <v>#REF!</v>
          </cell>
          <cell r="D80" t="e">
            <v>#REF!</v>
          </cell>
          <cell r="E80">
            <v>31855</v>
          </cell>
        </row>
        <row r="81">
          <cell r="A81" t="str">
            <v>יהוד מונוסון</v>
          </cell>
          <cell r="B81">
            <v>7</v>
          </cell>
          <cell r="C81" t="e">
            <v>#REF!</v>
          </cell>
          <cell r="D81" t="e">
            <v>#REF!</v>
          </cell>
          <cell r="E81">
            <v>24898</v>
          </cell>
        </row>
        <row r="82">
          <cell r="A82" t="str">
            <v>יסוד המעלה</v>
          </cell>
          <cell r="B82">
            <v>8</v>
          </cell>
          <cell r="C82" t="e">
            <v>#REF!</v>
          </cell>
          <cell r="D82" t="e">
            <v>#REF!</v>
          </cell>
          <cell r="E82">
            <v>1214</v>
          </cell>
        </row>
        <row r="83">
          <cell r="A83" t="str">
            <v>יפיע</v>
          </cell>
          <cell r="B83">
            <v>3</v>
          </cell>
          <cell r="C83" t="e">
            <v>#REF!</v>
          </cell>
          <cell r="D83" t="e">
            <v>#REF!</v>
          </cell>
          <cell r="E83">
            <v>15838</v>
          </cell>
        </row>
        <row r="84">
          <cell r="A84" t="str">
            <v>יקנעם עילית</v>
          </cell>
          <cell r="B84">
            <v>6</v>
          </cell>
          <cell r="C84" t="e">
            <v>#REF!</v>
          </cell>
          <cell r="D84" t="e">
            <v>#REF!</v>
          </cell>
          <cell r="E84">
            <v>17272</v>
          </cell>
        </row>
        <row r="85">
          <cell r="A85" t="str">
            <v>ירוחם</v>
          </cell>
          <cell r="B85">
            <v>4</v>
          </cell>
          <cell r="C85" t="e">
            <v>#REF!</v>
          </cell>
          <cell r="D85" t="e">
            <v>#REF!</v>
          </cell>
          <cell r="E85">
            <v>8767</v>
          </cell>
        </row>
        <row r="86">
          <cell r="A86" t="str">
            <v xml:space="preserve">ירושלים </v>
          </cell>
          <cell r="B86">
            <v>5</v>
          </cell>
          <cell r="C86" t="e">
            <v>#REF!</v>
          </cell>
          <cell r="D86" t="e">
            <v>#REF!</v>
          </cell>
          <cell r="E86">
            <v>693217</v>
          </cell>
        </row>
        <row r="87">
          <cell r="A87" t="str">
            <v>ירכא</v>
          </cell>
          <cell r="B87">
            <v>2</v>
          </cell>
          <cell r="C87" t="e">
            <v>#REF!</v>
          </cell>
          <cell r="D87" t="e">
            <v>#REF!</v>
          </cell>
          <cell r="E87">
            <v>11931</v>
          </cell>
        </row>
        <row r="88">
          <cell r="A88" t="str">
            <v xml:space="preserve">כאבול </v>
          </cell>
          <cell r="B88">
            <v>2</v>
          </cell>
          <cell r="C88" t="e">
            <v>#REF!</v>
          </cell>
          <cell r="D88" t="e">
            <v>#REF!</v>
          </cell>
          <cell r="E88">
            <v>8919</v>
          </cell>
        </row>
        <row r="89">
          <cell r="A89" t="str">
            <v>כאוכב</v>
          </cell>
          <cell r="B89">
            <v>2</v>
          </cell>
          <cell r="C89" t="e">
            <v>#REF!</v>
          </cell>
          <cell r="D89" t="e">
            <v>#REF!</v>
          </cell>
          <cell r="E89">
            <v>2656</v>
          </cell>
        </row>
        <row r="90">
          <cell r="A90" t="str">
            <v>צור יגאל</v>
          </cell>
          <cell r="B90">
            <v>9</v>
          </cell>
          <cell r="C90" t="e">
            <v>#REF!</v>
          </cell>
          <cell r="D90" t="e">
            <v>#REF!</v>
          </cell>
          <cell r="E90">
            <v>11756</v>
          </cell>
        </row>
        <row r="91">
          <cell r="A91" t="str">
            <v>כסיפה</v>
          </cell>
          <cell r="B91">
            <v>2</v>
          </cell>
          <cell r="C91" t="e">
            <v>#REF!</v>
          </cell>
          <cell r="D91" t="e">
            <v>#REF!</v>
          </cell>
          <cell r="E91">
            <v>8549</v>
          </cell>
        </row>
        <row r="92">
          <cell r="A92" t="str">
            <v>כסרא-סמיע</v>
          </cell>
          <cell r="B92">
            <v>2</v>
          </cell>
          <cell r="C92" t="e">
            <v>#REF!</v>
          </cell>
          <cell r="D92" t="e">
            <v>#REF!</v>
          </cell>
          <cell r="E92">
            <v>6234</v>
          </cell>
        </row>
        <row r="93">
          <cell r="A93" t="str">
            <v>כעביה</v>
          </cell>
          <cell r="B93">
            <v>3</v>
          </cell>
          <cell r="C93" t="e">
            <v>#REF!</v>
          </cell>
          <cell r="D93" t="e">
            <v>#REF!</v>
          </cell>
          <cell r="E93">
            <v>3662</v>
          </cell>
        </row>
        <row r="94">
          <cell r="A94" t="str">
            <v>כפר ברא</v>
          </cell>
          <cell r="B94">
            <v>3</v>
          </cell>
          <cell r="C94" t="e">
            <v>#REF!</v>
          </cell>
          <cell r="D94" t="e">
            <v>#REF!</v>
          </cell>
          <cell r="E94">
            <v>2414</v>
          </cell>
        </row>
        <row r="95">
          <cell r="A95" t="str">
            <v>כפר ורדים</v>
          </cell>
          <cell r="B95">
            <v>9</v>
          </cell>
          <cell r="C95" t="e">
            <v>#REF!</v>
          </cell>
          <cell r="D95" t="e">
            <v>#REF!</v>
          </cell>
          <cell r="E95">
            <v>5198</v>
          </cell>
        </row>
        <row r="96">
          <cell r="A96" t="str">
            <v>כפר יאסיף</v>
          </cell>
          <cell r="B96">
            <v>4</v>
          </cell>
          <cell r="C96" t="e">
            <v>#REF!</v>
          </cell>
          <cell r="D96" t="e">
            <v>#REF!</v>
          </cell>
          <cell r="E96">
            <v>8128</v>
          </cell>
        </row>
        <row r="97">
          <cell r="A97" t="str">
            <v>כפר יונה</v>
          </cell>
          <cell r="B97">
            <v>7</v>
          </cell>
          <cell r="C97" t="e">
            <v>#REF!</v>
          </cell>
          <cell r="D97" t="e">
            <v>#REF!</v>
          </cell>
          <cell r="E97">
            <v>11535</v>
          </cell>
        </row>
        <row r="98">
          <cell r="A98" t="str">
            <v>כפר כמא</v>
          </cell>
          <cell r="B98">
            <v>4</v>
          </cell>
          <cell r="C98" t="e">
            <v>#REF!</v>
          </cell>
          <cell r="D98" t="e">
            <v>#REF!</v>
          </cell>
          <cell r="E98">
            <v>2777</v>
          </cell>
        </row>
        <row r="99">
          <cell r="A99" t="str">
            <v>כפר כנא</v>
          </cell>
          <cell r="B99">
            <v>2</v>
          </cell>
          <cell r="C99" t="e">
            <v>#REF!</v>
          </cell>
          <cell r="D99" t="e">
            <v>#REF!</v>
          </cell>
          <cell r="E99">
            <v>16566</v>
          </cell>
        </row>
        <row r="100">
          <cell r="A100" t="str">
            <v xml:space="preserve">כפר מנדא </v>
          </cell>
          <cell r="B100">
            <v>2</v>
          </cell>
          <cell r="C100" t="e">
            <v>#REF!</v>
          </cell>
          <cell r="D100" t="e">
            <v>#REF!</v>
          </cell>
          <cell r="E100">
            <v>14201</v>
          </cell>
        </row>
        <row r="101">
          <cell r="A101" t="str">
            <v>כפר סבא</v>
          </cell>
          <cell r="B101">
            <v>8</v>
          </cell>
          <cell r="C101" t="e">
            <v>#REF!</v>
          </cell>
          <cell r="D101" t="e">
            <v>#REF!</v>
          </cell>
          <cell r="E101">
            <v>78797</v>
          </cell>
        </row>
        <row r="102">
          <cell r="A102" t="str">
            <v>כפר קאסם</v>
          </cell>
          <cell r="B102">
            <v>3</v>
          </cell>
          <cell r="C102" t="e">
            <v>#REF!</v>
          </cell>
          <cell r="D102" t="e">
            <v>#REF!</v>
          </cell>
          <cell r="E102">
            <v>16250</v>
          </cell>
        </row>
        <row r="103">
          <cell r="A103" t="str">
            <v>כפר קרע</v>
          </cell>
          <cell r="B103">
            <v>4</v>
          </cell>
          <cell r="C103" t="e">
            <v>#REF!</v>
          </cell>
          <cell r="D103" t="e">
            <v>#REF!</v>
          </cell>
          <cell r="E103">
            <v>13471</v>
          </cell>
        </row>
        <row r="104">
          <cell r="A104" t="str">
            <v>כפר שמריהו</v>
          </cell>
          <cell r="B104">
            <v>10</v>
          </cell>
          <cell r="C104" t="e">
            <v>#REF!</v>
          </cell>
          <cell r="D104" t="e">
            <v>#REF!</v>
          </cell>
          <cell r="E104">
            <v>1789</v>
          </cell>
        </row>
        <row r="105">
          <cell r="A105" t="str">
            <v>כפר תבור</v>
          </cell>
          <cell r="B105">
            <v>8</v>
          </cell>
          <cell r="C105" t="e">
            <v>#REF!</v>
          </cell>
          <cell r="D105" t="e">
            <v>#REF!</v>
          </cell>
          <cell r="E105">
            <v>2348</v>
          </cell>
        </row>
        <row r="106">
          <cell r="A106" t="str">
            <v>כרמיאל</v>
          </cell>
          <cell r="B106">
            <v>5</v>
          </cell>
          <cell r="C106" t="e">
            <v>#REF!</v>
          </cell>
          <cell r="D106" t="e">
            <v>#REF!</v>
          </cell>
          <cell r="E106">
            <v>42703</v>
          </cell>
        </row>
        <row r="107">
          <cell r="A107" t="str">
            <v>להבים</v>
          </cell>
          <cell r="B107">
            <v>9</v>
          </cell>
          <cell r="C107" t="e">
            <v>#REF!</v>
          </cell>
          <cell r="D107" t="e">
            <v>#REF!</v>
          </cell>
          <cell r="E107">
            <v>5104</v>
          </cell>
        </row>
        <row r="108">
          <cell r="A108" t="str">
            <v>לוד</v>
          </cell>
          <cell r="B108">
            <v>4</v>
          </cell>
          <cell r="C108" t="e">
            <v>#REF!</v>
          </cell>
          <cell r="D108" t="e">
            <v>#REF!</v>
          </cell>
          <cell r="E108">
            <v>66824</v>
          </cell>
        </row>
        <row r="109">
          <cell r="A109" t="str">
            <v>לקיה</v>
          </cell>
          <cell r="B109">
            <v>1</v>
          </cell>
          <cell r="C109" t="e">
            <v>#REF!</v>
          </cell>
          <cell r="D109" t="e">
            <v>#REF!</v>
          </cell>
          <cell r="E109">
            <v>6587</v>
          </cell>
        </row>
        <row r="110">
          <cell r="A110" t="str">
            <v>מבשרת ציון</v>
          </cell>
          <cell r="B110">
            <v>8</v>
          </cell>
          <cell r="C110" t="e">
            <v>#REF!</v>
          </cell>
          <cell r="D110" t="e">
            <v>#REF!</v>
          </cell>
          <cell r="E110">
            <v>21429</v>
          </cell>
        </row>
        <row r="111">
          <cell r="A111" t="str">
            <v>מג'דל כרום</v>
          </cell>
          <cell r="B111">
            <v>2</v>
          </cell>
          <cell r="C111" t="e">
            <v>#REF!</v>
          </cell>
          <cell r="D111" t="e">
            <v>#REF!</v>
          </cell>
          <cell r="E111">
            <v>0</v>
          </cell>
        </row>
        <row r="112">
          <cell r="A112" t="str">
            <v>מג'דל שמס</v>
          </cell>
          <cell r="B112">
            <v>2</v>
          </cell>
          <cell r="C112" t="e">
            <v>#REF!</v>
          </cell>
          <cell r="D112" t="e">
            <v>#REF!</v>
          </cell>
          <cell r="E112">
            <v>8440</v>
          </cell>
        </row>
        <row r="113">
          <cell r="A113" t="str">
            <v>מגאר</v>
          </cell>
          <cell r="B113">
            <v>2</v>
          </cell>
          <cell r="C113" t="e">
            <v>#REF!</v>
          </cell>
          <cell r="D113" t="e">
            <v>#REF!</v>
          </cell>
          <cell r="E113">
            <v>18302</v>
          </cell>
        </row>
        <row r="114">
          <cell r="A114" t="str">
            <v>מגדל</v>
          </cell>
          <cell r="B114">
            <v>5</v>
          </cell>
          <cell r="C114" t="e">
            <v>#REF!</v>
          </cell>
          <cell r="D114" t="e">
            <v>#REF!</v>
          </cell>
          <cell r="E114">
            <v>1473</v>
          </cell>
        </row>
        <row r="115">
          <cell r="A115" t="str">
            <v>מגדל העמק</v>
          </cell>
          <cell r="B115">
            <v>5</v>
          </cell>
          <cell r="C115" t="e">
            <v>#REF!</v>
          </cell>
          <cell r="D115" t="e">
            <v>#REF!</v>
          </cell>
          <cell r="E115">
            <v>24787</v>
          </cell>
        </row>
        <row r="116">
          <cell r="A116" t="str">
            <v>מודיעין-מכבים-רעות</v>
          </cell>
          <cell r="B116">
            <v>8</v>
          </cell>
          <cell r="C116" t="e">
            <v>#REF!</v>
          </cell>
          <cell r="D116" t="e">
            <v>#REF!</v>
          </cell>
          <cell r="E116">
            <v>48788</v>
          </cell>
        </row>
        <row r="117">
          <cell r="A117" t="str">
            <v>מודיעין עילית</v>
          </cell>
          <cell r="B117">
            <v>1</v>
          </cell>
          <cell r="C117" t="e">
            <v>#REF!</v>
          </cell>
          <cell r="D117" t="e">
            <v>#REF!</v>
          </cell>
          <cell r="E117">
            <v>24290</v>
          </cell>
        </row>
        <row r="118">
          <cell r="A118" t="str">
            <v>מזכרת בתיה</v>
          </cell>
          <cell r="B118">
            <v>8</v>
          </cell>
          <cell r="C118" t="e">
            <v>#REF!</v>
          </cell>
          <cell r="D118" t="e">
            <v>#REF!</v>
          </cell>
          <cell r="E118">
            <v>7584</v>
          </cell>
        </row>
        <row r="119">
          <cell r="A119" t="str">
            <v>מזרעה</v>
          </cell>
          <cell r="B119">
            <v>2</v>
          </cell>
          <cell r="C119" t="e">
            <v>#REF!</v>
          </cell>
          <cell r="D119" t="e">
            <v>#REF!</v>
          </cell>
          <cell r="E119">
            <v>3297</v>
          </cell>
        </row>
        <row r="120">
          <cell r="A120" t="str">
            <v xml:space="preserve">מטולה </v>
          </cell>
          <cell r="B120">
            <v>7</v>
          </cell>
          <cell r="C120" t="e">
            <v>#REF!</v>
          </cell>
          <cell r="D120" t="e">
            <v>#REF!</v>
          </cell>
          <cell r="E120">
            <v>1462</v>
          </cell>
        </row>
        <row r="121">
          <cell r="A121" t="str">
            <v>מיתר</v>
          </cell>
          <cell r="B121">
            <v>9</v>
          </cell>
          <cell r="C121" t="e">
            <v>#REF!</v>
          </cell>
          <cell r="D121" t="e">
            <v>#REF!</v>
          </cell>
          <cell r="E121">
            <v>6371</v>
          </cell>
        </row>
        <row r="122">
          <cell r="A122" t="str">
            <v>מסעדה</v>
          </cell>
          <cell r="B122">
            <v>2</v>
          </cell>
          <cell r="C122" t="e">
            <v>#REF!</v>
          </cell>
          <cell r="D122" t="e">
            <v>#REF!</v>
          </cell>
          <cell r="E122">
            <v>3105</v>
          </cell>
        </row>
        <row r="123">
          <cell r="A123" t="str">
            <v>מעיליא</v>
          </cell>
          <cell r="B123">
            <v>5</v>
          </cell>
          <cell r="C123" t="e">
            <v>#REF!</v>
          </cell>
          <cell r="D123" t="e">
            <v>#REF!</v>
          </cell>
          <cell r="E123">
            <v>2594</v>
          </cell>
        </row>
        <row r="124">
          <cell r="A124" t="str">
            <v>מעלה אדומים</v>
          </cell>
          <cell r="B124">
            <v>5</v>
          </cell>
          <cell r="C124" t="e">
            <v>#REF!</v>
          </cell>
          <cell r="D124" t="e">
            <v>#REF!</v>
          </cell>
          <cell r="E124">
            <v>27259</v>
          </cell>
        </row>
        <row r="125">
          <cell r="A125" t="str">
            <v>מעלה אפרים</v>
          </cell>
          <cell r="B125">
            <v>5</v>
          </cell>
          <cell r="C125" t="e">
            <v>#REF!</v>
          </cell>
          <cell r="D125" t="e">
            <v>#REF!</v>
          </cell>
          <cell r="E125">
            <v>1443</v>
          </cell>
        </row>
        <row r="126">
          <cell r="A126" t="str">
            <v>מעלה עירון</v>
          </cell>
          <cell r="B126">
            <v>2</v>
          </cell>
          <cell r="C126" t="e">
            <v>#REF!</v>
          </cell>
          <cell r="D126" t="e">
            <v>#REF!</v>
          </cell>
          <cell r="E126">
            <v>10950</v>
          </cell>
        </row>
        <row r="127">
          <cell r="A127" t="str">
            <v>מעלות-תרשיחא</v>
          </cell>
          <cell r="B127">
            <v>5</v>
          </cell>
          <cell r="C127" t="e">
            <v>#REF!</v>
          </cell>
          <cell r="D127" t="e">
            <v>#REF!</v>
          </cell>
          <cell r="E127">
            <v>20987</v>
          </cell>
        </row>
        <row r="128">
          <cell r="A128" t="str">
            <v>מצפה רמון</v>
          </cell>
          <cell r="B128">
            <v>4</v>
          </cell>
          <cell r="C128" t="e">
            <v>#REF!</v>
          </cell>
          <cell r="D128" t="e">
            <v>#REF!</v>
          </cell>
          <cell r="E128">
            <v>4850</v>
          </cell>
        </row>
        <row r="129">
          <cell r="A129" t="str">
            <v>משהד</v>
          </cell>
          <cell r="B129">
            <v>2</v>
          </cell>
          <cell r="C129" t="e">
            <v>#REF!</v>
          </cell>
          <cell r="D129" t="e">
            <v>#REF!</v>
          </cell>
          <cell r="E129">
            <v>6521</v>
          </cell>
        </row>
        <row r="130">
          <cell r="A130" t="str">
            <v>נהרייה</v>
          </cell>
          <cell r="B130">
            <v>5</v>
          </cell>
          <cell r="C130" t="e">
            <v>#REF!</v>
          </cell>
          <cell r="D130" t="e">
            <v>#REF!</v>
          </cell>
          <cell r="E130">
            <v>48398</v>
          </cell>
        </row>
        <row r="131">
          <cell r="A131" t="str">
            <v>נחף</v>
          </cell>
          <cell r="B131">
            <v>2</v>
          </cell>
          <cell r="C131" t="e">
            <v>#REF!</v>
          </cell>
          <cell r="D131" t="e">
            <v>#REF!</v>
          </cell>
          <cell r="E131">
            <v>9512</v>
          </cell>
        </row>
        <row r="132">
          <cell r="A132" t="str">
            <v>נס ציונה</v>
          </cell>
          <cell r="B132">
            <v>7</v>
          </cell>
          <cell r="C132" t="e">
            <v>#REF!</v>
          </cell>
          <cell r="D132" t="e">
            <v>#REF!</v>
          </cell>
          <cell r="E132">
            <v>26524</v>
          </cell>
        </row>
        <row r="133">
          <cell r="A133" t="str">
            <v>נצרת</v>
          </cell>
          <cell r="B133">
            <v>3</v>
          </cell>
          <cell r="C133" t="e">
            <v>#REF!</v>
          </cell>
          <cell r="D133" t="e">
            <v>#REF!</v>
          </cell>
          <cell r="E133">
            <v>62706</v>
          </cell>
        </row>
        <row r="134">
          <cell r="A134" t="str">
            <v xml:space="preserve">נצרת עילית </v>
          </cell>
          <cell r="B134">
            <v>5</v>
          </cell>
          <cell r="C134" t="e">
            <v>#REF!</v>
          </cell>
          <cell r="D134" t="e">
            <v>#REF!</v>
          </cell>
          <cell r="E134">
            <v>44166</v>
          </cell>
        </row>
        <row r="135">
          <cell r="A135" t="str">
            <v>נשר</v>
          </cell>
          <cell r="B135">
            <v>7</v>
          </cell>
          <cell r="C135" t="e">
            <v>#REF!</v>
          </cell>
          <cell r="D135" t="e">
            <v>#REF!</v>
          </cell>
          <cell r="E135">
            <v>21161</v>
          </cell>
        </row>
        <row r="136">
          <cell r="A136" t="str">
            <v>נתיבות</v>
          </cell>
          <cell r="B136">
            <v>3</v>
          </cell>
          <cell r="C136" t="e">
            <v>#REF!</v>
          </cell>
          <cell r="D136" t="e">
            <v>#REF!</v>
          </cell>
          <cell r="E136">
            <v>22902</v>
          </cell>
        </row>
        <row r="137">
          <cell r="A137" t="str">
            <v>נתניה</v>
          </cell>
          <cell r="B137">
            <v>5</v>
          </cell>
          <cell r="C137" t="e">
            <v>#REF!</v>
          </cell>
          <cell r="D137" t="e">
            <v>#REF!</v>
          </cell>
          <cell r="E137">
            <v>167051</v>
          </cell>
        </row>
        <row r="138">
          <cell r="A138" t="str">
            <v>סאג'ור</v>
          </cell>
          <cell r="B138">
            <v>3</v>
          </cell>
          <cell r="C138" t="e">
            <v>#REF!</v>
          </cell>
          <cell r="D138" t="e">
            <v>#REF!</v>
          </cell>
          <cell r="E138">
            <v>3396</v>
          </cell>
        </row>
        <row r="139">
          <cell r="A139" t="str">
            <v>סביון*</v>
          </cell>
          <cell r="B139">
            <v>10</v>
          </cell>
          <cell r="C139" t="e">
            <v>#REF!</v>
          </cell>
          <cell r="D139" t="e">
            <v>#REF!</v>
          </cell>
          <cell r="E139">
            <v>3238</v>
          </cell>
        </row>
        <row r="140">
          <cell r="A140" t="str">
            <v>סכנין</v>
          </cell>
          <cell r="B140">
            <v>2</v>
          </cell>
          <cell r="C140" t="e">
            <v>#REF!</v>
          </cell>
          <cell r="D140" t="e">
            <v>#REF!</v>
          </cell>
          <cell r="E140">
            <v>23224</v>
          </cell>
        </row>
        <row r="141">
          <cell r="A141" t="str">
            <v>ע'ג'ר</v>
          </cell>
          <cell r="B141" t="str">
            <v>..</v>
          </cell>
          <cell r="C141" t="e">
            <v>#REF!</v>
          </cell>
          <cell r="D141" t="e">
            <v>#REF!</v>
          </cell>
          <cell r="E141">
            <v>1905</v>
          </cell>
        </row>
        <row r="142">
          <cell r="A142" t="str">
            <v>עומר</v>
          </cell>
          <cell r="B142">
            <v>10</v>
          </cell>
          <cell r="C142" t="e">
            <v>#REF!</v>
          </cell>
          <cell r="D142" t="e">
            <v>#REF!</v>
          </cell>
          <cell r="E142">
            <v>5906</v>
          </cell>
        </row>
        <row r="143">
          <cell r="A143" t="str">
            <v>עילבון</v>
          </cell>
          <cell r="B143">
            <v>4</v>
          </cell>
          <cell r="C143" t="e">
            <v>#REF!</v>
          </cell>
          <cell r="D143" t="e">
            <v>#REF!</v>
          </cell>
          <cell r="E143">
            <v>4139</v>
          </cell>
        </row>
        <row r="144">
          <cell r="A144" t="str">
            <v>עילוט</v>
          </cell>
          <cell r="B144">
            <v>2</v>
          </cell>
          <cell r="C144" t="e">
            <v>#REF!</v>
          </cell>
          <cell r="D144" t="e">
            <v>#REF!</v>
          </cell>
          <cell r="E144">
            <v>6192</v>
          </cell>
        </row>
        <row r="145">
          <cell r="A145" t="str">
            <v>עין מאהל</v>
          </cell>
          <cell r="B145">
            <v>2</v>
          </cell>
          <cell r="C145" t="e">
            <v>#REF!</v>
          </cell>
          <cell r="D145" t="e">
            <v>#REF!</v>
          </cell>
          <cell r="E145">
            <v>10136</v>
          </cell>
        </row>
        <row r="146">
          <cell r="A146" t="str">
            <v>עין קיניא</v>
          </cell>
          <cell r="B146">
            <v>2</v>
          </cell>
          <cell r="C146" t="e">
            <v>#REF!</v>
          </cell>
          <cell r="D146" t="e">
            <v>#REF!</v>
          </cell>
          <cell r="E146">
            <v>1758</v>
          </cell>
        </row>
        <row r="147">
          <cell r="A147" t="str">
            <v>עכו</v>
          </cell>
          <cell r="B147">
            <v>4</v>
          </cell>
          <cell r="C147" t="e">
            <v>#REF!</v>
          </cell>
          <cell r="D147" t="e">
            <v>#REF!</v>
          </cell>
          <cell r="E147">
            <v>45639</v>
          </cell>
        </row>
        <row r="148">
          <cell r="A148" t="str">
            <v>עמנואל</v>
          </cell>
          <cell r="B148">
            <v>2</v>
          </cell>
          <cell r="C148" t="e">
            <v>#REF!</v>
          </cell>
          <cell r="D148" t="e">
            <v>#REF!</v>
          </cell>
          <cell r="E148">
            <v>2455</v>
          </cell>
        </row>
        <row r="149">
          <cell r="A149" t="str">
            <v>עוספייה</v>
          </cell>
          <cell r="B149">
            <v>4</v>
          </cell>
          <cell r="C149" t="e">
            <v>#REF!</v>
          </cell>
          <cell r="D149" t="e">
            <v>#REF!</v>
          </cell>
          <cell r="E149">
            <v>0</v>
          </cell>
        </row>
        <row r="150">
          <cell r="A150" t="str">
            <v>עפולה</v>
          </cell>
          <cell r="B150">
            <v>5</v>
          </cell>
          <cell r="C150" t="e">
            <v>#REF!</v>
          </cell>
          <cell r="D150" t="e">
            <v>#REF!</v>
          </cell>
          <cell r="E150">
            <v>38862</v>
          </cell>
        </row>
        <row r="151">
          <cell r="A151" t="str">
            <v>עראבה</v>
          </cell>
          <cell r="B151">
            <v>2</v>
          </cell>
          <cell r="C151" t="e">
            <v>#REF!</v>
          </cell>
          <cell r="D151" t="e">
            <v>#REF!</v>
          </cell>
          <cell r="E151">
            <v>18533</v>
          </cell>
        </row>
        <row r="152">
          <cell r="A152" t="str">
            <v>ערד</v>
          </cell>
          <cell r="B152">
            <v>5</v>
          </cell>
          <cell r="C152" t="e">
            <v>#REF!</v>
          </cell>
          <cell r="D152" t="e">
            <v>#REF!</v>
          </cell>
          <cell r="E152">
            <v>24140</v>
          </cell>
        </row>
        <row r="153">
          <cell r="A153" t="str">
            <v>ערערה</v>
          </cell>
          <cell r="B153">
            <v>2</v>
          </cell>
          <cell r="C153" t="e">
            <v>#REF!</v>
          </cell>
          <cell r="D153" t="e">
            <v>#REF!</v>
          </cell>
          <cell r="E153">
            <v>14866</v>
          </cell>
        </row>
        <row r="154">
          <cell r="A154" t="str">
            <v>ערערה בנגב</v>
          </cell>
          <cell r="B154">
            <v>2</v>
          </cell>
          <cell r="C154" t="e">
            <v>#REF!</v>
          </cell>
          <cell r="D154" t="e">
            <v>#REF!</v>
          </cell>
          <cell r="E154">
            <v>11003</v>
          </cell>
        </row>
        <row r="155">
          <cell r="A155" t="str">
            <v>פרדיס</v>
          </cell>
          <cell r="B155">
            <v>2</v>
          </cell>
          <cell r="C155" t="e">
            <v>#REF!</v>
          </cell>
          <cell r="D155" t="e">
            <v>#REF!</v>
          </cell>
          <cell r="E155">
            <v>9562</v>
          </cell>
        </row>
        <row r="156">
          <cell r="A156" t="str">
            <v>פסוטה</v>
          </cell>
          <cell r="B156">
            <v>4</v>
          </cell>
          <cell r="C156" t="e">
            <v>#REF!</v>
          </cell>
          <cell r="D156" t="e">
            <v>#REF!</v>
          </cell>
          <cell r="E156">
            <v>2881</v>
          </cell>
        </row>
        <row r="157">
          <cell r="A157" t="str">
            <v>פקיעין</v>
          </cell>
          <cell r="B157">
            <v>4</v>
          </cell>
          <cell r="C157" t="e">
            <v>#REF!</v>
          </cell>
          <cell r="D157" t="e">
            <v>#REF!</v>
          </cell>
          <cell r="E157">
            <v>4854</v>
          </cell>
        </row>
        <row r="158">
          <cell r="A158" t="str">
            <v>פרדס חנה-כרכור</v>
          </cell>
          <cell r="B158">
            <v>6</v>
          </cell>
          <cell r="C158" t="e">
            <v>#REF!</v>
          </cell>
          <cell r="D158" t="e">
            <v>#REF!</v>
          </cell>
          <cell r="E158">
            <v>29034</v>
          </cell>
        </row>
        <row r="159">
          <cell r="A159" t="str">
            <v>פרדסיה</v>
          </cell>
          <cell r="B159">
            <v>6</v>
          </cell>
          <cell r="C159" t="e">
            <v>#REF!</v>
          </cell>
          <cell r="D159" t="e">
            <v>#REF!</v>
          </cell>
          <cell r="E159">
            <v>6032</v>
          </cell>
        </row>
        <row r="160">
          <cell r="A160" t="str">
            <v xml:space="preserve">פתח תקוה </v>
          </cell>
          <cell r="B160">
            <v>6</v>
          </cell>
          <cell r="C160" t="e">
            <v>#REF!</v>
          </cell>
          <cell r="D160" t="e">
            <v>#REF!</v>
          </cell>
          <cell r="E160">
            <v>173823</v>
          </cell>
        </row>
        <row r="161">
          <cell r="A161" t="str">
            <v>צפת</v>
          </cell>
          <cell r="B161">
            <v>4</v>
          </cell>
          <cell r="C161" t="e">
            <v>#REF!</v>
          </cell>
          <cell r="D161" t="e">
            <v>#REF!</v>
          </cell>
          <cell r="E161">
            <v>26790</v>
          </cell>
        </row>
        <row r="162">
          <cell r="A162" t="str">
            <v>קדומים</v>
          </cell>
          <cell r="B162">
            <v>5</v>
          </cell>
          <cell r="C162" t="e">
            <v>#REF!</v>
          </cell>
          <cell r="D162" t="e">
            <v>#REF!</v>
          </cell>
          <cell r="E162">
            <v>2934</v>
          </cell>
        </row>
        <row r="163">
          <cell r="A163" t="str">
            <v>קדימה צורן</v>
          </cell>
          <cell r="B163">
            <v>7</v>
          </cell>
          <cell r="C163" t="e">
            <v>#REF!</v>
          </cell>
          <cell r="D163" t="e">
            <v>#REF!</v>
          </cell>
          <cell r="E163">
            <v>15258</v>
          </cell>
        </row>
        <row r="164">
          <cell r="A164" t="str">
            <v>קלנסואה</v>
          </cell>
          <cell r="B164">
            <v>2</v>
          </cell>
          <cell r="C164" t="e">
            <v>#REF!</v>
          </cell>
          <cell r="D164" t="e">
            <v>#REF!</v>
          </cell>
          <cell r="E164">
            <v>15919</v>
          </cell>
        </row>
        <row r="165">
          <cell r="A165" t="str">
            <v>חריש</v>
          </cell>
          <cell r="B165">
            <v>7</v>
          </cell>
          <cell r="C165" t="e">
            <v>#REF!</v>
          </cell>
          <cell r="D165" t="e">
            <v>#REF!</v>
          </cell>
          <cell r="E165">
            <v>3600</v>
          </cell>
        </row>
        <row r="166">
          <cell r="A166" t="str">
            <v>קצרין</v>
          </cell>
          <cell r="B166">
            <v>5</v>
          </cell>
          <cell r="C166" t="e">
            <v>#REF!</v>
          </cell>
          <cell r="D166" t="e">
            <v>#REF!</v>
          </cell>
          <cell r="E166">
            <v>6288</v>
          </cell>
        </row>
        <row r="167">
          <cell r="A167" t="str">
            <v xml:space="preserve">קרית אונו </v>
          </cell>
          <cell r="B167">
            <v>8</v>
          </cell>
          <cell r="C167" t="e">
            <v>#REF!</v>
          </cell>
          <cell r="D167" t="e">
            <v>#REF!</v>
          </cell>
          <cell r="E167">
            <v>24269</v>
          </cell>
        </row>
        <row r="168">
          <cell r="A168" t="str">
            <v>קריית ארבע</v>
          </cell>
          <cell r="B168">
            <v>4</v>
          </cell>
          <cell r="C168" t="e">
            <v>#REF!</v>
          </cell>
          <cell r="D168" t="e">
            <v>#REF!</v>
          </cell>
          <cell r="E168">
            <v>6605</v>
          </cell>
        </row>
        <row r="169">
          <cell r="A169" t="str">
            <v>קריית אתא</v>
          </cell>
          <cell r="B169">
            <v>5</v>
          </cell>
          <cell r="C169" t="e">
            <v>#REF!</v>
          </cell>
          <cell r="D169" t="e">
            <v>#REF!</v>
          </cell>
          <cell r="E169">
            <v>48894</v>
          </cell>
        </row>
        <row r="170">
          <cell r="A170" t="str">
            <v>קריית ביאליק</v>
          </cell>
          <cell r="B170">
            <v>6</v>
          </cell>
          <cell r="C170" t="e">
            <v>#REF!</v>
          </cell>
          <cell r="D170" t="e">
            <v>#REF!</v>
          </cell>
          <cell r="E170">
            <v>37092</v>
          </cell>
        </row>
        <row r="171">
          <cell r="A171" t="str">
            <v>קריית גת</v>
          </cell>
          <cell r="B171">
            <v>4</v>
          </cell>
          <cell r="C171" t="e">
            <v>#REF!</v>
          </cell>
          <cell r="D171" t="e">
            <v>#REF!</v>
          </cell>
          <cell r="E171">
            <v>48255</v>
          </cell>
        </row>
        <row r="172">
          <cell r="A172" t="str">
            <v>קריית טבעון</v>
          </cell>
          <cell r="B172">
            <v>8</v>
          </cell>
          <cell r="C172" t="e">
            <v>#REF!</v>
          </cell>
          <cell r="D172" t="e">
            <v>#REF!</v>
          </cell>
          <cell r="E172">
            <v>13402</v>
          </cell>
        </row>
        <row r="173">
          <cell r="A173" t="str">
            <v>קריית ים</v>
          </cell>
          <cell r="B173">
            <v>5</v>
          </cell>
          <cell r="C173" t="e">
            <v>#REF!</v>
          </cell>
          <cell r="D173" t="e">
            <v>#REF!</v>
          </cell>
          <cell r="E173">
            <v>38371</v>
          </cell>
        </row>
        <row r="174">
          <cell r="A174" t="str">
            <v>קריית יערים</v>
          </cell>
          <cell r="B174">
            <v>3</v>
          </cell>
          <cell r="C174" t="e">
            <v>#REF!</v>
          </cell>
          <cell r="D174" t="e">
            <v>#REF!</v>
          </cell>
          <cell r="E174">
            <v>2937</v>
          </cell>
        </row>
        <row r="175">
          <cell r="A175" t="str">
            <v>קריית מוצקין</v>
          </cell>
          <cell r="B175">
            <v>6</v>
          </cell>
          <cell r="C175" t="e">
            <v>#REF!</v>
          </cell>
          <cell r="D175" t="e">
            <v>#REF!</v>
          </cell>
          <cell r="E175">
            <v>39733</v>
          </cell>
        </row>
        <row r="176">
          <cell r="A176" t="str">
            <v>קריית מלאכי</v>
          </cell>
          <cell r="B176">
            <v>4</v>
          </cell>
          <cell r="C176" t="e">
            <v>#REF!</v>
          </cell>
          <cell r="D176" t="e">
            <v>#REF!</v>
          </cell>
          <cell r="E176">
            <v>19240</v>
          </cell>
        </row>
        <row r="177">
          <cell r="A177" t="str">
            <v>קריית עקרון</v>
          </cell>
          <cell r="B177">
            <v>5</v>
          </cell>
          <cell r="C177" t="e">
            <v>#REF!</v>
          </cell>
          <cell r="D177" t="e">
            <v>#REF!</v>
          </cell>
          <cell r="E177">
            <v>9640</v>
          </cell>
        </row>
        <row r="178">
          <cell r="A178" t="str">
            <v>קרית שמונה</v>
          </cell>
          <cell r="B178">
            <v>5</v>
          </cell>
          <cell r="C178" t="e">
            <v>#REF!</v>
          </cell>
          <cell r="D178" t="e">
            <v>#REF!</v>
          </cell>
          <cell r="E178">
            <v>22003</v>
          </cell>
        </row>
        <row r="179">
          <cell r="A179" t="str">
            <v>קרני שומרון</v>
          </cell>
          <cell r="B179">
            <v>6</v>
          </cell>
          <cell r="C179" t="e">
            <v>#REF!</v>
          </cell>
          <cell r="D179" t="e">
            <v>#REF!</v>
          </cell>
          <cell r="E179">
            <v>6093</v>
          </cell>
        </row>
        <row r="180">
          <cell r="A180" t="str">
            <v>ראמה</v>
          </cell>
          <cell r="B180">
            <v>4</v>
          </cell>
          <cell r="C180" t="e">
            <v>#REF!</v>
          </cell>
          <cell r="D180" t="e">
            <v>#REF!</v>
          </cell>
          <cell r="E180">
            <v>7350</v>
          </cell>
        </row>
        <row r="181">
          <cell r="A181" t="str">
            <v>ראש העין</v>
          </cell>
          <cell r="B181">
            <v>6</v>
          </cell>
          <cell r="C181" t="e">
            <v>#REF!</v>
          </cell>
          <cell r="D181" t="e">
            <v>#REF!</v>
          </cell>
          <cell r="E181">
            <v>35968</v>
          </cell>
        </row>
        <row r="182">
          <cell r="A182" t="str">
            <v>ראש פינה</v>
          </cell>
          <cell r="B182">
            <v>7</v>
          </cell>
          <cell r="C182" t="e">
            <v>#REF!</v>
          </cell>
          <cell r="D182" t="e">
            <v>#REF!</v>
          </cell>
          <cell r="E182">
            <v>2269</v>
          </cell>
        </row>
        <row r="183">
          <cell r="A183" t="str">
            <v>ראשון לציון</v>
          </cell>
          <cell r="B183">
            <v>6</v>
          </cell>
          <cell r="C183" t="e">
            <v>#REF!</v>
          </cell>
          <cell r="D183" t="e">
            <v>#REF!</v>
          </cell>
          <cell r="E183">
            <v>214616</v>
          </cell>
        </row>
        <row r="184">
          <cell r="A184" t="str">
            <v>רהט</v>
          </cell>
          <cell r="B184">
            <v>2</v>
          </cell>
          <cell r="C184" t="e">
            <v>#REF!</v>
          </cell>
          <cell r="D184" t="e">
            <v>#REF!</v>
          </cell>
          <cell r="E184">
            <v>35760</v>
          </cell>
        </row>
        <row r="185">
          <cell r="A185" t="str">
            <v>רחובות</v>
          </cell>
          <cell r="B185">
            <v>6</v>
          </cell>
          <cell r="C185" t="e">
            <v>#REF!</v>
          </cell>
          <cell r="D185" t="e">
            <v>#REF!</v>
          </cell>
          <cell r="E185">
            <v>100103</v>
          </cell>
        </row>
        <row r="186">
          <cell r="A186" t="str">
            <v>ריינה</v>
          </cell>
          <cell r="B186">
            <v>3</v>
          </cell>
          <cell r="C186" t="e">
            <v>#REF!</v>
          </cell>
          <cell r="D186" t="e">
            <v>#REF!</v>
          </cell>
          <cell r="E186">
            <v>15042</v>
          </cell>
        </row>
        <row r="187">
          <cell r="A187" t="str">
            <v>רכסים</v>
          </cell>
          <cell r="B187">
            <v>2</v>
          </cell>
          <cell r="C187" t="e">
            <v>#REF!</v>
          </cell>
          <cell r="D187" t="e">
            <v>#REF!</v>
          </cell>
          <cell r="E187">
            <v>8050</v>
          </cell>
        </row>
        <row r="188">
          <cell r="A188" t="str">
            <v>רמלה</v>
          </cell>
          <cell r="B188">
            <v>4</v>
          </cell>
          <cell r="C188" t="e">
            <v>#REF!</v>
          </cell>
          <cell r="D188" t="e">
            <v>#REF!</v>
          </cell>
          <cell r="E188">
            <v>63133</v>
          </cell>
        </row>
        <row r="189">
          <cell r="A189" t="str">
            <v>רמת גן</v>
          </cell>
          <cell r="B189">
            <v>7</v>
          </cell>
          <cell r="C189" t="e">
            <v>#REF!</v>
          </cell>
          <cell r="D189" t="e">
            <v>#REF!</v>
          </cell>
          <cell r="E189">
            <v>126547</v>
          </cell>
        </row>
        <row r="190">
          <cell r="A190" t="str">
            <v>רמת השרון</v>
          </cell>
          <cell r="B190">
            <v>9</v>
          </cell>
          <cell r="C190" t="e">
            <v>#REF!</v>
          </cell>
          <cell r="D190" t="e">
            <v>#REF!</v>
          </cell>
          <cell r="E190">
            <v>35587</v>
          </cell>
        </row>
        <row r="191">
          <cell r="A191" t="str">
            <v>רמת ישי</v>
          </cell>
          <cell r="B191">
            <v>8</v>
          </cell>
          <cell r="C191" t="e">
            <v>#REF!</v>
          </cell>
          <cell r="D191" t="e">
            <v>#REF!</v>
          </cell>
          <cell r="E191">
            <v>5358</v>
          </cell>
        </row>
        <row r="192">
          <cell r="A192" t="str">
            <v>רעננה</v>
          </cell>
          <cell r="B192">
            <v>8</v>
          </cell>
          <cell r="C192" t="e">
            <v>#REF!</v>
          </cell>
          <cell r="D192" t="e">
            <v>#REF!</v>
          </cell>
          <cell r="E192">
            <v>69657</v>
          </cell>
        </row>
        <row r="193">
          <cell r="A193" t="str">
            <v>שיבלי</v>
          </cell>
          <cell r="B193">
            <v>2</v>
          </cell>
          <cell r="C193" t="e">
            <v>#REF!</v>
          </cell>
          <cell r="D193" t="e">
            <v>#REF!</v>
          </cell>
          <cell r="E193">
            <v>4572</v>
          </cell>
        </row>
        <row r="194">
          <cell r="A194" t="str">
            <v>שגב שלום</v>
          </cell>
          <cell r="B194">
            <v>2</v>
          </cell>
          <cell r="C194" t="e">
            <v>#REF!</v>
          </cell>
          <cell r="D194" t="e">
            <v>#REF!</v>
          </cell>
          <cell r="E194">
            <v>5495</v>
          </cell>
        </row>
        <row r="195">
          <cell r="A195" t="str">
            <v>שדרות</v>
          </cell>
          <cell r="B195">
            <v>4</v>
          </cell>
          <cell r="C195" t="e">
            <v>#REF!</v>
          </cell>
          <cell r="D195" t="e">
            <v>#REF!</v>
          </cell>
          <cell r="E195">
            <v>19826</v>
          </cell>
        </row>
        <row r="196">
          <cell r="A196" t="str">
            <v>שהם</v>
          </cell>
          <cell r="B196">
            <v>8</v>
          </cell>
          <cell r="C196" t="e">
            <v>#REF!</v>
          </cell>
          <cell r="D196" t="e">
            <v>#REF!</v>
          </cell>
          <cell r="E196">
            <v>16597</v>
          </cell>
        </row>
        <row r="197">
          <cell r="A197" t="str">
            <v>שלומי</v>
          </cell>
          <cell r="B197">
            <v>5</v>
          </cell>
          <cell r="C197" t="e">
            <v>#REF!</v>
          </cell>
          <cell r="D197" t="e">
            <v>#REF!</v>
          </cell>
          <cell r="E197">
            <v>5181</v>
          </cell>
        </row>
        <row r="198">
          <cell r="A198" t="str">
            <v xml:space="preserve">שעב </v>
          </cell>
          <cell r="B198">
            <v>2</v>
          </cell>
          <cell r="C198" t="e">
            <v>#REF!</v>
          </cell>
          <cell r="D198" t="e">
            <v>#REF!</v>
          </cell>
          <cell r="E198">
            <v>5619</v>
          </cell>
        </row>
        <row r="199">
          <cell r="A199" t="str">
            <v xml:space="preserve">שפרעם </v>
          </cell>
          <cell r="B199">
            <v>3</v>
          </cell>
          <cell r="C199" t="e">
            <v>#REF!</v>
          </cell>
          <cell r="D199" t="e">
            <v>#REF!</v>
          </cell>
          <cell r="E199">
            <v>31173</v>
          </cell>
        </row>
        <row r="200">
          <cell r="A200" t="str">
            <v>תל אביב-יפו</v>
          </cell>
          <cell r="B200">
            <v>8</v>
          </cell>
          <cell r="C200" t="e">
            <v>#REF!</v>
          </cell>
          <cell r="D200" t="e">
            <v>#REF!</v>
          </cell>
          <cell r="E200">
            <v>363387</v>
          </cell>
        </row>
        <row r="201">
          <cell r="A201" t="str">
            <v>תל מונד</v>
          </cell>
          <cell r="B201">
            <v>9</v>
          </cell>
          <cell r="C201" t="e">
            <v>#REF!</v>
          </cell>
          <cell r="D201" t="e">
            <v>#REF!</v>
          </cell>
          <cell r="E201">
            <v>7854</v>
          </cell>
        </row>
        <row r="202">
          <cell r="A202" t="str">
            <v>תל שבע</v>
          </cell>
          <cell r="B202">
            <v>1</v>
          </cell>
          <cell r="C202" t="e">
            <v>#REF!</v>
          </cell>
          <cell r="D202" t="e">
            <v>#REF!</v>
          </cell>
          <cell r="E202">
            <v>11916</v>
          </cell>
        </row>
      </sheetData>
      <sheetData sheetId="1">
        <row r="30">
          <cell r="D30">
            <v>2.4775710084553761</v>
          </cell>
        </row>
        <row r="63">
          <cell r="E63">
            <v>7.0000000000000007E-2</v>
          </cell>
        </row>
        <row r="66">
          <cell r="E66">
            <v>0.1166</v>
          </cell>
        </row>
        <row r="69">
          <cell r="E69">
            <v>1.4999999999999999E-2</v>
          </cell>
        </row>
        <row r="72">
          <cell r="E72">
            <v>6.6699999999999995E-2</v>
          </cell>
        </row>
      </sheetData>
      <sheetData sheetId="2"/>
      <sheetData sheetId="3"/>
      <sheetData sheetId="4"/>
      <sheetData sheetId="5"/>
      <sheetData sheetId="6"/>
      <sheetData sheetId="7"/>
      <sheetData sheetId="8">
        <row r="23">
          <cell r="F23">
            <v>-4.8999999999999998E-3</v>
          </cell>
        </row>
      </sheetData>
      <sheetData sheetId="9"/>
      <sheetData sheetId="10"/>
      <sheetData sheetId="11">
        <row r="78">
          <cell r="E78">
            <v>-8.9715966178495199E-3</v>
          </cell>
        </row>
      </sheetData>
      <sheetData sheetId="12"/>
      <sheetData sheetId="13">
        <row r="4">
          <cell r="A4" t="str">
            <v>נתוני תאגיד כלליים</v>
          </cell>
          <cell r="B4" t="str">
            <v>שם תאגיד</v>
          </cell>
          <cell r="C4" t="str">
            <v>מי ברק בע"מ</v>
          </cell>
          <cell r="D4" t="str">
            <v>הרי נצרת מפעלי מים וביוב בע"מ</v>
          </cell>
          <cell r="E4" t="str">
            <v>התנור מים וביוב בע"מ</v>
          </cell>
          <cell r="F4" t="str">
            <v>חברת הגיחון בע"מ תאגיד המים והביוב של ירושלים</v>
          </cell>
          <cell r="G4" t="str">
            <v>יובלים אשדוד בע"מ</v>
          </cell>
          <cell r="H4" t="str">
            <v>יובלים בשומרון בע"מ</v>
          </cell>
          <cell r="I4" t="str">
            <v>כפרי גליל תחתון בע"מ</v>
          </cell>
          <cell r="J4" t="str">
            <v>מי חדרה בע"מ</v>
          </cell>
          <cell r="K4" t="str">
            <v>מי לוד בע"מ</v>
          </cell>
          <cell r="L4" t="str">
            <v>מי נע חברת המים והביוב של עיריית נצרת עילית בע"מ</v>
          </cell>
          <cell r="M4" t="str">
            <v>מי נתניה (2003) בע"מ</v>
          </cell>
          <cell r="N4" t="str">
            <v>מי עירון בע"מ</v>
          </cell>
          <cell r="O4" t="str">
            <v>מי ציונה בע"מ</v>
          </cell>
          <cell r="P4" t="str">
            <v>מי רקת  בע"מ</v>
          </cell>
          <cell r="Q4" t="str">
            <v>מי שבע תאגיד המים והביוב לבאר שבע בע"מ</v>
          </cell>
          <cell r="R4" t="str">
            <v>מי שקמה תאגיד המים והביוב בע"מ</v>
          </cell>
          <cell r="S4" t="str">
            <v>מיתב מים תיעול וביוב בע"מ</v>
          </cell>
          <cell r="T4" t="str">
            <v>מניב ראשון בע"מ</v>
          </cell>
          <cell r="U4" t="str">
            <v>עין נטפים מפעלי מים וביוב אילת בע"מ</v>
          </cell>
          <cell r="V4" t="str">
            <v>פלג הגליל החברה האזורית למים וביוב בע"מ</v>
          </cell>
          <cell r="W4" t="str">
            <v>תמ"ר תאגיד מים רמלה בע"מ</v>
          </cell>
          <cell r="X4" t="str">
            <v>מי מודיעין</v>
          </cell>
          <cell r="Y4" t="str">
            <v>מעיינות זיו</v>
          </cell>
          <cell r="Z4" t="str">
            <v>מעיינות אתא</v>
          </cell>
          <cell r="AA4" t="str">
            <v>מי רעננה</v>
          </cell>
          <cell r="AB4" t="str">
            <v>מי קריית גת</v>
          </cell>
          <cell r="AC4" t="str">
            <v>מי הרצליה</v>
          </cell>
          <cell r="AD4" t="str">
            <v>שרונים</v>
          </cell>
          <cell r="AE4" t="str">
            <v>מי כרמל</v>
          </cell>
          <cell r="AF4" t="str">
            <v>מי יבנה</v>
          </cell>
          <cell r="AG4" t="str">
            <v>עין כרמים</v>
          </cell>
          <cell r="AH4" t="str">
            <v>מי רהט</v>
          </cell>
          <cell r="AI4" t="str">
            <v>עין אפק</v>
          </cell>
          <cell r="AJ4" t="str">
            <v>פלגי מוצקין</v>
          </cell>
          <cell r="AK4" t="str">
            <v>מי קריית ביאליק</v>
          </cell>
          <cell r="AL4" t="str">
            <v>מי אביבים 2010 בע"מ</v>
          </cell>
          <cell r="AM4" t="str">
            <v>מעיינות השרון</v>
          </cell>
          <cell r="AN4" t="str">
            <v>מי רמת גן</v>
          </cell>
          <cell r="AO4" t="str">
            <v>מי גבעתיים</v>
          </cell>
          <cell r="AP4" t="str">
            <v>מי בת ים</v>
          </cell>
          <cell r="AQ4" t="str">
            <v>מי אונו</v>
          </cell>
          <cell r="AR4" t="str">
            <v>סובב שפרעם</v>
          </cell>
          <cell r="AS4" t="str">
            <v>מי עכו</v>
          </cell>
          <cell r="AT4" t="str">
            <v>ימים</v>
          </cell>
          <cell r="AU4" t="str">
            <v>מי הוד השרון</v>
          </cell>
          <cell r="AV4" t="str">
            <v>אל עין</v>
          </cell>
          <cell r="AW4" t="str">
            <v>מי גליל</v>
          </cell>
          <cell r="AX4" t="str">
            <v>מי אשקלון</v>
          </cell>
          <cell r="AY4" t="str">
            <v>מעיינות הדרום</v>
          </cell>
          <cell r="AZ4" t="str">
            <v>מעיינות העמקים</v>
          </cell>
          <cell r="BA4" t="str">
            <v>מי בית שמש</v>
          </cell>
          <cell r="BB4" t="str">
            <v>מעיינות המשולש</v>
          </cell>
          <cell r="BC4" t="str">
            <v>נווה מדבר</v>
          </cell>
          <cell r="BD4" t="str">
            <v>פלגי השרון</v>
          </cell>
          <cell r="BE4" t="str">
            <v>מי תקווה</v>
          </cell>
          <cell r="BF4" t="str">
            <v>מי רחובות</v>
          </cell>
        </row>
        <row r="5">
          <cell r="B5" t="str">
            <v>סיווג תאגיד</v>
          </cell>
          <cell r="C5" t="str">
            <v>חלש</v>
          </cell>
          <cell r="D5" t="str">
            <v>חלש</v>
          </cell>
          <cell r="E5" t="str">
            <v>בינוני</v>
          </cell>
          <cell r="F5" t="str">
            <v>בינוני</v>
          </cell>
          <cell r="G5" t="str">
            <v xml:space="preserve">חזק </v>
          </cell>
          <cell r="H5" t="str">
            <v xml:space="preserve">חזק </v>
          </cell>
          <cell r="I5" t="str">
            <v>חלש</v>
          </cell>
          <cell r="J5" t="str">
            <v xml:space="preserve">חזק </v>
          </cell>
          <cell r="K5" t="str">
            <v>חלש</v>
          </cell>
          <cell r="L5" t="str">
            <v xml:space="preserve">חזק </v>
          </cell>
          <cell r="M5" t="str">
            <v xml:space="preserve">חזק </v>
          </cell>
          <cell r="N5" t="str">
            <v>חלש</v>
          </cell>
          <cell r="O5" t="str">
            <v>חזק מאוד</v>
          </cell>
          <cell r="P5" t="str">
            <v>חלש</v>
          </cell>
          <cell r="Q5" t="str">
            <v>בינוני</v>
          </cell>
          <cell r="R5" t="str">
            <v xml:space="preserve">חזק </v>
          </cell>
          <cell r="S5" t="str">
            <v>בינוני</v>
          </cell>
          <cell r="T5" t="str">
            <v xml:space="preserve">חזק </v>
          </cell>
          <cell r="U5" t="str">
            <v xml:space="preserve">חזק </v>
          </cell>
          <cell r="V5" t="str">
            <v>חלש</v>
          </cell>
          <cell r="W5" t="str">
            <v>חלש</v>
          </cell>
          <cell r="X5" t="str">
            <v>חזק מאוד</v>
          </cell>
          <cell r="Y5" t="str">
            <v>בינוני</v>
          </cell>
          <cell r="Z5" t="str">
            <v xml:space="preserve">חזק </v>
          </cell>
          <cell r="AA5" t="str">
            <v>חזק מאוד</v>
          </cell>
          <cell r="AB5" t="str">
            <v>חלש</v>
          </cell>
          <cell r="AC5" t="str">
            <v>חזק מאוד</v>
          </cell>
          <cell r="AD5" t="str">
            <v>חזק מאוד</v>
          </cell>
          <cell r="AE5" t="str">
            <v>חזק מאוד</v>
          </cell>
          <cell r="AF5" t="str">
            <v xml:space="preserve">חזק </v>
          </cell>
          <cell r="AG5" t="str">
            <v xml:space="preserve">חזק </v>
          </cell>
          <cell r="AH5" t="str">
            <v>חלש</v>
          </cell>
          <cell r="AI5" t="str">
            <v xml:space="preserve">חזק </v>
          </cell>
          <cell r="AJ5" t="str">
            <v>בינוני</v>
          </cell>
          <cell r="AK5" t="str">
            <v xml:space="preserve">חזק </v>
          </cell>
          <cell r="AL5" t="str">
            <v>חזק מאוד</v>
          </cell>
          <cell r="AM5" t="str">
            <v>חזק מאוד</v>
          </cell>
          <cell r="AN5" t="str">
            <v>חזק מאוד</v>
          </cell>
          <cell r="AO5" t="str">
            <v>חזק מאוד</v>
          </cell>
          <cell r="AP5" t="str">
            <v xml:space="preserve">חזק </v>
          </cell>
          <cell r="AQ5" t="str">
            <v>חזק מאוד</v>
          </cell>
          <cell r="AR5" t="str">
            <v>חלש</v>
          </cell>
          <cell r="AS5" t="str">
            <v>חלש</v>
          </cell>
          <cell r="AT5" t="str">
            <v xml:space="preserve">חזק </v>
          </cell>
          <cell r="AU5" t="str">
            <v>חזק מאוד</v>
          </cell>
          <cell r="AV5" t="str">
            <v>חלש</v>
          </cell>
          <cell r="AW5" t="str">
            <v>חלש</v>
          </cell>
          <cell r="AX5" t="str">
            <v>בינוני</v>
          </cell>
          <cell r="AY5" t="str">
            <v>חלש</v>
          </cell>
          <cell r="AZ5" t="str">
            <v>חזק מאוד</v>
          </cell>
          <cell r="BA5" t="str">
            <v>חלש</v>
          </cell>
          <cell r="BB5" t="str">
            <v>חלש</v>
          </cell>
          <cell r="BC5" t="str">
            <v>חלש</v>
          </cell>
          <cell r="BD5" t="str">
            <v>חזק מאוד</v>
          </cell>
          <cell r="BE5" t="str">
            <v>חזק מאוד</v>
          </cell>
          <cell r="BF5" t="str">
            <v xml:space="preserve">חזק </v>
          </cell>
        </row>
        <row r="6">
          <cell r="B6" t="str">
            <v>האשכול החברתי של הישובים (למ"ס):</v>
          </cell>
          <cell r="C6">
            <v>3</v>
          </cell>
          <cell r="D6">
            <v>3</v>
          </cell>
          <cell r="E6">
            <v>4</v>
          </cell>
          <cell r="F6">
            <v>5</v>
          </cell>
          <cell r="G6">
            <v>5</v>
          </cell>
          <cell r="H6">
            <v>5</v>
          </cell>
          <cell r="I6">
            <v>2</v>
          </cell>
          <cell r="J6">
            <v>5</v>
          </cell>
          <cell r="K6">
            <v>4</v>
          </cell>
          <cell r="L6">
            <v>5</v>
          </cell>
          <cell r="M6">
            <v>5</v>
          </cell>
          <cell r="N6">
            <v>3</v>
          </cell>
          <cell r="O6">
            <v>7</v>
          </cell>
          <cell r="P6">
            <v>4</v>
          </cell>
          <cell r="Q6">
            <v>5</v>
          </cell>
          <cell r="R6">
            <v>5</v>
          </cell>
          <cell r="S6">
            <v>5</v>
          </cell>
          <cell r="T6">
            <v>6</v>
          </cell>
          <cell r="U6">
            <v>5</v>
          </cell>
          <cell r="V6">
            <v>3</v>
          </cell>
          <cell r="W6">
            <v>4</v>
          </cell>
          <cell r="X6">
            <v>8</v>
          </cell>
          <cell r="Y6">
            <v>5</v>
          </cell>
          <cell r="Z6">
            <v>5</v>
          </cell>
          <cell r="AA6">
            <v>8</v>
          </cell>
          <cell r="AB6">
            <v>4</v>
          </cell>
          <cell r="AC6">
            <v>8</v>
          </cell>
          <cell r="AD6">
            <v>9</v>
          </cell>
          <cell r="AE6">
            <v>7</v>
          </cell>
          <cell r="AF6">
            <v>5</v>
          </cell>
          <cell r="AG6">
            <v>5</v>
          </cell>
          <cell r="AH6">
            <v>2</v>
          </cell>
          <cell r="AI6">
            <v>6</v>
          </cell>
          <cell r="AJ6">
            <v>5</v>
          </cell>
          <cell r="AK6">
            <v>6</v>
          </cell>
          <cell r="AL6">
            <v>8</v>
          </cell>
          <cell r="AM6">
            <v>7</v>
          </cell>
          <cell r="AN6">
            <v>7</v>
          </cell>
          <cell r="AO6">
            <v>8</v>
          </cell>
          <cell r="AP6">
            <v>5</v>
          </cell>
          <cell r="AQ6">
            <v>8</v>
          </cell>
          <cell r="AR6">
            <v>3</v>
          </cell>
          <cell r="AS6">
            <v>4</v>
          </cell>
          <cell r="AT6">
            <v>5</v>
          </cell>
          <cell r="AU6">
            <v>8</v>
          </cell>
          <cell r="AV6">
            <v>3</v>
          </cell>
          <cell r="AW6">
            <v>2</v>
          </cell>
          <cell r="AX6">
            <v>5</v>
          </cell>
          <cell r="AY6">
            <v>4</v>
          </cell>
          <cell r="AZ6">
            <v>7</v>
          </cell>
          <cell r="BA6">
            <v>3</v>
          </cell>
          <cell r="BB6">
            <v>3</v>
          </cell>
          <cell r="BC6">
            <v>2</v>
          </cell>
          <cell r="BD6">
            <v>9</v>
          </cell>
          <cell r="BE6">
            <v>8</v>
          </cell>
          <cell r="BF6">
            <v>6</v>
          </cell>
        </row>
        <row r="7">
          <cell r="B7" t="str">
            <v>שנת תחילת פעילות התאגיד</v>
          </cell>
          <cell r="C7">
            <v>2009</v>
          </cell>
          <cell r="D7">
            <v>2009</v>
          </cell>
          <cell r="E7">
            <v>2008</v>
          </cell>
          <cell r="F7">
            <v>2003</v>
          </cell>
          <cell r="G7">
            <v>2008</v>
          </cell>
          <cell r="H7">
            <v>2008</v>
          </cell>
          <cell r="I7">
            <v>2009</v>
          </cell>
          <cell r="J7">
            <v>2009</v>
          </cell>
          <cell r="K7">
            <v>2009</v>
          </cell>
          <cell r="L7">
            <v>2003</v>
          </cell>
          <cell r="M7">
            <v>2003</v>
          </cell>
          <cell r="N7">
            <v>2009</v>
          </cell>
          <cell r="O7">
            <v>2009</v>
          </cell>
          <cell r="P7">
            <v>2008</v>
          </cell>
          <cell r="Q7">
            <v>2007</v>
          </cell>
          <cell r="R7">
            <v>2008</v>
          </cell>
          <cell r="S7">
            <v>2004</v>
          </cell>
          <cell r="T7">
            <v>2003</v>
          </cell>
          <cell r="U7">
            <v>2006</v>
          </cell>
          <cell r="V7">
            <v>2008</v>
          </cell>
          <cell r="W7">
            <v>2009</v>
          </cell>
          <cell r="X7">
            <v>2006</v>
          </cell>
          <cell r="Y7">
            <v>2009</v>
          </cell>
          <cell r="Z7">
            <v>2009</v>
          </cell>
          <cell r="AA7">
            <v>2010</v>
          </cell>
          <cell r="AB7">
            <v>2009</v>
          </cell>
          <cell r="AC7">
            <v>2010</v>
          </cell>
          <cell r="AD7">
            <v>2009</v>
          </cell>
          <cell r="AE7">
            <v>2010</v>
          </cell>
          <cell r="AF7">
            <v>2009</v>
          </cell>
          <cell r="AG7">
            <v>2010</v>
          </cell>
          <cell r="AH7">
            <v>2010</v>
          </cell>
          <cell r="AI7">
            <v>2009</v>
          </cell>
          <cell r="AJ7">
            <v>2009</v>
          </cell>
          <cell r="AK7">
            <v>2013</v>
          </cell>
          <cell r="AL7">
            <v>2010</v>
          </cell>
          <cell r="AM7">
            <v>2010</v>
          </cell>
          <cell r="AN7">
            <v>2012</v>
          </cell>
          <cell r="AO7">
            <v>2010</v>
          </cell>
          <cell r="AP7">
            <v>2009</v>
          </cell>
          <cell r="AQ7">
            <v>2010</v>
          </cell>
          <cell r="AR7">
            <v>2010</v>
          </cell>
          <cell r="AS7">
            <v>2010</v>
          </cell>
          <cell r="AT7">
            <v>2010</v>
          </cell>
          <cell r="AU7">
            <v>2010</v>
          </cell>
          <cell r="AV7">
            <v>2010</v>
          </cell>
          <cell r="AW7">
            <v>2010</v>
          </cell>
          <cell r="AX7">
            <v>2010</v>
          </cell>
          <cell r="AY7">
            <v>2010</v>
          </cell>
          <cell r="AZ7">
            <v>2010</v>
          </cell>
          <cell r="BA7">
            <v>2010</v>
          </cell>
          <cell r="BB7">
            <v>2010</v>
          </cell>
          <cell r="BC7">
            <v>2011</v>
          </cell>
          <cell r="BD7">
            <v>2011</v>
          </cell>
          <cell r="BE7">
            <v>2013</v>
          </cell>
          <cell r="BF7">
            <v>2016</v>
          </cell>
        </row>
        <row r="8">
          <cell r="B8" t="str">
            <v>יתרת פתיחה- מפקד נכסי מים מופחת</v>
          </cell>
          <cell r="C8">
            <v>42979.930999999997</v>
          </cell>
          <cell r="D8">
            <v>71428.73</v>
          </cell>
          <cell r="E8">
            <v>42029.707000000002</v>
          </cell>
          <cell r="F8">
            <v>499262.51899999997</v>
          </cell>
          <cell r="G8">
            <v>87816</v>
          </cell>
          <cell r="H8">
            <v>25936.188333333332</v>
          </cell>
          <cell r="I8">
            <v>48457.552000000003</v>
          </cell>
          <cell r="J8">
            <v>62864.678</v>
          </cell>
          <cell r="K8">
            <v>20382.365000000002</v>
          </cell>
          <cell r="L8">
            <v>73250.597999999998</v>
          </cell>
          <cell r="M8">
            <v>128230.59600000001</v>
          </cell>
          <cell r="N8">
            <v>77134.452999999994</v>
          </cell>
          <cell r="O8">
            <v>48461.557000000001</v>
          </cell>
          <cell r="P8">
            <v>63011.004999999997</v>
          </cell>
          <cell r="Q8">
            <v>114210.69500000001</v>
          </cell>
          <cell r="R8">
            <v>98914.097999999998</v>
          </cell>
          <cell r="S8">
            <v>155168.929</v>
          </cell>
          <cell r="T8">
            <v>156462.40299999999</v>
          </cell>
          <cell r="U8">
            <v>58288.302000000003</v>
          </cell>
          <cell r="V8">
            <v>83905.163</v>
          </cell>
          <cell r="W8">
            <v>57104.091999999997</v>
          </cell>
          <cell r="X8">
            <v>82392.178</v>
          </cell>
          <cell r="Y8">
            <v>40072.712</v>
          </cell>
          <cell r="Z8">
            <v>36539.423999999999</v>
          </cell>
          <cell r="AA8">
            <v>85636.524999999994</v>
          </cell>
          <cell r="AB8">
            <v>35205.489000000001</v>
          </cell>
          <cell r="AC8">
            <v>68351.183000000005</v>
          </cell>
          <cell r="AD8">
            <v>28317.245999999999</v>
          </cell>
          <cell r="AE8">
            <v>214592.11199999999</v>
          </cell>
          <cell r="AF8">
            <v>34353.266000000003</v>
          </cell>
          <cell r="AG8">
            <v>36080.231</v>
          </cell>
          <cell r="AH8">
            <v>35375.936999999998</v>
          </cell>
          <cell r="AI8">
            <v>34588.705000000002</v>
          </cell>
          <cell r="AJ8">
            <v>22482.293000000001</v>
          </cell>
          <cell r="AK8">
            <v>10808.652</v>
          </cell>
          <cell r="AL8">
            <v>195693.476</v>
          </cell>
          <cell r="AM8">
            <v>59811.722000000002</v>
          </cell>
          <cell r="AN8">
            <v>67732.403000000006</v>
          </cell>
          <cell r="AO8">
            <v>23560.257000000001</v>
          </cell>
          <cell r="AP8">
            <v>37063.226999999999</v>
          </cell>
          <cell r="AQ8">
            <v>41766.243000000002</v>
          </cell>
          <cell r="AR8">
            <v>87686.123000000007</v>
          </cell>
          <cell r="AS8">
            <v>34816.701000000001</v>
          </cell>
          <cell r="AT8">
            <v>15354.864</v>
          </cell>
          <cell r="AU8">
            <v>45332.273999999998</v>
          </cell>
          <cell r="AV8">
            <v>62597.707000000002</v>
          </cell>
          <cell r="AW8">
            <v>52249.180999999997</v>
          </cell>
          <cell r="AX8">
            <v>69583.839000000007</v>
          </cell>
          <cell r="AY8">
            <v>41699.828999999998</v>
          </cell>
          <cell r="AZ8">
            <v>59108.214</v>
          </cell>
          <cell r="BA8">
            <v>34929.398000000001</v>
          </cell>
          <cell r="BB8">
            <v>27474.741999999998</v>
          </cell>
          <cell r="BC8">
            <v>46846.951000000001</v>
          </cell>
          <cell r="BD8">
            <v>5673.4089999999997</v>
          </cell>
          <cell r="BE8">
            <v>9665.0560000000005</v>
          </cell>
          <cell r="BF8">
            <v>40311.868000000002</v>
          </cell>
        </row>
        <row r="9">
          <cell r="B9" t="str">
            <v>יתרת פתיחה מפקד נכסי ביוב מופחת</v>
          </cell>
          <cell r="C9">
            <v>6102.7640000000001</v>
          </cell>
          <cell r="D9">
            <v>65275.46</v>
          </cell>
          <cell r="E9">
            <v>57816.067000000003</v>
          </cell>
          <cell r="F9">
            <v>361302.761</v>
          </cell>
          <cell r="G9">
            <v>82342</v>
          </cell>
          <cell r="H9">
            <v>28778.249</v>
          </cell>
          <cell r="I9">
            <v>93143.39</v>
          </cell>
          <cell r="J9">
            <v>36293.538</v>
          </cell>
          <cell r="K9">
            <v>27211.388999999999</v>
          </cell>
          <cell r="L9">
            <v>57485.114000000001</v>
          </cell>
          <cell r="M9">
            <v>134563.84299999999</v>
          </cell>
          <cell r="N9">
            <v>84223.501000000004</v>
          </cell>
          <cell r="O9">
            <v>49363.417999999998</v>
          </cell>
          <cell r="P9">
            <v>40427.741999999998</v>
          </cell>
          <cell r="Q9">
            <v>170640.55600000001</v>
          </cell>
          <cell r="R9">
            <v>48314.368000000002</v>
          </cell>
          <cell r="S9">
            <v>79215.255000000005</v>
          </cell>
          <cell r="T9">
            <v>147487.68299999999</v>
          </cell>
          <cell r="U9">
            <v>47257.506999999998</v>
          </cell>
          <cell r="V9">
            <v>113414.981</v>
          </cell>
          <cell r="W9">
            <v>53611.313000000002</v>
          </cell>
          <cell r="X9">
            <v>83146.259999999995</v>
          </cell>
          <cell r="Y9">
            <v>66362.804000000004</v>
          </cell>
          <cell r="Z9">
            <v>30555.172999999999</v>
          </cell>
          <cell r="AA9">
            <v>42980.559000000001</v>
          </cell>
          <cell r="AB9">
            <v>28159.125</v>
          </cell>
          <cell r="AC9">
            <v>55224.294999999998</v>
          </cell>
          <cell r="AD9">
            <v>23392.981</v>
          </cell>
          <cell r="AE9">
            <v>147519.829</v>
          </cell>
          <cell r="AF9">
            <v>34713.739000000001</v>
          </cell>
          <cell r="AG9">
            <v>17120.713</v>
          </cell>
          <cell r="AH9">
            <v>42084.207999999999</v>
          </cell>
          <cell r="AI9">
            <v>37136.536999999997</v>
          </cell>
          <cell r="AJ9">
            <v>15947.710999999999</v>
          </cell>
          <cell r="AK9">
            <v>7505.799</v>
          </cell>
          <cell r="AL9">
            <v>175531.37</v>
          </cell>
          <cell r="AM9">
            <v>76354.798999999999</v>
          </cell>
          <cell r="AN9">
            <v>7135.4570000000003</v>
          </cell>
          <cell r="AO9">
            <v>2328.8939999999998</v>
          </cell>
          <cell r="AP9">
            <v>21448.785</v>
          </cell>
          <cell r="AQ9">
            <v>25077.946</v>
          </cell>
          <cell r="AR9">
            <v>141842.78899999999</v>
          </cell>
          <cell r="AS9">
            <v>32214.217000000001</v>
          </cell>
          <cell r="AT9">
            <v>7134.1149999999998</v>
          </cell>
          <cell r="AU9">
            <v>38501.900999999998</v>
          </cell>
          <cell r="AV9">
            <v>99723.12</v>
          </cell>
          <cell r="AW9">
            <v>91318.942999999985</v>
          </cell>
          <cell r="AX9">
            <v>80912.463000000003</v>
          </cell>
          <cell r="AY9">
            <v>41485.478999999999</v>
          </cell>
          <cell r="AZ9">
            <v>66835.607000000004</v>
          </cell>
          <cell r="BA9">
            <v>27289.263999999999</v>
          </cell>
          <cell r="BB9">
            <v>42313.864000000001</v>
          </cell>
          <cell r="BC9">
            <v>102039.398</v>
          </cell>
          <cell r="BD9">
            <v>56916.987999999998</v>
          </cell>
          <cell r="BE9">
            <v>10505.34</v>
          </cell>
          <cell r="BF9">
            <v>62407.262999999999</v>
          </cell>
        </row>
        <row r="10">
          <cell r="B10" t="str">
            <v>עדכון מפקד נכסי מים</v>
          </cell>
          <cell r="C10">
            <v>94051.764314285727</v>
          </cell>
          <cell r="D10">
            <v>111110.74591428571</v>
          </cell>
          <cell r="E10">
            <v>73887.085214285733</v>
          </cell>
          <cell r="F10">
            <v>1013432.9548142855</v>
          </cell>
          <cell r="G10">
            <v>118312.02857142859</v>
          </cell>
          <cell r="H10">
            <v>40504.981885714282</v>
          </cell>
          <cell r="I10">
            <v>83916.13768571429</v>
          </cell>
          <cell r="J10">
            <v>85312.876171428579</v>
          </cell>
          <cell r="K10">
            <v>40775.937599999997</v>
          </cell>
          <cell r="L10">
            <v>118441.35081428569</v>
          </cell>
          <cell r="M10">
            <v>218053.42902857141</v>
          </cell>
          <cell r="N10">
            <v>126917.12490000001</v>
          </cell>
          <cell r="O10">
            <v>79400.487557142842</v>
          </cell>
          <cell r="P10">
            <v>147004.22365714287</v>
          </cell>
          <cell r="Q10">
            <v>257328.43378571421</v>
          </cell>
          <cell r="R10">
            <v>158331.44815714288</v>
          </cell>
          <cell r="S10">
            <v>248205.94735714287</v>
          </cell>
          <cell r="T10">
            <v>393843.71721428575</v>
          </cell>
          <cell r="U10">
            <v>77260.120000000024</v>
          </cell>
          <cell r="V10">
            <v>169639.4975142857</v>
          </cell>
          <cell r="W10">
            <v>93761.693085714272</v>
          </cell>
          <cell r="X10">
            <v>111640.61324285714</v>
          </cell>
          <cell r="Y10">
            <v>56302.827014285707</v>
          </cell>
          <cell r="Z10">
            <v>57646.09565714284</v>
          </cell>
          <cell r="AA10">
            <v>130575.69785714286</v>
          </cell>
          <cell r="AB10">
            <v>47268.586714285724</v>
          </cell>
          <cell r="AC10">
            <v>112415.6458</v>
          </cell>
          <cell r="AD10">
            <v>71254.543828571448</v>
          </cell>
          <cell r="AE10">
            <v>494824.81540000008</v>
          </cell>
          <cell r="AF10">
            <v>92475.99144285715</v>
          </cell>
          <cell r="AG10">
            <v>58787.23137142857</v>
          </cell>
          <cell r="AH10">
            <v>52819.187142857139</v>
          </cell>
          <cell r="AI10">
            <v>52898.071857142866</v>
          </cell>
          <cell r="AJ10">
            <v>26411.616571428571</v>
          </cell>
          <cell r="AK10">
            <v>26719.448971428574</v>
          </cell>
          <cell r="AL10">
            <v>455763.96939999994</v>
          </cell>
          <cell r="AM10">
            <v>100107.56638571428</v>
          </cell>
          <cell r="AN10">
            <v>145901.1605714286</v>
          </cell>
          <cell r="AO10">
            <v>52118.798457142853</v>
          </cell>
          <cell r="AP10">
            <v>97911.011557142861</v>
          </cell>
          <cell r="AQ10">
            <v>77479.042757142859</v>
          </cell>
          <cell r="AR10">
            <v>153924.54845714287</v>
          </cell>
          <cell r="AS10">
            <v>66446.068257142862</v>
          </cell>
          <cell r="AT10">
            <v>21424.9745</v>
          </cell>
          <cell r="AU10">
            <v>51390.57114285713</v>
          </cell>
          <cell r="AV10">
            <v>95198.194214285701</v>
          </cell>
          <cell r="AW10">
            <v>105519.12499999997</v>
          </cell>
          <cell r="AX10">
            <v>88382.943228571457</v>
          </cell>
          <cell r="AY10">
            <v>103929.53557142857</v>
          </cell>
          <cell r="AZ10">
            <v>104119.52181428572</v>
          </cell>
          <cell r="BA10">
            <v>52337.80825714286</v>
          </cell>
          <cell r="BB10">
            <v>52098.6394</v>
          </cell>
          <cell r="BC10">
            <v>82892.657585714274</v>
          </cell>
          <cell r="BD10">
            <v>26262.737142857142</v>
          </cell>
          <cell r="BE10">
            <v>18628.395142857142</v>
          </cell>
          <cell r="BF10">
            <v>94580.448999999993</v>
          </cell>
        </row>
        <row r="11">
          <cell r="B11" t="str">
            <v>עידכון מפקד נכסי ביוב</v>
          </cell>
          <cell r="C11">
            <v>78671.974771428562</v>
          </cell>
          <cell r="D11">
            <v>126377.20995714287</v>
          </cell>
          <cell r="E11">
            <v>90361.973542857144</v>
          </cell>
          <cell r="F11">
            <v>817762.35344285704</v>
          </cell>
          <cell r="G11">
            <v>144341.87142857147</v>
          </cell>
          <cell r="H11">
            <v>47320.576857142856</v>
          </cell>
          <cell r="I11">
            <v>136151.20345714287</v>
          </cell>
          <cell r="J11">
            <v>74555.993428571426</v>
          </cell>
          <cell r="K11">
            <v>86306.640014285716</v>
          </cell>
          <cell r="L11">
            <v>139385.61554285712</v>
          </cell>
          <cell r="M11">
            <v>273911.0635571428</v>
          </cell>
          <cell r="N11">
            <v>202107.09767142855</v>
          </cell>
          <cell r="O11">
            <v>67463.587257142863</v>
          </cell>
          <cell r="P11">
            <v>118066.58004285715</v>
          </cell>
          <cell r="Q11">
            <v>364597.09958571428</v>
          </cell>
          <cell r="R11">
            <v>186985.42915714288</v>
          </cell>
          <cell r="S11">
            <v>223941.31539534242</v>
          </cell>
          <cell r="T11">
            <v>312145.17254285712</v>
          </cell>
          <cell r="U11">
            <v>154282.45171428571</v>
          </cell>
          <cell r="V11">
            <v>204228.42265714286</v>
          </cell>
          <cell r="W11">
            <v>100859.0253142857</v>
          </cell>
          <cell r="X11">
            <v>107421.69930000001</v>
          </cell>
          <cell r="Y11">
            <v>94526.031799999997</v>
          </cell>
          <cell r="Z11">
            <v>89124.914042857155</v>
          </cell>
          <cell r="AA11">
            <v>98223.789285714287</v>
          </cell>
          <cell r="AB11">
            <v>49271.856785714277</v>
          </cell>
          <cell r="AC11">
            <v>129918.8707857143</v>
          </cell>
          <cell r="AD11">
            <v>48207.637457142875</v>
          </cell>
          <cell r="AE11">
            <v>522931.73797142855</v>
          </cell>
          <cell r="AF11">
            <v>78387.38785714285</v>
          </cell>
          <cell r="AG11">
            <v>50155.586471428578</v>
          </cell>
          <cell r="AH11">
            <v>53744.541771428572</v>
          </cell>
          <cell r="AI11">
            <v>70115.468428571417</v>
          </cell>
          <cell r="AJ11">
            <v>70893.98462857143</v>
          </cell>
          <cell r="AK11">
            <v>44909.259571428578</v>
          </cell>
          <cell r="AL11">
            <v>624872.179140097</v>
          </cell>
          <cell r="AM11">
            <v>85709.951414285722</v>
          </cell>
          <cell r="AN11">
            <v>170864.89634285719</v>
          </cell>
          <cell r="AO11">
            <v>43208.341484704579</v>
          </cell>
          <cell r="AP11">
            <v>62231.059898978041</v>
          </cell>
          <cell r="AQ11">
            <v>65032.452742857145</v>
          </cell>
          <cell r="AR11">
            <v>202122.67704285716</v>
          </cell>
          <cell r="AS11">
            <v>64586.333500000008</v>
          </cell>
          <cell r="AT11">
            <v>44656.596714285704</v>
          </cell>
          <cell r="AU11">
            <v>75602.801714285713</v>
          </cell>
          <cell r="AV11">
            <v>120778.65090000001</v>
          </cell>
          <cell r="AW11">
            <v>144573.00771428569</v>
          </cell>
          <cell r="AX11">
            <v>159035.81294285716</v>
          </cell>
          <cell r="AY11">
            <v>129240.94548571426</v>
          </cell>
          <cell r="AZ11">
            <v>137421.44587142859</v>
          </cell>
          <cell r="BA11">
            <v>30092.601928571436</v>
          </cell>
          <cell r="BB11">
            <v>91648.006057142848</v>
          </cell>
          <cell r="BC11">
            <v>137476.38305714287</v>
          </cell>
          <cell r="BD11">
            <v>124277.80834285717</v>
          </cell>
          <cell r="BE11">
            <v>14713.535885714286</v>
          </cell>
          <cell r="BF11">
            <v>139366.43100000001</v>
          </cell>
        </row>
        <row r="12">
          <cell r="B12" t="str">
            <v>מפקד נכסים מופחת -מים</v>
          </cell>
          <cell r="C12">
            <v>60377.362999999998</v>
          </cell>
          <cell r="D12">
            <v>82435.670999999988</v>
          </cell>
          <cell r="E12">
            <v>51136.306999999993</v>
          </cell>
          <cell r="F12">
            <v>404829.76307999995</v>
          </cell>
          <cell r="G12">
            <v>47584.368000000002</v>
          </cell>
          <cell r="H12">
            <v>25744.532333333333</v>
          </cell>
          <cell r="I12">
            <v>58006.123999999996</v>
          </cell>
          <cell r="J12">
            <v>50616.565999999999</v>
          </cell>
          <cell r="K12">
            <v>25707.525000000005</v>
          </cell>
          <cell r="L12">
            <v>56775.606</v>
          </cell>
          <cell r="M12">
            <v>125199.06800000001</v>
          </cell>
          <cell r="N12">
            <v>96848.205999999976</v>
          </cell>
          <cell r="O12">
            <v>52765.786000000007</v>
          </cell>
          <cell r="P12">
            <v>81755.069000000003</v>
          </cell>
          <cell r="Q12">
            <v>93324.942999999999</v>
          </cell>
          <cell r="R12">
            <v>81389.72199999998</v>
          </cell>
          <cell r="S12">
            <v>112132.79150829</v>
          </cell>
          <cell r="T12">
            <v>214720.72063232923</v>
          </cell>
          <cell r="U12">
            <v>56806.005999999994</v>
          </cell>
          <cell r="V12">
            <v>107385.571</v>
          </cell>
          <cell r="W12">
            <v>51355.164000000004</v>
          </cell>
          <cell r="X12">
            <v>87984.89081948853</v>
          </cell>
          <cell r="Y12">
            <v>31522.799999999999</v>
          </cell>
          <cell r="Z12">
            <v>30471.515672000005</v>
          </cell>
          <cell r="AA12">
            <v>72298.444999999992</v>
          </cell>
          <cell r="AB12">
            <v>24139.936999999998</v>
          </cell>
          <cell r="AC12">
            <v>39096.341000000008</v>
          </cell>
          <cell r="AD12">
            <v>36541.79</v>
          </cell>
          <cell r="AE12">
            <v>207983.35199999996</v>
          </cell>
          <cell r="AF12">
            <v>63991.034</v>
          </cell>
          <cell r="AG12">
            <v>34186.231</v>
          </cell>
          <cell r="AH12">
            <v>32863.936999999998</v>
          </cell>
          <cell r="AI12">
            <v>32211.265000000003</v>
          </cell>
          <cell r="AJ12">
            <v>16834.989000000001</v>
          </cell>
          <cell r="AK12">
            <v>9141.0519999999997</v>
          </cell>
          <cell r="AL12">
            <v>71096.892000000051</v>
          </cell>
          <cell r="AM12">
            <v>56139.594000000012</v>
          </cell>
          <cell r="AN12">
            <v>39530.971000000005</v>
          </cell>
          <cell r="AO12">
            <v>21354.499999999996</v>
          </cell>
          <cell r="AP12">
            <v>56713.620215999996</v>
          </cell>
          <cell r="AQ12">
            <v>42615.499000000003</v>
          </cell>
          <cell r="AR12">
            <v>114015.10700000002</v>
          </cell>
          <cell r="AS12">
            <v>33919.853000000003</v>
          </cell>
          <cell r="AT12">
            <v>12085.743999999999</v>
          </cell>
          <cell r="AU12">
            <v>27661.449999999997</v>
          </cell>
          <cell r="AV12">
            <v>64670.334999999985</v>
          </cell>
          <cell r="AW12">
            <v>64886.524999999994</v>
          </cell>
          <cell r="AX12">
            <v>26352.023000000001</v>
          </cell>
          <cell r="AY12">
            <v>44446.532999999996</v>
          </cell>
          <cell r="AZ12">
            <v>61352.702000000005</v>
          </cell>
          <cell r="BA12">
            <v>32793.766000000003</v>
          </cell>
          <cell r="BB12">
            <v>38821.385000000002</v>
          </cell>
          <cell r="BC12">
            <v>51515.951000000001</v>
          </cell>
          <cell r="BD12">
            <v>15030.409</v>
          </cell>
          <cell r="BE12">
            <v>9234.9760000000006</v>
          </cell>
          <cell r="BF12">
            <v>40311.868000000002</v>
          </cell>
        </row>
        <row r="13">
          <cell r="B13" t="str">
            <v>מפקד נכסים מופחת ביוב</v>
          </cell>
          <cell r="C13">
            <v>12560.46</v>
          </cell>
          <cell r="D13">
            <v>81060.055999999997</v>
          </cell>
          <cell r="E13">
            <v>57911.763000000006</v>
          </cell>
          <cell r="F13">
            <v>280811.56507999997</v>
          </cell>
          <cell r="G13">
            <v>38510.063999999998</v>
          </cell>
          <cell r="H13">
            <v>30272.016999999996</v>
          </cell>
          <cell r="I13">
            <v>93887.038</v>
          </cell>
          <cell r="J13">
            <v>26781.505999999998</v>
          </cell>
          <cell r="K13">
            <v>62327.380999999994</v>
          </cell>
          <cell r="L13">
            <v>49086.233999999997</v>
          </cell>
          <cell r="M13">
            <v>170315.435</v>
          </cell>
          <cell r="N13">
            <v>183779.01800000001</v>
          </cell>
          <cell r="O13">
            <v>41640.328999999998</v>
          </cell>
          <cell r="P13">
            <v>68649.245999999999</v>
          </cell>
          <cell r="Q13">
            <v>161342.69200000001</v>
          </cell>
          <cell r="R13">
            <v>78274.768000000011</v>
          </cell>
          <cell r="S13">
            <v>89319.091563251102</v>
          </cell>
          <cell r="T13">
            <v>214392.01377383445</v>
          </cell>
          <cell r="U13">
            <v>79303.058999999994</v>
          </cell>
          <cell r="V13">
            <v>137097.693</v>
          </cell>
          <cell r="W13">
            <v>40619.152999999991</v>
          </cell>
          <cell r="X13">
            <v>74199.259999999995</v>
          </cell>
          <cell r="Y13">
            <v>63433.22</v>
          </cell>
          <cell r="Z13">
            <v>52492.184967999987</v>
          </cell>
          <cell r="AA13">
            <v>20781.727000000006</v>
          </cell>
          <cell r="AB13">
            <v>21205.044999999998</v>
          </cell>
          <cell r="AC13">
            <v>53544.398999999998</v>
          </cell>
          <cell r="AD13">
            <v>20187.220999999998</v>
          </cell>
          <cell r="AE13">
            <v>163668.02899999998</v>
          </cell>
          <cell r="AF13">
            <v>36330.290999999997</v>
          </cell>
          <cell r="AG13">
            <v>25434.713</v>
          </cell>
          <cell r="AH13">
            <v>41278.207999999999</v>
          </cell>
          <cell r="AI13">
            <v>37659.304999999993</v>
          </cell>
          <cell r="AJ13">
            <v>32161.636999999995</v>
          </cell>
          <cell r="AK13">
            <v>16018.846</v>
          </cell>
          <cell r="AL13">
            <v>272985.05145725061</v>
          </cell>
          <cell r="AM13">
            <v>50507.591</v>
          </cell>
          <cell r="AN13">
            <v>23048.697000000004</v>
          </cell>
          <cell r="AO13">
            <v>7091.9392687193722</v>
          </cell>
          <cell r="AP13">
            <v>16836.364379816878</v>
          </cell>
          <cell r="AQ13">
            <v>26478.129999999997</v>
          </cell>
          <cell r="AR13">
            <v>157698.17299999998</v>
          </cell>
          <cell r="AS13">
            <v>26219.761000000006</v>
          </cell>
          <cell r="AT13">
            <v>22337.924999999996</v>
          </cell>
          <cell r="AU13">
            <v>38598.716999999997</v>
          </cell>
          <cell r="AV13">
            <v>91017.648000000001</v>
          </cell>
          <cell r="AW13">
            <v>113537.68699999998</v>
          </cell>
          <cell r="AX13">
            <v>85892.463000000003</v>
          </cell>
          <cell r="AY13">
            <v>41725.398999999998</v>
          </cell>
          <cell r="AZ13">
            <v>65336.471000000005</v>
          </cell>
          <cell r="BA13">
            <v>9405.8199999999961</v>
          </cell>
          <cell r="BB13">
            <v>77293.33</v>
          </cell>
          <cell r="BC13">
            <v>111409.398</v>
          </cell>
          <cell r="BD13">
            <v>43166.443999999996</v>
          </cell>
          <cell r="BE13">
            <v>7566.58</v>
          </cell>
          <cell r="BF13">
            <v>62407.262999999999</v>
          </cell>
        </row>
        <row r="14">
          <cell r="B14" t="str">
            <v>רכיב זכויות מים</v>
          </cell>
          <cell r="C14">
            <v>14179.218000000001</v>
          </cell>
          <cell r="D14">
            <v>10085.833000000001</v>
          </cell>
          <cell r="E14">
            <v>10172.431</v>
          </cell>
          <cell r="F14">
            <v>183331.80300000001</v>
          </cell>
          <cell r="G14">
            <v>49855</v>
          </cell>
          <cell r="H14">
            <v>0</v>
          </cell>
          <cell r="I14">
            <v>2689.8090000000002</v>
          </cell>
          <cell r="J14">
            <v>5569.509</v>
          </cell>
          <cell r="K14">
            <v>11086.181</v>
          </cell>
          <cell r="L14">
            <v>31785.965</v>
          </cell>
          <cell r="M14">
            <v>16885</v>
          </cell>
          <cell r="N14">
            <v>6137.8320000000003</v>
          </cell>
          <cell r="O14">
            <v>1999.348</v>
          </cell>
          <cell r="P14">
            <v>670.64700000000005</v>
          </cell>
          <cell r="Q14">
            <v>42698.936999999998</v>
          </cell>
          <cell r="R14">
            <v>62353.892999999996</v>
          </cell>
          <cell r="S14">
            <v>26132.474999999999</v>
          </cell>
          <cell r="T14">
            <v>24083.142</v>
          </cell>
          <cell r="U14">
            <v>17756.685000000001</v>
          </cell>
          <cell r="V14">
            <v>13539.29</v>
          </cell>
          <cell r="W14">
            <v>18840.456999999999</v>
          </cell>
          <cell r="X14">
            <v>15517.846</v>
          </cell>
          <cell r="Y14">
            <v>9121.2029999999995</v>
          </cell>
          <cell r="Z14">
            <v>8509.6880000000001</v>
          </cell>
          <cell r="AA14">
            <v>0</v>
          </cell>
          <cell r="AB14">
            <v>12980.66</v>
          </cell>
          <cell r="AC14">
            <v>7224.95</v>
          </cell>
          <cell r="AD14">
            <v>19136</v>
          </cell>
          <cell r="AE14">
            <v>74480</v>
          </cell>
          <cell r="AF14">
            <v>8788.7669999999998</v>
          </cell>
          <cell r="AG14">
            <v>16834.659</v>
          </cell>
          <cell r="AH14">
            <v>4058.7759999999998</v>
          </cell>
          <cell r="AI14">
            <v>3789.81</v>
          </cell>
          <cell r="AJ14">
            <v>7694.1639999999998</v>
          </cell>
          <cell r="AK14">
            <v>7288.5680000000002</v>
          </cell>
          <cell r="AL14">
            <v>132397</v>
          </cell>
          <cell r="AM14">
            <v>7447.7290000000003</v>
          </cell>
          <cell r="AN14">
            <v>16492.634999999998</v>
          </cell>
          <cell r="AO14">
            <v>9000</v>
          </cell>
          <cell r="AP14">
            <v>0</v>
          </cell>
          <cell r="AQ14">
            <v>5063.335</v>
          </cell>
          <cell r="AR14">
            <v>8469.7909999999993</v>
          </cell>
          <cell r="AS14">
            <v>13124.655000000001</v>
          </cell>
          <cell r="AT14">
            <v>7233.38</v>
          </cell>
          <cell r="AU14">
            <v>0</v>
          </cell>
          <cell r="AV14">
            <v>7377.9719999999998</v>
          </cell>
          <cell r="AW14">
            <v>4136.0529999999999</v>
          </cell>
          <cell r="AX14">
            <v>36753.584000000003</v>
          </cell>
          <cell r="AY14">
            <v>25538.787</v>
          </cell>
          <cell r="AZ14">
            <v>7151.5159999999996</v>
          </cell>
          <cell r="BA14">
            <v>8248.2649999999994</v>
          </cell>
          <cell r="BB14">
            <v>35.124000000000002</v>
          </cell>
          <cell r="BC14">
            <v>9236.1610000000001</v>
          </cell>
          <cell r="BD14">
            <v>2472</v>
          </cell>
          <cell r="BE14">
            <v>2772</v>
          </cell>
          <cell r="BF14">
            <v>6898.5069999999996</v>
          </cell>
        </row>
        <row r="15">
          <cell r="B15" t="str">
            <v>כמויות מים</v>
          </cell>
          <cell r="C15">
            <v>10780.42</v>
          </cell>
          <cell r="D15">
            <v>9340.4369999999999</v>
          </cell>
          <cell r="E15">
            <v>4262.473</v>
          </cell>
          <cell r="F15">
            <v>54306.558000000005</v>
          </cell>
          <cell r="G15">
            <v>17049.447</v>
          </cell>
          <cell r="H15">
            <v>2004.4870000000001</v>
          </cell>
          <cell r="I15">
            <v>4334.6769999999997</v>
          </cell>
          <cell r="J15">
            <v>7271.4120000000003</v>
          </cell>
          <cell r="K15">
            <v>5391.3759999999993</v>
          </cell>
          <cell r="L15">
            <v>9928.9809999999998</v>
          </cell>
          <cell r="M15">
            <v>16724.746999999999</v>
          </cell>
          <cell r="N15">
            <v>9228.0609999999997</v>
          </cell>
          <cell r="O15">
            <v>5681.5389999999998</v>
          </cell>
          <cell r="P15">
            <v>4715.7889999999998</v>
          </cell>
          <cell r="Q15">
            <v>20929.161</v>
          </cell>
          <cell r="R15">
            <v>18659.955999999998</v>
          </cell>
          <cell r="S15">
            <v>19665.205999999998</v>
          </cell>
          <cell r="T15">
            <v>19849.735000000001</v>
          </cell>
          <cell r="U15">
            <v>11081.690999999999</v>
          </cell>
          <cell r="V15">
            <v>8586.9550000000017</v>
          </cell>
          <cell r="W15">
            <v>8741.3060000000005</v>
          </cell>
          <cell r="X15">
            <v>6495.7709999999997</v>
          </cell>
          <cell r="Y15">
            <v>3201.0769999999998</v>
          </cell>
          <cell r="Z15">
            <v>3917.029</v>
          </cell>
          <cell r="AA15">
            <v>6640.0940000000001</v>
          </cell>
          <cell r="AB15">
            <v>6789.9260000000004</v>
          </cell>
          <cell r="AC15">
            <v>10469.824999999999</v>
          </cell>
          <cell r="AD15">
            <v>4708.6639999999998</v>
          </cell>
          <cell r="AE15">
            <v>23115.748</v>
          </cell>
          <cell r="AF15">
            <v>5412.576</v>
          </cell>
          <cell r="AG15">
            <v>3747.5639999999999</v>
          </cell>
          <cell r="AH15">
            <v>3174.326</v>
          </cell>
          <cell r="AI15">
            <v>3853.471</v>
          </cell>
          <cell r="AJ15">
            <v>3276.6880000000001</v>
          </cell>
          <cell r="AK15">
            <v>2922.759</v>
          </cell>
          <cell r="AL15">
            <v>46124.361000000004</v>
          </cell>
          <cell r="AM15">
            <v>5738.3119999999999</v>
          </cell>
          <cell r="AN15">
            <v>12026.431</v>
          </cell>
          <cell r="AO15">
            <v>3748.2510000000002</v>
          </cell>
          <cell r="AP15">
            <v>9026.4089999999997</v>
          </cell>
          <cell r="AQ15">
            <v>5354.7740000000003</v>
          </cell>
          <cell r="AR15">
            <v>10326.152000000002</v>
          </cell>
          <cell r="AS15">
            <v>3423.1089999999999</v>
          </cell>
          <cell r="AT15">
            <v>2910.1680000000001</v>
          </cell>
          <cell r="AU15">
            <v>4710.6399999999994</v>
          </cell>
          <cell r="AV15">
            <v>5711.9690000000001</v>
          </cell>
          <cell r="AW15">
            <v>7207.7849999999999</v>
          </cell>
          <cell r="AX15">
            <v>14360.366</v>
          </cell>
          <cell r="AY15">
            <v>6640.4369999999999</v>
          </cell>
          <cell r="AZ15">
            <v>5883.2190000000001</v>
          </cell>
          <cell r="BA15">
            <v>5761.5990000000002</v>
          </cell>
          <cell r="BB15">
            <v>4786.3330000000005</v>
          </cell>
          <cell r="BC15">
            <v>6044.5029999999997</v>
          </cell>
          <cell r="BD15">
            <v>975.60500000000002</v>
          </cell>
          <cell r="BE15">
            <v>1173.269</v>
          </cell>
          <cell r="BF15">
            <v>10422.161</v>
          </cell>
          <cell r="BG15">
            <v>528615.78499999968</v>
          </cell>
        </row>
        <row r="16">
          <cell r="B16" t="str">
            <v>כמויות ביוב</v>
          </cell>
          <cell r="C16">
            <v>10687.855</v>
          </cell>
          <cell r="D16">
            <v>9055.2800000000007</v>
          </cell>
          <cell r="E16">
            <v>4030.194</v>
          </cell>
          <cell r="F16">
            <v>52720.276000000005</v>
          </cell>
          <cell r="G16">
            <v>16005.333000000001</v>
          </cell>
          <cell r="H16">
            <v>1788.1780000000001</v>
          </cell>
          <cell r="I16">
            <v>4309.6179999999995</v>
          </cell>
          <cell r="J16">
            <v>6909.7800000000007</v>
          </cell>
          <cell r="K16">
            <v>5187.3189999999995</v>
          </cell>
          <cell r="L16">
            <v>9623.1640000000007</v>
          </cell>
          <cell r="M16">
            <v>15637.956999999999</v>
          </cell>
          <cell r="N16">
            <v>9167.7950000000001</v>
          </cell>
          <cell r="O16">
            <v>5282.7240000000002</v>
          </cell>
          <cell r="P16">
            <v>4539.3530000000001</v>
          </cell>
          <cell r="Q16">
            <v>19454.196</v>
          </cell>
          <cell r="R16">
            <v>17691.512999999999</v>
          </cell>
          <cell r="S16">
            <v>18837.516</v>
          </cell>
          <cell r="T16">
            <v>18472.741000000002</v>
          </cell>
          <cell r="U16">
            <v>9784.3889999999992</v>
          </cell>
          <cell r="V16">
            <v>8445.7630000000026</v>
          </cell>
          <cell r="W16">
            <v>8240.5010000000002</v>
          </cell>
          <cell r="X16">
            <v>5832.9979999999996</v>
          </cell>
          <cell r="Y16">
            <v>2952.962</v>
          </cell>
          <cell r="Z16">
            <v>3444.9430000000002</v>
          </cell>
          <cell r="AA16">
            <v>6002.3060000000005</v>
          </cell>
          <cell r="AB16">
            <v>6493.2190000000001</v>
          </cell>
          <cell r="AC16">
            <v>9731.9999999999982</v>
          </cell>
          <cell r="AD16">
            <v>4363.1009999999997</v>
          </cell>
          <cell r="AE16">
            <v>22111.684000000001</v>
          </cell>
          <cell r="AF16">
            <v>4985.741</v>
          </cell>
          <cell r="AG16">
            <v>3259.576</v>
          </cell>
          <cell r="AH16">
            <v>3128.6480000000001</v>
          </cell>
          <cell r="AI16">
            <v>3446.8580000000002</v>
          </cell>
          <cell r="AJ16">
            <v>3056.2750000000001</v>
          </cell>
          <cell r="AK16">
            <v>2686.3910000000001</v>
          </cell>
          <cell r="AL16">
            <v>42680.793000000005</v>
          </cell>
          <cell r="AM16">
            <v>5323.2070000000003</v>
          </cell>
          <cell r="AN16">
            <v>11220.945</v>
          </cell>
          <cell r="AO16">
            <v>3602.181</v>
          </cell>
          <cell r="AP16">
            <v>8567.8269999999993</v>
          </cell>
          <cell r="AQ16">
            <v>5051.9580000000005</v>
          </cell>
          <cell r="AR16">
            <v>10090.055000000002</v>
          </cell>
          <cell r="AS16">
            <v>3169.9650000000001</v>
          </cell>
          <cell r="AT16">
            <v>2562.8160000000003</v>
          </cell>
          <cell r="AU16">
            <v>4253.8219999999992</v>
          </cell>
          <cell r="AV16">
            <v>5709.3289999999997</v>
          </cell>
          <cell r="AW16">
            <v>7199.768</v>
          </cell>
          <cell r="AX16">
            <v>12153.178</v>
          </cell>
          <cell r="AY16">
            <v>5805.2910000000002</v>
          </cell>
          <cell r="AZ16">
            <v>5512.06</v>
          </cell>
          <cell r="BA16">
            <v>5548.8330000000005</v>
          </cell>
          <cell r="BB16">
            <v>4760.7890000000007</v>
          </cell>
          <cell r="BC16">
            <v>4810.4272000000001</v>
          </cell>
          <cell r="BD16">
            <v>7956.9940000000006</v>
          </cell>
          <cell r="BE16">
            <v>1061.6970000000001</v>
          </cell>
          <cell r="BF16">
            <v>9551.634</v>
          </cell>
        </row>
        <row r="17">
          <cell r="B17" t="str">
            <v>שיעור חוב מוכר לתשואה וריבית</v>
          </cell>
          <cell r="C17">
            <v>0.7</v>
          </cell>
          <cell r="D17">
            <v>0.7</v>
          </cell>
          <cell r="E17">
            <v>0.7</v>
          </cell>
          <cell r="F17">
            <v>0.7</v>
          </cell>
          <cell r="G17">
            <v>0.7</v>
          </cell>
          <cell r="H17">
            <v>0.7</v>
          </cell>
          <cell r="I17">
            <v>0.7</v>
          </cell>
          <cell r="J17">
            <v>0.7</v>
          </cell>
          <cell r="K17">
            <v>0.7</v>
          </cell>
          <cell r="L17">
            <v>0.7</v>
          </cell>
          <cell r="M17">
            <v>0.7</v>
          </cell>
          <cell r="N17">
            <v>0.7</v>
          </cell>
          <cell r="O17">
            <v>0.7</v>
          </cell>
          <cell r="P17">
            <v>0.7</v>
          </cell>
          <cell r="Q17">
            <v>0.7</v>
          </cell>
          <cell r="R17">
            <v>0.7</v>
          </cell>
          <cell r="S17">
            <v>0.7</v>
          </cell>
          <cell r="T17">
            <v>0.7</v>
          </cell>
          <cell r="U17">
            <v>0.7</v>
          </cell>
          <cell r="V17">
            <v>0.7</v>
          </cell>
          <cell r="W17">
            <v>0.7</v>
          </cell>
          <cell r="X17">
            <v>0.7</v>
          </cell>
          <cell r="Y17">
            <v>0.7</v>
          </cell>
          <cell r="Z17">
            <v>0.7</v>
          </cell>
          <cell r="AA17">
            <v>0.7</v>
          </cell>
          <cell r="AB17">
            <v>0.7</v>
          </cell>
          <cell r="AC17">
            <v>0.7</v>
          </cell>
          <cell r="AD17">
            <v>0.7</v>
          </cell>
          <cell r="AE17">
            <v>0.7</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0.7</v>
          </cell>
          <cell r="AV17">
            <v>0.7</v>
          </cell>
          <cell r="AW17">
            <v>0.7</v>
          </cell>
          <cell r="AX17">
            <v>0.7</v>
          </cell>
          <cell r="AY17">
            <v>0.7</v>
          </cell>
          <cell r="AZ17">
            <v>0.7</v>
          </cell>
          <cell r="BA17">
            <v>0.7</v>
          </cell>
          <cell r="BB17">
            <v>0.7</v>
          </cell>
          <cell r="BC17">
            <v>0.7</v>
          </cell>
          <cell r="BD17">
            <v>0.7</v>
          </cell>
          <cell r="BE17">
            <v>0.7</v>
          </cell>
          <cell r="BF17">
            <v>0.7</v>
          </cell>
        </row>
        <row r="18">
          <cell r="B18" t="str">
            <v>שיעור הון  מוכר להחזר צרכנים</v>
          </cell>
          <cell r="C18">
            <v>0.7</v>
          </cell>
          <cell r="D18">
            <v>0.6</v>
          </cell>
          <cell r="E18">
            <v>0.6</v>
          </cell>
          <cell r="F18">
            <v>0.71774493376813964</v>
          </cell>
          <cell r="G18">
            <v>0.65</v>
          </cell>
          <cell r="H18">
            <v>0.65371567860597479</v>
          </cell>
          <cell r="I18">
            <v>0.6</v>
          </cell>
          <cell r="J18">
            <v>0.7</v>
          </cell>
          <cell r="K18">
            <v>0.7</v>
          </cell>
          <cell r="L18">
            <v>0.67655638520011818</v>
          </cell>
          <cell r="M18">
            <v>0.75594257396593889</v>
          </cell>
          <cell r="N18">
            <v>0.6</v>
          </cell>
          <cell r="O18">
            <v>0.6</v>
          </cell>
          <cell r="P18">
            <v>0.59058312941030078</v>
          </cell>
          <cell r="Q18">
            <v>0.6</v>
          </cell>
          <cell r="R18">
            <v>0.5869215406440258</v>
          </cell>
          <cell r="S18">
            <v>0.74585889570552144</v>
          </cell>
          <cell r="T18">
            <v>0.6739868222961285</v>
          </cell>
          <cell r="U18">
            <v>0.71387467590740061</v>
          </cell>
          <cell r="V18">
            <v>0.6</v>
          </cell>
          <cell r="W18">
            <v>0.6</v>
          </cell>
          <cell r="X18">
            <v>0.80050017910121529</v>
          </cell>
          <cell r="Y18">
            <v>0.6</v>
          </cell>
          <cell r="Z18">
            <v>0.7</v>
          </cell>
          <cell r="AA18">
            <v>0.7</v>
          </cell>
          <cell r="AB18">
            <v>0.7</v>
          </cell>
          <cell r="AC18">
            <v>0.65</v>
          </cell>
          <cell r="AD18">
            <v>0.7</v>
          </cell>
          <cell r="AE18">
            <v>0.6</v>
          </cell>
          <cell r="AF18">
            <v>0.6</v>
          </cell>
          <cell r="AG18">
            <v>0.7</v>
          </cell>
          <cell r="AH18">
            <v>0.7</v>
          </cell>
          <cell r="AI18">
            <v>0.7</v>
          </cell>
          <cell r="AJ18">
            <v>0.6</v>
          </cell>
          <cell r="AK18">
            <v>0.7</v>
          </cell>
          <cell r="AL18">
            <v>0.6</v>
          </cell>
          <cell r="AM18">
            <v>0.6</v>
          </cell>
          <cell r="AN18">
            <v>0.7</v>
          </cell>
          <cell r="AO18">
            <v>0.7</v>
          </cell>
          <cell r="AP18">
            <v>0.7</v>
          </cell>
          <cell r="AQ18">
            <v>0.6</v>
          </cell>
          <cell r="AR18">
            <v>0.6</v>
          </cell>
          <cell r="AS18">
            <v>0.7</v>
          </cell>
          <cell r="AT18">
            <v>0.7</v>
          </cell>
          <cell r="AU18">
            <v>0.7</v>
          </cell>
          <cell r="AV18">
            <v>0.6</v>
          </cell>
          <cell r="AW18">
            <v>0.6</v>
          </cell>
          <cell r="AX18">
            <v>0.6</v>
          </cell>
          <cell r="AY18">
            <v>0.6</v>
          </cell>
          <cell r="AZ18">
            <v>0.6</v>
          </cell>
          <cell r="BA18">
            <v>0.7</v>
          </cell>
          <cell r="BB18">
            <v>0.6</v>
          </cell>
          <cell r="BC18">
            <v>0.6</v>
          </cell>
          <cell r="BD18">
            <v>0.6</v>
          </cell>
          <cell r="BE18">
            <v>0.6</v>
          </cell>
          <cell r="BF18">
            <v>0.6</v>
          </cell>
        </row>
        <row r="19">
          <cell r="B19" t="str">
            <v>שנות החזר צרכנים</v>
          </cell>
          <cell r="C19">
            <v>16.833333333333336</v>
          </cell>
          <cell r="D19">
            <v>16.833333333333336</v>
          </cell>
          <cell r="E19">
            <v>16.833333333333336</v>
          </cell>
          <cell r="F19">
            <v>16.833333333333336</v>
          </cell>
          <cell r="G19">
            <v>16.833333333333336</v>
          </cell>
          <cell r="H19">
            <v>16.833333333333336</v>
          </cell>
          <cell r="I19">
            <v>16.833333333333336</v>
          </cell>
          <cell r="J19">
            <v>16.833333333333336</v>
          </cell>
          <cell r="K19">
            <v>16.833333333333336</v>
          </cell>
          <cell r="L19">
            <v>16.833333333333336</v>
          </cell>
          <cell r="M19">
            <v>16.833333333333336</v>
          </cell>
          <cell r="N19">
            <v>16.833333333333336</v>
          </cell>
          <cell r="O19">
            <v>16.833333333333336</v>
          </cell>
          <cell r="P19">
            <v>16.833333333333336</v>
          </cell>
          <cell r="Q19">
            <v>16.833333333333336</v>
          </cell>
          <cell r="R19">
            <v>16.833333333333336</v>
          </cell>
          <cell r="S19">
            <v>16.833333333333336</v>
          </cell>
          <cell r="T19">
            <v>16.833333333333336</v>
          </cell>
          <cell r="U19">
            <v>16.833333333333336</v>
          </cell>
          <cell r="V19">
            <v>16.833333333333336</v>
          </cell>
          <cell r="W19">
            <v>16.833333333333336</v>
          </cell>
          <cell r="X19">
            <v>16.833333333333336</v>
          </cell>
          <cell r="Y19">
            <v>16.833333333333336</v>
          </cell>
          <cell r="Z19">
            <v>16.833333333333336</v>
          </cell>
          <cell r="AA19">
            <v>16.833333333333336</v>
          </cell>
          <cell r="AB19">
            <v>16.833333333333336</v>
          </cell>
          <cell r="AC19">
            <v>16.833333333333336</v>
          </cell>
          <cell r="AD19">
            <v>16.833333333333336</v>
          </cell>
          <cell r="AE19">
            <v>16.833333333333336</v>
          </cell>
          <cell r="AF19">
            <v>16.833333333333336</v>
          </cell>
          <cell r="AG19">
            <v>16.833333333333336</v>
          </cell>
          <cell r="AH19">
            <v>16.833333333333336</v>
          </cell>
          <cell r="AI19">
            <v>16.833333333333336</v>
          </cell>
          <cell r="AJ19">
            <v>16.833333333333336</v>
          </cell>
          <cell r="AK19">
            <v>16.833333333333336</v>
          </cell>
          <cell r="AL19">
            <v>16.833333333333336</v>
          </cell>
          <cell r="AM19">
            <v>16.833333333333336</v>
          </cell>
          <cell r="AN19">
            <v>16.833333333333336</v>
          </cell>
          <cell r="AO19">
            <v>16.833333333333336</v>
          </cell>
          <cell r="AP19">
            <v>16.833333333333336</v>
          </cell>
          <cell r="AQ19">
            <v>16.833333333333336</v>
          </cell>
          <cell r="AR19">
            <v>16.833333333333336</v>
          </cell>
          <cell r="AS19">
            <v>16.833333333333336</v>
          </cell>
          <cell r="AT19">
            <v>16.833333333333336</v>
          </cell>
          <cell r="AU19">
            <v>16.833333333333336</v>
          </cell>
          <cell r="AV19">
            <v>16.833333333333336</v>
          </cell>
          <cell r="AW19">
            <v>16.833333333333336</v>
          </cell>
          <cell r="AX19">
            <v>16.833333333333336</v>
          </cell>
          <cell r="AY19">
            <v>16.833333333333336</v>
          </cell>
          <cell r="AZ19">
            <v>16.833333333333336</v>
          </cell>
          <cell r="BA19">
            <v>16.833333333333336</v>
          </cell>
          <cell r="BB19">
            <v>16.833333333333336</v>
          </cell>
          <cell r="BC19">
            <v>16.833333333333336</v>
          </cell>
          <cell r="BD19">
            <v>16.833333333333336</v>
          </cell>
          <cell r="BE19">
            <v>16.833333333333336</v>
          </cell>
          <cell r="BF19">
            <v>16.833333333333336</v>
          </cell>
        </row>
        <row r="20">
          <cell r="B20" t="str">
            <v>פחת מים</v>
          </cell>
          <cell r="C20">
            <v>9.6984818710599358E-2</v>
          </cell>
          <cell r="D20">
            <v>0.11505582399254707</v>
          </cell>
          <cell r="E20">
            <v>0.10746985561863323</v>
          </cell>
          <cell r="F20">
            <v>8.145992407881919E-2</v>
          </cell>
          <cell r="G20">
            <v>6.9579722471382013E-2</v>
          </cell>
          <cell r="H20">
            <v>7.0000000000000007E-2</v>
          </cell>
          <cell r="I20">
            <v>0.11707792969470691</v>
          </cell>
          <cell r="J20">
            <v>6.3070012364408054E-2</v>
          </cell>
          <cell r="K20">
            <v>0.10471153139268657</v>
          </cell>
          <cell r="L20">
            <v>7.0000000000000007E-2</v>
          </cell>
          <cell r="M20">
            <v>6.2853172569172833E-2</v>
          </cell>
          <cell r="N20">
            <v>0.11367952445778497</v>
          </cell>
          <cell r="O20">
            <v>6.2929755391038331E-2</v>
          </cell>
          <cell r="P20">
            <v>8.4908583618578296E-2</v>
          </cell>
          <cell r="Q20">
            <v>8.0242022197995228E-2</v>
          </cell>
          <cell r="R20">
            <v>7.0000000000000007E-2</v>
          </cell>
          <cell r="S20">
            <v>7.3569322179882657E-2</v>
          </cell>
          <cell r="T20">
            <v>5.9822655824637132E-2</v>
          </cell>
          <cell r="U20">
            <v>7.0000000000000007E-2</v>
          </cell>
          <cell r="V20">
            <v>0.11261240748545284</v>
          </cell>
          <cell r="W20">
            <v>0.11511121271647599</v>
          </cell>
          <cell r="X20">
            <v>7.0000000000000007E-2</v>
          </cell>
          <cell r="Y20">
            <v>8.0528526870038877E-2</v>
          </cell>
          <cell r="Z20">
            <v>7.0000000000000007E-2</v>
          </cell>
          <cell r="AA20">
            <v>5.7744239976007125E-2</v>
          </cell>
          <cell r="AB20">
            <v>8.6463524545875803E-2</v>
          </cell>
          <cell r="AC20">
            <v>6.3979770907603192E-2</v>
          </cell>
          <cell r="AD20">
            <v>7.0000000000000007E-2</v>
          </cell>
          <cell r="AE20">
            <v>7.0000000000000007E-2</v>
          </cell>
          <cell r="AF20">
            <v>6.7421333183007193E-2</v>
          </cell>
          <cell r="AG20">
            <v>7.0000000000000007E-2</v>
          </cell>
          <cell r="AH20">
            <v>0.10845768184372293</v>
          </cell>
          <cell r="AI20">
            <v>7.0000000000000007E-2</v>
          </cell>
          <cell r="AJ20">
            <v>8.2785529792870446E-2</v>
          </cell>
          <cell r="AK20">
            <v>7.0000000000000007E-2</v>
          </cell>
          <cell r="AL20">
            <v>6.8751790455629902E-2</v>
          </cell>
          <cell r="AM20">
            <v>6.7831544911584121E-2</v>
          </cell>
          <cell r="AN20">
            <v>6.2852277096862211E-2</v>
          </cell>
          <cell r="AO20">
            <v>6.17140020772355E-2</v>
          </cell>
          <cell r="AP20">
            <v>5.7233988621610214E-2</v>
          </cell>
          <cell r="AQ20">
            <v>7.6087737785596535E-2</v>
          </cell>
          <cell r="AR20">
            <v>0.11484068854339283</v>
          </cell>
          <cell r="AS20">
            <v>9.931216305081908E-2</v>
          </cell>
          <cell r="AT20">
            <v>0.10249999999999999</v>
          </cell>
          <cell r="AU20">
            <v>7.0000000000000007E-2</v>
          </cell>
          <cell r="AV20">
            <v>0.11402162406403013</v>
          </cell>
          <cell r="AW20">
            <v>0.11621855862660029</v>
          </cell>
          <cell r="AX20">
            <v>8.0201453463284791E-2</v>
          </cell>
          <cell r="AY20">
            <v>0.10304411288676472</v>
          </cell>
          <cell r="AZ20">
            <v>7.6464278901882538E-2</v>
          </cell>
          <cell r="BA20">
            <v>0.10546501084537074</v>
          </cell>
          <cell r="BB20">
            <v>9.6693529134474293E-2</v>
          </cell>
          <cell r="BC20">
            <v>0.11855624921270752</v>
          </cell>
          <cell r="BD20">
            <v>7.0000000000000007E-2</v>
          </cell>
          <cell r="BE20">
            <v>7.0000000000000007E-2</v>
          </cell>
          <cell r="BF20">
            <v>0.10403213530142984</v>
          </cell>
        </row>
        <row r="21">
          <cell r="B21" t="str">
            <v>פחת גביה</v>
          </cell>
          <cell r="C21">
            <v>5.1553417542358766E-2</v>
          </cell>
          <cell r="D21">
            <v>5.6155231456089812E-2</v>
          </cell>
          <cell r="E21">
            <v>5.8284626581569812E-2</v>
          </cell>
          <cell r="F21">
            <v>1.4999999999999999E-2</v>
          </cell>
          <cell r="G21">
            <v>1.4999999999999999E-2</v>
          </cell>
          <cell r="H21">
            <v>1.4999999999999999E-2</v>
          </cell>
          <cell r="I21">
            <v>5.8002278537391302E-2</v>
          </cell>
          <cell r="J21">
            <v>1.4999999999999999E-2</v>
          </cell>
          <cell r="K21">
            <v>5.3510432897036393E-2</v>
          </cell>
          <cell r="L21">
            <v>1.4999999999999999E-2</v>
          </cell>
          <cell r="M21">
            <v>1.4999999999999999E-2</v>
          </cell>
          <cell r="N21">
            <v>5.6505566943475305E-2</v>
          </cell>
          <cell r="O21">
            <v>1.4999999999999999E-2</v>
          </cell>
          <cell r="P21">
            <v>4.4737265335724384E-2</v>
          </cell>
          <cell r="Q21">
            <v>1.4999999999999999E-2</v>
          </cell>
          <cell r="R21">
            <v>1.4999999999999999E-2</v>
          </cell>
          <cell r="S21">
            <v>1.4999999999999999E-2</v>
          </cell>
          <cell r="T21">
            <v>1.4999999999999999E-2</v>
          </cell>
          <cell r="U21">
            <v>1.4999999999999999E-2</v>
          </cell>
          <cell r="V21">
            <v>5.392334747346135E-2</v>
          </cell>
          <cell r="W21">
            <v>6.1597636069536964E-2</v>
          </cell>
          <cell r="X21">
            <v>1.4999999999999999E-2</v>
          </cell>
          <cell r="Y21">
            <v>1.4999999999999999E-2</v>
          </cell>
          <cell r="Z21">
            <v>1.4999999999999999E-2</v>
          </cell>
          <cell r="AA21">
            <v>1.4999999999999999E-2</v>
          </cell>
          <cell r="AB21">
            <v>3.3265326588450196E-2</v>
          </cell>
          <cell r="AC21">
            <v>1.4999999999999999E-2</v>
          </cell>
          <cell r="AD21">
            <v>1.4999999999999999E-2</v>
          </cell>
          <cell r="AE21">
            <v>1.4999999999999999E-2</v>
          </cell>
          <cell r="AF21">
            <v>1.4999999999999999E-2</v>
          </cell>
          <cell r="AG21">
            <v>1.4999999999999999E-2</v>
          </cell>
          <cell r="AH21">
            <v>5.766656977082564E-2</v>
          </cell>
          <cell r="AI21">
            <v>1.4999999999999999E-2</v>
          </cell>
          <cell r="AJ21">
            <v>1.4999999999999999E-2</v>
          </cell>
          <cell r="AK21">
            <v>1.4999999999999999E-2</v>
          </cell>
          <cell r="AL21">
            <v>1.4999999999999999E-2</v>
          </cell>
          <cell r="AM21">
            <v>1.4999999999999999E-2</v>
          </cell>
          <cell r="AN21">
            <v>1.4999999999999999E-2</v>
          </cell>
          <cell r="AO21">
            <v>1.4999999999999999E-2</v>
          </cell>
          <cell r="AP21">
            <v>1.4999999999999999E-2</v>
          </cell>
          <cell r="AQ21">
            <v>1.9375758693280475E-2</v>
          </cell>
          <cell r="AR21">
            <v>5.5958720807304053E-2</v>
          </cell>
          <cell r="AS21">
            <v>4.752014656067266E-2</v>
          </cell>
          <cell r="AT21">
            <v>0.04</v>
          </cell>
          <cell r="AU21">
            <v>1.4999999999999999E-2</v>
          </cell>
          <cell r="AV21">
            <v>5.5210564736932116E-2</v>
          </cell>
          <cell r="AW21">
            <v>5.7217305317937013E-2</v>
          </cell>
          <cell r="AX21">
            <v>1.4999999999999999E-2</v>
          </cell>
          <cell r="AY21">
            <v>4.5183403467239154E-2</v>
          </cell>
          <cell r="AZ21">
            <v>1.8232139450941265E-2</v>
          </cell>
          <cell r="BA21">
            <v>5.4346374693254665E-2</v>
          </cell>
          <cell r="BB21">
            <v>5.3263834840235794E-2</v>
          </cell>
          <cell r="BC21">
            <v>5.9352616330335332E-2</v>
          </cell>
          <cell r="BD21">
            <v>1.4999999999999999E-2</v>
          </cell>
          <cell r="BE21">
            <v>1.4999999999999999E-2</v>
          </cell>
          <cell r="BF21">
            <v>0.05</v>
          </cell>
        </row>
        <row r="22">
          <cell r="B22" t="str">
            <v>אורך חיי הנכסים</v>
          </cell>
          <cell r="C22">
            <v>35</v>
          </cell>
          <cell r="D22">
            <v>35</v>
          </cell>
          <cell r="E22">
            <v>35</v>
          </cell>
          <cell r="F22">
            <v>35</v>
          </cell>
          <cell r="G22">
            <v>35</v>
          </cell>
          <cell r="H22">
            <v>35</v>
          </cell>
          <cell r="I22">
            <v>35</v>
          </cell>
          <cell r="J22">
            <v>35</v>
          </cell>
          <cell r="K22">
            <v>35</v>
          </cell>
          <cell r="L22">
            <v>35</v>
          </cell>
          <cell r="M22">
            <v>35</v>
          </cell>
          <cell r="N22">
            <v>35</v>
          </cell>
          <cell r="O22">
            <v>35</v>
          </cell>
          <cell r="P22">
            <v>35</v>
          </cell>
          <cell r="Q22">
            <v>35</v>
          </cell>
          <cell r="R22">
            <v>35</v>
          </cell>
          <cell r="S22">
            <v>35</v>
          </cell>
          <cell r="T22">
            <v>35</v>
          </cell>
          <cell r="U22">
            <v>35</v>
          </cell>
          <cell r="V22">
            <v>35</v>
          </cell>
          <cell r="W22">
            <v>35</v>
          </cell>
          <cell r="X22">
            <v>35</v>
          </cell>
          <cell r="Y22">
            <v>35</v>
          </cell>
          <cell r="Z22">
            <v>35</v>
          </cell>
          <cell r="AA22">
            <v>35</v>
          </cell>
          <cell r="AB22">
            <v>35</v>
          </cell>
          <cell r="AC22">
            <v>35</v>
          </cell>
          <cell r="AD22">
            <v>35</v>
          </cell>
          <cell r="AE22">
            <v>35</v>
          </cell>
          <cell r="AF22">
            <v>35</v>
          </cell>
          <cell r="AG22">
            <v>35</v>
          </cell>
          <cell r="AH22">
            <v>35</v>
          </cell>
          <cell r="AI22">
            <v>35</v>
          </cell>
          <cell r="AJ22">
            <v>35</v>
          </cell>
          <cell r="AK22">
            <v>35</v>
          </cell>
          <cell r="AL22">
            <v>35</v>
          </cell>
          <cell r="AM22">
            <v>35</v>
          </cell>
          <cell r="AN22">
            <v>35</v>
          </cell>
          <cell r="AO22">
            <v>35</v>
          </cell>
          <cell r="AP22">
            <v>35</v>
          </cell>
          <cell r="AQ22">
            <v>35</v>
          </cell>
          <cell r="AR22">
            <v>35</v>
          </cell>
          <cell r="AS22">
            <v>35</v>
          </cell>
          <cell r="AT22">
            <v>35</v>
          </cell>
          <cell r="AU22">
            <v>35</v>
          </cell>
          <cell r="AV22">
            <v>35</v>
          </cell>
          <cell r="AW22">
            <v>35</v>
          </cell>
          <cell r="AX22">
            <v>35</v>
          </cell>
          <cell r="AY22">
            <v>35</v>
          </cell>
          <cell r="AZ22">
            <v>35</v>
          </cell>
          <cell r="BA22">
            <v>35</v>
          </cell>
          <cell r="BB22">
            <v>35</v>
          </cell>
          <cell r="BC22">
            <v>35</v>
          </cell>
          <cell r="BD22">
            <v>35</v>
          </cell>
          <cell r="BE22">
            <v>35</v>
          </cell>
          <cell r="BF22">
            <v>35</v>
          </cell>
        </row>
        <row r="23">
          <cell r="B23" t="str">
            <v>סל מדדים</v>
          </cell>
          <cell r="C23">
            <v>2.9172521528580027E-2</v>
          </cell>
          <cell r="D23">
            <v>2.9172521528580027E-2</v>
          </cell>
          <cell r="E23">
            <v>7.8148625434053154E-2</v>
          </cell>
          <cell r="F23">
            <v>7.0560351519886988E-2</v>
          </cell>
          <cell r="G23">
            <v>2.9172521528580027E-2</v>
          </cell>
          <cell r="H23">
            <v>2.9172521528580027E-2</v>
          </cell>
          <cell r="I23">
            <v>2.9172521528580027E-2</v>
          </cell>
          <cell r="J23">
            <v>2.9172521528580027E-2</v>
          </cell>
          <cell r="K23">
            <v>2.9172521528580027E-2</v>
          </cell>
          <cell r="L23">
            <v>0.11591525663680319</v>
          </cell>
          <cell r="M23">
            <v>1.8638754540273812E-2</v>
          </cell>
          <cell r="N23">
            <v>2.9172521528580027E-2</v>
          </cell>
          <cell r="O23">
            <v>2.9172521528580027E-2</v>
          </cell>
          <cell r="P23">
            <v>2.9172521528580027E-2</v>
          </cell>
          <cell r="Q23">
            <v>2.9172521528580027E-2</v>
          </cell>
          <cell r="R23">
            <v>2.9172521528580027E-2</v>
          </cell>
          <cell r="S23">
            <v>1.8638754540273812E-2</v>
          </cell>
          <cell r="T23">
            <v>0.11591525663680319</v>
          </cell>
          <cell r="U23">
            <v>9.9505769124979493E-2</v>
          </cell>
          <cell r="V23">
            <v>2.9172521528580027E-2</v>
          </cell>
          <cell r="W23">
            <v>2.9172521528580027E-2</v>
          </cell>
          <cell r="X23">
            <v>9.9505769124979493E-2</v>
          </cell>
          <cell r="Y23">
            <v>2.9172521528580027E-2</v>
          </cell>
          <cell r="Z23">
            <v>2.9172521528580027E-2</v>
          </cell>
          <cell r="AA23">
            <v>2.9172521528580027E-2</v>
          </cell>
          <cell r="AB23">
            <v>2.9172521528580027E-2</v>
          </cell>
          <cell r="AC23">
            <v>2.9172521528580027E-2</v>
          </cell>
          <cell r="AD23">
            <v>2.9172521528580027E-2</v>
          </cell>
          <cell r="AE23">
            <v>2.9172521528580027E-2</v>
          </cell>
          <cell r="AF23">
            <v>2.9172521528580027E-2</v>
          </cell>
          <cell r="AG23">
            <v>2.9172521528580027E-2</v>
          </cell>
          <cell r="AH23">
            <v>2.9172521528580027E-2</v>
          </cell>
          <cell r="AI23">
            <v>2.9172521528580027E-2</v>
          </cell>
          <cell r="AJ23">
            <v>2.9172521528580027E-2</v>
          </cell>
          <cell r="AK23">
            <v>2.9172521528580027E-2</v>
          </cell>
          <cell r="AL23">
            <v>2.9172521528580027E-2</v>
          </cell>
          <cell r="AM23">
            <v>2.9172521528580027E-2</v>
          </cell>
          <cell r="AN23">
            <v>2.9172521528580027E-2</v>
          </cell>
          <cell r="AO23">
            <v>2.9172521528580027E-2</v>
          </cell>
          <cell r="AP23">
            <v>2.9172521528580027E-2</v>
          </cell>
          <cell r="AQ23">
            <v>2.9172521528580027E-2</v>
          </cell>
          <cell r="AR23">
            <v>2.9172521528580027E-2</v>
          </cell>
          <cell r="AS23">
            <v>2.9172521528580027E-2</v>
          </cell>
          <cell r="AT23">
            <v>2.9172521528580027E-2</v>
          </cell>
          <cell r="AU23">
            <v>1.8638754540273812E-2</v>
          </cell>
          <cell r="AV23">
            <v>2.9172521528580027E-2</v>
          </cell>
          <cell r="AW23">
            <v>2.9172521528580027E-2</v>
          </cell>
          <cell r="AX23">
            <v>2.9172521528580027E-2</v>
          </cell>
          <cell r="AY23">
            <v>2.9172521528580027E-2</v>
          </cell>
          <cell r="AZ23">
            <v>1.8638754540273812E-2</v>
          </cell>
          <cell r="BA23">
            <v>1.8638754540273812E-2</v>
          </cell>
          <cell r="BB23">
            <v>2.9172521528580027E-2</v>
          </cell>
          <cell r="BC23">
            <v>2.9172521528580027E-2</v>
          </cell>
          <cell r="BD23">
            <v>9.3917791915317184E-2</v>
          </cell>
          <cell r="BE23">
            <v>1.8638754540273812E-2</v>
          </cell>
          <cell r="BF23">
            <v>1.8638754540273812E-2</v>
          </cell>
        </row>
        <row r="24">
          <cell r="B24" t="str">
            <v xml:space="preserve">ריבית מוכרת על הלוואה </v>
          </cell>
          <cell r="C24">
            <v>0.05</v>
          </cell>
          <cell r="D24">
            <v>0.05</v>
          </cell>
          <cell r="E24">
            <v>0.04</v>
          </cell>
          <cell r="F24">
            <v>0.04</v>
          </cell>
          <cell r="G24">
            <v>0.04</v>
          </cell>
          <cell r="H24">
            <v>0.04</v>
          </cell>
          <cell r="I24">
            <v>0.05</v>
          </cell>
          <cell r="J24">
            <v>0.04</v>
          </cell>
          <cell r="K24">
            <v>0.04</v>
          </cell>
          <cell r="L24">
            <v>0.04</v>
          </cell>
          <cell r="M24">
            <v>0.04</v>
          </cell>
          <cell r="N24">
            <v>0.05</v>
          </cell>
          <cell r="O24">
            <v>0.04</v>
          </cell>
          <cell r="P24">
            <v>0.04</v>
          </cell>
          <cell r="Q24">
            <v>0.04</v>
          </cell>
          <cell r="R24">
            <v>0.04</v>
          </cell>
          <cell r="S24">
            <v>0.04</v>
          </cell>
          <cell r="T24">
            <v>0.04</v>
          </cell>
          <cell r="U24">
            <v>0.04</v>
          </cell>
          <cell r="V24">
            <v>0.05</v>
          </cell>
          <cell r="W24">
            <v>0.04</v>
          </cell>
          <cell r="X24">
            <v>0.04</v>
          </cell>
          <cell r="Y24">
            <v>0.04</v>
          </cell>
          <cell r="Z24">
            <v>0.04</v>
          </cell>
          <cell r="AA24">
            <v>0.04</v>
          </cell>
          <cell r="AB24">
            <v>0.04</v>
          </cell>
          <cell r="AC24">
            <v>0.04</v>
          </cell>
          <cell r="AD24">
            <v>0.04</v>
          </cell>
          <cell r="AE24">
            <v>0.04</v>
          </cell>
          <cell r="AF24">
            <v>0.04</v>
          </cell>
          <cell r="AG24">
            <v>0.04</v>
          </cell>
          <cell r="AH24">
            <v>0.05</v>
          </cell>
          <cell r="AI24">
            <v>0.04</v>
          </cell>
          <cell r="AJ24">
            <v>0.04</v>
          </cell>
          <cell r="AK24">
            <v>0.04</v>
          </cell>
          <cell r="AL24">
            <v>0.04</v>
          </cell>
          <cell r="AM24">
            <v>0.04</v>
          </cell>
          <cell r="AN24">
            <v>0.04</v>
          </cell>
          <cell r="AO24">
            <v>0.04</v>
          </cell>
          <cell r="AP24">
            <v>0.04</v>
          </cell>
          <cell r="AQ24">
            <v>0.04</v>
          </cell>
          <cell r="AR24">
            <v>0.05</v>
          </cell>
          <cell r="AS24">
            <v>0.04</v>
          </cell>
          <cell r="AT24">
            <v>0.04</v>
          </cell>
          <cell r="AU24">
            <v>0.04</v>
          </cell>
          <cell r="AV24">
            <v>0.05</v>
          </cell>
          <cell r="AW24">
            <v>0.05</v>
          </cell>
          <cell r="AX24">
            <v>0.04</v>
          </cell>
          <cell r="AY24">
            <v>0.04</v>
          </cell>
          <cell r="AZ24">
            <v>0.04</v>
          </cell>
          <cell r="BA24">
            <v>0.05</v>
          </cell>
          <cell r="BB24">
            <v>0.05</v>
          </cell>
          <cell r="BC24">
            <v>0.05</v>
          </cell>
          <cell r="BD24">
            <v>0.04</v>
          </cell>
          <cell r="BE24">
            <v>0.04</v>
          </cell>
          <cell r="BF24">
            <v>0.04</v>
          </cell>
        </row>
        <row r="25">
          <cell r="B25" t="str">
            <v>ריבית מוכרת על זכויות מים</v>
          </cell>
          <cell r="C25">
            <v>5.6000000000000001E-2</v>
          </cell>
          <cell r="D25">
            <v>5.6000000000000001E-2</v>
          </cell>
          <cell r="E25">
            <v>4.9000000000000002E-2</v>
          </cell>
          <cell r="F25">
            <v>4.9000000000000002E-2</v>
          </cell>
          <cell r="G25">
            <v>4.9000000000000002E-2</v>
          </cell>
          <cell r="H25">
            <v>4.9000000000000002E-2</v>
          </cell>
          <cell r="I25">
            <v>5.6000000000000001E-2</v>
          </cell>
          <cell r="J25">
            <v>4.9000000000000002E-2</v>
          </cell>
          <cell r="K25">
            <v>4.9000000000000002E-2</v>
          </cell>
          <cell r="L25">
            <v>4.9000000000000002E-2</v>
          </cell>
          <cell r="M25">
            <v>4.9000000000000002E-2</v>
          </cell>
          <cell r="N25">
            <v>5.6000000000000001E-2</v>
          </cell>
          <cell r="O25">
            <v>4.9000000000000002E-2</v>
          </cell>
          <cell r="P25">
            <v>4.9000000000000002E-2</v>
          </cell>
          <cell r="Q25">
            <v>4.9000000000000002E-2</v>
          </cell>
          <cell r="R25">
            <v>4.9000000000000002E-2</v>
          </cell>
          <cell r="S25">
            <v>4.9000000000000002E-2</v>
          </cell>
          <cell r="T25">
            <v>4.9000000000000002E-2</v>
          </cell>
          <cell r="U25">
            <v>4.9000000000000002E-2</v>
          </cell>
          <cell r="V25">
            <v>5.6000000000000001E-2</v>
          </cell>
          <cell r="W25">
            <v>4.9000000000000002E-2</v>
          </cell>
          <cell r="X25">
            <v>4.9000000000000002E-2</v>
          </cell>
          <cell r="Y25">
            <v>4.9000000000000002E-2</v>
          </cell>
          <cell r="Z25">
            <v>4.9000000000000002E-2</v>
          </cell>
          <cell r="AA25">
            <v>4.9000000000000002E-2</v>
          </cell>
          <cell r="AB25">
            <v>4.9000000000000002E-2</v>
          </cell>
          <cell r="AC25">
            <v>4.9000000000000002E-2</v>
          </cell>
          <cell r="AD25">
            <v>4.9000000000000002E-2</v>
          </cell>
          <cell r="AE25">
            <v>4.9000000000000002E-2</v>
          </cell>
          <cell r="AF25">
            <v>4.9000000000000002E-2</v>
          </cell>
          <cell r="AG25">
            <v>4.9000000000000002E-2</v>
          </cell>
          <cell r="AH25">
            <v>5.6000000000000001E-2</v>
          </cell>
          <cell r="AI25">
            <v>4.9000000000000002E-2</v>
          </cell>
          <cell r="AJ25">
            <v>4.9000000000000002E-2</v>
          </cell>
          <cell r="AK25">
            <v>4.9000000000000002E-2</v>
          </cell>
          <cell r="AL25">
            <v>4.9000000000000002E-2</v>
          </cell>
          <cell r="AM25">
            <v>4.9000000000000002E-2</v>
          </cell>
          <cell r="AN25">
            <v>4.9000000000000002E-2</v>
          </cell>
          <cell r="AO25">
            <v>4.9000000000000002E-2</v>
          </cell>
          <cell r="AP25">
            <v>4.9000000000000002E-2</v>
          </cell>
          <cell r="AQ25">
            <v>4.9000000000000002E-2</v>
          </cell>
          <cell r="AR25">
            <v>5.6000000000000001E-2</v>
          </cell>
          <cell r="AS25">
            <v>4.9000000000000002E-2</v>
          </cell>
          <cell r="AT25">
            <v>4.9000000000000002E-2</v>
          </cell>
          <cell r="AU25">
            <v>4.9000000000000002E-2</v>
          </cell>
          <cell r="AV25">
            <v>5.6000000000000001E-2</v>
          </cell>
          <cell r="AW25">
            <v>5.6000000000000001E-2</v>
          </cell>
          <cell r="AX25">
            <v>4.9000000000000002E-2</v>
          </cell>
          <cell r="AY25">
            <v>4.9000000000000002E-2</v>
          </cell>
          <cell r="AZ25">
            <v>4.9000000000000002E-2</v>
          </cell>
          <cell r="BA25">
            <v>5.6000000000000001E-2</v>
          </cell>
          <cell r="BB25">
            <v>5.6000000000000001E-2</v>
          </cell>
          <cell r="BC25">
            <v>5.6000000000000001E-2</v>
          </cell>
          <cell r="BD25">
            <v>4.9000000000000002E-2</v>
          </cell>
          <cell r="BE25">
            <v>4.9000000000000002E-2</v>
          </cell>
          <cell r="BF25">
            <v>4.9000000000000002E-2</v>
          </cell>
        </row>
        <row r="26">
          <cell r="B26" t="str">
            <v>שיעור תשואה</v>
          </cell>
          <cell r="C26">
            <v>7.0000000000000007E-2</v>
          </cell>
          <cell r="D26">
            <v>7.0000000000000007E-2</v>
          </cell>
          <cell r="E26">
            <v>7.0000000000000007E-2</v>
          </cell>
          <cell r="F26">
            <v>7.0000000000000007E-2</v>
          </cell>
          <cell r="G26">
            <v>7.0000000000000007E-2</v>
          </cell>
          <cell r="H26">
            <v>7.0000000000000007E-2</v>
          </cell>
          <cell r="I26">
            <v>7.0000000000000007E-2</v>
          </cell>
          <cell r="J26">
            <v>7.0000000000000007E-2</v>
          </cell>
          <cell r="K26">
            <v>7.0000000000000007E-2</v>
          </cell>
          <cell r="L26">
            <v>7.0000000000000007E-2</v>
          </cell>
          <cell r="M26">
            <v>7.0000000000000007E-2</v>
          </cell>
          <cell r="N26">
            <v>7.0000000000000007E-2</v>
          </cell>
          <cell r="O26">
            <v>7.0000000000000007E-2</v>
          </cell>
          <cell r="P26">
            <v>7.0000000000000007E-2</v>
          </cell>
          <cell r="Q26">
            <v>7.0000000000000007E-2</v>
          </cell>
          <cell r="R26">
            <v>7.0000000000000007E-2</v>
          </cell>
          <cell r="S26">
            <v>7.0000000000000007E-2</v>
          </cell>
          <cell r="T26">
            <v>7.0000000000000007E-2</v>
          </cell>
          <cell r="U26">
            <v>7.0000000000000007E-2</v>
          </cell>
          <cell r="V26">
            <v>7.0000000000000007E-2</v>
          </cell>
          <cell r="W26">
            <v>7.0000000000000007E-2</v>
          </cell>
          <cell r="X26">
            <v>7.0000000000000007E-2</v>
          </cell>
          <cell r="Y26">
            <v>7.0000000000000007E-2</v>
          </cell>
          <cell r="Z26">
            <v>7.0000000000000007E-2</v>
          </cell>
          <cell r="AA26">
            <v>7.0000000000000007E-2</v>
          </cell>
          <cell r="AB26">
            <v>7.0000000000000007E-2</v>
          </cell>
          <cell r="AC26">
            <v>7.0000000000000007E-2</v>
          </cell>
          <cell r="AD26">
            <v>7.0000000000000007E-2</v>
          </cell>
          <cell r="AE26">
            <v>7.0000000000000007E-2</v>
          </cell>
          <cell r="AF26">
            <v>7.0000000000000007E-2</v>
          </cell>
          <cell r="AG26">
            <v>7.0000000000000007E-2</v>
          </cell>
          <cell r="AH26">
            <v>7.0000000000000007E-2</v>
          </cell>
          <cell r="AI26">
            <v>7.0000000000000007E-2</v>
          </cell>
          <cell r="AJ26">
            <v>7.0000000000000007E-2</v>
          </cell>
          <cell r="AK26">
            <v>7.0000000000000007E-2</v>
          </cell>
          <cell r="AL26">
            <v>7.0000000000000007E-2</v>
          </cell>
          <cell r="AM26">
            <v>7.0000000000000007E-2</v>
          </cell>
          <cell r="AN26">
            <v>7.0000000000000007E-2</v>
          </cell>
          <cell r="AO26">
            <v>7.0000000000000007E-2</v>
          </cell>
          <cell r="AP26">
            <v>7.0000000000000007E-2</v>
          </cell>
          <cell r="AQ26">
            <v>7.0000000000000007E-2</v>
          </cell>
          <cell r="AR26">
            <v>7.0000000000000007E-2</v>
          </cell>
          <cell r="AS26">
            <v>7.0000000000000007E-2</v>
          </cell>
          <cell r="AT26">
            <v>7.0000000000000007E-2</v>
          </cell>
          <cell r="AU26">
            <v>7.0000000000000007E-2</v>
          </cell>
          <cell r="AV26">
            <v>7.0000000000000007E-2</v>
          </cell>
          <cell r="AW26">
            <v>7.0000000000000007E-2</v>
          </cell>
          <cell r="AX26">
            <v>7.0000000000000007E-2</v>
          </cell>
          <cell r="AY26">
            <v>7.0000000000000007E-2</v>
          </cell>
          <cell r="AZ26">
            <v>7.0000000000000007E-2</v>
          </cell>
          <cell r="BA26">
            <v>7.0000000000000007E-2</v>
          </cell>
          <cell r="BB26">
            <v>7.0000000000000007E-2</v>
          </cell>
          <cell r="BC26">
            <v>7.0000000000000007E-2</v>
          </cell>
          <cell r="BD26">
            <v>7.0000000000000007E-2</v>
          </cell>
          <cell r="BE26">
            <v>7.0000000000000007E-2</v>
          </cell>
          <cell r="BF26">
            <v>7.0000000000000007E-2</v>
          </cell>
        </row>
        <row r="56">
          <cell r="J56">
            <v>10.5597463205149</v>
          </cell>
        </row>
        <row r="63">
          <cell r="J63">
            <v>6.5610803233590609</v>
          </cell>
        </row>
      </sheetData>
      <sheetData sheetId="14"/>
      <sheetData sheetId="15"/>
      <sheetData sheetId="16"/>
      <sheetData sheetId="17"/>
      <sheetData sheetId="18">
        <row r="4">
          <cell r="G4" t="str">
            <v>קווי מים</v>
          </cell>
          <cell r="H4" t="str">
            <v>קווי ביוב</v>
          </cell>
          <cell r="I4" t="str">
            <v>תחנות שאיבה מים</v>
          </cell>
        </row>
        <row r="5">
          <cell r="F5" t="str">
            <v>בני עייש</v>
          </cell>
          <cell r="G5">
            <v>1113630</v>
          </cell>
          <cell r="H5">
            <v>453969.5</v>
          </cell>
        </row>
        <row r="6">
          <cell r="F6" t="str">
            <v>גדרה</v>
          </cell>
          <cell r="G6">
            <v>3742814.0220000008</v>
          </cell>
          <cell r="H6">
            <v>4411724.3280000007</v>
          </cell>
        </row>
        <row r="7">
          <cell r="F7" t="str">
            <v>קריית מלאכי</v>
          </cell>
          <cell r="G7">
            <v>4646484</v>
          </cell>
          <cell r="H7">
            <v>3992568.5</v>
          </cell>
          <cell r="I7">
            <v>881490.6</v>
          </cell>
        </row>
        <row r="8">
          <cell r="F8" t="str">
            <v>סה"כ</v>
          </cell>
          <cell r="G8">
            <v>9502928.0219999999</v>
          </cell>
          <cell r="H8">
            <v>8858262.3280000016</v>
          </cell>
          <cell r="I8">
            <v>881490.6</v>
          </cell>
        </row>
      </sheetData>
      <sheetData sheetId="19"/>
      <sheetData sheetId="20"/>
      <sheetData sheetId="21"/>
      <sheetData sheetId="22"/>
      <sheetData sheetId="23"/>
      <sheetData sheetId="24"/>
      <sheetData sheetId="25"/>
      <sheetData sheetId="26"/>
      <sheetData sheetId="27">
        <row r="43">
          <cell r="F43">
            <v>-2.8095138470786929E-2</v>
          </cell>
        </row>
      </sheetData>
      <sheetData sheetId="28"/>
      <sheetData sheetId="29"/>
      <sheetData sheetId="30"/>
      <sheetData sheetId="31">
        <row r="105">
          <cell r="G105">
            <v>2040126</v>
          </cell>
          <cell r="K105">
            <v>0</v>
          </cell>
          <cell r="M105">
            <v>37140</v>
          </cell>
        </row>
        <row r="134">
          <cell r="D134">
            <v>11979</v>
          </cell>
        </row>
        <row r="135">
          <cell r="D135">
            <v>187294</v>
          </cell>
        </row>
        <row r="136">
          <cell r="D136">
            <v>7078</v>
          </cell>
        </row>
        <row r="137">
          <cell r="D137">
            <v>35915</v>
          </cell>
          <cell r="G137">
            <v>3222715</v>
          </cell>
          <cell r="K137">
            <v>196560</v>
          </cell>
          <cell r="M137">
            <v>162055</v>
          </cell>
        </row>
        <row r="138">
          <cell r="G138">
            <v>2835626</v>
          </cell>
          <cell r="K138">
            <v>0</v>
          </cell>
          <cell r="M138">
            <v>159773</v>
          </cell>
        </row>
        <row r="148">
          <cell r="G148">
            <v>2559933</v>
          </cell>
          <cell r="K148">
            <v>40785</v>
          </cell>
          <cell r="M148">
            <v>143043</v>
          </cell>
        </row>
      </sheetData>
      <sheetData sheetId="32"/>
      <sheetData sheetId="33"/>
      <sheetData sheetId="34"/>
      <sheetData sheetId="35"/>
      <sheetData sheetId="3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גיליון1"/>
      <sheetName val="לפי תעריף נורמטיבי מעודכן"/>
      <sheetName val="גיליון3"/>
    </sheetNames>
    <sheetDataSet>
      <sheetData sheetId="0" refreshError="1"/>
      <sheetData sheetId="1" refreshError="1">
        <row r="14">
          <cell r="L14">
            <v>0.28273019674974686</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חישוב אגרת טיהור"/>
      <sheetName val="חישוב הוצאות משתנות"/>
      <sheetName val="חישוב אגרת הולכה למט&quot;ש"/>
      <sheetName val="הוצאות תפעול"/>
      <sheetName val="תצרוכת מים "/>
      <sheetName val="שפכים"/>
      <sheetName val="השקעות מעודכן"/>
      <sheetName val="רשימה"/>
      <sheetName val="נתוני טיפול שלישוני סופיים"/>
      <sheetName val="תפעול"/>
      <sheetName val="דאובר 2012"/>
      <sheetName val="אגרת קרן שיקום"/>
    </sheetNames>
    <sheetDataSet>
      <sheetData sheetId="0" refreshError="1"/>
      <sheetData sheetId="1" refreshError="1"/>
      <sheetData sheetId="2" refreshError="1">
        <row r="28">
          <cell r="C28">
            <v>0.10310659605970846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משרות ישראלים ינואר 08"/>
      <sheetName val="משרות ישראלים יוני 08"/>
      <sheetName val="משרות ישראלים דצמבר 08"/>
      <sheetName val="משרות ישראלים יוני 09"/>
      <sheetName val="משרות ישראלים דצמבר 09"/>
      <sheetName val="גיליון5"/>
      <sheetName val="מדד"/>
      <sheetName val="מנוכי עונתיות"/>
      <sheetName val="דצמבר 2009"/>
      <sheetName val="יוני 2009"/>
      <sheetName val="גיליון6"/>
      <sheetName val="שכר"/>
      <sheetName val="חשמל"/>
      <sheetName val="גיליון4"/>
      <sheetName val="גיליון3"/>
      <sheetName val="דצמבר 2008"/>
      <sheetName val="יוני 20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3">
          <cell r="A3">
            <v>37637</v>
          </cell>
          <cell r="C3">
            <v>100</v>
          </cell>
        </row>
        <row r="4">
          <cell r="A4">
            <v>37668</v>
          </cell>
          <cell r="C4">
            <v>105.27</v>
          </cell>
        </row>
        <row r="5">
          <cell r="A5">
            <v>37696</v>
          </cell>
          <cell r="C5">
            <v>105.27</v>
          </cell>
        </row>
        <row r="6">
          <cell r="A6">
            <v>37727</v>
          </cell>
          <cell r="C6">
            <v>101.32237499999999</v>
          </cell>
        </row>
        <row r="7">
          <cell r="A7">
            <v>37757</v>
          </cell>
          <cell r="C7">
            <v>101.32237499999999</v>
          </cell>
        </row>
        <row r="8">
          <cell r="A8">
            <v>37788</v>
          </cell>
          <cell r="C8">
            <v>97.239083287499994</v>
          </cell>
        </row>
        <row r="9">
          <cell r="A9">
            <v>37818</v>
          </cell>
          <cell r="C9">
            <v>97.239083287499994</v>
          </cell>
        </row>
        <row r="10">
          <cell r="A10">
            <v>37849</v>
          </cell>
          <cell r="C10">
            <v>93.787095830793746</v>
          </cell>
        </row>
        <row r="11">
          <cell r="A11">
            <v>37880</v>
          </cell>
          <cell r="C11">
            <v>93.787095830793746</v>
          </cell>
        </row>
        <row r="12">
          <cell r="A12">
            <v>37910</v>
          </cell>
          <cell r="C12">
            <v>93.787095830793746</v>
          </cell>
        </row>
        <row r="13">
          <cell r="A13">
            <v>37941</v>
          </cell>
          <cell r="C13">
            <v>98.148195786925655</v>
          </cell>
        </row>
        <row r="14">
          <cell r="A14">
            <v>37971</v>
          </cell>
          <cell r="C14">
            <v>98.148195786925655</v>
          </cell>
        </row>
        <row r="15">
          <cell r="A15">
            <v>38002</v>
          </cell>
          <cell r="C15">
            <v>98.148195786925655</v>
          </cell>
        </row>
        <row r="16">
          <cell r="A16">
            <v>38033</v>
          </cell>
          <cell r="C16">
            <v>98.148195786925655</v>
          </cell>
        </row>
        <row r="17">
          <cell r="A17">
            <v>38062</v>
          </cell>
          <cell r="C17">
            <v>98.148195786925655</v>
          </cell>
        </row>
        <row r="18">
          <cell r="A18">
            <v>38093</v>
          </cell>
          <cell r="C18">
            <v>103.23227232868841</v>
          </cell>
        </row>
        <row r="19">
          <cell r="A19">
            <v>38123</v>
          </cell>
          <cell r="C19">
            <v>103.23227232868841</v>
          </cell>
        </row>
        <row r="20">
          <cell r="A20">
            <v>38154</v>
          </cell>
          <cell r="C20">
            <v>107.25833094950725</v>
          </cell>
        </row>
        <row r="21">
          <cell r="A21">
            <v>38184</v>
          </cell>
          <cell r="C21">
            <v>107.25833094950725</v>
          </cell>
        </row>
        <row r="22">
          <cell r="A22">
            <v>38215</v>
          </cell>
          <cell r="C22">
            <v>107.25833094950725</v>
          </cell>
        </row>
        <row r="23">
          <cell r="A23">
            <v>38246</v>
          </cell>
          <cell r="C23">
            <v>107.25833094950725</v>
          </cell>
        </row>
        <row r="24">
          <cell r="A24">
            <v>38276</v>
          </cell>
          <cell r="C24">
            <v>107.25833094950725</v>
          </cell>
        </row>
        <row r="25">
          <cell r="A25">
            <v>38307</v>
          </cell>
          <cell r="C25">
            <v>112.25656917175429</v>
          </cell>
        </row>
        <row r="26">
          <cell r="A26">
            <v>38337</v>
          </cell>
          <cell r="C26">
            <v>112.25656917175429</v>
          </cell>
        </row>
        <row r="27">
          <cell r="A27">
            <v>38368</v>
          </cell>
          <cell r="C27">
            <v>112.25656917175429</v>
          </cell>
        </row>
        <row r="28">
          <cell r="A28">
            <v>38399</v>
          </cell>
          <cell r="C28">
            <v>112.25656917175429</v>
          </cell>
        </row>
        <row r="29">
          <cell r="A29">
            <v>38427</v>
          </cell>
          <cell r="C29">
            <v>112.25656917175429</v>
          </cell>
        </row>
        <row r="30">
          <cell r="A30">
            <v>38458</v>
          </cell>
          <cell r="C30">
            <v>112.25656917175429</v>
          </cell>
        </row>
        <row r="31">
          <cell r="A31">
            <v>38488</v>
          </cell>
          <cell r="C31">
            <v>114.43434661368633</v>
          </cell>
        </row>
        <row r="32">
          <cell r="A32">
            <v>38519</v>
          </cell>
          <cell r="C32">
            <v>114.43434661368633</v>
          </cell>
        </row>
        <row r="33">
          <cell r="A33">
            <v>38549</v>
          </cell>
          <cell r="C33">
            <v>114.43434661368633</v>
          </cell>
        </row>
        <row r="34">
          <cell r="A34">
            <v>38580</v>
          </cell>
          <cell r="C34">
            <v>114.43434661368633</v>
          </cell>
        </row>
        <row r="35">
          <cell r="A35">
            <v>38611</v>
          </cell>
          <cell r="C35">
            <v>120.15606394437066</v>
          </cell>
        </row>
        <row r="36">
          <cell r="A36">
            <v>38641</v>
          </cell>
          <cell r="C36">
            <v>120.15606394437066</v>
          </cell>
        </row>
        <row r="37">
          <cell r="A37">
            <v>38672</v>
          </cell>
          <cell r="C37">
            <v>120.15606394437066</v>
          </cell>
        </row>
        <row r="38">
          <cell r="A38">
            <v>38702</v>
          </cell>
          <cell r="C38">
            <v>120.15606394437066</v>
          </cell>
        </row>
        <row r="39">
          <cell r="A39">
            <v>38733</v>
          </cell>
          <cell r="C39">
            <v>113.15096541641384</v>
          </cell>
        </row>
        <row r="40">
          <cell r="A40">
            <v>38764</v>
          </cell>
          <cell r="C40">
            <v>113.15096541641384</v>
          </cell>
        </row>
        <row r="41">
          <cell r="A41">
            <v>38792</v>
          </cell>
          <cell r="C41">
            <v>113.15096541641384</v>
          </cell>
        </row>
        <row r="42">
          <cell r="A42">
            <v>38823</v>
          </cell>
          <cell r="C42">
            <v>111.88367460375001</v>
          </cell>
        </row>
        <row r="43">
          <cell r="A43">
            <v>38853</v>
          </cell>
          <cell r="C43">
            <v>111.88367460375001</v>
          </cell>
        </row>
        <row r="44">
          <cell r="A44">
            <v>38884</v>
          </cell>
          <cell r="C44">
            <v>111.88367460375001</v>
          </cell>
        </row>
        <row r="45">
          <cell r="A45">
            <v>38914</v>
          </cell>
          <cell r="C45">
            <v>111.88367460375001</v>
          </cell>
        </row>
        <row r="46">
          <cell r="A46">
            <v>38945</v>
          </cell>
          <cell r="C46">
            <v>111.88367460375001</v>
          </cell>
        </row>
        <row r="47">
          <cell r="A47">
            <v>38976</v>
          </cell>
          <cell r="C47">
            <v>111.88367460375001</v>
          </cell>
        </row>
        <row r="48">
          <cell r="A48">
            <v>39006</v>
          </cell>
          <cell r="C48">
            <v>109.05893852033516</v>
          </cell>
        </row>
        <row r="49">
          <cell r="A49">
            <v>39037</v>
          </cell>
          <cell r="C49">
            <v>109.05893852033516</v>
          </cell>
        </row>
        <row r="50">
          <cell r="A50">
            <v>39067</v>
          </cell>
          <cell r="C50">
            <v>109.05893852033516</v>
          </cell>
        </row>
        <row r="51">
          <cell r="A51">
            <v>39098</v>
          </cell>
          <cell r="C51">
            <v>109.05893852033516</v>
          </cell>
        </row>
        <row r="52">
          <cell r="A52">
            <v>39129</v>
          </cell>
          <cell r="C52">
            <v>109.05893852033516</v>
          </cell>
        </row>
        <row r="53">
          <cell r="A53">
            <v>39157</v>
          </cell>
          <cell r="C53">
            <v>109.05893852033516</v>
          </cell>
        </row>
        <row r="54">
          <cell r="A54">
            <v>39188</v>
          </cell>
          <cell r="C54">
            <v>109.05893852033516</v>
          </cell>
        </row>
        <row r="55">
          <cell r="A55">
            <v>39218</v>
          </cell>
          <cell r="C55">
            <v>101.75198963947271</v>
          </cell>
        </row>
        <row r="56">
          <cell r="A56">
            <v>39249</v>
          </cell>
          <cell r="C56">
            <v>101.75198963947271</v>
          </cell>
        </row>
        <row r="57">
          <cell r="A57">
            <v>39279</v>
          </cell>
          <cell r="C57">
            <v>101.75198963947271</v>
          </cell>
        </row>
        <row r="58">
          <cell r="A58">
            <v>39310</v>
          </cell>
          <cell r="C58">
            <v>106.52415795356397</v>
          </cell>
        </row>
        <row r="59">
          <cell r="A59">
            <v>39341</v>
          </cell>
          <cell r="C59">
            <v>106.52415795356397</v>
          </cell>
        </row>
        <row r="60">
          <cell r="A60">
            <v>39371</v>
          </cell>
          <cell r="C60">
            <v>114.93956643189551</v>
          </cell>
        </row>
        <row r="61">
          <cell r="A61">
            <v>39402</v>
          </cell>
          <cell r="C61">
            <v>120.3302320975514</v>
          </cell>
        </row>
        <row r="62">
          <cell r="A62">
            <v>39432</v>
          </cell>
          <cell r="C62">
            <v>120.3302320975514</v>
          </cell>
        </row>
        <row r="63">
          <cell r="A63">
            <v>39463</v>
          </cell>
          <cell r="C63">
            <v>120.3302320975514</v>
          </cell>
        </row>
        <row r="64">
          <cell r="A64">
            <v>39494</v>
          </cell>
          <cell r="C64">
            <v>124.55382324417545</v>
          </cell>
        </row>
        <row r="65">
          <cell r="A65">
            <v>39523</v>
          </cell>
          <cell r="C65">
            <v>125.00392339523293</v>
          </cell>
        </row>
        <row r="66">
          <cell r="A66">
            <v>39554</v>
          </cell>
          <cell r="C66">
            <v>125.00392339523293</v>
          </cell>
        </row>
        <row r="67">
          <cell r="A67">
            <v>39584</v>
          </cell>
          <cell r="C67">
            <v>125.00392339523293</v>
          </cell>
        </row>
        <row r="68">
          <cell r="A68">
            <v>39615</v>
          </cell>
          <cell r="C68">
            <v>125.00392339523293</v>
          </cell>
        </row>
        <row r="69">
          <cell r="A69">
            <v>39645</v>
          </cell>
          <cell r="C69">
            <v>131.61663094284074</v>
          </cell>
        </row>
        <row r="70">
          <cell r="A70">
            <v>39676</v>
          </cell>
          <cell r="C70">
            <v>131.61663094284074</v>
          </cell>
        </row>
        <row r="71">
          <cell r="A71">
            <v>39707</v>
          </cell>
          <cell r="C71">
            <v>131.61663094284074</v>
          </cell>
        </row>
        <row r="72">
          <cell r="A72">
            <v>39737</v>
          </cell>
          <cell r="C72">
            <v>131.61663094284074</v>
          </cell>
        </row>
        <row r="73">
          <cell r="A73">
            <v>39768</v>
          </cell>
          <cell r="C73">
            <v>125.35167930996153</v>
          </cell>
        </row>
        <row r="74">
          <cell r="A74">
            <v>39798</v>
          </cell>
          <cell r="C74">
            <v>125.35167930996153</v>
          </cell>
        </row>
        <row r="75">
          <cell r="A75">
            <v>39829</v>
          </cell>
          <cell r="C75">
            <v>125.35167930996153</v>
          </cell>
        </row>
        <row r="76">
          <cell r="A76">
            <v>39860</v>
          </cell>
          <cell r="C76">
            <v>125.35167930996153</v>
          </cell>
        </row>
        <row r="77">
          <cell r="A77">
            <v>39888</v>
          </cell>
          <cell r="C77">
            <v>125.35167930996153</v>
          </cell>
        </row>
        <row r="78">
          <cell r="A78">
            <v>39919</v>
          </cell>
          <cell r="C78">
            <v>125.35167930996153</v>
          </cell>
        </row>
        <row r="79">
          <cell r="A79">
            <v>39949</v>
          </cell>
          <cell r="C79">
            <v>123.27084143341617</v>
          </cell>
        </row>
        <row r="80">
          <cell r="A80">
            <v>39980</v>
          </cell>
          <cell r="C80">
            <v>116.35534722900151</v>
          </cell>
        </row>
        <row r="81">
          <cell r="A81">
            <v>40010</v>
          </cell>
          <cell r="C81">
            <v>116.35534722900151</v>
          </cell>
        </row>
        <row r="82">
          <cell r="A82">
            <v>40041</v>
          </cell>
          <cell r="C82">
            <v>116.35534722900151</v>
          </cell>
        </row>
        <row r="83">
          <cell r="A83">
            <v>40072</v>
          </cell>
          <cell r="C83">
            <v>116.35534722900151</v>
          </cell>
        </row>
        <row r="84">
          <cell r="A84">
            <v>40102</v>
          </cell>
          <cell r="C84">
            <v>116.35534722900151</v>
          </cell>
        </row>
        <row r="85">
          <cell r="A85">
            <v>40133</v>
          </cell>
          <cell r="C85">
            <v>116.35534722900151</v>
          </cell>
        </row>
        <row r="86">
          <cell r="A86">
            <v>40163</v>
          </cell>
          <cell r="C86">
            <v>121.00956111816157</v>
          </cell>
        </row>
        <row r="87">
          <cell r="A87">
            <v>40194</v>
          </cell>
          <cell r="C87">
            <v>121.00956111816157</v>
          </cell>
        </row>
        <row r="88">
          <cell r="A88">
            <v>40225</v>
          </cell>
          <cell r="C88">
            <v>106.83934151122486</v>
          </cell>
        </row>
      </sheetData>
      <sheetData sheetId="13" refreshError="1"/>
      <sheetData sheetId="14" refreshError="1"/>
      <sheetData sheetId="15" refreshError="1"/>
      <sheetData sheetId="1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4"/>
      <sheetName val="נתוני מים 2012"/>
      <sheetName val="סל מדדים"/>
      <sheetName val="מדד שכר ממוצע"/>
      <sheetName val="מדד חשמל"/>
      <sheetName val="מדד מחירים"/>
      <sheetName val="נתוני תאגידים"/>
      <sheetName val="תחשיב תעריף לתאגיד בודד"/>
      <sheetName val="תחשיב תעריף 2014"/>
      <sheetName val="ריכוז עלויות"/>
      <sheetName val="פחת מים וגביה"/>
      <sheetName val="בדיקת החזר צרכנים"/>
      <sheetName val="סקרי נכסים-יתרות פתיחה"/>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3">
          <cell r="AK3">
            <v>38607.081828801223</v>
          </cell>
        </row>
        <row r="4">
          <cell r="AK4">
            <v>41704.369264944602</v>
          </cell>
        </row>
        <row r="5">
          <cell r="AK5">
            <v>1843.0485024093502</v>
          </cell>
        </row>
        <row r="6">
          <cell r="AK6">
            <v>194753.13311961619</v>
          </cell>
        </row>
        <row r="7">
          <cell r="AK7">
            <v>64543.45169894649</v>
          </cell>
        </row>
        <row r="8">
          <cell r="AK8">
            <v>5077.993222424634</v>
          </cell>
        </row>
        <row r="9">
          <cell r="AK9">
            <v>16873.217977923148</v>
          </cell>
        </row>
        <row r="10">
          <cell r="AK10">
            <v>33884.331541654283</v>
          </cell>
        </row>
        <row r="11">
          <cell r="AK11">
            <v>26797.13474692731</v>
          </cell>
        </row>
        <row r="12">
          <cell r="AK12">
            <v>42559.789490577576</v>
          </cell>
        </row>
        <row r="13">
          <cell r="AK13">
            <v>70658.304884228681</v>
          </cell>
        </row>
        <row r="14">
          <cell r="AK14">
            <v>40583.096586553176</v>
          </cell>
        </row>
        <row r="15">
          <cell r="AK15">
            <v>19781.258365461726</v>
          </cell>
        </row>
        <row r="16">
          <cell r="AK16">
            <v>35401.99336779397</v>
          </cell>
        </row>
        <row r="17">
          <cell r="AK17">
            <v>102899.58758310387</v>
          </cell>
        </row>
        <row r="18">
          <cell r="AK18">
            <v>76485.272289861445</v>
          </cell>
        </row>
        <row r="19">
          <cell r="AK19">
            <v>79650.163616387217</v>
          </cell>
        </row>
        <row r="20">
          <cell r="AK20">
            <v>80484.013242311034</v>
          </cell>
        </row>
        <row r="21">
          <cell r="AK21">
            <v>89949.065165928638</v>
          </cell>
        </row>
        <row r="22">
          <cell r="AK22">
            <v>54311.663332955017</v>
          </cell>
        </row>
        <row r="23">
          <cell r="AK23">
            <v>19848.947061807146</v>
          </cell>
        </row>
        <row r="24">
          <cell r="AK24">
            <v>16922.466116660948</v>
          </cell>
        </row>
        <row r="25">
          <cell r="AK25">
            <v>19573.742529524232</v>
          </cell>
        </row>
        <row r="26">
          <cell r="AK26">
            <v>12900.915954627133</v>
          </cell>
        </row>
        <row r="27">
          <cell r="AK27">
            <v>33760.178432823719</v>
          </cell>
        </row>
        <row r="28">
          <cell r="AK28">
            <v>55080.757436548352</v>
          </cell>
        </row>
        <row r="29">
          <cell r="AK29">
            <v>59749.810968613056</v>
          </cell>
        </row>
        <row r="30">
          <cell r="AK30">
            <v>28465.41583985246</v>
          </cell>
        </row>
        <row r="31">
          <cell r="AK31">
            <v>120817.67072121594</v>
          </cell>
        </row>
        <row r="32">
          <cell r="AK32">
            <v>34276.382314510483</v>
          </cell>
        </row>
        <row r="33">
          <cell r="AK33">
            <v>19961.711526494928</v>
          </cell>
        </row>
        <row r="34">
          <cell r="AK34">
            <v>11104.690516481682</v>
          </cell>
        </row>
        <row r="35">
          <cell r="AK35">
            <v>17270.562127005924</v>
          </cell>
        </row>
        <row r="36">
          <cell r="AK36">
            <v>7347.3949366787056</v>
          </cell>
        </row>
        <row r="37">
          <cell r="AK37">
            <v>10094.533233548033</v>
          </cell>
        </row>
        <row r="38">
          <cell r="AK38">
            <v>288256.27797247702</v>
          </cell>
        </row>
        <row r="39">
          <cell r="AK39">
            <v>22219.433522807576</v>
          </cell>
        </row>
        <row r="40">
          <cell r="AK40">
            <v>52926.067304479984</v>
          </cell>
        </row>
        <row r="41">
          <cell r="AK41">
            <v>13672.93227399131</v>
          </cell>
        </row>
        <row r="42">
          <cell r="AK42">
            <v>33050.761380001211</v>
          </cell>
        </row>
        <row r="43">
          <cell r="AK43">
            <v>9449.4605641348007</v>
          </cell>
        </row>
        <row r="44">
          <cell r="AK44">
            <v>53118.860657813799</v>
          </cell>
        </row>
        <row r="45">
          <cell r="AK45">
            <v>16099.08483800851</v>
          </cell>
        </row>
        <row r="46">
          <cell r="AK46">
            <v>7431.2872987734436</v>
          </cell>
        </row>
        <row r="47">
          <cell r="AK47">
            <v>18835.78055817747</v>
          </cell>
        </row>
        <row r="48">
          <cell r="AK48">
            <v>31454.573735395377</v>
          </cell>
        </row>
        <row r="49">
          <cell r="AK49">
            <v>36821.711106145529</v>
          </cell>
        </row>
        <row r="50">
          <cell r="AK50">
            <v>58905.553050054456</v>
          </cell>
        </row>
        <row r="51">
          <cell r="AK51">
            <v>43423.126313222485</v>
          </cell>
        </row>
        <row r="52">
          <cell r="AK52">
            <v>14008.956807946606</v>
          </cell>
        </row>
        <row r="53">
          <cell r="AK53">
            <v>14512.962467668223</v>
          </cell>
        </row>
        <row r="54">
          <cell r="AK54">
            <v>30746.989977903562</v>
          </cell>
        </row>
        <row r="55">
          <cell r="AK55">
            <v>31379.630046622857</v>
          </cell>
        </row>
        <row r="56">
          <cell r="AK56">
            <v>6724.7329591840635</v>
          </cell>
        </row>
        <row r="57">
          <cell r="AK57">
            <v>4234.1143127718924</v>
          </cell>
        </row>
      </sheetData>
      <sheetData sheetId="16"/>
      <sheetData sheetId="17"/>
      <sheetData sheetId="1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5"/>
      <sheetName val="נתוני מים 2012"/>
      <sheetName val="סל מדדים"/>
      <sheetName val="מדד שכר ממוצע"/>
      <sheetName val="מדד חשמל"/>
      <sheetName val="מדד מחירים"/>
      <sheetName val="נתוני תאגידים"/>
      <sheetName val="תחשיב תעריף לתאגיד בודד"/>
      <sheetName val="תחשיב תעריף 2015"/>
      <sheetName val="ריכוז עלויות"/>
      <sheetName val="תעריפי 2015 לכללים"/>
      <sheetName val="פחת מים וגביה"/>
      <sheetName val="בדיקת החזר צרכנים"/>
      <sheetName val="סקרי נכסים-יתרות פתיחה"/>
      <sheetName val="תעריף רשות מקומית"/>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
          <cell r="A1" t="str">
            <v>שם תאגיד</v>
          </cell>
        </row>
        <row r="209">
          <cell r="BG209">
            <v>6899859.0945000025</v>
          </cell>
        </row>
        <row r="217">
          <cell r="BG217">
            <v>299780</v>
          </cell>
        </row>
      </sheetData>
      <sheetData sheetId="13" refreshError="1"/>
      <sheetData sheetId="14" refreshError="1"/>
      <sheetData sheetId="15" refreshError="1"/>
      <sheetData sheetId="16" refreshError="1"/>
      <sheetData sheetId="17" refreshError="1">
        <row r="1">
          <cell r="E1" t="str">
            <v>נתוני 2012</v>
          </cell>
          <cell r="G1">
            <v>0.31179020728081852</v>
          </cell>
          <cell r="H1" t="str">
            <v>פחת מים חזק</v>
          </cell>
          <cell r="I1">
            <v>7.0000000000000007E-2</v>
          </cell>
          <cell r="J1" t="str">
            <v>פחת גביה חזק</v>
          </cell>
          <cell r="K1">
            <v>1.4999999999999999E-2</v>
          </cell>
          <cell r="L1" t="str">
            <v>הפחתה לתאגיד מפיק</v>
          </cell>
          <cell r="N1">
            <v>0.02</v>
          </cell>
          <cell r="P1" t="str">
            <v>חלש</v>
          </cell>
        </row>
        <row r="2">
          <cell r="P2" t="str">
            <v>חלש רב רשותי</v>
          </cell>
        </row>
        <row r="3">
          <cell r="B3" t="str">
            <v>סיווג תאגיד</v>
          </cell>
          <cell r="C3" t="str">
            <v>פחת מים</v>
          </cell>
          <cell r="D3" t="str">
            <v>פחת גביה</v>
          </cell>
          <cell r="E3" t="str">
            <v>סה"כ צריכה המים</v>
          </cell>
          <cell r="F3" t="str">
            <v>צריכה למגורים</v>
          </cell>
          <cell r="G3" t="str">
            <v>שיעור צריכה במגורים מסך הצריכה</v>
          </cell>
          <cell r="H3" t="str">
            <v>פחת מים מוצע</v>
          </cell>
          <cell r="I3" t="str">
            <v>פחת גביה מוצע</v>
          </cell>
          <cell r="J3" t="str">
            <v>שנת הקמה</v>
          </cell>
          <cell r="K3" t="str">
            <v>דירוג</v>
          </cell>
          <cell r="L3" t="str">
            <v xml:space="preserve">הפקה </v>
          </cell>
          <cell r="M3" t="str">
            <v>שיעור הפקה</v>
          </cell>
          <cell r="O3" t="str">
            <v>מספר ישובים</v>
          </cell>
          <cell r="P3" t="str">
            <v>סיווג תאגיד</v>
          </cell>
        </row>
        <row r="4">
          <cell r="A4" t="str">
            <v>אל עין</v>
          </cell>
          <cell r="B4" t="str">
            <v>חלש</v>
          </cell>
          <cell r="C4">
            <v>0.12659999999999999</v>
          </cell>
          <cell r="D4">
            <v>6.6699999999999995E-2</v>
          </cell>
          <cell r="E4">
            <v>4581.5030000000006</v>
          </cell>
          <cell r="F4">
            <v>3855.3470000000002</v>
          </cell>
          <cell r="G4">
            <v>0.84150266844745047</v>
          </cell>
          <cell r="H4">
            <v>0.1176290510341257</v>
          </cell>
          <cell r="I4">
            <v>5.8505687958733184E-2</v>
          </cell>
          <cell r="J4">
            <v>2010</v>
          </cell>
          <cell r="K4">
            <v>3</v>
          </cell>
          <cell r="L4">
            <v>0</v>
          </cell>
          <cell r="M4">
            <v>0</v>
          </cell>
          <cell r="N4">
            <v>0</v>
          </cell>
          <cell r="O4">
            <v>7</v>
          </cell>
          <cell r="P4" t="str">
            <v>חלש רב רשותי</v>
          </cell>
        </row>
        <row r="5">
          <cell r="A5" t="str">
            <v>חברת הגיחון בע"מ תאגיד המים והביוב של ירושלים</v>
          </cell>
          <cell r="B5" t="str">
            <v>בינוני</v>
          </cell>
          <cell r="C5">
            <v>8.6300000000000002E-2</v>
          </cell>
          <cell r="D5">
            <v>1.4999999999999999E-2</v>
          </cell>
          <cell r="E5">
            <v>52974.281000000003</v>
          </cell>
          <cell r="F5">
            <v>31831.585999999999</v>
          </cell>
          <cell r="G5">
            <v>0.60088755145161854</v>
          </cell>
          <cell r="H5">
            <v>7.9794467088661392E-2</v>
          </cell>
          <cell r="I5">
            <v>1.4999999999999999E-2</v>
          </cell>
          <cell r="J5">
            <v>2003</v>
          </cell>
          <cell r="K5">
            <v>4</v>
          </cell>
          <cell r="L5">
            <v>0</v>
          </cell>
          <cell r="M5">
            <v>0</v>
          </cell>
          <cell r="N5">
            <v>0</v>
          </cell>
          <cell r="O5">
            <v>3</v>
          </cell>
          <cell r="P5" t="str">
            <v>בינוני</v>
          </cell>
        </row>
        <row r="6">
          <cell r="A6" t="str">
            <v>הרי נצרת מפעלי מים וביוב בע"מ</v>
          </cell>
          <cell r="B6" t="str">
            <v>חלש</v>
          </cell>
          <cell r="C6">
            <v>0.12659999999999999</v>
          </cell>
          <cell r="D6">
            <v>6.6699999999999995E-2</v>
          </cell>
          <cell r="E6">
            <v>6935.1040000000003</v>
          </cell>
          <cell r="F6">
            <v>5485.1859999999997</v>
          </cell>
          <cell r="G6">
            <v>0.79093060464558274</v>
          </cell>
          <cell r="H6">
            <v>0.11476667222293997</v>
          </cell>
          <cell r="I6">
            <v>5.5891112260176623E-2</v>
          </cell>
          <cell r="J6">
            <v>2009</v>
          </cell>
          <cell r="K6">
            <v>3</v>
          </cell>
          <cell r="L6">
            <v>0</v>
          </cell>
          <cell r="M6">
            <v>0</v>
          </cell>
          <cell r="N6">
            <v>0</v>
          </cell>
          <cell r="O6">
            <v>5</v>
          </cell>
          <cell r="P6" t="str">
            <v>חלש רב רשותי</v>
          </cell>
        </row>
        <row r="7">
          <cell r="A7" t="str">
            <v>התנור מים וביוב בע"מ</v>
          </cell>
          <cell r="B7" t="str">
            <v>בינוני</v>
          </cell>
          <cell r="C7">
            <v>8.6300000000000002E-2</v>
          </cell>
          <cell r="D7">
            <v>1.4999999999999999E-2</v>
          </cell>
          <cell r="E7">
            <v>2568.8440000000001</v>
          </cell>
          <cell r="F7">
            <v>1642.16</v>
          </cell>
          <cell r="G7">
            <v>0.63926030541364132</v>
          </cell>
          <cell r="H7">
            <v>8.0419942978242356E-2</v>
          </cell>
          <cell r="I7">
            <v>1.4999999999999999E-2</v>
          </cell>
          <cell r="J7">
            <v>2008</v>
          </cell>
          <cell r="K7">
            <v>4</v>
          </cell>
          <cell r="L7">
            <v>0</v>
          </cell>
          <cell r="M7">
            <v>0</v>
          </cell>
          <cell r="N7">
            <v>0</v>
          </cell>
          <cell r="O7">
            <v>7</v>
          </cell>
          <cell r="P7" t="str">
            <v>בינוני</v>
          </cell>
        </row>
        <row r="8">
          <cell r="A8" t="str">
            <v>יובלים אשדוד בע"מ</v>
          </cell>
          <cell r="B8" t="str">
            <v xml:space="preserve">חזק </v>
          </cell>
          <cell r="C8">
            <v>7.0000000000000007E-2</v>
          </cell>
          <cell r="D8">
            <v>1.4999999999999999E-2</v>
          </cell>
          <cell r="E8">
            <v>15807.188</v>
          </cell>
          <cell r="F8">
            <v>10043.599</v>
          </cell>
          <cell r="G8">
            <v>0.63538176429609117</v>
          </cell>
          <cell r="H8">
            <v>6.9531022816164467E-2</v>
          </cell>
          <cell r="I8">
            <v>1.4999999999999999E-2</v>
          </cell>
          <cell r="J8">
            <v>2008</v>
          </cell>
          <cell r="K8">
            <v>5</v>
          </cell>
          <cell r="L8">
            <v>391.67</v>
          </cell>
          <cell r="M8">
            <v>2.3448859191776791E-2</v>
          </cell>
          <cell r="N8">
            <v>4.6897718383553586E-4</v>
          </cell>
          <cell r="O8">
            <v>1</v>
          </cell>
          <cell r="P8" t="str">
            <v xml:space="preserve">חזק </v>
          </cell>
        </row>
        <row r="9">
          <cell r="A9" t="str">
            <v>יובלים בשומרון בע"מ</v>
          </cell>
          <cell r="B9" t="str">
            <v xml:space="preserve">חזק </v>
          </cell>
          <cell r="C9">
            <v>7.0000000000000007E-2</v>
          </cell>
          <cell r="D9">
            <v>1.4999999999999999E-2</v>
          </cell>
          <cell r="E9">
            <v>1681.182</v>
          </cell>
          <cell r="F9">
            <v>1078.8219999999999</v>
          </cell>
          <cell r="G9">
            <v>0.64170446745206644</v>
          </cell>
          <cell r="H9">
            <v>7.0000000000000007E-2</v>
          </cell>
          <cell r="I9">
            <v>1.4999999999999999E-2</v>
          </cell>
          <cell r="J9">
            <v>2008</v>
          </cell>
          <cell r="K9">
            <v>5</v>
          </cell>
          <cell r="L9">
            <v>0</v>
          </cell>
          <cell r="M9">
            <v>0</v>
          </cell>
          <cell r="N9">
            <v>0</v>
          </cell>
          <cell r="O9">
            <v>2</v>
          </cell>
          <cell r="P9" t="str">
            <v xml:space="preserve">חזק </v>
          </cell>
        </row>
        <row r="10">
          <cell r="A10" t="str">
            <v>ימים</v>
          </cell>
          <cell r="B10" t="str">
            <v xml:space="preserve">חזק </v>
          </cell>
          <cell r="C10">
            <v>7.0000000000000007E-2</v>
          </cell>
          <cell r="D10">
            <v>1.4999999999999999E-2</v>
          </cell>
          <cell r="E10">
            <v>2401.7710000000002</v>
          </cell>
          <cell r="F10">
            <v>1905.0989999999999</v>
          </cell>
          <cell r="G10">
            <v>0.79320593012406249</v>
          </cell>
          <cell r="H10">
            <v>7.0000000000000007E-2</v>
          </cell>
          <cell r="I10">
            <v>1.4999999999999999E-2</v>
          </cell>
          <cell r="J10">
            <v>2010</v>
          </cell>
          <cell r="K10">
            <v>5</v>
          </cell>
          <cell r="L10">
            <v>0</v>
          </cell>
          <cell r="M10">
            <v>0</v>
          </cell>
          <cell r="N10">
            <v>0</v>
          </cell>
          <cell r="O10">
            <v>1</v>
          </cell>
          <cell r="P10" t="str">
            <v xml:space="preserve">חזק </v>
          </cell>
        </row>
        <row r="11">
          <cell r="A11" t="str">
            <v>כפרי גליל תחתון בע"מ</v>
          </cell>
          <cell r="B11" t="str">
            <v>חלש</v>
          </cell>
          <cell r="C11">
            <v>0.12659999999999999</v>
          </cell>
          <cell r="D11">
            <v>6.6699999999999995E-2</v>
          </cell>
          <cell r="E11">
            <v>3617.6329999999998</v>
          </cell>
          <cell r="F11">
            <v>2966.4059999999999</v>
          </cell>
          <cell r="G11">
            <v>0.8199853329511313</v>
          </cell>
          <cell r="H11">
            <v>0.11641116984503402</v>
          </cell>
          <cell r="I11">
            <v>5.7393241713573483E-2</v>
          </cell>
          <cell r="J11">
            <v>2009</v>
          </cell>
          <cell r="K11">
            <v>2</v>
          </cell>
          <cell r="L11">
            <v>0</v>
          </cell>
          <cell r="M11">
            <v>0</v>
          </cell>
          <cell r="N11">
            <v>0</v>
          </cell>
          <cell r="O11">
            <v>7</v>
          </cell>
          <cell r="P11" t="str">
            <v>חלש רב רשותי</v>
          </cell>
        </row>
        <row r="12">
          <cell r="A12" t="str">
            <v>מי אביבים 2010 בע"מ</v>
          </cell>
          <cell r="B12" t="str">
            <v>חזק מאוד</v>
          </cell>
          <cell r="C12">
            <v>7.0000000000000007E-2</v>
          </cell>
          <cell r="D12">
            <v>1.4999999999999999E-2</v>
          </cell>
          <cell r="E12">
            <v>40792.982000000004</v>
          </cell>
          <cell r="F12">
            <v>26159.823</v>
          </cell>
          <cell r="G12">
            <v>0.64128243921956962</v>
          </cell>
          <cell r="H12">
            <v>6.8036139453402297E-2</v>
          </cell>
          <cell r="I12">
            <v>1.4999999999999999E-2</v>
          </cell>
          <cell r="J12">
            <v>2010</v>
          </cell>
          <cell r="K12">
            <v>8</v>
          </cell>
          <cell r="L12">
            <v>4508.1279999999997</v>
          </cell>
          <cell r="M12">
            <v>9.8193027329885246E-2</v>
          </cell>
          <cell r="N12">
            <v>1.963860546597705E-3</v>
          </cell>
          <cell r="O12">
            <v>1</v>
          </cell>
          <cell r="P12" t="str">
            <v>חזק מאוד</v>
          </cell>
        </row>
        <row r="13">
          <cell r="A13" t="str">
            <v>מי אונו</v>
          </cell>
          <cell r="B13" t="str">
            <v>חזק מאוד</v>
          </cell>
          <cell r="C13">
            <v>7.0000000000000007E-2</v>
          </cell>
          <cell r="D13">
            <v>1.4999999999999999E-2</v>
          </cell>
          <cell r="E13">
            <v>2359.933</v>
          </cell>
          <cell r="F13">
            <v>1985.7139999999999</v>
          </cell>
          <cell r="G13">
            <v>0.84142812528999766</v>
          </cell>
          <cell r="H13">
            <v>5.3782048215775938E-2</v>
          </cell>
          <cell r="I13">
            <v>1.4999999999999999E-2</v>
          </cell>
          <cell r="J13">
            <v>2010</v>
          </cell>
          <cell r="K13">
            <v>8</v>
          </cell>
          <cell r="L13">
            <v>2051.2359999999999</v>
          </cell>
          <cell r="M13">
            <v>0.81089758921120325</v>
          </cell>
          <cell r="N13">
            <v>1.6217951784224065E-2</v>
          </cell>
          <cell r="O13">
            <v>1</v>
          </cell>
          <cell r="P13" t="str">
            <v>חזק מאוד</v>
          </cell>
        </row>
        <row r="14">
          <cell r="A14" t="str">
            <v>מי אשקלון</v>
          </cell>
          <cell r="B14" t="str">
            <v>בינוני</v>
          </cell>
          <cell r="C14">
            <v>8.6300000000000002E-2</v>
          </cell>
          <cell r="D14">
            <v>1.4999999999999999E-2</v>
          </cell>
          <cell r="E14">
            <v>10712.138000000001</v>
          </cell>
          <cell r="F14">
            <v>7132.9110000000001</v>
          </cell>
          <cell r="G14">
            <v>0.66587183622914492</v>
          </cell>
          <cell r="H14">
            <v>8.0853710930535061E-2</v>
          </cell>
          <cell r="I14">
            <v>1.4999999999999999E-2</v>
          </cell>
          <cell r="J14">
            <v>2010</v>
          </cell>
          <cell r="K14">
            <v>5</v>
          </cell>
          <cell r="L14">
            <v>0</v>
          </cell>
          <cell r="M14">
            <v>0</v>
          </cell>
          <cell r="N14">
            <v>0</v>
          </cell>
          <cell r="O14">
            <v>2</v>
          </cell>
          <cell r="P14" t="str">
            <v>בינוני</v>
          </cell>
        </row>
        <row r="15">
          <cell r="A15" t="str">
            <v>מי בית שמש</v>
          </cell>
          <cell r="B15" t="str">
            <v>חלש</v>
          </cell>
          <cell r="C15">
            <v>0.1166</v>
          </cell>
          <cell r="D15">
            <v>6.6699999999999995E-2</v>
          </cell>
          <cell r="E15">
            <v>4609.0339999999997</v>
          </cell>
          <cell r="F15">
            <v>3536.54</v>
          </cell>
          <cell r="G15">
            <v>0.7673061209789297</v>
          </cell>
          <cell r="H15">
            <v>0.10575646523761811</v>
          </cell>
          <cell r="I15">
            <v>5.4669726454610663E-2</v>
          </cell>
          <cell r="J15">
            <v>2010</v>
          </cell>
          <cell r="K15">
            <v>3</v>
          </cell>
          <cell r="L15">
            <v>0</v>
          </cell>
          <cell r="M15">
            <v>0</v>
          </cell>
          <cell r="N15">
            <v>0</v>
          </cell>
          <cell r="O15">
            <v>1</v>
          </cell>
          <cell r="P15" t="str">
            <v>חלש</v>
          </cell>
        </row>
        <row r="16">
          <cell r="A16" t="str">
            <v>מי ברק בע"מ</v>
          </cell>
          <cell r="B16" t="str">
            <v>חלש</v>
          </cell>
          <cell r="C16">
            <v>0.1166</v>
          </cell>
          <cell r="D16">
            <v>6.6699999999999995E-2</v>
          </cell>
          <cell r="E16">
            <v>10032.25</v>
          </cell>
          <cell r="F16">
            <v>6967.4480000000003</v>
          </cell>
          <cell r="G16">
            <v>0.69450502130628722</v>
          </cell>
          <cell r="H16">
            <v>9.5446780902103331E-2</v>
          </cell>
          <cell r="I16">
            <v>5.0905909601535043E-2</v>
          </cell>
          <cell r="J16">
            <v>2009</v>
          </cell>
          <cell r="K16">
            <v>3</v>
          </cell>
          <cell r="L16">
            <v>3597.9430000000002</v>
          </cell>
          <cell r="M16">
            <v>0.34585765453848277</v>
          </cell>
          <cell r="N16">
            <v>6.9171530907696554E-3</v>
          </cell>
          <cell r="O16">
            <v>1</v>
          </cell>
          <cell r="P16" t="str">
            <v>חלש</v>
          </cell>
        </row>
        <row r="17">
          <cell r="A17" t="str">
            <v>מי בת ים</v>
          </cell>
          <cell r="B17" t="str">
            <v xml:space="preserve">חזק </v>
          </cell>
          <cell r="C17">
            <v>7.0000000000000007E-2</v>
          </cell>
          <cell r="D17">
            <v>1.4999999999999999E-2</v>
          </cell>
          <cell r="E17">
            <v>8077.2719999999999</v>
          </cell>
          <cell r="F17">
            <v>6382.91</v>
          </cell>
          <cell r="G17">
            <v>0.79023090964375098</v>
          </cell>
          <cell r="H17">
            <v>5.3841113999528317E-2</v>
          </cell>
          <cell r="I17">
            <v>1.4999999999999999E-2</v>
          </cell>
          <cell r="J17">
            <v>2009</v>
          </cell>
          <cell r="K17">
            <v>5</v>
          </cell>
          <cell r="L17">
            <v>7351.6289999999999</v>
          </cell>
          <cell r="M17">
            <v>0.80794430002358453</v>
          </cell>
          <cell r="N17">
            <v>1.6158886000471689E-2</v>
          </cell>
          <cell r="O17">
            <v>1</v>
          </cell>
          <cell r="P17" t="str">
            <v xml:space="preserve">חזק </v>
          </cell>
        </row>
        <row r="18">
          <cell r="A18" t="str">
            <v>מי גבעתיים</v>
          </cell>
          <cell r="B18" t="str">
            <v>חזק מאוד</v>
          </cell>
          <cell r="C18">
            <v>7.0000000000000007E-2</v>
          </cell>
          <cell r="D18">
            <v>1.4999999999999999E-2</v>
          </cell>
          <cell r="E18">
            <v>3557.1880000000001</v>
          </cell>
          <cell r="F18">
            <v>3005.6030000000001</v>
          </cell>
          <cell r="G18">
            <v>0.84493791163132226</v>
          </cell>
          <cell r="H18">
            <v>5.9637820169545989E-2</v>
          </cell>
          <cell r="I18">
            <v>1.4999999999999999E-2</v>
          </cell>
          <cell r="J18">
            <v>2010</v>
          </cell>
          <cell r="K18">
            <v>8</v>
          </cell>
          <cell r="L18">
            <v>1910.83</v>
          </cell>
          <cell r="M18">
            <v>0.51810899152270073</v>
          </cell>
          <cell r="N18">
            <v>1.0362179830454015E-2</v>
          </cell>
          <cell r="O18">
            <v>1</v>
          </cell>
          <cell r="P18" t="str">
            <v>חזק מאוד</v>
          </cell>
        </row>
        <row r="19">
          <cell r="A19" t="str">
            <v>מי גליל</v>
          </cell>
          <cell r="B19" t="str">
            <v>חלש</v>
          </cell>
          <cell r="C19">
            <v>0.12659999999999999</v>
          </cell>
          <cell r="D19">
            <v>6.6699999999999995E-2</v>
          </cell>
          <cell r="E19">
            <v>5345.0169999999998</v>
          </cell>
          <cell r="F19">
            <v>4461.5649999999996</v>
          </cell>
          <cell r="G19">
            <v>0.83471483813802649</v>
          </cell>
          <cell r="H19">
            <v>0.1172448598386123</v>
          </cell>
          <cell r="I19">
            <v>5.8154757131735964E-2</v>
          </cell>
          <cell r="J19">
            <v>2010</v>
          </cell>
          <cell r="K19">
            <v>2</v>
          </cell>
          <cell r="L19">
            <v>0</v>
          </cell>
          <cell r="M19">
            <v>0</v>
          </cell>
          <cell r="N19">
            <v>0</v>
          </cell>
          <cell r="O19">
            <v>7</v>
          </cell>
          <cell r="P19" t="str">
            <v>חלש רב רשותי</v>
          </cell>
        </row>
        <row r="20">
          <cell r="A20" t="str">
            <v>מעיינות הדרום</v>
          </cell>
          <cell r="B20" t="str">
            <v>חלש</v>
          </cell>
          <cell r="C20">
            <v>0.12659999999999999</v>
          </cell>
          <cell r="D20">
            <v>6.6699999999999995E-2</v>
          </cell>
          <cell r="E20">
            <v>6113.0460000000003</v>
          </cell>
          <cell r="F20">
            <v>3607.3409999999999</v>
          </cell>
          <cell r="G20">
            <v>0.59010532556110318</v>
          </cell>
          <cell r="H20">
            <v>0.10339996142675845</v>
          </cell>
          <cell r="I20">
            <v>4.550844533150903E-2</v>
          </cell>
          <cell r="J20">
            <v>2010</v>
          </cell>
          <cell r="K20">
            <v>4</v>
          </cell>
          <cell r="L20">
            <v>0</v>
          </cell>
          <cell r="M20">
            <v>0</v>
          </cell>
          <cell r="N20">
            <v>0</v>
          </cell>
          <cell r="O20">
            <v>4</v>
          </cell>
          <cell r="P20" t="str">
            <v>חלש רב רשותי</v>
          </cell>
        </row>
        <row r="21">
          <cell r="A21" t="str">
            <v>מי הוד השרון</v>
          </cell>
          <cell r="B21" t="str">
            <v>חזק מאוד</v>
          </cell>
          <cell r="C21">
            <v>7.0000000000000007E-2</v>
          </cell>
          <cell r="D21">
            <v>1.4999999999999999E-2</v>
          </cell>
          <cell r="E21">
            <v>4300.1450000000004</v>
          </cell>
          <cell r="F21">
            <v>2991.0940000000001</v>
          </cell>
          <cell r="G21">
            <v>0.69557980021603916</v>
          </cell>
          <cell r="H21">
            <v>6.983190918864772E-2</v>
          </cell>
          <cell r="I21">
            <v>1.4999999999999999E-2</v>
          </cell>
          <cell r="J21">
            <v>2010</v>
          </cell>
          <cell r="K21">
            <v>8</v>
          </cell>
          <cell r="L21">
            <v>38.93</v>
          </cell>
          <cell r="M21">
            <v>8.4045405676141278E-3</v>
          </cell>
          <cell r="N21">
            <v>1.6809081135228256E-4</v>
          </cell>
          <cell r="O21">
            <v>1</v>
          </cell>
          <cell r="P21" t="str">
            <v>חזק מאוד</v>
          </cell>
        </row>
        <row r="22">
          <cell r="A22" t="str">
            <v>מי הרצליה</v>
          </cell>
          <cell r="B22" t="str">
            <v>חזק מאוד</v>
          </cell>
          <cell r="C22">
            <v>7.0000000000000007E-2</v>
          </cell>
          <cell r="D22">
            <v>1.4999999999999999E-2</v>
          </cell>
          <cell r="E22">
            <v>9488.2099999999991</v>
          </cell>
          <cell r="F22">
            <v>6583.5969999999998</v>
          </cell>
          <cell r="G22">
            <v>0.69387134138051332</v>
          </cell>
          <cell r="H22">
            <v>6.3753457264698415E-2</v>
          </cell>
          <cell r="I22">
            <v>1.4999999999999999E-2</v>
          </cell>
          <cell r="J22">
            <v>2010</v>
          </cell>
          <cell r="K22">
            <v>8</v>
          </cell>
          <cell r="L22">
            <v>3114.45</v>
          </cell>
          <cell r="M22">
            <v>0.31232713676507928</v>
          </cell>
          <cell r="N22">
            <v>6.246542735301586E-3</v>
          </cell>
          <cell r="O22">
            <v>1</v>
          </cell>
          <cell r="P22" t="str">
            <v>חזק מאוד</v>
          </cell>
        </row>
        <row r="23">
          <cell r="A23" t="str">
            <v>נווה מדבר</v>
          </cell>
          <cell r="B23" t="str">
            <v>חלש</v>
          </cell>
          <cell r="C23">
            <v>0.12659999999999999</v>
          </cell>
          <cell r="D23">
            <v>6.6699999999999995E-2</v>
          </cell>
          <cell r="E23">
            <v>2666.5469999999996</v>
          </cell>
          <cell r="F23">
            <v>2494.9189999999999</v>
          </cell>
          <cell r="G23">
            <v>0.93563661169294987</v>
          </cell>
          <cell r="H23">
            <v>0.12295703222182096</v>
          </cell>
          <cell r="I23">
            <v>6.3372412824525506E-2</v>
          </cell>
          <cell r="J23">
            <v>2011</v>
          </cell>
          <cell r="K23">
            <v>2</v>
          </cell>
          <cell r="L23">
            <v>0</v>
          </cell>
          <cell r="M23">
            <v>0</v>
          </cell>
          <cell r="N23">
            <v>0</v>
          </cell>
          <cell r="O23">
            <v>6</v>
          </cell>
          <cell r="P23" t="str">
            <v>חלש רב רשותי</v>
          </cell>
        </row>
        <row r="24">
          <cell r="A24" t="str">
            <v>מי חדרה בע"מ</v>
          </cell>
          <cell r="B24" t="str">
            <v xml:space="preserve">חזק </v>
          </cell>
          <cell r="C24">
            <v>7.0000000000000007E-2</v>
          </cell>
          <cell r="D24">
            <v>1.4999999999999999E-2</v>
          </cell>
          <cell r="E24">
            <v>6041.268</v>
          </cell>
          <cell r="F24">
            <v>4223.9350000000004</v>
          </cell>
          <cell r="G24">
            <v>0.69918020521519664</v>
          </cell>
          <cell r="H24">
            <v>6.3866638299035189E-2</v>
          </cell>
          <cell r="I24">
            <v>1.4999999999999999E-2</v>
          </cell>
          <cell r="J24">
            <v>2009</v>
          </cell>
          <cell r="K24">
            <v>5</v>
          </cell>
          <cell r="L24">
            <v>2199.5749999999998</v>
          </cell>
          <cell r="M24">
            <v>0.30666808504824122</v>
          </cell>
          <cell r="N24">
            <v>6.1333617009648247E-3</v>
          </cell>
          <cell r="O24">
            <v>1</v>
          </cell>
          <cell r="P24" t="str">
            <v xml:space="preserve">חזק </v>
          </cell>
        </row>
        <row r="25">
          <cell r="A25" t="str">
            <v>מי יבנה</v>
          </cell>
          <cell r="B25" t="str">
            <v xml:space="preserve">חזק </v>
          </cell>
          <cell r="C25">
            <v>7.0000000000000007E-2</v>
          </cell>
          <cell r="D25">
            <v>1.4999999999999999E-2</v>
          </cell>
          <cell r="E25">
            <v>4395.6959999999999</v>
          </cell>
          <cell r="F25">
            <v>2942.2220000000002</v>
          </cell>
          <cell r="G25">
            <v>0.66934155592197464</v>
          </cell>
          <cell r="H25">
            <v>6.8096176771516817E-2</v>
          </cell>
          <cell r="I25">
            <v>1.4999999999999999E-2</v>
          </cell>
          <cell r="J25">
            <v>2009</v>
          </cell>
          <cell r="K25">
            <v>5</v>
          </cell>
          <cell r="L25">
            <v>507.05</v>
          </cell>
          <cell r="M25">
            <v>9.5191161424159662E-2</v>
          </cell>
          <cell r="N25">
            <v>1.9038232284831933E-3</v>
          </cell>
          <cell r="O25">
            <v>2</v>
          </cell>
          <cell r="P25" t="str">
            <v xml:space="preserve">חזק </v>
          </cell>
        </row>
        <row r="26">
          <cell r="A26" t="str">
            <v>מי כרמל</v>
          </cell>
          <cell r="B26" t="str">
            <v>חזק מאוד</v>
          </cell>
          <cell r="C26">
            <v>7.0000000000000007E-2</v>
          </cell>
          <cell r="D26">
            <v>1.4999999999999999E-2</v>
          </cell>
          <cell r="E26">
            <v>20427.754999999997</v>
          </cell>
          <cell r="F26">
            <v>10871.842000000001</v>
          </cell>
          <cell r="G26">
            <v>0.53220933969493966</v>
          </cell>
          <cell r="H26">
            <v>7.0000000000000007E-2</v>
          </cell>
          <cell r="I26">
            <v>1.4999999999999999E-2</v>
          </cell>
          <cell r="J26">
            <v>2010</v>
          </cell>
          <cell r="K26">
            <v>7</v>
          </cell>
          <cell r="L26">
            <v>0</v>
          </cell>
          <cell r="M26">
            <v>0</v>
          </cell>
          <cell r="N26">
            <v>0</v>
          </cell>
          <cell r="O26">
            <v>1</v>
          </cell>
          <cell r="P26" t="str">
            <v>חזק מאוד</v>
          </cell>
        </row>
        <row r="27">
          <cell r="A27" t="str">
            <v>מי לוד בע"מ</v>
          </cell>
          <cell r="B27" t="str">
            <v>חלש</v>
          </cell>
          <cell r="C27">
            <v>0.1166</v>
          </cell>
          <cell r="D27">
            <v>6.6699999999999995E-2</v>
          </cell>
          <cell r="E27">
            <v>4238.5389999999998</v>
          </cell>
          <cell r="F27">
            <v>3239.0030000000002</v>
          </cell>
          <cell r="G27">
            <v>0.76417911926727589</v>
          </cell>
          <cell r="H27">
            <v>0.10561074695785505</v>
          </cell>
          <cell r="I27">
            <v>5.4508060466118162E-2</v>
          </cell>
          <cell r="J27">
            <v>2009</v>
          </cell>
          <cell r="K27">
            <v>4</v>
          </cell>
          <cell r="L27">
            <v>0</v>
          </cell>
          <cell r="M27">
            <v>0</v>
          </cell>
          <cell r="N27">
            <v>0</v>
          </cell>
          <cell r="O27">
            <v>1</v>
          </cell>
          <cell r="P27" t="str">
            <v>חלש</v>
          </cell>
        </row>
        <row r="28">
          <cell r="A28" t="str">
            <v>מי מודיעין</v>
          </cell>
          <cell r="B28" t="str">
            <v>חזק מאוד</v>
          </cell>
          <cell r="C28">
            <v>7.0000000000000007E-2</v>
          </cell>
          <cell r="D28">
            <v>1.4999999999999999E-2</v>
          </cell>
          <cell r="E28">
            <v>5511.0739999999996</v>
          </cell>
          <cell r="F28">
            <v>4216.5550000000003</v>
          </cell>
          <cell r="G28">
            <v>0.7651058577692843</v>
          </cell>
          <cell r="H28">
            <v>7.0000000000000007E-2</v>
          </cell>
          <cell r="I28">
            <v>1.4999999999999999E-2</v>
          </cell>
          <cell r="J28">
            <v>2006</v>
          </cell>
          <cell r="K28">
            <v>8</v>
          </cell>
          <cell r="L28">
            <v>0</v>
          </cell>
          <cell r="M28">
            <v>0</v>
          </cell>
          <cell r="N28">
            <v>0</v>
          </cell>
          <cell r="O28">
            <v>1</v>
          </cell>
          <cell r="P28" t="str">
            <v>חזק מאוד</v>
          </cell>
        </row>
        <row r="29">
          <cell r="A29" t="str">
            <v>מי נע חברת המים והביוב של עיריית נצרת עילית בע"מ</v>
          </cell>
          <cell r="B29" t="str">
            <v xml:space="preserve">חזק </v>
          </cell>
          <cell r="C29">
            <v>7.0000000000000007E-2</v>
          </cell>
          <cell r="D29">
            <v>1.4999999999999999E-2</v>
          </cell>
          <cell r="E29">
            <v>8342.0310000000009</v>
          </cell>
          <cell r="F29">
            <v>4892.3379999999997</v>
          </cell>
          <cell r="G29">
            <v>0.58646845114816759</v>
          </cell>
          <cell r="H29">
            <v>7.0000000000000007E-2</v>
          </cell>
          <cell r="I29">
            <v>1.4999999999999999E-2</v>
          </cell>
          <cell r="J29">
            <v>2003</v>
          </cell>
          <cell r="K29">
            <v>5</v>
          </cell>
          <cell r="L29">
            <v>0</v>
          </cell>
          <cell r="M29">
            <v>0</v>
          </cell>
          <cell r="N29">
            <v>0</v>
          </cell>
          <cell r="O29">
            <v>3</v>
          </cell>
          <cell r="P29" t="str">
            <v xml:space="preserve">חזק </v>
          </cell>
        </row>
        <row r="30">
          <cell r="A30" t="str">
            <v>מי נתניה (2003) בע"מ</v>
          </cell>
          <cell r="B30" t="str">
            <v xml:space="preserve">חזק </v>
          </cell>
          <cell r="C30">
            <v>7.0000000000000007E-2</v>
          </cell>
          <cell r="D30">
            <v>1.4999999999999999E-2</v>
          </cell>
          <cell r="E30">
            <v>14608.346000000001</v>
          </cell>
          <cell r="F30">
            <v>10050.778</v>
          </cell>
          <cell r="G30">
            <v>0.68801615186277754</v>
          </cell>
          <cell r="H30">
            <v>6.1630928708435027E-2</v>
          </cell>
          <cell r="I30">
            <v>1.4999999999999999E-2</v>
          </cell>
          <cell r="J30">
            <v>2003</v>
          </cell>
          <cell r="K30">
            <v>5</v>
          </cell>
          <cell r="L30">
            <v>6716.54</v>
          </cell>
          <cell r="M30">
            <v>0.41845356457824906</v>
          </cell>
          <cell r="N30">
            <v>8.369071291564981E-3</v>
          </cell>
          <cell r="O30">
            <v>1</v>
          </cell>
          <cell r="P30" t="str">
            <v xml:space="preserve">חזק </v>
          </cell>
        </row>
        <row r="31">
          <cell r="A31" t="str">
            <v>מי עירון בע"מ</v>
          </cell>
          <cell r="B31" t="str">
            <v>חלש</v>
          </cell>
          <cell r="C31">
            <v>0.12659999999999999</v>
          </cell>
          <cell r="D31">
            <v>6.6699999999999995E-2</v>
          </cell>
          <cell r="E31">
            <v>6654.8140000000003</v>
          </cell>
          <cell r="F31">
            <v>5226.6260000000002</v>
          </cell>
          <cell r="G31">
            <v>0.7853902453171494</v>
          </cell>
          <cell r="H31">
            <v>0.11445308788495065</v>
          </cell>
          <cell r="I31">
            <v>5.560467568289662E-2</v>
          </cell>
          <cell r="J31">
            <v>2009</v>
          </cell>
          <cell r="K31">
            <v>3</v>
          </cell>
          <cell r="L31">
            <v>0</v>
          </cell>
          <cell r="M31">
            <v>0</v>
          </cell>
          <cell r="N31">
            <v>0</v>
          </cell>
          <cell r="O31">
            <v>6</v>
          </cell>
          <cell r="P31" t="str">
            <v>חלש רב רשותי</v>
          </cell>
        </row>
        <row r="32">
          <cell r="A32" t="str">
            <v>מי עכו</v>
          </cell>
          <cell r="B32" t="str">
            <v>חלש</v>
          </cell>
          <cell r="C32">
            <v>0.1166</v>
          </cell>
          <cell r="D32">
            <v>6.6699999999999995E-2</v>
          </cell>
          <cell r="E32">
            <v>3178.8629999999998</v>
          </cell>
          <cell r="F32">
            <v>2008.3150000000001</v>
          </cell>
          <cell r="G32">
            <v>0.63177148559091734</v>
          </cell>
          <cell r="H32">
            <v>9.9440551228536761E-2</v>
          </cell>
          <cell r="I32">
            <v>4.7662585805050423E-2</v>
          </cell>
          <cell r="J32">
            <v>2010</v>
          </cell>
          <cell r="K32">
            <v>4</v>
          </cell>
          <cell r="L32">
            <v>0</v>
          </cell>
          <cell r="M32">
            <v>0</v>
          </cell>
          <cell r="N32">
            <v>0</v>
          </cell>
          <cell r="O32">
            <v>1</v>
          </cell>
          <cell r="P32" t="str">
            <v>חלש</v>
          </cell>
        </row>
        <row r="33">
          <cell r="A33" t="str">
            <v>מי ציונה בע"מ</v>
          </cell>
          <cell r="B33" t="str">
            <v>חזק מאוד</v>
          </cell>
          <cell r="C33">
            <v>7.0000000000000007E-2</v>
          </cell>
          <cell r="D33">
            <v>1.4999999999999999E-2</v>
          </cell>
          <cell r="E33">
            <v>4860.2749999999996</v>
          </cell>
          <cell r="F33">
            <v>3513.07</v>
          </cell>
          <cell r="G33">
            <v>0.72281300955192873</v>
          </cell>
          <cell r="H33">
            <v>6.2126518135800751E-2</v>
          </cell>
          <cell r="I33">
            <v>1.4999999999999999E-2</v>
          </cell>
          <cell r="J33">
            <v>2009</v>
          </cell>
          <cell r="K33">
            <v>7</v>
          </cell>
          <cell r="L33">
            <v>2059.0839999999998</v>
          </cell>
          <cell r="M33">
            <v>0.39367409320996288</v>
          </cell>
          <cell r="N33">
            <v>7.8734818641992572E-3</v>
          </cell>
          <cell r="O33">
            <v>3</v>
          </cell>
          <cell r="P33" t="str">
            <v>חזק מאוד</v>
          </cell>
        </row>
        <row r="34">
          <cell r="A34" t="str">
            <v>מי קריית גת</v>
          </cell>
          <cell r="B34" t="str">
            <v>חלש</v>
          </cell>
          <cell r="C34">
            <v>0.1166</v>
          </cell>
          <cell r="D34">
            <v>6.6699999999999995E-2</v>
          </cell>
          <cell r="E34">
            <v>7039.2910000000002</v>
          </cell>
          <cell r="F34">
            <v>2194.7820000000002</v>
          </cell>
          <cell r="G34">
            <v>0.31179020728081852</v>
          </cell>
          <cell r="H34">
            <v>8.4529423659286146E-2</v>
          </cell>
          <cell r="I34">
            <v>3.1119553716418315E-2</v>
          </cell>
          <cell r="J34">
            <v>2009</v>
          </cell>
          <cell r="K34">
            <v>4</v>
          </cell>
          <cell r="L34">
            <v>0</v>
          </cell>
          <cell r="M34">
            <v>0</v>
          </cell>
          <cell r="N34">
            <v>0</v>
          </cell>
          <cell r="O34">
            <v>1</v>
          </cell>
          <cell r="P34" t="str">
            <v>חלש</v>
          </cell>
        </row>
        <row r="35">
          <cell r="A35" t="str">
            <v>מי רהט</v>
          </cell>
          <cell r="B35" t="str">
            <v>חלש</v>
          </cell>
          <cell r="C35">
            <v>0.1166</v>
          </cell>
          <cell r="D35">
            <v>6.6699999999999995E-2</v>
          </cell>
          <cell r="E35">
            <v>2374.6549999999997</v>
          </cell>
          <cell r="F35">
            <v>2044.508</v>
          </cell>
          <cell r="G35">
            <v>0.86097054098384829</v>
          </cell>
          <cell r="H35">
            <v>0.11012122720984732</v>
          </cell>
          <cell r="I35">
            <v>5.9512176968864954E-2</v>
          </cell>
          <cell r="J35">
            <v>2010</v>
          </cell>
          <cell r="K35">
            <v>2</v>
          </cell>
          <cell r="L35">
            <v>0</v>
          </cell>
          <cell r="M35">
            <v>0</v>
          </cell>
          <cell r="N35">
            <v>0</v>
          </cell>
          <cell r="O35">
            <v>1</v>
          </cell>
          <cell r="P35" t="str">
            <v>חלש</v>
          </cell>
        </row>
        <row r="36">
          <cell r="A36" t="str">
            <v>מי רעננה</v>
          </cell>
          <cell r="B36" t="str">
            <v>חזק מאוד</v>
          </cell>
          <cell r="C36">
            <v>7.0000000000000007E-2</v>
          </cell>
          <cell r="D36">
            <v>1.4999999999999999E-2</v>
          </cell>
          <cell r="E36">
            <v>6149.4900000000007</v>
          </cell>
          <cell r="F36">
            <v>4231.7110000000002</v>
          </cell>
          <cell r="G36">
            <v>0.68814015471201673</v>
          </cell>
          <cell r="H36">
            <v>5.6315729957444216E-2</v>
          </cell>
          <cell r="I36">
            <v>1.4999999999999999E-2</v>
          </cell>
          <cell r="J36">
            <v>2010</v>
          </cell>
          <cell r="K36">
            <v>8</v>
          </cell>
          <cell r="L36">
            <v>4501.6890000000003</v>
          </cell>
          <cell r="M36">
            <v>0.68421350212778964</v>
          </cell>
          <cell r="N36">
            <v>1.3684270042555792E-2</v>
          </cell>
          <cell r="O36">
            <v>1</v>
          </cell>
          <cell r="P36" t="str">
            <v>חזק מאוד</v>
          </cell>
        </row>
        <row r="37">
          <cell r="A37" t="str">
            <v>מי רקת  בע"מ</v>
          </cell>
          <cell r="B37" t="str">
            <v>חלש</v>
          </cell>
          <cell r="C37">
            <v>0.12659999999999999</v>
          </cell>
          <cell r="D37">
            <v>6.6699999999999995E-2</v>
          </cell>
          <cell r="E37">
            <v>4174.7449999999999</v>
          </cell>
          <cell r="F37">
            <v>2328.0320000000002</v>
          </cell>
          <cell r="G37">
            <v>0.55764651493684048</v>
          </cell>
          <cell r="H37">
            <v>8.2602126151108748E-2</v>
          </cell>
          <cell r="I37">
            <v>4.3830324822234652E-2</v>
          </cell>
          <cell r="J37">
            <v>2008</v>
          </cell>
          <cell r="K37">
            <v>4</v>
          </cell>
          <cell r="L37">
            <v>4577.45</v>
          </cell>
          <cell r="M37">
            <v>0.94803332971582099</v>
          </cell>
          <cell r="N37">
            <v>1.896066659431642E-2</v>
          </cell>
          <cell r="O37">
            <v>4</v>
          </cell>
          <cell r="P37" t="str">
            <v>חלש רב רשותי</v>
          </cell>
        </row>
        <row r="38">
          <cell r="A38" t="str">
            <v>מי שבע תאגיד המים והביוב לבאר שבע בע"מ</v>
          </cell>
          <cell r="B38" t="str">
            <v>בינוני</v>
          </cell>
          <cell r="C38">
            <v>8.6300000000000002E-2</v>
          </cell>
          <cell r="D38">
            <v>1.4999999999999999E-2</v>
          </cell>
          <cell r="E38">
            <v>17068.083999999999</v>
          </cell>
          <cell r="F38">
            <v>11219.261</v>
          </cell>
          <cell r="G38">
            <v>0.65732398551589044</v>
          </cell>
          <cell r="H38">
            <v>8.0714380963909024E-2</v>
          </cell>
          <cell r="I38">
            <v>1.4999999999999999E-2</v>
          </cell>
          <cell r="J38">
            <v>2007</v>
          </cell>
          <cell r="K38">
            <v>5</v>
          </cell>
          <cell r="L38">
            <v>0</v>
          </cell>
          <cell r="M38">
            <v>0</v>
          </cell>
          <cell r="N38">
            <v>0</v>
          </cell>
          <cell r="O38">
            <v>2</v>
          </cell>
          <cell r="P38" t="str">
            <v>בינוני</v>
          </cell>
        </row>
        <row r="39">
          <cell r="A39" t="str">
            <v>מי שקמה תאגיד המים והביוב בע"מ</v>
          </cell>
          <cell r="B39" t="str">
            <v xml:space="preserve">חזק </v>
          </cell>
          <cell r="C39">
            <v>7.0000000000000007E-2</v>
          </cell>
          <cell r="D39">
            <v>1.4999999999999999E-2</v>
          </cell>
          <cell r="E39">
            <v>13337.534</v>
          </cell>
          <cell r="F39">
            <v>10480.632</v>
          </cell>
          <cell r="G39">
            <v>0.78579983376237317</v>
          </cell>
          <cell r="H39">
            <v>7.0000000000000007E-2</v>
          </cell>
          <cell r="I39">
            <v>1.4999999999999999E-2</v>
          </cell>
          <cell r="J39">
            <v>2008</v>
          </cell>
          <cell r="K39">
            <v>5</v>
          </cell>
          <cell r="L39">
            <v>0</v>
          </cell>
          <cell r="M39">
            <v>0</v>
          </cell>
          <cell r="N39">
            <v>0</v>
          </cell>
          <cell r="O39">
            <v>4</v>
          </cell>
          <cell r="P39" t="str">
            <v xml:space="preserve">חזק </v>
          </cell>
        </row>
        <row r="40">
          <cell r="A40" t="str">
            <v>מיתב מים תיעול וביוב בע"מ</v>
          </cell>
          <cell r="B40" t="str">
            <v>בינוני</v>
          </cell>
          <cell r="C40">
            <v>8.6300000000000002E-2</v>
          </cell>
          <cell r="D40">
            <v>1.4999999999999999E-2</v>
          </cell>
          <cell r="E40">
            <v>17026.341</v>
          </cell>
          <cell r="F40">
            <v>12527.26</v>
          </cell>
          <cell r="G40">
            <v>0.73575761227852776</v>
          </cell>
          <cell r="H40">
            <v>7.3570993338462343E-2</v>
          </cell>
          <cell r="I40">
            <v>1.4999999999999999E-2</v>
          </cell>
          <cell r="J40">
            <v>2008</v>
          </cell>
          <cell r="K40">
            <v>5</v>
          </cell>
          <cell r="L40">
            <v>7676.1559999999999</v>
          </cell>
          <cell r="M40">
            <v>0.42109278708388304</v>
          </cell>
          <cell r="N40">
            <v>8.4218557416776609E-3</v>
          </cell>
          <cell r="O40">
            <v>3</v>
          </cell>
          <cell r="P40" t="str">
            <v>בינוני</v>
          </cell>
        </row>
        <row r="41">
          <cell r="A41" t="str">
            <v>מניב ראשון בע"מ</v>
          </cell>
          <cell r="B41" t="str">
            <v xml:space="preserve">חזק </v>
          </cell>
          <cell r="C41">
            <v>7.0000000000000007E-2</v>
          </cell>
          <cell r="D41">
            <v>1.4999999999999999E-2</v>
          </cell>
          <cell r="E41">
            <v>17842.671999999999</v>
          </cell>
          <cell r="F41">
            <v>12217.983</v>
          </cell>
          <cell r="G41">
            <v>0.68476195717771426</v>
          </cell>
          <cell r="H41">
            <v>5.960263416105626E-2</v>
          </cell>
          <cell r="I41">
            <v>1.4999999999999999E-2</v>
          </cell>
          <cell r="J41">
            <v>2003</v>
          </cell>
          <cell r="K41">
            <v>6</v>
          </cell>
          <cell r="L41">
            <v>10037.067999999999</v>
          </cell>
          <cell r="M41">
            <v>0.51986829194718742</v>
          </cell>
          <cell r="N41">
            <v>1.0397365838943748E-2</v>
          </cell>
          <cell r="O41">
            <v>1</v>
          </cell>
          <cell r="P41" t="str">
            <v xml:space="preserve">חזק </v>
          </cell>
        </row>
        <row r="42">
          <cell r="A42" t="str">
            <v>מעיינות אתא</v>
          </cell>
          <cell r="B42" t="str">
            <v xml:space="preserve">חזק </v>
          </cell>
          <cell r="C42">
            <v>7.0000000000000007E-2</v>
          </cell>
          <cell r="D42">
            <v>1.4999999999999999E-2</v>
          </cell>
          <cell r="E42">
            <v>3298.9949999999999</v>
          </cell>
          <cell r="F42">
            <v>2611.7550000000001</v>
          </cell>
          <cell r="G42">
            <v>0.791682012249185</v>
          </cell>
          <cell r="H42">
            <v>7.0000000000000007E-2</v>
          </cell>
          <cell r="I42">
            <v>1.4999999999999999E-2</v>
          </cell>
          <cell r="J42">
            <v>2009</v>
          </cell>
          <cell r="K42">
            <v>5</v>
          </cell>
          <cell r="L42">
            <v>0</v>
          </cell>
          <cell r="M42">
            <v>0</v>
          </cell>
          <cell r="N42">
            <v>0</v>
          </cell>
          <cell r="O42">
            <v>1</v>
          </cell>
          <cell r="P42" t="str">
            <v xml:space="preserve">חזק </v>
          </cell>
        </row>
        <row r="43">
          <cell r="A43" t="str">
            <v>מעיינות המשולש</v>
          </cell>
          <cell r="B43" t="str">
            <v>חלש</v>
          </cell>
          <cell r="C43">
            <v>0.12659999999999999</v>
          </cell>
          <cell r="D43">
            <v>6.6699999999999995E-2</v>
          </cell>
          <cell r="E43">
            <v>16811.680999999997</v>
          </cell>
          <cell r="F43">
            <v>12326.591</v>
          </cell>
          <cell r="G43">
            <v>0.73321585152609081</v>
          </cell>
          <cell r="H43">
            <v>0.10265093454418774</v>
          </cell>
          <cell r="I43">
            <v>5.2907259523898888E-2</v>
          </cell>
          <cell r="J43">
            <v>2010</v>
          </cell>
          <cell r="K43">
            <v>3</v>
          </cell>
          <cell r="L43">
            <v>7952.2560000000003</v>
          </cell>
          <cell r="M43">
            <v>0.4424541326094501</v>
          </cell>
          <cell r="N43">
            <v>8.8490826521890019E-3</v>
          </cell>
          <cell r="O43">
            <v>3</v>
          </cell>
          <cell r="P43" t="str">
            <v>חלש רב רשותי</v>
          </cell>
        </row>
        <row r="44">
          <cell r="A44" t="str">
            <v>מעיינות העמקים</v>
          </cell>
          <cell r="B44" t="str">
            <v>חזק מאוד</v>
          </cell>
          <cell r="C44">
            <v>7.0000000000000007E-2</v>
          </cell>
          <cell r="D44">
            <v>1.4999999999999999E-2</v>
          </cell>
          <cell r="E44">
            <v>3031.9669999999996</v>
          </cell>
          <cell r="F44">
            <v>2279.6390000000001</v>
          </cell>
          <cell r="G44">
            <v>0.75186801175606477</v>
          </cell>
          <cell r="H44">
            <v>7.0000000000000007E-2</v>
          </cell>
          <cell r="I44">
            <v>1.4999999999999999E-2</v>
          </cell>
          <cell r="J44">
            <v>2010</v>
          </cell>
          <cell r="K44">
            <v>7</v>
          </cell>
          <cell r="L44">
            <v>0</v>
          </cell>
          <cell r="M44">
            <v>0</v>
          </cell>
          <cell r="N44">
            <v>0</v>
          </cell>
          <cell r="O44">
            <v>3</v>
          </cell>
          <cell r="P44" t="str">
            <v>חזק מאוד</v>
          </cell>
        </row>
        <row r="45">
          <cell r="A45" t="str">
            <v>מעיינות השרון</v>
          </cell>
          <cell r="B45" t="str">
            <v>חזק מאוד</v>
          </cell>
          <cell r="C45">
            <v>7.0000000000000007E-2</v>
          </cell>
          <cell r="D45">
            <v>1.4999999999999999E-2</v>
          </cell>
          <cell r="E45">
            <v>5219.1939999999995</v>
          </cell>
          <cell r="F45">
            <v>3728.4630000000002</v>
          </cell>
          <cell r="G45">
            <v>0.71437524644609884</v>
          </cell>
          <cell r="H45">
            <v>6.3558735485943513E-2</v>
          </cell>
          <cell r="I45">
            <v>1.4999999999999999E-2</v>
          </cell>
          <cell r="J45">
            <v>2010</v>
          </cell>
          <cell r="K45">
            <v>7</v>
          </cell>
          <cell r="L45">
            <v>1904.8510000000001</v>
          </cell>
          <cell r="M45">
            <v>0.32206322570282486</v>
          </cell>
          <cell r="N45">
            <v>6.4412645140564974E-3</v>
          </cell>
          <cell r="O45">
            <v>5</v>
          </cell>
          <cell r="P45" t="str">
            <v>חזק מאוד</v>
          </cell>
        </row>
        <row r="46">
          <cell r="A46" t="str">
            <v>מעיינות זיו</v>
          </cell>
          <cell r="B46" t="str">
            <v>בינוני</v>
          </cell>
          <cell r="C46">
            <v>8.6300000000000002E-2</v>
          </cell>
          <cell r="D46">
            <v>1.4999999999999999E-2</v>
          </cell>
          <cell r="E46">
            <v>2956.7750000000001</v>
          </cell>
          <cell r="F46">
            <v>1828.896</v>
          </cell>
          <cell r="G46">
            <v>0.61854419088364854</v>
          </cell>
          <cell r="H46">
            <v>8.008227031140347E-2</v>
          </cell>
          <cell r="I46">
            <v>1.4999999999999999E-2</v>
          </cell>
          <cell r="J46">
            <v>2009</v>
          </cell>
          <cell r="K46">
            <v>5</v>
          </cell>
          <cell r="L46">
            <v>0</v>
          </cell>
          <cell r="M46">
            <v>0</v>
          </cell>
          <cell r="N46">
            <v>0</v>
          </cell>
          <cell r="O46">
            <v>4</v>
          </cell>
          <cell r="P46" t="str">
            <v>בינוני</v>
          </cell>
        </row>
        <row r="47">
          <cell r="A47" t="str">
            <v>סובב שפרעם</v>
          </cell>
          <cell r="B47" t="str">
            <v>חלש</v>
          </cell>
          <cell r="C47">
            <v>0.12659999999999999</v>
          </cell>
          <cell r="D47">
            <v>6.6699999999999995E-2</v>
          </cell>
          <cell r="E47">
            <v>7944.1469999999999</v>
          </cell>
          <cell r="F47">
            <v>6636.3389999999999</v>
          </cell>
          <cell r="G47">
            <v>0.83537464752351642</v>
          </cell>
          <cell r="H47">
            <v>0.11728220504983103</v>
          </cell>
          <cell r="I47">
            <v>5.8188869276965795E-2</v>
          </cell>
          <cell r="J47">
            <v>2010</v>
          </cell>
          <cell r="K47">
            <v>3</v>
          </cell>
          <cell r="L47">
            <v>0</v>
          </cell>
          <cell r="M47">
            <v>0</v>
          </cell>
          <cell r="N47">
            <v>0</v>
          </cell>
          <cell r="O47">
            <v>10</v>
          </cell>
          <cell r="P47" t="str">
            <v>חלש רב רשותי</v>
          </cell>
        </row>
        <row r="48">
          <cell r="A48" t="str">
            <v>עין אפק</v>
          </cell>
          <cell r="B48" t="str">
            <v xml:space="preserve">חזק </v>
          </cell>
          <cell r="C48">
            <v>7.0000000000000007E-2</v>
          </cell>
          <cell r="D48">
            <v>1.4999999999999999E-2</v>
          </cell>
          <cell r="E48">
            <v>3007.3270000000002</v>
          </cell>
          <cell r="F48">
            <v>2339.5070000000001</v>
          </cell>
          <cell r="G48">
            <v>0.77793568840368865</v>
          </cell>
          <cell r="H48">
            <v>7.0000000000000007E-2</v>
          </cell>
          <cell r="I48">
            <v>1.4999999999999999E-2</v>
          </cell>
          <cell r="J48">
            <v>2009</v>
          </cell>
          <cell r="K48">
            <v>6</v>
          </cell>
          <cell r="L48">
            <v>0</v>
          </cell>
          <cell r="M48">
            <v>0</v>
          </cell>
          <cell r="N48">
            <v>0</v>
          </cell>
          <cell r="O48">
            <v>1</v>
          </cell>
          <cell r="P48" t="str">
            <v xml:space="preserve">חזק </v>
          </cell>
        </row>
        <row r="49">
          <cell r="A49" t="str">
            <v>עין כרמים</v>
          </cell>
          <cell r="B49" t="str">
            <v xml:space="preserve">חזק </v>
          </cell>
          <cell r="C49">
            <v>7.0000000000000007E-2</v>
          </cell>
          <cell r="D49">
            <v>1.4999999999999999E-2</v>
          </cell>
          <cell r="E49">
            <v>3581.7649999999999</v>
          </cell>
          <cell r="F49">
            <v>2034.905</v>
          </cell>
          <cell r="G49">
            <v>0.56812912069887334</v>
          </cell>
          <cell r="H49">
            <v>7.0000000000000007E-2</v>
          </cell>
          <cell r="I49">
            <v>1.4999999999999999E-2</v>
          </cell>
          <cell r="J49">
            <v>2010</v>
          </cell>
          <cell r="K49">
            <v>5</v>
          </cell>
          <cell r="L49">
            <v>0</v>
          </cell>
          <cell r="M49">
            <v>0</v>
          </cell>
          <cell r="N49">
            <v>0</v>
          </cell>
          <cell r="O49">
            <v>1</v>
          </cell>
          <cell r="P49" t="str">
            <v xml:space="preserve">חזק </v>
          </cell>
        </row>
        <row r="50">
          <cell r="A50" t="str">
            <v>עין נטפים מפעלי מים וביוב אילת בע"מ</v>
          </cell>
          <cell r="B50" t="str">
            <v xml:space="preserve">חזק </v>
          </cell>
          <cell r="C50">
            <v>7.0000000000000007E-2</v>
          </cell>
          <cell r="D50">
            <v>1.4999999999999999E-2</v>
          </cell>
          <cell r="E50">
            <v>10100.419</v>
          </cell>
          <cell r="F50">
            <v>3556.625</v>
          </cell>
          <cell r="G50">
            <v>0.35212648108954686</v>
          </cell>
          <cell r="H50">
            <v>7.0000000000000007E-2</v>
          </cell>
          <cell r="I50">
            <v>1.4999999999999999E-2</v>
          </cell>
          <cell r="J50">
            <v>2006</v>
          </cell>
          <cell r="K50">
            <v>5</v>
          </cell>
          <cell r="L50">
            <v>0</v>
          </cell>
          <cell r="M50">
            <v>0</v>
          </cell>
          <cell r="N50">
            <v>0</v>
          </cell>
          <cell r="O50">
            <v>1</v>
          </cell>
          <cell r="P50" t="str">
            <v xml:space="preserve">חזק </v>
          </cell>
        </row>
        <row r="51">
          <cell r="A51" t="str">
            <v>פלג הגליל החברה האזורית למים וביוב בע"מ</v>
          </cell>
          <cell r="B51" t="str">
            <v>חלש</v>
          </cell>
          <cell r="C51">
            <v>0.12659999999999999</v>
          </cell>
          <cell r="D51">
            <v>6.6699999999999995E-2</v>
          </cell>
          <cell r="E51">
            <v>7152.9789999999994</v>
          </cell>
          <cell r="F51">
            <v>5220.4719999999998</v>
          </cell>
          <cell r="G51">
            <v>0.72983186445815096</v>
          </cell>
          <cell r="H51">
            <v>0.11130848352833134</v>
          </cell>
          <cell r="I51">
            <v>5.2732307392486397E-2</v>
          </cell>
          <cell r="J51">
            <v>2008</v>
          </cell>
          <cell r="K51">
            <v>3</v>
          </cell>
          <cell r="L51">
            <v>0</v>
          </cell>
          <cell r="M51">
            <v>0</v>
          </cell>
          <cell r="N51">
            <v>0</v>
          </cell>
          <cell r="O51">
            <v>13</v>
          </cell>
          <cell r="P51" t="str">
            <v>חלש רב רשותי</v>
          </cell>
        </row>
        <row r="52">
          <cell r="A52" t="str">
            <v>פלגי מוצקין</v>
          </cell>
          <cell r="B52" t="str">
            <v>בינוני</v>
          </cell>
          <cell r="C52">
            <v>8.6300000000000002E-2</v>
          </cell>
          <cell r="D52">
            <v>1.4999999999999999E-2</v>
          </cell>
          <cell r="E52">
            <v>2346.89</v>
          </cell>
          <cell r="F52">
            <v>1894.4659999999999</v>
          </cell>
          <cell r="G52">
            <v>0.80722402839502494</v>
          </cell>
          <cell r="H52">
            <v>8.3157751662838911E-2</v>
          </cell>
          <cell r="I52">
            <v>1.4999999999999999E-2</v>
          </cell>
          <cell r="J52">
            <v>2009</v>
          </cell>
          <cell r="K52">
            <v>5</v>
          </cell>
          <cell r="L52">
            <v>0</v>
          </cell>
          <cell r="M52">
            <v>0</v>
          </cell>
          <cell r="N52">
            <v>0</v>
          </cell>
          <cell r="O52">
            <v>2</v>
          </cell>
          <cell r="P52" t="str">
            <v>בינוני</v>
          </cell>
        </row>
        <row r="53">
          <cell r="A53" t="str">
            <v>פלגי השרון</v>
          </cell>
          <cell r="B53" t="str">
            <v>חזק מאוד</v>
          </cell>
          <cell r="C53">
            <v>7.0000000000000007E-2</v>
          </cell>
          <cell r="D53">
            <v>1.4999999999999999E-2</v>
          </cell>
          <cell r="E53">
            <v>881.07800000000009</v>
          </cell>
          <cell r="F53">
            <v>743.74699999999996</v>
          </cell>
          <cell r="G53">
            <v>0.8441329825509204</v>
          </cell>
          <cell r="H53">
            <v>7.0000000000000007E-2</v>
          </cell>
          <cell r="I53">
            <v>1.4999999999999999E-2</v>
          </cell>
          <cell r="J53">
            <v>2011</v>
          </cell>
          <cell r="K53">
            <v>8</v>
          </cell>
          <cell r="L53">
            <v>0</v>
          </cell>
          <cell r="M53">
            <v>0</v>
          </cell>
          <cell r="N53">
            <v>0</v>
          </cell>
          <cell r="O53">
            <v>2</v>
          </cell>
          <cell r="P53" t="str">
            <v>חזק מאוד</v>
          </cell>
        </row>
        <row r="54">
          <cell r="A54" t="str">
            <v>שרונים</v>
          </cell>
          <cell r="B54" t="str">
            <v>חזק מאוד</v>
          </cell>
          <cell r="C54">
            <v>7.0000000000000007E-2</v>
          </cell>
          <cell r="D54">
            <v>1.4999999999999999E-2</v>
          </cell>
          <cell r="E54">
            <v>5044.6869999999999</v>
          </cell>
          <cell r="F54">
            <v>3039.893</v>
          </cell>
          <cell r="G54">
            <v>0.60259298545182294</v>
          </cell>
          <cell r="H54">
            <v>7.0000000000000007E-2</v>
          </cell>
          <cell r="I54">
            <v>1.4999999999999999E-2</v>
          </cell>
          <cell r="J54">
            <v>2009</v>
          </cell>
          <cell r="K54">
            <v>9</v>
          </cell>
          <cell r="L54">
            <v>0</v>
          </cell>
          <cell r="M54">
            <v>0</v>
          </cell>
          <cell r="N54">
            <v>0</v>
          </cell>
          <cell r="O54">
            <v>1</v>
          </cell>
          <cell r="P54" t="str">
            <v>חזק מאוד</v>
          </cell>
        </row>
        <row r="55">
          <cell r="A55" t="str">
            <v>תמ"ר תאגיד מים רמלה בע"מ</v>
          </cell>
          <cell r="B55" t="str">
            <v>חלש</v>
          </cell>
          <cell r="C55">
            <v>0.1166</v>
          </cell>
          <cell r="D55">
            <v>6.6699999999999995E-2</v>
          </cell>
          <cell r="E55">
            <v>3693.9809999999998</v>
          </cell>
          <cell r="F55">
            <v>2890.7530000000002</v>
          </cell>
          <cell r="G55">
            <v>0.78255762549942742</v>
          </cell>
          <cell r="H55">
            <v>0.10646718534827332</v>
          </cell>
          <cell r="I55">
            <v>5.5458229238320396E-2</v>
          </cell>
          <cell r="J55">
            <v>2009</v>
          </cell>
          <cell r="K55">
            <v>4</v>
          </cell>
          <cell r="L55">
            <v>0</v>
          </cell>
          <cell r="M55">
            <v>0</v>
          </cell>
          <cell r="N55">
            <v>0</v>
          </cell>
          <cell r="O55">
            <v>1</v>
          </cell>
          <cell r="P55" t="str">
            <v>חלש</v>
          </cell>
        </row>
        <row r="56">
          <cell r="A56" t="str">
            <v>מי תקווה</v>
          </cell>
          <cell r="B56" t="str">
            <v>חזק מאוד</v>
          </cell>
          <cell r="C56">
            <v>7.0000000000000007E-2</v>
          </cell>
          <cell r="D56">
            <v>1.4999999999999999E-2</v>
          </cell>
          <cell r="E56">
            <v>1075.876</v>
          </cell>
          <cell r="F56">
            <v>851.29300000000001</v>
          </cell>
          <cell r="G56">
            <v>0.79125568374050548</v>
          </cell>
          <cell r="H56">
            <v>7.0000000000000007E-2</v>
          </cell>
          <cell r="I56">
            <v>1.4999999999999999E-2</v>
          </cell>
          <cell r="J56">
            <v>2013</v>
          </cell>
          <cell r="K56">
            <v>8</v>
          </cell>
          <cell r="L56">
            <v>0</v>
          </cell>
          <cell r="M56">
            <v>0</v>
          </cell>
          <cell r="N56">
            <v>0</v>
          </cell>
          <cell r="O56">
            <v>1</v>
          </cell>
          <cell r="P56" t="str">
            <v>חזק מאוד</v>
          </cell>
        </row>
        <row r="57">
          <cell r="A57" t="str">
            <v>מי קריית ביאליק</v>
          </cell>
          <cell r="B57" t="str">
            <v xml:space="preserve">חזק </v>
          </cell>
          <cell r="C57">
            <v>7.0000000000000007E-2</v>
          </cell>
          <cell r="D57">
            <v>1.4999999999999999E-2</v>
          </cell>
          <cell r="E57">
            <v>2916.2270000000003</v>
          </cell>
          <cell r="F57">
            <v>1963.4929999999999</v>
          </cell>
          <cell r="G57">
            <v>0.6732990950292963</v>
          </cell>
          <cell r="H57">
            <v>7.0000000000000007E-2</v>
          </cell>
          <cell r="I57">
            <v>1.4999999999999999E-2</v>
          </cell>
          <cell r="J57">
            <v>2013</v>
          </cell>
          <cell r="K57">
            <v>6</v>
          </cell>
          <cell r="L57">
            <v>0</v>
          </cell>
          <cell r="M57">
            <v>0</v>
          </cell>
          <cell r="N57">
            <v>0</v>
          </cell>
          <cell r="O57">
            <v>1</v>
          </cell>
          <cell r="P57" t="str">
            <v xml:space="preserve">חזק </v>
          </cell>
        </row>
        <row r="58">
          <cell r="A58" t="str">
            <v>מי רמת גן</v>
          </cell>
          <cell r="B58" t="str">
            <v>חזק מאוד</v>
          </cell>
          <cell r="C58">
            <v>7.0000000000000007E-2</v>
          </cell>
          <cell r="D58">
            <v>1.4999999999999999E-2</v>
          </cell>
          <cell r="E58">
            <v>11903.299000000001</v>
          </cell>
          <cell r="F58">
            <v>7873.6890000000003</v>
          </cell>
          <cell r="G58">
            <v>0.66147116022205266</v>
          </cell>
          <cell r="H58">
            <v>5.9695122740000009E-2</v>
          </cell>
          <cell r="I58">
            <v>1.4999999999999999E-2</v>
          </cell>
          <cell r="J58">
            <v>2012</v>
          </cell>
          <cell r="K58">
            <v>7</v>
          </cell>
          <cell r="L58">
            <v>4080.02</v>
          </cell>
          <cell r="M58">
            <v>0.51524386300000002</v>
          </cell>
          <cell r="N58">
            <v>1.0304877260000001E-2</v>
          </cell>
          <cell r="O58">
            <v>1</v>
          </cell>
          <cell r="P58" t="str">
            <v>חזק מאוד</v>
          </cell>
        </row>
      </sheetData>
      <sheetData sheetId="18" refreshError="1"/>
      <sheetData sheetId="19" refreshError="1"/>
      <sheetData sheetId="2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כפי שמופיעים כיום"/>
      <sheetName val="נתוני מים 2011 מעודכן"/>
      <sheetName val="מטשים 2015"/>
      <sheetName val="נתוני מים 2012"/>
      <sheetName val="סל מדדים"/>
      <sheetName val="מדד שכר ממוצע"/>
      <sheetName val="מדד חשמל"/>
      <sheetName val="מדד מחירים"/>
      <sheetName val="תחשיב תעריף לתאגיד בודד"/>
      <sheetName val="תעריף אחיד ישן"/>
      <sheetName val="תחשיב תעריף 2015"/>
      <sheetName val="בדיקת פחת"/>
      <sheetName val="ריכוז עלויות"/>
      <sheetName val="נתוני תאגידים"/>
      <sheetName val="תעריפי 2015 לכללים"/>
      <sheetName val="תוספת נכסים"/>
      <sheetName val="סימולצייה לתעריף"/>
      <sheetName val="פחת מים וגביה"/>
      <sheetName val="בדיקת החזר צרכנים"/>
      <sheetName val="סקרי נכסים-יתרות פתיחה"/>
      <sheetName val="תעריף רשות מקומית"/>
      <sheetName val="תחשיב עלות תפעול לשנת 2015"/>
      <sheetName val="השקעות 2011-2012"/>
      <sheetName val="פירוט נכסי מים וביוב"/>
      <sheetName val="כמויות מים תפעול 2012"/>
      <sheetName val="צריכה בתאגיד מרחבי"/>
      <sheetName val="ביוביות"/>
      <sheetName val="הצמדות לכללים"/>
      <sheetName val="הנחיות למילוי הנתונים"/>
      <sheetName val="עלויות תפעול בהתאם לנורמה"/>
      <sheetName val="עלויות תפעול מול הנורמה לתאגיד"/>
    </sheetNames>
    <sheetDataSet>
      <sheetData sheetId="0"/>
      <sheetData sheetId="1">
        <row r="8">
          <cell r="D8">
            <v>5.2465524565316484</v>
          </cell>
        </row>
        <row r="211">
          <cell r="D211">
            <v>250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
          <cell r="A1" t="str">
            <v>שם תאגיד</v>
          </cell>
          <cell r="C1" t="str">
            <v>מיתב מים תיעול וביוב בע"מ</v>
          </cell>
          <cell r="D1" t="str">
            <v>התנור מים וביוב בע"מ</v>
          </cell>
          <cell r="E1" t="str">
            <v>מי נתניה (2003) בע"מ</v>
          </cell>
          <cell r="F1" t="str">
            <v>יובלים בשומרון בע"מ</v>
          </cell>
          <cell r="G1" t="str">
            <v>מי מודיעין</v>
          </cell>
          <cell r="H1" t="str">
            <v>חברת הגיחון בע"מ תאגיד המים והביוב של ירושלים</v>
          </cell>
          <cell r="I1" t="str">
            <v>מניב ראשון בע"מ</v>
          </cell>
          <cell r="J1" t="str">
            <v>עין נטפים מפעלי מים וביוב אילת בע"מ</v>
          </cell>
          <cell r="K1" t="str">
            <v>מי נע חברת המים והביוב של עיריית נצרת עילית בע"מ</v>
          </cell>
          <cell r="L1" t="str">
            <v>מי רקת  בע"מ</v>
          </cell>
          <cell r="M1" t="str">
            <v>יובלים אשדוד בע"מ</v>
          </cell>
          <cell r="N1" t="str">
            <v>מי שבע תאגיד המים והביוב לבאר שבע בע"מ</v>
          </cell>
          <cell r="O1" t="str">
            <v>מי שקמה תאגיד המים והביוב בע"מ</v>
          </cell>
          <cell r="P1" t="str">
            <v>פלג הגליל החברה האזורית למים וביוב בע"מ</v>
          </cell>
          <cell r="Q1" t="str">
            <v>מי ברק בע"מ</v>
          </cell>
          <cell r="R1" t="str">
            <v>מי ציונה בע"מ</v>
          </cell>
          <cell r="S1" t="str">
            <v>מי לוד בע"מ</v>
          </cell>
          <cell r="T1" t="str">
            <v>תמ"ר תאגיד מים רמלה בע"מ</v>
          </cell>
          <cell r="U1" t="str">
            <v>מי חדרה בע"מ</v>
          </cell>
          <cell r="V1" t="str">
            <v>כפרי גליל תחתון בע"מ</v>
          </cell>
          <cell r="W1" t="str">
            <v>מי עירון בע"מ</v>
          </cell>
          <cell r="X1" t="str">
            <v>הרי נצרת מפעלי מים וביוב בע"מ</v>
          </cell>
          <cell r="Y1" t="str">
            <v>מעיינות זיו</v>
          </cell>
          <cell r="Z1" t="str">
            <v>מעיינות אתא</v>
          </cell>
          <cell r="AA1" t="str">
            <v>מי רעננה</v>
          </cell>
          <cell r="AB1" t="str">
            <v>מי קריית גת</v>
          </cell>
          <cell r="AC1" t="str">
            <v>מי הרצליה</v>
          </cell>
          <cell r="AD1" t="str">
            <v>שרונים</v>
          </cell>
          <cell r="AE1" t="str">
            <v>מי כרמל</v>
          </cell>
          <cell r="AF1" t="str">
            <v>מי יבנה</v>
          </cell>
          <cell r="AG1" t="str">
            <v>עין כרמים</v>
          </cell>
          <cell r="AH1" t="str">
            <v>מי רהט</v>
          </cell>
          <cell r="AI1" t="str">
            <v>עין אפק</v>
          </cell>
          <cell r="AJ1" t="str">
            <v>פלגי מוצקין</v>
          </cell>
          <cell r="AK1" t="str">
            <v>מי קריית ביאליק</v>
          </cell>
          <cell r="AL1" t="str">
            <v>מי אביבים 2010 בע"מ</v>
          </cell>
          <cell r="AM1" t="str">
            <v>מעיינות השרון</v>
          </cell>
          <cell r="AN1" t="str">
            <v>נווה מדבר</v>
          </cell>
          <cell r="AO1" t="str">
            <v>מי רמת גן</v>
          </cell>
          <cell r="AP1" t="str">
            <v>מי גבעתיים</v>
          </cell>
          <cell r="AQ1" t="str">
            <v>מי בת ים</v>
          </cell>
          <cell r="AR1" t="str">
            <v>מי אונו</v>
          </cell>
          <cell r="AS1" t="str">
            <v>סובב שפרעם</v>
          </cell>
          <cell r="AT1" t="str">
            <v>מי בית שמש</v>
          </cell>
          <cell r="AU1" t="str">
            <v>מי הוד השרון</v>
          </cell>
          <cell r="AV1" t="str">
            <v>מי אשקלון</v>
          </cell>
          <cell r="AW1" t="str">
            <v>מי עכו</v>
          </cell>
          <cell r="AX1" t="str">
            <v>מעיינות המשולש</v>
          </cell>
          <cell r="AY1" t="str">
            <v>ימים</v>
          </cell>
          <cell r="AZ1" t="str">
            <v>מעיינות העמקים</v>
          </cell>
          <cell r="BA1" t="str">
            <v>מעיינות הדרום</v>
          </cell>
          <cell r="BB1" t="str">
            <v>אל עין</v>
          </cell>
          <cell r="BC1" t="str">
            <v>מי גליל</v>
          </cell>
          <cell r="BD1" t="str">
            <v>פלגי השרון</v>
          </cell>
          <cell r="BE1" t="str">
            <v>מי תקווה</v>
          </cell>
        </row>
        <row r="2">
          <cell r="A2" t="str">
            <v>שיוך מרחבי</v>
          </cell>
          <cell r="C2" t="str">
            <v>אזור פ''ת</v>
          </cell>
          <cell r="D2" t="str">
            <v>אזור הגליל המזרחי</v>
          </cell>
          <cell r="E2" t="str">
            <v xml:space="preserve">אזור שרון צפוני </v>
          </cell>
          <cell r="F2" t="str">
            <v>אזור יו"ש</v>
          </cell>
          <cell r="G2" t="str">
            <v xml:space="preserve">אזור המרכז </v>
          </cell>
          <cell r="H2" t="str">
            <v xml:space="preserve">אזור י-ם </v>
          </cell>
          <cell r="I2" t="str">
            <v xml:space="preserve">אזור המרכז </v>
          </cell>
          <cell r="J2" t="str">
            <v xml:space="preserve">אזור הערבה </v>
          </cell>
          <cell r="K2" t="str">
            <v>אזור נצרת</v>
          </cell>
          <cell r="L2" t="str">
            <v>אזור הגליל המזרחי</v>
          </cell>
          <cell r="M2" t="str">
            <v xml:space="preserve">אזור הדרום </v>
          </cell>
          <cell r="N2" t="str">
            <v>אזור הנגב</v>
          </cell>
          <cell r="O2" t="str">
            <v>אזור השפלה</v>
          </cell>
          <cell r="P2" t="str">
            <v>אזור הגליל המזרחי</v>
          </cell>
          <cell r="Q2" t="str">
            <v>אזור פ''ת</v>
          </cell>
          <cell r="R2" t="str">
            <v>אזור השפלה</v>
          </cell>
          <cell r="S2" t="str">
            <v xml:space="preserve">אזור המרכז </v>
          </cell>
          <cell r="T2" t="str">
            <v xml:space="preserve">אזור המרכז </v>
          </cell>
          <cell r="U2" t="str">
            <v xml:space="preserve">אזור שרון צפוני </v>
          </cell>
          <cell r="V2" t="str">
            <v>אזור נצרת</v>
          </cell>
          <cell r="W2" t="str">
            <v xml:space="preserve">אזור שרון צפוני </v>
          </cell>
          <cell r="X2" t="str">
            <v>אזור נצרת</v>
          </cell>
          <cell r="Y2" t="str">
            <v>אזור הגליל המערבי</v>
          </cell>
          <cell r="Z2" t="str">
            <v>אזור חיפה והקריות</v>
          </cell>
          <cell r="AA2" t="str">
            <v>אזור השרון</v>
          </cell>
          <cell r="AB2" t="str">
            <v>אזור הנגב</v>
          </cell>
          <cell r="AC2" t="str">
            <v>אזור השרון</v>
          </cell>
          <cell r="AD2" t="str">
            <v>אזור השרון</v>
          </cell>
          <cell r="AE2" t="str">
            <v>אזור חיפה והקריות</v>
          </cell>
          <cell r="AF2" t="str">
            <v xml:space="preserve">אזור הדרום </v>
          </cell>
          <cell r="AG2" t="str">
            <v>אזור הגליל המערבי</v>
          </cell>
          <cell r="AH2" t="str">
            <v>אזור הנגב</v>
          </cell>
          <cell r="AI2" t="str">
            <v>אזור פ''ת</v>
          </cell>
          <cell r="AJ2" t="str">
            <v>אזור חיפה והקריות</v>
          </cell>
          <cell r="AK2" t="str">
            <v>אזור חיפה והקריות</v>
          </cell>
          <cell r="AL2" t="str">
            <v>אזור ת"א מרכז</v>
          </cell>
          <cell r="AM2" t="str">
            <v xml:space="preserve">אזור שרון צפוני </v>
          </cell>
          <cell r="AN2" t="str">
            <v>אזור הנגב</v>
          </cell>
          <cell r="AO2" t="str">
            <v>אזור ת"א מרכז</v>
          </cell>
          <cell r="AP2" t="str">
            <v>אזור ת"א מרכז</v>
          </cell>
          <cell r="AQ2" t="str">
            <v>אזור השפלה</v>
          </cell>
          <cell r="AR2" t="str">
            <v>אזור פ''ת</v>
          </cell>
          <cell r="AS2" t="str">
            <v>אזור נצרת</v>
          </cell>
          <cell r="AT2" t="str">
            <v xml:space="preserve">אזור המרכז </v>
          </cell>
          <cell r="AU2" t="str">
            <v>אזור השרון</v>
          </cell>
          <cell r="AV2" t="str">
            <v xml:space="preserve">אזור הדרום </v>
          </cell>
          <cell r="AW2" t="str">
            <v>אזור חיפה והקריות</v>
          </cell>
          <cell r="AX2" t="str">
            <v>אזור השרון</v>
          </cell>
          <cell r="AY2" t="str">
            <v>אזור חיפה והקריות</v>
          </cell>
          <cell r="AZ2" t="str">
            <v>אזור נצרת</v>
          </cell>
          <cell r="BA2" t="str">
            <v>אזור הנגב</v>
          </cell>
          <cell r="BB2" t="str">
            <v>אזור הגליל המערבי</v>
          </cell>
          <cell r="BC2" t="str">
            <v>אזור הגליל המערבי</v>
          </cell>
          <cell r="BD2" t="str">
            <v>אזור השרון</v>
          </cell>
          <cell r="BE2" t="str">
            <v>אזור פ''ת</v>
          </cell>
        </row>
        <row r="3">
          <cell r="A3" t="str">
            <v>שנת תעריף</v>
          </cell>
          <cell r="B3">
            <v>2015</v>
          </cell>
          <cell r="C3" t="str">
            <v>בינוני</v>
          </cell>
          <cell r="D3" t="str">
            <v>בינוני</v>
          </cell>
          <cell r="E3" t="str">
            <v xml:space="preserve">חזק </v>
          </cell>
          <cell r="F3" t="str">
            <v xml:space="preserve">חזק </v>
          </cell>
          <cell r="G3" t="str">
            <v>חזק מאוד</v>
          </cell>
          <cell r="H3" t="str">
            <v>בינוני</v>
          </cell>
          <cell r="I3" t="str">
            <v xml:space="preserve">חזק </v>
          </cell>
          <cell r="J3" t="str">
            <v xml:space="preserve">חזק </v>
          </cell>
          <cell r="K3" t="str">
            <v xml:space="preserve">חזק </v>
          </cell>
          <cell r="L3" t="str">
            <v>חלש רב רשותי</v>
          </cell>
          <cell r="M3" t="str">
            <v xml:space="preserve">חזק </v>
          </cell>
          <cell r="N3" t="str">
            <v>בינוני</v>
          </cell>
          <cell r="O3" t="str">
            <v xml:space="preserve">חזק </v>
          </cell>
          <cell r="P3" t="str">
            <v>חלש רב רשותי</v>
          </cell>
          <cell r="Q3" t="str">
            <v>חלש</v>
          </cell>
          <cell r="R3" t="str">
            <v>חזק מאוד</v>
          </cell>
          <cell r="S3" t="str">
            <v>חלש</v>
          </cell>
          <cell r="T3" t="str">
            <v>חלש רב רשותי</v>
          </cell>
          <cell r="U3" t="str">
            <v xml:space="preserve">חזק </v>
          </cell>
          <cell r="V3" t="str">
            <v>חלש רב רשותי</v>
          </cell>
          <cell r="W3" t="str">
            <v>חלש רב רשותי</v>
          </cell>
          <cell r="X3" t="str">
            <v>חלש רב רשותי</v>
          </cell>
          <cell r="Y3" t="str">
            <v>בינוני</v>
          </cell>
          <cell r="Z3" t="str">
            <v xml:space="preserve">חזק </v>
          </cell>
          <cell r="AA3" t="str">
            <v>חזק מאוד</v>
          </cell>
          <cell r="AB3" t="str">
            <v>חלש</v>
          </cell>
          <cell r="AC3" t="str">
            <v>חזק מאוד</v>
          </cell>
          <cell r="AD3" t="str">
            <v>חזק מאוד</v>
          </cell>
          <cell r="AE3" t="str">
            <v>חזק מאוד</v>
          </cell>
          <cell r="AF3" t="str">
            <v xml:space="preserve">חזק </v>
          </cell>
          <cell r="AG3" t="str">
            <v xml:space="preserve">חזק </v>
          </cell>
          <cell r="AH3" t="str">
            <v>חלש</v>
          </cell>
          <cell r="AI3" t="str">
            <v xml:space="preserve">חזק </v>
          </cell>
          <cell r="AJ3" t="str">
            <v>בינוני</v>
          </cell>
          <cell r="AK3" t="str">
            <v xml:space="preserve">חזק </v>
          </cell>
          <cell r="AL3" t="str">
            <v>חזק מאוד</v>
          </cell>
          <cell r="AM3" t="str">
            <v>חזק מאוד</v>
          </cell>
          <cell r="AN3" t="str">
            <v>חלש רב רשותי</v>
          </cell>
          <cell r="AO3" t="str">
            <v>חזק מאוד</v>
          </cell>
          <cell r="AP3" t="str">
            <v>חזק מאוד</v>
          </cell>
          <cell r="AQ3" t="str">
            <v xml:space="preserve">חזק </v>
          </cell>
          <cell r="AR3" t="str">
            <v>חזק מאוד</v>
          </cell>
          <cell r="AS3" t="str">
            <v>חלש רב רשותי</v>
          </cell>
          <cell r="AT3" t="str">
            <v>חלש</v>
          </cell>
          <cell r="AU3" t="str">
            <v>חזק מאוד</v>
          </cell>
          <cell r="AV3" t="str">
            <v>בינוני</v>
          </cell>
          <cell r="AW3" t="str">
            <v>חלש</v>
          </cell>
          <cell r="AX3" t="str">
            <v>חלש רב רשותי</v>
          </cell>
          <cell r="AY3" t="str">
            <v xml:space="preserve">חזק </v>
          </cell>
          <cell r="AZ3" t="str">
            <v>חזק מאוד</v>
          </cell>
          <cell r="BA3" t="str">
            <v>חלש רב רשותי</v>
          </cell>
          <cell r="BB3" t="str">
            <v>חלש רב רשותי</v>
          </cell>
          <cell r="BC3" t="str">
            <v>חלש רב רשותי</v>
          </cell>
          <cell r="BD3" t="str">
            <v>חזק מאוד</v>
          </cell>
          <cell r="BE3" t="str">
            <v>חזק מאוד</v>
          </cell>
        </row>
      </sheetData>
      <sheetData sheetId="19"/>
      <sheetData sheetId="20"/>
      <sheetData sheetId="21"/>
      <sheetData sheetId="22"/>
      <sheetData sheetId="23"/>
      <sheetData sheetId="24"/>
      <sheetData sheetId="25"/>
      <sheetData sheetId="26">
        <row r="4">
          <cell r="A4" t="str">
            <v>לא</v>
          </cell>
          <cell r="B4" t="str">
            <v>שם תאגיד</v>
          </cell>
          <cell r="C4" t="str">
            <v>מי ברק בע"מ</v>
          </cell>
          <cell r="D4" t="str">
            <v>הרי נצרת מפעלי מים וביוב בע"מ</v>
          </cell>
          <cell r="E4" t="str">
            <v>התנור מים וביוב בע"מ</v>
          </cell>
          <cell r="F4" t="str">
            <v>חברת הגיחון בע"מ תאגיד המים והביוב של ירושלים</v>
          </cell>
          <cell r="G4" t="str">
            <v>יובלים אשדוד בע"מ</v>
          </cell>
          <cell r="H4" t="str">
            <v>יובלים בשומרון בע"מ</v>
          </cell>
          <cell r="I4" t="str">
            <v>כפרי גליל תחתון בע"מ</v>
          </cell>
          <cell r="J4" t="str">
            <v>מי חדרה בע"מ</v>
          </cell>
          <cell r="K4" t="str">
            <v>מי לוד בע"מ</v>
          </cell>
          <cell r="L4" t="str">
            <v>מי נע חברת המים והביוב של עיריית נצרת עילית בע"מ</v>
          </cell>
          <cell r="M4" t="str">
            <v>מי נתניה (2003) בע"מ</v>
          </cell>
          <cell r="N4" t="str">
            <v>מי עירון בע"מ</v>
          </cell>
          <cell r="O4" t="str">
            <v>מי ציונה בע"מ</v>
          </cell>
          <cell r="P4" t="str">
            <v>מי רקת  בע"מ</v>
          </cell>
          <cell r="Q4" t="str">
            <v>מי שבע תאגיד המים והביוב לבאר שבע בע"מ</v>
          </cell>
          <cell r="R4" t="str">
            <v>מי שקמה תאגיד המים והביוב בע"מ</v>
          </cell>
          <cell r="S4" t="str">
            <v>מיתב מים תיעול וביוב בע"מ</v>
          </cell>
          <cell r="T4" t="str">
            <v>מניב ראשון בע"מ</v>
          </cell>
          <cell r="U4" t="str">
            <v>עין נטפים מפעלי מים וביוב אילת בע"מ</v>
          </cell>
          <cell r="V4" t="str">
            <v>פלג הגליל החברה האזורית למים וביוב בע"מ</v>
          </cell>
          <cell r="W4" t="str">
            <v>תמ"ר תאגיד מים רמלה בע"מ</v>
          </cell>
          <cell r="X4" t="str">
            <v>מי מודיעין</v>
          </cell>
          <cell r="Y4" t="str">
            <v>מעיינות זיו</v>
          </cell>
          <cell r="Z4" t="str">
            <v>מעיינות אתא</v>
          </cell>
          <cell r="AA4" t="str">
            <v>מי רעננה</v>
          </cell>
          <cell r="AB4" t="str">
            <v>מי קריית גת</v>
          </cell>
          <cell r="AC4" t="str">
            <v>מי הרצליה</v>
          </cell>
          <cell r="AD4" t="str">
            <v>שרונים</v>
          </cell>
          <cell r="AE4" t="str">
            <v>מי כרמל</v>
          </cell>
          <cell r="AF4" t="str">
            <v>מי יבנה</v>
          </cell>
          <cell r="AG4" t="str">
            <v>עין כרמים</v>
          </cell>
          <cell r="AH4" t="str">
            <v>מי רהט</v>
          </cell>
          <cell r="AI4" t="str">
            <v>עין אפק</v>
          </cell>
          <cell r="AJ4" t="str">
            <v>פלגי מוצקין</v>
          </cell>
          <cell r="AK4" t="str">
            <v>מי קריית ביאליק</v>
          </cell>
          <cell r="AL4" t="str">
            <v>מי אביבים 2010 בע"מ</v>
          </cell>
          <cell r="AM4" t="str">
            <v>מעיינות השרון</v>
          </cell>
          <cell r="AN4" t="str">
            <v>מי רמת גן</v>
          </cell>
          <cell r="AO4" t="str">
            <v>מי גבעתיים</v>
          </cell>
          <cell r="AP4" t="str">
            <v>מי בת ים</v>
          </cell>
          <cell r="AQ4" t="str">
            <v>מי אונו</v>
          </cell>
          <cell r="AR4" t="str">
            <v>סובב שפרעם</v>
          </cell>
          <cell r="AS4" t="str">
            <v>מי עכו</v>
          </cell>
          <cell r="AT4" t="str">
            <v>ימים</v>
          </cell>
          <cell r="AU4" t="str">
            <v>מי הוד השרון</v>
          </cell>
          <cell r="AV4" t="str">
            <v>אל עין</v>
          </cell>
          <cell r="AW4" t="str">
            <v>מי גליל</v>
          </cell>
          <cell r="AX4" t="str">
            <v>מי אשקלון</v>
          </cell>
          <cell r="AY4" t="str">
            <v>מעיינות הדרום</v>
          </cell>
          <cell r="AZ4" t="str">
            <v>מעיינות העמקים</v>
          </cell>
          <cell r="BA4" t="str">
            <v>מי בית שמש</v>
          </cell>
          <cell r="BB4" t="str">
            <v>מעיינות המשולש</v>
          </cell>
          <cell r="BC4" t="str">
            <v>נווה מדבר</v>
          </cell>
          <cell r="BD4" t="str">
            <v>פלגי השרון</v>
          </cell>
          <cell r="BE4" t="str">
            <v>מי תקווה</v>
          </cell>
          <cell r="BH4" t="str">
            <v>מי אונו</v>
          </cell>
          <cell r="BI4" t="str">
            <v>מי אונו</v>
          </cell>
        </row>
        <row r="5">
          <cell r="B5" t="str">
            <v>שיוך איזורי</v>
          </cell>
          <cell r="C5" t="str">
            <v>אזור פ''ת</v>
          </cell>
          <cell r="D5" t="str">
            <v>אזור נצרת</v>
          </cell>
          <cell r="E5" t="str">
            <v>אזור הגליל המזרחי</v>
          </cell>
          <cell r="F5" t="str">
            <v xml:space="preserve">אזור י-ם </v>
          </cell>
          <cell r="G5" t="str">
            <v xml:space="preserve">אזור הדרום </v>
          </cell>
          <cell r="H5" t="str">
            <v>אזור יו"ש</v>
          </cell>
          <cell r="I5" t="str">
            <v>אזור נצרת</v>
          </cell>
          <cell r="J5" t="str">
            <v xml:space="preserve">אזור שרון צפוני </v>
          </cell>
          <cell r="K5" t="str">
            <v xml:space="preserve">אזור המרכז </v>
          </cell>
          <cell r="L5" t="str">
            <v>אזור נצרת</v>
          </cell>
          <cell r="M5" t="str">
            <v xml:space="preserve">אזור שרון צפוני </v>
          </cell>
          <cell r="N5" t="str">
            <v xml:space="preserve">אזור שרון צפוני </v>
          </cell>
          <cell r="O5" t="str">
            <v>אזור השפלה</v>
          </cell>
          <cell r="P5" t="str">
            <v>אזור הגליל המזרחי</v>
          </cell>
          <cell r="Q5" t="str">
            <v>אזור הנגב</v>
          </cell>
          <cell r="R5" t="str">
            <v>אזור השפלה</v>
          </cell>
          <cell r="S5" t="str">
            <v>אזור פ''ת</v>
          </cell>
          <cell r="T5" t="str">
            <v xml:space="preserve">אזור המרכז </v>
          </cell>
          <cell r="U5" t="str">
            <v xml:space="preserve">אזור הערבה </v>
          </cell>
          <cell r="V5" t="str">
            <v>אזור הגליל המזרחי</v>
          </cell>
          <cell r="W5" t="str">
            <v xml:space="preserve">אזור המרכז </v>
          </cell>
          <cell r="X5" t="str">
            <v xml:space="preserve">אזור המרכז </v>
          </cell>
          <cell r="Y5" t="str">
            <v>אזור הגליל המערבי</v>
          </cell>
          <cell r="Z5" t="str">
            <v>אזור חיפה והקריות</v>
          </cell>
          <cell r="AA5" t="str">
            <v>אזור השרון</v>
          </cell>
          <cell r="AB5" t="str">
            <v>אזור הנגב</v>
          </cell>
          <cell r="AC5" t="str">
            <v>אזור השרון</v>
          </cell>
          <cell r="AD5" t="str">
            <v>אזור השרון</v>
          </cell>
          <cell r="AE5" t="str">
            <v>אזור חיפה והקריות</v>
          </cell>
          <cell r="AF5" t="str">
            <v xml:space="preserve">אזור הדרום </v>
          </cell>
          <cell r="AG5" t="str">
            <v>אזור הגליל המערבי</v>
          </cell>
          <cell r="AH5" t="str">
            <v>אזור הנגב</v>
          </cell>
          <cell r="AI5" t="str">
            <v>אזור פ''ת</v>
          </cell>
          <cell r="AJ5" t="str">
            <v>אזור חיפה והקריות</v>
          </cell>
          <cell r="AK5" t="str">
            <v>אזור חיפה והקריות</v>
          </cell>
          <cell r="AL5" t="str">
            <v>אזור ת"א מרכז</v>
          </cell>
          <cell r="AM5" t="str">
            <v xml:space="preserve">אזור שרון צפוני </v>
          </cell>
          <cell r="AN5" t="str">
            <v>אזור ת"א מרכז</v>
          </cell>
          <cell r="AO5" t="str">
            <v>אזור ת"א מרכז</v>
          </cell>
          <cell r="AP5" t="str">
            <v>אזור השפלה</v>
          </cell>
          <cell r="AQ5" t="str">
            <v>אזור פ''ת</v>
          </cell>
          <cell r="AR5" t="str">
            <v>אזור נצרת</v>
          </cell>
          <cell r="AS5" t="str">
            <v>אזור חיפה והקריות</v>
          </cell>
          <cell r="AT5" t="str">
            <v>אזור חיפה והקריות</v>
          </cell>
          <cell r="AU5" t="str">
            <v>אזור השרון</v>
          </cell>
          <cell r="AV5" t="str">
            <v>אזור הגליל המערבי</v>
          </cell>
          <cell r="AW5" t="str">
            <v>אזור הגליל המערבי</v>
          </cell>
          <cell r="AX5" t="str">
            <v xml:space="preserve">אזור הדרום </v>
          </cell>
          <cell r="AY5" t="str">
            <v>אזור הנגב</v>
          </cell>
          <cell r="AZ5" t="str">
            <v>אזור נצרת</v>
          </cell>
          <cell r="BA5" t="str">
            <v xml:space="preserve">אזור המרכז </v>
          </cell>
          <cell r="BB5" t="str">
            <v>אזור השרון</v>
          </cell>
          <cell r="BC5" t="str">
            <v>אזור הנגב</v>
          </cell>
          <cell r="BD5" t="str">
            <v>אזור השרון</v>
          </cell>
          <cell r="BE5" t="str">
            <v>אזור פ''ת</v>
          </cell>
          <cell r="BH5" t="str">
            <v>אזור פ''ת</v>
          </cell>
          <cell r="BI5" t="str">
            <v>אזור פ''ת</v>
          </cell>
        </row>
        <row r="7">
          <cell r="A7" t="str">
            <v>תחשיב עלויות מים</v>
          </cell>
        </row>
        <row r="8">
          <cell r="A8" t="str">
            <v>עלות קווי מים</v>
          </cell>
          <cell r="B8" t="str">
            <v>מפקד נכסים קווי מים</v>
          </cell>
          <cell r="C8">
            <v>76724.838000000003</v>
          </cell>
          <cell r="D8">
            <v>95181.39</v>
          </cell>
          <cell r="E8">
            <v>62581.097999999998</v>
          </cell>
          <cell r="F8">
            <v>887967.95900000003</v>
          </cell>
          <cell r="G8">
            <v>137844</v>
          </cell>
          <cell r="H8">
            <v>36122.275999999998</v>
          </cell>
          <cell r="I8">
            <v>74789.357000000004</v>
          </cell>
          <cell r="J8">
            <v>97151.998000000007</v>
          </cell>
          <cell r="K8">
            <v>49147.832999999999</v>
          </cell>
          <cell r="L8">
            <v>103232.87300000001</v>
          </cell>
          <cell r="M8">
            <v>220956.17600000001</v>
          </cell>
          <cell r="N8">
            <v>98291.08</v>
          </cell>
          <cell r="O8">
            <v>72832.797999999995</v>
          </cell>
          <cell r="P8">
            <v>119460.732</v>
          </cell>
          <cell r="Q8">
            <v>248158.073</v>
          </cell>
          <cell r="R8">
            <v>195895.85399999999</v>
          </cell>
          <cell r="S8">
            <v>291776.16499999998</v>
          </cell>
          <cell r="T8">
            <v>298628.96500000003</v>
          </cell>
          <cell r="U8">
            <v>70703.100000000006</v>
          </cell>
          <cell r="V8">
            <v>132576.34400000001</v>
          </cell>
          <cell r="W8">
            <v>87192.579022000005</v>
          </cell>
          <cell r="X8">
            <v>105865.91099999999</v>
          </cell>
          <cell r="Y8">
            <v>57839.563000000002</v>
          </cell>
          <cell r="Z8">
            <v>54953.837</v>
          </cell>
          <cell r="AA8">
            <v>112343.739</v>
          </cell>
          <cell r="AB8">
            <v>50087.51</v>
          </cell>
          <cell r="AC8">
            <v>120920.658</v>
          </cell>
          <cell r="AD8">
            <v>53688.124000000003</v>
          </cell>
          <cell r="AE8">
            <v>424313.21</v>
          </cell>
          <cell r="AF8">
            <v>71110.172999999995</v>
          </cell>
          <cell r="AG8">
            <v>54503.404000000002</v>
          </cell>
          <cell r="AH8">
            <v>50695.9</v>
          </cell>
          <cell r="AI8">
            <v>47855.79</v>
          </cell>
          <cell r="AJ8">
            <v>33110.383000000002</v>
          </cell>
          <cell r="AK8">
            <v>27653.657999999999</v>
          </cell>
          <cell r="AL8">
            <v>620816.57200000004</v>
          </cell>
          <cell r="AM8">
            <v>100331.302</v>
          </cell>
          <cell r="AN8">
            <v>158149.82199999999</v>
          </cell>
          <cell r="AO8">
            <v>50777.152999999998</v>
          </cell>
          <cell r="AP8">
            <v>83674.077999999994</v>
          </cell>
          <cell r="AQ8">
            <v>63035.052000000003</v>
          </cell>
          <cell r="AR8">
            <v>114972.967</v>
          </cell>
          <cell r="AS8">
            <v>66927.741999999998</v>
          </cell>
          <cell r="AT8">
            <v>25946.884999999998</v>
          </cell>
          <cell r="AU8">
            <v>58741.22</v>
          </cell>
          <cell r="AV8">
            <v>80723.596999999994</v>
          </cell>
          <cell r="AW8">
            <v>73997.616999999998</v>
          </cell>
          <cell r="AX8">
            <v>132468.76300000001</v>
          </cell>
          <cell r="AY8">
            <v>89902.686000000002</v>
          </cell>
          <cell r="AZ8">
            <v>58558.902999999998</v>
          </cell>
          <cell r="BA8">
            <v>64025.042000000001</v>
          </cell>
          <cell r="BB8">
            <v>39320.322999999997</v>
          </cell>
          <cell r="BC8">
            <v>76488.870999999999</v>
          </cell>
          <cell r="BD8">
            <v>17332.5</v>
          </cell>
          <cell r="BE8">
            <v>11189.51</v>
          </cell>
          <cell r="BH8">
            <v>63035.052000000003</v>
          </cell>
          <cell r="BI8">
            <v>36656.877</v>
          </cell>
        </row>
        <row r="9">
          <cell r="B9" t="str">
            <v>שיעור אחזקת קווי מים</v>
          </cell>
          <cell r="C9">
            <v>0.02</v>
          </cell>
          <cell r="D9">
            <v>0.02</v>
          </cell>
          <cell r="E9">
            <v>0.02</v>
          </cell>
          <cell r="F9">
            <v>0.02</v>
          </cell>
          <cell r="G9">
            <v>0.02</v>
          </cell>
          <cell r="H9">
            <v>0.02</v>
          </cell>
          <cell r="I9">
            <v>0.02</v>
          </cell>
          <cell r="J9">
            <v>0.02</v>
          </cell>
          <cell r="K9">
            <v>0.02</v>
          </cell>
          <cell r="L9">
            <v>0.02</v>
          </cell>
          <cell r="M9">
            <v>0.02</v>
          </cell>
          <cell r="N9">
            <v>0.02</v>
          </cell>
          <cell r="O9">
            <v>0.02</v>
          </cell>
          <cell r="P9">
            <v>0.02</v>
          </cell>
          <cell r="Q9">
            <v>0.02</v>
          </cell>
          <cell r="R9">
            <v>0.02</v>
          </cell>
          <cell r="S9">
            <v>0.02</v>
          </cell>
          <cell r="T9">
            <v>0.02</v>
          </cell>
          <cell r="U9">
            <v>0.02</v>
          </cell>
          <cell r="V9">
            <v>0.02</v>
          </cell>
          <cell r="W9">
            <v>0.02</v>
          </cell>
          <cell r="X9">
            <v>0.02</v>
          </cell>
          <cell r="Y9">
            <v>0.02</v>
          </cell>
          <cell r="Z9">
            <v>0.02</v>
          </cell>
          <cell r="AA9">
            <v>0.02</v>
          </cell>
          <cell r="AB9">
            <v>0.02</v>
          </cell>
          <cell r="AC9">
            <v>0.02</v>
          </cell>
          <cell r="AD9">
            <v>0.02</v>
          </cell>
          <cell r="AE9">
            <v>0.02</v>
          </cell>
          <cell r="AF9">
            <v>0.02</v>
          </cell>
          <cell r="AG9">
            <v>0.02</v>
          </cell>
          <cell r="AH9">
            <v>0.02</v>
          </cell>
          <cell r="AI9">
            <v>0.02</v>
          </cell>
          <cell r="AJ9">
            <v>0.02</v>
          </cell>
          <cell r="AK9">
            <v>0.02</v>
          </cell>
          <cell r="AL9">
            <v>0.02</v>
          </cell>
          <cell r="AM9">
            <v>0.02</v>
          </cell>
          <cell r="AN9">
            <v>0.02</v>
          </cell>
          <cell r="AO9">
            <v>0.02</v>
          </cell>
          <cell r="AP9">
            <v>0.02</v>
          </cell>
          <cell r="AQ9">
            <v>0.02</v>
          </cell>
          <cell r="AR9">
            <v>0.02</v>
          </cell>
          <cell r="AS9">
            <v>0.02</v>
          </cell>
          <cell r="AT9">
            <v>0.02</v>
          </cell>
          <cell r="AU9">
            <v>0.02</v>
          </cell>
          <cell r="AV9">
            <v>0.02</v>
          </cell>
          <cell r="AW9">
            <v>0.02</v>
          </cell>
          <cell r="AX9">
            <v>0.02</v>
          </cell>
          <cell r="AY9">
            <v>0.02</v>
          </cell>
          <cell r="AZ9">
            <v>0.02</v>
          </cell>
          <cell r="BA9">
            <v>0.02</v>
          </cell>
          <cell r="BB9">
            <v>0.02</v>
          </cell>
          <cell r="BC9">
            <v>0.02</v>
          </cell>
          <cell r="BD9">
            <v>0.02</v>
          </cell>
          <cell r="BE9">
            <v>0.02</v>
          </cell>
          <cell r="BH9">
            <v>0.02</v>
          </cell>
          <cell r="BI9">
            <v>0.02</v>
          </cell>
        </row>
        <row r="10">
          <cell r="B10" t="str">
            <v>כמויות מים</v>
          </cell>
          <cell r="C10">
            <v>10402.959000000001</v>
          </cell>
          <cell r="D10">
            <v>8990.4840000000004</v>
          </cell>
          <cell r="E10">
            <v>4622.0540000000001</v>
          </cell>
          <cell r="F10">
            <v>55801.764999999999</v>
          </cell>
          <cell r="G10">
            <v>16703.157999999999</v>
          </cell>
          <cell r="H10">
            <v>1778.4359999999999</v>
          </cell>
          <cell r="I10">
            <v>4577.4979999999996</v>
          </cell>
          <cell r="J10">
            <v>7141.3379999999997</v>
          </cell>
          <cell r="K10">
            <v>5178.0209999999997</v>
          </cell>
          <cell r="L10">
            <v>9465.3389999999999</v>
          </cell>
          <cell r="M10">
            <v>16042.34</v>
          </cell>
          <cell r="N10">
            <v>8244</v>
          </cell>
          <cell r="O10">
            <v>5267.893</v>
          </cell>
          <cell r="P10">
            <v>5041.085</v>
          </cell>
          <cell r="Q10">
            <v>20338.690999999999</v>
          </cell>
          <cell r="R10">
            <v>18255.450999999997</v>
          </cell>
          <cell r="S10">
            <v>18180.299000000003</v>
          </cell>
          <cell r="T10">
            <v>19298.804</v>
          </cell>
          <cell r="U10">
            <v>10977.175999999999</v>
          </cell>
          <cell r="V10">
            <v>8577.2049999999999</v>
          </cell>
          <cell r="W10">
            <v>8412.4480000000003</v>
          </cell>
          <cell r="X10">
            <v>6020.2939999999999</v>
          </cell>
          <cell r="Y10">
            <v>3545.5990000000002</v>
          </cell>
          <cell r="Z10">
            <v>3626.6419999999998</v>
          </cell>
          <cell r="AA10">
            <v>6380.3370000000004</v>
          </cell>
          <cell r="AB10">
            <v>7660.5219999999999</v>
          </cell>
          <cell r="AC10">
            <v>9918.521999999999</v>
          </cell>
          <cell r="AD10">
            <v>4453.9129999999996</v>
          </cell>
          <cell r="AE10">
            <v>23482.1</v>
          </cell>
          <cell r="AF10">
            <v>5287.741</v>
          </cell>
          <cell r="AG10">
            <v>4061.6559999999999</v>
          </cell>
          <cell r="AH10">
            <v>3228.4309999999996</v>
          </cell>
          <cell r="AI10">
            <v>3395.31</v>
          </cell>
          <cell r="AJ10">
            <v>3094.3240000000001</v>
          </cell>
          <cell r="AK10">
            <v>2916.2270000000003</v>
          </cell>
          <cell r="AL10">
            <v>45887.912000000004</v>
          </cell>
          <cell r="AM10">
            <v>5557.4649999999992</v>
          </cell>
          <cell r="AN10">
            <v>11903.299000000001</v>
          </cell>
          <cell r="AO10">
            <v>3688.085</v>
          </cell>
          <cell r="AP10">
            <v>9099.1779999999999</v>
          </cell>
          <cell r="AQ10">
            <v>4946.7919999999995</v>
          </cell>
          <cell r="AR10">
            <v>9679.152</v>
          </cell>
          <cell r="AS10">
            <v>3466.8629999999998</v>
          </cell>
          <cell r="AT10">
            <v>2739.9360000000001</v>
          </cell>
          <cell r="AU10">
            <v>4327.2700000000004</v>
          </cell>
          <cell r="AV10">
            <v>5471.9060000000009</v>
          </cell>
          <cell r="AW10">
            <v>7319.4059999999999</v>
          </cell>
          <cell r="AX10">
            <v>12657.895</v>
          </cell>
          <cell r="AY10">
            <v>7259.326</v>
          </cell>
          <cell r="AZ10">
            <v>3372.8529999999996</v>
          </cell>
          <cell r="BA10">
            <v>5357.384</v>
          </cell>
          <cell r="BB10">
            <v>4966.9589999999998</v>
          </cell>
          <cell r="BC10">
            <v>5951.3919999999998</v>
          </cell>
          <cell r="BD10">
            <v>1131.4870000000001</v>
          </cell>
          <cell r="BE10">
            <v>1075.876</v>
          </cell>
          <cell r="BF10">
            <v>506228.49800000008</v>
          </cell>
          <cell r="BH10">
            <v>4946.7919999999995</v>
          </cell>
          <cell r="BI10">
            <v>2529.587</v>
          </cell>
        </row>
        <row r="11">
          <cell r="B11" t="str">
            <v>סה"כ עלות קווי מים לק"ב מים</v>
          </cell>
          <cell r="C11">
            <v>0.14750579714867662</v>
          </cell>
          <cell r="D11">
            <v>0.21173807772751721</v>
          </cell>
          <cell r="E11">
            <v>0.27079345243478331</v>
          </cell>
          <cell r="F11">
            <v>0.31825801889958139</v>
          </cell>
          <cell r="G11">
            <v>0.16505142320991037</v>
          </cell>
          <cell r="H11">
            <v>0.40622520011965568</v>
          </cell>
          <cell r="I11">
            <v>0.32676958897633607</v>
          </cell>
          <cell r="J11">
            <v>0.27208346111050902</v>
          </cell>
          <cell r="K11">
            <v>0.18983249778245395</v>
          </cell>
          <cell r="L11">
            <v>0.21812821072758201</v>
          </cell>
          <cell r="M11">
            <v>0.27546626738991942</v>
          </cell>
          <cell r="N11">
            <v>0.2384548277535177</v>
          </cell>
          <cell r="O11">
            <v>0.27651585937679446</v>
          </cell>
          <cell r="P11">
            <v>0.47394849323111993</v>
          </cell>
          <cell r="Q11">
            <v>0.244025609121059</v>
          </cell>
          <cell r="R11">
            <v>0.21461628529473198</v>
          </cell>
          <cell r="S11">
            <v>0.32098060103411935</v>
          </cell>
          <cell r="T11">
            <v>0.30947924544961442</v>
          </cell>
          <cell r="U11">
            <v>0.12881837733129178</v>
          </cell>
          <cell r="V11">
            <v>0.30913647044695802</v>
          </cell>
          <cell r="W11">
            <v>0.2072941883789356</v>
          </cell>
          <cell r="X11">
            <v>0.35169681414229936</v>
          </cell>
          <cell r="Y11">
            <v>0.32626116489766605</v>
          </cell>
          <cell r="Z11">
            <v>0.30305630939033962</v>
          </cell>
          <cell r="AA11">
            <v>0.35215612905713289</v>
          </cell>
          <cell r="AB11">
            <v>0.13076787717599403</v>
          </cell>
          <cell r="AC11">
            <v>0.24382797759585553</v>
          </cell>
          <cell r="AD11">
            <v>0.24108294885867779</v>
          </cell>
          <cell r="AE11">
            <v>0.36139289927221169</v>
          </cell>
          <cell r="AF11">
            <v>0.26896239055581578</v>
          </cell>
          <cell r="AG11">
            <v>0.26838020748187441</v>
          </cell>
          <cell r="AH11">
            <v>0.3140590584094875</v>
          </cell>
          <cell r="AI11">
            <v>0.28189349426120147</v>
          </cell>
          <cell r="AJ11">
            <v>0.21400721449983906</v>
          </cell>
          <cell r="AK11">
            <v>0.18965367236501135</v>
          </cell>
          <cell r="AL11">
            <v>0.27057956875440314</v>
          </cell>
          <cell r="AM11">
            <v>0.36106858792632973</v>
          </cell>
          <cell r="AN11">
            <v>0.26572435423154533</v>
          </cell>
          <cell r="AO11">
            <v>0.27535782391132524</v>
          </cell>
          <cell r="AP11">
            <v>0.18391568557071858</v>
          </cell>
          <cell r="AQ11">
            <v>0.25485224363587561</v>
          </cell>
          <cell r="AR11">
            <v>0.23756826424463634</v>
          </cell>
          <cell r="AS11">
            <v>0.3860997218522913</v>
          </cell>
          <cell r="AT11">
            <v>0.18939774505681881</v>
          </cell>
          <cell r="AU11">
            <v>0.27149320472260796</v>
          </cell>
          <cell r="AV11">
            <v>0.29504745512806685</v>
          </cell>
          <cell r="AW11">
            <v>0.20219568910373328</v>
          </cell>
          <cell r="AX11">
            <v>0.20930614924519442</v>
          </cell>
          <cell r="AY11">
            <v>0.24768879645300407</v>
          </cell>
          <cell r="AZ11">
            <v>0.34723661541134465</v>
          </cell>
          <cell r="BA11">
            <v>0.23901606455688076</v>
          </cell>
          <cell r="BB11">
            <v>0.15832755212998537</v>
          </cell>
          <cell r="BC11">
            <v>0.25704531309649914</v>
          </cell>
          <cell r="BD11">
            <v>0.30636675454512513</v>
          </cell>
          <cell r="BE11">
            <v>0.20800742836535066</v>
          </cell>
          <cell r="BH11">
            <v>0.25485224363587561</v>
          </cell>
          <cell r="BI11">
            <v>0.28982499514742921</v>
          </cell>
        </row>
        <row r="13">
          <cell r="A13" t="str">
            <v>עלות תחנות שאיבה</v>
          </cell>
          <cell r="B13" t="str">
            <v xml:space="preserve">תחנות שאיבה </v>
          </cell>
          <cell r="C13">
            <v>3956.0479999999998</v>
          </cell>
          <cell r="D13">
            <v>2734</v>
          </cell>
          <cell r="E13">
            <v>1670.24</v>
          </cell>
          <cell r="F13">
            <v>21898.190999999999</v>
          </cell>
          <cell r="G13">
            <v>9223</v>
          </cell>
          <cell r="H13">
            <v>3597</v>
          </cell>
          <cell r="I13">
            <v>2809.4870000000001</v>
          </cell>
          <cell r="J13">
            <v>6170.5</v>
          </cell>
          <cell r="K13">
            <v>1132.143</v>
          </cell>
          <cell r="L13">
            <v>9444.0020000000004</v>
          </cell>
          <cell r="M13">
            <v>6130</v>
          </cell>
          <cell r="N13">
            <v>6314.6270000000004</v>
          </cell>
          <cell r="O13">
            <v>2685.982</v>
          </cell>
          <cell r="P13">
            <v>25422</v>
          </cell>
          <cell r="Q13">
            <v>15535.88</v>
          </cell>
          <cell r="R13">
            <v>3047.6</v>
          </cell>
          <cell r="S13">
            <v>23585.003000000001</v>
          </cell>
          <cell r="T13">
            <v>32261.599999999999</v>
          </cell>
          <cell r="U13">
            <v>1756.1</v>
          </cell>
          <cell r="V13">
            <v>2479.5</v>
          </cell>
          <cell r="W13">
            <v>15300.536599999999</v>
          </cell>
          <cell r="X13">
            <v>5677</v>
          </cell>
          <cell r="Y13">
            <v>298.39999999999998</v>
          </cell>
          <cell r="Z13">
            <v>2200</v>
          </cell>
          <cell r="AA13">
            <v>8252.4110000000001</v>
          </cell>
          <cell r="AB13">
            <v>0</v>
          </cell>
          <cell r="AC13">
            <v>6558.8739999999998</v>
          </cell>
          <cell r="AD13">
            <v>4046</v>
          </cell>
          <cell r="AE13">
            <v>60872.232000000004</v>
          </cell>
          <cell r="AF13">
            <v>4183.22</v>
          </cell>
          <cell r="AG13">
            <v>0</v>
          </cell>
          <cell r="AH13">
            <v>880</v>
          </cell>
          <cell r="AI13">
            <v>1368</v>
          </cell>
          <cell r="AJ13">
            <v>0</v>
          </cell>
          <cell r="AK13">
            <v>0</v>
          </cell>
          <cell r="AL13">
            <v>6893.39</v>
          </cell>
          <cell r="AM13">
            <v>5010.0309999999999</v>
          </cell>
          <cell r="AN13">
            <v>8685.2129999999997</v>
          </cell>
          <cell r="AO13">
            <v>2700</v>
          </cell>
          <cell r="AP13">
            <v>400</v>
          </cell>
          <cell r="AQ13">
            <v>5998</v>
          </cell>
          <cell r="AR13">
            <v>22606.787</v>
          </cell>
          <cell r="AS13">
            <v>388</v>
          </cell>
          <cell r="AT13">
            <v>0</v>
          </cell>
          <cell r="AU13">
            <v>5950</v>
          </cell>
          <cell r="AV13">
            <v>4425.0119999999997</v>
          </cell>
          <cell r="AW13">
            <v>666</v>
          </cell>
          <cell r="AX13">
            <v>1027.0509999999999</v>
          </cell>
          <cell r="AY13">
            <v>1389.424</v>
          </cell>
          <cell r="AZ13">
            <v>4528</v>
          </cell>
          <cell r="BA13">
            <v>1964.32</v>
          </cell>
          <cell r="BB13">
            <v>1322.105</v>
          </cell>
          <cell r="BC13">
            <v>410</v>
          </cell>
          <cell r="BD13">
            <v>219.5</v>
          </cell>
          <cell r="BE13">
            <v>3000</v>
          </cell>
          <cell r="BH13">
            <v>5998</v>
          </cell>
          <cell r="BI13">
            <v>4980</v>
          </cell>
        </row>
        <row r="14">
          <cell r="B14" t="str">
            <v>שיעור אחזקת תחנות שאיבה</v>
          </cell>
          <cell r="C14">
            <v>2.5000000000000001E-2</v>
          </cell>
          <cell r="D14">
            <v>2.5000000000000001E-2</v>
          </cell>
          <cell r="E14">
            <v>2.5000000000000001E-2</v>
          </cell>
          <cell r="F14">
            <v>2.5000000000000001E-2</v>
          </cell>
          <cell r="G14">
            <v>2.5000000000000001E-2</v>
          </cell>
          <cell r="H14">
            <v>2.5000000000000001E-2</v>
          </cell>
          <cell r="I14">
            <v>2.5000000000000001E-2</v>
          </cell>
          <cell r="J14">
            <v>2.5000000000000001E-2</v>
          </cell>
          <cell r="K14">
            <v>2.5000000000000001E-2</v>
          </cell>
          <cell r="L14">
            <v>2.5000000000000001E-2</v>
          </cell>
          <cell r="M14">
            <v>2.5000000000000001E-2</v>
          </cell>
          <cell r="N14">
            <v>2.5000000000000001E-2</v>
          </cell>
          <cell r="O14">
            <v>2.5000000000000001E-2</v>
          </cell>
          <cell r="P14">
            <v>2.5000000000000001E-2</v>
          </cell>
          <cell r="Q14">
            <v>2.5000000000000001E-2</v>
          </cell>
          <cell r="R14">
            <v>2.5000000000000001E-2</v>
          </cell>
          <cell r="S14">
            <v>2.5000000000000001E-2</v>
          </cell>
          <cell r="T14">
            <v>2.5000000000000001E-2</v>
          </cell>
          <cell r="U14">
            <v>2.5000000000000001E-2</v>
          </cell>
          <cell r="V14">
            <v>2.5000000000000001E-2</v>
          </cell>
          <cell r="W14">
            <v>2.5000000000000001E-2</v>
          </cell>
          <cell r="X14">
            <v>2.5000000000000001E-2</v>
          </cell>
          <cell r="Y14">
            <v>2.5000000000000001E-2</v>
          </cell>
          <cell r="Z14">
            <v>2.5000000000000001E-2</v>
          </cell>
          <cell r="AA14">
            <v>2.5000000000000001E-2</v>
          </cell>
          <cell r="AB14">
            <v>2.5000000000000001E-2</v>
          </cell>
          <cell r="AC14">
            <v>2.5000000000000001E-2</v>
          </cell>
          <cell r="AD14">
            <v>2.5000000000000001E-2</v>
          </cell>
          <cell r="AE14">
            <v>2.5000000000000001E-2</v>
          </cell>
          <cell r="AF14">
            <v>2.5000000000000001E-2</v>
          </cell>
          <cell r="AG14">
            <v>2.5000000000000001E-2</v>
          </cell>
          <cell r="AH14">
            <v>2.5000000000000001E-2</v>
          </cell>
          <cell r="AI14">
            <v>2.5000000000000001E-2</v>
          </cell>
          <cell r="AJ14">
            <v>2.5000000000000001E-2</v>
          </cell>
          <cell r="AK14">
            <v>2.5000000000000001E-2</v>
          </cell>
          <cell r="AL14">
            <v>2.5000000000000001E-2</v>
          </cell>
          <cell r="AM14">
            <v>2.5000000000000001E-2</v>
          </cell>
          <cell r="AN14">
            <v>2.5000000000000001E-2</v>
          </cell>
          <cell r="AO14">
            <v>2.5000000000000001E-2</v>
          </cell>
          <cell r="AP14">
            <v>2.5000000000000001E-2</v>
          </cell>
          <cell r="AQ14">
            <v>2.5000000000000001E-2</v>
          </cell>
          <cell r="AR14">
            <v>2.5000000000000001E-2</v>
          </cell>
          <cell r="AS14">
            <v>2.5000000000000001E-2</v>
          </cell>
          <cell r="AT14">
            <v>2.5000000000000001E-2</v>
          </cell>
          <cell r="AU14">
            <v>2.5000000000000001E-2</v>
          </cell>
          <cell r="AV14">
            <v>2.5000000000000001E-2</v>
          </cell>
          <cell r="AW14">
            <v>2.5000000000000001E-2</v>
          </cell>
          <cell r="AX14">
            <v>2.5000000000000001E-2</v>
          </cell>
          <cell r="AY14">
            <v>2.5000000000000001E-2</v>
          </cell>
          <cell r="AZ14">
            <v>2.5000000000000001E-2</v>
          </cell>
          <cell r="BA14">
            <v>2.5000000000000001E-2</v>
          </cell>
          <cell r="BB14">
            <v>2.5000000000000001E-2</v>
          </cell>
          <cell r="BC14">
            <v>2.5000000000000001E-2</v>
          </cell>
          <cell r="BD14">
            <v>2.5000000000000001E-2</v>
          </cell>
          <cell r="BE14">
            <v>2.5000000000000001E-2</v>
          </cell>
          <cell r="BH14">
            <v>2.5000000000000001E-2</v>
          </cell>
          <cell r="BI14">
            <v>2.5000000000000001E-2</v>
          </cell>
        </row>
        <row r="15">
          <cell r="B15" t="str">
            <v xml:space="preserve">כמויות מים </v>
          </cell>
          <cell r="C15">
            <v>10402.959000000001</v>
          </cell>
          <cell r="D15">
            <v>8990.4840000000004</v>
          </cell>
          <cell r="E15">
            <v>4622.0540000000001</v>
          </cell>
          <cell r="F15">
            <v>55801.764999999999</v>
          </cell>
          <cell r="G15">
            <v>16703.157999999999</v>
          </cell>
          <cell r="H15">
            <v>1778.4359999999999</v>
          </cell>
          <cell r="I15">
            <v>4577.4979999999996</v>
          </cell>
          <cell r="J15">
            <v>7141.3379999999997</v>
          </cell>
          <cell r="K15">
            <v>5178.0209999999997</v>
          </cell>
          <cell r="L15">
            <v>9465.3389999999999</v>
          </cell>
          <cell r="M15">
            <v>16042.34</v>
          </cell>
          <cell r="N15">
            <v>8244</v>
          </cell>
          <cell r="O15">
            <v>5267.893</v>
          </cell>
          <cell r="P15">
            <v>5041.085</v>
          </cell>
          <cell r="Q15">
            <v>20338.690999999999</v>
          </cell>
          <cell r="R15">
            <v>18255.450999999997</v>
          </cell>
          <cell r="S15">
            <v>18180.299000000003</v>
          </cell>
          <cell r="T15">
            <v>19298.804</v>
          </cell>
          <cell r="U15">
            <v>10977.175999999999</v>
          </cell>
          <cell r="V15">
            <v>8577.2049999999999</v>
          </cell>
          <cell r="W15">
            <v>8412.4480000000003</v>
          </cell>
          <cell r="X15">
            <v>6020.2939999999999</v>
          </cell>
          <cell r="Y15">
            <v>3545.5990000000002</v>
          </cell>
          <cell r="Z15">
            <v>3626.6419999999998</v>
          </cell>
          <cell r="AA15">
            <v>6380.3370000000004</v>
          </cell>
          <cell r="AB15">
            <v>7660.5219999999999</v>
          </cell>
          <cell r="AC15">
            <v>9918.521999999999</v>
          </cell>
          <cell r="AD15">
            <v>4453.9129999999996</v>
          </cell>
          <cell r="AE15">
            <v>23482.1</v>
          </cell>
          <cell r="AF15">
            <v>5287.741</v>
          </cell>
          <cell r="AG15">
            <v>4061.6559999999999</v>
          </cell>
          <cell r="AH15">
            <v>3228.4309999999996</v>
          </cell>
          <cell r="AI15">
            <v>3395.31</v>
          </cell>
          <cell r="AJ15">
            <v>3094.3240000000001</v>
          </cell>
          <cell r="AK15">
            <v>2916.2270000000003</v>
          </cell>
          <cell r="AL15">
            <v>45887.912000000004</v>
          </cell>
          <cell r="AM15">
            <v>5557.4649999999992</v>
          </cell>
          <cell r="AN15">
            <v>11903.299000000001</v>
          </cell>
          <cell r="AO15">
            <v>3688.085</v>
          </cell>
          <cell r="AP15">
            <v>9099.1779999999999</v>
          </cell>
          <cell r="AQ15">
            <v>4946.7919999999995</v>
          </cell>
          <cell r="AR15">
            <v>9679.152</v>
          </cell>
          <cell r="AS15">
            <v>3466.8629999999998</v>
          </cell>
          <cell r="AT15">
            <v>2739.9360000000001</v>
          </cell>
          <cell r="AU15">
            <v>4327.2700000000004</v>
          </cell>
          <cell r="AV15">
            <v>5471.9060000000009</v>
          </cell>
          <cell r="AW15">
            <v>7319.4059999999999</v>
          </cell>
          <cell r="AX15">
            <v>12657.895</v>
          </cell>
          <cell r="AY15">
            <v>7259.326</v>
          </cell>
          <cell r="AZ15">
            <v>3372.8529999999996</v>
          </cell>
          <cell r="BA15">
            <v>5357.384</v>
          </cell>
          <cell r="BB15">
            <v>4966.9589999999998</v>
          </cell>
          <cell r="BC15">
            <v>5951.3919999999998</v>
          </cell>
          <cell r="BD15">
            <v>1131.4870000000001</v>
          </cell>
          <cell r="BE15">
            <v>1075.876</v>
          </cell>
          <cell r="BH15">
            <v>4946.7919999999995</v>
          </cell>
          <cell r="BI15">
            <v>2529.587</v>
          </cell>
        </row>
        <row r="16">
          <cell r="B16" t="str">
            <v>סה"כ עלות תחנות שאיבה לק"ב מים</v>
          </cell>
          <cell r="C16">
            <v>9.5070258375525643E-3</v>
          </cell>
          <cell r="D16">
            <v>7.6024828029280745E-3</v>
          </cell>
          <cell r="E16">
            <v>9.0340787883482106E-3</v>
          </cell>
          <cell r="F16">
            <v>9.810707152363372E-3</v>
          </cell>
          <cell r="G16">
            <v>1.3804275814190348E-2</v>
          </cell>
          <cell r="H16">
            <v>5.0564091145253481E-2</v>
          </cell>
          <cell r="I16">
            <v>1.5344009980998356E-2</v>
          </cell>
          <cell r="J16">
            <v>2.1601344173878902E-2</v>
          </cell>
          <cell r="K16">
            <v>5.466098920803914E-3</v>
          </cell>
          <cell r="L16">
            <v>2.4943644385055835E-2</v>
          </cell>
          <cell r="M16">
            <v>9.5528457818497801E-3</v>
          </cell>
          <cell r="N16">
            <v>1.9149159995147987E-2</v>
          </cell>
          <cell r="O16">
            <v>1.2746946454683116E-2</v>
          </cell>
          <cell r="P16">
            <v>0.12607404953497114</v>
          </cell>
          <cell r="Q16">
            <v>1.909646004258583E-2</v>
          </cell>
          <cell r="R16">
            <v>4.1735479446659528E-3</v>
          </cell>
          <cell r="S16">
            <v>3.2432088988195405E-2</v>
          </cell>
          <cell r="T16">
            <v>4.1792227124540983E-2</v>
          </cell>
          <cell r="U16">
            <v>3.9994348273180652E-3</v>
          </cell>
          <cell r="V16">
            <v>7.2270046011492098E-3</v>
          </cell>
          <cell r="W16">
            <v>4.546992920491158E-2</v>
          </cell>
          <cell r="X16">
            <v>2.3574430085972549E-2</v>
          </cell>
          <cell r="Y16">
            <v>2.1040168389036659E-3</v>
          </cell>
          <cell r="Z16">
            <v>1.5165544324474266E-2</v>
          </cell>
          <cell r="AA16">
            <v>3.2335325704582689E-2</v>
          </cell>
          <cell r="AB16">
            <v>0</v>
          </cell>
          <cell r="AC16">
            <v>1.6531883480220142E-2</v>
          </cell>
          <cell r="AD16">
            <v>2.2710367265817724E-2</v>
          </cell>
          <cell r="AE16">
            <v>6.4807057290446779E-2</v>
          </cell>
          <cell r="AF16">
            <v>1.9777916505365905E-2</v>
          </cell>
          <cell r="AG16">
            <v>0</v>
          </cell>
          <cell r="AH16">
            <v>6.8144556907054864E-3</v>
          </cell>
          <cell r="AI16">
            <v>1.0072717955061542E-2</v>
          </cell>
          <cell r="AJ16">
            <v>0</v>
          </cell>
          <cell r="AK16">
            <v>0</v>
          </cell>
          <cell r="AL16">
            <v>3.7555587624034845E-3</v>
          </cell>
          <cell r="AM16">
            <v>2.2537393397889148E-2</v>
          </cell>
          <cell r="AN16">
            <v>1.8241188850250674E-2</v>
          </cell>
          <cell r="AO16">
            <v>1.8302181213285484E-2</v>
          </cell>
          <cell r="AP16">
            <v>1.0990003712423254E-3</v>
          </cell>
          <cell r="AQ16">
            <v>3.0312574290570542E-2</v>
          </cell>
          <cell r="AR16">
            <v>5.8390412197266865E-2</v>
          </cell>
          <cell r="AS16">
            <v>2.7979184640408352E-3</v>
          </cell>
          <cell r="AT16">
            <v>0</v>
          </cell>
          <cell r="AU16">
            <v>3.4375021664929617E-2</v>
          </cell>
          <cell r="AV16">
            <v>2.021695913635943E-2</v>
          </cell>
          <cell r="AW16">
            <v>2.2747747563121928E-3</v>
          </cell>
          <cell r="AX16">
            <v>2.0284790638569841E-3</v>
          </cell>
          <cell r="AY16">
            <v>4.7849621300930694E-3</v>
          </cell>
          <cell r="AZ16">
            <v>3.3562091202907457E-2</v>
          </cell>
          <cell r="BA16">
            <v>9.1664140558153015E-3</v>
          </cell>
          <cell r="BB16">
            <v>6.6544992620233027E-3</v>
          </cell>
          <cell r="BC16">
            <v>1.7222861475096919E-3</v>
          </cell>
          <cell r="BD16">
            <v>4.8498126801280088E-3</v>
          </cell>
          <cell r="BE16">
            <v>6.9710635798177489E-2</v>
          </cell>
          <cell r="BH16">
            <v>3.0312574290570542E-2</v>
          </cell>
          <cell r="BI16">
            <v>4.9217520488522432E-2</v>
          </cell>
        </row>
        <row r="18">
          <cell r="A18" t="str">
            <v>עלות בריכות ומגדלים</v>
          </cell>
          <cell r="B18" t="str">
            <v>בריכות ומגדלים</v>
          </cell>
          <cell r="C18">
            <v>8132</v>
          </cell>
          <cell r="D18">
            <v>8748.6939999999995</v>
          </cell>
          <cell r="E18">
            <v>7370</v>
          </cell>
          <cell r="F18">
            <v>201821.193</v>
          </cell>
          <cell r="G18">
            <v>13629</v>
          </cell>
          <cell r="H18">
            <v>5950</v>
          </cell>
          <cell r="I18">
            <v>6467.1</v>
          </cell>
          <cell r="J18">
            <v>7870.5780000000004</v>
          </cell>
          <cell r="K18">
            <v>2200</v>
          </cell>
          <cell r="L18">
            <v>26915.65</v>
          </cell>
          <cell r="M18">
            <v>20121</v>
          </cell>
          <cell r="N18">
            <v>11307.746999999999</v>
          </cell>
          <cell r="O18">
            <v>4977.9669999999996</v>
          </cell>
          <cell r="P18">
            <v>18678</v>
          </cell>
          <cell r="Q18">
            <v>31950</v>
          </cell>
          <cell r="R18">
            <v>2000</v>
          </cell>
          <cell r="S18">
            <v>25296.940999999999</v>
          </cell>
          <cell r="T18">
            <v>59830</v>
          </cell>
          <cell r="U18">
            <v>12389</v>
          </cell>
          <cell r="V18">
            <v>12750</v>
          </cell>
          <cell r="W18">
            <v>10261.326999999999</v>
          </cell>
          <cell r="X18">
            <v>6400</v>
          </cell>
          <cell r="Y18">
            <v>7576</v>
          </cell>
          <cell r="Z18">
            <v>4800</v>
          </cell>
          <cell r="AA18">
            <v>28590</v>
          </cell>
          <cell r="AB18">
            <v>8000</v>
          </cell>
          <cell r="AC18">
            <v>22870</v>
          </cell>
          <cell r="AD18">
            <v>13681</v>
          </cell>
          <cell r="AE18">
            <v>73135</v>
          </cell>
          <cell r="AF18">
            <v>6463</v>
          </cell>
          <cell r="AG18">
            <v>7396.04</v>
          </cell>
          <cell r="AH18">
            <v>5100</v>
          </cell>
          <cell r="AI18">
            <v>9300</v>
          </cell>
          <cell r="AJ18">
            <v>429.80900000000003</v>
          </cell>
          <cell r="AK18">
            <v>0</v>
          </cell>
          <cell r="AL18">
            <v>22171.9</v>
          </cell>
          <cell r="AM18">
            <v>9700</v>
          </cell>
          <cell r="AN18">
            <v>12150</v>
          </cell>
          <cell r="AO18">
            <v>3200</v>
          </cell>
          <cell r="AP18">
            <v>7001</v>
          </cell>
          <cell r="AQ18">
            <v>15429</v>
          </cell>
          <cell r="AR18">
            <v>11900</v>
          </cell>
          <cell r="AS18">
            <v>10600</v>
          </cell>
          <cell r="AT18">
            <v>0</v>
          </cell>
          <cell r="AU18">
            <v>9500</v>
          </cell>
          <cell r="AV18">
            <v>10653</v>
          </cell>
          <cell r="AW18">
            <v>5085.6329999999998</v>
          </cell>
          <cell r="AX18">
            <v>9125</v>
          </cell>
          <cell r="AY18">
            <v>17291</v>
          </cell>
          <cell r="AZ18">
            <v>2751</v>
          </cell>
          <cell r="BA18">
            <v>11817</v>
          </cell>
          <cell r="BB18">
            <v>2500</v>
          </cell>
          <cell r="BC18">
            <v>2120</v>
          </cell>
          <cell r="BD18">
            <v>0</v>
          </cell>
          <cell r="BE18">
            <v>4800</v>
          </cell>
          <cell r="BH18">
            <v>15429</v>
          </cell>
          <cell r="BI18">
            <v>11229</v>
          </cell>
        </row>
        <row r="19">
          <cell r="B19" t="str">
            <v>שיעור אחזקת בריכות ומגדלים</v>
          </cell>
          <cell r="C19">
            <v>7.4999999999999997E-3</v>
          </cell>
          <cell r="D19">
            <v>7.4999999999999997E-3</v>
          </cell>
          <cell r="E19">
            <v>7.4999999999999997E-3</v>
          </cell>
          <cell r="F19">
            <v>7.4999999999999997E-3</v>
          </cell>
          <cell r="G19">
            <v>7.4999999999999997E-3</v>
          </cell>
          <cell r="H19">
            <v>7.4999999999999997E-3</v>
          </cell>
          <cell r="I19">
            <v>7.4999999999999997E-3</v>
          </cell>
          <cell r="J19">
            <v>7.4999999999999997E-3</v>
          </cell>
          <cell r="K19">
            <v>7.4999999999999997E-3</v>
          </cell>
          <cell r="L19">
            <v>7.4999999999999997E-3</v>
          </cell>
          <cell r="M19">
            <v>7.4999999999999997E-3</v>
          </cell>
          <cell r="N19">
            <v>7.4999999999999997E-3</v>
          </cell>
          <cell r="O19">
            <v>7.4999999999999997E-3</v>
          </cell>
          <cell r="P19">
            <v>7.4999999999999997E-3</v>
          </cell>
          <cell r="Q19">
            <v>7.4999999999999997E-3</v>
          </cell>
          <cell r="R19">
            <v>7.4999999999999997E-3</v>
          </cell>
          <cell r="S19">
            <v>7.4999999999999997E-3</v>
          </cell>
          <cell r="T19">
            <v>7.4999999999999997E-3</v>
          </cell>
          <cell r="U19">
            <v>7.4999999999999997E-3</v>
          </cell>
          <cell r="V19">
            <v>7.4999999999999997E-3</v>
          </cell>
          <cell r="W19">
            <v>7.4999999999999997E-3</v>
          </cell>
          <cell r="X19">
            <v>7.4999999999999997E-3</v>
          </cell>
          <cell r="Y19">
            <v>7.4999999999999997E-3</v>
          </cell>
          <cell r="Z19">
            <v>7.4999999999999997E-3</v>
          </cell>
          <cell r="AA19">
            <v>7.4999999999999997E-3</v>
          </cell>
          <cell r="AB19">
            <v>7.4999999999999997E-3</v>
          </cell>
          <cell r="AC19">
            <v>7.4999999999999997E-3</v>
          </cell>
          <cell r="AD19">
            <v>7.4999999999999997E-3</v>
          </cell>
          <cell r="AE19">
            <v>7.4999999999999997E-3</v>
          </cell>
          <cell r="AF19">
            <v>7.4999999999999997E-3</v>
          </cell>
          <cell r="AG19">
            <v>7.4999999999999997E-3</v>
          </cell>
          <cell r="AH19">
            <v>7.4999999999999997E-3</v>
          </cell>
          <cell r="AI19">
            <v>7.4999999999999997E-3</v>
          </cell>
          <cell r="AJ19">
            <v>7.4999999999999997E-3</v>
          </cell>
          <cell r="AK19">
            <v>7.4999999999999997E-3</v>
          </cell>
          <cell r="AL19">
            <v>7.4999999999999997E-3</v>
          </cell>
          <cell r="AM19">
            <v>7.4999999999999997E-3</v>
          </cell>
          <cell r="AN19">
            <v>7.4999999999999997E-3</v>
          </cell>
          <cell r="AO19">
            <v>7.4999999999999997E-3</v>
          </cell>
          <cell r="AP19">
            <v>7.4999999999999997E-3</v>
          </cell>
          <cell r="AQ19">
            <v>7.4999999999999997E-3</v>
          </cell>
          <cell r="AR19">
            <v>7.4999999999999997E-3</v>
          </cell>
          <cell r="AS19">
            <v>7.4999999999999997E-3</v>
          </cell>
          <cell r="AT19">
            <v>7.4999999999999997E-3</v>
          </cell>
          <cell r="AU19">
            <v>7.4999999999999997E-3</v>
          </cell>
          <cell r="AV19">
            <v>7.4999999999999997E-3</v>
          </cell>
          <cell r="AW19">
            <v>7.4999999999999997E-3</v>
          </cell>
          <cell r="AX19">
            <v>7.4999999999999997E-3</v>
          </cell>
          <cell r="AY19">
            <v>7.4999999999999997E-3</v>
          </cell>
          <cell r="AZ19">
            <v>7.4999999999999997E-3</v>
          </cell>
          <cell r="BA19">
            <v>7.4999999999999997E-3</v>
          </cell>
          <cell r="BB19">
            <v>7.4999999999999997E-3</v>
          </cell>
          <cell r="BC19">
            <v>7.4999999999999997E-3</v>
          </cell>
          <cell r="BD19">
            <v>7.4999999999999997E-3</v>
          </cell>
          <cell r="BE19">
            <v>7.4999999999999997E-3</v>
          </cell>
          <cell r="BH19">
            <v>7.4999999999999997E-3</v>
          </cell>
          <cell r="BI19">
            <v>7.4999999999999997E-3</v>
          </cell>
        </row>
        <row r="20">
          <cell r="B20" t="str">
            <v xml:space="preserve">כמויות מים </v>
          </cell>
          <cell r="C20">
            <v>10402.959000000001</v>
          </cell>
          <cell r="D20">
            <v>8990.4840000000004</v>
          </cell>
          <cell r="E20">
            <v>4622.0540000000001</v>
          </cell>
          <cell r="F20">
            <v>55801.764999999999</v>
          </cell>
          <cell r="G20">
            <v>16703.157999999999</v>
          </cell>
          <cell r="H20">
            <v>1778.4359999999999</v>
          </cell>
          <cell r="I20">
            <v>4577.4979999999996</v>
          </cell>
          <cell r="J20">
            <v>7141.3379999999997</v>
          </cell>
          <cell r="K20">
            <v>5178.0209999999997</v>
          </cell>
          <cell r="L20">
            <v>9465.3389999999999</v>
          </cell>
          <cell r="M20">
            <v>16042.34</v>
          </cell>
          <cell r="N20">
            <v>8244</v>
          </cell>
          <cell r="O20">
            <v>5267.893</v>
          </cell>
          <cell r="P20">
            <v>5041.085</v>
          </cell>
          <cell r="Q20">
            <v>20338.690999999999</v>
          </cell>
          <cell r="R20">
            <v>18255.450999999997</v>
          </cell>
          <cell r="S20">
            <v>18180.299000000003</v>
          </cell>
          <cell r="T20">
            <v>19298.804</v>
          </cell>
          <cell r="U20">
            <v>10977.175999999999</v>
          </cell>
          <cell r="V20">
            <v>8577.2049999999999</v>
          </cell>
          <cell r="W20">
            <v>8412.4480000000003</v>
          </cell>
          <cell r="X20">
            <v>6020.2939999999999</v>
          </cell>
          <cell r="Y20">
            <v>3545.5990000000002</v>
          </cell>
          <cell r="Z20">
            <v>3626.6419999999998</v>
          </cell>
          <cell r="AA20">
            <v>6380.3370000000004</v>
          </cell>
          <cell r="AB20">
            <v>7660.5219999999999</v>
          </cell>
          <cell r="AC20">
            <v>9918.521999999999</v>
          </cell>
          <cell r="AD20">
            <v>4453.9129999999996</v>
          </cell>
          <cell r="AE20">
            <v>23482.1</v>
          </cell>
          <cell r="AF20">
            <v>5287.741</v>
          </cell>
          <cell r="AG20">
            <v>4061.6559999999999</v>
          </cell>
          <cell r="AH20">
            <v>3228.4309999999996</v>
          </cell>
          <cell r="AI20">
            <v>3395.31</v>
          </cell>
          <cell r="AJ20">
            <v>3094.3240000000001</v>
          </cell>
          <cell r="AK20">
            <v>2916.2270000000003</v>
          </cell>
          <cell r="AL20">
            <v>45887.912000000004</v>
          </cell>
          <cell r="AM20">
            <v>5557.4649999999992</v>
          </cell>
          <cell r="AN20">
            <v>11903.299000000001</v>
          </cell>
          <cell r="AO20">
            <v>3688.085</v>
          </cell>
          <cell r="AP20">
            <v>9099.1779999999999</v>
          </cell>
          <cell r="AQ20">
            <v>4946.7919999999995</v>
          </cell>
          <cell r="AR20">
            <v>9679.152</v>
          </cell>
          <cell r="AS20">
            <v>3466.8629999999998</v>
          </cell>
          <cell r="AT20">
            <v>2739.9360000000001</v>
          </cell>
          <cell r="AU20">
            <v>4327.2700000000004</v>
          </cell>
          <cell r="AV20">
            <v>5471.9060000000009</v>
          </cell>
          <cell r="AW20">
            <v>7319.4059999999999</v>
          </cell>
          <cell r="AX20">
            <v>12657.895</v>
          </cell>
          <cell r="AY20">
            <v>7259.326</v>
          </cell>
          <cell r="AZ20">
            <v>3372.8529999999996</v>
          </cell>
          <cell r="BA20">
            <v>5357.384</v>
          </cell>
          <cell r="BB20">
            <v>4966.9589999999998</v>
          </cell>
          <cell r="BC20">
            <v>5951.3919999999998</v>
          </cell>
          <cell r="BD20">
            <v>1131.4870000000001</v>
          </cell>
          <cell r="BE20">
            <v>1075.876</v>
          </cell>
          <cell r="BH20">
            <v>4946.7919999999995</v>
          </cell>
          <cell r="BI20">
            <v>2529.587</v>
          </cell>
        </row>
        <row r="21">
          <cell r="B21" t="str">
            <v>סה"כ עלות בריכות ומגדלים לק"ב מים</v>
          </cell>
          <cell r="C21">
            <v>5.8627550103773352E-3</v>
          </cell>
          <cell r="D21">
            <v>7.2982950639809809E-3</v>
          </cell>
          <cell r="E21">
            <v>1.1958968891319746E-2</v>
          </cell>
          <cell r="F21">
            <v>2.7125646428925676E-2</v>
          </cell>
          <cell r="G21">
            <v>6.1196511462083998E-3</v>
          </cell>
          <cell r="H21">
            <v>2.5092272086260064E-2</v>
          </cell>
          <cell r="I21">
            <v>1.0596017737200541E-2</v>
          </cell>
          <cell r="J21">
            <v>8.26586488414356E-3</v>
          </cell>
          <cell r="K21">
            <v>3.1865455933840362E-3</v>
          </cell>
          <cell r="L21">
            <v>2.1327009523906117E-2</v>
          </cell>
          <cell r="M21">
            <v>9.4068259368645726E-3</v>
          </cell>
          <cell r="N21">
            <v>1.0287251637554585E-2</v>
          </cell>
          <cell r="O21">
            <v>7.0872268096561549E-3</v>
          </cell>
          <cell r="P21">
            <v>2.7788660576046627E-2</v>
          </cell>
          <cell r="Q21">
            <v>1.1781731675848756E-2</v>
          </cell>
          <cell r="R21">
            <v>8.2167238705852853E-4</v>
          </cell>
          <cell r="S21">
            <v>1.0435860130793225E-2</v>
          </cell>
          <cell r="T21">
            <v>2.3251440866490999E-2</v>
          </cell>
          <cell r="U21">
            <v>8.4646087481880586E-3</v>
          </cell>
          <cell r="V21">
            <v>1.1148736680538706E-2</v>
          </cell>
          <cell r="W21">
            <v>9.1483421353689177E-3</v>
          </cell>
          <cell r="X21">
            <v>7.9730325462510632E-3</v>
          </cell>
          <cell r="Y21">
            <v>1.6025500909719343E-2</v>
          </cell>
          <cell r="Z21">
            <v>9.9265381032922467E-3</v>
          </cell>
          <cell r="AA21">
            <v>3.3607158994893215E-2</v>
          </cell>
          <cell r="AB21">
            <v>7.8323644263406586E-3</v>
          </cell>
          <cell r="AC21">
            <v>1.7293403190515685E-2</v>
          </cell>
          <cell r="AD21">
            <v>2.3037607604818506E-2</v>
          </cell>
          <cell r="AE21">
            <v>2.3358749856273502E-2</v>
          </cell>
          <cell r="AF21">
            <v>9.1669580639445088E-3</v>
          </cell>
          <cell r="AG21">
            <v>1.3657065000088633E-2</v>
          </cell>
          <cell r="AH21">
            <v>1.184786046224931E-2</v>
          </cell>
          <cell r="AI21">
            <v>2.054304319782288E-2</v>
          </cell>
          <cell r="AJ21">
            <v>1.0417679273405113E-3</v>
          </cell>
          <cell r="AK21">
            <v>0</v>
          </cell>
          <cell r="AL21">
            <v>3.6238138270488314E-3</v>
          </cell>
          <cell r="AM21">
            <v>1.3090500794876803E-2</v>
          </cell>
          <cell r="AN21">
            <v>7.6554407311788097E-3</v>
          </cell>
          <cell r="AO21">
            <v>6.5074422091681728E-3</v>
          </cell>
          <cell r="AP21">
            <v>5.7705761993006406E-3</v>
          </cell>
          <cell r="AQ21">
            <v>2.3392432914098676E-2</v>
          </cell>
          <cell r="AR21">
            <v>9.2208490991772824E-3</v>
          </cell>
          <cell r="AS21">
            <v>2.2931393597035707E-2</v>
          </cell>
          <cell r="AT21">
            <v>0</v>
          </cell>
          <cell r="AU21">
            <v>1.6465346511773012E-2</v>
          </cell>
          <cell r="AV21">
            <v>1.4601402143969575E-2</v>
          </cell>
          <cell r="AW21">
            <v>5.2111124181388486E-3</v>
          </cell>
          <cell r="AX21">
            <v>5.4067046692992792E-3</v>
          </cell>
          <cell r="AY21">
            <v>1.7864261778572831E-2</v>
          </cell>
          <cell r="AZ21">
            <v>6.117224794558198E-3</v>
          </cell>
          <cell r="BA21">
            <v>1.654305534193554E-2</v>
          </cell>
          <cell r="BB21">
            <v>3.7749455954840779E-3</v>
          </cell>
          <cell r="BC21">
            <v>2.6716438776003999E-3</v>
          </cell>
          <cell r="BD21">
            <v>0</v>
          </cell>
          <cell r="BE21">
            <v>3.3461105183125193E-2</v>
          </cell>
          <cell r="BH21">
            <v>2.3392432914098676E-2</v>
          </cell>
          <cell r="BI21">
            <v>3.3292984190699905E-2</v>
          </cell>
        </row>
        <row r="23">
          <cell r="A23" t="str">
            <v>עלות אחזקת מוני מים</v>
          </cell>
          <cell r="B23" t="str">
            <v xml:space="preserve">כמויות מים </v>
          </cell>
          <cell r="C23">
            <v>10402.959000000001</v>
          </cell>
          <cell r="D23">
            <v>8990.4840000000004</v>
          </cell>
          <cell r="E23">
            <v>4622.0540000000001</v>
          </cell>
          <cell r="F23">
            <v>55801.764999999999</v>
          </cell>
          <cell r="G23">
            <v>16703.157999999999</v>
          </cell>
          <cell r="H23">
            <v>1778.4359999999999</v>
          </cell>
          <cell r="I23">
            <v>4577.4979999999996</v>
          </cell>
          <cell r="J23">
            <v>7141.3379999999997</v>
          </cell>
          <cell r="K23">
            <v>5178.0209999999997</v>
          </cell>
          <cell r="L23">
            <v>9465.3389999999999</v>
          </cell>
          <cell r="M23">
            <v>16042.34</v>
          </cell>
          <cell r="N23">
            <v>8244</v>
          </cell>
          <cell r="O23">
            <v>5267.893</v>
          </cell>
          <cell r="P23">
            <v>5041.085</v>
          </cell>
          <cell r="Q23">
            <v>20338.690999999999</v>
          </cell>
          <cell r="R23">
            <v>18255.450999999997</v>
          </cell>
          <cell r="S23">
            <v>18180.299000000003</v>
          </cell>
          <cell r="T23">
            <v>19298.804</v>
          </cell>
          <cell r="U23">
            <v>10977.175999999999</v>
          </cell>
          <cell r="V23">
            <v>8577.2049999999999</v>
          </cell>
          <cell r="W23">
            <v>8412.4480000000003</v>
          </cell>
          <cell r="X23">
            <v>6020.2939999999999</v>
          </cell>
          <cell r="Y23">
            <v>3545.5990000000002</v>
          </cell>
          <cell r="Z23">
            <v>3626.6419999999998</v>
          </cell>
          <cell r="AA23">
            <v>6380.3370000000004</v>
          </cell>
          <cell r="AB23">
            <v>7660.5219999999999</v>
          </cell>
          <cell r="AC23">
            <v>9918.521999999999</v>
          </cell>
          <cell r="AD23">
            <v>4453.9129999999996</v>
          </cell>
          <cell r="AE23">
            <v>23482.1</v>
          </cell>
          <cell r="AF23">
            <v>5287.741</v>
          </cell>
          <cell r="AG23">
            <v>4061.6559999999999</v>
          </cell>
          <cell r="AH23">
            <v>3228.4309999999996</v>
          </cell>
          <cell r="AI23">
            <v>3395.31</v>
          </cell>
          <cell r="AJ23">
            <v>3094.3240000000001</v>
          </cell>
          <cell r="AK23">
            <v>2916.2270000000003</v>
          </cell>
          <cell r="AL23">
            <v>45887.912000000004</v>
          </cell>
          <cell r="AM23">
            <v>5557.4649999999992</v>
          </cell>
          <cell r="AN23">
            <v>11903.299000000001</v>
          </cell>
          <cell r="AO23">
            <v>3688.085</v>
          </cell>
          <cell r="AP23">
            <v>9099.1779999999999</v>
          </cell>
          <cell r="AQ23">
            <v>4946.7919999999995</v>
          </cell>
          <cell r="AR23">
            <v>9679.152</v>
          </cell>
          <cell r="AS23">
            <v>3466.8629999999998</v>
          </cell>
          <cell r="AT23">
            <v>2739.9360000000001</v>
          </cell>
          <cell r="AU23">
            <v>4327.2700000000004</v>
          </cell>
          <cell r="AV23">
            <v>5471.9060000000009</v>
          </cell>
          <cell r="AW23">
            <v>7319.4059999999999</v>
          </cell>
          <cell r="AX23">
            <v>12657.895</v>
          </cell>
          <cell r="AY23">
            <v>7259.326</v>
          </cell>
          <cell r="AZ23">
            <v>3372.8529999999996</v>
          </cell>
          <cell r="BA23">
            <v>5357.384</v>
          </cell>
          <cell r="BB23">
            <v>4966.9589999999998</v>
          </cell>
          <cell r="BC23">
            <v>5951.3919999999998</v>
          </cell>
          <cell r="BD23">
            <v>1131.4870000000001</v>
          </cell>
          <cell r="BE23">
            <v>1075.876</v>
          </cell>
          <cell r="BH23">
            <v>4946.7919999999995</v>
          </cell>
          <cell r="BI23">
            <v>2529.587</v>
          </cell>
        </row>
        <row r="24">
          <cell r="B24" t="str">
            <v>מספר צרכנים</v>
          </cell>
          <cell r="C24">
            <v>42643</v>
          </cell>
          <cell r="D24">
            <v>28386</v>
          </cell>
          <cell r="E24">
            <v>17180</v>
          </cell>
          <cell r="F24">
            <v>199592</v>
          </cell>
          <cell r="G24">
            <v>69699</v>
          </cell>
          <cell r="H24">
            <v>7441</v>
          </cell>
          <cell r="I24">
            <v>14865</v>
          </cell>
          <cell r="J24">
            <v>29700</v>
          </cell>
          <cell r="K24">
            <v>22609</v>
          </cell>
          <cell r="L24">
            <v>42778</v>
          </cell>
          <cell r="M24">
            <v>73228</v>
          </cell>
          <cell r="N24">
            <v>28518</v>
          </cell>
          <cell r="O24">
            <v>21234</v>
          </cell>
          <cell r="P24">
            <v>17139</v>
          </cell>
          <cell r="Q24">
            <v>88021</v>
          </cell>
          <cell r="R24">
            <v>87975</v>
          </cell>
          <cell r="S24">
            <v>98625</v>
          </cell>
          <cell r="T24">
            <v>79672</v>
          </cell>
          <cell r="U24">
            <v>21143</v>
          </cell>
          <cell r="V24">
            <v>32332</v>
          </cell>
          <cell r="W24">
            <v>38082.666666666664</v>
          </cell>
          <cell r="X24">
            <v>22690</v>
          </cell>
          <cell r="Y24">
            <v>12257</v>
          </cell>
          <cell r="Z24">
            <v>19971</v>
          </cell>
          <cell r="AA24">
            <v>24715</v>
          </cell>
          <cell r="AB24">
            <v>16651</v>
          </cell>
          <cell r="AC24">
            <v>37280</v>
          </cell>
          <cell r="AD24">
            <v>18500</v>
          </cell>
          <cell r="AE24">
            <v>110389</v>
          </cell>
          <cell r="AF24">
            <v>17059</v>
          </cell>
          <cell r="AG24">
            <v>17082</v>
          </cell>
          <cell r="AH24">
            <v>5780</v>
          </cell>
          <cell r="AI24">
            <v>12031</v>
          </cell>
          <cell r="AJ24">
            <v>18544</v>
          </cell>
          <cell r="AK24">
            <v>18491</v>
          </cell>
          <cell r="AL24">
            <v>285643</v>
          </cell>
          <cell r="AM24">
            <v>17668</v>
          </cell>
          <cell r="AN24">
            <v>67849</v>
          </cell>
          <cell r="AO24">
            <v>24947</v>
          </cell>
          <cell r="AP24">
            <v>53449</v>
          </cell>
          <cell r="AQ24">
            <v>22766.333333333336</v>
          </cell>
          <cell r="AR24">
            <v>30888</v>
          </cell>
          <cell r="AS24">
            <v>18172</v>
          </cell>
          <cell r="AT24">
            <v>15930</v>
          </cell>
          <cell r="AU24">
            <v>17634</v>
          </cell>
          <cell r="AV24">
            <v>17802</v>
          </cell>
          <cell r="AW24">
            <v>21439</v>
          </cell>
          <cell r="AX24">
            <v>53406</v>
          </cell>
          <cell r="AY24">
            <v>27733</v>
          </cell>
          <cell r="AZ24">
            <v>15109</v>
          </cell>
          <cell r="BA24">
            <v>20514</v>
          </cell>
          <cell r="BB24">
            <v>12104</v>
          </cell>
          <cell r="BC24">
            <v>7546</v>
          </cell>
          <cell r="BD24">
            <v>2765</v>
          </cell>
          <cell r="BE24">
            <v>4846</v>
          </cell>
          <cell r="BH24">
            <v>22766.333333333336</v>
          </cell>
          <cell r="BI24">
            <v>13565</v>
          </cell>
        </row>
        <row r="25">
          <cell r="B25" t="str">
            <v>עלות לשנה לצרכן</v>
          </cell>
          <cell r="C25">
            <v>30</v>
          </cell>
          <cell r="D25">
            <v>30</v>
          </cell>
          <cell r="E25">
            <v>30</v>
          </cell>
          <cell r="F25">
            <v>30</v>
          </cell>
          <cell r="G25">
            <v>30</v>
          </cell>
          <cell r="H25">
            <v>30</v>
          </cell>
          <cell r="I25">
            <v>30</v>
          </cell>
          <cell r="J25">
            <v>30</v>
          </cell>
          <cell r="K25">
            <v>30</v>
          </cell>
          <cell r="L25">
            <v>30</v>
          </cell>
          <cell r="M25">
            <v>30</v>
          </cell>
          <cell r="N25">
            <v>30</v>
          </cell>
          <cell r="O25">
            <v>30</v>
          </cell>
          <cell r="P25">
            <v>30</v>
          </cell>
          <cell r="Q25">
            <v>30</v>
          </cell>
          <cell r="R25">
            <v>30</v>
          </cell>
          <cell r="S25">
            <v>30</v>
          </cell>
          <cell r="T25">
            <v>30</v>
          </cell>
          <cell r="U25">
            <v>30</v>
          </cell>
          <cell r="V25">
            <v>30</v>
          </cell>
          <cell r="W25">
            <v>30</v>
          </cell>
          <cell r="X25">
            <v>30</v>
          </cell>
          <cell r="Y25">
            <v>30</v>
          </cell>
          <cell r="Z25">
            <v>30</v>
          </cell>
          <cell r="AA25">
            <v>30</v>
          </cell>
          <cell r="AB25">
            <v>30</v>
          </cell>
          <cell r="AC25">
            <v>30</v>
          </cell>
          <cell r="AD25">
            <v>30</v>
          </cell>
          <cell r="AE25">
            <v>30</v>
          </cell>
          <cell r="AF25">
            <v>30</v>
          </cell>
          <cell r="AG25">
            <v>30</v>
          </cell>
          <cell r="AH25">
            <v>30</v>
          </cell>
          <cell r="AI25">
            <v>30</v>
          </cell>
          <cell r="AJ25">
            <v>30</v>
          </cell>
          <cell r="AK25">
            <v>30</v>
          </cell>
          <cell r="AL25">
            <v>30</v>
          </cell>
          <cell r="AM25">
            <v>30</v>
          </cell>
          <cell r="AN25">
            <v>30</v>
          </cell>
          <cell r="AO25">
            <v>30</v>
          </cell>
          <cell r="AP25">
            <v>30</v>
          </cell>
          <cell r="AQ25">
            <v>30</v>
          </cell>
          <cell r="AR25">
            <v>30</v>
          </cell>
          <cell r="AS25">
            <v>30</v>
          </cell>
          <cell r="AT25">
            <v>30</v>
          </cell>
          <cell r="AU25">
            <v>30</v>
          </cell>
          <cell r="AV25">
            <v>30</v>
          </cell>
          <cell r="AW25">
            <v>30</v>
          </cell>
          <cell r="AX25">
            <v>30</v>
          </cell>
          <cell r="AY25">
            <v>30</v>
          </cell>
          <cell r="AZ25">
            <v>30</v>
          </cell>
          <cell r="BA25">
            <v>30</v>
          </cell>
          <cell r="BB25">
            <v>30</v>
          </cell>
          <cell r="BC25">
            <v>30</v>
          </cell>
          <cell r="BD25">
            <v>30</v>
          </cell>
          <cell r="BE25">
            <v>30</v>
          </cell>
          <cell r="BH25">
            <v>30</v>
          </cell>
          <cell r="BI25">
            <v>30</v>
          </cell>
        </row>
        <row r="26">
          <cell r="B26" t="str">
            <v>סה"כ עלות אחזקת מוני מים</v>
          </cell>
          <cell r="C26">
            <v>0.12297366547344846</v>
          </cell>
          <cell r="D26">
            <v>9.4720150772750394E-2</v>
          </cell>
          <cell r="E26">
            <v>0.11150886597170867</v>
          </cell>
          <cell r="F26">
            <v>0.10730413276354252</v>
          </cell>
          <cell r="G26">
            <v>0.12518411189069756</v>
          </cell>
          <cell r="H26">
            <v>0.12552040107150328</v>
          </cell>
          <cell r="I26">
            <v>9.7422216241274173E-2</v>
          </cell>
          <cell r="J26">
            <v>0.12476653534673755</v>
          </cell>
          <cell r="K26">
            <v>0.13099019876512669</v>
          </cell>
          <cell r="L26">
            <v>0.13558309955935016</v>
          </cell>
          <cell r="M26">
            <v>0.13694012220162396</v>
          </cell>
          <cell r="N26">
            <v>0.10377729257641921</v>
          </cell>
          <cell r="O26">
            <v>0.1209250073985937</v>
          </cell>
          <cell r="P26">
            <v>0.10199589969222894</v>
          </cell>
          <cell r="Q26">
            <v>0.1298328392913782</v>
          </cell>
          <cell r="R26">
            <v>0.14457325650294811</v>
          </cell>
          <cell r="S26">
            <v>0.1627448481457868</v>
          </cell>
          <cell r="T26">
            <v>0.12385016190640621</v>
          </cell>
          <cell r="U26">
            <v>5.7782620958250097E-2</v>
          </cell>
          <cell r="V26">
            <v>0.11308578960162431</v>
          </cell>
          <cell r="W26">
            <v>0.13580826888915093</v>
          </cell>
          <cell r="X26">
            <v>0.11306756779652291</v>
          </cell>
          <cell r="Y26">
            <v>0.10370885145218056</v>
          </cell>
          <cell r="Z26">
            <v>0.16520241038404121</v>
          </cell>
          <cell r="AA26">
            <v>0.11620859525131666</v>
          </cell>
          <cell r="AB26">
            <v>6.5208350031499163E-2</v>
          </cell>
          <cell r="AC26">
            <v>0.11275873562613464</v>
          </cell>
          <cell r="AD26">
            <v>0.12460952874472403</v>
          </cell>
          <cell r="AE26">
            <v>0.14102955016800031</v>
          </cell>
          <cell r="AF26">
            <v>9.6784241134352078E-2</v>
          </cell>
          <cell r="AG26">
            <v>0.12617021234688514</v>
          </cell>
          <cell r="AH26">
            <v>5.3710300762196878E-2</v>
          </cell>
          <cell r="AI26">
            <v>0.10630251729591701</v>
          </cell>
          <cell r="AJ26">
            <v>0.17978724916977021</v>
          </cell>
          <cell r="AK26">
            <v>0.19022181743739427</v>
          </cell>
          <cell r="AL26">
            <v>0.18674395121747966</v>
          </cell>
          <cell r="AM26">
            <v>9.5374419811910652E-2</v>
          </cell>
          <cell r="AN26">
            <v>0.17100049322460939</v>
          </cell>
          <cell r="AO26">
            <v>0.202926450990148</v>
          </cell>
          <cell r="AP26">
            <v>0.17622141252759316</v>
          </cell>
          <cell r="AQ26">
            <v>0.13806725651695081</v>
          </cell>
          <cell r="AR26">
            <v>9.5735659487525354E-2</v>
          </cell>
          <cell r="AS26">
            <v>0.15724878658314448</v>
          </cell>
          <cell r="AT26">
            <v>0.1744201324410497</v>
          </cell>
          <cell r="AU26">
            <v>0.1222525980583601</v>
          </cell>
          <cell r="AV26">
            <v>9.7600360824911803E-2</v>
          </cell>
          <cell r="AW26">
            <v>8.7871884685724488E-2</v>
          </cell>
          <cell r="AX26">
            <v>0.12657554830404266</v>
          </cell>
          <cell r="AY26">
            <v>0.11460981363834603</v>
          </cell>
          <cell r="AZ26">
            <v>0.13438771271680089</v>
          </cell>
          <cell r="BA26">
            <v>0.11487322917304416</v>
          </cell>
          <cell r="BB26">
            <v>7.3107106380382855E-2</v>
          </cell>
          <cell r="BC26">
            <v>3.8038159812023811E-2</v>
          </cell>
          <cell r="BD26">
            <v>7.3310608075921324E-2</v>
          </cell>
          <cell r="BE26">
            <v>0.13512709643118723</v>
          </cell>
          <cell r="BH26">
            <v>0.13806725651695081</v>
          </cell>
          <cell r="BI26">
            <v>0.1608760639582667</v>
          </cell>
        </row>
        <row r="28">
          <cell r="A28" t="str">
            <v>עלות אנרגיה</v>
          </cell>
          <cell r="B28" t="str">
            <v>אנרגיה -מים</v>
          </cell>
          <cell r="C28">
            <v>445</v>
          </cell>
          <cell r="D28">
            <v>0</v>
          </cell>
          <cell r="E28">
            <v>183.75</v>
          </cell>
          <cell r="F28">
            <v>1777</v>
          </cell>
          <cell r="G28">
            <v>850</v>
          </cell>
          <cell r="H28">
            <v>70</v>
          </cell>
          <cell r="I28">
            <v>260</v>
          </cell>
          <cell r="J28">
            <v>118</v>
          </cell>
          <cell r="K28">
            <v>0</v>
          </cell>
          <cell r="L28">
            <v>124</v>
          </cell>
          <cell r="M28">
            <v>254</v>
          </cell>
          <cell r="N28">
            <v>805</v>
          </cell>
          <cell r="O28">
            <v>100</v>
          </cell>
          <cell r="P28">
            <v>94</v>
          </cell>
          <cell r="Q28">
            <v>1330</v>
          </cell>
          <cell r="R28">
            <v>340</v>
          </cell>
          <cell r="S28">
            <v>795</v>
          </cell>
          <cell r="T28">
            <v>1393</v>
          </cell>
          <cell r="U28">
            <v>400</v>
          </cell>
          <cell r="V28">
            <v>598</v>
          </cell>
          <cell r="W28">
            <v>886</v>
          </cell>
          <cell r="X28">
            <v>313</v>
          </cell>
          <cell r="Y28">
            <v>0</v>
          </cell>
          <cell r="Z28">
            <v>137</v>
          </cell>
          <cell r="AA28">
            <v>548</v>
          </cell>
          <cell r="AB28">
            <v>0</v>
          </cell>
          <cell r="AC28">
            <v>267</v>
          </cell>
          <cell r="AD28">
            <v>536</v>
          </cell>
          <cell r="AE28">
            <v>6684</v>
          </cell>
          <cell r="AF28">
            <v>107</v>
          </cell>
          <cell r="AG28">
            <v>0</v>
          </cell>
          <cell r="AH28">
            <v>0</v>
          </cell>
          <cell r="AI28">
            <v>200</v>
          </cell>
          <cell r="AJ28">
            <v>1</v>
          </cell>
          <cell r="AK28">
            <v>0</v>
          </cell>
          <cell r="AL28">
            <v>200</v>
          </cell>
          <cell r="AM28">
            <v>400</v>
          </cell>
          <cell r="AN28">
            <v>150</v>
          </cell>
          <cell r="AO28">
            <v>0</v>
          </cell>
          <cell r="AP28">
            <v>0</v>
          </cell>
          <cell r="AQ28">
            <v>0</v>
          </cell>
          <cell r="AR28">
            <v>1110</v>
          </cell>
          <cell r="AS28">
            <v>199</v>
          </cell>
          <cell r="AT28">
            <v>0</v>
          </cell>
          <cell r="AU28">
            <v>307</v>
          </cell>
          <cell r="AV28">
            <v>146</v>
          </cell>
          <cell r="AW28">
            <v>0</v>
          </cell>
          <cell r="AX28">
            <v>37</v>
          </cell>
          <cell r="AY28">
            <v>0</v>
          </cell>
          <cell r="AZ28">
            <v>278</v>
          </cell>
          <cell r="BA28">
            <v>70</v>
          </cell>
          <cell r="BB28">
            <v>200</v>
          </cell>
          <cell r="BC28">
            <v>0</v>
          </cell>
          <cell r="BD28">
            <v>0</v>
          </cell>
          <cell r="BE28">
            <v>0</v>
          </cell>
          <cell r="BH28">
            <v>0</v>
          </cell>
          <cell r="BI28">
            <v>0</v>
          </cell>
        </row>
        <row r="29">
          <cell r="B29" t="str">
            <v>כמות מים 2011</v>
          </cell>
          <cell r="C29">
            <v>10402.959000000001</v>
          </cell>
          <cell r="D29">
            <v>8990.4840000000004</v>
          </cell>
          <cell r="E29">
            <v>4622.0540000000001</v>
          </cell>
          <cell r="F29">
            <v>55801.764999999999</v>
          </cell>
          <cell r="G29">
            <v>16703.157999999999</v>
          </cell>
          <cell r="H29">
            <v>1778.4359999999999</v>
          </cell>
          <cell r="I29">
            <v>4577.4979999999996</v>
          </cell>
          <cell r="J29">
            <v>7141.3379999999997</v>
          </cell>
          <cell r="K29">
            <v>5178.0209999999997</v>
          </cell>
          <cell r="L29">
            <v>9465.3389999999999</v>
          </cell>
          <cell r="M29">
            <v>16042.34</v>
          </cell>
          <cell r="N29">
            <v>8244</v>
          </cell>
          <cell r="O29">
            <v>5267.893</v>
          </cell>
          <cell r="P29">
            <v>5041.085</v>
          </cell>
          <cell r="Q29">
            <v>20338.690999999999</v>
          </cell>
          <cell r="R29">
            <v>18255.450999999997</v>
          </cell>
          <cell r="S29">
            <v>18180.299000000003</v>
          </cell>
          <cell r="T29">
            <v>19298.804</v>
          </cell>
          <cell r="U29">
            <v>10977.175999999999</v>
          </cell>
          <cell r="V29">
            <v>8577.2049999999999</v>
          </cell>
          <cell r="W29">
            <v>8412.4480000000003</v>
          </cell>
          <cell r="X29">
            <v>6020.2939999999999</v>
          </cell>
          <cell r="Y29">
            <v>3545.5990000000002</v>
          </cell>
          <cell r="Z29">
            <v>3626.6419999999998</v>
          </cell>
          <cell r="AA29">
            <v>6380.3370000000004</v>
          </cell>
          <cell r="AB29">
            <v>7660.5219999999999</v>
          </cell>
          <cell r="AC29">
            <v>9918.521999999999</v>
          </cell>
          <cell r="AD29">
            <v>4453.9129999999996</v>
          </cell>
          <cell r="AE29">
            <v>23482.1</v>
          </cell>
          <cell r="AF29">
            <v>5287.741</v>
          </cell>
          <cell r="AG29">
            <v>4061.6559999999999</v>
          </cell>
          <cell r="AH29">
            <v>3228.4309999999996</v>
          </cell>
          <cell r="AI29">
            <v>3395.31</v>
          </cell>
          <cell r="AJ29">
            <v>3094.3240000000001</v>
          </cell>
          <cell r="AK29">
            <v>2916.2270000000003</v>
          </cell>
          <cell r="AL29">
            <v>45887.912000000004</v>
          </cell>
          <cell r="AM29">
            <v>5557.4649999999992</v>
          </cell>
          <cell r="AN29">
            <v>11903.299000000001</v>
          </cell>
          <cell r="AO29">
            <v>3688.085</v>
          </cell>
          <cell r="AP29">
            <v>9099.1779999999999</v>
          </cell>
          <cell r="AQ29">
            <v>4946.7919999999995</v>
          </cell>
          <cell r="AR29">
            <v>9679.152</v>
          </cell>
          <cell r="AS29">
            <v>3466.8629999999998</v>
          </cell>
          <cell r="AT29">
            <v>2739.9360000000001</v>
          </cell>
          <cell r="AU29">
            <v>4327.2700000000004</v>
          </cell>
          <cell r="AV29">
            <v>5471.9060000000009</v>
          </cell>
          <cell r="AW29">
            <v>7319.4059999999999</v>
          </cell>
          <cell r="AX29">
            <v>12657.895</v>
          </cell>
          <cell r="AY29">
            <v>7259.326</v>
          </cell>
          <cell r="AZ29">
            <v>3372.8529999999996</v>
          </cell>
          <cell r="BA29">
            <v>5357.384</v>
          </cell>
          <cell r="BB29">
            <v>4966.9589999999998</v>
          </cell>
          <cell r="BC29">
            <v>5951.3919999999998</v>
          </cell>
          <cell r="BD29">
            <v>1131.4870000000001</v>
          </cell>
          <cell r="BE29">
            <v>1075.876</v>
          </cell>
          <cell r="BH29">
            <v>4946.7919999999995</v>
          </cell>
          <cell r="BI29">
            <v>2529.587</v>
          </cell>
        </row>
        <row r="30">
          <cell r="B30" t="str">
            <v>סה"כ עלות אנרגיה  לק"ב מים</v>
          </cell>
          <cell r="C30">
            <v>4.2776290861090575E-2</v>
          </cell>
          <cell r="D30">
            <v>0</v>
          </cell>
          <cell r="E30">
            <v>3.9755052623790199E-2</v>
          </cell>
          <cell r="F30">
            <v>3.1844870856683478E-2</v>
          </cell>
          <cell r="G30">
            <v>5.0888580470830724E-2</v>
          </cell>
          <cell r="H30">
            <v>3.9360426801976572E-2</v>
          </cell>
          <cell r="I30">
            <v>5.6799587897143816E-2</v>
          </cell>
          <cell r="J30">
            <v>1.6523514221004523E-2</v>
          </cell>
          <cell r="K30">
            <v>0</v>
          </cell>
          <cell r="L30">
            <v>1.3100428838312077E-2</v>
          </cell>
          <cell r="M30">
            <v>1.5833101654746128E-2</v>
          </cell>
          <cell r="N30">
            <v>9.7646773410965546E-2</v>
          </cell>
          <cell r="O30">
            <v>1.8982921634892735E-2</v>
          </cell>
          <cell r="P30">
            <v>1.8646779413558787E-2</v>
          </cell>
          <cell r="Q30">
            <v>6.5392605649989971E-2</v>
          </cell>
          <cell r="R30">
            <v>1.8624574106659981E-2</v>
          </cell>
          <cell r="S30">
            <v>4.3728653747663881E-2</v>
          </cell>
          <cell r="T30">
            <v>7.2180638758754176E-2</v>
          </cell>
          <cell r="U30">
            <v>3.6439244483280585E-2</v>
          </cell>
          <cell r="V30">
            <v>6.9719681411368861E-2</v>
          </cell>
          <cell r="W30">
            <v>0.10532011609462548</v>
          </cell>
          <cell r="X30">
            <v>5.1990816395345481E-2</v>
          </cell>
          <cell r="Y30">
            <v>0</v>
          </cell>
          <cell r="Z30">
            <v>3.7775992226417719E-2</v>
          </cell>
          <cell r="AA30">
            <v>8.5888880164166875E-2</v>
          </cell>
          <cell r="AB30">
            <v>0</v>
          </cell>
          <cell r="AC30">
            <v>2.6919333344222054E-2</v>
          </cell>
          <cell r="AD30">
            <v>0.12034361694985961</v>
          </cell>
          <cell r="AE30">
            <v>0.28464234459439319</v>
          </cell>
          <cell r="AF30">
            <v>2.0235484302275772E-2</v>
          </cell>
          <cell r="AG30">
            <v>0</v>
          </cell>
          <cell r="AH30">
            <v>0</v>
          </cell>
          <cell r="AI30">
            <v>5.8904783362932985E-2</v>
          </cell>
          <cell r="AJ30">
            <v>3.2317236333363926E-4</v>
          </cell>
          <cell r="AK30">
            <v>0</v>
          </cell>
          <cell r="AL30">
            <v>4.3584462940915681E-3</v>
          </cell>
          <cell r="AM30">
            <v>7.1975262102415408E-2</v>
          </cell>
          <cell r="AN30">
            <v>1.2601548528689398E-2</v>
          </cell>
          <cell r="AO30">
            <v>0</v>
          </cell>
          <cell r="AP30">
            <v>0</v>
          </cell>
          <cell r="AQ30">
            <v>0</v>
          </cell>
          <cell r="AR30">
            <v>0.11467946778808721</v>
          </cell>
          <cell r="AS30">
            <v>5.7400595293208879E-2</v>
          </cell>
          <cell r="AT30">
            <v>0</v>
          </cell>
          <cell r="AU30">
            <v>7.0945422864762298E-2</v>
          </cell>
          <cell r="AV30">
            <v>2.6681744898395546E-2</v>
          </cell>
          <cell r="AW30">
            <v>0</v>
          </cell>
          <cell r="AX30">
            <v>2.9230768623060943E-3</v>
          </cell>
          <cell r="AY30">
            <v>0</v>
          </cell>
          <cell r="AZ30">
            <v>8.2422803484172011E-2</v>
          </cell>
          <cell r="BA30">
            <v>1.3066078518918936E-2</v>
          </cell>
          <cell r="BB30">
            <v>4.0266086351830169E-2</v>
          </cell>
          <cell r="BC30">
            <v>0</v>
          </cell>
          <cell r="BD30">
            <v>0</v>
          </cell>
          <cell r="BE30">
            <v>0</v>
          </cell>
          <cell r="BF30">
            <v>3.7052887265948416E-2</v>
          </cell>
          <cell r="BH30">
            <v>0</v>
          </cell>
          <cell r="BI30">
            <v>0</v>
          </cell>
        </row>
        <row r="32">
          <cell r="A32" t="str">
            <v>ארנונה ושמירה</v>
          </cell>
          <cell r="B32" t="str">
            <v>ארנונה ושמירה</v>
          </cell>
          <cell r="C32">
            <v>12088.047999999999</v>
          </cell>
          <cell r="D32">
            <v>11482.694</v>
          </cell>
          <cell r="E32">
            <v>9040.24</v>
          </cell>
          <cell r="F32">
            <v>223719.38399999999</v>
          </cell>
          <cell r="G32">
            <v>22852</v>
          </cell>
          <cell r="H32">
            <v>9547</v>
          </cell>
          <cell r="I32">
            <v>9276.5869999999995</v>
          </cell>
          <cell r="J32">
            <v>14041.078000000001</v>
          </cell>
          <cell r="K32">
            <v>3332.143</v>
          </cell>
          <cell r="L32">
            <v>36359.652000000002</v>
          </cell>
          <cell r="M32">
            <v>26251</v>
          </cell>
          <cell r="N32">
            <v>17622.374</v>
          </cell>
          <cell r="O32">
            <v>7663.9489999999996</v>
          </cell>
          <cell r="P32">
            <v>44100</v>
          </cell>
          <cell r="Q32">
            <v>47485.88</v>
          </cell>
          <cell r="R32">
            <v>5047.6000000000004</v>
          </cell>
          <cell r="S32">
            <v>48881.944000000003</v>
          </cell>
          <cell r="T32">
            <v>92091.6</v>
          </cell>
          <cell r="U32">
            <v>14145.1</v>
          </cell>
          <cell r="V32">
            <v>15229.5</v>
          </cell>
          <cell r="W32">
            <v>25561.863599999997</v>
          </cell>
          <cell r="X32">
            <v>12077</v>
          </cell>
          <cell r="Y32">
            <v>7874.4</v>
          </cell>
          <cell r="Z32">
            <v>7000</v>
          </cell>
          <cell r="AA32">
            <v>36842.411</v>
          </cell>
          <cell r="AB32">
            <v>8000</v>
          </cell>
          <cell r="AC32">
            <v>29428.874</v>
          </cell>
          <cell r="AD32">
            <v>17727</v>
          </cell>
          <cell r="AE32">
            <v>134007.23200000002</v>
          </cell>
          <cell r="AF32">
            <v>10646.220000000001</v>
          </cell>
          <cell r="AG32">
            <v>7396.04</v>
          </cell>
          <cell r="AH32">
            <v>5980</v>
          </cell>
          <cell r="AI32">
            <v>10668</v>
          </cell>
          <cell r="AJ32">
            <v>429.80900000000003</v>
          </cell>
          <cell r="AK32">
            <v>0</v>
          </cell>
          <cell r="AL32">
            <v>29065.29</v>
          </cell>
          <cell r="AM32">
            <v>14710.030999999999</v>
          </cell>
          <cell r="AN32">
            <v>20835.213</v>
          </cell>
          <cell r="AO32">
            <v>5900</v>
          </cell>
          <cell r="AP32">
            <v>7401</v>
          </cell>
          <cell r="AQ32">
            <v>21427</v>
          </cell>
          <cell r="AR32">
            <v>34506.786999999997</v>
          </cell>
          <cell r="AS32">
            <v>10988</v>
          </cell>
          <cell r="AT32">
            <v>0</v>
          </cell>
          <cell r="AU32">
            <v>15450</v>
          </cell>
          <cell r="AV32">
            <v>15078.011999999999</v>
          </cell>
          <cell r="AW32">
            <v>5751.6329999999998</v>
          </cell>
          <cell r="AX32">
            <v>10152.050999999999</v>
          </cell>
          <cell r="AY32">
            <v>18680.423999999999</v>
          </cell>
          <cell r="AZ32">
            <v>7279</v>
          </cell>
          <cell r="BA32">
            <v>13781.32</v>
          </cell>
          <cell r="BB32">
            <v>3822.105</v>
          </cell>
          <cell r="BC32">
            <v>2530</v>
          </cell>
          <cell r="BD32">
            <v>219.5</v>
          </cell>
          <cell r="BE32">
            <v>7800</v>
          </cell>
          <cell r="BH32">
            <v>21427</v>
          </cell>
          <cell r="BI32">
            <v>16209</v>
          </cell>
        </row>
        <row r="33">
          <cell r="B33" t="str">
            <v>שיעור אחזקה לארנונה ושמירה-מים</v>
          </cell>
          <cell r="C33">
            <v>0.02</v>
          </cell>
          <cell r="D33">
            <v>0.02</v>
          </cell>
          <cell r="E33">
            <v>0.02</v>
          </cell>
          <cell r="F33">
            <v>0.02</v>
          </cell>
          <cell r="G33">
            <v>0.02</v>
          </cell>
          <cell r="H33">
            <v>0.02</v>
          </cell>
          <cell r="I33">
            <v>0.02</v>
          </cell>
          <cell r="J33">
            <v>0.02</v>
          </cell>
          <cell r="K33">
            <v>0.02</v>
          </cell>
          <cell r="L33">
            <v>0.02</v>
          </cell>
          <cell r="M33">
            <v>0.02</v>
          </cell>
          <cell r="N33">
            <v>0.02</v>
          </cell>
          <cell r="O33">
            <v>0.02</v>
          </cell>
          <cell r="P33">
            <v>0.02</v>
          </cell>
          <cell r="Q33">
            <v>0.02</v>
          </cell>
          <cell r="R33">
            <v>0.02</v>
          </cell>
          <cell r="S33">
            <v>0.02</v>
          </cell>
          <cell r="T33">
            <v>0.02</v>
          </cell>
          <cell r="U33">
            <v>0.02</v>
          </cell>
          <cell r="V33">
            <v>0.02</v>
          </cell>
          <cell r="W33">
            <v>0.02</v>
          </cell>
          <cell r="X33">
            <v>0.02</v>
          </cell>
          <cell r="Y33">
            <v>0.02</v>
          </cell>
          <cell r="Z33">
            <v>0.02</v>
          </cell>
          <cell r="AA33">
            <v>0.02</v>
          </cell>
          <cell r="AB33">
            <v>0.02</v>
          </cell>
          <cell r="AC33">
            <v>0.02</v>
          </cell>
          <cell r="AD33">
            <v>0.02</v>
          </cell>
          <cell r="AE33">
            <v>0.02</v>
          </cell>
          <cell r="AF33">
            <v>0.02</v>
          </cell>
          <cell r="AG33">
            <v>0.02</v>
          </cell>
          <cell r="AH33">
            <v>0.02</v>
          </cell>
          <cell r="AI33">
            <v>0.02</v>
          </cell>
          <cell r="AJ33">
            <v>0.02</v>
          </cell>
          <cell r="AK33">
            <v>0.02</v>
          </cell>
          <cell r="AL33">
            <v>0.02</v>
          </cell>
          <cell r="AM33">
            <v>0.02</v>
          </cell>
          <cell r="AN33">
            <v>0.02</v>
          </cell>
          <cell r="AO33">
            <v>0.02</v>
          </cell>
          <cell r="AP33">
            <v>0.02</v>
          </cell>
          <cell r="AQ33">
            <v>0.02</v>
          </cell>
          <cell r="AR33">
            <v>0.02</v>
          </cell>
          <cell r="AS33">
            <v>0.02</v>
          </cell>
          <cell r="AT33">
            <v>0.02</v>
          </cell>
          <cell r="AU33">
            <v>0.02</v>
          </cell>
          <cell r="AV33">
            <v>0.02</v>
          </cell>
          <cell r="AW33">
            <v>0.02</v>
          </cell>
          <cell r="AX33">
            <v>0.02</v>
          </cell>
          <cell r="AY33">
            <v>0.02</v>
          </cell>
          <cell r="AZ33">
            <v>0.02</v>
          </cell>
          <cell r="BA33">
            <v>0.02</v>
          </cell>
          <cell r="BB33">
            <v>0.02</v>
          </cell>
          <cell r="BC33">
            <v>0.02</v>
          </cell>
          <cell r="BD33">
            <v>0.02</v>
          </cell>
          <cell r="BE33">
            <v>0.02</v>
          </cell>
          <cell r="BH33">
            <v>0.02</v>
          </cell>
          <cell r="BI33">
            <v>0.02</v>
          </cell>
        </row>
        <row r="34">
          <cell r="B34" t="str">
            <v xml:space="preserve">כמות מים </v>
          </cell>
          <cell r="C34">
            <v>10402.959000000001</v>
          </cell>
          <cell r="D34">
            <v>8990.4840000000004</v>
          </cell>
          <cell r="E34">
            <v>4622.0540000000001</v>
          </cell>
          <cell r="F34">
            <v>55801.764999999999</v>
          </cell>
          <cell r="G34">
            <v>16703.157999999999</v>
          </cell>
          <cell r="H34">
            <v>1778.4359999999999</v>
          </cell>
          <cell r="I34">
            <v>4577.4979999999996</v>
          </cell>
          <cell r="J34">
            <v>7141.3379999999997</v>
          </cell>
          <cell r="K34">
            <v>5178.0209999999997</v>
          </cell>
          <cell r="L34">
            <v>9465.3389999999999</v>
          </cell>
          <cell r="M34">
            <v>16042.34</v>
          </cell>
          <cell r="N34">
            <v>8244</v>
          </cell>
          <cell r="O34">
            <v>5267.893</v>
          </cell>
          <cell r="P34">
            <v>5041.085</v>
          </cell>
          <cell r="Q34">
            <v>20338.690999999999</v>
          </cell>
          <cell r="R34">
            <v>18255.450999999997</v>
          </cell>
          <cell r="S34">
            <v>18180.299000000003</v>
          </cell>
          <cell r="T34">
            <v>19298.804</v>
          </cell>
          <cell r="U34">
            <v>10977.175999999999</v>
          </cell>
          <cell r="V34">
            <v>8577.2049999999999</v>
          </cell>
          <cell r="W34">
            <v>8412.4480000000003</v>
          </cell>
          <cell r="X34">
            <v>6020.2939999999999</v>
          </cell>
          <cell r="Y34">
            <v>3545.5990000000002</v>
          </cell>
          <cell r="Z34">
            <v>3626.6419999999998</v>
          </cell>
          <cell r="AA34">
            <v>6380.3370000000004</v>
          </cell>
          <cell r="AB34">
            <v>7660.5219999999999</v>
          </cell>
          <cell r="AC34">
            <v>9918.521999999999</v>
          </cell>
          <cell r="AD34">
            <v>4453.9129999999996</v>
          </cell>
          <cell r="AE34">
            <v>23482.1</v>
          </cell>
          <cell r="AF34">
            <v>5287.741</v>
          </cell>
          <cell r="AG34">
            <v>4061.6559999999999</v>
          </cell>
          <cell r="AH34">
            <v>3228.4309999999996</v>
          </cell>
          <cell r="AI34">
            <v>3395.31</v>
          </cell>
          <cell r="AJ34">
            <v>3094.3240000000001</v>
          </cell>
          <cell r="AK34">
            <v>2916.2270000000003</v>
          </cell>
          <cell r="AL34">
            <v>45887.912000000004</v>
          </cell>
          <cell r="AM34">
            <v>5557.4649999999992</v>
          </cell>
          <cell r="AN34">
            <v>11903.299000000001</v>
          </cell>
          <cell r="AO34">
            <v>3688.085</v>
          </cell>
          <cell r="AP34">
            <v>9099.1779999999999</v>
          </cell>
          <cell r="AQ34">
            <v>4946.7919999999995</v>
          </cell>
          <cell r="AR34">
            <v>9679.152</v>
          </cell>
          <cell r="AS34">
            <v>3466.8629999999998</v>
          </cell>
          <cell r="AT34">
            <v>2739.9360000000001</v>
          </cell>
          <cell r="AU34">
            <v>4327.2700000000004</v>
          </cell>
          <cell r="AV34">
            <v>5471.9060000000009</v>
          </cell>
          <cell r="AW34">
            <v>7319.4059999999999</v>
          </cell>
          <cell r="AX34">
            <v>12657.895</v>
          </cell>
          <cell r="AY34">
            <v>7259.326</v>
          </cell>
          <cell r="AZ34">
            <v>3372.8529999999996</v>
          </cell>
          <cell r="BA34">
            <v>5357.384</v>
          </cell>
          <cell r="BB34">
            <v>4966.9589999999998</v>
          </cell>
          <cell r="BC34">
            <v>5951.3919999999998</v>
          </cell>
          <cell r="BD34">
            <v>1131.4870000000001</v>
          </cell>
          <cell r="BE34">
            <v>1075.876</v>
          </cell>
          <cell r="BH34">
            <v>4946.7919999999995</v>
          </cell>
          <cell r="BI34">
            <v>2529.587</v>
          </cell>
        </row>
        <row r="35">
          <cell r="B35" t="str">
            <v>סה"כ עלות ארנונה ושמירה לק"ב מים</v>
          </cell>
          <cell r="C35">
            <v>2.3239634031048277E-2</v>
          </cell>
          <cell r="D35">
            <v>2.5544106412958411E-2</v>
          </cell>
          <cell r="E35">
            <v>3.9117846740864562E-2</v>
          </cell>
          <cell r="F35">
            <v>8.0183622865692514E-2</v>
          </cell>
          <cell r="G35">
            <v>2.736249037457468E-2</v>
          </cell>
          <cell r="H35">
            <v>0.10736399847956295</v>
          </cell>
          <cell r="I35">
            <v>4.0531255284000124E-2</v>
          </cell>
          <cell r="J35">
            <v>3.9323381696819287E-2</v>
          </cell>
          <cell r="K35">
            <v>1.2870334052333895E-2</v>
          </cell>
          <cell r="L35">
            <v>7.682694090512765E-2</v>
          </cell>
          <cell r="M35">
            <v>3.2727145790452015E-2</v>
          </cell>
          <cell r="N35">
            <v>4.2751999029597282E-2</v>
          </cell>
          <cell r="O35">
            <v>2.9096828656162907E-2</v>
          </cell>
          <cell r="P35">
            <v>0.17496233449743459</v>
          </cell>
          <cell r="Q35">
            <v>4.6695119169665344E-2</v>
          </cell>
          <cell r="R35">
            <v>5.5299647212221723E-3</v>
          </cell>
          <cell r="S35">
            <v>5.3774631539338265E-2</v>
          </cell>
          <cell r="T35">
            <v>9.543762401027546E-2</v>
          </cell>
          <cell r="U35">
            <v>2.5771837857022608E-2</v>
          </cell>
          <cell r="V35">
            <v>3.5511568162355921E-2</v>
          </cell>
          <cell r="W35">
            <v>6.0771522391579708E-2</v>
          </cell>
          <cell r="X35">
            <v>4.0120964192114209E-2</v>
          </cell>
          <cell r="Y35">
            <v>4.441788256370785E-2</v>
          </cell>
          <cell r="Z35">
            <v>3.8603203735025404E-2</v>
          </cell>
          <cell r="AA35">
            <v>0.11548735121671472</v>
          </cell>
          <cell r="AB35">
            <v>2.0886305136908426E-2</v>
          </cell>
          <cell r="AC35">
            <v>5.9341248625551277E-2</v>
          </cell>
          <cell r="AD35">
            <v>7.9601914092170198E-2</v>
          </cell>
          <cell r="AE35">
            <v>0.11413564544908678</v>
          </cell>
          <cell r="AF35">
            <v>4.0267554708144748E-2</v>
          </cell>
          <cell r="AG35">
            <v>3.641884000023636E-2</v>
          </cell>
          <cell r="AH35">
            <v>3.7045859118562556E-2</v>
          </cell>
          <cell r="AI35">
            <v>6.2839622891576921E-2</v>
          </cell>
          <cell r="AJ35">
            <v>2.7780478062413632E-3</v>
          </cell>
          <cell r="AK35">
            <v>0</v>
          </cell>
          <cell r="AL35">
            <v>1.2667950548719669E-2</v>
          </cell>
          <cell r="AM35">
            <v>5.2937916837982796E-2</v>
          </cell>
          <cell r="AN35">
            <v>3.5007459696677359E-2</v>
          </cell>
          <cell r="AO35">
            <v>3.1994924195076851E-2</v>
          </cell>
          <cell r="AP35">
            <v>1.6267403495128903E-2</v>
          </cell>
          <cell r="AQ35">
            <v>8.6629880536719564E-2</v>
          </cell>
          <cell r="AR35">
            <v>7.1301260688952914E-2</v>
          </cell>
          <cell r="AS35">
            <v>6.3388717696661212E-2</v>
          </cell>
          <cell r="AT35">
            <v>0</v>
          </cell>
          <cell r="AU35">
            <v>7.1407608030005051E-2</v>
          </cell>
          <cell r="AV35">
            <v>5.5110639693006405E-2</v>
          </cell>
          <cell r="AW35">
            <v>1.5716119586753351E-2</v>
          </cell>
          <cell r="AX35">
            <v>1.6040662369216998E-2</v>
          </cell>
          <cell r="AY35">
            <v>5.1466001113602007E-2</v>
          </cell>
          <cell r="AZ35">
            <v>4.3162272414481159E-2</v>
          </cell>
          <cell r="BA35">
            <v>5.1447945489813685E-2</v>
          </cell>
          <cell r="BB35">
            <v>1.5390120997576183E-2</v>
          </cell>
          <cell r="BC35">
            <v>8.5022125916088213E-3</v>
          </cell>
          <cell r="BD35">
            <v>3.8798501441024064E-3</v>
          </cell>
          <cell r="BE35">
            <v>0.14499812246020918</v>
          </cell>
          <cell r="BH35">
            <v>8.6629880536719564E-2</v>
          </cell>
          <cell r="BI35">
            <v>0.1281553075660177</v>
          </cell>
        </row>
        <row r="37">
          <cell r="A37" t="str">
            <v>תחשיב עלויות ביוב</v>
          </cell>
        </row>
        <row r="38">
          <cell r="A38" t="str">
            <v>עלות קווי ביוב</v>
          </cell>
          <cell r="B38" t="str">
            <v>מפקד נכסים קווי ביוב</v>
          </cell>
          <cell r="C38">
            <v>91485.161999999997</v>
          </cell>
          <cell r="D38">
            <v>112202.273</v>
          </cell>
          <cell r="E38">
            <v>81043.365999999995</v>
          </cell>
          <cell r="F38">
            <v>697644.65399999998</v>
          </cell>
          <cell r="G38">
            <v>157873</v>
          </cell>
          <cell r="H38">
            <v>52165.34</v>
          </cell>
          <cell r="I38">
            <v>109793.52</v>
          </cell>
          <cell r="J38">
            <v>83488.38</v>
          </cell>
          <cell r="K38">
            <v>74699.744999999995</v>
          </cell>
          <cell r="L38">
            <v>141608.905</v>
          </cell>
          <cell r="M38">
            <v>196262.212</v>
          </cell>
          <cell r="N38">
            <v>99867.995999999999</v>
          </cell>
          <cell r="O38">
            <v>74598.948000000004</v>
          </cell>
          <cell r="P38">
            <v>100088.93399999999</v>
          </cell>
          <cell r="Q38">
            <v>369045.908</v>
          </cell>
          <cell r="R38">
            <v>193060.96799999999</v>
          </cell>
          <cell r="S38">
            <v>273740.13</v>
          </cell>
          <cell r="T38">
            <v>275187.054</v>
          </cell>
          <cell r="U38">
            <v>113730.6</v>
          </cell>
          <cell r="V38">
            <v>169383.03400000001</v>
          </cell>
          <cell r="W38">
            <v>111757.59932800001</v>
          </cell>
          <cell r="X38">
            <v>110613.83500000001</v>
          </cell>
          <cell r="Y38">
            <v>82869.216</v>
          </cell>
          <cell r="Z38">
            <v>64593.389000000003</v>
          </cell>
          <cell r="AA38">
            <v>107459.75</v>
          </cell>
          <cell r="AB38">
            <v>53070.175000000003</v>
          </cell>
          <cell r="AC38">
            <v>128198.064</v>
          </cell>
          <cell r="AD38">
            <v>56718.646999999997</v>
          </cell>
          <cell r="AE38">
            <v>537133.84600000002</v>
          </cell>
          <cell r="AF38">
            <v>70799.45</v>
          </cell>
          <cell r="AG38">
            <v>40324.17</v>
          </cell>
          <cell r="AH38">
            <v>67318.75</v>
          </cell>
          <cell r="AI38">
            <v>67852.47</v>
          </cell>
          <cell r="AJ38">
            <v>44768.103000000003</v>
          </cell>
          <cell r="AK38">
            <v>40982.171000000002</v>
          </cell>
          <cell r="AL38">
            <v>615953.04</v>
          </cell>
          <cell r="AM38">
            <v>103022.306</v>
          </cell>
          <cell r="AN38">
            <v>160156.33600000001</v>
          </cell>
          <cell r="AO38">
            <v>51335.474999999999</v>
          </cell>
          <cell r="AP38">
            <v>72791.557000000001</v>
          </cell>
          <cell r="AQ38">
            <v>67128.237999999998</v>
          </cell>
          <cell r="AR38">
            <v>172828.69399999999</v>
          </cell>
          <cell r="AS38">
            <v>62110.974999999999</v>
          </cell>
          <cell r="AT38">
            <v>36010.294999999998</v>
          </cell>
          <cell r="AU38">
            <v>73392.11</v>
          </cell>
          <cell r="AV38">
            <v>95933.33</v>
          </cell>
          <cell r="AW38">
            <v>116855.921</v>
          </cell>
          <cell r="AX38">
            <v>155237.93599999999</v>
          </cell>
          <cell r="AY38">
            <v>117461.72</v>
          </cell>
          <cell r="AZ38">
            <v>87692.877999999997</v>
          </cell>
          <cell r="BA38">
            <v>53054.794999999998</v>
          </cell>
          <cell r="BB38">
            <v>45477.25</v>
          </cell>
          <cell r="BC38">
            <v>116812.71400000001</v>
          </cell>
          <cell r="BD38">
            <v>144074.44399999999</v>
          </cell>
          <cell r="BE38">
            <v>13386.932000000001</v>
          </cell>
          <cell r="BH38">
            <v>67128.237999999998</v>
          </cell>
          <cell r="BI38">
            <v>33479.088000000003</v>
          </cell>
        </row>
        <row r="39">
          <cell r="B39" t="str">
            <v>שיעור אחזקת קווי ביוב</v>
          </cell>
          <cell r="C39">
            <v>1.4999999999999999E-2</v>
          </cell>
          <cell r="D39">
            <v>1.4999999999999999E-2</v>
          </cell>
          <cell r="E39">
            <v>1.4999999999999999E-2</v>
          </cell>
          <cell r="F39">
            <v>1.4999999999999999E-2</v>
          </cell>
          <cell r="G39">
            <v>1.4999999999999999E-2</v>
          </cell>
          <cell r="H39">
            <v>1.4999999999999999E-2</v>
          </cell>
          <cell r="I39">
            <v>1.4999999999999999E-2</v>
          </cell>
          <cell r="J39">
            <v>1.4999999999999999E-2</v>
          </cell>
          <cell r="K39">
            <v>1.4999999999999999E-2</v>
          </cell>
          <cell r="L39">
            <v>1.4999999999999999E-2</v>
          </cell>
          <cell r="M39">
            <v>1.4999999999999999E-2</v>
          </cell>
          <cell r="N39">
            <v>1.4999999999999999E-2</v>
          </cell>
          <cell r="O39">
            <v>1.4999999999999999E-2</v>
          </cell>
          <cell r="P39">
            <v>1.4999999999999999E-2</v>
          </cell>
          <cell r="Q39">
            <v>1.4999999999999999E-2</v>
          </cell>
          <cell r="R39">
            <v>1.4999999999999999E-2</v>
          </cell>
          <cell r="S39">
            <v>1.4999999999999999E-2</v>
          </cell>
          <cell r="T39">
            <v>1.4999999999999999E-2</v>
          </cell>
          <cell r="U39">
            <v>1.4999999999999999E-2</v>
          </cell>
          <cell r="V39">
            <v>1.4999999999999999E-2</v>
          </cell>
          <cell r="W39">
            <v>1.4999999999999999E-2</v>
          </cell>
          <cell r="X39">
            <v>1.4999999999999999E-2</v>
          </cell>
          <cell r="Y39">
            <v>1.4999999999999999E-2</v>
          </cell>
          <cell r="Z39">
            <v>1.4999999999999999E-2</v>
          </cell>
          <cell r="AA39">
            <v>1.4999999999999999E-2</v>
          </cell>
          <cell r="AB39">
            <v>1.4999999999999999E-2</v>
          </cell>
          <cell r="AC39">
            <v>1.4999999999999999E-2</v>
          </cell>
          <cell r="AD39">
            <v>1.4999999999999999E-2</v>
          </cell>
          <cell r="AE39">
            <v>1.4999999999999999E-2</v>
          </cell>
          <cell r="AF39">
            <v>1.4999999999999999E-2</v>
          </cell>
          <cell r="AG39">
            <v>1.4999999999999999E-2</v>
          </cell>
          <cell r="AH39">
            <v>1.4999999999999999E-2</v>
          </cell>
          <cell r="AI39">
            <v>1.4999999999999999E-2</v>
          </cell>
          <cell r="AJ39">
            <v>1.4999999999999999E-2</v>
          </cell>
          <cell r="AK39">
            <v>1.4999999999999999E-2</v>
          </cell>
          <cell r="AL39">
            <v>1.4999999999999999E-2</v>
          </cell>
          <cell r="AM39">
            <v>1.4999999999999999E-2</v>
          </cell>
          <cell r="AN39">
            <v>1.4999999999999999E-2</v>
          </cell>
          <cell r="AO39">
            <v>1.4999999999999999E-2</v>
          </cell>
          <cell r="AP39">
            <v>1.4999999999999999E-2</v>
          </cell>
          <cell r="AQ39">
            <v>1.4999999999999999E-2</v>
          </cell>
          <cell r="AR39">
            <v>1.4999999999999999E-2</v>
          </cell>
          <cell r="AS39">
            <v>1.4999999999999999E-2</v>
          </cell>
          <cell r="AT39">
            <v>1.4999999999999999E-2</v>
          </cell>
          <cell r="AU39">
            <v>1.4999999999999999E-2</v>
          </cell>
          <cell r="AV39">
            <v>1.4999999999999999E-2</v>
          </cell>
          <cell r="AW39">
            <v>1.4999999999999999E-2</v>
          </cell>
          <cell r="AX39">
            <v>1.4999999999999999E-2</v>
          </cell>
          <cell r="AY39">
            <v>1.4999999999999999E-2</v>
          </cell>
          <cell r="AZ39">
            <v>1.4999999999999999E-2</v>
          </cell>
          <cell r="BA39">
            <v>1.4999999999999999E-2</v>
          </cell>
          <cell r="BB39">
            <v>1.4999999999999999E-2</v>
          </cell>
          <cell r="BC39">
            <v>1.4999999999999999E-2</v>
          </cell>
          <cell r="BD39">
            <v>1.4999999999999999E-2</v>
          </cell>
          <cell r="BE39">
            <v>1.4999999999999999E-2</v>
          </cell>
          <cell r="BH39">
            <v>1.4999999999999999E-2</v>
          </cell>
          <cell r="BI39">
            <v>1.4999999999999999E-2</v>
          </cell>
        </row>
        <row r="40">
          <cell r="B40" t="str">
            <v>כמויות ביוב</v>
          </cell>
          <cell r="C40">
            <v>10280.945000000002</v>
          </cell>
          <cell r="D40">
            <v>8916.7430000000004</v>
          </cell>
          <cell r="E40">
            <v>4333.2569999999996</v>
          </cell>
          <cell r="F40">
            <v>54307.281000000003</v>
          </cell>
          <cell r="G40">
            <v>15191.027</v>
          </cell>
          <cell r="H40">
            <v>1561.3779999999999</v>
          </cell>
          <cell r="I40">
            <v>4551.009</v>
          </cell>
          <cell r="J40">
            <v>6858.4719999999998</v>
          </cell>
          <cell r="K40">
            <v>5038.1689999999999</v>
          </cell>
          <cell r="L40">
            <v>9110.4159999999993</v>
          </cell>
          <cell r="M40">
            <v>15186.956</v>
          </cell>
          <cell r="N40">
            <v>8227.3490000000002</v>
          </cell>
          <cell r="O40">
            <v>4852.53</v>
          </cell>
          <cell r="P40">
            <v>4848.0789999999997</v>
          </cell>
          <cell r="Q40">
            <v>19008.361999999997</v>
          </cell>
          <cell r="R40">
            <v>17334.789999999997</v>
          </cell>
          <cell r="S40">
            <v>17520.159000000003</v>
          </cell>
          <cell r="T40">
            <v>18217.092000000001</v>
          </cell>
          <cell r="U40">
            <v>9804.0889999999999</v>
          </cell>
          <cell r="V40">
            <v>8391.7970000000005</v>
          </cell>
          <cell r="W40">
            <v>8026.8700000000008</v>
          </cell>
          <cell r="X40">
            <v>5418.3969999999999</v>
          </cell>
          <cell r="Y40">
            <v>3211.395</v>
          </cell>
          <cell r="Z40">
            <v>3356.837</v>
          </cell>
          <cell r="AA40">
            <v>5802.5370000000003</v>
          </cell>
          <cell r="AB40">
            <v>7488.7640000000001</v>
          </cell>
          <cell r="AC40">
            <v>9248.7369999999992</v>
          </cell>
          <cell r="AD40">
            <v>4201.2279999999992</v>
          </cell>
          <cell r="AE40">
            <v>22539.741999999998</v>
          </cell>
          <cell r="AF40">
            <v>4864.5450000000001</v>
          </cell>
          <cell r="AG40">
            <v>3590.7979999999998</v>
          </cell>
          <cell r="AH40">
            <v>3212.1389999999997</v>
          </cell>
          <cell r="AI40">
            <v>3122.864</v>
          </cell>
          <cell r="AJ40">
            <v>2929.8940000000002</v>
          </cell>
          <cell r="AK40">
            <v>2707.1440000000002</v>
          </cell>
          <cell r="AL40">
            <v>42848.077000000005</v>
          </cell>
          <cell r="AM40">
            <v>5012.8169999999991</v>
          </cell>
          <cell r="AN40">
            <v>11191.586000000001</v>
          </cell>
          <cell r="AO40">
            <v>3539.1329999999998</v>
          </cell>
          <cell r="AP40">
            <v>8602.4639999999999</v>
          </cell>
          <cell r="AQ40">
            <v>4642.3439999999991</v>
          </cell>
          <cell r="AR40">
            <v>9537.3340000000007</v>
          </cell>
          <cell r="AS40">
            <v>3230.1969999999997</v>
          </cell>
          <cell r="AT40">
            <v>2443.7440000000001</v>
          </cell>
          <cell r="AU40">
            <v>4019.3010000000004</v>
          </cell>
          <cell r="AV40">
            <v>5469.1230000000005</v>
          </cell>
          <cell r="AW40">
            <v>7243.1989999999996</v>
          </cell>
          <cell r="AX40">
            <v>11864.786</v>
          </cell>
          <cell r="AY40">
            <v>6315.11</v>
          </cell>
          <cell r="AZ40">
            <v>3197.1949999999997</v>
          </cell>
          <cell r="BA40">
            <v>5124.0309999999999</v>
          </cell>
          <cell r="BB40">
            <v>4966.9589999999998</v>
          </cell>
          <cell r="BC40">
            <v>5914.9888000000001</v>
          </cell>
          <cell r="BD40">
            <v>7553.0499999999993</v>
          </cell>
          <cell r="BE40">
            <v>979.86899999999991</v>
          </cell>
          <cell r="BH40">
            <v>4642.3439999999991</v>
          </cell>
          <cell r="BI40">
            <v>2372.9549999999999</v>
          </cell>
        </row>
        <row r="41">
          <cell r="B41" t="str">
            <v>סה"כ עלות קווי ביוב לק"ב ביוב</v>
          </cell>
          <cell r="C41">
            <v>0.13347775228833533</v>
          </cell>
          <cell r="D41">
            <v>0.1887498714496986</v>
          </cell>
          <cell r="E41">
            <v>0.28053967027573024</v>
          </cell>
          <cell r="F41">
            <v>0.19269367969278373</v>
          </cell>
          <cell r="G41">
            <v>0.15588774873482877</v>
          </cell>
          <cell r="H41">
            <v>0.50114712772947989</v>
          </cell>
          <cell r="I41">
            <v>0.36187641026418538</v>
          </cell>
          <cell r="J41">
            <v>0.18259543816756854</v>
          </cell>
          <cell r="K41">
            <v>0.22240146668363051</v>
          </cell>
          <cell r="L41">
            <v>0.23315439986494579</v>
          </cell>
          <cell r="M41">
            <v>0.19384616509062119</v>
          </cell>
          <cell r="N41">
            <v>0.18207808371809678</v>
          </cell>
          <cell r="O41">
            <v>0.23059810449394441</v>
          </cell>
          <cell r="P41">
            <v>0.30967606138431325</v>
          </cell>
          <cell r="Q41">
            <v>0.29122386347650581</v>
          </cell>
          <cell r="R41">
            <v>0.16705795224516712</v>
          </cell>
          <cell r="S41">
            <v>0.23436442272013625</v>
          </cell>
          <cell r="T41">
            <v>0.22658972189414203</v>
          </cell>
          <cell r="U41">
            <v>0.17400484634523411</v>
          </cell>
          <cell r="V41">
            <v>0.3027653683710414</v>
          </cell>
          <cell r="W41">
            <v>0.20884404380786034</v>
          </cell>
          <cell r="X41">
            <v>0.30621741540902225</v>
          </cell>
          <cell r="Y41">
            <v>0.38707111395515031</v>
          </cell>
          <cell r="Z41">
            <v>0.28863505585764221</v>
          </cell>
          <cell r="AA41">
            <v>0.27779163665824103</v>
          </cell>
          <cell r="AB41">
            <v>0.10629960097554149</v>
          </cell>
          <cell r="AC41">
            <v>0.20791714155132751</v>
          </cell>
          <cell r="AD41">
            <v>0.20250738712585942</v>
          </cell>
          <cell r="AE41">
            <v>0.35745784889640708</v>
          </cell>
          <cell r="AF41">
            <v>0.21831265822394488</v>
          </cell>
          <cell r="AG41">
            <v>0.16844794666812224</v>
          </cell>
          <cell r="AH41">
            <v>0.31436411998359975</v>
          </cell>
          <cell r="AI41">
            <v>0.32591462516459252</v>
          </cell>
          <cell r="AJ41">
            <v>0.22919653236601734</v>
          </cell>
          <cell r="AK41">
            <v>0.22707789648426532</v>
          </cell>
          <cell r="AL41">
            <v>0.21562917747743962</v>
          </cell>
          <cell r="AM41">
            <v>0.30827668155450322</v>
          </cell>
          <cell r="AN41">
            <v>0.21465635344266665</v>
          </cell>
          <cell r="AO41">
            <v>0.21757648695316056</v>
          </cell>
          <cell r="AP41">
            <v>0.12692565234797842</v>
          </cell>
          <cell r="AQ41">
            <v>0.21689981828145438</v>
          </cell>
          <cell r="AR41">
            <v>0.2718191907717607</v>
          </cell>
          <cell r="AS41">
            <v>0.28842346921875045</v>
          </cell>
          <cell r="AT41">
            <v>0.22103560151963542</v>
          </cell>
          <cell r="AU41">
            <v>0.27389878240022331</v>
          </cell>
          <cell r="AV41">
            <v>0.26311347358616727</v>
          </cell>
          <cell r="AW41">
            <v>0.24199788173706124</v>
          </cell>
          <cell r="AX41">
            <v>0.19625883180699591</v>
          </cell>
          <cell r="AY41">
            <v>0.27900160092223258</v>
          </cell>
          <cell r="AZ41">
            <v>0.41142100184693142</v>
          </cell>
          <cell r="BA41">
            <v>0.15531169210334597</v>
          </cell>
          <cell r="BB41">
            <v>0.13733931566578261</v>
          </cell>
          <cell r="BC41">
            <v>0.29622891424578862</v>
          </cell>
          <cell r="BD41">
            <v>0.28612503028577857</v>
          </cell>
          <cell r="BE41">
            <v>0.20492941403391679</v>
          </cell>
          <cell r="BH41">
            <v>0.21689981828145438</v>
          </cell>
          <cell r="BI41">
            <v>0.21162909536843305</v>
          </cell>
        </row>
        <row r="43">
          <cell r="A43" t="str">
            <v>עלות תחנות שאיבה</v>
          </cell>
          <cell r="B43" t="str">
            <v xml:space="preserve">תחנות שאיבה </v>
          </cell>
          <cell r="C43">
            <v>0</v>
          </cell>
          <cell r="D43">
            <v>4562.3580000000002</v>
          </cell>
          <cell r="E43">
            <v>7166.8670000000002</v>
          </cell>
          <cell r="F43">
            <v>30932.819</v>
          </cell>
          <cell r="G43">
            <v>33620</v>
          </cell>
          <cell r="H43">
            <v>1356</v>
          </cell>
          <cell r="I43">
            <v>11623.061</v>
          </cell>
          <cell r="J43">
            <v>10937.63</v>
          </cell>
          <cell r="K43">
            <v>13704.848</v>
          </cell>
          <cell r="L43">
            <v>13856.329</v>
          </cell>
          <cell r="M43">
            <v>59974.5</v>
          </cell>
          <cell r="N43">
            <v>585.601</v>
          </cell>
          <cell r="O43">
            <v>8537.1550000000007</v>
          </cell>
          <cell r="P43">
            <v>10991.519</v>
          </cell>
          <cell r="Q43">
            <v>26698.107</v>
          </cell>
          <cell r="R43">
            <v>3105.56</v>
          </cell>
          <cell r="S43">
            <v>0</v>
          </cell>
          <cell r="T43">
            <v>33806</v>
          </cell>
          <cell r="U43">
            <v>30329</v>
          </cell>
          <cell r="V43">
            <v>4581.3980000000001</v>
          </cell>
          <cell r="W43">
            <v>16310.458000000001</v>
          </cell>
          <cell r="X43">
            <v>9569.1470000000008</v>
          </cell>
          <cell r="Y43">
            <v>17205.895</v>
          </cell>
          <cell r="Z43">
            <v>9748</v>
          </cell>
          <cell r="AA43">
            <v>12450</v>
          </cell>
          <cell r="AB43">
            <v>2460</v>
          </cell>
          <cell r="AC43">
            <v>24280.507000000001</v>
          </cell>
          <cell r="AD43">
            <v>5905.3990000000003</v>
          </cell>
          <cell r="AE43">
            <v>38694.792000000001</v>
          </cell>
          <cell r="AF43">
            <v>13174.5</v>
          </cell>
          <cell r="AG43">
            <v>2556.797</v>
          </cell>
          <cell r="AH43">
            <v>2001.386</v>
          </cell>
          <cell r="AI43">
            <v>7760</v>
          </cell>
          <cell r="AJ43">
            <v>16552</v>
          </cell>
          <cell r="AK43">
            <v>7678.4</v>
          </cell>
          <cell r="AL43">
            <v>18159</v>
          </cell>
          <cell r="AM43">
            <v>11333.937</v>
          </cell>
          <cell r="AN43">
            <v>6234.5349999999999</v>
          </cell>
          <cell r="AO43">
            <v>322</v>
          </cell>
          <cell r="AP43">
            <v>7913.31</v>
          </cell>
          <cell r="AQ43">
            <v>4450</v>
          </cell>
          <cell r="AR43">
            <v>27849.684000000001</v>
          </cell>
          <cell r="AS43">
            <v>17537.848999999998</v>
          </cell>
          <cell r="AT43">
            <v>6313.2</v>
          </cell>
          <cell r="AU43">
            <v>1080</v>
          </cell>
          <cell r="AV43">
            <v>4932.0119999999997</v>
          </cell>
          <cell r="AW43">
            <v>4191.1929999999993</v>
          </cell>
          <cell r="AX43">
            <v>8972.1980000000003</v>
          </cell>
          <cell r="AY43">
            <v>16853.291000000001</v>
          </cell>
          <cell r="AZ43">
            <v>6556.5609999999997</v>
          </cell>
          <cell r="BA43">
            <v>18068</v>
          </cell>
          <cell r="BB43">
            <v>11924.784</v>
          </cell>
          <cell r="BC43">
            <v>12834.14</v>
          </cell>
          <cell r="BD43">
            <v>13854.8</v>
          </cell>
          <cell r="BE43">
            <v>4400</v>
          </cell>
          <cell r="BH43">
            <v>4450</v>
          </cell>
          <cell r="BI43">
            <v>4450</v>
          </cell>
        </row>
        <row r="44">
          <cell r="B44" t="str">
            <v>שיעור אחזקת תחנות שאיבה- ביוב</v>
          </cell>
          <cell r="C44">
            <v>0.04</v>
          </cell>
          <cell r="D44">
            <v>0.04</v>
          </cell>
          <cell r="E44">
            <v>0.04</v>
          </cell>
          <cell r="F44">
            <v>0.04</v>
          </cell>
          <cell r="G44">
            <v>0.04</v>
          </cell>
          <cell r="H44">
            <v>0.04</v>
          </cell>
          <cell r="I44">
            <v>0.04</v>
          </cell>
          <cell r="J44">
            <v>0.04</v>
          </cell>
          <cell r="K44">
            <v>0.04</v>
          </cell>
          <cell r="L44">
            <v>0.04</v>
          </cell>
          <cell r="M44">
            <v>0.04</v>
          </cell>
          <cell r="N44">
            <v>0.04</v>
          </cell>
          <cell r="O44">
            <v>0.04</v>
          </cell>
          <cell r="P44">
            <v>0.04</v>
          </cell>
          <cell r="Q44">
            <v>0.04</v>
          </cell>
          <cell r="R44">
            <v>0.04</v>
          </cell>
          <cell r="S44">
            <v>0.04</v>
          </cell>
          <cell r="T44">
            <v>0.04</v>
          </cell>
          <cell r="U44">
            <v>0.04</v>
          </cell>
          <cell r="V44">
            <v>0.04</v>
          </cell>
          <cell r="W44">
            <v>0.04</v>
          </cell>
          <cell r="X44">
            <v>0.04</v>
          </cell>
          <cell r="Y44">
            <v>0.04</v>
          </cell>
          <cell r="Z44">
            <v>0.04</v>
          </cell>
          <cell r="AA44">
            <v>0.04</v>
          </cell>
          <cell r="AB44">
            <v>0.04</v>
          </cell>
          <cell r="AC44">
            <v>0.04</v>
          </cell>
          <cell r="AD44">
            <v>0.04</v>
          </cell>
          <cell r="AE44">
            <v>0.04</v>
          </cell>
          <cell r="AF44">
            <v>0.04</v>
          </cell>
          <cell r="AG44">
            <v>0.04</v>
          </cell>
          <cell r="AH44">
            <v>0.04</v>
          </cell>
          <cell r="AI44">
            <v>0.04</v>
          </cell>
          <cell r="AJ44">
            <v>0.04</v>
          </cell>
          <cell r="AK44">
            <v>0.04</v>
          </cell>
          <cell r="AL44">
            <v>0.04</v>
          </cell>
          <cell r="AM44">
            <v>0.04</v>
          </cell>
          <cell r="AN44">
            <v>0.04</v>
          </cell>
          <cell r="AO44">
            <v>0.04</v>
          </cell>
          <cell r="AP44">
            <v>0.04</v>
          </cell>
          <cell r="AQ44">
            <v>0.04</v>
          </cell>
          <cell r="AR44">
            <v>0.04</v>
          </cell>
          <cell r="AS44">
            <v>0.04</v>
          </cell>
          <cell r="AT44">
            <v>0.04</v>
          </cell>
          <cell r="AU44">
            <v>0.04</v>
          </cell>
          <cell r="AV44">
            <v>0.04</v>
          </cell>
          <cell r="AW44">
            <v>0.04</v>
          </cell>
          <cell r="AX44">
            <v>0.04</v>
          </cell>
          <cell r="AY44">
            <v>0.04</v>
          </cell>
          <cell r="AZ44">
            <v>0.04</v>
          </cell>
          <cell r="BA44">
            <v>0.04</v>
          </cell>
          <cell r="BB44">
            <v>0.04</v>
          </cell>
          <cell r="BC44">
            <v>0.04</v>
          </cell>
          <cell r="BD44">
            <v>0.04</v>
          </cell>
          <cell r="BE44">
            <v>0.04</v>
          </cell>
          <cell r="BH44">
            <v>0.04</v>
          </cell>
          <cell r="BI44">
            <v>0.04</v>
          </cell>
        </row>
        <row r="45">
          <cell r="B45" t="str">
            <v>כמויות ביוב</v>
          </cell>
          <cell r="C45">
            <v>10280.945000000002</v>
          </cell>
          <cell r="D45">
            <v>8916.7430000000004</v>
          </cell>
          <cell r="E45">
            <v>4333.2569999999996</v>
          </cell>
          <cell r="F45">
            <v>54307.281000000003</v>
          </cell>
          <cell r="G45">
            <v>15191.027</v>
          </cell>
          <cell r="H45">
            <v>1561.3779999999999</v>
          </cell>
          <cell r="I45">
            <v>4551.009</v>
          </cell>
          <cell r="J45">
            <v>6858.4719999999998</v>
          </cell>
          <cell r="K45">
            <v>5038.1689999999999</v>
          </cell>
          <cell r="L45">
            <v>9110.4159999999993</v>
          </cell>
          <cell r="M45">
            <v>15186.956</v>
          </cell>
          <cell r="N45">
            <v>8227.3490000000002</v>
          </cell>
          <cell r="O45">
            <v>4852.53</v>
          </cell>
          <cell r="P45">
            <v>4848.0789999999997</v>
          </cell>
          <cell r="Q45">
            <v>19008.361999999997</v>
          </cell>
          <cell r="R45">
            <v>17334.789999999997</v>
          </cell>
          <cell r="S45">
            <v>17520.159000000003</v>
          </cell>
          <cell r="T45">
            <v>18217.092000000001</v>
          </cell>
          <cell r="U45">
            <v>9804.0889999999999</v>
          </cell>
          <cell r="V45">
            <v>8391.7970000000005</v>
          </cell>
          <cell r="W45">
            <v>8026.8700000000008</v>
          </cell>
          <cell r="X45">
            <v>5418.3969999999999</v>
          </cell>
          <cell r="Y45">
            <v>3211.395</v>
          </cell>
          <cell r="Z45">
            <v>3356.837</v>
          </cell>
          <cell r="AA45">
            <v>5802.5370000000003</v>
          </cell>
          <cell r="AB45">
            <v>7488.7640000000001</v>
          </cell>
          <cell r="AC45">
            <v>9248.7369999999992</v>
          </cell>
          <cell r="AD45">
            <v>4201.2279999999992</v>
          </cell>
          <cell r="AE45">
            <v>22539.741999999998</v>
          </cell>
          <cell r="AF45">
            <v>4864.5450000000001</v>
          </cell>
          <cell r="AG45">
            <v>3590.7979999999998</v>
          </cell>
          <cell r="AH45">
            <v>3212.1389999999997</v>
          </cell>
          <cell r="AI45">
            <v>3122.864</v>
          </cell>
          <cell r="AJ45">
            <v>2929.8940000000002</v>
          </cell>
          <cell r="AK45">
            <v>2707.1440000000002</v>
          </cell>
          <cell r="AL45">
            <v>42848.077000000005</v>
          </cell>
          <cell r="AM45">
            <v>5012.8169999999991</v>
          </cell>
          <cell r="AN45">
            <v>11191.586000000001</v>
          </cell>
          <cell r="AO45">
            <v>3539.1329999999998</v>
          </cell>
          <cell r="AP45">
            <v>8602.4639999999999</v>
          </cell>
          <cell r="AQ45">
            <v>4642.3439999999991</v>
          </cell>
          <cell r="AR45">
            <v>9537.3340000000007</v>
          </cell>
          <cell r="AS45">
            <v>3230.1969999999997</v>
          </cell>
          <cell r="AT45">
            <v>2443.7440000000001</v>
          </cell>
          <cell r="AU45">
            <v>4019.3010000000004</v>
          </cell>
          <cell r="AV45">
            <v>5469.1230000000005</v>
          </cell>
          <cell r="AW45">
            <v>7243.1989999999996</v>
          </cell>
          <cell r="AX45">
            <v>11864.786</v>
          </cell>
          <cell r="AY45">
            <v>6315.11</v>
          </cell>
          <cell r="AZ45">
            <v>3197.1949999999997</v>
          </cell>
          <cell r="BA45">
            <v>5124.0309999999999</v>
          </cell>
          <cell r="BB45">
            <v>4966.9589999999998</v>
          </cell>
          <cell r="BC45">
            <v>5914.9888000000001</v>
          </cell>
          <cell r="BD45">
            <v>7553.0499999999993</v>
          </cell>
          <cell r="BE45">
            <v>979.86899999999991</v>
          </cell>
          <cell r="BH45">
            <v>4642.3439999999991</v>
          </cell>
          <cell r="BI45">
            <v>2372.9549999999999</v>
          </cell>
        </row>
        <row r="46">
          <cell r="B46" t="str">
            <v>סה"כ עלות תחנות שאיבה לק"ב ביוב</v>
          </cell>
          <cell r="C46">
            <v>0</v>
          </cell>
          <cell r="D46">
            <v>2.0466477501930917E-2</v>
          </cell>
          <cell r="E46">
            <v>6.6156860763162684E-2</v>
          </cell>
          <cell r="F46">
            <v>2.2783551988176318E-2</v>
          </cell>
          <cell r="G46">
            <v>8.8525943637648721E-2</v>
          </cell>
          <cell r="H46">
            <v>3.473854505443269E-2</v>
          </cell>
          <cell r="I46">
            <v>0.10215810164295434</v>
          </cell>
          <cell r="J46">
            <v>6.3790476945885327E-2</v>
          </cell>
          <cell r="K46">
            <v>0.10880816423585633</v>
          </cell>
          <cell r="L46">
            <v>6.0837305343685734E-2</v>
          </cell>
          <cell r="M46">
            <v>0.15796318893661113</v>
          </cell>
          <cell r="N46">
            <v>2.8470944893671099E-3</v>
          </cell>
          <cell r="O46">
            <v>7.0372815830092764E-2</v>
          </cell>
          <cell r="P46">
            <v>9.0687622870831944E-2</v>
          </cell>
          <cell r="Q46">
            <v>5.6181815140094668E-2</v>
          </cell>
          <cell r="R46">
            <v>7.1660746971841036E-3</v>
          </cell>
          <cell r="S46">
            <v>0</v>
          </cell>
          <cell r="T46">
            <v>7.4229190915871754E-2</v>
          </cell>
          <cell r="U46">
            <v>0.12374020676474888</v>
          </cell>
          <cell r="V46">
            <v>2.183750631718093E-2</v>
          </cell>
          <cell r="W46">
            <v>8.1279293174051651E-2</v>
          </cell>
          <cell r="X46">
            <v>7.0641903869354733E-2</v>
          </cell>
          <cell r="Y46">
            <v>0.21431054105770236</v>
          </cell>
          <cell r="Z46">
            <v>0.1161569656197188</v>
          </cell>
          <cell r="AA46">
            <v>8.5824528133125216E-2</v>
          </cell>
          <cell r="AB46">
            <v>1.3139685000088133E-2</v>
          </cell>
          <cell r="AC46">
            <v>0.10501112530283867</v>
          </cell>
          <cell r="AD46">
            <v>5.6225455985726099E-2</v>
          </cell>
          <cell r="AE46">
            <v>6.8669449721296724E-2</v>
          </cell>
          <cell r="AF46">
            <v>0.10833078941607077</v>
          </cell>
          <cell r="AG46">
            <v>2.8481657837617157E-2</v>
          </cell>
          <cell r="AH46">
            <v>2.4922781984216751E-2</v>
          </cell>
          <cell r="AI46">
            <v>9.9395939112302045E-2</v>
          </cell>
          <cell r="AJ46">
            <v>0.22597404547741318</v>
          </cell>
          <cell r="AK46">
            <v>0.11345388350231829</v>
          </cell>
          <cell r="AL46">
            <v>1.6951985966604754E-2</v>
          </cell>
          <cell r="AM46">
            <v>9.0439662967947976E-2</v>
          </cell>
          <cell r="AN46">
            <v>2.2282936484605487E-2</v>
          </cell>
          <cell r="AO46">
            <v>3.6393094014833581E-3</v>
          </cell>
          <cell r="AP46">
            <v>3.6795550670133577E-2</v>
          </cell>
          <cell r="AQ46">
            <v>3.8342699291564787E-2</v>
          </cell>
          <cell r="AR46">
            <v>0.11680280464121315</v>
          </cell>
          <cell r="AS46">
            <v>0.21717373893914213</v>
          </cell>
          <cell r="AT46">
            <v>0.10333651970091792</v>
          </cell>
          <cell r="AU46">
            <v>1.0748137549290286E-2</v>
          </cell>
          <cell r="AV46">
            <v>3.6071684619270759E-2</v>
          </cell>
          <cell r="AW46">
            <v>2.3145535556872036E-2</v>
          </cell>
          <cell r="AX46">
            <v>3.0248157868165513E-2</v>
          </cell>
          <cell r="AY46">
            <v>0.10674899407927971</v>
          </cell>
          <cell r="AZ46">
            <v>8.2028915971656402E-2</v>
          </cell>
          <cell r="BA46">
            <v>0.14104520444938762</v>
          </cell>
          <cell r="BB46">
            <v>9.603287645418454E-2</v>
          </cell>
          <cell r="BC46">
            <v>8.6790629256981847E-2</v>
          </cell>
          <cell r="BD46">
            <v>7.3373273048635987E-2</v>
          </cell>
          <cell r="BE46">
            <v>0.17961584660806701</v>
          </cell>
          <cell r="BH46">
            <v>3.8342699291564787E-2</v>
          </cell>
          <cell r="BI46">
            <v>7.5011957664599629E-2</v>
          </cell>
        </row>
        <row r="48">
          <cell r="A48" t="str">
            <v>עלות גנרטורים</v>
          </cell>
          <cell r="B48" t="str">
            <v xml:space="preserve">גנרטורים </v>
          </cell>
          <cell r="C48">
            <v>0</v>
          </cell>
          <cell r="D48">
            <v>174</v>
          </cell>
          <cell r="E48">
            <v>417.9</v>
          </cell>
          <cell r="F48">
            <v>0</v>
          </cell>
          <cell r="G48">
            <v>2300</v>
          </cell>
          <cell r="H48">
            <v>50</v>
          </cell>
          <cell r="I48">
            <v>0</v>
          </cell>
          <cell r="J48">
            <v>370</v>
          </cell>
          <cell r="K48">
            <v>142.5</v>
          </cell>
          <cell r="L48">
            <v>483</v>
          </cell>
          <cell r="M48">
            <v>2443.5</v>
          </cell>
          <cell r="N48">
            <v>0</v>
          </cell>
          <cell r="O48">
            <v>150</v>
          </cell>
          <cell r="P48">
            <v>689.5</v>
          </cell>
          <cell r="Q48">
            <v>1325.7560000000001</v>
          </cell>
          <cell r="R48">
            <v>200</v>
          </cell>
          <cell r="S48">
            <v>0</v>
          </cell>
          <cell r="T48">
            <v>1914</v>
          </cell>
          <cell r="U48">
            <v>1256.7</v>
          </cell>
          <cell r="V48">
            <v>586.69799999999998</v>
          </cell>
          <cell r="W48">
            <v>2018</v>
          </cell>
          <cell r="X48">
            <v>751.61300000000006</v>
          </cell>
          <cell r="Y48">
            <v>1564.9380000000001</v>
          </cell>
          <cell r="Z48">
            <v>545</v>
          </cell>
          <cell r="AA48">
            <v>620</v>
          </cell>
          <cell r="AB48">
            <v>87.5</v>
          </cell>
          <cell r="AC48">
            <v>1905</v>
          </cell>
          <cell r="AD48">
            <v>446.61200000000002</v>
          </cell>
          <cell r="AE48">
            <v>1692</v>
          </cell>
          <cell r="AF48">
            <v>630</v>
          </cell>
          <cell r="AG48">
            <v>231.24799999999999</v>
          </cell>
          <cell r="AH48">
            <v>120</v>
          </cell>
          <cell r="AI48">
            <v>870</v>
          </cell>
          <cell r="AJ48">
            <v>815.69799999999998</v>
          </cell>
          <cell r="AK48">
            <v>447</v>
          </cell>
          <cell r="AL48">
            <v>645</v>
          </cell>
          <cell r="AM48">
            <v>785.41700000000003</v>
          </cell>
          <cell r="AN48">
            <v>446.9</v>
          </cell>
          <cell r="AO48">
            <v>1800</v>
          </cell>
          <cell r="AP48">
            <v>785</v>
          </cell>
          <cell r="AQ48">
            <v>215</v>
          </cell>
          <cell r="AR48">
            <v>594.60699999999997</v>
          </cell>
          <cell r="AS48">
            <v>615</v>
          </cell>
          <cell r="AT48">
            <v>320</v>
          </cell>
          <cell r="AU48">
            <v>170</v>
          </cell>
          <cell r="AV48">
            <v>410.67</v>
          </cell>
          <cell r="AW48">
            <v>180</v>
          </cell>
          <cell r="AX48">
            <v>440</v>
          </cell>
          <cell r="AY48">
            <v>823.84199999999998</v>
          </cell>
          <cell r="AZ48">
            <v>425</v>
          </cell>
          <cell r="BA48">
            <v>0</v>
          </cell>
          <cell r="BB48">
            <v>287.35000000000002</v>
          </cell>
          <cell r="BC48">
            <v>734</v>
          </cell>
          <cell r="BD48">
            <v>867.4</v>
          </cell>
          <cell r="BE48">
            <v>574.6</v>
          </cell>
          <cell r="BH48">
            <v>215</v>
          </cell>
          <cell r="BI48">
            <v>215</v>
          </cell>
        </row>
        <row r="49">
          <cell r="B49" t="str">
            <v>שיעור אחזקת דיזל גנרטורים</v>
          </cell>
          <cell r="C49">
            <v>0.05</v>
          </cell>
          <cell r="D49">
            <v>0.05</v>
          </cell>
          <cell r="E49">
            <v>0.05</v>
          </cell>
          <cell r="F49">
            <v>0.05</v>
          </cell>
          <cell r="G49">
            <v>0.05</v>
          </cell>
          <cell r="H49">
            <v>0.05</v>
          </cell>
          <cell r="I49">
            <v>0.05</v>
          </cell>
          <cell r="J49">
            <v>0.05</v>
          </cell>
          <cell r="K49">
            <v>0.05</v>
          </cell>
          <cell r="L49">
            <v>0.05</v>
          </cell>
          <cell r="M49">
            <v>0.05</v>
          </cell>
          <cell r="N49">
            <v>0.05</v>
          </cell>
          <cell r="O49">
            <v>0.05</v>
          </cell>
          <cell r="P49">
            <v>0.05</v>
          </cell>
          <cell r="Q49">
            <v>0.05</v>
          </cell>
          <cell r="R49">
            <v>0.05</v>
          </cell>
          <cell r="S49">
            <v>0.05</v>
          </cell>
          <cell r="T49">
            <v>0.05</v>
          </cell>
          <cell r="U49">
            <v>0.05</v>
          </cell>
          <cell r="V49">
            <v>0.05</v>
          </cell>
          <cell r="W49">
            <v>0.05</v>
          </cell>
          <cell r="X49">
            <v>0.05</v>
          </cell>
          <cell r="Y49">
            <v>0.05</v>
          </cell>
          <cell r="Z49">
            <v>0.05</v>
          </cell>
          <cell r="AA49">
            <v>0.05</v>
          </cell>
          <cell r="AB49">
            <v>0.05</v>
          </cell>
          <cell r="AC49">
            <v>0.05</v>
          </cell>
          <cell r="AD49">
            <v>0.05</v>
          </cell>
          <cell r="AE49">
            <v>0.05</v>
          </cell>
          <cell r="AF49">
            <v>0.05</v>
          </cell>
          <cell r="AG49">
            <v>0.05</v>
          </cell>
          <cell r="AH49">
            <v>0.05</v>
          </cell>
          <cell r="AI49">
            <v>0.05</v>
          </cell>
          <cell r="AJ49">
            <v>0.05</v>
          </cell>
          <cell r="AK49">
            <v>0.05</v>
          </cell>
          <cell r="AL49">
            <v>0.05</v>
          </cell>
          <cell r="AM49">
            <v>0.05</v>
          </cell>
          <cell r="AN49">
            <v>0.05</v>
          </cell>
          <cell r="AO49">
            <v>0.05</v>
          </cell>
          <cell r="AP49">
            <v>0.05</v>
          </cell>
          <cell r="AQ49">
            <v>0.05</v>
          </cell>
          <cell r="AR49">
            <v>0.05</v>
          </cell>
          <cell r="AS49">
            <v>0.05</v>
          </cell>
          <cell r="AT49">
            <v>0.05</v>
          </cell>
          <cell r="AU49">
            <v>0.05</v>
          </cell>
          <cell r="AV49">
            <v>0.05</v>
          </cell>
          <cell r="AW49">
            <v>0.05</v>
          </cell>
          <cell r="AX49">
            <v>0.05</v>
          </cell>
          <cell r="AY49">
            <v>0.05</v>
          </cell>
          <cell r="AZ49">
            <v>0.05</v>
          </cell>
          <cell r="BA49">
            <v>0.05</v>
          </cell>
          <cell r="BB49">
            <v>0.05</v>
          </cell>
          <cell r="BC49">
            <v>0.05</v>
          </cell>
          <cell r="BD49">
            <v>0.05</v>
          </cell>
          <cell r="BE49">
            <v>0.05</v>
          </cell>
          <cell r="BH49">
            <v>0.05</v>
          </cell>
          <cell r="BI49">
            <v>0.05</v>
          </cell>
        </row>
        <row r="50">
          <cell r="B50" t="str">
            <v>כמויות ביוב</v>
          </cell>
          <cell r="C50">
            <v>10280.945000000002</v>
          </cell>
          <cell r="D50">
            <v>8916.7430000000004</v>
          </cell>
          <cell r="E50">
            <v>4333.2569999999996</v>
          </cell>
          <cell r="F50">
            <v>54307.281000000003</v>
          </cell>
          <cell r="G50">
            <v>15191.027</v>
          </cell>
          <cell r="H50">
            <v>1561.3779999999999</v>
          </cell>
          <cell r="I50">
            <v>4551.009</v>
          </cell>
          <cell r="J50">
            <v>6858.4719999999998</v>
          </cell>
          <cell r="K50">
            <v>5038.1689999999999</v>
          </cell>
          <cell r="L50">
            <v>9110.4159999999993</v>
          </cell>
          <cell r="M50">
            <v>15186.956</v>
          </cell>
          <cell r="N50">
            <v>8227.3490000000002</v>
          </cell>
          <cell r="O50">
            <v>4852.53</v>
          </cell>
          <cell r="P50">
            <v>4848.0789999999997</v>
          </cell>
          <cell r="Q50">
            <v>19008.361999999997</v>
          </cell>
          <cell r="R50">
            <v>17334.789999999997</v>
          </cell>
          <cell r="S50">
            <v>17520.159000000003</v>
          </cell>
          <cell r="T50">
            <v>18217.092000000001</v>
          </cell>
          <cell r="U50">
            <v>9804.0889999999999</v>
          </cell>
          <cell r="V50">
            <v>8391.7970000000005</v>
          </cell>
          <cell r="W50">
            <v>8026.8700000000008</v>
          </cell>
          <cell r="X50">
            <v>5418.3969999999999</v>
          </cell>
          <cell r="Y50">
            <v>3211.395</v>
          </cell>
          <cell r="Z50">
            <v>3356.837</v>
          </cell>
          <cell r="AA50">
            <v>5802.5370000000003</v>
          </cell>
          <cell r="AB50">
            <v>7488.7640000000001</v>
          </cell>
          <cell r="AC50">
            <v>9248.7369999999992</v>
          </cell>
          <cell r="AD50">
            <v>4201.2279999999992</v>
          </cell>
          <cell r="AE50">
            <v>22539.741999999998</v>
          </cell>
          <cell r="AF50">
            <v>4864.5450000000001</v>
          </cell>
          <cell r="AG50">
            <v>3590.7979999999998</v>
          </cell>
          <cell r="AH50">
            <v>3212.1389999999997</v>
          </cell>
          <cell r="AI50">
            <v>3122.864</v>
          </cell>
          <cell r="AJ50">
            <v>2929.8940000000002</v>
          </cell>
          <cell r="AK50">
            <v>2707.1440000000002</v>
          </cell>
          <cell r="AL50">
            <v>42848.077000000005</v>
          </cell>
          <cell r="AM50">
            <v>5012.8169999999991</v>
          </cell>
          <cell r="AN50">
            <v>11191.586000000001</v>
          </cell>
          <cell r="AO50">
            <v>3539.1329999999998</v>
          </cell>
          <cell r="AP50">
            <v>8602.4639999999999</v>
          </cell>
          <cell r="AQ50">
            <v>4642.3439999999991</v>
          </cell>
          <cell r="AR50">
            <v>9537.3340000000007</v>
          </cell>
          <cell r="AS50">
            <v>3230.1969999999997</v>
          </cell>
          <cell r="AT50">
            <v>2443.7440000000001</v>
          </cell>
          <cell r="AU50">
            <v>4019.3010000000004</v>
          </cell>
          <cell r="AV50">
            <v>5469.1230000000005</v>
          </cell>
          <cell r="AW50">
            <v>7243.1989999999996</v>
          </cell>
          <cell r="AX50">
            <v>11864.786</v>
          </cell>
          <cell r="AY50">
            <v>6315.11</v>
          </cell>
          <cell r="AZ50">
            <v>3197.1949999999997</v>
          </cell>
          <cell r="BA50">
            <v>5124.0309999999999</v>
          </cell>
          <cell r="BB50">
            <v>4966.9589999999998</v>
          </cell>
          <cell r="BC50">
            <v>5914.9888000000001</v>
          </cell>
          <cell r="BD50">
            <v>7553.0499999999993</v>
          </cell>
          <cell r="BE50">
            <v>979.86899999999991</v>
          </cell>
          <cell r="BH50">
            <v>4642.3439999999991</v>
          </cell>
          <cell r="BI50">
            <v>2372.9549999999999</v>
          </cell>
        </row>
        <row r="51">
          <cell r="B51" t="str">
            <v>סה"כ עלות דיזל גנרטורים לק"ב ביוב</v>
          </cell>
          <cell r="C51">
            <v>0</v>
          </cell>
          <cell r="D51">
            <v>9.7569258192144832E-4</v>
          </cell>
          <cell r="E51">
            <v>4.8220080184489403E-3</v>
          </cell>
          <cell r="F51">
            <v>0</v>
          </cell>
          <cell r="G51">
            <v>7.5702584163664507E-3</v>
          </cell>
          <cell r="H51">
            <v>1.601149753615076E-3</v>
          </cell>
          <cell r="I51">
            <v>0</v>
          </cell>
          <cell r="J51">
            <v>2.6973938218308687E-3</v>
          </cell>
          <cell r="K51">
            <v>1.41420424761456E-3</v>
          </cell>
          <cell r="L51">
            <v>2.650811993656492E-3</v>
          </cell>
          <cell r="M51">
            <v>8.0447325981585788E-3</v>
          </cell>
          <cell r="N51">
            <v>0</v>
          </cell>
          <cell r="O51">
            <v>1.5455854986986171E-3</v>
          </cell>
          <cell r="P51">
            <v>7.1110639905001558E-3</v>
          </cell>
          <cell r="Q51">
            <v>3.4872968012709363E-3</v>
          </cell>
          <cell r="R51">
            <v>5.7687459726942186E-4</v>
          </cell>
          <cell r="S51">
            <v>0</v>
          </cell>
          <cell r="T51">
            <v>5.2533082667639815E-3</v>
          </cell>
          <cell r="U51">
            <v>6.4090605460639955E-3</v>
          </cell>
          <cell r="V51">
            <v>3.4956636820456929E-3</v>
          </cell>
          <cell r="W51">
            <v>1.2570279573482565E-2</v>
          </cell>
          <cell r="X51">
            <v>6.9357505550073214E-3</v>
          </cell>
          <cell r="Y51">
            <v>2.4365392609753709E-2</v>
          </cell>
          <cell r="Z51">
            <v>8.1177608564252605E-3</v>
          </cell>
          <cell r="AA51">
            <v>5.3424907070820917E-3</v>
          </cell>
          <cell r="AB51">
            <v>5.8420855564416231E-4</v>
          </cell>
          <cell r="AC51">
            <v>1.0298703487838394E-2</v>
          </cell>
          <cell r="AD51">
            <v>5.3152554443605558E-3</v>
          </cell>
          <cell r="AE51">
            <v>3.7533703801933497E-3</v>
          </cell>
          <cell r="AF51">
            <v>6.4754257592436705E-3</v>
          </cell>
          <cell r="AG51">
            <v>3.220008477224283E-3</v>
          </cell>
          <cell r="AH51">
            <v>1.8679141842865457E-3</v>
          </cell>
          <cell r="AI51">
            <v>1.3929521106266555E-2</v>
          </cell>
          <cell r="AJ51">
            <v>1.392026469216975E-2</v>
          </cell>
          <cell r="AK51">
            <v>8.2559331901073604E-3</v>
          </cell>
          <cell r="AL51">
            <v>7.5265921502148155E-4</v>
          </cell>
          <cell r="AM51">
            <v>7.8340880985681323E-3</v>
          </cell>
          <cell r="AN51">
            <v>1.9965892233683408E-3</v>
          </cell>
          <cell r="AO51">
            <v>2.5429956997942718E-2</v>
          </cell>
          <cell r="AP51">
            <v>4.5626462371711179E-3</v>
          </cell>
          <cell r="AQ51">
            <v>2.3156405471029293E-3</v>
          </cell>
          <cell r="AR51">
            <v>3.1172600225597633E-3</v>
          </cell>
          <cell r="AS51">
            <v>9.5195432352887469E-3</v>
          </cell>
          <cell r="AT51">
            <v>6.5473306532926523E-3</v>
          </cell>
          <cell r="AU51">
            <v>2.1147955826149867E-3</v>
          </cell>
          <cell r="AV51">
            <v>3.7544410685223209E-3</v>
          </cell>
          <cell r="AW51">
            <v>1.2425449031567405E-3</v>
          </cell>
          <cell r="AX51">
            <v>1.8542264479106492E-3</v>
          </cell>
          <cell r="AY51">
            <v>6.5227842428714627E-3</v>
          </cell>
          <cell r="AZ51">
            <v>6.6464510297307494E-3</v>
          </cell>
          <cell r="BA51">
            <v>0</v>
          </cell>
          <cell r="BB51">
            <v>2.8926149782995997E-3</v>
          </cell>
          <cell r="BC51">
            <v>6.2045764144134982E-3</v>
          </cell>
          <cell r="BD51">
            <v>5.7420512243398373E-3</v>
          </cell>
          <cell r="BE51">
            <v>2.9320245869600942E-2</v>
          </cell>
          <cell r="BH51">
            <v>2.3156405471029293E-3</v>
          </cell>
          <cell r="BI51">
            <v>4.5302165443508197E-3</v>
          </cell>
        </row>
        <row r="53">
          <cell r="A53" t="str">
            <v>עלות קווי סניקה</v>
          </cell>
          <cell r="B53" t="str">
            <v>קווי סניקה</v>
          </cell>
          <cell r="C53">
            <v>0</v>
          </cell>
          <cell r="D53">
            <v>0</v>
          </cell>
          <cell r="E53">
            <v>0</v>
          </cell>
          <cell r="F53">
            <v>0</v>
          </cell>
          <cell r="G53">
            <v>13800</v>
          </cell>
          <cell r="H53">
            <v>0</v>
          </cell>
          <cell r="I53">
            <v>0</v>
          </cell>
          <cell r="J53">
            <v>1933.21</v>
          </cell>
          <cell r="K53">
            <v>0</v>
          </cell>
          <cell r="L53">
            <v>0</v>
          </cell>
          <cell r="M53">
            <v>24110.945</v>
          </cell>
          <cell r="N53">
            <v>0</v>
          </cell>
          <cell r="O53">
            <v>0</v>
          </cell>
          <cell r="P53">
            <v>0</v>
          </cell>
          <cell r="Q53">
            <v>15890.038</v>
          </cell>
          <cell r="R53">
            <v>0</v>
          </cell>
          <cell r="S53">
            <v>0</v>
          </cell>
          <cell r="T53">
            <v>0</v>
          </cell>
          <cell r="U53">
            <v>5672.06</v>
          </cell>
          <cell r="V53">
            <v>0</v>
          </cell>
          <cell r="W53">
            <v>0</v>
          </cell>
          <cell r="X53">
            <v>5823.5609999999997</v>
          </cell>
          <cell r="Y53">
            <v>0</v>
          </cell>
          <cell r="Z53">
            <v>0</v>
          </cell>
          <cell r="AA53">
            <v>0</v>
          </cell>
          <cell r="AB53">
            <v>6137</v>
          </cell>
          <cell r="AC53">
            <v>0</v>
          </cell>
          <cell r="AD53">
            <v>0</v>
          </cell>
          <cell r="AE53">
            <v>21880.423999999999</v>
          </cell>
          <cell r="AF53">
            <v>0</v>
          </cell>
          <cell r="AG53">
            <v>0</v>
          </cell>
          <cell r="AH53">
            <v>824.1</v>
          </cell>
          <cell r="AI53">
            <v>0</v>
          </cell>
          <cell r="AJ53">
            <v>1538.35</v>
          </cell>
          <cell r="AK53">
            <v>0</v>
          </cell>
          <cell r="AL53">
            <v>0</v>
          </cell>
          <cell r="AM53">
            <v>785.81799999999998</v>
          </cell>
          <cell r="AN53">
            <v>0</v>
          </cell>
          <cell r="AO53">
            <v>0</v>
          </cell>
          <cell r="AP53">
            <v>0</v>
          </cell>
          <cell r="AQ53">
            <v>2427</v>
          </cell>
          <cell r="AR53">
            <v>0</v>
          </cell>
          <cell r="AS53">
            <v>0</v>
          </cell>
          <cell r="AT53">
            <v>0</v>
          </cell>
          <cell r="AU53">
            <v>8018.57</v>
          </cell>
          <cell r="AV53">
            <v>4144.1779999999999</v>
          </cell>
          <cell r="AW53">
            <v>0</v>
          </cell>
          <cell r="AX53">
            <v>0</v>
          </cell>
          <cell r="AY53">
            <v>7454.3649999999998</v>
          </cell>
          <cell r="AZ53">
            <v>0</v>
          </cell>
          <cell r="BA53">
            <v>0</v>
          </cell>
          <cell r="BB53">
            <v>3187.5</v>
          </cell>
          <cell r="BC53">
            <v>0</v>
          </cell>
          <cell r="BD53">
            <v>0</v>
          </cell>
          <cell r="BE53">
            <v>0</v>
          </cell>
          <cell r="BH53">
            <v>2427</v>
          </cell>
          <cell r="BI53">
            <v>2427</v>
          </cell>
        </row>
        <row r="54">
          <cell r="B54" t="str">
            <v>שיעור אחזקת קווי סניקה</v>
          </cell>
          <cell r="C54">
            <v>0.01</v>
          </cell>
          <cell r="D54">
            <v>0.01</v>
          </cell>
          <cell r="E54">
            <v>0.01</v>
          </cell>
          <cell r="F54">
            <v>0.01</v>
          </cell>
          <cell r="G54">
            <v>0.01</v>
          </cell>
          <cell r="H54">
            <v>0.01</v>
          </cell>
          <cell r="I54">
            <v>0.01</v>
          </cell>
          <cell r="J54">
            <v>0.01</v>
          </cell>
          <cell r="K54">
            <v>0.01</v>
          </cell>
          <cell r="L54">
            <v>0.01</v>
          </cell>
          <cell r="M54">
            <v>0.01</v>
          </cell>
          <cell r="N54">
            <v>0.01</v>
          </cell>
          <cell r="O54">
            <v>0.01</v>
          </cell>
          <cell r="P54">
            <v>0.01</v>
          </cell>
          <cell r="Q54">
            <v>0.01</v>
          </cell>
          <cell r="R54">
            <v>0.01</v>
          </cell>
          <cell r="S54">
            <v>0.01</v>
          </cell>
          <cell r="T54">
            <v>0.01</v>
          </cell>
          <cell r="U54">
            <v>0.01</v>
          </cell>
          <cell r="V54">
            <v>0.01</v>
          </cell>
          <cell r="W54">
            <v>0.01</v>
          </cell>
          <cell r="X54">
            <v>0.01</v>
          </cell>
          <cell r="Y54">
            <v>0.01</v>
          </cell>
          <cell r="Z54">
            <v>0.01</v>
          </cell>
          <cell r="AA54">
            <v>0.01</v>
          </cell>
          <cell r="AB54">
            <v>0.01</v>
          </cell>
          <cell r="AC54">
            <v>0.01</v>
          </cell>
          <cell r="AD54">
            <v>0.01</v>
          </cell>
          <cell r="AE54">
            <v>0.01</v>
          </cell>
          <cell r="AF54">
            <v>0.01</v>
          </cell>
          <cell r="AG54">
            <v>0.01</v>
          </cell>
          <cell r="AH54">
            <v>0.01</v>
          </cell>
          <cell r="AI54">
            <v>0.01</v>
          </cell>
          <cell r="AJ54">
            <v>0.01</v>
          </cell>
          <cell r="AK54">
            <v>0.01</v>
          </cell>
          <cell r="AL54">
            <v>0.01</v>
          </cell>
          <cell r="AM54">
            <v>0.01</v>
          </cell>
          <cell r="AN54">
            <v>0.01</v>
          </cell>
          <cell r="AO54">
            <v>0.01</v>
          </cell>
          <cell r="AP54">
            <v>0.01</v>
          </cell>
          <cell r="AQ54">
            <v>0.01</v>
          </cell>
          <cell r="AR54">
            <v>0.01</v>
          </cell>
          <cell r="AS54">
            <v>0.01</v>
          </cell>
          <cell r="AT54">
            <v>0.01</v>
          </cell>
          <cell r="AU54">
            <v>0.01</v>
          </cell>
          <cell r="AV54">
            <v>0.01</v>
          </cell>
          <cell r="AW54">
            <v>0.01</v>
          </cell>
          <cell r="AX54">
            <v>0.01</v>
          </cell>
          <cell r="AY54">
            <v>0.01</v>
          </cell>
          <cell r="AZ54">
            <v>0.01</v>
          </cell>
          <cell r="BA54">
            <v>0.01</v>
          </cell>
          <cell r="BB54">
            <v>0.01</v>
          </cell>
          <cell r="BC54">
            <v>0.01</v>
          </cell>
          <cell r="BD54">
            <v>0.01</v>
          </cell>
          <cell r="BE54">
            <v>0.01</v>
          </cell>
          <cell r="BH54">
            <v>0.01</v>
          </cell>
          <cell r="BI54">
            <v>0.01</v>
          </cell>
        </row>
        <row r="55">
          <cell r="B55" t="str">
            <v>כמויות ביוב</v>
          </cell>
          <cell r="C55">
            <v>10280.945000000002</v>
          </cell>
          <cell r="D55">
            <v>8916.7430000000004</v>
          </cell>
          <cell r="E55">
            <v>4333.2569999999996</v>
          </cell>
          <cell r="F55">
            <v>54307.281000000003</v>
          </cell>
          <cell r="G55">
            <v>15191.027</v>
          </cell>
          <cell r="H55">
            <v>1561.3779999999999</v>
          </cell>
          <cell r="I55">
            <v>4551.009</v>
          </cell>
          <cell r="J55">
            <v>6858.4719999999998</v>
          </cell>
          <cell r="K55">
            <v>5038.1689999999999</v>
          </cell>
          <cell r="L55">
            <v>9110.4159999999993</v>
          </cell>
          <cell r="M55">
            <v>15186.956</v>
          </cell>
          <cell r="N55">
            <v>8227.3490000000002</v>
          </cell>
          <cell r="O55">
            <v>4852.53</v>
          </cell>
          <cell r="P55">
            <v>4848.0789999999997</v>
          </cell>
          <cell r="Q55">
            <v>19008.361999999997</v>
          </cell>
          <cell r="R55">
            <v>17334.789999999997</v>
          </cell>
          <cell r="S55">
            <v>17520.159000000003</v>
          </cell>
          <cell r="T55">
            <v>18217.092000000001</v>
          </cell>
          <cell r="U55">
            <v>9804.0889999999999</v>
          </cell>
          <cell r="V55">
            <v>8391.7970000000005</v>
          </cell>
          <cell r="W55">
            <v>8026.8700000000008</v>
          </cell>
          <cell r="X55">
            <v>5418.3969999999999</v>
          </cell>
          <cell r="Y55">
            <v>3211.395</v>
          </cell>
          <cell r="Z55">
            <v>3356.837</v>
          </cell>
          <cell r="AA55">
            <v>5802.5370000000003</v>
          </cell>
          <cell r="AB55">
            <v>7488.7640000000001</v>
          </cell>
          <cell r="AC55">
            <v>9248.7369999999992</v>
          </cell>
          <cell r="AD55">
            <v>4201.2279999999992</v>
          </cell>
          <cell r="AE55">
            <v>22539.741999999998</v>
          </cell>
          <cell r="AF55">
            <v>4864.5450000000001</v>
          </cell>
          <cell r="AG55">
            <v>3590.7979999999998</v>
          </cell>
          <cell r="AH55">
            <v>3212.1389999999997</v>
          </cell>
          <cell r="AI55">
            <v>3122.864</v>
          </cell>
          <cell r="AJ55">
            <v>2929.8940000000002</v>
          </cell>
          <cell r="AK55">
            <v>2707.1440000000002</v>
          </cell>
          <cell r="AL55">
            <v>42848.077000000005</v>
          </cell>
          <cell r="AM55">
            <v>5012.8169999999991</v>
          </cell>
          <cell r="AN55">
            <v>11191.586000000001</v>
          </cell>
          <cell r="AO55">
            <v>3539.1329999999998</v>
          </cell>
          <cell r="AP55">
            <v>8602.4639999999999</v>
          </cell>
          <cell r="AQ55">
            <v>4642.3439999999991</v>
          </cell>
          <cell r="AR55">
            <v>9537.3340000000007</v>
          </cell>
          <cell r="AS55">
            <v>3230.1969999999997</v>
          </cell>
          <cell r="AT55">
            <v>2443.7440000000001</v>
          </cell>
          <cell r="AU55">
            <v>4019.3010000000004</v>
          </cell>
          <cell r="AV55">
            <v>5469.1230000000005</v>
          </cell>
          <cell r="AW55">
            <v>7243.1989999999996</v>
          </cell>
          <cell r="AX55">
            <v>11864.786</v>
          </cell>
          <cell r="AY55">
            <v>6315.11</v>
          </cell>
          <cell r="AZ55">
            <v>3197.1949999999997</v>
          </cell>
          <cell r="BA55">
            <v>5124.0309999999999</v>
          </cell>
          <cell r="BB55">
            <v>4966.9589999999998</v>
          </cell>
          <cell r="BC55">
            <v>5914.9888000000001</v>
          </cell>
          <cell r="BD55">
            <v>7553.0499999999993</v>
          </cell>
          <cell r="BE55">
            <v>979.86899999999991</v>
          </cell>
          <cell r="BH55">
            <v>4642.3439999999991</v>
          </cell>
          <cell r="BI55">
            <v>2372.9549999999999</v>
          </cell>
        </row>
        <row r="56">
          <cell r="B56" t="str">
            <v>סה"כ עלות קווי סניקה לק"ב ביוב</v>
          </cell>
          <cell r="C56">
            <v>0</v>
          </cell>
          <cell r="D56">
            <v>0</v>
          </cell>
          <cell r="E56">
            <v>0</v>
          </cell>
          <cell r="F56">
            <v>0</v>
          </cell>
          <cell r="G56">
            <v>9.0843100996397409E-3</v>
          </cell>
          <cell r="H56">
            <v>0</v>
          </cell>
          <cell r="I56">
            <v>0</v>
          </cell>
          <cell r="J56">
            <v>2.8187182217846774E-3</v>
          </cell>
          <cell r="K56">
            <v>0</v>
          </cell>
          <cell r="L56">
            <v>0</v>
          </cell>
          <cell r="M56">
            <v>1.5876088006049404E-2</v>
          </cell>
          <cell r="N56">
            <v>0</v>
          </cell>
          <cell r="O56">
            <v>0</v>
          </cell>
          <cell r="P56">
            <v>0</v>
          </cell>
          <cell r="Q56">
            <v>8.3594988353020653E-3</v>
          </cell>
          <cell r="R56">
            <v>0</v>
          </cell>
          <cell r="S56">
            <v>0</v>
          </cell>
          <cell r="T56">
            <v>0</v>
          </cell>
          <cell r="U56">
            <v>5.7854023968978664E-3</v>
          </cell>
          <cell r="V56">
            <v>0</v>
          </cell>
          <cell r="W56">
            <v>0</v>
          </cell>
          <cell r="X56">
            <v>1.0747756209078073E-2</v>
          </cell>
          <cell r="Y56">
            <v>0</v>
          </cell>
          <cell r="Z56">
            <v>0</v>
          </cell>
          <cell r="AA56">
            <v>0</v>
          </cell>
          <cell r="AB56">
            <v>8.1949437851159424E-3</v>
          </cell>
          <cell r="AC56">
            <v>0</v>
          </cell>
          <cell r="AD56">
            <v>0</v>
          </cell>
          <cell r="AE56">
            <v>9.7074864477153296E-3</v>
          </cell>
          <cell r="AF56">
            <v>0</v>
          </cell>
          <cell r="AG56">
            <v>0</v>
          </cell>
          <cell r="AH56">
            <v>2.5655801321175704E-3</v>
          </cell>
          <cell r="AI56">
            <v>0</v>
          </cell>
          <cell r="AJ56">
            <v>5.2505312478881485E-3</v>
          </cell>
          <cell r="AK56">
            <v>0</v>
          </cell>
          <cell r="AL56">
            <v>0</v>
          </cell>
          <cell r="AM56">
            <v>1.5676175691233096E-3</v>
          </cell>
          <cell r="AN56">
            <v>0</v>
          </cell>
          <cell r="AO56">
            <v>0</v>
          </cell>
          <cell r="AP56">
            <v>0</v>
          </cell>
          <cell r="AQ56">
            <v>5.2279624258779623E-3</v>
          </cell>
          <cell r="AR56">
            <v>0</v>
          </cell>
          <cell r="AS56">
            <v>0</v>
          </cell>
          <cell r="AT56">
            <v>0</v>
          </cell>
          <cell r="AU56">
            <v>1.995016048810477E-2</v>
          </cell>
          <cell r="AV56">
            <v>7.5774086631439806E-3</v>
          </cell>
          <cell r="AW56">
            <v>0</v>
          </cell>
          <cell r="AX56">
            <v>0</v>
          </cell>
          <cell r="AY56">
            <v>1.1804014498559804E-2</v>
          </cell>
          <cell r="AZ56">
            <v>0</v>
          </cell>
          <cell r="BA56">
            <v>0</v>
          </cell>
          <cell r="BB56">
            <v>6.4174075123229323E-3</v>
          </cell>
          <cell r="BC56">
            <v>0</v>
          </cell>
          <cell r="BD56">
            <v>0</v>
          </cell>
          <cell r="BE56">
            <v>0</v>
          </cell>
          <cell r="BH56">
            <v>5.2279624258779623E-3</v>
          </cell>
          <cell r="BI56">
            <v>1.0227754002920409E-2</v>
          </cell>
        </row>
        <row r="58">
          <cell r="A58" t="str">
            <v>עלות אנרגיה בביוב</v>
          </cell>
          <cell r="B58" t="str">
            <v>אנרגיה -ביוב</v>
          </cell>
          <cell r="C58">
            <v>0</v>
          </cell>
          <cell r="D58">
            <v>288</v>
          </cell>
          <cell r="E58">
            <v>5</v>
          </cell>
          <cell r="F58">
            <v>276</v>
          </cell>
          <cell r="G58">
            <v>1486</v>
          </cell>
          <cell r="H58">
            <v>66</v>
          </cell>
          <cell r="I58">
            <v>287</v>
          </cell>
          <cell r="J58">
            <v>92</v>
          </cell>
          <cell r="K58">
            <v>571</v>
          </cell>
          <cell r="L58">
            <v>200</v>
          </cell>
          <cell r="M58">
            <v>1143</v>
          </cell>
          <cell r="N58">
            <v>0</v>
          </cell>
          <cell r="O58">
            <v>252</v>
          </cell>
          <cell r="P58">
            <v>313</v>
          </cell>
          <cell r="Q58">
            <v>1314</v>
          </cell>
          <cell r="R58">
            <v>96</v>
          </cell>
          <cell r="S58">
            <v>0</v>
          </cell>
          <cell r="T58">
            <v>1087</v>
          </cell>
          <cell r="U58">
            <v>801</v>
          </cell>
          <cell r="V58">
            <v>475</v>
          </cell>
          <cell r="W58">
            <v>1082</v>
          </cell>
          <cell r="X58">
            <v>303</v>
          </cell>
          <cell r="Y58">
            <v>281</v>
          </cell>
          <cell r="Z58">
            <v>138</v>
          </cell>
          <cell r="AA58">
            <v>351</v>
          </cell>
          <cell r="AB58">
            <v>0</v>
          </cell>
          <cell r="AC58">
            <v>470</v>
          </cell>
          <cell r="AD58">
            <v>172</v>
          </cell>
          <cell r="AE58">
            <v>692</v>
          </cell>
          <cell r="AF58">
            <v>506</v>
          </cell>
          <cell r="AG58">
            <v>63</v>
          </cell>
          <cell r="AH58">
            <v>0</v>
          </cell>
          <cell r="AI58">
            <v>259</v>
          </cell>
          <cell r="AJ58">
            <v>194</v>
          </cell>
          <cell r="AK58">
            <v>365</v>
          </cell>
          <cell r="AL58">
            <v>860</v>
          </cell>
          <cell r="AM58">
            <v>247</v>
          </cell>
          <cell r="AN58">
            <v>150</v>
          </cell>
          <cell r="AO58">
            <v>0</v>
          </cell>
          <cell r="AP58">
            <v>697</v>
          </cell>
          <cell r="AQ58">
            <v>0</v>
          </cell>
          <cell r="AR58">
            <v>1137</v>
          </cell>
          <cell r="AS58">
            <v>109</v>
          </cell>
          <cell r="AT58">
            <v>0</v>
          </cell>
          <cell r="AU58">
            <v>578</v>
          </cell>
          <cell r="AV58">
            <v>146</v>
          </cell>
          <cell r="AW58">
            <v>0</v>
          </cell>
          <cell r="AX58">
            <v>480</v>
          </cell>
          <cell r="AY58">
            <v>262</v>
          </cell>
          <cell r="AZ58">
            <v>282</v>
          </cell>
          <cell r="BA58">
            <v>5</v>
          </cell>
          <cell r="BB58">
            <v>293</v>
          </cell>
          <cell r="BC58">
            <v>436</v>
          </cell>
          <cell r="BD58">
            <v>284</v>
          </cell>
          <cell r="BE58">
            <v>0</v>
          </cell>
          <cell r="BH58">
            <v>0</v>
          </cell>
          <cell r="BI58">
            <v>0</v>
          </cell>
        </row>
        <row r="59">
          <cell r="B59" t="str">
            <v>כמות ביוב</v>
          </cell>
          <cell r="C59">
            <v>10280.945000000002</v>
          </cell>
          <cell r="D59">
            <v>8916.7430000000004</v>
          </cell>
          <cell r="E59">
            <v>4333.2569999999996</v>
          </cell>
          <cell r="F59">
            <v>54307.281000000003</v>
          </cell>
          <cell r="G59">
            <v>15191.027</v>
          </cell>
          <cell r="H59">
            <v>1561.3779999999999</v>
          </cell>
          <cell r="I59">
            <v>4551.009</v>
          </cell>
          <cell r="J59">
            <v>6858.4719999999998</v>
          </cell>
          <cell r="K59">
            <v>5038.1689999999999</v>
          </cell>
          <cell r="L59">
            <v>9110.4159999999993</v>
          </cell>
          <cell r="M59">
            <v>15186.956</v>
          </cell>
          <cell r="N59">
            <v>8227.3490000000002</v>
          </cell>
          <cell r="O59">
            <v>4852.53</v>
          </cell>
          <cell r="P59">
            <v>4848.0789999999997</v>
          </cell>
          <cell r="Q59">
            <v>19008.361999999997</v>
          </cell>
          <cell r="R59">
            <v>17334.789999999997</v>
          </cell>
          <cell r="S59">
            <v>17520.159000000003</v>
          </cell>
          <cell r="T59">
            <v>18217.092000000001</v>
          </cell>
          <cell r="U59">
            <v>9804.0889999999999</v>
          </cell>
          <cell r="V59">
            <v>8391.7970000000005</v>
          </cell>
          <cell r="W59">
            <v>8026.8700000000008</v>
          </cell>
          <cell r="X59">
            <v>5418.3969999999999</v>
          </cell>
          <cell r="Y59">
            <v>3211.395</v>
          </cell>
          <cell r="Z59">
            <v>3356.837</v>
          </cell>
          <cell r="AA59">
            <v>5802.5370000000003</v>
          </cell>
          <cell r="AB59">
            <v>7488.7640000000001</v>
          </cell>
          <cell r="AC59">
            <v>9248.7369999999992</v>
          </cell>
          <cell r="AD59">
            <v>4201.2279999999992</v>
          </cell>
          <cell r="AE59">
            <v>22539.741999999998</v>
          </cell>
          <cell r="AF59">
            <v>4864.5450000000001</v>
          </cell>
          <cell r="AG59">
            <v>3590.7979999999998</v>
          </cell>
          <cell r="AH59">
            <v>3212.1389999999997</v>
          </cell>
          <cell r="AI59">
            <v>3122.864</v>
          </cell>
          <cell r="AJ59">
            <v>2929.8940000000002</v>
          </cell>
          <cell r="AK59">
            <v>2707.1440000000002</v>
          </cell>
          <cell r="AL59">
            <v>42848.077000000005</v>
          </cell>
          <cell r="AM59">
            <v>5012.8169999999991</v>
          </cell>
          <cell r="AN59">
            <v>11191.586000000001</v>
          </cell>
          <cell r="AO59">
            <v>3539.1329999999998</v>
          </cell>
          <cell r="AP59">
            <v>8602.4639999999999</v>
          </cell>
          <cell r="AQ59">
            <v>4642.3439999999991</v>
          </cell>
          <cell r="AR59">
            <v>9537.3340000000007</v>
          </cell>
          <cell r="AS59">
            <v>3230.1969999999997</v>
          </cell>
          <cell r="AT59">
            <v>2443.7440000000001</v>
          </cell>
          <cell r="AU59">
            <v>4019.3010000000004</v>
          </cell>
          <cell r="AV59">
            <v>5469.1230000000005</v>
          </cell>
          <cell r="AW59">
            <v>7243.1989999999996</v>
          </cell>
          <cell r="AX59">
            <v>11864.786</v>
          </cell>
          <cell r="AY59">
            <v>6315.11</v>
          </cell>
          <cell r="AZ59">
            <v>3197.1949999999997</v>
          </cell>
          <cell r="BA59">
            <v>5124.0309999999999</v>
          </cell>
          <cell r="BB59">
            <v>4966.9589999999998</v>
          </cell>
          <cell r="BC59">
            <v>5914.9888000000001</v>
          </cell>
          <cell r="BD59">
            <v>7553.0499999999993</v>
          </cell>
          <cell r="BE59">
            <v>979.86899999999991</v>
          </cell>
          <cell r="BH59">
            <v>4642.3439999999991</v>
          </cell>
          <cell r="BI59">
            <v>2372.9549999999999</v>
          </cell>
        </row>
        <row r="60">
          <cell r="B60" t="str">
            <v>סה"כ עלות אנרגיה לק"ב ביוב</v>
          </cell>
          <cell r="C60">
            <v>0</v>
          </cell>
          <cell r="D60">
            <v>3.2298788918778971E-2</v>
          </cell>
          <cell r="E60">
            <v>1.1538664796479877E-3</v>
          </cell>
          <cell r="F60">
            <v>5.0821914652659558E-3</v>
          </cell>
          <cell r="G60">
            <v>9.7820904406265619E-2</v>
          </cell>
          <cell r="H60">
            <v>4.2270353495438007E-2</v>
          </cell>
          <cell r="I60">
            <v>6.3062938350594344E-2</v>
          </cell>
          <cell r="J60">
            <v>1.3414066573429185E-2</v>
          </cell>
          <cell r="K60">
            <v>0.11333482461584754</v>
          </cell>
          <cell r="L60">
            <v>2.1952894357403659E-2</v>
          </cell>
          <cell r="M60">
            <v>7.5261955061962385E-2</v>
          </cell>
          <cell r="N60">
            <v>0</v>
          </cell>
          <cell r="O60">
            <v>5.1931672756273535E-2</v>
          </cell>
          <cell r="P60">
            <v>6.4561654213968048E-2</v>
          </cell>
          <cell r="Q60">
            <v>6.9127471372862126E-2</v>
          </cell>
          <cell r="R60">
            <v>5.5379961337864497E-3</v>
          </cell>
          <cell r="S60">
            <v>0</v>
          </cell>
          <cell r="T60">
            <v>5.9669238097935715E-2</v>
          </cell>
          <cell r="U60">
            <v>8.1700604717072647E-2</v>
          </cell>
          <cell r="V60">
            <v>5.6602894469444387E-2</v>
          </cell>
          <cell r="W60">
            <v>0.13479724973744434</v>
          </cell>
          <cell r="X60">
            <v>5.5920597918535687E-2</v>
          </cell>
          <cell r="Y60">
            <v>8.7500914711519454E-2</v>
          </cell>
          <cell r="Z60">
            <v>4.1110128373823336E-2</v>
          </cell>
          <cell r="AA60">
            <v>6.0490781876961747E-2</v>
          </cell>
          <cell r="AB60">
            <v>0</v>
          </cell>
          <cell r="AC60">
            <v>5.081774949379575E-2</v>
          </cell>
          <cell r="AD60">
            <v>4.0940410756093226E-2</v>
          </cell>
          <cell r="AE60">
            <v>3.0701327459737561E-2</v>
          </cell>
          <cell r="AF60">
            <v>0.10401795029134277</v>
          </cell>
          <cell r="AG60">
            <v>1.7544846577278922E-2</v>
          </cell>
          <cell r="AH60">
            <v>0</v>
          </cell>
          <cell r="AI60">
            <v>8.293668888558707E-2</v>
          </cell>
          <cell r="AJ60">
            <v>6.6213999550836983E-2</v>
          </cell>
          <cell r="AK60">
            <v>0.13482843912255868</v>
          </cell>
          <cell r="AL60">
            <v>2.0070912400572839E-2</v>
          </cell>
          <cell r="AM60">
            <v>4.9273691818392744E-2</v>
          </cell>
          <cell r="AN60">
            <v>1.3402926091083067E-2</v>
          </cell>
          <cell r="AO60">
            <v>0</v>
          </cell>
          <cell r="AP60">
            <v>8.1023297511038692E-2</v>
          </cell>
          <cell r="AQ60">
            <v>0</v>
          </cell>
          <cell r="AR60">
            <v>0.11921570535329894</v>
          </cell>
          <cell r="AS60">
            <v>3.3744071955982877E-2</v>
          </cell>
          <cell r="AT60">
            <v>0</v>
          </cell>
          <cell r="AU60">
            <v>0.14380609961781909</v>
          </cell>
          <cell r="AV60">
            <v>2.6695322083632053E-2</v>
          </cell>
          <cell r="AW60">
            <v>0</v>
          </cell>
          <cell r="AX60">
            <v>4.0455849772595982E-2</v>
          </cell>
          <cell r="AY60">
            <v>4.1487796728798078E-2</v>
          </cell>
          <cell r="AZ60">
            <v>8.8202314841603346E-2</v>
          </cell>
          <cell r="BA60">
            <v>9.7579425261088391E-4</v>
          </cell>
          <cell r="BB60">
            <v>5.898981650543119E-2</v>
          </cell>
          <cell r="BC60">
            <v>7.3711044051342919E-2</v>
          </cell>
          <cell r="BD60">
            <v>3.7600704351222355E-2</v>
          </cell>
          <cell r="BE60">
            <v>0</v>
          </cell>
          <cell r="BH60">
            <v>0</v>
          </cell>
          <cell r="BI60">
            <v>0</v>
          </cell>
        </row>
        <row r="62">
          <cell r="A62" t="str">
            <v>עלות ארנונה ושמירה בביוב</v>
          </cell>
          <cell r="B62" t="str">
            <v>ארנונה ושמירה</v>
          </cell>
          <cell r="C62">
            <v>0</v>
          </cell>
          <cell r="D62">
            <v>4562.3580000000002</v>
          </cell>
          <cell r="E62">
            <v>7166.8670000000002</v>
          </cell>
          <cell r="F62">
            <v>30932.819</v>
          </cell>
          <cell r="G62">
            <v>33620</v>
          </cell>
          <cell r="H62">
            <v>1356</v>
          </cell>
          <cell r="I62">
            <v>11623.061</v>
          </cell>
          <cell r="J62">
            <v>10937.63</v>
          </cell>
          <cell r="K62">
            <v>13704.848</v>
          </cell>
          <cell r="L62">
            <v>13856.329</v>
          </cell>
          <cell r="M62">
            <v>59974.5</v>
          </cell>
          <cell r="N62">
            <v>585.601</v>
          </cell>
          <cell r="O62">
            <v>8537.1550000000007</v>
          </cell>
          <cell r="P62">
            <v>10991.519</v>
          </cell>
          <cell r="Q62">
            <v>26698.107</v>
          </cell>
          <cell r="R62">
            <v>3105.56</v>
          </cell>
          <cell r="S62">
            <v>0</v>
          </cell>
          <cell r="T62">
            <v>33806</v>
          </cell>
          <cell r="U62">
            <v>30329</v>
          </cell>
          <cell r="V62">
            <v>4581.3980000000001</v>
          </cell>
          <cell r="W62">
            <v>16310.458000000001</v>
          </cell>
          <cell r="X62">
            <v>9569.1470000000008</v>
          </cell>
          <cell r="Y62">
            <v>17205.895</v>
          </cell>
          <cell r="Z62">
            <v>9748</v>
          </cell>
          <cell r="AA62">
            <v>12450</v>
          </cell>
          <cell r="AB62">
            <v>2460</v>
          </cell>
          <cell r="AC62">
            <v>24280.507000000001</v>
          </cell>
          <cell r="AD62">
            <v>5905.3990000000003</v>
          </cell>
          <cell r="AE62">
            <v>38694.792000000001</v>
          </cell>
          <cell r="AF62">
            <v>13174.5</v>
          </cell>
          <cell r="AG62">
            <v>2556.797</v>
          </cell>
          <cell r="AH62">
            <v>2001.386</v>
          </cell>
          <cell r="AI62">
            <v>7760</v>
          </cell>
          <cell r="AJ62">
            <v>16552</v>
          </cell>
          <cell r="AK62">
            <v>7678.4</v>
          </cell>
          <cell r="AL62">
            <v>18159</v>
          </cell>
          <cell r="AM62">
            <v>11333.937</v>
          </cell>
          <cell r="AN62">
            <v>6234.5349999999999</v>
          </cell>
          <cell r="AO62">
            <v>322</v>
          </cell>
          <cell r="AP62">
            <v>7913.31</v>
          </cell>
          <cell r="AQ62">
            <v>4450</v>
          </cell>
          <cell r="AR62">
            <v>27849.684000000001</v>
          </cell>
          <cell r="AS62">
            <v>17537.848999999998</v>
          </cell>
          <cell r="AT62">
            <v>6313.2</v>
          </cell>
          <cell r="AU62">
            <v>1080</v>
          </cell>
          <cell r="AV62">
            <v>4932.0119999999997</v>
          </cell>
          <cell r="AW62">
            <v>4191.1929999999993</v>
          </cell>
          <cell r="AX62">
            <v>8972.1980000000003</v>
          </cell>
          <cell r="AY62">
            <v>16853.291000000001</v>
          </cell>
          <cell r="AZ62">
            <v>6556.5609999999997</v>
          </cell>
          <cell r="BA62">
            <v>18068</v>
          </cell>
          <cell r="BB62">
            <v>11924.784</v>
          </cell>
          <cell r="BC62">
            <v>12834.14</v>
          </cell>
          <cell r="BD62">
            <v>13854.8</v>
          </cell>
          <cell r="BE62">
            <v>4400</v>
          </cell>
          <cell r="BH62">
            <v>4450</v>
          </cell>
          <cell r="BI62">
            <v>4450</v>
          </cell>
        </row>
        <row r="63">
          <cell r="B63" t="str">
            <v>שיעור אחזקה לארנונה ושמירה-ביוב</v>
          </cell>
          <cell r="C63">
            <v>0.01</v>
          </cell>
          <cell r="D63">
            <v>0.01</v>
          </cell>
          <cell r="E63">
            <v>0.01</v>
          </cell>
          <cell r="F63">
            <v>0.01</v>
          </cell>
          <cell r="G63">
            <v>0.01</v>
          </cell>
          <cell r="H63">
            <v>0.01</v>
          </cell>
          <cell r="I63">
            <v>0.01</v>
          </cell>
          <cell r="J63">
            <v>0.01</v>
          </cell>
          <cell r="K63">
            <v>0.01</v>
          </cell>
          <cell r="L63">
            <v>0.01</v>
          </cell>
          <cell r="M63">
            <v>0.01</v>
          </cell>
          <cell r="N63">
            <v>0.01</v>
          </cell>
          <cell r="O63">
            <v>0.01</v>
          </cell>
          <cell r="P63">
            <v>0.01</v>
          </cell>
          <cell r="Q63">
            <v>0.01</v>
          </cell>
          <cell r="R63">
            <v>0.01</v>
          </cell>
          <cell r="S63">
            <v>0.01</v>
          </cell>
          <cell r="T63">
            <v>0.01</v>
          </cell>
          <cell r="U63">
            <v>0.01</v>
          </cell>
          <cell r="V63">
            <v>0.01</v>
          </cell>
          <cell r="W63">
            <v>0.01</v>
          </cell>
          <cell r="X63">
            <v>0.01</v>
          </cell>
          <cell r="Y63">
            <v>0.01</v>
          </cell>
          <cell r="Z63">
            <v>0.01</v>
          </cell>
          <cell r="AA63">
            <v>0.01</v>
          </cell>
          <cell r="AB63">
            <v>0.01</v>
          </cell>
          <cell r="AC63">
            <v>0.01</v>
          </cell>
          <cell r="AD63">
            <v>0.01</v>
          </cell>
          <cell r="AE63">
            <v>0.01</v>
          </cell>
          <cell r="AF63">
            <v>0.01</v>
          </cell>
          <cell r="AG63">
            <v>0.01</v>
          </cell>
          <cell r="AH63">
            <v>0.01</v>
          </cell>
          <cell r="AI63">
            <v>0.01</v>
          </cell>
          <cell r="AJ63">
            <v>0.01</v>
          </cell>
          <cell r="AK63">
            <v>0.01</v>
          </cell>
          <cell r="AL63">
            <v>0.01</v>
          </cell>
          <cell r="AM63">
            <v>0.01</v>
          </cell>
          <cell r="AN63">
            <v>0.01</v>
          </cell>
          <cell r="AO63">
            <v>0.01</v>
          </cell>
          <cell r="AP63">
            <v>0.01</v>
          </cell>
          <cell r="AQ63">
            <v>0.01</v>
          </cell>
          <cell r="AR63">
            <v>0.01</v>
          </cell>
          <cell r="AS63">
            <v>0.01</v>
          </cell>
          <cell r="AT63">
            <v>0.01</v>
          </cell>
          <cell r="AU63">
            <v>0.01</v>
          </cell>
          <cell r="AV63">
            <v>0.01</v>
          </cell>
          <cell r="AW63">
            <v>0.01</v>
          </cell>
          <cell r="AX63">
            <v>0.01</v>
          </cell>
          <cell r="AY63">
            <v>0.01</v>
          </cell>
          <cell r="AZ63">
            <v>0.01</v>
          </cell>
          <cell r="BA63">
            <v>0.01</v>
          </cell>
          <cell r="BB63">
            <v>0.01</v>
          </cell>
          <cell r="BC63">
            <v>0.01</v>
          </cell>
          <cell r="BD63">
            <v>0.01</v>
          </cell>
          <cell r="BE63">
            <v>0.01</v>
          </cell>
          <cell r="BH63">
            <v>0.01</v>
          </cell>
          <cell r="BI63">
            <v>0.01</v>
          </cell>
        </row>
        <row r="64">
          <cell r="B64" t="str">
            <v>כמויות ביוב</v>
          </cell>
          <cell r="C64">
            <v>10280.945000000002</v>
          </cell>
          <cell r="D64">
            <v>8916.7430000000004</v>
          </cell>
          <cell r="E64">
            <v>4333.2569999999996</v>
          </cell>
          <cell r="F64">
            <v>54307.281000000003</v>
          </cell>
          <cell r="G64">
            <v>15191.027</v>
          </cell>
          <cell r="H64">
            <v>1561.3779999999999</v>
          </cell>
          <cell r="I64">
            <v>4551.009</v>
          </cell>
          <cell r="J64">
            <v>6858.4719999999998</v>
          </cell>
          <cell r="K64">
            <v>5038.1689999999999</v>
          </cell>
          <cell r="L64">
            <v>9110.4159999999993</v>
          </cell>
          <cell r="M64">
            <v>15186.956</v>
          </cell>
          <cell r="N64">
            <v>8227.3490000000002</v>
          </cell>
          <cell r="O64">
            <v>4852.53</v>
          </cell>
          <cell r="P64">
            <v>4848.0789999999997</v>
          </cell>
          <cell r="Q64">
            <v>19008.361999999997</v>
          </cell>
          <cell r="R64">
            <v>17334.789999999997</v>
          </cell>
          <cell r="S64">
            <v>17520.159000000003</v>
          </cell>
          <cell r="T64">
            <v>18217.092000000001</v>
          </cell>
          <cell r="U64">
            <v>9804.0889999999999</v>
          </cell>
          <cell r="V64">
            <v>8391.7970000000005</v>
          </cell>
          <cell r="W64">
            <v>8026.8700000000008</v>
          </cell>
          <cell r="X64">
            <v>5418.3969999999999</v>
          </cell>
          <cell r="Y64">
            <v>3211.395</v>
          </cell>
          <cell r="Z64">
            <v>3356.837</v>
          </cell>
          <cell r="AA64">
            <v>5802.5370000000003</v>
          </cell>
          <cell r="AB64">
            <v>7488.7640000000001</v>
          </cell>
          <cell r="AC64">
            <v>9248.7369999999992</v>
          </cell>
          <cell r="AD64">
            <v>4201.2279999999992</v>
          </cell>
          <cell r="AE64">
            <v>22539.741999999998</v>
          </cell>
          <cell r="AF64">
            <v>4864.5450000000001</v>
          </cell>
          <cell r="AG64">
            <v>3590.7979999999998</v>
          </cell>
          <cell r="AH64">
            <v>3212.1389999999997</v>
          </cell>
          <cell r="AI64">
            <v>3122.864</v>
          </cell>
          <cell r="AJ64">
            <v>2929.8940000000002</v>
          </cell>
          <cell r="AK64">
            <v>2707.1440000000002</v>
          </cell>
          <cell r="AL64">
            <v>42848.077000000005</v>
          </cell>
          <cell r="AM64">
            <v>5012.8169999999991</v>
          </cell>
          <cell r="AN64">
            <v>11191.586000000001</v>
          </cell>
          <cell r="AO64">
            <v>3539.1329999999998</v>
          </cell>
          <cell r="AP64">
            <v>8602.4639999999999</v>
          </cell>
          <cell r="AQ64">
            <v>4642.3439999999991</v>
          </cell>
          <cell r="AR64">
            <v>9537.3340000000007</v>
          </cell>
          <cell r="AS64">
            <v>3230.1969999999997</v>
          </cell>
          <cell r="AT64">
            <v>2443.7440000000001</v>
          </cell>
          <cell r="AU64">
            <v>4019.3010000000004</v>
          </cell>
          <cell r="AV64">
            <v>5469.1230000000005</v>
          </cell>
          <cell r="AW64">
            <v>7243.1989999999996</v>
          </cell>
          <cell r="AX64">
            <v>11864.786</v>
          </cell>
          <cell r="AY64">
            <v>6315.11</v>
          </cell>
          <cell r="AZ64">
            <v>3197.1949999999997</v>
          </cell>
          <cell r="BA64">
            <v>5124.0309999999999</v>
          </cell>
          <cell r="BB64">
            <v>4966.9589999999998</v>
          </cell>
          <cell r="BC64">
            <v>5914.9888000000001</v>
          </cell>
          <cell r="BD64">
            <v>7553.0499999999993</v>
          </cell>
          <cell r="BE64">
            <v>979.86899999999991</v>
          </cell>
          <cell r="BH64">
            <v>4642.3439999999991</v>
          </cell>
          <cell r="BI64">
            <v>2372.9549999999999</v>
          </cell>
        </row>
        <row r="65">
          <cell r="B65" t="str">
            <v>סה"כ עלות ארנונה ושמירה לק"ב ביוב</v>
          </cell>
          <cell r="C65">
            <v>0</v>
          </cell>
          <cell r="D65">
            <v>5.1166193754827293E-3</v>
          </cell>
          <cell r="E65">
            <v>1.6539215190790671E-2</v>
          </cell>
          <cell r="F65">
            <v>5.6958879970440794E-3</v>
          </cell>
          <cell r="G65">
            <v>2.213148590941218E-2</v>
          </cell>
          <cell r="H65">
            <v>8.6846362636081725E-3</v>
          </cell>
          <cell r="I65">
            <v>2.5539525410738586E-2</v>
          </cell>
          <cell r="J65">
            <v>1.5947619236471332E-2</v>
          </cell>
          <cell r="K65">
            <v>2.7202041058964083E-2</v>
          </cell>
          <cell r="L65">
            <v>1.5209326335921433E-2</v>
          </cell>
          <cell r="M65">
            <v>3.9490797234152782E-2</v>
          </cell>
          <cell r="N65">
            <v>7.1177362234177747E-4</v>
          </cell>
          <cell r="O65">
            <v>1.7593203957523191E-2</v>
          </cell>
          <cell r="P65">
            <v>2.2671905717707986E-2</v>
          </cell>
          <cell r="Q65">
            <v>1.4045453785023667E-2</v>
          </cell>
          <cell r="R65">
            <v>1.7915186742960259E-3</v>
          </cell>
          <cell r="S65">
            <v>0</v>
          </cell>
          <cell r="T65">
            <v>1.8557297728967938E-2</v>
          </cell>
          <cell r="U65">
            <v>3.093505169118722E-2</v>
          </cell>
          <cell r="V65">
            <v>5.4593765792952326E-3</v>
          </cell>
          <cell r="W65">
            <v>2.0319823293512913E-2</v>
          </cell>
          <cell r="X65">
            <v>1.7660475967338683E-2</v>
          </cell>
          <cell r="Y65">
            <v>5.3577635264425591E-2</v>
          </cell>
          <cell r="Z65">
            <v>2.9039241404929701E-2</v>
          </cell>
          <cell r="AA65">
            <v>2.1456132033281304E-2</v>
          </cell>
          <cell r="AB65">
            <v>3.2849212500220331E-3</v>
          </cell>
          <cell r="AC65">
            <v>2.6252781325709667E-2</v>
          </cell>
          <cell r="AD65">
            <v>1.4056363996431525E-2</v>
          </cell>
          <cell r="AE65">
            <v>1.7167362430324181E-2</v>
          </cell>
          <cell r="AF65">
            <v>2.7082697354017693E-2</v>
          </cell>
          <cell r="AG65">
            <v>7.1204144594042892E-3</v>
          </cell>
          <cell r="AH65">
            <v>6.2306954960541878E-3</v>
          </cell>
          <cell r="AI65">
            <v>2.4848984778075511E-2</v>
          </cell>
          <cell r="AJ65">
            <v>5.6493511369353294E-2</v>
          </cell>
          <cell r="AK65">
            <v>2.8363470875579572E-2</v>
          </cell>
          <cell r="AL65">
            <v>4.2379964916511885E-3</v>
          </cell>
          <cell r="AM65">
            <v>2.2609915741986994E-2</v>
          </cell>
          <cell r="AN65">
            <v>5.5707341211513718E-3</v>
          </cell>
          <cell r="AO65">
            <v>9.0982735037083953E-4</v>
          </cell>
          <cell r="AP65">
            <v>9.1988876675333942E-3</v>
          </cell>
          <cell r="AQ65">
            <v>9.5856748228911968E-3</v>
          </cell>
          <cell r="AR65">
            <v>2.9200701160303287E-2</v>
          </cell>
          <cell r="AS65">
            <v>5.4293434734785533E-2</v>
          </cell>
          <cell r="AT65">
            <v>2.5834129925229481E-2</v>
          </cell>
          <cell r="AU65">
            <v>2.6870343873225716E-3</v>
          </cell>
          <cell r="AV65">
            <v>9.0179211548176898E-3</v>
          </cell>
          <cell r="AW65">
            <v>5.7863838892180091E-3</v>
          </cell>
          <cell r="AX65">
            <v>7.5620394670413782E-3</v>
          </cell>
          <cell r="AY65">
            <v>2.6687248519819927E-2</v>
          </cell>
          <cell r="AZ65">
            <v>2.0507228992914101E-2</v>
          </cell>
          <cell r="BA65">
            <v>3.5261301112346904E-2</v>
          </cell>
          <cell r="BB65">
            <v>2.4008219113546135E-2</v>
          </cell>
          <cell r="BC65">
            <v>2.1697657314245462E-2</v>
          </cell>
          <cell r="BD65">
            <v>1.8343318262158997E-2</v>
          </cell>
          <cell r="BE65">
            <v>4.4903961652016752E-2</v>
          </cell>
          <cell r="BH65">
            <v>9.5856748228911968E-3</v>
          </cell>
          <cell r="BI65">
            <v>1.8752989416149907E-2</v>
          </cell>
        </row>
        <row r="67">
          <cell r="A67" t="str">
            <v>עלות הנהלה</v>
          </cell>
          <cell r="B67" t="str">
            <v>כמות מים תאגיד מרחבי</v>
          </cell>
          <cell r="C67">
            <v>38208.955000000002</v>
          </cell>
          <cell r="D67">
            <v>37754.264000000003</v>
          </cell>
          <cell r="E67">
            <v>20237.499</v>
          </cell>
          <cell r="F67">
            <v>60830.849000000002</v>
          </cell>
          <cell r="G67">
            <v>40640.303000000007</v>
          </cell>
          <cell r="H67">
            <v>1778.4359999999999</v>
          </cell>
          <cell r="I67">
            <v>37754.264000000003</v>
          </cell>
          <cell r="J67">
            <v>46803.215999999993</v>
          </cell>
          <cell r="K67">
            <v>45670.491999999991</v>
          </cell>
          <cell r="L67">
            <v>37754.264000000003</v>
          </cell>
          <cell r="M67">
            <v>46803.215999999993</v>
          </cell>
          <cell r="N67">
            <v>46803.215999999993</v>
          </cell>
          <cell r="O67">
            <v>42017.929000000004</v>
          </cell>
          <cell r="P67">
            <v>20237.499</v>
          </cell>
          <cell r="Q67">
            <v>45999.830999999991</v>
          </cell>
          <cell r="R67">
            <v>42017.929000000004</v>
          </cell>
          <cell r="S67">
            <v>38208.955000000002</v>
          </cell>
          <cell r="T67">
            <v>45670.491999999991</v>
          </cell>
          <cell r="U67">
            <v>10977.175999999999</v>
          </cell>
          <cell r="V67">
            <v>20237.499</v>
          </cell>
          <cell r="W67">
            <v>45670.491999999991</v>
          </cell>
          <cell r="X67">
            <v>45670.491999999991</v>
          </cell>
          <cell r="Y67">
            <v>25231.761000000002</v>
          </cell>
          <cell r="Z67">
            <v>42694.096999999994</v>
          </cell>
          <cell r="AA67">
            <v>36481.583000000006</v>
          </cell>
          <cell r="AB67">
            <v>45999.830999999991</v>
          </cell>
          <cell r="AC67">
            <v>36481.583000000006</v>
          </cell>
          <cell r="AD67">
            <v>36481.583000000006</v>
          </cell>
          <cell r="AE67">
            <v>42694.096999999994</v>
          </cell>
          <cell r="AF67">
            <v>40640.303000000007</v>
          </cell>
          <cell r="AG67">
            <v>25231.761000000002</v>
          </cell>
          <cell r="AH67">
            <v>45999.830999999991</v>
          </cell>
          <cell r="AI67">
            <v>38208.955000000002</v>
          </cell>
          <cell r="AJ67">
            <v>42694.096999999994</v>
          </cell>
          <cell r="AK67">
            <v>42694.096999999994</v>
          </cell>
          <cell r="AL67">
            <v>61479.296000000002</v>
          </cell>
          <cell r="AM67">
            <v>46803.215999999993</v>
          </cell>
          <cell r="AN67">
            <v>61479.296000000002</v>
          </cell>
          <cell r="AO67">
            <v>61479.296000000002</v>
          </cell>
          <cell r="AP67">
            <v>42017.929000000004</v>
          </cell>
          <cell r="AQ67">
            <v>38208.955000000002</v>
          </cell>
          <cell r="AR67">
            <v>37754.264000000003</v>
          </cell>
          <cell r="AS67">
            <v>42694.096999999994</v>
          </cell>
          <cell r="AT67">
            <v>42694.096999999994</v>
          </cell>
          <cell r="AU67">
            <v>36481.583000000006</v>
          </cell>
          <cell r="AV67">
            <v>25231.761000000002</v>
          </cell>
          <cell r="AW67">
            <v>25231.761000000002</v>
          </cell>
          <cell r="AX67">
            <v>40640.303000000007</v>
          </cell>
          <cell r="AY67">
            <v>45999.830999999991</v>
          </cell>
          <cell r="AZ67">
            <v>37754.264000000003</v>
          </cell>
          <cell r="BA67">
            <v>45670.491999999991</v>
          </cell>
          <cell r="BB67">
            <v>36481.583000000006</v>
          </cell>
          <cell r="BC67">
            <v>45999.830999999991</v>
          </cell>
          <cell r="BD67">
            <v>36481.583000000006</v>
          </cell>
          <cell r="BE67">
            <v>38208.955000000002</v>
          </cell>
          <cell r="BH67">
            <v>38208.955000000002</v>
          </cell>
          <cell r="BI67">
            <v>38208.955000000002</v>
          </cell>
        </row>
        <row r="68">
          <cell r="B68" t="str">
            <v>כמו תמים תאגיד מרחבי ממוצע</v>
          </cell>
          <cell r="C68">
            <v>40000</v>
          </cell>
          <cell r="D68">
            <v>40000</v>
          </cell>
          <cell r="E68">
            <v>40000</v>
          </cell>
          <cell r="F68">
            <v>40000</v>
          </cell>
          <cell r="G68">
            <v>40000</v>
          </cell>
          <cell r="H68">
            <v>40000</v>
          </cell>
          <cell r="I68">
            <v>40000</v>
          </cell>
          <cell r="J68">
            <v>40000</v>
          </cell>
          <cell r="K68">
            <v>40000</v>
          </cell>
          <cell r="L68">
            <v>40000</v>
          </cell>
          <cell r="M68">
            <v>40000</v>
          </cell>
          <cell r="N68">
            <v>40000</v>
          </cell>
          <cell r="O68">
            <v>40000</v>
          </cell>
          <cell r="P68">
            <v>40000</v>
          </cell>
          <cell r="Q68">
            <v>40000</v>
          </cell>
          <cell r="R68">
            <v>40000</v>
          </cell>
          <cell r="S68">
            <v>40000</v>
          </cell>
          <cell r="T68">
            <v>40000</v>
          </cell>
          <cell r="U68">
            <v>40000</v>
          </cell>
          <cell r="V68">
            <v>40000</v>
          </cell>
          <cell r="W68">
            <v>40000</v>
          </cell>
          <cell r="X68">
            <v>40000</v>
          </cell>
          <cell r="Y68">
            <v>40000</v>
          </cell>
          <cell r="Z68">
            <v>40000</v>
          </cell>
          <cell r="AA68">
            <v>40000</v>
          </cell>
          <cell r="AB68">
            <v>40000</v>
          </cell>
          <cell r="AC68">
            <v>40000</v>
          </cell>
          <cell r="AD68">
            <v>40000</v>
          </cell>
          <cell r="AE68">
            <v>40000</v>
          </cell>
          <cell r="AF68">
            <v>40000</v>
          </cell>
          <cell r="AG68">
            <v>40000</v>
          </cell>
          <cell r="AH68">
            <v>40000</v>
          </cell>
          <cell r="AI68">
            <v>40000</v>
          </cell>
          <cell r="AJ68">
            <v>40000</v>
          </cell>
          <cell r="AK68">
            <v>40000</v>
          </cell>
          <cell r="AL68">
            <v>40000</v>
          </cell>
          <cell r="AM68">
            <v>40000</v>
          </cell>
          <cell r="AN68">
            <v>40000</v>
          </cell>
          <cell r="AO68">
            <v>40000</v>
          </cell>
          <cell r="AP68">
            <v>40000</v>
          </cell>
          <cell r="AQ68">
            <v>40000</v>
          </cell>
          <cell r="AR68">
            <v>40000</v>
          </cell>
          <cell r="AS68">
            <v>40000</v>
          </cell>
          <cell r="AT68">
            <v>40000</v>
          </cell>
          <cell r="AU68">
            <v>40000</v>
          </cell>
          <cell r="AV68">
            <v>40000</v>
          </cell>
          <cell r="AW68">
            <v>40000</v>
          </cell>
          <cell r="AX68">
            <v>40000</v>
          </cell>
          <cell r="AY68">
            <v>40000</v>
          </cell>
          <cell r="AZ68">
            <v>40000</v>
          </cell>
          <cell r="BA68">
            <v>40000</v>
          </cell>
          <cell r="BB68">
            <v>40000</v>
          </cell>
          <cell r="BC68">
            <v>40000</v>
          </cell>
          <cell r="BD68">
            <v>40000</v>
          </cell>
          <cell r="BE68">
            <v>40000</v>
          </cell>
          <cell r="BH68">
            <v>40000</v>
          </cell>
          <cell r="BI68">
            <v>40000</v>
          </cell>
        </row>
        <row r="69">
          <cell r="B69" t="str">
            <v>הפרש</v>
          </cell>
          <cell r="C69">
            <v>-1791.0449999999983</v>
          </cell>
          <cell r="D69">
            <v>-2245.7359999999971</v>
          </cell>
          <cell r="E69">
            <v>-19762.501</v>
          </cell>
          <cell r="F69">
            <v>20830.849000000002</v>
          </cell>
          <cell r="G69">
            <v>640.30300000000716</v>
          </cell>
          <cell r="H69">
            <v>-38221.563999999998</v>
          </cell>
          <cell r="I69">
            <v>-2245.7359999999971</v>
          </cell>
          <cell r="J69">
            <v>6803.2159999999931</v>
          </cell>
          <cell r="K69">
            <v>5670.4919999999911</v>
          </cell>
          <cell r="L69">
            <v>-2245.7359999999971</v>
          </cell>
          <cell r="M69">
            <v>6803.2159999999931</v>
          </cell>
          <cell r="N69">
            <v>6803.2159999999931</v>
          </cell>
          <cell r="O69">
            <v>2017.9290000000037</v>
          </cell>
          <cell r="P69">
            <v>-19762.501</v>
          </cell>
          <cell r="Q69">
            <v>5999.830999999991</v>
          </cell>
          <cell r="R69">
            <v>2017.9290000000037</v>
          </cell>
          <cell r="S69">
            <v>-1791.0449999999983</v>
          </cell>
          <cell r="T69">
            <v>5670.4919999999911</v>
          </cell>
          <cell r="U69">
            <v>-29022.824000000001</v>
          </cell>
          <cell r="V69">
            <v>-19762.501</v>
          </cell>
          <cell r="W69">
            <v>5670.4919999999911</v>
          </cell>
          <cell r="X69">
            <v>5670.4919999999911</v>
          </cell>
          <cell r="Y69">
            <v>-14768.238999999998</v>
          </cell>
          <cell r="Z69">
            <v>2694.0969999999943</v>
          </cell>
          <cell r="AA69">
            <v>-3518.416999999994</v>
          </cell>
          <cell r="AB69">
            <v>5999.830999999991</v>
          </cell>
          <cell r="AC69">
            <v>-3518.416999999994</v>
          </cell>
          <cell r="AD69">
            <v>-3518.416999999994</v>
          </cell>
          <cell r="AE69">
            <v>2694.0969999999943</v>
          </cell>
          <cell r="AF69">
            <v>640.30300000000716</v>
          </cell>
          <cell r="AG69">
            <v>-14768.238999999998</v>
          </cell>
          <cell r="AH69">
            <v>5999.830999999991</v>
          </cell>
          <cell r="AI69">
            <v>-1791.0449999999983</v>
          </cell>
          <cell r="AJ69">
            <v>2694.0969999999943</v>
          </cell>
          <cell r="AK69">
            <v>2694.0969999999943</v>
          </cell>
          <cell r="AL69">
            <v>21479.296000000002</v>
          </cell>
          <cell r="AM69">
            <v>6803.2159999999931</v>
          </cell>
          <cell r="AN69">
            <v>21479.296000000002</v>
          </cell>
          <cell r="AO69">
            <v>21479.296000000002</v>
          </cell>
          <cell r="AP69">
            <v>2017.9290000000037</v>
          </cell>
          <cell r="AQ69">
            <v>-1791.0449999999983</v>
          </cell>
          <cell r="AR69">
            <v>-2245.7359999999971</v>
          </cell>
          <cell r="AS69">
            <v>2694.0969999999943</v>
          </cell>
          <cell r="AT69">
            <v>2694.0969999999943</v>
          </cell>
          <cell r="AU69">
            <v>-3518.416999999994</v>
          </cell>
          <cell r="AV69">
            <v>-14768.238999999998</v>
          </cell>
          <cell r="AW69">
            <v>-14768.238999999998</v>
          </cell>
          <cell r="AX69">
            <v>640.30300000000716</v>
          </cell>
          <cell r="AY69">
            <v>5999.830999999991</v>
          </cell>
          <cell r="AZ69">
            <v>-2245.7359999999971</v>
          </cell>
          <cell r="BA69">
            <v>5670.4919999999911</v>
          </cell>
          <cell r="BB69">
            <v>-3518.416999999994</v>
          </cell>
          <cell r="BC69">
            <v>5999.830999999991</v>
          </cell>
          <cell r="BD69">
            <v>-3518.416999999994</v>
          </cell>
          <cell r="BE69">
            <v>-1791.0449999999983</v>
          </cell>
          <cell r="BH69">
            <v>-1791.0449999999983</v>
          </cell>
          <cell r="BI69">
            <v>-1791.0449999999983</v>
          </cell>
        </row>
        <row r="70">
          <cell r="B70" t="str">
            <v>מקדם לגודל תאגיד</v>
          </cell>
          <cell r="C70">
            <v>0.19999999999999998</v>
          </cell>
          <cell r="D70">
            <v>0.19999999999999998</v>
          </cell>
          <cell r="E70">
            <v>0.19999999999999998</v>
          </cell>
          <cell r="F70">
            <v>0.66666666666666663</v>
          </cell>
          <cell r="G70">
            <v>0.66666666666666663</v>
          </cell>
          <cell r="H70">
            <v>0.19999999999999998</v>
          </cell>
          <cell r="I70">
            <v>0.19999999999999998</v>
          </cell>
          <cell r="J70">
            <v>0.66666666666666663</v>
          </cell>
          <cell r="K70">
            <v>0.66666666666666663</v>
          </cell>
          <cell r="L70">
            <v>0.19999999999999998</v>
          </cell>
          <cell r="M70">
            <v>0.66666666666666663</v>
          </cell>
          <cell r="N70">
            <v>0.66666666666666663</v>
          </cell>
          <cell r="O70">
            <v>0.66666666666666663</v>
          </cell>
          <cell r="P70">
            <v>0.19999999999999998</v>
          </cell>
          <cell r="Q70">
            <v>0.66666666666666663</v>
          </cell>
          <cell r="R70">
            <v>0.66666666666666663</v>
          </cell>
          <cell r="S70">
            <v>0.19999999999999998</v>
          </cell>
          <cell r="T70">
            <v>0.66666666666666663</v>
          </cell>
          <cell r="U70">
            <v>0.19999999999999998</v>
          </cell>
          <cell r="V70">
            <v>0.19999999999999998</v>
          </cell>
          <cell r="W70">
            <v>0.66666666666666663</v>
          </cell>
          <cell r="X70">
            <v>0.66666666666666663</v>
          </cell>
          <cell r="Y70">
            <v>0.19999999999999998</v>
          </cell>
          <cell r="Z70">
            <v>0.66666666666666663</v>
          </cell>
          <cell r="AA70">
            <v>0.19999999999999998</v>
          </cell>
          <cell r="AB70">
            <v>0.66666666666666663</v>
          </cell>
          <cell r="AC70">
            <v>0.19999999999999998</v>
          </cell>
          <cell r="AD70">
            <v>0.19999999999999998</v>
          </cell>
          <cell r="AE70">
            <v>0.66666666666666663</v>
          </cell>
          <cell r="AF70">
            <v>0.66666666666666663</v>
          </cell>
          <cell r="AG70">
            <v>0.19999999999999998</v>
          </cell>
          <cell r="AH70">
            <v>0.66666666666666663</v>
          </cell>
          <cell r="AI70">
            <v>0.19999999999999998</v>
          </cell>
          <cell r="AJ70">
            <v>0.66666666666666663</v>
          </cell>
          <cell r="AK70">
            <v>0.66666666666666663</v>
          </cell>
          <cell r="AL70">
            <v>0.66666666666666663</v>
          </cell>
          <cell r="AM70">
            <v>0.66666666666666663</v>
          </cell>
          <cell r="AN70">
            <v>0.66666666666666663</v>
          </cell>
          <cell r="AO70">
            <v>0.66666666666666663</v>
          </cell>
          <cell r="AP70">
            <v>0.66666666666666663</v>
          </cell>
          <cell r="AQ70">
            <v>0.19999999999999998</v>
          </cell>
          <cell r="AR70">
            <v>0.19999999999999998</v>
          </cell>
          <cell r="AS70">
            <v>0.66666666666666663</v>
          </cell>
          <cell r="AT70">
            <v>0.66666666666666663</v>
          </cell>
          <cell r="AU70">
            <v>0.19999999999999998</v>
          </cell>
          <cell r="AV70">
            <v>0.19999999999999998</v>
          </cell>
          <cell r="AW70">
            <v>0.19999999999999998</v>
          </cell>
          <cell r="AX70">
            <v>0.66666666666666663</v>
          </cell>
          <cell r="AY70">
            <v>0.66666666666666663</v>
          </cell>
          <cell r="AZ70">
            <v>0.19999999999999998</v>
          </cell>
          <cell r="BA70">
            <v>0.66666666666666663</v>
          </cell>
          <cell r="BB70">
            <v>0.19999999999999998</v>
          </cell>
          <cell r="BC70">
            <v>0.66666666666666663</v>
          </cell>
          <cell r="BD70">
            <v>0.19999999999999998</v>
          </cell>
          <cell r="BE70">
            <v>0.19999999999999998</v>
          </cell>
          <cell r="BH70">
            <v>0.19999999999999998</v>
          </cell>
          <cell r="BI70">
            <v>0.19999999999999998</v>
          </cell>
        </row>
        <row r="71">
          <cell r="B71" t="str">
            <v>מקדם הנהלה</v>
          </cell>
          <cell r="C71">
            <v>0.99104477499999999</v>
          </cell>
          <cell r="D71">
            <v>0.98877132000000001</v>
          </cell>
          <cell r="E71">
            <v>0.90118749500000006</v>
          </cell>
          <cell r="F71">
            <v>1.3471808166666666</v>
          </cell>
          <cell r="G71">
            <v>1.0106717166666668</v>
          </cell>
          <cell r="H71">
            <v>0.3</v>
          </cell>
          <cell r="I71">
            <v>0.98877132000000001</v>
          </cell>
          <cell r="J71">
            <v>1.1133869333333333</v>
          </cell>
          <cell r="K71">
            <v>1.0945081999999999</v>
          </cell>
          <cell r="L71">
            <v>0.98877132000000001</v>
          </cell>
          <cell r="M71">
            <v>1.1133869333333333</v>
          </cell>
          <cell r="N71">
            <v>1.1133869333333333</v>
          </cell>
          <cell r="O71">
            <v>1.0336321500000001</v>
          </cell>
          <cell r="P71">
            <v>0.90118749500000006</v>
          </cell>
          <cell r="Q71">
            <v>1.0999971833333331</v>
          </cell>
          <cell r="R71">
            <v>1.0336321500000001</v>
          </cell>
          <cell r="S71">
            <v>0.99104477499999999</v>
          </cell>
          <cell r="T71">
            <v>1.0945081999999999</v>
          </cell>
          <cell r="U71">
            <v>0.47</v>
          </cell>
          <cell r="V71">
            <v>0.90118749500000006</v>
          </cell>
          <cell r="W71">
            <v>1.0945081999999999</v>
          </cell>
          <cell r="X71">
            <v>1.0945081999999999</v>
          </cell>
          <cell r="Y71">
            <v>0.92615880500000003</v>
          </cell>
          <cell r="Z71">
            <v>1.0449016166666665</v>
          </cell>
          <cell r="AA71">
            <v>0.98240791500000002</v>
          </cell>
          <cell r="AB71">
            <v>1.0999971833333331</v>
          </cell>
          <cell r="AC71">
            <v>0.98240791500000002</v>
          </cell>
          <cell r="AD71">
            <v>0.98240791500000002</v>
          </cell>
          <cell r="AE71">
            <v>1.0449016166666665</v>
          </cell>
          <cell r="AF71">
            <v>1.0106717166666668</v>
          </cell>
          <cell r="AG71">
            <v>0.92615880500000003</v>
          </cell>
          <cell r="AH71">
            <v>1.0999971833333331</v>
          </cell>
          <cell r="AI71">
            <v>0.99104477499999999</v>
          </cell>
          <cell r="AJ71">
            <v>1.0449016166666665</v>
          </cell>
          <cell r="AK71">
            <v>1.0449016166666665</v>
          </cell>
          <cell r="AL71">
            <v>1.3579882666666667</v>
          </cell>
          <cell r="AM71">
            <v>1.1133869333333333</v>
          </cell>
          <cell r="AN71">
            <v>1.3579882666666667</v>
          </cell>
          <cell r="AO71">
            <v>1.3579882666666667</v>
          </cell>
          <cell r="AP71">
            <v>1.0336321500000001</v>
          </cell>
          <cell r="AQ71">
            <v>0.99104477499999999</v>
          </cell>
          <cell r="AR71">
            <v>0.98877132000000001</v>
          </cell>
          <cell r="AS71">
            <v>1.0449016166666665</v>
          </cell>
          <cell r="AT71">
            <v>1.0449016166666665</v>
          </cell>
          <cell r="AU71">
            <v>0.98240791500000002</v>
          </cell>
          <cell r="AV71">
            <v>0.92615880500000003</v>
          </cell>
          <cell r="AW71">
            <v>0.92615880500000003</v>
          </cell>
          <cell r="AX71">
            <v>1.0106717166666668</v>
          </cell>
          <cell r="AY71">
            <v>1.0999971833333331</v>
          </cell>
          <cell r="AZ71">
            <v>0.98877132000000001</v>
          </cell>
          <cell r="BA71">
            <v>1.0945081999999999</v>
          </cell>
          <cell r="BB71">
            <v>0.98240791500000002</v>
          </cell>
          <cell r="BC71">
            <v>1.0999971833333331</v>
          </cell>
          <cell r="BD71">
            <v>0.98240791500000002</v>
          </cell>
          <cell r="BE71">
            <v>0.99104477499999999</v>
          </cell>
          <cell r="BH71">
            <v>0.99104477499999999</v>
          </cell>
          <cell r="BI71">
            <v>0.99104477499999999</v>
          </cell>
        </row>
        <row r="72">
          <cell r="B72" t="str">
            <v>תקורת הנהלה בתאגיד המרחבי</v>
          </cell>
          <cell r="C72">
            <v>6281.6426666666666</v>
          </cell>
          <cell r="D72">
            <v>6281.6426666666666</v>
          </cell>
          <cell r="E72">
            <v>6281.6426666666666</v>
          </cell>
          <cell r="F72">
            <v>6281.6426666666666</v>
          </cell>
          <cell r="G72">
            <v>6281.6426666666666</v>
          </cell>
          <cell r="H72">
            <v>6281.6426666666666</v>
          </cell>
          <cell r="I72">
            <v>6281.6426666666666</v>
          </cell>
          <cell r="J72">
            <v>6281.6426666666666</v>
          </cell>
          <cell r="K72">
            <v>6281.6426666666666</v>
          </cell>
          <cell r="L72">
            <v>6281.6426666666666</v>
          </cell>
          <cell r="M72">
            <v>6281.6426666666666</v>
          </cell>
          <cell r="N72">
            <v>6281.6426666666666</v>
          </cell>
          <cell r="O72">
            <v>6281.6426666666666</v>
          </cell>
          <cell r="P72">
            <v>6281.6426666666666</v>
          </cell>
          <cell r="Q72">
            <v>6281.6426666666666</v>
          </cell>
          <cell r="R72">
            <v>6281.6426666666666</v>
          </cell>
          <cell r="S72">
            <v>6281.6426666666666</v>
          </cell>
          <cell r="T72">
            <v>6281.6426666666666</v>
          </cell>
          <cell r="U72">
            <v>6281.6426666666666</v>
          </cell>
          <cell r="V72">
            <v>6281.6426666666666</v>
          </cell>
          <cell r="W72">
            <v>6281.6426666666666</v>
          </cell>
          <cell r="X72">
            <v>6281.6426666666666</v>
          </cell>
          <cell r="Y72">
            <v>6281.6426666666666</v>
          </cell>
          <cell r="Z72">
            <v>6281.6426666666666</v>
          </cell>
          <cell r="AA72">
            <v>6281.6426666666666</v>
          </cell>
          <cell r="AB72">
            <v>6281.6426666666666</v>
          </cell>
          <cell r="AC72">
            <v>6281.6426666666666</v>
          </cell>
          <cell r="AD72">
            <v>6281.6426666666666</v>
          </cell>
          <cell r="AE72">
            <v>6281.6426666666666</v>
          </cell>
          <cell r="AF72">
            <v>6281.6426666666666</v>
          </cell>
          <cell r="AG72">
            <v>6281.6426666666666</v>
          </cell>
          <cell r="AH72">
            <v>6281.6426666666666</v>
          </cell>
          <cell r="AI72">
            <v>6281.6426666666666</v>
          </cell>
          <cell r="AJ72">
            <v>6281.6426666666666</v>
          </cell>
          <cell r="AK72">
            <v>6281.6426666666666</v>
          </cell>
          <cell r="AL72">
            <v>6281.6426666666666</v>
          </cell>
          <cell r="AM72">
            <v>6281.6426666666666</v>
          </cell>
          <cell r="AN72">
            <v>6281.6426666666666</v>
          </cell>
          <cell r="AO72">
            <v>6281.6426666666666</v>
          </cell>
          <cell r="AP72">
            <v>6281.6426666666666</v>
          </cell>
          <cell r="AQ72">
            <v>6281.6426666666666</v>
          </cell>
          <cell r="AR72">
            <v>6281.6426666666666</v>
          </cell>
          <cell r="AS72">
            <v>6281.6426666666666</v>
          </cell>
          <cell r="AT72">
            <v>6281.6426666666666</v>
          </cell>
          <cell r="AU72">
            <v>6281.6426666666666</v>
          </cell>
          <cell r="AV72">
            <v>6281.6426666666666</v>
          </cell>
          <cell r="AW72">
            <v>6281.6426666666666</v>
          </cell>
          <cell r="AX72">
            <v>6281.6426666666666</v>
          </cell>
          <cell r="AY72">
            <v>6281.6426666666666</v>
          </cell>
          <cell r="AZ72">
            <v>6281.6426666666666</v>
          </cell>
          <cell r="BA72">
            <v>6281.6426666666666</v>
          </cell>
          <cell r="BB72">
            <v>6281.6426666666666</v>
          </cell>
          <cell r="BC72">
            <v>6281.6426666666666</v>
          </cell>
          <cell r="BD72">
            <v>6281.6426666666666</v>
          </cell>
          <cell r="BE72">
            <v>6281.6426666666666</v>
          </cell>
          <cell r="BH72">
            <v>6281.6426666666666</v>
          </cell>
          <cell r="BI72">
            <v>6281.6426666666666</v>
          </cell>
        </row>
        <row r="73">
          <cell r="B73" t="str">
            <v>סה"כ עלות הנהלה</v>
          </cell>
          <cell r="C73">
            <v>0.16293010743730277</v>
          </cell>
          <cell r="D73">
            <v>0.16451408273482221</v>
          </cell>
          <cell r="E73">
            <v>0.27972516857238405</v>
          </cell>
          <cell r="F73">
            <v>0.13911540997378119</v>
          </cell>
          <cell r="G73">
            <v>0.15621631997691005</v>
          </cell>
          <cell r="H73">
            <v>1.0596348701893124</v>
          </cell>
          <cell r="I73">
            <v>0.16451408273482221</v>
          </cell>
          <cell r="J73">
            <v>0.14943201477727133</v>
          </cell>
          <cell r="K73">
            <v>0.1505416102838685</v>
          </cell>
          <cell r="L73">
            <v>0.16451408273482221</v>
          </cell>
          <cell r="M73">
            <v>0.14943201477727133</v>
          </cell>
          <cell r="N73">
            <v>0.14943201477727133</v>
          </cell>
          <cell r="O73">
            <v>0.15452707854969244</v>
          </cell>
          <cell r="P73">
            <v>0.27972516857238405</v>
          </cell>
          <cell r="Q73">
            <v>0.15021336143691097</v>
          </cell>
          <cell r="R73">
            <v>0.15452707854969244</v>
          </cell>
          <cell r="S73">
            <v>0.16293010743730277</v>
          </cell>
          <cell r="T73">
            <v>0.1505416102838685</v>
          </cell>
          <cell r="U73">
            <v>0.26895551764254605</v>
          </cell>
          <cell r="V73">
            <v>0.27972516857238405</v>
          </cell>
          <cell r="W73">
            <v>0.1505416102838685</v>
          </cell>
          <cell r="X73">
            <v>0.1505416102838685</v>
          </cell>
          <cell r="Y73">
            <v>0.23057442029500094</v>
          </cell>
          <cell r="Z73">
            <v>0.15373784759336429</v>
          </cell>
          <cell r="AA73">
            <v>0.16915755752525979</v>
          </cell>
          <cell r="AB73">
            <v>0.15021336143691097</v>
          </cell>
          <cell r="AC73">
            <v>0.16915755752525979</v>
          </cell>
          <cell r="AD73">
            <v>0.16915755752525979</v>
          </cell>
          <cell r="AE73">
            <v>0.15373784759336429</v>
          </cell>
          <cell r="AF73">
            <v>0.15621631997691005</v>
          </cell>
          <cell r="AG73">
            <v>0.23057442029500094</v>
          </cell>
          <cell r="AH73">
            <v>0.15021336143691097</v>
          </cell>
          <cell r="AI73">
            <v>0.16293010743730277</v>
          </cell>
          <cell r="AJ73">
            <v>0.15373784759336429</v>
          </cell>
          <cell r="AK73">
            <v>0.15373784759336429</v>
          </cell>
          <cell r="AL73">
            <v>0.13875235390994139</v>
          </cell>
          <cell r="AM73">
            <v>0.14943201477727133</v>
          </cell>
          <cell r="AN73">
            <v>0.13875235390994139</v>
          </cell>
          <cell r="AO73">
            <v>0.13875235390994139</v>
          </cell>
          <cell r="AP73">
            <v>0.15452707854969244</v>
          </cell>
          <cell r="AQ73">
            <v>0.16293010743730277</v>
          </cell>
          <cell r="AR73">
            <v>0.16451408273482221</v>
          </cell>
          <cell r="AS73">
            <v>0.15373784759336429</v>
          </cell>
          <cell r="AT73">
            <v>0.15373784759336429</v>
          </cell>
          <cell r="AU73">
            <v>0.16915755752525979</v>
          </cell>
          <cell r="AV73">
            <v>0.23057442029500094</v>
          </cell>
          <cell r="AW73">
            <v>0.23057442029500094</v>
          </cell>
          <cell r="AX73">
            <v>0.15621631997691005</v>
          </cell>
          <cell r="AY73">
            <v>0.15021336143691097</v>
          </cell>
          <cell r="AZ73">
            <v>0.16451408273482221</v>
          </cell>
          <cell r="BA73">
            <v>0.1505416102838685</v>
          </cell>
          <cell r="BB73">
            <v>0.16915755752525979</v>
          </cell>
          <cell r="BC73">
            <v>0.15021336143691097</v>
          </cell>
          <cell r="BD73">
            <v>0.16915755752525979</v>
          </cell>
          <cell r="BE73">
            <v>0.16293010743730277</v>
          </cell>
          <cell r="BH73">
            <v>0.16293010743730277</v>
          </cell>
          <cell r="BI73">
            <v>0.16293010743730277</v>
          </cell>
        </row>
        <row r="75">
          <cell r="A75" t="str">
            <v>כח אדם</v>
          </cell>
          <cell r="B75" t="str">
            <v>תוספת לעלויות גביה למצב סוציואקונומי</v>
          </cell>
          <cell r="C75">
            <v>1.932E-2</v>
          </cell>
          <cell r="D75">
            <v>1.1162300446132449E-2</v>
          </cell>
          <cell r="E75">
            <v>6.6559750896049248E-3</v>
          </cell>
          <cell r="F75">
            <v>7.1050257622208023E-5</v>
          </cell>
          <cell r="G75">
            <v>0</v>
          </cell>
          <cell r="H75">
            <v>0</v>
          </cell>
          <cell r="I75">
            <v>1.7558106525602891E-2</v>
          </cell>
          <cell r="J75">
            <v>0</v>
          </cell>
          <cell r="K75">
            <v>4.8300000000000001E-3</v>
          </cell>
          <cell r="L75">
            <v>0</v>
          </cell>
          <cell r="M75">
            <v>0</v>
          </cell>
          <cell r="N75">
            <v>1.3606826394109582E-2</v>
          </cell>
          <cell r="O75">
            <v>0</v>
          </cell>
          <cell r="P75">
            <v>4.5680863626899855E-3</v>
          </cell>
          <cell r="Q75">
            <v>5.3268619183470241E-4</v>
          </cell>
          <cell r="R75">
            <v>0</v>
          </cell>
          <cell r="S75">
            <v>2.0930862358119959E-3</v>
          </cell>
          <cell r="T75">
            <v>0</v>
          </cell>
          <cell r="U75">
            <v>0</v>
          </cell>
          <cell r="V75">
            <v>8.0991802006735343E-3</v>
          </cell>
          <cell r="W75">
            <v>0</v>
          </cell>
          <cell r="X75">
            <v>0</v>
          </cell>
          <cell r="Y75">
            <v>1.904988096167466E-3</v>
          </cell>
          <cell r="Z75">
            <v>0</v>
          </cell>
          <cell r="AA75">
            <v>0</v>
          </cell>
          <cell r="AB75">
            <v>4.830000000000001E-3</v>
          </cell>
          <cell r="AC75">
            <v>0</v>
          </cell>
          <cell r="AD75">
            <v>0</v>
          </cell>
          <cell r="AE75">
            <v>0</v>
          </cell>
          <cell r="AF75">
            <v>0</v>
          </cell>
          <cell r="AG75">
            <v>0</v>
          </cell>
          <cell r="AH75">
            <v>1.932E-2</v>
          </cell>
          <cell r="AI75">
            <v>0</v>
          </cell>
          <cell r="AJ75">
            <v>3.514242218979008E-3</v>
          </cell>
          <cell r="AK75">
            <v>0</v>
          </cell>
          <cell r="AL75">
            <v>0</v>
          </cell>
          <cell r="AM75">
            <v>0</v>
          </cell>
          <cell r="AN75">
            <v>0</v>
          </cell>
          <cell r="AO75">
            <v>0</v>
          </cell>
          <cell r="AP75">
            <v>0</v>
          </cell>
          <cell r="AQ75">
            <v>0</v>
          </cell>
          <cell r="AR75">
            <v>1.3623056711439509E-2</v>
          </cell>
          <cell r="AS75">
            <v>4.8300000000000001E-3</v>
          </cell>
          <cell r="AT75">
            <v>0</v>
          </cell>
          <cell r="AU75">
            <v>0</v>
          </cell>
          <cell r="AV75">
            <v>1.4373711780953913E-2</v>
          </cell>
          <cell r="AW75">
            <v>1.8540028612944626E-2</v>
          </cell>
          <cell r="AX75">
            <v>1.684301800857686E-3</v>
          </cell>
          <cell r="AY75">
            <v>3.2686559686373987E-3</v>
          </cell>
          <cell r="AZ75">
            <v>0</v>
          </cell>
          <cell r="BA75">
            <v>9.6600000000000002E-3</v>
          </cell>
          <cell r="BB75">
            <v>9.7721125124248503E-3</v>
          </cell>
          <cell r="BC75">
            <v>1.7471339542164635E-2</v>
          </cell>
          <cell r="BD75">
            <v>0</v>
          </cell>
          <cell r="BE75">
            <v>0</v>
          </cell>
          <cell r="BH75">
            <v>0</v>
          </cell>
          <cell r="BI75">
            <v>0</v>
          </cell>
        </row>
        <row r="77">
          <cell r="A77" t="str">
            <v>עלות גביה-קבועה</v>
          </cell>
          <cell r="B77" t="str">
            <v>כמות מים תאגיד מרחבי</v>
          </cell>
          <cell r="C77">
            <v>38208.955000000002</v>
          </cell>
          <cell r="D77">
            <v>37754.264000000003</v>
          </cell>
          <cell r="E77">
            <v>20237.499</v>
          </cell>
          <cell r="F77">
            <v>60830.849000000002</v>
          </cell>
          <cell r="G77">
            <v>40640.303000000007</v>
          </cell>
          <cell r="H77">
            <v>1778.4359999999999</v>
          </cell>
          <cell r="I77">
            <v>37754.264000000003</v>
          </cell>
          <cell r="J77">
            <v>46803.215999999993</v>
          </cell>
          <cell r="K77">
            <v>45670.491999999991</v>
          </cell>
          <cell r="L77">
            <v>37754.264000000003</v>
          </cell>
          <cell r="M77">
            <v>46803.215999999993</v>
          </cell>
          <cell r="N77">
            <v>46803.215999999993</v>
          </cell>
          <cell r="O77">
            <v>42017.929000000004</v>
          </cell>
          <cell r="P77">
            <v>20237.499</v>
          </cell>
          <cell r="Q77">
            <v>45999.830999999991</v>
          </cell>
          <cell r="R77">
            <v>42017.929000000004</v>
          </cell>
          <cell r="S77">
            <v>38208.955000000002</v>
          </cell>
          <cell r="T77">
            <v>45670.491999999991</v>
          </cell>
          <cell r="U77">
            <v>10977.175999999999</v>
          </cell>
          <cell r="V77">
            <v>20237.499</v>
          </cell>
          <cell r="W77">
            <v>45670.491999999991</v>
          </cell>
          <cell r="X77">
            <v>45670.491999999991</v>
          </cell>
          <cell r="Y77">
            <v>25231.761000000002</v>
          </cell>
          <cell r="Z77">
            <v>42694.096999999994</v>
          </cell>
          <cell r="AA77">
            <v>36481.583000000006</v>
          </cell>
          <cell r="AB77">
            <v>45999.830999999991</v>
          </cell>
          <cell r="AC77">
            <v>36481.583000000006</v>
          </cell>
          <cell r="AD77">
            <v>36481.583000000006</v>
          </cell>
          <cell r="AE77">
            <v>42694.096999999994</v>
          </cell>
          <cell r="AF77">
            <v>40640.303000000007</v>
          </cell>
          <cell r="AG77">
            <v>25231.761000000002</v>
          </cell>
          <cell r="AH77">
            <v>45999.830999999991</v>
          </cell>
          <cell r="AI77">
            <v>38208.955000000002</v>
          </cell>
          <cell r="AJ77">
            <v>42694.096999999994</v>
          </cell>
          <cell r="AK77">
            <v>42694.096999999994</v>
          </cell>
          <cell r="AL77">
            <v>61479.296000000002</v>
          </cell>
          <cell r="AM77">
            <v>46803.215999999993</v>
          </cell>
          <cell r="AN77">
            <v>61479.296000000002</v>
          </cell>
          <cell r="AO77">
            <v>61479.296000000002</v>
          </cell>
          <cell r="AP77">
            <v>42017.929000000004</v>
          </cell>
          <cell r="AQ77">
            <v>38208.955000000002</v>
          </cell>
          <cell r="AR77">
            <v>37754.264000000003</v>
          </cell>
          <cell r="AS77">
            <v>42694.096999999994</v>
          </cell>
          <cell r="AT77">
            <v>42694.096999999994</v>
          </cell>
          <cell r="AU77">
            <v>36481.583000000006</v>
          </cell>
          <cell r="AV77">
            <v>25231.761000000002</v>
          </cell>
          <cell r="AW77">
            <v>25231.761000000002</v>
          </cell>
          <cell r="AX77">
            <v>40640.303000000007</v>
          </cell>
          <cell r="AY77">
            <v>45999.830999999991</v>
          </cell>
          <cell r="AZ77">
            <v>37754.264000000003</v>
          </cell>
          <cell r="BA77">
            <v>45670.491999999991</v>
          </cell>
          <cell r="BB77">
            <v>36481.583000000006</v>
          </cell>
          <cell r="BC77">
            <v>45999.830999999991</v>
          </cell>
          <cell r="BD77">
            <v>36481.583000000006</v>
          </cell>
          <cell r="BE77">
            <v>38208.955000000002</v>
          </cell>
          <cell r="BH77">
            <v>38208.955000000002</v>
          </cell>
          <cell r="BI77">
            <v>38208.955000000002</v>
          </cell>
        </row>
        <row r="78">
          <cell r="B78" t="str">
            <v>תקורה תאגיד מרחבי</v>
          </cell>
          <cell r="C78">
            <v>6578</v>
          </cell>
          <cell r="D78">
            <v>6578</v>
          </cell>
          <cell r="E78">
            <v>6578</v>
          </cell>
          <cell r="F78">
            <v>6578</v>
          </cell>
          <cell r="G78">
            <v>6578</v>
          </cell>
          <cell r="H78">
            <v>6578</v>
          </cell>
          <cell r="I78">
            <v>6578</v>
          </cell>
          <cell r="J78">
            <v>6578</v>
          </cell>
          <cell r="K78">
            <v>6578</v>
          </cell>
          <cell r="L78">
            <v>6578</v>
          </cell>
          <cell r="M78">
            <v>6578</v>
          </cell>
          <cell r="N78">
            <v>6578</v>
          </cell>
          <cell r="O78">
            <v>6578</v>
          </cell>
          <cell r="P78">
            <v>6578</v>
          </cell>
          <cell r="Q78">
            <v>6578</v>
          </cell>
          <cell r="R78">
            <v>6578</v>
          </cell>
          <cell r="S78">
            <v>6578</v>
          </cell>
          <cell r="T78">
            <v>6578</v>
          </cell>
          <cell r="U78">
            <v>6578</v>
          </cell>
          <cell r="V78">
            <v>6578</v>
          </cell>
          <cell r="W78">
            <v>6578</v>
          </cell>
          <cell r="X78">
            <v>6578</v>
          </cell>
          <cell r="Y78">
            <v>6578</v>
          </cell>
          <cell r="Z78">
            <v>6578</v>
          </cell>
          <cell r="AA78">
            <v>6578</v>
          </cell>
          <cell r="AB78">
            <v>6578</v>
          </cell>
          <cell r="AC78">
            <v>6578</v>
          </cell>
          <cell r="AD78">
            <v>6578</v>
          </cell>
          <cell r="AE78">
            <v>6578</v>
          </cell>
          <cell r="AF78">
            <v>6578</v>
          </cell>
          <cell r="AG78">
            <v>6578</v>
          </cell>
          <cell r="AH78">
            <v>6578</v>
          </cell>
          <cell r="AI78">
            <v>6578</v>
          </cell>
          <cell r="AJ78">
            <v>6578</v>
          </cell>
          <cell r="AK78">
            <v>6578</v>
          </cell>
          <cell r="AL78">
            <v>6578</v>
          </cell>
          <cell r="AM78">
            <v>6578</v>
          </cell>
          <cell r="AN78">
            <v>6578</v>
          </cell>
          <cell r="AO78">
            <v>6578</v>
          </cell>
          <cell r="AP78">
            <v>6578</v>
          </cell>
          <cell r="AQ78">
            <v>6578</v>
          </cell>
          <cell r="AR78">
            <v>6578</v>
          </cell>
          <cell r="AS78">
            <v>6578</v>
          </cell>
          <cell r="AT78">
            <v>6578</v>
          </cell>
          <cell r="AU78">
            <v>6578</v>
          </cell>
          <cell r="AV78">
            <v>6578</v>
          </cell>
          <cell r="AW78">
            <v>6578</v>
          </cell>
          <cell r="AX78">
            <v>6578</v>
          </cell>
          <cell r="AY78">
            <v>6578</v>
          </cell>
          <cell r="AZ78">
            <v>6578</v>
          </cell>
          <cell r="BA78">
            <v>6578</v>
          </cell>
          <cell r="BB78">
            <v>6578</v>
          </cell>
          <cell r="BC78">
            <v>6578</v>
          </cell>
          <cell r="BD78">
            <v>6578</v>
          </cell>
          <cell r="BE78">
            <v>6578</v>
          </cell>
          <cell r="BH78">
            <v>6578</v>
          </cell>
          <cell r="BI78">
            <v>6578</v>
          </cell>
        </row>
        <row r="79">
          <cell r="B79" t="str">
            <v>מקדם הנהלה</v>
          </cell>
          <cell r="C79">
            <v>0.99104477499999999</v>
          </cell>
          <cell r="D79">
            <v>0.98877132000000001</v>
          </cell>
          <cell r="E79">
            <v>0.90118749500000006</v>
          </cell>
          <cell r="F79">
            <v>1.3471808166666666</v>
          </cell>
          <cell r="G79">
            <v>1.0106717166666668</v>
          </cell>
          <cell r="H79">
            <v>0.3</v>
          </cell>
          <cell r="I79">
            <v>0.98877132000000001</v>
          </cell>
          <cell r="J79">
            <v>1.1133869333333333</v>
          </cell>
          <cell r="K79">
            <v>1.0945081999999999</v>
          </cell>
          <cell r="L79">
            <v>0.98877132000000001</v>
          </cell>
          <cell r="M79">
            <v>1.1133869333333333</v>
          </cell>
          <cell r="N79">
            <v>1.1133869333333333</v>
          </cell>
          <cell r="O79">
            <v>1.0336321500000001</v>
          </cell>
          <cell r="P79">
            <v>0.90118749500000006</v>
          </cell>
          <cell r="Q79">
            <v>1.0999971833333331</v>
          </cell>
          <cell r="R79">
            <v>1.0336321500000001</v>
          </cell>
          <cell r="S79">
            <v>0.99104477499999999</v>
          </cell>
          <cell r="T79">
            <v>1.0945081999999999</v>
          </cell>
          <cell r="U79">
            <v>0.47</v>
          </cell>
          <cell r="V79">
            <v>0.90118749500000006</v>
          </cell>
          <cell r="W79">
            <v>1.0945081999999999</v>
          </cell>
          <cell r="X79">
            <v>1.0945081999999999</v>
          </cell>
          <cell r="Y79">
            <v>0.92615880500000003</v>
          </cell>
          <cell r="Z79">
            <v>1.0449016166666665</v>
          </cell>
          <cell r="AA79">
            <v>0.98240791500000002</v>
          </cell>
          <cell r="AB79">
            <v>1.0999971833333331</v>
          </cell>
          <cell r="AC79">
            <v>0.98240791500000002</v>
          </cell>
          <cell r="AD79">
            <v>0.98240791500000002</v>
          </cell>
          <cell r="AE79">
            <v>1.0449016166666665</v>
          </cell>
          <cell r="AF79">
            <v>1.0106717166666668</v>
          </cell>
          <cell r="AG79">
            <v>0.92615880500000003</v>
          </cell>
          <cell r="AH79">
            <v>1.0999971833333331</v>
          </cell>
          <cell r="AI79">
            <v>0.99104477499999999</v>
          </cell>
          <cell r="AJ79">
            <v>1.0449016166666665</v>
          </cell>
          <cell r="AK79">
            <v>1.0449016166666665</v>
          </cell>
          <cell r="AL79">
            <v>1.3579882666666667</v>
          </cell>
          <cell r="AM79">
            <v>1.1133869333333333</v>
          </cell>
          <cell r="AN79">
            <v>1.3579882666666667</v>
          </cell>
          <cell r="AO79">
            <v>1.3579882666666667</v>
          </cell>
          <cell r="AP79">
            <v>1.0336321500000001</v>
          </cell>
          <cell r="AQ79">
            <v>0.99104477499999999</v>
          </cell>
          <cell r="AR79">
            <v>0.98877132000000001</v>
          </cell>
          <cell r="AS79">
            <v>1.0449016166666665</v>
          </cell>
          <cell r="AT79">
            <v>1.0449016166666665</v>
          </cell>
          <cell r="AU79">
            <v>0.98240791500000002</v>
          </cell>
          <cell r="AV79">
            <v>0.92615880500000003</v>
          </cell>
          <cell r="AW79">
            <v>0.92615880500000003</v>
          </cell>
          <cell r="AX79">
            <v>1.0106717166666668</v>
          </cell>
          <cell r="AY79">
            <v>1.0999971833333331</v>
          </cell>
          <cell r="AZ79">
            <v>0.98877132000000001</v>
          </cell>
          <cell r="BA79">
            <v>1.0945081999999999</v>
          </cell>
          <cell r="BB79">
            <v>0.98240791500000002</v>
          </cell>
          <cell r="BC79">
            <v>1.0999971833333331</v>
          </cell>
          <cell r="BD79">
            <v>0.98240791500000002</v>
          </cell>
          <cell r="BE79">
            <v>0.99104477499999999</v>
          </cell>
          <cell r="BH79">
            <v>0.99104477499999999</v>
          </cell>
          <cell r="BI79">
            <v>0.99104477499999999</v>
          </cell>
        </row>
        <row r="80">
          <cell r="B80" t="str">
            <v>תקורת גביה מרחבית</v>
          </cell>
          <cell r="C80">
            <v>6519.0925299499995</v>
          </cell>
          <cell r="D80">
            <v>6504.1377429599997</v>
          </cell>
          <cell r="E80">
            <v>5928.0113421100004</v>
          </cell>
          <cell r="F80">
            <v>8861.7554120333334</v>
          </cell>
          <cell r="G80">
            <v>6648.1985522333343</v>
          </cell>
          <cell r="H80">
            <v>1973.3999999999999</v>
          </cell>
          <cell r="I80">
            <v>6504.1377429599997</v>
          </cell>
          <cell r="J80">
            <v>7323.8592474666666</v>
          </cell>
          <cell r="K80">
            <v>7199.6749395999996</v>
          </cell>
          <cell r="L80">
            <v>6504.1377429599997</v>
          </cell>
          <cell r="M80">
            <v>7323.8592474666666</v>
          </cell>
          <cell r="N80">
            <v>7323.8592474666666</v>
          </cell>
          <cell r="O80">
            <v>6799.2322827000007</v>
          </cell>
          <cell r="P80">
            <v>5928.0113421100004</v>
          </cell>
          <cell r="Q80">
            <v>7235.7814719666649</v>
          </cell>
          <cell r="R80">
            <v>6799.2322827000007</v>
          </cell>
          <cell r="S80">
            <v>6519.0925299499995</v>
          </cell>
          <cell r="T80">
            <v>7199.6749395999996</v>
          </cell>
          <cell r="U80">
            <v>3091.66</v>
          </cell>
          <cell r="V80">
            <v>5928.0113421100004</v>
          </cell>
          <cell r="W80">
            <v>7199.6749395999996</v>
          </cell>
          <cell r="X80">
            <v>7199.6749395999996</v>
          </cell>
          <cell r="Y80">
            <v>6092.27261929</v>
          </cell>
          <cell r="Z80">
            <v>6873.362834433332</v>
          </cell>
          <cell r="AA80">
            <v>6462.2792648700006</v>
          </cell>
          <cell r="AB80">
            <v>7235.7814719666649</v>
          </cell>
          <cell r="AC80">
            <v>6462.2792648700006</v>
          </cell>
          <cell r="AD80">
            <v>6462.2792648700006</v>
          </cell>
          <cell r="AE80">
            <v>6873.362834433332</v>
          </cell>
          <cell r="AF80">
            <v>6648.1985522333343</v>
          </cell>
          <cell r="AG80">
            <v>6092.27261929</v>
          </cell>
          <cell r="AH80">
            <v>7235.7814719666649</v>
          </cell>
          <cell r="AI80">
            <v>6519.0925299499995</v>
          </cell>
          <cell r="AJ80">
            <v>6873.362834433332</v>
          </cell>
          <cell r="AK80">
            <v>6873.362834433332</v>
          </cell>
          <cell r="AL80">
            <v>8932.8468181333337</v>
          </cell>
          <cell r="AM80">
            <v>7323.8592474666666</v>
          </cell>
          <cell r="AN80">
            <v>8932.8468181333337</v>
          </cell>
          <cell r="AO80">
            <v>8932.8468181333337</v>
          </cell>
          <cell r="AP80">
            <v>6799.2322827000007</v>
          </cell>
          <cell r="AQ80">
            <v>6519.0925299499995</v>
          </cell>
          <cell r="AR80">
            <v>6504.1377429599997</v>
          </cell>
          <cell r="AS80">
            <v>6873.362834433332</v>
          </cell>
          <cell r="AT80">
            <v>6873.362834433332</v>
          </cell>
          <cell r="AU80">
            <v>6462.2792648700006</v>
          </cell>
          <cell r="AV80">
            <v>6092.27261929</v>
          </cell>
          <cell r="AW80">
            <v>6092.27261929</v>
          </cell>
          <cell r="AX80">
            <v>6648.1985522333343</v>
          </cell>
          <cell r="AY80">
            <v>7235.7814719666649</v>
          </cell>
          <cell r="AZ80">
            <v>6504.1377429599997</v>
          </cell>
          <cell r="BA80">
            <v>7199.6749395999996</v>
          </cell>
          <cell r="BB80">
            <v>6462.2792648700006</v>
          </cell>
          <cell r="BC80">
            <v>7235.7814719666649</v>
          </cell>
          <cell r="BD80">
            <v>6462.2792648700006</v>
          </cell>
          <cell r="BE80">
            <v>6519.0925299499995</v>
          </cell>
          <cell r="BH80">
            <v>6519.0925299499995</v>
          </cell>
          <cell r="BI80">
            <v>6519.0925299499995</v>
          </cell>
        </row>
        <row r="81">
          <cell r="B81" t="str">
            <v>סה"כ עלות גביה קבועה</v>
          </cell>
          <cell r="C81">
            <v>0.17061687580699339</v>
          </cell>
          <cell r="D81">
            <v>0.17227558039430987</v>
          </cell>
          <cell r="E81">
            <v>0.29292213144074769</v>
          </cell>
          <cell r="F81">
            <v>0.14567864098088346</v>
          </cell>
          <cell r="G81">
            <v>0.16358634314890155</v>
          </cell>
          <cell r="H81">
            <v>1.1096266607288652</v>
          </cell>
          <cell r="I81">
            <v>0.17227558039430987</v>
          </cell>
          <cell r="J81">
            <v>0.15648196584325888</v>
          </cell>
          <cell r="K81">
            <v>0.15764391019917195</v>
          </cell>
          <cell r="L81">
            <v>0.17227558039430987</v>
          </cell>
          <cell r="M81">
            <v>0.15648196584325888</v>
          </cell>
          <cell r="N81">
            <v>0.15648196584325888</v>
          </cell>
          <cell r="O81">
            <v>0.16181740615297818</v>
          </cell>
          <cell r="P81">
            <v>0.29292213144074769</v>
          </cell>
          <cell r="Q81">
            <v>0.15730017512383179</v>
          </cell>
          <cell r="R81">
            <v>0.16181740615297818</v>
          </cell>
          <cell r="S81">
            <v>0.17061687580699339</v>
          </cell>
          <cell r="T81">
            <v>0.15764391019917195</v>
          </cell>
          <cell r="U81">
            <v>0.2816443864979481</v>
          </cell>
          <cell r="V81">
            <v>0.29292213144074769</v>
          </cell>
          <cell r="W81">
            <v>0.15764391019917195</v>
          </cell>
          <cell r="X81">
            <v>0.15764391019917195</v>
          </cell>
          <cell r="Y81">
            <v>0.24145253354650908</v>
          </cell>
          <cell r="Z81">
            <v>0.16099094060786279</v>
          </cell>
          <cell r="AA81">
            <v>0.17713812651358904</v>
          </cell>
          <cell r="AB81">
            <v>0.15730017512383179</v>
          </cell>
          <cell r="AC81">
            <v>0.17713812651358904</v>
          </cell>
          <cell r="AD81">
            <v>0.17713812651358904</v>
          </cell>
          <cell r="AE81">
            <v>0.16099094060786279</v>
          </cell>
          <cell r="AF81">
            <v>0.16358634314890155</v>
          </cell>
          <cell r="AG81">
            <v>0.24145253354650908</v>
          </cell>
          <cell r="AH81">
            <v>0.15730017512383179</v>
          </cell>
          <cell r="AI81">
            <v>0.17061687580699339</v>
          </cell>
          <cell r="AJ81">
            <v>0.16099094060786279</v>
          </cell>
          <cell r="AK81">
            <v>0.16099094060786279</v>
          </cell>
          <cell r="AL81">
            <v>0.14529845654272511</v>
          </cell>
          <cell r="AM81">
            <v>0.15648196584325888</v>
          </cell>
          <cell r="AN81">
            <v>0.14529845654272511</v>
          </cell>
          <cell r="AO81">
            <v>0.14529845654272511</v>
          </cell>
          <cell r="AP81">
            <v>0.16181740615297818</v>
          </cell>
          <cell r="AQ81">
            <v>0.17061687580699339</v>
          </cell>
          <cell r="AR81">
            <v>0.17227558039430987</v>
          </cell>
          <cell r="AS81">
            <v>0.16099094060786279</v>
          </cell>
          <cell r="AT81">
            <v>0.16099094060786279</v>
          </cell>
          <cell r="AU81">
            <v>0.17713812651358904</v>
          </cell>
          <cell r="AV81">
            <v>0.24145253354650908</v>
          </cell>
          <cell r="AW81">
            <v>0.24145253354650908</v>
          </cell>
          <cell r="AX81">
            <v>0.16358634314890155</v>
          </cell>
          <cell r="AY81">
            <v>0.15730017512383179</v>
          </cell>
          <cell r="AZ81">
            <v>0.17227558039430987</v>
          </cell>
          <cell r="BA81">
            <v>0.15764391019917195</v>
          </cell>
          <cell r="BB81">
            <v>0.17713812651358904</v>
          </cell>
          <cell r="BC81">
            <v>0.15730017512383179</v>
          </cell>
          <cell r="BD81">
            <v>0.17713812651358904</v>
          </cell>
          <cell r="BE81">
            <v>0.17061687580699339</v>
          </cell>
          <cell r="BH81">
            <v>0.17061687580699339</v>
          </cell>
          <cell r="BI81">
            <v>0.17061687580699339</v>
          </cell>
        </row>
        <row r="83">
          <cell r="A83" t="str">
            <v>עלות גביה- משתנה</v>
          </cell>
          <cell r="B83" t="str">
            <v xml:space="preserve">כמות מים תאגיד </v>
          </cell>
          <cell r="C83">
            <v>10402.959000000001</v>
          </cell>
          <cell r="D83">
            <v>8990.4840000000004</v>
          </cell>
          <cell r="E83">
            <v>4622.0540000000001</v>
          </cell>
          <cell r="F83">
            <v>55801.764999999999</v>
          </cell>
          <cell r="G83">
            <v>16703.157999999999</v>
          </cell>
          <cell r="H83">
            <v>1778.4359999999999</v>
          </cell>
          <cell r="I83">
            <v>4577.4979999999996</v>
          </cell>
          <cell r="J83">
            <v>7141.3379999999997</v>
          </cell>
          <cell r="K83">
            <v>5178.0209999999997</v>
          </cell>
          <cell r="L83">
            <v>9465.3389999999999</v>
          </cell>
          <cell r="M83">
            <v>16042.34</v>
          </cell>
          <cell r="N83">
            <v>8244</v>
          </cell>
          <cell r="O83">
            <v>5267.893</v>
          </cell>
          <cell r="P83">
            <v>5041.085</v>
          </cell>
          <cell r="Q83">
            <v>20338.690999999999</v>
          </cell>
          <cell r="R83">
            <v>18255.450999999997</v>
          </cell>
          <cell r="S83">
            <v>18180.299000000003</v>
          </cell>
          <cell r="T83">
            <v>19298.804</v>
          </cell>
          <cell r="U83">
            <v>10977.175999999999</v>
          </cell>
          <cell r="V83">
            <v>8577.2049999999999</v>
          </cell>
          <cell r="W83">
            <v>8412.4480000000003</v>
          </cell>
          <cell r="X83">
            <v>6020.2939999999999</v>
          </cell>
          <cell r="Y83">
            <v>3545.5990000000002</v>
          </cell>
          <cell r="Z83">
            <v>3626.6419999999998</v>
          </cell>
          <cell r="AA83">
            <v>6380.3370000000004</v>
          </cell>
          <cell r="AB83">
            <v>7660.5219999999999</v>
          </cell>
          <cell r="AC83">
            <v>9918.521999999999</v>
          </cell>
          <cell r="AD83">
            <v>4453.9129999999996</v>
          </cell>
          <cell r="AE83">
            <v>23482.1</v>
          </cell>
          <cell r="AF83">
            <v>5287.741</v>
          </cell>
          <cell r="AG83">
            <v>4061.6559999999999</v>
          </cell>
          <cell r="AH83">
            <v>3228.4309999999996</v>
          </cell>
          <cell r="AI83">
            <v>3395.31</v>
          </cell>
          <cell r="AJ83">
            <v>3094.3240000000001</v>
          </cell>
          <cell r="AK83">
            <v>2916.2270000000003</v>
          </cell>
          <cell r="AL83">
            <v>45887.912000000004</v>
          </cell>
          <cell r="AM83">
            <v>5557.4649999999992</v>
          </cell>
          <cell r="AN83">
            <v>11903.299000000001</v>
          </cell>
          <cell r="AO83">
            <v>3688.085</v>
          </cell>
          <cell r="AP83">
            <v>9099.1779999999999</v>
          </cell>
          <cell r="AQ83">
            <v>4946.7919999999995</v>
          </cell>
          <cell r="AR83">
            <v>9679.152</v>
          </cell>
          <cell r="AS83">
            <v>3466.8629999999998</v>
          </cell>
          <cell r="AT83">
            <v>2739.9360000000001</v>
          </cell>
          <cell r="AU83">
            <v>4327.2700000000004</v>
          </cell>
          <cell r="AV83">
            <v>5471.9060000000009</v>
          </cell>
          <cell r="AW83">
            <v>7319.4059999999999</v>
          </cell>
          <cell r="AX83">
            <v>12657.895</v>
          </cell>
          <cell r="AY83">
            <v>7259.326</v>
          </cell>
          <cell r="AZ83">
            <v>3372.8529999999996</v>
          </cell>
          <cell r="BA83">
            <v>5357.384</v>
          </cell>
          <cell r="BB83">
            <v>4966.9589999999998</v>
          </cell>
          <cell r="BC83">
            <v>5951.3919999999998</v>
          </cell>
          <cell r="BD83">
            <v>1131.4870000000001</v>
          </cell>
          <cell r="BE83">
            <v>1075.876</v>
          </cell>
          <cell r="BH83">
            <v>4946.7919999999995</v>
          </cell>
          <cell r="BI83">
            <v>2529.587</v>
          </cell>
        </row>
        <row r="84">
          <cell r="B84" t="str">
            <v>עלויות גביה משתנות לצרכן</v>
          </cell>
          <cell r="C84">
            <v>46.3</v>
          </cell>
          <cell r="D84">
            <v>46.3</v>
          </cell>
          <cell r="E84">
            <v>46.3</v>
          </cell>
          <cell r="F84">
            <v>46.3</v>
          </cell>
          <cell r="G84">
            <v>46.3</v>
          </cell>
          <cell r="H84">
            <v>46.3</v>
          </cell>
          <cell r="I84">
            <v>46.3</v>
          </cell>
          <cell r="J84">
            <v>46.3</v>
          </cell>
          <cell r="K84">
            <v>46.3</v>
          </cell>
          <cell r="L84">
            <v>46.3</v>
          </cell>
          <cell r="M84">
            <v>46.3</v>
          </cell>
          <cell r="N84">
            <v>46.3</v>
          </cell>
          <cell r="O84">
            <v>46.3</v>
          </cell>
          <cell r="P84">
            <v>46.3</v>
          </cell>
          <cell r="Q84">
            <v>46.3</v>
          </cell>
          <cell r="R84">
            <v>46.3</v>
          </cell>
          <cell r="S84">
            <v>46.3</v>
          </cell>
          <cell r="T84">
            <v>46.3</v>
          </cell>
          <cell r="U84">
            <v>46.3</v>
          </cell>
          <cell r="V84">
            <v>46.3</v>
          </cell>
          <cell r="W84">
            <v>46.3</v>
          </cell>
          <cell r="X84">
            <v>46.3</v>
          </cell>
          <cell r="Y84">
            <v>46.3</v>
          </cell>
          <cell r="Z84">
            <v>46.3</v>
          </cell>
          <cell r="AA84">
            <v>46.3</v>
          </cell>
          <cell r="AB84">
            <v>46.3</v>
          </cell>
          <cell r="AC84">
            <v>46.3</v>
          </cell>
          <cell r="AD84">
            <v>46.3</v>
          </cell>
          <cell r="AE84">
            <v>46.3</v>
          </cell>
          <cell r="AF84">
            <v>46.3</v>
          </cell>
          <cell r="AG84">
            <v>46.3</v>
          </cell>
          <cell r="AH84">
            <v>46.3</v>
          </cell>
          <cell r="AI84">
            <v>46.3</v>
          </cell>
          <cell r="AJ84">
            <v>46.3</v>
          </cell>
          <cell r="AK84">
            <v>46.3</v>
          </cell>
          <cell r="AL84">
            <v>46.3</v>
          </cell>
          <cell r="AM84">
            <v>46.3</v>
          </cell>
          <cell r="AN84">
            <v>46.3</v>
          </cell>
          <cell r="AO84">
            <v>46.3</v>
          </cell>
          <cell r="AP84">
            <v>46.3</v>
          </cell>
          <cell r="AQ84">
            <v>46.3</v>
          </cell>
          <cell r="AR84">
            <v>46.3</v>
          </cell>
          <cell r="AS84">
            <v>46.3</v>
          </cell>
          <cell r="AT84">
            <v>46.3</v>
          </cell>
          <cell r="AU84">
            <v>46.3</v>
          </cell>
          <cell r="AV84">
            <v>46.3</v>
          </cell>
          <cell r="AW84">
            <v>46.3</v>
          </cell>
          <cell r="AX84">
            <v>46.3</v>
          </cell>
          <cell r="AY84">
            <v>46.3</v>
          </cell>
          <cell r="AZ84">
            <v>46.3</v>
          </cell>
          <cell r="BA84">
            <v>46.3</v>
          </cell>
          <cell r="BB84">
            <v>46.3</v>
          </cell>
          <cell r="BC84">
            <v>46.3</v>
          </cell>
          <cell r="BD84">
            <v>46.3</v>
          </cell>
          <cell r="BE84">
            <v>46.3</v>
          </cell>
          <cell r="BH84">
            <v>46.3</v>
          </cell>
          <cell r="BI84">
            <v>46.3</v>
          </cell>
        </row>
        <row r="85">
          <cell r="B85" t="str">
            <v>מספר צרכנים</v>
          </cell>
          <cell r="C85">
            <v>42643</v>
          </cell>
          <cell r="D85">
            <v>28386</v>
          </cell>
          <cell r="E85">
            <v>17180</v>
          </cell>
          <cell r="F85">
            <v>199592</v>
          </cell>
          <cell r="G85">
            <v>69699</v>
          </cell>
          <cell r="H85">
            <v>7441</v>
          </cell>
          <cell r="I85">
            <v>14865</v>
          </cell>
          <cell r="J85">
            <v>29700</v>
          </cell>
          <cell r="K85">
            <v>22609</v>
          </cell>
          <cell r="L85">
            <v>42778</v>
          </cell>
          <cell r="M85">
            <v>73228</v>
          </cell>
          <cell r="N85">
            <v>28518</v>
          </cell>
          <cell r="O85">
            <v>21234</v>
          </cell>
          <cell r="P85">
            <v>17139</v>
          </cell>
          <cell r="Q85">
            <v>88021</v>
          </cell>
          <cell r="R85">
            <v>87975</v>
          </cell>
          <cell r="S85">
            <v>98625</v>
          </cell>
          <cell r="T85">
            <v>79672</v>
          </cell>
          <cell r="U85">
            <v>21143</v>
          </cell>
          <cell r="V85">
            <v>32332</v>
          </cell>
          <cell r="W85">
            <v>38082.666666666664</v>
          </cell>
          <cell r="X85">
            <v>22690</v>
          </cell>
          <cell r="Y85">
            <v>12257</v>
          </cell>
          <cell r="Z85">
            <v>19971</v>
          </cell>
          <cell r="AA85">
            <v>24715</v>
          </cell>
          <cell r="AB85">
            <v>16651</v>
          </cell>
          <cell r="AC85">
            <v>37280</v>
          </cell>
          <cell r="AD85">
            <v>18500</v>
          </cell>
          <cell r="AE85">
            <v>110389</v>
          </cell>
          <cell r="AF85">
            <v>17059</v>
          </cell>
          <cell r="AG85">
            <v>17082</v>
          </cell>
          <cell r="AH85">
            <v>5780</v>
          </cell>
          <cell r="AI85">
            <v>12031</v>
          </cell>
          <cell r="AJ85">
            <v>18544</v>
          </cell>
          <cell r="AK85">
            <v>18491</v>
          </cell>
          <cell r="AL85">
            <v>285643</v>
          </cell>
          <cell r="AM85">
            <v>17668</v>
          </cell>
          <cell r="AN85">
            <v>67849</v>
          </cell>
          <cell r="AO85">
            <v>24947</v>
          </cell>
          <cell r="AP85">
            <v>53449</v>
          </cell>
          <cell r="AQ85">
            <v>22766.333333333336</v>
          </cell>
          <cell r="AR85">
            <v>30888</v>
          </cell>
          <cell r="AS85">
            <v>18172</v>
          </cell>
          <cell r="AT85">
            <v>15930</v>
          </cell>
          <cell r="AU85">
            <v>17634</v>
          </cell>
          <cell r="AV85">
            <v>17802</v>
          </cell>
          <cell r="AW85">
            <v>21439</v>
          </cell>
          <cell r="AX85">
            <v>53406</v>
          </cell>
          <cell r="AY85">
            <v>27733</v>
          </cell>
          <cell r="AZ85">
            <v>15109</v>
          </cell>
          <cell r="BA85">
            <v>20514</v>
          </cell>
          <cell r="BB85">
            <v>12104</v>
          </cell>
          <cell r="BC85">
            <v>7546</v>
          </cell>
          <cell r="BD85">
            <v>2765</v>
          </cell>
          <cell r="BE85">
            <v>4846</v>
          </cell>
          <cell r="BH85">
            <v>22766.333333333336</v>
          </cell>
          <cell r="BI85">
            <v>13565</v>
          </cell>
        </row>
        <row r="86">
          <cell r="B86" t="str">
            <v>תוספת לעלויות גביה למצב סוציואקונומי</v>
          </cell>
          <cell r="C86">
            <v>1.932E-2</v>
          </cell>
          <cell r="D86">
            <v>1.1162300446132449E-2</v>
          </cell>
          <cell r="E86">
            <v>6.6559750896049248E-3</v>
          </cell>
          <cell r="F86">
            <v>7.1050257622208023E-5</v>
          </cell>
          <cell r="G86">
            <v>0</v>
          </cell>
          <cell r="H86">
            <v>0</v>
          </cell>
          <cell r="I86">
            <v>1.7558106525602891E-2</v>
          </cell>
          <cell r="J86">
            <v>0</v>
          </cell>
          <cell r="K86">
            <v>4.8300000000000001E-3</v>
          </cell>
          <cell r="L86">
            <v>0</v>
          </cell>
          <cell r="M86">
            <v>0</v>
          </cell>
          <cell r="N86">
            <v>1.3606826394109582E-2</v>
          </cell>
          <cell r="O86">
            <v>0</v>
          </cell>
          <cell r="P86">
            <v>4.5680863626899855E-3</v>
          </cell>
          <cell r="Q86">
            <v>5.3268619183470241E-4</v>
          </cell>
          <cell r="R86">
            <v>0</v>
          </cell>
          <cell r="S86">
            <v>2.0930862358119959E-3</v>
          </cell>
          <cell r="T86">
            <v>0</v>
          </cell>
          <cell r="U86">
            <v>0</v>
          </cell>
          <cell r="V86">
            <v>8.0991802006735343E-3</v>
          </cell>
          <cell r="W86">
            <v>0</v>
          </cell>
          <cell r="X86">
            <v>0</v>
          </cell>
          <cell r="Y86">
            <v>1.904988096167466E-3</v>
          </cell>
          <cell r="Z86">
            <v>0</v>
          </cell>
          <cell r="AA86">
            <v>0</v>
          </cell>
          <cell r="AB86">
            <v>4.830000000000001E-3</v>
          </cell>
          <cell r="AC86">
            <v>0</v>
          </cell>
          <cell r="AD86">
            <v>0</v>
          </cell>
          <cell r="AE86">
            <v>0</v>
          </cell>
          <cell r="AF86">
            <v>0</v>
          </cell>
          <cell r="AG86">
            <v>0</v>
          </cell>
          <cell r="AH86">
            <v>1.932E-2</v>
          </cell>
          <cell r="AI86">
            <v>0</v>
          </cell>
          <cell r="AJ86">
            <v>3.514242218979008E-3</v>
          </cell>
          <cell r="AK86">
            <v>0</v>
          </cell>
          <cell r="AL86">
            <v>0</v>
          </cell>
          <cell r="AM86">
            <v>0</v>
          </cell>
          <cell r="AN86">
            <v>0</v>
          </cell>
          <cell r="AO86">
            <v>0</v>
          </cell>
          <cell r="AP86">
            <v>0</v>
          </cell>
          <cell r="AQ86">
            <v>0</v>
          </cell>
          <cell r="AR86">
            <v>1.3623056711439509E-2</v>
          </cell>
          <cell r="AS86">
            <v>4.8300000000000001E-3</v>
          </cell>
          <cell r="AT86">
            <v>0</v>
          </cell>
          <cell r="AU86">
            <v>0</v>
          </cell>
          <cell r="AV86">
            <v>1.4373711780953913E-2</v>
          </cell>
          <cell r="AW86">
            <v>1.8540028612944626E-2</v>
          </cell>
          <cell r="AX86">
            <v>1.684301800857686E-3</v>
          </cell>
          <cell r="AY86">
            <v>3.2686559686373987E-3</v>
          </cell>
          <cell r="AZ86">
            <v>0</v>
          </cell>
          <cell r="BA86">
            <v>9.6600000000000002E-3</v>
          </cell>
          <cell r="BB86">
            <v>9.7721125124248503E-3</v>
          </cell>
          <cell r="BC86">
            <v>1.7471339542164635E-2</v>
          </cell>
          <cell r="BD86">
            <v>0</v>
          </cell>
          <cell r="BE86">
            <v>0</v>
          </cell>
          <cell r="BH86">
            <v>0</v>
          </cell>
          <cell r="BI86">
            <v>0</v>
          </cell>
        </row>
        <row r="87">
          <cell r="B87" t="str">
            <v>סה"כ עלויות גביה משתנות</v>
          </cell>
          <cell r="C87">
            <v>0.18986855208792036</v>
          </cell>
          <cell r="D87">
            <v>0.14622000918531902</v>
          </cell>
          <cell r="E87">
            <v>0.17212008982414298</v>
          </cell>
          <cell r="F87">
            <v>0.16560629903127649</v>
          </cell>
          <cell r="G87">
            <v>0.1932008126846432</v>
          </cell>
          <cell r="H87">
            <v>0.19371981898702006</v>
          </cell>
          <cell r="I87">
            <v>0.15041197205405729</v>
          </cell>
          <cell r="J87">
            <v>0.19255635288513159</v>
          </cell>
          <cell r="K87">
            <v>0.20218262951618002</v>
          </cell>
          <cell r="L87">
            <v>0.20924991698659709</v>
          </cell>
          <cell r="M87">
            <v>0.21134425526450629</v>
          </cell>
          <cell r="N87">
            <v>0.16021002419639824</v>
          </cell>
          <cell r="O87">
            <v>0.18662759475182961</v>
          </cell>
          <cell r="P87">
            <v>0.15742920272762115</v>
          </cell>
          <cell r="Q87">
            <v>0.20037765397838492</v>
          </cell>
          <cell r="R87">
            <v>0.22312472586954987</v>
          </cell>
          <cell r="S87">
            <v>0.25118090360505108</v>
          </cell>
          <cell r="T87">
            <v>0.1911420832088869</v>
          </cell>
          <cell r="U87">
            <v>8.9177845012232651E-2</v>
          </cell>
          <cell r="V87">
            <v>0.17455959869144411</v>
          </cell>
          <cell r="W87">
            <v>0.20959742831892292</v>
          </cell>
          <cell r="X87">
            <v>0.17450094629930035</v>
          </cell>
          <cell r="Y87">
            <v>0.16006391287878149</v>
          </cell>
          <cell r="Z87">
            <v>0.2549623866927036</v>
          </cell>
          <cell r="AA87">
            <v>0.17934859867119871</v>
          </cell>
          <cell r="AB87">
            <v>0.10064871875963544</v>
          </cell>
          <cell r="AC87">
            <v>0.17402431531633444</v>
          </cell>
          <cell r="AD87">
            <v>0.19231403936269076</v>
          </cell>
          <cell r="AE87">
            <v>0.21765560575928045</v>
          </cell>
          <cell r="AF87">
            <v>0.1493703454840167</v>
          </cell>
          <cell r="AG87">
            <v>0.19472269438869266</v>
          </cell>
          <cell r="AH87">
            <v>8.2927486943348033E-2</v>
          </cell>
          <cell r="AI87">
            <v>0.1640602183600319</v>
          </cell>
          <cell r="AJ87">
            <v>0.27749271508339418</v>
          </cell>
          <cell r="AK87">
            <v>0.29357567157837844</v>
          </cell>
          <cell r="AL87">
            <v>0.2882081647123102</v>
          </cell>
          <cell r="AM87">
            <v>0.14719452124304877</v>
          </cell>
          <cell r="AN87">
            <v>0.26391076120998047</v>
          </cell>
          <cell r="AO87">
            <v>0.31318315602812835</v>
          </cell>
          <cell r="AP87">
            <v>0.27196838000091872</v>
          </cell>
          <cell r="AQ87">
            <v>0.21308379922449405</v>
          </cell>
          <cell r="AR87">
            <v>0.14779550821969764</v>
          </cell>
          <cell r="AS87">
            <v>0.24271261101462621</v>
          </cell>
          <cell r="AT87">
            <v>0.2691884044006867</v>
          </cell>
          <cell r="AU87">
            <v>0.18867650967006908</v>
          </cell>
          <cell r="AV87">
            <v>0.15067665285498771</v>
          </cell>
          <cell r="AW87">
            <v>0.13566991360684635</v>
          </cell>
          <cell r="AX87">
            <v>0.19535536926337094</v>
          </cell>
          <cell r="AY87">
            <v>0.17689363305022782</v>
          </cell>
          <cell r="AZ87">
            <v>0.20740503662626272</v>
          </cell>
          <cell r="BA87">
            <v>0.17732467287019185</v>
          </cell>
          <cell r="BB87">
            <v>0.1128524478760244</v>
          </cell>
          <cell r="BC87">
            <v>5.872771256341125E-2</v>
          </cell>
          <cell r="BD87">
            <v>0.29339854495252971</v>
          </cell>
          <cell r="BE87">
            <v>0.20854615215879896</v>
          </cell>
          <cell r="BH87">
            <v>0.21308379922449405</v>
          </cell>
          <cell r="BI87">
            <v>0.24828539204225827</v>
          </cell>
        </row>
        <row r="89">
          <cell r="A89" t="str">
            <v>תקורת אחזקת מים</v>
          </cell>
          <cell r="B89" t="str">
            <v>כמות מים תאגיד מרחבי</v>
          </cell>
          <cell r="C89">
            <v>38208.955000000002</v>
          </cell>
          <cell r="D89">
            <v>37754.264000000003</v>
          </cell>
          <cell r="E89">
            <v>20237.499</v>
          </cell>
          <cell r="F89">
            <v>60830.849000000002</v>
          </cell>
          <cell r="G89">
            <v>40640.303000000007</v>
          </cell>
          <cell r="H89">
            <v>1778.4359999999999</v>
          </cell>
          <cell r="I89">
            <v>37754.264000000003</v>
          </cell>
          <cell r="J89">
            <v>46803.215999999993</v>
          </cell>
          <cell r="K89">
            <v>45670.491999999991</v>
          </cell>
          <cell r="L89">
            <v>37754.264000000003</v>
          </cell>
          <cell r="M89">
            <v>46803.215999999993</v>
          </cell>
          <cell r="N89">
            <v>46803.215999999993</v>
          </cell>
          <cell r="O89">
            <v>42017.929000000004</v>
          </cell>
          <cell r="P89">
            <v>20237.499</v>
          </cell>
          <cell r="Q89">
            <v>45999.830999999991</v>
          </cell>
          <cell r="R89">
            <v>42017.929000000004</v>
          </cell>
          <cell r="S89">
            <v>38208.955000000002</v>
          </cell>
          <cell r="T89">
            <v>45670.491999999991</v>
          </cell>
          <cell r="U89">
            <v>10977.175999999999</v>
          </cell>
          <cell r="V89">
            <v>20237.499</v>
          </cell>
          <cell r="W89">
            <v>45670.491999999991</v>
          </cell>
          <cell r="X89">
            <v>45670.491999999991</v>
          </cell>
          <cell r="Y89">
            <v>25231.761000000002</v>
          </cell>
          <cell r="Z89">
            <v>42694.096999999994</v>
          </cell>
          <cell r="AA89">
            <v>36481.583000000006</v>
          </cell>
          <cell r="AB89">
            <v>45999.830999999991</v>
          </cell>
          <cell r="AC89">
            <v>36481.583000000006</v>
          </cell>
          <cell r="AD89">
            <v>36481.583000000006</v>
          </cell>
          <cell r="AE89">
            <v>42694.096999999994</v>
          </cell>
          <cell r="AF89">
            <v>40640.303000000007</v>
          </cell>
          <cell r="AG89">
            <v>25231.761000000002</v>
          </cell>
          <cell r="AH89">
            <v>45999.830999999991</v>
          </cell>
          <cell r="AI89">
            <v>38208.955000000002</v>
          </cell>
          <cell r="AJ89">
            <v>42694.096999999994</v>
          </cell>
          <cell r="AK89">
            <v>42694.096999999994</v>
          </cell>
          <cell r="AL89">
            <v>61479.296000000002</v>
          </cell>
          <cell r="AM89">
            <v>46803.215999999993</v>
          </cell>
          <cell r="AN89">
            <v>61479.296000000002</v>
          </cell>
          <cell r="AO89">
            <v>61479.296000000002</v>
          </cell>
          <cell r="AP89">
            <v>42017.929000000004</v>
          </cell>
          <cell r="AQ89">
            <v>38208.955000000002</v>
          </cell>
          <cell r="AR89">
            <v>37754.264000000003</v>
          </cell>
          <cell r="AS89">
            <v>42694.096999999994</v>
          </cell>
          <cell r="AT89">
            <v>42694.096999999994</v>
          </cell>
          <cell r="AU89">
            <v>36481.583000000006</v>
          </cell>
          <cell r="AV89">
            <v>25231.761000000002</v>
          </cell>
          <cell r="AW89">
            <v>25231.761000000002</v>
          </cell>
          <cell r="AX89">
            <v>40640.303000000007</v>
          </cell>
          <cell r="AY89">
            <v>45999.830999999991</v>
          </cell>
          <cell r="AZ89">
            <v>37754.264000000003</v>
          </cell>
          <cell r="BA89">
            <v>45670.491999999991</v>
          </cell>
          <cell r="BB89">
            <v>36481.583000000006</v>
          </cell>
          <cell r="BC89">
            <v>45999.830999999991</v>
          </cell>
          <cell r="BD89">
            <v>36481.583000000006</v>
          </cell>
          <cell r="BE89">
            <v>38208.955000000002</v>
          </cell>
          <cell r="BH89">
            <v>38208.955000000002</v>
          </cell>
          <cell r="BI89">
            <v>38208.955000000002</v>
          </cell>
        </row>
        <row r="90">
          <cell r="B90" t="str">
            <v>מקדם הנהלה</v>
          </cell>
          <cell r="C90">
            <v>0.99104477499999999</v>
          </cell>
          <cell r="D90">
            <v>0.98877132000000001</v>
          </cell>
          <cell r="E90">
            <v>0.90118749500000006</v>
          </cell>
          <cell r="F90">
            <v>1.3471808166666666</v>
          </cell>
          <cell r="G90">
            <v>1.0106717166666668</v>
          </cell>
          <cell r="H90">
            <v>0.3</v>
          </cell>
          <cell r="I90">
            <v>0.98877132000000001</v>
          </cell>
          <cell r="J90">
            <v>1.1133869333333333</v>
          </cell>
          <cell r="K90">
            <v>1.0945081999999999</v>
          </cell>
          <cell r="L90">
            <v>0.98877132000000001</v>
          </cell>
          <cell r="M90">
            <v>1.1133869333333333</v>
          </cell>
          <cell r="N90">
            <v>1.1133869333333333</v>
          </cell>
          <cell r="O90">
            <v>1.0336321500000001</v>
          </cell>
          <cell r="P90">
            <v>0.90118749500000006</v>
          </cell>
          <cell r="Q90">
            <v>1.0999971833333331</v>
          </cell>
          <cell r="R90">
            <v>1.0336321500000001</v>
          </cell>
          <cell r="S90">
            <v>0.99104477499999999</v>
          </cell>
          <cell r="T90">
            <v>1.0945081999999999</v>
          </cell>
          <cell r="U90">
            <v>0.47</v>
          </cell>
          <cell r="V90">
            <v>0.90118749500000006</v>
          </cell>
          <cell r="W90">
            <v>1.0945081999999999</v>
          </cell>
          <cell r="X90">
            <v>1.0945081999999999</v>
          </cell>
          <cell r="Y90">
            <v>0.92615880500000003</v>
          </cell>
          <cell r="Z90">
            <v>1.0449016166666665</v>
          </cell>
          <cell r="AA90">
            <v>0.98240791500000002</v>
          </cell>
          <cell r="AB90">
            <v>1.0999971833333331</v>
          </cell>
          <cell r="AC90">
            <v>0.98240791500000002</v>
          </cell>
          <cell r="AD90">
            <v>0.98240791500000002</v>
          </cell>
          <cell r="AE90">
            <v>1.0449016166666665</v>
          </cell>
          <cell r="AF90">
            <v>1.0106717166666668</v>
          </cell>
          <cell r="AG90">
            <v>0.92615880500000003</v>
          </cell>
          <cell r="AH90">
            <v>1.0999971833333331</v>
          </cell>
          <cell r="AI90">
            <v>0.99104477499999999</v>
          </cell>
          <cell r="AJ90">
            <v>1.0449016166666665</v>
          </cell>
          <cell r="AK90">
            <v>1.0449016166666665</v>
          </cell>
          <cell r="AL90">
            <v>1.3579882666666667</v>
          </cell>
          <cell r="AM90">
            <v>1.1133869333333333</v>
          </cell>
          <cell r="AN90">
            <v>1.3579882666666667</v>
          </cell>
          <cell r="AO90">
            <v>1.3579882666666667</v>
          </cell>
          <cell r="AP90">
            <v>1.0336321500000001</v>
          </cell>
          <cell r="AQ90">
            <v>0.99104477499999999</v>
          </cell>
          <cell r="AR90">
            <v>0.98877132000000001</v>
          </cell>
          <cell r="AS90">
            <v>1.0449016166666665</v>
          </cell>
          <cell r="AT90">
            <v>1.0449016166666665</v>
          </cell>
          <cell r="AU90">
            <v>0.98240791500000002</v>
          </cell>
          <cell r="AV90">
            <v>0.92615880500000003</v>
          </cell>
          <cell r="AW90">
            <v>0.92615880500000003</v>
          </cell>
          <cell r="AX90">
            <v>1.0106717166666668</v>
          </cell>
          <cell r="AY90">
            <v>1.0999971833333331</v>
          </cell>
          <cell r="AZ90">
            <v>0.98877132000000001</v>
          </cell>
          <cell r="BA90">
            <v>1.0945081999999999</v>
          </cell>
          <cell r="BB90">
            <v>0.98240791500000002</v>
          </cell>
          <cell r="BC90">
            <v>1.0999971833333331</v>
          </cell>
          <cell r="BD90">
            <v>0.98240791500000002</v>
          </cell>
          <cell r="BE90">
            <v>0.99104477499999999</v>
          </cell>
          <cell r="BH90">
            <v>0.99104477499999999</v>
          </cell>
          <cell r="BI90">
            <v>0.99104477499999999</v>
          </cell>
        </row>
        <row r="91">
          <cell r="B91" t="str">
            <v>תקורת אחזקת מים</v>
          </cell>
          <cell r="C91">
            <v>3823</v>
          </cell>
          <cell r="D91">
            <v>3823</v>
          </cell>
          <cell r="E91">
            <v>3823</v>
          </cell>
          <cell r="F91">
            <v>3823</v>
          </cell>
          <cell r="G91">
            <v>3823</v>
          </cell>
          <cell r="H91">
            <v>3823</v>
          </cell>
          <cell r="I91">
            <v>3823</v>
          </cell>
          <cell r="J91">
            <v>3823</v>
          </cell>
          <cell r="K91">
            <v>3823</v>
          </cell>
          <cell r="L91">
            <v>3823</v>
          </cell>
          <cell r="M91">
            <v>3823</v>
          </cell>
          <cell r="N91">
            <v>3823</v>
          </cell>
          <cell r="O91">
            <v>3823</v>
          </cell>
          <cell r="P91">
            <v>3823</v>
          </cell>
          <cell r="Q91">
            <v>3823</v>
          </cell>
          <cell r="R91">
            <v>3823</v>
          </cell>
          <cell r="S91">
            <v>3823</v>
          </cell>
          <cell r="T91">
            <v>3823</v>
          </cell>
          <cell r="U91">
            <v>3823</v>
          </cell>
          <cell r="V91">
            <v>3823</v>
          </cell>
          <cell r="W91">
            <v>3823</v>
          </cell>
          <cell r="X91">
            <v>3823</v>
          </cell>
          <cell r="Y91">
            <v>3823</v>
          </cell>
          <cell r="Z91">
            <v>3823</v>
          </cell>
          <cell r="AA91">
            <v>3823</v>
          </cell>
          <cell r="AB91">
            <v>3823</v>
          </cell>
          <cell r="AC91">
            <v>3823</v>
          </cell>
          <cell r="AD91">
            <v>3823</v>
          </cell>
          <cell r="AE91">
            <v>3823</v>
          </cell>
          <cell r="AF91">
            <v>3823</v>
          </cell>
          <cell r="AG91">
            <v>3823</v>
          </cell>
          <cell r="AH91">
            <v>3823</v>
          </cell>
          <cell r="AI91">
            <v>3823</v>
          </cell>
          <cell r="AJ91">
            <v>3823</v>
          </cell>
          <cell r="AK91">
            <v>3823</v>
          </cell>
          <cell r="AL91">
            <v>3823</v>
          </cell>
          <cell r="AM91">
            <v>3823</v>
          </cell>
          <cell r="AN91">
            <v>3823</v>
          </cell>
          <cell r="AO91">
            <v>3823</v>
          </cell>
          <cell r="AP91">
            <v>3823</v>
          </cell>
          <cell r="AQ91">
            <v>3823</v>
          </cell>
          <cell r="AR91">
            <v>3823</v>
          </cell>
          <cell r="AS91">
            <v>3823</v>
          </cell>
          <cell r="AT91">
            <v>3823</v>
          </cell>
          <cell r="AU91">
            <v>3823</v>
          </cell>
          <cell r="AV91">
            <v>3823</v>
          </cell>
          <cell r="AW91">
            <v>3823</v>
          </cell>
          <cell r="AX91">
            <v>3823</v>
          </cell>
          <cell r="AY91">
            <v>3823</v>
          </cell>
          <cell r="AZ91">
            <v>3823</v>
          </cell>
          <cell r="BA91">
            <v>3823</v>
          </cell>
          <cell r="BB91">
            <v>3823</v>
          </cell>
          <cell r="BC91">
            <v>3823</v>
          </cell>
          <cell r="BD91">
            <v>3823</v>
          </cell>
          <cell r="BE91">
            <v>3823</v>
          </cell>
          <cell r="BH91">
            <v>3823</v>
          </cell>
          <cell r="BI91">
            <v>3823</v>
          </cell>
        </row>
        <row r="92">
          <cell r="B92" t="str">
            <v>סה"כ תקורת אחזקת מים</v>
          </cell>
          <cell r="C92">
            <v>9.9159062969008172E-2</v>
          </cell>
          <cell r="D92">
            <v>0.10012306838665957</v>
          </cell>
          <cell r="E92">
            <v>0.17024039350835793</v>
          </cell>
          <cell r="F92">
            <v>8.4665467386731127E-2</v>
          </cell>
          <cell r="G92">
            <v>9.5073060179119886E-2</v>
          </cell>
          <cell r="H92">
            <v>0.64489247855981313</v>
          </cell>
          <cell r="I92">
            <v>0.10012306838665957</v>
          </cell>
          <cell r="J92">
            <v>9.0944140379869073E-2</v>
          </cell>
          <cell r="K92">
            <v>9.1619438840291029E-2</v>
          </cell>
          <cell r="L92">
            <v>0.10012306838665957</v>
          </cell>
          <cell r="M92">
            <v>9.0944140379869073E-2</v>
          </cell>
          <cell r="N92">
            <v>9.0944140379869073E-2</v>
          </cell>
          <cell r="O92">
            <v>9.4044989924420119E-2</v>
          </cell>
          <cell r="P92">
            <v>0.17024039350835793</v>
          </cell>
          <cell r="Q92">
            <v>9.1419666995805546E-2</v>
          </cell>
          <cell r="R92">
            <v>9.4044989924420119E-2</v>
          </cell>
          <cell r="S92">
            <v>9.9159062969008172E-2</v>
          </cell>
          <cell r="T92">
            <v>9.1619438840291029E-2</v>
          </cell>
          <cell r="U92">
            <v>0.16368599720000845</v>
          </cell>
          <cell r="V92">
            <v>0.17024039350835793</v>
          </cell>
          <cell r="W92">
            <v>9.1619438840291029E-2</v>
          </cell>
          <cell r="X92">
            <v>9.1619438840291029E-2</v>
          </cell>
          <cell r="Y92">
            <v>0.14032730856617578</v>
          </cell>
          <cell r="Z92">
            <v>9.3564664935217312E-2</v>
          </cell>
          <cell r="AA92">
            <v>0.10294908143226679</v>
          </cell>
          <cell r="AB92">
            <v>9.1419666995805546E-2</v>
          </cell>
          <cell r="AC92">
            <v>0.10294908143226679</v>
          </cell>
          <cell r="AD92">
            <v>0.10294908143226679</v>
          </cell>
          <cell r="AE92">
            <v>9.3564664935217312E-2</v>
          </cell>
          <cell r="AF92">
            <v>9.5073060179119886E-2</v>
          </cell>
          <cell r="AG92">
            <v>0.14032730856617578</v>
          </cell>
          <cell r="AH92">
            <v>9.1419666995805546E-2</v>
          </cell>
          <cell r="AI92">
            <v>9.9159062969008172E-2</v>
          </cell>
          <cell r="AJ92">
            <v>9.3564664935217312E-2</v>
          </cell>
          <cell r="AK92">
            <v>9.3564664935217312E-2</v>
          </cell>
          <cell r="AL92">
            <v>8.4444511912866838E-2</v>
          </cell>
          <cell r="AM92">
            <v>9.0944140379869073E-2</v>
          </cell>
          <cell r="AN92">
            <v>8.4444511912866838E-2</v>
          </cell>
          <cell r="AO92">
            <v>8.4444511912866838E-2</v>
          </cell>
          <cell r="AP92">
            <v>9.4044989924420119E-2</v>
          </cell>
          <cell r="AQ92">
            <v>9.9159062969008172E-2</v>
          </cell>
          <cell r="AR92">
            <v>0.10012306838665957</v>
          </cell>
          <cell r="AS92">
            <v>9.3564664935217312E-2</v>
          </cell>
          <cell r="AT92">
            <v>9.3564664935217312E-2</v>
          </cell>
          <cell r="AU92">
            <v>0.10294908143226679</v>
          </cell>
          <cell r="AV92">
            <v>0.14032730856617578</v>
          </cell>
          <cell r="AW92">
            <v>0.14032730856617578</v>
          </cell>
          <cell r="AX92">
            <v>9.5073060179119886E-2</v>
          </cell>
          <cell r="AY92">
            <v>9.1419666995805546E-2</v>
          </cell>
          <cell r="AZ92">
            <v>0.10012306838665957</v>
          </cell>
          <cell r="BA92">
            <v>9.1619438840291029E-2</v>
          </cell>
          <cell r="BB92">
            <v>0.10294908143226679</v>
          </cell>
          <cell r="BC92">
            <v>9.1419666995805546E-2</v>
          </cell>
          <cell r="BD92">
            <v>0.10294908143226679</v>
          </cell>
          <cell r="BE92">
            <v>9.9159062969008172E-2</v>
          </cell>
          <cell r="BH92">
            <v>9.9159062969008172E-2</v>
          </cell>
          <cell r="BI92">
            <v>9.9159062969008172E-2</v>
          </cell>
        </row>
        <row r="94">
          <cell r="A94" t="str">
            <v>תקורת אחזקת ביוב</v>
          </cell>
          <cell r="B94" t="str">
            <v>כמות מים תאגיד מרחבי</v>
          </cell>
          <cell r="C94">
            <v>38208.955000000002</v>
          </cell>
          <cell r="D94">
            <v>37754.264000000003</v>
          </cell>
          <cell r="E94">
            <v>20237.499</v>
          </cell>
          <cell r="F94">
            <v>60830.849000000002</v>
          </cell>
          <cell r="G94">
            <v>40640.303000000007</v>
          </cell>
          <cell r="H94">
            <v>1778.4359999999999</v>
          </cell>
          <cell r="I94">
            <v>37754.264000000003</v>
          </cell>
          <cell r="J94">
            <v>46803.215999999993</v>
          </cell>
          <cell r="K94">
            <v>45670.491999999991</v>
          </cell>
          <cell r="L94">
            <v>37754.264000000003</v>
          </cell>
          <cell r="M94">
            <v>46803.215999999993</v>
          </cell>
          <cell r="N94">
            <v>46803.215999999993</v>
          </cell>
          <cell r="O94">
            <v>42017.929000000004</v>
          </cell>
          <cell r="P94">
            <v>20237.499</v>
          </cell>
          <cell r="Q94">
            <v>45999.830999999991</v>
          </cell>
          <cell r="R94">
            <v>42017.929000000004</v>
          </cell>
          <cell r="S94">
            <v>38208.955000000002</v>
          </cell>
          <cell r="T94">
            <v>45670.491999999991</v>
          </cell>
          <cell r="U94">
            <v>10977.175999999999</v>
          </cell>
          <cell r="V94">
            <v>20237.499</v>
          </cell>
          <cell r="W94">
            <v>45670.491999999991</v>
          </cell>
          <cell r="X94">
            <v>45670.491999999991</v>
          </cell>
          <cell r="Y94">
            <v>25231.761000000002</v>
          </cell>
          <cell r="Z94">
            <v>42694.096999999994</v>
          </cell>
          <cell r="AA94">
            <v>36481.583000000006</v>
          </cell>
          <cell r="AB94">
            <v>45999.830999999991</v>
          </cell>
          <cell r="AC94">
            <v>36481.583000000006</v>
          </cell>
          <cell r="AD94">
            <v>36481.583000000006</v>
          </cell>
          <cell r="AE94">
            <v>42694.096999999994</v>
          </cell>
          <cell r="AF94">
            <v>40640.303000000007</v>
          </cell>
          <cell r="AG94">
            <v>25231.761000000002</v>
          </cell>
          <cell r="AH94">
            <v>45999.830999999991</v>
          </cell>
          <cell r="AI94">
            <v>38208.955000000002</v>
          </cell>
          <cell r="AJ94">
            <v>42694.096999999994</v>
          </cell>
          <cell r="AK94">
            <v>42694.096999999994</v>
          </cell>
          <cell r="AL94">
            <v>61479.296000000002</v>
          </cell>
          <cell r="AM94">
            <v>46803.215999999993</v>
          </cell>
          <cell r="AN94">
            <v>61479.296000000002</v>
          </cell>
          <cell r="AO94">
            <v>61479.296000000002</v>
          </cell>
          <cell r="AP94">
            <v>42017.929000000004</v>
          </cell>
          <cell r="AQ94">
            <v>38208.955000000002</v>
          </cell>
          <cell r="AR94">
            <v>37754.264000000003</v>
          </cell>
          <cell r="AS94">
            <v>42694.096999999994</v>
          </cell>
          <cell r="AT94">
            <v>42694.096999999994</v>
          </cell>
          <cell r="AU94">
            <v>36481.583000000006</v>
          </cell>
          <cell r="AV94">
            <v>25231.761000000002</v>
          </cell>
          <cell r="AW94">
            <v>25231.761000000002</v>
          </cell>
          <cell r="AX94">
            <v>40640.303000000007</v>
          </cell>
          <cell r="AY94">
            <v>45999.830999999991</v>
          </cell>
          <cell r="AZ94">
            <v>37754.264000000003</v>
          </cell>
          <cell r="BA94">
            <v>45670.491999999991</v>
          </cell>
          <cell r="BB94">
            <v>36481.583000000006</v>
          </cell>
          <cell r="BC94">
            <v>45999.830999999991</v>
          </cell>
          <cell r="BD94">
            <v>36481.583000000006</v>
          </cell>
          <cell r="BE94">
            <v>38208.955000000002</v>
          </cell>
          <cell r="BH94">
            <v>38208.955000000002</v>
          </cell>
          <cell r="BI94">
            <v>38208.955000000002</v>
          </cell>
        </row>
        <row r="95">
          <cell r="B95" t="str">
            <v>מקדם הנהלה</v>
          </cell>
          <cell r="C95">
            <v>0.99104477499999999</v>
          </cell>
          <cell r="D95">
            <v>0.98877132000000001</v>
          </cell>
          <cell r="E95">
            <v>0.90118749500000006</v>
          </cell>
          <cell r="F95">
            <v>1.3471808166666666</v>
          </cell>
          <cell r="G95">
            <v>1.0106717166666668</v>
          </cell>
          <cell r="H95">
            <v>0.3</v>
          </cell>
          <cell r="I95">
            <v>0.98877132000000001</v>
          </cell>
          <cell r="J95">
            <v>1.1133869333333333</v>
          </cell>
          <cell r="K95">
            <v>1.0945081999999999</v>
          </cell>
          <cell r="L95">
            <v>0.98877132000000001</v>
          </cell>
          <cell r="M95">
            <v>1.1133869333333333</v>
          </cell>
          <cell r="N95">
            <v>1.1133869333333333</v>
          </cell>
          <cell r="O95">
            <v>1.0336321500000001</v>
          </cell>
          <cell r="P95">
            <v>0.90118749500000006</v>
          </cell>
          <cell r="Q95">
            <v>1.0999971833333331</v>
          </cell>
          <cell r="R95">
            <v>1.0336321500000001</v>
          </cell>
          <cell r="S95">
            <v>0.99104477499999999</v>
          </cell>
          <cell r="T95">
            <v>1.0945081999999999</v>
          </cell>
          <cell r="U95">
            <v>0.47</v>
          </cell>
          <cell r="V95">
            <v>0.90118749500000006</v>
          </cell>
          <cell r="W95">
            <v>1.0945081999999999</v>
          </cell>
          <cell r="X95">
            <v>1.0945081999999999</v>
          </cell>
          <cell r="Y95">
            <v>0.92615880500000003</v>
          </cell>
          <cell r="Z95">
            <v>1.0449016166666665</v>
          </cell>
          <cell r="AA95">
            <v>0.98240791500000002</v>
          </cell>
          <cell r="AB95">
            <v>1.0999971833333331</v>
          </cell>
          <cell r="AC95">
            <v>0.98240791500000002</v>
          </cell>
          <cell r="AD95">
            <v>0.98240791500000002</v>
          </cell>
          <cell r="AE95">
            <v>1.0449016166666665</v>
          </cell>
          <cell r="AF95">
            <v>1.0106717166666668</v>
          </cell>
          <cell r="AG95">
            <v>0.92615880500000003</v>
          </cell>
          <cell r="AH95">
            <v>1.0999971833333331</v>
          </cell>
          <cell r="AI95">
            <v>0.99104477499999999</v>
          </cell>
          <cell r="AJ95">
            <v>1.0449016166666665</v>
          </cell>
          <cell r="AK95">
            <v>1.0449016166666665</v>
          </cell>
          <cell r="AL95">
            <v>1.3579882666666667</v>
          </cell>
          <cell r="AM95">
            <v>1.1133869333333333</v>
          </cell>
          <cell r="AN95">
            <v>1.3579882666666667</v>
          </cell>
          <cell r="AO95">
            <v>1.3579882666666667</v>
          </cell>
          <cell r="AP95">
            <v>1.0336321500000001</v>
          </cell>
          <cell r="AQ95">
            <v>0.99104477499999999</v>
          </cell>
          <cell r="AR95">
            <v>0.98877132000000001</v>
          </cell>
          <cell r="AS95">
            <v>1.0449016166666665</v>
          </cell>
          <cell r="AT95">
            <v>1.0449016166666665</v>
          </cell>
          <cell r="AU95">
            <v>0.98240791500000002</v>
          </cell>
          <cell r="AV95">
            <v>0.92615880500000003</v>
          </cell>
          <cell r="AW95">
            <v>0.92615880500000003</v>
          </cell>
          <cell r="AX95">
            <v>1.0106717166666668</v>
          </cell>
          <cell r="AY95">
            <v>1.0999971833333331</v>
          </cell>
          <cell r="AZ95">
            <v>0.98877132000000001</v>
          </cell>
          <cell r="BA95">
            <v>1.0945081999999999</v>
          </cell>
          <cell r="BB95">
            <v>0.98240791500000002</v>
          </cell>
          <cell r="BC95">
            <v>1.0999971833333331</v>
          </cell>
          <cell r="BD95">
            <v>0.98240791500000002</v>
          </cell>
          <cell r="BE95">
            <v>0.99104477499999999</v>
          </cell>
          <cell r="BH95">
            <v>0.99104477499999999</v>
          </cell>
          <cell r="BI95">
            <v>0.99104477499999999</v>
          </cell>
        </row>
        <row r="96">
          <cell r="B96" t="str">
            <v>תקורת אחזקת ביוב</v>
          </cell>
          <cell r="C96">
            <v>3278</v>
          </cell>
          <cell r="D96">
            <v>3278</v>
          </cell>
          <cell r="E96">
            <v>3278</v>
          </cell>
          <cell r="F96">
            <v>3278</v>
          </cell>
          <cell r="G96">
            <v>3278</v>
          </cell>
          <cell r="H96">
            <v>3278</v>
          </cell>
          <cell r="I96">
            <v>3278</v>
          </cell>
          <cell r="J96">
            <v>3278</v>
          </cell>
          <cell r="K96">
            <v>3278</v>
          </cell>
          <cell r="L96">
            <v>3278</v>
          </cell>
          <cell r="M96">
            <v>3278</v>
          </cell>
          <cell r="N96">
            <v>3278</v>
          </cell>
          <cell r="O96">
            <v>3278</v>
          </cell>
          <cell r="P96">
            <v>3278</v>
          </cell>
          <cell r="Q96">
            <v>3278</v>
          </cell>
          <cell r="R96">
            <v>3278</v>
          </cell>
          <cell r="S96">
            <v>3278</v>
          </cell>
          <cell r="T96">
            <v>3278</v>
          </cell>
          <cell r="U96">
            <v>3278</v>
          </cell>
          <cell r="V96">
            <v>3278</v>
          </cell>
          <cell r="W96">
            <v>3278</v>
          </cell>
          <cell r="X96">
            <v>3278</v>
          </cell>
          <cell r="Y96">
            <v>3278</v>
          </cell>
          <cell r="Z96">
            <v>3278</v>
          </cell>
          <cell r="AA96">
            <v>3278</v>
          </cell>
          <cell r="AB96">
            <v>3278</v>
          </cell>
          <cell r="AC96">
            <v>3278</v>
          </cell>
          <cell r="AD96">
            <v>3278</v>
          </cell>
          <cell r="AE96">
            <v>3278</v>
          </cell>
          <cell r="AF96">
            <v>3278</v>
          </cell>
          <cell r="AG96">
            <v>3278</v>
          </cell>
          <cell r="AH96">
            <v>3278</v>
          </cell>
          <cell r="AI96">
            <v>3278</v>
          </cell>
          <cell r="AJ96">
            <v>3278</v>
          </cell>
          <cell r="AK96">
            <v>3278</v>
          </cell>
          <cell r="AL96">
            <v>3278</v>
          </cell>
          <cell r="AM96">
            <v>3278</v>
          </cell>
          <cell r="AN96">
            <v>3278</v>
          </cell>
          <cell r="AO96">
            <v>3278</v>
          </cell>
          <cell r="AP96">
            <v>3278</v>
          </cell>
          <cell r="AQ96">
            <v>3278</v>
          </cell>
          <cell r="AR96">
            <v>3278</v>
          </cell>
          <cell r="AS96">
            <v>3278</v>
          </cell>
          <cell r="AT96">
            <v>3278</v>
          </cell>
          <cell r="AU96">
            <v>3278</v>
          </cell>
          <cell r="AV96">
            <v>3278</v>
          </cell>
          <cell r="AW96">
            <v>3278</v>
          </cell>
          <cell r="AX96">
            <v>3278</v>
          </cell>
          <cell r="AY96">
            <v>3278</v>
          </cell>
          <cell r="AZ96">
            <v>3278</v>
          </cell>
          <cell r="BA96">
            <v>3278</v>
          </cell>
          <cell r="BB96">
            <v>3278</v>
          </cell>
          <cell r="BC96">
            <v>3278</v>
          </cell>
          <cell r="BD96">
            <v>3278</v>
          </cell>
          <cell r="BE96">
            <v>3278</v>
          </cell>
          <cell r="BH96">
            <v>3278</v>
          </cell>
          <cell r="BI96">
            <v>3278.268</v>
          </cell>
        </row>
        <row r="97">
          <cell r="B97" t="str">
            <v>סה"כ תקורת אחזקת ביוב</v>
          </cell>
          <cell r="C97">
            <v>8.5023125402147209E-2</v>
          </cell>
          <cell r="D97">
            <v>8.5849703942314962E-2</v>
          </cell>
          <cell r="E97">
            <v>0.14597122938017196</v>
          </cell>
          <cell r="F97">
            <v>7.2595710722915152E-2</v>
          </cell>
          <cell r="G97">
            <v>8.1519615816676688E-2</v>
          </cell>
          <cell r="H97">
            <v>0.55295776738662517</v>
          </cell>
          <cell r="I97">
            <v>8.5849703942314962E-2</v>
          </cell>
          <cell r="J97">
            <v>7.7979307393463454E-2</v>
          </cell>
          <cell r="K97">
            <v>7.8558336520657593E-2</v>
          </cell>
          <cell r="L97">
            <v>8.5849703942314962E-2</v>
          </cell>
          <cell r="M97">
            <v>7.7979307393463454E-2</v>
          </cell>
          <cell r="N97">
            <v>7.7979307393463454E-2</v>
          </cell>
          <cell r="O97">
            <v>8.0638105407336944E-2</v>
          </cell>
          <cell r="P97">
            <v>0.14597122938017196</v>
          </cell>
          <cell r="Q97">
            <v>7.8387043790805799E-2</v>
          </cell>
          <cell r="R97">
            <v>8.0638105407336944E-2</v>
          </cell>
          <cell r="S97">
            <v>8.5023125402147209E-2</v>
          </cell>
          <cell r="T97">
            <v>7.8558336520657593E-2</v>
          </cell>
          <cell r="U97">
            <v>0.14035121601402764</v>
          </cell>
          <cell r="V97">
            <v>0.14597122938017196</v>
          </cell>
          <cell r="W97">
            <v>7.8558336520657593E-2</v>
          </cell>
          <cell r="X97">
            <v>7.8558336520657593E-2</v>
          </cell>
          <cell r="Y97">
            <v>0.12032249999474869</v>
          </cell>
          <cell r="Z97">
            <v>8.0226254684185802E-2</v>
          </cell>
          <cell r="AA97">
            <v>8.8272845653928983E-2</v>
          </cell>
          <cell r="AB97">
            <v>7.8387043790805799E-2</v>
          </cell>
          <cell r="AC97">
            <v>8.8272845653928983E-2</v>
          </cell>
          <cell r="AD97">
            <v>8.8272845653928983E-2</v>
          </cell>
          <cell r="AE97">
            <v>8.0226254684185802E-2</v>
          </cell>
          <cell r="AF97">
            <v>8.1519615816676688E-2</v>
          </cell>
          <cell r="AG97">
            <v>0.12032249999474869</v>
          </cell>
          <cell r="AH97">
            <v>7.8387043790805799E-2</v>
          </cell>
          <cell r="AI97">
            <v>8.5023125402147209E-2</v>
          </cell>
          <cell r="AJ97">
            <v>8.0226254684185802E-2</v>
          </cell>
          <cell r="AK97">
            <v>8.0226254684185802E-2</v>
          </cell>
          <cell r="AL97">
            <v>7.2406254263766026E-2</v>
          </cell>
          <cell r="AM97">
            <v>7.7979307393463454E-2</v>
          </cell>
          <cell r="AN97">
            <v>7.2406254263766026E-2</v>
          </cell>
          <cell r="AO97">
            <v>7.2406254263766026E-2</v>
          </cell>
          <cell r="AP97">
            <v>8.0638105407336944E-2</v>
          </cell>
          <cell r="AQ97">
            <v>8.5023125402147209E-2</v>
          </cell>
          <cell r="AR97">
            <v>8.5849703942314962E-2</v>
          </cell>
          <cell r="AS97">
            <v>8.0226254684185802E-2</v>
          </cell>
          <cell r="AT97">
            <v>8.0226254684185802E-2</v>
          </cell>
          <cell r="AU97">
            <v>8.8272845653928983E-2</v>
          </cell>
          <cell r="AV97">
            <v>0.12032249999474869</v>
          </cell>
          <cell r="AW97">
            <v>0.12032249999474869</v>
          </cell>
          <cell r="AX97">
            <v>8.1519615816676688E-2</v>
          </cell>
          <cell r="AY97">
            <v>7.8387043790805799E-2</v>
          </cell>
          <cell r="AZ97">
            <v>8.5849703942314962E-2</v>
          </cell>
          <cell r="BA97">
            <v>7.8558336520657593E-2</v>
          </cell>
          <cell r="BB97">
            <v>8.8272845653928983E-2</v>
          </cell>
          <cell r="BC97">
            <v>7.8387043790805799E-2</v>
          </cell>
          <cell r="BD97">
            <v>8.8272845653928983E-2</v>
          </cell>
          <cell r="BE97">
            <v>8.5023125402147209E-2</v>
          </cell>
          <cell r="BH97">
            <v>8.5023125402147209E-2</v>
          </cell>
          <cell r="BI97">
            <v>8.5030076652180098E-2</v>
          </cell>
        </row>
        <row r="99">
          <cell r="A99" t="str">
            <v>תוספת עלות לצרכן גדול</v>
          </cell>
          <cell r="B99" t="str">
            <v xml:space="preserve">כמות מים תאגיד </v>
          </cell>
          <cell r="C99">
            <v>10402.959000000001</v>
          </cell>
          <cell r="D99">
            <v>8990.4840000000004</v>
          </cell>
          <cell r="E99">
            <v>4622.0540000000001</v>
          </cell>
          <cell r="F99">
            <v>55801.764999999999</v>
          </cell>
          <cell r="G99">
            <v>16703.157999999999</v>
          </cell>
          <cell r="H99">
            <v>1778.4359999999999</v>
          </cell>
          <cell r="I99">
            <v>4577.4979999999996</v>
          </cell>
          <cell r="J99">
            <v>7141.3379999999997</v>
          </cell>
          <cell r="K99">
            <v>5178.0209999999997</v>
          </cell>
          <cell r="L99">
            <v>9465.3389999999999</v>
          </cell>
          <cell r="M99">
            <v>16042.34</v>
          </cell>
          <cell r="N99">
            <v>8244</v>
          </cell>
          <cell r="O99">
            <v>5267.893</v>
          </cell>
          <cell r="P99">
            <v>5041.085</v>
          </cell>
          <cell r="Q99">
            <v>20338.690999999999</v>
          </cell>
          <cell r="R99">
            <v>18255.450999999997</v>
          </cell>
          <cell r="S99">
            <v>18180.299000000003</v>
          </cell>
          <cell r="T99">
            <v>19298.804</v>
          </cell>
          <cell r="U99">
            <v>10977.175999999999</v>
          </cell>
          <cell r="V99">
            <v>8577.2049999999999</v>
          </cell>
          <cell r="W99">
            <v>8412.4480000000003</v>
          </cell>
          <cell r="X99">
            <v>6020.2939999999999</v>
          </cell>
          <cell r="Y99">
            <v>3545.5990000000002</v>
          </cell>
          <cell r="Z99">
            <v>3626.6419999999998</v>
          </cell>
          <cell r="AA99">
            <v>6380.3370000000004</v>
          </cell>
          <cell r="AB99">
            <v>7660.5219999999999</v>
          </cell>
          <cell r="AC99">
            <v>9918.521999999999</v>
          </cell>
          <cell r="AD99">
            <v>4453.9129999999996</v>
          </cell>
          <cell r="AE99">
            <v>23482.1</v>
          </cell>
          <cell r="AF99">
            <v>5287.741</v>
          </cell>
          <cell r="AG99">
            <v>4061.6559999999999</v>
          </cell>
          <cell r="AH99">
            <v>3228.4309999999996</v>
          </cell>
          <cell r="AI99">
            <v>3395.31</v>
          </cell>
          <cell r="AJ99">
            <v>3094.3240000000001</v>
          </cell>
          <cell r="AK99">
            <v>2916.2270000000003</v>
          </cell>
          <cell r="AL99">
            <v>45887.912000000004</v>
          </cell>
          <cell r="AM99">
            <v>5557.4649999999992</v>
          </cell>
          <cell r="AN99">
            <v>11903.299000000001</v>
          </cell>
          <cell r="AO99">
            <v>3688.085</v>
          </cell>
          <cell r="AP99">
            <v>9099.1779999999999</v>
          </cell>
          <cell r="AQ99">
            <v>4946.7919999999995</v>
          </cell>
          <cell r="AR99">
            <v>9679.152</v>
          </cell>
          <cell r="AS99">
            <v>3466.8629999999998</v>
          </cell>
          <cell r="AT99">
            <v>2739.9360000000001</v>
          </cell>
          <cell r="AU99">
            <v>4327.2700000000004</v>
          </cell>
          <cell r="AV99">
            <v>5471.9060000000009</v>
          </cell>
          <cell r="AW99">
            <v>7319.4059999999999</v>
          </cell>
          <cell r="AX99">
            <v>12657.895</v>
          </cell>
          <cell r="AY99">
            <v>7259.326</v>
          </cell>
          <cell r="AZ99">
            <v>3372.8529999999996</v>
          </cell>
          <cell r="BA99">
            <v>5357.384</v>
          </cell>
          <cell r="BB99">
            <v>4966.9589999999998</v>
          </cell>
          <cell r="BC99">
            <v>5951.3919999999998</v>
          </cell>
          <cell r="BD99">
            <v>1131.4870000000001</v>
          </cell>
          <cell r="BE99">
            <v>1075.876</v>
          </cell>
          <cell r="BH99">
            <v>4946.7919999999995</v>
          </cell>
          <cell r="BI99">
            <v>2529.587</v>
          </cell>
        </row>
        <row r="100">
          <cell r="B100" t="str">
            <v>צרכנים גדולים</v>
          </cell>
          <cell r="C100">
            <v>107182</v>
          </cell>
          <cell r="D100">
            <v>0</v>
          </cell>
          <cell r="E100">
            <v>8571</v>
          </cell>
          <cell r="F100">
            <v>796546</v>
          </cell>
          <cell r="G100">
            <v>304054</v>
          </cell>
          <cell r="H100">
            <v>49454</v>
          </cell>
          <cell r="I100">
            <v>0</v>
          </cell>
          <cell r="J100">
            <v>298055</v>
          </cell>
          <cell r="K100">
            <v>66171</v>
          </cell>
          <cell r="L100">
            <v>22796</v>
          </cell>
          <cell r="M100">
            <v>254519</v>
          </cell>
          <cell r="N100">
            <v>18505</v>
          </cell>
          <cell r="O100">
            <v>66321</v>
          </cell>
          <cell r="P100">
            <v>0</v>
          </cell>
          <cell r="Q100">
            <v>1760537</v>
          </cell>
          <cell r="R100">
            <v>294440</v>
          </cell>
          <cell r="S100">
            <v>260856</v>
          </cell>
          <cell r="T100">
            <v>264864</v>
          </cell>
          <cell r="U100">
            <v>29796</v>
          </cell>
          <cell r="V100">
            <v>108575</v>
          </cell>
          <cell r="W100">
            <v>0</v>
          </cell>
          <cell r="X100">
            <v>66230</v>
          </cell>
          <cell r="Y100">
            <v>0</v>
          </cell>
          <cell r="Z100">
            <v>3622.538</v>
          </cell>
          <cell r="AA100">
            <v>205824</v>
          </cell>
          <cell r="AB100">
            <v>0</v>
          </cell>
          <cell r="AC100">
            <v>118000</v>
          </cell>
          <cell r="AD100">
            <v>310007</v>
          </cell>
          <cell r="AE100">
            <v>2363915</v>
          </cell>
          <cell r="AF100">
            <v>25343</v>
          </cell>
          <cell r="AG100">
            <v>73324</v>
          </cell>
          <cell r="AH100">
            <v>0</v>
          </cell>
          <cell r="AI100">
            <v>20284</v>
          </cell>
          <cell r="AJ100">
            <v>17517</v>
          </cell>
          <cell r="AK100">
            <v>0</v>
          </cell>
          <cell r="AL100">
            <v>958434</v>
          </cell>
          <cell r="AM100">
            <v>49782</v>
          </cell>
          <cell r="AN100">
            <v>0</v>
          </cell>
          <cell r="AO100">
            <v>45643</v>
          </cell>
          <cell r="AP100">
            <v>147140</v>
          </cell>
          <cell r="AQ100">
            <v>30539</v>
          </cell>
          <cell r="AR100">
            <v>0</v>
          </cell>
          <cell r="AS100">
            <v>0</v>
          </cell>
          <cell r="AT100">
            <v>0</v>
          </cell>
          <cell r="AU100">
            <v>993</v>
          </cell>
          <cell r="AV100">
            <v>0</v>
          </cell>
          <cell r="AW100">
            <v>56465</v>
          </cell>
          <cell r="AX100">
            <v>173286</v>
          </cell>
          <cell r="AY100">
            <v>13244</v>
          </cell>
          <cell r="AZ100">
            <v>18460</v>
          </cell>
          <cell r="BA100">
            <v>73767</v>
          </cell>
          <cell r="BB100">
            <v>6800</v>
          </cell>
          <cell r="BC100">
            <v>0</v>
          </cell>
          <cell r="BD100">
            <v>1.65</v>
          </cell>
          <cell r="BE100">
            <v>0</v>
          </cell>
          <cell r="BH100">
            <v>30539</v>
          </cell>
          <cell r="BI100">
            <v>30539</v>
          </cell>
        </row>
        <row r="101">
          <cell r="B101" t="str">
            <v xml:space="preserve">שיעור תוספת </v>
          </cell>
          <cell r="C101">
            <v>0.9</v>
          </cell>
          <cell r="D101">
            <v>0.9</v>
          </cell>
          <cell r="E101">
            <v>0.9</v>
          </cell>
          <cell r="F101">
            <v>0.9</v>
          </cell>
          <cell r="G101">
            <v>0.9</v>
          </cell>
          <cell r="H101">
            <v>0.9</v>
          </cell>
          <cell r="I101">
            <v>0.9</v>
          </cell>
          <cell r="J101">
            <v>0.9</v>
          </cell>
          <cell r="K101">
            <v>0.9</v>
          </cell>
          <cell r="L101">
            <v>0.9</v>
          </cell>
          <cell r="M101">
            <v>0.9</v>
          </cell>
          <cell r="N101">
            <v>0.9</v>
          </cell>
          <cell r="O101">
            <v>0.9</v>
          </cell>
          <cell r="P101">
            <v>0.9</v>
          </cell>
          <cell r="Q101">
            <v>0.9</v>
          </cell>
          <cell r="R101">
            <v>0.9</v>
          </cell>
          <cell r="S101">
            <v>0.9</v>
          </cell>
          <cell r="T101">
            <v>0.9</v>
          </cell>
          <cell r="U101">
            <v>0.9</v>
          </cell>
          <cell r="V101">
            <v>0.9</v>
          </cell>
          <cell r="W101">
            <v>0.9</v>
          </cell>
          <cell r="X101">
            <v>0.9</v>
          </cell>
          <cell r="Y101">
            <v>0.9</v>
          </cell>
          <cell r="Z101">
            <v>0.9</v>
          </cell>
          <cell r="AA101">
            <v>0.9</v>
          </cell>
          <cell r="AB101">
            <v>0.9</v>
          </cell>
          <cell r="AC101">
            <v>0.9</v>
          </cell>
          <cell r="AD101">
            <v>0.9</v>
          </cell>
          <cell r="AE101">
            <v>0.9</v>
          </cell>
          <cell r="AF101">
            <v>0.9</v>
          </cell>
          <cell r="AG101">
            <v>0.9</v>
          </cell>
          <cell r="AH101">
            <v>0.9</v>
          </cell>
          <cell r="AI101">
            <v>0.9</v>
          </cell>
          <cell r="AJ101">
            <v>0.9</v>
          </cell>
          <cell r="AK101">
            <v>0.9</v>
          </cell>
          <cell r="AL101">
            <v>0.9</v>
          </cell>
          <cell r="AM101">
            <v>0.9</v>
          </cell>
          <cell r="AN101">
            <v>0.9</v>
          </cell>
          <cell r="AO101">
            <v>0.9</v>
          </cell>
          <cell r="AP101">
            <v>0.9</v>
          </cell>
          <cell r="AQ101">
            <v>0.9</v>
          </cell>
          <cell r="AR101">
            <v>0.9</v>
          </cell>
          <cell r="AS101">
            <v>0.9</v>
          </cell>
          <cell r="AT101">
            <v>0.9</v>
          </cell>
          <cell r="AU101">
            <v>0.9</v>
          </cell>
          <cell r="AV101">
            <v>0.9</v>
          </cell>
          <cell r="AW101">
            <v>0.9</v>
          </cell>
          <cell r="AX101">
            <v>0.9</v>
          </cell>
          <cell r="AY101">
            <v>0.9</v>
          </cell>
          <cell r="AZ101">
            <v>0.9</v>
          </cell>
          <cell r="BA101">
            <v>0.9</v>
          </cell>
          <cell r="BB101">
            <v>0.9</v>
          </cell>
          <cell r="BC101">
            <v>0.9</v>
          </cell>
          <cell r="BD101">
            <v>0.9</v>
          </cell>
          <cell r="BE101">
            <v>0.9</v>
          </cell>
          <cell r="BH101">
            <v>0.9</v>
          </cell>
          <cell r="BI101">
            <v>0.9</v>
          </cell>
        </row>
        <row r="102">
          <cell r="B102" t="str">
            <v>סה"כ תוספת לצרכן גדול</v>
          </cell>
          <cell r="C102">
            <v>9.3692588718656215E-3</v>
          </cell>
          <cell r="D102">
            <v>0</v>
          </cell>
          <cell r="E102">
            <v>1.6720339058364363E-3</v>
          </cell>
          <cell r="F102">
            <v>1.3033152363233026E-2</v>
          </cell>
          <cell r="G102">
            <v>1.668680191308013E-2</v>
          </cell>
          <cell r="H102">
            <v>2.5742662445300185E-2</v>
          </cell>
          <cell r="I102">
            <v>0</v>
          </cell>
          <cell r="J102">
            <v>3.9198948808634691E-2</v>
          </cell>
          <cell r="K102">
            <v>1.1650165791249745E-2</v>
          </cell>
          <cell r="L102">
            <v>2.1727621468072746E-3</v>
          </cell>
          <cell r="M102">
            <v>1.4509101667671555E-2</v>
          </cell>
          <cell r="N102">
            <v>2.0247413681486644E-3</v>
          </cell>
          <cell r="O102">
            <v>1.1475165584557898E-2</v>
          </cell>
          <cell r="P102">
            <v>0</v>
          </cell>
          <cell r="Q102">
            <v>8.5287445674096588E-2</v>
          </cell>
          <cell r="R102">
            <v>1.4753957892459394E-2</v>
          </cell>
          <cell r="S102">
            <v>1.3101434012206739E-2</v>
          </cell>
          <cell r="T102">
            <v>1.2523817979882251E-2</v>
          </cell>
          <cell r="U102">
            <v>2.4495724091061059E-3</v>
          </cell>
          <cell r="V102">
            <v>1.1538761287244809E-2</v>
          </cell>
          <cell r="W102">
            <v>0</v>
          </cell>
          <cell r="X102">
            <v>1.0011145328636038E-2</v>
          </cell>
          <cell r="Y102">
            <v>0</v>
          </cell>
          <cell r="Z102">
            <v>8.9988039926239857E-4</v>
          </cell>
          <cell r="AA102">
            <v>3.0001005747335861E-2</v>
          </cell>
          <cell r="AB102">
            <v>0</v>
          </cell>
          <cell r="AC102">
            <v>1.0836157502630984E-2</v>
          </cell>
          <cell r="AD102">
            <v>6.7329302353866138E-2</v>
          </cell>
          <cell r="AE102">
            <v>0.10074367186384628</v>
          </cell>
          <cell r="AF102">
            <v>4.3342787831707145E-3</v>
          </cell>
          <cell r="AG102">
            <v>1.6546165163782756E-2</v>
          </cell>
          <cell r="AH102">
            <v>0</v>
          </cell>
          <cell r="AI102">
            <v>5.4090249971407633E-3</v>
          </cell>
          <cell r="AJ102">
            <v>5.1239157997235441E-3</v>
          </cell>
          <cell r="AK102">
            <v>0</v>
          </cell>
          <cell r="AL102">
            <v>1.9198767455077041E-2</v>
          </cell>
          <cell r="AM102">
            <v>8.1347819037515413E-3</v>
          </cell>
          <cell r="AN102">
            <v>0</v>
          </cell>
          <cell r="AO102">
            <v>1.1277791108272968E-2</v>
          </cell>
          <cell r="AP102">
            <v>1.4792832648833704E-2</v>
          </cell>
          <cell r="AQ102">
            <v>5.5906602040212338E-3</v>
          </cell>
          <cell r="AR102">
            <v>0</v>
          </cell>
          <cell r="AS102">
            <v>0</v>
          </cell>
          <cell r="AT102">
            <v>0</v>
          </cell>
          <cell r="AU102">
            <v>2.0657484483772076E-4</v>
          </cell>
          <cell r="AV102">
            <v>0</v>
          </cell>
          <cell r="AW102">
            <v>6.9969589454189438E-3</v>
          </cell>
          <cell r="AX102">
            <v>1.249197311665908E-2</v>
          </cell>
          <cell r="AY102">
            <v>1.6449717240296204E-3</v>
          </cell>
          <cell r="AZ102">
            <v>4.9529080224052467E-3</v>
          </cell>
          <cell r="BA102">
            <v>1.2565312739360176E-2</v>
          </cell>
          <cell r="BB102">
            <v>1.2338314154848667E-3</v>
          </cell>
          <cell r="BC102">
            <v>0</v>
          </cell>
          <cell r="BD102">
            <v>1.3124341380115966E-6</v>
          </cell>
          <cell r="BE102">
            <v>0</v>
          </cell>
          <cell r="BH102">
            <v>5.5906602040212338E-3</v>
          </cell>
          <cell r="BI102">
            <v>1.0998228125270106E-2</v>
          </cell>
        </row>
        <row r="104">
          <cell r="A104" t="str">
            <v>תוספת עלות לצרכן תעשייה גדול</v>
          </cell>
          <cell r="B104" t="str">
            <v xml:space="preserve">כמות מים תאגיד </v>
          </cell>
          <cell r="C104">
            <v>10402.959000000001</v>
          </cell>
          <cell r="D104">
            <v>8990.4840000000004</v>
          </cell>
          <cell r="E104">
            <v>4622.0540000000001</v>
          </cell>
          <cell r="F104">
            <v>55801.764999999999</v>
          </cell>
          <cell r="G104">
            <v>16703.157999999999</v>
          </cell>
          <cell r="H104">
            <v>1778.4359999999999</v>
          </cell>
          <cell r="I104">
            <v>4577.4979999999996</v>
          </cell>
          <cell r="J104">
            <v>7141.3379999999997</v>
          </cell>
          <cell r="K104">
            <v>5178.0209999999997</v>
          </cell>
          <cell r="L104">
            <v>9465.3389999999999</v>
          </cell>
          <cell r="M104">
            <v>16042.34</v>
          </cell>
          <cell r="N104">
            <v>8244</v>
          </cell>
          <cell r="O104">
            <v>5267.893</v>
          </cell>
          <cell r="P104">
            <v>5041.085</v>
          </cell>
          <cell r="Q104">
            <v>20338.690999999999</v>
          </cell>
          <cell r="R104">
            <v>18255.450999999997</v>
          </cell>
          <cell r="S104">
            <v>18180.299000000003</v>
          </cell>
          <cell r="T104">
            <v>19298.804</v>
          </cell>
          <cell r="U104">
            <v>10977.175999999999</v>
          </cell>
          <cell r="V104">
            <v>8577.2049999999999</v>
          </cell>
          <cell r="W104">
            <v>8412.4480000000003</v>
          </cell>
          <cell r="X104">
            <v>6020.2939999999999</v>
          </cell>
          <cell r="Y104">
            <v>3545.5990000000002</v>
          </cell>
          <cell r="Z104">
            <v>3626.6419999999998</v>
          </cell>
          <cell r="AA104">
            <v>6380.3370000000004</v>
          </cell>
          <cell r="AB104">
            <v>7660.5219999999999</v>
          </cell>
          <cell r="AC104">
            <v>9918.521999999999</v>
          </cell>
          <cell r="AD104">
            <v>4453.9129999999996</v>
          </cell>
          <cell r="AE104">
            <v>23482.1</v>
          </cell>
          <cell r="AF104">
            <v>5287.741</v>
          </cell>
          <cell r="AG104">
            <v>4061.6559999999999</v>
          </cell>
          <cell r="AH104">
            <v>3228.4309999999996</v>
          </cell>
          <cell r="AI104">
            <v>3395.31</v>
          </cell>
          <cell r="AJ104">
            <v>3094.3240000000001</v>
          </cell>
          <cell r="AK104">
            <v>2916.2270000000003</v>
          </cell>
          <cell r="AL104">
            <v>45887.912000000004</v>
          </cell>
          <cell r="AM104">
            <v>5557.4649999999992</v>
          </cell>
          <cell r="AN104">
            <v>11903.299000000001</v>
          </cell>
          <cell r="AO104">
            <v>3688.085</v>
          </cell>
          <cell r="AP104">
            <v>9099.1779999999999</v>
          </cell>
          <cell r="AQ104">
            <v>4946.7919999999995</v>
          </cell>
          <cell r="AR104">
            <v>9679.152</v>
          </cell>
          <cell r="AS104">
            <v>3466.8629999999998</v>
          </cell>
          <cell r="AT104">
            <v>2739.9360000000001</v>
          </cell>
          <cell r="AU104">
            <v>4327.2700000000004</v>
          </cell>
          <cell r="AV104">
            <v>5471.9060000000009</v>
          </cell>
          <cell r="AW104">
            <v>7319.4059999999999</v>
          </cell>
          <cell r="AX104">
            <v>12657.895</v>
          </cell>
          <cell r="AY104">
            <v>7259.326</v>
          </cell>
          <cell r="AZ104">
            <v>3372.8529999999996</v>
          </cell>
          <cell r="BA104">
            <v>5357.384</v>
          </cell>
          <cell r="BB104">
            <v>4966.9589999999998</v>
          </cell>
          <cell r="BC104">
            <v>5951.3919999999998</v>
          </cell>
          <cell r="BD104">
            <v>1131.4870000000001</v>
          </cell>
          <cell r="BE104">
            <v>1075.876</v>
          </cell>
          <cell r="BH104">
            <v>4946.7919999999995</v>
          </cell>
          <cell r="BI104">
            <v>2529.587</v>
          </cell>
        </row>
        <row r="105">
          <cell r="B105" t="str">
            <v>צרכני תעשייה</v>
          </cell>
          <cell r="C105">
            <v>650000</v>
          </cell>
          <cell r="D105">
            <v>0</v>
          </cell>
          <cell r="E105">
            <v>89248</v>
          </cell>
          <cell r="F105">
            <v>1349350.1909716164</v>
          </cell>
          <cell r="G105">
            <v>1970729.1</v>
          </cell>
          <cell r="H105">
            <v>0</v>
          </cell>
          <cell r="I105">
            <v>13000</v>
          </cell>
          <cell r="J105">
            <v>120674</v>
          </cell>
          <cell r="K105">
            <v>107819</v>
          </cell>
          <cell r="L105">
            <v>1500000</v>
          </cell>
          <cell r="M105">
            <v>762731</v>
          </cell>
          <cell r="N105">
            <v>93870</v>
          </cell>
          <cell r="O105">
            <v>74284.33</v>
          </cell>
          <cell r="P105">
            <v>439962</v>
          </cell>
          <cell r="Q105">
            <v>510172</v>
          </cell>
          <cell r="R105">
            <v>275820</v>
          </cell>
          <cell r="S105">
            <v>32756</v>
          </cell>
          <cell r="T105">
            <v>300000</v>
          </cell>
          <cell r="U105">
            <v>3510000</v>
          </cell>
          <cell r="V105">
            <v>6664.7999999999993</v>
          </cell>
          <cell r="W105">
            <v>120000</v>
          </cell>
          <cell r="X105">
            <v>0</v>
          </cell>
          <cell r="Y105">
            <v>362590</v>
          </cell>
          <cell r="Z105">
            <v>17053</v>
          </cell>
          <cell r="AA105">
            <v>0</v>
          </cell>
          <cell r="AB105">
            <v>4145497</v>
          </cell>
          <cell r="AC105">
            <v>95500</v>
          </cell>
          <cell r="AD105">
            <v>4119</v>
          </cell>
          <cell r="AE105">
            <v>1050073</v>
          </cell>
          <cell r="AF105">
            <v>292058</v>
          </cell>
          <cell r="AG105">
            <v>1113</v>
          </cell>
          <cell r="AH105">
            <v>40000</v>
          </cell>
          <cell r="AI105">
            <v>0</v>
          </cell>
          <cell r="AJ105">
            <v>0</v>
          </cell>
          <cell r="AK105">
            <v>75000</v>
          </cell>
          <cell r="AL105">
            <v>1882617</v>
          </cell>
          <cell r="AM105">
            <v>0</v>
          </cell>
          <cell r="AN105">
            <v>150000</v>
          </cell>
          <cell r="AO105">
            <v>0</v>
          </cell>
          <cell r="AP105">
            <v>138735</v>
          </cell>
          <cell r="AQ105">
            <v>0</v>
          </cell>
          <cell r="AR105">
            <v>15929</v>
          </cell>
          <cell r="AS105">
            <v>250000</v>
          </cell>
          <cell r="AT105">
            <v>0</v>
          </cell>
          <cell r="AU105">
            <v>4962</v>
          </cell>
          <cell r="AV105">
            <v>19799</v>
          </cell>
          <cell r="AW105">
            <v>14000</v>
          </cell>
          <cell r="AX105">
            <v>777243</v>
          </cell>
          <cell r="AY105">
            <v>539240</v>
          </cell>
          <cell r="AZ105">
            <v>0</v>
          </cell>
          <cell r="BA105">
            <v>0</v>
          </cell>
          <cell r="BB105">
            <v>0</v>
          </cell>
          <cell r="BC105">
            <v>0</v>
          </cell>
          <cell r="BD105">
            <v>0</v>
          </cell>
          <cell r="BE105">
            <v>0</v>
          </cell>
          <cell r="BH105">
            <v>0</v>
          </cell>
          <cell r="BI105">
            <v>0</v>
          </cell>
        </row>
        <row r="106">
          <cell r="B106" t="str">
            <v>שיעור תוספת</v>
          </cell>
          <cell r="C106">
            <v>0.9</v>
          </cell>
          <cell r="D106">
            <v>0.9</v>
          </cell>
          <cell r="E106">
            <v>0.9</v>
          </cell>
          <cell r="F106">
            <v>0.9</v>
          </cell>
          <cell r="G106">
            <v>0.9</v>
          </cell>
          <cell r="H106">
            <v>0.9</v>
          </cell>
          <cell r="I106">
            <v>0.9</v>
          </cell>
          <cell r="J106">
            <v>0.9</v>
          </cell>
          <cell r="K106">
            <v>0.9</v>
          </cell>
          <cell r="L106">
            <v>0.9</v>
          </cell>
          <cell r="M106">
            <v>0.9</v>
          </cell>
          <cell r="N106">
            <v>0.9</v>
          </cell>
          <cell r="O106">
            <v>0.9</v>
          </cell>
          <cell r="P106">
            <v>0.9</v>
          </cell>
          <cell r="Q106">
            <v>0.9</v>
          </cell>
          <cell r="R106">
            <v>0.9</v>
          </cell>
          <cell r="S106">
            <v>0.9</v>
          </cell>
          <cell r="T106">
            <v>0.9</v>
          </cell>
          <cell r="U106">
            <v>0.9</v>
          </cell>
          <cell r="V106">
            <v>0.9</v>
          </cell>
          <cell r="W106">
            <v>0.9</v>
          </cell>
          <cell r="X106">
            <v>0.9</v>
          </cell>
          <cell r="Y106">
            <v>0.9</v>
          </cell>
          <cell r="Z106">
            <v>0.9</v>
          </cell>
          <cell r="AA106">
            <v>0.9</v>
          </cell>
          <cell r="AB106">
            <v>0.9</v>
          </cell>
          <cell r="AC106">
            <v>0.9</v>
          </cell>
          <cell r="AD106">
            <v>0.9</v>
          </cell>
          <cell r="AE106">
            <v>0.9</v>
          </cell>
          <cell r="AF106">
            <v>0.9</v>
          </cell>
          <cell r="AG106">
            <v>0.9</v>
          </cell>
          <cell r="AH106">
            <v>0.9</v>
          </cell>
          <cell r="AI106">
            <v>0.9</v>
          </cell>
          <cell r="AJ106">
            <v>0.9</v>
          </cell>
          <cell r="AK106">
            <v>0.9</v>
          </cell>
          <cell r="AL106">
            <v>0.9</v>
          </cell>
          <cell r="AM106">
            <v>0.9</v>
          </cell>
          <cell r="AN106">
            <v>0.9</v>
          </cell>
          <cell r="AO106">
            <v>0.9</v>
          </cell>
          <cell r="AP106">
            <v>0.9</v>
          </cell>
          <cell r="AQ106">
            <v>0.9</v>
          </cell>
          <cell r="AR106">
            <v>0.9</v>
          </cell>
          <cell r="AS106">
            <v>0.9</v>
          </cell>
          <cell r="AT106">
            <v>0.9</v>
          </cell>
          <cell r="AU106">
            <v>0.9</v>
          </cell>
          <cell r="AV106">
            <v>0.9</v>
          </cell>
          <cell r="AW106">
            <v>0.9</v>
          </cell>
          <cell r="AX106">
            <v>0.9</v>
          </cell>
          <cell r="AY106">
            <v>0.9</v>
          </cell>
          <cell r="AZ106">
            <v>0.9</v>
          </cell>
          <cell r="BA106">
            <v>0.9</v>
          </cell>
          <cell r="BB106">
            <v>0.9</v>
          </cell>
          <cell r="BC106">
            <v>0.9</v>
          </cell>
          <cell r="BD106">
            <v>0.9</v>
          </cell>
          <cell r="BE106">
            <v>0.9</v>
          </cell>
          <cell r="BH106">
            <v>0.9</v>
          </cell>
          <cell r="BI106">
            <v>0.9</v>
          </cell>
        </row>
        <row r="107">
          <cell r="B107" t="str">
            <v>סה"כ תוספת לצרכן  תעשייה גדול</v>
          </cell>
          <cell r="C107">
            <v>5.9981796293822207E-2</v>
          </cell>
          <cell r="D107">
            <v>0</v>
          </cell>
          <cell r="E107">
            <v>1.7720414242303771E-2</v>
          </cell>
          <cell r="F107">
            <v>2.2302319853647719E-2</v>
          </cell>
          <cell r="G107">
            <v>0.12039129474434458</v>
          </cell>
          <cell r="H107">
            <v>0</v>
          </cell>
          <cell r="I107">
            <v>2.5632610639768059E-3</v>
          </cell>
          <cell r="J107">
            <v>1.546956242315542E-2</v>
          </cell>
          <cell r="K107">
            <v>1.9138704927338206E-2</v>
          </cell>
          <cell r="L107">
            <v>0.16948431196713662</v>
          </cell>
          <cell r="M107">
            <v>4.4926404857611214E-2</v>
          </cell>
          <cell r="N107">
            <v>1.0365846925141071E-2</v>
          </cell>
          <cell r="O107">
            <v>1.2872725160480757E-2</v>
          </cell>
          <cell r="P107">
            <v>8.6058512237121243E-2</v>
          </cell>
          <cell r="Q107">
            <v>2.3156283129365334E-2</v>
          </cell>
          <cell r="R107">
            <v>1.3806623728818463E-2</v>
          </cell>
          <cell r="S107">
            <v>1.6244843723472646E-3</v>
          </cell>
          <cell r="T107">
            <v>1.4211420887335855E-2</v>
          </cell>
          <cell r="U107">
            <v>0.42305149898703343</v>
          </cell>
          <cell r="V107">
            <v>6.9987653753727217E-4</v>
          </cell>
          <cell r="W107">
            <v>1.3023898371144444E-2</v>
          </cell>
          <cell r="X107">
            <v>0</v>
          </cell>
          <cell r="Y107">
            <v>0.10252280153779017</v>
          </cell>
          <cell r="Z107">
            <v>4.2519245265873768E-3</v>
          </cell>
          <cell r="AA107">
            <v>0</v>
          </cell>
          <cell r="AB107">
            <v>1.0614283824439372</v>
          </cell>
          <cell r="AC107">
            <v>8.749853151097494E-3</v>
          </cell>
          <cell r="AD107">
            <v>8.3309474550956743E-4</v>
          </cell>
          <cell r="AE107">
            <v>4.213019625912541E-2</v>
          </cell>
          <cell r="AF107">
            <v>5.2615868540898211E-2</v>
          </cell>
          <cell r="AG107">
            <v>2.4669114450949047E-4</v>
          </cell>
          <cell r="AH107">
            <v>1.1290819842110431E-2</v>
          </cell>
          <cell r="AI107">
            <v>0</v>
          </cell>
          <cell r="AJ107">
            <v>0</v>
          </cell>
          <cell r="AK107">
            <v>2.375734145846143E-2</v>
          </cell>
          <cell r="AL107">
            <v>3.8503441460851467E-2</v>
          </cell>
          <cell r="AM107">
            <v>0</v>
          </cell>
          <cell r="AN107">
            <v>1.148613678593559E-2</v>
          </cell>
          <cell r="AO107">
            <v>0</v>
          </cell>
          <cell r="AP107">
            <v>1.3934746306627924E-2</v>
          </cell>
          <cell r="AQ107">
            <v>0</v>
          </cell>
          <cell r="AR107">
            <v>1.4835733377983724E-3</v>
          </cell>
          <cell r="AS107">
            <v>6.9943917412709222E-2</v>
          </cell>
          <cell r="AT107">
            <v>0</v>
          </cell>
          <cell r="AU107">
            <v>1.0331980043995013E-3</v>
          </cell>
          <cell r="AV107">
            <v>3.2682960917678242E-3</v>
          </cell>
          <cell r="AW107">
            <v>1.7247501370902588E-3</v>
          </cell>
          <cell r="AX107">
            <v>5.8878814058353032E-2</v>
          </cell>
          <cell r="AY107">
            <v>7.2218718629493736E-2</v>
          </cell>
          <cell r="AZ107">
            <v>0</v>
          </cell>
          <cell r="BA107">
            <v>0</v>
          </cell>
          <cell r="BB107">
            <v>0</v>
          </cell>
          <cell r="BC107">
            <v>0</v>
          </cell>
          <cell r="BD107">
            <v>0</v>
          </cell>
          <cell r="BE107">
            <v>0</v>
          </cell>
          <cell r="BH107">
            <v>0</v>
          </cell>
          <cell r="BI107">
            <v>0</v>
          </cell>
        </row>
        <row r="108">
          <cell r="A108" t="str">
            <v>תוספת תיאגוד רב איזורי</v>
          </cell>
          <cell r="B108" t="str">
            <v>מספר ישובים חדשים בתאגיד</v>
          </cell>
          <cell r="E108">
            <v>2</v>
          </cell>
        </row>
        <row r="109">
          <cell r="B109" t="str">
            <v>מספר ישובים בתאגיד</v>
          </cell>
          <cell r="C109">
            <v>1</v>
          </cell>
          <cell r="D109">
            <v>5</v>
          </cell>
          <cell r="E109">
            <v>7</v>
          </cell>
          <cell r="F109">
            <v>3</v>
          </cell>
          <cell r="G109">
            <v>1</v>
          </cell>
          <cell r="H109">
            <v>2</v>
          </cell>
          <cell r="I109">
            <v>7</v>
          </cell>
          <cell r="J109">
            <v>1</v>
          </cell>
          <cell r="K109">
            <v>1</v>
          </cell>
          <cell r="L109">
            <v>3</v>
          </cell>
          <cell r="M109">
            <v>1</v>
          </cell>
          <cell r="N109">
            <v>7</v>
          </cell>
          <cell r="O109">
            <v>3</v>
          </cell>
          <cell r="P109">
            <v>4</v>
          </cell>
          <cell r="Q109">
            <v>2</v>
          </cell>
          <cell r="R109">
            <v>4</v>
          </cell>
          <cell r="S109">
            <v>3</v>
          </cell>
          <cell r="T109">
            <v>1</v>
          </cell>
          <cell r="U109">
            <v>1</v>
          </cell>
          <cell r="V109">
            <v>13</v>
          </cell>
          <cell r="W109">
            <v>4</v>
          </cell>
          <cell r="X109">
            <v>1</v>
          </cell>
          <cell r="Y109">
            <v>4</v>
          </cell>
          <cell r="Z109">
            <v>2</v>
          </cell>
          <cell r="AA109">
            <v>1</v>
          </cell>
          <cell r="AB109">
            <v>1</v>
          </cell>
          <cell r="AC109">
            <v>1</v>
          </cell>
          <cell r="AD109">
            <v>1</v>
          </cell>
          <cell r="AE109">
            <v>1</v>
          </cell>
          <cell r="AF109">
            <v>2</v>
          </cell>
          <cell r="AG109">
            <v>1</v>
          </cell>
          <cell r="AH109">
            <v>1</v>
          </cell>
          <cell r="AI109">
            <v>1</v>
          </cell>
          <cell r="AJ109">
            <v>2</v>
          </cell>
          <cell r="AK109">
            <v>1</v>
          </cell>
          <cell r="AL109">
            <v>1</v>
          </cell>
          <cell r="AM109">
            <v>5</v>
          </cell>
          <cell r="AN109">
            <v>1</v>
          </cell>
          <cell r="AO109">
            <v>1</v>
          </cell>
          <cell r="AP109">
            <v>1</v>
          </cell>
          <cell r="AQ109">
            <v>2</v>
          </cell>
          <cell r="AR109">
            <v>11</v>
          </cell>
          <cell r="AS109">
            <v>1</v>
          </cell>
          <cell r="AT109">
            <v>1</v>
          </cell>
          <cell r="AU109">
            <v>1</v>
          </cell>
          <cell r="AV109">
            <v>7</v>
          </cell>
          <cell r="AW109">
            <v>7</v>
          </cell>
          <cell r="AX109">
            <v>2</v>
          </cell>
          <cell r="AY109">
            <v>4</v>
          </cell>
          <cell r="AZ109">
            <v>3</v>
          </cell>
          <cell r="BA109">
            <v>1</v>
          </cell>
          <cell r="BB109">
            <v>3</v>
          </cell>
          <cell r="BC109">
            <v>6</v>
          </cell>
          <cell r="BD109">
            <v>2</v>
          </cell>
          <cell r="BE109">
            <v>1</v>
          </cell>
          <cell r="BH109">
            <v>2</v>
          </cell>
          <cell r="BI109">
            <v>1</v>
          </cell>
        </row>
        <row r="110">
          <cell r="B110" t="str">
            <v>תוספת לכל יישוב נוסף</v>
          </cell>
          <cell r="C110">
            <v>1.4999999999999999E-2</v>
          </cell>
          <cell r="D110">
            <v>1.4999999999999999E-2</v>
          </cell>
          <cell r="E110">
            <v>1.4999999999999999E-2</v>
          </cell>
          <cell r="F110">
            <v>1.4999999999999999E-2</v>
          </cell>
          <cell r="G110">
            <v>1.4999999999999999E-2</v>
          </cell>
          <cell r="H110">
            <v>1.4999999999999999E-2</v>
          </cell>
          <cell r="I110">
            <v>1.4999999999999999E-2</v>
          </cell>
          <cell r="J110">
            <v>1.4999999999999999E-2</v>
          </cell>
          <cell r="K110">
            <v>1.4999999999999999E-2</v>
          </cell>
          <cell r="L110">
            <v>1.4999999999999999E-2</v>
          </cell>
          <cell r="M110">
            <v>1.4999999999999999E-2</v>
          </cell>
          <cell r="N110">
            <v>1.4999999999999999E-2</v>
          </cell>
          <cell r="O110">
            <v>1.4999999999999999E-2</v>
          </cell>
          <cell r="P110">
            <v>1.4999999999999999E-2</v>
          </cell>
          <cell r="Q110">
            <v>1.4999999999999999E-2</v>
          </cell>
          <cell r="R110">
            <v>1.4999999999999999E-2</v>
          </cell>
          <cell r="S110">
            <v>1.4999999999999999E-2</v>
          </cell>
          <cell r="T110">
            <v>1.4999999999999999E-2</v>
          </cell>
          <cell r="U110">
            <v>1.4999999999999999E-2</v>
          </cell>
          <cell r="V110">
            <v>1.4999999999999999E-2</v>
          </cell>
          <cell r="W110">
            <v>1.4999999999999999E-2</v>
          </cell>
          <cell r="X110">
            <v>1.4999999999999999E-2</v>
          </cell>
          <cell r="Y110">
            <v>1.4999999999999999E-2</v>
          </cell>
          <cell r="Z110">
            <v>1.4999999999999999E-2</v>
          </cell>
          <cell r="AA110">
            <v>1.4999999999999999E-2</v>
          </cell>
          <cell r="AB110">
            <v>1.4999999999999999E-2</v>
          </cell>
          <cell r="AC110">
            <v>1.4999999999999999E-2</v>
          </cell>
          <cell r="AD110">
            <v>1.4999999999999999E-2</v>
          </cell>
          <cell r="AE110">
            <v>1.4999999999999999E-2</v>
          </cell>
          <cell r="AF110">
            <v>1.4999999999999999E-2</v>
          </cell>
          <cell r="AG110">
            <v>1.4999999999999999E-2</v>
          </cell>
          <cell r="AH110">
            <v>1.4999999999999999E-2</v>
          </cell>
          <cell r="AI110">
            <v>1.4999999999999999E-2</v>
          </cell>
          <cell r="AJ110">
            <v>1.4999999999999999E-2</v>
          </cell>
          <cell r="AK110">
            <v>1.4999999999999999E-2</v>
          </cell>
          <cell r="AL110">
            <v>1.4999999999999999E-2</v>
          </cell>
          <cell r="AM110">
            <v>1.4999999999999999E-2</v>
          </cell>
          <cell r="AN110">
            <v>1.4999999999999999E-2</v>
          </cell>
          <cell r="AO110">
            <v>1.4999999999999999E-2</v>
          </cell>
          <cell r="AP110">
            <v>1.4999999999999999E-2</v>
          </cell>
          <cell r="AQ110">
            <v>1.4999999999999999E-2</v>
          </cell>
          <cell r="AR110">
            <v>1.4999999999999999E-2</v>
          </cell>
          <cell r="AS110">
            <v>1.4999999999999999E-2</v>
          </cell>
          <cell r="AT110">
            <v>1.4999999999999999E-2</v>
          </cell>
          <cell r="AU110">
            <v>1.4999999999999999E-2</v>
          </cell>
          <cell r="AV110">
            <v>1.4999999999999999E-2</v>
          </cell>
          <cell r="AW110">
            <v>1.4999999999999999E-2</v>
          </cell>
          <cell r="AX110">
            <v>1.4999999999999999E-2</v>
          </cell>
          <cell r="AY110">
            <v>1.4999999999999999E-2</v>
          </cell>
          <cell r="AZ110">
            <v>1.4999999999999999E-2</v>
          </cell>
          <cell r="BA110">
            <v>1.4999999999999999E-2</v>
          </cell>
          <cell r="BB110">
            <v>1.4999999999999999E-2</v>
          </cell>
          <cell r="BC110">
            <v>1.4999999999999999E-2</v>
          </cell>
          <cell r="BD110">
            <v>1.4999999999999999E-2</v>
          </cell>
          <cell r="BE110">
            <v>1.4999999999999999E-2</v>
          </cell>
          <cell r="BH110">
            <v>1.4999999999999999E-2</v>
          </cell>
          <cell r="BI110">
            <v>1.4999999999999999E-2</v>
          </cell>
        </row>
        <row r="111">
          <cell r="B111" t="str">
            <v>סה"כ תוספת תאגוד איזורי</v>
          </cell>
          <cell r="C111">
            <v>0</v>
          </cell>
          <cell r="D111">
            <v>0.06</v>
          </cell>
          <cell r="E111">
            <v>0.12</v>
          </cell>
          <cell r="F111">
            <v>0.03</v>
          </cell>
          <cell r="G111">
            <v>0</v>
          </cell>
          <cell r="H111">
            <v>1.4999999999999999E-2</v>
          </cell>
          <cell r="I111">
            <v>0.09</v>
          </cell>
          <cell r="J111">
            <v>0</v>
          </cell>
          <cell r="K111">
            <v>0</v>
          </cell>
          <cell r="L111">
            <v>0.03</v>
          </cell>
          <cell r="M111">
            <v>0</v>
          </cell>
          <cell r="N111">
            <v>0.09</v>
          </cell>
          <cell r="O111">
            <v>0.03</v>
          </cell>
          <cell r="P111">
            <v>4.4999999999999998E-2</v>
          </cell>
          <cell r="Q111">
            <v>1.4999999999999999E-2</v>
          </cell>
          <cell r="R111">
            <v>4.4999999999999998E-2</v>
          </cell>
          <cell r="S111">
            <v>0.03</v>
          </cell>
          <cell r="T111">
            <v>0</v>
          </cell>
          <cell r="U111">
            <v>0</v>
          </cell>
          <cell r="V111">
            <v>0.18</v>
          </cell>
          <cell r="W111">
            <v>4.4999999999999998E-2</v>
          </cell>
          <cell r="X111">
            <v>0</v>
          </cell>
          <cell r="Y111">
            <v>4.4999999999999998E-2</v>
          </cell>
          <cell r="Z111">
            <v>1.4999999999999999E-2</v>
          </cell>
          <cell r="AA111">
            <v>0</v>
          </cell>
          <cell r="AB111">
            <v>0</v>
          </cell>
          <cell r="AC111">
            <v>0</v>
          </cell>
          <cell r="AD111">
            <v>0</v>
          </cell>
          <cell r="AE111">
            <v>0</v>
          </cell>
          <cell r="AF111">
            <v>1.4999999999999999E-2</v>
          </cell>
          <cell r="AG111">
            <v>0</v>
          </cell>
          <cell r="AH111">
            <v>0</v>
          </cell>
          <cell r="AI111">
            <v>0</v>
          </cell>
          <cell r="AJ111">
            <v>1.4999999999999999E-2</v>
          </cell>
          <cell r="AK111">
            <v>0</v>
          </cell>
          <cell r="AL111">
            <v>0</v>
          </cell>
          <cell r="AM111">
            <v>0.06</v>
          </cell>
          <cell r="AN111">
            <v>0</v>
          </cell>
          <cell r="AO111">
            <v>0</v>
          </cell>
          <cell r="AP111">
            <v>0</v>
          </cell>
          <cell r="AQ111">
            <v>1.4999999999999999E-2</v>
          </cell>
          <cell r="AR111">
            <v>0.15</v>
          </cell>
          <cell r="AS111">
            <v>0</v>
          </cell>
          <cell r="AT111">
            <v>0</v>
          </cell>
          <cell r="AU111">
            <v>0</v>
          </cell>
          <cell r="AV111">
            <v>0.09</v>
          </cell>
          <cell r="AW111">
            <v>0.09</v>
          </cell>
          <cell r="AX111">
            <v>1.4999999999999999E-2</v>
          </cell>
          <cell r="AY111">
            <v>4.4999999999999998E-2</v>
          </cell>
          <cell r="AZ111">
            <v>0.03</v>
          </cell>
          <cell r="BA111">
            <v>0</v>
          </cell>
          <cell r="BB111">
            <v>0.03</v>
          </cell>
          <cell r="BC111">
            <v>7.4999999999999997E-2</v>
          </cell>
          <cell r="BD111">
            <v>1.4999999999999999E-2</v>
          </cell>
          <cell r="BE111">
            <v>0</v>
          </cell>
          <cell r="BH111">
            <v>1.4999999999999999E-2</v>
          </cell>
          <cell r="BI111">
            <v>0</v>
          </cell>
        </row>
        <row r="112">
          <cell r="V112">
            <v>0.49256007292866599</v>
          </cell>
        </row>
        <row r="113">
          <cell r="V113">
            <v>1251.4697936987807</v>
          </cell>
        </row>
        <row r="114">
          <cell r="A114" t="str">
            <v>החזר צרכנים שפכי תעשייה</v>
          </cell>
          <cell r="C114">
            <v>-1.7749999999999998E-2</v>
          </cell>
          <cell r="D114">
            <v>-1.7749999999999998E-2</v>
          </cell>
          <cell r="E114">
            <v>-1.7749999999999998E-2</v>
          </cell>
          <cell r="F114">
            <v>-1.7749999999999998E-2</v>
          </cell>
          <cell r="G114">
            <v>-1.7749999999999998E-2</v>
          </cell>
          <cell r="H114">
            <v>-1.7749999999999998E-2</v>
          </cell>
          <cell r="I114">
            <v>-1.7749999999999998E-2</v>
          </cell>
          <cell r="J114">
            <v>-1.7749999999999998E-2</v>
          </cell>
          <cell r="K114">
            <v>-1.7749999999999998E-2</v>
          </cell>
          <cell r="L114">
            <v>-1.7749999999999998E-2</v>
          </cell>
          <cell r="M114">
            <v>-1.7749999999999998E-2</v>
          </cell>
          <cell r="N114">
            <v>-1.7749999999999998E-2</v>
          </cell>
          <cell r="O114">
            <v>-1.7749999999999998E-2</v>
          </cell>
          <cell r="P114">
            <v>-1.7749999999999998E-2</v>
          </cell>
          <cell r="Q114">
            <v>-1.7749999999999998E-2</v>
          </cell>
          <cell r="R114">
            <v>-1.7749999999999998E-2</v>
          </cell>
          <cell r="S114">
            <v>-1.7749999999999998E-2</v>
          </cell>
          <cell r="T114">
            <v>-1.7749999999999998E-2</v>
          </cell>
          <cell r="U114">
            <v>-1.7749999999999998E-2</v>
          </cell>
          <cell r="V114">
            <v>-1.7749999999999998E-2</v>
          </cell>
          <cell r="W114">
            <v>-1.7749999999999998E-2</v>
          </cell>
          <cell r="X114">
            <v>-1.7749999999999998E-2</v>
          </cell>
          <cell r="Y114">
            <v>-1.7749999999999998E-2</v>
          </cell>
          <cell r="Z114">
            <v>-1.7749999999999998E-2</v>
          </cell>
          <cell r="AA114">
            <v>-1.7749999999999998E-2</v>
          </cell>
          <cell r="AB114">
            <v>-1.7749999999999998E-2</v>
          </cell>
          <cell r="AC114">
            <v>-1.7749999999999998E-2</v>
          </cell>
          <cell r="AD114">
            <v>-1.7749999999999998E-2</v>
          </cell>
          <cell r="AE114">
            <v>-1.7749999999999998E-2</v>
          </cell>
          <cell r="AF114">
            <v>-1.7749999999999998E-2</v>
          </cell>
          <cell r="AG114">
            <v>-1.7749999999999998E-2</v>
          </cell>
          <cell r="AH114">
            <v>-1.7749999999999998E-2</v>
          </cell>
          <cell r="AI114">
            <v>-1.7749999999999998E-2</v>
          </cell>
          <cell r="AJ114">
            <v>-1.7749999999999998E-2</v>
          </cell>
          <cell r="AK114">
            <v>-1.7749999999999998E-2</v>
          </cell>
          <cell r="AL114">
            <v>-1.7749999999999998E-2</v>
          </cell>
          <cell r="AM114">
            <v>-1.7749999999999998E-2</v>
          </cell>
          <cell r="AN114">
            <v>-1.7749999999999998E-2</v>
          </cell>
          <cell r="AO114">
            <v>-1.7749999999999998E-2</v>
          </cell>
          <cell r="AP114">
            <v>-1.7749999999999998E-2</v>
          </cell>
          <cell r="AQ114">
            <v>-1.7749999999999998E-2</v>
          </cell>
          <cell r="AR114">
            <v>-1.7749999999999998E-2</v>
          </cell>
          <cell r="AS114">
            <v>-1.7749999999999998E-2</v>
          </cell>
          <cell r="AT114">
            <v>-1.7749999999999998E-2</v>
          </cell>
          <cell r="AU114">
            <v>-1.7749999999999998E-2</v>
          </cell>
          <cell r="AV114">
            <v>-1.7749999999999998E-2</v>
          </cell>
          <cell r="AW114">
            <v>-1.7749999999999998E-2</v>
          </cell>
          <cell r="AX114">
            <v>-1.7749999999999998E-2</v>
          </cell>
          <cell r="AY114">
            <v>-1.7749999999999998E-2</v>
          </cell>
          <cell r="AZ114">
            <v>-1.7749999999999998E-2</v>
          </cell>
          <cell r="BA114">
            <v>-1.7749999999999998E-2</v>
          </cell>
          <cell r="BB114">
            <v>-1.7749999999999998E-2</v>
          </cell>
          <cell r="BC114">
            <v>-1.7749999999999998E-2</v>
          </cell>
          <cell r="BD114">
            <v>-1.7749999999999998E-2</v>
          </cell>
          <cell r="BE114">
            <v>-1.7749999999999998E-2</v>
          </cell>
          <cell r="BH114">
            <v>-1.7749999999999998E-2</v>
          </cell>
          <cell r="BI114">
            <v>-1.7749999999999998E-2</v>
          </cell>
        </row>
        <row r="117">
          <cell r="A117" t="str">
            <v>תוספת מפעילי מט"ש</v>
          </cell>
          <cell r="D117">
            <v>0.01</v>
          </cell>
          <cell r="E117">
            <v>0.01</v>
          </cell>
          <cell r="F117">
            <v>0.01</v>
          </cell>
          <cell r="G117">
            <v>0.01</v>
          </cell>
          <cell r="H117">
            <v>0.01</v>
          </cell>
          <cell r="I117">
            <v>0.01</v>
          </cell>
          <cell r="L117">
            <v>0.01</v>
          </cell>
          <cell r="M117">
            <v>0.01</v>
          </cell>
          <cell r="N117">
            <v>0.01</v>
          </cell>
          <cell r="Q117">
            <v>0.01</v>
          </cell>
          <cell r="U117">
            <v>0.01</v>
          </cell>
          <cell r="V117">
            <v>0.01</v>
          </cell>
          <cell r="Y117">
            <v>0.01</v>
          </cell>
          <cell r="AA117">
            <v>0.01</v>
          </cell>
          <cell r="AB117">
            <v>0.01</v>
          </cell>
          <cell r="AC117">
            <v>0.01</v>
          </cell>
          <cell r="AD117">
            <v>0.01</v>
          </cell>
          <cell r="AF117">
            <v>0.01</v>
          </cell>
          <cell r="AH117">
            <v>0.01</v>
          </cell>
          <cell r="AR117">
            <v>0.01</v>
          </cell>
          <cell r="AS117">
            <v>0.01</v>
          </cell>
          <cell r="AV117">
            <v>0.01</v>
          </cell>
          <cell r="AW117">
            <v>0.01</v>
          </cell>
          <cell r="AX117">
            <v>0.01</v>
          </cell>
          <cell r="AY117">
            <v>0.01</v>
          </cell>
          <cell r="AZ117">
            <v>0.01</v>
          </cell>
          <cell r="BA117">
            <v>0.01</v>
          </cell>
          <cell r="BC117">
            <v>0.01</v>
          </cell>
        </row>
        <row r="119">
          <cell r="A119" t="str">
            <v>שירותי תשתית מים</v>
          </cell>
          <cell r="B119" t="str">
            <v>עלות שירותי תשתית</v>
          </cell>
          <cell r="C119">
            <v>144.80531000366707</v>
          </cell>
          <cell r="D119">
            <v>0</v>
          </cell>
          <cell r="F119">
            <v>-66.000000000000455</v>
          </cell>
          <cell r="AL119">
            <v>458.65214580447457</v>
          </cell>
          <cell r="AN119">
            <v>165.20577628333567</v>
          </cell>
          <cell r="AO119">
            <v>51.336767908522425</v>
          </cell>
        </row>
        <row r="120">
          <cell r="B120" t="str">
            <v xml:space="preserve">כמות מים תאגיד </v>
          </cell>
          <cell r="C120">
            <v>10402.959000000001</v>
          </cell>
          <cell r="D120">
            <v>8990.4840000000004</v>
          </cell>
          <cell r="E120">
            <v>4622.0540000000001</v>
          </cell>
          <cell r="F120">
            <v>55801.764999999999</v>
          </cell>
          <cell r="G120">
            <v>16703.157999999999</v>
          </cell>
          <cell r="H120">
            <v>1778.4359999999999</v>
          </cell>
          <cell r="I120">
            <v>4577.4979999999996</v>
          </cell>
          <cell r="J120">
            <v>7141.3379999999997</v>
          </cell>
          <cell r="K120">
            <v>5178.0209999999997</v>
          </cell>
          <cell r="L120">
            <v>9465.3389999999999</v>
          </cell>
          <cell r="M120">
            <v>16042.34</v>
          </cell>
          <cell r="N120">
            <v>8244</v>
          </cell>
          <cell r="O120">
            <v>5267.893</v>
          </cell>
          <cell r="P120">
            <v>5041.085</v>
          </cell>
          <cell r="Q120">
            <v>20338.690999999999</v>
          </cell>
          <cell r="R120">
            <v>18255.450999999997</v>
          </cell>
          <cell r="S120">
            <v>18180.299000000003</v>
          </cell>
          <cell r="T120">
            <v>19298.804</v>
          </cell>
          <cell r="U120">
            <v>10977.175999999999</v>
          </cell>
          <cell r="V120">
            <v>8577.2049999999999</v>
          </cell>
          <cell r="W120">
            <v>8412.4480000000003</v>
          </cell>
          <cell r="X120">
            <v>6020.2939999999999</v>
          </cell>
          <cell r="Y120">
            <v>3545.5990000000002</v>
          </cell>
          <cell r="Z120">
            <v>3626.6419999999998</v>
          </cell>
          <cell r="AA120">
            <v>6380.3370000000004</v>
          </cell>
          <cell r="AB120">
            <v>7660.5219999999999</v>
          </cell>
          <cell r="AC120">
            <v>9918.521999999999</v>
          </cell>
          <cell r="AD120">
            <v>4453.9129999999996</v>
          </cell>
          <cell r="AE120">
            <v>23482.1</v>
          </cell>
          <cell r="AF120">
            <v>5287.741</v>
          </cell>
          <cell r="AG120">
            <v>4061.6559999999999</v>
          </cell>
          <cell r="AH120">
            <v>3228.4309999999996</v>
          </cell>
          <cell r="AI120">
            <v>3395.31</v>
          </cell>
          <cell r="AJ120">
            <v>3094.3240000000001</v>
          </cell>
          <cell r="AK120">
            <v>2916.2270000000003</v>
          </cell>
          <cell r="AL120">
            <v>45887.912000000004</v>
          </cell>
          <cell r="AM120">
            <v>5557.4649999999992</v>
          </cell>
          <cell r="AN120">
            <v>11903.299000000001</v>
          </cell>
          <cell r="AO120">
            <v>3688.085</v>
          </cell>
          <cell r="AP120">
            <v>9099.1779999999999</v>
          </cell>
          <cell r="AQ120">
            <v>4946.7919999999995</v>
          </cell>
          <cell r="AR120">
            <v>9679.152</v>
          </cell>
          <cell r="AS120">
            <v>3466.8629999999998</v>
          </cell>
          <cell r="AT120">
            <v>2739.9360000000001</v>
          </cell>
          <cell r="AU120">
            <v>4327.2700000000004</v>
          </cell>
          <cell r="AV120">
            <v>5471.9060000000009</v>
          </cell>
          <cell r="AW120">
            <v>7319.4059999999999</v>
          </cell>
          <cell r="AX120">
            <v>12657.895</v>
          </cell>
          <cell r="AY120">
            <v>7259.326</v>
          </cell>
          <cell r="AZ120">
            <v>3372.8529999999996</v>
          </cell>
          <cell r="BA120">
            <v>5357.384</v>
          </cell>
          <cell r="BB120">
            <v>4966.9589999999998</v>
          </cell>
          <cell r="BC120">
            <v>5951.3919999999998</v>
          </cell>
          <cell r="BD120">
            <v>1131.4870000000001</v>
          </cell>
          <cell r="BE120">
            <v>1075.876</v>
          </cell>
          <cell r="BH120">
            <v>4946.7919999999995</v>
          </cell>
          <cell r="BI120">
            <v>2529.587</v>
          </cell>
        </row>
        <row r="121">
          <cell r="B121" t="str">
            <v>סה"כ עלות שירותי תשתית</v>
          </cell>
          <cell r="C121">
            <v>1.3919627098757869E-2</v>
          </cell>
          <cell r="D121">
            <v>0</v>
          </cell>
          <cell r="E121">
            <v>0</v>
          </cell>
          <cell r="F121">
            <v>-1.1827582873050781E-3</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9.9950537257932886E-3</v>
          </cell>
          <cell r="AM121">
            <v>0</v>
          </cell>
          <cell r="AN121">
            <v>1.3878990713695057E-2</v>
          </cell>
          <cell r="AO121">
            <v>1.3919627098757872E-2</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H121">
            <v>0</v>
          </cell>
          <cell r="BI121">
            <v>0</v>
          </cell>
        </row>
        <row r="123">
          <cell r="A123" t="str">
            <v>שירותי תשתית-ביוב</v>
          </cell>
          <cell r="B123" t="str">
            <v>עלות שירותי תשתית-ביוב</v>
          </cell>
          <cell r="C123">
            <v>0</v>
          </cell>
          <cell r="K123">
            <v>156</v>
          </cell>
          <cell r="M123">
            <v>-475.20000000000022</v>
          </cell>
          <cell r="O123">
            <v>600</v>
          </cell>
          <cell r="Q123">
            <v>-554.19149407296322</v>
          </cell>
          <cell r="R123">
            <v>750</v>
          </cell>
          <cell r="W123">
            <v>-780</v>
          </cell>
          <cell r="X123">
            <v>-60</v>
          </cell>
          <cell r="AK123">
            <v>-531</v>
          </cell>
          <cell r="AL123">
            <v>765</v>
          </cell>
          <cell r="AM123">
            <v>528</v>
          </cell>
          <cell r="AR123">
            <v>590</v>
          </cell>
          <cell r="BC123">
            <v>615.77</v>
          </cell>
        </row>
        <row r="124">
          <cell r="B124" t="str">
            <v>כמות ביוב</v>
          </cell>
          <cell r="C124">
            <v>10280.945000000002</v>
          </cell>
          <cell r="D124">
            <v>8916.7430000000004</v>
          </cell>
          <cell r="E124">
            <v>4333.2569999999996</v>
          </cell>
          <cell r="F124">
            <v>54307.281000000003</v>
          </cell>
          <cell r="G124">
            <v>15191.027</v>
          </cell>
          <cell r="H124">
            <v>1561.3779999999999</v>
          </cell>
          <cell r="I124">
            <v>4551.009</v>
          </cell>
          <cell r="J124">
            <v>6858.4719999999998</v>
          </cell>
          <cell r="K124">
            <v>5038.1689999999999</v>
          </cell>
          <cell r="L124">
            <v>9110.4159999999993</v>
          </cell>
          <cell r="M124">
            <v>15186.956</v>
          </cell>
          <cell r="N124">
            <v>8227.3490000000002</v>
          </cell>
          <cell r="O124">
            <v>4852.53</v>
          </cell>
          <cell r="P124">
            <v>4848.0789999999997</v>
          </cell>
          <cell r="Q124">
            <v>19008.361999999997</v>
          </cell>
          <cell r="R124">
            <v>17334.789999999997</v>
          </cell>
          <cell r="S124">
            <v>17520.159000000003</v>
          </cell>
          <cell r="T124">
            <v>18217.092000000001</v>
          </cell>
          <cell r="U124">
            <v>9804.0889999999999</v>
          </cell>
          <cell r="V124">
            <v>8391.7970000000005</v>
          </cell>
          <cell r="W124">
            <v>8026.8700000000008</v>
          </cell>
          <cell r="X124">
            <v>5418.3969999999999</v>
          </cell>
          <cell r="Y124">
            <v>3211.395</v>
          </cell>
          <cell r="Z124">
            <v>3356.837</v>
          </cell>
          <cell r="AA124">
            <v>5802.5370000000003</v>
          </cell>
          <cell r="AB124">
            <v>7488.7640000000001</v>
          </cell>
          <cell r="AC124">
            <v>9248.7369999999992</v>
          </cell>
          <cell r="AD124">
            <v>4201.2279999999992</v>
          </cell>
          <cell r="AE124">
            <v>22539.741999999998</v>
          </cell>
          <cell r="AF124">
            <v>4864.5450000000001</v>
          </cell>
          <cell r="AG124">
            <v>3590.7979999999998</v>
          </cell>
          <cell r="AH124">
            <v>3212.1389999999997</v>
          </cell>
          <cell r="AI124">
            <v>3122.864</v>
          </cell>
          <cell r="AJ124">
            <v>2929.8940000000002</v>
          </cell>
          <cell r="AK124">
            <v>2707.1440000000002</v>
          </cell>
          <cell r="AL124">
            <v>42848.077000000005</v>
          </cell>
          <cell r="AM124">
            <v>5012.8169999999991</v>
          </cell>
          <cell r="AN124">
            <v>11191.586000000001</v>
          </cell>
          <cell r="AO124">
            <v>3539.1329999999998</v>
          </cell>
          <cell r="AP124">
            <v>8602.4639999999999</v>
          </cell>
          <cell r="AQ124">
            <v>4642.3439999999991</v>
          </cell>
          <cell r="AR124">
            <v>9537.3340000000007</v>
          </cell>
          <cell r="AS124">
            <v>3230.1969999999997</v>
          </cell>
          <cell r="AT124">
            <v>2443.7440000000001</v>
          </cell>
          <cell r="AU124">
            <v>4019.3010000000004</v>
          </cell>
          <cell r="AV124">
            <v>5469.1230000000005</v>
          </cell>
          <cell r="AW124">
            <v>7243.1989999999996</v>
          </cell>
          <cell r="AX124">
            <v>11864.786</v>
          </cell>
          <cell r="AY124">
            <v>6315.11</v>
          </cell>
          <cell r="AZ124">
            <v>3197.1949999999997</v>
          </cell>
          <cell r="BA124">
            <v>5124.0309999999999</v>
          </cell>
          <cell r="BB124">
            <v>4966.9589999999998</v>
          </cell>
          <cell r="BC124">
            <v>5914.9888000000001</v>
          </cell>
          <cell r="BD124">
            <v>7553.0499999999993</v>
          </cell>
          <cell r="BE124">
            <v>979.86899999999991</v>
          </cell>
          <cell r="BH124">
            <v>4642.3439999999991</v>
          </cell>
          <cell r="BI124">
            <v>2372.9549999999999</v>
          </cell>
        </row>
        <row r="125">
          <cell r="B125" t="str">
            <v>סה"כ שירותי תשתית ביוב</v>
          </cell>
          <cell r="C125">
            <v>0</v>
          </cell>
          <cell r="D125">
            <v>0</v>
          </cell>
          <cell r="E125">
            <v>0</v>
          </cell>
          <cell r="F125">
            <v>0</v>
          </cell>
          <cell r="G125">
            <v>0</v>
          </cell>
          <cell r="H125">
            <v>0</v>
          </cell>
          <cell r="I125">
            <v>0</v>
          </cell>
          <cell r="J125">
            <v>0</v>
          </cell>
          <cell r="K125">
            <v>3.0963629842508261E-2</v>
          </cell>
          <cell r="L125">
            <v>0</v>
          </cell>
          <cell r="M125">
            <v>-3.129000966355603E-2</v>
          </cell>
          <cell r="N125">
            <v>0</v>
          </cell>
          <cell r="O125">
            <v>0.12364683989588937</v>
          </cell>
          <cell r="P125">
            <v>0</v>
          </cell>
          <cell r="Q125">
            <v>-2.9155142040800955E-2</v>
          </cell>
          <cell r="R125">
            <v>4.3265594795206641E-2</v>
          </cell>
          <cell r="S125">
            <v>0</v>
          </cell>
          <cell r="T125">
            <v>0</v>
          </cell>
          <cell r="U125">
            <v>0</v>
          </cell>
          <cell r="V125">
            <v>0</v>
          </cell>
          <cell r="W125">
            <v>-9.7173618110172444E-2</v>
          </cell>
          <cell r="X125">
            <v>-1.107338572644271E-2</v>
          </cell>
          <cell r="Y125">
            <v>0</v>
          </cell>
          <cell r="Z125">
            <v>0</v>
          </cell>
          <cell r="AA125">
            <v>0</v>
          </cell>
          <cell r="AB125">
            <v>0</v>
          </cell>
          <cell r="AC125">
            <v>0</v>
          </cell>
          <cell r="AD125">
            <v>0</v>
          </cell>
          <cell r="AE125">
            <v>0</v>
          </cell>
          <cell r="AF125">
            <v>0</v>
          </cell>
          <cell r="AG125">
            <v>0</v>
          </cell>
          <cell r="AH125">
            <v>0</v>
          </cell>
          <cell r="AI125">
            <v>0</v>
          </cell>
          <cell r="AJ125">
            <v>0</v>
          </cell>
          <cell r="AK125">
            <v>-0.19614767444953055</v>
          </cell>
          <cell r="AL125">
            <v>1.7853776728416537E-2</v>
          </cell>
          <cell r="AM125">
            <v>0.10532999708547112</v>
          </cell>
          <cell r="AN125">
            <v>0</v>
          </cell>
          <cell r="AO125">
            <v>0</v>
          </cell>
          <cell r="AP125">
            <v>0</v>
          </cell>
          <cell r="AQ125">
            <v>0</v>
          </cell>
          <cell r="AR125">
            <v>6.1862151414640604E-2</v>
          </cell>
          <cell r="AS125">
            <v>0</v>
          </cell>
          <cell r="AT125">
            <v>0</v>
          </cell>
          <cell r="AU125">
            <v>0</v>
          </cell>
          <cell r="AV125">
            <v>0</v>
          </cell>
          <cell r="AW125">
            <v>0</v>
          </cell>
          <cell r="AX125">
            <v>0</v>
          </cell>
          <cell r="AY125">
            <v>0</v>
          </cell>
          <cell r="AZ125">
            <v>0</v>
          </cell>
          <cell r="BA125">
            <v>0</v>
          </cell>
          <cell r="BB125">
            <v>0</v>
          </cell>
          <cell r="BC125">
            <v>0.10410332476031062</v>
          </cell>
          <cell r="BD125">
            <v>0</v>
          </cell>
          <cell r="BE125">
            <v>0</v>
          </cell>
          <cell r="BH125">
            <v>0</v>
          </cell>
          <cell r="BI125">
            <v>0</v>
          </cell>
        </row>
        <row r="127">
          <cell r="A127" t="str">
            <v>ביוביות</v>
          </cell>
          <cell r="C127">
            <v>0</v>
          </cell>
          <cell r="D127">
            <v>1.8607881589150908E-2</v>
          </cell>
          <cell r="E127">
            <v>0</v>
          </cell>
          <cell r="F127">
            <v>0</v>
          </cell>
          <cell r="G127">
            <v>0</v>
          </cell>
          <cell r="H127">
            <v>0</v>
          </cell>
          <cell r="I127">
            <v>0.17021661194480656</v>
          </cell>
          <cell r="J127">
            <v>0</v>
          </cell>
          <cell r="K127">
            <v>0</v>
          </cell>
          <cell r="L127">
            <v>0</v>
          </cell>
          <cell r="M127">
            <v>0</v>
          </cell>
          <cell r="N127">
            <v>0.33036895088776946</v>
          </cell>
          <cell r="O127">
            <v>0</v>
          </cell>
          <cell r="P127">
            <v>0</v>
          </cell>
          <cell r="Q127">
            <v>0</v>
          </cell>
          <cell r="R127">
            <v>0</v>
          </cell>
          <cell r="S127">
            <v>0</v>
          </cell>
          <cell r="T127">
            <v>0</v>
          </cell>
          <cell r="U127">
            <v>0</v>
          </cell>
          <cell r="V127">
            <v>8.0701331266342935E-2</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4.5925999962231005E-2</v>
          </cell>
          <cell r="AS127">
            <v>0</v>
          </cell>
          <cell r="AT127">
            <v>0</v>
          </cell>
          <cell r="AU127">
            <v>0</v>
          </cell>
          <cell r="AV127">
            <v>2.0255602131783658E-2</v>
          </cell>
          <cell r="AW127">
            <v>3.5306287568656343E-2</v>
          </cell>
          <cell r="AX127">
            <v>0</v>
          </cell>
          <cell r="AY127">
            <v>0</v>
          </cell>
          <cell r="AZ127">
            <v>0</v>
          </cell>
          <cell r="BA127">
            <v>0</v>
          </cell>
          <cell r="BB127">
            <v>0.11341506118208278</v>
          </cell>
          <cell r="BC127">
            <v>0.26025757802173766</v>
          </cell>
          <cell r="BD127">
            <v>0</v>
          </cell>
          <cell r="BE127">
            <v>0</v>
          </cell>
          <cell r="BH127">
            <v>0</v>
          </cell>
          <cell r="BI127">
            <v>0</v>
          </cell>
        </row>
        <row r="131">
          <cell r="A131" t="str">
            <v>קטימה</v>
          </cell>
        </row>
        <row r="132">
          <cell r="B132" t="str">
            <v>סה"כ עלויות אחזקת רשת מים ותקורת מים</v>
          </cell>
          <cell r="C132">
            <v>0.46494385842995989</v>
          </cell>
          <cell r="D132">
            <v>0.50702618116679465</v>
          </cell>
          <cell r="E132">
            <v>0.77240865895917266</v>
          </cell>
          <cell r="F132">
            <v>0.68800970806621498</v>
          </cell>
          <cell r="G132">
            <v>0.48348359308553196</v>
          </cell>
          <cell r="H132">
            <v>1.4140188682640251</v>
          </cell>
          <cell r="I132">
            <v>0.73758574450361247</v>
          </cell>
          <cell r="J132">
            <v>0.57350824181296189</v>
          </cell>
          <cell r="K132">
            <v>0.43396511395439352</v>
          </cell>
          <cell r="L132">
            <v>0.62003240232599333</v>
          </cell>
          <cell r="M132">
            <v>0.57087044913532492</v>
          </cell>
          <cell r="N132">
            <v>0.69301144478307131</v>
          </cell>
          <cell r="O132">
            <v>0.58939978025520323</v>
          </cell>
          <cell r="P132">
            <v>1.1386566104537181</v>
          </cell>
          <cell r="Q132">
            <v>0.6232440319463326</v>
          </cell>
          <cell r="R132">
            <v>0.5273842908817068</v>
          </cell>
          <cell r="S132">
            <v>0.75325574655490524</v>
          </cell>
          <cell r="T132">
            <v>0.75761077695637324</v>
          </cell>
          <cell r="U132">
            <v>0.42496212140535961</v>
          </cell>
          <cell r="V132">
            <v>0.89606964441235293</v>
          </cell>
          <cell r="W132">
            <v>0.70043180593486332</v>
          </cell>
          <cell r="X132">
            <v>0.68004306399879655</v>
          </cell>
          <cell r="Y132">
            <v>0.67784472522835326</v>
          </cell>
          <cell r="Z132">
            <v>0.67829466309880782</v>
          </cell>
          <cell r="AA132">
            <v>0.83863252182107384</v>
          </cell>
          <cell r="AB132">
            <v>0.31611456376654784</v>
          </cell>
          <cell r="AC132">
            <v>0.57962166329476617</v>
          </cell>
          <cell r="AD132">
            <v>0.71433506494833454</v>
          </cell>
          <cell r="AE132">
            <v>1.0829309115656296</v>
          </cell>
          <cell r="AF132">
            <v>0.56526760544901866</v>
          </cell>
          <cell r="AG132">
            <v>0.5849536333952603</v>
          </cell>
          <cell r="AH132">
            <v>0.51489720143900719</v>
          </cell>
          <cell r="AI132">
            <v>0.63971524193352103</v>
          </cell>
          <cell r="AJ132">
            <v>0.50650211670174206</v>
          </cell>
          <cell r="AK132">
            <v>0.47344015473762291</v>
          </cell>
          <cell r="AL132">
            <v>0.57616885504280657</v>
          </cell>
          <cell r="AM132">
            <v>0.76792822125127358</v>
          </cell>
          <cell r="AN132">
            <v>0.60855398788951287</v>
          </cell>
          <cell r="AO132">
            <v>0.63345296153062847</v>
          </cell>
          <cell r="AP132">
            <v>0.47731906808840374</v>
          </cell>
          <cell r="AQ132">
            <v>0.64741345086322344</v>
          </cell>
          <cell r="AR132">
            <v>0.8370189818923055</v>
          </cell>
          <cell r="AS132">
            <v>0.78343179842159971</v>
          </cell>
          <cell r="AT132">
            <v>0.45738254243308585</v>
          </cell>
          <cell r="AU132">
            <v>0.68988828328470486</v>
          </cell>
          <cell r="AV132">
            <v>0.73958587039088541</v>
          </cell>
          <cell r="AW132">
            <v>0.54359688911683801</v>
          </cell>
          <cell r="AX132">
            <v>0.47235368069303629</v>
          </cell>
          <cell r="AY132">
            <v>0.57283350210942352</v>
          </cell>
          <cell r="AZ132">
            <v>0.777011788410924</v>
          </cell>
          <cell r="BA132">
            <v>0.53573222597669945</v>
          </cell>
          <cell r="BB132">
            <v>0.43046939214954871</v>
          </cell>
          <cell r="BC132">
            <v>0.47439928252104741</v>
          </cell>
          <cell r="BD132">
            <v>0.50635610687754373</v>
          </cell>
          <cell r="BE132">
            <v>0.69046345120705799</v>
          </cell>
          <cell r="BH132">
            <v>0.64741345086322344</v>
          </cell>
          <cell r="BI132">
            <v>0.7605259343199442</v>
          </cell>
        </row>
        <row r="134">
          <cell r="B134" t="str">
            <v>סה"כ עלויות אחזקת רשת ביוב ותקורת ביוב</v>
          </cell>
          <cell r="C134">
            <v>0.20075087769048255</v>
          </cell>
          <cell r="D134">
            <v>0.34431503535927854</v>
          </cell>
          <cell r="E134">
            <v>0.50743285010795247</v>
          </cell>
          <cell r="F134">
            <v>0.29110102186618525</v>
          </cell>
          <cell r="G134">
            <v>0.45479026702083825</v>
          </cell>
          <cell r="H134">
            <v>1.1336495796831989</v>
          </cell>
          <cell r="I134">
            <v>0.80095329155559403</v>
          </cell>
          <cell r="J134">
            <v>0.34149302036043339</v>
          </cell>
          <cell r="K134">
            <v>0.56493266720507895</v>
          </cell>
          <cell r="L134">
            <v>0.41190444183792807</v>
          </cell>
          <cell r="M134">
            <v>0.52942222465746291</v>
          </cell>
          <cell r="N134">
            <v>0.58623521011103863</v>
          </cell>
          <cell r="O134">
            <v>0.55857632783975886</v>
          </cell>
          <cell r="P134">
            <v>0.62292953755749336</v>
          </cell>
          <cell r="Q134">
            <v>0.48390730116106417</v>
          </cell>
          <cell r="R134">
            <v>0.28828411655024672</v>
          </cell>
          <cell r="S134">
            <v>0.30163754812228349</v>
          </cell>
          <cell r="T134">
            <v>0.44510709342433902</v>
          </cell>
          <cell r="U134">
            <v>0.55517638847523243</v>
          </cell>
          <cell r="V134">
            <v>0.6090833700655226</v>
          </cell>
          <cell r="W134">
            <v>0.421445407996837</v>
          </cell>
          <cell r="X134">
            <v>0.51785885072255167</v>
          </cell>
          <cell r="Y134">
            <v>0.87939809759330001</v>
          </cell>
          <cell r="Z134">
            <v>0.54553540679672508</v>
          </cell>
          <cell r="AA134">
            <v>0.5314284150626204</v>
          </cell>
          <cell r="AB134">
            <v>0.20214040335721756</v>
          </cell>
          <cell r="AC134">
            <v>0.48082034681543895</v>
          </cell>
          <cell r="AD134">
            <v>0.39956771896239984</v>
          </cell>
          <cell r="AE134">
            <v>0.54993310001986007</v>
          </cell>
          <cell r="AF134">
            <v>0.53798913686129646</v>
          </cell>
          <cell r="AG134">
            <v>0.3273873740143956</v>
          </cell>
          <cell r="AH134">
            <v>0.42058813557108066</v>
          </cell>
          <cell r="AI134">
            <v>0.61429888444897085</v>
          </cell>
          <cell r="AJ134">
            <v>0.65952513938786439</v>
          </cell>
          <cell r="AK134">
            <v>0.37830820340948451</v>
          </cell>
          <cell r="AL134">
            <v>0.33015276254347248</v>
          </cell>
          <cell r="AM134">
            <v>0.64556096222945702</v>
          </cell>
          <cell r="AN134">
            <v>0.31256579362664094</v>
          </cell>
          <cell r="AO134">
            <v>0.30221183496672349</v>
          </cell>
          <cell r="AP134">
            <v>0.32139413984119219</v>
          </cell>
          <cell r="AQ134">
            <v>0.33964492077103847</v>
          </cell>
          <cell r="AR134">
            <v>0.72604351726832239</v>
          </cell>
          <cell r="AS134">
            <v>0.67563051276813546</v>
          </cell>
          <cell r="AT134">
            <v>0.41922983648326129</v>
          </cell>
          <cell r="AU134">
            <v>0.52372785567930402</v>
          </cell>
          <cell r="AV134">
            <v>0.47905835330208646</v>
          </cell>
          <cell r="AW134">
            <v>0.42005113364971308</v>
          </cell>
          <cell r="AX134">
            <v>0.35014872117938611</v>
          </cell>
          <cell r="AY134">
            <v>0.54288948278236737</v>
          </cell>
          <cell r="AZ134">
            <v>0.68690561662515093</v>
          </cell>
          <cell r="BA134">
            <v>0.40340232843834894</v>
          </cell>
          <cell r="BB134">
            <v>0.50961815706557878</v>
          </cell>
          <cell r="BC134">
            <v>0.91963076785562647</v>
          </cell>
          <cell r="BD134">
            <v>0.49170722282606472</v>
          </cell>
          <cell r="BE134">
            <v>0.52604259356574867</v>
          </cell>
          <cell r="BH134">
            <v>0.33964492077103847</v>
          </cell>
          <cell r="BI134">
            <v>0.3874320896486339</v>
          </cell>
        </row>
        <row r="136">
          <cell r="B136" t="str">
            <v>עלויות גביה</v>
          </cell>
          <cell r="C136">
            <v>0.44915648306060163</v>
          </cell>
          <cell r="D136">
            <v>0.32965789002576135</v>
          </cell>
          <cell r="E136">
            <v>0.49109064450263579</v>
          </cell>
          <cell r="F136">
            <v>0.34669146248666294</v>
          </cell>
          <cell r="G136">
            <v>0.49386525249096946</v>
          </cell>
          <cell r="H136">
            <v>1.3290891421611852</v>
          </cell>
          <cell r="I136">
            <v>0.34280892003794688</v>
          </cell>
          <cell r="J136">
            <v>0.40370682996018059</v>
          </cell>
          <cell r="K136">
            <v>0.39544541043393988</v>
          </cell>
          <cell r="L136">
            <v>0.55318257149485084</v>
          </cell>
          <cell r="M136">
            <v>0.42726172763304798</v>
          </cell>
          <cell r="N136">
            <v>0.34268940472705645</v>
          </cell>
          <cell r="O136">
            <v>0.37279289164984647</v>
          </cell>
          <cell r="P136">
            <v>0.54097793276818007</v>
          </cell>
          <cell r="Q136">
            <v>0.46665424409751333</v>
          </cell>
          <cell r="R136">
            <v>0.41350271364380586</v>
          </cell>
          <cell r="S136">
            <v>0.4386167840324105</v>
          </cell>
          <cell r="T136">
            <v>0.37552123227527689</v>
          </cell>
          <cell r="U136">
            <v>0.79632330290632025</v>
          </cell>
          <cell r="V136">
            <v>0.48781954815764739</v>
          </cell>
          <cell r="W136">
            <v>0.3802652368892393</v>
          </cell>
          <cell r="X136">
            <v>0.34215600182710837</v>
          </cell>
          <cell r="Y136">
            <v>0.50594423605924821</v>
          </cell>
          <cell r="Z136">
            <v>0.42110513222641621</v>
          </cell>
          <cell r="AA136">
            <v>0.38648773093212363</v>
          </cell>
          <cell r="AB136">
            <v>1.3242072763274044</v>
          </cell>
          <cell r="AC136">
            <v>0.37074845248365201</v>
          </cell>
          <cell r="AD136">
            <v>0.43761456297565554</v>
          </cell>
          <cell r="AE136">
            <v>0.52152041449011488</v>
          </cell>
          <cell r="AF136">
            <v>0.3699068359569872</v>
          </cell>
          <cell r="AG136">
            <v>0.452968084243494</v>
          </cell>
          <cell r="AH136">
            <v>0.27083848190929027</v>
          </cell>
          <cell r="AI136">
            <v>0.34008611916416603</v>
          </cell>
          <cell r="AJ136">
            <v>0.44712181370995951</v>
          </cell>
          <cell r="AK136">
            <v>0.47832395364470265</v>
          </cell>
          <cell r="AL136">
            <v>0.49120883017096384</v>
          </cell>
          <cell r="AM136">
            <v>0.31181126899005923</v>
          </cell>
          <cell r="AN136">
            <v>0.42069535453864115</v>
          </cell>
          <cell r="AO136">
            <v>0.46975940367912644</v>
          </cell>
          <cell r="AP136">
            <v>0.46251336510935853</v>
          </cell>
          <cell r="AQ136">
            <v>0.38929133523550863</v>
          </cell>
          <cell r="AR136">
            <v>0.33517771866324542</v>
          </cell>
          <cell r="AS136">
            <v>0.47847746903519822</v>
          </cell>
          <cell r="AT136">
            <v>0.43017934500854949</v>
          </cell>
          <cell r="AU136">
            <v>0.36705440903289532</v>
          </cell>
          <cell r="AV136">
            <v>0.40977119427421854</v>
          </cell>
          <cell r="AW136">
            <v>0.40438418484880934</v>
          </cell>
          <cell r="AX136">
            <v>0.43199680138814228</v>
          </cell>
          <cell r="AY136">
            <v>0.41132615449622034</v>
          </cell>
          <cell r="AZ136">
            <v>0.38463352504297782</v>
          </cell>
          <cell r="BA136">
            <v>0.35719389580872402</v>
          </cell>
          <cell r="BB136">
            <v>0.30099651831752317</v>
          </cell>
          <cell r="BC136">
            <v>0.23349922722940769</v>
          </cell>
          <cell r="BD136">
            <v>0.47053798390025681</v>
          </cell>
          <cell r="BE136">
            <v>0.37916302796579238</v>
          </cell>
          <cell r="BH136">
            <v>0.38929133523550863</v>
          </cell>
          <cell r="BI136">
            <v>0.42990049597452179</v>
          </cell>
        </row>
        <row r="138">
          <cell r="B138" t="str">
            <v>עלויות הנהלה וכלליות</v>
          </cell>
          <cell r="C138">
            <v>0.16293010743730277</v>
          </cell>
          <cell r="D138">
            <v>0.16451408273482221</v>
          </cell>
          <cell r="E138">
            <v>0.27972516857238405</v>
          </cell>
          <cell r="F138">
            <v>0.13911540997378119</v>
          </cell>
          <cell r="G138">
            <v>0.15621631997691005</v>
          </cell>
          <cell r="H138">
            <v>1.0596348701893124</v>
          </cell>
          <cell r="I138">
            <v>0.16451408273482221</v>
          </cell>
          <cell r="J138">
            <v>0.14943201477727133</v>
          </cell>
          <cell r="K138">
            <v>0.1505416102838685</v>
          </cell>
          <cell r="L138">
            <v>0.16451408273482221</v>
          </cell>
          <cell r="M138">
            <v>0.14943201477727133</v>
          </cell>
          <cell r="N138">
            <v>0.14943201477727133</v>
          </cell>
          <cell r="O138">
            <v>0.15452707854969244</v>
          </cell>
          <cell r="P138">
            <v>0.27972516857238405</v>
          </cell>
          <cell r="Q138">
            <v>0.15021336143691097</v>
          </cell>
          <cell r="R138">
            <v>0.15452707854969244</v>
          </cell>
          <cell r="S138">
            <v>0.16293010743730277</v>
          </cell>
          <cell r="T138">
            <v>0.1505416102838685</v>
          </cell>
          <cell r="U138">
            <v>0.26895551764254605</v>
          </cell>
          <cell r="V138">
            <v>0.27972516857238405</v>
          </cell>
          <cell r="W138">
            <v>0.1505416102838685</v>
          </cell>
          <cell r="X138">
            <v>0.1505416102838685</v>
          </cell>
          <cell r="Y138">
            <v>0.23057442029500094</v>
          </cell>
          <cell r="Z138">
            <v>0.15373784759336429</v>
          </cell>
          <cell r="AA138">
            <v>0.16915755752525979</v>
          </cell>
          <cell r="AB138">
            <v>0.15021336143691097</v>
          </cell>
          <cell r="AC138">
            <v>0.16915755752525979</v>
          </cell>
          <cell r="AD138">
            <v>0.16915755752525979</v>
          </cell>
          <cell r="AE138">
            <v>0.15373784759336429</v>
          </cell>
          <cell r="AF138">
            <v>0.15621631997691005</v>
          </cell>
          <cell r="AG138">
            <v>0.23057442029500094</v>
          </cell>
          <cell r="AH138">
            <v>0.15021336143691097</v>
          </cell>
          <cell r="AI138">
            <v>0.16293010743730277</v>
          </cell>
          <cell r="AJ138">
            <v>0.15373784759336429</v>
          </cell>
          <cell r="AK138">
            <v>0.15373784759336429</v>
          </cell>
          <cell r="AL138">
            <v>0.13875235390994139</v>
          </cell>
          <cell r="AM138">
            <v>0.14943201477727133</v>
          </cell>
          <cell r="AN138">
            <v>0.13875235390994139</v>
          </cell>
          <cell r="AO138">
            <v>0.13875235390994139</v>
          </cell>
          <cell r="AP138">
            <v>0.15452707854969244</v>
          </cell>
          <cell r="AQ138">
            <v>0.16293010743730277</v>
          </cell>
          <cell r="AR138">
            <v>0.16451408273482221</v>
          </cell>
          <cell r="AS138">
            <v>0.15373784759336429</v>
          </cell>
          <cell r="AT138">
            <v>0.15373784759336429</v>
          </cell>
          <cell r="AU138">
            <v>0.16915755752525979</v>
          </cell>
          <cell r="AV138">
            <v>0.23057442029500094</v>
          </cell>
          <cell r="AW138">
            <v>0.23057442029500094</v>
          </cell>
          <cell r="AX138">
            <v>0.15621631997691005</v>
          </cell>
          <cell r="AY138">
            <v>0.15021336143691097</v>
          </cell>
          <cell r="AZ138">
            <v>0.16451408273482221</v>
          </cell>
          <cell r="BA138">
            <v>0.1505416102838685</v>
          </cell>
          <cell r="BB138">
            <v>0.16915755752525979</v>
          </cell>
          <cell r="BC138">
            <v>0.15021336143691097</v>
          </cell>
          <cell r="BD138">
            <v>0.16915755752525979</v>
          </cell>
          <cell r="BE138">
            <v>0.16293010743730277</v>
          </cell>
          <cell r="BH138">
            <v>0.16293010743730277</v>
          </cell>
          <cell r="BI138">
            <v>0.16293010743730277</v>
          </cell>
        </row>
        <row r="140">
          <cell r="B140" t="str">
            <v>סה"כ נורמת תפעול 2015</v>
          </cell>
          <cell r="C140">
            <v>1.2777813266183466</v>
          </cell>
          <cell r="D140">
            <v>1.3455131892866568</v>
          </cell>
          <cell r="E140">
            <v>2.0506573221421451</v>
          </cell>
          <cell r="F140">
            <v>1.4649176023928443</v>
          </cell>
          <cell r="G140">
            <v>1.5883554325742497</v>
          </cell>
          <cell r="H140">
            <v>4.9363924602977214</v>
          </cell>
          <cell r="I140">
            <v>2.0458620388319755</v>
          </cell>
          <cell r="J140">
            <v>1.4681401069108473</v>
          </cell>
          <cell r="K140">
            <v>1.5448848018772807</v>
          </cell>
          <cell r="L140">
            <v>1.7496334983935944</v>
          </cell>
          <cell r="M140">
            <v>1.6769864162031072</v>
          </cell>
          <cell r="N140">
            <v>1.7713680743984379</v>
          </cell>
          <cell r="O140">
            <v>1.675296078294501</v>
          </cell>
          <cell r="P140">
            <v>2.582289249351776</v>
          </cell>
          <cell r="Q140">
            <v>1.7240189386418212</v>
          </cell>
          <cell r="R140">
            <v>1.3836981996254518</v>
          </cell>
          <cell r="S140">
            <v>1.656440186146902</v>
          </cell>
          <cell r="T140">
            <v>1.7287807129398578</v>
          </cell>
          <cell r="U140">
            <v>2.0454173304294585</v>
          </cell>
          <cell r="V140">
            <v>2.2726977312079071</v>
          </cell>
          <cell r="W140">
            <v>1.6526840611048081</v>
          </cell>
          <cell r="X140">
            <v>1.6905995268323253</v>
          </cell>
          <cell r="Y140">
            <v>2.2937614791759025</v>
          </cell>
          <cell r="Z140">
            <v>1.7986730497153136</v>
          </cell>
          <cell r="AA140">
            <v>1.9257062253410777</v>
          </cell>
          <cell r="AB140">
            <v>1.9926756048880807</v>
          </cell>
          <cell r="AC140">
            <v>1.6003480201191169</v>
          </cell>
          <cell r="AD140">
            <v>1.7206749044116498</v>
          </cell>
          <cell r="AE140">
            <v>2.3081222736689688</v>
          </cell>
          <cell r="AF140">
            <v>1.6293798982442123</v>
          </cell>
          <cell r="AG140">
            <v>1.5958835119481507</v>
          </cell>
          <cell r="AH140">
            <v>1.3565371803562889</v>
          </cell>
          <cell r="AI140">
            <v>1.7570303529839606</v>
          </cell>
          <cell r="AJ140">
            <v>1.7668869173929305</v>
          </cell>
          <cell r="AK140">
            <v>1.4838101593851742</v>
          </cell>
          <cell r="AL140">
            <v>1.5362828016671843</v>
          </cell>
          <cell r="AM140">
            <v>1.8747324672480612</v>
          </cell>
          <cell r="AN140">
            <v>1.4805674899647363</v>
          </cell>
          <cell r="AO140">
            <v>1.5441765540864196</v>
          </cell>
          <cell r="AP140">
            <v>1.4157536515886469</v>
          </cell>
          <cell r="AQ140">
            <v>1.5392798143070734</v>
          </cell>
          <cell r="AR140">
            <v>2.0627543005586952</v>
          </cell>
          <cell r="AS140">
            <v>2.0912776278182976</v>
          </cell>
          <cell r="AT140">
            <v>1.4605295715182609</v>
          </cell>
          <cell r="AU140">
            <v>1.7498281055221638</v>
          </cell>
          <cell r="AV140">
            <v>1.8589898382621914</v>
          </cell>
          <cell r="AW140">
            <v>1.5986066279103612</v>
          </cell>
          <cell r="AX140">
            <v>1.4107155232374748</v>
          </cell>
          <cell r="AY140">
            <v>1.6772625008249222</v>
          </cell>
          <cell r="AZ140">
            <v>2.013065012813875</v>
          </cell>
          <cell r="BA140">
            <v>1.446870060507641</v>
          </cell>
          <cell r="BB140">
            <v>1.4102416250579104</v>
          </cell>
          <cell r="BC140">
            <v>1.7777426390429925</v>
          </cell>
          <cell r="BD140">
            <v>1.6377588711291251</v>
          </cell>
          <cell r="BE140">
            <v>1.758599180175902</v>
          </cell>
          <cell r="BH140">
            <v>1.5392798143070734</v>
          </cell>
          <cell r="BI140">
            <v>1.7407886273804027</v>
          </cell>
        </row>
        <row r="142">
          <cell r="A142">
            <v>3</v>
          </cell>
          <cell r="B142" t="str">
            <v>סה"כ עלויות אחזקת רשת מים ותקורת מים</v>
          </cell>
          <cell r="C142">
            <v>0.46494385842995989</v>
          </cell>
          <cell r="D142">
            <v>0.50702618116679465</v>
          </cell>
          <cell r="E142">
            <v>0.77240865895917266</v>
          </cell>
          <cell r="F142">
            <v>0.68800970806621498</v>
          </cell>
          <cell r="G142">
            <v>0.48348359308553196</v>
          </cell>
          <cell r="H142">
            <v>0.75</v>
          </cell>
          <cell r="I142">
            <v>0.73758574450361247</v>
          </cell>
          <cell r="J142">
            <v>0.57350824181296189</v>
          </cell>
          <cell r="K142">
            <v>0.43396511395439352</v>
          </cell>
          <cell r="L142">
            <v>0.62003240232599333</v>
          </cell>
          <cell r="M142">
            <v>0.57087044913532492</v>
          </cell>
          <cell r="N142">
            <v>0.69301144478307131</v>
          </cell>
          <cell r="O142">
            <v>0.58939978025520323</v>
          </cell>
          <cell r="P142">
            <v>1.1386566104537181</v>
          </cell>
          <cell r="Q142">
            <v>0.6232440319463326</v>
          </cell>
          <cell r="R142">
            <v>0.5273842908817068</v>
          </cell>
          <cell r="S142">
            <v>0.75325574655490524</v>
          </cell>
          <cell r="T142">
            <v>0.75761077695637324</v>
          </cell>
          <cell r="U142">
            <v>0.42496212140535961</v>
          </cell>
          <cell r="V142">
            <v>0.89606964441235293</v>
          </cell>
          <cell r="W142">
            <v>0.70043180593486332</v>
          </cell>
          <cell r="X142">
            <v>0.68004306399879655</v>
          </cell>
          <cell r="Y142">
            <v>0.67784472522835326</v>
          </cell>
          <cell r="Z142">
            <v>0.67829466309880782</v>
          </cell>
          <cell r="AA142">
            <v>0.83863252182107384</v>
          </cell>
          <cell r="AB142">
            <v>0.31611456376654784</v>
          </cell>
          <cell r="AC142">
            <v>0.57962166329476617</v>
          </cell>
          <cell r="AD142">
            <v>0.71433506494833454</v>
          </cell>
          <cell r="AE142">
            <v>1.0829309115656296</v>
          </cell>
          <cell r="AF142">
            <v>0.56526760544901866</v>
          </cell>
          <cell r="AG142">
            <v>0.5849536333952603</v>
          </cell>
          <cell r="AH142">
            <v>0.51489720143900719</v>
          </cell>
          <cell r="AI142">
            <v>0.63971524193352103</v>
          </cell>
          <cell r="AJ142">
            <v>0.50650211670174206</v>
          </cell>
          <cell r="AK142">
            <v>0.47344015473762291</v>
          </cell>
          <cell r="AL142">
            <v>0.57616885504280657</v>
          </cell>
          <cell r="AM142">
            <v>0.76792822125127358</v>
          </cell>
          <cell r="AN142">
            <v>0.60855398788951287</v>
          </cell>
          <cell r="AO142">
            <v>0.63345296153062847</v>
          </cell>
          <cell r="AP142">
            <v>0.47731906808840374</v>
          </cell>
          <cell r="AQ142">
            <v>0.64741345086322344</v>
          </cell>
          <cell r="AR142">
            <v>0.8370189818923055</v>
          </cell>
          <cell r="AS142">
            <v>0.78343179842159971</v>
          </cell>
          <cell r="AT142">
            <v>0.45738254243308585</v>
          </cell>
          <cell r="AU142">
            <v>0.68988828328470486</v>
          </cell>
          <cell r="AV142">
            <v>0.73958587039088541</v>
          </cell>
          <cell r="AW142">
            <v>0.54359688911683801</v>
          </cell>
          <cell r="AX142">
            <v>0.47235368069303629</v>
          </cell>
          <cell r="AY142">
            <v>0.57283350210942352</v>
          </cell>
          <cell r="AZ142">
            <v>0.777011788410924</v>
          </cell>
          <cell r="BA142">
            <v>0.53573222597669945</v>
          </cell>
          <cell r="BB142">
            <v>0.43046939214954871</v>
          </cell>
          <cell r="BC142">
            <v>0.47439928252104741</v>
          </cell>
          <cell r="BD142">
            <v>0.50635610687754373</v>
          </cell>
          <cell r="BE142">
            <v>0.69046345120705799</v>
          </cell>
          <cell r="BH142">
            <v>0.64741345086322344</v>
          </cell>
          <cell r="BI142">
            <v>0.7605259343199442</v>
          </cell>
        </row>
        <row r="144">
          <cell r="B144" t="str">
            <v>סה"כ עלויות אחזקת רשת ביוב ותקורת ביוב</v>
          </cell>
          <cell r="C144">
            <v>0.20075087769048255</v>
          </cell>
          <cell r="D144">
            <v>0.34431503535927854</v>
          </cell>
          <cell r="E144">
            <v>0.50743285010795247</v>
          </cell>
          <cell r="F144">
            <v>0.29110102186618525</v>
          </cell>
          <cell r="G144">
            <v>0.45479026702083825</v>
          </cell>
          <cell r="H144">
            <v>0.75</v>
          </cell>
          <cell r="I144">
            <v>0.80095329155559403</v>
          </cell>
          <cell r="J144">
            <v>0.34149302036043339</v>
          </cell>
          <cell r="K144">
            <v>0.56493266720507895</v>
          </cell>
          <cell r="L144">
            <v>0.41190444183792807</v>
          </cell>
          <cell r="M144">
            <v>0.52942222465746291</v>
          </cell>
          <cell r="N144">
            <v>0.58623521011103863</v>
          </cell>
          <cell r="O144">
            <v>0.55857632783975886</v>
          </cell>
          <cell r="P144">
            <v>0.62292953755749336</v>
          </cell>
          <cell r="Q144">
            <v>0.48390730116106417</v>
          </cell>
          <cell r="R144">
            <v>0.28828411655024672</v>
          </cell>
          <cell r="S144">
            <v>0.30163754812228349</v>
          </cell>
          <cell r="T144">
            <v>0.44510709342433902</v>
          </cell>
          <cell r="U144">
            <v>0.55517638847523243</v>
          </cell>
          <cell r="V144">
            <v>0.6090833700655226</v>
          </cell>
          <cell r="W144">
            <v>0.421445407996837</v>
          </cell>
          <cell r="X144">
            <v>0.51785885072255167</v>
          </cell>
          <cell r="Y144">
            <v>0.87939809759330001</v>
          </cell>
          <cell r="Z144">
            <v>0.54553540679672508</v>
          </cell>
          <cell r="AA144">
            <v>0.5314284150626204</v>
          </cell>
          <cell r="AB144">
            <v>0.20214040335721756</v>
          </cell>
          <cell r="AC144">
            <v>0.48082034681543895</v>
          </cell>
          <cell r="AD144">
            <v>0.39956771896239984</v>
          </cell>
          <cell r="AE144">
            <v>0.54993310001986007</v>
          </cell>
          <cell r="AF144">
            <v>0.53798913686129646</v>
          </cell>
          <cell r="AG144">
            <v>0.3273873740143956</v>
          </cell>
          <cell r="AH144">
            <v>0.42058813557108066</v>
          </cell>
          <cell r="AI144">
            <v>0.61429888444897085</v>
          </cell>
          <cell r="AJ144">
            <v>0.65952513938786439</v>
          </cell>
          <cell r="AK144">
            <v>0.37830820340948451</v>
          </cell>
          <cell r="AL144">
            <v>0.33015276254347248</v>
          </cell>
          <cell r="AM144">
            <v>0.64556096222945702</v>
          </cell>
          <cell r="AN144">
            <v>0.31256579362664094</v>
          </cell>
          <cell r="AO144">
            <v>0.30221183496672349</v>
          </cell>
          <cell r="AP144">
            <v>0.32139413984119219</v>
          </cell>
          <cell r="AQ144">
            <v>0.33964492077103847</v>
          </cell>
          <cell r="AR144">
            <v>0.72604351726832239</v>
          </cell>
          <cell r="AS144">
            <v>0.67563051276813546</v>
          </cell>
          <cell r="AT144">
            <v>0.41922983648326129</v>
          </cell>
          <cell r="AU144">
            <v>0.52372785567930402</v>
          </cell>
          <cell r="AV144">
            <v>0.47905835330208646</v>
          </cell>
          <cell r="AW144">
            <v>0.42005113364971308</v>
          </cell>
          <cell r="AX144">
            <v>0.35014872117938611</v>
          </cell>
          <cell r="AY144">
            <v>0.54288948278236737</v>
          </cell>
          <cell r="AZ144">
            <v>0.68690561662515093</v>
          </cell>
          <cell r="BA144">
            <v>0.40340232843834894</v>
          </cell>
          <cell r="BB144">
            <v>0.50961815706557878</v>
          </cell>
          <cell r="BC144">
            <v>0.91963076785562647</v>
          </cell>
          <cell r="BD144">
            <v>0.49170722282606472</v>
          </cell>
          <cell r="BE144">
            <v>0.52604259356574867</v>
          </cell>
          <cell r="BH144">
            <v>0.33964492077103847</v>
          </cell>
          <cell r="BI144">
            <v>0.3874320896486339</v>
          </cell>
        </row>
        <row r="146">
          <cell r="B146" t="str">
            <v>עלויות גביה</v>
          </cell>
          <cell r="C146">
            <v>0.44915648306060163</v>
          </cell>
          <cell r="D146">
            <v>0.32965789002576135</v>
          </cell>
          <cell r="E146">
            <v>0.49109064450263579</v>
          </cell>
          <cell r="F146">
            <v>0.34669146248666294</v>
          </cell>
          <cell r="G146">
            <v>0.49386525249096946</v>
          </cell>
          <cell r="H146">
            <v>0.75</v>
          </cell>
          <cell r="I146">
            <v>0.34280892003794688</v>
          </cell>
          <cell r="J146">
            <v>0.40370682996018059</v>
          </cell>
          <cell r="K146">
            <v>0.39544541043393988</v>
          </cell>
          <cell r="L146">
            <v>0.55318257149485084</v>
          </cell>
          <cell r="M146">
            <v>0.42726172763304798</v>
          </cell>
          <cell r="N146">
            <v>0.34268940472705645</v>
          </cell>
          <cell r="O146">
            <v>0.37279289164984647</v>
          </cell>
          <cell r="P146">
            <v>0.54097793276818007</v>
          </cell>
          <cell r="Q146">
            <v>0.46665424409751333</v>
          </cell>
          <cell r="R146">
            <v>0.41350271364380586</v>
          </cell>
          <cell r="S146">
            <v>0.4386167840324105</v>
          </cell>
          <cell r="T146">
            <v>0.37552123227527689</v>
          </cell>
          <cell r="U146">
            <v>0.79632330290632025</v>
          </cell>
          <cell r="V146">
            <v>0.48781954815764739</v>
          </cell>
          <cell r="W146">
            <v>0.3802652368892393</v>
          </cell>
          <cell r="X146">
            <v>0.34215600182710837</v>
          </cell>
          <cell r="Y146">
            <v>0.50594423605924821</v>
          </cell>
          <cell r="Z146">
            <v>0.42110513222641621</v>
          </cell>
          <cell r="AA146">
            <v>0.38648773093212363</v>
          </cell>
          <cell r="AB146">
            <v>1.3242072763274044</v>
          </cell>
          <cell r="AC146">
            <v>0.37074845248365201</v>
          </cell>
          <cell r="AD146">
            <v>0.43761456297565554</v>
          </cell>
          <cell r="AE146">
            <v>0.52152041449011488</v>
          </cell>
          <cell r="AF146">
            <v>0.3699068359569872</v>
          </cell>
          <cell r="AG146">
            <v>0.452968084243494</v>
          </cell>
          <cell r="AH146">
            <v>0.27083848190929027</v>
          </cell>
          <cell r="AI146">
            <v>0.34008611916416603</v>
          </cell>
          <cell r="AJ146">
            <v>0.44712181370995951</v>
          </cell>
          <cell r="AK146">
            <v>0.47832395364470265</v>
          </cell>
          <cell r="AL146">
            <v>0.49120883017096384</v>
          </cell>
          <cell r="AM146">
            <v>0.31181126899005923</v>
          </cell>
          <cell r="AN146">
            <v>0.42069535453864115</v>
          </cell>
          <cell r="AO146">
            <v>0.46975940367912644</v>
          </cell>
          <cell r="AP146">
            <v>0.46251336510935853</v>
          </cell>
          <cell r="AQ146">
            <v>0.38929133523550863</v>
          </cell>
          <cell r="AR146">
            <v>0.33517771866324542</v>
          </cell>
          <cell r="AS146">
            <v>0.47847746903519822</v>
          </cell>
          <cell r="AT146">
            <v>0.43017934500854949</v>
          </cell>
          <cell r="AU146">
            <v>0.36705440903289532</v>
          </cell>
          <cell r="AV146">
            <v>0.40977119427421854</v>
          </cell>
          <cell r="AW146">
            <v>0.40438418484880934</v>
          </cell>
          <cell r="AX146">
            <v>0.43199680138814228</v>
          </cell>
          <cell r="AY146">
            <v>0.41132615449622034</v>
          </cell>
          <cell r="AZ146">
            <v>0.38463352504297782</v>
          </cell>
          <cell r="BA146">
            <v>0.35719389580872402</v>
          </cell>
          <cell r="BB146">
            <v>0.30099651831752317</v>
          </cell>
          <cell r="BC146">
            <v>0.23349922722940769</v>
          </cell>
          <cell r="BD146">
            <v>0.47053798390025681</v>
          </cell>
          <cell r="BE146">
            <v>0.37916302796579238</v>
          </cell>
          <cell r="BH146">
            <v>0.38929133523550863</v>
          </cell>
          <cell r="BI146">
            <v>0.42990049597452179</v>
          </cell>
        </row>
        <row r="148">
          <cell r="B148" t="str">
            <v>עלויות הנהלה וכלליות</v>
          </cell>
          <cell r="C148">
            <v>0.16293010743730277</v>
          </cell>
          <cell r="D148">
            <v>0.16451408273482221</v>
          </cell>
          <cell r="E148">
            <v>0.27972516857238405</v>
          </cell>
          <cell r="F148">
            <v>0.13911540997378119</v>
          </cell>
          <cell r="G148">
            <v>0.15621631997691005</v>
          </cell>
          <cell r="H148">
            <v>0.75</v>
          </cell>
          <cell r="I148">
            <v>0.16451408273482221</v>
          </cell>
          <cell r="J148">
            <v>0.14943201477727133</v>
          </cell>
          <cell r="K148">
            <v>0.1505416102838685</v>
          </cell>
          <cell r="L148">
            <v>0.16451408273482221</v>
          </cell>
          <cell r="M148">
            <v>0.14943201477727133</v>
          </cell>
          <cell r="N148">
            <v>0.14943201477727133</v>
          </cell>
          <cell r="O148">
            <v>0.15452707854969244</v>
          </cell>
          <cell r="P148">
            <v>0.27972516857238405</v>
          </cell>
          <cell r="Q148">
            <v>0.15021336143691097</v>
          </cell>
          <cell r="R148">
            <v>0.15452707854969244</v>
          </cell>
          <cell r="S148">
            <v>0.16293010743730277</v>
          </cell>
          <cell r="T148">
            <v>0.1505416102838685</v>
          </cell>
          <cell r="U148">
            <v>0.26895551764254605</v>
          </cell>
          <cell r="V148">
            <v>0.27972516857238405</v>
          </cell>
          <cell r="W148">
            <v>0.1505416102838685</v>
          </cell>
          <cell r="X148">
            <v>0.1505416102838685</v>
          </cell>
          <cell r="Y148">
            <v>0.23057442029500094</v>
          </cell>
          <cell r="Z148">
            <v>0.15373784759336429</v>
          </cell>
          <cell r="AA148">
            <v>0.16915755752525979</v>
          </cell>
          <cell r="AB148">
            <v>0.15021336143691097</v>
          </cell>
          <cell r="AC148">
            <v>0.16915755752525979</v>
          </cell>
          <cell r="AD148">
            <v>0.16915755752525979</v>
          </cell>
          <cell r="AE148">
            <v>0.15373784759336429</v>
          </cell>
          <cell r="AF148">
            <v>0.15621631997691005</v>
          </cell>
          <cell r="AG148">
            <v>0.23057442029500094</v>
          </cell>
          <cell r="AH148">
            <v>0.15021336143691097</v>
          </cell>
          <cell r="AI148">
            <v>0.16293010743730277</v>
          </cell>
          <cell r="AJ148">
            <v>0.15373784759336429</v>
          </cell>
          <cell r="AK148">
            <v>0.15373784759336429</v>
          </cell>
          <cell r="AL148">
            <v>0.13875235390994139</v>
          </cell>
          <cell r="AM148">
            <v>0.14943201477727133</v>
          </cell>
          <cell r="AN148">
            <v>0.13875235390994139</v>
          </cell>
          <cell r="AO148">
            <v>0.13875235390994139</v>
          </cell>
          <cell r="AP148">
            <v>0.15452707854969244</v>
          </cell>
          <cell r="AQ148">
            <v>0.16293010743730277</v>
          </cell>
          <cell r="AR148">
            <v>0.16451408273482221</v>
          </cell>
          <cell r="AS148">
            <v>0.15373784759336429</v>
          </cell>
          <cell r="AT148">
            <v>0.15373784759336429</v>
          </cell>
          <cell r="AU148">
            <v>0.16915755752525979</v>
          </cell>
          <cell r="AV148">
            <v>0.23057442029500094</v>
          </cell>
          <cell r="AW148">
            <v>0.23057442029500094</v>
          </cell>
          <cell r="AX148">
            <v>0.15621631997691005</v>
          </cell>
          <cell r="AY148">
            <v>0.15021336143691097</v>
          </cell>
          <cell r="AZ148">
            <v>0.16451408273482221</v>
          </cell>
          <cell r="BA148">
            <v>0.1505416102838685</v>
          </cell>
          <cell r="BB148">
            <v>0.16915755752525979</v>
          </cell>
          <cell r="BC148">
            <v>0.15021336143691097</v>
          </cell>
          <cell r="BD148">
            <v>0.16915755752525979</v>
          </cell>
          <cell r="BE148">
            <v>0.16293010743730277</v>
          </cell>
          <cell r="BH148">
            <v>0.16293010743730277</v>
          </cell>
          <cell r="BI148">
            <v>0.16293010743730277</v>
          </cell>
        </row>
        <row r="150">
          <cell r="B150" t="str">
            <v>סה"כ נורמת תפעול 2015 לאחר קטימה</v>
          </cell>
          <cell r="C150">
            <v>1.2777813266183469</v>
          </cell>
          <cell r="D150">
            <v>1.3455131892866568</v>
          </cell>
          <cell r="E150">
            <v>2.0506573221421451</v>
          </cell>
          <cell r="F150">
            <v>1.4649176023928445</v>
          </cell>
          <cell r="G150">
            <v>1.5883554325742497</v>
          </cell>
          <cell r="H150">
            <v>3</v>
          </cell>
          <cell r="I150">
            <v>2.0458620388319755</v>
          </cell>
          <cell r="J150">
            <v>1.4681401069108473</v>
          </cell>
          <cell r="K150">
            <v>1.5448848018772809</v>
          </cell>
          <cell r="L150">
            <v>1.7496334983935944</v>
          </cell>
          <cell r="M150">
            <v>1.6769864162031072</v>
          </cell>
          <cell r="N150">
            <v>1.7713680743984379</v>
          </cell>
          <cell r="O150">
            <v>1.675296078294501</v>
          </cell>
          <cell r="P150">
            <v>2.5822892493517755</v>
          </cell>
          <cell r="Q150">
            <v>1.7240189386418212</v>
          </cell>
          <cell r="R150">
            <v>1.3836981996254518</v>
          </cell>
          <cell r="S150">
            <v>1.656440186146902</v>
          </cell>
          <cell r="T150">
            <v>1.7287807129398576</v>
          </cell>
          <cell r="U150">
            <v>2.0454173304294585</v>
          </cell>
          <cell r="V150">
            <v>2.2726977312079071</v>
          </cell>
          <cell r="W150">
            <v>1.6526840611048084</v>
          </cell>
          <cell r="X150">
            <v>1.6905995268323253</v>
          </cell>
          <cell r="Y150">
            <v>2.2937614791759025</v>
          </cell>
          <cell r="Z150">
            <v>1.7986730497153136</v>
          </cell>
          <cell r="AA150">
            <v>1.9257062253410775</v>
          </cell>
          <cell r="AB150">
            <v>1.9926756048880807</v>
          </cell>
          <cell r="AC150">
            <v>1.6003480201191169</v>
          </cell>
          <cell r="AD150">
            <v>1.7206749044116498</v>
          </cell>
          <cell r="AE150">
            <v>2.3081222736689688</v>
          </cell>
          <cell r="AF150">
            <v>1.6293798982442123</v>
          </cell>
          <cell r="AG150">
            <v>1.5958835119481507</v>
          </cell>
          <cell r="AH150">
            <v>1.3565371803562891</v>
          </cell>
          <cell r="AI150">
            <v>1.7570303529839606</v>
          </cell>
          <cell r="AJ150">
            <v>1.7668869173929305</v>
          </cell>
          <cell r="AK150">
            <v>1.4838101593851745</v>
          </cell>
          <cell r="AL150">
            <v>1.5362828016671843</v>
          </cell>
          <cell r="AM150">
            <v>1.8747324672480612</v>
          </cell>
          <cell r="AN150">
            <v>1.4805674899647363</v>
          </cell>
          <cell r="AO150">
            <v>1.5441765540864196</v>
          </cell>
          <cell r="AP150">
            <v>1.4157536515886469</v>
          </cell>
          <cell r="AQ150">
            <v>1.5392798143070734</v>
          </cell>
          <cell r="AR150">
            <v>2.0627543005586957</v>
          </cell>
          <cell r="AS150">
            <v>2.0912776278182976</v>
          </cell>
          <cell r="AT150">
            <v>1.4605295715182609</v>
          </cell>
          <cell r="AU150">
            <v>1.7498281055221638</v>
          </cell>
          <cell r="AV150">
            <v>1.8589898382621914</v>
          </cell>
          <cell r="AW150">
            <v>1.5986066279103612</v>
          </cell>
          <cell r="AX150">
            <v>1.4107155232374746</v>
          </cell>
          <cell r="AY150">
            <v>1.6772625008249222</v>
          </cell>
          <cell r="AZ150">
            <v>2.013065012813875</v>
          </cell>
          <cell r="BA150">
            <v>1.446870060507641</v>
          </cell>
          <cell r="BB150">
            <v>1.4102416250579104</v>
          </cell>
          <cell r="BC150">
            <v>1.7777426390429925</v>
          </cell>
          <cell r="BD150">
            <v>1.6377588711291249</v>
          </cell>
          <cell r="BE150">
            <v>1.758599180175902</v>
          </cell>
          <cell r="BH150">
            <v>1.5392798143070734</v>
          </cell>
          <cell r="BI150">
            <v>1.7407886273804027</v>
          </cell>
        </row>
      </sheetData>
      <sheetData sheetId="27"/>
      <sheetData sheetId="28"/>
      <sheetData sheetId="29"/>
      <sheetData sheetId="30"/>
      <sheetData sheetId="31"/>
      <sheetData sheetId="32"/>
      <sheetData sheetId="33"/>
      <sheetData sheetId="34"/>
      <sheetData sheetId="35"/>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נרגיה "/>
      <sheetName val="קריית מלאכי תשתיות נוספות "/>
      <sheetName val="גדרה תשתיות שנוספו"/>
      <sheetName val="בני עייש "/>
      <sheetName val="בני עייש נכסים לעדכן "/>
      <sheetName val="אורות "/>
    </sheetNames>
    <sheetDataSet>
      <sheetData sheetId="0" refreshError="1"/>
      <sheetData sheetId="1">
        <row r="5">
          <cell r="K5">
            <v>937548.5</v>
          </cell>
        </row>
        <row r="7">
          <cell r="K7">
            <v>1081775</v>
          </cell>
        </row>
        <row r="8">
          <cell r="K8">
            <v>881490.6</v>
          </cell>
        </row>
        <row r="15">
          <cell r="K15">
            <v>3564709</v>
          </cell>
        </row>
        <row r="16">
          <cell r="K16">
            <v>3055020</v>
          </cell>
        </row>
      </sheetData>
      <sheetData sheetId="2">
        <row r="29">
          <cell r="M29">
            <v>2941149.5520000006</v>
          </cell>
        </row>
        <row r="30">
          <cell r="M30">
            <v>4411724.3280000007</v>
          </cell>
        </row>
        <row r="31">
          <cell r="M31">
            <v>801664.47</v>
          </cell>
        </row>
      </sheetData>
      <sheetData sheetId="3">
        <row r="23">
          <cell r="H23">
            <v>198295</v>
          </cell>
        </row>
        <row r="27">
          <cell r="H27">
            <v>255674.5</v>
          </cell>
        </row>
        <row r="31">
          <cell r="H31">
            <v>1113630</v>
          </cell>
        </row>
      </sheetData>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התפלגות מים 2009"/>
      <sheetName val="התפלגות מים 2008"/>
      <sheetName val="נתוני מים 2008"/>
      <sheetName val="תאגידים ומט&quot;שים יוני 2010"/>
      <sheetName val="המדד המשוקלל"/>
      <sheetName val="מדדי חשמל"/>
      <sheetName val="מדד תפוקות התעשייה"/>
      <sheetName val="מדד המחירים לצרכן"/>
      <sheetName val="מדד שכר ציבורי"/>
      <sheetName val="תאגידים ומט&quot;שים מעודכן"/>
      <sheetName val="עלויות תפעול לשנת 2012 חלש מתקד"/>
      <sheetName val="עלויות תפעול לשנת 2012"/>
      <sheetName val="נתוני מים 2010"/>
      <sheetName val="התפלגות מים 2010"/>
      <sheetName val="נתוני תאגידים לשנת 2012"/>
      <sheetName val="אשכול חברתי לרשויות"/>
      <sheetName val="הנחות עבודה כלליות"/>
      <sheetName val="התפלגות מים 2011"/>
      <sheetName val="נתוני מים 2011 מעודכן"/>
      <sheetName val="התפלגות מים 2011 מעודכן"/>
      <sheetName val="נתוני מים 2011"/>
      <sheetName val="נתוני מים 2012"/>
      <sheetName val="התפלגות מים 2012"/>
      <sheetName val="אשכול חברתי מעודכן"/>
      <sheetName val="נתוני תאגידים"/>
      <sheetName val="תחשיב להיטל מופחת"/>
      <sheetName val="סל הצמדות 112 א"/>
      <sheetName val="גיליון סימולציות"/>
      <sheetName val="תעריפי שפדן עם הסכמים"/>
      <sheetName val="מטשים 2013"/>
      <sheetName val="ריכוז נתוני תאגידים"/>
      <sheetName val="תעריף מוצע"/>
      <sheetName val="עלויות ממוצעות לקוב"/>
      <sheetName val="ביוביות"/>
      <sheetName val="הוצאות תפעול"/>
      <sheetName val="פחת מים וגביה"/>
      <sheetName val="פחת מים וגביה מוצע"/>
      <sheetName val="ריכוז נתונים"/>
      <sheetName val="נתונים לגלעד"/>
      <sheetName val="תעריפי 2014"/>
      <sheetName val="בדיקת החזר צרכנים"/>
      <sheetName val="גיליון4"/>
      <sheetName val="גיליון2"/>
      <sheetName val="תעריפי יולי 2013"/>
      <sheetName val="רשימת נכסים מהקובץ"/>
      <sheetName val="נתוני דיווח רשויות מקומיות 2010"/>
      <sheetName val="תעריף השלמה לרשויות מקומיות"/>
      <sheetName val="יחס רכוש בדוחות לסקר נכסים"/>
      <sheetName val="גיליון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
          <cell r="D3" t="str">
            <v>מי ברק</v>
          </cell>
        </row>
        <row r="315">
          <cell r="D315">
            <v>9.8319480662872909</v>
          </cell>
        </row>
      </sheetData>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דף שער"/>
      <sheetName val="תוכן"/>
      <sheetName val="כללי"/>
      <sheetName val="מעלות"/>
      <sheetName val="כ. ורדים"/>
      <sheetName val="שלומי"/>
      <sheetName val="כסרא-סמיע"/>
      <sheetName val="א5"/>
      <sheetName val="ינוח-ג'ת"/>
      <sheetName val="פקיעין"/>
      <sheetName val="פסוטה"/>
      <sheetName val="מעיליא"/>
      <sheetName val="חורפיש"/>
      <sheetName val="נתוני הכנסות"/>
      <sheetName val="נתוני הוצאות"/>
      <sheetName val="רכוש קבוע"/>
      <sheetName val="מימון"/>
      <sheetName val="רוו&quot;ה"/>
      <sheetName val="מאזן"/>
      <sheetName val="תזרים"/>
      <sheetName val="ביאורים"/>
      <sheetName val="מיסים "/>
      <sheetName val="תוכנית השקעות"/>
      <sheetName val="תחשיבי חלוקת בעלות"/>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43">
          <cell r="E243">
            <v>8068900</v>
          </cell>
        </row>
        <row r="247">
          <cell r="G247">
            <v>15600</v>
          </cell>
        </row>
        <row r="251">
          <cell r="E251">
            <v>189526</v>
          </cell>
        </row>
        <row r="260">
          <cell r="G260">
            <v>2590429</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התפלגות מים 2009"/>
      <sheetName val="התפלגות מים 2008"/>
      <sheetName val="נתוני מים 2008"/>
      <sheetName val="תאגידים ומט&quot;שים יוני 2010"/>
      <sheetName val="המדד המשוקלל"/>
      <sheetName val="מדדי חשמל"/>
      <sheetName val="מדד תפוקות התעשייה"/>
      <sheetName val="מדד המחירים לצרכן"/>
      <sheetName val="מדד שכר ציבורי"/>
      <sheetName val="תאגידים ומט&quot;שים מעודכן"/>
      <sheetName val="עלויות תפעול לשנת 2012 חלש מתקד"/>
      <sheetName val="עלויות תפעול לשנת 2012"/>
      <sheetName val="נתוני מים 2010"/>
      <sheetName val="התפלגות מים 2010"/>
      <sheetName val="נתוני תאגידים לשנת 2012"/>
      <sheetName val="אשכול חברתי לרשויות"/>
      <sheetName val="הנחות עבודה כלליות"/>
      <sheetName val="התפלגות מים 2011"/>
      <sheetName val="נתוני מים 2011 מעודכן"/>
      <sheetName val="התפלגות מים 2011 מעודכן"/>
      <sheetName val="נתוני מים 2011"/>
      <sheetName val="נתוני מים 2012"/>
      <sheetName val="התפלגות מים 2012"/>
      <sheetName val="אשכול חברתי מעודכן"/>
      <sheetName val="נתוני תאגידים"/>
      <sheetName val="תחשיב להיטל מופחת"/>
      <sheetName val="סל הצמדות 112 א"/>
      <sheetName val="גיליון סימולציות"/>
      <sheetName val="תעריפי שפדן עם הסכמים"/>
      <sheetName val="מטשים 2013"/>
      <sheetName val="ריכוז נתוני תאגידים"/>
      <sheetName val="תעריף מוצע"/>
      <sheetName val="עלויות ממוצעות לקוב"/>
      <sheetName val="ביוביות"/>
      <sheetName val="הוצאות תפעול"/>
      <sheetName val="פחת מים וגביה"/>
      <sheetName val="פחת מים וגביה מוצע"/>
      <sheetName val="ריכוז נתונים"/>
      <sheetName val="נתונים לגלעד"/>
      <sheetName val="תעריפי 2014"/>
      <sheetName val="בדיקת החזר צרכנים"/>
      <sheetName val="גיליון4"/>
      <sheetName val="גיליון2"/>
      <sheetName val="תעריפי יולי 2013"/>
      <sheetName val="רשימת נכסים מהקובץ"/>
      <sheetName val="נתוני דיווח רשויות מקומיות 2010"/>
      <sheetName val="תעריף השלמה לרשויות מקומיות"/>
      <sheetName val="יחס רכוש בדוחות לסקר נכסים"/>
      <sheetName val="גיליון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2">
          <cell r="B2" t="str">
            <v>טורעאן</v>
          </cell>
          <cell r="C2" t="str">
            <v xml:space="preserve">אילת </v>
          </cell>
          <cell r="D2" t="str">
            <v>אשדוד</v>
          </cell>
          <cell r="E2" t="str">
            <v>אום אל-פחם</v>
          </cell>
          <cell r="F2" t="str">
            <v>אזור</v>
          </cell>
          <cell r="G2" t="str">
            <v>אכסאל</v>
          </cell>
          <cell r="H2" t="str">
            <v>אלעד</v>
          </cell>
          <cell r="I2" t="str">
            <v>באר שבע</v>
          </cell>
          <cell r="J2" t="str">
            <v>בסמ"ה</v>
          </cell>
          <cell r="K2" t="str">
            <v>ראמה</v>
          </cell>
          <cell r="L2" t="str">
            <v>מגאר</v>
          </cell>
          <cell r="M2" t="str">
            <v>אבו גוש</v>
          </cell>
          <cell r="N2" t="str">
            <v>אורנית</v>
          </cell>
          <cell r="O2" t="str">
            <v xml:space="preserve">אעבלין  </v>
          </cell>
          <cell r="P2" t="str">
            <v>גוש חלב</v>
          </cell>
          <cell r="Q2" t="str">
            <v>דבורייה</v>
          </cell>
          <cell r="R2" t="str">
            <v>דיר חנא</v>
          </cell>
          <cell r="S2" t="str">
            <v>הוד השרון</v>
          </cell>
          <cell r="T2" t="str">
            <v>הרצליה</v>
          </cell>
          <cell r="U2" t="str">
            <v>חצור הגלילית</v>
          </cell>
          <cell r="V2" t="str">
            <v>טבריה</v>
          </cell>
          <cell r="W2" t="str">
            <v>טובא-זנגרייה</v>
          </cell>
          <cell r="X2" t="str">
            <v>יבנאל</v>
          </cell>
          <cell r="Y2" t="str">
            <v>יפיע</v>
          </cell>
          <cell r="Z2" t="str">
            <v>כסרא-סמיע</v>
          </cell>
          <cell r="AA2" t="str">
            <v>כפר קרע</v>
          </cell>
          <cell r="AB2" t="str">
            <v>ראוכב</v>
          </cell>
          <cell r="AC2" t="str">
            <v>כפר ברא</v>
          </cell>
          <cell r="AD2" t="str">
            <v>כפר ורדים</v>
          </cell>
          <cell r="AE2" t="str">
            <v>כפר כנא</v>
          </cell>
          <cell r="AF2" t="str">
            <v>לוד</v>
          </cell>
          <cell r="AG2" t="str">
            <v>מעיליה</v>
          </cell>
          <cell r="AH2" t="str">
            <v>מעלות-תרשיחא</v>
          </cell>
          <cell r="AI2" t="str">
            <v>בוקעאתא</v>
          </cell>
          <cell r="AJ2" t="str">
            <v>משהד</v>
          </cell>
          <cell r="AK2" t="str">
            <v>מסעדה</v>
          </cell>
          <cell r="AL2" t="str">
            <v>מעלה עירון</v>
          </cell>
          <cell r="AM2" t="str">
            <v>סכנין</v>
          </cell>
          <cell r="AN2" t="str">
            <v>עין מאהל</v>
          </cell>
          <cell r="AO2" t="str">
            <v>עילבון</v>
          </cell>
          <cell r="AP2" t="str">
            <v>שלומי</v>
          </cell>
          <cell r="AQ2" t="str">
            <v xml:space="preserve">שפרעם </v>
          </cell>
          <cell r="AR2" t="str">
            <v>ריינה</v>
          </cell>
          <cell r="AS2" t="str">
            <v xml:space="preserve">שעב </v>
          </cell>
          <cell r="AT2" t="str">
            <v>טמרה</v>
          </cell>
          <cell r="AU2" t="str">
            <v xml:space="preserve">מגדל </v>
          </cell>
          <cell r="AV2" t="str">
            <v>עמנואל</v>
          </cell>
          <cell r="AW2" t="str">
            <v>עראבה</v>
          </cell>
          <cell r="AX2" t="str">
            <v>עילוט</v>
          </cell>
          <cell r="AY2" t="str">
            <v>עין קיניא</v>
          </cell>
          <cell r="AZ2" t="str">
            <v>צפת</v>
          </cell>
          <cell r="BA2" t="str">
            <v>קלנסואה</v>
          </cell>
          <cell r="BB2" t="str">
            <v>קריית אתא</v>
          </cell>
          <cell r="BC2" t="str">
            <v>קריית גת</v>
          </cell>
          <cell r="BD2" t="str">
            <v>קצרין</v>
          </cell>
          <cell r="BE2" t="str">
            <v>קרית-ים</v>
          </cell>
          <cell r="BF2" t="str">
            <v>רמת השרון</v>
          </cell>
          <cell r="BG2" t="str">
            <v>רעננה</v>
          </cell>
          <cell r="BH2" t="str">
            <v>נצרת</v>
          </cell>
          <cell r="BI2" t="str">
            <v>קרית שמונה</v>
          </cell>
          <cell r="BJ2" t="str">
            <v>קרית אתא</v>
          </cell>
          <cell r="BK2" t="str">
            <v>קצרין</v>
          </cell>
          <cell r="BL2" t="str">
            <v>אזור</v>
          </cell>
          <cell r="BM2" t="str">
            <v>בני ברק</v>
          </cell>
          <cell r="BN2" t="str">
            <v>קרני שומרון</v>
          </cell>
          <cell r="BO2" t="str">
            <v>נס ציונה</v>
          </cell>
          <cell r="BP2" t="str">
            <v>רמלה</v>
          </cell>
          <cell r="BQ2" t="str">
            <v>בלשה-ילון</v>
          </cell>
          <cell r="BR2" t="str">
            <v>כסרא-סמיע</v>
          </cell>
          <cell r="BS2" t="str">
            <v>חולון</v>
          </cell>
          <cell r="BT2" t="str">
            <v>הרצליה</v>
          </cell>
          <cell r="BU2" t="str">
            <v>חיפה</v>
          </cell>
          <cell r="BV2" t="str">
            <v xml:space="preserve">ירושלים </v>
          </cell>
          <cell r="BW2" t="str">
            <v>קדימה צורן</v>
          </cell>
          <cell r="BX2" t="str">
            <v>רהט</v>
          </cell>
          <cell r="BY2" t="str">
            <v>מגדל העמק</v>
          </cell>
          <cell r="BZ2" t="str">
            <v>יבנה</v>
          </cell>
          <cell r="CA2" t="str">
            <v>ג'דידה אלמכר</v>
          </cell>
          <cell r="CB2" t="str">
            <v>כפר יונה</v>
          </cell>
          <cell r="CC2" t="str">
            <v>גדרה</v>
          </cell>
          <cell r="CD2" t="str">
            <v>קריית עקרון</v>
          </cell>
          <cell r="CE2" t="str">
            <v>רחובות</v>
          </cell>
          <cell r="CF2" t="str">
            <v>יסוד המעלה</v>
          </cell>
          <cell r="CG2" t="str">
            <v>כרמיאל</v>
          </cell>
          <cell r="CH2" t="str">
            <v>קריית מוצקין</v>
          </cell>
          <cell r="CI2" t="str">
            <v>קריית ביאליק</v>
          </cell>
          <cell r="CJ2" t="str">
            <v>ראש העין</v>
          </cell>
          <cell r="CK2" t="str">
            <v>גוש חלב</v>
          </cell>
          <cell r="CL2" t="str">
            <v>גן יבנה</v>
          </cell>
          <cell r="CM2" t="str">
            <v>מזכרת בתיה</v>
          </cell>
          <cell r="CN2" t="str">
            <v>בני עייש</v>
          </cell>
          <cell r="CO2" t="str">
            <v>קריית מלאכי</v>
          </cell>
          <cell r="CP2" t="str">
            <v>תל שבע</v>
          </cell>
          <cell r="CQ2" t="str">
            <v>לקיה</v>
          </cell>
          <cell r="CR2" t="str">
            <v>כסיפה</v>
          </cell>
          <cell r="CS2" t="str">
            <v>ערערה בנגב</v>
          </cell>
          <cell r="CT2" t="str">
            <v>תל מונד</v>
          </cell>
          <cell r="CU2" t="str">
            <v>פרדסיה</v>
          </cell>
          <cell r="CV2" t="str">
            <v>אבן יהודה</v>
          </cell>
          <cell r="CW2" t="str">
            <v>כפר סבא</v>
          </cell>
          <cell r="CX2" t="str">
            <v>אבו סנאן</v>
          </cell>
          <cell r="CY2" t="str">
            <v xml:space="preserve">כאבול </v>
          </cell>
          <cell r="CZ2" t="str">
            <v>כפר יאסיף</v>
          </cell>
          <cell r="DA2" t="str">
            <v>ירכא</v>
          </cell>
          <cell r="DB2" t="str">
            <v xml:space="preserve">בסמת טבעון </v>
          </cell>
          <cell r="DC2" t="str">
            <v xml:space="preserve">כפר מנדא </v>
          </cell>
          <cell r="DD2" t="str">
            <v>זרזיר</v>
          </cell>
          <cell r="DE2" t="str">
            <v>אל שאג'ור</v>
          </cell>
          <cell r="DF2" t="str">
            <v>רמת גן</v>
          </cell>
          <cell r="DG2" t="str">
            <v xml:space="preserve">ג'וליס </v>
          </cell>
          <cell r="DH2" t="str">
            <v xml:space="preserve">בת ים </v>
          </cell>
          <cell r="DI2" t="str">
            <v xml:space="preserve">גבעתיים </v>
          </cell>
          <cell r="DJ2" t="str">
            <v xml:space="preserve">קרית אונו </v>
          </cell>
          <cell r="DK2" t="str">
            <v xml:space="preserve">פתח תקוה </v>
          </cell>
          <cell r="DL2" t="str">
            <v>נתניה</v>
          </cell>
          <cell r="DM2" t="str">
            <v>גני תקווה</v>
          </cell>
          <cell r="DN2">
            <v>0</v>
          </cell>
          <cell r="DO2" t="str">
            <v xml:space="preserve">נצרת עילית </v>
          </cell>
          <cell r="DP2" t="str">
            <v>מודיעין-מכבים-רעות</v>
          </cell>
          <cell r="DQ2" t="str">
            <v>צור יגאל</v>
          </cell>
          <cell r="DR2" t="str">
            <v>נחף</v>
          </cell>
          <cell r="DS2" t="str">
            <v>סאג'ור</v>
          </cell>
          <cell r="DT2" t="str">
            <v>בית שמש</v>
          </cell>
          <cell r="DU2" t="str">
            <v xml:space="preserve">אשקלון </v>
          </cell>
          <cell r="DV2" t="str">
            <v>נתיבות</v>
          </cell>
          <cell r="DW2" t="str">
            <v>דליית אל כרמל</v>
          </cell>
          <cell r="DX2" t="str">
            <v>עוספייה</v>
          </cell>
          <cell r="DY2" t="str">
            <v>כפר קאסם</v>
          </cell>
          <cell r="DZ2" t="str">
            <v>אור עקיבא</v>
          </cell>
          <cell r="EA2" t="str">
            <v>אליכין</v>
          </cell>
          <cell r="EB2" t="str">
            <v>קריית ים</v>
          </cell>
          <cell r="EC2" t="str">
            <v>קריית טבעון</v>
          </cell>
          <cell r="ED2" t="str">
            <v>בינימיה-גבעת עדה</v>
          </cell>
          <cell r="EE2" t="str">
            <v>רמת ישי</v>
          </cell>
          <cell r="EF2" t="str">
            <v>גבעת שמואל</v>
          </cell>
          <cell r="EG2" t="str">
            <v xml:space="preserve">ג'לג'וליה </v>
          </cell>
          <cell r="EH2" t="str">
            <v>מיתר</v>
          </cell>
          <cell r="EI2" t="str">
            <v>מבשרת ציון</v>
          </cell>
          <cell r="EJ2" t="str">
            <v>בית דגן</v>
          </cell>
          <cell r="EK2" t="str">
            <v>זכרון יעקב</v>
          </cell>
          <cell r="EL2" t="str">
            <v>פרדיס</v>
          </cell>
          <cell r="EM2" t="str">
            <v>טירה</v>
          </cell>
          <cell r="EN2" t="str">
            <v>עכו</v>
          </cell>
          <cell r="EO2" t="str">
            <v>יבניאל</v>
          </cell>
          <cell r="EP2" t="str">
            <v>קלנסואה</v>
          </cell>
          <cell r="EQ2" t="str">
            <v>יקנעם עילית</v>
          </cell>
          <cell r="ER2" t="str">
            <v>בית שאן</v>
          </cell>
          <cell r="ES2" t="str">
            <v>דימונה</v>
          </cell>
          <cell r="ET2" t="str">
            <v>ערד</v>
          </cell>
          <cell r="EU2" t="str">
            <v>ירוחם</v>
          </cell>
          <cell r="EV2" t="str">
            <v>מצפה רמון</v>
          </cell>
          <cell r="EW2" t="str">
            <v>יאנוח ג'ת</v>
          </cell>
          <cell r="EX2" t="str">
            <v>פקיעין</v>
          </cell>
          <cell r="EY2" t="str">
            <v>חורפיש</v>
          </cell>
          <cell r="EZ2" t="str">
            <v>מעיליה</v>
          </cell>
          <cell r="FA2" t="str">
            <v>תל אביב-יפו</v>
          </cell>
          <cell r="FB2" t="str">
            <v>שיבלי</v>
          </cell>
          <cell r="FC2" t="str">
            <v>אריאל</v>
          </cell>
          <cell r="FD2" t="str">
            <v>שוהם</v>
          </cell>
          <cell r="FE2" t="str">
            <v>כפר שמריהו</v>
          </cell>
          <cell r="FF2" t="str">
            <v>חדרה</v>
          </cell>
          <cell r="FG2" t="str">
            <v>בועיינה-נוג'ידאת</v>
          </cell>
          <cell r="FH2" t="str">
            <v xml:space="preserve">מטולה </v>
          </cell>
          <cell r="FI2" t="str">
            <v>אופקים</v>
          </cell>
          <cell r="FJ2" t="str">
            <v>מזרעה</v>
          </cell>
          <cell r="FK2" t="str">
            <v>חורה</v>
          </cell>
          <cell r="FL2" t="str">
            <v>ראשון לציון</v>
          </cell>
          <cell r="FM2" t="str">
            <v>שגב שלום</v>
          </cell>
          <cell r="FN2" t="str">
            <v>כפר כמא</v>
          </cell>
          <cell r="FO2" t="str">
            <v>כאוכב</v>
          </cell>
          <cell r="FP2" t="str">
            <v>ביר אל מכסור</v>
          </cell>
          <cell r="FQ2" t="str">
            <v>פסוטה</v>
          </cell>
          <cell r="FR2" t="str">
            <v>בית ג'אן</v>
          </cell>
          <cell r="FS2" t="str">
            <v>מגדל</v>
          </cell>
          <cell r="FT2" t="str">
            <v>ערערה</v>
          </cell>
          <cell r="FU2" t="str">
            <v>באקה ג'את</v>
          </cell>
          <cell r="FV2" t="str">
            <v>רכסים</v>
          </cell>
          <cell r="FW2" t="str">
            <v>אור יהודה</v>
          </cell>
          <cell r="FX2" t="str">
            <v>יהוד מונוסון</v>
          </cell>
          <cell r="FY2" t="str">
            <v>עפולה</v>
          </cell>
          <cell r="FZ2" t="str">
            <v>מג'דל שמס</v>
          </cell>
          <cell r="GA2" t="str">
            <v>זמר</v>
          </cell>
          <cell r="GB2" t="str">
            <v>קריית יערים</v>
          </cell>
          <cell r="GC2" t="str">
            <v>בענה</v>
          </cell>
          <cell r="GD2" t="str">
            <v>מג'דל כרום</v>
          </cell>
          <cell r="GE2" t="str">
            <v>דיר אלאסד</v>
          </cell>
          <cell r="GF2" t="str">
            <v>טירת הכרמל</v>
          </cell>
        </row>
        <row r="3">
          <cell r="B3" t="str">
            <v>₪</v>
          </cell>
          <cell r="C3" t="str">
            <v>₪</v>
          </cell>
          <cell r="D3" t="str">
            <v>₪</v>
          </cell>
          <cell r="E3" t="str">
            <v>₪</v>
          </cell>
          <cell r="F3" t="str">
            <v>₪</v>
          </cell>
          <cell r="G3" t="str">
            <v>₪</v>
          </cell>
          <cell r="H3" t="str">
            <v>₪</v>
          </cell>
          <cell r="I3" t="str">
            <v>₪</v>
          </cell>
          <cell r="J3" t="str">
            <v>₪</v>
          </cell>
          <cell r="M3" t="str">
            <v>₪</v>
          </cell>
          <cell r="N3" t="str">
            <v>₪</v>
          </cell>
          <cell r="O3" t="str">
            <v>₪</v>
          </cell>
          <cell r="P3" t="str">
            <v>₪</v>
          </cell>
          <cell r="Q3" t="str">
            <v>₪</v>
          </cell>
          <cell r="R3" t="str">
            <v>₪</v>
          </cell>
          <cell r="S3" t="str">
            <v>₪</v>
          </cell>
          <cell r="T3" t="str">
            <v>פירוט חסר</v>
          </cell>
          <cell r="U3" t="str">
            <v>₪</v>
          </cell>
          <cell r="V3" t="str">
            <v>₪</v>
          </cell>
          <cell r="W3" t="str">
            <v>₪</v>
          </cell>
          <cell r="X3" t="str">
            <v>₪</v>
          </cell>
          <cell r="Y3" t="str">
            <v>₪</v>
          </cell>
          <cell r="AA3" t="str">
            <v>₪</v>
          </cell>
          <cell r="AB3" t="str">
            <v>₪</v>
          </cell>
          <cell r="AC3" t="str">
            <v>₪</v>
          </cell>
          <cell r="AD3" t="str">
            <v>₪</v>
          </cell>
          <cell r="AE3" t="str">
            <v>₪</v>
          </cell>
          <cell r="AF3" t="str">
            <v>₪</v>
          </cell>
          <cell r="AG3" t="str">
            <v>₪</v>
          </cell>
          <cell r="AH3" t="str">
            <v>₪</v>
          </cell>
          <cell r="AJ3" t="str">
            <v>₪</v>
          </cell>
          <cell r="AK3" t="str">
            <v>₪</v>
          </cell>
          <cell r="AL3" t="str">
            <v>₪</v>
          </cell>
          <cell r="AM3" t="str">
            <v>₪</v>
          </cell>
          <cell r="AN3" t="str">
            <v>₪</v>
          </cell>
          <cell r="AO3" t="str">
            <v>₪</v>
          </cell>
          <cell r="AP3" t="str">
            <v>₪</v>
          </cell>
          <cell r="AQ3" t="str">
            <v>₪</v>
          </cell>
          <cell r="AR3" t="str">
            <v>₪</v>
          </cell>
          <cell r="AS3" t="str">
            <v>₪</v>
          </cell>
          <cell r="AT3" t="str">
            <v>₪</v>
          </cell>
          <cell r="AU3" t="str">
            <v>₪</v>
          </cell>
          <cell r="DA3" t="str">
            <v>**קיימים מערכת אזורית עכו ושמרת שנלקחו בחשבון בנתונים אלו</v>
          </cell>
          <cell r="FS3" t="str">
            <v>₪</v>
          </cell>
        </row>
        <row r="4">
          <cell r="A4" t="str">
            <v>מים</v>
          </cell>
        </row>
        <row r="5">
          <cell r="A5" t="str">
            <v>ערך כינון מלא</v>
          </cell>
        </row>
        <row r="6">
          <cell r="A6" t="str">
            <v>קווי מים</v>
          </cell>
          <cell r="B6">
            <v>9397190</v>
          </cell>
          <cell r="C6">
            <v>71102100</v>
          </cell>
          <cell r="D6">
            <v>137296000</v>
          </cell>
          <cell r="E6">
            <v>36140450</v>
          </cell>
          <cell r="F6">
            <v>6988430</v>
          </cell>
          <cell r="G6">
            <v>7793639</v>
          </cell>
          <cell r="H6">
            <v>13499620</v>
          </cell>
          <cell r="I6">
            <v>216773051</v>
          </cell>
          <cell r="K6">
            <v>7027270</v>
          </cell>
          <cell r="L6">
            <v>12087425</v>
          </cell>
          <cell r="M6">
            <v>5064385</v>
          </cell>
          <cell r="N6">
            <v>6963620</v>
          </cell>
          <cell r="O6">
            <v>10650530</v>
          </cell>
          <cell r="P6">
            <v>2766945</v>
          </cell>
          <cell r="Q6">
            <v>10427913</v>
          </cell>
          <cell r="R6">
            <v>8044240</v>
          </cell>
          <cell r="S6">
            <v>58591220</v>
          </cell>
          <cell r="T6">
            <v>121216740</v>
          </cell>
          <cell r="U6">
            <v>17944720</v>
          </cell>
          <cell r="V6">
            <v>82028250</v>
          </cell>
          <cell r="W6">
            <v>9166270</v>
          </cell>
          <cell r="X6">
            <v>0</v>
          </cell>
          <cell r="Y6">
            <v>14526530</v>
          </cell>
          <cell r="Z6">
            <v>7540665</v>
          </cell>
          <cell r="AA6">
            <v>16765735</v>
          </cell>
          <cell r="AB6">
            <v>5257202</v>
          </cell>
          <cell r="AC6">
            <v>3114125</v>
          </cell>
          <cell r="AD6">
            <v>9474036</v>
          </cell>
          <cell r="AE6">
            <v>16450439</v>
          </cell>
          <cell r="AF6">
            <v>34016833</v>
          </cell>
          <cell r="AG6">
            <v>0</v>
          </cell>
          <cell r="AH6">
            <v>30525310</v>
          </cell>
          <cell r="AI6">
            <v>7267740</v>
          </cell>
          <cell r="AJ6">
            <v>6166860</v>
          </cell>
          <cell r="AK6">
            <v>4602310</v>
          </cell>
          <cell r="AL6">
            <v>1437550</v>
          </cell>
          <cell r="AM6">
            <v>20261730</v>
          </cell>
          <cell r="AN6">
            <v>8273915</v>
          </cell>
          <cell r="AO6">
            <v>8344555</v>
          </cell>
          <cell r="AP6">
            <v>9421552</v>
          </cell>
          <cell r="AQ6">
            <v>34736330</v>
          </cell>
          <cell r="AR6">
            <v>14082170</v>
          </cell>
          <cell r="AS6">
            <v>5057780</v>
          </cell>
          <cell r="AT6">
            <v>16709690</v>
          </cell>
          <cell r="AU6">
            <v>7832516</v>
          </cell>
          <cell r="AV6">
            <v>4772540</v>
          </cell>
          <cell r="AW6">
            <v>15249605</v>
          </cell>
          <cell r="AX6">
            <v>6643020</v>
          </cell>
          <cell r="AY6">
            <v>3875970</v>
          </cell>
          <cell r="AZ6">
            <v>33100470</v>
          </cell>
          <cell r="BA6">
            <v>19075395</v>
          </cell>
          <cell r="BB6">
            <v>53284837</v>
          </cell>
          <cell r="BC6">
            <v>48516510</v>
          </cell>
          <cell r="BD6">
            <v>11980535</v>
          </cell>
          <cell r="BE6">
            <v>25133885</v>
          </cell>
          <cell r="BF6">
            <v>49940124</v>
          </cell>
          <cell r="BG6">
            <v>111379739</v>
          </cell>
          <cell r="BH6">
            <v>51532750</v>
          </cell>
          <cell r="BI6">
            <v>21684000</v>
          </cell>
          <cell r="BJ6">
            <v>53284837</v>
          </cell>
          <cell r="BK6">
            <v>11980535</v>
          </cell>
          <cell r="BL6">
            <v>6988430</v>
          </cell>
          <cell r="BM6">
            <v>68757838</v>
          </cell>
          <cell r="BN6">
            <v>10897857</v>
          </cell>
          <cell r="BO6">
            <v>44829754</v>
          </cell>
          <cell r="BP6">
            <v>36034228</v>
          </cell>
          <cell r="BQ6">
            <v>87213998</v>
          </cell>
          <cell r="BR6">
            <v>7540665</v>
          </cell>
          <cell r="BS6">
            <v>124219432</v>
          </cell>
          <cell r="BT6">
            <v>121216740</v>
          </cell>
          <cell r="BU6">
            <v>405429210</v>
          </cell>
          <cell r="BV6">
            <v>858335575</v>
          </cell>
          <cell r="BW6">
            <v>17959268</v>
          </cell>
          <cell r="BX6">
            <v>50695900</v>
          </cell>
          <cell r="BY6">
            <v>30257900</v>
          </cell>
          <cell r="BZ6">
            <v>30736173</v>
          </cell>
          <cell r="CA6">
            <v>14953245</v>
          </cell>
          <cell r="CB6">
            <v>28775421</v>
          </cell>
          <cell r="CC6">
            <v>19758450</v>
          </cell>
          <cell r="CD6">
            <v>11159115</v>
          </cell>
          <cell r="CE6">
            <v>84644665</v>
          </cell>
          <cell r="CF6">
            <v>3957412</v>
          </cell>
          <cell r="CG6">
            <v>53535404</v>
          </cell>
          <cell r="CH6">
            <v>24443168</v>
          </cell>
          <cell r="CI6">
            <v>27653658</v>
          </cell>
          <cell r="CJ6">
            <v>45948790</v>
          </cell>
          <cell r="CK6">
            <v>2766945</v>
          </cell>
          <cell r="CL6">
            <v>26070000</v>
          </cell>
          <cell r="CM6">
            <v>10733930</v>
          </cell>
          <cell r="CN6">
            <v>4832905</v>
          </cell>
          <cell r="CO6">
            <v>14619068</v>
          </cell>
          <cell r="CP6">
            <v>15344191</v>
          </cell>
          <cell r="CQ6">
            <v>12177175</v>
          </cell>
          <cell r="CR6">
            <v>9716580</v>
          </cell>
          <cell r="CS6">
            <v>13140700</v>
          </cell>
          <cell r="CT6">
            <v>13875412</v>
          </cell>
          <cell r="CU6">
            <v>8905000</v>
          </cell>
          <cell r="CV6">
            <v>19524201</v>
          </cell>
          <cell r="CX6">
            <v>13269780</v>
          </cell>
          <cell r="CY6">
            <v>11112690</v>
          </cell>
          <cell r="CZ6">
            <v>9394860</v>
          </cell>
          <cell r="DA6">
            <v>16256505</v>
          </cell>
          <cell r="DB6">
            <v>8062500</v>
          </cell>
          <cell r="DC6">
            <v>9117140</v>
          </cell>
          <cell r="DD6">
            <v>3787100</v>
          </cell>
          <cell r="DE6">
            <v>18671831</v>
          </cell>
          <cell r="DF6">
            <v>157869822</v>
          </cell>
          <cell r="DG6">
            <v>10013170</v>
          </cell>
          <cell r="DH6">
            <v>76464078</v>
          </cell>
          <cell r="DI6">
            <v>47852670</v>
          </cell>
          <cell r="DJ6">
            <v>32773877</v>
          </cell>
          <cell r="DK6">
            <v>251929420</v>
          </cell>
          <cell r="DL6">
            <v>210727176</v>
          </cell>
          <cell r="DM6">
            <v>11189510</v>
          </cell>
          <cell r="DO6">
            <v>35987095</v>
          </cell>
          <cell r="DP6">
            <v>102382911</v>
          </cell>
          <cell r="DQ6">
            <v>17125600</v>
          </cell>
          <cell r="DR6">
            <v>6512211</v>
          </cell>
          <cell r="DS6">
            <v>5371991</v>
          </cell>
          <cell r="DT6">
            <v>48552042</v>
          </cell>
          <cell r="DU6">
            <v>96166780</v>
          </cell>
          <cell r="DV6">
            <v>28351983</v>
          </cell>
          <cell r="DW6">
            <v>25396965</v>
          </cell>
          <cell r="DX6">
            <v>12538690</v>
          </cell>
          <cell r="DY6">
            <v>13737410</v>
          </cell>
          <cell r="DZ6">
            <v>18160593</v>
          </cell>
          <cell r="EA6">
            <v>7855468</v>
          </cell>
          <cell r="EB6">
            <v>25133885</v>
          </cell>
          <cell r="EC6">
            <v>22363990</v>
          </cell>
          <cell r="ED6">
            <v>20212055</v>
          </cell>
          <cell r="EE6">
            <v>10607620</v>
          </cell>
          <cell r="EF6">
            <v>13394101</v>
          </cell>
          <cell r="EG6">
            <v>5647650</v>
          </cell>
          <cell r="EH6">
            <v>11962600</v>
          </cell>
          <cell r="EI6">
            <v>24567999</v>
          </cell>
          <cell r="EJ6">
            <v>7244087</v>
          </cell>
          <cell r="EK6">
            <v>31482575</v>
          </cell>
          <cell r="EL6">
            <v>7146830</v>
          </cell>
          <cell r="EM6">
            <v>19935263</v>
          </cell>
          <cell r="EN6">
            <v>62938742</v>
          </cell>
          <cell r="EP6">
            <v>19075395</v>
          </cell>
          <cell r="EQ6">
            <v>23421293</v>
          </cell>
          <cell r="ER6">
            <v>20122782</v>
          </cell>
          <cell r="ES6">
            <v>28947350</v>
          </cell>
          <cell r="ET6">
            <v>31123576</v>
          </cell>
          <cell r="EU6">
            <v>15916825</v>
          </cell>
          <cell r="EV6">
            <v>11858935</v>
          </cell>
          <cell r="EW6">
            <v>10990832</v>
          </cell>
          <cell r="EX6">
            <v>8068900</v>
          </cell>
          <cell r="EY6">
            <v>7816036</v>
          </cell>
          <cell r="FA6">
            <v>615195572</v>
          </cell>
          <cell r="FB6">
            <v>7773677</v>
          </cell>
          <cell r="FC6">
            <v>25311419</v>
          </cell>
          <cell r="FD6">
            <v>16242550</v>
          </cell>
          <cell r="FE6">
            <v>5917000</v>
          </cell>
          <cell r="FF6">
            <v>87213998</v>
          </cell>
          <cell r="FG6">
            <v>8508363</v>
          </cell>
          <cell r="FH6">
            <v>5828740</v>
          </cell>
          <cell r="FI6">
            <v>25778022</v>
          </cell>
          <cell r="FJ6">
            <v>2134205</v>
          </cell>
          <cell r="FK6">
            <v>16931925</v>
          </cell>
          <cell r="FL6">
            <v>287882702</v>
          </cell>
          <cell r="FM6">
            <v>9178300</v>
          </cell>
          <cell r="FN6">
            <v>5034966</v>
          </cell>
          <cell r="FO6">
            <v>5257202</v>
          </cell>
          <cell r="FP6">
            <v>10482005</v>
          </cell>
          <cell r="FQ6">
            <v>3310350</v>
          </cell>
          <cell r="FR6">
            <v>13614000</v>
          </cell>
          <cell r="FS6">
            <v>7832516</v>
          </cell>
          <cell r="FT6">
            <v>6330160</v>
          </cell>
          <cell r="FU6">
            <v>20744150</v>
          </cell>
          <cell r="FV6">
            <v>8527215</v>
          </cell>
          <cell r="FW6">
            <v>26053905</v>
          </cell>
          <cell r="FX6">
            <v>26378175</v>
          </cell>
          <cell r="FY6">
            <v>34827878</v>
          </cell>
          <cell r="FZ6">
            <v>6416803</v>
          </cell>
          <cell r="GA6">
            <v>5183045</v>
          </cell>
          <cell r="GB6">
            <v>2478592</v>
          </cell>
          <cell r="GC6">
            <v>6223943.666666667</v>
          </cell>
          <cell r="GD6">
            <v>6223943.666666667</v>
          </cell>
          <cell r="GE6">
            <v>6223943.666666667</v>
          </cell>
          <cell r="GF6">
            <v>17043598</v>
          </cell>
        </row>
        <row r="7">
          <cell r="A7" t="str">
            <v>תחנות שאיבה</v>
          </cell>
          <cell r="B7">
            <v>935000</v>
          </cell>
          <cell r="C7">
            <v>1724100</v>
          </cell>
          <cell r="D7">
            <v>9223000</v>
          </cell>
          <cell r="E7">
            <v>1907000</v>
          </cell>
          <cell r="F7">
            <v>2500000</v>
          </cell>
          <cell r="G7">
            <v>0</v>
          </cell>
          <cell r="H7">
            <v>3000000</v>
          </cell>
          <cell r="I7">
            <v>14727880</v>
          </cell>
          <cell r="K7">
            <v>40000</v>
          </cell>
          <cell r="L7">
            <v>1266500</v>
          </cell>
          <cell r="M7">
            <v>0</v>
          </cell>
          <cell r="N7">
            <v>0</v>
          </cell>
          <cell r="O7">
            <v>20000</v>
          </cell>
          <cell r="P7">
            <v>0</v>
          </cell>
          <cell r="Q7">
            <v>0</v>
          </cell>
          <cell r="R7">
            <v>0</v>
          </cell>
          <cell r="S7">
            <v>5950000</v>
          </cell>
          <cell r="T7">
            <v>6160000</v>
          </cell>
          <cell r="U7">
            <v>0</v>
          </cell>
          <cell r="V7">
            <v>24762000</v>
          </cell>
          <cell r="W7">
            <v>0</v>
          </cell>
          <cell r="X7">
            <v>0</v>
          </cell>
          <cell r="Y7">
            <v>490000</v>
          </cell>
          <cell r="AA7">
            <v>893627</v>
          </cell>
          <cell r="AB7">
            <v>0</v>
          </cell>
          <cell r="AC7">
            <v>747514</v>
          </cell>
          <cell r="AD7">
            <v>0</v>
          </cell>
          <cell r="AE7">
            <v>0</v>
          </cell>
          <cell r="AF7">
            <v>1132143</v>
          </cell>
          <cell r="AG7">
            <v>0</v>
          </cell>
          <cell r="AH7">
            <v>298400</v>
          </cell>
          <cell r="AJ7">
            <v>0</v>
          </cell>
          <cell r="AK7">
            <v>0</v>
          </cell>
          <cell r="AL7">
            <v>0</v>
          </cell>
          <cell r="AM7">
            <v>0</v>
          </cell>
          <cell r="AN7">
            <v>0</v>
          </cell>
          <cell r="AO7">
            <v>0</v>
          </cell>
          <cell r="AP7">
            <v>0</v>
          </cell>
          <cell r="AQ7">
            <v>2715000</v>
          </cell>
          <cell r="AR7">
            <v>0</v>
          </cell>
          <cell r="AS7">
            <v>0</v>
          </cell>
          <cell r="AT7">
            <v>1721000</v>
          </cell>
          <cell r="AU7">
            <v>216000</v>
          </cell>
          <cell r="AV7">
            <v>33600</v>
          </cell>
          <cell r="AW7">
            <v>0</v>
          </cell>
          <cell r="AX7">
            <v>0</v>
          </cell>
          <cell r="AZ7">
            <v>803000</v>
          </cell>
          <cell r="BA7">
            <v>960000</v>
          </cell>
          <cell r="BB7">
            <v>2200000</v>
          </cell>
          <cell r="BC7">
            <v>0</v>
          </cell>
          <cell r="BD7">
            <v>976800</v>
          </cell>
          <cell r="BE7">
            <v>0</v>
          </cell>
          <cell r="BF7">
            <v>3600000</v>
          </cell>
          <cell r="BG7">
            <v>8252411</v>
          </cell>
          <cell r="BH7">
            <v>1594000</v>
          </cell>
          <cell r="BJ7">
            <v>2200000</v>
          </cell>
          <cell r="BK7">
            <v>976800</v>
          </cell>
          <cell r="BL7">
            <v>2500000</v>
          </cell>
          <cell r="BM7">
            <v>3678048</v>
          </cell>
          <cell r="BN7">
            <v>1840000</v>
          </cell>
          <cell r="BO7">
            <v>2685982</v>
          </cell>
          <cell r="BP7">
            <v>8762400</v>
          </cell>
          <cell r="BQ7">
            <v>6038500</v>
          </cell>
          <cell r="BS7">
            <v>547600</v>
          </cell>
          <cell r="BT7">
            <v>6160000</v>
          </cell>
          <cell r="BU7">
            <v>49433232</v>
          </cell>
          <cell r="BV7">
            <v>21423191</v>
          </cell>
          <cell r="BW7">
            <v>1671231</v>
          </cell>
          <cell r="BX7">
            <v>880000</v>
          </cell>
          <cell r="BY7">
            <v>1450000</v>
          </cell>
          <cell r="BZ7">
            <v>1199220</v>
          </cell>
          <cell r="CA7">
            <v>1544000</v>
          </cell>
          <cell r="CB7">
            <v>0</v>
          </cell>
          <cell r="CC7">
            <v>5066646</v>
          </cell>
          <cell r="CD7">
            <v>0</v>
          </cell>
          <cell r="CE7">
            <v>3771834</v>
          </cell>
          <cell r="CF7">
            <v>0</v>
          </cell>
          <cell r="CG7">
            <v>0</v>
          </cell>
          <cell r="CH7">
            <v>0</v>
          </cell>
          <cell r="CI7">
            <v>0</v>
          </cell>
          <cell r="CJ7">
            <v>1300000</v>
          </cell>
          <cell r="CK7">
            <v>0</v>
          </cell>
          <cell r="CL7">
            <v>2984000</v>
          </cell>
          <cell r="CO7">
            <v>470000</v>
          </cell>
          <cell r="CQ7">
            <v>210000</v>
          </cell>
          <cell r="CS7">
            <v>200000</v>
          </cell>
          <cell r="CT7">
            <v>1887000</v>
          </cell>
          <cell r="CU7">
            <v>362000</v>
          </cell>
          <cell r="CV7">
            <v>844800</v>
          </cell>
          <cell r="CX7">
            <v>625000</v>
          </cell>
          <cell r="CY7">
            <v>979000</v>
          </cell>
          <cell r="DA7">
            <v>674012</v>
          </cell>
          <cell r="DB7">
            <v>530787</v>
          </cell>
          <cell r="DC7">
            <v>547000</v>
          </cell>
          <cell r="DE7">
            <v>660000</v>
          </cell>
          <cell r="DF7">
            <v>8685213</v>
          </cell>
          <cell r="DG7">
            <v>500000</v>
          </cell>
          <cell r="DH7">
            <v>400000</v>
          </cell>
          <cell r="DI7">
            <v>2700000</v>
          </cell>
          <cell r="DJ7">
            <v>4850000</v>
          </cell>
          <cell r="DK7">
            <v>19837489</v>
          </cell>
          <cell r="DL7">
            <v>5900000</v>
          </cell>
          <cell r="DM7">
            <v>3000000</v>
          </cell>
          <cell r="DO7">
            <v>6286682</v>
          </cell>
          <cell r="DP7">
            <v>5568000</v>
          </cell>
          <cell r="DQ7">
            <v>210000</v>
          </cell>
          <cell r="DT7">
            <v>1964320</v>
          </cell>
          <cell r="DU7">
            <v>980051</v>
          </cell>
          <cell r="DX7">
            <v>750000</v>
          </cell>
          <cell r="DY7">
            <v>208200</v>
          </cell>
          <cell r="EA7">
            <v>778954</v>
          </cell>
          <cell r="EB7">
            <v>0</v>
          </cell>
          <cell r="EC7">
            <v>1235000</v>
          </cell>
          <cell r="ED7">
            <v>2321000</v>
          </cell>
          <cell r="EE7">
            <v>690000</v>
          </cell>
          <cell r="EF7">
            <v>2029768</v>
          </cell>
          <cell r="EG7">
            <v>1113905</v>
          </cell>
          <cell r="EH7">
            <v>400000</v>
          </cell>
          <cell r="EI7">
            <v>475000</v>
          </cell>
          <cell r="EK7">
            <v>1400000</v>
          </cell>
          <cell r="EL7">
            <v>1991000</v>
          </cell>
          <cell r="EN7">
            <v>300000</v>
          </cell>
          <cell r="EP7">
            <v>960000</v>
          </cell>
          <cell r="EQ7">
            <v>2320000</v>
          </cell>
          <cell r="ES7">
            <v>650000</v>
          </cell>
          <cell r="ET7">
            <v>239424</v>
          </cell>
          <cell r="EU7">
            <v>500000</v>
          </cell>
          <cell r="EY7">
            <v>370000</v>
          </cell>
          <cell r="FA7">
            <v>6893390</v>
          </cell>
          <cell r="FB7">
            <v>730000</v>
          </cell>
          <cell r="FC7">
            <v>1757000</v>
          </cell>
          <cell r="FD7">
            <v>1239000</v>
          </cell>
          <cell r="FE7">
            <v>5280000</v>
          </cell>
          <cell r="FF7">
            <v>6038500</v>
          </cell>
          <cell r="FG7">
            <v>1097487</v>
          </cell>
          <cell r="FH7">
            <v>341440</v>
          </cell>
          <cell r="FI7">
            <v>808000</v>
          </cell>
          <cell r="FL7">
            <v>33624000</v>
          </cell>
          <cell r="FS7">
            <v>216000</v>
          </cell>
          <cell r="FT7">
            <v>130000</v>
          </cell>
          <cell r="FU7">
            <v>1000000</v>
          </cell>
          <cell r="FX7">
            <v>1018000</v>
          </cell>
          <cell r="FY7">
            <v>644320</v>
          </cell>
          <cell r="FZ7">
            <v>350000</v>
          </cell>
          <cell r="GA7">
            <v>1034000</v>
          </cell>
          <cell r="GC7">
            <v>220000</v>
          </cell>
          <cell r="GD7">
            <v>220000</v>
          </cell>
          <cell r="GE7">
            <v>220000</v>
          </cell>
          <cell r="GF7">
            <v>2578000</v>
          </cell>
        </row>
        <row r="8">
          <cell r="A8" t="str">
            <v>קידוחים</v>
          </cell>
          <cell r="B8">
            <v>0</v>
          </cell>
          <cell r="D8">
            <v>3180000</v>
          </cell>
          <cell r="E8">
            <v>0</v>
          </cell>
          <cell r="F8">
            <v>0</v>
          </cell>
          <cell r="G8">
            <v>0</v>
          </cell>
          <cell r="H8">
            <v>0</v>
          </cell>
          <cell r="I8">
            <v>0</v>
          </cell>
          <cell r="M8">
            <v>0</v>
          </cell>
          <cell r="N8">
            <v>0</v>
          </cell>
          <cell r="O8">
            <v>0</v>
          </cell>
          <cell r="P8">
            <v>0</v>
          </cell>
          <cell r="Q8">
            <v>0</v>
          </cell>
          <cell r="R8">
            <v>0</v>
          </cell>
          <cell r="S8">
            <v>2070000</v>
          </cell>
          <cell r="T8">
            <v>20327957</v>
          </cell>
          <cell r="U8">
            <v>0</v>
          </cell>
          <cell r="W8">
            <v>0</v>
          </cell>
          <cell r="X8">
            <v>0</v>
          </cell>
          <cell r="Y8">
            <v>0</v>
          </cell>
          <cell r="AA8">
            <v>0</v>
          </cell>
          <cell r="AB8">
            <v>0</v>
          </cell>
          <cell r="AC8">
            <v>0</v>
          </cell>
          <cell r="AD8">
            <v>0</v>
          </cell>
          <cell r="AE8">
            <v>0</v>
          </cell>
          <cell r="AF8">
            <v>5700240</v>
          </cell>
          <cell r="AG8">
            <v>0</v>
          </cell>
          <cell r="AH8">
            <v>0</v>
          </cell>
          <cell r="AJ8">
            <v>0</v>
          </cell>
          <cell r="AK8">
            <v>0</v>
          </cell>
          <cell r="AL8">
            <v>0</v>
          </cell>
          <cell r="AM8">
            <v>0</v>
          </cell>
          <cell r="AN8">
            <v>0</v>
          </cell>
          <cell r="AO8">
            <v>0</v>
          </cell>
          <cell r="AP8">
            <v>0</v>
          </cell>
          <cell r="AQ8">
            <v>0</v>
          </cell>
          <cell r="AR8">
            <v>0</v>
          </cell>
          <cell r="AS8">
            <v>0</v>
          </cell>
          <cell r="AT8">
            <v>0</v>
          </cell>
          <cell r="AU8">
            <v>1948000</v>
          </cell>
          <cell r="AV8">
            <v>0</v>
          </cell>
          <cell r="AW8">
            <v>0</v>
          </cell>
          <cell r="AX8">
            <v>0</v>
          </cell>
          <cell r="BA8">
            <v>1115000</v>
          </cell>
          <cell r="BC8">
            <v>0</v>
          </cell>
          <cell r="BD8">
            <v>0</v>
          </cell>
          <cell r="BE8">
            <v>0</v>
          </cell>
          <cell r="BG8">
            <v>22624000</v>
          </cell>
          <cell r="BM8">
            <v>14964260</v>
          </cell>
          <cell r="BO8">
            <v>8021694</v>
          </cell>
          <cell r="BQ8">
            <v>7695000</v>
          </cell>
          <cell r="BT8">
            <v>20327957</v>
          </cell>
          <cell r="BU8">
            <v>200000</v>
          </cell>
          <cell r="BW8">
            <v>3293000</v>
          </cell>
          <cell r="BX8">
            <v>0</v>
          </cell>
          <cell r="BY8">
            <v>0</v>
          </cell>
          <cell r="BZ8">
            <v>0</v>
          </cell>
          <cell r="CB8">
            <v>2900000</v>
          </cell>
          <cell r="CD8">
            <v>0</v>
          </cell>
          <cell r="CE8">
            <v>19058021</v>
          </cell>
          <cell r="CF8">
            <v>0</v>
          </cell>
          <cell r="CG8">
            <v>0</v>
          </cell>
          <cell r="CH8">
            <v>3936067</v>
          </cell>
          <cell r="CI8">
            <v>0</v>
          </cell>
          <cell r="CJ8">
            <v>0</v>
          </cell>
          <cell r="CK8">
            <v>0</v>
          </cell>
          <cell r="CL8">
            <v>2346000</v>
          </cell>
          <cell r="CT8">
            <v>0</v>
          </cell>
          <cell r="CU8">
            <v>1508000</v>
          </cell>
          <cell r="CX8">
            <v>0</v>
          </cell>
          <cell r="DF8">
            <v>24517507</v>
          </cell>
          <cell r="DH8">
            <v>22123929</v>
          </cell>
          <cell r="DI8">
            <v>12190000</v>
          </cell>
          <cell r="DJ8">
            <v>14858662</v>
          </cell>
          <cell r="DK8">
            <v>25503534</v>
          </cell>
          <cell r="DL8">
            <v>24999000</v>
          </cell>
          <cell r="DY8">
            <v>2600050</v>
          </cell>
          <cell r="EA8">
            <v>1949267</v>
          </cell>
          <cell r="EB8">
            <v>0</v>
          </cell>
          <cell r="EC8">
            <v>65000</v>
          </cell>
          <cell r="ED8">
            <v>4352800</v>
          </cell>
          <cell r="EF8">
            <v>2021386</v>
          </cell>
          <cell r="EG8">
            <v>2836660</v>
          </cell>
          <cell r="EM8">
            <v>2400000</v>
          </cell>
          <cell r="EN8">
            <v>3070800</v>
          </cell>
          <cell r="EP8">
            <v>1115000</v>
          </cell>
          <cell r="FA8">
            <v>76832250</v>
          </cell>
          <cell r="FF8">
            <v>7695000</v>
          </cell>
          <cell r="FL8">
            <v>48183000</v>
          </cell>
          <cell r="FS8">
            <v>1948000</v>
          </cell>
          <cell r="FX8">
            <v>721840</v>
          </cell>
          <cell r="GC8">
            <v>0</v>
          </cell>
          <cell r="GD8">
            <v>0</v>
          </cell>
          <cell r="GE8">
            <v>0</v>
          </cell>
        </row>
        <row r="9">
          <cell r="A9" t="str">
            <v>בריכות ומגדלים</v>
          </cell>
          <cell r="B9">
            <v>680000</v>
          </cell>
          <cell r="C9">
            <v>12389000</v>
          </cell>
          <cell r="D9">
            <v>13629000</v>
          </cell>
          <cell r="E9">
            <v>4600000</v>
          </cell>
          <cell r="F9">
            <v>2000000</v>
          </cell>
          <cell r="G9">
            <v>1248694</v>
          </cell>
          <cell r="H9">
            <v>2750792</v>
          </cell>
          <cell r="I9">
            <v>27250000</v>
          </cell>
          <cell r="K9">
            <v>500000</v>
          </cell>
          <cell r="L9">
            <v>2350000</v>
          </cell>
          <cell r="M9">
            <v>0</v>
          </cell>
          <cell r="N9">
            <v>0</v>
          </cell>
          <cell r="O9">
            <v>1350000</v>
          </cell>
          <cell r="P9">
            <v>0</v>
          </cell>
          <cell r="Q9">
            <v>600000</v>
          </cell>
          <cell r="R9">
            <v>300000</v>
          </cell>
          <cell r="S9">
            <v>9500000</v>
          </cell>
          <cell r="T9">
            <v>22870000</v>
          </cell>
          <cell r="U9">
            <v>1000000</v>
          </cell>
          <cell r="V9">
            <v>16438000</v>
          </cell>
          <cell r="W9">
            <v>0</v>
          </cell>
          <cell r="X9">
            <v>0</v>
          </cell>
          <cell r="Y9">
            <v>1200000</v>
          </cell>
          <cell r="Z9">
            <v>650000</v>
          </cell>
          <cell r="AA9">
            <v>3184747</v>
          </cell>
          <cell r="AB9">
            <v>0</v>
          </cell>
          <cell r="AC9">
            <v>1390000</v>
          </cell>
          <cell r="AD9">
            <v>0</v>
          </cell>
          <cell r="AE9">
            <v>488100</v>
          </cell>
          <cell r="AF9">
            <v>2200000</v>
          </cell>
          <cell r="AG9">
            <v>0</v>
          </cell>
          <cell r="AH9">
            <v>5600000</v>
          </cell>
          <cell r="AJ9">
            <v>400000</v>
          </cell>
          <cell r="AK9">
            <v>0</v>
          </cell>
          <cell r="AL9">
            <v>0</v>
          </cell>
          <cell r="AM9">
            <v>1000000</v>
          </cell>
          <cell r="AN9">
            <v>800000</v>
          </cell>
          <cell r="AO9">
            <v>1600000</v>
          </cell>
          <cell r="AP9">
            <v>1300000</v>
          </cell>
          <cell r="AQ9">
            <v>2000000</v>
          </cell>
          <cell r="AR9">
            <v>1100000</v>
          </cell>
          <cell r="AS9">
            <v>1100000</v>
          </cell>
          <cell r="AT9">
            <v>1800000</v>
          </cell>
          <cell r="AU9">
            <v>1300000</v>
          </cell>
          <cell r="AV9">
            <v>1350000</v>
          </cell>
          <cell r="AW9">
            <v>1500000</v>
          </cell>
          <cell r="AX9">
            <v>250000</v>
          </cell>
          <cell r="AY9">
            <v>100000</v>
          </cell>
          <cell r="AZ9">
            <v>5000000</v>
          </cell>
          <cell r="BA9">
            <v>17100000</v>
          </cell>
          <cell r="BB9">
            <v>4800000</v>
          </cell>
          <cell r="BC9">
            <v>8000000</v>
          </cell>
          <cell r="BD9">
            <v>0</v>
          </cell>
          <cell r="BE9">
            <v>0</v>
          </cell>
          <cell r="BF9">
            <v>13600000</v>
          </cell>
          <cell r="BG9">
            <v>28590000</v>
          </cell>
          <cell r="BH9">
            <v>4950000</v>
          </cell>
          <cell r="BI9">
            <v>5800000</v>
          </cell>
          <cell r="BJ9">
            <v>4800000</v>
          </cell>
          <cell r="BL9">
            <v>2000000</v>
          </cell>
          <cell r="BM9">
            <v>7550000</v>
          </cell>
          <cell r="BO9">
            <v>4848611</v>
          </cell>
          <cell r="BP9">
            <v>3300000</v>
          </cell>
          <cell r="BQ9">
            <v>7870578</v>
          </cell>
          <cell r="BR9">
            <v>650000</v>
          </cell>
          <cell r="BT9">
            <v>22870000</v>
          </cell>
          <cell r="BU9">
            <v>73135000</v>
          </cell>
          <cell r="BV9">
            <v>192921193</v>
          </cell>
          <cell r="BW9">
            <v>5000000</v>
          </cell>
          <cell r="BX9">
            <v>5100000</v>
          </cell>
          <cell r="BY9">
            <v>4750000</v>
          </cell>
          <cell r="BZ9">
            <v>0</v>
          </cell>
          <cell r="CA9">
            <v>3035000</v>
          </cell>
          <cell r="CB9">
            <v>0</v>
          </cell>
          <cell r="CC9">
            <v>2705327</v>
          </cell>
          <cell r="CD9">
            <v>0</v>
          </cell>
          <cell r="CE9">
            <v>6163950</v>
          </cell>
          <cell r="CF9">
            <v>0</v>
          </cell>
          <cell r="CG9">
            <v>7413040</v>
          </cell>
          <cell r="CH9">
            <v>0</v>
          </cell>
          <cell r="CI9">
            <v>0</v>
          </cell>
          <cell r="CJ9">
            <v>9300000</v>
          </cell>
          <cell r="CK9">
            <v>0</v>
          </cell>
          <cell r="CL9">
            <v>6442000</v>
          </cell>
          <cell r="CO9">
            <v>4222000</v>
          </cell>
          <cell r="CP9">
            <v>1000000</v>
          </cell>
          <cell r="CQ9">
            <v>1000000</v>
          </cell>
          <cell r="CT9">
            <v>2000000</v>
          </cell>
          <cell r="CU9">
            <v>0</v>
          </cell>
          <cell r="CV9">
            <v>2700000</v>
          </cell>
          <cell r="CX9">
            <v>1581000</v>
          </cell>
          <cell r="CY9">
            <v>1300000</v>
          </cell>
          <cell r="CZ9">
            <v>923000</v>
          </cell>
          <cell r="DA9">
            <v>1764000</v>
          </cell>
          <cell r="DB9">
            <v>1000000</v>
          </cell>
          <cell r="DC9">
            <v>1350000</v>
          </cell>
          <cell r="DE9">
            <v>1980000</v>
          </cell>
          <cell r="DF9">
            <v>12150000</v>
          </cell>
          <cell r="DG9">
            <v>2450000</v>
          </cell>
          <cell r="DH9">
            <v>7000000</v>
          </cell>
          <cell r="DI9">
            <v>3200000</v>
          </cell>
          <cell r="DJ9">
            <v>9000000</v>
          </cell>
          <cell r="DK9">
            <v>20229149</v>
          </cell>
          <cell r="DL9">
            <v>20000000</v>
          </cell>
          <cell r="DM9">
            <v>4800000</v>
          </cell>
          <cell r="DO9">
            <v>11000000</v>
          </cell>
          <cell r="DP9">
            <v>6400000</v>
          </cell>
          <cell r="DR9">
            <v>305633</v>
          </cell>
          <cell r="DT9">
            <v>5000000</v>
          </cell>
          <cell r="DU9">
            <v>7400000</v>
          </cell>
          <cell r="DV9">
            <v>1725000</v>
          </cell>
          <cell r="DW9">
            <v>2200000</v>
          </cell>
          <cell r="DX9">
            <v>1000000</v>
          </cell>
          <cell r="DY9">
            <v>500000</v>
          </cell>
          <cell r="EA9">
            <v>1800000</v>
          </cell>
          <cell r="EB9">
            <v>0</v>
          </cell>
          <cell r="EC9">
            <v>200000</v>
          </cell>
          <cell r="ED9">
            <v>3500000</v>
          </cell>
          <cell r="EE9">
            <v>700000</v>
          </cell>
          <cell r="EG9">
            <v>2000000</v>
          </cell>
          <cell r="EH9">
            <v>700000</v>
          </cell>
          <cell r="EI9">
            <v>8900000</v>
          </cell>
          <cell r="EK9">
            <v>4800000</v>
          </cell>
          <cell r="EL9">
            <v>2200000</v>
          </cell>
          <cell r="EN9">
            <v>5300000</v>
          </cell>
          <cell r="EP9">
            <v>17100000</v>
          </cell>
          <cell r="EQ9">
            <v>1850000</v>
          </cell>
          <cell r="ES9">
            <v>6300000</v>
          </cell>
          <cell r="ET9">
            <v>5000000</v>
          </cell>
          <cell r="EU9">
            <v>4091000</v>
          </cell>
          <cell r="EV9">
            <v>1900000</v>
          </cell>
          <cell r="EW9">
            <v>900000</v>
          </cell>
          <cell r="EX9">
            <v>550000</v>
          </cell>
          <cell r="EY9">
            <v>1750000</v>
          </cell>
          <cell r="FA9">
            <v>22171900</v>
          </cell>
          <cell r="FB9">
            <v>850000</v>
          </cell>
          <cell r="FC9">
            <v>5950000</v>
          </cell>
          <cell r="FD9">
            <v>3289321</v>
          </cell>
          <cell r="FE9">
            <v>6034000</v>
          </cell>
          <cell r="FF9">
            <v>7870578</v>
          </cell>
          <cell r="FG9">
            <v>2100000</v>
          </cell>
          <cell r="FH9">
            <v>215000</v>
          </cell>
          <cell r="FI9">
            <v>4700000</v>
          </cell>
          <cell r="FK9">
            <v>120000</v>
          </cell>
          <cell r="FL9">
            <v>58282000</v>
          </cell>
          <cell r="FP9">
            <v>2000000</v>
          </cell>
          <cell r="FS9">
            <v>1300000</v>
          </cell>
          <cell r="FT9">
            <v>300000</v>
          </cell>
          <cell r="FU9">
            <v>800000</v>
          </cell>
          <cell r="FV9">
            <v>429809</v>
          </cell>
          <cell r="FX9">
            <v>4200000</v>
          </cell>
          <cell r="FY9">
            <v>10885650</v>
          </cell>
          <cell r="FZ9">
            <v>400000</v>
          </cell>
          <cell r="GA9">
            <v>623000</v>
          </cell>
          <cell r="GC9">
            <v>660000</v>
          </cell>
          <cell r="GD9">
            <v>660000</v>
          </cell>
          <cell r="GE9">
            <v>660000</v>
          </cell>
          <cell r="GF9">
            <v>4400000</v>
          </cell>
        </row>
        <row r="10">
          <cell r="A10" t="str">
            <v>ציוד לשעת חירום</v>
          </cell>
          <cell r="B10">
            <v>86000</v>
          </cell>
          <cell r="C10">
            <v>1091500</v>
          </cell>
          <cell r="D10">
            <v>3043000</v>
          </cell>
          <cell r="E10">
            <v>317000</v>
          </cell>
          <cell r="F10">
            <v>35000</v>
          </cell>
          <cell r="G10">
            <v>0</v>
          </cell>
          <cell r="H10">
            <v>318350</v>
          </cell>
          <cell r="I10">
            <v>338400</v>
          </cell>
          <cell r="L10">
            <v>64000</v>
          </cell>
          <cell r="M10">
            <v>61400</v>
          </cell>
          <cell r="N10">
            <v>65000</v>
          </cell>
          <cell r="O10">
            <v>0</v>
          </cell>
          <cell r="P10">
            <v>67750</v>
          </cell>
          <cell r="Q10">
            <v>71000</v>
          </cell>
          <cell r="R10">
            <v>16000</v>
          </cell>
          <cell r="S10">
            <v>610000</v>
          </cell>
          <cell r="T10">
            <v>1329000</v>
          </cell>
          <cell r="U10">
            <v>0</v>
          </cell>
          <cell r="V10">
            <v>1751000</v>
          </cell>
          <cell r="W10">
            <v>0</v>
          </cell>
          <cell r="X10">
            <v>0</v>
          </cell>
          <cell r="Y10">
            <v>19500</v>
          </cell>
          <cell r="Z10">
            <v>139000</v>
          </cell>
          <cell r="AA10">
            <v>145000</v>
          </cell>
          <cell r="AB10">
            <v>66400</v>
          </cell>
          <cell r="AC10">
            <v>75380</v>
          </cell>
          <cell r="AD10">
            <v>73000</v>
          </cell>
          <cell r="AE10">
            <v>0</v>
          </cell>
          <cell r="AF10">
            <v>239800</v>
          </cell>
          <cell r="AG10">
            <v>0</v>
          </cell>
          <cell r="AH10">
            <v>117000</v>
          </cell>
          <cell r="AJ10">
            <v>0</v>
          </cell>
          <cell r="AK10">
            <v>11600</v>
          </cell>
          <cell r="AL10">
            <v>1500</v>
          </cell>
          <cell r="AM10">
            <v>0</v>
          </cell>
          <cell r="AN10">
            <v>0</v>
          </cell>
          <cell r="AO10">
            <v>0</v>
          </cell>
          <cell r="AP10">
            <v>7000</v>
          </cell>
          <cell r="AQ10">
            <v>385000</v>
          </cell>
          <cell r="AR10">
            <v>16000</v>
          </cell>
          <cell r="AS10">
            <v>0</v>
          </cell>
          <cell r="AT10">
            <v>210000</v>
          </cell>
          <cell r="AU10">
            <v>73625</v>
          </cell>
          <cell r="AV10">
            <v>191000</v>
          </cell>
          <cell r="AW10">
            <v>40000</v>
          </cell>
          <cell r="AX10">
            <v>0</v>
          </cell>
          <cell r="AY10">
            <v>14600</v>
          </cell>
          <cell r="AZ10">
            <v>138000</v>
          </cell>
          <cell r="BA10">
            <v>0</v>
          </cell>
          <cell r="BB10">
            <v>173500</v>
          </cell>
          <cell r="BC10">
            <v>268700</v>
          </cell>
          <cell r="BD10">
            <v>200500</v>
          </cell>
          <cell r="BE10">
            <v>119050</v>
          </cell>
          <cell r="BF10">
            <v>114000</v>
          </cell>
          <cell r="BG10">
            <v>1760000</v>
          </cell>
          <cell r="BH10">
            <v>307000</v>
          </cell>
          <cell r="BI10">
            <v>141000</v>
          </cell>
          <cell r="BJ10">
            <v>173500</v>
          </cell>
          <cell r="BK10">
            <v>200500</v>
          </cell>
          <cell r="BL10">
            <v>35000</v>
          </cell>
          <cell r="BM10">
            <v>1635100</v>
          </cell>
          <cell r="BN10">
            <v>343000</v>
          </cell>
          <cell r="BO10">
            <v>327698</v>
          </cell>
          <cell r="BP10">
            <v>611476</v>
          </cell>
          <cell r="BQ10">
            <v>1049300</v>
          </cell>
          <cell r="BR10">
            <v>139000</v>
          </cell>
          <cell r="BS10">
            <v>230000</v>
          </cell>
          <cell r="BT10">
            <v>1329000</v>
          </cell>
          <cell r="BU10">
            <v>2901705</v>
          </cell>
          <cell r="BV10">
            <v>2658637</v>
          </cell>
          <cell r="BW10">
            <v>466200</v>
          </cell>
          <cell r="BX10">
            <v>264400</v>
          </cell>
          <cell r="BY10">
            <v>205500</v>
          </cell>
          <cell r="BZ10">
            <v>190186</v>
          </cell>
          <cell r="CA10">
            <v>130000</v>
          </cell>
          <cell r="CB10">
            <v>335000</v>
          </cell>
          <cell r="CC10">
            <v>514157</v>
          </cell>
          <cell r="CD10">
            <v>54500</v>
          </cell>
          <cell r="CE10">
            <v>1257900</v>
          </cell>
          <cell r="CF10">
            <v>91950</v>
          </cell>
          <cell r="CG10">
            <v>229200</v>
          </cell>
          <cell r="CH10">
            <v>213300</v>
          </cell>
          <cell r="CI10">
            <v>119050</v>
          </cell>
          <cell r="CJ10">
            <v>500000</v>
          </cell>
          <cell r="CK10">
            <v>67750</v>
          </cell>
          <cell r="CL10">
            <v>106000</v>
          </cell>
          <cell r="CM10">
            <v>45000</v>
          </cell>
          <cell r="CN10">
            <v>39000</v>
          </cell>
          <cell r="CO10">
            <v>364000</v>
          </cell>
          <cell r="CP10">
            <v>80000</v>
          </cell>
          <cell r="CQ10">
            <v>38800</v>
          </cell>
          <cell r="CR10">
            <v>66650</v>
          </cell>
          <cell r="CT10">
            <v>349500</v>
          </cell>
          <cell r="CU10">
            <v>193000</v>
          </cell>
          <cell r="CV10">
            <v>28600</v>
          </cell>
          <cell r="CY10">
            <v>116000</v>
          </cell>
          <cell r="CZ10">
            <v>42000</v>
          </cell>
          <cell r="DA10">
            <v>128300</v>
          </cell>
          <cell r="DC10">
            <v>101000</v>
          </cell>
          <cell r="DF10">
            <v>1728600</v>
          </cell>
          <cell r="DG10">
            <v>63000</v>
          </cell>
          <cell r="DH10">
            <v>284000</v>
          </cell>
          <cell r="DI10">
            <v>720000</v>
          </cell>
          <cell r="DJ10">
            <v>1048000</v>
          </cell>
          <cell r="DK10">
            <v>1960000</v>
          </cell>
          <cell r="DL10">
            <v>687300</v>
          </cell>
          <cell r="DM10">
            <v>45000</v>
          </cell>
          <cell r="DO10">
            <v>460000</v>
          </cell>
          <cell r="DP10">
            <v>260485</v>
          </cell>
          <cell r="DQ10">
            <v>80000</v>
          </cell>
          <cell r="DT10">
            <v>259100</v>
          </cell>
          <cell r="DU10">
            <v>565400</v>
          </cell>
          <cell r="DV10">
            <v>292500</v>
          </cell>
          <cell r="DW10">
            <v>35000</v>
          </cell>
          <cell r="DX10">
            <v>80000</v>
          </cell>
          <cell r="DY10">
            <v>170400</v>
          </cell>
          <cell r="DZ10">
            <v>42000</v>
          </cell>
          <cell r="EA10">
            <v>39522</v>
          </cell>
          <cell r="EB10">
            <v>119050</v>
          </cell>
          <cell r="EC10">
            <v>260400</v>
          </cell>
          <cell r="ED10">
            <v>521500</v>
          </cell>
          <cell r="EE10">
            <v>152000</v>
          </cell>
          <cell r="EF10">
            <v>360000</v>
          </cell>
          <cell r="EG10">
            <v>67500</v>
          </cell>
          <cell r="EH10">
            <v>169000</v>
          </cell>
          <cell r="EI10">
            <v>89000</v>
          </cell>
          <cell r="EJ10">
            <v>45000</v>
          </cell>
          <cell r="EK10">
            <v>52000</v>
          </cell>
          <cell r="EL10">
            <v>275000</v>
          </cell>
          <cell r="EM10">
            <v>219000</v>
          </cell>
          <cell r="EN10">
            <v>662800</v>
          </cell>
          <cell r="EQ10">
            <v>45600</v>
          </cell>
          <cell r="ER10">
            <v>205400</v>
          </cell>
          <cell r="ES10">
            <v>656000</v>
          </cell>
          <cell r="ET10">
            <v>511500</v>
          </cell>
          <cell r="EU10">
            <v>45920</v>
          </cell>
          <cell r="EV10">
            <v>307400</v>
          </cell>
          <cell r="EW10">
            <v>188000</v>
          </cell>
          <cell r="EX10">
            <v>26000</v>
          </cell>
          <cell r="EY10">
            <v>145000</v>
          </cell>
          <cell r="FA10">
            <v>4160600</v>
          </cell>
          <cell r="FC10">
            <v>460220</v>
          </cell>
          <cell r="FD10">
            <v>193000</v>
          </cell>
          <cell r="FF10">
            <v>1049300</v>
          </cell>
          <cell r="FH10">
            <v>208700</v>
          </cell>
          <cell r="FI10">
            <v>266000</v>
          </cell>
          <cell r="FJ10">
            <v>35000</v>
          </cell>
          <cell r="FK10">
            <v>14600</v>
          </cell>
          <cell r="FM10">
            <v>79000</v>
          </cell>
          <cell r="FN10">
            <v>201100</v>
          </cell>
          <cell r="FO10">
            <v>66400</v>
          </cell>
          <cell r="FQ10">
            <v>209500</v>
          </cell>
          <cell r="FS10">
            <v>73625</v>
          </cell>
          <cell r="FU10">
            <v>179000</v>
          </cell>
          <cell r="FV10">
            <v>9200</v>
          </cell>
          <cell r="FW10">
            <v>160000</v>
          </cell>
          <cell r="FX10">
            <v>163000</v>
          </cell>
          <cell r="FY10">
            <v>141800</v>
          </cell>
          <cell r="GA10">
            <v>101000</v>
          </cell>
          <cell r="GB10">
            <v>45000</v>
          </cell>
          <cell r="GC10">
            <v>0</v>
          </cell>
          <cell r="GD10">
            <v>0</v>
          </cell>
          <cell r="GE10">
            <v>0</v>
          </cell>
          <cell r="GF10">
            <v>445500</v>
          </cell>
        </row>
        <row r="11">
          <cell r="A11" t="str">
            <v>מלאי במחסנים</v>
          </cell>
          <cell r="B11">
            <v>0</v>
          </cell>
          <cell r="D11">
            <v>308000</v>
          </cell>
          <cell r="E11">
            <v>0</v>
          </cell>
          <cell r="F11">
            <v>0</v>
          </cell>
          <cell r="G11">
            <v>0</v>
          </cell>
          <cell r="H11">
            <v>71542</v>
          </cell>
          <cell r="I11">
            <v>0</v>
          </cell>
          <cell r="M11">
            <v>0</v>
          </cell>
          <cell r="N11">
            <v>0</v>
          </cell>
          <cell r="O11">
            <v>0</v>
          </cell>
          <cell r="P11">
            <v>0</v>
          </cell>
          <cell r="Q11">
            <v>0</v>
          </cell>
          <cell r="R11">
            <v>0</v>
          </cell>
          <cell r="U11">
            <v>0</v>
          </cell>
          <cell r="V11">
            <v>862000</v>
          </cell>
          <cell r="W11">
            <v>0</v>
          </cell>
          <cell r="X11">
            <v>0</v>
          </cell>
          <cell r="Y11">
            <v>0</v>
          </cell>
          <cell r="Z11">
            <v>37142</v>
          </cell>
          <cell r="AA11">
            <v>0</v>
          </cell>
          <cell r="AB11">
            <v>0</v>
          </cell>
          <cell r="AC11">
            <v>0</v>
          </cell>
          <cell r="AD11">
            <v>0</v>
          </cell>
          <cell r="AE11">
            <v>0</v>
          </cell>
          <cell r="AF11">
            <v>51388</v>
          </cell>
          <cell r="AG11">
            <v>0</v>
          </cell>
          <cell r="AH11">
            <v>110050</v>
          </cell>
          <cell r="AJ11">
            <v>0</v>
          </cell>
          <cell r="AK11">
            <v>0</v>
          </cell>
          <cell r="AL11">
            <v>0</v>
          </cell>
          <cell r="AM11">
            <v>0</v>
          </cell>
          <cell r="AN11">
            <v>0</v>
          </cell>
          <cell r="AO11">
            <v>0</v>
          </cell>
          <cell r="AP11">
            <v>0</v>
          </cell>
          <cell r="AQ11">
            <v>0</v>
          </cell>
          <cell r="AR11">
            <v>0</v>
          </cell>
          <cell r="AS11">
            <v>0</v>
          </cell>
          <cell r="AT11">
            <v>0</v>
          </cell>
          <cell r="AW11">
            <v>0</v>
          </cell>
          <cell r="AX11">
            <v>0</v>
          </cell>
          <cell r="AY11">
            <v>5000</v>
          </cell>
          <cell r="BE11">
            <v>65495</v>
          </cell>
          <cell r="BG11">
            <v>650000</v>
          </cell>
          <cell r="BI11">
            <v>30000</v>
          </cell>
          <cell r="BM11">
            <v>808548</v>
          </cell>
          <cell r="BO11">
            <v>125000</v>
          </cell>
          <cell r="BQ11">
            <v>649823</v>
          </cell>
          <cell r="BR11">
            <v>37142</v>
          </cell>
          <cell r="BU11">
            <v>989591</v>
          </cell>
          <cell r="BV11">
            <v>2477010</v>
          </cell>
          <cell r="BW11">
            <v>0</v>
          </cell>
          <cell r="BX11">
            <v>0</v>
          </cell>
          <cell r="BY11">
            <v>0</v>
          </cell>
          <cell r="BZ11">
            <v>214152</v>
          </cell>
          <cell r="CB11">
            <v>0</v>
          </cell>
          <cell r="CC11">
            <v>5000</v>
          </cell>
          <cell r="CD11">
            <v>118300</v>
          </cell>
          <cell r="CF11">
            <v>0</v>
          </cell>
          <cell r="CG11">
            <v>180684</v>
          </cell>
          <cell r="CH11">
            <v>61475</v>
          </cell>
          <cell r="CI11">
            <v>603462</v>
          </cell>
          <cell r="CJ11">
            <v>0</v>
          </cell>
          <cell r="CK11">
            <v>0</v>
          </cell>
          <cell r="CN11">
            <v>44901</v>
          </cell>
          <cell r="CR11">
            <v>22134</v>
          </cell>
          <cell r="DF11">
            <v>2214302</v>
          </cell>
          <cell r="DI11">
            <v>212962</v>
          </cell>
          <cell r="DJ11">
            <v>100000</v>
          </cell>
          <cell r="DL11">
            <v>669050</v>
          </cell>
          <cell r="DP11">
            <v>522788</v>
          </cell>
          <cell r="DQ11">
            <v>15000</v>
          </cell>
          <cell r="DT11">
            <v>46084</v>
          </cell>
          <cell r="DU11">
            <v>589297</v>
          </cell>
          <cell r="EA11">
            <v>16498</v>
          </cell>
          <cell r="EB11">
            <v>65495</v>
          </cell>
          <cell r="ED11">
            <v>337063</v>
          </cell>
          <cell r="EM11">
            <v>10000</v>
          </cell>
          <cell r="EN11">
            <v>338600</v>
          </cell>
          <cell r="ET11">
            <v>223986</v>
          </cell>
          <cell r="EV11">
            <v>185096</v>
          </cell>
          <cell r="FA11">
            <v>6912808</v>
          </cell>
          <cell r="FC11">
            <v>456000</v>
          </cell>
          <cell r="FF11">
            <v>64823</v>
          </cell>
          <cell r="FL11">
            <v>5038000</v>
          </cell>
          <cell r="FX11">
            <v>20000</v>
          </cell>
          <cell r="GC11">
            <v>0</v>
          </cell>
          <cell r="GD11">
            <v>0</v>
          </cell>
          <cell r="GE11">
            <v>0</v>
          </cell>
        </row>
        <row r="12">
          <cell r="A12" t="str">
            <v>שונות</v>
          </cell>
          <cell r="B12">
            <v>0</v>
          </cell>
          <cell r="D12">
            <v>1700000</v>
          </cell>
          <cell r="E12">
            <v>0</v>
          </cell>
          <cell r="F12">
            <v>0</v>
          </cell>
          <cell r="G12">
            <v>0</v>
          </cell>
          <cell r="H12">
            <v>538216</v>
          </cell>
          <cell r="I12">
            <v>1050000</v>
          </cell>
          <cell r="M12">
            <v>0</v>
          </cell>
          <cell r="P12">
            <v>0</v>
          </cell>
          <cell r="Q12">
            <v>0</v>
          </cell>
          <cell r="R12">
            <v>0</v>
          </cell>
          <cell r="T12">
            <v>634078</v>
          </cell>
          <cell r="U12">
            <v>0</v>
          </cell>
          <cell r="V12">
            <v>16698000</v>
          </cell>
          <cell r="W12">
            <v>0</v>
          </cell>
          <cell r="X12">
            <v>0</v>
          </cell>
          <cell r="Y12">
            <v>0</v>
          </cell>
          <cell r="AA12">
            <v>0</v>
          </cell>
          <cell r="AB12">
            <v>0</v>
          </cell>
          <cell r="AC12">
            <v>0</v>
          </cell>
          <cell r="AD12">
            <v>350000</v>
          </cell>
          <cell r="AE12">
            <v>0</v>
          </cell>
          <cell r="AF12">
            <v>0</v>
          </cell>
          <cell r="AG12">
            <v>0</v>
          </cell>
          <cell r="AH12">
            <v>0</v>
          </cell>
          <cell r="AJ12">
            <v>0</v>
          </cell>
          <cell r="AK12">
            <v>0</v>
          </cell>
          <cell r="AL12">
            <v>0</v>
          </cell>
          <cell r="AM12">
            <v>0</v>
          </cell>
          <cell r="AN12">
            <v>0</v>
          </cell>
          <cell r="AO12">
            <v>0</v>
          </cell>
          <cell r="AP12">
            <v>0</v>
          </cell>
          <cell r="AQ12">
            <v>0</v>
          </cell>
          <cell r="AR12">
            <v>0</v>
          </cell>
          <cell r="AS12">
            <v>0</v>
          </cell>
          <cell r="AT12">
            <v>0</v>
          </cell>
          <cell r="AW12">
            <v>0</v>
          </cell>
          <cell r="AX12">
            <v>0</v>
          </cell>
          <cell r="BB12">
            <v>181000</v>
          </cell>
          <cell r="BD12">
            <v>358828</v>
          </cell>
          <cell r="BF12">
            <v>114000</v>
          </cell>
          <cell r="BG12">
            <v>9909000</v>
          </cell>
          <cell r="BK12">
            <v>358828</v>
          </cell>
          <cell r="BM12">
            <v>1438080</v>
          </cell>
          <cell r="BO12">
            <v>602333</v>
          </cell>
          <cell r="BS12">
            <v>837222</v>
          </cell>
          <cell r="BT12">
            <v>634078</v>
          </cell>
          <cell r="BU12">
            <v>232000</v>
          </cell>
          <cell r="BV12">
            <v>14497745</v>
          </cell>
          <cell r="BW12">
            <v>759843</v>
          </cell>
          <cell r="BX12">
            <v>0</v>
          </cell>
          <cell r="BY12">
            <v>0</v>
          </cell>
          <cell r="BZ12">
            <v>0</v>
          </cell>
          <cell r="CB12">
            <v>0</v>
          </cell>
          <cell r="CD12">
            <v>0</v>
          </cell>
          <cell r="CE12">
            <v>705000</v>
          </cell>
          <cell r="CF12">
            <v>0</v>
          </cell>
          <cell r="CG12">
            <v>0</v>
          </cell>
          <cell r="CH12">
            <v>288304</v>
          </cell>
          <cell r="CI12">
            <v>250000</v>
          </cell>
          <cell r="CJ12">
            <v>600000</v>
          </cell>
          <cell r="CK12">
            <v>0</v>
          </cell>
          <cell r="CL12">
            <v>584000</v>
          </cell>
          <cell r="CX12">
            <v>0</v>
          </cell>
          <cell r="DF12">
            <v>4380000</v>
          </cell>
          <cell r="DH12">
            <v>5946799</v>
          </cell>
          <cell r="DI12">
            <v>850000</v>
          </cell>
          <cell r="DJ12">
            <v>404836</v>
          </cell>
          <cell r="DK12">
            <v>5613000</v>
          </cell>
          <cell r="DL12">
            <v>3413221</v>
          </cell>
          <cell r="DO12">
            <v>947433</v>
          </cell>
          <cell r="DP12">
            <v>370000</v>
          </cell>
          <cell r="DR12">
            <v>349773</v>
          </cell>
          <cell r="DZ12">
            <v>4500000</v>
          </cell>
          <cell r="EH12">
            <v>60000</v>
          </cell>
          <cell r="EK12">
            <v>600000</v>
          </cell>
          <cell r="EN12">
            <v>500000</v>
          </cell>
          <cell r="EQ12">
            <v>258011</v>
          </cell>
          <cell r="ET12">
            <v>773020</v>
          </cell>
          <cell r="EU12">
            <v>300000</v>
          </cell>
          <cell r="EV12">
            <v>100000</v>
          </cell>
          <cell r="EY12">
            <v>120000</v>
          </cell>
          <cell r="FA12">
            <v>7000000</v>
          </cell>
          <cell r="FC12">
            <v>1451000</v>
          </cell>
          <cell r="FL12">
            <v>7918716</v>
          </cell>
          <cell r="FY12">
            <v>320000</v>
          </cell>
          <cell r="GC12">
            <v>0</v>
          </cell>
          <cell r="GD12">
            <v>0</v>
          </cell>
          <cell r="GE12">
            <v>0</v>
          </cell>
        </row>
        <row r="13">
          <cell r="A13" t="str">
            <v>נכסים בהקמה</v>
          </cell>
          <cell r="B13">
            <v>0</v>
          </cell>
          <cell r="D13">
            <v>3214000</v>
          </cell>
          <cell r="E13">
            <v>0</v>
          </cell>
          <cell r="F13">
            <v>0</v>
          </cell>
          <cell r="G13">
            <v>0</v>
          </cell>
          <cell r="H13">
            <v>0</v>
          </cell>
          <cell r="I13">
            <v>0</v>
          </cell>
          <cell r="M13">
            <v>0</v>
          </cell>
          <cell r="N13">
            <v>0</v>
          </cell>
          <cell r="O13">
            <v>0</v>
          </cell>
          <cell r="P13">
            <v>0</v>
          </cell>
          <cell r="Q13">
            <v>0</v>
          </cell>
          <cell r="R13">
            <v>876000</v>
          </cell>
          <cell r="U13">
            <v>0</v>
          </cell>
          <cell r="V13">
            <v>5110000</v>
          </cell>
          <cell r="W13">
            <v>0</v>
          </cell>
          <cell r="X13">
            <v>0</v>
          </cell>
          <cell r="Y13">
            <v>0</v>
          </cell>
          <cell r="Z13">
            <v>250849</v>
          </cell>
          <cell r="AA13">
            <v>0</v>
          </cell>
          <cell r="AB13">
            <v>0</v>
          </cell>
          <cell r="AC13">
            <v>0</v>
          </cell>
          <cell r="AD13">
            <v>0</v>
          </cell>
          <cell r="AE13">
            <v>0</v>
          </cell>
          <cell r="AF13">
            <v>0</v>
          </cell>
          <cell r="AG13">
            <v>0</v>
          </cell>
          <cell r="AH13">
            <v>0</v>
          </cell>
          <cell r="AJ13">
            <v>0</v>
          </cell>
          <cell r="AK13">
            <v>0</v>
          </cell>
          <cell r="AL13">
            <v>0</v>
          </cell>
          <cell r="AM13">
            <v>0</v>
          </cell>
          <cell r="AN13">
            <v>0</v>
          </cell>
          <cell r="AO13">
            <v>0</v>
          </cell>
          <cell r="AP13">
            <v>0</v>
          </cell>
          <cell r="AQ13">
            <v>0</v>
          </cell>
          <cell r="AR13">
            <v>0</v>
          </cell>
          <cell r="AS13">
            <v>0</v>
          </cell>
          <cell r="AT13">
            <v>675000</v>
          </cell>
          <cell r="AW13">
            <v>0</v>
          </cell>
          <cell r="AX13">
            <v>0</v>
          </cell>
          <cell r="AY13">
            <v>950000</v>
          </cell>
          <cell r="AZ13">
            <v>500000</v>
          </cell>
          <cell r="BD13">
            <v>3113625</v>
          </cell>
          <cell r="BE13">
            <v>0</v>
          </cell>
          <cell r="BF13">
            <v>4404353</v>
          </cell>
          <cell r="BI13">
            <v>4758000</v>
          </cell>
          <cell r="BK13">
            <v>3113625</v>
          </cell>
          <cell r="BM13">
            <v>262000</v>
          </cell>
          <cell r="BO13">
            <v>795000</v>
          </cell>
          <cell r="BR13">
            <v>250849</v>
          </cell>
          <cell r="BW13">
            <v>0</v>
          </cell>
          <cell r="BX13">
            <v>0</v>
          </cell>
          <cell r="BY13">
            <v>0</v>
          </cell>
          <cell r="BZ13">
            <v>10395000</v>
          </cell>
          <cell r="CB13">
            <v>10000000</v>
          </cell>
          <cell r="CD13">
            <v>0</v>
          </cell>
          <cell r="CE13">
            <v>0</v>
          </cell>
          <cell r="CF13">
            <v>0</v>
          </cell>
          <cell r="CG13">
            <v>0</v>
          </cell>
          <cell r="CH13">
            <v>0</v>
          </cell>
          <cell r="CI13">
            <v>500000</v>
          </cell>
          <cell r="CJ13">
            <v>0</v>
          </cell>
          <cell r="CK13">
            <v>0</v>
          </cell>
          <cell r="DF13">
            <v>1478177</v>
          </cell>
          <cell r="DK13">
            <v>12010000</v>
          </cell>
          <cell r="DL13">
            <v>300000</v>
          </cell>
          <cell r="DW13">
            <v>200000</v>
          </cell>
          <cell r="FA13">
            <v>3171456</v>
          </cell>
          <cell r="FU13">
            <v>1000000</v>
          </cell>
          <cell r="GC13">
            <v>0</v>
          </cell>
          <cell r="GD13">
            <v>0</v>
          </cell>
          <cell r="GE13">
            <v>0</v>
          </cell>
          <cell r="GF13">
            <v>2043244</v>
          </cell>
        </row>
        <row r="14">
          <cell r="A14" t="str">
            <v>זכויות מים</v>
          </cell>
          <cell r="B14">
            <v>1002663</v>
          </cell>
          <cell r="C14">
            <v>17756685</v>
          </cell>
          <cell r="D14">
            <v>49855000</v>
          </cell>
          <cell r="E14">
            <v>1626941</v>
          </cell>
          <cell r="F14">
            <v>2603125</v>
          </cell>
          <cell r="G14">
            <v>0</v>
          </cell>
          <cell r="H14">
            <v>2925829</v>
          </cell>
          <cell r="I14">
            <v>35386964</v>
          </cell>
          <cell r="K14">
            <v>445594</v>
          </cell>
          <cell r="L14">
            <v>2079830</v>
          </cell>
          <cell r="M14">
            <v>314745</v>
          </cell>
          <cell r="N14">
            <v>0</v>
          </cell>
          <cell r="O14">
            <v>1201888</v>
          </cell>
          <cell r="P14">
            <v>325582</v>
          </cell>
          <cell r="Q14">
            <v>293000</v>
          </cell>
          <cell r="R14">
            <v>378068</v>
          </cell>
          <cell r="T14">
            <v>7224950</v>
          </cell>
          <cell r="U14">
            <v>3341670</v>
          </cell>
          <cell r="W14">
            <v>491107</v>
          </cell>
          <cell r="X14">
            <v>0</v>
          </cell>
          <cell r="Y14">
            <v>1345500</v>
          </cell>
          <cell r="Z14">
            <v>374049</v>
          </cell>
          <cell r="AA14">
            <v>2087731</v>
          </cell>
          <cell r="AB14">
            <v>146565</v>
          </cell>
          <cell r="AC14">
            <v>0</v>
          </cell>
          <cell r="AD14">
            <v>753480</v>
          </cell>
          <cell r="AE14">
            <v>633880</v>
          </cell>
          <cell r="AF14">
            <v>11086181</v>
          </cell>
          <cell r="AG14">
            <v>0</v>
          </cell>
          <cell r="AH14">
            <v>5969444</v>
          </cell>
          <cell r="AI14">
            <v>324115</v>
          </cell>
          <cell r="AJ14">
            <v>263650</v>
          </cell>
          <cell r="AK14">
            <v>283005</v>
          </cell>
          <cell r="AL14">
            <v>0</v>
          </cell>
          <cell r="AM14">
            <v>943238</v>
          </cell>
          <cell r="AN14">
            <v>275190</v>
          </cell>
          <cell r="AO14">
            <v>538568</v>
          </cell>
          <cell r="AP14">
            <v>2024230</v>
          </cell>
          <cell r="AQ14">
            <v>3870555</v>
          </cell>
          <cell r="AR14">
            <v>564776</v>
          </cell>
          <cell r="AS14">
            <v>102829</v>
          </cell>
          <cell r="AT14">
            <v>1611386</v>
          </cell>
          <cell r="AU14">
            <v>305049</v>
          </cell>
          <cell r="AW14">
            <v>1166694</v>
          </cell>
          <cell r="AX14">
            <v>203320</v>
          </cell>
          <cell r="AZ14">
            <v>5208014</v>
          </cell>
          <cell r="BA14">
            <v>1944140</v>
          </cell>
          <cell r="BB14">
            <v>8509688</v>
          </cell>
          <cell r="BC14">
            <v>12980660</v>
          </cell>
          <cell r="BD14">
            <v>2064988</v>
          </cell>
          <cell r="BE14">
            <v>7233380</v>
          </cell>
          <cell r="BF14">
            <v>19136000</v>
          </cell>
          <cell r="BH14">
            <v>7972237</v>
          </cell>
          <cell r="BI14">
            <v>6237000</v>
          </cell>
          <cell r="BJ14">
            <v>8509688</v>
          </cell>
          <cell r="BK14">
            <v>2064988</v>
          </cell>
          <cell r="BL14">
            <v>2603125</v>
          </cell>
          <cell r="BM14">
            <v>14179218</v>
          </cell>
          <cell r="BP14">
            <v>12954300</v>
          </cell>
          <cell r="BQ14">
            <v>5569509</v>
          </cell>
          <cell r="BR14">
            <v>374049</v>
          </cell>
          <cell r="BS14">
            <v>52390850</v>
          </cell>
          <cell r="BT14">
            <v>7224950</v>
          </cell>
          <cell r="BU14">
            <v>74480000</v>
          </cell>
          <cell r="BV14">
            <v>179680738</v>
          </cell>
          <cell r="BW14">
            <v>1751164</v>
          </cell>
          <cell r="BX14">
            <v>4058776</v>
          </cell>
          <cell r="BY14">
            <v>7784166</v>
          </cell>
          <cell r="BZ14">
            <v>8788767</v>
          </cell>
          <cell r="CA14">
            <v>1810993</v>
          </cell>
          <cell r="CB14">
            <v>515180</v>
          </cell>
          <cell r="CC14">
            <v>868450</v>
          </cell>
          <cell r="CD14">
            <v>1266000</v>
          </cell>
          <cell r="CE14">
            <v>6898507</v>
          </cell>
          <cell r="CF14">
            <v>196700</v>
          </cell>
          <cell r="CG14">
            <v>16834659</v>
          </cell>
          <cell r="CH14">
            <v>6256662</v>
          </cell>
          <cell r="CI14">
            <v>7288568</v>
          </cell>
          <cell r="CJ14">
            <v>3789810</v>
          </cell>
          <cell r="CK14">
            <v>325582</v>
          </cell>
          <cell r="CL14">
            <v>0</v>
          </cell>
          <cell r="CM14">
            <v>733348</v>
          </cell>
          <cell r="CN14">
            <v>818607</v>
          </cell>
          <cell r="CO14">
            <v>4199100</v>
          </cell>
          <cell r="CP14">
            <v>1517969</v>
          </cell>
          <cell r="CQ14">
            <v>1578990</v>
          </cell>
          <cell r="CR14">
            <v>1877792</v>
          </cell>
          <cell r="CS14">
            <v>1714513</v>
          </cell>
          <cell r="CT14">
            <v>982720</v>
          </cell>
          <cell r="CU14">
            <v>514000</v>
          </cell>
          <cell r="CV14">
            <v>3684665</v>
          </cell>
          <cell r="CX14">
            <v>1541675</v>
          </cell>
          <cell r="CY14">
            <v>86266</v>
          </cell>
          <cell r="CZ14">
            <v>405190</v>
          </cell>
          <cell r="DA14">
            <v>2763915</v>
          </cell>
          <cell r="DB14">
            <v>489500</v>
          </cell>
          <cell r="DC14">
            <v>430780</v>
          </cell>
          <cell r="DD14">
            <v>36840</v>
          </cell>
          <cell r="DE14">
            <v>1484926</v>
          </cell>
          <cell r="DF14">
            <v>16492635</v>
          </cell>
          <cell r="DG14">
            <v>180555</v>
          </cell>
          <cell r="DI14">
            <v>9000000</v>
          </cell>
          <cell r="DJ14">
            <v>240000</v>
          </cell>
          <cell r="DK14">
            <v>23206646</v>
          </cell>
          <cell r="DL14">
            <v>16885000</v>
          </cell>
          <cell r="DM14">
            <v>2772000</v>
          </cell>
          <cell r="DO14">
            <v>15077655</v>
          </cell>
          <cell r="DP14">
            <v>15517846</v>
          </cell>
          <cell r="DQ14">
            <v>2472000</v>
          </cell>
          <cell r="DR14">
            <v>163127</v>
          </cell>
          <cell r="DS14">
            <v>321395</v>
          </cell>
          <cell r="DT14">
            <v>8248265</v>
          </cell>
          <cell r="DU14">
            <v>29000712</v>
          </cell>
          <cell r="DV14">
            <v>7752872</v>
          </cell>
          <cell r="DW14">
            <v>2175465</v>
          </cell>
          <cell r="DX14">
            <v>601065</v>
          </cell>
          <cell r="DY14">
            <v>35124</v>
          </cell>
          <cell r="DZ14">
            <v>3918516</v>
          </cell>
          <cell r="EA14">
            <v>60900</v>
          </cell>
          <cell r="EB14">
            <v>7233380</v>
          </cell>
          <cell r="ED14">
            <v>982800</v>
          </cell>
          <cell r="EE14">
            <v>1090770</v>
          </cell>
          <cell r="EF14">
            <v>1208076</v>
          </cell>
          <cell r="EH14">
            <v>455298</v>
          </cell>
          <cell r="EI14">
            <v>3336320</v>
          </cell>
          <cell r="EJ14">
            <v>1632000</v>
          </cell>
          <cell r="EK14">
            <v>2501900</v>
          </cell>
          <cell r="EL14">
            <v>786568</v>
          </cell>
          <cell r="EN14">
            <v>13124655</v>
          </cell>
          <cell r="EP14">
            <v>1944139</v>
          </cell>
          <cell r="EQ14">
            <v>3558846</v>
          </cell>
          <cell r="ER14">
            <v>10100541</v>
          </cell>
          <cell r="ES14">
            <v>11751292</v>
          </cell>
          <cell r="ET14">
            <v>8839932</v>
          </cell>
          <cell r="EU14">
            <v>3100173</v>
          </cell>
          <cell r="EV14">
            <v>1847390</v>
          </cell>
          <cell r="EW14">
            <v>427323</v>
          </cell>
          <cell r="EX14">
            <v>417430</v>
          </cell>
          <cell r="EY14">
            <v>173400</v>
          </cell>
          <cell r="FA14">
            <v>132397000</v>
          </cell>
          <cell r="FB14">
            <v>221426</v>
          </cell>
          <cell r="FD14">
            <v>4669590</v>
          </cell>
          <cell r="FF14">
            <v>5569509</v>
          </cell>
          <cell r="FH14">
            <v>965423</v>
          </cell>
          <cell r="FI14">
            <v>7311973</v>
          </cell>
          <cell r="FJ14">
            <v>248321</v>
          </cell>
          <cell r="FK14">
            <v>1472088</v>
          </cell>
          <cell r="FL14">
            <v>24083142</v>
          </cell>
          <cell r="FM14">
            <v>1074809</v>
          </cell>
          <cell r="FN14">
            <v>365598</v>
          </cell>
          <cell r="FO14">
            <v>146565</v>
          </cell>
          <cell r="FP14">
            <v>493182</v>
          </cell>
          <cell r="FQ14">
            <v>0</v>
          </cell>
          <cell r="FS14">
            <v>305049</v>
          </cell>
          <cell r="FU14">
            <v>1876803</v>
          </cell>
          <cell r="FV14">
            <v>1437502</v>
          </cell>
          <cell r="FW14">
            <v>5727918</v>
          </cell>
          <cell r="FX14">
            <v>4823335</v>
          </cell>
          <cell r="FY14">
            <v>8924144</v>
          </cell>
          <cell r="FZ14">
            <v>297900</v>
          </cell>
          <cell r="GA14">
            <v>33660</v>
          </cell>
          <cell r="GB14">
            <v>222480</v>
          </cell>
          <cell r="GC14">
            <v>494975.33333333331</v>
          </cell>
          <cell r="GD14">
            <v>494975.33333333331</v>
          </cell>
          <cell r="GE14">
            <v>494975.33333333331</v>
          </cell>
          <cell r="GF14">
            <v>4337079</v>
          </cell>
        </row>
        <row r="15">
          <cell r="A15" t="str">
            <v>מוני מים</v>
          </cell>
          <cell r="B15">
            <v>263922</v>
          </cell>
          <cell r="C15">
            <v>5870318</v>
          </cell>
          <cell r="D15">
            <v>11327000</v>
          </cell>
          <cell r="E15">
            <v>1363718</v>
          </cell>
          <cell r="F15">
            <v>542930</v>
          </cell>
          <cell r="G15">
            <v>370750</v>
          </cell>
          <cell r="H15">
            <v>1385145</v>
          </cell>
          <cell r="I15">
            <v>19106850</v>
          </cell>
          <cell r="K15">
            <v>197820</v>
          </cell>
          <cell r="L15">
            <v>455584</v>
          </cell>
          <cell r="M15">
            <v>151895</v>
          </cell>
          <cell r="N15">
            <v>180590</v>
          </cell>
          <cell r="O15">
            <v>263216</v>
          </cell>
          <cell r="P15">
            <v>113400</v>
          </cell>
          <cell r="Q15">
            <v>218750</v>
          </cell>
          <cell r="R15">
            <v>286776</v>
          </cell>
          <cell r="S15">
            <v>2586636</v>
          </cell>
          <cell r="T15">
            <v>7394160</v>
          </cell>
          <cell r="U15">
            <v>615032</v>
          </cell>
          <cell r="V15">
            <v>3231000</v>
          </cell>
          <cell r="W15">
            <v>139572</v>
          </cell>
          <cell r="X15">
            <v>0</v>
          </cell>
          <cell r="Y15">
            <v>438376</v>
          </cell>
          <cell r="Z15">
            <v>184818</v>
          </cell>
          <cell r="AA15">
            <v>453780</v>
          </cell>
          <cell r="AB15">
            <v>86060</v>
          </cell>
          <cell r="AC15">
            <v>65000</v>
          </cell>
          <cell r="AD15">
            <v>206100</v>
          </cell>
          <cell r="AE15">
            <v>472500</v>
          </cell>
          <cell r="AF15">
            <v>3760090</v>
          </cell>
          <cell r="AG15">
            <v>0</v>
          </cell>
          <cell r="AH15">
            <v>1397140</v>
          </cell>
          <cell r="AI15">
            <v>213345</v>
          </cell>
          <cell r="AJ15">
            <v>151895</v>
          </cell>
          <cell r="AK15">
            <v>64232</v>
          </cell>
          <cell r="AL15">
            <v>43224</v>
          </cell>
          <cell r="AM15">
            <v>618342</v>
          </cell>
          <cell r="AN15">
            <v>272556</v>
          </cell>
          <cell r="AO15">
            <v>170020</v>
          </cell>
          <cell r="AP15">
            <v>261992</v>
          </cell>
          <cell r="AQ15">
            <v>1055374</v>
          </cell>
          <cell r="AR15">
            <v>426990</v>
          </cell>
          <cell r="AS15">
            <v>176267</v>
          </cell>
          <cell r="AT15">
            <v>710262</v>
          </cell>
          <cell r="AU15">
            <v>177610</v>
          </cell>
          <cell r="AV15">
            <v>147730</v>
          </cell>
          <cell r="AW15">
            <v>562590</v>
          </cell>
          <cell r="AX15">
            <v>149142</v>
          </cell>
          <cell r="AY15">
            <v>49724</v>
          </cell>
          <cell r="AZ15">
            <v>2163848</v>
          </cell>
          <cell r="BA15">
            <v>574960</v>
          </cell>
          <cell r="BB15">
            <v>11106042</v>
          </cell>
          <cell r="BC15">
            <v>3290990</v>
          </cell>
          <cell r="BD15">
            <v>818542</v>
          </cell>
          <cell r="BE15">
            <v>2663410</v>
          </cell>
          <cell r="BF15">
            <v>3650222</v>
          </cell>
          <cell r="BG15">
            <v>5935879</v>
          </cell>
          <cell r="BH15">
            <v>1811234</v>
          </cell>
          <cell r="BI15">
            <v>1129000</v>
          </cell>
          <cell r="BJ15">
            <v>11106042</v>
          </cell>
          <cell r="BK15">
            <v>818542</v>
          </cell>
          <cell r="BL15">
            <v>542930</v>
          </cell>
          <cell r="BM15">
            <v>6437370</v>
          </cell>
          <cell r="BN15">
            <v>252216</v>
          </cell>
          <cell r="BO15">
            <v>3260622</v>
          </cell>
          <cell r="BP15">
            <v>2802285</v>
          </cell>
          <cell r="BQ15">
            <v>4865220</v>
          </cell>
          <cell r="BR15">
            <v>184818</v>
          </cell>
          <cell r="BS15">
            <v>9993089</v>
          </cell>
          <cell r="BT15">
            <v>7394160</v>
          </cell>
          <cell r="BU15">
            <v>21101935</v>
          </cell>
          <cell r="BV15">
            <v>24937793</v>
          </cell>
          <cell r="BW15">
            <v>741530</v>
          </cell>
          <cell r="BX15">
            <v>2246661</v>
          </cell>
          <cell r="BY15">
            <v>1674855</v>
          </cell>
          <cell r="BZ15">
            <v>1491645</v>
          </cell>
          <cell r="CA15">
            <v>549320</v>
          </cell>
          <cell r="CB15">
            <v>978400</v>
          </cell>
          <cell r="CC15">
            <v>995053</v>
          </cell>
          <cell r="CD15">
            <v>611870</v>
          </cell>
          <cell r="CE15">
            <v>7310574</v>
          </cell>
          <cell r="CF15">
            <v>69206</v>
          </cell>
          <cell r="CG15">
            <v>5137513</v>
          </cell>
          <cell r="CH15">
            <v>4434878</v>
          </cell>
          <cell r="CI15">
            <v>3741970</v>
          </cell>
          <cell r="CJ15">
            <v>2306800</v>
          </cell>
          <cell r="CK15">
            <v>113400</v>
          </cell>
          <cell r="CL15">
            <v>650000</v>
          </cell>
          <cell r="CM15">
            <v>356460</v>
          </cell>
          <cell r="CN15">
            <v>160538</v>
          </cell>
          <cell r="CO15">
            <v>1230379</v>
          </cell>
          <cell r="CP15">
            <v>257380</v>
          </cell>
          <cell r="CQ15">
            <v>155232</v>
          </cell>
          <cell r="CR15">
            <v>261552</v>
          </cell>
          <cell r="CS15">
            <v>172312</v>
          </cell>
          <cell r="CT15">
            <v>553040</v>
          </cell>
          <cell r="CU15">
            <v>207000</v>
          </cell>
          <cell r="CV15">
            <v>407660</v>
          </cell>
          <cell r="CX15">
            <v>362538</v>
          </cell>
          <cell r="CY15">
            <v>284658</v>
          </cell>
          <cell r="CZ15">
            <v>311346</v>
          </cell>
          <cell r="DA15">
            <v>368130</v>
          </cell>
          <cell r="DB15">
            <v>178884</v>
          </cell>
          <cell r="DC15">
            <v>327708</v>
          </cell>
          <cell r="DD15">
            <v>112970</v>
          </cell>
          <cell r="DE15">
            <v>631910</v>
          </cell>
          <cell r="DF15">
            <v>11407210</v>
          </cell>
          <cell r="DG15">
            <v>182700</v>
          </cell>
          <cell r="DH15">
            <v>9352288</v>
          </cell>
          <cell r="DI15">
            <v>3865452</v>
          </cell>
          <cell r="DJ15">
            <v>3636474</v>
          </cell>
          <cell r="DK15">
            <v>29532154</v>
          </cell>
          <cell r="DL15">
            <v>18125210</v>
          </cell>
          <cell r="DM15">
            <v>1008294</v>
          </cell>
          <cell r="DO15">
            <v>4479960</v>
          </cell>
          <cell r="DP15">
            <v>4101700</v>
          </cell>
          <cell r="DQ15">
            <v>435038</v>
          </cell>
          <cell r="DR15">
            <v>202625</v>
          </cell>
          <cell r="DS15">
            <v>146250</v>
          </cell>
          <cell r="DT15">
            <v>3718730</v>
          </cell>
          <cell r="DU15">
            <v>6874060</v>
          </cell>
          <cell r="DV15">
            <v>1506728</v>
          </cell>
          <cell r="DW15">
            <v>617000</v>
          </cell>
          <cell r="DX15">
            <v>482500</v>
          </cell>
          <cell r="DY15">
            <v>401820</v>
          </cell>
          <cell r="DZ15">
            <v>861070</v>
          </cell>
          <cell r="EA15">
            <v>203780</v>
          </cell>
          <cell r="EB15">
            <v>2663410</v>
          </cell>
          <cell r="EC15">
            <v>987384</v>
          </cell>
          <cell r="ED15">
            <v>786430</v>
          </cell>
          <cell r="EE15">
            <v>432208</v>
          </cell>
          <cell r="EF15">
            <v>2150844</v>
          </cell>
          <cell r="EG15">
            <v>331484</v>
          </cell>
          <cell r="EH15">
            <v>273200</v>
          </cell>
          <cell r="EI15">
            <v>1136270</v>
          </cell>
          <cell r="EJ15">
            <v>889584</v>
          </cell>
          <cell r="EK15">
            <v>1120313</v>
          </cell>
          <cell r="EL15">
            <v>436440</v>
          </cell>
          <cell r="EM15">
            <v>830270</v>
          </cell>
          <cell r="EN15">
            <v>4483420</v>
          </cell>
          <cell r="EP15">
            <v>574960</v>
          </cell>
          <cell r="EQ15">
            <v>2024400</v>
          </cell>
          <cell r="ER15">
            <v>1132760</v>
          </cell>
          <cell r="ES15">
            <v>1141116</v>
          </cell>
          <cell r="ET15">
            <v>2162082</v>
          </cell>
          <cell r="EU15">
            <v>648074</v>
          </cell>
          <cell r="EV15">
            <v>454954</v>
          </cell>
          <cell r="EW15">
            <v>146072</v>
          </cell>
          <cell r="EX15">
            <v>189526</v>
          </cell>
          <cell r="EY15">
            <v>208336</v>
          </cell>
          <cell r="FA15">
            <v>37876370</v>
          </cell>
          <cell r="FB15">
            <v>92600</v>
          </cell>
          <cell r="FC15">
            <v>3298936</v>
          </cell>
          <cell r="FD15">
            <v>786040</v>
          </cell>
          <cell r="FE15">
            <v>90000</v>
          </cell>
          <cell r="FF15">
            <v>4865220</v>
          </cell>
          <cell r="FG15">
            <v>127375</v>
          </cell>
          <cell r="FH15">
            <v>466375</v>
          </cell>
          <cell r="FI15">
            <v>1312162</v>
          </cell>
          <cell r="FJ15">
            <v>115944</v>
          </cell>
          <cell r="FK15">
            <v>230948</v>
          </cell>
          <cell r="FL15">
            <v>23269135</v>
          </cell>
          <cell r="FM15">
            <v>168298</v>
          </cell>
          <cell r="FN15">
            <v>90520</v>
          </cell>
          <cell r="FO15">
            <v>86060</v>
          </cell>
          <cell r="FP15">
            <v>197050</v>
          </cell>
          <cell r="FQ15">
            <v>125776</v>
          </cell>
          <cell r="FS15">
            <v>177610</v>
          </cell>
          <cell r="FT15">
            <v>203520</v>
          </cell>
          <cell r="FU15">
            <v>784250</v>
          </cell>
          <cell r="FV15">
            <v>228256</v>
          </cell>
          <cell r="FW15">
            <v>2790111</v>
          </cell>
          <cell r="FX15">
            <v>1743153</v>
          </cell>
          <cell r="FY15">
            <v>2000565</v>
          </cell>
          <cell r="FZ15">
            <v>247480</v>
          </cell>
          <cell r="GA15">
            <v>111000</v>
          </cell>
          <cell r="GB15">
            <v>91000</v>
          </cell>
          <cell r="GC15">
            <v>210636.66666666666</v>
          </cell>
          <cell r="GD15">
            <v>210636.66666666666</v>
          </cell>
          <cell r="GE15">
            <v>210636.66666666666</v>
          </cell>
          <cell r="GF15">
            <v>1945279</v>
          </cell>
        </row>
        <row r="16">
          <cell r="A16" t="str">
            <v>קווי מים לחקלאות</v>
          </cell>
          <cell r="S16">
            <v>1612500</v>
          </cell>
          <cell r="AH16">
            <v>0</v>
          </cell>
          <cell r="AJ16">
            <v>0</v>
          </cell>
          <cell r="AK16">
            <v>0</v>
          </cell>
          <cell r="AL16">
            <v>0</v>
          </cell>
          <cell r="AN16">
            <v>0</v>
          </cell>
          <cell r="AO16">
            <v>0</v>
          </cell>
          <cell r="AP16">
            <v>0</v>
          </cell>
          <cell r="AQ16">
            <v>0</v>
          </cell>
          <cell r="AR16">
            <v>0</v>
          </cell>
          <cell r="AS16">
            <v>0</v>
          </cell>
          <cell r="AT16">
            <v>0</v>
          </cell>
          <cell r="BW16">
            <v>0</v>
          </cell>
          <cell r="BY16">
            <v>0</v>
          </cell>
          <cell r="CI16">
            <v>0</v>
          </cell>
          <cell r="CJ16">
            <v>0</v>
          </cell>
          <cell r="CK16">
            <v>0</v>
          </cell>
          <cell r="FH16">
            <v>10220985</v>
          </cell>
          <cell r="GC16">
            <v>0</v>
          </cell>
          <cell r="GD16">
            <v>0</v>
          </cell>
          <cell r="GE16">
            <v>0</v>
          </cell>
        </row>
        <row r="17">
          <cell r="A17" t="str">
            <v>סה"כ</v>
          </cell>
          <cell r="B17">
            <v>12364775</v>
          </cell>
          <cell r="C17">
            <v>109933703</v>
          </cell>
          <cell r="D17">
            <v>232775000</v>
          </cell>
          <cell r="E17">
            <v>45955109</v>
          </cell>
          <cell r="F17">
            <v>14669485</v>
          </cell>
          <cell r="G17">
            <v>9413083</v>
          </cell>
          <cell r="H17">
            <v>24489494</v>
          </cell>
          <cell r="I17">
            <v>314633145</v>
          </cell>
          <cell r="J17">
            <v>0</v>
          </cell>
          <cell r="K17">
            <v>8210684</v>
          </cell>
          <cell r="L17">
            <v>18303339</v>
          </cell>
          <cell r="M17">
            <v>5592425</v>
          </cell>
          <cell r="N17">
            <v>7209210</v>
          </cell>
          <cell r="O17">
            <v>13485634</v>
          </cell>
          <cell r="P17">
            <v>3273677</v>
          </cell>
          <cell r="Q17">
            <v>11610663</v>
          </cell>
          <cell r="R17">
            <v>9901084</v>
          </cell>
          <cell r="S17">
            <v>80920356</v>
          </cell>
          <cell r="T17">
            <v>187156885</v>
          </cell>
          <cell r="U17">
            <v>22901422</v>
          </cell>
          <cell r="V17">
            <v>150880250</v>
          </cell>
          <cell r="W17">
            <v>9796949</v>
          </cell>
          <cell r="X17">
            <v>0</v>
          </cell>
          <cell r="Y17">
            <v>18019906</v>
          </cell>
          <cell r="Z17">
            <v>9176523</v>
          </cell>
          <cell r="AA17">
            <v>23530620</v>
          </cell>
          <cell r="AB17">
            <v>5556227</v>
          </cell>
          <cell r="AC17">
            <v>5392019</v>
          </cell>
          <cell r="AD17">
            <v>10856616</v>
          </cell>
          <cell r="AE17">
            <v>18044919</v>
          </cell>
          <cell r="AF17">
            <v>58186675</v>
          </cell>
          <cell r="AG17">
            <v>0</v>
          </cell>
          <cell r="AH17">
            <v>44017344</v>
          </cell>
          <cell r="AI17">
            <v>7805200</v>
          </cell>
          <cell r="AJ17">
            <v>6982405</v>
          </cell>
          <cell r="AK17">
            <v>4961147</v>
          </cell>
          <cell r="AL17">
            <v>1482274</v>
          </cell>
          <cell r="AM17">
            <v>22823310</v>
          </cell>
          <cell r="AN17">
            <v>9621661</v>
          </cell>
          <cell r="AO17">
            <v>10653143</v>
          </cell>
          <cell r="AP17">
            <v>13014774</v>
          </cell>
          <cell r="AQ17">
            <v>44762259</v>
          </cell>
          <cell r="AR17">
            <v>16189936</v>
          </cell>
          <cell r="AS17">
            <v>6436876</v>
          </cell>
          <cell r="AT17">
            <v>23437338</v>
          </cell>
          <cell r="AU17">
            <v>11852800</v>
          </cell>
          <cell r="AV17">
            <v>6495602</v>
          </cell>
          <cell r="AW17">
            <v>18518889</v>
          </cell>
          <cell r="AX17">
            <v>7245482</v>
          </cell>
          <cell r="AY17">
            <v>4995294</v>
          </cell>
          <cell r="AZ17">
            <v>46913332</v>
          </cell>
          <cell r="BA17">
            <v>40769495</v>
          </cell>
          <cell r="BB17">
            <v>80255067</v>
          </cell>
          <cell r="BC17">
            <v>73056860</v>
          </cell>
          <cell r="BD17">
            <v>19513818</v>
          </cell>
          <cell r="BE17">
            <v>35215220</v>
          </cell>
          <cell r="BF17">
            <v>94558699</v>
          </cell>
          <cell r="BG17">
            <v>189101029</v>
          </cell>
          <cell r="BH17">
            <v>68167221</v>
          </cell>
          <cell r="BI17">
            <v>39779000</v>
          </cell>
          <cell r="BJ17">
            <v>80255067</v>
          </cell>
          <cell r="BK17">
            <v>19513818</v>
          </cell>
          <cell r="BM17">
            <v>119710462</v>
          </cell>
          <cell r="BN17">
            <v>13333073</v>
          </cell>
          <cell r="BO17">
            <v>65496693</v>
          </cell>
          <cell r="BP17">
            <v>64464689</v>
          </cell>
          <cell r="BQ17">
            <v>120366928</v>
          </cell>
          <cell r="BR17">
            <v>9176523</v>
          </cell>
          <cell r="BS17">
            <v>188218193</v>
          </cell>
          <cell r="BT17">
            <v>187156885</v>
          </cell>
          <cell r="BU17">
            <v>627902673</v>
          </cell>
          <cell r="BV17">
            <v>1296931882</v>
          </cell>
          <cell r="BW17">
            <v>31642236</v>
          </cell>
          <cell r="BX17">
            <v>63245737</v>
          </cell>
          <cell r="BY17">
            <v>46122421</v>
          </cell>
          <cell r="BZ17">
            <v>53015143</v>
          </cell>
          <cell r="CA17">
            <v>22022558</v>
          </cell>
          <cell r="CB17">
            <v>43504001</v>
          </cell>
          <cell r="CC17">
            <v>29913083</v>
          </cell>
          <cell r="CD17">
            <v>13209785</v>
          </cell>
          <cell r="CE17">
            <v>129810451</v>
          </cell>
          <cell r="CF17">
            <v>4315268</v>
          </cell>
          <cell r="CG17">
            <v>83330500</v>
          </cell>
          <cell r="CH17">
            <v>39633854</v>
          </cell>
          <cell r="CI17">
            <v>40156708</v>
          </cell>
          <cell r="CJ17">
            <v>63745400</v>
          </cell>
          <cell r="CK17">
            <v>3273677</v>
          </cell>
          <cell r="CL17">
            <v>39182000</v>
          </cell>
          <cell r="CM17">
            <v>11868738</v>
          </cell>
          <cell r="CN17">
            <v>5895951</v>
          </cell>
          <cell r="CO17">
            <v>25104547</v>
          </cell>
          <cell r="CP17">
            <v>18199540</v>
          </cell>
          <cell r="CQ17">
            <v>15160197</v>
          </cell>
          <cell r="CR17">
            <v>11944708</v>
          </cell>
          <cell r="CS17">
            <v>15277275</v>
          </cell>
          <cell r="CT17">
            <v>19647672</v>
          </cell>
          <cell r="CU17">
            <v>11689000</v>
          </cell>
          <cell r="CV17">
            <v>27189926</v>
          </cell>
          <cell r="CX17">
            <v>17379993</v>
          </cell>
          <cell r="CY17">
            <v>13878614</v>
          </cell>
          <cell r="CZ17">
            <v>11076396</v>
          </cell>
          <cell r="DA17">
            <v>21954862</v>
          </cell>
          <cell r="DB17">
            <v>10261671</v>
          </cell>
          <cell r="DC17">
            <v>11873628</v>
          </cell>
          <cell r="DD17">
            <v>3936910</v>
          </cell>
          <cell r="DE17">
            <v>23428667</v>
          </cell>
          <cell r="DF17">
            <v>240923466</v>
          </cell>
          <cell r="DG17">
            <v>13389425</v>
          </cell>
          <cell r="DH17">
            <v>121571094</v>
          </cell>
          <cell r="DI17">
            <v>80591084</v>
          </cell>
          <cell r="DJ17">
            <v>66911849</v>
          </cell>
          <cell r="DK17">
            <v>389821392</v>
          </cell>
          <cell r="DL17">
            <v>301705957</v>
          </cell>
          <cell r="DM17">
            <v>22814804</v>
          </cell>
          <cell r="DO17">
            <v>74238825</v>
          </cell>
          <cell r="DP17">
            <v>135123730</v>
          </cell>
          <cell r="DQ17">
            <v>20337638</v>
          </cell>
          <cell r="DR17">
            <v>7533369</v>
          </cell>
          <cell r="DS17">
            <v>5839636</v>
          </cell>
          <cell r="DT17">
            <v>67788541</v>
          </cell>
          <cell r="DU17">
            <v>141576300</v>
          </cell>
          <cell r="DV17">
            <v>39629083</v>
          </cell>
          <cell r="DW17">
            <v>30624430</v>
          </cell>
          <cell r="DX17">
            <v>15452255</v>
          </cell>
          <cell r="DY17">
            <v>17653004</v>
          </cell>
          <cell r="DZ17">
            <v>27482179</v>
          </cell>
          <cell r="EA17">
            <v>12704389</v>
          </cell>
          <cell r="EB17">
            <v>35215220</v>
          </cell>
          <cell r="EC17">
            <v>25111774</v>
          </cell>
          <cell r="ED17">
            <v>33013648</v>
          </cell>
          <cell r="EE17">
            <v>13672598</v>
          </cell>
          <cell r="EF17">
            <v>21164175</v>
          </cell>
          <cell r="EG17">
            <v>11997199</v>
          </cell>
          <cell r="EH17">
            <v>14020098</v>
          </cell>
          <cell r="EI17">
            <v>38504589</v>
          </cell>
          <cell r="EJ17">
            <v>9810671</v>
          </cell>
          <cell r="EK17">
            <v>41956788</v>
          </cell>
          <cell r="EL17">
            <v>12835838</v>
          </cell>
          <cell r="EM17">
            <v>23394533</v>
          </cell>
          <cell r="EN17">
            <v>90719017</v>
          </cell>
          <cell r="EP17">
            <v>40769494</v>
          </cell>
          <cell r="EQ17">
            <v>33478150</v>
          </cell>
          <cell r="ER17">
            <v>31561483</v>
          </cell>
          <cell r="ES17">
            <v>49445758</v>
          </cell>
          <cell r="ET17">
            <v>48873520</v>
          </cell>
          <cell r="EU17">
            <v>24601992</v>
          </cell>
          <cell r="EV17">
            <v>16653775</v>
          </cell>
          <cell r="EW17">
            <v>12652227</v>
          </cell>
          <cell r="EX17">
            <v>9251856</v>
          </cell>
          <cell r="EY17">
            <v>10582772</v>
          </cell>
          <cell r="FA17">
            <v>912611346</v>
          </cell>
          <cell r="FB17">
            <v>9667703</v>
          </cell>
          <cell r="FC17">
            <v>38684575</v>
          </cell>
          <cell r="FD17">
            <v>26419501</v>
          </cell>
          <cell r="FE17">
            <v>17321000</v>
          </cell>
          <cell r="FF17">
            <v>120366928</v>
          </cell>
          <cell r="FG17">
            <v>11833225</v>
          </cell>
          <cell r="FH17">
            <v>18246663</v>
          </cell>
          <cell r="FI17">
            <v>40176157</v>
          </cell>
          <cell r="FJ17">
            <v>2533470</v>
          </cell>
          <cell r="FK17">
            <v>18769561</v>
          </cell>
          <cell r="FL17">
            <v>488280695</v>
          </cell>
          <cell r="FM17">
            <v>10500407</v>
          </cell>
          <cell r="FN17">
            <v>5692184</v>
          </cell>
          <cell r="FO17">
            <v>5556227</v>
          </cell>
          <cell r="FP17">
            <v>13172237</v>
          </cell>
          <cell r="FQ17">
            <v>3645626</v>
          </cell>
          <cell r="FR17">
            <v>13614000</v>
          </cell>
          <cell r="FS17">
            <v>11852800</v>
          </cell>
          <cell r="FT17">
            <v>6963680</v>
          </cell>
          <cell r="FU17">
            <v>26384203</v>
          </cell>
          <cell r="FV17">
            <v>10631982</v>
          </cell>
          <cell r="FW17">
            <v>34731934</v>
          </cell>
          <cell r="FX17">
            <v>39067503</v>
          </cell>
          <cell r="FY17">
            <v>57744357</v>
          </cell>
          <cell r="FZ17">
            <v>7712183</v>
          </cell>
          <cell r="GA17">
            <v>7085705</v>
          </cell>
          <cell r="GB17">
            <v>2837072</v>
          </cell>
          <cell r="GC17">
            <v>7809555.666666667</v>
          </cell>
          <cell r="GD17">
            <v>7809555.666666667</v>
          </cell>
          <cell r="GE17">
            <v>7809555.666666667</v>
          </cell>
          <cell r="GF17">
            <v>32792700</v>
          </cell>
        </row>
        <row r="18">
          <cell r="A18" t="str">
            <v>ערך כינון מופחת</v>
          </cell>
          <cell r="GC18">
            <v>0</v>
          </cell>
          <cell r="GD18">
            <v>0</v>
          </cell>
          <cell r="GE18">
            <v>0</v>
          </cell>
        </row>
        <row r="19">
          <cell r="A19" t="str">
            <v>קווי מים</v>
          </cell>
          <cell r="B19">
            <v>6105791</v>
          </cell>
          <cell r="C19">
            <v>46462549</v>
          </cell>
          <cell r="D19">
            <v>77934000</v>
          </cell>
          <cell r="E19">
            <v>25752984</v>
          </cell>
          <cell r="F19">
            <v>3696781</v>
          </cell>
          <cell r="G19">
            <v>5649686</v>
          </cell>
          <cell r="H19">
            <v>11862055</v>
          </cell>
          <cell r="I19">
            <v>82773051</v>
          </cell>
          <cell r="K19">
            <v>4227058</v>
          </cell>
          <cell r="L19">
            <v>8292870</v>
          </cell>
          <cell r="M19">
            <v>3690360</v>
          </cell>
          <cell r="N19">
            <v>4157828</v>
          </cell>
          <cell r="O19">
            <v>6710045</v>
          </cell>
          <cell r="P19">
            <v>1756460</v>
          </cell>
          <cell r="Q19">
            <v>7239985</v>
          </cell>
          <cell r="R19">
            <v>5221993</v>
          </cell>
          <cell r="S19">
            <v>38419774</v>
          </cell>
          <cell r="T19">
            <v>54599183</v>
          </cell>
          <cell r="U19">
            <v>9746510</v>
          </cell>
          <cell r="V19">
            <v>43204649</v>
          </cell>
          <cell r="W19">
            <v>7061221</v>
          </cell>
          <cell r="X19">
            <v>0</v>
          </cell>
          <cell r="Y19">
            <v>11368614</v>
          </cell>
          <cell r="Z19">
            <v>5239680</v>
          </cell>
          <cell r="AA19">
            <v>11329361</v>
          </cell>
          <cell r="AB19">
            <v>4044630</v>
          </cell>
          <cell r="AC19">
            <v>1899348</v>
          </cell>
          <cell r="AD19">
            <v>6628440</v>
          </cell>
          <cell r="AE19">
            <v>8446678</v>
          </cell>
          <cell r="AF19">
            <v>19110126</v>
          </cell>
          <cell r="AG19">
            <v>0</v>
          </cell>
          <cell r="AH19">
            <v>17595033</v>
          </cell>
          <cell r="AI19">
            <v>5543964</v>
          </cell>
          <cell r="AJ19">
            <v>4136974</v>
          </cell>
          <cell r="AK19">
            <v>3658722</v>
          </cell>
          <cell r="AL19">
            <v>1039496</v>
          </cell>
          <cell r="AM19">
            <v>14752036</v>
          </cell>
          <cell r="AN19">
            <v>5293317</v>
          </cell>
          <cell r="AO19">
            <v>5596653</v>
          </cell>
          <cell r="AP19">
            <v>6612059</v>
          </cell>
          <cell r="AQ19">
            <v>23766924</v>
          </cell>
          <cell r="AR19">
            <v>9698291</v>
          </cell>
          <cell r="AS19">
            <v>2615649</v>
          </cell>
          <cell r="AT19">
            <v>11344014</v>
          </cell>
          <cell r="AU19">
            <v>4354174</v>
          </cell>
          <cell r="AV19">
            <v>2761503</v>
          </cell>
          <cell r="AW19">
            <v>10745393</v>
          </cell>
          <cell r="AX19">
            <v>5149478</v>
          </cell>
          <cell r="AY19">
            <v>3182141</v>
          </cell>
          <cell r="AZ19">
            <v>13638674</v>
          </cell>
          <cell r="BA19">
            <v>9329039</v>
          </cell>
          <cell r="BB19">
            <v>32278591</v>
          </cell>
          <cell r="BC19">
            <v>29205489</v>
          </cell>
          <cell r="BD19">
            <v>7507465</v>
          </cell>
          <cell r="BE19">
            <v>15354864</v>
          </cell>
          <cell r="BF19">
            <v>22421413</v>
          </cell>
          <cell r="BG19">
            <v>69079448</v>
          </cell>
          <cell r="BH19">
            <v>35145554</v>
          </cell>
          <cell r="BI19">
            <v>12192000</v>
          </cell>
          <cell r="BJ19">
            <v>32278591</v>
          </cell>
          <cell r="BK19">
            <v>75074652</v>
          </cell>
          <cell r="BL19">
            <v>3696781</v>
          </cell>
          <cell r="BM19">
            <v>37849423</v>
          </cell>
          <cell r="BN19">
            <v>6726879.333333334</v>
          </cell>
          <cell r="BO19">
            <v>30741371</v>
          </cell>
          <cell r="BP19">
            <v>22106145</v>
          </cell>
          <cell r="BQ19">
            <v>52635718</v>
          </cell>
          <cell r="BR19">
            <v>5239680</v>
          </cell>
          <cell r="BS19">
            <v>69811385</v>
          </cell>
          <cell r="BT19">
            <v>54599183</v>
          </cell>
          <cell r="BU19">
            <v>188217990</v>
          </cell>
          <cell r="BV19">
            <v>390252012</v>
          </cell>
          <cell r="BW19">
            <v>10217222</v>
          </cell>
          <cell r="BX19">
            <v>32088270</v>
          </cell>
          <cell r="BY19">
            <v>17491125</v>
          </cell>
          <cell r="BZ19">
            <v>10485223</v>
          </cell>
          <cell r="CA19">
            <v>9707413</v>
          </cell>
          <cell r="CB19">
            <v>17401427</v>
          </cell>
          <cell r="CC19">
            <v>11403436</v>
          </cell>
          <cell r="CD19">
            <v>7652676</v>
          </cell>
          <cell r="CE19">
            <v>38261140</v>
          </cell>
          <cell r="CF19">
            <v>2594946</v>
          </cell>
          <cell r="CG19">
            <v>32870359</v>
          </cell>
          <cell r="CH19">
            <v>16452484</v>
          </cell>
          <cell r="CI19">
            <v>10808652</v>
          </cell>
          <cell r="CJ19">
            <v>28921205</v>
          </cell>
          <cell r="CK19">
            <v>1756460</v>
          </cell>
          <cell r="CL19">
            <v>18240000</v>
          </cell>
          <cell r="CM19">
            <v>6583550</v>
          </cell>
          <cell r="CN19">
            <v>3744463</v>
          </cell>
          <cell r="CO19">
            <v>8258486</v>
          </cell>
          <cell r="CP19">
            <v>8831219</v>
          </cell>
          <cell r="CQ19">
            <v>9206620</v>
          </cell>
          <cell r="CR19">
            <v>5326839</v>
          </cell>
          <cell r="CS19">
            <v>2795425</v>
          </cell>
          <cell r="CT19">
            <v>7390809</v>
          </cell>
          <cell r="CU19">
            <v>6193000</v>
          </cell>
          <cell r="CV19">
            <v>12359813</v>
          </cell>
          <cell r="CX19">
            <v>9806855</v>
          </cell>
          <cell r="CY19">
            <v>7876111</v>
          </cell>
          <cell r="CZ19">
            <v>7087824</v>
          </cell>
          <cell r="DA19">
            <v>10914299</v>
          </cell>
          <cell r="DB19">
            <v>5534494</v>
          </cell>
          <cell r="DC19">
            <v>5955103</v>
          </cell>
          <cell r="DD19">
            <v>2045413</v>
          </cell>
          <cell r="DE19">
            <v>12269101</v>
          </cell>
          <cell r="DF19">
            <v>61711082</v>
          </cell>
          <cell r="DG19">
            <v>6502888</v>
          </cell>
          <cell r="DH19">
            <v>36953172</v>
          </cell>
          <cell r="DI19">
            <v>22040257</v>
          </cell>
          <cell r="DJ19">
            <v>18541389</v>
          </cell>
          <cell r="DK19">
            <v>113619031</v>
          </cell>
          <cell r="DL19">
            <v>118030596</v>
          </cell>
          <cell r="DM19">
            <v>6864223</v>
          </cell>
          <cell r="DO19">
            <v>23464017</v>
          </cell>
          <cell r="DP19">
            <v>74940145</v>
          </cell>
          <cell r="DQ19">
            <v>5601409</v>
          </cell>
          <cell r="DR19">
            <v>4688595</v>
          </cell>
          <cell r="DS19">
            <v>2683925</v>
          </cell>
          <cell r="DT19">
            <v>30759556</v>
          </cell>
          <cell r="DU19">
            <v>52156390</v>
          </cell>
          <cell r="DV19">
            <v>14436824</v>
          </cell>
          <cell r="DW19">
            <v>15546043</v>
          </cell>
          <cell r="DX19">
            <v>7846463</v>
          </cell>
          <cell r="DY19">
            <v>8720418</v>
          </cell>
          <cell r="DZ19">
            <v>13765677</v>
          </cell>
          <cell r="EA19">
            <v>3412354</v>
          </cell>
          <cell r="EB19">
            <v>15354864</v>
          </cell>
          <cell r="EC19">
            <v>12043948</v>
          </cell>
          <cell r="ED19">
            <v>12954293</v>
          </cell>
          <cell r="EE19">
            <v>7844673</v>
          </cell>
          <cell r="EF19">
            <v>6853347</v>
          </cell>
          <cell r="EG19">
            <v>3904652</v>
          </cell>
          <cell r="EH19">
            <v>7045289</v>
          </cell>
          <cell r="EI19">
            <v>12397268</v>
          </cell>
          <cell r="EJ19">
            <v>4907143</v>
          </cell>
          <cell r="EK19">
            <v>19106967</v>
          </cell>
          <cell r="EL19">
            <v>5198462</v>
          </cell>
          <cell r="EM19">
            <v>13422697</v>
          </cell>
          <cell r="EN19">
            <v>34754201</v>
          </cell>
          <cell r="EP19">
            <v>9329038</v>
          </cell>
          <cell r="EQ19">
            <v>14577043</v>
          </cell>
          <cell r="ER19">
            <v>10954649</v>
          </cell>
          <cell r="ES19">
            <v>14757107</v>
          </cell>
          <cell r="ET19">
            <v>9663886</v>
          </cell>
          <cell r="EU19">
            <v>8082829</v>
          </cell>
          <cell r="EV19">
            <v>5796565</v>
          </cell>
          <cell r="EW19">
            <v>7485844</v>
          </cell>
          <cell r="EX19">
            <v>4988169</v>
          </cell>
          <cell r="EY19">
            <v>4421150</v>
          </cell>
          <cell r="FA19">
            <v>193198101</v>
          </cell>
          <cell r="FB19">
            <v>5391493</v>
          </cell>
          <cell r="FC19">
            <v>14846450</v>
          </cell>
          <cell r="FD19">
            <v>10766929</v>
          </cell>
          <cell r="FE19">
            <v>3472000</v>
          </cell>
          <cell r="FF19">
            <v>52635718</v>
          </cell>
          <cell r="FG19">
            <v>5772038</v>
          </cell>
          <cell r="FH19">
            <v>3538845</v>
          </cell>
          <cell r="FI19">
            <v>10243231</v>
          </cell>
          <cell r="FJ19">
            <v>1463558</v>
          </cell>
          <cell r="FK19">
            <v>12858777</v>
          </cell>
          <cell r="FL19">
            <v>134132478</v>
          </cell>
          <cell r="FM19">
            <v>6007821</v>
          </cell>
          <cell r="FN19">
            <v>3034282</v>
          </cell>
          <cell r="FO19">
            <v>4044630</v>
          </cell>
          <cell r="FP19">
            <v>6838378</v>
          </cell>
          <cell r="FQ19">
            <v>1260295</v>
          </cell>
          <cell r="FR19">
            <v>10277000</v>
          </cell>
          <cell r="FS19">
            <v>4354174</v>
          </cell>
          <cell r="FT19">
            <v>5066443</v>
          </cell>
          <cell r="FU19">
            <v>13377022</v>
          </cell>
          <cell r="FV19">
            <v>5728943</v>
          </cell>
          <cell r="FW19">
            <v>16420986</v>
          </cell>
          <cell r="FX19">
            <v>13825187</v>
          </cell>
          <cell r="FY19">
            <v>17511095</v>
          </cell>
          <cell r="FZ19">
            <v>4371516</v>
          </cell>
          <cell r="GA19">
            <v>4195625</v>
          </cell>
          <cell r="GB19">
            <v>1931234</v>
          </cell>
          <cell r="GC19">
            <v>4089700.3333333335</v>
          </cell>
          <cell r="GD19">
            <v>4089700.3333333335</v>
          </cell>
          <cell r="GE19">
            <v>4089700.3333333335</v>
          </cell>
          <cell r="GF19">
            <v>10774751</v>
          </cell>
        </row>
        <row r="20">
          <cell r="A20" t="str">
            <v>תחנות שאיבה</v>
          </cell>
          <cell r="B20">
            <v>935000</v>
          </cell>
          <cell r="C20">
            <v>712353</v>
          </cell>
          <cell r="D20">
            <v>4965000</v>
          </cell>
          <cell r="E20">
            <v>1418300</v>
          </cell>
          <cell r="F20">
            <v>1770833</v>
          </cell>
          <cell r="G20">
            <v>0</v>
          </cell>
          <cell r="H20">
            <v>1833333</v>
          </cell>
          <cell r="I20">
            <v>6426153</v>
          </cell>
          <cell r="K20">
            <v>6500</v>
          </cell>
          <cell r="L20">
            <v>1133050</v>
          </cell>
          <cell r="M20">
            <v>0</v>
          </cell>
          <cell r="N20">
            <v>0</v>
          </cell>
          <cell r="O20">
            <v>3250</v>
          </cell>
          <cell r="P20">
            <v>0</v>
          </cell>
          <cell r="R20">
            <v>0</v>
          </cell>
          <cell r="S20">
            <v>4112500</v>
          </cell>
          <cell r="T20">
            <v>3962000</v>
          </cell>
          <cell r="U20">
            <v>0</v>
          </cell>
          <cell r="V20">
            <v>6980000</v>
          </cell>
          <cell r="W20">
            <v>0</v>
          </cell>
          <cell r="X20">
            <v>0</v>
          </cell>
          <cell r="Y20">
            <v>449250</v>
          </cell>
          <cell r="AA20">
            <v>571877</v>
          </cell>
          <cell r="AB20">
            <v>0</v>
          </cell>
          <cell r="AC20">
            <v>599275</v>
          </cell>
          <cell r="AD20">
            <v>0</v>
          </cell>
          <cell r="AE20">
            <v>0</v>
          </cell>
          <cell r="AF20">
            <v>694714</v>
          </cell>
          <cell r="AG20">
            <v>0</v>
          </cell>
          <cell r="AH20">
            <v>0</v>
          </cell>
          <cell r="AJ20">
            <v>0</v>
          </cell>
          <cell r="AK20">
            <v>0</v>
          </cell>
          <cell r="AL20">
            <v>0</v>
          </cell>
          <cell r="AM20">
            <v>0</v>
          </cell>
          <cell r="AN20">
            <v>0</v>
          </cell>
          <cell r="AO20">
            <v>0</v>
          </cell>
          <cell r="AP20">
            <v>0</v>
          </cell>
          <cell r="AQ20">
            <v>1336533</v>
          </cell>
          <cell r="AR20">
            <v>0</v>
          </cell>
          <cell r="AS20">
            <v>0</v>
          </cell>
          <cell r="AT20">
            <v>1250167</v>
          </cell>
          <cell r="AU20">
            <v>116400</v>
          </cell>
          <cell r="AV20">
            <v>14280</v>
          </cell>
          <cell r="AW20">
            <v>0</v>
          </cell>
          <cell r="AX20">
            <v>0</v>
          </cell>
          <cell r="AZ20">
            <v>349792</v>
          </cell>
          <cell r="BA20">
            <v>430167</v>
          </cell>
          <cell r="BB20">
            <v>830833</v>
          </cell>
          <cell r="BC20">
            <v>0</v>
          </cell>
          <cell r="BD20">
            <v>158840</v>
          </cell>
          <cell r="BE20">
            <v>0</v>
          </cell>
          <cell r="BF20">
            <v>595833</v>
          </cell>
          <cell r="BG20">
            <v>7466327</v>
          </cell>
          <cell r="BH20">
            <v>556467</v>
          </cell>
          <cell r="BJ20">
            <v>830833</v>
          </cell>
          <cell r="BK20">
            <v>158840</v>
          </cell>
          <cell r="BL20">
            <v>1770833</v>
          </cell>
          <cell r="BM20">
            <v>1125508</v>
          </cell>
          <cell r="BN20">
            <v>490667</v>
          </cell>
          <cell r="BO20">
            <v>1713322</v>
          </cell>
          <cell r="BP20">
            <v>3277047</v>
          </cell>
          <cell r="BQ20">
            <v>4251000</v>
          </cell>
          <cell r="BS20">
            <v>294970</v>
          </cell>
          <cell r="BT20">
            <v>3962000</v>
          </cell>
          <cell r="BU20">
            <v>4897872</v>
          </cell>
          <cell r="BV20">
            <v>7948298</v>
          </cell>
          <cell r="BW20">
            <v>347776</v>
          </cell>
          <cell r="BX20">
            <v>387667</v>
          </cell>
          <cell r="BY20">
            <v>415000</v>
          </cell>
          <cell r="BZ20">
            <v>644043</v>
          </cell>
          <cell r="CA20">
            <v>994217</v>
          </cell>
          <cell r="CB20">
            <v>0</v>
          </cell>
          <cell r="CC20">
            <v>4205446</v>
          </cell>
          <cell r="CD20">
            <v>0</v>
          </cell>
          <cell r="CE20">
            <v>945048</v>
          </cell>
          <cell r="CF20">
            <v>0</v>
          </cell>
          <cell r="CG20">
            <v>0</v>
          </cell>
          <cell r="CH20">
            <v>0</v>
          </cell>
          <cell r="CI20">
            <v>0</v>
          </cell>
          <cell r="CJ20">
            <v>180000</v>
          </cell>
          <cell r="CK20">
            <v>0</v>
          </cell>
          <cell r="CL20">
            <v>2336000</v>
          </cell>
          <cell r="CO20">
            <v>23750</v>
          </cell>
          <cell r="CQ20">
            <v>176250</v>
          </cell>
          <cell r="CT20">
            <v>1540475</v>
          </cell>
          <cell r="CV20">
            <v>211200</v>
          </cell>
          <cell r="CX20">
            <v>401333</v>
          </cell>
          <cell r="CY20">
            <v>863217</v>
          </cell>
          <cell r="DA20">
            <v>490451</v>
          </cell>
          <cell r="DB20">
            <v>368945</v>
          </cell>
          <cell r="DC20">
            <v>547000</v>
          </cell>
          <cell r="DE20">
            <v>346156</v>
          </cell>
          <cell r="DF20">
            <v>4591321</v>
          </cell>
          <cell r="DG20">
            <v>125000</v>
          </cell>
          <cell r="DH20">
            <v>110055</v>
          </cell>
          <cell r="DI20">
            <v>1520000</v>
          </cell>
          <cell r="DJ20">
            <v>3339167</v>
          </cell>
          <cell r="DK20">
            <v>12128439</v>
          </cell>
          <cell r="DL20">
            <v>1500000</v>
          </cell>
          <cell r="DM20">
            <v>1120833</v>
          </cell>
          <cell r="DO20">
            <v>547023</v>
          </cell>
          <cell r="DP20">
            <v>3479533</v>
          </cell>
          <cell r="DQ20">
            <v>72000</v>
          </cell>
          <cell r="DT20">
            <v>1218592</v>
          </cell>
          <cell r="DX20">
            <v>98333</v>
          </cell>
          <cell r="DY20">
            <v>62395</v>
          </cell>
          <cell r="EA20">
            <v>55596</v>
          </cell>
          <cell r="EC20">
            <v>435500</v>
          </cell>
          <cell r="ED20">
            <v>764000</v>
          </cell>
          <cell r="EE20">
            <v>455500</v>
          </cell>
          <cell r="EF20">
            <v>1406062</v>
          </cell>
          <cell r="EG20">
            <v>814580</v>
          </cell>
          <cell r="EH20">
            <v>56250</v>
          </cell>
          <cell r="EI20">
            <v>280000</v>
          </cell>
          <cell r="EK20">
            <v>906666</v>
          </cell>
          <cell r="EL20">
            <v>1337000</v>
          </cell>
          <cell r="EN20">
            <v>62500</v>
          </cell>
          <cell r="EP20">
            <v>430166</v>
          </cell>
          <cell r="EQ20">
            <v>1939167</v>
          </cell>
          <cell r="ET20">
            <v>66667</v>
          </cell>
          <cell r="EU20">
            <v>100000</v>
          </cell>
          <cell r="EY20">
            <v>120000</v>
          </cell>
          <cell r="FA20">
            <v>1763682</v>
          </cell>
          <cell r="FB20">
            <v>456250</v>
          </cell>
          <cell r="FC20">
            <v>925942</v>
          </cell>
          <cell r="FD20">
            <v>542267</v>
          </cell>
          <cell r="FF20">
            <v>4251000</v>
          </cell>
          <cell r="FG20">
            <v>632656</v>
          </cell>
          <cell r="FH20">
            <v>28000</v>
          </cell>
          <cell r="FI20">
            <v>330760</v>
          </cell>
          <cell r="FL20">
            <v>21350000</v>
          </cell>
          <cell r="FS20">
            <v>116400</v>
          </cell>
          <cell r="FT20">
            <v>6667</v>
          </cell>
          <cell r="FU20">
            <v>416667</v>
          </cell>
          <cell r="FX20">
            <v>40500</v>
          </cell>
          <cell r="FY20">
            <v>419628</v>
          </cell>
          <cell r="FZ20">
            <v>180000</v>
          </cell>
          <cell r="GA20">
            <v>885950</v>
          </cell>
          <cell r="GC20">
            <v>115385.33333333333</v>
          </cell>
          <cell r="GD20">
            <v>115385.33333333333</v>
          </cell>
          <cell r="GE20">
            <v>115385.33333333333</v>
          </cell>
          <cell r="GF20">
            <v>1026256</v>
          </cell>
        </row>
        <row r="21">
          <cell r="A21" t="str">
            <v>קידוחים</v>
          </cell>
          <cell r="B21">
            <v>0</v>
          </cell>
          <cell r="D21">
            <v>416000</v>
          </cell>
          <cell r="E21">
            <v>0</v>
          </cell>
          <cell r="F21">
            <v>0</v>
          </cell>
          <cell r="G21">
            <v>0</v>
          </cell>
          <cell r="H21">
            <v>0</v>
          </cell>
          <cell r="I21">
            <v>0</v>
          </cell>
          <cell r="M21">
            <v>0</v>
          </cell>
          <cell r="N21">
            <v>0</v>
          </cell>
          <cell r="O21">
            <v>0</v>
          </cell>
          <cell r="P21">
            <v>0</v>
          </cell>
          <cell r="R21">
            <v>0</v>
          </cell>
          <cell r="S21">
            <v>380333</v>
          </cell>
          <cell r="T21">
            <v>4528850</v>
          </cell>
          <cell r="U21">
            <v>0</v>
          </cell>
          <cell r="W21">
            <v>0</v>
          </cell>
          <cell r="X21">
            <v>0</v>
          </cell>
          <cell r="Y21">
            <v>0</v>
          </cell>
          <cell r="AA21">
            <v>0</v>
          </cell>
          <cell r="AB21">
            <v>0</v>
          </cell>
          <cell r="AC21">
            <v>0</v>
          </cell>
          <cell r="AD21">
            <v>0</v>
          </cell>
          <cell r="AE21">
            <v>0</v>
          </cell>
          <cell r="AF21">
            <v>914052</v>
          </cell>
          <cell r="AG21">
            <v>0</v>
          </cell>
          <cell r="AH21">
            <v>0</v>
          </cell>
          <cell r="AJ21">
            <v>0</v>
          </cell>
          <cell r="AK21">
            <v>0</v>
          </cell>
          <cell r="AL21">
            <v>0</v>
          </cell>
          <cell r="AM21">
            <v>0</v>
          </cell>
          <cell r="AN21">
            <v>0</v>
          </cell>
          <cell r="AO21">
            <v>0</v>
          </cell>
          <cell r="AP21">
            <v>0</v>
          </cell>
          <cell r="AQ21">
            <v>0</v>
          </cell>
          <cell r="AR21">
            <v>0</v>
          </cell>
          <cell r="AS21">
            <v>0</v>
          </cell>
          <cell r="AT21">
            <v>0</v>
          </cell>
          <cell r="AV21">
            <v>0</v>
          </cell>
          <cell r="AW21">
            <v>0</v>
          </cell>
          <cell r="AX21">
            <v>0</v>
          </cell>
          <cell r="BA21">
            <v>792667</v>
          </cell>
          <cell r="BC21">
            <v>0</v>
          </cell>
          <cell r="BD21">
            <v>0</v>
          </cell>
          <cell r="BE21">
            <v>0</v>
          </cell>
          <cell r="BG21">
            <v>10704417</v>
          </cell>
          <cell r="BM21">
            <v>6336226</v>
          </cell>
          <cell r="BO21">
            <v>3516034</v>
          </cell>
          <cell r="BQ21">
            <v>1335833</v>
          </cell>
          <cell r="BT21">
            <v>4528850</v>
          </cell>
          <cell r="BU21">
            <v>200000</v>
          </cell>
          <cell r="BW21">
            <v>126000</v>
          </cell>
          <cell r="BX21">
            <v>0</v>
          </cell>
          <cell r="BY21">
            <v>0</v>
          </cell>
          <cell r="BZ21">
            <v>0</v>
          </cell>
          <cell r="CB21">
            <v>0</v>
          </cell>
          <cell r="CD21">
            <v>0</v>
          </cell>
          <cell r="CE21">
            <v>3988659</v>
          </cell>
          <cell r="CF21">
            <v>0</v>
          </cell>
          <cell r="CG21">
            <v>0</v>
          </cell>
          <cell r="CH21">
            <v>1543879</v>
          </cell>
          <cell r="CI21">
            <v>0</v>
          </cell>
          <cell r="CJ21">
            <v>0</v>
          </cell>
          <cell r="CK21">
            <v>0</v>
          </cell>
          <cell r="CL21">
            <v>725000</v>
          </cell>
          <cell r="CT21">
            <v>0</v>
          </cell>
          <cell r="CU21">
            <v>919000</v>
          </cell>
          <cell r="DF21">
            <v>3190744</v>
          </cell>
          <cell r="DH21">
            <v>1303134</v>
          </cell>
          <cell r="DI21">
            <v>300667</v>
          </cell>
          <cell r="DJ21">
            <v>3559417</v>
          </cell>
          <cell r="DK21">
            <v>7064611</v>
          </cell>
          <cell r="DL21">
            <v>5932975</v>
          </cell>
          <cell r="DY21">
            <v>1480050</v>
          </cell>
          <cell r="EA21">
            <v>60000</v>
          </cell>
          <cell r="EC21">
            <v>8667</v>
          </cell>
          <cell r="ED21">
            <v>212667</v>
          </cell>
          <cell r="EF21">
            <v>1852636</v>
          </cell>
          <cell r="EG21">
            <v>1038896</v>
          </cell>
          <cell r="EM21">
            <v>191000</v>
          </cell>
          <cell r="EP21">
            <v>792666</v>
          </cell>
          <cell r="FA21">
            <v>14850</v>
          </cell>
          <cell r="FE21">
            <v>4228000</v>
          </cell>
          <cell r="FF21">
            <v>1335833</v>
          </cell>
          <cell r="FL21">
            <v>13664000</v>
          </cell>
          <cell r="GC21">
            <v>0</v>
          </cell>
          <cell r="GD21">
            <v>0</v>
          </cell>
          <cell r="GE21">
            <v>0</v>
          </cell>
        </row>
        <row r="22">
          <cell r="A22" t="str">
            <v>בריכות ומגדלים</v>
          </cell>
          <cell r="B22">
            <v>527000</v>
          </cell>
          <cell r="C22">
            <v>11113400</v>
          </cell>
          <cell r="D22">
            <v>4917000</v>
          </cell>
          <cell r="E22">
            <v>2722500</v>
          </cell>
          <cell r="F22">
            <v>1750000</v>
          </cell>
          <cell r="G22">
            <v>1061390</v>
          </cell>
          <cell r="H22">
            <v>2283157</v>
          </cell>
          <cell r="I22">
            <v>13781250</v>
          </cell>
          <cell r="K22">
            <v>500000</v>
          </cell>
          <cell r="L22">
            <v>1475000</v>
          </cell>
          <cell r="M22">
            <v>0</v>
          </cell>
          <cell r="N22">
            <v>0</v>
          </cell>
          <cell r="O22">
            <v>1316250</v>
          </cell>
          <cell r="P22">
            <v>0</v>
          </cell>
          <cell r="Q22">
            <v>345000</v>
          </cell>
          <cell r="R22">
            <v>300000</v>
          </cell>
          <cell r="S22">
            <v>2800000</v>
          </cell>
          <cell r="T22">
            <v>9790000</v>
          </cell>
          <cell r="U22">
            <v>489800</v>
          </cell>
          <cell r="V22">
            <v>4494000</v>
          </cell>
          <cell r="W22">
            <v>0</v>
          </cell>
          <cell r="X22">
            <v>0</v>
          </cell>
          <cell r="Y22">
            <v>630000</v>
          </cell>
          <cell r="Z22">
            <v>487500</v>
          </cell>
          <cell r="AA22">
            <v>1726548</v>
          </cell>
          <cell r="AB22">
            <v>0</v>
          </cell>
          <cell r="AC22">
            <v>239000</v>
          </cell>
          <cell r="AD22">
            <v>0</v>
          </cell>
          <cell r="AE22">
            <v>219120</v>
          </cell>
          <cell r="AF22">
            <v>577525</v>
          </cell>
          <cell r="AG22">
            <v>0</v>
          </cell>
          <cell r="AH22">
            <v>3185000</v>
          </cell>
          <cell r="AJ22">
            <v>0</v>
          </cell>
          <cell r="AK22">
            <v>0</v>
          </cell>
          <cell r="AL22">
            <v>0</v>
          </cell>
          <cell r="AM22">
            <v>1000000</v>
          </cell>
          <cell r="AN22">
            <v>800000</v>
          </cell>
          <cell r="AO22">
            <v>930000</v>
          </cell>
          <cell r="AP22">
            <v>325000</v>
          </cell>
          <cell r="AQ22">
            <v>637500</v>
          </cell>
          <cell r="AR22">
            <v>660000</v>
          </cell>
          <cell r="AS22">
            <v>220000</v>
          </cell>
          <cell r="AT22">
            <v>812500</v>
          </cell>
          <cell r="AU22">
            <v>827500</v>
          </cell>
          <cell r="AV22">
            <v>1046250</v>
          </cell>
          <cell r="AW22">
            <v>1500000</v>
          </cell>
          <cell r="AX22">
            <v>250000</v>
          </cell>
          <cell r="AY22">
            <v>10000</v>
          </cell>
          <cell r="AZ22">
            <v>774840</v>
          </cell>
          <cell r="BA22">
            <v>11115000</v>
          </cell>
          <cell r="BB22">
            <v>3430000</v>
          </cell>
          <cell r="BC22">
            <v>6000000</v>
          </cell>
          <cell r="BD22">
            <v>0</v>
          </cell>
          <cell r="BE22">
            <v>0</v>
          </cell>
          <cell r="BF22">
            <v>5300000</v>
          </cell>
          <cell r="BG22">
            <v>9090750</v>
          </cell>
          <cell r="BH22">
            <v>810000</v>
          </cell>
          <cell r="BI22">
            <v>1283000</v>
          </cell>
          <cell r="BJ22">
            <v>3430000</v>
          </cell>
          <cell r="BL22">
            <v>1750000</v>
          </cell>
          <cell r="BM22">
            <v>4005000</v>
          </cell>
          <cell r="BO22">
            <v>1770638</v>
          </cell>
          <cell r="BP22">
            <v>600000</v>
          </cell>
          <cell r="BQ22">
            <v>5977960</v>
          </cell>
          <cell r="BR22">
            <v>487500</v>
          </cell>
          <cell r="BT22">
            <v>9790000</v>
          </cell>
          <cell r="BU22">
            <v>21476250</v>
          </cell>
          <cell r="BV22">
            <v>82134581</v>
          </cell>
          <cell r="BW22">
            <v>2300000</v>
          </cell>
          <cell r="BX22">
            <v>2900000</v>
          </cell>
          <cell r="BY22">
            <v>1943750</v>
          </cell>
          <cell r="BZ22">
            <v>0</v>
          </cell>
          <cell r="CA22">
            <v>1757500</v>
          </cell>
          <cell r="CB22">
            <v>0</v>
          </cell>
          <cell r="CC22">
            <v>2013319</v>
          </cell>
          <cell r="CD22">
            <v>0</v>
          </cell>
          <cell r="CE22">
            <v>1105680</v>
          </cell>
          <cell r="CF22">
            <v>0</v>
          </cell>
          <cell r="CG22">
            <v>3209872</v>
          </cell>
          <cell r="CH22">
            <v>0</v>
          </cell>
          <cell r="CI22">
            <v>0</v>
          </cell>
          <cell r="CJ22">
            <v>5487500</v>
          </cell>
          <cell r="CK22">
            <v>0</v>
          </cell>
          <cell r="CL22">
            <v>2648000</v>
          </cell>
          <cell r="CO22">
            <v>1472000</v>
          </cell>
          <cell r="CP22">
            <v>800000</v>
          </cell>
          <cell r="CQ22">
            <v>775000</v>
          </cell>
          <cell r="CT22">
            <v>1850000</v>
          </cell>
          <cell r="CU22">
            <v>0</v>
          </cell>
          <cell r="CX22">
            <v>1398525</v>
          </cell>
          <cell r="CY22">
            <v>812500</v>
          </cell>
          <cell r="CZ22">
            <v>923000</v>
          </cell>
          <cell r="DA22">
            <v>1189000</v>
          </cell>
          <cell r="DB22">
            <v>50000</v>
          </cell>
          <cell r="DC22">
            <v>1350000</v>
          </cell>
          <cell r="DE22">
            <v>1296000</v>
          </cell>
          <cell r="DF22">
            <v>1430000</v>
          </cell>
          <cell r="DG22">
            <v>1870000</v>
          </cell>
          <cell r="DJ22">
            <v>5000000</v>
          </cell>
          <cell r="DK22">
            <v>10705291</v>
          </cell>
          <cell r="DL22">
            <v>8700000</v>
          </cell>
          <cell r="DM22">
            <v>1680000</v>
          </cell>
          <cell r="DO22">
            <v>6935000</v>
          </cell>
          <cell r="DP22">
            <v>3972500</v>
          </cell>
          <cell r="DR22">
            <v>129907</v>
          </cell>
          <cell r="DT22">
            <v>2951250</v>
          </cell>
          <cell r="DU22">
            <v>2775000</v>
          </cell>
          <cell r="DV22">
            <v>215625</v>
          </cell>
          <cell r="DW22">
            <v>1010000</v>
          </cell>
          <cell r="DX22">
            <v>800000</v>
          </cell>
          <cell r="EA22">
            <v>450000</v>
          </cell>
          <cell r="EE22">
            <v>17500</v>
          </cell>
          <cell r="EG22">
            <v>550000</v>
          </cell>
          <cell r="EH22">
            <v>262500</v>
          </cell>
          <cell r="EI22">
            <v>2560000</v>
          </cell>
          <cell r="EK22">
            <v>1265000</v>
          </cell>
          <cell r="EL22">
            <v>1192500</v>
          </cell>
          <cell r="EP22">
            <v>11115000</v>
          </cell>
          <cell r="EQ22">
            <v>516250</v>
          </cell>
          <cell r="ES22">
            <v>485000</v>
          </cell>
          <cell r="ET22">
            <v>942500</v>
          </cell>
          <cell r="EU22">
            <v>1805275</v>
          </cell>
          <cell r="EW22">
            <v>480000</v>
          </cell>
          <cell r="EX22">
            <v>453750</v>
          </cell>
          <cell r="EY22">
            <v>1127500</v>
          </cell>
          <cell r="FA22">
            <v>731693</v>
          </cell>
          <cell r="FB22">
            <v>318750</v>
          </cell>
          <cell r="FC22">
            <v>2946250</v>
          </cell>
          <cell r="FD22">
            <v>2207141</v>
          </cell>
          <cell r="FE22">
            <v>6034000</v>
          </cell>
          <cell r="FF22">
            <v>5977960</v>
          </cell>
          <cell r="FG22">
            <v>1837500</v>
          </cell>
          <cell r="FH22">
            <v>132714</v>
          </cell>
          <cell r="FI22">
            <v>656250</v>
          </cell>
          <cell r="FK22">
            <v>69000</v>
          </cell>
          <cell r="FL22">
            <v>15796000</v>
          </cell>
          <cell r="FP22">
            <v>1387500</v>
          </cell>
          <cell r="FS22">
            <v>827500</v>
          </cell>
          <cell r="FU22">
            <v>340000</v>
          </cell>
          <cell r="FV22">
            <v>300866</v>
          </cell>
          <cell r="FX22">
            <v>1020000</v>
          </cell>
          <cell r="FY22">
            <v>4523960</v>
          </cell>
          <cell r="FZ22">
            <v>242500</v>
          </cell>
          <cell r="GA22">
            <v>623000</v>
          </cell>
          <cell r="GC22">
            <v>432000</v>
          </cell>
          <cell r="GD22">
            <v>432000</v>
          </cell>
          <cell r="GE22">
            <v>432000</v>
          </cell>
          <cell r="GF22">
            <v>3270000</v>
          </cell>
        </row>
        <row r="23">
          <cell r="A23" t="str">
            <v>ציוד לשעת חירום</v>
          </cell>
          <cell r="B23">
            <v>86000</v>
          </cell>
          <cell r="C23">
            <v>740367</v>
          </cell>
          <cell r="D23">
            <v>1022000</v>
          </cell>
          <cell r="E23">
            <v>220000</v>
          </cell>
          <cell r="F23">
            <v>18333</v>
          </cell>
          <cell r="G23">
            <v>0</v>
          </cell>
          <cell r="H23">
            <v>200346</v>
          </cell>
          <cell r="I23">
            <v>264280</v>
          </cell>
          <cell r="K23">
            <v>15200</v>
          </cell>
          <cell r="L23">
            <v>34250</v>
          </cell>
          <cell r="M23">
            <v>22240</v>
          </cell>
          <cell r="N23">
            <v>3467</v>
          </cell>
          <cell r="O23">
            <v>0</v>
          </cell>
          <cell r="P23">
            <v>13550</v>
          </cell>
          <cell r="Q23">
            <v>18933</v>
          </cell>
          <cell r="R23">
            <v>14933</v>
          </cell>
          <cell r="S23">
            <v>224000</v>
          </cell>
          <cell r="T23">
            <v>496200</v>
          </cell>
          <cell r="U23">
            <v>0</v>
          </cell>
          <cell r="V23">
            <v>411000</v>
          </cell>
          <cell r="W23">
            <v>0</v>
          </cell>
          <cell r="X23">
            <v>0</v>
          </cell>
          <cell r="Y23">
            <v>6400</v>
          </cell>
          <cell r="Z23">
            <v>76833</v>
          </cell>
          <cell r="AA23">
            <v>89000</v>
          </cell>
          <cell r="AB23">
            <v>33257</v>
          </cell>
          <cell r="AC23">
            <v>64129</v>
          </cell>
          <cell r="AD23">
            <v>48933</v>
          </cell>
          <cell r="AE23">
            <v>0</v>
          </cell>
          <cell r="AF23">
            <v>143880</v>
          </cell>
          <cell r="AG23">
            <v>0</v>
          </cell>
          <cell r="AH23">
            <v>16933</v>
          </cell>
          <cell r="AJ23">
            <v>0</v>
          </cell>
          <cell r="AK23">
            <v>8507</v>
          </cell>
          <cell r="AL23">
            <v>1500</v>
          </cell>
          <cell r="AM23">
            <v>0</v>
          </cell>
          <cell r="AN23">
            <v>0</v>
          </cell>
          <cell r="AO23">
            <v>0</v>
          </cell>
          <cell r="AP23">
            <v>5600</v>
          </cell>
          <cell r="AQ23">
            <v>173333</v>
          </cell>
          <cell r="AR23">
            <v>12800</v>
          </cell>
          <cell r="AS23">
            <v>0</v>
          </cell>
          <cell r="AT23">
            <v>121333</v>
          </cell>
          <cell r="AU23">
            <v>8400</v>
          </cell>
          <cell r="AV23">
            <v>66167</v>
          </cell>
          <cell r="AW23">
            <v>37333</v>
          </cell>
          <cell r="AX23">
            <v>0</v>
          </cell>
          <cell r="AY23">
            <v>11980</v>
          </cell>
          <cell r="AZ23">
            <v>24933</v>
          </cell>
          <cell r="BA23">
            <v>0</v>
          </cell>
          <cell r="BB23">
            <v>138800</v>
          </cell>
          <cell r="BC23">
            <v>147053</v>
          </cell>
          <cell r="BD23">
            <v>132867</v>
          </cell>
          <cell r="BE23">
            <v>76367</v>
          </cell>
          <cell r="BF23">
            <v>81067</v>
          </cell>
          <cell r="BG23">
            <v>1722667</v>
          </cell>
          <cell r="BH23">
            <v>176600</v>
          </cell>
          <cell r="BI23">
            <v>47000</v>
          </cell>
          <cell r="BJ23">
            <v>138800</v>
          </cell>
          <cell r="BK23">
            <v>132867</v>
          </cell>
          <cell r="BL23">
            <v>18333</v>
          </cell>
          <cell r="BM23">
            <v>1142689</v>
          </cell>
          <cell r="BN23">
            <v>170067</v>
          </cell>
          <cell r="BO23">
            <v>156415</v>
          </cell>
          <cell r="BP23">
            <v>310552</v>
          </cell>
          <cell r="BQ23">
            <v>447500</v>
          </cell>
          <cell r="BR23">
            <v>76833</v>
          </cell>
          <cell r="BS23">
            <v>73333</v>
          </cell>
          <cell r="BT23">
            <v>496200</v>
          </cell>
          <cell r="BU23">
            <v>497973</v>
          </cell>
          <cell r="BV23">
            <v>920840</v>
          </cell>
          <cell r="BW23">
            <v>125960</v>
          </cell>
          <cell r="BX23">
            <v>84880</v>
          </cell>
          <cell r="BY23">
            <v>16008</v>
          </cell>
          <cell r="BZ23">
            <v>96886</v>
          </cell>
          <cell r="CA23">
            <v>83333</v>
          </cell>
          <cell r="CB23">
            <v>55000</v>
          </cell>
          <cell r="CC23">
            <v>341146</v>
          </cell>
          <cell r="CD23">
            <v>15967</v>
          </cell>
          <cell r="CE23">
            <v>612580</v>
          </cell>
          <cell r="CF23">
            <v>49700</v>
          </cell>
          <cell r="CG23">
            <v>38200</v>
          </cell>
          <cell r="CH23">
            <v>88713</v>
          </cell>
          <cell r="CI23">
            <v>76367</v>
          </cell>
          <cell r="CJ23">
            <v>16667</v>
          </cell>
          <cell r="CK23">
            <v>13550</v>
          </cell>
          <cell r="CL23">
            <v>31000</v>
          </cell>
          <cell r="CM23">
            <v>30000</v>
          </cell>
          <cell r="CN23">
            <v>32609</v>
          </cell>
          <cell r="CO23">
            <v>72600</v>
          </cell>
          <cell r="CP23">
            <v>20000</v>
          </cell>
          <cell r="CQ23">
            <v>15520</v>
          </cell>
          <cell r="CR23">
            <v>37557</v>
          </cell>
          <cell r="CS23">
            <v>9950</v>
          </cell>
          <cell r="CT23">
            <v>223700</v>
          </cell>
          <cell r="CU23">
            <v>162000</v>
          </cell>
          <cell r="CV23">
            <v>15253</v>
          </cell>
          <cell r="CY23">
            <v>100533</v>
          </cell>
          <cell r="CZ23">
            <v>39200</v>
          </cell>
          <cell r="DA23">
            <v>83940</v>
          </cell>
          <cell r="DC23">
            <v>97867</v>
          </cell>
          <cell r="DF23">
            <v>532800</v>
          </cell>
          <cell r="DG23">
            <v>58800</v>
          </cell>
          <cell r="DH23">
            <v>18933</v>
          </cell>
          <cell r="DI23">
            <v>307400</v>
          </cell>
          <cell r="DJ23">
            <v>538667</v>
          </cell>
          <cell r="DK23">
            <v>441667</v>
          </cell>
          <cell r="DL23">
            <v>186953</v>
          </cell>
          <cell r="DM23">
            <v>6500</v>
          </cell>
          <cell r="DO23">
            <v>28667</v>
          </cell>
          <cell r="DP23">
            <v>93719</v>
          </cell>
          <cell r="DT23">
            <v>144253</v>
          </cell>
          <cell r="DU23">
            <v>168147</v>
          </cell>
          <cell r="DV23">
            <v>183600</v>
          </cell>
          <cell r="DW23">
            <v>32667</v>
          </cell>
          <cell r="DX23">
            <v>16000</v>
          </cell>
          <cell r="DY23">
            <v>160400</v>
          </cell>
          <cell r="DZ23">
            <v>21600</v>
          </cell>
          <cell r="EA23">
            <v>23522</v>
          </cell>
          <cell r="EB23">
            <v>76367</v>
          </cell>
          <cell r="EC23">
            <v>132027</v>
          </cell>
          <cell r="ED23">
            <v>103400</v>
          </cell>
          <cell r="EF23">
            <v>177000</v>
          </cell>
          <cell r="EG23">
            <v>36840</v>
          </cell>
          <cell r="EH23">
            <v>77000</v>
          </cell>
          <cell r="EI23">
            <v>41533</v>
          </cell>
          <cell r="EK23">
            <v>49733</v>
          </cell>
          <cell r="EL23">
            <v>156000</v>
          </cell>
          <cell r="EM23">
            <v>88800</v>
          </cell>
          <cell r="EN23">
            <v>157830</v>
          </cell>
          <cell r="EQ23">
            <v>33360</v>
          </cell>
          <cell r="ER23">
            <v>80000</v>
          </cell>
          <cell r="ET23">
            <v>15000</v>
          </cell>
          <cell r="EU23">
            <v>16825</v>
          </cell>
          <cell r="EV23">
            <v>50133</v>
          </cell>
          <cell r="EW23">
            <v>138133</v>
          </cell>
          <cell r="EX23">
            <v>15600</v>
          </cell>
          <cell r="EY23">
            <v>80333</v>
          </cell>
          <cell r="FA23">
            <v>1151573</v>
          </cell>
          <cell r="FB23">
            <v>30000</v>
          </cell>
          <cell r="FC23">
            <v>274533</v>
          </cell>
          <cell r="FD23">
            <v>6667</v>
          </cell>
          <cell r="FF23">
            <v>447500</v>
          </cell>
          <cell r="FH23">
            <v>125413</v>
          </cell>
          <cell r="FI23">
            <v>77600</v>
          </cell>
          <cell r="FJ23">
            <v>29000</v>
          </cell>
          <cell r="FK23">
            <v>8760</v>
          </cell>
          <cell r="FM23">
            <v>30287</v>
          </cell>
          <cell r="FN23">
            <v>43293</v>
          </cell>
          <cell r="FO23">
            <v>33257</v>
          </cell>
          <cell r="FQ23">
            <v>92500</v>
          </cell>
          <cell r="FS23">
            <v>8400</v>
          </cell>
          <cell r="FU23">
            <v>101733</v>
          </cell>
          <cell r="FV23">
            <v>6893</v>
          </cell>
          <cell r="FW23">
            <v>24600</v>
          </cell>
          <cell r="FX23">
            <v>10400</v>
          </cell>
          <cell r="FY23">
            <v>110606</v>
          </cell>
          <cell r="GA23">
            <v>92200</v>
          </cell>
          <cell r="GB23">
            <v>19500</v>
          </cell>
          <cell r="GC23">
            <v>0</v>
          </cell>
          <cell r="GD23">
            <v>0</v>
          </cell>
          <cell r="GE23">
            <v>0</v>
          </cell>
          <cell r="GF23">
            <v>124000</v>
          </cell>
        </row>
        <row r="24">
          <cell r="A24" t="str">
            <v>מלאי במחסנים</v>
          </cell>
          <cell r="B24">
            <v>0</v>
          </cell>
          <cell r="D24">
            <v>308000</v>
          </cell>
          <cell r="E24">
            <v>0</v>
          </cell>
          <cell r="F24">
            <v>0</v>
          </cell>
          <cell r="G24">
            <v>0</v>
          </cell>
          <cell r="H24">
            <v>71542</v>
          </cell>
          <cell r="I24">
            <v>0</v>
          </cell>
          <cell r="M24">
            <v>0</v>
          </cell>
          <cell r="N24">
            <v>0</v>
          </cell>
          <cell r="O24">
            <v>0</v>
          </cell>
          <cell r="P24">
            <v>0</v>
          </cell>
          <cell r="Q24">
            <v>0</v>
          </cell>
          <cell r="R24">
            <v>0</v>
          </cell>
          <cell r="S24">
            <v>0</v>
          </cell>
          <cell r="U24">
            <v>0</v>
          </cell>
          <cell r="V24">
            <v>862000</v>
          </cell>
          <cell r="W24">
            <v>0</v>
          </cell>
          <cell r="X24">
            <v>0</v>
          </cell>
          <cell r="Y24">
            <v>0</v>
          </cell>
          <cell r="Z24">
            <v>37142</v>
          </cell>
          <cell r="AA24">
            <v>0</v>
          </cell>
          <cell r="AB24">
            <v>0</v>
          </cell>
          <cell r="AC24">
            <v>0</v>
          </cell>
          <cell r="AD24">
            <v>0</v>
          </cell>
          <cell r="AE24">
            <v>0</v>
          </cell>
          <cell r="AF24">
            <v>51388</v>
          </cell>
          <cell r="AG24">
            <v>0</v>
          </cell>
          <cell r="AH24">
            <v>48757</v>
          </cell>
          <cell r="AJ24">
            <v>0</v>
          </cell>
          <cell r="AK24">
            <v>0</v>
          </cell>
          <cell r="AL24">
            <v>0</v>
          </cell>
          <cell r="AM24">
            <v>0</v>
          </cell>
          <cell r="AN24">
            <v>0</v>
          </cell>
          <cell r="AO24">
            <v>0</v>
          </cell>
          <cell r="AP24">
            <v>0</v>
          </cell>
          <cell r="AQ24">
            <v>0</v>
          </cell>
          <cell r="AR24">
            <v>0</v>
          </cell>
          <cell r="AS24">
            <v>0</v>
          </cell>
          <cell r="AT24">
            <v>0</v>
          </cell>
          <cell r="AW24">
            <v>0</v>
          </cell>
          <cell r="AX24">
            <v>0</v>
          </cell>
          <cell r="AY24">
            <v>5000</v>
          </cell>
          <cell r="AZ24">
            <v>0</v>
          </cell>
          <cell r="BA24">
            <v>0</v>
          </cell>
          <cell r="BC24" t="str">
            <v>-</v>
          </cell>
          <cell r="BD24">
            <v>0</v>
          </cell>
          <cell r="BE24">
            <v>65495</v>
          </cell>
          <cell r="BG24">
            <v>650000</v>
          </cell>
          <cell r="BI24">
            <v>30000</v>
          </cell>
          <cell r="BM24">
            <v>808548</v>
          </cell>
          <cell r="BQ24">
            <v>64823</v>
          </cell>
          <cell r="BR24">
            <v>37142</v>
          </cell>
          <cell r="BU24">
            <v>989591</v>
          </cell>
          <cell r="BV24">
            <v>2477010</v>
          </cell>
          <cell r="BW24">
            <v>0</v>
          </cell>
          <cell r="BX24">
            <v>0</v>
          </cell>
          <cell r="BY24">
            <v>0</v>
          </cell>
          <cell r="BZ24">
            <v>156706</v>
          </cell>
          <cell r="CB24">
            <v>0</v>
          </cell>
          <cell r="CC24">
            <v>5000</v>
          </cell>
          <cell r="CD24">
            <v>36567</v>
          </cell>
          <cell r="CE24">
            <v>0</v>
          </cell>
          <cell r="CF24">
            <v>0</v>
          </cell>
          <cell r="CG24">
            <v>180684</v>
          </cell>
          <cell r="CH24">
            <v>61475</v>
          </cell>
          <cell r="CI24">
            <v>603462</v>
          </cell>
          <cell r="CJ24">
            <v>0</v>
          </cell>
          <cell r="CK24">
            <v>0</v>
          </cell>
          <cell r="CN24">
            <v>44901</v>
          </cell>
          <cell r="CR24">
            <v>11067</v>
          </cell>
          <cell r="DF24">
            <v>2214302</v>
          </cell>
          <cell r="DI24">
            <v>212962</v>
          </cell>
          <cell r="DJ24">
            <v>100000</v>
          </cell>
          <cell r="DL24">
            <v>669050</v>
          </cell>
          <cell r="DP24">
            <v>294765</v>
          </cell>
          <cell r="DQ24">
            <v>7500</v>
          </cell>
          <cell r="DU24">
            <v>589297</v>
          </cell>
          <cell r="EB24">
            <v>65495</v>
          </cell>
          <cell r="ED24">
            <v>337063</v>
          </cell>
          <cell r="EM24">
            <v>10000</v>
          </cell>
          <cell r="EN24">
            <v>338600</v>
          </cell>
          <cell r="ET24">
            <v>223986</v>
          </cell>
          <cell r="EV24">
            <v>115096</v>
          </cell>
          <cell r="FA24">
            <v>6912808</v>
          </cell>
          <cell r="FC24">
            <v>456000</v>
          </cell>
          <cell r="FF24">
            <v>64823</v>
          </cell>
          <cell r="FL24">
            <v>5038000</v>
          </cell>
          <cell r="FX24">
            <v>20000</v>
          </cell>
          <cell r="GC24">
            <v>0</v>
          </cell>
          <cell r="GD24">
            <v>0</v>
          </cell>
          <cell r="GE24">
            <v>0</v>
          </cell>
        </row>
        <row r="25">
          <cell r="A25" t="str">
            <v>שונות</v>
          </cell>
          <cell r="B25">
            <v>0</v>
          </cell>
          <cell r="D25">
            <v>1247000</v>
          </cell>
          <cell r="E25">
            <v>0</v>
          </cell>
          <cell r="F25">
            <v>0</v>
          </cell>
          <cell r="G25">
            <v>0</v>
          </cell>
          <cell r="H25">
            <v>538216</v>
          </cell>
          <cell r="I25">
            <v>657333</v>
          </cell>
          <cell r="M25">
            <v>0</v>
          </cell>
          <cell r="N25">
            <v>0</v>
          </cell>
          <cell r="O25">
            <v>0</v>
          </cell>
          <cell r="P25">
            <v>0</v>
          </cell>
          <cell r="Q25">
            <v>0</v>
          </cell>
          <cell r="R25">
            <v>0</v>
          </cell>
          <cell r="S25">
            <v>0</v>
          </cell>
          <cell r="T25">
            <v>634078</v>
          </cell>
          <cell r="U25">
            <v>0</v>
          </cell>
          <cell r="V25">
            <v>10991390</v>
          </cell>
          <cell r="W25">
            <v>0</v>
          </cell>
          <cell r="X25">
            <v>0</v>
          </cell>
          <cell r="Y25">
            <v>0</v>
          </cell>
          <cell r="AA25">
            <v>0</v>
          </cell>
          <cell r="AB25">
            <v>0</v>
          </cell>
          <cell r="AC25">
            <v>0</v>
          </cell>
          <cell r="AD25">
            <v>350000</v>
          </cell>
          <cell r="AE25">
            <v>0</v>
          </cell>
          <cell r="AF25">
            <v>0</v>
          </cell>
          <cell r="AG25">
            <v>0</v>
          </cell>
          <cell r="AH25">
            <v>0</v>
          </cell>
          <cell r="AJ25">
            <v>0</v>
          </cell>
          <cell r="AK25">
            <v>0</v>
          </cell>
          <cell r="AL25">
            <v>0</v>
          </cell>
          <cell r="AM25">
            <v>0</v>
          </cell>
          <cell r="AN25">
            <v>0</v>
          </cell>
          <cell r="AO25">
            <v>0</v>
          </cell>
          <cell r="AP25">
            <v>0</v>
          </cell>
          <cell r="AQ25">
            <v>0</v>
          </cell>
          <cell r="AR25">
            <v>0</v>
          </cell>
          <cell r="AS25">
            <v>0</v>
          </cell>
          <cell r="AT25">
            <v>0</v>
          </cell>
          <cell r="AW25">
            <v>0</v>
          </cell>
          <cell r="AX25">
            <v>0</v>
          </cell>
          <cell r="BB25">
            <v>42000</v>
          </cell>
          <cell r="BD25">
            <v>358828</v>
          </cell>
          <cell r="BF25">
            <v>56000</v>
          </cell>
          <cell r="BG25">
            <v>8547833</v>
          </cell>
          <cell r="BK25">
            <v>358828</v>
          </cell>
          <cell r="BM25">
            <v>978080</v>
          </cell>
          <cell r="BO25">
            <v>321244</v>
          </cell>
          <cell r="BS25">
            <v>837222</v>
          </cell>
          <cell r="BT25">
            <v>634078</v>
          </cell>
          <cell r="BU25">
            <v>221500</v>
          </cell>
          <cell r="BV25">
            <v>11592258</v>
          </cell>
          <cell r="BW25">
            <v>759843</v>
          </cell>
          <cell r="BX25">
            <v>0</v>
          </cell>
          <cell r="BY25">
            <v>0</v>
          </cell>
          <cell r="BZ25">
            <v>0</v>
          </cell>
          <cell r="CB25">
            <v>0</v>
          </cell>
          <cell r="CD25">
            <v>0</v>
          </cell>
          <cell r="CE25">
            <v>141000</v>
          </cell>
          <cell r="CF25">
            <v>0</v>
          </cell>
          <cell r="CG25">
            <v>0</v>
          </cell>
          <cell r="CH25">
            <v>288304</v>
          </cell>
          <cell r="CI25">
            <v>250000</v>
          </cell>
          <cell r="CJ25">
            <v>79800</v>
          </cell>
          <cell r="CK25">
            <v>0</v>
          </cell>
          <cell r="CL25">
            <v>527000</v>
          </cell>
          <cell r="DF25">
            <v>4380000</v>
          </cell>
          <cell r="DH25">
            <v>5946799</v>
          </cell>
          <cell r="DJ25">
            <v>350858</v>
          </cell>
          <cell r="DK25">
            <v>3058626</v>
          </cell>
          <cell r="DL25">
            <v>1974584</v>
          </cell>
          <cell r="DO25">
            <v>207324</v>
          </cell>
          <cell r="DP25">
            <v>252667</v>
          </cell>
          <cell r="DR25">
            <v>349773</v>
          </cell>
          <cell r="DZ25">
            <v>2587500</v>
          </cell>
          <cell r="EH25">
            <v>60000</v>
          </cell>
          <cell r="EK25">
            <v>80000</v>
          </cell>
          <cell r="EN25">
            <v>500000</v>
          </cell>
          <cell r="EQ25">
            <v>240810</v>
          </cell>
          <cell r="ET25">
            <v>672184</v>
          </cell>
          <cell r="EV25">
            <v>100000</v>
          </cell>
          <cell r="EY25">
            <v>120000</v>
          </cell>
          <cell r="FA25">
            <v>7000000</v>
          </cell>
          <cell r="FC25">
            <v>1091967</v>
          </cell>
          <cell r="FL25">
            <v>3447296</v>
          </cell>
          <cell r="GC25">
            <v>0</v>
          </cell>
          <cell r="GD25">
            <v>0</v>
          </cell>
          <cell r="GE25">
            <v>0</v>
          </cell>
        </row>
        <row r="26">
          <cell r="A26" t="str">
            <v>נכסים בהקמה</v>
          </cell>
          <cell r="B26">
            <v>0</v>
          </cell>
          <cell r="D26">
            <v>3214000</v>
          </cell>
          <cell r="E26">
            <v>0</v>
          </cell>
          <cell r="F26">
            <v>0</v>
          </cell>
          <cell r="G26">
            <v>0</v>
          </cell>
          <cell r="H26">
            <v>0</v>
          </cell>
          <cell r="I26">
            <v>0</v>
          </cell>
          <cell r="M26">
            <v>0</v>
          </cell>
          <cell r="N26">
            <v>0</v>
          </cell>
          <cell r="O26">
            <v>0</v>
          </cell>
          <cell r="P26">
            <v>0</v>
          </cell>
          <cell r="Q26">
            <v>0</v>
          </cell>
          <cell r="R26">
            <v>0</v>
          </cell>
          <cell r="S26">
            <v>0</v>
          </cell>
          <cell r="U26">
            <v>0</v>
          </cell>
          <cell r="V26">
            <v>5110000</v>
          </cell>
          <cell r="W26">
            <v>0</v>
          </cell>
          <cell r="X26">
            <v>0</v>
          </cell>
          <cell r="Y26">
            <v>0</v>
          </cell>
          <cell r="Z26">
            <v>250849</v>
          </cell>
          <cell r="AA26">
            <v>0</v>
          </cell>
          <cell r="AB26">
            <v>0</v>
          </cell>
          <cell r="AC26">
            <v>0</v>
          </cell>
          <cell r="AD26">
            <v>0</v>
          </cell>
          <cell r="AE26">
            <v>0</v>
          </cell>
          <cell r="AF26">
            <v>0</v>
          </cell>
          <cell r="AG26">
            <v>0</v>
          </cell>
          <cell r="AH26">
            <v>0</v>
          </cell>
          <cell r="AJ26">
            <v>0</v>
          </cell>
          <cell r="AK26">
            <v>0</v>
          </cell>
          <cell r="AL26">
            <v>0</v>
          </cell>
          <cell r="AM26">
            <v>0</v>
          </cell>
          <cell r="AN26">
            <v>0</v>
          </cell>
          <cell r="AO26">
            <v>0</v>
          </cell>
          <cell r="AP26">
            <v>0</v>
          </cell>
          <cell r="AQ26">
            <v>0</v>
          </cell>
          <cell r="AR26">
            <v>0</v>
          </cell>
          <cell r="AS26">
            <v>0</v>
          </cell>
          <cell r="AT26">
            <v>675000</v>
          </cell>
          <cell r="AW26">
            <v>0</v>
          </cell>
          <cell r="AX26">
            <v>0</v>
          </cell>
          <cell r="AY26">
            <v>950000</v>
          </cell>
          <cell r="AZ26">
            <v>500000</v>
          </cell>
          <cell r="BA26">
            <v>0</v>
          </cell>
          <cell r="BC26">
            <v>0</v>
          </cell>
          <cell r="BD26">
            <v>3113625</v>
          </cell>
          <cell r="BE26">
            <v>0</v>
          </cell>
          <cell r="BF26">
            <v>4404353</v>
          </cell>
          <cell r="BI26">
            <v>4758000</v>
          </cell>
          <cell r="BK26">
            <v>3113625</v>
          </cell>
          <cell r="BM26">
            <v>262000</v>
          </cell>
          <cell r="BR26">
            <v>250849</v>
          </cell>
          <cell r="BW26">
            <v>0</v>
          </cell>
          <cell r="BX26">
            <v>0</v>
          </cell>
          <cell r="BY26">
            <v>0</v>
          </cell>
          <cell r="BZ26">
            <v>10395000</v>
          </cell>
          <cell r="CB26">
            <v>10000000</v>
          </cell>
          <cell r="CD26">
            <v>0</v>
          </cell>
          <cell r="CE26">
            <v>0</v>
          </cell>
          <cell r="CF26">
            <v>0</v>
          </cell>
          <cell r="CG26">
            <v>0</v>
          </cell>
          <cell r="CH26">
            <v>0</v>
          </cell>
          <cell r="CI26">
            <v>500000</v>
          </cell>
          <cell r="CJ26">
            <v>0</v>
          </cell>
          <cell r="CK26">
            <v>0</v>
          </cell>
          <cell r="DF26">
            <v>1478177</v>
          </cell>
          <cell r="DK26">
            <v>12010000</v>
          </cell>
          <cell r="DL26">
            <v>300000</v>
          </cell>
          <cell r="DW26">
            <v>200000</v>
          </cell>
          <cell r="FA26">
            <v>3171456</v>
          </cell>
          <cell r="FB26">
            <v>221426</v>
          </cell>
          <cell r="FU26">
            <v>1000000</v>
          </cell>
          <cell r="GC26">
            <v>0</v>
          </cell>
          <cell r="GD26">
            <v>0</v>
          </cell>
          <cell r="GE26">
            <v>0</v>
          </cell>
          <cell r="GF26">
            <v>1809369</v>
          </cell>
        </row>
        <row r="27">
          <cell r="A27" t="str">
            <v>זכויות מים</v>
          </cell>
          <cell r="B27">
            <v>1002663</v>
          </cell>
          <cell r="C27">
            <v>17756685</v>
          </cell>
          <cell r="D27">
            <v>49855000</v>
          </cell>
          <cell r="E27">
            <v>1626941</v>
          </cell>
          <cell r="F27">
            <v>2603125</v>
          </cell>
          <cell r="G27">
            <v>0</v>
          </cell>
          <cell r="H27">
            <v>2925829</v>
          </cell>
          <cell r="I27">
            <v>35386964</v>
          </cell>
          <cell r="K27">
            <v>445594</v>
          </cell>
          <cell r="L27">
            <v>2079830</v>
          </cell>
          <cell r="M27">
            <v>314745</v>
          </cell>
          <cell r="O27">
            <v>1201888</v>
          </cell>
          <cell r="P27">
            <v>325582</v>
          </cell>
          <cell r="Q27">
            <v>293000</v>
          </cell>
          <cell r="R27">
            <v>378068</v>
          </cell>
          <cell r="S27">
            <v>0</v>
          </cell>
          <cell r="T27">
            <v>7224950</v>
          </cell>
          <cell r="U27">
            <v>3341670</v>
          </cell>
          <cell r="W27">
            <v>491107</v>
          </cell>
          <cell r="X27">
            <v>0</v>
          </cell>
          <cell r="Y27">
            <v>1345500</v>
          </cell>
          <cell r="Z27">
            <v>374049</v>
          </cell>
          <cell r="AA27">
            <v>2087781</v>
          </cell>
          <cell r="AB27">
            <v>146565</v>
          </cell>
          <cell r="AC27">
            <v>0</v>
          </cell>
          <cell r="AD27">
            <v>753480</v>
          </cell>
          <cell r="AE27">
            <v>633880</v>
          </cell>
          <cell r="AF27">
            <v>11086181</v>
          </cell>
          <cell r="AG27">
            <v>0</v>
          </cell>
          <cell r="AH27">
            <v>5969444</v>
          </cell>
          <cell r="AI27">
            <v>324115</v>
          </cell>
          <cell r="AJ27">
            <v>263650</v>
          </cell>
          <cell r="AK27">
            <v>283005</v>
          </cell>
          <cell r="AL27">
            <v>0</v>
          </cell>
          <cell r="AM27">
            <v>943238</v>
          </cell>
          <cell r="AN27">
            <v>275190</v>
          </cell>
          <cell r="AO27">
            <v>538568</v>
          </cell>
          <cell r="AP27">
            <v>2024230</v>
          </cell>
          <cell r="AQ27">
            <v>3870555</v>
          </cell>
          <cell r="AR27">
            <v>564776</v>
          </cell>
          <cell r="AS27">
            <v>102829</v>
          </cell>
          <cell r="AT27">
            <v>1611386</v>
          </cell>
          <cell r="AU27">
            <v>305049</v>
          </cell>
          <cell r="AW27">
            <v>1166694</v>
          </cell>
          <cell r="AX27">
            <v>203320</v>
          </cell>
          <cell r="AZ27">
            <v>5208014</v>
          </cell>
          <cell r="BA27">
            <v>1944140</v>
          </cell>
          <cell r="BB27">
            <v>8509688</v>
          </cell>
          <cell r="BC27">
            <v>12980660</v>
          </cell>
          <cell r="BD27">
            <v>2064988</v>
          </cell>
          <cell r="BE27">
            <v>7233380</v>
          </cell>
          <cell r="BF27">
            <v>19136000</v>
          </cell>
          <cell r="BH27">
            <v>7972237</v>
          </cell>
          <cell r="BI27">
            <v>6237000</v>
          </cell>
          <cell r="BJ27">
            <v>8509688</v>
          </cell>
          <cell r="BK27">
            <v>2064988</v>
          </cell>
          <cell r="BL27">
            <v>2603125</v>
          </cell>
          <cell r="BM27">
            <v>14179218</v>
          </cell>
          <cell r="BP27">
            <v>12954300</v>
          </cell>
          <cell r="BQ27">
            <v>5569509</v>
          </cell>
          <cell r="BR27">
            <v>374049</v>
          </cell>
          <cell r="BS27">
            <v>52390850</v>
          </cell>
          <cell r="BT27">
            <v>7224950</v>
          </cell>
          <cell r="BU27">
            <v>74480000</v>
          </cell>
          <cell r="BV27">
            <v>179680738</v>
          </cell>
          <cell r="BW27">
            <v>1751164</v>
          </cell>
          <cell r="BX27">
            <v>4058776</v>
          </cell>
          <cell r="BY27">
            <v>7784166</v>
          </cell>
          <cell r="BZ27">
            <v>8788767</v>
          </cell>
          <cell r="CA27">
            <v>1810993</v>
          </cell>
          <cell r="CB27">
            <v>515180</v>
          </cell>
          <cell r="CC27">
            <v>868450</v>
          </cell>
          <cell r="CD27">
            <v>1266000</v>
          </cell>
          <cell r="CE27">
            <v>6898507</v>
          </cell>
          <cell r="CF27">
            <v>196700</v>
          </cell>
          <cell r="CG27">
            <v>16834659</v>
          </cell>
          <cell r="CH27">
            <v>6256662</v>
          </cell>
          <cell r="CI27">
            <v>7288568</v>
          </cell>
          <cell r="CJ27">
            <v>3789810</v>
          </cell>
          <cell r="CK27">
            <v>325582</v>
          </cell>
          <cell r="CL27">
            <v>0</v>
          </cell>
          <cell r="CM27">
            <v>733348</v>
          </cell>
          <cell r="CN27">
            <v>818607</v>
          </cell>
          <cell r="CO27">
            <v>4199100</v>
          </cell>
          <cell r="CP27">
            <v>1517969</v>
          </cell>
          <cell r="CQ27">
            <v>1578990</v>
          </cell>
          <cell r="CR27">
            <v>1877792</v>
          </cell>
          <cell r="CS27">
            <v>1714513</v>
          </cell>
          <cell r="CT27">
            <v>982720</v>
          </cell>
          <cell r="CU27">
            <v>514000</v>
          </cell>
          <cell r="CV27">
            <v>3684665</v>
          </cell>
          <cell r="CX27">
            <v>1541675</v>
          </cell>
          <cell r="CY27">
            <v>86266</v>
          </cell>
          <cell r="CZ27">
            <v>405190</v>
          </cell>
          <cell r="DA27">
            <v>2763915</v>
          </cell>
          <cell r="DB27">
            <v>489500</v>
          </cell>
          <cell r="DC27">
            <v>430780</v>
          </cell>
          <cell r="DD27">
            <v>36840</v>
          </cell>
          <cell r="DE27">
            <v>1484926</v>
          </cell>
          <cell r="DF27">
            <v>16492635</v>
          </cell>
          <cell r="DG27">
            <v>180555</v>
          </cell>
          <cell r="DI27">
            <v>9000000</v>
          </cell>
          <cell r="DJ27">
            <v>240000</v>
          </cell>
          <cell r="DK27">
            <v>23206646</v>
          </cell>
          <cell r="DL27">
            <v>16885000</v>
          </cell>
          <cell r="DM27">
            <v>2772000</v>
          </cell>
          <cell r="DO27">
            <v>15077655</v>
          </cell>
          <cell r="DP27">
            <v>15517846</v>
          </cell>
          <cell r="DQ27">
            <v>2472000</v>
          </cell>
          <cell r="DR27">
            <v>163127</v>
          </cell>
          <cell r="DS27">
            <v>321395</v>
          </cell>
          <cell r="DT27">
            <v>8248265</v>
          </cell>
          <cell r="DU27">
            <v>29000712</v>
          </cell>
          <cell r="DV27">
            <v>7752872</v>
          </cell>
          <cell r="DW27">
            <v>2175465</v>
          </cell>
          <cell r="DX27">
            <v>601065</v>
          </cell>
          <cell r="DY27">
            <v>35124</v>
          </cell>
          <cell r="DZ27">
            <v>3918516</v>
          </cell>
          <cell r="EA27">
            <v>60900</v>
          </cell>
          <cell r="EB27">
            <v>7233380</v>
          </cell>
          <cell r="ED27">
            <v>982800</v>
          </cell>
          <cell r="EE27">
            <v>1090770</v>
          </cell>
          <cell r="EF27">
            <v>1208076</v>
          </cell>
          <cell r="EH27">
            <v>455298</v>
          </cell>
          <cell r="EI27">
            <v>3336320</v>
          </cell>
          <cell r="EJ27">
            <v>1632000</v>
          </cell>
          <cell r="EK27">
            <v>2501900</v>
          </cell>
          <cell r="EL27">
            <v>786568</v>
          </cell>
          <cell r="EN27">
            <v>13124655</v>
          </cell>
          <cell r="EP27">
            <v>1944139</v>
          </cell>
          <cell r="EQ27">
            <v>3558846</v>
          </cell>
          <cell r="ER27">
            <v>10100541</v>
          </cell>
          <cell r="ES27">
            <v>11751292</v>
          </cell>
          <cell r="ET27">
            <v>8839932</v>
          </cell>
          <cell r="EU27">
            <v>3100173</v>
          </cell>
          <cell r="EV27">
            <v>1847390</v>
          </cell>
          <cell r="EW27">
            <v>427323</v>
          </cell>
          <cell r="EX27">
            <v>417430</v>
          </cell>
          <cell r="EY27">
            <v>173400</v>
          </cell>
          <cell r="FA27">
            <v>132397000</v>
          </cell>
          <cell r="FB27">
            <v>68492</v>
          </cell>
          <cell r="FD27">
            <v>4669590</v>
          </cell>
          <cell r="FF27">
            <v>5569509</v>
          </cell>
          <cell r="FI27">
            <v>7311973</v>
          </cell>
          <cell r="FJ27">
            <v>248321</v>
          </cell>
          <cell r="FK27">
            <v>1472088</v>
          </cell>
          <cell r="FL27">
            <v>24083142</v>
          </cell>
          <cell r="FM27">
            <v>1074809</v>
          </cell>
          <cell r="FN27">
            <v>365598</v>
          </cell>
          <cell r="FO27">
            <v>146565</v>
          </cell>
          <cell r="FP27">
            <v>493182</v>
          </cell>
          <cell r="FS27">
            <v>305049</v>
          </cell>
          <cell r="FU27">
            <v>1876803</v>
          </cell>
          <cell r="FV27">
            <v>1437502</v>
          </cell>
          <cell r="FW27">
            <v>5727918</v>
          </cell>
          <cell r="FX27">
            <v>4823335</v>
          </cell>
          <cell r="FY27">
            <v>8924144</v>
          </cell>
          <cell r="FZ27">
            <v>297900</v>
          </cell>
          <cell r="GA27">
            <v>33660</v>
          </cell>
          <cell r="GB27">
            <v>222480</v>
          </cell>
          <cell r="GC27">
            <v>494975.33333333331</v>
          </cell>
          <cell r="GD27">
            <v>494975.33333333331</v>
          </cell>
          <cell r="GE27">
            <v>494975.33333333331</v>
          </cell>
          <cell r="GF27">
            <v>4337079</v>
          </cell>
        </row>
        <row r="28">
          <cell r="A28" t="str">
            <v>מוני מים</v>
          </cell>
          <cell r="B28">
            <v>85256</v>
          </cell>
          <cell r="C28">
            <v>3737075</v>
          </cell>
          <cell r="D28">
            <v>8521000</v>
          </cell>
          <cell r="E28">
            <v>732625</v>
          </cell>
          <cell r="F28">
            <v>289463</v>
          </cell>
          <cell r="G28">
            <v>186470</v>
          </cell>
          <cell r="H28">
            <v>815251</v>
          </cell>
          <cell r="I28">
            <v>9721163</v>
          </cell>
          <cell r="K28">
            <v>59873</v>
          </cell>
          <cell r="L28">
            <v>216876</v>
          </cell>
          <cell r="M28">
            <v>109583</v>
          </cell>
          <cell r="N28">
            <v>75920</v>
          </cell>
          <cell r="O28">
            <v>100210</v>
          </cell>
          <cell r="P28">
            <v>87459</v>
          </cell>
          <cell r="Q28">
            <v>166250</v>
          </cell>
          <cell r="R28">
            <v>114912</v>
          </cell>
          <cell r="S28">
            <v>1308036</v>
          </cell>
          <cell r="T28">
            <v>4326219</v>
          </cell>
          <cell r="U28">
            <v>411879</v>
          </cell>
          <cell r="V28">
            <v>2133000</v>
          </cell>
          <cell r="W28">
            <v>61685</v>
          </cell>
          <cell r="X28">
            <v>0</v>
          </cell>
          <cell r="Y28">
            <v>274351</v>
          </cell>
          <cell r="Z28">
            <v>94087</v>
          </cell>
          <cell r="AA28">
            <v>149895</v>
          </cell>
          <cell r="AB28">
            <v>77110</v>
          </cell>
          <cell r="AC28">
            <v>48627</v>
          </cell>
          <cell r="AD28">
            <v>151140</v>
          </cell>
          <cell r="AE28">
            <v>359100</v>
          </cell>
          <cell r="AF28">
            <v>2082553</v>
          </cell>
          <cell r="AG28">
            <v>0</v>
          </cell>
          <cell r="AH28">
            <v>1018844</v>
          </cell>
          <cell r="AI28">
            <v>52923</v>
          </cell>
          <cell r="AJ28">
            <v>113773</v>
          </cell>
          <cell r="AK28">
            <v>15326</v>
          </cell>
          <cell r="AL28">
            <v>2149</v>
          </cell>
          <cell r="AM28">
            <v>224047</v>
          </cell>
          <cell r="AN28">
            <v>87954</v>
          </cell>
          <cell r="AO28">
            <v>103437</v>
          </cell>
          <cell r="AP28">
            <v>192122</v>
          </cell>
          <cell r="AQ28">
            <v>543469</v>
          </cell>
          <cell r="AR28">
            <v>120037</v>
          </cell>
          <cell r="AS28">
            <v>79012</v>
          </cell>
          <cell r="AT28">
            <v>273554</v>
          </cell>
          <cell r="AU28">
            <v>96482</v>
          </cell>
          <cell r="AV28">
            <v>48889</v>
          </cell>
          <cell r="AW28">
            <v>182300</v>
          </cell>
          <cell r="AX28">
            <v>532457</v>
          </cell>
          <cell r="AY28">
            <v>13628</v>
          </cell>
          <cell r="AZ28">
            <v>1121628</v>
          </cell>
          <cell r="BA28">
            <v>271616</v>
          </cell>
          <cell r="BB28">
            <v>8080205</v>
          </cell>
          <cell r="BC28">
            <v>677393</v>
          </cell>
          <cell r="BD28">
            <v>339156</v>
          </cell>
          <cell r="BE28">
            <v>625157</v>
          </cell>
          <cell r="BF28">
            <v>2197286</v>
          </cell>
          <cell r="BG28">
            <v>2780373</v>
          </cell>
          <cell r="BH28">
            <v>892708</v>
          </cell>
          <cell r="BI28">
            <v>515000</v>
          </cell>
          <cell r="BJ28">
            <v>8080205</v>
          </cell>
          <cell r="BK28">
            <v>339156</v>
          </cell>
          <cell r="BL28">
            <v>289463</v>
          </cell>
          <cell r="BM28">
            <v>3389393</v>
          </cell>
          <cell r="BN28">
            <v>96960</v>
          </cell>
          <cell r="BO28">
            <v>2613481</v>
          </cell>
          <cell r="BP28">
            <v>1022686</v>
          </cell>
          <cell r="BQ28">
            <v>2965130</v>
          </cell>
          <cell r="BR28">
            <v>94087</v>
          </cell>
          <cell r="BS28">
            <v>4347822</v>
          </cell>
          <cell r="BT28">
            <v>4326219</v>
          </cell>
          <cell r="BU28">
            <v>11589723</v>
          </cell>
          <cell r="BV28">
            <v>14956008</v>
          </cell>
          <cell r="BW28">
            <v>572865</v>
          </cell>
          <cell r="BX28">
            <v>421558</v>
          </cell>
          <cell r="BY28">
            <v>1222530</v>
          </cell>
          <cell r="BZ28">
            <v>357142</v>
          </cell>
          <cell r="CA28">
            <v>201421</v>
          </cell>
          <cell r="CB28">
            <v>537173</v>
          </cell>
          <cell r="CC28">
            <v>531578</v>
          </cell>
          <cell r="CD28">
            <v>354469</v>
          </cell>
          <cell r="CE28">
            <v>6197977</v>
          </cell>
          <cell r="CF28">
            <v>32113</v>
          </cell>
          <cell r="CG28">
            <v>2812777</v>
          </cell>
          <cell r="CH28">
            <v>1808307</v>
          </cell>
          <cell r="CI28">
            <v>1296780</v>
          </cell>
          <cell r="CJ28">
            <v>977321</v>
          </cell>
          <cell r="CK28">
            <v>87459</v>
          </cell>
          <cell r="CL28">
            <v>269000</v>
          </cell>
          <cell r="CM28">
            <v>147254</v>
          </cell>
          <cell r="CN28">
            <v>76005</v>
          </cell>
          <cell r="CO28">
            <v>553784</v>
          </cell>
          <cell r="CP28">
            <v>120292</v>
          </cell>
          <cell r="CQ28">
            <v>95357</v>
          </cell>
          <cell r="CR28">
            <v>99286</v>
          </cell>
          <cell r="CS28">
            <v>65987</v>
          </cell>
          <cell r="CT28">
            <v>467847</v>
          </cell>
          <cell r="CU28">
            <v>75000</v>
          </cell>
          <cell r="CV28">
            <v>208539</v>
          </cell>
          <cell r="CX28">
            <v>122020</v>
          </cell>
          <cell r="CY28">
            <v>84928</v>
          </cell>
          <cell r="CZ28">
            <v>91778</v>
          </cell>
          <cell r="DA28">
            <v>83529</v>
          </cell>
          <cell r="DB28">
            <v>70086</v>
          </cell>
          <cell r="DC28">
            <v>153722</v>
          </cell>
          <cell r="DD28">
            <v>16202</v>
          </cell>
          <cell r="DE28">
            <v>364680</v>
          </cell>
          <cell r="DF28">
            <v>6472666</v>
          </cell>
          <cell r="DG28">
            <v>55335</v>
          </cell>
          <cell r="DH28">
            <v>4113149</v>
          </cell>
          <cell r="DI28">
            <v>2072567</v>
          </cell>
          <cell r="DJ28">
            <v>1597816</v>
          </cell>
          <cell r="DK28">
            <v>18722515</v>
          </cell>
          <cell r="DL28">
            <v>11851035</v>
          </cell>
          <cell r="DM28">
            <v>773987</v>
          </cell>
          <cell r="DO28">
            <v>2533021</v>
          </cell>
          <cell r="DP28">
            <v>3250016</v>
          </cell>
          <cell r="DQ28">
            <v>206903</v>
          </cell>
          <cell r="DR28">
            <v>105325</v>
          </cell>
          <cell r="DS28">
            <v>44394</v>
          </cell>
          <cell r="DT28">
            <v>1704198</v>
          </cell>
          <cell r="DU28">
            <v>4494945</v>
          </cell>
          <cell r="DV28">
            <v>401842</v>
          </cell>
          <cell r="DW28">
            <v>155940</v>
          </cell>
          <cell r="DX28">
            <v>198387</v>
          </cell>
          <cell r="DY28">
            <v>151203</v>
          </cell>
          <cell r="DZ28">
            <v>351923</v>
          </cell>
          <cell r="EA28">
            <v>40125</v>
          </cell>
          <cell r="EB28">
            <v>625157</v>
          </cell>
          <cell r="EC28">
            <v>655618</v>
          </cell>
          <cell r="ED28">
            <v>331923</v>
          </cell>
          <cell r="EE28">
            <v>167157</v>
          </cell>
          <cell r="EF28">
            <v>844863</v>
          </cell>
          <cell r="EG28">
            <v>90555</v>
          </cell>
          <cell r="EH28">
            <v>163867</v>
          </cell>
          <cell r="EI28">
            <v>414111</v>
          </cell>
          <cell r="EJ28">
            <v>215213</v>
          </cell>
          <cell r="EK28">
            <v>607175</v>
          </cell>
          <cell r="EL28">
            <v>113001</v>
          </cell>
          <cell r="EM28">
            <v>319993</v>
          </cell>
          <cell r="EN28">
            <v>2624335</v>
          </cell>
          <cell r="EP28">
            <v>271616</v>
          </cell>
          <cell r="EQ28">
            <v>1539760</v>
          </cell>
          <cell r="ER28">
            <v>666238</v>
          </cell>
          <cell r="ES28">
            <v>452490</v>
          </cell>
          <cell r="ET28">
            <v>1226522</v>
          </cell>
          <cell r="EU28">
            <v>259208</v>
          </cell>
          <cell r="EV28">
            <v>128745</v>
          </cell>
          <cell r="EW28">
            <v>48447</v>
          </cell>
          <cell r="EX28">
            <v>89236</v>
          </cell>
          <cell r="EY28">
            <v>146477</v>
          </cell>
          <cell r="FA28">
            <v>22953477</v>
          </cell>
          <cell r="FC28">
            <v>3298936</v>
          </cell>
          <cell r="FD28">
            <v>303285</v>
          </cell>
          <cell r="FE28">
            <v>24000</v>
          </cell>
          <cell r="FF28">
            <v>2965130</v>
          </cell>
          <cell r="FG28">
            <v>88195</v>
          </cell>
          <cell r="FH28">
            <v>435284</v>
          </cell>
          <cell r="FI28">
            <v>720069</v>
          </cell>
          <cell r="FJ28">
            <v>69534</v>
          </cell>
          <cell r="FK28">
            <v>125983</v>
          </cell>
          <cell r="FL28">
            <v>14391533</v>
          </cell>
          <cell r="FM28">
            <v>82526</v>
          </cell>
          <cell r="FN28">
            <v>57453</v>
          </cell>
          <cell r="FO28">
            <v>77110</v>
          </cell>
          <cell r="FP28">
            <v>67207</v>
          </cell>
          <cell r="FQ28">
            <v>77688</v>
          </cell>
          <cell r="FS28">
            <v>96482</v>
          </cell>
          <cell r="FT28">
            <v>82847</v>
          </cell>
          <cell r="FU28">
            <v>156517</v>
          </cell>
          <cell r="FV28">
            <v>172986</v>
          </cell>
          <cell r="FW28">
            <v>927760</v>
          </cell>
          <cell r="FX28">
            <v>432950</v>
          </cell>
          <cell r="FY28">
            <v>815915</v>
          </cell>
          <cell r="FZ28">
            <v>99236</v>
          </cell>
          <cell r="GA28">
            <v>50450</v>
          </cell>
          <cell r="GB28">
            <v>51893</v>
          </cell>
          <cell r="GC28">
            <v>121560</v>
          </cell>
          <cell r="GD28">
            <v>121560</v>
          </cell>
          <cell r="GE28">
            <v>121560</v>
          </cell>
          <cell r="GF28">
            <v>662499</v>
          </cell>
        </row>
        <row r="29">
          <cell r="A29" t="str">
            <v>קווי מים לחקלאות</v>
          </cell>
          <cell r="S29">
            <v>800114</v>
          </cell>
          <cell r="CI29">
            <v>0</v>
          </cell>
          <cell r="CJ29">
            <v>0</v>
          </cell>
          <cell r="CK29">
            <v>0</v>
          </cell>
          <cell r="ED29">
            <v>9434026</v>
          </cell>
          <cell r="FH29">
            <v>5899816</v>
          </cell>
        </row>
        <row r="30">
          <cell r="AJ30">
            <v>0</v>
          </cell>
          <cell r="AK30">
            <v>0</v>
          </cell>
          <cell r="AL30">
            <v>0</v>
          </cell>
          <cell r="AM30">
            <v>0</v>
          </cell>
          <cell r="AQ30">
            <v>0</v>
          </cell>
          <cell r="AR30">
            <v>0</v>
          </cell>
          <cell r="AS30">
            <v>0</v>
          </cell>
          <cell r="BW30">
            <v>0</v>
          </cell>
          <cell r="CI30">
            <v>0</v>
          </cell>
          <cell r="CJ30">
            <v>0</v>
          </cell>
          <cell r="CK30">
            <v>0</v>
          </cell>
        </row>
        <row r="31">
          <cell r="A31" t="str">
            <v>סה"כ</v>
          </cell>
          <cell r="B31">
            <v>8741710</v>
          </cell>
          <cell r="C31">
            <v>80522429</v>
          </cell>
          <cell r="D31">
            <v>152399000</v>
          </cell>
          <cell r="E31">
            <v>32473350</v>
          </cell>
          <cell r="F31">
            <v>10128535</v>
          </cell>
          <cell r="G31">
            <v>6897546</v>
          </cell>
          <cell r="H31">
            <v>20529729</v>
          </cell>
          <cell r="I31">
            <v>149010194</v>
          </cell>
          <cell r="J31">
            <v>0</v>
          </cell>
          <cell r="K31">
            <v>5254225</v>
          </cell>
          <cell r="L31">
            <v>13231876</v>
          </cell>
          <cell r="M31">
            <v>4136928</v>
          </cell>
          <cell r="N31">
            <v>4237215</v>
          </cell>
          <cell r="O31">
            <v>9331643</v>
          </cell>
          <cell r="P31">
            <v>2183051</v>
          </cell>
          <cell r="Q31">
            <v>8063168</v>
          </cell>
          <cell r="R31">
            <v>6029906</v>
          </cell>
          <cell r="S31">
            <v>48044757</v>
          </cell>
          <cell r="T31">
            <v>85561480</v>
          </cell>
          <cell r="U31">
            <v>13989859</v>
          </cell>
          <cell r="V31">
            <v>74186039</v>
          </cell>
          <cell r="W31">
            <v>7614013</v>
          </cell>
          <cell r="X31">
            <v>0</v>
          </cell>
          <cell r="Y31">
            <v>14074115</v>
          </cell>
          <cell r="Z31">
            <v>6560140</v>
          </cell>
          <cell r="AA31">
            <v>15954462</v>
          </cell>
          <cell r="AB31">
            <v>4301562</v>
          </cell>
          <cell r="AC31">
            <v>2850379</v>
          </cell>
          <cell r="AD31">
            <v>7931993</v>
          </cell>
          <cell r="AE31">
            <v>9658778</v>
          </cell>
          <cell r="AF31">
            <v>34660419</v>
          </cell>
          <cell r="AG31">
            <v>0</v>
          </cell>
          <cell r="AH31">
            <v>27834011</v>
          </cell>
          <cell r="AI31">
            <v>5921002</v>
          </cell>
          <cell r="AJ31">
            <v>4514397</v>
          </cell>
          <cell r="AK31">
            <v>3965560</v>
          </cell>
          <cell r="AL31">
            <v>1043145</v>
          </cell>
          <cell r="AM31">
            <v>16919321</v>
          </cell>
          <cell r="AN31">
            <v>6456461</v>
          </cell>
          <cell r="AO31">
            <v>7168658</v>
          </cell>
          <cell r="AP31">
            <v>9159011</v>
          </cell>
          <cell r="AQ31">
            <v>30328314</v>
          </cell>
          <cell r="AR31">
            <v>11055904</v>
          </cell>
          <cell r="AS31">
            <v>3017490</v>
          </cell>
          <cell r="AT31">
            <v>16087954</v>
          </cell>
          <cell r="AU31">
            <v>5708005</v>
          </cell>
          <cell r="AV31">
            <v>3937089</v>
          </cell>
          <cell r="AW31">
            <v>13631720</v>
          </cell>
          <cell r="AX31">
            <v>6135255</v>
          </cell>
          <cell r="AY31">
            <v>4172749</v>
          </cell>
          <cell r="AZ31">
            <v>21617881</v>
          </cell>
          <cell r="BA31">
            <v>23882628</v>
          </cell>
          <cell r="BB31">
            <v>53310117</v>
          </cell>
          <cell r="BC31">
            <v>49010595</v>
          </cell>
          <cell r="BD31">
            <v>13675769</v>
          </cell>
          <cell r="BE31">
            <v>23355263</v>
          </cell>
          <cell r="BF31">
            <v>54191952</v>
          </cell>
          <cell r="BG31">
            <v>110041815</v>
          </cell>
          <cell r="BH31">
            <v>45553566</v>
          </cell>
          <cell r="BI31">
            <v>25062000</v>
          </cell>
          <cell r="BJ31">
            <v>53310117</v>
          </cell>
          <cell r="BK31">
            <v>13675769</v>
          </cell>
          <cell r="BM31">
            <v>70076085</v>
          </cell>
          <cell r="BN31">
            <v>7484573.333333334</v>
          </cell>
          <cell r="BO31">
            <v>40832506</v>
          </cell>
          <cell r="BP31">
            <v>40270730</v>
          </cell>
          <cell r="BQ31">
            <v>73247474</v>
          </cell>
          <cell r="BR31">
            <v>6560140</v>
          </cell>
          <cell r="BS31">
            <v>127755582</v>
          </cell>
          <cell r="BT31">
            <v>85561480</v>
          </cell>
          <cell r="BU31">
            <v>302570899</v>
          </cell>
          <cell r="BV31">
            <v>689961745</v>
          </cell>
          <cell r="BW31">
            <v>16200830</v>
          </cell>
          <cell r="BX31">
            <v>39941148</v>
          </cell>
          <cell r="BY31">
            <v>28872579</v>
          </cell>
          <cell r="BZ31">
            <v>30923767</v>
          </cell>
          <cell r="CA31">
            <v>14554877</v>
          </cell>
          <cell r="CB31">
            <v>28508780</v>
          </cell>
          <cell r="CC31">
            <v>19368375</v>
          </cell>
          <cell r="CD31">
            <v>9325679</v>
          </cell>
          <cell r="CE31">
            <v>58150592</v>
          </cell>
          <cell r="CF31">
            <v>2873459</v>
          </cell>
          <cell r="CG31">
            <v>55946551</v>
          </cell>
          <cell r="CH31">
            <v>26499824</v>
          </cell>
          <cell r="CI31">
            <v>20823829</v>
          </cell>
          <cell r="CJ31">
            <v>39452303</v>
          </cell>
          <cell r="CK31">
            <v>2183051</v>
          </cell>
          <cell r="CL31">
            <v>24776000</v>
          </cell>
          <cell r="CM31">
            <v>7494152</v>
          </cell>
          <cell r="CN31">
            <v>4716585</v>
          </cell>
          <cell r="CO31">
            <v>14579720</v>
          </cell>
          <cell r="CP31">
            <v>11289481</v>
          </cell>
          <cell r="CQ31">
            <v>11847737</v>
          </cell>
          <cell r="CR31">
            <v>7352540</v>
          </cell>
          <cell r="CS31">
            <v>4907124</v>
          </cell>
          <cell r="CT31">
            <v>12455551</v>
          </cell>
          <cell r="CU31">
            <v>7959000</v>
          </cell>
          <cell r="CV31">
            <v>16479470</v>
          </cell>
          <cell r="CX31">
            <v>13270408</v>
          </cell>
          <cell r="CY31">
            <v>9823555</v>
          </cell>
          <cell r="CZ31">
            <v>8546992</v>
          </cell>
          <cell r="DA31">
            <v>15525134</v>
          </cell>
          <cell r="DB31">
            <v>6513025</v>
          </cell>
          <cell r="DC31">
            <v>8534472</v>
          </cell>
          <cell r="DD31">
            <v>2098455</v>
          </cell>
          <cell r="DE31">
            <v>15760863</v>
          </cell>
          <cell r="DF31">
            <v>102493727</v>
          </cell>
          <cell r="DG31">
            <v>8792578</v>
          </cell>
          <cell r="DH31">
            <v>48445242</v>
          </cell>
          <cell r="DI31">
            <v>35453853</v>
          </cell>
          <cell r="DJ31">
            <v>33267314</v>
          </cell>
          <cell r="DK31">
            <v>200956826</v>
          </cell>
          <cell r="DL31">
            <v>166030193</v>
          </cell>
          <cell r="DM31">
            <v>13217543</v>
          </cell>
          <cell r="DO31">
            <v>48792707</v>
          </cell>
          <cell r="DP31">
            <v>101801191</v>
          </cell>
          <cell r="DQ31">
            <v>8359812</v>
          </cell>
          <cell r="DR31">
            <v>5436727</v>
          </cell>
          <cell r="DS31">
            <v>3049714</v>
          </cell>
          <cell r="DT31">
            <v>45026114</v>
          </cell>
          <cell r="DU31">
            <v>89184491</v>
          </cell>
          <cell r="DV31">
            <v>22990763</v>
          </cell>
          <cell r="DW31">
            <v>19120115</v>
          </cell>
          <cell r="DX31">
            <v>9560248</v>
          </cell>
          <cell r="DY31">
            <v>10609590</v>
          </cell>
          <cell r="DZ31">
            <v>20645216</v>
          </cell>
          <cell r="EA31">
            <v>4102497</v>
          </cell>
          <cell r="EB31">
            <v>23355263</v>
          </cell>
          <cell r="EC31">
            <v>13275760</v>
          </cell>
          <cell r="ED31">
            <v>25120172</v>
          </cell>
          <cell r="EE31">
            <v>9575600</v>
          </cell>
          <cell r="EF31">
            <v>12341984</v>
          </cell>
          <cell r="EG31">
            <v>6435523</v>
          </cell>
          <cell r="EH31">
            <v>8120204</v>
          </cell>
          <cell r="EI31">
            <v>19029232</v>
          </cell>
          <cell r="EJ31">
            <v>6754356</v>
          </cell>
          <cell r="EK31">
            <v>24517441</v>
          </cell>
          <cell r="EL31">
            <v>8783531</v>
          </cell>
          <cell r="EM31">
            <v>14032490</v>
          </cell>
          <cell r="EN31">
            <v>51562121</v>
          </cell>
          <cell r="EO31">
            <v>0</v>
          </cell>
          <cell r="EP31">
            <v>23882625</v>
          </cell>
          <cell r="EQ31">
            <v>22405236</v>
          </cell>
          <cell r="ER31">
            <v>21801428</v>
          </cell>
          <cell r="ES31">
            <v>27445889</v>
          </cell>
          <cell r="ET31">
            <v>21650677</v>
          </cell>
          <cell r="EU31">
            <v>13364310</v>
          </cell>
          <cell r="EV31">
            <v>8037929</v>
          </cell>
          <cell r="EW31">
            <v>8579747</v>
          </cell>
          <cell r="EX31">
            <v>5964185</v>
          </cell>
          <cell r="EY31">
            <v>6188860</v>
          </cell>
          <cell r="FA31">
            <v>369294640</v>
          </cell>
          <cell r="FB31">
            <v>6486411</v>
          </cell>
          <cell r="FC31">
            <v>23840078</v>
          </cell>
          <cell r="FD31">
            <v>18495879</v>
          </cell>
          <cell r="FE31">
            <v>13758000</v>
          </cell>
          <cell r="FF31">
            <v>73247473</v>
          </cell>
          <cell r="FG31">
            <v>8330389</v>
          </cell>
          <cell r="FH31">
            <v>10160072</v>
          </cell>
          <cell r="FI31">
            <v>19339883</v>
          </cell>
          <cell r="FJ31">
            <v>1810413</v>
          </cell>
          <cell r="FK31">
            <v>14534608</v>
          </cell>
          <cell r="FL31">
            <v>231902449</v>
          </cell>
          <cell r="FM31">
            <v>7195443</v>
          </cell>
          <cell r="FN31">
            <v>3500626</v>
          </cell>
          <cell r="FO31">
            <v>4301562</v>
          </cell>
          <cell r="FP31">
            <v>8786267</v>
          </cell>
          <cell r="FQ31">
            <v>1430483</v>
          </cell>
          <cell r="FR31">
            <v>10277000</v>
          </cell>
          <cell r="FS31">
            <v>5708005</v>
          </cell>
          <cell r="FT31">
            <v>5155957</v>
          </cell>
          <cell r="FU31">
            <v>17268742</v>
          </cell>
          <cell r="FV31">
            <v>7647190</v>
          </cell>
          <cell r="FW31">
            <v>23101264</v>
          </cell>
          <cell r="FX31">
            <v>20172372</v>
          </cell>
          <cell r="FY31">
            <v>32305348</v>
          </cell>
          <cell r="FZ31">
            <v>5191152</v>
          </cell>
          <cell r="GA31">
            <v>5880885</v>
          </cell>
          <cell r="GB31">
            <v>2225107</v>
          </cell>
          <cell r="GC31">
            <v>5253621</v>
          </cell>
          <cell r="GD31">
            <v>5253621</v>
          </cell>
          <cell r="GE31">
            <v>5253621</v>
          </cell>
          <cell r="GF31">
            <v>22003954</v>
          </cell>
        </row>
        <row r="33">
          <cell r="A33" t="str">
            <v>ביוב</v>
          </cell>
        </row>
        <row r="34">
          <cell r="A34" t="str">
            <v>ערך כינון מלא</v>
          </cell>
          <cell r="AA34">
            <v>0</v>
          </cell>
        </row>
        <row r="35">
          <cell r="A35" t="str">
            <v>קווי ביוב</v>
          </cell>
          <cell r="B35">
            <v>18479375</v>
          </cell>
          <cell r="C35">
            <v>88877600</v>
          </cell>
          <cell r="D35">
            <v>155803000</v>
          </cell>
          <cell r="E35">
            <v>47014481</v>
          </cell>
          <cell r="F35">
            <v>9700030</v>
          </cell>
          <cell r="G35">
            <v>11237602</v>
          </cell>
          <cell r="H35">
            <v>14541290</v>
          </cell>
          <cell r="I35">
            <v>325933630</v>
          </cell>
          <cell r="J35">
            <v>4194760</v>
          </cell>
          <cell r="K35">
            <v>13760282</v>
          </cell>
          <cell r="L35">
            <v>21813700</v>
          </cell>
          <cell r="M35">
            <v>7787210</v>
          </cell>
          <cell r="N35">
            <v>8583278</v>
          </cell>
          <cell r="O35">
            <v>18956348</v>
          </cell>
          <cell r="P35">
            <v>4414788</v>
          </cell>
          <cell r="Q35">
            <v>11979695</v>
          </cell>
          <cell r="R35">
            <v>19662110</v>
          </cell>
          <cell r="S35">
            <v>71279110</v>
          </cell>
          <cell r="T35">
            <v>121786745</v>
          </cell>
          <cell r="U35">
            <v>14757950</v>
          </cell>
          <cell r="V35">
            <v>66503770</v>
          </cell>
          <cell r="W35">
            <v>11681850</v>
          </cell>
          <cell r="X35">
            <v>11100400</v>
          </cell>
          <cell r="Y35">
            <v>19506460</v>
          </cell>
          <cell r="Z35">
            <v>17799470</v>
          </cell>
          <cell r="AA35">
            <v>14101857</v>
          </cell>
          <cell r="AB35">
            <v>5939500</v>
          </cell>
          <cell r="AC35">
            <v>4362400</v>
          </cell>
          <cell r="AD35">
            <v>17631006</v>
          </cell>
          <cell r="AE35">
            <v>21535938</v>
          </cell>
          <cell r="AF35">
            <v>44795745</v>
          </cell>
          <cell r="AG35">
            <v>8413040</v>
          </cell>
          <cell r="AH35">
            <v>33323955</v>
          </cell>
          <cell r="AI35">
            <v>6274890</v>
          </cell>
          <cell r="AJ35">
            <v>7078080</v>
          </cell>
          <cell r="AK35">
            <v>4029400</v>
          </cell>
          <cell r="AL35">
            <v>7913312</v>
          </cell>
          <cell r="AM35">
            <v>31847470</v>
          </cell>
          <cell r="AN35">
            <v>12825660</v>
          </cell>
          <cell r="AO35">
            <v>9459360</v>
          </cell>
          <cell r="AP35">
            <v>12547785</v>
          </cell>
          <cell r="AQ35">
            <v>52787635</v>
          </cell>
          <cell r="AR35">
            <v>13383500</v>
          </cell>
          <cell r="AS35">
            <v>6395090</v>
          </cell>
          <cell r="AT35">
            <v>25623698</v>
          </cell>
          <cell r="AU35">
            <v>4653892</v>
          </cell>
          <cell r="AV35">
            <v>5627991</v>
          </cell>
          <cell r="AW35">
            <v>18661490</v>
          </cell>
          <cell r="AX35">
            <v>8616790</v>
          </cell>
          <cell r="AY35">
            <v>4531112</v>
          </cell>
          <cell r="AZ35">
            <v>27024950</v>
          </cell>
          <cell r="BA35">
            <v>11326910</v>
          </cell>
          <cell r="BB35">
            <v>57187846</v>
          </cell>
          <cell r="BC35">
            <v>49798175</v>
          </cell>
          <cell r="BD35">
            <v>12660489</v>
          </cell>
          <cell r="BE35">
            <v>26473650</v>
          </cell>
          <cell r="BF35">
            <v>52126647</v>
          </cell>
          <cell r="BG35">
            <v>106003750</v>
          </cell>
          <cell r="BH35">
            <v>58919047</v>
          </cell>
          <cell r="BI35">
            <v>28959000</v>
          </cell>
          <cell r="BJ35">
            <v>57187846</v>
          </cell>
          <cell r="BK35">
            <v>12660489</v>
          </cell>
          <cell r="BL35">
            <v>9700000</v>
          </cell>
          <cell r="BM35">
            <v>86446162</v>
          </cell>
          <cell r="BN35">
            <v>21451420</v>
          </cell>
          <cell r="BO35">
            <v>44208948</v>
          </cell>
          <cell r="BP35">
            <v>48323342</v>
          </cell>
          <cell r="BQ35">
            <v>78598380</v>
          </cell>
          <cell r="BR35">
            <v>17799470</v>
          </cell>
          <cell r="BS35">
            <v>134011733</v>
          </cell>
          <cell r="BU35">
            <v>490983846</v>
          </cell>
          <cell r="BV35">
            <v>655991780</v>
          </cell>
          <cell r="BW35">
            <v>26213714</v>
          </cell>
          <cell r="BX35">
            <v>52332750</v>
          </cell>
          <cell r="BY35">
            <v>37187100</v>
          </cell>
          <cell r="BZ35">
            <v>40820450</v>
          </cell>
          <cell r="CA35">
            <v>16850205</v>
          </cell>
          <cell r="CB35">
            <v>22773220</v>
          </cell>
          <cell r="CC35">
            <v>26220770</v>
          </cell>
          <cell r="CD35">
            <v>12119750</v>
          </cell>
          <cell r="CE35">
            <v>127672130</v>
          </cell>
          <cell r="CF35">
            <v>6993355</v>
          </cell>
          <cell r="CG35">
            <v>40263170</v>
          </cell>
          <cell r="CH35">
            <v>24217166</v>
          </cell>
          <cell r="CI35">
            <v>29583290</v>
          </cell>
          <cell r="CJ35">
            <v>67694470</v>
          </cell>
          <cell r="CK35">
            <v>4414788</v>
          </cell>
          <cell r="CL35">
            <v>27068000</v>
          </cell>
          <cell r="CM35">
            <v>13932250</v>
          </cell>
          <cell r="CN35">
            <v>6913760</v>
          </cell>
          <cell r="CO35">
            <v>17400465</v>
          </cell>
          <cell r="CP35">
            <v>19295704</v>
          </cell>
          <cell r="CQ35">
            <v>16011050</v>
          </cell>
          <cell r="CR35">
            <v>21085870</v>
          </cell>
          <cell r="CS35">
            <v>15871750</v>
          </cell>
          <cell r="CT35">
            <v>18219870</v>
          </cell>
          <cell r="CU35">
            <v>11781000</v>
          </cell>
          <cell r="CV35">
            <v>23365502</v>
          </cell>
          <cell r="CW35">
            <v>106135309</v>
          </cell>
          <cell r="CX35">
            <v>12060340</v>
          </cell>
          <cell r="CY35">
            <v>10862140</v>
          </cell>
          <cell r="CZ35">
            <v>10849020</v>
          </cell>
          <cell r="DA35">
            <v>25645460</v>
          </cell>
          <cell r="DB35">
            <v>9746220</v>
          </cell>
          <cell r="DC35">
            <v>13643473</v>
          </cell>
          <cell r="DD35">
            <v>10211310</v>
          </cell>
          <cell r="DE35">
            <v>33197583</v>
          </cell>
          <cell r="DF35">
            <v>160156336</v>
          </cell>
          <cell r="DG35">
            <v>11245400</v>
          </cell>
          <cell r="DH35">
            <v>71376557</v>
          </cell>
          <cell r="DI35">
            <v>45589475</v>
          </cell>
          <cell r="DJ35">
            <v>29860088</v>
          </cell>
          <cell r="DK35">
            <v>218730440</v>
          </cell>
          <cell r="DL35">
            <v>176850212</v>
          </cell>
          <cell r="DM35">
            <v>13386932</v>
          </cell>
          <cell r="DO35">
            <v>45072055</v>
          </cell>
          <cell r="DP35">
            <v>110352835</v>
          </cell>
          <cell r="DQ35">
            <v>25807135</v>
          </cell>
          <cell r="DR35">
            <v>11438268</v>
          </cell>
          <cell r="DS35">
            <v>11523615</v>
          </cell>
          <cell r="DT35">
            <v>50391795</v>
          </cell>
          <cell r="DU35">
            <v>110149930</v>
          </cell>
          <cell r="DV35">
            <v>37582006</v>
          </cell>
          <cell r="DW35">
            <v>51871875</v>
          </cell>
          <cell r="DY35">
            <v>14681700</v>
          </cell>
          <cell r="DZ35">
            <v>13845667</v>
          </cell>
          <cell r="EA35">
            <v>6124674</v>
          </cell>
          <cell r="EB35">
            <v>26473650</v>
          </cell>
          <cell r="EC35">
            <v>41834176</v>
          </cell>
          <cell r="ED35">
            <v>27587540</v>
          </cell>
          <cell r="EE35">
            <v>13559190</v>
          </cell>
          <cell r="EF35">
            <v>10867250</v>
          </cell>
          <cell r="EG35">
            <v>4938600</v>
          </cell>
          <cell r="EH35">
            <v>14223950</v>
          </cell>
          <cell r="EI35">
            <v>33865664</v>
          </cell>
          <cell r="EJ35">
            <v>8326980</v>
          </cell>
          <cell r="EK35">
            <v>44845430</v>
          </cell>
          <cell r="EM35">
            <v>25856950</v>
          </cell>
          <cell r="EN35">
            <v>59516975</v>
          </cell>
          <cell r="EO35">
            <v>11100400</v>
          </cell>
          <cell r="EP35">
            <v>11326910</v>
          </cell>
          <cell r="EQ35">
            <v>30968512</v>
          </cell>
          <cell r="ER35">
            <v>26970802</v>
          </cell>
          <cell r="ES35">
            <v>32988050</v>
          </cell>
          <cell r="ET35">
            <v>45404940</v>
          </cell>
          <cell r="EU35">
            <v>21414550</v>
          </cell>
          <cell r="EV35">
            <v>15325180</v>
          </cell>
          <cell r="EW35">
            <v>14887498</v>
          </cell>
          <cell r="EX35">
            <v>10381140</v>
          </cell>
          <cell r="EY35">
            <v>11733305</v>
          </cell>
          <cell r="EZ35">
            <v>8413040</v>
          </cell>
          <cell r="FA35">
            <v>599215040</v>
          </cell>
          <cell r="FB35">
            <v>9866473</v>
          </cell>
          <cell r="FC35">
            <v>29174920</v>
          </cell>
          <cell r="FD35">
            <v>18587750</v>
          </cell>
          <cell r="FE35">
            <v>1214000</v>
          </cell>
          <cell r="FF35">
            <v>78598380</v>
          </cell>
          <cell r="FG35">
            <v>20487299</v>
          </cell>
          <cell r="FH35">
            <v>15034725</v>
          </cell>
          <cell r="FI35">
            <v>34174278</v>
          </cell>
          <cell r="FJ35">
            <v>2391407</v>
          </cell>
          <cell r="FK35">
            <v>25802100</v>
          </cell>
          <cell r="FL35">
            <v>240843054</v>
          </cell>
          <cell r="FM35">
            <v>18746240</v>
          </cell>
          <cell r="FN35">
            <v>6726872</v>
          </cell>
          <cell r="FO35">
            <v>5939500</v>
          </cell>
          <cell r="FP35">
            <v>7654750</v>
          </cell>
          <cell r="FQ35">
            <v>8626739</v>
          </cell>
          <cell r="FS35">
            <v>4653892</v>
          </cell>
          <cell r="FT35">
            <v>9002360</v>
          </cell>
          <cell r="FU35">
            <v>17641226</v>
          </cell>
          <cell r="FV35">
            <v>11889420</v>
          </cell>
          <cell r="FW35">
            <v>24152225</v>
          </cell>
          <cell r="FX35">
            <v>33649150</v>
          </cell>
          <cell r="FY35">
            <v>56654750</v>
          </cell>
          <cell r="FZ35">
            <v>9553750</v>
          </cell>
          <cell r="GB35">
            <v>4150435</v>
          </cell>
          <cell r="GC35">
            <v>11065861</v>
          </cell>
          <cell r="GD35">
            <v>11065861</v>
          </cell>
          <cell r="GE35">
            <v>11065861</v>
          </cell>
          <cell r="GF35">
            <v>22744520</v>
          </cell>
        </row>
        <row r="36">
          <cell r="A36" t="str">
            <v>תחנות שאיבה</v>
          </cell>
          <cell r="B36">
            <v>1944826</v>
          </cell>
          <cell r="C36">
            <v>29485000</v>
          </cell>
          <cell r="D36">
            <v>33591000</v>
          </cell>
          <cell r="E36">
            <v>0</v>
          </cell>
          <cell r="F36">
            <v>0</v>
          </cell>
          <cell r="G36">
            <v>954579</v>
          </cell>
          <cell r="H36">
            <v>0</v>
          </cell>
          <cell r="I36">
            <v>18898410</v>
          </cell>
          <cell r="J36">
            <v>0</v>
          </cell>
          <cell r="M36">
            <v>0</v>
          </cell>
          <cell r="N36">
            <v>600000</v>
          </cell>
          <cell r="O36">
            <v>899690</v>
          </cell>
          <cell r="P36">
            <v>820000</v>
          </cell>
          <cell r="Q36">
            <v>150000</v>
          </cell>
          <cell r="R36">
            <v>1850000</v>
          </cell>
          <cell r="S36">
            <v>1080000</v>
          </cell>
          <cell r="T36">
            <v>16500000</v>
          </cell>
          <cell r="U36">
            <v>517000</v>
          </cell>
          <cell r="V36">
            <v>6934000</v>
          </cell>
          <cell r="W36">
            <v>496800</v>
          </cell>
          <cell r="X36">
            <v>350000</v>
          </cell>
          <cell r="Y36">
            <v>984614</v>
          </cell>
          <cell r="Z36">
            <v>2854303</v>
          </cell>
          <cell r="AA36">
            <v>585601</v>
          </cell>
          <cell r="AB36">
            <v>0</v>
          </cell>
          <cell r="AC36">
            <v>0</v>
          </cell>
          <cell r="AD36">
            <v>1807470</v>
          </cell>
          <cell r="AE36">
            <v>2723300</v>
          </cell>
          <cell r="AF36">
            <v>10872848</v>
          </cell>
          <cell r="AG36">
            <v>103464</v>
          </cell>
          <cell r="AH36">
            <v>8769122</v>
          </cell>
          <cell r="AI36">
            <v>1170000</v>
          </cell>
          <cell r="AJ36">
            <v>0</v>
          </cell>
          <cell r="AK36">
            <v>1403637</v>
          </cell>
          <cell r="AL36">
            <v>0</v>
          </cell>
          <cell r="AM36">
            <v>559490</v>
          </cell>
          <cell r="AN36">
            <v>0</v>
          </cell>
          <cell r="AO36">
            <v>842478</v>
          </cell>
          <cell r="AP36">
            <v>2600000</v>
          </cell>
          <cell r="AQ36">
            <v>570000</v>
          </cell>
          <cell r="AR36">
            <v>0</v>
          </cell>
          <cell r="AS36">
            <v>1011673</v>
          </cell>
          <cell r="AT36">
            <v>5416935</v>
          </cell>
          <cell r="AU36">
            <v>180000</v>
          </cell>
          <cell r="AV36">
            <v>150000</v>
          </cell>
          <cell r="AX36">
            <v>913752</v>
          </cell>
          <cell r="AY36">
            <v>83760</v>
          </cell>
          <cell r="AZ36">
            <v>495000</v>
          </cell>
          <cell r="BA36">
            <v>7700000</v>
          </cell>
          <cell r="BB36">
            <v>9748000</v>
          </cell>
          <cell r="BC36">
            <v>2460000</v>
          </cell>
          <cell r="BD36">
            <v>0</v>
          </cell>
          <cell r="BE36">
            <v>6313200</v>
          </cell>
          <cell r="BF36">
            <v>5378399</v>
          </cell>
          <cell r="BG36">
            <v>12450000</v>
          </cell>
          <cell r="BH36">
            <v>1709413</v>
          </cell>
          <cell r="BJ36">
            <v>9748000</v>
          </cell>
          <cell r="BN36">
            <v>800000</v>
          </cell>
          <cell r="BO36">
            <v>4465155</v>
          </cell>
          <cell r="BP36">
            <v>8611264</v>
          </cell>
          <cell r="BQ36">
            <v>10735630</v>
          </cell>
          <cell r="BR36">
            <v>2854303</v>
          </cell>
          <cell r="BS36">
            <v>3105560</v>
          </cell>
          <cell r="BU36">
            <v>36119792</v>
          </cell>
          <cell r="BV36">
            <v>28851523</v>
          </cell>
          <cell r="BW36">
            <v>355097</v>
          </cell>
          <cell r="BX36">
            <v>1409386</v>
          </cell>
          <cell r="BY36">
            <v>3607000</v>
          </cell>
          <cell r="BZ36">
            <v>7149500</v>
          </cell>
          <cell r="CB36">
            <v>7945000</v>
          </cell>
          <cell r="CC36">
            <v>5079085</v>
          </cell>
          <cell r="CD36">
            <v>1998000</v>
          </cell>
          <cell r="CE36">
            <v>11694301</v>
          </cell>
          <cell r="CF36">
            <v>0</v>
          </cell>
          <cell r="CG36">
            <v>2546797</v>
          </cell>
          <cell r="CH36">
            <v>16500000</v>
          </cell>
          <cell r="CI36">
            <v>7678400</v>
          </cell>
          <cell r="CJ36">
            <v>7100000</v>
          </cell>
          <cell r="CK36">
            <v>820000</v>
          </cell>
          <cell r="CL36">
            <v>5651000</v>
          </cell>
          <cell r="CM36">
            <v>1998000</v>
          </cell>
          <cell r="CN36">
            <v>700000</v>
          </cell>
          <cell r="CP36">
            <v>2775680</v>
          </cell>
          <cell r="CR36">
            <v>4040460</v>
          </cell>
          <cell r="CS36">
            <v>5028000</v>
          </cell>
          <cell r="CU36">
            <v>1776000</v>
          </cell>
          <cell r="CV36">
            <v>1192840</v>
          </cell>
          <cell r="CW36">
            <v>11423500</v>
          </cell>
          <cell r="CY36">
            <v>1170069</v>
          </cell>
          <cell r="CZ36">
            <v>332012</v>
          </cell>
          <cell r="DC36">
            <v>1463800</v>
          </cell>
          <cell r="DD36">
            <v>1127517</v>
          </cell>
          <cell r="DE36">
            <v>934703</v>
          </cell>
          <cell r="DF36">
            <v>6234535</v>
          </cell>
          <cell r="DH36">
            <v>7663310</v>
          </cell>
          <cell r="DI36">
            <v>322000</v>
          </cell>
          <cell r="DJ36">
            <v>4450000</v>
          </cell>
          <cell r="DL36">
            <v>51356500</v>
          </cell>
          <cell r="DM36">
            <v>4400000</v>
          </cell>
          <cell r="DO36">
            <v>915329</v>
          </cell>
          <cell r="DP36">
            <v>9352147</v>
          </cell>
          <cell r="DQ36">
            <v>2400000</v>
          </cell>
          <cell r="DT36">
            <v>850000</v>
          </cell>
          <cell r="DU36">
            <v>8669198</v>
          </cell>
          <cell r="DW36">
            <v>7290000</v>
          </cell>
          <cell r="DY36">
            <v>6144784</v>
          </cell>
          <cell r="DZ36">
            <v>4448000</v>
          </cell>
          <cell r="EA36">
            <v>552000</v>
          </cell>
          <cell r="EB36">
            <v>6313200</v>
          </cell>
          <cell r="EC36">
            <v>2750000</v>
          </cell>
          <cell r="ED36">
            <v>3260000</v>
          </cell>
          <cell r="EE36">
            <v>1048561</v>
          </cell>
          <cell r="EF36">
            <v>1864012</v>
          </cell>
          <cell r="EG36">
            <v>3380000</v>
          </cell>
          <cell r="EI36">
            <v>2081296</v>
          </cell>
          <cell r="EK36">
            <v>1500000</v>
          </cell>
          <cell r="EM36">
            <v>2400000</v>
          </cell>
          <cell r="EN36">
            <v>11263980</v>
          </cell>
          <cell r="EO36">
            <v>350000</v>
          </cell>
          <cell r="EP36">
            <v>7700000</v>
          </cell>
          <cell r="EQ36">
            <v>2341000</v>
          </cell>
          <cell r="ER36">
            <v>2000000</v>
          </cell>
          <cell r="ES36">
            <v>3600000</v>
          </cell>
          <cell r="ET36">
            <v>7112064</v>
          </cell>
          <cell r="EU36">
            <v>2377224</v>
          </cell>
          <cell r="EV36">
            <v>3753003</v>
          </cell>
          <cell r="EW36">
            <v>3300000</v>
          </cell>
          <cell r="EY36">
            <v>447820</v>
          </cell>
          <cell r="EZ36">
            <v>103464</v>
          </cell>
          <cell r="FA36">
            <v>18159000</v>
          </cell>
          <cell r="FB36">
            <v>1650000</v>
          </cell>
          <cell r="FC36">
            <v>556000</v>
          </cell>
          <cell r="FD36">
            <v>212500</v>
          </cell>
          <cell r="FF36">
            <v>10735630</v>
          </cell>
          <cell r="FG36">
            <v>2253935</v>
          </cell>
          <cell r="FH36">
            <v>793200</v>
          </cell>
          <cell r="FI36">
            <v>7799697</v>
          </cell>
          <cell r="FJ36">
            <v>1300000</v>
          </cell>
          <cell r="FK36">
            <v>990000</v>
          </cell>
          <cell r="FL36">
            <v>30423000</v>
          </cell>
          <cell r="FN36">
            <v>1231519</v>
          </cell>
          <cell r="FQ36">
            <v>962300</v>
          </cell>
          <cell r="FS36">
            <v>180000</v>
          </cell>
          <cell r="FY36">
            <v>7804000</v>
          </cell>
          <cell r="FZ36">
            <v>3017270</v>
          </cell>
          <cell r="GB36">
            <v>165000</v>
          </cell>
          <cell r="GC36">
            <v>311567.66666666669</v>
          </cell>
          <cell r="GD36">
            <v>311567.66666666669</v>
          </cell>
          <cell r="GE36">
            <v>311567.66666666669</v>
          </cell>
          <cell r="GF36">
            <v>4149000</v>
          </cell>
        </row>
        <row r="37">
          <cell r="A37" t="str">
            <v xml:space="preserve">מכון טיהור </v>
          </cell>
          <cell r="B37">
            <v>20486000</v>
          </cell>
          <cell r="C37">
            <v>92773500</v>
          </cell>
          <cell r="D37">
            <v>0</v>
          </cell>
          <cell r="E37">
            <v>14079771</v>
          </cell>
          <cell r="F37">
            <v>0</v>
          </cell>
          <cell r="G37">
            <v>2900900</v>
          </cell>
          <cell r="H37">
            <v>5680727</v>
          </cell>
          <cell r="I37">
            <v>67138854</v>
          </cell>
          <cell r="J37">
            <v>2101458</v>
          </cell>
          <cell r="L37">
            <v>20591747</v>
          </cell>
          <cell r="M37">
            <v>5278519</v>
          </cell>
          <cell r="N37">
            <v>7323113</v>
          </cell>
          <cell r="P37">
            <v>0</v>
          </cell>
          <cell r="Q37">
            <v>294229</v>
          </cell>
          <cell r="R37">
            <v>1222100</v>
          </cell>
          <cell r="S37">
            <v>51757650</v>
          </cell>
          <cell r="T37">
            <v>101856412</v>
          </cell>
          <cell r="U37">
            <v>0</v>
          </cell>
          <cell r="V37">
            <v>26157000</v>
          </cell>
          <cell r="W37">
            <v>0</v>
          </cell>
          <cell r="X37">
            <v>2090551</v>
          </cell>
          <cell r="Y37">
            <v>3917749</v>
          </cell>
          <cell r="Z37">
            <v>4353392</v>
          </cell>
          <cell r="AA37">
            <v>6885392</v>
          </cell>
          <cell r="AB37">
            <v>0</v>
          </cell>
          <cell r="AC37">
            <v>0</v>
          </cell>
          <cell r="AD37">
            <v>0</v>
          </cell>
          <cell r="AE37">
            <v>0</v>
          </cell>
          <cell r="AF37">
            <v>0</v>
          </cell>
          <cell r="AG37">
            <v>912440</v>
          </cell>
          <cell r="AH37">
            <v>22237494</v>
          </cell>
          <cell r="AI37">
            <v>1474303</v>
          </cell>
          <cell r="AJ37">
            <v>13625619</v>
          </cell>
          <cell r="AK37">
            <v>982869</v>
          </cell>
          <cell r="AL37">
            <v>4600000</v>
          </cell>
          <cell r="AM37">
            <v>3504900</v>
          </cell>
          <cell r="AN37">
            <v>2594000</v>
          </cell>
          <cell r="AO37">
            <v>0</v>
          </cell>
          <cell r="AP37">
            <v>11189298</v>
          </cell>
          <cell r="AQ37">
            <v>0</v>
          </cell>
          <cell r="AR37">
            <v>13926304</v>
          </cell>
          <cell r="AS37">
            <v>0</v>
          </cell>
          <cell r="AT37">
            <v>10933766</v>
          </cell>
          <cell r="AU37">
            <v>4800000</v>
          </cell>
          <cell r="AV37">
            <v>5869000</v>
          </cell>
          <cell r="AW37">
            <v>2837900</v>
          </cell>
          <cell r="AY37">
            <v>894836</v>
          </cell>
          <cell r="AZ37">
            <v>21658000</v>
          </cell>
          <cell r="BA37">
            <v>12250000</v>
          </cell>
          <cell r="BC37">
            <v>21645022</v>
          </cell>
          <cell r="BD37">
            <v>460564</v>
          </cell>
          <cell r="BF37">
            <v>51283869</v>
          </cell>
          <cell r="BG37">
            <v>82320000</v>
          </cell>
          <cell r="BH37">
            <v>40460389</v>
          </cell>
          <cell r="BI37">
            <v>17785000</v>
          </cell>
          <cell r="BK37">
            <v>460564</v>
          </cell>
          <cell r="BQ37">
            <v>37395897</v>
          </cell>
          <cell r="BR37">
            <v>4353392</v>
          </cell>
          <cell r="BU37">
            <v>0</v>
          </cell>
          <cell r="BV37">
            <v>432904000</v>
          </cell>
          <cell r="BW37">
            <v>10599870</v>
          </cell>
          <cell r="BX37">
            <v>16325000</v>
          </cell>
          <cell r="BY37">
            <v>8747000</v>
          </cell>
          <cell r="BZ37">
            <v>0</v>
          </cell>
          <cell r="CA37">
            <v>7320732</v>
          </cell>
          <cell r="CB37">
            <v>10726624</v>
          </cell>
          <cell r="CE37">
            <v>0</v>
          </cell>
          <cell r="CF37">
            <v>4542146</v>
          </cell>
          <cell r="CG37">
            <v>0</v>
          </cell>
          <cell r="CH37">
            <v>0</v>
          </cell>
          <cell r="CI37">
            <v>0</v>
          </cell>
          <cell r="CJ37">
            <v>0</v>
          </cell>
          <cell r="CK37">
            <v>0</v>
          </cell>
          <cell r="CL37">
            <v>6000000</v>
          </cell>
          <cell r="CM37">
            <v>5300000</v>
          </cell>
          <cell r="CO37">
            <v>21645000</v>
          </cell>
          <cell r="CR37">
            <v>5155782</v>
          </cell>
          <cell r="CS37">
            <v>16034000</v>
          </cell>
          <cell r="CT37">
            <v>10599670</v>
          </cell>
          <cell r="CV37">
            <v>10599670</v>
          </cell>
          <cell r="CW37">
            <v>95383000</v>
          </cell>
          <cell r="DA37">
            <v>5229094</v>
          </cell>
          <cell r="DB37">
            <v>4446484</v>
          </cell>
          <cell r="DC37">
            <v>13963678</v>
          </cell>
          <cell r="DD37">
            <v>5411255</v>
          </cell>
          <cell r="DE37">
            <v>10253517</v>
          </cell>
          <cell r="DH37">
            <v>100621271</v>
          </cell>
          <cell r="DL37">
            <v>100000000</v>
          </cell>
          <cell r="DO37">
            <v>14398000</v>
          </cell>
          <cell r="DR37">
            <v>5141448</v>
          </cell>
          <cell r="DS37">
            <v>1674643</v>
          </cell>
          <cell r="DT37">
            <v>70193000</v>
          </cell>
          <cell r="DU37">
            <v>33207753</v>
          </cell>
          <cell r="DV37">
            <v>2680000</v>
          </cell>
          <cell r="DW37">
            <v>14289696</v>
          </cell>
          <cell r="DY37">
            <v>353434</v>
          </cell>
          <cell r="DZ37">
            <v>4811909</v>
          </cell>
          <cell r="EC37">
            <v>1854493</v>
          </cell>
          <cell r="ED37">
            <v>9623818</v>
          </cell>
          <cell r="EE37">
            <v>1938120</v>
          </cell>
          <cell r="EK37">
            <v>19816904</v>
          </cell>
          <cell r="EM37">
            <v>4343523</v>
          </cell>
          <cell r="EN37">
            <v>16128000</v>
          </cell>
          <cell r="EO37">
            <v>2090551</v>
          </cell>
          <cell r="EP37">
            <v>12250000</v>
          </cell>
          <cell r="EQ37">
            <v>4127742</v>
          </cell>
          <cell r="ER37">
            <v>9662310</v>
          </cell>
          <cell r="ES37">
            <v>22000000</v>
          </cell>
          <cell r="ET37">
            <v>21979912</v>
          </cell>
          <cell r="EU37">
            <v>24934322</v>
          </cell>
          <cell r="EV37">
            <v>6793754</v>
          </cell>
          <cell r="EW37">
            <v>2850000</v>
          </cell>
          <cell r="EY37">
            <v>510700</v>
          </cell>
          <cell r="EZ37">
            <v>912440</v>
          </cell>
          <cell r="FC37">
            <v>10000000</v>
          </cell>
          <cell r="FF37">
            <v>37395897</v>
          </cell>
          <cell r="FG37">
            <v>7108126</v>
          </cell>
          <cell r="FH37">
            <v>4577026</v>
          </cell>
          <cell r="FK37">
            <v>9000000</v>
          </cell>
          <cell r="FP37">
            <v>7032354</v>
          </cell>
          <cell r="FS37">
            <v>4800000</v>
          </cell>
          <cell r="FT37">
            <v>7664788</v>
          </cell>
          <cell r="FU37">
            <v>25000000</v>
          </cell>
          <cell r="FY37">
            <v>25782000</v>
          </cell>
          <cell r="FZ37">
            <v>2457172</v>
          </cell>
          <cell r="GC37">
            <v>3417839</v>
          </cell>
          <cell r="GD37">
            <v>3417839</v>
          </cell>
          <cell r="GE37">
            <v>3417839</v>
          </cell>
        </row>
        <row r="38">
          <cell r="A38" t="str">
            <v>דיזל גנרטורים</v>
          </cell>
          <cell r="B38">
            <v>0</v>
          </cell>
          <cell r="C38">
            <v>1256700</v>
          </cell>
          <cell r="D38">
            <v>2300000</v>
          </cell>
          <cell r="E38">
            <v>0</v>
          </cell>
          <cell r="F38">
            <v>0</v>
          </cell>
          <cell r="G38">
            <v>97750</v>
          </cell>
          <cell r="H38">
            <v>0</v>
          </cell>
          <cell r="I38">
            <v>900000</v>
          </cell>
          <cell r="J38">
            <v>0</v>
          </cell>
          <cell r="M38">
            <v>0</v>
          </cell>
          <cell r="N38">
            <v>40000</v>
          </cell>
          <cell r="O38">
            <v>96275</v>
          </cell>
          <cell r="P38">
            <v>120000</v>
          </cell>
          <cell r="Q38">
            <v>0</v>
          </cell>
          <cell r="R38">
            <v>180000</v>
          </cell>
          <cell r="S38">
            <v>170000</v>
          </cell>
          <cell r="T38">
            <v>1905000</v>
          </cell>
          <cell r="U38">
            <v>0</v>
          </cell>
          <cell r="V38">
            <v>567000</v>
          </cell>
          <cell r="W38">
            <v>70000</v>
          </cell>
          <cell r="X38">
            <v>122500</v>
          </cell>
          <cell r="Y38">
            <v>0</v>
          </cell>
          <cell r="Z38">
            <v>378910</v>
          </cell>
          <cell r="AA38">
            <v>0</v>
          </cell>
          <cell r="AB38">
            <v>0</v>
          </cell>
          <cell r="AC38">
            <v>0</v>
          </cell>
          <cell r="AD38">
            <v>0</v>
          </cell>
          <cell r="AE38">
            <v>0</v>
          </cell>
          <cell r="AF38">
            <v>142500</v>
          </cell>
          <cell r="AG38">
            <v>0</v>
          </cell>
          <cell r="AH38">
            <v>926028</v>
          </cell>
          <cell r="AI38">
            <v>96000</v>
          </cell>
          <cell r="AJ38">
            <v>0</v>
          </cell>
          <cell r="AK38">
            <v>45000</v>
          </cell>
          <cell r="AL38">
            <v>0</v>
          </cell>
          <cell r="AM38">
            <v>0</v>
          </cell>
          <cell r="AN38">
            <v>0</v>
          </cell>
          <cell r="AO38">
            <v>116078</v>
          </cell>
          <cell r="AP38">
            <v>260000</v>
          </cell>
          <cell r="AQ38">
            <v>90000</v>
          </cell>
          <cell r="AR38">
            <v>0</v>
          </cell>
          <cell r="AS38">
            <v>101435</v>
          </cell>
          <cell r="AT38">
            <v>140000</v>
          </cell>
          <cell r="AV38">
            <v>0</v>
          </cell>
          <cell r="AX38">
            <v>55944</v>
          </cell>
          <cell r="AZ38">
            <v>70000</v>
          </cell>
          <cell r="BA38">
            <v>215000</v>
          </cell>
          <cell r="BB38">
            <v>545000</v>
          </cell>
          <cell r="BC38">
            <v>87500</v>
          </cell>
          <cell r="BD38">
            <v>0</v>
          </cell>
          <cell r="BE38">
            <v>320000</v>
          </cell>
          <cell r="BF38">
            <v>446612</v>
          </cell>
          <cell r="BG38">
            <v>620000</v>
          </cell>
          <cell r="BH38">
            <v>20306</v>
          </cell>
          <cell r="BJ38">
            <v>545000</v>
          </cell>
          <cell r="BO38">
            <v>150000</v>
          </cell>
          <cell r="BP38">
            <v>1291000</v>
          </cell>
          <cell r="BQ38">
            <v>370000</v>
          </cell>
          <cell r="BR38">
            <v>378910</v>
          </cell>
          <cell r="BS38">
            <v>200000</v>
          </cell>
          <cell r="BU38">
            <v>1692000</v>
          </cell>
          <cell r="BW38">
            <v>8667</v>
          </cell>
          <cell r="BX38">
            <v>120000</v>
          </cell>
          <cell r="BY38">
            <v>0</v>
          </cell>
          <cell r="BZ38">
            <v>470000</v>
          </cell>
          <cell r="CB38">
            <v>435000</v>
          </cell>
          <cell r="CC38">
            <v>250000</v>
          </cell>
          <cell r="CD38">
            <v>0</v>
          </cell>
          <cell r="CE38">
            <v>665000</v>
          </cell>
          <cell r="CF38">
            <v>0</v>
          </cell>
          <cell r="CG38">
            <v>231248</v>
          </cell>
          <cell r="CH38">
            <v>815698</v>
          </cell>
          <cell r="CI38">
            <v>447000</v>
          </cell>
          <cell r="CJ38">
            <v>870000</v>
          </cell>
          <cell r="CK38">
            <v>120000</v>
          </cell>
          <cell r="CL38">
            <v>160000</v>
          </cell>
          <cell r="CN38">
            <v>212000</v>
          </cell>
          <cell r="CO38">
            <v>265000</v>
          </cell>
          <cell r="CR38">
            <v>600000</v>
          </cell>
          <cell r="CS38">
            <v>134000</v>
          </cell>
          <cell r="CU38">
            <v>130000</v>
          </cell>
          <cell r="CV38">
            <v>211750</v>
          </cell>
          <cell r="CW38">
            <v>565000</v>
          </cell>
          <cell r="CY38">
            <v>83905</v>
          </cell>
          <cell r="CZ38">
            <v>70670</v>
          </cell>
          <cell r="DC38">
            <v>82992</v>
          </cell>
          <cell r="DF38">
            <v>446900</v>
          </cell>
          <cell r="DH38">
            <v>785000</v>
          </cell>
          <cell r="DI38">
            <v>1800000</v>
          </cell>
          <cell r="DJ38">
            <v>215000</v>
          </cell>
          <cell r="DL38">
            <v>2443500</v>
          </cell>
          <cell r="DM38">
            <v>574600</v>
          </cell>
          <cell r="DP38">
            <v>751613</v>
          </cell>
          <cell r="DQ38">
            <v>302400</v>
          </cell>
          <cell r="DU38">
            <v>440000</v>
          </cell>
          <cell r="DW38">
            <v>890000</v>
          </cell>
          <cell r="EB38">
            <v>320000</v>
          </cell>
          <cell r="ED38">
            <v>223000</v>
          </cell>
          <cell r="EE38">
            <v>140000</v>
          </cell>
          <cell r="EF38">
            <v>65000</v>
          </cell>
          <cell r="EG38">
            <v>92350</v>
          </cell>
          <cell r="EK38">
            <v>185000</v>
          </cell>
          <cell r="EM38">
            <v>195000</v>
          </cell>
          <cell r="EN38">
            <v>615000</v>
          </cell>
          <cell r="EO38">
            <v>122500</v>
          </cell>
          <cell r="EP38">
            <v>215000</v>
          </cell>
          <cell r="EQ38">
            <v>285000</v>
          </cell>
          <cell r="ET38">
            <v>500000</v>
          </cell>
          <cell r="EU38">
            <v>242038</v>
          </cell>
          <cell r="EV38">
            <v>81804</v>
          </cell>
          <cell r="EW38">
            <v>270000</v>
          </cell>
          <cell r="EY38">
            <v>120000</v>
          </cell>
          <cell r="FA38">
            <v>645000</v>
          </cell>
          <cell r="FC38">
            <v>50000</v>
          </cell>
          <cell r="FD38">
            <v>160000</v>
          </cell>
          <cell r="FF38">
            <v>370000</v>
          </cell>
          <cell r="FH38">
            <v>76800</v>
          </cell>
          <cell r="FI38">
            <v>425756</v>
          </cell>
          <cell r="FJ38">
            <v>70000</v>
          </cell>
          <cell r="FL38">
            <v>1914000</v>
          </cell>
          <cell r="FQ38">
            <v>90620</v>
          </cell>
          <cell r="FY38">
            <v>483000</v>
          </cell>
          <cell r="FZ38">
            <v>200100</v>
          </cell>
          <cell r="GB38">
            <v>45000</v>
          </cell>
          <cell r="GC38">
            <v>0</v>
          </cell>
          <cell r="GD38">
            <v>0</v>
          </cell>
          <cell r="GE38">
            <v>0</v>
          </cell>
          <cell r="GF38">
            <v>337000</v>
          </cell>
        </row>
        <row r="39">
          <cell r="A39" t="str">
            <v>קו סניקה 40</v>
          </cell>
          <cell r="B39">
            <v>0</v>
          </cell>
          <cell r="C39">
            <v>5672060</v>
          </cell>
          <cell r="D39">
            <v>13800000</v>
          </cell>
          <cell r="E39">
            <v>0</v>
          </cell>
          <cell r="F39">
            <v>0</v>
          </cell>
          <cell r="G39">
            <v>0</v>
          </cell>
          <cell r="H39">
            <v>0</v>
          </cell>
          <cell r="I39">
            <v>15890038</v>
          </cell>
          <cell r="J39">
            <v>0</v>
          </cell>
          <cell r="M39">
            <v>0</v>
          </cell>
          <cell r="N39">
            <v>0</v>
          </cell>
          <cell r="P39">
            <v>0</v>
          </cell>
          <cell r="Q39">
            <v>0</v>
          </cell>
          <cell r="R39">
            <v>0</v>
          </cell>
          <cell r="S39">
            <v>8018570</v>
          </cell>
          <cell r="U39">
            <v>0</v>
          </cell>
          <cell r="W39">
            <v>0</v>
          </cell>
          <cell r="X39">
            <v>0</v>
          </cell>
          <cell r="Y39">
            <v>0</v>
          </cell>
          <cell r="AA39">
            <v>0</v>
          </cell>
          <cell r="AB39">
            <v>0</v>
          </cell>
          <cell r="AC39">
            <v>0</v>
          </cell>
          <cell r="AE39">
            <v>0</v>
          </cell>
          <cell r="AF39">
            <v>0</v>
          </cell>
          <cell r="AG39">
            <v>0</v>
          </cell>
          <cell r="AH39">
            <v>0</v>
          </cell>
          <cell r="AJ39">
            <v>0</v>
          </cell>
          <cell r="AK39">
            <v>0</v>
          </cell>
          <cell r="AL39">
            <v>0</v>
          </cell>
          <cell r="AM39">
            <v>0</v>
          </cell>
          <cell r="AN39">
            <v>0</v>
          </cell>
          <cell r="AO39">
            <v>0</v>
          </cell>
          <cell r="AP39">
            <v>0</v>
          </cell>
          <cell r="AQ39">
            <v>0</v>
          </cell>
          <cell r="AR39">
            <v>0</v>
          </cell>
          <cell r="AS39">
            <v>0</v>
          </cell>
          <cell r="AT39">
            <v>0</v>
          </cell>
          <cell r="BC39">
            <v>6137000</v>
          </cell>
          <cell r="BU39">
            <v>21880424</v>
          </cell>
          <cell r="BW39">
            <v>0</v>
          </cell>
          <cell r="BX39">
            <v>824100</v>
          </cell>
          <cell r="BY39">
            <v>0</v>
          </cell>
          <cell r="BZ39">
            <v>0</v>
          </cell>
          <cell r="CB39">
            <v>0</v>
          </cell>
          <cell r="CD39">
            <v>0</v>
          </cell>
          <cell r="CE39">
            <v>0</v>
          </cell>
          <cell r="CF39">
            <v>0</v>
          </cell>
          <cell r="CG39">
            <v>0</v>
          </cell>
          <cell r="CH39">
            <v>1538350</v>
          </cell>
          <cell r="CI39">
            <v>0</v>
          </cell>
          <cell r="CJ39">
            <v>0</v>
          </cell>
          <cell r="CK39">
            <v>0</v>
          </cell>
          <cell r="CV39">
            <v>785818</v>
          </cell>
          <cell r="DA39">
            <v>4144178</v>
          </cell>
          <cell r="DL39">
            <v>24110945</v>
          </cell>
          <cell r="DP39">
            <v>5823561</v>
          </cell>
          <cell r="DY39">
            <v>2535125</v>
          </cell>
          <cell r="ED39">
            <v>1372700</v>
          </cell>
          <cell r="EG39">
            <v>652375</v>
          </cell>
          <cell r="ET39">
            <v>2636800</v>
          </cell>
          <cell r="EU39">
            <v>195000</v>
          </cell>
          <cell r="EV39">
            <v>4622565</v>
          </cell>
          <cell r="FF39">
            <v>1933210</v>
          </cell>
          <cell r="GC39">
            <v>0</v>
          </cell>
          <cell r="GD39">
            <v>0</v>
          </cell>
          <cell r="GE39">
            <v>0</v>
          </cell>
        </row>
        <row r="40">
          <cell r="A40" t="str">
            <v>נכסים בהקמה</v>
          </cell>
          <cell r="B40">
            <v>0</v>
          </cell>
          <cell r="C40">
            <v>11828966</v>
          </cell>
          <cell r="D40">
            <v>910000</v>
          </cell>
          <cell r="E40">
            <v>0</v>
          </cell>
          <cell r="F40">
            <v>0</v>
          </cell>
          <cell r="G40">
            <v>0</v>
          </cell>
          <cell r="H40">
            <v>0</v>
          </cell>
          <cell r="I40">
            <v>0</v>
          </cell>
          <cell r="J40">
            <v>0</v>
          </cell>
          <cell r="M40">
            <v>0</v>
          </cell>
          <cell r="N40">
            <v>0</v>
          </cell>
          <cell r="P40">
            <v>0</v>
          </cell>
          <cell r="Q40">
            <v>0</v>
          </cell>
          <cell r="R40">
            <v>631600</v>
          </cell>
          <cell r="S40">
            <v>5059400</v>
          </cell>
          <cell r="U40">
            <v>0</v>
          </cell>
          <cell r="V40">
            <v>11400000</v>
          </cell>
          <cell r="W40">
            <v>0</v>
          </cell>
          <cell r="X40">
            <v>1350000</v>
          </cell>
          <cell r="Y40">
            <v>0</v>
          </cell>
          <cell r="Z40">
            <v>151868</v>
          </cell>
          <cell r="AA40">
            <v>0</v>
          </cell>
          <cell r="AB40">
            <v>0</v>
          </cell>
          <cell r="AC40">
            <v>0</v>
          </cell>
          <cell r="AD40">
            <v>0</v>
          </cell>
          <cell r="AE40">
            <v>0</v>
          </cell>
          <cell r="AF40">
            <v>0</v>
          </cell>
          <cell r="AG40">
            <v>0</v>
          </cell>
          <cell r="AH40">
            <v>0</v>
          </cell>
          <cell r="AI40">
            <v>464573</v>
          </cell>
          <cell r="AJ40">
            <v>0</v>
          </cell>
          <cell r="AK40">
            <v>1359715</v>
          </cell>
          <cell r="AL40">
            <v>0</v>
          </cell>
          <cell r="AM40">
            <v>0</v>
          </cell>
          <cell r="AN40">
            <v>0</v>
          </cell>
          <cell r="AO40">
            <v>0</v>
          </cell>
          <cell r="AP40">
            <v>0</v>
          </cell>
          <cell r="AQ40">
            <v>0</v>
          </cell>
          <cell r="AR40">
            <v>0</v>
          </cell>
          <cell r="AS40">
            <v>0</v>
          </cell>
          <cell r="AT40">
            <v>0</v>
          </cell>
          <cell r="AW40">
            <v>1473800</v>
          </cell>
          <cell r="AX40">
            <v>4054723</v>
          </cell>
          <cell r="BC40">
            <v>0</v>
          </cell>
          <cell r="BD40">
            <v>174161</v>
          </cell>
          <cell r="BF40">
            <v>5705950</v>
          </cell>
          <cell r="BI40">
            <v>4032000</v>
          </cell>
          <cell r="BK40">
            <v>174161</v>
          </cell>
          <cell r="BR40">
            <v>151868</v>
          </cell>
          <cell r="BU40">
            <v>1139160</v>
          </cell>
          <cell r="BW40">
            <v>0</v>
          </cell>
          <cell r="BX40">
            <v>0</v>
          </cell>
          <cell r="BY40">
            <v>0</v>
          </cell>
          <cell r="BZ40">
            <v>13959000</v>
          </cell>
          <cell r="CA40">
            <v>5635543</v>
          </cell>
          <cell r="CB40">
            <v>0</v>
          </cell>
          <cell r="CD40">
            <v>0</v>
          </cell>
          <cell r="CE40">
            <v>0</v>
          </cell>
          <cell r="CF40">
            <v>0</v>
          </cell>
          <cell r="CG40">
            <v>0</v>
          </cell>
          <cell r="CI40">
            <v>220000</v>
          </cell>
          <cell r="CJ40">
            <v>0</v>
          </cell>
          <cell r="CK40">
            <v>0</v>
          </cell>
          <cell r="CO40">
            <v>1829109</v>
          </cell>
          <cell r="CR40">
            <v>1800000</v>
          </cell>
          <cell r="DB40">
            <v>2020750</v>
          </cell>
          <cell r="DE40">
            <v>4138478</v>
          </cell>
          <cell r="DJ40">
            <v>2400000</v>
          </cell>
          <cell r="DK40">
            <v>7683000</v>
          </cell>
          <cell r="DL40">
            <v>311284</v>
          </cell>
          <cell r="DO40">
            <v>5881680</v>
          </cell>
          <cell r="DU40">
            <v>33207753</v>
          </cell>
          <cell r="EC40">
            <v>2000000</v>
          </cell>
          <cell r="EK40">
            <v>650000</v>
          </cell>
          <cell r="EN40">
            <v>5902869</v>
          </cell>
          <cell r="EO40">
            <v>1350000</v>
          </cell>
          <cell r="ER40">
            <v>1705000</v>
          </cell>
          <cell r="EV40">
            <v>0</v>
          </cell>
          <cell r="EX40">
            <v>402717</v>
          </cell>
          <cell r="EY40">
            <v>3627765</v>
          </cell>
          <cell r="FG40">
            <v>250939</v>
          </cell>
          <cell r="FH40">
            <v>1150000</v>
          </cell>
          <cell r="FT40">
            <v>1660000</v>
          </cell>
          <cell r="FZ40">
            <v>2012913</v>
          </cell>
          <cell r="GC40">
            <v>1379492.6666666667</v>
          </cell>
          <cell r="GD40">
            <v>1379492.6666666667</v>
          </cell>
          <cell r="GE40">
            <v>1379492.6666666667</v>
          </cell>
        </row>
        <row r="41">
          <cell r="A41" t="str">
            <v>שונות</v>
          </cell>
          <cell r="B41">
            <v>0</v>
          </cell>
          <cell r="D41">
            <v>1700000</v>
          </cell>
          <cell r="E41">
            <v>8936550</v>
          </cell>
          <cell r="F41">
            <v>0</v>
          </cell>
          <cell r="G41">
            <v>9938</v>
          </cell>
          <cell r="H41">
            <v>0</v>
          </cell>
          <cell r="I41">
            <v>200000</v>
          </cell>
          <cell r="J41">
            <v>0</v>
          </cell>
          <cell r="M41">
            <v>0</v>
          </cell>
          <cell r="N41">
            <v>0</v>
          </cell>
          <cell r="P41">
            <v>0</v>
          </cell>
          <cell r="Q41">
            <v>0</v>
          </cell>
          <cell r="R41">
            <v>0</v>
          </cell>
          <cell r="S41">
            <v>0</v>
          </cell>
          <cell r="T41">
            <v>500000</v>
          </cell>
          <cell r="U41">
            <v>0</v>
          </cell>
          <cell r="W41">
            <v>0</v>
          </cell>
          <cell r="X41">
            <v>0</v>
          </cell>
          <cell r="AA41">
            <v>0</v>
          </cell>
          <cell r="AB41">
            <v>0</v>
          </cell>
          <cell r="AC41">
            <v>0</v>
          </cell>
          <cell r="AD41">
            <v>0</v>
          </cell>
          <cell r="AE41">
            <v>0</v>
          </cell>
          <cell r="AF41">
            <v>0</v>
          </cell>
          <cell r="AG41">
            <v>0</v>
          </cell>
          <cell r="AH41">
            <v>0</v>
          </cell>
          <cell r="AJ41">
            <v>0</v>
          </cell>
          <cell r="AK41">
            <v>0</v>
          </cell>
          <cell r="AL41">
            <v>0</v>
          </cell>
          <cell r="AM41">
            <v>0</v>
          </cell>
          <cell r="AN41">
            <v>0</v>
          </cell>
          <cell r="AO41">
            <v>0</v>
          </cell>
          <cell r="AP41">
            <v>0</v>
          </cell>
          <cell r="AQ41">
            <v>0</v>
          </cell>
          <cell r="AR41">
            <v>0</v>
          </cell>
          <cell r="AS41">
            <v>0</v>
          </cell>
          <cell r="AT41">
            <v>0</v>
          </cell>
          <cell r="AX41">
            <v>0</v>
          </cell>
          <cell r="BD41">
            <v>7231355</v>
          </cell>
          <cell r="BE41">
            <v>3154</v>
          </cell>
          <cell r="BG41">
            <v>7920000</v>
          </cell>
          <cell r="BK41">
            <v>7231355</v>
          </cell>
          <cell r="BU41">
            <v>1129300</v>
          </cell>
          <cell r="BV41">
            <v>1054921</v>
          </cell>
          <cell r="BW41">
            <v>0</v>
          </cell>
          <cell r="BX41">
            <v>0</v>
          </cell>
          <cell r="BY41">
            <v>0</v>
          </cell>
          <cell r="BZ41">
            <v>0</v>
          </cell>
          <cell r="CA41">
            <v>856071</v>
          </cell>
          <cell r="CB41">
            <v>36000</v>
          </cell>
          <cell r="CD41">
            <v>0</v>
          </cell>
          <cell r="CE41">
            <v>0</v>
          </cell>
          <cell r="CF41">
            <v>0</v>
          </cell>
          <cell r="CG41">
            <v>1234175</v>
          </cell>
          <cell r="CH41">
            <v>108838</v>
          </cell>
          <cell r="CI41">
            <v>0</v>
          </cell>
          <cell r="CJ41">
            <v>0</v>
          </cell>
          <cell r="CK41">
            <v>0</v>
          </cell>
          <cell r="CU41">
            <v>1359000</v>
          </cell>
          <cell r="CW41">
            <v>6338143</v>
          </cell>
          <cell r="DK41">
            <v>1020101</v>
          </cell>
          <cell r="DT41">
            <v>95980</v>
          </cell>
          <cell r="DW41">
            <v>2000000</v>
          </cell>
          <cell r="EB41">
            <v>3154</v>
          </cell>
          <cell r="EF41">
            <v>4502162</v>
          </cell>
          <cell r="EN41">
            <v>584000</v>
          </cell>
          <cell r="FC41">
            <v>510000</v>
          </cell>
          <cell r="FL41">
            <v>3182000</v>
          </cell>
          <cell r="GC41">
            <v>0</v>
          </cell>
          <cell r="GD41">
            <v>0</v>
          </cell>
          <cell r="GE41">
            <v>0</v>
          </cell>
        </row>
        <row r="42">
          <cell r="A42" t="str">
            <v>מט"ש ומערכת אזור</v>
          </cell>
          <cell r="B42">
            <v>0</v>
          </cell>
          <cell r="D42">
            <v>0</v>
          </cell>
          <cell r="E42">
            <v>0</v>
          </cell>
          <cell r="F42">
            <v>0</v>
          </cell>
          <cell r="G42">
            <v>0</v>
          </cell>
          <cell r="H42">
            <v>0</v>
          </cell>
          <cell r="I42">
            <v>0</v>
          </cell>
          <cell r="AD42">
            <v>5793507</v>
          </cell>
          <cell r="AE42">
            <v>30691365</v>
          </cell>
          <cell r="AF42">
            <v>0</v>
          </cell>
          <cell r="AG42">
            <v>0</v>
          </cell>
          <cell r="AH42">
            <v>0</v>
          </cell>
          <cell r="AJ42">
            <v>0</v>
          </cell>
          <cell r="AK42">
            <v>0</v>
          </cell>
          <cell r="AL42">
            <v>0</v>
          </cell>
          <cell r="AM42">
            <v>0</v>
          </cell>
          <cell r="AN42">
            <v>0</v>
          </cell>
          <cell r="AO42">
            <v>0</v>
          </cell>
          <cell r="AP42">
            <v>0</v>
          </cell>
          <cell r="AQ42">
            <v>0</v>
          </cell>
          <cell r="AR42">
            <v>0</v>
          </cell>
          <cell r="AS42">
            <v>0</v>
          </cell>
          <cell r="AT42">
            <v>0</v>
          </cell>
          <cell r="AX42">
            <v>0</v>
          </cell>
          <cell r="BW42">
            <v>0</v>
          </cell>
          <cell r="BX42">
            <v>0</v>
          </cell>
          <cell r="BY42">
            <v>0</v>
          </cell>
          <cell r="BZ42">
            <v>0</v>
          </cell>
          <cell r="CD42">
            <v>0</v>
          </cell>
          <cell r="CE42">
            <v>0</v>
          </cell>
          <cell r="CF42">
            <v>0</v>
          </cell>
          <cell r="CG42">
            <v>0</v>
          </cell>
          <cell r="CH42">
            <v>0</v>
          </cell>
          <cell r="CI42">
            <v>0</v>
          </cell>
          <cell r="CJ42">
            <v>0</v>
          </cell>
          <cell r="CK42">
            <v>0</v>
          </cell>
          <cell r="CX42">
            <v>28576461</v>
          </cell>
          <cell r="DG42">
            <v>3847797</v>
          </cell>
          <cell r="EX42">
            <v>3345945</v>
          </cell>
          <cell r="FO42">
            <v>5367423</v>
          </cell>
          <cell r="FP42">
            <v>4132500</v>
          </cell>
          <cell r="FU42">
            <v>4905400</v>
          </cell>
          <cell r="GC42">
            <v>0</v>
          </cell>
          <cell r="GD42">
            <v>0</v>
          </cell>
          <cell r="GE42">
            <v>0</v>
          </cell>
        </row>
        <row r="43">
          <cell r="A43" t="str">
            <v>קו עודפים למט"ש נהריה</v>
          </cell>
          <cell r="B43">
            <v>0</v>
          </cell>
          <cell r="D43">
            <v>0</v>
          </cell>
          <cell r="E43">
            <v>0</v>
          </cell>
          <cell r="F43">
            <v>0</v>
          </cell>
          <cell r="G43">
            <v>0</v>
          </cell>
          <cell r="H43">
            <v>0</v>
          </cell>
          <cell r="I43">
            <v>0</v>
          </cell>
          <cell r="AG43">
            <v>364200</v>
          </cell>
          <cell r="AH43">
            <v>0</v>
          </cell>
          <cell r="AJ43">
            <v>0</v>
          </cell>
          <cell r="AK43">
            <v>0</v>
          </cell>
          <cell r="AL43">
            <v>0</v>
          </cell>
          <cell r="AM43">
            <v>0</v>
          </cell>
          <cell r="AN43">
            <v>0</v>
          </cell>
          <cell r="AO43">
            <v>0</v>
          </cell>
          <cell r="AP43">
            <v>0</v>
          </cell>
          <cell r="AQ43">
            <v>0</v>
          </cell>
          <cell r="AR43">
            <v>0</v>
          </cell>
          <cell r="AS43">
            <v>0</v>
          </cell>
          <cell r="AT43">
            <v>0</v>
          </cell>
          <cell r="BW43">
            <v>0</v>
          </cell>
          <cell r="BX43">
            <v>0</v>
          </cell>
          <cell r="BY43">
            <v>0</v>
          </cell>
          <cell r="BZ43">
            <v>0</v>
          </cell>
          <cell r="CB43">
            <v>0</v>
          </cell>
          <cell r="CD43">
            <v>0</v>
          </cell>
          <cell r="CE43">
            <v>0</v>
          </cell>
          <cell r="CF43">
            <v>0</v>
          </cell>
          <cell r="CG43">
            <v>0</v>
          </cell>
          <cell r="CH43">
            <v>0</v>
          </cell>
          <cell r="CI43">
            <v>0</v>
          </cell>
          <cell r="CJ43">
            <v>0</v>
          </cell>
          <cell r="CK43">
            <v>0</v>
          </cell>
          <cell r="EZ43">
            <v>364200</v>
          </cell>
          <cell r="GC43">
            <v>0</v>
          </cell>
          <cell r="GD43">
            <v>0</v>
          </cell>
          <cell r="GE43">
            <v>0</v>
          </cell>
        </row>
        <row r="44">
          <cell r="A44" t="str">
            <v>מאסף געתון - מעלות</v>
          </cell>
          <cell r="B44">
            <v>0</v>
          </cell>
          <cell r="D44">
            <v>0</v>
          </cell>
          <cell r="F44">
            <v>0</v>
          </cell>
          <cell r="G44">
            <v>0</v>
          </cell>
          <cell r="H44">
            <v>0</v>
          </cell>
          <cell r="I44">
            <v>0</v>
          </cell>
          <cell r="AG44">
            <v>323000</v>
          </cell>
          <cell r="AH44">
            <v>0</v>
          </cell>
          <cell r="AJ44">
            <v>0</v>
          </cell>
          <cell r="AK44">
            <v>0</v>
          </cell>
          <cell r="AL44">
            <v>0</v>
          </cell>
          <cell r="AM44">
            <v>0</v>
          </cell>
          <cell r="AN44">
            <v>0</v>
          </cell>
          <cell r="AO44">
            <v>0</v>
          </cell>
          <cell r="AP44">
            <v>0</v>
          </cell>
          <cell r="AQ44">
            <v>0</v>
          </cell>
          <cell r="AR44">
            <v>0</v>
          </cell>
          <cell r="AS44">
            <v>0</v>
          </cell>
          <cell r="AT44">
            <v>0</v>
          </cell>
          <cell r="BW44">
            <v>0</v>
          </cell>
          <cell r="BX44">
            <v>0</v>
          </cell>
          <cell r="BY44">
            <v>0</v>
          </cell>
          <cell r="BZ44">
            <v>0</v>
          </cell>
          <cell r="CB44">
            <v>0</v>
          </cell>
          <cell r="CD44">
            <v>0</v>
          </cell>
          <cell r="CE44">
            <v>0</v>
          </cell>
          <cell r="CF44">
            <v>0</v>
          </cell>
          <cell r="CG44">
            <v>0</v>
          </cell>
          <cell r="CH44">
            <v>0</v>
          </cell>
          <cell r="CI44">
            <v>0</v>
          </cell>
          <cell r="CJ44">
            <v>0</v>
          </cell>
          <cell r="CK44">
            <v>0</v>
          </cell>
          <cell r="EZ44">
            <v>323000</v>
          </cell>
          <cell r="GC44">
            <v>0</v>
          </cell>
          <cell r="GD44">
            <v>0</v>
          </cell>
          <cell r="GE44">
            <v>0</v>
          </cell>
        </row>
        <row r="45">
          <cell r="A45" t="str">
            <v>ביוב אזורי</v>
          </cell>
          <cell r="B45">
            <v>0</v>
          </cell>
          <cell r="D45">
            <v>0</v>
          </cell>
          <cell r="E45">
            <v>0</v>
          </cell>
          <cell r="F45">
            <v>0</v>
          </cell>
          <cell r="G45">
            <v>0</v>
          </cell>
          <cell r="H45">
            <v>0</v>
          </cell>
          <cell r="I45">
            <v>0</v>
          </cell>
          <cell r="AI45">
            <v>311100</v>
          </cell>
          <cell r="AK45">
            <v>1219900</v>
          </cell>
          <cell r="AL45">
            <v>0</v>
          </cell>
          <cell r="AM45">
            <v>0</v>
          </cell>
          <cell r="AN45">
            <v>0</v>
          </cell>
          <cell r="AO45">
            <v>0</v>
          </cell>
          <cell r="AP45">
            <v>0</v>
          </cell>
          <cell r="AQ45">
            <v>0</v>
          </cell>
          <cell r="AR45">
            <v>0</v>
          </cell>
          <cell r="AS45">
            <v>0</v>
          </cell>
          <cell r="AT45">
            <v>0</v>
          </cell>
          <cell r="AY45">
            <v>4879046</v>
          </cell>
          <cell r="BB45">
            <v>10600000</v>
          </cell>
          <cell r="BJ45">
            <v>10600000</v>
          </cell>
          <cell r="BW45">
            <v>0</v>
          </cell>
          <cell r="BX45">
            <v>0</v>
          </cell>
          <cell r="BY45">
            <v>0</v>
          </cell>
          <cell r="BZ45">
            <v>0</v>
          </cell>
          <cell r="CB45">
            <v>0</v>
          </cell>
          <cell r="CD45">
            <v>0</v>
          </cell>
          <cell r="CE45">
            <v>0</v>
          </cell>
          <cell r="CF45">
            <v>0</v>
          </cell>
          <cell r="CG45">
            <v>0</v>
          </cell>
          <cell r="CH45">
            <v>0</v>
          </cell>
          <cell r="CI45">
            <v>0</v>
          </cell>
          <cell r="CJ45">
            <v>0</v>
          </cell>
          <cell r="CK45">
            <v>0</v>
          </cell>
          <cell r="DA45">
            <v>2004435</v>
          </cell>
          <cell r="EE45">
            <v>1455190</v>
          </cell>
          <cell r="EY45">
            <v>1861524</v>
          </cell>
          <cell r="FR45">
            <v>17212000</v>
          </cell>
          <cell r="GC45">
            <v>0</v>
          </cell>
          <cell r="GD45">
            <v>0</v>
          </cell>
          <cell r="GE45">
            <v>0</v>
          </cell>
        </row>
        <row r="46">
          <cell r="A46" t="str">
            <v>קווי ביוב משותף עם מסד</v>
          </cell>
          <cell r="B46">
            <v>0</v>
          </cell>
          <cell r="D46">
            <v>0</v>
          </cell>
          <cell r="E46">
            <v>0</v>
          </cell>
          <cell r="F46">
            <v>0</v>
          </cell>
          <cell r="G46">
            <v>0</v>
          </cell>
          <cell r="H46">
            <v>0</v>
          </cell>
          <cell r="I46">
            <v>0</v>
          </cell>
          <cell r="AO46">
            <v>1854420</v>
          </cell>
          <cell r="BW46">
            <v>0</v>
          </cell>
          <cell r="BX46">
            <v>0</v>
          </cell>
          <cell r="BY46">
            <v>0</v>
          </cell>
          <cell r="BZ46">
            <v>0</v>
          </cell>
          <cell r="CB46">
            <v>0</v>
          </cell>
          <cell r="CD46">
            <v>0</v>
          </cell>
          <cell r="CE46">
            <v>0</v>
          </cell>
          <cell r="CF46">
            <v>0</v>
          </cell>
          <cell r="CG46">
            <v>0</v>
          </cell>
          <cell r="CH46">
            <v>0</v>
          </cell>
          <cell r="CI46">
            <v>0</v>
          </cell>
          <cell r="CJ46">
            <v>0</v>
          </cell>
          <cell r="CK46">
            <v>0</v>
          </cell>
          <cell r="FD46">
            <v>5147735</v>
          </cell>
          <cell r="GC46">
            <v>0</v>
          </cell>
          <cell r="GD46">
            <v>0</v>
          </cell>
          <cell r="GE46">
            <v>0</v>
          </cell>
        </row>
        <row r="47">
          <cell r="A47" t="str">
            <v>תחנות שאיבה משותף עם מסד</v>
          </cell>
          <cell r="AO47">
            <v>555881</v>
          </cell>
          <cell r="BW47">
            <v>0</v>
          </cell>
          <cell r="BX47">
            <v>0</v>
          </cell>
          <cell r="BY47">
            <v>0</v>
          </cell>
          <cell r="BZ47">
            <v>0</v>
          </cell>
          <cell r="CB47">
            <v>0</v>
          </cell>
          <cell r="CD47">
            <v>0</v>
          </cell>
          <cell r="CE47">
            <v>0</v>
          </cell>
          <cell r="CF47">
            <v>0</v>
          </cell>
          <cell r="CG47">
            <v>0</v>
          </cell>
          <cell r="CH47">
            <v>0</v>
          </cell>
          <cell r="CI47">
            <v>0</v>
          </cell>
          <cell r="CJ47">
            <v>0</v>
          </cell>
          <cell r="CK47">
            <v>0</v>
          </cell>
          <cell r="GC47">
            <v>0</v>
          </cell>
          <cell r="GD47">
            <v>0</v>
          </cell>
          <cell r="GE47">
            <v>0</v>
          </cell>
        </row>
        <row r="48">
          <cell r="A48" t="str">
            <v>דיזל גנרטורים משותף עם מסד</v>
          </cell>
          <cell r="AO48">
            <v>42091</v>
          </cell>
          <cell r="BW48">
            <v>0</v>
          </cell>
          <cell r="BX48">
            <v>0</v>
          </cell>
          <cell r="BY48">
            <v>0</v>
          </cell>
          <cell r="BZ48">
            <v>0</v>
          </cell>
          <cell r="CB48">
            <v>0</v>
          </cell>
          <cell r="CD48">
            <v>0</v>
          </cell>
          <cell r="CE48">
            <v>0</v>
          </cell>
          <cell r="CF48">
            <v>0</v>
          </cell>
          <cell r="CG48">
            <v>0</v>
          </cell>
          <cell r="CH48">
            <v>0</v>
          </cell>
          <cell r="CI48">
            <v>0</v>
          </cell>
          <cell r="CJ48">
            <v>0</v>
          </cell>
          <cell r="CK48">
            <v>0</v>
          </cell>
          <cell r="GC48">
            <v>0</v>
          </cell>
          <cell r="GD48">
            <v>0</v>
          </cell>
          <cell r="GE48">
            <v>0</v>
          </cell>
        </row>
        <row r="49">
          <cell r="A49" t="str">
            <v>מכון טיהור משותף עם מסד</v>
          </cell>
          <cell r="AO49">
            <v>3460632</v>
          </cell>
          <cell r="BX49">
            <v>0</v>
          </cell>
          <cell r="BY49">
            <v>0</v>
          </cell>
          <cell r="BZ49">
            <v>0</v>
          </cell>
          <cell r="CB49">
            <v>0</v>
          </cell>
          <cell r="CD49">
            <v>0</v>
          </cell>
          <cell r="CE49">
            <v>0</v>
          </cell>
          <cell r="CF49">
            <v>0</v>
          </cell>
          <cell r="CG49">
            <v>0</v>
          </cell>
          <cell r="CH49">
            <v>0</v>
          </cell>
          <cell r="CI49">
            <v>0</v>
          </cell>
          <cell r="CJ49">
            <v>0</v>
          </cell>
          <cell r="CK49">
            <v>0</v>
          </cell>
          <cell r="GC49">
            <v>0</v>
          </cell>
          <cell r="GD49">
            <v>0</v>
          </cell>
          <cell r="GE49">
            <v>0</v>
          </cell>
        </row>
        <row r="50">
          <cell r="A50" t="str">
            <v>מערכת אזורית</v>
          </cell>
          <cell r="R50">
            <v>1081680</v>
          </cell>
          <cell r="AW50">
            <v>2506563</v>
          </cell>
          <cell r="BV50">
            <v>141826000</v>
          </cell>
          <cell r="CE50">
            <v>0</v>
          </cell>
          <cell r="CF50">
            <v>0</v>
          </cell>
          <cell r="CG50">
            <v>0</v>
          </cell>
          <cell r="CH50">
            <v>0</v>
          </cell>
          <cell r="CI50">
            <v>0</v>
          </cell>
          <cell r="CJ50">
            <v>0</v>
          </cell>
          <cell r="CK50">
            <v>0</v>
          </cell>
          <cell r="DR50">
            <v>4364703</v>
          </cell>
          <cell r="FV50">
            <v>4649102</v>
          </cell>
          <cell r="GC50">
            <v>0</v>
          </cell>
          <cell r="GD50">
            <v>0</v>
          </cell>
          <cell r="GE50">
            <v>0</v>
          </cell>
        </row>
        <row r="51">
          <cell r="A51" t="str">
            <v>מט"ש</v>
          </cell>
          <cell r="AB51">
            <v>5367423</v>
          </cell>
          <cell r="AM51">
            <v>2931557</v>
          </cell>
          <cell r="AN51">
            <v>0</v>
          </cell>
          <cell r="AO51">
            <v>0</v>
          </cell>
          <cell r="AP51">
            <v>0</v>
          </cell>
          <cell r="AQ51">
            <v>0</v>
          </cell>
          <cell r="AR51">
            <v>0</v>
          </cell>
          <cell r="AS51">
            <v>0</v>
          </cell>
          <cell r="AT51">
            <v>0</v>
          </cell>
          <cell r="BW51">
            <v>0</v>
          </cell>
          <cell r="BX51">
            <v>0</v>
          </cell>
          <cell r="BY51">
            <v>0</v>
          </cell>
          <cell r="BZ51">
            <v>0</v>
          </cell>
          <cell r="CB51">
            <v>0</v>
          </cell>
          <cell r="CD51">
            <v>5300000</v>
          </cell>
          <cell r="CE51">
            <v>0</v>
          </cell>
          <cell r="CF51">
            <v>0</v>
          </cell>
          <cell r="CG51">
            <v>0</v>
          </cell>
          <cell r="CH51">
            <v>0</v>
          </cell>
          <cell r="CI51">
            <v>0</v>
          </cell>
          <cell r="CJ51">
            <v>0</v>
          </cell>
          <cell r="CK51">
            <v>0</v>
          </cell>
          <cell r="GC51">
            <v>0</v>
          </cell>
          <cell r="GD51">
            <v>0</v>
          </cell>
          <cell r="GE51">
            <v>0</v>
          </cell>
        </row>
        <row r="52">
          <cell r="A52" t="str">
            <v>סה"כ</v>
          </cell>
          <cell r="B52">
            <v>40910201</v>
          </cell>
          <cell r="C52">
            <v>229893826</v>
          </cell>
          <cell r="D52">
            <v>208104000</v>
          </cell>
          <cell r="E52">
            <v>70030802</v>
          </cell>
          <cell r="F52">
            <v>9700030</v>
          </cell>
          <cell r="G52">
            <v>15200769</v>
          </cell>
          <cell r="H52">
            <v>20222017</v>
          </cell>
          <cell r="I52">
            <v>428960932</v>
          </cell>
          <cell r="J52">
            <v>6296218</v>
          </cell>
          <cell r="K52">
            <v>13760282</v>
          </cell>
          <cell r="L52">
            <v>42405447</v>
          </cell>
          <cell r="M52">
            <v>13065729</v>
          </cell>
          <cell r="N52">
            <v>16546391</v>
          </cell>
          <cell r="O52">
            <v>19952313</v>
          </cell>
          <cell r="P52">
            <v>5354788</v>
          </cell>
          <cell r="Q52">
            <v>12423924</v>
          </cell>
          <cell r="R52">
            <v>24627490</v>
          </cell>
          <cell r="S52">
            <v>137364730</v>
          </cell>
          <cell r="T52">
            <v>242548157</v>
          </cell>
          <cell r="U52">
            <v>15274950</v>
          </cell>
          <cell r="V52">
            <v>111561770</v>
          </cell>
          <cell r="W52">
            <v>12248650</v>
          </cell>
          <cell r="X52">
            <v>15013451</v>
          </cell>
          <cell r="Y52">
            <v>24408823</v>
          </cell>
          <cell r="Z52">
            <v>25537943</v>
          </cell>
          <cell r="AA52">
            <v>21572850</v>
          </cell>
          <cell r="AB52">
            <v>11306923</v>
          </cell>
          <cell r="AC52">
            <v>4362400</v>
          </cell>
          <cell r="AD52">
            <v>25231983</v>
          </cell>
          <cell r="AE52">
            <v>54950603</v>
          </cell>
          <cell r="AF52">
            <v>55811093</v>
          </cell>
          <cell r="AG52">
            <v>10116144</v>
          </cell>
          <cell r="AH52">
            <v>65256599</v>
          </cell>
          <cell r="AI52">
            <v>9790866</v>
          </cell>
          <cell r="AJ52">
            <v>20703699</v>
          </cell>
          <cell r="AK52">
            <v>9040521</v>
          </cell>
          <cell r="AL52">
            <v>12513312</v>
          </cell>
          <cell r="AM52">
            <v>38843417</v>
          </cell>
          <cell r="AN52">
            <v>15419660</v>
          </cell>
          <cell r="AO52">
            <v>16330940</v>
          </cell>
          <cell r="AP52">
            <v>26597083</v>
          </cell>
          <cell r="AQ52">
            <v>53447635</v>
          </cell>
          <cell r="AR52">
            <v>27309804</v>
          </cell>
          <cell r="AS52">
            <v>7508198</v>
          </cell>
          <cell r="AT52">
            <v>42114399</v>
          </cell>
          <cell r="AU52">
            <v>9633892</v>
          </cell>
          <cell r="AV52">
            <v>11646991</v>
          </cell>
          <cell r="AW52">
            <v>25479753</v>
          </cell>
          <cell r="AX52">
            <v>13641209</v>
          </cell>
          <cell r="AY52">
            <v>10388754</v>
          </cell>
          <cell r="AZ52">
            <v>49247950</v>
          </cell>
          <cell r="BA52">
            <v>31491910</v>
          </cell>
          <cell r="BB52">
            <v>78080846</v>
          </cell>
          <cell r="BC52">
            <v>80127697</v>
          </cell>
          <cell r="BD52">
            <v>20526569</v>
          </cell>
          <cell r="BE52">
            <v>33110004</v>
          </cell>
          <cell r="BF52">
            <v>114941477</v>
          </cell>
          <cell r="BG52">
            <v>209313750</v>
          </cell>
          <cell r="BH52">
            <v>101109155</v>
          </cell>
          <cell r="BI52">
            <v>50776000</v>
          </cell>
          <cell r="BJ52">
            <v>78080846</v>
          </cell>
          <cell r="BK52">
            <v>20526569</v>
          </cell>
          <cell r="BL52">
            <v>9700000</v>
          </cell>
          <cell r="BM52">
            <v>86446162</v>
          </cell>
          <cell r="BN52">
            <v>22251420</v>
          </cell>
          <cell r="BO52">
            <v>48824103</v>
          </cell>
          <cell r="BP52">
            <v>58225606</v>
          </cell>
          <cell r="BQ52">
            <v>127099907</v>
          </cell>
          <cell r="BR52">
            <v>25537943</v>
          </cell>
          <cell r="BS52">
            <v>137317293</v>
          </cell>
          <cell r="BT52">
            <v>0</v>
          </cell>
          <cell r="BU52">
            <v>552944522</v>
          </cell>
          <cell r="BV52">
            <v>1260628224</v>
          </cell>
          <cell r="BW52">
            <v>37177348</v>
          </cell>
          <cell r="BX52">
            <v>71011236</v>
          </cell>
          <cell r="BY52">
            <v>49541100</v>
          </cell>
          <cell r="BZ52">
            <v>62398950</v>
          </cell>
          <cell r="CA52">
            <v>30662551</v>
          </cell>
          <cell r="CB52">
            <v>41915844</v>
          </cell>
          <cell r="CC52">
            <v>31549855</v>
          </cell>
          <cell r="CD52">
            <v>19417750</v>
          </cell>
          <cell r="CE52">
            <v>140031431</v>
          </cell>
          <cell r="CF52">
            <v>11535501</v>
          </cell>
          <cell r="CG52">
            <v>44275390</v>
          </cell>
          <cell r="CH52">
            <v>43180052</v>
          </cell>
          <cell r="CI52">
            <v>37928690</v>
          </cell>
          <cell r="CJ52">
            <v>75664470</v>
          </cell>
          <cell r="CK52">
            <v>5354788</v>
          </cell>
          <cell r="CL52">
            <v>38879000</v>
          </cell>
          <cell r="CM52">
            <v>21230250</v>
          </cell>
          <cell r="CN52">
            <v>7825760</v>
          </cell>
          <cell r="CO52">
            <v>41139574</v>
          </cell>
          <cell r="CP52">
            <v>22071384</v>
          </cell>
          <cell r="CQ52">
            <v>16011050</v>
          </cell>
          <cell r="CR52">
            <v>32682112</v>
          </cell>
          <cell r="CS52">
            <v>37067750</v>
          </cell>
          <cell r="CT52">
            <v>28819540</v>
          </cell>
          <cell r="CU52">
            <v>15046000</v>
          </cell>
          <cell r="CV52">
            <v>36155580</v>
          </cell>
          <cell r="CW52">
            <v>219844952</v>
          </cell>
          <cell r="CX52">
            <v>40636801</v>
          </cell>
          <cell r="CY52">
            <v>12116114</v>
          </cell>
          <cell r="CZ52">
            <v>11251702</v>
          </cell>
          <cell r="DA52">
            <v>37023167</v>
          </cell>
          <cell r="DB52">
            <v>16213454</v>
          </cell>
          <cell r="DC52">
            <v>29153943</v>
          </cell>
          <cell r="DD52">
            <v>16750082</v>
          </cell>
          <cell r="DE52">
            <v>48524281</v>
          </cell>
          <cell r="DF52">
            <v>166837771</v>
          </cell>
          <cell r="DG52">
            <v>15093197</v>
          </cell>
          <cell r="DH52">
            <v>180446138</v>
          </cell>
          <cell r="DI52">
            <v>47711475</v>
          </cell>
          <cell r="DJ52">
            <v>36925088</v>
          </cell>
          <cell r="DK52">
            <v>227433541</v>
          </cell>
          <cell r="DL52">
            <v>355072441</v>
          </cell>
          <cell r="DM52">
            <v>18361532</v>
          </cell>
          <cell r="DN52">
            <v>0</v>
          </cell>
          <cell r="DO52">
            <v>66267064</v>
          </cell>
          <cell r="DP52">
            <v>126280156</v>
          </cell>
          <cell r="DQ52">
            <v>28509535</v>
          </cell>
          <cell r="DR52">
            <v>20944419</v>
          </cell>
          <cell r="DS52">
            <v>13198258</v>
          </cell>
          <cell r="DT52">
            <v>121530775</v>
          </cell>
          <cell r="DU52">
            <v>185674634</v>
          </cell>
          <cell r="DV52">
            <v>40262006</v>
          </cell>
          <cell r="DW52">
            <v>76341571</v>
          </cell>
          <cell r="DX52">
            <v>0</v>
          </cell>
          <cell r="DY52">
            <v>23715043</v>
          </cell>
          <cell r="DZ52">
            <v>23105576</v>
          </cell>
          <cell r="EA52">
            <v>6676674</v>
          </cell>
          <cell r="EB52">
            <v>33110004</v>
          </cell>
          <cell r="EC52">
            <v>48438669</v>
          </cell>
          <cell r="ED52">
            <v>42067058</v>
          </cell>
          <cell r="EE52">
            <v>18141061</v>
          </cell>
          <cell r="EF52">
            <v>17298424</v>
          </cell>
          <cell r="EG52">
            <v>9063325</v>
          </cell>
          <cell r="EH52">
            <v>14223950</v>
          </cell>
          <cell r="EI52">
            <v>35946960</v>
          </cell>
          <cell r="EJ52">
            <v>8326980</v>
          </cell>
          <cell r="EK52">
            <v>66997334</v>
          </cell>
          <cell r="EL52">
            <v>0</v>
          </cell>
          <cell r="EM52">
            <v>32795473</v>
          </cell>
          <cell r="EN52">
            <v>94010824</v>
          </cell>
          <cell r="EO52">
            <v>15013451</v>
          </cell>
          <cell r="EP52">
            <v>31491910</v>
          </cell>
          <cell r="EQ52">
            <v>37722254</v>
          </cell>
          <cell r="ER52">
            <v>40338112</v>
          </cell>
          <cell r="ES52">
            <v>58588050</v>
          </cell>
          <cell r="ET52">
            <v>77633716</v>
          </cell>
          <cell r="EU52">
            <v>49163134</v>
          </cell>
          <cell r="EV52">
            <v>30576306</v>
          </cell>
          <cell r="EW52">
            <v>21307498</v>
          </cell>
          <cell r="EX52">
            <v>14129802</v>
          </cell>
          <cell r="EY52">
            <v>18301114</v>
          </cell>
          <cell r="EZ52">
            <v>10116144</v>
          </cell>
          <cell r="FA52">
            <v>618019040</v>
          </cell>
          <cell r="FB52">
            <v>11516473</v>
          </cell>
          <cell r="FC52">
            <v>40290920</v>
          </cell>
          <cell r="FD52">
            <v>24107985</v>
          </cell>
          <cell r="FE52">
            <v>1214000</v>
          </cell>
          <cell r="FF52">
            <v>129033117</v>
          </cell>
          <cell r="FG52">
            <v>30100299</v>
          </cell>
          <cell r="FH52">
            <v>21631751</v>
          </cell>
          <cell r="FI52">
            <v>42399731</v>
          </cell>
          <cell r="FJ52">
            <v>3761407</v>
          </cell>
          <cell r="FK52">
            <v>35792100</v>
          </cell>
          <cell r="FL52">
            <v>276362054</v>
          </cell>
          <cell r="FM52">
            <v>18746240</v>
          </cell>
          <cell r="FN52">
            <v>7958391</v>
          </cell>
          <cell r="FO52">
            <v>11306923</v>
          </cell>
          <cell r="FP52">
            <v>18819604</v>
          </cell>
          <cell r="FQ52">
            <v>9679659</v>
          </cell>
          <cell r="FR52">
            <v>17212000</v>
          </cell>
          <cell r="FS52">
            <v>9633892</v>
          </cell>
          <cell r="FT52">
            <v>18327148</v>
          </cell>
          <cell r="FU52">
            <v>47546626</v>
          </cell>
          <cell r="FV52">
            <v>16538522</v>
          </cell>
          <cell r="FW52">
            <v>24152225</v>
          </cell>
          <cell r="FX52">
            <v>33649150</v>
          </cell>
          <cell r="FY52">
            <v>90723750</v>
          </cell>
          <cell r="FZ52">
            <v>17241205</v>
          </cell>
          <cell r="GA52">
            <v>0</v>
          </cell>
          <cell r="GB52">
            <v>4360435</v>
          </cell>
          <cell r="GC52">
            <v>16174760.333333332</v>
          </cell>
          <cell r="GD52">
            <v>16174760.333333332</v>
          </cell>
          <cell r="GE52">
            <v>16174760.333333332</v>
          </cell>
          <cell r="GF52">
            <v>27230520</v>
          </cell>
        </row>
        <row r="53">
          <cell r="A53" t="str">
            <v>ערך כינון מופחת</v>
          </cell>
        </row>
        <row r="54">
          <cell r="A54" t="str">
            <v>קווי ביוב</v>
          </cell>
          <cell r="B54">
            <v>13981984</v>
          </cell>
          <cell r="C54">
            <v>32731533</v>
          </cell>
          <cell r="D54">
            <v>48938000</v>
          </cell>
          <cell r="E54">
            <v>35333415</v>
          </cell>
          <cell r="F54">
            <v>1801370</v>
          </cell>
          <cell r="G54">
            <v>7673083</v>
          </cell>
          <cell r="H54">
            <v>12786007</v>
          </cell>
          <cell r="I54">
            <v>128756106</v>
          </cell>
          <cell r="J54">
            <v>4046775</v>
          </cell>
          <cell r="K54">
            <v>10413019</v>
          </cell>
          <cell r="L54">
            <v>14574136</v>
          </cell>
          <cell r="M54">
            <v>6256714</v>
          </cell>
          <cell r="N54">
            <v>4861576</v>
          </cell>
          <cell r="O54">
            <v>14670623</v>
          </cell>
          <cell r="P54">
            <v>2212276</v>
          </cell>
          <cell r="Q54">
            <v>7581723</v>
          </cell>
          <cell r="R54">
            <v>15075068</v>
          </cell>
          <cell r="S54">
            <v>32470934</v>
          </cell>
          <cell r="T54">
            <v>47183420</v>
          </cell>
          <cell r="U54">
            <v>5641375</v>
          </cell>
          <cell r="V54">
            <v>22810187</v>
          </cell>
          <cell r="W54">
            <v>9898028</v>
          </cell>
          <cell r="X54">
            <v>6616071</v>
          </cell>
          <cell r="Y54">
            <v>11368614</v>
          </cell>
          <cell r="Z54">
            <v>13226139</v>
          </cell>
          <cell r="AA54">
            <v>11163578</v>
          </cell>
          <cell r="AB54">
            <v>4386369</v>
          </cell>
          <cell r="AC54">
            <v>2203039</v>
          </cell>
          <cell r="AD54">
            <v>11578703</v>
          </cell>
          <cell r="AE54">
            <v>17554157</v>
          </cell>
          <cell r="AF54">
            <v>20836591</v>
          </cell>
          <cell r="AG54">
            <v>5359041</v>
          </cell>
          <cell r="AH54">
            <v>18034361</v>
          </cell>
          <cell r="AI54">
            <v>5048973</v>
          </cell>
          <cell r="AJ54">
            <v>5454625</v>
          </cell>
          <cell r="AK54">
            <v>3498409</v>
          </cell>
          <cell r="AL54">
            <v>7368301</v>
          </cell>
          <cell r="AM54">
            <v>24403881</v>
          </cell>
          <cell r="AN54">
            <v>5921207</v>
          </cell>
          <cell r="AO54">
            <v>7969441</v>
          </cell>
          <cell r="AP54">
            <v>8734862</v>
          </cell>
          <cell r="AQ54">
            <v>30741779</v>
          </cell>
          <cell r="AR54">
            <v>9255633</v>
          </cell>
          <cell r="AS54">
            <v>5943833</v>
          </cell>
          <cell r="AT54">
            <v>21570014</v>
          </cell>
          <cell r="AU54">
            <v>2721187</v>
          </cell>
          <cell r="AV54">
            <v>1993715</v>
          </cell>
          <cell r="AW54">
            <v>13566108</v>
          </cell>
          <cell r="AX54">
            <v>6620304</v>
          </cell>
          <cell r="AY54">
            <v>3534243</v>
          </cell>
          <cell r="AZ54">
            <v>10462327</v>
          </cell>
          <cell r="BA54">
            <v>6995801</v>
          </cell>
          <cell r="BB54">
            <v>17874073</v>
          </cell>
          <cell r="BC54">
            <v>22137937</v>
          </cell>
          <cell r="BD54">
            <v>8012441</v>
          </cell>
          <cell r="BE54">
            <v>5869855</v>
          </cell>
          <cell r="BF54">
            <v>20198938</v>
          </cell>
          <cell r="BG54">
            <v>32802642</v>
          </cell>
          <cell r="BH54">
            <v>26539175</v>
          </cell>
          <cell r="BI54">
            <v>15231000</v>
          </cell>
          <cell r="BJ54">
            <v>17874073</v>
          </cell>
          <cell r="BK54">
            <v>80124412</v>
          </cell>
          <cell r="BL54">
            <v>1801370</v>
          </cell>
          <cell r="BM54">
            <v>6102764</v>
          </cell>
          <cell r="BN54">
            <v>13476882</v>
          </cell>
          <cell r="BO54">
            <v>28990700</v>
          </cell>
          <cell r="BP54">
            <v>17001984</v>
          </cell>
          <cell r="BQ54">
            <v>28296344</v>
          </cell>
          <cell r="BR54">
            <v>13226139</v>
          </cell>
          <cell r="BS54">
            <v>33641054</v>
          </cell>
          <cell r="BU54">
            <v>124407653</v>
          </cell>
          <cell r="BV54">
            <v>253898858</v>
          </cell>
          <cell r="BW54">
            <v>18764929</v>
          </cell>
          <cell r="BX54">
            <v>40873019</v>
          </cell>
          <cell r="BY54">
            <v>12210802</v>
          </cell>
          <cell r="BZ54">
            <v>10479272</v>
          </cell>
          <cell r="CA54">
            <v>11499080</v>
          </cell>
          <cell r="CB54">
            <v>15551531</v>
          </cell>
          <cell r="CC54">
            <v>15927139</v>
          </cell>
          <cell r="CD54">
            <v>5521708</v>
          </cell>
          <cell r="CE54">
            <v>57584399</v>
          </cell>
          <cell r="CF54">
            <v>4848431</v>
          </cell>
          <cell r="CG54">
            <v>15765491</v>
          </cell>
          <cell r="CH54">
            <v>4724967</v>
          </cell>
          <cell r="CI54">
            <v>6277090</v>
          </cell>
          <cell r="CJ54">
            <v>36255704</v>
          </cell>
          <cell r="CK54">
            <v>2212276</v>
          </cell>
          <cell r="CL54">
            <v>17320000</v>
          </cell>
          <cell r="CM54">
            <v>9817383</v>
          </cell>
          <cell r="CN54">
            <v>4324968</v>
          </cell>
          <cell r="CO54">
            <v>4968565</v>
          </cell>
          <cell r="CP54">
            <v>17312968</v>
          </cell>
          <cell r="CQ54">
            <v>14280221</v>
          </cell>
          <cell r="CR54">
            <v>17303430</v>
          </cell>
          <cell r="CS54">
            <v>13966188</v>
          </cell>
          <cell r="CT54">
            <v>11244442</v>
          </cell>
          <cell r="CU54">
            <v>9086000</v>
          </cell>
          <cell r="CV54">
            <v>15629299</v>
          </cell>
          <cell r="CW54">
            <v>39490035</v>
          </cell>
          <cell r="CX54">
            <v>7857488</v>
          </cell>
          <cell r="CY54">
            <v>9319347</v>
          </cell>
          <cell r="CZ54">
            <v>7082389</v>
          </cell>
          <cell r="DA54">
            <v>17601931</v>
          </cell>
          <cell r="DB54">
            <v>8914534</v>
          </cell>
          <cell r="DC54">
            <v>8925920</v>
          </cell>
          <cell r="DD54">
            <v>8783946</v>
          </cell>
          <cell r="DE54">
            <v>22745091</v>
          </cell>
          <cell r="DF54">
            <v>3373520</v>
          </cell>
          <cell r="DG54">
            <v>7102509</v>
          </cell>
          <cell r="DH54">
            <v>18999878</v>
          </cell>
          <cell r="DI54">
            <v>2328894</v>
          </cell>
          <cell r="DJ54">
            <v>9366474</v>
          </cell>
          <cell r="DK54">
            <v>64226209</v>
          </cell>
          <cell r="DL54">
            <v>78072426</v>
          </cell>
          <cell r="DM54">
            <v>8572840</v>
          </cell>
          <cell r="DO54">
            <v>16750919</v>
          </cell>
          <cell r="DP54">
            <v>76469534</v>
          </cell>
          <cell r="DQ54">
            <v>8169636</v>
          </cell>
          <cell r="DR54">
            <v>8472490</v>
          </cell>
          <cell r="DS54">
            <v>8805250</v>
          </cell>
          <cell r="DT54">
            <v>26815931</v>
          </cell>
          <cell r="DU54">
            <v>58953603</v>
          </cell>
          <cell r="DV54">
            <v>17398688</v>
          </cell>
          <cell r="DW54">
            <v>30627538</v>
          </cell>
          <cell r="DY54">
            <v>11853669</v>
          </cell>
          <cell r="DZ54">
            <v>5137360</v>
          </cell>
          <cell r="EA54">
            <v>3851722</v>
          </cell>
          <cell r="EB54">
            <v>5869855</v>
          </cell>
          <cell r="EC54">
            <v>17098925</v>
          </cell>
          <cell r="ED54">
            <v>18880552</v>
          </cell>
          <cell r="EE54">
            <v>8923314</v>
          </cell>
          <cell r="EF54">
            <v>3848578</v>
          </cell>
          <cell r="EG54">
            <v>2573458</v>
          </cell>
          <cell r="EH54">
            <v>4397798</v>
          </cell>
          <cell r="EI54">
            <v>11597813</v>
          </cell>
          <cell r="EJ54">
            <v>4450672</v>
          </cell>
          <cell r="EK54">
            <v>19007048</v>
          </cell>
          <cell r="EM54">
            <v>17045252</v>
          </cell>
          <cell r="EN54">
            <v>27210663</v>
          </cell>
          <cell r="EO54">
            <v>6616071</v>
          </cell>
          <cell r="EP54">
            <v>6995800</v>
          </cell>
          <cell r="EQ54">
            <v>17650206</v>
          </cell>
          <cell r="ER54">
            <v>13418207</v>
          </cell>
          <cell r="ES54">
            <v>7807050</v>
          </cell>
          <cell r="ET54">
            <v>9406935</v>
          </cell>
          <cell r="EU54">
            <v>9074138</v>
          </cell>
          <cell r="EV54">
            <v>2882757</v>
          </cell>
          <cell r="EW54">
            <v>10095633</v>
          </cell>
          <cell r="EX54">
            <v>7344960</v>
          </cell>
          <cell r="EY54">
            <v>7227751</v>
          </cell>
          <cell r="EZ54">
            <v>5359041</v>
          </cell>
          <cell r="FA54">
            <v>166367653</v>
          </cell>
          <cell r="FB54">
            <v>7009959</v>
          </cell>
          <cell r="FC54">
            <v>14401367</v>
          </cell>
          <cell r="FD54">
            <v>12114755</v>
          </cell>
          <cell r="FE54">
            <v>156000</v>
          </cell>
          <cell r="FF54">
            <v>28296344</v>
          </cell>
          <cell r="FG54">
            <v>13459095</v>
          </cell>
          <cell r="FH54">
            <v>8135842</v>
          </cell>
          <cell r="FI54">
            <v>17482570</v>
          </cell>
          <cell r="FJ54">
            <v>1923579</v>
          </cell>
          <cell r="FK54">
            <v>18423894</v>
          </cell>
          <cell r="FL54">
            <v>135121683</v>
          </cell>
          <cell r="FM54">
            <v>14556657</v>
          </cell>
          <cell r="FN54">
            <v>4068505</v>
          </cell>
          <cell r="FO54">
            <v>4386369</v>
          </cell>
          <cell r="FP54">
            <v>5981209</v>
          </cell>
          <cell r="FQ54">
            <v>5562852</v>
          </cell>
          <cell r="FS54">
            <v>2721187</v>
          </cell>
          <cell r="FT54">
            <v>7493900</v>
          </cell>
          <cell r="FU54">
            <v>13868428</v>
          </cell>
          <cell r="FV54">
            <v>5012498</v>
          </cell>
          <cell r="FW54">
            <v>5592416</v>
          </cell>
          <cell r="FX54">
            <v>15266472</v>
          </cell>
          <cell r="FY54">
            <v>24058675</v>
          </cell>
          <cell r="FZ54">
            <v>5772309</v>
          </cell>
          <cell r="GB54">
            <v>2968186</v>
          </cell>
          <cell r="GC54">
            <v>7581697</v>
          </cell>
          <cell r="GD54">
            <v>7581697</v>
          </cell>
          <cell r="GE54">
            <v>7581697</v>
          </cell>
          <cell r="GF54">
            <v>3847254</v>
          </cell>
        </row>
        <row r="55">
          <cell r="A55" t="str">
            <v>תחנות שאיבה</v>
          </cell>
          <cell r="B55">
            <v>1152796</v>
          </cell>
          <cell r="C55">
            <v>9417800</v>
          </cell>
          <cell r="D55">
            <v>21260000</v>
          </cell>
          <cell r="E55">
            <v>0</v>
          </cell>
          <cell r="F55">
            <v>0</v>
          </cell>
          <cell r="G55">
            <v>755434</v>
          </cell>
          <cell r="H55">
            <v>0</v>
          </cell>
          <cell r="I55">
            <v>10263705</v>
          </cell>
          <cell r="J55">
            <v>0</v>
          </cell>
          <cell r="M55">
            <v>0</v>
          </cell>
          <cell r="N55">
            <v>320000</v>
          </cell>
          <cell r="O55">
            <v>583381</v>
          </cell>
          <cell r="P55">
            <v>228500</v>
          </cell>
          <cell r="Q55">
            <v>20000</v>
          </cell>
          <cell r="R55">
            <v>1306300</v>
          </cell>
          <cell r="S55">
            <v>320000</v>
          </cell>
          <cell r="T55">
            <v>8040875</v>
          </cell>
          <cell r="U55">
            <v>2125</v>
          </cell>
          <cell r="V55">
            <v>3132000</v>
          </cell>
          <cell r="W55">
            <v>381200</v>
          </cell>
          <cell r="X55">
            <v>225000</v>
          </cell>
          <cell r="Y55">
            <v>951412</v>
          </cell>
          <cell r="Z55">
            <v>1913940</v>
          </cell>
          <cell r="AA55">
            <v>350291</v>
          </cell>
          <cell r="AB55">
            <v>0</v>
          </cell>
          <cell r="AC55">
            <v>0</v>
          </cell>
          <cell r="AD55">
            <v>621248</v>
          </cell>
          <cell r="AE55">
            <v>2411970</v>
          </cell>
          <cell r="AF55">
            <v>6374798</v>
          </cell>
          <cell r="AG55">
            <v>70993</v>
          </cell>
          <cell r="AH55">
            <v>6672789</v>
          </cell>
          <cell r="AI55">
            <v>1031000</v>
          </cell>
          <cell r="AJ55">
            <v>0</v>
          </cell>
          <cell r="AK55">
            <v>1063260</v>
          </cell>
          <cell r="AL55">
            <v>0</v>
          </cell>
          <cell r="AM55">
            <v>252800</v>
          </cell>
          <cell r="AN55">
            <v>0</v>
          </cell>
          <cell r="AO55">
            <v>541297</v>
          </cell>
          <cell r="AP55">
            <v>1707500</v>
          </cell>
          <cell r="AQ55">
            <v>570000</v>
          </cell>
          <cell r="AR55">
            <v>0</v>
          </cell>
          <cell r="AS55">
            <v>866098</v>
          </cell>
          <cell r="AT55">
            <v>5248268</v>
          </cell>
          <cell r="AU55">
            <v>80500</v>
          </cell>
          <cell r="AV55">
            <v>60000</v>
          </cell>
          <cell r="AX55">
            <v>736063</v>
          </cell>
          <cell r="AY55">
            <v>43741</v>
          </cell>
          <cell r="AZ55">
            <v>29925</v>
          </cell>
          <cell r="BA55">
            <v>5345000</v>
          </cell>
          <cell r="BB55">
            <v>5881100</v>
          </cell>
          <cell r="BC55">
            <v>1802000</v>
          </cell>
          <cell r="BD55">
            <v>0</v>
          </cell>
          <cell r="BE55">
            <v>1264260</v>
          </cell>
          <cell r="BF55">
            <v>3194043</v>
          </cell>
          <cell r="BG55">
            <v>10177917</v>
          </cell>
          <cell r="BH55">
            <v>1375742</v>
          </cell>
          <cell r="BJ55">
            <v>5881100</v>
          </cell>
          <cell r="BN55">
            <v>800000</v>
          </cell>
          <cell r="BO55">
            <v>2175527</v>
          </cell>
          <cell r="BP55">
            <v>5025483</v>
          </cell>
          <cell r="BQ55">
            <v>6720365</v>
          </cell>
          <cell r="BR55">
            <v>1913940</v>
          </cell>
          <cell r="BS55">
            <v>2828856</v>
          </cell>
          <cell r="BU55">
            <v>16042769</v>
          </cell>
          <cell r="BV55">
            <v>18324747</v>
          </cell>
          <cell r="BW55">
            <v>133280</v>
          </cell>
          <cell r="BX55">
            <v>902151</v>
          </cell>
          <cell r="BY55">
            <v>1224417</v>
          </cell>
          <cell r="BZ55">
            <v>2464467</v>
          </cell>
          <cell r="CB55">
            <v>4160500</v>
          </cell>
          <cell r="CC55">
            <v>4057815</v>
          </cell>
          <cell r="CD55">
            <v>1429050</v>
          </cell>
          <cell r="CE55">
            <v>4822864</v>
          </cell>
          <cell r="CF55">
            <v>0</v>
          </cell>
          <cell r="CG55">
            <v>1355222</v>
          </cell>
          <cell r="CH55">
            <v>3741667</v>
          </cell>
          <cell r="CI55">
            <v>1228709</v>
          </cell>
          <cell r="CJ55">
            <v>880833</v>
          </cell>
          <cell r="CK55">
            <v>228500</v>
          </cell>
          <cell r="CL55">
            <v>4450000</v>
          </cell>
          <cell r="CM55">
            <v>1429050</v>
          </cell>
          <cell r="CN55">
            <v>476250</v>
          </cell>
          <cell r="CP55">
            <v>2073230</v>
          </cell>
          <cell r="CR55">
            <v>2741393</v>
          </cell>
          <cell r="CS55">
            <v>564667</v>
          </cell>
          <cell r="CU55">
            <v>1194000</v>
          </cell>
          <cell r="CV55">
            <v>201461</v>
          </cell>
          <cell r="CW55">
            <v>8691650</v>
          </cell>
          <cell r="CY55">
            <v>1000759</v>
          </cell>
          <cell r="CZ55">
            <v>91170</v>
          </cell>
          <cell r="DC55">
            <v>1260165</v>
          </cell>
          <cell r="DD55">
            <v>566517</v>
          </cell>
          <cell r="DE55">
            <v>370945</v>
          </cell>
          <cell r="DF55">
            <v>3761937</v>
          </cell>
          <cell r="DH55">
            <v>2448907</v>
          </cell>
          <cell r="DJ55">
            <v>445000</v>
          </cell>
          <cell r="DL55">
            <v>36715550</v>
          </cell>
          <cell r="DM55">
            <v>1932500</v>
          </cell>
          <cell r="DO55">
            <v>703634</v>
          </cell>
          <cell r="DP55">
            <v>3966069</v>
          </cell>
          <cell r="DQ55">
            <v>565667</v>
          </cell>
          <cell r="DT55">
            <v>473333</v>
          </cell>
          <cell r="DU55">
            <v>4560172</v>
          </cell>
          <cell r="DW55">
            <v>4498625</v>
          </cell>
          <cell r="DY55">
            <v>4794985</v>
          </cell>
          <cell r="DZ55">
            <v>1390000</v>
          </cell>
          <cell r="EA55">
            <v>147200</v>
          </cell>
          <cell r="EB55">
            <v>1264260</v>
          </cell>
          <cell r="EC55">
            <v>763083</v>
          </cell>
          <cell r="ED55">
            <v>885417</v>
          </cell>
          <cell r="EE55">
            <v>514178</v>
          </cell>
          <cell r="EF55">
            <v>697337</v>
          </cell>
          <cell r="EG55">
            <v>3380000</v>
          </cell>
          <cell r="EI55">
            <v>311629</v>
          </cell>
          <cell r="EK55">
            <v>837500</v>
          </cell>
          <cell r="EM55">
            <v>295000</v>
          </cell>
          <cell r="EN55">
            <v>5003554</v>
          </cell>
          <cell r="EO55">
            <v>225000</v>
          </cell>
          <cell r="EP55">
            <v>5345000</v>
          </cell>
          <cell r="EQ55">
            <v>1238667</v>
          </cell>
          <cell r="ER55">
            <v>893750</v>
          </cell>
          <cell r="ES55">
            <v>1175000</v>
          </cell>
          <cell r="ET55">
            <v>2297690</v>
          </cell>
          <cell r="EU55">
            <v>2377224</v>
          </cell>
          <cell r="EV55">
            <v>1300335</v>
          </cell>
          <cell r="EW55">
            <v>1860833</v>
          </cell>
          <cell r="EY55">
            <v>191554</v>
          </cell>
          <cell r="EZ55">
            <v>70993</v>
          </cell>
          <cell r="FA55">
            <v>9163717</v>
          </cell>
          <cell r="FB55">
            <v>1160000</v>
          </cell>
          <cell r="FC55">
            <v>100000</v>
          </cell>
          <cell r="FF55">
            <v>6720365</v>
          </cell>
          <cell r="FG55">
            <v>1803982</v>
          </cell>
          <cell r="FH55">
            <v>14000</v>
          </cell>
          <cell r="FI55">
            <v>7034737</v>
          </cell>
          <cell r="FJ55">
            <v>950000</v>
          </cell>
          <cell r="FK55">
            <v>816750</v>
          </cell>
          <cell r="FL55">
            <v>12366000</v>
          </cell>
          <cell r="FN55">
            <v>774292</v>
          </cell>
          <cell r="FQ55">
            <v>633288</v>
          </cell>
          <cell r="FS55">
            <v>80500</v>
          </cell>
          <cell r="FY55">
            <v>2536667</v>
          </cell>
          <cell r="FZ55">
            <v>2359758</v>
          </cell>
          <cell r="GB55">
            <v>132750</v>
          </cell>
          <cell r="GC55">
            <v>123648.33333333333</v>
          </cell>
          <cell r="GD55">
            <v>123648.33333333333</v>
          </cell>
          <cell r="GE55">
            <v>123648.33333333333</v>
          </cell>
          <cell r="GF55">
            <v>831900</v>
          </cell>
        </row>
        <row r="56">
          <cell r="A56" t="str">
            <v xml:space="preserve">מכון טיהור </v>
          </cell>
          <cell r="B56">
            <v>10434386</v>
          </cell>
          <cell r="C56">
            <v>56590552</v>
          </cell>
          <cell r="D56">
            <v>0</v>
          </cell>
          <cell r="E56">
            <v>14079771</v>
          </cell>
          <cell r="F56">
            <v>0</v>
          </cell>
          <cell r="G56">
            <v>1870000</v>
          </cell>
          <cell r="H56">
            <v>3905500</v>
          </cell>
          <cell r="I56">
            <v>34938854</v>
          </cell>
          <cell r="J56">
            <v>2101458</v>
          </cell>
          <cell r="L56">
            <v>16626194</v>
          </cell>
          <cell r="M56">
            <v>3283878</v>
          </cell>
          <cell r="N56">
            <v>6885412</v>
          </cell>
          <cell r="P56">
            <v>0</v>
          </cell>
          <cell r="Q56">
            <v>294229</v>
          </cell>
          <cell r="R56">
            <v>61100</v>
          </cell>
          <cell r="S56">
            <v>30863340</v>
          </cell>
          <cell r="T56">
            <v>81235628</v>
          </cell>
          <cell r="U56">
            <v>0</v>
          </cell>
          <cell r="V56">
            <v>118000</v>
          </cell>
          <cell r="W56">
            <v>0</v>
          </cell>
          <cell r="X56">
            <v>1400776</v>
          </cell>
          <cell r="Y56">
            <v>3917749</v>
          </cell>
          <cell r="Z56">
            <v>3169802</v>
          </cell>
          <cell r="AA56">
            <v>6221978</v>
          </cell>
          <cell r="AB56">
            <v>0</v>
          </cell>
          <cell r="AC56">
            <v>0</v>
          </cell>
          <cell r="AD56">
            <v>0</v>
          </cell>
          <cell r="AF56">
            <v>0</v>
          </cell>
          <cell r="AG56">
            <v>713150</v>
          </cell>
          <cell r="AH56">
            <v>11534782</v>
          </cell>
          <cell r="AI56">
            <v>1253157</v>
          </cell>
          <cell r="AJ56">
            <v>7177457</v>
          </cell>
          <cell r="AK56">
            <v>835438</v>
          </cell>
          <cell r="AL56">
            <v>3907944</v>
          </cell>
          <cell r="AM56">
            <v>2102900</v>
          </cell>
          <cell r="AN56">
            <v>1700000</v>
          </cell>
          <cell r="AO56">
            <v>0</v>
          </cell>
          <cell r="AP56">
            <v>8061264</v>
          </cell>
          <cell r="AQ56">
            <v>0</v>
          </cell>
          <cell r="AR56">
            <v>9880177</v>
          </cell>
          <cell r="AS56">
            <v>0</v>
          </cell>
          <cell r="AT56">
            <v>10933766</v>
          </cell>
          <cell r="AU56">
            <v>4800000</v>
          </cell>
          <cell r="AV56">
            <v>5477000</v>
          </cell>
          <cell r="AW56">
            <v>141900</v>
          </cell>
          <cell r="AY56">
            <v>751886</v>
          </cell>
          <cell r="AZ56">
            <v>13173825</v>
          </cell>
          <cell r="BA56">
            <v>10400000</v>
          </cell>
          <cell r="BC56">
            <v>16847042</v>
          </cell>
          <cell r="BD56">
            <v>123757</v>
          </cell>
          <cell r="BF56">
            <v>33515167</v>
          </cell>
          <cell r="BG56">
            <v>54608500</v>
          </cell>
          <cell r="BH56">
            <v>35296025</v>
          </cell>
          <cell r="BI56">
            <v>10714000</v>
          </cell>
          <cell r="BK56">
            <v>123757</v>
          </cell>
          <cell r="BQ56">
            <v>21701164</v>
          </cell>
          <cell r="BR56">
            <v>3169802</v>
          </cell>
          <cell r="BV56">
            <v>264582000</v>
          </cell>
          <cell r="BW56">
            <v>7800923</v>
          </cell>
          <cell r="BX56">
            <v>11223375</v>
          </cell>
          <cell r="BY56">
            <v>4503900</v>
          </cell>
          <cell r="BZ56">
            <v>0</v>
          </cell>
          <cell r="CA56">
            <v>7320732</v>
          </cell>
          <cell r="CB56">
            <v>10097632</v>
          </cell>
          <cell r="CE56">
            <v>0</v>
          </cell>
          <cell r="CF56">
            <v>3398592</v>
          </cell>
          <cell r="CG56">
            <v>0</v>
          </cell>
          <cell r="CH56">
            <v>0</v>
          </cell>
          <cell r="CI56">
            <v>0</v>
          </cell>
          <cell r="CJ56">
            <v>0</v>
          </cell>
          <cell r="CK56">
            <v>0</v>
          </cell>
          <cell r="CL56">
            <v>3250000</v>
          </cell>
          <cell r="CN56">
            <v>53333</v>
          </cell>
          <cell r="CO56">
            <v>20562750</v>
          </cell>
          <cell r="CR56">
            <v>3443791</v>
          </cell>
          <cell r="CS56">
            <v>12304150</v>
          </cell>
          <cell r="CT56">
            <v>7800923</v>
          </cell>
          <cell r="CV56">
            <v>7800923</v>
          </cell>
          <cell r="CW56">
            <v>67016708</v>
          </cell>
          <cell r="CZ56">
            <v>18845</v>
          </cell>
          <cell r="DA56">
            <v>5229094</v>
          </cell>
          <cell r="DB56">
            <v>4446484</v>
          </cell>
          <cell r="DC56">
            <v>11869429</v>
          </cell>
          <cell r="DD56">
            <v>5411255</v>
          </cell>
          <cell r="DE56">
            <v>6566886</v>
          </cell>
          <cell r="DH56">
            <v>100621271</v>
          </cell>
          <cell r="DL56">
            <v>33600000</v>
          </cell>
          <cell r="DO56">
            <v>9455991</v>
          </cell>
          <cell r="DR56">
            <v>3292851</v>
          </cell>
          <cell r="DS56">
            <v>1072529</v>
          </cell>
          <cell r="DT56">
            <v>42829400</v>
          </cell>
          <cell r="DU56">
            <v>22688528</v>
          </cell>
          <cell r="DV56">
            <v>2205000</v>
          </cell>
          <cell r="DW56">
            <v>12318500</v>
          </cell>
          <cell r="DZ56">
            <v>1925374</v>
          </cell>
          <cell r="EC56">
            <v>1200547</v>
          </cell>
          <cell r="ED56">
            <v>3850749</v>
          </cell>
          <cell r="EE56">
            <v>854556</v>
          </cell>
          <cell r="EK56">
            <v>19826904</v>
          </cell>
          <cell r="EM56">
            <v>3649430</v>
          </cell>
          <cell r="EN56">
            <v>15321600</v>
          </cell>
          <cell r="EO56">
            <v>1400776</v>
          </cell>
          <cell r="EP56">
            <v>10400000</v>
          </cell>
          <cell r="EQ56">
            <v>2672186</v>
          </cell>
          <cell r="ER56">
            <v>9662310</v>
          </cell>
          <cell r="ES56">
            <v>22000000</v>
          </cell>
          <cell r="ET56">
            <v>14681424</v>
          </cell>
          <cell r="EU56">
            <v>24934322</v>
          </cell>
          <cell r="EV56">
            <v>5832147</v>
          </cell>
          <cell r="EW56">
            <v>1095833</v>
          </cell>
          <cell r="EY56">
            <v>102140</v>
          </cell>
          <cell r="EZ56">
            <v>713150</v>
          </cell>
          <cell r="FC56">
            <v>2400000</v>
          </cell>
          <cell r="FF56">
            <v>21701164</v>
          </cell>
          <cell r="FG56">
            <v>6042061</v>
          </cell>
          <cell r="FH56">
            <v>2060764</v>
          </cell>
          <cell r="FK56">
            <v>9000000</v>
          </cell>
          <cell r="FP56">
            <v>5977653</v>
          </cell>
          <cell r="FS56">
            <v>4800000</v>
          </cell>
          <cell r="FT56">
            <v>6735725</v>
          </cell>
          <cell r="FU56">
            <v>25000000</v>
          </cell>
          <cell r="FY56">
            <v>15610760</v>
          </cell>
          <cell r="FZ56">
            <v>2088596</v>
          </cell>
          <cell r="GC56">
            <v>2188962</v>
          </cell>
          <cell r="GD56">
            <v>2188962</v>
          </cell>
          <cell r="GE56">
            <v>2188962</v>
          </cell>
        </row>
        <row r="57">
          <cell r="A57" t="str">
            <v>דיזל גנרטורים</v>
          </cell>
          <cell r="B57">
            <v>0</v>
          </cell>
          <cell r="C57">
            <v>361267</v>
          </cell>
          <cell r="D57">
            <v>941000</v>
          </cell>
          <cell r="E57">
            <v>0</v>
          </cell>
          <cell r="F57">
            <v>0</v>
          </cell>
          <cell r="G57">
            <v>71683</v>
          </cell>
          <cell r="H57">
            <v>0</v>
          </cell>
          <cell r="I57">
            <v>840000</v>
          </cell>
          <cell r="J57">
            <v>0</v>
          </cell>
          <cell r="M57">
            <v>0</v>
          </cell>
          <cell r="N57">
            <v>24000</v>
          </cell>
          <cell r="O57">
            <v>44928</v>
          </cell>
          <cell r="P57">
            <v>16000</v>
          </cell>
          <cell r="Q57">
            <v>0</v>
          </cell>
          <cell r="R57">
            <v>101300</v>
          </cell>
          <cell r="S57">
            <v>32000</v>
          </cell>
          <cell r="T57">
            <v>425000</v>
          </cell>
          <cell r="U57">
            <v>0</v>
          </cell>
          <cell r="V57">
            <v>186000</v>
          </cell>
          <cell r="W57">
            <v>42000</v>
          </cell>
          <cell r="X57">
            <v>54833</v>
          </cell>
          <cell r="Y57">
            <v>0</v>
          </cell>
          <cell r="Z57">
            <v>202919</v>
          </cell>
          <cell r="AA57">
            <v>0</v>
          </cell>
          <cell r="AB57">
            <v>0</v>
          </cell>
          <cell r="AC57">
            <v>0</v>
          </cell>
          <cell r="AD57">
            <v>0</v>
          </cell>
          <cell r="AE57">
            <v>0</v>
          </cell>
          <cell r="AF57">
            <v>57000</v>
          </cell>
          <cell r="AG57">
            <v>0</v>
          </cell>
          <cell r="AH57">
            <v>560695</v>
          </cell>
          <cell r="AI57">
            <v>76800</v>
          </cell>
          <cell r="AJ57">
            <v>0</v>
          </cell>
          <cell r="AK57">
            <v>27000</v>
          </cell>
          <cell r="AL57">
            <v>0</v>
          </cell>
          <cell r="AM57">
            <v>0</v>
          </cell>
          <cell r="AN57">
            <v>0</v>
          </cell>
          <cell r="AO57">
            <v>54170</v>
          </cell>
          <cell r="AP57">
            <v>98667</v>
          </cell>
          <cell r="AQ57">
            <v>90000</v>
          </cell>
          <cell r="AR57">
            <v>0</v>
          </cell>
          <cell r="AS57">
            <v>81148</v>
          </cell>
          <cell r="AT57">
            <v>140000</v>
          </cell>
          <cell r="AV57">
            <v>0</v>
          </cell>
          <cell r="AX57">
            <v>33566</v>
          </cell>
          <cell r="AZ57">
            <v>0</v>
          </cell>
          <cell r="BA57">
            <v>66333</v>
          </cell>
          <cell r="BB57">
            <v>450000</v>
          </cell>
          <cell r="BC57">
            <v>11667</v>
          </cell>
          <cell r="BD57">
            <v>0</v>
          </cell>
          <cell r="BE57">
            <v>0</v>
          </cell>
          <cell r="BF57">
            <v>286171</v>
          </cell>
          <cell r="BG57">
            <v>620000</v>
          </cell>
          <cell r="BH57">
            <v>11793</v>
          </cell>
          <cell r="BJ57">
            <v>450000</v>
          </cell>
          <cell r="BO57">
            <v>40000</v>
          </cell>
          <cell r="BP57">
            <v>1106267</v>
          </cell>
          <cell r="BQ57">
            <v>206667</v>
          </cell>
          <cell r="BR57">
            <v>202919</v>
          </cell>
          <cell r="BU57">
            <v>277600</v>
          </cell>
          <cell r="BW57">
            <v>8667</v>
          </cell>
          <cell r="BX57">
            <v>32000</v>
          </cell>
          <cell r="BY57">
            <v>0</v>
          </cell>
          <cell r="BZ57">
            <v>313333</v>
          </cell>
          <cell r="CB57">
            <v>138667</v>
          </cell>
          <cell r="CC57">
            <v>200000</v>
          </cell>
          <cell r="CD57">
            <v>0</v>
          </cell>
          <cell r="CE57">
            <v>236000</v>
          </cell>
          <cell r="CF57">
            <v>0</v>
          </cell>
          <cell r="CG57">
            <v>30833</v>
          </cell>
          <cell r="CH57">
            <v>233930</v>
          </cell>
          <cell r="CI57">
            <v>152533</v>
          </cell>
          <cell r="CJ57">
            <v>16000</v>
          </cell>
          <cell r="CK57">
            <v>16000</v>
          </cell>
          <cell r="CL57">
            <v>91000</v>
          </cell>
          <cell r="CR57">
            <v>280000</v>
          </cell>
          <cell r="CS57">
            <v>98222</v>
          </cell>
          <cell r="CU57">
            <v>78000</v>
          </cell>
          <cell r="CV57">
            <v>98840</v>
          </cell>
          <cell r="CW57">
            <v>398000</v>
          </cell>
          <cell r="CY57">
            <v>67124</v>
          </cell>
          <cell r="DC57">
            <v>66394</v>
          </cell>
          <cell r="DF57">
            <v>249980</v>
          </cell>
          <cell r="DH57">
            <v>200667</v>
          </cell>
          <cell r="DJ57">
            <v>172000</v>
          </cell>
          <cell r="DL57">
            <v>1341867</v>
          </cell>
          <cell r="DM57">
            <v>138360</v>
          </cell>
          <cell r="DP57">
            <v>285798</v>
          </cell>
          <cell r="DW57">
            <v>204000</v>
          </cell>
          <cell r="DY57">
            <v>221760</v>
          </cell>
          <cell r="ED57">
            <v>24600</v>
          </cell>
          <cell r="EE57">
            <v>37333</v>
          </cell>
          <cell r="EF57">
            <v>52000</v>
          </cell>
          <cell r="EG57">
            <v>92350</v>
          </cell>
          <cell r="EK57">
            <v>172667</v>
          </cell>
          <cell r="EM57">
            <v>52000</v>
          </cell>
          <cell r="EN57">
            <v>243367</v>
          </cell>
          <cell r="EO57">
            <v>54833</v>
          </cell>
          <cell r="EP57">
            <v>66333</v>
          </cell>
          <cell r="EQ57">
            <v>66667</v>
          </cell>
          <cell r="ET57">
            <v>240000</v>
          </cell>
          <cell r="EU57">
            <v>242038</v>
          </cell>
          <cell r="EV57">
            <v>81804</v>
          </cell>
          <cell r="EW57">
            <v>95333</v>
          </cell>
          <cell r="EY57">
            <v>16000</v>
          </cell>
          <cell r="FA57">
            <v>421667</v>
          </cell>
          <cell r="FC57">
            <v>26667</v>
          </cell>
          <cell r="FD57">
            <v>138667</v>
          </cell>
          <cell r="FF57">
            <v>206667</v>
          </cell>
          <cell r="FH57">
            <v>71680</v>
          </cell>
          <cell r="FI57">
            <v>397372</v>
          </cell>
          <cell r="FJ57">
            <v>46667</v>
          </cell>
          <cell r="FL57">
            <v>464267</v>
          </cell>
          <cell r="FQ57">
            <v>42289</v>
          </cell>
          <cell r="FY57">
            <v>240800</v>
          </cell>
          <cell r="FZ57">
            <v>107380</v>
          </cell>
          <cell r="GB57">
            <v>33000</v>
          </cell>
          <cell r="GC57">
            <v>0</v>
          </cell>
          <cell r="GD57">
            <v>0</v>
          </cell>
          <cell r="GE57">
            <v>0</v>
          </cell>
          <cell r="GF57">
            <v>56600</v>
          </cell>
        </row>
        <row r="58">
          <cell r="A58" t="str">
            <v>קו סניקה 40</v>
          </cell>
          <cell r="B58">
            <v>0</v>
          </cell>
          <cell r="C58">
            <v>5108174</v>
          </cell>
          <cell r="D58">
            <v>12144000</v>
          </cell>
          <cell r="E58">
            <v>0</v>
          </cell>
          <cell r="F58">
            <v>0</v>
          </cell>
          <cell r="G58">
            <v>0</v>
          </cell>
          <cell r="H58">
            <v>0</v>
          </cell>
          <cell r="I58">
            <v>7103438</v>
          </cell>
          <cell r="J58">
            <v>0</v>
          </cell>
          <cell r="M58">
            <v>0</v>
          </cell>
          <cell r="N58">
            <v>0</v>
          </cell>
          <cell r="O58">
            <v>0</v>
          </cell>
          <cell r="P58">
            <v>0</v>
          </cell>
          <cell r="Q58">
            <v>0</v>
          </cell>
          <cell r="R58">
            <v>0</v>
          </cell>
          <cell r="S58">
            <v>5710967</v>
          </cell>
          <cell r="U58">
            <v>0</v>
          </cell>
          <cell r="W58">
            <v>0</v>
          </cell>
          <cell r="X58">
            <v>0</v>
          </cell>
          <cell r="Y58">
            <v>0</v>
          </cell>
          <cell r="AA58">
            <v>0</v>
          </cell>
          <cell r="AB58">
            <v>0</v>
          </cell>
          <cell r="AC58">
            <v>0</v>
          </cell>
          <cell r="AD58">
            <v>0</v>
          </cell>
          <cell r="AE58">
            <v>0</v>
          </cell>
          <cell r="AF58">
            <v>0</v>
          </cell>
          <cell r="AG58">
            <v>0</v>
          </cell>
          <cell r="AH58">
            <v>0</v>
          </cell>
          <cell r="AJ58">
            <v>0</v>
          </cell>
          <cell r="AK58">
            <v>0</v>
          </cell>
          <cell r="AL58">
            <v>0</v>
          </cell>
          <cell r="AM58">
            <v>0</v>
          </cell>
          <cell r="AN58">
            <v>0</v>
          </cell>
          <cell r="AO58">
            <v>0</v>
          </cell>
          <cell r="AP58">
            <v>0</v>
          </cell>
          <cell r="AQ58">
            <v>0</v>
          </cell>
          <cell r="AR58">
            <v>0</v>
          </cell>
          <cell r="AS58">
            <v>0</v>
          </cell>
          <cell r="AT58">
            <v>0</v>
          </cell>
          <cell r="BC58">
            <v>4219188</v>
          </cell>
          <cell r="BU58">
            <v>7069407</v>
          </cell>
          <cell r="BW58">
            <v>0</v>
          </cell>
          <cell r="BX58">
            <v>309038</v>
          </cell>
          <cell r="BY58">
            <v>0</v>
          </cell>
          <cell r="BZ58">
            <v>0</v>
          </cell>
          <cell r="CB58">
            <v>0</v>
          </cell>
          <cell r="CD58">
            <v>0</v>
          </cell>
          <cell r="CE58">
            <v>0</v>
          </cell>
          <cell r="CF58">
            <v>0</v>
          </cell>
          <cell r="CG58">
            <v>0</v>
          </cell>
          <cell r="CH58">
            <v>534947</v>
          </cell>
          <cell r="CI58">
            <v>0</v>
          </cell>
          <cell r="CJ58">
            <v>0</v>
          </cell>
          <cell r="CK58">
            <v>0</v>
          </cell>
          <cell r="CV58">
            <v>389357</v>
          </cell>
          <cell r="DA58">
            <v>4144178</v>
          </cell>
          <cell r="DL58">
            <v>19775867</v>
          </cell>
          <cell r="DP58">
            <v>2710657</v>
          </cell>
          <cell r="DY58">
            <v>1773490</v>
          </cell>
          <cell r="ED58">
            <v>943731</v>
          </cell>
          <cell r="EG58">
            <v>598010</v>
          </cell>
          <cell r="ET58">
            <v>1488620</v>
          </cell>
          <cell r="EU58">
            <v>134550</v>
          </cell>
          <cell r="EV58">
            <v>3541180</v>
          </cell>
          <cell r="FF58">
            <v>1276829</v>
          </cell>
          <cell r="GC58">
            <v>0</v>
          </cell>
          <cell r="GD58">
            <v>0</v>
          </cell>
          <cell r="GE58">
            <v>0</v>
          </cell>
        </row>
        <row r="59">
          <cell r="A59" t="str">
            <v>נכסים בהקמה</v>
          </cell>
          <cell r="B59">
            <v>0</v>
          </cell>
          <cell r="C59">
            <v>11828966</v>
          </cell>
          <cell r="D59">
            <v>910000</v>
          </cell>
          <cell r="E59">
            <v>0</v>
          </cell>
          <cell r="F59">
            <v>0</v>
          </cell>
          <cell r="G59">
            <v>0</v>
          </cell>
          <cell r="H59">
            <v>0</v>
          </cell>
          <cell r="I59">
            <v>0</v>
          </cell>
          <cell r="J59">
            <v>0</v>
          </cell>
          <cell r="M59">
            <v>0</v>
          </cell>
          <cell r="N59">
            <v>0</v>
          </cell>
          <cell r="O59">
            <v>0</v>
          </cell>
          <cell r="P59">
            <v>0</v>
          </cell>
          <cell r="Q59">
            <v>0</v>
          </cell>
          <cell r="R59">
            <v>631600</v>
          </cell>
          <cell r="S59">
            <v>5059400</v>
          </cell>
          <cell r="U59">
            <v>0</v>
          </cell>
          <cell r="V59">
            <v>11400000</v>
          </cell>
          <cell r="W59">
            <v>0</v>
          </cell>
          <cell r="X59">
            <v>1350000</v>
          </cell>
          <cell r="Y59">
            <v>0</v>
          </cell>
          <cell r="Z59">
            <v>151868</v>
          </cell>
          <cell r="AA59">
            <v>0</v>
          </cell>
          <cell r="AB59">
            <v>0</v>
          </cell>
          <cell r="AC59">
            <v>0</v>
          </cell>
          <cell r="AD59">
            <v>0</v>
          </cell>
          <cell r="AE59">
            <v>0</v>
          </cell>
          <cell r="AF59">
            <v>0</v>
          </cell>
          <cell r="AG59">
            <v>0</v>
          </cell>
          <cell r="AH59">
            <v>0</v>
          </cell>
          <cell r="AI59">
            <v>464573</v>
          </cell>
          <cell r="AJ59">
            <v>0</v>
          </cell>
          <cell r="AK59">
            <v>1359715</v>
          </cell>
          <cell r="AL59">
            <v>0</v>
          </cell>
          <cell r="AM59">
            <v>0</v>
          </cell>
          <cell r="AN59">
            <v>0</v>
          </cell>
          <cell r="AO59">
            <v>0</v>
          </cell>
          <cell r="AP59">
            <v>0</v>
          </cell>
          <cell r="AQ59">
            <v>0</v>
          </cell>
          <cell r="AR59">
            <v>0</v>
          </cell>
          <cell r="AS59">
            <v>0</v>
          </cell>
          <cell r="AT59">
            <v>0</v>
          </cell>
          <cell r="AV59">
            <v>0</v>
          </cell>
          <cell r="AW59">
            <v>1473800</v>
          </cell>
          <cell r="AX59">
            <v>3649697</v>
          </cell>
          <cell r="AZ59">
            <v>0</v>
          </cell>
          <cell r="BA59">
            <v>0</v>
          </cell>
          <cell r="BC59">
            <v>0</v>
          </cell>
          <cell r="BD59">
            <v>174161</v>
          </cell>
          <cell r="BF59">
            <v>5705950</v>
          </cell>
          <cell r="BI59">
            <v>4032000</v>
          </cell>
          <cell r="BK59">
            <v>174161</v>
          </cell>
          <cell r="BR59">
            <v>151868</v>
          </cell>
          <cell r="BU59">
            <v>1139160</v>
          </cell>
          <cell r="BW59">
            <v>0</v>
          </cell>
          <cell r="BX59">
            <v>0</v>
          </cell>
          <cell r="BY59">
            <v>0</v>
          </cell>
          <cell r="BZ59">
            <v>13959000</v>
          </cell>
          <cell r="CA59">
            <v>5635543</v>
          </cell>
          <cell r="CB59">
            <v>0</v>
          </cell>
          <cell r="CD59">
            <v>0</v>
          </cell>
          <cell r="CE59">
            <v>0</v>
          </cell>
          <cell r="CF59">
            <v>0</v>
          </cell>
          <cell r="CG59">
            <v>0</v>
          </cell>
          <cell r="CH59">
            <v>0</v>
          </cell>
          <cell r="CI59">
            <v>220000</v>
          </cell>
          <cell r="CJ59">
            <v>0</v>
          </cell>
          <cell r="CK59">
            <v>0</v>
          </cell>
          <cell r="CO59">
            <v>1829109</v>
          </cell>
          <cell r="CR59">
            <v>1800000</v>
          </cell>
          <cell r="CX59">
            <v>0</v>
          </cell>
          <cell r="DB59">
            <v>2020750</v>
          </cell>
          <cell r="DE59">
            <v>4138478</v>
          </cell>
          <cell r="DJ59">
            <v>2400000</v>
          </cell>
          <cell r="DK59">
            <v>7683000</v>
          </cell>
          <cell r="DL59">
            <v>311284</v>
          </cell>
          <cell r="DO59">
            <v>5881680</v>
          </cell>
          <cell r="DU59">
            <v>22688528</v>
          </cell>
          <cell r="EC59">
            <v>2000000</v>
          </cell>
          <cell r="EK59">
            <v>650000</v>
          </cell>
          <cell r="EN59">
            <v>5902869</v>
          </cell>
          <cell r="EO59">
            <v>1350000</v>
          </cell>
          <cell r="ER59">
            <v>1705000</v>
          </cell>
          <cell r="EX59">
            <v>402717</v>
          </cell>
          <cell r="EY59">
            <v>3627765</v>
          </cell>
          <cell r="FG59">
            <v>250939</v>
          </cell>
          <cell r="FT59">
            <v>1660000</v>
          </cell>
          <cell r="FZ59">
            <v>2012913</v>
          </cell>
          <cell r="GC59">
            <v>1379492.6666666667</v>
          </cell>
          <cell r="GD59">
            <v>1379492.6666666667</v>
          </cell>
          <cell r="GE59">
            <v>1379492.6666666667</v>
          </cell>
        </row>
        <row r="60">
          <cell r="A60" t="str">
            <v>שונות</v>
          </cell>
          <cell r="B60">
            <v>0</v>
          </cell>
          <cell r="D60">
            <v>1247000</v>
          </cell>
          <cell r="E60">
            <v>4766160</v>
          </cell>
          <cell r="F60">
            <v>0</v>
          </cell>
          <cell r="G60">
            <v>7288</v>
          </cell>
          <cell r="H60">
            <v>0</v>
          </cell>
          <cell r="J60">
            <v>0</v>
          </cell>
          <cell r="M60">
            <v>0</v>
          </cell>
          <cell r="N60">
            <v>0</v>
          </cell>
          <cell r="O60">
            <v>0</v>
          </cell>
          <cell r="P60">
            <v>0</v>
          </cell>
          <cell r="Q60">
            <v>0</v>
          </cell>
          <cell r="R60">
            <v>0</v>
          </cell>
          <cell r="U60">
            <v>0</v>
          </cell>
          <cell r="W60">
            <v>0</v>
          </cell>
          <cell r="X60">
            <v>0</v>
          </cell>
          <cell r="AA60">
            <v>0</v>
          </cell>
          <cell r="AB60">
            <v>0</v>
          </cell>
          <cell r="AC60">
            <v>0</v>
          </cell>
          <cell r="AD60">
            <v>0</v>
          </cell>
          <cell r="AE60">
            <v>0</v>
          </cell>
          <cell r="AF60">
            <v>0</v>
          </cell>
          <cell r="AG60">
            <v>0</v>
          </cell>
          <cell r="AH60">
            <v>0</v>
          </cell>
          <cell r="AJ60">
            <v>0</v>
          </cell>
          <cell r="AK60">
            <v>0</v>
          </cell>
          <cell r="AL60">
            <v>0</v>
          </cell>
          <cell r="AM60">
            <v>0</v>
          </cell>
          <cell r="AN60">
            <v>0</v>
          </cell>
          <cell r="AO60">
            <v>0</v>
          </cell>
          <cell r="AP60">
            <v>0</v>
          </cell>
          <cell r="AQ60">
            <v>0</v>
          </cell>
          <cell r="AR60">
            <v>0</v>
          </cell>
          <cell r="AS60">
            <v>0</v>
          </cell>
          <cell r="AT60">
            <v>0</v>
          </cell>
          <cell r="BD60">
            <v>5005767</v>
          </cell>
          <cell r="BE60">
            <v>3154</v>
          </cell>
          <cell r="BG60">
            <v>7920000</v>
          </cell>
          <cell r="BK60">
            <v>5005767</v>
          </cell>
          <cell r="BU60">
            <v>132327</v>
          </cell>
          <cell r="BV60">
            <v>1054921</v>
          </cell>
          <cell r="BW60">
            <v>0</v>
          </cell>
          <cell r="BX60">
            <v>0</v>
          </cell>
          <cell r="BY60">
            <v>0</v>
          </cell>
          <cell r="BZ60">
            <v>0</v>
          </cell>
          <cell r="CA60">
            <v>359550</v>
          </cell>
          <cell r="CB60">
            <v>14400</v>
          </cell>
          <cell r="CD60">
            <v>0</v>
          </cell>
          <cell r="CE60">
            <v>0</v>
          </cell>
          <cell r="CF60">
            <v>0</v>
          </cell>
          <cell r="CG60">
            <v>540235</v>
          </cell>
          <cell r="CH60">
            <v>108838</v>
          </cell>
          <cell r="CI60">
            <v>0</v>
          </cell>
          <cell r="CJ60">
            <v>0</v>
          </cell>
          <cell r="CK60">
            <v>0</v>
          </cell>
          <cell r="CU60">
            <v>884000</v>
          </cell>
          <cell r="CW60">
            <v>6140772</v>
          </cell>
          <cell r="DK60">
            <v>973965</v>
          </cell>
          <cell r="DW60">
            <v>437500</v>
          </cell>
          <cell r="EB60">
            <v>3154</v>
          </cell>
          <cell r="EF60">
            <v>4352090</v>
          </cell>
          <cell r="EN60">
            <v>96000</v>
          </cell>
          <cell r="FC60">
            <v>204000</v>
          </cell>
          <cell r="FL60">
            <v>1321100</v>
          </cell>
          <cell r="GC60">
            <v>0</v>
          </cell>
          <cell r="GD60">
            <v>0</v>
          </cell>
          <cell r="GE60">
            <v>0</v>
          </cell>
        </row>
        <row r="61">
          <cell r="A61" t="str">
            <v>קו עדפים למט"ש נהריה</v>
          </cell>
          <cell r="B61">
            <v>0</v>
          </cell>
          <cell r="D61">
            <v>0</v>
          </cell>
          <cell r="E61">
            <v>0</v>
          </cell>
          <cell r="F61">
            <v>0</v>
          </cell>
          <cell r="G61">
            <v>0</v>
          </cell>
          <cell r="H61">
            <v>0</v>
          </cell>
          <cell r="I61">
            <v>0</v>
          </cell>
          <cell r="AG61">
            <v>341438</v>
          </cell>
          <cell r="AH61">
            <v>0</v>
          </cell>
          <cell r="AJ61">
            <v>0</v>
          </cell>
          <cell r="AK61">
            <v>0</v>
          </cell>
          <cell r="AL61">
            <v>0</v>
          </cell>
          <cell r="AM61">
            <v>0</v>
          </cell>
          <cell r="AN61">
            <v>0</v>
          </cell>
          <cell r="AO61">
            <v>0</v>
          </cell>
          <cell r="AP61">
            <v>0</v>
          </cell>
          <cell r="AQ61">
            <v>0</v>
          </cell>
          <cell r="AR61">
            <v>0</v>
          </cell>
          <cell r="AS61">
            <v>0</v>
          </cell>
          <cell r="AT61">
            <v>0</v>
          </cell>
          <cell r="AW61">
            <v>1650420</v>
          </cell>
          <cell r="BW61">
            <v>0</v>
          </cell>
          <cell r="BX61">
            <v>0</v>
          </cell>
          <cell r="BY61">
            <v>0</v>
          </cell>
          <cell r="BZ61">
            <v>0</v>
          </cell>
          <cell r="CB61">
            <v>0</v>
          </cell>
          <cell r="CD61">
            <v>0</v>
          </cell>
          <cell r="CE61">
            <v>0</v>
          </cell>
          <cell r="CF61">
            <v>0</v>
          </cell>
          <cell r="CG61">
            <v>0</v>
          </cell>
          <cell r="CH61">
            <v>0</v>
          </cell>
          <cell r="CI61">
            <v>0</v>
          </cell>
          <cell r="CJ61">
            <v>0</v>
          </cell>
          <cell r="CK61">
            <v>0</v>
          </cell>
          <cell r="EZ61">
            <v>341438</v>
          </cell>
          <cell r="GC61">
            <v>0</v>
          </cell>
          <cell r="GD61">
            <v>0</v>
          </cell>
          <cell r="GE61">
            <v>0</v>
          </cell>
        </row>
        <row r="62">
          <cell r="A62" t="str">
            <v>מאסף געתון מעלות</v>
          </cell>
          <cell r="B62">
            <v>0</v>
          </cell>
          <cell r="D62">
            <v>0</v>
          </cell>
          <cell r="E62">
            <v>0</v>
          </cell>
          <cell r="F62">
            <v>0</v>
          </cell>
          <cell r="G62">
            <v>0</v>
          </cell>
          <cell r="H62">
            <v>0</v>
          </cell>
          <cell r="I62">
            <v>0</v>
          </cell>
          <cell r="AG62">
            <v>80750</v>
          </cell>
          <cell r="AH62">
            <v>0</v>
          </cell>
          <cell r="AJ62">
            <v>0</v>
          </cell>
          <cell r="AK62">
            <v>0</v>
          </cell>
          <cell r="AL62">
            <v>0</v>
          </cell>
          <cell r="AM62">
            <v>0</v>
          </cell>
          <cell r="AN62">
            <v>0</v>
          </cell>
          <cell r="AO62">
            <v>0</v>
          </cell>
          <cell r="AP62">
            <v>0</v>
          </cell>
          <cell r="AQ62">
            <v>0</v>
          </cell>
          <cell r="AR62">
            <v>0</v>
          </cell>
          <cell r="AS62">
            <v>0</v>
          </cell>
          <cell r="AT62">
            <v>0</v>
          </cell>
          <cell r="BW62">
            <v>0</v>
          </cell>
          <cell r="BX62">
            <v>0</v>
          </cell>
          <cell r="BY62">
            <v>0</v>
          </cell>
          <cell r="BZ62">
            <v>0</v>
          </cell>
          <cell r="CB62">
            <v>0</v>
          </cell>
          <cell r="CD62">
            <v>0</v>
          </cell>
          <cell r="CE62">
            <v>0</v>
          </cell>
          <cell r="CF62">
            <v>0</v>
          </cell>
          <cell r="CG62">
            <v>0</v>
          </cell>
          <cell r="CH62">
            <v>0</v>
          </cell>
          <cell r="CI62">
            <v>0</v>
          </cell>
          <cell r="CJ62">
            <v>0</v>
          </cell>
          <cell r="CK62">
            <v>0</v>
          </cell>
          <cell r="EZ62">
            <v>80750</v>
          </cell>
          <cell r="GC62">
            <v>0</v>
          </cell>
          <cell r="GD62">
            <v>0</v>
          </cell>
          <cell r="GE62">
            <v>0</v>
          </cell>
        </row>
        <row r="63">
          <cell r="A63" t="str">
            <v>מט"ש ומערכת אזור</v>
          </cell>
          <cell r="B63">
            <v>0</v>
          </cell>
          <cell r="D63">
            <v>0</v>
          </cell>
          <cell r="E63">
            <v>0</v>
          </cell>
          <cell r="F63">
            <v>0</v>
          </cell>
          <cell r="G63">
            <v>0</v>
          </cell>
          <cell r="H63">
            <v>0</v>
          </cell>
          <cell r="I63">
            <v>0</v>
          </cell>
          <cell r="AD63">
            <v>3873262</v>
          </cell>
          <cell r="AE63">
            <v>15631892</v>
          </cell>
          <cell r="AF63">
            <v>0</v>
          </cell>
          <cell r="AG63">
            <v>0</v>
          </cell>
          <cell r="AJ63">
            <v>0</v>
          </cell>
          <cell r="AK63">
            <v>0</v>
          </cell>
          <cell r="AL63">
            <v>0</v>
          </cell>
          <cell r="AM63">
            <v>0</v>
          </cell>
          <cell r="AN63">
            <v>0</v>
          </cell>
          <cell r="AO63">
            <v>0</v>
          </cell>
          <cell r="AP63">
            <v>0</v>
          </cell>
          <cell r="AQ63">
            <v>0</v>
          </cell>
          <cell r="AR63">
            <v>0</v>
          </cell>
          <cell r="AS63">
            <v>0</v>
          </cell>
          <cell r="AT63">
            <v>0</v>
          </cell>
          <cell r="BW63">
            <v>0</v>
          </cell>
          <cell r="BX63">
            <v>0</v>
          </cell>
          <cell r="BY63">
            <v>0</v>
          </cell>
          <cell r="BZ63">
            <v>0</v>
          </cell>
          <cell r="CB63">
            <v>0</v>
          </cell>
          <cell r="CD63">
            <v>0</v>
          </cell>
          <cell r="CE63">
            <v>0</v>
          </cell>
          <cell r="CF63">
            <v>0</v>
          </cell>
          <cell r="CG63">
            <v>0</v>
          </cell>
          <cell r="CH63">
            <v>0</v>
          </cell>
          <cell r="CI63">
            <v>0</v>
          </cell>
          <cell r="CJ63">
            <v>0</v>
          </cell>
          <cell r="CK63">
            <v>0</v>
          </cell>
          <cell r="CX63">
            <v>23662098</v>
          </cell>
          <cell r="DG63">
            <v>3847797</v>
          </cell>
          <cell r="EX63">
            <v>2590429</v>
          </cell>
          <cell r="FO63">
            <v>4047728</v>
          </cell>
          <cell r="FU63">
            <v>4598813</v>
          </cell>
          <cell r="GC63">
            <v>0</v>
          </cell>
          <cell r="GD63">
            <v>0</v>
          </cell>
          <cell r="GE63">
            <v>0</v>
          </cell>
        </row>
        <row r="64">
          <cell r="A64" t="str">
            <v>ביוב אזורי</v>
          </cell>
          <cell r="AI64">
            <v>233325</v>
          </cell>
          <cell r="AK64">
            <v>788363</v>
          </cell>
          <cell r="AL64">
            <v>0</v>
          </cell>
          <cell r="AM64">
            <v>0</v>
          </cell>
          <cell r="AN64">
            <v>0</v>
          </cell>
          <cell r="AO64">
            <v>0</v>
          </cell>
          <cell r="AP64">
            <v>0</v>
          </cell>
          <cell r="AQ64">
            <v>0</v>
          </cell>
          <cell r="AR64">
            <v>0</v>
          </cell>
          <cell r="AS64">
            <v>0</v>
          </cell>
          <cell r="AT64">
            <v>0</v>
          </cell>
          <cell r="AY64">
            <v>3049403</v>
          </cell>
          <cell r="BB64">
            <v>6800000</v>
          </cell>
          <cell r="BJ64">
            <v>6800000</v>
          </cell>
          <cell r="BW64">
            <v>0</v>
          </cell>
          <cell r="BX64">
            <v>0</v>
          </cell>
          <cell r="BY64">
            <v>0</v>
          </cell>
          <cell r="BZ64">
            <v>0</v>
          </cell>
          <cell r="CB64">
            <v>0</v>
          </cell>
          <cell r="CD64">
            <v>0</v>
          </cell>
          <cell r="CE64">
            <v>0</v>
          </cell>
          <cell r="CF64">
            <v>0</v>
          </cell>
          <cell r="CG64">
            <v>0</v>
          </cell>
          <cell r="CH64">
            <v>0</v>
          </cell>
          <cell r="CI64">
            <v>0</v>
          </cell>
          <cell r="CJ64">
            <v>0</v>
          </cell>
          <cell r="CK64">
            <v>0</v>
          </cell>
          <cell r="DA64">
            <v>2004435</v>
          </cell>
          <cell r="EE64">
            <v>802686</v>
          </cell>
          <cell r="EY64">
            <v>1322918</v>
          </cell>
          <cell r="FP64">
            <v>3615938</v>
          </cell>
          <cell r="FR64">
            <v>10951000</v>
          </cell>
          <cell r="GC64">
            <v>0</v>
          </cell>
          <cell r="GD64">
            <v>0</v>
          </cell>
          <cell r="GE64">
            <v>0</v>
          </cell>
        </row>
        <row r="65">
          <cell r="A65" t="str">
            <v>קווי ביוב משותף עם מסד</v>
          </cell>
          <cell r="AO65">
            <v>1248698</v>
          </cell>
          <cell r="BW65">
            <v>0</v>
          </cell>
          <cell r="BX65">
            <v>0</v>
          </cell>
          <cell r="BY65">
            <v>0</v>
          </cell>
          <cell r="BZ65">
            <v>0</v>
          </cell>
          <cell r="CB65">
            <v>0</v>
          </cell>
          <cell r="CD65">
            <v>0</v>
          </cell>
          <cell r="CE65">
            <v>0</v>
          </cell>
          <cell r="CF65">
            <v>0</v>
          </cell>
          <cell r="CG65">
            <v>0</v>
          </cell>
          <cell r="CH65">
            <v>0</v>
          </cell>
          <cell r="CI65">
            <v>0</v>
          </cell>
          <cell r="CJ65">
            <v>0</v>
          </cell>
          <cell r="CK65">
            <v>0</v>
          </cell>
          <cell r="FD65">
            <v>3965902</v>
          </cell>
          <cell r="GC65">
            <v>0</v>
          </cell>
          <cell r="GD65">
            <v>0</v>
          </cell>
          <cell r="GE65">
            <v>0</v>
          </cell>
        </row>
        <row r="66">
          <cell r="A66" t="str">
            <v>תחנות שאיבה משותף עם מסד</v>
          </cell>
          <cell r="AO66">
            <v>334201</v>
          </cell>
          <cell r="BW66">
            <v>0</v>
          </cell>
          <cell r="BX66">
            <v>0</v>
          </cell>
          <cell r="BY66">
            <v>0</v>
          </cell>
          <cell r="BZ66">
            <v>0</v>
          </cell>
          <cell r="CB66">
            <v>0</v>
          </cell>
          <cell r="CD66">
            <v>0</v>
          </cell>
          <cell r="CE66">
            <v>0</v>
          </cell>
          <cell r="CF66">
            <v>0</v>
          </cell>
          <cell r="CG66">
            <v>0</v>
          </cell>
          <cell r="CH66">
            <v>0</v>
          </cell>
          <cell r="CI66">
            <v>0</v>
          </cell>
          <cell r="CJ66">
            <v>0</v>
          </cell>
          <cell r="CK66">
            <v>0</v>
          </cell>
          <cell r="GC66">
            <v>0</v>
          </cell>
          <cell r="GD66">
            <v>0</v>
          </cell>
          <cell r="GE66">
            <v>0</v>
          </cell>
        </row>
        <row r="67">
          <cell r="A67" t="str">
            <v>דיזל גנרטורים משותף עם מסד</v>
          </cell>
          <cell r="AO67">
            <v>13101</v>
          </cell>
          <cell r="BW67">
            <v>0</v>
          </cell>
          <cell r="BX67">
            <v>0</v>
          </cell>
          <cell r="BY67">
            <v>0</v>
          </cell>
          <cell r="BZ67">
            <v>0</v>
          </cell>
          <cell r="CB67">
            <v>0</v>
          </cell>
          <cell r="CD67">
            <v>0</v>
          </cell>
          <cell r="CE67">
            <v>0</v>
          </cell>
          <cell r="CF67">
            <v>0</v>
          </cell>
          <cell r="CG67">
            <v>0</v>
          </cell>
          <cell r="CH67">
            <v>0</v>
          </cell>
          <cell r="CI67">
            <v>0</v>
          </cell>
          <cell r="CJ67">
            <v>0</v>
          </cell>
          <cell r="CK67">
            <v>0</v>
          </cell>
          <cell r="GC67">
            <v>0</v>
          </cell>
          <cell r="GD67">
            <v>0</v>
          </cell>
          <cell r="GE67">
            <v>0</v>
          </cell>
        </row>
        <row r="68">
          <cell r="A68" t="str">
            <v>מכון טיהור משותף עם מסד</v>
          </cell>
          <cell r="AO68">
            <v>2951434</v>
          </cell>
          <cell r="BW68">
            <v>0</v>
          </cell>
          <cell r="BX68">
            <v>0</v>
          </cell>
          <cell r="BY68">
            <v>0</v>
          </cell>
          <cell r="BZ68">
            <v>0</v>
          </cell>
          <cell r="CB68">
            <v>0</v>
          </cell>
          <cell r="CD68">
            <v>0</v>
          </cell>
          <cell r="CE68">
            <v>0</v>
          </cell>
          <cell r="CF68">
            <v>0</v>
          </cell>
          <cell r="CG68">
            <v>0</v>
          </cell>
          <cell r="CH68">
            <v>0</v>
          </cell>
          <cell r="CI68">
            <v>0</v>
          </cell>
          <cell r="CJ68">
            <v>0</v>
          </cell>
          <cell r="CK68">
            <v>0</v>
          </cell>
          <cell r="GC68">
            <v>0</v>
          </cell>
          <cell r="GD68">
            <v>0</v>
          </cell>
          <cell r="GE68">
            <v>0</v>
          </cell>
        </row>
        <row r="69">
          <cell r="A69" t="str">
            <v>מערכת אזורית</v>
          </cell>
          <cell r="R69">
            <v>711528</v>
          </cell>
          <cell r="BV69">
            <v>70913000</v>
          </cell>
          <cell r="CE69">
            <v>0</v>
          </cell>
          <cell r="CF69">
            <v>0</v>
          </cell>
          <cell r="CG69">
            <v>0</v>
          </cell>
          <cell r="CH69">
            <v>0</v>
          </cell>
          <cell r="CI69">
            <v>0</v>
          </cell>
          <cell r="CJ69">
            <v>0</v>
          </cell>
          <cell r="CK69">
            <v>0</v>
          </cell>
          <cell r="DR69">
            <v>2764312</v>
          </cell>
          <cell r="FV69">
            <v>1933632</v>
          </cell>
          <cell r="GC69">
            <v>0</v>
          </cell>
          <cell r="GD69">
            <v>0</v>
          </cell>
          <cell r="GE69">
            <v>0</v>
          </cell>
        </row>
        <row r="70">
          <cell r="A70" t="str">
            <v>מט"ש</v>
          </cell>
          <cell r="AB70">
            <v>4047728</v>
          </cell>
          <cell r="AM70">
            <v>2579702</v>
          </cell>
          <cell r="AN70">
            <v>0</v>
          </cell>
          <cell r="AO70">
            <v>0</v>
          </cell>
          <cell r="AP70">
            <v>0</v>
          </cell>
          <cell r="AQ70">
            <v>0</v>
          </cell>
          <cell r="AR70">
            <v>0</v>
          </cell>
          <cell r="AS70">
            <v>0</v>
          </cell>
          <cell r="AT70">
            <v>0</v>
          </cell>
          <cell r="BW70">
            <v>0</v>
          </cell>
          <cell r="BX70">
            <v>0</v>
          </cell>
          <cell r="BY70">
            <v>0</v>
          </cell>
          <cell r="BZ70">
            <v>0</v>
          </cell>
          <cell r="CB70">
            <v>0</v>
          </cell>
          <cell r="CD70">
            <v>5300000</v>
          </cell>
          <cell r="CE70">
            <v>0</v>
          </cell>
          <cell r="CF70">
            <v>0</v>
          </cell>
          <cell r="CG70">
            <v>0</v>
          </cell>
          <cell r="CH70">
            <v>0</v>
          </cell>
          <cell r="CI70">
            <v>0</v>
          </cell>
          <cell r="CJ70">
            <v>0</v>
          </cell>
          <cell r="CK70">
            <v>0</v>
          </cell>
          <cell r="GC70">
            <v>0</v>
          </cell>
          <cell r="GD70">
            <v>0</v>
          </cell>
          <cell r="GE70">
            <v>0</v>
          </cell>
        </row>
        <row r="71">
          <cell r="A71" t="str">
            <v>סה"כ</v>
          </cell>
          <cell r="B71">
            <v>25569166</v>
          </cell>
          <cell r="C71">
            <v>116038292</v>
          </cell>
          <cell r="D71">
            <v>85440000</v>
          </cell>
          <cell r="E71">
            <v>54179346</v>
          </cell>
          <cell r="F71">
            <v>1801370</v>
          </cell>
          <cell r="G71">
            <v>10377488</v>
          </cell>
          <cell r="H71">
            <v>16691507</v>
          </cell>
          <cell r="I71">
            <v>181902103</v>
          </cell>
          <cell r="J71">
            <v>6148233</v>
          </cell>
          <cell r="K71">
            <v>10413019</v>
          </cell>
          <cell r="L71">
            <v>31200330</v>
          </cell>
          <cell r="M71">
            <v>9540592</v>
          </cell>
          <cell r="N71">
            <v>12090988</v>
          </cell>
          <cell r="O71">
            <v>15298932</v>
          </cell>
          <cell r="P71">
            <v>2456776</v>
          </cell>
          <cell r="Q71">
            <v>7895952</v>
          </cell>
          <cell r="R71">
            <v>17886896</v>
          </cell>
          <cell r="S71">
            <v>74456641</v>
          </cell>
          <cell r="T71">
            <v>136884923</v>
          </cell>
          <cell r="U71">
            <v>5643500</v>
          </cell>
          <cell r="V71">
            <v>37646187</v>
          </cell>
          <cell r="W71">
            <v>10321228</v>
          </cell>
          <cell r="X71">
            <v>9646680</v>
          </cell>
          <cell r="Y71">
            <v>16237775</v>
          </cell>
          <cell r="Z71">
            <v>18664668</v>
          </cell>
          <cell r="AA71">
            <v>17735847</v>
          </cell>
          <cell r="AB71">
            <v>4386369</v>
          </cell>
          <cell r="AC71">
            <v>2203039</v>
          </cell>
          <cell r="AD71">
            <v>16073213</v>
          </cell>
          <cell r="AE71">
            <v>35598019</v>
          </cell>
          <cell r="AF71">
            <v>27268389</v>
          </cell>
          <cell r="AG71">
            <v>6565372</v>
          </cell>
          <cell r="AH71">
            <v>36802627</v>
          </cell>
          <cell r="AI71">
            <v>8107828</v>
          </cell>
          <cell r="AJ71">
            <v>12632082</v>
          </cell>
          <cell r="AK71">
            <v>7572185</v>
          </cell>
          <cell r="AL71">
            <v>11276245</v>
          </cell>
          <cell r="AM71">
            <v>26759581</v>
          </cell>
          <cell r="AN71">
            <v>7621207</v>
          </cell>
          <cell r="AO71">
            <v>13112342</v>
          </cell>
          <cell r="AP71">
            <v>18602293</v>
          </cell>
          <cell r="AQ71">
            <v>31401779</v>
          </cell>
          <cell r="AR71">
            <v>19135810</v>
          </cell>
          <cell r="AS71">
            <v>6891079</v>
          </cell>
          <cell r="AT71">
            <v>37892048</v>
          </cell>
          <cell r="AU71">
            <v>7601687</v>
          </cell>
          <cell r="AV71">
            <v>7530715</v>
          </cell>
          <cell r="AW71">
            <v>16832228</v>
          </cell>
          <cell r="AX71">
            <v>11039630</v>
          </cell>
          <cell r="AY71">
            <v>7379273</v>
          </cell>
          <cell r="AZ71">
            <v>23666077</v>
          </cell>
          <cell r="BA71">
            <v>22807134</v>
          </cell>
          <cell r="BB71">
            <v>31005173</v>
          </cell>
          <cell r="BC71">
            <v>45017834</v>
          </cell>
          <cell r="BD71">
            <v>13316126</v>
          </cell>
          <cell r="BE71">
            <v>7137269</v>
          </cell>
          <cell r="BF71">
            <v>62900269</v>
          </cell>
          <cell r="BG71">
            <v>106129059</v>
          </cell>
          <cell r="BH71">
            <v>63222735</v>
          </cell>
          <cell r="BI71">
            <v>29977000</v>
          </cell>
          <cell r="BJ71">
            <v>31005173</v>
          </cell>
          <cell r="BK71">
            <v>85428097</v>
          </cell>
          <cell r="BL71">
            <v>1801370</v>
          </cell>
          <cell r="BM71">
            <v>6102764</v>
          </cell>
          <cell r="BN71">
            <v>14276882</v>
          </cell>
          <cell r="BO71">
            <v>31206227</v>
          </cell>
          <cell r="BP71">
            <v>23133734</v>
          </cell>
          <cell r="BQ71">
            <v>56924540</v>
          </cell>
          <cell r="BR71">
            <v>18664668</v>
          </cell>
          <cell r="BS71">
            <v>36469910</v>
          </cell>
          <cell r="BT71">
            <v>0</v>
          </cell>
          <cell r="BU71">
            <v>149068916</v>
          </cell>
          <cell r="BV71">
            <v>608773526</v>
          </cell>
          <cell r="BW71">
            <v>26707799</v>
          </cell>
          <cell r="BX71">
            <v>53339583</v>
          </cell>
          <cell r="BY71">
            <v>17939119</v>
          </cell>
          <cell r="BZ71">
            <v>27216072</v>
          </cell>
          <cell r="CA71">
            <v>24814905</v>
          </cell>
          <cell r="CB71">
            <v>29962730</v>
          </cell>
          <cell r="CC71">
            <v>20184954</v>
          </cell>
          <cell r="CD71">
            <v>6950758</v>
          </cell>
          <cell r="CE71">
            <v>62643263</v>
          </cell>
          <cell r="CF71">
            <v>8247023</v>
          </cell>
          <cell r="CG71">
            <v>17691781</v>
          </cell>
          <cell r="CH71">
            <v>9344349</v>
          </cell>
          <cell r="CI71">
            <v>7878332</v>
          </cell>
          <cell r="CJ71">
            <v>37152537</v>
          </cell>
          <cell r="CK71">
            <v>2456776</v>
          </cell>
          <cell r="CL71">
            <v>25111000</v>
          </cell>
          <cell r="CM71">
            <v>11246433</v>
          </cell>
          <cell r="CN71">
            <v>4854551</v>
          </cell>
          <cell r="CO71">
            <v>27360424</v>
          </cell>
          <cell r="CP71">
            <v>19386198</v>
          </cell>
          <cell r="CQ71">
            <v>14280221</v>
          </cell>
          <cell r="CR71">
            <v>25568614</v>
          </cell>
          <cell r="CS71">
            <v>26933227</v>
          </cell>
          <cell r="CT71">
            <v>19045365</v>
          </cell>
          <cell r="CU71">
            <v>11242000</v>
          </cell>
          <cell r="CV71">
            <v>24119880</v>
          </cell>
          <cell r="CW71">
            <v>121737165</v>
          </cell>
          <cell r="CX71">
            <v>31519586</v>
          </cell>
          <cell r="CY71">
            <v>10387230</v>
          </cell>
          <cell r="CZ71">
            <v>7192404</v>
          </cell>
          <cell r="DA71">
            <v>28979638</v>
          </cell>
          <cell r="DB71">
            <v>15381768</v>
          </cell>
          <cell r="DC71">
            <v>22121908</v>
          </cell>
          <cell r="DD71">
            <v>14761718</v>
          </cell>
          <cell r="DE71">
            <v>33821400</v>
          </cell>
          <cell r="DF71">
            <v>7385437</v>
          </cell>
          <cell r="DG71">
            <v>10950306</v>
          </cell>
          <cell r="DH71">
            <v>122270723</v>
          </cell>
          <cell r="DI71">
            <v>2328894</v>
          </cell>
          <cell r="DJ71">
            <v>12383474</v>
          </cell>
          <cell r="DK71">
            <v>72883174</v>
          </cell>
          <cell r="DL71">
            <v>169816994</v>
          </cell>
          <cell r="DM71">
            <v>10643700</v>
          </cell>
          <cell r="DN71">
            <v>0</v>
          </cell>
          <cell r="DO71">
            <v>32792224</v>
          </cell>
          <cell r="DP71">
            <v>83432058</v>
          </cell>
          <cell r="DQ71">
            <v>8735303</v>
          </cell>
          <cell r="DR71">
            <v>14529653</v>
          </cell>
          <cell r="DS71">
            <v>9877779</v>
          </cell>
          <cell r="DT71">
            <v>70118664</v>
          </cell>
          <cell r="DU71">
            <v>108890831</v>
          </cell>
          <cell r="DV71">
            <v>19603688</v>
          </cell>
          <cell r="DW71">
            <v>48086163</v>
          </cell>
          <cell r="DX71">
            <v>0</v>
          </cell>
          <cell r="DY71">
            <v>18643904</v>
          </cell>
          <cell r="DZ71">
            <v>8452734</v>
          </cell>
          <cell r="EA71">
            <v>3998922</v>
          </cell>
          <cell r="EB71">
            <v>7137269</v>
          </cell>
          <cell r="EC71">
            <v>21062555</v>
          </cell>
          <cell r="ED71">
            <v>24585049</v>
          </cell>
          <cell r="EE71">
            <v>11132067</v>
          </cell>
          <cell r="EF71">
            <v>8950005</v>
          </cell>
          <cell r="EG71">
            <v>6643818</v>
          </cell>
          <cell r="EH71">
            <v>4397798</v>
          </cell>
          <cell r="EI71">
            <v>11909442</v>
          </cell>
          <cell r="EJ71">
            <v>4450672</v>
          </cell>
          <cell r="EK71">
            <v>40494119</v>
          </cell>
          <cell r="EL71">
            <v>0</v>
          </cell>
          <cell r="EM71">
            <v>21041682</v>
          </cell>
          <cell r="EN71">
            <v>53778053</v>
          </cell>
          <cell r="EO71">
            <v>9646680</v>
          </cell>
          <cell r="EP71">
            <v>22807133</v>
          </cell>
          <cell r="EQ71">
            <v>21627726</v>
          </cell>
          <cell r="ER71">
            <v>25679267</v>
          </cell>
          <cell r="ES71">
            <v>30982050</v>
          </cell>
          <cell r="ET71">
            <v>28114669</v>
          </cell>
          <cell r="EU71">
            <v>36762272</v>
          </cell>
          <cell r="EV71">
            <v>13638223</v>
          </cell>
          <cell r="EW71">
            <v>13147632</v>
          </cell>
          <cell r="EX71">
            <v>10338106</v>
          </cell>
          <cell r="EY71">
            <v>12488128</v>
          </cell>
          <cell r="EZ71">
            <v>6565372</v>
          </cell>
          <cell r="FA71">
            <v>175953037</v>
          </cell>
          <cell r="FB71">
            <v>8169959</v>
          </cell>
          <cell r="FC71">
            <v>17132034</v>
          </cell>
          <cell r="FD71">
            <v>16219324</v>
          </cell>
          <cell r="FE71">
            <v>156000</v>
          </cell>
          <cell r="FF71">
            <v>58201369</v>
          </cell>
          <cell r="FG71">
            <v>21556077</v>
          </cell>
          <cell r="FH71">
            <v>10282286</v>
          </cell>
          <cell r="FI71">
            <v>24914679</v>
          </cell>
          <cell r="FJ71">
            <v>2920246</v>
          </cell>
          <cell r="FK71">
            <v>28240644</v>
          </cell>
          <cell r="FL71">
            <v>149273050</v>
          </cell>
          <cell r="FM71">
            <v>14556657</v>
          </cell>
          <cell r="FN71">
            <v>4842797</v>
          </cell>
          <cell r="FO71">
            <v>8434097</v>
          </cell>
          <cell r="FP71">
            <v>15574800</v>
          </cell>
          <cell r="FQ71">
            <v>6238429</v>
          </cell>
          <cell r="FR71">
            <v>10951000</v>
          </cell>
          <cell r="FS71">
            <v>7601687</v>
          </cell>
          <cell r="FT71">
            <v>15889625</v>
          </cell>
          <cell r="FU71">
            <v>43467241</v>
          </cell>
          <cell r="FV71">
            <v>6946130</v>
          </cell>
          <cell r="FW71">
            <v>5592416</v>
          </cell>
          <cell r="FX71">
            <v>15266472</v>
          </cell>
          <cell r="FY71">
            <v>42446902</v>
          </cell>
          <cell r="FZ71">
            <v>12340956</v>
          </cell>
          <cell r="GA71">
            <v>0</v>
          </cell>
          <cell r="GB71">
            <v>3133936</v>
          </cell>
          <cell r="GC71">
            <v>11273799.999999998</v>
          </cell>
          <cell r="GD71">
            <v>11273799.999999998</v>
          </cell>
          <cell r="GE71">
            <v>11273799.999999998</v>
          </cell>
          <cell r="GF71">
            <v>4735754</v>
          </cell>
        </row>
        <row r="72">
          <cell r="BO72">
            <v>31206227</v>
          </cell>
        </row>
        <row r="73">
          <cell r="A73" t="str">
            <v>ערך כינון מלא מים</v>
          </cell>
          <cell r="B73">
            <v>11012190</v>
          </cell>
          <cell r="C73">
            <v>85215200</v>
          </cell>
          <cell r="D73">
            <v>160148000</v>
          </cell>
          <cell r="E73">
            <v>42647450</v>
          </cell>
          <cell r="F73">
            <v>11488430</v>
          </cell>
          <cell r="G73">
            <v>9042333</v>
          </cell>
          <cell r="H73">
            <v>19250412</v>
          </cell>
          <cell r="I73">
            <v>258750931</v>
          </cell>
          <cell r="J73">
            <v>0</v>
          </cell>
          <cell r="K73">
            <v>7567270</v>
          </cell>
          <cell r="L73">
            <v>15703925</v>
          </cell>
          <cell r="M73">
            <v>5064385</v>
          </cell>
          <cell r="N73">
            <v>6963620</v>
          </cell>
          <cell r="O73">
            <v>12020530</v>
          </cell>
          <cell r="P73">
            <v>2766945</v>
          </cell>
          <cell r="Q73">
            <v>11027913</v>
          </cell>
          <cell r="R73">
            <v>8344240</v>
          </cell>
          <cell r="S73">
            <v>74041220</v>
          </cell>
          <cell r="T73">
            <v>150246740</v>
          </cell>
          <cell r="U73">
            <v>18944720</v>
          </cell>
          <cell r="V73">
            <v>123228250</v>
          </cell>
          <cell r="W73">
            <v>9166270</v>
          </cell>
          <cell r="X73">
            <v>0</v>
          </cell>
          <cell r="Y73">
            <v>16216530</v>
          </cell>
          <cell r="Z73">
            <v>8190665</v>
          </cell>
          <cell r="AA73">
            <v>20844109</v>
          </cell>
          <cell r="AB73">
            <v>5257202</v>
          </cell>
          <cell r="AC73">
            <v>5251639</v>
          </cell>
          <cell r="AD73">
            <v>9474036</v>
          </cell>
          <cell r="AE73">
            <v>16938539</v>
          </cell>
          <cell r="AF73">
            <v>37348976</v>
          </cell>
          <cell r="AG73">
            <v>0</v>
          </cell>
          <cell r="AH73">
            <v>36423710</v>
          </cell>
          <cell r="AI73">
            <v>7267740</v>
          </cell>
          <cell r="AJ73">
            <v>6566860</v>
          </cell>
          <cell r="AK73">
            <v>4602310</v>
          </cell>
          <cell r="AL73">
            <v>1437550</v>
          </cell>
          <cell r="AM73">
            <v>21261730</v>
          </cell>
          <cell r="AN73">
            <v>9073915</v>
          </cell>
          <cell r="AO73">
            <v>9944555</v>
          </cell>
          <cell r="AP73">
            <v>10721552</v>
          </cell>
          <cell r="AQ73">
            <v>39451330</v>
          </cell>
          <cell r="AR73">
            <v>15182170</v>
          </cell>
          <cell r="AS73">
            <v>6157780</v>
          </cell>
          <cell r="AT73">
            <v>20230690</v>
          </cell>
          <cell r="AU73">
            <v>9348516</v>
          </cell>
          <cell r="AV73">
            <v>6156140</v>
          </cell>
          <cell r="AW73">
            <v>16749605</v>
          </cell>
          <cell r="AX73">
            <v>6893020</v>
          </cell>
          <cell r="AY73">
            <v>3975970</v>
          </cell>
          <cell r="AZ73">
            <v>38903470</v>
          </cell>
          <cell r="BA73">
            <v>37135395</v>
          </cell>
          <cell r="BB73">
            <v>60284837</v>
          </cell>
          <cell r="BC73">
            <v>56516510</v>
          </cell>
          <cell r="BD73">
            <v>12957335</v>
          </cell>
          <cell r="BE73">
            <v>25133885</v>
          </cell>
          <cell r="BF73">
            <v>67140124</v>
          </cell>
          <cell r="BG73">
            <v>148222150</v>
          </cell>
          <cell r="BH73">
            <v>58076750</v>
          </cell>
          <cell r="BI73">
            <v>27484000</v>
          </cell>
          <cell r="BJ73">
            <v>60284837</v>
          </cell>
          <cell r="BK73">
            <v>12957335</v>
          </cell>
          <cell r="BL73">
            <v>11488430</v>
          </cell>
          <cell r="BM73">
            <v>79985886</v>
          </cell>
          <cell r="BN73">
            <v>12737857</v>
          </cell>
          <cell r="BO73">
            <v>52364347</v>
          </cell>
          <cell r="BP73">
            <v>48096628</v>
          </cell>
          <cell r="BQ73">
            <v>101123076</v>
          </cell>
          <cell r="BR73">
            <v>8190665</v>
          </cell>
          <cell r="BS73">
            <v>124767032</v>
          </cell>
          <cell r="BT73">
            <v>150246740</v>
          </cell>
          <cell r="BU73">
            <v>527997442</v>
          </cell>
          <cell r="BV73">
            <v>1072679959</v>
          </cell>
          <cell r="BW73">
            <v>24630499</v>
          </cell>
          <cell r="BX73">
            <v>56675900</v>
          </cell>
          <cell r="BY73">
            <v>36457900</v>
          </cell>
          <cell r="BZ73">
            <v>31935393</v>
          </cell>
          <cell r="CA73">
            <v>19532245</v>
          </cell>
          <cell r="CB73">
            <v>28775421</v>
          </cell>
          <cell r="CC73">
            <v>27530423</v>
          </cell>
          <cell r="CD73">
            <v>11159115</v>
          </cell>
          <cell r="CE73">
            <v>94580449</v>
          </cell>
          <cell r="CF73">
            <v>3957412</v>
          </cell>
          <cell r="CG73">
            <v>60948444</v>
          </cell>
          <cell r="CH73">
            <v>24443168</v>
          </cell>
          <cell r="CI73">
            <v>27653658</v>
          </cell>
          <cell r="CJ73">
            <v>56548790</v>
          </cell>
          <cell r="CK73">
            <v>2766945</v>
          </cell>
          <cell r="CL73">
            <v>35496000</v>
          </cell>
          <cell r="CM73">
            <v>10733930</v>
          </cell>
          <cell r="CN73">
            <v>4832905</v>
          </cell>
          <cell r="CO73">
            <v>19311068</v>
          </cell>
          <cell r="CP73">
            <v>16344191</v>
          </cell>
          <cell r="CQ73">
            <v>13387175</v>
          </cell>
          <cell r="CR73">
            <v>9716580</v>
          </cell>
          <cell r="CS73">
            <v>13340700</v>
          </cell>
          <cell r="CT73">
            <v>17762412</v>
          </cell>
          <cell r="CU73">
            <v>9267000</v>
          </cell>
          <cell r="CV73">
            <v>23069001</v>
          </cell>
          <cell r="CW73">
            <v>0</v>
          </cell>
          <cell r="CX73">
            <v>15475780</v>
          </cell>
          <cell r="CY73">
            <v>13391690</v>
          </cell>
          <cell r="CZ73">
            <v>10317860</v>
          </cell>
          <cell r="DA73">
            <v>18694517</v>
          </cell>
          <cell r="DB73">
            <v>9593287</v>
          </cell>
          <cell r="DC73">
            <v>11014140</v>
          </cell>
          <cell r="DD73">
            <v>3787100</v>
          </cell>
          <cell r="DE73">
            <v>21311831</v>
          </cell>
          <cell r="DF73">
            <v>178705035</v>
          </cell>
          <cell r="DG73">
            <v>12963170</v>
          </cell>
          <cell r="DH73">
            <v>83864078</v>
          </cell>
          <cell r="DI73">
            <v>53752670</v>
          </cell>
          <cell r="DJ73">
            <v>46623877</v>
          </cell>
          <cell r="DK73">
            <v>291996058</v>
          </cell>
          <cell r="DL73">
            <v>236627176</v>
          </cell>
          <cell r="DM73">
            <v>18989510</v>
          </cell>
          <cell r="DN73">
            <v>0</v>
          </cell>
          <cell r="DO73">
            <v>53273777</v>
          </cell>
          <cell r="DP73">
            <v>114350911</v>
          </cell>
          <cell r="DQ73">
            <v>17335600</v>
          </cell>
          <cell r="DR73">
            <v>6817844</v>
          </cell>
          <cell r="DS73">
            <v>5371991</v>
          </cell>
          <cell r="DT73">
            <v>55516362</v>
          </cell>
          <cell r="DU73">
            <v>104546831</v>
          </cell>
          <cell r="DV73">
            <v>30076983</v>
          </cell>
          <cell r="DW73">
            <v>27596965</v>
          </cell>
          <cell r="DX73">
            <v>14288690</v>
          </cell>
          <cell r="DY73">
            <v>14445610</v>
          </cell>
          <cell r="DZ73">
            <v>18160593</v>
          </cell>
          <cell r="EA73">
            <v>10434422</v>
          </cell>
          <cell r="EB73">
            <v>25133885</v>
          </cell>
          <cell r="EC73">
            <v>23798990</v>
          </cell>
          <cell r="ED73">
            <v>26033055</v>
          </cell>
          <cell r="EE73">
            <v>11997620</v>
          </cell>
          <cell r="EF73">
            <v>15423869</v>
          </cell>
          <cell r="EG73">
            <v>8761555</v>
          </cell>
          <cell r="EH73">
            <v>13062600</v>
          </cell>
          <cell r="EI73">
            <v>33942999</v>
          </cell>
          <cell r="EJ73">
            <v>7244087</v>
          </cell>
          <cell r="EK73">
            <v>37682575</v>
          </cell>
          <cell r="EL73">
            <v>11337830</v>
          </cell>
          <cell r="EM73">
            <v>19935263</v>
          </cell>
          <cell r="EN73">
            <v>68538742</v>
          </cell>
          <cell r="EO73">
            <v>0</v>
          </cell>
          <cell r="EP73">
            <v>37135395</v>
          </cell>
          <cell r="EQ73">
            <v>27591293</v>
          </cell>
          <cell r="ER73">
            <v>20122782</v>
          </cell>
          <cell r="ES73">
            <v>35897350</v>
          </cell>
          <cell r="ET73">
            <v>36363000</v>
          </cell>
          <cell r="EU73">
            <v>20507825</v>
          </cell>
          <cell r="EV73">
            <v>13758935</v>
          </cell>
          <cell r="EW73">
            <v>11890832</v>
          </cell>
          <cell r="EX73">
            <v>8618900</v>
          </cell>
          <cell r="EY73">
            <v>9936036</v>
          </cell>
          <cell r="EZ73">
            <v>0</v>
          </cell>
          <cell r="FA73">
            <v>644260862</v>
          </cell>
          <cell r="FB73">
            <v>9353677</v>
          </cell>
          <cell r="FC73">
            <v>33018419</v>
          </cell>
          <cell r="FD73">
            <v>20770871</v>
          </cell>
          <cell r="FE73">
            <v>17231000</v>
          </cell>
          <cell r="FF73">
            <v>101123076</v>
          </cell>
          <cell r="FG73">
            <v>11705850</v>
          </cell>
          <cell r="FH73">
            <v>6385180</v>
          </cell>
          <cell r="FI73">
            <v>31286022</v>
          </cell>
          <cell r="FJ73">
            <v>2134205</v>
          </cell>
          <cell r="FK73">
            <v>17051925</v>
          </cell>
          <cell r="FL73">
            <v>379788702</v>
          </cell>
          <cell r="FM73">
            <v>9178300</v>
          </cell>
          <cell r="FN73">
            <v>5034966</v>
          </cell>
          <cell r="FO73">
            <v>5257202</v>
          </cell>
          <cell r="FP73">
            <v>12482005</v>
          </cell>
          <cell r="FQ73">
            <v>3310350</v>
          </cell>
          <cell r="FR73">
            <v>13614000</v>
          </cell>
          <cell r="FS73">
            <v>9348516</v>
          </cell>
          <cell r="FT73">
            <v>6760160</v>
          </cell>
          <cell r="FU73">
            <v>22544150</v>
          </cell>
          <cell r="FV73">
            <v>8957024</v>
          </cell>
          <cell r="FW73">
            <v>26053905</v>
          </cell>
          <cell r="FX73">
            <v>31596175</v>
          </cell>
          <cell r="FY73">
            <v>46357848</v>
          </cell>
          <cell r="FZ73">
            <v>7166803</v>
          </cell>
          <cell r="GA73">
            <v>6840045</v>
          </cell>
          <cell r="GB73">
            <v>2478592</v>
          </cell>
          <cell r="GC73">
            <v>7103943.666666667</v>
          </cell>
          <cell r="GD73">
            <v>7103943.666666667</v>
          </cell>
          <cell r="GE73">
            <v>7103943.666666667</v>
          </cell>
          <cell r="GF73">
            <v>24021598</v>
          </cell>
        </row>
        <row r="74">
          <cell r="A74" t="str">
            <v>ערך כינון מופחת מים</v>
          </cell>
          <cell r="B74">
            <v>7567791</v>
          </cell>
          <cell r="C74">
            <v>58288302</v>
          </cell>
          <cell r="D74">
            <v>87816000</v>
          </cell>
          <cell r="E74">
            <v>29893784</v>
          </cell>
          <cell r="F74">
            <v>7217614</v>
          </cell>
          <cell r="G74">
            <v>6711076</v>
          </cell>
          <cell r="H74">
            <v>15978545</v>
          </cell>
          <cell r="I74">
            <v>102980454</v>
          </cell>
          <cell r="J74">
            <v>0</v>
          </cell>
          <cell r="K74">
            <v>4733558</v>
          </cell>
          <cell r="L74">
            <v>10900920</v>
          </cell>
          <cell r="M74">
            <v>3690360</v>
          </cell>
          <cell r="N74">
            <v>4157828</v>
          </cell>
          <cell r="O74">
            <v>8029545</v>
          </cell>
          <cell r="P74">
            <v>1756460</v>
          </cell>
          <cell r="Q74">
            <v>7584985</v>
          </cell>
          <cell r="R74">
            <v>5521993</v>
          </cell>
          <cell r="S74">
            <v>45332274</v>
          </cell>
          <cell r="T74">
            <v>68351183</v>
          </cell>
          <cell r="U74">
            <v>10236310</v>
          </cell>
          <cell r="V74">
            <v>54678649</v>
          </cell>
          <cell r="W74">
            <v>7061221</v>
          </cell>
          <cell r="X74">
            <v>0</v>
          </cell>
          <cell r="Y74">
            <v>12447864</v>
          </cell>
          <cell r="Z74">
            <v>5727180</v>
          </cell>
          <cell r="AA74">
            <v>13627786</v>
          </cell>
          <cell r="AB74">
            <v>4044630</v>
          </cell>
          <cell r="AC74">
            <v>2737623</v>
          </cell>
          <cell r="AD74">
            <v>6628440</v>
          </cell>
          <cell r="AE74">
            <v>8665798</v>
          </cell>
          <cell r="AF74">
            <v>20382365</v>
          </cell>
          <cell r="AG74">
            <v>0</v>
          </cell>
          <cell r="AH74">
            <v>20780033</v>
          </cell>
          <cell r="AI74">
            <v>5543964</v>
          </cell>
          <cell r="AJ74">
            <v>4136974</v>
          </cell>
          <cell r="AK74">
            <v>3658722</v>
          </cell>
          <cell r="AL74">
            <v>1039496</v>
          </cell>
          <cell r="AM74">
            <v>15752036</v>
          </cell>
          <cell r="AN74">
            <v>6093317</v>
          </cell>
          <cell r="AO74">
            <v>6526653</v>
          </cell>
          <cell r="AP74">
            <v>6937059</v>
          </cell>
          <cell r="AQ74">
            <v>25740957</v>
          </cell>
          <cell r="AR74">
            <v>10358291</v>
          </cell>
          <cell r="AS74">
            <v>2835649</v>
          </cell>
          <cell r="AT74">
            <v>13406681</v>
          </cell>
          <cell r="AU74">
            <v>5298074</v>
          </cell>
          <cell r="AV74">
            <v>3822033</v>
          </cell>
          <cell r="AW74">
            <v>12245393</v>
          </cell>
          <cell r="AX74">
            <v>5399478</v>
          </cell>
          <cell r="AY74">
            <v>3192141</v>
          </cell>
          <cell r="AZ74">
            <v>14763306</v>
          </cell>
          <cell r="BA74">
            <v>20874206</v>
          </cell>
          <cell r="BB74">
            <v>36539424</v>
          </cell>
          <cell r="BC74">
            <v>35205489</v>
          </cell>
          <cell r="BD74">
            <v>7666305</v>
          </cell>
          <cell r="BE74">
            <v>15354864</v>
          </cell>
          <cell r="BF74">
            <v>28317246</v>
          </cell>
          <cell r="BG74">
            <v>85636525</v>
          </cell>
          <cell r="BH74">
            <v>36512021</v>
          </cell>
          <cell r="BI74">
            <v>13475000</v>
          </cell>
          <cell r="BJ74">
            <v>36539424</v>
          </cell>
          <cell r="BK74">
            <v>75233492</v>
          </cell>
          <cell r="BL74">
            <v>7217614</v>
          </cell>
          <cell r="BM74">
            <v>42979931</v>
          </cell>
          <cell r="BN74">
            <v>7217546.333333334</v>
          </cell>
          <cell r="BO74">
            <v>34225331</v>
          </cell>
          <cell r="BP74">
            <v>25983192</v>
          </cell>
          <cell r="BQ74">
            <v>62864678</v>
          </cell>
          <cell r="BR74">
            <v>5727180</v>
          </cell>
          <cell r="BS74">
            <v>70106355</v>
          </cell>
          <cell r="BT74">
            <v>68351183</v>
          </cell>
          <cell r="BU74">
            <v>214592112</v>
          </cell>
          <cell r="BV74">
            <v>480334891</v>
          </cell>
          <cell r="BW74">
            <v>12864998</v>
          </cell>
          <cell r="BX74">
            <v>35375937</v>
          </cell>
          <cell r="BY74">
            <v>19849875</v>
          </cell>
          <cell r="BZ74">
            <v>11129266</v>
          </cell>
          <cell r="CA74">
            <v>12459130</v>
          </cell>
          <cell r="CB74">
            <v>17401427</v>
          </cell>
          <cell r="CC74">
            <v>17622201</v>
          </cell>
          <cell r="CD74">
            <v>7652676</v>
          </cell>
          <cell r="CE74">
            <v>40311868</v>
          </cell>
          <cell r="CF74">
            <v>2594946</v>
          </cell>
          <cell r="CG74">
            <v>36080231</v>
          </cell>
          <cell r="CH74">
            <v>16452484</v>
          </cell>
          <cell r="CI74">
            <v>10808652</v>
          </cell>
          <cell r="CJ74">
            <v>34588705</v>
          </cell>
          <cell r="CK74">
            <v>1756460</v>
          </cell>
          <cell r="CL74">
            <v>23224000</v>
          </cell>
          <cell r="CM74">
            <v>6583550</v>
          </cell>
          <cell r="CN74">
            <v>3744463</v>
          </cell>
          <cell r="CO74">
            <v>9754236</v>
          </cell>
          <cell r="CP74">
            <v>9631219</v>
          </cell>
          <cell r="CQ74">
            <v>10157870</v>
          </cell>
          <cell r="CR74">
            <v>5326839</v>
          </cell>
          <cell r="CS74">
            <v>2795425</v>
          </cell>
          <cell r="CT74">
            <v>10781284</v>
          </cell>
          <cell r="CU74">
            <v>6193000</v>
          </cell>
          <cell r="CV74">
            <v>12571013</v>
          </cell>
          <cell r="CW74">
            <v>0</v>
          </cell>
          <cell r="CX74">
            <v>11606713</v>
          </cell>
          <cell r="CY74">
            <v>9551828</v>
          </cell>
          <cell r="CZ74">
            <v>8010824</v>
          </cell>
          <cell r="DA74">
            <v>12593750</v>
          </cell>
          <cell r="DB74">
            <v>5953439</v>
          </cell>
          <cell r="DC74">
            <v>7852103</v>
          </cell>
          <cell r="DD74">
            <v>2045413</v>
          </cell>
          <cell r="DE74">
            <v>13911257</v>
          </cell>
          <cell r="DF74">
            <v>67732403</v>
          </cell>
          <cell r="DG74">
            <v>8497888</v>
          </cell>
          <cell r="DH74">
            <v>37063227</v>
          </cell>
          <cell r="DI74">
            <v>23560257</v>
          </cell>
          <cell r="DJ74">
            <v>26880556</v>
          </cell>
          <cell r="DK74">
            <v>136452761</v>
          </cell>
          <cell r="DL74">
            <v>128230596</v>
          </cell>
          <cell r="DM74">
            <v>9665056</v>
          </cell>
          <cell r="DN74">
            <v>0</v>
          </cell>
          <cell r="DO74">
            <v>30946040</v>
          </cell>
          <cell r="DP74">
            <v>82392178</v>
          </cell>
          <cell r="DQ74">
            <v>5673409</v>
          </cell>
          <cell r="DR74">
            <v>4818502</v>
          </cell>
          <cell r="DS74">
            <v>2683925</v>
          </cell>
          <cell r="DT74">
            <v>34929398</v>
          </cell>
          <cell r="DU74">
            <v>54931390</v>
          </cell>
          <cell r="DV74">
            <v>14652449</v>
          </cell>
          <cell r="DW74">
            <v>16556043</v>
          </cell>
          <cell r="DX74">
            <v>8744796</v>
          </cell>
          <cell r="DY74">
            <v>8782813</v>
          </cell>
          <cell r="DZ74">
            <v>13765677</v>
          </cell>
          <cell r="EA74">
            <v>3917950</v>
          </cell>
          <cell r="EB74">
            <v>15354864</v>
          </cell>
          <cell r="EC74">
            <v>12479448</v>
          </cell>
          <cell r="ED74">
            <v>13718293</v>
          </cell>
          <cell r="EE74">
            <v>8317673</v>
          </cell>
          <cell r="EF74">
            <v>8259409</v>
          </cell>
          <cell r="EG74">
            <v>5269232</v>
          </cell>
          <cell r="EH74">
            <v>7364039</v>
          </cell>
          <cell r="EI74">
            <v>15237268</v>
          </cell>
          <cell r="EJ74">
            <v>4907143</v>
          </cell>
          <cell r="EK74">
            <v>21278633</v>
          </cell>
          <cell r="EL74">
            <v>7727962</v>
          </cell>
          <cell r="EM74">
            <v>13422697</v>
          </cell>
          <cell r="EN74">
            <v>34816701</v>
          </cell>
          <cell r="EO74">
            <v>0</v>
          </cell>
          <cell r="EP74">
            <v>20874204</v>
          </cell>
          <cell r="EQ74">
            <v>17032460</v>
          </cell>
          <cell r="ER74">
            <v>10954649</v>
          </cell>
          <cell r="ES74">
            <v>15242107</v>
          </cell>
          <cell r="ET74">
            <v>10673053</v>
          </cell>
          <cell r="EU74">
            <v>9988104</v>
          </cell>
          <cell r="EV74">
            <v>5796565</v>
          </cell>
          <cell r="EW74">
            <v>7965844</v>
          </cell>
          <cell r="EX74">
            <v>5441919</v>
          </cell>
          <cell r="EY74">
            <v>5668650</v>
          </cell>
          <cell r="EZ74">
            <v>0</v>
          </cell>
          <cell r="FA74">
            <v>195693476</v>
          </cell>
          <cell r="FB74">
            <v>6166493</v>
          </cell>
          <cell r="FC74">
            <v>18718642</v>
          </cell>
          <cell r="FD74">
            <v>13516337</v>
          </cell>
          <cell r="FE74">
            <v>9506000</v>
          </cell>
          <cell r="FF74">
            <v>62864678</v>
          </cell>
          <cell r="FG74">
            <v>8242194</v>
          </cell>
          <cell r="FH74">
            <v>3699559</v>
          </cell>
          <cell r="FI74">
            <v>11230241</v>
          </cell>
          <cell r="FJ74">
            <v>1463558</v>
          </cell>
          <cell r="FK74">
            <v>12927777</v>
          </cell>
          <cell r="FL74">
            <v>171278478</v>
          </cell>
          <cell r="FM74">
            <v>6007821</v>
          </cell>
          <cell r="FN74">
            <v>3034282</v>
          </cell>
          <cell r="FO74">
            <v>4044630</v>
          </cell>
          <cell r="FP74">
            <v>8225878</v>
          </cell>
          <cell r="FQ74">
            <v>1260295</v>
          </cell>
          <cell r="FR74">
            <v>10277000</v>
          </cell>
          <cell r="FS74">
            <v>5298074</v>
          </cell>
          <cell r="FT74">
            <v>5073110</v>
          </cell>
          <cell r="FU74">
            <v>14133689</v>
          </cell>
          <cell r="FV74">
            <v>6029809</v>
          </cell>
          <cell r="FW74">
            <v>16420986</v>
          </cell>
          <cell r="FX74">
            <v>14885687</v>
          </cell>
          <cell r="FY74">
            <v>22454683</v>
          </cell>
          <cell r="FZ74">
            <v>4794016</v>
          </cell>
          <cell r="GA74">
            <v>5704575</v>
          </cell>
          <cell r="GB74">
            <v>1931234</v>
          </cell>
          <cell r="GC74">
            <v>4637085.666666667</v>
          </cell>
          <cell r="GD74">
            <v>4637085.666666667</v>
          </cell>
          <cell r="GE74">
            <v>4637085.666666667</v>
          </cell>
          <cell r="GF74">
            <v>15071007</v>
          </cell>
        </row>
        <row r="75">
          <cell r="A75" t="str">
            <v>ערך כינון מלא ביוב</v>
          </cell>
          <cell r="B75">
            <v>20424201</v>
          </cell>
          <cell r="C75">
            <v>124034660</v>
          </cell>
          <cell r="D75">
            <v>203194000</v>
          </cell>
          <cell r="E75">
            <v>47014481</v>
          </cell>
          <cell r="F75">
            <v>9700030</v>
          </cell>
          <cell r="G75">
            <v>12192181</v>
          </cell>
          <cell r="H75">
            <v>14541290</v>
          </cell>
          <cell r="I75">
            <v>360722078</v>
          </cell>
          <cell r="J75">
            <v>4194760</v>
          </cell>
          <cell r="K75">
            <v>13760282</v>
          </cell>
          <cell r="L75">
            <v>21813700</v>
          </cell>
          <cell r="M75">
            <v>7787210</v>
          </cell>
          <cell r="N75">
            <v>9183278</v>
          </cell>
          <cell r="O75">
            <v>19856038</v>
          </cell>
          <cell r="P75">
            <v>5234788</v>
          </cell>
          <cell r="Q75">
            <v>12129695</v>
          </cell>
          <cell r="R75">
            <v>22593790</v>
          </cell>
          <cell r="S75">
            <v>80377680</v>
          </cell>
          <cell r="T75">
            <v>138286745</v>
          </cell>
          <cell r="U75">
            <v>15274950</v>
          </cell>
          <cell r="V75">
            <v>73437770</v>
          </cell>
          <cell r="W75">
            <v>12178650</v>
          </cell>
          <cell r="X75">
            <v>11450400</v>
          </cell>
          <cell r="Y75">
            <v>20491074</v>
          </cell>
          <cell r="Z75">
            <v>20653773</v>
          </cell>
          <cell r="AA75">
            <v>14687458</v>
          </cell>
          <cell r="AB75">
            <v>5939500</v>
          </cell>
          <cell r="AC75">
            <v>4362400</v>
          </cell>
          <cell r="AD75">
            <v>25231983</v>
          </cell>
          <cell r="AE75">
            <v>54950603</v>
          </cell>
          <cell r="AF75">
            <v>55668593</v>
          </cell>
          <cell r="AG75">
            <v>9203704</v>
          </cell>
          <cell r="AH75">
            <v>42093077</v>
          </cell>
          <cell r="AI75">
            <v>7755990</v>
          </cell>
          <cell r="AJ75">
            <v>7078080</v>
          </cell>
          <cell r="AK75">
            <v>6652937</v>
          </cell>
          <cell r="AL75">
            <v>7913312</v>
          </cell>
          <cell r="AM75">
            <v>32406960</v>
          </cell>
          <cell r="AN75">
            <v>12825660</v>
          </cell>
          <cell r="AO75">
            <v>12712139</v>
          </cell>
          <cell r="AP75">
            <v>15147785</v>
          </cell>
          <cell r="AQ75">
            <v>53357635</v>
          </cell>
          <cell r="AR75">
            <v>13383500</v>
          </cell>
          <cell r="AS75">
            <v>7406763</v>
          </cell>
          <cell r="AT75">
            <v>31040633</v>
          </cell>
          <cell r="AU75">
            <v>4833892</v>
          </cell>
          <cell r="AV75">
            <v>5777991</v>
          </cell>
          <cell r="AW75">
            <v>21168053</v>
          </cell>
          <cell r="AX75">
            <v>9530542</v>
          </cell>
          <cell r="AY75">
            <v>9493918</v>
          </cell>
          <cell r="AZ75">
            <v>27519950</v>
          </cell>
          <cell r="BA75">
            <v>19026910</v>
          </cell>
          <cell r="BB75">
            <v>77535846</v>
          </cell>
          <cell r="BC75">
            <v>58395175</v>
          </cell>
          <cell r="BD75">
            <v>12660489</v>
          </cell>
          <cell r="BE75">
            <v>32786850</v>
          </cell>
          <cell r="BF75">
            <v>57505046</v>
          </cell>
          <cell r="BG75">
            <v>118453750</v>
          </cell>
          <cell r="BH75">
            <v>60628460</v>
          </cell>
          <cell r="BI75">
            <v>28959000</v>
          </cell>
          <cell r="BJ75">
            <v>77535846</v>
          </cell>
          <cell r="BK75">
            <v>12660489</v>
          </cell>
          <cell r="BL75">
            <v>9700000</v>
          </cell>
          <cell r="BM75">
            <v>86446162</v>
          </cell>
          <cell r="BN75">
            <v>22251420</v>
          </cell>
          <cell r="BO75">
            <v>48674103</v>
          </cell>
          <cell r="BP75">
            <v>56934606</v>
          </cell>
          <cell r="BQ75">
            <v>89334010</v>
          </cell>
          <cell r="BR75">
            <v>20653773</v>
          </cell>
          <cell r="BS75">
            <v>137117293</v>
          </cell>
          <cell r="BT75">
            <v>0</v>
          </cell>
          <cell r="BU75">
            <v>548984062</v>
          </cell>
          <cell r="BV75">
            <v>826669303</v>
          </cell>
          <cell r="BW75">
            <v>26568811</v>
          </cell>
          <cell r="BX75">
            <v>54566236</v>
          </cell>
          <cell r="BY75">
            <v>40794100</v>
          </cell>
          <cell r="BZ75">
            <v>47969950</v>
          </cell>
          <cell r="CA75">
            <v>16850205</v>
          </cell>
          <cell r="CB75">
            <v>30718220</v>
          </cell>
          <cell r="CC75">
            <v>31299855</v>
          </cell>
          <cell r="CD75">
            <v>14117750</v>
          </cell>
          <cell r="CE75">
            <v>139366431</v>
          </cell>
          <cell r="CF75">
            <v>6993355</v>
          </cell>
          <cell r="CG75">
            <v>42809967</v>
          </cell>
          <cell r="CH75">
            <v>42255516</v>
          </cell>
          <cell r="CI75">
            <v>37261690</v>
          </cell>
          <cell r="CJ75">
            <v>74794470</v>
          </cell>
          <cell r="CK75">
            <v>5234788</v>
          </cell>
          <cell r="CL75">
            <v>32719000</v>
          </cell>
          <cell r="CM75">
            <v>15930250</v>
          </cell>
          <cell r="CN75">
            <v>7613760</v>
          </cell>
          <cell r="CO75">
            <v>17400465</v>
          </cell>
          <cell r="CP75">
            <v>22071384</v>
          </cell>
          <cell r="CQ75">
            <v>16011050</v>
          </cell>
          <cell r="CR75">
            <v>25126330</v>
          </cell>
          <cell r="CS75">
            <v>20899750</v>
          </cell>
          <cell r="CT75">
            <v>18219870</v>
          </cell>
          <cell r="CU75">
            <v>13557000</v>
          </cell>
          <cell r="CV75">
            <v>25344160</v>
          </cell>
          <cell r="CW75">
            <v>117558809</v>
          </cell>
          <cell r="CX75">
            <v>40636801</v>
          </cell>
          <cell r="CY75">
            <v>12032209</v>
          </cell>
          <cell r="CZ75">
            <v>11181032</v>
          </cell>
          <cell r="DA75">
            <v>31794073</v>
          </cell>
          <cell r="DB75">
            <v>9746220</v>
          </cell>
          <cell r="DC75">
            <v>15107273</v>
          </cell>
          <cell r="DD75">
            <v>11338827</v>
          </cell>
          <cell r="DE75">
            <v>34132286</v>
          </cell>
          <cell r="DF75">
            <v>166390871</v>
          </cell>
          <cell r="DG75">
            <v>15093197</v>
          </cell>
          <cell r="DH75">
            <v>79039867</v>
          </cell>
          <cell r="DI75">
            <v>45911475</v>
          </cell>
          <cell r="DJ75">
            <v>34310088</v>
          </cell>
          <cell r="DK75">
            <v>218730440</v>
          </cell>
          <cell r="DL75">
            <v>252317657</v>
          </cell>
          <cell r="DM75">
            <v>17786932</v>
          </cell>
          <cell r="DN75">
            <v>0</v>
          </cell>
          <cell r="DO75">
            <v>45987384</v>
          </cell>
          <cell r="DP75">
            <v>125528543</v>
          </cell>
          <cell r="DQ75">
            <v>28207135</v>
          </cell>
          <cell r="DR75">
            <v>15802971</v>
          </cell>
          <cell r="DS75">
            <v>11523615</v>
          </cell>
          <cell r="DT75">
            <v>51241795</v>
          </cell>
          <cell r="DU75">
            <v>118819128</v>
          </cell>
          <cell r="DV75">
            <v>37582006</v>
          </cell>
          <cell r="DW75">
            <v>59161875</v>
          </cell>
          <cell r="DX75">
            <v>0</v>
          </cell>
          <cell r="DY75">
            <v>23361609</v>
          </cell>
          <cell r="DZ75">
            <v>18293667</v>
          </cell>
          <cell r="EA75">
            <v>6676674</v>
          </cell>
          <cell r="EB75">
            <v>32786850</v>
          </cell>
          <cell r="EC75">
            <v>44584176</v>
          </cell>
          <cell r="ED75">
            <v>32220240</v>
          </cell>
          <cell r="EE75">
            <v>16062941</v>
          </cell>
          <cell r="EF75">
            <v>12731262</v>
          </cell>
          <cell r="EG75">
            <v>8970975</v>
          </cell>
          <cell r="EH75">
            <v>14223950</v>
          </cell>
          <cell r="EI75">
            <v>35946960</v>
          </cell>
          <cell r="EJ75">
            <v>8326980</v>
          </cell>
          <cell r="EK75">
            <v>46345430</v>
          </cell>
          <cell r="EL75">
            <v>0</v>
          </cell>
          <cell r="EM75">
            <v>28256950</v>
          </cell>
          <cell r="EN75">
            <v>70780955</v>
          </cell>
          <cell r="EO75">
            <v>11450400</v>
          </cell>
          <cell r="EP75">
            <v>19026910</v>
          </cell>
          <cell r="EQ75">
            <v>33309512</v>
          </cell>
          <cell r="ER75">
            <v>28970802</v>
          </cell>
          <cell r="ES75">
            <v>36588050</v>
          </cell>
          <cell r="ET75">
            <v>55153804</v>
          </cell>
          <cell r="EU75">
            <v>23986774</v>
          </cell>
          <cell r="EV75">
            <v>23700748</v>
          </cell>
          <cell r="EW75">
            <v>18187498</v>
          </cell>
          <cell r="EX75">
            <v>13727085</v>
          </cell>
          <cell r="EY75">
            <v>14042649</v>
          </cell>
          <cell r="EZ75">
            <v>9203704</v>
          </cell>
          <cell r="FA75">
            <v>617374040</v>
          </cell>
          <cell r="FB75">
            <v>11516473</v>
          </cell>
          <cell r="FC75">
            <v>29730920</v>
          </cell>
          <cell r="FD75">
            <v>23947985</v>
          </cell>
          <cell r="FE75">
            <v>1214000</v>
          </cell>
          <cell r="FF75">
            <v>91267220</v>
          </cell>
          <cell r="FG75">
            <v>22741234</v>
          </cell>
          <cell r="FH75">
            <v>15827925</v>
          </cell>
          <cell r="FI75">
            <v>41973975</v>
          </cell>
          <cell r="FJ75">
            <v>3691407</v>
          </cell>
          <cell r="FK75">
            <v>26792100</v>
          </cell>
          <cell r="FL75">
            <v>271266054</v>
          </cell>
          <cell r="FM75">
            <v>18746240</v>
          </cell>
          <cell r="FN75">
            <v>7958391</v>
          </cell>
          <cell r="FO75">
            <v>11306923</v>
          </cell>
          <cell r="FP75">
            <v>11787250</v>
          </cell>
          <cell r="FQ75">
            <v>9589039</v>
          </cell>
          <cell r="FR75">
            <v>17212000</v>
          </cell>
          <cell r="FS75">
            <v>4833892</v>
          </cell>
          <cell r="FT75">
            <v>9002360</v>
          </cell>
          <cell r="FU75">
            <v>22546626</v>
          </cell>
          <cell r="FV75">
            <v>16538522</v>
          </cell>
          <cell r="FW75">
            <v>24152225</v>
          </cell>
          <cell r="FX75">
            <v>33649150</v>
          </cell>
          <cell r="FY75">
            <v>64458750</v>
          </cell>
          <cell r="FZ75">
            <v>12571020</v>
          </cell>
          <cell r="GA75">
            <v>0</v>
          </cell>
          <cell r="GB75">
            <v>4315435</v>
          </cell>
          <cell r="GC75">
            <v>11377428.666666666</v>
          </cell>
          <cell r="GD75">
            <v>11377428.666666666</v>
          </cell>
          <cell r="GE75">
            <v>11377428.666666666</v>
          </cell>
          <cell r="GF75">
            <v>26893520</v>
          </cell>
        </row>
        <row r="76">
          <cell r="A76" t="str">
            <v>ערך כינון מופחת ביוב</v>
          </cell>
          <cell r="B76">
            <v>15134780</v>
          </cell>
          <cell r="C76">
            <v>47257507</v>
          </cell>
          <cell r="D76">
            <v>82342000</v>
          </cell>
          <cell r="E76">
            <v>35333415</v>
          </cell>
          <cell r="F76">
            <v>1801370</v>
          </cell>
          <cell r="G76">
            <v>8428517</v>
          </cell>
          <cell r="H76">
            <v>12786007</v>
          </cell>
          <cell r="I76">
            <v>146123249</v>
          </cell>
          <cell r="J76">
            <v>4046775</v>
          </cell>
          <cell r="K76">
            <v>10413019</v>
          </cell>
          <cell r="L76">
            <v>14574136</v>
          </cell>
          <cell r="M76">
            <v>6256714</v>
          </cell>
          <cell r="N76">
            <v>5181576</v>
          </cell>
          <cell r="O76">
            <v>15254004</v>
          </cell>
          <cell r="P76">
            <v>2440776</v>
          </cell>
          <cell r="Q76">
            <v>7601723</v>
          </cell>
          <cell r="R76">
            <v>17463048</v>
          </cell>
          <cell r="S76">
            <v>38501901</v>
          </cell>
          <cell r="T76">
            <v>55224295</v>
          </cell>
          <cell r="U76">
            <v>5643500</v>
          </cell>
          <cell r="V76">
            <v>25942187</v>
          </cell>
          <cell r="W76">
            <v>10279228</v>
          </cell>
          <cell r="X76">
            <v>6841071</v>
          </cell>
          <cell r="Y76">
            <v>12320026</v>
          </cell>
          <cell r="Z76">
            <v>15140079</v>
          </cell>
          <cell r="AA76">
            <v>11513869</v>
          </cell>
          <cell r="AB76">
            <v>4386369</v>
          </cell>
          <cell r="AC76">
            <v>2203039</v>
          </cell>
          <cell r="AD76">
            <v>17993458</v>
          </cell>
          <cell r="AE76">
            <v>50657492</v>
          </cell>
          <cell r="AF76">
            <v>27211389</v>
          </cell>
          <cell r="AG76">
            <v>6117234</v>
          </cell>
          <cell r="AH76">
            <v>24707150</v>
          </cell>
          <cell r="AI76">
            <v>6313298</v>
          </cell>
          <cell r="AJ76">
            <v>5454625</v>
          </cell>
          <cell r="AK76">
            <v>5350032</v>
          </cell>
          <cell r="AL76">
            <v>7368301</v>
          </cell>
          <cell r="AM76">
            <v>24656681</v>
          </cell>
          <cell r="AN76">
            <v>5921207</v>
          </cell>
          <cell r="AO76">
            <v>10093637</v>
          </cell>
          <cell r="AP76">
            <v>10442362</v>
          </cell>
          <cell r="AQ76">
            <v>31311779</v>
          </cell>
          <cell r="AR76">
            <v>9255633</v>
          </cell>
          <cell r="AS76">
            <v>6809931</v>
          </cell>
          <cell r="AT76">
            <v>26818282</v>
          </cell>
          <cell r="AU76">
            <v>2801687</v>
          </cell>
          <cell r="AV76">
            <v>2053715</v>
          </cell>
          <cell r="AW76">
            <v>16072671</v>
          </cell>
          <cell r="AX76">
            <v>7356367</v>
          </cell>
          <cell r="AY76">
            <v>6627387</v>
          </cell>
          <cell r="AZ76">
            <v>10492252</v>
          </cell>
          <cell r="BA76">
            <v>12340801</v>
          </cell>
          <cell r="BB76">
            <v>30555173</v>
          </cell>
          <cell r="BC76">
            <v>28159125</v>
          </cell>
          <cell r="BD76">
            <v>8012441</v>
          </cell>
          <cell r="BE76">
            <v>7134115</v>
          </cell>
          <cell r="BF76">
            <v>23392981</v>
          </cell>
          <cell r="BG76">
            <v>42980559</v>
          </cell>
          <cell r="BH76">
            <v>27914917</v>
          </cell>
          <cell r="BI76">
            <v>15231000</v>
          </cell>
          <cell r="BJ76">
            <v>30555173</v>
          </cell>
          <cell r="BK76">
            <v>80124412</v>
          </cell>
          <cell r="BL76">
            <v>1801370</v>
          </cell>
          <cell r="BM76">
            <v>6102764</v>
          </cell>
          <cell r="BN76">
            <v>14276882</v>
          </cell>
          <cell r="BO76">
            <v>31166227</v>
          </cell>
          <cell r="BP76">
            <v>22027467</v>
          </cell>
          <cell r="BQ76">
            <v>35016709</v>
          </cell>
          <cell r="BR76">
            <v>15140079</v>
          </cell>
          <cell r="BS76">
            <v>36469910</v>
          </cell>
          <cell r="BT76">
            <v>0</v>
          </cell>
          <cell r="BU76">
            <v>147519829</v>
          </cell>
          <cell r="BV76">
            <v>414049605</v>
          </cell>
          <cell r="BW76">
            <v>18898209</v>
          </cell>
          <cell r="BX76">
            <v>42084208</v>
          </cell>
          <cell r="BY76">
            <v>13435219</v>
          </cell>
          <cell r="BZ76">
            <v>12943739</v>
          </cell>
          <cell r="CA76">
            <v>11499080</v>
          </cell>
          <cell r="CB76">
            <v>19712031</v>
          </cell>
          <cell r="CC76">
            <v>19984954</v>
          </cell>
          <cell r="CD76">
            <v>6950758</v>
          </cell>
          <cell r="CE76">
            <v>62407263</v>
          </cell>
          <cell r="CF76">
            <v>4848431</v>
          </cell>
          <cell r="CG76">
            <v>17120713</v>
          </cell>
          <cell r="CH76">
            <v>9001581</v>
          </cell>
          <cell r="CI76">
            <v>7505799</v>
          </cell>
          <cell r="CJ76">
            <v>37136537</v>
          </cell>
          <cell r="CK76">
            <v>2440776</v>
          </cell>
          <cell r="CL76">
            <v>21770000</v>
          </cell>
          <cell r="CM76">
            <v>11246433</v>
          </cell>
          <cell r="CN76">
            <v>4801218</v>
          </cell>
          <cell r="CO76">
            <v>4968565</v>
          </cell>
          <cell r="CP76">
            <v>19386198</v>
          </cell>
          <cell r="CQ76">
            <v>14280221</v>
          </cell>
          <cell r="CR76">
            <v>20044823</v>
          </cell>
          <cell r="CS76">
            <v>14530855</v>
          </cell>
          <cell r="CT76">
            <v>11244442</v>
          </cell>
          <cell r="CU76">
            <v>10280000</v>
          </cell>
          <cell r="CV76">
            <v>16220117</v>
          </cell>
          <cell r="CW76">
            <v>48181685</v>
          </cell>
          <cell r="CX76">
            <v>36433949</v>
          </cell>
          <cell r="CY76">
            <v>10320106</v>
          </cell>
          <cell r="CZ76">
            <v>7173559</v>
          </cell>
          <cell r="DA76">
            <v>23750544</v>
          </cell>
          <cell r="DB76">
            <v>8914534</v>
          </cell>
          <cell r="DC76">
            <v>10186085</v>
          </cell>
          <cell r="DD76">
            <v>9350463</v>
          </cell>
          <cell r="DE76">
            <v>23116036</v>
          </cell>
          <cell r="DF76">
            <v>7135457</v>
          </cell>
          <cell r="DG76">
            <v>10950306</v>
          </cell>
          <cell r="DH76">
            <v>21448785</v>
          </cell>
          <cell r="DI76">
            <v>2328894</v>
          </cell>
          <cell r="DJ76">
            <v>9811474</v>
          </cell>
          <cell r="DK76">
            <v>64226209</v>
          </cell>
          <cell r="DL76">
            <v>134563843</v>
          </cell>
          <cell r="DM76">
            <v>10505340</v>
          </cell>
          <cell r="DN76">
            <v>0</v>
          </cell>
          <cell r="DO76">
            <v>17454553</v>
          </cell>
          <cell r="DP76">
            <v>83146260</v>
          </cell>
          <cell r="DQ76">
            <v>8735303</v>
          </cell>
          <cell r="DR76">
            <v>12837193</v>
          </cell>
          <cell r="DS76">
            <v>8805250</v>
          </cell>
          <cell r="DT76">
            <v>27289264</v>
          </cell>
          <cell r="DU76">
            <v>63513775</v>
          </cell>
          <cell r="DV76">
            <v>17398688</v>
          </cell>
          <cell r="DW76">
            <v>35126163</v>
          </cell>
          <cell r="DX76">
            <v>0</v>
          </cell>
          <cell r="DY76">
            <v>18422144</v>
          </cell>
          <cell r="DZ76">
            <v>6527360</v>
          </cell>
          <cell r="EA76">
            <v>3998922</v>
          </cell>
          <cell r="EB76">
            <v>7134115</v>
          </cell>
          <cell r="EC76">
            <v>17862008</v>
          </cell>
          <cell r="ED76">
            <v>20709700</v>
          </cell>
          <cell r="EE76">
            <v>10240178</v>
          </cell>
          <cell r="EF76">
            <v>4545915</v>
          </cell>
          <cell r="EG76">
            <v>6551468</v>
          </cell>
          <cell r="EH76">
            <v>4397798</v>
          </cell>
          <cell r="EI76">
            <v>11909442</v>
          </cell>
          <cell r="EJ76">
            <v>4450672</v>
          </cell>
          <cell r="EK76">
            <v>19844548</v>
          </cell>
          <cell r="EL76">
            <v>0</v>
          </cell>
          <cell r="EM76">
            <v>17340252</v>
          </cell>
          <cell r="EN76">
            <v>32214217</v>
          </cell>
          <cell r="EO76">
            <v>6841071</v>
          </cell>
          <cell r="EP76">
            <v>12340800</v>
          </cell>
          <cell r="EQ76">
            <v>18888873</v>
          </cell>
          <cell r="ER76">
            <v>14311957</v>
          </cell>
          <cell r="ES76">
            <v>8982050</v>
          </cell>
          <cell r="ET76">
            <v>13193245</v>
          </cell>
          <cell r="EU76">
            <v>11585912</v>
          </cell>
          <cell r="EV76">
            <v>7724272</v>
          </cell>
          <cell r="EW76">
            <v>11956466</v>
          </cell>
          <cell r="EX76">
            <v>10690905</v>
          </cell>
          <cell r="EY76">
            <v>8742223</v>
          </cell>
          <cell r="EZ76">
            <v>6117234</v>
          </cell>
          <cell r="FA76">
            <v>175531370</v>
          </cell>
          <cell r="FB76">
            <v>8169959</v>
          </cell>
          <cell r="FC76">
            <v>14501367</v>
          </cell>
          <cell r="FD76">
            <v>16080657</v>
          </cell>
          <cell r="FE76">
            <v>156000</v>
          </cell>
          <cell r="FF76">
            <v>36293538</v>
          </cell>
          <cell r="FG76">
            <v>15263077</v>
          </cell>
          <cell r="FH76">
            <v>8149842</v>
          </cell>
          <cell r="FI76">
            <v>24517307</v>
          </cell>
          <cell r="FJ76">
            <v>2873579</v>
          </cell>
          <cell r="FK76">
            <v>19240644</v>
          </cell>
          <cell r="FL76">
            <v>147487683</v>
          </cell>
          <cell r="FM76">
            <v>14556657</v>
          </cell>
          <cell r="FN76">
            <v>4842797</v>
          </cell>
          <cell r="FO76">
            <v>9753792</v>
          </cell>
          <cell r="FP76">
            <v>13729647</v>
          </cell>
          <cell r="FQ76">
            <v>6196140</v>
          </cell>
          <cell r="FR76">
            <v>10951000</v>
          </cell>
          <cell r="FS76">
            <v>2801687</v>
          </cell>
          <cell r="FT76">
            <v>7493900</v>
          </cell>
          <cell r="FU76">
            <v>18773828</v>
          </cell>
          <cell r="FV76">
            <v>9661600</v>
          </cell>
          <cell r="FW76">
            <v>5592416</v>
          </cell>
          <cell r="FX76">
            <v>15266472</v>
          </cell>
          <cell r="FY76">
            <v>26595342</v>
          </cell>
          <cell r="FZ76">
            <v>8132067</v>
          </cell>
          <cell r="GA76">
            <v>0</v>
          </cell>
          <cell r="GB76">
            <v>3100936</v>
          </cell>
          <cell r="GC76">
            <v>7705345.333333333</v>
          </cell>
          <cell r="GD76">
            <v>7705345.333333333</v>
          </cell>
          <cell r="GE76">
            <v>7705345.333333333</v>
          </cell>
          <cell r="GF76">
            <v>4679154</v>
          </cell>
        </row>
        <row r="90">
          <cell r="A90" t="str">
            <v>קווי הולכה</v>
          </cell>
          <cell r="B90">
            <v>0</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1081680</v>
          </cell>
          <cell r="S90">
            <v>0</v>
          </cell>
          <cell r="T90">
            <v>0</v>
          </cell>
          <cell r="U90">
            <v>0</v>
          </cell>
          <cell r="V90">
            <v>0</v>
          </cell>
          <cell r="W90">
            <v>0</v>
          </cell>
          <cell r="X90">
            <v>0</v>
          </cell>
          <cell r="Y90">
            <v>0</v>
          </cell>
          <cell r="Z90">
            <v>0</v>
          </cell>
          <cell r="AA90">
            <v>0</v>
          </cell>
          <cell r="AB90">
            <v>0</v>
          </cell>
          <cell r="AC90">
            <v>0</v>
          </cell>
          <cell r="AD90">
            <v>5793507</v>
          </cell>
          <cell r="AE90">
            <v>30691365</v>
          </cell>
          <cell r="AF90">
            <v>0</v>
          </cell>
          <cell r="AG90">
            <v>687200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2506563</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141826000</v>
          </cell>
          <cell r="BW90">
            <v>0</v>
          </cell>
          <cell r="BX90">
            <v>0</v>
          </cell>
          <cell r="BY90">
            <v>0</v>
          </cell>
          <cell r="BZ90">
            <v>0</v>
          </cell>
          <cell r="CA90">
            <v>0</v>
          </cell>
          <cell r="CB90">
            <v>0</v>
          </cell>
          <cell r="CC90">
            <v>0</v>
          </cell>
          <cell r="CD90">
            <v>0</v>
          </cell>
          <cell r="CE90">
            <v>0</v>
          </cell>
          <cell r="CF90">
            <v>0</v>
          </cell>
          <cell r="CG90">
            <v>0</v>
          </cell>
          <cell r="CH90">
            <v>0</v>
          </cell>
          <cell r="CI90">
            <v>0</v>
          </cell>
          <cell r="CJ90">
            <v>0</v>
          </cell>
          <cell r="CK90">
            <v>0</v>
          </cell>
          <cell r="CL90">
            <v>0</v>
          </cell>
          <cell r="CM90">
            <v>0</v>
          </cell>
          <cell r="CN90">
            <v>0</v>
          </cell>
          <cell r="CO90">
            <v>0</v>
          </cell>
          <cell r="CP90">
            <v>0</v>
          </cell>
          <cell r="CQ90">
            <v>0</v>
          </cell>
          <cell r="CR90">
            <v>0</v>
          </cell>
          <cell r="CS90">
            <v>0</v>
          </cell>
          <cell r="CT90">
            <v>0</v>
          </cell>
          <cell r="CU90">
            <v>0</v>
          </cell>
          <cell r="CV90">
            <v>0</v>
          </cell>
          <cell r="CW90">
            <v>0</v>
          </cell>
          <cell r="CX90">
            <v>28576461</v>
          </cell>
          <cell r="CY90">
            <v>0</v>
          </cell>
          <cell r="CZ90">
            <v>0</v>
          </cell>
          <cell r="DA90">
            <v>0</v>
          </cell>
          <cell r="DB90">
            <v>0</v>
          </cell>
          <cell r="DC90">
            <v>0</v>
          </cell>
          <cell r="DD90">
            <v>0</v>
          </cell>
          <cell r="DE90">
            <v>0</v>
          </cell>
          <cell r="DF90">
            <v>0</v>
          </cell>
          <cell r="DG90">
            <v>3847797</v>
          </cell>
          <cell r="DH90">
            <v>0</v>
          </cell>
          <cell r="DI90">
            <v>0</v>
          </cell>
          <cell r="DJ90">
            <v>0</v>
          </cell>
          <cell r="DK90">
            <v>0</v>
          </cell>
          <cell r="DL90">
            <v>0</v>
          </cell>
          <cell r="DM90">
            <v>0</v>
          </cell>
          <cell r="DN90">
            <v>0</v>
          </cell>
          <cell r="DO90">
            <v>0</v>
          </cell>
          <cell r="DP90">
            <v>0</v>
          </cell>
          <cell r="DQ90">
            <v>0</v>
          </cell>
          <cell r="DR90">
            <v>4364703</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3345945</v>
          </cell>
          <cell r="EY90">
            <v>0</v>
          </cell>
          <cell r="EZ90">
            <v>687200</v>
          </cell>
          <cell r="FA90">
            <v>0</v>
          </cell>
          <cell r="FB90">
            <v>0</v>
          </cell>
          <cell r="FC90">
            <v>0</v>
          </cell>
          <cell r="FD90">
            <v>0</v>
          </cell>
          <cell r="FE90">
            <v>0</v>
          </cell>
          <cell r="FF90">
            <v>0</v>
          </cell>
          <cell r="FG90">
            <v>0</v>
          </cell>
          <cell r="FH90">
            <v>0</v>
          </cell>
          <cell r="FI90">
            <v>0</v>
          </cell>
          <cell r="FJ90">
            <v>0</v>
          </cell>
          <cell r="FK90">
            <v>0</v>
          </cell>
          <cell r="FL90">
            <v>0</v>
          </cell>
          <cell r="FM90">
            <v>0</v>
          </cell>
          <cell r="FN90">
            <v>0</v>
          </cell>
          <cell r="FO90">
            <v>5367423</v>
          </cell>
          <cell r="FP90">
            <v>4132500</v>
          </cell>
          <cell r="FQ90">
            <v>0</v>
          </cell>
          <cell r="FR90">
            <v>0</v>
          </cell>
          <cell r="FS90">
            <v>0</v>
          </cell>
          <cell r="FT90">
            <v>0</v>
          </cell>
          <cell r="FU90">
            <v>4905400</v>
          </cell>
          <cell r="FV90">
            <v>4649102</v>
          </cell>
          <cell r="FW90">
            <v>0</v>
          </cell>
          <cell r="FX90">
            <v>0</v>
          </cell>
          <cell r="FY90">
            <v>0</v>
          </cell>
          <cell r="FZ90">
            <v>0</v>
          </cell>
          <cell r="GA90">
            <v>0</v>
          </cell>
        </row>
        <row r="91">
          <cell r="A91" t="str">
            <v>קווי הולכה מופחת</v>
          </cell>
          <cell r="B91">
            <v>0</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711528</v>
          </cell>
          <cell r="S91">
            <v>0</v>
          </cell>
          <cell r="T91">
            <v>0</v>
          </cell>
          <cell r="U91">
            <v>0</v>
          </cell>
          <cell r="V91">
            <v>0</v>
          </cell>
          <cell r="W91">
            <v>0</v>
          </cell>
          <cell r="X91">
            <v>0</v>
          </cell>
          <cell r="Y91">
            <v>0</v>
          </cell>
          <cell r="Z91">
            <v>0</v>
          </cell>
          <cell r="AA91">
            <v>0</v>
          </cell>
          <cell r="AB91">
            <v>0</v>
          </cell>
          <cell r="AC91">
            <v>0</v>
          </cell>
          <cell r="AD91">
            <v>3873262</v>
          </cell>
          <cell r="AE91">
            <v>15631892</v>
          </cell>
          <cell r="AF91">
            <v>0</v>
          </cell>
          <cell r="AG91">
            <v>422188</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1650420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70913000</v>
          </cell>
          <cell r="BW91">
            <v>0</v>
          </cell>
          <cell r="BX91">
            <v>0</v>
          </cell>
          <cell r="BY91">
            <v>0</v>
          </cell>
          <cell r="BZ91">
            <v>0</v>
          </cell>
          <cell r="CA91">
            <v>0</v>
          </cell>
          <cell r="CB91">
            <v>0</v>
          </cell>
          <cell r="CC91">
            <v>0</v>
          </cell>
          <cell r="CD91">
            <v>0</v>
          </cell>
          <cell r="CE91">
            <v>0</v>
          </cell>
          <cell r="CF91">
            <v>0</v>
          </cell>
          <cell r="CG91">
            <v>0</v>
          </cell>
          <cell r="CH91">
            <v>0</v>
          </cell>
          <cell r="CI91">
            <v>0</v>
          </cell>
          <cell r="CJ91">
            <v>0</v>
          </cell>
          <cell r="CK91">
            <v>0</v>
          </cell>
          <cell r="CL91">
            <v>0</v>
          </cell>
          <cell r="CM91">
            <v>0</v>
          </cell>
          <cell r="CN91">
            <v>0</v>
          </cell>
          <cell r="CO91">
            <v>0</v>
          </cell>
          <cell r="CP91">
            <v>0</v>
          </cell>
          <cell r="CQ91">
            <v>0</v>
          </cell>
          <cell r="CR91">
            <v>0</v>
          </cell>
          <cell r="CS91">
            <v>0</v>
          </cell>
          <cell r="CT91">
            <v>0</v>
          </cell>
          <cell r="CU91">
            <v>0</v>
          </cell>
          <cell r="CV91">
            <v>0</v>
          </cell>
          <cell r="CW91">
            <v>0</v>
          </cell>
          <cell r="CX91">
            <v>23662098</v>
          </cell>
          <cell r="CY91">
            <v>0</v>
          </cell>
          <cell r="CZ91">
            <v>0</v>
          </cell>
          <cell r="DA91">
            <v>0</v>
          </cell>
          <cell r="DB91">
            <v>0</v>
          </cell>
          <cell r="DC91">
            <v>0</v>
          </cell>
          <cell r="DD91">
            <v>0</v>
          </cell>
          <cell r="DE91">
            <v>0</v>
          </cell>
          <cell r="DF91">
            <v>0</v>
          </cell>
          <cell r="DG91">
            <v>3847797</v>
          </cell>
          <cell r="DH91">
            <v>0</v>
          </cell>
          <cell r="DI91">
            <v>0</v>
          </cell>
          <cell r="DJ91">
            <v>0</v>
          </cell>
          <cell r="DK91">
            <v>0</v>
          </cell>
          <cell r="DL91">
            <v>0</v>
          </cell>
          <cell r="DM91">
            <v>0</v>
          </cell>
          <cell r="DN91">
            <v>0</v>
          </cell>
          <cell r="DO91">
            <v>0</v>
          </cell>
          <cell r="DP91">
            <v>0</v>
          </cell>
          <cell r="DQ91">
            <v>0</v>
          </cell>
          <cell r="DR91">
            <v>2764312</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2590429</v>
          </cell>
          <cell r="EY91">
            <v>0</v>
          </cell>
          <cell r="EZ91">
            <v>422188</v>
          </cell>
          <cell r="FA91">
            <v>0</v>
          </cell>
          <cell r="FB91">
            <v>0</v>
          </cell>
          <cell r="FC91">
            <v>0</v>
          </cell>
          <cell r="FD91">
            <v>0</v>
          </cell>
          <cell r="FE91">
            <v>0</v>
          </cell>
          <cell r="FF91">
            <v>0</v>
          </cell>
          <cell r="FG91">
            <v>0</v>
          </cell>
          <cell r="FH91">
            <v>0</v>
          </cell>
          <cell r="FI91">
            <v>0</v>
          </cell>
          <cell r="FJ91">
            <v>0</v>
          </cell>
          <cell r="FK91">
            <v>0</v>
          </cell>
          <cell r="FL91">
            <v>0</v>
          </cell>
          <cell r="FM91">
            <v>0</v>
          </cell>
          <cell r="FN91">
            <v>0</v>
          </cell>
          <cell r="FO91">
            <v>4047728</v>
          </cell>
          <cell r="FP91">
            <v>0</v>
          </cell>
          <cell r="FQ91">
            <v>0</v>
          </cell>
          <cell r="FR91">
            <v>0</v>
          </cell>
          <cell r="FS91">
            <v>0</v>
          </cell>
          <cell r="FT91">
            <v>0</v>
          </cell>
          <cell r="FU91">
            <v>4598813</v>
          </cell>
          <cell r="FV91">
            <v>1933632</v>
          </cell>
          <cell r="FW91">
            <v>0</v>
          </cell>
          <cell r="FX91">
            <v>0</v>
          </cell>
          <cell r="FY91">
            <v>0</v>
          </cell>
          <cell r="FZ91">
            <v>0</v>
          </cell>
          <cell r="GA91">
            <v>0</v>
          </cell>
        </row>
      </sheetData>
      <sheetData sheetId="45" refreshError="1"/>
      <sheetData sheetId="46" refreshError="1"/>
      <sheetData sheetId="47" refreshError="1"/>
      <sheetData sheetId="4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מספר צרכנים"/>
      <sheetName val="בית"/>
      <sheetName val="תעשייה"/>
    </sheetNames>
    <sheetDataSet>
      <sheetData sheetId="0">
        <row r="2">
          <cell r="E2" t="str">
            <v>נתןן עדכני 2014</v>
          </cell>
        </row>
        <row r="3">
          <cell r="C3" t="str">
            <v>תאגיד</v>
          </cell>
          <cell r="D3" t="str">
            <v>תאגיד</v>
          </cell>
          <cell r="E3" t="str">
            <v>סה"כ מונים</v>
          </cell>
          <cell r="F3" t="str">
            <v>מונים כיום</v>
          </cell>
          <cell r="G3" t="str">
            <v>הפרש</v>
          </cell>
        </row>
        <row r="4">
          <cell r="C4" t="str">
            <v>מי רקת  בע"מ</v>
          </cell>
          <cell r="D4" t="str">
            <v>מי רקת טבריה בע"מ</v>
          </cell>
          <cell r="E4">
            <v>17904</v>
          </cell>
          <cell r="F4">
            <v>17139</v>
          </cell>
          <cell r="G4">
            <v>765</v>
          </cell>
        </row>
        <row r="5">
          <cell r="C5" t="str">
            <v>כפרי גליל תחתון בע"מ</v>
          </cell>
          <cell r="D5" t="str">
            <v>תאגיד כפרי גליל תחתון בע"מ</v>
          </cell>
          <cell r="E5">
            <v>16237</v>
          </cell>
          <cell r="F5">
            <v>14865</v>
          </cell>
          <cell r="G5">
            <v>1372</v>
          </cell>
        </row>
        <row r="6">
          <cell r="C6" t="str">
            <v>עין כרמים</v>
          </cell>
          <cell r="D6" t="str">
            <v>עין כרמים תאגיד מים וביוב בע"מ</v>
          </cell>
          <cell r="E6">
            <v>17455</v>
          </cell>
          <cell r="F6">
            <v>17082</v>
          </cell>
          <cell r="G6">
            <v>373</v>
          </cell>
        </row>
        <row r="7">
          <cell r="C7" t="str">
            <v>אל עין</v>
          </cell>
          <cell r="D7" t="str">
            <v>תאגיד המים והביוב האזורי- אלעין בע"מ</v>
          </cell>
          <cell r="E7">
            <v>18667</v>
          </cell>
          <cell r="F7">
            <v>17802</v>
          </cell>
          <cell r="G7">
            <v>865</v>
          </cell>
        </row>
        <row r="8">
          <cell r="C8" t="str">
            <v>התנור מים וביוב בע"מ</v>
          </cell>
          <cell r="D8" t="str">
            <v>התנור תאגיד מים וביב בע"מ</v>
          </cell>
          <cell r="E8">
            <v>17216</v>
          </cell>
          <cell r="F8">
            <v>17180</v>
          </cell>
          <cell r="G8">
            <v>36</v>
          </cell>
        </row>
        <row r="9">
          <cell r="C9" t="str">
            <v>הרי נצרת מפעלי מים וביוב בע"מ</v>
          </cell>
          <cell r="D9" t="str">
            <v>הרי נצרת מפעלי מים וביוב בע"מ</v>
          </cell>
          <cell r="E9">
            <v>28199</v>
          </cell>
          <cell r="F9">
            <v>28386</v>
          </cell>
          <cell r="G9">
            <v>-187</v>
          </cell>
        </row>
        <row r="10">
          <cell r="C10" t="str">
            <v>מעיינות זיו</v>
          </cell>
          <cell r="D10" t="str">
            <v>תאגיד מעינות זיו בע"מ</v>
          </cell>
          <cell r="E10">
            <v>12565</v>
          </cell>
          <cell r="F10">
            <v>12257</v>
          </cell>
          <cell r="G10">
            <v>308</v>
          </cell>
        </row>
        <row r="11">
          <cell r="C11" t="str">
            <v>מי נע חברת המים והביוב של עיריית נצרת עילית בע"מ</v>
          </cell>
          <cell r="D11" t="str">
            <v>מי-נע  חב' המים והביוב של נצרת עילית בע</v>
          </cell>
          <cell r="E11">
            <v>44095</v>
          </cell>
          <cell r="F11">
            <v>42778</v>
          </cell>
          <cell r="G11">
            <v>1317</v>
          </cell>
        </row>
        <row r="12">
          <cell r="C12" t="str">
            <v>מי עכו</v>
          </cell>
          <cell r="D12" t="str">
            <v>מי עכו בע"מ</v>
          </cell>
          <cell r="E12">
            <v>16963</v>
          </cell>
          <cell r="F12">
            <v>18172</v>
          </cell>
          <cell r="G12">
            <v>-1209</v>
          </cell>
        </row>
        <row r="13">
          <cell r="C13" t="str">
            <v>מי גליל</v>
          </cell>
          <cell r="D13" t="str">
            <v>מי הגליל תאגיד המים והביוב האזורי בע"מ</v>
          </cell>
          <cell r="E13">
            <v>23445</v>
          </cell>
          <cell r="F13">
            <v>21439</v>
          </cell>
          <cell r="G13">
            <v>2006</v>
          </cell>
        </row>
        <row r="14">
          <cell r="C14" t="str">
            <v>פלג הגליל החברה האזורית למים וביוב בע"מ</v>
          </cell>
          <cell r="D14" t="str">
            <v>פלג הגליל החברה האזורית למים וביוב בע"מ</v>
          </cell>
          <cell r="E14">
            <v>32883</v>
          </cell>
          <cell r="F14">
            <v>32332</v>
          </cell>
          <cell r="G14">
            <v>551</v>
          </cell>
        </row>
        <row r="15">
          <cell r="C15" t="str">
            <v>סובב שפרעם</v>
          </cell>
          <cell r="D15" t="str">
            <v>סובב שפרעם תאגיד מים וביוב בע"מ</v>
          </cell>
          <cell r="E15">
            <v>34321</v>
          </cell>
          <cell r="F15">
            <v>30888</v>
          </cell>
          <cell r="G15">
            <v>3433</v>
          </cell>
        </row>
        <row r="16">
          <cell r="C16" t="str">
            <v>מעיינות העמקים</v>
          </cell>
          <cell r="D16" t="str">
            <v>מעינות העמקים בע"מ</v>
          </cell>
          <cell r="E16">
            <v>15088</v>
          </cell>
          <cell r="F16">
            <v>15109</v>
          </cell>
          <cell r="G16">
            <v>-21</v>
          </cell>
        </row>
        <row r="17">
          <cell r="C17" t="str">
            <v>מי חדרה בע"מ</v>
          </cell>
          <cell r="D17" t="str">
            <v>מי חדרה בע"מ</v>
          </cell>
          <cell r="E17">
            <v>31796</v>
          </cell>
          <cell r="F17">
            <v>29700</v>
          </cell>
          <cell r="G17">
            <v>2096</v>
          </cell>
        </row>
        <row r="18">
          <cell r="C18" t="str">
            <v>מי כרמל</v>
          </cell>
          <cell r="D18" t="str">
            <v>מי כרמל בע"מ</v>
          </cell>
          <cell r="E18">
            <v>109807</v>
          </cell>
          <cell r="F18">
            <v>110389</v>
          </cell>
          <cell r="G18">
            <v>-582</v>
          </cell>
        </row>
        <row r="19">
          <cell r="C19" t="str">
            <v>מי עירון בע"מ</v>
          </cell>
          <cell r="D19" t="str">
            <v>מי עירון בע"מ</v>
          </cell>
          <cell r="E19">
            <v>28522</v>
          </cell>
          <cell r="F19">
            <v>28518</v>
          </cell>
          <cell r="G19">
            <v>4</v>
          </cell>
        </row>
        <row r="20">
          <cell r="C20" t="str">
            <v>מי קריית ביאליק</v>
          </cell>
          <cell r="D20" t="str">
            <v>מי קרית ביאליק בע"מ</v>
          </cell>
          <cell r="E20">
            <v>18534</v>
          </cell>
          <cell r="F20">
            <v>18491</v>
          </cell>
          <cell r="G20">
            <v>43</v>
          </cell>
        </row>
        <row r="21">
          <cell r="C21" t="str">
            <v>מעיינות אתא</v>
          </cell>
          <cell r="D21" t="str">
            <v>מעיינות אתא בע"מ</v>
          </cell>
          <cell r="E21">
            <v>20785</v>
          </cell>
          <cell r="F21">
            <v>19971</v>
          </cell>
          <cell r="G21">
            <v>814</v>
          </cell>
        </row>
        <row r="22">
          <cell r="C22" t="str">
            <v>ימים</v>
          </cell>
          <cell r="D22" t="str">
            <v>ימים תאגיד המים קרית ים בע"מ</v>
          </cell>
          <cell r="E22">
            <v>16196</v>
          </cell>
          <cell r="F22">
            <v>15930</v>
          </cell>
          <cell r="G22">
            <v>266</v>
          </cell>
        </row>
        <row r="23">
          <cell r="C23" t="str">
            <v>פלגי מוצקין</v>
          </cell>
          <cell r="D23" t="str">
            <v>פלגי מוצקין בע"מ</v>
          </cell>
          <cell r="E23">
            <v>19301</v>
          </cell>
          <cell r="F23">
            <v>18544</v>
          </cell>
          <cell r="G23">
            <v>757</v>
          </cell>
        </row>
        <row r="24">
          <cell r="C24" t="str">
            <v>מעיינות השרון</v>
          </cell>
          <cell r="D24" t="str">
            <v>מעינות השרון בע"מ</v>
          </cell>
          <cell r="E24">
            <v>18895</v>
          </cell>
          <cell r="F24">
            <v>17668</v>
          </cell>
          <cell r="G24">
            <v>1227</v>
          </cell>
        </row>
        <row r="25">
          <cell r="C25" t="str">
            <v>מי תקווה</v>
          </cell>
          <cell r="D25" t="str">
            <v>מי תקווה בע"מ</v>
          </cell>
          <cell r="E25">
            <v>5282</v>
          </cell>
          <cell r="F25">
            <v>4846</v>
          </cell>
          <cell r="G25">
            <v>436</v>
          </cell>
        </row>
        <row r="26">
          <cell r="C26" t="str">
            <v>מי הוד השרון</v>
          </cell>
          <cell r="D26" t="str">
            <v>מי הוד השרון בע"מ</v>
          </cell>
          <cell r="E26">
            <v>17371</v>
          </cell>
          <cell r="F26">
            <v>17634</v>
          </cell>
          <cell r="G26">
            <v>-263</v>
          </cell>
        </row>
        <row r="27">
          <cell r="C27" t="str">
            <v>מעיינות המשולש</v>
          </cell>
          <cell r="D27" t="str">
            <v>מעינות המשולש בע"מ</v>
          </cell>
          <cell r="E27">
            <v>12817</v>
          </cell>
          <cell r="F27">
            <v>12104</v>
          </cell>
          <cell r="G27">
            <v>713</v>
          </cell>
        </row>
        <row r="28">
          <cell r="C28" t="str">
            <v>מי יבנה</v>
          </cell>
          <cell r="D28" t="str">
            <v>מי יבנה בע"מ</v>
          </cell>
          <cell r="E28">
            <v>19285</v>
          </cell>
          <cell r="F28">
            <v>17059</v>
          </cell>
          <cell r="G28">
            <v>2226</v>
          </cell>
        </row>
        <row r="29">
          <cell r="C29" t="str">
            <v>מי לוד בע"מ</v>
          </cell>
          <cell r="D29" t="str">
            <v>מי לוד בע"מ</v>
          </cell>
          <cell r="E29">
            <v>22996</v>
          </cell>
          <cell r="F29">
            <v>22609</v>
          </cell>
          <cell r="G29">
            <v>387</v>
          </cell>
        </row>
        <row r="30">
          <cell r="C30" t="str">
            <v>מי מודיעין</v>
          </cell>
          <cell r="D30" t="str">
            <v>מי מודיעין בע"מ</v>
          </cell>
          <cell r="E30">
            <v>24228</v>
          </cell>
          <cell r="F30">
            <v>22690</v>
          </cell>
          <cell r="G30">
            <v>1538</v>
          </cell>
        </row>
        <row r="31">
          <cell r="C31" t="str">
            <v>מי ציונה בע"מ</v>
          </cell>
          <cell r="D31" t="str">
            <v>מי-ציונה בע"מ</v>
          </cell>
          <cell r="E31">
            <v>21292</v>
          </cell>
          <cell r="F31">
            <v>21234</v>
          </cell>
          <cell r="G31">
            <v>58</v>
          </cell>
        </row>
        <row r="32">
          <cell r="C32" t="str">
            <v>מי נתניה (2003) בע"מ</v>
          </cell>
          <cell r="D32" t="str">
            <v>מי נתניה (2003) בע"מ</v>
          </cell>
          <cell r="E32">
            <v>76012</v>
          </cell>
          <cell r="F32">
            <v>73228</v>
          </cell>
          <cell r="G32">
            <v>2784</v>
          </cell>
        </row>
        <row r="33">
          <cell r="C33" t="str">
            <v>מיתב מים תיעול וביוב בע"מ</v>
          </cell>
          <cell r="D33" t="str">
            <v>מיתב - מים תיעול וביוב פ"ת בע"מ</v>
          </cell>
          <cell r="E33">
            <v>106159</v>
          </cell>
          <cell r="F33">
            <v>98625</v>
          </cell>
          <cell r="G33">
            <v>7534</v>
          </cell>
        </row>
        <row r="34">
          <cell r="C34" t="str">
            <v>עין אפק</v>
          </cell>
          <cell r="D34" t="str">
            <v>עין אפק  בע"מ</v>
          </cell>
          <cell r="E34">
            <v>12387</v>
          </cell>
          <cell r="F34">
            <v>12031</v>
          </cell>
          <cell r="G34">
            <v>356</v>
          </cell>
        </row>
        <row r="35">
          <cell r="C35" t="str">
            <v>מניב ראשון בע"מ</v>
          </cell>
          <cell r="D35" t="str">
            <v>מניב ראשון בע"מ  ח.פ. 51-202736-8</v>
          </cell>
          <cell r="E35">
            <v>79672</v>
          </cell>
          <cell r="F35">
            <v>79672</v>
          </cell>
          <cell r="G35">
            <v>0</v>
          </cell>
        </row>
        <row r="36">
          <cell r="C36" t="str">
            <v>תמ"ר תאגיד מים רמלה בע"מ</v>
          </cell>
          <cell r="D36" t="str">
            <v>ת.מ.ר-תאגיד מים רמלה בע"מ</v>
          </cell>
          <cell r="E36">
            <v>38082.666666666664</v>
          </cell>
          <cell r="F36">
            <v>38082.666666666664</v>
          </cell>
          <cell r="G36">
            <v>0</v>
          </cell>
        </row>
        <row r="37">
          <cell r="C37" t="str">
            <v>מי רעננה</v>
          </cell>
          <cell r="D37" t="str">
            <v>מי רעננה בע"מ</v>
          </cell>
          <cell r="E37">
            <v>25070</v>
          </cell>
          <cell r="F37">
            <v>24715</v>
          </cell>
          <cell r="G37">
            <v>355</v>
          </cell>
        </row>
        <row r="38">
          <cell r="C38" t="str">
            <v>עין נטפים מפעלי מים וביוב אילת בע"מ</v>
          </cell>
          <cell r="D38" t="str">
            <v>אילת עין נטפים - מפעלי מים וביוב בע"מ</v>
          </cell>
          <cell r="E38">
            <v>21143</v>
          </cell>
          <cell r="F38">
            <v>21143</v>
          </cell>
          <cell r="G38">
            <v>0</v>
          </cell>
        </row>
        <row r="39">
          <cell r="C39" t="str">
            <v>יובלים אשדוד בע"מ</v>
          </cell>
          <cell r="D39" t="str">
            <v>יובלים אשדוד בע"מ</v>
          </cell>
          <cell r="E39">
            <v>70755</v>
          </cell>
          <cell r="F39">
            <v>69699</v>
          </cell>
          <cell r="G39">
            <v>1056</v>
          </cell>
        </row>
        <row r="40">
          <cell r="C40" t="str">
            <v>מי אשקלון</v>
          </cell>
          <cell r="D40" t="str">
            <v>מי אשקלון תאגיד המים והביוב האזורי בע"מ</v>
          </cell>
          <cell r="E40">
            <v>55552</v>
          </cell>
          <cell r="F40">
            <v>53406</v>
          </cell>
          <cell r="G40">
            <v>2146</v>
          </cell>
        </row>
        <row r="41">
          <cell r="C41" t="str">
            <v>נווה מדבר</v>
          </cell>
          <cell r="D41" t="str">
            <v>תאגיד המים נווה מדבר בע"מ</v>
          </cell>
          <cell r="E41">
            <v>9308</v>
          </cell>
          <cell r="F41">
            <v>7546</v>
          </cell>
          <cell r="G41">
            <v>1762</v>
          </cell>
        </row>
        <row r="42">
          <cell r="C42" t="str">
            <v>מי רהט</v>
          </cell>
          <cell r="D42" t="str">
            <v>מי רהט בע"מ</v>
          </cell>
          <cell r="E42">
            <v>6812</v>
          </cell>
          <cell r="F42">
            <v>5780</v>
          </cell>
          <cell r="G42">
            <v>1032</v>
          </cell>
        </row>
        <row r="43">
          <cell r="C43" t="str">
            <v>מי שבע תאגיד המים והביוב לבאר שבע בע"מ</v>
          </cell>
          <cell r="D43" t="str">
            <v>מי שבע תאגיד המים והביוב לבאר שבע בע"מ</v>
          </cell>
          <cell r="E43">
            <v>88844</v>
          </cell>
          <cell r="F43">
            <v>88021</v>
          </cell>
          <cell r="G43">
            <v>823</v>
          </cell>
        </row>
        <row r="44">
          <cell r="C44" t="str">
            <v>פלגי השרון</v>
          </cell>
          <cell r="D44" t="str">
            <v>פלגי השרון בע"מ</v>
          </cell>
          <cell r="E44">
            <v>2788</v>
          </cell>
          <cell r="F44">
            <v>2765</v>
          </cell>
          <cell r="G44">
            <v>23</v>
          </cell>
        </row>
        <row r="45">
          <cell r="C45" t="str">
            <v>מעיינות הדרום</v>
          </cell>
          <cell r="D45" t="str">
            <v>תאגיד מעיינות הדרום בע"מ</v>
          </cell>
          <cell r="E45">
            <v>28656</v>
          </cell>
          <cell r="F45">
            <v>27733</v>
          </cell>
          <cell r="G45">
            <v>923</v>
          </cell>
        </row>
        <row r="46">
          <cell r="C46" t="str">
            <v>מי קריית גת</v>
          </cell>
          <cell r="D46" t="str">
            <v>מי קרית גת (2008) בע"מ</v>
          </cell>
          <cell r="E46">
            <v>18084</v>
          </cell>
          <cell r="F46">
            <v>16651</v>
          </cell>
          <cell r="G46">
            <v>1433</v>
          </cell>
        </row>
        <row r="47">
          <cell r="C47" t="str">
            <v>מי ברק בע"מ</v>
          </cell>
          <cell r="D47" t="str">
            <v>מי ברק תאגיד המים והביוב של עירית בני בר</v>
          </cell>
          <cell r="E47">
            <v>41656</v>
          </cell>
          <cell r="F47">
            <v>42643</v>
          </cell>
          <cell r="G47">
            <v>-987</v>
          </cell>
        </row>
        <row r="48">
          <cell r="C48" t="str">
            <v>מי בת ים</v>
          </cell>
          <cell r="D48" t="str">
            <v>מי בת-ים תאגיד מים וביוב בע"מ</v>
          </cell>
          <cell r="E48">
            <v>53449</v>
          </cell>
          <cell r="F48">
            <v>53449</v>
          </cell>
          <cell r="G48">
            <v>0</v>
          </cell>
        </row>
        <row r="49">
          <cell r="C49" t="str">
            <v>מי גבעתיים</v>
          </cell>
          <cell r="D49" t="str">
            <v>מי גבעתיים מפעלי מים וביוב בע"מ</v>
          </cell>
          <cell r="E49">
            <v>25251</v>
          </cell>
          <cell r="F49">
            <v>24947</v>
          </cell>
          <cell r="G49">
            <v>304</v>
          </cell>
        </row>
        <row r="50">
          <cell r="C50" t="str">
            <v>מי הרצליה</v>
          </cell>
          <cell r="D50" t="str">
            <v>מי הרצליה בע"מ</v>
          </cell>
          <cell r="E50">
            <v>37850</v>
          </cell>
          <cell r="F50">
            <v>37280</v>
          </cell>
          <cell r="G50">
            <v>570</v>
          </cell>
        </row>
        <row r="51">
          <cell r="C51" t="str">
            <v>מי שקמה תאגיד המים והביוב בע"מ</v>
          </cell>
          <cell r="D51" t="str">
            <v>מי שקמה בע"מ - תאגיד מים</v>
          </cell>
          <cell r="E51">
            <v>91010</v>
          </cell>
          <cell r="F51">
            <v>87975</v>
          </cell>
          <cell r="G51">
            <v>3035</v>
          </cell>
        </row>
        <row r="52">
          <cell r="C52" t="str">
            <v>מי אונו</v>
          </cell>
          <cell r="D52" t="str">
            <v>מי אונו בע"מ</v>
          </cell>
          <cell r="E52">
            <v>22766.333333333336</v>
          </cell>
          <cell r="F52">
            <v>22766.333333333336</v>
          </cell>
          <cell r="G52">
            <v>0</v>
          </cell>
        </row>
        <row r="53">
          <cell r="C53" t="str">
            <v>מי רמת גן</v>
          </cell>
          <cell r="D53" t="str">
            <v>מי רמת גן בע"מ</v>
          </cell>
          <cell r="E53">
            <v>68934</v>
          </cell>
          <cell r="F53">
            <v>67849</v>
          </cell>
          <cell r="G53">
            <v>1085</v>
          </cell>
        </row>
        <row r="54">
          <cell r="C54" t="str">
            <v>שרונים</v>
          </cell>
          <cell r="D54" t="str">
            <v>שרונים תשתיות מים וביוב בע"מ</v>
          </cell>
          <cell r="E54">
            <v>16385</v>
          </cell>
          <cell r="F54">
            <v>18500</v>
          </cell>
          <cell r="G54">
            <v>-2115</v>
          </cell>
        </row>
        <row r="55">
          <cell r="C55" t="str">
            <v>מי אביבים 2010 בע"מ</v>
          </cell>
          <cell r="D55" t="str">
            <v>מי אביבים 2010 בע"מ</v>
          </cell>
          <cell r="E55">
            <v>220000</v>
          </cell>
          <cell r="F55">
            <v>285643</v>
          </cell>
          <cell r="G55">
            <v>-65643</v>
          </cell>
        </row>
        <row r="56">
          <cell r="C56" t="str">
            <v>מי בית שמש</v>
          </cell>
          <cell r="D56" t="str">
            <v>מי שמש בע"מ</v>
          </cell>
          <cell r="E56">
            <v>21167</v>
          </cell>
          <cell r="F56">
            <v>20514</v>
          </cell>
          <cell r="G56">
            <v>653</v>
          </cell>
        </row>
        <row r="57">
          <cell r="C57" t="str">
            <v>חברת הגיחון בע"מ תאגיד המים והביוב של ירושלים</v>
          </cell>
          <cell r="D57" t="str">
            <v>חב' הגיחון בע"מ - ביוב ומים של ירושליים</v>
          </cell>
          <cell r="E57">
            <v>209606</v>
          </cell>
          <cell r="F57">
            <v>199592</v>
          </cell>
          <cell r="G57">
            <v>10014</v>
          </cell>
        </row>
        <row r="58">
          <cell r="C58" t="str">
            <v>יובלים בשומרון בע"מ</v>
          </cell>
          <cell r="D58" t="str">
            <v>יובלים בשומרון 2003 בע"מ</v>
          </cell>
          <cell r="E58">
            <v>7487</v>
          </cell>
          <cell r="F58">
            <v>7441</v>
          </cell>
          <cell r="G58">
            <v>46</v>
          </cell>
        </row>
      </sheetData>
      <sheetData sheetId="1" refreshError="1"/>
      <sheetData sheetId="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שקעות 2011-2013"/>
      <sheetName val="נתוני תאגידים"/>
      <sheetName val="תחשיב תעריף לתאגיד בודד"/>
      <sheetName val="גביה"/>
      <sheetName val="נתוני מים 2013"/>
      <sheetName val="כמויות מים 2012"/>
      <sheetName val="כמויות מים תאגיד מרחבי"/>
      <sheetName val="הוצאות הנהלה תאגיד מרחבי"/>
      <sheetName val="מקדם לגודל תאגיד"/>
      <sheetName val="תקורת רשת מים וביוב"/>
      <sheetName val="ניתוח הוצאות הנהלה"/>
      <sheetName val="עלויות תפעול מול הנורמה לתאגיד"/>
      <sheetName val="הנחיות למילוי הנתונים "/>
      <sheetName val="עלויות תפעול בהתאם לנורמות"/>
      <sheetName val="התפלגות מים 2011"/>
      <sheetName val="נתוני מים 2011"/>
      <sheetName val="תחשיב עלות תפעול 2015"/>
      <sheetName val="ריכוז עלויות"/>
      <sheetName val="סקרי נכסים-יתרות פתיחה"/>
      <sheetName val="ביוביות"/>
      <sheetName val="נושאים לדיו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8">
          <cell r="B8" t="str">
            <v xml:space="preserve">תאגיד מאוחד </v>
          </cell>
          <cell r="C8" t="str">
            <v>שם התאגיד</v>
          </cell>
          <cell r="D8">
            <v>0</v>
          </cell>
          <cell r="E8" t="str">
            <v xml:space="preserve">רשויות מקומיות החברות בתאגיד </v>
          </cell>
          <cell r="F8" t="str">
            <v>מס' רשויות בתאגיד</v>
          </cell>
          <cell r="G8" t="str">
            <v>סה"כ צריכת מים (מ"ק)</v>
          </cell>
        </row>
        <row r="9">
          <cell r="C9" t="str">
            <v>עין נטפים מפעלי מים וביוב אילת בע"מ</v>
          </cell>
          <cell r="D9">
            <v>0</v>
          </cell>
          <cell r="E9" t="str">
            <v>אילת</v>
          </cell>
          <cell r="F9">
            <v>1</v>
          </cell>
          <cell r="G9">
            <v>10977.175999999999</v>
          </cell>
        </row>
        <row r="10">
          <cell r="B10" t="str">
            <v xml:space="preserve">אזור הערבה </v>
          </cell>
          <cell r="C10">
            <v>0</v>
          </cell>
          <cell r="D10">
            <v>0</v>
          </cell>
          <cell r="E10">
            <v>0</v>
          </cell>
          <cell r="F10">
            <v>1</v>
          </cell>
          <cell r="G10">
            <v>10977.175999999999</v>
          </cell>
        </row>
        <row r="11">
          <cell r="C11" t="str">
            <v>נווה מדבר</v>
          </cell>
          <cell r="D11" t="str">
            <v>נווה מדבר בע"מ</v>
          </cell>
          <cell r="E11" t="str">
            <v xml:space="preserve">ערערה בנגב, תל-שבע, חורה, כסייפה, לקיה , שגב-שלום </v>
          </cell>
          <cell r="F11">
            <v>6</v>
          </cell>
          <cell r="G11">
            <v>5074.5279999999993</v>
          </cell>
        </row>
        <row r="12">
          <cell r="B12">
            <v>0</v>
          </cell>
          <cell r="C12" t="str">
            <v>מי רהט</v>
          </cell>
          <cell r="D12" t="str">
            <v>מי רהט בע"מ</v>
          </cell>
          <cell r="E12" t="str">
            <v xml:space="preserve">רהט                 </v>
          </cell>
          <cell r="F12">
            <v>1</v>
          </cell>
          <cell r="G12">
            <v>3228.4309999999996</v>
          </cell>
        </row>
        <row r="13">
          <cell r="B13">
            <v>0</v>
          </cell>
          <cell r="C13" t="str">
            <v>מי שבע</v>
          </cell>
          <cell r="D13" t="str">
            <v>מי שבע תאגיד המים והביוב לבאר שבע בע"מ</v>
          </cell>
          <cell r="E13" t="str">
            <v>באר-שבע, אופקים</v>
          </cell>
          <cell r="F13">
            <v>2</v>
          </cell>
          <cell r="G13">
            <v>20338.690999999999</v>
          </cell>
        </row>
        <row r="14">
          <cell r="B14">
            <v>0</v>
          </cell>
          <cell r="C14" t="str">
            <v>מעיינות הדרום</v>
          </cell>
          <cell r="D14" t="str">
            <v>מעיינות הדרום בע"מ</v>
          </cell>
          <cell r="E14" t="str">
            <v>ערד, דימונה, ירוחם, מצפה-רמון</v>
          </cell>
          <cell r="F14">
            <v>4</v>
          </cell>
          <cell r="G14">
            <v>7259.326</v>
          </cell>
        </row>
        <row r="15">
          <cell r="B15">
            <v>0</v>
          </cell>
          <cell r="C15" t="str">
            <v>מי קרית-גת</v>
          </cell>
          <cell r="D15" t="str">
            <v>מי קריית גת בע"מ</v>
          </cell>
          <cell r="E15" t="str">
            <v>קרית-גת</v>
          </cell>
          <cell r="F15">
            <v>1</v>
          </cell>
          <cell r="G15">
            <v>7660.5219999999999</v>
          </cell>
        </row>
        <row r="16">
          <cell r="B16">
            <v>0</v>
          </cell>
          <cell r="C16" t="str">
            <v>טרם אוגדו :</v>
          </cell>
          <cell r="D16" t="str">
            <v xml:space="preserve">עומר </v>
          </cell>
          <cell r="E16" t="str">
            <v xml:space="preserve">עומר </v>
          </cell>
          <cell r="F16">
            <v>1</v>
          </cell>
          <cell r="G16">
            <v>992.74199999999996</v>
          </cell>
        </row>
        <row r="17">
          <cell r="B17">
            <v>0</v>
          </cell>
          <cell r="C17">
            <v>0</v>
          </cell>
          <cell r="D17" t="e">
            <v>#N/A</v>
          </cell>
          <cell r="E17" t="str">
            <v xml:space="preserve">מיתר </v>
          </cell>
          <cell r="F17">
            <v>1</v>
          </cell>
          <cell r="G17">
            <v>841.30899999999997</v>
          </cell>
        </row>
        <row r="18">
          <cell r="B18">
            <v>0</v>
          </cell>
          <cell r="C18">
            <v>0</v>
          </cell>
          <cell r="D18" t="e">
            <v>#N/A</v>
          </cell>
          <cell r="E18" t="str">
            <v xml:space="preserve">להבים </v>
          </cell>
          <cell r="F18">
            <v>1</v>
          </cell>
          <cell r="G18">
            <v>604.28200000000004</v>
          </cell>
        </row>
        <row r="19">
          <cell r="B19" t="str">
            <v>אזור הנגב</v>
          </cell>
          <cell r="C19">
            <v>0</v>
          </cell>
          <cell r="D19" t="e">
            <v>#N/A</v>
          </cell>
          <cell r="E19">
            <v>0</v>
          </cell>
          <cell r="F19">
            <v>17</v>
          </cell>
          <cell r="G19">
            <v>45999.830999999991</v>
          </cell>
        </row>
        <row r="20">
          <cell r="B20">
            <v>0</v>
          </cell>
          <cell r="C20" t="str">
            <v>יובלים אשדוד</v>
          </cell>
          <cell r="D20" t="str">
            <v>יובלים אשדוד בע"מ</v>
          </cell>
          <cell r="E20" t="str">
            <v>אשדוד</v>
          </cell>
          <cell r="F20">
            <v>1</v>
          </cell>
          <cell r="G20">
            <v>16703.157999999999</v>
          </cell>
        </row>
        <row r="21">
          <cell r="B21">
            <v>0</v>
          </cell>
          <cell r="C21" t="str">
            <v>מי אשקלון</v>
          </cell>
          <cell r="D21" t="str">
            <v>מי אשקלון בע"מ</v>
          </cell>
          <cell r="E21" t="str">
            <v>אשקלון, נתיבות</v>
          </cell>
          <cell r="F21">
            <v>2</v>
          </cell>
          <cell r="G21">
            <v>12657.895</v>
          </cell>
        </row>
        <row r="22">
          <cell r="B22">
            <v>0</v>
          </cell>
          <cell r="C22" t="str">
            <v>מי יבנה</v>
          </cell>
          <cell r="D22" t="str">
            <v>מי יבנה בע"מ</v>
          </cell>
          <cell r="E22" t="str">
            <v xml:space="preserve">יבנה , גן-יבנה               </v>
          </cell>
          <cell r="F22">
            <v>2</v>
          </cell>
          <cell r="G22">
            <v>5287.741</v>
          </cell>
        </row>
        <row r="23">
          <cell r="B23">
            <v>0</v>
          </cell>
          <cell r="C23" t="str">
            <v>טרם אוגדו :</v>
          </cell>
          <cell r="D23" t="str">
            <v xml:space="preserve">עומר </v>
          </cell>
          <cell r="E23" t="str">
            <v xml:space="preserve">שדרות </v>
          </cell>
          <cell r="F23">
            <v>1</v>
          </cell>
          <cell r="G23">
            <v>2228.3220000000001</v>
          </cell>
        </row>
        <row r="24">
          <cell r="B24">
            <v>0</v>
          </cell>
          <cell r="C24">
            <v>0</v>
          </cell>
          <cell r="D24">
            <v>0</v>
          </cell>
          <cell r="E24" t="str">
            <v xml:space="preserve">גדרה </v>
          </cell>
          <cell r="F24">
            <v>0</v>
          </cell>
          <cell r="G24">
            <v>1589.0550000000001</v>
          </cell>
        </row>
        <row r="25">
          <cell r="B25">
            <v>0</v>
          </cell>
          <cell r="C25">
            <v>0</v>
          </cell>
          <cell r="D25">
            <v>0</v>
          </cell>
          <cell r="E25" t="str">
            <v xml:space="preserve">בני עי"ש </v>
          </cell>
          <cell r="F25">
            <v>0</v>
          </cell>
          <cell r="G25">
            <v>389.92099999999999</v>
          </cell>
        </row>
        <row r="26">
          <cell r="B26">
            <v>0</v>
          </cell>
          <cell r="C26">
            <v>0</v>
          </cell>
          <cell r="D26" t="e">
            <v>#N/A</v>
          </cell>
          <cell r="E26" t="str">
            <v xml:space="preserve">קרית מלאכי </v>
          </cell>
          <cell r="F26">
            <v>3</v>
          </cell>
          <cell r="G26">
            <v>1784.211</v>
          </cell>
        </row>
        <row r="27">
          <cell r="B27" t="str">
            <v xml:space="preserve">אזור הדרום </v>
          </cell>
          <cell r="C27">
            <v>0</v>
          </cell>
          <cell r="D27" t="e">
            <v>#N/A</v>
          </cell>
          <cell r="E27">
            <v>0</v>
          </cell>
          <cell r="F27">
            <v>9</v>
          </cell>
          <cell r="G27">
            <v>40640.303000000007</v>
          </cell>
        </row>
        <row r="28">
          <cell r="B28">
            <v>0</v>
          </cell>
          <cell r="C28" t="str">
            <v>הגיחון</v>
          </cell>
          <cell r="D28" t="str">
            <v>חברת הגיחון בע"מ תאגיד המים והביוב של ירושלים</v>
          </cell>
          <cell r="E28" t="str">
            <v>י-ם, אבו-גוש, מבשרת-ציון</v>
          </cell>
          <cell r="F28">
            <v>3</v>
          </cell>
          <cell r="G28">
            <v>60601.764999999999</v>
          </cell>
        </row>
        <row r="29">
          <cell r="B29">
            <v>0</v>
          </cell>
          <cell r="C29" t="str">
            <v>קרית יערים -טרם אוגדו :</v>
          </cell>
          <cell r="D29" t="e">
            <v>#N/A</v>
          </cell>
          <cell r="E29" t="str">
            <v xml:space="preserve">קרית יערים </v>
          </cell>
          <cell r="F29">
            <v>1</v>
          </cell>
          <cell r="G29">
            <v>229.084</v>
          </cell>
        </row>
        <row r="30">
          <cell r="B30" t="str">
            <v xml:space="preserve">אזור י-ם </v>
          </cell>
          <cell r="C30">
            <v>0</v>
          </cell>
          <cell r="D30" t="e">
            <v>#N/A</v>
          </cell>
          <cell r="E30">
            <v>0</v>
          </cell>
          <cell r="F30">
            <v>4</v>
          </cell>
          <cell r="G30">
            <v>60830.849000000002</v>
          </cell>
        </row>
        <row r="31">
          <cell r="B31">
            <v>0</v>
          </cell>
          <cell r="C31" t="str">
            <v>יובלים בשומרון</v>
          </cell>
          <cell r="D31" t="str">
            <v>יובלים בשומרון בע"מ</v>
          </cell>
          <cell r="E31" t="str">
            <v>אריאל, קרני-שומרון</v>
          </cell>
          <cell r="F31">
            <v>2</v>
          </cell>
          <cell r="G31">
            <v>1778.4359999999999</v>
          </cell>
        </row>
        <row r="32">
          <cell r="B32">
            <v>0</v>
          </cell>
          <cell r="C32" t="str">
            <v>טרם אוגדו :</v>
          </cell>
          <cell r="D32" t="str">
            <v xml:space="preserve">עומר </v>
          </cell>
          <cell r="E32" t="str">
            <v>כלל היישובים ביו''ש</v>
          </cell>
          <cell r="F32">
            <v>0</v>
          </cell>
          <cell r="G32">
            <v>0</v>
          </cell>
        </row>
        <row r="33">
          <cell r="B33" t="str">
            <v>אזור יו"ש</v>
          </cell>
          <cell r="C33">
            <v>0</v>
          </cell>
          <cell r="D33" t="e">
            <v>#N/A</v>
          </cell>
          <cell r="E33">
            <v>0</v>
          </cell>
          <cell r="F33">
            <v>2</v>
          </cell>
          <cell r="G33">
            <v>1778.4359999999999</v>
          </cell>
        </row>
        <row r="34">
          <cell r="B34">
            <v>0</v>
          </cell>
          <cell r="C34" t="str">
            <v>מניב</v>
          </cell>
          <cell r="D34" t="str">
            <v>מניב ראשון בע"מ</v>
          </cell>
          <cell r="E34" t="str">
            <v>ראשל"צ</v>
          </cell>
          <cell r="F34">
            <v>1</v>
          </cell>
          <cell r="G34">
            <v>19298.804</v>
          </cell>
        </row>
        <row r="35">
          <cell r="B35">
            <v>0</v>
          </cell>
          <cell r="C35" t="str">
            <v>מי לוד</v>
          </cell>
          <cell r="D35" t="str">
            <v>מי לוד בע"מ</v>
          </cell>
          <cell r="E35" t="str">
            <v>לוד</v>
          </cell>
          <cell r="F35">
            <v>1</v>
          </cell>
          <cell r="G35">
            <v>5178.0209999999997</v>
          </cell>
        </row>
        <row r="36">
          <cell r="B36">
            <v>0</v>
          </cell>
          <cell r="C36" t="str">
            <v>מי מודיעין</v>
          </cell>
          <cell r="D36" t="str">
            <v>מי מודיעין בע"מ</v>
          </cell>
          <cell r="E36" t="str">
            <v>מודיעין</v>
          </cell>
          <cell r="F36">
            <v>1</v>
          </cell>
          <cell r="G36">
            <v>6020.2939999999999</v>
          </cell>
        </row>
        <row r="37">
          <cell r="B37">
            <v>0</v>
          </cell>
          <cell r="C37" t="str">
            <v>תמ"ר</v>
          </cell>
          <cell r="D37" t="str">
            <v>תמ"ר תאגיד מים רמלה בע"מ</v>
          </cell>
          <cell r="E37" t="str">
            <v>רמלה</v>
          </cell>
          <cell r="F37">
            <v>1</v>
          </cell>
          <cell r="G37">
            <v>4649.5829999999996</v>
          </cell>
        </row>
        <row r="38">
          <cell r="B38">
            <v>0</v>
          </cell>
          <cell r="C38" t="str">
            <v>מי שמש</v>
          </cell>
          <cell r="D38" t="str">
            <v>מי שמש בע"מ</v>
          </cell>
          <cell r="E38" t="str">
            <v xml:space="preserve">בית שמש             </v>
          </cell>
          <cell r="F38">
            <v>1</v>
          </cell>
          <cell r="G38">
            <v>5357.384</v>
          </cell>
        </row>
        <row r="39">
          <cell r="B39">
            <v>0</v>
          </cell>
          <cell r="C39" t="str">
            <v>מי שהם</v>
          </cell>
          <cell r="D39" t="e">
            <v>#N/A</v>
          </cell>
          <cell r="E39" t="str">
            <v xml:space="preserve">שהם </v>
          </cell>
          <cell r="F39">
            <v>1</v>
          </cell>
          <cell r="G39">
            <v>1511.018</v>
          </cell>
        </row>
        <row r="40">
          <cell r="B40">
            <v>0</v>
          </cell>
          <cell r="C40" t="str">
            <v>יהוד</v>
          </cell>
          <cell r="D40" t="e">
            <v>#N/A</v>
          </cell>
          <cell r="E40" t="str">
            <v xml:space="preserve">יהוד </v>
          </cell>
          <cell r="F40">
            <v>2</v>
          </cell>
          <cell r="G40">
            <v>2417.2049999999999</v>
          </cell>
        </row>
        <row r="41">
          <cell r="B41">
            <v>0</v>
          </cell>
          <cell r="C41" t="str">
            <v>באר יעקב-טרם אוגדו :</v>
          </cell>
          <cell r="D41" t="e">
            <v>#N/A</v>
          </cell>
          <cell r="E41" t="str">
            <v xml:space="preserve">באר יעקב </v>
          </cell>
          <cell r="F41">
            <v>1</v>
          </cell>
          <cell r="G41">
            <v>1238.183</v>
          </cell>
        </row>
        <row r="42">
          <cell r="B42" t="str">
            <v xml:space="preserve">אזור המרכז </v>
          </cell>
          <cell r="C42">
            <v>0</v>
          </cell>
          <cell r="D42" t="e">
            <v>#N/A</v>
          </cell>
          <cell r="E42">
            <v>0</v>
          </cell>
          <cell r="F42">
            <v>9</v>
          </cell>
          <cell r="G42">
            <v>45670.491999999991</v>
          </cell>
        </row>
        <row r="43">
          <cell r="B43">
            <v>0</v>
          </cell>
          <cell r="C43" t="str">
            <v>מי ציונה - בהרחבה</v>
          </cell>
          <cell r="D43" t="str">
            <v>מי ציונה בע"מ</v>
          </cell>
          <cell r="E43" t="str">
            <v>נס-ציונה, קרית-עקרון, מזכרת-בתיה</v>
          </cell>
          <cell r="F43">
            <v>3</v>
          </cell>
          <cell r="G43">
            <v>5267.893</v>
          </cell>
        </row>
        <row r="44">
          <cell r="B44">
            <v>0</v>
          </cell>
          <cell r="C44" t="str">
            <v>מי בת-ים</v>
          </cell>
          <cell r="D44" t="str">
            <v>מי בת ים בע"מ</v>
          </cell>
          <cell r="E44" t="str">
            <v xml:space="preserve">בת ים               </v>
          </cell>
          <cell r="F44">
            <v>1</v>
          </cell>
          <cell r="G44">
            <v>9099.1779999999999</v>
          </cell>
        </row>
        <row r="45">
          <cell r="B45">
            <v>0</v>
          </cell>
          <cell r="C45" t="str">
            <v>הבאר השלישית  - בהקמה</v>
          </cell>
          <cell r="D45" t="e">
            <v>#N/A</v>
          </cell>
          <cell r="E45" t="str">
            <v xml:space="preserve">רחובות </v>
          </cell>
          <cell r="F45">
            <v>1</v>
          </cell>
          <cell r="G45">
            <v>9395.4070000000011</v>
          </cell>
        </row>
        <row r="46">
          <cell r="B46">
            <v>0</v>
          </cell>
          <cell r="C46" t="str">
            <v>מי שיקמה</v>
          </cell>
          <cell r="D46" t="str">
            <v>מי שקמה תאגיד המים והביוב בע"מ</v>
          </cell>
          <cell r="E46" t="str">
            <v>חולון , אזור, בית-דגן</v>
          </cell>
          <cell r="F46">
            <v>3</v>
          </cell>
          <cell r="G46">
            <v>18255.450999999997</v>
          </cell>
        </row>
        <row r="47">
          <cell r="B47">
            <v>0</v>
          </cell>
          <cell r="C47" t="str">
            <v xml:space="preserve">אור יהודה </v>
          </cell>
          <cell r="D47" t="e">
            <v>#N/A</v>
          </cell>
          <cell r="E47" t="str">
            <v>אור יהודה</v>
          </cell>
          <cell r="F47">
            <v>1</v>
          </cell>
          <cell r="G47">
            <v>0</v>
          </cell>
        </row>
        <row r="48">
          <cell r="B48" t="str">
            <v>אזור השפלה</v>
          </cell>
          <cell r="C48">
            <v>0</v>
          </cell>
          <cell r="D48" t="e">
            <v>#N/A</v>
          </cell>
          <cell r="E48">
            <v>0</v>
          </cell>
          <cell r="F48">
            <v>9</v>
          </cell>
          <cell r="G48">
            <v>42017.929000000004</v>
          </cell>
        </row>
        <row r="49">
          <cell r="B49">
            <v>0</v>
          </cell>
          <cell r="C49" t="str">
            <v>מי אונו</v>
          </cell>
          <cell r="D49" t="str">
            <v>מי אונו בע"מ</v>
          </cell>
          <cell r="E49" t="str">
            <v>קרית-אונו</v>
          </cell>
          <cell r="F49">
            <v>1</v>
          </cell>
          <cell r="G49">
            <v>2529.587</v>
          </cell>
        </row>
        <row r="50">
          <cell r="B50">
            <v>0</v>
          </cell>
          <cell r="C50" t="str">
            <v>מיתב</v>
          </cell>
          <cell r="D50" t="str">
            <v>מיתב מים תיעול וביוב בע"מ</v>
          </cell>
          <cell r="E50" t="str">
            <v>פ"ת, אלעד, כפר-ברא</v>
          </cell>
          <cell r="F50">
            <v>3</v>
          </cell>
          <cell r="G50">
            <v>18180.299000000003</v>
          </cell>
        </row>
        <row r="51">
          <cell r="B51">
            <v>0</v>
          </cell>
          <cell r="C51" t="str">
            <v>עין אפק</v>
          </cell>
          <cell r="D51" t="str">
            <v>עין אפק בע"מ</v>
          </cell>
          <cell r="E51" t="str">
            <v xml:space="preserve">ראש העין </v>
          </cell>
          <cell r="F51">
            <v>1</v>
          </cell>
          <cell r="G51">
            <v>3395.31</v>
          </cell>
        </row>
        <row r="52">
          <cell r="B52">
            <v>0</v>
          </cell>
          <cell r="C52" t="str">
            <v>מי גבעת שמואל - בהקמה</v>
          </cell>
          <cell r="D52" t="e">
            <v>#N/A</v>
          </cell>
          <cell r="E52" t="str">
            <v xml:space="preserve">גבעת שמואל </v>
          </cell>
          <cell r="F52">
            <v>1</v>
          </cell>
          <cell r="G52">
            <v>1555.6210000000001</v>
          </cell>
        </row>
        <row r="53">
          <cell r="B53">
            <v>0</v>
          </cell>
          <cell r="C53" t="str">
            <v>מי גני תקוה - בהקמה</v>
          </cell>
          <cell r="D53" t="e">
            <v>#N/A</v>
          </cell>
          <cell r="E53" t="str">
            <v>מי תקווה</v>
          </cell>
          <cell r="F53">
            <v>1</v>
          </cell>
          <cell r="G53">
            <v>1075.876</v>
          </cell>
        </row>
        <row r="54">
          <cell r="B54">
            <v>0</v>
          </cell>
          <cell r="C54" t="str">
            <v>מי ברק</v>
          </cell>
          <cell r="D54" t="str">
            <v>מי ברק בע"מ</v>
          </cell>
          <cell r="E54" t="str">
            <v>בני-ברק</v>
          </cell>
          <cell r="F54">
            <v>1</v>
          </cell>
          <cell r="G54">
            <v>10402.959000000001</v>
          </cell>
        </row>
        <row r="55">
          <cell r="B55">
            <v>0</v>
          </cell>
          <cell r="C55" t="str">
            <v>טרם אוגדו :</v>
          </cell>
          <cell r="D55">
            <v>0</v>
          </cell>
          <cell r="E55" t="str">
            <v xml:space="preserve">סביון </v>
          </cell>
          <cell r="F55">
            <v>1</v>
          </cell>
          <cell r="G55">
            <v>1069.3030000000001</v>
          </cell>
        </row>
        <row r="56">
          <cell r="B56" t="str">
            <v>אזור פ''ת</v>
          </cell>
          <cell r="C56">
            <v>0</v>
          </cell>
          <cell r="D56" t="e">
            <v>#N/A</v>
          </cell>
          <cell r="E56">
            <v>0</v>
          </cell>
          <cell r="F56">
            <v>9</v>
          </cell>
          <cell r="G56">
            <v>38208.955000000002</v>
          </cell>
        </row>
        <row r="57">
          <cell r="B57">
            <v>0</v>
          </cell>
          <cell r="C57" t="str">
            <v>מי גבעתיים</v>
          </cell>
          <cell r="D57" t="str">
            <v>מי גבעתיים בע"מ</v>
          </cell>
          <cell r="E57" t="str">
            <v xml:space="preserve">גבעתיים             </v>
          </cell>
          <cell r="F57">
            <v>1</v>
          </cell>
          <cell r="G57">
            <v>3688.085</v>
          </cell>
        </row>
        <row r="58">
          <cell r="B58">
            <v>0</v>
          </cell>
          <cell r="C58" t="str">
            <v>מי רמת-גן</v>
          </cell>
          <cell r="D58" t="str">
            <v>רמת גן</v>
          </cell>
          <cell r="E58" t="str">
            <v xml:space="preserve">מי רמת גן </v>
          </cell>
          <cell r="F58">
            <v>1</v>
          </cell>
          <cell r="G58">
            <v>11903.299000000001</v>
          </cell>
        </row>
        <row r="59">
          <cell r="B59">
            <v>0</v>
          </cell>
          <cell r="C59" t="str">
            <v>מי אביבים 2010</v>
          </cell>
          <cell r="D59" t="str">
            <v>מי אביבים 2010 בע"מ</v>
          </cell>
          <cell r="E59" t="str">
            <v xml:space="preserve">תל אביב - יפו       </v>
          </cell>
          <cell r="F59">
            <v>1</v>
          </cell>
          <cell r="G59">
            <v>45887.912000000004</v>
          </cell>
        </row>
        <row r="60">
          <cell r="B60" t="str">
            <v>אזור ת"א מרכז</v>
          </cell>
          <cell r="C60">
            <v>0</v>
          </cell>
          <cell r="D60" t="e">
            <v>#N/A</v>
          </cell>
          <cell r="E60">
            <v>0</v>
          </cell>
          <cell r="F60">
            <v>3</v>
          </cell>
          <cell r="G60">
            <v>61479.296000000002</v>
          </cell>
        </row>
        <row r="61">
          <cell r="B61">
            <v>0</v>
          </cell>
          <cell r="C61" t="str">
            <v>מי הוד השרון</v>
          </cell>
          <cell r="D61" t="str">
            <v>מי הוד השרון בע"מ</v>
          </cell>
          <cell r="E61" t="str">
            <v xml:space="preserve">הוד השרון           </v>
          </cell>
          <cell r="F61">
            <v>1</v>
          </cell>
          <cell r="G61">
            <v>4327.2700000000004</v>
          </cell>
        </row>
        <row r="62">
          <cell r="B62">
            <v>0</v>
          </cell>
          <cell r="C62" t="str">
            <v>מי הרצליה</v>
          </cell>
          <cell r="D62" t="str">
            <v>מי הרצליה בע"מ</v>
          </cell>
          <cell r="E62" t="str">
            <v>הרצליה</v>
          </cell>
          <cell r="F62">
            <v>1</v>
          </cell>
          <cell r="G62">
            <v>9918.521999999999</v>
          </cell>
        </row>
        <row r="63">
          <cell r="B63">
            <v>0</v>
          </cell>
          <cell r="C63" t="str">
            <v>מי רעננה</v>
          </cell>
          <cell r="D63" t="str">
            <v>מי רעננה בע"מ</v>
          </cell>
          <cell r="E63" t="str">
            <v>רעננה</v>
          </cell>
          <cell r="F63">
            <v>1</v>
          </cell>
          <cell r="G63">
            <v>6380.3370000000004</v>
          </cell>
        </row>
        <row r="64">
          <cell r="B64">
            <v>0</v>
          </cell>
          <cell r="C64" t="str">
            <v>שרונים</v>
          </cell>
          <cell r="D64" t="str">
            <v>שרונים בע"מ</v>
          </cell>
          <cell r="E64" t="str">
            <v>רמת-השרון</v>
          </cell>
          <cell r="F64">
            <v>1</v>
          </cell>
          <cell r="G64">
            <v>4453.9129999999996</v>
          </cell>
        </row>
        <row r="65">
          <cell r="B65">
            <v>0</v>
          </cell>
          <cell r="C65" t="str">
            <v>מעיינות המשולש</v>
          </cell>
          <cell r="D65" t="str">
            <v>מעינות המשולש בע"מ</v>
          </cell>
          <cell r="E65" t="str">
            <v>טירה , ג'לג'וליה, כפר-קאסם</v>
          </cell>
          <cell r="F65">
            <v>3</v>
          </cell>
          <cell r="G65">
            <v>4966.9589999999998</v>
          </cell>
        </row>
        <row r="66">
          <cell r="B66">
            <v>0</v>
          </cell>
          <cell r="C66" t="str">
            <v>פלגי השרון</v>
          </cell>
          <cell r="D66" t="str">
            <v>פלגי השרון בע"מ</v>
          </cell>
          <cell r="E66" t="str">
            <v>כפר-סבא, צור-יגאל</v>
          </cell>
          <cell r="F66">
            <v>2</v>
          </cell>
          <cell r="G66">
            <v>1131.4870000000001</v>
          </cell>
        </row>
        <row r="67">
          <cell r="B67">
            <v>0</v>
          </cell>
          <cell r="C67" t="str">
            <v>טרם אוגדו :</v>
          </cell>
          <cell r="D67">
            <v>0</v>
          </cell>
          <cell r="E67" t="str">
            <v xml:space="preserve">כפר שמריהו </v>
          </cell>
          <cell r="F67">
            <v>1</v>
          </cell>
          <cell r="G67">
            <v>584.58699999999999</v>
          </cell>
        </row>
        <row r="68">
          <cell r="B68">
            <v>0</v>
          </cell>
          <cell r="C68">
            <v>0</v>
          </cell>
          <cell r="D68">
            <v>0</v>
          </cell>
          <cell r="E68" t="str">
            <v>טייבה</v>
          </cell>
          <cell r="F68">
            <v>1</v>
          </cell>
          <cell r="G68">
            <v>3380.6</v>
          </cell>
        </row>
        <row r="69">
          <cell r="B69">
            <v>0</v>
          </cell>
          <cell r="C69">
            <v>0</v>
          </cell>
          <cell r="D69">
            <v>0</v>
          </cell>
          <cell r="E69" t="str">
            <v xml:space="preserve">קלנסואה </v>
          </cell>
          <cell r="F69">
            <v>1</v>
          </cell>
          <cell r="G69">
            <v>1337.9080000000001</v>
          </cell>
        </row>
        <row r="70">
          <cell r="B70" t="str">
            <v>אזור השרון</v>
          </cell>
          <cell r="C70">
            <v>0</v>
          </cell>
          <cell r="D70">
            <v>0</v>
          </cell>
          <cell r="E70">
            <v>0</v>
          </cell>
          <cell r="F70">
            <v>12</v>
          </cell>
          <cell r="G70">
            <v>36481.583000000006</v>
          </cell>
        </row>
        <row r="71">
          <cell r="B71">
            <v>0</v>
          </cell>
          <cell r="C71" t="str">
            <v>מי נתניה</v>
          </cell>
          <cell r="D71" t="str">
            <v>מי נתניה (2003) בע"מ</v>
          </cell>
          <cell r="E71" t="str">
            <v>נתניה</v>
          </cell>
          <cell r="F71">
            <v>1</v>
          </cell>
          <cell r="G71">
            <v>16042.34</v>
          </cell>
        </row>
        <row r="72">
          <cell r="B72">
            <v>0</v>
          </cell>
          <cell r="C72" t="str">
            <v>מעיינות השרון</v>
          </cell>
          <cell r="D72" t="str">
            <v>מי השרון בע"מ</v>
          </cell>
          <cell r="E72" t="str">
            <v xml:space="preserve">אבן יהודה , כפר-יונה, פרדסיה, קדימה-צורן,  תל-מונד     </v>
          </cell>
          <cell r="F72">
            <v>5</v>
          </cell>
          <cell r="G72">
            <v>5557.4649999999992</v>
          </cell>
        </row>
        <row r="73">
          <cell r="B73">
            <v>0</v>
          </cell>
          <cell r="C73" t="str">
            <v>מי חדרה</v>
          </cell>
          <cell r="D73" t="str">
            <v>מי חדרה בע"מ</v>
          </cell>
          <cell r="E73" t="str">
            <v>חדרה</v>
          </cell>
          <cell r="F73">
            <v>1</v>
          </cell>
          <cell r="G73">
            <v>7141.3379999999997</v>
          </cell>
        </row>
        <row r="74">
          <cell r="B74">
            <v>0</v>
          </cell>
          <cell r="C74" t="str">
            <v>מי עירון</v>
          </cell>
          <cell r="D74" t="str">
            <v>מי עירון בע"מ</v>
          </cell>
          <cell r="E74" t="str">
            <v>אום אל-פאחם, בסמה, כפר-קרע, ערערה, מעלה-עירון, באקה ג'את, זמר</v>
          </cell>
          <cell r="F74">
            <v>7</v>
          </cell>
          <cell r="G74">
            <v>7984.29</v>
          </cell>
        </row>
        <row r="75">
          <cell r="B75">
            <v>0</v>
          </cell>
          <cell r="C75" t="str">
            <v>טרם אוגדו :</v>
          </cell>
          <cell r="D75">
            <v>0</v>
          </cell>
          <cell r="E75" t="str">
            <v xml:space="preserve">אור עקיבא </v>
          </cell>
          <cell r="F75">
            <v>0</v>
          </cell>
          <cell r="G75">
            <v>1581.5809999999999</v>
          </cell>
        </row>
        <row r="76">
          <cell r="B76">
            <v>0</v>
          </cell>
          <cell r="C76">
            <v>0</v>
          </cell>
          <cell r="D76">
            <v>0</v>
          </cell>
          <cell r="E76" t="str">
            <v xml:space="preserve">בנימינה - גבעת עדה </v>
          </cell>
          <cell r="F76">
            <v>0</v>
          </cell>
          <cell r="G76">
            <v>1478.6239999999998</v>
          </cell>
        </row>
        <row r="77">
          <cell r="B77">
            <v>0</v>
          </cell>
          <cell r="C77">
            <v>0</v>
          </cell>
          <cell r="D77">
            <v>0</v>
          </cell>
          <cell r="E77" t="str">
            <v>גיסר אל זרקא</v>
          </cell>
          <cell r="F77">
            <v>0</v>
          </cell>
          <cell r="G77">
            <v>864.1</v>
          </cell>
        </row>
        <row r="78">
          <cell r="B78">
            <v>0</v>
          </cell>
          <cell r="C78">
            <v>0</v>
          </cell>
          <cell r="D78">
            <v>0</v>
          </cell>
          <cell r="E78" t="str">
            <v xml:space="preserve">פרדיס </v>
          </cell>
          <cell r="F78">
            <v>0</v>
          </cell>
          <cell r="G78">
            <v>638.50400000000002</v>
          </cell>
        </row>
        <row r="79">
          <cell r="B79">
            <v>0</v>
          </cell>
          <cell r="C79">
            <v>0</v>
          </cell>
          <cell r="D79">
            <v>0</v>
          </cell>
          <cell r="E79" t="str">
            <v>זכרון יעקב</v>
          </cell>
          <cell r="F79">
            <v>0</v>
          </cell>
          <cell r="G79">
            <v>2013.6089999999999</v>
          </cell>
        </row>
        <row r="80">
          <cell r="B80">
            <v>0</v>
          </cell>
          <cell r="C80">
            <v>0</v>
          </cell>
          <cell r="D80">
            <v>0</v>
          </cell>
          <cell r="E80" t="str">
            <v xml:space="preserve">פרדס חנה-כרכור </v>
          </cell>
          <cell r="F80">
            <v>0</v>
          </cell>
          <cell r="G80">
            <v>3146.069</v>
          </cell>
        </row>
        <row r="81">
          <cell r="B81">
            <v>0</v>
          </cell>
          <cell r="C81">
            <v>0</v>
          </cell>
          <cell r="D81">
            <v>0</v>
          </cell>
          <cell r="E81" t="str">
            <v xml:space="preserve">אליכין </v>
          </cell>
          <cell r="F81">
            <v>0</v>
          </cell>
          <cell r="G81">
            <v>355.29599999999999</v>
          </cell>
        </row>
        <row r="82">
          <cell r="B82">
            <v>0</v>
          </cell>
          <cell r="C82">
            <v>0</v>
          </cell>
          <cell r="D82" t="str">
            <v>חריש</v>
          </cell>
          <cell r="E82" t="str">
            <v xml:space="preserve">חריש </v>
          </cell>
          <cell r="F82">
            <v>8</v>
          </cell>
          <cell r="G82">
            <v>0</v>
          </cell>
        </row>
        <row r="83">
          <cell r="B83" t="str">
            <v xml:space="preserve">אזור שרון צפוני </v>
          </cell>
          <cell r="C83">
            <v>0</v>
          </cell>
          <cell r="D83" t="e">
            <v>#N/A</v>
          </cell>
          <cell r="E83">
            <v>0</v>
          </cell>
          <cell r="F83">
            <v>22</v>
          </cell>
          <cell r="G83">
            <v>46803.215999999993</v>
          </cell>
        </row>
        <row r="84">
          <cell r="B84">
            <v>0</v>
          </cell>
          <cell r="C84" t="str">
            <v>מי כרמל</v>
          </cell>
          <cell r="D84" t="str">
            <v>מי כרמל בע"מ</v>
          </cell>
          <cell r="E84" t="str">
            <v xml:space="preserve">חיפה                </v>
          </cell>
          <cell r="F84">
            <v>1</v>
          </cell>
          <cell r="G84">
            <v>23482.1</v>
          </cell>
        </row>
        <row r="85">
          <cell r="B85">
            <v>0</v>
          </cell>
          <cell r="C85" t="str">
            <v>טרם אוגדו :</v>
          </cell>
          <cell r="D85">
            <v>0</v>
          </cell>
          <cell r="E85" t="str">
            <v xml:space="preserve">טירת הכרמל </v>
          </cell>
          <cell r="F85">
            <v>0</v>
          </cell>
          <cell r="G85">
            <v>1668.9380000000001</v>
          </cell>
        </row>
        <row r="86">
          <cell r="B86">
            <v>0</v>
          </cell>
          <cell r="C86">
            <v>0</v>
          </cell>
          <cell r="D86">
            <v>0</v>
          </cell>
          <cell r="E86" t="str">
            <v xml:space="preserve">נשר </v>
          </cell>
          <cell r="F86">
            <v>2</v>
          </cell>
          <cell r="G86">
            <v>1699.067</v>
          </cell>
        </row>
        <row r="87">
          <cell r="B87">
            <v>0</v>
          </cell>
          <cell r="C87" t="str">
            <v>מעיינות אתא</v>
          </cell>
          <cell r="D87" t="str">
            <v>מי קריית אתא בע"מ</v>
          </cell>
          <cell r="E87" t="str">
            <v>קרית-אתא</v>
          </cell>
          <cell r="F87">
            <v>1</v>
          </cell>
          <cell r="G87">
            <v>3626.6419999999998</v>
          </cell>
        </row>
        <row r="88">
          <cell r="B88">
            <v>0</v>
          </cell>
          <cell r="C88" t="str">
            <v>פלגי מוצקין</v>
          </cell>
          <cell r="D88" t="str">
            <v>פלגי מוצקין בע"מ</v>
          </cell>
          <cell r="E88" t="str">
            <v xml:space="preserve">קרית מוצקין         </v>
          </cell>
          <cell r="F88">
            <v>1</v>
          </cell>
          <cell r="G88">
            <v>3094.3240000000001</v>
          </cell>
        </row>
        <row r="89">
          <cell r="B89">
            <v>0</v>
          </cell>
          <cell r="C89" t="str">
            <v>ימים</v>
          </cell>
          <cell r="D89" t="str">
            <v>ימים</v>
          </cell>
          <cell r="E89" t="str">
            <v xml:space="preserve">קרית ים             </v>
          </cell>
          <cell r="F89">
            <v>1</v>
          </cell>
          <cell r="G89">
            <v>2739.9360000000001</v>
          </cell>
        </row>
        <row r="90">
          <cell r="B90">
            <v>0</v>
          </cell>
          <cell r="C90" t="str">
            <v>מי קרית-ביאליק - בהקמה</v>
          </cell>
          <cell r="D90" t="str">
            <v>מי קריית ביאליק</v>
          </cell>
          <cell r="E90" t="str">
            <v>מי קריית ביאליק</v>
          </cell>
          <cell r="F90">
            <v>1</v>
          </cell>
          <cell r="G90">
            <v>2916.2270000000003</v>
          </cell>
        </row>
        <row r="91">
          <cell r="B91">
            <v>0</v>
          </cell>
          <cell r="C91" t="str">
            <v>מי עכו</v>
          </cell>
          <cell r="D91" t="str">
            <v>מי עכו בע"מ</v>
          </cell>
          <cell r="E91" t="str">
            <v xml:space="preserve">עכו                 </v>
          </cell>
          <cell r="F91">
            <v>1</v>
          </cell>
          <cell r="G91">
            <v>3466.8629999999998</v>
          </cell>
        </row>
        <row r="92">
          <cell r="B92">
            <v>0</v>
          </cell>
          <cell r="C92" t="str">
            <v>טרם אוגדו:</v>
          </cell>
          <cell r="D92">
            <v>0</v>
          </cell>
          <cell r="E92" t="str">
            <v>כעבייה</v>
          </cell>
          <cell r="F92">
            <v>1</v>
          </cell>
          <cell r="G92">
            <v>0</v>
          </cell>
        </row>
        <row r="93">
          <cell r="B93" t="str">
            <v>אזור חיפה והקריות</v>
          </cell>
          <cell r="C93">
            <v>0</v>
          </cell>
          <cell r="D93" t="e">
            <v>#N/A</v>
          </cell>
          <cell r="E93">
            <v>0</v>
          </cell>
          <cell r="F93">
            <v>9</v>
          </cell>
          <cell r="G93">
            <v>42694.096999999994</v>
          </cell>
        </row>
        <row r="94">
          <cell r="B94">
            <v>0</v>
          </cell>
          <cell r="C94" t="str">
            <v>מעיינות העמקים</v>
          </cell>
          <cell r="D94" t="str">
            <v>מעיינות העמקים בע"מ</v>
          </cell>
          <cell r="E94" t="str">
            <v xml:space="preserve">קרית טבעון , יקנעם עלית, רמת-ישי          </v>
          </cell>
          <cell r="F94">
            <v>3</v>
          </cell>
          <cell r="G94">
            <v>3372.8529999999996</v>
          </cell>
        </row>
        <row r="95">
          <cell r="B95">
            <v>0</v>
          </cell>
          <cell r="C95" t="str">
            <v>סובב שפרעם</v>
          </cell>
          <cell r="D95" t="str">
            <v>סובב שפרעם בע"מ</v>
          </cell>
          <cell r="E95" t="str">
            <v xml:space="preserve">אעבלין ,  בסמת-טבעון, זרזיר, טמרה, כאבול, כפר-מנדא, שעב, שפרעם ,     כאוכב , ביר אל מכסור       </v>
          </cell>
          <cell r="F95">
            <v>10</v>
          </cell>
          <cell r="G95">
            <v>9679.152</v>
          </cell>
        </row>
        <row r="96">
          <cell r="B96">
            <v>0</v>
          </cell>
          <cell r="C96" t="str">
            <v>הרי-נצרת</v>
          </cell>
          <cell r="D96" t="str">
            <v>הרי נצרת מפעלי מים וביוב בע"מ</v>
          </cell>
          <cell r="E96" t="str">
            <v>נצרת, איכסאל, יפיע, עילוט, ריינה</v>
          </cell>
          <cell r="F96">
            <v>5</v>
          </cell>
          <cell r="G96">
            <v>8990.4840000000004</v>
          </cell>
        </row>
        <row r="97">
          <cell r="B97">
            <v>0</v>
          </cell>
          <cell r="C97" t="str">
            <v>כפרי גליל תחתון</v>
          </cell>
          <cell r="D97" t="str">
            <v>כפרי גליל תחתון בע"מ</v>
          </cell>
          <cell r="E97" t="str">
            <v>בועיינה-נוג'ידאת, דבורייה, טורעאן, כפר-כנא, משהד, שיבלי , עין מאהל</v>
          </cell>
          <cell r="F97">
            <v>7</v>
          </cell>
          <cell r="G97">
            <v>4577.4979999999996</v>
          </cell>
        </row>
        <row r="98">
          <cell r="B98">
            <v>0</v>
          </cell>
          <cell r="C98" t="str">
            <v>מי נע - בהרחבה</v>
          </cell>
          <cell r="D98" t="str">
            <v>מי נע חברת המים והביוב של עיריית נצרת עילית בע"מ</v>
          </cell>
          <cell r="E98" t="str">
            <v>נצרת-עלית, מגדל העמק, עפולה</v>
          </cell>
          <cell r="F98">
            <v>3</v>
          </cell>
          <cell r="G98">
            <v>9465.3389999999999</v>
          </cell>
        </row>
        <row r="99">
          <cell r="B99">
            <v>0</v>
          </cell>
          <cell r="C99" t="str">
            <v>טרם אוגדו:</v>
          </cell>
          <cell r="D99" t="str">
            <v xml:space="preserve">טירת הכרמל </v>
          </cell>
          <cell r="E99" t="str">
            <v xml:space="preserve">טירת הכרמל </v>
          </cell>
          <cell r="F99">
            <v>1</v>
          </cell>
          <cell r="G99">
            <v>1668.9380000000001</v>
          </cell>
        </row>
        <row r="100">
          <cell r="B100" t="str">
            <v>אזור נצרת</v>
          </cell>
          <cell r="C100">
            <v>0</v>
          </cell>
          <cell r="D100" t="e">
            <v>#N/A</v>
          </cell>
          <cell r="E100">
            <v>0</v>
          </cell>
          <cell r="F100">
            <v>29</v>
          </cell>
          <cell r="G100">
            <v>37754.264000000003</v>
          </cell>
        </row>
        <row r="101">
          <cell r="B101">
            <v>0</v>
          </cell>
          <cell r="C101" t="str">
            <v>אל עין - בהרחבה</v>
          </cell>
          <cell r="D101" t="str">
            <v>אל עין בע"מ</v>
          </cell>
          <cell r="E101" t="str">
            <v>אבו סנאן , ג'דיידה מאכר, ג'וליס, כפר יאסיף, ירכא, מזרעה, יאנוח ג'את, עוספיא ודליה</v>
          </cell>
          <cell r="F101">
            <v>9</v>
          </cell>
          <cell r="G101">
            <v>5471.9060000000009</v>
          </cell>
        </row>
        <row r="102">
          <cell r="B102">
            <v>0</v>
          </cell>
          <cell r="C102" t="str">
            <v>מי הגליל</v>
          </cell>
          <cell r="D102" t="str">
            <v>מי גליל בע"מ</v>
          </cell>
          <cell r="E102" t="str">
            <v>דיר אל אסד, בענה, מג'ד אל כרום, דיר-חנא, נחף, עראבה, סכנין</v>
          </cell>
          <cell r="F102">
            <v>7</v>
          </cell>
          <cell r="G102">
            <v>7319.4059999999999</v>
          </cell>
        </row>
        <row r="103">
          <cell r="B103">
            <v>0</v>
          </cell>
          <cell r="C103">
            <v>0</v>
          </cell>
          <cell r="D103">
            <v>0</v>
          </cell>
          <cell r="E103">
            <v>0</v>
          </cell>
          <cell r="F103">
            <v>0</v>
          </cell>
          <cell r="G103">
            <v>0</v>
          </cell>
        </row>
        <row r="104">
          <cell r="B104">
            <v>0</v>
          </cell>
          <cell r="C104" t="str">
            <v>מעיינות זיו</v>
          </cell>
          <cell r="D104" t="str">
            <v>מעיינות זיו בע"מ</v>
          </cell>
          <cell r="E104" t="str">
            <v>מעלות,שלומי, כסרא סמייע, כפר ורדים</v>
          </cell>
          <cell r="F104">
            <v>4</v>
          </cell>
          <cell r="G104">
            <v>3545.5990000000002</v>
          </cell>
        </row>
        <row r="105">
          <cell r="B105">
            <v>0</v>
          </cell>
          <cell r="C105" t="str">
            <v>עין הכרמים</v>
          </cell>
          <cell r="D105" t="str">
            <v>עין כרמים בע"מ</v>
          </cell>
          <cell r="E105" t="str">
            <v xml:space="preserve">כרמיאל              </v>
          </cell>
          <cell r="F105">
            <v>1</v>
          </cell>
          <cell r="G105">
            <v>4061.6559999999999</v>
          </cell>
        </row>
        <row r="106">
          <cell r="B106">
            <v>0</v>
          </cell>
          <cell r="C106" t="str">
            <v>טרם אוגדו:</v>
          </cell>
          <cell r="D106" t="str">
            <v>נהריה</v>
          </cell>
          <cell r="E106" t="str">
            <v xml:space="preserve">נהריה </v>
          </cell>
          <cell r="F106">
            <v>1</v>
          </cell>
          <cell r="G106">
            <v>4833.1939999999995</v>
          </cell>
        </row>
        <row r="107">
          <cell r="B107" t="str">
            <v>אזור הגליל המערבי</v>
          </cell>
          <cell r="C107">
            <v>0</v>
          </cell>
          <cell r="D107" t="e">
            <v>#N/A</v>
          </cell>
          <cell r="E107">
            <v>0</v>
          </cell>
          <cell r="F107">
            <v>22</v>
          </cell>
          <cell r="G107">
            <v>25231.761000000002</v>
          </cell>
        </row>
        <row r="108">
          <cell r="B108">
            <v>0</v>
          </cell>
          <cell r="C108" t="str">
            <v>התנור - בהליכי הרחבה</v>
          </cell>
          <cell r="D108" t="str">
            <v>התנור מים וביוב בע"מ</v>
          </cell>
          <cell r="E108" t="str">
            <v>קרית-שמונה , מטולה , קצרין,</v>
          </cell>
          <cell r="F108">
            <v>7</v>
          </cell>
          <cell r="G108">
            <v>4026.0590000000002</v>
          </cell>
        </row>
        <row r="109">
          <cell r="B109">
            <v>0</v>
          </cell>
          <cell r="C109">
            <v>0</v>
          </cell>
          <cell r="D109">
            <v>0</v>
          </cell>
          <cell r="E109" t="str">
            <v>בוקעאתא</v>
          </cell>
          <cell r="F109">
            <v>0</v>
          </cell>
          <cell r="G109">
            <v>464.12900000000002</v>
          </cell>
        </row>
        <row r="110">
          <cell r="B110">
            <v>0</v>
          </cell>
          <cell r="C110">
            <v>0</v>
          </cell>
          <cell r="D110">
            <v>0</v>
          </cell>
          <cell r="E110" t="str">
            <v xml:space="preserve">עין קניה </v>
          </cell>
          <cell r="F110">
            <v>0</v>
          </cell>
          <cell r="G110">
            <v>131.88399999999999</v>
          </cell>
        </row>
        <row r="111">
          <cell r="B111">
            <v>0</v>
          </cell>
          <cell r="C111">
            <v>0</v>
          </cell>
          <cell r="D111" t="e">
            <v>#N/A</v>
          </cell>
          <cell r="E111" t="str">
            <v xml:space="preserve"> בוקעתא, עין-קיניא, מ'גדל שמס, מסעדה,</v>
          </cell>
          <cell r="F111">
            <v>0</v>
          </cell>
          <cell r="G111">
            <v>0</v>
          </cell>
        </row>
        <row r="112">
          <cell r="B112">
            <v>0</v>
          </cell>
          <cell r="C112" t="str">
            <v>פלג הגליל</v>
          </cell>
          <cell r="D112" t="str">
            <v>פלג הגליל החברה האזורית למים וביוב בע"מ</v>
          </cell>
          <cell r="E112" t="str">
            <v>חצור , צפת, טובא-זנגריא, גוש-חלב, יסוד המעלה, מראר , ראמה,עילבון, בית-ג'אן, סאג'ור , חורפייש, פסוטה, פקיעין</v>
          </cell>
          <cell r="F112">
            <v>13</v>
          </cell>
          <cell r="G112">
            <v>8577.2049999999999</v>
          </cell>
        </row>
        <row r="113">
          <cell r="B113">
            <v>0</v>
          </cell>
          <cell r="C113" t="str">
            <v>מי רקת טבריה</v>
          </cell>
          <cell r="D113" t="str">
            <v>מי רקת טבריה בע"מ</v>
          </cell>
          <cell r="E113" t="str">
            <v>טבריה , יבניאל, מגדל, כפר-קמא</v>
          </cell>
          <cell r="F113">
            <v>4</v>
          </cell>
          <cell r="G113">
            <v>4826.299</v>
          </cell>
        </row>
        <row r="114">
          <cell r="B114">
            <v>0</v>
          </cell>
          <cell r="C114" t="str">
            <v>טרם אוגדו:</v>
          </cell>
          <cell r="D114">
            <v>0</v>
          </cell>
          <cell r="E114" t="str">
            <v>מעילייא</v>
          </cell>
          <cell r="F114">
            <v>0</v>
          </cell>
          <cell r="G114">
            <v>0</v>
          </cell>
        </row>
        <row r="115">
          <cell r="B115">
            <v>0</v>
          </cell>
          <cell r="C115">
            <v>0</v>
          </cell>
          <cell r="D115">
            <v>0</v>
          </cell>
          <cell r="E115" t="str">
            <v xml:space="preserve">ראש פנה </v>
          </cell>
          <cell r="F115">
            <v>0</v>
          </cell>
          <cell r="G115">
            <v>568.64</v>
          </cell>
        </row>
        <row r="116">
          <cell r="B116">
            <v>0</v>
          </cell>
          <cell r="C116">
            <v>0</v>
          </cell>
          <cell r="D116">
            <v>0</v>
          </cell>
          <cell r="E116" t="str">
            <v xml:space="preserve">בית שאן </v>
          </cell>
          <cell r="F116">
            <v>3</v>
          </cell>
          <cell r="G116">
            <v>1643.2829999999999</v>
          </cell>
        </row>
        <row r="117">
          <cell r="B117" t="str">
            <v>אזור הגליל המזרחי</v>
          </cell>
          <cell r="C117">
            <v>0</v>
          </cell>
          <cell r="D117">
            <v>0</v>
          </cell>
          <cell r="E117">
            <v>0</v>
          </cell>
          <cell r="F117">
            <v>27</v>
          </cell>
          <cell r="G117">
            <v>20237.499</v>
          </cell>
        </row>
        <row r="118">
          <cell r="B118" t="str">
            <v>סה"כ</v>
          </cell>
          <cell r="C118">
            <v>0</v>
          </cell>
          <cell r="D118">
            <v>0</v>
          </cell>
          <cell r="E118">
            <v>0</v>
          </cell>
          <cell r="F118">
            <v>184</v>
          </cell>
          <cell r="G118">
            <v>556805.68700000003</v>
          </cell>
        </row>
      </sheetData>
      <sheetData sheetId="8" refreshError="1">
        <row r="15">
          <cell r="B15">
            <v>6281.6426666666666</v>
          </cell>
        </row>
      </sheetData>
      <sheetData sheetId="9" refreshError="1"/>
      <sheetData sheetId="10" refreshError="1">
        <row r="13">
          <cell r="B13">
            <v>3823</v>
          </cell>
        </row>
      </sheetData>
      <sheetData sheetId="11" refreshError="1"/>
      <sheetData sheetId="12" refreshError="1"/>
      <sheetData sheetId="13" refreshError="1"/>
      <sheetData sheetId="14" refreshError="1">
        <row r="58">
          <cell r="W58">
            <v>2540.7455100000002</v>
          </cell>
        </row>
      </sheetData>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3-2014"/>
      <sheetName val="2011-2012"/>
      <sheetName val="גיליון3"/>
    </sheetNames>
    <sheetDataSet>
      <sheetData sheetId="0" refreshError="1"/>
      <sheetData sheetId="1" refreshError="1">
        <row r="1">
          <cell r="D1" t="str">
            <v>אל עין</v>
          </cell>
          <cell r="E1" t="str">
            <v>הרי נצרת מפעלי מים וביוב בע"מ</v>
          </cell>
          <cell r="F1" t="str">
            <v>התנור מים וביוב בע"מ</v>
          </cell>
          <cell r="G1" t="str">
            <v>חברת הגיחון בע"מ תאגיד המים והביוב של ירושלים</v>
          </cell>
          <cell r="H1" t="str">
            <v>יובלים אשדוד בע"מ</v>
          </cell>
          <cell r="I1" t="str">
            <v>יובלים בשומרון בע"מ</v>
          </cell>
          <cell r="J1" t="str">
            <v>ימים</v>
          </cell>
          <cell r="K1" t="str">
            <v>כפרי גליל תחתון בע"מ</v>
          </cell>
          <cell r="L1" t="str">
            <v>מי אביבים 2010 בע"מ</v>
          </cell>
          <cell r="M1" t="str">
            <v>מי אונו</v>
          </cell>
          <cell r="N1" t="str">
            <v>מי אשקלון</v>
          </cell>
          <cell r="O1" t="str">
            <v>מי בית שמש</v>
          </cell>
          <cell r="P1" t="str">
            <v>מי ברק בע"מ</v>
          </cell>
          <cell r="Q1" t="str">
            <v>מי בת ים</v>
          </cell>
          <cell r="R1" t="str">
            <v>מי גבעתיים</v>
          </cell>
          <cell r="S1" t="str">
            <v>מי גליל</v>
          </cell>
          <cell r="T1" t="str">
            <v>מי הוד השרון</v>
          </cell>
          <cell r="U1" t="str">
            <v>מי הרצליה</v>
          </cell>
          <cell r="V1" t="str">
            <v>מי חדרה בע"מ</v>
          </cell>
          <cell r="W1" t="str">
            <v>מי יבנה</v>
          </cell>
          <cell r="X1" t="str">
            <v>מי כרמל</v>
          </cell>
          <cell r="Y1" t="str">
            <v>מי לוד בע"מ</v>
          </cell>
          <cell r="Z1" t="str">
            <v>מי מודיעין</v>
          </cell>
          <cell r="AA1" t="str">
            <v>מי נע חברת המים והביוב של עיריית נצרת עילית בע"מ</v>
          </cell>
          <cell r="AB1" t="str">
            <v>מי נתניה (2003) בע"מ</v>
          </cell>
          <cell r="AC1" t="str">
            <v>מי עירון בע"מ</v>
          </cell>
          <cell r="AD1" t="str">
            <v>מי עכו</v>
          </cell>
          <cell r="AE1" t="str">
            <v>מי ציונה בע"מ</v>
          </cell>
          <cell r="AF1" t="str">
            <v>מי קריית ביאליק</v>
          </cell>
          <cell r="AG1" t="str">
            <v>מי קריית גת</v>
          </cell>
          <cell r="AH1" t="str">
            <v>מי רהט</v>
          </cell>
          <cell r="AI1" t="str">
            <v>מי רמת גן</v>
          </cell>
          <cell r="AJ1" t="str">
            <v>מי רעננה</v>
          </cell>
          <cell r="AK1" t="str">
            <v>מי רקת  בע"מ</v>
          </cell>
          <cell r="AL1" t="str">
            <v>מי שבע תאגיד המים והביוב לבאר שבע בע"מ</v>
          </cell>
          <cell r="AM1" t="str">
            <v>מי שקמה תאגיד המים והביוב בע"מ</v>
          </cell>
          <cell r="AN1" t="str">
            <v>מי תקווה</v>
          </cell>
          <cell r="AO1" t="str">
            <v>מיתב מים תיעול וביוב בע"מ</v>
          </cell>
          <cell r="AP1" t="str">
            <v>מניב ראשון בע"מ</v>
          </cell>
          <cell r="AQ1" t="str">
            <v>מעיינות אתא</v>
          </cell>
          <cell r="AR1" t="str">
            <v>מעיינות הדרום</v>
          </cell>
          <cell r="AS1" t="str">
            <v>מעיינות המשולש</v>
          </cell>
          <cell r="AT1" t="str">
            <v>מעיינות העמקים</v>
          </cell>
          <cell r="AU1" t="str">
            <v>מעיינות השרון</v>
          </cell>
          <cell r="AV1" t="str">
            <v>מעיינות זיו</v>
          </cell>
          <cell r="AW1" t="str">
            <v>נווה מדבר</v>
          </cell>
          <cell r="AX1" t="str">
            <v>סובב שפרעם</v>
          </cell>
          <cell r="AY1" t="str">
            <v>עין אפק</v>
          </cell>
          <cell r="AZ1" t="str">
            <v>עין כרמים</v>
          </cell>
          <cell r="BA1" t="str">
            <v>עין נטפים מפעלי מים וביוב אילת בע"מ</v>
          </cell>
          <cell r="BB1" t="str">
            <v>פלג הגליל החברה האזורית למים וביוב בע"מ</v>
          </cell>
          <cell r="BC1" t="str">
            <v>פלגי השרון</v>
          </cell>
          <cell r="BD1" t="str">
            <v>פלגי מוצקין</v>
          </cell>
          <cell r="BE1" t="str">
            <v>שרונים</v>
          </cell>
          <cell r="BF1" t="str">
            <v>תמ"ר תאגיד מים רמלה בע"מ</v>
          </cell>
        </row>
        <row r="3">
          <cell r="D3">
            <v>0</v>
          </cell>
          <cell r="E3">
            <v>0</v>
          </cell>
          <cell r="F3">
            <v>0</v>
          </cell>
          <cell r="G3">
            <v>0</v>
          </cell>
          <cell r="H3">
            <v>0</v>
          </cell>
          <cell r="I3">
            <v>0</v>
          </cell>
          <cell r="J3">
            <v>0</v>
          </cell>
          <cell r="K3">
            <v>0</v>
          </cell>
          <cell r="L3">
            <v>0</v>
          </cell>
          <cell r="M3">
            <v>0</v>
          </cell>
          <cell r="N3">
            <v>0</v>
          </cell>
          <cell r="O3">
            <v>0</v>
          </cell>
          <cell r="P3">
            <v>0</v>
          </cell>
          <cell r="Q3">
            <v>0</v>
          </cell>
          <cell r="R3">
            <v>0</v>
          </cell>
          <cell r="S3">
            <v>0</v>
          </cell>
          <cell r="T3">
            <v>0</v>
          </cell>
          <cell r="U3">
            <v>0</v>
          </cell>
          <cell r="V3">
            <v>0</v>
          </cell>
          <cell r="W3">
            <v>0</v>
          </cell>
          <cell r="X3">
            <v>0</v>
          </cell>
          <cell r="Y3">
            <v>0</v>
          </cell>
          <cell r="Z3">
            <v>0</v>
          </cell>
          <cell r="AA3">
            <v>0</v>
          </cell>
          <cell r="AB3">
            <v>0</v>
          </cell>
          <cell r="AC3">
            <v>0</v>
          </cell>
          <cell r="AD3">
            <v>0</v>
          </cell>
          <cell r="AE3">
            <v>0</v>
          </cell>
          <cell r="AF3">
            <v>0</v>
          </cell>
          <cell r="AG3">
            <v>0</v>
          </cell>
          <cell r="AH3">
            <v>0</v>
          </cell>
          <cell r="AI3">
            <v>0</v>
          </cell>
          <cell r="AJ3">
            <v>0</v>
          </cell>
          <cell r="AK3">
            <v>0</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0</v>
          </cell>
          <cell r="BE3">
            <v>0</v>
          </cell>
          <cell r="BF3">
            <v>0</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row>
        <row r="5">
          <cell r="D5">
            <v>0</v>
          </cell>
          <cell r="E5">
            <v>745</v>
          </cell>
          <cell r="F5">
            <v>0</v>
          </cell>
          <cell r="G5">
            <v>81637</v>
          </cell>
          <cell r="H5">
            <v>2507</v>
          </cell>
          <cell r="I5">
            <v>0</v>
          </cell>
          <cell r="J5">
            <v>0</v>
          </cell>
          <cell r="K5">
            <v>1430</v>
          </cell>
          <cell r="L5">
            <v>18371</v>
          </cell>
          <cell r="M5">
            <v>2501</v>
          </cell>
          <cell r="N5">
            <v>3803</v>
          </cell>
          <cell r="O5">
            <v>0</v>
          </cell>
          <cell r="P5">
            <v>3921</v>
          </cell>
          <cell r="Q5">
            <v>4639</v>
          </cell>
          <cell r="R5">
            <v>1086</v>
          </cell>
          <cell r="S5">
            <v>2435</v>
          </cell>
          <cell r="T5">
            <v>7204</v>
          </cell>
          <cell r="U5">
            <v>3903</v>
          </cell>
          <cell r="V5">
            <v>0</v>
          </cell>
          <cell r="W5">
            <v>199</v>
          </cell>
          <cell r="X5">
            <v>10479</v>
          </cell>
          <cell r="Y5">
            <v>147</v>
          </cell>
          <cell r="Z5">
            <v>0</v>
          </cell>
          <cell r="AA5">
            <v>0</v>
          </cell>
          <cell r="AB5">
            <v>21554</v>
          </cell>
          <cell r="AC5">
            <v>0</v>
          </cell>
          <cell r="AD5">
            <v>0</v>
          </cell>
          <cell r="AE5">
            <v>2971</v>
          </cell>
          <cell r="AF5">
            <v>0</v>
          </cell>
          <cell r="AG5">
            <v>0</v>
          </cell>
          <cell r="AH5">
            <v>0</v>
          </cell>
          <cell r="AI5">
            <v>0</v>
          </cell>
          <cell r="AJ5">
            <v>473</v>
          </cell>
          <cell r="AK5">
            <v>5235</v>
          </cell>
          <cell r="AL5">
            <v>2708</v>
          </cell>
          <cell r="AM5">
            <v>12963</v>
          </cell>
          <cell r="AN5">
            <v>0</v>
          </cell>
          <cell r="AO5">
            <v>16582</v>
          </cell>
          <cell r="AP5">
            <v>53911</v>
          </cell>
          <cell r="AQ5">
            <v>0</v>
          </cell>
          <cell r="AR5">
            <v>56</v>
          </cell>
          <cell r="AS5">
            <v>0</v>
          </cell>
          <cell r="AT5">
            <v>0</v>
          </cell>
          <cell r="AU5">
            <v>325</v>
          </cell>
          <cell r="AV5">
            <v>0</v>
          </cell>
          <cell r="AW5">
            <v>0</v>
          </cell>
          <cell r="AX5">
            <v>13464</v>
          </cell>
          <cell r="AY5">
            <v>289</v>
          </cell>
          <cell r="AZ5">
            <v>369</v>
          </cell>
          <cell r="BA5">
            <v>3961</v>
          </cell>
          <cell r="BB5">
            <v>0</v>
          </cell>
          <cell r="BC5">
            <v>0</v>
          </cell>
          <cell r="BD5">
            <v>0</v>
          </cell>
          <cell r="BE5">
            <v>0</v>
          </cell>
          <cell r="BF5">
            <v>0</v>
          </cell>
        </row>
        <row r="6">
          <cell r="D6">
            <v>199</v>
          </cell>
          <cell r="E6">
            <v>0</v>
          </cell>
          <cell r="F6">
            <v>0</v>
          </cell>
          <cell r="G6">
            <v>70384</v>
          </cell>
          <cell r="H6">
            <v>5137</v>
          </cell>
          <cell r="I6">
            <v>0</v>
          </cell>
          <cell r="J6">
            <v>0</v>
          </cell>
          <cell r="K6">
            <v>2656</v>
          </cell>
          <cell r="L6">
            <v>18823</v>
          </cell>
          <cell r="M6">
            <v>763</v>
          </cell>
          <cell r="N6">
            <v>790</v>
          </cell>
          <cell r="O6">
            <v>0</v>
          </cell>
          <cell r="P6">
            <v>3905</v>
          </cell>
          <cell r="Q6">
            <v>1751</v>
          </cell>
          <cell r="R6">
            <v>1126</v>
          </cell>
          <cell r="S6">
            <v>4798</v>
          </cell>
          <cell r="T6">
            <v>6193</v>
          </cell>
          <cell r="U6">
            <v>3222</v>
          </cell>
          <cell r="V6">
            <v>0</v>
          </cell>
          <cell r="W6">
            <v>8074</v>
          </cell>
          <cell r="X6">
            <v>6986</v>
          </cell>
          <cell r="Y6">
            <v>187</v>
          </cell>
          <cell r="Z6">
            <v>0</v>
          </cell>
          <cell r="AA6">
            <v>0</v>
          </cell>
          <cell r="AB6">
            <v>32535</v>
          </cell>
          <cell r="AC6">
            <v>42</v>
          </cell>
          <cell r="AD6">
            <v>0</v>
          </cell>
          <cell r="AE6">
            <v>1390</v>
          </cell>
          <cell r="AF6">
            <v>0</v>
          </cell>
          <cell r="AG6">
            <v>0</v>
          </cell>
          <cell r="AH6">
            <v>0</v>
          </cell>
          <cell r="AI6">
            <v>0</v>
          </cell>
          <cell r="AJ6">
            <v>1045</v>
          </cell>
          <cell r="AK6">
            <v>1405</v>
          </cell>
          <cell r="AL6">
            <v>1806</v>
          </cell>
          <cell r="AM6">
            <v>8641</v>
          </cell>
          <cell r="AN6">
            <v>0</v>
          </cell>
          <cell r="AO6">
            <v>21491</v>
          </cell>
          <cell r="AP6">
            <v>29156</v>
          </cell>
          <cell r="AQ6">
            <v>0</v>
          </cell>
          <cell r="AR6">
            <v>144</v>
          </cell>
          <cell r="AS6">
            <v>0</v>
          </cell>
          <cell r="AT6">
            <v>0</v>
          </cell>
          <cell r="AU6">
            <v>170</v>
          </cell>
          <cell r="AV6">
            <v>0</v>
          </cell>
          <cell r="AW6">
            <v>1800</v>
          </cell>
          <cell r="AX6">
            <v>11868</v>
          </cell>
          <cell r="AY6">
            <v>78</v>
          </cell>
          <cell r="AZ6">
            <v>140</v>
          </cell>
          <cell r="BA6">
            <v>4066</v>
          </cell>
          <cell r="BB6">
            <v>0</v>
          </cell>
          <cell r="BC6">
            <v>6141</v>
          </cell>
          <cell r="BD6">
            <v>0</v>
          </cell>
          <cell r="BE6">
            <v>0</v>
          </cell>
          <cell r="BF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row>
        <row r="8">
          <cell r="D8">
            <v>0</v>
          </cell>
          <cell r="E8">
            <v>0</v>
          </cell>
          <cell r="F8">
            <v>0</v>
          </cell>
          <cell r="G8">
            <v>0</v>
          </cell>
          <cell r="H8">
            <v>4803</v>
          </cell>
          <cell r="I8">
            <v>2038</v>
          </cell>
          <cell r="J8">
            <v>0</v>
          </cell>
          <cell r="K8">
            <v>6887</v>
          </cell>
          <cell r="L8">
            <v>56646</v>
          </cell>
          <cell r="M8">
            <v>539</v>
          </cell>
          <cell r="N8">
            <v>0</v>
          </cell>
          <cell r="O8">
            <v>628</v>
          </cell>
          <cell r="P8">
            <v>5316</v>
          </cell>
          <cell r="Q8">
            <v>6427</v>
          </cell>
          <cell r="R8">
            <v>4843</v>
          </cell>
          <cell r="S8">
            <v>0</v>
          </cell>
          <cell r="T8">
            <v>3490</v>
          </cell>
          <cell r="U8">
            <v>5073</v>
          </cell>
          <cell r="V8">
            <v>0</v>
          </cell>
          <cell r="W8">
            <v>149</v>
          </cell>
          <cell r="X8">
            <v>37905</v>
          </cell>
          <cell r="Y8">
            <v>0</v>
          </cell>
          <cell r="Z8">
            <v>238</v>
          </cell>
          <cell r="AA8">
            <v>0</v>
          </cell>
          <cell r="AB8">
            <v>19424</v>
          </cell>
          <cell r="AC8">
            <v>0</v>
          </cell>
          <cell r="AD8">
            <v>11</v>
          </cell>
          <cell r="AE8">
            <v>1764</v>
          </cell>
          <cell r="AF8">
            <v>0</v>
          </cell>
          <cell r="AG8">
            <v>2180</v>
          </cell>
          <cell r="AH8">
            <v>0</v>
          </cell>
          <cell r="AI8">
            <v>0</v>
          </cell>
          <cell r="AJ8">
            <v>3870</v>
          </cell>
          <cell r="AK8">
            <v>4465</v>
          </cell>
          <cell r="AL8">
            <v>7400</v>
          </cell>
          <cell r="AM8">
            <v>18966</v>
          </cell>
          <cell r="AN8">
            <v>0</v>
          </cell>
          <cell r="AO8">
            <v>22181</v>
          </cell>
          <cell r="AP8">
            <v>52375</v>
          </cell>
          <cell r="AQ8">
            <v>1151</v>
          </cell>
          <cell r="AR8">
            <v>0</v>
          </cell>
          <cell r="AS8">
            <v>0</v>
          </cell>
          <cell r="AT8">
            <v>159</v>
          </cell>
          <cell r="AU8">
            <v>0</v>
          </cell>
          <cell r="AV8">
            <v>0</v>
          </cell>
          <cell r="AW8">
            <v>0</v>
          </cell>
          <cell r="AX8">
            <v>0</v>
          </cell>
          <cell r="AY8">
            <v>909</v>
          </cell>
          <cell r="AZ8">
            <v>0</v>
          </cell>
          <cell r="BA8">
            <v>0</v>
          </cell>
          <cell r="BB8">
            <v>0</v>
          </cell>
          <cell r="BC8">
            <v>4261</v>
          </cell>
          <cell r="BD8">
            <v>60</v>
          </cell>
          <cell r="BE8">
            <v>7974</v>
          </cell>
          <cell r="BF8">
            <v>146</v>
          </cell>
        </row>
        <row r="9">
          <cell r="D9">
            <v>0</v>
          </cell>
          <cell r="E9">
            <v>0</v>
          </cell>
          <cell r="F9">
            <v>0</v>
          </cell>
          <cell r="G9">
            <v>0</v>
          </cell>
          <cell r="H9">
            <v>5345</v>
          </cell>
          <cell r="I9">
            <v>1425</v>
          </cell>
          <cell r="J9">
            <v>0</v>
          </cell>
          <cell r="K9">
            <v>7723</v>
          </cell>
          <cell r="L9">
            <v>68220</v>
          </cell>
          <cell r="M9">
            <v>803</v>
          </cell>
          <cell r="N9">
            <v>0</v>
          </cell>
          <cell r="O9">
            <v>2275</v>
          </cell>
          <cell r="P9">
            <v>6385</v>
          </cell>
          <cell r="Q9">
            <v>2329</v>
          </cell>
          <cell r="R9">
            <v>3733</v>
          </cell>
          <cell r="S9">
            <v>0</v>
          </cell>
          <cell r="T9">
            <v>9029</v>
          </cell>
          <cell r="U9">
            <v>7783</v>
          </cell>
          <cell r="V9">
            <v>0</v>
          </cell>
          <cell r="W9">
            <v>8844</v>
          </cell>
          <cell r="X9">
            <v>25270</v>
          </cell>
          <cell r="Y9">
            <v>0</v>
          </cell>
          <cell r="Z9">
            <v>0</v>
          </cell>
          <cell r="AA9">
            <v>0</v>
          </cell>
          <cell r="AB9">
            <v>25228</v>
          </cell>
          <cell r="AC9">
            <v>12606</v>
          </cell>
          <cell r="AD9">
            <v>396</v>
          </cell>
          <cell r="AE9">
            <v>487</v>
          </cell>
          <cell r="AF9">
            <v>0</v>
          </cell>
          <cell r="AG9">
            <v>928</v>
          </cell>
          <cell r="AH9">
            <v>0</v>
          </cell>
          <cell r="AI9">
            <v>0</v>
          </cell>
          <cell r="AJ9">
            <v>5016</v>
          </cell>
          <cell r="AK9">
            <v>2496</v>
          </cell>
          <cell r="AL9">
            <v>9021</v>
          </cell>
          <cell r="AM9">
            <v>12643</v>
          </cell>
          <cell r="AN9">
            <v>0</v>
          </cell>
          <cell r="AO9">
            <v>24748</v>
          </cell>
          <cell r="AP9">
            <v>24334</v>
          </cell>
          <cell r="AQ9">
            <v>4114</v>
          </cell>
          <cell r="AR9">
            <v>0</v>
          </cell>
          <cell r="AS9">
            <v>0</v>
          </cell>
          <cell r="AT9">
            <v>208</v>
          </cell>
          <cell r="AU9">
            <v>0</v>
          </cell>
          <cell r="AV9">
            <v>0</v>
          </cell>
          <cell r="AW9">
            <v>0</v>
          </cell>
          <cell r="AX9">
            <v>0</v>
          </cell>
          <cell r="AY9">
            <v>1280</v>
          </cell>
          <cell r="AZ9">
            <v>3727</v>
          </cell>
          <cell r="BA9">
            <v>0</v>
          </cell>
          <cell r="BB9">
            <v>0</v>
          </cell>
          <cell r="BC9">
            <v>2006</v>
          </cell>
          <cell r="BD9">
            <v>4769</v>
          </cell>
          <cell r="BE9">
            <v>5316</v>
          </cell>
          <cell r="BF9">
            <v>442</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row>
        <row r="11">
          <cell r="D11">
            <v>8011</v>
          </cell>
          <cell r="E11">
            <v>1672</v>
          </cell>
          <cell r="F11">
            <v>0</v>
          </cell>
          <cell r="G11">
            <v>13259</v>
          </cell>
          <cell r="H11">
            <v>3030</v>
          </cell>
          <cell r="I11">
            <v>0</v>
          </cell>
          <cell r="J11">
            <v>616</v>
          </cell>
          <cell r="K11">
            <v>0</v>
          </cell>
          <cell r="L11">
            <v>0</v>
          </cell>
          <cell r="M11">
            <v>0</v>
          </cell>
          <cell r="N11">
            <v>0</v>
          </cell>
          <cell r="O11">
            <v>0</v>
          </cell>
          <cell r="P11">
            <v>7084</v>
          </cell>
          <cell r="Q11">
            <v>4579</v>
          </cell>
          <cell r="R11">
            <v>0</v>
          </cell>
          <cell r="S11">
            <v>4707</v>
          </cell>
          <cell r="T11">
            <v>2400</v>
          </cell>
          <cell r="U11">
            <v>7319</v>
          </cell>
          <cell r="V11">
            <v>4214</v>
          </cell>
          <cell r="W11">
            <v>10178</v>
          </cell>
          <cell r="X11">
            <v>21233</v>
          </cell>
          <cell r="Y11">
            <v>10669</v>
          </cell>
          <cell r="Z11">
            <v>3100</v>
          </cell>
          <cell r="AA11">
            <v>0</v>
          </cell>
          <cell r="AB11">
            <v>0</v>
          </cell>
          <cell r="AC11">
            <v>7721</v>
          </cell>
          <cell r="AD11">
            <v>0</v>
          </cell>
          <cell r="AE11">
            <v>0</v>
          </cell>
          <cell r="AF11">
            <v>0</v>
          </cell>
          <cell r="AG11">
            <v>0</v>
          </cell>
          <cell r="AH11">
            <v>379</v>
          </cell>
          <cell r="AI11">
            <v>0</v>
          </cell>
          <cell r="AJ11">
            <v>4231</v>
          </cell>
          <cell r="AK11">
            <v>0</v>
          </cell>
          <cell r="AL11">
            <v>8608</v>
          </cell>
          <cell r="AM11">
            <v>16778</v>
          </cell>
          <cell r="AN11">
            <v>0</v>
          </cell>
          <cell r="AO11">
            <v>24567</v>
          </cell>
          <cell r="AP11">
            <v>23956</v>
          </cell>
          <cell r="AQ11">
            <v>1569</v>
          </cell>
          <cell r="AR11">
            <v>0</v>
          </cell>
          <cell r="AS11">
            <v>36083.624000000003</v>
          </cell>
          <cell r="AT11">
            <v>0</v>
          </cell>
          <cell r="AU11">
            <v>0</v>
          </cell>
          <cell r="AV11">
            <v>1072</v>
          </cell>
          <cell r="AW11">
            <v>83336</v>
          </cell>
          <cell r="AX11">
            <v>30</v>
          </cell>
          <cell r="AY11">
            <v>1104</v>
          </cell>
          <cell r="AZ11">
            <v>0</v>
          </cell>
          <cell r="BA11">
            <v>0</v>
          </cell>
          <cell r="BB11">
            <v>13451</v>
          </cell>
          <cell r="BC11">
            <v>123</v>
          </cell>
          <cell r="BD11">
            <v>0</v>
          </cell>
          <cell r="BE11">
            <v>4023</v>
          </cell>
          <cell r="BF11">
            <v>0</v>
          </cell>
        </row>
        <row r="12">
          <cell r="D12">
            <v>0</v>
          </cell>
          <cell r="E12">
            <v>0</v>
          </cell>
          <cell r="F12">
            <v>0</v>
          </cell>
          <cell r="G12">
            <v>0</v>
          </cell>
          <cell r="H12">
            <v>-608</v>
          </cell>
          <cell r="I12">
            <v>0</v>
          </cell>
          <cell r="J12">
            <v>0</v>
          </cell>
          <cell r="K12">
            <v>0</v>
          </cell>
          <cell r="L12">
            <v>0</v>
          </cell>
          <cell r="M12">
            <v>0</v>
          </cell>
          <cell r="N12">
            <v>0</v>
          </cell>
          <cell r="O12">
            <v>0</v>
          </cell>
          <cell r="P12">
            <v>-2486</v>
          </cell>
          <cell r="Q12">
            <v>0</v>
          </cell>
          <cell r="R12">
            <v>0</v>
          </cell>
          <cell r="S12">
            <v>0</v>
          </cell>
          <cell r="T12">
            <v>0</v>
          </cell>
          <cell r="U12">
            <v>0</v>
          </cell>
          <cell r="V12">
            <v>0</v>
          </cell>
          <cell r="W12">
            <v>0</v>
          </cell>
          <cell r="X12">
            <v>-3913</v>
          </cell>
          <cell r="Y12">
            <v>0</v>
          </cell>
          <cell r="Z12">
            <v>0</v>
          </cell>
          <cell r="AA12">
            <v>0</v>
          </cell>
          <cell r="AB12">
            <v>0</v>
          </cell>
          <cell r="AC12">
            <v>0</v>
          </cell>
          <cell r="AD12">
            <v>0</v>
          </cell>
          <cell r="AE12">
            <v>0</v>
          </cell>
          <cell r="AF12">
            <v>0</v>
          </cell>
          <cell r="AG12">
            <v>0</v>
          </cell>
          <cell r="AH12">
            <v>0</v>
          </cell>
          <cell r="AI12">
            <v>0</v>
          </cell>
          <cell r="AJ12">
            <v>-2563</v>
          </cell>
          <cell r="AK12">
            <v>0</v>
          </cell>
          <cell r="AL12">
            <v>-2484</v>
          </cell>
          <cell r="AM12">
            <v>-2551</v>
          </cell>
          <cell r="AN12">
            <v>0</v>
          </cell>
          <cell r="AO12">
            <v>0</v>
          </cell>
          <cell r="AP12">
            <v>-2207</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-1678</v>
          </cell>
          <cell r="BF12">
            <v>0</v>
          </cell>
        </row>
        <row r="13">
          <cell r="D13">
            <v>27626</v>
          </cell>
          <cell r="E13">
            <v>75</v>
          </cell>
          <cell r="F13">
            <v>0</v>
          </cell>
          <cell r="G13">
            <v>11876</v>
          </cell>
          <cell r="H13">
            <v>3007</v>
          </cell>
          <cell r="I13">
            <v>0</v>
          </cell>
          <cell r="J13">
            <v>0</v>
          </cell>
          <cell r="K13">
            <v>0</v>
          </cell>
          <cell r="L13">
            <v>0</v>
          </cell>
          <cell r="M13">
            <v>0</v>
          </cell>
          <cell r="N13">
            <v>0</v>
          </cell>
          <cell r="O13">
            <v>0</v>
          </cell>
          <cell r="P13">
            <v>1033</v>
          </cell>
          <cell r="Q13">
            <v>2069</v>
          </cell>
          <cell r="R13">
            <v>0</v>
          </cell>
          <cell r="S13">
            <v>1854</v>
          </cell>
          <cell r="T13">
            <v>2029</v>
          </cell>
          <cell r="U13">
            <v>8082</v>
          </cell>
          <cell r="V13">
            <v>1845</v>
          </cell>
          <cell r="W13">
            <v>1830</v>
          </cell>
          <cell r="X13">
            <v>7001</v>
          </cell>
          <cell r="Y13">
            <v>7362</v>
          </cell>
          <cell r="Z13">
            <v>261</v>
          </cell>
          <cell r="AA13">
            <v>0</v>
          </cell>
          <cell r="AB13">
            <v>0</v>
          </cell>
          <cell r="AC13">
            <v>3378</v>
          </cell>
          <cell r="AD13">
            <v>0</v>
          </cell>
          <cell r="AE13">
            <v>0</v>
          </cell>
          <cell r="AF13">
            <v>0</v>
          </cell>
          <cell r="AG13">
            <v>0</v>
          </cell>
          <cell r="AH13">
            <v>0</v>
          </cell>
          <cell r="AI13">
            <v>0</v>
          </cell>
          <cell r="AJ13">
            <v>358</v>
          </cell>
          <cell r="AK13">
            <v>0</v>
          </cell>
          <cell r="AL13">
            <v>3162</v>
          </cell>
          <cell r="AM13">
            <v>8699</v>
          </cell>
          <cell r="AN13">
            <v>0</v>
          </cell>
          <cell r="AO13">
            <v>17640</v>
          </cell>
          <cell r="AP13">
            <v>26222</v>
          </cell>
          <cell r="AQ13">
            <v>2233</v>
          </cell>
          <cell r="AR13">
            <v>0</v>
          </cell>
          <cell r="AS13">
            <v>44338.347999999998</v>
          </cell>
          <cell r="AT13">
            <v>0</v>
          </cell>
          <cell r="AU13">
            <v>0</v>
          </cell>
          <cell r="AV13">
            <v>530</v>
          </cell>
          <cell r="AW13">
            <v>130420</v>
          </cell>
          <cell r="AX13">
            <v>547</v>
          </cell>
          <cell r="AY13">
            <v>1280</v>
          </cell>
          <cell r="AZ13">
            <v>0</v>
          </cell>
          <cell r="BA13">
            <v>0</v>
          </cell>
          <cell r="BB13">
            <v>4515</v>
          </cell>
          <cell r="BC13">
            <v>30</v>
          </cell>
          <cell r="BD13">
            <v>0</v>
          </cell>
          <cell r="BE13">
            <v>4246</v>
          </cell>
          <cell r="BF13">
            <v>0</v>
          </cell>
        </row>
        <row r="14">
          <cell r="D14">
            <v>0</v>
          </cell>
          <cell r="E14">
            <v>0</v>
          </cell>
          <cell r="F14">
            <v>0</v>
          </cell>
          <cell r="G14">
            <v>0</v>
          </cell>
          <cell r="H14">
            <v>-818</v>
          </cell>
          <cell r="I14">
            <v>0</v>
          </cell>
          <cell r="J14">
            <v>0</v>
          </cell>
          <cell r="K14">
            <v>0</v>
          </cell>
          <cell r="L14">
            <v>0</v>
          </cell>
          <cell r="M14">
            <v>0</v>
          </cell>
          <cell r="N14">
            <v>0</v>
          </cell>
          <cell r="O14">
            <v>0</v>
          </cell>
          <cell r="P14">
            <v>-405</v>
          </cell>
          <cell r="Q14">
            <v>0</v>
          </cell>
          <cell r="R14">
            <v>0</v>
          </cell>
          <cell r="S14">
            <v>0</v>
          </cell>
          <cell r="T14">
            <v>0</v>
          </cell>
          <cell r="U14">
            <v>0</v>
          </cell>
          <cell r="V14">
            <v>0</v>
          </cell>
          <cell r="W14">
            <v>0</v>
          </cell>
          <cell r="X14">
            <v>-2543</v>
          </cell>
          <cell r="Y14">
            <v>0</v>
          </cell>
          <cell r="Z14">
            <v>0</v>
          </cell>
          <cell r="AA14">
            <v>0</v>
          </cell>
          <cell r="AB14">
            <v>0</v>
          </cell>
          <cell r="AC14">
            <v>0</v>
          </cell>
          <cell r="AD14">
            <v>0</v>
          </cell>
          <cell r="AE14">
            <v>0</v>
          </cell>
          <cell r="AF14">
            <v>0</v>
          </cell>
          <cell r="AG14">
            <v>0</v>
          </cell>
          <cell r="AH14">
            <v>0</v>
          </cell>
          <cell r="AI14">
            <v>0</v>
          </cell>
          <cell r="AJ14">
            <v>0</v>
          </cell>
          <cell r="AK14">
            <v>0</v>
          </cell>
          <cell r="AL14">
            <v>-735</v>
          </cell>
          <cell r="AM14">
            <v>-1890</v>
          </cell>
          <cell r="AN14">
            <v>0</v>
          </cell>
          <cell r="AO14">
            <v>0</v>
          </cell>
          <cell r="AP14">
            <v>-5278</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-1399</v>
          </cell>
          <cell r="BF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row>
        <row r="16">
          <cell r="D16">
            <v>0</v>
          </cell>
          <cell r="E16">
            <v>0</v>
          </cell>
          <cell r="F16">
            <v>0</v>
          </cell>
          <cell r="G16">
            <v>0</v>
          </cell>
          <cell r="H16">
            <v>0</v>
          </cell>
          <cell r="I16">
            <v>393</v>
          </cell>
          <cell r="J16">
            <v>0</v>
          </cell>
          <cell r="K16">
            <v>0</v>
          </cell>
          <cell r="L16">
            <v>6266</v>
          </cell>
          <cell r="M16">
            <v>0</v>
          </cell>
          <cell r="N16">
            <v>0</v>
          </cell>
          <cell r="O16">
            <v>0</v>
          </cell>
          <cell r="P16">
            <v>9134</v>
          </cell>
          <cell r="Q16">
            <v>0</v>
          </cell>
          <cell r="R16">
            <v>0</v>
          </cell>
          <cell r="S16">
            <v>0</v>
          </cell>
          <cell r="T16">
            <v>9153</v>
          </cell>
          <cell r="U16">
            <v>6908</v>
          </cell>
          <cell r="V16">
            <v>0</v>
          </cell>
          <cell r="W16">
            <v>0</v>
          </cell>
          <cell r="X16">
            <v>29908</v>
          </cell>
          <cell r="Y16">
            <v>0</v>
          </cell>
          <cell r="Z16">
            <v>1062</v>
          </cell>
          <cell r="AA16">
            <v>0</v>
          </cell>
          <cell r="AB16">
            <v>0</v>
          </cell>
          <cell r="AC16">
            <v>6282</v>
          </cell>
          <cell r="AD16">
            <v>0</v>
          </cell>
          <cell r="AE16">
            <v>0</v>
          </cell>
          <cell r="AF16">
            <v>0</v>
          </cell>
          <cell r="AG16">
            <v>0</v>
          </cell>
          <cell r="AH16">
            <v>0</v>
          </cell>
          <cell r="AI16">
            <v>0</v>
          </cell>
          <cell r="AJ16">
            <v>1542</v>
          </cell>
          <cell r="AK16">
            <v>0</v>
          </cell>
          <cell r="AL16">
            <v>7289</v>
          </cell>
          <cell r="AM16">
            <v>19474</v>
          </cell>
          <cell r="AN16">
            <v>0</v>
          </cell>
          <cell r="AO16">
            <v>0</v>
          </cell>
          <cell r="AP16">
            <v>23383</v>
          </cell>
          <cell r="AQ16">
            <v>0</v>
          </cell>
          <cell r="AR16">
            <v>0</v>
          </cell>
          <cell r="AS16">
            <v>0</v>
          </cell>
          <cell r="AT16">
            <v>0</v>
          </cell>
          <cell r="AU16">
            <v>0</v>
          </cell>
          <cell r="AV16">
            <v>0</v>
          </cell>
          <cell r="AW16">
            <v>0</v>
          </cell>
          <cell r="AX16">
            <v>0</v>
          </cell>
          <cell r="AY16">
            <v>2263</v>
          </cell>
          <cell r="AZ16">
            <v>0</v>
          </cell>
          <cell r="BA16">
            <v>3458</v>
          </cell>
          <cell r="BB16">
            <v>7578</v>
          </cell>
          <cell r="BC16">
            <v>0</v>
          </cell>
          <cell r="BD16">
            <v>0</v>
          </cell>
          <cell r="BE16">
            <v>2106</v>
          </cell>
          <cell r="BF16">
            <v>0</v>
          </cell>
        </row>
        <row r="17">
          <cell r="D17">
            <v>0</v>
          </cell>
          <cell r="E17">
            <v>0</v>
          </cell>
          <cell r="F17">
            <v>0</v>
          </cell>
          <cell r="G17">
            <v>0</v>
          </cell>
          <cell r="H17">
            <v>0</v>
          </cell>
          <cell r="I17">
            <v>-20</v>
          </cell>
          <cell r="J17">
            <v>0</v>
          </cell>
          <cell r="K17">
            <v>0</v>
          </cell>
          <cell r="L17">
            <v>0</v>
          </cell>
          <cell r="M17">
            <v>0</v>
          </cell>
          <cell r="N17">
            <v>0</v>
          </cell>
          <cell r="O17">
            <v>0</v>
          </cell>
          <cell r="P17">
            <v>-5893</v>
          </cell>
          <cell r="Q17">
            <v>0</v>
          </cell>
          <cell r="R17">
            <v>0</v>
          </cell>
          <cell r="S17">
            <v>0</v>
          </cell>
          <cell r="T17">
            <v>0</v>
          </cell>
          <cell r="U17">
            <v>-6666</v>
          </cell>
          <cell r="V17">
            <v>0</v>
          </cell>
          <cell r="W17">
            <v>0</v>
          </cell>
          <cell r="X17">
            <v>-4932</v>
          </cell>
          <cell r="Y17">
            <v>0</v>
          </cell>
          <cell r="Z17">
            <v>0</v>
          </cell>
          <cell r="AA17">
            <v>0</v>
          </cell>
          <cell r="AB17">
            <v>0</v>
          </cell>
          <cell r="AC17">
            <v>0</v>
          </cell>
          <cell r="AD17">
            <v>0</v>
          </cell>
          <cell r="AE17">
            <v>0</v>
          </cell>
          <cell r="AF17">
            <v>0</v>
          </cell>
          <cell r="AG17">
            <v>0</v>
          </cell>
          <cell r="AH17">
            <v>0</v>
          </cell>
          <cell r="AI17">
            <v>0</v>
          </cell>
          <cell r="AJ17">
            <v>0</v>
          </cell>
          <cell r="AK17">
            <v>0</v>
          </cell>
          <cell r="AL17">
            <v>-2053</v>
          </cell>
          <cell r="AM17">
            <v>0</v>
          </cell>
          <cell r="AN17">
            <v>0</v>
          </cell>
          <cell r="AO17">
            <v>0</v>
          </cell>
          <cell r="AP17">
            <v>-2994</v>
          </cell>
          <cell r="AQ17">
            <v>0</v>
          </cell>
          <cell r="AR17">
            <v>0</v>
          </cell>
          <cell r="AS17">
            <v>0</v>
          </cell>
          <cell r="AT17">
            <v>0</v>
          </cell>
          <cell r="AU17">
            <v>0</v>
          </cell>
          <cell r="AV17">
            <v>0</v>
          </cell>
          <cell r="AW17">
            <v>0</v>
          </cell>
          <cell r="AX17">
            <v>0</v>
          </cell>
          <cell r="AY17">
            <v>-7237</v>
          </cell>
          <cell r="AZ17">
            <v>0</v>
          </cell>
          <cell r="BA17">
            <v>0</v>
          </cell>
          <cell r="BB17">
            <v>0</v>
          </cell>
          <cell r="BC17">
            <v>0</v>
          </cell>
          <cell r="BD17">
            <v>0</v>
          </cell>
          <cell r="BE17">
            <v>0</v>
          </cell>
          <cell r="BF17">
            <v>0</v>
          </cell>
        </row>
        <row r="18">
          <cell r="D18">
            <v>0</v>
          </cell>
          <cell r="E18">
            <v>0</v>
          </cell>
          <cell r="F18">
            <v>0</v>
          </cell>
          <cell r="G18">
            <v>0</v>
          </cell>
          <cell r="H18">
            <v>0</v>
          </cell>
          <cell r="I18">
            <v>112</v>
          </cell>
          <cell r="J18">
            <v>0</v>
          </cell>
          <cell r="K18">
            <v>0</v>
          </cell>
          <cell r="L18">
            <v>16584</v>
          </cell>
          <cell r="M18">
            <v>0</v>
          </cell>
          <cell r="N18">
            <v>0</v>
          </cell>
          <cell r="O18">
            <v>0</v>
          </cell>
          <cell r="P18">
            <v>4824</v>
          </cell>
          <cell r="Q18">
            <v>0</v>
          </cell>
          <cell r="R18">
            <v>0</v>
          </cell>
          <cell r="S18">
            <v>0</v>
          </cell>
          <cell r="T18">
            <v>3339</v>
          </cell>
          <cell r="U18">
            <v>7752</v>
          </cell>
          <cell r="V18">
            <v>0</v>
          </cell>
          <cell r="W18">
            <v>0</v>
          </cell>
          <cell r="X18">
            <v>7636</v>
          </cell>
          <cell r="Y18">
            <v>0</v>
          </cell>
          <cell r="Z18">
            <v>82</v>
          </cell>
          <cell r="AA18">
            <v>0</v>
          </cell>
          <cell r="AB18">
            <v>0</v>
          </cell>
          <cell r="AC18">
            <v>16620</v>
          </cell>
          <cell r="AD18">
            <v>0</v>
          </cell>
          <cell r="AE18">
            <v>0</v>
          </cell>
          <cell r="AF18">
            <v>0</v>
          </cell>
          <cell r="AG18">
            <v>0</v>
          </cell>
          <cell r="AH18">
            <v>0</v>
          </cell>
          <cell r="AI18">
            <v>0</v>
          </cell>
          <cell r="AJ18">
            <v>1098</v>
          </cell>
          <cell r="AK18">
            <v>0</v>
          </cell>
          <cell r="AL18">
            <v>6062</v>
          </cell>
          <cell r="AM18">
            <v>7249</v>
          </cell>
          <cell r="AN18">
            <v>0</v>
          </cell>
          <cell r="AO18">
            <v>0</v>
          </cell>
          <cell r="AP18">
            <v>27626</v>
          </cell>
          <cell r="AQ18">
            <v>0</v>
          </cell>
          <cell r="AR18">
            <v>0</v>
          </cell>
          <cell r="AS18">
            <v>0</v>
          </cell>
          <cell r="AT18">
            <v>0</v>
          </cell>
          <cell r="AU18">
            <v>0</v>
          </cell>
          <cell r="AV18">
            <v>0</v>
          </cell>
          <cell r="AW18">
            <v>0</v>
          </cell>
          <cell r="AX18">
            <v>0</v>
          </cell>
          <cell r="AY18">
            <v>158</v>
          </cell>
          <cell r="AZ18">
            <v>0</v>
          </cell>
          <cell r="BA18">
            <v>6668</v>
          </cell>
          <cell r="BB18">
            <v>23209</v>
          </cell>
          <cell r="BC18">
            <v>0</v>
          </cell>
          <cell r="BD18">
            <v>0</v>
          </cell>
          <cell r="BE18">
            <v>1734</v>
          </cell>
          <cell r="BF18">
            <v>0</v>
          </cell>
        </row>
        <row r="19">
          <cell r="D19">
            <v>0</v>
          </cell>
          <cell r="E19">
            <v>0</v>
          </cell>
          <cell r="F19">
            <v>0</v>
          </cell>
          <cell r="G19">
            <v>0</v>
          </cell>
          <cell r="H19">
            <v>0</v>
          </cell>
          <cell r="I19">
            <v>-67</v>
          </cell>
          <cell r="J19">
            <v>0</v>
          </cell>
          <cell r="K19">
            <v>0</v>
          </cell>
          <cell r="L19">
            <v>0</v>
          </cell>
          <cell r="M19">
            <v>0</v>
          </cell>
          <cell r="N19">
            <v>0</v>
          </cell>
          <cell r="O19">
            <v>0</v>
          </cell>
          <cell r="P19">
            <v>-413</v>
          </cell>
          <cell r="Q19">
            <v>0</v>
          </cell>
          <cell r="R19">
            <v>0</v>
          </cell>
          <cell r="S19">
            <v>0</v>
          </cell>
          <cell r="T19">
            <v>0</v>
          </cell>
          <cell r="U19">
            <v>-1174</v>
          </cell>
          <cell r="V19">
            <v>0</v>
          </cell>
          <cell r="W19">
            <v>0</v>
          </cell>
          <cell r="X19">
            <v>-2542</v>
          </cell>
          <cell r="Y19">
            <v>0</v>
          </cell>
          <cell r="Z19">
            <v>0</v>
          </cell>
          <cell r="AA19">
            <v>0</v>
          </cell>
          <cell r="AB19">
            <v>0</v>
          </cell>
          <cell r="AC19">
            <v>0</v>
          </cell>
          <cell r="AD19">
            <v>0</v>
          </cell>
          <cell r="AE19">
            <v>0</v>
          </cell>
          <cell r="AF19">
            <v>0</v>
          </cell>
          <cell r="AG19">
            <v>0</v>
          </cell>
          <cell r="AH19">
            <v>0</v>
          </cell>
          <cell r="AI19">
            <v>0</v>
          </cell>
          <cell r="AJ19">
            <v>0</v>
          </cell>
          <cell r="AK19">
            <v>0</v>
          </cell>
          <cell r="AL19">
            <v>-1293</v>
          </cell>
          <cell r="AM19">
            <v>0</v>
          </cell>
          <cell r="AN19">
            <v>0</v>
          </cell>
          <cell r="AO19">
            <v>0</v>
          </cell>
          <cell r="AP19">
            <v>-7678</v>
          </cell>
          <cell r="AQ19">
            <v>0</v>
          </cell>
          <cell r="AR19">
            <v>0</v>
          </cell>
          <cell r="AS19">
            <v>0</v>
          </cell>
          <cell r="AT19">
            <v>0</v>
          </cell>
          <cell r="AU19">
            <v>0</v>
          </cell>
          <cell r="AV19">
            <v>0</v>
          </cell>
          <cell r="AW19">
            <v>0</v>
          </cell>
          <cell r="AX19">
            <v>0</v>
          </cell>
          <cell r="AY19">
            <v>-16568</v>
          </cell>
          <cell r="AZ19">
            <v>0</v>
          </cell>
          <cell r="BA19">
            <v>0</v>
          </cell>
          <cell r="BB19">
            <v>0</v>
          </cell>
          <cell r="BC19">
            <v>0</v>
          </cell>
          <cell r="BD19">
            <v>0</v>
          </cell>
          <cell r="BE19">
            <v>0</v>
          </cell>
          <cell r="BF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row>
        <row r="22">
          <cell r="D22">
            <v>0</v>
          </cell>
          <cell r="E22">
            <v>0</v>
          </cell>
          <cell r="F22">
            <v>929</v>
          </cell>
          <cell r="G22">
            <v>13259</v>
          </cell>
          <cell r="H22">
            <v>3030</v>
          </cell>
          <cell r="I22">
            <v>1671</v>
          </cell>
          <cell r="J22">
            <v>591</v>
          </cell>
          <cell r="K22">
            <v>3447</v>
          </cell>
          <cell r="L22">
            <v>5621</v>
          </cell>
          <cell r="M22">
            <v>0</v>
          </cell>
          <cell r="N22">
            <v>3484</v>
          </cell>
          <cell r="O22">
            <v>118</v>
          </cell>
          <cell r="P22">
            <v>0</v>
          </cell>
          <cell r="Q22">
            <v>0</v>
          </cell>
          <cell r="R22">
            <v>259.06400000000002</v>
          </cell>
          <cell r="S22">
            <v>3195</v>
          </cell>
          <cell r="T22">
            <v>0</v>
          </cell>
          <cell r="U22">
            <v>5152</v>
          </cell>
          <cell r="V22">
            <v>3216</v>
          </cell>
          <cell r="W22">
            <v>9618</v>
          </cell>
          <cell r="X22">
            <v>0</v>
          </cell>
          <cell r="Y22">
            <v>8862</v>
          </cell>
          <cell r="Z22">
            <v>2975</v>
          </cell>
          <cell r="AA22">
            <v>1047</v>
          </cell>
          <cell r="AB22">
            <v>2065</v>
          </cell>
          <cell r="AC22">
            <v>0</v>
          </cell>
          <cell r="AD22">
            <v>1630</v>
          </cell>
          <cell r="AE22">
            <v>2030.68</v>
          </cell>
          <cell r="AF22">
            <v>0</v>
          </cell>
          <cell r="AG22">
            <v>0</v>
          </cell>
          <cell r="AH22">
            <v>0</v>
          </cell>
          <cell r="AI22">
            <v>280</v>
          </cell>
          <cell r="AJ22">
            <v>2511</v>
          </cell>
          <cell r="AK22">
            <v>4073</v>
          </cell>
          <cell r="AL22">
            <v>6555</v>
          </cell>
          <cell r="AM22">
            <v>9494</v>
          </cell>
          <cell r="AN22">
            <v>0</v>
          </cell>
          <cell r="AO22">
            <v>14850</v>
          </cell>
          <cell r="AP22">
            <v>0</v>
          </cell>
          <cell r="AQ22">
            <v>0</v>
          </cell>
          <cell r="AR22">
            <v>324</v>
          </cell>
          <cell r="AS22">
            <v>0</v>
          </cell>
          <cell r="AT22">
            <v>86</v>
          </cell>
          <cell r="AU22">
            <v>769</v>
          </cell>
          <cell r="AV22">
            <v>0</v>
          </cell>
          <cell r="AW22">
            <v>0</v>
          </cell>
          <cell r="AX22">
            <v>0</v>
          </cell>
          <cell r="AY22">
            <v>413</v>
          </cell>
          <cell r="AZ22">
            <v>15</v>
          </cell>
          <cell r="BA22">
            <v>1020</v>
          </cell>
          <cell r="BB22">
            <v>13451</v>
          </cell>
          <cell r="BC22">
            <v>102</v>
          </cell>
          <cell r="BD22">
            <v>0</v>
          </cell>
          <cell r="BE22">
            <v>3155</v>
          </cell>
          <cell r="BF22">
            <v>949</v>
          </cell>
        </row>
        <row r="23">
          <cell r="D23">
            <v>0</v>
          </cell>
          <cell r="E23">
            <v>0</v>
          </cell>
          <cell r="F23">
            <v>0</v>
          </cell>
          <cell r="G23">
            <v>0</v>
          </cell>
          <cell r="H23">
            <v>0</v>
          </cell>
          <cell r="I23">
            <v>0</v>
          </cell>
          <cell r="J23">
            <v>0</v>
          </cell>
          <cell r="K23">
            <v>0</v>
          </cell>
          <cell r="L23">
            <v>0</v>
          </cell>
          <cell r="M23">
            <v>0</v>
          </cell>
          <cell r="N23">
            <v>0</v>
          </cell>
          <cell r="O23">
            <v>0</v>
          </cell>
          <cell r="P23">
            <v>2486</v>
          </cell>
          <cell r="Q23">
            <v>0</v>
          </cell>
          <cell r="R23">
            <v>0</v>
          </cell>
          <cell r="S23">
            <v>0</v>
          </cell>
          <cell r="T23">
            <v>0</v>
          </cell>
          <cell r="U23">
            <v>3497</v>
          </cell>
          <cell r="V23">
            <v>1349</v>
          </cell>
          <cell r="W23">
            <v>0</v>
          </cell>
          <cell r="X23">
            <v>0</v>
          </cell>
          <cell r="Y23">
            <v>0</v>
          </cell>
          <cell r="Z23">
            <v>-867</v>
          </cell>
          <cell r="AA23">
            <v>0</v>
          </cell>
          <cell r="AB23">
            <v>0</v>
          </cell>
          <cell r="AC23">
            <v>0</v>
          </cell>
          <cell r="AD23">
            <v>0</v>
          </cell>
          <cell r="AE23">
            <v>0</v>
          </cell>
          <cell r="AF23">
            <v>0</v>
          </cell>
          <cell r="AG23">
            <v>0</v>
          </cell>
          <cell r="AH23">
            <v>0</v>
          </cell>
          <cell r="AI23">
            <v>0</v>
          </cell>
          <cell r="AJ23">
            <v>2563</v>
          </cell>
          <cell r="AK23">
            <v>0</v>
          </cell>
          <cell r="AL23">
            <v>2484</v>
          </cell>
          <cell r="AM23">
            <v>0</v>
          </cell>
          <cell r="AN23">
            <v>0</v>
          </cell>
          <cell r="AO23">
            <v>0</v>
          </cell>
          <cell r="AP23">
            <v>0</v>
          </cell>
          <cell r="AQ23">
            <v>0</v>
          </cell>
          <cell r="AR23">
            <v>0</v>
          </cell>
          <cell r="AS23">
            <v>0</v>
          </cell>
          <cell r="AT23">
            <v>0</v>
          </cell>
          <cell r="AU23">
            <v>0</v>
          </cell>
          <cell r="AV23">
            <v>0</v>
          </cell>
          <cell r="AW23">
            <v>0</v>
          </cell>
          <cell r="AX23">
            <v>0</v>
          </cell>
          <cell r="AY23">
            <v>278</v>
          </cell>
          <cell r="AZ23">
            <v>0</v>
          </cell>
          <cell r="BA23">
            <v>0</v>
          </cell>
          <cell r="BB23">
            <v>0</v>
          </cell>
          <cell r="BC23">
            <v>0</v>
          </cell>
          <cell r="BD23">
            <v>0</v>
          </cell>
          <cell r="BE23">
            <v>1678</v>
          </cell>
          <cell r="BF23">
            <v>94</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row>
        <row r="25">
          <cell r="D25">
            <v>0</v>
          </cell>
          <cell r="E25">
            <v>0</v>
          </cell>
          <cell r="F25">
            <v>1706</v>
          </cell>
          <cell r="G25">
            <v>0</v>
          </cell>
          <cell r="H25">
            <v>2287</v>
          </cell>
          <cell r="I25">
            <v>393</v>
          </cell>
          <cell r="J25">
            <v>0</v>
          </cell>
          <cell r="K25">
            <v>4344</v>
          </cell>
          <cell r="L25">
            <v>15329</v>
          </cell>
          <cell r="M25">
            <v>4324</v>
          </cell>
          <cell r="N25">
            <v>7950</v>
          </cell>
          <cell r="O25">
            <v>684</v>
          </cell>
          <cell r="P25">
            <v>6680</v>
          </cell>
          <cell r="Q25">
            <v>7210</v>
          </cell>
          <cell r="R25">
            <v>2665.4189999999999</v>
          </cell>
          <cell r="S25">
            <v>0</v>
          </cell>
          <cell r="T25">
            <v>7536</v>
          </cell>
          <cell r="U25">
            <v>5098</v>
          </cell>
          <cell r="V25">
            <v>0</v>
          </cell>
          <cell r="W25">
            <v>4686</v>
          </cell>
          <cell r="X25">
            <v>15418</v>
          </cell>
          <cell r="Y25">
            <v>6009</v>
          </cell>
          <cell r="Z25">
            <v>1062</v>
          </cell>
          <cell r="AA25">
            <v>0</v>
          </cell>
          <cell r="AB25">
            <v>8164</v>
          </cell>
          <cell r="AC25">
            <v>6282</v>
          </cell>
          <cell r="AD25">
            <v>2359</v>
          </cell>
          <cell r="AE25">
            <v>4079.319</v>
          </cell>
          <cell r="AF25">
            <v>0</v>
          </cell>
          <cell r="AG25">
            <v>1571</v>
          </cell>
          <cell r="AH25">
            <v>0</v>
          </cell>
          <cell r="AI25">
            <v>0</v>
          </cell>
          <cell r="AJ25">
            <v>1542</v>
          </cell>
          <cell r="AK25">
            <v>8254</v>
          </cell>
          <cell r="AL25">
            <v>2994</v>
          </cell>
          <cell r="AM25">
            <v>10804</v>
          </cell>
          <cell r="AN25">
            <v>0</v>
          </cell>
          <cell r="AO25">
            <v>8383</v>
          </cell>
          <cell r="AP25">
            <v>23383</v>
          </cell>
          <cell r="AQ25">
            <v>1782.7539999999999</v>
          </cell>
          <cell r="AR25">
            <v>0</v>
          </cell>
          <cell r="AS25">
            <v>0</v>
          </cell>
          <cell r="AT25">
            <v>2166</v>
          </cell>
          <cell r="AU25">
            <v>0</v>
          </cell>
          <cell r="AV25">
            <v>878</v>
          </cell>
          <cell r="AW25">
            <v>0</v>
          </cell>
          <cell r="AX25">
            <v>0</v>
          </cell>
          <cell r="AY25">
            <v>2263</v>
          </cell>
          <cell r="AZ25">
            <v>1683</v>
          </cell>
          <cell r="BA25">
            <v>2217</v>
          </cell>
          <cell r="BB25">
            <v>7578</v>
          </cell>
          <cell r="BC25">
            <v>0</v>
          </cell>
          <cell r="BD25">
            <v>140</v>
          </cell>
          <cell r="BE25">
            <v>1121</v>
          </cell>
          <cell r="BF25">
            <v>1857</v>
          </cell>
        </row>
        <row r="26">
          <cell r="D26">
            <v>0</v>
          </cell>
          <cell r="E26">
            <v>0</v>
          </cell>
          <cell r="F26">
            <v>3174</v>
          </cell>
          <cell r="G26">
            <v>0</v>
          </cell>
          <cell r="H26">
            <v>1739</v>
          </cell>
          <cell r="I26">
            <v>20</v>
          </cell>
          <cell r="J26">
            <v>0</v>
          </cell>
          <cell r="K26">
            <v>0</v>
          </cell>
          <cell r="L26">
            <v>0</v>
          </cell>
          <cell r="M26">
            <v>0</v>
          </cell>
          <cell r="N26">
            <v>0</v>
          </cell>
          <cell r="O26">
            <v>53</v>
          </cell>
          <cell r="P26">
            <v>-5893</v>
          </cell>
          <cell r="Q26">
            <v>0</v>
          </cell>
          <cell r="R26">
            <v>0</v>
          </cell>
          <cell r="S26">
            <v>0</v>
          </cell>
          <cell r="T26">
            <v>0</v>
          </cell>
          <cell r="U26">
            <v>6666</v>
          </cell>
          <cell r="V26">
            <v>0</v>
          </cell>
          <cell r="W26">
            <v>0</v>
          </cell>
          <cell r="X26">
            <v>-4932</v>
          </cell>
          <cell r="Y26">
            <v>0</v>
          </cell>
          <cell r="Z26">
            <v>0</v>
          </cell>
          <cell r="AA26">
            <v>0</v>
          </cell>
          <cell r="AB26">
            <v>0</v>
          </cell>
          <cell r="AC26">
            <v>0</v>
          </cell>
          <cell r="AD26">
            <v>0</v>
          </cell>
          <cell r="AE26">
            <v>0</v>
          </cell>
          <cell r="AF26">
            <v>0</v>
          </cell>
          <cell r="AG26">
            <v>0</v>
          </cell>
          <cell r="AH26">
            <v>0</v>
          </cell>
          <cell r="AI26">
            <v>0</v>
          </cell>
          <cell r="AJ26">
            <v>0</v>
          </cell>
          <cell r="AK26">
            <v>0</v>
          </cell>
          <cell r="AL26">
            <v>2053</v>
          </cell>
          <cell r="AM26">
            <v>0</v>
          </cell>
          <cell r="AN26">
            <v>0</v>
          </cell>
          <cell r="AO26">
            <v>0</v>
          </cell>
          <cell r="AP26">
            <v>2994</v>
          </cell>
          <cell r="AQ26">
            <v>660.8</v>
          </cell>
          <cell r="AR26">
            <v>0</v>
          </cell>
          <cell r="AS26">
            <v>0</v>
          </cell>
          <cell r="AT26">
            <v>0</v>
          </cell>
          <cell r="AU26">
            <v>0</v>
          </cell>
          <cell r="AV26">
            <v>0</v>
          </cell>
          <cell r="AW26">
            <v>0</v>
          </cell>
          <cell r="AX26">
            <v>0</v>
          </cell>
          <cell r="AY26">
            <v>7237</v>
          </cell>
          <cell r="AZ26">
            <v>730</v>
          </cell>
          <cell r="BA26">
            <v>1751</v>
          </cell>
          <cell r="BB26">
            <v>0</v>
          </cell>
          <cell r="BC26">
            <v>0</v>
          </cell>
          <cell r="BD26">
            <v>0</v>
          </cell>
          <cell r="BE26">
            <v>0</v>
          </cell>
          <cell r="BF26">
            <v>320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row>
        <row r="29">
          <cell r="D29">
            <v>0</v>
          </cell>
          <cell r="E29">
            <v>0</v>
          </cell>
          <cell r="F29">
            <v>0</v>
          </cell>
          <cell r="G29">
            <v>0</v>
          </cell>
          <cell r="H29">
            <v>0</v>
          </cell>
          <cell r="I29">
            <v>0</v>
          </cell>
          <cell r="J29">
            <v>0</v>
          </cell>
          <cell r="K29">
            <v>47</v>
          </cell>
          <cell r="L29">
            <v>0</v>
          </cell>
          <cell r="M29">
            <v>130</v>
          </cell>
          <cell r="N29">
            <v>0</v>
          </cell>
          <cell r="O29">
            <v>0</v>
          </cell>
          <cell r="P29">
            <v>0</v>
          </cell>
          <cell r="Q29">
            <v>0</v>
          </cell>
          <cell r="R29">
            <v>0</v>
          </cell>
          <cell r="S29">
            <v>0</v>
          </cell>
          <cell r="T29">
            <v>0</v>
          </cell>
          <cell r="U29">
            <v>0</v>
          </cell>
          <cell r="V29">
            <v>132</v>
          </cell>
          <cell r="W29">
            <v>0</v>
          </cell>
          <cell r="X29">
            <v>0</v>
          </cell>
          <cell r="Y29">
            <v>0</v>
          </cell>
          <cell r="Z29">
            <v>109</v>
          </cell>
          <cell r="AA29">
            <v>7</v>
          </cell>
          <cell r="AB29">
            <v>230</v>
          </cell>
          <cell r="AC29">
            <v>0</v>
          </cell>
          <cell r="AD29">
            <v>15</v>
          </cell>
          <cell r="AE29">
            <v>0</v>
          </cell>
          <cell r="AF29">
            <v>0</v>
          </cell>
          <cell r="AG29">
            <v>0</v>
          </cell>
          <cell r="AH29">
            <v>0</v>
          </cell>
          <cell r="AI29">
            <v>0</v>
          </cell>
          <cell r="AJ29">
            <v>0</v>
          </cell>
          <cell r="AK29">
            <v>12</v>
          </cell>
          <cell r="AL29">
            <v>0</v>
          </cell>
          <cell r="AM29">
            <v>0</v>
          </cell>
          <cell r="AN29">
            <v>0</v>
          </cell>
          <cell r="AO29">
            <v>0</v>
          </cell>
          <cell r="AP29">
            <v>0</v>
          </cell>
          <cell r="AQ29">
            <v>0</v>
          </cell>
          <cell r="AR29">
            <v>0</v>
          </cell>
          <cell r="AS29">
            <v>0</v>
          </cell>
          <cell r="AT29">
            <v>12</v>
          </cell>
          <cell r="AU29">
            <v>35</v>
          </cell>
          <cell r="AV29">
            <v>0</v>
          </cell>
          <cell r="AW29">
            <v>0</v>
          </cell>
          <cell r="AX29">
            <v>0</v>
          </cell>
          <cell r="AY29">
            <v>68</v>
          </cell>
          <cell r="AZ29">
            <v>0</v>
          </cell>
          <cell r="BA29">
            <v>5</v>
          </cell>
          <cell r="BB29">
            <v>0</v>
          </cell>
          <cell r="BC29">
            <v>0</v>
          </cell>
          <cell r="BD29">
            <v>0</v>
          </cell>
          <cell r="BE29">
            <v>527</v>
          </cell>
          <cell r="BF29">
            <v>120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row>
        <row r="31">
          <cell r="D31">
            <v>0</v>
          </cell>
          <cell r="E31">
            <v>0</v>
          </cell>
          <cell r="F31">
            <v>0</v>
          </cell>
          <cell r="G31">
            <v>0</v>
          </cell>
          <cell r="H31">
            <v>0</v>
          </cell>
          <cell r="I31">
            <v>0</v>
          </cell>
          <cell r="J31">
            <v>0</v>
          </cell>
          <cell r="K31">
            <v>0</v>
          </cell>
          <cell r="L31">
            <v>0</v>
          </cell>
          <cell r="M31">
            <v>0</v>
          </cell>
          <cell r="N31">
            <v>47</v>
          </cell>
          <cell r="O31">
            <v>0</v>
          </cell>
          <cell r="P31">
            <v>0</v>
          </cell>
          <cell r="Q31">
            <v>0</v>
          </cell>
          <cell r="R31">
            <v>0</v>
          </cell>
          <cell r="S31">
            <v>0</v>
          </cell>
          <cell r="T31">
            <v>0</v>
          </cell>
          <cell r="U31">
            <v>0</v>
          </cell>
          <cell r="V31">
            <v>0</v>
          </cell>
          <cell r="W31">
            <v>0</v>
          </cell>
          <cell r="X31">
            <v>3360</v>
          </cell>
          <cell r="Y31">
            <v>0</v>
          </cell>
          <cell r="Z31">
            <v>0</v>
          </cell>
          <cell r="AA31">
            <v>0</v>
          </cell>
          <cell r="AB31">
            <v>0</v>
          </cell>
          <cell r="AC31">
            <v>0</v>
          </cell>
          <cell r="AD31">
            <v>73</v>
          </cell>
          <cell r="AE31">
            <v>0</v>
          </cell>
          <cell r="AF31">
            <v>0</v>
          </cell>
          <cell r="AG31">
            <v>0</v>
          </cell>
          <cell r="AH31">
            <v>0</v>
          </cell>
          <cell r="AI31">
            <v>0</v>
          </cell>
          <cell r="AJ31">
            <v>0</v>
          </cell>
          <cell r="AK31">
            <v>444</v>
          </cell>
          <cell r="AL31">
            <v>0</v>
          </cell>
          <cell r="AM31">
            <v>0</v>
          </cell>
          <cell r="AN31">
            <v>0</v>
          </cell>
          <cell r="AO31">
            <v>18466</v>
          </cell>
          <cell r="AP31">
            <v>0</v>
          </cell>
          <cell r="AQ31">
            <v>0</v>
          </cell>
          <cell r="AR31">
            <v>0</v>
          </cell>
          <cell r="AS31">
            <v>0</v>
          </cell>
          <cell r="AT31">
            <v>283</v>
          </cell>
          <cell r="AU31">
            <v>0</v>
          </cell>
          <cell r="AV31">
            <v>0</v>
          </cell>
          <cell r="AW31">
            <v>0</v>
          </cell>
          <cell r="AX31">
            <v>0</v>
          </cell>
          <cell r="AY31">
            <v>0</v>
          </cell>
          <cell r="AZ31">
            <v>0</v>
          </cell>
          <cell r="BA31">
            <v>27</v>
          </cell>
          <cell r="BB31">
            <v>0</v>
          </cell>
          <cell r="BC31">
            <v>0</v>
          </cell>
          <cell r="BD31">
            <v>0</v>
          </cell>
          <cell r="BE31">
            <v>344</v>
          </cell>
          <cell r="BF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row>
        <row r="35">
          <cell r="D35">
            <v>0</v>
          </cell>
          <cell r="E35">
            <v>0</v>
          </cell>
          <cell r="F35">
            <v>268</v>
          </cell>
          <cell r="G35">
            <v>0</v>
          </cell>
          <cell r="H35">
            <v>0</v>
          </cell>
          <cell r="I35">
            <v>0</v>
          </cell>
          <cell r="J35">
            <v>0</v>
          </cell>
          <cell r="K35">
            <v>0</v>
          </cell>
          <cell r="L35">
            <v>0</v>
          </cell>
          <cell r="M35">
            <v>0</v>
          </cell>
          <cell r="N35">
            <v>0</v>
          </cell>
          <cell r="O35">
            <v>57</v>
          </cell>
          <cell r="P35">
            <v>0</v>
          </cell>
          <cell r="Q35">
            <v>0</v>
          </cell>
          <cell r="R35">
            <v>0</v>
          </cell>
          <cell r="S35">
            <v>0</v>
          </cell>
          <cell r="T35">
            <v>0</v>
          </cell>
          <cell r="U35">
            <v>0</v>
          </cell>
          <cell r="V35">
            <v>0</v>
          </cell>
          <cell r="W35">
            <v>0</v>
          </cell>
          <cell r="X35">
            <v>0</v>
          </cell>
          <cell r="Y35">
            <v>0</v>
          </cell>
          <cell r="Z35">
            <v>0</v>
          </cell>
          <cell r="AA35">
            <v>214</v>
          </cell>
          <cell r="AB35">
            <v>0</v>
          </cell>
          <cell r="AC35">
            <v>0</v>
          </cell>
          <cell r="AD35">
            <v>0</v>
          </cell>
          <cell r="AE35">
            <v>0</v>
          </cell>
          <cell r="AF35">
            <v>0</v>
          </cell>
          <cell r="AG35">
            <v>0</v>
          </cell>
          <cell r="AH35">
            <v>0</v>
          </cell>
          <cell r="AI35">
            <v>0</v>
          </cell>
          <cell r="AJ35">
            <v>0</v>
          </cell>
          <cell r="AK35">
            <v>0</v>
          </cell>
          <cell r="AL35">
            <v>0</v>
          </cell>
          <cell r="AM35">
            <v>0</v>
          </cell>
          <cell r="AN35">
            <v>0</v>
          </cell>
          <cell r="AO35">
            <v>927</v>
          </cell>
          <cell r="AP35">
            <v>0</v>
          </cell>
          <cell r="AQ35">
            <v>0</v>
          </cell>
          <cell r="AR35">
            <v>0</v>
          </cell>
          <cell r="AS35">
            <v>0</v>
          </cell>
          <cell r="AT35">
            <v>0</v>
          </cell>
          <cell r="AU35">
            <v>0</v>
          </cell>
          <cell r="AV35">
            <v>0</v>
          </cell>
          <cell r="AW35">
            <v>0</v>
          </cell>
          <cell r="AX35">
            <v>0</v>
          </cell>
          <cell r="AY35">
            <v>0</v>
          </cell>
          <cell r="AZ35">
            <v>23</v>
          </cell>
          <cell r="BA35">
            <v>0</v>
          </cell>
          <cell r="BB35">
            <v>0</v>
          </cell>
          <cell r="BC35">
            <v>0</v>
          </cell>
          <cell r="BD35">
            <v>0</v>
          </cell>
          <cell r="BE35">
            <v>0</v>
          </cell>
          <cell r="BF35">
            <v>34</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row>
        <row r="37">
          <cell r="D37">
            <v>0</v>
          </cell>
          <cell r="E37">
            <v>0</v>
          </cell>
          <cell r="F37">
            <v>587</v>
          </cell>
          <cell r="G37">
            <v>0</v>
          </cell>
          <cell r="H37">
            <v>0</v>
          </cell>
          <cell r="I37">
            <v>0</v>
          </cell>
          <cell r="J37">
            <v>0</v>
          </cell>
          <cell r="K37">
            <v>549</v>
          </cell>
          <cell r="L37">
            <v>0</v>
          </cell>
          <cell r="M37">
            <v>2229</v>
          </cell>
          <cell r="N37">
            <v>0</v>
          </cell>
          <cell r="O37">
            <v>909</v>
          </cell>
          <cell r="P37">
            <v>0</v>
          </cell>
          <cell r="Q37">
            <v>1</v>
          </cell>
          <cell r="R37">
            <v>0</v>
          </cell>
          <cell r="S37">
            <v>0</v>
          </cell>
          <cell r="T37">
            <v>0</v>
          </cell>
          <cell r="U37">
            <v>0</v>
          </cell>
          <cell r="V37">
            <v>0</v>
          </cell>
          <cell r="W37">
            <v>21</v>
          </cell>
          <cell r="X37">
            <v>0</v>
          </cell>
          <cell r="Y37">
            <v>0</v>
          </cell>
          <cell r="Z37">
            <v>0</v>
          </cell>
          <cell r="AA37">
            <v>0</v>
          </cell>
          <cell r="AB37">
            <v>121</v>
          </cell>
          <cell r="AC37">
            <v>0</v>
          </cell>
          <cell r="AD37">
            <v>0</v>
          </cell>
          <cell r="AE37">
            <v>129.35599999999999</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1</v>
          </cell>
          <cell r="AU37">
            <v>0</v>
          </cell>
          <cell r="AV37">
            <v>26</v>
          </cell>
          <cell r="AW37">
            <v>0</v>
          </cell>
          <cell r="AX37">
            <v>0</v>
          </cell>
          <cell r="AY37">
            <v>0</v>
          </cell>
          <cell r="AZ37">
            <v>191</v>
          </cell>
          <cell r="BA37">
            <v>0</v>
          </cell>
          <cell r="BB37">
            <v>0</v>
          </cell>
          <cell r="BC37">
            <v>0</v>
          </cell>
          <cell r="BD37">
            <v>0</v>
          </cell>
          <cell r="BE37">
            <v>0</v>
          </cell>
          <cell r="BF37">
            <v>0</v>
          </cell>
        </row>
        <row r="38">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231</v>
          </cell>
          <cell r="BA38">
            <v>0</v>
          </cell>
          <cell r="BB38">
            <v>0</v>
          </cell>
          <cell r="BC38">
            <v>0</v>
          </cell>
          <cell r="BD38">
            <v>0</v>
          </cell>
          <cell r="BE38">
            <v>0</v>
          </cell>
          <cell r="BF38">
            <v>0</v>
          </cell>
        </row>
        <row r="39">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row>
        <row r="40">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row>
        <row r="41">
          <cell r="D41">
            <v>0</v>
          </cell>
          <cell r="E41">
            <v>0</v>
          </cell>
          <cell r="F41">
            <v>892</v>
          </cell>
          <cell r="G41">
            <v>11876</v>
          </cell>
          <cell r="H41">
            <v>3007</v>
          </cell>
          <cell r="I41">
            <v>341</v>
          </cell>
          <cell r="J41">
            <v>0</v>
          </cell>
          <cell r="K41">
            <v>1190</v>
          </cell>
          <cell r="L41">
            <v>16738</v>
          </cell>
          <cell r="M41">
            <v>0</v>
          </cell>
          <cell r="N41">
            <v>473</v>
          </cell>
          <cell r="O41">
            <v>1174</v>
          </cell>
          <cell r="P41">
            <v>0</v>
          </cell>
          <cell r="Q41">
            <v>0</v>
          </cell>
          <cell r="R41">
            <v>0</v>
          </cell>
          <cell r="S41">
            <v>1007</v>
          </cell>
          <cell r="T41">
            <v>2029</v>
          </cell>
          <cell r="U41">
            <v>8082</v>
          </cell>
          <cell r="V41">
            <v>1904</v>
          </cell>
          <cell r="W41">
            <v>1830</v>
          </cell>
          <cell r="X41">
            <v>0</v>
          </cell>
          <cell r="Y41">
            <v>0</v>
          </cell>
          <cell r="Z41">
            <v>261</v>
          </cell>
          <cell r="AA41">
            <v>594</v>
          </cell>
          <cell r="AB41">
            <v>5606</v>
          </cell>
          <cell r="AC41">
            <v>0</v>
          </cell>
          <cell r="AD41">
            <v>917</v>
          </cell>
          <cell r="AE41">
            <v>1345.1890000000001</v>
          </cell>
          <cell r="AF41">
            <v>0</v>
          </cell>
          <cell r="AG41">
            <v>0</v>
          </cell>
          <cell r="AH41">
            <v>0</v>
          </cell>
          <cell r="AI41">
            <v>0</v>
          </cell>
          <cell r="AJ41">
            <v>358</v>
          </cell>
          <cell r="AK41">
            <v>3477</v>
          </cell>
          <cell r="AL41">
            <v>3162</v>
          </cell>
          <cell r="AM41">
            <v>8699</v>
          </cell>
          <cell r="AN41">
            <v>0</v>
          </cell>
          <cell r="AO41">
            <v>17640</v>
          </cell>
          <cell r="AP41">
            <v>0</v>
          </cell>
          <cell r="AQ41">
            <v>0</v>
          </cell>
          <cell r="AR41">
            <v>777</v>
          </cell>
          <cell r="AS41">
            <v>0</v>
          </cell>
          <cell r="AT41">
            <v>199</v>
          </cell>
          <cell r="AU41">
            <v>279</v>
          </cell>
          <cell r="AV41">
            <v>0</v>
          </cell>
          <cell r="AW41">
            <v>0</v>
          </cell>
          <cell r="AX41">
            <v>0</v>
          </cell>
          <cell r="AY41">
            <v>1280</v>
          </cell>
          <cell r="AZ41">
            <v>61</v>
          </cell>
          <cell r="BA41">
            <v>20778</v>
          </cell>
          <cell r="BB41">
            <v>4515</v>
          </cell>
          <cell r="BC41">
            <v>0</v>
          </cell>
          <cell r="BD41">
            <v>0</v>
          </cell>
          <cell r="BE41">
            <v>3719</v>
          </cell>
          <cell r="BF41">
            <v>1608</v>
          </cell>
        </row>
        <row r="42">
          <cell r="D42">
            <v>0</v>
          </cell>
          <cell r="E42">
            <v>0</v>
          </cell>
          <cell r="F42">
            <v>0</v>
          </cell>
          <cell r="G42">
            <v>0</v>
          </cell>
          <cell r="H42">
            <v>0</v>
          </cell>
          <cell r="I42">
            <v>0</v>
          </cell>
          <cell r="J42">
            <v>0</v>
          </cell>
          <cell r="K42">
            <v>0</v>
          </cell>
          <cell r="L42">
            <v>0</v>
          </cell>
          <cell r="M42">
            <v>0</v>
          </cell>
          <cell r="N42">
            <v>0</v>
          </cell>
          <cell r="O42">
            <v>239</v>
          </cell>
          <cell r="P42">
            <v>405</v>
          </cell>
          <cell r="Q42">
            <v>0</v>
          </cell>
          <cell r="R42">
            <v>0</v>
          </cell>
          <cell r="S42">
            <v>0</v>
          </cell>
          <cell r="T42">
            <v>0</v>
          </cell>
          <cell r="U42">
            <v>-541</v>
          </cell>
          <cell r="V42">
            <v>723</v>
          </cell>
          <cell r="W42">
            <v>0</v>
          </cell>
          <cell r="X42">
            <v>0</v>
          </cell>
          <cell r="Y42">
            <v>0</v>
          </cell>
          <cell r="Z42">
            <v>0</v>
          </cell>
          <cell r="AA42">
            <v>0</v>
          </cell>
          <cell r="AB42">
            <v>0</v>
          </cell>
          <cell r="AC42">
            <v>0</v>
          </cell>
          <cell r="AD42">
            <v>313</v>
          </cell>
          <cell r="AE42">
            <v>0</v>
          </cell>
          <cell r="AF42">
            <v>0</v>
          </cell>
          <cell r="AG42">
            <v>0</v>
          </cell>
          <cell r="AH42">
            <v>0</v>
          </cell>
          <cell r="AI42">
            <v>0</v>
          </cell>
          <cell r="AJ42">
            <v>0</v>
          </cell>
          <cell r="AK42">
            <v>0</v>
          </cell>
          <cell r="AL42">
            <v>735</v>
          </cell>
          <cell r="AM42">
            <v>0</v>
          </cell>
          <cell r="AN42">
            <v>0</v>
          </cell>
          <cell r="AO42">
            <v>0</v>
          </cell>
          <cell r="AP42">
            <v>0</v>
          </cell>
          <cell r="AQ42">
            <v>0</v>
          </cell>
          <cell r="AR42">
            <v>0</v>
          </cell>
          <cell r="AS42">
            <v>0</v>
          </cell>
          <cell r="AT42">
            <v>0</v>
          </cell>
          <cell r="AU42">
            <v>0</v>
          </cell>
          <cell r="AV42">
            <v>0</v>
          </cell>
          <cell r="AW42">
            <v>0</v>
          </cell>
          <cell r="AX42">
            <v>0</v>
          </cell>
          <cell r="AY42">
            <v>777</v>
          </cell>
          <cell r="AZ42">
            <v>0</v>
          </cell>
          <cell r="BA42">
            <v>0</v>
          </cell>
          <cell r="BB42">
            <v>0</v>
          </cell>
          <cell r="BC42">
            <v>0</v>
          </cell>
          <cell r="BD42">
            <v>0</v>
          </cell>
          <cell r="BE42">
            <v>1399</v>
          </cell>
          <cell r="BF42">
            <v>235</v>
          </cell>
        </row>
        <row r="43">
          <cell r="D43">
            <v>0</v>
          </cell>
          <cell r="E43">
            <v>0</v>
          </cell>
          <cell r="F43">
            <v>699</v>
          </cell>
          <cell r="G43">
            <v>0</v>
          </cell>
          <cell r="H43">
            <v>3452</v>
          </cell>
          <cell r="I43">
            <v>112</v>
          </cell>
          <cell r="J43">
            <v>0</v>
          </cell>
          <cell r="K43">
            <v>6351</v>
          </cell>
          <cell r="L43">
            <v>22073</v>
          </cell>
          <cell r="M43">
            <v>3619</v>
          </cell>
          <cell r="N43">
            <v>7506</v>
          </cell>
          <cell r="O43">
            <v>1962</v>
          </cell>
          <cell r="P43">
            <v>4824</v>
          </cell>
          <cell r="Q43">
            <v>1415</v>
          </cell>
          <cell r="R43">
            <v>5746.0370000000003</v>
          </cell>
          <cell r="S43">
            <v>0</v>
          </cell>
          <cell r="T43">
            <v>3169</v>
          </cell>
          <cell r="U43">
            <v>7752</v>
          </cell>
          <cell r="V43">
            <v>0</v>
          </cell>
          <cell r="W43">
            <v>1081</v>
          </cell>
          <cell r="X43">
            <v>6677</v>
          </cell>
          <cell r="Y43">
            <v>22106</v>
          </cell>
          <cell r="Z43">
            <v>82</v>
          </cell>
          <cell r="AA43">
            <v>0</v>
          </cell>
          <cell r="AB43">
            <v>13806</v>
          </cell>
          <cell r="AC43">
            <v>16620</v>
          </cell>
          <cell r="AD43">
            <v>1677</v>
          </cell>
          <cell r="AE43">
            <v>2993</v>
          </cell>
          <cell r="AF43">
            <v>0</v>
          </cell>
          <cell r="AG43">
            <v>3272</v>
          </cell>
          <cell r="AH43">
            <v>0</v>
          </cell>
          <cell r="AI43">
            <v>0</v>
          </cell>
          <cell r="AJ43">
            <v>1098</v>
          </cell>
          <cell r="AK43">
            <v>878</v>
          </cell>
          <cell r="AL43">
            <v>6062</v>
          </cell>
          <cell r="AM43">
            <v>7249</v>
          </cell>
          <cell r="AN43">
            <v>0</v>
          </cell>
          <cell r="AO43">
            <v>18466</v>
          </cell>
          <cell r="AP43">
            <v>27626</v>
          </cell>
          <cell r="AQ43">
            <v>1075.0909999999999</v>
          </cell>
          <cell r="AR43">
            <v>0</v>
          </cell>
          <cell r="AS43">
            <v>0</v>
          </cell>
          <cell r="AT43">
            <v>1331</v>
          </cell>
          <cell r="AU43">
            <v>0</v>
          </cell>
          <cell r="AV43">
            <v>1567</v>
          </cell>
          <cell r="AW43">
            <v>0</v>
          </cell>
          <cell r="AX43">
            <v>0</v>
          </cell>
          <cell r="AY43">
            <v>158</v>
          </cell>
          <cell r="AZ43">
            <v>0</v>
          </cell>
          <cell r="BA43">
            <v>6077</v>
          </cell>
          <cell r="BB43">
            <v>23209</v>
          </cell>
          <cell r="BC43">
            <v>6247</v>
          </cell>
          <cell r="BD43">
            <v>143</v>
          </cell>
          <cell r="BE43">
            <v>1734</v>
          </cell>
          <cell r="BF43">
            <v>1320</v>
          </cell>
        </row>
        <row r="44">
          <cell r="D44">
            <v>0</v>
          </cell>
          <cell r="E44">
            <v>0</v>
          </cell>
          <cell r="F44">
            <v>0</v>
          </cell>
          <cell r="G44">
            <v>0</v>
          </cell>
          <cell r="H44">
            <v>1382</v>
          </cell>
          <cell r="I44">
            <v>67</v>
          </cell>
          <cell r="J44">
            <v>0</v>
          </cell>
          <cell r="K44">
            <v>0</v>
          </cell>
          <cell r="L44">
            <v>0</v>
          </cell>
          <cell r="M44">
            <v>0</v>
          </cell>
          <cell r="N44">
            <v>0</v>
          </cell>
          <cell r="O44">
            <v>234</v>
          </cell>
          <cell r="P44">
            <v>-413</v>
          </cell>
          <cell r="Q44">
            <v>0</v>
          </cell>
          <cell r="R44">
            <v>0</v>
          </cell>
          <cell r="S44">
            <v>0</v>
          </cell>
          <cell r="T44">
            <v>0</v>
          </cell>
          <cell r="U44">
            <v>-1174</v>
          </cell>
          <cell r="V44">
            <v>0</v>
          </cell>
          <cell r="W44">
            <v>0</v>
          </cell>
          <cell r="X44">
            <v>-2542</v>
          </cell>
          <cell r="Y44">
            <v>0</v>
          </cell>
          <cell r="Z44">
            <v>0</v>
          </cell>
          <cell r="AA44">
            <v>0</v>
          </cell>
          <cell r="AB44">
            <v>0</v>
          </cell>
          <cell r="AC44">
            <v>0</v>
          </cell>
          <cell r="AD44">
            <v>0</v>
          </cell>
          <cell r="AE44">
            <v>0</v>
          </cell>
          <cell r="AF44">
            <v>0</v>
          </cell>
          <cell r="AG44">
            <v>0</v>
          </cell>
          <cell r="AH44">
            <v>0</v>
          </cell>
          <cell r="AI44">
            <v>0</v>
          </cell>
          <cell r="AJ44">
            <v>0</v>
          </cell>
          <cell r="AK44">
            <v>0</v>
          </cell>
          <cell r="AL44">
            <v>1293</v>
          </cell>
          <cell r="AM44">
            <v>0</v>
          </cell>
          <cell r="AN44">
            <v>0</v>
          </cell>
          <cell r="AO44">
            <v>0</v>
          </cell>
          <cell r="AP44">
            <v>7678</v>
          </cell>
          <cell r="AQ44">
            <v>188</v>
          </cell>
          <cell r="AR44">
            <v>0</v>
          </cell>
          <cell r="AS44">
            <v>0</v>
          </cell>
          <cell r="AT44">
            <v>0</v>
          </cell>
          <cell r="AU44">
            <v>0</v>
          </cell>
          <cell r="AV44">
            <v>0</v>
          </cell>
          <cell r="AW44">
            <v>0</v>
          </cell>
          <cell r="AX44">
            <v>0</v>
          </cell>
          <cell r="AY44">
            <v>16568</v>
          </cell>
          <cell r="AZ44">
            <v>0</v>
          </cell>
          <cell r="BA44">
            <v>2002</v>
          </cell>
          <cell r="BB44">
            <v>0</v>
          </cell>
          <cell r="BC44">
            <v>0</v>
          </cell>
          <cell r="BD44">
            <v>0</v>
          </cell>
          <cell r="BE44">
            <v>0</v>
          </cell>
          <cell r="BF44">
            <v>292</v>
          </cell>
        </row>
        <row r="45">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row>
        <row r="46">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row>
        <row r="47">
          <cell r="D47">
            <v>0</v>
          </cell>
          <cell r="E47">
            <v>0</v>
          </cell>
          <cell r="F47">
            <v>358</v>
          </cell>
          <cell r="G47">
            <v>0</v>
          </cell>
          <cell r="H47">
            <v>0</v>
          </cell>
          <cell r="I47">
            <v>172</v>
          </cell>
          <cell r="J47">
            <v>0</v>
          </cell>
          <cell r="K47">
            <v>1329</v>
          </cell>
          <cell r="L47">
            <v>0</v>
          </cell>
          <cell r="M47">
            <v>0</v>
          </cell>
          <cell r="N47">
            <v>317</v>
          </cell>
          <cell r="O47">
            <v>0</v>
          </cell>
          <cell r="P47">
            <v>0</v>
          </cell>
          <cell r="Q47">
            <v>0</v>
          </cell>
          <cell r="R47">
            <v>0</v>
          </cell>
          <cell r="S47">
            <v>847</v>
          </cell>
          <cell r="T47">
            <v>0</v>
          </cell>
          <cell r="U47">
            <v>0</v>
          </cell>
          <cell r="V47">
            <v>22</v>
          </cell>
          <cell r="W47">
            <v>0</v>
          </cell>
          <cell r="X47">
            <v>0</v>
          </cell>
          <cell r="Y47">
            <v>7362</v>
          </cell>
          <cell r="Z47">
            <v>0</v>
          </cell>
          <cell r="AA47">
            <v>1530</v>
          </cell>
          <cell r="AB47">
            <v>0</v>
          </cell>
          <cell r="AC47">
            <v>0</v>
          </cell>
          <cell r="AD47">
            <v>91</v>
          </cell>
          <cell r="AE47">
            <v>0</v>
          </cell>
          <cell r="AF47">
            <v>0</v>
          </cell>
          <cell r="AG47">
            <v>0</v>
          </cell>
          <cell r="AH47">
            <v>0</v>
          </cell>
          <cell r="AI47">
            <v>0</v>
          </cell>
          <cell r="AJ47">
            <v>0</v>
          </cell>
          <cell r="AK47">
            <v>12</v>
          </cell>
          <cell r="AL47">
            <v>0</v>
          </cell>
          <cell r="AM47">
            <v>0</v>
          </cell>
          <cell r="AN47">
            <v>0</v>
          </cell>
          <cell r="AO47">
            <v>0</v>
          </cell>
          <cell r="AP47">
            <v>0</v>
          </cell>
          <cell r="AQ47">
            <v>0</v>
          </cell>
          <cell r="AR47">
            <v>0</v>
          </cell>
          <cell r="AS47">
            <v>0</v>
          </cell>
          <cell r="AT47">
            <v>146</v>
          </cell>
          <cell r="AU47">
            <v>0</v>
          </cell>
          <cell r="AV47">
            <v>0</v>
          </cell>
          <cell r="AW47">
            <v>0</v>
          </cell>
          <cell r="AX47">
            <v>0</v>
          </cell>
          <cell r="AY47">
            <v>0</v>
          </cell>
          <cell r="AZ47">
            <v>0</v>
          </cell>
          <cell r="BA47">
            <v>674</v>
          </cell>
          <cell r="BB47">
            <v>0</v>
          </cell>
          <cell r="BC47">
            <v>0</v>
          </cell>
          <cell r="BD47">
            <v>0</v>
          </cell>
          <cell r="BE47">
            <v>527</v>
          </cell>
          <cell r="BF47">
            <v>41</v>
          </cell>
        </row>
        <row r="48">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131</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row>
        <row r="49">
          <cell r="D49">
            <v>0</v>
          </cell>
          <cell r="E49">
            <v>0</v>
          </cell>
          <cell r="F49">
            <v>0</v>
          </cell>
          <cell r="G49">
            <v>0</v>
          </cell>
          <cell r="H49">
            <v>29</v>
          </cell>
          <cell r="I49">
            <v>0</v>
          </cell>
          <cell r="J49">
            <v>0</v>
          </cell>
          <cell r="K49">
            <v>1572</v>
          </cell>
          <cell r="L49">
            <v>0</v>
          </cell>
          <cell r="M49">
            <v>0</v>
          </cell>
          <cell r="N49">
            <v>303</v>
          </cell>
          <cell r="O49">
            <v>0</v>
          </cell>
          <cell r="P49">
            <v>0</v>
          </cell>
          <cell r="Q49">
            <v>250</v>
          </cell>
          <cell r="R49">
            <v>0</v>
          </cell>
          <cell r="S49">
            <v>0</v>
          </cell>
          <cell r="T49">
            <v>0</v>
          </cell>
          <cell r="U49">
            <v>0</v>
          </cell>
          <cell r="V49">
            <v>0</v>
          </cell>
          <cell r="W49">
            <v>374</v>
          </cell>
          <cell r="X49">
            <v>959</v>
          </cell>
          <cell r="Y49">
            <v>0</v>
          </cell>
          <cell r="Z49">
            <v>0</v>
          </cell>
          <cell r="AA49">
            <v>0</v>
          </cell>
          <cell r="AB49">
            <v>0</v>
          </cell>
          <cell r="AC49">
            <v>0</v>
          </cell>
          <cell r="AD49">
            <v>280</v>
          </cell>
          <cell r="AE49">
            <v>76</v>
          </cell>
          <cell r="AF49">
            <v>0</v>
          </cell>
          <cell r="AG49">
            <v>0</v>
          </cell>
          <cell r="AH49">
            <v>0</v>
          </cell>
          <cell r="AI49">
            <v>0</v>
          </cell>
          <cell r="AJ49">
            <v>0</v>
          </cell>
          <cell r="AK49">
            <v>225</v>
          </cell>
          <cell r="AL49">
            <v>0</v>
          </cell>
          <cell r="AM49">
            <v>0</v>
          </cell>
          <cell r="AN49">
            <v>0</v>
          </cell>
          <cell r="AO49">
            <v>0</v>
          </cell>
          <cell r="AP49">
            <v>0</v>
          </cell>
          <cell r="AQ49">
            <v>0</v>
          </cell>
          <cell r="AR49">
            <v>0</v>
          </cell>
          <cell r="AS49">
            <v>0</v>
          </cell>
          <cell r="AT49">
            <v>417</v>
          </cell>
          <cell r="AU49">
            <v>0</v>
          </cell>
          <cell r="AV49">
            <v>1175</v>
          </cell>
          <cell r="AW49">
            <v>0</v>
          </cell>
          <cell r="AX49">
            <v>0</v>
          </cell>
          <cell r="AY49">
            <v>0</v>
          </cell>
          <cell r="AZ49">
            <v>0</v>
          </cell>
          <cell r="BA49">
            <v>170</v>
          </cell>
          <cell r="BB49">
            <v>0</v>
          </cell>
          <cell r="BC49">
            <v>0</v>
          </cell>
          <cell r="BD49">
            <v>52</v>
          </cell>
          <cell r="BE49">
            <v>0</v>
          </cell>
          <cell r="BF49">
            <v>50</v>
          </cell>
        </row>
        <row r="50">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row>
        <row r="51">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row>
        <row r="52">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row>
        <row r="53">
          <cell r="D53">
            <v>0</v>
          </cell>
          <cell r="E53">
            <v>0</v>
          </cell>
          <cell r="F53">
            <v>0</v>
          </cell>
          <cell r="G53">
            <v>0</v>
          </cell>
          <cell r="H53">
            <v>0</v>
          </cell>
          <cell r="I53">
            <v>0</v>
          </cell>
          <cell r="J53">
            <v>0</v>
          </cell>
          <cell r="K53">
            <v>0</v>
          </cell>
          <cell r="L53">
            <v>0</v>
          </cell>
          <cell r="M53">
            <v>2132</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row>
        <row r="54">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row>
        <row r="55">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row>
        <row r="56">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row>
        <row r="57">
          <cell r="AL57">
            <v>0</v>
          </cell>
        </row>
        <row r="59">
          <cell r="D59" t="str">
            <v>לא</v>
          </cell>
          <cell r="E59" t="str">
            <v>לא</v>
          </cell>
          <cell r="G59" t="str">
            <v>לא</v>
          </cell>
          <cell r="H59" t="str">
            <v>כן</v>
          </cell>
          <cell r="I59" t="str">
            <v>כן</v>
          </cell>
          <cell r="J59" t="str">
            <v>כן</v>
          </cell>
          <cell r="K59" t="str">
            <v>כן</v>
          </cell>
          <cell r="L59" t="str">
            <v>לא</v>
          </cell>
          <cell r="M59" t="str">
            <v>כן</v>
          </cell>
          <cell r="N59" t="str">
            <v>כן</v>
          </cell>
          <cell r="O59" t="str">
            <v>כן</v>
          </cell>
          <cell r="P59" t="str">
            <v>כן</v>
          </cell>
          <cell r="Q59" t="str">
            <v>לא</v>
          </cell>
          <cell r="R59" t="str">
            <v>כן</v>
          </cell>
          <cell r="S59" t="str">
            <v>כן</v>
          </cell>
          <cell r="T59" t="str">
            <v>כן</v>
          </cell>
          <cell r="U59" t="str">
            <v>כן</v>
          </cell>
          <cell r="V59" t="str">
            <v>כן</v>
          </cell>
          <cell r="W59" t="str">
            <v>לא</v>
          </cell>
          <cell r="X59" t="str">
            <v>כן</v>
          </cell>
          <cell r="Y59" t="str">
            <v>כן</v>
          </cell>
          <cell r="Z59" t="str">
            <v>כן</v>
          </cell>
          <cell r="AA59" t="str">
            <v>לא</v>
          </cell>
          <cell r="AB59" t="str">
            <v>כן</v>
          </cell>
          <cell r="AC59" t="str">
            <v>לא</v>
          </cell>
          <cell r="AD59" t="str">
            <v>כן</v>
          </cell>
          <cell r="AE59" t="str">
            <v>לא</v>
          </cell>
          <cell r="AF59" t="str">
            <v>לא</v>
          </cell>
          <cell r="AG59" t="str">
            <v>לא</v>
          </cell>
          <cell r="AH59" t="str">
            <v>לא</v>
          </cell>
          <cell r="AI59" t="str">
            <v>כן</v>
          </cell>
          <cell r="AJ59" t="str">
            <v>כן</v>
          </cell>
          <cell r="AK59" t="str">
            <v>כן</v>
          </cell>
          <cell r="AL59" t="str">
            <v>כן</v>
          </cell>
          <cell r="AM59" t="str">
            <v>כן</v>
          </cell>
          <cell r="AN59" t="str">
            <v>לא</v>
          </cell>
          <cell r="AO59" t="str">
            <v>לא</v>
          </cell>
          <cell r="AP59" t="str">
            <v>לא</v>
          </cell>
          <cell r="AQ59" t="str">
            <v>לא</v>
          </cell>
          <cell r="AR59" t="str">
            <v>כן</v>
          </cell>
          <cell r="AS59" t="str">
            <v>לא</v>
          </cell>
          <cell r="AT59" t="str">
            <v>כן</v>
          </cell>
          <cell r="AU59" t="str">
            <v>כן</v>
          </cell>
          <cell r="AV59" t="str">
            <v>כן</v>
          </cell>
          <cell r="AW59" t="str">
            <v>לא</v>
          </cell>
          <cell r="AX59" t="str">
            <v>לא</v>
          </cell>
          <cell r="AY59" t="str">
            <v>לא</v>
          </cell>
          <cell r="AZ59" t="str">
            <v>כן</v>
          </cell>
          <cell r="BA59" t="str">
            <v>כן</v>
          </cell>
          <cell r="BB59" t="str">
            <v>לא</v>
          </cell>
          <cell r="BC59" t="str">
            <v>כן</v>
          </cell>
          <cell r="BD59" t="str">
            <v>כן</v>
          </cell>
          <cell r="BE59" t="str">
            <v>כן</v>
          </cell>
          <cell r="BF59" t="str">
            <v>כן</v>
          </cell>
        </row>
      </sheetData>
      <sheetData sheetId="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צרכנים גדולים "/>
      <sheetName val="אגודות מים"/>
      <sheetName val="נתוני צריכה רשויות מקומיות"/>
      <sheetName val="אשכול חברתי מעודכן"/>
      <sheetName val="התפלגות מים 2012"/>
      <sheetName val="נתוני צריכה תאגידים 2012"/>
      <sheetName val="סקר נכסים"/>
      <sheetName val="תוספת לרכוש קבוע 2013"/>
      <sheetName val="תוספות לרכוש קבוע 2012"/>
      <sheetName val="תוספות לרכוש קבוע 2011"/>
      <sheetName val="התפלגות מים 2012 מעודכן"/>
      <sheetName val="נתוני צריכה 12 עדכני"/>
      <sheetName val="נתוני מים 2012"/>
      <sheetName val="צרכנים גדולים כולל תעשייה "/>
      <sheetName val="נכסים לפי סוגים"/>
      <sheetName val="ערכים "/>
      <sheetName val="תכולת תאגידים מרחביים"/>
      <sheetName val=" נורמות תפעול 2015"/>
      <sheetName val="נורמות תפעול 2014"/>
      <sheetName val="מקדמים לגודל תאגיד"/>
      <sheetName val="מספר צרכנים "/>
      <sheetName val="נורמת תפעול 2013"/>
      <sheetName val="הוצאות הנהלה"/>
      <sheetName val="הוצאות גביה"/>
      <sheetName val="תקורת רשת מים וביוב"/>
      <sheetName val="באורים לתקורת רשת מים וביוב"/>
      <sheetName val="מוני מים "/>
      <sheetName val="שינויים"/>
      <sheetName val="גיליון1"/>
    </sheetNames>
    <sheetDataSet>
      <sheetData sheetId="0" refreshError="1"/>
      <sheetData sheetId="1" refreshError="1"/>
      <sheetData sheetId="2" refreshError="1">
        <row r="6">
          <cell r="D6">
            <v>0</v>
          </cell>
          <cell r="E6" t="str">
            <v>מספר</v>
          </cell>
          <cell r="F6" t="str">
            <v>אוכלוסיה</v>
          </cell>
          <cell r="G6" t="str">
            <v>תקבולים</v>
          </cell>
          <cell r="H6" t="str">
            <v>תקבולים</v>
          </cell>
          <cell r="I6" t="str">
            <v>סה"כ</v>
          </cell>
          <cell r="J6" t="str">
            <v>צריכה</v>
          </cell>
          <cell r="K6" t="str">
            <v>צריכה</v>
          </cell>
          <cell r="L6" t="str">
            <v>צריכה</v>
          </cell>
          <cell r="M6" t="str">
            <v>צריכה</v>
          </cell>
          <cell r="N6" t="str">
            <v xml:space="preserve">סה"כ </v>
          </cell>
          <cell r="O6" t="str">
            <v>סה"כ</v>
          </cell>
          <cell r="P6" t="str">
            <v>סה"כ</v>
          </cell>
          <cell r="Q6" t="str">
            <v xml:space="preserve">צר' סגולית </v>
          </cell>
          <cell r="R6" t="str">
            <v>צר' סגולית</v>
          </cell>
          <cell r="S6" t="str">
            <v>מספר צרכנים</v>
          </cell>
        </row>
        <row r="7">
          <cell r="D7" t="str">
            <v>שם הישוב</v>
          </cell>
          <cell r="E7" t="str">
            <v>צרכן</v>
          </cell>
          <cell r="F7">
            <v>2011</v>
          </cell>
          <cell r="G7" t="str">
            <v>הפקה</v>
          </cell>
          <cell r="H7" t="str">
            <v>קניה</v>
          </cell>
          <cell r="I7" t="str">
            <v>תקבולים</v>
          </cell>
          <cell r="J7" t="str">
            <v>במגורים</v>
          </cell>
          <cell r="K7" t="str">
            <v>עירונית</v>
          </cell>
          <cell r="L7" t="str">
            <v>תעשייתית</v>
          </cell>
          <cell r="M7" t="str">
            <v>חקלאית</v>
          </cell>
          <cell r="N7" t="str">
            <v>צריכה</v>
          </cell>
          <cell r="O7" t="str">
            <v>פחת</v>
          </cell>
          <cell r="P7" t="str">
            <v>פחת</v>
          </cell>
          <cell r="Q7" t="str">
            <v>מגורים</v>
          </cell>
          <cell r="R7" t="str">
            <v>עירונית</v>
          </cell>
          <cell r="S7" t="str">
            <v>לתאגיד/רשות</v>
          </cell>
        </row>
        <row r="8">
          <cell r="D8">
            <v>0</v>
          </cell>
          <cell r="E8">
            <v>0</v>
          </cell>
          <cell r="F8" t="str">
            <v>נפש</v>
          </cell>
          <cell r="G8" t="str">
            <v>מ"ק</v>
          </cell>
          <cell r="H8" t="str">
            <v>מ"ק</v>
          </cell>
          <cell r="I8" t="str">
            <v>מ"ק</v>
          </cell>
          <cell r="J8" t="str">
            <v>מ"ק</v>
          </cell>
          <cell r="K8" t="str">
            <v>מ"ק</v>
          </cell>
          <cell r="L8" t="str">
            <v>מ"ק</v>
          </cell>
          <cell r="M8" t="str">
            <v>מ"ק</v>
          </cell>
          <cell r="N8" t="str">
            <v>מ"ק</v>
          </cell>
          <cell r="O8" t="str">
            <v>מ"ק</v>
          </cell>
          <cell r="P8" t="str">
            <v>%</v>
          </cell>
          <cell r="Q8" t="str">
            <v>מ"ק/נ/שנה</v>
          </cell>
          <cell r="R8" t="str">
            <v>מ"ק/נ/שנה</v>
          </cell>
          <cell r="S8">
            <v>2012</v>
          </cell>
        </row>
        <row r="9">
          <cell r="D9" t="str">
            <v xml:space="preserve">אור יהודה </v>
          </cell>
          <cell r="E9">
            <v>7627</v>
          </cell>
          <cell r="F9">
            <v>35019</v>
          </cell>
          <cell r="G9">
            <v>0</v>
          </cell>
          <cell r="H9">
            <v>3167699</v>
          </cell>
          <cell r="I9">
            <v>3167699</v>
          </cell>
          <cell r="J9">
            <v>1767660</v>
          </cell>
          <cell r="K9">
            <v>2662140</v>
          </cell>
          <cell r="L9">
            <v>0</v>
          </cell>
          <cell r="M9">
            <v>159415</v>
          </cell>
          <cell r="N9">
            <v>2821555</v>
          </cell>
          <cell r="O9">
            <v>346144</v>
          </cell>
          <cell r="P9">
            <v>10.927300857815089</v>
          </cell>
          <cell r="Q9">
            <v>50.477169536537311</v>
          </cell>
          <cell r="R9">
            <v>76.019874925040696</v>
          </cell>
        </row>
        <row r="10">
          <cell r="D10" t="str">
            <v xml:space="preserve">אור עקיבא </v>
          </cell>
          <cell r="E10">
            <v>1600</v>
          </cell>
          <cell r="F10">
            <v>15902</v>
          </cell>
          <cell r="G10">
            <v>0</v>
          </cell>
          <cell r="H10">
            <v>1581581</v>
          </cell>
          <cell r="I10">
            <v>1581581</v>
          </cell>
          <cell r="J10">
            <v>851881</v>
          </cell>
          <cell r="K10">
            <v>1351682</v>
          </cell>
          <cell r="L10">
            <v>38990</v>
          </cell>
          <cell r="M10">
            <v>0</v>
          </cell>
          <cell r="N10">
            <v>1390672</v>
          </cell>
          <cell r="O10">
            <v>190909</v>
          </cell>
          <cell r="P10">
            <v>12.070769691846325</v>
          </cell>
          <cell r="Q10">
            <v>53.570682932964409</v>
          </cell>
          <cell r="R10">
            <v>85.000754622060114</v>
          </cell>
        </row>
        <row r="11">
          <cell r="D11" t="str">
            <v xml:space="preserve"> אורנית</v>
          </cell>
          <cell r="E11">
            <v>9573</v>
          </cell>
          <cell r="F11">
            <v>6600</v>
          </cell>
          <cell r="G11">
            <v>0</v>
          </cell>
          <cell r="H11">
            <v>557509</v>
          </cell>
          <cell r="I11">
            <v>557509</v>
          </cell>
          <cell r="J11">
            <v>417872</v>
          </cell>
          <cell r="K11">
            <v>460436</v>
          </cell>
          <cell r="L11">
            <v>0</v>
          </cell>
          <cell r="M11">
            <v>0</v>
          </cell>
          <cell r="N11">
            <v>460436</v>
          </cell>
          <cell r="O11">
            <v>97073</v>
          </cell>
          <cell r="P11">
            <v>17.41191622018658</v>
          </cell>
          <cell r="Q11">
            <v>63.313939393939393</v>
          </cell>
          <cell r="R11">
            <v>69.763030303030305</v>
          </cell>
        </row>
        <row r="12">
          <cell r="D12" t="str">
            <v xml:space="preserve">אליכין </v>
          </cell>
          <cell r="E12">
            <v>5345</v>
          </cell>
          <cell r="F12">
            <v>3109</v>
          </cell>
          <cell r="G12">
            <v>0</v>
          </cell>
          <cell r="H12">
            <v>355296</v>
          </cell>
          <cell r="I12">
            <v>355296</v>
          </cell>
          <cell r="J12">
            <v>221769</v>
          </cell>
          <cell r="K12">
            <v>268619</v>
          </cell>
          <cell r="L12">
            <v>0</v>
          </cell>
          <cell r="M12">
            <v>0</v>
          </cell>
          <cell r="N12">
            <v>268619</v>
          </cell>
          <cell r="O12">
            <v>86677</v>
          </cell>
          <cell r="P12">
            <v>24.395715122039089</v>
          </cell>
          <cell r="Q12">
            <v>71.331296236732072</v>
          </cell>
          <cell r="R12">
            <v>86.40045030556449</v>
          </cell>
        </row>
        <row r="13">
          <cell r="D13" t="str">
            <v xml:space="preserve">אלפי מנשה </v>
          </cell>
          <cell r="E13">
            <v>9587</v>
          </cell>
          <cell r="F13">
            <v>7423</v>
          </cell>
          <cell r="G13">
            <v>0</v>
          </cell>
          <cell r="H13">
            <v>744971</v>
          </cell>
          <cell r="I13">
            <v>744971</v>
          </cell>
          <cell r="J13">
            <v>471987</v>
          </cell>
          <cell r="K13">
            <v>572956</v>
          </cell>
          <cell r="L13">
            <v>0</v>
          </cell>
          <cell r="M13">
            <v>0</v>
          </cell>
          <cell r="N13">
            <v>572956</v>
          </cell>
          <cell r="O13">
            <v>172015</v>
          </cell>
          <cell r="P13">
            <v>23.090160556585424</v>
          </cell>
          <cell r="Q13">
            <v>63.584399838340296</v>
          </cell>
          <cell r="R13">
            <v>77.186582244375586</v>
          </cell>
        </row>
        <row r="14">
          <cell r="D14" t="str">
            <v xml:space="preserve">אלקנה </v>
          </cell>
          <cell r="E14">
            <v>9504</v>
          </cell>
          <cell r="F14">
            <v>3746</v>
          </cell>
          <cell r="G14">
            <v>0</v>
          </cell>
          <cell r="H14">
            <v>355931</v>
          </cell>
          <cell r="I14">
            <v>355931</v>
          </cell>
          <cell r="J14">
            <v>219692</v>
          </cell>
          <cell r="K14">
            <v>327044</v>
          </cell>
          <cell r="L14">
            <v>0</v>
          </cell>
          <cell r="M14">
            <v>0</v>
          </cell>
          <cell r="N14">
            <v>327044</v>
          </cell>
          <cell r="O14">
            <v>28887</v>
          </cell>
          <cell r="P14">
            <v>8.1158988680390305</v>
          </cell>
          <cell r="Q14">
            <v>58.647090229578218</v>
          </cell>
          <cell r="R14">
            <v>87.304858515750126</v>
          </cell>
        </row>
        <row r="15">
          <cell r="D15" t="str">
            <v>אפרת</v>
          </cell>
          <cell r="E15">
            <v>9523</v>
          </cell>
          <cell r="F15">
            <v>7685</v>
          </cell>
          <cell r="G15">
            <v>0</v>
          </cell>
          <cell r="H15">
            <v>596003</v>
          </cell>
          <cell r="I15">
            <v>596003</v>
          </cell>
          <cell r="J15">
            <v>432074</v>
          </cell>
          <cell r="K15">
            <v>557295</v>
          </cell>
          <cell r="L15">
            <v>0</v>
          </cell>
          <cell r="M15">
            <v>1296</v>
          </cell>
          <cell r="N15">
            <v>558591</v>
          </cell>
          <cell r="O15">
            <v>37412</v>
          </cell>
          <cell r="P15">
            <v>6.2771496116630283</v>
          </cell>
          <cell r="Q15">
            <v>56.223031880286271</v>
          </cell>
          <cell r="R15">
            <v>72.517241379310349</v>
          </cell>
        </row>
        <row r="16">
          <cell r="D16" t="str">
            <v xml:space="preserve">באר יעקב </v>
          </cell>
          <cell r="E16">
            <v>3236</v>
          </cell>
          <cell r="F16">
            <v>14510</v>
          </cell>
          <cell r="G16">
            <v>0</v>
          </cell>
          <cell r="H16">
            <v>1252930</v>
          </cell>
          <cell r="I16">
            <v>1252930</v>
          </cell>
          <cell r="J16">
            <v>698762</v>
          </cell>
          <cell r="K16">
            <v>1160082</v>
          </cell>
          <cell r="L16">
            <v>0</v>
          </cell>
          <cell r="M16">
            <v>14747</v>
          </cell>
          <cell r="N16">
            <v>1174829</v>
          </cell>
          <cell r="O16">
            <v>78101</v>
          </cell>
          <cell r="P16">
            <v>6.2334687492517542</v>
          </cell>
          <cell r="Q16">
            <v>48.157270847691244</v>
          </cell>
          <cell r="R16">
            <v>79.950516884906961</v>
          </cell>
        </row>
        <row r="17">
          <cell r="D17" t="str">
            <v>בוקעאתא</v>
          </cell>
          <cell r="E17">
            <v>9294</v>
          </cell>
          <cell r="F17">
            <v>5989</v>
          </cell>
          <cell r="G17">
            <v>0</v>
          </cell>
          <cell r="H17">
            <v>477916</v>
          </cell>
          <cell r="I17">
            <v>477916</v>
          </cell>
          <cell r="J17">
            <v>230369</v>
          </cell>
          <cell r="K17">
            <v>396643</v>
          </cell>
          <cell r="L17">
            <v>0</v>
          </cell>
          <cell r="M17">
            <v>13787</v>
          </cell>
          <cell r="N17">
            <v>410430</v>
          </cell>
          <cell r="O17">
            <v>67486</v>
          </cell>
          <cell r="P17">
            <v>14.120891537424987</v>
          </cell>
          <cell r="Q17">
            <v>38.465353147436964</v>
          </cell>
          <cell r="R17">
            <v>66.228585740524295</v>
          </cell>
        </row>
        <row r="18">
          <cell r="D18" t="str">
            <v xml:space="preserve">בית אל </v>
          </cell>
          <cell r="E18">
            <v>9532</v>
          </cell>
          <cell r="F18">
            <v>5989</v>
          </cell>
          <cell r="G18">
            <v>0</v>
          </cell>
          <cell r="H18">
            <v>364288</v>
          </cell>
          <cell r="I18">
            <v>364288</v>
          </cell>
          <cell r="J18">
            <v>242430</v>
          </cell>
          <cell r="K18">
            <v>343406</v>
          </cell>
          <cell r="L18">
            <v>0</v>
          </cell>
          <cell r="M18">
            <v>0</v>
          </cell>
          <cell r="N18">
            <v>343406</v>
          </cell>
          <cell r="O18">
            <v>20882</v>
          </cell>
          <cell r="P18">
            <v>5.7322777582572026</v>
          </cell>
          <cell r="Q18">
            <v>41.740702479338843</v>
          </cell>
          <cell r="R18">
            <v>59.126377410468322</v>
          </cell>
        </row>
        <row r="19">
          <cell r="D19" t="str">
            <v xml:space="preserve">בית אריה - עופרים </v>
          </cell>
          <cell r="E19">
            <v>9514</v>
          </cell>
          <cell r="F19">
            <v>4057</v>
          </cell>
          <cell r="G19">
            <v>0</v>
          </cell>
          <cell r="H19">
            <v>370543</v>
          </cell>
          <cell r="I19">
            <v>370543</v>
          </cell>
          <cell r="J19">
            <v>259686</v>
          </cell>
          <cell r="K19">
            <v>306732</v>
          </cell>
          <cell r="L19">
            <v>0</v>
          </cell>
          <cell r="M19">
            <v>0</v>
          </cell>
          <cell r="N19">
            <v>306732</v>
          </cell>
          <cell r="O19">
            <v>63811</v>
          </cell>
          <cell r="P19">
            <v>17.220943318319332</v>
          </cell>
          <cell r="Q19">
            <v>64.009366526990391</v>
          </cell>
          <cell r="R19">
            <v>75.605619916194229</v>
          </cell>
        </row>
        <row r="20">
          <cell r="D20" t="str">
            <v xml:space="preserve">בית שאן </v>
          </cell>
          <cell r="E20">
            <v>104</v>
          </cell>
          <cell r="F20">
            <v>16922</v>
          </cell>
          <cell r="G20">
            <v>0</v>
          </cell>
          <cell r="H20">
            <v>1643283</v>
          </cell>
          <cell r="I20">
            <v>1643283</v>
          </cell>
          <cell r="J20">
            <v>926021</v>
          </cell>
          <cell r="K20">
            <v>1363099</v>
          </cell>
          <cell r="L20">
            <v>71236</v>
          </cell>
          <cell r="M20">
            <v>0</v>
          </cell>
          <cell r="N20">
            <v>1434335</v>
          </cell>
          <cell r="O20">
            <v>208948</v>
          </cell>
          <cell r="P20">
            <v>12.715277891878635</v>
          </cell>
          <cell r="Q20">
            <v>54.722905093960527</v>
          </cell>
          <cell r="R20">
            <v>80.551885119962179</v>
          </cell>
        </row>
        <row r="21">
          <cell r="D21" t="str">
            <v xml:space="preserve">ביתר עילית </v>
          </cell>
          <cell r="E21">
            <v>8505</v>
          </cell>
          <cell r="F21">
            <v>39710</v>
          </cell>
          <cell r="G21">
            <v>0</v>
          </cell>
          <cell r="H21">
            <v>2009000</v>
          </cell>
          <cell r="I21">
            <v>2009000</v>
          </cell>
          <cell r="J21">
            <v>1477000</v>
          </cell>
          <cell r="K21">
            <v>1852500</v>
          </cell>
          <cell r="L21">
            <v>0</v>
          </cell>
          <cell r="M21">
            <v>0</v>
          </cell>
          <cell r="N21">
            <v>1852500</v>
          </cell>
          <cell r="O21">
            <v>156500</v>
          </cell>
          <cell r="P21">
            <v>7.7899452463912393</v>
          </cell>
          <cell r="Q21">
            <v>37.194661294384289</v>
          </cell>
          <cell r="R21">
            <v>46.650717703349279</v>
          </cell>
        </row>
        <row r="22">
          <cell r="D22" t="str">
            <v xml:space="preserve">בני עי"ש </v>
          </cell>
          <cell r="E22">
            <v>4263</v>
          </cell>
          <cell r="F22">
            <v>6962</v>
          </cell>
          <cell r="G22">
            <v>0</v>
          </cell>
          <cell r="H22">
            <v>389921</v>
          </cell>
          <cell r="I22">
            <v>389921</v>
          </cell>
          <cell r="J22">
            <v>316249</v>
          </cell>
          <cell r="K22">
            <v>340840</v>
          </cell>
          <cell r="L22">
            <v>0</v>
          </cell>
          <cell r="M22">
            <v>0</v>
          </cell>
          <cell r="N22">
            <v>340840</v>
          </cell>
          <cell r="O22">
            <v>49081</v>
          </cell>
          <cell r="P22">
            <v>12.587421554622601</v>
          </cell>
          <cell r="Q22">
            <v>45.425021545532893</v>
          </cell>
          <cell r="R22">
            <v>48.957196207986208</v>
          </cell>
        </row>
        <row r="23">
          <cell r="D23" t="str">
            <v xml:space="preserve">בנימינה - גבעת עדה </v>
          </cell>
          <cell r="E23">
            <v>1699</v>
          </cell>
          <cell r="F23">
            <v>13567</v>
          </cell>
          <cell r="G23">
            <v>708600</v>
          </cell>
          <cell r="H23">
            <v>1361058</v>
          </cell>
          <cell r="I23">
            <v>2069658</v>
          </cell>
          <cell r="J23">
            <v>793399</v>
          </cell>
          <cell r="K23">
            <v>1165552</v>
          </cell>
          <cell r="L23">
            <v>66206</v>
          </cell>
          <cell r="M23">
            <v>591034</v>
          </cell>
          <cell r="N23">
            <v>1822792</v>
          </cell>
          <cell r="O23">
            <v>246866</v>
          </cell>
          <cell r="P23">
            <v>11.927864410448489</v>
          </cell>
          <cell r="Q23">
            <v>58.480061914940663</v>
          </cell>
          <cell r="R23">
            <v>85.910813002137544</v>
          </cell>
        </row>
        <row r="24">
          <cell r="D24" t="str">
            <v xml:space="preserve">גבעת זאב </v>
          </cell>
          <cell r="E24">
            <v>9582</v>
          </cell>
          <cell r="F24">
            <v>12632</v>
          </cell>
          <cell r="G24">
            <v>0</v>
          </cell>
          <cell r="H24">
            <v>1144407</v>
          </cell>
          <cell r="I24">
            <v>1144407</v>
          </cell>
          <cell r="J24">
            <v>662028</v>
          </cell>
          <cell r="K24">
            <v>776284</v>
          </cell>
          <cell r="L24">
            <v>0</v>
          </cell>
          <cell r="M24">
            <v>0</v>
          </cell>
          <cell r="N24">
            <v>776284</v>
          </cell>
          <cell r="O24">
            <v>368123</v>
          </cell>
          <cell r="P24">
            <v>32.167139837487888</v>
          </cell>
          <cell r="Q24">
            <v>52.408803039898672</v>
          </cell>
          <cell r="R24">
            <v>61.453768207726412</v>
          </cell>
        </row>
        <row r="25">
          <cell r="D25" t="str">
            <v xml:space="preserve">גבעת שמואל </v>
          </cell>
          <cell r="E25">
            <v>3504</v>
          </cell>
          <cell r="F25">
            <v>23050</v>
          </cell>
          <cell r="G25">
            <v>0</v>
          </cell>
          <cell r="H25">
            <v>1555621</v>
          </cell>
          <cell r="I25">
            <v>1555621</v>
          </cell>
          <cell r="J25">
            <v>1246805</v>
          </cell>
          <cell r="K25">
            <v>1488182</v>
          </cell>
          <cell r="L25">
            <v>0</v>
          </cell>
          <cell r="M25">
            <v>0</v>
          </cell>
          <cell r="N25">
            <v>1488182</v>
          </cell>
          <cell r="O25">
            <v>67439</v>
          </cell>
          <cell r="P25">
            <v>4.3351818984187025</v>
          </cell>
          <cell r="Q25">
            <v>54.091323210412149</v>
          </cell>
          <cell r="R25">
            <v>64.563210412147512</v>
          </cell>
        </row>
        <row r="26">
          <cell r="D26" t="str">
            <v xml:space="preserve">גדרה </v>
          </cell>
          <cell r="E26">
            <v>3561</v>
          </cell>
          <cell r="F26">
            <v>24392</v>
          </cell>
          <cell r="G26">
            <v>0</v>
          </cell>
          <cell r="H26">
            <v>1589055</v>
          </cell>
          <cell r="I26">
            <v>1589055</v>
          </cell>
          <cell r="J26">
            <v>1125009</v>
          </cell>
          <cell r="K26">
            <v>1483320</v>
          </cell>
          <cell r="L26">
            <v>0</v>
          </cell>
          <cell r="M26">
            <v>0</v>
          </cell>
          <cell r="N26">
            <v>1483320</v>
          </cell>
          <cell r="O26">
            <v>105735</v>
          </cell>
          <cell r="P26">
            <v>6.6539547089307804</v>
          </cell>
          <cell r="Q26">
            <v>46.122048212528696</v>
          </cell>
          <cell r="R26">
            <v>60.811741554608069</v>
          </cell>
        </row>
        <row r="27">
          <cell r="D27" t="str">
            <v>גיסר אל זרקא</v>
          </cell>
          <cell r="E27">
            <v>1815</v>
          </cell>
          <cell r="F27">
            <v>12946</v>
          </cell>
          <cell r="G27">
            <v>0</v>
          </cell>
          <cell r="H27">
            <v>864100</v>
          </cell>
          <cell r="I27">
            <v>864100</v>
          </cell>
          <cell r="J27">
            <v>700000</v>
          </cell>
          <cell r="K27">
            <v>782054</v>
          </cell>
          <cell r="L27">
            <v>0</v>
          </cell>
          <cell r="M27">
            <v>0</v>
          </cell>
          <cell r="N27">
            <v>782054</v>
          </cell>
          <cell r="O27">
            <v>82046</v>
          </cell>
          <cell r="P27">
            <v>9.4949658604328206</v>
          </cell>
          <cell r="Q27">
            <v>54.070755445697515</v>
          </cell>
          <cell r="R27">
            <v>60.408929399042172</v>
          </cell>
        </row>
        <row r="28">
          <cell r="D28" t="str">
            <v>מי תקווה</v>
          </cell>
          <cell r="E28">
            <v>3910</v>
          </cell>
          <cell r="F28">
            <v>13910</v>
          </cell>
          <cell r="G28">
            <v>0</v>
          </cell>
          <cell r="H28">
            <v>1075876</v>
          </cell>
          <cell r="I28">
            <v>1075876</v>
          </cell>
          <cell r="J28">
            <v>851293</v>
          </cell>
          <cell r="K28">
            <v>1034325</v>
          </cell>
          <cell r="L28">
            <v>0</v>
          </cell>
          <cell r="M28">
            <v>0</v>
          </cell>
          <cell r="N28">
            <v>1034325</v>
          </cell>
          <cell r="O28">
            <v>41551</v>
          </cell>
          <cell r="P28">
            <v>3.8620621707334304</v>
          </cell>
          <cell r="Q28">
            <v>61.200071890726093</v>
          </cell>
          <cell r="R28">
            <v>74.358375269590226</v>
          </cell>
          <cell r="S28">
            <v>4846</v>
          </cell>
        </row>
        <row r="29">
          <cell r="D29" t="str">
            <v>דלית אל כרמל</v>
          </cell>
          <cell r="E29">
            <v>1880</v>
          </cell>
          <cell r="F29">
            <v>15847</v>
          </cell>
          <cell r="G29">
            <v>0</v>
          </cell>
          <cell r="H29">
            <v>2019039</v>
          </cell>
          <cell r="I29">
            <v>2019039</v>
          </cell>
          <cell r="J29">
            <v>1457138</v>
          </cell>
          <cell r="K29">
            <v>1731571</v>
          </cell>
          <cell r="L29">
            <v>18033</v>
          </cell>
          <cell r="M29">
            <v>14159</v>
          </cell>
          <cell r="N29">
            <v>1763763</v>
          </cell>
          <cell r="O29">
            <v>255276</v>
          </cell>
          <cell r="P29">
            <v>12.643440765631569</v>
          </cell>
          <cell r="Q29">
            <v>91.950400706758373</v>
          </cell>
          <cell r="R29">
            <v>109.26806335584023</v>
          </cell>
        </row>
        <row r="30">
          <cell r="D30" t="str">
            <v>הר אדר</v>
          </cell>
          <cell r="E30">
            <v>9575</v>
          </cell>
          <cell r="F30">
            <v>3622</v>
          </cell>
          <cell r="G30">
            <v>0</v>
          </cell>
          <cell r="H30">
            <v>333075</v>
          </cell>
          <cell r="I30">
            <v>333075</v>
          </cell>
          <cell r="J30">
            <v>281515</v>
          </cell>
          <cell r="K30">
            <v>312598</v>
          </cell>
          <cell r="L30">
            <v>0</v>
          </cell>
          <cell r="M30">
            <v>0</v>
          </cell>
          <cell r="N30">
            <v>312598</v>
          </cell>
          <cell r="O30">
            <v>20477</v>
          </cell>
          <cell r="P30">
            <v>6.147864595061173</v>
          </cell>
          <cell r="Q30">
            <v>77.723633351739366</v>
          </cell>
          <cell r="R30">
            <v>86.305356156819443</v>
          </cell>
        </row>
        <row r="31">
          <cell r="D31" t="str">
            <v>זכרון יעקב</v>
          </cell>
          <cell r="E31">
            <v>1980</v>
          </cell>
          <cell r="F31">
            <v>20242</v>
          </cell>
          <cell r="G31">
            <v>0</v>
          </cell>
          <cell r="H31">
            <v>2021585</v>
          </cell>
          <cell r="I31">
            <v>2021585</v>
          </cell>
          <cell r="J31">
            <v>1305997</v>
          </cell>
          <cell r="K31">
            <v>1766326</v>
          </cell>
          <cell r="L31">
            <v>62911</v>
          </cell>
          <cell r="M31">
            <v>7976</v>
          </cell>
          <cell r="N31">
            <v>1837213</v>
          </cell>
          <cell r="O31">
            <v>184372</v>
          </cell>
          <cell r="P31">
            <v>9.1201705592394084</v>
          </cell>
          <cell r="Q31">
            <v>64.519168066396603</v>
          </cell>
          <cell r="R31">
            <v>87.260448572275465</v>
          </cell>
        </row>
        <row r="32">
          <cell r="D32" t="str">
            <v xml:space="preserve">זמר </v>
          </cell>
          <cell r="E32">
            <v>5402</v>
          </cell>
          <cell r="F32">
            <v>5883</v>
          </cell>
          <cell r="G32">
            <v>0</v>
          </cell>
          <cell r="H32">
            <v>260723</v>
          </cell>
          <cell r="I32">
            <v>260723</v>
          </cell>
          <cell r="J32">
            <v>202420</v>
          </cell>
          <cell r="K32">
            <v>247831</v>
          </cell>
          <cell r="L32">
            <v>0</v>
          </cell>
          <cell r="M32">
            <v>1013</v>
          </cell>
          <cell r="N32">
            <v>248844</v>
          </cell>
          <cell r="O32">
            <v>11879</v>
          </cell>
          <cell r="P32">
            <v>4.5561764784848284</v>
          </cell>
          <cell r="Q32">
            <v>34.407615162332142</v>
          </cell>
          <cell r="R32">
            <v>42.126636070032298</v>
          </cell>
        </row>
        <row r="33">
          <cell r="D33" t="str">
            <v>טייבה</v>
          </cell>
          <cell r="E33">
            <v>4425</v>
          </cell>
          <cell r="F33">
            <v>38188</v>
          </cell>
          <cell r="G33">
            <v>3380600</v>
          </cell>
          <cell r="H33">
            <v>0</v>
          </cell>
          <cell r="I33">
            <v>3380600</v>
          </cell>
          <cell r="J33">
            <v>1610051</v>
          </cell>
          <cell r="K33">
            <v>2077709</v>
          </cell>
          <cell r="L33">
            <v>0</v>
          </cell>
          <cell r="M33">
            <v>0</v>
          </cell>
          <cell r="N33">
            <v>2077709</v>
          </cell>
          <cell r="O33">
            <v>1302891</v>
          </cell>
          <cell r="P33">
            <v>38.540229545051176</v>
          </cell>
          <cell r="Q33">
            <v>42.161176285744212</v>
          </cell>
          <cell r="R33">
            <v>54.407379281449671</v>
          </cell>
        </row>
        <row r="34">
          <cell r="D34" t="str">
            <v xml:space="preserve">טירת הכרמל </v>
          </cell>
          <cell r="E34">
            <v>2540</v>
          </cell>
          <cell r="F34">
            <v>18323</v>
          </cell>
          <cell r="G34">
            <v>0</v>
          </cell>
          <cell r="H34">
            <v>1668938</v>
          </cell>
          <cell r="I34">
            <v>1668938</v>
          </cell>
          <cell r="J34">
            <v>901907</v>
          </cell>
          <cell r="K34">
            <v>1373156</v>
          </cell>
          <cell r="L34">
            <v>89736</v>
          </cell>
          <cell r="M34">
            <v>0</v>
          </cell>
          <cell r="N34">
            <v>1462892</v>
          </cell>
          <cell r="O34">
            <v>206046</v>
          </cell>
          <cell r="P34">
            <v>12.345934959836736</v>
          </cell>
          <cell r="Q34">
            <v>49.222670959995632</v>
          </cell>
          <cell r="R34">
            <v>74.941658025432517</v>
          </cell>
        </row>
        <row r="35">
          <cell r="D35" t="str">
            <v xml:space="preserve">יהוד </v>
          </cell>
          <cell r="E35">
            <v>4485</v>
          </cell>
          <cell r="F35">
            <v>27604</v>
          </cell>
          <cell r="G35">
            <v>0</v>
          </cell>
          <cell r="H35">
            <v>2457460</v>
          </cell>
          <cell r="I35">
            <v>2457460</v>
          </cell>
          <cell r="J35">
            <v>1610409</v>
          </cell>
          <cell r="K35">
            <v>2027651</v>
          </cell>
          <cell r="L35">
            <v>62826</v>
          </cell>
          <cell r="M35">
            <v>40255</v>
          </cell>
          <cell r="N35">
            <v>2130732</v>
          </cell>
          <cell r="O35">
            <v>326728</v>
          </cell>
          <cell r="P35">
            <v>13.295353739226682</v>
          </cell>
          <cell r="Q35">
            <v>58.339697145341255</v>
          </cell>
          <cell r="R35">
            <v>73.454970294160262</v>
          </cell>
        </row>
        <row r="36">
          <cell r="D36" t="str">
            <v xml:space="preserve">כפר סבא </v>
          </cell>
          <cell r="E36">
            <v>4667</v>
          </cell>
          <cell r="F36">
            <v>87335</v>
          </cell>
          <cell r="G36">
            <v>7447999</v>
          </cell>
          <cell r="H36">
            <v>410171</v>
          </cell>
          <cell r="I36">
            <v>7858170</v>
          </cell>
          <cell r="J36">
            <v>4791591</v>
          </cell>
          <cell r="K36">
            <v>6757457</v>
          </cell>
          <cell r="L36">
            <v>228915</v>
          </cell>
          <cell r="M36">
            <v>616993</v>
          </cell>
          <cell r="N36">
            <v>7603365</v>
          </cell>
          <cell r="O36">
            <v>254805</v>
          </cell>
          <cell r="P36">
            <v>3.2425488377064888</v>
          </cell>
          <cell r="Q36">
            <v>54.864498769107463</v>
          </cell>
          <cell r="R36">
            <v>77.373985229289516</v>
          </cell>
        </row>
        <row r="37">
          <cell r="D37" t="str">
            <v xml:space="preserve">כפר שמריהו </v>
          </cell>
          <cell r="E37">
            <v>7886</v>
          </cell>
          <cell r="F37">
            <v>1759</v>
          </cell>
          <cell r="G37">
            <v>637385</v>
          </cell>
          <cell r="H37">
            <v>0</v>
          </cell>
          <cell r="I37">
            <v>637385</v>
          </cell>
          <cell r="J37">
            <v>490199</v>
          </cell>
          <cell r="K37">
            <v>566464</v>
          </cell>
          <cell r="L37">
            <v>0</v>
          </cell>
          <cell r="M37">
            <v>52798</v>
          </cell>
          <cell r="N37">
            <v>619262</v>
          </cell>
          <cell r="O37">
            <v>18123</v>
          </cell>
          <cell r="P37">
            <v>2.8433364450057659</v>
          </cell>
          <cell r="Q37">
            <v>278.68050028425239</v>
          </cell>
          <cell r="R37">
            <v>322.03752131893123</v>
          </cell>
        </row>
        <row r="38">
          <cell r="D38" t="str">
            <v xml:space="preserve">כפר תבור </v>
          </cell>
          <cell r="E38">
            <v>615</v>
          </cell>
          <cell r="F38">
            <v>3006</v>
          </cell>
          <cell r="G38">
            <v>0</v>
          </cell>
          <cell r="H38">
            <v>376160</v>
          </cell>
          <cell r="I38">
            <v>376160</v>
          </cell>
          <cell r="J38">
            <v>221383</v>
          </cell>
          <cell r="K38">
            <v>282448</v>
          </cell>
          <cell r="L38">
            <v>41463</v>
          </cell>
          <cell r="M38">
            <v>26859</v>
          </cell>
          <cell r="N38">
            <v>350770</v>
          </cell>
          <cell r="O38">
            <v>25390</v>
          </cell>
          <cell r="P38">
            <v>6.7497873245427487</v>
          </cell>
          <cell r="Q38">
            <v>73.647039254823682</v>
          </cell>
          <cell r="R38">
            <v>93.961410512308717</v>
          </cell>
        </row>
        <row r="39">
          <cell r="D39" t="str">
            <v xml:space="preserve">להבים </v>
          </cell>
          <cell r="E39">
            <v>6885</v>
          </cell>
          <cell r="F39">
            <v>6063</v>
          </cell>
          <cell r="G39">
            <v>0</v>
          </cell>
          <cell r="H39">
            <v>604282</v>
          </cell>
          <cell r="I39">
            <v>604282</v>
          </cell>
          <cell r="J39">
            <v>479698</v>
          </cell>
          <cell r="K39">
            <v>539388</v>
          </cell>
          <cell r="L39">
            <v>0</v>
          </cell>
          <cell r="M39">
            <v>0</v>
          </cell>
          <cell r="N39">
            <v>539388</v>
          </cell>
          <cell r="O39">
            <v>64894</v>
          </cell>
          <cell r="P39">
            <v>10.739025819071228</v>
          </cell>
          <cell r="Q39">
            <v>79.118918027379181</v>
          </cell>
          <cell r="R39">
            <v>88.963879267689265</v>
          </cell>
        </row>
        <row r="40">
          <cell r="D40" t="str">
            <v xml:space="preserve">מגדל שמס </v>
          </cell>
          <cell r="E40">
            <v>9293</v>
          </cell>
          <cell r="F40">
            <v>9927</v>
          </cell>
          <cell r="G40">
            <v>0</v>
          </cell>
          <cell r="H40">
            <v>868590</v>
          </cell>
          <cell r="I40">
            <v>868590</v>
          </cell>
          <cell r="J40">
            <v>406791</v>
          </cell>
          <cell r="K40">
            <v>524509</v>
          </cell>
          <cell r="L40">
            <v>0</v>
          </cell>
          <cell r="M40">
            <v>0</v>
          </cell>
          <cell r="N40">
            <v>524509</v>
          </cell>
          <cell r="O40">
            <v>344081</v>
          </cell>
          <cell r="P40">
            <v>39.613741811441535</v>
          </cell>
          <cell r="Q40">
            <v>40.978241160471441</v>
          </cell>
          <cell r="R40">
            <v>52.836607232799437</v>
          </cell>
        </row>
        <row r="41">
          <cell r="D41" t="str">
            <v>מודיעין עלית</v>
          </cell>
          <cell r="E41">
            <v>9427</v>
          </cell>
          <cell r="F41">
            <v>52060</v>
          </cell>
          <cell r="G41">
            <v>0</v>
          </cell>
          <cell r="H41">
            <v>2656516</v>
          </cell>
          <cell r="I41">
            <v>2656516</v>
          </cell>
          <cell r="J41">
            <v>1902183</v>
          </cell>
          <cell r="K41">
            <v>2371266</v>
          </cell>
          <cell r="L41">
            <v>19609</v>
          </cell>
          <cell r="M41">
            <v>0</v>
          </cell>
          <cell r="N41">
            <v>2390875</v>
          </cell>
          <cell r="O41">
            <v>265641</v>
          </cell>
          <cell r="P41">
            <v>9.9996009811346891</v>
          </cell>
          <cell r="Q41">
            <v>36.538282750672302</v>
          </cell>
          <cell r="R41">
            <v>45.548713023434502</v>
          </cell>
        </row>
        <row r="42">
          <cell r="D42" t="str">
            <v xml:space="preserve">מזכרת בתיה </v>
          </cell>
          <cell r="E42">
            <v>4948</v>
          </cell>
          <cell r="F42">
            <v>10088</v>
          </cell>
          <cell r="G42">
            <v>0</v>
          </cell>
          <cell r="H42">
            <v>943090</v>
          </cell>
          <cell r="I42">
            <v>943090</v>
          </cell>
          <cell r="J42">
            <v>638800</v>
          </cell>
          <cell r="K42">
            <v>819916</v>
          </cell>
          <cell r="L42">
            <v>0</v>
          </cell>
          <cell r="M42">
            <v>584</v>
          </cell>
          <cell r="N42">
            <v>820500</v>
          </cell>
          <cell r="O42">
            <v>122590</v>
          </cell>
          <cell r="P42">
            <v>12.998759397300363</v>
          </cell>
          <cell r="Q42">
            <v>63.322759714512294</v>
          </cell>
          <cell r="R42">
            <v>81.276367961934966</v>
          </cell>
        </row>
        <row r="43">
          <cell r="D43" t="str">
            <v xml:space="preserve">מיתר </v>
          </cell>
          <cell r="E43">
            <v>6876</v>
          </cell>
          <cell r="F43">
            <v>6603</v>
          </cell>
          <cell r="G43">
            <v>0</v>
          </cell>
          <cell r="H43">
            <v>841309</v>
          </cell>
          <cell r="I43">
            <v>841309</v>
          </cell>
          <cell r="J43">
            <v>553319</v>
          </cell>
          <cell r="K43">
            <v>775053</v>
          </cell>
          <cell r="L43">
            <v>0</v>
          </cell>
          <cell r="M43">
            <v>0</v>
          </cell>
          <cell r="N43">
            <v>775053</v>
          </cell>
          <cell r="O43">
            <v>66256</v>
          </cell>
          <cell r="P43">
            <v>7.875346632450146</v>
          </cell>
          <cell r="Q43">
            <v>83.798122065727696</v>
          </cell>
          <cell r="R43">
            <v>117.3789186733303</v>
          </cell>
        </row>
        <row r="44">
          <cell r="D44" t="str">
            <v>מסעדה</v>
          </cell>
          <cell r="E44">
            <v>9297</v>
          </cell>
          <cell r="F44">
            <v>3253</v>
          </cell>
          <cell r="G44">
            <v>0</v>
          </cell>
          <cell r="H44">
            <v>242314</v>
          </cell>
          <cell r="I44">
            <v>242314</v>
          </cell>
          <cell r="J44">
            <v>141126</v>
          </cell>
          <cell r="K44">
            <v>223180</v>
          </cell>
          <cell r="L44">
            <v>0</v>
          </cell>
          <cell r="M44">
            <v>0</v>
          </cell>
          <cell r="N44">
            <v>223180</v>
          </cell>
          <cell r="O44">
            <v>19134</v>
          </cell>
          <cell r="P44">
            <v>7.8963658723804651</v>
          </cell>
          <cell r="Q44">
            <v>43.383338456809099</v>
          </cell>
          <cell r="R44">
            <v>68.607439286812166</v>
          </cell>
          <cell r="S44">
            <v>0</v>
          </cell>
        </row>
        <row r="45">
          <cell r="D45" t="str">
            <v>מעלה אדומים</v>
          </cell>
          <cell r="E45">
            <v>9548</v>
          </cell>
          <cell r="F45">
            <v>36089</v>
          </cell>
          <cell r="G45">
            <v>0</v>
          </cell>
          <cell r="H45">
            <v>3257067</v>
          </cell>
          <cell r="I45">
            <v>3257067</v>
          </cell>
          <cell r="J45">
            <v>1790515</v>
          </cell>
          <cell r="K45">
            <v>2647842</v>
          </cell>
          <cell r="L45">
            <v>310434</v>
          </cell>
          <cell r="M45">
            <v>1400</v>
          </cell>
          <cell r="N45">
            <v>2959676</v>
          </cell>
          <cell r="O45">
            <v>297391</v>
          </cell>
          <cell r="P45">
            <v>9.1306380863519241</v>
          </cell>
          <cell r="Q45">
            <v>49.613871262711626</v>
          </cell>
          <cell r="R45">
            <v>73.36978026545485</v>
          </cell>
        </row>
        <row r="46">
          <cell r="D46" t="str">
            <v xml:space="preserve">מעלה אפרים </v>
          </cell>
          <cell r="E46">
            <v>9147</v>
          </cell>
          <cell r="F46">
            <v>1197</v>
          </cell>
          <cell r="G46">
            <v>0</v>
          </cell>
          <cell r="H46">
            <v>158556</v>
          </cell>
          <cell r="I46">
            <v>158556</v>
          </cell>
          <cell r="J46">
            <v>68958</v>
          </cell>
          <cell r="K46">
            <v>127516</v>
          </cell>
          <cell r="L46">
            <v>7853</v>
          </cell>
          <cell r="M46">
            <v>0</v>
          </cell>
          <cell r="N46">
            <v>135369</v>
          </cell>
          <cell r="O46">
            <v>23187</v>
          </cell>
          <cell r="P46">
            <v>14.623855294028608</v>
          </cell>
          <cell r="Q46">
            <v>57.609022556390975</v>
          </cell>
          <cell r="R46">
            <v>106.52965747702589</v>
          </cell>
        </row>
        <row r="47">
          <cell r="D47" t="str">
            <v xml:space="preserve">נהריה </v>
          </cell>
          <cell r="E47">
            <v>878</v>
          </cell>
          <cell r="F47">
            <v>52613</v>
          </cell>
          <cell r="G47">
            <v>1684940</v>
          </cell>
          <cell r="H47">
            <v>3322836</v>
          </cell>
          <cell r="I47">
            <v>5007776</v>
          </cell>
          <cell r="J47">
            <v>3057969</v>
          </cell>
          <cell r="K47">
            <v>4237251</v>
          </cell>
          <cell r="L47">
            <v>357129</v>
          </cell>
          <cell r="M47">
            <v>174582</v>
          </cell>
          <cell r="N47">
            <v>4768962</v>
          </cell>
          <cell r="O47">
            <v>238814</v>
          </cell>
          <cell r="P47">
            <v>4.7688634635415008</v>
          </cell>
          <cell r="Q47">
            <v>58.121928040598334</v>
          </cell>
          <cell r="R47">
            <v>80.536198277992128</v>
          </cell>
        </row>
        <row r="48">
          <cell r="D48" t="str">
            <v xml:space="preserve">נשר </v>
          </cell>
          <cell r="E48">
            <v>2779</v>
          </cell>
          <cell r="F48">
            <v>24019</v>
          </cell>
          <cell r="G48">
            <v>0</v>
          </cell>
          <cell r="H48">
            <v>1699667</v>
          </cell>
          <cell r="I48">
            <v>1699667</v>
          </cell>
          <cell r="J48">
            <v>1063351</v>
          </cell>
          <cell r="K48">
            <v>1465931</v>
          </cell>
          <cell r="L48">
            <v>92769</v>
          </cell>
          <cell r="M48">
            <v>600</v>
          </cell>
          <cell r="N48">
            <v>1559300</v>
          </cell>
          <cell r="O48">
            <v>140367</v>
          </cell>
          <cell r="P48">
            <v>8.2585000473622188</v>
          </cell>
          <cell r="Q48">
            <v>44.271243598817605</v>
          </cell>
          <cell r="R48">
            <v>61.032141221532953</v>
          </cell>
        </row>
        <row r="49">
          <cell r="D49" t="str">
            <v xml:space="preserve">סביון </v>
          </cell>
          <cell r="E49">
            <v>5049</v>
          </cell>
          <cell r="F49">
            <v>3124</v>
          </cell>
          <cell r="G49">
            <v>0</v>
          </cell>
          <cell r="H49">
            <v>1069303</v>
          </cell>
          <cell r="I49">
            <v>1069303</v>
          </cell>
          <cell r="J49">
            <v>909376</v>
          </cell>
          <cell r="K49">
            <v>1063604</v>
          </cell>
          <cell r="L49">
            <v>0</v>
          </cell>
          <cell r="M49">
            <v>0</v>
          </cell>
          <cell r="N49">
            <v>1063604</v>
          </cell>
          <cell r="O49">
            <v>5699</v>
          </cell>
          <cell r="P49">
            <v>0.53296399617320822</v>
          </cell>
          <cell r="Q49">
            <v>291.09346991037131</v>
          </cell>
          <cell r="R49">
            <v>340.46222791293212</v>
          </cell>
        </row>
        <row r="50">
          <cell r="D50" t="str">
            <v>עג'ר</v>
          </cell>
          <cell r="E50">
            <v>9275</v>
          </cell>
          <cell r="F50">
            <v>2256</v>
          </cell>
          <cell r="G50">
            <v>161240</v>
          </cell>
          <cell r="H50">
            <v>8904</v>
          </cell>
          <cell r="I50">
            <v>170144</v>
          </cell>
          <cell r="J50">
            <v>147235</v>
          </cell>
          <cell r="K50">
            <v>169504</v>
          </cell>
          <cell r="L50">
            <v>0</v>
          </cell>
          <cell r="M50">
            <v>0</v>
          </cell>
          <cell r="N50">
            <v>169504</v>
          </cell>
          <cell r="O50">
            <v>640</v>
          </cell>
          <cell r="P50">
            <v>0.37615196539401918</v>
          </cell>
          <cell r="Q50">
            <v>65.263741134751768</v>
          </cell>
          <cell r="R50">
            <v>75.134751773049643</v>
          </cell>
        </row>
        <row r="51">
          <cell r="D51" t="str">
            <v xml:space="preserve">עומר </v>
          </cell>
          <cell r="E51">
            <v>7298</v>
          </cell>
          <cell r="F51">
            <v>7081</v>
          </cell>
          <cell r="G51">
            <v>0</v>
          </cell>
          <cell r="H51">
            <v>1052290</v>
          </cell>
          <cell r="I51">
            <v>1052290</v>
          </cell>
          <cell r="J51">
            <v>718515</v>
          </cell>
          <cell r="K51">
            <v>899810</v>
          </cell>
          <cell r="L51">
            <v>7229</v>
          </cell>
          <cell r="M51">
            <v>59548</v>
          </cell>
          <cell r="N51">
            <v>966587</v>
          </cell>
          <cell r="O51">
            <v>85703</v>
          </cell>
          <cell r="P51">
            <v>8.1444278668427899</v>
          </cell>
          <cell r="Q51">
            <v>101.47083745233724</v>
          </cell>
          <cell r="R51">
            <v>127.07385962434684</v>
          </cell>
        </row>
        <row r="52">
          <cell r="D52" t="str">
            <v>עוספיה</v>
          </cell>
          <cell r="E52">
            <v>2827</v>
          </cell>
          <cell r="F52">
            <v>11131</v>
          </cell>
          <cell r="G52">
            <v>0</v>
          </cell>
          <cell r="H52">
            <v>1113147</v>
          </cell>
          <cell r="I52">
            <v>1113147</v>
          </cell>
          <cell r="J52">
            <v>623191</v>
          </cell>
          <cell r="K52">
            <v>765551</v>
          </cell>
          <cell r="L52">
            <v>0</v>
          </cell>
          <cell r="M52">
            <v>3783</v>
          </cell>
          <cell r="N52">
            <v>769334</v>
          </cell>
          <cell r="O52">
            <v>343813</v>
          </cell>
          <cell r="P52">
            <v>30.886576525831718</v>
          </cell>
          <cell r="Q52">
            <v>55.986973317761205</v>
          </cell>
          <cell r="R52">
            <v>68.776480100619892</v>
          </cell>
        </row>
        <row r="53">
          <cell r="D53" t="str">
            <v xml:space="preserve">עין קניה </v>
          </cell>
          <cell r="E53">
            <v>9284</v>
          </cell>
          <cell r="F53">
            <v>1806</v>
          </cell>
          <cell r="G53">
            <v>0</v>
          </cell>
          <cell r="H53">
            <v>131884</v>
          </cell>
          <cell r="I53">
            <v>131884</v>
          </cell>
          <cell r="J53">
            <v>106486</v>
          </cell>
          <cell r="K53">
            <v>108485</v>
          </cell>
          <cell r="L53">
            <v>0</v>
          </cell>
          <cell r="M53">
            <v>0</v>
          </cell>
          <cell r="N53">
            <v>108485</v>
          </cell>
          <cell r="O53">
            <v>23399</v>
          </cell>
          <cell r="P53">
            <v>17.742106699827119</v>
          </cell>
          <cell r="Q53">
            <v>58.962347729789592</v>
          </cell>
          <cell r="R53">
            <v>60.069213732004428</v>
          </cell>
        </row>
        <row r="54">
          <cell r="D54" t="str">
            <v xml:space="preserve">עמנואל  </v>
          </cell>
          <cell r="E54">
            <v>9539</v>
          </cell>
          <cell r="F54">
            <v>2952</v>
          </cell>
          <cell r="G54">
            <v>0</v>
          </cell>
          <cell r="H54">
            <v>331713</v>
          </cell>
          <cell r="I54">
            <v>331713</v>
          </cell>
          <cell r="J54">
            <v>139244</v>
          </cell>
          <cell r="K54">
            <v>301534</v>
          </cell>
          <cell r="L54">
            <v>0</v>
          </cell>
          <cell r="M54">
            <v>0</v>
          </cell>
          <cell r="N54">
            <v>301534</v>
          </cell>
          <cell r="O54">
            <v>30179</v>
          </cell>
          <cell r="P54">
            <v>9.0979250134905776</v>
          </cell>
          <cell r="Q54">
            <v>47.169376693766935</v>
          </cell>
          <cell r="R54">
            <v>102.14566395663957</v>
          </cell>
        </row>
        <row r="55">
          <cell r="D55" t="str">
            <v>עפולה</v>
          </cell>
          <cell r="E55">
            <v>1220</v>
          </cell>
          <cell r="F55">
            <v>41293</v>
          </cell>
          <cell r="G55">
            <v>0</v>
          </cell>
          <cell r="H55">
            <v>3606290</v>
          </cell>
          <cell r="I55">
            <v>3606290</v>
          </cell>
          <cell r="J55">
            <v>1999303</v>
          </cell>
          <cell r="K55">
            <v>2881147</v>
          </cell>
          <cell r="L55">
            <v>180450</v>
          </cell>
          <cell r="M55">
            <v>17541</v>
          </cell>
          <cell r="N55">
            <v>3079138</v>
          </cell>
          <cell r="O55">
            <v>527152</v>
          </cell>
          <cell r="P55">
            <v>14.61757096628391</v>
          </cell>
          <cell r="Q55">
            <v>48.417479960283828</v>
          </cell>
          <cell r="R55">
            <v>69.773254546775476</v>
          </cell>
        </row>
        <row r="56">
          <cell r="D56" t="str">
            <v xml:space="preserve">פרדיס </v>
          </cell>
          <cell r="E56">
            <v>2895</v>
          </cell>
          <cell r="F56">
            <v>11471</v>
          </cell>
          <cell r="G56">
            <v>0</v>
          </cell>
          <cell r="H56">
            <v>638590</v>
          </cell>
          <cell r="I56">
            <v>638590</v>
          </cell>
          <cell r="J56">
            <v>533066</v>
          </cell>
          <cell r="K56">
            <v>581312</v>
          </cell>
          <cell r="L56">
            <v>0</v>
          </cell>
          <cell r="M56">
            <v>86</v>
          </cell>
          <cell r="N56">
            <v>581398</v>
          </cell>
          <cell r="O56">
            <v>57192</v>
          </cell>
          <cell r="P56">
            <v>8.9559811459621983</v>
          </cell>
          <cell r="Q56">
            <v>46.470752331967567</v>
          </cell>
          <cell r="R56">
            <v>50.676662889024499</v>
          </cell>
        </row>
        <row r="57">
          <cell r="D57" t="str">
            <v xml:space="preserve">פרדס חנה-כרכור </v>
          </cell>
          <cell r="E57">
            <v>2995</v>
          </cell>
          <cell r="F57">
            <v>33544</v>
          </cell>
          <cell r="G57">
            <v>580580</v>
          </cell>
          <cell r="H57">
            <v>2689002</v>
          </cell>
          <cell r="I57">
            <v>3269582</v>
          </cell>
          <cell r="J57">
            <v>1905733</v>
          </cell>
          <cell r="K57">
            <v>2327433</v>
          </cell>
          <cell r="L57">
            <v>11572</v>
          </cell>
          <cell r="M57">
            <v>123513</v>
          </cell>
          <cell r="N57">
            <v>2462518</v>
          </cell>
          <cell r="O57">
            <v>807064</v>
          </cell>
          <cell r="P57">
            <v>24.684011595366012</v>
          </cell>
          <cell r="Q57">
            <v>56.812932268065822</v>
          </cell>
          <cell r="R57">
            <v>69.384480085857376</v>
          </cell>
        </row>
        <row r="58">
          <cell r="D58" t="str">
            <v xml:space="preserve">קדומים </v>
          </cell>
          <cell r="E58">
            <v>9549</v>
          </cell>
          <cell r="F58">
            <v>3904</v>
          </cell>
          <cell r="G58">
            <v>0</v>
          </cell>
          <cell r="H58">
            <v>350563</v>
          </cell>
          <cell r="I58">
            <v>350563</v>
          </cell>
          <cell r="J58">
            <v>182694</v>
          </cell>
          <cell r="K58">
            <v>268057</v>
          </cell>
          <cell r="L58">
            <v>0</v>
          </cell>
          <cell r="M58">
            <v>16628</v>
          </cell>
          <cell r="N58">
            <v>284685</v>
          </cell>
          <cell r="O58">
            <v>65878</v>
          </cell>
          <cell r="P58">
            <v>18.792057347752046</v>
          </cell>
          <cell r="Q58">
            <v>46.796618852459019</v>
          </cell>
          <cell r="R58">
            <v>68.662141393442624</v>
          </cell>
        </row>
        <row r="59">
          <cell r="D59" t="str">
            <v xml:space="preserve">קלנסואה </v>
          </cell>
          <cell r="E59">
            <v>5848</v>
          </cell>
          <cell r="F59">
            <v>19767</v>
          </cell>
          <cell r="G59">
            <v>1552200</v>
          </cell>
          <cell r="H59">
            <v>0</v>
          </cell>
          <cell r="I59">
            <v>1552200</v>
          </cell>
          <cell r="J59">
            <v>839029</v>
          </cell>
          <cell r="K59">
            <v>965269</v>
          </cell>
          <cell r="L59">
            <v>0</v>
          </cell>
          <cell r="M59">
            <v>214292</v>
          </cell>
          <cell r="N59">
            <v>1179561</v>
          </cell>
          <cell r="O59">
            <v>372639</v>
          </cell>
          <cell r="P59">
            <v>24.007151140316971</v>
          </cell>
          <cell r="Q59">
            <v>42.445945262305862</v>
          </cell>
          <cell r="R59">
            <v>48.832346840694086</v>
          </cell>
        </row>
        <row r="60">
          <cell r="D60" t="str">
            <v>קציר חריש</v>
          </cell>
          <cell r="E60">
            <v>2024</v>
          </cell>
          <cell r="F60">
            <v>3300</v>
          </cell>
          <cell r="G60">
            <v>0</v>
          </cell>
          <cell r="H60">
            <v>197670</v>
          </cell>
          <cell r="I60">
            <v>197670</v>
          </cell>
          <cell r="J60">
            <v>134650</v>
          </cell>
          <cell r="K60">
            <v>143219</v>
          </cell>
          <cell r="L60">
            <v>0</v>
          </cell>
          <cell r="M60">
            <v>3135</v>
          </cell>
          <cell r="N60">
            <v>146354</v>
          </cell>
          <cell r="O60">
            <v>51316</v>
          </cell>
          <cell r="P60">
            <v>25.960439115697881</v>
          </cell>
          <cell r="Q60">
            <v>40.803030303030305</v>
          </cell>
          <cell r="R60">
            <v>43.399696969696969</v>
          </cell>
        </row>
        <row r="61">
          <cell r="D61" t="str">
            <v xml:space="preserve">קרית ארבע חברון </v>
          </cell>
          <cell r="E61">
            <v>9577</v>
          </cell>
          <cell r="F61">
            <v>7433</v>
          </cell>
          <cell r="G61">
            <v>0</v>
          </cell>
          <cell r="H61">
            <v>560209</v>
          </cell>
          <cell r="I61">
            <v>560209</v>
          </cell>
          <cell r="J61">
            <v>240308</v>
          </cell>
          <cell r="K61">
            <v>510420</v>
          </cell>
          <cell r="L61">
            <v>3418</v>
          </cell>
          <cell r="M61">
            <v>0</v>
          </cell>
          <cell r="N61">
            <v>513838</v>
          </cell>
          <cell r="O61">
            <v>46371</v>
          </cell>
          <cell r="P61">
            <v>8.2774464530202128</v>
          </cell>
          <cell r="Q61">
            <v>32.329880263688956</v>
          </cell>
          <cell r="R61">
            <v>68.669447060406299</v>
          </cell>
        </row>
        <row r="62">
          <cell r="D62" t="str">
            <v>מי קריית ביאליק</v>
          </cell>
          <cell r="E62">
            <v>3042</v>
          </cell>
          <cell r="F62">
            <v>37634</v>
          </cell>
          <cell r="G62">
            <v>0</v>
          </cell>
          <cell r="H62">
            <v>2919657</v>
          </cell>
          <cell r="I62">
            <v>2919657</v>
          </cell>
          <cell r="J62">
            <v>1963493</v>
          </cell>
          <cell r="K62">
            <v>2539649</v>
          </cell>
          <cell r="L62">
            <v>122153</v>
          </cell>
          <cell r="M62">
            <v>3430</v>
          </cell>
          <cell r="N62">
            <v>2665232</v>
          </cell>
          <cell r="O62">
            <v>254425</v>
          </cell>
          <cell r="P62">
            <v>8.7142085525799775</v>
          </cell>
          <cell r="Q62">
            <v>52.173380453844928</v>
          </cell>
          <cell r="R62">
            <v>67.482834670776427</v>
          </cell>
          <cell r="S62">
            <v>18491</v>
          </cell>
        </row>
        <row r="63">
          <cell r="D63" t="str">
            <v xml:space="preserve">קרית יערים </v>
          </cell>
          <cell r="E63">
            <v>8604</v>
          </cell>
          <cell r="F63">
            <v>3158</v>
          </cell>
          <cell r="G63">
            <v>0</v>
          </cell>
          <cell r="H63">
            <v>229084</v>
          </cell>
          <cell r="I63">
            <v>229084</v>
          </cell>
          <cell r="J63">
            <v>173976</v>
          </cell>
          <cell r="K63">
            <v>225363</v>
          </cell>
          <cell r="L63">
            <v>0</v>
          </cell>
          <cell r="M63">
            <v>0</v>
          </cell>
          <cell r="N63">
            <v>225363</v>
          </cell>
          <cell r="O63">
            <v>3721</v>
          </cell>
          <cell r="P63">
            <v>1.6242950184211906</v>
          </cell>
          <cell r="Q63">
            <v>55.090563647878405</v>
          </cell>
          <cell r="R63">
            <v>71.362571247625084</v>
          </cell>
        </row>
        <row r="64">
          <cell r="D64" t="str">
            <v xml:space="preserve">קרית מלאכי </v>
          </cell>
          <cell r="E64">
            <v>7325</v>
          </cell>
          <cell r="F64">
            <v>20941</v>
          </cell>
          <cell r="G64">
            <v>0</v>
          </cell>
          <cell r="H64">
            <v>1784211</v>
          </cell>
          <cell r="I64">
            <v>1784211</v>
          </cell>
          <cell r="J64">
            <v>1020406</v>
          </cell>
          <cell r="K64">
            <v>1424671</v>
          </cell>
          <cell r="L64">
            <v>227046</v>
          </cell>
          <cell r="M64">
            <v>0</v>
          </cell>
          <cell r="N64">
            <v>1651717</v>
          </cell>
          <cell r="O64">
            <v>132494</v>
          </cell>
          <cell r="P64">
            <v>7.4259154326478196</v>
          </cell>
          <cell r="Q64">
            <v>48.727663435366026</v>
          </cell>
          <cell r="R64">
            <v>68.032615443388565</v>
          </cell>
        </row>
        <row r="65">
          <cell r="D65" t="str">
            <v xml:space="preserve">קרית עקרון </v>
          </cell>
          <cell r="E65">
            <v>4696</v>
          </cell>
          <cell r="F65">
            <v>10295</v>
          </cell>
          <cell r="G65">
            <v>0</v>
          </cell>
          <cell r="H65">
            <v>871726</v>
          </cell>
          <cell r="I65">
            <v>871726</v>
          </cell>
          <cell r="J65">
            <v>626381</v>
          </cell>
          <cell r="K65">
            <v>826779</v>
          </cell>
          <cell r="L65">
            <v>11523</v>
          </cell>
          <cell r="M65">
            <v>0</v>
          </cell>
          <cell r="N65">
            <v>838302</v>
          </cell>
          <cell r="O65">
            <v>33424</v>
          </cell>
          <cell r="P65">
            <v>3.8342323161176792</v>
          </cell>
          <cell r="Q65">
            <v>60.843224866440018</v>
          </cell>
          <cell r="R65">
            <v>80.308790675084992</v>
          </cell>
        </row>
        <row r="66">
          <cell r="D66" t="str">
            <v xml:space="preserve">ראש פנה </v>
          </cell>
          <cell r="E66">
            <v>1453</v>
          </cell>
          <cell r="F66">
            <v>2691</v>
          </cell>
          <cell r="G66">
            <v>188871</v>
          </cell>
          <cell r="H66">
            <v>379769</v>
          </cell>
          <cell r="I66">
            <v>568640</v>
          </cell>
          <cell r="J66">
            <v>253960</v>
          </cell>
          <cell r="K66">
            <v>459375</v>
          </cell>
          <cell r="L66">
            <v>70620</v>
          </cell>
          <cell r="M66">
            <v>0</v>
          </cell>
          <cell r="N66">
            <v>529995</v>
          </cell>
          <cell r="O66">
            <v>38645</v>
          </cell>
          <cell r="P66">
            <v>6.7960396736072033</v>
          </cell>
          <cell r="Q66">
            <v>94.373838721664811</v>
          </cell>
          <cell r="R66">
            <v>170.70791527313267</v>
          </cell>
        </row>
        <row r="67">
          <cell r="D67" t="str">
            <v xml:space="preserve">רחובות </v>
          </cell>
          <cell r="E67">
            <v>6223</v>
          </cell>
          <cell r="F67">
            <v>118139</v>
          </cell>
          <cell r="G67">
            <v>3627190</v>
          </cell>
          <cell r="H67">
            <v>5974910</v>
          </cell>
          <cell r="I67">
            <v>9602100</v>
          </cell>
          <cell r="J67">
            <v>6268942</v>
          </cell>
          <cell r="K67">
            <v>8504636</v>
          </cell>
          <cell r="L67">
            <v>98554</v>
          </cell>
          <cell r="M67">
            <v>206693</v>
          </cell>
          <cell r="N67">
            <v>8809883</v>
          </cell>
          <cell r="O67">
            <v>792217</v>
          </cell>
          <cell r="P67">
            <v>8.2504556294977149</v>
          </cell>
          <cell r="Q67">
            <v>53.064119384792491</v>
          </cell>
          <cell r="R67">
            <v>71.988386561592705</v>
          </cell>
        </row>
        <row r="68">
          <cell r="D68" t="str">
            <v xml:space="preserve">רכסים </v>
          </cell>
          <cell r="E68">
            <v>3173</v>
          </cell>
          <cell r="F68">
            <v>9753</v>
          </cell>
          <cell r="G68">
            <v>0</v>
          </cell>
          <cell r="H68">
            <v>562847</v>
          </cell>
          <cell r="I68">
            <v>562847</v>
          </cell>
          <cell r="J68">
            <v>380169</v>
          </cell>
          <cell r="K68">
            <v>530148</v>
          </cell>
          <cell r="L68">
            <v>0</v>
          </cell>
          <cell r="M68">
            <v>0</v>
          </cell>
          <cell r="N68">
            <v>530148</v>
          </cell>
          <cell r="O68">
            <v>32699</v>
          </cell>
          <cell r="P68">
            <v>5.8095716953275049</v>
          </cell>
          <cell r="Q68">
            <v>38.979698554290991</v>
          </cell>
          <cell r="R68">
            <v>54.357428483543522</v>
          </cell>
        </row>
        <row r="69">
          <cell r="D69" t="str">
            <v xml:space="preserve">מי רמת גן </v>
          </cell>
          <cell r="E69">
            <v>7966</v>
          </cell>
          <cell r="F69">
            <v>148035</v>
          </cell>
          <cell r="G69">
            <v>4080020</v>
          </cell>
          <cell r="H69">
            <v>7918642</v>
          </cell>
          <cell r="I69">
            <v>11998662</v>
          </cell>
          <cell r="J69">
            <v>7873689</v>
          </cell>
          <cell r="K69">
            <v>10539488</v>
          </cell>
          <cell r="L69">
            <v>34475</v>
          </cell>
          <cell r="M69">
            <v>95363</v>
          </cell>
          <cell r="N69">
            <v>10669326</v>
          </cell>
          <cell r="O69">
            <v>1329336</v>
          </cell>
          <cell r="P69">
            <v>11.079035312437338</v>
          </cell>
          <cell r="Q69">
            <v>53.188023102644642</v>
          </cell>
          <cell r="R69">
            <v>71.195919883811257</v>
          </cell>
          <cell r="S69">
            <v>67849</v>
          </cell>
        </row>
        <row r="70">
          <cell r="D70" t="str">
            <v xml:space="preserve">שדרות </v>
          </cell>
          <cell r="E70">
            <v>7380</v>
          </cell>
          <cell r="F70">
            <v>21050</v>
          </cell>
          <cell r="G70">
            <v>0</v>
          </cell>
          <cell r="H70">
            <v>2228322</v>
          </cell>
          <cell r="I70">
            <v>2228322</v>
          </cell>
          <cell r="J70">
            <v>952017</v>
          </cell>
          <cell r="K70">
            <v>1664896</v>
          </cell>
          <cell r="L70">
            <v>249450</v>
          </cell>
          <cell r="M70">
            <v>0</v>
          </cell>
          <cell r="N70">
            <v>1914346</v>
          </cell>
          <cell r="O70">
            <v>313976</v>
          </cell>
          <cell r="P70">
            <v>14.090243690095058</v>
          </cell>
          <cell r="Q70">
            <v>45.226460807600951</v>
          </cell>
          <cell r="R70">
            <v>79.092446555819478</v>
          </cell>
        </row>
        <row r="71">
          <cell r="D71" t="str">
            <v xml:space="preserve">שהם </v>
          </cell>
          <cell r="E71">
            <v>4861</v>
          </cell>
          <cell r="F71">
            <v>19369</v>
          </cell>
          <cell r="G71">
            <v>0</v>
          </cell>
          <cell r="H71">
            <v>1511018</v>
          </cell>
          <cell r="I71">
            <v>1511018</v>
          </cell>
          <cell r="J71">
            <v>1139875</v>
          </cell>
          <cell r="K71">
            <v>1428658</v>
          </cell>
          <cell r="L71">
            <v>0</v>
          </cell>
          <cell r="M71">
            <v>0</v>
          </cell>
          <cell r="N71">
            <v>1428658</v>
          </cell>
          <cell r="O71">
            <v>82360</v>
          </cell>
          <cell r="P71">
            <v>5.4506299726409617</v>
          </cell>
          <cell r="Q71">
            <v>58.850482730135781</v>
          </cell>
          <cell r="R71">
            <v>73.760028912179251</v>
          </cell>
        </row>
        <row r="72">
          <cell r="D72" t="str">
            <v>קריית שמואל</v>
          </cell>
          <cell r="E72">
            <v>0</v>
          </cell>
          <cell r="F72">
            <v>0</v>
          </cell>
          <cell r="G72">
            <v>0</v>
          </cell>
          <cell r="H72">
            <v>0</v>
          </cell>
          <cell r="I72">
            <v>404120</v>
          </cell>
          <cell r="J72">
            <v>0</v>
          </cell>
          <cell r="K72">
            <v>0</v>
          </cell>
          <cell r="L72">
            <v>0</v>
          </cell>
          <cell r="M72">
            <v>0</v>
          </cell>
          <cell r="N72">
            <v>0</v>
          </cell>
          <cell r="O72">
            <v>0</v>
          </cell>
          <cell r="P72">
            <v>0</v>
          </cell>
          <cell r="Q72">
            <v>0</v>
          </cell>
          <cell r="R72">
            <v>0</v>
          </cell>
        </row>
        <row r="73">
          <cell r="D73" t="str">
            <v>קריית חיים</v>
          </cell>
          <cell r="E73">
            <v>0</v>
          </cell>
          <cell r="F73">
            <v>0</v>
          </cell>
          <cell r="G73">
            <v>0</v>
          </cell>
          <cell r="H73">
            <v>0</v>
          </cell>
          <cell r="I73">
            <v>1818510</v>
          </cell>
          <cell r="J73">
            <v>0</v>
          </cell>
          <cell r="K73">
            <v>0</v>
          </cell>
          <cell r="L73">
            <v>0</v>
          </cell>
          <cell r="M73">
            <v>0</v>
          </cell>
          <cell r="N73">
            <v>0</v>
          </cell>
          <cell r="O73">
            <v>0</v>
          </cell>
          <cell r="P73">
            <v>0</v>
          </cell>
          <cell r="Q73">
            <v>0</v>
          </cell>
          <cell r="R73">
            <v>0</v>
          </cell>
        </row>
        <row r="74">
          <cell r="D74" t="str">
            <v>סה"כ</v>
          </cell>
          <cell r="E74">
            <v>0</v>
          </cell>
          <cell r="F74">
            <v>1237787</v>
          </cell>
          <cell r="G74">
            <v>24049625</v>
          </cell>
          <cell r="H74">
            <v>81728117</v>
          </cell>
          <cell r="I74">
            <v>105777742</v>
          </cell>
          <cell r="J74">
            <v>66019044</v>
          </cell>
          <cell r="K74">
            <v>88697262</v>
          </cell>
          <cell r="L74">
            <v>2484600</v>
          </cell>
          <cell r="M74">
            <v>2461510</v>
          </cell>
          <cell r="N74">
            <v>93643372</v>
          </cell>
          <cell r="O74">
            <v>12134370</v>
          </cell>
          <cell r="P74">
            <v>11.471572157401507</v>
          </cell>
          <cell r="Q74">
            <v>53.336352700424221</v>
          </cell>
          <cell r="R74">
            <v>71.657936300833668</v>
          </cell>
        </row>
      </sheetData>
      <sheetData sheetId="3" refreshError="1"/>
      <sheetData sheetId="4" refreshError="1">
        <row r="6">
          <cell r="D6" t="str">
            <v>שם התאגיד</v>
          </cell>
          <cell r="E6">
            <v>0</v>
          </cell>
          <cell r="F6" t="str">
            <v>צריכה</v>
          </cell>
          <cell r="G6">
            <v>0</v>
          </cell>
          <cell r="H6" t="str">
            <v>גינון ציבורי</v>
          </cell>
          <cell r="I6">
            <v>0</v>
          </cell>
          <cell r="J6" t="str">
            <v>מוסדות</v>
          </cell>
          <cell r="K6">
            <v>0</v>
          </cell>
          <cell r="L6" t="str">
            <v>בתי חולים</v>
          </cell>
          <cell r="M6">
            <v>0</v>
          </cell>
          <cell r="N6" t="str">
            <v>בתי מרחץ</v>
          </cell>
          <cell r="O6">
            <v>0</v>
          </cell>
          <cell r="P6" t="str">
            <v xml:space="preserve">מסחר </v>
          </cell>
          <cell r="Q6">
            <v>0</v>
          </cell>
          <cell r="R6" t="str">
            <v>בנייה</v>
          </cell>
          <cell r="S6">
            <v>0</v>
          </cell>
          <cell r="T6" t="str">
            <v>צריכה</v>
          </cell>
          <cell r="U6">
            <v>0</v>
          </cell>
          <cell r="V6" t="str">
            <v>צריכה</v>
          </cell>
          <cell r="W6">
            <v>0</v>
          </cell>
        </row>
        <row r="7">
          <cell r="D7">
            <v>0</v>
          </cell>
          <cell r="E7" t="str">
            <v>שם הישוב</v>
          </cell>
          <cell r="F7" t="str">
            <v>מגורים</v>
          </cell>
          <cell r="G7">
            <v>0</v>
          </cell>
          <cell r="H7" t="str">
            <v>רשות מקומית</v>
          </cell>
          <cell r="I7">
            <v>0</v>
          </cell>
          <cell r="J7" t="str">
            <v>רשות מקומית</v>
          </cell>
          <cell r="K7">
            <v>0</v>
          </cell>
          <cell r="L7">
            <v>0</v>
          </cell>
          <cell r="M7">
            <v>0</v>
          </cell>
          <cell r="N7" t="str">
            <v>ומקוואות</v>
          </cell>
          <cell r="O7">
            <v>0</v>
          </cell>
          <cell r="P7" t="str">
            <v>ומלאכה</v>
          </cell>
          <cell r="Q7">
            <v>0</v>
          </cell>
          <cell r="R7">
            <v>0</v>
          </cell>
          <cell r="S7">
            <v>0</v>
          </cell>
          <cell r="T7" t="str">
            <v>אחרת</v>
          </cell>
          <cell r="U7">
            <v>0</v>
          </cell>
          <cell r="V7" t="str">
            <v>עירונית</v>
          </cell>
          <cell r="W7">
            <v>0</v>
          </cell>
        </row>
        <row r="8">
          <cell r="D8">
            <v>0</v>
          </cell>
          <cell r="E8">
            <v>0</v>
          </cell>
          <cell r="F8" t="str">
            <v>מ"ק</v>
          </cell>
          <cell r="G8" t="str">
            <v>%</v>
          </cell>
          <cell r="H8" t="str">
            <v>מ"ק</v>
          </cell>
          <cell r="I8" t="str">
            <v>%</v>
          </cell>
          <cell r="J8" t="str">
            <v>מ"ק</v>
          </cell>
          <cell r="K8" t="str">
            <v>%</v>
          </cell>
          <cell r="L8" t="str">
            <v>מ"ק</v>
          </cell>
          <cell r="M8" t="str">
            <v>%</v>
          </cell>
          <cell r="N8" t="str">
            <v>מ"ק</v>
          </cell>
          <cell r="O8" t="str">
            <v>%</v>
          </cell>
          <cell r="P8" t="str">
            <v>מ"ק</v>
          </cell>
          <cell r="Q8" t="str">
            <v>%</v>
          </cell>
          <cell r="R8" t="str">
            <v>מ"ק</v>
          </cell>
          <cell r="S8" t="str">
            <v>%</v>
          </cell>
          <cell r="T8" t="str">
            <v>מ"ק</v>
          </cell>
          <cell r="U8" t="str">
            <v>%</v>
          </cell>
          <cell r="V8" t="str">
            <v>מ"ק</v>
          </cell>
          <cell r="W8" t="str">
            <v>%</v>
          </cell>
        </row>
        <row r="9">
          <cell r="D9">
            <v>0</v>
          </cell>
          <cell r="E9" t="str">
            <v xml:space="preserve">אבו סנאן </v>
          </cell>
          <cell r="F9">
            <v>616761</v>
          </cell>
          <cell r="G9">
            <v>92.389516542184595</v>
          </cell>
          <cell r="H9">
            <v>0</v>
          </cell>
          <cell r="I9">
            <v>0</v>
          </cell>
          <cell r="J9">
            <v>20806</v>
          </cell>
          <cell r="K9">
            <v>3.116695577665729</v>
          </cell>
          <cell r="L9">
            <v>0</v>
          </cell>
          <cell r="M9">
            <v>0</v>
          </cell>
          <cell r="N9">
            <v>0</v>
          </cell>
          <cell r="O9">
            <v>0</v>
          </cell>
          <cell r="P9">
            <v>12341</v>
          </cell>
          <cell r="Q9">
            <v>1.8486561628363338</v>
          </cell>
          <cell r="R9">
            <v>11640</v>
          </cell>
          <cell r="S9">
            <v>1.7436478190920448</v>
          </cell>
          <cell r="T9">
            <v>6018</v>
          </cell>
          <cell r="U9">
            <v>0.90148389822129937</v>
          </cell>
          <cell r="V9">
            <v>667566</v>
          </cell>
          <cell r="W9">
            <v>100</v>
          </cell>
        </row>
        <row r="10">
          <cell r="D10">
            <v>0</v>
          </cell>
          <cell r="E10" t="str">
            <v xml:space="preserve">ג'וליס </v>
          </cell>
          <cell r="F10">
            <v>313330</v>
          </cell>
          <cell r="G10">
            <v>85.91091674321045</v>
          </cell>
          <cell r="H10">
            <v>0</v>
          </cell>
          <cell r="I10">
            <v>0</v>
          </cell>
          <cell r="J10">
            <v>11289</v>
          </cell>
          <cell r="K10">
            <v>3.0952935854023007</v>
          </cell>
          <cell r="L10">
            <v>319</v>
          </cell>
          <cell r="M10">
            <v>8.7465555296601452E-2</v>
          </cell>
          <cell r="N10">
            <v>0</v>
          </cell>
          <cell r="O10">
            <v>0</v>
          </cell>
          <cell r="P10">
            <v>35043</v>
          </cell>
          <cell r="Q10">
            <v>9.6083243080213325</v>
          </cell>
          <cell r="R10">
            <v>4640</v>
          </cell>
          <cell r="S10">
            <v>1.2722262588596576</v>
          </cell>
          <cell r="T10">
            <v>94</v>
          </cell>
          <cell r="U10">
            <v>2.5773549209656854E-2</v>
          </cell>
          <cell r="V10">
            <v>364715</v>
          </cell>
          <cell r="W10">
            <v>100.00000000000001</v>
          </cell>
        </row>
        <row r="11">
          <cell r="D11">
            <v>0</v>
          </cell>
          <cell r="E11" t="str">
            <v xml:space="preserve">כפר יסיף </v>
          </cell>
          <cell r="F11">
            <v>480811</v>
          </cell>
          <cell r="G11">
            <v>82.454756388468269</v>
          </cell>
          <cell r="H11">
            <v>0</v>
          </cell>
          <cell r="I11">
            <v>0</v>
          </cell>
          <cell r="J11">
            <v>16996</v>
          </cell>
          <cell r="K11">
            <v>2.9146609365809155</v>
          </cell>
          <cell r="L11">
            <v>89</v>
          </cell>
          <cell r="M11">
            <v>1.5262698479389354E-2</v>
          </cell>
          <cell r="N11">
            <v>0</v>
          </cell>
          <cell r="O11">
            <v>0</v>
          </cell>
          <cell r="P11">
            <v>69039</v>
          </cell>
          <cell r="Q11">
            <v>11.839566745152379</v>
          </cell>
          <cell r="R11">
            <v>8502</v>
          </cell>
          <cell r="S11">
            <v>1.4580164322670595</v>
          </cell>
          <cell r="T11">
            <v>7684</v>
          </cell>
          <cell r="U11">
            <v>1.3177367990519977</v>
          </cell>
          <cell r="V11">
            <v>583121</v>
          </cell>
          <cell r="W11">
            <v>100.00000000000001</v>
          </cell>
        </row>
        <row r="12">
          <cell r="D12">
            <v>0</v>
          </cell>
          <cell r="E12" t="str">
            <v xml:space="preserve">ירכא </v>
          </cell>
          <cell r="F12">
            <v>851729</v>
          </cell>
          <cell r="G12">
            <v>80.231520861651731</v>
          </cell>
          <cell r="H12">
            <v>230</v>
          </cell>
          <cell r="I12">
            <v>2.1665635194034603E-2</v>
          </cell>
          <cell r="J12">
            <v>37308</v>
          </cell>
          <cell r="K12">
            <v>3.514354425300187</v>
          </cell>
          <cell r="L12">
            <v>31654</v>
          </cell>
          <cell r="M12">
            <v>2.9817565931824839</v>
          </cell>
          <cell r="N12">
            <v>0</v>
          </cell>
          <cell r="O12">
            <v>0</v>
          </cell>
          <cell r="P12">
            <v>104777</v>
          </cell>
          <cell r="Q12">
            <v>9.8698272118494064</v>
          </cell>
          <cell r="R12">
            <v>17173</v>
          </cell>
          <cell r="S12">
            <v>1.6176693616832878</v>
          </cell>
          <cell r="T12">
            <v>18718</v>
          </cell>
          <cell r="U12">
            <v>1.763205911138868</v>
          </cell>
          <cell r="V12">
            <v>1061589</v>
          </cell>
          <cell r="W12">
            <v>100</v>
          </cell>
        </row>
        <row r="13">
          <cell r="D13">
            <v>0</v>
          </cell>
          <cell r="E13" t="str">
            <v>גדידה-אלמכר</v>
          </cell>
          <cell r="F13">
            <v>1065763</v>
          </cell>
          <cell r="G13">
            <v>91.527134039777636</v>
          </cell>
          <cell r="H13">
            <v>86</v>
          </cell>
          <cell r="I13">
            <v>7.385632197234167E-3</v>
          </cell>
          <cell r="J13">
            <v>65904</v>
          </cell>
          <cell r="K13">
            <v>3.514354425300187</v>
          </cell>
          <cell r="L13">
            <v>359</v>
          </cell>
          <cell r="M13">
            <v>3.0830720451244954E-2</v>
          </cell>
          <cell r="N13">
            <v>0</v>
          </cell>
          <cell r="O13">
            <v>0</v>
          </cell>
          <cell r="P13">
            <v>21843</v>
          </cell>
          <cell r="Q13">
            <v>1.8758646986533245</v>
          </cell>
          <cell r="R13">
            <v>4780</v>
          </cell>
          <cell r="S13">
            <v>0.41050374305557341</v>
          </cell>
          <cell r="T13">
            <v>5688</v>
          </cell>
          <cell r="U13">
            <v>0.48848227834730162</v>
          </cell>
          <cell r="V13">
            <v>1164423</v>
          </cell>
          <cell r="W13">
            <v>100</v>
          </cell>
        </row>
        <row r="14">
          <cell r="D14">
            <v>0</v>
          </cell>
          <cell r="E14" t="str">
            <v xml:space="preserve">מזרעה </v>
          </cell>
          <cell r="F14">
            <v>163711</v>
          </cell>
          <cell r="G14">
            <v>94.421598426604675</v>
          </cell>
          <cell r="H14">
            <v>0</v>
          </cell>
          <cell r="I14">
            <v>0</v>
          </cell>
          <cell r="J14">
            <v>3048</v>
          </cell>
          <cell r="K14">
            <v>1.7579578159335112</v>
          </cell>
          <cell r="L14">
            <v>106</v>
          </cell>
          <cell r="M14">
            <v>6.1136328244406887E-2</v>
          </cell>
          <cell r="N14">
            <v>0</v>
          </cell>
          <cell r="O14">
            <v>0</v>
          </cell>
          <cell r="P14">
            <v>4949</v>
          </cell>
          <cell r="Q14">
            <v>2.8543744196374501</v>
          </cell>
          <cell r="R14">
            <v>1488</v>
          </cell>
          <cell r="S14">
            <v>0.85821562667620244</v>
          </cell>
          <cell r="T14">
            <v>81</v>
          </cell>
          <cell r="U14">
            <v>4.6717382903744886E-2</v>
          </cell>
          <cell r="V14">
            <v>173383</v>
          </cell>
          <cell r="W14">
            <v>99.999999999999986</v>
          </cell>
        </row>
        <row r="15">
          <cell r="D15">
            <v>0</v>
          </cell>
          <cell r="E15" t="str">
            <v>יאנוח-ג'ת</v>
          </cell>
          <cell r="F15">
            <v>363242</v>
          </cell>
          <cell r="G15">
            <v>91.964889272594235</v>
          </cell>
          <cell r="H15">
            <v>2467</v>
          </cell>
          <cell r="I15">
            <v>0.62459016808488554</v>
          </cell>
          <cell r="J15">
            <v>15935</v>
          </cell>
          <cell r="K15">
            <v>4.034391701837313</v>
          </cell>
          <cell r="L15">
            <v>0</v>
          </cell>
          <cell r="M15">
            <v>0</v>
          </cell>
          <cell r="N15">
            <v>0</v>
          </cell>
          <cell r="O15">
            <v>0</v>
          </cell>
          <cell r="P15">
            <v>6026</v>
          </cell>
          <cell r="Q15">
            <v>1.5256507307983462</v>
          </cell>
          <cell r="R15">
            <v>523</v>
          </cell>
          <cell r="S15">
            <v>0.13241210292192748</v>
          </cell>
          <cell r="T15">
            <v>6786</v>
          </cell>
          <cell r="U15">
            <v>1.7180660237632885</v>
          </cell>
          <cell r="V15">
            <v>394979</v>
          </cell>
          <cell r="W15">
            <v>99.999999999999986</v>
          </cell>
        </row>
        <row r="16">
          <cell r="D16" t="str">
            <v>אל עין בע"מ</v>
          </cell>
          <cell r="E16" t="str">
            <v xml:space="preserve">סה"כ תאגיד </v>
          </cell>
          <cell r="F16">
            <v>3855347</v>
          </cell>
          <cell r="G16">
            <v>87.427275217607431</v>
          </cell>
          <cell r="H16">
            <v>2783</v>
          </cell>
          <cell r="I16">
            <v>6.3109781539924026E-2</v>
          </cell>
          <cell r="J16">
            <v>171286</v>
          </cell>
          <cell r="K16">
            <v>3.8842335755829773</v>
          </cell>
          <cell r="L16">
            <v>32527</v>
          </cell>
          <cell r="M16">
            <v>0.73761116210891442</v>
          </cell>
          <cell r="N16">
            <v>0</v>
          </cell>
          <cell r="O16">
            <v>0</v>
          </cell>
          <cell r="P16">
            <v>254018</v>
          </cell>
          <cell r="Q16">
            <v>5.7603379400677044</v>
          </cell>
          <cell r="R16">
            <v>48746</v>
          </cell>
          <cell r="S16">
            <v>1.1054076216116193</v>
          </cell>
          <cell r="T16">
            <v>45069</v>
          </cell>
          <cell r="U16">
            <v>1.0220247014814359</v>
          </cell>
          <cell r="V16">
            <v>4409776</v>
          </cell>
          <cell r="W16">
            <v>100.00000000000001</v>
          </cell>
        </row>
        <row r="17">
          <cell r="D17">
            <v>0</v>
          </cell>
          <cell r="E17" t="str">
            <v>ירושלים</v>
          </cell>
          <cell r="F17">
            <v>30179993</v>
          </cell>
          <cell r="G17">
            <v>63.01748107000784</v>
          </cell>
          <cell r="H17">
            <v>1459748</v>
          </cell>
          <cell r="I17">
            <v>3.0480339063359558</v>
          </cell>
          <cell r="J17">
            <v>470728</v>
          </cell>
          <cell r="K17">
            <v>0.98290588831888237</v>
          </cell>
          <cell r="L17">
            <v>631226</v>
          </cell>
          <cell r="M17">
            <v>1.3180345173008083</v>
          </cell>
          <cell r="N17">
            <v>358499</v>
          </cell>
          <cell r="O17">
            <v>0.74856557939283619</v>
          </cell>
          <cell r="P17">
            <v>2553875</v>
          </cell>
          <cell r="Q17">
            <v>5.3326311065634204</v>
          </cell>
          <cell r="R17">
            <v>284160</v>
          </cell>
          <cell r="S17">
            <v>0.59334166912674335</v>
          </cell>
          <cell r="T17">
            <v>11953233</v>
          </cell>
          <cell r="U17">
            <v>24.959006262953508</v>
          </cell>
          <cell r="V17">
            <v>47891462</v>
          </cell>
          <cell r="W17">
            <v>99.999999999999986</v>
          </cell>
        </row>
        <row r="18">
          <cell r="D18">
            <v>0</v>
          </cell>
          <cell r="E18" t="str">
            <v xml:space="preserve">אבו גוש </v>
          </cell>
          <cell r="F18">
            <v>251399</v>
          </cell>
          <cell r="G18">
            <v>88.057542365163542</v>
          </cell>
          <cell r="H18">
            <v>1390</v>
          </cell>
          <cell r="I18">
            <v>0.48687538091868832</v>
          </cell>
          <cell r="J18">
            <v>6075</v>
          </cell>
          <cell r="K18">
            <v>2.1278906036554184</v>
          </cell>
          <cell r="L18">
            <v>2</v>
          </cell>
          <cell r="M18">
            <v>7.0054011642976734E-4</v>
          </cell>
          <cell r="N18">
            <v>0</v>
          </cell>
          <cell r="O18">
            <v>0</v>
          </cell>
          <cell r="P18">
            <v>18346</v>
          </cell>
          <cell r="Q18">
            <v>6.4260544880102559</v>
          </cell>
          <cell r="R18">
            <v>745</v>
          </cell>
          <cell r="S18">
            <v>0.26095119337008832</v>
          </cell>
          <cell r="T18">
            <v>7537</v>
          </cell>
          <cell r="U18">
            <v>2.639985428765578</v>
          </cell>
          <cell r="V18">
            <v>285494</v>
          </cell>
          <cell r="W18">
            <v>100</v>
          </cell>
        </row>
        <row r="19">
          <cell r="D19">
            <v>0</v>
          </cell>
          <cell r="E19" t="str">
            <v xml:space="preserve">מבשרת ציון </v>
          </cell>
          <cell r="F19">
            <v>1400194</v>
          </cell>
          <cell r="G19">
            <v>90.986087555477582</v>
          </cell>
          <cell r="H19">
            <v>33346</v>
          </cell>
          <cell r="I19">
            <v>2.1668583607878307</v>
          </cell>
          <cell r="J19">
            <v>27611</v>
          </cell>
          <cell r="K19">
            <v>1.7941919930340307</v>
          </cell>
          <cell r="L19">
            <v>715</v>
          </cell>
          <cell r="M19">
            <v>4.6461456485434496E-2</v>
          </cell>
          <cell r="N19">
            <v>430</v>
          </cell>
          <cell r="O19">
            <v>2.7941854949282287E-2</v>
          </cell>
          <cell r="P19">
            <v>26896</v>
          </cell>
          <cell r="Q19">
            <v>1.747730536548596</v>
          </cell>
          <cell r="R19">
            <v>155</v>
          </cell>
          <cell r="S19">
            <v>1.0072063993345939E-2</v>
          </cell>
          <cell r="T19">
            <v>49563</v>
          </cell>
          <cell r="U19">
            <v>3.2206561787239019</v>
          </cell>
          <cell r="V19">
            <v>1538910</v>
          </cell>
          <cell r="W19">
            <v>100</v>
          </cell>
        </row>
        <row r="20">
          <cell r="D20" t="str">
            <v>חברת הגיחון בע"מ תאגיד המים והביוב של ירושלים</v>
          </cell>
          <cell r="E20" t="str">
            <v xml:space="preserve">סה"כ תאגיד </v>
          </cell>
          <cell r="F20">
            <v>31831586</v>
          </cell>
          <cell r="G20">
            <v>64.027017049245401</v>
          </cell>
          <cell r="H20">
            <v>1494484</v>
          </cell>
          <cell r="I20">
            <v>3.0060504226155893</v>
          </cell>
          <cell r="J20">
            <v>504414</v>
          </cell>
          <cell r="K20">
            <v>1.0145936108203366</v>
          </cell>
          <cell r="L20">
            <v>631943</v>
          </cell>
          <cell r="M20">
            <v>1.2711093074391986</v>
          </cell>
          <cell r="N20">
            <v>358929</v>
          </cell>
          <cell r="O20">
            <v>0.72196067146854093</v>
          </cell>
          <cell r="P20">
            <v>2599117</v>
          </cell>
          <cell r="Q20">
            <v>5.2279427255677291</v>
          </cell>
          <cell r="R20">
            <v>285060</v>
          </cell>
          <cell r="S20">
            <v>0.57337832554299661</v>
          </cell>
          <cell r="T20">
            <v>12010333</v>
          </cell>
          <cell r="U20">
            <v>24.157947887300203</v>
          </cell>
          <cell r="V20">
            <v>49715866</v>
          </cell>
          <cell r="W20">
            <v>100</v>
          </cell>
        </row>
        <row r="21">
          <cell r="D21">
            <v>0</v>
          </cell>
          <cell r="E21" t="str">
            <v xml:space="preserve">איכסאל </v>
          </cell>
          <cell r="F21">
            <v>658638</v>
          </cell>
          <cell r="G21">
            <v>81.765567583672663</v>
          </cell>
          <cell r="H21">
            <v>65959</v>
          </cell>
          <cell r="I21">
            <v>8.1883752110437982</v>
          </cell>
          <cell r="J21">
            <v>856</v>
          </cell>
          <cell r="K21">
            <v>0.10626675936041316</v>
          </cell>
          <cell r="L21">
            <v>220</v>
          </cell>
          <cell r="M21">
            <v>2.731155030290992E-2</v>
          </cell>
          <cell r="N21">
            <v>0</v>
          </cell>
          <cell r="O21">
            <v>0</v>
          </cell>
          <cell r="P21">
            <v>52417</v>
          </cell>
          <cell r="Q21">
            <v>6.5072251464892243</v>
          </cell>
          <cell r="R21">
            <v>8444</v>
          </cell>
          <cell r="S21">
            <v>1.0482669579898698</v>
          </cell>
          <cell r="T21">
            <v>18986</v>
          </cell>
          <cell r="U21">
            <v>2.3569867911411264</v>
          </cell>
          <cell r="V21">
            <v>805520</v>
          </cell>
          <cell r="W21">
            <v>99.999999999999986</v>
          </cell>
        </row>
        <row r="22">
          <cell r="D22">
            <v>0</v>
          </cell>
          <cell r="E22" t="str">
            <v xml:space="preserve">ריינה </v>
          </cell>
          <cell r="F22">
            <v>885382</v>
          </cell>
          <cell r="G22">
            <v>86.553358385503628</v>
          </cell>
          <cell r="H22">
            <v>100</v>
          </cell>
          <cell r="I22">
            <v>9.7758208756789297E-3</v>
          </cell>
          <cell r="J22">
            <v>54527</v>
          </cell>
          <cell r="K22">
            <v>5.330461848881451</v>
          </cell>
          <cell r="L22">
            <v>3669</v>
          </cell>
          <cell r="M22">
            <v>0.35867486792865999</v>
          </cell>
          <cell r="N22">
            <v>0</v>
          </cell>
          <cell r="O22">
            <v>0</v>
          </cell>
          <cell r="P22">
            <v>47932</v>
          </cell>
          <cell r="Q22">
            <v>4.6857464621304254</v>
          </cell>
          <cell r="R22">
            <v>22311</v>
          </cell>
          <cell r="S22">
            <v>2.1810833955727262</v>
          </cell>
          <cell r="T22">
            <v>9011</v>
          </cell>
          <cell r="U22">
            <v>0.88089921910742852</v>
          </cell>
          <cell r="V22">
            <v>1022932</v>
          </cell>
          <cell r="W22">
            <v>100</v>
          </cell>
        </row>
        <row r="23">
          <cell r="D23">
            <v>0</v>
          </cell>
          <cell r="E23" t="str">
            <v>עילוט</v>
          </cell>
          <cell r="F23">
            <v>356529</v>
          </cell>
          <cell r="G23">
            <v>82.245808457826215</v>
          </cell>
          <cell r="H23">
            <v>0</v>
          </cell>
          <cell r="I23">
            <v>0</v>
          </cell>
          <cell r="J23">
            <v>14308</v>
          </cell>
          <cell r="K23">
            <v>3.3006376126895076</v>
          </cell>
          <cell r="L23">
            <v>0</v>
          </cell>
          <cell r="M23">
            <v>0</v>
          </cell>
          <cell r="N23">
            <v>0</v>
          </cell>
          <cell r="O23">
            <v>0</v>
          </cell>
          <cell r="P23">
            <v>26291</v>
          </cell>
          <cell r="Q23">
            <v>6.0649331475552026</v>
          </cell>
          <cell r="R23">
            <v>9670</v>
          </cell>
          <cell r="S23">
            <v>2.2307216742177483</v>
          </cell>
          <cell r="T23">
            <v>26694</v>
          </cell>
          <cell r="U23">
            <v>6.1578991077113301</v>
          </cell>
          <cell r="V23">
            <v>433492</v>
          </cell>
          <cell r="W23">
            <v>100.00000000000001</v>
          </cell>
        </row>
        <row r="24">
          <cell r="D24">
            <v>0</v>
          </cell>
          <cell r="E24" t="str">
            <v xml:space="preserve">יפיע </v>
          </cell>
          <cell r="F24">
            <v>733369</v>
          </cell>
          <cell r="G24">
            <v>87.956818500737</v>
          </cell>
          <cell r="H24">
            <v>1024</v>
          </cell>
          <cell r="I24">
            <v>0.12281372971144769</v>
          </cell>
          <cell r="J24">
            <v>59173</v>
          </cell>
          <cell r="K24">
            <v>7.0969304963041946</v>
          </cell>
          <cell r="L24">
            <v>199</v>
          </cell>
          <cell r="M24">
            <v>2.3867121301345794E-2</v>
          </cell>
          <cell r="N24">
            <v>0</v>
          </cell>
          <cell r="O24">
            <v>0</v>
          </cell>
          <cell r="P24">
            <v>28923</v>
          </cell>
          <cell r="Q24">
            <v>3.4688881879337905</v>
          </cell>
          <cell r="R24">
            <v>5879</v>
          </cell>
          <cell r="S24">
            <v>0.70509952829453226</v>
          </cell>
          <cell r="T24">
            <v>5216</v>
          </cell>
          <cell r="U24">
            <v>0.62558243571768668</v>
          </cell>
          <cell r="V24">
            <v>833783</v>
          </cell>
          <cell r="W24">
            <v>100</v>
          </cell>
        </row>
        <row r="25">
          <cell r="D25">
            <v>0</v>
          </cell>
          <cell r="E25" t="str">
            <v xml:space="preserve">נצרת </v>
          </cell>
          <cell r="F25">
            <v>2851268</v>
          </cell>
          <cell r="G25">
            <v>78.372597951729105</v>
          </cell>
          <cell r="H25">
            <v>6658</v>
          </cell>
          <cell r="I25">
            <v>0.18300796598657593</v>
          </cell>
          <cell r="J25">
            <v>238371</v>
          </cell>
          <cell r="K25">
            <v>6.5520864914668202</v>
          </cell>
          <cell r="L25">
            <v>71852</v>
          </cell>
          <cell r="M25">
            <v>1.9749907437770282</v>
          </cell>
          <cell r="N25">
            <v>0</v>
          </cell>
          <cell r="O25">
            <v>0</v>
          </cell>
          <cell r="P25">
            <v>234079</v>
          </cell>
          <cell r="Q25">
            <v>6.4341125969017279</v>
          </cell>
          <cell r="R25">
            <v>21846</v>
          </cell>
          <cell r="S25">
            <v>0.60047942699650614</v>
          </cell>
          <cell r="T25">
            <v>214019</v>
          </cell>
          <cell r="U25">
            <v>5.882724823142234</v>
          </cell>
          <cell r="V25">
            <v>3638093</v>
          </cell>
          <cell r="W25">
            <v>100</v>
          </cell>
        </row>
        <row r="26">
          <cell r="D26" t="str">
            <v>הרי נצרת מפעלי מים וביוב בע"מ</v>
          </cell>
          <cell r="E26" t="str">
            <v xml:space="preserve">סה"כ תאגיד </v>
          </cell>
          <cell r="F26">
            <v>5485186</v>
          </cell>
          <cell r="G26">
            <v>81.457270910122332</v>
          </cell>
          <cell r="H26">
            <v>73741</v>
          </cell>
          <cell r="I26">
            <v>1.0950842166853287</v>
          </cell>
          <cell r="J26">
            <v>367235</v>
          </cell>
          <cell r="K26">
            <v>5.4535909780778224</v>
          </cell>
          <cell r="L26">
            <v>75940</v>
          </cell>
          <cell r="M26">
            <v>1.1277402722377492</v>
          </cell>
          <cell r="N26">
            <v>0</v>
          </cell>
          <cell r="O26">
            <v>0</v>
          </cell>
          <cell r="P26">
            <v>389642</v>
          </cell>
          <cell r="Q26">
            <v>5.7863441553234276</v>
          </cell>
          <cell r="R26">
            <v>68150</v>
          </cell>
          <cell r="S26">
            <v>1.012055564300798</v>
          </cell>
          <cell r="T26">
            <v>273926</v>
          </cell>
          <cell r="U26">
            <v>4.0679139032525375</v>
          </cell>
          <cell r="V26">
            <v>6733820</v>
          </cell>
          <cell r="W26">
            <v>99.999999999999986</v>
          </cell>
        </row>
        <row r="27">
          <cell r="D27">
            <v>0</v>
          </cell>
          <cell r="E27" t="str">
            <v xml:space="preserve">מטולה </v>
          </cell>
          <cell r="F27">
            <v>119876</v>
          </cell>
          <cell r="G27">
            <v>63.136827358098039</v>
          </cell>
          <cell r="H27">
            <v>13298</v>
          </cell>
          <cell r="I27">
            <v>7.003850063465479</v>
          </cell>
          <cell r="J27">
            <v>2873</v>
          </cell>
          <cell r="K27">
            <v>1.5131644782926996</v>
          </cell>
          <cell r="L27">
            <v>137</v>
          </cell>
          <cell r="M27">
            <v>7.2155772198433638E-2</v>
          </cell>
          <cell r="N27">
            <v>26</v>
          </cell>
          <cell r="O27">
            <v>1.369379618364434E-2</v>
          </cell>
          <cell r="P27">
            <v>3658</v>
          </cell>
          <cell r="Q27">
            <v>1.9266117861450383</v>
          </cell>
          <cell r="R27">
            <v>842</v>
          </cell>
          <cell r="S27">
            <v>0.44346832256263596</v>
          </cell>
          <cell r="T27">
            <v>49157</v>
          </cell>
          <cell r="U27">
            <v>25.890228423054033</v>
          </cell>
          <cell r="V27">
            <v>189867</v>
          </cell>
          <cell r="W27">
            <v>100</v>
          </cell>
        </row>
        <row r="28">
          <cell r="D28">
            <v>0</v>
          </cell>
          <cell r="E28" t="str">
            <v>קרית שמונה</v>
          </cell>
          <cell r="F28">
            <v>1189309</v>
          </cell>
          <cell r="G28">
            <v>71.33134848995563</v>
          </cell>
          <cell r="H28">
            <v>90171</v>
          </cell>
          <cell r="I28">
            <v>5.4081983947719134</v>
          </cell>
          <cell r="J28">
            <v>96106</v>
          </cell>
          <cell r="K28">
            <v>5.7641627011783108</v>
          </cell>
          <cell r="L28">
            <v>3888</v>
          </cell>
          <cell r="M28">
            <v>0.23319110754980199</v>
          </cell>
          <cell r="N28">
            <v>1623</v>
          </cell>
          <cell r="O28">
            <v>9.734289288923062E-2</v>
          </cell>
          <cell r="P28">
            <v>203555</v>
          </cell>
          <cell r="Q28">
            <v>12.208646064120357</v>
          </cell>
          <cell r="R28">
            <v>4986</v>
          </cell>
          <cell r="S28">
            <v>0.2990460036634035</v>
          </cell>
          <cell r="T28">
            <v>77664</v>
          </cell>
          <cell r="U28">
            <v>4.6580643458713533</v>
          </cell>
          <cell r="V28">
            <v>1667302</v>
          </cell>
          <cell r="W28">
            <v>100</v>
          </cell>
        </row>
        <row r="29">
          <cell r="D29">
            <v>0</v>
          </cell>
          <cell r="E29" t="str">
            <v>קצרין</v>
          </cell>
          <cell r="F29">
            <v>332975</v>
          </cell>
          <cell r="G29">
            <v>59.002133450519544</v>
          </cell>
          <cell r="H29">
            <v>126259</v>
          </cell>
          <cell r="I29">
            <v>22.372701756375545</v>
          </cell>
          <cell r="J29">
            <v>36121</v>
          </cell>
          <cell r="K29">
            <v>6.4005287555108232</v>
          </cell>
          <cell r="L29">
            <v>1143</v>
          </cell>
          <cell r="M29">
            <v>0.20253604184681684</v>
          </cell>
          <cell r="N29">
            <v>502</v>
          </cell>
          <cell r="O29">
            <v>8.895283727655473E-2</v>
          </cell>
          <cell r="P29">
            <v>39321</v>
          </cell>
          <cell r="Q29">
            <v>6.9675587939271093</v>
          </cell>
          <cell r="R29">
            <v>2018</v>
          </cell>
          <cell r="S29">
            <v>0.3575833179762698</v>
          </cell>
          <cell r="T29">
            <v>26005</v>
          </cell>
          <cell r="U29">
            <v>4.6080050465673423</v>
          </cell>
          <cell r="V29">
            <v>564344</v>
          </cell>
          <cell r="W29">
            <v>99.999999999999986</v>
          </cell>
        </row>
        <row r="30">
          <cell r="D30" t="str">
            <v>התנור מים וביוב בע"מ</v>
          </cell>
          <cell r="E30" t="str">
            <v xml:space="preserve">סה"כ תאגיד </v>
          </cell>
          <cell r="F30">
            <v>1642160</v>
          </cell>
          <cell r="G30">
            <v>67.815452570355802</v>
          </cell>
          <cell r="H30">
            <v>229728</v>
          </cell>
          <cell r="I30">
            <v>9.4869612510855816</v>
          </cell>
          <cell r="J30">
            <v>135100</v>
          </cell>
          <cell r="K30">
            <v>5.579156502566784</v>
          </cell>
          <cell r="L30">
            <v>5168</v>
          </cell>
          <cell r="M30">
            <v>0.21342028723364279</v>
          </cell>
          <cell r="N30">
            <v>2151</v>
          </cell>
          <cell r="O30">
            <v>8.8828761191866404E-2</v>
          </cell>
          <cell r="P30">
            <v>246534</v>
          </cell>
          <cell r="Q30">
            <v>10.180990149546998</v>
          </cell>
          <cell r="R30">
            <v>7846</v>
          </cell>
          <cell r="S30">
            <v>0.32401230139999249</v>
          </cell>
          <cell r="T30">
            <v>152826</v>
          </cell>
          <cell r="U30">
            <v>6.311178176619328</v>
          </cell>
          <cell r="V30">
            <v>2421513</v>
          </cell>
          <cell r="W30">
            <v>99.999999999999986</v>
          </cell>
        </row>
        <row r="31">
          <cell r="D31">
            <v>0</v>
          </cell>
          <cell r="E31" t="str">
            <v xml:space="preserve">אשדוד </v>
          </cell>
          <cell r="F31">
            <v>10043599</v>
          </cell>
          <cell r="G31">
            <v>70.634556994847983</v>
          </cell>
          <cell r="H31">
            <v>1512131</v>
          </cell>
          <cell r="I31">
            <v>10.634504952176654</v>
          </cell>
          <cell r="J31">
            <v>684414</v>
          </cell>
          <cell r="K31">
            <v>4.8133422781088617</v>
          </cell>
          <cell r="L31">
            <v>24712</v>
          </cell>
          <cell r="M31">
            <v>0.17379439107999867</v>
          </cell>
          <cell r="N31">
            <v>84043</v>
          </cell>
          <cell r="O31">
            <v>0.59105705768599581</v>
          </cell>
          <cell r="P31">
            <v>1244223</v>
          </cell>
          <cell r="Q31">
            <v>8.7503633316902398</v>
          </cell>
          <cell r="R31">
            <v>250402</v>
          </cell>
          <cell r="S31">
            <v>1.7610255388157099</v>
          </cell>
          <cell r="T31">
            <v>375577</v>
          </cell>
          <cell r="U31">
            <v>2.6413554555945558</v>
          </cell>
          <cell r="V31">
            <v>14219101</v>
          </cell>
          <cell r="W31">
            <v>100</v>
          </cell>
        </row>
        <row r="32">
          <cell r="D32" t="str">
            <v>יובלים אשדוד בע"מ</v>
          </cell>
          <cell r="E32" t="str">
            <v xml:space="preserve">סה"כ תאגיד </v>
          </cell>
          <cell r="F32">
            <v>10043599</v>
          </cell>
          <cell r="G32">
            <v>70.634556994847983</v>
          </cell>
          <cell r="H32">
            <v>1512131</v>
          </cell>
          <cell r="I32">
            <v>10.634504952176654</v>
          </cell>
          <cell r="J32">
            <v>684414</v>
          </cell>
          <cell r="K32">
            <v>4.8133422781088617</v>
          </cell>
          <cell r="L32">
            <v>24712</v>
          </cell>
          <cell r="M32">
            <v>0.17379439107999867</v>
          </cell>
          <cell r="N32">
            <v>84043</v>
          </cell>
          <cell r="O32">
            <v>0.59105705768599581</v>
          </cell>
          <cell r="P32">
            <v>1244223</v>
          </cell>
          <cell r="Q32">
            <v>8.7503633316902398</v>
          </cell>
          <cell r="R32">
            <v>250402</v>
          </cell>
          <cell r="S32">
            <v>1.7610255388157099</v>
          </cell>
          <cell r="T32">
            <v>375577</v>
          </cell>
          <cell r="U32">
            <v>2.6413554555945558</v>
          </cell>
          <cell r="V32">
            <v>14219101</v>
          </cell>
          <cell r="W32">
            <v>100</v>
          </cell>
        </row>
        <row r="33">
          <cell r="D33">
            <v>0</v>
          </cell>
          <cell r="E33" t="str">
            <v>אריאל</v>
          </cell>
          <cell r="F33">
            <v>773685</v>
          </cell>
          <cell r="G33">
            <v>66.078521971513169</v>
          </cell>
          <cell r="H33">
            <v>157171</v>
          </cell>
          <cell r="I33">
            <v>13.423586313273098</v>
          </cell>
          <cell r="J33">
            <v>137499</v>
          </cell>
          <cell r="K33">
            <v>11.743449456252984</v>
          </cell>
          <cell r="L33">
            <v>0</v>
          </cell>
          <cell r="M33">
            <v>0</v>
          </cell>
          <cell r="N33">
            <v>412</v>
          </cell>
          <cell r="O33">
            <v>3.5187900828196783E-2</v>
          </cell>
          <cell r="P33">
            <v>79121</v>
          </cell>
          <cell r="Q33">
            <v>6.7575288869605776</v>
          </cell>
          <cell r="R33">
            <v>9379</v>
          </cell>
          <cell r="S33">
            <v>0.80103718899916898</v>
          </cell>
          <cell r="T33">
            <v>13590</v>
          </cell>
          <cell r="U33">
            <v>1.1606882821728015</v>
          </cell>
          <cell r="V33">
            <v>1170857</v>
          </cell>
          <cell r="W33">
            <v>99.999999999999986</v>
          </cell>
        </row>
        <row r="34">
          <cell r="D34">
            <v>0</v>
          </cell>
          <cell r="E34" t="str">
            <v>קרני שומרון</v>
          </cell>
          <cell r="F34">
            <v>305137</v>
          </cell>
          <cell r="G34">
            <v>63.460078655167173</v>
          </cell>
          <cell r="H34">
            <v>59887</v>
          </cell>
          <cell r="I34">
            <v>12.454843989493233</v>
          </cell>
          <cell r="J34">
            <v>34846</v>
          </cell>
          <cell r="K34">
            <v>7.2470067570237484</v>
          </cell>
          <cell r="L34">
            <v>0</v>
          </cell>
          <cell r="M34">
            <v>0</v>
          </cell>
          <cell r="N34">
            <v>956</v>
          </cell>
          <cell r="O34">
            <v>0.1988216282992224</v>
          </cell>
          <cell r="P34">
            <v>73237</v>
          </cell>
          <cell r="Q34">
            <v>15.231275723588023</v>
          </cell>
          <cell r="R34">
            <v>1035</v>
          </cell>
          <cell r="S34">
            <v>0.21525144904779828</v>
          </cell>
          <cell r="T34">
            <v>5735</v>
          </cell>
          <cell r="U34">
            <v>1.1927217973807955</v>
          </cell>
          <cell r="V34">
            <v>480833</v>
          </cell>
          <cell r="W34">
            <v>100.00000000000001</v>
          </cell>
        </row>
        <row r="35">
          <cell r="D35" t="str">
            <v>יובלים בשומרון בע"מ</v>
          </cell>
          <cell r="E35" t="str">
            <v xml:space="preserve">סה"כ תאגיד </v>
          </cell>
          <cell r="F35">
            <v>1078822</v>
          </cell>
          <cell r="G35">
            <v>65.316251839025483</v>
          </cell>
          <cell r="H35">
            <v>217058</v>
          </cell>
          <cell r="I35">
            <v>13.14157014936217</v>
          </cell>
          <cell r="J35">
            <v>172345</v>
          </cell>
          <cell r="K35">
            <v>10.434464094351846</v>
          </cell>
          <cell r="L35">
            <v>0</v>
          </cell>
          <cell r="M35">
            <v>0</v>
          </cell>
          <cell r="N35">
            <v>1368</v>
          </cell>
          <cell r="O35">
            <v>8.2824258789482283E-2</v>
          </cell>
          <cell r="P35">
            <v>152358</v>
          </cell>
          <cell r="Q35">
            <v>9.224370190532122</v>
          </cell>
          <cell r="R35">
            <v>10414</v>
          </cell>
          <cell r="S35">
            <v>0.63050572443981612</v>
          </cell>
          <cell r="T35">
            <v>19325</v>
          </cell>
          <cell r="U35">
            <v>1.1700137434990827</v>
          </cell>
          <cell r="V35">
            <v>1651690</v>
          </cell>
          <cell r="W35">
            <v>100.00000000000001</v>
          </cell>
        </row>
        <row r="36">
          <cell r="D36">
            <v>0</v>
          </cell>
          <cell r="E36" t="str">
            <v>קרית ים</v>
          </cell>
          <cell r="F36">
            <v>1905099</v>
          </cell>
          <cell r="G36">
            <v>79.614951119796089</v>
          </cell>
          <cell r="H36">
            <v>296192</v>
          </cell>
          <cell r="I36">
            <v>12.377997994894043</v>
          </cell>
          <cell r="J36">
            <v>89234</v>
          </cell>
          <cell r="K36">
            <v>3.72912932515522</v>
          </cell>
          <cell r="L36">
            <v>11557</v>
          </cell>
          <cell r="M36">
            <v>0.4829722707804075</v>
          </cell>
          <cell r="N36">
            <v>490</v>
          </cell>
          <cell r="O36">
            <v>2.047732220147094E-2</v>
          </cell>
          <cell r="P36">
            <v>47854</v>
          </cell>
          <cell r="Q36">
            <v>1.9998403604677355</v>
          </cell>
          <cell r="R36">
            <v>9541</v>
          </cell>
          <cell r="S36">
            <v>0.39872271658006991</v>
          </cell>
          <cell r="T36">
            <v>32924</v>
          </cell>
          <cell r="U36">
            <v>1.3759088901249577</v>
          </cell>
          <cell r="V36">
            <v>2392891</v>
          </cell>
          <cell r="W36">
            <v>99.999999999999986</v>
          </cell>
        </row>
        <row r="37">
          <cell r="D37" t="str">
            <v>ימים</v>
          </cell>
          <cell r="E37" t="str">
            <v xml:space="preserve">סה"כ תאגיד </v>
          </cell>
          <cell r="F37">
            <v>1905099</v>
          </cell>
          <cell r="G37">
            <v>79.614951119796089</v>
          </cell>
          <cell r="H37">
            <v>296192</v>
          </cell>
          <cell r="I37">
            <v>12.377997994894043</v>
          </cell>
          <cell r="J37">
            <v>89234</v>
          </cell>
          <cell r="K37">
            <v>3.72912932515522</v>
          </cell>
          <cell r="L37">
            <v>11557</v>
          </cell>
          <cell r="M37">
            <v>0.4829722707804075</v>
          </cell>
          <cell r="N37">
            <v>490</v>
          </cell>
          <cell r="O37">
            <v>2.047732220147094E-2</v>
          </cell>
          <cell r="P37">
            <v>47854</v>
          </cell>
          <cell r="Q37">
            <v>1.9998403604677355</v>
          </cell>
          <cell r="R37">
            <v>9541</v>
          </cell>
          <cell r="S37">
            <v>0.39872271658006991</v>
          </cell>
          <cell r="T37">
            <v>32924</v>
          </cell>
          <cell r="U37">
            <v>1.3759088901249577</v>
          </cell>
          <cell r="V37">
            <v>2392891</v>
          </cell>
          <cell r="W37">
            <v>99.999999999999986</v>
          </cell>
        </row>
        <row r="38">
          <cell r="D38">
            <v>0</v>
          </cell>
          <cell r="E38" t="str">
            <v xml:space="preserve">דבוריה </v>
          </cell>
          <cell r="F38">
            <v>463240</v>
          </cell>
          <cell r="G38">
            <v>89.424946092919015</v>
          </cell>
          <cell r="H38">
            <v>0</v>
          </cell>
          <cell r="I38">
            <v>0</v>
          </cell>
          <cell r="J38">
            <v>14324</v>
          </cell>
          <cell r="K38">
            <v>2.7651388650267075</v>
          </cell>
          <cell r="L38">
            <v>10749</v>
          </cell>
          <cell r="M38">
            <v>2.0750124029720802</v>
          </cell>
          <cell r="N38">
            <v>0</v>
          </cell>
          <cell r="O38">
            <v>0</v>
          </cell>
          <cell r="P38">
            <v>3250</v>
          </cell>
          <cell r="Q38">
            <v>0.62738769277693374</v>
          </cell>
          <cell r="R38">
            <v>9025</v>
          </cell>
          <cell r="S38">
            <v>1.7422073622497929</v>
          </cell>
          <cell r="T38">
            <v>17433</v>
          </cell>
          <cell r="U38">
            <v>3.3653075840554729</v>
          </cell>
          <cell r="V38">
            <v>518021</v>
          </cell>
          <cell r="W38">
            <v>100</v>
          </cell>
        </row>
        <row r="39">
          <cell r="D39">
            <v>0</v>
          </cell>
          <cell r="E39" t="str">
            <v xml:space="preserve">טורעאן </v>
          </cell>
          <cell r="F39">
            <v>521505</v>
          </cell>
          <cell r="G39">
            <v>78.760771923677538</v>
          </cell>
          <cell r="H39">
            <v>2661</v>
          </cell>
          <cell r="I39">
            <v>0.40187997064056136</v>
          </cell>
          <cell r="J39">
            <v>64314</v>
          </cell>
          <cell r="K39">
            <v>9.7130809589541762</v>
          </cell>
          <cell r="L39">
            <v>0</v>
          </cell>
          <cell r="M39">
            <v>0</v>
          </cell>
          <cell r="N39">
            <v>0</v>
          </cell>
          <cell r="O39">
            <v>0</v>
          </cell>
          <cell r="P39">
            <v>4818</v>
          </cell>
          <cell r="Q39">
            <v>0.72764287807073447</v>
          </cell>
          <cell r="R39">
            <v>11106</v>
          </cell>
          <cell r="S39">
            <v>1.6772938571717677</v>
          </cell>
          <cell r="T39">
            <v>57734</v>
          </cell>
          <cell r="U39">
            <v>8.7193304114852204</v>
          </cell>
          <cell r="V39">
            <v>662138</v>
          </cell>
          <cell r="W39">
            <v>100</v>
          </cell>
        </row>
        <row r="40">
          <cell r="D40">
            <v>0</v>
          </cell>
          <cell r="E40" t="str">
            <v xml:space="preserve">שבלי </v>
          </cell>
          <cell r="F40">
            <v>230734</v>
          </cell>
          <cell r="G40">
            <v>90.046050577583514</v>
          </cell>
          <cell r="H40">
            <v>5439</v>
          </cell>
          <cell r="I40">
            <v>2.1226194192944114</v>
          </cell>
          <cell r="J40">
            <v>14879</v>
          </cell>
          <cell r="K40">
            <v>5.8066656259756479</v>
          </cell>
          <cell r="L40">
            <v>0</v>
          </cell>
          <cell r="M40">
            <v>0</v>
          </cell>
          <cell r="N40">
            <v>0</v>
          </cell>
          <cell r="O40">
            <v>0</v>
          </cell>
          <cell r="P40">
            <v>362</v>
          </cell>
          <cell r="Q40">
            <v>0.14127380580705587</v>
          </cell>
          <cell r="R40">
            <v>1171</v>
          </cell>
          <cell r="S40">
            <v>0.45699344364658134</v>
          </cell>
          <cell r="T40">
            <v>3655</v>
          </cell>
          <cell r="U40">
            <v>1.426397127692788</v>
          </cell>
          <cell r="V40">
            <v>256240</v>
          </cell>
          <cell r="W40">
            <v>100.00000000000001</v>
          </cell>
        </row>
        <row r="41">
          <cell r="D41">
            <v>0</v>
          </cell>
          <cell r="E41" t="str">
            <v>בועיינה-נוג'ידאת</v>
          </cell>
          <cell r="F41">
            <v>237211</v>
          </cell>
          <cell r="G41">
            <v>85.714337334595626</v>
          </cell>
          <cell r="H41">
            <v>3936</v>
          </cell>
          <cell r="I41">
            <v>1.4222427785767453</v>
          </cell>
          <cell r="J41">
            <v>26312</v>
          </cell>
          <cell r="K41">
            <v>9.507635160038447</v>
          </cell>
          <cell r="L41">
            <v>0</v>
          </cell>
          <cell r="M41">
            <v>0</v>
          </cell>
          <cell r="N41">
            <v>0</v>
          </cell>
          <cell r="O41">
            <v>0</v>
          </cell>
          <cell r="P41">
            <v>3031</v>
          </cell>
          <cell r="Q41">
            <v>1.0952281153115131</v>
          </cell>
          <cell r="R41">
            <v>3840</v>
          </cell>
          <cell r="S41">
            <v>1.3875539303187761</v>
          </cell>
          <cell r="T41">
            <v>2416</v>
          </cell>
          <cell r="U41">
            <v>0.87300268115889668</v>
          </cell>
          <cell r="V41">
            <v>276746</v>
          </cell>
          <cell r="W41">
            <v>100</v>
          </cell>
        </row>
        <row r="42">
          <cell r="D42">
            <v>0</v>
          </cell>
          <cell r="E42" t="str">
            <v xml:space="preserve">כפר כנא </v>
          </cell>
          <cell r="F42">
            <v>766866</v>
          </cell>
          <cell r="G42">
            <v>79.726491390217603</v>
          </cell>
          <cell r="H42">
            <v>14095</v>
          </cell>
          <cell r="I42">
            <v>1.4653732153272112</v>
          </cell>
          <cell r="J42">
            <v>63143</v>
          </cell>
          <cell r="K42">
            <v>6.5646016981487127</v>
          </cell>
          <cell r="L42">
            <v>0</v>
          </cell>
          <cell r="M42">
            <v>0</v>
          </cell>
          <cell r="N42">
            <v>0</v>
          </cell>
          <cell r="O42">
            <v>0</v>
          </cell>
          <cell r="P42">
            <v>8408</v>
          </cell>
          <cell r="Q42">
            <v>0.87412969098766891</v>
          </cell>
          <cell r="R42">
            <v>12539</v>
          </cell>
          <cell r="S42">
            <v>1.3036051611910535</v>
          </cell>
          <cell r="T42">
            <v>96820</v>
          </cell>
          <cell r="U42">
            <v>10.065798844127746</v>
          </cell>
          <cell r="V42">
            <v>961871</v>
          </cell>
          <cell r="W42">
            <v>99.999999999999986</v>
          </cell>
        </row>
        <row r="43">
          <cell r="D43">
            <v>0</v>
          </cell>
          <cell r="E43" t="str">
            <v xml:space="preserve">משהד </v>
          </cell>
          <cell r="F43">
            <v>288455</v>
          </cell>
          <cell r="G43">
            <v>91.682161303138656</v>
          </cell>
          <cell r="H43">
            <v>0</v>
          </cell>
          <cell r="I43">
            <v>0</v>
          </cell>
          <cell r="J43">
            <v>20190</v>
          </cell>
          <cell r="K43">
            <v>6.417163289630512</v>
          </cell>
          <cell r="L43">
            <v>0</v>
          </cell>
          <cell r="M43">
            <v>0</v>
          </cell>
          <cell r="N43">
            <v>0</v>
          </cell>
          <cell r="O43">
            <v>0</v>
          </cell>
          <cell r="P43">
            <v>226</v>
          </cell>
          <cell r="Q43">
            <v>7.1831545490663493E-2</v>
          </cell>
          <cell r="R43">
            <v>1710</v>
          </cell>
          <cell r="S43">
            <v>0.54350417163289633</v>
          </cell>
          <cell r="T43">
            <v>4044</v>
          </cell>
          <cell r="U43">
            <v>1.2853396901072704</v>
          </cell>
          <cell r="V43">
            <v>314625</v>
          </cell>
          <cell r="W43">
            <v>99.999999999999986</v>
          </cell>
        </row>
        <row r="44">
          <cell r="D44">
            <v>0</v>
          </cell>
          <cell r="E44" t="str">
            <v>עין מאהל</v>
          </cell>
          <cell r="F44">
            <v>458395</v>
          </cell>
          <cell r="G44">
            <v>89.103897366119156</v>
          </cell>
          <cell r="H44">
            <v>358</v>
          </cell>
          <cell r="I44">
            <v>2.0239577815505787</v>
          </cell>
          <cell r="J44">
            <v>29834</v>
          </cell>
          <cell r="K44">
            <v>3.0797385052935997</v>
          </cell>
          <cell r="L44">
            <v>0</v>
          </cell>
          <cell r="M44">
            <v>3.3929647419206226E-2</v>
          </cell>
          <cell r="N44">
            <v>0</v>
          </cell>
          <cell r="O44">
            <v>6.9009452378046565E-3</v>
          </cell>
          <cell r="P44">
            <v>5240</v>
          </cell>
          <cell r="Q44">
            <v>2.0319449866869266</v>
          </cell>
          <cell r="R44">
            <v>16636</v>
          </cell>
          <cell r="S44">
            <v>0.8929695342437044</v>
          </cell>
          <cell r="T44">
            <v>3987</v>
          </cell>
          <cell r="U44">
            <v>1.7130318600028245</v>
          </cell>
          <cell r="V44">
            <v>514450</v>
          </cell>
          <cell r="W44">
            <v>100</v>
          </cell>
        </row>
        <row r="45">
          <cell r="D45" t="str">
            <v>כפרי גליל תחתון בע"מ</v>
          </cell>
          <cell r="E45" t="str">
            <v xml:space="preserve">סה"כ תאגיד </v>
          </cell>
          <cell r="F45">
            <v>2966406</v>
          </cell>
          <cell r="G45">
            <v>84.655506948877758</v>
          </cell>
          <cell r="H45">
            <v>26489</v>
          </cell>
          <cell r="I45">
            <v>0.75594497973939601</v>
          </cell>
          <cell r="J45">
            <v>232996</v>
          </cell>
          <cell r="K45">
            <v>6.6492565404266042</v>
          </cell>
          <cell r="L45">
            <v>10749</v>
          </cell>
          <cell r="M45">
            <v>0.30675573208572493</v>
          </cell>
          <cell r="N45">
            <v>0</v>
          </cell>
          <cell r="O45">
            <v>0</v>
          </cell>
          <cell r="P45">
            <v>25335</v>
          </cell>
          <cell r="Q45">
            <v>0.72301204506389816</v>
          </cell>
          <cell r="R45">
            <v>56027</v>
          </cell>
          <cell r="S45">
            <v>1.5989025399169143</v>
          </cell>
          <cell r="T45">
            <v>186089</v>
          </cell>
          <cell r="U45">
            <v>5.3106212138897071</v>
          </cell>
          <cell r="V45">
            <v>3504091</v>
          </cell>
          <cell r="W45">
            <v>100</v>
          </cell>
        </row>
        <row r="46">
          <cell r="D46">
            <v>0</v>
          </cell>
          <cell r="E46" t="str">
            <v>נצרת עלית</v>
          </cell>
          <cell r="F46">
            <v>1833241</v>
          </cell>
          <cell r="G46">
            <v>75.051563020696449</v>
          </cell>
          <cell r="H46">
            <v>169139</v>
          </cell>
          <cell r="I46">
            <v>6.9244285490874216</v>
          </cell>
          <cell r="J46">
            <v>138551</v>
          </cell>
          <cell r="K46">
            <v>5.6721779122769522</v>
          </cell>
          <cell r="L46">
            <v>17569</v>
          </cell>
          <cell r="M46">
            <v>0.71926217595537945</v>
          </cell>
          <cell r="N46">
            <v>374</v>
          </cell>
          <cell r="O46">
            <v>1.5311289988463313E-2</v>
          </cell>
          <cell r="P46">
            <v>272262</v>
          </cell>
          <cell r="Q46">
            <v>11.146209718820851</v>
          </cell>
          <cell r="R46">
            <v>5845</v>
          </cell>
          <cell r="S46">
            <v>0.23929008016729428</v>
          </cell>
          <cell r="T46">
            <v>5661</v>
          </cell>
          <cell r="U46">
            <v>0.23175725300719469</v>
          </cell>
          <cell r="V46">
            <v>2442642</v>
          </cell>
          <cell r="W46">
            <v>100</v>
          </cell>
        </row>
        <row r="47">
          <cell r="D47">
            <v>0</v>
          </cell>
          <cell r="E47" t="str">
            <v>מגדל העמק</v>
          </cell>
          <cell r="F47">
            <v>1059794</v>
          </cell>
          <cell r="G47">
            <v>75.496109413701504</v>
          </cell>
          <cell r="H47">
            <v>44566</v>
          </cell>
          <cell r="I47">
            <v>3.174729817427747</v>
          </cell>
          <cell r="J47">
            <v>70129</v>
          </cell>
          <cell r="K47">
            <v>4.9957507374767864</v>
          </cell>
          <cell r="L47">
            <v>4926</v>
          </cell>
          <cell r="M47">
            <v>0.35091143653567919</v>
          </cell>
          <cell r="N47">
            <v>4491</v>
          </cell>
          <cell r="O47">
            <v>0.31992352039824101</v>
          </cell>
          <cell r="P47">
            <v>215094</v>
          </cell>
          <cell r="Q47">
            <v>15.322562836014084</v>
          </cell>
          <cell r="R47">
            <v>4773</v>
          </cell>
          <cell r="S47">
            <v>0.34001223844595957</v>
          </cell>
          <cell r="T47">
            <v>0</v>
          </cell>
          <cell r="U47">
            <v>0</v>
          </cell>
          <cell r="V47">
            <v>1403773</v>
          </cell>
          <cell r="W47">
            <v>100</v>
          </cell>
        </row>
        <row r="48">
          <cell r="D48" t="str">
            <v>מי נע חברת המים והביוב של עיריית נצרת עילית בע"מ</v>
          </cell>
          <cell r="E48" t="str">
            <v xml:space="preserve">סה"כ </v>
          </cell>
          <cell r="F48">
            <v>2893035</v>
          </cell>
          <cell r="G48">
            <v>75.213802982777466</v>
          </cell>
          <cell r="H48">
            <v>213705</v>
          </cell>
          <cell r="I48">
            <v>5.5559527508082196</v>
          </cell>
          <cell r="J48">
            <v>208680</v>
          </cell>
          <cell r="K48">
            <v>5.4253116213409109</v>
          </cell>
          <cell r="L48">
            <v>22495</v>
          </cell>
          <cell r="M48">
            <v>0.58483029002330744</v>
          </cell>
          <cell r="N48">
            <v>4865</v>
          </cell>
          <cell r="O48">
            <v>0.12648141191213116</v>
          </cell>
          <cell r="P48">
            <v>487356</v>
          </cell>
          <cell r="Q48">
            <v>12.67039568013332</v>
          </cell>
          <cell r="R48">
            <v>10618</v>
          </cell>
          <cell r="S48">
            <v>0.27604925625550025</v>
          </cell>
          <cell r="T48">
            <v>5661</v>
          </cell>
          <cell r="U48">
            <v>0.14717600674914172</v>
          </cell>
          <cell r="V48">
            <v>3846415</v>
          </cell>
          <cell r="W48">
            <v>100.00000000000001</v>
          </cell>
        </row>
        <row r="49">
          <cell r="D49">
            <v>0</v>
          </cell>
          <cell r="E49" t="str">
            <v xml:space="preserve">תל אביב-יפו </v>
          </cell>
          <cell r="F49">
            <v>26159823</v>
          </cell>
          <cell r="G49">
            <v>66.870523450201873</v>
          </cell>
          <cell r="H49">
            <v>3039835</v>
          </cell>
          <cell r="I49">
            <v>7.7705173178061786</v>
          </cell>
          <cell r="J49">
            <v>1639445</v>
          </cell>
          <cell r="K49">
            <v>4.1907984361291817</v>
          </cell>
          <cell r="L49">
            <v>1084295</v>
          </cell>
          <cell r="M49">
            <v>2.7717073706667139</v>
          </cell>
          <cell r="N49">
            <v>44626</v>
          </cell>
          <cell r="O49">
            <v>0.1140743184496588</v>
          </cell>
          <cell r="P49">
            <v>6195648</v>
          </cell>
          <cell r="Q49">
            <v>15.837501074575172</v>
          </cell>
          <cell r="R49">
            <v>214331</v>
          </cell>
          <cell r="S49">
            <v>0.54787932478003443</v>
          </cell>
          <cell r="T49">
            <v>742108</v>
          </cell>
          <cell r="U49">
            <v>1.8969987073911934</v>
          </cell>
          <cell r="V49">
            <v>39120111</v>
          </cell>
          <cell r="W49">
            <v>100.00000000000001</v>
          </cell>
        </row>
        <row r="50">
          <cell r="D50" t="str">
            <v>מי אביבים 2010 בע"מ</v>
          </cell>
          <cell r="E50" t="str">
            <v xml:space="preserve">סה"כ תאגיד </v>
          </cell>
          <cell r="F50">
            <v>26159823</v>
          </cell>
          <cell r="G50">
            <v>66.870523450201873</v>
          </cell>
          <cell r="H50">
            <v>3039835</v>
          </cell>
          <cell r="I50">
            <v>7.7705173178061786</v>
          </cell>
          <cell r="J50">
            <v>1639445</v>
          </cell>
          <cell r="K50">
            <v>4.1907984361291817</v>
          </cell>
          <cell r="L50">
            <v>1084295</v>
          </cell>
          <cell r="M50">
            <v>2.7717073706667139</v>
          </cell>
          <cell r="N50">
            <v>44626</v>
          </cell>
          <cell r="O50">
            <v>0.1140743184496588</v>
          </cell>
          <cell r="P50">
            <v>6195648</v>
          </cell>
          <cell r="Q50">
            <v>15.837501074575172</v>
          </cell>
          <cell r="R50">
            <v>214331</v>
          </cell>
          <cell r="S50">
            <v>0.54787932478003443</v>
          </cell>
          <cell r="T50">
            <v>742108</v>
          </cell>
          <cell r="U50">
            <v>1.8969987073911934</v>
          </cell>
          <cell r="V50">
            <v>39120111</v>
          </cell>
          <cell r="W50">
            <v>100.00000000000001</v>
          </cell>
        </row>
        <row r="51">
          <cell r="D51">
            <v>0</v>
          </cell>
          <cell r="E51" t="str">
            <v>קרית אונו</v>
          </cell>
          <cell r="F51">
            <v>1985714</v>
          </cell>
          <cell r="G51">
            <v>84.142812528999769</v>
          </cell>
          <cell r="H51">
            <v>156632</v>
          </cell>
          <cell r="I51">
            <v>6.6371375797533227</v>
          </cell>
          <cell r="J51">
            <v>70730</v>
          </cell>
          <cell r="K51">
            <v>2.9971189860051113</v>
          </cell>
          <cell r="L51">
            <v>0</v>
          </cell>
          <cell r="M51">
            <v>0</v>
          </cell>
          <cell r="N51">
            <v>1191</v>
          </cell>
          <cell r="O51">
            <v>5.0467534459664745E-2</v>
          </cell>
          <cell r="P51">
            <v>117534</v>
          </cell>
          <cell r="Q51">
            <v>4.9803956298759324</v>
          </cell>
          <cell r="R51">
            <v>27811</v>
          </cell>
          <cell r="S51">
            <v>1.1784656598301733</v>
          </cell>
          <cell r="T51">
            <v>321</v>
          </cell>
          <cell r="U51">
            <v>1.3602081076030548E-2</v>
          </cell>
          <cell r="V51">
            <v>2359933</v>
          </cell>
          <cell r="W51">
            <v>100</v>
          </cell>
        </row>
        <row r="52">
          <cell r="D52" t="str">
            <v>מי אונו בע"מ</v>
          </cell>
          <cell r="E52" t="str">
            <v xml:space="preserve">סה"כ תאגיד </v>
          </cell>
          <cell r="F52">
            <v>1985714</v>
          </cell>
          <cell r="G52">
            <v>84.142812528999769</v>
          </cell>
          <cell r="H52">
            <v>156632</v>
          </cell>
          <cell r="I52">
            <v>6.6371375797533227</v>
          </cell>
          <cell r="J52">
            <v>70730</v>
          </cell>
          <cell r="K52">
            <v>2.9971189860051113</v>
          </cell>
          <cell r="L52">
            <v>0</v>
          </cell>
          <cell r="M52">
            <v>0</v>
          </cell>
          <cell r="N52">
            <v>1191</v>
          </cell>
          <cell r="O52">
            <v>5.0467534459664745E-2</v>
          </cell>
          <cell r="P52">
            <v>117534</v>
          </cell>
          <cell r="Q52">
            <v>4.9803956298759324</v>
          </cell>
          <cell r="R52">
            <v>27811</v>
          </cell>
          <cell r="S52">
            <v>1.1784656598301733</v>
          </cell>
          <cell r="T52">
            <v>321</v>
          </cell>
          <cell r="U52">
            <v>1.3602081076030548E-2</v>
          </cell>
          <cell r="V52">
            <v>2359933</v>
          </cell>
          <cell r="W52">
            <v>100</v>
          </cell>
        </row>
        <row r="53">
          <cell r="D53">
            <v>0</v>
          </cell>
          <cell r="E53" t="str">
            <v>אשקלון</v>
          </cell>
          <cell r="F53">
            <v>5850567</v>
          </cell>
          <cell r="G53">
            <v>73.712843350441872</v>
          </cell>
          <cell r="H53">
            <v>652935</v>
          </cell>
          <cell r="I53">
            <v>8.226501016571687</v>
          </cell>
          <cell r="J53">
            <v>197169</v>
          </cell>
          <cell r="K53">
            <v>2.4841844577736265</v>
          </cell>
          <cell r="L53">
            <v>204691</v>
          </cell>
          <cell r="M53">
            <v>2.5789561282257423</v>
          </cell>
          <cell r="N53">
            <v>9108</v>
          </cell>
          <cell r="O53">
            <v>0.11475410455701553</v>
          </cell>
          <cell r="P53">
            <v>470724</v>
          </cell>
          <cell r="Q53">
            <v>5.9307763629223293</v>
          </cell>
          <cell r="R53">
            <v>75053</v>
          </cell>
          <cell r="S53">
            <v>0.94561262728564843</v>
          </cell>
          <cell r="T53">
            <v>476724</v>
          </cell>
          <cell r="U53">
            <v>6.0063719522220751</v>
          </cell>
          <cell r="V53">
            <v>7936971</v>
          </cell>
          <cell r="W53">
            <v>100</v>
          </cell>
        </row>
        <row r="54">
          <cell r="D54">
            <v>0</v>
          </cell>
          <cell r="E54" t="str">
            <v>נתיבות</v>
          </cell>
          <cell r="F54">
            <v>1282344</v>
          </cell>
          <cell r="G54">
            <v>74.615487113661501</v>
          </cell>
          <cell r="H54">
            <v>140174</v>
          </cell>
          <cell r="I54">
            <v>8.1562757658400464</v>
          </cell>
          <cell r="J54">
            <v>73040</v>
          </cell>
          <cell r="K54">
            <v>4.2499634877863004</v>
          </cell>
          <cell r="L54">
            <v>8268</v>
          </cell>
          <cell r="M54">
            <v>0.48108841890768261</v>
          </cell>
          <cell r="N54">
            <v>44261</v>
          </cell>
          <cell r="O54">
            <v>2.5754057219730209</v>
          </cell>
          <cell r="P54">
            <v>70692</v>
          </cell>
          <cell r="Q54">
            <v>4.1133408937375302</v>
          </cell>
          <cell r="R54">
            <v>30517</v>
          </cell>
          <cell r="S54">
            <v>1.7756864150708453</v>
          </cell>
          <cell r="T54">
            <v>69307</v>
          </cell>
          <cell r="U54">
            <v>4.0327521830230717</v>
          </cell>
          <cell r="V54">
            <v>1718603</v>
          </cell>
          <cell r="W54">
            <v>100.00000000000003</v>
          </cell>
        </row>
        <row r="55">
          <cell r="D55" t="str">
            <v>מי אשקלון בע"מ</v>
          </cell>
          <cell r="E55" t="str">
            <v xml:space="preserve">סה"כ תאגיד </v>
          </cell>
          <cell r="F55">
            <v>7132911</v>
          </cell>
          <cell r="G55">
            <v>73.873505604120481</v>
          </cell>
          <cell r="H55">
            <v>793109</v>
          </cell>
          <cell r="I55">
            <v>8.2140015704918223</v>
          </cell>
          <cell r="J55">
            <v>270209</v>
          </cell>
          <cell r="K55">
            <v>2.7984768176392207</v>
          </cell>
          <cell r="L55">
            <v>212959</v>
          </cell>
          <cell r="M55">
            <v>2.2055550503781549</v>
          </cell>
          <cell r="N55">
            <v>53369</v>
          </cell>
          <cell r="O55">
            <v>0.55272736763241626</v>
          </cell>
          <cell r="P55">
            <v>541416</v>
          </cell>
          <cell r="Q55">
            <v>5.607289633946154</v>
          </cell>
          <cell r="R55">
            <v>105570</v>
          </cell>
          <cell r="S55">
            <v>1.0933580955414977</v>
          </cell>
          <cell r="T55">
            <v>546031</v>
          </cell>
          <cell r="U55">
            <v>5.6550858602502556</v>
          </cell>
          <cell r="V55">
            <v>9655574</v>
          </cell>
          <cell r="W55">
            <v>100</v>
          </cell>
        </row>
        <row r="56">
          <cell r="D56">
            <v>0</v>
          </cell>
          <cell r="E56" t="str">
            <v>בני ברק</v>
          </cell>
          <cell r="F56">
            <v>6967448</v>
          </cell>
          <cell r="G56">
            <v>75.139698332484784</v>
          </cell>
          <cell r="H56">
            <v>122014</v>
          </cell>
          <cell r="I56">
            <v>1.3158469431475912</v>
          </cell>
          <cell r="J56">
            <v>170812</v>
          </cell>
          <cell r="K56">
            <v>1.8421037590188531</v>
          </cell>
          <cell r="L56">
            <v>135879</v>
          </cell>
          <cell r="M56">
            <v>1.4653725538704703</v>
          </cell>
          <cell r="N56">
            <v>361750</v>
          </cell>
          <cell r="O56">
            <v>3.9012542141364195</v>
          </cell>
          <cell r="P56">
            <v>634575</v>
          </cell>
          <cell r="Q56">
            <v>6.8435062693451787</v>
          </cell>
          <cell r="R56">
            <v>24970</v>
          </cell>
          <cell r="S56">
            <v>0.26928629641184909</v>
          </cell>
          <cell r="T56">
            <v>855211</v>
          </cell>
          <cell r="U56">
            <v>9.2229316315848564</v>
          </cell>
          <cell r="V56">
            <v>9272659</v>
          </cell>
          <cell r="W56">
            <v>100</v>
          </cell>
        </row>
        <row r="57">
          <cell r="D57" t="str">
            <v>מי ברק בע"מ</v>
          </cell>
          <cell r="E57" t="str">
            <v xml:space="preserve">סה"כ תאגיד </v>
          </cell>
          <cell r="F57">
            <v>6967448</v>
          </cell>
          <cell r="G57">
            <v>75.139698332484784</v>
          </cell>
          <cell r="H57">
            <v>122014</v>
          </cell>
          <cell r="I57">
            <v>1.3158469431475912</v>
          </cell>
          <cell r="J57">
            <v>170812</v>
          </cell>
          <cell r="K57">
            <v>1.8421037590188531</v>
          </cell>
          <cell r="L57">
            <v>135879</v>
          </cell>
          <cell r="M57">
            <v>1.4653725538704703</v>
          </cell>
          <cell r="N57">
            <v>361750</v>
          </cell>
          <cell r="O57">
            <v>3.9012542141364195</v>
          </cell>
          <cell r="P57">
            <v>634575</v>
          </cell>
          <cell r="Q57">
            <v>6.8435062693451787</v>
          </cell>
          <cell r="R57">
            <v>24970</v>
          </cell>
          <cell r="S57">
            <v>0.26928629641184909</v>
          </cell>
          <cell r="T57">
            <v>855211</v>
          </cell>
          <cell r="U57">
            <v>9.2229316315848564</v>
          </cell>
          <cell r="V57">
            <v>9272659</v>
          </cell>
          <cell r="W57">
            <v>100</v>
          </cell>
        </row>
        <row r="58">
          <cell r="D58">
            <v>0</v>
          </cell>
          <cell r="E58" t="str">
            <v xml:space="preserve">בת ים </v>
          </cell>
          <cell r="F58">
            <v>6382910</v>
          </cell>
          <cell r="G58">
            <v>81.026300215624644</v>
          </cell>
          <cell r="H58">
            <v>496714</v>
          </cell>
          <cell r="I58">
            <v>6.3054151923344977</v>
          </cell>
          <cell r="J58">
            <v>368597</v>
          </cell>
          <cell r="K58">
            <v>4.6790650628911576</v>
          </cell>
          <cell r="L58">
            <v>85928</v>
          </cell>
          <cell r="M58">
            <v>1.0907921191005663</v>
          </cell>
          <cell r="N58">
            <v>7909</v>
          </cell>
          <cell r="O58">
            <v>0.1003988789447721</v>
          </cell>
          <cell r="P58">
            <v>335213</v>
          </cell>
          <cell r="Q58">
            <v>4.2552799858027432</v>
          </cell>
          <cell r="R58">
            <v>22523</v>
          </cell>
          <cell r="S58">
            <v>0.28591275135581012</v>
          </cell>
          <cell r="T58">
            <v>177784</v>
          </cell>
          <cell r="U58">
            <v>2.2568357939458039</v>
          </cell>
          <cell r="V58">
            <v>7877578</v>
          </cell>
          <cell r="W58">
            <v>100</v>
          </cell>
        </row>
        <row r="59">
          <cell r="D59" t="str">
            <v>מי בת ים בע"מ</v>
          </cell>
          <cell r="E59" t="str">
            <v xml:space="preserve">סה"כ תאגיד </v>
          </cell>
          <cell r="F59">
            <v>6382910</v>
          </cell>
          <cell r="G59">
            <v>81.026300215624644</v>
          </cell>
          <cell r="H59">
            <v>496714</v>
          </cell>
          <cell r="I59">
            <v>6.3054151923344977</v>
          </cell>
          <cell r="J59">
            <v>368597</v>
          </cell>
          <cell r="K59">
            <v>4.6790650628911576</v>
          </cell>
          <cell r="L59">
            <v>85928</v>
          </cell>
          <cell r="M59">
            <v>1.0907921191005663</v>
          </cell>
          <cell r="N59">
            <v>7909</v>
          </cell>
          <cell r="O59">
            <v>0.1003988789447721</v>
          </cell>
          <cell r="P59">
            <v>335213</v>
          </cell>
          <cell r="Q59">
            <v>4.2552799858027432</v>
          </cell>
          <cell r="R59">
            <v>22523</v>
          </cell>
          <cell r="S59">
            <v>0.28591275135581012</v>
          </cell>
          <cell r="T59">
            <v>177784</v>
          </cell>
          <cell r="U59">
            <v>2.2568357939458039</v>
          </cell>
          <cell r="V59">
            <v>7877578</v>
          </cell>
          <cell r="W59">
            <v>100</v>
          </cell>
        </row>
        <row r="60">
          <cell r="D60">
            <v>0</v>
          </cell>
          <cell r="E60" t="str">
            <v xml:space="preserve">גבעתיים </v>
          </cell>
          <cell r="F60">
            <v>3005603</v>
          </cell>
          <cell r="G60">
            <v>84.493791163132229</v>
          </cell>
          <cell r="H60">
            <v>148952</v>
          </cell>
          <cell r="I60">
            <v>4.1873524817917973</v>
          </cell>
          <cell r="J60">
            <v>61573</v>
          </cell>
          <cell r="K60">
            <v>1.730945904461614</v>
          </cell>
          <cell r="L60">
            <v>40477</v>
          </cell>
          <cell r="M60">
            <v>1.1378931897892381</v>
          </cell>
          <cell r="N60">
            <v>3029</v>
          </cell>
          <cell r="O60">
            <v>8.51515298038788E-2</v>
          </cell>
          <cell r="P60">
            <v>220670</v>
          </cell>
          <cell r="Q60">
            <v>6.2034955700963801</v>
          </cell>
          <cell r="R60">
            <v>39905</v>
          </cell>
          <cell r="S60">
            <v>1.1218130725730548</v>
          </cell>
          <cell r="T60">
            <v>36979</v>
          </cell>
          <cell r="U60">
            <v>1.0395570883518104</v>
          </cell>
          <cell r="V60">
            <v>3557188</v>
          </cell>
          <cell r="W60">
            <v>100.00000000000001</v>
          </cell>
        </row>
        <row r="61">
          <cell r="D61" t="str">
            <v>מי גבעתיים בע"מ</v>
          </cell>
          <cell r="E61" t="str">
            <v xml:space="preserve">סה"כ תאגיד </v>
          </cell>
          <cell r="F61">
            <v>3005603</v>
          </cell>
          <cell r="G61">
            <v>84.493791163132229</v>
          </cell>
          <cell r="H61">
            <v>148952</v>
          </cell>
          <cell r="I61">
            <v>4.1873524817917973</v>
          </cell>
          <cell r="J61">
            <v>61573</v>
          </cell>
          <cell r="K61">
            <v>1.730945904461614</v>
          </cell>
          <cell r="L61">
            <v>40477</v>
          </cell>
          <cell r="M61">
            <v>1.1378931897892381</v>
          </cell>
          <cell r="N61">
            <v>3029</v>
          </cell>
          <cell r="O61">
            <v>8.51515298038788E-2</v>
          </cell>
          <cell r="P61">
            <v>220670</v>
          </cell>
          <cell r="Q61">
            <v>6.2034955700963801</v>
          </cell>
          <cell r="R61">
            <v>39905</v>
          </cell>
          <cell r="S61">
            <v>1.1218130725730548</v>
          </cell>
          <cell r="T61">
            <v>36979</v>
          </cell>
          <cell r="U61">
            <v>1.0395570883518104</v>
          </cell>
          <cell r="V61">
            <v>3557188</v>
          </cell>
          <cell r="W61">
            <v>100.00000000000001</v>
          </cell>
        </row>
        <row r="62">
          <cell r="D62">
            <v>0</v>
          </cell>
          <cell r="E62" t="str">
            <v xml:space="preserve">סכנין </v>
          </cell>
          <cell r="F62">
            <v>1116933</v>
          </cell>
          <cell r="G62">
            <v>82.175704697097785</v>
          </cell>
          <cell r="H62">
            <v>30732</v>
          </cell>
          <cell r="I62">
            <v>2.2610342399689229</v>
          </cell>
          <cell r="J62">
            <v>81054</v>
          </cell>
          <cell r="K62">
            <v>5.9633564130691488</v>
          </cell>
          <cell r="L62">
            <v>0</v>
          </cell>
          <cell r="M62">
            <v>0</v>
          </cell>
          <cell r="N62">
            <v>9261</v>
          </cell>
          <cell r="O62">
            <v>0.68135617910816726</v>
          </cell>
          <cell r="P62">
            <v>85168</v>
          </cell>
          <cell r="Q62">
            <v>6.2660342362902908</v>
          </cell>
          <cell r="R62">
            <v>19355</v>
          </cell>
          <cell r="S62">
            <v>1.4239983637445823</v>
          </cell>
          <cell r="T62">
            <v>16698</v>
          </cell>
          <cell r="U62">
            <v>1.2285158707211075</v>
          </cell>
          <cell r="V62">
            <v>1359201</v>
          </cell>
          <cell r="W62">
            <v>100.00000000000001</v>
          </cell>
        </row>
        <row r="63">
          <cell r="D63">
            <v>0</v>
          </cell>
          <cell r="E63" t="str">
            <v xml:space="preserve">נחף </v>
          </cell>
          <cell r="F63">
            <v>433540</v>
          </cell>
          <cell r="G63">
            <v>90.86812447470075</v>
          </cell>
          <cell r="H63">
            <v>3197</v>
          </cell>
          <cell r="I63">
            <v>0.67007748753429519</v>
          </cell>
          <cell r="J63">
            <v>20136</v>
          </cell>
          <cell r="K63">
            <v>4.2204192333408086</v>
          </cell>
          <cell r="L63">
            <v>0</v>
          </cell>
          <cell r="M63">
            <v>0</v>
          </cell>
          <cell r="N63">
            <v>0</v>
          </cell>
          <cell r="O63">
            <v>0</v>
          </cell>
          <cell r="P63">
            <v>8039</v>
          </cell>
          <cell r="Q63">
            <v>1.6849399193894898</v>
          </cell>
          <cell r="R63">
            <v>11387</v>
          </cell>
          <cell r="S63">
            <v>2.3866663592596242</v>
          </cell>
          <cell r="T63">
            <v>810</v>
          </cell>
          <cell r="U63">
            <v>0.16977252577503255</v>
          </cell>
          <cell r="V63">
            <v>477109</v>
          </cell>
          <cell r="W63">
            <v>100</v>
          </cell>
        </row>
        <row r="64">
          <cell r="D64">
            <v>0</v>
          </cell>
          <cell r="E64" t="str">
            <v xml:space="preserve">דיר חנא </v>
          </cell>
          <cell r="F64">
            <v>403928</v>
          </cell>
          <cell r="G64">
            <v>87.181402014594696</v>
          </cell>
          <cell r="H64">
            <v>10306</v>
          </cell>
          <cell r="I64">
            <v>2.2243853586837581</v>
          </cell>
          <cell r="J64">
            <v>22286</v>
          </cell>
          <cell r="K64">
            <v>4.8100768584927449</v>
          </cell>
          <cell r="L64">
            <v>0</v>
          </cell>
          <cell r="M64">
            <v>0</v>
          </cell>
          <cell r="N64">
            <v>0</v>
          </cell>
          <cell r="O64">
            <v>0</v>
          </cell>
          <cell r="P64">
            <v>10228</v>
          </cell>
          <cell r="Q64">
            <v>2.2075503055130485</v>
          </cell>
          <cell r="R64">
            <v>11043</v>
          </cell>
          <cell r="S64">
            <v>2.3834550277454625</v>
          </cell>
          <cell r="T64">
            <v>5528</v>
          </cell>
          <cell r="U64">
            <v>1.1931304349702905</v>
          </cell>
          <cell r="V64">
            <v>463319</v>
          </cell>
          <cell r="W64">
            <v>100.00000000000001</v>
          </cell>
        </row>
        <row r="65">
          <cell r="D65">
            <v>0</v>
          </cell>
          <cell r="E65" t="str">
            <v xml:space="preserve">בענה </v>
          </cell>
          <cell r="F65">
            <v>353928</v>
          </cell>
          <cell r="G65">
            <v>85.976849546343416</v>
          </cell>
          <cell r="H65">
            <v>16671</v>
          </cell>
          <cell r="I65">
            <v>4.0497503977845524</v>
          </cell>
          <cell r="J65">
            <v>9456</v>
          </cell>
          <cell r="K65">
            <v>2.2970691477086396</v>
          </cell>
          <cell r="L65">
            <v>0</v>
          </cell>
          <cell r="M65">
            <v>0</v>
          </cell>
          <cell r="N65">
            <v>0</v>
          </cell>
          <cell r="O65">
            <v>0</v>
          </cell>
          <cell r="P65">
            <v>29863</v>
          </cell>
          <cell r="Q65">
            <v>7.2543756300785853</v>
          </cell>
          <cell r="R65">
            <v>979</v>
          </cell>
          <cell r="S65">
            <v>0.23782050503455562</v>
          </cell>
          <cell r="T65">
            <v>758</v>
          </cell>
          <cell r="U65">
            <v>0.18413477305024839</v>
          </cell>
          <cell r="V65">
            <v>411655</v>
          </cell>
          <cell r="W65">
            <v>99.999999999999986</v>
          </cell>
        </row>
        <row r="66">
          <cell r="D66">
            <v>0</v>
          </cell>
          <cell r="E66" t="str">
            <v>עראבה</v>
          </cell>
          <cell r="F66">
            <v>1082921</v>
          </cell>
          <cell r="G66">
            <v>87.279548660084629</v>
          </cell>
          <cell r="H66">
            <v>5675</v>
          </cell>
          <cell r="I66">
            <v>0.45738464638323589</v>
          </cell>
          <cell r="J66">
            <v>69721</v>
          </cell>
          <cell r="K66">
            <v>5.6192625428168448</v>
          </cell>
          <cell r="L66">
            <v>0</v>
          </cell>
          <cell r="M66">
            <v>0</v>
          </cell>
          <cell r="N66">
            <v>0</v>
          </cell>
          <cell r="O66">
            <v>0</v>
          </cell>
          <cell r="P66">
            <v>53437</v>
          </cell>
          <cell r="Q66">
            <v>4.3068305460407013</v>
          </cell>
          <cell r="R66">
            <v>14926</v>
          </cell>
          <cell r="S66">
            <v>1.2029820672980052</v>
          </cell>
          <cell r="T66">
            <v>14070</v>
          </cell>
          <cell r="U66">
            <v>1.1339915373765868</v>
          </cell>
          <cell r="V66">
            <v>1240750</v>
          </cell>
          <cell r="W66">
            <v>100</v>
          </cell>
        </row>
        <row r="67">
          <cell r="D67">
            <v>0</v>
          </cell>
          <cell r="E67" t="str">
            <v>מגד' אל כרום</v>
          </cell>
          <cell r="F67">
            <v>642637</v>
          </cell>
          <cell r="G67">
            <v>88.542372787945922</v>
          </cell>
          <cell r="H67">
            <v>9626</v>
          </cell>
          <cell r="I67">
            <v>1.3262679871479037</v>
          </cell>
          <cell r="J67">
            <v>22968</v>
          </cell>
          <cell r="K67">
            <v>3.1645255691681959</v>
          </cell>
          <cell r="L67">
            <v>0</v>
          </cell>
          <cell r="M67">
            <v>0</v>
          </cell>
          <cell r="N67">
            <v>1801</v>
          </cell>
          <cell r="O67">
            <v>0.24814135101323237</v>
          </cell>
          <cell r="P67">
            <v>40767</v>
          </cell>
          <cell r="Q67">
            <v>5.6168675495593803</v>
          </cell>
          <cell r="R67">
            <v>4192</v>
          </cell>
          <cell r="S67">
            <v>0.57757276149220993</v>
          </cell>
          <cell r="T67">
            <v>3805</v>
          </cell>
          <cell r="U67">
            <v>0.52425199367315334</v>
          </cell>
          <cell r="V67">
            <v>725796</v>
          </cell>
          <cell r="W67">
            <v>99.999999999999972</v>
          </cell>
        </row>
        <row r="68">
          <cell r="D68">
            <v>0</v>
          </cell>
          <cell r="E68" t="str">
            <v>דיר אל עסד</v>
          </cell>
          <cell r="F68">
            <v>427678</v>
          </cell>
          <cell r="G68">
            <v>91.07748266521287</v>
          </cell>
          <cell r="H68">
            <v>0</v>
          </cell>
          <cell r="I68">
            <v>0</v>
          </cell>
          <cell r="J68">
            <v>14229</v>
          </cell>
          <cell r="K68">
            <v>3.0301804180792886</v>
          </cell>
          <cell r="L68">
            <v>0</v>
          </cell>
          <cell r="M68">
            <v>0</v>
          </cell>
          <cell r="N68">
            <v>1988</v>
          </cell>
          <cell r="O68">
            <v>0.42336064875547302</v>
          </cell>
          <cell r="P68">
            <v>13666</v>
          </cell>
          <cell r="Q68">
            <v>2.9102850230846551</v>
          </cell>
          <cell r="R68">
            <v>6804</v>
          </cell>
          <cell r="S68">
            <v>1.4489667274307034</v>
          </cell>
          <cell r="T68">
            <v>5211</v>
          </cell>
          <cell r="U68">
            <v>1.1097245174370072</v>
          </cell>
          <cell r="V68">
            <v>469576</v>
          </cell>
          <cell r="W68">
            <v>99.999999999999986</v>
          </cell>
        </row>
        <row r="69">
          <cell r="D69" t="str">
            <v>מי גליל בע"מ</v>
          </cell>
          <cell r="E69" t="str">
            <v xml:space="preserve">סה"כ תאגיד </v>
          </cell>
          <cell r="F69">
            <v>4461565</v>
          </cell>
          <cell r="G69">
            <v>86.675987866509857</v>
          </cell>
          <cell r="H69">
            <v>76207</v>
          </cell>
          <cell r="I69">
            <v>1.4804932814703173</v>
          </cell>
          <cell r="J69">
            <v>239850</v>
          </cell>
          <cell r="K69">
            <v>4.6596285585399713</v>
          </cell>
          <cell r="L69">
            <v>0</v>
          </cell>
          <cell r="M69">
            <v>0</v>
          </cell>
          <cell r="N69">
            <v>13050</v>
          </cell>
          <cell r="O69">
            <v>0.2535257564684037</v>
          </cell>
          <cell r="P69">
            <v>241168</v>
          </cell>
          <cell r="Q69">
            <v>4.6852336885802286</v>
          </cell>
          <cell r="R69">
            <v>68686</v>
          </cell>
          <cell r="S69">
            <v>1.3343808512481821</v>
          </cell>
          <cell r="T69">
            <v>46880</v>
          </cell>
          <cell r="U69">
            <v>0.91074999718304717</v>
          </cell>
          <cell r="V69">
            <v>5147406</v>
          </cell>
          <cell r="W69">
            <v>100</v>
          </cell>
        </row>
        <row r="70">
          <cell r="D70">
            <v>0</v>
          </cell>
          <cell r="E70" t="str">
            <v>הוד השרון</v>
          </cell>
          <cell r="F70">
            <v>2991094</v>
          </cell>
          <cell r="G70">
            <v>77.171200643976135</v>
          </cell>
          <cell r="H70">
            <v>307969</v>
          </cell>
          <cell r="I70">
            <v>7.9457006336560099</v>
          </cell>
          <cell r="J70">
            <v>157110</v>
          </cell>
          <cell r="K70">
            <v>4.0534892361039443</v>
          </cell>
          <cell r="L70">
            <v>53969</v>
          </cell>
          <cell r="M70">
            <v>1.3924178001609939</v>
          </cell>
          <cell r="N70">
            <v>0</v>
          </cell>
          <cell r="O70">
            <v>0</v>
          </cell>
          <cell r="P70">
            <v>287064</v>
          </cell>
          <cell r="Q70">
            <v>7.4063448161984766</v>
          </cell>
          <cell r="R70">
            <v>69762</v>
          </cell>
          <cell r="S70">
            <v>1.7998823505129107</v>
          </cell>
          <cell r="T70">
            <v>8952</v>
          </cell>
          <cell r="U70">
            <v>0.2309645193915251</v>
          </cell>
          <cell r="V70">
            <v>3875920</v>
          </cell>
          <cell r="W70">
            <v>99.999999999999986</v>
          </cell>
        </row>
        <row r="71">
          <cell r="D71" t="str">
            <v>מי הוד השרון בע"מ</v>
          </cell>
          <cell r="E71" t="str">
            <v xml:space="preserve">סה"כ תאגיד </v>
          </cell>
          <cell r="F71">
            <v>2991094</v>
          </cell>
          <cell r="G71">
            <v>77.171200643976135</v>
          </cell>
          <cell r="H71">
            <v>307969</v>
          </cell>
          <cell r="I71">
            <v>7.9457006336560099</v>
          </cell>
          <cell r="J71">
            <v>157110</v>
          </cell>
          <cell r="K71">
            <v>4.0534892361039443</v>
          </cell>
          <cell r="L71">
            <v>53969</v>
          </cell>
          <cell r="M71">
            <v>1.3924178001609939</v>
          </cell>
          <cell r="N71">
            <v>0</v>
          </cell>
          <cell r="O71">
            <v>0</v>
          </cell>
          <cell r="P71">
            <v>287064</v>
          </cell>
          <cell r="Q71">
            <v>7.4063448161984766</v>
          </cell>
          <cell r="R71">
            <v>69762</v>
          </cell>
          <cell r="S71">
            <v>1.7998823505129107</v>
          </cell>
          <cell r="T71">
            <v>8952</v>
          </cell>
          <cell r="U71">
            <v>0.2309645193915251</v>
          </cell>
          <cell r="V71">
            <v>3875920</v>
          </cell>
          <cell r="W71">
            <v>99.999999999999986</v>
          </cell>
        </row>
        <row r="72">
          <cell r="D72">
            <v>0</v>
          </cell>
          <cell r="E72" t="str">
            <v>הרצליה</v>
          </cell>
          <cell r="F72">
            <v>6583597</v>
          </cell>
          <cell r="G72">
            <v>72.039374160113809</v>
          </cell>
          <cell r="H72">
            <v>669785</v>
          </cell>
          <cell r="I72">
            <v>7.3289559220942335</v>
          </cell>
          <cell r="J72">
            <v>495876</v>
          </cell>
          <cell r="K72">
            <v>5.4259999056777914</v>
          </cell>
          <cell r="L72">
            <v>69814</v>
          </cell>
          <cell r="M72">
            <v>0.76392234634261258</v>
          </cell>
          <cell r="N72">
            <v>5833</v>
          </cell>
          <cell r="O72">
            <v>6.382615300966081E-2</v>
          </cell>
          <cell r="P72">
            <v>830647</v>
          </cell>
          <cell r="Q72">
            <v>9.0891483831674478</v>
          </cell>
          <cell r="R72">
            <v>96909</v>
          </cell>
          <cell r="S72">
            <v>1.0604026507823108</v>
          </cell>
          <cell r="T72">
            <v>386426</v>
          </cell>
          <cell r="U72">
            <v>4.2283704788121348</v>
          </cell>
          <cell r="V72">
            <v>9138887</v>
          </cell>
          <cell r="W72">
            <v>100.00000000000001</v>
          </cell>
        </row>
        <row r="73">
          <cell r="D73" t="str">
            <v>מי הרצליה בע"מ</v>
          </cell>
          <cell r="E73" t="str">
            <v xml:space="preserve">סה"כ תאגיד </v>
          </cell>
          <cell r="F73">
            <v>6583597</v>
          </cell>
          <cell r="G73">
            <v>72.039374160113809</v>
          </cell>
          <cell r="H73">
            <v>669785</v>
          </cell>
          <cell r="I73">
            <v>7.3289559220942335</v>
          </cell>
          <cell r="J73">
            <v>495876</v>
          </cell>
          <cell r="K73">
            <v>5.4259999056777914</v>
          </cell>
          <cell r="L73">
            <v>69814</v>
          </cell>
          <cell r="M73">
            <v>0.76392234634261258</v>
          </cell>
          <cell r="N73">
            <v>5833</v>
          </cell>
          <cell r="O73">
            <v>6.382615300966081E-2</v>
          </cell>
          <cell r="P73">
            <v>830647</v>
          </cell>
          <cell r="Q73">
            <v>9.0891483831674478</v>
          </cell>
          <cell r="R73">
            <v>96909</v>
          </cell>
          <cell r="S73">
            <v>1.0604026507823108</v>
          </cell>
          <cell r="T73">
            <v>386426</v>
          </cell>
          <cell r="U73">
            <v>4.2283704788121348</v>
          </cell>
          <cell r="V73">
            <v>9138887</v>
          </cell>
          <cell r="W73">
            <v>100.00000000000001</v>
          </cell>
        </row>
        <row r="74">
          <cell r="D74">
            <v>0</v>
          </cell>
          <cell r="E74" t="str">
            <v xml:space="preserve">חדרה </v>
          </cell>
          <cell r="F74">
            <v>4223935</v>
          </cell>
          <cell r="G74">
            <v>72.133991634445806</v>
          </cell>
          <cell r="H74">
            <v>282866</v>
          </cell>
          <cell r="I74">
            <v>4.8306268154384835</v>
          </cell>
          <cell r="J74">
            <v>276378</v>
          </cell>
          <cell r="K74">
            <v>4.7198283922325661</v>
          </cell>
          <cell r="L74">
            <v>180791</v>
          </cell>
          <cell r="M74">
            <v>3.0874472456567377</v>
          </cell>
          <cell r="N74">
            <v>16907</v>
          </cell>
          <cell r="O74">
            <v>0.28872825849914241</v>
          </cell>
          <cell r="P74">
            <v>349540</v>
          </cell>
          <cell r="Q74">
            <v>5.9692479727799288</v>
          </cell>
          <cell r="R74">
            <v>81458</v>
          </cell>
          <cell r="S74">
            <v>1.3910940131793428</v>
          </cell>
          <cell r="T74">
            <v>443804</v>
          </cell>
          <cell r="U74">
            <v>7.5790356677679904</v>
          </cell>
          <cell r="V74">
            <v>5855679</v>
          </cell>
          <cell r="W74">
            <v>100</v>
          </cell>
        </row>
        <row r="75">
          <cell r="D75" t="str">
            <v>מי חדרה בע"מ</v>
          </cell>
          <cell r="E75" t="str">
            <v xml:space="preserve">סה"כ </v>
          </cell>
          <cell r="F75">
            <v>4223935</v>
          </cell>
          <cell r="G75">
            <v>72.133991634445806</v>
          </cell>
          <cell r="H75">
            <v>282866</v>
          </cell>
          <cell r="I75">
            <v>4.8306268154384835</v>
          </cell>
          <cell r="J75">
            <v>276378</v>
          </cell>
          <cell r="K75">
            <v>4.7198283922325661</v>
          </cell>
          <cell r="L75">
            <v>180791</v>
          </cell>
          <cell r="M75">
            <v>3.0874472456567377</v>
          </cell>
          <cell r="N75">
            <v>16907</v>
          </cell>
          <cell r="O75">
            <v>0.28872825849914241</v>
          </cell>
          <cell r="P75">
            <v>349540</v>
          </cell>
          <cell r="Q75">
            <v>5.9692479727799288</v>
          </cell>
          <cell r="R75">
            <v>81458</v>
          </cell>
          <cell r="S75">
            <v>1.3910940131793428</v>
          </cell>
          <cell r="T75">
            <v>443804</v>
          </cell>
          <cell r="U75">
            <v>7.5790356677679904</v>
          </cell>
          <cell r="V75">
            <v>5855679</v>
          </cell>
          <cell r="W75">
            <v>100</v>
          </cell>
        </row>
        <row r="76">
          <cell r="D76">
            <v>0</v>
          </cell>
          <cell r="E76" t="str">
            <v xml:space="preserve">יבנה </v>
          </cell>
          <cell r="F76">
            <v>1807662</v>
          </cell>
          <cell r="G76">
            <v>68.168180625152729</v>
          </cell>
          <cell r="H76">
            <v>327579</v>
          </cell>
          <cell r="I76">
            <v>12.353229995987583</v>
          </cell>
          <cell r="J76">
            <v>113513</v>
          </cell>
          <cell r="K76">
            <v>4.2806535111668893</v>
          </cell>
          <cell r="L76">
            <v>0</v>
          </cell>
          <cell r="M76">
            <v>0</v>
          </cell>
          <cell r="N76">
            <v>8522</v>
          </cell>
          <cell r="O76">
            <v>0.32137049696655212</v>
          </cell>
          <cell r="P76">
            <v>270705</v>
          </cell>
          <cell r="Q76">
            <v>10.208472234373446</v>
          </cell>
          <cell r="R76">
            <v>100449</v>
          </cell>
          <cell r="S76">
            <v>3.7880010619330196</v>
          </cell>
          <cell r="T76">
            <v>23338</v>
          </cell>
          <cell r="U76">
            <v>0.88009207441978343</v>
          </cell>
          <cell r="V76">
            <v>2651768</v>
          </cell>
          <cell r="W76">
            <v>100</v>
          </cell>
        </row>
        <row r="77">
          <cell r="D77">
            <v>0</v>
          </cell>
          <cell r="E77" t="str">
            <v>גן יבנה</v>
          </cell>
          <cell r="F77">
            <v>1134560</v>
          </cell>
          <cell r="G77">
            <v>84.790527280255063</v>
          </cell>
          <cell r="H77">
            <v>95617</v>
          </cell>
          <cell r="I77">
            <v>7.145867866799593</v>
          </cell>
          <cell r="J77">
            <v>40966</v>
          </cell>
          <cell r="K77">
            <v>3.0615646070396707</v>
          </cell>
          <cell r="L77">
            <v>0</v>
          </cell>
          <cell r="M77">
            <v>0</v>
          </cell>
          <cell r="N77">
            <v>636</v>
          </cell>
          <cell r="O77">
            <v>4.7531003516995324E-2</v>
          </cell>
          <cell r="P77">
            <v>27573</v>
          </cell>
          <cell r="Q77">
            <v>2.0606483647391696</v>
          </cell>
          <cell r="R77">
            <v>13693</v>
          </cell>
          <cell r="S77">
            <v>1.0233365269783286</v>
          </cell>
          <cell r="T77">
            <v>25029</v>
          </cell>
          <cell r="U77">
            <v>1.8705243506711888</v>
          </cell>
          <cell r="V77">
            <v>1338074</v>
          </cell>
          <cell r="W77">
            <v>100</v>
          </cell>
        </row>
        <row r="78">
          <cell r="D78" t="str">
            <v>מי יבנה בע"מ</v>
          </cell>
          <cell r="E78" t="str">
            <v xml:space="preserve">סה"כ תאגיד </v>
          </cell>
          <cell r="F78">
            <v>2942222</v>
          </cell>
          <cell r="G78">
            <v>73.742819891113484</v>
          </cell>
          <cell r="H78">
            <v>423196</v>
          </cell>
          <cell r="I78">
            <v>10.606836060174814</v>
          </cell>
          <cell r="J78">
            <v>154479</v>
          </cell>
          <cell r="K78">
            <v>3.8718074550320538</v>
          </cell>
          <cell r="L78">
            <v>0</v>
          </cell>
          <cell r="M78">
            <v>0</v>
          </cell>
          <cell r="N78">
            <v>9158</v>
          </cell>
          <cell r="O78">
            <v>0.22953289879649369</v>
          </cell>
          <cell r="P78">
            <v>298278</v>
          </cell>
          <cell r="Q78">
            <v>7.4759351372811258</v>
          </cell>
          <cell r="R78">
            <v>114142</v>
          </cell>
          <cell r="S78">
            <v>2.8608150397935557</v>
          </cell>
          <cell r="T78">
            <v>48367</v>
          </cell>
          <cell r="U78">
            <v>1.2122535178084748</v>
          </cell>
          <cell r="V78">
            <v>3989842</v>
          </cell>
          <cell r="W78">
            <v>100</v>
          </cell>
        </row>
        <row r="79">
          <cell r="D79">
            <v>0</v>
          </cell>
          <cell r="E79" t="str">
            <v xml:space="preserve">חיפה </v>
          </cell>
          <cell r="F79">
            <v>10871842</v>
          </cell>
          <cell r="G79">
            <v>57.818594819672178</v>
          </cell>
          <cell r="H79">
            <v>647894</v>
          </cell>
          <cell r="I79">
            <v>3.4456277668583382</v>
          </cell>
          <cell r="J79">
            <v>1916827</v>
          </cell>
          <cell r="K79">
            <v>10.194063126782726</v>
          </cell>
          <cell r="L79">
            <v>72436</v>
          </cell>
          <cell r="M79">
            <v>0.38522889997461096</v>
          </cell>
          <cell r="N79">
            <v>6155</v>
          </cell>
          <cell r="O79">
            <v>3.2733501012531481E-2</v>
          </cell>
          <cell r="P79">
            <v>1843679</v>
          </cell>
          <cell r="Q79">
            <v>9.8050476707202314</v>
          </cell>
          <cell r="R79">
            <v>88164</v>
          </cell>
          <cell r="S79">
            <v>0.46887349850021537</v>
          </cell>
          <cell r="T79">
            <v>3356369</v>
          </cell>
          <cell r="U79">
            <v>17.849830716479168</v>
          </cell>
          <cell r="V79">
            <v>18803366</v>
          </cell>
          <cell r="W79">
            <v>100</v>
          </cell>
        </row>
        <row r="80">
          <cell r="D80" t="str">
            <v>מי כרמל בע"מ</v>
          </cell>
          <cell r="E80" t="str">
            <v xml:space="preserve">סה"כ תאגיד </v>
          </cell>
          <cell r="F80">
            <v>10871842</v>
          </cell>
          <cell r="G80">
            <v>57.818594819672178</v>
          </cell>
          <cell r="H80">
            <v>647894</v>
          </cell>
          <cell r="I80">
            <v>3.4456277668583382</v>
          </cell>
          <cell r="J80">
            <v>1916827</v>
          </cell>
          <cell r="K80">
            <v>10.194063126782726</v>
          </cell>
          <cell r="L80">
            <v>72436</v>
          </cell>
          <cell r="M80">
            <v>0.38522889997461096</v>
          </cell>
          <cell r="N80">
            <v>6155</v>
          </cell>
          <cell r="O80">
            <v>3.2733501012531481E-2</v>
          </cell>
          <cell r="P80">
            <v>1843679</v>
          </cell>
          <cell r="Q80">
            <v>9.8050476707202314</v>
          </cell>
          <cell r="R80">
            <v>88164</v>
          </cell>
          <cell r="S80">
            <v>0.46887349850021537</v>
          </cell>
          <cell r="T80">
            <v>3356369</v>
          </cell>
          <cell r="U80">
            <v>17.849830716479168</v>
          </cell>
          <cell r="V80">
            <v>18803366</v>
          </cell>
          <cell r="W80">
            <v>100</v>
          </cell>
        </row>
        <row r="81">
          <cell r="D81">
            <v>0</v>
          </cell>
          <cell r="E81" t="str">
            <v>לוד</v>
          </cell>
          <cell r="F81">
            <v>3239003</v>
          </cell>
          <cell r="G81">
            <v>80.424808460513162</v>
          </cell>
          <cell r="H81">
            <v>139852</v>
          </cell>
          <cell r="I81">
            <v>3.472540875330985</v>
          </cell>
          <cell r="J81">
            <v>154893</v>
          </cell>
          <cell r="K81">
            <v>3.8460105955055508</v>
          </cell>
          <cell r="L81">
            <v>0</v>
          </cell>
          <cell r="M81">
            <v>0</v>
          </cell>
          <cell r="N81">
            <v>10187</v>
          </cell>
          <cell r="O81">
            <v>0.25294435472497173</v>
          </cell>
          <cell r="P81">
            <v>336119</v>
          </cell>
          <cell r="Q81">
            <v>8.3458725400807676</v>
          </cell>
          <cell r="R81">
            <v>56020</v>
          </cell>
          <cell r="S81">
            <v>1.3909828950321899</v>
          </cell>
          <cell r="T81">
            <v>91294</v>
          </cell>
          <cell r="U81">
            <v>2.2668402788123658</v>
          </cell>
          <cell r="V81">
            <v>4027368</v>
          </cell>
          <cell r="W81">
            <v>100</v>
          </cell>
        </row>
        <row r="82">
          <cell r="D82" t="str">
            <v>מי לוד בע"מ</v>
          </cell>
          <cell r="E82" t="str">
            <v xml:space="preserve">סה"כ תאגיד </v>
          </cell>
          <cell r="F82">
            <v>3239003</v>
          </cell>
          <cell r="G82">
            <v>80.424808460513162</v>
          </cell>
          <cell r="H82">
            <v>139852</v>
          </cell>
          <cell r="I82">
            <v>3.472540875330985</v>
          </cell>
          <cell r="J82">
            <v>154893</v>
          </cell>
          <cell r="K82">
            <v>3.8460105955055508</v>
          </cell>
          <cell r="L82">
            <v>0</v>
          </cell>
          <cell r="M82">
            <v>0</v>
          </cell>
          <cell r="N82">
            <v>10187</v>
          </cell>
          <cell r="O82">
            <v>0.25294435472497173</v>
          </cell>
          <cell r="P82">
            <v>336119</v>
          </cell>
          <cell r="Q82">
            <v>8.3458725400807676</v>
          </cell>
          <cell r="R82">
            <v>56020</v>
          </cell>
          <cell r="S82">
            <v>1.3909828950321899</v>
          </cell>
          <cell r="T82">
            <v>91294</v>
          </cell>
          <cell r="U82">
            <v>2.2668402788123658</v>
          </cell>
          <cell r="V82">
            <v>4027368</v>
          </cell>
          <cell r="W82">
            <v>100</v>
          </cell>
        </row>
        <row r="83">
          <cell r="D83">
            <v>0</v>
          </cell>
          <cell r="E83" t="str">
            <v xml:space="preserve">מודיעין </v>
          </cell>
          <cell r="F83">
            <v>4216555</v>
          </cell>
          <cell r="G83">
            <v>76.510585776928423</v>
          </cell>
          <cell r="H83">
            <v>601897</v>
          </cell>
          <cell r="I83">
            <v>10.921591689750491</v>
          </cell>
          <cell r="J83">
            <v>319323</v>
          </cell>
          <cell r="K83">
            <v>5.7942063561476402</v>
          </cell>
          <cell r="L83">
            <v>0</v>
          </cell>
          <cell r="M83">
            <v>0</v>
          </cell>
          <cell r="N83">
            <v>0</v>
          </cell>
          <cell r="O83">
            <v>0</v>
          </cell>
          <cell r="P83">
            <v>218708</v>
          </cell>
          <cell r="Q83">
            <v>3.9685186589764534</v>
          </cell>
          <cell r="R83">
            <v>136819</v>
          </cell>
          <cell r="S83">
            <v>2.4826195402202909</v>
          </cell>
          <cell r="T83">
            <v>17772</v>
          </cell>
          <cell r="U83">
            <v>0.32247797797670652</v>
          </cell>
          <cell r="V83">
            <v>5511074</v>
          </cell>
          <cell r="W83">
            <v>99.999999999999986</v>
          </cell>
        </row>
        <row r="84">
          <cell r="D84" t="str">
            <v>מי מודיעין בע"מ</v>
          </cell>
          <cell r="E84" t="str">
            <v xml:space="preserve">סה"כ תאגיד </v>
          </cell>
          <cell r="F84">
            <v>4216555</v>
          </cell>
          <cell r="G84">
            <v>76.510585776928423</v>
          </cell>
          <cell r="H84">
            <v>601897</v>
          </cell>
          <cell r="I84">
            <v>10.921591689750491</v>
          </cell>
          <cell r="J84">
            <v>319323</v>
          </cell>
          <cell r="K84">
            <v>5.7942063561476402</v>
          </cell>
          <cell r="L84">
            <v>0</v>
          </cell>
          <cell r="M84">
            <v>0</v>
          </cell>
          <cell r="N84">
            <v>0</v>
          </cell>
          <cell r="O84">
            <v>0</v>
          </cell>
          <cell r="P84">
            <v>218708</v>
          </cell>
          <cell r="Q84">
            <v>3.9685186589764534</v>
          </cell>
          <cell r="R84">
            <v>136819</v>
          </cell>
          <cell r="S84">
            <v>2.4826195402202909</v>
          </cell>
          <cell r="T84">
            <v>17772</v>
          </cell>
          <cell r="U84">
            <v>0.32247797797670652</v>
          </cell>
          <cell r="V84">
            <v>5511074</v>
          </cell>
          <cell r="W84">
            <v>99.999999999999986</v>
          </cell>
        </row>
        <row r="85">
          <cell r="D85">
            <v>0</v>
          </cell>
          <cell r="E85" t="str">
            <v xml:space="preserve">נתניה </v>
          </cell>
          <cell r="F85">
            <v>10050778</v>
          </cell>
          <cell r="G85">
            <v>74.789218625523716</v>
          </cell>
          <cell r="H85">
            <v>855384</v>
          </cell>
          <cell r="I85">
            <v>6.3650297504108622</v>
          </cell>
          <cell r="J85">
            <v>525248</v>
          </cell>
          <cell r="K85">
            <v>3.9084424613317585</v>
          </cell>
          <cell r="L85">
            <v>198113</v>
          </cell>
          <cell r="M85">
            <v>1.4741860251572945</v>
          </cell>
          <cell r="N85">
            <v>40191</v>
          </cell>
          <cell r="O85">
            <v>0.29906674744765271</v>
          </cell>
          <cell r="P85">
            <v>981810</v>
          </cell>
          <cell r="Q85">
            <v>7.3057829691119878</v>
          </cell>
          <cell r="R85">
            <v>329197</v>
          </cell>
          <cell r="S85">
            <v>2.449600061195913</v>
          </cell>
          <cell r="T85">
            <v>458085</v>
          </cell>
          <cell r="U85">
            <v>3.4086733598208054</v>
          </cell>
          <cell r="V85">
            <v>13438806</v>
          </cell>
          <cell r="W85">
            <v>99.999999999999986</v>
          </cell>
        </row>
        <row r="86">
          <cell r="D86" t="str">
            <v>מי נתניה (2003) בע"מ</v>
          </cell>
          <cell r="E86" t="str">
            <v xml:space="preserve">סה"כ תאגיד </v>
          </cell>
          <cell r="F86">
            <v>10050778</v>
          </cell>
          <cell r="G86">
            <v>74.789218625523716</v>
          </cell>
          <cell r="H86">
            <v>855384</v>
          </cell>
          <cell r="I86">
            <v>6.3650297504108622</v>
          </cell>
          <cell r="J86">
            <v>525248</v>
          </cell>
          <cell r="K86">
            <v>3.9084424613317585</v>
          </cell>
          <cell r="L86">
            <v>198113</v>
          </cell>
          <cell r="M86">
            <v>1.4741860251572945</v>
          </cell>
          <cell r="N86">
            <v>40191</v>
          </cell>
          <cell r="O86">
            <v>0.29906674744765271</v>
          </cell>
          <cell r="P86">
            <v>981810</v>
          </cell>
          <cell r="Q86">
            <v>7.3057829691119878</v>
          </cell>
          <cell r="R86">
            <v>329197</v>
          </cell>
          <cell r="S86">
            <v>2.449600061195913</v>
          </cell>
          <cell r="T86">
            <v>458085</v>
          </cell>
          <cell r="U86">
            <v>3.4086733598208054</v>
          </cell>
          <cell r="V86">
            <v>13438806</v>
          </cell>
          <cell r="W86">
            <v>99.999999999999986</v>
          </cell>
        </row>
        <row r="87">
          <cell r="D87">
            <v>0</v>
          </cell>
          <cell r="E87" t="str">
            <v xml:space="preserve">אום אל פחם </v>
          </cell>
          <cell r="F87">
            <v>2239224</v>
          </cell>
          <cell r="G87">
            <v>87.418533998464966</v>
          </cell>
          <cell r="H87">
            <v>0</v>
          </cell>
          <cell r="I87">
            <v>0</v>
          </cell>
          <cell r="J87">
            <v>102000</v>
          </cell>
          <cell r="K87">
            <v>3.9820448815497809</v>
          </cell>
          <cell r="L87">
            <v>2741</v>
          </cell>
          <cell r="M87">
            <v>0.107007696277725</v>
          </cell>
          <cell r="N87">
            <v>0</v>
          </cell>
          <cell r="O87">
            <v>0</v>
          </cell>
          <cell r="P87">
            <v>119289</v>
          </cell>
          <cell r="Q87">
            <v>4.657001488972468</v>
          </cell>
          <cell r="R87">
            <v>85996</v>
          </cell>
          <cell r="S87">
            <v>3.3572542317034797</v>
          </cell>
          <cell r="T87">
            <v>12248</v>
          </cell>
          <cell r="U87">
            <v>0.47815770303158545</v>
          </cell>
          <cell r="V87">
            <v>2561498</v>
          </cell>
          <cell r="W87">
            <v>100</v>
          </cell>
        </row>
        <row r="88">
          <cell r="D88">
            <v>0</v>
          </cell>
          <cell r="E88" t="str">
            <v xml:space="preserve">כפר קרע </v>
          </cell>
          <cell r="F88">
            <v>848462</v>
          </cell>
          <cell r="G88">
            <v>79.50885038266226</v>
          </cell>
          <cell r="H88">
            <v>7471</v>
          </cell>
          <cell r="I88">
            <v>0.7001027991929748</v>
          </cell>
          <cell r="J88">
            <v>32257</v>
          </cell>
          <cell r="K88">
            <v>3.0227835622497374</v>
          </cell>
          <cell r="L88">
            <v>10</v>
          </cell>
          <cell r="M88">
            <v>9.3709382839375556E-4</v>
          </cell>
          <cell r="N88">
            <v>0</v>
          </cell>
          <cell r="O88">
            <v>0</v>
          </cell>
          <cell r="P88">
            <v>53786</v>
          </cell>
          <cell r="Q88">
            <v>5.0402528653986538</v>
          </cell>
          <cell r="R88">
            <v>10313</v>
          </cell>
          <cell r="S88">
            <v>0.96642486522248006</v>
          </cell>
          <cell r="T88">
            <v>114830</v>
          </cell>
          <cell r="U88">
            <v>10.760648431445494</v>
          </cell>
          <cell r="V88">
            <v>1067129</v>
          </cell>
          <cell r="W88">
            <v>100</v>
          </cell>
        </row>
        <row r="89">
          <cell r="D89">
            <v>0</v>
          </cell>
          <cell r="E89" t="str">
            <v xml:space="preserve">ערערה </v>
          </cell>
          <cell r="F89">
            <v>332280</v>
          </cell>
          <cell r="G89">
            <v>86.187398192627327</v>
          </cell>
          <cell r="H89">
            <v>0</v>
          </cell>
          <cell r="I89">
            <v>0</v>
          </cell>
          <cell r="J89">
            <v>19122</v>
          </cell>
          <cell r="K89">
            <v>4.9598995673510888</v>
          </cell>
          <cell r="L89">
            <v>164</v>
          </cell>
          <cell r="M89">
            <v>4.2538621956154092E-2</v>
          </cell>
          <cell r="N89">
            <v>0</v>
          </cell>
          <cell r="O89">
            <v>0</v>
          </cell>
          <cell r="P89">
            <v>1934</v>
          </cell>
          <cell r="Q89">
            <v>0.50164448087318303</v>
          </cell>
          <cell r="R89">
            <v>20336</v>
          </cell>
          <cell r="S89">
            <v>5.2747891225631074</v>
          </cell>
          <cell r="T89">
            <v>11696</v>
          </cell>
          <cell r="U89">
            <v>3.0337300146291359</v>
          </cell>
          <cell r="V89">
            <v>385532</v>
          </cell>
          <cell r="W89">
            <v>100</v>
          </cell>
        </row>
        <row r="90">
          <cell r="D90">
            <v>0</v>
          </cell>
          <cell r="E90" t="str">
            <v>בסמ"ה</v>
          </cell>
          <cell r="F90">
            <v>78071</v>
          </cell>
          <cell r="G90">
            <v>71.710955368378521</v>
          </cell>
          <cell r="H90">
            <v>1880</v>
          </cell>
          <cell r="I90">
            <v>1.7268460259578025</v>
          </cell>
          <cell r="J90">
            <v>3157</v>
          </cell>
          <cell r="K90">
            <v>2.8998153744408417</v>
          </cell>
          <cell r="L90">
            <v>344</v>
          </cell>
          <cell r="M90">
            <v>0.31597608134547028</v>
          </cell>
          <cell r="N90">
            <v>0</v>
          </cell>
          <cell r="O90">
            <v>0</v>
          </cell>
          <cell r="P90">
            <v>351</v>
          </cell>
          <cell r="Q90">
            <v>0.3224058271868025</v>
          </cell>
          <cell r="R90">
            <v>2080</v>
          </cell>
          <cell r="S90">
            <v>1.9105530499958667</v>
          </cell>
          <cell r="T90">
            <v>22986</v>
          </cell>
          <cell r="U90">
            <v>21.113448272694708</v>
          </cell>
          <cell r="V90">
            <v>108869</v>
          </cell>
          <cell r="W90">
            <v>100.00000000000001</v>
          </cell>
        </row>
        <row r="91">
          <cell r="D91">
            <v>0</v>
          </cell>
          <cell r="E91" t="str">
            <v xml:space="preserve">מעלה עירון </v>
          </cell>
          <cell r="F91">
            <v>119429</v>
          </cell>
          <cell r="G91">
            <v>90.425821887729612</v>
          </cell>
          <cell r="H91">
            <v>0</v>
          </cell>
          <cell r="I91">
            <v>0</v>
          </cell>
          <cell r="J91">
            <v>3738</v>
          </cell>
          <cell r="K91">
            <v>2.8302315368656963</v>
          </cell>
          <cell r="L91">
            <v>0</v>
          </cell>
          <cell r="M91">
            <v>0</v>
          </cell>
          <cell r="N91">
            <v>0</v>
          </cell>
          <cell r="O91">
            <v>0</v>
          </cell>
          <cell r="P91">
            <v>0</v>
          </cell>
          <cell r="Q91">
            <v>0</v>
          </cell>
          <cell r="R91">
            <v>7830</v>
          </cell>
          <cell r="S91">
            <v>5.9284946317973253</v>
          </cell>
          <cell r="T91">
            <v>1077</v>
          </cell>
          <cell r="U91">
            <v>0.81545194360737161</v>
          </cell>
          <cell r="V91">
            <v>132074</v>
          </cell>
          <cell r="W91">
            <v>100</v>
          </cell>
        </row>
        <row r="92">
          <cell r="D92">
            <v>0</v>
          </cell>
          <cell r="E92" t="str">
            <v>באקה-ג'ת</v>
          </cell>
          <cell r="F92">
            <v>1609160</v>
          </cell>
          <cell r="G92">
            <v>76.870272219820436</v>
          </cell>
          <cell r="H92">
            <v>7300</v>
          </cell>
          <cell r="I92">
            <v>0.3487241711232501</v>
          </cell>
          <cell r="J92">
            <v>70994</v>
          </cell>
          <cell r="K92">
            <v>3.3914142198252084</v>
          </cell>
          <cell r="L92">
            <v>8333</v>
          </cell>
          <cell r="M92">
            <v>0.39807102985891007</v>
          </cell>
          <cell r="N92">
            <v>0</v>
          </cell>
          <cell r="O92">
            <v>0</v>
          </cell>
          <cell r="P92">
            <v>63461</v>
          </cell>
          <cell r="Q92">
            <v>3.031559537486654</v>
          </cell>
          <cell r="R92">
            <v>62401</v>
          </cell>
          <cell r="S92">
            <v>2.9809228770221821</v>
          </cell>
          <cell r="T92">
            <v>271696</v>
          </cell>
          <cell r="U92">
            <v>12.979035944863366</v>
          </cell>
          <cell r="V92">
            <v>2093345</v>
          </cell>
          <cell r="W92">
            <v>100.00000000000001</v>
          </cell>
        </row>
        <row r="93">
          <cell r="D93" t="str">
            <v>מי עירון בע"מ</v>
          </cell>
          <cell r="E93" t="str">
            <v xml:space="preserve">סה"כ תאגיד </v>
          </cell>
          <cell r="F93">
            <v>5226626</v>
          </cell>
          <cell r="G93">
            <v>82.329205867198709</v>
          </cell>
          <cell r="H93">
            <v>16651</v>
          </cell>
          <cell r="I93">
            <v>0.26228461858467123</v>
          </cell>
          <cell r="J93">
            <v>231268</v>
          </cell>
          <cell r="K93">
            <v>3.6429066825319643</v>
          </cell>
          <cell r="L93">
            <v>11592</v>
          </cell>
          <cell r="M93">
            <v>0.18259583800573589</v>
          </cell>
          <cell r="N93">
            <v>0</v>
          </cell>
          <cell r="O93">
            <v>0</v>
          </cell>
          <cell r="P93">
            <v>238821</v>
          </cell>
          <cell r="Q93">
            <v>3.7618806615224161</v>
          </cell>
          <cell r="R93">
            <v>188956</v>
          </cell>
          <cell r="S93">
            <v>2.9764129715503649</v>
          </cell>
          <cell r="T93">
            <v>434533</v>
          </cell>
          <cell r="U93">
            <v>6.8447133606061445</v>
          </cell>
          <cell r="V93">
            <v>6348447</v>
          </cell>
          <cell r="W93">
            <v>100</v>
          </cell>
        </row>
        <row r="94">
          <cell r="D94">
            <v>0</v>
          </cell>
          <cell r="E94" t="str">
            <v>עכו עיריה</v>
          </cell>
          <cell r="F94">
            <v>2008315</v>
          </cell>
          <cell r="G94">
            <v>72.215595906363149</v>
          </cell>
          <cell r="H94">
            <v>236666</v>
          </cell>
          <cell r="I94">
            <v>8.5101073391252573</v>
          </cell>
          <cell r="J94">
            <v>147501</v>
          </cell>
          <cell r="K94">
            <v>5.3038854023320399</v>
          </cell>
          <cell r="L94">
            <v>18984</v>
          </cell>
          <cell r="M94">
            <v>0.68263239217274085</v>
          </cell>
          <cell r="N94">
            <v>7711</v>
          </cell>
          <cell r="O94">
            <v>0.27727446144353163</v>
          </cell>
          <cell r="P94">
            <v>245568</v>
          </cell>
          <cell r="Q94">
            <v>8.8302081374355037</v>
          </cell>
          <cell r="R94">
            <v>16618</v>
          </cell>
          <cell r="S94">
            <v>0.59755505126035646</v>
          </cell>
          <cell r="T94">
            <v>99636</v>
          </cell>
          <cell r="U94">
            <v>3.582741309867425</v>
          </cell>
          <cell r="V94">
            <v>2780999</v>
          </cell>
          <cell r="W94">
            <v>100</v>
          </cell>
        </row>
        <row r="95">
          <cell r="D95" t="str">
            <v>מי עכו בע"מ</v>
          </cell>
          <cell r="E95" t="str">
            <v xml:space="preserve">סה"כ תאגיד </v>
          </cell>
          <cell r="F95">
            <v>2008315</v>
          </cell>
          <cell r="G95">
            <v>72.215595906363149</v>
          </cell>
          <cell r="H95">
            <v>236666</v>
          </cell>
          <cell r="I95">
            <v>8.5101073391252573</v>
          </cell>
          <cell r="J95">
            <v>147501</v>
          </cell>
          <cell r="K95">
            <v>5.3038854023320399</v>
          </cell>
          <cell r="L95">
            <v>18984</v>
          </cell>
          <cell r="M95">
            <v>0.68263239217274085</v>
          </cell>
          <cell r="N95">
            <v>7711</v>
          </cell>
          <cell r="O95">
            <v>0.27727446144353163</v>
          </cell>
          <cell r="P95">
            <v>245568</v>
          </cell>
          <cell r="Q95">
            <v>8.8302081374355037</v>
          </cell>
          <cell r="R95">
            <v>16618</v>
          </cell>
          <cell r="S95">
            <v>0.59755505126035646</v>
          </cell>
          <cell r="T95">
            <v>99636</v>
          </cell>
          <cell r="U95">
            <v>3.582741309867425</v>
          </cell>
          <cell r="V95">
            <v>2780999</v>
          </cell>
          <cell r="W95">
            <v>100</v>
          </cell>
        </row>
        <row r="96">
          <cell r="D96">
            <v>0</v>
          </cell>
          <cell r="E96" t="str">
            <v>נס ציונה</v>
          </cell>
          <cell r="F96">
            <v>2247889</v>
          </cell>
          <cell r="G96">
            <v>72.061882671178665</v>
          </cell>
          <cell r="H96">
            <v>280044</v>
          </cell>
          <cell r="I96">
            <v>8.9775330858274405</v>
          </cell>
          <cell r="J96">
            <v>111553</v>
          </cell>
          <cell r="K96">
            <v>3.5761192824102941</v>
          </cell>
          <cell r="L96">
            <v>70869</v>
          </cell>
          <cell r="M96">
            <v>2.2718886755634999</v>
          </cell>
          <cell r="N96">
            <v>2019</v>
          </cell>
          <cell r="O96">
            <v>6.4724255118072879E-2</v>
          </cell>
          <cell r="P96">
            <v>206923</v>
          </cell>
          <cell r="Q96">
            <v>6.6334507388791462</v>
          </cell>
          <cell r="R96">
            <v>57311</v>
          </cell>
          <cell r="S96">
            <v>1.8372519985497149</v>
          </cell>
          <cell r="T96">
            <v>142779</v>
          </cell>
          <cell r="U96">
            <v>4.5771492924731687</v>
          </cell>
          <cell r="V96">
            <v>3119387</v>
          </cell>
          <cell r="W96">
            <v>100.00000000000001</v>
          </cell>
        </row>
        <row r="97">
          <cell r="D97" t="str">
            <v>מי ציונה בע"מ</v>
          </cell>
          <cell r="E97" t="str">
            <v xml:space="preserve">סה"כ תאגיד </v>
          </cell>
          <cell r="F97">
            <v>2247889</v>
          </cell>
          <cell r="G97">
            <v>72.061882671178665</v>
          </cell>
          <cell r="H97">
            <v>280044</v>
          </cell>
          <cell r="I97">
            <v>8.9775330858274405</v>
          </cell>
          <cell r="J97">
            <v>111553</v>
          </cell>
          <cell r="K97">
            <v>3.5761192824102941</v>
          </cell>
          <cell r="L97">
            <v>70869</v>
          </cell>
          <cell r="M97">
            <v>2.2718886755634999</v>
          </cell>
          <cell r="N97">
            <v>2019</v>
          </cell>
          <cell r="O97">
            <v>6.4724255118072879E-2</v>
          </cell>
          <cell r="P97">
            <v>206923</v>
          </cell>
          <cell r="Q97">
            <v>6.6334507388791462</v>
          </cell>
          <cell r="R97">
            <v>57311</v>
          </cell>
          <cell r="S97">
            <v>1.8372519985497149</v>
          </cell>
          <cell r="T97">
            <v>142779</v>
          </cell>
          <cell r="U97">
            <v>4.5771492924731687</v>
          </cell>
          <cell r="V97">
            <v>3119387</v>
          </cell>
          <cell r="W97">
            <v>100.00000000000001</v>
          </cell>
        </row>
        <row r="98">
          <cell r="D98" t="str">
            <v>מי קריית גת בע"מ</v>
          </cell>
          <cell r="E98" t="str">
            <v>קרית גת</v>
          </cell>
          <cell r="F98">
            <v>2194782</v>
          </cell>
          <cell r="G98">
            <v>78.783434236399614</v>
          </cell>
          <cell r="H98">
            <v>171758</v>
          </cell>
          <cell r="I98">
            <v>6.1653891354929682</v>
          </cell>
          <cell r="J98">
            <v>121159</v>
          </cell>
          <cell r="K98">
            <v>4.3490980464793054</v>
          </cell>
          <cell r="L98">
            <v>12945</v>
          </cell>
          <cell r="M98">
            <v>0.46467100431395608</v>
          </cell>
          <cell r="N98">
            <v>18770</v>
          </cell>
          <cell r="O98">
            <v>0.67376398230768286</v>
          </cell>
          <cell r="P98">
            <v>230088</v>
          </cell>
          <cell r="Q98">
            <v>8.259190578647317</v>
          </cell>
          <cell r="R98">
            <v>21661</v>
          </cell>
          <cell r="S98">
            <v>0.77753871181495582</v>
          </cell>
          <cell r="T98">
            <v>14679</v>
          </cell>
          <cell r="U98">
            <v>0.52691430454419164</v>
          </cell>
          <cell r="V98">
            <v>2785842</v>
          </cell>
          <cell r="W98">
            <v>99.999999999999986</v>
          </cell>
        </row>
        <row r="99">
          <cell r="D99">
            <v>0</v>
          </cell>
          <cell r="E99" t="str">
            <v xml:space="preserve">סה"כ תאגיד </v>
          </cell>
          <cell r="F99">
            <v>2194782</v>
          </cell>
          <cell r="G99">
            <v>78.783434236399614</v>
          </cell>
          <cell r="H99">
            <v>171758</v>
          </cell>
          <cell r="I99">
            <v>6.1653891354929682</v>
          </cell>
          <cell r="J99">
            <v>121159</v>
          </cell>
          <cell r="K99">
            <v>4.3490980464793054</v>
          </cell>
          <cell r="L99">
            <v>12945</v>
          </cell>
          <cell r="M99">
            <v>0.46467100431395608</v>
          </cell>
          <cell r="N99">
            <v>18770</v>
          </cell>
          <cell r="O99">
            <v>0.67376398230768286</v>
          </cell>
          <cell r="P99">
            <v>230088</v>
          </cell>
          <cell r="Q99">
            <v>8.259190578647317</v>
          </cell>
          <cell r="R99">
            <v>21661</v>
          </cell>
          <cell r="S99">
            <v>0.77753871181495582</v>
          </cell>
          <cell r="T99">
            <v>14679</v>
          </cell>
          <cell r="U99">
            <v>0.52691430454419164</v>
          </cell>
          <cell r="V99">
            <v>2785842</v>
          </cell>
          <cell r="W99">
            <v>99.999999999999986</v>
          </cell>
        </row>
        <row r="100">
          <cell r="D100">
            <v>0</v>
          </cell>
          <cell r="E100" t="str">
            <v>רהט עיריה</v>
          </cell>
          <cell r="F100">
            <v>2044508</v>
          </cell>
          <cell r="G100">
            <v>90.056116920528922</v>
          </cell>
          <cell r="H100">
            <v>16292</v>
          </cell>
          <cell r="I100">
            <v>0.51193346524298111</v>
          </cell>
          <cell r="J100">
            <v>84298</v>
          </cell>
          <cell r="K100">
            <v>0.96342649975989758</v>
          </cell>
          <cell r="L100">
            <v>560</v>
          </cell>
          <cell r="M100">
            <v>0.39457242920751134</v>
          </cell>
          <cell r="N100">
            <v>0</v>
          </cell>
          <cell r="O100">
            <v>0</v>
          </cell>
          <cell r="P100">
            <v>48427</v>
          </cell>
          <cell r="Q100">
            <v>2.6495737240004322</v>
          </cell>
          <cell r="R100">
            <v>37700</v>
          </cell>
          <cell r="S100">
            <v>0.81423618531377995</v>
          </cell>
          <cell r="T100">
            <v>38475</v>
          </cell>
          <cell r="U100">
            <v>8.8296329073506534</v>
          </cell>
          <cell r="V100">
            <v>2270260</v>
          </cell>
          <cell r="W100">
            <v>100</v>
          </cell>
        </row>
        <row r="101">
          <cell r="D101" t="str">
            <v>מי רהט בע"מ</v>
          </cell>
          <cell r="E101" t="str">
            <v xml:space="preserve">סה"כ תאגיד </v>
          </cell>
          <cell r="F101">
            <v>2044508</v>
          </cell>
          <cell r="G101">
            <v>90.056116920528922</v>
          </cell>
          <cell r="H101">
            <v>16292</v>
          </cell>
          <cell r="I101">
            <v>0.71762705593191967</v>
          </cell>
          <cell r="J101">
            <v>84298</v>
          </cell>
          <cell r="K101">
            <v>3.7131429880278031</v>
          </cell>
          <cell r="L101">
            <v>560</v>
          </cell>
          <cell r="M101">
            <v>2.4666778254473058E-2</v>
          </cell>
          <cell r="N101">
            <v>0</v>
          </cell>
          <cell r="O101">
            <v>0</v>
          </cell>
          <cell r="P101">
            <v>48427</v>
          </cell>
          <cell r="Q101">
            <v>2.1331036973738691</v>
          </cell>
          <cell r="R101">
            <v>37700</v>
          </cell>
          <cell r="S101">
            <v>1.6606027503457754</v>
          </cell>
          <cell r="T101">
            <v>38475</v>
          </cell>
          <cell r="U101">
            <v>1.6947398095372337</v>
          </cell>
          <cell r="V101">
            <v>2270260</v>
          </cell>
          <cell r="W101">
            <v>99.999999999999986</v>
          </cell>
        </row>
        <row r="102">
          <cell r="D102">
            <v>0</v>
          </cell>
          <cell r="E102" t="str">
            <v>רעננה</v>
          </cell>
          <cell r="F102">
            <v>4231711</v>
          </cell>
          <cell r="G102">
            <v>71.142966612134572</v>
          </cell>
          <cell r="H102">
            <v>577800</v>
          </cell>
          <cell r="I102">
            <v>9.7138973121017376</v>
          </cell>
          <cell r="J102">
            <v>109998</v>
          </cell>
          <cell r="K102">
            <v>1.8492718527804894</v>
          </cell>
          <cell r="L102">
            <v>83226</v>
          </cell>
          <cell r="M102">
            <v>1.3991845235323281</v>
          </cell>
          <cell r="N102">
            <v>9503</v>
          </cell>
          <cell r="O102">
            <v>0.15976318130305089</v>
          </cell>
          <cell r="P102">
            <v>521358</v>
          </cell>
          <cell r="Q102">
            <v>8.7650018602331912</v>
          </cell>
          <cell r="R102">
            <v>31423</v>
          </cell>
          <cell r="S102">
            <v>0.52827932716886972</v>
          </cell>
          <cell r="T102">
            <v>383160</v>
          </cell>
          <cell r="U102">
            <v>6.4416353307457621</v>
          </cell>
          <cell r="V102">
            <v>5948179</v>
          </cell>
          <cell r="W102">
            <v>100</v>
          </cell>
        </row>
        <row r="103">
          <cell r="D103" t="str">
            <v>מי רעננה בע"מ</v>
          </cell>
          <cell r="E103" t="str">
            <v xml:space="preserve">סה"כ תאגיד </v>
          </cell>
          <cell r="F103">
            <v>4231711</v>
          </cell>
          <cell r="G103">
            <v>71.142966612134572</v>
          </cell>
          <cell r="H103">
            <v>577800</v>
          </cell>
          <cell r="I103">
            <v>9.7138973121017376</v>
          </cell>
          <cell r="J103">
            <v>109998</v>
          </cell>
          <cell r="K103">
            <v>1.8492718527804894</v>
          </cell>
          <cell r="L103">
            <v>83226</v>
          </cell>
          <cell r="M103">
            <v>1.3991845235323281</v>
          </cell>
          <cell r="N103">
            <v>9503</v>
          </cell>
          <cell r="O103">
            <v>0.15976318130305089</v>
          </cell>
          <cell r="P103">
            <v>521358</v>
          </cell>
          <cell r="Q103">
            <v>8.7650018602331912</v>
          </cell>
          <cell r="R103">
            <v>31423</v>
          </cell>
          <cell r="S103">
            <v>0.52827932716886972</v>
          </cell>
          <cell r="T103">
            <v>383160</v>
          </cell>
          <cell r="U103">
            <v>6.4416353307457621</v>
          </cell>
          <cell r="V103">
            <v>5948179</v>
          </cell>
          <cell r="W103">
            <v>100</v>
          </cell>
        </row>
        <row r="104">
          <cell r="D104">
            <v>0</v>
          </cell>
          <cell r="E104" t="str">
            <v xml:space="preserve">טבריה </v>
          </cell>
          <cell r="F104">
            <v>2067894</v>
          </cell>
          <cell r="G104">
            <v>68.799310640817907</v>
          </cell>
          <cell r="H104">
            <v>191183</v>
          </cell>
          <cell r="I104">
            <v>6.3607025341934795</v>
          </cell>
          <cell r="J104">
            <v>212393</v>
          </cell>
          <cell r="K104">
            <v>7.0663641293679653</v>
          </cell>
          <cell r="L104">
            <v>0</v>
          </cell>
          <cell r="M104">
            <v>0</v>
          </cell>
          <cell r="N104">
            <v>28835</v>
          </cell>
          <cell r="O104">
            <v>0.95934710499086739</v>
          </cell>
          <cell r="P104">
            <v>245397</v>
          </cell>
          <cell r="Q104">
            <v>8.1644148265456522</v>
          </cell>
          <cell r="R104">
            <v>10361</v>
          </cell>
          <cell r="S104">
            <v>0.34471286127311862</v>
          </cell>
          <cell r="T104">
            <v>249627</v>
          </cell>
          <cell r="U104">
            <v>8.3051479028110009</v>
          </cell>
          <cell r="V104">
            <v>3005690</v>
          </cell>
          <cell r="W104">
            <v>100</v>
          </cell>
        </row>
        <row r="105">
          <cell r="D105">
            <v>0</v>
          </cell>
          <cell r="E105" t="str">
            <v xml:space="preserve">מגדל </v>
          </cell>
          <cell r="F105">
            <v>116103</v>
          </cell>
          <cell r="G105">
            <v>53.786499520520337</v>
          </cell>
          <cell r="H105">
            <v>10591</v>
          </cell>
          <cell r="I105">
            <v>4.9064435580633656</v>
          </cell>
          <cell r="J105">
            <v>1827</v>
          </cell>
          <cell r="K105">
            <v>0.84638583519797639</v>
          </cell>
          <cell r="L105">
            <v>0</v>
          </cell>
          <cell r="M105">
            <v>0</v>
          </cell>
          <cell r="N105">
            <v>91</v>
          </cell>
          <cell r="O105">
            <v>4.2157148879592696E-2</v>
          </cell>
          <cell r="P105">
            <v>28861</v>
          </cell>
          <cell r="Q105">
            <v>13.37030191004313</v>
          </cell>
          <cell r="R105">
            <v>5135</v>
          </cell>
          <cell r="S105">
            <v>2.3788676867770167</v>
          </cell>
          <cell r="T105">
            <v>53251</v>
          </cell>
          <cell r="U105">
            <v>24.669344340518577</v>
          </cell>
          <cell r="V105">
            <v>215859</v>
          </cell>
          <cell r="W105">
            <v>100</v>
          </cell>
        </row>
        <row r="106">
          <cell r="D106">
            <v>0</v>
          </cell>
          <cell r="E106" t="str">
            <v xml:space="preserve">כפר קמא </v>
          </cell>
          <cell r="F106">
            <v>144035</v>
          </cell>
          <cell r="G106">
            <v>89.754854308432414</v>
          </cell>
          <cell r="H106">
            <v>5841</v>
          </cell>
          <cell r="I106">
            <v>3.6397966050998281</v>
          </cell>
          <cell r="J106">
            <v>5491</v>
          </cell>
          <cell r="K106">
            <v>3.4216954560183455</v>
          </cell>
          <cell r="L106">
            <v>0</v>
          </cell>
          <cell r="M106">
            <v>0</v>
          </cell>
          <cell r="N106">
            <v>0</v>
          </cell>
          <cell r="O106">
            <v>0</v>
          </cell>
          <cell r="P106">
            <v>1551</v>
          </cell>
          <cell r="Q106">
            <v>0.96649966350108429</v>
          </cell>
          <cell r="R106">
            <v>0</v>
          </cell>
          <cell r="S106">
            <v>0</v>
          </cell>
          <cell r="T106">
            <v>3558</v>
          </cell>
          <cell r="U106">
            <v>2.2171539669483287</v>
          </cell>
          <cell r="V106">
            <v>160476</v>
          </cell>
          <cell r="W106">
            <v>100</v>
          </cell>
        </row>
        <row r="107">
          <cell r="D107" t="str">
            <v>מי רקת טבריה בע"מ</v>
          </cell>
          <cell r="E107" t="str">
            <v xml:space="preserve">סה"כ תאגיד </v>
          </cell>
          <cell r="F107">
            <v>2328032</v>
          </cell>
          <cell r="G107">
            <v>68.835446219350843</v>
          </cell>
          <cell r="H107">
            <v>207615</v>
          </cell>
          <cell r="I107">
            <v>6.1387778032391838</v>
          </cell>
          <cell r="J107">
            <v>219711</v>
          </cell>
          <cell r="K107">
            <v>6.4964333498421807</v>
          </cell>
          <cell r="L107">
            <v>0</v>
          </cell>
          <cell r="M107">
            <v>0</v>
          </cell>
          <cell r="N107">
            <v>28926</v>
          </cell>
          <cell r="O107">
            <v>0.85528640385567811</v>
          </cell>
          <cell r="P107">
            <v>275809</v>
          </cell>
          <cell r="Q107">
            <v>8.1551437378493663</v>
          </cell>
          <cell r="R107">
            <v>15496</v>
          </cell>
          <cell r="S107">
            <v>0.45818703291666973</v>
          </cell>
          <cell r="T107">
            <v>306436</v>
          </cell>
          <cell r="U107">
            <v>9.060725452946091</v>
          </cell>
          <cell r="V107">
            <v>3382025</v>
          </cell>
          <cell r="W107">
            <v>100</v>
          </cell>
        </row>
        <row r="108">
          <cell r="D108">
            <v>0</v>
          </cell>
          <cell r="E108" t="str">
            <v>באר שבע</v>
          </cell>
          <cell r="F108">
            <v>10124548</v>
          </cell>
          <cell r="G108">
            <v>68.779611793937278</v>
          </cell>
          <cell r="H108">
            <v>1253056</v>
          </cell>
          <cell r="I108">
            <v>8.5124496655123636</v>
          </cell>
          <cell r="J108">
            <v>642839</v>
          </cell>
          <cell r="K108">
            <v>4.3670311865776963</v>
          </cell>
          <cell r="L108">
            <v>508453</v>
          </cell>
          <cell r="M108">
            <v>3.4540998724548286</v>
          </cell>
          <cell r="N108">
            <v>0</v>
          </cell>
          <cell r="O108">
            <v>0</v>
          </cell>
          <cell r="P108">
            <v>1578991</v>
          </cell>
          <cell r="Q108">
            <v>10.726640636808755</v>
          </cell>
          <cell r="R108">
            <v>111860</v>
          </cell>
          <cell r="S108">
            <v>0.75990428167952029</v>
          </cell>
          <cell r="T108">
            <v>500528</v>
          </cell>
          <cell r="U108">
            <v>3.4002625630295631</v>
          </cell>
          <cell r="V108">
            <v>14720275</v>
          </cell>
          <cell r="W108">
            <v>100</v>
          </cell>
        </row>
        <row r="109">
          <cell r="D109">
            <v>0</v>
          </cell>
          <cell r="E109" t="str">
            <v>אופקים</v>
          </cell>
          <cell r="F109">
            <v>1094713</v>
          </cell>
          <cell r="G109">
            <v>76.388293826626381</v>
          </cell>
          <cell r="H109">
            <v>77273</v>
          </cell>
          <cell r="I109">
            <v>5.3920549302556013</v>
          </cell>
          <cell r="J109">
            <v>77803</v>
          </cell>
          <cell r="K109">
            <v>5.4290379529548041</v>
          </cell>
          <cell r="L109">
            <v>13866</v>
          </cell>
          <cell r="M109">
            <v>0.96755960895686943</v>
          </cell>
          <cell r="N109">
            <v>0</v>
          </cell>
          <cell r="O109">
            <v>0</v>
          </cell>
          <cell r="P109">
            <v>95768</v>
          </cell>
          <cell r="Q109">
            <v>6.6826228638815435</v>
          </cell>
          <cell r="R109">
            <v>16097</v>
          </cell>
          <cell r="S109">
            <v>1.1232372007340781</v>
          </cell>
          <cell r="T109">
            <v>57570</v>
          </cell>
          <cell r="U109">
            <v>4.017193616590724</v>
          </cell>
          <cell r="V109">
            <v>1433090</v>
          </cell>
          <cell r="W109">
            <v>100</v>
          </cell>
        </row>
        <row r="110">
          <cell r="D110" t="str">
            <v>מי שבע תאגיד המים והביוב לבאר שבע בע"מ</v>
          </cell>
          <cell r="E110" t="str">
            <v xml:space="preserve">סה"כ תאגיד </v>
          </cell>
          <cell r="F110">
            <v>11219261</v>
          </cell>
          <cell r="G110">
            <v>69.454636851207169</v>
          </cell>
          <cell r="H110">
            <v>1330329</v>
          </cell>
          <cell r="I110">
            <v>8.2356153036844031</v>
          </cell>
          <cell r="J110">
            <v>720642</v>
          </cell>
          <cell r="K110">
            <v>4.461250024375726</v>
          </cell>
          <cell r="L110">
            <v>522319</v>
          </cell>
          <cell r="M110">
            <v>3.233499645429915</v>
          </cell>
          <cell r="N110">
            <v>0</v>
          </cell>
          <cell r="O110">
            <v>0</v>
          </cell>
          <cell r="P110">
            <v>1674759</v>
          </cell>
          <cell r="Q110">
            <v>10.367864528536314</v>
          </cell>
          <cell r="R110">
            <v>127957</v>
          </cell>
          <cell r="S110">
            <v>0.79213835631151785</v>
          </cell>
          <cell r="T110">
            <v>558098</v>
          </cell>
          <cell r="U110">
            <v>3.4549952904549612</v>
          </cell>
          <cell r="V110">
            <v>16153365</v>
          </cell>
          <cell r="W110">
            <v>100</v>
          </cell>
        </row>
        <row r="111">
          <cell r="D111">
            <v>0</v>
          </cell>
          <cell r="E111" t="str">
            <v xml:space="preserve">בית שמש </v>
          </cell>
          <cell r="F111">
            <v>3536540</v>
          </cell>
          <cell r="G111">
            <v>78.751831546693865</v>
          </cell>
          <cell r="H111">
            <v>233353</v>
          </cell>
          <cell r="I111">
            <v>5.1963150839282619</v>
          </cell>
          <cell r="J111">
            <v>329741</v>
          </cell>
          <cell r="K111">
            <v>7.3426873967319422</v>
          </cell>
          <cell r="L111">
            <v>11441</v>
          </cell>
          <cell r="M111">
            <v>0.25476870181751782</v>
          </cell>
          <cell r="N111">
            <v>91502</v>
          </cell>
          <cell r="O111">
            <v>2.0375706453724778</v>
          </cell>
          <cell r="P111">
            <v>222051</v>
          </cell>
          <cell r="Q111">
            <v>4.94464164035326</v>
          </cell>
          <cell r="R111">
            <v>66112</v>
          </cell>
          <cell r="S111">
            <v>1.4721849851026778</v>
          </cell>
          <cell r="T111">
            <v>0</v>
          </cell>
          <cell r="U111">
            <v>0</v>
          </cell>
          <cell r="V111">
            <v>4490740</v>
          </cell>
          <cell r="W111">
            <v>99.999999999999986</v>
          </cell>
        </row>
        <row r="112">
          <cell r="D112" t="str">
            <v>מי שמש בע"מ</v>
          </cell>
          <cell r="E112" t="str">
            <v xml:space="preserve">סה"כ תאגיד </v>
          </cell>
          <cell r="F112">
            <v>3536540</v>
          </cell>
          <cell r="G112">
            <v>78.751831546693865</v>
          </cell>
          <cell r="H112">
            <v>233353</v>
          </cell>
          <cell r="I112">
            <v>5.1963150839282619</v>
          </cell>
          <cell r="J112">
            <v>329741</v>
          </cell>
          <cell r="K112">
            <v>7.3426873967319422</v>
          </cell>
          <cell r="L112">
            <v>11441</v>
          </cell>
          <cell r="M112">
            <v>0.25476870181751782</v>
          </cell>
          <cell r="N112">
            <v>91502</v>
          </cell>
          <cell r="O112">
            <v>2.0375706453724778</v>
          </cell>
          <cell r="P112">
            <v>222051</v>
          </cell>
          <cell r="Q112">
            <v>4.94464164035326</v>
          </cell>
          <cell r="R112">
            <v>66112</v>
          </cell>
          <cell r="S112">
            <v>1.4721849851026778</v>
          </cell>
          <cell r="T112">
            <v>0</v>
          </cell>
          <cell r="U112">
            <v>0</v>
          </cell>
          <cell r="V112">
            <v>4490740</v>
          </cell>
          <cell r="W112">
            <v>99.999999999999986</v>
          </cell>
        </row>
        <row r="113">
          <cell r="D113">
            <v>0</v>
          </cell>
          <cell r="E113" t="str">
            <v xml:space="preserve">אזור </v>
          </cell>
          <cell r="F113">
            <v>662481</v>
          </cell>
          <cell r="G113">
            <v>74.281078693108867</v>
          </cell>
          <cell r="H113">
            <v>83293</v>
          </cell>
          <cell r="I113">
            <v>9.3392774850676741</v>
          </cell>
          <cell r="J113">
            <v>6466</v>
          </cell>
          <cell r="K113">
            <v>0.72500412061574893</v>
          </cell>
          <cell r="L113">
            <v>0</v>
          </cell>
          <cell r="M113">
            <v>0</v>
          </cell>
          <cell r="N113">
            <v>0</v>
          </cell>
          <cell r="O113">
            <v>0</v>
          </cell>
          <cell r="P113">
            <v>102602</v>
          </cell>
          <cell r="Q113">
            <v>11.504310668638581</v>
          </cell>
          <cell r="R113">
            <v>6773</v>
          </cell>
          <cell r="S113">
            <v>0.75942667938918462</v>
          </cell>
          <cell r="T113">
            <v>30242</v>
          </cell>
          <cell r="U113">
            <v>3.3909023531799378</v>
          </cell>
          <cell r="V113">
            <v>891857</v>
          </cell>
          <cell r="W113">
            <v>99.999999999999986</v>
          </cell>
        </row>
        <row r="114">
          <cell r="D114">
            <v>0</v>
          </cell>
          <cell r="E114" t="str">
            <v>חולון</v>
          </cell>
          <cell r="F114">
            <v>9445824</v>
          </cell>
          <cell r="G114">
            <v>82.092641786263485</v>
          </cell>
          <cell r="H114">
            <v>544209</v>
          </cell>
          <cell r="I114">
            <v>4.7296619642564446</v>
          </cell>
          <cell r="J114">
            <v>40023</v>
          </cell>
          <cell r="K114">
            <v>0.34783559403728287</v>
          </cell>
          <cell r="L114">
            <v>148860</v>
          </cell>
          <cell r="M114">
            <v>1.2937262706041508</v>
          </cell>
          <cell r="N114">
            <v>10442</v>
          </cell>
          <cell r="O114">
            <v>9.0750300400702297E-2</v>
          </cell>
          <cell r="P114">
            <v>791118</v>
          </cell>
          <cell r="Q114">
            <v>6.8755215621914196</v>
          </cell>
          <cell r="R114">
            <v>49661</v>
          </cell>
          <cell r="S114">
            <v>0.43159841679747907</v>
          </cell>
          <cell r="T114">
            <v>476161</v>
          </cell>
          <cell r="U114">
            <v>4.138264105449033</v>
          </cell>
          <cell r="V114">
            <v>11506298</v>
          </cell>
          <cell r="W114">
            <v>100.00000000000001</v>
          </cell>
        </row>
        <row r="115">
          <cell r="D115">
            <v>0</v>
          </cell>
          <cell r="E115" t="str">
            <v>בית דגן</v>
          </cell>
          <cell r="F115">
            <v>372327</v>
          </cell>
          <cell r="G115">
            <v>80.698381597855146</v>
          </cell>
          <cell r="H115">
            <v>0</v>
          </cell>
          <cell r="I115">
            <v>0</v>
          </cell>
          <cell r="J115">
            <v>8829</v>
          </cell>
          <cell r="K115">
            <v>1.91360285750822</v>
          </cell>
          <cell r="L115">
            <v>0</v>
          </cell>
          <cell r="M115">
            <v>0</v>
          </cell>
          <cell r="N115">
            <v>1536</v>
          </cell>
          <cell r="O115">
            <v>0.33291357901604096</v>
          </cell>
          <cell r="P115">
            <v>14306</v>
          </cell>
          <cell r="Q115">
            <v>3.1006911858095587</v>
          </cell>
          <cell r="R115">
            <v>642</v>
          </cell>
          <cell r="S115">
            <v>0.13914747247936088</v>
          </cell>
          <cell r="T115">
            <v>63741</v>
          </cell>
          <cell r="U115">
            <v>13.815263307331685</v>
          </cell>
          <cell r="V115">
            <v>461381</v>
          </cell>
          <cell r="W115">
            <v>100.00000000000001</v>
          </cell>
        </row>
        <row r="116">
          <cell r="D116" t="str">
            <v>מי שקמה תאגיד המים והביוב בע"מ</v>
          </cell>
          <cell r="E116" t="str">
            <v xml:space="preserve">סה"כ תאגיד </v>
          </cell>
          <cell r="F116">
            <v>10480632</v>
          </cell>
          <cell r="G116">
            <v>81.500856640550637</v>
          </cell>
          <cell r="H116">
            <v>627502</v>
          </cell>
          <cell r="I116">
            <v>4.8796628432005633</v>
          </cell>
          <cell r="J116">
            <v>55318</v>
          </cell>
          <cell r="K116">
            <v>0.43017104194117112</v>
          </cell>
          <cell r="L116">
            <v>148860</v>
          </cell>
          <cell r="M116">
            <v>1.1575845349318981</v>
          </cell>
          <cell r="N116">
            <v>11978</v>
          </cell>
          <cell r="O116">
            <v>9.3144884854321347E-2</v>
          </cell>
          <cell r="P116">
            <v>908026</v>
          </cell>
          <cell r="Q116">
            <v>7.0611101364777076</v>
          </cell>
          <cell r="R116">
            <v>57076</v>
          </cell>
          <cell r="S116">
            <v>0.44384183068502625</v>
          </cell>
          <cell r="T116">
            <v>570144</v>
          </cell>
          <cell r="U116">
            <v>4.4336280873586729</v>
          </cell>
          <cell r="V116">
            <v>12859536</v>
          </cell>
          <cell r="W116">
            <v>100</v>
          </cell>
        </row>
        <row r="117">
          <cell r="D117">
            <v>0</v>
          </cell>
          <cell r="E117" t="str">
            <v>פתח תקוה</v>
          </cell>
          <cell r="F117">
            <v>11017785</v>
          </cell>
          <cell r="G117">
            <v>73.344723799935281</v>
          </cell>
          <cell r="H117">
            <v>609040</v>
          </cell>
          <cell r="I117">
            <v>4.05434219156687</v>
          </cell>
          <cell r="J117">
            <v>638753</v>
          </cell>
          <cell r="K117">
            <v>4.2521398231477621</v>
          </cell>
          <cell r="L117">
            <v>488351</v>
          </cell>
          <cell r="M117">
            <v>3.2509228681102593</v>
          </cell>
          <cell r="N117">
            <v>29949</v>
          </cell>
          <cell r="O117">
            <v>0.19936866920930674</v>
          </cell>
          <cell r="P117">
            <v>1866723</v>
          </cell>
          <cell r="Q117">
            <v>12.42666133401465</v>
          </cell>
          <cell r="R117">
            <v>221776</v>
          </cell>
          <cell r="S117">
            <v>1.4763493266073395</v>
          </cell>
          <cell r="T117">
            <v>149542</v>
          </cell>
          <cell r="U117">
            <v>0.99549198740853284</v>
          </cell>
          <cell r="V117">
            <v>15021919</v>
          </cell>
          <cell r="W117">
            <v>100</v>
          </cell>
        </row>
        <row r="118">
          <cell r="D118">
            <v>0</v>
          </cell>
          <cell r="E118" t="str">
            <v>אלעד</v>
          </cell>
          <cell r="F118">
            <v>1386071</v>
          </cell>
          <cell r="G118">
            <v>84.712344205416301</v>
          </cell>
          <cell r="H118">
            <v>50198</v>
          </cell>
          <cell r="I118">
            <v>3.0679454764030756</v>
          </cell>
          <cell r="J118">
            <v>91856</v>
          </cell>
          <cell r="K118">
            <v>5.6139527407562237</v>
          </cell>
          <cell r="L118">
            <v>0</v>
          </cell>
          <cell r="M118">
            <v>0</v>
          </cell>
          <cell r="N118">
            <v>40629</v>
          </cell>
          <cell r="O118">
            <v>2.4831179879831975</v>
          </cell>
          <cell r="P118">
            <v>28646</v>
          </cell>
          <cell r="Q118">
            <v>1.7507543351735628</v>
          </cell>
          <cell r="R118">
            <v>16993</v>
          </cell>
          <cell r="S118">
            <v>1.0385592549607048</v>
          </cell>
          <cell r="T118">
            <v>21816</v>
          </cell>
          <cell r="U118">
            <v>1.3333259993069346</v>
          </cell>
          <cell r="V118">
            <v>1636209</v>
          </cell>
          <cell r="W118">
            <v>100</v>
          </cell>
        </row>
        <row r="119">
          <cell r="D119">
            <v>0</v>
          </cell>
          <cell r="E119" t="str">
            <v>כפר ברא</v>
          </cell>
          <cell r="F119">
            <v>123404</v>
          </cell>
          <cell r="G119">
            <v>93.928345803426666</v>
          </cell>
          <cell r="H119">
            <v>902</v>
          </cell>
          <cell r="I119">
            <v>0.68655285010770206</v>
          </cell>
          <cell r="J119">
            <v>4102</v>
          </cell>
          <cell r="K119">
            <v>3.1222170633501038</v>
          </cell>
          <cell r="L119">
            <v>0</v>
          </cell>
          <cell r="M119">
            <v>0</v>
          </cell>
          <cell r="N119">
            <v>0</v>
          </cell>
          <cell r="O119">
            <v>0</v>
          </cell>
          <cell r="P119">
            <v>876</v>
          </cell>
          <cell r="Q119">
            <v>0.66676307837510751</v>
          </cell>
          <cell r="R119">
            <v>2097</v>
          </cell>
          <cell r="S119">
            <v>1.5961212047404114</v>
          </cell>
          <cell r="T119">
            <v>0</v>
          </cell>
          <cell r="U119">
            <v>0</v>
          </cell>
          <cell r="V119">
            <v>131381</v>
          </cell>
          <cell r="W119">
            <v>100</v>
          </cell>
        </row>
        <row r="120">
          <cell r="D120" t="str">
            <v>מיתב מים תיעול וביוב בע"מ</v>
          </cell>
          <cell r="E120" t="str">
            <v xml:space="preserve">סה"כ תאגיד </v>
          </cell>
          <cell r="F120">
            <v>12527260</v>
          </cell>
          <cell r="G120">
            <v>74.613617348786079</v>
          </cell>
          <cell r="H120">
            <v>660140</v>
          </cell>
          <cell r="I120">
            <v>3.9318600680937128</v>
          </cell>
          <cell r="J120">
            <v>734711</v>
          </cell>
          <cell r="K120">
            <v>4.3760124253782529</v>
          </cell>
          <cell r="L120">
            <v>488351</v>
          </cell>
          <cell r="M120">
            <v>2.9086675494798566</v>
          </cell>
          <cell r="N120">
            <v>70578</v>
          </cell>
          <cell r="O120">
            <v>0.42036964868954779</v>
          </cell>
          <cell r="P120">
            <v>1896245</v>
          </cell>
          <cell r="Q120">
            <v>11.29422545948187</v>
          </cell>
          <cell r="R120">
            <v>240866</v>
          </cell>
          <cell r="S120">
            <v>1.4346220607166058</v>
          </cell>
          <cell r="T120">
            <v>171358</v>
          </cell>
          <cell r="U120">
            <v>1.0206254393740759</v>
          </cell>
          <cell r="V120">
            <v>16789509</v>
          </cell>
          <cell r="W120">
            <v>99.999999999999986</v>
          </cell>
        </row>
        <row r="121">
          <cell r="D121">
            <v>0</v>
          </cell>
          <cell r="E121" t="str">
            <v xml:space="preserve">ראשון לציון </v>
          </cell>
          <cell r="F121">
            <v>12217983</v>
          </cell>
          <cell r="G121">
            <v>70.11688152640842</v>
          </cell>
          <cell r="H121">
            <v>1081712</v>
          </cell>
          <cell r="I121">
            <v>6.207757217348747</v>
          </cell>
          <cell r="J121">
            <v>765798</v>
          </cell>
          <cell r="K121">
            <v>4.3947816623382527</v>
          </cell>
          <cell r="L121">
            <v>103086</v>
          </cell>
          <cell r="M121">
            <v>0.59159264250337706</v>
          </cell>
          <cell r="N121">
            <v>14662</v>
          </cell>
          <cell r="O121">
            <v>8.4142670434244352E-2</v>
          </cell>
          <cell r="P121">
            <v>1530810</v>
          </cell>
          <cell r="Q121">
            <v>8.7850526072463246</v>
          </cell>
          <cell r="R121">
            <v>210681</v>
          </cell>
          <cell r="S121">
            <v>1.2090616525547015</v>
          </cell>
          <cell r="T121">
            <v>1500434</v>
          </cell>
          <cell r="U121">
            <v>8.6107300211659403</v>
          </cell>
          <cell r="V121">
            <v>17425166</v>
          </cell>
          <cell r="W121">
            <v>99.999999999999986</v>
          </cell>
        </row>
        <row r="122">
          <cell r="D122" t="str">
            <v>מניב ראשון בע"מ</v>
          </cell>
          <cell r="E122" t="str">
            <v xml:space="preserve">סה"כ תאגיד </v>
          </cell>
          <cell r="F122">
            <v>12217983</v>
          </cell>
          <cell r="G122">
            <v>70.11688152640842</v>
          </cell>
          <cell r="H122">
            <v>1081712</v>
          </cell>
          <cell r="I122">
            <v>6.207757217348747</v>
          </cell>
          <cell r="J122">
            <v>765798</v>
          </cell>
          <cell r="K122">
            <v>4.3947816623382527</v>
          </cell>
          <cell r="L122">
            <v>103086</v>
          </cell>
          <cell r="M122">
            <v>0.59159264250337706</v>
          </cell>
          <cell r="N122">
            <v>14662</v>
          </cell>
          <cell r="O122">
            <v>8.4142670434244352E-2</v>
          </cell>
          <cell r="P122">
            <v>1530810</v>
          </cell>
          <cell r="Q122">
            <v>8.7850526072463246</v>
          </cell>
          <cell r="R122">
            <v>210681</v>
          </cell>
          <cell r="S122">
            <v>1.2090616525547015</v>
          </cell>
          <cell r="T122">
            <v>1500434</v>
          </cell>
          <cell r="U122">
            <v>8.6107300211659403</v>
          </cell>
          <cell r="V122">
            <v>17425166</v>
          </cell>
          <cell r="W122">
            <v>99.999999999999986</v>
          </cell>
        </row>
        <row r="123">
          <cell r="D123">
            <v>0</v>
          </cell>
          <cell r="E123" t="str">
            <v xml:space="preserve">קריית אתא </v>
          </cell>
          <cell r="F123">
            <v>2611755</v>
          </cell>
          <cell r="G123">
            <v>80.373834939370838</v>
          </cell>
          <cell r="H123">
            <v>269805</v>
          </cell>
          <cell r="I123">
            <v>8.3029466913309058</v>
          </cell>
          <cell r="J123">
            <v>51200</v>
          </cell>
          <cell r="K123">
            <v>1.5756226556073549</v>
          </cell>
          <cell r="L123">
            <v>0</v>
          </cell>
          <cell r="M123">
            <v>0</v>
          </cell>
          <cell r="N123">
            <v>7125</v>
          </cell>
          <cell r="O123">
            <v>0.21926389494535944</v>
          </cell>
          <cell r="P123">
            <v>178312</v>
          </cell>
          <cell r="Q123">
            <v>5.4873520891925525</v>
          </cell>
          <cell r="R123">
            <v>45944</v>
          </cell>
          <cell r="S123">
            <v>1.4138751423676623</v>
          </cell>
          <cell r="T123">
            <v>85368</v>
          </cell>
          <cell r="U123">
            <v>2.6271045871853258</v>
          </cell>
          <cell r="V123">
            <v>3249509</v>
          </cell>
          <cell r="W123">
            <v>100</v>
          </cell>
        </row>
        <row r="124">
          <cell r="D124" t="str">
            <v>מי קריית אתא בע"מ</v>
          </cell>
          <cell r="E124" t="str">
            <v xml:space="preserve">סה"כ תאגיד </v>
          </cell>
          <cell r="F124">
            <v>2611755</v>
          </cell>
          <cell r="G124">
            <v>80.373834939370838</v>
          </cell>
          <cell r="H124">
            <v>269805</v>
          </cell>
          <cell r="I124">
            <v>8.3029466913309058</v>
          </cell>
          <cell r="J124">
            <v>51200</v>
          </cell>
          <cell r="K124">
            <v>1.5756226556073549</v>
          </cell>
          <cell r="L124">
            <v>0</v>
          </cell>
          <cell r="M124">
            <v>0</v>
          </cell>
          <cell r="N124">
            <v>7125</v>
          </cell>
          <cell r="O124">
            <v>0.21926389494535944</v>
          </cell>
          <cell r="P124">
            <v>178312</v>
          </cell>
          <cell r="Q124">
            <v>5.4873520891925525</v>
          </cell>
          <cell r="R124">
            <v>45944</v>
          </cell>
          <cell r="S124">
            <v>1.4138751423676623</v>
          </cell>
          <cell r="T124">
            <v>85368</v>
          </cell>
          <cell r="U124">
            <v>2.6271045871853258</v>
          </cell>
          <cell r="V124">
            <v>3249509</v>
          </cell>
          <cell r="W124">
            <v>100</v>
          </cell>
        </row>
        <row r="125">
          <cell r="D125">
            <v>0</v>
          </cell>
          <cell r="E125" t="str">
            <v>טירה</v>
          </cell>
          <cell r="F125">
            <v>10772051</v>
          </cell>
          <cell r="G125">
            <v>73.115013335349659</v>
          </cell>
          <cell r="H125">
            <v>519790</v>
          </cell>
          <cell r="I125">
            <v>3.5280609775781233</v>
          </cell>
          <cell r="J125">
            <v>413752</v>
          </cell>
          <cell r="K125">
            <v>2.8083308366742412</v>
          </cell>
          <cell r="L125">
            <v>521211</v>
          </cell>
          <cell r="M125">
            <v>3.5377059777688515</v>
          </cell>
          <cell r="N125">
            <v>51926</v>
          </cell>
          <cell r="O125">
            <v>0.35244636164936155</v>
          </cell>
          <cell r="P125">
            <v>1893192</v>
          </cell>
          <cell r="Q125">
            <v>12.849990993022342</v>
          </cell>
          <cell r="R125">
            <v>215653</v>
          </cell>
          <cell r="S125">
            <v>1.4637390753913218</v>
          </cell>
          <cell r="T125">
            <v>345447</v>
          </cell>
          <cell r="U125">
            <v>2.3447124425660939</v>
          </cell>
          <cell r="V125">
            <v>14733022</v>
          </cell>
          <cell r="W125">
            <v>99.999999999999986</v>
          </cell>
        </row>
        <row r="126">
          <cell r="D126">
            <v>0</v>
          </cell>
          <cell r="E126" t="str">
            <v>ג'לג'יוליה</v>
          </cell>
          <cell r="F126">
            <v>1440448</v>
          </cell>
          <cell r="G126">
            <v>86.48955032816778</v>
          </cell>
          <cell r="H126">
            <v>56832</v>
          </cell>
          <cell r="I126">
            <v>3.4123926196922292</v>
          </cell>
          <cell r="J126">
            <v>2353</v>
          </cell>
          <cell r="K126">
            <v>0.14128237320762624</v>
          </cell>
          <cell r="L126">
            <v>0</v>
          </cell>
          <cell r="M126">
            <v>0</v>
          </cell>
          <cell r="N126">
            <v>32771</v>
          </cell>
          <cell r="O126">
            <v>1.9676857851198979</v>
          </cell>
          <cell r="P126">
            <v>14361</v>
          </cell>
          <cell r="Q126">
            <v>0.86228481157446679</v>
          </cell>
          <cell r="R126">
            <v>9311</v>
          </cell>
          <cell r="S126">
            <v>0.55906509857042408</v>
          </cell>
          <cell r="T126">
            <v>109383</v>
          </cell>
          <cell r="U126">
            <v>6.5677389836675664</v>
          </cell>
          <cell r="V126">
            <v>1665459</v>
          </cell>
          <cell r="W126">
            <v>100</v>
          </cell>
        </row>
        <row r="127">
          <cell r="D127">
            <v>0</v>
          </cell>
          <cell r="E127" t="str">
            <v>כפר קאסם</v>
          </cell>
          <cell r="F127">
            <v>114092</v>
          </cell>
          <cell r="G127">
            <v>95.362754931461041</v>
          </cell>
          <cell r="H127">
            <v>562</v>
          </cell>
          <cell r="I127">
            <v>0.46974256101638245</v>
          </cell>
          <cell r="J127">
            <v>1208</v>
          </cell>
          <cell r="K127">
            <v>1.0096957539284519</v>
          </cell>
          <cell r="L127">
            <v>0</v>
          </cell>
          <cell r="M127">
            <v>0</v>
          </cell>
          <cell r="N127">
            <v>0</v>
          </cell>
          <cell r="O127">
            <v>0</v>
          </cell>
          <cell r="P127">
            <v>466</v>
          </cell>
          <cell r="Q127">
            <v>0.38950183884988299</v>
          </cell>
          <cell r="R127">
            <v>2083</v>
          </cell>
          <cell r="S127">
            <v>1.741056502841859</v>
          </cell>
          <cell r="T127">
            <v>1229</v>
          </cell>
          <cell r="U127">
            <v>1.0272484119023737</v>
          </cell>
          <cell r="V127">
            <v>119640</v>
          </cell>
          <cell r="W127">
            <v>100</v>
          </cell>
        </row>
        <row r="128">
          <cell r="D128" t="str">
            <v>מעינות המשולש בע"מ</v>
          </cell>
          <cell r="E128" t="str">
            <v xml:space="preserve">סה"כ תאגיד </v>
          </cell>
          <cell r="F128">
            <v>12326591</v>
          </cell>
          <cell r="G128">
            <v>74.624656157924989</v>
          </cell>
          <cell r="H128">
            <v>577184</v>
          </cell>
          <cell r="I128">
            <v>3.4942473178396014</v>
          </cell>
          <cell r="J128">
            <v>417313</v>
          </cell>
          <cell r="K128">
            <v>2.5263951026875273</v>
          </cell>
          <cell r="L128">
            <v>521211</v>
          </cell>
          <cell r="M128">
            <v>3.1553891632105127</v>
          </cell>
          <cell r="N128">
            <v>84697</v>
          </cell>
          <cell r="O128">
            <v>0.51275202548764476</v>
          </cell>
          <cell r="P128">
            <v>1908019</v>
          </cell>
          <cell r="Q128">
            <v>11.55106564481517</v>
          </cell>
          <cell r="R128">
            <v>227047</v>
          </cell>
          <cell r="S128">
            <v>1.3745328539487027</v>
          </cell>
          <cell r="T128">
            <v>456059</v>
          </cell>
          <cell r="U128">
            <v>2.7609617340858561</v>
          </cell>
          <cell r="V128">
            <v>16518121</v>
          </cell>
          <cell r="W128">
            <v>100.00000000000001</v>
          </cell>
        </row>
        <row r="129">
          <cell r="D129">
            <v>0</v>
          </cell>
          <cell r="E129" t="str">
            <v xml:space="preserve">ערד </v>
          </cell>
          <cell r="F129">
            <v>1228128</v>
          </cell>
          <cell r="G129">
            <v>72.75976022588722</v>
          </cell>
          <cell r="H129">
            <v>234440</v>
          </cell>
          <cell r="I129">
            <v>13.889267395057356</v>
          </cell>
          <cell r="J129">
            <v>15327</v>
          </cell>
          <cell r="K129">
            <v>0.90803958950709807</v>
          </cell>
          <cell r="L129">
            <v>0</v>
          </cell>
          <cell r="M129">
            <v>0</v>
          </cell>
          <cell r="N129">
            <v>4485</v>
          </cell>
          <cell r="O129">
            <v>0.26571133026289129</v>
          </cell>
          <cell r="P129">
            <v>69847</v>
          </cell>
          <cell r="Q129">
            <v>4.1380466632936832</v>
          </cell>
          <cell r="R129">
            <v>9673</v>
          </cell>
          <cell r="S129">
            <v>0.5730715044889515</v>
          </cell>
          <cell r="T129">
            <v>126022</v>
          </cell>
          <cell r="U129">
            <v>7.4661032915028072</v>
          </cell>
          <cell r="V129">
            <v>1687922</v>
          </cell>
          <cell r="W129">
            <v>100</v>
          </cell>
        </row>
        <row r="130">
          <cell r="D130">
            <v>0</v>
          </cell>
          <cell r="E130" t="str">
            <v>דימונה</v>
          </cell>
          <cell r="F130">
            <v>1728023</v>
          </cell>
          <cell r="G130">
            <v>71.099534732154169</v>
          </cell>
          <cell r="H130">
            <v>417316</v>
          </cell>
          <cell r="I130">
            <v>17.170473677887188</v>
          </cell>
          <cell r="J130">
            <v>106195</v>
          </cell>
          <cell r="K130">
            <v>4.3693950201363716</v>
          </cell>
          <cell r="L130">
            <v>6884</v>
          </cell>
          <cell r="M130">
            <v>0.28324229312697186</v>
          </cell>
          <cell r="N130">
            <v>1973</v>
          </cell>
          <cell r="O130">
            <v>8.1179117422939498E-2</v>
          </cell>
          <cell r="P130">
            <v>92762</v>
          </cell>
          <cell r="Q130">
            <v>3.8166940143875894</v>
          </cell>
          <cell r="R130">
            <v>23446</v>
          </cell>
          <cell r="S130">
            <v>0.96468605529561047</v>
          </cell>
          <cell r="T130">
            <v>53829</v>
          </cell>
          <cell r="U130">
            <v>2.2147950895891588</v>
          </cell>
          <cell r="V130">
            <v>2430428</v>
          </cell>
          <cell r="W130">
            <v>100</v>
          </cell>
        </row>
        <row r="131">
          <cell r="D131">
            <v>0</v>
          </cell>
          <cell r="E131" t="str">
            <v xml:space="preserve">ירוחם </v>
          </cell>
          <cell r="F131">
            <v>444179</v>
          </cell>
          <cell r="G131">
            <v>62.002141282787512</v>
          </cell>
          <cell r="H131">
            <v>197662</v>
          </cell>
          <cell r="I131">
            <v>27.591280205138801</v>
          </cell>
          <cell r="J131">
            <v>24446</v>
          </cell>
          <cell r="K131">
            <v>3.4123728177131829</v>
          </cell>
          <cell r="L131">
            <v>0</v>
          </cell>
          <cell r="M131">
            <v>0</v>
          </cell>
          <cell r="N131">
            <v>2090</v>
          </cell>
          <cell r="O131">
            <v>0.29173931068561532</v>
          </cell>
          <cell r="P131">
            <v>19648</v>
          </cell>
          <cell r="Q131">
            <v>2.7426286968186457</v>
          </cell>
          <cell r="R131">
            <v>15681</v>
          </cell>
          <cell r="S131">
            <v>2.1888823592637006</v>
          </cell>
          <cell r="T131">
            <v>12687</v>
          </cell>
          <cell r="U131">
            <v>1.7709553275925365</v>
          </cell>
          <cell r="V131">
            <v>716393</v>
          </cell>
          <cell r="W131">
            <v>99.999999999999986</v>
          </cell>
        </row>
        <row r="132">
          <cell r="D132">
            <v>0</v>
          </cell>
          <cell r="E132" t="str">
            <v>מצפה רמון</v>
          </cell>
          <cell r="F132">
            <v>207011</v>
          </cell>
          <cell r="G132">
            <v>53.556949744518469</v>
          </cell>
          <cell r="H132">
            <v>94798</v>
          </cell>
          <cell r="I132">
            <v>24.525709850591813</v>
          </cell>
          <cell r="J132">
            <v>33333</v>
          </cell>
          <cell r="K132">
            <v>8.623763016622469</v>
          </cell>
          <cell r="L132">
            <v>0</v>
          </cell>
          <cell r="M132">
            <v>0</v>
          </cell>
          <cell r="N132">
            <v>652</v>
          </cell>
          <cell r="O132">
            <v>0.16868249143004982</v>
          </cell>
          <cell r="P132">
            <v>15213</v>
          </cell>
          <cell r="Q132">
            <v>3.935838561541944</v>
          </cell>
          <cell r="R132">
            <v>2397</v>
          </cell>
          <cell r="S132">
            <v>0.62014099993532112</v>
          </cell>
          <cell r="T132">
            <v>33121</v>
          </cell>
          <cell r="U132">
            <v>8.5689153353599377</v>
          </cell>
          <cell r="V132">
            <v>386525</v>
          </cell>
          <cell r="W132">
            <v>100</v>
          </cell>
        </row>
        <row r="133">
          <cell r="D133" t="str">
            <v>מעיינות הדרום בע"מ</v>
          </cell>
          <cell r="E133" t="str">
            <v xml:space="preserve">סה"כ תאגיד </v>
          </cell>
          <cell r="F133">
            <v>3607341</v>
          </cell>
          <cell r="G133">
            <v>69.08936679749057</v>
          </cell>
          <cell r="H133">
            <v>944216</v>
          </cell>
          <cell r="I133">
            <v>18.084036291567489</v>
          </cell>
          <cell r="J133">
            <v>179301</v>
          </cell>
          <cell r="K133">
            <v>3.4340508857235448</v>
          </cell>
          <cell r="L133">
            <v>6884</v>
          </cell>
          <cell r="M133">
            <v>0.13184536783018991</v>
          </cell>
          <cell r="N133">
            <v>9200</v>
          </cell>
          <cell r="O133">
            <v>0.17620240906998072</v>
          </cell>
          <cell r="P133">
            <v>197470</v>
          </cell>
          <cell r="Q133">
            <v>3.7820314912009878</v>
          </cell>
          <cell r="R133">
            <v>51197</v>
          </cell>
          <cell r="S133">
            <v>0.98054725403867415</v>
          </cell>
          <cell r="T133">
            <v>225659</v>
          </cell>
          <cell r="U133">
            <v>4.3219195030785622</v>
          </cell>
          <cell r="V133">
            <v>5221268</v>
          </cell>
          <cell r="W133">
            <v>100</v>
          </cell>
        </row>
        <row r="134">
          <cell r="D134">
            <v>0</v>
          </cell>
          <cell r="E134" t="str">
            <v xml:space="preserve">יקנעם -עלית </v>
          </cell>
          <cell r="F134">
            <v>918670</v>
          </cell>
          <cell r="G134">
            <v>71.867216151602761</v>
          </cell>
          <cell r="H134">
            <v>92991</v>
          </cell>
          <cell r="I134">
            <v>7.2746517216777438</v>
          </cell>
          <cell r="J134">
            <v>1884</v>
          </cell>
          <cell r="K134">
            <v>0.1473846269385303</v>
          </cell>
          <cell r="L134">
            <v>1628</v>
          </cell>
          <cell r="M134">
            <v>0.12735784111248796</v>
          </cell>
          <cell r="N134">
            <v>505</v>
          </cell>
          <cell r="O134">
            <v>3.9505964227153814E-2</v>
          </cell>
          <cell r="P134">
            <v>172001</v>
          </cell>
          <cell r="Q134">
            <v>13.455574956504323</v>
          </cell>
          <cell r="R134">
            <v>17753</v>
          </cell>
          <cell r="S134">
            <v>1.3888106592567557</v>
          </cell>
          <cell r="T134">
            <v>72856</v>
          </cell>
          <cell r="U134">
            <v>5.6994980786802349</v>
          </cell>
          <cell r="V134">
            <v>1278288</v>
          </cell>
          <cell r="W134">
            <v>100</v>
          </cell>
        </row>
        <row r="135">
          <cell r="D135">
            <v>0</v>
          </cell>
          <cell r="E135" t="str">
            <v>קרית טבעון</v>
          </cell>
          <cell r="F135">
            <v>971546</v>
          </cell>
          <cell r="G135">
            <v>75.61287109063386</v>
          </cell>
          <cell r="H135">
            <v>76107</v>
          </cell>
          <cell r="I135">
            <v>5.9232077329275938</v>
          </cell>
          <cell r="J135">
            <v>5518</v>
          </cell>
          <cell r="K135">
            <v>0.42945143377474421</v>
          </cell>
          <cell r="L135">
            <v>62636</v>
          </cell>
          <cell r="M135">
            <v>4.8747952167297717</v>
          </cell>
          <cell r="N135">
            <v>466</v>
          </cell>
          <cell r="O135">
            <v>3.626755493639558E-2</v>
          </cell>
          <cell r="P135">
            <v>32612</v>
          </cell>
          <cell r="Q135">
            <v>2.5381062265788255</v>
          </cell>
          <cell r="R135">
            <v>10678</v>
          </cell>
          <cell r="S135">
            <v>0.8310406686927726</v>
          </cell>
          <cell r="T135">
            <v>125332</v>
          </cell>
          <cell r="U135">
            <v>9.754260075726032</v>
          </cell>
          <cell r="V135">
            <v>1284895</v>
          </cell>
          <cell r="W135">
            <v>100</v>
          </cell>
        </row>
        <row r="136">
          <cell r="D136">
            <v>0</v>
          </cell>
          <cell r="E136" t="str">
            <v>רמת ישי</v>
          </cell>
          <cell r="F136">
            <v>389423</v>
          </cell>
          <cell r="G136">
            <v>85.358973122498455</v>
          </cell>
          <cell r="H136">
            <v>6560</v>
          </cell>
          <cell r="I136">
            <v>1.4379090697868124</v>
          </cell>
          <cell r="J136">
            <v>341</v>
          </cell>
          <cell r="K136">
            <v>7.4744968414223026E-2</v>
          </cell>
          <cell r="L136">
            <v>138</v>
          </cell>
          <cell r="M136">
            <v>3.0248696894905509E-2</v>
          </cell>
          <cell r="N136">
            <v>325</v>
          </cell>
          <cell r="O136">
            <v>7.1237873122060077E-2</v>
          </cell>
          <cell r="P136">
            <v>41257</v>
          </cell>
          <cell r="Q136">
            <v>9.0432644042979451</v>
          </cell>
          <cell r="R136">
            <v>3617</v>
          </cell>
          <cell r="S136">
            <v>0.79282272948458854</v>
          </cell>
          <cell r="T136">
            <v>14557</v>
          </cell>
          <cell r="U136">
            <v>3.190799135501011</v>
          </cell>
          <cell r="V136">
            <v>456218</v>
          </cell>
          <cell r="W136">
            <v>99.999999999999986</v>
          </cell>
        </row>
        <row r="137">
          <cell r="D137" t="str">
            <v>מעיינות העמקים בע"מ</v>
          </cell>
          <cell r="E137" t="str">
            <v xml:space="preserve">סה"כ תאגיד </v>
          </cell>
          <cell r="F137">
            <v>2279639</v>
          </cell>
          <cell r="G137">
            <v>75.499710041826177</v>
          </cell>
          <cell r="H137">
            <v>175658</v>
          </cell>
          <cell r="I137">
            <v>5.8176439631569306</v>
          </cell>
          <cell r="J137">
            <v>7743</v>
          </cell>
          <cell r="K137">
            <v>0.25644159222309326</v>
          </cell>
          <cell r="L137">
            <v>64402</v>
          </cell>
          <cell r="M137">
            <v>2.1329396128569869</v>
          </cell>
          <cell r="N137">
            <v>1296</v>
          </cell>
          <cell r="O137">
            <v>4.2922420705298836E-2</v>
          </cell>
          <cell r="P137">
            <v>245870</v>
          </cell>
          <cell r="Q137">
            <v>8.1430058478486291</v>
          </cell>
          <cell r="R137">
            <v>32048</v>
          </cell>
          <cell r="S137">
            <v>1.0614025762063404</v>
          </cell>
          <cell r="T137">
            <v>212745</v>
          </cell>
          <cell r="U137">
            <v>7.045933945176543</v>
          </cell>
          <cell r="V137">
            <v>3019401</v>
          </cell>
          <cell r="W137">
            <v>99.999999999999986</v>
          </cell>
        </row>
        <row r="138">
          <cell r="D138">
            <v>0</v>
          </cell>
          <cell r="E138" t="str">
            <v xml:space="preserve">אבן יהודה </v>
          </cell>
          <cell r="F138">
            <v>803077</v>
          </cell>
          <cell r="G138">
            <v>75.787148185057688</v>
          </cell>
          <cell r="H138">
            <v>121287</v>
          </cell>
          <cell r="I138">
            <v>11.445970737452436</v>
          </cell>
          <cell r="J138">
            <v>33556</v>
          </cell>
          <cell r="K138">
            <v>3.1667119647279098</v>
          </cell>
          <cell r="L138">
            <v>0</v>
          </cell>
          <cell r="M138">
            <v>0</v>
          </cell>
          <cell r="N138">
            <v>0</v>
          </cell>
          <cell r="O138">
            <v>0</v>
          </cell>
          <cell r="P138">
            <v>26659</v>
          </cell>
          <cell r="Q138">
            <v>2.5158354472428579</v>
          </cell>
          <cell r="R138">
            <v>15888</v>
          </cell>
          <cell r="S138">
            <v>1.4993658271425983</v>
          </cell>
          <cell r="T138">
            <v>59181</v>
          </cell>
          <cell r="U138">
            <v>5.5849678383765173</v>
          </cell>
          <cell r="V138">
            <v>1059648</v>
          </cell>
          <cell r="W138">
            <v>100.00000000000001</v>
          </cell>
        </row>
        <row r="139">
          <cell r="D139">
            <v>0</v>
          </cell>
          <cell r="E139" t="str">
            <v xml:space="preserve">כפר יונה </v>
          </cell>
          <cell r="F139">
            <v>1102842</v>
          </cell>
          <cell r="G139">
            <v>82.553120775376925</v>
          </cell>
          <cell r="H139">
            <v>110270</v>
          </cell>
          <cell r="I139">
            <v>8.254249138045898</v>
          </cell>
          <cell r="J139">
            <v>29294</v>
          </cell>
          <cell r="K139">
            <v>2.1927992586371321</v>
          </cell>
          <cell r="L139">
            <v>0</v>
          </cell>
          <cell r="M139">
            <v>0</v>
          </cell>
          <cell r="N139">
            <v>1076</v>
          </cell>
          <cell r="O139">
            <v>8.0543865716308935E-2</v>
          </cell>
          <cell r="P139">
            <v>18993</v>
          </cell>
          <cell r="Q139">
            <v>1.4217189977229141</v>
          </cell>
          <cell r="R139">
            <v>19329</v>
          </cell>
          <cell r="S139">
            <v>1.4468702420358135</v>
          </cell>
          <cell r="T139">
            <v>54114</v>
          </cell>
          <cell r="U139">
            <v>4.0506977224650011</v>
          </cell>
          <cell r="V139">
            <v>1335918</v>
          </cell>
          <cell r="W139">
            <v>100</v>
          </cell>
        </row>
        <row r="140">
          <cell r="D140">
            <v>0</v>
          </cell>
          <cell r="E140" t="str">
            <v xml:space="preserve">פרדסיה </v>
          </cell>
          <cell r="F140">
            <v>339832</v>
          </cell>
          <cell r="G140">
            <v>74.58819036414836</v>
          </cell>
          <cell r="H140">
            <v>100582</v>
          </cell>
          <cell r="I140">
            <v>22.076288763879713</v>
          </cell>
          <cell r="J140">
            <v>4342</v>
          </cell>
          <cell r="K140">
            <v>0.95300596342054955</v>
          </cell>
          <cell r="L140">
            <v>0</v>
          </cell>
          <cell r="M140">
            <v>0</v>
          </cell>
          <cell r="N140">
            <v>0</v>
          </cell>
          <cell r="O140">
            <v>0</v>
          </cell>
          <cell r="P140">
            <v>8719</v>
          </cell>
          <cell r="Q140">
            <v>1.9136939187157465</v>
          </cell>
          <cell r="R140">
            <v>2136</v>
          </cell>
          <cell r="S140">
            <v>0.46882098983562737</v>
          </cell>
          <cell r="T140">
            <v>0</v>
          </cell>
          <cell r="U140">
            <v>0</v>
          </cell>
          <cell r="V140">
            <v>455611</v>
          </cell>
          <cell r="W140">
            <v>100</v>
          </cell>
        </row>
        <row r="141">
          <cell r="D141">
            <v>0</v>
          </cell>
          <cell r="E141" t="str">
            <v xml:space="preserve">צורן - קדימה </v>
          </cell>
          <cell r="F141">
            <v>766996</v>
          </cell>
          <cell r="G141">
            <v>68.964351448483711</v>
          </cell>
          <cell r="H141">
            <v>108180</v>
          </cell>
          <cell r="I141">
            <v>9.7269914571874807</v>
          </cell>
          <cell r="J141">
            <v>27391</v>
          </cell>
          <cell r="K141">
            <v>2.462858411941415</v>
          </cell>
          <cell r="L141">
            <v>0</v>
          </cell>
          <cell r="M141">
            <v>0</v>
          </cell>
          <cell r="N141">
            <v>15059</v>
          </cell>
          <cell r="O141">
            <v>1.3540281415583868</v>
          </cell>
          <cell r="P141">
            <v>54184</v>
          </cell>
          <cell r="Q141">
            <v>4.8719477270867673</v>
          </cell>
          <cell r="R141">
            <v>12854</v>
          </cell>
          <cell r="S141">
            <v>1.1557658364826018</v>
          </cell>
          <cell r="T141">
            <v>127499</v>
          </cell>
          <cell r="U141">
            <v>11.464056977259627</v>
          </cell>
          <cell r="V141">
            <v>1112163</v>
          </cell>
          <cell r="W141">
            <v>99.999999999999986</v>
          </cell>
        </row>
        <row r="142">
          <cell r="D142">
            <v>0</v>
          </cell>
          <cell r="E142" t="str">
            <v xml:space="preserve">תל מונד </v>
          </cell>
          <cell r="F142">
            <v>715716</v>
          </cell>
          <cell r="G142">
            <v>79.630705144894151</v>
          </cell>
          <cell r="H142">
            <v>104329</v>
          </cell>
          <cell r="I142">
            <v>11.607665382723962</v>
          </cell>
          <cell r="J142">
            <v>38020</v>
          </cell>
          <cell r="K142">
            <v>4.2301127955905358</v>
          </cell>
          <cell r="L142">
            <v>0</v>
          </cell>
          <cell r="M142">
            <v>0</v>
          </cell>
          <cell r="N142">
            <v>231</v>
          </cell>
          <cell r="O142">
            <v>2.5701106148906201E-2</v>
          </cell>
          <cell r="P142">
            <v>22666</v>
          </cell>
          <cell r="Q142">
            <v>2.5218236881866143</v>
          </cell>
          <cell r="R142">
            <v>15894</v>
          </cell>
          <cell r="S142">
            <v>1.7683696152844812</v>
          </cell>
          <cell r="T142">
            <v>1938</v>
          </cell>
          <cell r="U142">
            <v>0.21562226717134295</v>
          </cell>
          <cell r="V142">
            <v>898794</v>
          </cell>
          <cell r="W142">
            <v>100</v>
          </cell>
        </row>
        <row r="143">
          <cell r="D143" t="str">
            <v>מי השרון בע"מ</v>
          </cell>
          <cell r="E143" t="str">
            <v xml:space="preserve">סה"כ תאגיד </v>
          </cell>
          <cell r="F143">
            <v>3728463</v>
          </cell>
          <cell r="G143">
            <v>76.68367428787441</v>
          </cell>
          <cell r="H143">
            <v>544648</v>
          </cell>
          <cell r="I143">
            <v>11.201830307432909</v>
          </cell>
          <cell r="J143">
            <v>132603</v>
          </cell>
          <cell r="K143">
            <v>2.7272592651703964</v>
          </cell>
          <cell r="L143">
            <v>0</v>
          </cell>
          <cell r="M143">
            <v>0</v>
          </cell>
          <cell r="N143">
            <v>16366</v>
          </cell>
          <cell r="O143">
            <v>0.33660117141979223</v>
          </cell>
          <cell r="P143">
            <v>131221</v>
          </cell>
          <cell r="Q143">
            <v>2.6988355318878501</v>
          </cell>
          <cell r="R143">
            <v>66101</v>
          </cell>
          <cell r="S143">
            <v>1.3595059288781428</v>
          </cell>
          <cell r="T143">
            <v>242732</v>
          </cell>
          <cell r="U143">
            <v>4.9922935073364902</v>
          </cell>
          <cell r="V143">
            <v>4862134</v>
          </cell>
          <cell r="W143">
            <v>100</v>
          </cell>
        </row>
        <row r="144">
          <cell r="D144">
            <v>0</v>
          </cell>
          <cell r="E144" t="str">
            <v xml:space="preserve">מעלות </v>
          </cell>
          <cell r="F144">
            <v>959152</v>
          </cell>
          <cell r="G144">
            <v>70.251591213717035</v>
          </cell>
          <cell r="H144">
            <v>215340</v>
          </cell>
          <cell r="I144">
            <v>15.77224220140481</v>
          </cell>
          <cell r="J144">
            <v>60863</v>
          </cell>
          <cell r="K144">
            <v>4.4578154411818556</v>
          </cell>
          <cell r="L144">
            <v>0</v>
          </cell>
          <cell r="M144">
            <v>0</v>
          </cell>
          <cell r="N144">
            <v>0</v>
          </cell>
          <cell r="O144">
            <v>0</v>
          </cell>
          <cell r="P144">
            <v>29538</v>
          </cell>
          <cell r="Q144">
            <v>2.1634647076488123</v>
          </cell>
          <cell r="R144">
            <v>0</v>
          </cell>
          <cell r="S144">
            <v>0</v>
          </cell>
          <cell r="T144">
            <v>100417</v>
          </cell>
          <cell r="U144">
            <v>7.3548864360474902</v>
          </cell>
          <cell r="V144">
            <v>1365310</v>
          </cell>
          <cell r="W144">
            <v>100</v>
          </cell>
        </row>
        <row r="145">
          <cell r="D145">
            <v>0</v>
          </cell>
          <cell r="E145" t="str">
            <v xml:space="preserve">כסרא-סמיע </v>
          </cell>
          <cell r="F145">
            <v>215972</v>
          </cell>
          <cell r="G145">
            <v>88.94434903651721</v>
          </cell>
          <cell r="H145">
            <v>10520</v>
          </cell>
          <cell r="I145">
            <v>4.3324808394799375</v>
          </cell>
          <cell r="J145">
            <v>5661</v>
          </cell>
          <cell r="K145">
            <v>2.3313853642866849</v>
          </cell>
          <cell r="L145">
            <v>0</v>
          </cell>
          <cell r="M145">
            <v>0</v>
          </cell>
          <cell r="N145">
            <v>0</v>
          </cell>
          <cell r="O145">
            <v>0</v>
          </cell>
          <cell r="P145">
            <v>32</v>
          </cell>
          <cell r="Q145">
            <v>1.317864894138384E-2</v>
          </cell>
          <cell r="R145">
            <v>0</v>
          </cell>
          <cell r="S145">
            <v>0</v>
          </cell>
          <cell r="T145">
            <v>10632</v>
          </cell>
          <cell r="U145">
            <v>4.3786061107747809</v>
          </cell>
          <cell r="V145">
            <v>242817</v>
          </cell>
          <cell r="W145">
            <v>100</v>
          </cell>
        </row>
        <row r="146">
          <cell r="D146">
            <v>0</v>
          </cell>
          <cell r="E146" t="str">
            <v xml:space="preserve">כפר ורדים </v>
          </cell>
          <cell r="F146">
            <v>363802</v>
          </cell>
          <cell r="G146">
            <v>79.151228490804542</v>
          </cell>
          <cell r="H146">
            <v>58343</v>
          </cell>
          <cell r="I146">
            <v>12.693498452012383</v>
          </cell>
          <cell r="J146">
            <v>12173</v>
          </cell>
          <cell r="K146">
            <v>2.6484403725613483</v>
          </cell>
          <cell r="L146">
            <v>0</v>
          </cell>
          <cell r="M146">
            <v>0</v>
          </cell>
          <cell r="N146">
            <v>0</v>
          </cell>
          <cell r="O146">
            <v>0</v>
          </cell>
          <cell r="P146">
            <v>8896</v>
          </cell>
          <cell r="Q146">
            <v>1.9354740453713757</v>
          </cell>
          <cell r="R146">
            <v>0</v>
          </cell>
          <cell r="S146">
            <v>0</v>
          </cell>
          <cell r="T146">
            <v>16415</v>
          </cell>
          <cell r="U146">
            <v>3.5713586392503522</v>
          </cell>
          <cell r="V146">
            <v>459629</v>
          </cell>
          <cell r="W146">
            <v>100</v>
          </cell>
        </row>
        <row r="147">
          <cell r="D147">
            <v>0</v>
          </cell>
          <cell r="E147" t="str">
            <v xml:space="preserve">שלומי </v>
          </cell>
          <cell r="F147">
            <v>289970</v>
          </cell>
          <cell r="G147">
            <v>73.219940104942609</v>
          </cell>
          <cell r="H147">
            <v>50001</v>
          </cell>
          <cell r="I147">
            <v>12.625686192320707</v>
          </cell>
          <cell r="J147">
            <v>14366</v>
          </cell>
          <cell r="K147">
            <v>3.6275396059854659</v>
          </cell>
          <cell r="L147">
            <v>0</v>
          </cell>
          <cell r="M147">
            <v>0</v>
          </cell>
          <cell r="N147">
            <v>0</v>
          </cell>
          <cell r="O147">
            <v>0</v>
          </cell>
          <cell r="P147">
            <v>6153</v>
          </cell>
          <cell r="Q147">
            <v>1.5536858691096038</v>
          </cell>
          <cell r="R147">
            <v>0</v>
          </cell>
          <cell r="S147">
            <v>0</v>
          </cell>
          <cell r="T147">
            <v>35536</v>
          </cell>
          <cell r="U147">
            <v>8.9731482276416195</v>
          </cell>
          <cell r="V147">
            <v>396026</v>
          </cell>
          <cell r="W147">
            <v>100</v>
          </cell>
        </row>
        <row r="148">
          <cell r="D148" t="str">
            <v>מעיינות זיו בע"מ</v>
          </cell>
          <cell r="E148" t="str">
            <v xml:space="preserve">סה"כ תאגיד </v>
          </cell>
          <cell r="F148">
            <v>1828896</v>
          </cell>
          <cell r="G148">
            <v>74.231242861584349</v>
          </cell>
          <cell r="H148">
            <v>334204</v>
          </cell>
          <cell r="I148">
            <v>13.564674147306862</v>
          </cell>
          <cell r="J148">
            <v>93063</v>
          </cell>
          <cell r="K148">
            <v>3.77724165530879</v>
          </cell>
          <cell r="L148">
            <v>0</v>
          </cell>
          <cell r="M148">
            <v>0</v>
          </cell>
          <cell r="N148">
            <v>0</v>
          </cell>
          <cell r="O148">
            <v>0</v>
          </cell>
          <cell r="P148">
            <v>44619</v>
          </cell>
          <cell r="Q148">
            <v>1.8109962650916356</v>
          </cell>
          <cell r="R148">
            <v>0</v>
          </cell>
          <cell r="S148">
            <v>0</v>
          </cell>
          <cell r="T148">
            <v>163000</v>
          </cell>
          <cell r="U148">
            <v>6.6158450707083665</v>
          </cell>
          <cell r="V148">
            <v>2463782</v>
          </cell>
          <cell r="W148">
            <v>99.999999999999986</v>
          </cell>
        </row>
        <row r="149">
          <cell r="D149">
            <v>0</v>
          </cell>
          <cell r="E149" t="str">
            <v>תל שבע</v>
          </cell>
          <cell r="F149">
            <v>575125</v>
          </cell>
          <cell r="G149">
            <v>94.192454776976177</v>
          </cell>
          <cell r="H149">
            <v>6327</v>
          </cell>
          <cell r="I149">
            <v>1.0362193633973975</v>
          </cell>
          <cell r="J149">
            <v>11375</v>
          </cell>
          <cell r="K149">
            <v>1.8629674820049624</v>
          </cell>
          <cell r="L149">
            <v>884</v>
          </cell>
          <cell r="M149">
            <v>0.14477918717295707</v>
          </cell>
          <cell r="N149">
            <v>0</v>
          </cell>
          <cell r="O149">
            <v>0</v>
          </cell>
          <cell r="P149">
            <v>9367</v>
          </cell>
          <cell r="Q149">
            <v>1.5341025410057567</v>
          </cell>
          <cell r="R149">
            <v>3821</v>
          </cell>
          <cell r="S149">
            <v>0.62579329659261207</v>
          </cell>
          <cell r="T149">
            <v>3686</v>
          </cell>
          <cell r="U149">
            <v>0.60368335285013552</v>
          </cell>
          <cell r="V149">
            <v>610585</v>
          </cell>
          <cell r="W149">
            <v>100</v>
          </cell>
        </row>
        <row r="150">
          <cell r="D150">
            <v>0</v>
          </cell>
          <cell r="E150" t="str">
            <v xml:space="preserve">חורה </v>
          </cell>
          <cell r="F150">
            <v>498935</v>
          </cell>
          <cell r="G150">
            <v>89.413432399835841</v>
          </cell>
          <cell r="H150">
            <v>4274</v>
          </cell>
          <cell r="I150">
            <v>0.76593746695841824</v>
          </cell>
          <cell r="J150">
            <v>16134</v>
          </cell>
          <cell r="K150">
            <v>2.8913512147653533</v>
          </cell>
          <cell r="L150">
            <v>3087</v>
          </cell>
          <cell r="M150">
            <v>0.55321688359865162</v>
          </cell>
          <cell r="N150">
            <v>0</v>
          </cell>
          <cell r="O150">
            <v>0</v>
          </cell>
          <cell r="P150">
            <v>8062</v>
          </cell>
          <cell r="Q150">
            <v>1.4447795644873112</v>
          </cell>
          <cell r="R150">
            <v>26268</v>
          </cell>
          <cell r="S150">
            <v>4.7074509550921215</v>
          </cell>
          <cell r="T150">
            <v>1249</v>
          </cell>
          <cell r="U150">
            <v>0.22383151526229866</v>
          </cell>
          <cell r="V150">
            <v>558009</v>
          </cell>
          <cell r="W150">
            <v>100</v>
          </cell>
        </row>
        <row r="151">
          <cell r="D151">
            <v>0</v>
          </cell>
          <cell r="E151" t="str">
            <v>לקיה</v>
          </cell>
          <cell r="F151">
            <v>452861</v>
          </cell>
          <cell r="G151">
            <v>97.871241444443726</v>
          </cell>
          <cell r="H151">
            <v>0</v>
          </cell>
          <cell r="I151">
            <v>0</v>
          </cell>
          <cell r="J151">
            <v>530</v>
          </cell>
          <cell r="K151">
            <v>0.11454233852231739</v>
          </cell>
          <cell r="L151">
            <v>4223</v>
          </cell>
          <cell r="M151">
            <v>0.91266470864103078</v>
          </cell>
          <cell r="N151">
            <v>0</v>
          </cell>
          <cell r="O151">
            <v>0</v>
          </cell>
          <cell r="P151">
            <v>977</v>
          </cell>
          <cell r="Q151">
            <v>0.21114691459680016</v>
          </cell>
          <cell r="R151">
            <v>1908</v>
          </cell>
          <cell r="S151">
            <v>0.41235241868034261</v>
          </cell>
          <cell r="T151">
            <v>2212</v>
          </cell>
          <cell r="U151">
            <v>0.47805217511578507</v>
          </cell>
          <cell r="V151">
            <v>462711</v>
          </cell>
          <cell r="W151">
            <v>100</v>
          </cell>
        </row>
        <row r="152">
          <cell r="D152">
            <v>0</v>
          </cell>
          <cell r="E152" t="str">
            <v>ערערה בנגב</v>
          </cell>
          <cell r="F152">
            <v>439650</v>
          </cell>
          <cell r="G152">
            <v>92.459790033312018</v>
          </cell>
          <cell r="H152">
            <v>10839</v>
          </cell>
          <cell r="I152">
            <v>2.2794760927352873</v>
          </cell>
          <cell r="J152">
            <v>5449</v>
          </cell>
          <cell r="K152">
            <v>1.1459419899727448</v>
          </cell>
          <cell r="L152">
            <v>1608</v>
          </cell>
          <cell r="M152">
            <v>0.33816750227127423</v>
          </cell>
          <cell r="N152">
            <v>0</v>
          </cell>
          <cell r="O152">
            <v>0</v>
          </cell>
          <cell r="P152">
            <v>3530</v>
          </cell>
          <cell r="Q152">
            <v>0.74237020088159089</v>
          </cell>
          <cell r="R152">
            <v>10466</v>
          </cell>
          <cell r="S152">
            <v>2.2010330091860428</v>
          </cell>
          <cell r="T152">
            <v>3962</v>
          </cell>
          <cell r="U152">
            <v>0.83322117164103782</v>
          </cell>
          <cell r="V152">
            <v>475504</v>
          </cell>
          <cell r="W152">
            <v>100.00000000000001</v>
          </cell>
        </row>
        <row r="153">
          <cell r="D153">
            <v>0</v>
          </cell>
          <cell r="E153" t="str">
            <v>כסייפה</v>
          </cell>
          <cell r="F153">
            <v>528348</v>
          </cell>
          <cell r="G153">
            <v>95.922528217687869</v>
          </cell>
          <cell r="H153">
            <v>3379</v>
          </cell>
          <cell r="I153">
            <v>0.61346351807438904</v>
          </cell>
          <cell r="J153">
            <v>12826</v>
          </cell>
          <cell r="K153">
            <v>2.3285833331820402</v>
          </cell>
          <cell r="L153">
            <v>2294</v>
          </cell>
          <cell r="M153">
            <v>0.41647981961013564</v>
          </cell>
          <cell r="N153">
            <v>0</v>
          </cell>
          <cell r="O153">
            <v>0</v>
          </cell>
          <cell r="P153">
            <v>2311</v>
          </cell>
          <cell r="Q153">
            <v>0.41956620013906865</v>
          </cell>
          <cell r="R153">
            <v>179</v>
          </cell>
          <cell r="S153">
            <v>3.2497771451706313E-2</v>
          </cell>
          <cell r="T153">
            <v>1470</v>
          </cell>
          <cell r="U153">
            <v>0.26688113985479489</v>
          </cell>
          <cell r="V153">
            <v>550807</v>
          </cell>
          <cell r="W153">
            <v>99.999999999999986</v>
          </cell>
        </row>
        <row r="154">
          <cell r="D154" t="str">
            <v>נווה מדבר בע"מ</v>
          </cell>
          <cell r="E154" t="str">
            <v xml:space="preserve">סה"כ תאגיד </v>
          </cell>
          <cell r="F154">
            <v>2494919</v>
          </cell>
          <cell r="G154">
            <v>93.878084719538109</v>
          </cell>
          <cell r="H154">
            <v>24819</v>
          </cell>
          <cell r="I154">
            <v>0.9338820958332581</v>
          </cell>
          <cell r="J154">
            <v>46314</v>
          </cell>
          <cell r="K154">
            <v>1.7426896888038002</v>
          </cell>
          <cell r="L154">
            <v>12096</v>
          </cell>
          <cell r="M154">
            <v>0.45514476131991982</v>
          </cell>
          <cell r="N154">
            <v>0</v>
          </cell>
          <cell r="O154">
            <v>0</v>
          </cell>
          <cell r="P154">
            <v>24247</v>
          </cell>
          <cell r="Q154">
            <v>0.91235904660417455</v>
          </cell>
          <cell r="R154">
            <v>42642</v>
          </cell>
          <cell r="S154">
            <v>1.6045207434031101</v>
          </cell>
          <cell r="T154">
            <v>12579</v>
          </cell>
          <cell r="U154">
            <v>0.4733189444976249</v>
          </cell>
          <cell r="V154">
            <v>2657616</v>
          </cell>
          <cell r="W154">
            <v>100</v>
          </cell>
        </row>
        <row r="155">
          <cell r="D155">
            <v>0</v>
          </cell>
          <cell r="E155" t="str">
            <v>בית זרזיר</v>
          </cell>
          <cell r="F155">
            <v>289686</v>
          </cell>
          <cell r="G155">
            <v>83.157556307017487</v>
          </cell>
          <cell r="H155">
            <v>5233</v>
          </cell>
          <cell r="I155">
            <v>1.5021902755211594</v>
          </cell>
          <cell r="J155">
            <v>6439</v>
          </cell>
          <cell r="K155">
            <v>1.8483858559298194</v>
          </cell>
          <cell r="L155">
            <v>0</v>
          </cell>
          <cell r="M155">
            <v>0</v>
          </cell>
          <cell r="N155">
            <v>0</v>
          </cell>
          <cell r="O155">
            <v>0</v>
          </cell>
          <cell r="P155">
            <v>23900</v>
          </cell>
          <cell r="Q155">
            <v>6.8607581855447561</v>
          </cell>
          <cell r="R155">
            <v>666</v>
          </cell>
          <cell r="S155">
            <v>0.1911826339570212</v>
          </cell>
          <cell r="T155">
            <v>22434</v>
          </cell>
          <cell r="U155">
            <v>6.4399267420297512</v>
          </cell>
          <cell r="V155">
            <v>348358</v>
          </cell>
          <cell r="W155">
            <v>100</v>
          </cell>
        </row>
        <row r="156">
          <cell r="D156">
            <v>0</v>
          </cell>
          <cell r="E156" t="str">
            <v xml:space="preserve">כפר מנדא </v>
          </cell>
          <cell r="F156">
            <v>863294</v>
          </cell>
          <cell r="G156">
            <v>90.744195873438656</v>
          </cell>
          <cell r="H156">
            <v>1353</v>
          </cell>
          <cell r="I156">
            <v>0.14221910150743838</v>
          </cell>
          <cell r="J156">
            <v>19804</v>
          </cell>
          <cell r="K156">
            <v>2.0816755995959424</v>
          </cell>
          <cell r="L156">
            <v>0</v>
          </cell>
          <cell r="M156">
            <v>0</v>
          </cell>
          <cell r="N156">
            <v>0</v>
          </cell>
          <cell r="O156">
            <v>0</v>
          </cell>
          <cell r="P156">
            <v>35066</v>
          </cell>
          <cell r="Q156">
            <v>3.685923882823233</v>
          </cell>
          <cell r="R156">
            <v>3733</v>
          </cell>
          <cell r="S156">
            <v>0.39239017437344237</v>
          </cell>
          <cell r="T156">
            <v>28099</v>
          </cell>
          <cell r="U156">
            <v>2.9535953682612797</v>
          </cell>
          <cell r="V156">
            <v>951349</v>
          </cell>
          <cell r="W156">
            <v>99.999999999999986</v>
          </cell>
        </row>
        <row r="157">
          <cell r="D157">
            <v>0</v>
          </cell>
          <cell r="E157" t="str">
            <v xml:space="preserve">כאבול </v>
          </cell>
          <cell r="F157">
            <v>547677</v>
          </cell>
          <cell r="G157">
            <v>83.153592364791933</v>
          </cell>
          <cell r="H157">
            <v>33591</v>
          </cell>
          <cell r="I157">
            <v>5.1001088618395984</v>
          </cell>
          <cell r="J157">
            <v>17852</v>
          </cell>
          <cell r="K157">
            <v>2.7104624274823763</v>
          </cell>
          <cell r="L157">
            <v>0</v>
          </cell>
          <cell r="M157">
            <v>0</v>
          </cell>
          <cell r="N157">
            <v>0</v>
          </cell>
          <cell r="O157">
            <v>0</v>
          </cell>
          <cell r="P157">
            <v>16435</v>
          </cell>
          <cell r="Q157">
            <v>2.4953198518750197</v>
          </cell>
          <cell r="R157">
            <v>7498</v>
          </cell>
          <cell r="S157">
            <v>1.1384185122822572</v>
          </cell>
          <cell r="T157">
            <v>35580</v>
          </cell>
          <cell r="U157">
            <v>5.4020979817288231</v>
          </cell>
          <cell r="V157">
            <v>658633</v>
          </cell>
          <cell r="W157">
            <v>100.00000000000003</v>
          </cell>
        </row>
        <row r="158">
          <cell r="D158">
            <v>0</v>
          </cell>
          <cell r="E158" t="str">
            <v xml:space="preserve">שעב </v>
          </cell>
          <cell r="F158">
            <v>318145</v>
          </cell>
          <cell r="G158">
            <v>82.925627718942479</v>
          </cell>
          <cell r="H158">
            <v>748</v>
          </cell>
          <cell r="I158">
            <v>0.19496886493193033</v>
          </cell>
          <cell r="J158">
            <v>38839</v>
          </cell>
          <cell r="K158">
            <v>10.123523723384013</v>
          </cell>
          <cell r="L158">
            <v>0</v>
          </cell>
          <cell r="M158">
            <v>0</v>
          </cell>
          <cell r="N158">
            <v>0</v>
          </cell>
          <cell r="O158">
            <v>0</v>
          </cell>
          <cell r="P158">
            <v>3586</v>
          </cell>
          <cell r="Q158">
            <v>0.93470367599719528</v>
          </cell>
          <cell r="R158">
            <v>1693</v>
          </cell>
          <cell r="S158">
            <v>0.44128648172427543</v>
          </cell>
          <cell r="T158">
            <v>20640</v>
          </cell>
          <cell r="U158">
            <v>5.3798895350201095</v>
          </cell>
          <cell r="V158">
            <v>383651</v>
          </cell>
          <cell r="W158">
            <v>100.00000000000001</v>
          </cell>
        </row>
        <row r="159">
          <cell r="D159">
            <v>0</v>
          </cell>
          <cell r="E159" t="str">
            <v xml:space="preserve">שפרעם </v>
          </cell>
          <cell r="F159">
            <v>1589056</v>
          </cell>
          <cell r="G159">
            <v>87.245957947722346</v>
          </cell>
          <cell r="H159">
            <v>55606</v>
          </cell>
          <cell r="I159">
            <v>3.0530067773829552</v>
          </cell>
          <cell r="J159">
            <v>23992</v>
          </cell>
          <cell r="K159">
            <v>1.3172632198498699</v>
          </cell>
          <cell r="L159">
            <v>0</v>
          </cell>
          <cell r="M159">
            <v>0</v>
          </cell>
          <cell r="N159">
            <v>0</v>
          </cell>
          <cell r="O159">
            <v>0</v>
          </cell>
          <cell r="P159">
            <v>66715</v>
          </cell>
          <cell r="Q159">
            <v>3.6629383007787619</v>
          </cell>
          <cell r="R159">
            <v>43789</v>
          </cell>
          <cell r="S159">
            <v>2.4042030315941125</v>
          </cell>
          <cell r="T159">
            <v>42194</v>
          </cell>
          <cell r="U159">
            <v>2.3166307226719489</v>
          </cell>
          <cell r="V159">
            <v>1821352</v>
          </cell>
          <cell r="W159">
            <v>99.999999999999986</v>
          </cell>
        </row>
        <row r="160">
          <cell r="D160">
            <v>0</v>
          </cell>
          <cell r="E160" t="str">
            <v xml:space="preserve">תמרה </v>
          </cell>
          <cell r="F160">
            <v>1592637</v>
          </cell>
          <cell r="G160">
            <v>87.655289245827589</v>
          </cell>
          <cell r="H160">
            <v>11380</v>
          </cell>
          <cell r="I160">
            <v>0.62633053961292984</v>
          </cell>
          <cell r="J160">
            <v>24652</v>
          </cell>
          <cell r="K160">
            <v>1.356792659273985</v>
          </cell>
          <cell r="L160">
            <v>0</v>
          </cell>
          <cell r="M160">
            <v>0</v>
          </cell>
          <cell r="N160">
            <v>0</v>
          </cell>
          <cell r="O160">
            <v>0</v>
          </cell>
          <cell r="P160">
            <v>67582</v>
          </cell>
          <cell r="Q160">
            <v>3.7195668302391063</v>
          </cell>
          <cell r="R160">
            <v>6386</v>
          </cell>
          <cell r="S160">
            <v>0.35147160157892532</v>
          </cell>
          <cell r="T160">
            <v>114295</v>
          </cell>
          <cell r="U160">
            <v>6.2905491234674722</v>
          </cell>
          <cell r="V160">
            <v>1816932</v>
          </cell>
          <cell r="W160">
            <v>100</v>
          </cell>
        </row>
        <row r="161">
          <cell r="D161">
            <v>0</v>
          </cell>
          <cell r="E161" t="str">
            <v xml:space="preserve">בסמת טבעון </v>
          </cell>
          <cell r="F161">
            <v>373923</v>
          </cell>
          <cell r="G161">
            <v>90.490710691960885</v>
          </cell>
          <cell r="H161">
            <v>621</v>
          </cell>
          <cell r="I161">
            <v>0.15028423322370571</v>
          </cell>
          <cell r="J161">
            <v>9407</v>
          </cell>
          <cell r="K161">
            <v>2.276527829203542</v>
          </cell>
          <cell r="L161">
            <v>0</v>
          </cell>
          <cell r="M161">
            <v>0</v>
          </cell>
          <cell r="N161">
            <v>0</v>
          </cell>
          <cell r="O161">
            <v>0</v>
          </cell>
          <cell r="P161">
            <v>6874</v>
          </cell>
          <cell r="Q161">
            <v>1.6635327200962207</v>
          </cell>
          <cell r="R161">
            <v>5348</v>
          </cell>
          <cell r="S161">
            <v>1.2942352323355526</v>
          </cell>
          <cell r="T161">
            <v>17044</v>
          </cell>
          <cell r="U161">
            <v>4.1247092931800973</v>
          </cell>
          <cell r="V161">
            <v>413217</v>
          </cell>
          <cell r="W161">
            <v>100</v>
          </cell>
        </row>
        <row r="162">
          <cell r="D162">
            <v>0</v>
          </cell>
          <cell r="E162" t="str">
            <v xml:space="preserve">אעבלין </v>
          </cell>
          <cell r="F162">
            <v>520830</v>
          </cell>
          <cell r="G162">
            <v>73.095048965809539</v>
          </cell>
          <cell r="H162">
            <v>7136</v>
          </cell>
          <cell r="I162">
            <v>1.0014904468252921</v>
          </cell>
          <cell r="J162">
            <v>4151</v>
          </cell>
          <cell r="K162">
            <v>0.5825654210722796</v>
          </cell>
          <cell r="L162">
            <v>0</v>
          </cell>
          <cell r="M162">
            <v>0</v>
          </cell>
          <cell r="N162">
            <v>0</v>
          </cell>
          <cell r="O162">
            <v>0</v>
          </cell>
          <cell r="P162">
            <v>61853</v>
          </cell>
          <cell r="Q162">
            <v>8.680659838492824</v>
          </cell>
          <cell r="R162">
            <v>7369</v>
          </cell>
          <cell r="S162">
            <v>1.034190457210703</v>
          </cell>
          <cell r="T162">
            <v>111199</v>
          </cell>
          <cell r="U162">
            <v>15.606044870589358</v>
          </cell>
          <cell r="V162">
            <v>712538</v>
          </cell>
          <cell r="W162">
            <v>99.999999999999986</v>
          </cell>
        </row>
        <row r="163">
          <cell r="D163">
            <v>0</v>
          </cell>
          <cell r="E163" t="str">
            <v xml:space="preserve">ביר אל-מכסור </v>
          </cell>
          <cell r="F163">
            <v>375204</v>
          </cell>
          <cell r="G163">
            <v>85.672598076040472</v>
          </cell>
          <cell r="H163">
            <v>636</v>
          </cell>
          <cell r="I163">
            <v>0.14522172571817393</v>
          </cell>
          <cell r="J163">
            <v>38965</v>
          </cell>
          <cell r="K163">
            <v>8.8971140607054213</v>
          </cell>
          <cell r="L163">
            <v>0</v>
          </cell>
          <cell r="M163">
            <v>0</v>
          </cell>
          <cell r="N163">
            <v>0</v>
          </cell>
          <cell r="O163">
            <v>0</v>
          </cell>
          <cell r="P163">
            <v>1240</v>
          </cell>
          <cell r="Q163">
            <v>0.28313669794109386</v>
          </cell>
          <cell r="R163">
            <v>1104</v>
          </cell>
          <cell r="S163">
            <v>0.25208299558626424</v>
          </cell>
          <cell r="T163">
            <v>20802</v>
          </cell>
          <cell r="U163">
            <v>4.7498464440085764</v>
          </cell>
          <cell r="V163">
            <v>437951</v>
          </cell>
          <cell r="W163">
            <v>100</v>
          </cell>
        </row>
        <row r="164">
          <cell r="D164">
            <v>0</v>
          </cell>
          <cell r="E164" t="str">
            <v xml:space="preserve">כאוכב אבו אלהיג'א </v>
          </cell>
          <cell r="F164">
            <v>165887</v>
          </cell>
          <cell r="G164">
            <v>83.78512154592886</v>
          </cell>
          <cell r="H164">
            <v>25514</v>
          </cell>
          <cell r="I164">
            <v>12.886444333328281</v>
          </cell>
          <cell r="J164">
            <v>2372</v>
          </cell>
          <cell r="K164">
            <v>1.1980342540822562</v>
          </cell>
          <cell r="L164">
            <v>0</v>
          </cell>
          <cell r="M164">
            <v>0</v>
          </cell>
          <cell r="N164">
            <v>0</v>
          </cell>
          <cell r="O164">
            <v>0</v>
          </cell>
          <cell r="P164">
            <v>994</v>
          </cell>
          <cell r="Q164">
            <v>0.50204302215757279</v>
          </cell>
          <cell r="R164">
            <v>383</v>
          </cell>
          <cell r="S164">
            <v>0.19344313630417542</v>
          </cell>
          <cell r="T164">
            <v>2841</v>
          </cell>
          <cell r="U164">
            <v>1.4349137081988574</v>
          </cell>
          <cell r="V164">
            <v>197991</v>
          </cell>
          <cell r="W164">
            <v>100.00000000000003</v>
          </cell>
        </row>
        <row r="165">
          <cell r="D165" t="str">
            <v>סובב שפרעם בע"מ</v>
          </cell>
          <cell r="E165" t="str">
            <v xml:space="preserve">סה"כ תאגיד </v>
          </cell>
          <cell r="F165">
            <v>6636339</v>
          </cell>
          <cell r="G165">
            <v>85.718974442170548</v>
          </cell>
          <cell r="H165">
            <v>141818</v>
          </cell>
          <cell r="I165">
            <v>1.8318071933094049</v>
          </cell>
          <cell r="J165">
            <v>186473</v>
          </cell>
          <cell r="K165">
            <v>2.4085982227783824</v>
          </cell>
          <cell r="L165">
            <v>0</v>
          </cell>
          <cell r="M165">
            <v>0</v>
          </cell>
          <cell r="N165">
            <v>0</v>
          </cell>
          <cell r="O165">
            <v>0</v>
          </cell>
          <cell r="P165">
            <v>284245</v>
          </cell>
          <cell r="Q165">
            <v>3.6714805995165056</v>
          </cell>
          <cell r="R165">
            <v>77969</v>
          </cell>
          <cell r="S165">
            <v>1.0070948332027034</v>
          </cell>
          <cell r="T165">
            <v>415128</v>
          </cell>
          <cell r="U165">
            <v>5.3620447090224559</v>
          </cell>
          <cell r="V165">
            <v>7741972</v>
          </cell>
          <cell r="W165">
            <v>99.999999999999986</v>
          </cell>
        </row>
        <row r="166">
          <cell r="D166">
            <v>0</v>
          </cell>
          <cell r="E166" t="str">
            <v>ראש העין</v>
          </cell>
          <cell r="F166">
            <v>2217716</v>
          </cell>
          <cell r="G166">
            <v>77.644296667204671</v>
          </cell>
          <cell r="H166">
            <v>272446</v>
          </cell>
          <cell r="I166">
            <v>9.5385874700787845</v>
          </cell>
          <cell r="J166">
            <v>87225</v>
          </cell>
          <cell r="K166">
            <v>3.0538282524890143</v>
          </cell>
          <cell r="L166">
            <v>0</v>
          </cell>
          <cell r="M166">
            <v>0</v>
          </cell>
          <cell r="N166">
            <v>4497</v>
          </cell>
          <cell r="O166">
            <v>0.15744414619023328</v>
          </cell>
          <cell r="P166">
            <v>261079</v>
          </cell>
          <cell r="Q166">
            <v>9.1406182439848607</v>
          </cell>
          <cell r="R166">
            <v>8228</v>
          </cell>
          <cell r="S166">
            <v>0.28806992102584822</v>
          </cell>
          <cell r="T166">
            <v>5060</v>
          </cell>
          <cell r="U166">
            <v>0.17715529902659116</v>
          </cell>
          <cell r="V166">
            <v>2856251</v>
          </cell>
          <cell r="W166">
            <v>100</v>
          </cell>
        </row>
        <row r="167">
          <cell r="D167">
            <v>0</v>
          </cell>
          <cell r="E167" t="str">
            <v xml:space="preserve"> אורנית</v>
          </cell>
          <cell r="F167">
            <v>121791</v>
          </cell>
          <cell r="G167">
            <v>92.230973116243845</v>
          </cell>
          <cell r="H167">
            <v>2778</v>
          </cell>
          <cell r="I167">
            <v>2.1037485800833018</v>
          </cell>
          <cell r="J167">
            <v>4513</v>
          </cell>
          <cell r="K167">
            <v>3.4176448315032184</v>
          </cell>
          <cell r="L167">
            <v>0</v>
          </cell>
          <cell r="M167">
            <v>0</v>
          </cell>
          <cell r="N167">
            <v>33</v>
          </cell>
          <cell r="O167">
            <v>2.4990533888678529E-2</v>
          </cell>
          <cell r="P167">
            <v>642</v>
          </cell>
          <cell r="Q167">
            <v>0.48617947747065504</v>
          </cell>
          <cell r="R167">
            <v>2198</v>
          </cell>
          <cell r="S167">
            <v>1.6645210147671337</v>
          </cell>
          <cell r="T167">
            <v>95</v>
          </cell>
          <cell r="U167">
            <v>7.1942446043165464E-2</v>
          </cell>
          <cell r="V167">
            <v>132050</v>
          </cell>
          <cell r="W167">
            <v>100.00000000000001</v>
          </cell>
        </row>
        <row r="168">
          <cell r="D168" t="str">
            <v>עין אפק בע"מ</v>
          </cell>
          <cell r="E168" t="str">
            <v xml:space="preserve">סה"כ תאגיד </v>
          </cell>
          <cell r="F168">
            <v>2339507</v>
          </cell>
          <cell r="G168">
            <v>78.288867152271479</v>
          </cell>
          <cell r="H168">
            <v>275224</v>
          </cell>
          <cell r="I168">
            <v>9.2100494561960122</v>
          </cell>
          <cell r="J168">
            <v>91738</v>
          </cell>
          <cell r="K168">
            <v>3.0699049392949371</v>
          </cell>
          <cell r="L168">
            <v>0</v>
          </cell>
          <cell r="M168">
            <v>0</v>
          </cell>
          <cell r="N168">
            <v>4530</v>
          </cell>
          <cell r="O168">
            <v>0.15159115497401365</v>
          </cell>
          <cell r="P168">
            <v>261721</v>
          </cell>
          <cell r="Q168">
            <v>8.7581873445814189</v>
          </cell>
          <cell r="R168">
            <v>10426</v>
          </cell>
          <cell r="S168">
            <v>0.34889390325807207</v>
          </cell>
          <cell r="T168">
            <v>5155</v>
          </cell>
          <cell r="U168">
            <v>0.17250604942407075</v>
          </cell>
          <cell r="V168">
            <v>2988301</v>
          </cell>
          <cell r="W168">
            <v>100.00000000000001</v>
          </cell>
        </row>
        <row r="169">
          <cell r="D169">
            <v>0</v>
          </cell>
          <cell r="E169" t="str">
            <v xml:space="preserve">כרמיאל </v>
          </cell>
          <cell r="F169">
            <v>2034905</v>
          </cell>
          <cell r="G169">
            <v>64.076541506375989</v>
          </cell>
          <cell r="H169">
            <v>470858</v>
          </cell>
          <cell r="I169">
            <v>14.826712883701788</v>
          </cell>
          <cell r="J169">
            <v>155594</v>
          </cell>
          <cell r="K169">
            <v>4.8994549618498491</v>
          </cell>
          <cell r="L169">
            <v>6958</v>
          </cell>
          <cell r="M169">
            <v>0.21909847182122219</v>
          </cell>
          <cell r="N169">
            <v>1428</v>
          </cell>
          <cell r="O169">
            <v>4.4965883552846406E-2</v>
          </cell>
          <cell r="P169">
            <v>331719</v>
          </cell>
          <cell r="Q169">
            <v>10.445404710270768</v>
          </cell>
          <cell r="R169">
            <v>22373</v>
          </cell>
          <cell r="S169">
            <v>0.70449699770856633</v>
          </cell>
          <cell r="T169">
            <v>151906</v>
          </cell>
          <cell r="U169">
            <v>4.7833245847189687</v>
          </cell>
          <cell r="V169">
            <v>3175741</v>
          </cell>
          <cell r="W169">
            <v>100</v>
          </cell>
        </row>
        <row r="170">
          <cell r="D170" t="str">
            <v>עין כרמים בע"מ</v>
          </cell>
          <cell r="E170" t="str">
            <v xml:space="preserve">סה"כ תאגיד </v>
          </cell>
          <cell r="F170">
            <v>2034905</v>
          </cell>
          <cell r="G170">
            <v>64.076541506375989</v>
          </cell>
          <cell r="H170">
            <v>470858</v>
          </cell>
          <cell r="I170">
            <v>14.826712883701788</v>
          </cell>
          <cell r="J170">
            <v>155594</v>
          </cell>
          <cell r="K170">
            <v>4.8994549618498491</v>
          </cell>
          <cell r="L170">
            <v>6958</v>
          </cell>
          <cell r="M170">
            <v>0.21909847182122219</v>
          </cell>
          <cell r="N170">
            <v>1428</v>
          </cell>
          <cell r="O170">
            <v>4.4965883552846406E-2</v>
          </cell>
          <cell r="P170">
            <v>331719</v>
          </cell>
          <cell r="Q170">
            <v>10.445404710270768</v>
          </cell>
          <cell r="R170">
            <v>22373</v>
          </cell>
          <cell r="S170">
            <v>0.70449699770856633</v>
          </cell>
          <cell r="T170">
            <v>151906</v>
          </cell>
          <cell r="U170">
            <v>4.7833245847189687</v>
          </cell>
          <cell r="V170">
            <v>3175741</v>
          </cell>
          <cell r="W170">
            <v>100</v>
          </cell>
        </row>
        <row r="171">
          <cell r="D171">
            <v>0</v>
          </cell>
          <cell r="E171" t="str">
            <v>אילת</v>
          </cell>
          <cell r="F171">
            <v>3556625</v>
          </cell>
          <cell r="G171">
            <v>58.517564359654592</v>
          </cell>
          <cell r="H171">
            <v>1173087</v>
          </cell>
          <cell r="I171">
            <v>19.300936708810777</v>
          </cell>
          <cell r="J171">
            <v>303460</v>
          </cell>
          <cell r="K171">
            <v>4.9928626381979493</v>
          </cell>
          <cell r="L171">
            <v>16473</v>
          </cell>
          <cell r="M171">
            <v>0.27103218295338699</v>
          </cell>
          <cell r="N171">
            <v>4508</v>
          </cell>
          <cell r="O171">
            <v>7.417064777234679E-2</v>
          </cell>
          <cell r="P171">
            <v>839837</v>
          </cell>
          <cell r="Q171">
            <v>13.817935739393169</v>
          </cell>
          <cell r="R171">
            <v>70587</v>
          </cell>
          <cell r="S171">
            <v>1.1613761123129198</v>
          </cell>
          <cell r="T171">
            <v>113299</v>
          </cell>
          <cell r="U171">
            <v>1.8641216109048624</v>
          </cell>
          <cell r="V171">
            <v>6077876</v>
          </cell>
          <cell r="W171">
            <v>100</v>
          </cell>
        </row>
        <row r="172">
          <cell r="D172" t="str">
            <v>עין נטפים מפעלי מים וביוב אילת בע"מ</v>
          </cell>
          <cell r="E172" t="str">
            <v xml:space="preserve">סה"כ תאגיד </v>
          </cell>
          <cell r="F172">
            <v>3556625</v>
          </cell>
          <cell r="G172">
            <v>58.517564359654592</v>
          </cell>
          <cell r="H172">
            <v>1173087</v>
          </cell>
          <cell r="I172">
            <v>19.300936708810777</v>
          </cell>
          <cell r="J172">
            <v>303460</v>
          </cell>
          <cell r="K172">
            <v>4.9928626381979493</v>
          </cell>
          <cell r="L172">
            <v>16473</v>
          </cell>
          <cell r="M172">
            <v>0.27103218295338699</v>
          </cell>
          <cell r="N172">
            <v>4508</v>
          </cell>
          <cell r="O172">
            <v>7.417064777234679E-2</v>
          </cell>
          <cell r="P172">
            <v>839837</v>
          </cell>
          <cell r="Q172">
            <v>13.817935739393169</v>
          </cell>
          <cell r="R172">
            <v>70587</v>
          </cell>
          <cell r="S172">
            <v>1.1613761123129198</v>
          </cell>
          <cell r="T172">
            <v>113299</v>
          </cell>
          <cell r="U172">
            <v>1.8641216109048624</v>
          </cell>
          <cell r="V172">
            <v>6077876</v>
          </cell>
          <cell r="W172">
            <v>100</v>
          </cell>
        </row>
        <row r="173">
          <cell r="D173">
            <v>0</v>
          </cell>
          <cell r="E173" t="str">
            <v xml:space="preserve">חצור הגלילית </v>
          </cell>
          <cell r="F173">
            <v>455071</v>
          </cell>
          <cell r="G173">
            <v>74.331893207451628</v>
          </cell>
          <cell r="H173">
            <v>42883</v>
          </cell>
          <cell r="I173">
            <v>7.0045653896098594</v>
          </cell>
          <cell r="J173">
            <v>4334</v>
          </cell>
          <cell r="K173">
            <v>0.70792123682039809</v>
          </cell>
          <cell r="L173">
            <v>472</v>
          </cell>
          <cell r="M173">
            <v>7.7097098241630801E-2</v>
          </cell>
          <cell r="N173">
            <v>5450</v>
          </cell>
          <cell r="O173">
            <v>0.89021013859510134</v>
          </cell>
          <cell r="P173">
            <v>47835</v>
          </cell>
          <cell r="Q173">
            <v>7.8134315559076466</v>
          </cell>
          <cell r="R173">
            <v>2587</v>
          </cell>
          <cell r="S173">
            <v>0.42256396854046374</v>
          </cell>
          <cell r="T173">
            <v>53583</v>
          </cell>
          <cell r="U173">
            <v>8.7523174048332688</v>
          </cell>
          <cell r="V173">
            <v>612215</v>
          </cell>
          <cell r="W173">
            <v>100</v>
          </cell>
        </row>
        <row r="174">
          <cell r="D174">
            <v>0</v>
          </cell>
          <cell r="E174" t="str">
            <v xml:space="preserve">גוש חלב </v>
          </cell>
          <cell r="F174">
            <v>145745</v>
          </cell>
          <cell r="G174">
            <v>89.282104373288576</v>
          </cell>
          <cell r="H174">
            <v>0</v>
          </cell>
          <cell r="I174">
            <v>0</v>
          </cell>
          <cell r="J174">
            <v>0</v>
          </cell>
          <cell r="K174">
            <v>0</v>
          </cell>
          <cell r="L174">
            <v>51</v>
          </cell>
          <cell r="M174">
            <v>3.1242151175256215E-2</v>
          </cell>
          <cell r="N174">
            <v>0</v>
          </cell>
          <cell r="O174">
            <v>0</v>
          </cell>
          <cell r="P174">
            <v>5814</v>
          </cell>
          <cell r="Q174">
            <v>3.5616052339792086</v>
          </cell>
          <cell r="R174">
            <v>638</v>
          </cell>
          <cell r="S174">
            <v>0.39083318529046013</v>
          </cell>
          <cell r="T174">
            <v>10993</v>
          </cell>
          <cell r="U174">
            <v>6.7342150562665015</v>
          </cell>
          <cell r="V174">
            <v>163241</v>
          </cell>
          <cell r="W174">
            <v>100.00000000000001</v>
          </cell>
        </row>
        <row r="175">
          <cell r="D175">
            <v>0</v>
          </cell>
          <cell r="E175" t="str">
            <v xml:space="preserve">טובא-זנגריה </v>
          </cell>
          <cell r="F175">
            <v>349158</v>
          </cell>
          <cell r="G175">
            <v>89.319966130051398</v>
          </cell>
          <cell r="H175">
            <v>2146</v>
          </cell>
          <cell r="I175">
            <v>0.54897968058898916</v>
          </cell>
          <cell r="J175">
            <v>0</v>
          </cell>
          <cell r="K175">
            <v>0</v>
          </cell>
          <cell r="L175">
            <v>72</v>
          </cell>
          <cell r="M175">
            <v>1.8418703169807652E-2</v>
          </cell>
          <cell r="N175">
            <v>0</v>
          </cell>
          <cell r="O175">
            <v>0</v>
          </cell>
          <cell r="P175">
            <v>10554</v>
          </cell>
          <cell r="Q175">
            <v>2.6998749063076382</v>
          </cell>
          <cell r="R175">
            <v>1672</v>
          </cell>
          <cell r="S175">
            <v>0.42772321805442215</v>
          </cell>
          <cell r="T175">
            <v>27305</v>
          </cell>
          <cell r="U175">
            <v>6.9850373618277493</v>
          </cell>
          <cell r="V175">
            <v>390907</v>
          </cell>
          <cell r="W175">
            <v>100.00000000000001</v>
          </cell>
        </row>
        <row r="176">
          <cell r="D176">
            <v>0</v>
          </cell>
          <cell r="E176" t="str">
            <v xml:space="preserve">יסוד המעלה </v>
          </cell>
          <cell r="F176">
            <v>80848</v>
          </cell>
          <cell r="G176">
            <v>73.478810131874326</v>
          </cell>
          <cell r="H176">
            <v>4054</v>
          </cell>
          <cell r="I176">
            <v>3.684483181706641</v>
          </cell>
          <cell r="J176">
            <v>0</v>
          </cell>
          <cell r="K176">
            <v>0</v>
          </cell>
          <cell r="L176">
            <v>462</v>
          </cell>
          <cell r="M176">
            <v>0.41988930191131429</v>
          </cell>
          <cell r="N176">
            <v>0</v>
          </cell>
          <cell r="O176">
            <v>0</v>
          </cell>
          <cell r="P176">
            <v>9062</v>
          </cell>
          <cell r="Q176">
            <v>8.23601050632106</v>
          </cell>
          <cell r="R176">
            <v>392</v>
          </cell>
          <cell r="S176">
            <v>0.35626971071263031</v>
          </cell>
          <cell r="T176">
            <v>15211</v>
          </cell>
          <cell r="U176">
            <v>13.82453716747403</v>
          </cell>
          <cell r="V176">
            <v>110029</v>
          </cell>
          <cell r="W176">
            <v>100</v>
          </cell>
        </row>
        <row r="177">
          <cell r="D177">
            <v>0</v>
          </cell>
          <cell r="E177" t="str">
            <v xml:space="preserve">צפת </v>
          </cell>
          <cell r="F177">
            <v>1506126</v>
          </cell>
          <cell r="G177">
            <v>69.109874130520467</v>
          </cell>
          <cell r="H177">
            <v>114421</v>
          </cell>
          <cell r="I177">
            <v>5.2503050261985269</v>
          </cell>
          <cell r="J177">
            <v>21403</v>
          </cell>
          <cell r="K177">
            <v>0.9820948818462264</v>
          </cell>
          <cell r="L177">
            <v>108733</v>
          </cell>
          <cell r="M177">
            <v>4.98930630228406</v>
          </cell>
          <cell r="N177">
            <v>47293</v>
          </cell>
          <cell r="O177">
            <v>2.1700795798324339</v>
          </cell>
          <cell r="P177">
            <v>82886</v>
          </cell>
          <cell r="Q177">
            <v>3.8032946959167555</v>
          </cell>
          <cell r="R177">
            <v>10196</v>
          </cell>
          <cell r="S177">
            <v>0.46785214293809863</v>
          </cell>
          <cell r="T177">
            <v>288263</v>
          </cell>
          <cell r="U177">
            <v>13.227193240463428</v>
          </cell>
          <cell r="V177">
            <v>2179321</v>
          </cell>
          <cell r="W177">
            <v>100</v>
          </cell>
        </row>
        <row r="178">
          <cell r="D178">
            <v>0</v>
          </cell>
          <cell r="E178" t="str">
            <v>בית ג'ן</v>
          </cell>
          <cell r="F178">
            <v>416532</v>
          </cell>
          <cell r="G178">
            <v>88.247557224091324</v>
          </cell>
          <cell r="H178">
            <v>2165</v>
          </cell>
          <cell r="I178">
            <v>0.45868255353768184</v>
          </cell>
          <cell r="J178">
            <v>4515</v>
          </cell>
          <cell r="K178">
            <v>0.95655969017211728</v>
          </cell>
          <cell r="L178">
            <v>887</v>
          </cell>
          <cell r="M178">
            <v>0.1879221362530826</v>
          </cell>
          <cell r="N178">
            <v>0</v>
          </cell>
          <cell r="O178">
            <v>0</v>
          </cell>
          <cell r="P178">
            <v>7569</v>
          </cell>
          <cell r="Q178">
            <v>1.6035881051855494</v>
          </cell>
          <cell r="R178">
            <v>4689</v>
          </cell>
          <cell r="S178">
            <v>0.99342378454419877</v>
          </cell>
          <cell r="T178">
            <v>35647</v>
          </cell>
          <cell r="U178">
            <v>7.552266506216049</v>
          </cell>
          <cell r="V178">
            <v>472004</v>
          </cell>
          <cell r="W178">
            <v>100</v>
          </cell>
        </row>
        <row r="179">
          <cell r="D179">
            <v>0</v>
          </cell>
          <cell r="E179" t="str">
            <v>חורפיש</v>
          </cell>
          <cell r="F179">
            <v>260579</v>
          </cell>
          <cell r="G179">
            <v>86.79485983798763</v>
          </cell>
          <cell r="H179">
            <v>2205</v>
          </cell>
          <cell r="I179">
            <v>0.73445160946493293</v>
          </cell>
          <cell r="J179">
            <v>370</v>
          </cell>
          <cell r="K179">
            <v>0.12324131315284588</v>
          </cell>
          <cell r="L179">
            <v>319</v>
          </cell>
          <cell r="M179">
            <v>0.10625399701556172</v>
          </cell>
          <cell r="N179">
            <v>0</v>
          </cell>
          <cell r="O179">
            <v>0</v>
          </cell>
          <cell r="P179">
            <v>6934</v>
          </cell>
          <cell r="Q179">
            <v>2.3096088254103604</v>
          </cell>
          <cell r="R179">
            <v>3593</v>
          </cell>
          <cell r="S179">
            <v>1.1967730761031763</v>
          </cell>
          <cell r="T179">
            <v>26224</v>
          </cell>
          <cell r="U179">
            <v>8.7348113408654857</v>
          </cell>
          <cell r="V179">
            <v>300224</v>
          </cell>
          <cell r="W179">
            <v>99.999999999999986</v>
          </cell>
        </row>
        <row r="180">
          <cell r="D180">
            <v>0</v>
          </cell>
          <cell r="E180" t="str">
            <v>מגאר</v>
          </cell>
          <cell r="F180">
            <v>833750</v>
          </cell>
          <cell r="G180">
            <v>87.300099786500866</v>
          </cell>
          <cell r="H180">
            <v>478</v>
          </cell>
          <cell r="I180">
            <v>5.0050312081496143E-2</v>
          </cell>
          <cell r="J180">
            <v>877</v>
          </cell>
          <cell r="K180">
            <v>9.182871065998352E-2</v>
          </cell>
          <cell r="L180">
            <v>636</v>
          </cell>
          <cell r="M180">
            <v>6.6594139087513701E-2</v>
          </cell>
          <cell r="N180">
            <v>0</v>
          </cell>
          <cell r="O180">
            <v>0</v>
          </cell>
          <cell r="P180">
            <v>78556</v>
          </cell>
          <cell r="Q180">
            <v>8.2254232549665502</v>
          </cell>
          <cell r="R180">
            <v>7609</v>
          </cell>
          <cell r="S180">
            <v>0.7967213904353645</v>
          </cell>
          <cell r="T180">
            <v>33133</v>
          </cell>
          <cell r="U180">
            <v>3.4692824062682259</v>
          </cell>
          <cell r="V180">
            <v>955039</v>
          </cell>
          <cell r="W180">
            <v>100</v>
          </cell>
        </row>
        <row r="181">
          <cell r="D181">
            <v>0</v>
          </cell>
          <cell r="E181" t="str">
            <v>סאג'ור</v>
          </cell>
          <cell r="F181">
            <v>188511</v>
          </cell>
          <cell r="G181">
            <v>87.183602114483662</v>
          </cell>
          <cell r="H181">
            <v>4681</v>
          </cell>
          <cell r="I181">
            <v>2.1648945764326641</v>
          </cell>
          <cell r="J181">
            <v>0</v>
          </cell>
          <cell r="K181">
            <v>0</v>
          </cell>
          <cell r="L181">
            <v>234</v>
          </cell>
          <cell r="M181">
            <v>0.10822160454715733</v>
          </cell>
          <cell r="N181">
            <v>0</v>
          </cell>
          <cell r="O181">
            <v>0</v>
          </cell>
          <cell r="P181">
            <v>406</v>
          </cell>
          <cell r="Q181">
            <v>0.18776910874421315</v>
          </cell>
          <cell r="R181">
            <v>2167</v>
          </cell>
          <cell r="S181">
            <v>1.0022060557849999</v>
          </cell>
          <cell r="T181">
            <v>20224</v>
          </cell>
          <cell r="U181">
            <v>9.3533065400073063</v>
          </cell>
          <cell r="V181">
            <v>216223</v>
          </cell>
          <cell r="W181">
            <v>100</v>
          </cell>
        </row>
        <row r="182">
          <cell r="D182">
            <v>0</v>
          </cell>
          <cell r="E182" t="str">
            <v xml:space="preserve">עילבון </v>
          </cell>
          <cell r="F182">
            <v>248643</v>
          </cell>
          <cell r="G182">
            <v>85.166879033252499</v>
          </cell>
          <cell r="H182">
            <v>110</v>
          </cell>
          <cell r="I182">
            <v>3.7677942647320752E-2</v>
          </cell>
          <cell r="J182">
            <v>12</v>
          </cell>
          <cell r="K182">
            <v>4.1103210160713544E-3</v>
          </cell>
          <cell r="L182">
            <v>170</v>
          </cell>
          <cell r="M182">
            <v>5.8229547727677529E-2</v>
          </cell>
          <cell r="N182">
            <v>0</v>
          </cell>
          <cell r="O182">
            <v>0</v>
          </cell>
          <cell r="P182">
            <v>18862</v>
          </cell>
          <cell r="Q182">
            <v>6.4607395837614918</v>
          </cell>
          <cell r="R182">
            <v>4630</v>
          </cell>
          <cell r="S182">
            <v>1.5858988587008644</v>
          </cell>
          <cell r="T182">
            <v>19521</v>
          </cell>
          <cell r="U182">
            <v>6.6864647128940771</v>
          </cell>
          <cell r="V182">
            <v>291948</v>
          </cell>
          <cell r="W182">
            <v>100</v>
          </cell>
        </row>
        <row r="183">
          <cell r="D183">
            <v>0</v>
          </cell>
          <cell r="E183" t="str">
            <v xml:space="preserve">פסוטה </v>
          </cell>
          <cell r="F183">
            <v>147519</v>
          </cell>
          <cell r="G183">
            <v>89.588432131079841</v>
          </cell>
          <cell r="H183">
            <v>0</v>
          </cell>
          <cell r="I183">
            <v>0</v>
          </cell>
          <cell r="J183">
            <v>0</v>
          </cell>
          <cell r="K183">
            <v>0</v>
          </cell>
          <cell r="L183">
            <v>286</v>
          </cell>
          <cell r="M183">
            <v>0.17368807807461301</v>
          </cell>
          <cell r="N183">
            <v>0</v>
          </cell>
          <cell r="O183">
            <v>0</v>
          </cell>
          <cell r="P183">
            <v>581</v>
          </cell>
          <cell r="Q183">
            <v>0.35284186489982572</v>
          </cell>
          <cell r="R183">
            <v>60</v>
          </cell>
          <cell r="S183">
            <v>3.6438058337331401E-2</v>
          </cell>
          <cell r="T183">
            <v>16217</v>
          </cell>
          <cell r="U183">
            <v>9.848599867608387</v>
          </cell>
          <cell r="V183">
            <v>164663</v>
          </cell>
          <cell r="W183">
            <v>100</v>
          </cell>
        </row>
        <row r="184">
          <cell r="D184">
            <v>0</v>
          </cell>
          <cell r="E184" t="str">
            <v xml:space="preserve">פקיעין </v>
          </cell>
          <cell r="F184">
            <v>222894</v>
          </cell>
          <cell r="G184">
            <v>86.908410340390688</v>
          </cell>
          <cell r="H184">
            <v>10612</v>
          </cell>
          <cell r="I184">
            <v>4.1377159121924594</v>
          </cell>
          <cell r="J184">
            <v>382</v>
          </cell>
          <cell r="K184">
            <v>0.14894529574609117</v>
          </cell>
          <cell r="L184">
            <v>3457</v>
          </cell>
          <cell r="M184">
            <v>1.3479159355870083</v>
          </cell>
          <cell r="N184">
            <v>0</v>
          </cell>
          <cell r="O184">
            <v>0</v>
          </cell>
          <cell r="P184">
            <v>2522</v>
          </cell>
          <cell r="Q184">
            <v>0.98335087924513598</v>
          </cell>
          <cell r="R184">
            <v>4850</v>
          </cell>
          <cell r="S184">
            <v>1.8910593831637228</v>
          </cell>
          <cell r="T184">
            <v>11753</v>
          </cell>
          <cell r="U184">
            <v>4.582602253674894</v>
          </cell>
          <cell r="V184">
            <v>256470</v>
          </cell>
          <cell r="W184">
            <v>100</v>
          </cell>
        </row>
        <row r="185">
          <cell r="D185">
            <v>0</v>
          </cell>
          <cell r="E185" t="str">
            <v xml:space="preserve">רמה </v>
          </cell>
          <cell r="F185">
            <v>365096</v>
          </cell>
          <cell r="G185">
            <v>76.967477669489469</v>
          </cell>
          <cell r="H185">
            <v>1653</v>
          </cell>
          <cell r="I185">
            <v>0.34847612843653747</v>
          </cell>
          <cell r="J185">
            <v>5426</v>
          </cell>
          <cell r="K185">
            <v>1.1438786889876906</v>
          </cell>
          <cell r="L185">
            <v>628</v>
          </cell>
          <cell r="M185">
            <v>0.1323914147962163</v>
          </cell>
          <cell r="N185">
            <v>0</v>
          </cell>
          <cell r="O185">
            <v>0</v>
          </cell>
          <cell r="P185">
            <v>13904</v>
          </cell>
          <cell r="Q185">
            <v>2.9311627887366107</v>
          </cell>
          <cell r="R185">
            <v>920</v>
          </cell>
          <cell r="S185">
            <v>0.19394920638936147</v>
          </cell>
          <cell r="T185">
            <v>86724</v>
          </cell>
          <cell r="U185">
            <v>18.282664103164112</v>
          </cell>
          <cell r="V185">
            <v>474351</v>
          </cell>
          <cell r="W185">
            <v>99.999999999999986</v>
          </cell>
        </row>
        <row r="186">
          <cell r="D186" t="str">
            <v>פלג הגליל החברה האזורית למים וביוב בע"מ</v>
          </cell>
          <cell r="E186" t="str">
            <v xml:space="preserve">סה"כ תאגיד </v>
          </cell>
          <cell r="F186">
            <v>5220472</v>
          </cell>
          <cell r="G186">
            <v>79.258559188417152</v>
          </cell>
          <cell r="H186">
            <v>185408</v>
          </cell>
          <cell r="I186">
            <v>2.8149123186574023</v>
          </cell>
          <cell r="J186">
            <v>37319</v>
          </cell>
          <cell r="K186">
            <v>0.56658673207183941</v>
          </cell>
          <cell r="L186">
            <v>116407</v>
          </cell>
          <cell r="M186">
            <v>1.7673212497732151</v>
          </cell>
          <cell r="N186">
            <v>52743</v>
          </cell>
          <cell r="O186">
            <v>0.80075789838058431</v>
          </cell>
          <cell r="P186">
            <v>285485</v>
          </cell>
          <cell r="Q186">
            <v>4.3343072752627103</v>
          </cell>
          <cell r="R186">
            <v>44003</v>
          </cell>
          <cell r="S186">
            <v>0.66806495274142264</v>
          </cell>
          <cell r="T186">
            <v>644798</v>
          </cell>
          <cell r="U186">
            <v>9.7894903846956751</v>
          </cell>
          <cell r="V186">
            <v>6586635</v>
          </cell>
          <cell r="W186">
            <v>100</v>
          </cell>
        </row>
        <row r="187">
          <cell r="D187">
            <v>0</v>
          </cell>
          <cell r="E187" t="str">
            <v>כוכב יאיר</v>
          </cell>
          <cell r="F187">
            <v>743747</v>
          </cell>
          <cell r="G187">
            <v>84.413298255092059</v>
          </cell>
          <cell r="H187">
            <v>109114</v>
          </cell>
          <cell r="I187">
            <v>12.384147601006948</v>
          </cell>
          <cell r="J187">
            <v>6165</v>
          </cell>
          <cell r="K187">
            <v>0.6997110357993277</v>
          </cell>
          <cell r="L187">
            <v>0</v>
          </cell>
          <cell r="M187">
            <v>0</v>
          </cell>
          <cell r="N187">
            <v>213</v>
          </cell>
          <cell r="O187">
            <v>2.4174931163869713E-2</v>
          </cell>
          <cell r="P187">
            <v>1407</v>
          </cell>
          <cell r="Q187">
            <v>0.15969074247682952</v>
          </cell>
          <cell r="R187">
            <v>0</v>
          </cell>
          <cell r="S187">
            <v>0</v>
          </cell>
          <cell r="T187">
            <v>20432</v>
          </cell>
          <cell r="U187">
            <v>2.318977434460967</v>
          </cell>
          <cell r="V187">
            <v>881078</v>
          </cell>
          <cell r="W187">
            <v>99.999999999999986</v>
          </cell>
        </row>
        <row r="188">
          <cell r="D188" t="str">
            <v>פלגי השרון בע"מ</v>
          </cell>
          <cell r="E188" t="str">
            <v xml:space="preserve">סה"כ תאגיד </v>
          </cell>
          <cell r="F188">
            <v>743747</v>
          </cell>
          <cell r="G188">
            <v>84.413298255092059</v>
          </cell>
          <cell r="H188">
            <v>109114</v>
          </cell>
          <cell r="I188">
            <v>12.384147601006948</v>
          </cell>
          <cell r="J188">
            <v>6165</v>
          </cell>
          <cell r="K188">
            <v>0.6997110357993277</v>
          </cell>
          <cell r="L188">
            <v>0</v>
          </cell>
          <cell r="M188">
            <v>0</v>
          </cell>
          <cell r="N188">
            <v>213</v>
          </cell>
          <cell r="O188">
            <v>2.4174931163869713E-2</v>
          </cell>
          <cell r="P188">
            <v>1407</v>
          </cell>
          <cell r="Q188">
            <v>0.15969074247682952</v>
          </cell>
          <cell r="R188">
            <v>0</v>
          </cell>
          <cell r="S188">
            <v>0</v>
          </cell>
          <cell r="T188">
            <v>20432</v>
          </cell>
          <cell r="U188">
            <v>2.318977434460967</v>
          </cell>
          <cell r="V188">
            <v>881078</v>
          </cell>
          <cell r="W188">
            <v>99.999999999999986</v>
          </cell>
        </row>
        <row r="189">
          <cell r="D189">
            <v>0</v>
          </cell>
          <cell r="E189" t="str">
            <v xml:space="preserve">קריית מוצקין </v>
          </cell>
          <cell r="F189">
            <v>1894466</v>
          </cell>
          <cell r="G189">
            <v>80.722402839502493</v>
          </cell>
          <cell r="H189">
            <v>163009</v>
          </cell>
          <cell r="I189">
            <v>6.9457452202702301</v>
          </cell>
          <cell r="J189">
            <v>152700</v>
          </cell>
          <cell r="K189">
            <v>6.5064830477781239</v>
          </cell>
          <cell r="L189">
            <v>0</v>
          </cell>
          <cell r="M189">
            <v>0</v>
          </cell>
          <cell r="N189">
            <v>2706</v>
          </cell>
          <cell r="O189">
            <v>0.11530152670129405</v>
          </cell>
          <cell r="P189">
            <v>121546</v>
          </cell>
          <cell r="Q189">
            <v>5.179024155371577</v>
          </cell>
          <cell r="R189">
            <v>12374</v>
          </cell>
          <cell r="S189">
            <v>0.52725095765033725</v>
          </cell>
          <cell r="T189">
            <v>89</v>
          </cell>
          <cell r="U189">
            <v>3.7922527259479566E-3</v>
          </cell>
          <cell r="V189">
            <v>2346890</v>
          </cell>
          <cell r="W189">
            <v>99.999999999999986</v>
          </cell>
        </row>
        <row r="190">
          <cell r="D190" t="str">
            <v>פלגי מוצקין בע"מ</v>
          </cell>
          <cell r="E190" t="str">
            <v xml:space="preserve">סה"כ תאגיד </v>
          </cell>
          <cell r="F190">
            <v>1894466</v>
          </cell>
          <cell r="G190">
            <v>80.722402839502493</v>
          </cell>
          <cell r="H190">
            <v>163009</v>
          </cell>
          <cell r="I190">
            <v>6.9457452202702301</v>
          </cell>
          <cell r="J190">
            <v>152700</v>
          </cell>
          <cell r="K190">
            <v>6.5064830477781239</v>
          </cell>
          <cell r="L190">
            <v>0</v>
          </cell>
          <cell r="M190">
            <v>0</v>
          </cell>
          <cell r="N190">
            <v>2706</v>
          </cell>
          <cell r="O190">
            <v>0.11530152670129405</v>
          </cell>
          <cell r="P190">
            <v>121546</v>
          </cell>
          <cell r="Q190">
            <v>5.179024155371577</v>
          </cell>
          <cell r="R190">
            <v>12374</v>
          </cell>
          <cell r="S190">
            <v>0.52725095765033725</v>
          </cell>
          <cell r="T190">
            <v>89</v>
          </cell>
          <cell r="U190">
            <v>3.7922527259479566E-3</v>
          </cell>
          <cell r="V190">
            <v>2346890</v>
          </cell>
          <cell r="W190">
            <v>99.999999999999986</v>
          </cell>
        </row>
        <row r="191">
          <cell r="D191" t="str">
            <v>שרונים</v>
          </cell>
          <cell r="E191" t="str">
            <v xml:space="preserve">רמת השרון </v>
          </cell>
          <cell r="F191">
            <v>3039893</v>
          </cell>
          <cell r="G191">
            <v>74.437687952595226</v>
          </cell>
          <cell r="H191">
            <v>252685</v>
          </cell>
          <cell r="I191">
            <v>6.1874833029654424</v>
          </cell>
          <cell r="J191">
            <v>103843</v>
          </cell>
          <cell r="K191">
            <v>2.5427976675696637</v>
          </cell>
          <cell r="L191">
            <v>0</v>
          </cell>
          <cell r="M191">
            <v>0</v>
          </cell>
          <cell r="N191">
            <v>3352</v>
          </cell>
          <cell r="O191">
            <v>8.208023440861216E-2</v>
          </cell>
          <cell r="P191">
            <v>313337</v>
          </cell>
          <cell r="Q191">
            <v>7.6726653964472868</v>
          </cell>
          <cell r="R191">
            <v>19539</v>
          </cell>
          <cell r="S191">
            <v>0.47845038786094063</v>
          </cell>
          <cell r="T191">
            <v>351160</v>
          </cell>
          <cell r="U191">
            <v>8.598835058152817</v>
          </cell>
          <cell r="V191">
            <v>4083809</v>
          </cell>
          <cell r="W191">
            <v>99.999999999999986</v>
          </cell>
        </row>
        <row r="192">
          <cell r="D192">
            <v>0</v>
          </cell>
          <cell r="E192" t="str">
            <v xml:space="preserve">סה"כ תאגיד </v>
          </cell>
          <cell r="F192">
            <v>3039893</v>
          </cell>
          <cell r="G192">
            <v>74.437687952595226</v>
          </cell>
          <cell r="H192">
            <v>252685</v>
          </cell>
          <cell r="I192">
            <v>6.1874833029654424</v>
          </cell>
          <cell r="J192">
            <v>103843</v>
          </cell>
          <cell r="K192">
            <v>2.5427976675696637</v>
          </cell>
          <cell r="L192">
            <v>0</v>
          </cell>
          <cell r="M192">
            <v>0</v>
          </cell>
          <cell r="N192">
            <v>3352</v>
          </cell>
          <cell r="O192">
            <v>8.208023440861216E-2</v>
          </cell>
          <cell r="P192">
            <v>313337</v>
          </cell>
          <cell r="Q192">
            <v>7.6726653964472868</v>
          </cell>
          <cell r="R192">
            <v>19539</v>
          </cell>
          <cell r="S192">
            <v>0.47845038786094063</v>
          </cell>
          <cell r="T192">
            <v>351160</v>
          </cell>
          <cell r="U192">
            <v>8.598835058152817</v>
          </cell>
          <cell r="V192">
            <v>4083809</v>
          </cell>
          <cell r="W192">
            <v>99.999999999999986</v>
          </cell>
        </row>
        <row r="193">
          <cell r="D193">
            <v>0</v>
          </cell>
          <cell r="E193" t="str">
            <v>רמלה</v>
          </cell>
          <cell r="F193">
            <v>2890753</v>
          </cell>
          <cell r="G193">
            <v>81.034487591777776</v>
          </cell>
          <cell r="H193">
            <v>116393</v>
          </cell>
          <cell r="I193">
            <v>3.2627647932112471</v>
          </cell>
          <cell r="J193">
            <v>75299</v>
          </cell>
          <cell r="K193">
            <v>2.1108049982732098</v>
          </cell>
          <cell r="L193">
            <v>21808</v>
          </cell>
          <cell r="M193">
            <v>0.6113286418457371</v>
          </cell>
          <cell r="N193">
            <v>6022</v>
          </cell>
          <cell r="O193">
            <v>0.16881057782442355</v>
          </cell>
          <cell r="P193">
            <v>230629</v>
          </cell>
          <cell r="Q193">
            <v>6.4650638912436023</v>
          </cell>
          <cell r="R193">
            <v>9408</v>
          </cell>
          <cell r="S193">
            <v>0.26372798342281245</v>
          </cell>
          <cell r="T193">
            <v>217000</v>
          </cell>
          <cell r="U193">
            <v>6.0830115224011809</v>
          </cell>
          <cell r="V193">
            <v>3567312</v>
          </cell>
          <cell r="W193">
            <v>99.999999999999972</v>
          </cell>
        </row>
        <row r="194">
          <cell r="D194" t="str">
            <v>תמ"ר תאגיד מים רמלה בע"מ</v>
          </cell>
          <cell r="E194" t="str">
            <v xml:space="preserve">סה"כ תאגיד </v>
          </cell>
          <cell r="F194">
            <v>2890753</v>
          </cell>
          <cell r="G194">
            <v>81.034487591777776</v>
          </cell>
          <cell r="H194">
            <v>116393</v>
          </cell>
          <cell r="I194">
            <v>3.2627647932112471</v>
          </cell>
          <cell r="J194">
            <v>75299</v>
          </cell>
          <cell r="K194">
            <v>2.1108049982732098</v>
          </cell>
          <cell r="L194">
            <v>21808</v>
          </cell>
          <cell r="M194">
            <v>0.6113286418457371</v>
          </cell>
          <cell r="N194">
            <v>6022</v>
          </cell>
          <cell r="O194">
            <v>0.16881057782442355</v>
          </cell>
          <cell r="P194">
            <v>230629</v>
          </cell>
          <cell r="Q194">
            <v>6.4650638912436023</v>
          </cell>
          <cell r="R194">
            <v>9408</v>
          </cell>
          <cell r="S194">
            <v>0.26372798342281245</v>
          </cell>
          <cell r="T194">
            <v>217000</v>
          </cell>
          <cell r="U194">
            <v>6.0830115224011809</v>
          </cell>
          <cell r="V194">
            <v>3567312</v>
          </cell>
          <cell r="W194">
            <v>99.999999999999972</v>
          </cell>
        </row>
        <row r="195">
          <cell r="D195" t="str">
            <v>מי קריית ביאליק</v>
          </cell>
          <cell r="E195" t="str">
            <v xml:space="preserve">סה"כ תאגיד </v>
          </cell>
          <cell r="F195">
            <v>1963493</v>
          </cell>
          <cell r="G195">
            <v>77.313557897173979</v>
          </cell>
          <cell r="H195">
            <v>209083</v>
          </cell>
          <cell r="I195">
            <v>8.2327518487791025</v>
          </cell>
          <cell r="J195">
            <v>136543</v>
          </cell>
          <cell r="K195">
            <v>5.3764516277643093</v>
          </cell>
          <cell r="L195">
            <v>6684</v>
          </cell>
          <cell r="M195">
            <v>0.26318597569979163</v>
          </cell>
          <cell r="N195">
            <v>223846</v>
          </cell>
          <cell r="O195">
            <v>8.8140526505828163</v>
          </cell>
          <cell r="P195">
            <v>2539649</v>
          </cell>
          <cell r="Q195">
            <v>100</v>
          </cell>
          <cell r="R195">
            <v>0</v>
          </cell>
          <cell r="S195">
            <v>0</v>
          </cell>
          <cell r="T195">
            <v>0</v>
          </cell>
          <cell r="U195">
            <v>0</v>
          </cell>
          <cell r="V195">
            <v>0</v>
          </cell>
          <cell r="W195">
            <v>0</v>
          </cell>
        </row>
        <row r="196">
          <cell r="D196" t="str">
            <v>מי רמת גן</v>
          </cell>
          <cell r="E196" t="str">
            <v xml:space="preserve">סה"כ תאגיד </v>
          </cell>
          <cell r="F196">
            <v>7873689</v>
          </cell>
          <cell r="G196">
            <v>74.706560698204697</v>
          </cell>
          <cell r="H196">
            <v>711713</v>
          </cell>
          <cell r="I196">
            <v>6.7528232870515152</v>
          </cell>
          <cell r="J196">
            <v>337806</v>
          </cell>
          <cell r="K196">
            <v>3.2051462082408557</v>
          </cell>
          <cell r="L196">
            <v>48887</v>
          </cell>
          <cell r="M196">
            <v>0.4638460615923658</v>
          </cell>
          <cell r="N196">
            <v>1567393</v>
          </cell>
          <cell r="O196">
            <v>14.87162374491057</v>
          </cell>
          <cell r="P196">
            <v>10539488</v>
          </cell>
          <cell r="Q196">
            <v>100</v>
          </cell>
          <cell r="R196">
            <v>0</v>
          </cell>
          <cell r="S196">
            <v>0</v>
          </cell>
          <cell r="T196">
            <v>0</v>
          </cell>
          <cell r="U196">
            <v>0</v>
          </cell>
          <cell r="V196">
            <v>0</v>
          </cell>
          <cell r="W196">
            <v>0</v>
          </cell>
        </row>
        <row r="197">
          <cell r="D197" t="str">
            <v>מי תקווה</v>
          </cell>
          <cell r="E197" t="str">
            <v xml:space="preserve">סה"כ תאגיד </v>
          </cell>
          <cell r="F197">
            <v>851293</v>
          </cell>
          <cell r="G197">
            <v>82.304208058395574</v>
          </cell>
          <cell r="H197">
            <v>96007</v>
          </cell>
          <cell r="I197">
            <v>9.2820921857249896</v>
          </cell>
          <cell r="J197">
            <v>53887</v>
          </cell>
          <cell r="K197">
            <v>5.2098711720204003</v>
          </cell>
          <cell r="L197">
            <v>2860</v>
          </cell>
          <cell r="M197">
            <v>0.27650883426389189</v>
          </cell>
          <cell r="N197">
            <v>30278</v>
          </cell>
          <cell r="O197">
            <v>2.9273197495951466</v>
          </cell>
          <cell r="P197">
            <v>1034325</v>
          </cell>
          <cell r="Q197">
            <v>100</v>
          </cell>
          <cell r="R197">
            <v>0</v>
          </cell>
          <cell r="S197">
            <v>0</v>
          </cell>
          <cell r="T197">
            <v>0</v>
          </cell>
          <cell r="U197">
            <v>0</v>
          </cell>
          <cell r="V197">
            <v>0</v>
          </cell>
          <cell r="W197">
            <v>0</v>
          </cell>
        </row>
        <row r="198">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row>
        <row r="199">
          <cell r="D199" t="str">
            <v>סה"כ</v>
          </cell>
          <cell r="E199">
            <v>0</v>
          </cell>
          <cell r="F199">
            <v>290301458</v>
          </cell>
          <cell r="G199">
            <v>72.607428666573455</v>
          </cell>
          <cell r="H199">
            <v>23920548</v>
          </cell>
          <cell r="I199">
            <v>5.9827790550585043</v>
          </cell>
          <cell r="J199">
            <v>15308856</v>
          </cell>
          <cell r="K199">
            <v>3.8289048826852428</v>
          </cell>
          <cell r="L199">
            <v>5115484</v>
          </cell>
          <cell r="M199">
            <v>1.2794360117371433</v>
          </cell>
          <cell r="N199">
            <v>1484091</v>
          </cell>
          <cell r="O199">
            <v>0.37118666974522618</v>
          </cell>
          <cell r="P199">
            <v>32406148</v>
          </cell>
          <cell r="Q199">
            <v>8.1051163004094242</v>
          </cell>
          <cell r="R199">
            <v>3989685</v>
          </cell>
          <cell r="S199">
            <v>0.99786191580063677</v>
          </cell>
          <cell r="T199">
            <v>27297086</v>
          </cell>
          <cell r="U199">
            <v>6.8272864979903769</v>
          </cell>
          <cell r="V199">
            <v>399823356</v>
          </cell>
          <cell r="W199">
            <v>100</v>
          </cell>
        </row>
        <row r="200">
          <cell r="D200" t="str">
            <v>שם התאגיד</v>
          </cell>
          <cell r="E200">
            <v>0</v>
          </cell>
          <cell r="F200" t="str">
            <v>צריכה</v>
          </cell>
          <cell r="G200">
            <v>0</v>
          </cell>
          <cell r="H200" t="str">
            <v>גינון ציבורי</v>
          </cell>
          <cell r="I200">
            <v>0</v>
          </cell>
          <cell r="J200" t="str">
            <v>מוסדות</v>
          </cell>
          <cell r="K200">
            <v>0</v>
          </cell>
          <cell r="L200" t="str">
            <v>בתי חולים</v>
          </cell>
          <cell r="M200">
            <v>0</v>
          </cell>
          <cell r="N200" t="str">
            <v>בתי מרחץ</v>
          </cell>
          <cell r="O200">
            <v>0</v>
          </cell>
          <cell r="P200" t="str">
            <v xml:space="preserve">מסחר </v>
          </cell>
          <cell r="Q200">
            <v>0</v>
          </cell>
        </row>
        <row r="201">
          <cell r="D201">
            <v>0</v>
          </cell>
          <cell r="E201" t="str">
            <v>שם הישוב</v>
          </cell>
          <cell r="F201" t="str">
            <v>מגורים</v>
          </cell>
          <cell r="G201">
            <v>0</v>
          </cell>
          <cell r="H201" t="str">
            <v>רשות מקומית</v>
          </cell>
          <cell r="I201">
            <v>0</v>
          </cell>
          <cell r="J201" t="str">
            <v>רשות מקומית</v>
          </cell>
          <cell r="K201">
            <v>0</v>
          </cell>
          <cell r="L201">
            <v>0</v>
          </cell>
          <cell r="M201">
            <v>0</v>
          </cell>
          <cell r="N201" t="str">
            <v>ומקוואות</v>
          </cell>
          <cell r="O201">
            <v>0</v>
          </cell>
          <cell r="P201" t="str">
            <v>ומלאכה</v>
          </cell>
          <cell r="Q201">
            <v>0</v>
          </cell>
        </row>
        <row r="202">
          <cell r="D202">
            <v>0</v>
          </cell>
          <cell r="E202">
            <v>0</v>
          </cell>
          <cell r="F202" t="str">
            <v>מ"ק</v>
          </cell>
          <cell r="G202" t="str">
            <v>%</v>
          </cell>
          <cell r="H202" t="str">
            <v>מ"ק</v>
          </cell>
          <cell r="I202" t="str">
            <v>%</v>
          </cell>
          <cell r="J202" t="str">
            <v>מ"ק</v>
          </cell>
          <cell r="K202" t="str">
            <v>%</v>
          </cell>
          <cell r="L202" t="str">
            <v>מ"ק</v>
          </cell>
          <cell r="M202" t="str">
            <v>%</v>
          </cell>
          <cell r="N202" t="str">
            <v>מ"ק</v>
          </cell>
          <cell r="O202" t="str">
            <v>%</v>
          </cell>
          <cell r="P202" t="str">
            <v>מ"ק</v>
          </cell>
          <cell r="Q202" t="str">
            <v>%</v>
          </cell>
        </row>
        <row r="203">
          <cell r="D203" t="str">
            <v xml:space="preserve"> אורנית</v>
          </cell>
          <cell r="F203">
            <v>417872</v>
          </cell>
          <cell r="G203">
            <v>90.755718492906723</v>
          </cell>
          <cell r="H203">
            <v>17839</v>
          </cell>
          <cell r="I203">
            <v>3.8743712481213457</v>
          </cell>
          <cell r="J203">
            <v>14628</v>
          </cell>
          <cell r="K203">
            <v>3.1769887671685102</v>
          </cell>
          <cell r="L203">
            <v>71</v>
          </cell>
          <cell r="M203">
            <v>1.5420166972174201E-2</v>
          </cell>
          <cell r="N203">
            <v>10026</v>
          </cell>
          <cell r="O203">
            <v>2.1775013248312471</v>
          </cell>
          <cell r="P203">
            <v>460436</v>
          </cell>
          <cell r="Q203">
            <v>100</v>
          </cell>
        </row>
        <row r="204">
          <cell r="D204" t="str">
            <v xml:space="preserve">אליכין </v>
          </cell>
          <cell r="F204">
            <v>221769</v>
          </cell>
          <cell r="G204">
            <v>82.558940357904689</v>
          </cell>
          <cell r="H204">
            <v>26866</v>
          </cell>
          <cell r="I204">
            <v>10.001526325390236</v>
          </cell>
          <cell r="J204">
            <v>5915</v>
          </cell>
          <cell r="K204">
            <v>2.2020035812805498</v>
          </cell>
          <cell r="L204">
            <v>384</v>
          </cell>
          <cell r="M204">
            <v>0.14295340240265952</v>
          </cell>
          <cell r="N204">
            <v>13685</v>
          </cell>
          <cell r="O204">
            <v>5.0945763330218634</v>
          </cell>
          <cell r="P204">
            <v>268619</v>
          </cell>
          <cell r="Q204">
            <v>99.999999999999986</v>
          </cell>
        </row>
        <row r="205">
          <cell r="D205" t="str">
            <v xml:space="preserve">אלפי מנשה </v>
          </cell>
          <cell r="F205">
            <v>471987</v>
          </cell>
          <cell r="G205">
            <v>82.377529862677065</v>
          </cell>
          <cell r="H205">
            <v>48344</v>
          </cell>
          <cell r="I205">
            <v>8.4376461717828235</v>
          </cell>
          <cell r="J205">
            <v>13805</v>
          </cell>
          <cell r="K205">
            <v>2.4094345813640139</v>
          </cell>
          <cell r="L205">
            <v>0</v>
          </cell>
          <cell r="M205">
            <v>0</v>
          </cell>
          <cell r="N205">
            <v>38820</v>
          </cell>
          <cell r="O205">
            <v>6.7753893841760977</v>
          </cell>
          <cell r="P205">
            <v>572956</v>
          </cell>
          <cell r="Q205">
            <v>99.999999999999986</v>
          </cell>
        </row>
        <row r="206">
          <cell r="D206" t="str">
            <v xml:space="preserve">אלקנה </v>
          </cell>
          <cell r="F206">
            <v>219692</v>
          </cell>
          <cell r="G206">
            <v>67.175059013466083</v>
          </cell>
          <cell r="H206">
            <v>54250</v>
          </cell>
          <cell r="I206">
            <v>16.587982045229388</v>
          </cell>
          <cell r="J206">
            <v>44980</v>
          </cell>
          <cell r="K206">
            <v>13.753501057961619</v>
          </cell>
          <cell r="L206">
            <v>425</v>
          </cell>
          <cell r="M206">
            <v>0.12995193307322564</v>
          </cell>
          <cell r="N206">
            <v>7697</v>
          </cell>
          <cell r="O206">
            <v>2.3535059502696885</v>
          </cell>
          <cell r="P206">
            <v>327044</v>
          </cell>
          <cell r="Q206">
            <v>100.00000000000001</v>
          </cell>
        </row>
        <row r="207">
          <cell r="D207" t="str">
            <v>אפרת</v>
          </cell>
          <cell r="F207">
            <v>432074</v>
          </cell>
          <cell r="G207">
            <v>77.53057177975758</v>
          </cell>
          <cell r="H207">
            <v>51506</v>
          </cell>
          <cell r="I207">
            <v>9.2421428507343517</v>
          </cell>
          <cell r="J207">
            <v>36193</v>
          </cell>
          <cell r="K207">
            <v>6.4944060147677618</v>
          </cell>
          <cell r="L207">
            <v>1747</v>
          </cell>
          <cell r="M207">
            <v>0.31347849882019396</v>
          </cell>
          <cell r="N207">
            <v>35775</v>
          </cell>
          <cell r="O207">
            <v>6.4194008559201139</v>
          </cell>
          <cell r="P207">
            <v>557295</v>
          </cell>
          <cell r="Q207">
            <v>100</v>
          </cell>
        </row>
        <row r="208">
          <cell r="D208" t="str">
            <v xml:space="preserve">באר יעקב </v>
          </cell>
          <cell r="F208">
            <v>698762</v>
          </cell>
          <cell r="G208">
            <v>60.233845538505037</v>
          </cell>
          <cell r="H208">
            <v>117682</v>
          </cell>
          <cell r="I208">
            <v>10.144282904139533</v>
          </cell>
          <cell r="J208">
            <v>87162</v>
          </cell>
          <cell r="K208">
            <v>7.5134343951548246</v>
          </cell>
          <cell r="L208">
            <v>124212</v>
          </cell>
          <cell r="M208">
            <v>10.707174148034362</v>
          </cell>
          <cell r="N208">
            <v>132264</v>
          </cell>
          <cell r="O208">
            <v>11.40126301416624</v>
          </cell>
          <cell r="P208">
            <v>1160082</v>
          </cell>
          <cell r="Q208">
            <v>100</v>
          </cell>
        </row>
        <row r="209">
          <cell r="D209" t="str">
            <v>בוקעאתא</v>
          </cell>
          <cell r="F209">
            <v>230369</v>
          </cell>
          <cell r="G209">
            <v>58.079683745836938</v>
          </cell>
          <cell r="H209">
            <v>29100</v>
          </cell>
          <cell r="I209">
            <v>7.3365721820377523</v>
          </cell>
          <cell r="J209">
            <v>30415</v>
          </cell>
          <cell r="K209">
            <v>7.6681045675834447</v>
          </cell>
          <cell r="L209">
            <v>467</v>
          </cell>
          <cell r="M209">
            <v>0.11773811714816597</v>
          </cell>
          <cell r="N209">
            <v>106292</v>
          </cell>
          <cell r="O209">
            <v>26.797901387393701</v>
          </cell>
          <cell r="P209">
            <v>396643</v>
          </cell>
          <cell r="Q209">
            <v>100</v>
          </cell>
        </row>
        <row r="210">
          <cell r="D210" t="str">
            <v xml:space="preserve">בית אל </v>
          </cell>
          <cell r="F210">
            <v>242430</v>
          </cell>
          <cell r="G210">
            <v>70.59573798943525</v>
          </cell>
          <cell r="H210">
            <v>27223</v>
          </cell>
          <cell r="I210">
            <v>7.9273512984630434</v>
          </cell>
          <cell r="J210">
            <v>1900</v>
          </cell>
          <cell r="K210">
            <v>0.55328095606949201</v>
          </cell>
          <cell r="L210">
            <v>4726</v>
          </cell>
          <cell r="M210">
            <v>1.376213578097063</v>
          </cell>
          <cell r="N210">
            <v>67127</v>
          </cell>
          <cell r="O210">
            <v>19.547416177935155</v>
          </cell>
          <cell r="P210">
            <v>343406</v>
          </cell>
          <cell r="Q210">
            <v>100</v>
          </cell>
        </row>
        <row r="211">
          <cell r="D211" t="str">
            <v xml:space="preserve">בית אריה - עופרים </v>
          </cell>
          <cell r="F211">
            <v>259686</v>
          </cell>
          <cell r="G211">
            <v>84.662180665858145</v>
          </cell>
          <cell r="H211">
            <v>21694</v>
          </cell>
          <cell r="I211">
            <v>7.0726236584379851</v>
          </cell>
          <cell r="J211">
            <v>6561</v>
          </cell>
          <cell r="K211">
            <v>2.1390008215641014</v>
          </cell>
          <cell r="L211">
            <v>422</v>
          </cell>
          <cell r="M211">
            <v>0.13757938526140084</v>
          </cell>
          <cell r="N211">
            <v>18369</v>
          </cell>
          <cell r="O211">
            <v>5.9886154688783693</v>
          </cell>
          <cell r="P211">
            <v>306732</v>
          </cell>
          <cell r="Q211">
            <v>100</v>
          </cell>
        </row>
        <row r="212">
          <cell r="D212" t="str">
            <v xml:space="preserve">בית שאן </v>
          </cell>
          <cell r="F212">
            <v>926021</v>
          </cell>
          <cell r="G212">
            <v>67.934977576830448</v>
          </cell>
          <cell r="H212">
            <v>0</v>
          </cell>
          <cell r="I212">
            <v>0</v>
          </cell>
          <cell r="J212">
            <v>284750</v>
          </cell>
          <cell r="K212">
            <v>20.889898679406265</v>
          </cell>
          <cell r="L212">
            <v>4968</v>
          </cell>
          <cell r="M212">
            <v>0.3644636229650231</v>
          </cell>
          <cell r="N212">
            <v>147360</v>
          </cell>
          <cell r="O212">
            <v>10.81066012079827</v>
          </cell>
          <cell r="P212">
            <v>1363099</v>
          </cell>
          <cell r="Q212">
            <v>100</v>
          </cell>
        </row>
        <row r="213">
          <cell r="D213" t="str">
            <v xml:space="preserve">ביתר עילית </v>
          </cell>
          <cell r="F213">
            <v>1477000</v>
          </cell>
          <cell r="G213">
            <v>79.730094466936578</v>
          </cell>
          <cell r="H213">
            <v>102000</v>
          </cell>
          <cell r="I213">
            <v>5.5060728744939276</v>
          </cell>
          <cell r="J213">
            <v>163000</v>
          </cell>
          <cell r="K213">
            <v>8.7989203778677449</v>
          </cell>
          <cell r="L213">
            <v>56000</v>
          </cell>
          <cell r="M213">
            <v>3.022941970310391</v>
          </cell>
          <cell r="N213">
            <v>54500</v>
          </cell>
          <cell r="O213">
            <v>2.9419703103913628</v>
          </cell>
          <cell r="P213">
            <v>1852500</v>
          </cell>
          <cell r="Q213">
            <v>100</v>
          </cell>
        </row>
        <row r="214">
          <cell r="D214" t="str">
            <v xml:space="preserve">בני עי"ש </v>
          </cell>
          <cell r="F214">
            <v>316249</v>
          </cell>
          <cell r="G214">
            <v>92.785177796033324</v>
          </cell>
          <cell r="H214">
            <v>14022</v>
          </cell>
          <cell r="I214">
            <v>4.1139537612956225</v>
          </cell>
          <cell r="J214">
            <v>7652</v>
          </cell>
          <cell r="K214">
            <v>2.2450416617767868</v>
          </cell>
          <cell r="L214">
            <v>231</v>
          </cell>
          <cell r="M214">
            <v>6.7773735477056687E-2</v>
          </cell>
          <cell r="N214">
            <v>2686</v>
          </cell>
          <cell r="O214">
            <v>0.78805304541720456</v>
          </cell>
          <cell r="P214">
            <v>340840</v>
          </cell>
          <cell r="Q214">
            <v>99.999999999999986</v>
          </cell>
        </row>
        <row r="215">
          <cell r="D215" t="str">
            <v xml:space="preserve">בנימינה - גבעת עדה </v>
          </cell>
          <cell r="F215">
            <v>793399</v>
          </cell>
          <cell r="G215">
            <v>71.868845984524725</v>
          </cell>
          <cell r="H215">
            <v>86814</v>
          </cell>
          <cell r="I215">
            <v>7.8639146196308909</v>
          </cell>
          <cell r="J215">
            <v>2175</v>
          </cell>
          <cell r="K215">
            <v>0.1970190786934963</v>
          </cell>
          <cell r="L215">
            <v>160</v>
          </cell>
          <cell r="M215">
            <v>1.4493357513084785E-2</v>
          </cell>
          <cell r="N215">
            <v>221406</v>
          </cell>
          <cell r="O215">
            <v>20.055726959637813</v>
          </cell>
          <cell r="P215">
            <v>1103954</v>
          </cell>
          <cell r="Q215">
            <v>100.00000000000001</v>
          </cell>
        </row>
        <row r="216">
          <cell r="D216" t="str">
            <v xml:space="preserve">גבעת זאב </v>
          </cell>
          <cell r="F216">
            <v>662028</v>
          </cell>
          <cell r="G216">
            <v>85.281675263176879</v>
          </cell>
          <cell r="H216">
            <v>49134</v>
          </cell>
          <cell r="I216">
            <v>6.329384606664572</v>
          </cell>
          <cell r="J216">
            <v>17854</v>
          </cell>
          <cell r="K216">
            <v>2.2999314683801289</v>
          </cell>
          <cell r="L216">
            <v>6931</v>
          </cell>
          <cell r="M216">
            <v>0.89284334083917749</v>
          </cell>
          <cell r="N216">
            <v>40337</v>
          </cell>
          <cell r="O216">
            <v>5.1961653209392438</v>
          </cell>
          <cell r="P216">
            <v>776284</v>
          </cell>
          <cell r="Q216">
            <v>100</v>
          </cell>
        </row>
        <row r="217">
          <cell r="D217" t="str">
            <v xml:space="preserve">גבעת שמואל </v>
          </cell>
          <cell r="F217">
            <v>1246805</v>
          </cell>
          <cell r="G217">
            <v>83.780411266901496</v>
          </cell>
          <cell r="H217">
            <v>101132</v>
          </cell>
          <cell r="I217">
            <v>6.7956741850123166</v>
          </cell>
          <cell r="J217">
            <v>22492</v>
          </cell>
          <cell r="K217">
            <v>1.5113742808339303</v>
          </cell>
          <cell r="L217">
            <v>2781</v>
          </cell>
          <cell r="M217">
            <v>0.18687230459715276</v>
          </cell>
          <cell r="N217">
            <v>114972</v>
          </cell>
          <cell r="O217">
            <v>7.7256679626551055</v>
          </cell>
          <cell r="P217">
            <v>1488182</v>
          </cell>
          <cell r="Q217">
            <v>100.00000000000001</v>
          </cell>
        </row>
        <row r="218">
          <cell r="D218" t="str">
            <v xml:space="preserve">גדרה </v>
          </cell>
          <cell r="F218">
            <v>1125009</v>
          </cell>
          <cell r="G218">
            <v>75.843985114472929</v>
          </cell>
          <cell r="H218">
            <v>206569</v>
          </cell>
          <cell r="I218">
            <v>13.926125178653292</v>
          </cell>
          <cell r="J218">
            <v>23922</v>
          </cell>
          <cell r="K218">
            <v>1.6127335976053716</v>
          </cell>
          <cell r="L218">
            <v>28431</v>
          </cell>
          <cell r="M218">
            <v>1.9167138581020953</v>
          </cell>
          <cell r="N218">
            <v>99389</v>
          </cell>
          <cell r="O218">
            <v>6.7004422511663027</v>
          </cell>
          <cell r="P218">
            <v>1483320</v>
          </cell>
          <cell r="Q218">
            <v>100</v>
          </cell>
        </row>
        <row r="219">
          <cell r="D219" t="str">
            <v>גיסר אל זרקא</v>
          </cell>
          <cell r="F219">
            <v>610685</v>
          </cell>
          <cell r="G219">
            <v>89.432055157223871</v>
          </cell>
          <cell r="H219">
            <v>18586</v>
          </cell>
          <cell r="I219">
            <v>2.7218356061671121</v>
          </cell>
          <cell r="J219">
            <v>1418</v>
          </cell>
          <cell r="K219">
            <v>0.20765968414639863</v>
          </cell>
          <cell r="L219">
            <v>1578</v>
          </cell>
          <cell r="M219">
            <v>0.23109096021369321</v>
          </cell>
          <cell r="N219">
            <v>50581</v>
          </cell>
          <cell r="O219">
            <v>7.4073585922489329</v>
          </cell>
          <cell r="P219">
            <v>682848</v>
          </cell>
          <cell r="Q219">
            <v>100</v>
          </cell>
        </row>
        <row r="220">
          <cell r="D220" t="str">
            <v>מי תקווה</v>
          </cell>
          <cell r="F220">
            <v>851293</v>
          </cell>
          <cell r="G220">
            <v>82.304208058395574</v>
          </cell>
          <cell r="H220">
            <v>96007</v>
          </cell>
          <cell r="I220">
            <v>9.2820921857249896</v>
          </cell>
          <cell r="J220">
            <v>53887</v>
          </cell>
          <cell r="K220">
            <v>5.2098711720204003</v>
          </cell>
          <cell r="L220">
            <v>2860</v>
          </cell>
          <cell r="M220">
            <v>0.27650883426389189</v>
          </cell>
          <cell r="N220">
            <v>30278</v>
          </cell>
          <cell r="O220">
            <v>2.9273197495951466</v>
          </cell>
          <cell r="P220">
            <v>1034325</v>
          </cell>
          <cell r="Q220">
            <v>100</v>
          </cell>
        </row>
        <row r="221">
          <cell r="D221" t="str">
            <v>דלית אל כרמל</v>
          </cell>
          <cell r="F221">
            <v>1457138</v>
          </cell>
          <cell r="G221">
            <v>84.15121297365225</v>
          </cell>
          <cell r="H221">
            <v>42439</v>
          </cell>
          <cell r="I221">
            <v>2.4508957472722748</v>
          </cell>
          <cell r="J221">
            <v>25403</v>
          </cell>
          <cell r="K221">
            <v>1.4670492864572113</v>
          </cell>
          <cell r="L221">
            <v>987</v>
          </cell>
          <cell r="M221">
            <v>5.7000261612142958E-2</v>
          </cell>
          <cell r="N221">
            <v>205604</v>
          </cell>
          <cell r="O221">
            <v>11.873841731006122</v>
          </cell>
          <cell r="P221">
            <v>1731571</v>
          </cell>
          <cell r="Q221">
            <v>100</v>
          </cell>
        </row>
        <row r="222">
          <cell r="D222" t="str">
            <v>הר אדר</v>
          </cell>
          <cell r="F222">
            <v>281515</v>
          </cell>
          <cell r="G222">
            <v>90.056558263328625</v>
          </cell>
          <cell r="H222">
            <v>22828</v>
          </cell>
          <cell r="I222">
            <v>7.3026698827247767</v>
          </cell>
          <cell r="J222">
            <v>3373</v>
          </cell>
          <cell r="K222">
            <v>1.0790216188203381</v>
          </cell>
          <cell r="L222">
            <v>261</v>
          </cell>
          <cell r="M222">
            <v>8.3493816339196031E-2</v>
          </cell>
          <cell r="N222">
            <v>4621</v>
          </cell>
          <cell r="O222">
            <v>1.4782564187870684</v>
          </cell>
          <cell r="P222">
            <v>312598</v>
          </cell>
          <cell r="Q222">
            <v>100</v>
          </cell>
        </row>
        <row r="223">
          <cell r="D223" t="str">
            <v>זכרון יעקב</v>
          </cell>
          <cell r="F223">
            <v>1305997</v>
          </cell>
          <cell r="G223">
            <v>73.938616087856943</v>
          </cell>
          <cell r="H223">
            <v>160243</v>
          </cell>
          <cell r="I223">
            <v>9.0721078668377189</v>
          </cell>
          <cell r="J223">
            <v>81118</v>
          </cell>
          <cell r="K223">
            <v>4.592470472608114</v>
          </cell>
          <cell r="L223">
            <v>2931</v>
          </cell>
          <cell r="M223">
            <v>0.16593765816729189</v>
          </cell>
          <cell r="N223">
            <v>216037</v>
          </cell>
          <cell r="O223">
            <v>12.230867914529934</v>
          </cell>
          <cell r="P223">
            <v>1766326</v>
          </cell>
          <cell r="Q223">
            <v>100.00000000000001</v>
          </cell>
        </row>
        <row r="224">
          <cell r="D224" t="str">
            <v xml:space="preserve">זמר </v>
          </cell>
          <cell r="F224">
            <v>202420</v>
          </cell>
          <cell r="G224">
            <v>81.676626410739573</v>
          </cell>
          <cell r="H224">
            <v>39167</v>
          </cell>
          <cell r="I224">
            <v>15.803914764496774</v>
          </cell>
          <cell r="J224">
            <v>5223</v>
          </cell>
          <cell r="K224">
            <v>2.107484535832886</v>
          </cell>
          <cell r="L224">
            <v>0</v>
          </cell>
          <cell r="M224">
            <v>0</v>
          </cell>
          <cell r="N224">
            <v>1021</v>
          </cell>
          <cell r="O224">
            <v>0.41197428893076327</v>
          </cell>
          <cell r="P224">
            <v>247831</v>
          </cell>
          <cell r="Q224">
            <v>99.999999999999986</v>
          </cell>
        </row>
        <row r="225">
          <cell r="D225" t="str">
            <v>טייבה</v>
          </cell>
          <cell r="F225">
            <v>1610051</v>
          </cell>
          <cell r="G225">
            <v>77.491650659452304</v>
          </cell>
          <cell r="H225">
            <v>46858</v>
          </cell>
          <cell r="I225">
            <v>2.2552725141008678</v>
          </cell>
          <cell r="J225">
            <v>100502</v>
          </cell>
          <cell r="K225">
            <v>4.8371547699894446</v>
          </cell>
          <cell r="L225">
            <v>0</v>
          </cell>
          <cell r="M225">
            <v>0</v>
          </cell>
          <cell r="N225">
            <v>320298</v>
          </cell>
          <cell r="O225">
            <v>8.4320759066837567</v>
          </cell>
          <cell r="P225">
            <v>2077709</v>
          </cell>
          <cell r="Q225">
            <v>100</v>
          </cell>
        </row>
        <row r="226">
          <cell r="D226" t="str">
            <v xml:space="preserve">טירת הכרמל </v>
          </cell>
          <cell r="F226">
            <v>901907</v>
          </cell>
          <cell r="G226">
            <v>65.68132098610792</v>
          </cell>
          <cell r="H226">
            <v>176986</v>
          </cell>
          <cell r="I226">
            <v>12.888994404131795</v>
          </cell>
          <cell r="J226">
            <v>76477</v>
          </cell>
          <cell r="K226">
            <v>5.5694327519961311</v>
          </cell>
          <cell r="L226">
            <v>33855</v>
          </cell>
          <cell r="M226">
            <v>2.4654882620765592</v>
          </cell>
          <cell r="N226">
            <v>183931</v>
          </cell>
          <cell r="O226">
            <v>13.394763595687598</v>
          </cell>
          <cell r="P226">
            <v>1373156</v>
          </cell>
          <cell r="Q226">
            <v>100</v>
          </cell>
        </row>
        <row r="227">
          <cell r="D227" t="str">
            <v xml:space="preserve">יהוד </v>
          </cell>
          <cell r="F227">
            <v>1610409</v>
          </cell>
          <cell r="G227">
            <v>79.42239566868264</v>
          </cell>
          <cell r="H227">
            <v>147816</v>
          </cell>
          <cell r="I227">
            <v>7.2900119399245735</v>
          </cell>
          <cell r="J227">
            <v>43898</v>
          </cell>
          <cell r="K227">
            <v>2.1649682317124594</v>
          </cell>
          <cell r="L227">
            <v>8214</v>
          </cell>
          <cell r="M227">
            <v>0.40509929963292496</v>
          </cell>
          <cell r="N227">
            <v>217314</v>
          </cell>
          <cell r="O227">
            <v>10.717524860047414</v>
          </cell>
          <cell r="P227">
            <v>2027651</v>
          </cell>
          <cell r="Q227">
            <v>100.00000000000001</v>
          </cell>
        </row>
        <row r="228">
          <cell r="D228" t="str">
            <v xml:space="preserve">כפר סבא </v>
          </cell>
          <cell r="F228">
            <v>4791591</v>
          </cell>
          <cell r="G228">
            <v>70.908198157975704</v>
          </cell>
          <cell r="H228">
            <v>581341</v>
          </cell>
          <cell r="I228">
            <v>8.6029552241323906</v>
          </cell>
          <cell r="J228">
            <v>232822</v>
          </cell>
          <cell r="K228">
            <v>3.4454085316414149</v>
          </cell>
          <cell r="L228">
            <v>178416</v>
          </cell>
          <cell r="M228">
            <v>2.6402831716132265</v>
          </cell>
          <cell r="N228">
            <v>973287</v>
          </cell>
          <cell r="O228">
            <v>14.403154914637268</v>
          </cell>
          <cell r="P228">
            <v>6757457</v>
          </cell>
          <cell r="Q228">
            <v>100</v>
          </cell>
        </row>
        <row r="229">
          <cell r="D229" t="str">
            <v xml:space="preserve">כפר שמריהו </v>
          </cell>
          <cell r="F229">
            <v>490199</v>
          </cell>
          <cell r="G229">
            <v>86.536655462659581</v>
          </cell>
          <cell r="H229">
            <v>10242</v>
          </cell>
          <cell r="I229">
            <v>1.8080584114789289</v>
          </cell>
          <cell r="J229">
            <v>15772</v>
          </cell>
          <cell r="K229">
            <v>2.7842899107445489</v>
          </cell>
          <cell r="L229">
            <v>19920</v>
          </cell>
          <cell r="M229">
            <v>3.5165518020562647</v>
          </cell>
          <cell r="N229">
            <v>30331</v>
          </cell>
          <cell r="O229">
            <v>5.354444413060671</v>
          </cell>
          <cell r="P229">
            <v>566464</v>
          </cell>
          <cell r="Q229">
            <v>100</v>
          </cell>
        </row>
        <row r="230">
          <cell r="D230" t="str">
            <v xml:space="preserve">כפר תבור </v>
          </cell>
          <cell r="F230">
            <v>228925</v>
          </cell>
          <cell r="G230">
            <v>78.942377323355984</v>
          </cell>
          <cell r="H230">
            <v>33708</v>
          </cell>
          <cell r="I230">
            <v>11.623849098244767</v>
          </cell>
          <cell r="J230">
            <v>13288</v>
          </cell>
          <cell r="K230">
            <v>4.5822269733439089</v>
          </cell>
          <cell r="L230">
            <v>551</v>
          </cell>
          <cell r="M230">
            <v>0.19000655195006724</v>
          </cell>
          <cell r="N230">
            <v>13518</v>
          </cell>
          <cell r="O230">
            <v>4.6615400531052797</v>
          </cell>
          <cell r="P230">
            <v>289990</v>
          </cell>
          <cell r="Q230">
            <v>100</v>
          </cell>
        </row>
        <row r="231">
          <cell r="D231" t="str">
            <v xml:space="preserve">להבים </v>
          </cell>
          <cell r="F231">
            <v>479698</v>
          </cell>
          <cell r="G231">
            <v>88.933754551454612</v>
          </cell>
          <cell r="H231">
            <v>2811</v>
          </cell>
          <cell r="I231">
            <v>0.5211461879018443</v>
          </cell>
          <cell r="J231">
            <v>7225</v>
          </cell>
          <cell r="K231">
            <v>1.3394810414766365</v>
          </cell>
          <cell r="L231">
            <v>0</v>
          </cell>
          <cell r="M231">
            <v>0</v>
          </cell>
          <cell r="N231">
            <v>49654</v>
          </cell>
          <cell r="O231">
            <v>9.205618219166908</v>
          </cell>
          <cell r="P231">
            <v>539388</v>
          </cell>
          <cell r="Q231">
            <v>100</v>
          </cell>
        </row>
        <row r="232">
          <cell r="D232" t="str">
            <v xml:space="preserve">מגדל שמס </v>
          </cell>
          <cell r="F232">
            <v>406791</v>
          </cell>
          <cell r="G232">
            <v>77.55653382496773</v>
          </cell>
          <cell r="H232">
            <v>21550</v>
          </cell>
          <cell r="I232">
            <v>4.1086044281413665</v>
          </cell>
          <cell r="J232">
            <v>49402</v>
          </cell>
          <cell r="K232">
            <v>9.4187135015795729</v>
          </cell>
          <cell r="L232">
            <v>1059</v>
          </cell>
          <cell r="M232">
            <v>0.20190311319729501</v>
          </cell>
          <cell r="N232">
            <v>45707</v>
          </cell>
          <cell r="O232">
            <v>8.7142451321140353</v>
          </cell>
          <cell r="P232">
            <v>524509</v>
          </cell>
          <cell r="Q232">
            <v>99.999999999999986</v>
          </cell>
        </row>
        <row r="233">
          <cell r="D233" t="str">
            <v>מודיעין עלית</v>
          </cell>
          <cell r="F233">
            <v>1902183</v>
          </cell>
          <cell r="G233">
            <v>80.218035429175799</v>
          </cell>
          <cell r="H233">
            <v>61373</v>
          </cell>
          <cell r="I233">
            <v>2.5881955040050335</v>
          </cell>
          <cell r="J233">
            <v>273116</v>
          </cell>
          <cell r="K233">
            <v>11.517729347951684</v>
          </cell>
          <cell r="L233">
            <v>77983</v>
          </cell>
          <cell r="M233">
            <v>3.2886652109042172</v>
          </cell>
          <cell r="N233">
            <v>56611</v>
          </cell>
          <cell r="O233">
            <v>2.3873745079632567</v>
          </cell>
          <cell r="P233">
            <v>2371266</v>
          </cell>
          <cell r="Q233">
            <v>99.999999999999986</v>
          </cell>
        </row>
        <row r="234">
          <cell r="D234" t="str">
            <v xml:space="preserve">מזכרת בתיה </v>
          </cell>
          <cell r="F234">
            <v>638800</v>
          </cell>
          <cell r="G234">
            <v>77.910420091814274</v>
          </cell>
          <cell r="H234">
            <v>89486</v>
          </cell>
          <cell r="I234">
            <v>10.914044853375223</v>
          </cell>
          <cell r="J234">
            <v>50853</v>
          </cell>
          <cell r="K234">
            <v>6.2022207152927864</v>
          </cell>
          <cell r="L234">
            <v>875</v>
          </cell>
          <cell r="M234">
            <v>0.10671824918650204</v>
          </cell>
          <cell r="N234">
            <v>39902</v>
          </cell>
          <cell r="O234">
            <v>4.8665960903312042</v>
          </cell>
          <cell r="P234">
            <v>819916</v>
          </cell>
          <cell r="Q234">
            <v>99.999999999999986</v>
          </cell>
        </row>
        <row r="235">
          <cell r="D235" t="str">
            <v xml:space="preserve">מיתר </v>
          </cell>
          <cell r="F235">
            <v>553319</v>
          </cell>
          <cell r="G235">
            <v>71.391117768720335</v>
          </cell>
          <cell r="H235">
            <v>127769</v>
          </cell>
          <cell r="I235">
            <v>16.485195206005269</v>
          </cell>
          <cell r="J235">
            <v>63015</v>
          </cell>
          <cell r="K235">
            <v>8.1304117266819169</v>
          </cell>
          <cell r="L235">
            <v>889</v>
          </cell>
          <cell r="M235">
            <v>0.11470183329398119</v>
          </cell>
          <cell r="N235">
            <v>30061</v>
          </cell>
          <cell r="O235">
            <v>3.8785734652985022</v>
          </cell>
          <cell r="P235">
            <v>775053</v>
          </cell>
          <cell r="Q235">
            <v>100</v>
          </cell>
        </row>
        <row r="236">
          <cell r="D236" t="str">
            <v>מסעדה</v>
          </cell>
          <cell r="F236">
            <v>141126</v>
          </cell>
          <cell r="G236">
            <v>82.03521458341811</v>
          </cell>
          <cell r="H236">
            <v>7787</v>
          </cell>
          <cell r="I236">
            <v>4.5265097569624082</v>
          </cell>
          <cell r="J236">
            <v>11196</v>
          </cell>
          <cell r="K236">
            <v>6.5081293487801615</v>
          </cell>
          <cell r="L236">
            <v>133</v>
          </cell>
          <cell r="M236">
            <v>7.7311647319378479E-2</v>
          </cell>
          <cell r="N236">
            <v>11789</v>
          </cell>
          <cell r="O236">
            <v>6.8528346635199462</v>
          </cell>
          <cell r="P236">
            <v>172031</v>
          </cell>
          <cell r="Q236">
            <v>100</v>
          </cell>
        </row>
        <row r="237">
          <cell r="D237" t="str">
            <v>מעלה אדומים</v>
          </cell>
          <cell r="F237">
            <v>1790515</v>
          </cell>
          <cell r="G237">
            <v>67.621670779449829</v>
          </cell>
          <cell r="H237">
            <v>444186</v>
          </cell>
          <cell r="I237">
            <v>16.775396719290654</v>
          </cell>
          <cell r="J237">
            <v>182299</v>
          </cell>
          <cell r="K237">
            <v>6.8848141241055929</v>
          </cell>
          <cell r="L237">
            <v>2186</v>
          </cell>
          <cell r="M237">
            <v>8.2557796122276178E-2</v>
          </cell>
          <cell r="N237">
            <v>228656</v>
          </cell>
          <cell r="O237">
            <v>8.6355605810316476</v>
          </cell>
          <cell r="P237">
            <v>2647842</v>
          </cell>
          <cell r="Q237">
            <v>100</v>
          </cell>
        </row>
        <row r="238">
          <cell r="D238" t="str">
            <v xml:space="preserve">מעלה אפרים </v>
          </cell>
          <cell r="F238">
            <v>68958</v>
          </cell>
          <cell r="G238">
            <v>54.077919633614599</v>
          </cell>
          <cell r="H238">
            <v>19256</v>
          </cell>
          <cell r="I238">
            <v>15.100850089400547</v>
          </cell>
          <cell r="J238">
            <v>6161</v>
          </cell>
          <cell r="K238">
            <v>4.8315505505191512</v>
          </cell>
          <cell r="L238">
            <v>499</v>
          </cell>
          <cell r="M238">
            <v>0.39132344176417078</v>
          </cell>
          <cell r="N238">
            <v>32642</v>
          </cell>
          <cell r="O238">
            <v>25.598356284701531</v>
          </cell>
          <cell r="P238">
            <v>127516</v>
          </cell>
          <cell r="Q238">
            <v>100</v>
          </cell>
        </row>
        <row r="239">
          <cell r="D239" t="str">
            <v xml:space="preserve">נהריה </v>
          </cell>
          <cell r="F239">
            <v>3052465</v>
          </cell>
          <cell r="G239">
            <v>80.26799430531166</v>
          </cell>
          <cell r="H239">
            <v>246395</v>
          </cell>
          <cell r="I239">
            <v>6.4792331629870494</v>
          </cell>
          <cell r="J239">
            <v>122892</v>
          </cell>
          <cell r="K239">
            <v>3.2315831159958783</v>
          </cell>
          <cell r="L239">
            <v>46761</v>
          </cell>
          <cell r="M239">
            <v>1.2296329955333407</v>
          </cell>
          <cell r="N239">
            <v>334329</v>
          </cell>
          <cell r="O239">
            <v>8.7915564201720713</v>
          </cell>
          <cell r="P239">
            <v>3802842</v>
          </cell>
          <cell r="Q239">
            <v>99.999999999999986</v>
          </cell>
        </row>
        <row r="240">
          <cell r="D240" t="str">
            <v xml:space="preserve">נשר </v>
          </cell>
          <cell r="F240">
            <v>1063351</v>
          </cell>
          <cell r="G240">
            <v>72.537588740534176</v>
          </cell>
          <cell r="H240">
            <v>93436</v>
          </cell>
          <cell r="I240">
            <v>6.3738334205361635</v>
          </cell>
          <cell r="J240">
            <v>47333</v>
          </cell>
          <cell r="K240">
            <v>3.2288695716237665</v>
          </cell>
          <cell r="L240">
            <v>10498</v>
          </cell>
          <cell r="M240">
            <v>0.7161319325397989</v>
          </cell>
          <cell r="N240">
            <v>251313</v>
          </cell>
          <cell r="O240">
            <v>17.143576334766099</v>
          </cell>
          <cell r="P240">
            <v>1465931</v>
          </cell>
          <cell r="Q240">
            <v>99.999999999999986</v>
          </cell>
        </row>
        <row r="241">
          <cell r="D241" t="str">
            <v xml:space="preserve">סביון </v>
          </cell>
          <cell r="F241">
            <v>909376</v>
          </cell>
          <cell r="G241">
            <v>85.499490411845017</v>
          </cell>
          <cell r="H241">
            <v>66072</v>
          </cell>
          <cell r="I241">
            <v>6.2120864532288333</v>
          </cell>
          <cell r="J241">
            <v>4178</v>
          </cell>
          <cell r="K241">
            <v>0.3928153711343696</v>
          </cell>
          <cell r="L241">
            <v>0</v>
          </cell>
          <cell r="M241">
            <v>0</v>
          </cell>
          <cell r="N241">
            <v>83978</v>
          </cell>
          <cell r="O241">
            <v>7.8956077637917872</v>
          </cell>
          <cell r="P241">
            <v>1063604</v>
          </cell>
          <cell r="Q241">
            <v>100.00000000000001</v>
          </cell>
        </row>
        <row r="242">
          <cell r="D242" t="str">
            <v>עג'ר</v>
          </cell>
          <cell r="F242">
            <v>147235</v>
          </cell>
          <cell r="G242">
            <v>86.86225693788937</v>
          </cell>
          <cell r="H242">
            <v>11860</v>
          </cell>
          <cell r="I242">
            <v>6.9968850292618452</v>
          </cell>
          <cell r="J242">
            <v>4358</v>
          </cell>
          <cell r="K242">
            <v>2.5710307721351708</v>
          </cell>
          <cell r="L242">
            <v>0</v>
          </cell>
          <cell r="M242">
            <v>0</v>
          </cell>
          <cell r="N242">
            <v>6051</v>
          </cell>
          <cell r="O242">
            <v>3.5698272607136117</v>
          </cell>
          <cell r="P242">
            <v>169504</v>
          </cell>
          <cell r="Q242">
            <v>100</v>
          </cell>
        </row>
        <row r="243">
          <cell r="D243" t="str">
            <v xml:space="preserve">עומר </v>
          </cell>
          <cell r="F243">
            <v>718515</v>
          </cell>
          <cell r="G243">
            <v>79.851857614385253</v>
          </cell>
          <cell r="H243">
            <v>57090</v>
          </cell>
          <cell r="I243">
            <v>6.3446727642502312</v>
          </cell>
          <cell r="J243">
            <v>57859</v>
          </cell>
          <cell r="K243">
            <v>6.4301352507751641</v>
          </cell>
          <cell r="L243">
            <v>0</v>
          </cell>
          <cell r="M243">
            <v>0</v>
          </cell>
          <cell r="N243">
            <v>66346</v>
          </cell>
          <cell r="O243">
            <v>7.3733343705893457</v>
          </cell>
          <cell r="P243">
            <v>899810</v>
          </cell>
          <cell r="Q243">
            <v>100</v>
          </cell>
        </row>
        <row r="244">
          <cell r="D244" t="str">
            <v>עוספיה</v>
          </cell>
          <cell r="F244">
            <v>623191</v>
          </cell>
          <cell r="G244">
            <v>81.404243479533051</v>
          </cell>
          <cell r="H244">
            <v>0</v>
          </cell>
          <cell r="I244">
            <v>0</v>
          </cell>
          <cell r="J244">
            <v>38765</v>
          </cell>
          <cell r="K244">
            <v>5.0636730929748639</v>
          </cell>
          <cell r="L244">
            <v>0</v>
          </cell>
          <cell r="M244">
            <v>0</v>
          </cell>
          <cell r="N244">
            <v>103595</v>
          </cell>
          <cell r="O244">
            <v>13.532083427492095</v>
          </cell>
          <cell r="P244">
            <v>765551</v>
          </cell>
          <cell r="Q244">
            <v>100.00000000000001</v>
          </cell>
        </row>
        <row r="245">
          <cell r="D245" t="str">
            <v xml:space="preserve">עין קניה </v>
          </cell>
          <cell r="F245">
            <v>106486</v>
          </cell>
          <cell r="G245">
            <v>98.157348942250081</v>
          </cell>
          <cell r="H245">
            <v>632</v>
          </cell>
          <cell r="I245">
            <v>0.58256901875835365</v>
          </cell>
          <cell r="J245">
            <v>755</v>
          </cell>
          <cell r="K245">
            <v>0.69594874867493195</v>
          </cell>
          <cell r="L245">
            <v>0</v>
          </cell>
          <cell r="M245">
            <v>0</v>
          </cell>
          <cell r="N245">
            <v>612</v>
          </cell>
          <cell r="O245">
            <v>0.56413329031663362</v>
          </cell>
          <cell r="P245">
            <v>108485</v>
          </cell>
          <cell r="Q245">
            <v>100</v>
          </cell>
        </row>
        <row r="246">
          <cell r="D246" t="str">
            <v xml:space="preserve">עמנואל  </v>
          </cell>
          <cell r="F246">
            <v>139244</v>
          </cell>
          <cell r="G246">
            <v>46.178540396771176</v>
          </cell>
          <cell r="H246">
            <v>0</v>
          </cell>
          <cell r="I246">
            <v>0</v>
          </cell>
          <cell r="J246">
            <v>19455</v>
          </cell>
          <cell r="K246">
            <v>6.4520087287005783</v>
          </cell>
          <cell r="L246">
            <v>4702</v>
          </cell>
          <cell r="M246">
            <v>1.5593598068542851</v>
          </cell>
          <cell r="N246">
            <v>138133</v>
          </cell>
          <cell r="O246">
            <v>45.810091067673959</v>
          </cell>
          <cell r="P246">
            <v>301534</v>
          </cell>
          <cell r="Q246">
            <v>100</v>
          </cell>
        </row>
        <row r="247">
          <cell r="D247" t="str">
            <v>עפולה</v>
          </cell>
          <cell r="F247">
            <v>1999303</v>
          </cell>
          <cell r="G247">
            <v>69.392606486236204</v>
          </cell>
          <cell r="H247">
            <v>141218</v>
          </cell>
          <cell r="I247">
            <v>4.9014507069580278</v>
          </cell>
          <cell r="J247">
            <v>138462</v>
          </cell>
          <cell r="K247">
            <v>4.805794358982725</v>
          </cell>
          <cell r="L247">
            <v>4219</v>
          </cell>
          <cell r="M247">
            <v>0.14643473588817232</v>
          </cell>
          <cell r="N247">
            <v>597945</v>
          </cell>
          <cell r="O247">
            <v>20.753713711934864</v>
          </cell>
          <cell r="P247">
            <v>2881147</v>
          </cell>
          <cell r="Q247">
            <v>100</v>
          </cell>
        </row>
        <row r="248">
          <cell r="D248" t="str">
            <v xml:space="preserve">פרדיס </v>
          </cell>
          <cell r="F248">
            <v>533066</v>
          </cell>
          <cell r="G248">
            <v>91.700498183419583</v>
          </cell>
          <cell r="H248">
            <v>2720</v>
          </cell>
          <cell r="I248">
            <v>0.4679070791588682</v>
          </cell>
          <cell r="J248">
            <v>26133</v>
          </cell>
          <cell r="K248">
            <v>4.4955204778156999</v>
          </cell>
          <cell r="L248">
            <v>0</v>
          </cell>
          <cell r="M248">
            <v>0</v>
          </cell>
          <cell r="N248">
            <v>19393</v>
          </cell>
          <cell r="O248">
            <v>3.3360742596058568</v>
          </cell>
          <cell r="P248">
            <v>581312</v>
          </cell>
          <cell r="Q248">
            <v>100</v>
          </cell>
        </row>
        <row r="249">
          <cell r="D249" t="str">
            <v xml:space="preserve">פרדס חנה-כרכור </v>
          </cell>
          <cell r="F249">
            <v>1905733</v>
          </cell>
          <cell r="G249">
            <v>81.881325907125998</v>
          </cell>
          <cell r="H249">
            <v>118812</v>
          </cell>
          <cell r="I249">
            <v>5.1048515682298907</v>
          </cell>
          <cell r="J249">
            <v>130571</v>
          </cell>
          <cell r="K249">
            <v>5.6100863053845158</v>
          </cell>
          <cell r="L249">
            <v>33807</v>
          </cell>
          <cell r="M249">
            <v>1.452544498595663</v>
          </cell>
          <cell r="N249">
            <v>138510</v>
          </cell>
          <cell r="O249">
            <v>5.9511917206639247</v>
          </cell>
          <cell r="P249">
            <v>2327433</v>
          </cell>
          <cell r="Q249">
            <v>99.999999999999986</v>
          </cell>
        </row>
        <row r="250">
          <cell r="D250" t="str">
            <v xml:space="preserve">קדומים </v>
          </cell>
          <cell r="F250">
            <v>182694</v>
          </cell>
          <cell r="G250">
            <v>68.154907351794577</v>
          </cell>
          <cell r="H250">
            <v>24632</v>
          </cell>
          <cell r="I250">
            <v>9.1890903800311126</v>
          </cell>
          <cell r="J250">
            <v>23778</v>
          </cell>
          <cell r="K250">
            <v>8.8705014232047663</v>
          </cell>
          <cell r="L250">
            <v>125</v>
          </cell>
          <cell r="M250">
            <v>4.6631873071772051E-2</v>
          </cell>
          <cell r="N250">
            <v>36828</v>
          </cell>
          <cell r="O250">
            <v>13.738868971897769</v>
          </cell>
          <cell r="P250">
            <v>268057</v>
          </cell>
          <cell r="Q250">
            <v>100.00000000000001</v>
          </cell>
        </row>
        <row r="251">
          <cell r="D251" t="str">
            <v xml:space="preserve">קלנסואה </v>
          </cell>
          <cell r="F251">
            <v>839029</v>
          </cell>
          <cell r="G251">
            <v>86.921780353455887</v>
          </cell>
          <cell r="H251">
            <v>0</v>
          </cell>
          <cell r="I251">
            <v>3.6250373452145239</v>
          </cell>
          <cell r="J251">
            <v>52123</v>
          </cell>
          <cell r="K251">
            <v>12.052994019198687</v>
          </cell>
          <cell r="L251">
            <v>0</v>
          </cell>
          <cell r="M251">
            <v>0</v>
          </cell>
          <cell r="N251">
            <v>74117</v>
          </cell>
          <cell r="O251">
            <v>3.0930188108541432</v>
          </cell>
          <cell r="P251">
            <v>965269</v>
          </cell>
          <cell r="Q251">
            <v>100</v>
          </cell>
        </row>
        <row r="252">
          <cell r="D252" t="str">
            <v xml:space="preserve">חריש </v>
          </cell>
          <cell r="F252">
            <v>134650</v>
          </cell>
          <cell r="G252">
            <v>94.016855305511143</v>
          </cell>
          <cell r="H252">
            <v>1805</v>
          </cell>
          <cell r="I252">
            <v>1.2603076407459903</v>
          </cell>
          <cell r="J252">
            <v>5957</v>
          </cell>
          <cell r="K252">
            <v>4.1593643301517256</v>
          </cell>
          <cell r="L252">
            <v>0</v>
          </cell>
          <cell r="M252">
            <v>0</v>
          </cell>
          <cell r="N252">
            <v>807</v>
          </cell>
          <cell r="O252">
            <v>0.56347272359114364</v>
          </cell>
          <cell r="P252">
            <v>143219</v>
          </cell>
          <cell r="Q252">
            <v>100.00000000000001</v>
          </cell>
        </row>
        <row r="253">
          <cell r="D253" t="str">
            <v xml:space="preserve">קרית ארבע חברון </v>
          </cell>
          <cell r="F253">
            <v>240308</v>
          </cell>
          <cell r="G253">
            <v>47.08044355628698</v>
          </cell>
          <cell r="H253">
            <v>43960</v>
          </cell>
          <cell r="I253">
            <v>8.6125151835743115</v>
          </cell>
          <cell r="J253">
            <v>39855</v>
          </cell>
          <cell r="K253">
            <v>7.8082755377924054</v>
          </cell>
          <cell r="L253">
            <v>2185</v>
          </cell>
          <cell r="M253">
            <v>0.42807883703616628</v>
          </cell>
          <cell r="N253">
            <v>184112</v>
          </cell>
          <cell r="O253">
            <v>36.070686885310138</v>
          </cell>
          <cell r="P253">
            <v>510420</v>
          </cell>
          <cell r="Q253">
            <v>100</v>
          </cell>
        </row>
        <row r="254">
          <cell r="D254" t="str">
            <v>מי קריית ביאליק</v>
          </cell>
          <cell r="F254">
            <v>1963493</v>
          </cell>
          <cell r="G254">
            <v>77.313557897173979</v>
          </cell>
          <cell r="H254">
            <v>209083</v>
          </cell>
          <cell r="I254">
            <v>8.2327518487791025</v>
          </cell>
          <cell r="J254">
            <v>136543</v>
          </cell>
          <cell r="K254">
            <v>5.3764516277643093</v>
          </cell>
          <cell r="L254">
            <v>6684</v>
          </cell>
          <cell r="M254">
            <v>0.26318597569979163</v>
          </cell>
          <cell r="N254">
            <v>223846</v>
          </cell>
          <cell r="O254">
            <v>8.8140526505828163</v>
          </cell>
          <cell r="P254">
            <v>2539649</v>
          </cell>
          <cell r="Q254">
            <v>100</v>
          </cell>
        </row>
        <row r="255">
          <cell r="D255" t="str">
            <v xml:space="preserve">קרית יערים </v>
          </cell>
          <cell r="F255">
            <v>173976</v>
          </cell>
          <cell r="G255">
            <v>77.198120365809828</v>
          </cell>
          <cell r="H255">
            <v>4782</v>
          </cell>
          <cell r="I255">
            <v>2.121909985223839</v>
          </cell>
          <cell r="J255">
            <v>39453</v>
          </cell>
          <cell r="K255">
            <v>17.506422970940218</v>
          </cell>
          <cell r="L255">
            <v>5044</v>
          </cell>
          <cell r="M255">
            <v>2.2381668685631624</v>
          </cell>
          <cell r="N255">
            <v>2108</v>
          </cell>
          <cell r="O255">
            <v>0.93537980946295529</v>
          </cell>
          <cell r="P255">
            <v>225363</v>
          </cell>
          <cell r="Q255">
            <v>100.00000000000001</v>
          </cell>
        </row>
        <row r="256">
          <cell r="D256" t="str">
            <v xml:space="preserve">קרית מלאכי </v>
          </cell>
          <cell r="F256">
            <v>1050319</v>
          </cell>
          <cell r="G256">
            <v>81.911993966869261</v>
          </cell>
          <cell r="H256">
            <v>38975</v>
          </cell>
          <cell r="I256">
            <v>3.0395717537802605</v>
          </cell>
          <cell r="J256">
            <v>122144</v>
          </cell>
          <cell r="K256">
            <v>9.5257332211349866</v>
          </cell>
          <cell r="L256">
            <v>838</v>
          </cell>
          <cell r="M256">
            <v>6.5353717246128498E-2</v>
          </cell>
          <cell r="N256">
            <v>69977</v>
          </cell>
          <cell r="O256">
            <v>5.4573473409693722</v>
          </cell>
          <cell r="P256">
            <v>1282253</v>
          </cell>
          <cell r="Q256">
            <v>100.00000000000001</v>
          </cell>
        </row>
        <row r="257">
          <cell r="D257" t="str">
            <v xml:space="preserve">קרית עקרון </v>
          </cell>
          <cell r="F257">
            <v>626381</v>
          </cell>
          <cell r="G257">
            <v>75.761600137400691</v>
          </cell>
          <cell r="H257">
            <v>45833</v>
          </cell>
          <cell r="I257">
            <v>5.54356121768937</v>
          </cell>
          <cell r="J257">
            <v>29412</v>
          </cell>
          <cell r="K257">
            <v>3.5574198183553287</v>
          </cell>
          <cell r="L257">
            <v>2561</v>
          </cell>
          <cell r="M257">
            <v>0.30975629521311016</v>
          </cell>
          <cell r="N257">
            <v>122592</v>
          </cell>
          <cell r="O257">
            <v>14.827662531341506</v>
          </cell>
          <cell r="P257">
            <v>826779</v>
          </cell>
          <cell r="Q257">
            <v>100</v>
          </cell>
        </row>
        <row r="258">
          <cell r="D258" t="str">
            <v xml:space="preserve">ראש פנה </v>
          </cell>
          <cell r="F258">
            <v>253960</v>
          </cell>
          <cell r="G258">
            <v>55.283809523809524</v>
          </cell>
          <cell r="H258">
            <v>76677</v>
          </cell>
          <cell r="I258">
            <v>16.691591836734691</v>
          </cell>
          <cell r="J258">
            <v>27904</v>
          </cell>
          <cell r="K258">
            <v>6.0743401360544214</v>
          </cell>
          <cell r="L258">
            <v>151</v>
          </cell>
          <cell r="M258">
            <v>3.2870748299319727E-2</v>
          </cell>
          <cell r="N258">
            <v>100683</v>
          </cell>
          <cell r="O258">
            <v>21.917387755102041</v>
          </cell>
          <cell r="P258">
            <v>459375</v>
          </cell>
          <cell r="Q258">
            <v>99.999999999999986</v>
          </cell>
        </row>
        <row r="259">
          <cell r="D259" t="str">
            <v xml:space="preserve">רחובות </v>
          </cell>
          <cell r="F259">
            <v>6268942</v>
          </cell>
          <cell r="G259">
            <v>73.712055401312881</v>
          </cell>
          <cell r="H259">
            <v>788119</v>
          </cell>
          <cell r="I259">
            <v>9.2669339405002162</v>
          </cell>
          <cell r="J259">
            <v>483383</v>
          </cell>
          <cell r="K259">
            <v>5.6837588345932737</v>
          </cell>
          <cell r="L259">
            <v>33691</v>
          </cell>
          <cell r="M259">
            <v>0.39614864175256886</v>
          </cell>
          <cell r="N259">
            <v>930501</v>
          </cell>
          <cell r="O259">
            <v>10.941103181841056</v>
          </cell>
          <cell r="P259">
            <v>8504636</v>
          </cell>
          <cell r="Q259">
            <v>100.00000000000001</v>
          </cell>
        </row>
        <row r="260">
          <cell r="D260" t="str">
            <v xml:space="preserve">רכסים </v>
          </cell>
          <cell r="F260">
            <v>380169</v>
          </cell>
          <cell r="G260">
            <v>71.709975327644358</v>
          </cell>
          <cell r="H260">
            <v>1421</v>
          </cell>
          <cell r="I260">
            <v>0.26803835909972307</v>
          </cell>
          <cell r="J260">
            <v>69847</v>
          </cell>
          <cell r="K260">
            <v>13.175000188626573</v>
          </cell>
          <cell r="L260">
            <v>6972</v>
          </cell>
          <cell r="M260">
            <v>1.3151044613956859</v>
          </cell>
          <cell r="N260">
            <v>71739</v>
          </cell>
          <cell r="O260">
            <v>13.531881663233664</v>
          </cell>
          <cell r="P260">
            <v>530148</v>
          </cell>
          <cell r="Q260">
            <v>100</v>
          </cell>
        </row>
        <row r="261">
          <cell r="D261" t="str">
            <v xml:space="preserve">מי רמת גן </v>
          </cell>
          <cell r="F261">
            <v>7873689</v>
          </cell>
          <cell r="G261">
            <v>74.706560698204697</v>
          </cell>
          <cell r="H261">
            <v>711713</v>
          </cell>
          <cell r="I261">
            <v>6.7528232870515152</v>
          </cell>
          <cell r="J261">
            <v>337806</v>
          </cell>
          <cell r="K261">
            <v>3.2051462082408557</v>
          </cell>
          <cell r="L261">
            <v>48887</v>
          </cell>
          <cell r="M261">
            <v>0.4638460615923658</v>
          </cell>
          <cell r="N261">
            <v>1567393</v>
          </cell>
          <cell r="O261">
            <v>14.87162374491057</v>
          </cell>
          <cell r="P261">
            <v>10539488</v>
          </cell>
          <cell r="Q261">
            <v>100</v>
          </cell>
        </row>
        <row r="262">
          <cell r="D262" t="str">
            <v xml:space="preserve">שדרות </v>
          </cell>
          <cell r="F262">
            <v>952017</v>
          </cell>
          <cell r="G262">
            <v>57.181769912354888</v>
          </cell>
          <cell r="H262">
            <v>210656</v>
          </cell>
          <cell r="I262">
            <v>12.652802337203045</v>
          </cell>
          <cell r="J262">
            <v>343168</v>
          </cell>
          <cell r="K262">
            <v>20.611978165603137</v>
          </cell>
          <cell r="L262">
            <v>1446</v>
          </cell>
          <cell r="M262">
            <v>8.6852271853617283E-2</v>
          </cell>
          <cell r="N262">
            <v>157609</v>
          </cell>
          <cell r="O262">
            <v>9.466597312985316</v>
          </cell>
          <cell r="P262">
            <v>1664896</v>
          </cell>
          <cell r="Q262">
            <v>100</v>
          </cell>
        </row>
        <row r="263">
          <cell r="D263" t="str">
            <v xml:space="preserve">שהם </v>
          </cell>
          <cell r="F263">
            <v>1139875</v>
          </cell>
          <cell r="G263">
            <v>79.786414943254442</v>
          </cell>
          <cell r="H263">
            <v>171144</v>
          </cell>
          <cell r="I263">
            <v>11.979354051144501</v>
          </cell>
          <cell r="J263">
            <v>88540</v>
          </cell>
          <cell r="K263">
            <v>6.1974244360791735</v>
          </cell>
          <cell r="L263">
            <v>2142</v>
          </cell>
          <cell r="M263">
            <v>0.14993091418660029</v>
          </cell>
          <cell r="N263">
            <v>26957</v>
          </cell>
          <cell r="O263">
            <v>1.8868756553352868</v>
          </cell>
          <cell r="P263">
            <v>1428658</v>
          </cell>
          <cell r="Q263">
            <v>100</v>
          </cell>
        </row>
      </sheetData>
      <sheetData sheetId="5" refreshError="1"/>
      <sheetData sheetId="6" refreshError="1"/>
      <sheetData sheetId="7" refreshError="1"/>
      <sheetData sheetId="8" refreshError="1"/>
      <sheetData sheetId="9" refreshError="1"/>
      <sheetData sheetId="10" refreshError="1"/>
      <sheetData sheetId="11" refreshError="1">
        <row r="6">
          <cell r="D6">
            <v>0</v>
          </cell>
          <cell r="E6" t="str">
            <v>מספר</v>
          </cell>
          <cell r="F6">
            <v>0</v>
          </cell>
          <cell r="G6" t="str">
            <v>אוכלוסיה</v>
          </cell>
          <cell r="H6" t="str">
            <v>תקבולים</v>
          </cell>
          <cell r="I6" t="str">
            <v>תקבולים</v>
          </cell>
          <cell r="J6" t="str">
            <v>סה"כ</v>
          </cell>
          <cell r="K6" t="str">
            <v>צריכה</v>
          </cell>
          <cell r="L6" t="str">
            <v>צריכה</v>
          </cell>
          <cell r="M6" t="str">
            <v>צריכה</v>
          </cell>
          <cell r="N6" t="str">
            <v>צריכה</v>
          </cell>
          <cell r="O6" t="str">
            <v xml:space="preserve">סה"כ </v>
          </cell>
          <cell r="P6" t="str">
            <v>סה"כ</v>
          </cell>
          <cell r="Q6" t="str">
            <v>סה"כ</v>
          </cell>
          <cell r="R6" t="str">
            <v xml:space="preserve">צר' סגולית </v>
          </cell>
          <cell r="S6" t="str">
            <v>צר' סגולית</v>
          </cell>
        </row>
        <row r="7">
          <cell r="D7" t="str">
            <v>שם התאגיד</v>
          </cell>
          <cell r="E7" t="str">
            <v>צרכן</v>
          </cell>
          <cell r="F7" t="str">
            <v>שם הישוב</v>
          </cell>
          <cell r="G7">
            <v>2011</v>
          </cell>
          <cell r="H7" t="str">
            <v>הפקה</v>
          </cell>
          <cell r="I7" t="str">
            <v>קניה</v>
          </cell>
          <cell r="J7" t="str">
            <v>תקבולים</v>
          </cell>
          <cell r="K7" t="str">
            <v>במגורים</v>
          </cell>
          <cell r="L7" t="str">
            <v>עירונית</v>
          </cell>
          <cell r="M7" t="str">
            <v>תעשייתית</v>
          </cell>
          <cell r="N7" t="str">
            <v>חקלאית</v>
          </cell>
          <cell r="O7" t="str">
            <v>צריכה</v>
          </cell>
          <cell r="P7" t="str">
            <v>פחת</v>
          </cell>
          <cell r="Q7" t="str">
            <v>פחת</v>
          </cell>
          <cell r="R7" t="str">
            <v>מגורים</v>
          </cell>
          <cell r="S7" t="str">
            <v>עירונית</v>
          </cell>
        </row>
        <row r="8">
          <cell r="D8">
            <v>0</v>
          </cell>
          <cell r="E8">
            <v>0</v>
          </cell>
          <cell r="F8">
            <v>0</v>
          </cell>
          <cell r="G8" t="str">
            <v>נפש</v>
          </cell>
          <cell r="H8" t="str">
            <v>מ"ק</v>
          </cell>
          <cell r="I8" t="str">
            <v>מ"ק</v>
          </cell>
          <cell r="J8" t="str">
            <v>מ"ק</v>
          </cell>
          <cell r="K8" t="str">
            <v>מ"ק</v>
          </cell>
          <cell r="L8" t="str">
            <v>מ"ק</v>
          </cell>
          <cell r="M8" t="str">
            <v>מ"ק</v>
          </cell>
          <cell r="N8" t="str">
            <v>מ"ק</v>
          </cell>
          <cell r="O8" t="str">
            <v>מ"ק</v>
          </cell>
          <cell r="P8" t="str">
            <v>מ"ק</v>
          </cell>
          <cell r="Q8" t="str">
            <v>%</v>
          </cell>
          <cell r="R8" t="str">
            <v>מ"ק/נ/שנה</v>
          </cell>
          <cell r="S8" t="str">
            <v>מ"ק/נ/שנה</v>
          </cell>
        </row>
        <row r="9">
          <cell r="E9">
            <v>639</v>
          </cell>
          <cell r="F9" t="str">
            <v>אבו סנאן</v>
          </cell>
          <cell r="G9">
            <v>12856</v>
          </cell>
          <cell r="H9">
            <v>0</v>
          </cell>
          <cell r="I9">
            <v>824598</v>
          </cell>
          <cell r="J9">
            <v>824598</v>
          </cell>
          <cell r="K9">
            <v>616761</v>
          </cell>
          <cell r="L9">
            <v>667566</v>
          </cell>
          <cell r="M9">
            <v>0</v>
          </cell>
          <cell r="N9">
            <v>4422</v>
          </cell>
          <cell r="O9">
            <v>671988</v>
          </cell>
          <cell r="P9">
            <v>152610</v>
          </cell>
          <cell r="Q9">
            <v>18.507199871937598</v>
          </cell>
          <cell r="R9">
            <v>47.974564405724955</v>
          </cell>
          <cell r="S9">
            <v>51.926415681393898</v>
          </cell>
        </row>
        <row r="10">
          <cell r="D10">
            <v>0</v>
          </cell>
          <cell r="E10">
            <v>0</v>
          </cell>
          <cell r="F10" t="str">
            <v xml:space="preserve">ג'וליס </v>
          </cell>
          <cell r="G10">
            <v>5868</v>
          </cell>
          <cell r="H10">
            <v>0</v>
          </cell>
          <cell r="I10">
            <v>494605</v>
          </cell>
          <cell r="J10">
            <v>494605</v>
          </cell>
          <cell r="K10">
            <v>313330</v>
          </cell>
          <cell r="L10">
            <v>364715</v>
          </cell>
          <cell r="M10">
            <v>0</v>
          </cell>
          <cell r="N10">
            <v>99</v>
          </cell>
          <cell r="O10">
            <v>364814</v>
          </cell>
          <cell r="P10">
            <v>129791</v>
          </cell>
          <cell r="Q10">
            <v>26.241344102869967</v>
          </cell>
          <cell r="R10">
            <v>53.396387184730742</v>
          </cell>
          <cell r="S10">
            <v>62.15320381731425</v>
          </cell>
        </row>
        <row r="11">
          <cell r="D11">
            <v>0</v>
          </cell>
          <cell r="E11">
            <v>0</v>
          </cell>
          <cell r="F11" t="str">
            <v>כפר יאסיף</v>
          </cell>
          <cell r="G11">
            <v>8947</v>
          </cell>
          <cell r="H11">
            <v>0</v>
          </cell>
          <cell r="I11">
            <v>716242</v>
          </cell>
          <cell r="J11">
            <v>716242</v>
          </cell>
          <cell r="K11">
            <v>480811</v>
          </cell>
          <cell r="L11">
            <v>583121</v>
          </cell>
          <cell r="M11">
            <v>0</v>
          </cell>
          <cell r="N11">
            <v>5254</v>
          </cell>
          <cell r="O11">
            <v>588375</v>
          </cell>
          <cell r="P11">
            <v>127867</v>
          </cell>
          <cell r="Q11">
            <v>17.852485612404745</v>
          </cell>
          <cell r="R11">
            <v>53.739912819939647</v>
          </cell>
          <cell r="S11">
            <v>65.175030736559734</v>
          </cell>
        </row>
        <row r="12">
          <cell r="D12">
            <v>0</v>
          </cell>
          <cell r="E12">
            <v>0</v>
          </cell>
          <cell r="F12" t="str">
            <v>ירכא</v>
          </cell>
          <cell r="G12">
            <v>15343</v>
          </cell>
          <cell r="H12">
            <v>0</v>
          </cell>
          <cell r="I12">
            <v>1447897</v>
          </cell>
          <cell r="J12">
            <v>1447897</v>
          </cell>
          <cell r="K12">
            <v>851729</v>
          </cell>
          <cell r="L12">
            <v>1061589</v>
          </cell>
          <cell r="M12">
            <v>64314</v>
          </cell>
          <cell r="N12">
            <v>71980</v>
          </cell>
          <cell r="O12">
            <v>1197883</v>
          </cell>
          <cell r="P12">
            <v>250014</v>
          </cell>
          <cell r="Q12">
            <v>17.267388495176107</v>
          </cell>
          <cell r="R12">
            <v>55.512546438115102</v>
          </cell>
          <cell r="S12">
            <v>69.190445154141955</v>
          </cell>
        </row>
        <row r="13">
          <cell r="D13">
            <v>0</v>
          </cell>
          <cell r="E13">
            <v>0</v>
          </cell>
          <cell r="F13" t="str">
            <v>ג'דידה אלמכר</v>
          </cell>
          <cell r="G13">
            <v>18988</v>
          </cell>
          <cell r="H13">
            <v>0</v>
          </cell>
          <cell r="I13">
            <v>1376606</v>
          </cell>
          <cell r="J13">
            <v>1376606</v>
          </cell>
          <cell r="K13">
            <v>1065763</v>
          </cell>
          <cell r="L13">
            <v>1164423</v>
          </cell>
          <cell r="M13">
            <v>0</v>
          </cell>
          <cell r="N13">
            <v>2645</v>
          </cell>
          <cell r="O13">
            <v>1167068</v>
          </cell>
          <cell r="P13">
            <v>209538</v>
          </cell>
          <cell r="Q13">
            <v>15.221348737401987</v>
          </cell>
          <cell r="R13">
            <v>56.12823888771856</v>
          </cell>
          <cell r="S13">
            <v>61.324152096060672</v>
          </cell>
        </row>
        <row r="14">
          <cell r="D14">
            <v>0</v>
          </cell>
          <cell r="E14">
            <v>0</v>
          </cell>
          <cell r="F14" t="str">
            <v>מזרעה</v>
          </cell>
          <cell r="G14">
            <v>3484</v>
          </cell>
          <cell r="H14">
            <v>0</v>
          </cell>
          <cell r="I14">
            <v>256113</v>
          </cell>
          <cell r="J14">
            <v>256113</v>
          </cell>
          <cell r="K14">
            <v>163711</v>
          </cell>
          <cell r="L14">
            <v>173383</v>
          </cell>
          <cell r="M14">
            <v>0</v>
          </cell>
          <cell r="N14">
            <v>19213</v>
          </cell>
          <cell r="O14">
            <v>192596</v>
          </cell>
          <cell r="P14">
            <v>63517</v>
          </cell>
          <cell r="Q14">
            <v>24.800381081788117</v>
          </cell>
          <cell r="R14">
            <v>46.989380022962109</v>
          </cell>
          <cell r="S14">
            <v>49.765499425947191</v>
          </cell>
        </row>
        <row r="15">
          <cell r="D15">
            <v>0</v>
          </cell>
          <cell r="E15">
            <v>0</v>
          </cell>
          <cell r="F15" t="str">
            <v>יאנוח ג'ת</v>
          </cell>
          <cell r="G15">
            <v>5878</v>
          </cell>
          <cell r="H15">
            <v>0</v>
          </cell>
          <cell r="I15">
            <v>463258</v>
          </cell>
          <cell r="J15">
            <v>463258</v>
          </cell>
          <cell r="K15">
            <v>363242</v>
          </cell>
          <cell r="L15">
            <v>394979</v>
          </cell>
          <cell r="M15">
            <v>0</v>
          </cell>
          <cell r="N15">
            <v>3800</v>
          </cell>
          <cell r="O15">
            <v>398779</v>
          </cell>
          <cell r="P15">
            <v>64479</v>
          </cell>
          <cell r="Q15">
            <v>13.918593958442163</v>
          </cell>
          <cell r="R15">
            <v>61.796869683565838</v>
          </cell>
          <cell r="S15">
            <v>67.196155154814562</v>
          </cell>
        </row>
        <row r="16">
          <cell r="D16" t="str">
            <v>אל עין בע"מ</v>
          </cell>
          <cell r="E16">
            <v>0</v>
          </cell>
          <cell r="F16" t="str">
            <v xml:space="preserve">סה"כ תאגיד </v>
          </cell>
          <cell r="G16">
            <v>71364</v>
          </cell>
          <cell r="H16">
            <v>0</v>
          </cell>
          <cell r="I16">
            <v>5579319</v>
          </cell>
          <cell r="J16">
            <v>5579319</v>
          </cell>
          <cell r="K16">
            <v>3855347</v>
          </cell>
          <cell r="L16">
            <v>4409776</v>
          </cell>
          <cell r="M16">
            <v>64314</v>
          </cell>
          <cell r="N16">
            <v>107413</v>
          </cell>
          <cell r="O16">
            <v>4581503</v>
          </cell>
          <cell r="P16">
            <v>997816</v>
          </cell>
          <cell r="Q16">
            <v>17.884189808827923</v>
          </cell>
          <cell r="R16">
            <v>54.023695420660275</v>
          </cell>
          <cell r="S16">
            <v>61.792724623059243</v>
          </cell>
        </row>
        <row r="17">
          <cell r="E17">
            <v>8625</v>
          </cell>
          <cell r="F17" t="str">
            <v xml:space="preserve">ירושלים </v>
          </cell>
          <cell r="G17">
            <v>804355</v>
          </cell>
          <cell r="H17">
            <v>0</v>
          </cell>
          <cell r="I17">
            <v>58792586</v>
          </cell>
          <cell r="J17">
            <v>58792586</v>
          </cell>
          <cell r="K17">
            <v>30179993</v>
          </cell>
          <cell r="L17">
            <v>47891462</v>
          </cell>
          <cell r="M17">
            <v>2874759</v>
          </cell>
          <cell r="N17">
            <v>381590</v>
          </cell>
          <cell r="O17">
            <v>51147811</v>
          </cell>
          <cell r="P17">
            <v>7644775</v>
          </cell>
          <cell r="Q17">
            <v>13.002957549783572</v>
          </cell>
          <cell r="R17">
            <v>37.52073773396075</v>
          </cell>
          <cell r="S17">
            <v>59.540205506275214</v>
          </cell>
        </row>
        <row r="18">
          <cell r="D18">
            <v>0</v>
          </cell>
          <cell r="E18">
            <v>0</v>
          </cell>
          <cell r="F18" t="str">
            <v xml:space="preserve">אבו גוש </v>
          </cell>
          <cell r="G18">
            <v>6270</v>
          </cell>
          <cell r="H18">
            <v>0</v>
          </cell>
          <cell r="I18">
            <v>413239</v>
          </cell>
          <cell r="J18">
            <v>413239</v>
          </cell>
          <cell r="K18">
            <v>251399</v>
          </cell>
          <cell r="L18">
            <v>285494</v>
          </cell>
          <cell r="M18">
            <v>0</v>
          </cell>
          <cell r="N18">
            <v>660</v>
          </cell>
          <cell r="O18">
            <v>286154</v>
          </cell>
          <cell r="P18">
            <v>127085</v>
          </cell>
          <cell r="Q18">
            <v>30.753389684903894</v>
          </cell>
          <cell r="R18">
            <v>40.095534290271132</v>
          </cell>
          <cell r="S18">
            <v>45.533333333333331</v>
          </cell>
        </row>
        <row r="19">
          <cell r="D19">
            <v>0</v>
          </cell>
          <cell r="E19">
            <v>0</v>
          </cell>
          <cell r="F19" t="str">
            <v xml:space="preserve">מבשרת ציון </v>
          </cell>
          <cell r="G19">
            <v>25305</v>
          </cell>
          <cell r="H19">
            <v>0</v>
          </cell>
          <cell r="I19">
            <v>1778190</v>
          </cell>
          <cell r="J19">
            <v>1778190</v>
          </cell>
          <cell r="K19">
            <v>1400194</v>
          </cell>
          <cell r="L19">
            <v>1538910</v>
          </cell>
          <cell r="M19">
            <v>1406</v>
          </cell>
          <cell r="N19">
            <v>0</v>
          </cell>
          <cell r="O19">
            <v>1540316</v>
          </cell>
          <cell r="P19">
            <v>237874</v>
          </cell>
          <cell r="Q19">
            <v>13.377310636096254</v>
          </cell>
          <cell r="R19">
            <v>55.332701047223871</v>
          </cell>
          <cell r="S19">
            <v>60.814463544753998</v>
          </cell>
        </row>
        <row r="20">
          <cell r="D20" t="str">
            <v>חברת הגיחון בע"מ תאגיד המים והביוב של ירושלים</v>
          </cell>
          <cell r="E20">
            <v>0</v>
          </cell>
          <cell r="F20" t="str">
            <v xml:space="preserve">סה"כ תאגיד </v>
          </cell>
          <cell r="G20">
            <v>835930</v>
          </cell>
          <cell r="H20">
            <v>0</v>
          </cell>
          <cell r="I20">
            <v>60984015</v>
          </cell>
          <cell r="J20">
            <v>60984015</v>
          </cell>
          <cell r="K20">
            <v>31831586</v>
          </cell>
          <cell r="L20">
            <v>49715866</v>
          </cell>
          <cell r="M20">
            <v>2876165</v>
          </cell>
          <cell r="N20">
            <v>382250</v>
          </cell>
          <cell r="O20">
            <v>52974281</v>
          </cell>
          <cell r="P20">
            <v>8009734</v>
          </cell>
          <cell r="Q20">
            <v>13.134153269508412</v>
          </cell>
          <cell r="R20">
            <v>38.079248262414318</v>
          </cell>
          <cell r="S20">
            <v>59.473719091311473</v>
          </cell>
        </row>
        <row r="21">
          <cell r="E21">
            <v>765</v>
          </cell>
          <cell r="F21" t="str">
            <v>אכסאל</v>
          </cell>
          <cell r="G21">
            <v>12709</v>
          </cell>
          <cell r="H21">
            <v>0</v>
          </cell>
          <cell r="I21">
            <v>853692</v>
          </cell>
          <cell r="J21">
            <v>853692</v>
          </cell>
          <cell r="K21">
            <v>658638</v>
          </cell>
          <cell r="L21">
            <v>805520</v>
          </cell>
          <cell r="M21">
            <v>0</v>
          </cell>
          <cell r="N21">
            <v>10521</v>
          </cell>
          <cell r="O21">
            <v>816041</v>
          </cell>
          <cell r="P21">
            <v>37651</v>
          </cell>
          <cell r="Q21">
            <v>4.4103728276708694</v>
          </cell>
          <cell r="R21">
            <v>51.824533794948465</v>
          </cell>
          <cell r="S21">
            <v>63.381855378078527</v>
          </cell>
        </row>
        <row r="22">
          <cell r="D22">
            <v>0</v>
          </cell>
          <cell r="E22">
            <v>0</v>
          </cell>
          <cell r="F22" t="str">
            <v>ריינה</v>
          </cell>
          <cell r="G22">
            <v>17532</v>
          </cell>
          <cell r="H22">
            <v>0</v>
          </cell>
          <cell r="I22">
            <v>1372295</v>
          </cell>
          <cell r="J22">
            <v>1372295</v>
          </cell>
          <cell r="K22">
            <v>885382</v>
          </cell>
          <cell r="L22">
            <v>1022932</v>
          </cell>
          <cell r="M22">
            <v>43467</v>
          </cell>
          <cell r="N22">
            <v>0</v>
          </cell>
          <cell r="O22">
            <v>1066399</v>
          </cell>
          <cell r="P22">
            <v>305896</v>
          </cell>
          <cell r="Q22">
            <v>22.290833967915059</v>
          </cell>
          <cell r="R22">
            <v>50.500912616929043</v>
          </cell>
          <cell r="S22">
            <v>58.346566278804474</v>
          </cell>
        </row>
        <row r="23">
          <cell r="D23">
            <v>0</v>
          </cell>
          <cell r="E23">
            <v>0</v>
          </cell>
          <cell r="F23" t="str">
            <v>עילוט</v>
          </cell>
          <cell r="G23">
            <v>7106</v>
          </cell>
          <cell r="H23">
            <v>0</v>
          </cell>
          <cell r="I23">
            <v>548340</v>
          </cell>
          <cell r="J23">
            <v>548340</v>
          </cell>
          <cell r="K23">
            <v>356529</v>
          </cell>
          <cell r="L23">
            <v>433492</v>
          </cell>
          <cell r="M23">
            <v>0</v>
          </cell>
          <cell r="N23">
            <v>0</v>
          </cell>
          <cell r="O23">
            <v>433492</v>
          </cell>
          <cell r="P23">
            <v>114848</v>
          </cell>
          <cell r="Q23">
            <v>20.944669365721996</v>
          </cell>
          <cell r="R23">
            <v>50.17295243456234</v>
          </cell>
          <cell r="S23">
            <v>61.003658879819874</v>
          </cell>
        </row>
        <row r="24">
          <cell r="D24">
            <v>0</v>
          </cell>
          <cell r="E24">
            <v>0</v>
          </cell>
          <cell r="F24" t="str">
            <v>יפיע</v>
          </cell>
          <cell r="G24">
            <v>17206</v>
          </cell>
          <cell r="H24">
            <v>0</v>
          </cell>
          <cell r="I24">
            <v>943744</v>
          </cell>
          <cell r="J24">
            <v>943744</v>
          </cell>
          <cell r="K24">
            <v>733369</v>
          </cell>
          <cell r="L24">
            <v>833783</v>
          </cell>
          <cell r="M24">
            <v>0</v>
          </cell>
          <cell r="N24">
            <v>0</v>
          </cell>
          <cell r="O24">
            <v>833783</v>
          </cell>
          <cell r="P24">
            <v>109961</v>
          </cell>
          <cell r="Q24">
            <v>11.651570764953208</v>
          </cell>
          <cell r="R24">
            <v>42.622864117168433</v>
          </cell>
          <cell r="S24">
            <v>48.458851563408111</v>
          </cell>
        </row>
        <row r="25">
          <cell r="D25">
            <v>0</v>
          </cell>
          <cell r="E25">
            <v>0</v>
          </cell>
          <cell r="F25" t="str">
            <v>נצרת</v>
          </cell>
          <cell r="G25">
            <v>73658</v>
          </cell>
          <cell r="H25">
            <v>0</v>
          </cell>
          <cell r="I25">
            <v>5297189</v>
          </cell>
          <cell r="J25">
            <v>5297189</v>
          </cell>
          <cell r="K25">
            <v>2851268</v>
          </cell>
          <cell r="L25">
            <v>3638093</v>
          </cell>
          <cell r="M25">
            <v>133041</v>
          </cell>
          <cell r="N25">
            <v>14255</v>
          </cell>
          <cell r="O25">
            <v>3785389</v>
          </cell>
          <cell r="P25">
            <v>1511800</v>
          </cell>
          <cell r="Q25">
            <v>28.539665094071591</v>
          </cell>
          <cell r="R25">
            <v>38.709549539764858</v>
          </cell>
          <cell r="S25">
            <v>49.391688614950176</v>
          </cell>
        </row>
        <row r="26">
          <cell r="D26" t="str">
            <v>הרי נצרת מפעלי מים וביוב בע"מ</v>
          </cell>
          <cell r="E26">
            <v>0</v>
          </cell>
          <cell r="F26" t="str">
            <v xml:space="preserve">סה"כ תאגיד </v>
          </cell>
          <cell r="G26">
            <v>128211</v>
          </cell>
          <cell r="H26">
            <v>0</v>
          </cell>
          <cell r="I26">
            <v>9015260</v>
          </cell>
          <cell r="J26">
            <v>9015260</v>
          </cell>
          <cell r="K26">
            <v>5485186</v>
          </cell>
          <cell r="L26">
            <v>6733820</v>
          </cell>
          <cell r="M26">
            <v>176508</v>
          </cell>
          <cell r="N26">
            <v>24776</v>
          </cell>
          <cell r="O26">
            <v>6935104</v>
          </cell>
          <cell r="P26">
            <v>2080156</v>
          </cell>
          <cell r="Q26">
            <v>23.073721667483799</v>
          </cell>
          <cell r="R26">
            <v>42.782491361895623</v>
          </cell>
          <cell r="S26">
            <v>52.521390520314171</v>
          </cell>
        </row>
        <row r="27">
          <cell r="D27">
            <v>0</v>
          </cell>
          <cell r="E27">
            <v>718</v>
          </cell>
          <cell r="F27" t="str">
            <v xml:space="preserve">מטולה </v>
          </cell>
          <cell r="G27">
            <v>1568</v>
          </cell>
          <cell r="H27">
            <v>0</v>
          </cell>
          <cell r="I27">
            <v>224311</v>
          </cell>
          <cell r="J27">
            <v>224311</v>
          </cell>
          <cell r="K27">
            <v>119876</v>
          </cell>
          <cell r="L27">
            <v>189867</v>
          </cell>
          <cell r="M27">
            <v>16493</v>
          </cell>
          <cell r="N27">
            <v>0</v>
          </cell>
          <cell r="O27">
            <v>206360</v>
          </cell>
          <cell r="P27">
            <v>17951</v>
          </cell>
          <cell r="Q27">
            <v>8.0027283548287862</v>
          </cell>
          <cell r="R27">
            <v>76.451530612244895</v>
          </cell>
          <cell r="S27">
            <v>121.08864795918367</v>
          </cell>
        </row>
        <row r="28">
          <cell r="D28">
            <v>0</v>
          </cell>
          <cell r="E28">
            <v>0</v>
          </cell>
          <cell r="F28" t="str">
            <v>קרית שמונה</v>
          </cell>
          <cell r="G28">
            <v>22992</v>
          </cell>
          <cell r="H28">
            <v>0</v>
          </cell>
          <cell r="I28">
            <v>1927352</v>
          </cell>
          <cell r="J28">
            <v>1927352</v>
          </cell>
          <cell r="K28">
            <v>1189309</v>
          </cell>
          <cell r="L28">
            <v>1667302</v>
          </cell>
          <cell r="M28">
            <v>17600</v>
          </cell>
          <cell r="N28">
            <v>6505</v>
          </cell>
          <cell r="O28">
            <v>1691407</v>
          </cell>
          <cell r="P28">
            <v>235945</v>
          </cell>
          <cell r="Q28">
            <v>12.241925709470818</v>
          </cell>
          <cell r="R28">
            <v>51.727078983994431</v>
          </cell>
          <cell r="S28">
            <v>72.516614474599862</v>
          </cell>
        </row>
        <row r="29">
          <cell r="D29">
            <v>0</v>
          </cell>
          <cell r="E29">
            <v>0</v>
          </cell>
          <cell r="F29" t="str">
            <v>קצרין</v>
          </cell>
          <cell r="G29">
            <v>6619</v>
          </cell>
          <cell r="H29">
            <v>0</v>
          </cell>
          <cell r="I29">
            <v>770532</v>
          </cell>
          <cell r="J29">
            <v>770532</v>
          </cell>
          <cell r="K29">
            <v>332975</v>
          </cell>
          <cell r="L29">
            <v>564344</v>
          </cell>
          <cell r="M29">
            <v>106198</v>
          </cell>
          <cell r="N29">
            <v>535</v>
          </cell>
          <cell r="O29">
            <v>671077</v>
          </cell>
          <cell r="P29">
            <v>99455</v>
          </cell>
          <cell r="Q29">
            <v>12.90731598428099</v>
          </cell>
          <cell r="R29">
            <v>50.305937452787433</v>
          </cell>
          <cell r="S29">
            <v>85.26121770660221</v>
          </cell>
        </row>
        <row r="30">
          <cell r="D30" t="str">
            <v xml:space="preserve">מגדל שמס </v>
          </cell>
          <cell r="E30">
            <v>9293</v>
          </cell>
          <cell r="F30" t="str">
            <v>מג'דל שמס</v>
          </cell>
          <cell r="G30">
            <v>9927</v>
          </cell>
          <cell r="H30">
            <v>0</v>
          </cell>
          <cell r="I30">
            <v>868590</v>
          </cell>
          <cell r="J30">
            <v>868590</v>
          </cell>
          <cell r="K30">
            <v>406791</v>
          </cell>
          <cell r="L30">
            <v>524509</v>
          </cell>
          <cell r="M30">
            <v>0</v>
          </cell>
          <cell r="N30">
            <v>0</v>
          </cell>
          <cell r="O30">
            <v>524509</v>
          </cell>
          <cell r="P30">
            <v>344081</v>
          </cell>
          <cell r="Q30">
            <v>39.613741811441535</v>
          </cell>
          <cell r="R30">
            <v>40.978241160471441</v>
          </cell>
          <cell r="S30">
            <v>52.836607232799437</v>
          </cell>
        </row>
        <row r="31">
          <cell r="D31" t="str">
            <v>מסעדה</v>
          </cell>
          <cell r="E31">
            <v>9297</v>
          </cell>
          <cell r="F31" t="str">
            <v>מסעדה</v>
          </cell>
          <cell r="G31">
            <v>3253</v>
          </cell>
          <cell r="H31">
            <v>0</v>
          </cell>
          <cell r="I31">
            <v>242314</v>
          </cell>
          <cell r="J31">
            <v>242314</v>
          </cell>
          <cell r="K31">
            <v>141126</v>
          </cell>
          <cell r="L31">
            <v>223180</v>
          </cell>
          <cell r="M31">
            <v>0</v>
          </cell>
          <cell r="N31">
            <v>0</v>
          </cell>
          <cell r="O31">
            <v>223180</v>
          </cell>
          <cell r="P31">
            <v>19134</v>
          </cell>
          <cell r="Q31">
            <v>7.8963658723804651</v>
          </cell>
          <cell r="R31">
            <v>43.383338456809099</v>
          </cell>
          <cell r="S31">
            <v>68.607439286812166</v>
          </cell>
        </row>
        <row r="32">
          <cell r="D32" t="str">
            <v>התנור מים וביוב בע"מ</v>
          </cell>
          <cell r="E32">
            <v>0</v>
          </cell>
          <cell r="F32" t="str">
            <v xml:space="preserve">סה"כ תאגיד </v>
          </cell>
          <cell r="G32">
            <v>44359</v>
          </cell>
          <cell r="H32">
            <v>0</v>
          </cell>
          <cell r="I32">
            <v>4033099</v>
          </cell>
          <cell r="J32">
            <v>4033099</v>
          </cell>
          <cell r="K32">
            <v>2190077</v>
          </cell>
          <cell r="L32">
            <v>3169202</v>
          </cell>
          <cell r="M32">
            <v>140291</v>
          </cell>
          <cell r="N32">
            <v>7040</v>
          </cell>
          <cell r="O32">
            <v>3316533</v>
          </cell>
          <cell r="P32">
            <v>716566</v>
          </cell>
          <cell r="Q32">
            <v>80.662077732402594</v>
          </cell>
          <cell r="R32">
            <v>262.84612666630727</v>
          </cell>
          <cell r="S32">
            <v>400.31052665999738</v>
          </cell>
        </row>
        <row r="33">
          <cell r="E33">
            <v>6562</v>
          </cell>
          <cell r="F33" t="str">
            <v>אשדוד</v>
          </cell>
          <cell r="G33">
            <v>212278</v>
          </cell>
          <cell r="H33">
            <v>391670</v>
          </cell>
          <cell r="I33">
            <v>16311488</v>
          </cell>
          <cell r="J33">
            <v>16703158</v>
          </cell>
          <cell r="K33">
            <v>10043599</v>
          </cell>
          <cell r="L33">
            <v>14219101</v>
          </cell>
          <cell r="M33">
            <v>1588087</v>
          </cell>
          <cell r="N33">
            <v>0</v>
          </cell>
          <cell r="O33">
            <v>15807188</v>
          </cell>
          <cell r="P33">
            <v>895970</v>
          </cell>
          <cell r="Q33">
            <v>5.3640754640529655</v>
          </cell>
          <cell r="R33">
            <v>47.313423906386909</v>
          </cell>
          <cell r="S33">
            <v>66.983394416755388</v>
          </cell>
        </row>
        <row r="34">
          <cell r="D34" t="str">
            <v>יובלים אשדוד בע"מ</v>
          </cell>
          <cell r="E34">
            <v>0</v>
          </cell>
          <cell r="F34" t="str">
            <v xml:space="preserve">סה"כ תאגיד </v>
          </cell>
          <cell r="G34">
            <v>212278</v>
          </cell>
          <cell r="H34">
            <v>391670</v>
          </cell>
          <cell r="I34">
            <v>16311488</v>
          </cell>
          <cell r="J34">
            <v>16703158</v>
          </cell>
          <cell r="K34">
            <v>10043599</v>
          </cell>
          <cell r="L34">
            <v>14219101</v>
          </cell>
          <cell r="M34">
            <v>1588087</v>
          </cell>
          <cell r="N34">
            <v>0</v>
          </cell>
          <cell r="O34">
            <v>15807188</v>
          </cell>
          <cell r="P34">
            <v>895970</v>
          </cell>
          <cell r="Q34">
            <v>5.3640754640529655</v>
          </cell>
          <cell r="R34">
            <v>47.313423906386909</v>
          </cell>
          <cell r="S34">
            <v>66.983394416755388</v>
          </cell>
        </row>
        <row r="35">
          <cell r="D35">
            <v>0</v>
          </cell>
          <cell r="E35">
            <v>9503</v>
          </cell>
          <cell r="F35" t="str">
            <v>אריאל</v>
          </cell>
          <cell r="G35">
            <v>17849</v>
          </cell>
          <cell r="H35">
            <v>0</v>
          </cell>
          <cell r="I35">
            <v>1258332</v>
          </cell>
          <cell r="J35">
            <v>1258332</v>
          </cell>
          <cell r="K35">
            <v>773685</v>
          </cell>
          <cell r="L35">
            <v>1170857</v>
          </cell>
          <cell r="M35">
            <v>29492</v>
          </cell>
          <cell r="N35">
            <v>0</v>
          </cell>
          <cell r="O35">
            <v>1200349</v>
          </cell>
          <cell r="P35">
            <v>57983</v>
          </cell>
          <cell r="Q35">
            <v>4.6079254123712978</v>
          </cell>
          <cell r="R35">
            <v>43.346125833380022</v>
          </cell>
          <cell r="S35">
            <v>65.597904644517897</v>
          </cell>
        </row>
        <row r="36">
          <cell r="D36">
            <v>0</v>
          </cell>
          <cell r="E36">
            <v>0</v>
          </cell>
          <cell r="F36" t="str">
            <v>קרני שומרון</v>
          </cell>
          <cell r="G36">
            <v>6449</v>
          </cell>
          <cell r="H36">
            <v>0</v>
          </cell>
          <cell r="I36">
            <v>520104</v>
          </cell>
          <cell r="J36">
            <v>520104</v>
          </cell>
          <cell r="K36">
            <v>305137</v>
          </cell>
          <cell r="L36">
            <v>480833</v>
          </cell>
          <cell r="M36">
            <v>0</v>
          </cell>
          <cell r="N36">
            <v>0</v>
          </cell>
          <cell r="O36">
            <v>480833</v>
          </cell>
          <cell r="P36">
            <v>39271</v>
          </cell>
          <cell r="Q36">
            <v>7.5506052635626721</v>
          </cell>
          <cell r="R36">
            <v>47.315397736083114</v>
          </cell>
          <cell r="S36">
            <v>74.559311521166066</v>
          </cell>
        </row>
        <row r="37">
          <cell r="D37" t="str">
            <v>יובלים בשומרון בע"מ</v>
          </cell>
          <cell r="E37">
            <v>0</v>
          </cell>
          <cell r="F37" t="str">
            <v xml:space="preserve">סה"כ תאגיד </v>
          </cell>
          <cell r="G37">
            <v>24298</v>
          </cell>
          <cell r="H37">
            <v>0</v>
          </cell>
          <cell r="I37">
            <v>1778436</v>
          </cell>
          <cell r="J37">
            <v>1778436</v>
          </cell>
          <cell r="K37">
            <v>1078822</v>
          </cell>
          <cell r="L37">
            <v>1651690</v>
          </cell>
          <cell r="M37">
            <v>29492</v>
          </cell>
          <cell r="N37">
            <v>0</v>
          </cell>
          <cell r="O37">
            <v>1681182</v>
          </cell>
          <cell r="P37">
            <v>97254</v>
          </cell>
          <cell r="Q37">
            <v>5.4685127831420415</v>
          </cell>
          <cell r="R37">
            <v>44.399621368013825</v>
          </cell>
          <cell r="S37">
            <v>67.976376656514944</v>
          </cell>
        </row>
        <row r="38">
          <cell r="D38">
            <v>0</v>
          </cell>
          <cell r="E38">
            <v>3143</v>
          </cell>
          <cell r="F38" t="str">
            <v>קריית ים</v>
          </cell>
          <cell r="G38">
            <v>38211</v>
          </cell>
          <cell r="H38">
            <v>0</v>
          </cell>
          <cell r="I38">
            <v>2739936</v>
          </cell>
          <cell r="J38">
            <v>2739936</v>
          </cell>
          <cell r="K38">
            <v>1905099</v>
          </cell>
          <cell r="L38">
            <v>2392891</v>
          </cell>
          <cell r="M38">
            <v>8880</v>
          </cell>
          <cell r="N38">
            <v>0</v>
          </cell>
          <cell r="O38">
            <v>2401771</v>
          </cell>
          <cell r="P38">
            <v>338165</v>
          </cell>
          <cell r="Q38">
            <v>12.342076603249128</v>
          </cell>
          <cell r="R38">
            <v>49.8573447436602</v>
          </cell>
          <cell r="S38">
            <v>62.623092826672945</v>
          </cell>
        </row>
        <row r="39">
          <cell r="D39" t="str">
            <v>ימים</v>
          </cell>
          <cell r="E39">
            <v>0</v>
          </cell>
          <cell r="F39" t="str">
            <v xml:space="preserve">סה"כ תאגיד </v>
          </cell>
          <cell r="G39">
            <v>38211</v>
          </cell>
          <cell r="H39">
            <v>0</v>
          </cell>
          <cell r="I39">
            <v>2739936</v>
          </cell>
          <cell r="J39">
            <v>2739936</v>
          </cell>
          <cell r="K39">
            <v>1905099</v>
          </cell>
          <cell r="L39">
            <v>2392891</v>
          </cell>
          <cell r="M39">
            <v>8880</v>
          </cell>
          <cell r="N39">
            <v>0</v>
          </cell>
          <cell r="O39">
            <v>2401771</v>
          </cell>
          <cell r="P39">
            <v>338165</v>
          </cell>
          <cell r="Q39">
            <v>12.342076603249128</v>
          </cell>
          <cell r="R39">
            <v>49.8573447436602</v>
          </cell>
          <cell r="S39">
            <v>62.623092826672945</v>
          </cell>
        </row>
        <row r="40">
          <cell r="E40">
            <v>504</v>
          </cell>
          <cell r="F40" t="str">
            <v>דבורייה</v>
          </cell>
          <cell r="G40">
            <v>9335</v>
          </cell>
          <cell r="H40">
            <v>0</v>
          </cell>
          <cell r="I40">
            <v>615736</v>
          </cell>
          <cell r="J40">
            <v>615736</v>
          </cell>
          <cell r="K40">
            <v>463240</v>
          </cell>
          <cell r="L40">
            <v>518021</v>
          </cell>
          <cell r="M40">
            <v>0</v>
          </cell>
          <cell r="N40">
            <v>4106</v>
          </cell>
          <cell r="O40">
            <v>522127</v>
          </cell>
          <cell r="P40">
            <v>93609</v>
          </cell>
          <cell r="Q40">
            <v>15.202781711642652</v>
          </cell>
          <cell r="R40">
            <v>49.623995715050881</v>
          </cell>
          <cell r="S40">
            <v>55.49234065345474</v>
          </cell>
        </row>
        <row r="41">
          <cell r="D41">
            <v>0</v>
          </cell>
          <cell r="E41">
            <v>0</v>
          </cell>
          <cell r="F41" t="str">
            <v>טורעאן</v>
          </cell>
          <cell r="G41">
            <v>12406</v>
          </cell>
          <cell r="H41">
            <v>0</v>
          </cell>
          <cell r="I41">
            <v>849082</v>
          </cell>
          <cell r="J41">
            <v>849082</v>
          </cell>
          <cell r="K41">
            <v>521505</v>
          </cell>
          <cell r="L41">
            <v>662138</v>
          </cell>
          <cell r="M41">
            <v>0</v>
          </cell>
          <cell r="N41">
            <v>30629</v>
          </cell>
          <cell r="O41">
            <v>692767</v>
          </cell>
          <cell r="P41">
            <v>156315</v>
          </cell>
          <cell r="Q41">
            <v>18.40988267328715</v>
          </cell>
          <cell r="R41">
            <v>42.036514589714656</v>
          </cell>
          <cell r="S41">
            <v>53.372400451394483</v>
          </cell>
        </row>
        <row r="42">
          <cell r="D42">
            <v>0</v>
          </cell>
          <cell r="E42">
            <v>0</v>
          </cell>
          <cell r="F42" t="str">
            <v>שיבלי</v>
          </cell>
          <cell r="G42">
            <v>5255</v>
          </cell>
          <cell r="H42">
            <v>0</v>
          </cell>
          <cell r="I42">
            <v>378606</v>
          </cell>
          <cell r="J42">
            <v>378606</v>
          </cell>
          <cell r="K42">
            <v>230734</v>
          </cell>
          <cell r="L42">
            <v>256240</v>
          </cell>
          <cell r="M42">
            <v>0</v>
          </cell>
          <cell r="N42">
            <v>8034</v>
          </cell>
          <cell r="O42">
            <v>264274</v>
          </cell>
          <cell r="P42">
            <v>114332</v>
          </cell>
          <cell r="Q42">
            <v>30.198147942716176</v>
          </cell>
          <cell r="R42">
            <v>43.907516650808752</v>
          </cell>
          <cell r="S42">
            <v>48.761179828734541</v>
          </cell>
        </row>
        <row r="43">
          <cell r="D43">
            <v>0</v>
          </cell>
          <cell r="E43">
            <v>0</v>
          </cell>
          <cell r="F43" t="str">
            <v>בועיינה-נוג'ידאת</v>
          </cell>
          <cell r="G43">
            <v>8338</v>
          </cell>
          <cell r="H43">
            <v>0</v>
          </cell>
          <cell r="I43">
            <v>359533</v>
          </cell>
          <cell r="J43">
            <v>359533</v>
          </cell>
          <cell r="K43">
            <v>237211</v>
          </cell>
          <cell r="L43">
            <v>276746</v>
          </cell>
          <cell r="M43">
            <v>28588</v>
          </cell>
          <cell r="N43">
            <v>1652</v>
          </cell>
          <cell r="O43">
            <v>306986</v>
          </cell>
          <cell r="P43">
            <v>52547</v>
          </cell>
          <cell r="Q43">
            <v>14.615348243415765</v>
          </cell>
          <cell r="R43">
            <v>28.449388342528184</v>
          </cell>
          <cell r="S43">
            <v>33.190933077476615</v>
          </cell>
        </row>
        <row r="44">
          <cell r="D44">
            <v>0</v>
          </cell>
          <cell r="E44">
            <v>0</v>
          </cell>
          <cell r="F44" t="str">
            <v>כפר כנא</v>
          </cell>
          <cell r="G44">
            <v>19703</v>
          </cell>
          <cell r="H44">
            <v>0</v>
          </cell>
          <cell r="I44">
            <v>1366202</v>
          </cell>
          <cell r="J44">
            <v>1366202</v>
          </cell>
          <cell r="K44">
            <v>766866</v>
          </cell>
          <cell r="L44">
            <v>961871</v>
          </cell>
          <cell r="M44">
            <v>7158</v>
          </cell>
          <cell r="N44">
            <v>21678</v>
          </cell>
          <cell r="O44">
            <v>990707</v>
          </cell>
          <cell r="P44">
            <v>375495</v>
          </cell>
          <cell r="Q44">
            <v>27.484588662584304</v>
          </cell>
          <cell r="R44">
            <v>38.921281023194439</v>
          </cell>
          <cell r="S44">
            <v>48.818504796223927</v>
          </cell>
        </row>
        <row r="45">
          <cell r="D45">
            <v>0</v>
          </cell>
          <cell r="E45">
            <v>0</v>
          </cell>
          <cell r="F45" t="str">
            <v>משהד</v>
          </cell>
          <cell r="G45">
            <v>7276</v>
          </cell>
          <cell r="H45">
            <v>0</v>
          </cell>
          <cell r="I45">
            <v>401687</v>
          </cell>
          <cell r="J45">
            <v>401687</v>
          </cell>
          <cell r="K45">
            <v>288455</v>
          </cell>
          <cell r="L45">
            <v>314625</v>
          </cell>
          <cell r="M45">
            <v>0</v>
          </cell>
          <cell r="N45">
            <v>11507</v>
          </cell>
          <cell r="O45">
            <v>326132</v>
          </cell>
          <cell r="P45">
            <v>75555</v>
          </cell>
          <cell r="Q45">
            <v>18.809421265811441</v>
          </cell>
          <cell r="R45">
            <v>39.644722374931284</v>
          </cell>
          <cell r="S45">
            <v>43.241478834524465</v>
          </cell>
        </row>
        <row r="46">
          <cell r="D46">
            <v>0</v>
          </cell>
          <cell r="E46">
            <v>0</v>
          </cell>
          <cell r="F46" t="str">
            <v>עין מאהל</v>
          </cell>
          <cell r="G46">
            <v>11673</v>
          </cell>
          <cell r="H46">
            <v>0</v>
          </cell>
          <cell r="I46">
            <v>684448</v>
          </cell>
          <cell r="J46">
            <v>684448</v>
          </cell>
          <cell r="K46">
            <v>458395</v>
          </cell>
          <cell r="L46">
            <v>514450</v>
          </cell>
          <cell r="M46">
            <v>0</v>
          </cell>
          <cell r="N46">
            <v>190</v>
          </cell>
          <cell r="O46">
            <v>514640</v>
          </cell>
          <cell r="P46">
            <v>169808</v>
          </cell>
          <cell r="Q46">
            <v>24.809481509186966</v>
          </cell>
          <cell r="R46">
            <v>39.269682172534907</v>
          </cell>
          <cell r="S46">
            <v>44.071789599931463</v>
          </cell>
        </row>
        <row r="47">
          <cell r="D47" t="str">
            <v>כפרי גליל תחתון בע"מ</v>
          </cell>
          <cell r="E47">
            <v>0</v>
          </cell>
          <cell r="F47" t="str">
            <v xml:space="preserve">סה"כ תאגיד </v>
          </cell>
          <cell r="G47">
            <v>73986</v>
          </cell>
          <cell r="H47">
            <v>0</v>
          </cell>
          <cell r="I47">
            <v>4655294</v>
          </cell>
          <cell r="J47">
            <v>4655294</v>
          </cell>
          <cell r="K47">
            <v>2966406</v>
          </cell>
          <cell r="L47">
            <v>3504091</v>
          </cell>
          <cell r="M47">
            <v>35746</v>
          </cell>
          <cell r="N47">
            <v>77796</v>
          </cell>
          <cell r="O47">
            <v>3617633</v>
          </cell>
          <cell r="P47">
            <v>1037661</v>
          </cell>
          <cell r="Q47">
            <v>22.289913376040268</v>
          </cell>
          <cell r="R47">
            <v>40.094152947855001</v>
          </cell>
          <cell r="S47">
            <v>47.36154137269213</v>
          </cell>
        </row>
        <row r="48">
          <cell r="D48">
            <v>0</v>
          </cell>
          <cell r="E48">
            <v>953</v>
          </cell>
          <cell r="F48" t="str">
            <v xml:space="preserve">נצרת עילית </v>
          </cell>
          <cell r="G48">
            <v>40582</v>
          </cell>
          <cell r="H48">
            <v>0</v>
          </cell>
          <cell r="I48">
            <v>3229898</v>
          </cell>
          <cell r="J48">
            <v>3229898</v>
          </cell>
          <cell r="K48">
            <v>1833241</v>
          </cell>
          <cell r="L48">
            <v>2442642</v>
          </cell>
          <cell r="M48">
            <v>420092</v>
          </cell>
          <cell r="N48">
            <v>0</v>
          </cell>
          <cell r="O48">
            <v>2862734</v>
          </cell>
          <cell r="P48">
            <v>367164</v>
          </cell>
          <cell r="Q48">
            <v>11.367665480457898</v>
          </cell>
          <cell r="R48">
            <v>45.173746981420337</v>
          </cell>
          <cell r="S48">
            <v>60.190281405549257</v>
          </cell>
        </row>
        <row r="49">
          <cell r="D49">
            <v>0</v>
          </cell>
          <cell r="E49">
            <v>0</v>
          </cell>
          <cell r="F49" t="str">
            <v>מגדל העמק</v>
          </cell>
          <cell r="G49">
            <v>24115</v>
          </cell>
          <cell r="H49">
            <v>0</v>
          </cell>
          <cell r="I49">
            <v>2646692</v>
          </cell>
          <cell r="J49">
            <v>2646692</v>
          </cell>
          <cell r="K49">
            <v>1059794</v>
          </cell>
          <cell r="L49">
            <v>1403773</v>
          </cell>
          <cell r="M49">
            <v>996386</v>
          </cell>
          <cell r="N49">
            <v>0</v>
          </cell>
          <cell r="O49">
            <v>2400159</v>
          </cell>
          <cell r="P49">
            <v>246533</v>
          </cell>
          <cell r="Q49">
            <v>9.3147597075897011</v>
          </cell>
          <cell r="R49">
            <v>43.947501555048724</v>
          </cell>
          <cell r="S49">
            <v>58.211611030478956</v>
          </cell>
        </row>
        <row r="50">
          <cell r="D50" t="str">
            <v>עפולה</v>
          </cell>
          <cell r="E50">
            <v>1220</v>
          </cell>
          <cell r="F50" t="str">
            <v>עפולה</v>
          </cell>
          <cell r="G50">
            <v>41293</v>
          </cell>
          <cell r="H50">
            <v>0</v>
          </cell>
          <cell r="I50">
            <v>3606290</v>
          </cell>
          <cell r="J50">
            <v>3606290</v>
          </cell>
          <cell r="K50">
            <v>1999303</v>
          </cell>
          <cell r="L50">
            <v>2881147</v>
          </cell>
          <cell r="M50">
            <v>180450</v>
          </cell>
          <cell r="N50">
            <v>17541</v>
          </cell>
          <cell r="O50">
            <v>3079138</v>
          </cell>
          <cell r="P50">
            <v>527152</v>
          </cell>
          <cell r="Q50">
            <v>14.61757096628391</v>
          </cell>
          <cell r="R50">
            <v>48.417479960283828</v>
          </cell>
          <cell r="S50">
            <v>69.773254546775476</v>
          </cell>
        </row>
        <row r="51">
          <cell r="D51" t="str">
            <v>מי נע חברת המים והביוב של עיריית נצרת עילית בע"מ</v>
          </cell>
          <cell r="E51">
            <v>0</v>
          </cell>
          <cell r="F51" t="str">
            <v xml:space="preserve">סה"כ תאגיד </v>
          </cell>
          <cell r="G51">
            <v>105990</v>
          </cell>
          <cell r="H51">
            <v>0</v>
          </cell>
          <cell r="I51">
            <v>9482880</v>
          </cell>
          <cell r="J51">
            <v>9482880</v>
          </cell>
          <cell r="K51">
            <v>4892338</v>
          </cell>
          <cell r="L51">
            <v>6727562</v>
          </cell>
          <cell r="M51">
            <v>1596928</v>
          </cell>
          <cell r="N51">
            <v>17541</v>
          </cell>
          <cell r="O51">
            <v>8342031</v>
          </cell>
          <cell r="P51">
            <v>1140849</v>
          </cell>
          <cell r="Q51">
            <v>12.030617280826078</v>
          </cell>
          <cell r="R51">
            <v>46.15848664968393</v>
          </cell>
          <cell r="S51">
            <v>63.473554108878197</v>
          </cell>
        </row>
        <row r="52">
          <cell r="D52">
            <v>0</v>
          </cell>
          <cell r="E52">
            <v>8209</v>
          </cell>
          <cell r="F52" t="str">
            <v>תל אביב-יפו</v>
          </cell>
          <cell r="G52">
            <v>404750</v>
          </cell>
          <cell r="H52">
            <v>4508128</v>
          </cell>
          <cell r="I52">
            <v>41402749</v>
          </cell>
          <cell r="J52">
            <v>45910877</v>
          </cell>
          <cell r="K52">
            <v>26159823</v>
          </cell>
          <cell r="L52">
            <v>39120111</v>
          </cell>
          <cell r="M52">
            <v>1649906</v>
          </cell>
          <cell r="N52">
            <v>22965</v>
          </cell>
          <cell r="O52">
            <v>40792982</v>
          </cell>
          <cell r="P52">
            <v>5117895</v>
          </cell>
          <cell r="Q52">
            <v>11.147456407770211</v>
          </cell>
          <cell r="R52">
            <v>64.632051883878944</v>
          </cell>
          <cell r="S52">
            <v>96.652528721432986</v>
          </cell>
        </row>
        <row r="53">
          <cell r="D53" t="str">
            <v>מי אביבים 2010 בע"מ</v>
          </cell>
          <cell r="E53">
            <v>0</v>
          </cell>
          <cell r="F53" t="str">
            <v xml:space="preserve">סה"כ תאגיד </v>
          </cell>
          <cell r="G53">
            <v>404750</v>
          </cell>
          <cell r="H53">
            <v>4508128</v>
          </cell>
          <cell r="I53">
            <v>41402749</v>
          </cell>
          <cell r="J53">
            <v>45910877</v>
          </cell>
          <cell r="K53">
            <v>26159823</v>
          </cell>
          <cell r="L53">
            <v>39120111</v>
          </cell>
          <cell r="M53">
            <v>1649906</v>
          </cell>
          <cell r="N53">
            <v>22965</v>
          </cell>
          <cell r="O53">
            <v>40792982</v>
          </cell>
          <cell r="P53">
            <v>5117895</v>
          </cell>
          <cell r="Q53">
            <v>11.147456407770211</v>
          </cell>
          <cell r="R53">
            <v>64.632051883878944</v>
          </cell>
          <cell r="S53">
            <v>96.652528721432986</v>
          </cell>
        </row>
        <row r="54">
          <cell r="E54">
            <v>7926</v>
          </cell>
          <cell r="F54" t="str">
            <v xml:space="preserve">קרית אונו </v>
          </cell>
          <cell r="G54">
            <v>33384</v>
          </cell>
          <cell r="H54">
            <v>2051236</v>
          </cell>
          <cell r="I54">
            <v>478351</v>
          </cell>
          <cell r="J54">
            <v>2529587</v>
          </cell>
          <cell r="K54">
            <v>1985714</v>
          </cell>
          <cell r="L54">
            <v>2359933</v>
          </cell>
          <cell r="M54">
            <v>0</v>
          </cell>
          <cell r="N54">
            <v>0</v>
          </cell>
          <cell r="O54">
            <v>2359933</v>
          </cell>
          <cell r="P54">
            <v>169654</v>
          </cell>
          <cell r="Q54">
            <v>6.7067865228592645</v>
          </cell>
          <cell r="R54">
            <v>59.481008866522885</v>
          </cell>
          <cell r="S54">
            <v>70.69054037862449</v>
          </cell>
        </row>
        <row r="55">
          <cell r="D55" t="str">
            <v>מי אונו בע"מ</v>
          </cell>
          <cell r="E55">
            <v>0</v>
          </cell>
          <cell r="F55" t="str">
            <v xml:space="preserve">סה"כ תאגיד </v>
          </cell>
          <cell r="G55">
            <v>33384</v>
          </cell>
          <cell r="H55">
            <v>2051236</v>
          </cell>
          <cell r="I55">
            <v>478351</v>
          </cell>
          <cell r="J55">
            <v>2529587</v>
          </cell>
          <cell r="K55">
            <v>1985714</v>
          </cell>
          <cell r="L55">
            <v>2359933</v>
          </cell>
          <cell r="M55">
            <v>0</v>
          </cell>
          <cell r="N55">
            <v>0</v>
          </cell>
          <cell r="O55">
            <v>2359933</v>
          </cell>
          <cell r="P55">
            <v>169654</v>
          </cell>
          <cell r="Q55">
            <v>6.7067865228592645</v>
          </cell>
          <cell r="R55">
            <v>59.481008866522885</v>
          </cell>
          <cell r="S55">
            <v>70.69054037862449</v>
          </cell>
        </row>
        <row r="56">
          <cell r="E56">
            <v>6590</v>
          </cell>
          <cell r="F56" t="str">
            <v xml:space="preserve">אשקלון </v>
          </cell>
          <cell r="G56">
            <v>117429</v>
          </cell>
          <cell r="H56">
            <v>0</v>
          </cell>
          <cell r="I56">
            <v>10517791</v>
          </cell>
          <cell r="J56">
            <v>10517791</v>
          </cell>
          <cell r="K56">
            <v>5850567</v>
          </cell>
          <cell r="L56">
            <v>7936971</v>
          </cell>
          <cell r="M56">
            <v>933010</v>
          </cell>
          <cell r="N56">
            <v>81035</v>
          </cell>
          <cell r="O56">
            <v>8951016</v>
          </cell>
          <cell r="P56">
            <v>1566775</v>
          </cell>
          <cell r="Q56">
            <v>14.896426445438971</v>
          </cell>
          <cell r="R56">
            <v>49.822164882609918</v>
          </cell>
          <cell r="S56">
            <v>67.589530695143452</v>
          </cell>
        </row>
        <row r="57">
          <cell r="D57">
            <v>0</v>
          </cell>
          <cell r="E57">
            <v>0</v>
          </cell>
          <cell r="F57" t="str">
            <v>נתיבות</v>
          </cell>
          <cell r="G57">
            <v>27978</v>
          </cell>
          <cell r="H57">
            <v>0</v>
          </cell>
          <cell r="I57">
            <v>2221139</v>
          </cell>
          <cell r="J57">
            <v>2221139</v>
          </cell>
          <cell r="K57">
            <v>1282344</v>
          </cell>
          <cell r="L57">
            <v>1718603</v>
          </cell>
          <cell r="M57">
            <v>42519</v>
          </cell>
          <cell r="N57">
            <v>0</v>
          </cell>
          <cell r="O57">
            <v>1761122</v>
          </cell>
          <cell r="P57">
            <v>460017</v>
          </cell>
          <cell r="Q57">
            <v>20.71086050895509</v>
          </cell>
          <cell r="R57">
            <v>45.834012438344416</v>
          </cell>
          <cell r="S57">
            <v>61.426942597755378</v>
          </cell>
        </row>
        <row r="58">
          <cell r="D58" t="str">
            <v>מי אשקלון בע"מ</v>
          </cell>
          <cell r="E58">
            <v>0</v>
          </cell>
          <cell r="F58" t="str">
            <v xml:space="preserve">סה"כ תאגיד </v>
          </cell>
          <cell r="G58">
            <v>145407</v>
          </cell>
          <cell r="H58">
            <v>0</v>
          </cell>
          <cell r="I58">
            <v>12738930</v>
          </cell>
          <cell r="J58">
            <v>12738930</v>
          </cell>
          <cell r="K58">
            <v>7132911</v>
          </cell>
          <cell r="L58">
            <v>9655574</v>
          </cell>
          <cell r="M58">
            <v>975529</v>
          </cell>
          <cell r="N58">
            <v>81035</v>
          </cell>
          <cell r="O58">
            <v>10712138</v>
          </cell>
          <cell r="P58">
            <v>2026792</v>
          </cell>
          <cell r="Q58">
            <v>15.910221659118937</v>
          </cell>
          <cell r="R58">
            <v>49.054797912067507</v>
          </cell>
          <cell r="S58">
            <v>66.403776984601848</v>
          </cell>
        </row>
        <row r="59">
          <cell r="E59">
            <v>7695</v>
          </cell>
          <cell r="F59" t="str">
            <v>בני ברק</v>
          </cell>
          <cell r="G59">
            <v>163301</v>
          </cell>
          <cell r="H59">
            <v>3597943</v>
          </cell>
          <cell r="I59">
            <v>6805016</v>
          </cell>
          <cell r="J59">
            <v>10402959</v>
          </cell>
          <cell r="K59">
            <v>6967448</v>
          </cell>
          <cell r="L59">
            <v>9272659</v>
          </cell>
          <cell r="M59">
            <v>759591</v>
          </cell>
          <cell r="N59">
            <v>0</v>
          </cell>
          <cell r="O59">
            <v>10032250</v>
          </cell>
          <cell r="P59">
            <v>370709</v>
          </cell>
          <cell r="Q59">
            <v>3.5634957323200065</v>
          </cell>
          <cell r="R59">
            <v>42.666291082112174</v>
          </cell>
          <cell r="S59">
            <v>56.782622274205302</v>
          </cell>
        </row>
        <row r="60">
          <cell r="D60" t="str">
            <v>מי ברק בע"מ</v>
          </cell>
          <cell r="E60">
            <v>0</v>
          </cell>
          <cell r="F60" t="str">
            <v xml:space="preserve">סה"כ תאגיד </v>
          </cell>
          <cell r="G60">
            <v>163301</v>
          </cell>
          <cell r="H60">
            <v>3597943</v>
          </cell>
          <cell r="I60">
            <v>6805016</v>
          </cell>
          <cell r="J60">
            <v>10402959</v>
          </cell>
          <cell r="K60">
            <v>6967448</v>
          </cell>
          <cell r="L60">
            <v>9272659</v>
          </cell>
          <cell r="M60">
            <v>759591</v>
          </cell>
          <cell r="N60">
            <v>0</v>
          </cell>
          <cell r="O60">
            <v>10032250</v>
          </cell>
          <cell r="P60">
            <v>370709</v>
          </cell>
          <cell r="Q60">
            <v>3.5634957323200065</v>
          </cell>
          <cell r="R60">
            <v>42.666291082112174</v>
          </cell>
          <cell r="S60">
            <v>56.782622274205302</v>
          </cell>
        </row>
        <row r="61">
          <cell r="E61">
            <v>7739</v>
          </cell>
          <cell r="F61" t="str">
            <v xml:space="preserve">בת ים </v>
          </cell>
          <cell r="G61">
            <v>128157</v>
          </cell>
          <cell r="H61">
            <v>7351629</v>
          </cell>
          <cell r="I61">
            <v>1747549</v>
          </cell>
          <cell r="J61">
            <v>9099178</v>
          </cell>
          <cell r="K61">
            <v>6382910</v>
          </cell>
          <cell r="L61">
            <v>7877578</v>
          </cell>
          <cell r="M61">
            <v>199694</v>
          </cell>
          <cell r="N61">
            <v>0</v>
          </cell>
          <cell r="O61">
            <v>8077272</v>
          </cell>
          <cell r="P61">
            <v>1021906</v>
          </cell>
          <cell r="Q61">
            <v>11.230750733747598</v>
          </cell>
          <cell r="R61">
            <v>49.805394945262449</v>
          </cell>
          <cell r="S61">
            <v>61.468183556106965</v>
          </cell>
        </row>
        <row r="62">
          <cell r="D62" t="str">
            <v>מי בת ים בע"מ</v>
          </cell>
          <cell r="E62">
            <v>0</v>
          </cell>
          <cell r="F62" t="str">
            <v xml:space="preserve">סה"כ תאגיד </v>
          </cell>
          <cell r="G62">
            <v>128157</v>
          </cell>
          <cell r="H62">
            <v>7351629</v>
          </cell>
          <cell r="I62">
            <v>1747549</v>
          </cell>
          <cell r="J62">
            <v>9099178</v>
          </cell>
          <cell r="K62">
            <v>6382910</v>
          </cell>
          <cell r="L62">
            <v>7877578</v>
          </cell>
          <cell r="M62">
            <v>199694</v>
          </cell>
          <cell r="N62">
            <v>0</v>
          </cell>
          <cell r="O62">
            <v>8077272</v>
          </cell>
          <cell r="P62">
            <v>1021906</v>
          </cell>
          <cell r="Q62">
            <v>11.230750733747598</v>
          </cell>
          <cell r="R62">
            <v>49.805394945262449</v>
          </cell>
          <cell r="S62">
            <v>61.468183556106965</v>
          </cell>
        </row>
        <row r="63">
          <cell r="E63">
            <v>7776</v>
          </cell>
          <cell r="F63" t="str">
            <v xml:space="preserve">גבעתיים </v>
          </cell>
          <cell r="G63">
            <v>54728</v>
          </cell>
          <cell r="H63">
            <v>1910830</v>
          </cell>
          <cell r="I63">
            <v>1777255</v>
          </cell>
          <cell r="J63">
            <v>3688085</v>
          </cell>
          <cell r="K63">
            <v>3005603</v>
          </cell>
          <cell r="L63">
            <v>3557188</v>
          </cell>
          <cell r="M63">
            <v>0</v>
          </cell>
          <cell r="N63">
            <v>0</v>
          </cell>
          <cell r="O63">
            <v>3557188</v>
          </cell>
          <cell r="P63">
            <v>130897</v>
          </cell>
          <cell r="Q63">
            <v>3.5491860952228595</v>
          </cell>
          <cell r="R63">
            <v>54.918926326560445</v>
          </cell>
          <cell r="S63">
            <v>64.99758807191931</v>
          </cell>
        </row>
        <row r="64">
          <cell r="D64" t="str">
            <v>מי גבעתיים בע"מ</v>
          </cell>
          <cell r="E64">
            <v>0</v>
          </cell>
          <cell r="F64" t="str">
            <v xml:space="preserve">סה"כ תאגיד </v>
          </cell>
          <cell r="G64">
            <v>54728</v>
          </cell>
          <cell r="H64">
            <v>1910830</v>
          </cell>
          <cell r="I64">
            <v>1777255</v>
          </cell>
          <cell r="J64">
            <v>3688085</v>
          </cell>
          <cell r="K64">
            <v>3005603</v>
          </cell>
          <cell r="L64">
            <v>3557188</v>
          </cell>
          <cell r="M64">
            <v>0</v>
          </cell>
          <cell r="N64">
            <v>0</v>
          </cell>
          <cell r="O64">
            <v>3557188</v>
          </cell>
          <cell r="P64">
            <v>130897</v>
          </cell>
          <cell r="Q64">
            <v>3.5491860952228595</v>
          </cell>
          <cell r="R64">
            <v>54.918926326560445</v>
          </cell>
          <cell r="S64">
            <v>64.99758807191931</v>
          </cell>
        </row>
        <row r="65">
          <cell r="E65">
            <v>1245</v>
          </cell>
          <cell r="F65" t="str">
            <v>סכנין</v>
          </cell>
          <cell r="G65">
            <v>27087</v>
          </cell>
          <cell r="H65">
            <v>0</v>
          </cell>
          <cell r="I65">
            <v>2116821</v>
          </cell>
          <cell r="J65">
            <v>2116821</v>
          </cell>
          <cell r="K65">
            <v>1116933</v>
          </cell>
          <cell r="L65">
            <v>1359201</v>
          </cell>
          <cell r="M65">
            <v>21075</v>
          </cell>
          <cell r="N65">
            <v>8503</v>
          </cell>
          <cell r="O65">
            <v>1388779</v>
          </cell>
          <cell r="P65">
            <v>728042</v>
          </cell>
          <cell r="Q65">
            <v>34.393177316362596</v>
          </cell>
          <cell r="R65">
            <v>41.235020489533724</v>
          </cell>
          <cell r="S65">
            <v>50.179089600177207</v>
          </cell>
        </row>
        <row r="66">
          <cell r="D66">
            <v>0</v>
          </cell>
          <cell r="E66">
            <v>0</v>
          </cell>
          <cell r="F66" t="str">
            <v>נחף</v>
          </cell>
          <cell r="G66">
            <v>11249</v>
          </cell>
          <cell r="H66">
            <v>0</v>
          </cell>
          <cell r="I66">
            <v>668201</v>
          </cell>
          <cell r="J66">
            <v>668201</v>
          </cell>
          <cell r="K66">
            <v>433540</v>
          </cell>
          <cell r="L66">
            <v>477109</v>
          </cell>
          <cell r="M66">
            <v>0</v>
          </cell>
          <cell r="N66">
            <v>4741</v>
          </cell>
          <cell r="O66">
            <v>481850</v>
          </cell>
          <cell r="P66">
            <v>186351</v>
          </cell>
          <cell r="Q66">
            <v>27.888464698496414</v>
          </cell>
          <cell r="R66">
            <v>38.540314694639527</v>
          </cell>
          <cell r="S66">
            <v>42.413458974131032</v>
          </cell>
        </row>
        <row r="67">
          <cell r="D67">
            <v>0</v>
          </cell>
          <cell r="E67">
            <v>0</v>
          </cell>
          <cell r="F67" t="str">
            <v>דיר חנא</v>
          </cell>
          <cell r="G67">
            <v>9248</v>
          </cell>
          <cell r="H67">
            <v>0</v>
          </cell>
          <cell r="I67">
            <v>601569</v>
          </cell>
          <cell r="J67">
            <v>601569</v>
          </cell>
          <cell r="K67">
            <v>403928</v>
          </cell>
          <cell r="L67">
            <v>463319</v>
          </cell>
          <cell r="M67">
            <v>0</v>
          </cell>
          <cell r="N67">
            <v>6219</v>
          </cell>
          <cell r="O67">
            <v>469538</v>
          </cell>
          <cell r="P67">
            <v>132031</v>
          </cell>
          <cell r="Q67">
            <v>21.947773239644995</v>
          </cell>
          <cell r="R67">
            <v>43.677335640138409</v>
          </cell>
          <cell r="S67">
            <v>50.09937283737024</v>
          </cell>
        </row>
        <row r="68">
          <cell r="D68">
            <v>0</v>
          </cell>
          <cell r="E68">
            <v>0</v>
          </cell>
          <cell r="F68" t="str">
            <v>בענה</v>
          </cell>
          <cell r="G68">
            <v>7510</v>
          </cell>
          <cell r="H68">
            <v>0</v>
          </cell>
          <cell r="I68">
            <v>598309</v>
          </cell>
          <cell r="J68">
            <v>598309</v>
          </cell>
          <cell r="K68">
            <v>353928</v>
          </cell>
          <cell r="L68">
            <v>411655</v>
          </cell>
          <cell r="M68">
            <v>0</v>
          </cell>
          <cell r="N68">
            <v>23775</v>
          </cell>
          <cell r="O68">
            <v>435430</v>
          </cell>
          <cell r="P68">
            <v>162879</v>
          </cell>
          <cell r="Q68">
            <v>27.223224119978141</v>
          </cell>
          <cell r="R68">
            <v>47.127563249001334</v>
          </cell>
          <cell r="S68">
            <v>54.814247669773636</v>
          </cell>
        </row>
        <row r="69">
          <cell r="D69">
            <v>0</v>
          </cell>
          <cell r="E69">
            <v>0</v>
          </cell>
          <cell r="F69" t="str">
            <v>עראבה</v>
          </cell>
          <cell r="G69">
            <v>22229</v>
          </cell>
          <cell r="H69">
            <v>0</v>
          </cell>
          <cell r="I69">
            <v>1691215</v>
          </cell>
          <cell r="J69">
            <v>1691215</v>
          </cell>
          <cell r="K69">
            <v>1082921</v>
          </cell>
          <cell r="L69">
            <v>1240750</v>
          </cell>
          <cell r="M69">
            <v>45468</v>
          </cell>
          <cell r="N69">
            <v>32014</v>
          </cell>
          <cell r="O69">
            <v>1318232</v>
          </cell>
          <cell r="P69">
            <v>372983</v>
          </cell>
          <cell r="Q69">
            <v>22.054144505577352</v>
          </cell>
          <cell r="R69">
            <v>48.716586441135455</v>
          </cell>
          <cell r="S69">
            <v>55.816725898600929</v>
          </cell>
        </row>
        <row r="70">
          <cell r="D70">
            <v>0</v>
          </cell>
          <cell r="E70">
            <v>0</v>
          </cell>
          <cell r="F70" t="str">
            <v>מג'דל כרום</v>
          </cell>
          <cell r="G70">
            <v>13789</v>
          </cell>
          <cell r="H70">
            <v>0</v>
          </cell>
          <cell r="I70">
            <v>912164</v>
          </cell>
          <cell r="J70">
            <v>912164</v>
          </cell>
          <cell r="K70">
            <v>642637</v>
          </cell>
          <cell r="L70">
            <v>725796</v>
          </cell>
          <cell r="M70">
            <v>0</v>
          </cell>
          <cell r="N70">
            <v>0</v>
          </cell>
          <cell r="O70">
            <v>725796</v>
          </cell>
          <cell r="P70">
            <v>186368</v>
          </cell>
          <cell r="Q70">
            <v>20.431413649299905</v>
          </cell>
          <cell r="R70">
            <v>46.605047501631738</v>
          </cell>
          <cell r="S70">
            <v>52.635869171078397</v>
          </cell>
        </row>
        <row r="71">
          <cell r="D71">
            <v>0</v>
          </cell>
          <cell r="E71">
            <v>0</v>
          </cell>
          <cell r="F71" t="str">
            <v>דיר אלאסד</v>
          </cell>
          <cell r="G71">
            <v>10942</v>
          </cell>
          <cell r="H71">
            <v>0</v>
          </cell>
          <cell r="I71">
            <v>862195</v>
          </cell>
          <cell r="J71">
            <v>862195</v>
          </cell>
          <cell r="K71">
            <v>427678</v>
          </cell>
          <cell r="L71">
            <v>469576</v>
          </cell>
          <cell r="M71">
            <v>0</v>
          </cell>
          <cell r="N71">
            <v>55816</v>
          </cell>
          <cell r="O71">
            <v>525392</v>
          </cell>
          <cell r="P71">
            <v>336803</v>
          </cell>
          <cell r="Q71">
            <v>39.063436925521486</v>
          </cell>
          <cell r="R71">
            <v>39.085907512337783</v>
          </cell>
          <cell r="S71">
            <v>42.915006397367939</v>
          </cell>
        </row>
        <row r="72">
          <cell r="D72" t="str">
            <v>מי גליל בע"מ</v>
          </cell>
          <cell r="E72">
            <v>0</v>
          </cell>
          <cell r="F72" t="str">
            <v xml:space="preserve">סה"כ תאגיד </v>
          </cell>
          <cell r="G72">
            <v>102054</v>
          </cell>
          <cell r="H72">
            <v>0</v>
          </cell>
          <cell r="I72">
            <v>7450474</v>
          </cell>
          <cell r="J72">
            <v>7450474</v>
          </cell>
          <cell r="K72">
            <v>4461565</v>
          </cell>
          <cell r="L72">
            <v>5147406</v>
          </cell>
          <cell r="M72">
            <v>66543</v>
          </cell>
          <cell r="N72">
            <v>131068</v>
          </cell>
          <cell r="O72">
            <v>5345017</v>
          </cell>
          <cell r="P72">
            <v>2105457</v>
          </cell>
          <cell r="Q72">
            <v>28.25936980653848</v>
          </cell>
          <cell r="R72">
            <v>43.71768867462324</v>
          </cell>
          <cell r="S72">
            <v>50.438062202363454</v>
          </cell>
        </row>
        <row r="73">
          <cell r="E73">
            <v>4014</v>
          </cell>
          <cell r="F73" t="str">
            <v>הוד השרון</v>
          </cell>
          <cell r="G73">
            <v>49943</v>
          </cell>
          <cell r="H73">
            <v>38930</v>
          </cell>
          <cell r="I73">
            <v>4593090</v>
          </cell>
          <cell r="J73">
            <v>4632020</v>
          </cell>
          <cell r="K73">
            <v>2991094</v>
          </cell>
          <cell r="L73">
            <v>3875920</v>
          </cell>
          <cell r="M73">
            <v>119475</v>
          </cell>
          <cell r="N73">
            <v>304750</v>
          </cell>
          <cell r="O73">
            <v>4300145</v>
          </cell>
          <cell r="P73">
            <v>331875</v>
          </cell>
          <cell r="Q73">
            <v>7.1648006701180043</v>
          </cell>
          <cell r="R73">
            <v>59.890154776445151</v>
          </cell>
          <cell r="S73">
            <v>77.606871833890636</v>
          </cell>
        </row>
        <row r="74">
          <cell r="D74" t="str">
            <v>מי הוד השרון בע"מ</v>
          </cell>
          <cell r="E74">
            <v>0</v>
          </cell>
          <cell r="F74" t="str">
            <v xml:space="preserve">סה"כ תאגיד </v>
          </cell>
          <cell r="G74">
            <v>49943</v>
          </cell>
          <cell r="H74">
            <v>38930</v>
          </cell>
          <cell r="I74">
            <v>4593090</v>
          </cell>
          <cell r="J74">
            <v>4632020</v>
          </cell>
          <cell r="K74">
            <v>2991094</v>
          </cell>
          <cell r="L74">
            <v>3875920</v>
          </cell>
          <cell r="M74">
            <v>119475</v>
          </cell>
          <cell r="N74">
            <v>304750</v>
          </cell>
          <cell r="O74">
            <v>4300145</v>
          </cell>
          <cell r="P74">
            <v>331875</v>
          </cell>
          <cell r="Q74">
            <v>7.1648006701180043</v>
          </cell>
          <cell r="R74">
            <v>59.890154776445151</v>
          </cell>
          <cell r="S74">
            <v>77.606871833890636</v>
          </cell>
        </row>
        <row r="75">
          <cell r="E75">
            <v>7803</v>
          </cell>
          <cell r="F75" t="str">
            <v>הרצליה</v>
          </cell>
          <cell r="G75">
            <v>88734</v>
          </cell>
          <cell r="H75">
            <v>3114450</v>
          </cell>
          <cell r="I75">
            <v>6857306</v>
          </cell>
          <cell r="J75">
            <v>9971756</v>
          </cell>
          <cell r="K75">
            <v>6583597</v>
          </cell>
          <cell r="L75">
            <v>9138887</v>
          </cell>
          <cell r="M75">
            <v>296089</v>
          </cell>
          <cell r="N75">
            <v>53234</v>
          </cell>
          <cell r="O75">
            <v>9488210</v>
          </cell>
          <cell r="P75">
            <v>483546</v>
          </cell>
          <cell r="Q75">
            <v>4.8491559560823596</v>
          </cell>
          <cell r="R75">
            <v>74.194750602925595</v>
          </cell>
          <cell r="S75">
            <v>102.99194220929971</v>
          </cell>
        </row>
        <row r="76">
          <cell r="D76" t="str">
            <v>מי הרצליה בע"מ</v>
          </cell>
          <cell r="E76">
            <v>0</v>
          </cell>
          <cell r="F76" t="str">
            <v xml:space="preserve">סה"כ תאגיד </v>
          </cell>
          <cell r="G76">
            <v>88734</v>
          </cell>
          <cell r="H76">
            <v>3114450</v>
          </cell>
          <cell r="I76">
            <v>6857306</v>
          </cell>
          <cell r="J76">
            <v>9971756</v>
          </cell>
          <cell r="K76">
            <v>6583597</v>
          </cell>
          <cell r="L76">
            <v>9138887</v>
          </cell>
          <cell r="M76">
            <v>296089</v>
          </cell>
          <cell r="N76">
            <v>53234</v>
          </cell>
          <cell r="O76">
            <v>9488210</v>
          </cell>
          <cell r="P76">
            <v>483546</v>
          </cell>
          <cell r="Q76">
            <v>4.8491559560823596</v>
          </cell>
          <cell r="R76">
            <v>74.194750602925595</v>
          </cell>
          <cell r="S76">
            <v>102.99194220929971</v>
          </cell>
        </row>
        <row r="77">
          <cell r="E77">
            <v>2177</v>
          </cell>
          <cell r="F77" t="str">
            <v>חדרה</v>
          </cell>
          <cell r="G77">
            <v>82489</v>
          </cell>
          <cell r="H77">
            <v>2199575</v>
          </cell>
          <cell r="I77">
            <v>4972919</v>
          </cell>
          <cell r="J77">
            <v>7172494</v>
          </cell>
          <cell r="K77">
            <v>4223935</v>
          </cell>
          <cell r="L77">
            <v>5855679</v>
          </cell>
          <cell r="M77">
            <v>154433</v>
          </cell>
          <cell r="N77">
            <v>31156</v>
          </cell>
          <cell r="O77">
            <v>6041268</v>
          </cell>
          <cell r="P77">
            <v>1131226</v>
          </cell>
          <cell r="Q77">
            <v>15.771724591195197</v>
          </cell>
          <cell r="R77">
            <v>51.206039593157875</v>
          </cell>
          <cell r="S77">
            <v>70.987392258361723</v>
          </cell>
        </row>
        <row r="78">
          <cell r="D78" t="str">
            <v>מי חדרה בע"מ</v>
          </cell>
          <cell r="E78">
            <v>0</v>
          </cell>
          <cell r="F78" t="str">
            <v xml:space="preserve">סה"כ תאגיד </v>
          </cell>
          <cell r="G78">
            <v>82489</v>
          </cell>
          <cell r="H78">
            <v>2199575</v>
          </cell>
          <cell r="I78">
            <v>4972919</v>
          </cell>
          <cell r="J78">
            <v>7172494</v>
          </cell>
          <cell r="K78">
            <v>4223935</v>
          </cell>
          <cell r="L78">
            <v>5855679</v>
          </cell>
          <cell r="M78">
            <v>154433</v>
          </cell>
          <cell r="N78">
            <v>31156</v>
          </cell>
          <cell r="O78">
            <v>6041268</v>
          </cell>
          <cell r="P78">
            <v>1131226</v>
          </cell>
          <cell r="Q78">
            <v>15.771724591195197</v>
          </cell>
          <cell r="R78">
            <v>51.206039593157875</v>
          </cell>
          <cell r="S78">
            <v>70.987392258361723</v>
          </cell>
        </row>
        <row r="79">
          <cell r="E79">
            <v>4567</v>
          </cell>
          <cell r="F79" t="str">
            <v>יבנה</v>
          </cell>
          <cell r="G79">
            <v>33333</v>
          </cell>
          <cell r="H79">
            <v>0</v>
          </cell>
          <cell r="I79">
            <v>3633772</v>
          </cell>
          <cell r="J79">
            <v>3633772</v>
          </cell>
          <cell r="K79">
            <v>1807662</v>
          </cell>
          <cell r="L79">
            <v>2651768</v>
          </cell>
          <cell r="M79">
            <v>299969</v>
          </cell>
          <cell r="N79">
            <v>0</v>
          </cell>
          <cell r="O79">
            <v>2951737</v>
          </cell>
          <cell r="P79">
            <v>682035</v>
          </cell>
          <cell r="Q79">
            <v>18.769339408196224</v>
          </cell>
          <cell r="R79">
            <v>54.230402304023038</v>
          </cell>
          <cell r="S79">
            <v>79.553835538355386</v>
          </cell>
        </row>
        <row r="80">
          <cell r="D80">
            <v>0</v>
          </cell>
          <cell r="E80">
            <v>0</v>
          </cell>
          <cell r="F80" t="str">
            <v>גן יבנה</v>
          </cell>
          <cell r="G80">
            <v>20460</v>
          </cell>
          <cell r="H80">
            <v>507050</v>
          </cell>
          <cell r="I80">
            <v>1185828</v>
          </cell>
          <cell r="J80">
            <v>1692878</v>
          </cell>
          <cell r="K80">
            <v>1134560</v>
          </cell>
          <cell r="L80">
            <v>1338074</v>
          </cell>
          <cell r="M80">
            <v>66976</v>
          </cell>
          <cell r="N80">
            <v>38909</v>
          </cell>
          <cell r="O80">
            <v>1443959</v>
          </cell>
          <cell r="P80">
            <v>248919</v>
          </cell>
          <cell r="Q80">
            <v>14.703894787456628</v>
          </cell>
          <cell r="R80">
            <v>55.452590420332356</v>
          </cell>
          <cell r="S80">
            <v>65.399511241446731</v>
          </cell>
        </row>
        <row r="81">
          <cell r="D81" t="str">
            <v>מי יבנה בע"מ</v>
          </cell>
          <cell r="E81">
            <v>0</v>
          </cell>
          <cell r="F81" t="str">
            <v xml:space="preserve">סה"כ תאגיד </v>
          </cell>
          <cell r="G81">
            <v>53793</v>
          </cell>
          <cell r="H81">
            <v>507050</v>
          </cell>
          <cell r="I81">
            <v>4819600</v>
          </cell>
          <cell r="J81">
            <v>5326650</v>
          </cell>
          <cell r="K81">
            <v>2942222</v>
          </cell>
          <cell r="L81">
            <v>3989842</v>
          </cell>
          <cell r="M81">
            <v>366945</v>
          </cell>
          <cell r="N81">
            <v>38909</v>
          </cell>
          <cell r="O81">
            <v>4395696</v>
          </cell>
          <cell r="P81">
            <v>930954</v>
          </cell>
          <cell r="Q81">
            <v>17.477288727436569</v>
          </cell>
          <cell r="R81">
            <v>54.69525774729054</v>
          </cell>
          <cell r="S81">
            <v>74.170282378748169</v>
          </cell>
        </row>
        <row r="82">
          <cell r="E82">
            <v>2473</v>
          </cell>
          <cell r="F82" t="str">
            <v>חיפה</v>
          </cell>
          <cell r="G82">
            <v>270348</v>
          </cell>
          <cell r="H82">
            <v>0</v>
          </cell>
          <cell r="I82">
            <v>23482100</v>
          </cell>
          <cell r="J82">
            <v>23482100</v>
          </cell>
          <cell r="K82">
            <v>10871842</v>
          </cell>
          <cell r="L82">
            <v>18803366</v>
          </cell>
          <cell r="M82">
            <v>1624389</v>
          </cell>
          <cell r="N82">
            <v>0</v>
          </cell>
          <cell r="O82">
            <v>20427755</v>
          </cell>
          <cell r="P82">
            <v>3054345</v>
          </cell>
          <cell r="Q82">
            <v>13.007120317177764</v>
          </cell>
          <cell r="R82">
            <v>40.214249781762767</v>
          </cell>
          <cell r="S82">
            <v>69.552450915116808</v>
          </cell>
        </row>
        <row r="83">
          <cell r="D83" t="str">
            <v>מי כרמל בע"מ</v>
          </cell>
          <cell r="E83">
            <v>0</v>
          </cell>
          <cell r="F83" t="str">
            <v xml:space="preserve">סה"כ תאגיד </v>
          </cell>
          <cell r="G83">
            <v>270348</v>
          </cell>
          <cell r="H83">
            <v>0</v>
          </cell>
          <cell r="I83">
            <v>23482100</v>
          </cell>
          <cell r="J83">
            <v>23482100</v>
          </cell>
          <cell r="K83">
            <v>10871842</v>
          </cell>
          <cell r="L83">
            <v>18803366</v>
          </cell>
          <cell r="M83">
            <v>1624389</v>
          </cell>
          <cell r="N83">
            <v>0</v>
          </cell>
          <cell r="O83">
            <v>20427755</v>
          </cell>
          <cell r="P83">
            <v>3054345</v>
          </cell>
          <cell r="Q83">
            <v>13.007120317177764</v>
          </cell>
          <cell r="R83">
            <v>40.214249781762767</v>
          </cell>
          <cell r="S83">
            <v>69.552450915116808</v>
          </cell>
        </row>
        <row r="84">
          <cell r="D84">
            <v>0</v>
          </cell>
          <cell r="E84">
            <v>4762</v>
          </cell>
          <cell r="F84" t="str">
            <v>לוד</v>
          </cell>
          <cell r="G84">
            <v>70270</v>
          </cell>
          <cell r="H84">
            <v>0</v>
          </cell>
          <cell r="I84">
            <v>5178021</v>
          </cell>
          <cell r="J84">
            <v>5178021</v>
          </cell>
          <cell r="K84">
            <v>3239003</v>
          </cell>
          <cell r="L84">
            <v>4027368</v>
          </cell>
          <cell r="M84">
            <v>211171</v>
          </cell>
          <cell r="N84">
            <v>0</v>
          </cell>
          <cell r="O84">
            <v>4238539</v>
          </cell>
          <cell r="P84">
            <v>939482</v>
          </cell>
          <cell r="Q84">
            <v>18.143649861597702</v>
          </cell>
          <cell r="R84">
            <v>46.09368151415967</v>
          </cell>
          <cell r="S84">
            <v>57.312765049096342</v>
          </cell>
        </row>
        <row r="85">
          <cell r="D85" t="str">
            <v>מי לוד בע"מ</v>
          </cell>
          <cell r="E85">
            <v>0</v>
          </cell>
          <cell r="F85" t="str">
            <v xml:space="preserve">סה"כ תאגיד </v>
          </cell>
          <cell r="G85">
            <v>70270</v>
          </cell>
          <cell r="H85">
            <v>0</v>
          </cell>
          <cell r="I85">
            <v>5178021</v>
          </cell>
          <cell r="J85">
            <v>5178021</v>
          </cell>
          <cell r="K85">
            <v>3239003</v>
          </cell>
          <cell r="L85">
            <v>4027368</v>
          </cell>
          <cell r="M85">
            <v>211171</v>
          </cell>
          <cell r="N85">
            <v>0</v>
          </cell>
          <cell r="O85">
            <v>4238539</v>
          </cell>
          <cell r="P85">
            <v>939482</v>
          </cell>
          <cell r="Q85">
            <v>18.143649861597702</v>
          </cell>
          <cell r="R85">
            <v>46.09368151415967</v>
          </cell>
          <cell r="S85">
            <v>57.312765049096342</v>
          </cell>
        </row>
        <row r="86">
          <cell r="E86">
            <v>4919</v>
          </cell>
          <cell r="F86" t="str">
            <v>מודיעין-מכבים-רעות</v>
          </cell>
          <cell r="G86">
            <v>80218</v>
          </cell>
          <cell r="H86">
            <v>0</v>
          </cell>
          <cell r="I86">
            <v>6020294</v>
          </cell>
          <cell r="J86">
            <v>6020294</v>
          </cell>
          <cell r="K86">
            <v>4216555</v>
          </cell>
          <cell r="L86">
            <v>5511074</v>
          </cell>
          <cell r="M86">
            <v>0</v>
          </cell>
          <cell r="N86">
            <v>0</v>
          </cell>
          <cell r="O86">
            <v>5511074</v>
          </cell>
          <cell r="P86">
            <v>509220</v>
          </cell>
          <cell r="Q86">
            <v>8.458390902504096</v>
          </cell>
          <cell r="R86">
            <v>52.563701413647813</v>
          </cell>
          <cell r="S86">
            <v>68.701214191328631</v>
          </cell>
        </row>
        <row r="87">
          <cell r="D87" t="str">
            <v>מי מודיעין בע"מ</v>
          </cell>
          <cell r="E87">
            <v>0</v>
          </cell>
          <cell r="F87" t="str">
            <v xml:space="preserve">סה"כ תאגיד </v>
          </cell>
          <cell r="G87">
            <v>80218</v>
          </cell>
          <cell r="H87">
            <v>0</v>
          </cell>
          <cell r="I87">
            <v>6020294</v>
          </cell>
          <cell r="J87">
            <v>6020294</v>
          </cell>
          <cell r="K87">
            <v>4216555</v>
          </cell>
          <cell r="L87">
            <v>5511074</v>
          </cell>
          <cell r="M87">
            <v>0</v>
          </cell>
          <cell r="N87">
            <v>0</v>
          </cell>
          <cell r="O87">
            <v>5511074</v>
          </cell>
          <cell r="P87">
            <v>509220</v>
          </cell>
          <cell r="Q87">
            <v>8.458390902504096</v>
          </cell>
          <cell r="R87">
            <v>52.563701413647813</v>
          </cell>
          <cell r="S87">
            <v>68.701214191328631</v>
          </cell>
        </row>
        <row r="88">
          <cell r="E88">
            <v>5316</v>
          </cell>
          <cell r="F88" t="str">
            <v>נתניה</v>
          </cell>
          <cell r="G88">
            <v>189678</v>
          </cell>
          <cell r="H88">
            <v>6716540</v>
          </cell>
          <cell r="I88">
            <v>9334321</v>
          </cell>
          <cell r="J88">
            <v>16050861</v>
          </cell>
          <cell r="K88">
            <v>10050778</v>
          </cell>
          <cell r="L88">
            <v>13438806</v>
          </cell>
          <cell r="M88">
            <v>1161019</v>
          </cell>
          <cell r="N88">
            <v>8521</v>
          </cell>
          <cell r="O88">
            <v>14608346</v>
          </cell>
          <cell r="P88">
            <v>1442515</v>
          </cell>
          <cell r="Q88">
            <v>8.9871502843367708</v>
          </cell>
          <cell r="R88">
            <v>52.988633368129143</v>
          </cell>
          <cell r="S88">
            <v>70.850631069496728</v>
          </cell>
        </row>
        <row r="89">
          <cell r="D89" t="str">
            <v>מי נתניה (2003) בע"מ</v>
          </cell>
          <cell r="E89">
            <v>0</v>
          </cell>
          <cell r="F89" t="str">
            <v xml:space="preserve">סה"כ תאגיד </v>
          </cell>
          <cell r="G89">
            <v>189678</v>
          </cell>
          <cell r="H89">
            <v>6716540</v>
          </cell>
          <cell r="I89">
            <v>9334321</v>
          </cell>
          <cell r="J89">
            <v>16050861</v>
          </cell>
          <cell r="K89">
            <v>10050778</v>
          </cell>
          <cell r="L89">
            <v>13438806</v>
          </cell>
          <cell r="M89">
            <v>1161019</v>
          </cell>
          <cell r="N89">
            <v>8521</v>
          </cell>
          <cell r="O89">
            <v>14608346</v>
          </cell>
          <cell r="P89">
            <v>1442515</v>
          </cell>
          <cell r="Q89">
            <v>8.9871502843367708</v>
          </cell>
          <cell r="R89">
            <v>52.988633368129143</v>
          </cell>
          <cell r="S89">
            <v>70.850631069496728</v>
          </cell>
        </row>
        <row r="90">
          <cell r="E90">
            <v>2586</v>
          </cell>
          <cell r="F90" t="str">
            <v>אום אל-פחם</v>
          </cell>
          <cell r="G90">
            <v>48455</v>
          </cell>
          <cell r="H90">
            <v>0</v>
          </cell>
          <cell r="I90">
            <v>3189002</v>
          </cell>
          <cell r="J90">
            <v>3189002</v>
          </cell>
          <cell r="K90">
            <v>2239224</v>
          </cell>
          <cell r="L90">
            <v>2561498</v>
          </cell>
          <cell r="M90">
            <v>39947</v>
          </cell>
          <cell r="N90">
            <v>78181</v>
          </cell>
          <cell r="O90">
            <v>2679626</v>
          </cell>
          <cell r="P90">
            <v>509376</v>
          </cell>
          <cell r="Q90">
            <v>15.972896849860865</v>
          </cell>
          <cell r="R90">
            <v>46.212444536167581</v>
          </cell>
          <cell r="S90">
            <v>52.863440305438033</v>
          </cell>
        </row>
        <row r="91">
          <cell r="D91">
            <v>0</v>
          </cell>
          <cell r="E91">
            <v>0</v>
          </cell>
          <cell r="F91" t="str">
            <v>כפר קרע</v>
          </cell>
          <cell r="G91">
            <v>16342</v>
          </cell>
          <cell r="H91">
            <v>0</v>
          </cell>
          <cell r="I91">
            <v>1382949</v>
          </cell>
          <cell r="J91">
            <v>1382949</v>
          </cell>
          <cell r="K91">
            <v>848462</v>
          </cell>
          <cell r="L91">
            <v>1067129</v>
          </cell>
          <cell r="M91">
            <v>57030</v>
          </cell>
          <cell r="N91">
            <v>32600</v>
          </cell>
          <cell r="O91">
            <v>1156759</v>
          </cell>
          <cell r="P91">
            <v>226190</v>
          </cell>
          <cell r="Q91">
            <v>16.355628443275926</v>
          </cell>
          <cell r="R91">
            <v>51.919104148818995</v>
          </cell>
          <cell r="S91">
            <v>65.299779708725978</v>
          </cell>
        </row>
        <row r="92">
          <cell r="D92">
            <v>0</v>
          </cell>
          <cell r="E92">
            <v>0</v>
          </cell>
          <cell r="F92" t="str">
            <v>ערערה</v>
          </cell>
          <cell r="G92">
            <v>8760</v>
          </cell>
          <cell r="H92">
            <v>0</v>
          </cell>
          <cell r="I92">
            <v>498631</v>
          </cell>
          <cell r="J92">
            <v>498631</v>
          </cell>
          <cell r="K92">
            <v>332280</v>
          </cell>
          <cell r="L92">
            <v>385532</v>
          </cell>
          <cell r="M92">
            <v>0</v>
          </cell>
          <cell r="N92">
            <v>1607</v>
          </cell>
          <cell r="O92">
            <v>387139</v>
          </cell>
          <cell r="P92">
            <v>111492</v>
          </cell>
          <cell r="Q92">
            <v>22.359620641315921</v>
          </cell>
          <cell r="R92">
            <v>37.93150684931507</v>
          </cell>
          <cell r="S92">
            <v>44.010502283105026</v>
          </cell>
        </row>
        <row r="93">
          <cell r="D93">
            <v>0</v>
          </cell>
          <cell r="E93">
            <v>0</v>
          </cell>
          <cell r="F93" t="str">
            <v>בסמ"ה</v>
          </cell>
          <cell r="G93">
            <v>500</v>
          </cell>
          <cell r="H93">
            <v>0</v>
          </cell>
          <cell r="I93">
            <v>152845</v>
          </cell>
          <cell r="J93">
            <v>152845</v>
          </cell>
          <cell r="K93">
            <v>78071</v>
          </cell>
          <cell r="L93">
            <v>108869</v>
          </cell>
          <cell r="M93">
            <v>0</v>
          </cell>
          <cell r="N93">
            <v>1671</v>
          </cell>
          <cell r="O93">
            <v>110540</v>
          </cell>
          <cell r="P93">
            <v>42305</v>
          </cell>
          <cell r="Q93">
            <v>27.678366973077299</v>
          </cell>
          <cell r="R93">
            <v>156.142</v>
          </cell>
          <cell r="S93">
            <v>217.738</v>
          </cell>
        </row>
        <row r="94">
          <cell r="D94">
            <v>0</v>
          </cell>
          <cell r="E94">
            <v>0</v>
          </cell>
          <cell r="F94" t="str">
            <v>מעלה עירון</v>
          </cell>
          <cell r="G94">
            <v>1900</v>
          </cell>
          <cell r="H94">
            <v>0</v>
          </cell>
          <cell r="I94">
            <v>177068</v>
          </cell>
          <cell r="J94">
            <v>177068</v>
          </cell>
          <cell r="K94">
            <v>119429</v>
          </cell>
          <cell r="L94">
            <v>132074</v>
          </cell>
          <cell r="M94">
            <v>0</v>
          </cell>
          <cell r="N94">
            <v>2490</v>
          </cell>
          <cell r="O94">
            <v>134564</v>
          </cell>
          <cell r="P94">
            <v>42504</v>
          </cell>
          <cell r="Q94">
            <v>24.004337316737072</v>
          </cell>
          <cell r="R94">
            <v>62.857368421052634</v>
          </cell>
          <cell r="S94">
            <v>69.512631578947364</v>
          </cell>
        </row>
        <row r="95">
          <cell r="D95">
            <v>0</v>
          </cell>
          <cell r="E95">
            <v>0</v>
          </cell>
          <cell r="F95" t="str">
            <v>באקה ג'את</v>
          </cell>
          <cell r="G95">
            <v>36176</v>
          </cell>
          <cell r="H95">
            <v>0</v>
          </cell>
          <cell r="I95">
            <v>2740185</v>
          </cell>
          <cell r="J95">
            <v>2740185</v>
          </cell>
          <cell r="K95">
            <v>1609160</v>
          </cell>
          <cell r="L95">
            <v>2093345</v>
          </cell>
          <cell r="M95">
            <v>53000</v>
          </cell>
          <cell r="N95">
            <v>39841</v>
          </cell>
          <cell r="O95">
            <v>2186186</v>
          </cell>
          <cell r="P95">
            <v>553999</v>
          </cell>
          <cell r="Q95">
            <v>20.217576550488378</v>
          </cell>
          <cell r="R95">
            <v>44.481424148606813</v>
          </cell>
          <cell r="S95">
            <v>57.865573861123394</v>
          </cell>
        </row>
        <row r="96">
          <cell r="D96" t="str">
            <v>מי עירון בע"מ</v>
          </cell>
          <cell r="E96">
            <v>0</v>
          </cell>
          <cell r="F96" t="str">
            <v xml:space="preserve">סה"כ תאגיד </v>
          </cell>
          <cell r="G96">
            <v>112133</v>
          </cell>
          <cell r="H96">
            <v>0</v>
          </cell>
          <cell r="I96">
            <v>8140680</v>
          </cell>
          <cell r="J96">
            <v>8140680</v>
          </cell>
          <cell r="K96">
            <v>5226626</v>
          </cell>
          <cell r="L96">
            <v>6348447</v>
          </cell>
          <cell r="M96">
            <v>149977</v>
          </cell>
          <cell r="N96">
            <v>156390</v>
          </cell>
          <cell r="O96">
            <v>6654814</v>
          </cell>
          <cell r="P96">
            <v>1485866</v>
          </cell>
          <cell r="Q96">
            <v>18.252357296933425</v>
          </cell>
          <cell r="R96">
            <v>46.61095306466428</v>
          </cell>
          <cell r="S96">
            <v>56.615331793495223</v>
          </cell>
        </row>
        <row r="97">
          <cell r="E97">
            <v>1224</v>
          </cell>
          <cell r="F97" t="str">
            <v>עכו</v>
          </cell>
          <cell r="G97">
            <v>46464</v>
          </cell>
          <cell r="H97">
            <v>0</v>
          </cell>
          <cell r="I97">
            <v>3561609</v>
          </cell>
          <cell r="J97">
            <v>3561609</v>
          </cell>
          <cell r="K97">
            <v>2008315</v>
          </cell>
          <cell r="L97">
            <v>2780999</v>
          </cell>
          <cell r="M97">
            <v>303118</v>
          </cell>
          <cell r="N97">
            <v>94746</v>
          </cell>
          <cell r="O97">
            <v>3178863</v>
          </cell>
          <cell r="P97">
            <v>382746</v>
          </cell>
          <cell r="Q97">
            <v>10.746435108401849</v>
          </cell>
          <cell r="R97">
            <v>43.223032885674932</v>
          </cell>
          <cell r="S97">
            <v>59.852767734159777</v>
          </cell>
        </row>
        <row r="98">
          <cell r="D98" t="str">
            <v>מי עכו בע"מ</v>
          </cell>
          <cell r="E98">
            <v>0</v>
          </cell>
          <cell r="F98" t="str">
            <v xml:space="preserve">סה"כ תאגיד </v>
          </cell>
          <cell r="G98">
            <v>46464</v>
          </cell>
          <cell r="H98">
            <v>0</v>
          </cell>
          <cell r="I98">
            <v>3561609</v>
          </cell>
          <cell r="J98">
            <v>3561609</v>
          </cell>
          <cell r="K98">
            <v>2008315</v>
          </cell>
          <cell r="L98">
            <v>2780999</v>
          </cell>
          <cell r="M98">
            <v>303118</v>
          </cell>
          <cell r="N98">
            <v>94746</v>
          </cell>
          <cell r="O98">
            <v>3178863</v>
          </cell>
          <cell r="P98">
            <v>382746</v>
          </cell>
          <cell r="Q98">
            <v>10.746435108401849</v>
          </cell>
          <cell r="R98">
            <v>43.223032885674932</v>
          </cell>
          <cell r="S98">
            <v>59.852767734159777</v>
          </cell>
        </row>
        <row r="99">
          <cell r="E99">
            <v>5243</v>
          </cell>
          <cell r="F99" t="str">
            <v>נס ציונה</v>
          </cell>
          <cell r="G99">
            <v>41251</v>
          </cell>
          <cell r="H99">
            <v>2059084</v>
          </cell>
          <cell r="I99">
            <v>1399745</v>
          </cell>
          <cell r="J99">
            <v>3458829</v>
          </cell>
          <cell r="K99">
            <v>2247889</v>
          </cell>
          <cell r="L99">
            <v>3119387</v>
          </cell>
          <cell r="M99">
            <v>76918</v>
          </cell>
          <cell r="N99">
            <v>5168</v>
          </cell>
          <cell r="O99">
            <v>3201473</v>
          </cell>
          <cell r="P99">
            <v>257356</v>
          </cell>
          <cell r="Q99">
            <v>7.4405528576289832</v>
          </cell>
          <cell r="R99">
            <v>54.492957746478872</v>
          </cell>
          <cell r="S99">
            <v>75.619669826186026</v>
          </cell>
        </row>
        <row r="100">
          <cell r="D100" t="str">
            <v xml:space="preserve">קרית עקרון </v>
          </cell>
          <cell r="E100">
            <v>4696</v>
          </cell>
          <cell r="F100" t="str">
            <v>קריית עקרון</v>
          </cell>
          <cell r="G100">
            <v>10295</v>
          </cell>
          <cell r="H100">
            <v>0</v>
          </cell>
          <cell r="I100">
            <v>871726</v>
          </cell>
          <cell r="J100">
            <v>871726</v>
          </cell>
          <cell r="K100">
            <v>626381</v>
          </cell>
          <cell r="L100">
            <v>826779</v>
          </cell>
          <cell r="M100">
            <v>11523</v>
          </cell>
          <cell r="N100">
            <v>0</v>
          </cell>
          <cell r="O100">
            <v>838302</v>
          </cell>
          <cell r="P100">
            <v>33424</v>
          </cell>
          <cell r="Q100">
            <v>3.8342323161176792</v>
          </cell>
          <cell r="R100">
            <v>60.843224866440018</v>
          </cell>
          <cell r="S100">
            <v>80.308790675084992</v>
          </cell>
        </row>
        <row r="101">
          <cell r="D101" t="str">
            <v xml:space="preserve">מזכרת בתיה </v>
          </cell>
          <cell r="E101">
            <v>4948</v>
          </cell>
          <cell r="F101" t="str">
            <v>מזכרת בתיה</v>
          </cell>
          <cell r="G101">
            <v>10088</v>
          </cell>
          <cell r="H101">
            <v>0</v>
          </cell>
          <cell r="I101">
            <v>943090</v>
          </cell>
          <cell r="J101">
            <v>943090</v>
          </cell>
          <cell r="K101">
            <v>638800</v>
          </cell>
          <cell r="L101">
            <v>819916</v>
          </cell>
          <cell r="M101">
            <v>0</v>
          </cell>
          <cell r="N101">
            <v>584</v>
          </cell>
          <cell r="O101">
            <v>820500</v>
          </cell>
          <cell r="P101">
            <v>122590</v>
          </cell>
          <cell r="Q101">
            <v>12.998759397300363</v>
          </cell>
          <cell r="R101">
            <v>63.322759714512294</v>
          </cell>
          <cell r="S101">
            <v>81.276367961934966</v>
          </cell>
        </row>
        <row r="102">
          <cell r="D102" t="str">
            <v>מי ציונה בע"מ</v>
          </cell>
          <cell r="E102">
            <v>0</v>
          </cell>
          <cell r="F102" t="str">
            <v xml:space="preserve">סה"כ תאגיד </v>
          </cell>
          <cell r="G102">
            <v>61634</v>
          </cell>
          <cell r="H102">
            <v>2059084</v>
          </cell>
          <cell r="I102">
            <v>3214561</v>
          </cell>
          <cell r="J102">
            <v>5273645</v>
          </cell>
          <cell r="K102">
            <v>3513070</v>
          </cell>
          <cell r="L102">
            <v>4766082</v>
          </cell>
          <cell r="M102">
            <v>88441</v>
          </cell>
          <cell r="N102">
            <v>5752</v>
          </cell>
          <cell r="O102">
            <v>4860275</v>
          </cell>
          <cell r="P102">
            <v>413370</v>
          </cell>
          <cell r="Q102">
            <v>24.273544571047026</v>
          </cell>
          <cell r="R102">
            <v>178.65894232743119</v>
          </cell>
          <cell r="S102">
            <v>237.20482846320598</v>
          </cell>
        </row>
        <row r="103">
          <cell r="D103" t="str">
            <v>מי קריית גת בע"מ</v>
          </cell>
          <cell r="E103">
            <v>7315</v>
          </cell>
          <cell r="F103" t="str">
            <v>קריית גת</v>
          </cell>
          <cell r="G103">
            <v>47750</v>
          </cell>
          <cell r="H103">
            <v>0</v>
          </cell>
          <cell r="I103">
            <v>7660522</v>
          </cell>
          <cell r="J103">
            <v>7660522</v>
          </cell>
          <cell r="K103">
            <v>2194782</v>
          </cell>
          <cell r="L103">
            <v>2785842</v>
          </cell>
          <cell r="M103">
            <v>4253449</v>
          </cell>
          <cell r="N103">
            <v>0</v>
          </cell>
          <cell r="O103">
            <v>7039291</v>
          </cell>
          <cell r="P103">
            <v>621231</v>
          </cell>
          <cell r="Q103">
            <v>8.1095126415667238</v>
          </cell>
          <cell r="R103">
            <v>45.964020942408375</v>
          </cell>
          <cell r="S103">
            <v>58.342240837696338</v>
          </cell>
        </row>
        <row r="104">
          <cell r="D104">
            <v>0</v>
          </cell>
          <cell r="E104">
            <v>0</v>
          </cell>
          <cell r="F104" t="str">
            <v xml:space="preserve">סה"כ תאגיד </v>
          </cell>
          <cell r="G104">
            <v>47750</v>
          </cell>
          <cell r="H104">
            <v>0</v>
          </cell>
          <cell r="I104">
            <v>7660522</v>
          </cell>
          <cell r="J104">
            <v>7660522</v>
          </cell>
          <cell r="K104">
            <v>2194782</v>
          </cell>
          <cell r="L104">
            <v>2785842</v>
          </cell>
          <cell r="M104">
            <v>4253449</v>
          </cell>
          <cell r="N104">
            <v>0</v>
          </cell>
          <cell r="O104">
            <v>7039291</v>
          </cell>
          <cell r="P104">
            <v>621231</v>
          </cell>
          <cell r="Q104">
            <v>8.1095126415667238</v>
          </cell>
          <cell r="R104">
            <v>45.964020942408375</v>
          </cell>
          <cell r="S104">
            <v>58.342240837696338</v>
          </cell>
        </row>
        <row r="105">
          <cell r="E105">
            <v>6647</v>
          </cell>
          <cell r="F105" t="str">
            <v>רהט</v>
          </cell>
          <cell r="G105">
            <v>54882</v>
          </cell>
          <cell r="H105">
            <v>0</v>
          </cell>
          <cell r="I105">
            <v>3274499</v>
          </cell>
          <cell r="J105">
            <v>3274499</v>
          </cell>
          <cell r="K105">
            <v>2044508</v>
          </cell>
          <cell r="L105">
            <v>2270260</v>
          </cell>
          <cell r="M105">
            <v>58327</v>
          </cell>
          <cell r="N105">
            <v>46068</v>
          </cell>
          <cell r="O105">
            <v>2374655</v>
          </cell>
          <cell r="P105">
            <v>899844</v>
          </cell>
          <cell r="Q105">
            <v>27.48035653698474</v>
          </cell>
          <cell r="R105">
            <v>37.252796909733611</v>
          </cell>
          <cell r="S105">
            <v>41.366203855544626</v>
          </cell>
        </row>
        <row r="106">
          <cell r="D106" t="str">
            <v>מי רהט בע"מ</v>
          </cell>
          <cell r="E106">
            <v>0</v>
          </cell>
          <cell r="F106" t="str">
            <v xml:space="preserve">סה"כ תאגיד </v>
          </cell>
          <cell r="G106">
            <v>54882</v>
          </cell>
          <cell r="H106">
            <v>0</v>
          </cell>
          <cell r="I106">
            <v>3274499</v>
          </cell>
          <cell r="J106">
            <v>3274499</v>
          </cell>
          <cell r="K106">
            <v>2044508</v>
          </cell>
          <cell r="L106">
            <v>2270260</v>
          </cell>
          <cell r="M106">
            <v>58327</v>
          </cell>
          <cell r="N106">
            <v>46068</v>
          </cell>
          <cell r="O106">
            <v>2374655</v>
          </cell>
          <cell r="P106">
            <v>899844</v>
          </cell>
          <cell r="Q106">
            <v>27.48035653698474</v>
          </cell>
          <cell r="R106">
            <v>37.252796909733611</v>
          </cell>
          <cell r="S106">
            <v>41.366203855544626</v>
          </cell>
        </row>
        <row r="107">
          <cell r="E107">
            <v>6463</v>
          </cell>
          <cell r="F107" t="str">
            <v>רעננה</v>
          </cell>
          <cell r="G107">
            <v>69108</v>
          </cell>
          <cell r="H107">
            <v>4501689</v>
          </cell>
          <cell r="I107">
            <v>2077674</v>
          </cell>
          <cell r="J107">
            <v>6579363</v>
          </cell>
          <cell r="K107">
            <v>4231711</v>
          </cell>
          <cell r="L107">
            <v>5948179</v>
          </cell>
          <cell r="M107">
            <v>2285</v>
          </cell>
          <cell r="N107">
            <v>199026</v>
          </cell>
          <cell r="O107">
            <v>6149490</v>
          </cell>
          <cell r="P107">
            <v>429873</v>
          </cell>
          <cell r="Q107">
            <v>6.5336568296961275</v>
          </cell>
          <cell r="R107">
            <v>61.233301499102851</v>
          </cell>
          <cell r="S107">
            <v>86.070773282398562</v>
          </cell>
        </row>
        <row r="108">
          <cell r="D108" t="str">
            <v>מי רעננה בע"מ</v>
          </cell>
          <cell r="E108">
            <v>0</v>
          </cell>
          <cell r="F108" t="str">
            <v xml:space="preserve">סה"כ תאגיד </v>
          </cell>
          <cell r="G108">
            <v>69108</v>
          </cell>
          <cell r="H108">
            <v>4501689</v>
          </cell>
          <cell r="I108">
            <v>2077674</v>
          </cell>
          <cell r="J108">
            <v>6579363</v>
          </cell>
          <cell r="K108">
            <v>4231711</v>
          </cell>
          <cell r="L108">
            <v>5948179</v>
          </cell>
          <cell r="M108">
            <v>2285</v>
          </cell>
          <cell r="N108">
            <v>199026</v>
          </cell>
          <cell r="O108">
            <v>6149490</v>
          </cell>
          <cell r="P108">
            <v>429873</v>
          </cell>
          <cell r="Q108">
            <v>6.5336568296961275</v>
          </cell>
          <cell r="R108">
            <v>61.233301499102851</v>
          </cell>
          <cell r="S108">
            <v>86.070773282398562</v>
          </cell>
        </row>
        <row r="109">
          <cell r="D109">
            <v>0</v>
          </cell>
          <cell r="E109">
            <v>371</v>
          </cell>
          <cell r="F109" t="str">
            <v>טבריה</v>
          </cell>
          <cell r="G109">
            <v>41678</v>
          </cell>
          <cell r="H109">
            <v>4370400</v>
          </cell>
          <cell r="I109">
            <v>0</v>
          </cell>
          <cell r="J109">
            <v>4370400</v>
          </cell>
          <cell r="K109">
            <v>2067894</v>
          </cell>
          <cell r="L109">
            <v>3005690</v>
          </cell>
          <cell r="M109">
            <v>790655</v>
          </cell>
          <cell r="N109">
            <v>0</v>
          </cell>
          <cell r="O109">
            <v>3796345</v>
          </cell>
          <cell r="P109">
            <v>574055</v>
          </cell>
          <cell r="Q109">
            <v>13.135067728354386</v>
          </cell>
          <cell r="R109">
            <v>49.615960458755218</v>
          </cell>
          <cell r="S109">
            <v>72.116944191179996</v>
          </cell>
        </row>
        <row r="110">
          <cell r="D110">
            <v>0</v>
          </cell>
          <cell r="E110">
            <v>0</v>
          </cell>
          <cell r="F110" t="str">
            <v>מגדל</v>
          </cell>
          <cell r="G110">
            <v>1559</v>
          </cell>
          <cell r="H110">
            <v>207050</v>
          </cell>
          <cell r="I110">
            <v>53628</v>
          </cell>
          <cell r="J110">
            <v>260678</v>
          </cell>
          <cell r="K110">
            <v>116103</v>
          </cell>
          <cell r="L110">
            <v>215859</v>
          </cell>
          <cell r="M110">
            <v>0</v>
          </cell>
          <cell r="N110">
            <v>1336</v>
          </cell>
          <cell r="O110">
            <v>217195</v>
          </cell>
          <cell r="P110">
            <v>43483</v>
          </cell>
          <cell r="Q110">
            <v>16.68073255127015</v>
          </cell>
          <cell r="R110">
            <v>74.472738935214878</v>
          </cell>
          <cell r="S110">
            <v>138.45991019884542</v>
          </cell>
        </row>
        <row r="111">
          <cell r="D111">
            <v>0</v>
          </cell>
          <cell r="E111">
            <v>0</v>
          </cell>
          <cell r="F111" t="str">
            <v>כפר כמא</v>
          </cell>
          <cell r="G111">
            <v>3005</v>
          </cell>
          <cell r="H111">
            <v>0</v>
          </cell>
          <cell r="I111">
            <v>197286</v>
          </cell>
          <cell r="J111">
            <v>197286</v>
          </cell>
          <cell r="K111">
            <v>144035</v>
          </cell>
          <cell r="L111">
            <v>160476</v>
          </cell>
          <cell r="M111">
            <v>0</v>
          </cell>
          <cell r="N111">
            <v>729</v>
          </cell>
          <cell r="O111">
            <v>161205</v>
          </cell>
          <cell r="P111">
            <v>36081</v>
          </cell>
          <cell r="Q111">
            <v>18.288677351662056</v>
          </cell>
          <cell r="R111">
            <v>47.931780366056572</v>
          </cell>
          <cell r="S111">
            <v>53.402995008319465</v>
          </cell>
        </row>
        <row r="112">
          <cell r="D112" t="str">
            <v>מי רקת טבריה בע"מ</v>
          </cell>
          <cell r="E112">
            <v>0</v>
          </cell>
          <cell r="F112" t="str">
            <v xml:space="preserve">סה"כ תאגיד </v>
          </cell>
          <cell r="G112">
            <v>46242</v>
          </cell>
          <cell r="H112">
            <v>4577450</v>
          </cell>
          <cell r="I112">
            <v>250914</v>
          </cell>
          <cell r="J112">
            <v>4828364</v>
          </cell>
          <cell r="K112">
            <v>2328032</v>
          </cell>
          <cell r="L112">
            <v>3382025</v>
          </cell>
          <cell r="M112">
            <v>790655</v>
          </cell>
          <cell r="N112">
            <v>2065</v>
          </cell>
          <cell r="O112">
            <v>4174745</v>
          </cell>
          <cell r="P112">
            <v>653619</v>
          </cell>
          <cell r="Q112">
            <v>48.104477631286592</v>
          </cell>
          <cell r="R112">
            <v>172.02047976002666</v>
          </cell>
          <cell r="S112">
            <v>263.97984939834487</v>
          </cell>
        </row>
        <row r="113">
          <cell r="D113">
            <v>0</v>
          </cell>
          <cell r="E113">
            <v>6841</v>
          </cell>
          <cell r="F113" t="str">
            <v>באר שבע</v>
          </cell>
          <cell r="G113">
            <v>196335</v>
          </cell>
          <cell r="H113">
            <v>0</v>
          </cell>
          <cell r="I113">
            <v>18145888</v>
          </cell>
          <cell r="J113">
            <v>18145888</v>
          </cell>
          <cell r="K113">
            <v>10124548</v>
          </cell>
          <cell r="L113">
            <v>14720275</v>
          </cell>
          <cell r="M113">
            <v>458072</v>
          </cell>
          <cell r="N113">
            <v>56524</v>
          </cell>
          <cell r="O113">
            <v>15234871</v>
          </cell>
          <cell r="P113">
            <v>2911017</v>
          </cell>
          <cell r="Q113">
            <v>16.042295642957789</v>
          </cell>
          <cell r="R113">
            <v>51.567718440420713</v>
          </cell>
          <cell r="S113">
            <v>74.975297323452267</v>
          </cell>
        </row>
        <row r="114">
          <cell r="D114">
            <v>0</v>
          </cell>
          <cell r="E114">
            <v>0</v>
          </cell>
          <cell r="F114" t="str">
            <v>אופקים</v>
          </cell>
          <cell r="G114">
            <v>24366</v>
          </cell>
          <cell r="H114">
            <v>0</v>
          </cell>
          <cell r="I114">
            <v>2249327</v>
          </cell>
          <cell r="J114">
            <v>2249327</v>
          </cell>
          <cell r="K114">
            <v>1094713</v>
          </cell>
          <cell r="L114">
            <v>1433090</v>
          </cell>
          <cell r="M114">
            <v>400123</v>
          </cell>
          <cell r="N114">
            <v>0</v>
          </cell>
          <cell r="O114">
            <v>1833213</v>
          </cell>
          <cell r="P114">
            <v>416114</v>
          </cell>
          <cell r="Q114">
            <v>18.499488958252847</v>
          </cell>
          <cell r="R114">
            <v>44.927891323976034</v>
          </cell>
          <cell r="S114">
            <v>58.815152261347777</v>
          </cell>
        </row>
        <row r="115">
          <cell r="D115" t="str">
            <v>מי שבע תאגיד המים והביוב לבאר שבע בע"מ</v>
          </cell>
          <cell r="E115">
            <v>0</v>
          </cell>
          <cell r="F115" t="str">
            <v xml:space="preserve">סה"כ תאגיד </v>
          </cell>
          <cell r="G115">
            <v>220701</v>
          </cell>
          <cell r="H115">
            <v>0</v>
          </cell>
          <cell r="I115">
            <v>20395215</v>
          </cell>
          <cell r="J115">
            <v>20395215</v>
          </cell>
          <cell r="K115">
            <v>11219261</v>
          </cell>
          <cell r="L115">
            <v>16153365</v>
          </cell>
          <cell r="M115">
            <v>858195</v>
          </cell>
          <cell r="N115">
            <v>56524</v>
          </cell>
          <cell r="O115">
            <v>17068084</v>
          </cell>
          <cell r="P115">
            <v>3327131</v>
          </cell>
          <cell r="Q115">
            <v>34.541784601210637</v>
          </cell>
          <cell r="R115">
            <v>96.495609764396747</v>
          </cell>
          <cell r="S115">
            <v>133.79044958480006</v>
          </cell>
        </row>
        <row r="116">
          <cell r="E116">
            <v>8329</v>
          </cell>
          <cell r="F116" t="str">
            <v>בית שמש</v>
          </cell>
          <cell r="G116">
            <v>84209</v>
          </cell>
          <cell r="H116">
            <v>0</v>
          </cell>
          <cell r="I116">
            <v>5357384</v>
          </cell>
          <cell r="J116">
            <v>5357384</v>
          </cell>
          <cell r="K116">
            <v>3536540</v>
          </cell>
          <cell r="L116">
            <v>4490740</v>
          </cell>
          <cell r="M116">
            <v>118294</v>
          </cell>
          <cell r="N116">
            <v>0</v>
          </cell>
          <cell r="O116">
            <v>4609034</v>
          </cell>
          <cell r="P116">
            <v>748350</v>
          </cell>
          <cell r="Q116">
            <v>13.968571228047121</v>
          </cell>
          <cell r="R116">
            <v>41.997173698773288</v>
          </cell>
          <cell r="S116">
            <v>53.328504079136437</v>
          </cell>
        </row>
        <row r="117">
          <cell r="D117" t="str">
            <v>מי שמש בע"מ</v>
          </cell>
          <cell r="E117">
            <v>0</v>
          </cell>
          <cell r="F117" t="str">
            <v xml:space="preserve">סה"כ תאגיד </v>
          </cell>
          <cell r="G117">
            <v>84209</v>
          </cell>
          <cell r="H117">
            <v>0</v>
          </cell>
          <cell r="I117">
            <v>5357384</v>
          </cell>
          <cell r="J117">
            <v>5357384</v>
          </cell>
          <cell r="K117">
            <v>3536540</v>
          </cell>
          <cell r="L117">
            <v>4490740</v>
          </cell>
          <cell r="M117">
            <v>118294</v>
          </cell>
          <cell r="N117">
            <v>0</v>
          </cell>
          <cell r="O117">
            <v>4609034</v>
          </cell>
          <cell r="P117">
            <v>748350</v>
          </cell>
          <cell r="Q117">
            <v>13.968571228047121</v>
          </cell>
          <cell r="R117">
            <v>41.997173698773288</v>
          </cell>
          <cell r="S117">
            <v>53.328504079136437</v>
          </cell>
        </row>
        <row r="118">
          <cell r="D118">
            <v>0</v>
          </cell>
          <cell r="E118">
            <v>7864</v>
          </cell>
          <cell r="F118" t="str">
            <v>אזור</v>
          </cell>
          <cell r="G118">
            <v>11587</v>
          </cell>
          <cell r="H118">
            <v>0</v>
          </cell>
          <cell r="I118">
            <v>1298735</v>
          </cell>
          <cell r="J118">
            <v>1298735</v>
          </cell>
          <cell r="K118">
            <v>662481</v>
          </cell>
          <cell r="L118">
            <v>891857</v>
          </cell>
          <cell r="M118">
            <v>222020</v>
          </cell>
          <cell r="N118">
            <v>12411</v>
          </cell>
          <cell r="O118">
            <v>1126288</v>
          </cell>
          <cell r="P118">
            <v>172447</v>
          </cell>
          <cell r="Q118">
            <v>13.27807443396844</v>
          </cell>
          <cell r="R118">
            <v>57.174505911797702</v>
          </cell>
          <cell r="S118">
            <v>76.970484163286443</v>
          </cell>
        </row>
        <row r="119">
          <cell r="D119">
            <v>0</v>
          </cell>
          <cell r="E119">
            <v>0</v>
          </cell>
          <cell r="F119" t="str">
            <v>חולון</v>
          </cell>
          <cell r="G119">
            <v>182575</v>
          </cell>
          <cell r="H119">
            <v>0</v>
          </cell>
          <cell r="I119">
            <v>13422560</v>
          </cell>
          <cell r="J119">
            <v>13422560</v>
          </cell>
          <cell r="K119">
            <v>9445824</v>
          </cell>
          <cell r="L119">
            <v>11506298</v>
          </cell>
          <cell r="M119">
            <v>243567</v>
          </cell>
          <cell r="N119">
            <v>0</v>
          </cell>
          <cell r="O119">
            <v>11749865</v>
          </cell>
          <cell r="P119">
            <v>1672695</v>
          </cell>
          <cell r="Q119">
            <v>12.461818013851307</v>
          </cell>
          <cell r="R119">
            <v>51.736678077502397</v>
          </cell>
          <cell r="S119">
            <v>63.022308640284812</v>
          </cell>
        </row>
        <row r="120">
          <cell r="D120">
            <v>0</v>
          </cell>
          <cell r="E120">
            <v>0</v>
          </cell>
          <cell r="F120" t="str">
            <v>בית דגן</v>
          </cell>
          <cell r="G120">
            <v>6961</v>
          </cell>
          <cell r="H120">
            <v>0</v>
          </cell>
          <cell r="I120">
            <v>538283</v>
          </cell>
          <cell r="J120">
            <v>538283</v>
          </cell>
          <cell r="K120">
            <v>372327</v>
          </cell>
          <cell r="L120">
            <v>461381</v>
          </cell>
          <cell r="M120">
            <v>0</v>
          </cell>
          <cell r="N120">
            <v>0</v>
          </cell>
          <cell r="O120">
            <v>461381</v>
          </cell>
          <cell r="P120">
            <v>76902</v>
          </cell>
          <cell r="Q120">
            <v>14.28653700748491</v>
          </cell>
          <cell r="R120">
            <v>53.487573624479239</v>
          </cell>
          <cell r="S120">
            <v>66.280850452521193</v>
          </cell>
        </row>
        <row r="121">
          <cell r="D121" t="str">
            <v xml:space="preserve">אור יהודה </v>
          </cell>
          <cell r="E121">
            <v>7627</v>
          </cell>
          <cell r="F121" t="str">
            <v>אור יהודה</v>
          </cell>
          <cell r="G121">
            <v>35019</v>
          </cell>
          <cell r="H121">
            <v>0</v>
          </cell>
          <cell r="I121">
            <v>3167699</v>
          </cell>
          <cell r="J121">
            <v>3167699</v>
          </cell>
          <cell r="K121">
            <v>1767660</v>
          </cell>
          <cell r="L121">
            <v>2662140</v>
          </cell>
          <cell r="M121">
            <v>0</v>
          </cell>
          <cell r="N121">
            <v>159415</v>
          </cell>
          <cell r="O121">
            <v>2821555</v>
          </cell>
          <cell r="P121">
            <v>346144</v>
          </cell>
          <cell r="Q121">
            <v>10.927300857815089</v>
          </cell>
          <cell r="R121">
            <v>50.477169536537311</v>
          </cell>
          <cell r="S121">
            <v>76.019874925040696</v>
          </cell>
        </row>
        <row r="122">
          <cell r="D122" t="str">
            <v>מי שקמה תאגיד המים והביוב בע"מ</v>
          </cell>
          <cell r="E122">
            <v>0</v>
          </cell>
          <cell r="F122" t="str">
            <v xml:space="preserve">סה"כ תאגיד </v>
          </cell>
          <cell r="G122">
            <v>236142</v>
          </cell>
          <cell r="H122">
            <v>0</v>
          </cell>
          <cell r="I122">
            <v>18427277</v>
          </cell>
          <cell r="J122">
            <v>18427277</v>
          </cell>
          <cell r="K122">
            <v>12248292</v>
          </cell>
          <cell r="L122">
            <v>15521676</v>
          </cell>
          <cell r="M122">
            <v>465587</v>
          </cell>
          <cell r="N122">
            <v>171826</v>
          </cell>
          <cell r="O122">
            <v>16159089</v>
          </cell>
          <cell r="P122">
            <v>2268188</v>
          </cell>
          <cell r="Q122">
            <v>50.953730313119749</v>
          </cell>
          <cell r="R122">
            <v>212.87592715031664</v>
          </cell>
          <cell r="S122">
            <v>282.29351818113315</v>
          </cell>
        </row>
        <row r="123">
          <cell r="E123">
            <v>5742</v>
          </cell>
          <cell r="F123" t="str">
            <v xml:space="preserve">פתח תקוה </v>
          </cell>
          <cell r="G123">
            <v>210376</v>
          </cell>
          <cell r="H123">
            <v>7676156</v>
          </cell>
          <cell r="I123">
            <v>8481701</v>
          </cell>
          <cell r="J123">
            <v>16157857</v>
          </cell>
          <cell r="K123">
            <v>11017785</v>
          </cell>
          <cell r="L123">
            <v>15021919</v>
          </cell>
          <cell r="M123">
            <v>187999</v>
          </cell>
          <cell r="N123">
            <v>48833</v>
          </cell>
          <cell r="O123">
            <v>15258751</v>
          </cell>
          <cell r="P123">
            <v>899106</v>
          </cell>
          <cell r="Q123">
            <v>5.5645126702136301</v>
          </cell>
          <cell r="R123">
            <v>52.371872266798491</v>
          </cell>
          <cell r="S123">
            <v>71.405098490322089</v>
          </cell>
        </row>
        <row r="124">
          <cell r="D124">
            <v>0</v>
          </cell>
          <cell r="E124">
            <v>0</v>
          </cell>
          <cell r="F124" t="str">
            <v>אלעד</v>
          </cell>
          <cell r="G124">
            <v>39796</v>
          </cell>
          <cell r="H124">
            <v>0</v>
          </cell>
          <cell r="I124">
            <v>1878533</v>
          </cell>
          <cell r="J124">
            <v>1878533</v>
          </cell>
          <cell r="K124">
            <v>1386071</v>
          </cell>
          <cell r="L124">
            <v>1636209</v>
          </cell>
          <cell r="M124">
            <v>0</v>
          </cell>
          <cell r="N124">
            <v>0</v>
          </cell>
          <cell r="O124">
            <v>1636209</v>
          </cell>
          <cell r="P124">
            <v>242324</v>
          </cell>
          <cell r="Q124">
            <v>12.899640304429042</v>
          </cell>
          <cell r="R124">
            <v>34.82940496532315</v>
          </cell>
          <cell r="S124">
            <v>41.114911046336317</v>
          </cell>
        </row>
        <row r="125">
          <cell r="D125">
            <v>0</v>
          </cell>
          <cell r="E125">
            <v>0</v>
          </cell>
          <cell r="F125" t="str">
            <v>כפר ברא</v>
          </cell>
          <cell r="G125">
            <v>3012</v>
          </cell>
          <cell r="H125">
            <v>0</v>
          </cell>
          <cell r="I125">
            <v>192742</v>
          </cell>
          <cell r="J125">
            <v>192742</v>
          </cell>
          <cell r="K125">
            <v>123404</v>
          </cell>
          <cell r="L125">
            <v>131381</v>
          </cell>
          <cell r="M125">
            <v>0</v>
          </cell>
          <cell r="N125">
            <v>0</v>
          </cell>
          <cell r="O125">
            <v>131381</v>
          </cell>
          <cell r="P125">
            <v>61361</v>
          </cell>
          <cell r="Q125">
            <v>31.835821979641178</v>
          </cell>
          <cell r="R125">
            <v>40.970783532536522</v>
          </cell>
          <cell r="S125">
            <v>43.619189907038511</v>
          </cell>
        </row>
        <row r="126">
          <cell r="D126" t="str">
            <v>מיתב מים תיעול וביוב בע"מ</v>
          </cell>
          <cell r="E126">
            <v>0</v>
          </cell>
          <cell r="F126" t="str">
            <v xml:space="preserve">סה"כ תאגיד </v>
          </cell>
          <cell r="G126">
            <v>253184</v>
          </cell>
          <cell r="H126">
            <v>7676156</v>
          </cell>
          <cell r="I126">
            <v>10552976</v>
          </cell>
          <cell r="J126">
            <v>18229132</v>
          </cell>
          <cell r="K126">
            <v>12527260</v>
          </cell>
          <cell r="L126">
            <v>16789509</v>
          </cell>
          <cell r="M126">
            <v>187999</v>
          </cell>
          <cell r="N126">
            <v>48833</v>
          </cell>
          <cell r="O126">
            <v>17026341</v>
          </cell>
          <cell r="P126">
            <v>1202791</v>
          </cell>
          <cell r="Q126">
            <v>50.299974954283854</v>
          </cell>
          <cell r="R126">
            <v>128.17206076465817</v>
          </cell>
          <cell r="S126">
            <v>156.13919944369692</v>
          </cell>
        </row>
        <row r="127">
          <cell r="E127">
            <v>6019</v>
          </cell>
          <cell r="F127" t="str">
            <v>ראשון לציון</v>
          </cell>
          <cell r="G127">
            <v>232410</v>
          </cell>
          <cell r="H127">
            <v>10037068</v>
          </cell>
          <cell r="I127">
            <v>9269876</v>
          </cell>
          <cell r="J127">
            <v>19306944</v>
          </cell>
          <cell r="K127">
            <v>12217983</v>
          </cell>
          <cell r="L127">
            <v>17425166</v>
          </cell>
          <cell r="M127">
            <v>409366</v>
          </cell>
          <cell r="N127">
            <v>8140</v>
          </cell>
          <cell r="O127">
            <v>17842672</v>
          </cell>
          <cell r="P127">
            <v>1464272</v>
          </cell>
          <cell r="Q127">
            <v>7.5841728240367816</v>
          </cell>
          <cell r="R127">
            <v>52.570814508842133</v>
          </cell>
          <cell r="S127">
            <v>74.975973495116392</v>
          </cell>
        </row>
        <row r="128">
          <cell r="D128" t="str">
            <v>מניב ראשון בע"מ</v>
          </cell>
          <cell r="E128">
            <v>0</v>
          </cell>
          <cell r="F128" t="str">
            <v xml:space="preserve">סה"כ תאגיד </v>
          </cell>
          <cell r="G128">
            <v>232410</v>
          </cell>
          <cell r="H128">
            <v>10037068</v>
          </cell>
          <cell r="I128">
            <v>9269876</v>
          </cell>
          <cell r="J128">
            <v>19306944</v>
          </cell>
          <cell r="K128">
            <v>12217983</v>
          </cell>
          <cell r="L128">
            <v>17425166</v>
          </cell>
          <cell r="M128">
            <v>409366</v>
          </cell>
          <cell r="N128">
            <v>8140</v>
          </cell>
          <cell r="O128">
            <v>17842672</v>
          </cell>
          <cell r="P128">
            <v>1464272</v>
          </cell>
          <cell r="Q128">
            <v>7.5841728240367816</v>
          </cell>
          <cell r="R128">
            <v>52.570814508842133</v>
          </cell>
          <cell r="S128">
            <v>74.975973495116392</v>
          </cell>
        </row>
        <row r="129">
          <cell r="E129">
            <v>3070</v>
          </cell>
          <cell r="F129" t="str">
            <v>קריית אתא</v>
          </cell>
          <cell r="G129">
            <v>52030</v>
          </cell>
          <cell r="H129">
            <v>0</v>
          </cell>
          <cell r="I129">
            <v>3627098</v>
          </cell>
          <cell r="J129">
            <v>3627098</v>
          </cell>
          <cell r="K129">
            <v>2611755</v>
          </cell>
          <cell r="L129">
            <v>3249509</v>
          </cell>
          <cell r="M129">
            <v>49030</v>
          </cell>
          <cell r="N129">
            <v>456</v>
          </cell>
          <cell r="O129">
            <v>3298995</v>
          </cell>
          <cell r="P129">
            <v>328103</v>
          </cell>
          <cell r="Q129">
            <v>9.0458818592715158</v>
          </cell>
          <cell r="R129">
            <v>50.197097828176055</v>
          </cell>
          <cell r="S129">
            <v>62.454526234864502</v>
          </cell>
        </row>
        <row r="130">
          <cell r="D130" t="str">
            <v>מי קריית אתא בע"מ</v>
          </cell>
          <cell r="E130">
            <v>0</v>
          </cell>
          <cell r="F130" t="str">
            <v xml:space="preserve">סה"כ תאגיד </v>
          </cell>
          <cell r="G130">
            <v>52030</v>
          </cell>
          <cell r="H130">
            <v>0</v>
          </cell>
          <cell r="I130">
            <v>3627098</v>
          </cell>
          <cell r="J130">
            <v>3627098</v>
          </cell>
          <cell r="K130">
            <v>2611755</v>
          </cell>
          <cell r="L130">
            <v>3249509</v>
          </cell>
          <cell r="M130">
            <v>49030</v>
          </cell>
          <cell r="N130">
            <v>456</v>
          </cell>
          <cell r="O130">
            <v>3298995</v>
          </cell>
          <cell r="P130">
            <v>328103</v>
          </cell>
          <cell r="Q130">
            <v>9.0458818592715158</v>
          </cell>
          <cell r="R130">
            <v>50.197097828176055</v>
          </cell>
          <cell r="S130">
            <v>62.454526234864502</v>
          </cell>
        </row>
        <row r="131">
          <cell r="D131">
            <v>0</v>
          </cell>
          <cell r="E131">
            <v>4457</v>
          </cell>
          <cell r="F131" t="str">
            <v>טירה</v>
          </cell>
          <cell r="G131">
            <v>23346</v>
          </cell>
          <cell r="H131">
            <v>1368500</v>
          </cell>
          <cell r="I131">
            <v>707700</v>
          </cell>
          <cell r="J131">
            <v>2076200</v>
          </cell>
          <cell r="K131">
            <v>10772051</v>
          </cell>
          <cell r="L131">
            <v>14733022</v>
          </cell>
          <cell r="M131">
            <v>254423</v>
          </cell>
          <cell r="N131">
            <v>39137</v>
          </cell>
          <cell r="O131">
            <v>15026582</v>
          </cell>
          <cell r="P131">
            <v>912590</v>
          </cell>
          <cell r="Q131">
            <v>5.7254542456785078</v>
          </cell>
          <cell r="R131">
            <v>51.203801764459826</v>
          </cell>
          <cell r="S131">
            <v>70.031857246073699</v>
          </cell>
        </row>
        <row r="132">
          <cell r="D132">
            <v>0</v>
          </cell>
          <cell r="E132">
            <v>0</v>
          </cell>
          <cell r="F132" t="str">
            <v xml:space="preserve">ג'לג'וליה </v>
          </cell>
          <cell r="G132">
            <v>8709</v>
          </cell>
          <cell r="H132">
            <v>1096200</v>
          </cell>
          <cell r="I132">
            <v>0</v>
          </cell>
          <cell r="J132">
            <v>1096200</v>
          </cell>
          <cell r="K132">
            <v>1440448</v>
          </cell>
          <cell r="L132">
            <v>1665459</v>
          </cell>
          <cell r="M132">
            <v>0</v>
          </cell>
          <cell r="N132">
            <v>0</v>
          </cell>
          <cell r="O132">
            <v>1665459</v>
          </cell>
          <cell r="P132">
            <v>179441</v>
          </cell>
          <cell r="Q132">
            <v>9.7263266301696572</v>
          </cell>
          <cell r="R132">
            <v>36.195798572720875</v>
          </cell>
          <cell r="S132">
            <v>41.849909538647097</v>
          </cell>
        </row>
        <row r="133">
          <cell r="D133">
            <v>0</v>
          </cell>
          <cell r="E133">
            <v>0</v>
          </cell>
          <cell r="F133" t="str">
            <v>כפר קאסם</v>
          </cell>
          <cell r="G133">
            <v>20027</v>
          </cell>
          <cell r="H133">
            <v>961250</v>
          </cell>
          <cell r="I133">
            <v>872446</v>
          </cell>
          <cell r="J133">
            <v>1833696</v>
          </cell>
          <cell r="K133">
            <v>114092</v>
          </cell>
          <cell r="L133">
            <v>119640</v>
          </cell>
          <cell r="M133">
            <v>0</v>
          </cell>
          <cell r="N133">
            <v>0</v>
          </cell>
          <cell r="O133">
            <v>119640</v>
          </cell>
          <cell r="P133">
            <v>69351</v>
          </cell>
          <cell r="Q133">
            <v>36.69539819356477</v>
          </cell>
          <cell r="R133">
            <v>37.87915006640106</v>
          </cell>
          <cell r="S133">
            <v>39.721115537848604</v>
          </cell>
        </row>
        <row r="134">
          <cell r="D134" t="str">
            <v>מעינות המשולש בע"מ</v>
          </cell>
          <cell r="E134">
            <v>0</v>
          </cell>
          <cell r="F134" t="str">
            <v xml:space="preserve">סה"כ תאגיד </v>
          </cell>
          <cell r="G134">
            <v>52082</v>
          </cell>
          <cell r="H134">
            <v>3425950</v>
          </cell>
          <cell r="I134">
            <v>1580146</v>
          </cell>
          <cell r="J134">
            <v>5006096</v>
          </cell>
          <cell r="K134">
            <v>12326591</v>
          </cell>
          <cell r="L134">
            <v>16518121</v>
          </cell>
          <cell r="M134">
            <v>254423</v>
          </cell>
          <cell r="N134">
            <v>39137</v>
          </cell>
          <cell r="O134">
            <v>16811681</v>
          </cell>
          <cell r="P134">
            <v>1161382</v>
          </cell>
          <cell r="Q134">
            <v>52.147179069412935</v>
          </cell>
          <cell r="R134">
            <v>125.27875040358177</v>
          </cell>
          <cell r="S134">
            <v>151.6028823225694</v>
          </cell>
        </row>
        <row r="135">
          <cell r="E135">
            <v>7290</v>
          </cell>
          <cell r="F135" t="str">
            <v>ערד</v>
          </cell>
          <cell r="G135">
            <v>23437</v>
          </cell>
          <cell r="H135">
            <v>0</v>
          </cell>
          <cell r="I135">
            <v>2351024</v>
          </cell>
          <cell r="J135">
            <v>2351024</v>
          </cell>
          <cell r="K135">
            <v>1228128</v>
          </cell>
          <cell r="L135">
            <v>1687922</v>
          </cell>
          <cell r="M135">
            <v>236693</v>
          </cell>
          <cell r="N135">
            <v>1415</v>
          </cell>
          <cell r="O135">
            <v>1926030</v>
          </cell>
          <cell r="P135">
            <v>424994</v>
          </cell>
          <cell r="Q135">
            <v>18.076974118511764</v>
          </cell>
          <cell r="R135">
            <v>52.401245893245722</v>
          </cell>
          <cell r="S135">
            <v>72.019541750224008</v>
          </cell>
        </row>
        <row r="136">
          <cell r="D136">
            <v>0</v>
          </cell>
          <cell r="E136">
            <v>0</v>
          </cell>
          <cell r="F136" t="str">
            <v>דימונה</v>
          </cell>
          <cell r="G136">
            <v>32433</v>
          </cell>
          <cell r="H136">
            <v>0</v>
          </cell>
          <cell r="I136">
            <v>3129367</v>
          </cell>
          <cell r="J136">
            <v>3129367</v>
          </cell>
          <cell r="K136">
            <v>1728023</v>
          </cell>
          <cell r="L136">
            <v>2430428</v>
          </cell>
          <cell r="M136">
            <v>248068</v>
          </cell>
          <cell r="N136">
            <v>0</v>
          </cell>
          <cell r="O136">
            <v>2678496</v>
          </cell>
          <cell r="P136">
            <v>450871</v>
          </cell>
          <cell r="Q136">
            <v>14.407738050538654</v>
          </cell>
          <cell r="R136">
            <v>53.279776770573179</v>
          </cell>
          <cell r="S136">
            <v>74.936885271174418</v>
          </cell>
        </row>
        <row r="137">
          <cell r="D137">
            <v>0</v>
          </cell>
          <cell r="E137">
            <v>0</v>
          </cell>
          <cell r="F137" t="str">
            <v>ירוחם</v>
          </cell>
          <cell r="G137">
            <v>8282</v>
          </cell>
          <cell r="H137">
            <v>0</v>
          </cell>
          <cell r="I137">
            <v>1114586</v>
          </cell>
          <cell r="J137">
            <v>1114586</v>
          </cell>
          <cell r="K137">
            <v>444179</v>
          </cell>
          <cell r="L137">
            <v>716393</v>
          </cell>
          <cell r="M137">
            <v>248291</v>
          </cell>
          <cell r="N137">
            <v>0</v>
          </cell>
          <cell r="O137">
            <v>964684</v>
          </cell>
          <cell r="P137">
            <v>149902</v>
          </cell>
          <cell r="Q137">
            <v>13.449119224537181</v>
          </cell>
          <cell r="R137">
            <v>53.631852209611203</v>
          </cell>
          <cell r="S137">
            <v>86.5</v>
          </cell>
        </row>
        <row r="138">
          <cell r="D138">
            <v>0</v>
          </cell>
          <cell r="E138">
            <v>0</v>
          </cell>
          <cell r="F138" t="str">
            <v>מצפה רמון</v>
          </cell>
          <cell r="G138">
            <v>4915</v>
          </cell>
          <cell r="H138">
            <v>0</v>
          </cell>
          <cell r="I138">
            <v>677889</v>
          </cell>
          <cell r="J138">
            <v>677889</v>
          </cell>
          <cell r="K138">
            <v>207011</v>
          </cell>
          <cell r="L138">
            <v>386525</v>
          </cell>
          <cell r="M138">
            <v>145186</v>
          </cell>
          <cell r="N138">
            <v>12125</v>
          </cell>
          <cell r="O138">
            <v>543836</v>
          </cell>
          <cell r="P138">
            <v>134053</v>
          </cell>
          <cell r="Q138">
            <v>19.775066419428551</v>
          </cell>
          <cell r="R138">
            <v>42.118209562563578</v>
          </cell>
          <cell r="S138">
            <v>78.641912512716175</v>
          </cell>
        </row>
        <row r="139">
          <cell r="D139" t="str">
            <v>מעיינות הדרום בע"מ</v>
          </cell>
          <cell r="E139">
            <v>0</v>
          </cell>
          <cell r="F139" t="str">
            <v xml:space="preserve">סה"כ תאגיד </v>
          </cell>
          <cell r="G139">
            <v>69067</v>
          </cell>
          <cell r="H139">
            <v>0</v>
          </cell>
          <cell r="I139">
            <v>7272866</v>
          </cell>
          <cell r="J139">
            <v>7272866</v>
          </cell>
          <cell r="K139">
            <v>3607341</v>
          </cell>
          <cell r="L139">
            <v>5221268</v>
          </cell>
          <cell r="M139">
            <v>878238</v>
          </cell>
          <cell r="N139">
            <v>13540</v>
          </cell>
          <cell r="O139">
            <v>6113046</v>
          </cell>
          <cell r="P139">
            <v>1159820</v>
          </cell>
          <cell r="Q139">
            <v>65.708897813016151</v>
          </cell>
          <cell r="R139">
            <v>201.43108443599368</v>
          </cell>
          <cell r="S139">
            <v>312.09833953411464</v>
          </cell>
        </row>
        <row r="140">
          <cell r="E140">
            <v>1719</v>
          </cell>
          <cell r="F140" t="str">
            <v>יקנעם עילית</v>
          </cell>
          <cell r="G140">
            <v>19524</v>
          </cell>
          <cell r="H140">
            <v>0</v>
          </cell>
          <cell r="I140">
            <v>1447965</v>
          </cell>
          <cell r="J140">
            <v>1447965</v>
          </cell>
          <cell r="K140">
            <v>918670</v>
          </cell>
          <cell r="L140">
            <v>1278288</v>
          </cell>
          <cell r="M140">
            <v>3489</v>
          </cell>
          <cell r="N140">
            <v>0</v>
          </cell>
          <cell r="O140">
            <v>1281777</v>
          </cell>
          <cell r="P140">
            <v>166188</v>
          </cell>
          <cell r="Q140">
            <v>11.477349245320156</v>
          </cell>
          <cell r="R140">
            <v>47.053370211022333</v>
          </cell>
          <cell r="S140">
            <v>65.472649047326371</v>
          </cell>
        </row>
        <row r="141">
          <cell r="D141">
            <v>0</v>
          </cell>
          <cell r="E141">
            <v>0</v>
          </cell>
          <cell r="F141" t="str">
            <v>קריית טבעון</v>
          </cell>
          <cell r="G141">
            <v>17057</v>
          </cell>
          <cell r="H141">
            <v>0</v>
          </cell>
          <cell r="I141">
            <v>1421805</v>
          </cell>
          <cell r="J141">
            <v>1421805</v>
          </cell>
          <cell r="K141">
            <v>971546</v>
          </cell>
          <cell r="L141">
            <v>1284895</v>
          </cell>
          <cell r="M141">
            <v>0</v>
          </cell>
          <cell r="N141">
            <v>9077</v>
          </cell>
          <cell r="O141">
            <v>1293972</v>
          </cell>
          <cell r="P141">
            <v>127833</v>
          </cell>
          <cell r="Q141">
            <v>8.9908953759481776</v>
          </cell>
          <cell r="R141">
            <v>56.958785249457698</v>
          </cell>
          <cell r="S141">
            <v>75.329483496511699</v>
          </cell>
        </row>
        <row r="142">
          <cell r="D142">
            <v>0</v>
          </cell>
          <cell r="E142">
            <v>0</v>
          </cell>
          <cell r="F142" t="str">
            <v>רמת ישי</v>
          </cell>
          <cell r="G142">
            <v>7113</v>
          </cell>
          <cell r="H142">
            <v>0</v>
          </cell>
          <cell r="I142">
            <v>512160</v>
          </cell>
          <cell r="J142">
            <v>512160</v>
          </cell>
          <cell r="K142">
            <v>389423</v>
          </cell>
          <cell r="L142">
            <v>456218</v>
          </cell>
          <cell r="M142">
            <v>0</v>
          </cell>
          <cell r="N142">
            <v>0</v>
          </cell>
          <cell r="O142">
            <v>456218</v>
          </cell>
          <cell r="P142">
            <v>55942</v>
          </cell>
          <cell r="Q142">
            <v>10.922758512964698</v>
          </cell>
          <cell r="R142">
            <v>54.748066919724451</v>
          </cell>
          <cell r="S142">
            <v>64.138619429214117</v>
          </cell>
        </row>
        <row r="143">
          <cell r="D143" t="str">
            <v>מעיינות העמקים בע"מ</v>
          </cell>
          <cell r="E143">
            <v>0</v>
          </cell>
          <cell r="F143" t="str">
            <v xml:space="preserve">סה"כ תאגיד </v>
          </cell>
          <cell r="G143">
            <v>43694</v>
          </cell>
          <cell r="H143">
            <v>0</v>
          </cell>
          <cell r="I143">
            <v>3381930</v>
          </cell>
          <cell r="J143">
            <v>3381930</v>
          </cell>
          <cell r="K143">
            <v>2279639</v>
          </cell>
          <cell r="L143">
            <v>3019401</v>
          </cell>
          <cell r="M143">
            <v>3489</v>
          </cell>
          <cell r="N143">
            <v>9077</v>
          </cell>
          <cell r="O143">
            <v>3031967</v>
          </cell>
          <cell r="P143">
            <v>349963</v>
          </cell>
          <cell r="Q143">
            <v>31.391003134233031</v>
          </cell>
          <cell r="R143">
            <v>158.76022238020448</v>
          </cell>
          <cell r="S143">
            <v>204.94075197305219</v>
          </cell>
        </row>
        <row r="144">
          <cell r="E144">
            <v>3178</v>
          </cell>
          <cell r="F144" t="str">
            <v>אבן יהודה</v>
          </cell>
          <cell r="G144">
            <v>11853</v>
          </cell>
          <cell r="H144">
            <v>0</v>
          </cell>
          <cell r="I144">
            <v>1272811</v>
          </cell>
          <cell r="J144">
            <v>1272811</v>
          </cell>
          <cell r="K144">
            <v>803077</v>
          </cell>
          <cell r="L144">
            <v>1059648</v>
          </cell>
          <cell r="M144">
            <v>0</v>
          </cell>
          <cell r="N144">
            <v>17061</v>
          </cell>
          <cell r="O144">
            <v>1076709</v>
          </cell>
          <cell r="P144">
            <v>196102</v>
          </cell>
          <cell r="Q144">
            <v>15.407000725166581</v>
          </cell>
          <cell r="R144">
            <v>67.753058297477438</v>
          </cell>
          <cell r="S144">
            <v>89.399139458364971</v>
          </cell>
        </row>
        <row r="145">
          <cell r="D145">
            <v>0</v>
          </cell>
          <cell r="E145">
            <v>0</v>
          </cell>
          <cell r="F145" t="str">
            <v>כפר יונה</v>
          </cell>
          <cell r="G145">
            <v>19500</v>
          </cell>
          <cell r="H145">
            <v>722970</v>
          </cell>
          <cell r="I145">
            <v>940821</v>
          </cell>
          <cell r="J145">
            <v>1663791</v>
          </cell>
          <cell r="K145">
            <v>1102842</v>
          </cell>
          <cell r="L145">
            <v>1335918</v>
          </cell>
          <cell r="M145">
            <v>0</v>
          </cell>
          <cell r="N145">
            <v>59906</v>
          </cell>
          <cell r="O145">
            <v>1395824</v>
          </cell>
          <cell r="P145">
            <v>267967</v>
          </cell>
          <cell r="Q145">
            <v>16.105808962784387</v>
          </cell>
          <cell r="R145">
            <v>56.555999999999997</v>
          </cell>
          <cell r="S145">
            <v>68.508615384615382</v>
          </cell>
        </row>
        <row r="146">
          <cell r="D146">
            <v>0</v>
          </cell>
          <cell r="E146">
            <v>0</v>
          </cell>
          <cell r="F146" t="str">
            <v>פרדסיה</v>
          </cell>
          <cell r="G146">
            <v>5460</v>
          </cell>
          <cell r="H146">
            <v>318381</v>
          </cell>
          <cell r="I146">
            <v>166145</v>
          </cell>
          <cell r="J146">
            <v>484526</v>
          </cell>
          <cell r="K146">
            <v>339832</v>
          </cell>
          <cell r="L146">
            <v>455611</v>
          </cell>
          <cell r="M146">
            <v>0</v>
          </cell>
          <cell r="N146">
            <v>2725</v>
          </cell>
          <cell r="O146">
            <v>458336</v>
          </cell>
          <cell r="P146">
            <v>26190</v>
          </cell>
          <cell r="Q146">
            <v>5.4052826886482874</v>
          </cell>
          <cell r="R146">
            <v>62.240293040293039</v>
          </cell>
          <cell r="S146">
            <v>83.445238095238096</v>
          </cell>
        </row>
        <row r="147">
          <cell r="D147">
            <v>0</v>
          </cell>
          <cell r="E147">
            <v>0</v>
          </cell>
          <cell r="F147" t="str">
            <v>קדימה צורן</v>
          </cell>
          <cell r="G147">
            <v>17602</v>
          </cell>
          <cell r="H147">
            <v>863500</v>
          </cell>
          <cell r="I147">
            <v>619872</v>
          </cell>
          <cell r="J147">
            <v>1483372</v>
          </cell>
          <cell r="K147">
            <v>766996</v>
          </cell>
          <cell r="L147">
            <v>1112163</v>
          </cell>
          <cell r="M147">
            <v>0</v>
          </cell>
          <cell r="N147">
            <v>276661</v>
          </cell>
          <cell r="O147">
            <v>1388824</v>
          </cell>
          <cell r="P147">
            <v>94548</v>
          </cell>
          <cell r="Q147">
            <v>6.3738563219475628</v>
          </cell>
          <cell r="R147">
            <v>43.574366549255764</v>
          </cell>
          <cell r="S147">
            <v>63.183899556868539</v>
          </cell>
        </row>
        <row r="148">
          <cell r="D148">
            <v>0</v>
          </cell>
          <cell r="E148">
            <v>0</v>
          </cell>
          <cell r="F148" t="str">
            <v>תל מונד</v>
          </cell>
          <cell r="G148">
            <v>10818</v>
          </cell>
          <cell r="H148">
            <v>0</v>
          </cell>
          <cell r="I148">
            <v>1010025</v>
          </cell>
          <cell r="J148">
            <v>1010025</v>
          </cell>
          <cell r="K148">
            <v>715716</v>
          </cell>
          <cell r="L148">
            <v>898794</v>
          </cell>
          <cell r="M148">
            <v>0</v>
          </cell>
          <cell r="N148">
            <v>707</v>
          </cell>
          <cell r="O148">
            <v>899501</v>
          </cell>
          <cell r="P148">
            <v>110524</v>
          </cell>
          <cell r="Q148">
            <v>10.942699438132719</v>
          </cell>
          <cell r="R148">
            <v>66.159733777038269</v>
          </cell>
          <cell r="S148">
            <v>83.083194675540767</v>
          </cell>
        </row>
        <row r="149">
          <cell r="D149" t="str">
            <v>מי השרון בע"מ</v>
          </cell>
          <cell r="E149">
            <v>0</v>
          </cell>
          <cell r="F149" t="str">
            <v xml:space="preserve">סה"כ תאגיד </v>
          </cell>
          <cell r="G149">
            <v>65233</v>
          </cell>
          <cell r="H149">
            <v>1904851</v>
          </cell>
          <cell r="I149">
            <v>4009674</v>
          </cell>
          <cell r="J149">
            <v>5914525</v>
          </cell>
          <cell r="K149">
            <v>3728463</v>
          </cell>
          <cell r="L149">
            <v>4862134</v>
          </cell>
          <cell r="M149">
            <v>0</v>
          </cell>
          <cell r="N149">
            <v>357060</v>
          </cell>
          <cell r="O149">
            <v>5219194</v>
          </cell>
          <cell r="P149">
            <v>695331</v>
          </cell>
          <cell r="Q149">
            <v>54.234648136679539</v>
          </cell>
          <cell r="R149">
            <v>296.2834516640645</v>
          </cell>
          <cell r="S149">
            <v>387.62008717062776</v>
          </cell>
        </row>
        <row r="150">
          <cell r="E150">
            <v>778</v>
          </cell>
          <cell r="F150" t="str">
            <v>מעלות-תרשיחא</v>
          </cell>
          <cell r="G150">
            <v>21032</v>
          </cell>
          <cell r="H150">
            <v>0</v>
          </cell>
          <cell r="I150">
            <v>1817054</v>
          </cell>
          <cell r="J150">
            <v>1817054</v>
          </cell>
          <cell r="K150">
            <v>959152</v>
          </cell>
          <cell r="L150">
            <v>1365310</v>
          </cell>
          <cell r="M150">
            <v>71346</v>
          </cell>
          <cell r="N150">
            <v>14121</v>
          </cell>
          <cell r="O150">
            <v>1450777</v>
          </cell>
          <cell r="P150">
            <v>366277</v>
          </cell>
          <cell r="Q150">
            <v>20.157738845405806</v>
          </cell>
          <cell r="R150">
            <v>45.604412324077593</v>
          </cell>
          <cell r="S150">
            <v>64.91584252567516</v>
          </cell>
        </row>
        <row r="151">
          <cell r="D151">
            <v>0</v>
          </cell>
          <cell r="E151">
            <v>0</v>
          </cell>
          <cell r="F151" t="str">
            <v>כסרא-סמיע</v>
          </cell>
          <cell r="G151">
            <v>7577</v>
          </cell>
          <cell r="H151">
            <v>0</v>
          </cell>
          <cell r="I151">
            <v>351125</v>
          </cell>
          <cell r="J151">
            <v>351125</v>
          </cell>
          <cell r="K151">
            <v>215972</v>
          </cell>
          <cell r="L151">
            <v>242817</v>
          </cell>
          <cell r="M151">
            <v>0</v>
          </cell>
          <cell r="N151">
            <v>1318</v>
          </cell>
          <cell r="O151">
            <v>244135</v>
          </cell>
          <cell r="P151">
            <v>106990</v>
          </cell>
          <cell r="Q151">
            <v>30.47063011747953</v>
          </cell>
          <cell r="R151">
            <v>28.503629404777616</v>
          </cell>
          <cell r="S151">
            <v>32.046588359509038</v>
          </cell>
        </row>
        <row r="152">
          <cell r="D152">
            <v>0</v>
          </cell>
          <cell r="E152">
            <v>0</v>
          </cell>
          <cell r="F152" t="str">
            <v>כפר ורדים</v>
          </cell>
          <cell r="G152">
            <v>5605</v>
          </cell>
          <cell r="H152">
            <v>0</v>
          </cell>
          <cell r="I152">
            <v>548056</v>
          </cell>
          <cell r="J152">
            <v>548056</v>
          </cell>
          <cell r="K152">
            <v>363802</v>
          </cell>
          <cell r="L152">
            <v>459629</v>
          </cell>
          <cell r="M152">
            <v>0</v>
          </cell>
          <cell r="N152">
            <v>0</v>
          </cell>
          <cell r="O152">
            <v>459629</v>
          </cell>
          <cell r="P152">
            <v>88427</v>
          </cell>
          <cell r="Q152">
            <v>16.134665070722701</v>
          </cell>
          <cell r="R152">
            <v>64.906690454950933</v>
          </cell>
          <cell r="S152">
            <v>82.003389830508468</v>
          </cell>
        </row>
        <row r="153">
          <cell r="D153">
            <v>0</v>
          </cell>
          <cell r="E153">
            <v>0</v>
          </cell>
          <cell r="F153" t="str">
            <v>שלומי</v>
          </cell>
          <cell r="G153">
            <v>6053</v>
          </cell>
          <cell r="H153">
            <v>0</v>
          </cell>
          <cell r="I153">
            <v>844803</v>
          </cell>
          <cell r="J153">
            <v>844803</v>
          </cell>
          <cell r="K153">
            <v>289970</v>
          </cell>
          <cell r="L153">
            <v>396026</v>
          </cell>
          <cell r="M153">
            <v>406208</v>
          </cell>
          <cell r="N153">
            <v>0</v>
          </cell>
          <cell r="O153">
            <v>802234</v>
          </cell>
          <cell r="P153">
            <v>42569</v>
          </cell>
          <cell r="Q153">
            <v>5.038926234873693</v>
          </cell>
          <cell r="R153">
            <v>47.905170989591937</v>
          </cell>
          <cell r="S153">
            <v>65.426400132165867</v>
          </cell>
        </row>
        <row r="154">
          <cell r="D154" t="str">
            <v>מעיינות זיו בע"מ</v>
          </cell>
          <cell r="E154">
            <v>0</v>
          </cell>
          <cell r="F154" t="str">
            <v xml:space="preserve">סה"כ תאגיד </v>
          </cell>
          <cell r="G154">
            <v>40267</v>
          </cell>
          <cell r="H154">
            <v>0</v>
          </cell>
          <cell r="I154">
            <v>3561038</v>
          </cell>
          <cell r="J154">
            <v>3561038</v>
          </cell>
          <cell r="K154">
            <v>1828896</v>
          </cell>
          <cell r="L154">
            <v>2463782</v>
          </cell>
          <cell r="M154">
            <v>477554</v>
          </cell>
          <cell r="N154">
            <v>15439</v>
          </cell>
          <cell r="O154">
            <v>2956775</v>
          </cell>
          <cell r="P154">
            <v>604263</v>
          </cell>
          <cell r="Q154">
            <v>71.801960268481736</v>
          </cell>
          <cell r="R154">
            <v>186.91990317339807</v>
          </cell>
          <cell r="S154">
            <v>244.39222084785854</v>
          </cell>
        </row>
        <row r="155">
          <cell r="D155">
            <v>0</v>
          </cell>
          <cell r="E155">
            <v>6646</v>
          </cell>
          <cell r="F155" t="str">
            <v>תל שבע</v>
          </cell>
          <cell r="G155">
            <v>16434</v>
          </cell>
          <cell r="H155">
            <v>0</v>
          </cell>
          <cell r="I155">
            <v>1078964</v>
          </cell>
          <cell r="J155">
            <v>1078964</v>
          </cell>
          <cell r="K155">
            <v>575125</v>
          </cell>
          <cell r="L155">
            <v>610585</v>
          </cell>
          <cell r="M155">
            <v>8362</v>
          </cell>
          <cell r="N155">
            <v>0</v>
          </cell>
          <cell r="O155">
            <v>618947</v>
          </cell>
          <cell r="P155">
            <v>460017</v>
          </cell>
          <cell r="Q155">
            <v>42.635064747294628</v>
          </cell>
          <cell r="R155">
            <v>34.996044785201413</v>
          </cell>
          <cell r="S155">
            <v>37.153766581477427</v>
          </cell>
        </row>
        <row r="156">
          <cell r="D156">
            <v>0</v>
          </cell>
          <cell r="E156">
            <v>0</v>
          </cell>
          <cell r="F156" t="str">
            <v>חורה</v>
          </cell>
          <cell r="G156">
            <v>16980</v>
          </cell>
          <cell r="H156">
            <v>0</v>
          </cell>
          <cell r="I156">
            <v>878703</v>
          </cell>
          <cell r="J156">
            <v>878703</v>
          </cell>
          <cell r="K156">
            <v>498935</v>
          </cell>
          <cell r="L156">
            <v>558009</v>
          </cell>
          <cell r="M156">
            <v>0</v>
          </cell>
          <cell r="N156">
            <v>569</v>
          </cell>
          <cell r="O156">
            <v>558578</v>
          </cell>
          <cell r="P156">
            <v>320125</v>
          </cell>
          <cell r="Q156">
            <v>36.431536025255404</v>
          </cell>
          <cell r="R156">
            <v>29.383686690223794</v>
          </cell>
          <cell r="S156">
            <v>32.86272084805654</v>
          </cell>
        </row>
        <row r="157">
          <cell r="D157">
            <v>0</v>
          </cell>
          <cell r="E157">
            <v>0</v>
          </cell>
          <cell r="F157" t="str">
            <v>לקיה</v>
          </cell>
          <cell r="G157">
            <v>9641</v>
          </cell>
          <cell r="H157">
            <v>0</v>
          </cell>
          <cell r="I157">
            <v>1350388</v>
          </cell>
          <cell r="J157">
            <v>1350388</v>
          </cell>
          <cell r="K157">
            <v>452861</v>
          </cell>
          <cell r="L157">
            <v>462711</v>
          </cell>
          <cell r="M157">
            <v>0</v>
          </cell>
          <cell r="N157">
            <v>0</v>
          </cell>
          <cell r="O157">
            <v>462711</v>
          </cell>
          <cell r="P157">
            <v>887677</v>
          </cell>
          <cell r="Q157">
            <v>65.73495913767006</v>
          </cell>
          <cell r="R157">
            <v>46.972409501089096</v>
          </cell>
          <cell r="S157">
            <v>47.994087750233376</v>
          </cell>
        </row>
        <row r="158">
          <cell r="D158">
            <v>0</v>
          </cell>
          <cell r="E158">
            <v>0</v>
          </cell>
          <cell r="F158" t="str">
            <v>ערערה בנגב</v>
          </cell>
          <cell r="G158">
            <v>13623</v>
          </cell>
          <cell r="H158">
            <v>0</v>
          </cell>
          <cell r="I158">
            <v>999028</v>
          </cell>
          <cell r="J158">
            <v>999028</v>
          </cell>
          <cell r="K158">
            <v>439650</v>
          </cell>
          <cell r="L158">
            <v>475504</v>
          </cell>
          <cell r="M158">
            <v>0</v>
          </cell>
          <cell r="N158">
            <v>0</v>
          </cell>
          <cell r="O158">
            <v>475504</v>
          </cell>
          <cell r="P158">
            <v>523524</v>
          </cell>
          <cell r="Q158">
            <v>52.403336042633441</v>
          </cell>
          <cell r="R158">
            <v>32.27262717463114</v>
          </cell>
          <cell r="S158">
            <v>34.904499743081551</v>
          </cell>
        </row>
        <row r="159">
          <cell r="D159">
            <v>0</v>
          </cell>
          <cell r="E159">
            <v>0</v>
          </cell>
          <cell r="F159" t="str">
            <v>כסיפה</v>
          </cell>
          <cell r="G159">
            <v>17226</v>
          </cell>
          <cell r="H159">
            <v>0</v>
          </cell>
          <cell r="I159">
            <v>768014</v>
          </cell>
          <cell r="J159">
            <v>768014</v>
          </cell>
          <cell r="K159">
            <v>528348</v>
          </cell>
          <cell r="L159">
            <v>550807</v>
          </cell>
          <cell r="M159">
            <v>0</v>
          </cell>
          <cell r="N159">
            <v>0</v>
          </cell>
          <cell r="O159">
            <v>550807</v>
          </cell>
          <cell r="P159">
            <v>217207</v>
          </cell>
          <cell r="Q159">
            <v>28.281645907496479</v>
          </cell>
          <cell r="R159">
            <v>30.671543016370602</v>
          </cell>
          <cell r="S159">
            <v>31.975327992569373</v>
          </cell>
        </row>
        <row r="160">
          <cell r="D160" t="str">
            <v>נווה מדבר בע"מ</v>
          </cell>
          <cell r="E160">
            <v>0</v>
          </cell>
          <cell r="F160" t="str">
            <v xml:space="preserve">סה"כ תאגיד </v>
          </cell>
          <cell r="G160">
            <v>73904</v>
          </cell>
          <cell r="H160">
            <v>0</v>
          </cell>
          <cell r="I160">
            <v>5075097</v>
          </cell>
          <cell r="J160">
            <v>5075097</v>
          </cell>
          <cell r="K160">
            <v>2494919</v>
          </cell>
          <cell r="L160">
            <v>2657616</v>
          </cell>
          <cell r="M160">
            <v>8362</v>
          </cell>
          <cell r="N160">
            <v>569</v>
          </cell>
          <cell r="O160">
            <v>2666547</v>
          </cell>
          <cell r="P160">
            <v>2408550</v>
          </cell>
          <cell r="Q160">
            <v>225.48654186035</v>
          </cell>
          <cell r="R160">
            <v>174.29631116751605</v>
          </cell>
          <cell r="S160">
            <v>184.89040291541826</v>
          </cell>
        </row>
        <row r="161">
          <cell r="E161">
            <v>1626</v>
          </cell>
          <cell r="F161" t="str">
            <v>זרזיר</v>
          </cell>
          <cell r="G161">
            <v>6736</v>
          </cell>
          <cell r="H161">
            <v>0</v>
          </cell>
          <cell r="I161">
            <v>440542</v>
          </cell>
          <cell r="J161">
            <v>440542</v>
          </cell>
          <cell r="K161">
            <v>289686</v>
          </cell>
          <cell r="L161">
            <v>348358</v>
          </cell>
          <cell r="M161">
            <v>0</v>
          </cell>
          <cell r="N161">
            <v>21743</v>
          </cell>
          <cell r="O161">
            <v>370101</v>
          </cell>
          <cell r="P161">
            <v>70441</v>
          </cell>
          <cell r="Q161">
            <v>15.989621874872316</v>
          </cell>
          <cell r="R161">
            <v>43.00564133016627</v>
          </cell>
          <cell r="S161">
            <v>51.715855106888363</v>
          </cell>
        </row>
        <row r="162">
          <cell r="D162">
            <v>0</v>
          </cell>
          <cell r="E162">
            <v>0</v>
          </cell>
          <cell r="F162" t="str">
            <v xml:space="preserve">כפר מנדא </v>
          </cell>
          <cell r="G162">
            <v>16992</v>
          </cell>
          <cell r="H162">
            <v>0</v>
          </cell>
          <cell r="I162">
            <v>1143395</v>
          </cell>
          <cell r="J162">
            <v>1143395</v>
          </cell>
          <cell r="K162">
            <v>863294</v>
          </cell>
          <cell r="L162">
            <v>951349</v>
          </cell>
          <cell r="M162">
            <v>0</v>
          </cell>
          <cell r="N162">
            <v>9638</v>
          </cell>
          <cell r="O162">
            <v>960987</v>
          </cell>
          <cell r="P162">
            <v>182408</v>
          </cell>
          <cell r="Q162">
            <v>15.95319202900135</v>
          </cell>
          <cell r="R162">
            <v>50.805908662900187</v>
          </cell>
          <cell r="S162">
            <v>55.988053201506588</v>
          </cell>
        </row>
        <row r="163">
          <cell r="D163">
            <v>0</v>
          </cell>
          <cell r="E163">
            <v>0</v>
          </cell>
          <cell r="F163" t="str">
            <v xml:space="preserve">כאבול </v>
          </cell>
          <cell r="G163">
            <v>12536</v>
          </cell>
          <cell r="H163">
            <v>0</v>
          </cell>
          <cell r="I163">
            <v>804419</v>
          </cell>
          <cell r="J163">
            <v>804419</v>
          </cell>
          <cell r="K163">
            <v>547677</v>
          </cell>
          <cell r="L163">
            <v>658633</v>
          </cell>
          <cell r="M163">
            <v>0</v>
          </cell>
          <cell r="N163">
            <v>14692</v>
          </cell>
          <cell r="O163">
            <v>673325</v>
          </cell>
          <cell r="P163">
            <v>131094</v>
          </cell>
          <cell r="Q163">
            <v>16.296730932511537</v>
          </cell>
          <cell r="R163">
            <v>43.688337587747284</v>
          </cell>
          <cell r="S163">
            <v>52.539326738991704</v>
          </cell>
        </row>
        <row r="164">
          <cell r="D164">
            <v>0</v>
          </cell>
          <cell r="E164">
            <v>0</v>
          </cell>
          <cell r="F164" t="str">
            <v xml:space="preserve">שעב </v>
          </cell>
          <cell r="G164">
            <v>6142</v>
          </cell>
          <cell r="H164">
            <v>0</v>
          </cell>
          <cell r="I164">
            <v>433755</v>
          </cell>
          <cell r="J164">
            <v>433755</v>
          </cell>
          <cell r="K164">
            <v>318145</v>
          </cell>
          <cell r="L164">
            <v>383651</v>
          </cell>
          <cell r="M164">
            <v>0</v>
          </cell>
          <cell r="N164">
            <v>3572</v>
          </cell>
          <cell r="O164">
            <v>387223</v>
          </cell>
          <cell r="P164">
            <v>46532</v>
          </cell>
          <cell r="Q164">
            <v>10.727714954294475</v>
          </cell>
          <cell r="R164">
            <v>51.798274177792251</v>
          </cell>
          <cell r="S164">
            <v>62.463529794855098</v>
          </cell>
        </row>
        <row r="165">
          <cell r="D165">
            <v>0</v>
          </cell>
          <cell r="E165">
            <v>0</v>
          </cell>
          <cell r="F165" t="str">
            <v xml:space="preserve">שפרעם </v>
          </cell>
          <cell r="G165">
            <v>37732</v>
          </cell>
          <cell r="H165">
            <v>0</v>
          </cell>
          <cell r="I165">
            <v>2465491</v>
          </cell>
          <cell r="J165">
            <v>2465491</v>
          </cell>
          <cell r="K165">
            <v>1589056</v>
          </cell>
          <cell r="L165">
            <v>1821352</v>
          </cell>
          <cell r="M165">
            <v>26925</v>
          </cell>
          <cell r="N165">
            <v>59476</v>
          </cell>
          <cell r="O165">
            <v>1907753</v>
          </cell>
          <cell r="P165">
            <v>557738</v>
          </cell>
          <cell r="Q165">
            <v>22.621782030435316</v>
          </cell>
          <cell r="R165">
            <v>42.114279656524964</v>
          </cell>
          <cell r="S165">
            <v>48.270751616664903</v>
          </cell>
        </row>
        <row r="166">
          <cell r="E166">
            <v>0</v>
          </cell>
          <cell r="F166" t="str">
            <v>טמרה</v>
          </cell>
          <cell r="G166">
            <v>30074</v>
          </cell>
          <cell r="H166">
            <v>0</v>
          </cell>
          <cell r="I166">
            <v>2359553</v>
          </cell>
          <cell r="J166">
            <v>2359553</v>
          </cell>
          <cell r="K166">
            <v>1592637</v>
          </cell>
          <cell r="L166">
            <v>1816932</v>
          </cell>
          <cell r="M166">
            <v>13689</v>
          </cell>
          <cell r="N166">
            <v>2672</v>
          </cell>
          <cell r="O166">
            <v>1833293</v>
          </cell>
          <cell r="P166">
            <v>526260</v>
          </cell>
          <cell r="Q166">
            <v>22.30337695317715</v>
          </cell>
          <cell r="R166">
            <v>52.95727206224646</v>
          </cell>
          <cell r="S166">
            <v>60.41537540732859</v>
          </cell>
        </row>
        <row r="167">
          <cell r="D167">
            <v>0</v>
          </cell>
          <cell r="E167">
            <v>0</v>
          </cell>
          <cell r="F167" t="str">
            <v xml:space="preserve">בסמת טבעון </v>
          </cell>
          <cell r="G167">
            <v>7044</v>
          </cell>
          <cell r="H167">
            <v>0</v>
          </cell>
          <cell r="I167">
            <v>481048</v>
          </cell>
          <cell r="J167">
            <v>481048</v>
          </cell>
          <cell r="K167">
            <v>373923</v>
          </cell>
          <cell r="L167">
            <v>413217</v>
          </cell>
          <cell r="M167">
            <v>0</v>
          </cell>
          <cell r="N167">
            <v>1004</v>
          </cell>
          <cell r="O167">
            <v>414221</v>
          </cell>
          <cell r="P167">
            <v>66827</v>
          </cell>
          <cell r="Q167">
            <v>13.891960885400209</v>
          </cell>
          <cell r="R167">
            <v>53.083901192504257</v>
          </cell>
          <cell r="S167">
            <v>58.662265758091991</v>
          </cell>
        </row>
        <row r="168">
          <cell r="D168">
            <v>0</v>
          </cell>
          <cell r="E168">
            <v>0</v>
          </cell>
          <cell r="F168" t="str">
            <v xml:space="preserve">אעבלין  </v>
          </cell>
          <cell r="G168">
            <v>11944</v>
          </cell>
          <cell r="H168">
            <v>0</v>
          </cell>
          <cell r="I168">
            <v>978474</v>
          </cell>
          <cell r="J168">
            <v>978474</v>
          </cell>
          <cell r="K168">
            <v>520830</v>
          </cell>
          <cell r="L168">
            <v>712538</v>
          </cell>
          <cell r="M168">
            <v>0</v>
          </cell>
          <cell r="N168">
            <v>46605</v>
          </cell>
          <cell r="O168">
            <v>759143</v>
          </cell>
          <cell r="P168">
            <v>219331</v>
          </cell>
          <cell r="Q168">
            <v>22.415618606115238</v>
          </cell>
          <cell r="R168">
            <v>43.605994641661084</v>
          </cell>
          <cell r="S168">
            <v>59.656563965170797</v>
          </cell>
        </row>
        <row r="169">
          <cell r="D169">
            <v>0</v>
          </cell>
          <cell r="E169">
            <v>0</v>
          </cell>
          <cell r="F169" t="str">
            <v>ביר אל מכסור</v>
          </cell>
          <cell r="G169">
            <v>7954</v>
          </cell>
          <cell r="H169">
            <v>0</v>
          </cell>
          <cell r="I169">
            <v>521517</v>
          </cell>
          <cell r="J169">
            <v>521517</v>
          </cell>
          <cell r="K169">
            <v>375204</v>
          </cell>
          <cell r="L169">
            <v>437951</v>
          </cell>
          <cell r="M169">
            <v>0</v>
          </cell>
          <cell r="N169">
            <v>2159</v>
          </cell>
          <cell r="O169">
            <v>440110</v>
          </cell>
          <cell r="P169">
            <v>81407</v>
          </cell>
          <cell r="Q169">
            <v>15.609654143584963</v>
          </cell>
          <cell r="R169">
            <v>47.171737490570784</v>
          </cell>
          <cell r="S169">
            <v>55.06047271812924</v>
          </cell>
        </row>
        <row r="170">
          <cell r="D170">
            <v>0</v>
          </cell>
          <cell r="E170">
            <v>0</v>
          </cell>
          <cell r="F170" t="str">
            <v>כאוכב</v>
          </cell>
          <cell r="G170">
            <v>2986</v>
          </cell>
          <cell r="H170">
            <v>0</v>
          </cell>
          <cell r="I170">
            <v>212519</v>
          </cell>
          <cell r="J170">
            <v>212519</v>
          </cell>
          <cell r="K170">
            <v>165887</v>
          </cell>
          <cell r="L170">
            <v>197991</v>
          </cell>
          <cell r="M170">
            <v>0</v>
          </cell>
          <cell r="N170">
            <v>0</v>
          </cell>
          <cell r="O170">
            <v>197991</v>
          </cell>
          <cell r="P170">
            <v>14528</v>
          </cell>
          <cell r="Q170">
            <v>6.8360946550661357</v>
          </cell>
          <cell r="R170">
            <v>55.554922973878099</v>
          </cell>
          <cell r="S170">
            <v>66.306430006697923</v>
          </cell>
        </row>
        <row r="171">
          <cell r="D171" t="str">
            <v>סובב שפרעם בע"מ</v>
          </cell>
          <cell r="E171">
            <v>0</v>
          </cell>
          <cell r="F171" t="str">
            <v xml:space="preserve">סה"כ תאגיד </v>
          </cell>
          <cell r="G171">
            <v>140140</v>
          </cell>
          <cell r="H171">
            <v>0</v>
          </cell>
          <cell r="I171">
            <v>9840713</v>
          </cell>
          <cell r="J171">
            <v>9840713</v>
          </cell>
          <cell r="K171">
            <v>6636339</v>
          </cell>
          <cell r="L171">
            <v>7741972</v>
          </cell>
          <cell r="M171">
            <v>40614</v>
          </cell>
          <cell r="N171">
            <v>161561</v>
          </cell>
          <cell r="O171">
            <v>7944147</v>
          </cell>
          <cell r="P171">
            <v>1896566</v>
          </cell>
          <cell r="Q171">
            <v>162.64574706445873</v>
          </cell>
          <cell r="R171">
            <v>483.78626977599157</v>
          </cell>
          <cell r="S171">
            <v>571.07862431432511</v>
          </cell>
        </row>
        <row r="172">
          <cell r="D172">
            <v>0</v>
          </cell>
          <cell r="E172">
            <v>5876</v>
          </cell>
          <cell r="F172" t="str">
            <v>ראש העין</v>
          </cell>
          <cell r="G172">
            <v>39917</v>
          </cell>
          <cell r="H172">
            <v>0</v>
          </cell>
          <cell r="I172">
            <v>3395310</v>
          </cell>
          <cell r="J172">
            <v>3395310</v>
          </cell>
          <cell r="K172">
            <v>2217716</v>
          </cell>
          <cell r="L172">
            <v>2856251</v>
          </cell>
          <cell r="M172">
            <v>19026</v>
          </cell>
          <cell r="N172">
            <v>0</v>
          </cell>
          <cell r="O172">
            <v>2875277</v>
          </cell>
          <cell r="P172">
            <v>520033</v>
          </cell>
          <cell r="Q172">
            <v>15.316215603288065</v>
          </cell>
          <cell r="R172">
            <v>55.558183230202673</v>
          </cell>
          <cell r="S172">
            <v>71.554751108550235</v>
          </cell>
        </row>
        <row r="173">
          <cell r="D173" t="str">
            <v>עין אפק בע"מ</v>
          </cell>
          <cell r="E173">
            <v>0</v>
          </cell>
          <cell r="F173" t="str">
            <v xml:space="preserve">סה"כ תאגיד </v>
          </cell>
          <cell r="G173">
            <v>39917</v>
          </cell>
          <cell r="H173">
            <v>0</v>
          </cell>
          <cell r="I173">
            <v>3395310</v>
          </cell>
          <cell r="J173">
            <v>3395310</v>
          </cell>
          <cell r="K173">
            <v>2217716</v>
          </cell>
          <cell r="L173">
            <v>2856251</v>
          </cell>
          <cell r="M173">
            <v>19026</v>
          </cell>
          <cell r="N173">
            <v>0</v>
          </cell>
          <cell r="O173">
            <v>2875277</v>
          </cell>
          <cell r="P173">
            <v>520033</v>
          </cell>
          <cell r="Q173">
            <v>15.316215603288065</v>
          </cell>
          <cell r="R173">
            <v>55.558183230202673</v>
          </cell>
          <cell r="S173">
            <v>71.554751108550235</v>
          </cell>
        </row>
        <row r="174">
          <cell r="E174">
            <v>636</v>
          </cell>
          <cell r="F174" t="str">
            <v>כרמיאל</v>
          </cell>
          <cell r="G174">
            <v>44710</v>
          </cell>
          <cell r="H174">
            <v>0</v>
          </cell>
          <cell r="I174">
            <v>4061656</v>
          </cell>
          <cell r="J174">
            <v>4061656</v>
          </cell>
          <cell r="K174">
            <v>2034905</v>
          </cell>
          <cell r="L174">
            <v>3175741</v>
          </cell>
          <cell r="M174">
            <v>406024</v>
          </cell>
          <cell r="N174">
            <v>0</v>
          </cell>
          <cell r="O174">
            <v>3581765</v>
          </cell>
          <cell r="P174">
            <v>479891</v>
          </cell>
          <cell r="Q174">
            <v>11.815156182601383</v>
          </cell>
          <cell r="R174">
            <v>45.513419816595842</v>
          </cell>
          <cell r="S174">
            <v>71.029769626481766</v>
          </cell>
        </row>
        <row r="175">
          <cell r="D175" t="str">
            <v>עין כרמים בע"מ</v>
          </cell>
          <cell r="E175">
            <v>0</v>
          </cell>
          <cell r="F175" t="str">
            <v xml:space="preserve">סה"כ תאגיד </v>
          </cell>
          <cell r="G175">
            <v>44710</v>
          </cell>
          <cell r="H175">
            <v>0</v>
          </cell>
          <cell r="I175">
            <v>4061656</v>
          </cell>
          <cell r="J175">
            <v>4061656</v>
          </cell>
          <cell r="K175">
            <v>2034905</v>
          </cell>
          <cell r="L175">
            <v>3175741</v>
          </cell>
          <cell r="M175">
            <v>406024</v>
          </cell>
          <cell r="N175">
            <v>0</v>
          </cell>
          <cell r="O175">
            <v>3581765</v>
          </cell>
          <cell r="P175">
            <v>479891</v>
          </cell>
          <cell r="Q175">
            <v>11.815156182601383</v>
          </cell>
          <cell r="R175">
            <v>45.513419816595842</v>
          </cell>
          <cell r="S175">
            <v>71.029769626481766</v>
          </cell>
        </row>
        <row r="176">
          <cell r="E176">
            <v>6544</v>
          </cell>
          <cell r="F176" t="str">
            <v xml:space="preserve">אילת </v>
          </cell>
          <cell r="G176">
            <v>46655</v>
          </cell>
          <cell r="H176">
            <v>0</v>
          </cell>
          <cell r="I176">
            <v>11067069</v>
          </cell>
          <cell r="J176">
            <v>11067069</v>
          </cell>
          <cell r="K176">
            <v>3556625</v>
          </cell>
          <cell r="L176">
            <v>6077876</v>
          </cell>
          <cell r="M176">
            <v>3932650</v>
          </cell>
          <cell r="N176">
            <v>89893</v>
          </cell>
          <cell r="O176">
            <v>10100419</v>
          </cell>
          <cell r="P176">
            <v>966650</v>
          </cell>
          <cell r="Q176">
            <v>8.7344716112278693</v>
          </cell>
          <cell r="R176">
            <v>76.232450969885335</v>
          </cell>
          <cell r="S176">
            <v>130.27276819204801</v>
          </cell>
        </row>
        <row r="177">
          <cell r="D177" t="str">
            <v>עין נטפים מפעלי מים וביוב אילת בע"מ</v>
          </cell>
          <cell r="E177">
            <v>0</v>
          </cell>
          <cell r="F177" t="str">
            <v xml:space="preserve">סה"כ תאגיד </v>
          </cell>
          <cell r="G177">
            <v>46655</v>
          </cell>
          <cell r="H177">
            <v>0</v>
          </cell>
          <cell r="I177">
            <v>11067069</v>
          </cell>
          <cell r="J177">
            <v>11067069</v>
          </cell>
          <cell r="K177">
            <v>3556625</v>
          </cell>
          <cell r="L177">
            <v>6077876</v>
          </cell>
          <cell r="M177">
            <v>3932650</v>
          </cell>
          <cell r="N177">
            <v>89893</v>
          </cell>
          <cell r="O177">
            <v>10100419</v>
          </cell>
          <cell r="P177">
            <v>966650</v>
          </cell>
          <cell r="Q177">
            <v>8.7344716112278693</v>
          </cell>
          <cell r="R177">
            <v>76.232450969885335</v>
          </cell>
          <cell r="S177">
            <v>130.27276819204801</v>
          </cell>
        </row>
        <row r="178">
          <cell r="E178">
            <v>1464</v>
          </cell>
          <cell r="F178" t="str">
            <v>חצור הגלילית</v>
          </cell>
          <cell r="G178">
            <v>8705</v>
          </cell>
          <cell r="H178">
            <v>0</v>
          </cell>
          <cell r="I178">
            <v>714241</v>
          </cell>
          <cell r="J178">
            <v>714241</v>
          </cell>
          <cell r="K178">
            <v>455071</v>
          </cell>
          <cell r="L178">
            <v>612215</v>
          </cell>
          <cell r="M178">
            <v>43194</v>
          </cell>
          <cell r="N178">
            <v>6100</v>
          </cell>
          <cell r="O178">
            <v>661509</v>
          </cell>
          <cell r="P178">
            <v>52732</v>
          </cell>
          <cell r="Q178">
            <v>7.3829421721799777</v>
          </cell>
          <cell r="R178">
            <v>52.276967260195292</v>
          </cell>
          <cell r="S178">
            <v>70.329121194715682</v>
          </cell>
        </row>
        <row r="179">
          <cell r="D179">
            <v>0</v>
          </cell>
          <cell r="E179">
            <v>0</v>
          </cell>
          <cell r="F179" t="str">
            <v>גוש חלב</v>
          </cell>
          <cell r="G179">
            <v>2954</v>
          </cell>
          <cell r="H179">
            <v>0</v>
          </cell>
          <cell r="I179">
            <v>177697</v>
          </cell>
          <cell r="J179">
            <v>177697</v>
          </cell>
          <cell r="K179">
            <v>145745</v>
          </cell>
          <cell r="L179">
            <v>163241</v>
          </cell>
          <cell r="M179">
            <v>0</v>
          </cell>
          <cell r="N179">
            <v>15621</v>
          </cell>
          <cell r="O179">
            <v>178862</v>
          </cell>
          <cell r="P179">
            <v>-1165</v>
          </cell>
          <cell r="Q179">
            <v>-0.65561039297230683</v>
          </cell>
          <cell r="R179">
            <v>49.338185511171297</v>
          </cell>
          <cell r="S179">
            <v>55.261002031144209</v>
          </cell>
        </row>
        <row r="180">
          <cell r="D180">
            <v>0</v>
          </cell>
          <cell r="E180">
            <v>0</v>
          </cell>
          <cell r="F180" t="str">
            <v>טובא-זנגרייה</v>
          </cell>
          <cell r="G180">
            <v>5871</v>
          </cell>
          <cell r="H180">
            <v>0</v>
          </cell>
          <cell r="I180">
            <v>528427</v>
          </cell>
          <cell r="J180">
            <v>528427</v>
          </cell>
          <cell r="K180">
            <v>349158</v>
          </cell>
          <cell r="L180">
            <v>390907</v>
          </cell>
          <cell r="M180">
            <v>0</v>
          </cell>
          <cell r="N180">
            <v>5073</v>
          </cell>
          <cell r="O180">
            <v>395980</v>
          </cell>
          <cell r="P180">
            <v>132447</v>
          </cell>
          <cell r="Q180">
            <v>25.064389215539705</v>
          </cell>
          <cell r="R180">
            <v>59.471640265712828</v>
          </cell>
          <cell r="S180">
            <v>66.582694600579117</v>
          </cell>
        </row>
        <row r="181">
          <cell r="D181">
            <v>0</v>
          </cell>
          <cell r="E181">
            <v>0</v>
          </cell>
          <cell r="F181" t="str">
            <v>יסוד המעלה</v>
          </cell>
          <cell r="G181">
            <v>1520</v>
          </cell>
          <cell r="H181">
            <v>0</v>
          </cell>
          <cell r="I181">
            <v>125707</v>
          </cell>
          <cell r="J181">
            <v>125707</v>
          </cell>
          <cell r="K181">
            <v>80848</v>
          </cell>
          <cell r="L181">
            <v>110029</v>
          </cell>
          <cell r="M181">
            <v>0</v>
          </cell>
          <cell r="N181">
            <v>0</v>
          </cell>
          <cell r="O181">
            <v>110029</v>
          </cell>
          <cell r="P181">
            <v>15678</v>
          </cell>
          <cell r="Q181">
            <v>12.471859164565219</v>
          </cell>
          <cell r="R181">
            <v>53.189473684210526</v>
          </cell>
          <cell r="S181">
            <v>72.387500000000003</v>
          </cell>
        </row>
        <row r="182">
          <cell r="D182">
            <v>0</v>
          </cell>
          <cell r="E182">
            <v>0</v>
          </cell>
          <cell r="F182" t="str">
            <v>צפת</v>
          </cell>
          <cell r="G182">
            <v>32236</v>
          </cell>
          <cell r="H182">
            <v>0</v>
          </cell>
          <cell r="I182">
            <v>2820737</v>
          </cell>
          <cell r="J182">
            <v>2820737</v>
          </cell>
          <cell r="K182">
            <v>1506126</v>
          </cell>
          <cell r="L182">
            <v>2179321</v>
          </cell>
          <cell r="M182">
            <v>343945</v>
          </cell>
          <cell r="N182">
            <v>6532</v>
          </cell>
          <cell r="O182">
            <v>2529798</v>
          </cell>
          <cell r="P182">
            <v>290939</v>
          </cell>
          <cell r="Q182">
            <v>10.314290201461533</v>
          </cell>
          <cell r="R182">
            <v>46.72186375480829</v>
          </cell>
          <cell r="S182">
            <v>67.605192951979149</v>
          </cell>
        </row>
        <row r="183">
          <cell r="D183">
            <v>0</v>
          </cell>
          <cell r="E183">
            <v>0</v>
          </cell>
          <cell r="F183" t="str">
            <v>בית ג'אן</v>
          </cell>
          <cell r="G183">
            <v>10839</v>
          </cell>
          <cell r="H183">
            <v>0</v>
          </cell>
          <cell r="I183">
            <v>758119</v>
          </cell>
          <cell r="J183">
            <v>758119</v>
          </cell>
          <cell r="K183">
            <v>416532</v>
          </cell>
          <cell r="L183">
            <v>472004</v>
          </cell>
          <cell r="M183">
            <v>0</v>
          </cell>
          <cell r="N183">
            <v>31396</v>
          </cell>
          <cell r="O183">
            <v>503400</v>
          </cell>
          <cell r="P183">
            <v>254719</v>
          </cell>
          <cell r="Q183">
            <v>33.598814961767218</v>
          </cell>
          <cell r="R183">
            <v>38.429006365900911</v>
          </cell>
          <cell r="S183">
            <v>43.546821662514994</v>
          </cell>
        </row>
        <row r="184">
          <cell r="D184">
            <v>0</v>
          </cell>
          <cell r="E184">
            <v>0</v>
          </cell>
          <cell r="F184" t="str">
            <v>חורפיש</v>
          </cell>
          <cell r="G184">
            <v>5693</v>
          </cell>
          <cell r="H184">
            <v>0</v>
          </cell>
          <cell r="I184">
            <v>349809</v>
          </cell>
          <cell r="J184">
            <v>349809</v>
          </cell>
          <cell r="K184">
            <v>260579</v>
          </cell>
          <cell r="L184">
            <v>300224</v>
          </cell>
          <cell r="M184">
            <v>0</v>
          </cell>
          <cell r="N184">
            <v>5404</v>
          </cell>
          <cell r="O184">
            <v>305628</v>
          </cell>
          <cell r="P184">
            <v>44181</v>
          </cell>
          <cell r="Q184">
            <v>12.63003524780666</v>
          </cell>
          <cell r="R184">
            <v>45.771825048304933</v>
          </cell>
          <cell r="S184">
            <v>52.735640259968385</v>
          </cell>
        </row>
        <row r="185">
          <cell r="E185">
            <v>0</v>
          </cell>
          <cell r="F185" t="str">
            <v>מגאר</v>
          </cell>
          <cell r="G185">
            <v>20650</v>
          </cell>
          <cell r="H185">
            <v>0</v>
          </cell>
          <cell r="I185">
            <v>1368799</v>
          </cell>
          <cell r="J185">
            <v>1368799</v>
          </cell>
          <cell r="K185">
            <v>833750</v>
          </cell>
          <cell r="L185">
            <v>955039</v>
          </cell>
          <cell r="M185">
            <v>13620</v>
          </cell>
          <cell r="N185">
            <v>18500</v>
          </cell>
          <cell r="O185">
            <v>987159</v>
          </cell>
          <cell r="P185">
            <v>381640</v>
          </cell>
          <cell r="Q185">
            <v>27.881376301414594</v>
          </cell>
          <cell r="R185">
            <v>40.375302663438255</v>
          </cell>
          <cell r="S185">
            <v>46.248861985472153</v>
          </cell>
        </row>
        <row r="186">
          <cell r="D186">
            <v>0</v>
          </cell>
          <cell r="E186">
            <v>0</v>
          </cell>
          <cell r="F186" t="str">
            <v>סאג'ור</v>
          </cell>
          <cell r="G186">
            <v>3842</v>
          </cell>
          <cell r="H186">
            <v>0</v>
          </cell>
          <cell r="I186">
            <v>257812</v>
          </cell>
          <cell r="J186">
            <v>257812</v>
          </cell>
          <cell r="K186">
            <v>188511</v>
          </cell>
          <cell r="L186">
            <v>216223</v>
          </cell>
          <cell r="M186">
            <v>0</v>
          </cell>
          <cell r="N186">
            <v>2680</v>
          </cell>
          <cell r="O186">
            <v>218903</v>
          </cell>
          <cell r="P186">
            <v>38909</v>
          </cell>
          <cell r="Q186">
            <v>15.092005026918839</v>
          </cell>
          <cell r="R186">
            <v>49.065851119208745</v>
          </cell>
          <cell r="S186">
            <v>56.278761061946902</v>
          </cell>
        </row>
        <row r="187">
          <cell r="D187">
            <v>0</v>
          </cell>
          <cell r="E187">
            <v>0</v>
          </cell>
          <cell r="F187" t="str">
            <v>עילבון</v>
          </cell>
          <cell r="G187">
            <v>5000</v>
          </cell>
          <cell r="H187">
            <v>0</v>
          </cell>
          <cell r="I187">
            <v>370170</v>
          </cell>
          <cell r="J187">
            <v>370170</v>
          </cell>
          <cell r="K187">
            <v>248643</v>
          </cell>
          <cell r="L187">
            <v>291948</v>
          </cell>
          <cell r="M187">
            <v>23540</v>
          </cell>
          <cell r="N187">
            <v>19112</v>
          </cell>
          <cell r="O187">
            <v>334600</v>
          </cell>
          <cell r="P187">
            <v>35570</v>
          </cell>
          <cell r="Q187">
            <v>9.6090985223005649</v>
          </cell>
          <cell r="R187">
            <v>49.7286</v>
          </cell>
          <cell r="S187">
            <v>58.389600000000002</v>
          </cell>
        </row>
        <row r="188">
          <cell r="D188">
            <v>0</v>
          </cell>
          <cell r="E188">
            <v>0</v>
          </cell>
          <cell r="F188" t="str">
            <v>פסוטה</v>
          </cell>
          <cell r="G188">
            <v>2916</v>
          </cell>
          <cell r="H188">
            <v>0</v>
          </cell>
          <cell r="I188">
            <v>202822</v>
          </cell>
          <cell r="J188">
            <v>202822</v>
          </cell>
          <cell r="K188">
            <v>147519</v>
          </cell>
          <cell r="L188">
            <v>164663</v>
          </cell>
          <cell r="M188">
            <v>0</v>
          </cell>
          <cell r="N188">
            <v>8267</v>
          </cell>
          <cell r="O188">
            <v>172930</v>
          </cell>
          <cell r="P188">
            <v>29892</v>
          </cell>
          <cell r="Q188">
            <v>14.738046168561597</v>
          </cell>
          <cell r="R188">
            <v>50.589506172839506</v>
          </cell>
          <cell r="S188">
            <v>56.468792866941016</v>
          </cell>
        </row>
        <row r="189">
          <cell r="D189">
            <v>0</v>
          </cell>
          <cell r="E189">
            <v>0</v>
          </cell>
          <cell r="F189" t="str">
            <v>פקיעין</v>
          </cell>
          <cell r="G189">
            <v>5452</v>
          </cell>
          <cell r="H189">
            <v>0</v>
          </cell>
          <cell r="I189">
            <v>356883</v>
          </cell>
          <cell r="J189">
            <v>356883</v>
          </cell>
          <cell r="K189">
            <v>222894</v>
          </cell>
          <cell r="L189">
            <v>256470</v>
          </cell>
          <cell r="M189">
            <v>6691</v>
          </cell>
          <cell r="N189">
            <v>1217</v>
          </cell>
          <cell r="O189">
            <v>264378</v>
          </cell>
          <cell r="P189">
            <v>92505</v>
          </cell>
          <cell r="Q189">
            <v>25.92025958087104</v>
          </cell>
          <cell r="R189">
            <v>40.882978723404257</v>
          </cell>
          <cell r="S189">
            <v>47.041452677916361</v>
          </cell>
        </row>
        <row r="190">
          <cell r="D190">
            <v>0</v>
          </cell>
          <cell r="E190">
            <v>0</v>
          </cell>
          <cell r="F190" t="str">
            <v>ראמה</v>
          </cell>
          <cell r="G190">
            <v>7250</v>
          </cell>
          <cell r="H190">
            <v>0</v>
          </cell>
          <cell r="I190">
            <v>681336</v>
          </cell>
          <cell r="J190">
            <v>681336</v>
          </cell>
          <cell r="K190">
            <v>365096</v>
          </cell>
          <cell r="L190">
            <v>474351</v>
          </cell>
          <cell r="M190">
            <v>0</v>
          </cell>
          <cell r="N190">
            <v>15452</v>
          </cell>
          <cell r="O190">
            <v>489803</v>
          </cell>
          <cell r="P190">
            <v>191533</v>
          </cell>
          <cell r="Q190">
            <v>28.111387039581061</v>
          </cell>
          <cell r="R190">
            <v>50.358068965517241</v>
          </cell>
          <cell r="S190">
            <v>65.427724137931037</v>
          </cell>
        </row>
        <row r="191">
          <cell r="D191" t="str">
            <v>פלג הגליל החברה האזורית למים וביוב בע"מ</v>
          </cell>
          <cell r="E191">
            <v>0</v>
          </cell>
          <cell r="F191" t="str">
            <v xml:space="preserve">סה"כ תאגיד </v>
          </cell>
          <cell r="G191">
            <v>112928</v>
          </cell>
          <cell r="H191">
            <v>0</v>
          </cell>
          <cell r="I191">
            <v>8712559</v>
          </cell>
          <cell r="J191">
            <v>8712559</v>
          </cell>
          <cell r="K191">
            <v>5220472</v>
          </cell>
          <cell r="L191">
            <v>6586635</v>
          </cell>
          <cell r="M191">
            <v>430990</v>
          </cell>
          <cell r="N191">
            <v>135354</v>
          </cell>
          <cell r="O191">
            <v>7152979</v>
          </cell>
          <cell r="P191">
            <v>1559580</v>
          </cell>
          <cell r="Q191">
            <v>222.15889320999571</v>
          </cell>
          <cell r="R191">
            <v>626.19926953471202</v>
          </cell>
          <cell r="S191">
            <v>758.30316543110894</v>
          </cell>
        </row>
        <row r="192">
          <cell r="E192">
            <v>7254</v>
          </cell>
          <cell r="F192" t="str">
            <v>צור יגאל</v>
          </cell>
          <cell r="G192">
            <v>12000</v>
          </cell>
          <cell r="H192">
            <v>0</v>
          </cell>
          <cell r="I192">
            <v>1131487</v>
          </cell>
          <cell r="J192">
            <v>1131487</v>
          </cell>
          <cell r="K192">
            <v>743747</v>
          </cell>
          <cell r="L192">
            <v>881078</v>
          </cell>
          <cell r="M192">
            <v>0</v>
          </cell>
          <cell r="N192">
            <v>0</v>
          </cell>
          <cell r="O192">
            <v>881078</v>
          </cell>
          <cell r="P192">
            <v>250409</v>
          </cell>
          <cell r="Q192">
            <v>22.130965711492927</v>
          </cell>
          <cell r="R192">
            <v>19.395686642674594</v>
          </cell>
          <cell r="S192">
            <v>22.977051061388412</v>
          </cell>
        </row>
        <row r="193">
          <cell r="D193" t="str">
            <v>פלגי השרון בע"מ</v>
          </cell>
          <cell r="E193">
            <v>0</v>
          </cell>
          <cell r="F193" t="str">
            <v xml:space="preserve">סה"כ תאגיד </v>
          </cell>
          <cell r="G193">
            <v>12000</v>
          </cell>
          <cell r="H193">
            <v>0</v>
          </cell>
          <cell r="I193">
            <v>1131487</v>
          </cell>
          <cell r="J193">
            <v>1131487</v>
          </cell>
          <cell r="K193">
            <v>743747</v>
          </cell>
          <cell r="L193">
            <v>881078</v>
          </cell>
          <cell r="M193">
            <v>0</v>
          </cell>
          <cell r="N193">
            <v>0</v>
          </cell>
          <cell r="O193">
            <v>881078</v>
          </cell>
          <cell r="P193">
            <v>250409</v>
          </cell>
          <cell r="Q193">
            <v>22.130965711492927</v>
          </cell>
          <cell r="R193">
            <v>19.395686642674594</v>
          </cell>
          <cell r="S193">
            <v>22.977051061388412</v>
          </cell>
        </row>
        <row r="194">
          <cell r="E194">
            <v>3160</v>
          </cell>
          <cell r="F194" t="str">
            <v>קריית מוצקין</v>
          </cell>
          <cell r="G194">
            <v>38346</v>
          </cell>
          <cell r="H194">
            <v>0</v>
          </cell>
          <cell r="I194">
            <v>2531477</v>
          </cell>
          <cell r="J194">
            <v>2531477</v>
          </cell>
          <cell r="K194">
            <v>1894466</v>
          </cell>
          <cell r="L194">
            <v>2346890</v>
          </cell>
          <cell r="M194">
            <v>0</v>
          </cell>
          <cell r="N194">
            <v>0</v>
          </cell>
          <cell r="O194">
            <v>2346890</v>
          </cell>
          <cell r="P194">
            <v>184587</v>
          </cell>
          <cell r="Q194">
            <v>7.2916720159811836</v>
          </cell>
          <cell r="R194">
            <v>49.404527199707921</v>
          </cell>
          <cell r="S194">
            <v>61.20299379335524</v>
          </cell>
        </row>
        <row r="195">
          <cell r="D195" t="str">
            <v xml:space="preserve">רכסים </v>
          </cell>
          <cell r="E195">
            <v>3173</v>
          </cell>
          <cell r="F195" t="str">
            <v>רכסים</v>
          </cell>
          <cell r="G195">
            <v>9753</v>
          </cell>
          <cell r="H195">
            <v>0</v>
          </cell>
          <cell r="I195">
            <v>562847</v>
          </cell>
          <cell r="J195">
            <v>562847</v>
          </cell>
          <cell r="K195">
            <v>380169</v>
          </cell>
          <cell r="L195">
            <v>530148</v>
          </cell>
          <cell r="M195">
            <v>0</v>
          </cell>
          <cell r="N195">
            <v>0</v>
          </cell>
          <cell r="O195">
            <v>530148</v>
          </cell>
          <cell r="P195">
            <v>32699</v>
          </cell>
          <cell r="Q195">
            <v>5.8095716953275049</v>
          </cell>
          <cell r="R195">
            <v>38.979698554290991</v>
          </cell>
          <cell r="S195">
            <v>54.357428483543522</v>
          </cell>
        </row>
        <row r="196">
          <cell r="D196" t="str">
            <v>פלגי מוצקין בע"מ</v>
          </cell>
          <cell r="E196">
            <v>0</v>
          </cell>
          <cell r="F196" t="str">
            <v xml:space="preserve">סה"כ תאגיד </v>
          </cell>
          <cell r="G196">
            <v>48099</v>
          </cell>
          <cell r="H196">
            <v>0</v>
          </cell>
          <cell r="I196">
            <v>3094324</v>
          </cell>
          <cell r="J196">
            <v>3094324</v>
          </cell>
          <cell r="K196">
            <v>2274635</v>
          </cell>
          <cell r="L196">
            <v>2877038</v>
          </cell>
          <cell r="M196">
            <v>0</v>
          </cell>
          <cell r="N196">
            <v>0</v>
          </cell>
          <cell r="O196">
            <v>2877038</v>
          </cell>
          <cell r="P196">
            <v>217286</v>
          </cell>
          <cell r="Q196">
            <v>13.101243711308689</v>
          </cell>
          <cell r="R196">
            <v>88.384225753998919</v>
          </cell>
          <cell r="S196">
            <v>115.56042227689876</v>
          </cell>
        </row>
        <row r="197">
          <cell r="D197">
            <v>0</v>
          </cell>
          <cell r="E197">
            <v>8008</v>
          </cell>
          <cell r="F197" t="str">
            <v>רמת השרון</v>
          </cell>
          <cell r="G197">
            <v>42285</v>
          </cell>
          <cell r="H197">
            <v>0</v>
          </cell>
          <cell r="I197">
            <v>5389593</v>
          </cell>
          <cell r="J197">
            <v>5389593</v>
          </cell>
          <cell r="K197">
            <v>3039893</v>
          </cell>
          <cell r="L197">
            <v>4083809</v>
          </cell>
          <cell r="M197">
            <v>25198</v>
          </cell>
          <cell r="N197">
            <v>935680</v>
          </cell>
          <cell r="O197">
            <v>5044687</v>
          </cell>
          <cell r="P197">
            <v>344906</v>
          </cell>
          <cell r="Q197">
            <v>6.3994813708567602</v>
          </cell>
          <cell r="R197">
            <v>71.890575854321867</v>
          </cell>
          <cell r="S197">
            <v>96.578195577627994</v>
          </cell>
        </row>
        <row r="198">
          <cell r="D198" t="str">
            <v>שרונים</v>
          </cell>
          <cell r="E198">
            <v>0</v>
          </cell>
          <cell r="F198" t="str">
            <v xml:space="preserve">סה"כ תאגיד </v>
          </cell>
          <cell r="G198">
            <v>42285</v>
          </cell>
          <cell r="H198">
            <v>0</v>
          </cell>
          <cell r="I198">
            <v>5389593</v>
          </cell>
          <cell r="J198">
            <v>5389593</v>
          </cell>
          <cell r="K198">
            <v>3039893</v>
          </cell>
          <cell r="L198">
            <v>4083809</v>
          </cell>
          <cell r="M198">
            <v>25198</v>
          </cell>
          <cell r="N198">
            <v>935680</v>
          </cell>
          <cell r="O198">
            <v>5044687</v>
          </cell>
          <cell r="P198">
            <v>344906</v>
          </cell>
          <cell r="Q198">
            <v>6.3994813708567602</v>
          </cell>
          <cell r="R198">
            <v>71.890575854321867</v>
          </cell>
          <cell r="S198">
            <v>96.578195577627994</v>
          </cell>
        </row>
        <row r="199">
          <cell r="E199">
            <v>6358</v>
          </cell>
          <cell r="F199" t="str">
            <v>רמלה</v>
          </cell>
          <cell r="G199">
            <v>67874</v>
          </cell>
          <cell r="H199">
            <v>0</v>
          </cell>
          <cell r="I199">
            <v>4649583</v>
          </cell>
          <cell r="J199">
            <v>4649583</v>
          </cell>
          <cell r="K199">
            <v>2890753</v>
          </cell>
          <cell r="L199">
            <v>3567312</v>
          </cell>
          <cell r="M199">
            <v>126669</v>
          </cell>
          <cell r="N199">
            <v>0</v>
          </cell>
          <cell r="O199">
            <v>3693981</v>
          </cell>
          <cell r="P199">
            <v>955602</v>
          </cell>
          <cell r="Q199">
            <v>20.552423733483195</v>
          </cell>
          <cell r="R199">
            <v>42.589990276099833</v>
          </cell>
          <cell r="S199">
            <v>52.557857205999355</v>
          </cell>
        </row>
        <row r="200">
          <cell r="D200" t="str">
            <v>תמ"ר תאגיד מים רמלה בע"מ</v>
          </cell>
          <cell r="E200">
            <v>0</v>
          </cell>
          <cell r="F200" t="str">
            <v xml:space="preserve">סה"כ תאגיד </v>
          </cell>
          <cell r="G200">
            <v>67874</v>
          </cell>
          <cell r="H200">
            <v>0</v>
          </cell>
          <cell r="I200">
            <v>4649583</v>
          </cell>
          <cell r="J200">
            <v>4649583</v>
          </cell>
          <cell r="K200">
            <v>2890753</v>
          </cell>
          <cell r="L200">
            <v>3567312</v>
          </cell>
          <cell r="M200">
            <v>126669</v>
          </cell>
          <cell r="N200">
            <v>0</v>
          </cell>
          <cell r="O200">
            <v>3693981</v>
          </cell>
          <cell r="P200">
            <v>955602</v>
          </cell>
          <cell r="Q200">
            <v>20.552423733483195</v>
          </cell>
          <cell r="R200">
            <v>42.589990276099833</v>
          </cell>
          <cell r="S200">
            <v>52.557857205999355</v>
          </cell>
        </row>
        <row r="201">
          <cell r="D201" t="str">
            <v>סה"כ</v>
          </cell>
          <cell r="E201">
            <v>0</v>
          </cell>
          <cell r="F201">
            <v>0</v>
          </cell>
          <cell r="G201">
            <v>5867625</v>
          </cell>
          <cell r="H201">
            <v>66570229</v>
          </cell>
          <cell r="I201">
            <v>424271032</v>
          </cell>
          <cell r="J201">
            <v>490841261</v>
          </cell>
          <cell r="K201">
            <v>296252529</v>
          </cell>
          <cell r="L201">
            <v>408657223</v>
          </cell>
          <cell r="M201">
            <v>28439155</v>
          </cell>
          <cell r="N201">
            <v>3835590</v>
          </cell>
          <cell r="O201">
            <v>440931968</v>
          </cell>
          <cell r="P201">
            <v>62876260</v>
          </cell>
          <cell r="Q201">
            <v>12.516223613552373</v>
          </cell>
          <cell r="R201">
            <v>48.698991585332941</v>
          </cell>
          <cell r="S201">
            <v>67.071637819550929</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חישוב סוציו לפי למ&quot;ס"/>
      <sheetName val="תכולת תאגידים מרחביים 1"/>
      <sheetName val="תכולת תאגידים מרחביים (2)"/>
      <sheetName val="נתוני מים 2012"/>
      <sheetName val="נתוני צריכה רשויות מקומיות"/>
      <sheetName val="אשכול חברתי לרשויות"/>
      <sheetName val="התפלגות מים 2012"/>
      <sheetName val="גיליון1"/>
    </sheetNames>
    <sheetDataSet>
      <sheetData sheetId="0" refreshError="1"/>
      <sheetData sheetId="1" refreshError="1">
        <row r="9">
          <cell r="C9" t="str">
            <v>שם התאגיד</v>
          </cell>
        </row>
        <row r="10">
          <cell r="C10" t="str">
            <v>נווה מדבר</v>
          </cell>
          <cell r="D10" t="str">
            <v>נווה מדבר בע"מ</v>
          </cell>
        </row>
        <row r="11">
          <cell r="C11" t="str">
            <v>מי רהט</v>
          </cell>
          <cell r="D11" t="str">
            <v>מי רהט בע"מ</v>
          </cell>
        </row>
        <row r="12">
          <cell r="C12" t="str">
            <v>מי שבע</v>
          </cell>
          <cell r="D12" t="str">
            <v>מי שבע תאגיד המים והביוב לבאר שבע בע"מ</v>
          </cell>
        </row>
        <row r="13">
          <cell r="C13" t="str">
            <v>מעיינות הדרום</v>
          </cell>
          <cell r="D13" t="str">
            <v>מעיינות הדרום בע"מ</v>
          </cell>
        </row>
        <row r="14">
          <cell r="C14" t="str">
            <v>מי קרית-גת</v>
          </cell>
          <cell r="D14" t="str">
            <v>מי קריית גת בע"מ</v>
          </cell>
        </row>
        <row r="15">
          <cell r="C15" t="str">
            <v>טרם אוגדו :</v>
          </cell>
          <cell r="D15" t="str">
            <v xml:space="preserve">עומר </v>
          </cell>
        </row>
        <row r="16">
          <cell r="D16" t="str">
            <v xml:space="preserve">מיתר </v>
          </cell>
        </row>
        <row r="17">
          <cell r="D17" t="str">
            <v>להבים</v>
          </cell>
        </row>
        <row r="19">
          <cell r="C19" t="str">
            <v>יובלים אשדוד</v>
          </cell>
          <cell r="D19" t="str">
            <v>יובלים אשדוד בע"מ</v>
          </cell>
        </row>
        <row r="20">
          <cell r="C20" t="str">
            <v>מי אשקלון</v>
          </cell>
          <cell r="D20" t="str">
            <v>מי אשקלון בע"מ</v>
          </cell>
        </row>
        <row r="21">
          <cell r="C21" t="str">
            <v>מי יבנה</v>
          </cell>
          <cell r="D21" t="str">
            <v>מי יבנה בע"מ</v>
          </cell>
        </row>
        <row r="22">
          <cell r="C22" t="str">
            <v>טרם אוגדו :</v>
          </cell>
          <cell r="D22" t="str">
            <v>שדרות</v>
          </cell>
        </row>
        <row r="23">
          <cell r="D23" t="str">
            <v xml:space="preserve">גדרה </v>
          </cell>
        </row>
        <row r="24">
          <cell r="D24" t="str">
            <v xml:space="preserve">בני עי"ש </v>
          </cell>
        </row>
        <row r="25">
          <cell r="D25" t="str">
            <v>קרית מלאכי</v>
          </cell>
        </row>
        <row r="27">
          <cell r="C27" t="str">
            <v>הגיחון</v>
          </cell>
          <cell r="D27" t="str">
            <v>חברת הגיחון בע"מ תאגיד המים והביוב של ירושלים</v>
          </cell>
        </row>
        <row r="28">
          <cell r="C28" t="str">
            <v>מי שמש</v>
          </cell>
          <cell r="D28" t="str">
            <v>מי שמש בע"מ</v>
          </cell>
        </row>
        <row r="29">
          <cell r="C29" t="str">
            <v>טרם אוגדו :</v>
          </cell>
          <cell r="D29" t="str">
            <v xml:space="preserve">קריית יערים </v>
          </cell>
        </row>
        <row r="31">
          <cell r="C31" t="str">
            <v>מניב</v>
          </cell>
          <cell r="D31" t="str">
            <v>מניב ראשון בע"מ</v>
          </cell>
        </row>
        <row r="32">
          <cell r="C32" t="str">
            <v>מי לוד</v>
          </cell>
          <cell r="D32" t="str">
            <v>מי לוד בע"מ</v>
          </cell>
        </row>
        <row r="33">
          <cell r="C33" t="str">
            <v>מי מודיעין</v>
          </cell>
          <cell r="D33" t="str">
            <v>מי מודיעין בע"מ</v>
          </cell>
        </row>
        <row r="34">
          <cell r="C34" t="str">
            <v>תמ"ר</v>
          </cell>
          <cell r="D34" t="str">
            <v>תמ"ר תאגיד מים רמלה בע"מ</v>
          </cell>
        </row>
        <row r="35">
          <cell r="C35" t="str">
            <v xml:space="preserve">מי ציונה </v>
          </cell>
          <cell r="D35" t="str">
            <v>מי ציונה בע"מ</v>
          </cell>
        </row>
        <row r="36">
          <cell r="C36" t="str">
            <v>טרם אוגדו :</v>
          </cell>
          <cell r="D36" t="str">
            <v>שוהם</v>
          </cell>
        </row>
        <row r="37">
          <cell r="D37" t="str">
            <v xml:space="preserve">רחובות </v>
          </cell>
        </row>
        <row r="38">
          <cell r="D38" t="str">
            <v xml:space="preserve">באר יעקב </v>
          </cell>
        </row>
        <row r="40">
          <cell r="C40" t="str">
            <v>מי אונו</v>
          </cell>
          <cell r="D40" t="str">
            <v>מי אונו בע"מ</v>
          </cell>
        </row>
        <row r="41">
          <cell r="C41" t="str">
            <v>מיתב</v>
          </cell>
          <cell r="D41" t="str">
            <v>מיתב מים תיעול וביוב בע"מ</v>
          </cell>
        </row>
        <row r="42">
          <cell r="C42" t="str">
            <v>עין אפק</v>
          </cell>
          <cell r="D42" t="str">
            <v>עין אפק בע"מ</v>
          </cell>
        </row>
        <row r="43">
          <cell r="C43" t="str">
            <v>מי גני תקוה</v>
          </cell>
          <cell r="D43" t="str">
            <v>גני תקווה</v>
          </cell>
        </row>
        <row r="44">
          <cell r="C44" t="str">
            <v>מי בת-ים</v>
          </cell>
          <cell r="D44" t="str">
            <v>מי בת ים בע"מ</v>
          </cell>
        </row>
        <row r="45">
          <cell r="C45" t="str">
            <v>מי שיקמה</v>
          </cell>
          <cell r="D45" t="str">
            <v>מי שקמה תאגיד המים והביוב בע"מ</v>
          </cell>
        </row>
        <row r="46">
          <cell r="C46" t="str">
            <v>טרם אוגדו :</v>
          </cell>
          <cell r="D46" t="str">
            <v>יהוד</v>
          </cell>
        </row>
        <row r="47">
          <cell r="D47" t="str">
            <v>גבעת שמואל</v>
          </cell>
        </row>
        <row r="48">
          <cell r="D48" t="str">
            <v xml:space="preserve">סביון </v>
          </cell>
        </row>
        <row r="50">
          <cell r="C50" t="str">
            <v>מי גבעתיים</v>
          </cell>
          <cell r="D50" t="str">
            <v>מי גבעתיים בע"מ</v>
          </cell>
        </row>
        <row r="51">
          <cell r="C51" t="str">
            <v>מי ברק</v>
          </cell>
          <cell r="D51" t="str">
            <v>מי ברק בע"מ</v>
          </cell>
        </row>
        <row r="52">
          <cell r="C52" t="str">
            <v>מי רמת-גן</v>
          </cell>
          <cell r="D52" t="str">
            <v>רמת גן</v>
          </cell>
        </row>
        <row r="53">
          <cell r="C53" t="str">
            <v>מי אביבים 2010</v>
          </cell>
          <cell r="D53" t="str">
            <v>מי אביבים 2010 בע"מ</v>
          </cell>
        </row>
        <row r="54">
          <cell r="D54">
            <v>0</v>
          </cell>
        </row>
        <row r="55">
          <cell r="C55" t="str">
            <v>מי הוד השרון</v>
          </cell>
          <cell r="D55" t="str">
            <v>מי הוד השרון בע"מ</v>
          </cell>
        </row>
        <row r="56">
          <cell r="C56" t="str">
            <v>מי הרצליה</v>
          </cell>
          <cell r="D56" t="str">
            <v>מי הרצליה בע"מ</v>
          </cell>
        </row>
        <row r="57">
          <cell r="C57" t="str">
            <v>מי רעננה</v>
          </cell>
          <cell r="D57" t="str">
            <v>מי רעננה בע"מ</v>
          </cell>
        </row>
        <row r="58">
          <cell r="C58" t="str">
            <v>שרונים</v>
          </cell>
          <cell r="D58" t="str">
            <v>שרונים בע"מ</v>
          </cell>
        </row>
        <row r="59">
          <cell r="C59" t="str">
            <v>מעיינות המשולש</v>
          </cell>
          <cell r="D59" t="str">
            <v>מעינות המשולש בע"מ</v>
          </cell>
        </row>
        <row r="60">
          <cell r="C60" t="str">
            <v>פלגי השרון</v>
          </cell>
          <cell r="D60" t="str">
            <v>פלגי השרון בע"מ</v>
          </cell>
        </row>
        <row r="61">
          <cell r="C61" t="str">
            <v>טרם אוגדו :</v>
          </cell>
          <cell r="D61" t="str">
            <v xml:space="preserve">כפר שמריהו </v>
          </cell>
        </row>
        <row r="62">
          <cell r="D62" t="str">
            <v>טייבה</v>
          </cell>
        </row>
        <row r="63">
          <cell r="D63" t="str">
            <v xml:space="preserve">קלנסואה </v>
          </cell>
        </row>
        <row r="65">
          <cell r="C65" t="str">
            <v>מי נתניה</v>
          </cell>
          <cell r="D65" t="str">
            <v>מי נתניה (2003) בע"מ</v>
          </cell>
        </row>
        <row r="66">
          <cell r="C66" t="str">
            <v>מעיינות השרון</v>
          </cell>
          <cell r="D66" t="str">
            <v>מי השרון בע"מ</v>
          </cell>
        </row>
        <row r="67">
          <cell r="C67" t="str">
            <v>מי חדרה</v>
          </cell>
          <cell r="D67" t="str">
            <v>מי חדרה בע"מ</v>
          </cell>
        </row>
        <row r="68">
          <cell r="C68" t="str">
            <v>מי עירון</v>
          </cell>
          <cell r="D68" t="str">
            <v>מי עירון בע"מ</v>
          </cell>
        </row>
        <row r="69">
          <cell r="C69" t="str">
            <v>טרם אוגדו :</v>
          </cell>
          <cell r="D69" t="str">
            <v>אור עקיבא</v>
          </cell>
        </row>
        <row r="70">
          <cell r="D70" t="str">
            <v xml:space="preserve">בנימינה - גבעת עדה </v>
          </cell>
        </row>
        <row r="71">
          <cell r="D71" t="str">
            <v>גיסר אל זרקא</v>
          </cell>
        </row>
        <row r="72">
          <cell r="D72" t="str">
            <v xml:space="preserve">פרדיס </v>
          </cell>
        </row>
        <row r="73">
          <cell r="D73" t="str">
            <v>זכרון יעקב</v>
          </cell>
        </row>
        <row r="74">
          <cell r="D74" t="str">
            <v xml:space="preserve">פרדס חנה-כרכור </v>
          </cell>
        </row>
        <row r="75">
          <cell r="D75" t="str">
            <v xml:space="preserve">אליכין </v>
          </cell>
        </row>
        <row r="76">
          <cell r="D76" t="str">
            <v xml:space="preserve">חריש </v>
          </cell>
        </row>
        <row r="77">
          <cell r="D77" t="str">
            <v xml:space="preserve">זמר </v>
          </cell>
        </row>
        <row r="79">
          <cell r="C79" t="str">
            <v>מי כרמל</v>
          </cell>
          <cell r="D79" t="str">
            <v>מי כרמל בע"מ</v>
          </cell>
        </row>
        <row r="80">
          <cell r="C80" t="str">
            <v>מעיינות אתא</v>
          </cell>
          <cell r="D80" t="str">
            <v>מי קריית אתא בע"מ</v>
          </cell>
        </row>
        <row r="81">
          <cell r="C81" t="str">
            <v>פלגי מוצקין</v>
          </cell>
          <cell r="D81" t="str">
            <v>פלגי מוצקין בע"מ</v>
          </cell>
        </row>
        <row r="82">
          <cell r="C82" t="str">
            <v>ימים</v>
          </cell>
          <cell r="D82" t="str">
            <v>ימים</v>
          </cell>
        </row>
        <row r="83">
          <cell r="C83" t="str">
            <v>מי קריית ביאליק</v>
          </cell>
          <cell r="D83" t="str">
            <v>מי קריית ביאליק</v>
          </cell>
        </row>
        <row r="84">
          <cell r="C84" t="str">
            <v>טרם אוגדו:</v>
          </cell>
          <cell r="D84" t="str">
            <v xml:space="preserve">טירת הכרמל </v>
          </cell>
        </row>
        <row r="85">
          <cell r="D85" t="str">
            <v xml:space="preserve">נשר </v>
          </cell>
        </row>
        <row r="86">
          <cell r="D86" t="str">
            <v>דלית אל כרמל</v>
          </cell>
        </row>
        <row r="87">
          <cell r="D87" t="str">
            <v>עוספיה</v>
          </cell>
        </row>
        <row r="89">
          <cell r="C89" t="str">
            <v>מעיינות העמקים</v>
          </cell>
          <cell r="D89" t="str">
            <v>מעיינות העמקים בע"מ</v>
          </cell>
        </row>
        <row r="90">
          <cell r="C90" t="str">
            <v>סובב שפרעם</v>
          </cell>
          <cell r="D90" t="str">
            <v>סובב שפרעם בע"מ</v>
          </cell>
        </row>
        <row r="91">
          <cell r="C91" t="str">
            <v>הרי-נצרת</v>
          </cell>
          <cell r="D91" t="str">
            <v>הרי נצרת מפעלי מים וביוב בע"מ</v>
          </cell>
        </row>
        <row r="92">
          <cell r="C92" t="str">
            <v>כפרי גליל תחתון</v>
          </cell>
          <cell r="D92" t="str">
            <v>כפרי גליל תחתון בע"מ</v>
          </cell>
        </row>
        <row r="93">
          <cell r="C93" t="str">
            <v xml:space="preserve">מי נע </v>
          </cell>
          <cell r="D93" t="str">
            <v>מי נע חברת המים והביוב של עיריית נצרת עילית בע"מ</v>
          </cell>
        </row>
        <row r="94">
          <cell r="C94" t="str">
            <v>טרם אוגדו:</v>
          </cell>
          <cell r="D94">
            <v>0</v>
          </cell>
        </row>
        <row r="95">
          <cell r="D95" t="str">
            <v>כעבייה</v>
          </cell>
        </row>
        <row r="96">
          <cell r="D96" t="str">
            <v xml:space="preserve">כפר תבור </v>
          </cell>
        </row>
        <row r="98">
          <cell r="C98" t="str">
            <v>אל עין</v>
          </cell>
          <cell r="D98" t="str">
            <v>אל עין בע"מ</v>
          </cell>
        </row>
        <row r="99">
          <cell r="C99" t="str">
            <v>מי הגליל</v>
          </cell>
          <cell r="D99" t="str">
            <v>מי גליל בע"מ</v>
          </cell>
        </row>
        <row r="100">
          <cell r="C100" t="str">
            <v>מי עכו</v>
          </cell>
          <cell r="D100" t="str">
            <v>מי עכו בע"מ</v>
          </cell>
        </row>
        <row r="101">
          <cell r="C101" t="str">
            <v>מעיינות זיו</v>
          </cell>
          <cell r="D101" t="str">
            <v>מעיינות זיו בע"מ</v>
          </cell>
        </row>
        <row r="102">
          <cell r="C102" t="str">
            <v>עין הכרמים</v>
          </cell>
          <cell r="D102" t="str">
            <v>עין כרמים בע"מ</v>
          </cell>
        </row>
        <row r="103">
          <cell r="C103" t="str">
            <v>טרם אוגדו:</v>
          </cell>
          <cell r="D103" t="str">
            <v>מעילייא</v>
          </cell>
        </row>
        <row r="104">
          <cell r="D104" t="str">
            <v xml:space="preserve">נהריה </v>
          </cell>
        </row>
        <row r="106">
          <cell r="C106" t="str">
            <v>התנור</v>
          </cell>
          <cell r="D106" t="str">
            <v>התנור מים וביוב בע"מ</v>
          </cell>
        </row>
        <row r="107">
          <cell r="C107" t="str">
            <v>פלג הגליל</v>
          </cell>
          <cell r="D107" t="str">
            <v>פלג הגליל החברה האזורית למים וביוב בע"מ</v>
          </cell>
        </row>
        <row r="108">
          <cell r="C108" t="str">
            <v>מי רקת טבריה</v>
          </cell>
          <cell r="D108" t="str">
            <v>מי רקת טבריה בע"מ</v>
          </cell>
        </row>
        <row r="109">
          <cell r="C109" t="str">
            <v>טרם אוגדו:</v>
          </cell>
          <cell r="D109" t="str">
            <v xml:space="preserve">עין קניה </v>
          </cell>
        </row>
        <row r="110">
          <cell r="D110" t="str">
            <v>בוקעאתא</v>
          </cell>
        </row>
        <row r="111">
          <cell r="D111" t="str">
            <v xml:space="preserve">ראש פנה </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מי עירון"/>
      <sheetName val="כפרי גליל תחתון"/>
      <sheetName val="הרי נצרת"/>
      <sheetName val="פלג הגליל"/>
      <sheetName val="אל עין"/>
      <sheetName val="מי הגליל"/>
      <sheetName val="סובב שפרעם"/>
      <sheetName val="מי לוד"/>
      <sheetName val="מי רהט"/>
      <sheetName val="נווה מדבר"/>
      <sheetName val="מעינות המשולש"/>
      <sheetName val="גיליון12"/>
      <sheetName val="רגישות כולל 90 ללא ספיגות "/>
      <sheetName val="רגישות 90 אחוז ביובית 180 שח"/>
      <sheetName val="תחשיב מ 90 כולל ספיגות"/>
      <sheetName val="נתונים 2010 מפור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ow r="2">
          <cell r="D2" t="str">
            <v>שם הישוב</v>
          </cell>
          <cell r="E2">
            <v>2010</v>
          </cell>
          <cell r="F2" t="str">
            <v>הפקה</v>
          </cell>
          <cell r="G2" t="str">
            <v>קניה</v>
          </cell>
          <cell r="H2" t="str">
            <v>תקבולים</v>
          </cell>
        </row>
        <row r="3">
          <cell r="E3" t="str">
            <v>נפש</v>
          </cell>
          <cell r="F3" t="str">
            <v>מ"ק</v>
          </cell>
          <cell r="G3" t="str">
            <v>מ"ק</v>
          </cell>
          <cell r="H3" t="str">
            <v>מ"ק</v>
          </cell>
        </row>
        <row r="4">
          <cell r="D4" t="str">
            <v>אבו סנאן</v>
          </cell>
          <cell r="E4">
            <v>12619</v>
          </cell>
          <cell r="F4">
            <v>0</v>
          </cell>
          <cell r="G4">
            <v>825000</v>
          </cell>
          <cell r="H4">
            <v>825000</v>
          </cell>
        </row>
        <row r="5">
          <cell r="D5" t="str">
            <v>ג'וליס</v>
          </cell>
          <cell r="E5">
            <v>5761</v>
          </cell>
          <cell r="F5">
            <v>0</v>
          </cell>
          <cell r="G5">
            <v>559820</v>
          </cell>
          <cell r="H5">
            <v>559820</v>
          </cell>
        </row>
        <row r="6">
          <cell r="D6" t="str">
            <v>כפר יאסיף</v>
          </cell>
          <cell r="E6">
            <v>8795</v>
          </cell>
          <cell r="F6">
            <v>0</v>
          </cell>
          <cell r="G6">
            <v>775861</v>
          </cell>
          <cell r="H6">
            <v>775861</v>
          </cell>
        </row>
        <row r="7">
          <cell r="D7" t="str">
            <v>ירכא</v>
          </cell>
          <cell r="E7">
            <v>15032</v>
          </cell>
          <cell r="F7">
            <v>0</v>
          </cell>
          <cell r="G7">
            <v>1617996</v>
          </cell>
          <cell r="H7">
            <v>1617996</v>
          </cell>
        </row>
        <row r="8">
          <cell r="D8" t="str">
            <v>ג'דידה מכר</v>
          </cell>
          <cell r="E8">
            <v>18574</v>
          </cell>
          <cell r="F8">
            <v>0</v>
          </cell>
          <cell r="G8">
            <v>1556186</v>
          </cell>
          <cell r="H8">
            <v>1556186</v>
          </cell>
        </row>
        <row r="9">
          <cell r="D9" t="str">
            <v xml:space="preserve">סה"כ תאגיד </v>
          </cell>
          <cell r="E9">
            <v>60781</v>
          </cell>
          <cell r="F9">
            <v>0</v>
          </cell>
          <cell r="G9">
            <v>5334863</v>
          </cell>
          <cell r="H9">
            <v>5334863</v>
          </cell>
        </row>
        <row r="10">
          <cell r="D10" t="str">
            <v>ירושלים</v>
          </cell>
          <cell r="E10">
            <v>788052</v>
          </cell>
          <cell r="F10">
            <v>0</v>
          </cell>
          <cell r="G10">
            <v>56234239</v>
          </cell>
          <cell r="H10">
            <v>56234239</v>
          </cell>
        </row>
        <row r="11">
          <cell r="D11" t="str">
            <v>אבו גוש</v>
          </cell>
          <cell r="E11">
            <v>6094</v>
          </cell>
          <cell r="F11">
            <v>0</v>
          </cell>
          <cell r="G11">
            <v>400420</v>
          </cell>
          <cell r="H11">
            <v>400420</v>
          </cell>
        </row>
        <row r="12">
          <cell r="D12" t="str">
            <v xml:space="preserve">סה"כ תאגיד </v>
          </cell>
          <cell r="E12">
            <v>794146</v>
          </cell>
          <cell r="F12">
            <v>0</v>
          </cell>
          <cell r="G12">
            <v>56634659</v>
          </cell>
          <cell r="H12">
            <v>56634659</v>
          </cell>
        </row>
        <row r="13">
          <cell r="D13" t="str">
            <v>איכסאל</v>
          </cell>
          <cell r="E13">
            <v>12429</v>
          </cell>
          <cell r="F13">
            <v>0</v>
          </cell>
          <cell r="G13">
            <v>863129</v>
          </cell>
          <cell r="H13">
            <v>863129</v>
          </cell>
        </row>
        <row r="14">
          <cell r="D14" t="str">
            <v>ריינה</v>
          </cell>
          <cell r="E14">
            <v>17452</v>
          </cell>
          <cell r="F14">
            <v>0</v>
          </cell>
          <cell r="G14">
            <v>1456950</v>
          </cell>
          <cell r="H14">
            <v>1456950</v>
          </cell>
        </row>
        <row r="15">
          <cell r="D15" t="str">
            <v>עילוט</v>
          </cell>
          <cell r="E15">
            <v>7039</v>
          </cell>
          <cell r="F15">
            <v>0</v>
          </cell>
          <cell r="G15">
            <v>419823</v>
          </cell>
          <cell r="H15">
            <v>419823</v>
          </cell>
        </row>
        <row r="16">
          <cell r="D16" t="str">
            <v>יפיע</v>
          </cell>
          <cell r="E16">
            <v>16776</v>
          </cell>
          <cell r="F16">
            <v>0</v>
          </cell>
          <cell r="G16">
            <v>1108630</v>
          </cell>
          <cell r="H16">
            <v>1108630</v>
          </cell>
        </row>
        <row r="17">
          <cell r="D17" t="str">
            <v>נצרת</v>
          </cell>
          <cell r="E17">
            <v>72997</v>
          </cell>
          <cell r="F17">
            <v>0</v>
          </cell>
          <cell r="G17">
            <v>5851390</v>
          </cell>
          <cell r="H17">
            <v>5851390</v>
          </cell>
        </row>
        <row r="18">
          <cell r="D18" t="str">
            <v xml:space="preserve">סה"כ תאגיד </v>
          </cell>
          <cell r="E18">
            <v>126693</v>
          </cell>
          <cell r="F18">
            <v>0</v>
          </cell>
          <cell r="G18">
            <v>9699922</v>
          </cell>
          <cell r="H18">
            <v>9699922</v>
          </cell>
        </row>
        <row r="19">
          <cell r="D19" t="str">
            <v>מטולה</v>
          </cell>
          <cell r="E19">
            <v>1590</v>
          </cell>
          <cell r="F19">
            <v>0</v>
          </cell>
          <cell r="G19">
            <v>244406</v>
          </cell>
          <cell r="H19">
            <v>244406</v>
          </cell>
        </row>
        <row r="20">
          <cell r="D20" t="str">
            <v>קרית שמונה</v>
          </cell>
          <cell r="E20">
            <v>23326</v>
          </cell>
          <cell r="F20">
            <v>0</v>
          </cell>
          <cell r="G20">
            <v>1877637</v>
          </cell>
          <cell r="H20">
            <v>1877637</v>
          </cell>
        </row>
        <row r="21">
          <cell r="D21" t="str">
            <v>קצרין</v>
          </cell>
          <cell r="E21">
            <v>6712</v>
          </cell>
          <cell r="F21">
            <v>0</v>
          </cell>
          <cell r="G21">
            <v>770062</v>
          </cell>
          <cell r="H21">
            <v>770062</v>
          </cell>
        </row>
        <row r="22">
          <cell r="D22" t="str">
            <v xml:space="preserve">סה"כ תאגיד </v>
          </cell>
          <cell r="E22">
            <v>31628</v>
          </cell>
          <cell r="F22">
            <v>0</v>
          </cell>
          <cell r="G22">
            <v>2892105</v>
          </cell>
          <cell r="H22">
            <v>2892105</v>
          </cell>
        </row>
        <row r="23">
          <cell r="D23" t="str">
            <v>אשדוד</v>
          </cell>
          <cell r="E23">
            <v>210558</v>
          </cell>
          <cell r="F23">
            <v>746870</v>
          </cell>
          <cell r="G23">
            <v>16782838</v>
          </cell>
          <cell r="H23">
            <v>17529708</v>
          </cell>
        </row>
        <row r="24">
          <cell r="D24" t="str">
            <v xml:space="preserve">סה"כ תאגיד </v>
          </cell>
          <cell r="E24">
            <v>210558</v>
          </cell>
          <cell r="F24">
            <v>746870</v>
          </cell>
          <cell r="G24">
            <v>16782838</v>
          </cell>
          <cell r="H24">
            <v>17529708</v>
          </cell>
        </row>
        <row r="25">
          <cell r="D25" t="str">
            <v>אריאל</v>
          </cell>
          <cell r="E25">
            <v>17668</v>
          </cell>
          <cell r="F25">
            <v>0</v>
          </cell>
          <cell r="G25">
            <v>1254473</v>
          </cell>
          <cell r="H25">
            <v>1254473</v>
          </cell>
        </row>
        <row r="26">
          <cell r="D26" t="str">
            <v>קרני שומרון</v>
          </cell>
          <cell r="E26">
            <v>6284</v>
          </cell>
          <cell r="F26">
            <v>0</v>
          </cell>
          <cell r="G26">
            <v>560067</v>
          </cell>
          <cell r="H26">
            <v>560067</v>
          </cell>
        </row>
        <row r="27">
          <cell r="D27" t="str">
            <v xml:space="preserve">סה"כ תאגיד </v>
          </cell>
          <cell r="E27">
            <v>23952</v>
          </cell>
          <cell r="F27">
            <v>0</v>
          </cell>
          <cell r="G27">
            <v>1814540</v>
          </cell>
          <cell r="H27">
            <v>1814540</v>
          </cell>
        </row>
        <row r="28">
          <cell r="D28" t="str">
            <v>קרית ים</v>
          </cell>
          <cell r="E28">
            <v>37835</v>
          </cell>
          <cell r="F28">
            <v>0</v>
          </cell>
          <cell r="G28">
            <v>2715422</v>
          </cell>
          <cell r="H28">
            <v>2715422</v>
          </cell>
        </row>
        <row r="29">
          <cell r="D29" t="str">
            <v xml:space="preserve">סה"כ תאגיד </v>
          </cell>
          <cell r="E29">
            <v>37835</v>
          </cell>
          <cell r="F29">
            <v>0</v>
          </cell>
          <cell r="G29">
            <v>2715422</v>
          </cell>
          <cell r="H29">
            <v>2715422</v>
          </cell>
        </row>
        <row r="30">
          <cell r="D30" t="str">
            <v>דבוריה</v>
          </cell>
          <cell r="E30">
            <v>9133</v>
          </cell>
          <cell r="F30">
            <v>0</v>
          </cell>
          <cell r="G30">
            <v>673628</v>
          </cell>
          <cell r="H30">
            <v>673628</v>
          </cell>
        </row>
        <row r="31">
          <cell r="D31" t="str">
            <v>טורעאן</v>
          </cell>
          <cell r="E31">
            <v>12149</v>
          </cell>
          <cell r="F31">
            <v>0</v>
          </cell>
          <cell r="G31">
            <v>962460</v>
          </cell>
          <cell r="H31">
            <v>962460</v>
          </cell>
        </row>
        <row r="32">
          <cell r="D32" t="str">
            <v>שבלי</v>
          </cell>
          <cell r="E32">
            <v>5105</v>
          </cell>
          <cell r="F32">
            <v>0</v>
          </cell>
          <cell r="G32">
            <v>352850</v>
          </cell>
          <cell r="H32">
            <v>352850</v>
          </cell>
        </row>
        <row r="33">
          <cell r="D33" t="str">
            <v>בעינה נוגידאת</v>
          </cell>
          <cell r="E33">
            <v>8163</v>
          </cell>
          <cell r="F33">
            <v>0</v>
          </cell>
          <cell r="G33">
            <v>366110</v>
          </cell>
          <cell r="H33">
            <v>366110</v>
          </cell>
        </row>
        <row r="34">
          <cell r="D34" t="str">
            <v>כפר כנא</v>
          </cell>
          <cell r="E34">
            <v>19179</v>
          </cell>
          <cell r="F34">
            <v>0</v>
          </cell>
          <cell r="G34">
            <v>1473080</v>
          </cell>
          <cell r="H34">
            <v>1473080</v>
          </cell>
        </row>
        <row r="35">
          <cell r="D35" t="str">
            <v>משהד</v>
          </cell>
          <cell r="E35">
            <v>7196</v>
          </cell>
          <cell r="F35">
            <v>0</v>
          </cell>
          <cell r="G35">
            <v>456560</v>
          </cell>
          <cell r="H35">
            <v>456560</v>
          </cell>
        </row>
        <row r="36">
          <cell r="D36" t="str">
            <v xml:space="preserve">סה"כ תאגיד </v>
          </cell>
          <cell r="E36">
            <v>60925</v>
          </cell>
          <cell r="F36">
            <v>0</v>
          </cell>
          <cell r="G36">
            <v>4284688</v>
          </cell>
          <cell r="H36">
            <v>4284688</v>
          </cell>
        </row>
        <row r="37">
          <cell r="D37" t="str">
            <v>נצרת עלית</v>
          </cell>
          <cell r="E37">
            <v>40858</v>
          </cell>
          <cell r="F37">
            <v>0</v>
          </cell>
          <cell r="G37">
            <v>3740290</v>
          </cell>
          <cell r="H37">
            <v>3740290</v>
          </cell>
        </row>
        <row r="38">
          <cell r="D38" t="str">
            <v>מגדל העמק</v>
          </cell>
          <cell r="E38">
            <v>24051</v>
          </cell>
          <cell r="F38">
            <v>0</v>
          </cell>
          <cell r="G38">
            <v>2863821</v>
          </cell>
          <cell r="H38">
            <v>2863821</v>
          </cell>
        </row>
        <row r="39">
          <cell r="D39" t="str">
            <v xml:space="preserve">סה"כ </v>
          </cell>
          <cell r="E39">
            <v>64909</v>
          </cell>
          <cell r="F39">
            <v>0</v>
          </cell>
          <cell r="G39">
            <v>6604111</v>
          </cell>
          <cell r="H39">
            <v>6604111</v>
          </cell>
        </row>
        <row r="40">
          <cell r="D40" t="str">
            <v>תל אביב-יפו</v>
          </cell>
          <cell r="E40">
            <v>404336</v>
          </cell>
          <cell r="F40">
            <v>2688944</v>
          </cell>
          <cell r="G40">
            <v>42465201</v>
          </cell>
          <cell r="H40">
            <v>45154145</v>
          </cell>
        </row>
        <row r="41">
          <cell r="D41" t="str">
            <v xml:space="preserve">סה"כ תאגיד </v>
          </cell>
          <cell r="E41">
            <v>404336</v>
          </cell>
          <cell r="F41">
            <v>2688944</v>
          </cell>
          <cell r="G41">
            <v>42465201</v>
          </cell>
          <cell r="H41">
            <v>45154145</v>
          </cell>
        </row>
        <row r="42">
          <cell r="D42" t="str">
            <v>קרית אונו</v>
          </cell>
          <cell r="E42">
            <v>32183</v>
          </cell>
          <cell r="F42">
            <v>2003197</v>
          </cell>
          <cell r="G42">
            <v>540139</v>
          </cell>
          <cell r="H42">
            <v>2543336</v>
          </cell>
        </row>
        <row r="43">
          <cell r="D43" t="str">
            <v xml:space="preserve">סה"כ תאגיד </v>
          </cell>
          <cell r="E43">
            <v>32183</v>
          </cell>
          <cell r="F43">
            <v>2003197</v>
          </cell>
          <cell r="G43">
            <v>540139</v>
          </cell>
          <cell r="H43">
            <v>2543336</v>
          </cell>
        </row>
        <row r="44">
          <cell r="D44" t="str">
            <v>בני ברק</v>
          </cell>
          <cell r="E44">
            <v>158888</v>
          </cell>
          <cell r="F44">
            <v>2116412</v>
          </cell>
          <cell r="G44">
            <v>8102510</v>
          </cell>
          <cell r="H44">
            <v>10218922</v>
          </cell>
        </row>
        <row r="45">
          <cell r="D45" t="str">
            <v xml:space="preserve">סה"כ תאגיד </v>
          </cell>
          <cell r="E45">
            <v>158888</v>
          </cell>
          <cell r="F45">
            <v>2116412</v>
          </cell>
          <cell r="G45">
            <v>8102510</v>
          </cell>
          <cell r="H45">
            <v>10218922</v>
          </cell>
        </row>
        <row r="46">
          <cell r="D46" t="str">
            <v>בת ים</v>
          </cell>
          <cell r="E46">
            <v>130377</v>
          </cell>
          <cell r="F46">
            <v>7880975</v>
          </cell>
          <cell r="G46">
            <v>3377139</v>
          </cell>
          <cell r="H46">
            <v>11258114</v>
          </cell>
        </row>
        <row r="47">
          <cell r="D47" t="str">
            <v xml:space="preserve">סה"כ תאגיד </v>
          </cell>
          <cell r="E47">
            <v>130377</v>
          </cell>
          <cell r="F47">
            <v>7880975</v>
          </cell>
          <cell r="G47">
            <v>3377139</v>
          </cell>
          <cell r="H47">
            <v>11258114</v>
          </cell>
        </row>
        <row r="48">
          <cell r="D48" t="str">
            <v>גבעתיים</v>
          </cell>
          <cell r="E48">
            <v>54035</v>
          </cell>
          <cell r="F48">
            <v>1952647</v>
          </cell>
          <cell r="G48">
            <v>1807502</v>
          </cell>
          <cell r="H48">
            <v>3760149</v>
          </cell>
        </row>
        <row r="49">
          <cell r="D49" t="str">
            <v xml:space="preserve">סה"כ תאגיד </v>
          </cell>
          <cell r="E49">
            <v>54035</v>
          </cell>
          <cell r="F49">
            <v>1952647</v>
          </cell>
          <cell r="G49">
            <v>1807502</v>
          </cell>
          <cell r="H49">
            <v>3760149</v>
          </cell>
        </row>
        <row r="50">
          <cell r="D50" t="str">
            <v>סחנין</v>
          </cell>
          <cell r="E50">
            <v>26289</v>
          </cell>
          <cell r="F50">
            <v>0</v>
          </cell>
          <cell r="G50">
            <v>2228150</v>
          </cell>
          <cell r="H50">
            <v>2228150</v>
          </cell>
        </row>
        <row r="51">
          <cell r="D51" t="str">
            <v>נחף</v>
          </cell>
          <cell r="E51">
            <v>10943</v>
          </cell>
          <cell r="F51">
            <v>0</v>
          </cell>
          <cell r="G51">
            <v>654620</v>
          </cell>
          <cell r="H51">
            <v>654620</v>
          </cell>
        </row>
        <row r="52">
          <cell r="D52" t="str">
            <v>דיר חנא</v>
          </cell>
          <cell r="E52">
            <v>9048</v>
          </cell>
          <cell r="F52">
            <v>0</v>
          </cell>
          <cell r="G52">
            <v>656680</v>
          </cell>
          <cell r="H52">
            <v>656680</v>
          </cell>
        </row>
        <row r="53">
          <cell r="D53" t="str">
            <v>בענה</v>
          </cell>
          <cell r="E53">
            <v>7063</v>
          </cell>
          <cell r="F53">
            <v>0</v>
          </cell>
          <cell r="G53">
            <v>358950</v>
          </cell>
          <cell r="H53">
            <v>358950</v>
          </cell>
        </row>
        <row r="54">
          <cell r="D54" t="str">
            <v>עראבה</v>
          </cell>
          <cell r="E54">
            <v>21660</v>
          </cell>
          <cell r="F54">
            <v>0</v>
          </cell>
          <cell r="G54">
            <v>1872070</v>
          </cell>
          <cell r="H54">
            <v>1872070</v>
          </cell>
        </row>
        <row r="55">
          <cell r="D55" t="str">
            <v>מג'ד אלכרום</v>
          </cell>
          <cell r="E55">
            <v>13776</v>
          </cell>
          <cell r="F55">
            <v>0</v>
          </cell>
          <cell r="G55">
            <v>1071354</v>
          </cell>
          <cell r="H55">
            <v>1071354</v>
          </cell>
        </row>
        <row r="56">
          <cell r="D56" t="str">
            <v>דיר אל אסד</v>
          </cell>
          <cell r="E56">
            <v>10610</v>
          </cell>
          <cell r="F56">
            <v>0</v>
          </cell>
          <cell r="G56">
            <v>1110046</v>
          </cell>
          <cell r="H56">
            <v>1110046</v>
          </cell>
        </row>
        <row r="57">
          <cell r="D57" t="str">
            <v xml:space="preserve">סה"כ תאגיד </v>
          </cell>
          <cell r="E57">
            <v>99389</v>
          </cell>
          <cell r="F57">
            <v>0</v>
          </cell>
          <cell r="G57">
            <v>7951870</v>
          </cell>
          <cell r="H57">
            <v>7951870</v>
          </cell>
        </row>
        <row r="58">
          <cell r="D58" t="str">
            <v>הוד השרון</v>
          </cell>
          <cell r="E58">
            <v>48488</v>
          </cell>
          <cell r="F58">
            <v>95882</v>
          </cell>
          <cell r="G58">
            <v>4322340</v>
          </cell>
          <cell r="H58">
            <v>4418222</v>
          </cell>
        </row>
        <row r="59">
          <cell r="D59" t="str">
            <v xml:space="preserve">סה"כ תאגיד </v>
          </cell>
          <cell r="E59">
            <v>48488</v>
          </cell>
          <cell r="F59">
            <v>95882</v>
          </cell>
          <cell r="G59">
            <v>4322340</v>
          </cell>
          <cell r="H59">
            <v>4418222</v>
          </cell>
        </row>
        <row r="60">
          <cell r="D60" t="str">
            <v>הרצליה</v>
          </cell>
          <cell r="E60">
            <v>88100</v>
          </cell>
          <cell r="F60">
            <v>4147020</v>
          </cell>
          <cell r="G60">
            <v>6343182</v>
          </cell>
          <cell r="H60">
            <v>10490202</v>
          </cell>
        </row>
        <row r="61">
          <cell r="D61" t="str">
            <v xml:space="preserve">סה"כ תאגיד </v>
          </cell>
          <cell r="E61">
            <v>88100</v>
          </cell>
          <cell r="F61">
            <v>4147020</v>
          </cell>
          <cell r="G61">
            <v>6343182</v>
          </cell>
          <cell r="H61">
            <v>10490202</v>
          </cell>
        </row>
        <row r="62">
          <cell r="D62" t="str">
            <v>חדרה</v>
          </cell>
          <cell r="E62">
            <v>81491</v>
          </cell>
          <cell r="F62">
            <v>3242073</v>
          </cell>
          <cell r="G62">
            <v>4586820</v>
          </cell>
          <cell r="H62">
            <v>7828893</v>
          </cell>
        </row>
        <row r="63">
          <cell r="D63" t="str">
            <v xml:space="preserve">סה"כ </v>
          </cell>
          <cell r="E63">
            <v>81491</v>
          </cell>
          <cell r="F63">
            <v>3242073</v>
          </cell>
          <cell r="G63">
            <v>4586820</v>
          </cell>
          <cell r="H63">
            <v>7828893</v>
          </cell>
        </row>
        <row r="64">
          <cell r="D64" t="str">
            <v>יבנה</v>
          </cell>
          <cell r="E64">
            <v>33212</v>
          </cell>
          <cell r="F64">
            <v>0</v>
          </cell>
          <cell r="G64">
            <v>4201308</v>
          </cell>
          <cell r="H64">
            <v>4201308</v>
          </cell>
        </row>
        <row r="65">
          <cell r="D65" t="str">
            <v xml:space="preserve">סה"כ תאגיד </v>
          </cell>
          <cell r="E65">
            <v>33212</v>
          </cell>
          <cell r="F65">
            <v>0</v>
          </cell>
          <cell r="G65">
            <v>4201308</v>
          </cell>
          <cell r="H65">
            <v>4201308</v>
          </cell>
        </row>
        <row r="66">
          <cell r="D66" t="str">
            <v>חיפה</v>
          </cell>
          <cell r="E66">
            <v>268215</v>
          </cell>
          <cell r="F66">
            <v>0</v>
          </cell>
          <cell r="G66">
            <v>24043857</v>
          </cell>
          <cell r="H66">
            <v>24043857</v>
          </cell>
        </row>
        <row r="67">
          <cell r="D67" t="str">
            <v xml:space="preserve">סה"כ תאגיד </v>
          </cell>
          <cell r="E67">
            <v>268215</v>
          </cell>
          <cell r="F67">
            <v>0</v>
          </cell>
          <cell r="G67">
            <v>24043857</v>
          </cell>
          <cell r="H67">
            <v>24043857</v>
          </cell>
        </row>
        <row r="68">
          <cell r="D68" t="str">
            <v>לוד</v>
          </cell>
          <cell r="E68">
            <v>70418</v>
          </cell>
          <cell r="F68">
            <v>0</v>
          </cell>
          <cell r="G68">
            <v>5568507</v>
          </cell>
          <cell r="H68">
            <v>5568507</v>
          </cell>
        </row>
        <row r="69">
          <cell r="D69" t="str">
            <v xml:space="preserve">סה"כ תאגיד </v>
          </cell>
          <cell r="E69">
            <v>70418</v>
          </cell>
          <cell r="F69">
            <v>0</v>
          </cell>
          <cell r="G69">
            <v>5568507</v>
          </cell>
          <cell r="H69">
            <v>5568507</v>
          </cell>
        </row>
        <row r="70">
          <cell r="D70" t="str">
            <v>מודיעין</v>
          </cell>
          <cell r="E70">
            <v>76466</v>
          </cell>
          <cell r="F70">
            <v>0</v>
          </cell>
          <cell r="G70">
            <v>5925426</v>
          </cell>
          <cell r="H70">
            <v>5925426</v>
          </cell>
        </row>
        <row r="71">
          <cell r="D71" t="str">
            <v xml:space="preserve">סה"כ תאגיד </v>
          </cell>
          <cell r="E71">
            <v>76466</v>
          </cell>
          <cell r="F71">
            <v>0</v>
          </cell>
          <cell r="G71">
            <v>5925426</v>
          </cell>
          <cell r="H71">
            <v>5925426</v>
          </cell>
        </row>
        <row r="72">
          <cell r="D72" t="str">
            <v>נתניה</v>
          </cell>
          <cell r="E72">
            <v>186782</v>
          </cell>
          <cell r="F72">
            <v>7935559</v>
          </cell>
          <cell r="G72">
            <v>7329860</v>
          </cell>
          <cell r="H72">
            <v>15265419</v>
          </cell>
        </row>
        <row r="73">
          <cell r="D73" t="str">
            <v xml:space="preserve">סה"כ תאגיד </v>
          </cell>
          <cell r="E73">
            <v>186782</v>
          </cell>
          <cell r="F73">
            <v>7935559</v>
          </cell>
          <cell r="G73">
            <v>7329860</v>
          </cell>
          <cell r="H73">
            <v>15265419</v>
          </cell>
        </row>
        <row r="74">
          <cell r="D74" t="str">
            <v>אום אל-פחם</v>
          </cell>
          <cell r="E74">
            <v>47351</v>
          </cell>
          <cell r="F74">
            <v>0</v>
          </cell>
          <cell r="G74">
            <v>3126985</v>
          </cell>
          <cell r="H74">
            <v>3126985</v>
          </cell>
        </row>
        <row r="75">
          <cell r="D75" t="str">
            <v>כפר קרע</v>
          </cell>
          <cell r="E75">
            <v>15721</v>
          </cell>
          <cell r="F75">
            <v>0</v>
          </cell>
          <cell r="G75">
            <v>1373077</v>
          </cell>
          <cell r="H75">
            <v>1373077</v>
          </cell>
        </row>
        <row r="76">
          <cell r="D76" t="str">
            <v>ערערה</v>
          </cell>
          <cell r="E76">
            <v>22552</v>
          </cell>
          <cell r="F76">
            <v>0</v>
          </cell>
          <cell r="G76">
            <v>472999</v>
          </cell>
          <cell r="H76">
            <v>472999</v>
          </cell>
        </row>
        <row r="77">
          <cell r="D77" t="str">
            <v>בסמ"ה</v>
          </cell>
        </row>
        <row r="78">
          <cell r="D78" t="str">
            <v xml:space="preserve">סה"כ תאגיד </v>
          </cell>
          <cell r="E78">
            <v>85624</v>
          </cell>
          <cell r="F78">
            <v>0</v>
          </cell>
          <cell r="G78">
            <v>4973061</v>
          </cell>
          <cell r="H78">
            <v>4973061</v>
          </cell>
        </row>
        <row r="79">
          <cell r="D79" t="str">
            <v>עכו עיריה</v>
          </cell>
          <cell r="E79">
            <v>46617</v>
          </cell>
          <cell r="F79">
            <v>0</v>
          </cell>
          <cell r="G79">
            <v>3823964</v>
          </cell>
          <cell r="H79">
            <v>3823964</v>
          </cell>
        </row>
        <row r="80">
          <cell r="D80" t="str">
            <v xml:space="preserve">סה"כ תאגיד </v>
          </cell>
          <cell r="E80">
            <v>46617</v>
          </cell>
          <cell r="F80">
            <v>0</v>
          </cell>
          <cell r="G80">
            <v>3823964</v>
          </cell>
          <cell r="H80">
            <v>3823964</v>
          </cell>
        </row>
        <row r="81">
          <cell r="D81" t="str">
            <v>נס ציונה</v>
          </cell>
          <cell r="E81">
            <v>39144</v>
          </cell>
          <cell r="F81">
            <v>1644851</v>
          </cell>
          <cell r="G81">
            <v>1532970</v>
          </cell>
          <cell r="H81">
            <v>3177821</v>
          </cell>
        </row>
        <row r="82">
          <cell r="D82" t="str">
            <v xml:space="preserve">סה"כ תאגיד </v>
          </cell>
          <cell r="E82">
            <v>39144</v>
          </cell>
          <cell r="F82">
            <v>1644851</v>
          </cell>
          <cell r="G82">
            <v>1532970</v>
          </cell>
          <cell r="H82">
            <v>3177821</v>
          </cell>
        </row>
        <row r="83">
          <cell r="D83" t="str">
            <v>קרית ביאליק</v>
          </cell>
          <cell r="E83">
            <v>37691</v>
          </cell>
          <cell r="F83">
            <v>0</v>
          </cell>
          <cell r="G83">
            <v>2924332</v>
          </cell>
          <cell r="H83">
            <v>2924332</v>
          </cell>
        </row>
        <row r="84">
          <cell r="D84" t="str">
            <v xml:space="preserve">סה"כ תאגיד </v>
          </cell>
          <cell r="E84">
            <v>37691</v>
          </cell>
          <cell r="F84">
            <v>0</v>
          </cell>
          <cell r="G84">
            <v>2924332</v>
          </cell>
          <cell r="H84">
            <v>2924332</v>
          </cell>
        </row>
        <row r="85">
          <cell r="D85" t="str">
            <v>קרית גת</v>
          </cell>
          <cell r="E85">
            <v>47621</v>
          </cell>
          <cell r="F85">
            <v>0</v>
          </cell>
          <cell r="G85">
            <v>7677584</v>
          </cell>
          <cell r="H85">
            <v>7677584</v>
          </cell>
        </row>
        <row r="86">
          <cell r="D86" t="str">
            <v xml:space="preserve">סה"כ תאגיד </v>
          </cell>
          <cell r="E86">
            <v>47621</v>
          </cell>
          <cell r="F86">
            <v>0</v>
          </cell>
          <cell r="G86">
            <v>7677584</v>
          </cell>
          <cell r="H86">
            <v>7677584</v>
          </cell>
        </row>
        <row r="87">
          <cell r="D87" t="str">
            <v>רהט</v>
          </cell>
          <cell r="E87">
            <v>53095</v>
          </cell>
          <cell r="F87">
            <v>0</v>
          </cell>
          <cell r="G87">
            <v>3190820</v>
          </cell>
          <cell r="H87">
            <v>3190820</v>
          </cell>
        </row>
        <row r="88">
          <cell r="D88" t="str">
            <v xml:space="preserve">סה"כ תאגיד </v>
          </cell>
          <cell r="E88">
            <v>53095</v>
          </cell>
          <cell r="F88">
            <v>0</v>
          </cell>
          <cell r="G88">
            <v>3190820</v>
          </cell>
          <cell r="H88">
            <v>3190820</v>
          </cell>
        </row>
        <row r="89">
          <cell r="D89" t="str">
            <v>רעננה</v>
          </cell>
          <cell r="E89">
            <v>68878</v>
          </cell>
          <cell r="F89">
            <v>4790660</v>
          </cell>
          <cell r="G89">
            <v>2121108</v>
          </cell>
          <cell r="H89">
            <v>6911768</v>
          </cell>
        </row>
        <row r="90">
          <cell r="D90" t="str">
            <v xml:space="preserve">סה"כ תאגיד </v>
          </cell>
          <cell r="E90">
            <v>68878</v>
          </cell>
          <cell r="F90">
            <v>4790660</v>
          </cell>
          <cell r="G90">
            <v>2121108</v>
          </cell>
          <cell r="H90">
            <v>6911768</v>
          </cell>
        </row>
        <row r="91">
          <cell r="D91" t="str">
            <v>טבריה</v>
          </cell>
          <cell r="E91">
            <v>41734</v>
          </cell>
          <cell r="F91">
            <v>4756600</v>
          </cell>
          <cell r="G91">
            <v>0</v>
          </cell>
          <cell r="H91">
            <v>4756600</v>
          </cell>
        </row>
        <row r="92">
          <cell r="D92" t="str">
            <v>מגדל</v>
          </cell>
          <cell r="E92">
            <v>1458</v>
          </cell>
          <cell r="F92">
            <v>0</v>
          </cell>
          <cell r="G92">
            <v>300010</v>
          </cell>
          <cell r="H92">
            <v>300010</v>
          </cell>
        </row>
        <row r="93">
          <cell r="D93" t="str">
            <v xml:space="preserve">סה"כ תאגיד </v>
          </cell>
          <cell r="E93">
            <v>43192</v>
          </cell>
          <cell r="F93">
            <v>4756600</v>
          </cell>
          <cell r="G93">
            <v>300010</v>
          </cell>
          <cell r="H93">
            <v>5056610</v>
          </cell>
        </row>
        <row r="94">
          <cell r="D94" t="str">
            <v>באר שבע</v>
          </cell>
          <cell r="E94">
            <v>195362</v>
          </cell>
          <cell r="F94">
            <v>0</v>
          </cell>
          <cell r="G94">
            <v>18361238</v>
          </cell>
          <cell r="H94">
            <v>18361238</v>
          </cell>
        </row>
        <row r="95">
          <cell r="D95" t="str">
            <v xml:space="preserve">סה"כ תאגיד </v>
          </cell>
          <cell r="E95">
            <v>195362</v>
          </cell>
          <cell r="F95">
            <v>0</v>
          </cell>
          <cell r="G95">
            <v>18361238</v>
          </cell>
          <cell r="H95">
            <v>18361238</v>
          </cell>
        </row>
        <row r="96">
          <cell r="D96" t="str">
            <v>בית שמש</v>
          </cell>
          <cell r="E96">
            <v>80561</v>
          </cell>
          <cell r="F96">
            <v>0</v>
          </cell>
          <cell r="G96">
            <v>5457000</v>
          </cell>
          <cell r="H96">
            <v>5457000</v>
          </cell>
        </row>
        <row r="97">
          <cell r="D97" t="str">
            <v xml:space="preserve">סה"כ תאגיד </v>
          </cell>
          <cell r="E97">
            <v>80561</v>
          </cell>
          <cell r="F97">
            <v>0</v>
          </cell>
          <cell r="G97">
            <v>5457000</v>
          </cell>
          <cell r="H97">
            <v>5457000</v>
          </cell>
        </row>
        <row r="98">
          <cell r="D98" t="str">
            <v>אזור</v>
          </cell>
          <cell r="E98">
            <v>11211</v>
          </cell>
          <cell r="F98">
            <v>0</v>
          </cell>
          <cell r="G98">
            <v>1310219</v>
          </cell>
          <cell r="H98">
            <v>1310219</v>
          </cell>
        </row>
        <row r="99">
          <cell r="D99" t="str">
            <v>חולון</v>
          </cell>
          <cell r="E99">
            <v>181503</v>
          </cell>
          <cell r="F99">
            <v>0</v>
          </cell>
          <cell r="G99">
            <v>13624807</v>
          </cell>
          <cell r="H99">
            <v>13624807</v>
          </cell>
        </row>
        <row r="100">
          <cell r="D100" t="str">
            <v xml:space="preserve">סה"כ תאגיד </v>
          </cell>
          <cell r="E100">
            <v>192714</v>
          </cell>
          <cell r="F100">
            <v>0</v>
          </cell>
          <cell r="G100">
            <v>14935026</v>
          </cell>
          <cell r="H100">
            <v>14935026</v>
          </cell>
        </row>
        <row r="101">
          <cell r="D101" t="str">
            <v>פתח תקוה</v>
          </cell>
          <cell r="E101">
            <v>211129</v>
          </cell>
          <cell r="F101">
            <v>7985535</v>
          </cell>
          <cell r="G101">
            <v>7681750</v>
          </cell>
          <cell r="H101">
            <v>15667285</v>
          </cell>
        </row>
        <row r="102">
          <cell r="D102" t="str">
            <v>אלעד</v>
          </cell>
          <cell r="E102">
            <v>38364</v>
          </cell>
          <cell r="F102">
            <v>0</v>
          </cell>
          <cell r="G102">
            <v>1943826</v>
          </cell>
          <cell r="H102">
            <v>1943826</v>
          </cell>
        </row>
        <row r="103">
          <cell r="D103" t="str">
            <v>כפר ברא</v>
          </cell>
          <cell r="E103">
            <v>2955</v>
          </cell>
          <cell r="F103">
            <v>156692</v>
          </cell>
          <cell r="G103">
            <v>0</v>
          </cell>
          <cell r="H103">
            <v>156692</v>
          </cell>
        </row>
        <row r="104">
          <cell r="D104" t="str">
            <v xml:space="preserve">סה"כ תאגיד </v>
          </cell>
          <cell r="E104">
            <v>252448</v>
          </cell>
          <cell r="F104">
            <v>8142227</v>
          </cell>
          <cell r="G104">
            <v>9625576</v>
          </cell>
          <cell r="H104">
            <v>17767803</v>
          </cell>
        </row>
        <row r="105">
          <cell r="D105" t="str">
            <v>ראשון לציון</v>
          </cell>
          <cell r="E105">
            <v>231045</v>
          </cell>
          <cell r="F105">
            <v>11409273</v>
          </cell>
          <cell r="G105">
            <v>7353974</v>
          </cell>
          <cell r="H105">
            <v>18763247</v>
          </cell>
        </row>
        <row r="106">
          <cell r="D106" t="str">
            <v xml:space="preserve">סה"כ תאגיד </v>
          </cell>
          <cell r="E106">
            <v>231045</v>
          </cell>
          <cell r="F106">
            <v>11409273</v>
          </cell>
          <cell r="G106">
            <v>7353974</v>
          </cell>
          <cell r="H106">
            <v>18763247</v>
          </cell>
        </row>
        <row r="107">
          <cell r="D107" t="str">
            <v>קריית אתא</v>
          </cell>
          <cell r="E107">
            <v>51468</v>
          </cell>
          <cell r="F107">
            <v>0</v>
          </cell>
          <cell r="G107">
            <v>3632600</v>
          </cell>
          <cell r="H107">
            <v>3632600</v>
          </cell>
        </row>
        <row r="108">
          <cell r="D108" t="str">
            <v xml:space="preserve">סה"כ תאגיד </v>
          </cell>
          <cell r="E108">
            <v>51468</v>
          </cell>
          <cell r="F108">
            <v>0</v>
          </cell>
          <cell r="G108">
            <v>3632600</v>
          </cell>
          <cell r="H108">
            <v>3632600</v>
          </cell>
        </row>
        <row r="109">
          <cell r="D109" t="str">
            <v>ערד</v>
          </cell>
          <cell r="E109">
            <v>23733</v>
          </cell>
          <cell r="F109">
            <v>0</v>
          </cell>
          <cell r="G109">
            <v>2771030</v>
          </cell>
          <cell r="H109">
            <v>2771030</v>
          </cell>
        </row>
        <row r="110">
          <cell r="D110" t="str">
            <v>דימונה</v>
          </cell>
          <cell r="E110">
            <v>32565</v>
          </cell>
          <cell r="F110">
            <v>0</v>
          </cell>
          <cell r="G110">
            <v>3242950</v>
          </cell>
          <cell r="H110">
            <v>3242950</v>
          </cell>
        </row>
        <row r="111">
          <cell r="D111" t="str">
            <v>ירוחם</v>
          </cell>
          <cell r="E111">
            <v>8333</v>
          </cell>
          <cell r="F111">
            <v>0</v>
          </cell>
          <cell r="G111">
            <v>1042390</v>
          </cell>
          <cell r="H111">
            <v>1042390</v>
          </cell>
        </row>
        <row r="112">
          <cell r="D112" t="str">
            <v>מצפה רמון</v>
          </cell>
          <cell r="E112">
            <v>4789</v>
          </cell>
          <cell r="F112">
            <v>0</v>
          </cell>
          <cell r="G112">
            <v>483305</v>
          </cell>
          <cell r="H112">
            <v>483305</v>
          </cell>
        </row>
        <row r="113">
          <cell r="D113" t="str">
            <v xml:space="preserve">סה"כ תאגיד </v>
          </cell>
          <cell r="E113">
            <v>69420</v>
          </cell>
          <cell r="F113">
            <v>0</v>
          </cell>
          <cell r="G113">
            <v>7539675</v>
          </cell>
          <cell r="H113">
            <v>7539675</v>
          </cell>
        </row>
        <row r="114">
          <cell r="D114" t="str">
            <v>אבן יהודה</v>
          </cell>
          <cell r="E114">
            <v>11132</v>
          </cell>
          <cell r="F114">
            <v>1614</v>
          </cell>
          <cell r="G114">
            <v>1425331</v>
          </cell>
          <cell r="H114">
            <v>1426945</v>
          </cell>
        </row>
        <row r="115">
          <cell r="D115" t="str">
            <v>כפר יונה</v>
          </cell>
          <cell r="E115">
            <v>18822</v>
          </cell>
          <cell r="F115">
            <v>505082</v>
          </cell>
          <cell r="G115">
            <v>1185810</v>
          </cell>
          <cell r="H115">
            <v>1690892</v>
          </cell>
        </row>
        <row r="116">
          <cell r="D116" t="str">
            <v>פרדסיה</v>
          </cell>
          <cell r="E116">
            <v>5490</v>
          </cell>
          <cell r="F116">
            <v>403108</v>
          </cell>
          <cell r="G116">
            <v>81350</v>
          </cell>
          <cell r="H116">
            <v>484458</v>
          </cell>
        </row>
        <row r="117">
          <cell r="D117" t="str">
            <v>צורן - קדימה</v>
          </cell>
          <cell r="E117">
            <v>17129</v>
          </cell>
          <cell r="F117">
            <v>728059</v>
          </cell>
          <cell r="G117">
            <v>865570</v>
          </cell>
          <cell r="H117">
            <v>1593629</v>
          </cell>
        </row>
        <row r="118">
          <cell r="D118" t="str">
            <v>תל מונד</v>
          </cell>
          <cell r="E118">
            <v>10542</v>
          </cell>
          <cell r="F118">
            <v>0</v>
          </cell>
          <cell r="G118">
            <v>942216</v>
          </cell>
          <cell r="H118">
            <v>942216</v>
          </cell>
        </row>
        <row r="119">
          <cell r="D119" t="str">
            <v xml:space="preserve">סה"כ תאגיד </v>
          </cell>
          <cell r="E119">
            <v>63115</v>
          </cell>
          <cell r="F119">
            <v>1637863</v>
          </cell>
          <cell r="G119">
            <v>4500277</v>
          </cell>
          <cell r="H119">
            <v>6138140</v>
          </cell>
        </row>
        <row r="120">
          <cell r="D120" t="str">
            <v xml:space="preserve">מעלות </v>
          </cell>
          <cell r="E120">
            <v>20949</v>
          </cell>
          <cell r="F120">
            <v>0</v>
          </cell>
          <cell r="G120">
            <v>1864485</v>
          </cell>
          <cell r="H120">
            <v>1864485</v>
          </cell>
        </row>
        <row r="121">
          <cell r="D121" t="str">
            <v>כסרא-סמיע</v>
          </cell>
          <cell r="E121">
            <v>7482</v>
          </cell>
          <cell r="F121">
            <v>0</v>
          </cell>
          <cell r="G121">
            <v>331600</v>
          </cell>
          <cell r="H121">
            <v>331600</v>
          </cell>
        </row>
        <row r="122">
          <cell r="D122" t="str">
            <v>כפר ורדים</v>
          </cell>
          <cell r="E122">
            <v>5602</v>
          </cell>
          <cell r="F122">
            <v>0</v>
          </cell>
          <cell r="G122">
            <v>585390</v>
          </cell>
          <cell r="H122">
            <v>585390</v>
          </cell>
        </row>
        <row r="123">
          <cell r="D123" t="str">
            <v>שלומי</v>
          </cell>
          <cell r="E123">
            <v>6042</v>
          </cell>
          <cell r="F123">
            <v>0</v>
          </cell>
          <cell r="G123">
            <v>930365</v>
          </cell>
          <cell r="H123">
            <v>930365</v>
          </cell>
        </row>
        <row r="124">
          <cell r="D124" t="str">
            <v xml:space="preserve">סה"כ תאגיד </v>
          </cell>
          <cell r="E124">
            <v>40075</v>
          </cell>
          <cell r="F124">
            <v>0</v>
          </cell>
          <cell r="G124">
            <v>3711840</v>
          </cell>
          <cell r="H124">
            <v>3711840</v>
          </cell>
        </row>
        <row r="125">
          <cell r="D125" t="str">
            <v>בית זרזיר</v>
          </cell>
          <cell r="E125">
            <v>6573</v>
          </cell>
          <cell r="F125">
            <v>0</v>
          </cell>
          <cell r="G125">
            <v>425828</v>
          </cell>
          <cell r="H125">
            <v>425828</v>
          </cell>
        </row>
        <row r="126">
          <cell r="D126" t="str">
            <v>כפר מנדא</v>
          </cell>
          <cell r="E126">
            <v>16451</v>
          </cell>
          <cell r="F126">
            <v>0</v>
          </cell>
          <cell r="G126">
            <v>1093287</v>
          </cell>
          <cell r="H126">
            <v>1093287</v>
          </cell>
        </row>
        <row r="127">
          <cell r="D127" t="str">
            <v>כאבול</v>
          </cell>
          <cell r="E127">
            <v>12413</v>
          </cell>
          <cell r="F127">
            <v>0</v>
          </cell>
          <cell r="G127">
            <v>631190</v>
          </cell>
          <cell r="H127">
            <v>631190</v>
          </cell>
        </row>
        <row r="128">
          <cell r="D128" t="str">
            <v>שעב</v>
          </cell>
          <cell r="E128">
            <v>6022</v>
          </cell>
          <cell r="F128">
            <v>0</v>
          </cell>
          <cell r="G128">
            <v>418800</v>
          </cell>
          <cell r="H128">
            <v>418800</v>
          </cell>
        </row>
        <row r="129">
          <cell r="D129" t="str">
            <v>שפרעם</v>
          </cell>
          <cell r="E129">
            <v>36888</v>
          </cell>
          <cell r="F129">
            <v>0</v>
          </cell>
          <cell r="G129">
            <v>2983795</v>
          </cell>
          <cell r="H129">
            <v>2983795</v>
          </cell>
        </row>
        <row r="130">
          <cell r="D130" t="str">
            <v>תמרה</v>
          </cell>
          <cell r="E130">
            <v>29268</v>
          </cell>
          <cell r="F130">
            <v>0</v>
          </cell>
          <cell r="G130">
            <v>2021390</v>
          </cell>
          <cell r="H130">
            <v>2021390</v>
          </cell>
        </row>
        <row r="131">
          <cell r="D131" t="str">
            <v>בסמת טבעון</v>
          </cell>
          <cell r="E131">
            <v>6949</v>
          </cell>
          <cell r="F131">
            <v>0</v>
          </cell>
          <cell r="G131">
            <v>517038</v>
          </cell>
          <cell r="H131">
            <v>517038</v>
          </cell>
        </row>
        <row r="132">
          <cell r="D132" t="str">
            <v>אעבלין</v>
          </cell>
          <cell r="E132">
            <v>11685</v>
          </cell>
          <cell r="F132">
            <v>0</v>
          </cell>
          <cell r="G132">
            <v>1085667</v>
          </cell>
          <cell r="H132">
            <v>1085667</v>
          </cell>
        </row>
        <row r="133">
          <cell r="D133" t="str">
            <v xml:space="preserve">סה"כ תאגיד </v>
          </cell>
          <cell r="E133">
            <v>126249</v>
          </cell>
          <cell r="F133">
            <v>0</v>
          </cell>
          <cell r="G133">
            <v>9176995</v>
          </cell>
          <cell r="H133">
            <v>9176995</v>
          </cell>
        </row>
        <row r="134">
          <cell r="D134" t="str">
            <v>ראש העין</v>
          </cell>
          <cell r="E134">
            <v>39215</v>
          </cell>
          <cell r="F134">
            <v>0</v>
          </cell>
          <cell r="G134">
            <v>3397532</v>
          </cell>
          <cell r="H134">
            <v>3397532</v>
          </cell>
        </row>
        <row r="135">
          <cell r="D135" t="str">
            <v xml:space="preserve"> אורנית</v>
          </cell>
          <cell r="E135">
            <v>6205</v>
          </cell>
          <cell r="F135">
            <v>0</v>
          </cell>
          <cell r="G135">
            <v>563700</v>
          </cell>
          <cell r="H135">
            <v>563700</v>
          </cell>
        </row>
        <row r="136">
          <cell r="D136" t="str">
            <v xml:space="preserve">סה"כ תאגיד </v>
          </cell>
          <cell r="E136">
            <v>45420</v>
          </cell>
          <cell r="F136">
            <v>0</v>
          </cell>
          <cell r="G136">
            <v>3961232</v>
          </cell>
          <cell r="H136">
            <v>3961232</v>
          </cell>
        </row>
        <row r="137">
          <cell r="D137" t="str">
            <v>כרמיאל</v>
          </cell>
          <cell r="E137">
            <v>44416</v>
          </cell>
          <cell r="F137">
            <v>0</v>
          </cell>
          <cell r="G137">
            <v>4127216</v>
          </cell>
          <cell r="H137">
            <v>4127216</v>
          </cell>
        </row>
        <row r="138">
          <cell r="D138" t="str">
            <v xml:space="preserve">סה"כ תאגיד </v>
          </cell>
          <cell r="E138">
            <v>44416</v>
          </cell>
          <cell r="F138">
            <v>0</v>
          </cell>
          <cell r="G138">
            <v>4127216</v>
          </cell>
          <cell r="H138">
            <v>4127216</v>
          </cell>
        </row>
        <row r="139">
          <cell r="D139" t="str">
            <v>אילת</v>
          </cell>
          <cell r="E139">
            <v>47826</v>
          </cell>
          <cell r="F139">
            <v>0</v>
          </cell>
          <cell r="G139">
            <v>11395160</v>
          </cell>
          <cell r="H139">
            <v>11395160</v>
          </cell>
        </row>
        <row r="140">
          <cell r="D140" t="str">
            <v xml:space="preserve">סה"כ תאגיד </v>
          </cell>
          <cell r="E140">
            <v>47826</v>
          </cell>
          <cell r="F140">
            <v>0</v>
          </cell>
          <cell r="G140">
            <v>11395160</v>
          </cell>
          <cell r="H140">
            <v>11395160</v>
          </cell>
        </row>
        <row r="141">
          <cell r="D141" t="str">
            <v>חצור הגלילית</v>
          </cell>
          <cell r="E141">
            <v>8673</v>
          </cell>
          <cell r="F141">
            <v>0</v>
          </cell>
          <cell r="G141">
            <v>765524</v>
          </cell>
          <cell r="H141">
            <v>765524</v>
          </cell>
        </row>
        <row r="142">
          <cell r="D142" t="str">
            <v>גוש חלב</v>
          </cell>
          <cell r="E142">
            <v>2954</v>
          </cell>
          <cell r="F142">
            <v>0</v>
          </cell>
          <cell r="G142">
            <v>193368</v>
          </cell>
          <cell r="H142">
            <v>193368</v>
          </cell>
        </row>
        <row r="143">
          <cell r="D143" t="str">
            <v>טובא זנג'רייה</v>
          </cell>
          <cell r="E143">
            <v>5730</v>
          </cell>
          <cell r="F143">
            <v>0</v>
          </cell>
          <cell r="G143">
            <v>584145</v>
          </cell>
          <cell r="H143">
            <v>584145</v>
          </cell>
        </row>
        <row r="144">
          <cell r="D144" t="str">
            <v>יסוד המעלה</v>
          </cell>
          <cell r="E144">
            <v>1492</v>
          </cell>
          <cell r="F144">
            <v>0</v>
          </cell>
          <cell r="G144">
            <v>149756</v>
          </cell>
          <cell r="H144">
            <v>149756</v>
          </cell>
        </row>
        <row r="145">
          <cell r="D145" t="str">
            <v>צפת</v>
          </cell>
          <cell r="E145">
            <v>30398</v>
          </cell>
          <cell r="F145">
            <v>0</v>
          </cell>
          <cell r="G145">
            <v>2838550</v>
          </cell>
          <cell r="H145">
            <v>2838550</v>
          </cell>
        </row>
        <row r="146">
          <cell r="D146" t="str">
            <v xml:space="preserve">סה"כ תאגיד </v>
          </cell>
          <cell r="E146">
            <v>49247</v>
          </cell>
          <cell r="F146">
            <v>0</v>
          </cell>
          <cell r="G146">
            <v>4531343</v>
          </cell>
          <cell r="H146">
            <v>4531343</v>
          </cell>
        </row>
        <row r="147">
          <cell r="D147" t="str">
            <v>קריית מוצקין</v>
          </cell>
          <cell r="E147">
            <v>38452</v>
          </cell>
          <cell r="F147">
            <v>32002</v>
          </cell>
          <cell r="G147">
            <v>2673244</v>
          </cell>
          <cell r="H147">
            <v>2705246</v>
          </cell>
        </row>
        <row r="148">
          <cell r="D148" t="str">
            <v xml:space="preserve">סה"כ תאגיד </v>
          </cell>
          <cell r="E148">
            <v>38452</v>
          </cell>
          <cell r="F148">
            <v>32002</v>
          </cell>
          <cell r="G148">
            <v>2673244</v>
          </cell>
          <cell r="H148">
            <v>2705246</v>
          </cell>
        </row>
        <row r="149">
          <cell r="D149" t="str">
            <v>רמת השרון</v>
          </cell>
          <cell r="E149">
            <v>41328</v>
          </cell>
          <cell r="F149">
            <v>0</v>
          </cell>
          <cell r="G149">
            <v>5888286</v>
          </cell>
          <cell r="H149">
            <v>5888286</v>
          </cell>
        </row>
        <row r="150">
          <cell r="D150" t="str">
            <v xml:space="preserve">סה"כ תאגיד </v>
          </cell>
          <cell r="E150">
            <v>41328</v>
          </cell>
          <cell r="F150">
            <v>0</v>
          </cell>
          <cell r="G150">
            <v>5888286</v>
          </cell>
          <cell r="H150">
            <v>5888286</v>
          </cell>
        </row>
        <row r="151">
          <cell r="D151" t="str">
            <v>רמלה</v>
          </cell>
          <cell r="E151">
            <v>66160</v>
          </cell>
          <cell r="F151">
            <v>0</v>
          </cell>
          <cell r="G151">
            <v>4947909</v>
          </cell>
          <cell r="H151">
            <v>4947909</v>
          </cell>
        </row>
        <row r="152">
          <cell r="D152" t="str">
            <v xml:space="preserve">סה"כ תאגיד </v>
          </cell>
          <cell r="E152">
            <v>66160</v>
          </cell>
          <cell r="F152">
            <v>0</v>
          </cell>
          <cell r="G152">
            <v>4947909</v>
          </cell>
          <cell r="H152">
            <v>4947909</v>
          </cell>
        </row>
        <row r="156">
          <cell r="D156" t="str">
            <v>אופקים</v>
          </cell>
          <cell r="E156">
            <v>24200</v>
          </cell>
          <cell r="F156">
            <v>0</v>
          </cell>
          <cell r="G156">
            <v>2460904</v>
          </cell>
          <cell r="H156">
            <v>2460904</v>
          </cell>
        </row>
        <row r="157">
          <cell r="D157" t="str">
            <v>אור יהודה</v>
          </cell>
          <cell r="E157">
            <v>34664</v>
          </cell>
          <cell r="F157">
            <v>0</v>
          </cell>
          <cell r="G157">
            <v>3018714</v>
          </cell>
          <cell r="H157">
            <v>3018714</v>
          </cell>
        </row>
        <row r="158">
          <cell r="D158" t="str">
            <v>אור עקיבא</v>
          </cell>
          <cell r="E158">
            <v>15960</v>
          </cell>
          <cell r="F158">
            <v>0</v>
          </cell>
          <cell r="G158">
            <v>1550537</v>
          </cell>
          <cell r="H158">
            <v>1550537</v>
          </cell>
        </row>
        <row r="159">
          <cell r="D159" t="str">
            <v>אליכין</v>
          </cell>
          <cell r="E159">
            <v>3063</v>
          </cell>
          <cell r="F159">
            <v>0</v>
          </cell>
          <cell r="G159">
            <v>313260</v>
          </cell>
          <cell r="H159">
            <v>313260</v>
          </cell>
        </row>
        <row r="160">
          <cell r="D160" t="str">
            <v>אלפי מנשה</v>
          </cell>
          <cell r="E160">
            <v>7079</v>
          </cell>
          <cell r="F160">
            <v>0</v>
          </cell>
          <cell r="G160">
            <v>620573</v>
          </cell>
          <cell r="H160">
            <v>620573</v>
          </cell>
        </row>
        <row r="161">
          <cell r="D161" t="str">
            <v>אלקנה</v>
          </cell>
          <cell r="E161">
            <v>3587</v>
          </cell>
          <cell r="F161">
            <v>0</v>
          </cell>
          <cell r="G161">
            <v>310355</v>
          </cell>
          <cell r="H161">
            <v>310355</v>
          </cell>
        </row>
        <row r="162">
          <cell r="D162" t="str">
            <v>אפרת</v>
          </cell>
          <cell r="E162">
            <v>7454</v>
          </cell>
          <cell r="F162">
            <v>0</v>
          </cell>
          <cell r="G162">
            <v>619946</v>
          </cell>
          <cell r="H162">
            <v>619946</v>
          </cell>
        </row>
        <row r="163">
          <cell r="D163" t="str">
            <v>אשקלון</v>
          </cell>
          <cell r="E163">
            <v>114456</v>
          </cell>
          <cell r="F163">
            <v>0</v>
          </cell>
          <cell r="G163">
            <v>10309071</v>
          </cell>
          <cell r="H163">
            <v>10309071</v>
          </cell>
        </row>
        <row r="164">
          <cell r="D164" t="str">
            <v>באקה  - ג'ת</v>
          </cell>
          <cell r="E164">
            <v>35162</v>
          </cell>
          <cell r="F164">
            <v>0</v>
          </cell>
          <cell r="G164">
            <v>2734060</v>
          </cell>
          <cell r="H164">
            <v>2734060</v>
          </cell>
        </row>
        <row r="165">
          <cell r="D165" t="str">
            <v>באר יעקב</v>
          </cell>
          <cell r="E165">
            <v>11877</v>
          </cell>
          <cell r="F165">
            <v>0</v>
          </cell>
          <cell r="G165">
            <v>1049863</v>
          </cell>
          <cell r="H165">
            <v>1049863</v>
          </cell>
        </row>
        <row r="166">
          <cell r="D166" t="str">
            <v>בוקעאתא</v>
          </cell>
          <cell r="E166">
            <v>5932</v>
          </cell>
          <cell r="F166">
            <v>0</v>
          </cell>
          <cell r="G166">
            <v>435836</v>
          </cell>
          <cell r="H166">
            <v>435836</v>
          </cell>
        </row>
        <row r="167">
          <cell r="D167" t="str">
            <v>ביר אלמכסור</v>
          </cell>
          <cell r="E167">
            <v>7803</v>
          </cell>
          <cell r="F167">
            <v>0</v>
          </cell>
          <cell r="G167">
            <v>476529</v>
          </cell>
          <cell r="H167">
            <v>476529</v>
          </cell>
        </row>
        <row r="168">
          <cell r="D168" t="str">
            <v>בית אל</v>
          </cell>
          <cell r="E168">
            <v>5626</v>
          </cell>
          <cell r="F168">
            <v>0</v>
          </cell>
          <cell r="G168">
            <v>353316</v>
          </cell>
          <cell r="H168">
            <v>353316</v>
          </cell>
        </row>
        <row r="169">
          <cell r="D169" t="str">
            <v>בית אריה - עופרים</v>
          </cell>
          <cell r="E169">
            <v>3909</v>
          </cell>
          <cell r="F169">
            <v>0</v>
          </cell>
          <cell r="G169">
            <v>338628</v>
          </cell>
          <cell r="H169">
            <v>338628</v>
          </cell>
        </row>
        <row r="170">
          <cell r="D170" t="str">
            <v>בית ג'ן</v>
          </cell>
          <cell r="E170">
            <v>10666</v>
          </cell>
          <cell r="F170">
            <v>0</v>
          </cell>
          <cell r="G170">
            <v>819712</v>
          </cell>
          <cell r="H170">
            <v>819712</v>
          </cell>
        </row>
        <row r="171">
          <cell r="D171" t="str">
            <v>בית דגן</v>
          </cell>
          <cell r="E171">
            <v>6885</v>
          </cell>
          <cell r="F171">
            <v>0</v>
          </cell>
          <cell r="G171">
            <v>570293</v>
          </cell>
          <cell r="H171">
            <v>570293</v>
          </cell>
        </row>
        <row r="172">
          <cell r="D172" t="str">
            <v>בית שאן</v>
          </cell>
          <cell r="E172">
            <v>16977</v>
          </cell>
          <cell r="F172">
            <v>0</v>
          </cell>
          <cell r="G172">
            <v>1793538</v>
          </cell>
          <cell r="H172">
            <v>1793538</v>
          </cell>
        </row>
        <row r="173">
          <cell r="D173" t="str">
            <v>ביתר עילית</v>
          </cell>
          <cell r="E173">
            <v>37575</v>
          </cell>
          <cell r="F173">
            <v>0</v>
          </cell>
          <cell r="G173">
            <v>1847663</v>
          </cell>
          <cell r="H173">
            <v>1847663</v>
          </cell>
        </row>
        <row r="174">
          <cell r="D174" t="str">
            <v>בני עי"ש</v>
          </cell>
          <cell r="E174">
            <v>6936</v>
          </cell>
          <cell r="F174">
            <v>0</v>
          </cell>
          <cell r="G174">
            <v>409434</v>
          </cell>
          <cell r="H174">
            <v>409434</v>
          </cell>
        </row>
        <row r="175">
          <cell r="D175" t="str">
            <v>בנימינה - גבעת עדה</v>
          </cell>
          <cell r="E175">
            <v>12953</v>
          </cell>
          <cell r="F175">
            <v>881400</v>
          </cell>
          <cell r="G175">
            <v>1149117</v>
          </cell>
          <cell r="H175">
            <v>2030517</v>
          </cell>
        </row>
        <row r="176">
          <cell r="D176" t="str">
            <v>ג'לג'וליה</v>
          </cell>
          <cell r="E176">
            <v>8651</v>
          </cell>
          <cell r="F176">
            <v>1305965</v>
          </cell>
          <cell r="G176">
            <v>0</v>
          </cell>
          <cell r="H176">
            <v>1305965</v>
          </cell>
        </row>
        <row r="177">
          <cell r="D177" t="str">
            <v>גבעת זאב</v>
          </cell>
          <cell r="E177">
            <v>11764</v>
          </cell>
          <cell r="F177">
            <v>0</v>
          </cell>
          <cell r="G177">
            <v>924589</v>
          </cell>
          <cell r="H177">
            <v>924589</v>
          </cell>
        </row>
        <row r="178">
          <cell r="D178" t="str">
            <v>גבעת שמואל</v>
          </cell>
          <cell r="E178">
            <v>22417</v>
          </cell>
          <cell r="F178">
            <v>0</v>
          </cell>
          <cell r="G178">
            <v>1555658</v>
          </cell>
          <cell r="H178">
            <v>1555658</v>
          </cell>
        </row>
        <row r="179">
          <cell r="D179" t="str">
            <v>גדרה</v>
          </cell>
          <cell r="E179">
            <v>23159</v>
          </cell>
          <cell r="F179">
            <v>0</v>
          </cell>
          <cell r="G179">
            <v>1472019</v>
          </cell>
          <cell r="H179">
            <v>1472019</v>
          </cell>
        </row>
        <row r="180">
          <cell r="D180" t="str">
            <v>גיסר אל זרקא</v>
          </cell>
          <cell r="E180">
            <v>12709</v>
          </cell>
          <cell r="F180">
            <v>0</v>
          </cell>
          <cell r="G180">
            <v>911042</v>
          </cell>
          <cell r="H180">
            <v>911042</v>
          </cell>
        </row>
        <row r="181">
          <cell r="D181" t="str">
            <v>גן יבנה</v>
          </cell>
          <cell r="E181">
            <v>19438</v>
          </cell>
          <cell r="F181">
            <v>360550</v>
          </cell>
          <cell r="G181">
            <v>1275300</v>
          </cell>
          <cell r="H181">
            <v>1635850</v>
          </cell>
        </row>
        <row r="182">
          <cell r="D182" t="str">
            <v>גני תקוה</v>
          </cell>
          <cell r="E182">
            <v>13310</v>
          </cell>
          <cell r="F182">
            <v>0</v>
          </cell>
          <cell r="G182">
            <v>1087300</v>
          </cell>
          <cell r="H182">
            <v>1087300</v>
          </cell>
        </row>
        <row r="183">
          <cell r="D183" t="str">
            <v>דלית אל כרמל</v>
          </cell>
          <cell r="E183">
            <v>15661</v>
          </cell>
          <cell r="F183">
            <v>0</v>
          </cell>
          <cell r="G183">
            <v>1743110</v>
          </cell>
          <cell r="H183">
            <v>1743110</v>
          </cell>
        </row>
        <row r="184">
          <cell r="D184" t="str">
            <v>הר אדר</v>
          </cell>
          <cell r="E184">
            <v>3426</v>
          </cell>
          <cell r="F184">
            <v>0</v>
          </cell>
          <cell r="G184">
            <v>294240</v>
          </cell>
          <cell r="H184">
            <v>294240</v>
          </cell>
        </row>
        <row r="185">
          <cell r="D185" t="str">
            <v>זכרון יעקב</v>
          </cell>
          <cell r="E185">
            <v>19485</v>
          </cell>
          <cell r="F185">
            <v>0</v>
          </cell>
          <cell r="G185">
            <v>2050980</v>
          </cell>
          <cell r="H185">
            <v>2050980</v>
          </cell>
        </row>
        <row r="186">
          <cell r="D186" t="str">
            <v>זמר</v>
          </cell>
          <cell r="E186">
            <v>5870</v>
          </cell>
          <cell r="F186">
            <v>0</v>
          </cell>
          <cell r="G186">
            <v>256180</v>
          </cell>
          <cell r="H186">
            <v>256180</v>
          </cell>
        </row>
        <row r="187">
          <cell r="D187" t="str">
            <v>חורה</v>
          </cell>
          <cell r="E187">
            <v>17451</v>
          </cell>
          <cell r="F187">
            <v>0</v>
          </cell>
          <cell r="G187">
            <v>856030</v>
          </cell>
          <cell r="H187">
            <v>856030</v>
          </cell>
        </row>
        <row r="188">
          <cell r="D188" t="str">
            <v>חורפיש</v>
          </cell>
          <cell r="E188">
            <v>5571</v>
          </cell>
          <cell r="F188">
            <v>0</v>
          </cell>
          <cell r="G188">
            <v>431010</v>
          </cell>
          <cell r="H188">
            <v>431010</v>
          </cell>
        </row>
        <row r="189">
          <cell r="D189" t="str">
            <v>טייבה</v>
          </cell>
          <cell r="E189">
            <v>37323</v>
          </cell>
          <cell r="F189">
            <v>3694300</v>
          </cell>
          <cell r="G189">
            <v>0</v>
          </cell>
          <cell r="H189">
            <v>3694300</v>
          </cell>
        </row>
        <row r="190">
          <cell r="D190" t="str">
            <v>טירה</v>
          </cell>
          <cell r="E190">
            <v>22939</v>
          </cell>
          <cell r="F190">
            <v>745200</v>
          </cell>
          <cell r="G190">
            <v>1158700</v>
          </cell>
          <cell r="H190">
            <v>1903900</v>
          </cell>
        </row>
        <row r="191">
          <cell r="D191" t="str">
            <v>טירת הכרמל</v>
          </cell>
          <cell r="E191">
            <v>18584</v>
          </cell>
          <cell r="F191">
            <v>0</v>
          </cell>
          <cell r="G191">
            <v>1559277</v>
          </cell>
          <cell r="H191">
            <v>1559277</v>
          </cell>
        </row>
        <row r="192">
          <cell r="D192" t="str">
            <v>יאנוח ג'ת</v>
          </cell>
          <cell r="E192">
            <v>5754</v>
          </cell>
          <cell r="F192">
            <v>0</v>
          </cell>
          <cell r="G192">
            <v>482490</v>
          </cell>
          <cell r="H192">
            <v>482490</v>
          </cell>
        </row>
        <row r="193">
          <cell r="D193" t="str">
            <v>יהוד</v>
          </cell>
          <cell r="E193">
            <v>27155</v>
          </cell>
          <cell r="F193">
            <v>0</v>
          </cell>
          <cell r="G193">
            <v>2628338</v>
          </cell>
          <cell r="H193">
            <v>2628338</v>
          </cell>
        </row>
        <row r="194">
          <cell r="D194" t="str">
            <v>יקנעם -עלית</v>
          </cell>
          <cell r="E194">
            <v>19412</v>
          </cell>
          <cell r="F194">
            <v>0</v>
          </cell>
          <cell r="G194">
            <v>1391448</v>
          </cell>
          <cell r="H194">
            <v>1391448</v>
          </cell>
        </row>
        <row r="195">
          <cell r="D195" t="str">
            <v>כאוכאב אבו אלהיג'א</v>
          </cell>
          <cell r="E195">
            <v>2875</v>
          </cell>
          <cell r="F195">
            <v>0</v>
          </cell>
          <cell r="G195">
            <v>210970</v>
          </cell>
          <cell r="H195">
            <v>210970</v>
          </cell>
        </row>
        <row r="196">
          <cell r="D196" t="str">
            <v>כוכב יאיר</v>
          </cell>
          <cell r="E196">
            <v>9243</v>
          </cell>
          <cell r="F196">
            <v>0</v>
          </cell>
          <cell r="G196">
            <v>1062574</v>
          </cell>
          <cell r="H196">
            <v>1062574</v>
          </cell>
        </row>
        <row r="197">
          <cell r="D197" t="str">
            <v>כסייפה</v>
          </cell>
          <cell r="E197">
            <v>17406</v>
          </cell>
          <cell r="F197">
            <v>0</v>
          </cell>
          <cell r="G197">
            <v>783080</v>
          </cell>
          <cell r="H197">
            <v>783080</v>
          </cell>
        </row>
        <row r="198">
          <cell r="D198" t="str">
            <v>כפר סבא</v>
          </cell>
          <cell r="E198">
            <v>84923</v>
          </cell>
          <cell r="F198">
            <v>7644924</v>
          </cell>
          <cell r="G198">
            <v>483380</v>
          </cell>
          <cell r="H198">
            <v>8128304</v>
          </cell>
        </row>
        <row r="199">
          <cell r="D199" t="str">
            <v>כפר קאסם</v>
          </cell>
          <cell r="E199">
            <v>19389</v>
          </cell>
          <cell r="F199">
            <v>866307</v>
          </cell>
          <cell r="G199">
            <v>1190566</v>
          </cell>
          <cell r="H199">
            <v>2056873</v>
          </cell>
        </row>
        <row r="200">
          <cell r="D200" t="str">
            <v>כפר קמא</v>
          </cell>
          <cell r="E200">
            <v>2944</v>
          </cell>
          <cell r="F200">
            <v>0</v>
          </cell>
          <cell r="G200">
            <v>208465</v>
          </cell>
          <cell r="H200">
            <v>208465</v>
          </cell>
        </row>
        <row r="201">
          <cell r="D201" t="str">
            <v>כפר שמריהו</v>
          </cell>
          <cell r="E201">
            <v>1720</v>
          </cell>
          <cell r="F201">
            <v>661181</v>
          </cell>
          <cell r="G201">
            <v>0</v>
          </cell>
          <cell r="H201">
            <v>661181</v>
          </cell>
        </row>
        <row r="202">
          <cell r="D202" t="str">
            <v>כפר תבור</v>
          </cell>
          <cell r="E202">
            <v>2742</v>
          </cell>
          <cell r="F202">
            <v>0</v>
          </cell>
          <cell r="G202">
            <v>361909</v>
          </cell>
          <cell r="H202">
            <v>361909</v>
          </cell>
        </row>
        <row r="203">
          <cell r="D203" t="str">
            <v>להבים</v>
          </cell>
          <cell r="E203">
            <v>5929</v>
          </cell>
          <cell r="F203">
            <v>0</v>
          </cell>
          <cell r="G203">
            <v>695250</v>
          </cell>
          <cell r="H203">
            <v>695250</v>
          </cell>
        </row>
        <row r="204">
          <cell r="D204" t="str">
            <v>לקיה</v>
          </cell>
          <cell r="E204">
            <v>9943</v>
          </cell>
          <cell r="F204">
            <v>0</v>
          </cell>
          <cell r="G204">
            <v>1250408</v>
          </cell>
          <cell r="H204">
            <v>1250408</v>
          </cell>
        </row>
        <row r="205">
          <cell r="D205" t="str">
            <v>מבשרת ציון</v>
          </cell>
          <cell r="E205">
            <v>24014</v>
          </cell>
          <cell r="F205">
            <v>0</v>
          </cell>
          <cell r="G205">
            <v>1846665</v>
          </cell>
          <cell r="H205">
            <v>1846665</v>
          </cell>
        </row>
        <row r="206">
          <cell r="D206" t="str">
            <v>מג'אר</v>
          </cell>
          <cell r="E206">
            <v>20228</v>
          </cell>
          <cell r="F206">
            <v>0</v>
          </cell>
          <cell r="G206">
            <v>1634199</v>
          </cell>
          <cell r="H206">
            <v>1634199</v>
          </cell>
        </row>
        <row r="207">
          <cell r="D207" t="str">
            <v>מגדל שמס</v>
          </cell>
          <cell r="E207">
            <v>9844</v>
          </cell>
          <cell r="F207">
            <v>0</v>
          </cell>
          <cell r="G207">
            <v>809801</v>
          </cell>
          <cell r="H207">
            <v>809801</v>
          </cell>
        </row>
        <row r="208">
          <cell r="D208" t="str">
            <v>מודיעין עלית</v>
          </cell>
          <cell r="E208">
            <v>48639</v>
          </cell>
          <cell r="F208">
            <v>0</v>
          </cell>
          <cell r="G208">
            <v>2427448</v>
          </cell>
          <cell r="H208">
            <v>2427448</v>
          </cell>
        </row>
        <row r="209">
          <cell r="D209" t="str">
            <v>מזכרת בתיה</v>
          </cell>
          <cell r="E209">
            <v>9662</v>
          </cell>
          <cell r="F209">
            <v>0</v>
          </cell>
          <cell r="G209">
            <v>828271</v>
          </cell>
          <cell r="H209">
            <v>828271</v>
          </cell>
        </row>
        <row r="210">
          <cell r="D210" t="str">
            <v>מזרעה</v>
          </cell>
          <cell r="E210">
            <v>3448</v>
          </cell>
          <cell r="F210">
            <v>0</v>
          </cell>
          <cell r="G210">
            <v>279701</v>
          </cell>
          <cell r="H210">
            <v>279701</v>
          </cell>
        </row>
        <row r="211">
          <cell r="D211" t="str">
            <v>מיתר</v>
          </cell>
          <cell r="E211">
            <v>6374</v>
          </cell>
          <cell r="F211">
            <v>0</v>
          </cell>
          <cell r="G211">
            <v>802873</v>
          </cell>
          <cell r="H211">
            <v>802873</v>
          </cell>
        </row>
        <row r="212">
          <cell r="D212" t="str">
            <v>מסעדה</v>
          </cell>
          <cell r="E212">
            <v>3148</v>
          </cell>
          <cell r="F212">
            <v>0</v>
          </cell>
          <cell r="G212">
            <v>237888</v>
          </cell>
          <cell r="H212">
            <v>237888</v>
          </cell>
        </row>
        <row r="213">
          <cell r="D213" t="str">
            <v>מעלה אדומים</v>
          </cell>
          <cell r="E213">
            <v>35673</v>
          </cell>
          <cell r="F213">
            <v>0</v>
          </cell>
          <cell r="G213">
            <v>3017389</v>
          </cell>
          <cell r="H213">
            <v>3017389</v>
          </cell>
        </row>
        <row r="214">
          <cell r="D214" t="str">
            <v>מעלה אפרים</v>
          </cell>
          <cell r="E214">
            <v>1250</v>
          </cell>
          <cell r="F214">
            <v>0</v>
          </cell>
          <cell r="G214">
            <v>187557</v>
          </cell>
          <cell r="H214">
            <v>187557</v>
          </cell>
        </row>
        <row r="215">
          <cell r="D215" t="str">
            <v>מעלה עירון</v>
          </cell>
          <cell r="E215">
            <v>1800</v>
          </cell>
          <cell r="F215">
            <v>0</v>
          </cell>
          <cell r="G215">
            <v>141820</v>
          </cell>
          <cell r="H215">
            <v>141820</v>
          </cell>
        </row>
        <row r="216">
          <cell r="D216" t="str">
            <v>נהריה</v>
          </cell>
          <cell r="E216">
            <v>51749</v>
          </cell>
          <cell r="F216">
            <v>1869777</v>
          </cell>
          <cell r="G216">
            <v>3570748</v>
          </cell>
          <cell r="H216">
            <v>5440525</v>
          </cell>
        </row>
        <row r="217">
          <cell r="D217" t="str">
            <v>נשר</v>
          </cell>
          <cell r="E217">
            <v>24036</v>
          </cell>
          <cell r="F217">
            <v>0</v>
          </cell>
          <cell r="G217">
            <v>1794180</v>
          </cell>
          <cell r="H217">
            <v>1794180</v>
          </cell>
        </row>
        <row r="218">
          <cell r="D218" t="str">
            <v>נתיבות</v>
          </cell>
          <cell r="E218">
            <v>27517</v>
          </cell>
          <cell r="F218">
            <v>0</v>
          </cell>
          <cell r="G218">
            <v>2187880</v>
          </cell>
          <cell r="H218">
            <v>2187880</v>
          </cell>
        </row>
        <row r="219">
          <cell r="D219" t="str">
            <v>סאג'ור</v>
          </cell>
          <cell r="E219">
            <v>3760</v>
          </cell>
          <cell r="F219">
            <v>0</v>
          </cell>
          <cell r="G219">
            <v>369886</v>
          </cell>
          <cell r="H219">
            <v>369886</v>
          </cell>
        </row>
        <row r="220">
          <cell r="D220" t="str">
            <v>סביון</v>
          </cell>
          <cell r="E220">
            <v>3033</v>
          </cell>
          <cell r="F220">
            <v>0</v>
          </cell>
          <cell r="G220">
            <v>1119566</v>
          </cell>
          <cell r="H220">
            <v>1119566</v>
          </cell>
        </row>
        <row r="221">
          <cell r="D221" t="str">
            <v>עג'ר</v>
          </cell>
          <cell r="E221">
            <v>2219</v>
          </cell>
          <cell r="F221">
            <v>170780</v>
          </cell>
          <cell r="G221">
            <v>1160</v>
          </cell>
          <cell r="H221">
            <v>171940</v>
          </cell>
        </row>
        <row r="222">
          <cell r="D222" t="str">
            <v>עומר</v>
          </cell>
          <cell r="E222">
            <v>6593</v>
          </cell>
          <cell r="F222">
            <v>0</v>
          </cell>
          <cell r="G222">
            <v>1195290</v>
          </cell>
          <cell r="H222">
            <v>1195290</v>
          </cell>
        </row>
        <row r="223">
          <cell r="D223" t="str">
            <v>עילבון</v>
          </cell>
          <cell r="E223">
            <v>4906</v>
          </cell>
          <cell r="F223">
            <v>0</v>
          </cell>
          <cell r="G223">
            <v>427663</v>
          </cell>
          <cell r="H223">
            <v>427663</v>
          </cell>
        </row>
        <row r="224">
          <cell r="D224" t="str">
            <v>עין מאהל</v>
          </cell>
          <cell r="E224">
            <v>11397</v>
          </cell>
          <cell r="F224">
            <v>0</v>
          </cell>
          <cell r="G224">
            <v>777579</v>
          </cell>
          <cell r="H224">
            <v>777579</v>
          </cell>
        </row>
        <row r="225">
          <cell r="D225" t="str">
            <v>עין קניה</v>
          </cell>
          <cell r="E225">
            <v>1766</v>
          </cell>
          <cell r="F225">
            <v>0</v>
          </cell>
          <cell r="G225">
            <v>119840</v>
          </cell>
          <cell r="H225">
            <v>119840</v>
          </cell>
        </row>
        <row r="226">
          <cell r="D226" t="str">
            <v>עמנואל</v>
          </cell>
          <cell r="E226">
            <v>2948</v>
          </cell>
          <cell r="F226">
            <v>0</v>
          </cell>
          <cell r="G226">
            <v>272910</v>
          </cell>
          <cell r="H226">
            <v>272910</v>
          </cell>
        </row>
        <row r="227">
          <cell r="D227" t="str">
            <v>עפולה</v>
          </cell>
          <cell r="E227">
            <v>41048</v>
          </cell>
          <cell r="F227">
            <v>0</v>
          </cell>
          <cell r="G227">
            <v>3397729</v>
          </cell>
          <cell r="H227">
            <v>3397729</v>
          </cell>
        </row>
        <row r="228">
          <cell r="D228" t="str">
            <v>ערערה בנגב</v>
          </cell>
          <cell r="E228">
            <v>12674</v>
          </cell>
          <cell r="F228">
            <v>0</v>
          </cell>
          <cell r="G228">
            <v>1116450</v>
          </cell>
          <cell r="H228">
            <v>1116450</v>
          </cell>
        </row>
        <row r="229">
          <cell r="D229" t="str">
            <v>פסוטה</v>
          </cell>
          <cell r="E229">
            <v>2919</v>
          </cell>
          <cell r="F229">
            <v>0</v>
          </cell>
          <cell r="G229">
            <v>209200</v>
          </cell>
          <cell r="H229">
            <v>209200</v>
          </cell>
        </row>
        <row r="230">
          <cell r="D230" t="str">
            <v>פקיעין</v>
          </cell>
          <cell r="E230">
            <v>5404</v>
          </cell>
          <cell r="F230">
            <v>0</v>
          </cell>
          <cell r="G230">
            <v>449930</v>
          </cell>
          <cell r="H230">
            <v>449930</v>
          </cell>
        </row>
        <row r="231">
          <cell r="D231" t="str">
            <v>פרדיס</v>
          </cell>
          <cell r="E231">
            <v>11254</v>
          </cell>
          <cell r="F231">
            <v>0</v>
          </cell>
          <cell r="G231">
            <v>677297</v>
          </cell>
          <cell r="H231">
            <v>677297</v>
          </cell>
        </row>
        <row r="232">
          <cell r="D232" t="str">
            <v>פרדס חנה-כרכור</v>
          </cell>
          <cell r="E232">
            <v>32433</v>
          </cell>
          <cell r="F232">
            <v>994049</v>
          </cell>
          <cell r="G232">
            <v>2077643</v>
          </cell>
          <cell r="H232">
            <v>3071692</v>
          </cell>
        </row>
        <row r="233">
          <cell r="D233" t="str">
            <v>קדומים</v>
          </cell>
          <cell r="E233">
            <v>3877</v>
          </cell>
          <cell r="F233">
            <v>0</v>
          </cell>
          <cell r="G233">
            <v>331828</v>
          </cell>
          <cell r="H233">
            <v>331828</v>
          </cell>
        </row>
        <row r="234">
          <cell r="D234" t="str">
            <v>קלנסואה</v>
          </cell>
          <cell r="E234">
            <v>19186</v>
          </cell>
          <cell r="F234">
            <v>1494800</v>
          </cell>
          <cell r="G234">
            <v>0</v>
          </cell>
          <cell r="H234">
            <v>1494800</v>
          </cell>
        </row>
        <row r="235">
          <cell r="D235" t="str">
            <v>קציר חריש</v>
          </cell>
          <cell r="E235">
            <v>3285</v>
          </cell>
          <cell r="F235">
            <v>0</v>
          </cell>
          <cell r="G235">
            <v>268650</v>
          </cell>
          <cell r="H235">
            <v>268650</v>
          </cell>
        </row>
        <row r="236">
          <cell r="D236" t="str">
            <v>קרית ארבע חברון</v>
          </cell>
          <cell r="E236">
            <v>7248</v>
          </cell>
          <cell r="F236">
            <v>0</v>
          </cell>
          <cell r="G236">
            <v>666834</v>
          </cell>
          <cell r="H236">
            <v>666834</v>
          </cell>
        </row>
        <row r="237">
          <cell r="D237" t="str">
            <v>קרית טבעון</v>
          </cell>
          <cell r="E237">
            <v>16667</v>
          </cell>
          <cell r="F237">
            <v>0</v>
          </cell>
          <cell r="G237">
            <v>1399194</v>
          </cell>
          <cell r="H237">
            <v>1399194</v>
          </cell>
        </row>
        <row r="238">
          <cell r="D238" t="str">
            <v>קרית יערים</v>
          </cell>
          <cell r="E238">
            <v>2753</v>
          </cell>
          <cell r="F238">
            <v>0</v>
          </cell>
          <cell r="G238">
            <v>210625</v>
          </cell>
          <cell r="H238">
            <v>210625</v>
          </cell>
        </row>
        <row r="239">
          <cell r="D239" t="str">
            <v>קרית מלאכי</v>
          </cell>
          <cell r="E239">
            <v>20764</v>
          </cell>
          <cell r="F239">
            <v>0</v>
          </cell>
          <cell r="G239">
            <v>1787036</v>
          </cell>
          <cell r="H239">
            <v>1787036</v>
          </cell>
        </row>
        <row r="240">
          <cell r="D240" t="str">
            <v>קרית עקרון</v>
          </cell>
          <cell r="E240">
            <v>10247</v>
          </cell>
          <cell r="F240">
            <v>0</v>
          </cell>
          <cell r="G240">
            <v>861282</v>
          </cell>
          <cell r="H240">
            <v>861282</v>
          </cell>
        </row>
        <row r="241">
          <cell r="D241" t="str">
            <v>ראש פנה</v>
          </cell>
          <cell r="E241">
            <v>2665</v>
          </cell>
          <cell r="F241">
            <v>250840</v>
          </cell>
          <cell r="G241">
            <v>515715</v>
          </cell>
          <cell r="H241">
            <v>766555</v>
          </cell>
        </row>
        <row r="242">
          <cell r="D242" t="str">
            <v>רחובות</v>
          </cell>
          <cell r="E242">
            <v>115602</v>
          </cell>
          <cell r="F242">
            <v>3771680</v>
          </cell>
          <cell r="G242">
            <v>5533710</v>
          </cell>
          <cell r="H242">
            <v>9305390</v>
          </cell>
        </row>
        <row r="243">
          <cell r="D243" t="str">
            <v>רכסים</v>
          </cell>
          <cell r="E243">
            <v>9508</v>
          </cell>
          <cell r="F243">
            <v>0</v>
          </cell>
          <cell r="G243">
            <v>553830</v>
          </cell>
          <cell r="H243">
            <v>553830</v>
          </cell>
        </row>
        <row r="244">
          <cell r="D244" t="str">
            <v>ראמה</v>
          </cell>
          <cell r="E244">
            <v>7279</v>
          </cell>
          <cell r="F244">
            <v>0</v>
          </cell>
          <cell r="G244">
            <v>795220</v>
          </cell>
          <cell r="H244">
            <v>795220</v>
          </cell>
        </row>
        <row r="245">
          <cell r="D245" t="str">
            <v>רמת-גן</v>
          </cell>
          <cell r="E245">
            <v>145875</v>
          </cell>
          <cell r="F245">
            <v>4718190</v>
          </cell>
          <cell r="G245">
            <v>7346787</v>
          </cell>
          <cell r="H245">
            <v>12064977</v>
          </cell>
        </row>
        <row r="246">
          <cell r="D246" t="str">
            <v>רמת ישי</v>
          </cell>
          <cell r="E246">
            <v>6818</v>
          </cell>
          <cell r="F246">
            <v>0</v>
          </cell>
          <cell r="G246">
            <v>772442</v>
          </cell>
          <cell r="H246">
            <v>772442</v>
          </cell>
        </row>
        <row r="247">
          <cell r="D247" t="str">
            <v>שגב שלום</v>
          </cell>
          <cell r="E247">
            <v>7739</v>
          </cell>
          <cell r="F247">
            <v>0</v>
          </cell>
          <cell r="G247">
            <v>567374</v>
          </cell>
          <cell r="H247">
            <v>567374</v>
          </cell>
        </row>
        <row r="248">
          <cell r="D248" t="str">
            <v>שדרות</v>
          </cell>
          <cell r="E248">
            <v>21070</v>
          </cell>
          <cell r="F248">
            <v>0</v>
          </cell>
          <cell r="G248">
            <v>2242305</v>
          </cell>
          <cell r="H248">
            <v>2242305</v>
          </cell>
        </row>
        <row r="249">
          <cell r="D249" t="str">
            <v>שהם</v>
          </cell>
          <cell r="E249">
            <v>18681</v>
          </cell>
          <cell r="F249">
            <v>0</v>
          </cell>
          <cell r="G249">
            <v>1557061</v>
          </cell>
          <cell r="H249">
            <v>1557061</v>
          </cell>
        </row>
        <row r="250">
          <cell r="D250" t="str">
            <v>תל שבע</v>
          </cell>
          <cell r="E250">
            <v>15749</v>
          </cell>
          <cell r="F250">
            <v>0</v>
          </cell>
          <cell r="G250">
            <v>1041151</v>
          </cell>
          <cell r="H250">
            <v>1041151</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שקעות 2011-2013"/>
      <sheetName val="נתוני תאגידים"/>
      <sheetName val="תחשיב תעריף לתאגיד בודד"/>
      <sheetName val="גביה"/>
      <sheetName val="נתוני מים 2013"/>
      <sheetName val="כמויות מים 2012"/>
      <sheetName val="כמויות מים תאגיד מרחבי"/>
      <sheetName val="הוצאות הנהלה תאגיד מרחבי"/>
      <sheetName val="מקדם לגודל תאגיד"/>
      <sheetName val="תקורת רשת מים וביוב"/>
      <sheetName val="ניתוח הוצאות הנהלה"/>
      <sheetName val="עלויות תפעול מול הנורמה לתאגיד"/>
      <sheetName val="הנחיות למילוי הנתונים "/>
      <sheetName val="עלויות תפעול בהתאם לנורמות"/>
      <sheetName val="התפלגות מים 2011"/>
      <sheetName val="נתוני מים 2011"/>
      <sheetName val="תחשיב עלות תפעול 2015"/>
      <sheetName val="ריכוז עלויות"/>
      <sheetName val="סקרי נכסים-יתרות פתיחה"/>
      <sheetName val="ביוביות"/>
      <sheetName val="נושאים לדיון"/>
    </sheetNames>
    <sheetDataSet>
      <sheetData sheetId="0"/>
      <sheetData sheetId="1"/>
      <sheetData sheetId="2"/>
      <sheetData sheetId="3"/>
      <sheetData sheetId="4"/>
      <sheetData sheetId="5"/>
      <sheetData sheetId="6"/>
      <sheetData sheetId="7"/>
      <sheetData sheetId="8">
        <row r="5">
          <cell r="B5">
            <v>3256.7359999999999</v>
          </cell>
        </row>
        <row r="6">
          <cell r="B6">
            <v>450</v>
          </cell>
        </row>
        <row r="7">
          <cell r="B7">
            <v>80</v>
          </cell>
        </row>
        <row r="8">
          <cell r="B8">
            <v>151.66666666666666</v>
          </cell>
        </row>
        <row r="9">
          <cell r="B9">
            <v>542.24</v>
          </cell>
        </row>
        <row r="10">
          <cell r="B10">
            <v>269</v>
          </cell>
        </row>
        <row r="11">
          <cell r="B11">
            <v>916</v>
          </cell>
        </row>
        <row r="12">
          <cell r="B12">
            <v>216</v>
          </cell>
        </row>
        <row r="13">
          <cell r="B13">
            <v>100</v>
          </cell>
        </row>
        <row r="14">
          <cell r="B14">
            <v>300</v>
          </cell>
        </row>
      </sheetData>
      <sheetData sheetId="9"/>
      <sheetData sheetId="10"/>
      <sheetData sheetId="11">
        <row r="3">
          <cell r="B3" t="str">
            <v>סעיף</v>
          </cell>
          <cell r="C3">
            <v>1</v>
          </cell>
        </row>
        <row r="4">
          <cell r="C4">
            <v>2</v>
          </cell>
        </row>
        <row r="5">
          <cell r="B5" t="str">
            <v>משכורות ונלוות</v>
          </cell>
          <cell r="C5">
            <v>3</v>
          </cell>
          <cell r="D5">
            <v>1353.7499999999998</v>
          </cell>
          <cell r="E5">
            <v>1861.134</v>
          </cell>
          <cell r="F5">
            <v>2141.5320000000002</v>
          </cell>
          <cell r="G5">
            <v>2691.924</v>
          </cell>
          <cell r="H5">
            <v>1838.6879999999996</v>
          </cell>
          <cell r="I5">
            <v>977.02079999999989</v>
          </cell>
          <cell r="J5">
            <v>4429.1609600000002</v>
          </cell>
          <cell r="K5">
            <v>4396.5936000000002</v>
          </cell>
        </row>
        <row r="6">
          <cell r="B6" t="str">
            <v>דמי שכירות-הנהלה</v>
          </cell>
          <cell r="C6">
            <v>4</v>
          </cell>
        </row>
        <row r="7">
          <cell r="B7" t="str">
            <v>ביטוח-הנהלה</v>
          </cell>
          <cell r="C7">
            <v>5</v>
          </cell>
        </row>
        <row r="8">
          <cell r="B8" t="str">
            <v>מסים עירוניים</v>
          </cell>
          <cell r="C8">
            <v>6</v>
          </cell>
        </row>
        <row r="9">
          <cell r="B9" t="str">
            <v>הוצאות אחרות</v>
          </cell>
          <cell r="C9">
            <v>7</v>
          </cell>
        </row>
        <row r="10">
          <cell r="B10" t="str">
            <v>פחת-הנהלה</v>
          </cell>
          <cell r="C10">
            <v>8</v>
          </cell>
        </row>
        <row r="11">
          <cell r="B11" t="str">
            <v>יעוץ מקצועי-הנהלה</v>
          </cell>
          <cell r="C11">
            <v>9</v>
          </cell>
        </row>
        <row r="12">
          <cell r="B12" t="str">
            <v>אחזקת כלי רכב</v>
          </cell>
          <cell r="C12">
            <v>10</v>
          </cell>
        </row>
        <row r="13">
          <cell r="B13" t="str">
            <v>פיצויים ותביעות</v>
          </cell>
          <cell r="C13">
            <v>11</v>
          </cell>
        </row>
        <row r="14">
          <cell r="B14" t="str">
            <v>הוצאות משרדיות</v>
          </cell>
          <cell r="C14">
            <v>12</v>
          </cell>
        </row>
        <row r="15">
          <cell r="B15" t="str">
            <v>דוברות</v>
          </cell>
          <cell r="C15">
            <v>13</v>
          </cell>
        </row>
        <row r="16">
          <cell r="B16" t="str">
            <v>סה"כ הנהלה</v>
          </cell>
          <cell r="C16">
            <v>14</v>
          </cell>
        </row>
        <row r="17">
          <cell r="B17" t="str">
            <v>ללא פחת</v>
          </cell>
          <cell r="C17">
            <v>15</v>
          </cell>
        </row>
      </sheetData>
      <sheetData sheetId="12"/>
      <sheetData sheetId="13"/>
      <sheetData sheetId="14"/>
      <sheetData sheetId="15"/>
      <sheetData sheetId="16"/>
      <sheetData sheetId="17">
        <row r="4">
          <cell r="A4" t="str">
            <v>לא</v>
          </cell>
        </row>
      </sheetData>
      <sheetData sheetId="18"/>
      <sheetData sheetId="19"/>
      <sheetData sheetId="20">
        <row r="18">
          <cell r="T18" t="str">
            <v xml:space="preserve">תאגיד </v>
          </cell>
        </row>
      </sheetData>
      <sheetData sheetId="2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ספק למספר ישובים"/>
      <sheetName val="ספק לישוב אחד"/>
      <sheetName val="גיליון1"/>
      <sheetName val="גיליון4"/>
    </sheetNames>
    <sheetDataSet>
      <sheetData sheetId="0">
        <row r="6">
          <cell r="C6">
            <v>0.65263987705267368</v>
          </cell>
        </row>
        <row r="7">
          <cell r="C7">
            <v>0.33723245578405781</v>
          </cell>
        </row>
        <row r="8">
          <cell r="C8">
            <v>0.17107602020441812</v>
          </cell>
        </row>
        <row r="9">
          <cell r="C9">
            <v>0.1046345611245295</v>
          </cell>
        </row>
        <row r="10">
          <cell r="C10">
            <v>-0.54315485878784098</v>
          </cell>
        </row>
        <row r="11">
          <cell r="C11"/>
        </row>
        <row r="12">
          <cell r="C12"/>
        </row>
        <row r="13">
          <cell r="C13">
            <v>0.99831507167548095</v>
          </cell>
        </row>
        <row r="14">
          <cell r="C14">
            <v>0.55110999999999999</v>
          </cell>
        </row>
        <row r="23">
          <cell r="C23">
            <v>1.4999999999999999E-2</v>
          </cell>
        </row>
      </sheetData>
      <sheetData sheetId="1">
        <row r="6">
          <cell r="C6">
            <v>0.65263987705267368</v>
          </cell>
        </row>
        <row r="7">
          <cell r="C7">
            <v>0.33723245578405781</v>
          </cell>
        </row>
        <row r="8">
          <cell r="C8">
            <v>0.17107602020441812</v>
          </cell>
        </row>
        <row r="9">
          <cell r="C9">
            <v>0.1046345611245295</v>
          </cell>
        </row>
        <row r="10">
          <cell r="C10">
            <v>-0.54315485878784098</v>
          </cell>
        </row>
        <row r="11">
          <cell r="C11"/>
        </row>
        <row r="12">
          <cell r="C12"/>
        </row>
        <row r="13">
          <cell r="C13">
            <v>0.94839931809170686</v>
          </cell>
        </row>
        <row r="14">
          <cell r="C14">
            <v>0.55110999999999999</v>
          </cell>
        </row>
        <row r="23">
          <cell r="C23">
            <v>1.4999999999999999E-2</v>
          </cell>
        </row>
      </sheetData>
      <sheetData sheetId="2">
        <row r="6">
          <cell r="C6">
            <v>0.40789992315792101</v>
          </cell>
        </row>
        <row r="7">
          <cell r="C7">
            <v>0.2107702848650361</v>
          </cell>
        </row>
        <row r="8">
          <cell r="C8">
            <v>4.2769005051104529E-2</v>
          </cell>
        </row>
        <row r="9">
          <cell r="C9">
            <v>0.1046345611245295</v>
          </cell>
        </row>
        <row r="10">
          <cell r="C10">
            <v>-0.33947178674240058</v>
          </cell>
        </row>
        <row r="11">
          <cell r="D11">
            <v>0.42660198745619055</v>
          </cell>
        </row>
        <row r="13">
          <cell r="C13">
            <v>0.94839931809170686</v>
          </cell>
        </row>
        <row r="14">
          <cell r="C14">
            <v>0.6004654384872582</v>
          </cell>
        </row>
        <row r="23">
          <cell r="C23">
            <v>1.4999999999999999E-2</v>
          </cell>
        </row>
      </sheetData>
      <sheetData sheetId="3"/>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5"/>
      <sheetName val="נתוני מים 2012"/>
      <sheetName val="סל מדדים"/>
      <sheetName val="מדד שכר ממוצע"/>
      <sheetName val="מדד חשמל"/>
      <sheetName val="מדד מחירים"/>
      <sheetName val="נתוני תאגידים"/>
      <sheetName val="תחשיב תעריף לתאגיד בודד"/>
      <sheetName val="תחשיב תעריף 2015"/>
      <sheetName val="ריכוז עלויות"/>
      <sheetName val="תעריפי 2015 לכללים"/>
      <sheetName val="פחת מים וגביה"/>
      <sheetName val="בדיקת החזר צרכנים"/>
      <sheetName val="סקרי נכסים-יתרות פתיחה"/>
      <sheetName val="תעריף רשות מקומית"/>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ow r="1">
          <cell r="E1" t="str">
            <v>נתוני 2012</v>
          </cell>
        </row>
      </sheetData>
      <sheetData sheetId="18" refreshError="1"/>
      <sheetData sheetId="19" refreshError="1"/>
      <sheetData sheetId="20">
        <row r="18">
          <cell r="G18">
            <v>5.9934654317418774</v>
          </cell>
          <cell r="H18">
            <v>2.0499647481399466</v>
          </cell>
        </row>
        <row r="21">
          <cell r="G21">
            <v>6.0430382665736682</v>
          </cell>
          <cell r="H21">
            <v>2.0995375829717373</v>
          </cell>
        </row>
        <row r="23">
          <cell r="G23">
            <v>6.5530382665736679</v>
          </cell>
          <cell r="H23">
            <v>2.6095375829717375</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תוכן עניינים"/>
      <sheetName val="הנחיות"/>
      <sheetName val="פרטים על התאגיד"/>
      <sheetName val="חוות דעת רו&quot;ח"/>
      <sheetName val="מאזן"/>
      <sheetName val="רו&quot;ה"/>
      <sheetName val="הון עצמי"/>
      <sheetName val="תזרים"/>
      <sheetName val="נספח א"/>
      <sheetName val="נספח ב"/>
      <sheetName val="נייר עבודה דו&quot;ח תזרים"/>
      <sheetName val="ביאורים 1-9"/>
      <sheetName val="באור 10-11"/>
      <sheetName val="באור 10 פירוט "/>
      <sheetName val="באור 11 פירוט "/>
      <sheetName val="ביאורים 12-29"/>
      <sheetName val="ביאורים 30-32"/>
      <sheetName val="תמצית דוח דירקטוריון"/>
      <sheetName val="מדדים"/>
      <sheetName val="דוח הצלבות"/>
      <sheetName val="אשכול חברתי"/>
      <sheetName val="הנחות להכנת התקציב"/>
      <sheetName val="ריכוז התקציב"/>
      <sheetName val="עלויות תפעול מול הנורמה לתאגיד"/>
      <sheetName val="אשכול חברתי מעודכן"/>
      <sheetName val="השקעות 2011-2013"/>
      <sheetName val="נתוני תאגידים"/>
      <sheetName val="תחשיב תעריף לתאגיד בודד"/>
      <sheetName val="גביה"/>
      <sheetName val="נתוני מים 2013"/>
      <sheetName val="כמויות מים 2012"/>
      <sheetName val="כמויות מים תאגיד מרחבי"/>
      <sheetName val="הוצאות הנהלה תאגיד מרחבי"/>
      <sheetName val="מקדם לגודל תאגיד"/>
      <sheetName val="תקורת רשת מים וביוב"/>
      <sheetName val="ניתוח הוצאות הנהלה"/>
      <sheetName val="הנחיות למילוי הנתונים "/>
      <sheetName val="עלויות תפעול בהתאם לנורמות"/>
      <sheetName val="התפלגות מים 2011"/>
      <sheetName val="נתוני מים 2011"/>
      <sheetName val="תחשיב עלות תפעול 2015"/>
      <sheetName val="ריכוז עלויות"/>
      <sheetName val="סקרי נכסים-יתרות פתיחה"/>
      <sheetName val="ביוביות"/>
      <sheetName val="נושאים לדיון"/>
    </sheetNames>
    <sheetDataSet>
      <sheetData sheetId="0"/>
      <sheetData sheetId="1"/>
      <sheetData sheetId="2">
        <row r="11">
          <cell r="G11">
            <v>2012</v>
          </cell>
        </row>
        <row r="13">
          <cell r="G13">
            <v>2011</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שקעות 2011-2013"/>
      <sheetName val="נתוני תאגידים"/>
      <sheetName val="תחשיב תעריף לתאגיד בודד"/>
      <sheetName val="גביה"/>
      <sheetName val="נתוני מים 2013"/>
      <sheetName val="כמויות מים 2012"/>
      <sheetName val="כמויות מים תאגיד מרחבי"/>
      <sheetName val="הוצאות הנהלה תאגיד מרחבי"/>
      <sheetName val="מקדם לגודל תאגיד"/>
      <sheetName val="ביאורים לתקורת רשת מים וביוב"/>
      <sheetName val="תקורת רשת מים וביוב"/>
      <sheetName val="ניתוח הוצאות הנהלה"/>
      <sheetName val="עלויות תפעול מול הנורמה לתאגיד"/>
      <sheetName val="הנחיות למילוי הנתונים "/>
      <sheetName val="עלויות תפעול בהתאם לנורמות"/>
      <sheetName val="התפלגות מים 2011"/>
      <sheetName val="נתוני מים 2011"/>
      <sheetName val="תחשיב עלות תפעול 2015"/>
      <sheetName val="ריכוז עלויות"/>
      <sheetName val="סקרי נכסים-יתרות פתיחה"/>
      <sheetName val="ביוביות"/>
      <sheetName val="נושאים לדיו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6">
          <cell r="C6" t="str">
            <v>כמויות מים</v>
          </cell>
          <cell r="D6">
            <v>10402.959000000001</v>
          </cell>
          <cell r="E6">
            <v>8990.4840000000004</v>
          </cell>
          <cell r="F6">
            <v>4622.0540000000001</v>
          </cell>
          <cell r="G6">
            <v>55801.764999999999</v>
          </cell>
          <cell r="H6">
            <v>16703.157999999999</v>
          </cell>
          <cell r="I6">
            <v>1778.4359999999999</v>
          </cell>
          <cell r="J6">
            <v>4577.4979999999996</v>
          </cell>
          <cell r="K6">
            <v>7141.3379999999997</v>
          </cell>
          <cell r="L6">
            <v>5178.0209999999997</v>
          </cell>
          <cell r="M6">
            <v>9465.3389999999999</v>
          </cell>
          <cell r="N6">
            <v>16042.34</v>
          </cell>
          <cell r="O6">
            <v>7984.29</v>
          </cell>
          <cell r="P6">
            <v>5267.893</v>
          </cell>
          <cell r="Q6">
            <v>5041.085</v>
          </cell>
          <cell r="R6">
            <v>20338.690999999999</v>
          </cell>
          <cell r="S6">
            <v>18255.450999999997</v>
          </cell>
          <cell r="T6">
            <v>18180.299000000003</v>
          </cell>
          <cell r="U6">
            <v>19298.804</v>
          </cell>
          <cell r="V6">
            <v>10977.175999999999</v>
          </cell>
          <cell r="W6">
            <v>8577.2049999999999</v>
          </cell>
          <cell r="X6">
            <v>4649.5829999999996</v>
          </cell>
          <cell r="Y6">
            <v>6020.2939999999999</v>
          </cell>
          <cell r="Z6">
            <v>3545.5990000000002</v>
          </cell>
          <cell r="AA6">
            <v>3626.6419999999998</v>
          </cell>
          <cell r="AB6">
            <v>6380.3370000000004</v>
          </cell>
          <cell r="AC6">
            <v>7660.5219999999999</v>
          </cell>
          <cell r="AD6">
            <v>9918.521999999999</v>
          </cell>
          <cell r="AE6">
            <v>4453.9129999999996</v>
          </cell>
          <cell r="AF6">
            <v>23482.1</v>
          </cell>
          <cell r="AG6">
            <v>5287.741</v>
          </cell>
          <cell r="AH6">
            <v>4061.6559999999999</v>
          </cell>
          <cell r="AI6">
            <v>3228.4309999999996</v>
          </cell>
          <cell r="AJ6">
            <v>3395.31</v>
          </cell>
          <cell r="AK6">
            <v>3094.3240000000001</v>
          </cell>
          <cell r="AL6">
            <v>2916.2270000000003</v>
          </cell>
          <cell r="AM6">
            <v>45887.912000000004</v>
          </cell>
          <cell r="AN6">
            <v>5557.4649999999992</v>
          </cell>
          <cell r="AO6">
            <v>11903.299000000001</v>
          </cell>
          <cell r="AP6">
            <v>3688.085</v>
          </cell>
          <cell r="AQ6">
            <v>9099.1779999999999</v>
          </cell>
          <cell r="AR6">
            <v>2529.587</v>
          </cell>
          <cell r="AS6">
            <v>9679.152</v>
          </cell>
          <cell r="AT6">
            <v>3466.8629999999998</v>
          </cell>
          <cell r="AU6">
            <v>2739.9360000000001</v>
          </cell>
          <cell r="AV6">
            <v>4327.2700000000004</v>
          </cell>
          <cell r="AW6">
            <v>5471.9060000000009</v>
          </cell>
          <cell r="AX6">
            <v>7319.4059999999999</v>
          </cell>
          <cell r="AY6">
            <v>12657.895</v>
          </cell>
          <cell r="AZ6">
            <v>7259.326</v>
          </cell>
          <cell r="BA6">
            <v>3372.8529999999996</v>
          </cell>
          <cell r="BB6">
            <v>5357.384</v>
          </cell>
          <cell r="BC6">
            <v>4966.9589999999998</v>
          </cell>
          <cell r="BD6">
            <v>5951.9199999999992</v>
          </cell>
          <cell r="BE6">
            <v>1131.4870000000001</v>
          </cell>
          <cell r="BF6">
            <v>1075.876</v>
          </cell>
        </row>
        <row r="7">
          <cell r="C7" t="str">
            <v>כמויות ביוב</v>
          </cell>
          <cell r="D7">
            <v>10280.945000000002</v>
          </cell>
          <cell r="E7">
            <v>8916.7430000000004</v>
          </cell>
          <cell r="F7">
            <v>4333.2569999999996</v>
          </cell>
          <cell r="G7">
            <v>54307.281000000003</v>
          </cell>
          <cell r="H7">
            <v>15191.027</v>
          </cell>
          <cell r="I7">
            <v>1561.3779999999999</v>
          </cell>
          <cell r="J7">
            <v>4551.009</v>
          </cell>
          <cell r="K7">
            <v>6858.4719999999998</v>
          </cell>
          <cell r="L7">
            <v>5038.1689999999999</v>
          </cell>
          <cell r="M7">
            <v>9110.4159999999993</v>
          </cell>
          <cell r="N7">
            <v>15186.956</v>
          </cell>
          <cell r="O7">
            <v>7967.6390000000001</v>
          </cell>
          <cell r="P7">
            <v>4852.53</v>
          </cell>
          <cell r="Q7">
            <v>4848.0789999999997</v>
          </cell>
          <cell r="R7">
            <v>19008.361999999997</v>
          </cell>
          <cell r="S7">
            <v>17334.789999999997</v>
          </cell>
          <cell r="T7">
            <v>17520.159000000003</v>
          </cell>
          <cell r="U7">
            <v>18217.092000000001</v>
          </cell>
          <cell r="V7">
            <v>9804.0889999999999</v>
          </cell>
          <cell r="W7">
            <v>8391.7970000000005</v>
          </cell>
          <cell r="X7">
            <v>4533.1899999999996</v>
          </cell>
          <cell r="Y7">
            <v>5418.3969999999999</v>
          </cell>
          <cell r="Z7">
            <v>3211.395</v>
          </cell>
          <cell r="AA7">
            <v>3356.837</v>
          </cell>
          <cell r="AB7">
            <v>5802.5370000000003</v>
          </cell>
          <cell r="AC7">
            <v>7488.7640000000001</v>
          </cell>
          <cell r="AD7">
            <v>9248.7369999999992</v>
          </cell>
          <cell r="AE7">
            <v>4201.2279999999992</v>
          </cell>
          <cell r="AF7">
            <v>22539.741999999998</v>
          </cell>
          <cell r="AG7">
            <v>4864.5450000000001</v>
          </cell>
          <cell r="AH7">
            <v>3590.7979999999998</v>
          </cell>
          <cell r="AI7">
            <v>3212.1389999999997</v>
          </cell>
          <cell r="AJ7">
            <v>3122.864</v>
          </cell>
          <cell r="AK7">
            <v>2929.8940000000002</v>
          </cell>
          <cell r="AL7">
            <v>2707.1440000000002</v>
          </cell>
          <cell r="AM7">
            <v>42848.077000000005</v>
          </cell>
          <cell r="AN7">
            <v>5012.8169999999991</v>
          </cell>
          <cell r="AO7">
            <v>11191.586000000001</v>
          </cell>
          <cell r="AP7">
            <v>3539.1329999999998</v>
          </cell>
          <cell r="AQ7">
            <v>8602.4639999999999</v>
          </cell>
          <cell r="AR7">
            <v>2372.9549999999999</v>
          </cell>
          <cell r="AS7">
            <v>9537.3340000000007</v>
          </cell>
          <cell r="AT7">
            <v>3230.1969999999997</v>
          </cell>
          <cell r="AU7">
            <v>2443.7440000000001</v>
          </cell>
          <cell r="AV7">
            <v>4019.3010000000004</v>
          </cell>
          <cell r="AW7">
            <v>5469.1230000000005</v>
          </cell>
          <cell r="AX7">
            <v>7243.1989999999996</v>
          </cell>
          <cell r="AY7">
            <v>11864.786</v>
          </cell>
          <cell r="AZ7">
            <v>6315.11</v>
          </cell>
          <cell r="BA7">
            <v>3197.1949999999997</v>
          </cell>
          <cell r="BB7">
            <v>5124.0309999999999</v>
          </cell>
          <cell r="BC7">
            <v>4966.9589999999998</v>
          </cell>
          <cell r="BD7">
            <v>5915.5167999999994</v>
          </cell>
          <cell r="BE7">
            <v>7553.0499999999993</v>
          </cell>
          <cell r="BF7">
            <v>979.86899999999991</v>
          </cell>
        </row>
        <row r="8">
          <cell r="C8" t="str">
            <v>כמות מים תאגיד מרחבי ממוצע</v>
          </cell>
          <cell r="D8">
            <v>40000</v>
          </cell>
          <cell r="E8">
            <v>40000</v>
          </cell>
          <cell r="F8">
            <v>40000</v>
          </cell>
          <cell r="G8">
            <v>40000</v>
          </cell>
          <cell r="H8">
            <v>40000</v>
          </cell>
          <cell r="I8">
            <v>40000</v>
          </cell>
          <cell r="J8">
            <v>40000</v>
          </cell>
          <cell r="K8">
            <v>40000</v>
          </cell>
          <cell r="L8">
            <v>40000</v>
          </cell>
          <cell r="M8">
            <v>40000</v>
          </cell>
          <cell r="N8">
            <v>40000</v>
          </cell>
          <cell r="O8">
            <v>40000</v>
          </cell>
          <cell r="P8">
            <v>40000</v>
          </cell>
          <cell r="Q8">
            <v>40000</v>
          </cell>
          <cell r="R8">
            <v>40000</v>
          </cell>
          <cell r="S8">
            <v>40000</v>
          </cell>
          <cell r="T8">
            <v>40000</v>
          </cell>
          <cell r="U8">
            <v>40000</v>
          </cell>
          <cell r="V8">
            <v>40000</v>
          </cell>
          <cell r="W8">
            <v>40000</v>
          </cell>
          <cell r="X8">
            <v>40000</v>
          </cell>
          <cell r="Y8">
            <v>40000</v>
          </cell>
          <cell r="Z8">
            <v>40000</v>
          </cell>
          <cell r="AA8">
            <v>40000</v>
          </cell>
          <cell r="AB8">
            <v>40000</v>
          </cell>
          <cell r="AC8">
            <v>40000</v>
          </cell>
          <cell r="AD8">
            <v>40000</v>
          </cell>
          <cell r="AE8">
            <v>40000</v>
          </cell>
          <cell r="AF8">
            <v>40000</v>
          </cell>
          <cell r="AG8">
            <v>40000</v>
          </cell>
          <cell r="AH8">
            <v>40000</v>
          </cell>
          <cell r="AI8">
            <v>40000</v>
          </cell>
          <cell r="AJ8">
            <v>40000</v>
          </cell>
          <cell r="AK8">
            <v>40000</v>
          </cell>
          <cell r="AL8">
            <v>40000</v>
          </cell>
          <cell r="AM8">
            <v>40000</v>
          </cell>
          <cell r="AN8">
            <v>40000</v>
          </cell>
          <cell r="AO8">
            <v>40000</v>
          </cell>
          <cell r="AP8">
            <v>40000</v>
          </cell>
          <cell r="AQ8">
            <v>40000</v>
          </cell>
          <cell r="AR8">
            <v>40000</v>
          </cell>
          <cell r="AS8">
            <v>40000</v>
          </cell>
          <cell r="AT8">
            <v>40000</v>
          </cell>
          <cell r="AU8">
            <v>40000</v>
          </cell>
          <cell r="AV8">
            <v>40000</v>
          </cell>
          <cell r="AW8">
            <v>40000</v>
          </cell>
          <cell r="AX8">
            <v>40000</v>
          </cell>
          <cell r="AY8">
            <v>40000</v>
          </cell>
          <cell r="AZ8">
            <v>40000</v>
          </cell>
          <cell r="BA8">
            <v>40000</v>
          </cell>
          <cell r="BB8">
            <v>40000</v>
          </cell>
          <cell r="BC8">
            <v>40000</v>
          </cell>
          <cell r="BD8">
            <v>40000</v>
          </cell>
          <cell r="BE8">
            <v>40000</v>
          </cell>
          <cell r="BF8">
            <v>40000</v>
          </cell>
        </row>
        <row r="9">
          <cell r="C9" t="str">
            <v>כמות מים תאגיד מרחבי אזורי</v>
          </cell>
          <cell r="D9">
            <v>38208.955000000002</v>
          </cell>
          <cell r="E9">
            <v>37754.264000000003</v>
          </cell>
          <cell r="F9">
            <v>20237.499</v>
          </cell>
          <cell r="G9">
            <v>60830.849000000002</v>
          </cell>
          <cell r="H9">
            <v>40640.303000000007</v>
          </cell>
          <cell r="I9">
            <v>1778.4359999999999</v>
          </cell>
          <cell r="J9">
            <v>37754.264000000003</v>
          </cell>
          <cell r="K9">
            <v>46803.215999999993</v>
          </cell>
          <cell r="L9">
            <v>45670.491999999991</v>
          </cell>
          <cell r="M9">
            <v>37754.264000000003</v>
          </cell>
          <cell r="N9">
            <v>46803.215999999993</v>
          </cell>
          <cell r="O9">
            <v>46803.215999999993</v>
          </cell>
          <cell r="P9">
            <v>42017.929000000004</v>
          </cell>
          <cell r="Q9">
            <v>20237.499</v>
          </cell>
          <cell r="R9">
            <v>45999.830999999991</v>
          </cell>
          <cell r="S9">
            <v>42017.929000000004</v>
          </cell>
          <cell r="T9">
            <v>38208.955000000002</v>
          </cell>
          <cell r="U9">
            <v>45670.491999999991</v>
          </cell>
          <cell r="V9">
            <v>10977.175999999999</v>
          </cell>
          <cell r="W9">
            <v>20237.499</v>
          </cell>
          <cell r="X9">
            <v>45670.491999999991</v>
          </cell>
          <cell r="Y9">
            <v>45670.491999999991</v>
          </cell>
          <cell r="Z9">
            <v>25231.761000000002</v>
          </cell>
          <cell r="AA9">
            <v>42694.096999999994</v>
          </cell>
          <cell r="AB9">
            <v>36481.583000000006</v>
          </cell>
          <cell r="AC9">
            <v>45999.830999999991</v>
          </cell>
          <cell r="AD9">
            <v>36481.583000000006</v>
          </cell>
          <cell r="AE9">
            <v>36481.583000000006</v>
          </cell>
          <cell r="AF9">
            <v>42694.096999999994</v>
          </cell>
          <cell r="AG9">
            <v>40640.303000000007</v>
          </cell>
          <cell r="AH9">
            <v>25231.761000000002</v>
          </cell>
          <cell r="AI9">
            <v>45999.830999999991</v>
          </cell>
          <cell r="AJ9">
            <v>38208.955000000002</v>
          </cell>
          <cell r="AK9">
            <v>42694.096999999994</v>
          </cell>
          <cell r="AL9">
            <v>42694.096999999994</v>
          </cell>
          <cell r="AM9">
            <v>61479.296000000002</v>
          </cell>
          <cell r="AN9">
            <v>46803.215999999993</v>
          </cell>
          <cell r="AO9">
            <v>61479.296000000002</v>
          </cell>
          <cell r="AP9">
            <v>61479.296000000002</v>
          </cell>
          <cell r="AQ9">
            <v>42017.929000000004</v>
          </cell>
          <cell r="AR9">
            <v>38208.955000000002</v>
          </cell>
          <cell r="AS9">
            <v>37754.264000000003</v>
          </cell>
          <cell r="AT9">
            <v>42694.096999999994</v>
          </cell>
          <cell r="AU9">
            <v>42694.096999999994</v>
          </cell>
          <cell r="AV9">
            <v>36481.583000000006</v>
          </cell>
          <cell r="AW9">
            <v>25231.761000000002</v>
          </cell>
          <cell r="AX9">
            <v>25231.761000000002</v>
          </cell>
          <cell r="AY9">
            <v>40640.303000000007</v>
          </cell>
          <cell r="AZ9">
            <v>45999.830999999991</v>
          </cell>
          <cell r="BA9">
            <v>37754.264000000003</v>
          </cell>
          <cell r="BB9">
            <v>45670.491999999991</v>
          </cell>
          <cell r="BC9">
            <v>36481.583000000006</v>
          </cell>
          <cell r="BD9">
            <v>45999.830999999991</v>
          </cell>
          <cell r="BE9">
            <v>36481.583000000006</v>
          </cell>
          <cell r="BF9">
            <v>38208.955000000002</v>
          </cell>
        </row>
        <row r="10">
          <cell r="C10" t="str">
            <v>שכר עבודה וכלי רכב-מים</v>
          </cell>
          <cell r="D10">
            <v>1923</v>
          </cell>
          <cell r="E10">
            <v>1923</v>
          </cell>
          <cell r="F10">
            <v>1923</v>
          </cell>
          <cell r="G10">
            <v>1923</v>
          </cell>
          <cell r="H10">
            <v>1923</v>
          </cell>
          <cell r="I10">
            <v>1923</v>
          </cell>
          <cell r="J10">
            <v>1923</v>
          </cell>
          <cell r="K10">
            <v>1923</v>
          </cell>
          <cell r="L10">
            <v>1923</v>
          </cell>
          <cell r="M10">
            <v>1923</v>
          </cell>
          <cell r="N10">
            <v>1923</v>
          </cell>
          <cell r="O10">
            <v>1923</v>
          </cell>
          <cell r="P10">
            <v>1923</v>
          </cell>
          <cell r="Q10">
            <v>1923</v>
          </cell>
          <cell r="R10">
            <v>1923</v>
          </cell>
          <cell r="S10">
            <v>1923</v>
          </cell>
          <cell r="T10">
            <v>1923</v>
          </cell>
          <cell r="U10">
            <v>1923</v>
          </cell>
          <cell r="V10">
            <v>1923</v>
          </cell>
          <cell r="W10">
            <v>1923</v>
          </cell>
          <cell r="X10">
            <v>1923</v>
          </cell>
          <cell r="Y10">
            <v>1923</v>
          </cell>
          <cell r="Z10">
            <v>1923</v>
          </cell>
          <cell r="AA10">
            <v>1923</v>
          </cell>
          <cell r="AB10">
            <v>1923</v>
          </cell>
          <cell r="AC10">
            <v>1923</v>
          </cell>
          <cell r="AD10">
            <v>1923</v>
          </cell>
          <cell r="AE10">
            <v>1923</v>
          </cell>
          <cell r="AF10">
            <v>1923</v>
          </cell>
          <cell r="AG10">
            <v>1923</v>
          </cell>
          <cell r="AH10">
            <v>1923</v>
          </cell>
          <cell r="AI10">
            <v>1923</v>
          </cell>
          <cell r="AJ10">
            <v>1923</v>
          </cell>
          <cell r="AK10">
            <v>1923</v>
          </cell>
          <cell r="AL10">
            <v>1923</v>
          </cell>
          <cell r="AM10">
            <v>1923</v>
          </cell>
          <cell r="AN10">
            <v>1923</v>
          </cell>
          <cell r="AO10">
            <v>1923</v>
          </cell>
          <cell r="AP10">
            <v>1923</v>
          </cell>
          <cell r="AQ10">
            <v>1923</v>
          </cell>
          <cell r="AR10">
            <v>1923</v>
          </cell>
          <cell r="AS10">
            <v>1923</v>
          </cell>
          <cell r="AT10">
            <v>1923</v>
          </cell>
          <cell r="AU10">
            <v>1923</v>
          </cell>
          <cell r="AV10">
            <v>1923</v>
          </cell>
          <cell r="AW10">
            <v>1923</v>
          </cell>
          <cell r="AX10">
            <v>1923</v>
          </cell>
          <cell r="AY10">
            <v>1923</v>
          </cell>
          <cell r="AZ10">
            <v>1923</v>
          </cell>
          <cell r="BA10">
            <v>1923</v>
          </cell>
          <cell r="BB10">
            <v>1923</v>
          </cell>
          <cell r="BC10">
            <v>1923</v>
          </cell>
          <cell r="BD10">
            <v>1923</v>
          </cell>
          <cell r="BE10">
            <v>1923</v>
          </cell>
          <cell r="BF10">
            <v>1923</v>
          </cell>
        </row>
        <row r="11">
          <cell r="C11" t="str">
            <v>נורמת תפעול 2015</v>
          </cell>
          <cell r="D11">
            <v>0.16293010743730277</v>
          </cell>
          <cell r="E11">
            <v>0.16451408273482221</v>
          </cell>
          <cell r="F11">
            <v>0.27972516857238405</v>
          </cell>
          <cell r="G11">
            <v>0.13911540997378119</v>
          </cell>
          <cell r="H11">
            <v>0.15621631997691005</v>
          </cell>
          <cell r="I11">
            <v>1.0596348701893124</v>
          </cell>
          <cell r="J11">
            <v>0.16451408273482221</v>
          </cell>
          <cell r="K11">
            <v>0.14943201477727133</v>
          </cell>
          <cell r="L11">
            <v>0.1505416102838685</v>
          </cell>
          <cell r="M11">
            <v>0.16451408273482221</v>
          </cell>
          <cell r="N11">
            <v>0.14943201477727133</v>
          </cell>
          <cell r="O11">
            <v>0.14943201477727133</v>
          </cell>
          <cell r="P11">
            <v>0.15452707854969244</v>
          </cell>
          <cell r="Q11">
            <v>0.27972516857238405</v>
          </cell>
          <cell r="R11">
            <v>0.15021336143691097</v>
          </cell>
          <cell r="S11">
            <v>0.15452707854969244</v>
          </cell>
          <cell r="T11">
            <v>0.16293010743730277</v>
          </cell>
          <cell r="U11">
            <v>0.1505416102838685</v>
          </cell>
          <cell r="V11">
            <v>0.26895551764254605</v>
          </cell>
          <cell r="W11">
            <v>0.27972516857238405</v>
          </cell>
          <cell r="X11">
            <v>0.1505416102838685</v>
          </cell>
          <cell r="Y11">
            <v>0.1505416102838685</v>
          </cell>
          <cell r="Z11">
            <v>0.23057442029500094</v>
          </cell>
          <cell r="AA11">
            <v>0.15373784759336429</v>
          </cell>
          <cell r="AB11">
            <v>0.16915755752525979</v>
          </cell>
          <cell r="AC11">
            <v>0.15021336143691097</v>
          </cell>
          <cell r="AD11">
            <v>0.16915755752525979</v>
          </cell>
          <cell r="AE11">
            <v>0.16915755752525979</v>
          </cell>
          <cell r="AF11">
            <v>0.15373784759336429</v>
          </cell>
          <cell r="AG11">
            <v>0.15621631997691005</v>
          </cell>
          <cell r="AH11">
            <v>0.23057442029500094</v>
          </cell>
          <cell r="AI11">
            <v>0.15021336143691097</v>
          </cell>
          <cell r="AJ11">
            <v>0.16293010743730277</v>
          </cell>
          <cell r="AK11">
            <v>0.15373784759336429</v>
          </cell>
          <cell r="AL11">
            <v>0.15373784759336429</v>
          </cell>
          <cell r="AM11">
            <v>0.13875235390994139</v>
          </cell>
          <cell r="AN11">
            <v>0.14943201477727133</v>
          </cell>
          <cell r="AO11">
            <v>0.13875235390994139</v>
          </cell>
          <cell r="AP11">
            <v>0.13875235390994139</v>
          </cell>
          <cell r="AQ11">
            <v>0.15452707854969244</v>
          </cell>
          <cell r="AR11">
            <v>0.16293010743730277</v>
          </cell>
          <cell r="AS11">
            <v>0.16451408273482221</v>
          </cell>
          <cell r="AT11">
            <v>0.15373784759336429</v>
          </cell>
          <cell r="AU11">
            <v>0.15373784759336429</v>
          </cell>
          <cell r="AV11">
            <v>0.16915755752525979</v>
          </cell>
          <cell r="AW11">
            <v>0.23057442029500094</v>
          </cell>
          <cell r="AX11">
            <v>0.23057442029500094</v>
          </cell>
          <cell r="AY11">
            <v>0.15621631997691005</v>
          </cell>
          <cell r="AZ11">
            <v>0.15021336143691097</v>
          </cell>
          <cell r="BA11">
            <v>0.16451408273482221</v>
          </cell>
          <cell r="BB11">
            <v>0.1505416102838685</v>
          </cell>
          <cell r="BC11">
            <v>0.16915755752525979</v>
          </cell>
          <cell r="BD11">
            <v>0.15021336143691097</v>
          </cell>
          <cell r="BE11">
            <v>0.16915755752525979</v>
          </cell>
          <cell r="BF11">
            <v>0.16293010743730277</v>
          </cell>
        </row>
        <row r="12">
          <cell r="C12" t="str">
            <v>עלות קטימה לק"ב</v>
          </cell>
          <cell r="D12">
            <v>0.16293010743730277</v>
          </cell>
          <cell r="E12">
            <v>0.16451408273482221</v>
          </cell>
          <cell r="F12">
            <v>0.27972516857238405</v>
          </cell>
          <cell r="G12">
            <v>0.13911540997378119</v>
          </cell>
          <cell r="H12">
            <v>0.15621631997691005</v>
          </cell>
          <cell r="I12">
            <v>1.0596348701893124</v>
          </cell>
          <cell r="J12">
            <v>0.16451408273482221</v>
          </cell>
          <cell r="K12">
            <v>0.14943201477727133</v>
          </cell>
          <cell r="L12">
            <v>0.1505416102838685</v>
          </cell>
          <cell r="M12">
            <v>0.16451408273482221</v>
          </cell>
          <cell r="N12">
            <v>0.14943201477727133</v>
          </cell>
          <cell r="O12">
            <v>0.14943201477727133</v>
          </cell>
          <cell r="P12">
            <v>0.15452707854969244</v>
          </cell>
          <cell r="Q12">
            <v>0.27972516857238405</v>
          </cell>
          <cell r="R12">
            <v>0.15021336143691097</v>
          </cell>
          <cell r="S12">
            <v>0.15452707854969244</v>
          </cell>
          <cell r="T12">
            <v>0.16293010743730277</v>
          </cell>
          <cell r="U12">
            <v>0.1505416102838685</v>
          </cell>
          <cell r="V12">
            <v>0.26895551764254605</v>
          </cell>
          <cell r="W12">
            <v>0.27972516857238405</v>
          </cell>
          <cell r="X12">
            <v>0.1505416102838685</v>
          </cell>
          <cell r="Y12">
            <v>0.1505416102838685</v>
          </cell>
          <cell r="Z12">
            <v>0.23057442029500094</v>
          </cell>
          <cell r="AA12">
            <v>0.15373784759336429</v>
          </cell>
          <cell r="AB12">
            <v>0.16915755752525979</v>
          </cell>
          <cell r="AC12">
            <v>0.15021336143691097</v>
          </cell>
          <cell r="AD12">
            <v>0.16915755752525979</v>
          </cell>
          <cell r="AE12">
            <v>0.16915755752525979</v>
          </cell>
          <cell r="AF12">
            <v>0.15373784759336429</v>
          </cell>
          <cell r="AG12">
            <v>0.15621631997691005</v>
          </cell>
          <cell r="AH12">
            <v>0.23057442029500094</v>
          </cell>
          <cell r="AI12">
            <v>0.15021336143691097</v>
          </cell>
          <cell r="AJ12">
            <v>0.16293010743730277</v>
          </cell>
          <cell r="AK12">
            <v>0.15373784759336429</v>
          </cell>
          <cell r="AL12">
            <v>0.15373784759336429</v>
          </cell>
          <cell r="AM12">
            <v>0.13875235390994139</v>
          </cell>
          <cell r="AN12">
            <v>0.14943201477727133</v>
          </cell>
          <cell r="AO12">
            <v>0.13875235390994139</v>
          </cell>
          <cell r="AP12">
            <v>0.13875235390994139</v>
          </cell>
          <cell r="AQ12">
            <v>0.15452707854969244</v>
          </cell>
          <cell r="AR12">
            <v>0.16293010743730277</v>
          </cell>
          <cell r="AS12">
            <v>0.16451408273482221</v>
          </cell>
          <cell r="AT12">
            <v>0.15373784759336429</v>
          </cell>
          <cell r="AU12">
            <v>0.15373784759336429</v>
          </cell>
          <cell r="AV12">
            <v>0.16915755752525979</v>
          </cell>
          <cell r="AW12">
            <v>0.23057442029500094</v>
          </cell>
          <cell r="AX12">
            <v>0.23057442029500094</v>
          </cell>
          <cell r="AY12">
            <v>0.15621631997691005</v>
          </cell>
          <cell r="AZ12">
            <v>0.15021336143691097</v>
          </cell>
          <cell r="BA12">
            <v>0.16451408273482221</v>
          </cell>
          <cell r="BB12">
            <v>0.1505416102838685</v>
          </cell>
          <cell r="BC12">
            <v>0.16915755752525979</v>
          </cell>
          <cell r="BD12">
            <v>0.15021336143691097</v>
          </cell>
          <cell r="BE12">
            <v>0.16915755752525979</v>
          </cell>
          <cell r="BF12">
            <v>0.16293010743730277</v>
          </cell>
        </row>
        <row r="13">
          <cell r="C13" t="str">
            <v>הוצאות ביטוח</v>
          </cell>
          <cell r="D13">
            <v>300</v>
          </cell>
          <cell r="E13">
            <v>300</v>
          </cell>
          <cell r="F13">
            <v>300</v>
          </cell>
          <cell r="G13">
            <v>300</v>
          </cell>
          <cell r="H13">
            <v>300</v>
          </cell>
          <cell r="I13">
            <v>300</v>
          </cell>
          <cell r="J13">
            <v>300</v>
          </cell>
          <cell r="K13">
            <v>300</v>
          </cell>
          <cell r="L13">
            <v>300</v>
          </cell>
          <cell r="M13">
            <v>300</v>
          </cell>
          <cell r="N13">
            <v>300</v>
          </cell>
          <cell r="O13">
            <v>300</v>
          </cell>
          <cell r="P13">
            <v>300</v>
          </cell>
          <cell r="Q13">
            <v>300</v>
          </cell>
          <cell r="R13">
            <v>300</v>
          </cell>
          <cell r="S13">
            <v>300</v>
          </cell>
          <cell r="T13">
            <v>300</v>
          </cell>
          <cell r="U13">
            <v>300</v>
          </cell>
          <cell r="V13">
            <v>300</v>
          </cell>
          <cell r="W13">
            <v>300</v>
          </cell>
          <cell r="X13">
            <v>300</v>
          </cell>
          <cell r="Y13">
            <v>300</v>
          </cell>
          <cell r="Z13">
            <v>300</v>
          </cell>
          <cell r="AA13">
            <v>300</v>
          </cell>
          <cell r="AB13">
            <v>300</v>
          </cell>
          <cell r="AC13">
            <v>300</v>
          </cell>
          <cell r="AD13">
            <v>300</v>
          </cell>
          <cell r="AE13">
            <v>300</v>
          </cell>
          <cell r="AF13">
            <v>300</v>
          </cell>
          <cell r="AG13">
            <v>300</v>
          </cell>
          <cell r="AH13">
            <v>300</v>
          </cell>
          <cell r="AI13">
            <v>300</v>
          </cell>
          <cell r="AJ13">
            <v>300</v>
          </cell>
          <cell r="AK13">
            <v>300</v>
          </cell>
          <cell r="AL13">
            <v>300</v>
          </cell>
          <cell r="AM13">
            <v>300</v>
          </cell>
          <cell r="AN13">
            <v>300</v>
          </cell>
          <cell r="AO13">
            <v>300</v>
          </cell>
          <cell r="AP13">
            <v>300</v>
          </cell>
          <cell r="AQ13">
            <v>300</v>
          </cell>
          <cell r="AR13">
            <v>300</v>
          </cell>
          <cell r="AS13">
            <v>300</v>
          </cell>
          <cell r="AT13">
            <v>300</v>
          </cell>
          <cell r="AU13">
            <v>300</v>
          </cell>
          <cell r="AV13">
            <v>300</v>
          </cell>
          <cell r="AW13">
            <v>300</v>
          </cell>
          <cell r="AX13">
            <v>300</v>
          </cell>
          <cell r="AY13">
            <v>300</v>
          </cell>
          <cell r="AZ13">
            <v>300</v>
          </cell>
          <cell r="BA13">
            <v>300</v>
          </cell>
          <cell r="BB13">
            <v>300</v>
          </cell>
          <cell r="BC13">
            <v>300</v>
          </cell>
          <cell r="BD13">
            <v>300</v>
          </cell>
          <cell r="BE13">
            <v>300</v>
          </cell>
          <cell r="BF13">
            <v>300</v>
          </cell>
        </row>
        <row r="14">
          <cell r="C14" t="str">
            <v>הוצאות אחרות-מים</v>
          </cell>
          <cell r="D14">
            <v>400</v>
          </cell>
          <cell r="E14">
            <v>400</v>
          </cell>
          <cell r="F14">
            <v>400</v>
          </cell>
          <cell r="G14">
            <v>400</v>
          </cell>
          <cell r="H14">
            <v>400</v>
          </cell>
          <cell r="I14">
            <v>400</v>
          </cell>
          <cell r="J14">
            <v>400</v>
          </cell>
          <cell r="K14">
            <v>400</v>
          </cell>
          <cell r="L14">
            <v>400</v>
          </cell>
          <cell r="M14">
            <v>400</v>
          </cell>
          <cell r="N14">
            <v>400</v>
          </cell>
          <cell r="O14">
            <v>400</v>
          </cell>
          <cell r="P14">
            <v>400</v>
          </cell>
          <cell r="Q14">
            <v>400</v>
          </cell>
          <cell r="R14">
            <v>400</v>
          </cell>
          <cell r="S14">
            <v>400</v>
          </cell>
          <cell r="T14">
            <v>400</v>
          </cell>
          <cell r="U14">
            <v>400</v>
          </cell>
          <cell r="V14">
            <v>400</v>
          </cell>
          <cell r="W14">
            <v>400</v>
          </cell>
          <cell r="X14">
            <v>400</v>
          </cell>
          <cell r="Y14">
            <v>400</v>
          </cell>
          <cell r="Z14">
            <v>400</v>
          </cell>
          <cell r="AA14">
            <v>400</v>
          </cell>
          <cell r="AB14">
            <v>400</v>
          </cell>
          <cell r="AC14">
            <v>400</v>
          </cell>
          <cell r="AD14">
            <v>400</v>
          </cell>
          <cell r="AE14">
            <v>400</v>
          </cell>
          <cell r="AF14">
            <v>400</v>
          </cell>
          <cell r="AG14">
            <v>400</v>
          </cell>
          <cell r="AH14">
            <v>400</v>
          </cell>
          <cell r="AI14">
            <v>400</v>
          </cell>
          <cell r="AJ14">
            <v>400</v>
          </cell>
          <cell r="AK14">
            <v>400</v>
          </cell>
          <cell r="AL14">
            <v>400</v>
          </cell>
          <cell r="AM14">
            <v>400</v>
          </cell>
          <cell r="AN14">
            <v>400</v>
          </cell>
          <cell r="AO14">
            <v>400</v>
          </cell>
          <cell r="AP14">
            <v>400</v>
          </cell>
          <cell r="AQ14">
            <v>400</v>
          </cell>
          <cell r="AR14">
            <v>400</v>
          </cell>
          <cell r="AS14">
            <v>400</v>
          </cell>
          <cell r="AT14">
            <v>400</v>
          </cell>
          <cell r="AU14">
            <v>400</v>
          </cell>
          <cell r="AV14">
            <v>400</v>
          </cell>
          <cell r="AW14">
            <v>400</v>
          </cell>
          <cell r="AX14">
            <v>400</v>
          </cell>
          <cell r="AY14">
            <v>400</v>
          </cell>
          <cell r="AZ14">
            <v>400</v>
          </cell>
          <cell r="BA14">
            <v>400</v>
          </cell>
          <cell r="BB14">
            <v>400</v>
          </cell>
          <cell r="BC14">
            <v>400</v>
          </cell>
          <cell r="BD14">
            <v>400</v>
          </cell>
          <cell r="BE14">
            <v>400</v>
          </cell>
          <cell r="BF14">
            <v>400</v>
          </cell>
        </row>
        <row r="15">
          <cell r="C15" t="str">
            <v>דגימות מים</v>
          </cell>
          <cell r="D15">
            <v>250</v>
          </cell>
          <cell r="E15">
            <v>250</v>
          </cell>
          <cell r="F15">
            <v>250</v>
          </cell>
          <cell r="G15">
            <v>250</v>
          </cell>
          <cell r="H15">
            <v>250</v>
          </cell>
          <cell r="I15">
            <v>250</v>
          </cell>
          <cell r="J15">
            <v>250</v>
          </cell>
          <cell r="K15">
            <v>250</v>
          </cell>
          <cell r="L15">
            <v>250</v>
          </cell>
          <cell r="M15">
            <v>250</v>
          </cell>
          <cell r="N15">
            <v>250</v>
          </cell>
          <cell r="O15">
            <v>250</v>
          </cell>
          <cell r="P15">
            <v>250</v>
          </cell>
          <cell r="Q15">
            <v>250</v>
          </cell>
          <cell r="R15">
            <v>250</v>
          </cell>
          <cell r="S15">
            <v>250</v>
          </cell>
          <cell r="T15">
            <v>250</v>
          </cell>
          <cell r="U15">
            <v>250</v>
          </cell>
          <cell r="V15">
            <v>250</v>
          </cell>
          <cell r="W15">
            <v>250</v>
          </cell>
          <cell r="X15">
            <v>250</v>
          </cell>
          <cell r="Y15">
            <v>250</v>
          </cell>
          <cell r="Z15">
            <v>250</v>
          </cell>
          <cell r="AA15">
            <v>250</v>
          </cell>
          <cell r="AB15">
            <v>250</v>
          </cell>
          <cell r="AC15">
            <v>250</v>
          </cell>
          <cell r="AD15">
            <v>250</v>
          </cell>
          <cell r="AE15">
            <v>250</v>
          </cell>
          <cell r="AF15">
            <v>250</v>
          </cell>
          <cell r="AG15">
            <v>250</v>
          </cell>
          <cell r="AH15">
            <v>250</v>
          </cell>
          <cell r="AI15">
            <v>250</v>
          </cell>
          <cell r="AJ15">
            <v>250</v>
          </cell>
          <cell r="AK15">
            <v>250</v>
          </cell>
          <cell r="AL15">
            <v>250</v>
          </cell>
          <cell r="AM15">
            <v>250</v>
          </cell>
          <cell r="AN15">
            <v>250</v>
          </cell>
          <cell r="AO15">
            <v>250</v>
          </cell>
          <cell r="AP15">
            <v>250</v>
          </cell>
          <cell r="AQ15">
            <v>250</v>
          </cell>
          <cell r="AR15">
            <v>250</v>
          </cell>
          <cell r="AS15">
            <v>250</v>
          </cell>
          <cell r="AT15">
            <v>250</v>
          </cell>
          <cell r="AU15">
            <v>250</v>
          </cell>
          <cell r="AV15">
            <v>250</v>
          </cell>
          <cell r="AW15">
            <v>250</v>
          </cell>
          <cell r="AX15">
            <v>250</v>
          </cell>
          <cell r="AY15">
            <v>250</v>
          </cell>
          <cell r="AZ15">
            <v>250</v>
          </cell>
          <cell r="BA15">
            <v>250</v>
          </cell>
          <cell r="BB15">
            <v>250</v>
          </cell>
          <cell r="BC15">
            <v>250</v>
          </cell>
          <cell r="BD15">
            <v>250</v>
          </cell>
          <cell r="BE15">
            <v>250</v>
          </cell>
          <cell r="BF15">
            <v>250</v>
          </cell>
        </row>
        <row r="16">
          <cell r="C16" t="str">
            <v>עלות מוקד תקלות</v>
          </cell>
          <cell r="D16">
            <v>250</v>
          </cell>
          <cell r="E16">
            <v>250</v>
          </cell>
          <cell r="F16">
            <v>250</v>
          </cell>
          <cell r="G16">
            <v>250</v>
          </cell>
          <cell r="H16">
            <v>250</v>
          </cell>
          <cell r="I16">
            <v>250</v>
          </cell>
          <cell r="J16">
            <v>250</v>
          </cell>
          <cell r="K16">
            <v>250</v>
          </cell>
          <cell r="L16">
            <v>250</v>
          </cell>
          <cell r="M16">
            <v>250</v>
          </cell>
          <cell r="N16">
            <v>250</v>
          </cell>
          <cell r="O16">
            <v>250</v>
          </cell>
          <cell r="P16">
            <v>250</v>
          </cell>
          <cell r="Q16">
            <v>250</v>
          </cell>
          <cell r="R16">
            <v>250</v>
          </cell>
          <cell r="S16">
            <v>250</v>
          </cell>
          <cell r="T16">
            <v>250</v>
          </cell>
          <cell r="U16">
            <v>250</v>
          </cell>
          <cell r="V16">
            <v>250</v>
          </cell>
          <cell r="W16">
            <v>250</v>
          </cell>
          <cell r="X16">
            <v>250</v>
          </cell>
          <cell r="Y16">
            <v>250</v>
          </cell>
          <cell r="Z16">
            <v>250</v>
          </cell>
          <cell r="AA16">
            <v>250</v>
          </cell>
          <cell r="AB16">
            <v>250</v>
          </cell>
          <cell r="AC16">
            <v>250</v>
          </cell>
          <cell r="AD16">
            <v>250</v>
          </cell>
          <cell r="AE16">
            <v>250</v>
          </cell>
          <cell r="AF16">
            <v>250</v>
          </cell>
          <cell r="AG16">
            <v>250</v>
          </cell>
          <cell r="AH16">
            <v>250</v>
          </cell>
          <cell r="AI16">
            <v>250</v>
          </cell>
          <cell r="AJ16">
            <v>250</v>
          </cell>
          <cell r="AK16">
            <v>250</v>
          </cell>
          <cell r="AL16">
            <v>250</v>
          </cell>
          <cell r="AM16">
            <v>250</v>
          </cell>
          <cell r="AN16">
            <v>250</v>
          </cell>
          <cell r="AO16">
            <v>250</v>
          </cell>
          <cell r="AP16">
            <v>250</v>
          </cell>
          <cell r="AQ16">
            <v>250</v>
          </cell>
          <cell r="AR16">
            <v>250</v>
          </cell>
          <cell r="AS16">
            <v>250</v>
          </cell>
          <cell r="AT16">
            <v>250</v>
          </cell>
          <cell r="AU16">
            <v>250</v>
          </cell>
          <cell r="AV16">
            <v>250</v>
          </cell>
          <cell r="AW16">
            <v>250</v>
          </cell>
          <cell r="AX16">
            <v>250</v>
          </cell>
          <cell r="AY16">
            <v>250</v>
          </cell>
          <cell r="AZ16">
            <v>250</v>
          </cell>
          <cell r="BA16">
            <v>250</v>
          </cell>
          <cell r="BB16">
            <v>250</v>
          </cell>
          <cell r="BC16">
            <v>250</v>
          </cell>
          <cell r="BD16">
            <v>250</v>
          </cell>
          <cell r="BE16">
            <v>250</v>
          </cell>
          <cell r="BF16">
            <v>250</v>
          </cell>
        </row>
        <row r="17">
          <cell r="C17" t="str">
            <v>טלפון ותקשורת</v>
          </cell>
          <cell r="D17">
            <v>100</v>
          </cell>
          <cell r="E17">
            <v>100</v>
          </cell>
          <cell r="F17">
            <v>100</v>
          </cell>
          <cell r="G17">
            <v>100</v>
          </cell>
          <cell r="H17">
            <v>100</v>
          </cell>
          <cell r="I17">
            <v>100</v>
          </cell>
          <cell r="J17">
            <v>100</v>
          </cell>
          <cell r="K17">
            <v>100</v>
          </cell>
          <cell r="L17">
            <v>100</v>
          </cell>
          <cell r="M17">
            <v>100</v>
          </cell>
          <cell r="N17">
            <v>100</v>
          </cell>
          <cell r="O17">
            <v>100</v>
          </cell>
          <cell r="P17">
            <v>100</v>
          </cell>
          <cell r="Q17">
            <v>100</v>
          </cell>
          <cell r="R17">
            <v>100</v>
          </cell>
          <cell r="S17">
            <v>100</v>
          </cell>
          <cell r="T17">
            <v>100</v>
          </cell>
          <cell r="U17">
            <v>100</v>
          </cell>
          <cell r="V17">
            <v>100</v>
          </cell>
          <cell r="W17">
            <v>100</v>
          </cell>
          <cell r="X17">
            <v>100</v>
          </cell>
          <cell r="Y17">
            <v>100</v>
          </cell>
          <cell r="Z17">
            <v>100</v>
          </cell>
          <cell r="AA17">
            <v>100</v>
          </cell>
          <cell r="AB17">
            <v>100</v>
          </cell>
          <cell r="AC17">
            <v>100</v>
          </cell>
          <cell r="AD17">
            <v>100</v>
          </cell>
          <cell r="AE17">
            <v>100</v>
          </cell>
          <cell r="AF17">
            <v>100</v>
          </cell>
          <cell r="AG17">
            <v>100</v>
          </cell>
          <cell r="AH17">
            <v>100</v>
          </cell>
          <cell r="AI17">
            <v>100</v>
          </cell>
          <cell r="AJ17">
            <v>100</v>
          </cell>
          <cell r="AK17">
            <v>100</v>
          </cell>
          <cell r="AL17">
            <v>100</v>
          </cell>
          <cell r="AM17">
            <v>100</v>
          </cell>
          <cell r="AN17">
            <v>100</v>
          </cell>
          <cell r="AO17">
            <v>100</v>
          </cell>
          <cell r="AP17">
            <v>100</v>
          </cell>
          <cell r="AQ17">
            <v>100</v>
          </cell>
          <cell r="AR17">
            <v>100</v>
          </cell>
          <cell r="AS17">
            <v>100</v>
          </cell>
          <cell r="AT17">
            <v>100</v>
          </cell>
          <cell r="AU17">
            <v>100</v>
          </cell>
          <cell r="AV17">
            <v>100</v>
          </cell>
          <cell r="AW17">
            <v>100</v>
          </cell>
          <cell r="AX17">
            <v>100</v>
          </cell>
          <cell r="AY17">
            <v>100</v>
          </cell>
          <cell r="AZ17">
            <v>100</v>
          </cell>
          <cell r="BA17">
            <v>100</v>
          </cell>
          <cell r="BB17">
            <v>100</v>
          </cell>
          <cell r="BC17">
            <v>100</v>
          </cell>
          <cell r="BD17">
            <v>100</v>
          </cell>
          <cell r="BE17">
            <v>100</v>
          </cell>
          <cell r="BF17">
            <v>100</v>
          </cell>
        </row>
        <row r="18">
          <cell r="C18" t="str">
            <v>פיקוד ובקרה</v>
          </cell>
          <cell r="D18">
            <v>100</v>
          </cell>
          <cell r="E18">
            <v>100</v>
          </cell>
          <cell r="F18">
            <v>100</v>
          </cell>
          <cell r="G18">
            <v>100</v>
          </cell>
          <cell r="H18">
            <v>100</v>
          </cell>
          <cell r="I18">
            <v>100</v>
          </cell>
          <cell r="J18">
            <v>100</v>
          </cell>
          <cell r="K18">
            <v>100</v>
          </cell>
          <cell r="L18">
            <v>100</v>
          </cell>
          <cell r="M18">
            <v>100</v>
          </cell>
          <cell r="N18">
            <v>100</v>
          </cell>
          <cell r="O18">
            <v>100</v>
          </cell>
          <cell r="P18">
            <v>100</v>
          </cell>
          <cell r="Q18">
            <v>100</v>
          </cell>
          <cell r="R18">
            <v>100</v>
          </cell>
          <cell r="S18">
            <v>100</v>
          </cell>
          <cell r="T18">
            <v>100</v>
          </cell>
          <cell r="U18">
            <v>100</v>
          </cell>
          <cell r="V18">
            <v>100</v>
          </cell>
          <cell r="W18">
            <v>100</v>
          </cell>
          <cell r="X18">
            <v>100</v>
          </cell>
          <cell r="Y18">
            <v>100</v>
          </cell>
          <cell r="Z18">
            <v>100</v>
          </cell>
          <cell r="AA18">
            <v>100</v>
          </cell>
          <cell r="AB18">
            <v>100</v>
          </cell>
          <cell r="AC18">
            <v>100</v>
          </cell>
          <cell r="AD18">
            <v>100</v>
          </cell>
          <cell r="AE18">
            <v>100</v>
          </cell>
          <cell r="AF18">
            <v>100</v>
          </cell>
          <cell r="AG18">
            <v>100</v>
          </cell>
          <cell r="AH18">
            <v>100</v>
          </cell>
          <cell r="AI18">
            <v>100</v>
          </cell>
          <cell r="AJ18">
            <v>100</v>
          </cell>
          <cell r="AK18">
            <v>100</v>
          </cell>
          <cell r="AL18">
            <v>100</v>
          </cell>
          <cell r="AM18">
            <v>100</v>
          </cell>
          <cell r="AN18">
            <v>100</v>
          </cell>
          <cell r="AO18">
            <v>100</v>
          </cell>
          <cell r="AP18">
            <v>100</v>
          </cell>
          <cell r="AQ18">
            <v>100</v>
          </cell>
          <cell r="AR18">
            <v>100</v>
          </cell>
          <cell r="AS18">
            <v>100</v>
          </cell>
          <cell r="AT18">
            <v>100</v>
          </cell>
          <cell r="AU18">
            <v>100</v>
          </cell>
          <cell r="AV18">
            <v>100</v>
          </cell>
          <cell r="AW18">
            <v>100</v>
          </cell>
          <cell r="AX18">
            <v>100</v>
          </cell>
          <cell r="AY18">
            <v>100</v>
          </cell>
          <cell r="AZ18">
            <v>100</v>
          </cell>
          <cell r="BA18">
            <v>100</v>
          </cell>
          <cell r="BB18">
            <v>100</v>
          </cell>
          <cell r="BC18">
            <v>100</v>
          </cell>
          <cell r="BD18">
            <v>100</v>
          </cell>
          <cell r="BE18">
            <v>100</v>
          </cell>
          <cell r="BF18">
            <v>100</v>
          </cell>
        </row>
        <row r="19">
          <cell r="C19" t="str">
            <v>יעוץ מקצועי-מים</v>
          </cell>
          <cell r="D19">
            <v>200</v>
          </cell>
          <cell r="E19">
            <v>200</v>
          </cell>
          <cell r="F19">
            <v>200</v>
          </cell>
          <cell r="G19">
            <v>200</v>
          </cell>
          <cell r="H19">
            <v>200</v>
          </cell>
          <cell r="I19">
            <v>200</v>
          </cell>
          <cell r="J19">
            <v>200</v>
          </cell>
          <cell r="K19">
            <v>200</v>
          </cell>
          <cell r="L19">
            <v>200</v>
          </cell>
          <cell r="M19">
            <v>200</v>
          </cell>
          <cell r="N19">
            <v>200</v>
          </cell>
          <cell r="O19">
            <v>200</v>
          </cell>
          <cell r="P19">
            <v>200</v>
          </cell>
          <cell r="Q19">
            <v>200</v>
          </cell>
          <cell r="R19">
            <v>200</v>
          </cell>
          <cell r="S19">
            <v>200</v>
          </cell>
          <cell r="T19">
            <v>200</v>
          </cell>
          <cell r="U19">
            <v>200</v>
          </cell>
          <cell r="V19">
            <v>200</v>
          </cell>
          <cell r="W19">
            <v>200</v>
          </cell>
          <cell r="X19">
            <v>200</v>
          </cell>
          <cell r="Y19">
            <v>200</v>
          </cell>
          <cell r="Z19">
            <v>200</v>
          </cell>
          <cell r="AA19">
            <v>200</v>
          </cell>
          <cell r="AB19">
            <v>200</v>
          </cell>
          <cell r="AC19">
            <v>200</v>
          </cell>
          <cell r="AD19">
            <v>200</v>
          </cell>
          <cell r="AE19">
            <v>200</v>
          </cell>
          <cell r="AF19">
            <v>200</v>
          </cell>
          <cell r="AG19">
            <v>200</v>
          </cell>
          <cell r="AH19">
            <v>200</v>
          </cell>
          <cell r="AI19">
            <v>200</v>
          </cell>
          <cell r="AJ19">
            <v>200</v>
          </cell>
          <cell r="AK19">
            <v>200</v>
          </cell>
          <cell r="AL19">
            <v>200</v>
          </cell>
          <cell r="AM19">
            <v>200</v>
          </cell>
          <cell r="AN19">
            <v>200</v>
          </cell>
          <cell r="AO19">
            <v>200</v>
          </cell>
          <cell r="AP19">
            <v>200</v>
          </cell>
          <cell r="AQ19">
            <v>200</v>
          </cell>
          <cell r="AR19">
            <v>200</v>
          </cell>
          <cell r="AS19">
            <v>200</v>
          </cell>
          <cell r="AT19">
            <v>200</v>
          </cell>
          <cell r="AU19">
            <v>200</v>
          </cell>
          <cell r="AV19">
            <v>200</v>
          </cell>
          <cell r="AW19">
            <v>200</v>
          </cell>
          <cell r="AX19">
            <v>200</v>
          </cell>
          <cell r="AY19">
            <v>200</v>
          </cell>
          <cell r="AZ19">
            <v>200</v>
          </cell>
          <cell r="BA19">
            <v>200</v>
          </cell>
          <cell r="BB19">
            <v>200</v>
          </cell>
          <cell r="BC19">
            <v>200</v>
          </cell>
          <cell r="BD19">
            <v>200</v>
          </cell>
          <cell r="BE19">
            <v>200</v>
          </cell>
          <cell r="BF19">
            <v>200</v>
          </cell>
        </row>
        <row r="20">
          <cell r="C20" t="str">
            <v>דמי שכירות</v>
          </cell>
          <cell r="D20">
            <v>300</v>
          </cell>
          <cell r="E20">
            <v>300</v>
          </cell>
          <cell r="F20">
            <v>300</v>
          </cell>
          <cell r="G20">
            <v>300</v>
          </cell>
          <cell r="H20">
            <v>300</v>
          </cell>
          <cell r="I20">
            <v>300</v>
          </cell>
          <cell r="J20">
            <v>300</v>
          </cell>
          <cell r="K20">
            <v>300</v>
          </cell>
          <cell r="L20">
            <v>300</v>
          </cell>
          <cell r="M20">
            <v>300</v>
          </cell>
          <cell r="N20">
            <v>300</v>
          </cell>
          <cell r="O20">
            <v>300</v>
          </cell>
          <cell r="P20">
            <v>300</v>
          </cell>
          <cell r="Q20">
            <v>300</v>
          </cell>
          <cell r="R20">
            <v>300</v>
          </cell>
          <cell r="S20">
            <v>300</v>
          </cell>
          <cell r="T20">
            <v>300</v>
          </cell>
          <cell r="U20">
            <v>300</v>
          </cell>
          <cell r="V20">
            <v>300</v>
          </cell>
          <cell r="W20">
            <v>300</v>
          </cell>
          <cell r="X20">
            <v>300</v>
          </cell>
          <cell r="Y20">
            <v>300</v>
          </cell>
          <cell r="Z20">
            <v>300</v>
          </cell>
          <cell r="AA20">
            <v>300</v>
          </cell>
          <cell r="AB20">
            <v>300</v>
          </cell>
          <cell r="AC20">
            <v>300</v>
          </cell>
          <cell r="AD20">
            <v>300</v>
          </cell>
          <cell r="AE20">
            <v>300</v>
          </cell>
          <cell r="AF20">
            <v>300</v>
          </cell>
          <cell r="AG20">
            <v>300</v>
          </cell>
          <cell r="AH20">
            <v>300</v>
          </cell>
          <cell r="AI20">
            <v>300</v>
          </cell>
          <cell r="AJ20">
            <v>300</v>
          </cell>
          <cell r="AK20">
            <v>300</v>
          </cell>
          <cell r="AL20">
            <v>300</v>
          </cell>
          <cell r="AM20">
            <v>300</v>
          </cell>
          <cell r="AN20">
            <v>300</v>
          </cell>
          <cell r="AO20">
            <v>300</v>
          </cell>
          <cell r="AP20">
            <v>300</v>
          </cell>
          <cell r="AQ20">
            <v>300</v>
          </cell>
          <cell r="AR20">
            <v>300</v>
          </cell>
          <cell r="AS20">
            <v>300</v>
          </cell>
          <cell r="AT20">
            <v>300</v>
          </cell>
          <cell r="AU20">
            <v>300</v>
          </cell>
          <cell r="AV20">
            <v>300</v>
          </cell>
          <cell r="AW20">
            <v>300</v>
          </cell>
          <cell r="AX20">
            <v>300</v>
          </cell>
          <cell r="AY20">
            <v>300</v>
          </cell>
          <cell r="AZ20">
            <v>300</v>
          </cell>
          <cell r="BA20">
            <v>300</v>
          </cell>
          <cell r="BB20">
            <v>300</v>
          </cell>
          <cell r="BC20">
            <v>300</v>
          </cell>
          <cell r="BD20">
            <v>300</v>
          </cell>
          <cell r="BE20">
            <v>300</v>
          </cell>
          <cell r="BF20">
            <v>300</v>
          </cell>
        </row>
        <row r="21">
          <cell r="C21" t="str">
            <v>שכר עבודה וכלי רכב-מים</v>
          </cell>
          <cell r="D21">
            <v>1923</v>
          </cell>
          <cell r="E21">
            <v>1923</v>
          </cell>
          <cell r="F21">
            <v>1923</v>
          </cell>
          <cell r="G21">
            <v>1923</v>
          </cell>
          <cell r="H21">
            <v>1923</v>
          </cell>
          <cell r="I21">
            <v>1923</v>
          </cell>
          <cell r="J21">
            <v>1923</v>
          </cell>
          <cell r="K21">
            <v>1923</v>
          </cell>
          <cell r="L21">
            <v>1923</v>
          </cell>
          <cell r="M21">
            <v>1923</v>
          </cell>
          <cell r="N21">
            <v>1923</v>
          </cell>
          <cell r="O21">
            <v>1923</v>
          </cell>
          <cell r="P21">
            <v>1923</v>
          </cell>
          <cell r="Q21">
            <v>1923</v>
          </cell>
          <cell r="R21">
            <v>1923</v>
          </cell>
          <cell r="S21">
            <v>1923</v>
          </cell>
          <cell r="T21">
            <v>1923</v>
          </cell>
          <cell r="U21">
            <v>1923</v>
          </cell>
          <cell r="V21">
            <v>1923</v>
          </cell>
          <cell r="W21">
            <v>1923</v>
          </cell>
          <cell r="X21">
            <v>1923</v>
          </cell>
          <cell r="Y21">
            <v>1923</v>
          </cell>
          <cell r="Z21">
            <v>1923</v>
          </cell>
          <cell r="AA21">
            <v>1923</v>
          </cell>
          <cell r="AB21">
            <v>1923</v>
          </cell>
          <cell r="AC21">
            <v>1923</v>
          </cell>
          <cell r="AD21">
            <v>1923</v>
          </cell>
          <cell r="AE21">
            <v>1923</v>
          </cell>
          <cell r="AF21">
            <v>1923</v>
          </cell>
          <cell r="AG21">
            <v>1923</v>
          </cell>
          <cell r="AH21">
            <v>1923</v>
          </cell>
          <cell r="AI21">
            <v>1923</v>
          </cell>
          <cell r="AJ21">
            <v>1923</v>
          </cell>
          <cell r="AK21">
            <v>1923</v>
          </cell>
          <cell r="AL21">
            <v>1923</v>
          </cell>
          <cell r="AM21">
            <v>1923</v>
          </cell>
          <cell r="AN21">
            <v>1923</v>
          </cell>
          <cell r="AO21">
            <v>1923</v>
          </cell>
          <cell r="AP21">
            <v>1923</v>
          </cell>
          <cell r="AQ21">
            <v>1923</v>
          </cell>
          <cell r="AR21">
            <v>1923</v>
          </cell>
          <cell r="AS21">
            <v>1923</v>
          </cell>
          <cell r="AT21">
            <v>1923</v>
          </cell>
          <cell r="AU21">
            <v>1923</v>
          </cell>
          <cell r="AV21">
            <v>1923</v>
          </cell>
          <cell r="AW21">
            <v>1923</v>
          </cell>
          <cell r="AX21">
            <v>1923</v>
          </cell>
          <cell r="AY21">
            <v>1923</v>
          </cell>
          <cell r="AZ21">
            <v>1923</v>
          </cell>
          <cell r="BA21">
            <v>1923</v>
          </cell>
          <cell r="BB21">
            <v>1923</v>
          </cell>
          <cell r="BC21">
            <v>1923</v>
          </cell>
          <cell r="BD21">
            <v>1923</v>
          </cell>
          <cell r="BE21">
            <v>1923</v>
          </cell>
          <cell r="BF21">
            <v>1923</v>
          </cell>
        </row>
        <row r="22">
          <cell r="C22" t="str">
            <v>שכר עבודה וכלי רכב-ביוב</v>
          </cell>
          <cell r="D22">
            <v>1928.268</v>
          </cell>
          <cell r="E22">
            <v>1928.268</v>
          </cell>
          <cell r="F22">
            <v>1928.268</v>
          </cell>
          <cell r="G22">
            <v>1928.268</v>
          </cell>
          <cell r="H22">
            <v>1928.268</v>
          </cell>
          <cell r="I22">
            <v>1928.268</v>
          </cell>
          <cell r="J22">
            <v>1928.268</v>
          </cell>
          <cell r="K22">
            <v>1928.268</v>
          </cell>
          <cell r="L22">
            <v>1928.268</v>
          </cell>
          <cell r="M22">
            <v>1928.268</v>
          </cell>
          <cell r="N22">
            <v>1928.268</v>
          </cell>
          <cell r="O22">
            <v>1928.268</v>
          </cell>
          <cell r="P22">
            <v>1928.268</v>
          </cell>
          <cell r="Q22">
            <v>1928.268</v>
          </cell>
          <cell r="R22">
            <v>1928.268</v>
          </cell>
          <cell r="S22">
            <v>1928.268</v>
          </cell>
          <cell r="T22">
            <v>1928.268</v>
          </cell>
          <cell r="U22">
            <v>1928.268</v>
          </cell>
          <cell r="V22">
            <v>1928.268</v>
          </cell>
          <cell r="W22">
            <v>1928.268</v>
          </cell>
          <cell r="X22">
            <v>1928.268</v>
          </cell>
          <cell r="Y22">
            <v>1928.268</v>
          </cell>
          <cell r="Z22">
            <v>1928.268</v>
          </cell>
          <cell r="AA22">
            <v>1928.268</v>
          </cell>
          <cell r="AB22">
            <v>1928.268</v>
          </cell>
          <cell r="AC22">
            <v>1928.268</v>
          </cell>
          <cell r="AD22">
            <v>1928.268</v>
          </cell>
          <cell r="AE22">
            <v>1928.268</v>
          </cell>
          <cell r="AF22">
            <v>1928.268</v>
          </cell>
          <cell r="AG22">
            <v>1928.268</v>
          </cell>
          <cell r="AH22">
            <v>1928.268</v>
          </cell>
          <cell r="AI22">
            <v>1928.268</v>
          </cell>
          <cell r="AJ22">
            <v>1928.268</v>
          </cell>
          <cell r="AK22">
            <v>1928.268</v>
          </cell>
          <cell r="AL22">
            <v>1928.268</v>
          </cell>
          <cell r="AM22">
            <v>1928.268</v>
          </cell>
          <cell r="AN22">
            <v>1928.268</v>
          </cell>
          <cell r="AO22">
            <v>1928.268</v>
          </cell>
          <cell r="AP22">
            <v>1928.268</v>
          </cell>
          <cell r="AQ22">
            <v>1928.268</v>
          </cell>
          <cell r="AR22">
            <v>1928.268</v>
          </cell>
          <cell r="AS22">
            <v>1928.268</v>
          </cell>
          <cell r="AT22">
            <v>1928.268</v>
          </cell>
          <cell r="AU22">
            <v>1928.268</v>
          </cell>
          <cell r="AV22">
            <v>1928.268</v>
          </cell>
          <cell r="AW22">
            <v>1928.268</v>
          </cell>
          <cell r="AX22">
            <v>1928.268</v>
          </cell>
          <cell r="AY22">
            <v>1928.268</v>
          </cell>
          <cell r="AZ22">
            <v>1928.268</v>
          </cell>
          <cell r="BA22">
            <v>1928.268</v>
          </cell>
          <cell r="BB22">
            <v>1928.268</v>
          </cell>
          <cell r="BC22">
            <v>1928.268</v>
          </cell>
          <cell r="BD22">
            <v>1928.268</v>
          </cell>
          <cell r="BE22">
            <v>1928.268</v>
          </cell>
          <cell r="BF22">
            <v>1928.268</v>
          </cell>
        </row>
        <row r="23">
          <cell r="C23" t="str">
            <v>ייעוץ מקצועי- ביוב</v>
          </cell>
          <cell r="D23">
            <v>100</v>
          </cell>
          <cell r="E23">
            <v>100</v>
          </cell>
          <cell r="F23">
            <v>100</v>
          </cell>
          <cell r="G23">
            <v>100</v>
          </cell>
          <cell r="H23">
            <v>100</v>
          </cell>
          <cell r="I23">
            <v>100</v>
          </cell>
          <cell r="J23">
            <v>100</v>
          </cell>
          <cell r="K23">
            <v>100</v>
          </cell>
          <cell r="L23">
            <v>100</v>
          </cell>
          <cell r="M23">
            <v>100</v>
          </cell>
          <cell r="N23">
            <v>100</v>
          </cell>
          <cell r="O23">
            <v>100</v>
          </cell>
          <cell r="P23">
            <v>100</v>
          </cell>
          <cell r="Q23">
            <v>100</v>
          </cell>
          <cell r="R23">
            <v>100</v>
          </cell>
          <cell r="S23">
            <v>100</v>
          </cell>
          <cell r="T23">
            <v>100</v>
          </cell>
          <cell r="U23">
            <v>100</v>
          </cell>
          <cell r="V23">
            <v>100</v>
          </cell>
          <cell r="W23">
            <v>100</v>
          </cell>
          <cell r="X23">
            <v>100</v>
          </cell>
          <cell r="Y23">
            <v>100</v>
          </cell>
          <cell r="Z23">
            <v>100</v>
          </cell>
          <cell r="AA23">
            <v>100</v>
          </cell>
          <cell r="AB23">
            <v>100</v>
          </cell>
          <cell r="AC23">
            <v>100</v>
          </cell>
          <cell r="AD23">
            <v>100</v>
          </cell>
          <cell r="AE23">
            <v>100</v>
          </cell>
          <cell r="AF23">
            <v>100</v>
          </cell>
          <cell r="AG23">
            <v>100</v>
          </cell>
          <cell r="AH23">
            <v>100</v>
          </cell>
          <cell r="AI23">
            <v>100</v>
          </cell>
          <cell r="AJ23">
            <v>100</v>
          </cell>
          <cell r="AK23">
            <v>100</v>
          </cell>
          <cell r="AL23">
            <v>100</v>
          </cell>
          <cell r="AM23">
            <v>100</v>
          </cell>
          <cell r="AN23">
            <v>100</v>
          </cell>
          <cell r="AO23">
            <v>100</v>
          </cell>
          <cell r="AP23">
            <v>100</v>
          </cell>
          <cell r="AQ23">
            <v>100</v>
          </cell>
          <cell r="AR23">
            <v>100</v>
          </cell>
          <cell r="AS23">
            <v>100</v>
          </cell>
          <cell r="AT23">
            <v>100</v>
          </cell>
          <cell r="AU23">
            <v>100</v>
          </cell>
          <cell r="AV23">
            <v>100</v>
          </cell>
          <cell r="AW23">
            <v>100</v>
          </cell>
          <cell r="AX23">
            <v>100</v>
          </cell>
          <cell r="AY23">
            <v>100</v>
          </cell>
          <cell r="AZ23">
            <v>100</v>
          </cell>
          <cell r="BA23">
            <v>100</v>
          </cell>
          <cell r="BB23">
            <v>100</v>
          </cell>
          <cell r="BC23">
            <v>100</v>
          </cell>
          <cell r="BD23">
            <v>100</v>
          </cell>
          <cell r="BE23">
            <v>100</v>
          </cell>
          <cell r="BF23">
            <v>100</v>
          </cell>
        </row>
        <row r="24">
          <cell r="C24" t="str">
            <v>הוצאות אחרות-ביוב</v>
          </cell>
          <cell r="D24">
            <v>200</v>
          </cell>
          <cell r="E24">
            <v>200</v>
          </cell>
          <cell r="F24">
            <v>200</v>
          </cell>
          <cell r="G24">
            <v>200</v>
          </cell>
          <cell r="H24">
            <v>200</v>
          </cell>
          <cell r="I24">
            <v>200</v>
          </cell>
          <cell r="J24">
            <v>200</v>
          </cell>
          <cell r="K24">
            <v>200</v>
          </cell>
          <cell r="L24">
            <v>200</v>
          </cell>
          <cell r="M24">
            <v>200</v>
          </cell>
          <cell r="N24">
            <v>200</v>
          </cell>
          <cell r="O24">
            <v>200</v>
          </cell>
          <cell r="P24">
            <v>200</v>
          </cell>
          <cell r="Q24">
            <v>200</v>
          </cell>
          <cell r="R24">
            <v>200</v>
          </cell>
          <cell r="S24">
            <v>200</v>
          </cell>
          <cell r="T24">
            <v>200</v>
          </cell>
          <cell r="U24">
            <v>200</v>
          </cell>
          <cell r="V24">
            <v>200</v>
          </cell>
          <cell r="W24">
            <v>200</v>
          </cell>
          <cell r="X24">
            <v>200</v>
          </cell>
          <cell r="Y24">
            <v>200</v>
          </cell>
          <cell r="Z24">
            <v>200</v>
          </cell>
          <cell r="AA24">
            <v>200</v>
          </cell>
          <cell r="AB24">
            <v>200</v>
          </cell>
          <cell r="AC24">
            <v>200</v>
          </cell>
          <cell r="AD24">
            <v>200</v>
          </cell>
          <cell r="AE24">
            <v>200</v>
          </cell>
          <cell r="AF24">
            <v>200</v>
          </cell>
          <cell r="AG24">
            <v>200</v>
          </cell>
          <cell r="AH24">
            <v>200</v>
          </cell>
          <cell r="AI24">
            <v>200</v>
          </cell>
          <cell r="AJ24">
            <v>200</v>
          </cell>
          <cell r="AK24">
            <v>200</v>
          </cell>
          <cell r="AL24">
            <v>200</v>
          </cell>
          <cell r="AM24">
            <v>200</v>
          </cell>
          <cell r="AN24">
            <v>200</v>
          </cell>
          <cell r="AO24">
            <v>200</v>
          </cell>
          <cell r="AP24">
            <v>200</v>
          </cell>
          <cell r="AQ24">
            <v>200</v>
          </cell>
          <cell r="AR24">
            <v>200</v>
          </cell>
          <cell r="AS24">
            <v>200</v>
          </cell>
          <cell r="AT24">
            <v>200</v>
          </cell>
          <cell r="AU24">
            <v>200</v>
          </cell>
          <cell r="AV24">
            <v>200</v>
          </cell>
          <cell r="AW24">
            <v>200</v>
          </cell>
          <cell r="AX24">
            <v>200</v>
          </cell>
          <cell r="AY24">
            <v>200</v>
          </cell>
          <cell r="AZ24">
            <v>200</v>
          </cell>
          <cell r="BA24">
            <v>200</v>
          </cell>
          <cell r="BB24">
            <v>200</v>
          </cell>
          <cell r="BC24">
            <v>200</v>
          </cell>
          <cell r="BD24">
            <v>200</v>
          </cell>
          <cell r="BE24">
            <v>200</v>
          </cell>
          <cell r="BF24">
            <v>200</v>
          </cell>
        </row>
        <row r="25">
          <cell r="C25" t="str">
            <v>עלות עמלות בנק דואר וכ.א.</v>
          </cell>
          <cell r="D25">
            <v>16.3</v>
          </cell>
          <cell r="E25">
            <v>16.3</v>
          </cell>
          <cell r="F25">
            <v>16.3</v>
          </cell>
          <cell r="G25">
            <v>16.3</v>
          </cell>
          <cell r="H25">
            <v>16.3</v>
          </cell>
          <cell r="I25">
            <v>16.3</v>
          </cell>
          <cell r="J25">
            <v>16.3</v>
          </cell>
          <cell r="K25">
            <v>16.3</v>
          </cell>
          <cell r="L25">
            <v>16.3</v>
          </cell>
          <cell r="M25">
            <v>16.3</v>
          </cell>
          <cell r="N25">
            <v>16.3</v>
          </cell>
          <cell r="O25">
            <v>16.3</v>
          </cell>
          <cell r="P25">
            <v>16.3</v>
          </cell>
          <cell r="Q25">
            <v>16.3</v>
          </cell>
          <cell r="R25">
            <v>16.3</v>
          </cell>
          <cell r="S25">
            <v>16.3</v>
          </cell>
          <cell r="T25">
            <v>16.3</v>
          </cell>
          <cell r="U25">
            <v>16.3</v>
          </cell>
          <cell r="V25">
            <v>16.3</v>
          </cell>
          <cell r="W25">
            <v>16.3</v>
          </cell>
          <cell r="X25">
            <v>16.3</v>
          </cell>
          <cell r="Y25">
            <v>16.3</v>
          </cell>
          <cell r="Z25">
            <v>16.3</v>
          </cell>
          <cell r="AA25">
            <v>16.3</v>
          </cell>
          <cell r="AB25">
            <v>16.3</v>
          </cell>
          <cell r="AC25">
            <v>16.3</v>
          </cell>
          <cell r="AD25">
            <v>16.3</v>
          </cell>
          <cell r="AE25">
            <v>16.3</v>
          </cell>
          <cell r="AF25">
            <v>16.3</v>
          </cell>
          <cell r="AG25">
            <v>16.3</v>
          </cell>
          <cell r="AH25">
            <v>16.3</v>
          </cell>
          <cell r="AI25">
            <v>16.3</v>
          </cell>
          <cell r="AJ25">
            <v>16.3</v>
          </cell>
          <cell r="AK25">
            <v>16.3</v>
          </cell>
          <cell r="AL25">
            <v>16.3</v>
          </cell>
          <cell r="AM25">
            <v>16.3</v>
          </cell>
          <cell r="AN25">
            <v>16.3</v>
          </cell>
          <cell r="AO25">
            <v>16.3</v>
          </cell>
          <cell r="AP25">
            <v>16.3</v>
          </cell>
          <cell r="AQ25">
            <v>16.3</v>
          </cell>
          <cell r="AR25">
            <v>16.3</v>
          </cell>
          <cell r="AS25">
            <v>16.3</v>
          </cell>
          <cell r="AT25">
            <v>16.3</v>
          </cell>
          <cell r="AU25">
            <v>16.3</v>
          </cell>
          <cell r="AV25">
            <v>16.3</v>
          </cell>
          <cell r="AW25">
            <v>16.3</v>
          </cell>
          <cell r="AX25">
            <v>16.3</v>
          </cell>
          <cell r="AY25">
            <v>16.3</v>
          </cell>
          <cell r="AZ25">
            <v>16.3</v>
          </cell>
          <cell r="BA25">
            <v>16.3</v>
          </cell>
          <cell r="BB25">
            <v>16.3</v>
          </cell>
          <cell r="BC25">
            <v>16.3</v>
          </cell>
          <cell r="BD25">
            <v>16.3</v>
          </cell>
          <cell r="BE25">
            <v>16.3</v>
          </cell>
          <cell r="BF25">
            <v>16.3</v>
          </cell>
        </row>
        <row r="26">
          <cell r="C26" t="str">
            <v>עלות עמלות בנק דואר וכ.א.</v>
          </cell>
          <cell r="D26">
            <v>10.8</v>
          </cell>
          <cell r="E26">
            <v>10.8</v>
          </cell>
          <cell r="F26">
            <v>10.8</v>
          </cell>
          <cell r="G26">
            <v>10.8</v>
          </cell>
          <cell r="H26">
            <v>10.8</v>
          </cell>
          <cell r="I26">
            <v>10.8</v>
          </cell>
          <cell r="J26">
            <v>10.8</v>
          </cell>
          <cell r="K26">
            <v>10.8</v>
          </cell>
          <cell r="L26">
            <v>10.8</v>
          </cell>
          <cell r="M26">
            <v>10.8</v>
          </cell>
          <cell r="N26">
            <v>10.8</v>
          </cell>
          <cell r="O26">
            <v>10.8</v>
          </cell>
          <cell r="P26">
            <v>10.8</v>
          </cell>
          <cell r="Q26">
            <v>10.8</v>
          </cell>
          <cell r="R26">
            <v>10.8</v>
          </cell>
          <cell r="S26">
            <v>10.8</v>
          </cell>
          <cell r="T26">
            <v>10.8</v>
          </cell>
          <cell r="U26">
            <v>10.8</v>
          </cell>
          <cell r="V26">
            <v>10.8</v>
          </cell>
          <cell r="W26">
            <v>10.8</v>
          </cell>
          <cell r="X26">
            <v>10.8</v>
          </cell>
          <cell r="Y26">
            <v>10.8</v>
          </cell>
          <cell r="Z26">
            <v>10.8</v>
          </cell>
          <cell r="AA26">
            <v>10.8</v>
          </cell>
          <cell r="AB26">
            <v>10.8</v>
          </cell>
          <cell r="AC26">
            <v>10.8</v>
          </cell>
          <cell r="AD26">
            <v>10.8</v>
          </cell>
          <cell r="AE26">
            <v>10.8</v>
          </cell>
          <cell r="AF26">
            <v>10.8</v>
          </cell>
          <cell r="AG26">
            <v>10.8</v>
          </cell>
          <cell r="AH26">
            <v>10.8</v>
          </cell>
          <cell r="AI26">
            <v>10.8</v>
          </cell>
          <cell r="AJ26">
            <v>10.8</v>
          </cell>
          <cell r="AK26">
            <v>10.8</v>
          </cell>
          <cell r="AL26">
            <v>10.8</v>
          </cell>
          <cell r="AM26">
            <v>10.8</v>
          </cell>
          <cell r="AN26">
            <v>10.8</v>
          </cell>
          <cell r="AO26">
            <v>10.8</v>
          </cell>
          <cell r="AP26">
            <v>10.8</v>
          </cell>
          <cell r="AQ26">
            <v>10.8</v>
          </cell>
          <cell r="AR26">
            <v>10.8</v>
          </cell>
          <cell r="AS26">
            <v>10.8</v>
          </cell>
          <cell r="AT26">
            <v>10.8</v>
          </cell>
          <cell r="AU26">
            <v>10.8</v>
          </cell>
          <cell r="AV26">
            <v>10.8</v>
          </cell>
          <cell r="AW26">
            <v>10.8</v>
          </cell>
          <cell r="AX26">
            <v>10.8</v>
          </cell>
          <cell r="AY26">
            <v>10.8</v>
          </cell>
          <cell r="AZ26">
            <v>10.8</v>
          </cell>
          <cell r="BA26">
            <v>10.8</v>
          </cell>
          <cell r="BB26">
            <v>10.8</v>
          </cell>
          <cell r="BC26">
            <v>10.8</v>
          </cell>
          <cell r="BD26">
            <v>10.8</v>
          </cell>
          <cell r="BE26">
            <v>10.8</v>
          </cell>
          <cell r="BF26">
            <v>10.8</v>
          </cell>
        </row>
        <row r="27">
          <cell r="C27" t="str">
            <v>מיכון - מערכת חיובים</v>
          </cell>
          <cell r="D27">
            <v>7.8000000000000007</v>
          </cell>
          <cell r="E27">
            <v>7.8000000000000007</v>
          </cell>
          <cell r="F27">
            <v>7.8000000000000007</v>
          </cell>
          <cell r="G27">
            <v>7.8000000000000007</v>
          </cell>
          <cell r="H27">
            <v>7.8000000000000007</v>
          </cell>
          <cell r="I27">
            <v>7.8000000000000007</v>
          </cell>
          <cell r="J27">
            <v>7.8000000000000007</v>
          </cell>
          <cell r="K27">
            <v>7.8000000000000007</v>
          </cell>
          <cell r="L27">
            <v>7.8000000000000007</v>
          </cell>
          <cell r="M27">
            <v>7.8000000000000007</v>
          </cell>
          <cell r="N27">
            <v>7.8000000000000007</v>
          </cell>
          <cell r="O27">
            <v>7.8000000000000007</v>
          </cell>
          <cell r="P27">
            <v>7.8000000000000007</v>
          </cell>
          <cell r="Q27">
            <v>7.8000000000000007</v>
          </cell>
          <cell r="R27">
            <v>7.8000000000000007</v>
          </cell>
          <cell r="S27">
            <v>7.8000000000000007</v>
          </cell>
          <cell r="T27">
            <v>7.8000000000000007</v>
          </cell>
          <cell r="U27">
            <v>7.8000000000000007</v>
          </cell>
          <cell r="V27">
            <v>7.8000000000000007</v>
          </cell>
          <cell r="W27">
            <v>7.8000000000000007</v>
          </cell>
          <cell r="X27">
            <v>7.8000000000000007</v>
          </cell>
          <cell r="Y27">
            <v>7.8000000000000007</v>
          </cell>
          <cell r="Z27">
            <v>7.8000000000000007</v>
          </cell>
          <cell r="AA27">
            <v>7.8000000000000007</v>
          </cell>
          <cell r="AB27">
            <v>7.8000000000000007</v>
          </cell>
          <cell r="AC27">
            <v>7.8000000000000007</v>
          </cell>
          <cell r="AD27">
            <v>7.8000000000000007</v>
          </cell>
          <cell r="AE27">
            <v>7.8000000000000007</v>
          </cell>
          <cell r="AF27">
            <v>7.8000000000000007</v>
          </cell>
          <cell r="AG27">
            <v>7.8000000000000007</v>
          </cell>
          <cell r="AH27">
            <v>7.8000000000000007</v>
          </cell>
          <cell r="AI27">
            <v>7.8000000000000007</v>
          </cell>
          <cell r="AJ27">
            <v>7.8000000000000007</v>
          </cell>
          <cell r="AK27">
            <v>7.8000000000000007</v>
          </cell>
          <cell r="AL27">
            <v>7.8000000000000007</v>
          </cell>
          <cell r="AM27">
            <v>7.8000000000000007</v>
          </cell>
          <cell r="AN27">
            <v>7.8000000000000007</v>
          </cell>
          <cell r="AO27">
            <v>7.8000000000000007</v>
          </cell>
          <cell r="AP27">
            <v>7.8000000000000007</v>
          </cell>
          <cell r="AQ27">
            <v>7.8000000000000007</v>
          </cell>
          <cell r="AR27">
            <v>7.8000000000000007</v>
          </cell>
          <cell r="AS27">
            <v>7.8000000000000007</v>
          </cell>
          <cell r="AT27">
            <v>7.8000000000000007</v>
          </cell>
          <cell r="AU27">
            <v>7.8000000000000007</v>
          </cell>
          <cell r="AV27">
            <v>7.8000000000000007</v>
          </cell>
          <cell r="AW27">
            <v>7.8000000000000007</v>
          </cell>
          <cell r="AX27">
            <v>7.8000000000000007</v>
          </cell>
          <cell r="AY27">
            <v>7.8000000000000007</v>
          </cell>
          <cell r="AZ27">
            <v>7.8000000000000007</v>
          </cell>
          <cell r="BA27">
            <v>7.8000000000000007</v>
          </cell>
          <cell r="BB27">
            <v>7.8000000000000007</v>
          </cell>
          <cell r="BC27">
            <v>7.8000000000000007</v>
          </cell>
          <cell r="BD27">
            <v>7.8000000000000007</v>
          </cell>
          <cell r="BE27">
            <v>7.8000000000000007</v>
          </cell>
          <cell r="BF27">
            <v>7.8000000000000007</v>
          </cell>
        </row>
        <row r="28">
          <cell r="C28" t="str">
            <v>עלות חלוקה והפקת שוברים</v>
          </cell>
          <cell r="D28">
            <v>11.4</v>
          </cell>
          <cell r="E28">
            <v>11.4</v>
          </cell>
          <cell r="F28">
            <v>11.4</v>
          </cell>
          <cell r="G28">
            <v>11.4</v>
          </cell>
          <cell r="H28">
            <v>11.4</v>
          </cell>
          <cell r="I28">
            <v>11.4</v>
          </cell>
          <cell r="J28">
            <v>11.4</v>
          </cell>
          <cell r="K28">
            <v>11.4</v>
          </cell>
          <cell r="L28">
            <v>11.4</v>
          </cell>
          <cell r="M28">
            <v>11.4</v>
          </cell>
          <cell r="N28">
            <v>11.4</v>
          </cell>
          <cell r="O28">
            <v>11.4</v>
          </cell>
          <cell r="P28">
            <v>11.4</v>
          </cell>
          <cell r="Q28">
            <v>11.4</v>
          </cell>
          <cell r="R28">
            <v>11.4</v>
          </cell>
          <cell r="S28">
            <v>11.4</v>
          </cell>
          <cell r="T28">
            <v>11.4</v>
          </cell>
          <cell r="U28">
            <v>11.4</v>
          </cell>
          <cell r="V28">
            <v>11.4</v>
          </cell>
          <cell r="W28">
            <v>11.4</v>
          </cell>
          <cell r="X28">
            <v>11.4</v>
          </cell>
          <cell r="Y28">
            <v>11.4</v>
          </cell>
          <cell r="Z28">
            <v>11.4</v>
          </cell>
          <cell r="AA28">
            <v>11.4</v>
          </cell>
          <cell r="AB28">
            <v>11.4</v>
          </cell>
          <cell r="AC28">
            <v>11.4</v>
          </cell>
          <cell r="AD28">
            <v>11.4</v>
          </cell>
          <cell r="AE28">
            <v>11.4</v>
          </cell>
          <cell r="AF28">
            <v>11.4</v>
          </cell>
          <cell r="AG28">
            <v>11.4</v>
          </cell>
          <cell r="AH28">
            <v>11.4</v>
          </cell>
          <cell r="AI28">
            <v>11.4</v>
          </cell>
          <cell r="AJ28">
            <v>11.4</v>
          </cell>
          <cell r="AK28">
            <v>11.4</v>
          </cell>
          <cell r="AL28">
            <v>11.4</v>
          </cell>
          <cell r="AM28">
            <v>11.4</v>
          </cell>
          <cell r="AN28">
            <v>11.4</v>
          </cell>
          <cell r="AO28">
            <v>11.4</v>
          </cell>
          <cell r="AP28">
            <v>11.4</v>
          </cell>
          <cell r="AQ28">
            <v>11.4</v>
          </cell>
          <cell r="AR28">
            <v>11.4</v>
          </cell>
          <cell r="AS28">
            <v>11.4</v>
          </cell>
          <cell r="AT28">
            <v>11.4</v>
          </cell>
          <cell r="AU28">
            <v>11.4</v>
          </cell>
          <cell r="AV28">
            <v>11.4</v>
          </cell>
          <cell r="AW28">
            <v>11.4</v>
          </cell>
          <cell r="AX28">
            <v>11.4</v>
          </cell>
          <cell r="AY28">
            <v>11.4</v>
          </cell>
          <cell r="AZ28">
            <v>11.4</v>
          </cell>
          <cell r="BA28">
            <v>11.4</v>
          </cell>
          <cell r="BB28">
            <v>11.4</v>
          </cell>
          <cell r="BC28">
            <v>11.4</v>
          </cell>
          <cell r="BD28">
            <v>11.4</v>
          </cell>
          <cell r="BE28">
            <v>11.4</v>
          </cell>
          <cell r="BF28">
            <v>11.4</v>
          </cell>
        </row>
        <row r="29">
          <cell r="C29" t="str">
            <v>יעוץ מקצועי-גביה</v>
          </cell>
          <cell r="D29">
            <v>180</v>
          </cell>
          <cell r="E29">
            <v>180</v>
          </cell>
          <cell r="F29">
            <v>180</v>
          </cell>
          <cell r="G29">
            <v>180</v>
          </cell>
          <cell r="H29">
            <v>180</v>
          </cell>
          <cell r="I29">
            <v>180</v>
          </cell>
          <cell r="J29">
            <v>180</v>
          </cell>
          <cell r="K29">
            <v>180</v>
          </cell>
          <cell r="L29">
            <v>180</v>
          </cell>
          <cell r="M29">
            <v>180</v>
          </cell>
          <cell r="N29">
            <v>180</v>
          </cell>
          <cell r="O29">
            <v>180</v>
          </cell>
          <cell r="P29">
            <v>180</v>
          </cell>
          <cell r="Q29">
            <v>180</v>
          </cell>
          <cell r="R29">
            <v>180</v>
          </cell>
          <cell r="S29">
            <v>180</v>
          </cell>
          <cell r="T29">
            <v>180</v>
          </cell>
          <cell r="U29">
            <v>180</v>
          </cell>
          <cell r="V29">
            <v>180</v>
          </cell>
          <cell r="W29">
            <v>180</v>
          </cell>
          <cell r="X29">
            <v>180</v>
          </cell>
          <cell r="Y29">
            <v>180</v>
          </cell>
          <cell r="Z29">
            <v>180</v>
          </cell>
          <cell r="AA29">
            <v>180</v>
          </cell>
          <cell r="AB29">
            <v>180</v>
          </cell>
          <cell r="AC29">
            <v>180</v>
          </cell>
          <cell r="AD29">
            <v>180</v>
          </cell>
          <cell r="AE29">
            <v>180</v>
          </cell>
          <cell r="AF29">
            <v>180</v>
          </cell>
          <cell r="AG29">
            <v>180</v>
          </cell>
          <cell r="AH29">
            <v>180</v>
          </cell>
          <cell r="AI29">
            <v>180</v>
          </cell>
          <cell r="AJ29">
            <v>180</v>
          </cell>
          <cell r="AK29">
            <v>180</v>
          </cell>
          <cell r="AL29">
            <v>180</v>
          </cell>
          <cell r="AM29">
            <v>180</v>
          </cell>
          <cell r="AN29">
            <v>180</v>
          </cell>
          <cell r="AO29">
            <v>180</v>
          </cell>
          <cell r="AP29">
            <v>180</v>
          </cell>
          <cell r="AQ29">
            <v>180</v>
          </cell>
          <cell r="AR29">
            <v>180</v>
          </cell>
          <cell r="AS29">
            <v>180</v>
          </cell>
          <cell r="AT29">
            <v>180</v>
          </cell>
          <cell r="AU29">
            <v>180</v>
          </cell>
          <cell r="AV29">
            <v>180</v>
          </cell>
          <cell r="AW29">
            <v>180</v>
          </cell>
          <cell r="AX29">
            <v>180</v>
          </cell>
          <cell r="AY29">
            <v>180</v>
          </cell>
          <cell r="AZ29">
            <v>180</v>
          </cell>
          <cell r="BA29">
            <v>180</v>
          </cell>
          <cell r="BB29">
            <v>180</v>
          </cell>
          <cell r="BC29">
            <v>180</v>
          </cell>
          <cell r="BD29">
            <v>180</v>
          </cell>
          <cell r="BE29">
            <v>180</v>
          </cell>
          <cell r="BF29">
            <v>180</v>
          </cell>
        </row>
        <row r="30">
          <cell r="C30" t="str">
            <v>פרסום ויחסי ציבור</v>
          </cell>
          <cell r="D30">
            <v>36</v>
          </cell>
          <cell r="E30">
            <v>36</v>
          </cell>
          <cell r="F30">
            <v>36</v>
          </cell>
          <cell r="G30">
            <v>36</v>
          </cell>
          <cell r="H30">
            <v>36</v>
          </cell>
          <cell r="I30">
            <v>36</v>
          </cell>
          <cell r="J30">
            <v>36</v>
          </cell>
          <cell r="K30">
            <v>36</v>
          </cell>
          <cell r="L30">
            <v>36</v>
          </cell>
          <cell r="M30">
            <v>36</v>
          </cell>
          <cell r="N30">
            <v>36</v>
          </cell>
          <cell r="O30">
            <v>36</v>
          </cell>
          <cell r="P30">
            <v>36</v>
          </cell>
          <cell r="Q30">
            <v>36</v>
          </cell>
          <cell r="R30">
            <v>36</v>
          </cell>
          <cell r="S30">
            <v>36</v>
          </cell>
          <cell r="T30">
            <v>36</v>
          </cell>
          <cell r="U30">
            <v>36</v>
          </cell>
          <cell r="V30">
            <v>36</v>
          </cell>
          <cell r="W30">
            <v>36</v>
          </cell>
          <cell r="X30">
            <v>36</v>
          </cell>
          <cell r="Y30">
            <v>36</v>
          </cell>
          <cell r="Z30">
            <v>36</v>
          </cell>
          <cell r="AA30">
            <v>36</v>
          </cell>
          <cell r="AB30">
            <v>36</v>
          </cell>
          <cell r="AC30">
            <v>36</v>
          </cell>
          <cell r="AD30">
            <v>36</v>
          </cell>
          <cell r="AE30">
            <v>36</v>
          </cell>
          <cell r="AF30">
            <v>36</v>
          </cell>
          <cell r="AG30">
            <v>36</v>
          </cell>
          <cell r="AH30">
            <v>36</v>
          </cell>
          <cell r="AI30">
            <v>36</v>
          </cell>
          <cell r="AJ30">
            <v>36</v>
          </cell>
          <cell r="AK30">
            <v>36</v>
          </cell>
          <cell r="AL30">
            <v>36</v>
          </cell>
          <cell r="AM30">
            <v>36</v>
          </cell>
          <cell r="AN30">
            <v>36</v>
          </cell>
          <cell r="AO30">
            <v>36</v>
          </cell>
          <cell r="AP30">
            <v>36</v>
          </cell>
          <cell r="AQ30">
            <v>36</v>
          </cell>
          <cell r="AR30">
            <v>36</v>
          </cell>
          <cell r="AS30">
            <v>36</v>
          </cell>
          <cell r="AT30">
            <v>36</v>
          </cell>
          <cell r="AU30">
            <v>36</v>
          </cell>
          <cell r="AV30">
            <v>36</v>
          </cell>
          <cell r="AW30">
            <v>36</v>
          </cell>
          <cell r="AX30">
            <v>36</v>
          </cell>
          <cell r="AY30">
            <v>36</v>
          </cell>
          <cell r="AZ30">
            <v>36</v>
          </cell>
          <cell r="BA30">
            <v>36</v>
          </cell>
          <cell r="BB30">
            <v>36</v>
          </cell>
          <cell r="BC30">
            <v>36</v>
          </cell>
          <cell r="BD30">
            <v>36</v>
          </cell>
          <cell r="BE30">
            <v>36</v>
          </cell>
          <cell r="BF30">
            <v>36</v>
          </cell>
        </row>
        <row r="31">
          <cell r="C31" t="str">
            <v>כמות תושבים</v>
          </cell>
          <cell r="D31">
            <v>163.30099999999999</v>
          </cell>
          <cell r="E31">
            <v>128.21100000000001</v>
          </cell>
          <cell r="F31">
            <v>52.353999999999999</v>
          </cell>
          <cell r="G31">
            <v>835.93</v>
          </cell>
          <cell r="H31">
            <v>212.27799999999999</v>
          </cell>
          <cell r="I31">
            <v>24.297999999999998</v>
          </cell>
          <cell r="J31">
            <v>73.986000000000004</v>
          </cell>
          <cell r="K31">
            <v>82.489000000000004</v>
          </cell>
          <cell r="L31">
            <v>70.27</v>
          </cell>
          <cell r="M31">
            <v>105.99</v>
          </cell>
          <cell r="N31">
            <v>189.678</v>
          </cell>
          <cell r="O31">
            <v>112.133</v>
          </cell>
          <cell r="P31">
            <v>61.634</v>
          </cell>
          <cell r="Q31">
            <v>46.241999999999997</v>
          </cell>
          <cell r="R31">
            <v>220.70099999999999</v>
          </cell>
          <cell r="S31">
            <v>236.142</v>
          </cell>
          <cell r="T31">
            <v>253.184</v>
          </cell>
          <cell r="U31">
            <v>232.41</v>
          </cell>
          <cell r="V31">
            <v>46.655000000000001</v>
          </cell>
          <cell r="W31">
            <v>112.928</v>
          </cell>
          <cell r="X31">
            <v>67.873999999999995</v>
          </cell>
          <cell r="Y31">
            <v>80.218000000000004</v>
          </cell>
          <cell r="Z31">
            <v>40.267000000000003</v>
          </cell>
          <cell r="AA31">
            <v>52.03</v>
          </cell>
          <cell r="AB31">
            <v>69.108000000000004</v>
          </cell>
          <cell r="AC31">
            <v>47.75</v>
          </cell>
          <cell r="AD31">
            <v>88.733999999999995</v>
          </cell>
          <cell r="AE31">
            <v>42.284999999999997</v>
          </cell>
          <cell r="AF31">
            <v>270.34800000000001</v>
          </cell>
          <cell r="AG31">
            <v>53.792999999999999</v>
          </cell>
          <cell r="AH31">
            <v>44.71</v>
          </cell>
          <cell r="AI31">
            <v>54.881999999999998</v>
          </cell>
          <cell r="AJ31">
            <v>39.917000000000002</v>
          </cell>
          <cell r="AK31">
            <v>48.098999999999997</v>
          </cell>
          <cell r="AL31">
            <v>37.634</v>
          </cell>
          <cell r="AM31">
            <v>404.75</v>
          </cell>
          <cell r="AN31">
            <v>65.233000000000004</v>
          </cell>
          <cell r="AO31">
            <v>148.035</v>
          </cell>
          <cell r="AP31">
            <v>54.728000000000002</v>
          </cell>
          <cell r="AQ31">
            <v>128.15700000000001</v>
          </cell>
          <cell r="AR31">
            <v>33.384</v>
          </cell>
          <cell r="AS31">
            <v>140.13999999999999</v>
          </cell>
          <cell r="AT31">
            <v>46.463999999999999</v>
          </cell>
          <cell r="AU31">
            <v>38.210999999999999</v>
          </cell>
          <cell r="AV31">
            <v>49.942999999999998</v>
          </cell>
          <cell r="AW31">
            <v>71.364000000000004</v>
          </cell>
          <cell r="AX31">
            <v>102.054</v>
          </cell>
          <cell r="AY31">
            <v>145.40700000000001</v>
          </cell>
          <cell r="AZ31">
            <v>69.066999999999993</v>
          </cell>
          <cell r="BA31">
            <v>43.694000000000003</v>
          </cell>
          <cell r="BB31">
            <v>84.209000000000003</v>
          </cell>
          <cell r="BC31">
            <v>52.082000000000001</v>
          </cell>
          <cell r="BD31">
            <v>82.091999999999999</v>
          </cell>
          <cell r="BE31">
            <v>12</v>
          </cell>
          <cell r="BF31">
            <v>13.91</v>
          </cell>
        </row>
        <row r="32">
          <cell r="C32" t="str">
            <v>מספר ישובים בתאגיד</v>
          </cell>
          <cell r="D32">
            <v>1</v>
          </cell>
          <cell r="E32">
            <v>5</v>
          </cell>
          <cell r="F32">
            <v>7</v>
          </cell>
          <cell r="G32">
            <v>3</v>
          </cell>
          <cell r="H32">
            <v>1</v>
          </cell>
          <cell r="I32">
            <v>2</v>
          </cell>
          <cell r="J32">
            <v>7</v>
          </cell>
          <cell r="K32">
            <v>1</v>
          </cell>
          <cell r="L32">
            <v>1</v>
          </cell>
          <cell r="M32">
            <v>3</v>
          </cell>
          <cell r="N32">
            <v>1</v>
          </cell>
          <cell r="O32">
            <v>6</v>
          </cell>
          <cell r="P32">
            <v>3</v>
          </cell>
          <cell r="Q32">
            <v>4</v>
          </cell>
          <cell r="R32">
            <v>2</v>
          </cell>
          <cell r="S32">
            <v>4</v>
          </cell>
          <cell r="T32">
            <v>3</v>
          </cell>
          <cell r="U32">
            <v>1</v>
          </cell>
          <cell r="V32">
            <v>1</v>
          </cell>
          <cell r="W32">
            <v>13</v>
          </cell>
          <cell r="X32">
            <v>1</v>
          </cell>
          <cell r="Y32">
            <v>1</v>
          </cell>
          <cell r="Z32">
            <v>4</v>
          </cell>
          <cell r="AA32">
            <v>2</v>
          </cell>
          <cell r="AB32">
            <v>1</v>
          </cell>
          <cell r="AC32">
            <v>1</v>
          </cell>
          <cell r="AD32">
            <v>1</v>
          </cell>
          <cell r="AE32">
            <v>1</v>
          </cell>
          <cell r="AF32">
            <v>1</v>
          </cell>
          <cell r="AG32">
            <v>2</v>
          </cell>
          <cell r="AH32">
            <v>1</v>
          </cell>
          <cell r="AI32">
            <v>1</v>
          </cell>
          <cell r="AJ32">
            <v>1</v>
          </cell>
          <cell r="AK32">
            <v>2</v>
          </cell>
          <cell r="AL32">
            <v>1</v>
          </cell>
          <cell r="AM32">
            <v>1</v>
          </cell>
          <cell r="AN32">
            <v>5</v>
          </cell>
          <cell r="AO32">
            <v>1</v>
          </cell>
          <cell r="AP32">
            <v>1</v>
          </cell>
          <cell r="AQ32">
            <v>1</v>
          </cell>
          <cell r="AR32">
            <v>1</v>
          </cell>
          <cell r="AS32">
            <v>10</v>
          </cell>
          <cell r="AT32">
            <v>1</v>
          </cell>
          <cell r="AU32">
            <v>1</v>
          </cell>
          <cell r="AV32">
            <v>1</v>
          </cell>
          <cell r="AW32">
            <v>7</v>
          </cell>
          <cell r="AX32">
            <v>7</v>
          </cell>
          <cell r="AY32">
            <v>2</v>
          </cell>
          <cell r="AZ32">
            <v>4</v>
          </cell>
          <cell r="BA32">
            <v>3</v>
          </cell>
          <cell r="BB32">
            <v>1</v>
          </cell>
          <cell r="BC32">
            <v>3</v>
          </cell>
          <cell r="BD32">
            <v>6</v>
          </cell>
          <cell r="BE32">
            <v>2</v>
          </cell>
          <cell r="BF32">
            <v>1</v>
          </cell>
        </row>
        <row r="33">
          <cell r="C33" t="str">
            <v>סיווג תאגיד</v>
          </cell>
          <cell r="D33" t="str">
            <v>חד רשותי</v>
          </cell>
          <cell r="E33" t="str">
            <v>רב רשותי</v>
          </cell>
          <cell r="F33" t="str">
            <v>רב רשותי</v>
          </cell>
          <cell r="G33" t="str">
            <v>רב רשותי</v>
          </cell>
          <cell r="H33" t="str">
            <v>חד רשותי</v>
          </cell>
          <cell r="I33" t="str">
            <v>רב רשותי</v>
          </cell>
          <cell r="J33" t="str">
            <v>רב רשותי</v>
          </cell>
          <cell r="K33" t="str">
            <v>חד רשותי</v>
          </cell>
          <cell r="L33" t="str">
            <v>חד רשותי</v>
          </cell>
          <cell r="M33" t="str">
            <v>רב רשותי</v>
          </cell>
          <cell r="N33" t="str">
            <v>חד רשותי</v>
          </cell>
          <cell r="O33" t="str">
            <v>רב רשותי</v>
          </cell>
          <cell r="P33" t="str">
            <v>רב רשותי</v>
          </cell>
          <cell r="Q33" t="str">
            <v>רב רשותי</v>
          </cell>
          <cell r="R33" t="str">
            <v>רב רשותי</v>
          </cell>
          <cell r="S33" t="str">
            <v>רב רשותי</v>
          </cell>
          <cell r="T33" t="str">
            <v>רב רשותי</v>
          </cell>
          <cell r="U33" t="str">
            <v>חד רשותי</v>
          </cell>
          <cell r="V33" t="str">
            <v>חד רשותי</v>
          </cell>
          <cell r="W33" t="str">
            <v>רב רשותי</v>
          </cell>
          <cell r="X33" t="str">
            <v>חד רשותי</v>
          </cell>
          <cell r="Y33" t="str">
            <v>חד רשותי</v>
          </cell>
          <cell r="Z33" t="str">
            <v>רב רשותי</v>
          </cell>
          <cell r="AA33" t="str">
            <v>רב רשותי</v>
          </cell>
          <cell r="AB33" t="str">
            <v>חד רשותי</v>
          </cell>
          <cell r="AC33" t="str">
            <v>חד רשותי</v>
          </cell>
          <cell r="AD33" t="str">
            <v>חד רשותי</v>
          </cell>
          <cell r="AE33" t="str">
            <v>חד רשותי</v>
          </cell>
          <cell r="AF33" t="str">
            <v>חד רשותי</v>
          </cell>
          <cell r="AG33" t="str">
            <v>רב רשותי</v>
          </cell>
          <cell r="AH33" t="str">
            <v>חד רשותי</v>
          </cell>
          <cell r="AI33" t="str">
            <v>חד רשותי</v>
          </cell>
          <cell r="AJ33" t="str">
            <v>חד רשותי</v>
          </cell>
          <cell r="AK33" t="str">
            <v>רב רשותי</v>
          </cell>
          <cell r="AL33" t="str">
            <v>חד רשותי</v>
          </cell>
          <cell r="AM33" t="str">
            <v>חד רשותי</v>
          </cell>
          <cell r="AN33" t="str">
            <v>רב רשותי</v>
          </cell>
          <cell r="AO33" t="str">
            <v>חד רשותי</v>
          </cell>
          <cell r="AP33" t="str">
            <v>חד רשותי</v>
          </cell>
          <cell r="AQ33" t="str">
            <v>חד רשותי</v>
          </cell>
          <cell r="AR33" t="str">
            <v>חד רשותי</v>
          </cell>
          <cell r="AS33" t="str">
            <v>רב רשותי</v>
          </cell>
          <cell r="AT33" t="str">
            <v>חד רשותי</v>
          </cell>
          <cell r="AU33" t="str">
            <v>חד רשותי</v>
          </cell>
          <cell r="AV33" t="str">
            <v>חד רשותי</v>
          </cell>
          <cell r="AW33" t="str">
            <v>רב רשותי</v>
          </cell>
          <cell r="AX33" t="str">
            <v>רב רשותי</v>
          </cell>
          <cell r="AY33" t="str">
            <v>רב רשותי</v>
          </cell>
          <cell r="AZ33" t="str">
            <v>רב רשותי</v>
          </cell>
          <cell r="BA33" t="str">
            <v>רב רשותי</v>
          </cell>
          <cell r="BB33" t="str">
            <v>חד רשותי</v>
          </cell>
          <cell r="BC33" t="str">
            <v>רב רשותי</v>
          </cell>
          <cell r="BD33" t="str">
            <v>רב רשותי</v>
          </cell>
          <cell r="BE33" t="str">
            <v>רב רשותי</v>
          </cell>
          <cell r="BF33" t="str">
            <v>חד רשותי</v>
          </cell>
        </row>
        <row r="34">
          <cell r="C34">
            <v>0</v>
          </cell>
          <cell r="D34">
            <v>0</v>
          </cell>
        </row>
        <row r="35">
          <cell r="C35">
            <v>0</v>
          </cell>
          <cell r="D35">
            <v>0</v>
          </cell>
          <cell r="G35">
            <v>1.3471808166666666</v>
          </cell>
        </row>
        <row r="36">
          <cell r="C36" t="str">
            <v>משכורות ונלוות-מים</v>
          </cell>
          <cell r="D36">
            <v>518.87684090140067</v>
          </cell>
          <cell r="E36">
            <v>452.78518590283221</v>
          </cell>
          <cell r="F36">
            <v>395.79710726835992</v>
          </cell>
          <cell r="G36">
            <v>2376.4530148639537</v>
          </cell>
          <cell r="H36">
            <v>798.7871108581254</v>
          </cell>
          <cell r="I36">
            <v>576.9</v>
          </cell>
          <cell r="J36">
            <v>230.53522845931792</v>
          </cell>
          <cell r="K36">
            <v>326.68507769687039</v>
          </cell>
          <cell r="L36">
            <v>238.63075817828812</v>
          </cell>
          <cell r="M36">
            <v>476.70017306613613</v>
          </cell>
          <cell r="N36">
            <v>733.86711136479062</v>
          </cell>
          <cell r="O36">
            <v>365.24645647697184</v>
          </cell>
          <cell r="P36">
            <v>249.19974614688374</v>
          </cell>
          <cell r="Q36">
            <v>431.67969489190733</v>
          </cell>
          <cell r="R36">
            <v>935.27132542719846</v>
          </cell>
          <cell r="S36">
            <v>863.58127528347188</v>
          </cell>
          <cell r="T36">
            <v>906.79354900494127</v>
          </cell>
          <cell r="U36">
            <v>889.39157072831097</v>
          </cell>
          <cell r="V36">
            <v>903.80999999999983</v>
          </cell>
          <cell r="W36">
            <v>734.48577784848749</v>
          </cell>
          <cell r="X36">
            <v>214.27752349843294</v>
          </cell>
          <cell r="Y36">
            <v>277.44717946802433</v>
          </cell>
          <cell r="Z36">
            <v>250.26885005247959</v>
          </cell>
          <cell r="AA36">
            <v>170.68349994378335</v>
          </cell>
          <cell r="AB36">
            <v>330.40079246311274</v>
          </cell>
          <cell r="AC36">
            <v>352.26783102237073</v>
          </cell>
          <cell r="AD36">
            <v>513.62295265325599</v>
          </cell>
          <cell r="AE36">
            <v>230.64242292558524</v>
          </cell>
          <cell r="AF36">
            <v>1105.156509528626</v>
          </cell>
          <cell r="AG36">
            <v>252.87310078465731</v>
          </cell>
          <cell r="AH36">
            <v>286.69513287564496</v>
          </cell>
          <cell r="AI36">
            <v>148.45886298288593</v>
          </cell>
          <cell r="AJ36">
            <v>169.35063636037927</v>
          </cell>
          <cell r="AK36">
            <v>145.63059995446133</v>
          </cell>
          <cell r="AL36">
            <v>137.24868100864646</v>
          </cell>
          <cell r="AM36">
            <v>1949.1475342800277</v>
          </cell>
          <cell r="AN36">
            <v>254.22979353765882</v>
          </cell>
          <cell r="AO36">
            <v>505.60779265022819</v>
          </cell>
          <cell r="AP36">
            <v>156.65610986974426</v>
          </cell>
          <cell r="AQ36">
            <v>430.44018694861666</v>
          </cell>
          <cell r="AR36">
            <v>126.17026668520479</v>
          </cell>
          <cell r="AS36">
            <v>487.46837630785728</v>
          </cell>
          <cell r="AT36">
            <v>163.16369541454731</v>
          </cell>
          <cell r="AU36">
            <v>128.95175925883228</v>
          </cell>
          <cell r="AV36">
            <v>224.08431360316141</v>
          </cell>
          <cell r="AW36">
            <v>386.23872079591166</v>
          </cell>
          <cell r="AX36">
            <v>516.64593844008289</v>
          </cell>
          <cell r="AY36">
            <v>605.33243932647417</v>
          </cell>
          <cell r="AZ36">
            <v>333.81889963951579</v>
          </cell>
          <cell r="BA36">
            <v>169.86603531332966</v>
          </cell>
          <cell r="BB36">
            <v>246.89675954814203</v>
          </cell>
          <cell r="BC36">
            <v>257.21011127339983</v>
          </cell>
          <cell r="BD36">
            <v>273.69805201508052</v>
          </cell>
          <cell r="BE36">
            <v>58.593174852944301</v>
          </cell>
          <cell r="BF36">
            <v>53.662341655065198</v>
          </cell>
        </row>
        <row r="37">
          <cell r="C37" t="str">
            <v>אנרגיה-מים</v>
          </cell>
          <cell r="D37">
            <v>445</v>
          </cell>
          <cell r="E37">
            <v>0</v>
          </cell>
          <cell r="F37">
            <v>183.75</v>
          </cell>
          <cell r="G37">
            <v>1777.0000000000002</v>
          </cell>
          <cell r="H37">
            <v>850</v>
          </cell>
          <cell r="I37">
            <v>70</v>
          </cell>
          <cell r="J37">
            <v>260</v>
          </cell>
          <cell r="K37">
            <v>118</v>
          </cell>
          <cell r="L37">
            <v>0</v>
          </cell>
          <cell r="M37">
            <v>124</v>
          </cell>
          <cell r="N37">
            <v>254</v>
          </cell>
          <cell r="O37">
            <v>805</v>
          </cell>
          <cell r="P37">
            <v>100</v>
          </cell>
          <cell r="Q37">
            <v>94</v>
          </cell>
          <cell r="R37">
            <v>1330</v>
          </cell>
          <cell r="S37">
            <v>340</v>
          </cell>
          <cell r="T37">
            <v>795</v>
          </cell>
          <cell r="U37">
            <v>1393.0000000000002</v>
          </cell>
          <cell r="V37">
            <v>400</v>
          </cell>
          <cell r="W37">
            <v>598</v>
          </cell>
          <cell r="X37">
            <v>209</v>
          </cell>
          <cell r="Y37">
            <v>313</v>
          </cell>
          <cell r="Z37">
            <v>0</v>
          </cell>
          <cell r="AA37">
            <v>137</v>
          </cell>
          <cell r="AB37">
            <v>548</v>
          </cell>
          <cell r="AC37">
            <v>0</v>
          </cell>
          <cell r="AD37">
            <v>267</v>
          </cell>
          <cell r="AE37">
            <v>536</v>
          </cell>
          <cell r="AF37">
            <v>6684</v>
          </cell>
          <cell r="AG37">
            <v>106.99999999999999</v>
          </cell>
          <cell r="AH37">
            <v>0</v>
          </cell>
          <cell r="AI37">
            <v>0</v>
          </cell>
          <cell r="AJ37">
            <v>200</v>
          </cell>
          <cell r="AK37">
            <v>1</v>
          </cell>
          <cell r="AL37">
            <v>0</v>
          </cell>
          <cell r="AM37">
            <v>200.00000000000003</v>
          </cell>
          <cell r="AN37">
            <v>400</v>
          </cell>
          <cell r="AO37">
            <v>150</v>
          </cell>
          <cell r="AP37">
            <v>0</v>
          </cell>
          <cell r="AQ37">
            <v>0</v>
          </cell>
          <cell r="AR37">
            <v>0</v>
          </cell>
          <cell r="AS37">
            <v>1110</v>
          </cell>
          <cell r="AT37">
            <v>199</v>
          </cell>
          <cell r="AU37">
            <v>0</v>
          </cell>
          <cell r="AV37">
            <v>307</v>
          </cell>
          <cell r="AW37">
            <v>146</v>
          </cell>
          <cell r="AX37">
            <v>0</v>
          </cell>
          <cell r="AY37">
            <v>37</v>
          </cell>
          <cell r="AZ37">
            <v>0</v>
          </cell>
          <cell r="BA37">
            <v>278</v>
          </cell>
          <cell r="BB37">
            <v>70</v>
          </cell>
          <cell r="BC37">
            <v>200.00000000000003</v>
          </cell>
          <cell r="BD37">
            <v>0</v>
          </cell>
          <cell r="BE37">
            <v>0</v>
          </cell>
          <cell r="BF37">
            <v>0</v>
          </cell>
        </row>
        <row r="38">
          <cell r="C38" t="str">
            <v>אחזקת רשת מים</v>
          </cell>
          <cell r="D38">
            <v>1534.49676</v>
          </cell>
          <cell r="E38">
            <v>1903.6278</v>
          </cell>
          <cell r="F38">
            <v>1251.6219599999999</v>
          </cell>
          <cell r="G38">
            <v>17759.359179999999</v>
          </cell>
          <cell r="H38">
            <v>2756.88</v>
          </cell>
          <cell r="I38">
            <v>722.44551999999999</v>
          </cell>
          <cell r="J38">
            <v>1495.7871400000004</v>
          </cell>
          <cell r="K38">
            <v>1943.0399600000001</v>
          </cell>
          <cell r="L38">
            <v>982.95665999999994</v>
          </cell>
          <cell r="M38">
            <v>2064.6574600000004</v>
          </cell>
          <cell r="N38">
            <v>4419.1235200000001</v>
          </cell>
          <cell r="O38">
            <v>1628.3608999999999</v>
          </cell>
          <cell r="P38">
            <v>1456.6559599999998</v>
          </cell>
          <cell r="Q38">
            <v>2389.2146400000001</v>
          </cell>
          <cell r="R38">
            <v>4963.1614600000003</v>
          </cell>
          <cell r="S38">
            <v>3917.9170799999997</v>
          </cell>
          <cell r="T38">
            <v>5835.5232999999998</v>
          </cell>
          <cell r="U38">
            <v>6291.3740399999997</v>
          </cell>
          <cell r="V38">
            <v>1414.0620000000001</v>
          </cell>
          <cell r="W38">
            <v>2651.5268800000003</v>
          </cell>
          <cell r="X38">
            <v>769.58456000000012</v>
          </cell>
          <cell r="Y38">
            <v>2117.3182200000001</v>
          </cell>
          <cell r="Z38">
            <v>1156.79126</v>
          </cell>
          <cell r="AA38">
            <v>1099.07674</v>
          </cell>
          <cell r="AB38">
            <v>2246.8747800000001</v>
          </cell>
          <cell r="AC38">
            <v>1001.7502000000002</v>
          </cell>
          <cell r="AD38">
            <v>2418.4131600000001</v>
          </cell>
          <cell r="AE38">
            <v>1073.7624800000001</v>
          </cell>
          <cell r="AF38">
            <v>8486.2642000000014</v>
          </cell>
          <cell r="AG38">
            <v>1422.20346</v>
          </cell>
          <cell r="AH38">
            <v>1090.06808</v>
          </cell>
          <cell r="AI38">
            <v>1013.918</v>
          </cell>
          <cell r="AJ38">
            <v>957.11579999999992</v>
          </cell>
          <cell r="AK38">
            <v>662.20766000000003</v>
          </cell>
          <cell r="AL38">
            <v>553.07316000000003</v>
          </cell>
          <cell r="AM38">
            <v>12416.331440000002</v>
          </cell>
          <cell r="AN38">
            <v>2006.6260399999999</v>
          </cell>
          <cell r="AO38">
            <v>3162.9964399999994</v>
          </cell>
          <cell r="AP38">
            <v>1015.54306</v>
          </cell>
          <cell r="AQ38">
            <v>1673.4815599999999</v>
          </cell>
          <cell r="AR38">
            <v>733.13754000000006</v>
          </cell>
          <cell r="AS38">
            <v>2299.4593400000003</v>
          </cell>
          <cell r="AT38">
            <v>1338.55484</v>
          </cell>
          <cell r="AU38">
            <v>518.93769999999995</v>
          </cell>
          <cell r="AV38">
            <v>1174.8244</v>
          </cell>
          <cell r="AW38">
            <v>1614.4719399999999</v>
          </cell>
          <cell r="AX38">
            <v>1479.95234</v>
          </cell>
          <cell r="AY38">
            <v>2649.3752600000003</v>
          </cell>
          <cell r="AZ38">
            <v>1798.0537200000001</v>
          </cell>
          <cell r="BA38">
            <v>1171.17806</v>
          </cell>
          <cell r="BB38">
            <v>1280.5008400000002</v>
          </cell>
          <cell r="BC38">
            <v>786.40645999999992</v>
          </cell>
          <cell r="BD38">
            <v>1529.7774200000001</v>
          </cell>
          <cell r="BE38">
            <v>346.65000000000003</v>
          </cell>
          <cell r="BF38">
            <v>223.7902</v>
          </cell>
        </row>
        <row r="39">
          <cell r="C39" t="str">
            <v>אחזקת מתקנים-מים</v>
          </cell>
          <cell r="D39">
            <v>159.8912</v>
          </cell>
          <cell r="E39">
            <v>133.965205</v>
          </cell>
          <cell r="F39">
            <v>97.030999999999992</v>
          </cell>
          <cell r="G39">
            <v>2061.1137224999998</v>
          </cell>
          <cell r="H39">
            <v>332.79250000000002</v>
          </cell>
          <cell r="I39">
            <v>134.55000000000001</v>
          </cell>
          <cell r="J39">
            <v>118.740425</v>
          </cell>
          <cell r="K39">
            <v>213.29183499999999</v>
          </cell>
          <cell r="L39">
            <v>44.803575000000002</v>
          </cell>
          <cell r="M39">
            <v>437.96742500000005</v>
          </cell>
          <cell r="N39">
            <v>304.15750000000003</v>
          </cell>
          <cell r="O39">
            <v>164.90127750000002</v>
          </cell>
          <cell r="P39">
            <v>104.48430249999998</v>
          </cell>
          <cell r="Q39">
            <v>775.63499999999999</v>
          </cell>
          <cell r="R39">
            <v>628.02200000000005</v>
          </cell>
          <cell r="S39">
            <v>91.19</v>
          </cell>
          <cell r="T39">
            <v>779.35213249999993</v>
          </cell>
          <cell r="U39">
            <v>1300.4625000000001</v>
          </cell>
          <cell r="V39">
            <v>136.82</v>
          </cell>
          <cell r="W39">
            <v>157.61250000000001</v>
          </cell>
          <cell r="X39">
            <v>247.065</v>
          </cell>
          <cell r="Y39">
            <v>189.92500000000001</v>
          </cell>
          <cell r="Z39">
            <v>64.279999999999987</v>
          </cell>
          <cell r="AA39">
            <v>90.999999999999986</v>
          </cell>
          <cell r="AB39">
            <v>420.735275</v>
          </cell>
          <cell r="AC39">
            <v>59.999999999999993</v>
          </cell>
          <cell r="AD39">
            <v>335.49684999999999</v>
          </cell>
          <cell r="AE39">
            <v>203.75749999999999</v>
          </cell>
          <cell r="AF39">
            <v>2070.3183000000004</v>
          </cell>
          <cell r="AG39">
            <v>153.05300000000003</v>
          </cell>
          <cell r="AH39">
            <v>55.470299999999995</v>
          </cell>
          <cell r="AI39">
            <v>60.25</v>
          </cell>
          <cell r="AJ39">
            <v>103.95</v>
          </cell>
          <cell r="AK39">
            <v>3.2235675000000006</v>
          </cell>
          <cell r="AL39">
            <v>0</v>
          </cell>
          <cell r="AM39">
            <v>338.62400000000002</v>
          </cell>
          <cell r="AN39">
            <v>198.00077499999998</v>
          </cell>
          <cell r="AO39">
            <v>308.25532500000003</v>
          </cell>
          <cell r="AP39">
            <v>91.5</v>
          </cell>
          <cell r="AQ39">
            <v>62.5075</v>
          </cell>
          <cell r="AR39">
            <v>208.71749999999997</v>
          </cell>
          <cell r="AS39">
            <v>654.41967499999998</v>
          </cell>
          <cell r="AT39">
            <v>89.2</v>
          </cell>
          <cell r="AU39">
            <v>0</v>
          </cell>
          <cell r="AV39">
            <v>220</v>
          </cell>
          <cell r="AW39">
            <v>190.52279999999999</v>
          </cell>
          <cell r="AX39">
            <v>54.792247500000002</v>
          </cell>
          <cell r="AY39">
            <v>94.113775000000004</v>
          </cell>
          <cell r="AZ39">
            <v>164.41809999999998</v>
          </cell>
          <cell r="BA39">
            <v>133.83250000000001</v>
          </cell>
          <cell r="BB39">
            <v>137.7355</v>
          </cell>
          <cell r="BC39">
            <v>51.802624999999999</v>
          </cell>
          <cell r="BD39">
            <v>26.15</v>
          </cell>
          <cell r="BE39">
            <v>5.4875000000000007</v>
          </cell>
          <cell r="BF39">
            <v>111.00000000000001</v>
          </cell>
        </row>
        <row r="40">
          <cell r="C40" t="str">
            <v>חומרים</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row>
        <row r="41">
          <cell r="C41" t="str">
            <v>ארנונה ואבטחה</v>
          </cell>
          <cell r="D41">
            <v>241.76095999999998</v>
          </cell>
          <cell r="E41">
            <v>229.65387999999999</v>
          </cell>
          <cell r="F41">
            <v>180.80480000000003</v>
          </cell>
          <cell r="G41">
            <v>4474.3876799999998</v>
          </cell>
          <cell r="H41">
            <v>457.04</v>
          </cell>
          <cell r="I41">
            <v>190.94</v>
          </cell>
          <cell r="J41">
            <v>185.53173999999999</v>
          </cell>
          <cell r="K41">
            <v>280.82156000000003</v>
          </cell>
          <cell r="L41">
            <v>66.642859999999999</v>
          </cell>
          <cell r="M41">
            <v>727.19304</v>
          </cell>
          <cell r="N41">
            <v>525.02</v>
          </cell>
          <cell r="O41">
            <v>256.30748</v>
          </cell>
          <cell r="P41">
            <v>153.27897999999999</v>
          </cell>
          <cell r="Q41">
            <v>882.00000000000011</v>
          </cell>
          <cell r="R41">
            <v>949.71759999999995</v>
          </cell>
          <cell r="S41">
            <v>100.95200000000001</v>
          </cell>
          <cell r="T41">
            <v>977.63888000000009</v>
          </cell>
          <cell r="U41">
            <v>1898.78</v>
          </cell>
          <cell r="V41">
            <v>282.90199999999999</v>
          </cell>
          <cell r="W41">
            <v>304.59000000000003</v>
          </cell>
          <cell r="X41">
            <v>244.32799999999997</v>
          </cell>
          <cell r="Y41">
            <v>241.54000000000002</v>
          </cell>
          <cell r="Z41">
            <v>157.488</v>
          </cell>
          <cell r="AA41">
            <v>140</v>
          </cell>
          <cell r="AB41">
            <v>736.84821999999997</v>
          </cell>
          <cell r="AC41">
            <v>160</v>
          </cell>
          <cell r="AD41">
            <v>588.57748000000004</v>
          </cell>
          <cell r="AE41">
            <v>354.54</v>
          </cell>
          <cell r="AF41">
            <v>2680.1446400000004</v>
          </cell>
          <cell r="AG41">
            <v>212.92440000000002</v>
          </cell>
          <cell r="AH41">
            <v>147.92080000000001</v>
          </cell>
          <cell r="AI41">
            <v>119.60000000000002</v>
          </cell>
          <cell r="AJ41">
            <v>213.36000000000004</v>
          </cell>
          <cell r="AK41">
            <v>8.5961800000000004</v>
          </cell>
          <cell r="AL41">
            <v>0</v>
          </cell>
          <cell r="AM41">
            <v>581.30579999999998</v>
          </cell>
          <cell r="AN41">
            <v>294.20062000000001</v>
          </cell>
          <cell r="AO41">
            <v>416.70425999999992</v>
          </cell>
          <cell r="AP41">
            <v>118.00000000000001</v>
          </cell>
          <cell r="AQ41">
            <v>148.02000000000001</v>
          </cell>
          <cell r="AR41">
            <v>324.18</v>
          </cell>
          <cell r="AS41">
            <v>690.13573999999994</v>
          </cell>
          <cell r="AT41">
            <v>219.75999999999996</v>
          </cell>
          <cell r="AU41">
            <v>0</v>
          </cell>
          <cell r="AV41">
            <v>309</v>
          </cell>
          <cell r="AW41">
            <v>301.56023999999996</v>
          </cell>
          <cell r="AX41">
            <v>115.03265999999999</v>
          </cell>
          <cell r="AY41">
            <v>203.04102</v>
          </cell>
          <cell r="AZ41">
            <v>373.60847999999999</v>
          </cell>
          <cell r="BA41">
            <v>145.58000000000001</v>
          </cell>
          <cell r="BB41">
            <v>275.62639999999999</v>
          </cell>
          <cell r="BC41">
            <v>76.442099999999996</v>
          </cell>
          <cell r="BD41">
            <v>50.6</v>
          </cell>
          <cell r="BE41">
            <v>4.3899999999999997</v>
          </cell>
          <cell r="BF41">
            <v>156</v>
          </cell>
        </row>
        <row r="42">
          <cell r="C42" t="str">
            <v>ביטוח-מים</v>
          </cell>
          <cell r="D42">
            <v>80.948025101622576</v>
          </cell>
          <cell r="E42">
            <v>70.637314493421556</v>
          </cell>
          <cell r="F42">
            <v>61.7468186066084</v>
          </cell>
          <cell r="G42">
            <v>370.74149997877589</v>
          </cell>
          <cell r="H42">
            <v>124.61577392482457</v>
          </cell>
          <cell r="I42">
            <v>90</v>
          </cell>
          <cell r="J42">
            <v>35.964934237023073</v>
          </cell>
          <cell r="K42">
            <v>50.964910717140462</v>
          </cell>
          <cell r="L42">
            <v>37.227887391308592</v>
          </cell>
          <cell r="M42">
            <v>74.368201726386289</v>
          </cell>
          <cell r="N42">
            <v>114.48784888686284</v>
          </cell>
          <cell r="O42">
            <v>56.980726439465194</v>
          </cell>
          <cell r="P42">
            <v>38.876715467532563</v>
          </cell>
          <cell r="Q42">
            <v>67.344726192185234</v>
          </cell>
          <cell r="R42">
            <v>145.90816309316668</v>
          </cell>
          <cell r="S42">
            <v>134.72406790693788</v>
          </cell>
          <cell r="T42">
            <v>141.46545226286136</v>
          </cell>
          <cell r="U42">
            <v>138.75063505901886</v>
          </cell>
          <cell r="V42">
            <v>141</v>
          </cell>
          <cell r="W42">
            <v>114.5843647189528</v>
          </cell>
          <cell r="X42">
            <v>33.428630810987983</v>
          </cell>
          <cell r="Y42">
            <v>43.283491336665257</v>
          </cell>
          <cell r="Z42">
            <v>39.043502348280747</v>
          </cell>
          <cell r="AA42">
            <v>26.627691098874156</v>
          </cell>
          <cell r="AB42">
            <v>51.544585407661899</v>
          </cell>
          <cell r="AC42">
            <v>54.955979878684985</v>
          </cell>
          <cell r="AD42">
            <v>80.128385749337923</v>
          </cell>
          <cell r="AE42">
            <v>35.981657242681003</v>
          </cell>
          <cell r="AF42">
            <v>172.41131193894319</v>
          </cell>
          <cell r="AG42">
            <v>39.449781713675087</v>
          </cell>
          <cell r="AH42">
            <v>44.726229777791723</v>
          </cell>
          <cell r="AI42">
            <v>23.160509045692031</v>
          </cell>
          <cell r="AJ42">
            <v>26.419756062461662</v>
          </cell>
          <cell r="AK42">
            <v>22.719282364190533</v>
          </cell>
          <cell r="AL42">
            <v>21.411650703376981</v>
          </cell>
          <cell r="AM42">
            <v>304.07917851482495</v>
          </cell>
          <cell r="AN42">
            <v>39.661434249244749</v>
          </cell>
          <cell r="AO42">
            <v>78.877970772266494</v>
          </cell>
          <cell r="AP42">
            <v>24.439330712908621</v>
          </cell>
          <cell r="AQ42">
            <v>67.151355218192933</v>
          </cell>
          <cell r="AR42">
            <v>19.683348936849423</v>
          </cell>
          <cell r="AS42">
            <v>76.048108628370869</v>
          </cell>
          <cell r="AT42">
            <v>25.454554666856048</v>
          </cell>
          <cell r="AU42">
            <v>20.117279135543257</v>
          </cell>
          <cell r="AV42">
            <v>34.958551264143743</v>
          </cell>
          <cell r="AW42">
            <v>60.25565067018902</v>
          </cell>
          <cell r="AX42">
            <v>80.599990396268765</v>
          </cell>
          <cell r="AY42">
            <v>94.435637960448389</v>
          </cell>
          <cell r="AZ42">
            <v>52.077831457022747</v>
          </cell>
          <cell r="BA42">
            <v>26.500161515340036</v>
          </cell>
          <cell r="BB42">
            <v>38.517435186917631</v>
          </cell>
          <cell r="BC42">
            <v>40.126382413946928</v>
          </cell>
          <cell r="BD42">
            <v>42.698604058514903</v>
          </cell>
          <cell r="BE42">
            <v>9.1409009130958339</v>
          </cell>
          <cell r="BF42">
            <v>8.3716601645967543</v>
          </cell>
        </row>
        <row r="43">
          <cell r="C43" t="str">
            <v>הוצאות אחרות</v>
          </cell>
          <cell r="D43">
            <v>107.93070013549676</v>
          </cell>
          <cell r="E43">
            <v>94.183085991228751</v>
          </cell>
          <cell r="F43">
            <v>82.329091475477881</v>
          </cell>
          <cell r="G43">
            <v>494.32199997170125</v>
          </cell>
          <cell r="H43">
            <v>166.15436523309944</v>
          </cell>
          <cell r="I43">
            <v>119.99999999999999</v>
          </cell>
          <cell r="J43">
            <v>47.953245649364099</v>
          </cell>
          <cell r="K43">
            <v>67.953214289520616</v>
          </cell>
          <cell r="L43">
            <v>49.63718318841147</v>
          </cell>
          <cell r="M43">
            <v>99.157602301848385</v>
          </cell>
          <cell r="N43">
            <v>152.65046518248377</v>
          </cell>
          <cell r="O43">
            <v>75.974301919286916</v>
          </cell>
          <cell r="P43">
            <v>51.835620623376755</v>
          </cell>
          <cell r="Q43">
            <v>89.792968256246994</v>
          </cell>
          <cell r="R43">
            <v>194.54421745755556</v>
          </cell>
          <cell r="S43">
            <v>179.63209054258382</v>
          </cell>
          <cell r="T43">
            <v>188.62060301714848</v>
          </cell>
          <cell r="U43">
            <v>185.0008467453585</v>
          </cell>
          <cell r="V43">
            <v>188</v>
          </cell>
          <cell r="W43">
            <v>152.77915295860376</v>
          </cell>
          <cell r="X43">
            <v>44.571507747983972</v>
          </cell>
          <cell r="Y43">
            <v>57.711321782220352</v>
          </cell>
          <cell r="Z43">
            <v>52.058003131040991</v>
          </cell>
          <cell r="AA43">
            <v>35.503588131832217</v>
          </cell>
          <cell r="AB43">
            <v>68.726113876882522</v>
          </cell>
          <cell r="AC43">
            <v>73.274639838246642</v>
          </cell>
          <cell r="AD43">
            <v>106.83784766578388</v>
          </cell>
          <cell r="AE43">
            <v>47.975542990241337</v>
          </cell>
          <cell r="AF43">
            <v>229.88174925192425</v>
          </cell>
          <cell r="AG43">
            <v>52.599708951566789</v>
          </cell>
          <cell r="AH43">
            <v>59.634973037055637</v>
          </cell>
          <cell r="AI43">
            <v>30.880678727589377</v>
          </cell>
          <cell r="AJ43">
            <v>35.226341416615554</v>
          </cell>
          <cell r="AK43">
            <v>30.292376485587379</v>
          </cell>
          <cell r="AL43">
            <v>28.548867604502643</v>
          </cell>
          <cell r="AM43">
            <v>405.43890468643326</v>
          </cell>
          <cell r="AN43">
            <v>52.88191233232633</v>
          </cell>
          <cell r="AO43">
            <v>105.17062769635534</v>
          </cell>
          <cell r="AP43">
            <v>32.585774283878159</v>
          </cell>
          <cell r="AQ43">
            <v>89.535140290923906</v>
          </cell>
          <cell r="AR43">
            <v>26.244465249132563</v>
          </cell>
          <cell r="AS43">
            <v>101.39747817116117</v>
          </cell>
          <cell r="AT43">
            <v>33.939406222474737</v>
          </cell>
          <cell r="AU43">
            <v>26.823038847391008</v>
          </cell>
          <cell r="AV43">
            <v>46.611401685524989</v>
          </cell>
          <cell r="AW43">
            <v>80.340867560252022</v>
          </cell>
          <cell r="AX43">
            <v>107.4666538616917</v>
          </cell>
          <cell r="AY43">
            <v>125.91418394726455</v>
          </cell>
          <cell r="AZ43">
            <v>69.437108609363648</v>
          </cell>
          <cell r="BA43">
            <v>35.33354868712005</v>
          </cell>
          <cell r="BB43">
            <v>51.356580249223512</v>
          </cell>
          <cell r="BC43">
            <v>53.501843218595901</v>
          </cell>
          <cell r="BD43">
            <v>56.931472078019866</v>
          </cell>
          <cell r="BE43">
            <v>12.18786788412778</v>
          </cell>
          <cell r="BF43">
            <v>11.162213552795672</v>
          </cell>
        </row>
        <row r="44">
          <cell r="C44" t="str">
            <v xml:space="preserve">דגימות מים </v>
          </cell>
          <cell r="D44">
            <v>67.456687584685483</v>
          </cell>
          <cell r="E44">
            <v>58.864428744517966</v>
          </cell>
          <cell r="F44">
            <v>51.455682172173674</v>
          </cell>
          <cell r="G44">
            <v>308.9512499823133</v>
          </cell>
          <cell r="H44">
            <v>103.84647827068713</v>
          </cell>
          <cell r="I44">
            <v>75</v>
          </cell>
          <cell r="J44">
            <v>29.970778530852566</v>
          </cell>
          <cell r="K44">
            <v>42.470758930950389</v>
          </cell>
          <cell r="L44">
            <v>31.023239492757167</v>
          </cell>
          <cell r="M44">
            <v>61.973501438655241</v>
          </cell>
          <cell r="N44">
            <v>95.406540739052346</v>
          </cell>
          <cell r="O44">
            <v>47.483938699554322</v>
          </cell>
          <cell r="P44">
            <v>32.397262889610474</v>
          </cell>
          <cell r="Q44">
            <v>56.120605160154362</v>
          </cell>
          <cell r="R44">
            <v>121.59013591097225</v>
          </cell>
          <cell r="S44">
            <v>112.27005658911489</v>
          </cell>
          <cell r="T44">
            <v>117.88787688571779</v>
          </cell>
          <cell r="U44">
            <v>115.62552921584906</v>
          </cell>
          <cell r="V44">
            <v>117.5</v>
          </cell>
          <cell r="W44">
            <v>95.486970599127332</v>
          </cell>
          <cell r="X44">
            <v>27.857192342489984</v>
          </cell>
          <cell r="Y44">
            <v>36.06957611388772</v>
          </cell>
          <cell r="Z44">
            <v>32.536251956900621</v>
          </cell>
          <cell r="AA44">
            <v>22.189742582395134</v>
          </cell>
          <cell r="AB44">
            <v>42.95382117305158</v>
          </cell>
          <cell r="AC44">
            <v>45.796649898904157</v>
          </cell>
          <cell r="AD44">
            <v>66.773654791114922</v>
          </cell>
          <cell r="AE44">
            <v>29.984714368900832</v>
          </cell>
          <cell r="AF44">
            <v>143.67609328245268</v>
          </cell>
          <cell r="AG44">
            <v>32.874818094729243</v>
          </cell>
          <cell r="AH44">
            <v>37.271858148159772</v>
          </cell>
          <cell r="AI44">
            <v>19.300424204743361</v>
          </cell>
          <cell r="AJ44">
            <v>22.016463385384718</v>
          </cell>
          <cell r="AK44">
            <v>18.932735303492112</v>
          </cell>
          <cell r="AL44">
            <v>17.843042252814154</v>
          </cell>
          <cell r="AM44">
            <v>253.39931542902076</v>
          </cell>
          <cell r="AN44">
            <v>33.051195207703962</v>
          </cell>
          <cell r="AO44">
            <v>65.731642310222085</v>
          </cell>
          <cell r="AP44">
            <v>20.366108927423852</v>
          </cell>
          <cell r="AQ44">
            <v>55.959462681827446</v>
          </cell>
          <cell r="AR44">
            <v>16.402790780707853</v>
          </cell>
          <cell r="AS44">
            <v>63.373423856975734</v>
          </cell>
          <cell r="AT44">
            <v>21.21212888904671</v>
          </cell>
          <cell r="AU44">
            <v>16.764399279619383</v>
          </cell>
          <cell r="AV44">
            <v>29.132126053453117</v>
          </cell>
          <cell r="AW44">
            <v>50.213042225157515</v>
          </cell>
          <cell r="AX44">
            <v>67.166658663557314</v>
          </cell>
          <cell r="AY44">
            <v>78.696364967040324</v>
          </cell>
          <cell r="AZ44">
            <v>43.398192880852285</v>
          </cell>
          <cell r="BA44">
            <v>22.083467929450034</v>
          </cell>
          <cell r="BB44">
            <v>32.097862655764693</v>
          </cell>
          <cell r="BC44">
            <v>33.438652011622437</v>
          </cell>
          <cell r="BD44">
            <v>35.582170048762421</v>
          </cell>
          <cell r="BE44">
            <v>7.6174174275798618</v>
          </cell>
          <cell r="BF44">
            <v>6.9763834704972947</v>
          </cell>
        </row>
        <row r="45">
          <cell r="C45" t="str">
            <v>מוקד תקלות-מים</v>
          </cell>
          <cell r="D45">
            <v>67.456687584685483</v>
          </cell>
          <cell r="E45">
            <v>58.864428744517966</v>
          </cell>
          <cell r="F45">
            <v>51.455682172173674</v>
          </cell>
          <cell r="G45">
            <v>308.9512499823133</v>
          </cell>
          <cell r="H45">
            <v>103.84647827068713</v>
          </cell>
          <cell r="I45">
            <v>75</v>
          </cell>
          <cell r="J45">
            <v>29.970778530852566</v>
          </cell>
          <cell r="K45">
            <v>42.470758930950389</v>
          </cell>
          <cell r="L45">
            <v>31.023239492757167</v>
          </cell>
          <cell r="M45">
            <v>61.973501438655241</v>
          </cell>
          <cell r="N45">
            <v>95.406540739052346</v>
          </cell>
          <cell r="O45">
            <v>47.483938699554322</v>
          </cell>
          <cell r="P45">
            <v>32.397262889610474</v>
          </cell>
          <cell r="Q45">
            <v>56.120605160154362</v>
          </cell>
          <cell r="R45">
            <v>121.59013591097225</v>
          </cell>
          <cell r="S45">
            <v>112.27005658911489</v>
          </cell>
          <cell r="T45">
            <v>117.88787688571779</v>
          </cell>
          <cell r="U45">
            <v>115.62552921584906</v>
          </cell>
          <cell r="V45">
            <v>117.5</v>
          </cell>
          <cell r="W45">
            <v>95.486970599127332</v>
          </cell>
          <cell r="X45">
            <v>27.857192342489984</v>
          </cell>
          <cell r="Y45">
            <v>36.06957611388772</v>
          </cell>
          <cell r="Z45">
            <v>32.536251956900621</v>
          </cell>
          <cell r="AA45">
            <v>22.189742582395134</v>
          </cell>
          <cell r="AB45">
            <v>42.95382117305158</v>
          </cell>
          <cell r="AC45">
            <v>45.796649898904157</v>
          </cell>
          <cell r="AD45">
            <v>66.773654791114922</v>
          </cell>
          <cell r="AE45">
            <v>29.984714368900832</v>
          </cell>
          <cell r="AF45">
            <v>143.67609328245268</v>
          </cell>
          <cell r="AG45">
            <v>32.874818094729243</v>
          </cell>
          <cell r="AH45">
            <v>37.271858148159772</v>
          </cell>
          <cell r="AI45">
            <v>19.300424204743361</v>
          </cell>
          <cell r="AJ45">
            <v>22.016463385384718</v>
          </cell>
          <cell r="AK45">
            <v>18.932735303492112</v>
          </cell>
          <cell r="AL45">
            <v>17.843042252814154</v>
          </cell>
          <cell r="AM45">
            <v>253.39931542902076</v>
          </cell>
          <cell r="AN45">
            <v>33.051195207703962</v>
          </cell>
          <cell r="AO45">
            <v>65.731642310222085</v>
          </cell>
          <cell r="AP45">
            <v>20.366108927423852</v>
          </cell>
          <cell r="AQ45">
            <v>55.959462681827446</v>
          </cell>
          <cell r="AR45">
            <v>16.402790780707853</v>
          </cell>
          <cell r="AS45">
            <v>63.373423856975734</v>
          </cell>
          <cell r="AT45">
            <v>21.21212888904671</v>
          </cell>
          <cell r="AU45">
            <v>16.764399279619383</v>
          </cell>
          <cell r="AV45">
            <v>29.132126053453117</v>
          </cell>
          <cell r="AW45">
            <v>50.213042225157515</v>
          </cell>
          <cell r="AX45">
            <v>67.166658663557314</v>
          </cell>
          <cell r="AY45">
            <v>78.696364967040324</v>
          </cell>
          <cell r="AZ45">
            <v>43.398192880852285</v>
          </cell>
          <cell r="BA45">
            <v>22.083467929450034</v>
          </cell>
          <cell r="BB45">
            <v>32.097862655764693</v>
          </cell>
          <cell r="BC45">
            <v>33.438652011622437</v>
          </cell>
          <cell r="BD45">
            <v>35.582170048762421</v>
          </cell>
          <cell r="BE45">
            <v>7.6174174275798618</v>
          </cell>
          <cell r="BF45">
            <v>6.9763834704972947</v>
          </cell>
        </row>
        <row r="46">
          <cell r="C46" t="str">
            <v>טלפון ותקשורת -מים</v>
          </cell>
          <cell r="D46">
            <v>26.982675033874191</v>
          </cell>
          <cell r="E46">
            <v>23.545771497807188</v>
          </cell>
          <cell r="F46">
            <v>20.58227286886947</v>
          </cell>
          <cell r="G46">
            <v>123.58049999292531</v>
          </cell>
          <cell r="H46">
            <v>41.53859130827486</v>
          </cell>
          <cell r="I46">
            <v>29.999999999999996</v>
          </cell>
          <cell r="J46">
            <v>11.988311412341025</v>
          </cell>
          <cell r="K46">
            <v>16.988303572380154</v>
          </cell>
          <cell r="L46">
            <v>12.409295797102867</v>
          </cell>
          <cell r="M46">
            <v>24.789400575462096</v>
          </cell>
          <cell r="N46">
            <v>38.162616295620943</v>
          </cell>
          <cell r="O46">
            <v>18.993575479821729</v>
          </cell>
          <cell r="P46">
            <v>12.958905155844189</v>
          </cell>
          <cell r="Q46">
            <v>22.448242064061748</v>
          </cell>
          <cell r="R46">
            <v>48.63605436438889</v>
          </cell>
          <cell r="S46">
            <v>44.908022635645956</v>
          </cell>
          <cell r="T46">
            <v>47.155150754287121</v>
          </cell>
          <cell r="U46">
            <v>46.250211686339625</v>
          </cell>
          <cell r="V46">
            <v>47</v>
          </cell>
          <cell r="W46">
            <v>38.19478823965094</v>
          </cell>
          <cell r="X46">
            <v>11.142876936995993</v>
          </cell>
          <cell r="Y46">
            <v>14.427830445555088</v>
          </cell>
          <cell r="Z46">
            <v>13.014500782760248</v>
          </cell>
          <cell r="AA46">
            <v>8.8758970329580542</v>
          </cell>
          <cell r="AB46">
            <v>17.18152846922063</v>
          </cell>
          <cell r="AC46">
            <v>18.318659959561661</v>
          </cell>
          <cell r="AD46">
            <v>26.709461916445971</v>
          </cell>
          <cell r="AE46">
            <v>11.993885747560334</v>
          </cell>
          <cell r="AF46">
            <v>57.470437312981062</v>
          </cell>
          <cell r="AG46">
            <v>13.149927237891697</v>
          </cell>
          <cell r="AH46">
            <v>14.908743259263909</v>
          </cell>
          <cell r="AI46">
            <v>7.7201696818973442</v>
          </cell>
          <cell r="AJ46">
            <v>8.8065853541538885</v>
          </cell>
          <cell r="AK46">
            <v>7.5730941213968448</v>
          </cell>
          <cell r="AL46">
            <v>7.1372169011256608</v>
          </cell>
          <cell r="AM46">
            <v>101.35972617160832</v>
          </cell>
          <cell r="AN46">
            <v>13.220478083081582</v>
          </cell>
          <cell r="AO46">
            <v>26.292656924088835</v>
          </cell>
          <cell r="AP46">
            <v>8.1464435709695397</v>
          </cell>
          <cell r="AQ46">
            <v>22.383785072730976</v>
          </cell>
          <cell r="AR46">
            <v>6.5611163122831409</v>
          </cell>
          <cell r="AS46">
            <v>25.349369542790292</v>
          </cell>
          <cell r="AT46">
            <v>8.4848515556186843</v>
          </cell>
          <cell r="AU46">
            <v>6.7057597118477519</v>
          </cell>
          <cell r="AV46">
            <v>11.652850421381247</v>
          </cell>
          <cell r="AW46">
            <v>20.085216890063005</v>
          </cell>
          <cell r="AX46">
            <v>26.866663465422924</v>
          </cell>
          <cell r="AY46">
            <v>31.478545986816137</v>
          </cell>
          <cell r="AZ46">
            <v>17.359277152340912</v>
          </cell>
          <cell r="BA46">
            <v>8.8333871717800125</v>
          </cell>
          <cell r="BB46">
            <v>12.839145062305878</v>
          </cell>
          <cell r="BC46">
            <v>13.375460804648975</v>
          </cell>
          <cell r="BD46">
            <v>14.232868019504966</v>
          </cell>
          <cell r="BE46">
            <v>3.0469669710319449</v>
          </cell>
          <cell r="BF46">
            <v>2.790553388198918</v>
          </cell>
        </row>
        <row r="47">
          <cell r="C47" t="str">
            <v>פיקוד ובקרה-מים</v>
          </cell>
          <cell r="D47">
            <v>26.982675033874191</v>
          </cell>
          <cell r="E47">
            <v>23.545771497807188</v>
          </cell>
          <cell r="F47">
            <v>20.58227286886947</v>
          </cell>
          <cell r="G47">
            <v>123.58049999292531</v>
          </cell>
          <cell r="H47">
            <v>41.53859130827486</v>
          </cell>
          <cell r="I47">
            <v>29.999999999999996</v>
          </cell>
          <cell r="J47">
            <v>11.988311412341025</v>
          </cell>
          <cell r="K47">
            <v>16.988303572380154</v>
          </cell>
          <cell r="L47">
            <v>12.409295797102867</v>
          </cell>
          <cell r="M47">
            <v>24.789400575462096</v>
          </cell>
          <cell r="N47">
            <v>38.162616295620943</v>
          </cell>
          <cell r="O47">
            <v>18.993575479821729</v>
          </cell>
          <cell r="P47">
            <v>12.958905155844189</v>
          </cell>
          <cell r="Q47">
            <v>22.448242064061748</v>
          </cell>
          <cell r="R47">
            <v>48.63605436438889</v>
          </cell>
          <cell r="S47">
            <v>44.908022635645956</v>
          </cell>
          <cell r="T47">
            <v>47.155150754287121</v>
          </cell>
          <cell r="U47">
            <v>46.250211686339625</v>
          </cell>
          <cell r="V47">
            <v>47</v>
          </cell>
          <cell r="W47">
            <v>38.19478823965094</v>
          </cell>
          <cell r="X47">
            <v>11.142876936995993</v>
          </cell>
          <cell r="Y47">
            <v>14.427830445555088</v>
          </cell>
          <cell r="Z47">
            <v>13.014500782760248</v>
          </cell>
          <cell r="AA47">
            <v>8.8758970329580542</v>
          </cell>
          <cell r="AB47">
            <v>17.18152846922063</v>
          </cell>
          <cell r="AC47">
            <v>18.318659959561661</v>
          </cell>
          <cell r="AD47">
            <v>26.709461916445971</v>
          </cell>
          <cell r="AE47">
            <v>11.993885747560334</v>
          </cell>
          <cell r="AF47">
            <v>57.470437312981062</v>
          </cell>
          <cell r="AG47">
            <v>13.149927237891697</v>
          </cell>
          <cell r="AH47">
            <v>14.908743259263909</v>
          </cell>
          <cell r="AI47">
            <v>7.7201696818973442</v>
          </cell>
          <cell r="AJ47">
            <v>8.8065853541538885</v>
          </cell>
          <cell r="AK47">
            <v>7.5730941213968448</v>
          </cell>
          <cell r="AL47">
            <v>7.1372169011256608</v>
          </cell>
          <cell r="AM47">
            <v>101.35972617160832</v>
          </cell>
          <cell r="AN47">
            <v>13.220478083081582</v>
          </cell>
          <cell r="AO47">
            <v>26.292656924088835</v>
          </cell>
          <cell r="AP47">
            <v>8.1464435709695397</v>
          </cell>
          <cell r="AQ47">
            <v>22.383785072730976</v>
          </cell>
          <cell r="AR47">
            <v>6.5611163122831409</v>
          </cell>
          <cell r="AS47">
            <v>25.349369542790292</v>
          </cell>
          <cell r="AT47">
            <v>8.4848515556186843</v>
          </cell>
          <cell r="AU47">
            <v>6.7057597118477519</v>
          </cell>
          <cell r="AV47">
            <v>11.652850421381247</v>
          </cell>
          <cell r="AW47">
            <v>20.085216890063005</v>
          </cell>
          <cell r="AX47">
            <v>26.866663465422924</v>
          </cell>
          <cell r="AY47">
            <v>31.478545986816137</v>
          </cell>
          <cell r="AZ47">
            <v>17.359277152340912</v>
          </cell>
          <cell r="BA47">
            <v>8.8333871717800125</v>
          </cell>
          <cell r="BB47">
            <v>12.839145062305878</v>
          </cell>
          <cell r="BC47">
            <v>13.375460804648975</v>
          </cell>
          <cell r="BD47">
            <v>14.232868019504966</v>
          </cell>
          <cell r="BE47">
            <v>3.0469669710319449</v>
          </cell>
          <cell r="BF47">
            <v>2.790553388198918</v>
          </cell>
        </row>
        <row r="48">
          <cell r="C48" t="str">
            <v>פחת</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row>
        <row r="49">
          <cell r="C49" t="str">
            <v>אחזקת רכב - כלול בשכר בנורמה</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row>
        <row r="50">
          <cell r="C50" t="str">
            <v>אחזקת מוני מים</v>
          </cell>
          <cell r="D50">
            <v>1279.29</v>
          </cell>
          <cell r="E50">
            <v>851.58</v>
          </cell>
          <cell r="F50">
            <v>515.4</v>
          </cell>
          <cell r="G50">
            <v>5987.76</v>
          </cell>
          <cell r="H50">
            <v>2090.9699999999998</v>
          </cell>
          <cell r="I50">
            <v>223.23</v>
          </cell>
          <cell r="J50">
            <v>445.95</v>
          </cell>
          <cell r="K50">
            <v>891</v>
          </cell>
          <cell r="L50">
            <v>678.27</v>
          </cell>
          <cell r="M50">
            <v>1283.3399999999999</v>
          </cell>
          <cell r="N50">
            <v>2196.84</v>
          </cell>
          <cell r="O50">
            <v>794.64</v>
          </cell>
          <cell r="P50">
            <v>637.02</v>
          </cell>
          <cell r="Q50">
            <v>514.16999999999996</v>
          </cell>
          <cell r="R50">
            <v>2640.63</v>
          </cell>
          <cell r="S50">
            <v>2639.25</v>
          </cell>
          <cell r="T50">
            <v>2958.75</v>
          </cell>
          <cell r="U50">
            <v>2390.16</v>
          </cell>
          <cell r="V50">
            <v>634.29</v>
          </cell>
          <cell r="W50">
            <v>969.96</v>
          </cell>
          <cell r="X50">
            <v>619.53</v>
          </cell>
          <cell r="Y50">
            <v>680.7</v>
          </cell>
          <cell r="Z50">
            <v>367.71</v>
          </cell>
          <cell r="AA50">
            <v>599.13</v>
          </cell>
          <cell r="AB50">
            <v>741.45</v>
          </cell>
          <cell r="AC50">
            <v>499.53000000000003</v>
          </cell>
          <cell r="AD50">
            <v>1118.4000000000001</v>
          </cell>
          <cell r="AE50">
            <v>555</v>
          </cell>
          <cell r="AF50">
            <v>3311.67</v>
          </cell>
          <cell r="AG50">
            <v>511.77</v>
          </cell>
          <cell r="AH50">
            <v>512.46</v>
          </cell>
          <cell r="AI50">
            <v>173.4</v>
          </cell>
          <cell r="AJ50">
            <v>360.93</v>
          </cell>
          <cell r="AK50">
            <v>556.32000000000005</v>
          </cell>
          <cell r="AL50">
            <v>554.73</v>
          </cell>
          <cell r="AM50">
            <v>8569.2900000000009</v>
          </cell>
          <cell r="AN50">
            <v>530.04</v>
          </cell>
          <cell r="AO50">
            <v>2035.4699999999998</v>
          </cell>
          <cell r="AP50">
            <v>748.41</v>
          </cell>
          <cell r="AQ50">
            <v>1603.47</v>
          </cell>
          <cell r="AR50">
            <v>406.95</v>
          </cell>
          <cell r="AS50">
            <v>926.64</v>
          </cell>
          <cell r="AT50">
            <v>545.16</v>
          </cell>
          <cell r="AU50">
            <v>477.9</v>
          </cell>
          <cell r="AV50">
            <v>529.02</v>
          </cell>
          <cell r="AW50">
            <v>534.05999999999995</v>
          </cell>
          <cell r="AX50">
            <v>643.16999999999996</v>
          </cell>
          <cell r="AY50">
            <v>1602.18</v>
          </cell>
          <cell r="AZ50">
            <v>831.99</v>
          </cell>
          <cell r="BA50">
            <v>453.27</v>
          </cell>
          <cell r="BB50">
            <v>615.41999999999996</v>
          </cell>
          <cell r="BC50">
            <v>363.12000000000006</v>
          </cell>
          <cell r="BD50">
            <v>226.38</v>
          </cell>
          <cell r="BE50">
            <v>82.95</v>
          </cell>
          <cell r="BF50">
            <v>145.38</v>
          </cell>
        </row>
        <row r="51">
          <cell r="C51" t="str">
            <v>יעוץ מקצועי</v>
          </cell>
          <cell r="D51">
            <v>53.965350067748382</v>
          </cell>
          <cell r="E51">
            <v>47.091542995614375</v>
          </cell>
          <cell r="F51">
            <v>41.164545737738941</v>
          </cell>
          <cell r="G51">
            <v>247.16099998585062</v>
          </cell>
          <cell r="H51">
            <v>83.07718261654972</v>
          </cell>
          <cell r="I51">
            <v>59.999999999999993</v>
          </cell>
          <cell r="J51">
            <v>23.97662282468205</v>
          </cell>
          <cell r="K51">
            <v>33.976607144760308</v>
          </cell>
          <cell r="L51">
            <v>24.818591594205735</v>
          </cell>
          <cell r="M51">
            <v>49.578801150924193</v>
          </cell>
          <cell r="N51">
            <v>76.325232591241885</v>
          </cell>
          <cell r="O51">
            <v>37.987150959643458</v>
          </cell>
          <cell r="P51">
            <v>25.917810311688378</v>
          </cell>
          <cell r="Q51">
            <v>44.896484128123497</v>
          </cell>
          <cell r="R51">
            <v>97.272108728777781</v>
          </cell>
          <cell r="S51">
            <v>89.816045271291912</v>
          </cell>
          <cell r="T51">
            <v>94.310301508574241</v>
          </cell>
          <cell r="U51">
            <v>92.500423372679251</v>
          </cell>
          <cell r="V51">
            <v>94</v>
          </cell>
          <cell r="W51">
            <v>76.38957647930188</v>
          </cell>
          <cell r="X51">
            <v>22.285753873991986</v>
          </cell>
          <cell r="Y51">
            <v>28.855660891110176</v>
          </cell>
          <cell r="Z51">
            <v>26.029001565520495</v>
          </cell>
          <cell r="AA51">
            <v>17.751794065916108</v>
          </cell>
          <cell r="AB51">
            <v>34.363056938441261</v>
          </cell>
          <cell r="AC51">
            <v>36.637319919123321</v>
          </cell>
          <cell r="AD51">
            <v>53.418923832891942</v>
          </cell>
          <cell r="AE51">
            <v>23.987771495120668</v>
          </cell>
          <cell r="AF51">
            <v>114.94087462596212</v>
          </cell>
          <cell r="AG51">
            <v>26.299854475783395</v>
          </cell>
          <cell r="AH51">
            <v>29.817486518527819</v>
          </cell>
          <cell r="AI51">
            <v>15.440339363794688</v>
          </cell>
          <cell r="AJ51">
            <v>17.613170708307777</v>
          </cell>
          <cell r="AK51">
            <v>15.14618824279369</v>
          </cell>
          <cell r="AL51">
            <v>14.274433802251322</v>
          </cell>
          <cell r="AM51">
            <v>202.71945234321663</v>
          </cell>
          <cell r="AN51">
            <v>26.440956166163165</v>
          </cell>
          <cell r="AO51">
            <v>52.58531384817767</v>
          </cell>
          <cell r="AP51">
            <v>16.292887141939079</v>
          </cell>
          <cell r="AQ51">
            <v>44.767570145461953</v>
          </cell>
          <cell r="AR51">
            <v>13.122232624566282</v>
          </cell>
          <cell r="AS51">
            <v>50.698739085580584</v>
          </cell>
          <cell r="AT51">
            <v>16.969703111237369</v>
          </cell>
          <cell r="AU51">
            <v>13.411519423695504</v>
          </cell>
          <cell r="AV51">
            <v>23.305700842762494</v>
          </cell>
          <cell r="AW51">
            <v>40.170433780126011</v>
          </cell>
          <cell r="AX51">
            <v>53.733326930845848</v>
          </cell>
          <cell r="AY51">
            <v>62.957091973632274</v>
          </cell>
          <cell r="AZ51">
            <v>34.718554304681824</v>
          </cell>
          <cell r="BA51">
            <v>17.666774343560025</v>
          </cell>
          <cell r="BB51">
            <v>25.678290124611756</v>
          </cell>
          <cell r="BC51">
            <v>26.750921609297951</v>
          </cell>
          <cell r="BD51">
            <v>28.465736039009933</v>
          </cell>
          <cell r="BE51">
            <v>6.0939339420638898</v>
          </cell>
          <cell r="BF51">
            <v>5.5811067763978359</v>
          </cell>
        </row>
        <row r="52">
          <cell r="C52" t="str">
            <v>דמי שכירות-מים</v>
          </cell>
          <cell r="D52">
            <v>80.948025101622576</v>
          </cell>
          <cell r="E52">
            <v>70.637314493421556</v>
          </cell>
          <cell r="F52">
            <v>61.7468186066084</v>
          </cell>
          <cell r="G52">
            <v>370.74149997877589</v>
          </cell>
          <cell r="H52">
            <v>124.61577392482457</v>
          </cell>
          <cell r="I52">
            <v>90</v>
          </cell>
          <cell r="J52">
            <v>35.964934237023073</v>
          </cell>
          <cell r="K52">
            <v>50.964910717140462</v>
          </cell>
          <cell r="L52">
            <v>37.227887391308592</v>
          </cell>
          <cell r="M52">
            <v>74.368201726386289</v>
          </cell>
          <cell r="N52">
            <v>114.48784888686284</v>
          </cell>
          <cell r="O52">
            <v>56.980726439465194</v>
          </cell>
          <cell r="P52">
            <v>38.876715467532563</v>
          </cell>
          <cell r="Q52">
            <v>67.344726192185234</v>
          </cell>
          <cell r="R52">
            <v>145.90816309316668</v>
          </cell>
          <cell r="S52">
            <v>134.72406790693788</v>
          </cell>
          <cell r="T52">
            <v>141.46545226286136</v>
          </cell>
          <cell r="U52">
            <v>138.75063505901886</v>
          </cell>
          <cell r="V52">
            <v>141</v>
          </cell>
          <cell r="W52">
            <v>114.5843647189528</v>
          </cell>
          <cell r="X52">
            <v>33.428630810987983</v>
          </cell>
          <cell r="Y52">
            <v>43.283491336665257</v>
          </cell>
          <cell r="Z52">
            <v>39.043502348280747</v>
          </cell>
          <cell r="AA52">
            <v>26.627691098874156</v>
          </cell>
          <cell r="AB52">
            <v>51.544585407661899</v>
          </cell>
          <cell r="AC52">
            <v>54.955979878684985</v>
          </cell>
          <cell r="AD52">
            <v>80.128385749337923</v>
          </cell>
          <cell r="AE52">
            <v>35.981657242681003</v>
          </cell>
          <cell r="AF52">
            <v>172.41131193894319</v>
          </cell>
          <cell r="AG52">
            <v>39.449781713675087</v>
          </cell>
          <cell r="AH52">
            <v>44.726229777791723</v>
          </cell>
          <cell r="AI52">
            <v>23.160509045692031</v>
          </cell>
          <cell r="AJ52">
            <v>26.419756062461662</v>
          </cell>
          <cell r="AK52">
            <v>22.719282364190533</v>
          </cell>
          <cell r="AL52">
            <v>21.411650703376981</v>
          </cell>
          <cell r="AM52">
            <v>304.07917851482495</v>
          </cell>
          <cell r="AN52">
            <v>39.661434249244749</v>
          </cell>
          <cell r="AO52">
            <v>78.877970772266494</v>
          </cell>
          <cell r="AP52">
            <v>24.439330712908621</v>
          </cell>
          <cell r="AQ52">
            <v>67.151355218192933</v>
          </cell>
          <cell r="AR52">
            <v>19.683348936849423</v>
          </cell>
          <cell r="AS52">
            <v>76.048108628370869</v>
          </cell>
          <cell r="AT52">
            <v>25.454554666856048</v>
          </cell>
          <cell r="AU52">
            <v>20.117279135543257</v>
          </cell>
          <cell r="AV52">
            <v>34.958551264143743</v>
          </cell>
          <cell r="AW52">
            <v>60.25565067018902</v>
          </cell>
          <cell r="AX52">
            <v>80.599990396268765</v>
          </cell>
          <cell r="AY52">
            <v>94.435637960448389</v>
          </cell>
          <cell r="AZ52">
            <v>52.077831457022747</v>
          </cell>
          <cell r="BA52">
            <v>26.500161515340036</v>
          </cell>
          <cell r="BB52">
            <v>38.517435186917631</v>
          </cell>
          <cell r="BC52">
            <v>40.126382413946928</v>
          </cell>
          <cell r="BD52">
            <v>42.698604058514903</v>
          </cell>
          <cell r="BE52">
            <v>9.1409009130958339</v>
          </cell>
          <cell r="BF52">
            <v>8.3716601645967543</v>
          </cell>
        </row>
        <row r="53">
          <cell r="C53" t="str">
            <v>הכנסות נוספות משרותי תשתית</v>
          </cell>
          <cell r="D53">
            <v>144.80531000366707</v>
          </cell>
          <cell r="E53">
            <v>0</v>
          </cell>
          <cell r="F53">
            <v>0</v>
          </cell>
          <cell r="G53">
            <v>-66.000000000000455</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458.65214580447457</v>
          </cell>
          <cell r="AN53">
            <v>0</v>
          </cell>
          <cell r="AO53">
            <v>165.20577628333567</v>
          </cell>
          <cell r="AP53">
            <v>51.336767908522425</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row>
        <row r="54">
          <cell r="C54" t="str">
            <v>תוספת עלות לתאגוד איזורי</v>
          </cell>
          <cell r="D54">
            <v>0</v>
          </cell>
          <cell r="E54">
            <v>539.42903999999999</v>
          </cell>
          <cell r="F54">
            <v>554.64648</v>
          </cell>
          <cell r="G54">
            <v>1674.05295</v>
          </cell>
          <cell r="H54">
            <v>0</v>
          </cell>
          <cell r="I54">
            <v>26.676539999999999</v>
          </cell>
          <cell r="J54">
            <v>411.97481999999997</v>
          </cell>
          <cell r="K54">
            <v>0</v>
          </cell>
          <cell r="L54">
            <v>0</v>
          </cell>
          <cell r="M54">
            <v>283.96017000000001</v>
          </cell>
          <cell r="N54">
            <v>0</v>
          </cell>
          <cell r="O54">
            <v>598.82174999999995</v>
          </cell>
          <cell r="P54">
            <v>158.03679</v>
          </cell>
          <cell r="Q54">
            <v>226.84882500000001</v>
          </cell>
          <cell r="R54">
            <v>305.08036499999997</v>
          </cell>
          <cell r="S54">
            <v>821.49529499999983</v>
          </cell>
          <cell r="T54">
            <v>545.40897000000007</v>
          </cell>
          <cell r="U54">
            <v>0</v>
          </cell>
          <cell r="V54">
            <v>0</v>
          </cell>
          <cell r="W54">
            <v>1543.8969</v>
          </cell>
          <cell r="X54">
            <v>0</v>
          </cell>
          <cell r="Y54">
            <v>0</v>
          </cell>
          <cell r="Z54">
            <v>159.55195499999999</v>
          </cell>
          <cell r="AA54">
            <v>54.399629999999995</v>
          </cell>
          <cell r="AB54">
            <v>0</v>
          </cell>
          <cell r="AC54">
            <v>0</v>
          </cell>
          <cell r="AD54">
            <v>0</v>
          </cell>
          <cell r="AE54">
            <v>0</v>
          </cell>
          <cell r="AF54">
            <v>0</v>
          </cell>
          <cell r="AG54">
            <v>79.316114999999996</v>
          </cell>
          <cell r="AH54">
            <v>0</v>
          </cell>
          <cell r="AI54">
            <v>0</v>
          </cell>
          <cell r="AJ54">
            <v>0</v>
          </cell>
          <cell r="AK54">
            <v>46.414859999999997</v>
          </cell>
          <cell r="AL54">
            <v>0</v>
          </cell>
          <cell r="AM54">
            <v>0</v>
          </cell>
          <cell r="AN54">
            <v>333.44789999999995</v>
          </cell>
          <cell r="AO54">
            <v>0</v>
          </cell>
          <cell r="AP54">
            <v>0</v>
          </cell>
          <cell r="AQ54">
            <v>0</v>
          </cell>
          <cell r="AR54">
            <v>0</v>
          </cell>
          <cell r="AS54">
            <v>1306.68552</v>
          </cell>
          <cell r="AT54">
            <v>0</v>
          </cell>
          <cell r="AU54">
            <v>0</v>
          </cell>
          <cell r="AV54">
            <v>0</v>
          </cell>
          <cell r="AW54">
            <v>492.47154000000006</v>
          </cell>
          <cell r="AX54">
            <v>658.74653999999998</v>
          </cell>
          <cell r="AY54">
            <v>189.868425</v>
          </cell>
          <cell r="AZ54">
            <v>326.66967</v>
          </cell>
          <cell r="BA54">
            <v>101.18558999999999</v>
          </cell>
          <cell r="BB54">
            <v>0</v>
          </cell>
          <cell r="BC54">
            <v>149.00877</v>
          </cell>
          <cell r="BD54">
            <v>446.39399999999995</v>
          </cell>
          <cell r="BE54">
            <v>16.972305000000002</v>
          </cell>
          <cell r="BF54">
            <v>0</v>
          </cell>
        </row>
        <row r="55">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row>
        <row r="56">
          <cell r="C56" t="str">
            <v>משכורות ונלוות-ביוב</v>
          </cell>
          <cell r="D56">
            <v>514.19582493850396</v>
          </cell>
          <cell r="E56">
            <v>450.30160632415794</v>
          </cell>
          <cell r="F56">
            <v>372.08328248320294</v>
          </cell>
          <cell r="G56">
            <v>2319.1426659818535</v>
          </cell>
          <cell r="H56">
            <v>728.46334678469304</v>
          </cell>
          <cell r="I56">
            <v>507.87690419627137</v>
          </cell>
          <cell r="J56">
            <v>229.82906012831143</v>
          </cell>
          <cell r="K56">
            <v>314.60468688311323</v>
          </cell>
          <cell r="L56">
            <v>232.82169939383613</v>
          </cell>
          <cell r="M56">
            <v>460.08222498745448</v>
          </cell>
          <cell r="N56">
            <v>696.6402337266403</v>
          </cell>
          <cell r="O56">
            <v>365.48324069744422</v>
          </cell>
          <cell r="P56">
            <v>230.17968392442828</v>
          </cell>
          <cell r="Q56">
            <v>416.28944418895162</v>
          </cell>
          <cell r="R56">
            <v>876.4909278650473</v>
          </cell>
          <cell r="S56">
            <v>822.27548991893707</v>
          </cell>
          <cell r="T56">
            <v>876.26114234233876</v>
          </cell>
          <cell r="U56">
            <v>841.84042207672201</v>
          </cell>
          <cell r="V56">
            <v>809.43479555128204</v>
          </cell>
          <cell r="W56">
            <v>720.57747179377895</v>
          </cell>
          <cell r="X56">
            <v>209.48582698896044</v>
          </cell>
          <cell r="Y56">
            <v>250.39263223017397</v>
          </cell>
          <cell r="Z56">
            <v>227.29978168842322</v>
          </cell>
          <cell r="AA56">
            <v>158.41825173735219</v>
          </cell>
          <cell r="AB56">
            <v>301.30302401393214</v>
          </cell>
          <cell r="AC56">
            <v>345.31295789307694</v>
          </cell>
          <cell r="AD56">
            <v>480.2506948959641</v>
          </cell>
          <cell r="AE56">
            <v>218.15331827647182</v>
          </cell>
          <cell r="AF56">
            <v>1063.7116196738091</v>
          </cell>
          <cell r="AG56">
            <v>233.27209748786208</v>
          </cell>
          <cell r="AH56">
            <v>254.15360037841086</v>
          </cell>
          <cell r="AI56">
            <v>148.11432424011628</v>
          </cell>
          <cell r="AJ56">
            <v>156.18833002712844</v>
          </cell>
          <cell r="AK56">
            <v>138.26965243047482</v>
          </cell>
          <cell r="AL56">
            <v>127.75747517119916</v>
          </cell>
          <cell r="AM56">
            <v>1825.0125768772905</v>
          </cell>
          <cell r="AN56">
            <v>229.94272232756026</v>
          </cell>
          <cell r="AO56">
            <v>476.67915657460674</v>
          </cell>
          <cell r="AP56">
            <v>150.74100609559335</v>
          </cell>
          <cell r="AQ56">
            <v>408.05774399978424</v>
          </cell>
          <cell r="AR56">
            <v>118.68204272729284</v>
          </cell>
          <cell r="AS56">
            <v>481.64187531815224</v>
          </cell>
          <cell r="AT56">
            <v>152.4417663137173</v>
          </cell>
          <cell r="AU56">
            <v>115.32691404844621</v>
          </cell>
          <cell r="AV56">
            <v>208.70656158198071</v>
          </cell>
          <cell r="AW56">
            <v>387.09983167039081</v>
          </cell>
          <cell r="AX56">
            <v>512.66740822160011</v>
          </cell>
          <cell r="AY56">
            <v>568.95835406284061</v>
          </cell>
          <cell r="AZ56">
            <v>291.19482380806079</v>
          </cell>
          <cell r="BA56">
            <v>161.46052927975674</v>
          </cell>
          <cell r="BB56">
            <v>236.78951721680983</v>
          </cell>
          <cell r="BC56">
            <v>257.91473054858875</v>
          </cell>
          <cell r="BD56">
            <v>272.76925854175522</v>
          </cell>
          <cell r="BE56">
            <v>392.20030919724081</v>
          </cell>
          <cell r="BF56">
            <v>49.007610563685233</v>
          </cell>
        </row>
        <row r="57">
          <cell r="C57" t="str">
            <v>אנרגיה-ביוב</v>
          </cell>
          <cell r="D57">
            <v>0</v>
          </cell>
          <cell r="E57">
            <v>288</v>
          </cell>
          <cell r="F57">
            <v>5</v>
          </cell>
          <cell r="G57">
            <v>276</v>
          </cell>
          <cell r="H57">
            <v>1486</v>
          </cell>
          <cell r="I57">
            <v>66</v>
          </cell>
          <cell r="J57">
            <v>287</v>
          </cell>
          <cell r="K57">
            <v>92</v>
          </cell>
          <cell r="L57">
            <v>571</v>
          </cell>
          <cell r="M57">
            <v>200</v>
          </cell>
          <cell r="N57">
            <v>1143</v>
          </cell>
          <cell r="O57">
            <v>0</v>
          </cell>
          <cell r="P57">
            <v>252</v>
          </cell>
          <cell r="Q57">
            <v>313</v>
          </cell>
          <cell r="R57">
            <v>1314</v>
          </cell>
          <cell r="S57">
            <v>96</v>
          </cell>
          <cell r="T57">
            <v>0</v>
          </cell>
          <cell r="U57">
            <v>1087</v>
          </cell>
          <cell r="V57">
            <v>801</v>
          </cell>
          <cell r="W57">
            <v>475</v>
          </cell>
          <cell r="X57">
            <v>894.99999999999989</v>
          </cell>
          <cell r="Y57">
            <v>303</v>
          </cell>
          <cell r="Z57">
            <v>281</v>
          </cell>
          <cell r="AA57">
            <v>138</v>
          </cell>
          <cell r="AB57">
            <v>351</v>
          </cell>
          <cell r="AC57">
            <v>0</v>
          </cell>
          <cell r="AD57">
            <v>470</v>
          </cell>
          <cell r="AE57">
            <v>172</v>
          </cell>
          <cell r="AF57">
            <v>692</v>
          </cell>
          <cell r="AG57">
            <v>506</v>
          </cell>
          <cell r="AH57">
            <v>62.999999999999993</v>
          </cell>
          <cell r="AI57">
            <v>0</v>
          </cell>
          <cell r="AJ57">
            <v>259</v>
          </cell>
          <cell r="AK57">
            <v>194</v>
          </cell>
          <cell r="AL57">
            <v>365</v>
          </cell>
          <cell r="AM57">
            <v>859.99999999999989</v>
          </cell>
          <cell r="AN57">
            <v>247.00000000000003</v>
          </cell>
          <cell r="AO57">
            <v>150</v>
          </cell>
          <cell r="AP57">
            <v>0</v>
          </cell>
          <cell r="AQ57">
            <v>696.99999999999989</v>
          </cell>
          <cell r="AR57">
            <v>0</v>
          </cell>
          <cell r="AS57">
            <v>1137</v>
          </cell>
          <cell r="AT57">
            <v>109.00000000000001</v>
          </cell>
          <cell r="AU57">
            <v>0</v>
          </cell>
          <cell r="AV57">
            <v>578</v>
          </cell>
          <cell r="AW57">
            <v>146</v>
          </cell>
          <cell r="AX57">
            <v>0</v>
          </cell>
          <cell r="AY57">
            <v>480</v>
          </cell>
          <cell r="AZ57">
            <v>262</v>
          </cell>
          <cell r="BA57">
            <v>282</v>
          </cell>
          <cell r="BB57">
            <v>5</v>
          </cell>
          <cell r="BC57">
            <v>293</v>
          </cell>
          <cell r="BD57">
            <v>436</v>
          </cell>
          <cell r="BE57">
            <v>284</v>
          </cell>
          <cell r="BF57">
            <v>0</v>
          </cell>
        </row>
        <row r="58">
          <cell r="C58" t="str">
            <v>אחזקת רשת ביוב</v>
          </cell>
          <cell r="D58">
            <v>1372.2774299999999</v>
          </cell>
          <cell r="E58">
            <v>1683.034095</v>
          </cell>
          <cell r="F58">
            <v>1215.6504899999998</v>
          </cell>
          <cell r="G58">
            <v>10464.669809999999</v>
          </cell>
          <cell r="H58">
            <v>2506.0949999999998</v>
          </cell>
          <cell r="I58">
            <v>782.48009999999977</v>
          </cell>
          <cell r="J58">
            <v>1646.9028000000001</v>
          </cell>
          <cell r="K58">
            <v>1271.6578</v>
          </cell>
          <cell r="L58">
            <v>1120.496175</v>
          </cell>
          <cell r="M58">
            <v>2124.1335749999998</v>
          </cell>
          <cell r="N58">
            <v>3185.0426299999999</v>
          </cell>
          <cell r="O58">
            <v>1498.0199399999999</v>
          </cell>
          <cell r="P58">
            <v>1118.9842200000001</v>
          </cell>
          <cell r="Q58">
            <v>1501.3340099999998</v>
          </cell>
          <cell r="R58">
            <v>5694.5889999999999</v>
          </cell>
          <cell r="S58">
            <v>2895.9145200000003</v>
          </cell>
          <cell r="T58">
            <v>4106.1019500000002</v>
          </cell>
          <cell r="U58">
            <v>4127.8058099999998</v>
          </cell>
          <cell r="V58">
            <v>1762.6795999999999</v>
          </cell>
          <cell r="W58">
            <v>2540.7455100000002</v>
          </cell>
          <cell r="X58">
            <v>785.46512999999993</v>
          </cell>
          <cell r="Y58">
            <v>1717.443135</v>
          </cell>
          <cell r="Z58">
            <v>1243.0382399999999</v>
          </cell>
          <cell r="AA58">
            <v>968.90083500000014</v>
          </cell>
          <cell r="AB58">
            <v>1611.89625</v>
          </cell>
          <cell r="AC58">
            <v>857.42262500000004</v>
          </cell>
          <cell r="AD58">
            <v>1922.9709599999999</v>
          </cell>
          <cell r="AE58">
            <v>850.77970499999992</v>
          </cell>
          <cell r="AF58">
            <v>8275.8119299999998</v>
          </cell>
          <cell r="AG58">
            <v>1061.9917499999999</v>
          </cell>
          <cell r="AH58">
            <v>604.86254999999994</v>
          </cell>
          <cell r="AI58">
            <v>1018.02225</v>
          </cell>
          <cell r="AJ58">
            <v>1017.78705</v>
          </cell>
          <cell r="AK58">
            <v>686.90504500000009</v>
          </cell>
          <cell r="AL58">
            <v>614.73256500000002</v>
          </cell>
          <cell r="AM58">
            <v>9239.2955999999995</v>
          </cell>
          <cell r="AN58">
            <v>1553.1927699999999</v>
          </cell>
          <cell r="AO58">
            <v>2402.3450400000002</v>
          </cell>
          <cell r="AP58">
            <v>770.03212499999995</v>
          </cell>
          <cell r="AQ58">
            <v>1091.8733549999999</v>
          </cell>
          <cell r="AR58">
            <v>526.45632000000001</v>
          </cell>
          <cell r="AS58">
            <v>2514.6624599999996</v>
          </cell>
          <cell r="AT58">
            <v>931.664625</v>
          </cell>
          <cell r="AU58">
            <v>540.15442499999995</v>
          </cell>
          <cell r="AV58">
            <v>1181.06735</v>
          </cell>
          <cell r="AW58">
            <v>1480.44173</v>
          </cell>
          <cell r="AX58">
            <v>1752.8388150000001</v>
          </cell>
          <cell r="AY58">
            <v>2328.5690399999999</v>
          </cell>
          <cell r="AZ58">
            <v>1836.4694500000001</v>
          </cell>
          <cell r="BA58">
            <v>1315.3931699999998</v>
          </cell>
          <cell r="BB58">
            <v>795.82192499999996</v>
          </cell>
          <cell r="BC58">
            <v>714.03374999999983</v>
          </cell>
          <cell r="BD58">
            <v>1752.1907100000003</v>
          </cell>
          <cell r="BE58">
            <v>2161.1166599999997</v>
          </cell>
          <cell r="BF58">
            <v>200.80398</v>
          </cell>
        </row>
        <row r="59">
          <cell r="C59" t="str">
            <v>אחזקת מתקנים-ביוב</v>
          </cell>
          <cell r="D59">
            <v>0</v>
          </cell>
          <cell r="E59">
            <v>191.19432</v>
          </cell>
          <cell r="F59">
            <v>307.56968000000001</v>
          </cell>
          <cell r="G59">
            <v>1237.31276</v>
          </cell>
          <cell r="H59">
            <v>1459.8</v>
          </cell>
          <cell r="I59">
            <v>56.74</v>
          </cell>
          <cell r="J59">
            <v>464.92243999999999</v>
          </cell>
          <cell r="K59">
            <v>456.00520000000006</v>
          </cell>
          <cell r="L59">
            <v>555.31892000000005</v>
          </cell>
          <cell r="M59">
            <v>578.40315999999996</v>
          </cell>
          <cell r="N59">
            <v>2521.1550000000002</v>
          </cell>
          <cell r="O59">
            <v>23.424040000000002</v>
          </cell>
          <cell r="P59">
            <v>348.9862</v>
          </cell>
          <cell r="Q59">
            <v>474.13576</v>
          </cell>
          <cell r="R59">
            <v>1134.21208</v>
          </cell>
          <cell r="S59">
            <v>134.22240000000002</v>
          </cell>
          <cell r="T59">
            <v>0</v>
          </cell>
          <cell r="U59">
            <v>1447.94</v>
          </cell>
          <cell r="V59">
            <v>1275.9950000000001</v>
          </cell>
          <cell r="W59">
            <v>212.59082000000001</v>
          </cell>
          <cell r="X59">
            <v>412.64055999999994</v>
          </cell>
          <cell r="Y59">
            <v>420.34653000000009</v>
          </cell>
          <cell r="Z59">
            <v>766.48270000000014</v>
          </cell>
          <cell r="AA59">
            <v>417.17</v>
          </cell>
          <cell r="AB59">
            <v>529</v>
          </cell>
          <cell r="AC59">
            <v>102.77500000000001</v>
          </cell>
          <cell r="AD59">
            <v>1066.47028</v>
          </cell>
          <cell r="AE59">
            <v>258.54656000000006</v>
          </cell>
          <cell r="AF59">
            <v>1632.3916800000002</v>
          </cell>
          <cell r="AG59">
            <v>558.48</v>
          </cell>
          <cell r="AH59">
            <v>113.83428000000001</v>
          </cell>
          <cell r="AI59">
            <v>86.055440000000004</v>
          </cell>
          <cell r="AJ59">
            <v>353.9</v>
          </cell>
          <cell r="AK59">
            <v>702.86490000000003</v>
          </cell>
          <cell r="AL59">
            <v>329.48599999999993</v>
          </cell>
          <cell r="AM59">
            <v>758.61</v>
          </cell>
          <cell r="AN59">
            <v>492.62832999999995</v>
          </cell>
          <cell r="AO59">
            <v>271.72640000000001</v>
          </cell>
          <cell r="AP59">
            <v>102.88</v>
          </cell>
          <cell r="AQ59">
            <v>355.7824</v>
          </cell>
          <cell r="AR59">
            <v>188.75</v>
          </cell>
          <cell r="AS59">
            <v>1143.7177100000001</v>
          </cell>
          <cell r="AT59">
            <v>732.26396</v>
          </cell>
          <cell r="AU59">
            <v>268.52799999999996</v>
          </cell>
          <cell r="AV59">
            <v>51.7</v>
          </cell>
          <cell r="AW59">
            <v>217.81397999999999</v>
          </cell>
          <cell r="AX59">
            <v>176.64771999999999</v>
          </cell>
          <cell r="AY59">
            <v>380.88792000000001</v>
          </cell>
          <cell r="AZ59">
            <v>715.32374000000004</v>
          </cell>
          <cell r="BA59">
            <v>283.51243999999997</v>
          </cell>
          <cell r="BB59">
            <v>722.72</v>
          </cell>
          <cell r="BC59">
            <v>491.35885999999994</v>
          </cell>
          <cell r="BD59">
            <v>550.06560000000002</v>
          </cell>
          <cell r="BE59">
            <v>597.56200000000001</v>
          </cell>
          <cell r="BF59">
            <v>204.73</v>
          </cell>
        </row>
        <row r="60">
          <cell r="C60" t="str">
            <v>חומרים</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row>
        <row r="61">
          <cell r="C61" t="str">
            <v xml:space="preserve">ארנונה </v>
          </cell>
          <cell r="D61">
            <v>0</v>
          </cell>
          <cell r="E61">
            <v>45.623579999999997</v>
          </cell>
          <cell r="F61">
            <v>71.668670000000006</v>
          </cell>
          <cell r="G61">
            <v>309.32819000000001</v>
          </cell>
          <cell r="H61">
            <v>336.2</v>
          </cell>
          <cell r="I61">
            <v>13.56</v>
          </cell>
          <cell r="J61">
            <v>116.23061</v>
          </cell>
          <cell r="K61">
            <v>109.3763</v>
          </cell>
          <cell r="L61">
            <v>137.04848000000001</v>
          </cell>
          <cell r="M61">
            <v>138.56328999999999</v>
          </cell>
          <cell r="N61">
            <v>599.745</v>
          </cell>
          <cell r="O61">
            <v>5.8560100000000004</v>
          </cell>
          <cell r="P61">
            <v>85.371549999999999</v>
          </cell>
          <cell r="Q61">
            <v>109.91519000000001</v>
          </cell>
          <cell r="R61">
            <v>266.98106999999999</v>
          </cell>
          <cell r="S61">
            <v>31.055600000000002</v>
          </cell>
          <cell r="T61">
            <v>0</v>
          </cell>
          <cell r="U61">
            <v>338.06</v>
          </cell>
          <cell r="V61">
            <v>303.29000000000002</v>
          </cell>
          <cell r="W61">
            <v>45.813980000000001</v>
          </cell>
          <cell r="X61">
            <v>87.022639999999996</v>
          </cell>
          <cell r="Y61">
            <v>95.691470000000024</v>
          </cell>
          <cell r="Z61">
            <v>172.05895000000001</v>
          </cell>
          <cell r="AA61">
            <v>97.48</v>
          </cell>
          <cell r="AB61">
            <v>124.5</v>
          </cell>
          <cell r="AC61">
            <v>24.6</v>
          </cell>
          <cell r="AD61">
            <v>242.80507000000003</v>
          </cell>
          <cell r="AE61">
            <v>59.053990000000006</v>
          </cell>
          <cell r="AF61">
            <v>386.94792000000001</v>
          </cell>
          <cell r="AG61">
            <v>131.745</v>
          </cell>
          <cell r="AH61">
            <v>25.567970000000003</v>
          </cell>
          <cell r="AI61">
            <v>20.013860000000001</v>
          </cell>
          <cell r="AJ61">
            <v>77.600000000000009</v>
          </cell>
          <cell r="AK61">
            <v>165.52</v>
          </cell>
          <cell r="AL61">
            <v>76.783999999999992</v>
          </cell>
          <cell r="AM61">
            <v>181.59</v>
          </cell>
          <cell r="AN61">
            <v>113.33937</v>
          </cell>
          <cell r="AO61">
            <v>62.345350000000003</v>
          </cell>
          <cell r="AP61">
            <v>3.22</v>
          </cell>
          <cell r="AQ61">
            <v>79.133099999999999</v>
          </cell>
          <cell r="AR61">
            <v>44.5</v>
          </cell>
          <cell r="AS61">
            <v>278.49684000000002</v>
          </cell>
          <cell r="AT61">
            <v>175.37849</v>
          </cell>
          <cell r="AU61">
            <v>63.131999999999998</v>
          </cell>
          <cell r="AV61">
            <v>10.8</v>
          </cell>
          <cell r="AW61">
            <v>49.320119999999996</v>
          </cell>
          <cell r="AX61">
            <v>41.911929999999991</v>
          </cell>
          <cell r="AY61">
            <v>89.721980000000002</v>
          </cell>
          <cell r="AZ61">
            <v>168.53291000000002</v>
          </cell>
          <cell r="BA61">
            <v>65.565609999999992</v>
          </cell>
          <cell r="BB61">
            <v>180.68</v>
          </cell>
          <cell r="BC61">
            <v>119.24784</v>
          </cell>
          <cell r="BD61">
            <v>128.34139999999999</v>
          </cell>
          <cell r="BE61">
            <v>138.548</v>
          </cell>
          <cell r="BF61">
            <v>44</v>
          </cell>
        </row>
        <row r="62">
          <cell r="C62" t="str">
            <v>ביטוח-ביוב</v>
          </cell>
          <cell r="D62">
            <v>79.998603659631954</v>
          </cell>
          <cell r="E62">
            <v>70.057938988380968</v>
          </cell>
          <cell r="F62">
            <v>57.888729546391296</v>
          </cell>
          <cell r="G62">
            <v>360.81229362026232</v>
          </cell>
          <cell r="H62">
            <v>113.33435188231506</v>
          </cell>
          <cell r="I62">
            <v>79.015505758992731</v>
          </cell>
          <cell r="J62">
            <v>35.756812869628817</v>
          </cell>
          <cell r="K62">
            <v>48.946207718498663</v>
          </cell>
          <cell r="L62">
            <v>36.222407786755177</v>
          </cell>
          <cell r="M62">
            <v>71.579607967479788</v>
          </cell>
          <cell r="N62">
            <v>108.38331088727921</v>
          </cell>
          <cell r="O62">
            <v>56.861894824388145</v>
          </cell>
          <cell r="P62">
            <v>35.811362931567849</v>
          </cell>
          <cell r="Q62">
            <v>64.766325664630372</v>
          </cell>
          <cell r="R62">
            <v>136.36448790288182</v>
          </cell>
          <cell r="S62">
            <v>127.92964825204852</v>
          </cell>
          <cell r="T62">
            <v>136.32873786356544</v>
          </cell>
          <cell r="U62">
            <v>130.97356105220675</v>
          </cell>
          <cell r="V62">
            <v>125.93189259241174</v>
          </cell>
          <cell r="W62">
            <v>112.10746718720306</v>
          </cell>
          <cell r="X62">
            <v>32.591811976700406</v>
          </cell>
          <cell r="Y62">
            <v>38.956094105721917</v>
          </cell>
          <cell r="Z62">
            <v>35.363307645268691</v>
          </cell>
          <cell r="AA62">
            <v>24.646716909270733</v>
          </cell>
          <cell r="AB62">
            <v>46.876734563960838</v>
          </cell>
          <cell r="AC62">
            <v>53.723801550367</v>
          </cell>
          <cell r="AD62">
            <v>74.717419191102692</v>
          </cell>
          <cell r="AE62">
            <v>33.940300561406161</v>
          </cell>
          <cell r="AF62">
            <v>165.4922894027919</v>
          </cell>
          <cell r="AG62">
            <v>36.292480737303428</v>
          </cell>
          <cell r="AH62">
            <v>39.541225656144924</v>
          </cell>
          <cell r="AI62">
            <v>23.043631524266793</v>
          </cell>
          <cell r="AJ62">
            <v>24.299785614934507</v>
          </cell>
          <cell r="AK62">
            <v>21.511997154515061</v>
          </cell>
          <cell r="AL62">
            <v>19.876512264560603</v>
          </cell>
          <cell r="AM62">
            <v>283.93551781349225</v>
          </cell>
          <cell r="AN62">
            <v>35.774496438393463</v>
          </cell>
          <cell r="AO62">
            <v>74.16175913948787</v>
          </cell>
          <cell r="AP62">
            <v>23.452290775285388</v>
          </cell>
          <cell r="AQ62">
            <v>63.485637473595609</v>
          </cell>
          <cell r="AR62">
            <v>18.464556181084706</v>
          </cell>
          <cell r="AS62">
            <v>74.933859087764603</v>
          </cell>
          <cell r="AT62">
            <v>23.716895106963964</v>
          </cell>
          <cell r="AU62">
            <v>17.942565148897284</v>
          </cell>
          <cell r="AV62">
            <v>32.470573838592045</v>
          </cell>
          <cell r="AW62">
            <v>60.225004771700419</v>
          </cell>
          <cell r="AX62">
            <v>79.760812535643396</v>
          </cell>
          <cell r="AY62">
            <v>88.518559774290807</v>
          </cell>
          <cell r="AZ62">
            <v>45.304100437500516</v>
          </cell>
          <cell r="BA62">
            <v>25.120034551175987</v>
          </cell>
          <cell r="BB62">
            <v>36.839721016499233</v>
          </cell>
          <cell r="BC62">
            <v>40.126382413946928</v>
          </cell>
          <cell r="BD62">
            <v>42.437450376465591</v>
          </cell>
          <cell r="BE62">
            <v>61.018537236095931</v>
          </cell>
          <cell r="BF62">
            <v>7.6246056923132919</v>
          </cell>
        </row>
        <row r="63">
          <cell r="C63" t="str">
            <v>אחזקת רכב - נכלל בשכר העובדים</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row>
        <row r="64">
          <cell r="C64" t="str">
            <v>פחת</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row>
        <row r="65">
          <cell r="C65" t="str">
            <v>עלות איסוף שפכים</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row>
        <row r="66">
          <cell r="C66" t="str">
            <v xml:space="preserve">אחזקה משתנות </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v>0</v>
          </cell>
          <cell r="CY66">
            <v>0</v>
          </cell>
          <cell r="CZ66">
            <v>0</v>
          </cell>
          <cell r="DA66">
            <v>0</v>
          </cell>
          <cell r="DB66">
            <v>0</v>
          </cell>
          <cell r="DC66">
            <v>0</v>
          </cell>
          <cell r="DD66">
            <v>0</v>
          </cell>
          <cell r="DE66">
            <v>0</v>
          </cell>
          <cell r="DF66">
            <v>0</v>
          </cell>
        </row>
        <row r="67">
          <cell r="C67" t="str">
            <v>יועצים הנדסיים</v>
          </cell>
          <cell r="D67">
            <v>25.702362500000003</v>
          </cell>
          <cell r="E67">
            <v>22.291857500000003</v>
          </cell>
          <cell r="F67">
            <v>10.833142499999999</v>
          </cell>
          <cell r="G67">
            <v>135.7682025</v>
          </cell>
          <cell r="H67">
            <v>37.977567499999999</v>
          </cell>
          <cell r="I67">
            <v>3.9034449999999996</v>
          </cell>
          <cell r="J67">
            <v>11.377522500000001</v>
          </cell>
          <cell r="K67">
            <v>17.146179999999998</v>
          </cell>
          <cell r="L67">
            <v>12.5954225</v>
          </cell>
          <cell r="M67">
            <v>22.776039999999998</v>
          </cell>
          <cell r="N67">
            <v>37.967390000000002</v>
          </cell>
          <cell r="O67">
            <v>19.919097499999999</v>
          </cell>
          <cell r="P67">
            <v>12.131325</v>
          </cell>
          <cell r="Q67">
            <v>12.1201975</v>
          </cell>
          <cell r="R67">
            <v>47.520904999999992</v>
          </cell>
          <cell r="S67">
            <v>43.336974999999995</v>
          </cell>
          <cell r="T67">
            <v>43.80039750000001</v>
          </cell>
          <cell r="U67">
            <v>45.542729999999999</v>
          </cell>
          <cell r="V67">
            <v>24.510222500000001</v>
          </cell>
          <cell r="W67">
            <v>20.979492500000003</v>
          </cell>
          <cell r="X67">
            <v>11.332974999999999</v>
          </cell>
          <cell r="Y67">
            <v>13.545992499999999</v>
          </cell>
          <cell r="Z67">
            <v>8.0284875000000007</v>
          </cell>
          <cell r="AA67">
            <v>8.3920925000000004</v>
          </cell>
          <cell r="AB67">
            <v>14.506342500000002</v>
          </cell>
          <cell r="AC67">
            <v>18.721910000000001</v>
          </cell>
          <cell r="AD67">
            <v>23.1218425</v>
          </cell>
          <cell r="AE67">
            <v>10.503069999999997</v>
          </cell>
          <cell r="AF67">
            <v>56.349354999999996</v>
          </cell>
          <cell r="AG67">
            <v>12.161362499999999</v>
          </cell>
          <cell r="AH67">
            <v>8.9769950000000005</v>
          </cell>
          <cell r="AI67">
            <v>8.0303474999999995</v>
          </cell>
          <cell r="AJ67">
            <v>7.8071600000000005</v>
          </cell>
          <cell r="AK67">
            <v>7.3247350000000004</v>
          </cell>
          <cell r="AL67">
            <v>6.7678600000000007</v>
          </cell>
          <cell r="AM67">
            <v>107.1201925</v>
          </cell>
          <cell r="AN67">
            <v>12.532042499999998</v>
          </cell>
          <cell r="AO67">
            <v>27.978965000000002</v>
          </cell>
          <cell r="AP67">
            <v>8.8478324999999991</v>
          </cell>
          <cell r="AQ67">
            <v>21.506160000000001</v>
          </cell>
          <cell r="AR67">
            <v>5.9323874999999999</v>
          </cell>
          <cell r="AS67">
            <v>23.843335</v>
          </cell>
          <cell r="AT67">
            <v>8.0754924999999993</v>
          </cell>
          <cell r="AU67">
            <v>6.1093600000000006</v>
          </cell>
          <cell r="AV67">
            <v>10.0482525</v>
          </cell>
          <cell r="AW67">
            <v>13.672807500000001</v>
          </cell>
          <cell r="AX67">
            <v>18.107997499999996</v>
          </cell>
          <cell r="AY67">
            <v>29.661965000000002</v>
          </cell>
          <cell r="AZ67">
            <v>15.787775</v>
          </cell>
          <cell r="BA67">
            <v>7.9929874999999999</v>
          </cell>
          <cell r="BB67">
            <v>12.8100775</v>
          </cell>
          <cell r="BC67">
            <v>12.4173975</v>
          </cell>
          <cell r="BD67">
            <v>14.788791999999999</v>
          </cell>
          <cell r="BE67">
            <v>18.882624999999997</v>
          </cell>
          <cell r="BF67">
            <v>2.4496724999999997</v>
          </cell>
        </row>
        <row r="68">
          <cell r="C68" t="str">
            <v xml:space="preserve">בדיקות מעבדה </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row>
        <row r="69">
          <cell r="C69" t="str">
            <v>מוקד תקלות-ביוב</v>
          </cell>
          <cell r="D69">
            <v>66.665503049693299</v>
          </cell>
          <cell r="E69">
            <v>58.381615823650812</v>
          </cell>
          <cell r="F69">
            <v>48.240607955326084</v>
          </cell>
          <cell r="G69">
            <v>300.67691135021863</v>
          </cell>
          <cell r="H69">
            <v>94.445293235262554</v>
          </cell>
          <cell r="I69">
            <v>65.846254799160604</v>
          </cell>
          <cell r="J69">
            <v>29.797344058024017</v>
          </cell>
          <cell r="K69">
            <v>40.788506432082215</v>
          </cell>
          <cell r="L69">
            <v>30.185339822295987</v>
          </cell>
          <cell r="M69">
            <v>59.649673306233169</v>
          </cell>
          <cell r="N69">
            <v>90.31942573939935</v>
          </cell>
          <cell r="O69">
            <v>47.384912353656787</v>
          </cell>
          <cell r="P69">
            <v>29.842802442973213</v>
          </cell>
          <cell r="Q69">
            <v>53.971938053858644</v>
          </cell>
          <cell r="R69">
            <v>113.63707325240154</v>
          </cell>
          <cell r="S69">
            <v>106.60804021004044</v>
          </cell>
          <cell r="T69">
            <v>113.60728155297119</v>
          </cell>
          <cell r="U69">
            <v>109.14463421017231</v>
          </cell>
          <cell r="V69">
            <v>104.94324382700979</v>
          </cell>
          <cell r="W69">
            <v>93.422889322669207</v>
          </cell>
          <cell r="X69">
            <v>27.159843313917005</v>
          </cell>
          <cell r="Y69">
            <v>32.463411754768273</v>
          </cell>
          <cell r="Z69">
            <v>29.469423037723914</v>
          </cell>
          <cell r="AA69">
            <v>20.538930757725613</v>
          </cell>
          <cell r="AB69">
            <v>39.063945469967372</v>
          </cell>
          <cell r="AC69">
            <v>44.769834625305833</v>
          </cell>
          <cell r="AD69">
            <v>62.264515992585579</v>
          </cell>
          <cell r="AE69">
            <v>28.283583801171801</v>
          </cell>
          <cell r="AF69">
            <v>137.91024116899325</v>
          </cell>
          <cell r="AG69">
            <v>30.243733947752858</v>
          </cell>
          <cell r="AH69">
            <v>32.951021380120764</v>
          </cell>
          <cell r="AI69">
            <v>19.203026270222328</v>
          </cell>
          <cell r="AJ69">
            <v>20.249821345778756</v>
          </cell>
          <cell r="AK69">
            <v>17.926664295429219</v>
          </cell>
          <cell r="AL69">
            <v>16.56376022046717</v>
          </cell>
          <cell r="AM69">
            <v>236.61293151124354</v>
          </cell>
          <cell r="AN69">
            <v>29.812080365327883</v>
          </cell>
          <cell r="AO69">
            <v>61.801465949573227</v>
          </cell>
          <cell r="AP69">
            <v>19.543575646071158</v>
          </cell>
          <cell r="AQ69">
            <v>52.904697894663009</v>
          </cell>
          <cell r="AR69">
            <v>15.387130150903923</v>
          </cell>
          <cell r="AS69">
            <v>62.444882573137171</v>
          </cell>
          <cell r="AT69">
            <v>19.764079255803306</v>
          </cell>
          <cell r="AU69">
            <v>14.952137624081068</v>
          </cell>
          <cell r="AV69">
            <v>27.058811532160039</v>
          </cell>
          <cell r="AW69">
            <v>50.187503976417013</v>
          </cell>
          <cell r="AX69">
            <v>66.46734377970283</v>
          </cell>
          <cell r="AY69">
            <v>73.765466478575661</v>
          </cell>
          <cell r="AZ69">
            <v>37.753417031250436</v>
          </cell>
          <cell r="BA69">
            <v>20.933362125979993</v>
          </cell>
          <cell r="BB69">
            <v>30.699767513749364</v>
          </cell>
          <cell r="BC69">
            <v>33.438652011622437</v>
          </cell>
          <cell r="BD69">
            <v>35.364541980387997</v>
          </cell>
          <cell r="BE69">
            <v>50.848781030079948</v>
          </cell>
          <cell r="BF69">
            <v>6.3538380769277438</v>
          </cell>
        </row>
        <row r="70">
          <cell r="C70" t="str">
            <v xml:space="preserve">טלפון ותקשורת-ביוב </v>
          </cell>
          <cell r="D70">
            <v>26.666201219877319</v>
          </cell>
          <cell r="E70">
            <v>23.35264632946032</v>
          </cell>
          <cell r="F70">
            <v>19.296243182130436</v>
          </cell>
          <cell r="G70">
            <v>120.27076454008746</v>
          </cell>
          <cell r="H70">
            <v>37.778117294105023</v>
          </cell>
          <cell r="I70">
            <v>26.338501919664242</v>
          </cell>
          <cell r="J70">
            <v>11.918937623209606</v>
          </cell>
          <cell r="K70">
            <v>16.315402572832888</v>
          </cell>
          <cell r="L70">
            <v>12.074135928918393</v>
          </cell>
          <cell r="M70">
            <v>23.859869322493267</v>
          </cell>
          <cell r="N70">
            <v>36.127770295759738</v>
          </cell>
          <cell r="O70">
            <v>18.953964941462715</v>
          </cell>
          <cell r="P70">
            <v>11.937120977189286</v>
          </cell>
          <cell r="Q70">
            <v>21.588775221543457</v>
          </cell>
          <cell r="R70">
            <v>45.454829300960611</v>
          </cell>
          <cell r="S70">
            <v>42.643216084016174</v>
          </cell>
          <cell r="T70">
            <v>45.442912621188484</v>
          </cell>
          <cell r="U70">
            <v>43.657853684068925</v>
          </cell>
          <cell r="V70">
            <v>41.977297530803916</v>
          </cell>
          <cell r="W70">
            <v>37.369155729067685</v>
          </cell>
          <cell r="X70">
            <v>10.863937325566802</v>
          </cell>
          <cell r="Y70">
            <v>12.985364701907308</v>
          </cell>
          <cell r="Z70">
            <v>11.787769215089563</v>
          </cell>
          <cell r="AA70">
            <v>8.2155723030902443</v>
          </cell>
          <cell r="AB70">
            <v>15.625578187986946</v>
          </cell>
          <cell r="AC70">
            <v>17.907933850122333</v>
          </cell>
          <cell r="AD70">
            <v>24.90580639703423</v>
          </cell>
          <cell r="AE70">
            <v>11.31343352046872</v>
          </cell>
          <cell r="AF70">
            <v>55.164096467597304</v>
          </cell>
          <cell r="AG70">
            <v>12.097493579101146</v>
          </cell>
          <cell r="AH70">
            <v>13.180408552048309</v>
          </cell>
          <cell r="AI70">
            <v>7.681210508088931</v>
          </cell>
          <cell r="AJ70">
            <v>8.0999285383115023</v>
          </cell>
          <cell r="AK70">
            <v>7.1706657181716871</v>
          </cell>
          <cell r="AL70">
            <v>6.625504088186867</v>
          </cell>
          <cell r="AM70">
            <v>94.645172604497418</v>
          </cell>
          <cell r="AN70">
            <v>11.924832146131152</v>
          </cell>
          <cell r="AO70">
            <v>24.720586379829292</v>
          </cell>
          <cell r="AP70">
            <v>7.8174302584284634</v>
          </cell>
          <cell r="AQ70">
            <v>21.161879157865208</v>
          </cell>
          <cell r="AR70">
            <v>6.1548520603615691</v>
          </cell>
          <cell r="AS70">
            <v>24.97795302925487</v>
          </cell>
          <cell r="AT70">
            <v>7.9056317023213207</v>
          </cell>
          <cell r="AU70">
            <v>5.980855049632428</v>
          </cell>
          <cell r="AV70">
            <v>10.823524612864016</v>
          </cell>
          <cell r="AW70">
            <v>20.075001590566806</v>
          </cell>
          <cell r="AX70">
            <v>26.586937511881136</v>
          </cell>
          <cell r="AY70">
            <v>29.506186591430264</v>
          </cell>
          <cell r="AZ70">
            <v>15.101366812500171</v>
          </cell>
          <cell r="BA70">
            <v>8.3733448503919981</v>
          </cell>
          <cell r="BB70">
            <v>12.279907005499746</v>
          </cell>
          <cell r="BC70">
            <v>13.375460804648975</v>
          </cell>
          <cell r="BD70">
            <v>14.145816792155198</v>
          </cell>
          <cell r="BE70">
            <v>20.339512412031979</v>
          </cell>
          <cell r="BF70">
            <v>2.5415352307710979</v>
          </cell>
        </row>
        <row r="71">
          <cell r="C71" t="str">
            <v xml:space="preserve">פיקוד ובקרה-ביוב </v>
          </cell>
          <cell r="D71">
            <v>26.666201219877319</v>
          </cell>
          <cell r="E71">
            <v>23.35264632946032</v>
          </cell>
          <cell r="F71">
            <v>19.296243182130436</v>
          </cell>
          <cell r="G71">
            <v>120.27076454008746</v>
          </cell>
          <cell r="H71">
            <v>37.778117294105023</v>
          </cell>
          <cell r="I71">
            <v>26.338501919664242</v>
          </cell>
          <cell r="J71">
            <v>11.918937623209606</v>
          </cell>
          <cell r="K71">
            <v>16.315402572832888</v>
          </cell>
          <cell r="L71">
            <v>12.074135928918393</v>
          </cell>
          <cell r="M71">
            <v>23.859869322493267</v>
          </cell>
          <cell r="N71">
            <v>36.127770295759738</v>
          </cell>
          <cell r="O71">
            <v>18.953964941462715</v>
          </cell>
          <cell r="P71">
            <v>11.937120977189286</v>
          </cell>
          <cell r="Q71">
            <v>21.588775221543457</v>
          </cell>
          <cell r="R71">
            <v>45.454829300960611</v>
          </cell>
          <cell r="S71">
            <v>42.643216084016174</v>
          </cell>
          <cell r="T71">
            <v>45.442912621188484</v>
          </cell>
          <cell r="U71">
            <v>43.657853684068925</v>
          </cell>
          <cell r="V71">
            <v>41.977297530803916</v>
          </cell>
          <cell r="W71">
            <v>37.369155729067685</v>
          </cell>
          <cell r="X71">
            <v>10.863937325566802</v>
          </cell>
          <cell r="Y71">
            <v>12.985364701907308</v>
          </cell>
          <cell r="Z71">
            <v>11.787769215089563</v>
          </cell>
          <cell r="AA71">
            <v>8.2155723030902443</v>
          </cell>
          <cell r="AB71">
            <v>15.625578187986946</v>
          </cell>
          <cell r="AC71">
            <v>17.907933850122333</v>
          </cell>
          <cell r="AD71">
            <v>24.90580639703423</v>
          </cell>
          <cell r="AE71">
            <v>11.31343352046872</v>
          </cell>
          <cell r="AF71">
            <v>55.164096467597304</v>
          </cell>
          <cell r="AG71">
            <v>12.097493579101146</v>
          </cell>
          <cell r="AH71">
            <v>13.180408552048309</v>
          </cell>
          <cell r="AI71">
            <v>7.681210508088931</v>
          </cell>
          <cell r="AJ71">
            <v>8.0999285383115023</v>
          </cell>
          <cell r="AK71">
            <v>7.1706657181716871</v>
          </cell>
          <cell r="AL71">
            <v>6.625504088186867</v>
          </cell>
          <cell r="AM71">
            <v>94.645172604497418</v>
          </cell>
          <cell r="AN71">
            <v>11.924832146131152</v>
          </cell>
          <cell r="AO71">
            <v>24.720586379829292</v>
          </cell>
          <cell r="AP71">
            <v>7.8174302584284634</v>
          </cell>
          <cell r="AQ71">
            <v>21.161879157865208</v>
          </cell>
          <cell r="AR71">
            <v>6.1548520603615691</v>
          </cell>
          <cell r="AS71">
            <v>24.97795302925487</v>
          </cell>
          <cell r="AT71">
            <v>7.9056317023213207</v>
          </cell>
          <cell r="AU71">
            <v>5.980855049632428</v>
          </cell>
          <cell r="AV71">
            <v>10.823524612864016</v>
          </cell>
          <cell r="AW71">
            <v>20.075001590566806</v>
          </cell>
          <cell r="AX71">
            <v>26.586937511881136</v>
          </cell>
          <cell r="AY71">
            <v>29.506186591430264</v>
          </cell>
          <cell r="AZ71">
            <v>15.101366812500171</v>
          </cell>
          <cell r="BA71">
            <v>8.3733448503919981</v>
          </cell>
          <cell r="BB71">
            <v>12.279907005499746</v>
          </cell>
          <cell r="BC71">
            <v>13.375460804648975</v>
          </cell>
          <cell r="BD71">
            <v>14.145816792155198</v>
          </cell>
          <cell r="BE71">
            <v>20.339512412031979</v>
          </cell>
          <cell r="BF71">
            <v>2.5415352307710979</v>
          </cell>
        </row>
        <row r="72">
          <cell r="C72" t="str">
            <v>פיקוח ואבטחת מט"ש</v>
          </cell>
          <cell r="D72">
            <v>0</v>
          </cell>
          <cell r="E72">
            <v>89.16743000000001</v>
          </cell>
          <cell r="F72">
            <v>43.332569999999997</v>
          </cell>
          <cell r="G72">
            <v>543.07281</v>
          </cell>
          <cell r="H72">
            <v>151.91027</v>
          </cell>
          <cell r="I72">
            <v>15.61378</v>
          </cell>
          <cell r="J72">
            <v>45.510089999999998</v>
          </cell>
          <cell r="K72">
            <v>0</v>
          </cell>
          <cell r="L72">
            <v>0</v>
          </cell>
          <cell r="M72">
            <v>91.104159999999993</v>
          </cell>
          <cell r="N72">
            <v>151.86956000000001</v>
          </cell>
          <cell r="O72">
            <v>79.676389999999998</v>
          </cell>
          <cell r="P72">
            <v>0</v>
          </cell>
          <cell r="Q72">
            <v>0</v>
          </cell>
          <cell r="R72">
            <v>190.08361999999997</v>
          </cell>
          <cell r="S72">
            <v>0</v>
          </cell>
          <cell r="T72">
            <v>0</v>
          </cell>
          <cell r="U72">
            <v>0</v>
          </cell>
          <cell r="V72">
            <v>98.040890000000005</v>
          </cell>
          <cell r="W72">
            <v>83.917970000000011</v>
          </cell>
          <cell r="X72">
            <v>0</v>
          </cell>
          <cell r="Y72">
            <v>0</v>
          </cell>
          <cell r="Z72">
            <v>32.113950000000003</v>
          </cell>
          <cell r="AA72">
            <v>0</v>
          </cell>
          <cell r="AB72">
            <v>58.025370000000002</v>
          </cell>
          <cell r="AC72">
            <v>74.887640000000005</v>
          </cell>
          <cell r="AD72">
            <v>92.487369999999999</v>
          </cell>
          <cell r="AE72">
            <v>42.01227999999999</v>
          </cell>
          <cell r="AF72">
            <v>0</v>
          </cell>
          <cell r="AG72">
            <v>48.645450000000004</v>
          </cell>
          <cell r="AH72">
            <v>0</v>
          </cell>
          <cell r="AI72">
            <v>32.121389999999998</v>
          </cell>
          <cell r="AJ72">
            <v>0</v>
          </cell>
          <cell r="AK72">
            <v>0</v>
          </cell>
          <cell r="AL72">
            <v>0</v>
          </cell>
          <cell r="AM72">
            <v>0</v>
          </cell>
          <cell r="AN72">
            <v>0</v>
          </cell>
          <cell r="AO72">
            <v>0</v>
          </cell>
          <cell r="AP72">
            <v>0</v>
          </cell>
          <cell r="AQ72">
            <v>0</v>
          </cell>
          <cell r="AR72">
            <v>0</v>
          </cell>
          <cell r="AS72">
            <v>95.373340000000013</v>
          </cell>
          <cell r="AT72">
            <v>32.301969999999997</v>
          </cell>
          <cell r="AU72">
            <v>0</v>
          </cell>
          <cell r="AV72">
            <v>0</v>
          </cell>
          <cell r="AW72">
            <v>54.691230000000004</v>
          </cell>
          <cell r="AX72">
            <v>72.431989999999999</v>
          </cell>
          <cell r="AY72">
            <v>118.64786000000001</v>
          </cell>
          <cell r="AZ72">
            <v>63.1511</v>
          </cell>
          <cell r="BA72">
            <v>31.971949999999996</v>
          </cell>
          <cell r="BB72">
            <v>51.240310000000001</v>
          </cell>
          <cell r="BC72">
            <v>0</v>
          </cell>
          <cell r="BD72">
            <v>59.155167999999996</v>
          </cell>
          <cell r="BE72">
            <v>0</v>
          </cell>
          <cell r="BF72">
            <v>0</v>
          </cell>
        </row>
        <row r="73">
          <cell r="C73" t="str">
            <v>אחרות</v>
          </cell>
          <cell r="D73">
            <v>53.332402439754638</v>
          </cell>
          <cell r="E73">
            <v>46.705292658920641</v>
          </cell>
          <cell r="F73">
            <v>38.592486364260871</v>
          </cell>
          <cell r="G73">
            <v>240.54152908017491</v>
          </cell>
          <cell r="H73">
            <v>75.556234588210046</v>
          </cell>
          <cell r="I73">
            <v>52.677003839328485</v>
          </cell>
          <cell r="J73">
            <v>23.837875246419213</v>
          </cell>
          <cell r="K73">
            <v>32.630805145665775</v>
          </cell>
          <cell r="L73">
            <v>24.148271857836786</v>
          </cell>
          <cell r="M73">
            <v>47.719738644986535</v>
          </cell>
          <cell r="N73">
            <v>72.255540591519477</v>
          </cell>
          <cell r="O73">
            <v>37.90792988292543</v>
          </cell>
          <cell r="P73">
            <v>23.874241954378572</v>
          </cell>
          <cell r="Q73">
            <v>43.177550443086915</v>
          </cell>
          <cell r="R73">
            <v>90.909658601921222</v>
          </cell>
          <cell r="S73">
            <v>85.286432168032348</v>
          </cell>
          <cell r="T73">
            <v>90.885825242376967</v>
          </cell>
          <cell r="U73">
            <v>87.315707368137851</v>
          </cell>
          <cell r="V73">
            <v>83.954595061607833</v>
          </cell>
          <cell r="W73">
            <v>74.738311458135371</v>
          </cell>
          <cell r="X73">
            <v>21.727874651133604</v>
          </cell>
          <cell r="Y73">
            <v>25.970729403814616</v>
          </cell>
          <cell r="Z73">
            <v>23.575538430179126</v>
          </cell>
          <cell r="AA73">
            <v>16.431144606180489</v>
          </cell>
          <cell r="AB73">
            <v>31.251156375973892</v>
          </cell>
          <cell r="AC73">
            <v>35.815867700244667</v>
          </cell>
          <cell r="AD73">
            <v>49.811612794068459</v>
          </cell>
          <cell r="AE73">
            <v>22.626867040937441</v>
          </cell>
          <cell r="AF73">
            <v>110.32819293519461</v>
          </cell>
          <cell r="AG73">
            <v>24.194987158202292</v>
          </cell>
          <cell r="AH73">
            <v>26.360817104096618</v>
          </cell>
          <cell r="AI73">
            <v>15.362421016177862</v>
          </cell>
          <cell r="AJ73">
            <v>16.199857076623005</v>
          </cell>
          <cell r="AK73">
            <v>14.341331436343374</v>
          </cell>
          <cell r="AL73">
            <v>13.251008176373734</v>
          </cell>
          <cell r="AM73">
            <v>189.29034520899484</v>
          </cell>
          <cell r="AN73">
            <v>23.849664292262304</v>
          </cell>
          <cell r="AO73">
            <v>49.441172759658585</v>
          </cell>
          <cell r="AP73">
            <v>15.634860516856927</v>
          </cell>
          <cell r="AQ73">
            <v>42.323758315730416</v>
          </cell>
          <cell r="AR73">
            <v>12.309704120723138</v>
          </cell>
          <cell r="AS73">
            <v>49.95590605850974</v>
          </cell>
          <cell r="AT73">
            <v>15.811263404642641</v>
          </cell>
          <cell r="AU73">
            <v>11.961710099264856</v>
          </cell>
          <cell r="AV73">
            <v>21.647049225728033</v>
          </cell>
          <cell r="AW73">
            <v>40.150003181133613</v>
          </cell>
          <cell r="AX73">
            <v>53.173875023762271</v>
          </cell>
          <cell r="AY73">
            <v>59.012373182860529</v>
          </cell>
          <cell r="AZ73">
            <v>30.202733625000342</v>
          </cell>
          <cell r="BA73">
            <v>16.746689700783996</v>
          </cell>
          <cell r="BB73">
            <v>24.559814010999492</v>
          </cell>
          <cell r="BC73">
            <v>26.750921609297951</v>
          </cell>
          <cell r="BD73">
            <v>28.291633584310397</v>
          </cell>
          <cell r="BE73">
            <v>40.679024824063958</v>
          </cell>
          <cell r="BF73">
            <v>5.0830704615421958</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cell r="BZ73">
            <v>0</v>
          </cell>
          <cell r="CA73">
            <v>0</v>
          </cell>
          <cell r="CB73">
            <v>0</v>
          </cell>
          <cell r="CC73">
            <v>0</v>
          </cell>
          <cell r="CD73">
            <v>0</v>
          </cell>
          <cell r="CE73">
            <v>0</v>
          </cell>
          <cell r="CF73">
            <v>0</v>
          </cell>
          <cell r="CG73">
            <v>0</v>
          </cell>
          <cell r="CH73">
            <v>0</v>
          </cell>
          <cell r="CI73">
            <v>0</v>
          </cell>
          <cell r="CJ73">
            <v>0</v>
          </cell>
          <cell r="CK73">
            <v>0</v>
          </cell>
          <cell r="CL73">
            <v>0</v>
          </cell>
          <cell r="CM73">
            <v>0</v>
          </cell>
          <cell r="CN73">
            <v>0</v>
          </cell>
          <cell r="CO73">
            <v>0</v>
          </cell>
          <cell r="CP73">
            <v>0</v>
          </cell>
          <cell r="CQ73">
            <v>0</v>
          </cell>
          <cell r="CR73">
            <v>0</v>
          </cell>
          <cell r="CS73">
            <v>0</v>
          </cell>
          <cell r="CT73">
            <v>0</v>
          </cell>
          <cell r="CU73">
            <v>0</v>
          </cell>
          <cell r="CV73">
            <v>0</v>
          </cell>
          <cell r="CW73">
            <v>0</v>
          </cell>
          <cell r="CX73">
            <v>0</v>
          </cell>
          <cell r="CY73">
            <v>0</v>
          </cell>
          <cell r="CZ73">
            <v>0</v>
          </cell>
          <cell r="DA73">
            <v>0</v>
          </cell>
          <cell r="DB73">
            <v>0</v>
          </cell>
          <cell r="DC73">
            <v>0</v>
          </cell>
          <cell r="DD73">
            <v>0</v>
          </cell>
          <cell r="DE73">
            <v>0</v>
          </cell>
          <cell r="DF73">
            <v>0</v>
          </cell>
        </row>
        <row r="74">
          <cell r="C74" t="str">
            <v>(דמי שכירות)</v>
          </cell>
          <cell r="D74">
            <v>79.998603659631954</v>
          </cell>
          <cell r="E74">
            <v>70.057938988380968</v>
          </cell>
          <cell r="F74">
            <v>57.888729546391296</v>
          </cell>
          <cell r="G74">
            <v>360.81229362026232</v>
          </cell>
          <cell r="H74">
            <v>113.33435188231506</v>
          </cell>
          <cell r="I74">
            <v>79.015505758992731</v>
          </cell>
          <cell r="J74">
            <v>35.756812869628817</v>
          </cell>
          <cell r="K74">
            <v>48.946207718498663</v>
          </cell>
          <cell r="L74">
            <v>36.222407786755177</v>
          </cell>
          <cell r="M74">
            <v>71.579607967479788</v>
          </cell>
          <cell r="N74">
            <v>108.38331088727921</v>
          </cell>
          <cell r="O74">
            <v>56.861894824388145</v>
          </cell>
          <cell r="P74">
            <v>35.811362931567849</v>
          </cell>
          <cell r="Q74">
            <v>64.766325664630372</v>
          </cell>
          <cell r="R74">
            <v>136.36448790288182</v>
          </cell>
          <cell r="S74">
            <v>127.92964825204852</v>
          </cell>
          <cell r="T74">
            <v>136.32873786356544</v>
          </cell>
          <cell r="U74">
            <v>130.97356105220675</v>
          </cell>
          <cell r="V74">
            <v>125.93189259241174</v>
          </cell>
          <cell r="W74">
            <v>112.10746718720306</v>
          </cell>
          <cell r="X74">
            <v>32.591811976700406</v>
          </cell>
          <cell r="Y74">
            <v>38.956094105721917</v>
          </cell>
          <cell r="Z74">
            <v>35.363307645268691</v>
          </cell>
          <cell r="AA74">
            <v>24.646716909270733</v>
          </cell>
          <cell r="AB74">
            <v>46.876734563960838</v>
          </cell>
          <cell r="AC74">
            <v>53.723801550367</v>
          </cell>
          <cell r="AD74">
            <v>74.717419191102692</v>
          </cell>
          <cell r="AE74">
            <v>33.940300561406161</v>
          </cell>
          <cell r="AF74">
            <v>165.4922894027919</v>
          </cell>
          <cell r="AG74">
            <v>36.292480737303428</v>
          </cell>
          <cell r="AH74">
            <v>39.541225656144924</v>
          </cell>
          <cell r="AI74">
            <v>23.043631524266793</v>
          </cell>
          <cell r="AJ74">
            <v>24.299785614934507</v>
          </cell>
          <cell r="AK74">
            <v>21.511997154515061</v>
          </cell>
          <cell r="AL74">
            <v>19.876512264560603</v>
          </cell>
          <cell r="AM74">
            <v>283.93551781349225</v>
          </cell>
          <cell r="AN74">
            <v>35.774496438393463</v>
          </cell>
          <cell r="AO74">
            <v>74.16175913948787</v>
          </cell>
          <cell r="AP74">
            <v>23.452290775285388</v>
          </cell>
          <cell r="AQ74">
            <v>63.485637473595609</v>
          </cell>
          <cell r="AR74">
            <v>18.464556181084706</v>
          </cell>
          <cell r="AS74">
            <v>74.933859087764603</v>
          </cell>
          <cell r="AT74">
            <v>23.716895106963964</v>
          </cell>
          <cell r="AU74">
            <v>17.942565148897284</v>
          </cell>
          <cell r="AV74">
            <v>32.470573838592045</v>
          </cell>
          <cell r="AW74">
            <v>60.225004771700419</v>
          </cell>
          <cell r="AX74">
            <v>79.760812535643396</v>
          </cell>
          <cell r="AY74">
            <v>88.518559774290807</v>
          </cell>
          <cell r="AZ74">
            <v>45.304100437500516</v>
          </cell>
          <cell r="BA74">
            <v>25.120034551175987</v>
          </cell>
          <cell r="BB74">
            <v>36.839721016499233</v>
          </cell>
          <cell r="BC74">
            <v>40.126382413946928</v>
          </cell>
          <cell r="BD74">
            <v>42.437450376465591</v>
          </cell>
          <cell r="BE74">
            <v>61.018537236095931</v>
          </cell>
          <cell r="BF74">
            <v>7.6246056923132919</v>
          </cell>
        </row>
        <row r="75">
          <cell r="C75" t="str">
            <v>הכנסות נוספות משרותי ביוב ליישובים סמוכים ללא מט"ש</v>
          </cell>
          <cell r="D75">
            <v>0</v>
          </cell>
          <cell r="E75">
            <v>0</v>
          </cell>
          <cell r="F75">
            <v>0</v>
          </cell>
          <cell r="G75">
            <v>0</v>
          </cell>
          <cell r="H75">
            <v>0</v>
          </cell>
          <cell r="I75">
            <v>0</v>
          </cell>
          <cell r="J75">
            <v>0</v>
          </cell>
          <cell r="K75">
            <v>0</v>
          </cell>
          <cell r="L75">
            <v>156</v>
          </cell>
          <cell r="M75">
            <v>0</v>
          </cell>
          <cell r="N75">
            <v>-475.20000000000022</v>
          </cell>
          <cell r="O75">
            <v>0</v>
          </cell>
          <cell r="P75">
            <v>600</v>
          </cell>
          <cell r="Q75">
            <v>0</v>
          </cell>
          <cell r="R75">
            <v>-554.19149407296322</v>
          </cell>
          <cell r="S75">
            <v>750</v>
          </cell>
          <cell r="T75">
            <v>0</v>
          </cell>
          <cell r="U75">
            <v>0</v>
          </cell>
          <cell r="V75">
            <v>0</v>
          </cell>
          <cell r="W75">
            <v>0</v>
          </cell>
          <cell r="X75">
            <v>-780</v>
          </cell>
          <cell r="Y75">
            <v>-60</v>
          </cell>
          <cell r="Z75">
            <v>0</v>
          </cell>
          <cell r="AA75">
            <v>0</v>
          </cell>
          <cell r="AB75">
            <v>0</v>
          </cell>
          <cell r="AC75">
            <v>0</v>
          </cell>
          <cell r="AD75">
            <v>0</v>
          </cell>
          <cell r="AE75">
            <v>0</v>
          </cell>
          <cell r="AF75">
            <v>0</v>
          </cell>
          <cell r="AG75">
            <v>0</v>
          </cell>
          <cell r="AH75">
            <v>0</v>
          </cell>
          <cell r="AI75">
            <v>0</v>
          </cell>
          <cell r="AJ75">
            <v>0</v>
          </cell>
          <cell r="AK75">
            <v>0</v>
          </cell>
          <cell r="AL75">
            <v>-531</v>
          </cell>
          <cell r="AM75">
            <v>765</v>
          </cell>
          <cell r="AN75">
            <v>528</v>
          </cell>
          <cell r="AO75">
            <v>0</v>
          </cell>
          <cell r="AP75">
            <v>0</v>
          </cell>
          <cell r="AQ75">
            <v>0</v>
          </cell>
          <cell r="AR75">
            <v>0</v>
          </cell>
          <cell r="AS75">
            <v>590</v>
          </cell>
          <cell r="AT75">
            <v>0</v>
          </cell>
          <cell r="AU75">
            <v>0</v>
          </cell>
          <cell r="AV75">
            <v>0</v>
          </cell>
          <cell r="AW75">
            <v>0</v>
          </cell>
          <cell r="AX75">
            <v>0</v>
          </cell>
          <cell r="AY75">
            <v>0</v>
          </cell>
          <cell r="AZ75">
            <v>0</v>
          </cell>
          <cell r="BA75">
            <v>0</v>
          </cell>
          <cell r="BB75">
            <v>0</v>
          </cell>
          <cell r="BC75">
            <v>0</v>
          </cell>
          <cell r="BD75">
            <v>615.77</v>
          </cell>
          <cell r="BE75">
            <v>0</v>
          </cell>
          <cell r="BF75">
            <v>0</v>
          </cell>
        </row>
        <row r="76">
          <cell r="C76" t="str">
            <v>ביוביות</v>
          </cell>
          <cell r="D76">
            <v>0</v>
          </cell>
          <cell r="E76">
            <v>165.92169790489024</v>
          </cell>
          <cell r="F76">
            <v>0</v>
          </cell>
          <cell r="G76">
            <v>0</v>
          </cell>
          <cell r="H76">
            <v>0</v>
          </cell>
          <cell r="I76">
            <v>0</v>
          </cell>
          <cell r="J76">
            <v>774.65733291032211</v>
          </cell>
          <cell r="K76">
            <v>0</v>
          </cell>
          <cell r="L76">
            <v>0</v>
          </cell>
          <cell r="M76">
            <v>0</v>
          </cell>
          <cell r="N76">
            <v>0</v>
          </cell>
          <cell r="O76">
            <v>2632.2605374824766</v>
          </cell>
          <cell r="P76">
            <v>0</v>
          </cell>
          <cell r="Q76">
            <v>0</v>
          </cell>
          <cell r="R76">
            <v>0</v>
          </cell>
          <cell r="S76">
            <v>0</v>
          </cell>
          <cell r="T76">
            <v>0</v>
          </cell>
          <cell r="U76">
            <v>0</v>
          </cell>
          <cell r="V76">
            <v>0</v>
          </cell>
          <cell r="W76">
            <v>677.22918961690289</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438.0116009237845</v>
          </cell>
          <cell r="AT76">
            <v>0</v>
          </cell>
          <cell r="AU76">
            <v>0</v>
          </cell>
          <cell r="AV76">
            <v>0</v>
          </cell>
          <cell r="AW76">
            <v>110.78037949778704</v>
          </cell>
          <cell r="AX76">
            <v>255.73046681100405</v>
          </cell>
          <cell r="AY76">
            <v>0</v>
          </cell>
          <cell r="AZ76">
            <v>0</v>
          </cell>
          <cell r="BA76">
            <v>0</v>
          </cell>
          <cell r="BB76">
            <v>0</v>
          </cell>
          <cell r="BC76">
            <v>563.3279588738967</v>
          </cell>
          <cell r="BD76">
            <v>1539.5580751148998</v>
          </cell>
          <cell r="BE76">
            <v>0</v>
          </cell>
          <cell r="BF76">
            <v>0</v>
          </cell>
        </row>
        <row r="77">
          <cell r="C77" t="str">
            <v>החזר צרכנים-שפכי תעשייה</v>
          </cell>
          <cell r="D77">
            <v>-182.48677375</v>
          </cell>
          <cell r="E77">
            <v>-158.27218825</v>
          </cell>
          <cell r="F77">
            <v>-76.915311749999987</v>
          </cell>
          <cell r="G77">
            <v>-963.95423774999995</v>
          </cell>
          <cell r="H77">
            <v>-269.64072924999999</v>
          </cell>
          <cell r="I77">
            <v>-27.714459499999997</v>
          </cell>
          <cell r="J77">
            <v>-80.78040974999999</v>
          </cell>
          <cell r="K77">
            <v>-121.73787799999998</v>
          </cell>
          <cell r="L77">
            <v>-89.427499749999996</v>
          </cell>
          <cell r="M77">
            <v>-161.70988399999996</v>
          </cell>
          <cell r="N77">
            <v>-269.56846899999999</v>
          </cell>
          <cell r="O77">
            <v>-141.42559224999999</v>
          </cell>
          <cell r="P77">
            <v>-86.132407499999985</v>
          </cell>
          <cell r="Q77">
            <v>-86.053402249999991</v>
          </cell>
          <cell r="R77">
            <v>-337.39842549999992</v>
          </cell>
          <cell r="S77">
            <v>-307.69252249999994</v>
          </cell>
          <cell r="T77">
            <v>-310.98282225000003</v>
          </cell>
          <cell r="U77">
            <v>-323.35338300000001</v>
          </cell>
          <cell r="V77">
            <v>-174.02257974999998</v>
          </cell>
          <cell r="W77">
            <v>-148.95439675</v>
          </cell>
          <cell r="X77">
            <v>-80.464122499999988</v>
          </cell>
          <cell r="Y77">
            <v>-96.176546749999986</v>
          </cell>
          <cell r="Z77">
            <v>-57.002261249999997</v>
          </cell>
          <cell r="AA77">
            <v>-59.583856749999995</v>
          </cell>
          <cell r="AB77">
            <v>-102.99503175</v>
          </cell>
          <cell r="AC77">
            <v>-132.92556099999999</v>
          </cell>
          <cell r="AD77">
            <v>-164.16508174999998</v>
          </cell>
          <cell r="AE77">
            <v>-74.571796999999975</v>
          </cell>
          <cell r="AF77">
            <v>-400.08042049999995</v>
          </cell>
          <cell r="AG77">
            <v>-86.345673749999989</v>
          </cell>
          <cell r="AH77">
            <v>-63.736664499999989</v>
          </cell>
          <cell r="AI77">
            <v>-57.015467249999986</v>
          </cell>
          <cell r="AJ77">
            <v>-55.430835999999992</v>
          </cell>
          <cell r="AK77">
            <v>-52.005618499999997</v>
          </cell>
          <cell r="AL77">
            <v>-48.051805999999999</v>
          </cell>
          <cell r="AM77">
            <v>-760.55336675000001</v>
          </cell>
          <cell r="AN77">
            <v>-88.977501749999973</v>
          </cell>
          <cell r="AO77">
            <v>-198.65065150000001</v>
          </cell>
          <cell r="AP77">
            <v>-62.819610749999988</v>
          </cell>
          <cell r="AQ77">
            <v>-152.69373599999997</v>
          </cell>
          <cell r="AR77">
            <v>-42.119951249999993</v>
          </cell>
          <cell r="AS77">
            <v>-169.2876785</v>
          </cell>
          <cell r="AT77">
            <v>-57.335996749999985</v>
          </cell>
          <cell r="AU77">
            <v>-43.376455999999997</v>
          </cell>
          <cell r="AV77">
            <v>-71.342592749999994</v>
          </cell>
          <cell r="AW77">
            <v>-97.076933249999996</v>
          </cell>
          <cell r="AX77">
            <v>-128.56678224999999</v>
          </cell>
          <cell r="AY77">
            <v>-210.59995149999997</v>
          </cell>
          <cell r="AZ77">
            <v>-112.09320249999999</v>
          </cell>
          <cell r="BA77">
            <v>-56.750211249999992</v>
          </cell>
          <cell r="BB77">
            <v>-90.951550249999997</v>
          </cell>
          <cell r="BC77">
            <v>-88.163522249999986</v>
          </cell>
          <cell r="BD77">
            <v>-105.00042319999999</v>
          </cell>
          <cell r="BE77">
            <v>-134.06663749999998</v>
          </cell>
          <cell r="BF77">
            <v>-17.392674749999998</v>
          </cell>
        </row>
        <row r="78">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row>
        <row r="79">
          <cell r="C79" t="str">
            <v>עמלות לקבלן גביה</v>
          </cell>
          <cell r="D79">
            <v>2073.3735475126487</v>
          </cell>
          <cell r="E79">
            <v>1649.1953326899034</v>
          </cell>
          <cell r="F79">
            <v>1392.3944166036492</v>
          </cell>
          <cell r="G79">
            <v>8860.3629246959754</v>
          </cell>
          <cell r="H79">
            <v>3011.1308251271998</v>
          </cell>
          <cell r="I79">
            <v>2019.1816776285698</v>
          </cell>
          <cell r="J79">
            <v>868.96332220852673</v>
          </cell>
          <cell r="K79">
            <v>1397.4235516783244</v>
          </cell>
          <cell r="L79">
            <v>901.61812208399931</v>
          </cell>
          <cell r="M79">
            <v>1651.2127001397953</v>
          </cell>
          <cell r="N79">
            <v>2743.0968419732999</v>
          </cell>
          <cell r="O79">
            <v>1374.7314323829819</v>
          </cell>
          <cell r="P79">
            <v>912.88672560816428</v>
          </cell>
          <cell r="Q79">
            <v>1499.6734746156426</v>
          </cell>
          <cell r="R79">
            <v>4944.7487996899317</v>
          </cell>
          <cell r="S79">
            <v>3223.3898843346469</v>
          </cell>
          <cell r="T79">
            <v>3378.1067378875414</v>
          </cell>
          <cell r="U79">
            <v>3284.0336332528441</v>
          </cell>
          <cell r="V79">
            <v>3118.5493874595013</v>
          </cell>
          <cell r="W79">
            <v>2680.8918203241187</v>
          </cell>
          <cell r="X79">
            <v>732.97844491559647</v>
          </cell>
          <cell r="Y79">
            <v>1009.3327248637293</v>
          </cell>
          <cell r="Z79">
            <v>862.84818537875231</v>
          </cell>
          <cell r="AA79">
            <v>587.12005087892248</v>
          </cell>
          <cell r="AB79">
            <v>1321.6174697122729</v>
          </cell>
          <cell r="AC79">
            <v>1242.0017733999662</v>
          </cell>
          <cell r="AD79">
            <v>1864.4270714491265</v>
          </cell>
          <cell r="AE79">
            <v>1088.8366595093337</v>
          </cell>
          <cell r="AF79">
            <v>6146.0783435219182</v>
          </cell>
          <cell r="AG79">
            <v>887.92075733571778</v>
          </cell>
          <cell r="AH79">
            <v>1047.9019626088491</v>
          </cell>
          <cell r="AI79">
            <v>570.20604859520733</v>
          </cell>
          <cell r="AJ79">
            <v>597.6625012592848</v>
          </cell>
          <cell r="AK79">
            <v>524.88739097854818</v>
          </cell>
          <cell r="AL79">
            <v>469.4861277560459</v>
          </cell>
          <cell r="AM79">
            <v>7548.4341390554337</v>
          </cell>
          <cell r="AN79">
            <v>914.85181401783916</v>
          </cell>
          <cell r="AO79">
            <v>1729.5309724665633</v>
          </cell>
          <cell r="AP79">
            <v>577.46651031793124</v>
          </cell>
          <cell r="AQ79">
            <v>1607.0079994801931</v>
          </cell>
          <cell r="AR79">
            <v>459.41120591070262</v>
          </cell>
          <cell r="AS79">
            <v>1799.3411651393883</v>
          </cell>
          <cell r="AT79">
            <v>574.87848361859699</v>
          </cell>
          <cell r="AU79">
            <v>441.10487384534514</v>
          </cell>
          <cell r="AV79">
            <v>767.41840584727947</v>
          </cell>
          <cell r="AW79">
            <v>1399.8571667648171</v>
          </cell>
          <cell r="AX79">
            <v>1954.2047027121312</v>
          </cell>
          <cell r="AY79">
            <v>2250.1005544098261</v>
          </cell>
          <cell r="AZ79">
            <v>1177.562876344683</v>
          </cell>
          <cell r="BA79">
            <v>597.76563884178279</v>
          </cell>
          <cell r="BB79">
            <v>963.62849706332509</v>
          </cell>
          <cell r="BC79">
            <v>934.50388397603615</v>
          </cell>
          <cell r="BD79">
            <v>1040.2260735708373</v>
          </cell>
          <cell r="BE79">
            <v>200.43097235664683</v>
          </cell>
          <cell r="BF79">
            <v>183.56260187572482</v>
          </cell>
        </row>
        <row r="80">
          <cell r="C80" t="str">
            <v>הפקת דוחות</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row>
        <row r="81">
          <cell r="C81" t="str">
            <v>גביה טלפונית</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row>
        <row r="82">
          <cell r="C82" t="str">
            <v>אכיפה וגביה קשה</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cell r="BZ82">
            <v>0</v>
          </cell>
          <cell r="CA82">
            <v>0</v>
          </cell>
          <cell r="CB82">
            <v>0</v>
          </cell>
          <cell r="CC82">
            <v>0</v>
          </cell>
          <cell r="CD82">
            <v>0</v>
          </cell>
          <cell r="CE82">
            <v>0</v>
          </cell>
          <cell r="CF82">
            <v>0</v>
          </cell>
          <cell r="CG82">
            <v>0</v>
          </cell>
          <cell r="CH82">
            <v>0</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v>0</v>
          </cell>
          <cell r="CY82">
            <v>0</v>
          </cell>
          <cell r="CZ82">
            <v>0</v>
          </cell>
          <cell r="DA82">
            <v>0</v>
          </cell>
          <cell r="DB82">
            <v>0</v>
          </cell>
          <cell r="DC82">
            <v>0</v>
          </cell>
          <cell r="DD82">
            <v>0</v>
          </cell>
          <cell r="DE82">
            <v>0</v>
          </cell>
          <cell r="DF82">
            <v>0</v>
          </cell>
        </row>
        <row r="83">
          <cell r="C83" t="str">
            <v>גבית היטלים</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row>
        <row r="84">
          <cell r="C84" t="str">
            <v>עמלות כרטיסי אשראי</v>
          </cell>
          <cell r="D84">
            <v>695.08090000000004</v>
          </cell>
          <cell r="E84">
            <v>462.6918</v>
          </cell>
          <cell r="F84">
            <v>280.03399999999999</v>
          </cell>
          <cell r="G84">
            <v>3253.3496000000005</v>
          </cell>
          <cell r="H84">
            <v>1136.0937000000001</v>
          </cell>
          <cell r="I84">
            <v>121.28830000000001</v>
          </cell>
          <cell r="J84">
            <v>242.29950000000002</v>
          </cell>
          <cell r="K84">
            <v>484.11</v>
          </cell>
          <cell r="L84">
            <v>368.52670000000006</v>
          </cell>
          <cell r="M84">
            <v>697.28139999999996</v>
          </cell>
          <cell r="N84">
            <v>1193.6163999999999</v>
          </cell>
          <cell r="O84">
            <v>431.75440000000003</v>
          </cell>
          <cell r="P84">
            <v>346.11420000000004</v>
          </cell>
          <cell r="Q84">
            <v>279.3657</v>
          </cell>
          <cell r="R84">
            <v>1434.7423000000001</v>
          </cell>
          <cell r="S84">
            <v>1433.9925000000001</v>
          </cell>
          <cell r="T84">
            <v>1607.5875000000001</v>
          </cell>
          <cell r="U84">
            <v>1298.6536000000001</v>
          </cell>
          <cell r="V84">
            <v>344.63090000000005</v>
          </cell>
          <cell r="W84">
            <v>527.01160000000004</v>
          </cell>
          <cell r="X84">
            <v>336.61130000000003</v>
          </cell>
          <cell r="Y84">
            <v>369.84700000000004</v>
          </cell>
          <cell r="Z84">
            <v>199.78909999999999</v>
          </cell>
          <cell r="AA84">
            <v>325.52730000000003</v>
          </cell>
          <cell r="AB84">
            <v>402.85450000000003</v>
          </cell>
          <cell r="AC84">
            <v>271.41129999999998</v>
          </cell>
          <cell r="AD84">
            <v>607.6640000000001</v>
          </cell>
          <cell r="AE84">
            <v>301.55</v>
          </cell>
          <cell r="AF84">
            <v>1799.3407</v>
          </cell>
          <cell r="AG84">
            <v>278.06170000000003</v>
          </cell>
          <cell r="AH84">
            <v>278.4366</v>
          </cell>
          <cell r="AI84">
            <v>94.214000000000013</v>
          </cell>
          <cell r="AJ84">
            <v>196.10530000000003</v>
          </cell>
          <cell r="AK84">
            <v>302.2672</v>
          </cell>
          <cell r="AL84">
            <v>301.4033</v>
          </cell>
          <cell r="AM84">
            <v>4655.9808999999996</v>
          </cell>
          <cell r="AN84">
            <v>287.98840000000001</v>
          </cell>
          <cell r="AO84">
            <v>1105.9387000000002</v>
          </cell>
          <cell r="AP84">
            <v>406.6361</v>
          </cell>
          <cell r="AQ84">
            <v>871.21870000000001</v>
          </cell>
          <cell r="AR84">
            <v>221.1095</v>
          </cell>
          <cell r="AS84">
            <v>503.47440000000006</v>
          </cell>
          <cell r="AT84">
            <v>296.20359999999999</v>
          </cell>
          <cell r="AU84">
            <v>259.65899999999999</v>
          </cell>
          <cell r="AV84">
            <v>287.43420000000003</v>
          </cell>
          <cell r="AW84">
            <v>290.17259999999999</v>
          </cell>
          <cell r="AX84">
            <v>349.45570000000004</v>
          </cell>
          <cell r="AY84">
            <v>870.51779999999997</v>
          </cell>
          <cell r="AZ84">
            <v>452.04790000000003</v>
          </cell>
          <cell r="BA84">
            <v>246.27670000000001</v>
          </cell>
          <cell r="BB84">
            <v>334.37819999999999</v>
          </cell>
          <cell r="BC84">
            <v>197.29519999999999</v>
          </cell>
          <cell r="BD84">
            <v>122.99980000000001</v>
          </cell>
          <cell r="BE84">
            <v>45.069500000000005</v>
          </cell>
          <cell r="BF84">
            <v>78.989800000000002</v>
          </cell>
        </row>
        <row r="85">
          <cell r="C85" t="str">
            <v>עמלות בנק הדואר</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row>
        <row r="86">
          <cell r="C86" t="str">
            <v>הפרשה לחובות מסופקים ואבודים</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row>
        <row r="87">
          <cell r="C87" t="str">
            <v>הוצאות שכר</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row>
        <row r="88">
          <cell r="C88" t="str">
            <v>משרדיות ואחרות</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row>
        <row r="89">
          <cell r="C89" t="str">
            <v>(הכנסות מאכיפה)</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cell r="BZ89">
            <v>0</v>
          </cell>
          <cell r="CA89">
            <v>0</v>
          </cell>
          <cell r="CB89">
            <v>0</v>
          </cell>
          <cell r="CC89">
            <v>0</v>
          </cell>
          <cell r="CD89">
            <v>0</v>
          </cell>
          <cell r="CE89">
            <v>0</v>
          </cell>
          <cell r="CF89">
            <v>0</v>
          </cell>
          <cell r="CG89">
            <v>0</v>
          </cell>
          <cell r="CH89">
            <v>0</v>
          </cell>
          <cell r="CI89">
            <v>0</v>
          </cell>
          <cell r="CJ89">
            <v>0</v>
          </cell>
          <cell r="CK89">
            <v>0</v>
          </cell>
          <cell r="CL89">
            <v>0</v>
          </cell>
          <cell r="CM89">
            <v>0</v>
          </cell>
          <cell r="CN89">
            <v>0</v>
          </cell>
          <cell r="CO89">
            <v>0</v>
          </cell>
          <cell r="CP89">
            <v>0</v>
          </cell>
          <cell r="CQ89">
            <v>0</v>
          </cell>
          <cell r="CR89">
            <v>0</v>
          </cell>
          <cell r="CS89">
            <v>0</v>
          </cell>
          <cell r="CT89">
            <v>0</v>
          </cell>
          <cell r="CU89">
            <v>0</v>
          </cell>
          <cell r="CV89">
            <v>0</v>
          </cell>
          <cell r="CW89">
            <v>0</v>
          </cell>
          <cell r="CX89">
            <v>0</v>
          </cell>
          <cell r="CY89">
            <v>0</v>
          </cell>
          <cell r="CZ89">
            <v>0</v>
          </cell>
          <cell r="DA89">
            <v>0</v>
          </cell>
          <cell r="DB89">
            <v>0</v>
          </cell>
          <cell r="DC89">
            <v>0</v>
          </cell>
          <cell r="DD89">
            <v>0</v>
          </cell>
          <cell r="DE89">
            <v>0</v>
          </cell>
          <cell r="DF89">
            <v>0</v>
          </cell>
        </row>
        <row r="90">
          <cell r="C90" t="str">
            <v>קריאת מדי מים</v>
          </cell>
          <cell r="D90">
            <v>460.54440000000005</v>
          </cell>
          <cell r="E90">
            <v>306.56880000000001</v>
          </cell>
          <cell r="F90">
            <v>185.54400000000001</v>
          </cell>
          <cell r="G90">
            <v>2155.5936000000002</v>
          </cell>
          <cell r="H90">
            <v>752.74919999999997</v>
          </cell>
          <cell r="I90">
            <v>80.362800000000007</v>
          </cell>
          <cell r="J90">
            <v>160.542</v>
          </cell>
          <cell r="K90">
            <v>320.76</v>
          </cell>
          <cell r="L90">
            <v>244.17720000000003</v>
          </cell>
          <cell r="M90">
            <v>462.00240000000002</v>
          </cell>
          <cell r="N90">
            <v>790.86239999999998</v>
          </cell>
          <cell r="O90">
            <v>286.07040000000001</v>
          </cell>
          <cell r="P90">
            <v>229.32720000000003</v>
          </cell>
          <cell r="Q90">
            <v>185.10120000000001</v>
          </cell>
          <cell r="R90">
            <v>950.62680000000012</v>
          </cell>
          <cell r="S90">
            <v>950.13</v>
          </cell>
          <cell r="T90">
            <v>1065.1500000000001</v>
          </cell>
          <cell r="U90">
            <v>860.45760000000007</v>
          </cell>
          <cell r="V90">
            <v>228.34440000000004</v>
          </cell>
          <cell r="W90">
            <v>349.18560000000002</v>
          </cell>
          <cell r="X90">
            <v>223.0308</v>
          </cell>
          <cell r="Y90">
            <v>245.05200000000002</v>
          </cell>
          <cell r="Z90">
            <v>132.37559999999999</v>
          </cell>
          <cell r="AA90">
            <v>215.68680000000001</v>
          </cell>
          <cell r="AB90">
            <v>266.92200000000003</v>
          </cell>
          <cell r="AC90">
            <v>179.83080000000001</v>
          </cell>
          <cell r="AD90">
            <v>402.62400000000002</v>
          </cell>
          <cell r="AE90">
            <v>199.8</v>
          </cell>
          <cell r="AF90">
            <v>1192.2012</v>
          </cell>
          <cell r="AG90">
            <v>184.23720000000003</v>
          </cell>
          <cell r="AH90">
            <v>184.48560000000003</v>
          </cell>
          <cell r="AI90">
            <v>62.424000000000007</v>
          </cell>
          <cell r="AJ90">
            <v>129.93480000000002</v>
          </cell>
          <cell r="AK90">
            <v>200.27520000000001</v>
          </cell>
          <cell r="AL90">
            <v>199.7028</v>
          </cell>
          <cell r="AM90">
            <v>3084.9443999999999</v>
          </cell>
          <cell r="AN90">
            <v>190.81440000000001</v>
          </cell>
          <cell r="AO90">
            <v>732.76920000000007</v>
          </cell>
          <cell r="AP90">
            <v>269.42759999999998</v>
          </cell>
          <cell r="AQ90">
            <v>577.24919999999997</v>
          </cell>
          <cell r="AR90">
            <v>146.50200000000001</v>
          </cell>
          <cell r="AS90">
            <v>333.59040000000005</v>
          </cell>
          <cell r="AT90">
            <v>196.25760000000002</v>
          </cell>
          <cell r="AU90">
            <v>172.04400000000001</v>
          </cell>
          <cell r="AV90">
            <v>190.44720000000001</v>
          </cell>
          <cell r="AW90">
            <v>192.26160000000002</v>
          </cell>
          <cell r="AX90">
            <v>231.5412</v>
          </cell>
          <cell r="AY90">
            <v>576.78480000000002</v>
          </cell>
          <cell r="AZ90">
            <v>299.51640000000003</v>
          </cell>
          <cell r="BA90">
            <v>163.1772</v>
          </cell>
          <cell r="BB90">
            <v>221.55119999999999</v>
          </cell>
          <cell r="BC90">
            <v>130.72319999999999</v>
          </cell>
          <cell r="BD90">
            <v>81.496800000000007</v>
          </cell>
          <cell r="BE90">
            <v>29.862000000000002</v>
          </cell>
          <cell r="BF90">
            <v>52.336800000000004</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cell r="BZ90">
            <v>0</v>
          </cell>
          <cell r="CA90">
            <v>0</v>
          </cell>
          <cell r="CB90">
            <v>0</v>
          </cell>
          <cell r="CC90">
            <v>0</v>
          </cell>
          <cell r="CD90">
            <v>0</v>
          </cell>
          <cell r="CE90">
            <v>0</v>
          </cell>
          <cell r="CF90">
            <v>0</v>
          </cell>
          <cell r="CG90">
            <v>0</v>
          </cell>
          <cell r="CH90">
            <v>0</v>
          </cell>
          <cell r="CI90">
            <v>0</v>
          </cell>
          <cell r="CJ90">
            <v>0</v>
          </cell>
          <cell r="CK90">
            <v>0</v>
          </cell>
          <cell r="CL90">
            <v>0</v>
          </cell>
          <cell r="CM90">
            <v>0</v>
          </cell>
          <cell r="CN90">
            <v>0</v>
          </cell>
          <cell r="CO90">
            <v>0</v>
          </cell>
          <cell r="CP90">
            <v>0</v>
          </cell>
          <cell r="CQ90">
            <v>0</v>
          </cell>
          <cell r="CR90">
            <v>0</v>
          </cell>
          <cell r="CS90">
            <v>0</v>
          </cell>
          <cell r="CT90">
            <v>0</v>
          </cell>
          <cell r="CU90">
            <v>0</v>
          </cell>
          <cell r="CV90">
            <v>0</v>
          </cell>
          <cell r="CW90">
            <v>0</v>
          </cell>
          <cell r="CX90">
            <v>0</v>
          </cell>
          <cell r="CY90">
            <v>0</v>
          </cell>
          <cell r="CZ90">
            <v>0</v>
          </cell>
          <cell r="DA90">
            <v>0</v>
          </cell>
          <cell r="DB90">
            <v>0</v>
          </cell>
          <cell r="DC90">
            <v>0</v>
          </cell>
          <cell r="DD90">
            <v>0</v>
          </cell>
          <cell r="DE90">
            <v>0</v>
          </cell>
          <cell r="DF90">
            <v>0</v>
          </cell>
        </row>
        <row r="91">
          <cell r="C91" t="str">
            <v>מיכון</v>
          </cell>
          <cell r="D91">
            <v>332.61540000000002</v>
          </cell>
          <cell r="E91">
            <v>221.41080000000002</v>
          </cell>
          <cell r="F91">
            <v>134.00400000000002</v>
          </cell>
          <cell r="G91">
            <v>1556.8176000000003</v>
          </cell>
          <cell r="H91">
            <v>543.65219999999999</v>
          </cell>
          <cell r="I91">
            <v>58.039800000000007</v>
          </cell>
          <cell r="J91">
            <v>115.94700000000002</v>
          </cell>
          <cell r="K91">
            <v>231.66000000000003</v>
          </cell>
          <cell r="L91">
            <v>176.35020000000003</v>
          </cell>
          <cell r="M91">
            <v>333.66840000000002</v>
          </cell>
          <cell r="N91">
            <v>571.17840000000001</v>
          </cell>
          <cell r="O91">
            <v>206.60640000000001</v>
          </cell>
          <cell r="P91">
            <v>165.62520000000004</v>
          </cell>
          <cell r="Q91">
            <v>133.6842</v>
          </cell>
          <cell r="R91">
            <v>686.56380000000001</v>
          </cell>
          <cell r="S91">
            <v>686.20500000000004</v>
          </cell>
          <cell r="T91">
            <v>769.27500000000009</v>
          </cell>
          <cell r="U91">
            <v>621.44159999999999</v>
          </cell>
          <cell r="V91">
            <v>164.91540000000003</v>
          </cell>
          <cell r="W91">
            <v>252.18960000000004</v>
          </cell>
          <cell r="X91">
            <v>161.07780000000002</v>
          </cell>
          <cell r="Y91">
            <v>176.98200000000003</v>
          </cell>
          <cell r="Z91">
            <v>95.604600000000005</v>
          </cell>
          <cell r="AA91">
            <v>155.77380000000002</v>
          </cell>
          <cell r="AB91">
            <v>192.77700000000002</v>
          </cell>
          <cell r="AC91">
            <v>129.87780000000001</v>
          </cell>
          <cell r="AD91">
            <v>290.78400000000005</v>
          </cell>
          <cell r="AE91">
            <v>144.30000000000001</v>
          </cell>
          <cell r="AF91">
            <v>861.03420000000006</v>
          </cell>
          <cell r="AG91">
            <v>133.06020000000001</v>
          </cell>
          <cell r="AH91">
            <v>133.23960000000002</v>
          </cell>
          <cell r="AI91">
            <v>45.084000000000003</v>
          </cell>
          <cell r="AJ91">
            <v>93.841800000000006</v>
          </cell>
          <cell r="AK91">
            <v>144.64320000000001</v>
          </cell>
          <cell r="AL91">
            <v>144.22980000000001</v>
          </cell>
          <cell r="AM91">
            <v>2228.0153999999998</v>
          </cell>
          <cell r="AN91">
            <v>137.81040000000002</v>
          </cell>
          <cell r="AO91">
            <v>529.22220000000004</v>
          </cell>
          <cell r="AP91">
            <v>194.5866</v>
          </cell>
          <cell r="AQ91">
            <v>416.90220000000005</v>
          </cell>
          <cell r="AR91">
            <v>105.807</v>
          </cell>
          <cell r="AS91">
            <v>240.92640000000003</v>
          </cell>
          <cell r="AT91">
            <v>141.74160000000001</v>
          </cell>
          <cell r="AU91">
            <v>124.254</v>
          </cell>
          <cell r="AV91">
            <v>137.54520000000002</v>
          </cell>
          <cell r="AW91">
            <v>138.85560000000001</v>
          </cell>
          <cell r="AX91">
            <v>167.22420000000002</v>
          </cell>
          <cell r="AY91">
            <v>416.5668</v>
          </cell>
          <cell r="AZ91">
            <v>216.31740000000002</v>
          </cell>
          <cell r="BA91">
            <v>117.85020000000002</v>
          </cell>
          <cell r="BB91">
            <v>160.00920000000002</v>
          </cell>
          <cell r="BC91">
            <v>94.411200000000008</v>
          </cell>
          <cell r="BD91">
            <v>58.858800000000009</v>
          </cell>
          <cell r="BE91">
            <v>21.567000000000004</v>
          </cell>
          <cell r="BF91">
            <v>37.798800000000007</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cell r="BZ91">
            <v>0</v>
          </cell>
          <cell r="CA91">
            <v>0</v>
          </cell>
          <cell r="CB91">
            <v>0</v>
          </cell>
          <cell r="CC91">
            <v>0</v>
          </cell>
          <cell r="CD91">
            <v>0</v>
          </cell>
          <cell r="CE91">
            <v>0</v>
          </cell>
          <cell r="CF91">
            <v>0</v>
          </cell>
          <cell r="CG91">
            <v>0</v>
          </cell>
          <cell r="CH91">
            <v>0</v>
          </cell>
          <cell r="CI91">
            <v>0</v>
          </cell>
          <cell r="CJ91">
            <v>0</v>
          </cell>
          <cell r="CK91">
            <v>0</v>
          </cell>
          <cell r="CL91">
            <v>0</v>
          </cell>
          <cell r="CM91">
            <v>0</v>
          </cell>
          <cell r="CN91">
            <v>0</v>
          </cell>
          <cell r="CO91">
            <v>0</v>
          </cell>
          <cell r="CP91">
            <v>0</v>
          </cell>
          <cell r="CQ91">
            <v>0</v>
          </cell>
          <cell r="CR91">
            <v>0</v>
          </cell>
          <cell r="CS91">
            <v>0</v>
          </cell>
          <cell r="CT91">
            <v>0</v>
          </cell>
          <cell r="CU91">
            <v>0</v>
          </cell>
          <cell r="CV91">
            <v>0</v>
          </cell>
          <cell r="CW91">
            <v>0</v>
          </cell>
          <cell r="CX91">
            <v>0</v>
          </cell>
          <cell r="CY91">
            <v>0</v>
          </cell>
          <cell r="CZ91">
            <v>0</v>
          </cell>
          <cell r="DA91">
            <v>0</v>
          </cell>
          <cell r="DB91">
            <v>0</v>
          </cell>
          <cell r="DC91">
            <v>0</v>
          </cell>
          <cell r="DD91">
            <v>0</v>
          </cell>
          <cell r="DE91">
            <v>0</v>
          </cell>
          <cell r="DF91">
            <v>0</v>
          </cell>
        </row>
        <row r="92">
          <cell r="C92" t="str">
            <v>הפקה וחלוקת שוברים</v>
          </cell>
          <cell r="D92">
            <v>486.1302</v>
          </cell>
          <cell r="E92">
            <v>323.60039999999998</v>
          </cell>
          <cell r="F92">
            <v>195.852</v>
          </cell>
          <cell r="G92">
            <v>2275.3488000000002</v>
          </cell>
          <cell r="H92">
            <v>794.56859999999995</v>
          </cell>
          <cell r="I92">
            <v>84.827399999999997</v>
          </cell>
          <cell r="J92">
            <v>169.46100000000001</v>
          </cell>
          <cell r="K92">
            <v>338.58</v>
          </cell>
          <cell r="L92">
            <v>257.74260000000004</v>
          </cell>
          <cell r="M92">
            <v>487.66919999999999</v>
          </cell>
          <cell r="N92">
            <v>834.79919999999993</v>
          </cell>
          <cell r="O92">
            <v>301.96320000000003</v>
          </cell>
          <cell r="P92">
            <v>242.06760000000003</v>
          </cell>
          <cell r="Q92">
            <v>195.38460000000001</v>
          </cell>
          <cell r="R92">
            <v>1003.4394000000001</v>
          </cell>
          <cell r="S92">
            <v>1002.915</v>
          </cell>
          <cell r="T92">
            <v>1124.325</v>
          </cell>
          <cell r="U92">
            <v>908.26080000000002</v>
          </cell>
          <cell r="V92">
            <v>241.03020000000001</v>
          </cell>
          <cell r="W92">
            <v>368.58480000000003</v>
          </cell>
          <cell r="X92">
            <v>235.42140000000001</v>
          </cell>
          <cell r="Y92">
            <v>258.666</v>
          </cell>
          <cell r="Z92">
            <v>139.72980000000001</v>
          </cell>
          <cell r="AA92">
            <v>227.6694</v>
          </cell>
          <cell r="AB92">
            <v>281.75100000000003</v>
          </cell>
          <cell r="AC92">
            <v>189.82140000000001</v>
          </cell>
          <cell r="AD92">
            <v>424.99200000000002</v>
          </cell>
          <cell r="AE92">
            <v>210.9</v>
          </cell>
          <cell r="AF92">
            <v>1258.4346</v>
          </cell>
          <cell r="AG92">
            <v>194.47260000000003</v>
          </cell>
          <cell r="AH92">
            <v>194.73480000000001</v>
          </cell>
          <cell r="AI92">
            <v>65.89200000000001</v>
          </cell>
          <cell r="AJ92">
            <v>137.1534</v>
          </cell>
          <cell r="AK92">
            <v>211.4016</v>
          </cell>
          <cell r="AL92">
            <v>210.79740000000001</v>
          </cell>
          <cell r="AM92">
            <v>3256.3301999999999</v>
          </cell>
          <cell r="AN92">
            <v>201.4152</v>
          </cell>
          <cell r="AO92">
            <v>773.47860000000003</v>
          </cell>
          <cell r="AP92">
            <v>284.39580000000001</v>
          </cell>
          <cell r="AQ92">
            <v>609.31859999999995</v>
          </cell>
          <cell r="AR92">
            <v>154.64099999999999</v>
          </cell>
          <cell r="AS92">
            <v>352.12320000000005</v>
          </cell>
          <cell r="AT92">
            <v>207.16080000000002</v>
          </cell>
          <cell r="AU92">
            <v>181.602</v>
          </cell>
          <cell r="AV92">
            <v>201.02760000000001</v>
          </cell>
          <cell r="AW92">
            <v>202.94280000000001</v>
          </cell>
          <cell r="AX92">
            <v>244.40460000000002</v>
          </cell>
          <cell r="AY92">
            <v>608.82839999999999</v>
          </cell>
          <cell r="AZ92">
            <v>316.15620000000001</v>
          </cell>
          <cell r="BA92">
            <v>172.24260000000001</v>
          </cell>
          <cell r="BB92">
            <v>233.8596</v>
          </cell>
          <cell r="BC92">
            <v>137.98560000000001</v>
          </cell>
          <cell r="BD92">
            <v>86.0244</v>
          </cell>
          <cell r="BE92">
            <v>31.521000000000001</v>
          </cell>
          <cell r="BF92">
            <v>55.244400000000006</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cell r="BZ92">
            <v>0</v>
          </cell>
          <cell r="CA92">
            <v>0</v>
          </cell>
          <cell r="CB92">
            <v>0</v>
          </cell>
          <cell r="CC92">
            <v>0</v>
          </cell>
          <cell r="CD92">
            <v>0</v>
          </cell>
          <cell r="CE92">
            <v>0</v>
          </cell>
          <cell r="CF92">
            <v>0</v>
          </cell>
          <cell r="CG92">
            <v>0</v>
          </cell>
          <cell r="CH92">
            <v>0</v>
          </cell>
          <cell r="CI92">
            <v>0</v>
          </cell>
          <cell r="CJ92">
            <v>0</v>
          </cell>
          <cell r="CK92">
            <v>0</v>
          </cell>
          <cell r="CL92">
            <v>0</v>
          </cell>
          <cell r="CM92">
            <v>0</v>
          </cell>
          <cell r="CN92">
            <v>0</v>
          </cell>
          <cell r="CO92">
            <v>0</v>
          </cell>
          <cell r="CP92">
            <v>0</v>
          </cell>
          <cell r="CQ92">
            <v>0</v>
          </cell>
          <cell r="CR92">
            <v>0</v>
          </cell>
          <cell r="CS92">
            <v>0</v>
          </cell>
          <cell r="CT92">
            <v>0</v>
          </cell>
          <cell r="CU92">
            <v>0</v>
          </cell>
          <cell r="CV92">
            <v>0</v>
          </cell>
          <cell r="CW92">
            <v>0</v>
          </cell>
          <cell r="CX92">
            <v>0</v>
          </cell>
          <cell r="CY92">
            <v>0</v>
          </cell>
          <cell r="CZ92">
            <v>0</v>
          </cell>
          <cell r="DA92">
            <v>0</v>
          </cell>
          <cell r="DB92">
            <v>0</v>
          </cell>
          <cell r="DC92">
            <v>0</v>
          </cell>
          <cell r="DD92">
            <v>0</v>
          </cell>
          <cell r="DE92">
            <v>0</v>
          </cell>
          <cell r="DF92">
            <v>0</v>
          </cell>
        </row>
        <row r="93">
          <cell r="C93" t="str">
            <v xml:space="preserve">שכירות מבנה גביה </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cell r="BZ93">
            <v>0</v>
          </cell>
          <cell r="CA93">
            <v>0</v>
          </cell>
          <cell r="CB93">
            <v>0</v>
          </cell>
          <cell r="CC93">
            <v>0</v>
          </cell>
          <cell r="CD93">
            <v>0</v>
          </cell>
          <cell r="CE93">
            <v>0</v>
          </cell>
          <cell r="CF93">
            <v>0</v>
          </cell>
          <cell r="CG93">
            <v>0</v>
          </cell>
          <cell r="CH93">
            <v>0</v>
          </cell>
          <cell r="CI93">
            <v>0</v>
          </cell>
          <cell r="CJ93">
            <v>0</v>
          </cell>
          <cell r="CK93">
            <v>0</v>
          </cell>
          <cell r="CL93">
            <v>0</v>
          </cell>
          <cell r="CM93">
            <v>0</v>
          </cell>
          <cell r="CN93">
            <v>0</v>
          </cell>
          <cell r="CO93">
            <v>0</v>
          </cell>
          <cell r="CP93">
            <v>0</v>
          </cell>
          <cell r="CQ93">
            <v>0</v>
          </cell>
          <cell r="CR93">
            <v>0</v>
          </cell>
          <cell r="CS93">
            <v>0</v>
          </cell>
          <cell r="CT93">
            <v>0</v>
          </cell>
          <cell r="CU93">
            <v>0</v>
          </cell>
          <cell r="CV93">
            <v>0</v>
          </cell>
          <cell r="CW93">
            <v>0</v>
          </cell>
          <cell r="CX93">
            <v>0</v>
          </cell>
          <cell r="CY93">
            <v>0</v>
          </cell>
          <cell r="CZ93">
            <v>0</v>
          </cell>
          <cell r="DA93">
            <v>0</v>
          </cell>
          <cell r="DB93">
            <v>0</v>
          </cell>
          <cell r="DC93">
            <v>0</v>
          </cell>
          <cell r="DD93">
            <v>0</v>
          </cell>
          <cell r="DE93">
            <v>0</v>
          </cell>
          <cell r="DF93">
            <v>0</v>
          </cell>
        </row>
        <row r="94">
          <cell r="C94" t="str">
            <v xml:space="preserve">יעוץ מקצועי </v>
          </cell>
          <cell r="D94">
            <v>46.813315500000002</v>
          </cell>
          <cell r="E94">
            <v>40.457178000000006</v>
          </cell>
          <cell r="F94">
            <v>20.799243000000001</v>
          </cell>
          <cell r="G94">
            <v>251.10794249999998</v>
          </cell>
          <cell r="H94">
            <v>75.164210999999995</v>
          </cell>
          <cell r="I94">
            <v>8.0029620000000001</v>
          </cell>
          <cell r="J94">
            <v>20.598740999999997</v>
          </cell>
          <cell r="K94">
            <v>32.136021</v>
          </cell>
          <cell r="L94">
            <v>23.301094499999998</v>
          </cell>
          <cell r="M94">
            <v>42.594025500000001</v>
          </cell>
          <cell r="N94">
            <v>72.19053000000001</v>
          </cell>
          <cell r="O94">
            <v>35.929304999999999</v>
          </cell>
          <cell r="P94">
            <v>23.7055185</v>
          </cell>
          <cell r="Q94">
            <v>22.684882500000001</v>
          </cell>
          <cell r="R94">
            <v>91.524109499999994</v>
          </cell>
          <cell r="S94">
            <v>82.149529499999986</v>
          </cell>
          <cell r="T94">
            <v>81.811345500000002</v>
          </cell>
          <cell r="U94">
            <v>86.844618000000011</v>
          </cell>
          <cell r="V94">
            <v>49.397292</v>
          </cell>
          <cell r="W94">
            <v>38.5974225</v>
          </cell>
          <cell r="X94">
            <v>20.923123499999999</v>
          </cell>
          <cell r="Y94">
            <v>27.091322999999999</v>
          </cell>
          <cell r="Z94">
            <v>15.955195500000002</v>
          </cell>
          <cell r="AA94">
            <v>16.319889</v>
          </cell>
          <cell r="AB94">
            <v>28.711516500000005</v>
          </cell>
          <cell r="AC94">
            <v>34.472349000000001</v>
          </cell>
          <cell r="AD94">
            <v>44.633348999999995</v>
          </cell>
          <cell r="AE94">
            <v>20.0426085</v>
          </cell>
          <cell r="AF94">
            <v>105.66945</v>
          </cell>
          <cell r="AG94">
            <v>23.7948345</v>
          </cell>
          <cell r="AH94">
            <v>18.277452</v>
          </cell>
          <cell r="AI94">
            <v>14.527939499999999</v>
          </cell>
          <cell r="AJ94">
            <v>15.278895</v>
          </cell>
          <cell r="AK94">
            <v>13.924458000000001</v>
          </cell>
          <cell r="AL94">
            <v>13.123021500000002</v>
          </cell>
          <cell r="AM94">
            <v>206.49560400000001</v>
          </cell>
          <cell r="AN94">
            <v>25.008592499999995</v>
          </cell>
          <cell r="AO94">
            <v>53.564845500000004</v>
          </cell>
          <cell r="AP94">
            <v>16.596382500000001</v>
          </cell>
          <cell r="AQ94">
            <v>40.946300999999998</v>
          </cell>
          <cell r="AR94">
            <v>11.383141499999999</v>
          </cell>
          <cell r="AS94">
            <v>43.556184000000002</v>
          </cell>
          <cell r="AT94">
            <v>15.600883499999998</v>
          </cell>
          <cell r="AU94">
            <v>12.329712000000001</v>
          </cell>
          <cell r="AV94">
            <v>19.472715000000001</v>
          </cell>
          <cell r="AW94">
            <v>24.623577000000004</v>
          </cell>
          <cell r="AX94">
            <v>32.937327000000003</v>
          </cell>
          <cell r="AY94">
            <v>56.960527500000005</v>
          </cell>
          <cell r="AZ94">
            <v>32.666967</v>
          </cell>
          <cell r="BA94">
            <v>15.177838499999998</v>
          </cell>
          <cell r="BB94">
            <v>24.108228</v>
          </cell>
          <cell r="BC94">
            <v>22.351315499999998</v>
          </cell>
          <cell r="BD94">
            <v>26.783639999999995</v>
          </cell>
          <cell r="BE94">
            <v>5.0916915000000005</v>
          </cell>
          <cell r="BF94">
            <v>4.8414419999999998</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cell r="BZ94">
            <v>0</v>
          </cell>
          <cell r="CA94">
            <v>0</v>
          </cell>
          <cell r="CB94">
            <v>0</v>
          </cell>
          <cell r="CC94">
            <v>0</v>
          </cell>
          <cell r="CD94">
            <v>0</v>
          </cell>
          <cell r="CE94">
            <v>0</v>
          </cell>
          <cell r="CF94">
            <v>0</v>
          </cell>
          <cell r="CG94">
            <v>0</v>
          </cell>
          <cell r="CH94">
            <v>0</v>
          </cell>
          <cell r="CI94">
            <v>0</v>
          </cell>
          <cell r="CJ94">
            <v>0</v>
          </cell>
          <cell r="CK94">
            <v>0</v>
          </cell>
          <cell r="CL94">
            <v>0</v>
          </cell>
          <cell r="CM94">
            <v>0</v>
          </cell>
          <cell r="CN94">
            <v>0</v>
          </cell>
          <cell r="CO94">
            <v>0</v>
          </cell>
          <cell r="CP94">
            <v>0</v>
          </cell>
          <cell r="CQ94">
            <v>0</v>
          </cell>
          <cell r="CR94">
            <v>0</v>
          </cell>
          <cell r="CS94">
            <v>0</v>
          </cell>
          <cell r="CT94">
            <v>0</v>
          </cell>
          <cell r="CU94">
            <v>0</v>
          </cell>
          <cell r="CV94">
            <v>0</v>
          </cell>
          <cell r="CW94">
            <v>0</v>
          </cell>
          <cell r="CX94">
            <v>0</v>
          </cell>
          <cell r="CY94">
            <v>0</v>
          </cell>
          <cell r="CZ94">
            <v>0</v>
          </cell>
          <cell r="DA94">
            <v>0</v>
          </cell>
          <cell r="DB94">
            <v>0</v>
          </cell>
          <cell r="DC94">
            <v>0</v>
          </cell>
          <cell r="DD94">
            <v>0</v>
          </cell>
          <cell r="DE94">
            <v>0</v>
          </cell>
          <cell r="DF94">
            <v>0</v>
          </cell>
        </row>
        <row r="95">
          <cell r="C95" t="str">
            <v>משתנות צרכנים - הפקה וחלוקת שוברים, מיכון, קריאות מונים ועמלות</v>
          </cell>
          <cell r="D95">
            <v>0.82386275999976988</v>
          </cell>
          <cell r="E95">
            <v>0.31685306046369988</v>
          </cell>
          <cell r="F95">
            <v>0.11434965203943648</v>
          </cell>
          <cell r="G95">
            <v>1.4181063017986162E-2</v>
          </cell>
          <cell r="H95">
            <v>-6.8212102632969618E-13</v>
          </cell>
          <cell r="I95">
            <v>0</v>
          </cell>
          <cell r="J95">
            <v>0.26100125350302505</v>
          </cell>
          <cell r="K95">
            <v>-1.7053025658242404E-13</v>
          </cell>
          <cell r="L95">
            <v>0.10920146999961844</v>
          </cell>
          <cell r="M95">
            <v>-1.1368683772161603E-13</v>
          </cell>
          <cell r="N95">
            <v>2.2737367544323206E-13</v>
          </cell>
          <cell r="O95">
            <v>0.36041761752699131</v>
          </cell>
          <cell r="P95">
            <v>-2.2737367544323206E-13</v>
          </cell>
          <cell r="Q95">
            <v>7.8292432170030679E-2</v>
          </cell>
          <cell r="R95">
            <v>4.6887571291108543E-2</v>
          </cell>
          <cell r="S95">
            <v>-6.8212102632969618E-13</v>
          </cell>
          <cell r="T95">
            <v>0.20643063000647999</v>
          </cell>
          <cell r="U95">
            <v>-9.0949470177292824E-13</v>
          </cell>
          <cell r="V95">
            <v>-2.8421709430404007E-13</v>
          </cell>
          <cell r="W95">
            <v>0.26186269424783859</v>
          </cell>
          <cell r="X95">
            <v>-1.7053025658242404E-13</v>
          </cell>
          <cell r="Y95">
            <v>-1.1368683772161603E-13</v>
          </cell>
          <cell r="Z95">
            <v>2.3349439094801028E-2</v>
          </cell>
          <cell r="AA95">
            <v>-1.7053025658242404E-13</v>
          </cell>
          <cell r="AB95">
            <v>-1.7053025658242404E-13</v>
          </cell>
          <cell r="AC95">
            <v>8.0424329999914335E-2</v>
          </cell>
          <cell r="AD95">
            <v>-1.1368683772161603E-13</v>
          </cell>
          <cell r="AE95">
            <v>5.6843418860808015E-14</v>
          </cell>
          <cell r="AF95">
            <v>-1.1368683772161603E-12</v>
          </cell>
          <cell r="AG95">
            <v>-1.7053025658242404E-13</v>
          </cell>
          <cell r="AH95">
            <v>-1.7053025658242404E-13</v>
          </cell>
          <cell r="AI95">
            <v>0.11166959999997061</v>
          </cell>
          <cell r="AJ95">
            <v>-1.7053025658242404E-13</v>
          </cell>
          <cell r="AK95">
            <v>6.5168107708586831E-2</v>
          </cell>
          <cell r="AL95">
            <v>-1.7053025658242404E-13</v>
          </cell>
          <cell r="AM95">
            <v>-2.7284841053187847E-12</v>
          </cell>
          <cell r="AN95">
            <v>-5.6843418860808015E-14</v>
          </cell>
          <cell r="AO95">
            <v>-9.0949470177292824E-13</v>
          </cell>
          <cell r="AP95">
            <v>-1.7053025658242404E-13</v>
          </cell>
          <cell r="AQ95">
            <v>-2.2737367544323206E-13</v>
          </cell>
          <cell r="AR95">
            <v>-5.6843418860808015E-14</v>
          </cell>
          <cell r="AS95">
            <v>0.42078897570257823</v>
          </cell>
          <cell r="AT95">
            <v>8.7770759999955317E-2</v>
          </cell>
          <cell r="AU95">
            <v>0</v>
          </cell>
          <cell r="AV95">
            <v>-2.2737367544323206E-13</v>
          </cell>
          <cell r="AW95">
            <v>0.25588081712453459</v>
          </cell>
          <cell r="AX95">
            <v>0.39747967343282653</v>
          </cell>
          <cell r="AY95">
            <v>8.9951821976683277E-2</v>
          </cell>
          <cell r="AZ95">
            <v>9.0649635978024889E-2</v>
          </cell>
          <cell r="BA95">
            <v>-2.8421709430404007E-14</v>
          </cell>
          <cell r="BB95">
            <v>0.19816523999986657</v>
          </cell>
          <cell r="BC95">
            <v>0.11828164985024614</v>
          </cell>
          <cell r="BD95">
            <v>0.13183872818515852</v>
          </cell>
          <cell r="BE95">
            <v>203.95713943270295</v>
          </cell>
          <cell r="BF95">
            <v>-5.6843418860808015E-14</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cell r="BZ95">
            <v>0</v>
          </cell>
          <cell r="CA95">
            <v>0</v>
          </cell>
          <cell r="CB95">
            <v>0</v>
          </cell>
          <cell r="CC95">
            <v>0</v>
          </cell>
          <cell r="CD95">
            <v>0</v>
          </cell>
          <cell r="CE95">
            <v>0</v>
          </cell>
          <cell r="CF95">
            <v>0</v>
          </cell>
          <cell r="CG95">
            <v>0</v>
          </cell>
          <cell r="CH95">
            <v>0</v>
          </cell>
          <cell r="CI95">
            <v>0</v>
          </cell>
          <cell r="CJ95">
            <v>0</v>
          </cell>
          <cell r="CK95">
            <v>0</v>
          </cell>
          <cell r="CL95">
            <v>0</v>
          </cell>
          <cell r="CM95">
            <v>0</v>
          </cell>
          <cell r="CN95">
            <v>0</v>
          </cell>
          <cell r="CO95">
            <v>0</v>
          </cell>
          <cell r="CP95">
            <v>0</v>
          </cell>
          <cell r="CQ95">
            <v>0</v>
          </cell>
          <cell r="CR95">
            <v>0</v>
          </cell>
          <cell r="CS95">
            <v>0</v>
          </cell>
          <cell r="CT95">
            <v>0</v>
          </cell>
          <cell r="CU95">
            <v>0</v>
          </cell>
          <cell r="CV95">
            <v>0</v>
          </cell>
          <cell r="CW95">
            <v>0</v>
          </cell>
          <cell r="CX95">
            <v>0</v>
          </cell>
          <cell r="CY95">
            <v>0</v>
          </cell>
          <cell r="CZ95">
            <v>0</v>
          </cell>
          <cell r="DA95">
            <v>0</v>
          </cell>
          <cell r="DB95">
            <v>0</v>
          </cell>
          <cell r="DC95">
            <v>0</v>
          </cell>
          <cell r="DD95">
            <v>0</v>
          </cell>
          <cell r="DE95">
            <v>0</v>
          </cell>
          <cell r="DF95">
            <v>0</v>
          </cell>
        </row>
        <row r="96">
          <cell r="C96" t="str">
            <v>תוספת לצרכן תעשייה גדול</v>
          </cell>
          <cell r="D96">
            <v>623.9881675909844</v>
          </cell>
          <cell r="E96">
            <v>0</v>
          </cell>
          <cell r="F96">
            <v>81.904711530297121</v>
          </cell>
          <cell r="G96">
            <v>1244.5088114280845</v>
          </cell>
          <cell r="H96">
            <v>2010.9148179393571</v>
          </cell>
          <cell r="I96">
            <v>0</v>
          </cell>
          <cell r="J96">
            <v>11.733322393831701</v>
          </cell>
          <cell r="K96">
            <v>110.47337397585187</v>
          </cell>
          <cell r="L96">
            <v>99.100616026560701</v>
          </cell>
          <cell r="M96">
            <v>1604.226467950705</v>
          </cell>
          <cell r="N96">
            <v>720.72466170345069</v>
          </cell>
          <cell r="O96">
            <v>85.488069338514293</v>
          </cell>
          <cell r="P96">
            <v>67.812138763820457</v>
          </cell>
          <cell r="Q96">
            <v>433.82827516086837</v>
          </cell>
          <cell r="R96">
            <v>470.96848727667452</v>
          </cell>
          <cell r="S96">
            <v>252.0461429568827</v>
          </cell>
          <cell r="T96">
            <v>29.533611610100607</v>
          </cell>
          <cell r="U96">
            <v>274.26342626620072</v>
          </cell>
          <cell r="V96">
            <v>4643.9107614444874</v>
          </cell>
          <cell r="W96">
            <v>6.0029845371473787</v>
          </cell>
          <cell r="X96">
            <v>110.86119053343322</v>
          </cell>
          <cell r="Y96">
            <v>0</v>
          </cell>
          <cell r="Z96">
            <v>363.50474260958731</v>
          </cell>
          <cell r="AA96">
            <v>15.420208068951897</v>
          </cell>
          <cell r="AB96">
            <v>0</v>
          </cell>
          <cell r="AC96">
            <v>8131.0954751361951</v>
          </cell>
          <cell r="AD96">
            <v>86.785610975929814</v>
          </cell>
          <cell r="AE96">
            <v>3.7105315172567535</v>
          </cell>
          <cell r="AF96">
            <v>989.30548157640874</v>
          </cell>
          <cell r="AG96">
            <v>278.21908533431764</v>
          </cell>
          <cell r="AH96">
            <v>1.0019745672438389</v>
          </cell>
          <cell r="AI96">
            <v>36.451632793684418</v>
          </cell>
          <cell r="AJ96">
            <v>0</v>
          </cell>
          <cell r="AK96">
            <v>0</v>
          </cell>
          <cell r="AL96">
            <v>69.281800609384604</v>
          </cell>
          <cell r="AM96">
            <v>1766.8425334527037</v>
          </cell>
          <cell r="AN96">
            <v>0</v>
          </cell>
          <cell r="AO96">
            <v>136.72292051789034</v>
          </cell>
          <cell r="AP96">
            <v>0</v>
          </cell>
          <cell r="AQ96">
            <v>126.79473702885007</v>
          </cell>
          <cell r="AR96">
            <v>0</v>
          </cell>
          <cell r="AS96">
            <v>14.359731839697792</v>
          </cell>
          <cell r="AT96">
            <v>242.48597935317733</v>
          </cell>
          <cell r="AU96">
            <v>0</v>
          </cell>
          <cell r="AV96">
            <v>4.4709267284978305</v>
          </cell>
          <cell r="AW96">
            <v>17.883808994320912</v>
          </cell>
          <cell r="AX96">
            <v>12.624146501919263</v>
          </cell>
          <cell r="AY96">
            <v>745.28184607515664</v>
          </cell>
          <cell r="AZ96">
            <v>524.25922183376827</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cell r="BZ96">
            <v>0</v>
          </cell>
          <cell r="CA96">
            <v>0</v>
          </cell>
          <cell r="CB96">
            <v>0</v>
          </cell>
          <cell r="CC96">
            <v>0</v>
          </cell>
          <cell r="CD96">
            <v>0</v>
          </cell>
          <cell r="CE96">
            <v>0</v>
          </cell>
          <cell r="CF96">
            <v>0</v>
          </cell>
          <cell r="CG96">
            <v>0</v>
          </cell>
          <cell r="CH96">
            <v>0</v>
          </cell>
          <cell r="CI96">
            <v>0</v>
          </cell>
          <cell r="CJ96">
            <v>0</v>
          </cell>
          <cell r="CK96">
            <v>0</v>
          </cell>
          <cell r="CL96">
            <v>0</v>
          </cell>
          <cell r="CM96">
            <v>0</v>
          </cell>
          <cell r="CN96">
            <v>0</v>
          </cell>
          <cell r="CO96">
            <v>0</v>
          </cell>
          <cell r="CP96">
            <v>0</v>
          </cell>
          <cell r="CQ96">
            <v>0</v>
          </cell>
          <cell r="CR96">
            <v>0</v>
          </cell>
          <cell r="CS96">
            <v>0</v>
          </cell>
          <cell r="CT96">
            <v>0</v>
          </cell>
          <cell r="CU96">
            <v>0</v>
          </cell>
          <cell r="CV96">
            <v>0</v>
          </cell>
          <cell r="CW96">
            <v>0</v>
          </cell>
          <cell r="CX96">
            <v>0</v>
          </cell>
          <cell r="CY96">
            <v>0</v>
          </cell>
          <cell r="CZ96">
            <v>0</v>
          </cell>
          <cell r="DA96">
            <v>0</v>
          </cell>
          <cell r="DB96">
            <v>0</v>
          </cell>
          <cell r="DC96">
            <v>0</v>
          </cell>
          <cell r="DD96">
            <v>0</v>
          </cell>
          <cell r="DE96">
            <v>0</v>
          </cell>
          <cell r="DF96">
            <v>0</v>
          </cell>
        </row>
        <row r="97">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cell r="BZ97">
            <v>0</v>
          </cell>
          <cell r="CA97">
            <v>0</v>
          </cell>
          <cell r="CB97">
            <v>0</v>
          </cell>
          <cell r="CC97">
            <v>0</v>
          </cell>
          <cell r="CD97">
            <v>0</v>
          </cell>
          <cell r="CE97">
            <v>0</v>
          </cell>
          <cell r="CF97">
            <v>0</v>
          </cell>
          <cell r="CG97">
            <v>0</v>
          </cell>
          <cell r="CH97">
            <v>0</v>
          </cell>
          <cell r="CI97">
            <v>0</v>
          </cell>
          <cell r="CJ97">
            <v>0</v>
          </cell>
          <cell r="CK97">
            <v>0</v>
          </cell>
          <cell r="CL97">
            <v>0</v>
          </cell>
          <cell r="CM97">
            <v>0</v>
          </cell>
          <cell r="CN97">
            <v>0</v>
          </cell>
          <cell r="CO97">
            <v>0</v>
          </cell>
          <cell r="CP97">
            <v>0</v>
          </cell>
          <cell r="CQ97">
            <v>0</v>
          </cell>
          <cell r="CR97">
            <v>0</v>
          </cell>
          <cell r="CS97">
            <v>0</v>
          </cell>
          <cell r="CT97">
            <v>0</v>
          </cell>
          <cell r="CU97">
            <v>0</v>
          </cell>
          <cell r="CV97">
            <v>0</v>
          </cell>
          <cell r="CW97">
            <v>0</v>
          </cell>
          <cell r="CX97">
            <v>0</v>
          </cell>
          <cell r="CY97">
            <v>0</v>
          </cell>
          <cell r="CZ97">
            <v>0</v>
          </cell>
          <cell r="DA97">
            <v>0</v>
          </cell>
          <cell r="DB97">
            <v>0</v>
          </cell>
          <cell r="DC97">
            <v>0</v>
          </cell>
          <cell r="DD97">
            <v>0</v>
          </cell>
          <cell r="DE97">
            <v>0</v>
          </cell>
          <cell r="DF97">
            <v>0</v>
          </cell>
        </row>
        <row r="98">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v>0</v>
          </cell>
          <cell r="CL98">
            <v>0</v>
          </cell>
          <cell r="CM98">
            <v>0</v>
          </cell>
          <cell r="CN98">
            <v>0</v>
          </cell>
          <cell r="CO98">
            <v>0</v>
          </cell>
          <cell r="CP98">
            <v>0</v>
          </cell>
          <cell r="CQ98">
            <v>0</v>
          </cell>
          <cell r="CR98">
            <v>0</v>
          </cell>
          <cell r="CS98">
            <v>0</v>
          </cell>
          <cell r="CT98">
            <v>0</v>
          </cell>
          <cell r="CU98">
            <v>0</v>
          </cell>
          <cell r="CV98">
            <v>0</v>
          </cell>
          <cell r="CW98">
            <v>0</v>
          </cell>
          <cell r="CX98">
            <v>0</v>
          </cell>
          <cell r="CY98">
            <v>0</v>
          </cell>
          <cell r="CZ98">
            <v>0</v>
          </cell>
          <cell r="DA98">
            <v>0</v>
          </cell>
          <cell r="DB98">
            <v>0</v>
          </cell>
          <cell r="DC98">
            <v>0</v>
          </cell>
          <cell r="DD98">
            <v>0</v>
          </cell>
          <cell r="DE98">
            <v>0</v>
          </cell>
          <cell r="DF98">
            <v>0</v>
          </cell>
        </row>
        <row r="99">
          <cell r="C99" t="str">
            <v>משכורות ונלוות</v>
          </cell>
          <cell r="D99">
            <v>2141.5320000000002</v>
          </cell>
          <cell r="E99">
            <v>2141.5320000000002</v>
          </cell>
          <cell r="F99">
            <v>1353.7499999999998</v>
          </cell>
          <cell r="G99">
            <v>4396.5936000000002</v>
          </cell>
          <cell r="H99">
            <v>2141.5320000000002</v>
          </cell>
          <cell r="I99">
            <v>977.02079999999989</v>
          </cell>
          <cell r="J99">
            <v>1861.134</v>
          </cell>
          <cell r="K99">
            <v>1861.134</v>
          </cell>
          <cell r="L99">
            <v>1861.134</v>
          </cell>
          <cell r="M99">
            <v>1861.134</v>
          </cell>
          <cell r="N99">
            <v>2141.5320000000002</v>
          </cell>
          <cell r="O99">
            <v>1861.134</v>
          </cell>
          <cell r="P99">
            <v>1861.134</v>
          </cell>
          <cell r="Q99">
            <v>1353.7499999999998</v>
          </cell>
          <cell r="R99">
            <v>2141.5320000000002</v>
          </cell>
          <cell r="S99">
            <v>2141.5320000000002</v>
          </cell>
          <cell r="T99">
            <v>2691.924</v>
          </cell>
          <cell r="U99">
            <v>2141.5320000000002</v>
          </cell>
          <cell r="V99">
            <v>0</v>
          </cell>
          <cell r="W99">
            <v>1861.134</v>
          </cell>
          <cell r="X99">
            <v>1861.134</v>
          </cell>
          <cell r="Y99">
            <v>1861.134</v>
          </cell>
          <cell r="Z99">
            <v>1353.7499999999998</v>
          </cell>
          <cell r="AA99">
            <v>1353.7499999999998</v>
          </cell>
          <cell r="AB99">
            <v>1861.134</v>
          </cell>
          <cell r="AC99">
            <v>1353.7499999999998</v>
          </cell>
          <cell r="AD99">
            <v>1861.134</v>
          </cell>
          <cell r="AE99">
            <v>1353.7499999999998</v>
          </cell>
          <cell r="AF99">
            <v>2691.924</v>
          </cell>
          <cell r="AG99">
            <v>1353.7499999999998</v>
          </cell>
          <cell r="AH99">
            <v>1353.7499999999998</v>
          </cell>
          <cell r="AI99">
            <v>1353.7499999999998</v>
          </cell>
          <cell r="AJ99">
            <v>1353.7499999999998</v>
          </cell>
          <cell r="AK99">
            <v>1353.7499999999998</v>
          </cell>
          <cell r="AL99">
            <v>1353.7499999999998</v>
          </cell>
          <cell r="AM99">
            <v>4429.1609600000002</v>
          </cell>
          <cell r="AN99">
            <v>1861.134</v>
          </cell>
          <cell r="AO99">
            <v>2141.5320000000002</v>
          </cell>
          <cell r="AP99">
            <v>1353.7499999999998</v>
          </cell>
          <cell r="AQ99">
            <v>2141.5320000000002</v>
          </cell>
          <cell r="AR99">
            <v>1353.7499999999998</v>
          </cell>
          <cell r="AS99">
            <v>2141.5320000000002</v>
          </cell>
          <cell r="AT99">
            <v>1353.7499999999998</v>
          </cell>
          <cell r="AU99">
            <v>1353.7499999999998</v>
          </cell>
          <cell r="AV99">
            <v>1353.7499999999998</v>
          </cell>
          <cell r="AW99">
            <v>1861.134</v>
          </cell>
          <cell r="AX99">
            <v>1861.134</v>
          </cell>
          <cell r="AY99">
            <v>2141.5320000000002</v>
          </cell>
          <cell r="AZ99">
            <v>1861.134</v>
          </cell>
          <cell r="BA99">
            <v>1353.7499999999998</v>
          </cell>
          <cell r="BB99">
            <v>1861.134</v>
          </cell>
          <cell r="BC99">
            <v>1353.7499999999998</v>
          </cell>
          <cell r="BD99">
            <v>1861.134</v>
          </cell>
          <cell r="BE99">
            <v>1353.7499999999998</v>
          </cell>
          <cell r="BF99">
            <v>1353.7499999999998</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cell r="CL99">
            <v>0</v>
          </cell>
          <cell r="CM99">
            <v>0</v>
          </cell>
          <cell r="CN99">
            <v>0</v>
          </cell>
          <cell r="CO99">
            <v>0</v>
          </cell>
          <cell r="CP99">
            <v>0</v>
          </cell>
          <cell r="CQ99">
            <v>0</v>
          </cell>
          <cell r="CR99">
            <v>0</v>
          </cell>
          <cell r="CS99">
            <v>0</v>
          </cell>
          <cell r="CT99">
            <v>0</v>
          </cell>
          <cell r="CU99">
            <v>0</v>
          </cell>
          <cell r="CV99">
            <v>0</v>
          </cell>
          <cell r="CW99">
            <v>0</v>
          </cell>
          <cell r="CX99">
            <v>0</v>
          </cell>
          <cell r="CY99">
            <v>0</v>
          </cell>
          <cell r="CZ99">
            <v>0</v>
          </cell>
          <cell r="DA99">
            <v>0</v>
          </cell>
          <cell r="DB99">
            <v>0</v>
          </cell>
          <cell r="DC99">
            <v>0</v>
          </cell>
          <cell r="DD99">
            <v>0</v>
          </cell>
          <cell r="DE99">
            <v>0</v>
          </cell>
          <cell r="DF99">
            <v>0</v>
          </cell>
        </row>
        <row r="100">
          <cell r="C100" t="str">
            <v>יעוץ מקצועי-הנהלה</v>
          </cell>
          <cell r="D100">
            <v>572</v>
          </cell>
          <cell r="E100">
            <v>572</v>
          </cell>
          <cell r="F100">
            <v>422</v>
          </cell>
          <cell r="G100">
            <v>1236.6000000000001</v>
          </cell>
          <cell r="H100">
            <v>572</v>
          </cell>
          <cell r="I100">
            <v>274.8</v>
          </cell>
          <cell r="J100">
            <v>446</v>
          </cell>
          <cell r="K100">
            <v>446</v>
          </cell>
          <cell r="L100">
            <v>446</v>
          </cell>
          <cell r="M100">
            <v>446</v>
          </cell>
          <cell r="N100">
            <v>572</v>
          </cell>
          <cell r="O100">
            <v>446</v>
          </cell>
          <cell r="P100">
            <v>446</v>
          </cell>
          <cell r="Q100">
            <v>422</v>
          </cell>
          <cell r="R100">
            <v>572</v>
          </cell>
          <cell r="S100">
            <v>572</v>
          </cell>
          <cell r="T100">
            <v>920</v>
          </cell>
          <cell r="U100">
            <v>572</v>
          </cell>
          <cell r="V100">
            <v>0</v>
          </cell>
          <cell r="W100">
            <v>446</v>
          </cell>
          <cell r="X100">
            <v>446</v>
          </cell>
          <cell r="Y100">
            <v>446</v>
          </cell>
          <cell r="Z100">
            <v>422</v>
          </cell>
          <cell r="AA100">
            <v>422</v>
          </cell>
          <cell r="AB100">
            <v>446</v>
          </cell>
          <cell r="AC100">
            <v>422</v>
          </cell>
          <cell r="AD100">
            <v>446</v>
          </cell>
          <cell r="AE100">
            <v>422</v>
          </cell>
          <cell r="AF100">
            <v>920</v>
          </cell>
          <cell r="AG100">
            <v>422</v>
          </cell>
          <cell r="AH100">
            <v>422</v>
          </cell>
          <cell r="AI100">
            <v>422</v>
          </cell>
          <cell r="AJ100">
            <v>422</v>
          </cell>
          <cell r="AK100">
            <v>422</v>
          </cell>
          <cell r="AL100">
            <v>422</v>
          </cell>
          <cell r="AM100">
            <v>1245.76</v>
          </cell>
          <cell r="AN100">
            <v>446</v>
          </cell>
          <cell r="AO100">
            <v>572</v>
          </cell>
          <cell r="AP100">
            <v>422</v>
          </cell>
          <cell r="AQ100">
            <v>572</v>
          </cell>
          <cell r="AR100">
            <v>422</v>
          </cell>
          <cell r="AS100">
            <v>572</v>
          </cell>
          <cell r="AT100">
            <v>422</v>
          </cell>
          <cell r="AU100">
            <v>422</v>
          </cell>
          <cell r="AV100">
            <v>422</v>
          </cell>
          <cell r="AW100">
            <v>446</v>
          </cell>
          <cell r="AX100">
            <v>446</v>
          </cell>
          <cell r="AY100">
            <v>572</v>
          </cell>
          <cell r="AZ100">
            <v>446</v>
          </cell>
          <cell r="BA100">
            <v>422</v>
          </cell>
          <cell r="BB100">
            <v>446</v>
          </cell>
          <cell r="BC100">
            <v>422</v>
          </cell>
          <cell r="BD100">
            <v>446</v>
          </cell>
          <cell r="BE100">
            <v>422</v>
          </cell>
          <cell r="BF100">
            <v>422</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cell r="BZ100">
            <v>0</v>
          </cell>
          <cell r="CA100">
            <v>0</v>
          </cell>
          <cell r="CB100">
            <v>0</v>
          </cell>
          <cell r="CC100">
            <v>0</v>
          </cell>
          <cell r="CD100">
            <v>0</v>
          </cell>
          <cell r="CE100">
            <v>0</v>
          </cell>
          <cell r="CF100">
            <v>0</v>
          </cell>
          <cell r="CG100">
            <v>0</v>
          </cell>
          <cell r="CH100">
            <v>0</v>
          </cell>
          <cell r="CI100">
            <v>0</v>
          </cell>
          <cell r="CJ100">
            <v>0</v>
          </cell>
          <cell r="CK100">
            <v>0</v>
          </cell>
          <cell r="CL100">
            <v>0</v>
          </cell>
          <cell r="CM100">
            <v>0</v>
          </cell>
          <cell r="CN100">
            <v>0</v>
          </cell>
          <cell r="CO100">
            <v>0</v>
          </cell>
          <cell r="CP100">
            <v>0</v>
          </cell>
          <cell r="CQ100">
            <v>0</v>
          </cell>
          <cell r="CR100">
            <v>0</v>
          </cell>
          <cell r="CS100">
            <v>0</v>
          </cell>
          <cell r="CT100">
            <v>0</v>
          </cell>
          <cell r="CU100">
            <v>0</v>
          </cell>
          <cell r="CV100">
            <v>0</v>
          </cell>
          <cell r="CW100">
            <v>0</v>
          </cell>
          <cell r="CX100">
            <v>0</v>
          </cell>
          <cell r="CY100">
            <v>0</v>
          </cell>
          <cell r="CZ100">
            <v>0</v>
          </cell>
          <cell r="DA100">
            <v>0</v>
          </cell>
          <cell r="DB100">
            <v>0</v>
          </cell>
          <cell r="DC100">
            <v>0</v>
          </cell>
          <cell r="DD100">
            <v>0</v>
          </cell>
          <cell r="DE100">
            <v>0</v>
          </cell>
          <cell r="DF100">
            <v>0</v>
          </cell>
        </row>
        <row r="101">
          <cell r="C101" t="str">
            <v>הוצאות משרדיות</v>
          </cell>
          <cell r="D101">
            <v>214.79999999999995</v>
          </cell>
          <cell r="E101">
            <v>214.79999999999995</v>
          </cell>
          <cell r="F101">
            <v>149.35</v>
          </cell>
          <cell r="G101">
            <v>732.02400000000011</v>
          </cell>
          <cell r="H101">
            <v>214.79999999999995</v>
          </cell>
          <cell r="I101">
            <v>162.672</v>
          </cell>
          <cell r="J101">
            <v>179</v>
          </cell>
          <cell r="K101">
            <v>179</v>
          </cell>
          <cell r="L101">
            <v>179</v>
          </cell>
          <cell r="M101">
            <v>179</v>
          </cell>
          <cell r="N101">
            <v>214.79999999999995</v>
          </cell>
          <cell r="O101">
            <v>179</v>
          </cell>
          <cell r="P101">
            <v>179</v>
          </cell>
          <cell r="Q101">
            <v>149.35</v>
          </cell>
          <cell r="R101">
            <v>214.79999999999995</v>
          </cell>
          <cell r="S101">
            <v>214.79999999999995</v>
          </cell>
          <cell r="T101">
            <v>257.76</v>
          </cell>
          <cell r="U101">
            <v>214.79999999999995</v>
          </cell>
          <cell r="V101">
            <v>0</v>
          </cell>
          <cell r="W101">
            <v>179</v>
          </cell>
          <cell r="X101">
            <v>179</v>
          </cell>
          <cell r="Y101">
            <v>179</v>
          </cell>
          <cell r="Z101">
            <v>149.35</v>
          </cell>
          <cell r="AA101">
            <v>149.35</v>
          </cell>
          <cell r="AB101">
            <v>179</v>
          </cell>
          <cell r="AC101">
            <v>149.35</v>
          </cell>
          <cell r="AD101">
            <v>179</v>
          </cell>
          <cell r="AE101">
            <v>149.35</v>
          </cell>
          <cell r="AF101">
            <v>257.76</v>
          </cell>
          <cell r="AG101">
            <v>149.35</v>
          </cell>
          <cell r="AH101">
            <v>149.35</v>
          </cell>
          <cell r="AI101">
            <v>149.35</v>
          </cell>
          <cell r="AJ101">
            <v>149.35</v>
          </cell>
          <cell r="AK101">
            <v>149.35</v>
          </cell>
          <cell r="AL101">
            <v>149.35</v>
          </cell>
          <cell r="AM101">
            <v>737.44640000000004</v>
          </cell>
          <cell r="AN101">
            <v>179</v>
          </cell>
          <cell r="AO101">
            <v>214.79999999999995</v>
          </cell>
          <cell r="AP101">
            <v>149.35</v>
          </cell>
          <cell r="AQ101">
            <v>214.79999999999995</v>
          </cell>
          <cell r="AR101">
            <v>149.35</v>
          </cell>
          <cell r="AS101">
            <v>214.79999999999995</v>
          </cell>
          <cell r="AT101">
            <v>149.35</v>
          </cell>
          <cell r="AU101">
            <v>149.35</v>
          </cell>
          <cell r="AV101">
            <v>149.35</v>
          </cell>
          <cell r="AW101">
            <v>179</v>
          </cell>
          <cell r="AX101">
            <v>179</v>
          </cell>
          <cell r="AY101">
            <v>214.79999999999995</v>
          </cell>
          <cell r="AZ101">
            <v>179</v>
          </cell>
          <cell r="BA101">
            <v>149.35</v>
          </cell>
          <cell r="BB101">
            <v>179</v>
          </cell>
          <cell r="BC101">
            <v>149.35</v>
          </cell>
          <cell r="BD101">
            <v>179</v>
          </cell>
          <cell r="BE101">
            <v>149.35</v>
          </cell>
          <cell r="BF101">
            <v>149.35</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v>
          </cell>
          <cell r="CA101">
            <v>0</v>
          </cell>
          <cell r="CB101">
            <v>0</v>
          </cell>
          <cell r="CC101">
            <v>0</v>
          </cell>
          <cell r="CD101">
            <v>0</v>
          </cell>
          <cell r="CE101">
            <v>0</v>
          </cell>
          <cell r="CF101">
            <v>0</v>
          </cell>
          <cell r="CG101">
            <v>0</v>
          </cell>
          <cell r="CH101">
            <v>0</v>
          </cell>
          <cell r="CI101">
            <v>0</v>
          </cell>
          <cell r="CJ101">
            <v>0</v>
          </cell>
          <cell r="CK101">
            <v>0</v>
          </cell>
          <cell r="CL101">
            <v>0</v>
          </cell>
          <cell r="CM101">
            <v>0</v>
          </cell>
          <cell r="CN101">
            <v>0</v>
          </cell>
          <cell r="CO101">
            <v>0</v>
          </cell>
          <cell r="CP101">
            <v>0</v>
          </cell>
          <cell r="CQ101">
            <v>0</v>
          </cell>
          <cell r="CR101">
            <v>0</v>
          </cell>
          <cell r="CS101">
            <v>0</v>
          </cell>
          <cell r="CT101">
            <v>0</v>
          </cell>
          <cell r="CU101">
            <v>0</v>
          </cell>
          <cell r="CV101">
            <v>0</v>
          </cell>
          <cell r="CW101">
            <v>0</v>
          </cell>
          <cell r="CX101">
            <v>0</v>
          </cell>
          <cell r="CY101">
            <v>0</v>
          </cell>
          <cell r="CZ101">
            <v>0</v>
          </cell>
          <cell r="DA101">
            <v>0</v>
          </cell>
          <cell r="DB101">
            <v>0</v>
          </cell>
          <cell r="DC101">
            <v>0</v>
          </cell>
          <cell r="DD101">
            <v>0</v>
          </cell>
          <cell r="DE101">
            <v>0</v>
          </cell>
          <cell r="DF101">
            <v>0</v>
          </cell>
        </row>
        <row r="102">
          <cell r="C102" t="str">
            <v>דמי שכירות-הנהלה</v>
          </cell>
          <cell r="D102">
            <v>144</v>
          </cell>
          <cell r="E102">
            <v>144</v>
          </cell>
          <cell r="F102">
            <v>120</v>
          </cell>
          <cell r="G102">
            <v>607.5</v>
          </cell>
          <cell r="H102">
            <v>144</v>
          </cell>
          <cell r="I102">
            <v>135</v>
          </cell>
          <cell r="J102">
            <v>192</v>
          </cell>
          <cell r="K102">
            <v>192</v>
          </cell>
          <cell r="L102">
            <v>192</v>
          </cell>
          <cell r="M102">
            <v>192</v>
          </cell>
          <cell r="N102">
            <v>144</v>
          </cell>
          <cell r="O102">
            <v>192</v>
          </cell>
          <cell r="P102">
            <v>192</v>
          </cell>
          <cell r="Q102">
            <v>120</v>
          </cell>
          <cell r="R102">
            <v>144</v>
          </cell>
          <cell r="S102">
            <v>144</v>
          </cell>
          <cell r="T102">
            <v>172.79999999999998</v>
          </cell>
          <cell r="U102">
            <v>144</v>
          </cell>
          <cell r="V102">
            <v>0</v>
          </cell>
          <cell r="W102">
            <v>192</v>
          </cell>
          <cell r="X102">
            <v>192</v>
          </cell>
          <cell r="Y102">
            <v>192</v>
          </cell>
          <cell r="Z102">
            <v>120</v>
          </cell>
          <cell r="AA102">
            <v>120</v>
          </cell>
          <cell r="AB102">
            <v>192</v>
          </cell>
          <cell r="AC102">
            <v>120</v>
          </cell>
          <cell r="AD102">
            <v>192</v>
          </cell>
          <cell r="AE102">
            <v>120</v>
          </cell>
          <cell r="AF102">
            <v>172.79999999999998</v>
          </cell>
          <cell r="AG102">
            <v>120</v>
          </cell>
          <cell r="AH102">
            <v>120</v>
          </cell>
          <cell r="AI102">
            <v>120</v>
          </cell>
          <cell r="AJ102">
            <v>120</v>
          </cell>
          <cell r="AK102">
            <v>120</v>
          </cell>
          <cell r="AL102">
            <v>120</v>
          </cell>
          <cell r="AM102">
            <v>612</v>
          </cell>
          <cell r="AN102">
            <v>192</v>
          </cell>
          <cell r="AO102">
            <v>144</v>
          </cell>
          <cell r="AP102">
            <v>120</v>
          </cell>
          <cell r="AQ102">
            <v>144</v>
          </cell>
          <cell r="AR102">
            <v>120</v>
          </cell>
          <cell r="AS102">
            <v>144</v>
          </cell>
          <cell r="AT102">
            <v>120</v>
          </cell>
          <cell r="AU102">
            <v>120</v>
          </cell>
          <cell r="AV102">
            <v>120</v>
          </cell>
          <cell r="AW102">
            <v>192</v>
          </cell>
          <cell r="AX102">
            <v>192</v>
          </cell>
          <cell r="AY102">
            <v>144</v>
          </cell>
          <cell r="AZ102">
            <v>192</v>
          </cell>
          <cell r="BA102">
            <v>120</v>
          </cell>
          <cell r="BB102">
            <v>192</v>
          </cell>
          <cell r="BC102">
            <v>120</v>
          </cell>
          <cell r="BD102">
            <v>192</v>
          </cell>
          <cell r="BE102">
            <v>120</v>
          </cell>
          <cell r="BF102">
            <v>120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cell r="CL102">
            <v>0</v>
          </cell>
          <cell r="CM102">
            <v>0</v>
          </cell>
          <cell r="CN102">
            <v>0</v>
          </cell>
          <cell r="CO102">
            <v>0</v>
          </cell>
          <cell r="CP102">
            <v>0</v>
          </cell>
          <cell r="CQ102">
            <v>0</v>
          </cell>
          <cell r="CR102">
            <v>0</v>
          </cell>
          <cell r="CS102">
            <v>0</v>
          </cell>
          <cell r="CT102">
            <v>0</v>
          </cell>
          <cell r="CU102">
            <v>0</v>
          </cell>
          <cell r="CV102">
            <v>0</v>
          </cell>
          <cell r="CW102">
            <v>0</v>
          </cell>
          <cell r="CX102">
            <v>0</v>
          </cell>
          <cell r="CY102">
            <v>0</v>
          </cell>
          <cell r="CZ102">
            <v>0</v>
          </cell>
          <cell r="DA102">
            <v>0</v>
          </cell>
          <cell r="DB102">
            <v>0</v>
          </cell>
          <cell r="DC102">
            <v>0</v>
          </cell>
          <cell r="DD102">
            <v>0</v>
          </cell>
          <cell r="DE102">
            <v>0</v>
          </cell>
          <cell r="DF102">
            <v>0</v>
          </cell>
        </row>
        <row r="103">
          <cell r="C103" t="str">
            <v>ביטוח-הנהלה</v>
          </cell>
          <cell r="D103">
            <v>60</v>
          </cell>
          <cell r="E103">
            <v>60</v>
          </cell>
          <cell r="F103">
            <v>50</v>
          </cell>
          <cell r="G103">
            <v>108</v>
          </cell>
          <cell r="H103">
            <v>60</v>
          </cell>
          <cell r="I103">
            <v>24</v>
          </cell>
          <cell r="J103">
            <v>50</v>
          </cell>
          <cell r="K103">
            <v>50</v>
          </cell>
          <cell r="L103">
            <v>50</v>
          </cell>
          <cell r="M103">
            <v>50</v>
          </cell>
          <cell r="N103">
            <v>60</v>
          </cell>
          <cell r="O103">
            <v>50</v>
          </cell>
          <cell r="P103">
            <v>50</v>
          </cell>
          <cell r="Q103">
            <v>50</v>
          </cell>
          <cell r="R103">
            <v>60</v>
          </cell>
          <cell r="S103">
            <v>60</v>
          </cell>
          <cell r="T103">
            <v>80</v>
          </cell>
          <cell r="U103">
            <v>60</v>
          </cell>
          <cell r="V103">
            <v>0</v>
          </cell>
          <cell r="W103">
            <v>50</v>
          </cell>
          <cell r="X103">
            <v>50</v>
          </cell>
          <cell r="Y103">
            <v>50</v>
          </cell>
          <cell r="Z103">
            <v>50</v>
          </cell>
          <cell r="AA103">
            <v>50</v>
          </cell>
          <cell r="AB103">
            <v>50</v>
          </cell>
          <cell r="AC103">
            <v>50</v>
          </cell>
          <cell r="AD103">
            <v>50</v>
          </cell>
          <cell r="AE103">
            <v>50</v>
          </cell>
          <cell r="AF103">
            <v>80</v>
          </cell>
          <cell r="AG103">
            <v>50</v>
          </cell>
          <cell r="AH103">
            <v>50</v>
          </cell>
          <cell r="AI103">
            <v>50</v>
          </cell>
          <cell r="AJ103">
            <v>50</v>
          </cell>
          <cell r="AK103">
            <v>50</v>
          </cell>
          <cell r="AL103">
            <v>50</v>
          </cell>
          <cell r="AM103">
            <v>108.80000000000001</v>
          </cell>
          <cell r="AN103">
            <v>50</v>
          </cell>
          <cell r="AO103">
            <v>60</v>
          </cell>
          <cell r="AP103">
            <v>50</v>
          </cell>
          <cell r="AQ103">
            <v>60</v>
          </cell>
          <cell r="AR103">
            <v>50</v>
          </cell>
          <cell r="AS103">
            <v>60</v>
          </cell>
          <cell r="AT103">
            <v>50</v>
          </cell>
          <cell r="AU103">
            <v>50</v>
          </cell>
          <cell r="AV103">
            <v>50</v>
          </cell>
          <cell r="AW103">
            <v>50</v>
          </cell>
          <cell r="AX103">
            <v>50</v>
          </cell>
          <cell r="AY103">
            <v>60</v>
          </cell>
          <cell r="AZ103">
            <v>50</v>
          </cell>
          <cell r="BA103">
            <v>50</v>
          </cell>
          <cell r="BB103">
            <v>50</v>
          </cell>
          <cell r="BC103">
            <v>50</v>
          </cell>
          <cell r="BD103">
            <v>50</v>
          </cell>
          <cell r="BE103">
            <v>50</v>
          </cell>
          <cell r="BF103">
            <v>50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cell r="BZ103">
            <v>0</v>
          </cell>
          <cell r="CA103">
            <v>0</v>
          </cell>
          <cell r="CB103">
            <v>0</v>
          </cell>
          <cell r="CC103">
            <v>0</v>
          </cell>
          <cell r="CD103">
            <v>0</v>
          </cell>
          <cell r="CE103">
            <v>0</v>
          </cell>
          <cell r="CF103">
            <v>0</v>
          </cell>
          <cell r="CG103">
            <v>0</v>
          </cell>
          <cell r="CH103">
            <v>0</v>
          </cell>
          <cell r="CI103">
            <v>0</v>
          </cell>
          <cell r="CJ103">
            <v>0</v>
          </cell>
          <cell r="CK103">
            <v>0</v>
          </cell>
          <cell r="CL103">
            <v>0</v>
          </cell>
          <cell r="CM103">
            <v>0</v>
          </cell>
          <cell r="CN103">
            <v>0</v>
          </cell>
          <cell r="CO103">
            <v>0</v>
          </cell>
          <cell r="CP103">
            <v>0</v>
          </cell>
          <cell r="CQ103">
            <v>0</v>
          </cell>
          <cell r="CR103">
            <v>0</v>
          </cell>
          <cell r="CS103">
            <v>0</v>
          </cell>
          <cell r="CT103">
            <v>0</v>
          </cell>
          <cell r="CU103">
            <v>0</v>
          </cell>
          <cell r="CV103">
            <v>0</v>
          </cell>
          <cell r="CW103">
            <v>0</v>
          </cell>
          <cell r="CX103">
            <v>0</v>
          </cell>
          <cell r="CY103">
            <v>0</v>
          </cell>
          <cell r="CZ103">
            <v>0</v>
          </cell>
          <cell r="DA103">
            <v>0</v>
          </cell>
          <cell r="DB103">
            <v>0</v>
          </cell>
          <cell r="DC103">
            <v>0</v>
          </cell>
          <cell r="DD103">
            <v>0</v>
          </cell>
          <cell r="DE103">
            <v>0</v>
          </cell>
          <cell r="DF103">
            <v>0</v>
          </cell>
        </row>
        <row r="104">
          <cell r="C104" t="str">
            <v>מסים עירוניים</v>
          </cell>
          <cell r="D104">
            <v>36</v>
          </cell>
          <cell r="E104">
            <v>36</v>
          </cell>
          <cell r="F104">
            <v>30</v>
          </cell>
          <cell r="G104">
            <v>204.75</v>
          </cell>
          <cell r="H104">
            <v>36</v>
          </cell>
          <cell r="I104">
            <v>45.499999999999993</v>
          </cell>
          <cell r="J104">
            <v>48</v>
          </cell>
          <cell r="K104">
            <v>48</v>
          </cell>
          <cell r="L104">
            <v>48</v>
          </cell>
          <cell r="M104">
            <v>48</v>
          </cell>
          <cell r="N104">
            <v>36</v>
          </cell>
          <cell r="O104">
            <v>48</v>
          </cell>
          <cell r="P104">
            <v>48</v>
          </cell>
          <cell r="Q104">
            <v>30</v>
          </cell>
          <cell r="R104">
            <v>36</v>
          </cell>
          <cell r="S104">
            <v>36</v>
          </cell>
          <cell r="T104">
            <v>43.199999999999996</v>
          </cell>
          <cell r="U104">
            <v>36</v>
          </cell>
          <cell r="V104">
            <v>0</v>
          </cell>
          <cell r="W104">
            <v>48</v>
          </cell>
          <cell r="X104">
            <v>48</v>
          </cell>
          <cell r="Y104">
            <v>48</v>
          </cell>
          <cell r="Z104">
            <v>30</v>
          </cell>
          <cell r="AA104">
            <v>30</v>
          </cell>
          <cell r="AB104">
            <v>48</v>
          </cell>
          <cell r="AC104">
            <v>30</v>
          </cell>
          <cell r="AD104">
            <v>48</v>
          </cell>
          <cell r="AE104">
            <v>30</v>
          </cell>
          <cell r="AF104">
            <v>43.199999999999996</v>
          </cell>
          <cell r="AG104">
            <v>30</v>
          </cell>
          <cell r="AH104">
            <v>30</v>
          </cell>
          <cell r="AI104">
            <v>30</v>
          </cell>
          <cell r="AJ104">
            <v>30</v>
          </cell>
          <cell r="AK104">
            <v>30</v>
          </cell>
          <cell r="AL104">
            <v>30</v>
          </cell>
          <cell r="AM104">
            <v>206.26666666666668</v>
          </cell>
          <cell r="AN104">
            <v>48</v>
          </cell>
          <cell r="AO104">
            <v>36</v>
          </cell>
          <cell r="AP104">
            <v>30</v>
          </cell>
          <cell r="AQ104">
            <v>36</v>
          </cell>
          <cell r="AR104">
            <v>30</v>
          </cell>
          <cell r="AS104">
            <v>36</v>
          </cell>
          <cell r="AT104">
            <v>30</v>
          </cell>
          <cell r="AU104">
            <v>30</v>
          </cell>
          <cell r="AV104">
            <v>30</v>
          </cell>
          <cell r="AW104">
            <v>48</v>
          </cell>
          <cell r="AX104">
            <v>48</v>
          </cell>
          <cell r="AY104">
            <v>36</v>
          </cell>
          <cell r="AZ104">
            <v>48</v>
          </cell>
          <cell r="BA104">
            <v>30</v>
          </cell>
          <cell r="BB104">
            <v>48</v>
          </cell>
          <cell r="BC104">
            <v>30</v>
          </cell>
          <cell r="BD104">
            <v>48</v>
          </cell>
          <cell r="BE104">
            <v>30</v>
          </cell>
          <cell r="BF104">
            <v>30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cell r="BZ104">
            <v>0</v>
          </cell>
          <cell r="CA104">
            <v>0</v>
          </cell>
          <cell r="CB104">
            <v>0</v>
          </cell>
          <cell r="CC104">
            <v>0</v>
          </cell>
          <cell r="CD104">
            <v>0</v>
          </cell>
          <cell r="CE104">
            <v>0</v>
          </cell>
          <cell r="CF104">
            <v>0</v>
          </cell>
          <cell r="CG104">
            <v>0</v>
          </cell>
          <cell r="CH104">
            <v>0</v>
          </cell>
          <cell r="CI104">
            <v>0</v>
          </cell>
          <cell r="CJ104">
            <v>0</v>
          </cell>
          <cell r="CK104">
            <v>0</v>
          </cell>
          <cell r="CL104">
            <v>0</v>
          </cell>
          <cell r="CM104">
            <v>0</v>
          </cell>
          <cell r="CN104">
            <v>0</v>
          </cell>
          <cell r="CO104">
            <v>0</v>
          </cell>
          <cell r="CP104">
            <v>0</v>
          </cell>
          <cell r="CQ104">
            <v>0</v>
          </cell>
          <cell r="CR104">
            <v>0</v>
          </cell>
          <cell r="CS104">
            <v>0</v>
          </cell>
          <cell r="CT104">
            <v>0</v>
          </cell>
          <cell r="CU104">
            <v>0</v>
          </cell>
          <cell r="CV104">
            <v>0</v>
          </cell>
          <cell r="CW104">
            <v>0</v>
          </cell>
          <cell r="CX104">
            <v>0</v>
          </cell>
          <cell r="CY104">
            <v>0</v>
          </cell>
          <cell r="CZ104">
            <v>0</v>
          </cell>
          <cell r="DA104">
            <v>0</v>
          </cell>
          <cell r="DB104">
            <v>0</v>
          </cell>
          <cell r="DC104">
            <v>0</v>
          </cell>
          <cell r="DD104">
            <v>0</v>
          </cell>
          <cell r="DE104">
            <v>0</v>
          </cell>
          <cell r="DF104">
            <v>0</v>
          </cell>
        </row>
        <row r="105">
          <cell r="C105" t="str">
            <v>הוצאות אחרות</v>
          </cell>
          <cell r="D105">
            <v>400</v>
          </cell>
          <cell r="E105">
            <v>400</v>
          </cell>
          <cell r="F105">
            <v>200</v>
          </cell>
          <cell r="G105">
            <v>0</v>
          </cell>
          <cell r="H105">
            <v>400</v>
          </cell>
          <cell r="I105">
            <v>0</v>
          </cell>
          <cell r="J105">
            <v>300</v>
          </cell>
          <cell r="K105">
            <v>300</v>
          </cell>
          <cell r="L105">
            <v>300</v>
          </cell>
          <cell r="M105">
            <v>300</v>
          </cell>
          <cell r="N105">
            <v>400</v>
          </cell>
          <cell r="O105">
            <v>300</v>
          </cell>
          <cell r="P105">
            <v>300</v>
          </cell>
          <cell r="Q105">
            <v>200</v>
          </cell>
          <cell r="R105">
            <v>400</v>
          </cell>
          <cell r="S105">
            <v>400</v>
          </cell>
          <cell r="T105">
            <v>500</v>
          </cell>
          <cell r="U105">
            <v>400</v>
          </cell>
          <cell r="V105">
            <v>0</v>
          </cell>
          <cell r="W105">
            <v>300</v>
          </cell>
          <cell r="X105">
            <v>300</v>
          </cell>
          <cell r="Y105">
            <v>300</v>
          </cell>
          <cell r="Z105">
            <v>200</v>
          </cell>
          <cell r="AA105">
            <v>200</v>
          </cell>
          <cell r="AB105">
            <v>300</v>
          </cell>
          <cell r="AC105">
            <v>200</v>
          </cell>
          <cell r="AD105">
            <v>300</v>
          </cell>
          <cell r="AE105">
            <v>200</v>
          </cell>
          <cell r="AF105">
            <v>500</v>
          </cell>
          <cell r="AG105">
            <v>200</v>
          </cell>
          <cell r="AH105">
            <v>200</v>
          </cell>
          <cell r="AI105">
            <v>200</v>
          </cell>
          <cell r="AJ105">
            <v>200</v>
          </cell>
          <cell r="AK105">
            <v>200</v>
          </cell>
          <cell r="AL105">
            <v>200</v>
          </cell>
          <cell r="AM105">
            <v>0</v>
          </cell>
          <cell r="AN105">
            <v>300</v>
          </cell>
          <cell r="AO105">
            <v>400</v>
          </cell>
          <cell r="AP105">
            <v>200</v>
          </cell>
          <cell r="AQ105">
            <v>400</v>
          </cell>
          <cell r="AR105">
            <v>200</v>
          </cell>
          <cell r="AS105">
            <v>400</v>
          </cell>
          <cell r="AT105">
            <v>200</v>
          </cell>
          <cell r="AU105">
            <v>200</v>
          </cell>
          <cell r="AV105">
            <v>200</v>
          </cell>
          <cell r="AW105">
            <v>300</v>
          </cell>
          <cell r="AX105">
            <v>300</v>
          </cell>
          <cell r="AY105">
            <v>400</v>
          </cell>
          <cell r="AZ105">
            <v>300</v>
          </cell>
          <cell r="BA105">
            <v>200</v>
          </cell>
          <cell r="BB105">
            <v>300</v>
          </cell>
          <cell r="BC105">
            <v>200</v>
          </cell>
          <cell r="BD105">
            <v>300</v>
          </cell>
          <cell r="BE105">
            <v>200</v>
          </cell>
          <cell r="BF105">
            <v>200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cell r="BZ105">
            <v>0</v>
          </cell>
          <cell r="CA105">
            <v>0</v>
          </cell>
          <cell r="CB105">
            <v>0</v>
          </cell>
          <cell r="CC105">
            <v>0</v>
          </cell>
          <cell r="CD105">
            <v>0</v>
          </cell>
          <cell r="CE105">
            <v>0</v>
          </cell>
          <cell r="CF105">
            <v>0</v>
          </cell>
          <cell r="CG105">
            <v>0</v>
          </cell>
          <cell r="CH105">
            <v>0</v>
          </cell>
          <cell r="CI105">
            <v>0</v>
          </cell>
          <cell r="CJ105">
            <v>0</v>
          </cell>
          <cell r="CK105">
            <v>0</v>
          </cell>
          <cell r="CL105">
            <v>0</v>
          </cell>
          <cell r="CM105">
            <v>0</v>
          </cell>
          <cell r="CN105">
            <v>0</v>
          </cell>
          <cell r="CO105">
            <v>0</v>
          </cell>
          <cell r="CP105">
            <v>0</v>
          </cell>
          <cell r="CQ105">
            <v>0</v>
          </cell>
          <cell r="CR105">
            <v>0</v>
          </cell>
          <cell r="CS105">
            <v>0</v>
          </cell>
          <cell r="CT105">
            <v>0</v>
          </cell>
          <cell r="CU105">
            <v>0</v>
          </cell>
          <cell r="CV105">
            <v>0</v>
          </cell>
          <cell r="CW105">
            <v>0</v>
          </cell>
          <cell r="CX105">
            <v>0</v>
          </cell>
          <cell r="CY105">
            <v>0</v>
          </cell>
          <cell r="CZ105">
            <v>0</v>
          </cell>
          <cell r="DA105">
            <v>0</v>
          </cell>
          <cell r="DB105">
            <v>0</v>
          </cell>
          <cell r="DC105">
            <v>0</v>
          </cell>
          <cell r="DD105">
            <v>0</v>
          </cell>
          <cell r="DE105">
            <v>0</v>
          </cell>
          <cell r="DF105">
            <v>0</v>
          </cell>
        </row>
        <row r="106">
          <cell r="C106" t="str">
            <v>פחת-הנהלה</v>
          </cell>
          <cell r="D106">
            <v>300</v>
          </cell>
          <cell r="E106">
            <v>300</v>
          </cell>
          <cell r="F106">
            <v>114</v>
          </cell>
          <cell r="G106">
            <v>363.15000000000003</v>
          </cell>
          <cell r="H106">
            <v>300</v>
          </cell>
          <cell r="I106">
            <v>80.7</v>
          </cell>
          <cell r="J106">
            <v>120</v>
          </cell>
          <cell r="K106">
            <v>120</v>
          </cell>
          <cell r="L106">
            <v>120</v>
          </cell>
          <cell r="M106">
            <v>120</v>
          </cell>
          <cell r="N106">
            <v>300</v>
          </cell>
          <cell r="O106">
            <v>120</v>
          </cell>
          <cell r="P106">
            <v>120</v>
          </cell>
          <cell r="Q106">
            <v>114</v>
          </cell>
          <cell r="R106">
            <v>300</v>
          </cell>
          <cell r="S106">
            <v>300</v>
          </cell>
          <cell r="T106">
            <v>246</v>
          </cell>
          <cell r="U106">
            <v>300</v>
          </cell>
          <cell r="V106">
            <v>0</v>
          </cell>
          <cell r="W106">
            <v>120</v>
          </cell>
          <cell r="X106">
            <v>120</v>
          </cell>
          <cell r="Y106">
            <v>120</v>
          </cell>
          <cell r="Z106">
            <v>114</v>
          </cell>
          <cell r="AA106">
            <v>114</v>
          </cell>
          <cell r="AB106">
            <v>120</v>
          </cell>
          <cell r="AC106">
            <v>114</v>
          </cell>
          <cell r="AD106">
            <v>120</v>
          </cell>
          <cell r="AE106">
            <v>114</v>
          </cell>
          <cell r="AF106">
            <v>246</v>
          </cell>
          <cell r="AG106">
            <v>114</v>
          </cell>
          <cell r="AH106">
            <v>114</v>
          </cell>
          <cell r="AI106">
            <v>114</v>
          </cell>
          <cell r="AJ106">
            <v>114</v>
          </cell>
          <cell r="AK106">
            <v>114</v>
          </cell>
          <cell r="AL106">
            <v>114</v>
          </cell>
          <cell r="AM106">
            <v>365.84000000000003</v>
          </cell>
          <cell r="AN106">
            <v>120</v>
          </cell>
          <cell r="AO106">
            <v>300</v>
          </cell>
          <cell r="AP106">
            <v>114</v>
          </cell>
          <cell r="AQ106">
            <v>300</v>
          </cell>
          <cell r="AR106">
            <v>114</v>
          </cell>
          <cell r="AS106">
            <v>300</v>
          </cell>
          <cell r="AT106">
            <v>114</v>
          </cell>
          <cell r="AU106">
            <v>114</v>
          </cell>
          <cell r="AV106">
            <v>114</v>
          </cell>
          <cell r="AW106">
            <v>120</v>
          </cell>
          <cell r="AX106">
            <v>120</v>
          </cell>
          <cell r="AY106">
            <v>300</v>
          </cell>
          <cell r="AZ106">
            <v>120</v>
          </cell>
          <cell r="BA106">
            <v>114</v>
          </cell>
          <cell r="BB106">
            <v>120</v>
          </cell>
          <cell r="BC106">
            <v>114</v>
          </cell>
          <cell r="BD106">
            <v>120</v>
          </cell>
          <cell r="BE106">
            <v>114</v>
          </cell>
          <cell r="BF106">
            <v>114</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cell r="BZ106">
            <v>0</v>
          </cell>
          <cell r="CA106">
            <v>0</v>
          </cell>
          <cell r="CB106">
            <v>0</v>
          </cell>
          <cell r="CC106">
            <v>0</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0</v>
          </cell>
          <cell r="CR106">
            <v>0</v>
          </cell>
          <cell r="CS106">
            <v>0</v>
          </cell>
          <cell r="CT106">
            <v>0</v>
          </cell>
          <cell r="CU106">
            <v>0</v>
          </cell>
          <cell r="CV106">
            <v>0</v>
          </cell>
          <cell r="CW106">
            <v>0</v>
          </cell>
          <cell r="CX106">
            <v>0</v>
          </cell>
          <cell r="CY106">
            <v>0</v>
          </cell>
          <cell r="CZ106">
            <v>0</v>
          </cell>
          <cell r="DA106">
            <v>0</v>
          </cell>
          <cell r="DB106">
            <v>0</v>
          </cell>
          <cell r="DC106">
            <v>0</v>
          </cell>
          <cell r="DD106">
            <v>0</v>
          </cell>
          <cell r="DE106">
            <v>0</v>
          </cell>
          <cell r="DF106">
            <v>0</v>
          </cell>
        </row>
        <row r="107">
          <cell r="C107" t="str">
            <v>מיכון-הנהלה</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cell r="BZ107">
            <v>0</v>
          </cell>
          <cell r="CA107">
            <v>0</v>
          </cell>
          <cell r="CB107">
            <v>0</v>
          </cell>
          <cell r="CC107">
            <v>0</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0</v>
          </cell>
          <cell r="CR107">
            <v>0</v>
          </cell>
          <cell r="CS107">
            <v>0</v>
          </cell>
          <cell r="CT107">
            <v>0</v>
          </cell>
          <cell r="CU107">
            <v>0</v>
          </cell>
          <cell r="CV107">
            <v>0</v>
          </cell>
          <cell r="CW107">
            <v>0</v>
          </cell>
          <cell r="CX107">
            <v>0</v>
          </cell>
          <cell r="CY107">
            <v>0</v>
          </cell>
          <cell r="CZ107">
            <v>0</v>
          </cell>
          <cell r="DA107">
            <v>0</v>
          </cell>
          <cell r="DB107">
            <v>0</v>
          </cell>
          <cell r="DC107">
            <v>0</v>
          </cell>
          <cell r="DD107">
            <v>0</v>
          </cell>
          <cell r="DE107">
            <v>0</v>
          </cell>
          <cell r="DF107">
            <v>0</v>
          </cell>
        </row>
        <row r="108">
          <cell r="C108" t="str">
            <v>אחזקת כלי רכב</v>
          </cell>
          <cell r="D108">
            <v>216</v>
          </cell>
          <cell r="E108">
            <v>216</v>
          </cell>
          <cell r="F108">
            <v>108</v>
          </cell>
          <cell r="G108">
            <v>291.60000000000002</v>
          </cell>
          <cell r="H108">
            <v>216</v>
          </cell>
          <cell r="I108">
            <v>64.8</v>
          </cell>
          <cell r="J108">
            <v>162</v>
          </cell>
          <cell r="K108">
            <v>162</v>
          </cell>
          <cell r="L108">
            <v>162</v>
          </cell>
          <cell r="M108">
            <v>162</v>
          </cell>
          <cell r="N108">
            <v>216</v>
          </cell>
          <cell r="O108">
            <v>162</v>
          </cell>
          <cell r="P108">
            <v>162</v>
          </cell>
          <cell r="Q108">
            <v>108</v>
          </cell>
          <cell r="R108">
            <v>216</v>
          </cell>
          <cell r="S108">
            <v>216</v>
          </cell>
          <cell r="T108">
            <v>216</v>
          </cell>
          <cell r="U108">
            <v>216</v>
          </cell>
          <cell r="V108">
            <v>0</v>
          </cell>
          <cell r="W108">
            <v>162</v>
          </cell>
          <cell r="X108">
            <v>162</v>
          </cell>
          <cell r="Y108">
            <v>162</v>
          </cell>
          <cell r="Z108">
            <v>108</v>
          </cell>
          <cell r="AA108">
            <v>108</v>
          </cell>
          <cell r="AB108">
            <v>162</v>
          </cell>
          <cell r="AC108">
            <v>108</v>
          </cell>
          <cell r="AD108">
            <v>162</v>
          </cell>
          <cell r="AE108">
            <v>108</v>
          </cell>
          <cell r="AF108">
            <v>216</v>
          </cell>
          <cell r="AG108">
            <v>108</v>
          </cell>
          <cell r="AH108">
            <v>108</v>
          </cell>
          <cell r="AI108">
            <v>108</v>
          </cell>
          <cell r="AJ108">
            <v>108</v>
          </cell>
          <cell r="AK108">
            <v>108</v>
          </cell>
          <cell r="AL108">
            <v>108</v>
          </cell>
          <cell r="AM108">
            <v>293.76000000000005</v>
          </cell>
          <cell r="AN108">
            <v>162</v>
          </cell>
          <cell r="AO108">
            <v>216</v>
          </cell>
          <cell r="AP108">
            <v>108</v>
          </cell>
          <cell r="AQ108">
            <v>216</v>
          </cell>
          <cell r="AR108">
            <v>108</v>
          </cell>
          <cell r="AS108">
            <v>216</v>
          </cell>
          <cell r="AT108">
            <v>108</v>
          </cell>
          <cell r="AU108">
            <v>108</v>
          </cell>
          <cell r="AV108">
            <v>108</v>
          </cell>
          <cell r="AW108">
            <v>162</v>
          </cell>
          <cell r="AX108">
            <v>162</v>
          </cell>
          <cell r="AY108">
            <v>216</v>
          </cell>
          <cell r="AZ108">
            <v>162</v>
          </cell>
          <cell r="BA108">
            <v>108</v>
          </cell>
          <cell r="BB108">
            <v>162</v>
          </cell>
          <cell r="BC108">
            <v>108</v>
          </cell>
          <cell r="BD108">
            <v>162</v>
          </cell>
          <cell r="BE108">
            <v>108</v>
          </cell>
          <cell r="BF108">
            <v>108</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cell r="BZ108">
            <v>0</v>
          </cell>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cell r="CS108">
            <v>0</v>
          </cell>
          <cell r="CT108">
            <v>0</v>
          </cell>
          <cell r="CU108">
            <v>0</v>
          </cell>
          <cell r="CV108">
            <v>0</v>
          </cell>
          <cell r="CW108">
            <v>0</v>
          </cell>
          <cell r="CX108">
            <v>0</v>
          </cell>
          <cell r="CY108">
            <v>0</v>
          </cell>
          <cell r="CZ108">
            <v>0</v>
          </cell>
          <cell r="DA108">
            <v>0</v>
          </cell>
          <cell r="DB108">
            <v>0</v>
          </cell>
          <cell r="DC108">
            <v>0</v>
          </cell>
          <cell r="DD108">
            <v>0</v>
          </cell>
          <cell r="DE108">
            <v>0</v>
          </cell>
          <cell r="DF108">
            <v>0</v>
          </cell>
        </row>
        <row r="109">
          <cell r="C109" t="str">
            <v>תקשורת-הנהלה</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cell r="BZ109">
            <v>0</v>
          </cell>
          <cell r="CA109">
            <v>0</v>
          </cell>
          <cell r="CB109">
            <v>0</v>
          </cell>
          <cell r="CC109">
            <v>0</v>
          </cell>
          <cell r="CD109">
            <v>0</v>
          </cell>
          <cell r="CE109">
            <v>0</v>
          </cell>
          <cell r="CF109">
            <v>0</v>
          </cell>
          <cell r="CG109">
            <v>0</v>
          </cell>
          <cell r="CH109">
            <v>0</v>
          </cell>
          <cell r="CI109">
            <v>0</v>
          </cell>
          <cell r="CJ109">
            <v>0</v>
          </cell>
          <cell r="CK109">
            <v>0</v>
          </cell>
          <cell r="CL109">
            <v>0</v>
          </cell>
          <cell r="CM109">
            <v>0</v>
          </cell>
          <cell r="CN109">
            <v>0</v>
          </cell>
          <cell r="CO109">
            <v>0</v>
          </cell>
          <cell r="CP109">
            <v>0</v>
          </cell>
          <cell r="CQ109">
            <v>0</v>
          </cell>
          <cell r="CR109">
            <v>0</v>
          </cell>
          <cell r="CS109">
            <v>0</v>
          </cell>
          <cell r="CT109">
            <v>0</v>
          </cell>
          <cell r="CU109">
            <v>0</v>
          </cell>
          <cell r="CV109">
            <v>0</v>
          </cell>
          <cell r="CW109">
            <v>0</v>
          </cell>
          <cell r="CX109">
            <v>0</v>
          </cell>
          <cell r="CY109">
            <v>0</v>
          </cell>
          <cell r="CZ109">
            <v>0</v>
          </cell>
          <cell r="DA109">
            <v>0</v>
          </cell>
          <cell r="DB109">
            <v>0</v>
          </cell>
          <cell r="DC109">
            <v>0</v>
          </cell>
          <cell r="DD109">
            <v>0</v>
          </cell>
          <cell r="DE109">
            <v>0</v>
          </cell>
          <cell r="DF109">
            <v>0</v>
          </cell>
        </row>
        <row r="110">
          <cell r="C110" t="str">
            <v>חשמל-הנהלה</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row>
        <row r="111">
          <cell r="C111" t="str">
            <v>דוברות</v>
          </cell>
          <cell r="D111">
            <v>48</v>
          </cell>
          <cell r="E111">
            <v>48</v>
          </cell>
          <cell r="F111">
            <v>36</v>
          </cell>
          <cell r="G111">
            <v>0</v>
          </cell>
          <cell r="H111">
            <v>48</v>
          </cell>
          <cell r="I111">
            <v>0</v>
          </cell>
          <cell r="J111">
            <v>36</v>
          </cell>
          <cell r="K111">
            <v>36</v>
          </cell>
          <cell r="L111">
            <v>36</v>
          </cell>
          <cell r="M111">
            <v>36</v>
          </cell>
          <cell r="N111">
            <v>48</v>
          </cell>
          <cell r="O111">
            <v>36</v>
          </cell>
          <cell r="P111">
            <v>36</v>
          </cell>
          <cell r="Q111">
            <v>36</v>
          </cell>
          <cell r="R111">
            <v>48</v>
          </cell>
          <cell r="S111">
            <v>48</v>
          </cell>
          <cell r="T111">
            <v>96</v>
          </cell>
          <cell r="U111">
            <v>48</v>
          </cell>
          <cell r="V111">
            <v>0</v>
          </cell>
          <cell r="W111">
            <v>36</v>
          </cell>
          <cell r="X111">
            <v>36</v>
          </cell>
          <cell r="Y111">
            <v>36</v>
          </cell>
          <cell r="Z111">
            <v>36</v>
          </cell>
          <cell r="AA111">
            <v>36</v>
          </cell>
          <cell r="AB111">
            <v>36</v>
          </cell>
          <cell r="AC111">
            <v>36</v>
          </cell>
          <cell r="AD111">
            <v>36</v>
          </cell>
          <cell r="AE111">
            <v>36</v>
          </cell>
          <cell r="AF111">
            <v>96</v>
          </cell>
          <cell r="AG111">
            <v>36</v>
          </cell>
          <cell r="AH111">
            <v>36</v>
          </cell>
          <cell r="AI111">
            <v>36</v>
          </cell>
          <cell r="AJ111">
            <v>36</v>
          </cell>
          <cell r="AK111">
            <v>36</v>
          </cell>
          <cell r="AL111">
            <v>36</v>
          </cell>
          <cell r="AM111">
            <v>0</v>
          </cell>
          <cell r="AN111">
            <v>36</v>
          </cell>
          <cell r="AO111">
            <v>48</v>
          </cell>
          <cell r="AP111">
            <v>36</v>
          </cell>
          <cell r="AQ111">
            <v>48</v>
          </cell>
          <cell r="AR111">
            <v>36</v>
          </cell>
          <cell r="AS111">
            <v>48</v>
          </cell>
          <cell r="AT111">
            <v>36</v>
          </cell>
          <cell r="AU111">
            <v>36</v>
          </cell>
          <cell r="AV111">
            <v>36</v>
          </cell>
          <cell r="AW111">
            <v>36</v>
          </cell>
          <cell r="AX111">
            <v>36</v>
          </cell>
          <cell r="AY111">
            <v>48</v>
          </cell>
          <cell r="AZ111">
            <v>36</v>
          </cell>
          <cell r="BA111">
            <v>36</v>
          </cell>
          <cell r="BB111">
            <v>36</v>
          </cell>
          <cell r="BC111">
            <v>36</v>
          </cell>
          <cell r="BD111">
            <v>36</v>
          </cell>
          <cell r="BE111">
            <v>36</v>
          </cell>
          <cell r="BF111">
            <v>36</v>
          </cell>
        </row>
        <row r="112">
          <cell r="C112" t="str">
            <v>פיצויים ותביעות</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row>
        <row r="113">
          <cell r="C113" t="str">
            <v>נורמת הנהלה כוללת תאגיד פרטני</v>
          </cell>
          <cell r="D113">
            <v>4132.3320000000003</v>
          </cell>
          <cell r="E113">
            <v>4132.3320000000003</v>
          </cell>
          <cell r="F113">
            <v>2583.0999999999995</v>
          </cell>
          <cell r="G113">
            <v>7940.2176000000009</v>
          </cell>
          <cell r="H113">
            <v>4132.3320000000003</v>
          </cell>
          <cell r="I113">
            <v>1764.4928</v>
          </cell>
          <cell r="J113">
            <v>3394.134</v>
          </cell>
          <cell r="K113">
            <v>3394.134</v>
          </cell>
          <cell r="L113">
            <v>3394.134</v>
          </cell>
          <cell r="M113">
            <v>3394.134</v>
          </cell>
          <cell r="N113">
            <v>4132.3320000000003</v>
          </cell>
          <cell r="O113">
            <v>3394.134</v>
          </cell>
          <cell r="P113">
            <v>3394.134</v>
          </cell>
          <cell r="Q113">
            <v>2583.0999999999995</v>
          </cell>
          <cell r="R113">
            <v>4132.3320000000003</v>
          </cell>
          <cell r="S113">
            <v>4132.3320000000003</v>
          </cell>
          <cell r="T113">
            <v>5223.6840000000002</v>
          </cell>
          <cell r="U113">
            <v>4132.3320000000003</v>
          </cell>
          <cell r="V113">
            <v>0</v>
          </cell>
          <cell r="W113">
            <v>3394.134</v>
          </cell>
          <cell r="X113">
            <v>3394.134</v>
          </cell>
          <cell r="Y113">
            <v>3394.134</v>
          </cell>
          <cell r="Z113">
            <v>2583.0999999999995</v>
          </cell>
          <cell r="AA113">
            <v>2583.0999999999995</v>
          </cell>
          <cell r="AB113">
            <v>3394.134</v>
          </cell>
          <cell r="AC113">
            <v>2583.0999999999995</v>
          </cell>
          <cell r="AD113">
            <v>3394.134</v>
          </cell>
          <cell r="AE113">
            <v>2583.0999999999995</v>
          </cell>
          <cell r="AF113">
            <v>5223.6840000000002</v>
          </cell>
          <cell r="AG113">
            <v>2583.0999999999995</v>
          </cell>
          <cell r="AH113">
            <v>2583.0999999999995</v>
          </cell>
          <cell r="AI113">
            <v>2583.0999999999995</v>
          </cell>
          <cell r="AJ113">
            <v>2583.0999999999995</v>
          </cell>
          <cell r="AK113">
            <v>2583.0999999999995</v>
          </cell>
          <cell r="AL113">
            <v>2583.0999999999995</v>
          </cell>
          <cell r="AM113">
            <v>7999.0340266666672</v>
          </cell>
          <cell r="AN113">
            <v>3394.134</v>
          </cell>
          <cell r="AO113">
            <v>4132.3320000000003</v>
          </cell>
          <cell r="AP113">
            <v>2583.0999999999995</v>
          </cell>
          <cell r="AQ113">
            <v>4132.3320000000003</v>
          </cell>
          <cell r="AR113">
            <v>2583.0999999999995</v>
          </cell>
          <cell r="AS113">
            <v>4132.3320000000003</v>
          </cell>
          <cell r="AT113">
            <v>2583.0999999999995</v>
          </cell>
          <cell r="AU113">
            <v>2583.0999999999995</v>
          </cell>
          <cell r="AV113">
            <v>2583.0999999999995</v>
          </cell>
          <cell r="AW113">
            <v>3394.134</v>
          </cell>
          <cell r="AX113">
            <v>3394.134</v>
          </cell>
          <cell r="AY113">
            <v>4132.3320000000003</v>
          </cell>
          <cell r="AZ113">
            <v>3394.134</v>
          </cell>
          <cell r="BA113">
            <v>2583.0999999999995</v>
          </cell>
          <cell r="BB113">
            <v>3394.134</v>
          </cell>
          <cell r="BC113">
            <v>2583.0999999999995</v>
          </cell>
          <cell r="BD113">
            <v>3394.134</v>
          </cell>
          <cell r="BE113">
            <v>2583.0999999999995</v>
          </cell>
          <cell r="BF113">
            <v>2583.0999999999995</v>
          </cell>
        </row>
        <row r="114">
          <cell r="C114" t="str">
            <v>סה"כ עלות הנהלה</v>
          </cell>
          <cell r="D114">
            <v>0.16293010743730277</v>
          </cell>
          <cell r="E114">
            <v>0.16451408273482221</v>
          </cell>
          <cell r="F114">
            <v>0.27972516857238405</v>
          </cell>
          <cell r="G114">
            <v>0.13911540997378119</v>
          </cell>
          <cell r="H114">
            <v>0.15621631997691005</v>
          </cell>
          <cell r="I114">
            <v>1.0596348701893124</v>
          </cell>
          <cell r="J114">
            <v>0.16451408273482221</v>
          </cell>
          <cell r="K114">
            <v>0.14943201477727133</v>
          </cell>
          <cell r="L114">
            <v>0.1505416102838685</v>
          </cell>
          <cell r="M114">
            <v>0.16451408273482221</v>
          </cell>
          <cell r="N114">
            <v>0.14943201477727133</v>
          </cell>
          <cell r="O114">
            <v>0.14943201477727133</v>
          </cell>
          <cell r="P114">
            <v>0.15452707854969244</v>
          </cell>
          <cell r="Q114">
            <v>0.27972516857238405</v>
          </cell>
          <cell r="R114">
            <v>0.15021336143691097</v>
          </cell>
          <cell r="S114">
            <v>0.15452707854969244</v>
          </cell>
          <cell r="T114">
            <v>0.16293010743730277</v>
          </cell>
          <cell r="U114">
            <v>0.1505416102838685</v>
          </cell>
          <cell r="V114">
            <v>0.26895551764254605</v>
          </cell>
          <cell r="W114">
            <v>0.27972516857238405</v>
          </cell>
          <cell r="X114">
            <v>0.1505416102838685</v>
          </cell>
          <cell r="Y114">
            <v>0.1505416102838685</v>
          </cell>
          <cell r="Z114">
            <v>0.23057442029500094</v>
          </cell>
          <cell r="AA114">
            <v>0.15373784759336429</v>
          </cell>
          <cell r="AB114">
            <v>0.16915755752525979</v>
          </cell>
          <cell r="AC114">
            <v>0.15021336143691097</v>
          </cell>
          <cell r="AD114">
            <v>0.16915755752525979</v>
          </cell>
          <cell r="AE114">
            <v>0.16915755752525979</v>
          </cell>
          <cell r="AF114">
            <v>0.15373784759336429</v>
          </cell>
          <cell r="AG114">
            <v>0.15621631997691005</v>
          </cell>
          <cell r="AH114">
            <v>0.23057442029500094</v>
          </cell>
          <cell r="AI114">
            <v>0.15021336143691097</v>
          </cell>
          <cell r="AJ114">
            <v>0.16293010743730277</v>
          </cell>
          <cell r="AK114">
            <v>0.15373784759336429</v>
          </cell>
          <cell r="AL114">
            <v>0.15373784759336429</v>
          </cell>
          <cell r="AM114">
            <v>0.13875235390994139</v>
          </cell>
          <cell r="AN114">
            <v>0.14943201477727133</v>
          </cell>
          <cell r="AO114">
            <v>0.13875235390994139</v>
          </cell>
          <cell r="AP114">
            <v>0.13875235390994139</v>
          </cell>
          <cell r="AQ114">
            <v>0.15452707854969244</v>
          </cell>
          <cell r="AR114">
            <v>0.16293010743730277</v>
          </cell>
          <cell r="AS114">
            <v>0.16451408273482221</v>
          </cell>
          <cell r="AT114">
            <v>0.15373784759336429</v>
          </cell>
          <cell r="AU114">
            <v>0.15373784759336429</v>
          </cell>
          <cell r="AV114">
            <v>0.16915755752525979</v>
          </cell>
          <cell r="AW114">
            <v>0.23057442029500094</v>
          </cell>
          <cell r="AX114">
            <v>0.23057442029500094</v>
          </cell>
          <cell r="AY114">
            <v>0.15621631997691005</v>
          </cell>
          <cell r="AZ114">
            <v>0.15021336143691097</v>
          </cell>
          <cell r="BA114">
            <v>0.16451408273482221</v>
          </cell>
          <cell r="BB114">
            <v>0.1505416102838685</v>
          </cell>
          <cell r="BC114">
            <v>0.16915755752525979</v>
          </cell>
          <cell r="BD114">
            <v>0.15021336143691097</v>
          </cell>
          <cell r="BE114">
            <v>0.16915755752525979</v>
          </cell>
          <cell r="BF114">
            <v>0.16293010743730277</v>
          </cell>
        </row>
        <row r="115">
          <cell r="C115" t="str">
            <v>כמות התושבים</v>
          </cell>
          <cell r="D115">
            <v>3</v>
          </cell>
          <cell r="E115">
            <v>3</v>
          </cell>
          <cell r="F115">
            <v>1</v>
          </cell>
          <cell r="G115">
            <v>4</v>
          </cell>
          <cell r="H115">
            <v>3</v>
          </cell>
          <cell r="I115">
            <v>1</v>
          </cell>
          <cell r="J115">
            <v>2</v>
          </cell>
          <cell r="K115">
            <v>2</v>
          </cell>
          <cell r="L115">
            <v>2</v>
          </cell>
          <cell r="M115">
            <v>2</v>
          </cell>
          <cell r="N115">
            <v>3</v>
          </cell>
          <cell r="O115">
            <v>2</v>
          </cell>
          <cell r="P115">
            <v>2</v>
          </cell>
          <cell r="Q115">
            <v>1</v>
          </cell>
          <cell r="R115">
            <v>3</v>
          </cell>
          <cell r="S115">
            <v>3</v>
          </cell>
          <cell r="T115">
            <v>4</v>
          </cell>
          <cell r="U115">
            <v>3</v>
          </cell>
          <cell r="V115">
            <v>1</v>
          </cell>
          <cell r="W115">
            <v>2</v>
          </cell>
          <cell r="X115">
            <v>2</v>
          </cell>
          <cell r="Y115">
            <v>2</v>
          </cell>
          <cell r="Z115">
            <v>1</v>
          </cell>
          <cell r="AA115">
            <v>1</v>
          </cell>
          <cell r="AB115">
            <v>2</v>
          </cell>
          <cell r="AC115">
            <v>1</v>
          </cell>
          <cell r="AD115">
            <v>2</v>
          </cell>
          <cell r="AE115">
            <v>1</v>
          </cell>
          <cell r="AF115">
            <v>4</v>
          </cell>
          <cell r="AG115">
            <v>1</v>
          </cell>
          <cell r="AH115">
            <v>1</v>
          </cell>
          <cell r="AI115">
            <v>1</v>
          </cell>
          <cell r="AJ115">
            <v>1</v>
          </cell>
          <cell r="AK115">
            <v>1</v>
          </cell>
          <cell r="AL115">
            <v>1</v>
          </cell>
          <cell r="AM115">
            <v>4</v>
          </cell>
          <cell r="AN115">
            <v>2</v>
          </cell>
          <cell r="AO115">
            <v>3</v>
          </cell>
          <cell r="AP115">
            <v>1</v>
          </cell>
          <cell r="AQ115">
            <v>3</v>
          </cell>
          <cell r="AR115">
            <v>1</v>
          </cell>
          <cell r="AS115">
            <v>3</v>
          </cell>
          <cell r="AT115">
            <v>1</v>
          </cell>
          <cell r="AU115">
            <v>1</v>
          </cell>
          <cell r="AV115">
            <v>1</v>
          </cell>
          <cell r="AW115">
            <v>2</v>
          </cell>
          <cell r="AX115">
            <v>2</v>
          </cell>
          <cell r="AY115">
            <v>3</v>
          </cell>
          <cell r="AZ115">
            <v>2</v>
          </cell>
          <cell r="BA115">
            <v>1</v>
          </cell>
          <cell r="BB115">
            <v>2</v>
          </cell>
          <cell r="BC115">
            <v>1</v>
          </cell>
          <cell r="BD115">
            <v>2</v>
          </cell>
          <cell r="BE115">
            <v>1</v>
          </cell>
          <cell r="BF115">
            <v>1</v>
          </cell>
        </row>
        <row r="116">
          <cell r="C116" t="str">
            <v>כמות ישובים</v>
          </cell>
          <cell r="D116">
            <v>0</v>
          </cell>
          <cell r="E116">
            <v>1</v>
          </cell>
          <cell r="F116">
            <v>1</v>
          </cell>
          <cell r="G116">
            <v>1</v>
          </cell>
          <cell r="H116">
            <v>0</v>
          </cell>
          <cell r="I116">
            <v>1</v>
          </cell>
          <cell r="J116">
            <v>1</v>
          </cell>
          <cell r="K116">
            <v>0</v>
          </cell>
          <cell r="L116">
            <v>0</v>
          </cell>
          <cell r="M116">
            <v>1</v>
          </cell>
          <cell r="N116">
            <v>0</v>
          </cell>
          <cell r="O116">
            <v>1</v>
          </cell>
          <cell r="P116">
            <v>1</v>
          </cell>
          <cell r="Q116">
            <v>1</v>
          </cell>
          <cell r="R116">
            <v>1</v>
          </cell>
          <cell r="S116">
            <v>1</v>
          </cell>
          <cell r="T116">
            <v>1</v>
          </cell>
          <cell r="U116">
            <v>0</v>
          </cell>
          <cell r="V116">
            <v>0</v>
          </cell>
          <cell r="W116">
            <v>1</v>
          </cell>
          <cell r="X116">
            <v>0</v>
          </cell>
          <cell r="Y116">
            <v>0</v>
          </cell>
          <cell r="Z116">
            <v>1</v>
          </cell>
          <cell r="AA116">
            <v>1</v>
          </cell>
          <cell r="AB116">
            <v>0</v>
          </cell>
          <cell r="AC116">
            <v>0</v>
          </cell>
          <cell r="AD116">
            <v>0</v>
          </cell>
          <cell r="AE116">
            <v>0</v>
          </cell>
          <cell r="AF116">
            <v>0</v>
          </cell>
          <cell r="AG116">
            <v>1</v>
          </cell>
          <cell r="AH116">
            <v>0</v>
          </cell>
          <cell r="AI116">
            <v>0</v>
          </cell>
          <cell r="AJ116">
            <v>0</v>
          </cell>
          <cell r="AK116">
            <v>1</v>
          </cell>
          <cell r="AL116">
            <v>0</v>
          </cell>
          <cell r="AM116">
            <v>0</v>
          </cell>
          <cell r="AN116">
            <v>1</v>
          </cell>
          <cell r="AO116">
            <v>0</v>
          </cell>
          <cell r="AP116">
            <v>0</v>
          </cell>
          <cell r="AQ116">
            <v>0</v>
          </cell>
          <cell r="AR116">
            <v>0</v>
          </cell>
          <cell r="AS116">
            <v>1</v>
          </cell>
          <cell r="AT116">
            <v>0</v>
          </cell>
          <cell r="AU116">
            <v>0</v>
          </cell>
          <cell r="AV116">
            <v>0</v>
          </cell>
          <cell r="AW116">
            <v>1</v>
          </cell>
          <cell r="AX116">
            <v>1</v>
          </cell>
          <cell r="AY116">
            <v>1</v>
          </cell>
          <cell r="AZ116">
            <v>1</v>
          </cell>
          <cell r="BA116">
            <v>1</v>
          </cell>
          <cell r="BB116">
            <v>0</v>
          </cell>
          <cell r="BC116">
            <v>1</v>
          </cell>
          <cell r="BD116">
            <v>1</v>
          </cell>
          <cell r="BE116">
            <v>1</v>
          </cell>
          <cell r="BF116">
            <v>0</v>
          </cell>
        </row>
        <row r="117">
          <cell r="C117" t="str">
            <v>חברת הגיחון בע"מ תאגיד המים והביוב של ירושלים</v>
          </cell>
          <cell r="D117">
            <v>0</v>
          </cell>
          <cell r="E117">
            <v>0</v>
          </cell>
          <cell r="F117">
            <v>0</v>
          </cell>
          <cell r="G117">
            <v>100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row>
        <row r="118">
          <cell r="C118" t="str">
            <v>מי אביבים 2010 בע"מ</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200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row>
        <row r="119">
          <cell r="C119" t="str">
            <v>יובלים בשומרון בע"מ</v>
          </cell>
          <cell r="D119">
            <v>0</v>
          </cell>
          <cell r="E119">
            <v>0</v>
          </cell>
          <cell r="F119">
            <v>0</v>
          </cell>
          <cell r="G119">
            <v>0</v>
          </cell>
          <cell r="H119">
            <v>0</v>
          </cell>
          <cell r="I119">
            <v>300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row>
        <row r="120">
          <cell r="C120" t="str">
            <v>עין נטפים מפעלי מים וביוב אילת בע"מ</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400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row>
        <row r="121">
          <cell r="C121" t="str">
            <v>קוד תאגיד</v>
          </cell>
          <cell r="D121">
            <v>3</v>
          </cell>
          <cell r="E121">
            <v>3</v>
          </cell>
          <cell r="F121">
            <v>1</v>
          </cell>
          <cell r="G121">
            <v>104</v>
          </cell>
          <cell r="H121">
            <v>3</v>
          </cell>
          <cell r="I121">
            <v>301</v>
          </cell>
          <cell r="J121">
            <v>2</v>
          </cell>
          <cell r="K121">
            <v>2</v>
          </cell>
          <cell r="L121">
            <v>2</v>
          </cell>
          <cell r="M121">
            <v>2</v>
          </cell>
          <cell r="N121">
            <v>3</v>
          </cell>
          <cell r="O121">
            <v>2</v>
          </cell>
          <cell r="P121">
            <v>2</v>
          </cell>
          <cell r="Q121">
            <v>1</v>
          </cell>
          <cell r="R121">
            <v>3</v>
          </cell>
          <cell r="S121">
            <v>3</v>
          </cell>
          <cell r="T121">
            <v>4</v>
          </cell>
          <cell r="U121">
            <v>3</v>
          </cell>
          <cell r="V121">
            <v>401</v>
          </cell>
          <cell r="W121">
            <v>2</v>
          </cell>
          <cell r="X121">
            <v>2</v>
          </cell>
          <cell r="Y121">
            <v>2</v>
          </cell>
          <cell r="Z121">
            <v>1</v>
          </cell>
          <cell r="AA121">
            <v>1</v>
          </cell>
          <cell r="AB121">
            <v>2</v>
          </cell>
          <cell r="AC121">
            <v>1</v>
          </cell>
          <cell r="AD121">
            <v>2</v>
          </cell>
          <cell r="AE121">
            <v>1</v>
          </cell>
          <cell r="AF121">
            <v>4</v>
          </cell>
          <cell r="AG121">
            <v>1</v>
          </cell>
          <cell r="AH121">
            <v>1</v>
          </cell>
          <cell r="AI121">
            <v>1</v>
          </cell>
          <cell r="AJ121">
            <v>1</v>
          </cell>
          <cell r="AK121">
            <v>1</v>
          </cell>
          <cell r="AL121">
            <v>1</v>
          </cell>
          <cell r="AM121">
            <v>204</v>
          </cell>
          <cell r="AN121">
            <v>2</v>
          </cell>
          <cell r="AO121">
            <v>3</v>
          </cell>
          <cell r="AP121">
            <v>1</v>
          </cell>
          <cell r="AQ121">
            <v>3</v>
          </cell>
          <cell r="AR121">
            <v>1</v>
          </cell>
          <cell r="AS121">
            <v>3</v>
          </cell>
          <cell r="AT121">
            <v>1</v>
          </cell>
          <cell r="AU121">
            <v>1</v>
          </cell>
          <cell r="AV121">
            <v>1</v>
          </cell>
          <cell r="AW121">
            <v>2</v>
          </cell>
          <cell r="AX121">
            <v>2</v>
          </cell>
          <cell r="AY121">
            <v>3</v>
          </cell>
          <cell r="AZ121">
            <v>2</v>
          </cell>
          <cell r="BA121">
            <v>1</v>
          </cell>
          <cell r="BB121">
            <v>2</v>
          </cell>
          <cell r="BC121">
            <v>1</v>
          </cell>
          <cell r="BD121">
            <v>2</v>
          </cell>
          <cell r="BE121">
            <v>1</v>
          </cell>
          <cell r="BF121">
            <v>1</v>
          </cell>
        </row>
        <row r="122">
          <cell r="C122" t="str">
            <v>סוג תאגיד</v>
          </cell>
          <cell r="D122" t="str">
            <v>תאגיד חד ורב רשותי מעל 120 עד 250</v>
          </cell>
          <cell r="E122" t="str">
            <v>תאגיד חד ורב רשותי מעל 120 עד 250</v>
          </cell>
          <cell r="F122" t="str">
            <v xml:space="preserve">תאגיד חד רשותי מתחת ל 60 אלף תושבים </v>
          </cell>
          <cell r="G122" t="str">
            <v>הגיחון</v>
          </cell>
          <cell r="H122" t="str">
            <v>תאגיד חד ורב רשותי מעל 120 עד 250</v>
          </cell>
          <cell r="I122" t="str">
            <v>יובלים בשומרון בע"מ</v>
          </cell>
          <cell r="J122" t="str">
            <v>תאגיד חד ורב רשותי מעל 60 עד 120</v>
          </cell>
          <cell r="K122" t="str">
            <v>תאגיד חד ורב רשותי מעל 60 עד 120</v>
          </cell>
          <cell r="L122" t="str">
            <v>תאגיד חד ורב רשותי מעל 60 עד 120</v>
          </cell>
          <cell r="M122" t="str">
            <v>תאגיד חד ורב רשותי מעל 60 עד 120</v>
          </cell>
          <cell r="N122" t="str">
            <v>תאגיד חד ורב רשותי מעל 120 עד 250</v>
          </cell>
          <cell r="O122" t="str">
            <v>תאגיד חד ורב רשותי מעל 60 עד 120</v>
          </cell>
          <cell r="P122" t="str">
            <v>תאגיד חד ורב רשותי מעל 60 עד 120</v>
          </cell>
          <cell r="Q122" t="str">
            <v xml:space="preserve">תאגיד חד רשותי מתחת ל 60 אלף תושבים </v>
          </cell>
          <cell r="R122" t="str">
            <v>תאגיד חד ורב רשותי מעל 120 עד 250</v>
          </cell>
          <cell r="S122" t="str">
            <v>תאגיד חד ורב רשותי מעל 120 עד 250</v>
          </cell>
          <cell r="T122" t="str">
            <v xml:space="preserve">תאגיד מעל 250 </v>
          </cell>
          <cell r="U122" t="str">
            <v>תאגיד חד ורב רשותי מעל 120 עד 250</v>
          </cell>
          <cell r="V122" t="e">
            <v>#N/A</v>
          </cell>
          <cell r="W122" t="str">
            <v>תאגיד חד ורב רשותי מעל 60 עד 120</v>
          </cell>
          <cell r="X122" t="str">
            <v>תאגיד חד ורב רשותי מעל 60 עד 120</v>
          </cell>
          <cell r="Y122" t="str">
            <v>תאגיד חד ורב רשותי מעל 60 עד 120</v>
          </cell>
          <cell r="Z122" t="str">
            <v xml:space="preserve">תאגיד חד רשותי מתחת ל 60 אלף תושבים </v>
          </cell>
          <cell r="AA122" t="str">
            <v xml:space="preserve">תאגיד חד רשותי מתחת ל 60 אלף תושבים </v>
          </cell>
          <cell r="AB122" t="str">
            <v>תאגיד חד ורב רשותי מעל 60 עד 120</v>
          </cell>
          <cell r="AC122" t="str">
            <v xml:space="preserve">תאגיד חד רשותי מתחת ל 60 אלף תושבים </v>
          </cell>
          <cell r="AD122" t="str">
            <v>תאגיד חד ורב רשותי מעל 60 עד 120</v>
          </cell>
          <cell r="AE122" t="str">
            <v xml:space="preserve">תאגיד חד רשותי מתחת ל 60 אלף תושבים </v>
          </cell>
          <cell r="AF122" t="str">
            <v xml:space="preserve">תאגיד מעל 250 </v>
          </cell>
          <cell r="AG122" t="str">
            <v xml:space="preserve">תאגיד חד רשותי מתחת ל 60 אלף תושבים </v>
          </cell>
          <cell r="AH122" t="str">
            <v xml:space="preserve">תאגיד חד רשותי מתחת ל 60 אלף תושבים </v>
          </cell>
          <cell r="AI122" t="str">
            <v xml:space="preserve">תאגיד חד רשותי מתחת ל 60 אלף תושבים </v>
          </cell>
          <cell r="AJ122" t="str">
            <v xml:space="preserve">תאגיד חד רשותי מתחת ל 60 אלף תושבים </v>
          </cell>
          <cell r="AK122" t="str">
            <v xml:space="preserve">תאגיד חד רשותי מתחת ל 60 אלף תושבים </v>
          </cell>
          <cell r="AL122" t="str">
            <v xml:space="preserve">תאגיד חד רשותי מתחת ל 60 אלף תושבים </v>
          </cell>
          <cell r="AM122" t="str">
            <v>מי אביבים</v>
          </cell>
          <cell r="AN122" t="str">
            <v>תאגיד חד ורב רשותי מעל 60 עד 120</v>
          </cell>
          <cell r="AO122" t="str">
            <v>תאגיד חד ורב רשותי מעל 120 עד 250</v>
          </cell>
          <cell r="AP122" t="str">
            <v xml:space="preserve">תאגיד חד רשותי מתחת ל 60 אלף תושבים </v>
          </cell>
          <cell r="AQ122" t="str">
            <v>תאגיד חד ורב רשותי מעל 120 עד 250</v>
          </cell>
          <cell r="AR122" t="str">
            <v xml:space="preserve">תאגיד חד רשותי מתחת ל 60 אלף תושבים </v>
          </cell>
          <cell r="AS122" t="str">
            <v>תאגיד חד ורב רשותי מעל 120 עד 250</v>
          </cell>
          <cell r="AT122" t="str">
            <v xml:space="preserve">תאגיד חד רשותי מתחת ל 60 אלף תושבים </v>
          </cell>
          <cell r="AU122" t="str">
            <v xml:space="preserve">תאגיד חד רשותי מתחת ל 60 אלף תושבים </v>
          </cell>
          <cell r="AV122" t="str">
            <v xml:space="preserve">תאגיד חד רשותי מתחת ל 60 אלף תושבים </v>
          </cell>
          <cell r="AW122" t="str">
            <v>תאגיד חד ורב רשותי מעל 60 עד 120</v>
          </cell>
          <cell r="AX122" t="str">
            <v>תאגיד חד ורב רשותי מעל 60 עד 120</v>
          </cell>
          <cell r="AY122" t="str">
            <v>תאגיד חד ורב רשותי מעל 120 עד 250</v>
          </cell>
          <cell r="AZ122" t="str">
            <v>תאגיד חד ורב רשותי מעל 60 עד 120</v>
          </cell>
          <cell r="BA122" t="str">
            <v xml:space="preserve">תאגיד חד רשותי מתחת ל 60 אלף תושבים </v>
          </cell>
          <cell r="BB122" t="str">
            <v>תאגיד חד ורב רשותי מעל 60 עד 120</v>
          </cell>
          <cell r="BC122" t="str">
            <v xml:space="preserve">תאגיד חד רשותי מתחת ל 60 אלף תושבים </v>
          </cell>
          <cell r="BD122" t="str">
            <v>תאגיד חד ורב רשותי מעל 60 עד 120</v>
          </cell>
          <cell r="BE122" t="str">
            <v xml:space="preserve">תאגיד חד רשותי מתחת ל 60 אלף תושבים </v>
          </cell>
          <cell r="BF122" t="str">
            <v xml:space="preserve">תאגיד חד רשותי מתחת ל 60 אלף תושבים </v>
          </cell>
        </row>
        <row r="124">
          <cell r="D124">
            <v>2141.5320000000002</v>
          </cell>
          <cell r="E124">
            <v>2141.5320000000002</v>
          </cell>
          <cell r="F124">
            <v>1353.7499999999998</v>
          </cell>
          <cell r="G124">
            <v>4396.5936000000002</v>
          </cell>
          <cell r="H124">
            <v>2141.5320000000002</v>
          </cell>
          <cell r="I124">
            <v>977.02079999999989</v>
          </cell>
          <cell r="J124">
            <v>1861.134</v>
          </cell>
          <cell r="K124">
            <v>1861.134</v>
          </cell>
          <cell r="L124">
            <v>1861.134</v>
          </cell>
          <cell r="M124">
            <v>1861.134</v>
          </cell>
          <cell r="N124">
            <v>2141.5320000000002</v>
          </cell>
          <cell r="O124">
            <v>1861.134</v>
          </cell>
          <cell r="P124">
            <v>1861.134</v>
          </cell>
          <cell r="Q124">
            <v>1353.7499999999998</v>
          </cell>
          <cell r="R124">
            <v>2141.5320000000002</v>
          </cell>
          <cell r="S124">
            <v>2141.5320000000002</v>
          </cell>
          <cell r="T124">
            <v>2691.924</v>
          </cell>
          <cell r="U124">
            <v>2141.5320000000002</v>
          </cell>
          <cell r="V124">
            <v>0</v>
          </cell>
          <cell r="W124">
            <v>1861.134</v>
          </cell>
          <cell r="X124">
            <v>1861.134</v>
          </cell>
          <cell r="Y124">
            <v>1861.134</v>
          </cell>
          <cell r="Z124">
            <v>1353.7499999999998</v>
          </cell>
          <cell r="AA124">
            <v>1353.7499999999998</v>
          </cell>
          <cell r="AB124">
            <v>1861.134</v>
          </cell>
          <cell r="AC124">
            <v>1353.7499999999998</v>
          </cell>
          <cell r="AD124">
            <v>1861.134</v>
          </cell>
          <cell r="AE124">
            <v>1353.7499999999998</v>
          </cell>
          <cell r="AF124">
            <v>2691.924</v>
          </cell>
          <cell r="AG124">
            <v>1353.7499999999998</v>
          </cell>
          <cell r="AH124">
            <v>1353.7499999999998</v>
          </cell>
          <cell r="AI124">
            <v>1353.7499999999998</v>
          </cell>
          <cell r="AJ124">
            <v>1353.7499999999998</v>
          </cell>
          <cell r="AK124">
            <v>1353.7499999999998</v>
          </cell>
          <cell r="AL124">
            <v>1353.7499999999998</v>
          </cell>
          <cell r="AM124">
            <v>4429.1609600000002</v>
          </cell>
          <cell r="AN124">
            <v>1861.134</v>
          </cell>
          <cell r="AO124">
            <v>2141.5320000000002</v>
          </cell>
          <cell r="AP124">
            <v>1353.7499999999998</v>
          </cell>
          <cell r="AQ124">
            <v>2141.5320000000002</v>
          </cell>
          <cell r="AR124">
            <v>1353.7499999999998</v>
          </cell>
          <cell r="AS124">
            <v>2141.5320000000002</v>
          </cell>
          <cell r="AT124">
            <v>1353.7499999999998</v>
          </cell>
          <cell r="AU124">
            <v>1353.7499999999998</v>
          </cell>
          <cell r="AV124">
            <v>1353.7499999999998</v>
          </cell>
          <cell r="AW124">
            <v>1861.134</v>
          </cell>
          <cell r="AX124">
            <v>1861.134</v>
          </cell>
          <cell r="AY124">
            <v>2141.5320000000002</v>
          </cell>
          <cell r="AZ124">
            <v>1861.134</v>
          </cell>
          <cell r="BA124">
            <v>1353.7499999999998</v>
          </cell>
          <cell r="BB124">
            <v>1861.134</v>
          </cell>
          <cell r="BC124">
            <v>1353.7499999999998</v>
          </cell>
          <cell r="BD124">
            <v>1861.134</v>
          </cell>
          <cell r="BE124">
            <v>1353.7499999999998</v>
          </cell>
          <cell r="BF124">
            <v>1353.7499999999998</v>
          </cell>
        </row>
        <row r="126">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row>
        <row r="127">
          <cell r="C127" t="str">
            <v>סה"כ נורמת תפעול 2015 לאחר קטימה</v>
          </cell>
          <cell r="D127">
            <v>1.2777882778683798</v>
          </cell>
          <cell r="E127">
            <v>1.345520208115411</v>
          </cell>
          <cell r="F127">
            <v>2.0506692563366151</v>
          </cell>
          <cell r="G127">
            <v>1.4649235376126351</v>
          </cell>
          <cell r="H127">
            <v>1.5883620973872572</v>
          </cell>
          <cell r="I127">
            <v>2.4</v>
          </cell>
          <cell r="J127">
            <v>2.0458690576607301</v>
          </cell>
          <cell r="K127">
            <v>1.4681464822782608</v>
          </cell>
          <cell r="L127">
            <v>1.5448912245844768</v>
          </cell>
          <cell r="M127">
            <v>1.7496405172223486</v>
          </cell>
          <cell r="N127">
            <v>1.6769927915705207</v>
          </cell>
          <cell r="O127">
            <v>1.7012500816378833</v>
          </cell>
          <cell r="P127">
            <v>1.6753026710377128</v>
          </cell>
          <cell r="Q127">
            <v>2.4</v>
          </cell>
          <cell r="R127">
            <v>1.7240253473446083</v>
          </cell>
          <cell r="S127">
            <v>1.3837047923686638</v>
          </cell>
          <cell r="T127">
            <v>1.6564471373969349</v>
          </cell>
          <cell r="U127">
            <v>1.7505988624255624</v>
          </cell>
          <cell r="V127">
            <v>2.0454288051475462</v>
          </cell>
          <cell r="W127">
            <v>2.2727096654023771</v>
          </cell>
          <cell r="X127">
            <v>1.4483615674629589</v>
          </cell>
          <cell r="Y127">
            <v>1.6906059495395207</v>
          </cell>
          <cell r="Z127">
            <v>2.2937713164028697</v>
          </cell>
          <cell r="AA127">
            <v>1.7986796087867765</v>
          </cell>
          <cell r="AB127">
            <v>1.9257134422790385</v>
          </cell>
          <cell r="AC127">
            <v>1.9926820135908678</v>
          </cell>
          <cell r="AD127">
            <v>1.6003552370570775</v>
          </cell>
          <cell r="AE127">
            <v>1.7206821213496104</v>
          </cell>
          <cell r="AF127">
            <v>2.3081288327404317</v>
          </cell>
          <cell r="AG127">
            <v>1.62938656305722</v>
          </cell>
          <cell r="AH127">
            <v>1.5958933491751179</v>
          </cell>
          <cell r="AI127">
            <v>1.356543589059076</v>
          </cell>
          <cell r="AJ127">
            <v>1.7570373042339935</v>
          </cell>
          <cell r="AK127">
            <v>1.7668934764643933</v>
          </cell>
          <cell r="AL127">
            <v>1.4838167184566373</v>
          </cell>
          <cell r="AM127">
            <v>1.5362887213975511</v>
          </cell>
          <cell r="AN127">
            <v>1.8747388426154745</v>
          </cell>
          <cell r="AO127">
            <v>1.4805734096951031</v>
          </cell>
          <cell r="AP127">
            <v>1.5441824738167866</v>
          </cell>
          <cell r="AQ127">
            <v>1.4157602443318589</v>
          </cell>
          <cell r="AR127">
            <v>1.7407886273804027</v>
          </cell>
          <cell r="AS127">
            <v>2.0396072639669311</v>
          </cell>
          <cell r="AT127">
            <v>2.0912841868897605</v>
          </cell>
          <cell r="AU127">
            <v>1.4605361305897238</v>
          </cell>
          <cell r="AV127">
            <v>1.7498353224601249</v>
          </cell>
          <cell r="AW127">
            <v>1.8589996754891587</v>
          </cell>
          <cell r="AX127">
            <v>1.5986164651373285</v>
          </cell>
          <cell r="AY127">
            <v>1.4107221880504823</v>
          </cell>
          <cell r="AZ127">
            <v>1.6772689095277091</v>
          </cell>
          <cell r="BA127">
            <v>2.0130720316426292</v>
          </cell>
          <cell r="BB127">
            <v>1.4468764832148366</v>
          </cell>
          <cell r="BC127">
            <v>1.4102488419958712</v>
          </cell>
          <cell r="BD127">
            <v>1.7776639681252577</v>
          </cell>
          <cell r="BE127">
            <v>1.6377660880670857</v>
          </cell>
          <cell r="BF127">
            <v>1.7586061314259349</v>
          </cell>
        </row>
      </sheetData>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tables/table1.xml><?xml version="1.0" encoding="utf-8"?>
<table xmlns="http://schemas.openxmlformats.org/spreadsheetml/2006/main" id="5" name="טבלה5" displayName="טבלה5" ref="A67:C72" headerRowCount="0" totalsRowShown="0" tableBorderDxfId="235">
  <tableColumns count="3">
    <tableColumn id="1" name="עמודה1" headerRowDxfId="234" dataDxfId="233"/>
    <tableColumn id="2" name="עמודה2" headerRowDxfId="232" dataDxfId="231" headerRowCellStyle="Comma" dataCellStyle="Comma"/>
    <tableColumn id="3" name="עמודה3" dataDxfId="230" dataCellStyle="Comma"/>
  </tableColumns>
  <tableStyleInfo name="TableStyleLight3" showFirstColumn="0" showLastColumn="0" showRowStripes="1" showColumnStripes="0"/>
</table>
</file>

<file path=xl/tables/table2.xml><?xml version="1.0" encoding="utf-8"?>
<table xmlns="http://schemas.openxmlformats.org/spreadsheetml/2006/main" id="1" name="טבלה112" displayName="טבלה112" ref="A3:HO59" headerRowCount="0" totalsRowShown="0" headerRowDxfId="229">
  <tableColumns count="223">
    <tableColumn id="1" name="עמודה1" headerRowDxfId="228"/>
    <tableColumn id="2" name="עמודה2" headerRowDxfId="227">
      <calculatedColumnFormula>+HLOOKUP(A3,'[6]נתוני תאגידים'!$1:$476,466,0)</calculatedColumnFormula>
    </tableColumn>
    <tableColumn id="3" name="עמודה3" headerRowDxfId="226">
      <calculatedColumnFormula>+VLOOKUP(P3,'[6]הנחות עבודה'!$C$62:$H$67,4,0)</calculatedColumnFormula>
    </tableColumn>
    <tableColumn id="4" name="עמודה4" headerRowDxfId="225">
      <calculatedColumnFormula>+VLOOKUP(B3,'[6]הנחות עבודה'!$C$69:$H$72,4,0)</calculatedColumnFormula>
    </tableColumn>
    <tableColumn id="5" name="עמודה5" headerRowDxfId="224"/>
    <tableColumn id="6" name="עמודה6" headerRowDxfId="223"/>
    <tableColumn id="7" name="עמודה7" headerRowDxfId="222">
      <calculatedColumnFormula>+F3/E3</calculatedColumnFormula>
    </tableColumn>
    <tableColumn id="8" name="עמודה8" headerRowDxfId="221">
      <calculatedColumnFormula>+IF((IF(AND(J3&lt;2007,K3&gt;'[6]הנחות עבודה'!$D$39-0.01),$I$1,+G3*C3+(1-G3)*$I$1)),+IF(AND(J3&lt;2007,K3&gt;'[6]הנחות עבודה'!$D$39-0.01),$I$1,+G3*C3+(1-G3)*$I$1))-N3+IF($S$2="כן",R3,0)</calculatedColumnFormula>
    </tableColumn>
    <tableColumn id="9" name="עמודה9" headerRowDxfId="220">
      <calculatedColumnFormula>+IF(AND(J3&lt;2007,K3&gt;'[6]הנחות עבודה'!$D$38-0.01),$K$1,+G3*D3+(1-G3)*$K$1)+IF($S$2="כן",R3,0)</calculatedColumnFormula>
    </tableColumn>
    <tableColumn id="10" name="עמודה10" headerRowDxfId="219"/>
    <tableColumn id="11" name="עמודה11" headerRowDxfId="218">
      <calculatedColumnFormula>+ROUND(HLOOKUP(A3,'[6]נתוני תאגידים'!$1:$424,392,0),0)</calculatedColumnFormula>
    </tableColumn>
    <tableColumn id="12" name="עמודה12" headerRowDxfId="217"/>
    <tableColumn id="13" name="עמודה13" headerRowDxfId="216"/>
    <tableColumn id="14" name="עמודה14" headerRowDxfId="215">
      <calculatedColumnFormula>+$N$1*M3</calculatedColumnFormula>
    </tableColumn>
    <tableColumn id="15" name="עמודה15" headerRowDxfId="214"/>
    <tableColumn id="49" name="עמודה16" headerRowDxfId="213" dataDxfId="212">
      <calculatedColumnFormula>+IF(AND(O3&gt;1,$P$1=B3),$P$2,B3)</calculatedColumnFormula>
    </tableColumn>
    <tableColumn id="50" name="עמודה17" headerRowDxfId="211" dataDxfId="210"/>
    <tableColumn id="51" name="עמודה18" headerRowDxfId="209" dataDxfId="208"/>
    <tableColumn id="52" name="עמודה19" headerRowDxfId="207" dataDxfId="206"/>
    <tableColumn id="53" name="עמודה20" headerRowDxfId="205" dataDxfId="204"/>
    <tableColumn id="54" name="עמודה21" headerRowDxfId="203" dataDxfId="202"/>
    <tableColumn id="55" name="עמודה22" headerRowDxfId="201"/>
    <tableColumn id="56" name="עמודה23" headerRowDxfId="200"/>
    <tableColumn id="57" name="עמודה24" headerRowDxfId="199"/>
    <tableColumn id="58" name="עמודה25" headerRowDxfId="198"/>
    <tableColumn id="59" name="עמודה26" headerRowDxfId="197"/>
    <tableColumn id="60" name="עמודה27" headerRowDxfId="196"/>
    <tableColumn id="61" name="עמודה28" headerRowDxfId="195"/>
    <tableColumn id="62" name="עמודה29" headerRowDxfId="194"/>
    <tableColumn id="63" name="עמודה30" headerRowDxfId="193"/>
    <tableColumn id="64" name="עמודה31" headerRowDxfId="192"/>
    <tableColumn id="65" name="עמודה32" headerRowDxfId="191"/>
    <tableColumn id="66" name="עמודה33" headerRowDxfId="190"/>
    <tableColumn id="67" name="עמודה34" headerRowDxfId="189"/>
    <tableColumn id="68" name="עמודה35" headerRowDxfId="188"/>
    <tableColumn id="69" name="עמודה36" headerRowDxfId="187"/>
    <tableColumn id="70" name="עמודה37" headerRowDxfId="186"/>
    <tableColumn id="71" name="עמודה38" headerRowDxfId="185"/>
    <tableColumn id="72" name="עמודה39" headerRowDxfId="184"/>
    <tableColumn id="73" name="עמודה40" headerRowDxfId="183"/>
    <tableColumn id="74" name="עמודה41" headerRowDxfId="182"/>
    <tableColumn id="75" name="עמודה42" headerRowDxfId="181"/>
    <tableColumn id="76" name="עמודה43" headerRowDxfId="180"/>
    <tableColumn id="77" name="עמודה44" headerRowDxfId="179"/>
    <tableColumn id="78" name="עמודה45" headerRowDxfId="178"/>
    <tableColumn id="79" name="עמודה46" headerRowDxfId="177"/>
    <tableColumn id="80" name="עמודה47" headerRowDxfId="176"/>
    <tableColumn id="81" name="עמודה48" headerRowDxfId="175"/>
    <tableColumn id="82" name="עמודה49" headerRowDxfId="174"/>
    <tableColumn id="83" name="עמודה50" headerRowDxfId="173"/>
    <tableColumn id="84" name="עמודה51" headerRowDxfId="172"/>
    <tableColumn id="85" name="עמודה52" headerRowDxfId="171"/>
    <tableColumn id="86" name="עמודה53" headerRowDxfId="170"/>
    <tableColumn id="87" name="עמודה54" headerRowDxfId="169"/>
    <tableColumn id="88" name="עמודה55" headerRowDxfId="168"/>
    <tableColumn id="89" name="עמודה56" headerRowDxfId="167"/>
    <tableColumn id="90" name="עמודה57" headerRowDxfId="166"/>
    <tableColumn id="91" name="עמודה58" headerRowDxfId="165"/>
    <tableColumn id="92" name="עמודה59" headerRowDxfId="164"/>
    <tableColumn id="93" name="עמודה60" headerRowDxfId="163"/>
    <tableColumn id="94" name="עמודה61" headerRowDxfId="162"/>
    <tableColumn id="95" name="עמודה62" headerRowDxfId="161"/>
    <tableColumn id="96" name="עמודה63" headerRowDxfId="160"/>
    <tableColumn id="97" name="עמודה64" headerRowDxfId="159"/>
    <tableColumn id="98" name="עמודה65" headerRowDxfId="158"/>
    <tableColumn id="99" name="עמודה66" headerRowDxfId="157"/>
    <tableColumn id="100" name="עמודה67" headerRowDxfId="156"/>
    <tableColumn id="101" name="עמודה68" headerRowDxfId="155"/>
    <tableColumn id="102" name="עמודה69" headerRowDxfId="154"/>
    <tableColumn id="103" name="עמודה70" headerRowDxfId="153"/>
    <tableColumn id="104" name="עמודה71" headerRowDxfId="152"/>
    <tableColumn id="105" name="עמודה72" headerRowDxfId="151"/>
    <tableColumn id="106" name="עמודה73" headerRowDxfId="150"/>
    <tableColumn id="107" name="עמודה74" headerRowDxfId="149"/>
    <tableColumn id="108" name="עמודה75" headerRowDxfId="148"/>
    <tableColumn id="109" name="עמודה76" headerRowDxfId="147"/>
    <tableColumn id="110" name="עמודה77" headerRowDxfId="146"/>
    <tableColumn id="111" name="עמודה78" headerRowDxfId="145"/>
    <tableColumn id="112" name="עמודה79" headerRowDxfId="144"/>
    <tableColumn id="113" name="עמודה80" headerRowDxfId="143"/>
    <tableColumn id="114" name="עמודה81" headerRowDxfId="142"/>
    <tableColumn id="115" name="עמודה82" headerRowDxfId="141"/>
    <tableColumn id="116" name="עמודה83" headerRowDxfId="140"/>
    <tableColumn id="117" name="עמודה84" headerRowDxfId="139"/>
    <tableColumn id="118" name="עמודה85" headerRowDxfId="138"/>
    <tableColumn id="119" name="עמודה86" headerRowDxfId="137"/>
    <tableColumn id="120" name="עמודה87" headerRowDxfId="136"/>
    <tableColumn id="121" name="עמודה88" headerRowDxfId="135"/>
    <tableColumn id="122" name="עמודה89" headerRowDxfId="134"/>
    <tableColumn id="123" name="עמודה90" headerRowDxfId="133"/>
    <tableColumn id="124" name="עמודה91" headerRowDxfId="132"/>
    <tableColumn id="125" name="עמודה92" headerRowDxfId="131"/>
    <tableColumn id="126" name="עמודה93" headerRowDxfId="130"/>
    <tableColumn id="127" name="עמודה94" headerRowDxfId="129"/>
    <tableColumn id="128" name="עמודה95" headerRowDxfId="128"/>
    <tableColumn id="129" name="עמודה96" headerRowDxfId="127"/>
    <tableColumn id="130" name="עמודה97" headerRowDxfId="126"/>
    <tableColumn id="131" name="עמודה98" headerRowDxfId="125"/>
    <tableColumn id="132" name="עמודה99" headerRowDxfId="124"/>
    <tableColumn id="133" name="עמודה100" headerRowDxfId="123"/>
    <tableColumn id="134" name="עמודה101" headerRowDxfId="122"/>
    <tableColumn id="135" name="עמודה102" headerRowDxfId="121"/>
    <tableColumn id="136" name="עמודה103" headerRowDxfId="120"/>
    <tableColumn id="137" name="עמודה104" headerRowDxfId="119"/>
    <tableColumn id="138" name="עמודה105" headerRowDxfId="118"/>
    <tableColumn id="139" name="עמודה106" headerRowDxfId="117"/>
    <tableColumn id="140" name="עמודה107" headerRowDxfId="116"/>
    <tableColumn id="141" name="עמודה108" headerRowDxfId="115"/>
    <tableColumn id="142" name="עמודה109" headerRowDxfId="114"/>
    <tableColumn id="143" name="עמודה110" headerRowDxfId="113"/>
    <tableColumn id="144" name="עמודה111" headerRowDxfId="112"/>
    <tableColumn id="145" name="עמודה112" headerRowDxfId="111"/>
    <tableColumn id="146" name="עמודה113" headerRowDxfId="110"/>
    <tableColumn id="147" name="עמודה114" headerRowDxfId="109"/>
    <tableColumn id="148" name="עמודה115" headerRowDxfId="108"/>
    <tableColumn id="149" name="עמודה116" headerRowDxfId="107"/>
    <tableColumn id="150" name="עמודה117" headerRowDxfId="106"/>
    <tableColumn id="151" name="עמודה118" headerRowDxfId="105"/>
    <tableColumn id="152" name="עמודה119" headerRowDxfId="104"/>
    <tableColumn id="153" name="עמודה120" headerRowDxfId="103"/>
    <tableColumn id="154" name="עמודה121" headerRowDxfId="102"/>
    <tableColumn id="155" name="עמודה122" headerRowDxfId="101"/>
    <tableColumn id="156" name="עמודה123" headerRowDxfId="100"/>
    <tableColumn id="157" name="עמודה124" headerRowDxfId="99"/>
    <tableColumn id="158" name="עמודה125" headerRowDxfId="98"/>
    <tableColumn id="159" name="עמודה126" headerRowDxfId="97"/>
    <tableColumn id="160" name="עמודה127" headerRowDxfId="96"/>
    <tableColumn id="161" name="עמודה128" headerRowDxfId="95"/>
    <tableColumn id="162" name="עמודה129" headerRowDxfId="94"/>
    <tableColumn id="163" name="עמודה130" headerRowDxfId="93"/>
    <tableColumn id="164" name="עמודה131" headerRowDxfId="92"/>
    <tableColumn id="165" name="עמודה132" headerRowDxfId="91"/>
    <tableColumn id="166" name="עמודה133" headerRowDxfId="90"/>
    <tableColumn id="167" name="עמודה134" headerRowDxfId="89"/>
    <tableColumn id="168" name="עמודה135" headerRowDxfId="88"/>
    <tableColumn id="169" name="עמודה136" headerRowDxfId="87"/>
    <tableColumn id="170" name="עמודה137" headerRowDxfId="86"/>
    <tableColumn id="171" name="עמודה138" headerRowDxfId="85"/>
    <tableColumn id="172" name="עמודה139" headerRowDxfId="84"/>
    <tableColumn id="173" name="עמודה140" headerRowDxfId="83"/>
    <tableColumn id="174" name="עמודה141" headerRowDxfId="82"/>
    <tableColumn id="175" name="עמודה142" headerRowDxfId="81"/>
    <tableColumn id="176" name="עמודה143" headerRowDxfId="80"/>
    <tableColumn id="177" name="עמודה144" headerRowDxfId="79"/>
    <tableColumn id="178" name="עמודה145" headerRowDxfId="78"/>
    <tableColumn id="179" name="עמודה146" headerRowDxfId="77"/>
    <tableColumn id="180" name="עמודה147" headerRowDxfId="76"/>
    <tableColumn id="181" name="עמודה148" headerRowDxfId="75"/>
    <tableColumn id="182" name="עמודה149" headerRowDxfId="74"/>
    <tableColumn id="183" name="עמודה150" headerRowDxfId="73"/>
    <tableColumn id="184" name="עמודה151" headerRowDxfId="72"/>
    <tableColumn id="185" name="עמודה152" headerRowDxfId="71"/>
    <tableColumn id="186" name="עמודה153" headerRowDxfId="70"/>
    <tableColumn id="187" name="עמודה154" headerRowDxfId="69"/>
    <tableColumn id="188" name="עמודה155" headerRowDxfId="68"/>
    <tableColumn id="189" name="עמודה156" headerRowDxfId="67"/>
    <tableColumn id="190" name="עמודה157" headerRowDxfId="66"/>
    <tableColumn id="191" name="עמודה158" headerRowDxfId="65"/>
    <tableColumn id="192" name="עמודה159" headerRowDxfId="64"/>
    <tableColumn id="193" name="עמודה160" headerRowDxfId="63"/>
    <tableColumn id="194" name="עמודה161" headerRowDxfId="62"/>
    <tableColumn id="195" name="עמודה162" headerRowDxfId="61"/>
    <tableColumn id="196" name="עמודה163" headerRowDxfId="60"/>
    <tableColumn id="197" name="עמודה164" headerRowDxfId="59"/>
    <tableColumn id="198" name="עמודה165" headerRowDxfId="58"/>
    <tableColumn id="199" name="עמודה166" headerRowDxfId="57"/>
    <tableColumn id="200" name="עמודה167" headerRowDxfId="56"/>
    <tableColumn id="201" name="עמודה168" headerRowDxfId="55"/>
    <tableColumn id="202" name="עמודה169" headerRowDxfId="54"/>
    <tableColumn id="203" name="עמודה170" headerRowDxfId="53"/>
    <tableColumn id="204" name="עמודה171" headerRowDxfId="52"/>
    <tableColumn id="205" name="עמודה172" headerRowDxfId="51"/>
    <tableColumn id="206" name="עמודה173" headerRowDxfId="50"/>
    <tableColumn id="207" name="עמודה174" headerRowDxfId="49"/>
    <tableColumn id="208" name="עמודה175" headerRowDxfId="48"/>
    <tableColumn id="209" name="עמודה176" headerRowDxfId="47"/>
    <tableColumn id="210" name="עמודה177" headerRowDxfId="46"/>
    <tableColumn id="211" name="עמודה178" headerRowDxfId="45"/>
    <tableColumn id="212" name="עמודה179" headerRowDxfId="44"/>
    <tableColumn id="213" name="עמודה180" headerRowDxfId="43"/>
    <tableColumn id="214" name="עמודה181" headerRowDxfId="42"/>
    <tableColumn id="215" name="עמודה182" headerRowDxfId="41"/>
    <tableColumn id="216" name="עמודה183" headerRowDxfId="40"/>
    <tableColumn id="217" name="עמודה184" headerRowDxfId="39"/>
    <tableColumn id="218" name="עמודה185" headerRowDxfId="38"/>
    <tableColumn id="219" name="עמודה186" headerRowDxfId="37"/>
    <tableColumn id="220" name="עמודה187" headerRowDxfId="36"/>
    <tableColumn id="221" name="עמודה188" headerRowDxfId="35"/>
    <tableColumn id="222" name="עמודה189" headerRowDxfId="34"/>
    <tableColumn id="223" name="עמודה190" headerRowDxfId="33"/>
    <tableColumn id="224" name="עמודה191" headerRowDxfId="32"/>
    <tableColumn id="225" name="עמודה192" headerRowDxfId="31"/>
    <tableColumn id="226" name="עמודה193" headerRowDxfId="30"/>
    <tableColumn id="227" name="עמודה194" headerRowDxfId="29"/>
    <tableColumn id="228" name="עמודה195" headerRowDxfId="28"/>
    <tableColumn id="229" name="עמודה196" headerRowDxfId="27"/>
    <tableColumn id="230" name="עמודה197" headerRowDxfId="26"/>
    <tableColumn id="231" name="עמודה198" headerRowDxfId="25"/>
    <tableColumn id="232" name="עמודה199" headerRowDxfId="24"/>
    <tableColumn id="233" name="עמודה200" headerRowDxfId="23"/>
    <tableColumn id="234" name="עמודה201" headerRowDxfId="22"/>
    <tableColumn id="235" name="עמודה202" headerRowDxfId="21"/>
    <tableColumn id="236" name="עמודה203" headerRowDxfId="20"/>
    <tableColumn id="237" name="עמודה204" headerRowDxfId="19"/>
    <tableColumn id="238" name="עמודה205" headerRowDxfId="18"/>
    <tableColumn id="239" name="עמודה206" headerRowDxfId="17"/>
    <tableColumn id="240" name="עמודה207" headerRowDxfId="16"/>
    <tableColumn id="241" name="עמודה208" headerRowDxfId="15"/>
    <tableColumn id="242" name="עמודה209" headerRowDxfId="14"/>
    <tableColumn id="243" name="עמודה210" headerRowDxfId="13"/>
    <tableColumn id="244" name="עמודה211" headerRowDxfId="12"/>
    <tableColumn id="245" name="עמודה212" headerRowDxfId="11"/>
    <tableColumn id="246" name="עמודה213" headerRowDxfId="10"/>
    <tableColumn id="247" name="עמודה214" headerRowDxfId="9"/>
    <tableColumn id="248" name="עמודה215" headerRowDxfId="8"/>
    <tableColumn id="249" name="עמודה216" headerRowDxfId="7"/>
    <tableColumn id="250" name="עמודה217" headerRowDxfId="6"/>
    <tableColumn id="251" name="עמודה218" headerRowDxfId="5"/>
    <tableColumn id="252" name="עמודה219" headerRowDxfId="4"/>
    <tableColumn id="253" name="עמודה220" headerRowDxfId="3"/>
    <tableColumn id="254" name="עמודה221" headerRowDxfId="2"/>
    <tableColumn id="255" name="עמודה222" headerRowDxfId="1"/>
    <tableColumn id="256" name="עמודה223" headerRowDxfId="0"/>
  </tableColumns>
  <tableStyleInfo name="TableStyleLight3" showFirstColumn="0" showLastColumn="0" showRowStripes="1" showColumnStripes="0"/>
</table>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9.bin"/><Relationship Id="rId4" Type="http://schemas.openxmlformats.org/officeDocument/2006/relationships/ctrlProp" Target="../ctrlProps/ctrlProp1.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4.vml"/><Relationship Id="rId1" Type="http://schemas.openxmlformats.org/officeDocument/2006/relationships/printerSettings" Target="../printerSettings/printerSettings11.bin"/><Relationship Id="rId4" Type="http://schemas.openxmlformats.org/officeDocument/2006/relationships/comments" Target="../comments3.xml"/></Relationships>
</file>

<file path=xl/worksheets/_rels/sheet1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8.vml"/></Relationships>
</file>

<file path=xl/worksheets/_rels/sheet24.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9.vml"/></Relationships>
</file>

<file path=xl/worksheets/_rels/sheet25.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0.vml"/></Relationships>
</file>

<file path=xl/worksheets/_rels/sheet26.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1.vml"/></Relationships>
</file>

<file path=xl/worksheets/_rels/sheet27.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2.vml"/></Relationships>
</file>

<file path=xl/worksheets/_rels/sheet28.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3.vml"/></Relationships>
</file>

<file path=xl/worksheets/_rels/sheet29.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4.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5.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6.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7.v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2.xml"/><Relationship Id="rId1" Type="http://schemas.openxmlformats.org/officeDocument/2006/relationships/printerSettings" Target="../printerSettings/printerSettings19.bin"/><Relationship Id="rId4" Type="http://schemas.openxmlformats.org/officeDocument/2006/relationships/ctrlProp" Target="../ctrlProps/ctrlProp2.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3.xml"/><Relationship Id="rId1" Type="http://schemas.openxmlformats.org/officeDocument/2006/relationships/printerSettings" Target="../printerSettings/printerSettings20.bin"/><Relationship Id="rId4" Type="http://schemas.openxmlformats.org/officeDocument/2006/relationships/ctrlProp" Target="../ctrlProps/ctrlProp3.xm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4.xml"/><Relationship Id="rId1" Type="http://schemas.openxmlformats.org/officeDocument/2006/relationships/printerSettings" Target="../printerSettings/printerSettings21.bin"/><Relationship Id="rId5" Type="http://schemas.openxmlformats.org/officeDocument/2006/relationships/comments" Target="../comments17.xml"/><Relationship Id="rId4" Type="http://schemas.openxmlformats.org/officeDocument/2006/relationships/ctrlProp" Target="../ctrlProps/ctrlProp4.xml"/></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5.xml"/><Relationship Id="rId1" Type="http://schemas.openxmlformats.org/officeDocument/2006/relationships/printerSettings" Target="../printerSettings/printerSettings22.bin"/><Relationship Id="rId4" Type="http://schemas.openxmlformats.org/officeDocument/2006/relationships/ctrlProp" Target="../ctrlProps/ctrlProp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2"/>
  <dimension ref="A1:H202"/>
  <sheetViews>
    <sheetView rightToLeft="1" topLeftCell="A100" workbookViewId="0">
      <selection activeCell="E49" sqref="E49"/>
    </sheetView>
  </sheetViews>
  <sheetFormatPr defaultRowHeight="15" x14ac:dyDescent="0.2"/>
  <cols>
    <col min="1" max="1" width="21.7109375" style="409" bestFit="1" customWidth="1"/>
    <col min="2" max="2" width="14.5703125" style="410" customWidth="1"/>
    <col min="3" max="3" width="0" style="1" hidden="1" customWidth="1"/>
    <col min="4" max="4" width="1" style="1" hidden="1" customWidth="1"/>
    <col min="5" max="5" width="12.28515625" style="532" customWidth="1"/>
    <col min="6" max="6" width="9.140625" style="1"/>
    <col min="7" max="7" width="10.28515625" style="1" bestFit="1" customWidth="1"/>
    <col min="8" max="16384" width="9.140625" style="1"/>
  </cols>
  <sheetData>
    <row r="1" spans="1:5" ht="45" x14ac:dyDescent="0.2">
      <c r="A1" s="520" t="s">
        <v>792</v>
      </c>
      <c r="B1" s="520" t="s">
        <v>793</v>
      </c>
      <c r="C1" s="521" t="s">
        <v>795</v>
      </c>
      <c r="D1" s="521"/>
      <c r="E1" s="530" t="s">
        <v>488</v>
      </c>
    </row>
    <row r="2" spans="1:5" ht="14.25" x14ac:dyDescent="0.2">
      <c r="A2" s="1045" t="s">
        <v>9</v>
      </c>
      <c r="B2" s="523">
        <v>3</v>
      </c>
      <c r="C2" s="524" t="e">
        <f>+VLOOKUP(A2,#REF!,3,0)</f>
        <v>#REF!</v>
      </c>
      <c r="D2" s="524" t="e">
        <f t="shared" ref="D2:D65" si="0">+C2-B2</f>
        <v>#REF!</v>
      </c>
      <c r="E2" s="531">
        <v>5279</v>
      </c>
    </row>
    <row r="3" spans="1:5" ht="14.25" x14ac:dyDescent="0.2">
      <c r="A3" s="522" t="s">
        <v>88</v>
      </c>
      <c r="B3" s="523">
        <v>3</v>
      </c>
      <c r="C3" s="524" t="e">
        <f>+VLOOKUP(A3,#REF!,3,0)</f>
        <v>#REF!</v>
      </c>
      <c r="D3" s="524" t="e">
        <f t="shared" si="0"/>
        <v>#REF!</v>
      </c>
      <c r="E3" s="531">
        <v>10948</v>
      </c>
    </row>
    <row r="4" spans="1:5" ht="14.25" x14ac:dyDescent="0.2">
      <c r="A4" s="522" t="s">
        <v>86</v>
      </c>
      <c r="B4" s="523">
        <v>8</v>
      </c>
      <c r="C4" s="524" t="e">
        <f>+VLOOKUP(A4,#REF!,3,0)</f>
        <v>#REF!</v>
      </c>
      <c r="D4" s="524" t="e">
        <f t="shared" si="0"/>
        <v>#REF!</v>
      </c>
      <c r="E4" s="531">
        <v>8675</v>
      </c>
    </row>
    <row r="5" spans="1:5" ht="14.25" x14ac:dyDescent="0.2">
      <c r="A5" s="525" t="s">
        <v>3</v>
      </c>
      <c r="B5" s="526">
        <v>2</v>
      </c>
      <c r="C5" s="524" t="e">
        <f>+VLOOKUP(A5,#REF!,3,0)</f>
        <v>#REF!</v>
      </c>
      <c r="D5" s="524" t="e">
        <f t="shared" si="0"/>
        <v>#REF!</v>
      </c>
      <c r="E5" s="531">
        <v>39046</v>
      </c>
    </row>
    <row r="6" spans="1:5" ht="14.25" x14ac:dyDescent="0.2">
      <c r="A6" s="525" t="s">
        <v>141</v>
      </c>
      <c r="B6" s="527">
        <v>3</v>
      </c>
      <c r="C6" s="524" t="e">
        <f>+VLOOKUP(A6,#REF!,3,0)</f>
        <v>#REF!</v>
      </c>
      <c r="D6" s="524" t="e">
        <f t="shared" si="0"/>
        <v>#REF!</v>
      </c>
      <c r="E6" s="531">
        <v>23694</v>
      </c>
    </row>
    <row r="7" spans="1:5" ht="14.25" x14ac:dyDescent="0.2">
      <c r="A7" s="525" t="s">
        <v>196</v>
      </c>
      <c r="B7" s="527">
        <v>5</v>
      </c>
      <c r="C7" s="524" t="e">
        <f>+VLOOKUP(A7,#REF!,3,0)</f>
        <v>#REF!</v>
      </c>
      <c r="D7" s="524" t="e">
        <f t="shared" si="0"/>
        <v>#REF!</v>
      </c>
      <c r="E7" s="531">
        <v>29421</v>
      </c>
    </row>
    <row r="8" spans="1:5" ht="14.25" x14ac:dyDescent="0.2">
      <c r="A8" s="525" t="s">
        <v>110</v>
      </c>
      <c r="B8" s="527">
        <v>4</v>
      </c>
      <c r="C8" s="524" t="e">
        <f>+VLOOKUP(A8,#REF!,3,0)</f>
        <v>#REF!</v>
      </c>
      <c r="D8" s="524" t="e">
        <f t="shared" si="0"/>
        <v>#REF!</v>
      </c>
      <c r="E8" s="531">
        <v>15673</v>
      </c>
    </row>
    <row r="9" spans="1:5" ht="14.25" x14ac:dyDescent="0.2">
      <c r="A9" s="522" t="s">
        <v>10</v>
      </c>
      <c r="B9" s="523">
        <v>8</v>
      </c>
      <c r="C9" s="524" t="e">
        <f>+VLOOKUP(A9,#REF!,3,0)</f>
        <v>#REF!</v>
      </c>
      <c r="D9" s="524" t="e">
        <f t="shared" si="0"/>
        <v>#REF!</v>
      </c>
      <c r="E9" s="531">
        <v>5316</v>
      </c>
    </row>
    <row r="10" spans="1:5" ht="14.25" x14ac:dyDescent="0.2">
      <c r="A10" s="522" t="s">
        <v>4</v>
      </c>
      <c r="B10" s="523">
        <v>6</v>
      </c>
      <c r="C10" s="524" t="e">
        <f>+VLOOKUP(A10,#REF!,3,0)</f>
        <v>#REF!</v>
      </c>
      <c r="D10" s="524" t="e">
        <f t="shared" si="0"/>
        <v>#REF!</v>
      </c>
      <c r="E10" s="531">
        <v>9895</v>
      </c>
    </row>
    <row r="11" spans="1:5" ht="14.25" x14ac:dyDescent="0.2">
      <c r="A11" s="522" t="s">
        <v>1</v>
      </c>
      <c r="B11" s="527">
        <v>5</v>
      </c>
      <c r="C11" s="524" t="e">
        <f>+VLOOKUP(A11,#REF!,3,0)</f>
        <v>#REF!</v>
      </c>
      <c r="D11" s="524" t="e">
        <f t="shared" si="0"/>
        <v>#REF!</v>
      </c>
      <c r="E11" s="531">
        <v>43547</v>
      </c>
    </row>
    <row r="12" spans="1:5" ht="14.25" x14ac:dyDescent="0.2">
      <c r="A12" s="522" t="s">
        <v>5</v>
      </c>
      <c r="B12" s="523">
        <v>2</v>
      </c>
      <c r="C12" s="524" t="e">
        <f>+VLOOKUP(A12,#REF!,3,0)</f>
        <v>#REF!</v>
      </c>
      <c r="D12" s="524" t="e">
        <f t="shared" si="0"/>
        <v>#REF!</v>
      </c>
      <c r="E12" s="531">
        <v>10623</v>
      </c>
    </row>
    <row r="13" spans="1:5" ht="14.25" x14ac:dyDescent="0.2">
      <c r="A13" s="522" t="s">
        <v>111</v>
      </c>
      <c r="B13" s="523">
        <v>5</v>
      </c>
      <c r="C13" s="524" t="e">
        <f>+VLOOKUP(A13,#REF!,3,0)</f>
        <v>#REF!</v>
      </c>
      <c r="D13" s="524" t="e">
        <f t="shared" si="0"/>
        <v>#REF!</v>
      </c>
      <c r="E13" s="531">
        <v>2499</v>
      </c>
    </row>
    <row r="14" spans="1:5" ht="14.25" x14ac:dyDescent="0.2">
      <c r="A14" s="525" t="s">
        <v>6</v>
      </c>
      <c r="B14" s="527">
        <v>2</v>
      </c>
      <c r="C14" s="524" t="e">
        <f>+VLOOKUP(A14,#REF!,3,0)</f>
        <v>#REF!</v>
      </c>
      <c r="D14" s="524" t="e">
        <f t="shared" si="0"/>
        <v>#REF!</v>
      </c>
      <c r="E14" s="531">
        <v>18968</v>
      </c>
    </row>
    <row r="15" spans="1:5" ht="14.25" x14ac:dyDescent="0.2">
      <c r="A15" s="522" t="s">
        <v>198</v>
      </c>
      <c r="B15" s="523">
        <v>8</v>
      </c>
      <c r="C15" s="524" t="e">
        <f>+VLOOKUP(A15,#REF!,3,0)</f>
        <v>#REF!</v>
      </c>
      <c r="D15" s="524" t="e">
        <f t="shared" si="0"/>
        <v>#REF!</v>
      </c>
      <c r="E15" s="531">
        <v>5347</v>
      </c>
    </row>
    <row r="16" spans="1:5" ht="14.25" x14ac:dyDescent="0.2">
      <c r="A16" s="522" t="s">
        <v>199</v>
      </c>
      <c r="B16" s="523">
        <v>8</v>
      </c>
      <c r="C16" s="524" t="e">
        <f>+VLOOKUP(A16,#REF!,3,0)</f>
        <v>#REF!</v>
      </c>
      <c r="D16" s="524" t="e">
        <f t="shared" si="0"/>
        <v>#REF!</v>
      </c>
      <c r="E16" s="531">
        <v>3050</v>
      </c>
    </row>
    <row r="17" spans="1:5" ht="14.25" x14ac:dyDescent="0.2">
      <c r="A17" s="522" t="s">
        <v>11</v>
      </c>
      <c r="B17" s="523">
        <v>3</v>
      </c>
      <c r="C17" s="524" t="e">
        <f>+VLOOKUP(A17,#REF!,3,0)</f>
        <v>#REF!</v>
      </c>
      <c r="D17" s="524" t="e">
        <f t="shared" si="0"/>
        <v>#REF!</v>
      </c>
      <c r="E17" s="531">
        <v>10264</v>
      </c>
    </row>
    <row r="18" spans="1:5" ht="14.25" x14ac:dyDescent="0.2">
      <c r="A18" s="522" t="s">
        <v>200</v>
      </c>
      <c r="B18" s="523">
        <v>7</v>
      </c>
      <c r="C18" s="524" t="e">
        <f>+VLOOKUP(A18,#REF!,3,0)</f>
        <v>#REF!</v>
      </c>
      <c r="D18" s="524" t="e">
        <f t="shared" si="0"/>
        <v>#REF!</v>
      </c>
      <c r="E18" s="531">
        <v>7037</v>
      </c>
    </row>
    <row r="19" spans="1:5" ht="14.25" x14ac:dyDescent="0.2">
      <c r="A19" s="525" t="s">
        <v>136</v>
      </c>
      <c r="B19" s="527">
        <v>5</v>
      </c>
      <c r="C19" s="524" t="e">
        <f>+VLOOKUP(A19,#REF!,3,0)</f>
        <v>#REF!</v>
      </c>
      <c r="D19" s="524" t="e">
        <f t="shared" si="0"/>
        <v>#REF!</v>
      </c>
      <c r="E19" s="531">
        <v>16503</v>
      </c>
    </row>
    <row r="20" spans="1:5" ht="14.25" x14ac:dyDescent="0.2">
      <c r="A20" s="525" t="s">
        <v>2</v>
      </c>
      <c r="B20" s="527">
        <v>5</v>
      </c>
      <c r="C20" s="524" t="e">
        <f>+VLOOKUP(A20,#REF!,3,0)</f>
        <v>#REF!</v>
      </c>
      <c r="D20" s="524" t="e">
        <f t="shared" si="0"/>
        <v>#REF!</v>
      </c>
      <c r="E20" s="531">
        <v>192038</v>
      </c>
    </row>
    <row r="21" spans="1:5" ht="14.25" x14ac:dyDescent="0.2">
      <c r="A21" s="525" t="s">
        <v>107</v>
      </c>
      <c r="B21" s="527">
        <v>5</v>
      </c>
      <c r="C21" s="524" t="e">
        <f>+VLOOKUP(A21,#REF!,3,0)</f>
        <v>#REF!</v>
      </c>
      <c r="D21" s="524" t="e">
        <f t="shared" si="0"/>
        <v>#REF!</v>
      </c>
      <c r="E21" s="531">
        <v>104482</v>
      </c>
    </row>
    <row r="22" spans="1:5" ht="14.25" x14ac:dyDescent="0.2">
      <c r="A22" s="525" t="s">
        <v>794</v>
      </c>
      <c r="B22" s="527">
        <v>3</v>
      </c>
      <c r="C22" s="524" t="e">
        <f>+VLOOKUP(A22,#REF!,3,0)</f>
        <v>#REF!</v>
      </c>
      <c r="D22" s="524" t="e">
        <f t="shared" si="0"/>
        <v>#REF!</v>
      </c>
      <c r="E22" s="531">
        <v>0</v>
      </c>
    </row>
    <row r="23" spans="1:5" ht="14.25" x14ac:dyDescent="0.2">
      <c r="A23" s="522" t="s">
        <v>202</v>
      </c>
      <c r="B23" s="523">
        <v>6</v>
      </c>
      <c r="C23" s="524" t="e">
        <f>+VLOOKUP(A23,#REF!,3,0)</f>
        <v>#REF!</v>
      </c>
      <c r="D23" s="524" t="e">
        <f t="shared" si="0"/>
        <v>#REF!</v>
      </c>
      <c r="E23" s="531">
        <v>8706</v>
      </c>
    </row>
    <row r="24" spans="1:5" ht="14.25" x14ac:dyDescent="0.2">
      <c r="A24" s="525" t="s">
        <v>7</v>
      </c>
      <c r="B24" s="527">
        <v>5</v>
      </c>
      <c r="C24" s="524" t="e">
        <f>+VLOOKUP(A24,#REF!,3,0)</f>
        <v>#REF!</v>
      </c>
      <c r="D24" s="524" t="e">
        <f t="shared" si="0"/>
        <v>#REF!</v>
      </c>
      <c r="E24" s="531">
        <v>183018</v>
      </c>
    </row>
    <row r="25" spans="1:5" ht="14.25" x14ac:dyDescent="0.2">
      <c r="A25" s="522" t="s">
        <v>139</v>
      </c>
      <c r="B25" s="523">
        <v>2</v>
      </c>
      <c r="C25" s="524" t="e">
        <f>+VLOOKUP(A25,#REF!,3,0)</f>
        <v>#REF!</v>
      </c>
      <c r="D25" s="524" t="e">
        <f t="shared" si="0"/>
        <v>#REF!</v>
      </c>
      <c r="E25" s="531">
        <v>0</v>
      </c>
    </row>
    <row r="26" spans="1:5" ht="14.25" x14ac:dyDescent="0.2">
      <c r="A26" s="522" t="s">
        <v>31</v>
      </c>
      <c r="B26" s="523">
        <v>2</v>
      </c>
      <c r="C26" s="524" t="e">
        <f>+VLOOKUP(A26,#REF!,3,0)</f>
        <v>#REF!</v>
      </c>
      <c r="D26" s="524" t="e">
        <f t="shared" si="0"/>
        <v>#REF!</v>
      </c>
      <c r="E26" s="531">
        <v>5214</v>
      </c>
    </row>
    <row r="27" spans="1:5" ht="14.25" x14ac:dyDescent="0.2">
      <c r="A27" s="522" t="s">
        <v>485</v>
      </c>
      <c r="B27" s="523">
        <v>2</v>
      </c>
      <c r="C27" s="524" t="e">
        <f>+VLOOKUP(A27,#REF!,3,0)</f>
        <v>#REF!</v>
      </c>
      <c r="D27" s="524" t="e">
        <f t="shared" si="0"/>
        <v>#REF!</v>
      </c>
      <c r="E27" s="531">
        <v>6650</v>
      </c>
    </row>
    <row r="28" spans="1:5" ht="14.25" x14ac:dyDescent="0.2">
      <c r="A28" s="522" t="s">
        <v>203</v>
      </c>
      <c r="B28" s="523">
        <v>5</v>
      </c>
      <c r="C28" s="524" t="e">
        <f>+VLOOKUP(A28,#REF!,3,0)</f>
        <v>#REF!</v>
      </c>
      <c r="D28" s="524" t="e">
        <f t="shared" si="0"/>
        <v>#REF!</v>
      </c>
      <c r="E28" s="531">
        <v>4627</v>
      </c>
    </row>
    <row r="29" spans="1:5" ht="14.25" x14ac:dyDescent="0.2">
      <c r="A29" s="522" t="s">
        <v>204</v>
      </c>
      <c r="B29" s="523">
        <v>7</v>
      </c>
      <c r="C29" s="524" t="e">
        <f>+VLOOKUP(A29,#REF!,3,0)</f>
        <v>#REF!</v>
      </c>
      <c r="D29" s="524" t="e">
        <f t="shared" si="0"/>
        <v>#REF!</v>
      </c>
      <c r="E29" s="531">
        <v>3392</v>
      </c>
    </row>
    <row r="30" spans="1:5" ht="14.25" x14ac:dyDescent="0.2">
      <c r="A30" s="522" t="s">
        <v>147</v>
      </c>
      <c r="B30" s="523">
        <v>2</v>
      </c>
      <c r="C30" s="524" t="e">
        <f>+VLOOKUP(A30,#REF!,3,0)</f>
        <v>#REF!</v>
      </c>
      <c r="D30" s="524" t="e">
        <f t="shared" si="0"/>
        <v>#REF!</v>
      </c>
      <c r="E30" s="531">
        <v>9626</v>
      </c>
    </row>
    <row r="31" spans="1:5" ht="14.25" x14ac:dyDescent="0.2">
      <c r="A31" s="522" t="s">
        <v>206</v>
      </c>
      <c r="B31" s="523">
        <v>7</v>
      </c>
      <c r="C31" s="524" t="e">
        <f>+VLOOKUP(A31,#REF!,3,0)</f>
        <v>#REF!</v>
      </c>
      <c r="D31" s="524" t="e">
        <f t="shared" si="0"/>
        <v>#REF!</v>
      </c>
      <c r="E31" s="531">
        <v>5236</v>
      </c>
    </row>
    <row r="32" spans="1:5" ht="14.25" x14ac:dyDescent="0.2">
      <c r="A32" s="525" t="s">
        <v>126</v>
      </c>
      <c r="B32" s="527">
        <v>4</v>
      </c>
      <c r="C32" s="524" t="e">
        <f>+VLOOKUP(A32,#REF!,3,0)</f>
        <v>#REF!</v>
      </c>
      <c r="D32" s="524" t="e">
        <f t="shared" si="0"/>
        <v>#REF!</v>
      </c>
      <c r="E32" s="531">
        <v>16096</v>
      </c>
    </row>
    <row r="33" spans="1:5" ht="14.25" x14ac:dyDescent="0.2">
      <c r="A33" s="525" t="s">
        <v>106</v>
      </c>
      <c r="B33" s="527">
        <v>3</v>
      </c>
      <c r="C33" s="524" t="e">
        <f>+VLOOKUP(A33,#REF!,3,0)</f>
        <v>#REF!</v>
      </c>
      <c r="D33" s="524" t="e">
        <f t="shared" si="0"/>
        <v>#REF!</v>
      </c>
      <c r="E33" s="531">
        <v>57046</v>
      </c>
    </row>
    <row r="34" spans="1:5" ht="14.25" x14ac:dyDescent="0.2">
      <c r="A34" s="525" t="s">
        <v>207</v>
      </c>
      <c r="B34" s="527">
        <v>1</v>
      </c>
      <c r="C34" s="524" t="e">
        <f>+VLOOKUP(A34,#REF!,3,0)</f>
        <v>#REF!</v>
      </c>
      <c r="D34" s="524" t="e">
        <f t="shared" si="0"/>
        <v>#REF!</v>
      </c>
      <c r="E34" s="531">
        <v>22926</v>
      </c>
    </row>
    <row r="35" spans="1:5" ht="14.25" x14ac:dyDescent="0.2">
      <c r="A35" s="525" t="s">
        <v>57</v>
      </c>
      <c r="B35" s="527">
        <v>3</v>
      </c>
      <c r="C35" s="524" t="e">
        <f>+VLOOKUP(A35,#REF!,3,0)</f>
        <v>#REF!</v>
      </c>
      <c r="D35" s="524" t="e">
        <f t="shared" si="0"/>
        <v>#REF!</v>
      </c>
      <c r="E35" s="531">
        <v>139634</v>
      </c>
    </row>
    <row r="36" spans="1:5" ht="14.25" x14ac:dyDescent="0.2">
      <c r="A36" s="1046" t="s">
        <v>79</v>
      </c>
      <c r="B36" s="523">
        <v>5</v>
      </c>
      <c r="C36" s="524" t="e">
        <f>+VLOOKUP(A36,#REF!,3,0)</f>
        <v>#REF!</v>
      </c>
      <c r="D36" s="524" t="e">
        <f t="shared" si="0"/>
        <v>#REF!</v>
      </c>
      <c r="E36" s="531">
        <v>7668</v>
      </c>
    </row>
    <row r="37" spans="1:5" ht="14.25" x14ac:dyDescent="0.2">
      <c r="A37" s="522" t="s">
        <v>114</v>
      </c>
      <c r="B37" s="523">
        <v>8</v>
      </c>
      <c r="C37" s="524" t="e">
        <f>+VLOOKUP(A37,#REF!,3,0)</f>
        <v>#REF!</v>
      </c>
      <c r="D37" s="524" t="e">
        <f t="shared" si="0"/>
        <v>#REF!</v>
      </c>
      <c r="E37" s="531">
        <v>9313</v>
      </c>
    </row>
    <row r="38" spans="1:5" ht="14.25" x14ac:dyDescent="0.2">
      <c r="A38" s="522" t="s">
        <v>8</v>
      </c>
      <c r="B38" s="523">
        <v>2</v>
      </c>
      <c r="C38" s="524" t="e">
        <f>+VLOOKUP(A38,#REF!,3,0)</f>
        <v>#REF!</v>
      </c>
      <c r="D38" s="524" t="e">
        <f t="shared" si="0"/>
        <v>#REF!</v>
      </c>
      <c r="E38" s="531">
        <v>6985</v>
      </c>
    </row>
    <row r="39" spans="1:5" ht="14.25" x14ac:dyDescent="0.2">
      <c r="A39" s="522" t="s">
        <v>92</v>
      </c>
      <c r="B39" s="523">
        <v>2</v>
      </c>
      <c r="C39" s="524" t="e">
        <f>+VLOOKUP(A39,#REF!,3,0)</f>
        <v>#REF!</v>
      </c>
      <c r="D39" s="524" t="e">
        <f t="shared" si="0"/>
        <v>#REF!</v>
      </c>
      <c r="E39" s="531">
        <v>5900</v>
      </c>
    </row>
    <row r="40" spans="1:5" ht="14.25" x14ac:dyDescent="0.2">
      <c r="A40" s="522" t="s">
        <v>738</v>
      </c>
      <c r="B40" s="528">
        <v>2</v>
      </c>
      <c r="C40" s="524" t="e">
        <f>+VLOOKUP(A40,#REF!,3,0)</f>
        <v>#REF!</v>
      </c>
      <c r="D40" s="524" t="e">
        <f t="shared" si="0"/>
        <v>#REF!</v>
      </c>
      <c r="E40" s="531">
        <v>7296</v>
      </c>
    </row>
    <row r="41" spans="1:5" ht="14.25" x14ac:dyDescent="0.2">
      <c r="A41" s="522" t="s">
        <v>97</v>
      </c>
      <c r="B41" s="527">
        <v>5</v>
      </c>
      <c r="C41" s="524" t="e">
        <f>+VLOOKUP(A41,#REF!,3,0)</f>
        <v>#REF!</v>
      </c>
      <c r="D41" s="524" t="e">
        <f t="shared" si="0"/>
        <v>#REF!</v>
      </c>
      <c r="E41" s="531">
        <v>131917</v>
      </c>
    </row>
    <row r="42" spans="1:5" ht="14.25" x14ac:dyDescent="0.2">
      <c r="A42" s="522" t="s">
        <v>69</v>
      </c>
      <c r="B42" s="523">
        <v>2</v>
      </c>
      <c r="C42" s="524" t="e">
        <f>+VLOOKUP(A42,#REF!,3,0)</f>
        <v>#REF!</v>
      </c>
      <c r="D42" s="524" t="e">
        <f t="shared" si="0"/>
        <v>#REF!</v>
      </c>
      <c r="E42" s="531">
        <v>16855</v>
      </c>
    </row>
    <row r="43" spans="1:5" ht="14.25" x14ac:dyDescent="0.2">
      <c r="A43" s="522" t="s">
        <v>96</v>
      </c>
      <c r="B43" s="523">
        <v>3</v>
      </c>
      <c r="C43" s="524" t="e">
        <f>+VLOOKUP(A43,#REF!,3,0)</f>
        <v>#REF!</v>
      </c>
      <c r="D43" s="524" t="e">
        <f t="shared" si="0"/>
        <v>#REF!</v>
      </c>
      <c r="E43" s="531">
        <v>5091</v>
      </c>
    </row>
    <row r="44" spans="1:5" ht="14.25" x14ac:dyDescent="0.2">
      <c r="A44" s="522" t="s">
        <v>314</v>
      </c>
      <c r="B44" s="523">
        <v>2</v>
      </c>
      <c r="C44" s="524" t="e">
        <f>+VLOOKUP(A44,#REF!,3,0)</f>
        <v>#REF!</v>
      </c>
      <c r="D44" s="524" t="e">
        <f t="shared" si="0"/>
        <v>#REF!</v>
      </c>
      <c r="E44" s="531">
        <v>7112</v>
      </c>
    </row>
    <row r="45" spans="1:5" ht="14.25" x14ac:dyDescent="0.2">
      <c r="A45" s="47" t="s">
        <v>1504</v>
      </c>
      <c r="B45" s="523">
        <v>1</v>
      </c>
      <c r="C45" s="524" t="e">
        <f>+VLOOKUP(A45,#REF!,3,0)</f>
        <v>#REF!</v>
      </c>
      <c r="D45" s="524" t="e">
        <f t="shared" si="0"/>
        <v>#REF!</v>
      </c>
      <c r="E45" s="531">
        <v>10483</v>
      </c>
    </row>
    <row r="46" spans="1:5" ht="14.25" x14ac:dyDescent="0.2">
      <c r="A46" s="522" t="s">
        <v>12</v>
      </c>
      <c r="B46" s="523">
        <v>5</v>
      </c>
      <c r="C46" s="524" t="e">
        <f>+VLOOKUP(A46,#REF!,3,0)</f>
        <v>#REF!</v>
      </c>
      <c r="D46" s="524" t="e">
        <f t="shared" si="0"/>
        <v>#REF!</v>
      </c>
      <c r="E46" s="531">
        <v>2593</v>
      </c>
    </row>
    <row r="47" spans="1:5" ht="14.25" x14ac:dyDescent="0.2">
      <c r="A47" s="522" t="s">
        <v>560</v>
      </c>
      <c r="B47" s="528">
        <v>3</v>
      </c>
      <c r="C47" s="524" t="e">
        <f>+VLOOKUP(A47,#REF!,3,0)</f>
        <v>#REF!</v>
      </c>
      <c r="D47" s="524" t="e">
        <f t="shared" si="0"/>
        <v>#REF!</v>
      </c>
      <c r="E47" s="531">
        <v>29388</v>
      </c>
    </row>
    <row r="48" spans="1:5" ht="14.25" x14ac:dyDescent="0.2">
      <c r="A48" s="522" t="s">
        <v>210</v>
      </c>
      <c r="B48" s="523">
        <v>5</v>
      </c>
      <c r="C48" s="524" t="e">
        <f>+VLOOKUP(A48,#REF!,3,0)</f>
        <v>#REF!</v>
      </c>
      <c r="D48" s="524" t="e">
        <f t="shared" si="0"/>
        <v>#REF!</v>
      </c>
      <c r="E48" s="531">
        <v>10790</v>
      </c>
    </row>
    <row r="49" spans="1:8" ht="14.25" x14ac:dyDescent="0.2">
      <c r="A49" s="525" t="s">
        <v>116</v>
      </c>
      <c r="B49" s="527">
        <v>8</v>
      </c>
      <c r="C49" s="524" t="e">
        <f>+VLOOKUP(A49,#REF!,3,0)</f>
        <v>#REF!</v>
      </c>
      <c r="D49" s="524" t="e">
        <f t="shared" si="0"/>
        <v>#REF!</v>
      </c>
      <c r="E49" s="531">
        <v>16544</v>
      </c>
    </row>
    <row r="50" spans="1:8" ht="14.25" x14ac:dyDescent="0.2">
      <c r="A50" s="525" t="s">
        <v>98</v>
      </c>
      <c r="B50" s="527">
        <v>8</v>
      </c>
      <c r="C50" s="524" t="e">
        <f>+VLOOKUP(A50,#REF!,3,0)</f>
        <v>#REF!</v>
      </c>
      <c r="D50" s="524" t="e">
        <f t="shared" si="0"/>
        <v>#REF!</v>
      </c>
      <c r="E50" s="531">
        <v>47202</v>
      </c>
      <c r="H50" s="47"/>
    </row>
    <row r="51" spans="1:8" ht="14.25" x14ac:dyDescent="0.2">
      <c r="A51" s="1044" t="s">
        <v>211</v>
      </c>
      <c r="B51" s="523">
        <v>6</v>
      </c>
      <c r="C51" s="524" t="e">
        <f>+VLOOKUP(A51,#REF!,3,0)</f>
        <v>#REF!</v>
      </c>
      <c r="D51" s="524" t="e">
        <f t="shared" si="0"/>
        <v>#REF!</v>
      </c>
      <c r="E51" s="531">
        <v>12649</v>
      </c>
      <c r="H51" s="47"/>
    </row>
    <row r="52" spans="1:8" ht="14.25" x14ac:dyDescent="0.2">
      <c r="A52" s="522" t="s">
        <v>77</v>
      </c>
      <c r="B52" s="523">
        <v>6</v>
      </c>
      <c r="C52" s="524" t="e">
        <f>+VLOOKUP(A52,#REF!,3,0)</f>
        <v>#REF!</v>
      </c>
      <c r="D52" s="524" t="e">
        <f t="shared" si="0"/>
        <v>#REF!</v>
      </c>
      <c r="E52" s="531">
        <v>13074</v>
      </c>
    </row>
    <row r="53" spans="1:8" ht="14.25" x14ac:dyDescent="0.2">
      <c r="A53" s="522" t="s">
        <v>102</v>
      </c>
      <c r="B53" s="523">
        <v>8</v>
      </c>
      <c r="C53" s="524" t="e">
        <f>+VLOOKUP(A53,#REF!,3,0)</f>
        <v>#REF!</v>
      </c>
      <c r="D53" s="524" t="e">
        <f t="shared" si="0"/>
        <v>#REF!</v>
      </c>
      <c r="E53" s="531">
        <v>11843</v>
      </c>
    </row>
    <row r="54" spans="1:8" ht="14.25" x14ac:dyDescent="0.2">
      <c r="A54" s="1046" t="s">
        <v>497</v>
      </c>
      <c r="B54" s="528">
        <v>3</v>
      </c>
      <c r="C54" s="524" t="e">
        <f>+VLOOKUP(A54,#REF!,3,0)</f>
        <v>#REF!</v>
      </c>
      <c r="D54" s="524" t="e">
        <f t="shared" si="0"/>
        <v>#REF!</v>
      </c>
      <c r="E54" s="531">
        <v>23219</v>
      </c>
    </row>
    <row r="55" spans="1:8" ht="14.25" x14ac:dyDescent="0.2">
      <c r="A55" s="522" t="s">
        <v>13</v>
      </c>
      <c r="B55" s="523">
        <v>2</v>
      </c>
      <c r="C55" s="524" t="e">
        <f>+VLOOKUP(A55,#REF!,3,0)</f>
        <v>#REF!</v>
      </c>
      <c r="D55" s="524" t="e">
        <f t="shared" si="0"/>
        <v>#REF!</v>
      </c>
      <c r="E55" s="531">
        <v>7902</v>
      </c>
    </row>
    <row r="56" spans="1:8" ht="14.25" x14ac:dyDescent="0.2">
      <c r="A56" s="522" t="s">
        <v>740</v>
      </c>
      <c r="B56" s="528">
        <v>2</v>
      </c>
      <c r="C56" s="524" t="e">
        <f>+VLOOKUP(A56,#REF!,3,0)</f>
        <v>#REF!</v>
      </c>
      <c r="D56" s="524" t="e">
        <f t="shared" si="0"/>
        <v>#REF!</v>
      </c>
      <c r="E56" s="531">
        <v>0</v>
      </c>
    </row>
    <row r="57" spans="1:8" ht="14.25" x14ac:dyDescent="0.2">
      <c r="A57" s="522" t="s">
        <v>14</v>
      </c>
      <c r="B57" s="523">
        <v>3</v>
      </c>
      <c r="C57" s="524" t="e">
        <f>+VLOOKUP(A57,#REF!,3,0)</f>
        <v>#REF!</v>
      </c>
      <c r="D57" s="524" t="e">
        <f t="shared" si="0"/>
        <v>#REF!</v>
      </c>
      <c r="E57" s="531">
        <v>8166</v>
      </c>
    </row>
    <row r="58" spans="1:8" ht="14.25" x14ac:dyDescent="0.2">
      <c r="A58" s="525" t="s">
        <v>127</v>
      </c>
      <c r="B58" s="527">
        <v>4</v>
      </c>
      <c r="C58" s="524" t="e">
        <f>+VLOOKUP(A58,#REF!,3,0)</f>
        <v>#REF!</v>
      </c>
      <c r="D58" s="524" t="e">
        <f t="shared" si="0"/>
        <v>#REF!</v>
      </c>
      <c r="E58" s="531">
        <v>33896</v>
      </c>
    </row>
    <row r="59" spans="1:8" ht="14.25" x14ac:dyDescent="0.2">
      <c r="A59" s="525" t="s">
        <v>15</v>
      </c>
      <c r="B59" s="527">
        <v>8</v>
      </c>
      <c r="C59" s="524" t="e">
        <f>+VLOOKUP(A59,#REF!,3,0)</f>
        <v>#REF!</v>
      </c>
      <c r="D59" s="524" t="e">
        <f t="shared" si="0"/>
        <v>#REF!</v>
      </c>
      <c r="E59" s="531">
        <v>40173</v>
      </c>
    </row>
    <row r="60" spans="1:8" ht="14.25" x14ac:dyDescent="0.2">
      <c r="A60" s="522" t="s">
        <v>212</v>
      </c>
      <c r="B60" s="523">
        <v>9</v>
      </c>
      <c r="C60" s="524" t="e">
        <f>+VLOOKUP(A60,#REF!,3,0)</f>
        <v>#REF!</v>
      </c>
      <c r="D60" s="524" t="e">
        <f t="shared" si="0"/>
        <v>#REF!</v>
      </c>
      <c r="E60" s="531">
        <v>1839</v>
      </c>
    </row>
    <row r="61" spans="1:8" ht="14.25" x14ac:dyDescent="0.2">
      <c r="A61" s="522" t="s">
        <v>62</v>
      </c>
      <c r="B61" s="527">
        <v>8</v>
      </c>
      <c r="C61" s="524" t="e">
        <f>+VLOOKUP(A61,#REF!,3,0)</f>
        <v>#REF!</v>
      </c>
      <c r="D61" s="524" t="e">
        <f t="shared" si="0"/>
        <v>#REF!</v>
      </c>
      <c r="E61" s="531">
        <v>83644</v>
      </c>
    </row>
    <row r="62" spans="1:8" ht="14.25" x14ac:dyDescent="0.2">
      <c r="A62" s="522" t="s">
        <v>120</v>
      </c>
      <c r="B62" s="523">
        <v>8</v>
      </c>
      <c r="C62" s="524" t="e">
        <f>+VLOOKUP(A62,#REF!,3,0)</f>
        <v>#REF!</v>
      </c>
      <c r="D62" s="524" t="e">
        <f t="shared" si="0"/>
        <v>#REF!</v>
      </c>
      <c r="E62" s="531">
        <v>14990</v>
      </c>
    </row>
    <row r="63" spans="1:8" ht="14.25" x14ac:dyDescent="0.2">
      <c r="A63" s="522" t="s">
        <v>214</v>
      </c>
      <c r="B63" s="523">
        <v>3</v>
      </c>
      <c r="C63" s="524" t="e">
        <f>+VLOOKUP(A63,#REF!,3,0)</f>
        <v>#REF!</v>
      </c>
      <c r="D63" s="524" t="e">
        <f t="shared" si="0"/>
        <v>#REF!</v>
      </c>
      <c r="E63" s="531">
        <v>4909</v>
      </c>
    </row>
    <row r="64" spans="1:8" ht="14.25" x14ac:dyDescent="0.2">
      <c r="A64" s="522" t="s">
        <v>94</v>
      </c>
      <c r="B64" s="523">
        <v>2</v>
      </c>
      <c r="C64" s="524" t="e">
        <f>+VLOOKUP(A64,#REF!,3,0)</f>
        <v>#REF!</v>
      </c>
      <c r="D64" s="524" t="e">
        <f t="shared" si="0"/>
        <v>#REF!</v>
      </c>
      <c r="E64" s="531">
        <v>5946</v>
      </c>
    </row>
    <row r="65" spans="1:5" ht="14.25" x14ac:dyDescent="0.2">
      <c r="A65" s="525" t="s">
        <v>138</v>
      </c>
      <c r="B65" s="527">
        <v>5</v>
      </c>
      <c r="C65" s="524" t="e">
        <f>+VLOOKUP(A65,#REF!,3,0)</f>
        <v>#REF!</v>
      </c>
      <c r="D65" s="524" t="e">
        <f t="shared" si="0"/>
        <v>#REF!</v>
      </c>
      <c r="E65" s="531">
        <v>74920</v>
      </c>
    </row>
    <row r="66" spans="1:5" ht="14.25" x14ac:dyDescent="0.2">
      <c r="A66" s="525" t="s">
        <v>61</v>
      </c>
      <c r="B66" s="527">
        <v>5</v>
      </c>
      <c r="C66" s="524" t="e">
        <f>+VLOOKUP(A66,#REF!,3,0)</f>
        <v>#REF!</v>
      </c>
      <c r="D66" s="524" t="e">
        <f t="shared" ref="D66:D129" si="1">+C66-B66</f>
        <v>#REF!</v>
      </c>
      <c r="E66" s="531">
        <v>165773</v>
      </c>
    </row>
    <row r="67" spans="1:5" ht="14.25" x14ac:dyDescent="0.2">
      <c r="A67" s="522" t="s">
        <v>143</v>
      </c>
      <c r="B67" s="523">
        <v>2</v>
      </c>
      <c r="C67" s="524" t="e">
        <f>+VLOOKUP(A67,#REF!,3,0)</f>
        <v>#REF!</v>
      </c>
      <c r="D67" s="524" t="e">
        <f t="shared" si="1"/>
        <v>#REF!</v>
      </c>
      <c r="E67" s="531">
        <v>8152</v>
      </c>
    </row>
    <row r="68" spans="1:5" ht="14.25" x14ac:dyDescent="0.2">
      <c r="A68" s="522" t="s">
        <v>133</v>
      </c>
      <c r="B68" s="523">
        <v>3</v>
      </c>
      <c r="C68" s="524" t="e">
        <f>+VLOOKUP(A68,#REF!,3,0)</f>
        <v>#REF!</v>
      </c>
      <c r="D68" s="524" t="e">
        <f t="shared" si="1"/>
        <v>#REF!</v>
      </c>
      <c r="E68" s="531">
        <v>4933</v>
      </c>
    </row>
    <row r="69" spans="1:5" ht="14.25" x14ac:dyDescent="0.2">
      <c r="A69" s="525" t="s">
        <v>63</v>
      </c>
      <c r="B69" s="527">
        <v>7</v>
      </c>
      <c r="C69" s="524" t="e">
        <f>+VLOOKUP(A69,#REF!,3,0)</f>
        <v>#REF!</v>
      </c>
      <c r="D69" s="524" t="e">
        <f t="shared" si="1"/>
        <v>#REF!</v>
      </c>
      <c r="E69" s="531">
        <v>269406</v>
      </c>
    </row>
    <row r="70" spans="1:5" ht="14.25" x14ac:dyDescent="0.2">
      <c r="A70" s="522" t="s">
        <v>16</v>
      </c>
      <c r="B70" s="523">
        <v>3</v>
      </c>
      <c r="C70" s="524" t="e">
        <f>+VLOOKUP(A70,#REF!,3,0)</f>
        <v>#REF!</v>
      </c>
      <c r="D70" s="524" t="e">
        <f t="shared" si="1"/>
        <v>#REF!</v>
      </c>
      <c r="E70" s="531">
        <v>8522</v>
      </c>
    </row>
    <row r="71" spans="1:5" ht="14.25" x14ac:dyDescent="0.2">
      <c r="A71" s="525" t="s">
        <v>17</v>
      </c>
      <c r="B71" s="527">
        <v>4</v>
      </c>
      <c r="C71" s="524" t="e">
        <f>+VLOOKUP(A71,#REF!,3,0)</f>
        <v>#REF!</v>
      </c>
      <c r="D71" s="524" t="e">
        <f t="shared" si="1"/>
        <v>#REF!</v>
      </c>
      <c r="E71" s="531">
        <v>40104</v>
      </c>
    </row>
    <row r="72" spans="1:5" ht="14.25" x14ac:dyDescent="0.2">
      <c r="A72" s="522" t="s">
        <v>18</v>
      </c>
      <c r="B72" s="523">
        <v>2</v>
      </c>
      <c r="C72" s="524" t="e">
        <f>+VLOOKUP(A72,#REF!,3,0)</f>
        <v>#REF!</v>
      </c>
      <c r="D72" s="524" t="e">
        <f t="shared" si="1"/>
        <v>#REF!</v>
      </c>
      <c r="E72" s="531">
        <v>4917</v>
      </c>
    </row>
    <row r="73" spans="1:5" ht="14.25" x14ac:dyDescent="0.2">
      <c r="A73" s="522" t="s">
        <v>0</v>
      </c>
      <c r="B73" s="523">
        <v>3</v>
      </c>
      <c r="C73" s="524" t="e">
        <f>+VLOOKUP(A73,#REF!,3,0)</f>
        <v>#REF!</v>
      </c>
      <c r="D73" s="524" t="e">
        <f t="shared" si="1"/>
        <v>#REF!</v>
      </c>
      <c r="E73" s="531">
        <v>10616</v>
      </c>
    </row>
    <row r="74" spans="1:5" ht="14.25" x14ac:dyDescent="0.2">
      <c r="A74" s="47" t="s">
        <v>215</v>
      </c>
      <c r="B74" s="527">
        <v>3</v>
      </c>
      <c r="C74" s="524" t="e">
        <f>+VLOOKUP(A74,#REF!,3,0)</f>
        <v>#REF!</v>
      </c>
      <c r="D74" s="524" t="e">
        <f t="shared" si="1"/>
        <v>#REF!</v>
      </c>
      <c r="E74" s="531">
        <v>31248</v>
      </c>
    </row>
    <row r="75" spans="1:5" ht="14.25" x14ac:dyDescent="0.2">
      <c r="A75" s="525" t="s">
        <v>122</v>
      </c>
      <c r="B75" s="527">
        <v>3</v>
      </c>
      <c r="C75" s="524" t="e">
        <f>+VLOOKUP(A75,#REF!,3,0)</f>
        <v>#REF!</v>
      </c>
      <c r="D75" s="524" t="e">
        <f t="shared" si="1"/>
        <v>#REF!</v>
      </c>
      <c r="E75" s="531">
        <v>19779</v>
      </c>
    </row>
    <row r="76" spans="1:5" ht="14.25" x14ac:dyDescent="0.2">
      <c r="A76" s="1045" t="s">
        <v>741</v>
      </c>
      <c r="B76" s="527">
        <v>4</v>
      </c>
      <c r="C76" s="524" t="e">
        <f>+VLOOKUP(A76,#REF!,3,0)</f>
        <v>#REF!</v>
      </c>
      <c r="D76" s="524" t="e">
        <f t="shared" si="1"/>
        <v>#REF!</v>
      </c>
      <c r="E76" s="531">
        <v>18829</v>
      </c>
    </row>
    <row r="77" spans="1:5" ht="14.25" x14ac:dyDescent="0.2">
      <c r="A77" s="525" t="s">
        <v>42</v>
      </c>
      <c r="B77" s="527">
        <v>3</v>
      </c>
      <c r="C77" s="524" t="e">
        <f>+VLOOKUP(A77,#REF!,3,0)</f>
        <v>#REF!</v>
      </c>
      <c r="D77" s="524" t="e">
        <f t="shared" si="1"/>
        <v>#REF!</v>
      </c>
      <c r="E77" s="531">
        <v>24722</v>
      </c>
    </row>
    <row r="78" spans="1:5" ht="14.25" x14ac:dyDescent="0.2">
      <c r="A78" s="525" t="s">
        <v>131</v>
      </c>
      <c r="B78" s="523">
        <v>3</v>
      </c>
      <c r="C78" s="524" t="e">
        <f>+VLOOKUP(A78,#REF!,3,0)</f>
        <v>#REF!</v>
      </c>
      <c r="D78" s="524" t="e">
        <f t="shared" si="1"/>
        <v>#REF!</v>
      </c>
      <c r="E78" s="531">
        <v>4921</v>
      </c>
    </row>
    <row r="79" spans="1:5" ht="14.25" x14ac:dyDescent="0.2">
      <c r="A79" s="522" t="s">
        <v>124</v>
      </c>
      <c r="B79" s="523">
        <v>4</v>
      </c>
      <c r="C79" s="524" t="e">
        <f>+VLOOKUP(A79,#REF!,3,0)</f>
        <v>#REF!</v>
      </c>
      <c r="D79" s="524" t="e">
        <f t="shared" si="1"/>
        <v>#REF!</v>
      </c>
      <c r="E79" s="531">
        <v>0</v>
      </c>
    </row>
    <row r="80" spans="1:5" ht="14.25" x14ac:dyDescent="0.2">
      <c r="A80" s="525" t="s">
        <v>68</v>
      </c>
      <c r="B80" s="527">
        <v>5</v>
      </c>
      <c r="C80" s="524" t="e">
        <f>+VLOOKUP(A80,#REF!,3,0)</f>
        <v>#REF!</v>
      </c>
      <c r="D80" s="524" t="e">
        <f t="shared" si="1"/>
        <v>#REF!</v>
      </c>
      <c r="E80" s="531">
        <v>31855</v>
      </c>
    </row>
    <row r="81" spans="1:5" ht="14.25" x14ac:dyDescent="0.2">
      <c r="A81" s="5" t="s">
        <v>680</v>
      </c>
      <c r="B81" s="527">
        <v>7</v>
      </c>
      <c r="C81" s="524" t="e">
        <f>+VLOOKUP(A81,#REF!,3,0)</f>
        <v>#REF!</v>
      </c>
      <c r="D81" s="524" t="e">
        <f t="shared" si="1"/>
        <v>#REF!</v>
      </c>
      <c r="E81" s="531">
        <v>24898</v>
      </c>
    </row>
    <row r="82" spans="1:5" ht="14.25" x14ac:dyDescent="0.2">
      <c r="A82" s="522" t="s">
        <v>21</v>
      </c>
      <c r="B82" s="523">
        <v>8</v>
      </c>
      <c r="C82" s="524" t="e">
        <f>+VLOOKUP(A82,#REF!,3,0)</f>
        <v>#REF!</v>
      </c>
      <c r="D82" s="524" t="e">
        <f t="shared" si="1"/>
        <v>#REF!</v>
      </c>
      <c r="E82" s="531">
        <v>1214</v>
      </c>
    </row>
    <row r="83" spans="1:5" ht="14.25" x14ac:dyDescent="0.2">
      <c r="A83" s="522" t="s">
        <v>20</v>
      </c>
      <c r="B83" s="523">
        <v>3</v>
      </c>
      <c r="C83" s="524" t="e">
        <f>+VLOOKUP(A83,#REF!,3,0)</f>
        <v>#REF!</v>
      </c>
      <c r="D83" s="524" t="e">
        <f t="shared" si="1"/>
        <v>#REF!</v>
      </c>
      <c r="E83" s="531">
        <v>15838</v>
      </c>
    </row>
    <row r="84" spans="1:5" ht="14.25" x14ac:dyDescent="0.2">
      <c r="A84" s="525" t="s">
        <v>125</v>
      </c>
      <c r="B84" s="527">
        <v>6</v>
      </c>
      <c r="C84" s="524" t="e">
        <f>+VLOOKUP(A84,#REF!,3,0)</f>
        <v>#REF!</v>
      </c>
      <c r="D84" s="524" t="e">
        <f t="shared" si="1"/>
        <v>#REF!</v>
      </c>
      <c r="E84" s="531">
        <v>17272</v>
      </c>
    </row>
    <row r="85" spans="1:5" ht="14.25" x14ac:dyDescent="0.2">
      <c r="A85" s="522" t="s">
        <v>129</v>
      </c>
      <c r="B85" s="523">
        <v>4</v>
      </c>
      <c r="C85" s="524" t="e">
        <f>+VLOOKUP(A85,#REF!,3,0)</f>
        <v>#REF!</v>
      </c>
      <c r="D85" s="524" t="e">
        <f t="shared" si="1"/>
        <v>#REF!</v>
      </c>
      <c r="E85" s="531">
        <v>8767</v>
      </c>
    </row>
    <row r="86" spans="1:5" ht="14.25" x14ac:dyDescent="0.2">
      <c r="A86" s="522" t="s">
        <v>64</v>
      </c>
      <c r="B86" s="527">
        <v>5</v>
      </c>
      <c r="C86" s="524" t="e">
        <f>+VLOOKUP(A86,#REF!,3,0)</f>
        <v>#REF!</v>
      </c>
      <c r="D86" s="524" t="e">
        <f t="shared" si="1"/>
        <v>#REF!</v>
      </c>
      <c r="E86" s="531">
        <v>693217</v>
      </c>
    </row>
    <row r="87" spans="1:5" ht="14.25" x14ac:dyDescent="0.2">
      <c r="A87" s="522" t="s">
        <v>91</v>
      </c>
      <c r="B87" s="523">
        <v>2</v>
      </c>
      <c r="C87" s="524" t="e">
        <f>+VLOOKUP(A87,#REF!,3,0)</f>
        <v>#REF!</v>
      </c>
      <c r="D87" s="524" t="e">
        <f t="shared" si="1"/>
        <v>#REF!</v>
      </c>
      <c r="E87" s="531">
        <v>11931</v>
      </c>
    </row>
    <row r="88" spans="1:5" ht="14.25" x14ac:dyDescent="0.2">
      <c r="A88" s="522" t="s">
        <v>89</v>
      </c>
      <c r="B88" s="523">
        <v>2</v>
      </c>
      <c r="C88" s="524" t="e">
        <f>+VLOOKUP(A88,#REF!,3,0)</f>
        <v>#REF!</v>
      </c>
      <c r="D88" s="524" t="e">
        <f t="shared" si="1"/>
        <v>#REF!</v>
      </c>
      <c r="E88" s="531">
        <v>8919</v>
      </c>
    </row>
    <row r="89" spans="1:5" ht="14.25" x14ac:dyDescent="0.2">
      <c r="A89" s="522" t="s">
        <v>484</v>
      </c>
      <c r="B89" s="523">
        <v>2</v>
      </c>
      <c r="C89" s="524" t="e">
        <f>+VLOOKUP(A89,#REF!,3,0)</f>
        <v>#REF!</v>
      </c>
      <c r="D89" s="524" t="e">
        <f t="shared" si="1"/>
        <v>#REF!</v>
      </c>
      <c r="E89" s="531">
        <v>2656</v>
      </c>
    </row>
    <row r="90" spans="1:5" ht="14.25" x14ac:dyDescent="0.2">
      <c r="A90" s="522" t="s">
        <v>495</v>
      </c>
      <c r="B90" s="523">
        <v>9</v>
      </c>
      <c r="C90" s="524" t="e">
        <f>+VLOOKUP(A90,#REF!,3,0)</f>
        <v>#REF!</v>
      </c>
      <c r="D90" s="524" t="e">
        <f t="shared" si="1"/>
        <v>#REF!</v>
      </c>
      <c r="E90" s="531">
        <v>11756</v>
      </c>
    </row>
    <row r="91" spans="1:5" ht="14.25" x14ac:dyDescent="0.2">
      <c r="A91" s="522" t="s">
        <v>82</v>
      </c>
      <c r="B91" s="523">
        <v>2</v>
      </c>
      <c r="C91" s="524" t="e">
        <f>+VLOOKUP(A91,#REF!,3,0)</f>
        <v>#REF!</v>
      </c>
      <c r="D91" s="524" t="e">
        <f t="shared" si="1"/>
        <v>#REF!</v>
      </c>
      <c r="E91" s="531">
        <v>8549</v>
      </c>
    </row>
    <row r="92" spans="1:5" ht="14.25" x14ac:dyDescent="0.2">
      <c r="A92" s="522" t="s">
        <v>22</v>
      </c>
      <c r="B92" s="523">
        <v>2</v>
      </c>
      <c r="C92" s="524" t="e">
        <f>+VLOOKUP(A92,#REF!,3,0)</f>
        <v>#REF!</v>
      </c>
      <c r="D92" s="524" t="e">
        <f t="shared" si="1"/>
        <v>#REF!</v>
      </c>
      <c r="E92" s="531">
        <v>6234</v>
      </c>
    </row>
    <row r="93" spans="1:5" ht="14.25" x14ac:dyDescent="0.2">
      <c r="A93" s="1" t="s">
        <v>1502</v>
      </c>
      <c r="B93" s="523">
        <v>3</v>
      </c>
      <c r="C93" s="524" t="e">
        <f>+VLOOKUP(A93,#REF!,3,0)</f>
        <v>#REF!</v>
      </c>
      <c r="D93" s="524" t="e">
        <f t="shared" si="1"/>
        <v>#REF!</v>
      </c>
      <c r="E93" s="531">
        <v>3662</v>
      </c>
    </row>
    <row r="94" spans="1:5" ht="14.25" x14ac:dyDescent="0.2">
      <c r="A94" s="522" t="s">
        <v>25</v>
      </c>
      <c r="B94" s="523">
        <v>3</v>
      </c>
      <c r="C94" s="524" t="e">
        <f>+VLOOKUP(A94,#REF!,3,0)</f>
        <v>#REF!</v>
      </c>
      <c r="D94" s="524" t="e">
        <f t="shared" si="1"/>
        <v>#REF!</v>
      </c>
      <c r="E94" s="531">
        <v>2414</v>
      </c>
    </row>
    <row r="95" spans="1:5" ht="14.25" x14ac:dyDescent="0.2">
      <c r="A95" s="522" t="s">
        <v>26</v>
      </c>
      <c r="B95" s="523">
        <v>9</v>
      </c>
      <c r="C95" s="524" t="e">
        <f>+VLOOKUP(A95,#REF!,3,0)</f>
        <v>#REF!</v>
      </c>
      <c r="D95" s="524" t="e">
        <f t="shared" si="1"/>
        <v>#REF!</v>
      </c>
      <c r="E95" s="531">
        <v>5198</v>
      </c>
    </row>
    <row r="96" spans="1:5" ht="14.25" x14ac:dyDescent="0.2">
      <c r="A96" s="522" t="s">
        <v>90</v>
      </c>
      <c r="B96" s="523">
        <v>4</v>
      </c>
      <c r="C96" s="524" t="e">
        <f>+VLOOKUP(A96,#REF!,3,0)</f>
        <v>#REF!</v>
      </c>
      <c r="D96" s="524" t="e">
        <f t="shared" si="1"/>
        <v>#REF!</v>
      </c>
      <c r="E96" s="531">
        <v>8128</v>
      </c>
    </row>
    <row r="97" spans="1:5" ht="14.25" x14ac:dyDescent="0.2">
      <c r="A97" s="522" t="s">
        <v>70</v>
      </c>
      <c r="B97" s="523">
        <v>7</v>
      </c>
      <c r="C97" s="524" t="e">
        <f>+VLOOKUP(A97,#REF!,3,0)</f>
        <v>#REF!</v>
      </c>
      <c r="D97" s="524" t="e">
        <f t="shared" si="1"/>
        <v>#REF!</v>
      </c>
      <c r="E97" s="531">
        <v>11535</v>
      </c>
    </row>
    <row r="98" spans="1:5" ht="14.25" x14ac:dyDescent="0.2">
      <c r="A98" s="522" t="s">
        <v>219</v>
      </c>
      <c r="B98" s="523">
        <v>4</v>
      </c>
      <c r="C98" s="524" t="e">
        <f>+VLOOKUP(A98,#REF!,3,0)</f>
        <v>#REF!</v>
      </c>
      <c r="D98" s="524" t="e">
        <f t="shared" si="1"/>
        <v>#REF!</v>
      </c>
      <c r="E98" s="531">
        <v>2777</v>
      </c>
    </row>
    <row r="99" spans="1:5" ht="14.25" x14ac:dyDescent="0.2">
      <c r="A99" s="522" t="s">
        <v>27</v>
      </c>
      <c r="B99" s="523">
        <v>2</v>
      </c>
      <c r="C99" s="524" t="e">
        <f>+VLOOKUP(A99,#REF!,3,0)</f>
        <v>#REF!</v>
      </c>
      <c r="D99" s="524" t="e">
        <f t="shared" si="1"/>
        <v>#REF!</v>
      </c>
      <c r="E99" s="531">
        <v>16566</v>
      </c>
    </row>
    <row r="100" spans="1:5" ht="14.25" x14ac:dyDescent="0.2">
      <c r="A100" s="522" t="s">
        <v>93</v>
      </c>
      <c r="B100" s="523">
        <v>2</v>
      </c>
      <c r="C100" s="524" t="e">
        <f>+VLOOKUP(A100,#REF!,3,0)</f>
        <v>#REF!</v>
      </c>
      <c r="D100" s="524" t="e">
        <f t="shared" si="1"/>
        <v>#REF!</v>
      </c>
      <c r="E100" s="531">
        <v>14201</v>
      </c>
    </row>
    <row r="101" spans="1:5" ht="14.25" x14ac:dyDescent="0.2">
      <c r="A101" s="525" t="s">
        <v>87</v>
      </c>
      <c r="B101" s="527">
        <v>8</v>
      </c>
      <c r="C101" s="524" t="e">
        <f>+VLOOKUP(A101,#REF!,3,0)</f>
        <v>#REF!</v>
      </c>
      <c r="D101" s="524" t="e">
        <f t="shared" si="1"/>
        <v>#REF!</v>
      </c>
      <c r="E101" s="531">
        <v>78797</v>
      </c>
    </row>
    <row r="102" spans="1:5" ht="14.25" x14ac:dyDescent="0.2">
      <c r="A102" s="525" t="s">
        <v>109</v>
      </c>
      <c r="B102" s="527">
        <v>3</v>
      </c>
      <c r="C102" s="524" t="e">
        <f>+VLOOKUP(A102,#REF!,3,0)</f>
        <v>#REF!</v>
      </c>
      <c r="D102" s="524" t="e">
        <f t="shared" si="1"/>
        <v>#REF!</v>
      </c>
      <c r="E102" s="531">
        <v>16250</v>
      </c>
    </row>
    <row r="103" spans="1:5" ht="14.25" x14ac:dyDescent="0.2">
      <c r="A103" s="522" t="s">
        <v>23</v>
      </c>
      <c r="B103" s="523">
        <v>4</v>
      </c>
      <c r="C103" s="524" t="e">
        <f>+VLOOKUP(A103,#REF!,3,0)</f>
        <v>#REF!</v>
      </c>
      <c r="D103" s="524" t="e">
        <f t="shared" si="1"/>
        <v>#REF!</v>
      </c>
      <c r="E103" s="531">
        <v>13471</v>
      </c>
    </row>
    <row r="104" spans="1:5" ht="14.25" x14ac:dyDescent="0.2">
      <c r="A104" s="522" t="s">
        <v>137</v>
      </c>
      <c r="B104" s="523">
        <v>10</v>
      </c>
      <c r="C104" s="524" t="e">
        <f>+VLOOKUP(A104,#REF!,3,0)</f>
        <v>#REF!</v>
      </c>
      <c r="D104" s="524" t="e">
        <f t="shared" si="1"/>
        <v>#REF!</v>
      </c>
      <c r="E104" s="531">
        <v>1789</v>
      </c>
    </row>
    <row r="105" spans="1:5" ht="14.25" x14ac:dyDescent="0.2">
      <c r="A105" s="522" t="s">
        <v>220</v>
      </c>
      <c r="B105" s="523">
        <v>8</v>
      </c>
      <c r="C105" s="524" t="e">
        <f>+VLOOKUP(A105,#REF!,3,0)</f>
        <v>#REF!</v>
      </c>
      <c r="D105" s="524" t="e">
        <f t="shared" si="1"/>
        <v>#REF!</v>
      </c>
      <c r="E105" s="531">
        <v>2348</v>
      </c>
    </row>
    <row r="106" spans="1:5" ht="14.25" x14ac:dyDescent="0.2">
      <c r="A106" s="525" t="s">
        <v>73</v>
      </c>
      <c r="B106" s="527">
        <v>5</v>
      </c>
      <c r="C106" s="524" t="e">
        <f>+VLOOKUP(A106,#REF!,3,0)</f>
        <v>#REF!</v>
      </c>
      <c r="D106" s="524" t="e">
        <f t="shared" si="1"/>
        <v>#REF!</v>
      </c>
      <c r="E106" s="531">
        <v>42703</v>
      </c>
    </row>
    <row r="107" spans="1:5" ht="14.25" x14ac:dyDescent="0.2">
      <c r="A107" s="522" t="s">
        <v>222</v>
      </c>
      <c r="B107" s="523">
        <v>9</v>
      </c>
      <c r="C107" s="524" t="e">
        <f>+VLOOKUP(A107,#REF!,3,0)</f>
        <v>#REF!</v>
      </c>
      <c r="D107" s="524" t="e">
        <f t="shared" si="1"/>
        <v>#REF!</v>
      </c>
      <c r="E107" s="531">
        <v>5104</v>
      </c>
    </row>
    <row r="108" spans="1:5" ht="14.25" x14ac:dyDescent="0.2">
      <c r="A108" s="525" t="s">
        <v>28</v>
      </c>
      <c r="B108" s="527">
        <v>4</v>
      </c>
      <c r="C108" s="524" t="e">
        <f>+VLOOKUP(A108,#REF!,3,0)</f>
        <v>#REF!</v>
      </c>
      <c r="D108" s="524" t="e">
        <f t="shared" si="1"/>
        <v>#REF!</v>
      </c>
      <c r="E108" s="531">
        <v>66824</v>
      </c>
    </row>
    <row r="109" spans="1:5" ht="14.25" x14ac:dyDescent="0.2">
      <c r="A109" s="522" t="s">
        <v>81</v>
      </c>
      <c r="B109" s="523">
        <v>1</v>
      </c>
      <c r="C109" s="524" t="e">
        <f>+VLOOKUP(A109,#REF!,3,0)</f>
        <v>#REF!</v>
      </c>
      <c r="D109" s="524" t="e">
        <f t="shared" si="1"/>
        <v>#REF!</v>
      </c>
      <c r="E109" s="531">
        <v>6587</v>
      </c>
    </row>
    <row r="110" spans="1:5" ht="14.25" x14ac:dyDescent="0.2">
      <c r="A110" s="1045" t="s">
        <v>119</v>
      </c>
      <c r="B110" s="523">
        <v>8</v>
      </c>
      <c r="C110" s="524" t="e">
        <f>+VLOOKUP(A110,#REF!,3,0)</f>
        <v>#REF!</v>
      </c>
      <c r="D110" s="524" t="e">
        <f t="shared" si="1"/>
        <v>#REF!</v>
      </c>
      <c r="E110" s="531">
        <v>21429</v>
      </c>
    </row>
    <row r="111" spans="1:5" ht="14.25" x14ac:dyDescent="0.2">
      <c r="A111" s="522" t="s">
        <v>739</v>
      </c>
      <c r="B111" s="528">
        <v>2</v>
      </c>
      <c r="C111" s="524" t="e">
        <f>+VLOOKUP(A111,#REF!,3,0)</f>
        <v>#REF!</v>
      </c>
      <c r="D111" s="524" t="e">
        <f t="shared" si="1"/>
        <v>#REF!</v>
      </c>
      <c r="E111" s="531">
        <v>0</v>
      </c>
    </row>
    <row r="112" spans="1:5" ht="14.25" x14ac:dyDescent="0.2">
      <c r="A112" s="522" t="s">
        <v>223</v>
      </c>
      <c r="B112" s="523">
        <v>2</v>
      </c>
      <c r="C112" s="524" t="e">
        <f>+VLOOKUP(A112,#REF!,3,0)</f>
        <v>#REF!</v>
      </c>
      <c r="D112" s="524" t="e">
        <f t="shared" si="1"/>
        <v>#REF!</v>
      </c>
      <c r="E112" s="531">
        <v>8440</v>
      </c>
    </row>
    <row r="113" spans="1:5" ht="14.25" x14ac:dyDescent="0.2">
      <c r="A113" s="522" t="s">
        <v>224</v>
      </c>
      <c r="B113" s="523">
        <v>2</v>
      </c>
      <c r="C113" s="524" t="e">
        <f>+VLOOKUP(A113,#REF!,3,0)</f>
        <v>#REF!</v>
      </c>
      <c r="D113" s="524" t="e">
        <f t="shared" si="1"/>
        <v>#REF!</v>
      </c>
      <c r="E113" s="531">
        <v>18302</v>
      </c>
    </row>
    <row r="114" spans="1:5" ht="14.25" x14ac:dyDescent="0.2">
      <c r="A114" s="522" t="s">
        <v>148</v>
      </c>
      <c r="B114" s="523">
        <v>5</v>
      </c>
      <c r="C114" s="524" t="e">
        <f>+VLOOKUP(A114,#REF!,3,0)</f>
        <v>#REF!</v>
      </c>
      <c r="D114" s="524" t="e">
        <f t="shared" si="1"/>
        <v>#REF!</v>
      </c>
      <c r="E114" s="531">
        <v>1473</v>
      </c>
    </row>
    <row r="115" spans="1:5" ht="14.25" x14ac:dyDescent="0.2">
      <c r="A115" s="525" t="s">
        <v>67</v>
      </c>
      <c r="B115" s="527">
        <v>5</v>
      </c>
      <c r="C115" s="524" t="e">
        <f>+VLOOKUP(A115,#REF!,3,0)</f>
        <v>#REF!</v>
      </c>
      <c r="D115" s="524" t="e">
        <f t="shared" si="1"/>
        <v>#REF!</v>
      </c>
      <c r="E115" s="531">
        <v>24787</v>
      </c>
    </row>
    <row r="116" spans="1:5" ht="14.25" x14ac:dyDescent="0.2">
      <c r="A116" s="525" t="s">
        <v>104</v>
      </c>
      <c r="B116" s="527">
        <v>8</v>
      </c>
      <c r="C116" s="524" t="e">
        <f>+VLOOKUP(A116,#REF!,3,0)</f>
        <v>#REF!</v>
      </c>
      <c r="D116" s="524" t="e">
        <f t="shared" si="1"/>
        <v>#REF!</v>
      </c>
      <c r="E116" s="531">
        <v>48788</v>
      </c>
    </row>
    <row r="117" spans="1:5" ht="14.25" x14ac:dyDescent="0.2">
      <c r="A117" s="525" t="s">
        <v>225</v>
      </c>
      <c r="B117" s="527">
        <v>1</v>
      </c>
      <c r="C117" s="524" t="e">
        <f>+VLOOKUP(A117,#REF!,3,0)</f>
        <v>#REF!</v>
      </c>
      <c r="D117" s="524" t="e">
        <f t="shared" si="1"/>
        <v>#REF!</v>
      </c>
      <c r="E117" s="531">
        <v>24290</v>
      </c>
    </row>
    <row r="118" spans="1:5" ht="14.25" x14ac:dyDescent="0.2">
      <c r="A118" s="522" t="s">
        <v>78</v>
      </c>
      <c r="B118" s="523">
        <v>8</v>
      </c>
      <c r="C118" s="524" t="e">
        <f>+VLOOKUP(A118,#REF!,3,0)</f>
        <v>#REF!</v>
      </c>
      <c r="D118" s="524" t="e">
        <f t="shared" si="1"/>
        <v>#REF!</v>
      </c>
      <c r="E118" s="531">
        <v>7584</v>
      </c>
    </row>
    <row r="119" spans="1:5" ht="14.25" x14ac:dyDescent="0.2">
      <c r="A119" s="522" t="s">
        <v>142</v>
      </c>
      <c r="B119" s="523">
        <v>2</v>
      </c>
      <c r="C119" s="524" t="e">
        <f>+VLOOKUP(A119,#REF!,3,0)</f>
        <v>#REF!</v>
      </c>
      <c r="D119" s="524" t="e">
        <f t="shared" si="1"/>
        <v>#REF!</v>
      </c>
      <c r="E119" s="531">
        <v>3297</v>
      </c>
    </row>
    <row r="120" spans="1:5" ht="14.25" x14ac:dyDescent="0.2">
      <c r="A120" s="522" t="s">
        <v>140</v>
      </c>
      <c r="B120" s="523">
        <v>7</v>
      </c>
      <c r="C120" s="524" t="e">
        <f>+VLOOKUP(A120,#REF!,3,0)</f>
        <v>#REF!</v>
      </c>
      <c r="D120" s="524" t="e">
        <f t="shared" si="1"/>
        <v>#REF!</v>
      </c>
      <c r="E120" s="531">
        <v>1462</v>
      </c>
    </row>
    <row r="121" spans="1:5" ht="14.25" x14ac:dyDescent="0.2">
      <c r="A121" s="522" t="s">
        <v>118</v>
      </c>
      <c r="B121" s="523">
        <v>9</v>
      </c>
      <c r="C121" s="524" t="e">
        <f>+VLOOKUP(A121,#REF!,3,0)</f>
        <v>#REF!</v>
      </c>
      <c r="D121" s="524" t="e">
        <f t="shared" si="1"/>
        <v>#REF!</v>
      </c>
      <c r="E121" s="531">
        <v>6371</v>
      </c>
    </row>
    <row r="122" spans="1:5" ht="14.25" x14ac:dyDescent="0.2">
      <c r="A122" s="522" t="s">
        <v>33</v>
      </c>
      <c r="B122" s="523">
        <v>2</v>
      </c>
      <c r="C122" s="524" t="e">
        <f>+VLOOKUP(A122,#REF!,3,0)</f>
        <v>#REF!</v>
      </c>
      <c r="D122" s="524" t="e">
        <f t="shared" si="1"/>
        <v>#REF!</v>
      </c>
      <c r="E122" s="531">
        <v>3105</v>
      </c>
    </row>
    <row r="123" spans="1:5" ht="14.25" x14ac:dyDescent="0.2">
      <c r="A123" s="522" t="s">
        <v>226</v>
      </c>
      <c r="B123" s="523">
        <v>5</v>
      </c>
      <c r="C123" s="524" t="e">
        <f>+VLOOKUP(A123,#REF!,3,0)</f>
        <v>#REF!</v>
      </c>
      <c r="D123" s="524" t="e">
        <f t="shared" si="1"/>
        <v>#REF!</v>
      </c>
      <c r="E123" s="531">
        <v>2594</v>
      </c>
    </row>
    <row r="124" spans="1:5" ht="14.25" x14ac:dyDescent="0.2">
      <c r="A124" s="525" t="s">
        <v>227</v>
      </c>
      <c r="B124" s="527">
        <v>5</v>
      </c>
      <c r="C124" s="524" t="e">
        <f>+VLOOKUP(A124,#REF!,3,0)</f>
        <v>#REF!</v>
      </c>
      <c r="D124" s="524" t="e">
        <f t="shared" si="1"/>
        <v>#REF!</v>
      </c>
      <c r="E124" s="531">
        <v>27259</v>
      </c>
    </row>
    <row r="125" spans="1:5" ht="14.25" x14ac:dyDescent="0.2">
      <c r="A125" s="522" t="s">
        <v>228</v>
      </c>
      <c r="B125" s="523">
        <v>5</v>
      </c>
      <c r="C125" s="524" t="e">
        <f>+VLOOKUP(A125,#REF!,3,0)</f>
        <v>#REF!</v>
      </c>
      <c r="D125" s="524" t="e">
        <f t="shared" si="1"/>
        <v>#REF!</v>
      </c>
      <c r="E125" s="531">
        <v>1443</v>
      </c>
    </row>
    <row r="126" spans="1:5" ht="14.25" x14ac:dyDescent="0.2">
      <c r="A126" s="522" t="s">
        <v>34</v>
      </c>
      <c r="B126" s="523">
        <v>2</v>
      </c>
      <c r="C126" s="524" t="e">
        <f>+VLOOKUP(A126,#REF!,3,0)</f>
        <v>#REF!</v>
      </c>
      <c r="D126" s="524" t="e">
        <f t="shared" si="1"/>
        <v>#REF!</v>
      </c>
      <c r="E126" s="531">
        <v>10950</v>
      </c>
    </row>
    <row r="127" spans="1:5" ht="14.25" x14ac:dyDescent="0.2">
      <c r="A127" s="525" t="s">
        <v>30</v>
      </c>
      <c r="B127" s="527">
        <v>5</v>
      </c>
      <c r="C127" s="524" t="e">
        <f>+VLOOKUP(A127,#REF!,3,0)</f>
        <v>#REF!</v>
      </c>
      <c r="D127" s="524" t="e">
        <f t="shared" si="1"/>
        <v>#REF!</v>
      </c>
      <c r="E127" s="531">
        <v>20987</v>
      </c>
    </row>
    <row r="128" spans="1:5" ht="14.25" x14ac:dyDescent="0.2">
      <c r="A128" s="522" t="s">
        <v>130</v>
      </c>
      <c r="B128" s="523">
        <v>4</v>
      </c>
      <c r="C128" s="524" t="e">
        <f>+VLOOKUP(A128,#REF!,3,0)</f>
        <v>#REF!</v>
      </c>
      <c r="D128" s="524" t="e">
        <f t="shared" si="1"/>
        <v>#REF!</v>
      </c>
      <c r="E128" s="531">
        <v>4850</v>
      </c>
    </row>
    <row r="129" spans="1:5" ht="14.25" x14ac:dyDescent="0.2">
      <c r="A129" s="522" t="s">
        <v>32</v>
      </c>
      <c r="B129" s="523">
        <v>2</v>
      </c>
      <c r="C129" s="524" t="e">
        <f>+VLOOKUP(A129,#REF!,3,0)</f>
        <v>#REF!</v>
      </c>
      <c r="D129" s="524" t="e">
        <f t="shared" si="1"/>
        <v>#REF!</v>
      </c>
      <c r="E129" s="531">
        <v>6521</v>
      </c>
    </row>
    <row r="130" spans="1:5" ht="14.25" x14ac:dyDescent="0.2">
      <c r="A130" s="525" t="s">
        <v>230</v>
      </c>
      <c r="B130" s="527">
        <v>5</v>
      </c>
      <c r="C130" s="524" t="e">
        <f>+VLOOKUP(A130,#REF!,3,0)</f>
        <v>#REF!</v>
      </c>
      <c r="D130" s="524" t="e">
        <f t="shared" ref="D130:D193" si="2">+C130-B130</f>
        <v>#REF!</v>
      </c>
      <c r="E130" s="531">
        <v>48398</v>
      </c>
    </row>
    <row r="131" spans="1:5" ht="14.25" x14ac:dyDescent="0.2">
      <c r="A131" s="522" t="s">
        <v>105</v>
      </c>
      <c r="B131" s="523">
        <v>2</v>
      </c>
      <c r="C131" s="524" t="e">
        <f>+VLOOKUP(A131,#REF!,3,0)</f>
        <v>#REF!</v>
      </c>
      <c r="D131" s="524" t="e">
        <f t="shared" si="2"/>
        <v>#REF!</v>
      </c>
      <c r="E131" s="531">
        <v>9512</v>
      </c>
    </row>
    <row r="132" spans="1:5" ht="14.25" x14ac:dyDescent="0.2">
      <c r="A132" s="525" t="s">
        <v>59</v>
      </c>
      <c r="B132" s="527">
        <v>7</v>
      </c>
      <c r="C132" s="524" t="e">
        <f>+VLOOKUP(A132,#REF!,3,0)</f>
        <v>#REF!</v>
      </c>
      <c r="D132" s="524" t="e">
        <f t="shared" si="2"/>
        <v>#REF!</v>
      </c>
      <c r="E132" s="531">
        <v>26524</v>
      </c>
    </row>
    <row r="133" spans="1:5" ht="14.25" x14ac:dyDescent="0.2">
      <c r="A133" s="525" t="s">
        <v>55</v>
      </c>
      <c r="B133" s="527">
        <v>3</v>
      </c>
      <c r="C133" s="524" t="e">
        <f>+VLOOKUP(A133,#REF!,3,0)</f>
        <v>#REF!</v>
      </c>
      <c r="D133" s="524" t="e">
        <f t="shared" si="2"/>
        <v>#REF!</v>
      </c>
      <c r="E133" s="531">
        <v>62706</v>
      </c>
    </row>
    <row r="134" spans="1:5" ht="14.25" x14ac:dyDescent="0.2">
      <c r="A134" s="525" t="s">
        <v>103</v>
      </c>
      <c r="B134" s="527">
        <v>5</v>
      </c>
      <c r="C134" s="524" t="e">
        <f>+VLOOKUP(A134,#REF!,3,0)</f>
        <v>#REF!</v>
      </c>
      <c r="D134" s="524" t="e">
        <f t="shared" si="2"/>
        <v>#REF!</v>
      </c>
      <c r="E134" s="531">
        <v>44166</v>
      </c>
    </row>
    <row r="135" spans="1:5" ht="14.25" x14ac:dyDescent="0.2">
      <c r="A135" s="525" t="s">
        <v>232</v>
      </c>
      <c r="B135" s="527">
        <v>7</v>
      </c>
      <c r="C135" s="524" t="e">
        <f>+VLOOKUP(A135,#REF!,3,0)</f>
        <v>#REF!</v>
      </c>
      <c r="D135" s="524" t="e">
        <f t="shared" si="2"/>
        <v>#REF!</v>
      </c>
      <c r="E135" s="531">
        <v>21161</v>
      </c>
    </row>
    <row r="136" spans="1:5" ht="14.25" x14ac:dyDescent="0.2">
      <c r="A136" s="525" t="s">
        <v>108</v>
      </c>
      <c r="B136" s="527">
        <v>3</v>
      </c>
      <c r="C136" s="524" t="e">
        <f>+VLOOKUP(A136,#REF!,3,0)</f>
        <v>#REF!</v>
      </c>
      <c r="D136" s="524" t="e">
        <f t="shared" si="2"/>
        <v>#REF!</v>
      </c>
      <c r="E136" s="531">
        <v>22902</v>
      </c>
    </row>
    <row r="137" spans="1:5" ht="14.25" x14ac:dyDescent="0.2">
      <c r="A137" s="525" t="s">
        <v>101</v>
      </c>
      <c r="B137" s="527">
        <v>5</v>
      </c>
      <c r="C137" s="524" t="e">
        <f>+VLOOKUP(A137,#REF!,3,0)</f>
        <v>#REF!</v>
      </c>
      <c r="D137" s="524" t="e">
        <f t="shared" si="2"/>
        <v>#REF!</v>
      </c>
      <c r="E137" s="531">
        <v>167051</v>
      </c>
    </row>
    <row r="138" spans="1:5" ht="14.25" x14ac:dyDescent="0.2">
      <c r="A138" s="522" t="s">
        <v>233</v>
      </c>
      <c r="B138" s="523">
        <v>3</v>
      </c>
      <c r="C138" s="524" t="e">
        <f>+VLOOKUP(A138,#REF!,3,0)</f>
        <v>#REF!</v>
      </c>
      <c r="D138" s="524" t="e">
        <f t="shared" si="2"/>
        <v>#REF!</v>
      </c>
      <c r="E138" s="531">
        <v>3396</v>
      </c>
    </row>
    <row r="139" spans="1:5" ht="14.25" x14ac:dyDescent="0.2">
      <c r="A139" s="522" t="s">
        <v>234</v>
      </c>
      <c r="B139" s="523">
        <v>10</v>
      </c>
      <c r="C139" s="524" t="e">
        <f>+VLOOKUP(A139,#REF!,3,0)</f>
        <v>#REF!</v>
      </c>
      <c r="D139" s="524" t="e">
        <f t="shared" si="2"/>
        <v>#REF!</v>
      </c>
      <c r="E139" s="531">
        <v>3238</v>
      </c>
    </row>
    <row r="140" spans="1:5" ht="14.25" x14ac:dyDescent="0.2">
      <c r="A140" s="522" t="s">
        <v>35</v>
      </c>
      <c r="B140" s="527">
        <v>2</v>
      </c>
      <c r="C140" s="524" t="e">
        <f>+VLOOKUP(A140,#REF!,3,0)</f>
        <v>#REF!</v>
      </c>
      <c r="D140" s="524" t="e">
        <f t="shared" si="2"/>
        <v>#REF!</v>
      </c>
      <c r="E140" s="531">
        <v>23224</v>
      </c>
    </row>
    <row r="141" spans="1:5" ht="14.25" x14ac:dyDescent="0.2">
      <c r="A141" s="522" t="s">
        <v>235</v>
      </c>
      <c r="B141" s="523" t="s">
        <v>213</v>
      </c>
      <c r="C141" s="524" t="e">
        <f>+VLOOKUP(A141,#REF!,3,0)</f>
        <v>#REF!</v>
      </c>
      <c r="D141" s="524" t="e">
        <f t="shared" si="2"/>
        <v>#REF!</v>
      </c>
      <c r="E141" s="531">
        <v>1905</v>
      </c>
    </row>
    <row r="142" spans="1:5" ht="14.25" x14ac:dyDescent="0.2">
      <c r="A142" s="522" t="s">
        <v>236</v>
      </c>
      <c r="B142" s="523">
        <v>10</v>
      </c>
      <c r="C142" s="524" t="e">
        <f>+VLOOKUP(A142,#REF!,3,0)</f>
        <v>#REF!</v>
      </c>
      <c r="D142" s="524" t="e">
        <f t="shared" si="2"/>
        <v>#REF!</v>
      </c>
      <c r="E142" s="531">
        <v>5906</v>
      </c>
    </row>
    <row r="143" spans="1:5" ht="14.25" x14ac:dyDescent="0.2">
      <c r="A143" s="522" t="s">
        <v>37</v>
      </c>
      <c r="B143" s="523">
        <v>4</v>
      </c>
      <c r="C143" s="524" t="e">
        <f>+VLOOKUP(A143,#REF!,3,0)</f>
        <v>#REF!</v>
      </c>
      <c r="D143" s="524" t="e">
        <f t="shared" si="2"/>
        <v>#REF!</v>
      </c>
      <c r="E143" s="531">
        <v>4139</v>
      </c>
    </row>
    <row r="144" spans="1:5" ht="14.25" x14ac:dyDescent="0.2">
      <c r="A144" s="522" t="s">
        <v>46</v>
      </c>
      <c r="B144" s="523">
        <v>2</v>
      </c>
      <c r="C144" s="524" t="e">
        <f>+VLOOKUP(A144,#REF!,3,0)</f>
        <v>#REF!</v>
      </c>
      <c r="D144" s="524" t="e">
        <f t="shared" si="2"/>
        <v>#REF!</v>
      </c>
      <c r="E144" s="531">
        <v>6192</v>
      </c>
    </row>
    <row r="145" spans="1:5" ht="14.25" x14ac:dyDescent="0.2">
      <c r="A145" s="522" t="s">
        <v>36</v>
      </c>
      <c r="B145" s="523">
        <v>2</v>
      </c>
      <c r="C145" s="524" t="e">
        <f>+VLOOKUP(A145,#REF!,3,0)</f>
        <v>#REF!</v>
      </c>
      <c r="D145" s="524" t="e">
        <f t="shared" si="2"/>
        <v>#REF!</v>
      </c>
      <c r="E145" s="531">
        <v>10136</v>
      </c>
    </row>
    <row r="146" spans="1:5" ht="14.25" x14ac:dyDescent="0.2">
      <c r="A146" s="1045" t="s">
        <v>47</v>
      </c>
      <c r="B146" s="523">
        <v>2</v>
      </c>
      <c r="C146" s="524" t="e">
        <f>+VLOOKUP(A146,#REF!,3,0)</f>
        <v>#REF!</v>
      </c>
      <c r="D146" s="524" t="e">
        <f t="shared" si="2"/>
        <v>#REF!</v>
      </c>
      <c r="E146" s="531">
        <v>1758</v>
      </c>
    </row>
    <row r="147" spans="1:5" ht="14.25" x14ac:dyDescent="0.2">
      <c r="A147" s="525" t="s">
        <v>123</v>
      </c>
      <c r="B147" s="527">
        <v>4</v>
      </c>
      <c r="C147" s="524" t="e">
        <f>+VLOOKUP(A147,#REF!,3,0)</f>
        <v>#REF!</v>
      </c>
      <c r="D147" s="524" t="e">
        <f t="shared" si="2"/>
        <v>#REF!</v>
      </c>
      <c r="E147" s="531">
        <v>45639</v>
      </c>
    </row>
    <row r="148" spans="1:5" ht="14.25" x14ac:dyDescent="0.2">
      <c r="A148" s="522" t="s">
        <v>44</v>
      </c>
      <c r="B148" s="523">
        <v>2</v>
      </c>
      <c r="C148" s="524" t="e">
        <f>+VLOOKUP(A148,#REF!,3,0)</f>
        <v>#REF!</v>
      </c>
      <c r="D148" s="524" t="e">
        <f t="shared" si="2"/>
        <v>#REF!</v>
      </c>
      <c r="E148" s="531">
        <v>2455</v>
      </c>
    </row>
    <row r="149" spans="1:5" ht="14.25" x14ac:dyDescent="0.2">
      <c r="A149" s="1046" t="s">
        <v>498</v>
      </c>
      <c r="B149" s="528">
        <v>4</v>
      </c>
      <c r="C149" s="524" t="e">
        <f>+VLOOKUP(A149,#REF!,3,0)</f>
        <v>#REF!</v>
      </c>
      <c r="D149" s="524" t="e">
        <f t="shared" si="2"/>
        <v>#REF!</v>
      </c>
      <c r="E149" s="531">
        <v>0</v>
      </c>
    </row>
    <row r="150" spans="1:5" ht="14.25" x14ac:dyDescent="0.2">
      <c r="A150" s="525" t="s">
        <v>238</v>
      </c>
      <c r="B150" s="527">
        <v>5</v>
      </c>
      <c r="C150" s="524" t="e">
        <f>+VLOOKUP(A150,#REF!,3,0)</f>
        <v>#REF!</v>
      </c>
      <c r="D150" s="524" t="e">
        <f t="shared" si="2"/>
        <v>#REF!</v>
      </c>
      <c r="E150" s="531">
        <v>38862</v>
      </c>
    </row>
    <row r="151" spans="1:5" ht="14.25" x14ac:dyDescent="0.2">
      <c r="A151" s="522" t="s">
        <v>45</v>
      </c>
      <c r="B151" s="523">
        <v>2</v>
      </c>
      <c r="C151" s="524" t="e">
        <f>+VLOOKUP(A151,#REF!,3,0)</f>
        <v>#REF!</v>
      </c>
      <c r="D151" s="524" t="e">
        <f t="shared" si="2"/>
        <v>#REF!</v>
      </c>
      <c r="E151" s="531">
        <v>18533</v>
      </c>
    </row>
    <row r="152" spans="1:5" ht="14.25" x14ac:dyDescent="0.2">
      <c r="A152" s="525" t="s">
        <v>128</v>
      </c>
      <c r="B152" s="527">
        <v>5</v>
      </c>
      <c r="C152" s="524" t="e">
        <f>+VLOOKUP(A152,#REF!,3,0)</f>
        <v>#REF!</v>
      </c>
      <c r="D152" s="524" t="e">
        <f t="shared" si="2"/>
        <v>#REF!</v>
      </c>
      <c r="E152" s="531">
        <v>24140</v>
      </c>
    </row>
    <row r="153" spans="1:5" ht="14.25" x14ac:dyDescent="0.2">
      <c r="A153" s="522" t="s">
        <v>149</v>
      </c>
      <c r="B153" s="523">
        <v>2</v>
      </c>
      <c r="C153" s="524" t="e">
        <f>+VLOOKUP(A153,#REF!,3,0)</f>
        <v>#REF!</v>
      </c>
      <c r="D153" s="524" t="e">
        <f t="shared" si="2"/>
        <v>#REF!</v>
      </c>
      <c r="E153" s="531">
        <v>14866</v>
      </c>
    </row>
    <row r="154" spans="1:5" ht="14.25" x14ac:dyDescent="0.2">
      <c r="A154" s="522" t="s">
        <v>83</v>
      </c>
      <c r="B154" s="523">
        <v>2</v>
      </c>
      <c r="C154" s="524" t="e">
        <f>+VLOOKUP(A154,#REF!,3,0)</f>
        <v>#REF!</v>
      </c>
      <c r="D154" s="524" t="e">
        <f t="shared" si="2"/>
        <v>#REF!</v>
      </c>
      <c r="E154" s="531">
        <v>11003</v>
      </c>
    </row>
    <row r="155" spans="1:5" ht="14.25" x14ac:dyDescent="0.2">
      <c r="A155" s="47" t="s">
        <v>121</v>
      </c>
      <c r="B155" s="523">
        <v>2</v>
      </c>
      <c r="C155" s="524" t="e">
        <f>+VLOOKUP(A155,#REF!,3,0)</f>
        <v>#REF!</v>
      </c>
      <c r="D155" s="524" t="e">
        <f t="shared" si="2"/>
        <v>#REF!</v>
      </c>
      <c r="E155" s="531">
        <v>9562</v>
      </c>
    </row>
    <row r="156" spans="1:5" ht="14.25" x14ac:dyDescent="0.2">
      <c r="A156" s="522" t="s">
        <v>146</v>
      </c>
      <c r="B156" s="523">
        <v>4</v>
      </c>
      <c r="C156" s="524" t="e">
        <f>+VLOOKUP(A156,#REF!,3,0)</f>
        <v>#REF!</v>
      </c>
      <c r="D156" s="524" t="e">
        <f t="shared" si="2"/>
        <v>#REF!</v>
      </c>
      <c r="E156" s="531">
        <v>2881</v>
      </c>
    </row>
    <row r="157" spans="1:5" ht="14.25" x14ac:dyDescent="0.2">
      <c r="A157" s="522" t="s">
        <v>132</v>
      </c>
      <c r="B157" s="523">
        <v>4</v>
      </c>
      <c r="C157" s="524" t="e">
        <f>+VLOOKUP(A157,#REF!,3,0)</f>
        <v>#REF!</v>
      </c>
      <c r="D157" s="524" t="e">
        <f t="shared" si="2"/>
        <v>#REF!</v>
      </c>
      <c r="E157" s="531">
        <v>4854</v>
      </c>
    </row>
    <row r="158" spans="1:5" ht="14.25" x14ac:dyDescent="0.2">
      <c r="A158" s="522" t="s">
        <v>239</v>
      </c>
      <c r="B158" s="523">
        <v>6</v>
      </c>
      <c r="C158" s="524" t="e">
        <f>+VLOOKUP(A158,#REF!,3,0)</f>
        <v>#REF!</v>
      </c>
      <c r="D158" s="524" t="e">
        <f t="shared" si="2"/>
        <v>#REF!</v>
      </c>
      <c r="E158" s="531">
        <v>29034</v>
      </c>
    </row>
    <row r="159" spans="1:5" ht="14.25" x14ac:dyDescent="0.2">
      <c r="A159" s="522" t="s">
        <v>85</v>
      </c>
      <c r="B159" s="523">
        <v>6</v>
      </c>
      <c r="C159" s="524" t="e">
        <f>+VLOOKUP(A159,#REF!,3,0)</f>
        <v>#REF!</v>
      </c>
      <c r="D159" s="524" t="e">
        <f t="shared" si="2"/>
        <v>#REF!</v>
      </c>
      <c r="E159" s="531">
        <v>6032</v>
      </c>
    </row>
    <row r="160" spans="1:5" ht="14.25" x14ac:dyDescent="0.2">
      <c r="A160" s="522" t="s">
        <v>100</v>
      </c>
      <c r="B160" s="527">
        <v>6</v>
      </c>
      <c r="C160" s="524" t="e">
        <f>+VLOOKUP(A160,#REF!,3,0)</f>
        <v>#REF!</v>
      </c>
      <c r="D160" s="524" t="e">
        <f t="shared" si="2"/>
        <v>#REF!</v>
      </c>
      <c r="E160" s="531">
        <v>173823</v>
      </c>
    </row>
    <row r="161" spans="1:5" ht="14.25" x14ac:dyDescent="0.2">
      <c r="A161" s="525" t="s">
        <v>48</v>
      </c>
      <c r="B161" s="527">
        <v>4</v>
      </c>
      <c r="C161" s="524" t="e">
        <f>+VLOOKUP(A161,#REF!,3,0)</f>
        <v>#REF!</v>
      </c>
      <c r="D161" s="524" t="e">
        <f t="shared" si="2"/>
        <v>#REF!</v>
      </c>
      <c r="E161" s="531">
        <v>26790</v>
      </c>
    </row>
    <row r="162" spans="1:5" ht="14.25" x14ac:dyDescent="0.2">
      <c r="A162" s="522" t="s">
        <v>241</v>
      </c>
      <c r="B162" s="523">
        <v>5</v>
      </c>
      <c r="C162" s="524" t="e">
        <f>+VLOOKUP(A162,#REF!,3,0)</f>
        <v>#REF!</v>
      </c>
      <c r="D162" s="524" t="e">
        <f t="shared" si="2"/>
        <v>#REF!</v>
      </c>
      <c r="E162" s="531">
        <v>2934</v>
      </c>
    </row>
    <row r="163" spans="1:5" ht="14.25" x14ac:dyDescent="0.2">
      <c r="A163" s="522" t="s">
        <v>65</v>
      </c>
      <c r="B163" s="523">
        <v>7</v>
      </c>
      <c r="C163" s="524" t="e">
        <f>+VLOOKUP(A163,#REF!,3,0)</f>
        <v>#REF!</v>
      </c>
      <c r="D163" s="524" t="e">
        <f t="shared" si="2"/>
        <v>#REF!</v>
      </c>
      <c r="E163" s="531">
        <v>15258</v>
      </c>
    </row>
    <row r="164" spans="1:5" ht="14.25" x14ac:dyDescent="0.2">
      <c r="A164" s="1045" t="s">
        <v>49</v>
      </c>
      <c r="B164" s="527">
        <v>2</v>
      </c>
      <c r="C164" s="524" t="e">
        <f>+VLOOKUP(A164,#REF!,3,0)</f>
        <v>#REF!</v>
      </c>
      <c r="D164" s="524" t="e">
        <f t="shared" si="2"/>
        <v>#REF!</v>
      </c>
      <c r="E164" s="531">
        <v>15919</v>
      </c>
    </row>
    <row r="165" spans="1:5" ht="14.25" x14ac:dyDescent="0.2">
      <c r="A165" s="522" t="s">
        <v>1254</v>
      </c>
      <c r="B165" s="523">
        <v>7</v>
      </c>
      <c r="C165" s="524" t="e">
        <f>+VLOOKUP(A165,#REF!,3,0)</f>
        <v>#REF!</v>
      </c>
      <c r="D165" s="524" t="e">
        <f t="shared" si="2"/>
        <v>#REF!</v>
      </c>
      <c r="E165" s="531">
        <v>3600</v>
      </c>
    </row>
    <row r="166" spans="1:5" ht="14.25" x14ac:dyDescent="0.2">
      <c r="A166" s="522" t="s">
        <v>52</v>
      </c>
      <c r="B166" s="523">
        <v>5</v>
      </c>
      <c r="C166" s="524" t="e">
        <f>+VLOOKUP(A166,#REF!,3,0)</f>
        <v>#REF!</v>
      </c>
      <c r="D166" s="524" t="e">
        <f t="shared" si="2"/>
        <v>#REF!</v>
      </c>
      <c r="E166" s="531">
        <v>6288</v>
      </c>
    </row>
    <row r="167" spans="1:5" ht="14.25" x14ac:dyDescent="0.2">
      <c r="A167" s="522" t="s">
        <v>99</v>
      </c>
      <c r="B167" s="527">
        <v>8</v>
      </c>
      <c r="C167" s="524" t="e">
        <f>+VLOOKUP(A167,#REF!,3,0)</f>
        <v>#REF!</v>
      </c>
      <c r="D167" s="524" t="e">
        <f t="shared" si="2"/>
        <v>#REF!</v>
      </c>
      <c r="E167" s="531">
        <v>24269</v>
      </c>
    </row>
    <row r="168" spans="1:5" ht="14.25" x14ac:dyDescent="0.2">
      <c r="A168" s="522" t="s">
        <v>242</v>
      </c>
      <c r="B168" s="523">
        <v>4</v>
      </c>
      <c r="C168" s="524" t="e">
        <f>+VLOOKUP(A168,#REF!,3,0)</f>
        <v>#REF!</v>
      </c>
      <c r="D168" s="524" t="e">
        <f t="shared" si="2"/>
        <v>#REF!</v>
      </c>
      <c r="E168" s="531">
        <v>6605</v>
      </c>
    </row>
    <row r="169" spans="1:5" ht="14.25" x14ac:dyDescent="0.2">
      <c r="A169" s="525" t="s">
        <v>50</v>
      </c>
      <c r="B169" s="527">
        <v>5</v>
      </c>
      <c r="C169" s="524" t="e">
        <f>+VLOOKUP(A169,#REF!,3,0)</f>
        <v>#REF!</v>
      </c>
      <c r="D169" s="524" t="e">
        <f t="shared" si="2"/>
        <v>#REF!</v>
      </c>
      <c r="E169" s="531">
        <v>48894</v>
      </c>
    </row>
    <row r="170" spans="1:5" ht="14.25" x14ac:dyDescent="0.2">
      <c r="A170" s="525" t="s">
        <v>75</v>
      </c>
      <c r="B170" s="527">
        <v>6</v>
      </c>
      <c r="C170" s="524" t="e">
        <f>+VLOOKUP(A170,#REF!,3,0)</f>
        <v>#REF!</v>
      </c>
      <c r="D170" s="524" t="e">
        <f t="shared" si="2"/>
        <v>#REF!</v>
      </c>
      <c r="E170" s="531">
        <v>37092</v>
      </c>
    </row>
    <row r="171" spans="1:5" ht="14.25" x14ac:dyDescent="0.2">
      <c r="A171" s="525" t="s">
        <v>51</v>
      </c>
      <c r="B171" s="527">
        <v>4</v>
      </c>
      <c r="C171" s="524" t="e">
        <f>+VLOOKUP(A171,#REF!,3,0)</f>
        <v>#REF!</v>
      </c>
      <c r="D171" s="524" t="e">
        <f t="shared" si="2"/>
        <v>#REF!</v>
      </c>
      <c r="E171" s="531">
        <v>48255</v>
      </c>
    </row>
    <row r="172" spans="1:5" ht="14.25" x14ac:dyDescent="0.2">
      <c r="A172" s="522" t="s">
        <v>113</v>
      </c>
      <c r="B172" s="523">
        <v>8</v>
      </c>
      <c r="C172" s="524" t="e">
        <f>+VLOOKUP(A172,#REF!,3,0)</f>
        <v>#REF!</v>
      </c>
      <c r="D172" s="524" t="e">
        <f t="shared" si="2"/>
        <v>#REF!</v>
      </c>
      <c r="E172" s="531">
        <v>13402</v>
      </c>
    </row>
    <row r="173" spans="1:5" ht="14.25" x14ac:dyDescent="0.2">
      <c r="A173" s="525" t="s">
        <v>112</v>
      </c>
      <c r="B173" s="527">
        <v>5</v>
      </c>
      <c r="C173" s="524" t="e">
        <f>+VLOOKUP(A173,#REF!,3,0)</f>
        <v>#REF!</v>
      </c>
      <c r="D173" s="524" t="e">
        <f t="shared" si="2"/>
        <v>#REF!</v>
      </c>
      <c r="E173" s="531">
        <v>38371</v>
      </c>
    </row>
    <row r="174" spans="1:5" ht="14.25" x14ac:dyDescent="0.2">
      <c r="A174" s="522" t="s">
        <v>243</v>
      </c>
      <c r="B174" s="523">
        <v>3</v>
      </c>
      <c r="C174" s="524" t="e">
        <f>+VLOOKUP(A174,#REF!,3,0)</f>
        <v>#REF!</v>
      </c>
      <c r="D174" s="524" t="e">
        <f t="shared" si="2"/>
        <v>#REF!</v>
      </c>
      <c r="E174" s="531">
        <v>2937</v>
      </c>
    </row>
    <row r="175" spans="1:5" ht="14.25" x14ac:dyDescent="0.2">
      <c r="A175" s="525" t="s">
        <v>74</v>
      </c>
      <c r="B175" s="527">
        <v>6</v>
      </c>
      <c r="C175" s="524" t="e">
        <f>+VLOOKUP(A175,#REF!,3,0)</f>
        <v>#REF!</v>
      </c>
      <c r="D175" s="524" t="e">
        <f t="shared" si="2"/>
        <v>#REF!</v>
      </c>
      <c r="E175" s="531">
        <v>39733</v>
      </c>
    </row>
    <row r="176" spans="1:5" ht="14.25" x14ac:dyDescent="0.2">
      <c r="A176" s="525" t="s">
        <v>244</v>
      </c>
      <c r="B176" s="527">
        <v>4</v>
      </c>
      <c r="C176" s="524" t="e">
        <f>+VLOOKUP(A176,#REF!,3,0)</f>
        <v>#REF!</v>
      </c>
      <c r="D176" s="524" t="e">
        <f t="shared" si="2"/>
        <v>#REF!</v>
      </c>
      <c r="E176" s="531">
        <v>19240</v>
      </c>
    </row>
    <row r="177" spans="1:7" ht="14.25" x14ac:dyDescent="0.2">
      <c r="A177" s="522" t="s">
        <v>71</v>
      </c>
      <c r="B177" s="523">
        <v>5</v>
      </c>
      <c r="C177" s="524" t="e">
        <f>+VLOOKUP(A177,#REF!,3,0)</f>
        <v>#REF!</v>
      </c>
      <c r="D177" s="524" t="e">
        <f t="shared" si="2"/>
        <v>#REF!</v>
      </c>
      <c r="E177" s="531">
        <v>9640</v>
      </c>
    </row>
    <row r="178" spans="1:7" ht="14.25" x14ac:dyDescent="0.2">
      <c r="A178" s="522" t="s">
        <v>56</v>
      </c>
      <c r="B178" s="527">
        <v>5</v>
      </c>
      <c r="C178" s="524" t="e">
        <f>+VLOOKUP(A178,#REF!,3,0)</f>
        <v>#REF!</v>
      </c>
      <c r="D178" s="524" t="e">
        <f t="shared" si="2"/>
        <v>#REF!</v>
      </c>
      <c r="E178" s="531">
        <v>22003</v>
      </c>
    </row>
    <row r="179" spans="1:7" ht="14.25" x14ac:dyDescent="0.2">
      <c r="A179" s="522" t="s">
        <v>58</v>
      </c>
      <c r="B179" s="523">
        <v>6</v>
      </c>
      <c r="C179" s="524" t="e">
        <f>+VLOOKUP(A179,#REF!,3,0)</f>
        <v>#REF!</v>
      </c>
      <c r="D179" s="524" t="e">
        <f t="shared" si="2"/>
        <v>#REF!</v>
      </c>
      <c r="E179" s="531">
        <v>6093</v>
      </c>
    </row>
    <row r="180" spans="1:7" ht="14.25" x14ac:dyDescent="0.2">
      <c r="A180" s="522" t="s">
        <v>245</v>
      </c>
      <c r="B180" s="523">
        <v>4</v>
      </c>
      <c r="C180" s="524" t="e">
        <f>+VLOOKUP(A180,#REF!,3,0)</f>
        <v>#REF!</v>
      </c>
      <c r="D180" s="524" t="e">
        <f t="shared" si="2"/>
        <v>#REF!</v>
      </c>
      <c r="E180" s="531">
        <v>7350</v>
      </c>
      <c r="G180" s="751"/>
    </row>
    <row r="181" spans="1:7" ht="14.25" x14ac:dyDescent="0.2">
      <c r="A181" s="525" t="s">
        <v>76</v>
      </c>
      <c r="B181" s="527">
        <v>6</v>
      </c>
      <c r="C181" s="524" t="e">
        <f>+VLOOKUP(A181,#REF!,3,0)</f>
        <v>#REF!</v>
      </c>
      <c r="D181" s="524" t="e">
        <f t="shared" si="2"/>
        <v>#REF!</v>
      </c>
      <c r="E181" s="531">
        <v>35968</v>
      </c>
      <c r="G181" s="28"/>
    </row>
    <row r="182" spans="1:7" ht="14.25" x14ac:dyDescent="0.2">
      <c r="A182" s="522" t="s">
        <v>246</v>
      </c>
      <c r="B182" s="523">
        <v>7</v>
      </c>
      <c r="C182" s="524" t="e">
        <f>+VLOOKUP(A182,#REF!,3,0)</f>
        <v>#REF!</v>
      </c>
      <c r="D182" s="524" t="e">
        <f t="shared" si="2"/>
        <v>#REF!</v>
      </c>
      <c r="E182" s="531">
        <v>2269</v>
      </c>
    </row>
    <row r="183" spans="1:7" ht="14.25" x14ac:dyDescent="0.2">
      <c r="A183" s="525" t="s">
        <v>144</v>
      </c>
      <c r="B183" s="527">
        <v>6</v>
      </c>
      <c r="C183" s="524" t="e">
        <f>+VLOOKUP(A183,#REF!,3,0)</f>
        <v>#REF!</v>
      </c>
      <c r="D183" s="524" t="e">
        <f t="shared" si="2"/>
        <v>#REF!</v>
      </c>
      <c r="E183" s="531">
        <v>214616</v>
      </c>
    </row>
    <row r="184" spans="1:7" ht="14.25" x14ac:dyDescent="0.2">
      <c r="A184" s="525" t="s">
        <v>66</v>
      </c>
      <c r="B184" s="527">
        <v>2</v>
      </c>
      <c r="C184" s="524" t="e">
        <f>+VLOOKUP(A184,#REF!,3,0)</f>
        <v>#REF!</v>
      </c>
      <c r="D184" s="524" t="e">
        <f t="shared" si="2"/>
        <v>#REF!</v>
      </c>
      <c r="E184" s="531">
        <v>35760</v>
      </c>
    </row>
    <row r="185" spans="1:7" ht="14.25" x14ac:dyDescent="0.2">
      <c r="A185" s="525" t="s">
        <v>72</v>
      </c>
      <c r="B185" s="527">
        <v>6</v>
      </c>
      <c r="C185" s="524" t="e">
        <f>+VLOOKUP(A185,#REF!,3,0)</f>
        <v>#REF!</v>
      </c>
      <c r="D185" s="524" t="e">
        <f t="shared" si="2"/>
        <v>#REF!</v>
      </c>
      <c r="E185" s="531">
        <v>100103</v>
      </c>
    </row>
    <row r="186" spans="1:7" ht="14.25" x14ac:dyDescent="0.2">
      <c r="A186" s="522" t="s">
        <v>40</v>
      </c>
      <c r="B186" s="523">
        <v>3</v>
      </c>
      <c r="C186" s="524" t="e">
        <f>+VLOOKUP(A186,#REF!,3,0)</f>
        <v>#REF!</v>
      </c>
      <c r="D186" s="524" t="e">
        <f t="shared" si="2"/>
        <v>#REF!</v>
      </c>
      <c r="E186" s="531">
        <v>15042</v>
      </c>
    </row>
    <row r="187" spans="1:7" ht="14.25" x14ac:dyDescent="0.2">
      <c r="A187" s="522" t="s">
        <v>247</v>
      </c>
      <c r="B187" s="523">
        <v>2</v>
      </c>
      <c r="C187" s="524" t="e">
        <f>+VLOOKUP(A187,#REF!,3,0)</f>
        <v>#REF!</v>
      </c>
      <c r="D187" s="524" t="e">
        <f t="shared" si="2"/>
        <v>#REF!</v>
      </c>
      <c r="E187" s="531">
        <v>8050</v>
      </c>
    </row>
    <row r="188" spans="1:7" ht="14.25" x14ac:dyDescent="0.2">
      <c r="A188" s="525" t="s">
        <v>60</v>
      </c>
      <c r="B188" s="527">
        <v>4</v>
      </c>
      <c r="C188" s="524" t="e">
        <f>+VLOOKUP(A188,#REF!,3,0)</f>
        <v>#REF!</v>
      </c>
      <c r="D188" s="524" t="e">
        <f t="shared" si="2"/>
        <v>#REF!</v>
      </c>
      <c r="E188" s="531">
        <v>63133</v>
      </c>
    </row>
    <row r="189" spans="1:7" ht="14.25" x14ac:dyDescent="0.2">
      <c r="A189" s="525" t="s">
        <v>248</v>
      </c>
      <c r="B189" s="527">
        <v>7</v>
      </c>
      <c r="C189" s="524" t="e">
        <f>+VLOOKUP(A189,#REF!,3,0)</f>
        <v>#REF!</v>
      </c>
      <c r="D189" s="524" t="e">
        <f t="shared" si="2"/>
        <v>#REF!</v>
      </c>
      <c r="E189" s="531">
        <v>126547</v>
      </c>
    </row>
    <row r="190" spans="1:7" ht="14.25" x14ac:dyDescent="0.2">
      <c r="A190" s="525" t="s">
        <v>53</v>
      </c>
      <c r="B190" s="527">
        <v>9</v>
      </c>
      <c r="C190" s="524" t="e">
        <f>+VLOOKUP(A190,#REF!,3,0)</f>
        <v>#REF!</v>
      </c>
      <c r="D190" s="524" t="e">
        <f t="shared" si="2"/>
        <v>#REF!</v>
      </c>
      <c r="E190" s="531">
        <v>35587</v>
      </c>
    </row>
    <row r="191" spans="1:7" ht="14.25" x14ac:dyDescent="0.2">
      <c r="A191" s="522" t="s">
        <v>115</v>
      </c>
      <c r="B191" s="523">
        <v>8</v>
      </c>
      <c r="C191" s="524" t="e">
        <f>+VLOOKUP(A191,#REF!,3,0)</f>
        <v>#REF!</v>
      </c>
      <c r="D191" s="524" t="e">
        <f t="shared" si="2"/>
        <v>#REF!</v>
      </c>
      <c r="E191" s="531">
        <v>5358</v>
      </c>
    </row>
    <row r="192" spans="1:7" ht="14.25" x14ac:dyDescent="0.2">
      <c r="A192" s="525" t="s">
        <v>54</v>
      </c>
      <c r="B192" s="527">
        <v>8</v>
      </c>
      <c r="C192" s="524" t="e">
        <f>+VLOOKUP(A192,#REF!,3,0)</f>
        <v>#REF!</v>
      </c>
      <c r="D192" s="524" t="e">
        <f t="shared" si="2"/>
        <v>#REF!</v>
      </c>
      <c r="E192" s="531">
        <v>69657</v>
      </c>
    </row>
    <row r="193" spans="1:5" ht="14.25" x14ac:dyDescent="0.2">
      <c r="A193" s="525" t="s">
        <v>135</v>
      </c>
      <c r="B193" s="523">
        <v>2</v>
      </c>
      <c r="C193" s="524" t="e">
        <f>+VLOOKUP(A193,#REF!,3,0)</f>
        <v>#REF!</v>
      </c>
      <c r="D193" s="524" t="e">
        <f t="shared" si="2"/>
        <v>#REF!</v>
      </c>
      <c r="E193" s="531">
        <v>4572</v>
      </c>
    </row>
    <row r="194" spans="1:5" ht="14.25" x14ac:dyDescent="0.2">
      <c r="A194" s="525" t="s">
        <v>145</v>
      </c>
      <c r="B194" s="523">
        <v>2</v>
      </c>
      <c r="C194" s="524" t="e">
        <f>+VLOOKUP(A194,#REF!,3,0)</f>
        <v>#REF!</v>
      </c>
      <c r="D194" s="524" t="e">
        <f t="shared" ref="D194:D202" si="3">+C194-B194</f>
        <v>#REF!</v>
      </c>
      <c r="E194" s="531">
        <v>5495</v>
      </c>
    </row>
    <row r="195" spans="1:5" ht="14.25" x14ac:dyDescent="0.2">
      <c r="A195" s="525" t="s">
        <v>249</v>
      </c>
      <c r="B195" s="527">
        <v>4</v>
      </c>
      <c r="C195" s="524" t="e">
        <f>+VLOOKUP(A195,#REF!,3,0)</f>
        <v>#REF!</v>
      </c>
      <c r="D195" s="524" t="e">
        <f t="shared" si="3"/>
        <v>#REF!</v>
      </c>
      <c r="E195" s="531">
        <v>19826</v>
      </c>
    </row>
    <row r="196" spans="1:5" ht="14.25" x14ac:dyDescent="0.2">
      <c r="A196" s="522" t="s">
        <v>948</v>
      </c>
      <c r="B196" s="523">
        <v>8</v>
      </c>
      <c r="C196" s="524" t="e">
        <f>+VLOOKUP(A196,#REF!,3,0)</f>
        <v>#REF!</v>
      </c>
      <c r="D196" s="524" t="e">
        <f t="shared" si="3"/>
        <v>#REF!</v>
      </c>
      <c r="E196" s="531">
        <v>16597</v>
      </c>
    </row>
    <row r="197" spans="1:5" ht="14.25" x14ac:dyDescent="0.2">
      <c r="A197" s="522" t="s">
        <v>38</v>
      </c>
      <c r="B197" s="523">
        <v>5</v>
      </c>
      <c r="C197" s="524" t="e">
        <f>+VLOOKUP(A197,#REF!,3,0)</f>
        <v>#REF!</v>
      </c>
      <c r="D197" s="524" t="e">
        <f t="shared" si="3"/>
        <v>#REF!</v>
      </c>
      <c r="E197" s="531">
        <v>5181</v>
      </c>
    </row>
    <row r="198" spans="1:5" ht="14.25" x14ac:dyDescent="0.2">
      <c r="A198" s="522" t="s">
        <v>41</v>
      </c>
      <c r="B198" s="523">
        <v>2</v>
      </c>
      <c r="C198" s="524" t="e">
        <f>+VLOOKUP(A198,#REF!,3,0)</f>
        <v>#REF!</v>
      </c>
      <c r="D198" s="524" t="e">
        <f t="shared" si="3"/>
        <v>#REF!</v>
      </c>
      <c r="E198" s="531">
        <v>5619</v>
      </c>
    </row>
    <row r="199" spans="1:5" ht="14.25" x14ac:dyDescent="0.2">
      <c r="A199" s="522" t="s">
        <v>39</v>
      </c>
      <c r="B199" s="527">
        <v>3</v>
      </c>
      <c r="C199" s="524" t="e">
        <f>+VLOOKUP(A199,#REF!,3,0)</f>
        <v>#REF!</v>
      </c>
      <c r="D199" s="524" t="e">
        <f t="shared" si="3"/>
        <v>#REF!</v>
      </c>
      <c r="E199" s="531">
        <v>31173</v>
      </c>
    </row>
    <row r="200" spans="1:5" ht="14.25" x14ac:dyDescent="0.2">
      <c r="A200" s="525" t="s">
        <v>134</v>
      </c>
      <c r="B200" s="527">
        <v>8</v>
      </c>
      <c r="C200" s="524" t="e">
        <f>+VLOOKUP(A200,#REF!,3,0)</f>
        <v>#REF!</v>
      </c>
      <c r="D200" s="524" t="e">
        <f t="shared" si="3"/>
        <v>#REF!</v>
      </c>
      <c r="E200" s="531">
        <v>363387</v>
      </c>
    </row>
    <row r="201" spans="1:5" ht="14.25" x14ac:dyDescent="0.2">
      <c r="A201" s="522" t="s">
        <v>84</v>
      </c>
      <c r="B201" s="523">
        <v>9</v>
      </c>
      <c r="C201" s="524" t="e">
        <f>+VLOOKUP(A201,#REF!,3,0)</f>
        <v>#REF!</v>
      </c>
      <c r="D201" s="524" t="e">
        <f t="shared" si="3"/>
        <v>#REF!</v>
      </c>
      <c r="E201" s="531">
        <v>7854</v>
      </c>
    </row>
    <row r="202" spans="1:5" ht="14.25" x14ac:dyDescent="0.2">
      <c r="A202" s="522" t="s">
        <v>80</v>
      </c>
      <c r="B202" s="523">
        <v>1</v>
      </c>
      <c r="C202" s="524" t="e">
        <f>+VLOOKUP(A202,#REF!,3,0)</f>
        <v>#REF!</v>
      </c>
      <c r="D202" s="524" t="e">
        <f t="shared" si="3"/>
        <v>#REF!</v>
      </c>
      <c r="E202" s="531">
        <v>11916</v>
      </c>
    </row>
  </sheetData>
  <autoFilter ref="A1:D20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Y238"/>
  <sheetViews>
    <sheetView rightToLeft="1" topLeftCell="B1" workbookViewId="0">
      <selection activeCell="D8" sqref="D8:D9"/>
    </sheetView>
  </sheetViews>
  <sheetFormatPr defaultRowHeight="12.75" x14ac:dyDescent="0.2"/>
  <cols>
    <col min="1" max="1" width="13.5703125" customWidth="1"/>
    <col min="3" max="3" width="44.7109375" customWidth="1"/>
    <col min="4" max="4" width="26.7109375" bestFit="1" customWidth="1"/>
    <col min="5" max="5" width="14.5703125" customWidth="1"/>
    <col min="7" max="7" width="14.85546875" bestFit="1" customWidth="1"/>
  </cols>
  <sheetData>
    <row r="1" spans="1:25" x14ac:dyDescent="0.2">
      <c r="A1" s="7"/>
    </row>
    <row r="3" spans="1:25" ht="15.75" x14ac:dyDescent="0.25">
      <c r="C3" s="25" t="s">
        <v>356</v>
      </c>
    </row>
    <row r="4" spans="1:25" x14ac:dyDescent="0.2">
      <c r="E4" s="11"/>
    </row>
    <row r="5" spans="1:25" x14ac:dyDescent="0.2">
      <c r="C5" s="38" t="s">
        <v>357</v>
      </c>
      <c r="D5" s="419">
        <v>0.5</v>
      </c>
      <c r="E5" s="11"/>
      <c r="G5" s="14"/>
    </row>
    <row r="6" spans="1:25" x14ac:dyDescent="0.2">
      <c r="C6" s="38"/>
      <c r="D6" s="38"/>
    </row>
    <row r="7" spans="1:25" ht="15" x14ac:dyDescent="0.25">
      <c r="C7" s="420" t="s">
        <v>358</v>
      </c>
      <c r="D7" s="38">
        <v>2016</v>
      </c>
    </row>
    <row r="8" spans="1:25" x14ac:dyDescent="0.2">
      <c r="B8" s="30"/>
      <c r="C8" s="82" t="s">
        <v>906</v>
      </c>
      <c r="D8" s="421">
        <f>+'[1]תרחיש מפורט'!$AD$7</f>
        <v>4.9116749256911705</v>
      </c>
      <c r="E8" s="31"/>
      <c r="G8" s="32"/>
      <c r="I8" s="32"/>
      <c r="J8" s="32"/>
      <c r="K8" s="32"/>
      <c r="M8" s="32"/>
      <c r="N8" s="32"/>
      <c r="O8" s="32"/>
      <c r="Q8" s="32"/>
      <c r="R8" s="32"/>
      <c r="S8" s="32"/>
      <c r="U8" s="32"/>
      <c r="V8" s="32" t="e">
        <f>+ROUND('[2]תרחישים לפי סוג מחיר'!V146,2)</f>
        <v>#REF!</v>
      </c>
      <c r="W8" s="32" t="e">
        <f>+ROUND('[2]תרחישים לפי סוג מחיר'!W146,2)</f>
        <v>#REF!</v>
      </c>
      <c r="X8" s="32" t="e">
        <f>+ROUND('[2]תרחישים לפי סוג מחיר'!X146,2)</f>
        <v>#REF!</v>
      </c>
      <c r="Y8" s="32" t="e">
        <f>+ROUND('[2]תרחישים לפי סוג מחיר'!Y146,2)</f>
        <v>#REF!</v>
      </c>
    </row>
    <row r="9" spans="1:25" x14ac:dyDescent="0.2">
      <c r="B9" s="30"/>
      <c r="C9" s="82" t="s">
        <v>907</v>
      </c>
      <c r="D9" s="421">
        <f>+'[1]תרחיש מפורט'!$AD$17</f>
        <v>1.0006749256911704</v>
      </c>
      <c r="E9" s="31"/>
      <c r="G9" s="31"/>
      <c r="I9" s="32"/>
      <c r="J9" s="32"/>
      <c r="K9" s="32"/>
      <c r="M9" s="32"/>
      <c r="N9" s="32"/>
      <c r="O9" s="32"/>
      <c r="Q9" s="32"/>
      <c r="R9" s="32"/>
      <c r="S9" s="32"/>
      <c r="U9" s="32"/>
      <c r="V9" s="32" t="e">
        <f>+ROUND('[2]תרחישים לפי סוג מחיר'!V147,2)</f>
        <v>#REF!</v>
      </c>
      <c r="W9" s="32" t="e">
        <f>+ROUND('[2]תרחישים לפי סוג מחיר'!W147,2)</f>
        <v>#REF!</v>
      </c>
      <c r="X9" s="32" t="e">
        <f>+ROUND('[2]תרחישים לפי סוג מחיר'!X147,2)</f>
        <v>#REF!</v>
      </c>
      <c r="Y9" s="32" t="e">
        <f>+ROUND('[2]תרחישים לפי סוג מחיר'!Y147,2)</f>
        <v>#REF!</v>
      </c>
    </row>
    <row r="10" spans="1:25" x14ac:dyDescent="0.2">
      <c r="C10" s="38" t="s">
        <v>359</v>
      </c>
      <c r="D10" s="38">
        <v>3.5</v>
      </c>
    </row>
    <row r="11" spans="1:25" x14ac:dyDescent="0.2">
      <c r="C11" s="38"/>
      <c r="D11" s="422"/>
      <c r="E11" s="32"/>
      <c r="F11" s="32"/>
      <c r="G11" s="32"/>
      <c r="H11" s="32"/>
    </row>
    <row r="12" spans="1:25" ht="15" x14ac:dyDescent="0.25">
      <c r="C12" s="420" t="s">
        <v>360</v>
      </c>
      <c r="D12" s="423"/>
    </row>
    <row r="13" spans="1:25" x14ac:dyDescent="0.2">
      <c r="C13" s="38" t="s">
        <v>361</v>
      </c>
      <c r="D13" s="425">
        <v>7.0000000000000007E-2</v>
      </c>
      <c r="E13" s="15"/>
      <c r="F13" s="22"/>
    </row>
    <row r="14" spans="1:25" x14ac:dyDescent="0.2">
      <c r="C14" s="38" t="s">
        <v>362</v>
      </c>
      <c r="D14" s="425">
        <v>0.05</v>
      </c>
      <c r="E14" s="8"/>
      <c r="F14" s="20"/>
      <c r="G14" s="1751"/>
      <c r="H14" s="1751"/>
      <c r="I14" s="1751"/>
      <c r="J14" s="1751"/>
      <c r="K14" s="1751"/>
    </row>
    <row r="15" spans="1:25" x14ac:dyDescent="0.2">
      <c r="C15" s="38" t="s">
        <v>363</v>
      </c>
      <c r="D15" s="424">
        <f>1-D16</f>
        <v>0.30000000000000004</v>
      </c>
      <c r="G15" s="1751"/>
      <c r="H15" s="1751"/>
      <c r="I15" s="1751"/>
      <c r="J15" s="1751"/>
      <c r="K15" s="1751"/>
    </row>
    <row r="16" spans="1:25" ht="13.5" thickBot="1" x14ac:dyDescent="0.25">
      <c r="C16" s="38" t="s">
        <v>364</v>
      </c>
      <c r="D16" s="424">
        <v>0.7</v>
      </c>
      <c r="E16" s="15"/>
      <c r="G16" s="1751"/>
      <c r="H16" s="1751"/>
      <c r="I16" s="1751"/>
      <c r="J16" s="1751"/>
      <c r="K16" s="1751"/>
    </row>
    <row r="17" spans="3:7" x14ac:dyDescent="0.2">
      <c r="C17" s="418" t="s">
        <v>365</v>
      </c>
      <c r="D17" s="426">
        <f>D15*D13+D14*D16</f>
        <v>5.6000000000000001E-2</v>
      </c>
      <c r="E17" s="35" t="s">
        <v>796</v>
      </c>
      <c r="F17" s="411" t="s">
        <v>800</v>
      </c>
      <c r="G17" s="412" t="s">
        <v>161</v>
      </c>
    </row>
    <row r="18" spans="3:7" x14ac:dyDescent="0.2">
      <c r="C18" s="38"/>
      <c r="D18" s="427"/>
      <c r="E18" s="10">
        <v>3</v>
      </c>
      <c r="F18" s="413">
        <v>0.05</v>
      </c>
      <c r="G18" s="414">
        <f>+F18*D16+D13*D15</f>
        <v>5.6000000000000001E-2</v>
      </c>
    </row>
    <row r="19" spans="3:7" ht="15.75" thickBot="1" x14ac:dyDescent="0.3">
      <c r="C19" s="420" t="s">
        <v>366</v>
      </c>
      <c r="D19" s="38"/>
      <c r="E19" s="417" t="s">
        <v>797</v>
      </c>
      <c r="F19" s="415">
        <v>0.04</v>
      </c>
      <c r="G19" s="416">
        <f>+F19*D16+D13*D15</f>
        <v>4.9000000000000002E-2</v>
      </c>
    </row>
    <row r="20" spans="3:7" x14ac:dyDescent="0.2">
      <c r="C20" s="428" t="s">
        <v>367</v>
      </c>
      <c r="D20" s="38"/>
    </row>
    <row r="21" spans="3:7" x14ac:dyDescent="0.2">
      <c r="C21" s="428"/>
      <c r="D21" s="38"/>
    </row>
    <row r="22" spans="3:7" x14ac:dyDescent="0.2">
      <c r="C22" s="429" t="s">
        <v>368</v>
      </c>
      <c r="D22" s="430">
        <v>35</v>
      </c>
    </row>
    <row r="23" spans="3:7" x14ac:dyDescent="0.2">
      <c r="C23" s="38" t="s">
        <v>369</v>
      </c>
      <c r="D23" s="427">
        <v>0.6</v>
      </c>
    </row>
    <row r="24" spans="3:7" x14ac:dyDescent="0.2">
      <c r="C24" s="38" t="s">
        <v>682</v>
      </c>
      <c r="D24" s="430"/>
      <c r="E24" s="707">
        <v>2009</v>
      </c>
      <c r="F24" s="475">
        <v>2010</v>
      </c>
      <c r="G24" s="476">
        <v>2011</v>
      </c>
    </row>
    <row r="25" spans="3:7" x14ac:dyDescent="0.2">
      <c r="C25" s="82" t="s">
        <v>1526</v>
      </c>
      <c r="D25" s="427">
        <v>0.8</v>
      </c>
      <c r="E25" s="708">
        <v>0.1</v>
      </c>
      <c r="F25" s="709">
        <f>1/30*2</f>
        <v>6.6666666666666666E-2</v>
      </c>
      <c r="G25" s="710">
        <f>1/30*1</f>
        <v>3.3333333333333333E-2</v>
      </c>
    </row>
    <row r="26" spans="3:7" x14ac:dyDescent="0.2">
      <c r="C26" s="82" t="s">
        <v>1527</v>
      </c>
      <c r="D26" s="427">
        <v>0.8</v>
      </c>
      <c r="E26" s="1079"/>
      <c r="F26" s="1080"/>
      <c r="G26" s="1080"/>
    </row>
    <row r="27" spans="3:7" x14ac:dyDescent="0.2">
      <c r="C27" s="38" t="s">
        <v>727</v>
      </c>
      <c r="D27" s="427">
        <v>0.1</v>
      </c>
    </row>
    <row r="28" spans="3:7" x14ac:dyDescent="0.2">
      <c r="C28" s="38" t="s">
        <v>370</v>
      </c>
      <c r="D28" s="431">
        <f>+D17</f>
        <v>5.6000000000000001E-2</v>
      </c>
    </row>
    <row r="29" spans="3:7" x14ac:dyDescent="0.2">
      <c r="C29" s="38" t="s">
        <v>371</v>
      </c>
      <c r="D29" s="543">
        <v>16.833333333333336</v>
      </c>
    </row>
    <row r="30" spans="3:7" x14ac:dyDescent="0.2">
      <c r="C30" s="38" t="s">
        <v>483</v>
      </c>
      <c r="D30" s="432">
        <v>2.4300000000000002</v>
      </c>
      <c r="E30">
        <v>2.5</v>
      </c>
      <c r="F30">
        <f>+E30*(1-1%)</f>
        <v>2.4750000000000001</v>
      </c>
    </row>
    <row r="31" spans="3:7" x14ac:dyDescent="0.2">
      <c r="C31" s="82" t="s">
        <v>501</v>
      </c>
      <c r="D31" s="432">
        <f>+'[3]תרחיש מפורט'!$V$16</f>
        <v>3.8111733748363652</v>
      </c>
    </row>
    <row r="32" spans="3:7" ht="15" x14ac:dyDescent="0.25">
      <c r="C32" s="420" t="s">
        <v>566</v>
      </c>
      <c r="D32" s="38"/>
    </row>
    <row r="33" spans="3:4" x14ac:dyDescent="0.2">
      <c r="C33" s="38" t="s">
        <v>558</v>
      </c>
      <c r="D33" s="38"/>
    </row>
    <row r="34" spans="3:4" x14ac:dyDescent="0.2">
      <c r="C34" s="38" t="s">
        <v>559</v>
      </c>
      <c r="D34" s="38">
        <v>5</v>
      </c>
    </row>
    <row r="35" spans="3:4" x14ac:dyDescent="0.2">
      <c r="C35" s="82" t="s">
        <v>378</v>
      </c>
      <c r="D35" s="38">
        <v>0.65</v>
      </c>
    </row>
    <row r="36" spans="3:4" x14ac:dyDescent="0.2">
      <c r="C36" s="82" t="s">
        <v>377</v>
      </c>
      <c r="D36" s="38">
        <v>0.1</v>
      </c>
    </row>
    <row r="37" spans="3:4" x14ac:dyDescent="0.2">
      <c r="C37" s="82" t="s">
        <v>558</v>
      </c>
      <c r="D37" s="38">
        <v>6.5</v>
      </c>
    </row>
    <row r="38" spans="3:4" x14ac:dyDescent="0.2">
      <c r="C38" s="82" t="s">
        <v>565</v>
      </c>
      <c r="D38" s="38">
        <v>2004</v>
      </c>
    </row>
    <row r="39" spans="3:4" x14ac:dyDescent="0.2">
      <c r="C39" s="82" t="s">
        <v>822</v>
      </c>
      <c r="D39" s="38">
        <v>6</v>
      </c>
    </row>
    <row r="40" spans="3:4" x14ac:dyDescent="0.2">
      <c r="C40" s="38"/>
      <c r="D40" s="38"/>
    </row>
    <row r="41" spans="3:4" x14ac:dyDescent="0.2">
      <c r="C41" s="82" t="s">
        <v>675</v>
      </c>
      <c r="D41" s="432">
        <f>0.052*(1+'סל מדדים'!F25)</f>
        <v>5.1312196543398574E-2</v>
      </c>
    </row>
    <row r="42" spans="3:4" x14ac:dyDescent="0.2">
      <c r="C42" s="82" t="s">
        <v>676</v>
      </c>
      <c r="D42" s="432">
        <f>0.02*(1+'סל מדדים'!F25)</f>
        <v>1.9735460208999453E-2</v>
      </c>
    </row>
    <row r="43" spans="3:4" x14ac:dyDescent="0.2">
      <c r="C43" s="38"/>
      <c r="D43" s="38"/>
    </row>
    <row r="44" spans="3:4" ht="15" x14ac:dyDescent="0.25">
      <c r="C44" s="420" t="s">
        <v>679</v>
      </c>
      <c r="D44" s="38"/>
    </row>
    <row r="45" spans="3:4" x14ac:dyDescent="0.2">
      <c r="C45" s="38" t="s">
        <v>677</v>
      </c>
      <c r="D45" s="38" t="s">
        <v>678</v>
      </c>
    </row>
    <row r="46" spans="3:4" x14ac:dyDescent="0.2">
      <c r="C46" s="38" t="s">
        <v>457</v>
      </c>
      <c r="D46" s="432">
        <f>+VLOOKUP(C46,[4]ביוביות!$T$18:$U$27,2,0)</f>
        <v>8.0701331266342935E-2</v>
      </c>
    </row>
    <row r="47" spans="3:4" x14ac:dyDescent="0.2">
      <c r="C47" s="38" t="s">
        <v>449</v>
      </c>
      <c r="D47" s="432">
        <f>+VLOOKUP(C47,[4]ביוביות!$T$18:$U$27,2,0)</f>
        <v>0.33036895088776946</v>
      </c>
    </row>
    <row r="48" spans="3:4" x14ac:dyDescent="0.2">
      <c r="C48" s="38" t="s">
        <v>252</v>
      </c>
      <c r="D48" s="432">
        <f>+VLOOKUP(C48,[4]ביוביות!$T$18:$U$27,2,0)</f>
        <v>3.5306287568656343E-2</v>
      </c>
    </row>
    <row r="49" spans="3:8" x14ac:dyDescent="0.2">
      <c r="C49" s="38" t="s">
        <v>261</v>
      </c>
      <c r="D49" s="432">
        <f>+VLOOKUP(C49,[4]ביוביות!$T$18:$U$27,2,0)</f>
        <v>4.5925999962231005E-2</v>
      </c>
    </row>
    <row r="50" spans="3:8" x14ac:dyDescent="0.2">
      <c r="C50" s="38" t="s">
        <v>578</v>
      </c>
      <c r="D50" s="432">
        <f>+VLOOKUP(C50,[4]ביוביות!$T$18:$U$27,2,0)</f>
        <v>0.26025757802173766</v>
      </c>
    </row>
    <row r="51" spans="3:8" x14ac:dyDescent="0.2">
      <c r="C51" s="38" t="s">
        <v>250</v>
      </c>
      <c r="D51" s="432">
        <f>+VLOOKUP(C51,[4]ביוביות!$T$18:$U$27,2,0)</f>
        <v>2.0255602131783658E-2</v>
      </c>
    </row>
    <row r="52" spans="3:8" x14ac:dyDescent="0.2">
      <c r="C52" s="38" t="s">
        <v>444</v>
      </c>
      <c r="D52" s="432">
        <f>+VLOOKUP(C52,[4]ביוביות!$T$18:$U$27,2,0)</f>
        <v>0.17021661194480656</v>
      </c>
    </row>
    <row r="53" spans="3:8" x14ac:dyDescent="0.2">
      <c r="C53" s="38" t="s">
        <v>439</v>
      </c>
      <c r="D53" s="432">
        <f>+VLOOKUP(C53,[4]ביוביות!$T$18:$U$27,2,0)</f>
        <v>1.8607881589150908E-2</v>
      </c>
    </row>
    <row r="54" spans="3:8" x14ac:dyDescent="0.2">
      <c r="C54" s="38" t="s">
        <v>661</v>
      </c>
      <c r="D54" s="432">
        <f>+VLOOKUP(C54,[4]ביוביות!$T$18:$U$27,2,0)</f>
        <v>0.11341506118208278</v>
      </c>
    </row>
    <row r="55" spans="3:8" x14ac:dyDescent="0.2">
      <c r="C55" s="38"/>
      <c r="D55" s="432"/>
    </row>
    <row r="56" spans="3:8" x14ac:dyDescent="0.2">
      <c r="C56" s="418" t="s">
        <v>1046</v>
      </c>
      <c r="D56" s="432"/>
    </row>
    <row r="57" spans="3:8" x14ac:dyDescent="0.2">
      <c r="C57" s="82" t="s">
        <v>1305</v>
      </c>
      <c r="D57" s="37">
        <f>+-2%/-0.1</f>
        <v>0.19999999999999998</v>
      </c>
    </row>
    <row r="58" spans="3:8" x14ac:dyDescent="0.2">
      <c r="C58" s="82" t="s">
        <v>1306</v>
      </c>
      <c r="D58" s="432">
        <f>35%/52.5%</f>
        <v>0.66666666666666663</v>
      </c>
    </row>
    <row r="61" spans="3:8" x14ac:dyDescent="0.2">
      <c r="C61" s="438" t="s">
        <v>908</v>
      </c>
      <c r="D61" s="438" t="s">
        <v>192</v>
      </c>
      <c r="E61" s="439"/>
      <c r="F61" s="439"/>
      <c r="G61" s="439"/>
      <c r="H61" s="439"/>
    </row>
    <row r="62" spans="3:8" x14ac:dyDescent="0.2">
      <c r="C62" s="82"/>
      <c r="D62" s="38">
        <v>2014</v>
      </c>
      <c r="E62" s="38">
        <v>2015</v>
      </c>
      <c r="F62" s="38">
        <v>2016</v>
      </c>
      <c r="G62" s="38"/>
      <c r="H62" s="38">
        <v>2017</v>
      </c>
    </row>
    <row r="63" spans="3:8" x14ac:dyDescent="0.2">
      <c r="C63" s="82" t="s">
        <v>558</v>
      </c>
      <c r="D63" s="419">
        <v>7.0000000000000007E-2</v>
      </c>
      <c r="E63" s="419">
        <f>+D63</f>
        <v>7.0000000000000007E-2</v>
      </c>
      <c r="F63" s="725">
        <v>7.0000000000000007E-2</v>
      </c>
      <c r="G63" s="54"/>
      <c r="H63" s="726">
        <v>7.0000000000000007E-2</v>
      </c>
    </row>
    <row r="64" spans="3:8" x14ac:dyDescent="0.2">
      <c r="C64" s="82" t="s">
        <v>559</v>
      </c>
      <c r="D64" s="419">
        <v>0.08</v>
      </c>
      <c r="E64" s="419">
        <v>7.0000000000000007E-2</v>
      </c>
      <c r="F64" s="725">
        <f>+E64</f>
        <v>7.0000000000000007E-2</v>
      </c>
      <c r="G64" s="54"/>
      <c r="H64" s="726">
        <f>+F64</f>
        <v>7.0000000000000007E-2</v>
      </c>
    </row>
    <row r="65" spans="3:8" x14ac:dyDescent="0.2">
      <c r="C65" s="82" t="s">
        <v>377</v>
      </c>
      <c r="D65" s="434">
        <v>9.2499999999999999E-2</v>
      </c>
      <c r="E65" s="434">
        <v>8.6300000000000002E-2</v>
      </c>
      <c r="F65" s="725">
        <f>+E65</f>
        <v>8.6300000000000002E-2</v>
      </c>
      <c r="G65" s="54"/>
      <c r="H65" s="726">
        <v>9.2499999999999999E-2</v>
      </c>
    </row>
    <row r="66" spans="3:8" x14ac:dyDescent="0.2">
      <c r="C66" s="82" t="s">
        <v>378</v>
      </c>
      <c r="D66" s="434">
        <v>0.14000000000000001</v>
      </c>
      <c r="E66" s="434">
        <v>0.1166</v>
      </c>
      <c r="F66" s="726">
        <f>+E66</f>
        <v>0.1166</v>
      </c>
      <c r="G66" s="54"/>
      <c r="H66" s="726">
        <f>+F66</f>
        <v>0.1166</v>
      </c>
    </row>
    <row r="67" spans="3:8" x14ac:dyDescent="0.2">
      <c r="C67" s="82" t="s">
        <v>984</v>
      </c>
      <c r="D67" s="434">
        <v>0.14000000000000001</v>
      </c>
      <c r="E67" s="434">
        <f>+E66+1%</f>
        <v>0.12659999999999999</v>
      </c>
      <c r="F67" s="726">
        <f>+E67</f>
        <v>0.12659999999999999</v>
      </c>
      <c r="G67" s="54"/>
      <c r="H67" s="726">
        <f>+F67</f>
        <v>0.12659999999999999</v>
      </c>
    </row>
    <row r="68" spans="3:8" x14ac:dyDescent="0.2">
      <c r="C68" s="38"/>
      <c r="D68" s="38"/>
      <c r="E68" s="38"/>
      <c r="F68" s="54"/>
      <c r="G68" s="54"/>
      <c r="H68" s="54"/>
    </row>
    <row r="69" spans="3:8" x14ac:dyDescent="0.2">
      <c r="C69" s="82" t="s">
        <v>558</v>
      </c>
      <c r="D69" s="433">
        <v>1.4999999999999999E-2</v>
      </c>
      <c r="E69" s="433">
        <f>+D69</f>
        <v>1.4999999999999999E-2</v>
      </c>
      <c r="F69" s="726">
        <v>1.4999999999999999E-2</v>
      </c>
      <c r="G69" s="54"/>
      <c r="H69" s="725">
        <v>0.03</v>
      </c>
    </row>
    <row r="70" spans="3:8" x14ac:dyDescent="0.2">
      <c r="C70" s="82" t="s">
        <v>559</v>
      </c>
      <c r="D70" s="419">
        <v>0.03</v>
      </c>
      <c r="E70" s="433">
        <v>1.4999999999999999E-2</v>
      </c>
      <c r="F70" s="726">
        <v>1.4999999999999999E-2</v>
      </c>
      <c r="G70" s="54"/>
      <c r="H70" s="725">
        <v>0.05</v>
      </c>
    </row>
    <row r="71" spans="3:8" x14ac:dyDescent="0.2">
      <c r="C71" s="82" t="s">
        <v>377</v>
      </c>
      <c r="D71" s="419">
        <v>0.03</v>
      </c>
      <c r="E71" s="433">
        <v>1.4999999999999999E-2</v>
      </c>
      <c r="F71" s="726">
        <v>1.4999999999999999E-2</v>
      </c>
      <c r="G71" s="54"/>
      <c r="H71" s="725">
        <v>0.05</v>
      </c>
    </row>
    <row r="72" spans="3:8" x14ac:dyDescent="0.2">
      <c r="C72" s="82" t="s">
        <v>378</v>
      </c>
      <c r="D72" s="434">
        <v>0.09</v>
      </c>
      <c r="E72" s="434">
        <v>6.6699999999999995E-2</v>
      </c>
      <c r="F72" s="1048">
        <f>+E72</f>
        <v>6.6699999999999995E-2</v>
      </c>
      <c r="G72" s="54"/>
      <c r="H72" s="725">
        <f>+F72</f>
        <v>6.6699999999999995E-2</v>
      </c>
    </row>
    <row r="73" spans="3:8" x14ac:dyDescent="0.2">
      <c r="C73" s="38"/>
      <c r="D73" s="38"/>
      <c r="E73" s="38"/>
      <c r="F73" s="38"/>
      <c r="G73" s="38"/>
      <c r="H73" s="38"/>
    </row>
    <row r="74" spans="3:8" x14ac:dyDescent="0.2">
      <c r="C74" s="38"/>
      <c r="D74" s="38"/>
      <c r="E74" s="38"/>
      <c r="F74" s="38"/>
      <c r="G74" s="38"/>
      <c r="H74" s="38"/>
    </row>
    <row r="75" spans="3:8" x14ac:dyDescent="0.2">
      <c r="C75" s="38">
        <v>2010</v>
      </c>
      <c r="D75" s="38"/>
      <c r="E75" s="38"/>
      <c r="F75" s="38"/>
      <c r="G75" s="38"/>
      <c r="H75" s="38"/>
    </row>
    <row r="76" spans="3:8" x14ac:dyDescent="0.2">
      <c r="C76" s="82" t="s">
        <v>557</v>
      </c>
      <c r="D76" s="82" t="s">
        <v>192</v>
      </c>
      <c r="E76" s="82" t="s">
        <v>721</v>
      </c>
      <c r="F76" s="82" t="s">
        <v>719</v>
      </c>
      <c r="G76" s="82" t="s">
        <v>720</v>
      </c>
      <c r="H76" s="82" t="s">
        <v>194</v>
      </c>
    </row>
    <row r="77" spans="3:8" x14ac:dyDescent="0.2">
      <c r="C77" s="54" t="s">
        <v>687</v>
      </c>
      <c r="D77" s="435">
        <v>0.11</v>
      </c>
      <c r="E77" s="353">
        <f>+HLOOKUP(C77,'תחשיב תעריף 2016'!$4:$26,13,0)</f>
        <v>42680.793000000005</v>
      </c>
      <c r="F77" s="432">
        <f>1.08</f>
        <v>1.08</v>
      </c>
      <c r="G77" s="38">
        <f t="shared" ref="G77:G82" si="0">1.6*(1-D77)*0.95</f>
        <v>1.3528</v>
      </c>
      <c r="H77" s="436">
        <f t="shared" ref="H77:H82" si="1">+(G77-F77)*E77</f>
        <v>11643.320330399998</v>
      </c>
    </row>
    <row r="78" spans="3:8" x14ac:dyDescent="0.2">
      <c r="C78" s="54" t="s">
        <v>691</v>
      </c>
      <c r="D78" s="435">
        <v>0.15</v>
      </c>
      <c r="E78" s="353">
        <f>+HLOOKUP(C78,'תחשיב תעריף 2016'!$4:$26,13,0)</f>
        <v>10687.855</v>
      </c>
      <c r="F78" s="432">
        <f>1.08</f>
        <v>1.08</v>
      </c>
      <c r="G78" s="38">
        <f t="shared" si="0"/>
        <v>1.292</v>
      </c>
      <c r="H78" s="436">
        <f t="shared" si="1"/>
        <v>2265.8252599999996</v>
      </c>
    </row>
    <row r="79" spans="3:8" x14ac:dyDescent="0.2">
      <c r="C79" s="54" t="s">
        <v>454</v>
      </c>
      <c r="D79" s="437">
        <f>+D77</f>
        <v>0.11</v>
      </c>
      <c r="E79" s="353">
        <f>+HLOOKUP(C79,'תחשיב תעריף 2016'!$4:$26,13,0)</f>
        <v>18837.516</v>
      </c>
      <c r="F79" s="432">
        <v>1.08</v>
      </c>
      <c r="G79" s="38">
        <f t="shared" si="0"/>
        <v>1.3528</v>
      </c>
      <c r="H79" s="436">
        <f t="shared" si="1"/>
        <v>5138.8743647999991</v>
      </c>
    </row>
    <row r="80" spans="3:8" x14ac:dyDescent="0.2">
      <c r="C80" s="54" t="s">
        <v>453</v>
      </c>
      <c r="D80" s="437">
        <f>+D79</f>
        <v>0.11</v>
      </c>
      <c r="E80" s="353">
        <f>+HLOOKUP(C80,'תחשיב תעריף 2016'!$4:$26,13,0)</f>
        <v>17691.512999999999</v>
      </c>
      <c r="F80" s="432">
        <f>1.08</f>
        <v>1.08</v>
      </c>
      <c r="G80" s="38">
        <f t="shared" si="0"/>
        <v>1.3528</v>
      </c>
      <c r="H80" s="436">
        <f t="shared" si="1"/>
        <v>4826.2447463999988</v>
      </c>
    </row>
    <row r="81" spans="3:8" x14ac:dyDescent="0.2">
      <c r="C81" s="82" t="s">
        <v>529</v>
      </c>
      <c r="D81" s="435">
        <f>+D80</f>
        <v>0.11</v>
      </c>
      <c r="E81" s="353">
        <f>+HLOOKUP(C81,'תחשיב תעריף 2016'!$4:$26,13,0)</f>
        <v>3602.181</v>
      </c>
      <c r="F81" s="432">
        <f>1.08</f>
        <v>1.08</v>
      </c>
      <c r="G81" s="38">
        <f t="shared" si="0"/>
        <v>1.3528</v>
      </c>
      <c r="H81" s="436">
        <f>+(G81-F81)*E81</f>
        <v>982.67497679999974</v>
      </c>
    </row>
    <row r="82" spans="3:8" x14ac:dyDescent="0.2">
      <c r="C82" s="82" t="s">
        <v>530</v>
      </c>
      <c r="D82" s="434">
        <f>+D81</f>
        <v>0.11</v>
      </c>
      <c r="E82" s="353">
        <f>+HLOOKUP(C82,'תחשיב תעריף 2016'!$4:$26,13,0)</f>
        <v>8567.8269999999993</v>
      </c>
      <c r="F82" s="432">
        <f>1.08</f>
        <v>1.08</v>
      </c>
      <c r="G82" s="38">
        <f t="shared" si="0"/>
        <v>1.3528</v>
      </c>
      <c r="H82" s="436">
        <f t="shared" si="1"/>
        <v>2337.3032055999993</v>
      </c>
    </row>
    <row r="83" spans="3:8" x14ac:dyDescent="0.2">
      <c r="C83" s="38"/>
      <c r="D83" s="38"/>
      <c r="E83" s="38"/>
      <c r="F83" s="38"/>
      <c r="G83" s="38"/>
      <c r="H83" s="38"/>
    </row>
    <row r="84" spans="3:8" x14ac:dyDescent="0.2">
      <c r="C84" s="38">
        <v>2011</v>
      </c>
      <c r="D84" s="38"/>
      <c r="E84" s="432"/>
      <c r="F84" s="38"/>
      <c r="G84" s="38"/>
      <c r="H84" s="38"/>
    </row>
    <row r="85" spans="3:8" x14ac:dyDescent="0.2">
      <c r="C85" s="82" t="s">
        <v>557</v>
      </c>
      <c r="D85" s="82" t="s">
        <v>192</v>
      </c>
      <c r="E85" s="82" t="s">
        <v>721</v>
      </c>
      <c r="F85" s="82" t="s">
        <v>719</v>
      </c>
      <c r="G85" s="82" t="s">
        <v>720</v>
      </c>
      <c r="H85" s="82" t="s">
        <v>194</v>
      </c>
    </row>
    <row r="86" spans="3:8" x14ac:dyDescent="0.2">
      <c r="C86" s="54" t="s">
        <v>687</v>
      </c>
      <c r="D86" s="435">
        <v>8.7499999999999994E-2</v>
      </c>
      <c r="E86" s="353">
        <f>+E77</f>
        <v>42680.793000000005</v>
      </c>
      <c r="F86" s="432">
        <f t="shared" ref="F86:F91" si="2">1.03</f>
        <v>1.03</v>
      </c>
      <c r="G86" s="38">
        <f t="shared" ref="G86:G91" si="3">1.771*(1-D86)*0.95</f>
        <v>1.5352356249999997</v>
      </c>
      <c r="H86" s="353">
        <f t="shared" ref="H86:H91" si="4">+(G86-F86)*E86</f>
        <v>21563.857126850613</v>
      </c>
    </row>
    <row r="87" spans="3:8" x14ac:dyDescent="0.2">
      <c r="C87" s="54" t="s">
        <v>691</v>
      </c>
      <c r="D87" s="435">
        <v>0.13250000000000001</v>
      </c>
      <c r="E87" s="353">
        <f>+E78</f>
        <v>10687.855</v>
      </c>
      <c r="F87" s="432">
        <f t="shared" si="2"/>
        <v>1.03</v>
      </c>
      <c r="G87" s="38">
        <f t="shared" si="3"/>
        <v>1.4595253749999997</v>
      </c>
      <c r="H87" s="353">
        <f t="shared" si="4"/>
        <v>4590.704926820621</v>
      </c>
    </row>
    <row r="88" spans="3:8" x14ac:dyDescent="0.2">
      <c r="C88" s="54" t="s">
        <v>454</v>
      </c>
      <c r="D88" s="437">
        <f>+D86</f>
        <v>8.7499999999999994E-2</v>
      </c>
      <c r="E88" s="353">
        <f>+E79</f>
        <v>18837.516</v>
      </c>
      <c r="F88" s="432">
        <f t="shared" si="2"/>
        <v>1.03</v>
      </c>
      <c r="G88" s="38">
        <f t="shared" si="3"/>
        <v>1.5352356249999997</v>
      </c>
      <c r="H88" s="353">
        <f t="shared" si="4"/>
        <v>9517.3841697074931</v>
      </c>
    </row>
    <row r="89" spans="3:8" x14ac:dyDescent="0.2">
      <c r="C89" s="54" t="s">
        <v>453</v>
      </c>
      <c r="D89" s="437">
        <f>+D88</f>
        <v>8.7499999999999994E-2</v>
      </c>
      <c r="E89" s="353">
        <f>+E80</f>
        <v>17691.512999999999</v>
      </c>
      <c r="F89" s="432">
        <f t="shared" si="2"/>
        <v>1.03</v>
      </c>
      <c r="G89" s="38">
        <f t="shared" si="3"/>
        <v>1.5352356249999997</v>
      </c>
      <c r="H89" s="353">
        <f t="shared" si="4"/>
        <v>8938.3826277506178</v>
      </c>
    </row>
    <row r="90" spans="3:8" x14ac:dyDescent="0.2">
      <c r="C90" s="54" t="s">
        <v>529</v>
      </c>
      <c r="D90" s="437">
        <f>+D89</f>
        <v>8.7499999999999994E-2</v>
      </c>
      <c r="E90" s="54">
        <f>+HLOOKUP(C90,'[5]תעריף מוצע'!$A$5:$IV$38,26,0)</f>
        <v>3487.223</v>
      </c>
      <c r="F90" s="54">
        <f t="shared" si="2"/>
        <v>1.03</v>
      </c>
      <c r="G90" s="54">
        <f t="shared" si="3"/>
        <v>1.5352356249999997</v>
      </c>
      <c r="H90" s="532">
        <f t="shared" si="4"/>
        <v>1761.8692919193736</v>
      </c>
    </row>
    <row r="91" spans="3:8" x14ac:dyDescent="0.2">
      <c r="C91" s="54" t="s">
        <v>530</v>
      </c>
      <c r="D91" s="437">
        <f>+D90</f>
        <v>8.7499999999999994E-2</v>
      </c>
      <c r="E91" s="54">
        <f>+HLOOKUP(C91,'[5]תעריף מוצע'!$A$5:$IV$38,26,0)</f>
        <v>8405.8109999999997</v>
      </c>
      <c r="F91" s="54">
        <f t="shared" si="2"/>
        <v>1.03</v>
      </c>
      <c r="G91" s="54">
        <f t="shared" si="3"/>
        <v>1.5352356249999997</v>
      </c>
      <c r="H91" s="532">
        <f t="shared" si="4"/>
        <v>4246.9151742168715</v>
      </c>
    </row>
    <row r="94" spans="3:8" ht="15" x14ac:dyDescent="0.25">
      <c r="C94" s="965" t="s">
        <v>1307</v>
      </c>
      <c r="D94" s="38"/>
      <c r="E94" s="966" t="s">
        <v>1308</v>
      </c>
    </row>
    <row r="95" spans="3:8" ht="14.25" x14ac:dyDescent="0.2">
      <c r="C95" s="967" t="s">
        <v>1309</v>
      </c>
      <c r="D95" s="968">
        <f>+D139</f>
        <v>3256.7359999999999</v>
      </c>
      <c r="E95" s="38" t="s">
        <v>1310</v>
      </c>
    </row>
    <row r="96" spans="3:8" x14ac:dyDescent="0.2">
      <c r="C96" s="38" t="s">
        <v>1311</v>
      </c>
      <c r="D96" s="968">
        <f>60*750/100</f>
        <v>450</v>
      </c>
      <c r="E96" s="969" t="s">
        <v>1312</v>
      </c>
    </row>
    <row r="97" spans="3:5" x14ac:dyDescent="0.2">
      <c r="C97" s="38" t="s">
        <v>1313</v>
      </c>
      <c r="D97" s="968">
        <v>80</v>
      </c>
      <c r="E97" s="969"/>
    </row>
    <row r="98" spans="3:5" x14ac:dyDescent="0.2">
      <c r="C98" s="38" t="s">
        <v>1314</v>
      </c>
      <c r="D98" s="968">
        <v>151.66666666666666</v>
      </c>
      <c r="E98" s="969"/>
    </row>
    <row r="99" spans="3:5" x14ac:dyDescent="0.2">
      <c r="C99" s="38" t="s">
        <v>1315</v>
      </c>
      <c r="D99" s="968">
        <f>+D119</f>
        <v>542.24</v>
      </c>
      <c r="E99" s="969"/>
    </row>
    <row r="100" spans="3:5" x14ac:dyDescent="0.2">
      <c r="C100" s="38" t="s">
        <v>298</v>
      </c>
      <c r="D100" s="968">
        <v>269</v>
      </c>
      <c r="E100" s="969"/>
    </row>
    <row r="101" spans="3:5" x14ac:dyDescent="0.2">
      <c r="C101" s="38" t="s">
        <v>1316</v>
      </c>
      <c r="D101" s="968">
        <f>+D127</f>
        <v>916</v>
      </c>
      <c r="E101" s="969"/>
    </row>
    <row r="102" spans="3:5" x14ac:dyDescent="0.2">
      <c r="C102" s="38" t="s">
        <v>1317</v>
      </c>
      <c r="D102" s="968">
        <v>216</v>
      </c>
      <c r="E102" s="969" t="s">
        <v>1318</v>
      </c>
    </row>
    <row r="103" spans="3:5" x14ac:dyDescent="0.2">
      <c r="C103" s="38" t="s">
        <v>1319</v>
      </c>
      <c r="D103" s="968">
        <v>100</v>
      </c>
      <c r="E103" s="969"/>
    </row>
    <row r="104" spans="3:5" x14ac:dyDescent="0.2">
      <c r="C104" s="38" t="s">
        <v>1320</v>
      </c>
      <c r="D104" s="968">
        <v>300</v>
      </c>
      <c r="E104" s="969"/>
    </row>
    <row r="105" spans="3:5" ht="15" x14ac:dyDescent="0.25">
      <c r="C105" s="966" t="s">
        <v>1321</v>
      </c>
      <c r="D105" s="970">
        <f>SUM(D95:D104)</f>
        <v>6281.6426666666666</v>
      </c>
      <c r="E105" s="969"/>
    </row>
    <row r="106" spans="3:5" x14ac:dyDescent="0.2">
      <c r="C106" s="714" t="s">
        <v>1322</v>
      </c>
      <c r="D106" s="432">
        <f>D105/40000</f>
        <v>0.15704106666666667</v>
      </c>
      <c r="E106" s="969"/>
    </row>
    <row r="107" spans="3:5" x14ac:dyDescent="0.2">
      <c r="C107" s="38"/>
      <c r="D107" s="968"/>
      <c r="E107" s="38"/>
    </row>
    <row r="110" spans="3:5" ht="15" x14ac:dyDescent="0.25">
      <c r="C110" s="966" t="s">
        <v>1315</v>
      </c>
      <c r="D110" s="38"/>
      <c r="E110" s="38"/>
    </row>
    <row r="111" spans="3:5" x14ac:dyDescent="0.2">
      <c r="C111" s="38" t="s">
        <v>1323</v>
      </c>
      <c r="D111" s="968">
        <f>12*750*12/1000</f>
        <v>108</v>
      </c>
      <c r="E111" s="38"/>
    </row>
    <row r="112" spans="3:5" x14ac:dyDescent="0.2">
      <c r="C112" s="38" t="s">
        <v>1324</v>
      </c>
      <c r="D112" s="38">
        <v>120</v>
      </c>
      <c r="E112" s="38"/>
    </row>
    <row r="113" spans="3:5" x14ac:dyDescent="0.2">
      <c r="C113" s="38" t="s">
        <v>1325</v>
      </c>
      <c r="D113" s="968">
        <f>6*12</f>
        <v>72</v>
      </c>
      <c r="E113" s="38"/>
    </row>
    <row r="114" spans="3:5" x14ac:dyDescent="0.2">
      <c r="C114" s="38" t="s">
        <v>1326</v>
      </c>
      <c r="D114" s="968">
        <f>3*12+30</f>
        <v>66</v>
      </c>
      <c r="E114" s="38"/>
    </row>
    <row r="115" spans="3:5" x14ac:dyDescent="0.2">
      <c r="C115" s="38" t="s">
        <v>1327</v>
      </c>
      <c r="D115" s="968">
        <f>4*12</f>
        <v>48</v>
      </c>
      <c r="E115" s="38"/>
    </row>
    <row r="116" spans="3:5" x14ac:dyDescent="0.2">
      <c r="C116" s="38" t="s">
        <v>1328</v>
      </c>
      <c r="D116" s="968">
        <f>12*1.5</f>
        <v>18</v>
      </c>
      <c r="E116" s="38"/>
    </row>
    <row r="117" spans="3:5" x14ac:dyDescent="0.2">
      <c r="C117" s="38" t="s">
        <v>1329</v>
      </c>
      <c r="D117" s="968">
        <v>30.24</v>
      </c>
      <c r="E117" s="38"/>
    </row>
    <row r="118" spans="3:5" x14ac:dyDescent="0.2">
      <c r="C118" s="38" t="s">
        <v>1330</v>
      </c>
      <c r="D118" s="968">
        <v>80</v>
      </c>
      <c r="E118" s="38"/>
    </row>
    <row r="119" spans="3:5" ht="15" x14ac:dyDescent="0.25">
      <c r="C119" s="966" t="s">
        <v>164</v>
      </c>
      <c r="D119" s="970">
        <f>SUM(D111:D118)</f>
        <v>542.24</v>
      </c>
      <c r="E119" s="38"/>
    </row>
    <row r="121" spans="3:5" x14ac:dyDescent="0.2">
      <c r="C121" s="38" t="s">
        <v>1331</v>
      </c>
      <c r="D121" s="38">
        <v>252</v>
      </c>
      <c r="E121" s="38"/>
    </row>
    <row r="122" spans="3:5" x14ac:dyDescent="0.2">
      <c r="C122" s="38" t="s">
        <v>1332</v>
      </c>
      <c r="D122" s="38">
        <v>192</v>
      </c>
      <c r="E122" s="38"/>
    </row>
    <row r="123" spans="3:5" x14ac:dyDescent="0.2">
      <c r="C123" s="38" t="s">
        <v>1333</v>
      </c>
      <c r="D123" s="38">
        <v>144</v>
      </c>
      <c r="E123" s="38"/>
    </row>
    <row r="124" spans="3:5" x14ac:dyDescent="0.2">
      <c r="C124" s="38" t="s">
        <v>1334</v>
      </c>
      <c r="D124" s="38">
        <v>140</v>
      </c>
      <c r="E124" s="38"/>
    </row>
    <row r="125" spans="3:5" x14ac:dyDescent="0.2">
      <c r="C125" s="38" t="s">
        <v>1335</v>
      </c>
      <c r="D125" s="38">
        <v>96</v>
      </c>
      <c r="E125" s="38"/>
    </row>
    <row r="126" spans="3:5" x14ac:dyDescent="0.2">
      <c r="C126" s="38" t="s">
        <v>1336</v>
      </c>
      <c r="D126" s="38">
        <v>92</v>
      </c>
      <c r="E126" s="38"/>
    </row>
    <row r="127" spans="3:5" ht="15" x14ac:dyDescent="0.25">
      <c r="C127" s="966" t="s">
        <v>164</v>
      </c>
      <c r="D127" s="966">
        <f>SUM(D121:D126)</f>
        <v>916</v>
      </c>
      <c r="E127" s="966"/>
    </row>
    <row r="128" spans="3:5" x14ac:dyDescent="0.2">
      <c r="C128" s="38"/>
      <c r="D128" s="38"/>
      <c r="E128" s="38"/>
    </row>
    <row r="131" spans="2:5" ht="15" x14ac:dyDescent="0.25">
      <c r="C131" s="966" t="s">
        <v>1337</v>
      </c>
      <c r="D131" s="38"/>
      <c r="E131" s="38"/>
    </row>
    <row r="132" spans="2:5" x14ac:dyDescent="0.2">
      <c r="C132" s="38" t="s">
        <v>1338</v>
      </c>
      <c r="D132" s="968">
        <v>574.55999999999995</v>
      </c>
      <c r="E132" s="38"/>
    </row>
    <row r="133" spans="2:5" x14ac:dyDescent="0.2">
      <c r="C133" s="38" t="s">
        <v>1339</v>
      </c>
      <c r="D133" s="968">
        <v>402.19199999999995</v>
      </c>
      <c r="E133" s="38"/>
    </row>
    <row r="134" spans="2:5" x14ac:dyDescent="0.2">
      <c r="C134" s="38" t="s">
        <v>1340</v>
      </c>
      <c r="D134" s="968">
        <v>402.19199999999995</v>
      </c>
      <c r="E134" s="38" t="s">
        <v>1341</v>
      </c>
    </row>
    <row r="135" spans="2:5" x14ac:dyDescent="0.2">
      <c r="C135" s="38" t="s">
        <v>1342</v>
      </c>
      <c r="D135" s="968">
        <v>402.19199999999995</v>
      </c>
      <c r="E135" s="38"/>
    </row>
    <row r="136" spans="2:5" x14ac:dyDescent="0.2">
      <c r="C136" s="38" t="s">
        <v>1343</v>
      </c>
      <c r="D136" s="968">
        <f>672*4/5</f>
        <v>537.6</v>
      </c>
      <c r="E136" s="38"/>
    </row>
    <row r="137" spans="2:5" x14ac:dyDescent="0.2">
      <c r="C137" s="38" t="s">
        <v>1344</v>
      </c>
      <c r="D137" s="968">
        <v>402</v>
      </c>
      <c r="E137" s="38"/>
    </row>
    <row r="138" spans="2:5" x14ac:dyDescent="0.2">
      <c r="C138" s="38" t="s">
        <v>159</v>
      </c>
      <c r="D138" s="38">
        <f>236+300</f>
        <v>536</v>
      </c>
      <c r="E138" s="38" t="s">
        <v>1345</v>
      </c>
    </row>
    <row r="139" spans="2:5" ht="15" x14ac:dyDescent="0.25">
      <c r="C139" s="966" t="s">
        <v>164</v>
      </c>
      <c r="D139" s="970">
        <f>SUM(D132:D138)</f>
        <v>3256.7359999999999</v>
      </c>
      <c r="E139" s="38"/>
    </row>
    <row r="141" spans="2:5" x14ac:dyDescent="0.2">
      <c r="B141" s="980" t="s">
        <v>1403</v>
      </c>
      <c r="C141" s="38" t="s">
        <v>1346</v>
      </c>
      <c r="D141" s="38" t="s">
        <v>1347</v>
      </c>
      <c r="E141" s="38" t="s">
        <v>489</v>
      </c>
    </row>
    <row r="142" spans="2:5" x14ac:dyDescent="0.2">
      <c r="C142" s="38" t="s">
        <v>1309</v>
      </c>
      <c r="D142" s="38">
        <f>E166</f>
        <v>3864</v>
      </c>
      <c r="E142" s="38" t="s">
        <v>1348</v>
      </c>
    </row>
    <row r="143" spans="2:5" x14ac:dyDescent="0.2">
      <c r="C143" s="38" t="s">
        <v>1349</v>
      </c>
      <c r="D143" s="38">
        <f>(1000*72+6000)*12/1000</f>
        <v>936</v>
      </c>
      <c r="E143" s="38" t="s">
        <v>1350</v>
      </c>
    </row>
    <row r="144" spans="2:5" x14ac:dyDescent="0.2">
      <c r="C144" s="38" t="s">
        <v>1314</v>
      </c>
      <c r="D144" s="38">
        <v>180</v>
      </c>
      <c r="E144" s="38" t="s">
        <v>1351</v>
      </c>
    </row>
    <row r="145" spans="3:5" x14ac:dyDescent="0.2">
      <c r="C145" s="38" t="s">
        <v>1315</v>
      </c>
      <c r="D145" s="38">
        <f>D182</f>
        <v>956</v>
      </c>
      <c r="E145" s="38" t="s">
        <v>1352</v>
      </c>
    </row>
    <row r="146" spans="3:5" x14ac:dyDescent="0.2">
      <c r="C146" s="38" t="s">
        <v>1316</v>
      </c>
      <c r="D146" s="38">
        <v>180</v>
      </c>
      <c r="E146" s="38" t="s">
        <v>1353</v>
      </c>
    </row>
    <row r="147" spans="3:5" x14ac:dyDescent="0.2">
      <c r="C147" s="38" t="s">
        <v>298</v>
      </c>
      <c r="D147" s="38">
        <v>246</v>
      </c>
      <c r="E147" s="38" t="s">
        <v>1354</v>
      </c>
    </row>
    <row r="148" spans="3:5" x14ac:dyDescent="0.2">
      <c r="C148" s="38" t="s">
        <v>1317</v>
      </c>
      <c r="D148" s="38">
        <f>54*4</f>
        <v>216</v>
      </c>
      <c r="E148" s="38" t="s">
        <v>1355</v>
      </c>
    </row>
    <row r="149" spans="3:5" x14ac:dyDescent="0.2">
      <c r="C149" s="38" t="s">
        <v>1356</v>
      </c>
      <c r="D149" s="38">
        <f>+D194</f>
        <v>8132.1</v>
      </c>
      <c r="E149" s="38" t="s">
        <v>1357</v>
      </c>
    </row>
    <row r="150" spans="3:5" x14ac:dyDescent="0.2">
      <c r="C150" s="38" t="s">
        <v>1358</v>
      </c>
      <c r="D150" s="38">
        <f>SUM(D142:D149)</f>
        <v>14710.1</v>
      </c>
      <c r="E150" s="38"/>
    </row>
    <row r="151" spans="3:5" x14ac:dyDescent="0.2">
      <c r="C151" s="38" t="s">
        <v>1322</v>
      </c>
      <c r="D151" s="38">
        <f>D150/40000</f>
        <v>0.36775249999999998</v>
      </c>
      <c r="E151" s="38"/>
    </row>
    <row r="152" spans="3:5" x14ac:dyDescent="0.2">
      <c r="C152" s="38" t="s">
        <v>1359</v>
      </c>
      <c r="D152" s="38">
        <f>D150-D149</f>
        <v>6578</v>
      </c>
      <c r="E152" s="38"/>
    </row>
    <row r="153" spans="3:5" ht="15.75" x14ac:dyDescent="0.2">
      <c r="C153" s="971"/>
      <c r="D153" s="972"/>
      <c r="E153" s="973"/>
    </row>
    <row r="154" spans="3:5" ht="15.75" x14ac:dyDescent="0.2">
      <c r="C154" s="971"/>
      <c r="D154" s="972"/>
      <c r="E154" s="973"/>
    </row>
    <row r="156" spans="3:5" ht="15.75" x14ac:dyDescent="0.2">
      <c r="C156" s="974" t="s">
        <v>1360</v>
      </c>
    </row>
    <row r="157" spans="3:5" ht="15.75" x14ac:dyDescent="0.2">
      <c r="C157" s="975"/>
    </row>
    <row r="158" spans="3:5" x14ac:dyDescent="0.2">
      <c r="C158" s="38" t="s">
        <v>1361</v>
      </c>
      <c r="D158" s="38" t="s">
        <v>913</v>
      </c>
      <c r="E158" s="38" t="s">
        <v>1362</v>
      </c>
    </row>
    <row r="159" spans="3:5" x14ac:dyDescent="0.2">
      <c r="C159" s="38" t="s">
        <v>1363</v>
      </c>
      <c r="D159" s="38">
        <v>1</v>
      </c>
      <c r="E159" s="38">
        <v>252</v>
      </c>
    </row>
    <row r="160" spans="3:5" x14ac:dyDescent="0.2">
      <c r="C160" s="38" t="s">
        <v>1364</v>
      </c>
      <c r="D160" s="38">
        <v>15</v>
      </c>
      <c r="E160" s="38">
        <f>84*D160</f>
        <v>1260</v>
      </c>
    </row>
    <row r="161" spans="3:5" x14ac:dyDescent="0.2">
      <c r="C161" s="38" t="s">
        <v>1365</v>
      </c>
      <c r="D161" s="38">
        <v>10</v>
      </c>
      <c r="E161" s="38">
        <v>840</v>
      </c>
    </row>
    <row r="162" spans="3:5" x14ac:dyDescent="0.2">
      <c r="C162" s="38" t="s">
        <v>1366</v>
      </c>
      <c r="D162" s="38">
        <v>5</v>
      </c>
      <c r="E162" s="38">
        <v>420</v>
      </c>
    </row>
    <row r="163" spans="3:5" x14ac:dyDescent="0.2">
      <c r="C163" s="38" t="s">
        <v>1367</v>
      </c>
      <c r="D163" s="38">
        <v>5</v>
      </c>
      <c r="E163" s="38">
        <v>420</v>
      </c>
    </row>
    <row r="164" spans="3:5" x14ac:dyDescent="0.2">
      <c r="C164" s="38" t="s">
        <v>1368</v>
      </c>
      <c r="D164" s="38">
        <v>2</v>
      </c>
      <c r="E164" s="38">
        <v>168</v>
      </c>
    </row>
    <row r="165" spans="3:5" x14ac:dyDescent="0.2">
      <c r="C165" s="38" t="s">
        <v>1320</v>
      </c>
      <c r="D165" s="38"/>
      <c r="E165" s="38">
        <v>504</v>
      </c>
    </row>
    <row r="166" spans="3:5" x14ac:dyDescent="0.2">
      <c r="C166" s="38" t="s">
        <v>164</v>
      </c>
      <c r="D166" s="38"/>
      <c r="E166" s="38">
        <f>SUM(E159:E165)</f>
        <v>3864</v>
      </c>
    </row>
    <row r="167" spans="3:5" x14ac:dyDescent="0.2">
      <c r="C167" s="38" t="s">
        <v>1369</v>
      </c>
      <c r="D167" s="38">
        <v>0.05</v>
      </c>
      <c r="E167" s="38"/>
    </row>
    <row r="168" spans="3:5" x14ac:dyDescent="0.2">
      <c r="C168" s="38" t="s">
        <v>1370</v>
      </c>
      <c r="D168" s="38">
        <v>0.1</v>
      </c>
      <c r="E168" s="38" t="s">
        <v>1371</v>
      </c>
    </row>
    <row r="169" spans="3:5" x14ac:dyDescent="0.2">
      <c r="C169" s="38" t="s">
        <v>1372</v>
      </c>
      <c r="D169" s="38">
        <v>0.2</v>
      </c>
      <c r="E169" s="38" t="s">
        <v>1373</v>
      </c>
    </row>
    <row r="170" spans="3:5" x14ac:dyDescent="0.2">
      <c r="C170" s="38"/>
      <c r="D170" s="38"/>
      <c r="E170" s="38"/>
    </row>
    <row r="172" spans="3:5" ht="15.75" x14ac:dyDescent="0.2">
      <c r="C172" s="974" t="s">
        <v>1374</v>
      </c>
    </row>
    <row r="173" spans="3:5" ht="15.75" x14ac:dyDescent="0.2">
      <c r="C173" s="975"/>
    </row>
    <row r="174" spans="3:5" x14ac:dyDescent="0.2">
      <c r="C174" s="38" t="s">
        <v>1315</v>
      </c>
      <c r="D174" s="38" t="s">
        <v>1375</v>
      </c>
      <c r="E174" s="38"/>
    </row>
    <row r="175" spans="3:5" x14ac:dyDescent="0.2">
      <c r="C175" s="38" t="s">
        <v>1376</v>
      </c>
      <c r="D175" s="38">
        <v>72</v>
      </c>
      <c r="E175" s="38"/>
    </row>
    <row r="176" spans="3:5" x14ac:dyDescent="0.2">
      <c r="C176" s="38" t="s">
        <v>1377</v>
      </c>
      <c r="D176" s="38">
        <v>24</v>
      </c>
      <c r="E176" s="38"/>
    </row>
    <row r="177" spans="3:5" x14ac:dyDescent="0.2">
      <c r="C177" s="38" t="s">
        <v>1378</v>
      </c>
      <c r="D177" s="38">
        <v>200</v>
      </c>
      <c r="E177" s="38"/>
    </row>
    <row r="178" spans="3:5" x14ac:dyDescent="0.2">
      <c r="C178" s="38" t="s">
        <v>1327</v>
      </c>
      <c r="D178" s="38">
        <v>340</v>
      </c>
      <c r="E178" s="38"/>
    </row>
    <row r="179" spans="3:5" x14ac:dyDescent="0.2">
      <c r="C179" s="38" t="s">
        <v>1379</v>
      </c>
      <c r="D179" s="38">
        <v>120</v>
      </c>
      <c r="E179" s="38"/>
    </row>
    <row r="180" spans="3:5" x14ac:dyDescent="0.2">
      <c r="C180" s="38" t="s">
        <v>1380</v>
      </c>
      <c r="D180" s="38">
        <v>80</v>
      </c>
      <c r="E180" s="38"/>
    </row>
    <row r="181" spans="3:5" x14ac:dyDescent="0.2">
      <c r="C181" s="38" t="s">
        <v>159</v>
      </c>
      <c r="D181" s="38">
        <v>120</v>
      </c>
      <c r="E181" s="38"/>
    </row>
    <row r="182" spans="3:5" x14ac:dyDescent="0.2">
      <c r="C182" s="38" t="s">
        <v>164</v>
      </c>
      <c r="D182" s="38">
        <f>SUM(D175:D181)</f>
        <v>956</v>
      </c>
      <c r="E182" s="38"/>
    </row>
    <row r="184" spans="3:5" x14ac:dyDescent="0.2">
      <c r="D184" s="41"/>
      <c r="E184" s="3"/>
    </row>
    <row r="185" spans="3:5" x14ac:dyDescent="0.2">
      <c r="C185" s="38" t="s">
        <v>1381</v>
      </c>
      <c r="D185" s="38"/>
      <c r="E185" s="38"/>
    </row>
    <row r="186" spans="3:5" x14ac:dyDescent="0.2">
      <c r="C186" s="38"/>
      <c r="D186" s="38"/>
      <c r="E186" s="38"/>
    </row>
    <row r="187" spans="3:5" x14ac:dyDescent="0.2">
      <c r="C187" s="38" t="s">
        <v>1382</v>
      </c>
      <c r="D187" s="38" t="s">
        <v>1375</v>
      </c>
      <c r="E187" s="38" t="s">
        <v>489</v>
      </c>
    </row>
    <row r="188" spans="3:5" x14ac:dyDescent="0.2">
      <c r="C188" s="38" t="s">
        <v>1383</v>
      </c>
      <c r="D188" s="38">
        <f>+$D$197*D207</f>
        <v>1302.6000000000001</v>
      </c>
      <c r="E188" s="38" t="s">
        <v>1384</v>
      </c>
    </row>
    <row r="189" spans="3:5" x14ac:dyDescent="0.2">
      <c r="C189" s="38" t="s">
        <v>1385</v>
      </c>
      <c r="D189" s="38">
        <f>+$D$198*D207</f>
        <v>1803.6000000000001</v>
      </c>
      <c r="E189" s="38" t="s">
        <v>1384</v>
      </c>
    </row>
    <row r="190" spans="3:5" x14ac:dyDescent="0.2">
      <c r="C190" s="38" t="s">
        <v>1386</v>
      </c>
      <c r="D190" s="38">
        <f>+D199*$D$207</f>
        <v>1503</v>
      </c>
      <c r="E190" s="38" t="s">
        <v>1384</v>
      </c>
    </row>
    <row r="191" spans="3:5" x14ac:dyDescent="0.2">
      <c r="C191" s="38" t="s">
        <v>1387</v>
      </c>
      <c r="D191" s="38">
        <f>+D200*$D$207</f>
        <v>400.8</v>
      </c>
      <c r="E191" s="38" t="s">
        <v>1384</v>
      </c>
    </row>
    <row r="192" spans="3:5" x14ac:dyDescent="0.2">
      <c r="C192" s="38" t="s">
        <v>1388</v>
      </c>
      <c r="D192" s="38">
        <f>+D201*$D$207</f>
        <v>2722.1</v>
      </c>
      <c r="E192" s="38" t="s">
        <v>1389</v>
      </c>
    </row>
    <row r="193" spans="3:5" x14ac:dyDescent="0.2">
      <c r="C193" s="38" t="s">
        <v>1320</v>
      </c>
      <c r="D193" s="38">
        <v>400</v>
      </c>
      <c r="E193" s="38"/>
    </row>
    <row r="194" spans="3:5" x14ac:dyDescent="0.2">
      <c r="C194" s="38" t="s">
        <v>164</v>
      </c>
      <c r="D194" s="38">
        <f>SUM(D188:D193)</f>
        <v>8132.1</v>
      </c>
      <c r="E194" s="38"/>
    </row>
    <row r="195" spans="3:5" x14ac:dyDescent="0.2">
      <c r="C195" s="38"/>
      <c r="D195" s="38"/>
      <c r="E195" s="38"/>
    </row>
    <row r="196" spans="3:5" x14ac:dyDescent="0.2">
      <c r="C196" s="38" t="s">
        <v>1390</v>
      </c>
      <c r="D196" s="38" t="s">
        <v>1391</v>
      </c>
      <c r="E196" s="38"/>
    </row>
    <row r="197" spans="3:5" x14ac:dyDescent="0.2">
      <c r="C197" s="38" t="s">
        <v>1383</v>
      </c>
      <c r="D197" s="38">
        <f>0.65*12</f>
        <v>7.8000000000000007</v>
      </c>
      <c r="E197" s="38" t="s">
        <v>1392</v>
      </c>
    </row>
    <row r="198" spans="3:5" x14ac:dyDescent="0.2">
      <c r="C198" s="38" t="s">
        <v>1385</v>
      </c>
      <c r="D198" s="38">
        <v>10.8</v>
      </c>
      <c r="E198" s="38" t="s">
        <v>1393</v>
      </c>
    </row>
    <row r="199" spans="3:5" x14ac:dyDescent="0.2">
      <c r="C199" s="38" t="s">
        <v>1386</v>
      </c>
      <c r="D199" s="38">
        <v>9</v>
      </c>
      <c r="E199" s="38" t="s">
        <v>1394</v>
      </c>
    </row>
    <row r="200" spans="3:5" x14ac:dyDescent="0.2">
      <c r="C200" s="38" t="s">
        <v>1387</v>
      </c>
      <c r="D200" s="38">
        <v>2.4</v>
      </c>
      <c r="E200" s="38" t="s">
        <v>1395</v>
      </c>
    </row>
    <row r="201" spans="3:5" x14ac:dyDescent="0.2">
      <c r="C201" s="38" t="s">
        <v>1396</v>
      </c>
      <c r="D201" s="38">
        <v>16.3</v>
      </c>
      <c r="E201" s="38" t="s">
        <v>1397</v>
      </c>
    </row>
    <row r="202" spans="3:5" x14ac:dyDescent="0.2">
      <c r="C202" s="38" t="s">
        <v>1398</v>
      </c>
      <c r="D202" s="38">
        <f>SUM(D197:D201)</f>
        <v>46.3</v>
      </c>
      <c r="E202" s="38"/>
    </row>
    <row r="203" spans="3:5" ht="15.75" x14ac:dyDescent="0.2">
      <c r="C203" s="976" t="s">
        <v>1399</v>
      </c>
      <c r="D203" s="977">
        <v>30</v>
      </c>
    </row>
    <row r="204" spans="3:5" ht="15.75" x14ac:dyDescent="0.2">
      <c r="C204" s="978" t="s">
        <v>1400</v>
      </c>
      <c r="D204" s="979">
        <f>(D202+D203)/2</f>
        <v>38.15</v>
      </c>
    </row>
    <row r="205" spans="3:5" ht="15.75" x14ac:dyDescent="0.2">
      <c r="C205" s="978" t="s">
        <v>1401</v>
      </c>
      <c r="D205" s="979">
        <f>D204</f>
        <v>38.15</v>
      </c>
    </row>
    <row r="207" spans="3:5" ht="15.75" x14ac:dyDescent="0.2">
      <c r="C207" s="978" t="s">
        <v>1402</v>
      </c>
      <c r="D207" s="15">
        <v>167</v>
      </c>
    </row>
    <row r="210" spans="3:5" x14ac:dyDescent="0.2">
      <c r="C210" s="38" t="s">
        <v>1404</v>
      </c>
      <c r="D210" s="38" t="s">
        <v>1375</v>
      </c>
      <c r="E210" s="38" t="s">
        <v>489</v>
      </c>
    </row>
    <row r="211" spans="3:5" x14ac:dyDescent="0.2">
      <c r="C211" s="38" t="s">
        <v>1405</v>
      </c>
      <c r="D211" s="38">
        <v>1923</v>
      </c>
      <c r="E211" s="38" t="s">
        <v>1406</v>
      </c>
    </row>
    <row r="212" spans="3:5" x14ac:dyDescent="0.2">
      <c r="C212" s="38" t="s">
        <v>1407</v>
      </c>
      <c r="D212" s="38">
        <v>250</v>
      </c>
      <c r="E212" s="38" t="s">
        <v>1408</v>
      </c>
    </row>
    <row r="213" spans="3:5" x14ac:dyDescent="0.2">
      <c r="C213" s="38" t="s">
        <v>1409</v>
      </c>
      <c r="D213" s="38">
        <v>100</v>
      </c>
      <c r="E213" s="38"/>
    </row>
    <row r="214" spans="3:5" x14ac:dyDescent="0.2">
      <c r="C214" s="38" t="s">
        <v>1410</v>
      </c>
      <c r="D214" s="38">
        <v>100</v>
      </c>
      <c r="E214" s="38"/>
    </row>
    <row r="215" spans="3:5" x14ac:dyDescent="0.2">
      <c r="C215" s="38" t="s">
        <v>1411</v>
      </c>
      <c r="D215" s="38">
        <v>300</v>
      </c>
      <c r="E215" s="38" t="s">
        <v>1412</v>
      </c>
    </row>
    <row r="216" spans="3:5" x14ac:dyDescent="0.2">
      <c r="C216" s="38" t="s">
        <v>1413</v>
      </c>
      <c r="D216" s="38">
        <v>250</v>
      </c>
      <c r="E216" s="38"/>
    </row>
    <row r="217" spans="3:5" x14ac:dyDescent="0.2">
      <c r="C217" s="38" t="s">
        <v>1414</v>
      </c>
      <c r="D217" s="38">
        <v>200</v>
      </c>
      <c r="E217" s="38"/>
    </row>
    <row r="218" spans="3:5" x14ac:dyDescent="0.2">
      <c r="C218" s="38" t="s">
        <v>1313</v>
      </c>
      <c r="D218" s="38">
        <v>300</v>
      </c>
      <c r="E218" s="38"/>
    </row>
    <row r="219" spans="3:5" x14ac:dyDescent="0.2">
      <c r="C219" s="38" t="s">
        <v>1415</v>
      </c>
      <c r="D219" s="38">
        <v>400</v>
      </c>
      <c r="E219" s="38"/>
    </row>
    <row r="220" spans="3:5" x14ac:dyDescent="0.2">
      <c r="C220" s="38" t="s">
        <v>164</v>
      </c>
      <c r="D220" s="38">
        <f>SUM(D211:D219)</f>
        <v>3823</v>
      </c>
      <c r="E220" s="38"/>
    </row>
    <row r="221" spans="3:5" x14ac:dyDescent="0.2">
      <c r="C221" s="38" t="s">
        <v>1416</v>
      </c>
      <c r="D221" s="38">
        <f>+D220/D238</f>
        <v>9.5574999999999993E-2</v>
      </c>
      <c r="E221" s="38"/>
    </row>
    <row r="223" spans="3:5" ht="15.75" x14ac:dyDescent="0.2">
      <c r="C223" s="981"/>
    </row>
    <row r="224" spans="3:5" ht="15.75" x14ac:dyDescent="0.2">
      <c r="C224" s="974" t="s">
        <v>1417</v>
      </c>
    </row>
    <row r="226" spans="3:5" x14ac:dyDescent="0.2">
      <c r="C226" s="38" t="s">
        <v>1418</v>
      </c>
      <c r="D226" s="38" t="s">
        <v>1419</v>
      </c>
      <c r="E226" s="38"/>
    </row>
    <row r="227" spans="3:5" x14ac:dyDescent="0.2">
      <c r="C227" s="38" t="s">
        <v>1405</v>
      </c>
      <c r="D227" s="38">
        <v>1928</v>
      </c>
      <c r="E227" s="38"/>
    </row>
    <row r="228" spans="3:5" x14ac:dyDescent="0.2">
      <c r="C228" s="38" t="s">
        <v>1407</v>
      </c>
      <c r="D228" s="38">
        <v>250</v>
      </c>
      <c r="E228" s="38">
        <f>+D235-D227-D228-D229-D230-D231-D232-D233</f>
        <v>200</v>
      </c>
    </row>
    <row r="229" spans="3:5" x14ac:dyDescent="0.2">
      <c r="C229" s="38" t="s">
        <v>1409</v>
      </c>
      <c r="D229" s="38">
        <v>100</v>
      </c>
      <c r="E229" s="38"/>
    </row>
    <row r="230" spans="3:5" x14ac:dyDescent="0.2">
      <c r="C230" s="38" t="s">
        <v>1410</v>
      </c>
      <c r="D230" s="38">
        <v>100</v>
      </c>
      <c r="E230" s="38"/>
    </row>
    <row r="231" spans="3:5" x14ac:dyDescent="0.2">
      <c r="C231" s="38" t="s">
        <v>1411</v>
      </c>
      <c r="D231" s="38">
        <v>300</v>
      </c>
      <c r="E231" s="38"/>
    </row>
    <row r="232" spans="3:5" x14ac:dyDescent="0.2">
      <c r="C232" s="38" t="s">
        <v>1414</v>
      </c>
      <c r="D232" s="38">
        <v>100</v>
      </c>
      <c r="E232" s="38"/>
    </row>
    <row r="233" spans="3:5" x14ac:dyDescent="0.2">
      <c r="C233" s="38" t="s">
        <v>1313</v>
      </c>
      <c r="D233" s="38">
        <v>300</v>
      </c>
      <c r="E233" s="38"/>
    </row>
    <row r="234" spans="3:5" x14ac:dyDescent="0.2">
      <c r="C234" s="38" t="s">
        <v>1415</v>
      </c>
      <c r="D234" s="38">
        <v>200</v>
      </c>
      <c r="E234" s="38"/>
    </row>
    <row r="235" spans="3:5" x14ac:dyDescent="0.2">
      <c r="C235" s="38" t="s">
        <v>164</v>
      </c>
      <c r="D235" s="38">
        <f>SUM(D227:D234)</f>
        <v>3278</v>
      </c>
      <c r="E235" s="38"/>
    </row>
    <row r="236" spans="3:5" x14ac:dyDescent="0.2">
      <c r="C236" s="38" t="s">
        <v>1416</v>
      </c>
      <c r="D236" s="38">
        <f>+D235/D238</f>
        <v>8.1949999999999995E-2</v>
      </c>
      <c r="E236" s="38"/>
    </row>
    <row r="238" spans="3:5" x14ac:dyDescent="0.2">
      <c r="C238" t="s">
        <v>1420</v>
      </c>
      <c r="D238">
        <v>40000</v>
      </c>
    </row>
  </sheetData>
  <mergeCells count="1">
    <mergeCell ref="G14:K16"/>
  </mergeCells>
  <phoneticPr fontId="5"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3"/>
  <dimension ref="A3:W195"/>
  <sheetViews>
    <sheetView rightToLeft="1" topLeftCell="A65" workbookViewId="0">
      <selection activeCell="L71" sqref="L71"/>
    </sheetView>
  </sheetViews>
  <sheetFormatPr defaultColWidth="8.85546875" defaultRowHeight="15" x14ac:dyDescent="0.25"/>
  <cols>
    <col min="1" max="1" width="8.85546875" style="109"/>
    <col min="2" max="2" width="6.28515625" style="56" customWidth="1"/>
    <col min="3" max="3" width="14.140625" style="59" customWidth="1"/>
    <col min="4" max="4" width="14.140625" style="58" customWidth="1"/>
    <col min="5" max="5" width="12.42578125" style="112" bestFit="1" customWidth="1"/>
    <col min="6" max="6" width="6.28515625" style="57" customWidth="1"/>
    <col min="7" max="7" width="11.28515625" style="112" customWidth="1"/>
    <col min="8" max="8" width="5" style="57" customWidth="1"/>
    <col min="9" max="9" width="11.28515625" style="112" customWidth="1"/>
    <col min="10" max="10" width="5" style="57" customWidth="1"/>
    <col min="11" max="11" width="10.140625" style="112" customWidth="1"/>
    <col min="12" max="12" width="3.85546875" style="57" customWidth="1"/>
    <col min="13" max="13" width="10.140625" style="112" customWidth="1"/>
    <col min="14" max="14" width="5" style="57" customWidth="1"/>
    <col min="15" max="15" width="11.28515625" style="112" customWidth="1"/>
    <col min="16" max="16" width="5" style="57" customWidth="1"/>
    <col min="17" max="17" width="10.140625" style="112" bestFit="1" customWidth="1"/>
    <col min="18" max="18" width="5" style="57" customWidth="1"/>
    <col min="19" max="19" width="11.28515625" style="112" customWidth="1"/>
    <col min="20" max="20" width="5" style="57" customWidth="1"/>
    <col min="21" max="21" width="12.42578125" style="104" customWidth="1"/>
    <col min="22" max="22" width="4.42578125" style="13" customWidth="1"/>
    <col min="23" max="23" width="10.140625" style="56" bestFit="1" customWidth="1"/>
    <col min="24" max="16384" width="8.85546875" style="56"/>
  </cols>
  <sheetData>
    <row r="3" spans="1:23" ht="21.75" customHeight="1" x14ac:dyDescent="0.25">
      <c r="B3" s="1764" t="s">
        <v>790</v>
      </c>
      <c r="C3" s="1764"/>
      <c r="D3" s="1764"/>
      <c r="E3" s="1764"/>
      <c r="F3" s="1765"/>
      <c r="G3" s="1764"/>
      <c r="H3" s="1765"/>
      <c r="I3" s="1764"/>
      <c r="J3" s="1764"/>
      <c r="K3" s="1764"/>
      <c r="L3" s="1765"/>
      <c r="M3" s="1764"/>
      <c r="N3" s="1764"/>
      <c r="O3" s="1764"/>
      <c r="P3" s="1764"/>
      <c r="Q3" s="1764"/>
      <c r="R3" s="1764"/>
      <c r="S3" s="1764"/>
      <c r="T3" s="1764"/>
      <c r="U3" s="1764"/>
      <c r="V3" s="1764"/>
    </row>
    <row r="4" spans="1:23" ht="15.75" x14ac:dyDescent="0.25">
      <c r="B4" s="440"/>
      <c r="C4" s="441" t="s">
        <v>557</v>
      </c>
      <c r="D4" s="441"/>
      <c r="E4" s="442"/>
      <c r="F4" s="443"/>
      <c r="G4" s="442"/>
      <c r="H4" s="443"/>
      <c r="I4" s="442"/>
      <c r="J4" s="443"/>
      <c r="K4" s="442"/>
      <c r="L4" s="443"/>
      <c r="M4" s="442"/>
      <c r="N4" s="443"/>
      <c r="O4" s="442"/>
      <c r="P4" s="443"/>
      <c r="Q4" s="442"/>
      <c r="R4" s="443"/>
      <c r="S4" s="442"/>
      <c r="T4" s="443"/>
      <c r="U4" s="444"/>
      <c r="V4" s="445"/>
    </row>
    <row r="5" spans="1:23" ht="11.45" customHeight="1" thickBot="1" x14ac:dyDescent="0.3">
      <c r="C5" s="77"/>
      <c r="D5" s="76"/>
    </row>
    <row r="6" spans="1:23" s="69" customFormat="1" ht="17.100000000000001" customHeight="1" x14ac:dyDescent="0.25">
      <c r="A6" s="460"/>
      <c r="B6" s="533" t="s">
        <v>282</v>
      </c>
      <c r="C6" s="1766" t="s">
        <v>556</v>
      </c>
      <c r="D6" s="534"/>
      <c r="E6" s="1769" t="s">
        <v>285</v>
      </c>
      <c r="F6" s="1770"/>
      <c r="G6" s="1755" t="s">
        <v>502</v>
      </c>
      <c r="H6" s="1771"/>
      <c r="I6" s="1755" t="s">
        <v>372</v>
      </c>
      <c r="J6" s="1756"/>
      <c r="K6" s="1772" t="s">
        <v>555</v>
      </c>
      <c r="L6" s="1770"/>
      <c r="M6" s="1755" t="s">
        <v>554</v>
      </c>
      <c r="N6" s="1756"/>
      <c r="O6" s="1755" t="s">
        <v>373</v>
      </c>
      <c r="P6" s="1756"/>
      <c r="Q6" s="1772" t="s">
        <v>374</v>
      </c>
      <c r="R6" s="1769"/>
      <c r="S6" s="1774" t="s">
        <v>285</v>
      </c>
      <c r="T6" s="1775"/>
      <c r="U6" s="1755" t="s">
        <v>285</v>
      </c>
      <c r="V6" s="1756"/>
    </row>
    <row r="7" spans="1:23" ht="17.100000000000001" customHeight="1" x14ac:dyDescent="0.25">
      <c r="A7" s="461"/>
      <c r="B7" s="535" t="s">
        <v>289</v>
      </c>
      <c r="C7" s="1767"/>
      <c r="D7" s="536" t="s">
        <v>290</v>
      </c>
      <c r="E7" s="1757" t="s">
        <v>299</v>
      </c>
      <c r="F7" s="1758"/>
      <c r="G7" s="1759" t="s">
        <v>553</v>
      </c>
      <c r="H7" s="1760"/>
      <c r="I7" s="1759" t="s">
        <v>553</v>
      </c>
      <c r="J7" s="1760"/>
      <c r="K7" s="1773"/>
      <c r="L7" s="1758"/>
      <c r="M7" s="1759" t="s">
        <v>552</v>
      </c>
      <c r="N7" s="1761"/>
      <c r="O7" s="1759" t="s">
        <v>375</v>
      </c>
      <c r="P7" s="1761"/>
      <c r="Q7" s="1773"/>
      <c r="R7" s="1757"/>
      <c r="S7" s="1762" t="s">
        <v>376</v>
      </c>
      <c r="T7" s="1763"/>
      <c r="U7" s="1759" t="s">
        <v>295</v>
      </c>
      <c r="V7" s="1761"/>
    </row>
    <row r="8" spans="1:23" ht="17.100000000000001" customHeight="1" thickBot="1" x14ac:dyDescent="0.3">
      <c r="A8" s="461"/>
      <c r="B8" s="537"/>
      <c r="C8" s="1768"/>
      <c r="D8" s="538"/>
      <c r="E8" s="539" t="s">
        <v>301</v>
      </c>
      <c r="F8" s="540" t="s">
        <v>302</v>
      </c>
      <c r="G8" s="541" t="s">
        <v>301</v>
      </c>
      <c r="H8" s="540" t="s">
        <v>302</v>
      </c>
      <c r="I8" s="541" t="s">
        <v>301</v>
      </c>
      <c r="J8" s="540" t="s">
        <v>302</v>
      </c>
      <c r="K8" s="541" t="s">
        <v>301</v>
      </c>
      <c r="L8" s="540" t="s">
        <v>302</v>
      </c>
      <c r="M8" s="541" t="s">
        <v>301</v>
      </c>
      <c r="N8" s="540" t="s">
        <v>302</v>
      </c>
      <c r="O8" s="541" t="s">
        <v>301</v>
      </c>
      <c r="P8" s="540" t="s">
        <v>302</v>
      </c>
      <c r="Q8" s="541" t="s">
        <v>301</v>
      </c>
      <c r="R8" s="540" t="s">
        <v>302</v>
      </c>
      <c r="S8" s="541" t="s">
        <v>301</v>
      </c>
      <c r="T8" s="540" t="s">
        <v>302</v>
      </c>
      <c r="U8" s="541" t="s">
        <v>301</v>
      </c>
      <c r="V8" s="542" t="s">
        <v>302</v>
      </c>
    </row>
    <row r="9" spans="1:23" s="69" customFormat="1" ht="17.100000000000001" customHeight="1" x14ac:dyDescent="0.25">
      <c r="A9" s="461">
        <v>2012</v>
      </c>
      <c r="B9" s="446">
        <v>1</v>
      </c>
      <c r="C9" s="111"/>
      <c r="D9" s="254" t="s">
        <v>743</v>
      </c>
      <c r="E9" s="255">
        <v>616761</v>
      </c>
      <c r="F9" s="256">
        <v>92.389516542184595</v>
      </c>
      <c r="G9" s="257">
        <v>0</v>
      </c>
      <c r="H9" s="256">
        <v>0</v>
      </c>
      <c r="I9" s="257">
        <v>20806</v>
      </c>
      <c r="J9" s="258">
        <v>3.116695577665729</v>
      </c>
      <c r="K9" s="259">
        <v>0</v>
      </c>
      <c r="L9" s="256">
        <v>0</v>
      </c>
      <c r="M9" s="257">
        <v>0</v>
      </c>
      <c r="N9" s="258">
        <v>0</v>
      </c>
      <c r="O9" s="259">
        <v>12341</v>
      </c>
      <c r="P9" s="256">
        <v>1.8486561628363338</v>
      </c>
      <c r="Q9" s="257">
        <v>11640</v>
      </c>
      <c r="R9" s="258">
        <v>1.7436478190920448</v>
      </c>
      <c r="S9" s="257">
        <v>6018</v>
      </c>
      <c r="T9" s="260">
        <v>0.90148389822129937</v>
      </c>
      <c r="U9" s="125">
        <v>667566</v>
      </c>
      <c r="V9" s="261">
        <v>100</v>
      </c>
    </row>
    <row r="10" spans="1:23" s="69" customFormat="1" ht="17.100000000000001" customHeight="1" x14ac:dyDescent="0.25">
      <c r="A10" s="461"/>
      <c r="B10" s="447"/>
      <c r="C10" s="65"/>
      <c r="D10" s="262" t="s">
        <v>96</v>
      </c>
      <c r="E10" s="263">
        <v>313330</v>
      </c>
      <c r="F10" s="74">
        <v>85.91091674321045</v>
      </c>
      <c r="G10" s="264">
        <v>0</v>
      </c>
      <c r="H10" s="61">
        <v>0</v>
      </c>
      <c r="I10" s="264">
        <v>11289</v>
      </c>
      <c r="J10" s="67">
        <v>3.0952935854023007</v>
      </c>
      <c r="K10" s="265">
        <v>319</v>
      </c>
      <c r="L10" s="61">
        <v>8.7465555296601452E-2</v>
      </c>
      <c r="M10" s="264">
        <v>0</v>
      </c>
      <c r="N10" s="67">
        <v>0</v>
      </c>
      <c r="O10" s="265">
        <v>35043</v>
      </c>
      <c r="P10" s="61">
        <v>9.6083243080213325</v>
      </c>
      <c r="Q10" s="264">
        <v>4640</v>
      </c>
      <c r="R10" s="67">
        <v>1.2722262588596576</v>
      </c>
      <c r="S10" s="264">
        <v>94</v>
      </c>
      <c r="T10" s="67">
        <v>2.5773549209656854E-2</v>
      </c>
      <c r="U10" s="132">
        <v>364715</v>
      </c>
      <c r="V10" s="266">
        <v>100.00000000000001</v>
      </c>
    </row>
    <row r="11" spans="1:23" s="69" customFormat="1" ht="17.100000000000001" customHeight="1" x14ac:dyDescent="0.25">
      <c r="A11" s="461"/>
      <c r="B11" s="447"/>
      <c r="C11" s="65"/>
      <c r="D11" s="262" t="s">
        <v>744</v>
      </c>
      <c r="E11" s="264">
        <v>480811</v>
      </c>
      <c r="F11" s="74">
        <v>82.454756388468269</v>
      </c>
      <c r="G11" s="264">
        <v>0</v>
      </c>
      <c r="H11" s="61">
        <v>0</v>
      </c>
      <c r="I11" s="264">
        <v>16996</v>
      </c>
      <c r="J11" s="67">
        <v>2.9146609365809155</v>
      </c>
      <c r="K11" s="265">
        <v>89</v>
      </c>
      <c r="L11" s="61">
        <v>1.5262698479389354E-2</v>
      </c>
      <c r="M11" s="264">
        <v>0</v>
      </c>
      <c r="N11" s="67">
        <v>0</v>
      </c>
      <c r="O11" s="265">
        <v>69039</v>
      </c>
      <c r="P11" s="61">
        <v>11.839566745152379</v>
      </c>
      <c r="Q11" s="264">
        <v>8502</v>
      </c>
      <c r="R11" s="67">
        <v>1.4580164322670595</v>
      </c>
      <c r="S11" s="264">
        <v>7684</v>
      </c>
      <c r="T11" s="67">
        <v>1.3177367990519977</v>
      </c>
      <c r="U11" s="132">
        <v>583121</v>
      </c>
      <c r="V11" s="266">
        <v>100.00000000000001</v>
      </c>
    </row>
    <row r="12" spans="1:23" s="69" customFormat="1" ht="17.100000000000001" customHeight="1" x14ac:dyDescent="0.25">
      <c r="A12" s="461"/>
      <c r="B12" s="447"/>
      <c r="C12" s="65"/>
      <c r="D12" s="262" t="s">
        <v>745</v>
      </c>
      <c r="E12" s="263">
        <v>851729</v>
      </c>
      <c r="F12" s="61">
        <v>80.231520861651731</v>
      </c>
      <c r="G12" s="264">
        <v>230</v>
      </c>
      <c r="H12" s="61">
        <v>2.1665635194034603E-2</v>
      </c>
      <c r="I12" s="264">
        <v>37308</v>
      </c>
      <c r="J12" s="67">
        <v>3.514354425300187</v>
      </c>
      <c r="K12" s="265">
        <v>31654</v>
      </c>
      <c r="L12" s="61">
        <v>2.9817565931824839</v>
      </c>
      <c r="M12" s="267">
        <v>0</v>
      </c>
      <c r="N12" s="67">
        <v>0</v>
      </c>
      <c r="O12" s="265">
        <v>104777</v>
      </c>
      <c r="P12" s="61">
        <v>9.8698272118494064</v>
      </c>
      <c r="Q12" s="264">
        <v>17173</v>
      </c>
      <c r="R12" s="67">
        <v>1.6176693616832878</v>
      </c>
      <c r="S12" s="264">
        <v>18718</v>
      </c>
      <c r="T12" s="67">
        <v>1.763205911138868</v>
      </c>
      <c r="U12" s="132">
        <v>1061589</v>
      </c>
      <c r="V12" s="266">
        <v>100</v>
      </c>
    </row>
    <row r="13" spans="1:23" s="69" customFormat="1" ht="17.100000000000001" customHeight="1" x14ac:dyDescent="0.25">
      <c r="A13" s="461"/>
      <c r="B13" s="447"/>
      <c r="C13" s="65"/>
      <c r="D13" s="262" t="s">
        <v>746</v>
      </c>
      <c r="E13" s="263">
        <v>1065763</v>
      </c>
      <c r="F13" s="74">
        <v>91.527134039777636</v>
      </c>
      <c r="G13" s="264">
        <v>86</v>
      </c>
      <c r="H13" s="61">
        <v>7.385632197234167E-3</v>
      </c>
      <c r="I13" s="264">
        <v>65904</v>
      </c>
      <c r="J13" s="67">
        <v>3.514354425300187</v>
      </c>
      <c r="K13" s="265">
        <v>359</v>
      </c>
      <c r="L13" s="61">
        <v>3.0830720451244954E-2</v>
      </c>
      <c r="M13" s="264">
        <v>0</v>
      </c>
      <c r="N13" s="67">
        <v>0</v>
      </c>
      <c r="O13" s="265">
        <v>21843</v>
      </c>
      <c r="P13" s="61">
        <v>1.8758646986533245</v>
      </c>
      <c r="Q13" s="264">
        <v>4780</v>
      </c>
      <c r="R13" s="67">
        <v>0.41050374305557341</v>
      </c>
      <c r="S13" s="264">
        <v>5688</v>
      </c>
      <c r="T13" s="67">
        <v>0.48848227834730162</v>
      </c>
      <c r="U13" s="132">
        <v>1164423</v>
      </c>
      <c r="V13" s="268">
        <v>100</v>
      </c>
    </row>
    <row r="14" spans="1:23" s="137" customFormat="1" ht="17.100000000000001" customHeight="1" x14ac:dyDescent="0.25">
      <c r="A14" s="461"/>
      <c r="B14" s="447"/>
      <c r="C14" s="65"/>
      <c r="D14" s="269" t="s">
        <v>646</v>
      </c>
      <c r="E14" s="270">
        <v>163711</v>
      </c>
      <c r="F14" s="61">
        <v>94.421598426604675</v>
      </c>
      <c r="G14" s="264">
        <v>0</v>
      </c>
      <c r="H14" s="61">
        <v>0</v>
      </c>
      <c r="I14" s="264">
        <v>3048</v>
      </c>
      <c r="J14" s="67">
        <v>1.7579578159335112</v>
      </c>
      <c r="K14" s="265">
        <v>106</v>
      </c>
      <c r="L14" s="61">
        <v>6.1136328244406887E-2</v>
      </c>
      <c r="M14" s="264">
        <v>0</v>
      </c>
      <c r="N14" s="67">
        <v>0</v>
      </c>
      <c r="O14" s="265">
        <v>4949</v>
      </c>
      <c r="P14" s="61">
        <v>2.8543744196374501</v>
      </c>
      <c r="Q14" s="264">
        <v>1488</v>
      </c>
      <c r="R14" s="67">
        <v>0.85821562667620244</v>
      </c>
      <c r="S14" s="264">
        <v>81</v>
      </c>
      <c r="T14" s="67">
        <v>4.6717382903744886E-2</v>
      </c>
      <c r="U14" s="132">
        <v>173383</v>
      </c>
      <c r="V14" s="266">
        <v>99.999999999999986</v>
      </c>
    </row>
    <row r="15" spans="1:23" s="69" customFormat="1" ht="17.100000000000001" customHeight="1" x14ac:dyDescent="0.25">
      <c r="A15" s="461"/>
      <c r="B15" s="447"/>
      <c r="C15" s="65"/>
      <c r="D15" s="269" t="s">
        <v>216</v>
      </c>
      <c r="E15" s="271">
        <v>363242</v>
      </c>
      <c r="F15" s="61">
        <v>91.964889272594235</v>
      </c>
      <c r="G15" s="264">
        <v>2467</v>
      </c>
      <c r="H15" s="61">
        <v>0.62459016808488554</v>
      </c>
      <c r="I15" s="264">
        <v>15935</v>
      </c>
      <c r="J15" s="67">
        <v>4.034391701837313</v>
      </c>
      <c r="K15" s="265">
        <v>0</v>
      </c>
      <c r="L15" s="61">
        <v>0</v>
      </c>
      <c r="M15" s="264">
        <v>0</v>
      </c>
      <c r="N15" s="67">
        <v>0</v>
      </c>
      <c r="O15" s="265">
        <v>6026</v>
      </c>
      <c r="P15" s="61">
        <v>1.5256507307983462</v>
      </c>
      <c r="Q15" s="264">
        <v>523</v>
      </c>
      <c r="R15" s="67">
        <v>0.13241210292192748</v>
      </c>
      <c r="S15" s="264">
        <v>6786</v>
      </c>
      <c r="T15" s="67">
        <v>1.7180660237632885</v>
      </c>
      <c r="U15" s="132">
        <v>394979</v>
      </c>
      <c r="V15" s="266">
        <v>99.999999999999986</v>
      </c>
    </row>
    <row r="16" spans="1:23" s="68" customFormat="1" ht="17.100000000000001" customHeight="1" x14ac:dyDescent="0.25">
      <c r="A16" s="461"/>
      <c r="B16" s="448"/>
      <c r="C16" s="143" t="s">
        <v>686</v>
      </c>
      <c r="D16" s="272" t="s">
        <v>535</v>
      </c>
      <c r="E16" s="273">
        <v>3855347</v>
      </c>
      <c r="F16" s="72">
        <v>87.427275217607431</v>
      </c>
      <c r="G16" s="274">
        <v>2783</v>
      </c>
      <c r="H16" s="72">
        <v>6.3109781539924026E-2</v>
      </c>
      <c r="I16" s="274">
        <v>171286</v>
      </c>
      <c r="J16" s="275">
        <v>3.8842335755829773</v>
      </c>
      <c r="K16" s="273">
        <v>32527</v>
      </c>
      <c r="L16" s="72">
        <v>0.73761116210891442</v>
      </c>
      <c r="M16" s="274">
        <v>0</v>
      </c>
      <c r="N16" s="275">
        <v>0</v>
      </c>
      <c r="O16" s="273">
        <v>254018</v>
      </c>
      <c r="P16" s="72">
        <v>5.7603379400677044</v>
      </c>
      <c r="Q16" s="274">
        <v>48746</v>
      </c>
      <c r="R16" s="275">
        <v>1.1054076216116193</v>
      </c>
      <c r="S16" s="274">
        <v>45069</v>
      </c>
      <c r="T16" s="275">
        <v>1.0220247014814359</v>
      </c>
      <c r="U16" s="276">
        <v>4409776</v>
      </c>
      <c r="V16" s="277">
        <v>100.00000000000001</v>
      </c>
      <c r="W16" s="13"/>
    </row>
    <row r="17" spans="1:23" s="9" customFormat="1" ht="17.100000000000001" customHeight="1" x14ac:dyDescent="0.25">
      <c r="A17" s="461">
        <v>2012</v>
      </c>
      <c r="B17" s="449">
        <v>2</v>
      </c>
      <c r="C17" s="111"/>
      <c r="D17" s="278" t="s">
        <v>218</v>
      </c>
      <c r="E17" s="265">
        <v>30179993</v>
      </c>
      <c r="F17" s="61">
        <v>63.01748107000784</v>
      </c>
      <c r="G17" s="264">
        <v>1459748</v>
      </c>
      <c r="H17" s="61">
        <v>3.0480339063359558</v>
      </c>
      <c r="I17" s="264">
        <v>470728</v>
      </c>
      <c r="J17" s="67">
        <v>0.98290588831888237</v>
      </c>
      <c r="K17" s="265">
        <v>631226</v>
      </c>
      <c r="L17" s="61">
        <v>1.3180345173008083</v>
      </c>
      <c r="M17" s="264">
        <v>358499</v>
      </c>
      <c r="N17" s="67">
        <v>0.74856557939283619</v>
      </c>
      <c r="O17" s="265">
        <v>2553875</v>
      </c>
      <c r="P17" s="61">
        <v>5.3326311065634204</v>
      </c>
      <c r="Q17" s="264">
        <v>284160</v>
      </c>
      <c r="R17" s="67">
        <v>0.59334166912674335</v>
      </c>
      <c r="S17" s="264">
        <v>11953233</v>
      </c>
      <c r="T17" s="67">
        <v>24.959006262953508</v>
      </c>
      <c r="U17" s="132">
        <v>47891462</v>
      </c>
      <c r="V17" s="266">
        <v>99.999999999999986</v>
      </c>
    </row>
    <row r="18" spans="1:23" s="69" customFormat="1" ht="17.100000000000001" customHeight="1" x14ac:dyDescent="0.25">
      <c r="A18" s="461"/>
      <c r="B18" s="447"/>
      <c r="C18" s="65"/>
      <c r="D18" s="262" t="s">
        <v>747</v>
      </c>
      <c r="E18" s="265">
        <v>251399</v>
      </c>
      <c r="F18" s="61">
        <v>88.057542365163542</v>
      </c>
      <c r="G18" s="264">
        <v>1390</v>
      </c>
      <c r="H18" s="61">
        <v>0.48687538091868832</v>
      </c>
      <c r="I18" s="264">
        <v>6075</v>
      </c>
      <c r="J18" s="67">
        <v>2.1278906036554184</v>
      </c>
      <c r="K18" s="265">
        <v>2</v>
      </c>
      <c r="L18" s="61">
        <v>7.0054011642976734E-4</v>
      </c>
      <c r="M18" s="264">
        <v>0</v>
      </c>
      <c r="N18" s="67">
        <v>0</v>
      </c>
      <c r="O18" s="265">
        <v>18346</v>
      </c>
      <c r="P18" s="61">
        <v>6.4260544880102559</v>
      </c>
      <c r="Q18" s="264">
        <v>745</v>
      </c>
      <c r="R18" s="67">
        <v>0.26095119337008832</v>
      </c>
      <c r="S18" s="264">
        <v>7537</v>
      </c>
      <c r="T18" s="67">
        <v>2.639985428765578</v>
      </c>
      <c r="U18" s="132">
        <v>285494</v>
      </c>
      <c r="V18" s="266">
        <v>100</v>
      </c>
      <c r="W18" s="56"/>
    </row>
    <row r="19" spans="1:23" s="137" customFormat="1" ht="17.100000000000001" customHeight="1" x14ac:dyDescent="0.25">
      <c r="A19" s="461"/>
      <c r="B19" s="447"/>
      <c r="C19" s="65"/>
      <c r="D19" s="269" t="s">
        <v>644</v>
      </c>
      <c r="E19" s="265">
        <v>1400194</v>
      </c>
      <c r="F19" s="74">
        <v>90.986087555477582</v>
      </c>
      <c r="G19" s="264">
        <v>33346</v>
      </c>
      <c r="H19" s="61">
        <v>2.1668583607878307</v>
      </c>
      <c r="I19" s="264">
        <v>27611</v>
      </c>
      <c r="J19" s="67">
        <v>1.7941919930340307</v>
      </c>
      <c r="K19" s="265">
        <v>715</v>
      </c>
      <c r="L19" s="61">
        <v>4.6461456485434496E-2</v>
      </c>
      <c r="M19" s="264">
        <v>430</v>
      </c>
      <c r="N19" s="67">
        <v>2.7941854949282287E-2</v>
      </c>
      <c r="O19" s="265">
        <v>26896</v>
      </c>
      <c r="P19" s="61">
        <v>1.747730536548596</v>
      </c>
      <c r="Q19" s="264">
        <v>155</v>
      </c>
      <c r="R19" s="67">
        <v>1.0072063993345939E-2</v>
      </c>
      <c r="S19" s="264">
        <v>49563</v>
      </c>
      <c r="T19" s="67">
        <v>3.2206561787239019</v>
      </c>
      <c r="U19" s="132">
        <v>1538910</v>
      </c>
      <c r="V19" s="266">
        <v>100</v>
      </c>
      <c r="W19" s="279"/>
    </row>
    <row r="20" spans="1:23" s="68" customFormat="1" ht="17.100000000000001" customHeight="1" x14ac:dyDescent="0.25">
      <c r="A20" s="461"/>
      <c r="B20" s="448"/>
      <c r="C20" s="143" t="s">
        <v>441</v>
      </c>
      <c r="D20" s="272" t="s">
        <v>535</v>
      </c>
      <c r="E20" s="280">
        <v>31831586</v>
      </c>
      <c r="F20" s="281">
        <v>64.027017049245401</v>
      </c>
      <c r="G20" s="282">
        <v>1494484</v>
      </c>
      <c r="H20" s="73">
        <v>3.0060504226155893</v>
      </c>
      <c r="I20" s="282">
        <v>504414</v>
      </c>
      <c r="J20" s="281">
        <v>1.0145936108203366</v>
      </c>
      <c r="K20" s="280">
        <v>631943</v>
      </c>
      <c r="L20" s="73">
        <v>1.2711093074391986</v>
      </c>
      <c r="M20" s="282">
        <v>358929</v>
      </c>
      <c r="N20" s="281">
        <v>0.72196067146854093</v>
      </c>
      <c r="O20" s="280">
        <v>2599117</v>
      </c>
      <c r="P20" s="73">
        <v>5.2279427255677291</v>
      </c>
      <c r="Q20" s="282">
        <v>285060</v>
      </c>
      <c r="R20" s="281">
        <v>0.57337832554299661</v>
      </c>
      <c r="S20" s="282">
        <v>12010333</v>
      </c>
      <c r="T20" s="275">
        <v>24.157947887300203</v>
      </c>
      <c r="U20" s="276">
        <v>49715866</v>
      </c>
      <c r="V20" s="277">
        <v>100</v>
      </c>
    </row>
    <row r="21" spans="1:23" s="137" customFormat="1" ht="17.100000000000001" customHeight="1" x14ac:dyDescent="0.25">
      <c r="A21" s="461">
        <v>2012</v>
      </c>
      <c r="B21" s="447">
        <v>3</v>
      </c>
      <c r="C21" s="111"/>
      <c r="D21" s="262" t="s">
        <v>305</v>
      </c>
      <c r="E21" s="283">
        <v>658638</v>
      </c>
      <c r="F21" s="74">
        <v>81.765567583672663</v>
      </c>
      <c r="G21" s="267">
        <v>65959</v>
      </c>
      <c r="H21" s="61">
        <v>8.1883752110437982</v>
      </c>
      <c r="I21" s="267">
        <v>856</v>
      </c>
      <c r="J21" s="67">
        <v>0.10626675936041316</v>
      </c>
      <c r="K21" s="284">
        <v>220</v>
      </c>
      <c r="L21" s="61">
        <v>2.731155030290992E-2</v>
      </c>
      <c r="M21" s="267">
        <v>0</v>
      </c>
      <c r="N21" s="67">
        <v>0</v>
      </c>
      <c r="O21" s="284">
        <v>52417</v>
      </c>
      <c r="P21" s="61">
        <v>6.5072251464892243</v>
      </c>
      <c r="Q21" s="267">
        <v>8444</v>
      </c>
      <c r="R21" s="67">
        <v>1.0482669579898698</v>
      </c>
      <c r="S21" s="267">
        <v>18986</v>
      </c>
      <c r="T21" s="67">
        <v>2.3569867911411264</v>
      </c>
      <c r="U21" s="132">
        <v>805520</v>
      </c>
      <c r="V21" s="266">
        <v>99.999999999999986</v>
      </c>
    </row>
    <row r="22" spans="1:23" s="69" customFormat="1" ht="17.100000000000001" customHeight="1" x14ac:dyDescent="0.25">
      <c r="A22" s="461"/>
      <c r="B22" s="447"/>
      <c r="C22" s="65"/>
      <c r="D22" s="262" t="s">
        <v>748</v>
      </c>
      <c r="E22" s="264">
        <v>885382</v>
      </c>
      <c r="F22" s="61">
        <v>86.553358385503628</v>
      </c>
      <c r="G22" s="264">
        <v>100</v>
      </c>
      <c r="H22" s="61">
        <v>9.7758208756789297E-3</v>
      </c>
      <c r="I22" s="264">
        <v>54527</v>
      </c>
      <c r="J22" s="67">
        <v>5.330461848881451</v>
      </c>
      <c r="K22" s="265">
        <v>3669</v>
      </c>
      <c r="L22" s="61">
        <v>0.35867486792865999</v>
      </c>
      <c r="M22" s="264">
        <v>0</v>
      </c>
      <c r="N22" s="67">
        <v>0</v>
      </c>
      <c r="O22" s="265">
        <v>47932</v>
      </c>
      <c r="P22" s="61">
        <v>4.6857464621304254</v>
      </c>
      <c r="Q22" s="264">
        <v>22311</v>
      </c>
      <c r="R22" s="67">
        <v>2.1810833955727262</v>
      </c>
      <c r="S22" s="264">
        <v>9011</v>
      </c>
      <c r="T22" s="67">
        <v>0.88089921910742852</v>
      </c>
      <c r="U22" s="132">
        <v>1022932</v>
      </c>
      <c r="V22" s="266">
        <v>100</v>
      </c>
    </row>
    <row r="23" spans="1:23" s="137" customFormat="1" ht="17.100000000000001" customHeight="1" x14ac:dyDescent="0.25">
      <c r="A23" s="461"/>
      <c r="B23" s="447"/>
      <c r="C23" s="65"/>
      <c r="D23" s="262" t="s">
        <v>46</v>
      </c>
      <c r="E23" s="264">
        <v>356529</v>
      </c>
      <c r="F23" s="61">
        <v>82.245808457826215</v>
      </c>
      <c r="G23" s="264">
        <v>0</v>
      </c>
      <c r="H23" s="61">
        <v>0</v>
      </c>
      <c r="I23" s="264">
        <v>14308</v>
      </c>
      <c r="J23" s="67">
        <v>3.3006376126895076</v>
      </c>
      <c r="K23" s="265">
        <v>0</v>
      </c>
      <c r="L23" s="61">
        <v>0</v>
      </c>
      <c r="M23" s="264">
        <v>0</v>
      </c>
      <c r="N23" s="67">
        <v>0</v>
      </c>
      <c r="O23" s="265">
        <v>26291</v>
      </c>
      <c r="P23" s="61">
        <v>6.0649331475552026</v>
      </c>
      <c r="Q23" s="264">
        <v>9670</v>
      </c>
      <c r="R23" s="67">
        <v>2.2307216742177483</v>
      </c>
      <c r="S23" s="264">
        <v>26694</v>
      </c>
      <c r="T23" s="67">
        <v>6.1578991077113301</v>
      </c>
      <c r="U23" s="132">
        <v>433492</v>
      </c>
      <c r="V23" s="266">
        <v>100.00000000000001</v>
      </c>
    </row>
    <row r="24" spans="1:23" s="69" customFormat="1" ht="17.100000000000001" customHeight="1" x14ac:dyDescent="0.25">
      <c r="A24" s="461"/>
      <c r="B24" s="447"/>
      <c r="C24" s="65"/>
      <c r="D24" s="262" t="s">
        <v>749</v>
      </c>
      <c r="E24" s="263">
        <v>733369</v>
      </c>
      <c r="F24" s="61">
        <v>87.956818500737</v>
      </c>
      <c r="G24" s="264">
        <v>1024</v>
      </c>
      <c r="H24" s="61">
        <v>0.12281372971144769</v>
      </c>
      <c r="I24" s="264">
        <v>59173</v>
      </c>
      <c r="J24" s="67">
        <v>7.0969304963041946</v>
      </c>
      <c r="K24" s="265">
        <v>199</v>
      </c>
      <c r="L24" s="61">
        <v>2.3867121301345794E-2</v>
      </c>
      <c r="M24" s="264">
        <v>0</v>
      </c>
      <c r="N24" s="67">
        <v>0</v>
      </c>
      <c r="O24" s="265">
        <v>28923</v>
      </c>
      <c r="P24" s="61">
        <v>3.4688881879337905</v>
      </c>
      <c r="Q24" s="264">
        <v>5879</v>
      </c>
      <c r="R24" s="67">
        <v>0.70509952829453226</v>
      </c>
      <c r="S24" s="264">
        <v>5216</v>
      </c>
      <c r="T24" s="67">
        <v>0.62558243571768668</v>
      </c>
      <c r="U24" s="132">
        <v>833783</v>
      </c>
      <c r="V24" s="266">
        <v>100</v>
      </c>
    </row>
    <row r="25" spans="1:23" s="69" customFormat="1" ht="17.100000000000001" customHeight="1" x14ac:dyDescent="0.25">
      <c r="A25" s="461"/>
      <c r="B25" s="447"/>
      <c r="C25" s="65"/>
      <c r="D25" s="262" t="s">
        <v>750</v>
      </c>
      <c r="E25" s="264">
        <v>2851268</v>
      </c>
      <c r="F25" s="61">
        <v>78.372597951729105</v>
      </c>
      <c r="G25" s="264">
        <v>6658</v>
      </c>
      <c r="H25" s="61">
        <v>0.18300796598657593</v>
      </c>
      <c r="I25" s="264">
        <v>238371</v>
      </c>
      <c r="J25" s="67">
        <v>6.5520864914668202</v>
      </c>
      <c r="K25" s="265">
        <v>71852</v>
      </c>
      <c r="L25" s="61">
        <v>1.9749907437770282</v>
      </c>
      <c r="M25" s="264">
        <v>0</v>
      </c>
      <c r="N25" s="67">
        <v>0</v>
      </c>
      <c r="O25" s="265">
        <v>234079</v>
      </c>
      <c r="P25" s="61">
        <v>6.4341125969017279</v>
      </c>
      <c r="Q25" s="264">
        <v>21846</v>
      </c>
      <c r="R25" s="67">
        <v>0.60047942699650614</v>
      </c>
      <c r="S25" s="264">
        <v>214019</v>
      </c>
      <c r="T25" s="67">
        <v>5.882724823142234</v>
      </c>
      <c r="U25" s="132">
        <v>3638093</v>
      </c>
      <c r="V25" s="266">
        <v>100</v>
      </c>
    </row>
    <row r="26" spans="1:23" s="68" customFormat="1" ht="17.100000000000001" customHeight="1" x14ac:dyDescent="0.25">
      <c r="A26" s="461"/>
      <c r="B26" s="448"/>
      <c r="C26" s="143" t="s">
        <v>439</v>
      </c>
      <c r="D26" s="272" t="s">
        <v>535</v>
      </c>
      <c r="E26" s="285">
        <v>5485186</v>
      </c>
      <c r="F26" s="286">
        <v>81.457270910122332</v>
      </c>
      <c r="G26" s="287">
        <v>73741</v>
      </c>
      <c r="H26" s="72">
        <v>1.0950842166853287</v>
      </c>
      <c r="I26" s="287">
        <v>367235</v>
      </c>
      <c r="J26" s="275">
        <v>5.4535909780778224</v>
      </c>
      <c r="K26" s="285">
        <v>75940</v>
      </c>
      <c r="L26" s="72">
        <v>1.1277402722377492</v>
      </c>
      <c r="M26" s="287">
        <v>0</v>
      </c>
      <c r="N26" s="275">
        <v>0</v>
      </c>
      <c r="O26" s="273">
        <v>389642</v>
      </c>
      <c r="P26" s="72">
        <v>5.7863441553234276</v>
      </c>
      <c r="Q26" s="274">
        <v>68150</v>
      </c>
      <c r="R26" s="275">
        <v>1.012055564300798</v>
      </c>
      <c r="S26" s="274">
        <v>273926</v>
      </c>
      <c r="T26" s="275">
        <v>4.0679139032525375</v>
      </c>
      <c r="U26" s="276">
        <v>6733820</v>
      </c>
      <c r="V26" s="277">
        <v>99.999999999999986</v>
      </c>
    </row>
    <row r="27" spans="1:23" s="69" customFormat="1" ht="17.100000000000001" customHeight="1" x14ac:dyDescent="0.25">
      <c r="A27" s="461">
        <v>2012</v>
      </c>
      <c r="B27" s="447">
        <v>4</v>
      </c>
      <c r="C27" s="13"/>
      <c r="D27" s="262" t="s">
        <v>140</v>
      </c>
      <c r="E27" s="288">
        <v>119876</v>
      </c>
      <c r="F27" s="289">
        <v>63.136827358098039</v>
      </c>
      <c r="G27" s="290">
        <v>13298</v>
      </c>
      <c r="H27" s="75">
        <v>7.003850063465479</v>
      </c>
      <c r="I27" s="290">
        <v>2873</v>
      </c>
      <c r="J27" s="71">
        <v>1.5131644782926996</v>
      </c>
      <c r="K27" s="288">
        <v>137</v>
      </c>
      <c r="L27" s="75">
        <v>7.2155772198433638E-2</v>
      </c>
      <c r="M27" s="290">
        <v>26</v>
      </c>
      <c r="N27" s="71">
        <v>1.369379618364434E-2</v>
      </c>
      <c r="O27" s="288">
        <v>3658</v>
      </c>
      <c r="P27" s="75">
        <v>1.9266117861450383</v>
      </c>
      <c r="Q27" s="290">
        <v>842</v>
      </c>
      <c r="R27" s="71">
        <v>0.44346832256263596</v>
      </c>
      <c r="S27" s="290">
        <v>49157</v>
      </c>
      <c r="T27" s="71">
        <v>25.890228423054033</v>
      </c>
      <c r="U27" s="157">
        <v>189867</v>
      </c>
      <c r="V27" s="266">
        <v>100</v>
      </c>
    </row>
    <row r="28" spans="1:23" s="69" customFormat="1" ht="17.100000000000001" customHeight="1" x14ac:dyDescent="0.25">
      <c r="A28" s="461"/>
      <c r="B28" s="447"/>
      <c r="C28" s="65"/>
      <c r="D28" s="262" t="s">
        <v>56</v>
      </c>
      <c r="E28" s="265">
        <v>1189309</v>
      </c>
      <c r="F28" s="61">
        <v>71.33134848995563</v>
      </c>
      <c r="G28" s="264">
        <v>90171</v>
      </c>
      <c r="H28" s="61">
        <v>5.4081983947719134</v>
      </c>
      <c r="I28" s="264">
        <v>96106</v>
      </c>
      <c r="J28" s="67">
        <v>5.7641627011783108</v>
      </c>
      <c r="K28" s="265">
        <v>3888</v>
      </c>
      <c r="L28" s="61">
        <v>0.23319110754980199</v>
      </c>
      <c r="M28" s="264">
        <v>1623</v>
      </c>
      <c r="N28" s="67">
        <v>9.734289288923062E-2</v>
      </c>
      <c r="O28" s="265">
        <v>203555</v>
      </c>
      <c r="P28" s="61">
        <v>12.208646064120357</v>
      </c>
      <c r="Q28" s="264">
        <v>4986</v>
      </c>
      <c r="R28" s="67">
        <v>0.2990460036634035</v>
      </c>
      <c r="S28" s="264">
        <v>77664</v>
      </c>
      <c r="T28" s="67">
        <v>4.6580643458713533</v>
      </c>
      <c r="U28" s="132">
        <v>1667302</v>
      </c>
      <c r="V28" s="266">
        <v>100</v>
      </c>
    </row>
    <row r="29" spans="1:23" s="69" customFormat="1" ht="17.100000000000001" customHeight="1" x14ac:dyDescent="0.25">
      <c r="A29" s="461"/>
      <c r="B29" s="447"/>
      <c r="C29" s="65"/>
      <c r="D29" s="262" t="s">
        <v>52</v>
      </c>
      <c r="E29" s="265">
        <v>332975</v>
      </c>
      <c r="F29" s="61">
        <v>59.002133450519544</v>
      </c>
      <c r="G29" s="264">
        <v>126259</v>
      </c>
      <c r="H29" s="61">
        <v>22.372701756375545</v>
      </c>
      <c r="I29" s="264">
        <v>36121</v>
      </c>
      <c r="J29" s="67">
        <v>6.4005287555108232</v>
      </c>
      <c r="K29" s="265">
        <v>1143</v>
      </c>
      <c r="L29" s="61">
        <v>0.20253604184681684</v>
      </c>
      <c r="M29" s="264">
        <v>502</v>
      </c>
      <c r="N29" s="67">
        <v>8.895283727655473E-2</v>
      </c>
      <c r="O29" s="265">
        <v>39321</v>
      </c>
      <c r="P29" s="61">
        <v>6.9675587939271093</v>
      </c>
      <c r="Q29" s="264">
        <v>2018</v>
      </c>
      <c r="R29" s="67">
        <v>0.3575833179762698</v>
      </c>
      <c r="S29" s="264">
        <v>26005</v>
      </c>
      <c r="T29" s="67">
        <v>4.6080050465673423</v>
      </c>
      <c r="U29" s="132">
        <v>564344</v>
      </c>
      <c r="V29" s="266">
        <v>99.999999999999986</v>
      </c>
    </row>
    <row r="30" spans="1:23" s="68" customFormat="1" ht="17.100000000000001" customHeight="1" x14ac:dyDescent="0.25">
      <c r="A30" s="461"/>
      <c r="B30" s="450"/>
      <c r="C30" s="143" t="s">
        <v>440</v>
      </c>
      <c r="D30" s="291" t="s">
        <v>535</v>
      </c>
      <c r="E30" s="273">
        <v>1642160</v>
      </c>
      <c r="F30" s="72">
        <v>67.815452570355802</v>
      </c>
      <c r="G30" s="274">
        <v>229728</v>
      </c>
      <c r="H30" s="72">
        <v>9.4869612510855816</v>
      </c>
      <c r="I30" s="274">
        <v>135100</v>
      </c>
      <c r="J30" s="275">
        <v>5.579156502566784</v>
      </c>
      <c r="K30" s="273">
        <v>5168</v>
      </c>
      <c r="L30" s="72">
        <v>0.21342028723364279</v>
      </c>
      <c r="M30" s="274">
        <v>2151</v>
      </c>
      <c r="N30" s="275">
        <v>8.8828761191866404E-2</v>
      </c>
      <c r="O30" s="273">
        <v>246534</v>
      </c>
      <c r="P30" s="72">
        <v>10.180990149546998</v>
      </c>
      <c r="Q30" s="274">
        <v>7846</v>
      </c>
      <c r="R30" s="275">
        <v>0.32401230139999249</v>
      </c>
      <c r="S30" s="274">
        <v>152826</v>
      </c>
      <c r="T30" s="275">
        <v>6.311178176619328</v>
      </c>
      <c r="U30" s="276">
        <v>2421513</v>
      </c>
      <c r="V30" s="277">
        <v>99.999999999999986</v>
      </c>
    </row>
    <row r="31" spans="1:23" s="69" customFormat="1" ht="17.100000000000001" customHeight="1" x14ac:dyDescent="0.25">
      <c r="A31" s="461">
        <v>2012</v>
      </c>
      <c r="B31" s="451">
        <v>5</v>
      </c>
      <c r="C31" s="111"/>
      <c r="D31" s="292" t="s">
        <v>309</v>
      </c>
      <c r="E31" s="265">
        <v>10043599</v>
      </c>
      <c r="F31" s="61">
        <v>70.634556994847983</v>
      </c>
      <c r="G31" s="264">
        <v>1512131</v>
      </c>
      <c r="H31" s="61">
        <v>10.634504952176654</v>
      </c>
      <c r="I31" s="264">
        <v>684414</v>
      </c>
      <c r="J31" s="67">
        <v>4.8133422781088617</v>
      </c>
      <c r="K31" s="265">
        <v>24712</v>
      </c>
      <c r="L31" s="61">
        <v>0.17379439107999867</v>
      </c>
      <c r="M31" s="264">
        <v>84043</v>
      </c>
      <c r="N31" s="67">
        <v>0.59105705768599581</v>
      </c>
      <c r="O31" s="265">
        <v>1244223</v>
      </c>
      <c r="P31" s="61">
        <v>8.7503633316902398</v>
      </c>
      <c r="Q31" s="264">
        <v>250402</v>
      </c>
      <c r="R31" s="67">
        <v>1.7610255388157099</v>
      </c>
      <c r="S31" s="264">
        <v>375577</v>
      </c>
      <c r="T31" s="67">
        <v>2.6413554555945558</v>
      </c>
      <c r="U31" s="132">
        <v>14219101</v>
      </c>
      <c r="V31" s="266">
        <v>100</v>
      </c>
    </row>
    <row r="32" spans="1:23" s="69" customFormat="1" ht="17.100000000000001" customHeight="1" x14ac:dyDescent="0.25">
      <c r="A32" s="461"/>
      <c r="B32" s="452"/>
      <c r="C32" s="143" t="s">
        <v>442</v>
      </c>
      <c r="D32" s="293" t="s">
        <v>535</v>
      </c>
      <c r="E32" s="294">
        <v>10043599</v>
      </c>
      <c r="F32" s="295">
        <v>70.634556994847983</v>
      </c>
      <c r="G32" s="296">
        <v>1512131</v>
      </c>
      <c r="H32" s="297">
        <v>10.634504952176654</v>
      </c>
      <c r="I32" s="296">
        <v>684414</v>
      </c>
      <c r="J32" s="298">
        <v>4.8133422781088617</v>
      </c>
      <c r="K32" s="294">
        <v>24712</v>
      </c>
      <c r="L32" s="297">
        <v>0.17379439107999867</v>
      </c>
      <c r="M32" s="296">
        <v>84043</v>
      </c>
      <c r="N32" s="298">
        <v>0.59105705768599581</v>
      </c>
      <c r="O32" s="294">
        <v>1244223</v>
      </c>
      <c r="P32" s="297">
        <v>8.7503633316902398</v>
      </c>
      <c r="Q32" s="296">
        <v>250402</v>
      </c>
      <c r="R32" s="298">
        <v>1.7610255388157099</v>
      </c>
      <c r="S32" s="296">
        <v>375577</v>
      </c>
      <c r="T32" s="298">
        <v>2.6413554555945558</v>
      </c>
      <c r="U32" s="146">
        <v>14219101</v>
      </c>
      <c r="V32" s="299">
        <v>100</v>
      </c>
    </row>
    <row r="33" spans="1:23" s="137" customFormat="1" ht="17.100000000000001" customHeight="1" x14ac:dyDescent="0.25">
      <c r="A33" s="461">
        <v>2012</v>
      </c>
      <c r="B33" s="447">
        <v>6</v>
      </c>
      <c r="C33" s="1752"/>
      <c r="D33" s="262" t="s">
        <v>136</v>
      </c>
      <c r="E33" s="265">
        <v>773685</v>
      </c>
      <c r="F33" s="61">
        <v>66.078521971513169</v>
      </c>
      <c r="G33" s="264">
        <v>157171</v>
      </c>
      <c r="H33" s="61">
        <v>13.423586313273098</v>
      </c>
      <c r="I33" s="264">
        <v>137499</v>
      </c>
      <c r="J33" s="67">
        <v>11.743449456252984</v>
      </c>
      <c r="K33" s="265">
        <v>0</v>
      </c>
      <c r="L33" s="61">
        <v>0</v>
      </c>
      <c r="M33" s="264">
        <v>412</v>
      </c>
      <c r="N33" s="67">
        <v>3.5187900828196783E-2</v>
      </c>
      <c r="O33" s="265">
        <v>79121</v>
      </c>
      <c r="P33" s="61">
        <v>6.7575288869605776</v>
      </c>
      <c r="Q33" s="264">
        <v>9379</v>
      </c>
      <c r="R33" s="67">
        <v>0.80103718899916898</v>
      </c>
      <c r="S33" s="264">
        <v>13590</v>
      </c>
      <c r="T33" s="67">
        <v>1.1606882821728015</v>
      </c>
      <c r="U33" s="132">
        <v>1170857</v>
      </c>
      <c r="V33" s="266">
        <v>99.999999999999986</v>
      </c>
    </row>
    <row r="34" spans="1:23" s="137" customFormat="1" ht="17.100000000000001" customHeight="1" x14ac:dyDescent="0.25">
      <c r="A34" s="461"/>
      <c r="B34" s="447"/>
      <c r="C34" s="1752"/>
      <c r="D34" s="262" t="s">
        <v>58</v>
      </c>
      <c r="E34" s="265">
        <v>305137</v>
      </c>
      <c r="F34" s="61">
        <v>63.460078655167173</v>
      </c>
      <c r="G34" s="264">
        <v>59887</v>
      </c>
      <c r="H34" s="61">
        <v>12.454843989493233</v>
      </c>
      <c r="I34" s="264">
        <v>34846</v>
      </c>
      <c r="J34" s="67">
        <v>7.2470067570237484</v>
      </c>
      <c r="K34" s="265">
        <v>0</v>
      </c>
      <c r="L34" s="61">
        <v>0</v>
      </c>
      <c r="M34" s="264">
        <v>956</v>
      </c>
      <c r="N34" s="67">
        <v>0.1988216282992224</v>
      </c>
      <c r="O34" s="265">
        <v>73237</v>
      </c>
      <c r="P34" s="61">
        <v>15.231275723588023</v>
      </c>
      <c r="Q34" s="264">
        <v>1035</v>
      </c>
      <c r="R34" s="67">
        <v>0.21525144904779828</v>
      </c>
      <c r="S34" s="264">
        <v>5735</v>
      </c>
      <c r="T34" s="67">
        <v>1.1927217973807955</v>
      </c>
      <c r="U34" s="132">
        <v>480833</v>
      </c>
      <c r="V34" s="266">
        <v>100.00000000000001</v>
      </c>
    </row>
    <row r="35" spans="1:23" s="68" customFormat="1" ht="17.100000000000001" customHeight="1" x14ac:dyDescent="0.25">
      <c r="A35" s="461"/>
      <c r="B35" s="450"/>
      <c r="C35" s="164" t="s">
        <v>443</v>
      </c>
      <c r="D35" s="291" t="s">
        <v>535</v>
      </c>
      <c r="E35" s="273">
        <v>1078822</v>
      </c>
      <c r="F35" s="72">
        <v>65.316251839025483</v>
      </c>
      <c r="G35" s="274">
        <v>217058</v>
      </c>
      <c r="H35" s="72">
        <v>13.14157014936217</v>
      </c>
      <c r="I35" s="274">
        <v>172345</v>
      </c>
      <c r="J35" s="275">
        <v>10.434464094351846</v>
      </c>
      <c r="K35" s="273">
        <v>0</v>
      </c>
      <c r="L35" s="72">
        <v>0</v>
      </c>
      <c r="M35" s="274">
        <v>1368</v>
      </c>
      <c r="N35" s="275">
        <v>8.2824258789482283E-2</v>
      </c>
      <c r="O35" s="273">
        <v>152358</v>
      </c>
      <c r="P35" s="72">
        <v>9.224370190532122</v>
      </c>
      <c r="Q35" s="274">
        <v>10414</v>
      </c>
      <c r="R35" s="275">
        <v>0.63050572443981612</v>
      </c>
      <c r="S35" s="274">
        <v>19325</v>
      </c>
      <c r="T35" s="275">
        <v>1.1700137434990827</v>
      </c>
      <c r="U35" s="276">
        <v>1651690</v>
      </c>
      <c r="V35" s="277">
        <v>100.00000000000001</v>
      </c>
    </row>
    <row r="36" spans="1:23" s="137" customFormat="1" ht="17.100000000000001" customHeight="1" x14ac:dyDescent="0.25">
      <c r="A36" s="461">
        <v>2012</v>
      </c>
      <c r="B36" s="451">
        <v>7</v>
      </c>
      <c r="C36" s="13"/>
      <c r="D36" s="292" t="s">
        <v>427</v>
      </c>
      <c r="E36" s="265">
        <v>1905099</v>
      </c>
      <c r="F36" s="61">
        <v>79.614951119796089</v>
      </c>
      <c r="G36" s="264">
        <v>296192</v>
      </c>
      <c r="H36" s="61">
        <v>12.377997994894043</v>
      </c>
      <c r="I36" s="264">
        <v>89234</v>
      </c>
      <c r="J36" s="67">
        <v>3.72912932515522</v>
      </c>
      <c r="K36" s="265">
        <v>11557</v>
      </c>
      <c r="L36" s="61">
        <v>0.4829722707804075</v>
      </c>
      <c r="M36" s="264">
        <v>490</v>
      </c>
      <c r="N36" s="67">
        <v>2.047732220147094E-2</v>
      </c>
      <c r="O36" s="265">
        <v>47854</v>
      </c>
      <c r="P36" s="61">
        <v>1.9998403604677355</v>
      </c>
      <c r="Q36" s="264">
        <v>9541</v>
      </c>
      <c r="R36" s="67">
        <v>0.39872271658006991</v>
      </c>
      <c r="S36" s="264">
        <v>32924</v>
      </c>
      <c r="T36" s="67">
        <v>1.3759088901249577</v>
      </c>
      <c r="U36" s="132">
        <v>2392891</v>
      </c>
      <c r="V36" s="266">
        <v>99.999999999999986</v>
      </c>
    </row>
    <row r="37" spans="1:23" s="69" customFormat="1" ht="17.100000000000001" customHeight="1" thickBot="1" x14ac:dyDescent="0.3">
      <c r="A37" s="461"/>
      <c r="B37" s="453"/>
      <c r="C37" s="143" t="s">
        <v>265</v>
      </c>
      <c r="D37" s="300" t="s">
        <v>535</v>
      </c>
      <c r="E37" s="301">
        <v>1905099</v>
      </c>
      <c r="F37" s="302">
        <v>79.614951119796089</v>
      </c>
      <c r="G37" s="303">
        <v>296192</v>
      </c>
      <c r="H37" s="304">
        <v>12.377997994894043</v>
      </c>
      <c r="I37" s="303">
        <v>89234</v>
      </c>
      <c r="J37" s="305">
        <v>3.72912932515522</v>
      </c>
      <c r="K37" s="301">
        <v>11557</v>
      </c>
      <c r="L37" s="304">
        <v>0.4829722707804075</v>
      </c>
      <c r="M37" s="303">
        <v>490</v>
      </c>
      <c r="N37" s="305">
        <v>2.047732220147094E-2</v>
      </c>
      <c r="O37" s="301">
        <v>47854</v>
      </c>
      <c r="P37" s="304">
        <v>1.9998403604677355</v>
      </c>
      <c r="Q37" s="303">
        <v>9541</v>
      </c>
      <c r="R37" s="305">
        <v>0.39872271658006991</v>
      </c>
      <c r="S37" s="303">
        <v>32924</v>
      </c>
      <c r="T37" s="305">
        <v>1.3759088901249577</v>
      </c>
      <c r="U37" s="168">
        <v>2392891</v>
      </c>
      <c r="V37" s="306">
        <v>99.999999999999986</v>
      </c>
      <c r="W37" s="56"/>
    </row>
    <row r="38" spans="1:23" s="69" customFormat="1" ht="17.100000000000001" customHeight="1" x14ac:dyDescent="0.25">
      <c r="A38" s="461">
        <v>2012</v>
      </c>
      <c r="B38" s="446">
        <v>8</v>
      </c>
      <c r="C38" s="111"/>
      <c r="D38" s="307" t="s">
        <v>551</v>
      </c>
      <c r="E38" s="308">
        <v>463240</v>
      </c>
      <c r="F38" s="258">
        <v>89.424946092919015</v>
      </c>
      <c r="G38" s="257">
        <v>0</v>
      </c>
      <c r="H38" s="256">
        <v>0</v>
      </c>
      <c r="I38" s="257">
        <v>14324</v>
      </c>
      <c r="J38" s="258">
        <v>2.7651388650267075</v>
      </c>
      <c r="K38" s="257">
        <v>10749</v>
      </c>
      <c r="L38" s="256">
        <v>2.0750124029720802</v>
      </c>
      <c r="M38" s="257">
        <v>0</v>
      </c>
      <c r="N38" s="258">
        <v>0</v>
      </c>
      <c r="O38" s="257">
        <v>3250</v>
      </c>
      <c r="P38" s="256">
        <v>0.62738769277693374</v>
      </c>
      <c r="Q38" s="257">
        <v>9025</v>
      </c>
      <c r="R38" s="258">
        <v>1.7422073622497929</v>
      </c>
      <c r="S38" s="257">
        <v>17433</v>
      </c>
      <c r="T38" s="309">
        <v>3.3653075840554729</v>
      </c>
      <c r="U38" s="310">
        <v>518021</v>
      </c>
      <c r="V38" s="311">
        <v>100</v>
      </c>
    </row>
    <row r="39" spans="1:23" s="69" customFormat="1" ht="17.100000000000001" customHeight="1" x14ac:dyDescent="0.25">
      <c r="A39" s="461"/>
      <c r="B39" s="447"/>
      <c r="C39" s="65"/>
      <c r="D39" s="268" t="s">
        <v>550</v>
      </c>
      <c r="E39" s="265">
        <v>521505</v>
      </c>
      <c r="F39" s="70">
        <v>78.760771923677538</v>
      </c>
      <c r="G39" s="264">
        <v>2661</v>
      </c>
      <c r="H39" s="61">
        <v>0.40187997064056136</v>
      </c>
      <c r="I39" s="264">
        <v>64314</v>
      </c>
      <c r="J39" s="67">
        <v>9.7130809589541762</v>
      </c>
      <c r="K39" s="264">
        <v>0</v>
      </c>
      <c r="L39" s="61">
        <v>0</v>
      </c>
      <c r="M39" s="264">
        <v>0</v>
      </c>
      <c r="N39" s="67">
        <v>0</v>
      </c>
      <c r="O39" s="264">
        <v>4818</v>
      </c>
      <c r="P39" s="61">
        <v>0.72764287807073447</v>
      </c>
      <c r="Q39" s="264">
        <v>11106</v>
      </c>
      <c r="R39" s="67">
        <v>1.6772938571717677</v>
      </c>
      <c r="S39" s="264">
        <v>57734</v>
      </c>
      <c r="T39" s="61">
        <v>8.7193304114852204</v>
      </c>
      <c r="U39" s="264">
        <v>662138</v>
      </c>
      <c r="V39" s="312">
        <v>100</v>
      </c>
    </row>
    <row r="40" spans="1:23" s="137" customFormat="1" ht="17.100000000000001" customHeight="1" x14ac:dyDescent="0.25">
      <c r="A40" s="461"/>
      <c r="B40" s="447"/>
      <c r="C40" s="65"/>
      <c r="D40" s="268" t="s">
        <v>549</v>
      </c>
      <c r="E40" s="265">
        <v>230734</v>
      </c>
      <c r="F40" s="70">
        <v>90.046050577583514</v>
      </c>
      <c r="G40" s="264">
        <v>5439</v>
      </c>
      <c r="H40" s="61">
        <v>2.1226194192944114</v>
      </c>
      <c r="I40" s="264">
        <v>14879</v>
      </c>
      <c r="J40" s="67">
        <v>5.8066656259756479</v>
      </c>
      <c r="K40" s="264">
        <v>0</v>
      </c>
      <c r="L40" s="61">
        <v>0</v>
      </c>
      <c r="M40" s="264">
        <v>0</v>
      </c>
      <c r="N40" s="67">
        <v>0</v>
      </c>
      <c r="O40" s="264">
        <v>362</v>
      </c>
      <c r="P40" s="61">
        <v>0.14127380580705587</v>
      </c>
      <c r="Q40" s="264">
        <v>1171</v>
      </c>
      <c r="R40" s="67">
        <v>0.45699344364658134</v>
      </c>
      <c r="S40" s="264">
        <v>3655</v>
      </c>
      <c r="T40" s="61">
        <v>1.426397127692788</v>
      </c>
      <c r="U40" s="264">
        <v>256240</v>
      </c>
      <c r="V40" s="312">
        <v>100.00000000000001</v>
      </c>
    </row>
    <row r="41" spans="1:23" s="69" customFormat="1" ht="17.100000000000001" customHeight="1" x14ac:dyDescent="0.25">
      <c r="A41" s="461"/>
      <c r="B41" s="447"/>
      <c r="C41" s="65"/>
      <c r="D41" s="268" t="s">
        <v>139</v>
      </c>
      <c r="E41" s="284">
        <v>237211</v>
      </c>
      <c r="F41" s="67">
        <v>85.714337334595626</v>
      </c>
      <c r="G41" s="264">
        <v>3936</v>
      </c>
      <c r="H41" s="61">
        <v>1.4222427785767453</v>
      </c>
      <c r="I41" s="264">
        <v>26312</v>
      </c>
      <c r="J41" s="67">
        <v>9.507635160038447</v>
      </c>
      <c r="K41" s="264">
        <v>0</v>
      </c>
      <c r="L41" s="61">
        <v>0</v>
      </c>
      <c r="M41" s="264">
        <v>0</v>
      </c>
      <c r="N41" s="67">
        <v>0</v>
      </c>
      <c r="O41" s="264">
        <v>3031</v>
      </c>
      <c r="P41" s="61">
        <v>1.0952281153115131</v>
      </c>
      <c r="Q41" s="264">
        <v>3840</v>
      </c>
      <c r="R41" s="67">
        <v>1.3875539303187761</v>
      </c>
      <c r="S41" s="264">
        <v>2416</v>
      </c>
      <c r="T41" s="61">
        <v>0.87300268115889668</v>
      </c>
      <c r="U41" s="264">
        <v>276746</v>
      </c>
      <c r="V41" s="312">
        <v>100</v>
      </c>
    </row>
    <row r="42" spans="1:23" s="69" customFormat="1" ht="17.100000000000001" customHeight="1" x14ac:dyDescent="0.25">
      <c r="A42" s="461"/>
      <c r="B42" s="447"/>
      <c r="C42" s="65"/>
      <c r="D42" s="268" t="s">
        <v>548</v>
      </c>
      <c r="E42" s="284">
        <v>766866</v>
      </c>
      <c r="F42" s="70">
        <v>79.726491390217603</v>
      </c>
      <c r="G42" s="264">
        <v>14095</v>
      </c>
      <c r="H42" s="61">
        <v>1.4653732153272112</v>
      </c>
      <c r="I42" s="264">
        <v>63143</v>
      </c>
      <c r="J42" s="67">
        <v>6.5646016981487127</v>
      </c>
      <c r="K42" s="264">
        <v>0</v>
      </c>
      <c r="L42" s="61">
        <v>0</v>
      </c>
      <c r="M42" s="264">
        <v>0</v>
      </c>
      <c r="N42" s="67">
        <v>0</v>
      </c>
      <c r="O42" s="264">
        <v>8408</v>
      </c>
      <c r="P42" s="61">
        <v>0.87412969098766891</v>
      </c>
      <c r="Q42" s="264">
        <v>12539</v>
      </c>
      <c r="R42" s="67">
        <v>1.3036051611910535</v>
      </c>
      <c r="S42" s="264">
        <v>96820</v>
      </c>
      <c r="T42" s="61">
        <v>10.065798844127746</v>
      </c>
      <c r="U42" s="264">
        <v>961871</v>
      </c>
      <c r="V42" s="312">
        <v>99.999999999999986</v>
      </c>
    </row>
    <row r="43" spans="1:23" s="69" customFormat="1" ht="17.100000000000001" customHeight="1" x14ac:dyDescent="0.25">
      <c r="A43" s="461"/>
      <c r="B43" s="447"/>
      <c r="C43" s="65"/>
      <c r="D43" s="268" t="s">
        <v>229</v>
      </c>
      <c r="E43" s="284">
        <v>288455</v>
      </c>
      <c r="F43" s="67">
        <v>91.682161303138656</v>
      </c>
      <c r="G43" s="264">
        <v>0</v>
      </c>
      <c r="H43" s="61">
        <v>0</v>
      </c>
      <c r="I43" s="264">
        <v>20190</v>
      </c>
      <c r="J43" s="67">
        <v>6.417163289630512</v>
      </c>
      <c r="K43" s="264">
        <v>0</v>
      </c>
      <c r="L43" s="61">
        <v>0</v>
      </c>
      <c r="M43" s="264">
        <v>0</v>
      </c>
      <c r="N43" s="67">
        <v>0</v>
      </c>
      <c r="O43" s="264">
        <v>226</v>
      </c>
      <c r="P43" s="61">
        <v>7.1831545490663493E-2</v>
      </c>
      <c r="Q43" s="264">
        <v>1710</v>
      </c>
      <c r="R43" s="67">
        <v>0.54350417163289633</v>
      </c>
      <c r="S43" s="264">
        <v>4044</v>
      </c>
      <c r="T43" s="61">
        <v>1.2853396901072704</v>
      </c>
      <c r="U43" s="264">
        <v>314625</v>
      </c>
      <c r="V43" s="312">
        <v>99.999999999999986</v>
      </c>
    </row>
    <row r="44" spans="1:23" s="69" customFormat="1" ht="17.100000000000001" customHeight="1" thickBot="1" x14ac:dyDescent="0.3">
      <c r="A44" s="461"/>
      <c r="B44" s="447"/>
      <c r="C44" s="65"/>
      <c r="D44" s="268" t="s">
        <v>36</v>
      </c>
      <c r="E44" s="313">
        <v>458395</v>
      </c>
      <c r="F44" s="71">
        <v>89.103897366119156</v>
      </c>
      <c r="G44" s="270">
        <v>358</v>
      </c>
      <c r="H44" s="75">
        <v>2.0239577815505787</v>
      </c>
      <c r="I44" s="270">
        <v>29834</v>
      </c>
      <c r="J44" s="71">
        <v>3.0797385052935997</v>
      </c>
      <c r="K44" s="270">
        <v>0</v>
      </c>
      <c r="L44" s="75">
        <v>3.3929647419206226E-2</v>
      </c>
      <c r="M44" s="270">
        <v>0</v>
      </c>
      <c r="N44" s="71">
        <v>6.9009452378046565E-3</v>
      </c>
      <c r="O44" s="270">
        <v>5240</v>
      </c>
      <c r="P44" s="75">
        <v>2.0319449866869266</v>
      </c>
      <c r="Q44" s="270">
        <v>16636</v>
      </c>
      <c r="R44" s="71">
        <v>0.8929695342437044</v>
      </c>
      <c r="S44" s="270">
        <v>3987</v>
      </c>
      <c r="T44" s="75">
        <v>1.7130318600028245</v>
      </c>
      <c r="U44" s="270">
        <v>514450</v>
      </c>
      <c r="V44" s="314">
        <v>100</v>
      </c>
    </row>
    <row r="45" spans="1:23" s="137" customFormat="1" ht="17.100000000000001" customHeight="1" x14ac:dyDescent="0.25">
      <c r="A45" s="461"/>
      <c r="B45" s="452"/>
      <c r="C45" s="175" t="s">
        <v>444</v>
      </c>
      <c r="D45" s="315" t="s">
        <v>535</v>
      </c>
      <c r="E45" s="316">
        <v>2966406</v>
      </c>
      <c r="F45" s="317">
        <v>84.655506948877758</v>
      </c>
      <c r="G45" s="296">
        <v>26489</v>
      </c>
      <c r="H45" s="297">
        <v>0.75594497973939601</v>
      </c>
      <c r="I45" s="296">
        <v>232996</v>
      </c>
      <c r="J45" s="298">
        <v>6.6492565404266042</v>
      </c>
      <c r="K45" s="296">
        <v>10749</v>
      </c>
      <c r="L45" s="297">
        <v>0.30675573208572493</v>
      </c>
      <c r="M45" s="296">
        <v>0</v>
      </c>
      <c r="N45" s="298">
        <v>0</v>
      </c>
      <c r="O45" s="296">
        <v>25335</v>
      </c>
      <c r="P45" s="297">
        <v>0.72301204506389816</v>
      </c>
      <c r="Q45" s="296">
        <v>56027</v>
      </c>
      <c r="R45" s="298">
        <v>1.5989025399169143</v>
      </c>
      <c r="S45" s="296">
        <v>186089</v>
      </c>
      <c r="T45" s="297">
        <v>5.3106212138897071</v>
      </c>
      <c r="U45" s="274">
        <v>3504091</v>
      </c>
      <c r="V45" s="318">
        <v>100</v>
      </c>
    </row>
    <row r="46" spans="1:23" s="69" customFormat="1" ht="17.100000000000001" customHeight="1" x14ac:dyDescent="0.25">
      <c r="A46" s="461">
        <v>2012</v>
      </c>
      <c r="B46" s="447">
        <v>9</v>
      </c>
      <c r="C46" s="13"/>
      <c r="D46" s="319" t="s">
        <v>547</v>
      </c>
      <c r="E46" s="320">
        <v>1833241</v>
      </c>
      <c r="F46" s="67">
        <v>75.051563020696449</v>
      </c>
      <c r="G46" s="264">
        <v>169139</v>
      </c>
      <c r="H46" s="61">
        <v>6.9244285490874216</v>
      </c>
      <c r="I46" s="264">
        <v>138551</v>
      </c>
      <c r="J46" s="67">
        <v>5.6721779122769522</v>
      </c>
      <c r="K46" s="264">
        <v>17569</v>
      </c>
      <c r="L46" s="61">
        <v>0.71926217595537945</v>
      </c>
      <c r="M46" s="264">
        <v>374</v>
      </c>
      <c r="N46" s="67">
        <v>1.5311289988463313E-2</v>
      </c>
      <c r="O46" s="264">
        <v>272262</v>
      </c>
      <c r="P46" s="61">
        <v>11.146209718820851</v>
      </c>
      <c r="Q46" s="264">
        <v>5845</v>
      </c>
      <c r="R46" s="67">
        <v>0.23929008016729428</v>
      </c>
      <c r="S46" s="264">
        <v>5661</v>
      </c>
      <c r="T46" s="61">
        <v>0.23175725300719469</v>
      </c>
      <c r="U46" s="264">
        <v>2442642</v>
      </c>
      <c r="V46" s="312">
        <v>100</v>
      </c>
    </row>
    <row r="47" spans="1:23" s="137" customFormat="1" ht="17.100000000000001" customHeight="1" x14ac:dyDescent="0.25">
      <c r="A47" s="461"/>
      <c r="B47" s="447"/>
      <c r="C47" s="65"/>
      <c r="D47" s="321" t="s">
        <v>67</v>
      </c>
      <c r="E47" s="265">
        <v>1059794</v>
      </c>
      <c r="F47" s="67">
        <v>75.496109413701504</v>
      </c>
      <c r="G47" s="264">
        <v>44566</v>
      </c>
      <c r="H47" s="61">
        <v>3.174729817427747</v>
      </c>
      <c r="I47" s="264">
        <v>70129</v>
      </c>
      <c r="J47" s="67">
        <v>4.9957507374767864</v>
      </c>
      <c r="K47" s="264">
        <v>4926</v>
      </c>
      <c r="L47" s="61">
        <v>0.35091143653567919</v>
      </c>
      <c r="M47" s="264">
        <v>4491</v>
      </c>
      <c r="N47" s="67">
        <v>0.31992352039824101</v>
      </c>
      <c r="O47" s="264">
        <v>215094</v>
      </c>
      <c r="P47" s="61">
        <v>15.322562836014084</v>
      </c>
      <c r="Q47" s="264">
        <v>4773</v>
      </c>
      <c r="R47" s="67">
        <v>0.34001223844595957</v>
      </c>
      <c r="S47" s="264">
        <v>0</v>
      </c>
      <c r="T47" s="61">
        <v>0</v>
      </c>
      <c r="U47" s="264">
        <v>1403773</v>
      </c>
      <c r="V47" s="312">
        <v>100</v>
      </c>
    </row>
    <row r="48" spans="1:23" s="68" customFormat="1" ht="17.100000000000001" customHeight="1" x14ac:dyDescent="0.25">
      <c r="A48" s="461"/>
      <c r="B48" s="448"/>
      <c r="C48" s="143" t="s">
        <v>447</v>
      </c>
      <c r="D48" s="322" t="s">
        <v>286</v>
      </c>
      <c r="E48" s="273">
        <v>2893035</v>
      </c>
      <c r="F48" s="275">
        <v>75.213802982777466</v>
      </c>
      <c r="G48" s="274">
        <v>213705</v>
      </c>
      <c r="H48" s="72">
        <v>5.5559527508082196</v>
      </c>
      <c r="I48" s="274">
        <v>208680</v>
      </c>
      <c r="J48" s="275">
        <v>5.4253116213409109</v>
      </c>
      <c r="K48" s="274">
        <v>22495</v>
      </c>
      <c r="L48" s="72">
        <v>0.58483029002330744</v>
      </c>
      <c r="M48" s="274">
        <v>4865</v>
      </c>
      <c r="N48" s="275">
        <v>0.12648141191213116</v>
      </c>
      <c r="O48" s="274">
        <v>487356</v>
      </c>
      <c r="P48" s="72">
        <v>12.67039568013332</v>
      </c>
      <c r="Q48" s="274">
        <v>10618</v>
      </c>
      <c r="R48" s="275">
        <v>0.27604925625550025</v>
      </c>
      <c r="S48" s="274">
        <v>5661</v>
      </c>
      <c r="T48" s="72">
        <v>0.14717600674914172</v>
      </c>
      <c r="U48" s="274">
        <v>3846415</v>
      </c>
      <c r="V48" s="323">
        <v>100.00000000000001</v>
      </c>
    </row>
    <row r="49" spans="1:23" s="137" customFormat="1" ht="17.100000000000001" customHeight="1" x14ac:dyDescent="0.25">
      <c r="A49" s="461">
        <v>2012</v>
      </c>
      <c r="B49" s="451">
        <v>10</v>
      </c>
      <c r="C49" s="13"/>
      <c r="D49" s="324" t="s">
        <v>751</v>
      </c>
      <c r="E49" s="265">
        <v>26159823</v>
      </c>
      <c r="F49" s="67">
        <v>66.870523450201873</v>
      </c>
      <c r="G49" s="264">
        <v>3039835</v>
      </c>
      <c r="H49" s="61">
        <v>7.7705173178061786</v>
      </c>
      <c r="I49" s="264">
        <v>1639445</v>
      </c>
      <c r="J49" s="67">
        <v>4.1907984361291817</v>
      </c>
      <c r="K49" s="264">
        <v>1084295</v>
      </c>
      <c r="L49" s="61">
        <v>2.7717073706667139</v>
      </c>
      <c r="M49" s="264">
        <v>44626</v>
      </c>
      <c r="N49" s="67">
        <v>0.1140743184496588</v>
      </c>
      <c r="O49" s="264">
        <v>6195648</v>
      </c>
      <c r="P49" s="61">
        <v>15.837501074575172</v>
      </c>
      <c r="Q49" s="264">
        <v>214331</v>
      </c>
      <c r="R49" s="67">
        <v>0.54787932478003443</v>
      </c>
      <c r="S49" s="264">
        <v>742108</v>
      </c>
      <c r="T49" s="61">
        <v>1.8969987073911934</v>
      </c>
      <c r="U49" s="264">
        <v>39120111</v>
      </c>
      <c r="V49" s="312">
        <v>100.00000000000001</v>
      </c>
    </row>
    <row r="50" spans="1:23" s="13" customFormat="1" ht="17.100000000000001" customHeight="1" x14ac:dyDescent="0.25">
      <c r="A50" s="461"/>
      <c r="B50" s="448"/>
      <c r="C50" s="143" t="s">
        <v>687</v>
      </c>
      <c r="D50" s="322" t="s">
        <v>535</v>
      </c>
      <c r="E50" s="273">
        <v>26159823</v>
      </c>
      <c r="F50" s="275">
        <v>66.870523450201873</v>
      </c>
      <c r="G50" s="274">
        <v>3039835</v>
      </c>
      <c r="H50" s="72">
        <v>7.7705173178061786</v>
      </c>
      <c r="I50" s="274">
        <v>1639445</v>
      </c>
      <c r="J50" s="275">
        <v>4.1907984361291817</v>
      </c>
      <c r="K50" s="274">
        <v>1084295</v>
      </c>
      <c r="L50" s="72">
        <v>2.7717073706667139</v>
      </c>
      <c r="M50" s="274">
        <v>44626</v>
      </c>
      <c r="N50" s="275">
        <v>0.1140743184496588</v>
      </c>
      <c r="O50" s="274">
        <v>6195648</v>
      </c>
      <c r="P50" s="72">
        <v>15.837501074575172</v>
      </c>
      <c r="Q50" s="274">
        <v>214331</v>
      </c>
      <c r="R50" s="275">
        <v>0.54787932478003443</v>
      </c>
      <c r="S50" s="274">
        <v>742108</v>
      </c>
      <c r="T50" s="72">
        <v>1.8969987073911934</v>
      </c>
      <c r="U50" s="274">
        <v>39120111</v>
      </c>
      <c r="V50" s="323">
        <v>100.00000000000001</v>
      </c>
      <c r="W50" s="104">
        <f>+S50+Q50+O50+M50+K50+I50+G50</f>
        <v>12960288</v>
      </c>
    </row>
    <row r="51" spans="1:23" ht="17.100000000000001" customHeight="1" x14ac:dyDescent="0.25">
      <c r="A51" s="461">
        <v>2012</v>
      </c>
      <c r="B51" s="451">
        <v>11</v>
      </c>
      <c r="C51" s="111"/>
      <c r="D51" s="319" t="s">
        <v>546</v>
      </c>
      <c r="E51" s="265">
        <v>1985714</v>
      </c>
      <c r="F51" s="67">
        <v>84.142812528999769</v>
      </c>
      <c r="G51" s="264">
        <v>156632</v>
      </c>
      <c r="H51" s="61">
        <v>6.6371375797533227</v>
      </c>
      <c r="I51" s="264">
        <v>70730</v>
      </c>
      <c r="J51" s="67">
        <v>2.9971189860051113</v>
      </c>
      <c r="K51" s="264">
        <v>0</v>
      </c>
      <c r="L51" s="61">
        <v>0</v>
      </c>
      <c r="M51" s="264">
        <v>1191</v>
      </c>
      <c r="N51" s="67">
        <v>5.0467534459664745E-2</v>
      </c>
      <c r="O51" s="264">
        <v>117534</v>
      </c>
      <c r="P51" s="61">
        <v>4.9803956298759324</v>
      </c>
      <c r="Q51" s="264">
        <v>27811</v>
      </c>
      <c r="R51" s="67">
        <v>1.1784656598301733</v>
      </c>
      <c r="S51" s="264">
        <v>321</v>
      </c>
      <c r="T51" s="61">
        <v>1.3602081076030548E-2</v>
      </c>
      <c r="U51" s="264">
        <v>2359933</v>
      </c>
      <c r="V51" s="312">
        <v>100</v>
      </c>
    </row>
    <row r="52" spans="1:23" s="13" customFormat="1" ht="17.100000000000001" customHeight="1" x14ac:dyDescent="0.25">
      <c r="A52" s="461"/>
      <c r="B52" s="448"/>
      <c r="C52" s="143" t="s">
        <v>688</v>
      </c>
      <c r="D52" s="322" t="s">
        <v>535</v>
      </c>
      <c r="E52" s="273">
        <v>1985714</v>
      </c>
      <c r="F52" s="275">
        <v>84.142812528999769</v>
      </c>
      <c r="G52" s="274">
        <v>156632</v>
      </c>
      <c r="H52" s="72">
        <v>6.6371375797533227</v>
      </c>
      <c r="I52" s="274">
        <v>70730</v>
      </c>
      <c r="J52" s="275">
        <v>2.9971189860051113</v>
      </c>
      <c r="K52" s="274">
        <v>0</v>
      </c>
      <c r="L52" s="72">
        <v>0</v>
      </c>
      <c r="M52" s="274">
        <v>1191</v>
      </c>
      <c r="N52" s="275">
        <v>5.0467534459664745E-2</v>
      </c>
      <c r="O52" s="274">
        <v>117534</v>
      </c>
      <c r="P52" s="72">
        <v>4.9803956298759324</v>
      </c>
      <c r="Q52" s="274">
        <v>27811</v>
      </c>
      <c r="R52" s="275">
        <v>1.1784656598301733</v>
      </c>
      <c r="S52" s="274">
        <v>321</v>
      </c>
      <c r="T52" s="72">
        <v>1.3602081076030548E-2</v>
      </c>
      <c r="U52" s="274">
        <v>2359933</v>
      </c>
      <c r="V52" s="323">
        <v>100</v>
      </c>
    </row>
    <row r="53" spans="1:23" s="69" customFormat="1" ht="17.100000000000001" customHeight="1" x14ac:dyDescent="0.25">
      <c r="A53" s="461">
        <v>2012</v>
      </c>
      <c r="B53" s="447">
        <v>12</v>
      </c>
      <c r="C53" s="111"/>
      <c r="D53" s="325" t="s">
        <v>201</v>
      </c>
      <c r="E53" s="265">
        <v>5850567</v>
      </c>
      <c r="F53" s="67">
        <v>73.712843350441872</v>
      </c>
      <c r="G53" s="264">
        <v>652935</v>
      </c>
      <c r="H53" s="61">
        <v>8.226501016571687</v>
      </c>
      <c r="I53" s="264">
        <v>197169</v>
      </c>
      <c r="J53" s="67">
        <v>2.4841844577736265</v>
      </c>
      <c r="K53" s="264">
        <v>204691</v>
      </c>
      <c r="L53" s="61">
        <v>2.5789561282257423</v>
      </c>
      <c r="M53" s="264">
        <v>9108</v>
      </c>
      <c r="N53" s="67">
        <v>0.11475410455701553</v>
      </c>
      <c r="O53" s="264">
        <v>470724</v>
      </c>
      <c r="P53" s="61">
        <v>5.9307763629223293</v>
      </c>
      <c r="Q53" s="264">
        <v>75053</v>
      </c>
      <c r="R53" s="67">
        <v>0.94561262728564843</v>
      </c>
      <c r="S53" s="264">
        <v>476724</v>
      </c>
      <c r="T53" s="61">
        <v>6.0063719522220751</v>
      </c>
      <c r="U53" s="264">
        <v>7936971</v>
      </c>
      <c r="V53" s="312">
        <v>100</v>
      </c>
    </row>
    <row r="54" spans="1:23" s="69" customFormat="1" ht="17.100000000000001" customHeight="1" x14ac:dyDescent="0.25">
      <c r="A54" s="461"/>
      <c r="B54" s="447"/>
      <c r="C54" s="65"/>
      <c r="D54" s="325" t="s">
        <v>108</v>
      </c>
      <c r="E54" s="265">
        <v>1282344</v>
      </c>
      <c r="F54" s="67">
        <v>74.615487113661501</v>
      </c>
      <c r="G54" s="264">
        <v>140174</v>
      </c>
      <c r="H54" s="61">
        <v>8.1562757658400464</v>
      </c>
      <c r="I54" s="264">
        <v>73040</v>
      </c>
      <c r="J54" s="67">
        <v>4.2499634877863004</v>
      </c>
      <c r="K54" s="264">
        <v>8268</v>
      </c>
      <c r="L54" s="61">
        <v>0.48108841890768261</v>
      </c>
      <c r="M54" s="264">
        <v>44261</v>
      </c>
      <c r="N54" s="67">
        <v>2.5754057219730209</v>
      </c>
      <c r="O54" s="264">
        <v>70692</v>
      </c>
      <c r="P54" s="61">
        <v>4.1133408937375302</v>
      </c>
      <c r="Q54" s="264">
        <v>30517</v>
      </c>
      <c r="R54" s="67">
        <v>1.7756864150708453</v>
      </c>
      <c r="S54" s="264">
        <v>69307</v>
      </c>
      <c r="T54" s="61">
        <v>4.0327521830230717</v>
      </c>
      <c r="U54" s="264">
        <v>1718603</v>
      </c>
      <c r="V54" s="312">
        <v>100.00000000000003</v>
      </c>
    </row>
    <row r="55" spans="1:23" s="68" customFormat="1" ht="17.100000000000001" customHeight="1" x14ac:dyDescent="0.25">
      <c r="A55" s="461"/>
      <c r="B55" s="450"/>
      <c r="C55" s="143" t="s">
        <v>689</v>
      </c>
      <c r="D55" s="322" t="s">
        <v>535</v>
      </c>
      <c r="E55" s="273">
        <v>7132911</v>
      </c>
      <c r="F55" s="275">
        <v>73.873505604120481</v>
      </c>
      <c r="G55" s="274">
        <v>793109</v>
      </c>
      <c r="H55" s="72">
        <v>8.2140015704918223</v>
      </c>
      <c r="I55" s="274">
        <v>270209</v>
      </c>
      <c r="J55" s="275">
        <v>2.7984768176392207</v>
      </c>
      <c r="K55" s="274">
        <v>212959</v>
      </c>
      <c r="L55" s="72">
        <v>2.2055550503781549</v>
      </c>
      <c r="M55" s="274">
        <v>53369</v>
      </c>
      <c r="N55" s="275">
        <v>0.55272736763241626</v>
      </c>
      <c r="O55" s="274">
        <v>541416</v>
      </c>
      <c r="P55" s="72">
        <v>5.607289633946154</v>
      </c>
      <c r="Q55" s="274">
        <v>105570</v>
      </c>
      <c r="R55" s="275">
        <v>1.0933580955414977</v>
      </c>
      <c r="S55" s="274">
        <v>546031</v>
      </c>
      <c r="T55" s="72">
        <v>5.6550858602502556</v>
      </c>
      <c r="U55" s="274">
        <v>9655574</v>
      </c>
      <c r="V55" s="323">
        <v>100</v>
      </c>
    </row>
    <row r="56" spans="1:23" s="69" customFormat="1" ht="17.100000000000001" customHeight="1" x14ac:dyDescent="0.25">
      <c r="A56" s="461">
        <v>2012</v>
      </c>
      <c r="B56" s="451">
        <v>13</v>
      </c>
      <c r="C56" s="111"/>
      <c r="D56" s="324" t="s">
        <v>57</v>
      </c>
      <c r="E56" s="265">
        <v>6967448</v>
      </c>
      <c r="F56" s="67">
        <v>75.139698332484784</v>
      </c>
      <c r="G56" s="264">
        <v>122014</v>
      </c>
      <c r="H56" s="61">
        <v>1.3158469431475912</v>
      </c>
      <c r="I56" s="264">
        <v>170812</v>
      </c>
      <c r="J56" s="67">
        <v>1.8421037590188531</v>
      </c>
      <c r="K56" s="264">
        <v>135879</v>
      </c>
      <c r="L56" s="61">
        <v>1.4653725538704703</v>
      </c>
      <c r="M56" s="264">
        <v>361750</v>
      </c>
      <c r="N56" s="67">
        <v>3.9012542141364195</v>
      </c>
      <c r="O56" s="264">
        <v>634575</v>
      </c>
      <c r="P56" s="61">
        <v>6.8435062693451787</v>
      </c>
      <c r="Q56" s="264">
        <v>24970</v>
      </c>
      <c r="R56" s="67">
        <v>0.26928629641184909</v>
      </c>
      <c r="S56" s="264">
        <v>855211</v>
      </c>
      <c r="T56" s="61">
        <v>9.2229316315848564</v>
      </c>
      <c r="U56" s="264">
        <v>9272659</v>
      </c>
      <c r="V56" s="312">
        <v>100</v>
      </c>
    </row>
    <row r="57" spans="1:23" s="69" customFormat="1" ht="17.100000000000001" customHeight="1" x14ac:dyDescent="0.25">
      <c r="A57" s="461"/>
      <c r="B57" s="447"/>
      <c r="C57" s="143" t="s">
        <v>691</v>
      </c>
      <c r="D57" s="315" t="s">
        <v>535</v>
      </c>
      <c r="E57" s="294">
        <v>6967448</v>
      </c>
      <c r="F57" s="298">
        <v>75.139698332484784</v>
      </c>
      <c r="G57" s="296">
        <v>122014</v>
      </c>
      <c r="H57" s="297">
        <v>1.3158469431475912</v>
      </c>
      <c r="I57" s="296">
        <v>170812</v>
      </c>
      <c r="J57" s="298">
        <v>1.8421037590188531</v>
      </c>
      <c r="K57" s="296">
        <v>135879</v>
      </c>
      <c r="L57" s="297">
        <v>1.4653725538704703</v>
      </c>
      <c r="M57" s="296">
        <v>361750</v>
      </c>
      <c r="N57" s="298">
        <v>3.9012542141364195</v>
      </c>
      <c r="O57" s="296">
        <v>634575</v>
      </c>
      <c r="P57" s="297">
        <v>6.8435062693451787</v>
      </c>
      <c r="Q57" s="296">
        <v>24970</v>
      </c>
      <c r="R57" s="298">
        <v>0.26928629641184909</v>
      </c>
      <c r="S57" s="296">
        <v>855211</v>
      </c>
      <c r="T57" s="297">
        <v>9.2229316315848564</v>
      </c>
      <c r="U57" s="296">
        <v>9272659</v>
      </c>
      <c r="V57" s="318">
        <v>100</v>
      </c>
    </row>
    <row r="58" spans="1:23" s="69" customFormat="1" ht="17.100000000000001" customHeight="1" x14ac:dyDescent="0.25">
      <c r="A58" s="461">
        <v>2012</v>
      </c>
      <c r="B58" s="451">
        <v>14</v>
      </c>
      <c r="C58" s="111"/>
      <c r="D58" s="324" t="s">
        <v>97</v>
      </c>
      <c r="E58" s="265">
        <v>6382910</v>
      </c>
      <c r="F58" s="67">
        <v>81.026300215624644</v>
      </c>
      <c r="G58" s="264">
        <v>496714</v>
      </c>
      <c r="H58" s="61">
        <v>6.3054151923344977</v>
      </c>
      <c r="I58" s="264">
        <v>368597</v>
      </c>
      <c r="J58" s="67">
        <v>4.6790650628911576</v>
      </c>
      <c r="K58" s="264">
        <v>85928</v>
      </c>
      <c r="L58" s="61">
        <v>1.0907921191005663</v>
      </c>
      <c r="M58" s="264">
        <v>7909</v>
      </c>
      <c r="N58" s="67">
        <v>0.1003988789447721</v>
      </c>
      <c r="O58" s="264">
        <v>335213</v>
      </c>
      <c r="P58" s="61">
        <v>4.2552799858027432</v>
      </c>
      <c r="Q58" s="264">
        <v>22523</v>
      </c>
      <c r="R58" s="67">
        <v>0.28591275135581012</v>
      </c>
      <c r="S58" s="264">
        <v>177784</v>
      </c>
      <c r="T58" s="61">
        <v>2.2568357939458039</v>
      </c>
      <c r="U58" s="264">
        <v>7877578</v>
      </c>
      <c r="V58" s="312">
        <v>100</v>
      </c>
    </row>
    <row r="59" spans="1:23" s="69" customFormat="1" ht="17.100000000000001" customHeight="1" x14ac:dyDescent="0.25">
      <c r="A59" s="461"/>
      <c r="B59" s="452"/>
      <c r="C59" s="143" t="s">
        <v>692</v>
      </c>
      <c r="D59" s="326" t="s">
        <v>535</v>
      </c>
      <c r="E59" s="294">
        <v>6382910</v>
      </c>
      <c r="F59" s="298">
        <v>81.026300215624644</v>
      </c>
      <c r="G59" s="296">
        <v>496714</v>
      </c>
      <c r="H59" s="297">
        <v>6.3054151923344977</v>
      </c>
      <c r="I59" s="296">
        <v>368597</v>
      </c>
      <c r="J59" s="298">
        <v>4.6790650628911576</v>
      </c>
      <c r="K59" s="296">
        <v>85928</v>
      </c>
      <c r="L59" s="297">
        <v>1.0907921191005663</v>
      </c>
      <c r="M59" s="296">
        <v>7909</v>
      </c>
      <c r="N59" s="298">
        <v>0.1003988789447721</v>
      </c>
      <c r="O59" s="296">
        <v>335213</v>
      </c>
      <c r="P59" s="297">
        <v>4.2552799858027432</v>
      </c>
      <c r="Q59" s="296">
        <v>22523</v>
      </c>
      <c r="R59" s="298">
        <v>0.28591275135581012</v>
      </c>
      <c r="S59" s="296">
        <v>177784</v>
      </c>
      <c r="T59" s="297">
        <v>2.2568357939458039</v>
      </c>
      <c r="U59" s="296">
        <v>7877578</v>
      </c>
      <c r="V59" s="318">
        <v>100</v>
      </c>
    </row>
    <row r="60" spans="1:23" s="69" customFormat="1" ht="17.100000000000001" customHeight="1" x14ac:dyDescent="0.25">
      <c r="A60" s="461">
        <v>2012</v>
      </c>
      <c r="B60" s="451">
        <v>15</v>
      </c>
      <c r="C60" s="111"/>
      <c r="D60" s="324" t="s">
        <v>98</v>
      </c>
      <c r="E60" s="265">
        <v>3005603</v>
      </c>
      <c r="F60" s="67">
        <v>84.493791163132229</v>
      </c>
      <c r="G60" s="264">
        <v>148952</v>
      </c>
      <c r="H60" s="61">
        <v>4.1873524817917973</v>
      </c>
      <c r="I60" s="264">
        <v>61573</v>
      </c>
      <c r="J60" s="67">
        <v>1.730945904461614</v>
      </c>
      <c r="K60" s="264">
        <v>40477</v>
      </c>
      <c r="L60" s="61">
        <v>1.1378931897892381</v>
      </c>
      <c r="M60" s="264">
        <v>3029</v>
      </c>
      <c r="N60" s="67">
        <v>8.51515298038788E-2</v>
      </c>
      <c r="O60" s="264">
        <v>220670</v>
      </c>
      <c r="P60" s="61">
        <v>6.2034955700963801</v>
      </c>
      <c r="Q60" s="264">
        <v>39905</v>
      </c>
      <c r="R60" s="67">
        <v>1.1218130725730548</v>
      </c>
      <c r="S60" s="264">
        <v>36979</v>
      </c>
      <c r="T60" s="61">
        <v>1.0395570883518104</v>
      </c>
      <c r="U60" s="264">
        <v>3557188</v>
      </c>
      <c r="V60" s="312">
        <v>100.00000000000001</v>
      </c>
      <c r="W60" s="56"/>
    </row>
    <row r="61" spans="1:23" s="137" customFormat="1" ht="17.100000000000001" customHeight="1" x14ac:dyDescent="0.25">
      <c r="A61" s="461"/>
      <c r="B61" s="452"/>
      <c r="C61" s="143" t="s">
        <v>693</v>
      </c>
      <c r="D61" s="326" t="s">
        <v>535</v>
      </c>
      <c r="E61" s="294">
        <v>3005603</v>
      </c>
      <c r="F61" s="298">
        <v>84.493791163132229</v>
      </c>
      <c r="G61" s="296">
        <v>148952</v>
      </c>
      <c r="H61" s="297">
        <v>4.1873524817917973</v>
      </c>
      <c r="I61" s="296">
        <v>61573</v>
      </c>
      <c r="J61" s="298">
        <v>1.730945904461614</v>
      </c>
      <c r="K61" s="296">
        <v>40477</v>
      </c>
      <c r="L61" s="297">
        <v>1.1378931897892381</v>
      </c>
      <c r="M61" s="296">
        <v>3029</v>
      </c>
      <c r="N61" s="298">
        <v>8.51515298038788E-2</v>
      </c>
      <c r="O61" s="296">
        <v>220670</v>
      </c>
      <c r="P61" s="297">
        <v>6.2034955700963801</v>
      </c>
      <c r="Q61" s="296">
        <v>39905</v>
      </c>
      <c r="R61" s="298">
        <v>1.1218130725730548</v>
      </c>
      <c r="S61" s="296">
        <v>36979</v>
      </c>
      <c r="T61" s="297">
        <v>1.0395570883518104</v>
      </c>
      <c r="U61" s="296">
        <v>3557188</v>
      </c>
      <c r="V61" s="318">
        <v>100.00000000000001</v>
      </c>
    </row>
    <row r="62" spans="1:23" s="69" customFormat="1" ht="17.100000000000001" customHeight="1" x14ac:dyDescent="0.25">
      <c r="A62" s="461">
        <v>2012</v>
      </c>
      <c r="B62" s="454">
        <v>16</v>
      </c>
      <c r="C62" s="111"/>
      <c r="D62" s="324" t="s">
        <v>752</v>
      </c>
      <c r="E62" s="320">
        <v>1116933</v>
      </c>
      <c r="F62" s="67">
        <v>82.175704697097785</v>
      </c>
      <c r="G62" s="264">
        <v>30732</v>
      </c>
      <c r="H62" s="61">
        <v>2.2610342399689229</v>
      </c>
      <c r="I62" s="264">
        <v>81054</v>
      </c>
      <c r="J62" s="67">
        <v>5.9633564130691488</v>
      </c>
      <c r="K62" s="264">
        <v>0</v>
      </c>
      <c r="L62" s="61">
        <v>0</v>
      </c>
      <c r="M62" s="264">
        <v>9261</v>
      </c>
      <c r="N62" s="67">
        <v>0.68135617910816726</v>
      </c>
      <c r="O62" s="264">
        <v>85168</v>
      </c>
      <c r="P62" s="61">
        <v>6.2660342362902908</v>
      </c>
      <c r="Q62" s="264">
        <v>19355</v>
      </c>
      <c r="R62" s="67">
        <v>1.4239983637445823</v>
      </c>
      <c r="S62" s="264">
        <v>16698</v>
      </c>
      <c r="T62" s="61">
        <v>1.2285158707211075</v>
      </c>
      <c r="U62" s="264">
        <v>1359201</v>
      </c>
      <c r="V62" s="312">
        <v>100.00000000000001</v>
      </c>
    </row>
    <row r="63" spans="1:23" s="69" customFormat="1" ht="17.100000000000001" customHeight="1" x14ac:dyDescent="0.25">
      <c r="A63" s="461"/>
      <c r="B63" s="455"/>
      <c r="C63" s="65"/>
      <c r="D63" s="268" t="s">
        <v>753</v>
      </c>
      <c r="E63" s="265">
        <v>433540</v>
      </c>
      <c r="F63" s="67">
        <v>90.86812447470075</v>
      </c>
      <c r="G63" s="264">
        <v>3197</v>
      </c>
      <c r="H63" s="61">
        <v>0.67007748753429519</v>
      </c>
      <c r="I63" s="264">
        <v>20136</v>
      </c>
      <c r="J63" s="67">
        <v>4.2204192333408086</v>
      </c>
      <c r="K63" s="264">
        <v>0</v>
      </c>
      <c r="L63" s="61">
        <v>0</v>
      </c>
      <c r="M63" s="264">
        <v>0</v>
      </c>
      <c r="N63" s="67">
        <v>0</v>
      </c>
      <c r="O63" s="264">
        <v>8039</v>
      </c>
      <c r="P63" s="61">
        <v>1.6849399193894898</v>
      </c>
      <c r="Q63" s="264">
        <v>11387</v>
      </c>
      <c r="R63" s="67">
        <v>2.3866663592596242</v>
      </c>
      <c r="S63" s="264">
        <v>810</v>
      </c>
      <c r="T63" s="61">
        <v>0.16977252577503255</v>
      </c>
      <c r="U63" s="264">
        <v>477109</v>
      </c>
      <c r="V63" s="312">
        <v>100</v>
      </c>
    </row>
    <row r="64" spans="1:23" s="69" customFormat="1" ht="17.100000000000001" customHeight="1" x14ac:dyDescent="0.25">
      <c r="A64" s="461"/>
      <c r="B64" s="455"/>
      <c r="C64" s="65"/>
      <c r="D64" s="268" t="s">
        <v>754</v>
      </c>
      <c r="E64" s="327">
        <v>403928</v>
      </c>
      <c r="F64" s="67">
        <v>87.181402014594696</v>
      </c>
      <c r="G64" s="264">
        <v>10306</v>
      </c>
      <c r="H64" s="61">
        <v>2.2243853586837581</v>
      </c>
      <c r="I64" s="264">
        <v>22286</v>
      </c>
      <c r="J64" s="67">
        <v>4.8100768584927449</v>
      </c>
      <c r="K64" s="264">
        <v>0</v>
      </c>
      <c r="L64" s="61">
        <v>0</v>
      </c>
      <c r="M64" s="267">
        <v>0</v>
      </c>
      <c r="N64" s="67">
        <v>0</v>
      </c>
      <c r="O64" s="264">
        <v>10228</v>
      </c>
      <c r="P64" s="61">
        <v>2.2075503055130485</v>
      </c>
      <c r="Q64" s="264">
        <v>11043</v>
      </c>
      <c r="R64" s="67">
        <v>2.3834550277454625</v>
      </c>
      <c r="S64" s="264">
        <v>5528</v>
      </c>
      <c r="T64" s="61">
        <v>1.1931304349702905</v>
      </c>
      <c r="U64" s="264">
        <v>463319</v>
      </c>
      <c r="V64" s="312">
        <v>100.00000000000001</v>
      </c>
    </row>
    <row r="65" spans="1:22" s="69" customFormat="1" x14ac:dyDescent="0.25">
      <c r="A65" s="461"/>
      <c r="B65" s="455"/>
      <c r="C65" s="65"/>
      <c r="D65" s="268" t="s">
        <v>755</v>
      </c>
      <c r="E65" s="327">
        <v>353928</v>
      </c>
      <c r="F65" s="67">
        <v>85.976849546343416</v>
      </c>
      <c r="G65" s="264">
        <v>16671</v>
      </c>
      <c r="H65" s="61">
        <v>4.0497503977845524</v>
      </c>
      <c r="I65" s="264">
        <v>9456</v>
      </c>
      <c r="J65" s="67">
        <v>2.2970691477086396</v>
      </c>
      <c r="K65" s="264">
        <v>0</v>
      </c>
      <c r="L65" s="61">
        <v>0</v>
      </c>
      <c r="M65" s="264">
        <v>0</v>
      </c>
      <c r="N65" s="67">
        <v>0</v>
      </c>
      <c r="O65" s="264">
        <v>29863</v>
      </c>
      <c r="P65" s="61">
        <v>7.2543756300785853</v>
      </c>
      <c r="Q65" s="264">
        <v>979</v>
      </c>
      <c r="R65" s="67">
        <v>0.23782050503455562</v>
      </c>
      <c r="S65" s="264">
        <v>758</v>
      </c>
      <c r="T65" s="61">
        <v>0.18413477305024839</v>
      </c>
      <c r="U65" s="264">
        <v>411655</v>
      </c>
      <c r="V65" s="312">
        <v>99.999999999999986</v>
      </c>
    </row>
    <row r="66" spans="1:22" s="69" customFormat="1" x14ac:dyDescent="0.25">
      <c r="A66" s="461"/>
      <c r="B66" s="455"/>
      <c r="C66" s="65"/>
      <c r="D66" s="268" t="s">
        <v>45</v>
      </c>
      <c r="E66" s="265">
        <v>1082921</v>
      </c>
      <c r="F66" s="67">
        <v>87.279548660084629</v>
      </c>
      <c r="G66" s="264">
        <v>5675</v>
      </c>
      <c r="H66" s="61">
        <v>0.45738464638323589</v>
      </c>
      <c r="I66" s="264">
        <v>69721</v>
      </c>
      <c r="J66" s="67">
        <v>5.6192625428168448</v>
      </c>
      <c r="K66" s="264">
        <v>0</v>
      </c>
      <c r="L66" s="61">
        <v>0</v>
      </c>
      <c r="M66" s="264">
        <v>0</v>
      </c>
      <c r="N66" s="67">
        <v>0</v>
      </c>
      <c r="O66" s="264">
        <v>53437</v>
      </c>
      <c r="P66" s="61">
        <v>4.3068305460407013</v>
      </c>
      <c r="Q66" s="264">
        <v>14926</v>
      </c>
      <c r="R66" s="67">
        <v>1.2029820672980052</v>
      </c>
      <c r="S66" s="264">
        <v>14070</v>
      </c>
      <c r="T66" s="61">
        <v>1.1339915373765868</v>
      </c>
      <c r="U66" s="264">
        <v>1240750</v>
      </c>
      <c r="V66" s="312">
        <v>100</v>
      </c>
    </row>
    <row r="67" spans="1:22" s="69" customFormat="1" x14ac:dyDescent="0.25">
      <c r="A67" s="461"/>
      <c r="B67" s="455"/>
      <c r="C67" s="65"/>
      <c r="D67" s="268" t="s">
        <v>756</v>
      </c>
      <c r="E67" s="265">
        <v>642637</v>
      </c>
      <c r="F67" s="67">
        <v>88.542372787945922</v>
      </c>
      <c r="G67" s="264">
        <v>9626</v>
      </c>
      <c r="H67" s="61">
        <v>1.3262679871479037</v>
      </c>
      <c r="I67" s="264">
        <v>22968</v>
      </c>
      <c r="J67" s="67">
        <v>3.1645255691681959</v>
      </c>
      <c r="K67" s="264">
        <v>0</v>
      </c>
      <c r="L67" s="61">
        <v>0</v>
      </c>
      <c r="M67" s="264">
        <v>1801</v>
      </c>
      <c r="N67" s="67">
        <v>0.24814135101323237</v>
      </c>
      <c r="O67" s="264">
        <v>40767</v>
      </c>
      <c r="P67" s="61">
        <v>5.6168675495593803</v>
      </c>
      <c r="Q67" s="264">
        <v>4192</v>
      </c>
      <c r="R67" s="67">
        <v>0.57757276149220993</v>
      </c>
      <c r="S67" s="264">
        <v>3805</v>
      </c>
      <c r="T67" s="61">
        <v>0.52425199367315334</v>
      </c>
      <c r="U67" s="264">
        <v>725796</v>
      </c>
      <c r="V67" s="312">
        <v>99.999999999999972</v>
      </c>
    </row>
    <row r="68" spans="1:22" s="69" customFormat="1" x14ac:dyDescent="0.25">
      <c r="A68" s="461"/>
      <c r="B68" s="455"/>
      <c r="C68" s="65"/>
      <c r="D68" s="268" t="s">
        <v>757</v>
      </c>
      <c r="E68" s="265">
        <v>427678</v>
      </c>
      <c r="F68" s="67">
        <v>91.07748266521287</v>
      </c>
      <c r="G68" s="264">
        <v>0</v>
      </c>
      <c r="H68" s="61">
        <v>0</v>
      </c>
      <c r="I68" s="264">
        <v>14229</v>
      </c>
      <c r="J68" s="67">
        <v>3.0301804180792886</v>
      </c>
      <c r="K68" s="264">
        <v>0</v>
      </c>
      <c r="L68" s="61">
        <v>0</v>
      </c>
      <c r="M68" s="264">
        <v>1988</v>
      </c>
      <c r="N68" s="67">
        <v>0.42336064875547302</v>
      </c>
      <c r="O68" s="264">
        <v>13666</v>
      </c>
      <c r="P68" s="61">
        <v>2.9102850230846551</v>
      </c>
      <c r="Q68" s="264">
        <v>6804</v>
      </c>
      <c r="R68" s="67">
        <v>1.4489667274307034</v>
      </c>
      <c r="S68" s="264">
        <v>5211</v>
      </c>
      <c r="T68" s="61">
        <v>1.1097245174370072</v>
      </c>
      <c r="U68" s="264">
        <v>469576</v>
      </c>
      <c r="V68" s="312">
        <v>99.999999999999986</v>
      </c>
    </row>
    <row r="69" spans="1:22" s="137" customFormat="1" x14ac:dyDescent="0.25">
      <c r="A69" s="461"/>
      <c r="B69" s="455"/>
      <c r="C69" s="43" t="s">
        <v>694</v>
      </c>
      <c r="D69" s="315" t="s">
        <v>535</v>
      </c>
      <c r="E69" s="294">
        <v>4461565</v>
      </c>
      <c r="F69" s="317">
        <v>86.675987866509857</v>
      </c>
      <c r="G69" s="296">
        <v>76207</v>
      </c>
      <c r="H69" s="297">
        <v>1.4804932814703173</v>
      </c>
      <c r="I69" s="296">
        <v>239850</v>
      </c>
      <c r="J69" s="298">
        <v>4.6596285585399713</v>
      </c>
      <c r="K69" s="296">
        <v>0</v>
      </c>
      <c r="L69" s="297">
        <v>0</v>
      </c>
      <c r="M69" s="296">
        <v>13050</v>
      </c>
      <c r="N69" s="298">
        <v>0.2535257564684037</v>
      </c>
      <c r="O69" s="296">
        <v>241168</v>
      </c>
      <c r="P69" s="297">
        <v>4.6852336885802286</v>
      </c>
      <c r="Q69" s="296">
        <v>68686</v>
      </c>
      <c r="R69" s="298">
        <v>1.3343808512481821</v>
      </c>
      <c r="S69" s="296">
        <v>46880</v>
      </c>
      <c r="T69" s="297">
        <v>0.91074999718304717</v>
      </c>
      <c r="U69" s="296">
        <v>5147406</v>
      </c>
      <c r="V69" s="318">
        <v>100</v>
      </c>
    </row>
    <row r="70" spans="1:22" s="69" customFormat="1" x14ac:dyDescent="0.25">
      <c r="A70" s="461">
        <v>2012</v>
      </c>
      <c r="B70" s="451">
        <v>17</v>
      </c>
      <c r="C70" s="111"/>
      <c r="D70" s="324" t="s">
        <v>15</v>
      </c>
      <c r="E70" s="265">
        <v>2991094</v>
      </c>
      <c r="F70" s="67">
        <v>77.171200643976135</v>
      </c>
      <c r="G70" s="264">
        <v>307969</v>
      </c>
      <c r="H70" s="61">
        <v>7.9457006336560099</v>
      </c>
      <c r="I70" s="264">
        <v>157110</v>
      </c>
      <c r="J70" s="67">
        <v>4.0534892361039443</v>
      </c>
      <c r="K70" s="264">
        <v>53969</v>
      </c>
      <c r="L70" s="61">
        <v>1.3924178001609939</v>
      </c>
      <c r="M70" s="264">
        <v>0</v>
      </c>
      <c r="N70" s="67">
        <v>0</v>
      </c>
      <c r="O70" s="264">
        <v>287064</v>
      </c>
      <c r="P70" s="61">
        <v>7.4063448161984766</v>
      </c>
      <c r="Q70" s="264">
        <v>69762</v>
      </c>
      <c r="R70" s="67">
        <v>1.7998823505129107</v>
      </c>
      <c r="S70" s="264">
        <v>8952</v>
      </c>
      <c r="T70" s="61">
        <v>0.2309645193915251</v>
      </c>
      <c r="U70" s="264">
        <v>3875920</v>
      </c>
      <c r="V70" s="312">
        <v>99.999999999999986</v>
      </c>
    </row>
    <row r="71" spans="1:22" s="137" customFormat="1" x14ac:dyDescent="0.25">
      <c r="A71" s="461"/>
      <c r="B71" s="452"/>
      <c r="C71" s="143" t="s">
        <v>696</v>
      </c>
      <c r="D71" s="326" t="s">
        <v>535</v>
      </c>
      <c r="E71" s="294">
        <v>2991094</v>
      </c>
      <c r="F71" s="298">
        <v>77.171200643976135</v>
      </c>
      <c r="G71" s="296">
        <v>307969</v>
      </c>
      <c r="H71" s="297">
        <v>7.9457006336560099</v>
      </c>
      <c r="I71" s="296">
        <v>157110</v>
      </c>
      <c r="J71" s="298">
        <v>4.0534892361039443</v>
      </c>
      <c r="K71" s="296">
        <v>53969</v>
      </c>
      <c r="L71" s="297">
        <v>1.3924178001609939</v>
      </c>
      <c r="M71" s="296">
        <v>0</v>
      </c>
      <c r="N71" s="298">
        <v>0</v>
      </c>
      <c r="O71" s="296">
        <v>287064</v>
      </c>
      <c r="P71" s="297">
        <v>7.4063448161984766</v>
      </c>
      <c r="Q71" s="296">
        <v>69762</v>
      </c>
      <c r="R71" s="298">
        <v>1.7998823505129107</v>
      </c>
      <c r="S71" s="296">
        <v>8952</v>
      </c>
      <c r="T71" s="297">
        <v>0.2309645193915251</v>
      </c>
      <c r="U71" s="296">
        <v>3875920</v>
      </c>
      <c r="V71" s="318">
        <v>99.999999999999986</v>
      </c>
    </row>
    <row r="72" spans="1:22" s="69" customFormat="1" x14ac:dyDescent="0.25">
      <c r="A72" s="461">
        <v>2012</v>
      </c>
      <c r="B72" s="451">
        <v>18</v>
      </c>
      <c r="C72" s="111"/>
      <c r="D72" s="319" t="s">
        <v>62</v>
      </c>
      <c r="E72" s="265">
        <v>6583597</v>
      </c>
      <c r="F72" s="67">
        <v>72.039374160113809</v>
      </c>
      <c r="G72" s="264">
        <v>669785</v>
      </c>
      <c r="H72" s="61">
        <v>7.3289559220942335</v>
      </c>
      <c r="I72" s="264">
        <v>495876</v>
      </c>
      <c r="J72" s="67">
        <v>5.4259999056777914</v>
      </c>
      <c r="K72" s="264">
        <v>69814</v>
      </c>
      <c r="L72" s="61">
        <v>0.76392234634261258</v>
      </c>
      <c r="M72" s="264">
        <v>5833</v>
      </c>
      <c r="N72" s="67">
        <v>6.382615300966081E-2</v>
      </c>
      <c r="O72" s="264">
        <v>830647</v>
      </c>
      <c r="P72" s="61">
        <v>9.0891483831674478</v>
      </c>
      <c r="Q72" s="264">
        <v>96909</v>
      </c>
      <c r="R72" s="67">
        <v>1.0604026507823108</v>
      </c>
      <c r="S72" s="264">
        <v>386426</v>
      </c>
      <c r="T72" s="61">
        <v>4.2283704788121348</v>
      </c>
      <c r="U72" s="264">
        <v>9138887</v>
      </c>
      <c r="V72" s="312">
        <v>100.00000000000001</v>
      </c>
    </row>
    <row r="73" spans="1:22" s="137" customFormat="1" ht="15.75" thickBot="1" x14ac:dyDescent="0.3">
      <c r="A73" s="461"/>
      <c r="B73" s="453"/>
      <c r="C73" s="143" t="s">
        <v>697</v>
      </c>
      <c r="D73" s="328" t="s">
        <v>535</v>
      </c>
      <c r="E73" s="301">
        <v>6583597</v>
      </c>
      <c r="F73" s="305">
        <v>72.039374160113809</v>
      </c>
      <c r="G73" s="303">
        <v>669785</v>
      </c>
      <c r="H73" s="304">
        <v>7.3289559220942335</v>
      </c>
      <c r="I73" s="303">
        <v>495876</v>
      </c>
      <c r="J73" s="305">
        <v>5.4259999056777914</v>
      </c>
      <c r="K73" s="303">
        <v>69814</v>
      </c>
      <c r="L73" s="304">
        <v>0.76392234634261258</v>
      </c>
      <c r="M73" s="303">
        <v>5833</v>
      </c>
      <c r="N73" s="305">
        <v>6.382615300966081E-2</v>
      </c>
      <c r="O73" s="303">
        <v>830647</v>
      </c>
      <c r="P73" s="304">
        <v>9.0891483831674478</v>
      </c>
      <c r="Q73" s="303">
        <v>96909</v>
      </c>
      <c r="R73" s="305">
        <v>1.0604026507823108</v>
      </c>
      <c r="S73" s="303">
        <v>386426</v>
      </c>
      <c r="T73" s="304">
        <v>4.2283704788121348</v>
      </c>
      <c r="U73" s="303">
        <v>9138887</v>
      </c>
      <c r="V73" s="329">
        <v>100.00000000000001</v>
      </c>
    </row>
    <row r="74" spans="1:22" s="69" customFormat="1" x14ac:dyDescent="0.25">
      <c r="A74" s="461">
        <v>2012</v>
      </c>
      <c r="B74" s="446">
        <v>19</v>
      </c>
      <c r="C74" s="111"/>
      <c r="D74" s="330" t="s">
        <v>317</v>
      </c>
      <c r="E74" s="308">
        <v>4223935</v>
      </c>
      <c r="F74" s="260">
        <v>72.133991634445806</v>
      </c>
      <c r="G74" s="310">
        <v>282866</v>
      </c>
      <c r="H74" s="309">
        <v>4.8306268154384835</v>
      </c>
      <c r="I74" s="310">
        <v>276378</v>
      </c>
      <c r="J74" s="260">
        <v>4.7198283922325661</v>
      </c>
      <c r="K74" s="310">
        <v>180791</v>
      </c>
      <c r="L74" s="309">
        <v>3.0874472456567377</v>
      </c>
      <c r="M74" s="310">
        <v>16907</v>
      </c>
      <c r="N74" s="260">
        <v>0.28872825849914241</v>
      </c>
      <c r="O74" s="310">
        <v>349540</v>
      </c>
      <c r="P74" s="309">
        <v>5.9692479727799288</v>
      </c>
      <c r="Q74" s="310">
        <v>81458</v>
      </c>
      <c r="R74" s="260">
        <v>1.3910940131793428</v>
      </c>
      <c r="S74" s="310">
        <v>443804</v>
      </c>
      <c r="T74" s="309">
        <v>7.5790356677679904</v>
      </c>
      <c r="U74" s="310">
        <v>5855679</v>
      </c>
      <c r="V74" s="311">
        <v>100</v>
      </c>
    </row>
    <row r="75" spans="1:22" s="69" customFormat="1" x14ac:dyDescent="0.25">
      <c r="A75" s="461"/>
      <c r="B75" s="452"/>
      <c r="C75" s="143" t="s">
        <v>445</v>
      </c>
      <c r="D75" s="326" t="s">
        <v>286</v>
      </c>
      <c r="E75" s="294">
        <v>4223935</v>
      </c>
      <c r="F75" s="298">
        <v>72.133991634445806</v>
      </c>
      <c r="G75" s="296">
        <v>282866</v>
      </c>
      <c r="H75" s="297">
        <v>4.8306268154384835</v>
      </c>
      <c r="I75" s="296">
        <v>276378</v>
      </c>
      <c r="J75" s="298">
        <v>4.7198283922325661</v>
      </c>
      <c r="K75" s="296">
        <v>180791</v>
      </c>
      <c r="L75" s="297">
        <v>3.0874472456567377</v>
      </c>
      <c r="M75" s="296">
        <v>16907</v>
      </c>
      <c r="N75" s="298">
        <v>0.28872825849914241</v>
      </c>
      <c r="O75" s="296">
        <v>349540</v>
      </c>
      <c r="P75" s="297">
        <v>5.9692479727799288</v>
      </c>
      <c r="Q75" s="296">
        <v>81458</v>
      </c>
      <c r="R75" s="298">
        <v>1.3910940131793428</v>
      </c>
      <c r="S75" s="296">
        <v>443804</v>
      </c>
      <c r="T75" s="297">
        <v>7.5790356677679904</v>
      </c>
      <c r="U75" s="296">
        <v>5855679</v>
      </c>
      <c r="V75" s="318">
        <v>100</v>
      </c>
    </row>
    <row r="76" spans="1:22" s="69" customFormat="1" x14ac:dyDescent="0.25">
      <c r="A76" s="461">
        <v>2012</v>
      </c>
      <c r="B76" s="451">
        <v>20</v>
      </c>
      <c r="C76" s="111"/>
      <c r="D76" s="324" t="s">
        <v>320</v>
      </c>
      <c r="E76" s="265">
        <v>1807662</v>
      </c>
      <c r="F76" s="67">
        <v>68.168180625152729</v>
      </c>
      <c r="G76" s="264">
        <v>327579</v>
      </c>
      <c r="H76" s="61">
        <v>12.353229995987583</v>
      </c>
      <c r="I76" s="264">
        <v>113513</v>
      </c>
      <c r="J76" s="67">
        <v>4.2806535111668893</v>
      </c>
      <c r="K76" s="264">
        <v>0</v>
      </c>
      <c r="L76" s="61">
        <v>0</v>
      </c>
      <c r="M76" s="264">
        <v>8522</v>
      </c>
      <c r="N76" s="67">
        <v>0.32137049696655212</v>
      </c>
      <c r="O76" s="264">
        <v>270705</v>
      </c>
      <c r="P76" s="61">
        <v>10.208472234373446</v>
      </c>
      <c r="Q76" s="264">
        <v>100449</v>
      </c>
      <c r="R76" s="67">
        <v>3.7880010619330196</v>
      </c>
      <c r="S76" s="264">
        <v>23338</v>
      </c>
      <c r="T76" s="61">
        <v>0.88009207441978343</v>
      </c>
      <c r="U76" s="264">
        <v>2651768</v>
      </c>
      <c r="V76" s="312">
        <v>100</v>
      </c>
    </row>
    <row r="77" spans="1:22" s="69" customFormat="1" x14ac:dyDescent="0.25">
      <c r="A77" s="461"/>
      <c r="B77" s="447"/>
      <c r="C77" s="65"/>
      <c r="D77" s="268" t="s">
        <v>77</v>
      </c>
      <c r="E77" s="265">
        <v>1134560</v>
      </c>
      <c r="F77" s="67">
        <v>84.790527280255063</v>
      </c>
      <c r="G77" s="264">
        <v>95617</v>
      </c>
      <c r="H77" s="61">
        <v>7.145867866799593</v>
      </c>
      <c r="I77" s="264">
        <v>40966</v>
      </c>
      <c r="J77" s="67">
        <v>3.0615646070396707</v>
      </c>
      <c r="K77" s="264">
        <v>0</v>
      </c>
      <c r="L77" s="61">
        <v>0</v>
      </c>
      <c r="M77" s="264">
        <v>636</v>
      </c>
      <c r="N77" s="67">
        <v>4.7531003516995324E-2</v>
      </c>
      <c r="O77" s="264">
        <v>27573</v>
      </c>
      <c r="P77" s="61">
        <v>2.0606483647391696</v>
      </c>
      <c r="Q77" s="264">
        <v>13693</v>
      </c>
      <c r="R77" s="67">
        <v>1.0233365269783286</v>
      </c>
      <c r="S77" s="264">
        <v>25029</v>
      </c>
      <c r="T77" s="61">
        <v>1.8705243506711888</v>
      </c>
      <c r="U77" s="264">
        <v>1338074</v>
      </c>
      <c r="V77" s="312">
        <v>100</v>
      </c>
    </row>
    <row r="78" spans="1:22" s="68" customFormat="1" x14ac:dyDescent="0.25">
      <c r="A78" s="461"/>
      <c r="B78" s="448"/>
      <c r="C78" s="143" t="s">
        <v>699</v>
      </c>
      <c r="D78" s="322" t="s">
        <v>535</v>
      </c>
      <c r="E78" s="273">
        <v>2942222</v>
      </c>
      <c r="F78" s="275">
        <v>73.742819891113484</v>
      </c>
      <c r="G78" s="274">
        <v>423196</v>
      </c>
      <c r="H78" s="72">
        <v>10.606836060174814</v>
      </c>
      <c r="I78" s="274">
        <v>154479</v>
      </c>
      <c r="J78" s="275">
        <v>3.8718074550320538</v>
      </c>
      <c r="K78" s="274">
        <v>0</v>
      </c>
      <c r="L78" s="72">
        <v>0</v>
      </c>
      <c r="M78" s="274">
        <v>9158</v>
      </c>
      <c r="N78" s="275">
        <v>0.22953289879649369</v>
      </c>
      <c r="O78" s="274">
        <v>298278</v>
      </c>
      <c r="P78" s="72">
        <v>7.4759351372811258</v>
      </c>
      <c r="Q78" s="274">
        <v>114142</v>
      </c>
      <c r="R78" s="275">
        <v>2.8608150397935557</v>
      </c>
      <c r="S78" s="274">
        <v>48367</v>
      </c>
      <c r="T78" s="72">
        <v>1.2122535178084748</v>
      </c>
      <c r="U78" s="274">
        <v>3989842</v>
      </c>
      <c r="V78" s="323">
        <v>100</v>
      </c>
    </row>
    <row r="79" spans="1:22" s="69" customFormat="1" x14ac:dyDescent="0.25">
      <c r="A79" s="462" t="s">
        <v>667</v>
      </c>
      <c r="B79" s="451">
        <v>21</v>
      </c>
      <c r="C79" s="111"/>
      <c r="D79" s="324" t="s">
        <v>189</v>
      </c>
      <c r="E79" s="265">
        <v>10871842</v>
      </c>
      <c r="F79" s="67">
        <v>57.818594819672178</v>
      </c>
      <c r="G79" s="264">
        <v>647894</v>
      </c>
      <c r="H79" s="61">
        <v>3.4456277668583382</v>
      </c>
      <c r="I79" s="264">
        <v>1916827</v>
      </c>
      <c r="J79" s="67">
        <v>10.194063126782726</v>
      </c>
      <c r="K79" s="264">
        <v>72436</v>
      </c>
      <c r="L79" s="61">
        <v>0.38522889997461096</v>
      </c>
      <c r="M79" s="264">
        <v>6155</v>
      </c>
      <c r="N79" s="67">
        <v>3.2733501012531481E-2</v>
      </c>
      <c r="O79" s="264">
        <v>1843679</v>
      </c>
      <c r="P79" s="61">
        <v>9.8050476707202314</v>
      </c>
      <c r="Q79" s="264">
        <v>88164</v>
      </c>
      <c r="R79" s="67">
        <v>0.46887349850021537</v>
      </c>
      <c r="S79" s="264">
        <v>3356369</v>
      </c>
      <c r="T79" s="61">
        <v>17.849830716479168</v>
      </c>
      <c r="U79" s="264">
        <v>18803366</v>
      </c>
      <c r="V79" s="312">
        <v>100</v>
      </c>
    </row>
    <row r="80" spans="1:22" s="137" customFormat="1" x14ac:dyDescent="0.25">
      <c r="A80" s="461"/>
      <c r="B80" s="452"/>
      <c r="C80" s="143" t="s">
        <v>700</v>
      </c>
      <c r="D80" s="326" t="s">
        <v>535</v>
      </c>
      <c r="E80" s="294">
        <v>10871842</v>
      </c>
      <c r="F80" s="298">
        <v>57.818594819672178</v>
      </c>
      <c r="G80" s="296">
        <v>647894</v>
      </c>
      <c r="H80" s="297">
        <v>3.4456277668583382</v>
      </c>
      <c r="I80" s="296">
        <v>1916827</v>
      </c>
      <c r="J80" s="298">
        <v>10.194063126782726</v>
      </c>
      <c r="K80" s="296">
        <v>72436</v>
      </c>
      <c r="L80" s="297">
        <v>0.38522889997461096</v>
      </c>
      <c r="M80" s="296">
        <v>6155</v>
      </c>
      <c r="N80" s="298">
        <v>3.2733501012531481E-2</v>
      </c>
      <c r="O80" s="296">
        <v>1843679</v>
      </c>
      <c r="P80" s="297">
        <v>9.8050476707202314</v>
      </c>
      <c r="Q80" s="296">
        <v>88164</v>
      </c>
      <c r="R80" s="298">
        <v>0.46887349850021537</v>
      </c>
      <c r="S80" s="296">
        <v>3356369</v>
      </c>
      <c r="T80" s="297">
        <v>17.849830716479168</v>
      </c>
      <c r="U80" s="296">
        <v>18803366</v>
      </c>
      <c r="V80" s="318">
        <v>100</v>
      </c>
    </row>
    <row r="81" spans="1:23" s="69" customFormat="1" ht="17.100000000000001" customHeight="1" x14ac:dyDescent="0.25">
      <c r="A81" s="461">
        <v>2012</v>
      </c>
      <c r="B81" s="451">
        <v>22</v>
      </c>
      <c r="C81" s="68"/>
      <c r="D81" s="319" t="s">
        <v>28</v>
      </c>
      <c r="E81" s="265">
        <v>3239003</v>
      </c>
      <c r="F81" s="67">
        <v>80.424808460513162</v>
      </c>
      <c r="G81" s="264">
        <v>139852</v>
      </c>
      <c r="H81" s="61">
        <v>3.472540875330985</v>
      </c>
      <c r="I81" s="264">
        <v>154893</v>
      </c>
      <c r="J81" s="67">
        <v>3.8460105955055508</v>
      </c>
      <c r="K81" s="264">
        <v>0</v>
      </c>
      <c r="L81" s="61">
        <v>0</v>
      </c>
      <c r="M81" s="264">
        <v>10187</v>
      </c>
      <c r="N81" s="67">
        <v>0.25294435472497173</v>
      </c>
      <c r="O81" s="264">
        <v>336119</v>
      </c>
      <c r="P81" s="61">
        <v>8.3458725400807676</v>
      </c>
      <c r="Q81" s="264">
        <v>56020</v>
      </c>
      <c r="R81" s="67">
        <v>1.3909828950321899</v>
      </c>
      <c r="S81" s="264">
        <v>91294</v>
      </c>
      <c r="T81" s="61">
        <v>2.2668402788123658</v>
      </c>
      <c r="U81" s="264">
        <v>4027368</v>
      </c>
      <c r="V81" s="312">
        <v>100</v>
      </c>
    </row>
    <row r="82" spans="1:23" s="69" customFormat="1" ht="17.100000000000001" customHeight="1" x14ac:dyDescent="0.25">
      <c r="A82" s="461"/>
      <c r="B82" s="452"/>
      <c r="C82" s="143" t="s">
        <v>446</v>
      </c>
      <c r="D82" s="326" t="s">
        <v>535</v>
      </c>
      <c r="E82" s="294">
        <v>3239003</v>
      </c>
      <c r="F82" s="298">
        <v>80.424808460513162</v>
      </c>
      <c r="G82" s="296">
        <v>139852</v>
      </c>
      <c r="H82" s="297">
        <v>3.472540875330985</v>
      </c>
      <c r="I82" s="296">
        <v>154893</v>
      </c>
      <c r="J82" s="298">
        <v>3.8460105955055508</v>
      </c>
      <c r="K82" s="296">
        <v>0</v>
      </c>
      <c r="L82" s="297">
        <v>0</v>
      </c>
      <c r="M82" s="296">
        <v>10187</v>
      </c>
      <c r="N82" s="298">
        <v>0.25294435472497173</v>
      </c>
      <c r="O82" s="296">
        <v>336119</v>
      </c>
      <c r="P82" s="297">
        <v>8.3458725400807676</v>
      </c>
      <c r="Q82" s="296">
        <v>56020</v>
      </c>
      <c r="R82" s="298">
        <v>1.3909828950321899</v>
      </c>
      <c r="S82" s="296">
        <v>91294</v>
      </c>
      <c r="T82" s="297">
        <v>2.2668402788123658</v>
      </c>
      <c r="U82" s="296">
        <v>4027368</v>
      </c>
      <c r="V82" s="318">
        <v>100</v>
      </c>
    </row>
    <row r="83" spans="1:23" s="69" customFormat="1" ht="17.100000000000001" customHeight="1" x14ac:dyDescent="0.25">
      <c r="A83" s="461">
        <v>2012</v>
      </c>
      <c r="B83" s="451">
        <v>23</v>
      </c>
      <c r="C83" s="111"/>
      <c r="D83" s="324" t="s">
        <v>545</v>
      </c>
      <c r="E83" s="284">
        <v>4216555</v>
      </c>
      <c r="F83" s="70">
        <v>76.510585776928423</v>
      </c>
      <c r="G83" s="267">
        <v>601897</v>
      </c>
      <c r="H83" s="74">
        <v>10.921591689750491</v>
      </c>
      <c r="I83" s="267">
        <v>319323</v>
      </c>
      <c r="J83" s="70">
        <v>5.7942063561476402</v>
      </c>
      <c r="K83" s="267">
        <v>0</v>
      </c>
      <c r="L83" s="74">
        <v>0</v>
      </c>
      <c r="M83" s="267">
        <v>0</v>
      </c>
      <c r="N83" s="70">
        <v>0</v>
      </c>
      <c r="O83" s="267">
        <v>218708</v>
      </c>
      <c r="P83" s="74">
        <v>3.9685186589764534</v>
      </c>
      <c r="Q83" s="267">
        <v>136819</v>
      </c>
      <c r="R83" s="70">
        <v>2.4826195402202909</v>
      </c>
      <c r="S83" s="267">
        <v>17772</v>
      </c>
      <c r="T83" s="61">
        <v>0.32247797797670652</v>
      </c>
      <c r="U83" s="264">
        <v>5511074</v>
      </c>
      <c r="V83" s="312">
        <v>99.999999999999986</v>
      </c>
    </row>
    <row r="84" spans="1:23" s="137" customFormat="1" ht="17.100000000000001" customHeight="1" x14ac:dyDescent="0.25">
      <c r="A84" s="461"/>
      <c r="B84" s="452"/>
      <c r="C84" s="143" t="s">
        <v>701</v>
      </c>
      <c r="D84" s="326" t="s">
        <v>535</v>
      </c>
      <c r="E84" s="331">
        <v>4216555</v>
      </c>
      <c r="F84" s="317">
        <v>76.510585776928423</v>
      </c>
      <c r="G84" s="332">
        <v>601897</v>
      </c>
      <c r="H84" s="297">
        <v>10.921591689750491</v>
      </c>
      <c r="I84" s="332">
        <v>319323</v>
      </c>
      <c r="J84" s="298">
        <v>5.7942063561476402</v>
      </c>
      <c r="K84" s="332">
        <v>0</v>
      </c>
      <c r="L84" s="297">
        <v>0</v>
      </c>
      <c r="M84" s="332">
        <v>0</v>
      </c>
      <c r="N84" s="298">
        <v>0</v>
      </c>
      <c r="O84" s="332">
        <v>218708</v>
      </c>
      <c r="P84" s="297">
        <v>3.9685186589764534</v>
      </c>
      <c r="Q84" s="332">
        <v>136819</v>
      </c>
      <c r="R84" s="298">
        <v>2.4826195402202909</v>
      </c>
      <c r="S84" s="332">
        <v>17772</v>
      </c>
      <c r="T84" s="297">
        <v>0.32247797797670652</v>
      </c>
      <c r="U84" s="332">
        <v>5511074</v>
      </c>
      <c r="V84" s="318">
        <v>99.999999999999986</v>
      </c>
    </row>
    <row r="85" spans="1:23" s="69" customFormat="1" ht="17.100000000000001" customHeight="1" x14ac:dyDescent="0.25">
      <c r="A85" s="461">
        <v>2012</v>
      </c>
      <c r="B85" s="447">
        <v>24</v>
      </c>
      <c r="C85" s="111"/>
      <c r="D85" s="268" t="s">
        <v>544</v>
      </c>
      <c r="E85" s="265">
        <v>10050778</v>
      </c>
      <c r="F85" s="67">
        <v>74.789218625523716</v>
      </c>
      <c r="G85" s="264">
        <v>855384</v>
      </c>
      <c r="H85" s="61">
        <v>6.3650297504108622</v>
      </c>
      <c r="I85" s="264">
        <v>525248</v>
      </c>
      <c r="J85" s="67">
        <v>3.9084424613317585</v>
      </c>
      <c r="K85" s="264">
        <v>198113</v>
      </c>
      <c r="L85" s="61">
        <v>1.4741860251572945</v>
      </c>
      <c r="M85" s="264">
        <v>40191</v>
      </c>
      <c r="N85" s="67">
        <v>0.29906674744765271</v>
      </c>
      <c r="O85" s="264">
        <v>981810</v>
      </c>
      <c r="P85" s="61">
        <v>7.3057829691119878</v>
      </c>
      <c r="Q85" s="264">
        <v>329197</v>
      </c>
      <c r="R85" s="67">
        <v>2.449600061195913</v>
      </c>
      <c r="S85" s="264">
        <v>458085</v>
      </c>
      <c r="T85" s="61">
        <v>3.4086733598208054</v>
      </c>
      <c r="U85" s="264">
        <v>13438806</v>
      </c>
      <c r="V85" s="312">
        <v>99.999999999999986</v>
      </c>
      <c r="W85" s="56"/>
    </row>
    <row r="86" spans="1:23" s="137" customFormat="1" ht="17.100000000000001" customHeight="1" x14ac:dyDescent="0.25">
      <c r="A86" s="461"/>
      <c r="B86" s="452"/>
      <c r="C86" s="143" t="s">
        <v>448</v>
      </c>
      <c r="D86" s="326" t="s">
        <v>535</v>
      </c>
      <c r="E86" s="294">
        <v>10050778</v>
      </c>
      <c r="F86" s="298">
        <v>74.789218625523716</v>
      </c>
      <c r="G86" s="296">
        <v>855384</v>
      </c>
      <c r="H86" s="297">
        <v>6.3650297504108622</v>
      </c>
      <c r="I86" s="296">
        <v>525248</v>
      </c>
      <c r="J86" s="298">
        <v>3.9084424613317585</v>
      </c>
      <c r="K86" s="296">
        <v>198113</v>
      </c>
      <c r="L86" s="297">
        <v>1.4741860251572945</v>
      </c>
      <c r="M86" s="296">
        <v>40191</v>
      </c>
      <c r="N86" s="298">
        <v>0.29906674744765271</v>
      </c>
      <c r="O86" s="296">
        <v>981810</v>
      </c>
      <c r="P86" s="297">
        <v>7.3057829691119878</v>
      </c>
      <c r="Q86" s="296">
        <v>329197</v>
      </c>
      <c r="R86" s="298">
        <v>2.449600061195913</v>
      </c>
      <c r="S86" s="296">
        <v>458085</v>
      </c>
      <c r="T86" s="297">
        <v>3.4086733598208054</v>
      </c>
      <c r="U86" s="332">
        <v>13438806</v>
      </c>
      <c r="V86" s="318">
        <v>99.999999999999986</v>
      </c>
    </row>
    <row r="87" spans="1:23" s="69" customFormat="1" ht="17.100000000000001" customHeight="1" x14ac:dyDescent="0.25">
      <c r="A87" s="461">
        <v>2012</v>
      </c>
      <c r="B87" s="451">
        <v>25</v>
      </c>
      <c r="C87" s="111"/>
      <c r="D87" s="324" t="s">
        <v>758</v>
      </c>
      <c r="E87" s="333">
        <v>2239224</v>
      </c>
      <c r="F87" s="67">
        <v>87.418533998464966</v>
      </c>
      <c r="G87" s="264">
        <v>0</v>
      </c>
      <c r="H87" s="61">
        <v>0</v>
      </c>
      <c r="I87" s="264">
        <v>102000</v>
      </c>
      <c r="J87" s="67">
        <v>3.9820448815497809</v>
      </c>
      <c r="K87" s="264">
        <v>2741</v>
      </c>
      <c r="L87" s="61">
        <v>0.107007696277725</v>
      </c>
      <c r="M87" s="264">
        <v>0</v>
      </c>
      <c r="N87" s="67">
        <v>0</v>
      </c>
      <c r="O87" s="264">
        <v>119289</v>
      </c>
      <c r="P87" s="61">
        <v>4.657001488972468</v>
      </c>
      <c r="Q87" s="264">
        <v>85996</v>
      </c>
      <c r="R87" s="67">
        <v>3.3572542317034797</v>
      </c>
      <c r="S87" s="264">
        <v>12248</v>
      </c>
      <c r="T87" s="61">
        <v>0.47815770303158545</v>
      </c>
      <c r="U87" s="264">
        <v>2561498</v>
      </c>
      <c r="V87" s="312">
        <v>100</v>
      </c>
    </row>
    <row r="88" spans="1:23" s="69" customFormat="1" ht="17.100000000000001" customHeight="1" x14ac:dyDescent="0.25">
      <c r="A88" s="461"/>
      <c r="B88" s="447"/>
      <c r="C88" s="65"/>
      <c r="D88" s="268" t="s">
        <v>759</v>
      </c>
      <c r="E88" s="265">
        <v>848462</v>
      </c>
      <c r="F88" s="67">
        <v>79.50885038266226</v>
      </c>
      <c r="G88" s="264">
        <v>7471</v>
      </c>
      <c r="H88" s="61">
        <v>0.7001027991929748</v>
      </c>
      <c r="I88" s="264">
        <v>32257</v>
      </c>
      <c r="J88" s="67">
        <v>3.0227835622497374</v>
      </c>
      <c r="K88" s="264">
        <v>10</v>
      </c>
      <c r="L88" s="61">
        <v>9.3709382839375556E-4</v>
      </c>
      <c r="M88" s="267">
        <v>0</v>
      </c>
      <c r="N88" s="67">
        <v>0</v>
      </c>
      <c r="O88" s="264">
        <v>53786</v>
      </c>
      <c r="P88" s="61">
        <v>5.0402528653986538</v>
      </c>
      <c r="Q88" s="264">
        <v>10313</v>
      </c>
      <c r="R88" s="67">
        <v>0.96642486522248006</v>
      </c>
      <c r="S88" s="264">
        <v>114830</v>
      </c>
      <c r="T88" s="61">
        <v>10.760648431445494</v>
      </c>
      <c r="U88" s="264">
        <v>1067129</v>
      </c>
      <c r="V88" s="312">
        <v>100</v>
      </c>
    </row>
    <row r="89" spans="1:23" s="69" customFormat="1" ht="17.100000000000001" customHeight="1" x14ac:dyDescent="0.25">
      <c r="A89" s="461"/>
      <c r="B89" s="447"/>
      <c r="C89" s="65"/>
      <c r="D89" s="268" t="s">
        <v>760</v>
      </c>
      <c r="E89" s="284">
        <v>332280</v>
      </c>
      <c r="F89" s="67">
        <v>86.187398192627327</v>
      </c>
      <c r="G89" s="264">
        <v>0</v>
      </c>
      <c r="H89" s="61">
        <v>0</v>
      </c>
      <c r="I89" s="264">
        <v>19122</v>
      </c>
      <c r="J89" s="67">
        <v>4.9598995673510888</v>
      </c>
      <c r="K89" s="264">
        <v>164</v>
      </c>
      <c r="L89" s="61">
        <v>4.2538621956154092E-2</v>
      </c>
      <c r="M89" s="264">
        <v>0</v>
      </c>
      <c r="N89" s="67">
        <v>0</v>
      </c>
      <c r="O89" s="264">
        <v>1934</v>
      </c>
      <c r="P89" s="61">
        <v>0.50164448087318303</v>
      </c>
      <c r="Q89" s="264">
        <v>20336</v>
      </c>
      <c r="R89" s="67">
        <v>5.2747891225631074</v>
      </c>
      <c r="S89" s="264">
        <v>11696</v>
      </c>
      <c r="T89" s="61">
        <v>3.0337300146291359</v>
      </c>
      <c r="U89" s="264">
        <v>385532</v>
      </c>
      <c r="V89" s="312">
        <v>100</v>
      </c>
    </row>
    <row r="90" spans="1:23" ht="17.100000000000001" customHeight="1" x14ac:dyDescent="0.25">
      <c r="A90" s="461"/>
      <c r="B90" s="447"/>
      <c r="C90" s="65"/>
      <c r="D90" s="268" t="s">
        <v>8</v>
      </c>
      <c r="E90" s="265">
        <v>78071</v>
      </c>
      <c r="F90" s="67">
        <v>71.710955368378521</v>
      </c>
      <c r="G90" s="264">
        <v>1880</v>
      </c>
      <c r="H90" s="61">
        <v>1.7268460259578025</v>
      </c>
      <c r="I90" s="264">
        <v>3157</v>
      </c>
      <c r="J90" s="67">
        <v>2.8998153744408417</v>
      </c>
      <c r="K90" s="264">
        <v>344</v>
      </c>
      <c r="L90" s="61">
        <v>0.31597608134547028</v>
      </c>
      <c r="M90" s="267">
        <v>0</v>
      </c>
      <c r="N90" s="67">
        <v>0</v>
      </c>
      <c r="O90" s="264">
        <v>351</v>
      </c>
      <c r="P90" s="61">
        <v>0.3224058271868025</v>
      </c>
      <c r="Q90" s="264">
        <v>2080</v>
      </c>
      <c r="R90" s="67">
        <v>1.9105530499958667</v>
      </c>
      <c r="S90" s="264">
        <v>22986</v>
      </c>
      <c r="T90" s="61">
        <v>21.113448272694708</v>
      </c>
      <c r="U90" s="264">
        <v>108869</v>
      </c>
      <c r="V90" s="312">
        <v>100.00000000000001</v>
      </c>
    </row>
    <row r="91" spans="1:23" ht="17.100000000000001" customHeight="1" x14ac:dyDescent="0.25">
      <c r="A91" s="461"/>
      <c r="B91" s="447"/>
      <c r="C91" s="65"/>
      <c r="D91" s="334" t="s">
        <v>647</v>
      </c>
      <c r="E91" s="313">
        <v>119429</v>
      </c>
      <c r="F91" s="67">
        <v>90.425821887729612</v>
      </c>
      <c r="G91" s="264">
        <v>0</v>
      </c>
      <c r="H91" s="61">
        <v>0</v>
      </c>
      <c r="I91" s="264">
        <v>3738</v>
      </c>
      <c r="J91" s="67">
        <v>2.8302315368656963</v>
      </c>
      <c r="K91" s="264">
        <v>0</v>
      </c>
      <c r="L91" s="61">
        <v>0</v>
      </c>
      <c r="M91" s="264">
        <v>0</v>
      </c>
      <c r="N91" s="67">
        <v>0</v>
      </c>
      <c r="O91" s="264">
        <v>0</v>
      </c>
      <c r="P91" s="61">
        <v>0</v>
      </c>
      <c r="Q91" s="264">
        <v>7830</v>
      </c>
      <c r="R91" s="67">
        <v>5.9284946317973253</v>
      </c>
      <c r="S91" s="264">
        <v>1077</v>
      </c>
      <c r="T91" s="61">
        <v>0.81545194360737161</v>
      </c>
      <c r="U91" s="264">
        <v>132074</v>
      </c>
      <c r="V91" s="312">
        <v>100</v>
      </c>
    </row>
    <row r="92" spans="1:23" ht="17.100000000000001" customHeight="1" x14ac:dyDescent="0.25">
      <c r="A92" s="461"/>
      <c r="B92" s="447"/>
      <c r="C92" s="65"/>
      <c r="D92" s="334" t="s">
        <v>786</v>
      </c>
      <c r="E92" s="313">
        <v>1609160</v>
      </c>
      <c r="F92" s="67">
        <v>76.870272219820436</v>
      </c>
      <c r="G92" s="264">
        <v>7300</v>
      </c>
      <c r="H92" s="61">
        <v>0.3487241711232501</v>
      </c>
      <c r="I92" s="264">
        <v>70994</v>
      </c>
      <c r="J92" s="67">
        <v>3.3914142198252084</v>
      </c>
      <c r="K92" s="264">
        <v>8333</v>
      </c>
      <c r="L92" s="61">
        <v>0.39807102985891007</v>
      </c>
      <c r="M92" s="264">
        <v>0</v>
      </c>
      <c r="N92" s="67">
        <v>0</v>
      </c>
      <c r="O92" s="264">
        <v>63461</v>
      </c>
      <c r="P92" s="61">
        <v>3.031559537486654</v>
      </c>
      <c r="Q92" s="264">
        <v>62401</v>
      </c>
      <c r="R92" s="67">
        <v>2.9809228770221821</v>
      </c>
      <c r="S92" s="264">
        <v>271696</v>
      </c>
      <c r="T92" s="61">
        <v>12.979035944863366</v>
      </c>
      <c r="U92" s="264">
        <v>2093345</v>
      </c>
      <c r="V92" s="312">
        <v>100.00000000000001</v>
      </c>
    </row>
    <row r="93" spans="1:23" ht="17.100000000000001" customHeight="1" x14ac:dyDescent="0.25">
      <c r="A93" s="461"/>
      <c r="B93" s="452"/>
      <c r="C93" s="143" t="s">
        <v>449</v>
      </c>
      <c r="D93" s="326" t="s">
        <v>535</v>
      </c>
      <c r="E93" s="331">
        <v>5226626</v>
      </c>
      <c r="F93" s="286">
        <v>82.329205867198709</v>
      </c>
      <c r="G93" s="332">
        <v>16651</v>
      </c>
      <c r="H93" s="297">
        <v>0.26228461858467123</v>
      </c>
      <c r="I93" s="332">
        <v>231268</v>
      </c>
      <c r="J93" s="298">
        <v>3.6429066825319643</v>
      </c>
      <c r="K93" s="332">
        <v>11592</v>
      </c>
      <c r="L93" s="297">
        <v>0.18259583800573589</v>
      </c>
      <c r="M93" s="332">
        <v>0</v>
      </c>
      <c r="N93" s="298">
        <v>0</v>
      </c>
      <c r="O93" s="332">
        <v>238821</v>
      </c>
      <c r="P93" s="297">
        <v>3.7618806615224161</v>
      </c>
      <c r="Q93" s="332">
        <v>188956</v>
      </c>
      <c r="R93" s="298">
        <v>2.9764129715503649</v>
      </c>
      <c r="S93" s="332">
        <v>434533</v>
      </c>
      <c r="T93" s="297">
        <v>6.8447133606061445</v>
      </c>
      <c r="U93" s="332">
        <v>6348447</v>
      </c>
      <c r="V93" s="318">
        <v>100</v>
      </c>
    </row>
    <row r="94" spans="1:23" ht="17.100000000000001" customHeight="1" x14ac:dyDescent="0.25">
      <c r="A94" s="461">
        <v>2012</v>
      </c>
      <c r="B94" s="451">
        <v>26</v>
      </c>
      <c r="C94" s="111"/>
      <c r="D94" s="324" t="s">
        <v>543</v>
      </c>
      <c r="E94" s="265">
        <v>2008315</v>
      </c>
      <c r="F94" s="67">
        <v>72.215595906363149</v>
      </c>
      <c r="G94" s="264">
        <v>236666</v>
      </c>
      <c r="H94" s="61">
        <v>8.5101073391252573</v>
      </c>
      <c r="I94" s="264">
        <v>147501</v>
      </c>
      <c r="J94" s="67">
        <v>5.3038854023320399</v>
      </c>
      <c r="K94" s="264">
        <v>18984</v>
      </c>
      <c r="L94" s="61">
        <v>0.68263239217274085</v>
      </c>
      <c r="M94" s="264">
        <v>7711</v>
      </c>
      <c r="N94" s="67">
        <v>0.27727446144353163</v>
      </c>
      <c r="O94" s="264">
        <v>245568</v>
      </c>
      <c r="P94" s="61">
        <v>8.8302081374355037</v>
      </c>
      <c r="Q94" s="264">
        <v>16618</v>
      </c>
      <c r="R94" s="67">
        <v>0.59755505126035646</v>
      </c>
      <c r="S94" s="264">
        <v>99636</v>
      </c>
      <c r="T94" s="61">
        <v>3.582741309867425</v>
      </c>
      <c r="U94" s="264">
        <v>2780999</v>
      </c>
      <c r="V94" s="312">
        <v>100</v>
      </c>
    </row>
    <row r="95" spans="1:23" s="13" customFormat="1" ht="17.100000000000001" customHeight="1" x14ac:dyDescent="0.25">
      <c r="A95" s="461"/>
      <c r="B95" s="448"/>
      <c r="C95" s="143" t="s">
        <v>702</v>
      </c>
      <c r="D95" s="322" t="s">
        <v>535</v>
      </c>
      <c r="E95" s="273">
        <v>2008315</v>
      </c>
      <c r="F95" s="275">
        <v>72.215595906363149</v>
      </c>
      <c r="G95" s="274">
        <v>236666</v>
      </c>
      <c r="H95" s="72">
        <v>8.5101073391252573</v>
      </c>
      <c r="I95" s="274">
        <v>147501</v>
      </c>
      <c r="J95" s="275">
        <v>5.3038854023320399</v>
      </c>
      <c r="K95" s="274">
        <v>18984</v>
      </c>
      <c r="L95" s="72">
        <v>0.68263239217274085</v>
      </c>
      <c r="M95" s="274">
        <v>7711</v>
      </c>
      <c r="N95" s="275">
        <v>0.27727446144353163</v>
      </c>
      <c r="O95" s="274">
        <v>245568</v>
      </c>
      <c r="P95" s="72">
        <v>8.8302081374355037</v>
      </c>
      <c r="Q95" s="274">
        <v>16618</v>
      </c>
      <c r="R95" s="275">
        <v>0.59755505126035646</v>
      </c>
      <c r="S95" s="274">
        <v>99636</v>
      </c>
      <c r="T95" s="72">
        <v>3.582741309867425</v>
      </c>
      <c r="U95" s="274">
        <v>2780999</v>
      </c>
      <c r="V95" s="323">
        <v>100</v>
      </c>
    </row>
    <row r="96" spans="1:23" ht="17.100000000000001" customHeight="1" x14ac:dyDescent="0.25">
      <c r="A96" s="461">
        <v>2012</v>
      </c>
      <c r="B96" s="451">
        <v>27</v>
      </c>
      <c r="C96" s="111"/>
      <c r="D96" s="324" t="s">
        <v>59</v>
      </c>
      <c r="E96" s="265">
        <v>2247889</v>
      </c>
      <c r="F96" s="67">
        <v>72.061882671178665</v>
      </c>
      <c r="G96" s="264">
        <v>280044</v>
      </c>
      <c r="H96" s="61">
        <v>8.9775330858274405</v>
      </c>
      <c r="I96" s="264">
        <v>111553</v>
      </c>
      <c r="J96" s="67">
        <v>3.5761192824102941</v>
      </c>
      <c r="K96" s="264">
        <v>70869</v>
      </c>
      <c r="L96" s="61">
        <v>2.2718886755634999</v>
      </c>
      <c r="M96" s="264">
        <v>2019</v>
      </c>
      <c r="N96" s="67">
        <v>6.4724255118072879E-2</v>
      </c>
      <c r="O96" s="264">
        <v>206923</v>
      </c>
      <c r="P96" s="61">
        <v>6.6334507388791462</v>
      </c>
      <c r="Q96" s="264">
        <v>57311</v>
      </c>
      <c r="R96" s="67">
        <v>1.8372519985497149</v>
      </c>
      <c r="S96" s="264">
        <v>142779</v>
      </c>
      <c r="T96" s="61">
        <v>4.5771492924731687</v>
      </c>
      <c r="U96" s="264">
        <v>3119387</v>
      </c>
      <c r="V96" s="312">
        <v>100.00000000000001</v>
      </c>
    </row>
    <row r="97" spans="1:23" s="68" customFormat="1" ht="17.100000000000001" customHeight="1" x14ac:dyDescent="0.25">
      <c r="A97" s="461"/>
      <c r="B97" s="448"/>
      <c r="C97" s="143" t="s">
        <v>450</v>
      </c>
      <c r="D97" s="322" t="s">
        <v>535</v>
      </c>
      <c r="E97" s="273">
        <v>2247889</v>
      </c>
      <c r="F97" s="275">
        <v>72.061882671178665</v>
      </c>
      <c r="G97" s="274">
        <v>280044</v>
      </c>
      <c r="H97" s="72">
        <v>8.9775330858274405</v>
      </c>
      <c r="I97" s="274">
        <v>111553</v>
      </c>
      <c r="J97" s="275">
        <v>3.5761192824102941</v>
      </c>
      <c r="K97" s="274">
        <v>70869</v>
      </c>
      <c r="L97" s="72">
        <v>2.2718886755634999</v>
      </c>
      <c r="M97" s="274">
        <v>2019</v>
      </c>
      <c r="N97" s="275">
        <v>6.4724255118072879E-2</v>
      </c>
      <c r="O97" s="274">
        <v>206923</v>
      </c>
      <c r="P97" s="72">
        <v>6.6334507388791462</v>
      </c>
      <c r="Q97" s="274">
        <v>57311</v>
      </c>
      <c r="R97" s="275">
        <v>1.8372519985497149</v>
      </c>
      <c r="S97" s="274">
        <v>142779</v>
      </c>
      <c r="T97" s="72">
        <v>4.5771492924731687</v>
      </c>
      <c r="U97" s="274">
        <v>3119387</v>
      </c>
      <c r="V97" s="323">
        <v>100.00000000000001</v>
      </c>
    </row>
    <row r="98" spans="1:23" s="69" customFormat="1" ht="17.100000000000001" customHeight="1" x14ac:dyDescent="0.25">
      <c r="A98" s="461">
        <v>2012</v>
      </c>
      <c r="B98" s="451">
        <v>28</v>
      </c>
      <c r="C98" s="1753" t="s">
        <v>703</v>
      </c>
      <c r="D98" s="324" t="s">
        <v>421</v>
      </c>
      <c r="E98" s="265">
        <v>2194782</v>
      </c>
      <c r="F98" s="67">
        <v>78.783434236399614</v>
      </c>
      <c r="G98" s="264">
        <v>171758</v>
      </c>
      <c r="H98" s="61">
        <v>6.1653891354929682</v>
      </c>
      <c r="I98" s="264">
        <v>121159</v>
      </c>
      <c r="J98" s="67">
        <v>4.3490980464793054</v>
      </c>
      <c r="K98" s="264">
        <v>12945</v>
      </c>
      <c r="L98" s="61">
        <v>0.46467100431395608</v>
      </c>
      <c r="M98" s="264">
        <v>18770</v>
      </c>
      <c r="N98" s="67">
        <v>0.67376398230768286</v>
      </c>
      <c r="O98" s="264">
        <v>230088</v>
      </c>
      <c r="P98" s="61">
        <v>8.259190578647317</v>
      </c>
      <c r="Q98" s="264">
        <v>21661</v>
      </c>
      <c r="R98" s="67">
        <v>0.77753871181495582</v>
      </c>
      <c r="S98" s="264">
        <v>14679</v>
      </c>
      <c r="T98" s="61">
        <v>0.52691430454419164</v>
      </c>
      <c r="U98" s="264">
        <v>2785842</v>
      </c>
      <c r="V98" s="312">
        <v>99.999999999999986</v>
      </c>
    </row>
    <row r="99" spans="1:23" s="13" customFormat="1" ht="17.100000000000001" customHeight="1" x14ac:dyDescent="0.25">
      <c r="A99" s="461"/>
      <c r="B99" s="448"/>
      <c r="C99" s="1754"/>
      <c r="D99" s="322" t="s">
        <v>535</v>
      </c>
      <c r="E99" s="273">
        <v>2194782</v>
      </c>
      <c r="F99" s="275">
        <v>78.783434236399614</v>
      </c>
      <c r="G99" s="274">
        <v>171758</v>
      </c>
      <c r="H99" s="72">
        <v>6.1653891354929682</v>
      </c>
      <c r="I99" s="274">
        <v>121159</v>
      </c>
      <c r="J99" s="275">
        <v>4.3490980464793054</v>
      </c>
      <c r="K99" s="274">
        <v>12945</v>
      </c>
      <c r="L99" s="72">
        <v>0.46467100431395608</v>
      </c>
      <c r="M99" s="274">
        <v>18770</v>
      </c>
      <c r="N99" s="275">
        <v>0.67376398230768286</v>
      </c>
      <c r="O99" s="274">
        <v>230088</v>
      </c>
      <c r="P99" s="72">
        <v>8.259190578647317</v>
      </c>
      <c r="Q99" s="274">
        <v>21661</v>
      </c>
      <c r="R99" s="275">
        <v>0.77753871181495582</v>
      </c>
      <c r="S99" s="274">
        <v>14679</v>
      </c>
      <c r="T99" s="72">
        <v>0.52691430454419164</v>
      </c>
      <c r="U99" s="274">
        <v>2785842</v>
      </c>
      <c r="V99" s="323">
        <v>99.999999999999986</v>
      </c>
    </row>
    <row r="100" spans="1:23" ht="17.100000000000001" customHeight="1" x14ac:dyDescent="0.25">
      <c r="A100" s="461">
        <v>2012</v>
      </c>
      <c r="B100" s="447">
        <v>29</v>
      </c>
      <c r="C100" s="111"/>
      <c r="D100" s="268" t="s">
        <v>761</v>
      </c>
      <c r="E100" s="265">
        <v>2044508</v>
      </c>
      <c r="F100" s="67">
        <v>90.056116920528922</v>
      </c>
      <c r="G100" s="264">
        <v>16292</v>
      </c>
      <c r="H100" s="61">
        <v>0.51193346524298111</v>
      </c>
      <c r="I100" s="264">
        <v>84298</v>
      </c>
      <c r="J100" s="67">
        <v>0.96342649975989758</v>
      </c>
      <c r="K100" s="264">
        <v>560</v>
      </c>
      <c r="L100" s="61">
        <v>0.39457242920751134</v>
      </c>
      <c r="M100" s="264">
        <v>0</v>
      </c>
      <c r="N100" s="67">
        <v>0</v>
      </c>
      <c r="O100" s="264">
        <v>48427</v>
      </c>
      <c r="P100" s="61">
        <v>2.6495737240004322</v>
      </c>
      <c r="Q100" s="264">
        <v>37700</v>
      </c>
      <c r="R100" s="67">
        <v>0.81423618531377995</v>
      </c>
      <c r="S100" s="264">
        <v>38475</v>
      </c>
      <c r="T100" s="61">
        <v>8.8296329073506534</v>
      </c>
      <c r="U100" s="264">
        <v>2270260</v>
      </c>
      <c r="V100" s="312">
        <v>100</v>
      </c>
    </row>
    <row r="101" spans="1:23" s="13" customFormat="1" ht="17.100000000000001" customHeight="1" x14ac:dyDescent="0.25">
      <c r="A101" s="461"/>
      <c r="B101" s="448"/>
      <c r="C101" s="143" t="s">
        <v>704</v>
      </c>
      <c r="D101" s="322" t="s">
        <v>535</v>
      </c>
      <c r="E101" s="273">
        <v>2044508</v>
      </c>
      <c r="F101" s="275">
        <v>90.056116920528922</v>
      </c>
      <c r="G101" s="274">
        <v>16292</v>
      </c>
      <c r="H101" s="72">
        <v>0.71762705593191967</v>
      </c>
      <c r="I101" s="274">
        <v>84298</v>
      </c>
      <c r="J101" s="275">
        <v>3.7131429880278031</v>
      </c>
      <c r="K101" s="274">
        <v>560</v>
      </c>
      <c r="L101" s="72">
        <v>2.4666778254473058E-2</v>
      </c>
      <c r="M101" s="274">
        <v>0</v>
      </c>
      <c r="N101" s="275">
        <v>0</v>
      </c>
      <c r="O101" s="274">
        <v>48427</v>
      </c>
      <c r="P101" s="72">
        <v>2.1331036973738691</v>
      </c>
      <c r="Q101" s="274">
        <v>37700</v>
      </c>
      <c r="R101" s="275">
        <v>1.6606027503457754</v>
      </c>
      <c r="S101" s="274">
        <v>38475</v>
      </c>
      <c r="T101" s="72">
        <v>1.6947398095372337</v>
      </c>
      <c r="U101" s="274">
        <v>2270260</v>
      </c>
      <c r="V101" s="323">
        <v>99.999999999999986</v>
      </c>
    </row>
    <row r="102" spans="1:23" ht="17.100000000000001" customHeight="1" x14ac:dyDescent="0.25">
      <c r="A102" s="461">
        <v>2012</v>
      </c>
      <c r="B102" s="451">
        <v>30</v>
      </c>
      <c r="C102" s="111"/>
      <c r="D102" s="324" t="s">
        <v>54</v>
      </c>
      <c r="E102" s="265">
        <v>4231711</v>
      </c>
      <c r="F102" s="67">
        <v>71.142966612134572</v>
      </c>
      <c r="G102" s="264">
        <v>577800</v>
      </c>
      <c r="H102" s="61">
        <v>9.7138973121017376</v>
      </c>
      <c r="I102" s="264">
        <v>109998</v>
      </c>
      <c r="J102" s="67">
        <v>1.8492718527804894</v>
      </c>
      <c r="K102" s="264">
        <v>83226</v>
      </c>
      <c r="L102" s="61">
        <v>1.3991845235323281</v>
      </c>
      <c r="M102" s="264">
        <v>9503</v>
      </c>
      <c r="N102" s="67">
        <v>0.15976318130305089</v>
      </c>
      <c r="O102" s="264">
        <v>521358</v>
      </c>
      <c r="P102" s="61">
        <v>8.7650018602331912</v>
      </c>
      <c r="Q102" s="264">
        <v>31423</v>
      </c>
      <c r="R102" s="67">
        <v>0.52827932716886972</v>
      </c>
      <c r="S102" s="264">
        <v>383160</v>
      </c>
      <c r="T102" s="61">
        <v>6.4416353307457621</v>
      </c>
      <c r="U102" s="264">
        <v>5948179</v>
      </c>
      <c r="V102" s="312">
        <v>100</v>
      </c>
    </row>
    <row r="103" spans="1:23" ht="17.100000000000001" customHeight="1" x14ac:dyDescent="0.25">
      <c r="A103" s="461"/>
      <c r="B103" s="447"/>
      <c r="C103" s="143" t="s">
        <v>705</v>
      </c>
      <c r="D103" s="315" t="s">
        <v>535</v>
      </c>
      <c r="E103" s="294">
        <v>4231711</v>
      </c>
      <c r="F103" s="317">
        <v>71.142966612134572</v>
      </c>
      <c r="G103" s="296">
        <v>577800</v>
      </c>
      <c r="H103" s="297">
        <v>9.7138973121017376</v>
      </c>
      <c r="I103" s="296">
        <v>109998</v>
      </c>
      <c r="J103" s="298">
        <v>1.8492718527804894</v>
      </c>
      <c r="K103" s="296">
        <v>83226</v>
      </c>
      <c r="L103" s="297">
        <v>1.3991845235323281</v>
      </c>
      <c r="M103" s="296">
        <v>9503</v>
      </c>
      <c r="N103" s="298">
        <v>0.15976318130305089</v>
      </c>
      <c r="O103" s="296">
        <v>521358</v>
      </c>
      <c r="P103" s="297">
        <v>8.7650018602331912</v>
      </c>
      <c r="Q103" s="296">
        <v>31423</v>
      </c>
      <c r="R103" s="298">
        <v>0.52827932716886972</v>
      </c>
      <c r="S103" s="296">
        <v>383160</v>
      </c>
      <c r="T103" s="297">
        <v>6.4416353307457621</v>
      </c>
      <c r="U103" s="296">
        <v>5948179</v>
      </c>
      <c r="V103" s="318">
        <v>100</v>
      </c>
    </row>
    <row r="104" spans="1:23" s="69" customFormat="1" ht="17.100000000000001" customHeight="1" x14ac:dyDescent="0.25">
      <c r="A104" s="462" t="s">
        <v>667</v>
      </c>
      <c r="B104" s="451">
        <v>31</v>
      </c>
      <c r="C104" s="198"/>
      <c r="D104" s="324" t="s">
        <v>318</v>
      </c>
      <c r="E104" s="265">
        <v>2067894</v>
      </c>
      <c r="F104" s="67">
        <v>68.799310640817907</v>
      </c>
      <c r="G104" s="264">
        <v>191183</v>
      </c>
      <c r="H104" s="61">
        <v>6.3607025341934795</v>
      </c>
      <c r="I104" s="264">
        <v>212393</v>
      </c>
      <c r="J104" s="67">
        <v>7.0663641293679653</v>
      </c>
      <c r="K104" s="264">
        <v>0</v>
      </c>
      <c r="L104" s="61">
        <v>0</v>
      </c>
      <c r="M104" s="264">
        <v>28835</v>
      </c>
      <c r="N104" s="67">
        <v>0.95934710499086739</v>
      </c>
      <c r="O104" s="264">
        <v>245397</v>
      </c>
      <c r="P104" s="61">
        <v>8.1644148265456522</v>
      </c>
      <c r="Q104" s="264">
        <v>10361</v>
      </c>
      <c r="R104" s="67">
        <v>0.34471286127311862</v>
      </c>
      <c r="S104" s="264">
        <v>249627</v>
      </c>
      <c r="T104" s="61">
        <v>8.3051479028110009</v>
      </c>
      <c r="U104" s="264">
        <v>3005690</v>
      </c>
      <c r="V104" s="312">
        <v>100</v>
      </c>
      <c r="W104" s="56"/>
    </row>
    <row r="105" spans="1:23" s="69" customFormat="1" ht="17.100000000000001" customHeight="1" x14ac:dyDescent="0.25">
      <c r="A105" s="461"/>
      <c r="B105" s="447"/>
      <c r="C105" s="207"/>
      <c r="D105" s="268" t="s">
        <v>43</v>
      </c>
      <c r="E105" s="265">
        <v>116103</v>
      </c>
      <c r="F105" s="67">
        <v>53.786499520520337</v>
      </c>
      <c r="G105" s="264">
        <v>10591</v>
      </c>
      <c r="H105" s="61">
        <v>4.9064435580633656</v>
      </c>
      <c r="I105" s="264">
        <v>1827</v>
      </c>
      <c r="J105" s="67">
        <v>0.84638583519797639</v>
      </c>
      <c r="K105" s="264">
        <v>0</v>
      </c>
      <c r="L105" s="61">
        <v>0</v>
      </c>
      <c r="M105" s="267">
        <v>91</v>
      </c>
      <c r="N105" s="67">
        <v>4.2157148879592696E-2</v>
      </c>
      <c r="O105" s="264">
        <v>28861</v>
      </c>
      <c r="P105" s="61">
        <v>13.37030191004313</v>
      </c>
      <c r="Q105" s="264">
        <v>5135</v>
      </c>
      <c r="R105" s="67">
        <v>2.3788676867770167</v>
      </c>
      <c r="S105" s="264">
        <v>53251</v>
      </c>
      <c r="T105" s="61">
        <v>24.669344340518577</v>
      </c>
      <c r="U105" s="264">
        <v>215859</v>
      </c>
      <c r="V105" s="312">
        <v>100</v>
      </c>
    </row>
    <row r="106" spans="1:23" s="69" customFormat="1" ht="17.100000000000001" customHeight="1" x14ac:dyDescent="0.25">
      <c r="A106" s="461"/>
      <c r="B106" s="447"/>
      <c r="C106" s="207"/>
      <c r="D106" s="334" t="s">
        <v>642</v>
      </c>
      <c r="E106" s="265">
        <v>144035</v>
      </c>
      <c r="F106" s="67">
        <v>89.754854308432414</v>
      </c>
      <c r="G106" s="264">
        <v>5841</v>
      </c>
      <c r="H106" s="61">
        <v>3.6397966050998281</v>
      </c>
      <c r="I106" s="264">
        <v>5491</v>
      </c>
      <c r="J106" s="67">
        <v>3.4216954560183455</v>
      </c>
      <c r="K106" s="264">
        <v>0</v>
      </c>
      <c r="L106" s="61">
        <v>0</v>
      </c>
      <c r="M106" s="264">
        <v>0</v>
      </c>
      <c r="N106" s="67">
        <v>0</v>
      </c>
      <c r="O106" s="264">
        <v>1551</v>
      </c>
      <c r="P106" s="61">
        <v>0.96649966350108429</v>
      </c>
      <c r="Q106" s="264">
        <v>0</v>
      </c>
      <c r="R106" s="67">
        <v>0</v>
      </c>
      <c r="S106" s="264">
        <v>3558</v>
      </c>
      <c r="T106" s="61">
        <v>2.2171539669483287</v>
      </c>
      <c r="U106" s="264">
        <v>160476</v>
      </c>
      <c r="V106" s="312">
        <v>100</v>
      </c>
      <c r="W106" s="56"/>
    </row>
    <row r="107" spans="1:23" s="137" customFormat="1" ht="17.100000000000001" customHeight="1" x14ac:dyDescent="0.25">
      <c r="A107" s="461"/>
      <c r="B107" s="452"/>
      <c r="C107" s="143" t="s">
        <v>451</v>
      </c>
      <c r="D107" s="326" t="s">
        <v>535</v>
      </c>
      <c r="E107" s="294">
        <v>2328032</v>
      </c>
      <c r="F107" s="317">
        <v>68.835446219350843</v>
      </c>
      <c r="G107" s="296">
        <v>207615</v>
      </c>
      <c r="H107" s="297">
        <v>6.1387778032391838</v>
      </c>
      <c r="I107" s="296">
        <v>219711</v>
      </c>
      <c r="J107" s="298">
        <v>6.4964333498421807</v>
      </c>
      <c r="K107" s="296">
        <v>0</v>
      </c>
      <c r="L107" s="297">
        <v>0</v>
      </c>
      <c r="M107" s="296">
        <v>28926</v>
      </c>
      <c r="N107" s="298">
        <v>0.85528640385567811</v>
      </c>
      <c r="O107" s="296">
        <v>275809</v>
      </c>
      <c r="P107" s="297">
        <v>8.1551437378493663</v>
      </c>
      <c r="Q107" s="296">
        <v>15496</v>
      </c>
      <c r="R107" s="298">
        <v>0.45818703291666973</v>
      </c>
      <c r="S107" s="296">
        <v>306436</v>
      </c>
      <c r="T107" s="297">
        <v>9.060725452946091</v>
      </c>
      <c r="U107" s="296">
        <v>3382025</v>
      </c>
      <c r="V107" s="318">
        <v>100</v>
      </c>
    </row>
    <row r="108" spans="1:23" ht="17.100000000000001" customHeight="1" x14ac:dyDescent="0.25">
      <c r="A108" s="463">
        <v>2012</v>
      </c>
      <c r="B108" s="451">
        <v>32</v>
      </c>
      <c r="C108" s="198"/>
      <c r="D108" s="319" t="s">
        <v>7</v>
      </c>
      <c r="E108" s="265">
        <v>10124548</v>
      </c>
      <c r="F108" s="67">
        <v>68.779611793937278</v>
      </c>
      <c r="G108" s="264">
        <v>1253056</v>
      </c>
      <c r="H108" s="61">
        <v>8.5124496655123636</v>
      </c>
      <c r="I108" s="264">
        <v>642839</v>
      </c>
      <c r="J108" s="67">
        <v>4.3670311865776963</v>
      </c>
      <c r="K108" s="264">
        <v>508453</v>
      </c>
      <c r="L108" s="61">
        <v>3.4540998724548286</v>
      </c>
      <c r="M108" s="264">
        <v>0</v>
      </c>
      <c r="N108" s="67">
        <v>0</v>
      </c>
      <c r="O108" s="264">
        <v>1578991</v>
      </c>
      <c r="P108" s="61">
        <v>10.726640636808755</v>
      </c>
      <c r="Q108" s="264">
        <v>111860</v>
      </c>
      <c r="R108" s="67">
        <v>0.75990428167952029</v>
      </c>
      <c r="S108" s="264">
        <v>500528</v>
      </c>
      <c r="T108" s="61">
        <v>3.4002625630295631</v>
      </c>
      <c r="U108" s="264">
        <v>14720275</v>
      </c>
      <c r="V108" s="312">
        <v>100</v>
      </c>
    </row>
    <row r="109" spans="1:23" ht="17.100000000000001" customHeight="1" x14ac:dyDescent="0.25">
      <c r="A109" s="461"/>
      <c r="B109" s="447"/>
      <c r="C109" s="207"/>
      <c r="D109" s="321" t="s">
        <v>141</v>
      </c>
      <c r="E109" s="265">
        <v>1094713</v>
      </c>
      <c r="F109" s="67">
        <v>76.388293826626381</v>
      </c>
      <c r="G109" s="264">
        <v>77273</v>
      </c>
      <c r="H109" s="61">
        <v>5.3920549302556013</v>
      </c>
      <c r="I109" s="264">
        <v>77803</v>
      </c>
      <c r="J109" s="67">
        <v>5.4290379529548041</v>
      </c>
      <c r="K109" s="264">
        <v>13866</v>
      </c>
      <c r="L109" s="61">
        <v>0.96755960895686943</v>
      </c>
      <c r="M109" s="267">
        <v>0</v>
      </c>
      <c r="N109" s="67">
        <v>0</v>
      </c>
      <c r="O109" s="264">
        <v>95768</v>
      </c>
      <c r="P109" s="61">
        <v>6.6826228638815435</v>
      </c>
      <c r="Q109" s="264">
        <v>16097</v>
      </c>
      <c r="R109" s="67">
        <v>1.1232372007340781</v>
      </c>
      <c r="S109" s="264">
        <v>57570</v>
      </c>
      <c r="T109" s="61">
        <v>4.017193616590724</v>
      </c>
      <c r="U109" s="264">
        <v>1433090</v>
      </c>
      <c r="V109" s="312">
        <v>100</v>
      </c>
    </row>
    <row r="110" spans="1:23" ht="17.100000000000001" customHeight="1" thickBot="1" x14ac:dyDescent="0.3">
      <c r="A110" s="461"/>
      <c r="B110" s="453"/>
      <c r="C110" s="143" t="s">
        <v>452</v>
      </c>
      <c r="D110" s="328" t="s">
        <v>535</v>
      </c>
      <c r="E110" s="301">
        <v>11219261</v>
      </c>
      <c r="F110" s="335">
        <v>69.454636851207169</v>
      </c>
      <c r="G110" s="303">
        <v>1330329</v>
      </c>
      <c r="H110" s="304">
        <v>8.2356153036844031</v>
      </c>
      <c r="I110" s="303">
        <v>720642</v>
      </c>
      <c r="J110" s="305">
        <v>4.461250024375726</v>
      </c>
      <c r="K110" s="303">
        <v>522319</v>
      </c>
      <c r="L110" s="304">
        <v>3.233499645429915</v>
      </c>
      <c r="M110" s="303">
        <v>0</v>
      </c>
      <c r="N110" s="305">
        <v>0</v>
      </c>
      <c r="O110" s="303">
        <v>1674759</v>
      </c>
      <c r="P110" s="304">
        <v>10.367864528536314</v>
      </c>
      <c r="Q110" s="303">
        <v>127957</v>
      </c>
      <c r="R110" s="305">
        <v>0.79213835631151785</v>
      </c>
      <c r="S110" s="303">
        <v>558098</v>
      </c>
      <c r="T110" s="304">
        <v>3.4549952904549612</v>
      </c>
      <c r="U110" s="303">
        <v>16153365</v>
      </c>
      <c r="V110" s="329">
        <v>100</v>
      </c>
    </row>
    <row r="111" spans="1:23" ht="17.100000000000001" customHeight="1" x14ac:dyDescent="0.25">
      <c r="A111" s="461">
        <v>2012</v>
      </c>
      <c r="B111" s="446">
        <v>33</v>
      </c>
      <c r="C111" s="111"/>
      <c r="D111" s="254" t="s">
        <v>762</v>
      </c>
      <c r="E111" s="308">
        <v>3536540</v>
      </c>
      <c r="F111" s="260">
        <v>78.751831546693865</v>
      </c>
      <c r="G111" s="310">
        <v>233353</v>
      </c>
      <c r="H111" s="309">
        <v>5.1963150839282619</v>
      </c>
      <c r="I111" s="310">
        <v>329741</v>
      </c>
      <c r="J111" s="260">
        <v>7.3426873967319422</v>
      </c>
      <c r="K111" s="310">
        <v>11441</v>
      </c>
      <c r="L111" s="309">
        <v>0.25476870181751782</v>
      </c>
      <c r="M111" s="310">
        <v>91502</v>
      </c>
      <c r="N111" s="260">
        <v>2.0375706453724778</v>
      </c>
      <c r="O111" s="310">
        <v>222051</v>
      </c>
      <c r="P111" s="309">
        <v>4.94464164035326</v>
      </c>
      <c r="Q111" s="310">
        <v>66112</v>
      </c>
      <c r="R111" s="260">
        <v>1.4721849851026778</v>
      </c>
      <c r="S111" s="310">
        <v>0</v>
      </c>
      <c r="T111" s="309">
        <v>0</v>
      </c>
      <c r="U111" s="310">
        <v>4490740</v>
      </c>
      <c r="V111" s="311">
        <v>99.999999999999986</v>
      </c>
    </row>
    <row r="112" spans="1:23" ht="17.100000000000001" customHeight="1" x14ac:dyDescent="0.25">
      <c r="A112" s="461"/>
      <c r="B112" s="452"/>
      <c r="C112" s="143" t="s">
        <v>690</v>
      </c>
      <c r="D112" s="293" t="s">
        <v>535</v>
      </c>
      <c r="E112" s="294">
        <v>3536540</v>
      </c>
      <c r="F112" s="317">
        <v>78.751831546693865</v>
      </c>
      <c r="G112" s="296">
        <v>233353</v>
      </c>
      <c r="H112" s="297">
        <v>5.1963150839282619</v>
      </c>
      <c r="I112" s="296">
        <v>329741</v>
      </c>
      <c r="J112" s="298">
        <v>7.3426873967319422</v>
      </c>
      <c r="K112" s="296">
        <v>11441</v>
      </c>
      <c r="L112" s="297">
        <v>0.25476870181751782</v>
      </c>
      <c r="M112" s="296">
        <v>91502</v>
      </c>
      <c r="N112" s="298">
        <v>2.0375706453724778</v>
      </c>
      <c r="O112" s="296">
        <v>222051</v>
      </c>
      <c r="P112" s="297">
        <v>4.94464164035326</v>
      </c>
      <c r="Q112" s="296">
        <v>66112</v>
      </c>
      <c r="R112" s="298">
        <v>1.4721849851026778</v>
      </c>
      <c r="S112" s="296">
        <v>0</v>
      </c>
      <c r="T112" s="297">
        <v>0</v>
      </c>
      <c r="U112" s="296">
        <v>4490740</v>
      </c>
      <c r="V112" s="318">
        <v>99.999999999999986</v>
      </c>
    </row>
    <row r="113" spans="1:22" x14ac:dyDescent="0.25">
      <c r="A113" s="461">
        <v>2012</v>
      </c>
      <c r="B113" s="447">
        <v>34</v>
      </c>
      <c r="C113" s="13"/>
      <c r="D113" s="62" t="s">
        <v>542</v>
      </c>
      <c r="E113" s="264">
        <v>662481</v>
      </c>
      <c r="F113" s="67">
        <v>74.281078693108867</v>
      </c>
      <c r="G113" s="264">
        <v>83293</v>
      </c>
      <c r="H113" s="61">
        <v>9.3392774850676741</v>
      </c>
      <c r="I113" s="264">
        <v>6466</v>
      </c>
      <c r="J113" s="67">
        <v>0.72500412061574893</v>
      </c>
      <c r="K113" s="264">
        <v>0</v>
      </c>
      <c r="L113" s="61">
        <v>0</v>
      </c>
      <c r="M113" s="264">
        <v>0</v>
      </c>
      <c r="N113" s="67">
        <v>0</v>
      </c>
      <c r="O113" s="264">
        <v>102602</v>
      </c>
      <c r="P113" s="61">
        <v>11.504310668638581</v>
      </c>
      <c r="Q113" s="264">
        <v>6773</v>
      </c>
      <c r="R113" s="67">
        <v>0.75942667938918462</v>
      </c>
      <c r="S113" s="264">
        <v>30242</v>
      </c>
      <c r="T113" s="61">
        <v>3.3909023531799378</v>
      </c>
      <c r="U113" s="264">
        <v>891857</v>
      </c>
      <c r="V113" s="312">
        <v>99.999999999999986</v>
      </c>
    </row>
    <row r="114" spans="1:22" x14ac:dyDescent="0.25">
      <c r="A114" s="461"/>
      <c r="B114" s="447"/>
      <c r="C114" s="65"/>
      <c r="D114" s="62" t="s">
        <v>61</v>
      </c>
      <c r="E114" s="264">
        <v>9445824</v>
      </c>
      <c r="F114" s="67">
        <v>82.092641786263485</v>
      </c>
      <c r="G114" s="264">
        <v>544209</v>
      </c>
      <c r="H114" s="61">
        <v>4.7296619642564446</v>
      </c>
      <c r="I114" s="264">
        <v>40023</v>
      </c>
      <c r="J114" s="67">
        <v>0.34783559403728287</v>
      </c>
      <c r="K114" s="264">
        <v>148860</v>
      </c>
      <c r="L114" s="61">
        <v>1.2937262706041508</v>
      </c>
      <c r="M114" s="267">
        <v>10442</v>
      </c>
      <c r="N114" s="67">
        <v>9.0750300400702297E-2</v>
      </c>
      <c r="O114" s="264">
        <v>791118</v>
      </c>
      <c r="P114" s="61">
        <v>6.8755215621914196</v>
      </c>
      <c r="Q114" s="264">
        <v>49661</v>
      </c>
      <c r="R114" s="67">
        <v>0.43159841679747907</v>
      </c>
      <c r="S114" s="264">
        <v>476161</v>
      </c>
      <c r="T114" s="61">
        <v>4.138264105449033</v>
      </c>
      <c r="U114" s="264">
        <v>11506298</v>
      </c>
      <c r="V114" s="312">
        <v>100.00000000000001</v>
      </c>
    </row>
    <row r="115" spans="1:22" x14ac:dyDescent="0.25">
      <c r="A115" s="461"/>
      <c r="B115" s="447"/>
      <c r="C115" s="65"/>
      <c r="D115" s="62" t="s">
        <v>206</v>
      </c>
      <c r="E115" s="264">
        <v>372327</v>
      </c>
      <c r="F115" s="67">
        <v>80.698381597855146</v>
      </c>
      <c r="G115" s="264">
        <v>0</v>
      </c>
      <c r="H115" s="61">
        <v>0</v>
      </c>
      <c r="I115" s="264">
        <v>8829</v>
      </c>
      <c r="J115" s="67">
        <v>1.91360285750822</v>
      </c>
      <c r="K115" s="264">
        <v>0</v>
      </c>
      <c r="L115" s="61">
        <v>0</v>
      </c>
      <c r="M115" s="267">
        <v>1536</v>
      </c>
      <c r="N115" s="67">
        <v>0.33291357901604096</v>
      </c>
      <c r="O115" s="264">
        <v>14306</v>
      </c>
      <c r="P115" s="61">
        <v>3.1006911858095587</v>
      </c>
      <c r="Q115" s="264">
        <v>642</v>
      </c>
      <c r="R115" s="67">
        <v>0.13914747247936088</v>
      </c>
      <c r="S115" s="264">
        <v>63741</v>
      </c>
      <c r="T115" s="61">
        <v>13.815263307331685</v>
      </c>
      <c r="U115" s="264">
        <v>461381</v>
      </c>
      <c r="V115" s="312">
        <v>100.00000000000001</v>
      </c>
    </row>
    <row r="116" spans="1:22" x14ac:dyDescent="0.25">
      <c r="A116" s="461"/>
      <c r="B116" s="452"/>
      <c r="C116" s="143" t="s">
        <v>453</v>
      </c>
      <c r="D116" s="145" t="s">
        <v>535</v>
      </c>
      <c r="E116" s="274">
        <v>10480632</v>
      </c>
      <c r="F116" s="275">
        <v>81.500856640550637</v>
      </c>
      <c r="G116" s="274">
        <v>627502</v>
      </c>
      <c r="H116" s="72">
        <v>4.8796628432005633</v>
      </c>
      <c r="I116" s="274">
        <v>55318</v>
      </c>
      <c r="J116" s="275">
        <v>0.43017104194117112</v>
      </c>
      <c r="K116" s="274">
        <v>148860</v>
      </c>
      <c r="L116" s="72">
        <v>1.1575845349318981</v>
      </c>
      <c r="M116" s="274">
        <v>11978</v>
      </c>
      <c r="N116" s="275">
        <v>9.3144884854321347E-2</v>
      </c>
      <c r="O116" s="274">
        <v>908026</v>
      </c>
      <c r="P116" s="72">
        <v>7.0611101364777076</v>
      </c>
      <c r="Q116" s="274">
        <v>57076</v>
      </c>
      <c r="R116" s="275">
        <v>0.44384183068502625</v>
      </c>
      <c r="S116" s="274">
        <v>570144</v>
      </c>
      <c r="T116" s="72">
        <v>4.4336280873586729</v>
      </c>
      <c r="U116" s="274">
        <v>12859536</v>
      </c>
      <c r="V116" s="323">
        <v>100</v>
      </c>
    </row>
    <row r="117" spans="1:22" x14ac:dyDescent="0.25">
      <c r="A117" s="461">
        <v>2012</v>
      </c>
      <c r="B117" s="451">
        <v>35</v>
      </c>
      <c r="C117" s="111"/>
      <c r="D117" s="181" t="s">
        <v>541</v>
      </c>
      <c r="E117" s="264">
        <v>11017785</v>
      </c>
      <c r="F117" s="67">
        <v>73.344723799935281</v>
      </c>
      <c r="G117" s="264">
        <v>609040</v>
      </c>
      <c r="H117" s="61">
        <v>4.05434219156687</v>
      </c>
      <c r="I117" s="264">
        <v>638753</v>
      </c>
      <c r="J117" s="67">
        <v>4.2521398231477621</v>
      </c>
      <c r="K117" s="264">
        <v>488351</v>
      </c>
      <c r="L117" s="61">
        <v>3.2509228681102593</v>
      </c>
      <c r="M117" s="264">
        <v>29949</v>
      </c>
      <c r="N117" s="67">
        <v>0.19936866920930674</v>
      </c>
      <c r="O117" s="264">
        <v>1866723</v>
      </c>
      <c r="P117" s="61">
        <v>12.42666133401465</v>
      </c>
      <c r="Q117" s="264">
        <v>221776</v>
      </c>
      <c r="R117" s="67">
        <v>1.4763493266073395</v>
      </c>
      <c r="S117" s="264">
        <v>149542</v>
      </c>
      <c r="T117" s="61">
        <v>0.99549198740853284</v>
      </c>
      <c r="U117" s="264">
        <v>15021919</v>
      </c>
      <c r="V117" s="312">
        <v>100</v>
      </c>
    </row>
    <row r="118" spans="1:22" x14ac:dyDescent="0.25">
      <c r="A118" s="461"/>
      <c r="B118" s="447"/>
      <c r="C118" s="65"/>
      <c r="D118" s="179" t="s">
        <v>6</v>
      </c>
      <c r="E118" s="264">
        <v>1386071</v>
      </c>
      <c r="F118" s="67">
        <v>84.712344205416301</v>
      </c>
      <c r="G118" s="264">
        <v>50198</v>
      </c>
      <c r="H118" s="61">
        <v>3.0679454764030756</v>
      </c>
      <c r="I118" s="264">
        <v>91856</v>
      </c>
      <c r="J118" s="67">
        <v>5.6139527407562237</v>
      </c>
      <c r="K118" s="264">
        <v>0</v>
      </c>
      <c r="L118" s="61">
        <v>0</v>
      </c>
      <c r="M118" s="267">
        <v>40629</v>
      </c>
      <c r="N118" s="67">
        <v>2.4831179879831975</v>
      </c>
      <c r="O118" s="264">
        <v>28646</v>
      </c>
      <c r="P118" s="61">
        <v>1.7507543351735628</v>
      </c>
      <c r="Q118" s="264">
        <v>16993</v>
      </c>
      <c r="R118" s="67">
        <v>1.0385592549607048</v>
      </c>
      <c r="S118" s="264">
        <v>21816</v>
      </c>
      <c r="T118" s="61">
        <v>1.3333259993069346</v>
      </c>
      <c r="U118" s="264">
        <v>1636209</v>
      </c>
      <c r="V118" s="312">
        <v>100</v>
      </c>
    </row>
    <row r="119" spans="1:22" x14ac:dyDescent="0.25">
      <c r="A119" s="461"/>
      <c r="B119" s="447"/>
      <c r="C119" s="65"/>
      <c r="D119" s="179" t="s">
        <v>25</v>
      </c>
      <c r="E119" s="264">
        <v>123404</v>
      </c>
      <c r="F119" s="67">
        <v>93.928345803426666</v>
      </c>
      <c r="G119" s="264">
        <v>902</v>
      </c>
      <c r="H119" s="61">
        <v>0.68655285010770206</v>
      </c>
      <c r="I119" s="264">
        <v>4102</v>
      </c>
      <c r="J119" s="67">
        <v>3.1222170633501038</v>
      </c>
      <c r="K119" s="264">
        <v>0</v>
      </c>
      <c r="L119" s="61">
        <v>0</v>
      </c>
      <c r="M119" s="264">
        <v>0</v>
      </c>
      <c r="N119" s="67">
        <v>0</v>
      </c>
      <c r="O119" s="264">
        <v>876</v>
      </c>
      <c r="P119" s="61">
        <v>0.66676307837510751</v>
      </c>
      <c r="Q119" s="264">
        <v>2097</v>
      </c>
      <c r="R119" s="67">
        <v>1.5961212047404114</v>
      </c>
      <c r="S119" s="264">
        <v>0</v>
      </c>
      <c r="T119" s="61">
        <v>0</v>
      </c>
      <c r="U119" s="264">
        <v>131381</v>
      </c>
      <c r="V119" s="312">
        <v>100</v>
      </c>
    </row>
    <row r="120" spans="1:22" x14ac:dyDescent="0.25">
      <c r="A120" s="461"/>
      <c r="B120" s="452"/>
      <c r="C120" s="143" t="s">
        <v>454</v>
      </c>
      <c r="D120" s="145" t="s">
        <v>535</v>
      </c>
      <c r="E120" s="296">
        <v>12527260</v>
      </c>
      <c r="F120" s="317">
        <v>74.613617348786079</v>
      </c>
      <c r="G120" s="296">
        <v>660140</v>
      </c>
      <c r="H120" s="297">
        <v>3.9318600680937128</v>
      </c>
      <c r="I120" s="296">
        <v>734711</v>
      </c>
      <c r="J120" s="298">
        <v>4.3760124253782529</v>
      </c>
      <c r="K120" s="296">
        <v>488351</v>
      </c>
      <c r="L120" s="297">
        <v>2.9086675494798566</v>
      </c>
      <c r="M120" s="296">
        <v>70578</v>
      </c>
      <c r="N120" s="298">
        <v>0.42036964868954779</v>
      </c>
      <c r="O120" s="296">
        <v>1896245</v>
      </c>
      <c r="P120" s="297">
        <v>11.29422545948187</v>
      </c>
      <c r="Q120" s="296">
        <v>240866</v>
      </c>
      <c r="R120" s="298">
        <v>1.4346220607166058</v>
      </c>
      <c r="S120" s="296">
        <v>171358</v>
      </c>
      <c r="T120" s="297">
        <v>1.0206254393740759</v>
      </c>
      <c r="U120" s="296">
        <v>16789509</v>
      </c>
      <c r="V120" s="318">
        <v>99.999999999999986</v>
      </c>
    </row>
    <row r="121" spans="1:22" x14ac:dyDescent="0.25">
      <c r="A121" s="461">
        <v>2012</v>
      </c>
      <c r="B121" s="451">
        <v>36</v>
      </c>
      <c r="C121" s="111"/>
      <c r="D121" s="62" t="s">
        <v>346</v>
      </c>
      <c r="E121" s="264">
        <v>12217983</v>
      </c>
      <c r="F121" s="67">
        <v>70.11688152640842</v>
      </c>
      <c r="G121" s="264">
        <v>1081712</v>
      </c>
      <c r="H121" s="61">
        <v>6.207757217348747</v>
      </c>
      <c r="I121" s="264">
        <v>765798</v>
      </c>
      <c r="J121" s="67">
        <v>4.3947816623382527</v>
      </c>
      <c r="K121" s="264">
        <v>103086</v>
      </c>
      <c r="L121" s="61">
        <v>0.59159264250337706</v>
      </c>
      <c r="M121" s="264">
        <v>14662</v>
      </c>
      <c r="N121" s="67">
        <v>8.4142670434244352E-2</v>
      </c>
      <c r="O121" s="264">
        <v>1530810</v>
      </c>
      <c r="P121" s="61">
        <v>8.7850526072463246</v>
      </c>
      <c r="Q121" s="264">
        <v>210681</v>
      </c>
      <c r="R121" s="67">
        <v>1.2090616525547015</v>
      </c>
      <c r="S121" s="264">
        <v>1500434</v>
      </c>
      <c r="T121" s="61">
        <v>8.6107300211659403</v>
      </c>
      <c r="U121" s="264">
        <v>17425166</v>
      </c>
      <c r="V121" s="312">
        <v>99.999999999999986</v>
      </c>
    </row>
    <row r="122" spans="1:22" x14ac:dyDescent="0.25">
      <c r="A122" s="461"/>
      <c r="B122" s="452"/>
      <c r="C122" s="143" t="s">
        <v>455</v>
      </c>
      <c r="D122" s="293" t="s">
        <v>535</v>
      </c>
      <c r="E122" s="274">
        <v>12217983</v>
      </c>
      <c r="F122" s="275">
        <v>70.11688152640842</v>
      </c>
      <c r="G122" s="274">
        <v>1081712</v>
      </c>
      <c r="H122" s="72">
        <v>6.207757217348747</v>
      </c>
      <c r="I122" s="274">
        <v>765798</v>
      </c>
      <c r="J122" s="275">
        <v>4.3947816623382527</v>
      </c>
      <c r="K122" s="274">
        <v>103086</v>
      </c>
      <c r="L122" s="72">
        <v>0.59159264250337706</v>
      </c>
      <c r="M122" s="274">
        <v>14662</v>
      </c>
      <c r="N122" s="275">
        <v>8.4142670434244352E-2</v>
      </c>
      <c r="O122" s="274">
        <v>1530810</v>
      </c>
      <c r="P122" s="72">
        <v>8.7850526072463246</v>
      </c>
      <c r="Q122" s="274">
        <v>210681</v>
      </c>
      <c r="R122" s="275">
        <v>1.2090616525547015</v>
      </c>
      <c r="S122" s="274">
        <v>1500434</v>
      </c>
      <c r="T122" s="72">
        <v>8.6107300211659403</v>
      </c>
      <c r="U122" s="274">
        <v>17425166</v>
      </c>
      <c r="V122" s="323">
        <v>99.999999999999986</v>
      </c>
    </row>
    <row r="123" spans="1:22" x14ac:dyDescent="0.25">
      <c r="A123" s="461">
        <v>2012</v>
      </c>
      <c r="B123" s="447">
        <v>37</v>
      </c>
      <c r="C123" s="111"/>
      <c r="D123" s="262" t="s">
        <v>540</v>
      </c>
      <c r="E123" s="265">
        <v>2611755</v>
      </c>
      <c r="F123" s="67">
        <v>80.373834939370838</v>
      </c>
      <c r="G123" s="264">
        <v>269805</v>
      </c>
      <c r="H123" s="61">
        <v>8.3029466913309058</v>
      </c>
      <c r="I123" s="264">
        <v>51200</v>
      </c>
      <c r="J123" s="67">
        <v>1.5756226556073549</v>
      </c>
      <c r="K123" s="264">
        <v>0</v>
      </c>
      <c r="L123" s="61">
        <v>0</v>
      </c>
      <c r="M123" s="264">
        <v>7125</v>
      </c>
      <c r="N123" s="67">
        <v>0.21926389494535944</v>
      </c>
      <c r="O123" s="264">
        <v>178312</v>
      </c>
      <c r="P123" s="61">
        <v>5.4873520891925525</v>
      </c>
      <c r="Q123" s="264">
        <v>45944</v>
      </c>
      <c r="R123" s="67">
        <v>1.4138751423676623</v>
      </c>
      <c r="S123" s="264">
        <v>85368</v>
      </c>
      <c r="T123" s="61">
        <v>2.6271045871853258</v>
      </c>
      <c r="U123" s="264">
        <v>3249509</v>
      </c>
      <c r="V123" s="312">
        <v>100</v>
      </c>
    </row>
    <row r="124" spans="1:22" x14ac:dyDescent="0.25">
      <c r="A124" s="461"/>
      <c r="B124" s="452"/>
      <c r="C124" s="143" t="s">
        <v>706</v>
      </c>
      <c r="D124" s="293" t="s">
        <v>535</v>
      </c>
      <c r="E124" s="273">
        <v>2611755</v>
      </c>
      <c r="F124" s="275">
        <v>80.373834939370838</v>
      </c>
      <c r="G124" s="274">
        <v>269805</v>
      </c>
      <c r="H124" s="72">
        <v>8.3029466913309058</v>
      </c>
      <c r="I124" s="274">
        <v>51200</v>
      </c>
      <c r="J124" s="275">
        <v>1.5756226556073549</v>
      </c>
      <c r="K124" s="274">
        <v>0</v>
      </c>
      <c r="L124" s="72">
        <v>0</v>
      </c>
      <c r="M124" s="274">
        <v>7125</v>
      </c>
      <c r="N124" s="275">
        <v>0.21926389494535944</v>
      </c>
      <c r="O124" s="274">
        <v>178312</v>
      </c>
      <c r="P124" s="72">
        <v>5.4873520891925525</v>
      </c>
      <c r="Q124" s="274">
        <v>45944</v>
      </c>
      <c r="R124" s="275">
        <v>1.4138751423676623</v>
      </c>
      <c r="S124" s="274">
        <v>85368</v>
      </c>
      <c r="T124" s="72">
        <v>2.6271045871853258</v>
      </c>
      <c r="U124" s="274">
        <v>3249509</v>
      </c>
      <c r="V124" s="323">
        <v>100</v>
      </c>
    </row>
    <row r="125" spans="1:22" x14ac:dyDescent="0.25">
      <c r="A125" s="462" t="s">
        <v>667</v>
      </c>
      <c r="B125" s="447">
        <v>38</v>
      </c>
      <c r="C125" s="198"/>
      <c r="D125" s="336" t="s">
        <v>122</v>
      </c>
      <c r="E125" s="264">
        <v>10772051</v>
      </c>
      <c r="F125" s="67">
        <v>73.115013335349659</v>
      </c>
      <c r="G125" s="264">
        <v>519790</v>
      </c>
      <c r="H125" s="61">
        <v>3.5280609775781233</v>
      </c>
      <c r="I125" s="264">
        <v>413752</v>
      </c>
      <c r="J125" s="67">
        <v>2.8083308366742412</v>
      </c>
      <c r="K125" s="264">
        <v>521211</v>
      </c>
      <c r="L125" s="61">
        <v>3.5377059777688515</v>
      </c>
      <c r="M125" s="264">
        <v>51926</v>
      </c>
      <c r="N125" s="67">
        <v>0.35244636164936155</v>
      </c>
      <c r="O125" s="264">
        <v>1893192</v>
      </c>
      <c r="P125" s="61">
        <v>12.849990993022342</v>
      </c>
      <c r="Q125" s="264">
        <v>215653</v>
      </c>
      <c r="R125" s="67">
        <v>1.4637390753913218</v>
      </c>
      <c r="S125" s="264">
        <v>345447</v>
      </c>
      <c r="T125" s="61">
        <v>2.3447124425660939</v>
      </c>
      <c r="U125" s="264">
        <v>14733022</v>
      </c>
      <c r="V125" s="312">
        <v>99.999999999999986</v>
      </c>
    </row>
    <row r="126" spans="1:22" x14ac:dyDescent="0.25">
      <c r="A126" s="461"/>
      <c r="B126" s="447"/>
      <c r="C126" s="207"/>
      <c r="D126" s="183" t="s">
        <v>787</v>
      </c>
      <c r="E126" s="264">
        <v>1440448</v>
      </c>
      <c r="F126" s="67">
        <v>86.48955032816778</v>
      </c>
      <c r="G126" s="264">
        <v>56832</v>
      </c>
      <c r="H126" s="61">
        <v>3.4123926196922292</v>
      </c>
      <c r="I126" s="264">
        <v>2353</v>
      </c>
      <c r="J126" s="67">
        <v>0.14128237320762624</v>
      </c>
      <c r="K126" s="264">
        <v>0</v>
      </c>
      <c r="L126" s="61">
        <v>0</v>
      </c>
      <c r="M126" s="267">
        <v>32771</v>
      </c>
      <c r="N126" s="67">
        <v>1.9676857851198979</v>
      </c>
      <c r="O126" s="264">
        <v>14361</v>
      </c>
      <c r="P126" s="61">
        <v>0.86228481157446679</v>
      </c>
      <c r="Q126" s="264">
        <v>9311</v>
      </c>
      <c r="R126" s="67">
        <v>0.55906509857042408</v>
      </c>
      <c r="S126" s="264">
        <v>109383</v>
      </c>
      <c r="T126" s="61">
        <v>6.5677389836675664</v>
      </c>
      <c r="U126" s="264">
        <v>1665459</v>
      </c>
      <c r="V126" s="312">
        <v>100</v>
      </c>
    </row>
    <row r="127" spans="1:22" x14ac:dyDescent="0.25">
      <c r="A127" s="461"/>
      <c r="B127" s="447"/>
      <c r="C127" s="207"/>
      <c r="D127" s="183" t="s">
        <v>109</v>
      </c>
      <c r="E127" s="264">
        <v>114092</v>
      </c>
      <c r="F127" s="67">
        <v>95.362754931461041</v>
      </c>
      <c r="G127" s="264">
        <v>562</v>
      </c>
      <c r="H127" s="61">
        <v>0.46974256101638245</v>
      </c>
      <c r="I127" s="264">
        <v>1208</v>
      </c>
      <c r="J127" s="67">
        <v>1.0096957539284519</v>
      </c>
      <c r="K127" s="264">
        <v>0</v>
      </c>
      <c r="L127" s="61">
        <v>0</v>
      </c>
      <c r="M127" s="264">
        <v>0</v>
      </c>
      <c r="N127" s="67">
        <v>0</v>
      </c>
      <c r="O127" s="264">
        <v>466</v>
      </c>
      <c r="P127" s="61">
        <v>0.38950183884988299</v>
      </c>
      <c r="Q127" s="264">
        <v>2083</v>
      </c>
      <c r="R127" s="67">
        <v>1.741056502841859</v>
      </c>
      <c r="S127" s="264">
        <v>1229</v>
      </c>
      <c r="T127" s="61">
        <v>1.0272484119023737</v>
      </c>
      <c r="U127" s="264">
        <v>119640</v>
      </c>
      <c r="V127" s="312">
        <v>100</v>
      </c>
    </row>
    <row r="128" spans="1:22" x14ac:dyDescent="0.25">
      <c r="A128" s="461"/>
      <c r="B128" s="447"/>
      <c r="C128" s="143" t="s">
        <v>707</v>
      </c>
      <c r="D128" s="145" t="s">
        <v>535</v>
      </c>
      <c r="E128" s="296">
        <v>12326591</v>
      </c>
      <c r="F128" s="317">
        <v>74.624656157924989</v>
      </c>
      <c r="G128" s="296">
        <v>577184</v>
      </c>
      <c r="H128" s="297">
        <v>3.4942473178396014</v>
      </c>
      <c r="I128" s="296">
        <v>417313</v>
      </c>
      <c r="J128" s="298">
        <v>2.5263951026875273</v>
      </c>
      <c r="K128" s="296">
        <v>521211</v>
      </c>
      <c r="L128" s="297">
        <v>3.1553891632105127</v>
      </c>
      <c r="M128" s="296">
        <v>84697</v>
      </c>
      <c r="N128" s="298">
        <v>0.51275202548764476</v>
      </c>
      <c r="O128" s="296">
        <v>1908019</v>
      </c>
      <c r="P128" s="297">
        <v>11.55106564481517</v>
      </c>
      <c r="Q128" s="296">
        <v>227047</v>
      </c>
      <c r="R128" s="298">
        <v>1.3745328539487027</v>
      </c>
      <c r="S128" s="296">
        <v>456059</v>
      </c>
      <c r="T128" s="297">
        <v>2.7609617340858561</v>
      </c>
      <c r="U128" s="296">
        <v>16518121</v>
      </c>
      <c r="V128" s="318">
        <v>100.00000000000001</v>
      </c>
    </row>
    <row r="129" spans="1:22" x14ac:dyDescent="0.25">
      <c r="A129" s="461">
        <v>2012</v>
      </c>
      <c r="B129" s="447">
        <v>39</v>
      </c>
      <c r="C129" s="111"/>
      <c r="D129" s="262" t="s">
        <v>763</v>
      </c>
      <c r="E129" s="337">
        <v>1228128</v>
      </c>
      <c r="F129" s="67">
        <v>72.75976022588722</v>
      </c>
      <c r="G129" s="264">
        <v>234440</v>
      </c>
      <c r="H129" s="61">
        <v>13.889267395057356</v>
      </c>
      <c r="I129" s="264">
        <v>15327</v>
      </c>
      <c r="J129" s="67">
        <v>0.90803958950709807</v>
      </c>
      <c r="K129" s="264">
        <v>0</v>
      </c>
      <c r="L129" s="61">
        <v>0</v>
      </c>
      <c r="M129" s="264">
        <v>4485</v>
      </c>
      <c r="N129" s="67">
        <v>0.26571133026289129</v>
      </c>
      <c r="O129" s="264">
        <v>69847</v>
      </c>
      <c r="P129" s="61">
        <v>4.1380466632936832</v>
      </c>
      <c r="Q129" s="264">
        <v>9673</v>
      </c>
      <c r="R129" s="67">
        <v>0.5730715044889515</v>
      </c>
      <c r="S129" s="264">
        <v>126022</v>
      </c>
      <c r="T129" s="61">
        <v>7.4661032915028072</v>
      </c>
      <c r="U129" s="264">
        <v>1687922</v>
      </c>
      <c r="V129" s="312">
        <v>100</v>
      </c>
    </row>
    <row r="130" spans="1:22" x14ac:dyDescent="0.25">
      <c r="A130" s="461"/>
      <c r="B130" s="447"/>
      <c r="C130" s="65"/>
      <c r="D130" s="262" t="s">
        <v>127</v>
      </c>
      <c r="E130" s="264">
        <v>1728023</v>
      </c>
      <c r="F130" s="67">
        <v>71.099534732154169</v>
      </c>
      <c r="G130" s="264">
        <v>417316</v>
      </c>
      <c r="H130" s="61">
        <v>17.170473677887188</v>
      </c>
      <c r="I130" s="264">
        <v>106195</v>
      </c>
      <c r="J130" s="67">
        <v>4.3693950201363716</v>
      </c>
      <c r="K130" s="264">
        <v>6884</v>
      </c>
      <c r="L130" s="61">
        <v>0.28324229312697186</v>
      </c>
      <c r="M130" s="264">
        <v>1973</v>
      </c>
      <c r="N130" s="67">
        <v>8.1179117422939498E-2</v>
      </c>
      <c r="O130" s="264">
        <v>92762</v>
      </c>
      <c r="P130" s="61">
        <v>3.8166940143875894</v>
      </c>
      <c r="Q130" s="264">
        <v>23446</v>
      </c>
      <c r="R130" s="67">
        <v>0.96468605529561047</v>
      </c>
      <c r="S130" s="264">
        <v>53829</v>
      </c>
      <c r="T130" s="61">
        <v>2.2147950895891588</v>
      </c>
      <c r="U130" s="264">
        <v>2430428</v>
      </c>
      <c r="V130" s="312">
        <v>100</v>
      </c>
    </row>
    <row r="131" spans="1:22" x14ac:dyDescent="0.25">
      <c r="A131" s="461"/>
      <c r="B131" s="447"/>
      <c r="C131" s="65"/>
      <c r="D131" s="262" t="s">
        <v>764</v>
      </c>
      <c r="E131" s="264">
        <v>444179</v>
      </c>
      <c r="F131" s="67">
        <v>62.002141282787512</v>
      </c>
      <c r="G131" s="264">
        <v>197662</v>
      </c>
      <c r="H131" s="61">
        <v>27.591280205138801</v>
      </c>
      <c r="I131" s="264">
        <v>24446</v>
      </c>
      <c r="J131" s="67">
        <v>3.4123728177131829</v>
      </c>
      <c r="K131" s="264">
        <v>0</v>
      </c>
      <c r="L131" s="61">
        <v>0</v>
      </c>
      <c r="M131" s="264">
        <v>2090</v>
      </c>
      <c r="N131" s="67">
        <v>0.29173931068561532</v>
      </c>
      <c r="O131" s="264">
        <v>19648</v>
      </c>
      <c r="P131" s="61">
        <v>2.7426286968186457</v>
      </c>
      <c r="Q131" s="264">
        <v>15681</v>
      </c>
      <c r="R131" s="67">
        <v>2.1888823592637006</v>
      </c>
      <c r="S131" s="264">
        <v>12687</v>
      </c>
      <c r="T131" s="61">
        <v>1.7709553275925365</v>
      </c>
      <c r="U131" s="264">
        <v>716393</v>
      </c>
      <c r="V131" s="312">
        <v>99.999999999999986</v>
      </c>
    </row>
    <row r="132" spans="1:22" x14ac:dyDescent="0.25">
      <c r="A132" s="461"/>
      <c r="B132" s="447"/>
      <c r="C132" s="65"/>
      <c r="D132" s="262" t="s">
        <v>130</v>
      </c>
      <c r="E132" s="264">
        <v>207011</v>
      </c>
      <c r="F132" s="67">
        <v>53.556949744518469</v>
      </c>
      <c r="G132" s="264">
        <v>94798</v>
      </c>
      <c r="H132" s="61">
        <v>24.525709850591813</v>
      </c>
      <c r="I132" s="264">
        <v>33333</v>
      </c>
      <c r="J132" s="67">
        <v>8.623763016622469</v>
      </c>
      <c r="K132" s="264">
        <v>0</v>
      </c>
      <c r="L132" s="61">
        <v>0</v>
      </c>
      <c r="M132" s="264">
        <v>652</v>
      </c>
      <c r="N132" s="67">
        <v>0.16868249143004982</v>
      </c>
      <c r="O132" s="264">
        <v>15213</v>
      </c>
      <c r="P132" s="61">
        <v>3.935838561541944</v>
      </c>
      <c r="Q132" s="264">
        <v>2397</v>
      </c>
      <c r="R132" s="67">
        <v>0.62014099993532112</v>
      </c>
      <c r="S132" s="264">
        <v>33121</v>
      </c>
      <c r="T132" s="61">
        <v>8.5689153353599377</v>
      </c>
      <c r="U132" s="264">
        <v>386525</v>
      </c>
      <c r="V132" s="312">
        <v>100</v>
      </c>
    </row>
    <row r="133" spans="1:22" s="135" customFormat="1" x14ac:dyDescent="0.25">
      <c r="A133" s="461"/>
      <c r="B133" s="452"/>
      <c r="C133" s="143" t="s">
        <v>695</v>
      </c>
      <c r="D133" s="293" t="s">
        <v>535</v>
      </c>
      <c r="E133" s="296">
        <v>3607341</v>
      </c>
      <c r="F133" s="298">
        <v>69.08936679749057</v>
      </c>
      <c r="G133" s="296">
        <v>944216</v>
      </c>
      <c r="H133" s="297">
        <v>18.084036291567489</v>
      </c>
      <c r="I133" s="296">
        <v>179301</v>
      </c>
      <c r="J133" s="298">
        <v>3.4340508857235448</v>
      </c>
      <c r="K133" s="296">
        <v>6884</v>
      </c>
      <c r="L133" s="297">
        <v>0.13184536783018991</v>
      </c>
      <c r="M133" s="296">
        <v>9200</v>
      </c>
      <c r="N133" s="298">
        <v>0.17620240906998072</v>
      </c>
      <c r="O133" s="296">
        <v>197470</v>
      </c>
      <c r="P133" s="297">
        <v>3.7820314912009878</v>
      </c>
      <c r="Q133" s="296">
        <v>51197</v>
      </c>
      <c r="R133" s="298">
        <v>0.98054725403867415</v>
      </c>
      <c r="S133" s="296">
        <v>225659</v>
      </c>
      <c r="T133" s="297">
        <v>4.3219195030785622</v>
      </c>
      <c r="U133" s="296">
        <v>5221268</v>
      </c>
      <c r="V133" s="318">
        <v>100</v>
      </c>
    </row>
    <row r="134" spans="1:22" ht="15" customHeight="1" x14ac:dyDescent="0.25">
      <c r="A134" s="461">
        <v>2012</v>
      </c>
      <c r="B134" s="451">
        <v>40</v>
      </c>
      <c r="C134" s="111"/>
      <c r="D134" s="269" t="s">
        <v>765</v>
      </c>
      <c r="E134" s="265">
        <v>918670</v>
      </c>
      <c r="F134" s="67">
        <v>71.867216151602761</v>
      </c>
      <c r="G134" s="264">
        <v>92991</v>
      </c>
      <c r="H134" s="61">
        <v>7.2746517216777438</v>
      </c>
      <c r="I134" s="264">
        <v>1884</v>
      </c>
      <c r="J134" s="67">
        <v>0.1473846269385303</v>
      </c>
      <c r="K134" s="264">
        <v>1628</v>
      </c>
      <c r="L134" s="61">
        <v>0.12735784111248796</v>
      </c>
      <c r="M134" s="264">
        <v>505</v>
      </c>
      <c r="N134" s="67">
        <v>3.9505964227153814E-2</v>
      </c>
      <c r="O134" s="264">
        <v>172001</v>
      </c>
      <c r="P134" s="61">
        <v>13.455574956504323</v>
      </c>
      <c r="Q134" s="264">
        <v>17753</v>
      </c>
      <c r="R134" s="67">
        <v>1.3888106592567557</v>
      </c>
      <c r="S134" s="264">
        <v>72856</v>
      </c>
      <c r="T134" s="61">
        <v>5.6994980786802349</v>
      </c>
      <c r="U134" s="264">
        <v>1278288</v>
      </c>
      <c r="V134" s="312">
        <v>100</v>
      </c>
    </row>
    <row r="135" spans="1:22" x14ac:dyDescent="0.25">
      <c r="A135" s="461"/>
      <c r="B135" s="447"/>
      <c r="C135" s="65"/>
      <c r="D135" s="262" t="s">
        <v>766</v>
      </c>
      <c r="E135" s="265">
        <v>971546</v>
      </c>
      <c r="F135" s="67">
        <v>75.61287109063386</v>
      </c>
      <c r="G135" s="264">
        <v>76107</v>
      </c>
      <c r="H135" s="61">
        <v>5.9232077329275938</v>
      </c>
      <c r="I135" s="264">
        <v>5518</v>
      </c>
      <c r="J135" s="67">
        <v>0.42945143377474421</v>
      </c>
      <c r="K135" s="264">
        <v>62636</v>
      </c>
      <c r="L135" s="61">
        <v>4.8747952167297717</v>
      </c>
      <c r="M135" s="264">
        <v>466</v>
      </c>
      <c r="N135" s="67">
        <v>3.626755493639558E-2</v>
      </c>
      <c r="O135" s="264">
        <v>32612</v>
      </c>
      <c r="P135" s="61">
        <v>2.5381062265788255</v>
      </c>
      <c r="Q135" s="264">
        <v>10678</v>
      </c>
      <c r="R135" s="67">
        <v>0.8310406686927726</v>
      </c>
      <c r="S135" s="264">
        <v>125332</v>
      </c>
      <c r="T135" s="61">
        <v>9.754260075726032</v>
      </c>
      <c r="U135" s="264">
        <v>1284895</v>
      </c>
      <c r="V135" s="312">
        <v>100</v>
      </c>
    </row>
    <row r="136" spans="1:22" x14ac:dyDescent="0.25">
      <c r="A136" s="461"/>
      <c r="B136" s="447"/>
      <c r="C136" s="65"/>
      <c r="D136" s="262" t="s">
        <v>115</v>
      </c>
      <c r="E136" s="265">
        <v>389423</v>
      </c>
      <c r="F136" s="67">
        <v>85.358973122498455</v>
      </c>
      <c r="G136" s="264">
        <v>6560</v>
      </c>
      <c r="H136" s="61">
        <v>1.4379090697868124</v>
      </c>
      <c r="I136" s="264">
        <v>341</v>
      </c>
      <c r="J136" s="67">
        <v>7.4744968414223026E-2</v>
      </c>
      <c r="K136" s="264">
        <v>138</v>
      </c>
      <c r="L136" s="61">
        <v>3.0248696894905509E-2</v>
      </c>
      <c r="M136" s="264">
        <v>325</v>
      </c>
      <c r="N136" s="67">
        <v>7.1237873122060077E-2</v>
      </c>
      <c r="O136" s="264">
        <v>41257</v>
      </c>
      <c r="P136" s="61">
        <v>9.0432644042979451</v>
      </c>
      <c r="Q136" s="264">
        <v>3617</v>
      </c>
      <c r="R136" s="67">
        <v>0.79282272948458854</v>
      </c>
      <c r="S136" s="264">
        <v>14557</v>
      </c>
      <c r="T136" s="61">
        <v>3.190799135501011</v>
      </c>
      <c r="U136" s="264">
        <v>456218</v>
      </c>
      <c r="V136" s="312">
        <v>99.999999999999986</v>
      </c>
    </row>
    <row r="137" spans="1:22" x14ac:dyDescent="0.25">
      <c r="A137" s="461"/>
      <c r="B137" s="452"/>
      <c r="C137" s="143" t="s">
        <v>708</v>
      </c>
      <c r="D137" s="293" t="s">
        <v>535</v>
      </c>
      <c r="E137" s="296">
        <v>2279639</v>
      </c>
      <c r="F137" s="317">
        <v>75.499710041826177</v>
      </c>
      <c r="G137" s="296">
        <v>175658</v>
      </c>
      <c r="H137" s="297">
        <v>5.8176439631569306</v>
      </c>
      <c r="I137" s="296">
        <v>7743</v>
      </c>
      <c r="J137" s="298">
        <v>0.25644159222309326</v>
      </c>
      <c r="K137" s="296">
        <v>64402</v>
      </c>
      <c r="L137" s="297">
        <v>2.1329396128569869</v>
      </c>
      <c r="M137" s="296">
        <v>1296</v>
      </c>
      <c r="N137" s="298">
        <v>4.2922420705298836E-2</v>
      </c>
      <c r="O137" s="296">
        <v>245870</v>
      </c>
      <c r="P137" s="297">
        <v>8.1430058478486291</v>
      </c>
      <c r="Q137" s="296">
        <v>32048</v>
      </c>
      <c r="R137" s="298">
        <v>1.0614025762063404</v>
      </c>
      <c r="S137" s="296">
        <v>212745</v>
      </c>
      <c r="T137" s="297">
        <v>7.045933945176543</v>
      </c>
      <c r="U137" s="296">
        <v>3019401</v>
      </c>
      <c r="V137" s="318">
        <v>99.999999999999986</v>
      </c>
    </row>
    <row r="138" spans="1:22" x14ac:dyDescent="0.25">
      <c r="A138" s="461">
        <v>2012</v>
      </c>
      <c r="B138" s="451">
        <v>41</v>
      </c>
      <c r="C138" s="111"/>
      <c r="D138" s="292" t="s">
        <v>767</v>
      </c>
      <c r="E138" s="265">
        <v>803077</v>
      </c>
      <c r="F138" s="67">
        <v>75.787148185057688</v>
      </c>
      <c r="G138" s="264">
        <v>121287</v>
      </c>
      <c r="H138" s="61">
        <v>11.445970737452436</v>
      </c>
      <c r="I138" s="264">
        <v>33556</v>
      </c>
      <c r="J138" s="67">
        <v>3.1667119647279098</v>
      </c>
      <c r="K138" s="264">
        <v>0</v>
      </c>
      <c r="L138" s="61">
        <v>0</v>
      </c>
      <c r="M138" s="264">
        <v>0</v>
      </c>
      <c r="N138" s="67">
        <v>0</v>
      </c>
      <c r="O138" s="264">
        <v>26659</v>
      </c>
      <c r="P138" s="61">
        <v>2.5158354472428579</v>
      </c>
      <c r="Q138" s="264">
        <v>15888</v>
      </c>
      <c r="R138" s="67">
        <v>1.4993658271425983</v>
      </c>
      <c r="S138" s="264">
        <v>59181</v>
      </c>
      <c r="T138" s="61">
        <v>5.5849678383765173</v>
      </c>
      <c r="U138" s="264">
        <v>1059648</v>
      </c>
      <c r="V138" s="312">
        <v>100.00000000000001</v>
      </c>
    </row>
    <row r="139" spans="1:22" x14ac:dyDescent="0.25">
      <c r="A139" s="461"/>
      <c r="B139" s="447"/>
      <c r="C139" s="65"/>
      <c r="D139" s="262" t="s">
        <v>768</v>
      </c>
      <c r="E139" s="265">
        <v>1102842</v>
      </c>
      <c r="F139" s="67">
        <v>82.553120775376925</v>
      </c>
      <c r="G139" s="264">
        <v>110270</v>
      </c>
      <c r="H139" s="61">
        <v>8.254249138045898</v>
      </c>
      <c r="I139" s="264">
        <v>29294</v>
      </c>
      <c r="J139" s="67">
        <v>2.1927992586371321</v>
      </c>
      <c r="K139" s="264">
        <v>0</v>
      </c>
      <c r="L139" s="61">
        <v>0</v>
      </c>
      <c r="M139" s="264">
        <v>1076</v>
      </c>
      <c r="N139" s="67">
        <v>8.0543865716308935E-2</v>
      </c>
      <c r="O139" s="264">
        <v>18993</v>
      </c>
      <c r="P139" s="61">
        <v>1.4217189977229141</v>
      </c>
      <c r="Q139" s="264">
        <v>19329</v>
      </c>
      <c r="R139" s="67">
        <v>1.4468702420358135</v>
      </c>
      <c r="S139" s="264">
        <v>54114</v>
      </c>
      <c r="T139" s="61">
        <v>4.0506977224650011</v>
      </c>
      <c r="U139" s="264">
        <v>1335918</v>
      </c>
      <c r="V139" s="312">
        <v>100</v>
      </c>
    </row>
    <row r="140" spans="1:22" x14ac:dyDescent="0.25">
      <c r="A140" s="461"/>
      <c r="B140" s="447"/>
      <c r="C140" s="65"/>
      <c r="D140" s="262" t="s">
        <v>769</v>
      </c>
      <c r="E140" s="265">
        <v>339832</v>
      </c>
      <c r="F140" s="67">
        <v>74.58819036414836</v>
      </c>
      <c r="G140" s="264">
        <v>100582</v>
      </c>
      <c r="H140" s="61">
        <v>22.076288763879713</v>
      </c>
      <c r="I140" s="264">
        <v>4342</v>
      </c>
      <c r="J140" s="67">
        <v>0.95300596342054955</v>
      </c>
      <c r="K140" s="264">
        <v>0</v>
      </c>
      <c r="L140" s="61">
        <v>0</v>
      </c>
      <c r="M140" s="264">
        <v>0</v>
      </c>
      <c r="N140" s="67">
        <v>0</v>
      </c>
      <c r="O140" s="264">
        <v>8719</v>
      </c>
      <c r="P140" s="61">
        <v>1.9136939187157465</v>
      </c>
      <c r="Q140" s="264">
        <v>2136</v>
      </c>
      <c r="R140" s="67">
        <v>0.46882098983562737</v>
      </c>
      <c r="S140" s="264">
        <v>0</v>
      </c>
      <c r="T140" s="61">
        <v>0</v>
      </c>
      <c r="U140" s="264">
        <v>455611</v>
      </c>
      <c r="V140" s="312">
        <v>100</v>
      </c>
    </row>
    <row r="141" spans="1:22" x14ac:dyDescent="0.25">
      <c r="A141" s="461"/>
      <c r="B141" s="447"/>
      <c r="C141" s="65"/>
      <c r="D141" s="262" t="s">
        <v>770</v>
      </c>
      <c r="E141" s="265">
        <v>766996</v>
      </c>
      <c r="F141" s="67">
        <v>68.964351448483711</v>
      </c>
      <c r="G141" s="264">
        <v>108180</v>
      </c>
      <c r="H141" s="61">
        <v>9.7269914571874807</v>
      </c>
      <c r="I141" s="264">
        <v>27391</v>
      </c>
      <c r="J141" s="67">
        <v>2.462858411941415</v>
      </c>
      <c r="K141" s="264">
        <v>0</v>
      </c>
      <c r="L141" s="61">
        <v>0</v>
      </c>
      <c r="M141" s="264">
        <v>15059</v>
      </c>
      <c r="N141" s="67">
        <v>1.3540281415583868</v>
      </c>
      <c r="O141" s="264">
        <v>54184</v>
      </c>
      <c r="P141" s="61">
        <v>4.8719477270867673</v>
      </c>
      <c r="Q141" s="264">
        <v>12854</v>
      </c>
      <c r="R141" s="67">
        <v>1.1557658364826018</v>
      </c>
      <c r="S141" s="264">
        <v>127499</v>
      </c>
      <c r="T141" s="61">
        <v>11.464056977259627</v>
      </c>
      <c r="U141" s="264">
        <v>1112163</v>
      </c>
      <c r="V141" s="312">
        <v>99.999999999999986</v>
      </c>
    </row>
    <row r="142" spans="1:22" x14ac:dyDescent="0.25">
      <c r="A142" s="461"/>
      <c r="B142" s="447"/>
      <c r="C142" s="65"/>
      <c r="D142" s="262" t="s">
        <v>771</v>
      </c>
      <c r="E142" s="265">
        <v>715716</v>
      </c>
      <c r="F142" s="67">
        <v>79.630705144894151</v>
      </c>
      <c r="G142" s="264">
        <v>104329</v>
      </c>
      <c r="H142" s="61">
        <v>11.607665382723962</v>
      </c>
      <c r="I142" s="264">
        <v>38020</v>
      </c>
      <c r="J142" s="67">
        <v>4.2301127955905358</v>
      </c>
      <c r="K142" s="264">
        <v>0</v>
      </c>
      <c r="L142" s="61">
        <v>0</v>
      </c>
      <c r="M142" s="264">
        <v>231</v>
      </c>
      <c r="N142" s="67">
        <v>2.5701106148906201E-2</v>
      </c>
      <c r="O142" s="264">
        <v>22666</v>
      </c>
      <c r="P142" s="61">
        <v>2.5218236881866143</v>
      </c>
      <c r="Q142" s="264">
        <v>15894</v>
      </c>
      <c r="R142" s="67">
        <v>1.7683696152844812</v>
      </c>
      <c r="S142" s="264">
        <v>1938</v>
      </c>
      <c r="T142" s="61">
        <v>0.21562226717134295</v>
      </c>
      <c r="U142" s="264">
        <v>898794</v>
      </c>
      <c r="V142" s="312">
        <v>100</v>
      </c>
    </row>
    <row r="143" spans="1:22" ht="15.75" thickBot="1" x14ac:dyDescent="0.3">
      <c r="A143" s="461"/>
      <c r="B143" s="453"/>
      <c r="C143" s="143" t="s">
        <v>788</v>
      </c>
      <c r="D143" s="300" t="s">
        <v>535</v>
      </c>
      <c r="E143" s="338">
        <v>3728463</v>
      </c>
      <c r="F143" s="339">
        <v>76.68367428787441</v>
      </c>
      <c r="G143" s="338">
        <v>544648</v>
      </c>
      <c r="H143" s="304">
        <v>11.201830307432909</v>
      </c>
      <c r="I143" s="338">
        <v>132603</v>
      </c>
      <c r="J143" s="305">
        <v>2.7272592651703964</v>
      </c>
      <c r="K143" s="338">
        <v>0</v>
      </c>
      <c r="L143" s="304">
        <v>0</v>
      </c>
      <c r="M143" s="338">
        <v>16366</v>
      </c>
      <c r="N143" s="305">
        <v>0.33660117141979223</v>
      </c>
      <c r="O143" s="338">
        <v>131221</v>
      </c>
      <c r="P143" s="304">
        <v>2.6988355318878501</v>
      </c>
      <c r="Q143" s="338">
        <v>66101</v>
      </c>
      <c r="R143" s="305">
        <v>1.3595059288781428</v>
      </c>
      <c r="S143" s="338">
        <v>242732</v>
      </c>
      <c r="T143" s="304">
        <v>4.9922935073364902</v>
      </c>
      <c r="U143" s="338">
        <v>4862134</v>
      </c>
      <c r="V143" s="329">
        <v>100</v>
      </c>
    </row>
    <row r="144" spans="1:22" s="340" customFormat="1" x14ac:dyDescent="0.25">
      <c r="A144" s="461">
        <v>2012</v>
      </c>
      <c r="B144" s="446">
        <v>42</v>
      </c>
      <c r="C144" s="111"/>
      <c r="D144" s="254" t="s">
        <v>772</v>
      </c>
      <c r="E144" s="308">
        <v>959152</v>
      </c>
      <c r="F144" s="260">
        <v>70.251591213717035</v>
      </c>
      <c r="G144" s="310">
        <v>215340</v>
      </c>
      <c r="H144" s="309">
        <v>15.77224220140481</v>
      </c>
      <c r="I144" s="310">
        <v>60863</v>
      </c>
      <c r="J144" s="260">
        <v>4.4578154411818556</v>
      </c>
      <c r="K144" s="310">
        <v>0</v>
      </c>
      <c r="L144" s="309">
        <v>0</v>
      </c>
      <c r="M144" s="310">
        <v>0</v>
      </c>
      <c r="N144" s="260">
        <v>0</v>
      </c>
      <c r="O144" s="310">
        <v>29538</v>
      </c>
      <c r="P144" s="309">
        <v>2.1634647076488123</v>
      </c>
      <c r="Q144" s="310">
        <v>0</v>
      </c>
      <c r="R144" s="260">
        <v>0</v>
      </c>
      <c r="S144" s="310">
        <v>100417</v>
      </c>
      <c r="T144" s="309">
        <v>7.3548864360474902</v>
      </c>
      <c r="U144" s="310">
        <v>1365310</v>
      </c>
      <c r="V144" s="311">
        <v>100</v>
      </c>
    </row>
    <row r="145" spans="1:22" s="340" customFormat="1" x14ac:dyDescent="0.25">
      <c r="A145" s="461"/>
      <c r="B145" s="447"/>
      <c r="C145" s="65"/>
      <c r="D145" s="262" t="s">
        <v>773</v>
      </c>
      <c r="E145" s="265">
        <v>215972</v>
      </c>
      <c r="F145" s="67">
        <v>88.94434903651721</v>
      </c>
      <c r="G145" s="264">
        <v>10520</v>
      </c>
      <c r="H145" s="61">
        <v>4.3324808394799375</v>
      </c>
      <c r="I145" s="264">
        <v>5661</v>
      </c>
      <c r="J145" s="67">
        <v>2.3313853642866849</v>
      </c>
      <c r="K145" s="264">
        <v>0</v>
      </c>
      <c r="L145" s="61">
        <v>0</v>
      </c>
      <c r="M145" s="264">
        <v>0</v>
      </c>
      <c r="N145" s="67">
        <v>0</v>
      </c>
      <c r="O145" s="264">
        <v>32</v>
      </c>
      <c r="P145" s="61">
        <v>1.317864894138384E-2</v>
      </c>
      <c r="Q145" s="264">
        <v>0</v>
      </c>
      <c r="R145" s="67">
        <v>0</v>
      </c>
      <c r="S145" s="264">
        <v>10632</v>
      </c>
      <c r="T145" s="61">
        <v>4.3786061107747809</v>
      </c>
      <c r="U145" s="264">
        <v>242817</v>
      </c>
      <c r="V145" s="312">
        <v>100</v>
      </c>
    </row>
    <row r="146" spans="1:22" s="340" customFormat="1" x14ac:dyDescent="0.25">
      <c r="A146" s="461"/>
      <c r="B146" s="447"/>
      <c r="C146" s="65"/>
      <c r="D146" s="262" t="s">
        <v>774</v>
      </c>
      <c r="E146" s="265">
        <v>363802</v>
      </c>
      <c r="F146" s="67">
        <v>79.151228490804542</v>
      </c>
      <c r="G146" s="264">
        <v>58343</v>
      </c>
      <c r="H146" s="61">
        <v>12.693498452012383</v>
      </c>
      <c r="I146" s="264">
        <v>12173</v>
      </c>
      <c r="J146" s="67">
        <v>2.6484403725613483</v>
      </c>
      <c r="K146" s="264">
        <v>0</v>
      </c>
      <c r="L146" s="61">
        <v>0</v>
      </c>
      <c r="M146" s="264">
        <v>0</v>
      </c>
      <c r="N146" s="67">
        <v>0</v>
      </c>
      <c r="O146" s="264">
        <v>8896</v>
      </c>
      <c r="P146" s="61">
        <v>1.9354740453713757</v>
      </c>
      <c r="Q146" s="264">
        <v>0</v>
      </c>
      <c r="R146" s="67">
        <v>0</v>
      </c>
      <c r="S146" s="264">
        <v>16415</v>
      </c>
      <c r="T146" s="61">
        <v>3.5713586392503522</v>
      </c>
      <c r="U146" s="264">
        <v>459629</v>
      </c>
      <c r="V146" s="312">
        <v>100</v>
      </c>
    </row>
    <row r="147" spans="1:22" s="340" customFormat="1" x14ac:dyDescent="0.25">
      <c r="A147" s="461"/>
      <c r="B147" s="447"/>
      <c r="C147" s="65"/>
      <c r="D147" s="262" t="s">
        <v>355</v>
      </c>
      <c r="E147" s="265">
        <v>289970</v>
      </c>
      <c r="F147" s="67">
        <v>73.219940104942609</v>
      </c>
      <c r="G147" s="264">
        <v>50001</v>
      </c>
      <c r="H147" s="61">
        <v>12.625686192320707</v>
      </c>
      <c r="I147" s="264">
        <v>14366</v>
      </c>
      <c r="J147" s="67">
        <v>3.6275396059854659</v>
      </c>
      <c r="K147" s="264">
        <v>0</v>
      </c>
      <c r="L147" s="61">
        <v>0</v>
      </c>
      <c r="M147" s="264">
        <v>0</v>
      </c>
      <c r="N147" s="67">
        <v>0</v>
      </c>
      <c r="O147" s="264">
        <v>6153</v>
      </c>
      <c r="P147" s="61">
        <v>1.5536858691096038</v>
      </c>
      <c r="Q147" s="264">
        <v>0</v>
      </c>
      <c r="R147" s="67">
        <v>0</v>
      </c>
      <c r="S147" s="264">
        <v>35536</v>
      </c>
      <c r="T147" s="61">
        <v>8.9731482276416195</v>
      </c>
      <c r="U147" s="264">
        <v>396026</v>
      </c>
      <c r="V147" s="312">
        <v>100</v>
      </c>
    </row>
    <row r="148" spans="1:22" s="340" customFormat="1" ht="15.75" thickBot="1" x14ac:dyDescent="0.3">
      <c r="A148" s="461"/>
      <c r="B148" s="453"/>
      <c r="C148" s="143" t="s">
        <v>709</v>
      </c>
      <c r="D148" s="300" t="s">
        <v>535</v>
      </c>
      <c r="E148" s="301">
        <v>1828896</v>
      </c>
      <c r="F148" s="305">
        <v>74.231242861584349</v>
      </c>
      <c r="G148" s="303">
        <v>334204</v>
      </c>
      <c r="H148" s="304">
        <v>13.564674147306862</v>
      </c>
      <c r="I148" s="303">
        <v>93063</v>
      </c>
      <c r="J148" s="305">
        <v>3.77724165530879</v>
      </c>
      <c r="K148" s="303">
        <v>0</v>
      </c>
      <c r="L148" s="304">
        <v>0</v>
      </c>
      <c r="M148" s="303">
        <v>0</v>
      </c>
      <c r="N148" s="305">
        <v>0</v>
      </c>
      <c r="O148" s="303">
        <v>44619</v>
      </c>
      <c r="P148" s="304">
        <v>1.8109962650916356</v>
      </c>
      <c r="Q148" s="303">
        <v>0</v>
      </c>
      <c r="R148" s="305">
        <v>0</v>
      </c>
      <c r="S148" s="303">
        <v>163000</v>
      </c>
      <c r="T148" s="304">
        <v>6.6158450707083665</v>
      </c>
      <c r="U148" s="303">
        <v>2463782</v>
      </c>
      <c r="V148" s="329">
        <v>99.999999999999986</v>
      </c>
    </row>
    <row r="149" spans="1:22" x14ac:dyDescent="0.25">
      <c r="A149" s="462" t="s">
        <v>667</v>
      </c>
      <c r="B149" s="446">
        <v>43</v>
      </c>
      <c r="C149" s="198"/>
      <c r="D149" s="254" t="s">
        <v>80</v>
      </c>
      <c r="E149" s="308">
        <v>575125</v>
      </c>
      <c r="F149" s="260">
        <v>94.192454776976177</v>
      </c>
      <c r="G149" s="310">
        <v>6327</v>
      </c>
      <c r="H149" s="309">
        <v>1.0362193633973975</v>
      </c>
      <c r="I149" s="310">
        <v>11375</v>
      </c>
      <c r="J149" s="260">
        <v>1.8629674820049624</v>
      </c>
      <c r="K149" s="310">
        <v>884</v>
      </c>
      <c r="L149" s="309">
        <v>0.14477918717295707</v>
      </c>
      <c r="M149" s="310">
        <v>0</v>
      </c>
      <c r="N149" s="260">
        <v>0</v>
      </c>
      <c r="O149" s="310">
        <v>9367</v>
      </c>
      <c r="P149" s="309">
        <v>1.5341025410057567</v>
      </c>
      <c r="Q149" s="310">
        <v>3821</v>
      </c>
      <c r="R149" s="260">
        <v>0.62579329659261207</v>
      </c>
      <c r="S149" s="310">
        <v>3686</v>
      </c>
      <c r="T149" s="309">
        <v>0.60368335285013552</v>
      </c>
      <c r="U149" s="310">
        <v>610585</v>
      </c>
      <c r="V149" s="311">
        <v>100</v>
      </c>
    </row>
    <row r="150" spans="1:22" x14ac:dyDescent="0.25">
      <c r="A150" s="461"/>
      <c r="B150" s="447"/>
      <c r="C150" s="207"/>
      <c r="D150" s="262" t="s">
        <v>779</v>
      </c>
      <c r="E150" s="327">
        <v>498935</v>
      </c>
      <c r="F150" s="67">
        <v>89.413432399835841</v>
      </c>
      <c r="G150" s="264">
        <v>4274</v>
      </c>
      <c r="H150" s="61">
        <v>0.76593746695841824</v>
      </c>
      <c r="I150" s="264">
        <v>16134</v>
      </c>
      <c r="J150" s="67">
        <v>2.8913512147653533</v>
      </c>
      <c r="K150" s="264">
        <v>3087</v>
      </c>
      <c r="L150" s="61">
        <v>0.55321688359865162</v>
      </c>
      <c r="M150" s="264">
        <v>0</v>
      </c>
      <c r="N150" s="67">
        <v>0</v>
      </c>
      <c r="O150" s="264">
        <v>8062</v>
      </c>
      <c r="P150" s="61">
        <v>1.4447795644873112</v>
      </c>
      <c r="Q150" s="264">
        <v>26268</v>
      </c>
      <c r="R150" s="67">
        <v>4.7074509550921215</v>
      </c>
      <c r="S150" s="264">
        <v>1249</v>
      </c>
      <c r="T150" s="61">
        <v>0.22383151526229866</v>
      </c>
      <c r="U150" s="264">
        <v>558009</v>
      </c>
      <c r="V150" s="312">
        <v>100</v>
      </c>
    </row>
    <row r="151" spans="1:22" x14ac:dyDescent="0.25">
      <c r="A151" s="461"/>
      <c r="B151" s="447"/>
      <c r="C151" s="207"/>
      <c r="D151" s="262" t="s">
        <v>81</v>
      </c>
      <c r="E151" s="327">
        <v>452861</v>
      </c>
      <c r="F151" s="67">
        <v>97.871241444443726</v>
      </c>
      <c r="G151" s="264">
        <v>0</v>
      </c>
      <c r="H151" s="61">
        <v>0</v>
      </c>
      <c r="I151" s="264">
        <v>530</v>
      </c>
      <c r="J151" s="67">
        <v>0.11454233852231739</v>
      </c>
      <c r="K151" s="264">
        <v>4223</v>
      </c>
      <c r="L151" s="61">
        <v>0.91266470864103078</v>
      </c>
      <c r="M151" s="264">
        <v>0</v>
      </c>
      <c r="N151" s="67">
        <v>0</v>
      </c>
      <c r="O151" s="264">
        <v>977</v>
      </c>
      <c r="P151" s="61">
        <v>0.21114691459680016</v>
      </c>
      <c r="Q151" s="264">
        <v>1908</v>
      </c>
      <c r="R151" s="67">
        <v>0.41235241868034261</v>
      </c>
      <c r="S151" s="264">
        <v>2212</v>
      </c>
      <c r="T151" s="61">
        <v>0.47805217511578507</v>
      </c>
      <c r="U151" s="264">
        <v>462711</v>
      </c>
      <c r="V151" s="312">
        <v>100</v>
      </c>
    </row>
    <row r="152" spans="1:22" x14ac:dyDescent="0.25">
      <c r="A152" s="461"/>
      <c r="B152" s="447"/>
      <c r="C152" s="207"/>
      <c r="D152" s="262" t="s">
        <v>83</v>
      </c>
      <c r="E152" s="265">
        <v>439650</v>
      </c>
      <c r="F152" s="67">
        <v>92.459790033312018</v>
      </c>
      <c r="G152" s="264">
        <v>10839</v>
      </c>
      <c r="H152" s="61">
        <v>2.2794760927352873</v>
      </c>
      <c r="I152" s="264">
        <v>5449</v>
      </c>
      <c r="J152" s="67">
        <v>1.1459419899727448</v>
      </c>
      <c r="K152" s="264">
        <v>1608</v>
      </c>
      <c r="L152" s="61">
        <v>0.33816750227127423</v>
      </c>
      <c r="M152" s="264">
        <v>0</v>
      </c>
      <c r="N152" s="67">
        <v>0</v>
      </c>
      <c r="O152" s="264">
        <v>3530</v>
      </c>
      <c r="P152" s="61">
        <v>0.74237020088159089</v>
      </c>
      <c r="Q152" s="264">
        <v>10466</v>
      </c>
      <c r="R152" s="67">
        <v>2.2010330091860428</v>
      </c>
      <c r="S152" s="264">
        <v>3962</v>
      </c>
      <c r="T152" s="61">
        <v>0.83322117164103782</v>
      </c>
      <c r="U152" s="264">
        <v>475504</v>
      </c>
      <c r="V152" s="312">
        <v>100.00000000000001</v>
      </c>
    </row>
    <row r="153" spans="1:22" x14ac:dyDescent="0.25">
      <c r="A153" s="461"/>
      <c r="B153" s="447"/>
      <c r="C153" s="207"/>
      <c r="D153" s="262" t="s">
        <v>780</v>
      </c>
      <c r="E153" s="265">
        <v>528348</v>
      </c>
      <c r="F153" s="67">
        <v>95.922528217687869</v>
      </c>
      <c r="G153" s="264">
        <v>3379</v>
      </c>
      <c r="H153" s="61">
        <v>0.61346351807438904</v>
      </c>
      <c r="I153" s="264">
        <v>12826</v>
      </c>
      <c r="J153" s="67">
        <v>2.3285833331820402</v>
      </c>
      <c r="K153" s="264">
        <v>2294</v>
      </c>
      <c r="L153" s="61">
        <v>0.41647981961013564</v>
      </c>
      <c r="M153" s="264">
        <v>0</v>
      </c>
      <c r="N153" s="67">
        <v>0</v>
      </c>
      <c r="O153" s="264">
        <v>2311</v>
      </c>
      <c r="P153" s="61">
        <v>0.41956620013906865</v>
      </c>
      <c r="Q153" s="264">
        <v>179</v>
      </c>
      <c r="R153" s="67">
        <v>3.2497771451706313E-2</v>
      </c>
      <c r="S153" s="264">
        <v>1470</v>
      </c>
      <c r="T153" s="61">
        <v>0.26688113985479489</v>
      </c>
      <c r="U153" s="264">
        <v>550807</v>
      </c>
      <c r="V153" s="312">
        <v>99.999999999999986</v>
      </c>
    </row>
    <row r="154" spans="1:22" s="135" customFormat="1" x14ac:dyDescent="0.25">
      <c r="A154" s="461"/>
      <c r="B154" s="452"/>
      <c r="C154" s="43" t="s">
        <v>698</v>
      </c>
      <c r="D154" s="293" t="s">
        <v>535</v>
      </c>
      <c r="E154" s="294">
        <v>2494919</v>
      </c>
      <c r="F154" s="317">
        <v>93.878084719538109</v>
      </c>
      <c r="G154" s="296">
        <v>24819</v>
      </c>
      <c r="H154" s="297">
        <v>0.9338820958332581</v>
      </c>
      <c r="I154" s="296">
        <v>46314</v>
      </c>
      <c r="J154" s="298">
        <v>1.7426896888038002</v>
      </c>
      <c r="K154" s="296">
        <v>12096</v>
      </c>
      <c r="L154" s="297">
        <v>0.45514476131991982</v>
      </c>
      <c r="M154" s="296">
        <v>0</v>
      </c>
      <c r="N154" s="298">
        <v>0</v>
      </c>
      <c r="O154" s="296">
        <v>24247</v>
      </c>
      <c r="P154" s="297">
        <v>0.91235904660417455</v>
      </c>
      <c r="Q154" s="296">
        <v>42642</v>
      </c>
      <c r="R154" s="298">
        <v>1.6045207434031101</v>
      </c>
      <c r="S154" s="296">
        <v>12579</v>
      </c>
      <c r="T154" s="297">
        <v>0.4733189444976249</v>
      </c>
      <c r="U154" s="296">
        <v>2657616</v>
      </c>
      <c r="V154" s="318">
        <v>100</v>
      </c>
    </row>
    <row r="155" spans="1:22" x14ac:dyDescent="0.25">
      <c r="A155" s="461">
        <v>2012</v>
      </c>
      <c r="B155" s="447">
        <v>44</v>
      </c>
      <c r="C155" s="111"/>
      <c r="D155" s="262" t="s">
        <v>775</v>
      </c>
      <c r="E155" s="283">
        <v>289686</v>
      </c>
      <c r="F155" s="67">
        <v>83.157556307017487</v>
      </c>
      <c r="G155" s="264">
        <v>5233</v>
      </c>
      <c r="H155" s="61">
        <v>1.5021902755211594</v>
      </c>
      <c r="I155" s="264">
        <v>6439</v>
      </c>
      <c r="J155" s="67">
        <v>1.8483858559298194</v>
      </c>
      <c r="K155" s="264">
        <v>0</v>
      </c>
      <c r="L155" s="61">
        <v>0</v>
      </c>
      <c r="M155" s="264">
        <v>0</v>
      </c>
      <c r="N155" s="67">
        <v>0</v>
      </c>
      <c r="O155" s="264">
        <v>23900</v>
      </c>
      <c r="P155" s="61">
        <v>6.8607581855447561</v>
      </c>
      <c r="Q155" s="264">
        <v>666</v>
      </c>
      <c r="R155" s="67">
        <v>0.1911826339570212</v>
      </c>
      <c r="S155" s="264">
        <v>22434</v>
      </c>
      <c r="T155" s="61">
        <v>6.4399267420297512</v>
      </c>
      <c r="U155" s="264">
        <v>348358</v>
      </c>
      <c r="V155" s="312">
        <v>100</v>
      </c>
    </row>
    <row r="156" spans="1:22" x14ac:dyDescent="0.25">
      <c r="A156" s="461"/>
      <c r="B156" s="447"/>
      <c r="C156" s="65"/>
      <c r="D156" s="262" t="s">
        <v>93</v>
      </c>
      <c r="E156" s="264">
        <v>863294</v>
      </c>
      <c r="F156" s="67">
        <v>90.744195873438656</v>
      </c>
      <c r="G156" s="264">
        <v>1353</v>
      </c>
      <c r="H156" s="61">
        <v>0.14221910150743838</v>
      </c>
      <c r="I156" s="264">
        <v>19804</v>
      </c>
      <c r="J156" s="67">
        <v>2.0816755995959424</v>
      </c>
      <c r="K156" s="264">
        <v>0</v>
      </c>
      <c r="L156" s="61">
        <v>0</v>
      </c>
      <c r="M156" s="264">
        <v>0</v>
      </c>
      <c r="N156" s="67">
        <v>0</v>
      </c>
      <c r="O156" s="264">
        <v>35066</v>
      </c>
      <c r="P156" s="61">
        <v>3.685923882823233</v>
      </c>
      <c r="Q156" s="264">
        <v>3733</v>
      </c>
      <c r="R156" s="67">
        <v>0.39239017437344237</v>
      </c>
      <c r="S156" s="264">
        <v>28099</v>
      </c>
      <c r="T156" s="61">
        <v>2.9535953682612797</v>
      </c>
      <c r="U156" s="264">
        <v>951349</v>
      </c>
      <c r="V156" s="312">
        <v>99.999999999999986</v>
      </c>
    </row>
    <row r="157" spans="1:22" x14ac:dyDescent="0.25">
      <c r="A157" s="461"/>
      <c r="B157" s="447"/>
      <c r="C157" s="65"/>
      <c r="D157" s="262" t="s">
        <v>89</v>
      </c>
      <c r="E157" s="263">
        <v>547677</v>
      </c>
      <c r="F157" s="67">
        <v>83.153592364791933</v>
      </c>
      <c r="G157" s="264">
        <v>33591</v>
      </c>
      <c r="H157" s="61">
        <v>5.1001088618395984</v>
      </c>
      <c r="I157" s="264">
        <v>17852</v>
      </c>
      <c r="J157" s="67">
        <v>2.7104624274823763</v>
      </c>
      <c r="K157" s="264">
        <v>0</v>
      </c>
      <c r="L157" s="61">
        <v>0</v>
      </c>
      <c r="M157" s="264">
        <v>0</v>
      </c>
      <c r="N157" s="67">
        <v>0</v>
      </c>
      <c r="O157" s="264">
        <v>16435</v>
      </c>
      <c r="P157" s="61">
        <v>2.4953198518750197</v>
      </c>
      <c r="Q157" s="264">
        <v>7498</v>
      </c>
      <c r="R157" s="67">
        <v>1.1384185122822572</v>
      </c>
      <c r="S157" s="264">
        <v>35580</v>
      </c>
      <c r="T157" s="61">
        <v>5.4020979817288231</v>
      </c>
      <c r="U157" s="264">
        <v>658633</v>
      </c>
      <c r="V157" s="312">
        <v>100.00000000000003</v>
      </c>
    </row>
    <row r="158" spans="1:22" x14ac:dyDescent="0.25">
      <c r="A158" s="461"/>
      <c r="B158" s="447"/>
      <c r="C158" s="65"/>
      <c r="D158" s="262" t="s">
        <v>41</v>
      </c>
      <c r="E158" s="264">
        <v>318145</v>
      </c>
      <c r="F158" s="67">
        <v>82.925627718942479</v>
      </c>
      <c r="G158" s="264">
        <v>748</v>
      </c>
      <c r="H158" s="61">
        <v>0.19496886493193033</v>
      </c>
      <c r="I158" s="264">
        <v>38839</v>
      </c>
      <c r="J158" s="67">
        <v>10.123523723384013</v>
      </c>
      <c r="K158" s="264">
        <v>0</v>
      </c>
      <c r="L158" s="61">
        <v>0</v>
      </c>
      <c r="M158" s="264">
        <v>0</v>
      </c>
      <c r="N158" s="67">
        <v>0</v>
      </c>
      <c r="O158" s="264">
        <v>3586</v>
      </c>
      <c r="P158" s="61">
        <v>0.93470367599719528</v>
      </c>
      <c r="Q158" s="264">
        <v>1693</v>
      </c>
      <c r="R158" s="67">
        <v>0.44128648172427543</v>
      </c>
      <c r="S158" s="264">
        <v>20640</v>
      </c>
      <c r="T158" s="61">
        <v>5.3798895350201095</v>
      </c>
      <c r="U158" s="264">
        <v>383651</v>
      </c>
      <c r="V158" s="312">
        <v>100.00000000000001</v>
      </c>
    </row>
    <row r="159" spans="1:22" x14ac:dyDescent="0.25">
      <c r="A159" s="461"/>
      <c r="B159" s="447"/>
      <c r="C159" s="65"/>
      <c r="D159" s="262" t="s">
        <v>39</v>
      </c>
      <c r="E159" s="264">
        <v>1589056</v>
      </c>
      <c r="F159" s="67">
        <v>87.245957947722346</v>
      </c>
      <c r="G159" s="264">
        <v>55606</v>
      </c>
      <c r="H159" s="61">
        <v>3.0530067773829552</v>
      </c>
      <c r="I159" s="264">
        <v>23992</v>
      </c>
      <c r="J159" s="67">
        <v>1.3172632198498699</v>
      </c>
      <c r="K159" s="264">
        <v>0</v>
      </c>
      <c r="L159" s="61">
        <v>0</v>
      </c>
      <c r="M159" s="264">
        <v>0</v>
      </c>
      <c r="N159" s="67">
        <v>0</v>
      </c>
      <c r="O159" s="264">
        <v>66715</v>
      </c>
      <c r="P159" s="61">
        <v>3.6629383007787619</v>
      </c>
      <c r="Q159" s="264">
        <v>43789</v>
      </c>
      <c r="R159" s="67">
        <v>2.4042030315941125</v>
      </c>
      <c r="S159" s="264">
        <v>42194</v>
      </c>
      <c r="T159" s="61">
        <v>2.3166307226719489</v>
      </c>
      <c r="U159" s="264">
        <v>1821352</v>
      </c>
      <c r="V159" s="312">
        <v>99.999999999999986</v>
      </c>
    </row>
    <row r="160" spans="1:22" x14ac:dyDescent="0.25">
      <c r="A160" s="461"/>
      <c r="B160" s="447"/>
      <c r="C160" s="111"/>
      <c r="D160" s="262" t="s">
        <v>776</v>
      </c>
      <c r="E160" s="264">
        <v>1592637</v>
      </c>
      <c r="F160" s="67">
        <v>87.655289245827589</v>
      </c>
      <c r="G160" s="264">
        <v>11380</v>
      </c>
      <c r="H160" s="61">
        <v>0.62633053961292984</v>
      </c>
      <c r="I160" s="264">
        <v>24652</v>
      </c>
      <c r="J160" s="67">
        <v>1.356792659273985</v>
      </c>
      <c r="K160" s="264">
        <v>0</v>
      </c>
      <c r="L160" s="61">
        <v>0</v>
      </c>
      <c r="M160" s="264">
        <v>0</v>
      </c>
      <c r="N160" s="67">
        <v>0</v>
      </c>
      <c r="O160" s="264">
        <v>67582</v>
      </c>
      <c r="P160" s="61">
        <v>3.7195668302391063</v>
      </c>
      <c r="Q160" s="264">
        <v>6386</v>
      </c>
      <c r="R160" s="67">
        <v>0.35147160157892532</v>
      </c>
      <c r="S160" s="264">
        <v>114295</v>
      </c>
      <c r="T160" s="61">
        <v>6.2905491234674722</v>
      </c>
      <c r="U160" s="264">
        <v>1816932</v>
      </c>
      <c r="V160" s="312">
        <v>100</v>
      </c>
    </row>
    <row r="161" spans="1:22" s="16" customFormat="1" x14ac:dyDescent="0.25">
      <c r="A161" s="461"/>
      <c r="B161" s="447"/>
      <c r="C161" s="65"/>
      <c r="D161" s="262" t="s">
        <v>92</v>
      </c>
      <c r="E161" s="263">
        <v>373923</v>
      </c>
      <c r="F161" s="67">
        <v>90.490710691960885</v>
      </c>
      <c r="G161" s="264">
        <v>621</v>
      </c>
      <c r="H161" s="61">
        <v>0.15028423322370571</v>
      </c>
      <c r="I161" s="264">
        <v>9407</v>
      </c>
      <c r="J161" s="67">
        <v>2.276527829203542</v>
      </c>
      <c r="K161" s="264">
        <v>0</v>
      </c>
      <c r="L161" s="61">
        <v>0</v>
      </c>
      <c r="M161" s="264">
        <v>0</v>
      </c>
      <c r="N161" s="67">
        <v>0</v>
      </c>
      <c r="O161" s="264">
        <v>6874</v>
      </c>
      <c r="P161" s="61">
        <v>1.6635327200962207</v>
      </c>
      <c r="Q161" s="264">
        <v>5348</v>
      </c>
      <c r="R161" s="67">
        <v>1.2942352323355526</v>
      </c>
      <c r="S161" s="264">
        <v>17044</v>
      </c>
      <c r="T161" s="61">
        <v>4.1247092931800973</v>
      </c>
      <c r="U161" s="264">
        <v>413217</v>
      </c>
      <c r="V161" s="312">
        <v>100</v>
      </c>
    </row>
    <row r="162" spans="1:22" x14ac:dyDescent="0.25">
      <c r="A162" s="461"/>
      <c r="B162" s="447"/>
      <c r="C162" s="65"/>
      <c r="D162" s="262" t="s">
        <v>777</v>
      </c>
      <c r="E162" s="263">
        <v>520830</v>
      </c>
      <c r="F162" s="67">
        <v>73.095048965809539</v>
      </c>
      <c r="G162" s="264">
        <v>7136</v>
      </c>
      <c r="H162" s="61">
        <v>1.0014904468252921</v>
      </c>
      <c r="I162" s="264">
        <v>4151</v>
      </c>
      <c r="J162" s="67">
        <v>0.5825654210722796</v>
      </c>
      <c r="K162" s="264">
        <v>0</v>
      </c>
      <c r="L162" s="61">
        <v>0</v>
      </c>
      <c r="M162" s="264">
        <v>0</v>
      </c>
      <c r="N162" s="67">
        <v>0</v>
      </c>
      <c r="O162" s="264">
        <v>61853</v>
      </c>
      <c r="P162" s="61">
        <v>8.680659838492824</v>
      </c>
      <c r="Q162" s="264">
        <v>7369</v>
      </c>
      <c r="R162" s="67">
        <v>1.034190457210703</v>
      </c>
      <c r="S162" s="264">
        <v>111199</v>
      </c>
      <c r="T162" s="61">
        <v>15.606044870589358</v>
      </c>
      <c r="U162" s="264">
        <v>712538</v>
      </c>
      <c r="V162" s="312">
        <v>99.999999999999986</v>
      </c>
    </row>
    <row r="163" spans="1:22" x14ac:dyDescent="0.25">
      <c r="A163" s="461"/>
      <c r="B163" s="447"/>
      <c r="C163" s="65"/>
      <c r="D163" s="269" t="s">
        <v>626</v>
      </c>
      <c r="E163" s="263">
        <v>375204</v>
      </c>
      <c r="F163" s="67">
        <v>85.672598076040472</v>
      </c>
      <c r="G163" s="264">
        <v>636</v>
      </c>
      <c r="H163" s="61">
        <v>0.14522172571817393</v>
      </c>
      <c r="I163" s="264">
        <v>38965</v>
      </c>
      <c r="J163" s="67">
        <v>8.8971140607054213</v>
      </c>
      <c r="K163" s="264">
        <v>0</v>
      </c>
      <c r="L163" s="61">
        <v>0</v>
      </c>
      <c r="M163" s="264">
        <v>0</v>
      </c>
      <c r="N163" s="67">
        <v>0</v>
      </c>
      <c r="O163" s="264">
        <v>1240</v>
      </c>
      <c r="P163" s="61">
        <v>0.28313669794109386</v>
      </c>
      <c r="Q163" s="264">
        <v>1104</v>
      </c>
      <c r="R163" s="67">
        <v>0.25208299558626424</v>
      </c>
      <c r="S163" s="264">
        <v>20802</v>
      </c>
      <c r="T163" s="61">
        <v>4.7498464440085764</v>
      </c>
      <c r="U163" s="264">
        <v>437951</v>
      </c>
      <c r="V163" s="312">
        <v>100</v>
      </c>
    </row>
    <row r="164" spans="1:22" x14ac:dyDescent="0.25">
      <c r="A164" s="461"/>
      <c r="B164" s="447"/>
      <c r="C164" s="65"/>
      <c r="D164" s="269" t="s">
        <v>639</v>
      </c>
      <c r="E164" s="263">
        <v>165887</v>
      </c>
      <c r="F164" s="67">
        <v>83.78512154592886</v>
      </c>
      <c r="G164" s="264">
        <v>25514</v>
      </c>
      <c r="H164" s="61">
        <v>12.886444333328281</v>
      </c>
      <c r="I164" s="264">
        <v>2372</v>
      </c>
      <c r="J164" s="67">
        <v>1.1980342540822562</v>
      </c>
      <c r="K164" s="264">
        <v>0</v>
      </c>
      <c r="L164" s="61">
        <v>0</v>
      </c>
      <c r="M164" s="264">
        <v>0</v>
      </c>
      <c r="N164" s="67">
        <v>0</v>
      </c>
      <c r="O164" s="264">
        <v>994</v>
      </c>
      <c r="P164" s="61">
        <v>0.50204302215757279</v>
      </c>
      <c r="Q164" s="264">
        <v>383</v>
      </c>
      <c r="R164" s="67">
        <v>0.19344313630417542</v>
      </c>
      <c r="S164" s="264">
        <v>2841</v>
      </c>
      <c r="T164" s="61">
        <v>1.4349137081988574</v>
      </c>
      <c r="U164" s="264">
        <v>197991</v>
      </c>
      <c r="V164" s="312">
        <v>100.00000000000003</v>
      </c>
    </row>
    <row r="165" spans="1:22" x14ac:dyDescent="0.25">
      <c r="A165" s="461"/>
      <c r="B165" s="452"/>
      <c r="C165" s="143" t="s">
        <v>710</v>
      </c>
      <c r="D165" s="293" t="s">
        <v>535</v>
      </c>
      <c r="E165" s="294">
        <v>6636339</v>
      </c>
      <c r="F165" s="317">
        <v>85.718974442170548</v>
      </c>
      <c r="G165" s="296">
        <v>141818</v>
      </c>
      <c r="H165" s="297">
        <v>1.8318071933094049</v>
      </c>
      <c r="I165" s="296">
        <v>186473</v>
      </c>
      <c r="J165" s="298">
        <v>2.4085982227783824</v>
      </c>
      <c r="K165" s="296">
        <v>0</v>
      </c>
      <c r="L165" s="297">
        <v>0</v>
      </c>
      <c r="M165" s="296">
        <v>0</v>
      </c>
      <c r="N165" s="298">
        <v>0</v>
      </c>
      <c r="O165" s="296">
        <v>284245</v>
      </c>
      <c r="P165" s="297">
        <v>3.6714805995165056</v>
      </c>
      <c r="Q165" s="296">
        <v>77969</v>
      </c>
      <c r="R165" s="298">
        <v>1.0070948332027034</v>
      </c>
      <c r="S165" s="296">
        <v>415128</v>
      </c>
      <c r="T165" s="297">
        <v>5.3620447090224559</v>
      </c>
      <c r="U165" s="274">
        <v>7741972</v>
      </c>
      <c r="V165" s="318">
        <v>99.999999999999986</v>
      </c>
    </row>
    <row r="166" spans="1:22" x14ac:dyDescent="0.25">
      <c r="A166" s="461">
        <v>2012</v>
      </c>
      <c r="B166" s="451">
        <v>45</v>
      </c>
      <c r="C166" s="64"/>
      <c r="D166" s="292" t="s">
        <v>76</v>
      </c>
      <c r="E166" s="265">
        <v>2217716</v>
      </c>
      <c r="F166" s="67">
        <v>77.644296667204671</v>
      </c>
      <c r="G166" s="264">
        <v>272446</v>
      </c>
      <c r="H166" s="61">
        <v>9.5385874700787845</v>
      </c>
      <c r="I166" s="264">
        <v>87225</v>
      </c>
      <c r="J166" s="67">
        <v>3.0538282524890143</v>
      </c>
      <c r="K166" s="264">
        <v>0</v>
      </c>
      <c r="L166" s="61">
        <v>0</v>
      </c>
      <c r="M166" s="264">
        <v>4497</v>
      </c>
      <c r="N166" s="67">
        <v>0.15744414619023328</v>
      </c>
      <c r="O166" s="264">
        <v>261079</v>
      </c>
      <c r="P166" s="61">
        <v>9.1406182439848607</v>
      </c>
      <c r="Q166" s="264">
        <v>8228</v>
      </c>
      <c r="R166" s="67">
        <v>0.28806992102584822</v>
      </c>
      <c r="S166" s="264">
        <v>5060</v>
      </c>
      <c r="T166" s="61">
        <v>0.17715529902659116</v>
      </c>
      <c r="U166" s="264">
        <v>2856251</v>
      </c>
      <c r="V166" s="312">
        <v>100</v>
      </c>
    </row>
    <row r="167" spans="1:22" x14ac:dyDescent="0.25">
      <c r="A167" s="461"/>
      <c r="B167" s="447"/>
      <c r="C167" s="65"/>
      <c r="D167" s="262" t="s">
        <v>539</v>
      </c>
      <c r="E167" s="265">
        <v>121791</v>
      </c>
      <c r="F167" s="67">
        <v>92.230973116243845</v>
      </c>
      <c r="G167" s="264">
        <v>2778</v>
      </c>
      <c r="H167" s="61">
        <v>2.1037485800833018</v>
      </c>
      <c r="I167" s="264">
        <v>4513</v>
      </c>
      <c r="J167" s="67">
        <v>3.4176448315032184</v>
      </c>
      <c r="K167" s="264">
        <v>0</v>
      </c>
      <c r="L167" s="61">
        <v>0</v>
      </c>
      <c r="M167" s="267">
        <v>33</v>
      </c>
      <c r="N167" s="67">
        <v>2.4990533888678529E-2</v>
      </c>
      <c r="O167" s="264">
        <v>642</v>
      </c>
      <c r="P167" s="61">
        <v>0.48617947747065504</v>
      </c>
      <c r="Q167" s="264">
        <v>2198</v>
      </c>
      <c r="R167" s="67">
        <v>1.6645210147671337</v>
      </c>
      <c r="S167" s="264">
        <v>95</v>
      </c>
      <c r="T167" s="61">
        <v>7.1942446043165464E-2</v>
      </c>
      <c r="U167" s="264">
        <v>132050</v>
      </c>
      <c r="V167" s="312">
        <v>100.00000000000001</v>
      </c>
    </row>
    <row r="168" spans="1:22" x14ac:dyDescent="0.25">
      <c r="A168" s="461"/>
      <c r="B168" s="452"/>
      <c r="C168" s="143" t="s">
        <v>711</v>
      </c>
      <c r="D168" s="293" t="s">
        <v>535</v>
      </c>
      <c r="E168" s="273">
        <v>2339507</v>
      </c>
      <c r="F168" s="275">
        <v>78.288867152271479</v>
      </c>
      <c r="G168" s="274">
        <v>275224</v>
      </c>
      <c r="H168" s="72">
        <v>9.2100494561960122</v>
      </c>
      <c r="I168" s="274">
        <v>91738</v>
      </c>
      <c r="J168" s="275">
        <v>3.0699049392949371</v>
      </c>
      <c r="K168" s="274">
        <v>0</v>
      </c>
      <c r="L168" s="72">
        <v>0</v>
      </c>
      <c r="M168" s="274">
        <v>4530</v>
      </c>
      <c r="N168" s="275">
        <v>0.15159115497401365</v>
      </c>
      <c r="O168" s="274">
        <v>261721</v>
      </c>
      <c r="P168" s="72">
        <v>8.7581873445814189</v>
      </c>
      <c r="Q168" s="274">
        <v>10426</v>
      </c>
      <c r="R168" s="275">
        <v>0.34889390325807207</v>
      </c>
      <c r="S168" s="274">
        <v>5155</v>
      </c>
      <c r="T168" s="72">
        <v>0.17250604942407075</v>
      </c>
      <c r="U168" s="274">
        <v>2988301</v>
      </c>
      <c r="V168" s="323">
        <v>100.00000000000001</v>
      </c>
    </row>
    <row r="169" spans="1:22" x14ac:dyDescent="0.25">
      <c r="A169" s="461">
        <v>2012</v>
      </c>
      <c r="B169" s="447">
        <v>46</v>
      </c>
      <c r="C169" s="111"/>
      <c r="D169" s="262" t="s">
        <v>221</v>
      </c>
      <c r="E169" s="265">
        <v>2034905</v>
      </c>
      <c r="F169" s="67">
        <v>64.076541506375989</v>
      </c>
      <c r="G169" s="264">
        <v>470858</v>
      </c>
      <c r="H169" s="61">
        <v>14.826712883701788</v>
      </c>
      <c r="I169" s="264">
        <v>155594</v>
      </c>
      <c r="J169" s="67">
        <v>4.8994549618498491</v>
      </c>
      <c r="K169" s="264">
        <v>6958</v>
      </c>
      <c r="L169" s="61">
        <v>0.21909847182122219</v>
      </c>
      <c r="M169" s="264">
        <v>1428</v>
      </c>
      <c r="N169" s="67">
        <v>4.4965883552846406E-2</v>
      </c>
      <c r="O169" s="264">
        <v>331719</v>
      </c>
      <c r="P169" s="61">
        <v>10.445404710270768</v>
      </c>
      <c r="Q169" s="264">
        <v>22373</v>
      </c>
      <c r="R169" s="67">
        <v>0.70449699770856633</v>
      </c>
      <c r="S169" s="264">
        <v>151906</v>
      </c>
      <c r="T169" s="61">
        <v>4.7833245847189687</v>
      </c>
      <c r="U169" s="264">
        <v>3175741</v>
      </c>
      <c r="V169" s="312">
        <v>100</v>
      </c>
    </row>
    <row r="170" spans="1:22" x14ac:dyDescent="0.25">
      <c r="A170" s="461"/>
      <c r="B170" s="452"/>
      <c r="C170" s="143" t="s">
        <v>712</v>
      </c>
      <c r="D170" s="293" t="s">
        <v>535</v>
      </c>
      <c r="E170" s="294">
        <v>2034905</v>
      </c>
      <c r="F170" s="317">
        <v>64.076541506375989</v>
      </c>
      <c r="G170" s="296">
        <v>470858</v>
      </c>
      <c r="H170" s="297">
        <v>14.826712883701788</v>
      </c>
      <c r="I170" s="296">
        <v>155594</v>
      </c>
      <c r="J170" s="298">
        <v>4.8994549618498491</v>
      </c>
      <c r="K170" s="296">
        <v>6958</v>
      </c>
      <c r="L170" s="297">
        <v>0.21909847182122219</v>
      </c>
      <c r="M170" s="296">
        <v>1428</v>
      </c>
      <c r="N170" s="298">
        <v>4.4965883552846406E-2</v>
      </c>
      <c r="O170" s="296">
        <v>331719</v>
      </c>
      <c r="P170" s="297">
        <v>10.445404710270768</v>
      </c>
      <c r="Q170" s="296">
        <v>22373</v>
      </c>
      <c r="R170" s="298">
        <v>0.70449699770856633</v>
      </c>
      <c r="S170" s="296">
        <v>151906</v>
      </c>
      <c r="T170" s="297">
        <v>4.7833245847189687</v>
      </c>
      <c r="U170" s="296">
        <v>3175741</v>
      </c>
      <c r="V170" s="318">
        <v>100</v>
      </c>
    </row>
    <row r="171" spans="1:22" x14ac:dyDescent="0.25">
      <c r="A171" s="461">
        <v>2012</v>
      </c>
      <c r="B171" s="451">
        <v>47</v>
      </c>
      <c r="C171" s="111"/>
      <c r="D171" s="292" t="s">
        <v>197</v>
      </c>
      <c r="E171" s="265">
        <v>3556625</v>
      </c>
      <c r="F171" s="67">
        <v>58.517564359654592</v>
      </c>
      <c r="G171" s="264">
        <v>1173087</v>
      </c>
      <c r="H171" s="61">
        <v>19.300936708810777</v>
      </c>
      <c r="I171" s="264">
        <v>303460</v>
      </c>
      <c r="J171" s="67">
        <v>4.9928626381979493</v>
      </c>
      <c r="K171" s="264">
        <v>16473</v>
      </c>
      <c r="L171" s="61">
        <v>0.27103218295338699</v>
      </c>
      <c r="M171" s="264">
        <v>4508</v>
      </c>
      <c r="N171" s="67">
        <v>7.417064777234679E-2</v>
      </c>
      <c r="O171" s="264">
        <v>839837</v>
      </c>
      <c r="P171" s="61">
        <v>13.817935739393169</v>
      </c>
      <c r="Q171" s="264">
        <v>70587</v>
      </c>
      <c r="R171" s="67">
        <v>1.1613761123129198</v>
      </c>
      <c r="S171" s="264">
        <v>113299</v>
      </c>
      <c r="T171" s="61">
        <v>1.8641216109048624</v>
      </c>
      <c r="U171" s="264">
        <v>6077876</v>
      </c>
      <c r="V171" s="312">
        <v>100</v>
      </c>
    </row>
    <row r="172" spans="1:22" ht="15.75" thickBot="1" x14ac:dyDescent="0.3">
      <c r="A172" s="461"/>
      <c r="B172" s="453"/>
      <c r="C172" s="143" t="s">
        <v>456</v>
      </c>
      <c r="D172" s="300" t="s">
        <v>535</v>
      </c>
      <c r="E172" s="301">
        <v>3556625</v>
      </c>
      <c r="F172" s="335">
        <v>58.517564359654592</v>
      </c>
      <c r="G172" s="303">
        <v>1173087</v>
      </c>
      <c r="H172" s="304">
        <v>19.300936708810777</v>
      </c>
      <c r="I172" s="303">
        <v>303460</v>
      </c>
      <c r="J172" s="305">
        <v>4.9928626381979493</v>
      </c>
      <c r="K172" s="303">
        <v>16473</v>
      </c>
      <c r="L172" s="304">
        <v>0.27103218295338699</v>
      </c>
      <c r="M172" s="303">
        <v>4508</v>
      </c>
      <c r="N172" s="305">
        <v>7.417064777234679E-2</v>
      </c>
      <c r="O172" s="303">
        <v>839837</v>
      </c>
      <c r="P172" s="304">
        <v>13.817935739393169</v>
      </c>
      <c r="Q172" s="303">
        <v>70587</v>
      </c>
      <c r="R172" s="305">
        <v>1.1613761123129198</v>
      </c>
      <c r="S172" s="303">
        <v>113299</v>
      </c>
      <c r="T172" s="304">
        <v>1.8641216109048624</v>
      </c>
      <c r="U172" s="303">
        <v>6077876</v>
      </c>
      <c r="V172" s="329">
        <v>100</v>
      </c>
    </row>
    <row r="173" spans="1:22" s="340" customFormat="1" x14ac:dyDescent="0.25">
      <c r="A173" s="461">
        <v>2012</v>
      </c>
      <c r="B173" s="447">
        <v>48</v>
      </c>
      <c r="C173" s="111"/>
      <c r="D173" s="262" t="s">
        <v>538</v>
      </c>
      <c r="E173" s="337">
        <v>455071</v>
      </c>
      <c r="F173" s="67">
        <v>74.331893207451628</v>
      </c>
      <c r="G173" s="264">
        <v>42883</v>
      </c>
      <c r="H173" s="61">
        <v>7.0045653896098594</v>
      </c>
      <c r="I173" s="264">
        <v>4334</v>
      </c>
      <c r="J173" s="67">
        <v>0.70792123682039809</v>
      </c>
      <c r="K173" s="264">
        <v>472</v>
      </c>
      <c r="L173" s="61">
        <v>7.7097098241630801E-2</v>
      </c>
      <c r="M173" s="264">
        <v>5450</v>
      </c>
      <c r="N173" s="67">
        <v>0.89021013859510134</v>
      </c>
      <c r="O173" s="264">
        <v>47835</v>
      </c>
      <c r="P173" s="61">
        <v>7.8134315559076466</v>
      </c>
      <c r="Q173" s="264">
        <v>2587</v>
      </c>
      <c r="R173" s="67">
        <v>0.42256396854046374</v>
      </c>
      <c r="S173" s="264">
        <v>53583</v>
      </c>
      <c r="T173" s="61">
        <v>8.7523174048332688</v>
      </c>
      <c r="U173" s="264">
        <v>612215</v>
      </c>
      <c r="V173" s="312">
        <v>100</v>
      </c>
    </row>
    <row r="174" spans="1:22" s="340" customFormat="1" x14ac:dyDescent="0.25">
      <c r="A174" s="461"/>
      <c r="B174" s="447"/>
      <c r="C174" s="65"/>
      <c r="D174" s="262" t="s">
        <v>209</v>
      </c>
      <c r="E174" s="263">
        <v>145745</v>
      </c>
      <c r="F174" s="67">
        <v>89.282104373288576</v>
      </c>
      <c r="G174" s="264">
        <v>0</v>
      </c>
      <c r="H174" s="61">
        <v>0</v>
      </c>
      <c r="I174" s="264">
        <v>0</v>
      </c>
      <c r="J174" s="67">
        <v>0</v>
      </c>
      <c r="K174" s="264">
        <v>51</v>
      </c>
      <c r="L174" s="61">
        <v>3.1242151175256215E-2</v>
      </c>
      <c r="M174" s="264">
        <v>0</v>
      </c>
      <c r="N174" s="67">
        <v>0</v>
      </c>
      <c r="O174" s="264">
        <v>5814</v>
      </c>
      <c r="P174" s="61">
        <v>3.5616052339792086</v>
      </c>
      <c r="Q174" s="264">
        <v>638</v>
      </c>
      <c r="R174" s="67">
        <v>0.39083318529046013</v>
      </c>
      <c r="S174" s="264">
        <v>10993</v>
      </c>
      <c r="T174" s="61">
        <v>6.7342150562665015</v>
      </c>
      <c r="U174" s="264">
        <v>163241</v>
      </c>
      <c r="V174" s="312">
        <v>100.00000000000001</v>
      </c>
    </row>
    <row r="175" spans="1:22" s="340" customFormat="1" x14ac:dyDescent="0.25">
      <c r="A175" s="461"/>
      <c r="B175" s="447"/>
      <c r="C175" s="65"/>
      <c r="D175" s="262" t="s">
        <v>537</v>
      </c>
      <c r="E175" s="263">
        <v>349158</v>
      </c>
      <c r="F175" s="67">
        <v>89.319966130051398</v>
      </c>
      <c r="G175" s="264">
        <v>2146</v>
      </c>
      <c r="H175" s="61">
        <v>0.54897968058898916</v>
      </c>
      <c r="I175" s="264">
        <v>0</v>
      </c>
      <c r="J175" s="67">
        <v>0</v>
      </c>
      <c r="K175" s="264">
        <v>72</v>
      </c>
      <c r="L175" s="61">
        <v>1.8418703169807652E-2</v>
      </c>
      <c r="M175" s="264">
        <v>0</v>
      </c>
      <c r="N175" s="67">
        <v>0</v>
      </c>
      <c r="O175" s="264">
        <v>10554</v>
      </c>
      <c r="P175" s="61">
        <v>2.6998749063076382</v>
      </c>
      <c r="Q175" s="264">
        <v>1672</v>
      </c>
      <c r="R175" s="67">
        <v>0.42772321805442215</v>
      </c>
      <c r="S175" s="264">
        <v>27305</v>
      </c>
      <c r="T175" s="61">
        <v>6.9850373618277493</v>
      </c>
      <c r="U175" s="264">
        <v>390907</v>
      </c>
      <c r="V175" s="312">
        <v>100.00000000000001</v>
      </c>
    </row>
    <row r="176" spans="1:22" s="340" customFormat="1" x14ac:dyDescent="0.25">
      <c r="A176" s="461"/>
      <c r="B176" s="447"/>
      <c r="C176" s="65"/>
      <c r="D176" s="262" t="s">
        <v>217</v>
      </c>
      <c r="E176" s="264">
        <v>80848</v>
      </c>
      <c r="F176" s="67">
        <v>73.478810131874326</v>
      </c>
      <c r="G176" s="264">
        <v>4054</v>
      </c>
      <c r="H176" s="61">
        <v>3.684483181706641</v>
      </c>
      <c r="I176" s="264">
        <v>0</v>
      </c>
      <c r="J176" s="67">
        <v>0</v>
      </c>
      <c r="K176" s="264">
        <v>462</v>
      </c>
      <c r="L176" s="61">
        <v>0.41988930191131429</v>
      </c>
      <c r="M176" s="264">
        <v>0</v>
      </c>
      <c r="N176" s="67">
        <v>0</v>
      </c>
      <c r="O176" s="264">
        <v>9062</v>
      </c>
      <c r="P176" s="61">
        <v>8.23601050632106</v>
      </c>
      <c r="Q176" s="264">
        <v>392</v>
      </c>
      <c r="R176" s="67">
        <v>0.35626971071263031</v>
      </c>
      <c r="S176" s="264">
        <v>15211</v>
      </c>
      <c r="T176" s="61">
        <v>13.82453716747403</v>
      </c>
      <c r="U176" s="264">
        <v>110029</v>
      </c>
      <c r="V176" s="312">
        <v>100</v>
      </c>
    </row>
    <row r="177" spans="1:22" s="340" customFormat="1" x14ac:dyDescent="0.25">
      <c r="A177" s="461"/>
      <c r="B177" s="447"/>
      <c r="C177" s="65"/>
      <c r="D177" s="262" t="s">
        <v>536</v>
      </c>
      <c r="E177" s="264">
        <v>1506126</v>
      </c>
      <c r="F177" s="67">
        <v>69.109874130520467</v>
      </c>
      <c r="G177" s="264">
        <v>114421</v>
      </c>
      <c r="H177" s="61">
        <v>5.2503050261985269</v>
      </c>
      <c r="I177" s="264">
        <v>21403</v>
      </c>
      <c r="J177" s="67">
        <v>0.9820948818462264</v>
      </c>
      <c r="K177" s="264">
        <v>108733</v>
      </c>
      <c r="L177" s="61">
        <v>4.98930630228406</v>
      </c>
      <c r="M177" s="264">
        <v>47293</v>
      </c>
      <c r="N177" s="67">
        <v>2.1700795798324339</v>
      </c>
      <c r="O177" s="264">
        <v>82886</v>
      </c>
      <c r="P177" s="61">
        <v>3.8032946959167555</v>
      </c>
      <c r="Q177" s="264">
        <v>10196</v>
      </c>
      <c r="R177" s="67">
        <v>0.46785214293809863</v>
      </c>
      <c r="S177" s="264">
        <v>288263</v>
      </c>
      <c r="T177" s="61">
        <v>13.227193240463428</v>
      </c>
      <c r="U177" s="264">
        <v>2179321</v>
      </c>
      <c r="V177" s="312">
        <v>100</v>
      </c>
    </row>
    <row r="178" spans="1:22" s="340" customFormat="1" x14ac:dyDescent="0.25">
      <c r="A178" s="461"/>
      <c r="B178" s="447"/>
      <c r="C178" s="65"/>
      <c r="D178" s="262" t="s">
        <v>205</v>
      </c>
      <c r="E178" s="263">
        <v>416532</v>
      </c>
      <c r="F178" s="67">
        <v>88.247557224091324</v>
      </c>
      <c r="G178" s="264">
        <v>2165</v>
      </c>
      <c r="H178" s="61">
        <v>0.45868255353768184</v>
      </c>
      <c r="I178" s="264">
        <v>4515</v>
      </c>
      <c r="J178" s="67">
        <v>0.95655969017211728</v>
      </c>
      <c r="K178" s="264">
        <v>887</v>
      </c>
      <c r="L178" s="61">
        <v>0.1879221362530826</v>
      </c>
      <c r="M178" s="264">
        <v>0</v>
      </c>
      <c r="N178" s="67">
        <v>0</v>
      </c>
      <c r="O178" s="264">
        <v>7569</v>
      </c>
      <c r="P178" s="61">
        <v>1.6035881051855494</v>
      </c>
      <c r="Q178" s="264">
        <v>4689</v>
      </c>
      <c r="R178" s="67">
        <v>0.99342378454419877</v>
      </c>
      <c r="S178" s="264">
        <v>35647</v>
      </c>
      <c r="T178" s="61">
        <v>7.552266506216049</v>
      </c>
      <c r="U178" s="264">
        <v>472004</v>
      </c>
      <c r="V178" s="312">
        <v>100</v>
      </c>
    </row>
    <row r="179" spans="1:22" s="340" customFormat="1" x14ac:dyDescent="0.25">
      <c r="A179" s="461"/>
      <c r="B179" s="447"/>
      <c r="C179" s="65"/>
      <c r="D179" s="262" t="s">
        <v>133</v>
      </c>
      <c r="E179" s="263">
        <v>260579</v>
      </c>
      <c r="F179" s="67">
        <v>86.79485983798763</v>
      </c>
      <c r="G179" s="264">
        <v>2205</v>
      </c>
      <c r="H179" s="61">
        <v>0.73445160946493293</v>
      </c>
      <c r="I179" s="264">
        <v>370</v>
      </c>
      <c r="J179" s="67">
        <v>0.12324131315284588</v>
      </c>
      <c r="K179" s="264">
        <v>319</v>
      </c>
      <c r="L179" s="61">
        <v>0.10625399701556172</v>
      </c>
      <c r="M179" s="264">
        <v>0</v>
      </c>
      <c r="N179" s="67">
        <v>0</v>
      </c>
      <c r="O179" s="264">
        <v>6934</v>
      </c>
      <c r="P179" s="61">
        <v>2.3096088254103604</v>
      </c>
      <c r="Q179" s="264">
        <v>3593</v>
      </c>
      <c r="R179" s="67">
        <v>1.1967730761031763</v>
      </c>
      <c r="S179" s="264">
        <v>26224</v>
      </c>
      <c r="T179" s="61">
        <v>8.7348113408654857</v>
      </c>
      <c r="U179" s="264">
        <v>300224</v>
      </c>
      <c r="V179" s="312">
        <v>99.999999999999986</v>
      </c>
    </row>
    <row r="180" spans="1:22" s="340" customFormat="1" x14ac:dyDescent="0.25">
      <c r="A180" s="461"/>
      <c r="B180" s="447"/>
      <c r="C180" s="111"/>
      <c r="D180" s="262" t="s">
        <v>224</v>
      </c>
      <c r="E180" s="263">
        <v>833750</v>
      </c>
      <c r="F180" s="67">
        <v>87.300099786500866</v>
      </c>
      <c r="G180" s="264">
        <v>478</v>
      </c>
      <c r="H180" s="61">
        <v>5.0050312081496143E-2</v>
      </c>
      <c r="I180" s="264">
        <v>877</v>
      </c>
      <c r="J180" s="67">
        <v>9.182871065998352E-2</v>
      </c>
      <c r="K180" s="264">
        <v>636</v>
      </c>
      <c r="L180" s="61">
        <v>6.6594139087513701E-2</v>
      </c>
      <c r="M180" s="264">
        <v>0</v>
      </c>
      <c r="N180" s="67">
        <v>0</v>
      </c>
      <c r="O180" s="264">
        <v>78556</v>
      </c>
      <c r="P180" s="61">
        <v>8.2254232549665502</v>
      </c>
      <c r="Q180" s="264">
        <v>7609</v>
      </c>
      <c r="R180" s="67">
        <v>0.7967213904353645</v>
      </c>
      <c r="S180" s="264">
        <v>33133</v>
      </c>
      <c r="T180" s="61">
        <v>3.4692824062682259</v>
      </c>
      <c r="U180" s="264">
        <v>955039</v>
      </c>
      <c r="V180" s="312">
        <v>100</v>
      </c>
    </row>
    <row r="181" spans="1:22" s="340" customFormat="1" x14ac:dyDescent="0.25">
      <c r="A181" s="461"/>
      <c r="B181" s="447"/>
      <c r="C181" s="65"/>
      <c r="D181" s="269" t="s">
        <v>233</v>
      </c>
      <c r="E181" s="263">
        <v>188511</v>
      </c>
      <c r="F181" s="67">
        <v>87.183602114483662</v>
      </c>
      <c r="G181" s="264">
        <v>4681</v>
      </c>
      <c r="H181" s="61">
        <v>2.1648945764326641</v>
      </c>
      <c r="I181" s="264">
        <v>0</v>
      </c>
      <c r="J181" s="67">
        <v>0</v>
      </c>
      <c r="K181" s="264">
        <v>234</v>
      </c>
      <c r="L181" s="61">
        <v>0.10822160454715733</v>
      </c>
      <c r="M181" s="264">
        <v>0</v>
      </c>
      <c r="N181" s="67">
        <v>0</v>
      </c>
      <c r="O181" s="264">
        <v>406</v>
      </c>
      <c r="P181" s="61">
        <v>0.18776910874421315</v>
      </c>
      <c r="Q181" s="264">
        <v>2167</v>
      </c>
      <c r="R181" s="67">
        <v>1.0022060557849999</v>
      </c>
      <c r="S181" s="264">
        <v>20224</v>
      </c>
      <c r="T181" s="61">
        <v>9.3533065400073063</v>
      </c>
      <c r="U181" s="264">
        <v>216223</v>
      </c>
      <c r="V181" s="312">
        <v>100</v>
      </c>
    </row>
    <row r="182" spans="1:22" s="340" customFormat="1" x14ac:dyDescent="0.25">
      <c r="A182" s="461"/>
      <c r="B182" s="447"/>
      <c r="C182" s="65"/>
      <c r="D182" s="269" t="s">
        <v>334</v>
      </c>
      <c r="E182" s="263">
        <v>248643</v>
      </c>
      <c r="F182" s="67">
        <v>85.166879033252499</v>
      </c>
      <c r="G182" s="264">
        <v>110</v>
      </c>
      <c r="H182" s="61">
        <v>3.7677942647320752E-2</v>
      </c>
      <c r="I182" s="264">
        <v>12</v>
      </c>
      <c r="J182" s="67">
        <v>4.1103210160713544E-3</v>
      </c>
      <c r="K182" s="264">
        <v>170</v>
      </c>
      <c r="L182" s="61">
        <v>5.8229547727677529E-2</v>
      </c>
      <c r="M182" s="264">
        <v>0</v>
      </c>
      <c r="N182" s="67">
        <v>0</v>
      </c>
      <c r="O182" s="264">
        <v>18862</v>
      </c>
      <c r="P182" s="61">
        <v>6.4607395837614918</v>
      </c>
      <c r="Q182" s="264">
        <v>4630</v>
      </c>
      <c r="R182" s="67">
        <v>1.5858988587008644</v>
      </c>
      <c r="S182" s="264">
        <v>19521</v>
      </c>
      <c r="T182" s="61">
        <v>6.6864647128940771</v>
      </c>
      <c r="U182" s="264">
        <v>291948</v>
      </c>
      <c r="V182" s="312">
        <v>100</v>
      </c>
    </row>
    <row r="183" spans="1:22" s="340" customFormat="1" x14ac:dyDescent="0.25">
      <c r="A183" s="461"/>
      <c r="B183" s="447"/>
      <c r="C183" s="65"/>
      <c r="D183" s="269" t="s">
        <v>649</v>
      </c>
      <c r="E183" s="263">
        <v>147519</v>
      </c>
      <c r="F183" s="67">
        <v>89.588432131079841</v>
      </c>
      <c r="G183" s="264">
        <v>0</v>
      </c>
      <c r="H183" s="61">
        <v>0</v>
      </c>
      <c r="I183" s="264">
        <v>0</v>
      </c>
      <c r="J183" s="67">
        <v>0</v>
      </c>
      <c r="K183" s="264">
        <v>286</v>
      </c>
      <c r="L183" s="61">
        <v>0.17368807807461301</v>
      </c>
      <c r="M183" s="264">
        <v>0</v>
      </c>
      <c r="N183" s="67">
        <v>0</v>
      </c>
      <c r="O183" s="264">
        <v>581</v>
      </c>
      <c r="P183" s="61">
        <v>0.35284186489982572</v>
      </c>
      <c r="Q183" s="264">
        <v>60</v>
      </c>
      <c r="R183" s="67">
        <v>3.6438058337331401E-2</v>
      </c>
      <c r="S183" s="264">
        <v>16217</v>
      </c>
      <c r="T183" s="61">
        <v>9.848599867608387</v>
      </c>
      <c r="U183" s="264">
        <v>164663</v>
      </c>
      <c r="V183" s="312">
        <v>100</v>
      </c>
    </row>
    <row r="184" spans="1:22" s="340" customFormat="1" x14ac:dyDescent="0.25">
      <c r="A184" s="461"/>
      <c r="B184" s="447"/>
      <c r="C184" s="65"/>
      <c r="D184" s="269" t="s">
        <v>650</v>
      </c>
      <c r="E184" s="263">
        <v>222894</v>
      </c>
      <c r="F184" s="67">
        <v>86.908410340390688</v>
      </c>
      <c r="G184" s="264">
        <v>10612</v>
      </c>
      <c r="H184" s="61">
        <v>4.1377159121924594</v>
      </c>
      <c r="I184" s="264">
        <v>382</v>
      </c>
      <c r="J184" s="67">
        <v>0.14894529574609117</v>
      </c>
      <c r="K184" s="264">
        <v>3457</v>
      </c>
      <c r="L184" s="61">
        <v>1.3479159355870083</v>
      </c>
      <c r="M184" s="264">
        <v>0</v>
      </c>
      <c r="N184" s="67">
        <v>0</v>
      </c>
      <c r="O184" s="264">
        <v>2522</v>
      </c>
      <c r="P184" s="61">
        <v>0.98335087924513598</v>
      </c>
      <c r="Q184" s="264">
        <v>4850</v>
      </c>
      <c r="R184" s="67">
        <v>1.8910593831637228</v>
      </c>
      <c r="S184" s="264">
        <v>11753</v>
      </c>
      <c r="T184" s="61">
        <v>4.582602253674894</v>
      </c>
      <c r="U184" s="264">
        <v>256470</v>
      </c>
      <c r="V184" s="312">
        <v>100</v>
      </c>
    </row>
    <row r="185" spans="1:22" s="340" customFormat="1" x14ac:dyDescent="0.25">
      <c r="A185" s="461"/>
      <c r="B185" s="447"/>
      <c r="C185" s="65"/>
      <c r="D185" s="269" t="s">
        <v>656</v>
      </c>
      <c r="E185" s="263">
        <v>365096</v>
      </c>
      <c r="F185" s="67">
        <v>76.967477669489469</v>
      </c>
      <c r="G185" s="264">
        <v>1653</v>
      </c>
      <c r="H185" s="61">
        <v>0.34847612843653747</v>
      </c>
      <c r="I185" s="264">
        <v>5426</v>
      </c>
      <c r="J185" s="67">
        <v>1.1438786889876906</v>
      </c>
      <c r="K185" s="264">
        <v>628</v>
      </c>
      <c r="L185" s="61">
        <v>0.1323914147962163</v>
      </c>
      <c r="M185" s="264">
        <v>0</v>
      </c>
      <c r="N185" s="67">
        <v>0</v>
      </c>
      <c r="O185" s="264">
        <v>13904</v>
      </c>
      <c r="P185" s="61">
        <v>2.9311627887366107</v>
      </c>
      <c r="Q185" s="264">
        <v>920</v>
      </c>
      <c r="R185" s="67">
        <v>0.19394920638936147</v>
      </c>
      <c r="S185" s="264">
        <v>86724</v>
      </c>
      <c r="T185" s="61">
        <v>18.282664103164112</v>
      </c>
      <c r="U185" s="264">
        <v>474351</v>
      </c>
      <c r="V185" s="312">
        <v>99.999999999999986</v>
      </c>
    </row>
    <row r="186" spans="1:22" s="340" customFormat="1" ht="15.75" thickBot="1" x14ac:dyDescent="0.3">
      <c r="A186" s="461"/>
      <c r="B186" s="453"/>
      <c r="C186" s="143" t="s">
        <v>457</v>
      </c>
      <c r="D186" s="300" t="s">
        <v>535</v>
      </c>
      <c r="E186" s="303">
        <v>5220472</v>
      </c>
      <c r="F186" s="335">
        <v>79.258559188417152</v>
      </c>
      <c r="G186" s="303">
        <v>185408</v>
      </c>
      <c r="H186" s="304">
        <v>2.8149123186574023</v>
      </c>
      <c r="I186" s="303">
        <v>37319</v>
      </c>
      <c r="J186" s="305">
        <v>0.56658673207183941</v>
      </c>
      <c r="K186" s="303">
        <v>116407</v>
      </c>
      <c r="L186" s="304">
        <v>1.7673212497732151</v>
      </c>
      <c r="M186" s="303">
        <v>52743</v>
      </c>
      <c r="N186" s="305">
        <v>0.80075789838058431</v>
      </c>
      <c r="O186" s="303">
        <v>285485</v>
      </c>
      <c r="P186" s="304">
        <v>4.3343072752627103</v>
      </c>
      <c r="Q186" s="303">
        <v>44003</v>
      </c>
      <c r="R186" s="305">
        <v>0.66806495274142264</v>
      </c>
      <c r="S186" s="303">
        <v>644798</v>
      </c>
      <c r="T186" s="304">
        <v>9.7894903846956751</v>
      </c>
      <c r="U186" s="341">
        <v>6586635</v>
      </c>
      <c r="V186" s="329">
        <v>100</v>
      </c>
    </row>
    <row r="187" spans="1:22" s="340" customFormat="1" x14ac:dyDescent="0.25">
      <c r="A187" s="461">
        <v>2012</v>
      </c>
      <c r="B187" s="456">
        <v>49</v>
      </c>
      <c r="C187" s="111"/>
      <c r="D187" s="245" t="s">
        <v>789</v>
      </c>
      <c r="E187" s="264">
        <v>743747</v>
      </c>
      <c r="F187" s="67">
        <v>84.413298255092059</v>
      </c>
      <c r="G187" s="264">
        <v>109114</v>
      </c>
      <c r="H187" s="61">
        <v>12.384147601006948</v>
      </c>
      <c r="I187" s="264">
        <v>6165</v>
      </c>
      <c r="J187" s="67">
        <v>0.6997110357993277</v>
      </c>
      <c r="K187" s="264">
        <v>0</v>
      </c>
      <c r="L187" s="61">
        <v>0</v>
      </c>
      <c r="M187" s="264">
        <v>213</v>
      </c>
      <c r="N187" s="67">
        <v>2.4174931163869713E-2</v>
      </c>
      <c r="O187" s="264">
        <v>1407</v>
      </c>
      <c r="P187" s="61">
        <v>0.15969074247682952</v>
      </c>
      <c r="Q187" s="264">
        <v>0</v>
      </c>
      <c r="R187" s="67">
        <v>0</v>
      </c>
      <c r="S187" s="264">
        <v>20432</v>
      </c>
      <c r="T187" s="61">
        <v>2.318977434460967</v>
      </c>
      <c r="U187" s="264">
        <v>881078</v>
      </c>
      <c r="V187" s="312">
        <v>99.999999999999986</v>
      </c>
    </row>
    <row r="188" spans="1:22" s="340" customFormat="1" ht="15.75" thickBot="1" x14ac:dyDescent="0.3">
      <c r="A188" s="461"/>
      <c r="B188" s="457"/>
      <c r="C188" s="43" t="s">
        <v>714</v>
      </c>
      <c r="D188" s="167" t="s">
        <v>535</v>
      </c>
      <c r="E188" s="296">
        <v>743747</v>
      </c>
      <c r="F188" s="317">
        <v>84.413298255092059</v>
      </c>
      <c r="G188" s="296">
        <v>109114</v>
      </c>
      <c r="H188" s="297">
        <v>12.384147601006948</v>
      </c>
      <c r="I188" s="296">
        <v>6165</v>
      </c>
      <c r="J188" s="298">
        <v>0.6997110357993277</v>
      </c>
      <c r="K188" s="296">
        <v>0</v>
      </c>
      <c r="L188" s="297">
        <v>0</v>
      </c>
      <c r="M188" s="296">
        <v>213</v>
      </c>
      <c r="N188" s="298">
        <v>2.4174931163869713E-2</v>
      </c>
      <c r="O188" s="296">
        <v>1407</v>
      </c>
      <c r="P188" s="297">
        <v>0.15969074247682952</v>
      </c>
      <c r="Q188" s="296">
        <v>0</v>
      </c>
      <c r="R188" s="298">
        <v>0</v>
      </c>
      <c r="S188" s="296">
        <v>20432</v>
      </c>
      <c r="T188" s="297">
        <v>2.318977434460967</v>
      </c>
      <c r="U188" s="296">
        <v>881078</v>
      </c>
      <c r="V188" s="318">
        <v>99.999999999999986</v>
      </c>
    </row>
    <row r="189" spans="1:22" x14ac:dyDescent="0.25">
      <c r="A189" s="461">
        <v>2012</v>
      </c>
      <c r="B189" s="446">
        <v>50</v>
      </c>
      <c r="C189" s="111"/>
      <c r="D189" s="124" t="s">
        <v>778</v>
      </c>
      <c r="E189" s="264">
        <v>1894466</v>
      </c>
      <c r="F189" s="67">
        <v>80.722402839502493</v>
      </c>
      <c r="G189" s="264">
        <v>163009</v>
      </c>
      <c r="H189" s="61">
        <v>6.9457452202702301</v>
      </c>
      <c r="I189" s="264">
        <v>152700</v>
      </c>
      <c r="J189" s="67">
        <v>6.5064830477781239</v>
      </c>
      <c r="K189" s="264">
        <v>0</v>
      </c>
      <c r="L189" s="61">
        <v>0</v>
      </c>
      <c r="M189" s="264">
        <v>2706</v>
      </c>
      <c r="N189" s="67">
        <v>0.11530152670129405</v>
      </c>
      <c r="O189" s="264">
        <v>121546</v>
      </c>
      <c r="P189" s="61">
        <v>5.179024155371577</v>
      </c>
      <c r="Q189" s="264">
        <v>12374</v>
      </c>
      <c r="R189" s="67">
        <v>0.52725095765033725</v>
      </c>
      <c r="S189" s="264">
        <v>89</v>
      </c>
      <c r="T189" s="61">
        <v>3.7922527259479566E-3</v>
      </c>
      <c r="U189" s="264">
        <v>2346890</v>
      </c>
      <c r="V189" s="312">
        <v>99.999999999999986</v>
      </c>
    </row>
    <row r="190" spans="1:22" x14ac:dyDescent="0.25">
      <c r="A190" s="461"/>
      <c r="B190" s="452"/>
      <c r="C190" s="143" t="s">
        <v>713</v>
      </c>
      <c r="D190" s="293" t="s">
        <v>535</v>
      </c>
      <c r="E190" s="296">
        <v>1894466</v>
      </c>
      <c r="F190" s="317">
        <v>80.722402839502493</v>
      </c>
      <c r="G190" s="296">
        <v>163009</v>
      </c>
      <c r="H190" s="297">
        <v>6.9457452202702301</v>
      </c>
      <c r="I190" s="296">
        <v>152700</v>
      </c>
      <c r="J190" s="298">
        <v>6.5064830477781239</v>
      </c>
      <c r="K190" s="296">
        <v>0</v>
      </c>
      <c r="L190" s="297">
        <v>0</v>
      </c>
      <c r="M190" s="296">
        <v>2706</v>
      </c>
      <c r="N190" s="298">
        <v>0.11530152670129405</v>
      </c>
      <c r="O190" s="296">
        <v>121546</v>
      </c>
      <c r="P190" s="297">
        <v>5.179024155371577</v>
      </c>
      <c r="Q190" s="296">
        <v>12374</v>
      </c>
      <c r="R190" s="298">
        <v>0.52725095765033725</v>
      </c>
      <c r="S190" s="296">
        <v>89</v>
      </c>
      <c r="T190" s="297">
        <v>3.7922527259479566E-3</v>
      </c>
      <c r="U190" s="296">
        <v>2346890</v>
      </c>
      <c r="V190" s="318">
        <v>99.999999999999986</v>
      </c>
    </row>
    <row r="191" spans="1:22" x14ac:dyDescent="0.25">
      <c r="A191" s="461">
        <v>2012</v>
      </c>
      <c r="B191" s="447">
        <v>51</v>
      </c>
      <c r="C191" s="143" t="s">
        <v>715</v>
      </c>
      <c r="D191" s="62" t="s">
        <v>351</v>
      </c>
      <c r="E191" s="264">
        <v>3039893</v>
      </c>
      <c r="F191" s="67">
        <v>74.437687952595226</v>
      </c>
      <c r="G191" s="264">
        <v>252685</v>
      </c>
      <c r="H191" s="61">
        <v>6.1874833029654424</v>
      </c>
      <c r="I191" s="264">
        <v>103843</v>
      </c>
      <c r="J191" s="67">
        <v>2.5427976675696637</v>
      </c>
      <c r="K191" s="264">
        <v>0</v>
      </c>
      <c r="L191" s="61">
        <v>0</v>
      </c>
      <c r="M191" s="264">
        <v>3352</v>
      </c>
      <c r="N191" s="67">
        <v>8.208023440861216E-2</v>
      </c>
      <c r="O191" s="264">
        <v>313337</v>
      </c>
      <c r="P191" s="61">
        <v>7.6726653964472868</v>
      </c>
      <c r="Q191" s="264">
        <v>19539</v>
      </c>
      <c r="R191" s="67">
        <v>0.47845038786094063</v>
      </c>
      <c r="S191" s="264">
        <v>351160</v>
      </c>
      <c r="T191" s="61">
        <v>8.598835058152817</v>
      </c>
      <c r="U191" s="264">
        <v>4083809</v>
      </c>
      <c r="V191" s="312">
        <v>99.999999999999986</v>
      </c>
    </row>
    <row r="192" spans="1:22" x14ac:dyDescent="0.25">
      <c r="A192" s="461"/>
      <c r="B192" s="452"/>
      <c r="C192" s="13"/>
      <c r="D192" s="145" t="s">
        <v>535</v>
      </c>
      <c r="E192" s="296">
        <v>3039893</v>
      </c>
      <c r="F192" s="317">
        <v>74.437687952595226</v>
      </c>
      <c r="G192" s="296">
        <v>252685</v>
      </c>
      <c r="H192" s="297">
        <v>6.1874833029654424</v>
      </c>
      <c r="I192" s="296">
        <v>103843</v>
      </c>
      <c r="J192" s="298">
        <v>2.5427976675696637</v>
      </c>
      <c r="K192" s="296">
        <v>0</v>
      </c>
      <c r="L192" s="297">
        <v>0</v>
      </c>
      <c r="M192" s="296">
        <v>3352</v>
      </c>
      <c r="N192" s="298">
        <v>8.208023440861216E-2</v>
      </c>
      <c r="O192" s="296">
        <v>313337</v>
      </c>
      <c r="P192" s="297">
        <v>7.6726653964472868</v>
      </c>
      <c r="Q192" s="296">
        <v>19539</v>
      </c>
      <c r="R192" s="298">
        <v>0.47845038786094063</v>
      </c>
      <c r="S192" s="296">
        <v>351160</v>
      </c>
      <c r="T192" s="297">
        <v>8.598835058152817</v>
      </c>
      <c r="U192" s="296">
        <v>4083809</v>
      </c>
      <c r="V192" s="318">
        <v>99.999999999999986</v>
      </c>
    </row>
    <row r="193" spans="1:22" x14ac:dyDescent="0.25">
      <c r="A193" s="461">
        <v>2012</v>
      </c>
      <c r="B193" s="451">
        <v>52</v>
      </c>
      <c r="C193" s="111"/>
      <c r="D193" s="149" t="s">
        <v>60</v>
      </c>
      <c r="E193" s="264">
        <v>2890753</v>
      </c>
      <c r="F193" s="67">
        <v>81.034487591777776</v>
      </c>
      <c r="G193" s="264">
        <v>116393</v>
      </c>
      <c r="H193" s="61">
        <v>3.2627647932112471</v>
      </c>
      <c r="I193" s="264">
        <v>75299</v>
      </c>
      <c r="J193" s="67">
        <v>2.1108049982732098</v>
      </c>
      <c r="K193" s="264">
        <v>21808</v>
      </c>
      <c r="L193" s="61">
        <v>0.6113286418457371</v>
      </c>
      <c r="M193" s="264">
        <v>6022</v>
      </c>
      <c r="N193" s="67">
        <v>0.16881057782442355</v>
      </c>
      <c r="O193" s="264">
        <v>230629</v>
      </c>
      <c r="P193" s="61">
        <v>6.4650638912436023</v>
      </c>
      <c r="Q193" s="264">
        <v>9408</v>
      </c>
      <c r="R193" s="67">
        <v>0.26372798342281245</v>
      </c>
      <c r="S193" s="264">
        <v>217000</v>
      </c>
      <c r="T193" s="61">
        <v>6.0830115224011809</v>
      </c>
      <c r="U193" s="264">
        <v>3567312</v>
      </c>
      <c r="V193" s="312">
        <v>99.999999999999972</v>
      </c>
    </row>
    <row r="194" spans="1:22" ht="15.75" thickBot="1" x14ac:dyDescent="0.3">
      <c r="A194" s="461"/>
      <c r="B194" s="458"/>
      <c r="C194" s="143" t="s">
        <v>458</v>
      </c>
      <c r="D194" s="167" t="s">
        <v>535</v>
      </c>
      <c r="E194" s="296">
        <v>2890753</v>
      </c>
      <c r="F194" s="317">
        <v>81.034487591777776</v>
      </c>
      <c r="G194" s="296">
        <v>116393</v>
      </c>
      <c r="H194" s="297">
        <v>3.2627647932112471</v>
      </c>
      <c r="I194" s="296">
        <v>75299</v>
      </c>
      <c r="J194" s="298">
        <v>2.1108049982732098</v>
      </c>
      <c r="K194" s="296">
        <v>21808</v>
      </c>
      <c r="L194" s="297">
        <v>0.6113286418457371</v>
      </c>
      <c r="M194" s="296">
        <v>6022</v>
      </c>
      <c r="N194" s="298">
        <v>0.16881057782442355</v>
      </c>
      <c r="O194" s="296">
        <v>230629</v>
      </c>
      <c r="P194" s="297">
        <v>6.4650638912436023</v>
      </c>
      <c r="Q194" s="296">
        <v>9408</v>
      </c>
      <c r="R194" s="298">
        <v>0.26372798342281245</v>
      </c>
      <c r="S194" s="296">
        <v>217000</v>
      </c>
      <c r="T194" s="297">
        <v>6.0830115224011809</v>
      </c>
      <c r="U194" s="296">
        <v>3567312</v>
      </c>
      <c r="V194" s="318">
        <v>99.999999999999972</v>
      </c>
    </row>
    <row r="195" spans="1:22" ht="15.75" thickBot="1" x14ac:dyDescent="0.3">
      <c r="A195" s="464"/>
      <c r="B195" s="459"/>
      <c r="C195" s="342" t="s">
        <v>164</v>
      </c>
      <c r="D195" s="249"/>
      <c r="E195" s="343">
        <v>290301458</v>
      </c>
      <c r="F195" s="344">
        <v>72.607428666573455</v>
      </c>
      <c r="G195" s="343">
        <v>23920548</v>
      </c>
      <c r="H195" s="345">
        <v>5.9827790550585043</v>
      </c>
      <c r="I195" s="343">
        <v>15308856</v>
      </c>
      <c r="J195" s="346">
        <v>3.8289048826852428</v>
      </c>
      <c r="K195" s="343">
        <v>5115484</v>
      </c>
      <c r="L195" s="345">
        <v>1.2794360117371433</v>
      </c>
      <c r="M195" s="343">
        <v>1484091</v>
      </c>
      <c r="N195" s="346">
        <v>0.37118666974522618</v>
      </c>
      <c r="O195" s="343">
        <v>32406148</v>
      </c>
      <c r="P195" s="345">
        <v>8.1051163004094242</v>
      </c>
      <c r="Q195" s="343">
        <v>3989685</v>
      </c>
      <c r="R195" s="346">
        <v>0.99786191580063677</v>
      </c>
      <c r="S195" s="343">
        <v>27297086</v>
      </c>
      <c r="T195" s="345">
        <v>6.8272864979903769</v>
      </c>
      <c r="U195" s="343">
        <v>399823356</v>
      </c>
      <c r="V195" s="347">
        <v>100</v>
      </c>
    </row>
  </sheetData>
  <mergeCells count="20">
    <mergeCell ref="B3:V3"/>
    <mergeCell ref="C6:C8"/>
    <mergeCell ref="E6:F6"/>
    <mergeCell ref="G6:H6"/>
    <mergeCell ref="I6:J6"/>
    <mergeCell ref="K6:L7"/>
    <mergeCell ref="M6:N6"/>
    <mergeCell ref="O6:P6"/>
    <mergeCell ref="Q6:R7"/>
    <mergeCell ref="S6:T6"/>
    <mergeCell ref="C33:C34"/>
    <mergeCell ref="C98:C99"/>
    <mergeCell ref="U6:V6"/>
    <mergeCell ref="E7:F7"/>
    <mergeCell ref="G7:H7"/>
    <mergeCell ref="I7:J7"/>
    <mergeCell ref="M7:N7"/>
    <mergeCell ref="O7:P7"/>
    <mergeCell ref="S7:T7"/>
    <mergeCell ref="U7:V7"/>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4"/>
  <dimension ref="A1:BL77"/>
  <sheetViews>
    <sheetView rightToLeft="1" workbookViewId="0">
      <pane xSplit="4" ySplit="4" topLeftCell="E5" activePane="bottomRight" state="frozen"/>
      <selection pane="topRight" activeCell="E1" sqref="E1"/>
      <selection pane="bottomLeft" activeCell="A5" sqref="A5"/>
      <selection pane="bottomRight" activeCell="AX2" sqref="AX2"/>
    </sheetView>
  </sheetViews>
  <sheetFormatPr defaultRowHeight="12.75" x14ac:dyDescent="0.2"/>
  <cols>
    <col min="1" max="1" width="8.28515625" style="98" customWidth="1"/>
    <col min="2" max="2" width="33" style="98" customWidth="1"/>
    <col min="3" max="3" width="8.42578125" style="98" customWidth="1"/>
    <col min="4" max="4" width="4.42578125" style="98" customWidth="1"/>
    <col min="5" max="5" width="12.85546875" style="98" bestFit="1" customWidth="1"/>
    <col min="6" max="6" width="19.42578125" style="98" customWidth="1"/>
    <col min="7" max="7" width="15.5703125" style="98" customWidth="1"/>
    <col min="8" max="8" width="15.140625" style="98" customWidth="1"/>
    <col min="9" max="9" width="14.28515625" style="98" customWidth="1"/>
    <col min="10" max="10" width="14.85546875" style="98" bestFit="1" customWidth="1"/>
    <col min="11" max="48" width="14.28515625" style="98" customWidth="1"/>
    <col min="49" max="16384" width="9.140625" style="98"/>
  </cols>
  <sheetData>
    <row r="1" spans="1:64" x14ac:dyDescent="0.2">
      <c r="E1" s="1216">
        <f>1+D1</f>
        <v>1</v>
      </c>
      <c r="F1" s="1216">
        <f t="shared" ref="F1:BG1" si="0">1+E1</f>
        <v>2</v>
      </c>
      <c r="G1" s="1216">
        <f t="shared" si="0"/>
        <v>3</v>
      </c>
      <c r="H1" s="1216">
        <f t="shared" si="0"/>
        <v>4</v>
      </c>
      <c r="I1" s="1216">
        <f t="shared" si="0"/>
        <v>5</v>
      </c>
      <c r="J1" s="1216">
        <f t="shared" si="0"/>
        <v>6</v>
      </c>
      <c r="K1" s="1216">
        <f t="shared" si="0"/>
        <v>7</v>
      </c>
      <c r="L1" s="1216">
        <f t="shared" si="0"/>
        <v>8</v>
      </c>
      <c r="M1" s="1216">
        <f t="shared" si="0"/>
        <v>9</v>
      </c>
      <c r="N1" s="1216">
        <f t="shared" si="0"/>
        <v>10</v>
      </c>
      <c r="O1" s="1216">
        <f t="shared" si="0"/>
        <v>11</v>
      </c>
      <c r="P1" s="1216">
        <f t="shared" si="0"/>
        <v>12</v>
      </c>
      <c r="Q1" s="1216">
        <f t="shared" si="0"/>
        <v>13</v>
      </c>
      <c r="R1" s="1216">
        <f t="shared" si="0"/>
        <v>14</v>
      </c>
      <c r="S1" s="1216">
        <f t="shared" si="0"/>
        <v>15</v>
      </c>
      <c r="T1" s="1216">
        <f t="shared" si="0"/>
        <v>16</v>
      </c>
      <c r="U1" s="1216">
        <f t="shared" si="0"/>
        <v>17</v>
      </c>
      <c r="V1" s="1216">
        <f t="shared" si="0"/>
        <v>18</v>
      </c>
      <c r="W1" s="1216">
        <f t="shared" si="0"/>
        <v>19</v>
      </c>
      <c r="X1" s="1216">
        <f t="shared" si="0"/>
        <v>20</v>
      </c>
      <c r="Y1" s="1216">
        <f t="shared" si="0"/>
        <v>21</v>
      </c>
      <c r="Z1" s="1216">
        <f t="shared" si="0"/>
        <v>22</v>
      </c>
      <c r="AA1" s="1216">
        <f t="shared" si="0"/>
        <v>23</v>
      </c>
      <c r="AB1" s="1216">
        <f t="shared" si="0"/>
        <v>24</v>
      </c>
      <c r="AC1" s="1216">
        <f t="shared" si="0"/>
        <v>25</v>
      </c>
      <c r="AD1" s="1216">
        <f t="shared" si="0"/>
        <v>26</v>
      </c>
      <c r="AE1" s="1216">
        <f t="shared" si="0"/>
        <v>27</v>
      </c>
      <c r="AF1" s="1216">
        <f t="shared" si="0"/>
        <v>28</v>
      </c>
      <c r="AG1" s="1216">
        <f t="shared" si="0"/>
        <v>29</v>
      </c>
      <c r="AH1" s="1216">
        <f t="shared" si="0"/>
        <v>30</v>
      </c>
      <c r="AI1" s="1216">
        <f t="shared" si="0"/>
        <v>31</v>
      </c>
      <c r="AJ1" s="1216">
        <f t="shared" si="0"/>
        <v>32</v>
      </c>
      <c r="AK1" s="1216">
        <f t="shared" si="0"/>
        <v>33</v>
      </c>
      <c r="AL1" s="1216">
        <f t="shared" si="0"/>
        <v>34</v>
      </c>
      <c r="AM1" s="1216">
        <f t="shared" si="0"/>
        <v>35</v>
      </c>
      <c r="AN1" s="1216">
        <f t="shared" si="0"/>
        <v>36</v>
      </c>
      <c r="AO1" s="1216">
        <f t="shared" si="0"/>
        <v>37</v>
      </c>
      <c r="AP1" s="1216">
        <f t="shared" si="0"/>
        <v>38</v>
      </c>
      <c r="AQ1" s="1216">
        <f t="shared" si="0"/>
        <v>39</v>
      </c>
      <c r="AR1" s="1216">
        <f t="shared" si="0"/>
        <v>40</v>
      </c>
      <c r="AS1" s="1216">
        <f t="shared" si="0"/>
        <v>41</v>
      </c>
      <c r="AT1" s="1216">
        <f t="shared" si="0"/>
        <v>42</v>
      </c>
      <c r="AU1" s="1216">
        <f t="shared" si="0"/>
        <v>43</v>
      </c>
      <c r="AV1" s="1216">
        <f t="shared" si="0"/>
        <v>44</v>
      </c>
      <c r="AW1" s="1216">
        <f t="shared" si="0"/>
        <v>45</v>
      </c>
      <c r="AX1" s="1216">
        <f t="shared" si="0"/>
        <v>46</v>
      </c>
      <c r="AY1" s="1216">
        <f t="shared" si="0"/>
        <v>47</v>
      </c>
      <c r="AZ1" s="1216">
        <f t="shared" si="0"/>
        <v>48</v>
      </c>
      <c r="BA1" s="1216">
        <f t="shared" si="0"/>
        <v>49</v>
      </c>
      <c r="BB1" s="1216">
        <f t="shared" si="0"/>
        <v>50</v>
      </c>
      <c r="BC1" s="1216">
        <f t="shared" si="0"/>
        <v>51</v>
      </c>
      <c r="BD1" s="1216">
        <f t="shared" si="0"/>
        <v>52</v>
      </c>
      <c r="BE1" s="1216">
        <f t="shared" si="0"/>
        <v>53</v>
      </c>
      <c r="BF1" s="1216">
        <f t="shared" si="0"/>
        <v>54</v>
      </c>
      <c r="BG1" s="1216">
        <f t="shared" si="0"/>
        <v>55</v>
      </c>
      <c r="BK1" s="39"/>
      <c r="BL1" s="39"/>
    </row>
    <row r="2" spans="1:64" s="85" customFormat="1" ht="15.75" x14ac:dyDescent="0.25">
      <c r="A2" s="84"/>
      <c r="B2" s="84"/>
      <c r="C2" s="84"/>
      <c r="D2" s="84"/>
      <c r="E2" s="620" t="s">
        <v>452</v>
      </c>
      <c r="F2" s="620" t="s">
        <v>453</v>
      </c>
      <c r="G2" s="620" t="s">
        <v>441</v>
      </c>
      <c r="H2" s="620" t="s">
        <v>687</v>
      </c>
      <c r="I2" s="620" t="s">
        <v>255</v>
      </c>
      <c r="J2" s="620" t="s">
        <v>446</v>
      </c>
      <c r="K2" s="620" t="s">
        <v>449</v>
      </c>
      <c r="L2" s="620" t="s">
        <v>266</v>
      </c>
      <c r="M2" s="620" t="s">
        <v>529</v>
      </c>
      <c r="N2" s="620" t="s">
        <v>254</v>
      </c>
      <c r="O2" s="620" t="s">
        <v>445</v>
      </c>
      <c r="P2" s="620" t="s">
        <v>256</v>
      </c>
      <c r="Q2" s="620" t="s">
        <v>262</v>
      </c>
      <c r="R2" s="620" t="s">
        <v>456</v>
      </c>
      <c r="S2" s="620" t="s">
        <v>264</v>
      </c>
      <c r="T2" s="620" t="s">
        <v>448</v>
      </c>
      <c r="U2" s="620" t="s">
        <v>658</v>
      </c>
      <c r="V2" s="620" t="s">
        <v>443</v>
      </c>
      <c r="W2" s="620" t="s">
        <v>531</v>
      </c>
      <c r="X2" s="620" t="s">
        <v>267</v>
      </c>
      <c r="Y2" s="620" t="s">
        <v>270</v>
      </c>
      <c r="Z2" s="620" t="s">
        <v>442</v>
      </c>
      <c r="AA2" s="620" t="s">
        <v>530</v>
      </c>
      <c r="AB2" s="620" t="s">
        <v>447</v>
      </c>
      <c r="AC2" s="620" t="s">
        <v>454</v>
      </c>
      <c r="AD2" s="620" t="s">
        <v>455</v>
      </c>
      <c r="AE2" s="620" t="s">
        <v>271</v>
      </c>
      <c r="AF2" s="620" t="s">
        <v>258</v>
      </c>
      <c r="AG2" s="620" t="s">
        <v>458</v>
      </c>
      <c r="AH2" s="620" t="s">
        <v>263</v>
      </c>
      <c r="AI2" s="620" t="s">
        <v>261</v>
      </c>
      <c r="AJ2" s="620" t="s">
        <v>659</v>
      </c>
      <c r="AK2" s="620" t="s">
        <v>439</v>
      </c>
      <c r="AL2" s="620" t="s">
        <v>440</v>
      </c>
      <c r="AM2" s="620" t="s">
        <v>450</v>
      </c>
      <c r="AN2" s="620" t="s">
        <v>828</v>
      </c>
      <c r="AO2" s="620" t="s">
        <v>268</v>
      </c>
      <c r="AP2" s="620" t="s">
        <v>444</v>
      </c>
      <c r="AQ2" s="620" t="s">
        <v>691</v>
      </c>
      <c r="AR2" s="620" t="s">
        <v>252</v>
      </c>
      <c r="AS2" s="620" t="s">
        <v>253</v>
      </c>
      <c r="AT2" s="620" t="s">
        <v>457</v>
      </c>
      <c r="AU2" s="620" t="s">
        <v>259</v>
      </c>
      <c r="AV2" s="620" t="s">
        <v>272</v>
      </c>
      <c r="AW2" s="602" t="s">
        <v>661</v>
      </c>
      <c r="AX2" s="602" t="s">
        <v>265</v>
      </c>
      <c r="AY2" s="602" t="s">
        <v>681</v>
      </c>
      <c r="AZ2" s="602" t="s">
        <v>578</v>
      </c>
      <c r="BA2" s="602" t="s">
        <v>281</v>
      </c>
      <c r="BB2" s="602" t="s">
        <v>269</v>
      </c>
      <c r="BC2" s="602" t="s">
        <v>275</v>
      </c>
      <c r="BD2" s="602" t="s">
        <v>257</v>
      </c>
      <c r="BE2" s="602" t="s">
        <v>260</v>
      </c>
      <c r="BF2" s="613" t="s">
        <v>660</v>
      </c>
      <c r="BG2" s="613" t="s">
        <v>250</v>
      </c>
      <c r="BI2" s="1"/>
      <c r="BK2" s="602" t="s">
        <v>271</v>
      </c>
      <c r="BL2" s="602" t="s">
        <v>439</v>
      </c>
    </row>
    <row r="3" spans="1:64" s="85" customFormat="1" ht="15.75" x14ac:dyDescent="0.25">
      <c r="A3" s="86"/>
      <c r="B3" s="87"/>
      <c r="C3" s="84"/>
      <c r="D3" s="84"/>
      <c r="E3" s="619" t="s">
        <v>615</v>
      </c>
      <c r="F3" s="619" t="s">
        <v>615</v>
      </c>
      <c r="G3" s="619" t="s">
        <v>666</v>
      </c>
      <c r="H3" s="619" t="s">
        <v>616</v>
      </c>
      <c r="I3" s="619" t="s">
        <v>669</v>
      </c>
      <c r="J3" s="619" t="str">
        <f>+G3</f>
        <v>2009-2011</v>
      </c>
      <c r="K3" s="619" t="str">
        <f>+H3</f>
        <v>2010 בלבד</v>
      </c>
      <c r="L3" s="619">
        <v>2010</v>
      </c>
      <c r="M3" s="619" t="s">
        <v>669</v>
      </c>
      <c r="N3" s="619" t="s">
        <v>615</v>
      </c>
      <c r="O3" s="619" t="s">
        <v>666</v>
      </c>
      <c r="P3" s="619" t="s">
        <v>615</v>
      </c>
      <c r="Q3" s="619" t="s">
        <v>666</v>
      </c>
      <c r="R3" s="619" t="s">
        <v>666</v>
      </c>
      <c r="S3" s="619" t="s">
        <v>615</v>
      </c>
      <c r="T3" s="619" t="s">
        <v>615</v>
      </c>
      <c r="U3" s="619" t="s">
        <v>615</v>
      </c>
      <c r="V3" s="619" t="s">
        <v>666</v>
      </c>
      <c r="W3" s="619" t="s">
        <v>666</v>
      </c>
      <c r="X3" s="619" t="s">
        <v>669</v>
      </c>
      <c r="Y3" s="619" t="s">
        <v>615</v>
      </c>
      <c r="Z3" s="619" t="s">
        <v>666</v>
      </c>
      <c r="AA3" s="619" t="s">
        <v>615</v>
      </c>
      <c r="AB3" s="619" t="s">
        <v>615</v>
      </c>
      <c r="AC3" s="619" t="s">
        <v>666</v>
      </c>
      <c r="AD3" s="619" t="s">
        <v>666</v>
      </c>
      <c r="AE3" s="619" t="s">
        <v>615</v>
      </c>
      <c r="AF3" s="619" t="s">
        <v>666</v>
      </c>
      <c r="AG3" s="619" t="s">
        <v>666</v>
      </c>
      <c r="AH3" s="619" t="s">
        <v>615</v>
      </c>
      <c r="AI3" s="619" t="s">
        <v>666</v>
      </c>
      <c r="AJ3" s="619" t="s">
        <v>666</v>
      </c>
      <c r="AK3" s="619" t="s">
        <v>666</v>
      </c>
      <c r="AL3" s="619" t="s">
        <v>666</v>
      </c>
      <c r="AM3" s="619" t="s">
        <v>666</v>
      </c>
      <c r="AN3" s="619" t="s">
        <v>666</v>
      </c>
      <c r="AO3" s="619" t="s">
        <v>669</v>
      </c>
      <c r="AP3" s="619" t="s">
        <v>666</v>
      </c>
      <c r="AQ3" s="619" t="s">
        <v>669</v>
      </c>
      <c r="AR3" s="619" t="s">
        <v>669</v>
      </c>
      <c r="AS3" s="619" t="s">
        <v>669</v>
      </c>
      <c r="AT3" s="619" t="s">
        <v>669</v>
      </c>
      <c r="AU3" s="619" t="s">
        <v>669</v>
      </c>
      <c r="AV3" s="619">
        <v>2011</v>
      </c>
      <c r="AW3" s="85">
        <v>1</v>
      </c>
      <c r="AX3" s="85">
        <v>1</v>
      </c>
      <c r="AY3" s="85">
        <v>1</v>
      </c>
      <c r="AZ3" s="85">
        <v>1</v>
      </c>
      <c r="BA3" s="85">
        <v>1</v>
      </c>
      <c r="BB3" s="85">
        <v>1</v>
      </c>
      <c r="BC3" s="85">
        <v>1</v>
      </c>
      <c r="BD3" s="85">
        <v>1</v>
      </c>
      <c r="BE3" s="85">
        <v>1</v>
      </c>
      <c r="BF3" s="85">
        <v>1</v>
      </c>
      <c r="BG3" s="85">
        <v>1</v>
      </c>
      <c r="BK3" s="85" t="str">
        <f>+HLOOKUP(BK2,$E$2:$AV$3,2,0)</f>
        <v>2009-2010</v>
      </c>
      <c r="BL3" s="85" t="str">
        <f>+HLOOKUP(BL2,$E$2:$AV$3,2,0)</f>
        <v>2009-2011</v>
      </c>
    </row>
    <row r="4" spans="1:64" s="85" customFormat="1" ht="15.75" x14ac:dyDescent="0.25">
      <c r="A4" s="84"/>
      <c r="B4" s="87"/>
      <c r="C4" s="84"/>
      <c r="D4" s="84"/>
      <c r="E4" s="90"/>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row>
    <row r="5" spans="1:64" s="85" customFormat="1" ht="15.75" x14ac:dyDescent="0.25">
      <c r="A5" s="84"/>
      <c r="B5" s="91"/>
      <c r="C5" s="84"/>
      <c r="D5" s="84"/>
      <c r="E5" s="92"/>
      <c r="F5" s="92"/>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93"/>
      <c r="AO5" s="93"/>
      <c r="AP5" s="93"/>
      <c r="AQ5" s="93"/>
      <c r="AR5" s="93"/>
      <c r="AS5" s="93"/>
      <c r="AT5" s="93"/>
      <c r="AU5" s="93"/>
      <c r="AV5" s="93"/>
    </row>
    <row r="6" spans="1:64" s="85" customFormat="1" ht="15.75" x14ac:dyDescent="0.25">
      <c r="A6" s="1084">
        <f>+'[6]גיליון סימולציה לתעריפי 2016'!$F$31</f>
        <v>0.8</v>
      </c>
      <c r="B6" s="91" t="s">
        <v>617</v>
      </c>
      <c r="C6" s="84"/>
      <c r="D6" s="84"/>
      <c r="E6" s="92">
        <f>-10643*$A$6-2849*$A$6-9662*$A$6</f>
        <v>-18523.2</v>
      </c>
      <c r="F6" s="92">
        <f>-10565*$A$6-9343*$A$6-17185*$A$6</f>
        <v>-29674.400000000001</v>
      </c>
      <c r="G6" s="93">
        <f>-40115*$A$6-24472*$A$6-36031*$A$6</f>
        <v>-80494.400000000009</v>
      </c>
      <c r="H6" s="93">
        <f>-51696*$A$6-58130*$A$6</f>
        <v>-87860.800000000003</v>
      </c>
      <c r="I6" s="93">
        <f>-3356*$A$6-378*$A$6</f>
        <v>-2987.2000000000003</v>
      </c>
      <c r="J6" s="93">
        <f>-2225*$A$6-1685*$A$6-3496*$A$6</f>
        <v>-5924.8</v>
      </c>
      <c r="K6" s="93">
        <f>-1911*$A$6-1525*$A$6</f>
        <v>-2748.8</v>
      </c>
      <c r="L6" s="93">
        <f>-1090*$A$6-4470*$A$6</f>
        <v>-4448</v>
      </c>
      <c r="M6" s="93">
        <f>-2949*$A$6-1730*$A$6</f>
        <v>-3743.2000000000003</v>
      </c>
      <c r="N6" s="93">
        <f>-37*$A$6-11407*$A$6-21881*$A$6</f>
        <v>-26660</v>
      </c>
      <c r="O6" s="93">
        <f>-2561*$A$6-4924*$A$6-6828*$A$6</f>
        <v>-11450.400000000001</v>
      </c>
      <c r="P6" s="93">
        <f>-13428*$A$6-19066*$A$6</f>
        <v>-25995.200000000004</v>
      </c>
      <c r="Q6" s="93">
        <f>-183*$A$6-689*$A$6-586*$A$6</f>
        <v>-1166.4000000000001</v>
      </c>
      <c r="R6" s="93">
        <f>-2718*$A$6-4016*$A$6-3098*$A$6</f>
        <v>-7865.6</v>
      </c>
      <c r="S6" s="93">
        <f>-1715*$A$6-3423*$A$6-1359*$A$6</f>
        <v>-5197.5999999999995</v>
      </c>
      <c r="T6" s="93">
        <f>-5354*$A$6-8126*$A$6-9224*$A$6</f>
        <v>-18163.2</v>
      </c>
      <c r="U6" s="93">
        <f>-1721748/1000*$A$6-4441*$A$6-3885*$A$6</f>
        <v>-8038.1984000000002</v>
      </c>
      <c r="V6" s="93">
        <f>-367*$A$6-745*$A$6-571*$A$6</f>
        <v>-1346.4</v>
      </c>
      <c r="W6" s="93">
        <f>-17*$A$6-2140*$A$6</f>
        <v>-1725.6</v>
      </c>
      <c r="X6" s="93"/>
      <c r="Y6" s="93">
        <f>-1208*$A$6-3134*$A$6</f>
        <v>-3473.6000000000004</v>
      </c>
      <c r="Z6" s="93">
        <f>-6513*$A$6-8258*$A$6-19501*$A$6</f>
        <v>-27417.600000000002</v>
      </c>
      <c r="AA6" s="93">
        <f>(-1208696*$A$6-1222291*$A$6-13886*$A$6)/1000</f>
        <v>-1955.8984</v>
      </c>
      <c r="AB6" s="93">
        <f>-492*$A$6-1742*$A$6-1799*$A$6</f>
        <v>-3226.4000000000005</v>
      </c>
      <c r="AC6" s="93">
        <f>-27501*$A$6-42755*$A$6-27708*$A$6</f>
        <v>-78371.200000000012</v>
      </c>
      <c r="AD6" s="93">
        <f>-5419*$A$6-12288*$A$6-10001*$A$6</f>
        <v>-22166.400000000001</v>
      </c>
      <c r="AE6" s="93">
        <f>-9676*$A$6-18878*$A$6</f>
        <v>-22843.200000000001</v>
      </c>
      <c r="AF6" s="93">
        <f>-489*$A$6-1955*$A$6-3276*$A$6</f>
        <v>-4576</v>
      </c>
      <c r="AG6" s="93">
        <f>-3198*$A$6-1947*$A$6-1345*$A$6</f>
        <v>-5192</v>
      </c>
      <c r="AH6" s="93">
        <f>-1605*$A$6</f>
        <v>-1284</v>
      </c>
      <c r="AI6" s="93">
        <f>-243*$A$6-2352*$A$6-4519*$A$6</f>
        <v>-5691.2000000000007</v>
      </c>
      <c r="AJ6" s="93">
        <f>-297*$A$6-4122*$A$6-7043*$A$6</f>
        <v>-9169.6</v>
      </c>
      <c r="AK6" s="93">
        <f>-5030*$A$6-8755*$A$6-11811*$A$6</f>
        <v>-20476.800000000003</v>
      </c>
      <c r="AL6" s="93">
        <f>-602*$A$6-444*$A$6-669*$A$6</f>
        <v>-1372</v>
      </c>
      <c r="AM6" s="93">
        <f>-2576*$A$6-3712*$A$6</f>
        <v>-5030.4000000000005</v>
      </c>
      <c r="AN6" s="93">
        <f>-1291*$A$6-1696*$A$6</f>
        <v>-2389.6000000000004</v>
      </c>
      <c r="AO6" s="93">
        <f>-1081*$A$6</f>
        <v>-864.80000000000007</v>
      </c>
      <c r="AP6" s="93">
        <f>-2044*$A$6-2550*$A$6</f>
        <v>-3675.2</v>
      </c>
      <c r="AQ6" s="93">
        <f>-6510*$A$6</f>
        <v>-5208</v>
      </c>
      <c r="AR6" s="93">
        <f>-667*$A$6-2755*$A$6</f>
        <v>-2737.6</v>
      </c>
      <c r="AS6" s="93">
        <f>-10982*$A$6-24402*$A$6</f>
        <v>-28307.200000000004</v>
      </c>
      <c r="AT6" s="93">
        <f>-1375*$A$6-1755*$A$6</f>
        <v>-2504</v>
      </c>
      <c r="AU6" s="93">
        <f>-1861*$A$6-3687*$A$6</f>
        <v>-4438.4000000000005</v>
      </c>
      <c r="AV6" s="93">
        <v>0</v>
      </c>
    </row>
    <row r="7" spans="1:64" s="85" customFormat="1" ht="15.75" x14ac:dyDescent="0.25">
      <c r="A7" s="84"/>
      <c r="B7" s="91"/>
      <c r="C7" s="86"/>
      <c r="D7" s="86"/>
      <c r="E7" s="92"/>
      <c r="F7" s="92"/>
      <c r="G7" s="93"/>
      <c r="H7" s="93"/>
      <c r="I7" s="93"/>
      <c r="J7" s="93"/>
      <c r="K7" s="93"/>
      <c r="L7" s="93"/>
      <c r="M7" s="93"/>
      <c r="N7" s="93"/>
      <c r="O7" s="93"/>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row>
    <row r="8" spans="1:64" s="85" customFormat="1" ht="15.75" x14ac:dyDescent="0.25">
      <c r="A8" s="84"/>
      <c r="B8" s="84"/>
      <c r="C8" s="84"/>
      <c r="D8" s="84"/>
      <c r="E8" s="94">
        <f t="shared" ref="E8:S8" si="1">SUM(E5:E7)</f>
        <v>-18523.2</v>
      </c>
      <c r="F8" s="94">
        <f t="shared" si="1"/>
        <v>-29674.400000000001</v>
      </c>
      <c r="G8" s="94">
        <f t="shared" si="1"/>
        <v>-80494.400000000009</v>
      </c>
      <c r="H8" s="94">
        <f t="shared" si="1"/>
        <v>-87860.800000000003</v>
      </c>
      <c r="I8" s="94">
        <f t="shared" si="1"/>
        <v>-2987.2000000000003</v>
      </c>
      <c r="J8" s="94">
        <f t="shared" si="1"/>
        <v>-5924.8</v>
      </c>
      <c r="K8" s="94">
        <f t="shared" si="1"/>
        <v>-2748.8</v>
      </c>
      <c r="L8" s="94">
        <f t="shared" si="1"/>
        <v>-4448</v>
      </c>
      <c r="M8" s="94">
        <f t="shared" si="1"/>
        <v>-3743.2000000000003</v>
      </c>
      <c r="N8" s="94">
        <f t="shared" si="1"/>
        <v>-26660</v>
      </c>
      <c r="O8" s="94">
        <f t="shared" si="1"/>
        <v>-11450.400000000001</v>
      </c>
      <c r="P8" s="94">
        <f t="shared" si="1"/>
        <v>-25995.200000000004</v>
      </c>
      <c r="Q8" s="94">
        <f t="shared" si="1"/>
        <v>-1166.4000000000001</v>
      </c>
      <c r="R8" s="94">
        <f t="shared" si="1"/>
        <v>-7865.6</v>
      </c>
      <c r="S8" s="94">
        <f t="shared" si="1"/>
        <v>-5197.5999999999995</v>
      </c>
      <c r="T8" s="94">
        <f>SUM(T5:T7)</f>
        <v>-18163.2</v>
      </c>
      <c r="U8" s="94">
        <f>SUM(U5:U7)</f>
        <v>-8038.1984000000002</v>
      </c>
      <c r="V8" s="94">
        <f>SUM(V5:V7)</f>
        <v>-1346.4</v>
      </c>
      <c r="W8" s="94">
        <f>SUM(W5:W7)</f>
        <v>-1725.6</v>
      </c>
      <c r="X8" s="94">
        <f>SUM(X5:X7)</f>
        <v>0</v>
      </c>
      <c r="Y8" s="94">
        <f t="shared" ref="Y8:AT8" si="2">SUM(Y6:Y7)</f>
        <v>-3473.6000000000004</v>
      </c>
      <c r="Z8" s="94">
        <f t="shared" si="2"/>
        <v>-27417.600000000002</v>
      </c>
      <c r="AA8" s="94">
        <f t="shared" si="2"/>
        <v>-1955.8984</v>
      </c>
      <c r="AB8" s="94">
        <f t="shared" si="2"/>
        <v>-3226.4000000000005</v>
      </c>
      <c r="AC8" s="94">
        <f t="shared" si="2"/>
        <v>-78371.200000000012</v>
      </c>
      <c r="AD8" s="94">
        <f t="shared" si="2"/>
        <v>-22166.400000000001</v>
      </c>
      <c r="AE8" s="94">
        <f t="shared" si="2"/>
        <v>-22843.200000000001</v>
      </c>
      <c r="AF8" s="94">
        <f t="shared" si="2"/>
        <v>-4576</v>
      </c>
      <c r="AG8" s="94">
        <f t="shared" si="2"/>
        <v>-5192</v>
      </c>
      <c r="AH8" s="94">
        <f t="shared" si="2"/>
        <v>-1284</v>
      </c>
      <c r="AI8" s="94">
        <f t="shared" si="2"/>
        <v>-5691.2000000000007</v>
      </c>
      <c r="AJ8" s="94">
        <f t="shared" si="2"/>
        <v>-9169.6</v>
      </c>
      <c r="AK8" s="94">
        <f t="shared" si="2"/>
        <v>-20476.800000000003</v>
      </c>
      <c r="AL8" s="94">
        <f t="shared" si="2"/>
        <v>-1372</v>
      </c>
      <c r="AM8" s="94">
        <f t="shared" si="2"/>
        <v>-5030.4000000000005</v>
      </c>
      <c r="AN8" s="94">
        <f t="shared" si="2"/>
        <v>-2389.6000000000004</v>
      </c>
      <c r="AO8" s="94">
        <f t="shared" si="2"/>
        <v>-864.80000000000007</v>
      </c>
      <c r="AP8" s="94">
        <f t="shared" si="2"/>
        <v>-3675.2</v>
      </c>
      <c r="AQ8" s="94">
        <f t="shared" si="2"/>
        <v>-5208</v>
      </c>
      <c r="AR8" s="94">
        <f t="shared" si="2"/>
        <v>-2737.6</v>
      </c>
      <c r="AS8" s="94">
        <f t="shared" si="2"/>
        <v>-28307.200000000004</v>
      </c>
      <c r="AT8" s="94">
        <f t="shared" si="2"/>
        <v>-2504</v>
      </c>
      <c r="AU8" s="94">
        <f>SUM(AU6:AU7)</f>
        <v>-4438.4000000000005</v>
      </c>
      <c r="AV8" s="94">
        <f>SUM(AV6:AV7)</f>
        <v>0</v>
      </c>
      <c r="AW8" s="94">
        <f t="shared" ref="AW8:BG8" si="3">SUM(AW6:AW7)</f>
        <v>0</v>
      </c>
      <c r="AX8" s="94">
        <f t="shared" si="3"/>
        <v>0</v>
      </c>
      <c r="AY8" s="94">
        <f t="shared" si="3"/>
        <v>0</v>
      </c>
      <c r="AZ8" s="94">
        <f t="shared" si="3"/>
        <v>0</v>
      </c>
      <c r="BA8" s="94">
        <f t="shared" si="3"/>
        <v>0</v>
      </c>
      <c r="BB8" s="94">
        <f t="shared" si="3"/>
        <v>0</v>
      </c>
      <c r="BC8" s="94">
        <f t="shared" si="3"/>
        <v>0</v>
      </c>
      <c r="BD8" s="94">
        <f t="shared" si="3"/>
        <v>0</v>
      </c>
      <c r="BE8" s="94">
        <f t="shared" si="3"/>
        <v>0</v>
      </c>
      <c r="BF8" s="94">
        <f t="shared" si="3"/>
        <v>0</v>
      </c>
      <c r="BG8" s="94">
        <f t="shared" si="3"/>
        <v>0</v>
      </c>
    </row>
    <row r="9" spans="1:64" s="85" customFormat="1" ht="15.75" x14ac:dyDescent="0.25">
      <c r="A9" s="84"/>
      <c r="B9" s="87"/>
      <c r="C9" s="84"/>
      <c r="D9" s="84"/>
      <c r="E9" s="90"/>
      <c r="F9" s="90"/>
      <c r="G9" s="90"/>
      <c r="H9" s="90"/>
      <c r="I9" s="90"/>
      <c r="J9" s="90"/>
      <c r="K9" s="90"/>
      <c r="L9" s="90"/>
      <c r="M9" s="90"/>
      <c r="N9" s="90"/>
      <c r="O9" s="90"/>
      <c r="P9" s="90"/>
      <c r="Q9" s="90"/>
      <c r="R9" s="90"/>
      <c r="S9" s="90"/>
      <c r="T9" s="90"/>
      <c r="U9" s="90"/>
      <c r="V9" s="90"/>
      <c r="W9" s="90"/>
      <c r="X9" s="90"/>
      <c r="Y9" s="90"/>
      <c r="Z9" s="90"/>
      <c r="AA9" s="90"/>
      <c r="AB9" s="90"/>
      <c r="AC9" s="90"/>
      <c r="AD9" s="90"/>
      <c r="AE9" s="90"/>
      <c r="AF9" s="90"/>
      <c r="AG9" s="90"/>
      <c r="AH9" s="90"/>
      <c r="AI9" s="90"/>
      <c r="AJ9" s="90"/>
      <c r="AK9" s="90"/>
      <c r="AL9" s="90"/>
      <c r="AM9" s="90"/>
      <c r="AN9" s="90"/>
      <c r="AO9" s="90"/>
      <c r="AP9" s="90"/>
      <c r="AQ9" s="90"/>
      <c r="AR9" s="90"/>
      <c r="AS9" s="90"/>
      <c r="AT9" s="90"/>
      <c r="AU9" s="90"/>
      <c r="AV9" s="90"/>
    </row>
    <row r="10" spans="1:64" s="85" customFormat="1" ht="15.75" x14ac:dyDescent="0.25">
      <c r="A10" s="84"/>
      <c r="B10" s="91"/>
      <c r="C10" s="86"/>
      <c r="D10" s="86"/>
      <c r="E10" s="92"/>
      <c r="F10" s="92"/>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row>
    <row r="11" spans="1:64" s="85" customFormat="1" ht="15.75" x14ac:dyDescent="0.25">
      <c r="A11" s="1084">
        <f>+'[6]גיליון סימולציה לתעריפי 2016'!$F$31</f>
        <v>0.8</v>
      </c>
      <c r="B11" s="91" t="s">
        <v>618</v>
      </c>
      <c r="C11" s="86"/>
      <c r="D11" s="86"/>
      <c r="E11" s="92">
        <f>-9519*$A$11-2465*$A$11-9340*$A$11</f>
        <v>-17059.2</v>
      </c>
      <c r="F11" s="92">
        <f>-7677*$A$11-8038*$A$11-11351*$A$11</f>
        <v>-21652.800000000003</v>
      </c>
      <c r="G11" s="93">
        <f>-19825*$A$11-12372*$A$11-26101*$A$11</f>
        <v>-46638.400000000001</v>
      </c>
      <c r="H11" s="93">
        <f>-28619*$A$11-28953</f>
        <v>-51848.2</v>
      </c>
      <c r="I11" s="93">
        <f>-265*$A$11-2864*$A$11</f>
        <v>-2503.2000000000003</v>
      </c>
      <c r="J11" s="93">
        <f>-2728*$A$11-2275*$A$11-4842*$A$11</f>
        <v>-7876</v>
      </c>
      <c r="K11" s="93">
        <f>-2732*$A$11-5708*$A$11</f>
        <v>-6752</v>
      </c>
      <c r="L11" s="93">
        <f>-1165*$A$11-5525*$A$11</f>
        <v>-5352</v>
      </c>
      <c r="M11" s="93">
        <f>-2366*$A$11-2175*$A$11</f>
        <v>-3632.8</v>
      </c>
      <c r="N11" s="93">
        <f>-8311*$A$11-15913*$A$11</f>
        <v>-19379.2</v>
      </c>
      <c r="O11" s="93">
        <f>-1757*$A$11-4748*$A$11-7227*$A$11</f>
        <v>-10985.6</v>
      </c>
      <c r="P11" s="93">
        <f>-8210*$A$11-33135</f>
        <v>-39703</v>
      </c>
      <c r="Q11" s="93">
        <f>-69*$A$11-262*$A$11-261*$A$11</f>
        <v>-473.6</v>
      </c>
      <c r="R11" s="93">
        <f>-1282*$A$11-2027*$A$11-2763*$A$11</f>
        <v>-4857.6000000000004</v>
      </c>
      <c r="S11" s="93">
        <f>-4740*$A$11-10576*$A$11-4923*$A$11</f>
        <v>-16191.2</v>
      </c>
      <c r="T11" s="93">
        <f>-4984*$A$11-6243*$A$11-8285*$A$11</f>
        <v>-15609.6</v>
      </c>
      <c r="U11" s="93">
        <f>-1898622/1000*$A$11-5858*$A$11-5017*$A$11</f>
        <v>-10218.8976</v>
      </c>
      <c r="V11" s="93"/>
      <c r="W11" s="93">
        <f>-107*$A$11-12209*$A$11</f>
        <v>-9852.8000000000011</v>
      </c>
      <c r="X11" s="93">
        <f>-1354*$A$11-1705*$A$11</f>
        <v>-2447.1999999999998</v>
      </c>
      <c r="Y11" s="93">
        <f>-585*$A$11-3227*$A$11</f>
        <v>-3049.6000000000004</v>
      </c>
      <c r="Z11" s="93">
        <f>-6790*$A$11-10963*$A$11-21017*$A$11</f>
        <v>-31016</v>
      </c>
      <c r="AA11" s="93"/>
      <c r="AB11" s="93">
        <f>-2509*$A$11-3043*$A$11</f>
        <v>-4441.6000000000004</v>
      </c>
      <c r="AC11" s="93">
        <f>-21276*$A$11-31204*$A$11-28955*$A$11</f>
        <v>-65148</v>
      </c>
      <c r="AD11" s="93">
        <f>-10790*$A$11-10798*$A$11-15647</f>
        <v>-32917.4</v>
      </c>
      <c r="AE11" s="93"/>
      <c r="AF11" s="93">
        <f>-976*$A$11-3133*$A$11-6080*$A$11</f>
        <v>-8151.2000000000007</v>
      </c>
      <c r="AG11" s="93">
        <f>-2562*$A$11-2742*$A$11-3033*$A$11</f>
        <v>-6669.6</v>
      </c>
      <c r="AH11" s="93">
        <v>0</v>
      </c>
      <c r="AI11" s="93">
        <f>-300*$A$11-3477*$A$11-4682</f>
        <v>-7703.6</v>
      </c>
      <c r="AJ11" s="93">
        <f>-1082*$A$11-5686*$A$11</f>
        <v>-5414.4000000000005</v>
      </c>
      <c r="AK11" s="93"/>
      <c r="AL11" s="93">
        <f>-307*$A$11-892*$A$11-367*$A$11</f>
        <v>-1252.8000000000002</v>
      </c>
      <c r="AM11" s="93">
        <f>-2576*$A$11-3705*$A$11</f>
        <v>-5024.8</v>
      </c>
      <c r="AN11" s="93">
        <f>-3470*$A$11-6344*$A$11</f>
        <v>-7851.2000000000007</v>
      </c>
      <c r="AO11" s="93">
        <f>-636*$A$11</f>
        <v>-508.8</v>
      </c>
      <c r="AP11" s="93">
        <f>-2590*$A$11-3223*$A$11</f>
        <v>-4650.3999999999996</v>
      </c>
      <c r="AQ11" s="93">
        <f>-8853*$A$11</f>
        <v>-7082.4000000000005</v>
      </c>
      <c r="AR11" s="93">
        <f>-507*$A$11-2486*$A$11</f>
        <v>-2394.4</v>
      </c>
      <c r="AS11" s="93">
        <v>0</v>
      </c>
      <c r="AT11" s="93">
        <f>-2746*$A$11-2207*$A$11</f>
        <v>-3962.4000000000005</v>
      </c>
      <c r="AU11" s="93">
        <f>-4643*$A$11-5548*$A$11</f>
        <v>-8152.8000000000011</v>
      </c>
      <c r="AV11" s="93">
        <f>-18836*$A$11</f>
        <v>-15068.800000000001</v>
      </c>
    </row>
    <row r="12" spans="1:64" s="85" customFormat="1" ht="15.75" x14ac:dyDescent="0.25">
      <c r="A12" s="84"/>
      <c r="B12" s="91"/>
      <c r="C12" s="86"/>
      <c r="D12" s="86"/>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row>
    <row r="13" spans="1:64" s="85" customFormat="1" ht="15.75" x14ac:dyDescent="0.25">
      <c r="A13" s="84"/>
      <c r="B13" s="84"/>
      <c r="C13" s="84"/>
      <c r="D13" s="84"/>
    </row>
    <row r="14" spans="1:64" s="85" customFormat="1" ht="16.5" thickBot="1" x14ac:dyDescent="0.3">
      <c r="A14" s="87"/>
      <c r="B14" s="87"/>
      <c r="C14" s="87"/>
      <c r="D14" s="87"/>
      <c r="E14" s="88" t="s">
        <v>615</v>
      </c>
      <c r="F14" s="88" t="s">
        <v>615</v>
      </c>
      <c r="G14" s="89" t="str">
        <f>+F14</f>
        <v>2009-2010</v>
      </c>
      <c r="H14" s="89" t="str">
        <f t="shared" ref="H14:AT14" si="4">+H3</f>
        <v>2010 בלבד</v>
      </c>
      <c r="I14" s="89" t="str">
        <f t="shared" si="4"/>
        <v>2010-2011</v>
      </c>
      <c r="J14" s="89" t="str">
        <f t="shared" si="4"/>
        <v>2009-2011</v>
      </c>
      <c r="K14" s="89" t="str">
        <f t="shared" si="4"/>
        <v>2010 בלבד</v>
      </c>
      <c r="L14" s="89">
        <f t="shared" si="4"/>
        <v>2010</v>
      </c>
      <c r="M14" s="89" t="str">
        <f t="shared" si="4"/>
        <v>2010-2011</v>
      </c>
      <c r="N14" s="89" t="str">
        <f t="shared" si="4"/>
        <v>2009-2010</v>
      </c>
      <c r="O14" s="89" t="str">
        <f t="shared" si="4"/>
        <v>2009-2011</v>
      </c>
      <c r="P14" s="89" t="str">
        <f t="shared" si="4"/>
        <v>2009-2010</v>
      </c>
      <c r="Q14" s="89" t="str">
        <f t="shared" si="4"/>
        <v>2009-2011</v>
      </c>
      <c r="R14" s="89" t="str">
        <f t="shared" si="4"/>
        <v>2009-2011</v>
      </c>
      <c r="S14" s="89" t="str">
        <f t="shared" si="4"/>
        <v>2009-2010</v>
      </c>
      <c r="T14" s="89" t="str">
        <f t="shared" si="4"/>
        <v>2009-2010</v>
      </c>
      <c r="U14" s="89" t="str">
        <f t="shared" si="4"/>
        <v>2009-2010</v>
      </c>
      <c r="V14" s="89" t="str">
        <f t="shared" si="4"/>
        <v>2009-2011</v>
      </c>
      <c r="W14" s="89" t="str">
        <f t="shared" si="4"/>
        <v>2009-2011</v>
      </c>
      <c r="X14" s="89" t="str">
        <f t="shared" si="4"/>
        <v>2010-2011</v>
      </c>
      <c r="Y14" s="89" t="str">
        <f t="shared" si="4"/>
        <v>2009-2010</v>
      </c>
      <c r="Z14" s="89" t="str">
        <f t="shared" si="4"/>
        <v>2009-2011</v>
      </c>
      <c r="AA14" s="89" t="str">
        <f t="shared" si="4"/>
        <v>2009-2010</v>
      </c>
      <c r="AB14" s="89" t="str">
        <f t="shared" si="4"/>
        <v>2009-2010</v>
      </c>
      <c r="AC14" s="89" t="str">
        <f t="shared" si="4"/>
        <v>2009-2011</v>
      </c>
      <c r="AD14" s="89" t="str">
        <f t="shared" si="4"/>
        <v>2009-2011</v>
      </c>
      <c r="AE14" s="89" t="str">
        <f t="shared" si="4"/>
        <v>2009-2010</v>
      </c>
      <c r="AF14" s="89" t="str">
        <f t="shared" si="4"/>
        <v>2009-2011</v>
      </c>
      <c r="AG14" s="89" t="str">
        <f t="shared" si="4"/>
        <v>2009-2011</v>
      </c>
      <c r="AH14" s="89" t="str">
        <f t="shared" si="4"/>
        <v>2009-2010</v>
      </c>
      <c r="AI14" s="89" t="str">
        <f t="shared" si="4"/>
        <v>2009-2011</v>
      </c>
      <c r="AJ14" s="89" t="str">
        <f t="shared" si="4"/>
        <v>2009-2011</v>
      </c>
      <c r="AK14" s="89" t="str">
        <f t="shared" si="4"/>
        <v>2009-2011</v>
      </c>
      <c r="AL14" s="89" t="str">
        <f t="shared" si="4"/>
        <v>2009-2011</v>
      </c>
      <c r="AM14" s="89" t="str">
        <f t="shared" si="4"/>
        <v>2009-2011</v>
      </c>
      <c r="AN14" s="89" t="str">
        <f t="shared" si="4"/>
        <v>2009-2011</v>
      </c>
      <c r="AO14" s="89" t="str">
        <f t="shared" si="4"/>
        <v>2010-2011</v>
      </c>
      <c r="AP14" s="89" t="str">
        <f t="shared" si="4"/>
        <v>2009-2011</v>
      </c>
      <c r="AQ14" s="89" t="str">
        <f t="shared" si="4"/>
        <v>2010-2011</v>
      </c>
      <c r="AR14" s="89" t="str">
        <f t="shared" si="4"/>
        <v>2010-2011</v>
      </c>
      <c r="AS14" s="89" t="str">
        <f t="shared" si="4"/>
        <v>2010-2011</v>
      </c>
      <c r="AT14" s="89" t="str">
        <f t="shared" si="4"/>
        <v>2010-2011</v>
      </c>
      <c r="AU14" s="89" t="str">
        <f>+AU3</f>
        <v>2010-2011</v>
      </c>
      <c r="AV14" s="89">
        <f>+AV3</f>
        <v>2011</v>
      </c>
      <c r="AW14" s="89">
        <f t="shared" ref="AW14:BG14" si="5">+AW3</f>
        <v>1</v>
      </c>
      <c r="AX14" s="89">
        <f t="shared" si="5"/>
        <v>1</v>
      </c>
      <c r="AY14" s="89">
        <f t="shared" si="5"/>
        <v>1</v>
      </c>
      <c r="AZ14" s="89">
        <f t="shared" si="5"/>
        <v>1</v>
      </c>
      <c r="BA14" s="89">
        <f t="shared" si="5"/>
        <v>1</v>
      </c>
      <c r="BB14" s="89">
        <f t="shared" si="5"/>
        <v>1</v>
      </c>
      <c r="BC14" s="89">
        <f t="shared" si="5"/>
        <v>1</v>
      </c>
      <c r="BD14" s="89">
        <f t="shared" si="5"/>
        <v>1</v>
      </c>
      <c r="BE14" s="89">
        <f t="shared" si="5"/>
        <v>1</v>
      </c>
      <c r="BF14" s="89">
        <f t="shared" si="5"/>
        <v>1</v>
      </c>
      <c r="BG14" s="89">
        <f t="shared" si="5"/>
        <v>1</v>
      </c>
    </row>
    <row r="15" spans="1:64" s="85" customFormat="1" ht="15.75" x14ac:dyDescent="0.25">
      <c r="A15" s="87"/>
      <c r="B15" s="87"/>
      <c r="C15" s="87"/>
      <c r="D15" s="87"/>
      <c r="E15" s="87"/>
      <c r="F15" s="87"/>
      <c r="G15" s="87"/>
      <c r="H15" s="87"/>
      <c r="I15" s="87"/>
      <c r="J15" s="87"/>
      <c r="K15" s="87"/>
      <c r="L15" s="87"/>
      <c r="M15" s="87"/>
      <c r="N15" s="87"/>
      <c r="O15" s="87"/>
      <c r="P15" s="87"/>
      <c r="Q15" s="87"/>
      <c r="R15" s="87"/>
      <c r="S15" s="87"/>
      <c r="T15" s="87"/>
      <c r="U15" s="87"/>
      <c r="V15" s="87"/>
      <c r="W15" s="87"/>
      <c r="X15" s="87"/>
      <c r="Y15" s="87"/>
      <c r="Z15" s="87"/>
      <c r="AA15" s="87"/>
      <c r="AB15" s="87"/>
      <c r="AC15" s="87"/>
      <c r="AD15" s="87"/>
      <c r="AE15" s="87"/>
      <c r="AF15" s="87"/>
      <c r="AG15" s="87"/>
      <c r="AH15" s="87"/>
      <c r="AI15" s="87"/>
      <c r="AJ15" s="87"/>
      <c r="AK15" s="87"/>
      <c r="AL15" s="87"/>
      <c r="AM15" s="87"/>
      <c r="AN15" s="87"/>
      <c r="AO15" s="87"/>
      <c r="AP15" s="87"/>
      <c r="AQ15" s="87"/>
      <c r="AR15" s="87"/>
      <c r="AS15" s="87"/>
      <c r="AT15" s="87"/>
      <c r="AU15" s="87"/>
      <c r="AV15" s="87"/>
    </row>
    <row r="16" spans="1:64" s="85" customFormat="1" ht="15.75" x14ac:dyDescent="0.25">
      <c r="A16" s="84"/>
      <c r="B16" s="84" t="s">
        <v>619</v>
      </c>
      <c r="C16" s="84"/>
      <c r="D16" s="84"/>
      <c r="E16" s="93">
        <f>10643*0.9/25*1.5+2849*0.9/25*2.5+9662*0.9/25*0.5</f>
        <v>1005.048</v>
      </c>
      <c r="F16" s="93">
        <f>10565*0.9/25*1.5+9343*0.9/25*2.5+17185*0.9/25*0.5</f>
        <v>1720.71</v>
      </c>
      <c r="G16" s="93">
        <f>40115*0.9/25*1.5+24472*0.9/25*2.5+36031*0.9/25*0.5</f>
        <v>5017.2480000000005</v>
      </c>
      <c r="H16" s="93">
        <f>51696*0.9/25*1.5+58130*0.9/25*0.5</f>
        <v>3837.924</v>
      </c>
      <c r="I16" s="93">
        <f>3356*0.9/25*1.5+378*0.9/25*0.5</f>
        <v>188.02799999999999</v>
      </c>
      <c r="J16" s="93">
        <f>1685*0.9/25*1.5+2225*0.9/25*2.5+3496*0.9/25*0.5</f>
        <v>354.16800000000001</v>
      </c>
      <c r="K16" s="93">
        <f>1911*0.9/25*1.5+1525*0.9/25*0.5</f>
        <v>130.64400000000001</v>
      </c>
      <c r="L16" s="93">
        <f>1090*0.9/25*1.5+4470*0.9/25*0.5</f>
        <v>139.32</v>
      </c>
      <c r="M16" s="93">
        <f>2949*0.9/25*1.5+1730*0.9/25*0.5</f>
        <v>190.38600000000002</v>
      </c>
      <c r="N16" s="93">
        <f>37*0.9/25*2.5+11407*0.9/25*1.5+21881*0.9/25*0.5</f>
        <v>1013.1660000000002</v>
      </c>
      <c r="O16" s="93">
        <f>2561*0.9/25*2.5+4924*0.9/25*1.5+6828*0.9/25*0.5</f>
        <v>619.29</v>
      </c>
      <c r="P16" s="93">
        <f>13428*0.9/25*1.5+19066*0.9/25*0.5</f>
        <v>1068.3000000000002</v>
      </c>
      <c r="Q16" s="93">
        <f>183*0.9/25*2.5+689*0.9/25*1.5+586*0.9/25*0.5</f>
        <v>64.224000000000004</v>
      </c>
      <c r="R16" s="93">
        <f>2718*0.9/25*2.5+4016*0.9/25*1.5+3098*0.9/25*0.5</f>
        <v>517.24800000000005</v>
      </c>
      <c r="S16" s="93">
        <f>1715*0.9/25*2.5+3423*0.9/25*1.5+1359*0.9/25*0.5</f>
        <v>363.654</v>
      </c>
      <c r="T16" s="93">
        <f>5354*0.9/25*2.5+8126*0.9/25*1.5+9224*0.9/25*0.5</f>
        <v>1086.6959999999999</v>
      </c>
      <c r="U16" s="93">
        <f>1721748/1000*0.9/25*2.5+4441*0.9/25*1.5+3885*0.9/25*0.5</f>
        <v>464.70132000000007</v>
      </c>
      <c r="V16" s="93">
        <f>367*0.9/25*2.5+745*0.9/25*1.5+571*0.9/25*0.5</f>
        <v>83.538000000000011</v>
      </c>
      <c r="W16" s="103">
        <f>17*0.9/25*1.5+2140*0.9/25*0.5</f>
        <v>39.438000000000002</v>
      </c>
      <c r="X16" s="103"/>
      <c r="Y16" s="103">
        <f>1208*0.9/25*1.5+3134*0.9/25*0.5</f>
        <v>121.64400000000001</v>
      </c>
      <c r="Z16" s="103">
        <f>6513*0.9/25*2.5+8258*0.9/25*1.5+19501*0.9/25*0.5</f>
        <v>1383.12</v>
      </c>
      <c r="AA16" s="103">
        <f>(1208696*0.9/25*2.5+1222291*0.9/25*1.5+13886*0.9/25*0.5)/1000</f>
        <v>175.03630200000003</v>
      </c>
      <c r="AB16" s="103">
        <f>492*0.9/25*2.5+1742*0.9/25*1.5+1799*0.9/25*0.5</f>
        <v>170.73000000000002</v>
      </c>
      <c r="AC16" s="103">
        <f>27501*0.9/25*2.5+42755*0.9/25*1.5+27708*0.9/25*0.5</f>
        <v>5282.6040000000003</v>
      </c>
      <c r="AD16" s="103">
        <f>5419*0.9/25*2.5+12288*0.9/25*1.5+10001*0.9/25*0.5</f>
        <v>1331.2800000000002</v>
      </c>
      <c r="AE16" s="103">
        <f>9676*0.9/25*1.5+18878*0.9/25*0.5</f>
        <v>862.30799999999999</v>
      </c>
      <c r="AF16" s="103">
        <f>489*0.9/25*2.5+1955*0.9/25*1.5+3276*0.9/25*0.5</f>
        <v>208.548</v>
      </c>
      <c r="AG16" s="103">
        <f>3198*0.9/25*2.5+1947*0.9/25*1.5+1345*0.9/25*0.5</f>
        <v>417.16800000000006</v>
      </c>
      <c r="AH16" s="103">
        <f>1605*0.9/25*0.5</f>
        <v>28.89</v>
      </c>
      <c r="AI16" s="103">
        <f>243*0.9/25*2.5+2352*0.9/25*1.5+4519*0*25*0.5</f>
        <v>148.87800000000001</v>
      </c>
      <c r="AJ16" s="103">
        <f>297*0.9/25*2.5+4122*0.9/25*1.5+7043*0.9/25*0.5</f>
        <v>376.09199999999998</v>
      </c>
      <c r="AK16" s="103">
        <f>5030*0.9/25*2.5+8755*0.9/25*1.5-11811*0.5/25*0.9</f>
        <v>712.87200000000007</v>
      </c>
      <c r="AL16" s="103">
        <f>602*0.9/25*2.5+444*0.9/25*0.5+669*0.9/25*1.5</f>
        <v>98.298000000000002</v>
      </c>
      <c r="AM16" s="103">
        <f>2576*0.9/25*1.5+3712*0.9/25*0.5</f>
        <v>205.92000000000002</v>
      </c>
      <c r="AN16" s="103">
        <f>1291*0.9/25*1.5+1696*0.9/25*0.5</f>
        <v>100.24200000000002</v>
      </c>
      <c r="AO16" s="103">
        <f>1081*0.9/25*0.5</f>
        <v>19.457999999999998</v>
      </c>
      <c r="AP16" s="103">
        <f>2044*0.9/25*1.5+2550*0.9/25*0.5</f>
        <v>156.27600000000001</v>
      </c>
      <c r="AQ16" s="103">
        <f>6510*0.9/25*0.5</f>
        <v>117.18</v>
      </c>
      <c r="AR16" s="103">
        <f>667*0.9/25*1.5+2755*0.9/25*0.5</f>
        <v>85.608000000000004</v>
      </c>
      <c r="AS16" s="103">
        <f>10982*0.9/25*1.5+24402*0.9/25*0.5</f>
        <v>1032.2640000000001</v>
      </c>
      <c r="AT16" s="103">
        <f>1375*0.9/25*1.5+1755*0.9/25*0.5</f>
        <v>105.84</v>
      </c>
      <c r="AU16" s="103">
        <f>1861*0.9/25*1.5+3687*0.9/25*0.5</f>
        <v>166.86</v>
      </c>
      <c r="AV16" s="103">
        <v>0</v>
      </c>
    </row>
    <row r="17" spans="1:59" s="85" customFormat="1" ht="15.75" x14ac:dyDescent="0.25">
      <c r="A17" s="84"/>
      <c r="B17" s="84"/>
      <c r="C17" s="84"/>
      <c r="D17" s="84"/>
      <c r="E17" s="93"/>
      <c r="F17" s="93"/>
      <c r="G17" s="93"/>
      <c r="H17" s="93"/>
      <c r="I17" s="93"/>
      <c r="J17" s="93"/>
      <c r="K17" s="93"/>
      <c r="L17" s="93"/>
      <c r="M17" s="93"/>
      <c r="N17" s="93"/>
      <c r="O17" s="93"/>
      <c r="P17" s="93"/>
      <c r="Q17" s="93"/>
      <c r="R17" s="93"/>
      <c r="S17" s="93"/>
      <c r="T17" s="93"/>
      <c r="U17" s="93"/>
      <c r="V17" s="93"/>
      <c r="W17" s="93"/>
      <c r="X17" s="93"/>
      <c r="Y17" s="93"/>
      <c r="Z17" s="93"/>
      <c r="AA17" s="93"/>
      <c r="AB17" s="93"/>
      <c r="AC17" s="93"/>
      <c r="AD17" s="93"/>
      <c r="AE17" s="93"/>
      <c r="AF17" s="93"/>
      <c r="AG17" s="93"/>
      <c r="AH17" s="93"/>
      <c r="AI17" s="93"/>
      <c r="AJ17" s="93"/>
      <c r="AK17" s="93"/>
      <c r="AL17" s="93"/>
      <c r="AM17" s="93"/>
      <c r="AN17" s="93"/>
      <c r="AO17" s="93"/>
      <c r="AP17" s="93"/>
      <c r="AQ17" s="93"/>
      <c r="AR17" s="93"/>
      <c r="AS17" s="93"/>
      <c r="AT17" s="93"/>
      <c r="AU17" s="93"/>
      <c r="AV17" s="93"/>
    </row>
    <row r="18" spans="1:59" s="85" customFormat="1" ht="15.75" x14ac:dyDescent="0.25">
      <c r="A18" s="84"/>
      <c r="B18" s="84" t="s">
        <v>620</v>
      </c>
      <c r="C18" s="84"/>
      <c r="D18" s="84"/>
      <c r="E18" s="93">
        <f>+E35</f>
        <v>-29162.752</v>
      </c>
      <c r="F18" s="93">
        <f t="shared" ref="F18:BG18" si="6">+F35</f>
        <v>-60079.376000000011</v>
      </c>
      <c r="G18" s="93">
        <f t="shared" si="6"/>
        <v>-154292.75592000003</v>
      </c>
      <c r="H18" s="93">
        <f t="shared" si="6"/>
        <v>-218267.58399999997</v>
      </c>
      <c r="I18" s="93">
        <f t="shared" si="6"/>
        <v>-4787.2320000000009</v>
      </c>
      <c r="J18" s="93">
        <f t="shared" si="6"/>
        <v>-9125.84</v>
      </c>
      <c r="K18" s="93">
        <f t="shared" si="6"/>
        <v>-3880.6720000000005</v>
      </c>
      <c r="L18" s="93">
        <f t="shared" si="6"/>
        <v>-6699.7440000000006</v>
      </c>
      <c r="M18" s="93">
        <f t="shared" si="6"/>
        <v>-17286.240000000002</v>
      </c>
      <c r="N18" s="93">
        <f t="shared" si="6"/>
        <v>-43137.184000000001</v>
      </c>
      <c r="O18" s="93">
        <f t="shared" si="6"/>
        <v>-21942.112000000001</v>
      </c>
      <c r="P18" s="93">
        <f t="shared" si="6"/>
        <v>-48137.760000000002</v>
      </c>
      <c r="Q18" s="93">
        <f t="shared" si="6"/>
        <v>-2205.44</v>
      </c>
      <c r="R18" s="93">
        <f t="shared" si="6"/>
        <v>-14331.296</v>
      </c>
      <c r="S18" s="93">
        <f t="shared" si="6"/>
        <v>-7935.4559999999992</v>
      </c>
      <c r="T18" s="93">
        <f t="shared" si="6"/>
        <v>-25728.528000000002</v>
      </c>
      <c r="U18" s="93">
        <f t="shared" si="6"/>
        <v>-13323.211328000001</v>
      </c>
      <c r="V18" s="93">
        <f t="shared" si="6"/>
        <v>-2563.6559999999999</v>
      </c>
      <c r="W18" s="93">
        <f t="shared" si="6"/>
        <v>-7217.2960000000003</v>
      </c>
      <c r="X18" s="93">
        <f t="shared" si="6"/>
        <v>-3327.2960000000003</v>
      </c>
      <c r="Y18" s="93">
        <f t="shared" si="6"/>
        <v>-4688.5120000000006</v>
      </c>
      <c r="Z18" s="93">
        <f t="shared" si="6"/>
        <v>-47087.631999999998</v>
      </c>
      <c r="AA18" s="93">
        <f t="shared" si="6"/>
        <v>-11631.760784000002</v>
      </c>
      <c r="AB18" s="93">
        <f t="shared" si="6"/>
        <v>-8466.9920000000002</v>
      </c>
      <c r="AC18" s="93">
        <f t="shared" si="6"/>
        <v>-110016.53600000001</v>
      </c>
      <c r="AD18" s="93">
        <f t="shared" si="6"/>
        <v>-46861.824000000008</v>
      </c>
      <c r="AE18" s="93">
        <f t="shared" si="6"/>
        <v>-50890.816000000006</v>
      </c>
      <c r="AF18" s="93">
        <f t="shared" si="6"/>
        <v>-13332.080000000002</v>
      </c>
      <c r="AG18" s="93">
        <f t="shared" si="6"/>
        <v>-9530.9280000000017</v>
      </c>
      <c r="AH18" s="93">
        <f t="shared" si="6"/>
        <v>-3278.3040000000001</v>
      </c>
      <c r="AI18" s="93">
        <f t="shared" si="6"/>
        <v>-13166.016</v>
      </c>
      <c r="AJ18" s="93">
        <f t="shared" si="6"/>
        <v>-10171.552000000001</v>
      </c>
      <c r="AK18" s="93">
        <f t="shared" si="6"/>
        <v>-28520.320000000003</v>
      </c>
      <c r="AL18" s="93">
        <f t="shared" si="6"/>
        <v>-4016.4000000000005</v>
      </c>
      <c r="AM18" s="93">
        <f t="shared" si="6"/>
        <v>-7553.4400000000005</v>
      </c>
      <c r="AN18" s="93">
        <f t="shared" si="6"/>
        <v>-4451.9360000000006</v>
      </c>
      <c r="AO18" s="93">
        <f t="shared" si="6"/>
        <v>-7970.8480000000009</v>
      </c>
      <c r="AP18" s="93">
        <f t="shared" si="6"/>
        <v>-8696.8000000000011</v>
      </c>
      <c r="AQ18" s="93">
        <f t="shared" si="6"/>
        <v>-10059.567999999999</v>
      </c>
      <c r="AR18" s="93">
        <f t="shared" si="6"/>
        <v>-10288.656000000001</v>
      </c>
      <c r="AS18" s="93">
        <f t="shared" si="6"/>
        <v>-39977.824000000008</v>
      </c>
      <c r="AT18" s="93">
        <f t="shared" si="6"/>
        <v>-12562.592000000001</v>
      </c>
      <c r="AU18" s="93">
        <f t="shared" si="6"/>
        <v>-6280.1280000000006</v>
      </c>
      <c r="AV18" s="93">
        <f t="shared" si="6"/>
        <v>0</v>
      </c>
      <c r="AW18" s="93">
        <f t="shared" si="6"/>
        <v>-1732.576</v>
      </c>
      <c r="AX18" s="93">
        <f t="shared" si="6"/>
        <v>-889.12</v>
      </c>
      <c r="AY18" s="93">
        <f t="shared" si="6"/>
        <v>-1858.08</v>
      </c>
      <c r="AZ18" s="93">
        <f t="shared" si="6"/>
        <v>0</v>
      </c>
      <c r="BA18" s="93">
        <f t="shared" si="6"/>
        <v>-33848.432000000001</v>
      </c>
      <c r="BB18" s="93">
        <f t="shared" si="6"/>
        <v>0</v>
      </c>
      <c r="BC18" s="93">
        <f t="shared" si="6"/>
        <v>-509.6</v>
      </c>
      <c r="BD18" s="93">
        <f t="shared" si="6"/>
        <v>0</v>
      </c>
      <c r="BE18" s="93">
        <f t="shared" si="6"/>
        <v>-3258.9120000000003</v>
      </c>
      <c r="BF18" s="93">
        <f t="shared" si="6"/>
        <v>0</v>
      </c>
      <c r="BG18" s="93">
        <f t="shared" si="6"/>
        <v>-3305.172</v>
      </c>
    </row>
    <row r="19" spans="1:59" s="85" customFormat="1" ht="15.75" x14ac:dyDescent="0.25">
      <c r="A19" s="84"/>
      <c r="B19" s="84"/>
      <c r="C19" s="84"/>
      <c r="D19" s="84"/>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3"/>
      <c r="AR19" s="93"/>
      <c r="AS19" s="93"/>
      <c r="AT19" s="93"/>
      <c r="AU19" s="93"/>
      <c r="AV19" s="93"/>
    </row>
    <row r="20" spans="1:59" s="85" customFormat="1" ht="15.75" x14ac:dyDescent="0.25">
      <c r="A20" s="84"/>
      <c r="B20" s="84"/>
      <c r="C20" s="84"/>
      <c r="D20" s="84"/>
      <c r="E20" s="95"/>
      <c r="F20" s="95"/>
      <c r="G20" s="95"/>
      <c r="H20" s="95"/>
      <c r="I20" s="95"/>
      <c r="J20" s="95"/>
      <c r="K20" s="95"/>
      <c r="L20" s="95"/>
      <c r="M20" s="95"/>
      <c r="N20" s="95"/>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95"/>
      <c r="AV20" s="95"/>
    </row>
    <row r="21" spans="1:59" s="85" customFormat="1" ht="15.75" x14ac:dyDescent="0.25">
      <c r="A21" s="84"/>
      <c r="B21" s="84"/>
      <c r="C21" s="84"/>
      <c r="D21" s="84"/>
      <c r="E21" s="84"/>
      <c r="F21" s="84"/>
      <c r="G21" s="84"/>
      <c r="H21" s="84"/>
      <c r="I21" s="84"/>
      <c r="J21" s="84"/>
      <c r="K21" s="84"/>
      <c r="L21" s="84"/>
      <c r="M21" s="84"/>
      <c r="N21" s="84"/>
      <c r="O21" s="84"/>
      <c r="P21" s="84"/>
      <c r="Q21" s="84"/>
      <c r="R21" s="84"/>
      <c r="S21" s="84"/>
      <c r="T21" s="84"/>
      <c r="U21" s="84"/>
      <c r="V21" s="84"/>
      <c r="W21" s="84"/>
      <c r="X21" s="84"/>
      <c r="Y21" s="84"/>
      <c r="Z21" s="84"/>
      <c r="AA21" s="84"/>
      <c r="AB21" s="84"/>
      <c r="AC21" s="84"/>
      <c r="AD21" s="84"/>
      <c r="AE21" s="84"/>
      <c r="AF21" s="84"/>
      <c r="AG21" s="84"/>
      <c r="AH21" s="84"/>
      <c r="AI21" s="84"/>
      <c r="AJ21" s="84"/>
      <c r="AK21" s="84"/>
      <c r="AL21" s="84"/>
      <c r="AM21" s="84"/>
      <c r="AN21" s="84"/>
      <c r="AO21" s="84"/>
      <c r="AP21" s="84"/>
      <c r="AQ21" s="84"/>
      <c r="AR21" s="84"/>
      <c r="AS21" s="84"/>
      <c r="AT21" s="84"/>
      <c r="AU21" s="84"/>
      <c r="AV21" s="84"/>
    </row>
    <row r="22" spans="1:59" s="85" customFormat="1" ht="15.75" x14ac:dyDescent="0.25">
      <c r="A22" s="84"/>
      <c r="B22" s="84" t="s">
        <v>621</v>
      </c>
      <c r="C22" s="84"/>
      <c r="D22" s="84"/>
      <c r="E22" s="92">
        <f>9519*0.9/25*1.5+2465*0.9/25*2.5+9340*0.9/25*0.5</f>
        <v>903.99600000000009</v>
      </c>
      <c r="F22" s="92">
        <f>7677*0.9/25*1.5+8038*0.9/25*2.5+11351*0.9/25*0.5</f>
        <v>1342.296</v>
      </c>
      <c r="G22" s="93">
        <f>19825*0.9/25*1.5+12372*0.9/25*2.5+26101*0.9*0.5/25</f>
        <v>2653.8480000000004</v>
      </c>
      <c r="H22" s="93">
        <f>28619*0.9/25*1.5-28953*0.9/25*0.5</f>
        <v>1024.2720000000002</v>
      </c>
      <c r="I22" s="93">
        <f>265*0.9/25*1.5+2864*0.9/25*0.5</f>
        <v>65.861999999999995</v>
      </c>
      <c r="J22" s="93">
        <f>2275*0.9/25*1.5+2728*0.9/25*2.5+4842*0.9/25*0.5</f>
        <v>455.52600000000007</v>
      </c>
      <c r="K22" s="93">
        <f>2732*0.9/25*1.5+5708*0.9/25*0.5</f>
        <v>250.27200000000002</v>
      </c>
      <c r="L22" s="93">
        <f>1165*0.9/25*1.5+5525*0.9/25*0.5</f>
        <v>162.36000000000001</v>
      </c>
      <c r="M22" s="93">
        <f>2366*0.9/25*1.5+2175*0.9/25*0.5</f>
        <v>166.91400000000002</v>
      </c>
      <c r="N22" s="93">
        <f>8311*0.9/25*1.5+15913*0.9/25*0.5</f>
        <v>735.22800000000007</v>
      </c>
      <c r="O22" s="93">
        <f>1757*0.9*2.5+4748*0.9/25*1.5+7227*0.9/25*0.5</f>
        <v>4339.7280000000001</v>
      </c>
      <c r="P22" s="93">
        <f>8210*0.9/25*1.5+33135*0.9/25*0.5</f>
        <v>1039.77</v>
      </c>
      <c r="Q22" s="93">
        <f>69*0.9/25*2.5+262*0.9/25*1.5+261*0.9/25*0.5</f>
        <v>25.056000000000001</v>
      </c>
      <c r="R22" s="93">
        <f>1282*0.9/25*2.5+2027*0.9/25*1.5+2763*0.9/25*0.5</f>
        <v>274.572</v>
      </c>
      <c r="S22" s="93">
        <f>4740*0.9/25*2.5+10576*0.9/25*1.5+4923*0.9/25*0.5</f>
        <v>1086.318</v>
      </c>
      <c r="T22" s="93">
        <f>4984*0.9/25*2.5+6243*0.9/25*1.5+8285*0.9/25*0.5</f>
        <v>934.81200000000001</v>
      </c>
      <c r="U22" s="93">
        <f>1898622/1000*0.9/25*2.5+5858*0.9/25*1.5+5017*0.9/25*0.5</f>
        <v>577.51398000000006</v>
      </c>
      <c r="V22" s="93"/>
      <c r="W22" s="93">
        <f>107*0.9/25*1.5+12909/25*0.5</f>
        <v>263.95800000000003</v>
      </c>
      <c r="X22" s="93">
        <f>1354*0.9/25*1.5+1705*0.9/25*0.5</f>
        <v>103.80600000000001</v>
      </c>
      <c r="Y22" s="93">
        <f>585*0.9/25*1.5+3227*0.9/25*0.5</f>
        <v>89.676000000000002</v>
      </c>
      <c r="Z22" s="93">
        <f>6790*0.9/25*2.5+10963*0.9/25*1.5+21017*0.9/25*0.5</f>
        <v>1581.4079999999999</v>
      </c>
      <c r="AA22" s="93"/>
      <c r="AB22" s="93">
        <f>2509*0.9/25*1.5+3043*0.9/25*0.5</f>
        <v>190.26</v>
      </c>
      <c r="AC22" s="93">
        <f>21276*0.9/25*2.5+31204*0.9/25*1.5+28955*0.9/25*0.5</f>
        <v>4121.0460000000003</v>
      </c>
      <c r="AD22" s="93">
        <f>10790*0.9/25*2.5+10798*0.9/25*1.5+15647*0.9/25*0.5</f>
        <v>1835.838</v>
      </c>
      <c r="AE22" s="93"/>
      <c r="AF22" s="93">
        <f>976*0.9/25*2.5+3133*0.9/25*1.5+6080*0.9/25*0.5</f>
        <v>366.46199999999999</v>
      </c>
      <c r="AG22" s="93">
        <f>2562*0.9/25*2.5+2742*0.9/25*1.5+3033*0.9/25*0.5</f>
        <v>433.24200000000002</v>
      </c>
      <c r="AH22" s="93">
        <v>0</v>
      </c>
      <c r="AI22" s="93">
        <f>300*0.9/25*2.5+3477*0.9/25*1.5+4682*0.9/25*0.5</f>
        <v>299.03399999999999</v>
      </c>
      <c r="AJ22" s="93">
        <f>1082*0.9/25*1.5+5686*0.9/25*0.5</f>
        <v>160.77600000000001</v>
      </c>
      <c r="AK22" s="93"/>
      <c r="AL22" s="93">
        <f>-307*0.9/25*2.5+892*0.9/25*0.5*0.9+369*0.9/25*1.5</f>
        <v>6.7464000000000048</v>
      </c>
      <c r="AM22" s="93">
        <f>2576*0.9/25*1.5+3705*0.5*0.9</f>
        <v>1806.354</v>
      </c>
      <c r="AN22" s="93">
        <f>3470*0.9/25*1.5+6344*0.5*0.9</f>
        <v>3042.1800000000003</v>
      </c>
      <c r="AO22" s="93">
        <f>636*0.9/25*0.5</f>
        <v>11.448</v>
      </c>
      <c r="AP22" s="93">
        <f>2590*0.9/25*1.5+3223*0.9/25*0.5</f>
        <v>197.874</v>
      </c>
      <c r="AQ22" s="93">
        <f>8853*0.9/25*0.5</f>
        <v>159.35399999999998</v>
      </c>
      <c r="AR22" s="93">
        <f>504*0.9/25*1.5+2486*0.9/25*0.5</f>
        <v>71.963999999999999</v>
      </c>
      <c r="AS22" s="93"/>
      <c r="AT22" s="93">
        <f>2746*0.9/25*1.5+2207*0.9/25*0.5</f>
        <v>188.01000000000002</v>
      </c>
      <c r="AU22" s="93">
        <f>4643*0.9/25*1.5+5548*0.9/25*0.5</f>
        <v>350.58599999999996</v>
      </c>
      <c r="AV22" s="93">
        <f>18836*0.9/25*0.5</f>
        <v>339.048</v>
      </c>
    </row>
    <row r="23" spans="1:59" s="85" customFormat="1" ht="15.75" x14ac:dyDescent="0.25">
      <c r="A23" s="84"/>
      <c r="B23" s="84"/>
      <c r="C23" s="84"/>
      <c r="D23" s="84"/>
      <c r="E23" s="92"/>
      <c r="F23" s="92"/>
      <c r="G23" s="93"/>
      <c r="H23" s="93"/>
      <c r="I23" s="93"/>
      <c r="J23" s="93"/>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row>
    <row r="24" spans="1:59" s="85" customFormat="1" ht="15.75" x14ac:dyDescent="0.25">
      <c r="A24" s="84"/>
      <c r="B24" s="84" t="s">
        <v>620</v>
      </c>
      <c r="C24" s="96"/>
      <c r="D24" s="84"/>
      <c r="E24" s="93">
        <f>+E46</f>
        <v>-26440.864000000001</v>
      </c>
      <c r="F24" s="93">
        <f t="shared" ref="F24:BG24" si="7">+F46</f>
        <v>-43969.600000000006</v>
      </c>
      <c r="G24" s="93">
        <f t="shared" si="7"/>
        <v>-88840.195919999998</v>
      </c>
      <c r="H24" s="93">
        <f t="shared" si="7"/>
        <v>-127690.49600000001</v>
      </c>
      <c r="I24" s="93">
        <f t="shared" si="7"/>
        <v>-9344.4480000000003</v>
      </c>
      <c r="J24" s="93">
        <f t="shared" si="7"/>
        <v>-6841.0079999999998</v>
      </c>
      <c r="K24" s="93">
        <f t="shared" si="7"/>
        <v>-8920.6720000000005</v>
      </c>
      <c r="L24" s="93">
        <f t="shared" si="7"/>
        <v>-8546.8160000000007</v>
      </c>
      <c r="M24" s="93">
        <f t="shared" si="7"/>
        <v>-18927.536</v>
      </c>
      <c r="N24" s="93">
        <f t="shared" si="7"/>
        <v>-36514.896000000001</v>
      </c>
      <c r="O24" s="93">
        <f t="shared" si="7"/>
        <v>-21386.032000000003</v>
      </c>
      <c r="P24" s="93">
        <f t="shared" si="7"/>
        <v>-57950.8</v>
      </c>
      <c r="Q24" s="93">
        <f t="shared" si="7"/>
        <v>-2267.232</v>
      </c>
      <c r="R24" s="93">
        <f t="shared" si="7"/>
        <v>-8900.4480000000003</v>
      </c>
      <c r="S24" s="93">
        <f t="shared" si="7"/>
        <v>-25117.760000000002</v>
      </c>
      <c r="T24" s="93">
        <f t="shared" si="7"/>
        <v>-23177.408000000003</v>
      </c>
      <c r="U24" s="93">
        <f t="shared" si="7"/>
        <v>-15007.170032</v>
      </c>
      <c r="V24" s="93">
        <f t="shared" si="7"/>
        <v>-1458.232</v>
      </c>
      <c r="W24" s="93">
        <f t="shared" si="7"/>
        <v>-23389.600000000002</v>
      </c>
      <c r="X24" s="93">
        <f t="shared" si="7"/>
        <v>-3448.08</v>
      </c>
      <c r="Y24" s="93">
        <f t="shared" si="7"/>
        <v>-5825.1360000000004</v>
      </c>
      <c r="Z24" s="93">
        <f t="shared" si="7"/>
        <v>-59511.936000000002</v>
      </c>
      <c r="AA24" s="93">
        <f t="shared" si="7"/>
        <v>-17754.815999999999</v>
      </c>
      <c r="AB24" s="93">
        <f t="shared" si="7"/>
        <v>-15260.880000000001</v>
      </c>
      <c r="AC24" s="93">
        <f t="shared" si="7"/>
        <v>-101290.05600000001</v>
      </c>
      <c r="AD24" s="93">
        <f t="shared" si="7"/>
        <v>-61219.487999999998</v>
      </c>
      <c r="AE24" s="93">
        <f t="shared" si="7"/>
        <v>0</v>
      </c>
      <c r="AF24" s="93">
        <f t="shared" si="7"/>
        <v>-25322.832000000002</v>
      </c>
      <c r="AG24" s="93">
        <f t="shared" si="7"/>
        <v>-14634.16</v>
      </c>
      <c r="AH24" s="93">
        <f t="shared" si="7"/>
        <v>-3546.8320000000003</v>
      </c>
      <c r="AI24" s="93">
        <f t="shared" si="7"/>
        <v>-22227.616000000002</v>
      </c>
      <c r="AJ24" s="93">
        <f t="shared" si="7"/>
        <v>-11180.08</v>
      </c>
      <c r="AK24" s="93">
        <f t="shared" si="7"/>
        <v>0</v>
      </c>
      <c r="AL24" s="93">
        <f t="shared" si="7"/>
        <v>-4592.3040000000001</v>
      </c>
      <c r="AM24" s="93">
        <f t="shared" si="7"/>
        <v>-12897.936000000002</v>
      </c>
      <c r="AN24" s="93">
        <f t="shared" si="7"/>
        <v>-17014.495999999999</v>
      </c>
      <c r="AO24" s="93">
        <f t="shared" si="7"/>
        <v>-4419.4560000000001</v>
      </c>
      <c r="AP24" s="93">
        <f t="shared" si="7"/>
        <v>-14984.495999999999</v>
      </c>
      <c r="AQ24" s="93">
        <f t="shared" si="7"/>
        <v>-12382.304</v>
      </c>
      <c r="AR24" s="93">
        <f t="shared" si="7"/>
        <v>-9050.2560000000012</v>
      </c>
      <c r="AS24" s="93">
        <f t="shared" si="7"/>
        <v>-22541.184000000001</v>
      </c>
      <c r="AT24" s="93">
        <f t="shared" si="7"/>
        <v>-3478.2880000000005</v>
      </c>
      <c r="AU24" s="93">
        <f t="shared" si="7"/>
        <v>-15754.208000000001</v>
      </c>
      <c r="AV24" s="93">
        <f t="shared" si="7"/>
        <v>-23988.544000000002</v>
      </c>
      <c r="AW24" s="93">
        <f t="shared" si="7"/>
        <v>-1337.4880000000003</v>
      </c>
      <c r="AX24" s="93">
        <f t="shared" si="7"/>
        <v>-635.45600000000002</v>
      </c>
      <c r="AY24" s="93">
        <f t="shared" si="7"/>
        <v>-3343.76</v>
      </c>
      <c r="AZ24" s="93">
        <f t="shared" si="7"/>
        <v>0</v>
      </c>
      <c r="BA24" s="93">
        <f t="shared" si="7"/>
        <v>-11029.759999999998</v>
      </c>
      <c r="BB24" s="93">
        <f t="shared" si="7"/>
        <v>0</v>
      </c>
      <c r="BC24" s="93">
        <f t="shared" si="7"/>
        <v>-620.928</v>
      </c>
      <c r="BD24" s="93">
        <f t="shared" si="7"/>
        <v>0</v>
      </c>
      <c r="BE24" s="93">
        <f t="shared" si="7"/>
        <v>-2171.5839999999998</v>
      </c>
      <c r="BF24" s="93">
        <f t="shared" si="7"/>
        <v>0</v>
      </c>
      <c r="BG24" s="93">
        <f t="shared" si="7"/>
        <v>-6361.4720000000007</v>
      </c>
    </row>
    <row r="25" spans="1:59" s="85" customFormat="1" ht="15.75" x14ac:dyDescent="0.25">
      <c r="A25" s="84"/>
      <c r="B25" s="98"/>
      <c r="C25" s="96"/>
      <c r="D25" s="84"/>
      <c r="E25" s="93"/>
      <c r="F25" s="93"/>
      <c r="G25" s="93"/>
      <c r="H25" s="93"/>
      <c r="I25" s="93"/>
      <c r="J25" s="93"/>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93"/>
      <c r="AO25" s="93"/>
      <c r="AP25" s="93"/>
      <c r="AQ25" s="93"/>
      <c r="AR25" s="93"/>
      <c r="AS25" s="93"/>
      <c r="AT25" s="93"/>
      <c r="AU25" s="93"/>
      <c r="AV25" s="93"/>
    </row>
    <row r="26" spans="1:59" s="85" customFormat="1" ht="15.75" x14ac:dyDescent="0.25">
      <c r="A26" s="84"/>
      <c r="B26" s="84" t="s">
        <v>151</v>
      </c>
      <c r="C26" s="84"/>
      <c r="D26" s="84"/>
      <c r="E26" s="97"/>
      <c r="F26" s="97"/>
      <c r="G26" s="97"/>
      <c r="H26" s="97"/>
      <c r="I26" s="97"/>
      <c r="J26" s="97"/>
      <c r="K26" s="97"/>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row>
    <row r="27" spans="1:59" x14ac:dyDescent="0.2">
      <c r="B27" s="98">
        <v>2008</v>
      </c>
      <c r="D27" s="108"/>
      <c r="E27" s="98">
        <f>+HLOOKUP(E$2,'נתוני תאגידים'!$1:$719,517,0)*($B27-2013.5+25)/25</f>
        <v>-2496</v>
      </c>
      <c r="F27" s="98">
        <f>+HLOOKUP(F$2,'נתוני תאגידים'!$1:$719,517,0)*($B27-2013.5+25)/25</f>
        <v>-5899.92</v>
      </c>
      <c r="G27" s="98">
        <f>+HLOOKUP(G$2,'נתוני תאגידים'!$1:$719,517,0)*($B27-2013.5+25)/25</f>
        <v>-233.97191999999998</v>
      </c>
      <c r="H27" s="98">
        <f>+HLOOKUP(H$2,'נתוני תאגידים'!$1:$719,517,0)*($B27-2013.5+25)/25</f>
        <v>0</v>
      </c>
      <c r="I27" s="98">
        <f>+HLOOKUP(I$2,'נתוני תאגידים'!$1:$719,517,0)*($B27-2013.5+25)/25</f>
        <v>0</v>
      </c>
      <c r="J27" s="98">
        <f>+HLOOKUP(J$2,'נתוני תאגידים'!$1:$719,517,0)*($B27-2013.5+25)/25</f>
        <v>0</v>
      </c>
      <c r="K27" s="98">
        <f>+HLOOKUP(K$2,'נתוני תאגידים'!$1:$719,517,0)*($B27-2013.5+25)/25</f>
        <v>0</v>
      </c>
      <c r="L27" s="98">
        <f>+HLOOKUP(L$2,'נתוני תאגידים'!$1:$719,517,0)*($B27-2013.5+25)/25</f>
        <v>0</v>
      </c>
      <c r="M27" s="98">
        <f>+HLOOKUP(M$2,'נתוני תאגידים'!$1:$719,517,0)*($B27-2013.5+25)/25</f>
        <v>0</v>
      </c>
      <c r="N27" s="98">
        <f>+HLOOKUP(N$2,'נתוני תאגידים'!$1:$719,517,0)*($B27-2013.5+25)/25</f>
        <v>0</v>
      </c>
      <c r="O27" s="98">
        <f>+HLOOKUP(O$2,'נתוני תאגידים'!$1:$719,517,0)*($B27-2013.5+25)/25</f>
        <v>0</v>
      </c>
      <c r="P27" s="98">
        <f>+HLOOKUP(P$2,'נתוני תאגידים'!$1:$719,517,0)*($B27-2013.5+25)/25</f>
        <v>0</v>
      </c>
      <c r="Q27" s="98">
        <f>+HLOOKUP(Q$2,'נתוני תאגידים'!$1:$719,517,0)*($B27-2013.5+25)/25</f>
        <v>0</v>
      </c>
      <c r="R27" s="98">
        <f>+HLOOKUP(R$2,'נתוני תאגידים'!$1:$719,517,0)*($B27-2013.5+25)/25</f>
        <v>-3490.6559999999999</v>
      </c>
      <c r="S27" s="98">
        <f>+HLOOKUP(S$2,'נתוני תאגידים'!$1:$719,517,0)*($B27-2013.5+25)/25</f>
        <v>0</v>
      </c>
      <c r="T27" s="98">
        <f>+HLOOKUP(T$2,'נתוני תאגידים'!$1:$719,517,0)*($B27-2013.5+25)/25</f>
        <v>-3138.0960000000005</v>
      </c>
      <c r="U27" s="98">
        <f>+HLOOKUP(U$2,'נתוני תאגידים'!$1:$719,517,0)*($B27-2013.5+25)/25</f>
        <v>0</v>
      </c>
      <c r="V27" s="98">
        <f>+HLOOKUP(V$2,'נתוני תאגידים'!$1:$719,517,0)*($B27-2013.5+25)/25</f>
        <v>-402.79199999999997</v>
      </c>
      <c r="W27" s="98">
        <f>+HLOOKUP(W$2,'נתוני תאגידים'!$1:$719,517,0)*($B27-2013.5+25)/25</f>
        <v>0</v>
      </c>
      <c r="X27" s="98">
        <f>+HLOOKUP(X$2,'נתוני תאגידים'!$1:$719,517,0)*($B27-2013.5+25)/25</f>
        <v>0</v>
      </c>
      <c r="Y27" s="98">
        <f>+HLOOKUP(Y$2,'נתוני תאגידים'!$1:$719,517,0)*($B27-2013.5+25)/25</f>
        <v>0</v>
      </c>
      <c r="Z27" s="98">
        <f>+HLOOKUP(Z$2,'נתוני תאגידים'!$1:$719,517,0)*($B27-2013.5+25)/25</f>
        <v>-3241.68</v>
      </c>
      <c r="AA27" s="98">
        <f>+HLOOKUP(AA$2,'נתוני תאגידים'!$1:$719,517,0)*($B27-2013.5+25)/25</f>
        <v>0</v>
      </c>
      <c r="AB27" s="98">
        <f>+HLOOKUP(AB$2,'נתוני תאגידים'!$1:$719,517,0)*($B27-2013.5+25)/25</f>
        <v>0</v>
      </c>
      <c r="AC27" s="98">
        <f>+HLOOKUP(AC$2,'נתוני תאגידים'!$1:$719,517,0)*($B27-2013.5+25)/25</f>
        <v>-13987.272000000003</v>
      </c>
      <c r="AD27" s="98">
        <f>+HLOOKUP(AD$2,'נתוני תאגידים'!$1:$719,517,0)*($B27-2013.5+25)/25</f>
        <v>-8082.0480000000007</v>
      </c>
      <c r="AE27" s="98">
        <f>+HLOOKUP(AE$2,'נתוני תאגידים'!$1:$719,517,0)*($B27-2013.5+25)/25</f>
        <v>0</v>
      </c>
      <c r="AF27" s="98">
        <f>+HLOOKUP(AF$2,'נתוני תאגידים'!$1:$719,517,0)*($B27-2013.5+25)/25</f>
        <v>0</v>
      </c>
      <c r="AG27" s="98">
        <f>+HLOOKUP(AG$2,'נתוני תאגידים'!$1:$719,517,0)*($B27-2013.5+25)/25</f>
        <v>0</v>
      </c>
      <c r="AH27" s="98">
        <f>+HLOOKUP(AH$2,'נתוני תאגידים'!$1:$719,517,0)*($B27-2013.5+25)/25</f>
        <v>0</v>
      </c>
      <c r="AI27" s="98">
        <f>+HLOOKUP(AI$2,'נתוני תאגידים'!$1:$719,517,0)*($B27-2013.5+25)/25</f>
        <v>0</v>
      </c>
      <c r="AJ27" s="98">
        <f>+HLOOKUP(AJ$2,'נתוני תאגידים'!$1:$719,517,0)*($B27-2013.5+25)/25</f>
        <v>0</v>
      </c>
      <c r="AK27" s="98">
        <f>+HLOOKUP(AK$2,'נתוני תאגידים'!$1:$719,517,0)*($B27-2013.5+25)/25</f>
        <v>0</v>
      </c>
      <c r="AL27" s="98">
        <f>+HLOOKUP(AL$2,'נתוני תאגידים'!$1:$719,517,0)*($B27-2013.5+25)/25</f>
        <v>-695.13600000000008</v>
      </c>
      <c r="AM27" s="98">
        <f>+HLOOKUP(AM$2,'נתוני תאגידים'!$1:$719,517,0)*($B27-2013.5+25)/25</f>
        <v>0</v>
      </c>
      <c r="AN27" s="98">
        <f>+HLOOKUP(AN$2,'נתוני תאגידים'!$1:$719,517,0)*($B27-2013.5+25)/25</f>
        <v>0</v>
      </c>
      <c r="AO27" s="98">
        <f>+HLOOKUP(AO$2,'נתוני תאגידים'!$1:$719,517,0)*($B27-2013.5+25)/25</f>
        <v>0</v>
      </c>
      <c r="AP27" s="98">
        <f>+HLOOKUP(AP$2,'נתוני תאגידים'!$1:$719,517,0)*($B27-2013.5+25)/25</f>
        <v>0</v>
      </c>
      <c r="AQ27" s="98">
        <f>+HLOOKUP(AQ$2,'נתוני תאגידים'!$1:$719,517,0)*($B27-2013.5+25)/25</f>
        <v>0</v>
      </c>
      <c r="AR27" s="98">
        <f>+HLOOKUP(AR$2,'נתוני תאגידים'!$1:$719,517,0)*($B27-2013.5+25)/25</f>
        <v>0</v>
      </c>
      <c r="AS27" s="98">
        <f>+HLOOKUP(AS$2,'נתוני תאגידים'!$1:$719,517,0)*($B27-2013.5+25)/25</f>
        <v>0</v>
      </c>
      <c r="AT27" s="98">
        <f>+HLOOKUP(AT$2,'נתוני תאגידים'!$1:$719,517,0)*($B27-2013.5+25)/25</f>
        <v>0</v>
      </c>
      <c r="AU27" s="98">
        <f>+HLOOKUP(AU$2,'נתוני תאגידים'!$1:$719,517,0)*($B27-2013.5+25)/25</f>
        <v>0</v>
      </c>
      <c r="AV27" s="98">
        <f>+HLOOKUP(AV$2,'נתוני תאגידים'!$1:$719,517,0)*($B27-2013.5+25)/25</f>
        <v>0</v>
      </c>
      <c r="AW27" s="98">
        <f>+HLOOKUP(AW$2,'נתוני תאגידים'!$1:$719,517,0)*($B27-2013.5+25)/25</f>
        <v>0</v>
      </c>
      <c r="AX27" s="98">
        <f>+HLOOKUP(AX$2,'נתוני תאגידים'!$1:$719,517,0)*($B27-2013.5+25)/25</f>
        <v>0</v>
      </c>
      <c r="AY27" s="98">
        <f>+HLOOKUP(AY$2,'נתוני תאגידים'!$1:$719,517,0)*($B27-2013.5+25)/25</f>
        <v>0</v>
      </c>
      <c r="AZ27" s="98">
        <f>+HLOOKUP(AZ$2,'נתוני תאגידים'!$1:$719,517,0)*($B27-2013.5+25)/25</f>
        <v>0</v>
      </c>
      <c r="BA27" s="98">
        <f>+HLOOKUP(BA$2,'נתוני תאגידים'!$1:$719,517,0)*($B27-2013.5+25)/25</f>
        <v>0</v>
      </c>
      <c r="BB27" s="98">
        <f>+HLOOKUP(BB$2,'נתוני תאגידים'!$1:$719,517,0)*($B27-2013.5+25)/25</f>
        <v>0</v>
      </c>
      <c r="BC27" s="98">
        <f>+HLOOKUP(BC$2,'נתוני תאגידים'!$1:$719,517,0)*($B27-2013.5+25)/25</f>
        <v>0</v>
      </c>
      <c r="BD27" s="98">
        <f>+HLOOKUP(BD$2,'נתוני תאגידים'!$1:$719,517,0)*($B27-2013.5+25)/25</f>
        <v>0</v>
      </c>
      <c r="BE27" s="98">
        <f>+HLOOKUP(BE$2,'נתוני תאגידים'!$1:$719,517,0)*($B27-2013.5+25)/25</f>
        <v>0</v>
      </c>
      <c r="BF27" s="98">
        <f>+HLOOKUP(BF$2,'נתוני תאגידים'!$1:$719,517,0)*($B27-2013.5+25)/25</f>
        <v>0</v>
      </c>
      <c r="BG27" s="98">
        <f>+HLOOKUP(BG$2,'נתוני תאגידים'!$1:$719,517,0)*($B27-2013.5+25)/25</f>
        <v>0</v>
      </c>
    </row>
    <row r="28" spans="1:59" x14ac:dyDescent="0.2">
      <c r="B28" s="98">
        <v>2009</v>
      </c>
      <c r="E28" s="98">
        <f>+HLOOKUP(E$2,'נתוני תאגידים'!$1:$719,233,0)*($B28-2013.5+25)/25</f>
        <v>-1868.9440000000002</v>
      </c>
      <c r="F28" s="98">
        <f>+HLOOKUP(F$2,'נתוני תאגידים'!$1:$719,233,0)*($B28-2013.5+25)/25</f>
        <v>-6129.0080000000007</v>
      </c>
      <c r="G28" s="98">
        <f>+HLOOKUP(G$2,'נתוני תאגידים'!$1:$719,233,0)*($B28-2013.5+25)/25</f>
        <v>-16053.632000000001</v>
      </c>
      <c r="H28" s="98">
        <f>+HLOOKUP(H$2,'נתוני תאגידים'!$1:$719,233,0)*($B28-2013.5+25)/25</f>
        <v>0</v>
      </c>
      <c r="I28" s="98">
        <f>+HLOOKUP(I$2,'נתוני תאגידים'!$1:$719,233,0)*($B28-2013.5+25)/25</f>
        <v>0</v>
      </c>
      <c r="J28" s="98">
        <f>+HLOOKUP(J$2,'נתוני תאגידים'!$1:$719,233,0)*($B28-2013.5+25)/25</f>
        <v>-1459.6</v>
      </c>
      <c r="K28" s="98">
        <f>+HLOOKUP(K$2,'נתוני תאגידים'!$1:$719,233,0)*($B28-2013.5+25)/25</f>
        <v>0</v>
      </c>
      <c r="L28" s="98">
        <f>+HLOOKUP(L$2,'נתוני תאגידים'!$1:$719,233,0)*($B28-2013.5+25)/25</f>
        <v>0</v>
      </c>
      <c r="M28" s="98">
        <f>+HLOOKUP(M$2,'נתוני תאגידים'!$1:$719,233,0)*($B28-2013.5+25)/25</f>
        <v>0</v>
      </c>
      <c r="N28" s="98">
        <f>+HLOOKUP(N$2,'נתוני תאגידים'!$1:$719,233,0)*($B28-2013.5+25)/25</f>
        <v>-24.272000000000002</v>
      </c>
      <c r="O28" s="98">
        <f>+HLOOKUP(O$2,'נתוני תאגידים'!$1:$719,233,0)*($B28-2013.5+25)/25</f>
        <v>-1680.0160000000001</v>
      </c>
      <c r="P28" s="98">
        <f>+HLOOKUP(P$2,'נתוני תאגידים'!$1:$719,233,0)*($B28-2013.5+25)/25</f>
        <v>0</v>
      </c>
      <c r="Q28" s="98">
        <f>+HLOOKUP(Q$2,'נתוני תאגידים'!$1:$719,233,0)*($B28-2013.5+25)/25</f>
        <v>-120.04800000000002</v>
      </c>
      <c r="R28" s="98">
        <f>+HLOOKUP(R$2,'נתוני תאגידים'!$1:$719,233,0)*($B28-2013.5+25)/25</f>
        <v>-1783.0080000000003</v>
      </c>
      <c r="S28" s="98">
        <f>+HLOOKUP(S$2,'נתוני תאגידים'!$1:$719,233,0)*($B28-2013.5+25)/25</f>
        <v>-1125.04</v>
      </c>
      <c r="T28" s="98">
        <f>+HLOOKUP(T$2,'נתוני תאגידים'!$1:$719,233,0)*($B28-2013.5+25)/25</f>
        <v>-3512.2239999999997</v>
      </c>
      <c r="U28" s="98">
        <f>+HLOOKUP(U$2,'נתוני תאגידים'!$1:$719,233,0)*($B28-2013.5+25)/25</f>
        <v>-1129.466688</v>
      </c>
      <c r="V28" s="98">
        <f>+HLOOKUP(V$2,'נתוני תאגידים'!$1:$719,233,0)*($B28-2013.5+25)/25</f>
        <v>-240.75200000000001</v>
      </c>
      <c r="W28" s="98">
        <f>+HLOOKUP(W$2,'נתוני תאגידים'!$1:$719,233,0)*($B28-2013.5+25)/25</f>
        <v>0</v>
      </c>
      <c r="X28" s="98">
        <f>+HLOOKUP(X$2,'נתוני תאגידים'!$1:$719,233,0)*($B28-2013.5+25)/25</f>
        <v>0</v>
      </c>
      <c r="Y28" s="98">
        <f>+HLOOKUP(Y$2,'נתוני תאגידים'!$1:$719,233,0)*($B28-2013.5+25)/25</f>
        <v>0</v>
      </c>
      <c r="Z28" s="98">
        <f>+HLOOKUP(Z$2,'נתוני תאגידים'!$1:$719,233,0)*($B28-2013.5+25)/25</f>
        <v>-4272.5280000000002</v>
      </c>
      <c r="AA28" s="98">
        <f>+HLOOKUP(AA$2,'נתוני תאגידים'!$1:$719,233,0)*($B28-2013.5+25)/25</f>
        <v>-792.90457600000013</v>
      </c>
      <c r="AB28" s="98">
        <f>+HLOOKUP(AB$2,'נתוני תאגידים'!$1:$719,233,0)*($B28-2013.5+25)/25</f>
        <v>-322.75200000000001</v>
      </c>
      <c r="AC28" s="98">
        <f>+HLOOKUP(AC$2,'נתוני תאגידים'!$1:$719,233,0)*($B28-2013.5+25)/25</f>
        <v>-18040.656000000003</v>
      </c>
      <c r="AD28" s="98">
        <f>+HLOOKUP(AD$2,'נתוני תאגידים'!$1:$719,233,0)*($B28-2013.5+25)/25</f>
        <v>-3554.8639999999996</v>
      </c>
      <c r="AE28" s="98">
        <f>+HLOOKUP(AE$2,'נתוני תאגידים'!$1:$719,233,0)*($B28-2013.5+25)/25</f>
        <v>0</v>
      </c>
      <c r="AF28" s="98">
        <f>+HLOOKUP(AF$2,'נתוני תאגידים'!$1:$719,233,0)*($B28-2013.5+25)/25</f>
        <v>-320.78400000000005</v>
      </c>
      <c r="AG28" s="98">
        <f>+HLOOKUP(AG$2,'נתוני תאגידים'!$1:$719,233,0)*($B28-2013.5+25)/25</f>
        <v>-2097.8880000000004</v>
      </c>
      <c r="AH28" s="98">
        <f>+HLOOKUP(AH$2,'נתוני תאגידים'!$1:$719,233,0)*($B28-2013.5+25)/25</f>
        <v>0</v>
      </c>
      <c r="AI28" s="98">
        <f>+HLOOKUP(AI$2,'נתוני תאגידים'!$1:$719,233,0)*($B28-2013.5+25)/25</f>
        <v>-159.40800000000002</v>
      </c>
      <c r="AJ28" s="98">
        <f>+HLOOKUP(AJ$2,'נתוני תאגידים'!$1:$719,233,0)*($B28-2013.5+25)/25</f>
        <v>-194.83199999999999</v>
      </c>
      <c r="AK28" s="98">
        <f>+HLOOKUP(AK$2,'נתוני תאגידים'!$1:$719,233,0)*($B28-2013.5+25)/25</f>
        <v>-3299.68</v>
      </c>
      <c r="AL28" s="98">
        <f>+HLOOKUP(AL$2,'נתוני תאגידים'!$1:$719,233,0)*($B28-2013.5+25)/25</f>
        <v>-394.91200000000003</v>
      </c>
      <c r="AM28" s="98">
        <f>+HLOOKUP(AM$2,'נתוני תאגידים'!$1:$719,233,0)*($B28-2013.5+25)/25</f>
        <v>0</v>
      </c>
      <c r="AN28" s="98">
        <f>+HLOOKUP(AN$2,'נתוני תאגידים'!$1:$719,233,0)*($B28-2013.5+25)/25</f>
        <v>0</v>
      </c>
      <c r="AO28" s="98">
        <f>+HLOOKUP(AO$2,'נתוני תאגידים'!$1:$719,233,0)*($B28-2013.5+25)/25</f>
        <v>0</v>
      </c>
      <c r="AP28" s="98">
        <f>+HLOOKUP(AP$2,'נתוני תאגידים'!$1:$719,233,0)*($B28-2013.5+25)/25</f>
        <v>0</v>
      </c>
      <c r="AQ28" s="98">
        <f>+HLOOKUP(AQ$2,'נתוני תאגידים'!$1:$719,233,0)*($B28-2013.5+25)/25</f>
        <v>0</v>
      </c>
      <c r="AR28" s="98">
        <f>+HLOOKUP(AR$2,'נתוני תאגידים'!$1:$719,233,0)*($B28-2013.5+25)/25</f>
        <v>0</v>
      </c>
      <c r="AS28" s="98">
        <f>+HLOOKUP(AS$2,'נתוני תאגידים'!$1:$719,233,0)*($B28-2013.5+25)/25</f>
        <v>0</v>
      </c>
      <c r="AT28" s="98">
        <f>+HLOOKUP(AT$2,'נתוני תאגידים'!$1:$719,233,0)*($B28-2013.5+25)/25</f>
        <v>0</v>
      </c>
      <c r="AU28" s="98">
        <f>+HLOOKUP(AU$2,'נתוני תאגידים'!$1:$719,233,0)*($B28-2013.5+25)/25</f>
        <v>0</v>
      </c>
      <c r="AV28" s="98">
        <f>+HLOOKUP(AV$2,'נתוני תאגידים'!$1:$719,233,0)*($B28-2013.5+25)/25</f>
        <v>0</v>
      </c>
      <c r="AW28" s="98">
        <f>+HLOOKUP(AW$2,'נתוני תאגידים'!$1:$719,233,0)*($B28-2013.5+25)/25</f>
        <v>0</v>
      </c>
      <c r="AX28" s="98">
        <f>+HLOOKUP(AX$2,'נתוני תאגידים'!$1:$719,233,0)*($B28-2013.5+25)/25</f>
        <v>0</v>
      </c>
      <c r="AY28" s="98">
        <f>+HLOOKUP(AY$2,'נתוני תאגידים'!$1:$719,233,0)*($B28-2013.5+25)/25</f>
        <v>0</v>
      </c>
      <c r="AZ28" s="98">
        <f>+HLOOKUP(AZ$2,'נתוני תאגידים'!$1:$719,233,0)*($B28-2013.5+25)/25</f>
        <v>0</v>
      </c>
      <c r="BA28" s="98">
        <f>+HLOOKUP(BA$2,'נתוני תאגידים'!$1:$719,233,0)*($B28-2013.5+25)/25</f>
        <v>-0.65600000000000014</v>
      </c>
      <c r="BB28" s="98">
        <f>+HLOOKUP(BB$2,'נתוני תאגידים'!$1:$719,233,0)*($B28-2013.5+25)/25</f>
        <v>0</v>
      </c>
      <c r="BC28" s="98">
        <f>+HLOOKUP(BC$2,'נתוני תאגידים'!$1:$719,233,0)*($B28-2013.5+25)/25</f>
        <v>0</v>
      </c>
      <c r="BD28" s="98">
        <f>+HLOOKUP(BD$2,'נתוני תאגידים'!$1:$719,233,0)*($B28-2013.5+25)/25</f>
        <v>0</v>
      </c>
      <c r="BE28" s="98">
        <f>+HLOOKUP(BE$2,'נתוני תאגידים'!$1:$719,233,0)*($B28-2013.5+25)/25</f>
        <v>0</v>
      </c>
      <c r="BF28" s="98">
        <f>+HLOOKUP(BF$2,'נתוני תאגידים'!$1:$719,233,0)*($B28-2013.5+25)/25</f>
        <v>0</v>
      </c>
      <c r="BG28" s="98">
        <f>+HLOOKUP(BG$2,'נתוני תאגידים'!$1:$719,233,0)*($B28-2013.5+25)/25</f>
        <v>0</v>
      </c>
    </row>
    <row r="29" spans="1:59" x14ac:dyDescent="0.2">
      <c r="B29" s="98">
        <v>2010</v>
      </c>
      <c r="E29" s="98">
        <f>+HLOOKUP(E$2,'נתוני תאגידים'!$1:$719,235,0)*($B29-2013.5+25)/25</f>
        <v>-7322.384</v>
      </c>
      <c r="F29" s="98">
        <f>+HLOOKUP(F$2,'נתוני תאגידים'!$1:$719,235,0)*($B29-2013.5+25)/25</f>
        <v>-7268.72</v>
      </c>
      <c r="G29" s="98">
        <f>+HLOOKUP(G$2,'נתוני תאגידים'!$1:$719,235,0)*($B29-2013.5+25)/25</f>
        <v>-27599.119999999999</v>
      </c>
      <c r="H29" s="98">
        <f>+HLOOKUP(H$2,'נתוני תאגידים'!$1:$719,235,0)*($B29-2013.5+25)/25</f>
        <v>-35566.848000000005</v>
      </c>
      <c r="I29" s="98">
        <f>+HLOOKUP(I$2,'נתוני תאגידים'!$1:$719,235,0)*($B29-2013.5+25)/25</f>
        <v>-2308.9280000000003</v>
      </c>
      <c r="J29" s="98">
        <f>+HLOOKUP(J$2,'נתוני תאגידים'!$1:$719,235,0)*($B29-2013.5+25)/25</f>
        <v>-1159.28</v>
      </c>
      <c r="K29" s="98">
        <f>+HLOOKUP(K$2,'נתוני תאגידים'!$1:$719,235,0)*($B29-2013.5+25)/25</f>
        <v>-1314.7680000000003</v>
      </c>
      <c r="L29" s="98">
        <f>+HLOOKUP(L$2,'נתוני תאגידים'!$1:$719,235,0)*($B29-2013.5+25)/25</f>
        <v>-749.92</v>
      </c>
      <c r="M29" s="98">
        <f>+HLOOKUP(M$2,'נתוני תאגידים'!$1:$719,235,0)*($B29-2013.5+25)/25</f>
        <v>-2028.912</v>
      </c>
      <c r="N29" s="98">
        <f>+HLOOKUP(N$2,'נתוני תאגידים'!$1:$719,235,0)*($B29-2013.5+25)/25</f>
        <v>-7848.0159999999996</v>
      </c>
      <c r="O29" s="98">
        <f>+HLOOKUP(O$2,'נתוני תאגידים'!$1:$719,235,0)*($B29-2013.5+25)/25</f>
        <v>-3387.712</v>
      </c>
      <c r="P29" s="98">
        <f>+HLOOKUP(P$2,'נתוני תאגידים'!$1:$719,235,0)*($B29-2013.5+25)/25</f>
        <v>-9238.4640000000018</v>
      </c>
      <c r="Q29" s="98">
        <f>+HLOOKUP(Q$2,'נתוני תאגידים'!$1:$719,235,0)*($B29-2013.5+25)/25</f>
        <v>-474.03200000000004</v>
      </c>
      <c r="R29" s="98">
        <f>+HLOOKUP(R$2,'נתוני תאגידים'!$1:$719,235,0)*($B29-2013.5+25)/25</f>
        <v>-2763.0079999999998</v>
      </c>
      <c r="S29" s="98">
        <f>+HLOOKUP(S$2,'נתוני תאגידים'!$1:$719,235,0)*($B29-2013.5+25)/25</f>
        <v>-2355.0239999999999</v>
      </c>
      <c r="T29" s="98">
        <f>+HLOOKUP(T$2,'נתוני תאגידים'!$1:$719,235,0)*($B29-2013.5+25)/25</f>
        <v>-5590.6880000000001</v>
      </c>
      <c r="U29" s="98">
        <f>+HLOOKUP(U$2,'נתוני תאגידים'!$1:$719,235,0)*($B29-2013.5+25)/25</f>
        <v>-3055.15</v>
      </c>
      <c r="V29" s="98">
        <f>+HLOOKUP(V$2,'נתוני תאגידים'!$1:$719,235,0)*($B29-2013.5+25)/25</f>
        <v>-512.55999999999995</v>
      </c>
      <c r="W29" s="98">
        <f>+HLOOKUP(W$2,'נתוני תאגידים'!$1:$719,235,0)*($B29-2013.5+25)/25</f>
        <v>-11.696000000000002</v>
      </c>
      <c r="X29" s="98">
        <f>+HLOOKUP(X$2,'נתוני תאגידים'!$1:$719,235,0)*($B29-2013.5+25)/25</f>
        <v>0</v>
      </c>
      <c r="Y29" s="98">
        <f>+HLOOKUP(Y$2,'נתוני תאגידים'!$1:$719,235,0)*($B29-2013.5+25)/25</f>
        <v>-831.10400000000004</v>
      </c>
      <c r="Z29" s="98">
        <f>+HLOOKUP(Z$2,'נתוני תאגידים'!$1:$719,235,0)*($B29-2013.5+25)/25</f>
        <v>-5681.5039999999999</v>
      </c>
      <c r="AA29" s="98">
        <f>+HLOOKUP(AA$2,'נתוני תאגידים'!$1:$719,235,0)*($B29-2013.5+25)/25</f>
        <v>-840.93620800000008</v>
      </c>
      <c r="AB29" s="98">
        <f>+HLOOKUP(AB$2,'נתוני תאגידים'!$1:$719,235,0)*($B29-2013.5+25)/25</f>
        <v>-1198.4960000000001</v>
      </c>
      <c r="AC29" s="98">
        <f>+HLOOKUP(AC$2,'נתוני תאגידים'!$1:$719,235,0)*($B29-2013.5+25)/25</f>
        <v>-29415.439999999999</v>
      </c>
      <c r="AD29" s="98">
        <f>+HLOOKUP(AD$2,'נתוני תאגידים'!$1:$719,235,0)*($B29-2013.5+25)/25</f>
        <v>-8454.1440000000021</v>
      </c>
      <c r="AE29" s="98">
        <f>+HLOOKUP(AE$2,'נתוני תאגידים'!$1:$719,235,0)*($B29-2013.5+25)/25</f>
        <v>-6657.0880000000006</v>
      </c>
      <c r="AF29" s="98">
        <f>+HLOOKUP(AF$2,'נתוני תאגידים'!$1:$719,235,0)*($B29-2013.5+25)/25</f>
        <v>-1345.04</v>
      </c>
      <c r="AG29" s="98">
        <f>+HLOOKUP(AG$2,'נתוני תאגידים'!$1:$719,235,0)*($B29-2013.5+25)/25</f>
        <v>-1339.5360000000001</v>
      </c>
      <c r="AH29" s="98">
        <f>+HLOOKUP(AH$2,'נתוני תאגידים'!$1:$719,235,0)*($B29-2013.5+25)/25</f>
        <v>-1104.24</v>
      </c>
      <c r="AI29" s="98">
        <f>+HLOOKUP(AI$2,'נתוני תאגידים'!$1:$719,235,0)*($B29-2013.5+25)/25</f>
        <v>-1618.1760000000002</v>
      </c>
      <c r="AJ29" s="98">
        <f>+HLOOKUP(AJ$2,'נתוני תאגידים'!$1:$719,235,0)*($B29-2013.5+25)/25</f>
        <v>-2835.9360000000001</v>
      </c>
      <c r="AK29" s="98">
        <f>+HLOOKUP(AK$2,'נתוני תאגידים'!$1:$719,235,0)*($B29-2013.5+25)/25</f>
        <v>-6023.44</v>
      </c>
      <c r="AL29" s="98">
        <f>+HLOOKUP(AL$2,'נתוני תאגידים'!$1:$719,235,0)*($B29-2013.5+25)/25</f>
        <v>-460.27200000000005</v>
      </c>
      <c r="AM29" s="98">
        <f>+HLOOKUP(AM$2,'נתוני תאגידים'!$1:$719,235,0)*($B29-2013.5+25)/25</f>
        <v>-1772.2880000000002</v>
      </c>
      <c r="AN29" s="98">
        <f>+HLOOKUP(AN$2,'נתוני תאגידים'!$1:$719,235,0)*($B29-2013.5+25)/25</f>
        <v>-888.20800000000008</v>
      </c>
      <c r="AO29" s="98">
        <f>+HLOOKUP(AO$2,'נתוני תאגידים'!$1:$719,235,0)*($B29-2013.5+25)/25</f>
        <v>0</v>
      </c>
      <c r="AP29" s="98">
        <f>+HLOOKUP(AP$2,'נתוני תאגידים'!$1:$719,235,0)*($B29-2013.5+25)/25</f>
        <v>-1406.2720000000002</v>
      </c>
      <c r="AQ29" s="98">
        <f>+HLOOKUP(AQ$2,'נתוני תאגידים'!$1:$719,235,0)*($B29-2013.5+25)/25</f>
        <v>0</v>
      </c>
      <c r="AR29" s="98">
        <f>+HLOOKUP(AR$2,'נתוני תאגידים'!$1:$719,235,0)*($B29-2013.5+25)/25</f>
        <v>-465.77600000000001</v>
      </c>
      <c r="AS29" s="98">
        <f>+HLOOKUP(AS$2,'נתוני תאגידים'!$1:$719,235,0)*($B29-2013.5+25)/25</f>
        <v>-7555.616</v>
      </c>
      <c r="AT29" s="98">
        <f>+HLOOKUP(AT$2,'נתוני תאגידים'!$1:$719,235,0)*($B29-2013.5+25)/25</f>
        <v>-946</v>
      </c>
      <c r="AU29" s="98">
        <f>+HLOOKUP(AU$2,'נתוני תאגידים'!$1:$719,235,0)*($B29-2013.5+25)/25</f>
        <v>-1280.3680000000002</v>
      </c>
      <c r="AV29" s="98">
        <f>+HLOOKUP(AV$2,'נתוני תאגידים'!$1:$719,235,0)*($B29-2013.5+25)/25</f>
        <v>0</v>
      </c>
      <c r="AW29" s="98">
        <f>+HLOOKUP(AW$2,'נתוני תאגידים'!$1:$719,235,0)*($B29-2013.5+25)/25</f>
        <v>0</v>
      </c>
      <c r="AX29" s="98">
        <f>+HLOOKUP(AX$2,'נתוני תאגידים'!$1:$719,235,0)*($B29-2013.5+25)/25</f>
        <v>0</v>
      </c>
      <c r="AY29" s="98">
        <f>+HLOOKUP(AY$2,'נתוני תאגידים'!$1:$719,235,0)*($B29-2013.5+25)/25</f>
        <v>0</v>
      </c>
      <c r="AZ29" s="98">
        <f>+HLOOKUP(AZ$2,'נתוני תאגידים'!$1:$719,235,0)*($B29-2013.5+25)/25</f>
        <v>0</v>
      </c>
      <c r="BA29" s="98">
        <f>+HLOOKUP(BA$2,'נתוני תאגידים'!$1:$719,235,0)*($B29-2013.5+25)/25</f>
        <v>-0.68799999999999994</v>
      </c>
      <c r="BB29" s="98">
        <f>+HLOOKUP(BB$2,'נתוני תאגידים'!$1:$719,235,0)*($B29-2013.5+25)/25</f>
        <v>0</v>
      </c>
      <c r="BC29" s="98">
        <f>+HLOOKUP(BC$2,'נתוני תאגידים'!$1:$719,235,0)*($B29-2013.5+25)/25</f>
        <v>0</v>
      </c>
      <c r="BD29" s="98">
        <f>+HLOOKUP(BD$2,'נתוני תאגידים'!$1:$719,235,0)*($B29-2013.5+25)/25</f>
        <v>0</v>
      </c>
      <c r="BE29" s="98">
        <f>+HLOOKUP(BE$2,'נתוני תאגידים'!$1:$719,235,0)*($B29-2013.5+25)/25</f>
        <v>0</v>
      </c>
      <c r="BF29" s="98">
        <f>+HLOOKUP(BF$2,'נתוני תאגידים'!$1:$719,235,0)*($B29-2013.5+25)/25</f>
        <v>0</v>
      </c>
      <c r="BG29" s="98">
        <f>+HLOOKUP(BG$2,'נתוני תאגידים'!$1:$719,235,0)*($B29-2013.5+25)/25</f>
        <v>0</v>
      </c>
    </row>
    <row r="30" spans="1:59" x14ac:dyDescent="0.2">
      <c r="A30" s="1084">
        <f>+'[6]גיליון סימולציה לתעריפי 2016'!$F$31</f>
        <v>0.8</v>
      </c>
      <c r="B30" s="98">
        <v>2011</v>
      </c>
      <c r="E30" s="98">
        <f>+HLOOKUP(E$2,'נתוני תאגידים'!$1:$719,237,0)*($B30-2013.5+25)/25</f>
        <v>-6956.64</v>
      </c>
      <c r="F30" s="98">
        <f>+HLOOKUP(F$2,'נתוני תאגידים'!$1:$719,237,0)*($B30-2013.5+25)/25</f>
        <v>-12373.2</v>
      </c>
      <c r="G30" s="98">
        <f>+HLOOKUP(G$2,'נתוני תאגידים'!$1:$719,237,0)*($B30-2013.5+25)/25</f>
        <v>-25942.320000000003</v>
      </c>
      <c r="H30" s="98">
        <f>+HLOOKUP(H$2,'נתוני תאגידים'!$1:$719,237,0)*($B30-2013.5+25)/25</f>
        <v>-41853.599999999999</v>
      </c>
      <c r="I30" s="98">
        <f>+HLOOKUP(I$2,'נתוני תאגידים'!$1:$719,237,0)*($B30-2013.5+25)/25</f>
        <v>-272.16000000000003</v>
      </c>
      <c r="J30" s="98">
        <f>+HLOOKUP(J$2,'נתוני תאגידים'!$1:$719,237,0)*($B30-2013.5+25)/25</f>
        <v>-2517.1200000000003</v>
      </c>
      <c r="K30" s="98">
        <f>+HLOOKUP(K$2,'נתוני תאגידים'!$1:$719,237,0)*($B30-2013.5+25)/25</f>
        <v>-1098</v>
      </c>
      <c r="L30" s="98">
        <f>+HLOOKUP(L$2,'נתוני תאגידים'!$1:$719,237,0)*($B30-2013.5+25)/25</f>
        <v>-3218.4</v>
      </c>
      <c r="M30" s="98">
        <f>+HLOOKUP(M$2,'נתוני תאגידים'!$1:$719,237,0)*($B30-2013.5+25)/25</f>
        <v>-1245.5999999999999</v>
      </c>
      <c r="N30" s="98">
        <f>+HLOOKUP(N$2,'נתוני תאגידים'!$1:$719,237,0)*($B30-2013.5+25)/25</f>
        <v>-15754.32</v>
      </c>
      <c r="O30" s="98">
        <f>+HLOOKUP(O$2,'נתוני תאגידים'!$1:$719,237,0)*($B30-2013.5+25)/25</f>
        <v>-4916.1600000000008</v>
      </c>
      <c r="P30" s="98">
        <f>+HLOOKUP(P$2,'נתוני תאגידים'!$1:$719,237,0)*($B30-2013.5+25)/25</f>
        <v>-13727.52</v>
      </c>
      <c r="Q30" s="98">
        <f>+HLOOKUP(Q$2,'נתוני תאגידים'!$1:$719,237,0)*($B30-2013.5+25)/25</f>
        <v>-421.92</v>
      </c>
      <c r="R30" s="98">
        <f>+HLOOKUP(R$2,'נתוני תאגידים'!$1:$719,237,0)*($B30-2013.5+25)/25</f>
        <v>-2230.56</v>
      </c>
      <c r="S30" s="98">
        <f>+HLOOKUP(S$2,'נתוני תאגידים'!$1:$719,237,0)*($B30-2013.5+25)/25</f>
        <v>-978.48</v>
      </c>
      <c r="T30" s="98">
        <f>+HLOOKUP(T$2,'נתוני תאגידים'!$1:$719,237,0)*($B30-2013.5+25)/25</f>
        <v>-6641.2800000000016</v>
      </c>
      <c r="U30" s="98">
        <f>+HLOOKUP(U$2,'נתוני תאגידים'!$1:$719,237,0)*($B30-2013.5+25)/25</f>
        <v>-2797.4426400000002</v>
      </c>
      <c r="V30" s="98">
        <f>+HLOOKUP(V$2,'נתוני תאגידים'!$1:$719,237,0)*($B30-2013.5+25)/25</f>
        <v>-411.12</v>
      </c>
      <c r="W30" s="98">
        <f>+HLOOKUP(W$2,'נתוני תאגידים'!$1:$719,237,0)*($B30-2013.5+25)/25</f>
        <v>-1540.8</v>
      </c>
      <c r="X30" s="98">
        <f>+HLOOKUP(X$2,'נתוני תאגידים'!$1:$719,237,0)*($B30-2013.5+25)/25</f>
        <v>0</v>
      </c>
      <c r="Y30" s="98">
        <f>+HLOOKUP(Y$2,'נתוני תאגידים'!$1:$719,237,0)*($B30-2013.5+25)/25</f>
        <v>-2256.4800000000005</v>
      </c>
      <c r="Z30" s="98">
        <f>+HLOOKUP(Z$2,'נתוני תאגידים'!$1:$719,237,0)*($B30-2013.5+25)/25</f>
        <v>-14040.72</v>
      </c>
      <c r="AA30" s="98">
        <f>+HLOOKUP(AA$2,'נתוני תאגידים'!$1:$719,237,0)*($B30-2013.5+25)/25</f>
        <v>-9997.9200000000019</v>
      </c>
      <c r="AB30" s="98">
        <f>+HLOOKUP(AB$2,'נתוני תאגידים'!$1:$719,237,0)*($B30-2013.5+25)/25</f>
        <v>-1295.28</v>
      </c>
      <c r="AC30" s="98">
        <f>+HLOOKUP(AC$2,'נתוני תאגידים'!$1:$719,237,0)*($B30-2013.5+25)/25</f>
        <v>-19949.760000000002</v>
      </c>
      <c r="AD30" s="98">
        <f>+HLOOKUP(AD$2,'נתוני תאגידים'!$1:$719,237,0)*($B30-2013.5+25)/25</f>
        <v>-7200.72</v>
      </c>
      <c r="AE30" s="98">
        <f>+HLOOKUP(AE$2,'נתוני תאגידים'!$1:$719,237,0)*($B30-2013.5+25)/25</f>
        <v>-12872.160000000002</v>
      </c>
      <c r="AF30" s="98">
        <f>+HLOOKUP(AF$2,'נתוני תאגידים'!$1:$719,237,0)*($B30-2013.5+25)/25</f>
        <v>-2358.7200000000003</v>
      </c>
      <c r="AG30" s="98">
        <f>+HLOOKUP(AG$2,'נתוני תאגידים'!$1:$719,237,0)*($B30-2013.5+25)/25</f>
        <v>-968.4</v>
      </c>
      <c r="AH30" s="98">
        <f>+HLOOKUP(AH$2,'נתוני תאגידים'!$1:$719,237,0)*($B30-2013.5+25)/25</f>
        <v>-0.72</v>
      </c>
      <c r="AI30" s="98">
        <f>+HLOOKUP(AI$2,'נתוני תאגידים'!$1:$719,237,0)*($B30-2013.5+25)/25</f>
        <v>-3253.68</v>
      </c>
      <c r="AJ30" s="98">
        <f>+HLOOKUP(AJ$2,'נתוני תאגידים'!$1:$719,237,0)*($B30-2013.5+25)/25</f>
        <v>-5070.9600000000009</v>
      </c>
      <c r="AK30" s="98">
        <f>+HLOOKUP(AK$2,'נתוני תאגידים'!$1:$719,237,0)*($B30-2013.5+25)/25</f>
        <v>-8503.9200000000019</v>
      </c>
      <c r="AL30" s="98">
        <f>+HLOOKUP(AL$2,'נתוני תאגידים'!$1:$719,237,0)*($B30-2013.5+25)/25</f>
        <v>-319.68000000000006</v>
      </c>
      <c r="AM30" s="98">
        <f>+HLOOKUP(AM$2,'נתוני תאגידים'!$1:$719,237,0)*($B30-2013.5+25)/25</f>
        <v>-2672.6400000000008</v>
      </c>
      <c r="AN30" s="98">
        <f>+HLOOKUP(AN$2,'נתוני תאגידים'!$1:$719,237,0)*($B30-2013.5+25)/25</f>
        <v>-1221.1200000000001</v>
      </c>
      <c r="AO30" s="98">
        <f>+HLOOKUP(AO$2,'נתוני תאגידים'!$1:$719,237,0)*($B30-2013.5+25)/25</f>
        <v>-778.32</v>
      </c>
      <c r="AP30" s="98">
        <f>+HLOOKUP(AP$2,'נתוני תאגידים'!$1:$719,237,0)*($B30-2013.5+25)/25</f>
        <v>-1836</v>
      </c>
      <c r="AQ30" s="98">
        <f>+HLOOKUP(AQ$2,'נתוני תאגידים'!$1:$719,237,0)*($B30-2013.5+25)/25</f>
        <v>-4687.2</v>
      </c>
      <c r="AR30" s="98">
        <f>+HLOOKUP(AR$2,'נתוני תאגידים'!$1:$719,237,0)*($B30-2013.5+25)/25</f>
        <v>-1983.6</v>
      </c>
      <c r="AS30" s="98">
        <f>+HLOOKUP(AS$2,'נתוני תאגידים'!$1:$719,237,0)*($B30-2013.5+25)/25</f>
        <v>-17569.440000000002</v>
      </c>
      <c r="AT30" s="98">
        <f>+HLOOKUP(AT$2,'נתוני תאגידים'!$1:$719,237,0)*($B30-2013.5+25)/25</f>
        <v>-1263.5999999999999</v>
      </c>
      <c r="AU30" s="98">
        <f>+HLOOKUP(AU$2,'נתוני תאגידים'!$1:$719,237,0)*($B30-2013.5+25)/25</f>
        <v>-2654.6400000000008</v>
      </c>
      <c r="AV30" s="98">
        <f>+HLOOKUP(AV$2,'נתוני תאגידים'!$1:$719,237,0)*($B30-2013.5+25)/25</f>
        <v>0</v>
      </c>
      <c r="AW30" s="98">
        <f>+HLOOKUP(AW$2,'נתוני תאגידים'!$1:$719,237,0)*($B30-2013.5+25)/25</f>
        <v>0</v>
      </c>
      <c r="AX30" s="98">
        <f>+HLOOKUP(AX$2,'נתוני תאגידים'!$1:$719,237,0)*($B30-2013.5+25)/25</f>
        <v>-529.20000000000005</v>
      </c>
      <c r="AY30" s="98">
        <f>+HLOOKUP(AY$2,'נתוני תאגידים'!$1:$719,237,0)*($B30-2013.5+25)/25</f>
        <v>0</v>
      </c>
      <c r="AZ30" s="98">
        <f>+HLOOKUP(AZ$2,'נתוני תאגידים'!$1:$719,237,0)*($B30-2013.5+25)/25</f>
        <v>0</v>
      </c>
      <c r="BA30" s="98">
        <f>+HLOOKUP(BA$2,'נתוני תאגידים'!$1:$719,237,0)*($B30-2013.5+25)/25</f>
        <v>-0.72</v>
      </c>
      <c r="BB30" s="98">
        <f>+HLOOKUP(BB$2,'נתוני תאגידים'!$1:$719,237,0)*($B30-2013.5+25)/25</f>
        <v>0</v>
      </c>
      <c r="BC30" s="98">
        <f>+HLOOKUP(BC$2,'נתוני תאגידים'!$1:$719,237,0)*($B30-2013.5+25)/25</f>
        <v>0</v>
      </c>
      <c r="BD30" s="98">
        <f>+HLOOKUP(BD$2,'נתוני תאגידים'!$1:$719,237,0)*($B30-2013.5+25)/25</f>
        <v>0</v>
      </c>
      <c r="BE30" s="98">
        <f>+HLOOKUP(BE$2,'נתוני תאגידים'!$1:$719,237,0)*($B30-2013.5+25)/25</f>
        <v>0</v>
      </c>
      <c r="BF30" s="98">
        <f>+HLOOKUP(BF$2,'נתוני תאגידים'!$1:$719,237,0)*($B30-2013.5+25)/25</f>
        <v>0</v>
      </c>
      <c r="BG30" s="98">
        <f>+HLOOKUP(BG$2,'נתוני תאגידים'!$1:$719,237,0)*($B30-2013.5+25)/25</f>
        <v>-818.1</v>
      </c>
    </row>
    <row r="31" spans="1:59" x14ac:dyDescent="0.2">
      <c r="A31" s="1084">
        <f>+'[6]גיליון סימולציה לתעריפי 2016'!$F$31</f>
        <v>0.8</v>
      </c>
      <c r="B31" s="98">
        <v>2012</v>
      </c>
      <c r="E31" s="98">
        <f>+HLOOKUP(E$2,'נתוני תאגידים'!$1:$719,239,0)*($B31-2013.5+25)/25*$A$31</f>
        <v>-5585.8559999999998</v>
      </c>
      <c r="F31" s="98">
        <f>+HLOOKUP(F$2,'נתוני תאגידים'!$1:$719,239,0)*($B31-2013.5+25)/25*$A$31</f>
        <v>-15985.264000000003</v>
      </c>
      <c r="G31" s="98">
        <f>+HLOOKUP(G$2,'נתוני תאגידים'!$1:$719,239,0)*($B31-2013.5+25)/25*$A$31</f>
        <v>-47564.752000000008</v>
      </c>
      <c r="H31" s="98">
        <f>+HLOOKUP(H$2,'נתוני תאגידים'!$1:$719,239,0)*($B31-2013.5+25)/25*$A$31</f>
        <v>-71817.504000000001</v>
      </c>
      <c r="I31" s="98">
        <f>+HLOOKUP(I$2,'נתוני תאגידים'!$1:$719,239,0)*($B31-2013.5+25)/25*$A$31</f>
        <v>-553.47200000000009</v>
      </c>
      <c r="J31" s="98">
        <f>+HLOOKUP(J$2,'נתוני תאגידים'!$1:$719,239,0)*($B31-2013.5+25)/25*$A$31</f>
        <v>-2430.4639999999999</v>
      </c>
      <c r="K31" s="98">
        <f>+HLOOKUP(K$2,'נתוני תאגידים'!$1:$719,239,0)*($B31-2013.5+25)/25*$A$31</f>
        <v>-1467.9040000000002</v>
      </c>
      <c r="L31" s="98">
        <f>+HLOOKUP(L$2,'נתוני תאגידים'!$1:$719,239,0)*($B31-2013.5+25)/25*$A$31</f>
        <v>-258.68800000000005</v>
      </c>
      <c r="M31" s="98">
        <f>+HLOOKUP(M$2,'נתוני תאגידים'!$1:$719,239,0)*($B31-2013.5+25)/25*$A$31</f>
        <v>-3185.4720000000002</v>
      </c>
      <c r="N31" s="98">
        <f>+HLOOKUP(N$2,'נתוני תאגידים'!$1:$719,239,0)*($B31-2013.5+25)/25*$A$31</f>
        <v>-8420.8960000000006</v>
      </c>
      <c r="O31" s="98">
        <f>+HLOOKUP(O$2,'נתוני תאגידים'!$1:$719,239,0)*($B31-2013.5+25)/25*$A$31</f>
        <v>-4866.9440000000004</v>
      </c>
      <c r="P31" s="98">
        <f>+HLOOKUP(P$2,'נתוני תאגידים'!$1:$719,239,0)*($B31-2013.5+25)/25*$A$31</f>
        <v>-15091.888000000001</v>
      </c>
      <c r="Q31" s="98">
        <f>+HLOOKUP(Q$2,'נתוני תאגידים'!$1:$719,239,0)*($B31-2013.5+25)/25*$A$31</f>
        <v>-679.05600000000004</v>
      </c>
      <c r="R31" s="98">
        <f>+HLOOKUP(R$2,'נתוני תאגידים'!$1:$719,239,0)*($B31-2013.5+25)/25*$A$31</f>
        <v>-2104.848</v>
      </c>
      <c r="S31" s="98">
        <f>+HLOOKUP(S$2,'נתוני תאגידים'!$1:$719,239,0)*($B31-2013.5+25)/25*$A$31</f>
        <v>-1624.3200000000002</v>
      </c>
      <c r="T31" s="98">
        <f>+HLOOKUP(T$2,'נתוני תאגידים'!$1:$719,239,0)*($B31-2013.5+25)/25*$A$31</f>
        <v>-3565.9839999999999</v>
      </c>
      <c r="U31" s="98">
        <f>+HLOOKUP(U$2,'נתוני תאגידים'!$1:$719,239,0)*($B31-2013.5+25)/25*$A$31</f>
        <v>-3054.6240000000003</v>
      </c>
      <c r="V31" s="98">
        <f>+HLOOKUP(V$2,'נתוני תאגידים'!$1:$719,239,0)*($B31-2013.5+25)/25*$A$31</f>
        <v>-258.68800000000005</v>
      </c>
      <c r="W31" s="98">
        <f>+HLOOKUP(W$2,'נתוני תאגידים'!$1:$719,239,0)*($B31-2013.5+25)/25*$A$31</f>
        <v>-3435.8879999999999</v>
      </c>
      <c r="X31" s="98">
        <f>+HLOOKUP(X$2,'נתוני תאגידים'!$1:$719,239,0)*($B31-2013.5+25)/25*$A$31</f>
        <v>0</v>
      </c>
      <c r="Y31" s="98">
        <f>+HLOOKUP(Y$2,'נתוני תאגידים'!$1:$719,239,0)*($B31-2013.5+25)/25*$A$31</f>
        <v>0</v>
      </c>
      <c r="Z31" s="98">
        <f>+HLOOKUP(Z$2,'נתוני תאגידים'!$1:$719,239,0)*($B31-2013.5+25)/25*$A$31</f>
        <v>-11746.992</v>
      </c>
      <c r="AA31" s="98">
        <f>+HLOOKUP(AA$2,'נתוני תאגידים'!$1:$719,239,0)*($B31-2013.5+25)/25*$A$31</f>
        <v>0</v>
      </c>
      <c r="AB31" s="98">
        <f>+HLOOKUP(AB$2,'נתוני תאגידים'!$1:$719,239,0)*($B31-2013.5+25)/25*$A$31</f>
        <v>-2630.4960000000001</v>
      </c>
      <c r="AC31" s="98">
        <f>+HLOOKUP(AC$2,'נתוני תאגידים'!$1:$719,239,0)*($B31-2013.5+25)/25*$A$31</f>
        <v>-14030.816000000001</v>
      </c>
      <c r="AD31" s="98">
        <f>+HLOOKUP(AD$2,'נתוני תאגידים'!$1:$719,239,0)*($B31-2013.5+25)/25*$A$31</f>
        <v>-8589.344000000001</v>
      </c>
      <c r="AE31" s="98">
        <f>+HLOOKUP(AE$2,'נתוני תאגידים'!$1:$719,239,0)*($B31-2013.5+25)/25*$A$31</f>
        <v>-16986.928</v>
      </c>
      <c r="AF31" s="98">
        <f>+HLOOKUP(AF$2,'נתוני תאגידים'!$1:$719,239,0)*($B31-2013.5+25)/25*$A$31</f>
        <v>-3595.3120000000004</v>
      </c>
      <c r="AG31" s="98">
        <f>+HLOOKUP(AG$2,'נתוני תאגידים'!$1:$719,239,0)*($B31-2013.5+25)/25*$A$31</f>
        <v>-3092.9760000000001</v>
      </c>
      <c r="AH31" s="98">
        <f>+HLOOKUP(AH$2,'נתוני תאגידים'!$1:$719,239,0)*($B31-2013.5+25)/25*$A$31</f>
        <v>-845.24800000000005</v>
      </c>
      <c r="AI31" s="98">
        <f>+HLOOKUP(AI$2,'נתוני תאגידים'!$1:$719,239,0)*($B31-2013.5+25)/25*$A$31</f>
        <v>-3317.0720000000001</v>
      </c>
      <c r="AJ31" s="98">
        <f>+HLOOKUP(AJ$2,'נתוני תאגידים'!$1:$719,239,0)*($B31-2013.5+25)/25*$A$31</f>
        <v>-440.67200000000003</v>
      </c>
      <c r="AK31" s="98">
        <f>+HLOOKUP(AK$2,'נתוני תאגידים'!$1:$719,239,0)*($B31-2013.5+25)/25*$A$31</f>
        <v>-7528.2720000000008</v>
      </c>
      <c r="AL31" s="98">
        <f>+HLOOKUP(AL$2,'נתוני תאגידים'!$1:$719,239,0)*($B31-2013.5+25)/25*$A$31</f>
        <v>-741.47200000000009</v>
      </c>
      <c r="AM31" s="98">
        <f>+HLOOKUP(AM$2,'נתוני תאגידים'!$1:$719,239,0)*($B31-2013.5+25)/25*$A$31</f>
        <v>-940.75200000000007</v>
      </c>
      <c r="AN31" s="98">
        <f>+HLOOKUP(AN$2,'נתוני תאגידים'!$1:$719,239,0)*($B31-2013.5+25)/25*$A$31</f>
        <v>-1086.6400000000001</v>
      </c>
      <c r="AO31" s="98">
        <f>+HLOOKUP(AO$2,'נתוני תאגידים'!$1:$719,239,0)*($B31-2013.5+25)/25*$A$31</f>
        <v>-1452.864</v>
      </c>
      <c r="AP31" s="98">
        <f>+HLOOKUP(AP$2,'נתוני תאגידים'!$1:$719,239,0)*($B31-2013.5+25)/25*$A$31</f>
        <v>-3329.1040000000003</v>
      </c>
      <c r="AQ31" s="98">
        <f>+HLOOKUP(AQ$2,'נתוני תאגידים'!$1:$719,239,0)*($B31-2013.5+25)/25*$A$31</f>
        <v>-2514.6880000000001</v>
      </c>
      <c r="AR31" s="98">
        <f>+HLOOKUP(AR$2,'נתוני תאגידים'!$1:$719,239,0)*($B31-2013.5+25)/25*$A$31</f>
        <v>-2356.768</v>
      </c>
      <c r="AS31" s="98">
        <f>+HLOOKUP(AS$2,'נתוני תאגידים'!$1:$719,239,0)*($B31-2013.5+25)/25*$A$31</f>
        <v>-7980.2240000000011</v>
      </c>
      <c r="AT31" s="98">
        <f>+HLOOKUP(AT$2,'נתוני תאגידים'!$1:$719,239,0)*($B31-2013.5+25)/25*$A$31</f>
        <v>-3365.2000000000003</v>
      </c>
      <c r="AU31" s="98">
        <f>+HLOOKUP(AU$2,'נתוני תאגידים'!$1:$719,239,0)*($B31-2013.5+25)/25*$A$31</f>
        <v>-1082.8799999999999</v>
      </c>
      <c r="AV31" s="98">
        <f>+HLOOKUP(AV$2,'נתוני תאגידים'!$1:$719,239,0)*($B31-2013.5+25)/25*$A$31</f>
        <v>0</v>
      </c>
      <c r="AW31" s="98">
        <f>+HLOOKUP(AW$2,'נתוני תאגידים'!$1:$719,239,0)*($B31-2013.5+25)/25*$A$31</f>
        <v>-480.52800000000002</v>
      </c>
      <c r="AX31" s="98">
        <f>+HLOOKUP(AX$2,'נתוני תאגידים'!$1:$719,239,0)*($B31-2013.5+25)/25*$A$31</f>
        <v>-182.73599999999999</v>
      </c>
      <c r="AY31" s="98">
        <f>+HLOOKUP(AY$2,'נתוני תאגידים'!$1:$719,239,0)*($B31-2013.5+25)/25*$A$31</f>
        <v>0</v>
      </c>
      <c r="AZ31" s="98">
        <f>+HLOOKUP(AZ$2,'נתוני תאגידים'!$1:$719,239,0)*($B31-2013.5+25)/25*$A$31</f>
        <v>0</v>
      </c>
      <c r="BA31" s="98">
        <f>+HLOOKUP(BA$2,'נתוני תאגידים'!$1:$719,239,0)*($B31-2013.5+25)/25*$A$31</f>
        <v>-6091.2000000000007</v>
      </c>
      <c r="BB31" s="98">
        <f>+HLOOKUP(BB$2,'נתוני תאגידים'!$1:$719,239,0)*($B31-2013.5+25)/25*$A$31</f>
        <v>0</v>
      </c>
      <c r="BC31" s="98">
        <f>+HLOOKUP(BC$2,'נתוני תאגידים'!$1:$719,239,0)*($B31-2013.5+25)/25*$A$31</f>
        <v>0</v>
      </c>
      <c r="BD31" s="98">
        <f>+HLOOKUP(BD$2,'נתוני תאגידים'!$1:$719,239,0)*($B31-2013.5+25)/25*$A$31</f>
        <v>0</v>
      </c>
      <c r="BE31" s="98">
        <f>+HLOOKUP(BE$2,'נתוני תאגידים'!$1:$719,239,0)*($B31-2013.5+25)/25*$A$31</f>
        <v>-1607.0240000000001</v>
      </c>
      <c r="BF31" s="98">
        <f>+HLOOKUP(BF$2,'נתוני תאגידים'!$1:$719,239,0)*($B31-2013.5+25)/25*$A$31</f>
        <v>0</v>
      </c>
      <c r="BG31" s="98">
        <f>+HLOOKUP(BG$2,'נתוני תאגידים'!$1:$719,239,0)*($B31-2013.5+25)/25*$A$31</f>
        <v>-768.54399999999998</v>
      </c>
    </row>
    <row r="32" spans="1:59" x14ac:dyDescent="0.2">
      <c r="A32" s="1084">
        <f>+'[6]גיליון סימולציה לתעריפי 2016'!$F$31</f>
        <v>0.8</v>
      </c>
      <c r="B32" s="98">
        <v>2013</v>
      </c>
      <c r="E32" s="98">
        <f>+HLOOKUP(E$2,'נתוני תאגידים'!$1:$719,241,0)*($B32-2013.5+25)/25*$A$32</f>
        <v>-4932.9279999999999</v>
      </c>
      <c r="F32" s="98">
        <f>+HLOOKUP(F$2,'נתוני תאגידים'!$1:$719,241,0)*($B32-2013.5+25)/25*$A$32</f>
        <v>-12423.264000000001</v>
      </c>
      <c r="G32" s="98">
        <f>+HLOOKUP(G$2,'נתוני תאגידים'!$1:$719,241,0)*($B32-2013.5+25)/25*$A$32</f>
        <v>-36898.959999999999</v>
      </c>
      <c r="H32" s="98">
        <f>+HLOOKUP(H$2,'נתוני תאגידים'!$1:$719,241,0)*($B32-2013.5+25)/25*$A$32</f>
        <v>-69029.631999999998</v>
      </c>
      <c r="I32" s="98">
        <f>+HLOOKUP(I$2,'נתוני תאגידים'!$1:$719,241,0)*($B32-2013.5+25)/25*$A$32</f>
        <v>-1652.6720000000003</v>
      </c>
      <c r="J32" s="98">
        <f>+HLOOKUP(J$2,'נתוני תאגידים'!$1:$719,241,0)*($B32-2013.5+25)/25*$A$32</f>
        <v>-1559.3760000000002</v>
      </c>
      <c r="K32" s="98">
        <f>+HLOOKUP(K$2,'נתוני תאגידים'!$1:$719,241,0)*($B32-2013.5+25)/25*$A$32</f>
        <v>0</v>
      </c>
      <c r="L32" s="98">
        <f>+HLOOKUP(L$2,'נתוני תאגידים'!$1:$719,241,0)*($B32-2013.5+25)/25*$A$32</f>
        <v>-2472.7360000000003</v>
      </c>
      <c r="M32" s="98">
        <f>+HLOOKUP(M$2,'נתוני תאגידים'!$1:$719,241,0)*($B32-2013.5+25)/25*$A$32</f>
        <v>-10826.256000000001</v>
      </c>
      <c r="N32" s="98">
        <f>+HLOOKUP(N$2,'נתוני תאגידים'!$1:$719,241,0)*($B32-2013.5+25)/25*$A$32</f>
        <v>-11089.68</v>
      </c>
      <c r="O32" s="98">
        <f>+HLOOKUP(O$2,'נתוני תאגידים'!$1:$719,241,0)*($B32-2013.5+25)/25*$A$32</f>
        <v>-7091.2800000000007</v>
      </c>
      <c r="P32" s="98">
        <f>+HLOOKUP(P$2,'נתוני תאגידים'!$1:$719,241,0)*($B32-2013.5+25)/25*$A$32</f>
        <v>-10079.888000000001</v>
      </c>
      <c r="Q32" s="98">
        <f>+HLOOKUP(Q$2,'נתוני תאגידים'!$1:$719,241,0)*($B32-2013.5+25)/25*$A$32</f>
        <v>-510.38400000000001</v>
      </c>
      <c r="R32" s="98">
        <f>+HLOOKUP(R$2,'נתוני תאגידים'!$1:$719,241,0)*($B32-2013.5+25)/25*$A$32</f>
        <v>-1959.2160000000001</v>
      </c>
      <c r="S32" s="98">
        <f>+HLOOKUP(S$2,'נתוני תאגידים'!$1:$719,241,0)*($B32-2013.5+25)/25*$A$32</f>
        <v>-1852.5919999999999</v>
      </c>
      <c r="T32" s="98">
        <f>+HLOOKUP(T$2,'נתוני תאגידים'!$1:$719,241,0)*($B32-2013.5+25)/25*$A$32</f>
        <v>-3280.2559999999999</v>
      </c>
      <c r="U32" s="98">
        <f>+HLOOKUP(U$2,'נתוני תאגידים'!$1:$719,241,0)*($B32-2013.5+25)/25*$A$32</f>
        <v>-3286.5280000000002</v>
      </c>
      <c r="V32" s="98">
        <f>+HLOOKUP(V$2,'נתוני תאגידים'!$1:$719,241,0)*($B32-2013.5+25)/25*$A$32</f>
        <v>-737.74400000000003</v>
      </c>
      <c r="W32" s="98">
        <f>+HLOOKUP(W$2,'נתוני תאגידים'!$1:$719,241,0)*($B32-2013.5+25)/25*$A$32</f>
        <v>-2228.9119999999998</v>
      </c>
      <c r="X32" s="98">
        <f>+HLOOKUP(X$2,'נתוני תאגידים'!$1:$719,241,0)*($B32-2013.5+25)/25*$A$32</f>
        <v>-3327.2960000000003</v>
      </c>
      <c r="Y32" s="98">
        <f>+HLOOKUP(Y$2,'נתוני תאגידים'!$1:$719,241,0)*($B32-2013.5+25)/25*$A$32</f>
        <v>-1600.9280000000001</v>
      </c>
      <c r="Z32" s="98">
        <f>+HLOOKUP(Z$2,'נתוני תאגידים'!$1:$719,241,0)*($B32-2013.5+25)/25*$A$32</f>
        <v>-8104.2080000000005</v>
      </c>
      <c r="AA32" s="98">
        <f>+HLOOKUP(AA$2,'נתוני תאגידים'!$1:$719,241,0)*($B32-2013.5+25)/25*$A$32</f>
        <v>0</v>
      </c>
      <c r="AB32" s="98">
        <f>+HLOOKUP(AB$2,'נתוני תאגידים'!$1:$719,241,0)*($B32-2013.5+25)/25*$A$32</f>
        <v>-3019.9680000000003</v>
      </c>
      <c r="AC32" s="98">
        <f>+HLOOKUP(AC$2,'נתוני תאגידים'!$1:$719,241,0)*($B32-2013.5+25)/25*$A$32</f>
        <v>-14592.592000000002</v>
      </c>
      <c r="AD32" s="98">
        <f>+HLOOKUP(AD$2,'נתוני תאגידים'!$1:$719,241,0)*($B32-2013.5+25)/25*$A$32</f>
        <v>-10980.704</v>
      </c>
      <c r="AE32" s="98">
        <f>+HLOOKUP(AE$2,'נתוני תאגידים'!$1:$719,241,0)*($B32-2013.5+25)/25*$A$32</f>
        <v>-14374.64</v>
      </c>
      <c r="AF32" s="98">
        <f>+HLOOKUP(AF$2,'נתוני תאגידים'!$1:$719,241,0)*($B32-2013.5+25)/25*$A$32</f>
        <v>-5712.2240000000002</v>
      </c>
      <c r="AG32" s="98">
        <f>+HLOOKUP(AG$2,'נתוני תאגידים'!$1:$719,241,0)*($B32-2013.5+25)/25*$A$32</f>
        <v>-2032.1279999999999</v>
      </c>
      <c r="AH32" s="98">
        <f>+HLOOKUP(AH$2,'נתוני תאגידים'!$1:$719,241,0)*($B32-2013.5+25)/25*$A$32</f>
        <v>-1328.096</v>
      </c>
      <c r="AI32" s="98">
        <f>+HLOOKUP(AI$2,'נתוני תאגידים'!$1:$719,241,0)*($B32-2013.5+25)/25*$A$32</f>
        <v>-4817.68</v>
      </c>
      <c r="AJ32" s="98">
        <f>+HLOOKUP(AJ$2,'נתוני תאגידים'!$1:$719,241,0)*($B32-2013.5+25)/25*$A$32</f>
        <v>-1629.152</v>
      </c>
      <c r="AK32" s="98">
        <f>+HLOOKUP(AK$2,'נתוני תאגידים'!$1:$719,241,0)*($B32-2013.5+25)/25*$A$32</f>
        <v>-3165.0080000000003</v>
      </c>
      <c r="AL32" s="98">
        <f>+HLOOKUP(AL$2,'נתוני תאגידים'!$1:$719,241,0)*($B32-2013.5+25)/25*$A$32</f>
        <v>-1404.9280000000001</v>
      </c>
      <c r="AM32" s="98">
        <f>+HLOOKUP(AM$2,'נתוני תאגידים'!$1:$719,241,0)*($B32-2013.5+25)/25*$A$32</f>
        <v>-2167.7599999999998</v>
      </c>
      <c r="AN32" s="98">
        <f>+HLOOKUP(AN$2,'נתוני תאגידים'!$1:$719,241,0)*($B32-2013.5+25)/25*$A$32</f>
        <v>-1255.9680000000001</v>
      </c>
      <c r="AO32" s="98">
        <f>+HLOOKUP(AO$2,'נתוני תאגידים'!$1:$719,241,0)*($B32-2013.5+25)/25*$A$32</f>
        <v>-5739.6640000000007</v>
      </c>
      <c r="AP32" s="98">
        <f>+HLOOKUP(AP$2,'נתוני תאגידים'!$1:$719,241,0)*($B32-2013.5+25)/25*$A$32</f>
        <v>-2125.4240000000004</v>
      </c>
      <c r="AQ32" s="98">
        <f>+HLOOKUP(AQ$2,'נתוני תאגידים'!$1:$719,241,0)*($B32-2013.5+25)/25*$A$32</f>
        <v>-2857.6800000000003</v>
      </c>
      <c r="AR32" s="98">
        <f>+HLOOKUP(AR$2,'נתוני תאגידים'!$1:$719,241,0)*($B32-2013.5+25)/25*$A$32</f>
        <v>-5482.5120000000006</v>
      </c>
      <c r="AS32" s="98">
        <f>+HLOOKUP(AS$2,'נתוני תאגידים'!$1:$719,241,0)*($B32-2013.5+25)/25*$A$32</f>
        <v>-6872.5440000000008</v>
      </c>
      <c r="AT32" s="98">
        <f>+HLOOKUP(AT$2,'נתוני תאגידים'!$1:$719,241,0)*($B32-2013.5+25)/25*$A$32</f>
        <v>-6987.7920000000004</v>
      </c>
      <c r="AU32" s="98">
        <f>+HLOOKUP(AU$2,'נתוני תאגידים'!$1:$719,241,0)*($B32-2013.5+25)/25*$A$32</f>
        <v>-1262.24</v>
      </c>
      <c r="AV32" s="98">
        <f>+HLOOKUP(AV$2,'נתוני תאגידים'!$1:$719,241,0)*($B32-2013.5+25)/25*$A$32</f>
        <v>0</v>
      </c>
      <c r="AW32" s="98">
        <f>+HLOOKUP(AW$2,'נתוני תאגידים'!$1:$719,241,0)*($B32-2013.5+25)/25*$A$32</f>
        <v>-1252.048</v>
      </c>
      <c r="AX32" s="98">
        <f>+HLOOKUP(AX$2,'נתוני תאגידים'!$1:$719,241,0)*($B32-2013.5+25)/25*$A$32</f>
        <v>-177.184</v>
      </c>
      <c r="AY32" s="98">
        <f>+HLOOKUP(AY$2,'נתוני תאגידים'!$1:$719,241,0)*($B32-2013.5+25)/25*$A$32</f>
        <v>-1858.08</v>
      </c>
      <c r="AZ32" s="98">
        <f>+HLOOKUP(AZ$2,'נתוני תאגידים'!$1:$719,241,0)*($B32-2013.5+25)/25*$A$32</f>
        <v>0</v>
      </c>
      <c r="BA32" s="98">
        <f>+HLOOKUP(BA$2,'נתוני תאגידים'!$1:$719,241,0)*($B32-2013.5+25)/25*$A$32</f>
        <v>-27755.168000000001</v>
      </c>
      <c r="BB32" s="98">
        <f>+HLOOKUP(BB$2,'נתוני תאגידים'!$1:$719,241,0)*($B32-2013.5+25)/25*$A$32</f>
        <v>0</v>
      </c>
      <c r="BC32" s="98">
        <f>+HLOOKUP(BC$2,'נתוני תאגידים'!$1:$719,241,0)*($B32-2013.5+25)/25*$A$32</f>
        <v>-509.6</v>
      </c>
      <c r="BD32" s="98">
        <f>+HLOOKUP(BD$2,'נתוני תאגידים'!$1:$719,241,0)*($B32-2013.5+25)/25*$A$32</f>
        <v>0</v>
      </c>
      <c r="BE32" s="98">
        <f>+HLOOKUP(BE$2,'נתוני תאגידים'!$1:$719,241,0)*($B32-2013.5+25)/25*$A$32</f>
        <v>-1651.8880000000001</v>
      </c>
      <c r="BF32" s="98">
        <f>+HLOOKUP(BF$2,'נתוני תאגידים'!$1:$719,241,0)*($B32-2013.5+25)/25*$A$32</f>
        <v>0</v>
      </c>
      <c r="BG32" s="98">
        <f>+HLOOKUP(BG$2,'נתוני תאגידים'!$1:$719,241,0)*($B32-2013.5+25)/25*$A$32</f>
        <v>-1718.528</v>
      </c>
    </row>
    <row r="33" spans="1:59" x14ac:dyDescent="0.2">
      <c r="A33" s="1084">
        <v>0.8</v>
      </c>
      <c r="B33" s="98">
        <v>2014</v>
      </c>
      <c r="E33" s="98">
        <f>+HLOOKUP(E$2,'נתוני תאגידים'!$1:$719,242,0)*($B33-2014.5+25)/25*$A$33</f>
        <v>-16552.592000000001</v>
      </c>
      <c r="F33" s="98">
        <f>+HLOOKUP(F$2,'נתוני תאגידים'!$1:$719,242,0)*($B33-2014.5+25)/25*$A$33</f>
        <v>-15441.664000000002</v>
      </c>
      <c r="G33" s="98">
        <f>+HLOOKUP(G$2,'נתוני תאגידים'!$1:$719,242,0)*($B33-2014.5+25)/25*$A$33</f>
        <v>-50466.864000000001</v>
      </c>
      <c r="H33" s="98">
        <f>+HLOOKUP(H$2,'נתוני תאגידים'!$1:$719,242,0)*($B33-2014.5+25)/25*$A$33</f>
        <v>-61787.824000000001</v>
      </c>
      <c r="I33" s="98">
        <f>+HLOOKUP(I$2,'נתוני תאגידים'!$1:$719,242,0)*($B33-2014.5+25)/25*$A$33</f>
        <v>0</v>
      </c>
      <c r="J33" s="98">
        <f>+HLOOKUP(J$2,'נתוני תאגידים'!$1:$719,242,0)*($B33-2014.5+25)/25*$A$33</f>
        <v>-5517.7920000000004</v>
      </c>
      <c r="K33" s="98">
        <f>+HLOOKUP(K$2,'נתוני תאגידים'!$1:$719,242,0)*($B33-2014.5+25)/25*$A$33</f>
        <v>0</v>
      </c>
      <c r="L33" s="98">
        <f>+HLOOKUP(L$2,'נתוני תאגידים'!$1:$719,242,0)*($B33-2014.5+25)/25*$A$33</f>
        <v>-2638.944</v>
      </c>
      <c r="M33" s="98">
        <f>+HLOOKUP(M$2,'נתוני תאגידים'!$1:$719,242,0)*($B33-2014.5+25)/25*$A$33</f>
        <v>-3416.6720000000005</v>
      </c>
      <c r="N33" s="98">
        <f>+HLOOKUP(N$2,'נתוני תאגידים'!$1:$719,242,0)*($B33-2014.5+25)/25*$A$33</f>
        <v>-7985.04</v>
      </c>
      <c r="O33" s="98">
        <f>+HLOOKUP(O$2,'נתוני תאגידים'!$1:$719,242,0)*($B33-2014.5+25)/25*$A$33</f>
        <v>-6015.6320000000005</v>
      </c>
      <c r="P33" s="98">
        <f>+HLOOKUP(P$2,'נתוני תאגידים'!$1:$719,242,0)*($B33-2014.5+25)/25*$A$33</f>
        <v>-26896.688000000002</v>
      </c>
      <c r="Q33" s="98">
        <f>+HLOOKUP(Q$2,'נתוני תאגידים'!$1:$719,242,0)*($B33-2014.5+25)/25*$A$33</f>
        <v>-20892.816000000003</v>
      </c>
      <c r="R33" s="98">
        <f>+HLOOKUP(R$2,'נתוני תאגידים'!$1:$719,242,0)*($B33-2014.5+25)/25*$A$33</f>
        <v>0</v>
      </c>
      <c r="S33" s="98">
        <f>+HLOOKUP(S$2,'נתוני תאגידים'!$1:$719,242,0)*($B33-2014.5+25)/25*$A$33</f>
        <v>-4777.6959999999999</v>
      </c>
      <c r="T33" s="98">
        <f>+HLOOKUP(T$2,'נתוני תאגידים'!$1:$719,242,0)*($B33-2014.5+25)/25*$A$33</f>
        <v>-8791.7759999999998</v>
      </c>
      <c r="U33" s="98">
        <f>+HLOOKUP(U$2,'נתוני תאגידים'!$1:$719,242,0)*($B33-2014.5+25)/25*$A$33</f>
        <v>-2284.576</v>
      </c>
      <c r="V33" s="98">
        <f>+HLOOKUP(V$2,'נתוני תאגידים'!$1:$719,242,0)*($B33-2014.5+25)/25*$A$33</f>
        <v>-434.33600000000001</v>
      </c>
      <c r="W33" s="98">
        <f>+HLOOKUP(W$2,'נתוני תאגידים'!$1:$719,242,0)*($B33-2014.5+25)/25*$A$33</f>
        <v>-3131.2960000000003</v>
      </c>
      <c r="X33" s="98">
        <f>+HLOOKUP(X$2,'נתוני תאגידים'!$1:$719,242,0)*($B33-2014.5+25)/25*$A$33</f>
        <v>-5023.0879999999997</v>
      </c>
      <c r="Y33" s="98">
        <f>+HLOOKUP(Y$2,'נתוני תאגידים'!$1:$719,242,0)*($B33-2014.5+25)/25*$A$33</f>
        <v>0</v>
      </c>
      <c r="Z33" s="98">
        <f>+HLOOKUP(Z$2,'נתוני תאגידים'!$1:$719,242,0)*($B33-2014.5+25)/25*$A$33</f>
        <v>-26369.840000000004</v>
      </c>
      <c r="AA33" s="98">
        <f>+HLOOKUP(AA$2,'נתוני תאגידים'!$1:$719,242,0)*($B33-2014.5+25)/25*$A$33</f>
        <v>0</v>
      </c>
      <c r="AB33" s="98">
        <f>+HLOOKUP(AB$2,'נתוני תאגידים'!$1:$719,242,0)*($B33-2014.5+25)/25*$A$33</f>
        <v>0</v>
      </c>
      <c r="AC33" s="98">
        <f>+HLOOKUP(AC$2,'נתוני תאגידים'!$1:$719,242,0)*($B33-2014.5+25)/25*$A$33</f>
        <v>-16309.552</v>
      </c>
      <c r="AD33" s="98">
        <f>+HLOOKUP(AD$2,'נתוני תאגידים'!$1:$719,242,0)*($B33-2014.5+25)/25*$A$33</f>
        <v>-15273.104000000001</v>
      </c>
      <c r="AE33" s="98">
        <f>+HLOOKUP(AE$2,'נתוני תאגידים'!$1:$719,242,0)*($B33-2014.5+25)/25*$A$33</f>
        <v>-14535.36</v>
      </c>
      <c r="AF33" s="98">
        <f>+HLOOKUP(AF$2,'נתוני תאגידים'!$1:$719,242,0)*($B33-2014.5+25)/25*$A$33</f>
        <v>-8812.9440000000013</v>
      </c>
      <c r="AG33" s="98">
        <f>+HLOOKUP(AG$2,'נתוני תאגידים'!$1:$719,242,0)*($B33-2014.5+25)/25*$A$33</f>
        <v>-4147.3599999999997</v>
      </c>
      <c r="AH33" s="98">
        <f>+HLOOKUP(AH$2,'נתוני תאגידים'!$1:$719,242,0)*($B33-2014.5+25)/25*$A$33</f>
        <v>-1518.6080000000002</v>
      </c>
      <c r="AI33" s="98">
        <f>+HLOOKUP(AI$2,'נתוני תאגידים'!$1:$719,242,0)*($B33-2014.5+25)/25*$A$33</f>
        <v>-6776.1120000000001</v>
      </c>
      <c r="AJ33" s="98">
        <f>+HLOOKUP(AJ$2,'נתוני תאגידים'!$1:$719,242,0)*($B33-2014.5+25)/25*$A$33</f>
        <v>-2667.1680000000001</v>
      </c>
      <c r="AK33" s="98">
        <f>+HLOOKUP(AK$2,'נתוני תאגידים'!$1:$719,242,0)*($B33-2014.5+25)/25*$A$33</f>
        <v>0</v>
      </c>
      <c r="AL33" s="98">
        <f>+HLOOKUP(AL$2,'נתוני תאגידים'!$1:$719,242,0)*($B33-2014.5+25)/25*$A$33</f>
        <v>0</v>
      </c>
      <c r="AM33" s="98">
        <f>+HLOOKUP(AM$2,'נתוני תאגידים'!$1:$719,242,0)*($B33-2014.5+25)/25*$A$33</f>
        <v>-3489.5839999999998</v>
      </c>
      <c r="AN33" s="98">
        <f>+HLOOKUP(AN$2,'נתוני תאגידים'!$1:$719,242,0)*($B33-2014.5+25)/25*$A$33</f>
        <v>-2627.9680000000003</v>
      </c>
      <c r="AO33" s="98">
        <f>+HLOOKUP(AO$2,'נתוני תאגידים'!$1:$719,242,0)*($B33-2014.5+25)/25*$A$33</f>
        <v>-2551.92</v>
      </c>
      <c r="AP33" s="98">
        <f>+HLOOKUP(AP$2,'נתוני תאגידים'!$1:$719,242,0)*($B33-2014.5+25)/25*$A$33</f>
        <v>-2124.6400000000003</v>
      </c>
      <c r="AQ33" s="98">
        <f>+HLOOKUP(AQ$2,'נתוני תאגידים'!$1:$719,242,0)*($B33-2014.5+25)/25*$A$33</f>
        <v>-2483.712</v>
      </c>
      <c r="AR33" s="98">
        <f>+HLOOKUP(AR$2,'נתוני תאגידים'!$1:$719,242,0)*($B33-2014.5+25)/25*$A$33</f>
        <v>-3622.0800000000004</v>
      </c>
      <c r="AS33" s="98">
        <f>+HLOOKUP(AS$2,'נתוני תאגידים'!$1:$719,242,0)*($B33-2014.5+25)/25*$A$33</f>
        <v>-4609.92</v>
      </c>
      <c r="AT33" s="98">
        <f>+HLOOKUP(AT$2,'נתוני תאגידים'!$1:$719,242,0)*($B33-2014.5+25)/25*$A$33</f>
        <v>-5099.92</v>
      </c>
      <c r="AU33" s="98">
        <f>+HLOOKUP(AU$2,'נתוני תאגידים'!$1:$719,242,0)*($B33-2014.5+25)/25*$A$33</f>
        <v>-3532.7040000000002</v>
      </c>
      <c r="AV33" s="98">
        <f>+HLOOKUP(AV$2,'נתוני תאגידים'!$1:$719,242,0)*($B33-2014.5+25)/25*$A$33</f>
        <v>0</v>
      </c>
      <c r="AW33" s="98">
        <f>+HLOOKUP(AW$2,'נתוני תאגידים'!$1:$719,242,0)*($B33-2014.5+25)/25*$A$33</f>
        <v>-1219.1200000000001</v>
      </c>
      <c r="AX33" s="98">
        <f>+HLOOKUP(AX$2,'נתוני תאגידים'!$1:$719,242,0)*($B33-2014.5+25)/25*$A$33</f>
        <v>0</v>
      </c>
      <c r="AY33" s="98">
        <f>+HLOOKUP(AY$2,'נתוני תאגידים'!$1:$719,242,0)*($B33-2014.5+25)/25*$A$33</f>
        <v>-2226.56</v>
      </c>
      <c r="AZ33" s="98">
        <f>+HLOOKUP(AZ$2,'נתוני תאגידים'!$1:$719,242,0)*($B33-2014.5+25)/25*$A$33</f>
        <v>0</v>
      </c>
      <c r="BA33" s="98">
        <f>+HLOOKUP(BA$2,'נתוני תאגידים'!$1:$719,242,0)*($B33-2014.5+25)/25*$A$33</f>
        <v>-27237.728000000003</v>
      </c>
      <c r="BB33" s="98">
        <f>+HLOOKUP(BB$2,'נתוני תאגידים'!$1:$719,242,0)*($B33-2014.5+25)/25*$A$33</f>
        <v>0</v>
      </c>
      <c r="BC33" s="98">
        <f>+HLOOKUP(BC$2,'נתוני תאגידים'!$1:$719,242,0)*($B33-2014.5+25)/25*$A$33</f>
        <v>-1079.568</v>
      </c>
      <c r="BD33" s="98">
        <f>+HLOOKUP(BD$2,'נתוני תאגידים'!$1:$719,242,0)*($B33-2014.5+25)/25*$A$33</f>
        <v>0</v>
      </c>
      <c r="BE33" s="98">
        <f>+HLOOKUP(BE$2,'נתוני תאגידים'!$1:$719,242,0)*($B33-2014.5+25)/25*$A$33</f>
        <v>-589.5680000000001</v>
      </c>
      <c r="BF33" s="98">
        <f>+HLOOKUP(BF$2,'נתוני תאגידים'!$1:$719,242,0)*($B33-2014.5+25)/25*$A$33</f>
        <v>0</v>
      </c>
      <c r="BG33" s="98">
        <f>+HLOOKUP(BG$2,'נתוני תאגידים'!$1:$719,242,0)*($B33-2014.5+25)/25*$A$33</f>
        <v>-9404.8639999999996</v>
      </c>
    </row>
    <row r="35" spans="1:59" x14ac:dyDescent="0.2">
      <c r="B35" s="1290" t="s">
        <v>1567</v>
      </c>
      <c r="E35" s="98">
        <f>SUM(E27:E32)</f>
        <v>-29162.752</v>
      </c>
      <c r="F35" s="98">
        <f t="shared" ref="F35:BG35" si="8">SUM(F27:F32)</f>
        <v>-60079.376000000011</v>
      </c>
      <c r="G35" s="98">
        <f t="shared" si="8"/>
        <v>-154292.75592000003</v>
      </c>
      <c r="H35" s="98">
        <f t="shared" si="8"/>
        <v>-218267.58399999997</v>
      </c>
      <c r="I35" s="98">
        <f t="shared" si="8"/>
        <v>-4787.2320000000009</v>
      </c>
      <c r="J35" s="98">
        <f t="shared" si="8"/>
        <v>-9125.84</v>
      </c>
      <c r="K35" s="98">
        <f t="shared" si="8"/>
        <v>-3880.6720000000005</v>
      </c>
      <c r="L35" s="98">
        <f t="shared" si="8"/>
        <v>-6699.7440000000006</v>
      </c>
      <c r="M35" s="98">
        <f t="shared" si="8"/>
        <v>-17286.240000000002</v>
      </c>
      <c r="N35" s="98">
        <f t="shared" si="8"/>
        <v>-43137.184000000001</v>
      </c>
      <c r="O35" s="98">
        <f t="shared" si="8"/>
        <v>-21942.112000000001</v>
      </c>
      <c r="P35" s="98">
        <f t="shared" si="8"/>
        <v>-48137.760000000002</v>
      </c>
      <c r="Q35" s="98">
        <f t="shared" si="8"/>
        <v>-2205.44</v>
      </c>
      <c r="R35" s="98">
        <f t="shared" si="8"/>
        <v>-14331.296</v>
      </c>
      <c r="S35" s="98">
        <f t="shared" si="8"/>
        <v>-7935.4559999999992</v>
      </c>
      <c r="T35" s="98">
        <f t="shared" si="8"/>
        <v>-25728.528000000002</v>
      </c>
      <c r="U35" s="98">
        <f t="shared" si="8"/>
        <v>-13323.211328000001</v>
      </c>
      <c r="V35" s="98">
        <f t="shared" si="8"/>
        <v>-2563.6559999999999</v>
      </c>
      <c r="W35" s="98">
        <f t="shared" si="8"/>
        <v>-7217.2960000000003</v>
      </c>
      <c r="X35" s="98">
        <f t="shared" si="8"/>
        <v>-3327.2960000000003</v>
      </c>
      <c r="Y35" s="98">
        <f t="shared" si="8"/>
        <v>-4688.5120000000006</v>
      </c>
      <c r="Z35" s="98">
        <f t="shared" si="8"/>
        <v>-47087.631999999998</v>
      </c>
      <c r="AA35" s="98">
        <f t="shared" si="8"/>
        <v>-11631.760784000002</v>
      </c>
      <c r="AB35" s="98">
        <f t="shared" si="8"/>
        <v>-8466.9920000000002</v>
      </c>
      <c r="AC35" s="98">
        <f t="shared" si="8"/>
        <v>-110016.53600000001</v>
      </c>
      <c r="AD35" s="98">
        <f t="shared" si="8"/>
        <v>-46861.824000000008</v>
      </c>
      <c r="AE35" s="98">
        <f t="shared" si="8"/>
        <v>-50890.816000000006</v>
      </c>
      <c r="AF35" s="98">
        <f t="shared" si="8"/>
        <v>-13332.080000000002</v>
      </c>
      <c r="AG35" s="98">
        <f t="shared" si="8"/>
        <v>-9530.9280000000017</v>
      </c>
      <c r="AH35" s="98">
        <f t="shared" si="8"/>
        <v>-3278.3040000000001</v>
      </c>
      <c r="AI35" s="98">
        <f t="shared" si="8"/>
        <v>-13166.016</v>
      </c>
      <c r="AJ35" s="98">
        <f t="shared" si="8"/>
        <v>-10171.552000000001</v>
      </c>
      <c r="AK35" s="98">
        <f t="shared" si="8"/>
        <v>-28520.320000000003</v>
      </c>
      <c r="AL35" s="98">
        <f t="shared" si="8"/>
        <v>-4016.4000000000005</v>
      </c>
      <c r="AM35" s="98">
        <f t="shared" si="8"/>
        <v>-7553.4400000000005</v>
      </c>
      <c r="AN35" s="98">
        <f t="shared" si="8"/>
        <v>-4451.9360000000006</v>
      </c>
      <c r="AO35" s="98">
        <f t="shared" si="8"/>
        <v>-7970.8480000000009</v>
      </c>
      <c r="AP35" s="98">
        <f t="shared" si="8"/>
        <v>-8696.8000000000011</v>
      </c>
      <c r="AQ35" s="98">
        <f t="shared" si="8"/>
        <v>-10059.567999999999</v>
      </c>
      <c r="AR35" s="98">
        <f t="shared" si="8"/>
        <v>-10288.656000000001</v>
      </c>
      <c r="AS35" s="98">
        <f t="shared" si="8"/>
        <v>-39977.824000000008</v>
      </c>
      <c r="AT35" s="98">
        <f t="shared" si="8"/>
        <v>-12562.592000000001</v>
      </c>
      <c r="AU35" s="98">
        <f t="shared" si="8"/>
        <v>-6280.1280000000006</v>
      </c>
      <c r="AV35" s="98">
        <f t="shared" si="8"/>
        <v>0</v>
      </c>
      <c r="AW35" s="98">
        <f t="shared" si="8"/>
        <v>-1732.576</v>
      </c>
      <c r="AX35" s="98">
        <f t="shared" si="8"/>
        <v>-889.12</v>
      </c>
      <c r="AY35" s="98">
        <f t="shared" si="8"/>
        <v>-1858.08</v>
      </c>
      <c r="AZ35" s="98">
        <f t="shared" si="8"/>
        <v>0</v>
      </c>
      <c r="BA35" s="98">
        <f t="shared" si="8"/>
        <v>-33848.432000000001</v>
      </c>
      <c r="BB35" s="98">
        <f t="shared" si="8"/>
        <v>0</v>
      </c>
      <c r="BC35" s="98">
        <f t="shared" si="8"/>
        <v>-509.6</v>
      </c>
      <c r="BD35" s="98">
        <f t="shared" si="8"/>
        <v>0</v>
      </c>
      <c r="BE35" s="98">
        <f t="shared" si="8"/>
        <v>-3258.9120000000003</v>
      </c>
      <c r="BF35" s="98">
        <f t="shared" si="8"/>
        <v>0</v>
      </c>
      <c r="BG35" s="98">
        <f t="shared" si="8"/>
        <v>-3305.172</v>
      </c>
    </row>
    <row r="36" spans="1:59" ht="15" x14ac:dyDescent="0.25">
      <c r="B36" s="99" t="s">
        <v>666</v>
      </c>
      <c r="E36" s="98">
        <f>SUM(E28:E30)</f>
        <v>-16147.968000000001</v>
      </c>
      <c r="F36" s="98">
        <f t="shared" ref="F36:BG36" si="9">SUM(F28:F30)</f>
        <v>-25770.928</v>
      </c>
      <c r="G36" s="98">
        <f t="shared" si="9"/>
        <v>-69595.072</v>
      </c>
      <c r="H36" s="98">
        <f t="shared" si="9"/>
        <v>-77420.448000000004</v>
      </c>
      <c r="I36" s="98">
        <f t="shared" si="9"/>
        <v>-2581.0880000000002</v>
      </c>
      <c r="J36" s="98">
        <f t="shared" si="9"/>
        <v>-5136</v>
      </c>
      <c r="K36" s="98">
        <f t="shared" si="9"/>
        <v>-2412.768</v>
      </c>
      <c r="L36" s="98">
        <f t="shared" si="9"/>
        <v>-3968.32</v>
      </c>
      <c r="M36" s="98">
        <f t="shared" si="9"/>
        <v>-3274.5119999999997</v>
      </c>
      <c r="N36" s="98">
        <f t="shared" si="9"/>
        <v>-23626.608</v>
      </c>
      <c r="O36" s="98">
        <f t="shared" si="9"/>
        <v>-9983.8880000000008</v>
      </c>
      <c r="P36" s="98">
        <f t="shared" si="9"/>
        <v>-22965.984000000004</v>
      </c>
      <c r="Q36" s="98">
        <f t="shared" si="9"/>
        <v>-1016</v>
      </c>
      <c r="R36" s="98">
        <f t="shared" si="9"/>
        <v>-6776.5759999999991</v>
      </c>
      <c r="S36" s="98">
        <f t="shared" si="9"/>
        <v>-4458.5439999999999</v>
      </c>
      <c r="T36" s="98">
        <f t="shared" si="9"/>
        <v>-15744.192000000003</v>
      </c>
      <c r="U36" s="98">
        <f t="shared" si="9"/>
        <v>-6982.0593280000003</v>
      </c>
      <c r="V36" s="98">
        <f t="shared" si="9"/>
        <v>-1164.4319999999998</v>
      </c>
      <c r="W36" s="98">
        <f t="shared" si="9"/>
        <v>-1552.4959999999999</v>
      </c>
      <c r="X36" s="98">
        <f t="shared" si="9"/>
        <v>0</v>
      </c>
      <c r="Y36" s="98">
        <f t="shared" si="9"/>
        <v>-3087.5840000000007</v>
      </c>
      <c r="Z36" s="98">
        <f t="shared" si="9"/>
        <v>-23994.752</v>
      </c>
      <c r="AA36" s="98">
        <f t="shared" si="9"/>
        <v>-11631.760784000002</v>
      </c>
      <c r="AB36" s="98">
        <f t="shared" si="9"/>
        <v>-2816.5280000000002</v>
      </c>
      <c r="AC36" s="98">
        <f t="shared" si="9"/>
        <v>-67405.856</v>
      </c>
      <c r="AD36" s="98">
        <f t="shared" si="9"/>
        <v>-19209.728000000003</v>
      </c>
      <c r="AE36" s="98">
        <f t="shared" si="9"/>
        <v>-19529.248000000003</v>
      </c>
      <c r="AF36" s="98">
        <f t="shared" si="9"/>
        <v>-4024.5440000000003</v>
      </c>
      <c r="AG36" s="98">
        <f t="shared" si="9"/>
        <v>-4405.8240000000005</v>
      </c>
      <c r="AH36" s="98">
        <f t="shared" si="9"/>
        <v>-1104.96</v>
      </c>
      <c r="AI36" s="98">
        <f t="shared" si="9"/>
        <v>-5031.2640000000001</v>
      </c>
      <c r="AJ36" s="98">
        <f t="shared" si="9"/>
        <v>-8101.728000000001</v>
      </c>
      <c r="AK36" s="98">
        <f t="shared" si="9"/>
        <v>-17827.04</v>
      </c>
      <c r="AL36" s="98">
        <f t="shared" si="9"/>
        <v>-1174.864</v>
      </c>
      <c r="AM36" s="98">
        <f t="shared" si="9"/>
        <v>-4444.9280000000008</v>
      </c>
      <c r="AN36" s="98">
        <f t="shared" si="9"/>
        <v>-2109.3280000000004</v>
      </c>
      <c r="AO36" s="98">
        <f t="shared" si="9"/>
        <v>-778.32</v>
      </c>
      <c r="AP36" s="98">
        <f t="shared" si="9"/>
        <v>-3242.2719999999999</v>
      </c>
      <c r="AQ36" s="98">
        <f t="shared" si="9"/>
        <v>-4687.2</v>
      </c>
      <c r="AR36" s="98">
        <f t="shared" si="9"/>
        <v>-2449.3759999999997</v>
      </c>
      <c r="AS36" s="98">
        <f t="shared" si="9"/>
        <v>-25125.056000000004</v>
      </c>
      <c r="AT36" s="98">
        <f t="shared" si="9"/>
        <v>-2209.6</v>
      </c>
      <c r="AU36" s="98">
        <f t="shared" si="9"/>
        <v>-3935.0080000000007</v>
      </c>
      <c r="AV36" s="98">
        <f t="shared" si="9"/>
        <v>0</v>
      </c>
      <c r="AW36" s="98">
        <f t="shared" si="9"/>
        <v>0</v>
      </c>
      <c r="AX36" s="98">
        <f t="shared" si="9"/>
        <v>-529.20000000000005</v>
      </c>
      <c r="AY36" s="98">
        <f t="shared" si="9"/>
        <v>0</v>
      </c>
      <c r="AZ36" s="98">
        <f t="shared" si="9"/>
        <v>0</v>
      </c>
      <c r="BA36" s="98">
        <f t="shared" si="9"/>
        <v>-2.0640000000000001</v>
      </c>
      <c r="BB36" s="98">
        <f t="shared" si="9"/>
        <v>0</v>
      </c>
      <c r="BC36" s="98">
        <f t="shared" si="9"/>
        <v>0</v>
      </c>
      <c r="BD36" s="98">
        <f t="shared" si="9"/>
        <v>0</v>
      </c>
      <c r="BE36" s="98">
        <f t="shared" si="9"/>
        <v>0</v>
      </c>
      <c r="BF36" s="98">
        <f t="shared" si="9"/>
        <v>0</v>
      </c>
      <c r="BG36" s="98">
        <f t="shared" si="9"/>
        <v>-818.1</v>
      </c>
    </row>
    <row r="37" spans="1:59" x14ac:dyDescent="0.2">
      <c r="E37" s="100"/>
      <c r="F37" s="100"/>
      <c r="G37" s="100"/>
      <c r="H37" s="100"/>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c r="BA37" s="100"/>
      <c r="BB37" s="100"/>
      <c r="BC37" s="100"/>
      <c r="BD37" s="100"/>
      <c r="BE37" s="100"/>
      <c r="BF37" s="100"/>
      <c r="BG37" s="100"/>
    </row>
    <row r="38" spans="1:59" ht="15" x14ac:dyDescent="0.25">
      <c r="B38" s="99" t="s">
        <v>167</v>
      </c>
    </row>
    <row r="39" spans="1:59" x14ac:dyDescent="0.2">
      <c r="B39" s="98">
        <v>2008</v>
      </c>
      <c r="E39" s="98">
        <f>+HLOOKUP(E$2,'נתוני תאגידים'!$1:$719,525,0)*($B39-2013.5+25)/25</f>
        <v>-2474.7840000000001</v>
      </c>
      <c r="F39" s="98">
        <f>+HLOOKUP(F$2,'נתוני תאגידים'!$1:$719,525,0)*($B39-2013.5+25)/25</f>
        <v>-3046.9920000000002</v>
      </c>
      <c r="G39" s="98">
        <f>+HLOOKUP(G$2,'נתוני תאגידים'!$1:$719,525,0)*($B39-2013.5+25)/25</f>
        <v>-233.97191999999998</v>
      </c>
      <c r="H39" s="98">
        <f>+HLOOKUP(H$2,'נתוני תאגידים'!$1:$719,525,0)*($B39-2013.5+25)/25</f>
        <v>0</v>
      </c>
      <c r="I39" s="98">
        <f>+HLOOKUP(I$2,'נתוני תאגידים'!$1:$719,525,0)*($B39-2013.5+25)/25</f>
        <v>0</v>
      </c>
      <c r="J39" s="98">
        <f>+HLOOKUP(J$2,'נתוני תאגידים'!$1:$719,525,0)*($B39-2013.5+25)/25</f>
        <v>0</v>
      </c>
      <c r="K39" s="98">
        <f>+HLOOKUP(K$2,'נתוני תאגידים'!$1:$719,525,0)*($B39-2013.5+25)/25</f>
        <v>0</v>
      </c>
      <c r="L39" s="98">
        <f>+HLOOKUP(L$2,'נתוני תאגידים'!$1:$719,525,0)*($B39-2013.5+25)/25</f>
        <v>0</v>
      </c>
      <c r="M39" s="98">
        <f>+HLOOKUP(M$2,'נתוני תאגידים'!$1:$719,525,0)*($B39-2013.5+25)/25</f>
        <v>0</v>
      </c>
      <c r="N39" s="98">
        <f>+HLOOKUP(N$2,'נתוני תאגידים'!$1:$719,525,0)*($B39-2013.5+25)/25</f>
        <v>0</v>
      </c>
      <c r="O39" s="98">
        <f>+HLOOKUP(O$2,'נתוני תאגידים'!$1:$719,525,0)*($B39-2013.5+25)/25</f>
        <v>0</v>
      </c>
      <c r="P39" s="98">
        <f>+HLOOKUP(P$2,'נתוני תאגידים'!$1:$719,525,0)*($B39-2013.5+25)/25</f>
        <v>0</v>
      </c>
      <c r="Q39" s="98">
        <f>+HLOOKUP(Q$2,'נתוני תאגידים'!$1:$719,525,0)*($B39-2013.5+25)/25</f>
        <v>0</v>
      </c>
      <c r="R39" s="98">
        <f>+HLOOKUP(R$2,'נתוני תאגידים'!$1:$719,525,0)*($B39-2013.5+25)/25</f>
        <v>-1694.7840000000003</v>
      </c>
      <c r="S39" s="98">
        <f>+HLOOKUP(S$2,'נתוני תאגידים'!$1:$719,525,0)*($B39-2013.5+25)/25</f>
        <v>0</v>
      </c>
      <c r="T39" s="98">
        <f>+HLOOKUP(T$2,'נתוני תאגידים'!$1:$719,525,0)*($B39-2013.5+25)/25</f>
        <v>-2920.9440000000004</v>
      </c>
      <c r="U39" s="98">
        <f>+HLOOKUP(U$2,'נתוני תאגידים'!$1:$719,525,0)*($B39-2013.5+25)/25</f>
        <v>0</v>
      </c>
      <c r="V39" s="98">
        <f>+HLOOKUP(V$2,'נתוני תאגידים'!$1:$719,525,0)*($B39-2013.5+25)/25</f>
        <v>-402.79199999999997</v>
      </c>
      <c r="W39" s="98">
        <f>+HLOOKUP(W$2,'נתוני תאגידים'!$1:$719,525,0)*($B39-2013.5+25)/25</f>
        <v>0</v>
      </c>
      <c r="X39" s="98">
        <f>+HLOOKUP(X$2,'נתוני תאגידים'!$1:$719,525,0)*($B39-2013.5+25)/25</f>
        <v>0</v>
      </c>
      <c r="Y39" s="98">
        <f>+HLOOKUP(Y$2,'נתוני תאגידים'!$1:$719,525,0)*($B39-2013.5+25)/25</f>
        <v>0</v>
      </c>
      <c r="Z39" s="98">
        <f>+HLOOKUP(Z$2,'נתוני תאגידים'!$1:$719,525,0)*($B39-2013.5+25)/25</f>
        <v>-4396.7040000000006</v>
      </c>
      <c r="AA39" s="98">
        <f>+HLOOKUP(AA$2,'נתוני תאגידים'!$1:$719,525,0)*($B39-2013.5+25)/25</f>
        <v>0</v>
      </c>
      <c r="AB39" s="98">
        <f>+HLOOKUP(AB$2,'נתוני תאגידים'!$1:$719,525,0)*($B39-2013.5+25)/25</f>
        <v>0</v>
      </c>
      <c r="AC39" s="98">
        <f>+HLOOKUP(AC$2,'נתוני תאגידים'!$1:$719,525,0)*($B39-2013.5+25)/25</f>
        <v>-13987.272000000003</v>
      </c>
      <c r="AD39" s="98">
        <f>+HLOOKUP(AD$2,'נתוני תאגידים'!$1:$719,525,0)*($B39-2013.5+25)/25</f>
        <v>-8082.0480000000007</v>
      </c>
      <c r="AE39" s="98">
        <f>+HLOOKUP(AE$2,'נתוני תאגידים'!$1:$719,525,0)*($B39-2013.5+25)/25</f>
        <v>0</v>
      </c>
      <c r="AF39" s="98">
        <f>+HLOOKUP(AF$2,'נתוני תאגידים'!$1:$719,525,0)*($B39-2013.5+25)/25</f>
        <v>0</v>
      </c>
      <c r="AG39" s="98">
        <f>+HLOOKUP(AG$2,'נתוני תאגידים'!$1:$719,525,0)*($B39-2013.5+25)/25</f>
        <v>0</v>
      </c>
      <c r="AH39" s="98">
        <f>+HLOOKUP(AH$2,'נתוני תאגידים'!$1:$719,525,0)*($B39-2013.5+25)/25</f>
        <v>0</v>
      </c>
      <c r="AI39" s="98">
        <f>+HLOOKUP(AI$2,'נתוני תאגידים'!$1:$719,525,0)*($B39-2013.5+25)/25</f>
        <v>0</v>
      </c>
      <c r="AJ39" s="98">
        <f>+HLOOKUP(AJ$2,'נתוני תאגידים'!$1:$719,525,0)*($B39-2013.5+25)/25</f>
        <v>0</v>
      </c>
      <c r="AK39" s="98">
        <f>+HLOOKUP(AK$2,'נתוני תאגידים'!$1:$719,525,0)*($B39-2013.5+25)/25</f>
        <v>0</v>
      </c>
      <c r="AL39" s="98">
        <f>+HLOOKUP(AL$2,'נתוני תאגידים'!$1:$719,525,0)*($B39-2013.5+25)/25</f>
        <v>-695.13600000000008</v>
      </c>
      <c r="AM39" s="98">
        <f>+HLOOKUP(AM$2,'נתוני תאגידים'!$1:$719,525,0)*($B39-2013.5+25)/25</f>
        <v>0</v>
      </c>
      <c r="AN39" s="98">
        <f>+HLOOKUP(AN$2,'נתוני תאגידים'!$1:$719,525,0)*($B39-2013.5+25)/25</f>
        <v>0</v>
      </c>
      <c r="AO39" s="98">
        <f>+HLOOKUP(AO$2,'נתוני תאגידים'!$1:$719,525,0)*($B39-2013.5+25)/25</f>
        <v>0</v>
      </c>
      <c r="AP39" s="98">
        <f>+HLOOKUP(AP$2,'נתוני תאגידים'!$1:$719,525,0)*($B39-2013.5+25)/25</f>
        <v>0</v>
      </c>
      <c r="AQ39" s="98">
        <f>+HLOOKUP(AQ$2,'נתוני תאגידים'!$1:$719,525,0)*($B39-2013.5+25)/25</f>
        <v>0</v>
      </c>
      <c r="AR39" s="98">
        <f>+HLOOKUP(AR$2,'נתוני תאגידים'!$1:$719,525,0)*($B39-2013.5+25)/25</f>
        <v>0</v>
      </c>
      <c r="AS39" s="98">
        <f>+HLOOKUP(AS$2,'נתוני תאגידים'!$1:$719,525,0)*($B39-2013.5+25)/25</f>
        <v>0</v>
      </c>
      <c r="AT39" s="98">
        <f>+HLOOKUP(AT$2,'נתוני תאגידים'!$1:$719,525,0)*($B39-2013.5+25)/25</f>
        <v>0</v>
      </c>
      <c r="AU39" s="98">
        <f>+HLOOKUP(AU$2,'נתוני תאגידים'!$1:$719,525,0)*($B39-2013.5+25)/25</f>
        <v>0</v>
      </c>
      <c r="AV39" s="98">
        <f>+HLOOKUP(AV$2,'נתוני תאגידים'!$1:$719,525,0)*($B39-2013.5+25)/25</f>
        <v>0</v>
      </c>
      <c r="AW39" s="98">
        <f>+HLOOKUP(AW$2,'נתוני תאגידים'!$1:$719,525,0)*($B39-2013.5+25)/25</f>
        <v>0</v>
      </c>
      <c r="AX39" s="98">
        <f>+HLOOKUP(AX$2,'נתוני תאגידים'!$1:$719,525,0)*($B39-2013.5+25)/25</f>
        <v>0</v>
      </c>
      <c r="AY39" s="98">
        <f>+HLOOKUP(AY$2,'נתוני תאגידים'!$1:$719,525,0)*($B39-2013.5+25)/25</f>
        <v>0</v>
      </c>
      <c r="AZ39" s="98">
        <f>+HLOOKUP(AZ$2,'נתוני תאגידים'!$1:$719,525,0)*($B39-2013.5+25)/25</f>
        <v>0</v>
      </c>
      <c r="BA39" s="98">
        <f>+HLOOKUP(BA$2,'נתוני תאגידים'!$1:$719,525,0)*($B39-2013.5+25)/25</f>
        <v>0</v>
      </c>
      <c r="BB39" s="98">
        <f>+HLOOKUP(BB$2,'נתוני תאגידים'!$1:$719,525,0)*($B39-2013.5+25)/25</f>
        <v>0</v>
      </c>
      <c r="BC39" s="98">
        <f>+HLOOKUP(BC$2,'נתוני תאגידים'!$1:$719,525,0)*($B39-2013.5+25)/25</f>
        <v>0</v>
      </c>
      <c r="BD39" s="98">
        <f>+HLOOKUP(BD$2,'נתוני תאגידים'!$1:$719,525,0)*($B39-2013.5+25)/25</f>
        <v>0</v>
      </c>
      <c r="BE39" s="98">
        <f>+HLOOKUP(BE$2,'נתוני תאגידים'!$1:$719,525,0)*($B39-2013.5+25)/25</f>
        <v>0</v>
      </c>
      <c r="BF39" s="98">
        <f>+HLOOKUP(BF$2,'נתוני תאגידים'!$1:$719,525,0)*($B39-2013.5+25)/25</f>
        <v>0</v>
      </c>
      <c r="BG39" s="98">
        <f>+HLOOKUP(BG$2,'נתוני תאגידים'!$1:$719,525,0)*($B39-2013.5+25)/25</f>
        <v>0</v>
      </c>
    </row>
    <row r="40" spans="1:59" x14ac:dyDescent="0.2">
      <c r="B40" s="98">
        <v>2009</v>
      </c>
      <c r="E40" s="98">
        <f>+HLOOKUP(E$2,'נתוני תאגידים'!$1:$719,270,0)*($B40-2013.5+25)/25</f>
        <v>-1617.04</v>
      </c>
      <c r="F40" s="98">
        <f>+HLOOKUP(F$2,'נתוני תאגידים'!$1:$719,270,0)*($B40-2013.5+25)/25</f>
        <v>-5272.9280000000008</v>
      </c>
      <c r="G40" s="98">
        <f>+HLOOKUP(G$2,'נתוני תאגידים'!$1:$719,270,0)*($B40-2013.5+25)/25</f>
        <v>-8116.0320000000011</v>
      </c>
      <c r="H40" s="98">
        <f>+HLOOKUP(H$2,'נתוני תאגידים'!$1:$719,270,0)*($B40-2013.5+25)/25</f>
        <v>0</v>
      </c>
      <c r="I40" s="98">
        <f>+HLOOKUP(I$2,'נתוני תאגידים'!$1:$719,270,0)*($B40-2013.5+25)/25</f>
        <v>0</v>
      </c>
      <c r="J40" s="98">
        <f>+HLOOKUP(J$2,'נתוני תאגידים'!$1:$719,270,0)*($B40-2013.5+25)/25</f>
        <v>-1789.5680000000002</v>
      </c>
      <c r="K40" s="98">
        <f>+HLOOKUP(K$2,'נתוני תאגידים'!$1:$719,270,0)*($B40-2013.5+25)/25</f>
        <v>0</v>
      </c>
      <c r="L40" s="98">
        <f>+HLOOKUP(L$2,'נתוני תאגידים'!$1:$719,270,0)*($B40-2013.5+25)/25</f>
        <v>0</v>
      </c>
      <c r="M40" s="98">
        <f>+HLOOKUP(M$2,'נתוני תאגידים'!$1:$719,270,0)*($B40-2013.5+25)/25</f>
        <v>0</v>
      </c>
      <c r="N40" s="98">
        <f>+HLOOKUP(N$2,'נתוני תאגידים'!$1:$719,270,0)*($B40-2013.5+25)/25</f>
        <v>0</v>
      </c>
      <c r="O40" s="98">
        <f>+HLOOKUP(O$2,'נתוני תאגידים'!$1:$719,270,0)*($B40-2013.5+25)/25</f>
        <v>-1152.5920000000001</v>
      </c>
      <c r="P40" s="98">
        <f>+HLOOKUP(P$2,'נתוני תאגידים'!$1:$719,270,0)*($B40-2013.5+25)/25</f>
        <v>0</v>
      </c>
      <c r="Q40" s="98">
        <f>+HLOOKUP(Q$2,'נתוני תאגידים'!$1:$719,270,0)*($B40-2013.5+25)/25</f>
        <v>-45.264000000000003</v>
      </c>
      <c r="R40" s="98">
        <f>+HLOOKUP(R$2,'נתוני תאגידים'!$1:$719,270,0)*($B40-2013.5+25)/25</f>
        <v>-840.99200000000008</v>
      </c>
      <c r="S40" s="98">
        <f>+HLOOKUP(S$2,'נתוני תאגידים'!$1:$719,270,0)*($B40-2013.5+25)/25</f>
        <v>-3109.44</v>
      </c>
      <c r="T40" s="98">
        <f>+HLOOKUP(T$2,'נתוני תאגידים'!$1:$719,270,0)*($B40-2013.5+25)/25</f>
        <v>-3269.5040000000004</v>
      </c>
      <c r="U40" s="98">
        <f>+HLOOKUP(U$2,'נתוני תאגידים'!$1:$719,270,0)*($B40-2013.5+25)/25</f>
        <v>-1245.496032</v>
      </c>
      <c r="V40" s="98">
        <f>+HLOOKUP(V$2,'נתוני תאגידים'!$1:$719,270,0)*($B40-2013.5+25)/25</f>
        <v>0</v>
      </c>
      <c r="W40" s="98">
        <f>+HLOOKUP(W$2,'נתוני תאגידים'!$1:$719,270,0)*($B40-2013.5+25)/25</f>
        <v>0</v>
      </c>
      <c r="X40" s="98">
        <f>+HLOOKUP(X$2,'נתוני תאגידים'!$1:$719,270,0)*($B40-2013.5+25)/25</f>
        <v>0</v>
      </c>
      <c r="Y40" s="98">
        <f>+HLOOKUP(Y$2,'נתוני תאגידים'!$1:$719,270,0)*($B40-2013.5+25)/25</f>
        <v>0</v>
      </c>
      <c r="Z40" s="98">
        <f>+HLOOKUP(Z$2,'נתוני תאגידים'!$1:$719,270,0)*($B40-2013.5+25)/25</f>
        <v>-4454.24</v>
      </c>
      <c r="AA40" s="98">
        <f>+HLOOKUP(AA$2,'נתוני תאגידים'!$1:$719,270,0)*($B40-2013.5+25)/25</f>
        <v>0</v>
      </c>
      <c r="AB40" s="98">
        <f>+HLOOKUP(AB$2,'נתוני תאגידים'!$1:$719,270,0)*($B40-2013.5+25)/25</f>
        <v>0</v>
      </c>
      <c r="AC40" s="98">
        <f>+HLOOKUP(AC$2,'נתוני תאגידים'!$1:$719,270,0)*($B40-2013.5+25)/25</f>
        <v>-13957.055999999999</v>
      </c>
      <c r="AD40" s="98">
        <f>+HLOOKUP(AD$2,'נתוני תאגידים'!$1:$719,270,0)*($B40-2013.5+25)/25</f>
        <v>-7078.24</v>
      </c>
      <c r="AE40" s="98">
        <f>+HLOOKUP(AE$2,'נתוני תאגידים'!$1:$719,270,0)*($B40-2013.5+25)/25</f>
        <v>0</v>
      </c>
      <c r="AF40" s="98">
        <f>+HLOOKUP(AF$2,'נתוני תאגידים'!$1:$719,270,0)*($B40-2013.5+25)/25</f>
        <v>-640.25600000000009</v>
      </c>
      <c r="AG40" s="98">
        <f>+HLOOKUP(AG$2,'נתוני תאגידים'!$1:$719,270,0)*($B40-2013.5+25)/25</f>
        <v>-1680.6719999999998</v>
      </c>
      <c r="AH40" s="98">
        <f>+HLOOKUP(AH$2,'נתוני תאגידים'!$1:$719,270,0)*($B40-2013.5+25)/25</f>
        <v>0</v>
      </c>
      <c r="AI40" s="98">
        <f>+HLOOKUP(AI$2,'נתוני תאגידים'!$1:$719,270,0)*($B40-2013.5+25)/25</f>
        <v>-196.8</v>
      </c>
      <c r="AJ40" s="98">
        <f>+HLOOKUP(AJ$2,'נתוני תאגידים'!$1:$719,270,0)*($B40-2013.5+25)/25</f>
        <v>-709.79199999999992</v>
      </c>
      <c r="AK40" s="98">
        <f>+HLOOKUP(AK$2,'נתוני תאגידים'!$1:$719,270,0)*($B40-2013.5+25)/25</f>
        <v>0</v>
      </c>
      <c r="AL40" s="98">
        <f>+HLOOKUP(AL$2,'נתוני תאגידים'!$1:$719,270,0)*($B40-2013.5+25)/25</f>
        <v>-201.392</v>
      </c>
      <c r="AM40" s="98">
        <f>+HLOOKUP(AM$2,'נתוני תאגידים'!$1:$719,270,0)*($B40-2013.5+25)/25</f>
        <v>0</v>
      </c>
      <c r="AN40" s="98">
        <f>+HLOOKUP(AN$2,'נתוני תאגידים'!$1:$719,270,0)*($B40-2013.5+25)/25</f>
        <v>0</v>
      </c>
      <c r="AO40" s="98">
        <f>+HLOOKUP(AO$2,'נתוני תאגידים'!$1:$719,270,0)*($B40-2013.5+25)/25</f>
        <v>0</v>
      </c>
      <c r="AP40" s="98">
        <f>+HLOOKUP(AP$2,'נתוני תאגידים'!$1:$719,270,0)*($B40-2013.5+25)/25</f>
        <v>0</v>
      </c>
      <c r="AQ40" s="98">
        <f>+HLOOKUP(AQ$2,'נתוני תאגידים'!$1:$719,270,0)*($B40-2013.5+25)/25</f>
        <v>0</v>
      </c>
      <c r="AR40" s="98">
        <f>+HLOOKUP(AR$2,'נתוני תאגידים'!$1:$719,270,0)*($B40-2013.5+25)/25</f>
        <v>0</v>
      </c>
      <c r="AS40" s="98">
        <f>+HLOOKUP(AS$2,'נתוני תאגידים'!$1:$719,270,0)*($B40-2013.5+25)/25</f>
        <v>0</v>
      </c>
      <c r="AT40" s="98">
        <f>+HLOOKUP(AT$2,'נתוני תאגידים'!$1:$719,270,0)*($B40-2013.5+25)/25</f>
        <v>0</v>
      </c>
      <c r="AU40" s="98">
        <f>+HLOOKUP(AU$2,'נתוני תאגידים'!$1:$719,270,0)*($B40-2013.5+25)/25</f>
        <v>0</v>
      </c>
      <c r="AV40" s="98">
        <f>+HLOOKUP(AV$2,'נתוני תאגידים'!$1:$719,270,0)*($B40-2013.5+25)/25</f>
        <v>0</v>
      </c>
      <c r="AW40" s="98">
        <f>+HLOOKUP(AW$2,'נתוני תאגידים'!$1:$719,270,0)*($B40-2013.5+25)/25</f>
        <v>0</v>
      </c>
      <c r="AX40" s="98">
        <f>+HLOOKUP(AX$2,'נתוני תאגידים'!$1:$719,270,0)*($B40-2013.5+25)/25</f>
        <v>0</v>
      </c>
      <c r="AY40" s="98">
        <f>+HLOOKUP(AY$2,'נתוני תאגידים'!$1:$719,270,0)*($B40-2013.5+25)/25</f>
        <v>0</v>
      </c>
      <c r="AZ40" s="98">
        <f>+HLOOKUP(AZ$2,'נתוני תאגידים'!$1:$719,270,0)*($B40-2013.5+25)/25</f>
        <v>0</v>
      </c>
      <c r="BA40" s="98">
        <f>+HLOOKUP(BA$2,'נתוני תאגידים'!$1:$719,270,0)*($B40-2013.5+25)/25</f>
        <v>-0.65600000000000014</v>
      </c>
      <c r="BB40" s="98">
        <f>+HLOOKUP(BB$2,'נתוני תאגידים'!$1:$719,270,0)*($B40-2013.5+25)/25</f>
        <v>0</v>
      </c>
      <c r="BC40" s="98">
        <f>+HLOOKUP(BC$2,'נתוני תאגידים'!$1:$719,270,0)*($B40-2013.5+25)/25</f>
        <v>0</v>
      </c>
      <c r="BD40" s="98">
        <f>+HLOOKUP(BD$2,'נתוני תאגידים'!$1:$719,270,0)*($B40-2013.5+25)/25</f>
        <v>0</v>
      </c>
      <c r="BE40" s="98">
        <f>+HLOOKUP(BE$2,'נתוני תאגידים'!$1:$719,270,0)*($B40-2013.5+25)/25</f>
        <v>0</v>
      </c>
      <c r="BF40" s="98">
        <f>+HLOOKUP(BF$2,'נתוני תאגידים'!$1:$719,270,0)*($B40-2013.5+25)/25</f>
        <v>0</v>
      </c>
      <c r="BG40" s="98">
        <f>+HLOOKUP(BG$2,'נתוני תאגידים'!$1:$719,270,0)*($B40-2013.5+25)/25</f>
        <v>0</v>
      </c>
    </row>
    <row r="41" spans="1:59" x14ac:dyDescent="0.2">
      <c r="B41" s="98">
        <v>2010</v>
      </c>
      <c r="E41" s="98">
        <f>+HLOOKUP(E$2,'נתוני תאגידים'!$1:$719,272,0)*($B41-2013.5+25)/25</f>
        <v>-6549.072000000001</v>
      </c>
      <c r="F41" s="98">
        <f>+HLOOKUP(F$2,'נתוני תאגידים'!$1:$719,272,0)*($B41-2013.5+25)/25</f>
        <v>-5281.7759999999998</v>
      </c>
      <c r="G41" s="98">
        <f>+HLOOKUP(G$2,'נתוני תאגידים'!$1:$719,272,0)*($B41-2013.5+25)/25</f>
        <v>-13639.6</v>
      </c>
      <c r="H41" s="98">
        <f>+HLOOKUP(H$2,'נתוני תאגידים'!$1:$719,272,0)*($B41-2013.5+25)/25</f>
        <v>-19689.871999999999</v>
      </c>
      <c r="I41" s="98">
        <f>+HLOOKUP(I$2,'נתוני תאגידים'!$1:$719,272,0)*($B41-2013.5+25)/25</f>
        <v>-182.32</v>
      </c>
      <c r="J41" s="98">
        <f>+HLOOKUP(J$2,'נתוני תאגידים'!$1:$719,272,0)*($B41-2013.5+25)/25</f>
        <v>-1565.2</v>
      </c>
      <c r="K41" s="98">
        <f>+HLOOKUP(K$2,'נתוני תאגידים'!$1:$719,272,0)*($B41-2013.5+25)/25</f>
        <v>-1879.616</v>
      </c>
      <c r="L41" s="98">
        <f>+HLOOKUP(L$2,'נתוני תאגידים'!$1:$719,272,0)*($B41-2013.5+25)/25</f>
        <v>-801.52</v>
      </c>
      <c r="M41" s="98">
        <f>+HLOOKUP(M$2,'נתוני תאגידים'!$1:$719,272,0)*($B41-2013.5+25)/25</f>
        <v>-1627.8080000000002</v>
      </c>
      <c r="N41" s="98">
        <f>+HLOOKUP(N$2,'נתוני תאגידים'!$1:$719,272,0)*($B41-2013.5+25)/25</f>
        <v>-5717.9680000000008</v>
      </c>
      <c r="O41" s="98">
        <f>+HLOOKUP(O$2,'נתוני תאגידים'!$1:$719,272,0)*($B41-2013.5+25)/25</f>
        <v>-3266.6240000000003</v>
      </c>
      <c r="P41" s="98">
        <f>+HLOOKUP(P$2,'נתוני תאגידים'!$1:$719,272,0)*($B41-2013.5+25)/25</f>
        <v>-5648.48</v>
      </c>
      <c r="Q41" s="98">
        <f>+HLOOKUP(Q$2,'נתוני תאגידים'!$1:$719,272,0)*($B41-2013.5+25)/25</f>
        <v>-180.25600000000003</v>
      </c>
      <c r="R41" s="98">
        <f>+HLOOKUP(R$2,'נתוני תאגידים'!$1:$719,272,0)*($B41-2013.5+25)/25</f>
        <v>-1394.576</v>
      </c>
      <c r="S41" s="98">
        <f>+HLOOKUP(S$2,'נתוני תאגידים'!$1:$719,272,0)*($B41-2013.5+25)/25</f>
        <v>-7276.2880000000005</v>
      </c>
      <c r="T41" s="98">
        <f>+HLOOKUP(T$2,'נתוני תאגידים'!$1:$719,272,0)*($B41-2013.5+25)/25</f>
        <v>-4295.1840000000002</v>
      </c>
      <c r="U41" s="98">
        <f>+HLOOKUP(U$2,'נתוני תאגידים'!$1:$719,272,0)*($B41-2013.5+25)/25</f>
        <v>-4030.6411200000002</v>
      </c>
      <c r="V41" s="98">
        <f>+HLOOKUP(V$2,'נתוני תאגידים'!$1:$719,272,0)*($B41-2013.5+25)/25</f>
        <v>0</v>
      </c>
      <c r="W41" s="98">
        <f>+HLOOKUP(W$2,'נתוני תאגידים'!$1:$719,272,0)*($B41-2013.5+25)/25</f>
        <v>-73.616</v>
      </c>
      <c r="X41" s="98">
        <f>+HLOOKUP(X$2,'נתוני תאגידים'!$1:$719,272,0)*($B41-2013.5+25)/25</f>
        <v>-931.55200000000002</v>
      </c>
      <c r="Y41" s="98">
        <f>+HLOOKUP(Y$2,'נתוני תאגידים'!$1:$719,272,0)*($B41-2013.5+25)/25</f>
        <v>-402.48</v>
      </c>
      <c r="Z41" s="98">
        <f>+HLOOKUP(Z$2,'נתוני תאגידים'!$1:$719,272,0)*($B41-2013.5+25)/25</f>
        <v>-7542.5439999999999</v>
      </c>
      <c r="AA41" s="98">
        <f>+HLOOKUP(AA$2,'נתוני תאגידים'!$1:$719,272,0)*($B41-2013.5+25)/25</f>
        <v>0</v>
      </c>
      <c r="AB41" s="98">
        <f>+HLOOKUP(AB$2,'נתוני תאגידים'!$1:$719,272,0)*($B41-2013.5+25)/25</f>
        <v>-1726.192</v>
      </c>
      <c r="AC41" s="98">
        <f>+HLOOKUP(AC$2,'נתוני תאגידים'!$1:$719,272,0)*($B41-2013.5+25)/25</f>
        <v>-21468.352000000003</v>
      </c>
      <c r="AD41" s="98">
        <f>+HLOOKUP(AD$2,'נתוני תאגידים'!$1:$719,272,0)*($B41-2013.5+25)/25</f>
        <v>-7552.8640000000005</v>
      </c>
      <c r="AE41" s="98">
        <f>+HLOOKUP(AE$2,'נתוני תאגידים'!$1:$719,272,0)*($B41-2013.5+25)/25</f>
        <v>0</v>
      </c>
      <c r="AF41" s="98">
        <f>+HLOOKUP(AF$2,'נתוני תאגידים'!$1:$719,272,0)*($B41-2013.5+25)/25</f>
        <v>-2155.5039999999999</v>
      </c>
      <c r="AG41" s="98">
        <f>+HLOOKUP(AG$2,'נתוני תאגידים'!$1:$719,272,0)*($B41-2013.5+25)/25</f>
        <v>-1886.4960000000001</v>
      </c>
      <c r="AH41" s="98">
        <f>+HLOOKUP(AH$2,'נתוני תאגידים'!$1:$719,272,0)*($B41-2013.5+25)/25</f>
        <v>0</v>
      </c>
      <c r="AI41" s="98">
        <f>+HLOOKUP(AI$2,'נתוני תאגידים'!$1:$719,272,0)*($B41-2013.5+25)/25</f>
        <v>-2392.1760000000004</v>
      </c>
      <c r="AJ41" s="98">
        <f>+HLOOKUP(AJ$2,'נתוני תאגידים'!$1:$719,272,0)*($B41-2013.5+25)/25</f>
        <v>-2226.3680000000004</v>
      </c>
      <c r="AK41" s="98">
        <f>+HLOOKUP(AK$2,'נתוני תאגידים'!$1:$719,272,0)*($B41-2013.5+25)/25</f>
        <v>0</v>
      </c>
      <c r="AL41" s="98">
        <f>+HLOOKUP(AL$2,'נתוני תאגידים'!$1:$719,272,0)*($B41-2013.5+25)/25</f>
        <v>-252.49600000000001</v>
      </c>
      <c r="AM41" s="98">
        <f>+HLOOKUP(AM$2,'נתוני תאגידים'!$1:$719,272,0)*($B41-2013.5+25)/25</f>
        <v>-1772.2880000000002</v>
      </c>
      <c r="AN41" s="98">
        <f>+HLOOKUP(AN$2,'נתוני תאגידים'!$1:$719,272,0)*($B41-2013.5+25)/25</f>
        <v>-2387.36</v>
      </c>
      <c r="AO41" s="98">
        <f>+HLOOKUP(AO$2,'נתוני תאגידים'!$1:$719,272,0)*($B41-2013.5+25)/25</f>
        <v>0</v>
      </c>
      <c r="AP41" s="98">
        <f>+HLOOKUP(AP$2,'נתוני תאגידים'!$1:$719,272,0)*($B41-2013.5+25)/25</f>
        <v>-1781.92</v>
      </c>
      <c r="AQ41" s="98">
        <f>+HLOOKUP(AQ$2,'נתוני תאגידים'!$1:$719,272,0)*($B41-2013.5+25)/25</f>
        <v>0</v>
      </c>
      <c r="AR41" s="98">
        <f>+HLOOKUP(AR$2,'נתוני תאגידים'!$1:$719,272,0)*($B41-2013.5+25)/25</f>
        <v>-346.75200000000007</v>
      </c>
      <c r="AS41" s="98">
        <f>+HLOOKUP(AS$2,'נתוני תאגידים'!$1:$719,272,0)*($B41-2013.5+25)/25</f>
        <v>0</v>
      </c>
      <c r="AT41" s="98">
        <f>+HLOOKUP(AT$2,'נתוני תאגידים'!$1:$719,272,0)*($B41-2013.5+25)/25</f>
        <v>-1889.2480000000003</v>
      </c>
      <c r="AU41" s="98">
        <f>+HLOOKUP(AU$2,'נתוני תאגידים'!$1:$719,272,0)*($B41-2013.5+25)/25</f>
        <v>-3194.384</v>
      </c>
      <c r="AV41" s="98">
        <f>+HLOOKUP(AV$2,'נתוני תאגידים'!$1:$719,272,0)*($B41-2013.5+25)/25</f>
        <v>0</v>
      </c>
      <c r="AW41" s="98">
        <f>+HLOOKUP(AW$2,'נתוני תאגידים'!$1:$719,272,0)*($B41-2013.5+25)/25</f>
        <v>0</v>
      </c>
      <c r="AX41" s="98">
        <f>+HLOOKUP(AX$2,'נתוני תאגידים'!$1:$719,272,0)*($B41-2013.5+25)/25</f>
        <v>0</v>
      </c>
      <c r="AY41" s="98">
        <f>+HLOOKUP(AY$2,'נתוני תאגידים'!$1:$719,272,0)*($B41-2013.5+25)/25</f>
        <v>0</v>
      </c>
      <c r="AZ41" s="98">
        <f>+HLOOKUP(AZ$2,'נתוני תאגידים'!$1:$719,272,0)*($B41-2013.5+25)/25</f>
        <v>0</v>
      </c>
      <c r="BA41" s="98">
        <f>+HLOOKUP(BA$2,'נתוני תאגידים'!$1:$719,272,0)*($B41-2013.5+25)/25</f>
        <v>-0.68799999999999994</v>
      </c>
      <c r="BB41" s="98">
        <f>+HLOOKUP(BB$2,'נתוני תאגידים'!$1:$719,272,0)*($B41-2013.5+25)/25</f>
        <v>0</v>
      </c>
      <c r="BC41" s="98">
        <f>+HLOOKUP(BC$2,'נתוני תאגידים'!$1:$719,272,0)*($B41-2013.5+25)/25</f>
        <v>0</v>
      </c>
      <c r="BD41" s="98">
        <f>+HLOOKUP(BD$2,'נתוני תאגידים'!$1:$719,272,0)*($B41-2013.5+25)/25</f>
        <v>0</v>
      </c>
      <c r="BE41" s="98">
        <f>+HLOOKUP(BE$2,'נתוני תאגידים'!$1:$719,272,0)*($B41-2013.5+25)/25</f>
        <v>0</v>
      </c>
      <c r="BF41" s="98">
        <f>+HLOOKUP(BF$2,'נתוני תאגידים'!$1:$719,272,0)*($B41-2013.5+25)/25</f>
        <v>0</v>
      </c>
      <c r="BG41" s="98">
        <f>+HLOOKUP(BG$2,'נתוני תאגידים'!$1:$719,272,0)*($B41-2013.5+25)/25</f>
        <v>0</v>
      </c>
    </row>
    <row r="42" spans="1:59" x14ac:dyDescent="0.2">
      <c r="A42" s="1084">
        <f>+A30</f>
        <v>0.8</v>
      </c>
      <c r="B42" s="98">
        <v>2011</v>
      </c>
      <c r="E42" s="98">
        <f>+HLOOKUP(E$2,'נתוני תאגידים'!$1:$719,274,0)*($B42-2013.5+25)/25*$A$42</f>
        <v>-6724.8</v>
      </c>
      <c r="F42" s="98">
        <f>+HLOOKUP(F$2,'נתוני תאגידים'!$1:$719,274,0)*($B42-2013.5+25)/25*$A$42</f>
        <v>-8172.72</v>
      </c>
      <c r="G42" s="98">
        <f>+HLOOKUP(G$2,'נתוני תאגידים'!$1:$719,274,0)*($B42-2013.5+25)/25*$A$42</f>
        <v>-18792.72</v>
      </c>
      <c r="H42" s="98">
        <f>+HLOOKUP(H$2,'נתוני תאגידים'!$1:$719,274,0)*($B42-2013.5+25)/25*$A$42</f>
        <v>-20846.160000000003</v>
      </c>
      <c r="I42" s="98">
        <f>+HLOOKUP(I$2,'נתוני תאגידים'!$1:$719,274,0)*($B42-2013.5+25)/25*$A$42</f>
        <v>-2062.08</v>
      </c>
      <c r="J42" s="98">
        <f>+HLOOKUP(J$2,'נתוני תאגידים'!$1:$719,274,0)*($B42-2013.5+25)/25*$A$42</f>
        <v>-3486.2400000000002</v>
      </c>
      <c r="K42" s="98">
        <f>+HLOOKUP(K$2,'נתוני תאגידים'!$1:$719,274,0)*($B42-2013.5+25)/25*$A$42</f>
        <v>-4109.76</v>
      </c>
      <c r="L42" s="98">
        <f>+HLOOKUP(L$2,'נתוני תאגידים'!$1:$719,274,0)*($B42-2013.5+25)/25*$A$42</f>
        <v>-3978</v>
      </c>
      <c r="M42" s="98">
        <f>+HLOOKUP(M$2,'נתוני תאגידים'!$1:$719,274,0)*($B42-2013.5+25)/25*$A$42</f>
        <v>-1566</v>
      </c>
      <c r="N42" s="98">
        <f>+HLOOKUP(N$2,'נתוני תאגידים'!$1:$719,274,0)*($B42-2013.5+25)/25*$A$42</f>
        <v>-11457.36</v>
      </c>
      <c r="O42" s="98">
        <f>+HLOOKUP(O$2,'נתוני תאגידים'!$1:$719,274,0)*($B42-2013.5+25)/25*$A$42</f>
        <v>-5203.4400000000005</v>
      </c>
      <c r="P42" s="98">
        <f>+HLOOKUP(P$2,'נתוני תאגידים'!$1:$719,274,0)*($B42-2013.5+25)/25*$A$42</f>
        <v>-23857.200000000001</v>
      </c>
      <c r="Q42" s="98">
        <f>+HLOOKUP(Q$2,'נתוני תאגידים'!$1:$719,274,0)*($B42-2013.5+25)/25*$A$42</f>
        <v>-187.92000000000002</v>
      </c>
      <c r="R42" s="98">
        <f>+HLOOKUP(R$2,'נתוני תאגידים'!$1:$719,274,0)*($B42-2013.5+25)/25*$A$42</f>
        <v>-1989.36</v>
      </c>
      <c r="S42" s="98">
        <f>+HLOOKUP(S$2,'נתוני תאגידים'!$1:$719,274,0)*($B42-2013.5+25)/25*$A$42</f>
        <v>-3544.56</v>
      </c>
      <c r="T42" s="98">
        <f>+HLOOKUP(T$2,'נתוני תאגידים'!$1:$719,274,0)*($B42-2013.5+25)/25*$A$42</f>
        <v>-5965.2000000000007</v>
      </c>
      <c r="U42" s="98">
        <f>+HLOOKUP(U$2,'נתוני תאגידים'!$1:$719,274,0)*($B42-2013.5+25)/25*$A$42</f>
        <v>-3612.0088799999999</v>
      </c>
      <c r="V42" s="98">
        <f>+HLOOKUP(V$2,'נתוני תאגידים'!$1:$719,274,0)*($B42-2013.5+25)/25*$A$42</f>
        <v>0</v>
      </c>
      <c r="W42" s="98">
        <f>+HLOOKUP(W$2,'נתוני תאגידים'!$1:$719,274,0)*($B42-2013.5+25)/25*$A$42</f>
        <v>-9294.4800000000014</v>
      </c>
      <c r="X42" s="98">
        <f>+HLOOKUP(X$2,'נתוני תאגידים'!$1:$719,274,0)*($B42-2013.5+25)/25*$A$42</f>
        <v>-1227.6000000000001</v>
      </c>
      <c r="Y42" s="98">
        <f>+HLOOKUP(Y$2,'נתוני תאגידים'!$1:$719,274,0)*($B42-2013.5+25)/25*$A$42</f>
        <v>-2323.44</v>
      </c>
      <c r="Z42" s="98">
        <f>+HLOOKUP(Z$2,'נתוני תאגידים'!$1:$719,274,0)*($B42-2013.5+25)/25*$A$42</f>
        <v>-15132.24</v>
      </c>
      <c r="AA42" s="98">
        <f>+HLOOKUP(AA$2,'נתוני תאגידים'!$1:$719,274,0)*($B42-2013.5+25)/25*$A$42</f>
        <v>0</v>
      </c>
      <c r="AB42" s="98">
        <f>+HLOOKUP(AB$2,'נתוני תאגידים'!$1:$719,274,0)*($B42-2013.5+25)/25*$A$42</f>
        <v>-2190.96</v>
      </c>
      <c r="AC42" s="98">
        <f>+HLOOKUP(AC$2,'נתוני תאגידים'!$1:$719,274,0)*($B42-2013.5+25)/25*$A$42</f>
        <v>-20847.600000000002</v>
      </c>
      <c r="AD42" s="98">
        <f>+HLOOKUP(AD$2,'נתוני תאגידים'!$1:$719,274,0)*($B42-2013.5+25)/25*$A$42</f>
        <v>-11265.84</v>
      </c>
      <c r="AE42" s="98">
        <f>+HLOOKUP(AE$2,'נתוני תאגידים'!$1:$719,274,0)*($B42-2013.5+25)/25*$A$42</f>
        <v>0</v>
      </c>
      <c r="AF42" s="98">
        <f>+HLOOKUP(AF$2,'נתוני תאגידים'!$1:$719,274,0)*($B42-2013.5+25)/25*$A$42</f>
        <v>-4377.6000000000004</v>
      </c>
      <c r="AG42" s="98">
        <f>+HLOOKUP(AG$2,'נתוני תאגידים'!$1:$719,274,0)*($B42-2013.5+25)/25*$A$42</f>
        <v>-2183.7599999999998</v>
      </c>
      <c r="AH42" s="98">
        <f>+HLOOKUP(AH$2,'נתוני תאגידים'!$1:$719,274,0)*($B42-2013.5+25)/25*$A$42</f>
        <v>-0.72000000000000008</v>
      </c>
      <c r="AI42" s="98">
        <f>+HLOOKUP(AI$2,'נתוני תאגידים'!$1:$719,274,0)*($B42-2013.5+25)/25*$A$42</f>
        <v>-3371.0400000000004</v>
      </c>
      <c r="AJ42" s="98">
        <f>+HLOOKUP(AJ$2,'נתוני תאגידים'!$1:$719,274,0)*($B42-2013.5+25)/25*$A$42</f>
        <v>-4093.92</v>
      </c>
      <c r="AK42" s="98">
        <f>+HLOOKUP(AK$2,'נתוני תאגידים'!$1:$719,274,0)*($B42-2013.5+25)/25*$A$42</f>
        <v>0</v>
      </c>
      <c r="AL42" s="98">
        <f>+HLOOKUP(AL$2,'נתוני תאגידים'!$1:$719,274,0)*($B42-2013.5+25)/25*$A$42</f>
        <v>-642.24</v>
      </c>
      <c r="AM42" s="98">
        <f>+HLOOKUP(AM$2,'נתוני תאגידים'!$1:$719,274,0)*($B42-2013.5+25)/25*$A$42</f>
        <v>-2667.6000000000004</v>
      </c>
      <c r="AN42" s="98">
        <f>+HLOOKUP(AN$2,'נתוני תאגידים'!$1:$719,274,0)*($B42-2013.5+25)/25*$A$42</f>
        <v>-4567.68</v>
      </c>
      <c r="AO42" s="98">
        <f>+HLOOKUP(AO$2,'נתוני תאגידים'!$1:$719,274,0)*($B42-2013.5+25)/25*$A$42</f>
        <v>-457.92</v>
      </c>
      <c r="AP42" s="98">
        <f>+HLOOKUP(AP$2,'נתוני תאגידים'!$1:$719,274,0)*($B42-2013.5+25)/25*$A$42</f>
        <v>-2324.88</v>
      </c>
      <c r="AQ42" s="98">
        <f>+HLOOKUP(AQ$2,'נתוני תאגידים'!$1:$719,274,0)*($B42-2013.5+25)/25*$A$42</f>
        <v>-6374.16</v>
      </c>
      <c r="AR42" s="98">
        <f>+HLOOKUP(AR$2,'נתוני תאגידים'!$1:$719,274,0)*($B42-2013.5+25)/25*$A$42</f>
        <v>-1789.92</v>
      </c>
      <c r="AS42" s="98">
        <f>+HLOOKUP(AS$2,'נתוני תאגידים'!$1:$719,274,0)*($B42-2013.5+25)/25*$A$42</f>
        <v>0</v>
      </c>
      <c r="AT42" s="98">
        <f>+HLOOKUP(AT$2,'נתוני תאגידים'!$1:$719,274,0)*($B42-2013.5+25)/25*$A$42</f>
        <v>-1589.04</v>
      </c>
      <c r="AU42" s="98">
        <f>+HLOOKUP(AU$2,'נתוני תאגידים'!$1:$719,274,0)*($B42-2013.5+25)/25*$A$42</f>
        <v>-3994.56</v>
      </c>
      <c r="AV42" s="98">
        <f>+HLOOKUP(AV$2,'נתוני תאגידים'!$1:$719,274,0)*($B42-2013.5+25)/25*$A$42</f>
        <v>-9961.92</v>
      </c>
      <c r="AW42" s="98">
        <f>+HLOOKUP(AW$2,'נתוני תאגידים'!$1:$719,274,0)*($B42-2013.5+25)/25*$A$42</f>
        <v>0</v>
      </c>
      <c r="AX42" s="98">
        <f>+HLOOKUP(AX$2,'נתוני תאגידים'!$1:$719,274,0)*($B42-2013.5+25)/25*$A$42</f>
        <v>0</v>
      </c>
      <c r="AY42" s="98">
        <f>+HLOOKUP(AY$2,'נתוני תאגידים'!$1:$719,274,0)*($B42-2013.5+25)/25*$A$42</f>
        <v>0</v>
      </c>
      <c r="AZ42" s="98">
        <f>+HLOOKUP(AZ$2,'נתוני תאגידים'!$1:$719,274,0)*($B42-2013.5+25)/25*$A$42</f>
        <v>0</v>
      </c>
      <c r="BA42" s="98">
        <f>+HLOOKUP(BA$2,'נתוני תאגידים'!$1:$719,274,0)*($B42-2013.5+25)/25*$A$42</f>
        <v>-0.72000000000000008</v>
      </c>
      <c r="BB42" s="98">
        <f>+HLOOKUP(BB$2,'נתוני תאגידים'!$1:$719,274,0)*($B42-2013.5+25)/25*$A$42</f>
        <v>0</v>
      </c>
      <c r="BC42" s="98">
        <f>+HLOOKUP(BC$2,'נתוני תאגידים'!$1:$719,274,0)*($B42-2013.5+25)/25*$A$42</f>
        <v>0</v>
      </c>
      <c r="BD42" s="98">
        <f>+HLOOKUP(BD$2,'נתוני תאגידים'!$1:$719,274,0)*($B42-2013.5+25)/25*$A$42</f>
        <v>0</v>
      </c>
      <c r="BE42" s="98">
        <f>+HLOOKUP(BE$2,'נתוני תאגידים'!$1:$719,274,0)*($B42-2013.5+25)/25*$A$42</f>
        <v>0</v>
      </c>
      <c r="BF42" s="98">
        <f>+HLOOKUP(BF$2,'נתוני תאגידים'!$1:$719,274,0)*($B42-2013.5+25)/25*$A$42</f>
        <v>0</v>
      </c>
      <c r="BG42" s="98">
        <f>+HLOOKUP(BG$2,'נתוני תאגידים'!$1:$719,274,0)*($B42-2013.5+25)/25*$A$42</f>
        <v>-2089.44</v>
      </c>
    </row>
    <row r="43" spans="1:59" x14ac:dyDescent="0.2">
      <c r="A43" s="1084">
        <f>+A31</f>
        <v>0.8</v>
      </c>
      <c r="B43" s="98">
        <v>2012</v>
      </c>
      <c r="E43" s="98">
        <f>+HLOOKUP(E$2,'נתוני תאגידים'!$1:$719,276,0)*($B43-2013.5+25)/25*$A$43</f>
        <v>-4873.7120000000004</v>
      </c>
      <c r="F43" s="98">
        <f>+HLOOKUP(F$2,'נתוני תאגידים'!$1:$719,276,0)*($B43-2013.5+25)/25*$A$43</f>
        <v>-13169.776000000002</v>
      </c>
      <c r="G43" s="98">
        <f>+HLOOKUP(G$2,'נתוני תאגידים'!$1:$719,276,0)*($B43-2013.5+25)/25*$A$43</f>
        <v>-22416.368000000002</v>
      </c>
      <c r="H43" s="98">
        <f>+HLOOKUP(H$2,'נתוני תאגידים'!$1:$719,276,0)*($B43-2013.5+25)/25*$A$43</f>
        <v>-41888.656000000003</v>
      </c>
      <c r="I43" s="98">
        <f>+HLOOKUP(I$2,'נתוני תאגידים'!$1:$719,276,0)*($B43-2013.5+25)/25*$A$43</f>
        <v>-5173.76</v>
      </c>
      <c r="J43" s="98">
        <f>+HLOOKUP(J$2,'נתוני תאגידים'!$1:$719,276,0)*($B43-2013.5+25)/25*$A$43</f>
        <v>0</v>
      </c>
      <c r="K43" s="98">
        <f>+HLOOKUP(K$2,'נתוני תאגידים'!$1:$719,276,0)*($B43-2013.5+25)/25*$A$43</f>
        <v>-2931.2960000000003</v>
      </c>
      <c r="L43" s="98">
        <f>+HLOOKUP(L$2,'נתוני תאגידים'!$1:$719,276,0)*($B43-2013.5+25)/25*$A$43</f>
        <v>-272.22399999999999</v>
      </c>
      <c r="M43" s="98">
        <f>+HLOOKUP(M$2,'נתוני תאגידים'!$1:$719,276,0)*($B43-2013.5+25)/25*$A$43</f>
        <v>-4006.6559999999999</v>
      </c>
      <c r="N43" s="98">
        <f>+HLOOKUP(N$2,'נתוני תאגידים'!$1:$719,276,0)*($B43-2013.5+25)/25*$A$43</f>
        <v>-6580.7520000000004</v>
      </c>
      <c r="O43" s="98">
        <f>+HLOOKUP(O$2,'נתוני תאגידים'!$1:$719,276,0)*($B43-2013.5+25)/25*$A$43</f>
        <v>-5060.96</v>
      </c>
      <c r="P43" s="98">
        <f>+HLOOKUP(P$2,'נתוני תאגידים'!$1:$719,276,0)*($B43-2013.5+25)/25*$A$43</f>
        <v>-12859.2</v>
      </c>
      <c r="Q43" s="98">
        <f>+HLOOKUP(Q$2,'נתוני תאגידים'!$1:$719,276,0)*($B43-2013.5+25)/25*$A$43</f>
        <v>-358.70400000000001</v>
      </c>
      <c r="R43" s="98">
        <f>+HLOOKUP(R$2,'נתוני תאגידים'!$1:$719,276,0)*($B43-2013.5+25)/25*$A$43</f>
        <v>-1474.672</v>
      </c>
      <c r="S43" s="98">
        <f>+HLOOKUP(S$2,'נתוני תאגידים'!$1:$719,276,0)*($B43-2013.5+25)/25*$A$43</f>
        <v>-6471.7120000000004</v>
      </c>
      <c r="T43" s="98">
        <f>+HLOOKUP(T$2,'נתוני תאגידים'!$1:$719,276,0)*($B43-2013.5+25)/25*$A$43</f>
        <v>-4148.7839999999997</v>
      </c>
      <c r="U43" s="98">
        <f>+HLOOKUP(U$2,'נתוני תאגידים'!$1:$719,276,0)*($B43-2013.5+25)/25*$A$43</f>
        <v>-2692.16</v>
      </c>
      <c r="V43" s="98">
        <f>+HLOOKUP(V$2,'נתוני תאגידים'!$1:$719,276,0)*($B43-2013.5+25)/25*$A$43</f>
        <v>-272.22399999999999</v>
      </c>
      <c r="W43" s="98">
        <f>+HLOOKUP(W$2,'נתוני תאגידים'!$1:$719,276,0)*($B43-2013.5+25)/25*$A$43</f>
        <v>-8427.6640000000007</v>
      </c>
      <c r="X43" s="98">
        <f>+HLOOKUP(X$2,'נתוני תאגידים'!$1:$719,276,0)*($B43-2013.5+25)/25*$A$43</f>
        <v>-1288.9280000000001</v>
      </c>
      <c r="Y43" s="98">
        <f>+HLOOKUP(Y$2,'נתוני תאגידים'!$1:$719,276,0)*($B43-2013.5+25)/25*$A$43</f>
        <v>-1177.6320000000001</v>
      </c>
      <c r="Z43" s="98">
        <f>+HLOOKUP(Z$2,'נתוני תאגידים'!$1:$719,276,0)*($B43-2013.5+25)/25*$A$43</f>
        <v>-15500.224</v>
      </c>
      <c r="AA43" s="98">
        <f>+HLOOKUP(AA$2,'נתוני תאגידים'!$1:$719,276,0)*($B43-2013.5+25)/25*$A$43</f>
        <v>-3123.8080000000004</v>
      </c>
      <c r="AB43" s="98">
        <f>+HLOOKUP(AB$2,'נתוני תאגידים'!$1:$719,276,0)*($B43-2013.5+25)/25*$A$43</f>
        <v>-4199.92</v>
      </c>
      <c r="AC43" s="98">
        <f>+HLOOKUP(AC$2,'נתוני תאגידים'!$1:$719,276,0)*($B43-2013.5+25)/25*$A$43</f>
        <v>-14485.023999999999</v>
      </c>
      <c r="AD43" s="98">
        <f>+HLOOKUP(AD$2,'נתוני תאגידים'!$1:$719,276,0)*($B43-2013.5+25)/25*$A$43</f>
        <v>-12813.328000000001</v>
      </c>
      <c r="AE43" s="98">
        <f>+HLOOKUP(AE$2,'נתוני תאגידים'!$1:$719,276,0)*($B43-2013.5+25)/25*$A$43</f>
        <v>0</v>
      </c>
      <c r="AF43" s="98">
        <f>+HLOOKUP(AF$2,'נתוני תאגידים'!$1:$719,276,0)*($B43-2013.5+25)/25*$A$43</f>
        <v>-6377.7120000000004</v>
      </c>
      <c r="AG43" s="98">
        <f>+HLOOKUP(AG$2,'נתוני תאגידים'!$1:$719,276,0)*($B43-2013.5+25)/25*$A$43</f>
        <v>-4483.424</v>
      </c>
      <c r="AH43" s="98">
        <f>+HLOOKUP(AH$2,'נתוני תאגידים'!$1:$719,276,0)*($B43-2013.5+25)/25*$A$43</f>
        <v>-1379.92</v>
      </c>
      <c r="AI43" s="98">
        <f>+HLOOKUP(AI$2,'נתוני תאגידים'!$1:$719,276,0)*($B43-2013.5+25)/25*$A$43</f>
        <v>-6107.7440000000006</v>
      </c>
      <c r="AJ43" s="98">
        <f>+HLOOKUP(AJ$2,'נתוני תאגידים'!$1:$719,276,0)*($B43-2013.5+25)/25*$A$43</f>
        <v>-914.43200000000002</v>
      </c>
      <c r="AK43" s="98">
        <f>+HLOOKUP(AK$2,'נתוני תאגידים'!$1:$719,276,0)*($B43-2013.5+25)/25*$A$43</f>
        <v>0</v>
      </c>
      <c r="AL43" s="98">
        <f>+HLOOKUP(AL$2,'נתוני תאגידים'!$1:$719,276,0)*($B43-2013.5+25)/25*$A$43</f>
        <v>-704.62400000000002</v>
      </c>
      <c r="AM43" s="98">
        <f>+HLOOKUP(AM$2,'נתוני תאגידים'!$1:$719,276,0)*($B43-2013.5+25)/25*$A$43</f>
        <v>-3236.6080000000002</v>
      </c>
      <c r="AN43" s="98">
        <f>+HLOOKUP(AN$2,'נתוני תאגידים'!$1:$719,276,0)*($B43-2013.5+25)/25*$A$43</f>
        <v>-3999.1360000000004</v>
      </c>
      <c r="AO43" s="98">
        <f>+HLOOKUP(AO$2,'נתוני תאגידים'!$1:$719,276,0)*($B43-2013.5+25)/25*$A$43</f>
        <v>-3961.5360000000001</v>
      </c>
      <c r="AP43" s="98">
        <f>+HLOOKUP(AP$2,'נתוני תאגידים'!$1:$719,276,0)*($B43-2013.5+25)/25*$A$43</f>
        <v>-5331.68</v>
      </c>
      <c r="AQ43" s="98">
        <f>+HLOOKUP(AQ$2,'נתוני תאגידים'!$1:$719,276,0)*($B43-2013.5+25)/25*$A$43</f>
        <v>-2128.9119999999998</v>
      </c>
      <c r="AR43" s="98">
        <f>+HLOOKUP(AR$2,'נתוני תאגידים'!$1:$719,276,0)*($B43-2013.5+25)/25*$A$43</f>
        <v>-2480.848</v>
      </c>
      <c r="AS43" s="98">
        <f>+HLOOKUP(AS$2,'נתוני תאגידים'!$1:$719,276,0)*($B43-2013.5+25)/25*$A$43</f>
        <v>-12795.28</v>
      </c>
      <c r="AT43" s="98">
        <f>+HLOOKUP(AT$2,'נתוני תאגידים'!$1:$719,276,0)*($B43-2013.5+25)/25*$A$43</f>
        <v>0</v>
      </c>
      <c r="AU43" s="98">
        <f>+HLOOKUP(AU$2,'נתוני תאגידים'!$1:$719,276,0)*($B43-2013.5+25)/25*$A$43</f>
        <v>-3314.8160000000007</v>
      </c>
      <c r="AV43" s="98">
        <f>+HLOOKUP(AV$2,'נתוני תאגידים'!$1:$719,276,0)*($B43-2013.5+25)/25*$A$43</f>
        <v>-7017.6640000000007</v>
      </c>
      <c r="AW43" s="98">
        <f>+HLOOKUP(AW$2,'נתוני תאגידים'!$1:$719,276,0)*($B43-2013.5+25)/25*$A$43</f>
        <v>-239.88800000000003</v>
      </c>
      <c r="AX43" s="98">
        <f>+HLOOKUP(AX$2,'נתוני תאגידים'!$1:$719,276,0)*($B43-2013.5+25)/25*$A$43</f>
        <v>-321.85599999999999</v>
      </c>
      <c r="AY43" s="98">
        <f>+HLOOKUP(AY$2,'נתוני תאגידים'!$1:$719,276,0)*($B43-2013.5+25)/25*$A$43</f>
        <v>0</v>
      </c>
      <c r="AZ43" s="98">
        <f>+HLOOKUP(AZ$2,'נתוני תאגידים'!$1:$719,276,0)*($B43-2013.5+25)/25*$A$43</f>
        <v>0</v>
      </c>
      <c r="BA43" s="98">
        <f>+HLOOKUP(BA$2,'נתוני תאגידים'!$1:$719,276,0)*($B43-2013.5+25)/25*$A$43</f>
        <v>-2451.52</v>
      </c>
      <c r="BB43" s="98">
        <f>+HLOOKUP(BB$2,'נתוני תאגידים'!$1:$719,276,0)*($B43-2013.5+25)/25*$A$43</f>
        <v>0</v>
      </c>
      <c r="BC43" s="98">
        <f>+HLOOKUP(BC$2,'נתוני תאגידים'!$1:$719,276,0)*($B43-2013.5+25)/25*$A$43</f>
        <v>0</v>
      </c>
      <c r="BD43" s="98">
        <f>+HLOOKUP(BD$2,'נתוני תאגידים'!$1:$719,276,0)*($B43-2013.5+25)/25*$A$43</f>
        <v>0</v>
      </c>
      <c r="BE43" s="98">
        <f>+HLOOKUP(BE$2,'נתוני תאגידים'!$1:$719,276,0)*($B43-2013.5+25)/25*$A$43</f>
        <v>-1070.848</v>
      </c>
      <c r="BF43" s="98">
        <f>+HLOOKUP(BF$2,'נתוני תאגידים'!$1:$719,276,0)*($B43-2013.5+25)/25*$A$43</f>
        <v>0</v>
      </c>
      <c r="BG43" s="98">
        <f>+HLOOKUP(BG$2,'נתוני תאגידים'!$1:$719,276,0)*($B43-2013.5+25)/25*$A$43</f>
        <v>-1602.5120000000002</v>
      </c>
    </row>
    <row r="44" spans="1:59" x14ac:dyDescent="0.2">
      <c r="A44" s="1084">
        <f>+A32</f>
        <v>0.8</v>
      </c>
      <c r="B44" s="98">
        <v>2013</v>
      </c>
      <c r="E44" s="98">
        <f>+HLOOKUP(E$2,'נתוני תאגידים'!$1:$719,278,0)*($B44-2013.5+25)/25*$A$44</f>
        <v>-4201.4560000000001</v>
      </c>
      <c r="F44" s="98">
        <f>+HLOOKUP(F$2,'נתוני תאגידים'!$1:$719,278,0)*($B44-2013.5+25)/25*$A$44</f>
        <v>-9025.4080000000013</v>
      </c>
      <c r="G44" s="98">
        <f>+HLOOKUP(G$2,'נתוני תאגידים'!$1:$719,278,0)*($B44-2013.5+25)/25*$A$44</f>
        <v>-25641.504000000001</v>
      </c>
      <c r="H44" s="98">
        <f>+HLOOKUP(H$2,'נתוני תאגידים'!$1:$719,278,0)*($B44-2013.5+25)/25*$A$44</f>
        <v>-45265.808000000005</v>
      </c>
      <c r="I44" s="98">
        <f>+HLOOKUP(I$2,'נתוני תאגידים'!$1:$719,278,0)*($B44-2013.5+25)/25*$A$44</f>
        <v>-1926.2880000000002</v>
      </c>
      <c r="J44" s="98">
        <f>+HLOOKUP(J$2,'נתוני תאגידים'!$1:$719,278,0)*($B44-2013.5+25)/25*$A$44</f>
        <v>0</v>
      </c>
      <c r="K44" s="98">
        <f>+HLOOKUP(K$2,'נתוני תאגידים'!$1:$719,278,0)*($B44-2013.5+25)/25*$A$44</f>
        <v>0</v>
      </c>
      <c r="L44" s="98">
        <f>+HLOOKUP(L$2,'נתוני תאגידים'!$1:$719,278,0)*($B44-2013.5+25)/25*$A$44</f>
        <v>-3495.0720000000001</v>
      </c>
      <c r="M44" s="98">
        <f>+HLOOKUP(M$2,'נתוני תאגידים'!$1:$719,278,0)*($B44-2013.5+25)/25*$A$44</f>
        <v>-11727.072</v>
      </c>
      <c r="N44" s="98">
        <f>+HLOOKUP(N$2,'נתוני תאגידים'!$1:$719,278,0)*($B44-2013.5+25)/25*$A$44</f>
        <v>-12758.816000000001</v>
      </c>
      <c r="O44" s="98">
        <f>+HLOOKUP(O$2,'נתוני תאגידים'!$1:$719,278,0)*($B44-2013.5+25)/25*$A$44</f>
        <v>-6702.4160000000011</v>
      </c>
      <c r="P44" s="98">
        <f>+HLOOKUP(P$2,'נתוני תאגידים'!$1:$719,278,0)*($B44-2013.5+25)/25*$A$44</f>
        <v>-15585.920000000002</v>
      </c>
      <c r="Q44" s="98">
        <f>+HLOOKUP(Q$2,'נתוני תאגידים'!$1:$719,278,0)*($B44-2013.5+25)/25*$A$44</f>
        <v>-1495.088</v>
      </c>
      <c r="R44" s="98">
        <f>+HLOOKUP(R$2,'נתוני תאגידים'!$1:$719,278,0)*($B44-2013.5+25)/25*$A$44</f>
        <v>-1506.0640000000001</v>
      </c>
      <c r="S44" s="98">
        <f>+HLOOKUP(S$2,'נתוני תאגידים'!$1:$719,278,0)*($B44-2013.5+25)/25*$A$44</f>
        <v>-4715.76</v>
      </c>
      <c r="T44" s="98">
        <f>+HLOOKUP(T$2,'נתוני תאגידים'!$1:$719,278,0)*($B44-2013.5+25)/25*$A$44</f>
        <v>-2577.7919999999999</v>
      </c>
      <c r="U44" s="98">
        <f>+HLOOKUP(U$2,'נתוני תאגידים'!$1:$719,278,0)*($B44-2013.5+25)/25*$A$44</f>
        <v>-3426.864</v>
      </c>
      <c r="V44" s="98">
        <f>+HLOOKUP(V$2,'נתוני תאגידים'!$1:$719,278,0)*($B44-2013.5+25)/25*$A$44</f>
        <v>-783.21600000000001</v>
      </c>
      <c r="W44" s="98">
        <f>+HLOOKUP(W$2,'נתוני תאגידים'!$1:$719,278,0)*($B44-2013.5+25)/25*$A$44</f>
        <v>-5593.84</v>
      </c>
      <c r="X44" s="98">
        <f>+HLOOKUP(X$2,'נתוני תאגידים'!$1:$719,278,0)*($B44-2013.5+25)/25*$A$44</f>
        <v>0</v>
      </c>
      <c r="Y44" s="98">
        <f>+HLOOKUP(Y$2,'נתוני תאגידים'!$1:$719,278,0)*($B44-2013.5+25)/25*$A$44</f>
        <v>-1921.5840000000001</v>
      </c>
      <c r="Z44" s="98">
        <f>+HLOOKUP(Z$2,'נתוני תאגידים'!$1:$719,278,0)*($B44-2013.5+25)/25*$A$44</f>
        <v>-12485.984</v>
      </c>
      <c r="AA44" s="98">
        <f>+HLOOKUP(AA$2,'נתוני תאגידים'!$1:$719,278,0)*($B44-2013.5+25)/25*$A$44</f>
        <v>-14631.008</v>
      </c>
      <c r="AB44" s="98">
        <f>+HLOOKUP(AB$2,'נתוני תאגידים'!$1:$719,278,0)*($B44-2013.5+25)/25*$A$44</f>
        <v>-7143.8080000000009</v>
      </c>
      <c r="AC44" s="98">
        <f>+HLOOKUP(AC$2,'נתוני תאגידים'!$1:$719,278,0)*($B44-2013.5+25)/25*$A$44</f>
        <v>-16544.752</v>
      </c>
      <c r="AD44" s="98">
        <f>+HLOOKUP(AD$2,'נתוני תאגידים'!$1:$719,278,0)*($B44-2013.5+25)/25*$A$44</f>
        <v>-14427.168</v>
      </c>
      <c r="AE44" s="98">
        <f>+HLOOKUP(AE$2,'נתוני תאגידים'!$1:$719,278,0)*($B44-2013.5+25)/25*$A$44</f>
        <v>0</v>
      </c>
      <c r="AF44" s="98">
        <f>+HLOOKUP(AF$2,'נתוני תאגידים'!$1:$719,278,0)*($B44-2013.5+25)/25*$A$44</f>
        <v>-11771.760000000002</v>
      </c>
      <c r="AG44" s="98">
        <f>+HLOOKUP(AG$2,'נתוני תאגידים'!$1:$719,278,0)*($B44-2013.5+25)/25*$A$44</f>
        <v>-4399.808</v>
      </c>
      <c r="AH44" s="98">
        <f>+HLOOKUP(AH$2,'נתוני תאגידים'!$1:$719,278,0)*($B44-2013.5+25)/25*$A$44</f>
        <v>-2166.192</v>
      </c>
      <c r="AI44" s="98">
        <f>+HLOOKUP(AI$2,'נתוני תאגידים'!$1:$719,278,0)*($B44-2013.5+25)/25*$A$44</f>
        <v>-10159.856</v>
      </c>
      <c r="AJ44" s="98">
        <f>+HLOOKUP(AJ$2,'נתוני תאגידים'!$1:$719,278,0)*($B44-2013.5+25)/25*$A$44</f>
        <v>-3235.5680000000002</v>
      </c>
      <c r="AK44" s="98">
        <f>+HLOOKUP(AK$2,'נתוני תאגידים'!$1:$719,278,0)*($B44-2013.5+25)/25*$A$44</f>
        <v>0</v>
      </c>
      <c r="AL44" s="98">
        <f>+HLOOKUP(AL$2,'נתוני תאגידים'!$1:$719,278,0)*($B44-2013.5+25)/25*$A$44</f>
        <v>-2096.4160000000002</v>
      </c>
      <c r="AM44" s="98">
        <f>+HLOOKUP(AM$2,'נתוני תאגידים'!$1:$719,278,0)*($B44-2013.5+25)/25*$A$44</f>
        <v>-5221.4400000000005</v>
      </c>
      <c r="AN44" s="98">
        <f>+HLOOKUP(AN$2,'נתוני תאגידים'!$1:$719,278,0)*($B44-2013.5+25)/25*$A$44</f>
        <v>-6060.32</v>
      </c>
      <c r="AO44" s="98">
        <f>+HLOOKUP(AO$2,'נתוני תאגידים'!$1:$719,278,0)*($B44-2013.5+25)/25*$A$44</f>
        <v>0</v>
      </c>
      <c r="AP44" s="98">
        <f>+HLOOKUP(AP$2,'נתוני תאגידים'!$1:$719,278,0)*($B44-2013.5+25)/25*$A$44</f>
        <v>-5546.0160000000005</v>
      </c>
      <c r="AQ44" s="98">
        <f>+HLOOKUP(AQ$2,'נתוני תאגידים'!$1:$719,278,0)*($B44-2013.5+25)/25*$A$44</f>
        <v>-3879.232</v>
      </c>
      <c r="AR44" s="98">
        <f>+HLOOKUP(AR$2,'נתוני תאגידים'!$1:$719,278,0)*($B44-2013.5+25)/25*$A$44</f>
        <v>-4432.7359999999999</v>
      </c>
      <c r="AS44" s="98">
        <f>+HLOOKUP(AS$2,'נתוני תאגידים'!$1:$719,278,0)*($B44-2013.5+25)/25*$A$44</f>
        <v>-9745.9040000000005</v>
      </c>
      <c r="AT44" s="98">
        <f>+HLOOKUP(AT$2,'נתוני תאגידים'!$1:$719,278,0)*($B44-2013.5+25)/25*$A$44</f>
        <v>0</v>
      </c>
      <c r="AU44" s="98">
        <f>+HLOOKUP(AU$2,'נתוני תאגידים'!$1:$719,278,0)*($B44-2013.5+25)/25*$A$44</f>
        <v>-5250.4480000000003</v>
      </c>
      <c r="AV44" s="98">
        <f>+HLOOKUP(AV$2,'נתוני תאגידים'!$1:$719,278,0)*($B44-2013.5+25)/25*$A$44</f>
        <v>-7008.9600000000009</v>
      </c>
      <c r="AW44" s="98">
        <f>+HLOOKUP(AW$2,'נתוני תאגידים'!$1:$719,278,0)*($B44-2013.5+25)/25*$A$44</f>
        <v>-1097.6000000000001</v>
      </c>
      <c r="AX44" s="98">
        <f>+HLOOKUP(AX$2,'נתוני תאגידים'!$1:$719,278,0)*($B44-2013.5+25)/25*$A$44</f>
        <v>-313.60000000000002</v>
      </c>
      <c r="AY44" s="98">
        <f>+HLOOKUP(AY$2,'נתוני תאגידים'!$1:$719,278,0)*($B44-2013.5+25)/25*$A$44</f>
        <v>-3343.76</v>
      </c>
      <c r="AZ44" s="98">
        <f>+HLOOKUP(AZ$2,'נתוני תאגידים'!$1:$719,278,0)*($B44-2013.5+25)/25*$A$44</f>
        <v>0</v>
      </c>
      <c r="BA44" s="98">
        <f>+HLOOKUP(BA$2,'נתוני תאגידים'!$1:$719,278,0)*($B44-2013.5+25)/25*$A$44</f>
        <v>-8576.1759999999995</v>
      </c>
      <c r="BB44" s="98">
        <f>+HLOOKUP(BB$2,'נתוני תאגידים'!$1:$719,278,0)*($B44-2013.5+25)/25*$A$44</f>
        <v>0</v>
      </c>
      <c r="BC44" s="98">
        <f>+HLOOKUP(BC$2,'נתוני תאגידים'!$1:$719,278,0)*($B44-2013.5+25)/25*$A$44</f>
        <v>-620.928</v>
      </c>
      <c r="BD44" s="98">
        <f>+HLOOKUP(BD$2,'נתוני תאגידים'!$1:$719,278,0)*($B44-2013.5+25)/25*$A$44</f>
        <v>0</v>
      </c>
      <c r="BE44" s="98">
        <f>+HLOOKUP(BE$2,'נתוני תאגידים'!$1:$719,278,0)*($B44-2013.5+25)/25*$A$44</f>
        <v>-1100.7360000000001</v>
      </c>
      <c r="BF44" s="98">
        <f>+HLOOKUP(BF$2,'נתוני תאגידים'!$1:$719,278,0)*($B44-2013.5+25)/25*$A$44</f>
        <v>0</v>
      </c>
      <c r="BG44" s="98">
        <f>+HLOOKUP(BG$2,'נתוני תאגידים'!$1:$719,278,0)*($B44-2013.5+25)/25*$A$44</f>
        <v>-2669.5200000000004</v>
      </c>
    </row>
    <row r="45" spans="1:59" x14ac:dyDescent="0.2">
      <c r="A45" s="1084">
        <v>0.8</v>
      </c>
      <c r="B45" s="98">
        <v>2014</v>
      </c>
      <c r="E45" s="98">
        <f>+HLOOKUP(E$2,'נתוני תאגידים'!$1:$719,279,0)*($B45-2014.5+25)/25*$A$45</f>
        <v>-11363.296000000002</v>
      </c>
      <c r="F45" s="98">
        <f>+HLOOKUP(F$2,'נתוני תאגידים'!$1:$719,279,0)*($B45-2014.5+25)/25*$A$45</f>
        <v>-11870.544000000002</v>
      </c>
      <c r="G45" s="98">
        <f>+HLOOKUP(G$2,'נתוני תאגידים'!$1:$719,279,0)*($B45-2014.5+25)/25*$A$45</f>
        <v>-35069.887999999999</v>
      </c>
      <c r="H45" s="98">
        <f>+HLOOKUP(H$2,'נתוני תאגידים'!$1:$719,279,0)*($B45-2014.5+25)/25*$A$45</f>
        <v>-38258.415999999997</v>
      </c>
      <c r="I45" s="98">
        <f>+HLOOKUP(I$2,'נתוני תאגידים'!$1:$719,279,0)*($B45-2014.5+25)/25*$A$45</f>
        <v>0</v>
      </c>
      <c r="J45" s="98">
        <f>+HLOOKUP(J$2,'נתוני תאגידים'!$1:$719,279,0)*($B45-2014.5+25)/25*$A$45</f>
        <v>-14609.056</v>
      </c>
      <c r="K45" s="98">
        <f>+HLOOKUP(K$2,'נתוני תאגידים'!$1:$719,279,0)*($B45-2014.5+25)/25*$A$45</f>
        <v>0</v>
      </c>
      <c r="L45" s="98">
        <f>+HLOOKUP(L$2,'נתוני תאגידים'!$1:$719,279,0)*($B45-2014.5+25)/25*$A$45</f>
        <v>-2638.944</v>
      </c>
      <c r="M45" s="98">
        <f>+HLOOKUP(M$2,'נתוני תאגידים'!$1:$719,279,0)*($B45-2014.5+25)/25*$A$45</f>
        <v>-4519.76</v>
      </c>
      <c r="N45" s="98">
        <f>+HLOOKUP(N$2,'נתוני תאגידים'!$1:$719,279,0)*($B45-2014.5+25)/25*$A$45</f>
        <v>-7912.1280000000006</v>
      </c>
      <c r="O45" s="98">
        <f>+HLOOKUP(O$2,'נתוני תאגידים'!$1:$719,279,0)*($B45-2014.5+25)/25*$A$45</f>
        <v>-6918.0160000000005</v>
      </c>
      <c r="P45" s="98">
        <f>+HLOOKUP(P$2,'נתוני תאגידים'!$1:$719,279,0)*($B45-2014.5+25)/25*$A$45</f>
        <v>-29752.800000000003</v>
      </c>
      <c r="Q45" s="98">
        <f>+HLOOKUP(Q$2,'נתוני תאגידים'!$1:$719,279,0)*($B45-2014.5+25)/25*$A$45</f>
        <v>0</v>
      </c>
      <c r="R45" s="98">
        <f>+HLOOKUP(R$2,'נתוני תאגידים'!$1:$719,279,0)*($B45-2014.5+25)/25*$A$45</f>
        <v>0</v>
      </c>
      <c r="S45" s="98">
        <f>+HLOOKUP(S$2,'נתוני תאגידים'!$1:$719,279,0)*($B45-2014.5+25)/25*$A$45</f>
        <v>-21702.688000000002</v>
      </c>
      <c r="T45" s="98">
        <f>+HLOOKUP(T$2,'נתוני תאגידים'!$1:$719,279,0)*($B45-2014.5+25)/25*$A$45</f>
        <v>-7569.52</v>
      </c>
      <c r="U45" s="98">
        <f>+HLOOKUP(U$2,'נתוני תאגידים'!$1:$719,279,0)*($B45-2014.5+25)/25*$A$45</f>
        <v>-2598.96</v>
      </c>
      <c r="V45" s="98">
        <f>+HLOOKUP(V$2,'נתוני תאגידים'!$1:$719,279,0)*($B45-2014.5+25)/25*$A$45</f>
        <v>-430.416</v>
      </c>
      <c r="W45" s="98">
        <f>+HLOOKUP(W$2,'נתוני תאגידים'!$1:$719,279,0)*($B45-2014.5+25)/25*$A$45</f>
        <v>-6128.5280000000002</v>
      </c>
      <c r="X45" s="98">
        <f>+HLOOKUP(X$2,'נתוני תאגידים'!$1:$719,279,0)*($B45-2014.5+25)/25*$A$45</f>
        <v>0</v>
      </c>
      <c r="Y45" s="98">
        <f>+HLOOKUP(Y$2,'נתוני תאגידים'!$1:$719,279,0)*($B45-2014.5+25)/25*$A$45</f>
        <v>0</v>
      </c>
      <c r="Z45" s="98">
        <f>+HLOOKUP(Z$2,'נתוני תאגידים'!$1:$719,279,0)*($B45-2014.5+25)/25*$A$45</f>
        <v>-30056.208000000002</v>
      </c>
      <c r="AA45" s="98">
        <f>+HLOOKUP(AA$2,'נתוני תאגידים'!$1:$719,279,0)*($B45-2014.5+25)/25*$A$45</f>
        <v>0</v>
      </c>
      <c r="AB45" s="98">
        <f>+HLOOKUP(AB$2,'נתוני תאגידים'!$1:$719,279,0)*($B45-2014.5+25)/25*$A$45</f>
        <v>0</v>
      </c>
      <c r="AC45" s="98">
        <f>+HLOOKUP(AC$2,'נתוני תאגידים'!$1:$719,279,0)*($B45-2014.5+25)/25*$A$45</f>
        <v>-16822.288</v>
      </c>
      <c r="AD45" s="98">
        <f>+HLOOKUP(AD$2,'נתוני תאגידים'!$1:$719,279,0)*($B45-2014.5+25)/25*$A$45</f>
        <v>-20822.256000000001</v>
      </c>
      <c r="AE45" s="98">
        <f>+HLOOKUP(AE$2,'נתוני תאגידים'!$1:$719,279,0)*($B45-2014.5+25)/25*$A$45</f>
        <v>0</v>
      </c>
      <c r="AF45" s="98">
        <f>+HLOOKUP(AF$2,'נתוני תאגידים'!$1:$719,279,0)*($B45-2014.5+25)/25*$A$45</f>
        <v>-18934.384000000002</v>
      </c>
      <c r="AG45" s="98">
        <f>+HLOOKUP(AG$2,'נתוני תאגידים'!$1:$719,279,0)*($B45-2014.5+25)/25*$A$45</f>
        <v>-4229.68</v>
      </c>
      <c r="AH45" s="98">
        <f>+HLOOKUP(AH$2,'נתוני תאגידים'!$1:$719,279,0)*($B45-2014.5+25)/25*$A$45</f>
        <v>-1235.5840000000001</v>
      </c>
      <c r="AI45" s="98">
        <f>+HLOOKUP(AI$2,'נתוני תאגידים'!$1:$719,279,0)*($B45-2014.5+25)/25*$A$45</f>
        <v>-6533.0720000000001</v>
      </c>
      <c r="AJ45" s="98">
        <f>+HLOOKUP(AJ$2,'נתוני תאגידים'!$1:$719,279,0)*($B45-2014.5+25)/25*$A$45</f>
        <v>-4001.5360000000001</v>
      </c>
      <c r="AK45" s="98">
        <f>+HLOOKUP(AK$2,'נתוני תאגידים'!$1:$719,279,0)*($B45-2014.5+25)/25*$A$45</f>
        <v>0</v>
      </c>
      <c r="AL45" s="98">
        <f>+HLOOKUP(AL$2,'נתוני תאגידים'!$1:$719,279,0)*($B45-2014.5+25)/25*$A$45</f>
        <v>0</v>
      </c>
      <c r="AM45" s="98">
        <f>+HLOOKUP(AM$2,'נתוני תאגידים'!$1:$719,279,0)*($B45-2014.5+25)/25*$A$45</f>
        <v>-4218.7040000000006</v>
      </c>
      <c r="AN45" s="98">
        <f>+HLOOKUP(AN$2,'נתוני תאגידים'!$1:$719,279,0)*($B45-2014.5+25)/25*$A$45</f>
        <v>-8144.9759999999997</v>
      </c>
      <c r="AO45" s="98">
        <f>+HLOOKUP(AO$2,'נתוני תאגידים'!$1:$719,279,0)*($B45-2014.5+25)/25*$A$45</f>
        <v>-2166.192</v>
      </c>
      <c r="AP45" s="98">
        <f>+HLOOKUP(AP$2,'נתוני תאגידים'!$1:$719,279,0)*($B45-2014.5+25)/25*$A$45</f>
        <v>-3959.2000000000003</v>
      </c>
      <c r="AQ45" s="98">
        <f>+HLOOKUP(AQ$2,'נתוני תאגידים'!$1:$719,279,0)*($B45-2014.5+25)/25*$A$45</f>
        <v>-2878.0640000000003</v>
      </c>
      <c r="AR45" s="98">
        <f>+HLOOKUP(AR$2,'נתוני תאגידים'!$1:$719,279,0)*($B45-2014.5+25)/25*$A$45</f>
        <v>-4096.4000000000005</v>
      </c>
      <c r="AS45" s="98">
        <f>+HLOOKUP(AS$2,'נתוני תאגידים'!$1:$719,279,0)*($B45-2014.5+25)/25*$A$45</f>
        <v>-7193.9840000000004</v>
      </c>
      <c r="AT45" s="98">
        <f>+HLOOKUP(AT$2,'נתוני תאגידים'!$1:$719,279,0)*($B45-2014.5+25)/25*$A$45</f>
        <v>0</v>
      </c>
      <c r="AU45" s="98">
        <f>+HLOOKUP(AU$2,'נתוני תאגידים'!$1:$719,279,0)*($B45-2014.5+25)/25*$A$45</f>
        <v>-3600.1280000000002</v>
      </c>
      <c r="AV45" s="98">
        <f>+HLOOKUP(AV$2,'נתוני תאגידים'!$1:$719,279,0)*($B45-2014.5+25)/25*$A$45</f>
        <v>-8098.72</v>
      </c>
      <c r="AW45" s="98">
        <f>+HLOOKUP(AW$2,'נתוני תאגידים'!$1:$719,279,0)*($B45-2014.5+25)/25*$A$45</f>
        <v>-1583.68</v>
      </c>
      <c r="AX45" s="98">
        <f>+HLOOKUP(AX$2,'נתוני תאגידים'!$1:$719,279,0)*($B45-2014.5+25)/25*$A$45</f>
        <v>0</v>
      </c>
      <c r="AY45" s="98">
        <f>+HLOOKUP(AY$2,'נתוני תאגידים'!$1:$719,279,0)*($B45-2014.5+25)/25*$A$45</f>
        <v>-4446.8480000000009</v>
      </c>
      <c r="AZ45" s="98">
        <f>+HLOOKUP(AZ$2,'נתוני תאגידים'!$1:$719,279,0)*($B45-2014.5+25)/25*$A$45</f>
        <v>0</v>
      </c>
      <c r="BA45" s="98">
        <f>+HLOOKUP(BA$2,'נתוני תאגידים'!$1:$719,279,0)*($B45-2014.5+25)/25*$A$45</f>
        <v>-9491.8880000000008</v>
      </c>
      <c r="BB45" s="98">
        <f>+HLOOKUP(BB$2,'נתוני תאגידים'!$1:$719,279,0)*($B45-2014.5+25)/25*$A$45</f>
        <v>0</v>
      </c>
      <c r="BC45" s="98">
        <f>+HLOOKUP(BC$2,'נתוני תאגידים'!$1:$719,279,0)*($B45-2014.5+25)/25*$A$45</f>
        <v>-796.54399999999998</v>
      </c>
      <c r="BD45" s="98">
        <f>+HLOOKUP(BD$2,'נתוני תאגידים'!$1:$719,279,0)*($B45-2014.5+25)/25*$A$45</f>
        <v>0</v>
      </c>
      <c r="BE45" s="98">
        <f>+HLOOKUP(BE$2,'נתוני תאגידים'!$1:$719,279,0)*($B45-2014.5+25)/25*$A$45</f>
        <v>-223.44000000000003</v>
      </c>
      <c r="BF45" s="98">
        <f>+HLOOKUP(BF$2,'נתוני תאגידים'!$1:$719,279,0)*($B45-2014.5+25)/25*$A$45</f>
        <v>0</v>
      </c>
      <c r="BG45" s="98">
        <f>+HLOOKUP(BG$2,'נתוני תאגידים'!$1:$719,279,0)*($B45-2014.5+25)/25*$A$45</f>
        <v>0</v>
      </c>
    </row>
    <row r="46" spans="1:59" x14ac:dyDescent="0.2">
      <c r="B46" s="1290" t="s">
        <v>1567</v>
      </c>
      <c r="E46" s="98">
        <f>SUM(E39:E44)</f>
        <v>-26440.864000000001</v>
      </c>
      <c r="F46" s="98">
        <f t="shared" ref="F46:BG46" si="10">SUM(F39:F44)</f>
        <v>-43969.600000000006</v>
      </c>
      <c r="G46" s="98">
        <f t="shared" si="10"/>
        <v>-88840.195919999998</v>
      </c>
      <c r="H46" s="98">
        <f t="shared" si="10"/>
        <v>-127690.49600000001</v>
      </c>
      <c r="I46" s="98">
        <f t="shared" si="10"/>
        <v>-9344.4480000000003</v>
      </c>
      <c r="J46" s="98">
        <f t="shared" si="10"/>
        <v>-6841.0079999999998</v>
      </c>
      <c r="K46" s="98">
        <f t="shared" si="10"/>
        <v>-8920.6720000000005</v>
      </c>
      <c r="L46" s="98">
        <f t="shared" si="10"/>
        <v>-8546.8160000000007</v>
      </c>
      <c r="M46" s="98">
        <f t="shared" si="10"/>
        <v>-18927.536</v>
      </c>
      <c r="N46" s="98">
        <f t="shared" si="10"/>
        <v>-36514.896000000001</v>
      </c>
      <c r="O46" s="98">
        <f t="shared" si="10"/>
        <v>-21386.032000000003</v>
      </c>
      <c r="P46" s="98">
        <f t="shared" si="10"/>
        <v>-57950.8</v>
      </c>
      <c r="Q46" s="98">
        <f t="shared" si="10"/>
        <v>-2267.232</v>
      </c>
      <c r="R46" s="98">
        <f t="shared" si="10"/>
        <v>-8900.4480000000003</v>
      </c>
      <c r="S46" s="98">
        <f t="shared" si="10"/>
        <v>-25117.760000000002</v>
      </c>
      <c r="T46" s="98">
        <f t="shared" si="10"/>
        <v>-23177.408000000003</v>
      </c>
      <c r="U46" s="98">
        <f t="shared" si="10"/>
        <v>-15007.170032</v>
      </c>
      <c r="V46" s="98">
        <f t="shared" si="10"/>
        <v>-1458.232</v>
      </c>
      <c r="W46" s="98">
        <f t="shared" si="10"/>
        <v>-23389.600000000002</v>
      </c>
      <c r="X46" s="98">
        <f t="shared" si="10"/>
        <v>-3448.08</v>
      </c>
      <c r="Y46" s="98">
        <f t="shared" si="10"/>
        <v>-5825.1360000000004</v>
      </c>
      <c r="Z46" s="98">
        <f t="shared" si="10"/>
        <v>-59511.936000000002</v>
      </c>
      <c r="AA46" s="98">
        <f t="shared" si="10"/>
        <v>-17754.815999999999</v>
      </c>
      <c r="AB46" s="98">
        <f t="shared" si="10"/>
        <v>-15260.880000000001</v>
      </c>
      <c r="AC46" s="98">
        <f t="shared" si="10"/>
        <v>-101290.05600000001</v>
      </c>
      <c r="AD46" s="98">
        <f t="shared" si="10"/>
        <v>-61219.487999999998</v>
      </c>
      <c r="AE46" s="98">
        <f t="shared" si="10"/>
        <v>0</v>
      </c>
      <c r="AF46" s="98">
        <f t="shared" si="10"/>
        <v>-25322.832000000002</v>
      </c>
      <c r="AG46" s="98">
        <f t="shared" si="10"/>
        <v>-14634.16</v>
      </c>
      <c r="AH46" s="98">
        <f t="shared" si="10"/>
        <v>-3546.8320000000003</v>
      </c>
      <c r="AI46" s="98">
        <f t="shared" si="10"/>
        <v>-22227.616000000002</v>
      </c>
      <c r="AJ46" s="98">
        <f t="shared" si="10"/>
        <v>-11180.08</v>
      </c>
      <c r="AK46" s="98">
        <f t="shared" si="10"/>
        <v>0</v>
      </c>
      <c r="AL46" s="98">
        <f t="shared" si="10"/>
        <v>-4592.3040000000001</v>
      </c>
      <c r="AM46" s="98">
        <f t="shared" si="10"/>
        <v>-12897.936000000002</v>
      </c>
      <c r="AN46" s="98">
        <f t="shared" si="10"/>
        <v>-17014.495999999999</v>
      </c>
      <c r="AO46" s="98">
        <f t="shared" si="10"/>
        <v>-4419.4560000000001</v>
      </c>
      <c r="AP46" s="98">
        <f t="shared" si="10"/>
        <v>-14984.495999999999</v>
      </c>
      <c r="AQ46" s="98">
        <f t="shared" si="10"/>
        <v>-12382.304</v>
      </c>
      <c r="AR46" s="98">
        <f t="shared" si="10"/>
        <v>-9050.2560000000012</v>
      </c>
      <c r="AS46" s="98">
        <f t="shared" si="10"/>
        <v>-22541.184000000001</v>
      </c>
      <c r="AT46" s="98">
        <f t="shared" si="10"/>
        <v>-3478.2880000000005</v>
      </c>
      <c r="AU46" s="98">
        <f t="shared" si="10"/>
        <v>-15754.208000000001</v>
      </c>
      <c r="AV46" s="98">
        <f t="shared" si="10"/>
        <v>-23988.544000000002</v>
      </c>
      <c r="AW46" s="98">
        <f t="shared" si="10"/>
        <v>-1337.4880000000003</v>
      </c>
      <c r="AX46" s="98">
        <f t="shared" si="10"/>
        <v>-635.45600000000002</v>
      </c>
      <c r="AY46" s="98">
        <f t="shared" si="10"/>
        <v>-3343.76</v>
      </c>
      <c r="AZ46" s="98">
        <f t="shared" si="10"/>
        <v>0</v>
      </c>
      <c r="BA46" s="98">
        <f t="shared" si="10"/>
        <v>-11029.759999999998</v>
      </c>
      <c r="BB46" s="98">
        <f t="shared" si="10"/>
        <v>0</v>
      </c>
      <c r="BC46" s="98">
        <f t="shared" si="10"/>
        <v>-620.928</v>
      </c>
      <c r="BD46" s="98">
        <f t="shared" si="10"/>
        <v>0</v>
      </c>
      <c r="BE46" s="98">
        <f t="shared" si="10"/>
        <v>-2171.5839999999998</v>
      </c>
      <c r="BF46" s="98">
        <f t="shared" si="10"/>
        <v>0</v>
      </c>
      <c r="BG46" s="98">
        <f t="shared" si="10"/>
        <v>-6361.4720000000007</v>
      </c>
    </row>
    <row r="47" spans="1:59" x14ac:dyDescent="0.2">
      <c r="B47" s="98" t="s">
        <v>666</v>
      </c>
      <c r="E47" s="98">
        <f>SUM(E40:E42)</f>
        <v>-14890.912</v>
      </c>
      <c r="F47" s="98">
        <f t="shared" ref="F47:BG47" si="11">SUM(F40:F42)</f>
        <v>-18727.424000000003</v>
      </c>
      <c r="G47" s="98">
        <f>SUM(G40:G42)</f>
        <v>-40548.351999999999</v>
      </c>
      <c r="H47" s="98">
        <f t="shared" si="11"/>
        <v>-40536.032000000007</v>
      </c>
      <c r="I47" s="98">
        <f t="shared" si="11"/>
        <v>-2244.4</v>
      </c>
      <c r="J47" s="98">
        <f t="shared" si="11"/>
        <v>-6841.0079999999998</v>
      </c>
      <c r="K47" s="98">
        <f t="shared" si="11"/>
        <v>-5989.3760000000002</v>
      </c>
      <c r="L47" s="98">
        <f t="shared" si="11"/>
        <v>-4779.5200000000004</v>
      </c>
      <c r="M47" s="98">
        <f t="shared" si="11"/>
        <v>-3193.808</v>
      </c>
      <c r="N47" s="98">
        <f t="shared" si="11"/>
        <v>-17175.328000000001</v>
      </c>
      <c r="O47" s="98">
        <f t="shared" si="11"/>
        <v>-9622.6560000000009</v>
      </c>
      <c r="P47" s="98">
        <f t="shared" si="11"/>
        <v>-29505.68</v>
      </c>
      <c r="Q47" s="98">
        <f t="shared" si="11"/>
        <v>-413.44000000000005</v>
      </c>
      <c r="R47" s="98">
        <f t="shared" si="11"/>
        <v>-4224.9279999999999</v>
      </c>
      <c r="S47" s="98">
        <f t="shared" si="11"/>
        <v>-13930.288</v>
      </c>
      <c r="T47" s="98">
        <f t="shared" si="11"/>
        <v>-13529.888000000001</v>
      </c>
      <c r="U47" s="98">
        <f t="shared" si="11"/>
        <v>-8888.1460320000006</v>
      </c>
      <c r="V47" s="98">
        <f t="shared" si="11"/>
        <v>0</v>
      </c>
      <c r="W47" s="98">
        <f t="shared" si="11"/>
        <v>-9368.0960000000014</v>
      </c>
      <c r="X47" s="98">
        <f t="shared" si="11"/>
        <v>-2159.152</v>
      </c>
      <c r="Y47" s="98">
        <f t="shared" si="11"/>
        <v>-2725.92</v>
      </c>
      <c r="Z47" s="98">
        <f t="shared" si="11"/>
        <v>-27129.023999999998</v>
      </c>
      <c r="AA47" s="98">
        <f t="shared" si="11"/>
        <v>0</v>
      </c>
      <c r="AB47" s="98">
        <f t="shared" si="11"/>
        <v>-3917.152</v>
      </c>
      <c r="AC47" s="98">
        <f t="shared" si="11"/>
        <v>-56273.008000000002</v>
      </c>
      <c r="AD47" s="98">
        <f t="shared" si="11"/>
        <v>-25896.944</v>
      </c>
      <c r="AE47" s="98">
        <f t="shared" si="11"/>
        <v>0</v>
      </c>
      <c r="AF47" s="98">
        <f t="shared" si="11"/>
        <v>-7173.3600000000006</v>
      </c>
      <c r="AG47" s="98">
        <f t="shared" si="11"/>
        <v>-5750.9279999999999</v>
      </c>
      <c r="AH47" s="98">
        <f t="shared" si="11"/>
        <v>-0.72000000000000008</v>
      </c>
      <c r="AI47" s="98">
        <f t="shared" si="11"/>
        <v>-5960.0160000000014</v>
      </c>
      <c r="AJ47" s="98">
        <f t="shared" si="11"/>
        <v>-7030.08</v>
      </c>
      <c r="AK47" s="98">
        <f t="shared" si="11"/>
        <v>0</v>
      </c>
      <c r="AL47" s="98">
        <f t="shared" si="11"/>
        <v>-1096.1280000000002</v>
      </c>
      <c r="AM47" s="98">
        <f t="shared" si="11"/>
        <v>-4439.8880000000008</v>
      </c>
      <c r="AN47" s="98">
        <f t="shared" si="11"/>
        <v>-6955.0400000000009</v>
      </c>
      <c r="AO47" s="98">
        <f t="shared" si="11"/>
        <v>-457.92</v>
      </c>
      <c r="AP47" s="98">
        <f t="shared" si="11"/>
        <v>-4106.8</v>
      </c>
      <c r="AQ47" s="98">
        <f t="shared" si="11"/>
        <v>-6374.16</v>
      </c>
      <c r="AR47" s="98">
        <f t="shared" si="11"/>
        <v>-2136.672</v>
      </c>
      <c r="AS47" s="98">
        <f t="shared" si="11"/>
        <v>0</v>
      </c>
      <c r="AT47" s="98">
        <f t="shared" si="11"/>
        <v>-3478.2880000000005</v>
      </c>
      <c r="AU47" s="98">
        <f t="shared" si="11"/>
        <v>-7188.9439999999995</v>
      </c>
      <c r="AV47" s="98">
        <f t="shared" si="11"/>
        <v>-9961.92</v>
      </c>
      <c r="AW47" s="98">
        <f t="shared" si="11"/>
        <v>0</v>
      </c>
      <c r="AX47" s="98">
        <f t="shared" si="11"/>
        <v>0</v>
      </c>
      <c r="AY47" s="98">
        <f t="shared" si="11"/>
        <v>0</v>
      </c>
      <c r="AZ47" s="98">
        <f t="shared" si="11"/>
        <v>0</v>
      </c>
      <c r="BA47" s="98">
        <f t="shared" si="11"/>
        <v>-2.0640000000000001</v>
      </c>
      <c r="BB47" s="98">
        <f t="shared" si="11"/>
        <v>0</v>
      </c>
      <c r="BC47" s="98">
        <f t="shared" si="11"/>
        <v>0</v>
      </c>
      <c r="BD47" s="98">
        <f t="shared" si="11"/>
        <v>0</v>
      </c>
      <c r="BE47" s="98">
        <f t="shared" si="11"/>
        <v>0</v>
      </c>
      <c r="BF47" s="98">
        <f t="shared" si="11"/>
        <v>0</v>
      </c>
      <c r="BG47" s="98">
        <f t="shared" si="11"/>
        <v>-2089.44</v>
      </c>
    </row>
    <row r="49" spans="5:48" x14ac:dyDescent="0.2">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row>
    <row r="51" spans="5:48" x14ac:dyDescent="0.2">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row>
    <row r="53" spans="5:48" x14ac:dyDescent="0.2">
      <c r="E53" s="102"/>
      <c r="F53" s="102"/>
      <c r="G53" s="102"/>
      <c r="H53" s="102"/>
      <c r="I53" s="102"/>
      <c r="J53" s="102"/>
      <c r="K53" s="102"/>
      <c r="L53" s="102"/>
      <c r="M53" s="102"/>
      <c r="N53" s="102"/>
      <c r="O53" s="102"/>
      <c r="P53" s="102"/>
      <c r="Q53" s="102"/>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c r="AO53" s="102"/>
      <c r="AP53" s="102"/>
      <c r="AQ53" s="102"/>
      <c r="AR53" s="102"/>
      <c r="AS53" s="102"/>
      <c r="AT53" s="102"/>
      <c r="AU53" s="102"/>
      <c r="AV53" s="102"/>
    </row>
    <row r="71" spans="5:48" x14ac:dyDescent="0.2">
      <c r="E71" s="101"/>
      <c r="F71" s="101"/>
      <c r="G71" s="101"/>
      <c r="H71" s="101"/>
      <c r="I71" s="101"/>
      <c r="J71" s="101"/>
      <c r="K71" s="101"/>
      <c r="L71" s="101"/>
      <c r="M71" s="101"/>
      <c r="N71" s="101"/>
      <c r="O71" s="101"/>
      <c r="P71" s="101"/>
      <c r="Q71" s="101"/>
      <c r="R71" s="101"/>
      <c r="S71" s="101"/>
      <c r="T71" s="101"/>
      <c r="U71" s="101"/>
      <c r="V71" s="101"/>
      <c r="W71" s="101"/>
      <c r="X71" s="101"/>
      <c r="Y71" s="101"/>
      <c r="Z71" s="101"/>
      <c r="AA71" s="101"/>
      <c r="AB71" s="101"/>
      <c r="AC71" s="101"/>
      <c r="AD71" s="101"/>
      <c r="AE71" s="101"/>
      <c r="AF71" s="101"/>
      <c r="AG71" s="101"/>
      <c r="AH71" s="101"/>
      <c r="AI71" s="101"/>
      <c r="AJ71" s="101"/>
      <c r="AK71" s="101"/>
      <c r="AL71" s="101"/>
      <c r="AM71" s="101"/>
      <c r="AN71" s="101"/>
      <c r="AO71" s="101"/>
      <c r="AP71" s="101"/>
      <c r="AQ71" s="101"/>
      <c r="AR71" s="101"/>
      <c r="AS71" s="101"/>
      <c r="AT71" s="101"/>
      <c r="AU71" s="101"/>
      <c r="AV71" s="101"/>
    </row>
    <row r="73" spans="5:48" x14ac:dyDescent="0.2">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row>
    <row r="74" spans="5:48" x14ac:dyDescent="0.2">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c r="AD74" s="101"/>
      <c r="AE74" s="101"/>
      <c r="AF74" s="101"/>
      <c r="AG74" s="101"/>
      <c r="AH74" s="101"/>
      <c r="AI74" s="101"/>
      <c r="AJ74" s="101"/>
      <c r="AK74" s="101"/>
      <c r="AL74" s="101"/>
      <c r="AM74" s="101"/>
      <c r="AN74" s="101"/>
      <c r="AO74" s="101"/>
      <c r="AP74" s="101"/>
      <c r="AQ74" s="101"/>
      <c r="AR74" s="101"/>
      <c r="AS74" s="101"/>
      <c r="AT74" s="101"/>
      <c r="AU74" s="101"/>
      <c r="AV74" s="101"/>
    </row>
    <row r="75" spans="5:48" x14ac:dyDescent="0.2">
      <c r="E75" s="101"/>
      <c r="F75" s="101"/>
      <c r="G75" s="101"/>
      <c r="H75" s="101"/>
      <c r="I75" s="101"/>
      <c r="J75" s="101"/>
      <c r="K75" s="101"/>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row>
    <row r="77" spans="5:48" x14ac:dyDescent="0.2">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6"/>
  <dimension ref="A1:U287"/>
  <sheetViews>
    <sheetView rightToLeft="1" zoomScaleNormal="100" workbookViewId="0">
      <pane xSplit="1" ySplit="10" topLeftCell="B56" activePane="bottomRight" state="frozen"/>
      <selection pane="topRight" activeCell="B1" sqref="B1"/>
      <selection pane="bottomLeft" activeCell="A11" sqref="A11"/>
      <selection pane="bottomRight" activeCell="F78" sqref="F78"/>
    </sheetView>
  </sheetViews>
  <sheetFormatPr defaultRowHeight="12.75" x14ac:dyDescent="0.2"/>
  <cols>
    <col min="1" max="1" width="5.85546875" customWidth="1"/>
    <col min="2" max="2" width="13.7109375" customWidth="1"/>
    <col min="3" max="3" width="12.140625" customWidth="1"/>
    <col min="4" max="4" width="10.140625" style="3" bestFit="1" customWidth="1"/>
    <col min="5" max="5" width="5.7109375" style="105" customWidth="1"/>
    <col min="6" max="6" width="9.140625" style="3"/>
    <col min="7" max="7" width="6.7109375" style="105" customWidth="1"/>
    <col min="8" max="8" width="9.140625" style="3"/>
    <col min="9" max="9" width="5.140625" style="105" customWidth="1"/>
    <col min="10" max="10" width="9.140625" style="3"/>
    <col min="11" max="11" width="4.5703125" style="105" customWidth="1"/>
    <col min="12" max="12" width="9.140625" style="3"/>
    <col min="13" max="13" width="4.7109375" style="105" customWidth="1"/>
    <col min="14" max="14" width="9.140625" style="3"/>
    <col min="15" max="15" width="4.85546875" style="105" customWidth="1"/>
    <col min="16" max="16" width="9.140625" style="3"/>
    <col min="17" max="17" width="4.42578125" style="105" customWidth="1"/>
    <col min="18" max="18" width="10.140625" style="3" bestFit="1" customWidth="1"/>
    <col min="19" max="19" width="4.85546875" style="105" customWidth="1"/>
    <col min="20" max="20" width="10.140625" style="3" bestFit="1" customWidth="1"/>
    <col min="21" max="21" width="7" style="105" customWidth="1"/>
  </cols>
  <sheetData>
    <row r="1" spans="1:21" x14ac:dyDescent="0.2">
      <c r="A1" s="438" t="s">
        <v>282</v>
      </c>
      <c r="B1" s="438" t="s">
        <v>556</v>
      </c>
      <c r="C1" s="438"/>
      <c r="D1" s="1776" t="s">
        <v>285</v>
      </c>
      <c r="E1" s="1776"/>
      <c r="F1" s="1776" t="s">
        <v>502</v>
      </c>
      <c r="G1" s="1776"/>
      <c r="H1" s="1776" t="s">
        <v>372</v>
      </c>
      <c r="I1" s="1776"/>
      <c r="J1" s="1776" t="s">
        <v>555</v>
      </c>
      <c r="K1" s="1776"/>
      <c r="L1" s="1776" t="s">
        <v>554</v>
      </c>
      <c r="M1" s="1776"/>
      <c r="N1" s="1776" t="s">
        <v>373</v>
      </c>
      <c r="O1" s="1776"/>
      <c r="P1" s="1776" t="s">
        <v>374</v>
      </c>
      <c r="Q1" s="1776"/>
      <c r="R1" s="1776" t="s">
        <v>285</v>
      </c>
      <c r="S1" s="1776"/>
      <c r="T1" s="1776" t="s">
        <v>285</v>
      </c>
      <c r="U1" s="1776"/>
    </row>
    <row r="2" spans="1:21" x14ac:dyDescent="0.2">
      <c r="A2" s="438" t="s">
        <v>289</v>
      </c>
      <c r="B2" s="438"/>
      <c r="C2" s="438" t="s">
        <v>290</v>
      </c>
      <c r="D2" s="1776" t="s">
        <v>299</v>
      </c>
      <c r="E2" s="1776"/>
      <c r="F2" s="1776" t="s">
        <v>553</v>
      </c>
      <c r="G2" s="1776"/>
      <c r="H2" s="1776" t="s">
        <v>553</v>
      </c>
      <c r="I2" s="1776"/>
      <c r="J2" s="552"/>
      <c r="K2" s="553"/>
      <c r="L2" s="1776" t="s">
        <v>552</v>
      </c>
      <c r="M2" s="1776"/>
      <c r="N2" s="1776" t="s">
        <v>375</v>
      </c>
      <c r="O2" s="1776"/>
      <c r="P2" s="552"/>
      <c r="Q2" s="553"/>
      <c r="R2" s="1776" t="s">
        <v>376</v>
      </c>
      <c r="S2" s="1776"/>
      <c r="T2" s="1776" t="s">
        <v>295</v>
      </c>
      <c r="U2" s="1776"/>
    </row>
    <row r="3" spans="1:21" x14ac:dyDescent="0.2">
      <c r="A3" s="558"/>
      <c r="B3" s="558"/>
      <c r="C3" s="558"/>
      <c r="D3" s="559" t="s">
        <v>301</v>
      </c>
      <c r="E3" s="560" t="s">
        <v>302</v>
      </c>
      <c r="F3" s="559" t="s">
        <v>301</v>
      </c>
      <c r="G3" s="560" t="s">
        <v>302</v>
      </c>
      <c r="H3" s="559" t="s">
        <v>301</v>
      </c>
      <c r="I3" s="560" t="s">
        <v>302</v>
      </c>
      <c r="J3" s="559" t="s">
        <v>301</v>
      </c>
      <c r="K3" s="560" t="s">
        <v>302</v>
      </c>
      <c r="L3" s="559" t="s">
        <v>301</v>
      </c>
      <c r="M3" s="560" t="s">
        <v>302</v>
      </c>
      <c r="N3" s="559" t="s">
        <v>301</v>
      </c>
      <c r="O3" s="560" t="s">
        <v>302</v>
      </c>
      <c r="P3" s="559" t="s">
        <v>301</v>
      </c>
      <c r="Q3" s="560" t="s">
        <v>302</v>
      </c>
      <c r="R3" s="559" t="s">
        <v>301</v>
      </c>
      <c r="S3" s="560" t="s">
        <v>302</v>
      </c>
      <c r="T3" s="559" t="s">
        <v>301</v>
      </c>
      <c r="U3" s="560" t="s">
        <v>302</v>
      </c>
    </row>
    <row r="4" spans="1:21" hidden="1" x14ac:dyDescent="0.2">
      <c r="A4" s="38"/>
      <c r="B4" s="38"/>
      <c r="C4" s="38" t="s">
        <v>743</v>
      </c>
      <c r="D4" s="494">
        <v>585730</v>
      </c>
      <c r="E4" s="545">
        <v>89.114228334956181</v>
      </c>
      <c r="F4" s="494">
        <v>0</v>
      </c>
      <c r="G4" s="545">
        <v>0</v>
      </c>
      <c r="H4" s="494">
        <v>38288</v>
      </c>
      <c r="I4" s="545">
        <v>5.8252190847127556</v>
      </c>
      <c r="J4" s="494">
        <v>0</v>
      </c>
      <c r="K4" s="545">
        <v>0</v>
      </c>
      <c r="L4" s="494">
        <v>0</v>
      </c>
      <c r="M4" s="545">
        <v>0</v>
      </c>
      <c r="N4" s="494">
        <v>9736</v>
      </c>
      <c r="O4" s="545">
        <v>1.4812560856864654</v>
      </c>
      <c r="P4" s="494">
        <v>12880</v>
      </c>
      <c r="Q4" s="545">
        <v>1.9595910418695228</v>
      </c>
      <c r="R4" s="494">
        <v>10646</v>
      </c>
      <c r="S4" s="545">
        <v>1.6197054527750732</v>
      </c>
      <c r="T4" s="494">
        <v>657280</v>
      </c>
      <c r="U4" s="545">
        <v>100</v>
      </c>
    </row>
    <row r="5" spans="1:21" hidden="1" x14ac:dyDescent="0.2">
      <c r="A5" s="38"/>
      <c r="B5" s="38"/>
      <c r="C5" s="38" t="s">
        <v>96</v>
      </c>
      <c r="D5" s="494">
        <v>251438</v>
      </c>
      <c r="E5" s="545">
        <v>84.638740776646742</v>
      </c>
      <c r="F5" s="494">
        <v>796</v>
      </c>
      <c r="G5" s="545">
        <v>0.26794851079872894</v>
      </c>
      <c r="H5" s="494">
        <v>16164</v>
      </c>
      <c r="I5" s="545">
        <v>5.4411051866214244</v>
      </c>
      <c r="J5" s="494">
        <v>225</v>
      </c>
      <c r="K5" s="545">
        <v>7.5739214735821625E-2</v>
      </c>
      <c r="L5" s="494">
        <v>0</v>
      </c>
      <c r="M5" s="545">
        <v>0</v>
      </c>
      <c r="N5" s="494">
        <v>16221</v>
      </c>
      <c r="O5" s="545">
        <v>5.4602924543544997</v>
      </c>
      <c r="P5" s="494">
        <v>4933</v>
      </c>
      <c r="Q5" s="545">
        <v>1.660540205741369</v>
      </c>
      <c r="R5" s="494">
        <v>7295</v>
      </c>
      <c r="S5" s="545">
        <v>2.4556336511014165</v>
      </c>
      <c r="T5" s="494">
        <v>297072</v>
      </c>
      <c r="U5" s="545">
        <v>100</v>
      </c>
    </row>
    <row r="6" spans="1:21" hidden="1" x14ac:dyDescent="0.2">
      <c r="A6" s="38"/>
      <c r="B6" s="38"/>
      <c r="C6" s="38" t="s">
        <v>744</v>
      </c>
      <c r="D6" s="494">
        <v>476860</v>
      </c>
      <c r="E6" s="545">
        <v>81.905857902285277</v>
      </c>
      <c r="F6" s="494">
        <v>0</v>
      </c>
      <c r="G6" s="545">
        <v>0</v>
      </c>
      <c r="H6" s="494">
        <v>14881</v>
      </c>
      <c r="I6" s="545">
        <v>2.5559725526232167</v>
      </c>
      <c r="J6" s="494">
        <v>55</v>
      </c>
      <c r="K6" s="545">
        <v>9.4468443245935719E-3</v>
      </c>
      <c r="L6" s="494">
        <v>0</v>
      </c>
      <c r="M6" s="545">
        <v>0</v>
      </c>
      <c r="N6" s="494">
        <v>54240</v>
      </c>
      <c r="O6" s="545">
        <v>9.3163061121082773</v>
      </c>
      <c r="P6" s="494">
        <v>8647</v>
      </c>
      <c r="Q6" s="545">
        <v>1.4852156886320111</v>
      </c>
      <c r="R6" s="494">
        <v>27522</v>
      </c>
      <c r="S6" s="545">
        <v>4.7272009000266229</v>
      </c>
      <c r="T6" s="494">
        <v>582205</v>
      </c>
      <c r="U6" s="545">
        <v>100</v>
      </c>
    </row>
    <row r="7" spans="1:21" hidden="1" x14ac:dyDescent="0.2">
      <c r="A7" s="38"/>
      <c r="B7" s="38"/>
      <c r="C7" s="38" t="s">
        <v>745</v>
      </c>
      <c r="D7" s="494">
        <v>618591</v>
      </c>
      <c r="E7" s="545">
        <v>76.17862460238392</v>
      </c>
      <c r="F7" s="494">
        <v>467</v>
      </c>
      <c r="G7" s="545">
        <v>5.7510402979211277E-2</v>
      </c>
      <c r="H7" s="494">
        <v>62719</v>
      </c>
      <c r="I7" s="545">
        <v>7.7237579538611403</v>
      </c>
      <c r="J7" s="494">
        <v>17958</v>
      </c>
      <c r="K7" s="545">
        <v>2.2115028194875297</v>
      </c>
      <c r="L7" s="494">
        <v>0</v>
      </c>
      <c r="M7" s="545">
        <v>0</v>
      </c>
      <c r="N7" s="494">
        <v>58020</v>
      </c>
      <c r="O7" s="545">
        <v>7.1450826142480484</v>
      </c>
      <c r="P7" s="494">
        <v>8592</v>
      </c>
      <c r="Q7" s="545">
        <v>1.0580928959258744</v>
      </c>
      <c r="R7" s="494">
        <v>45680</v>
      </c>
      <c r="S7" s="545">
        <v>5.625428711114286</v>
      </c>
      <c r="T7" s="494">
        <v>812027</v>
      </c>
      <c r="U7" s="545">
        <v>100</v>
      </c>
    </row>
    <row r="8" spans="1:21" hidden="1" x14ac:dyDescent="0.2">
      <c r="A8" s="38"/>
      <c r="B8" s="38"/>
      <c r="C8" s="38" t="s">
        <v>746</v>
      </c>
      <c r="D8" s="494">
        <v>935763</v>
      </c>
      <c r="E8" s="545">
        <v>89.012284142859045</v>
      </c>
      <c r="F8" s="494">
        <v>245</v>
      </c>
      <c r="G8" s="545">
        <v>2.3305056531408557E-2</v>
      </c>
      <c r="H8" s="494">
        <v>75203</v>
      </c>
      <c r="I8" s="545">
        <v>7.7237579538611403</v>
      </c>
      <c r="J8" s="494">
        <v>494</v>
      </c>
      <c r="K8" s="545">
        <v>4.6990603781697254E-2</v>
      </c>
      <c r="L8" s="494">
        <v>0</v>
      </c>
      <c r="M8" s="545">
        <v>0</v>
      </c>
      <c r="N8" s="494">
        <v>22866</v>
      </c>
      <c r="O8" s="545">
        <v>2.1750751944783189</v>
      </c>
      <c r="P8" s="494">
        <v>2988</v>
      </c>
      <c r="Q8" s="545">
        <v>0.28422656700346438</v>
      </c>
      <c r="R8" s="494">
        <v>13715</v>
      </c>
      <c r="S8" s="545">
        <v>1.3046075523602791</v>
      </c>
      <c r="T8" s="494">
        <v>1051274</v>
      </c>
      <c r="U8" s="545">
        <v>100</v>
      </c>
    </row>
    <row r="9" spans="1:21" hidden="1" x14ac:dyDescent="0.2">
      <c r="A9" s="38"/>
      <c r="B9" s="38"/>
      <c r="C9" s="38" t="s">
        <v>646</v>
      </c>
      <c r="D9" s="494">
        <v>164810</v>
      </c>
      <c r="E9" s="545">
        <v>91.649705826743627</v>
      </c>
      <c r="F9" s="494">
        <v>0</v>
      </c>
      <c r="G9" s="545">
        <v>0</v>
      </c>
      <c r="H9" s="494">
        <v>2458</v>
      </c>
      <c r="I9" s="545">
        <v>1.36687686986309</v>
      </c>
      <c r="J9" s="494">
        <v>110</v>
      </c>
      <c r="K9" s="545">
        <v>6.1170242345378309E-2</v>
      </c>
      <c r="L9" s="494">
        <v>0</v>
      </c>
      <c r="M9" s="545">
        <v>0</v>
      </c>
      <c r="N9" s="494">
        <v>11433</v>
      </c>
      <c r="O9" s="545">
        <v>6.357812552133729</v>
      </c>
      <c r="P9" s="494">
        <v>129</v>
      </c>
      <c r="Q9" s="545">
        <v>7.1736011477761846E-2</v>
      </c>
      <c r="R9" s="494">
        <v>886</v>
      </c>
      <c r="S9" s="545">
        <v>0.49269849743641075</v>
      </c>
      <c r="T9" s="494">
        <v>179826</v>
      </c>
      <c r="U9" s="545">
        <v>100</v>
      </c>
    </row>
    <row r="10" spans="1:21" hidden="1" x14ac:dyDescent="0.2">
      <c r="A10" s="38"/>
      <c r="B10" s="38"/>
      <c r="C10" s="38" t="s">
        <v>216</v>
      </c>
      <c r="D10" s="494">
        <v>235521</v>
      </c>
      <c r="E10" s="545">
        <v>92.134633665457883</v>
      </c>
      <c r="F10" s="494">
        <v>0</v>
      </c>
      <c r="G10" s="545">
        <v>0</v>
      </c>
      <c r="H10" s="494">
        <v>11696</v>
      </c>
      <c r="I10" s="545">
        <v>4.5754165248584853</v>
      </c>
      <c r="J10" s="494">
        <v>2604</v>
      </c>
      <c r="K10" s="545">
        <v>1.0186717365536506</v>
      </c>
      <c r="L10" s="494">
        <v>0</v>
      </c>
      <c r="M10" s="545">
        <v>0</v>
      </c>
      <c r="N10" s="494">
        <v>5188</v>
      </c>
      <c r="O10" s="545">
        <v>2.0295195734409903</v>
      </c>
      <c r="P10" s="494">
        <v>0</v>
      </c>
      <c r="Q10" s="545">
        <v>0</v>
      </c>
      <c r="R10" s="494">
        <v>618</v>
      </c>
      <c r="S10" s="545">
        <v>0.24175849968899998</v>
      </c>
      <c r="T10" s="494">
        <v>255627</v>
      </c>
      <c r="U10" s="545">
        <v>100</v>
      </c>
    </row>
    <row r="11" spans="1:21" x14ac:dyDescent="0.2">
      <c r="A11" s="38">
        <v>1</v>
      </c>
      <c r="B11" s="38" t="s">
        <v>250</v>
      </c>
      <c r="C11" s="38" t="s">
        <v>535</v>
      </c>
      <c r="D11" s="494">
        <v>3268713</v>
      </c>
      <c r="E11" s="545">
        <v>85.226804293054727</v>
      </c>
      <c r="F11" s="494">
        <v>1508</v>
      </c>
      <c r="G11" s="545">
        <v>3.931884532962255E-2</v>
      </c>
      <c r="H11" s="494">
        <v>221409</v>
      </c>
      <c r="I11" s="545">
        <v>5.772908637656764</v>
      </c>
      <c r="J11" s="494">
        <v>21446</v>
      </c>
      <c r="K11" s="545">
        <v>0.55917238523812018</v>
      </c>
      <c r="L11" s="494">
        <v>0</v>
      </c>
      <c r="M11" s="545">
        <v>0</v>
      </c>
      <c r="N11" s="494">
        <v>177704</v>
      </c>
      <c r="O11" s="545">
        <v>4.6333661077289428</v>
      </c>
      <c r="P11" s="494">
        <v>38169</v>
      </c>
      <c r="Q11" s="545">
        <v>0.99519960702013477</v>
      </c>
      <c r="R11" s="494">
        <v>106362</v>
      </c>
      <c r="S11" s="545">
        <v>2.7732301239716937</v>
      </c>
      <c r="T11" s="494">
        <v>3835311</v>
      </c>
      <c r="U11" s="545">
        <v>100</v>
      </c>
    </row>
    <row r="12" spans="1:21" hidden="1" x14ac:dyDescent="0.2">
      <c r="A12" s="38"/>
      <c r="B12" s="38"/>
      <c r="C12" s="38" t="s">
        <v>218</v>
      </c>
      <c r="D12" s="494">
        <v>29584429</v>
      </c>
      <c r="E12" s="545">
        <v>63.718140826205797</v>
      </c>
      <c r="F12" s="494">
        <v>1377896</v>
      </c>
      <c r="G12" s="545">
        <v>2.967675035129651</v>
      </c>
      <c r="H12" s="494">
        <v>447514</v>
      </c>
      <c r="I12" s="545">
        <v>0.96384351625304865</v>
      </c>
      <c r="J12" s="494">
        <v>604623</v>
      </c>
      <c r="K12" s="545">
        <v>1.3022206195280304</v>
      </c>
      <c r="L12" s="494">
        <v>348372</v>
      </c>
      <c r="M12" s="545">
        <v>0.75031416546545371</v>
      </c>
      <c r="N12" s="494">
        <v>2418483</v>
      </c>
      <c r="O12" s="545">
        <v>5.2088630941562091</v>
      </c>
      <c r="P12" s="494">
        <v>312841</v>
      </c>
      <c r="Q12" s="545">
        <v>0.67378846129533365</v>
      </c>
      <c r="R12" s="494">
        <v>11335993</v>
      </c>
      <c r="S12" s="545">
        <v>24.415154281966476</v>
      </c>
      <c r="T12" s="494">
        <v>46430151</v>
      </c>
      <c r="U12" s="545">
        <v>100</v>
      </c>
    </row>
    <row r="13" spans="1:21" hidden="1" x14ac:dyDescent="0.2">
      <c r="A13" s="38"/>
      <c r="B13" s="38"/>
      <c r="C13" s="38" t="s">
        <v>747</v>
      </c>
      <c r="D13" s="494">
        <v>229386</v>
      </c>
      <c r="E13" s="545">
        <v>89.727632242897442</v>
      </c>
      <c r="F13" s="494">
        <v>882</v>
      </c>
      <c r="G13" s="545">
        <v>0.34500698228416532</v>
      </c>
      <c r="H13" s="494">
        <v>2996</v>
      </c>
      <c r="I13" s="545">
        <v>1.1719284795049423</v>
      </c>
      <c r="J13" s="494">
        <v>86</v>
      </c>
      <c r="K13" s="545">
        <v>3.3640136594601154E-2</v>
      </c>
      <c r="L13" s="494">
        <v>0</v>
      </c>
      <c r="M13" s="545">
        <v>0</v>
      </c>
      <c r="N13" s="494">
        <v>15941</v>
      </c>
      <c r="O13" s="545">
        <v>6.2355513657504291</v>
      </c>
      <c r="P13" s="494">
        <v>256</v>
      </c>
      <c r="Q13" s="545">
        <v>0.10013808102578947</v>
      </c>
      <c r="R13" s="494">
        <v>6100</v>
      </c>
      <c r="S13" s="545">
        <v>2.3861027119426397</v>
      </c>
      <c r="T13" s="494">
        <v>255647</v>
      </c>
      <c r="U13" s="545">
        <v>100</v>
      </c>
    </row>
    <row r="14" spans="1:21" hidden="1" x14ac:dyDescent="0.2">
      <c r="A14" s="38"/>
      <c r="B14" s="38"/>
      <c r="C14" s="38" t="s">
        <v>644</v>
      </c>
      <c r="D14" s="494">
        <v>1386218</v>
      </c>
      <c r="E14" s="545">
        <v>89.817548729372263</v>
      </c>
      <c r="F14" s="494">
        <v>34228</v>
      </c>
      <c r="G14" s="545">
        <v>2.2177428499045271</v>
      </c>
      <c r="H14" s="494">
        <v>31165</v>
      </c>
      <c r="I14" s="545">
        <v>2.0192811708915093</v>
      </c>
      <c r="J14" s="494">
        <v>855</v>
      </c>
      <c r="K14" s="545">
        <v>5.5398215983065636E-2</v>
      </c>
      <c r="L14" s="494">
        <v>633</v>
      </c>
      <c r="M14" s="545">
        <v>4.1014117797988948E-2</v>
      </c>
      <c r="N14" s="494">
        <v>31986</v>
      </c>
      <c r="O14" s="545">
        <v>2.072476416882266</v>
      </c>
      <c r="P14" s="494">
        <v>1130</v>
      </c>
      <c r="Q14" s="545">
        <v>7.3216355626741725E-2</v>
      </c>
      <c r="R14" s="494">
        <v>57156</v>
      </c>
      <c r="S14" s="545">
        <v>3.7033221435416368</v>
      </c>
      <c r="T14" s="494">
        <v>1543371</v>
      </c>
      <c r="U14" s="545">
        <v>100</v>
      </c>
    </row>
    <row r="15" spans="1:21" x14ac:dyDescent="0.2">
      <c r="A15" s="38">
        <v>2</v>
      </c>
      <c r="B15" s="38" t="s">
        <v>441</v>
      </c>
      <c r="C15" s="38" t="s">
        <v>535</v>
      </c>
      <c r="D15" s="494">
        <v>31200033</v>
      </c>
      <c r="E15" s="545">
        <v>64.691210001980338</v>
      </c>
      <c r="F15" s="494">
        <v>1413006</v>
      </c>
      <c r="G15" s="545">
        <v>2.9297747178683506</v>
      </c>
      <c r="H15" s="494">
        <v>481675</v>
      </c>
      <c r="I15" s="545">
        <v>0.99872133397114937</v>
      </c>
      <c r="J15" s="494">
        <v>605564</v>
      </c>
      <c r="K15" s="545">
        <v>1.2555970018890437</v>
      </c>
      <c r="L15" s="494">
        <v>349005</v>
      </c>
      <c r="M15" s="545">
        <v>0.72363884188010785</v>
      </c>
      <c r="N15" s="494">
        <v>2466410</v>
      </c>
      <c r="O15" s="545">
        <v>5.1139384134941244</v>
      </c>
      <c r="P15" s="494">
        <v>314227</v>
      </c>
      <c r="Q15" s="545">
        <v>0.65152895336015426</v>
      </c>
      <c r="R15" s="494">
        <v>11399249</v>
      </c>
      <c r="S15" s="545">
        <v>23.635590735556733</v>
      </c>
      <c r="T15" s="494">
        <v>48229169</v>
      </c>
      <c r="U15" s="545">
        <v>100</v>
      </c>
    </row>
    <row r="16" spans="1:21" hidden="1" x14ac:dyDescent="0.2">
      <c r="A16" s="38"/>
      <c r="B16" s="38"/>
      <c r="C16" s="38" t="s">
        <v>305</v>
      </c>
      <c r="D16" s="494">
        <v>535862</v>
      </c>
      <c r="E16" s="545">
        <v>83.767441715048577</v>
      </c>
      <c r="F16" s="494">
        <v>43605</v>
      </c>
      <c r="G16" s="545">
        <v>6.8164551619347762</v>
      </c>
      <c r="H16" s="494">
        <v>9143</v>
      </c>
      <c r="I16" s="545">
        <v>1.42925924883774</v>
      </c>
      <c r="J16" s="494">
        <v>94</v>
      </c>
      <c r="K16" s="545">
        <v>1.4694342053018438E-2</v>
      </c>
      <c r="L16" s="494">
        <v>0</v>
      </c>
      <c r="M16" s="545">
        <v>0</v>
      </c>
      <c r="N16" s="494">
        <v>42137</v>
      </c>
      <c r="O16" s="545">
        <v>6.5869733094472114</v>
      </c>
      <c r="P16" s="494">
        <v>8861</v>
      </c>
      <c r="Q16" s="545">
        <v>1.3851762226786848</v>
      </c>
      <c r="R16" s="494">
        <v>0</v>
      </c>
      <c r="S16" s="545">
        <v>0</v>
      </c>
      <c r="T16" s="494">
        <v>639702</v>
      </c>
      <c r="U16" s="545">
        <v>100</v>
      </c>
    </row>
    <row r="17" spans="1:21" hidden="1" x14ac:dyDescent="0.2">
      <c r="A17" s="38"/>
      <c r="B17" s="38"/>
      <c r="C17" s="38" t="s">
        <v>748</v>
      </c>
      <c r="D17" s="494">
        <v>736861</v>
      </c>
      <c r="E17" s="545">
        <v>74.362951585329668</v>
      </c>
      <c r="F17" s="494">
        <v>100</v>
      </c>
      <c r="G17" s="545">
        <v>1.0091856073985415E-2</v>
      </c>
      <c r="H17" s="494">
        <v>28294</v>
      </c>
      <c r="I17" s="545">
        <v>2.8553897575734335</v>
      </c>
      <c r="J17" s="494">
        <v>8305</v>
      </c>
      <c r="K17" s="545">
        <v>0.83812864694448874</v>
      </c>
      <c r="L17" s="494">
        <v>0</v>
      </c>
      <c r="M17" s="545">
        <v>0</v>
      </c>
      <c r="N17" s="494">
        <v>58077</v>
      </c>
      <c r="O17" s="545">
        <v>5.8610472520885093</v>
      </c>
      <c r="P17" s="494">
        <v>21370</v>
      </c>
      <c r="Q17" s="545">
        <v>2.1566296430106831</v>
      </c>
      <c r="R17" s="494">
        <v>137891</v>
      </c>
      <c r="S17" s="545">
        <v>13.915761258979229</v>
      </c>
      <c r="T17" s="494">
        <v>990898</v>
      </c>
      <c r="U17" s="545">
        <v>100</v>
      </c>
    </row>
    <row r="18" spans="1:21" hidden="1" x14ac:dyDescent="0.2">
      <c r="A18" s="38"/>
      <c r="B18" s="38"/>
      <c r="C18" s="38" t="s">
        <v>46</v>
      </c>
      <c r="D18" s="494">
        <v>275412</v>
      </c>
      <c r="E18" s="545">
        <v>80.30323793973146</v>
      </c>
      <c r="F18" s="494">
        <v>0</v>
      </c>
      <c r="G18" s="545">
        <v>0</v>
      </c>
      <c r="H18" s="494">
        <v>7760</v>
      </c>
      <c r="I18" s="545">
        <v>2.2626215503039666</v>
      </c>
      <c r="J18" s="494">
        <v>0</v>
      </c>
      <c r="K18" s="545">
        <v>0</v>
      </c>
      <c r="L18" s="494">
        <v>0</v>
      </c>
      <c r="M18" s="545">
        <v>0</v>
      </c>
      <c r="N18" s="494">
        <v>23348</v>
      </c>
      <c r="O18" s="545">
        <v>6.8076917469712654</v>
      </c>
      <c r="P18" s="494">
        <v>9751</v>
      </c>
      <c r="Q18" s="545">
        <v>2.843147259924482</v>
      </c>
      <c r="R18" s="494">
        <v>26694</v>
      </c>
      <c r="S18" s="545">
        <v>7.7833015030688264</v>
      </c>
      <c r="T18" s="494">
        <v>342965</v>
      </c>
      <c r="U18" s="545">
        <v>100</v>
      </c>
    </row>
    <row r="19" spans="1:21" hidden="1" x14ac:dyDescent="0.2">
      <c r="A19" s="38"/>
      <c r="B19" s="38"/>
      <c r="C19" s="38" t="s">
        <v>749</v>
      </c>
      <c r="D19" s="494">
        <v>732550</v>
      </c>
      <c r="E19" s="545">
        <v>94.92776910995579</v>
      </c>
      <c r="F19" s="494">
        <v>1024</v>
      </c>
      <c r="G19" s="545">
        <v>0.13269542770950069</v>
      </c>
      <c r="H19" s="494">
        <v>4766</v>
      </c>
      <c r="I19" s="545">
        <v>0.61760391451511742</v>
      </c>
      <c r="J19" s="494">
        <v>123</v>
      </c>
      <c r="K19" s="545">
        <v>1.5939001570574787E-2</v>
      </c>
      <c r="L19" s="494">
        <v>0</v>
      </c>
      <c r="M19" s="545">
        <v>0</v>
      </c>
      <c r="N19" s="494">
        <v>26904</v>
      </c>
      <c r="O19" s="545">
        <v>3.4863650264613342</v>
      </c>
      <c r="P19" s="494">
        <v>6325</v>
      </c>
      <c r="Q19" s="545">
        <v>0.81962751978768744</v>
      </c>
      <c r="R19" s="494">
        <v>0</v>
      </c>
      <c r="S19" s="545">
        <v>0</v>
      </c>
      <c r="T19" s="494">
        <v>771692</v>
      </c>
      <c r="U19" s="545">
        <v>100</v>
      </c>
    </row>
    <row r="20" spans="1:21" hidden="1" x14ac:dyDescent="0.2">
      <c r="A20" s="38"/>
      <c r="B20" s="38"/>
      <c r="C20" s="38" t="s">
        <v>750</v>
      </c>
      <c r="D20" s="494">
        <v>3394665</v>
      </c>
      <c r="E20" s="545">
        <v>86.83753306930754</v>
      </c>
      <c r="F20" s="494">
        <v>12126</v>
      </c>
      <c r="G20" s="545">
        <v>0.31019023261453582</v>
      </c>
      <c r="H20" s="494">
        <v>159218</v>
      </c>
      <c r="I20" s="545">
        <v>4.0728903559641401</v>
      </c>
      <c r="J20" s="494">
        <v>73312</v>
      </c>
      <c r="K20" s="545">
        <v>1.8753642036480989</v>
      </c>
      <c r="L20" s="494">
        <v>0</v>
      </c>
      <c r="M20" s="545">
        <v>0</v>
      </c>
      <c r="N20" s="494">
        <v>243575</v>
      </c>
      <c r="O20" s="545">
        <v>6.2307921745905954</v>
      </c>
      <c r="P20" s="494">
        <v>26318</v>
      </c>
      <c r="Q20" s="545">
        <v>0.67322996387509104</v>
      </c>
      <c r="R20" s="494">
        <v>0</v>
      </c>
      <c r="S20" s="545">
        <v>0</v>
      </c>
      <c r="T20" s="494">
        <v>3909214</v>
      </c>
      <c r="U20" s="545">
        <v>100</v>
      </c>
    </row>
    <row r="21" spans="1:21" x14ac:dyDescent="0.2">
      <c r="A21" s="38">
        <v>3</v>
      </c>
      <c r="B21" s="38" t="s">
        <v>439</v>
      </c>
      <c r="C21" s="38" t="s">
        <v>535</v>
      </c>
      <c r="D21" s="494">
        <v>5675350</v>
      </c>
      <c r="E21" s="545">
        <v>85.286268435161858</v>
      </c>
      <c r="F21" s="494">
        <v>56855</v>
      </c>
      <c r="G21" s="545">
        <v>0.85438797464141036</v>
      </c>
      <c r="H21" s="494">
        <v>209181</v>
      </c>
      <c r="I21" s="545">
        <v>3.1434654986098822</v>
      </c>
      <c r="J21" s="494">
        <v>81834</v>
      </c>
      <c r="K21" s="545">
        <v>1.2297596608355494</v>
      </c>
      <c r="L21" s="494">
        <v>0</v>
      </c>
      <c r="M21" s="545">
        <v>0</v>
      </c>
      <c r="N21" s="494">
        <v>394041</v>
      </c>
      <c r="O21" s="545">
        <v>5.9214473998008259</v>
      </c>
      <c r="P21" s="494">
        <v>72625</v>
      </c>
      <c r="Q21" s="545">
        <v>1.0913715004543563</v>
      </c>
      <c r="R21" s="494">
        <v>164585</v>
      </c>
      <c r="S21" s="545">
        <v>2.4732995304961132</v>
      </c>
      <c r="T21" s="494">
        <v>6654471</v>
      </c>
      <c r="U21" s="545">
        <v>100</v>
      </c>
    </row>
    <row r="22" spans="1:21" hidden="1" x14ac:dyDescent="0.2">
      <c r="A22" s="38"/>
      <c r="B22" s="38"/>
      <c r="C22" s="38" t="s">
        <v>140</v>
      </c>
      <c r="D22" s="494">
        <v>110781</v>
      </c>
      <c r="E22" s="545">
        <v>63.133149448345037</v>
      </c>
      <c r="F22" s="494">
        <v>9144</v>
      </c>
      <c r="G22" s="545">
        <v>5.2110878088811887</v>
      </c>
      <c r="H22" s="494">
        <v>50007</v>
      </c>
      <c r="I22" s="545">
        <v>28.498563873438499</v>
      </c>
      <c r="J22" s="494">
        <v>0</v>
      </c>
      <c r="K22" s="545">
        <v>0</v>
      </c>
      <c r="L22" s="494">
        <v>29</v>
      </c>
      <c r="M22" s="545">
        <v>1.652685328713413E-2</v>
      </c>
      <c r="N22" s="494">
        <v>3748</v>
      </c>
      <c r="O22" s="545">
        <v>2.1359533144889213</v>
      </c>
      <c r="P22" s="494">
        <v>1200</v>
      </c>
      <c r="Q22" s="545">
        <v>0.68386979119175717</v>
      </c>
      <c r="R22" s="494">
        <v>563</v>
      </c>
      <c r="S22" s="545">
        <v>0.32084891036746599</v>
      </c>
      <c r="T22" s="494">
        <v>175472</v>
      </c>
      <c r="U22" s="545">
        <v>100</v>
      </c>
    </row>
    <row r="23" spans="1:21" hidden="1" x14ac:dyDescent="0.2">
      <c r="A23" s="38"/>
      <c r="B23" s="38"/>
      <c r="C23" s="38" t="s">
        <v>56</v>
      </c>
      <c r="D23" s="494">
        <v>1177364</v>
      </c>
      <c r="E23" s="545">
        <v>73.353315984023013</v>
      </c>
      <c r="F23" s="494">
        <v>67311</v>
      </c>
      <c r="G23" s="545">
        <v>4.193677615589209</v>
      </c>
      <c r="H23" s="494">
        <v>134530</v>
      </c>
      <c r="I23" s="545">
        <v>8.381623354655499</v>
      </c>
      <c r="J23" s="494">
        <v>0</v>
      </c>
      <c r="K23" s="545">
        <v>0</v>
      </c>
      <c r="L23" s="494">
        <v>1433</v>
      </c>
      <c r="M23" s="545">
        <v>8.9280207145033305E-2</v>
      </c>
      <c r="N23" s="494">
        <v>210046</v>
      </c>
      <c r="O23" s="545">
        <v>13.086497131881133</v>
      </c>
      <c r="P23" s="494">
        <v>3628</v>
      </c>
      <c r="Q23" s="545">
        <v>0.22603530462120083</v>
      </c>
      <c r="R23" s="494">
        <v>10747</v>
      </c>
      <c r="S23" s="545">
        <v>0.66957040208490781</v>
      </c>
      <c r="T23" s="494">
        <v>1605059</v>
      </c>
      <c r="U23" s="545">
        <v>100</v>
      </c>
    </row>
    <row r="24" spans="1:21" hidden="1" x14ac:dyDescent="0.2">
      <c r="A24" s="38"/>
      <c r="B24" s="38"/>
      <c r="C24" s="38" t="s">
        <v>52</v>
      </c>
      <c r="D24" s="494">
        <v>347517</v>
      </c>
      <c r="E24" s="545">
        <v>64.807935460048554</v>
      </c>
      <c r="F24" s="494">
        <v>92870</v>
      </c>
      <c r="G24" s="545">
        <v>17.319190043004255</v>
      </c>
      <c r="H24" s="494">
        <v>51647</v>
      </c>
      <c r="I24" s="545">
        <v>9.6315732545605766</v>
      </c>
      <c r="J24" s="494">
        <v>0</v>
      </c>
      <c r="K24" s="545">
        <v>0</v>
      </c>
      <c r="L24" s="494">
        <v>445</v>
      </c>
      <c r="M24" s="545">
        <v>8.298739710495201E-2</v>
      </c>
      <c r="N24" s="494">
        <v>40441</v>
      </c>
      <c r="O24" s="545">
        <v>7.5417827557783461</v>
      </c>
      <c r="P24" s="494">
        <v>3054</v>
      </c>
      <c r="Q24" s="545">
        <v>0.56953597923263699</v>
      </c>
      <c r="R24" s="494">
        <v>252</v>
      </c>
      <c r="S24" s="545">
        <v>4.6995110270669459E-2</v>
      </c>
      <c r="T24" s="494">
        <v>536226</v>
      </c>
      <c r="U24" s="545">
        <v>100</v>
      </c>
    </row>
    <row r="25" spans="1:21" hidden="1" x14ac:dyDescent="0.2">
      <c r="A25" s="38"/>
      <c r="B25" s="38"/>
      <c r="C25" s="38" t="s">
        <v>645</v>
      </c>
      <c r="D25" s="494">
        <v>374292</v>
      </c>
      <c r="E25" s="545">
        <v>71.26263020511054</v>
      </c>
      <c r="F25" s="494">
        <v>34715</v>
      </c>
      <c r="G25" s="545">
        <v>6.6094979523217496</v>
      </c>
      <c r="H25" s="494">
        <v>69184</v>
      </c>
      <c r="I25" s="545">
        <v>13.172159191514559</v>
      </c>
      <c r="J25" s="494">
        <v>963</v>
      </c>
      <c r="K25" s="545">
        <v>0.18334859651694785</v>
      </c>
      <c r="L25" s="494">
        <v>0</v>
      </c>
      <c r="M25" s="545">
        <v>0</v>
      </c>
      <c r="N25" s="494">
        <v>41479</v>
      </c>
      <c r="O25" s="545">
        <v>7.897317170224798</v>
      </c>
      <c r="P25" s="494">
        <v>0</v>
      </c>
      <c r="Q25" s="545">
        <v>0</v>
      </c>
      <c r="R25" s="494">
        <v>4596</v>
      </c>
      <c r="S25" s="545">
        <v>0.87504688431141475</v>
      </c>
      <c r="T25" s="494">
        <v>525229</v>
      </c>
      <c r="U25" s="545">
        <v>100</v>
      </c>
    </row>
    <row r="26" spans="1:21" hidden="1" x14ac:dyDescent="0.2">
      <c r="A26" s="38"/>
      <c r="B26" s="38"/>
      <c r="C26" s="38" t="s">
        <v>31</v>
      </c>
      <c r="D26" s="494">
        <v>240937</v>
      </c>
      <c r="E26" s="545">
        <v>70.187954811608222</v>
      </c>
      <c r="F26" s="494">
        <v>2642</v>
      </c>
      <c r="G26" s="545">
        <v>0.76964757016261065</v>
      </c>
      <c r="H26" s="494">
        <v>82350</v>
      </c>
      <c r="I26" s="545">
        <v>23.989582665742233</v>
      </c>
      <c r="J26" s="494">
        <v>0</v>
      </c>
      <c r="K26" s="545">
        <v>0</v>
      </c>
      <c r="L26" s="494">
        <v>0</v>
      </c>
      <c r="M26" s="545">
        <v>0</v>
      </c>
      <c r="N26" s="494">
        <v>9230</v>
      </c>
      <c r="O26" s="545">
        <v>2.6888141834219894</v>
      </c>
      <c r="P26" s="494">
        <v>8115</v>
      </c>
      <c r="Q26" s="545">
        <v>2.3640007690649454</v>
      </c>
      <c r="R26" s="494">
        <v>0</v>
      </c>
      <c r="S26" s="545">
        <v>0</v>
      </c>
      <c r="T26" s="494">
        <v>343274</v>
      </c>
      <c r="U26" s="545">
        <v>100</v>
      </c>
    </row>
    <row r="27" spans="1:21" hidden="1" x14ac:dyDescent="0.2">
      <c r="A27" s="38"/>
      <c r="B27" s="38"/>
      <c r="C27" s="38" t="s">
        <v>33</v>
      </c>
      <c r="D27" s="494">
        <v>132423</v>
      </c>
      <c r="E27" s="545">
        <v>67.770561773601713</v>
      </c>
      <c r="F27" s="494">
        <v>20445</v>
      </c>
      <c r="G27" s="545">
        <v>10.463206055302228</v>
      </c>
      <c r="H27" s="494">
        <v>32170</v>
      </c>
      <c r="I27" s="545">
        <v>16.463748535048797</v>
      </c>
      <c r="J27" s="494">
        <v>225</v>
      </c>
      <c r="K27" s="545">
        <v>0.11514900280963566</v>
      </c>
      <c r="L27" s="494">
        <v>0</v>
      </c>
      <c r="M27" s="545">
        <v>0</v>
      </c>
      <c r="N27" s="494">
        <v>10136</v>
      </c>
      <c r="O27" s="545">
        <v>5.1873346332376311</v>
      </c>
      <c r="P27" s="494">
        <v>0</v>
      </c>
      <c r="Q27" s="545">
        <v>0</v>
      </c>
      <c r="R27" s="494">
        <v>0</v>
      </c>
      <c r="S27" s="545">
        <v>0</v>
      </c>
      <c r="T27" s="494">
        <v>195399</v>
      </c>
      <c r="U27" s="545">
        <v>100</v>
      </c>
    </row>
    <row r="28" spans="1:21" hidden="1" x14ac:dyDescent="0.2">
      <c r="A28" s="38"/>
      <c r="B28" s="38"/>
      <c r="C28" s="38" t="s">
        <v>335</v>
      </c>
      <c r="D28" s="494">
        <v>100063</v>
      </c>
      <c r="E28" s="545">
        <v>98.538607738288675</v>
      </c>
      <c r="F28" s="494">
        <v>456</v>
      </c>
      <c r="G28" s="545">
        <v>0.44905314780348016</v>
      </c>
      <c r="H28" s="494">
        <v>152</v>
      </c>
      <c r="I28" s="545">
        <v>0.14968438260116007</v>
      </c>
      <c r="J28" s="494">
        <v>133</v>
      </c>
      <c r="K28" s="545">
        <v>0.13097383477601504</v>
      </c>
      <c r="L28" s="494">
        <v>0</v>
      </c>
      <c r="M28" s="545">
        <v>0</v>
      </c>
      <c r="N28" s="494">
        <v>0</v>
      </c>
      <c r="O28" s="545">
        <v>0</v>
      </c>
      <c r="P28" s="494">
        <v>0</v>
      </c>
      <c r="Q28" s="545">
        <v>0</v>
      </c>
      <c r="R28" s="494">
        <v>743</v>
      </c>
      <c r="S28" s="545">
        <v>0.73168089653067059</v>
      </c>
      <c r="T28" s="494">
        <v>101547</v>
      </c>
      <c r="U28" s="545">
        <v>100</v>
      </c>
    </row>
    <row r="29" spans="1:21" x14ac:dyDescent="0.2">
      <c r="A29" s="38">
        <v>4</v>
      </c>
      <c r="B29" s="38" t="s">
        <v>440</v>
      </c>
      <c r="C29" s="38" t="s">
        <v>535</v>
      </c>
      <c r="D29" s="494">
        <f>SUM(D22:D28)</f>
        <v>2483377</v>
      </c>
      <c r="E29" s="545">
        <f>AVERAGE(E22:E28)</f>
        <v>72.722022203003675</v>
      </c>
      <c r="F29" s="494">
        <f>SUM(F22:F28)</f>
        <v>227583</v>
      </c>
      <c r="G29" s="545">
        <f>AVERAGE(G22:G28)</f>
        <v>6.4307657418663888</v>
      </c>
      <c r="H29" s="494">
        <f>SUM(H22:H28)</f>
        <v>420040</v>
      </c>
      <c r="I29" s="545">
        <f>AVERAGE(I22:I28)</f>
        <v>14.326705036794477</v>
      </c>
      <c r="J29" s="494">
        <f>SUM(J22:J28)</f>
        <v>1321</v>
      </c>
      <c r="K29" s="545">
        <f>AVERAGE(K22:K28)</f>
        <v>6.1353062014656935E-2</v>
      </c>
      <c r="L29" s="494">
        <f>SUM(L22:L28)</f>
        <v>1907</v>
      </c>
      <c r="M29" s="545">
        <f>AVERAGE(M22:M28)</f>
        <v>2.697063679101706E-2</v>
      </c>
      <c r="N29" s="494">
        <f>SUM(N22:N28)</f>
        <v>315080</v>
      </c>
      <c r="O29" s="545">
        <f>AVERAGE(O22:O28)</f>
        <v>5.5053855984332598</v>
      </c>
      <c r="P29" s="494">
        <f>SUM(P22:P28)</f>
        <v>15997</v>
      </c>
      <c r="Q29" s="545">
        <f>AVERAGE(Q22:Q28)</f>
        <v>0.54906312058722007</v>
      </c>
      <c r="R29" s="494">
        <f>SUM(R22:R28)</f>
        <v>16901</v>
      </c>
      <c r="S29" s="545">
        <f>AVERAGE(S22:S28)</f>
        <v>0.37773460050930413</v>
      </c>
      <c r="T29" s="494">
        <f>SUM(T22:T28)</f>
        <v>3482206</v>
      </c>
      <c r="U29" s="545">
        <v>100</v>
      </c>
    </row>
    <row r="30" spans="1:21" hidden="1" x14ac:dyDescent="0.2">
      <c r="A30" s="38"/>
      <c r="B30" s="38"/>
      <c r="C30" s="38" t="s">
        <v>309</v>
      </c>
      <c r="D30" s="494">
        <v>9872889</v>
      </c>
      <c r="E30" s="545">
        <v>73.565797309307982</v>
      </c>
      <c r="F30" s="494">
        <v>1239639</v>
      </c>
      <c r="G30" s="545">
        <v>9.2369144847787954</v>
      </c>
      <c r="H30" s="494">
        <v>643047</v>
      </c>
      <c r="I30" s="545">
        <v>4.7915321708122685</v>
      </c>
      <c r="J30" s="494">
        <v>27640</v>
      </c>
      <c r="K30" s="545">
        <v>0.20595376263515902</v>
      </c>
      <c r="L30" s="494">
        <v>80781</v>
      </c>
      <c r="M30" s="545">
        <v>0.60192297031225694</v>
      </c>
      <c r="N30" s="494">
        <v>1182127</v>
      </c>
      <c r="O30" s="545">
        <v>8.8083756715851163</v>
      </c>
      <c r="P30" s="494">
        <v>111589</v>
      </c>
      <c r="Q30" s="545">
        <v>0.83148243193541094</v>
      </c>
      <c r="R30" s="494">
        <v>262776</v>
      </c>
      <c r="S30" s="545">
        <v>1.9580211986330154</v>
      </c>
      <c r="T30" s="494">
        <v>13420488</v>
      </c>
      <c r="U30" s="545">
        <v>100</v>
      </c>
    </row>
    <row r="31" spans="1:21" x14ac:dyDescent="0.2">
      <c r="A31" s="38">
        <v>5</v>
      </c>
      <c r="B31" s="38" t="s">
        <v>442</v>
      </c>
      <c r="C31" s="38" t="s">
        <v>535</v>
      </c>
      <c r="D31" s="494">
        <v>9872889</v>
      </c>
      <c r="E31" s="545">
        <v>73.565797309307982</v>
      </c>
      <c r="F31" s="494">
        <v>1239639</v>
      </c>
      <c r="G31" s="545">
        <v>9.2369144847787954</v>
      </c>
      <c r="H31" s="494">
        <v>643047</v>
      </c>
      <c r="I31" s="545">
        <v>4.7915321708122685</v>
      </c>
      <c r="J31" s="494">
        <v>27640</v>
      </c>
      <c r="K31" s="545">
        <v>0.20595376263515902</v>
      </c>
      <c r="L31" s="494">
        <v>80781</v>
      </c>
      <c r="M31" s="545">
        <v>0.60192297031225694</v>
      </c>
      <c r="N31" s="494">
        <v>1182127</v>
      </c>
      <c r="O31" s="545">
        <v>8.8083756715851163</v>
      </c>
      <c r="P31" s="494">
        <v>111589</v>
      </c>
      <c r="Q31" s="545">
        <v>0.83148243193541094</v>
      </c>
      <c r="R31" s="494">
        <v>262776</v>
      </c>
      <c r="S31" s="545">
        <v>1.9580211986330154</v>
      </c>
      <c r="T31" s="494">
        <v>13420488</v>
      </c>
      <c r="U31" s="545">
        <v>100</v>
      </c>
    </row>
    <row r="32" spans="1:21" hidden="1" x14ac:dyDescent="0.2">
      <c r="A32" s="38"/>
      <c r="B32" s="38"/>
      <c r="C32" s="38" t="s">
        <v>136</v>
      </c>
      <c r="D32" s="494">
        <v>751892</v>
      </c>
      <c r="E32" s="545">
        <v>66.583366467448727</v>
      </c>
      <c r="F32" s="494">
        <v>161908</v>
      </c>
      <c r="G32" s="545">
        <v>14.337670434067244</v>
      </c>
      <c r="H32" s="494">
        <v>124660</v>
      </c>
      <c r="I32" s="545">
        <v>11.039195075665331</v>
      </c>
      <c r="J32" s="494">
        <v>0</v>
      </c>
      <c r="K32" s="545">
        <v>0</v>
      </c>
      <c r="L32" s="494">
        <v>699</v>
      </c>
      <c r="M32" s="545">
        <v>6.1899545627226583E-2</v>
      </c>
      <c r="N32" s="494">
        <v>49198</v>
      </c>
      <c r="O32" s="545">
        <v>4.356700780784398</v>
      </c>
      <c r="P32" s="494">
        <v>11828</v>
      </c>
      <c r="Q32" s="545">
        <v>1.0474217820870331</v>
      </c>
      <c r="R32" s="494">
        <v>29064</v>
      </c>
      <c r="S32" s="545">
        <v>2.5737459143200478</v>
      </c>
      <c r="T32" s="494">
        <v>1129249</v>
      </c>
      <c r="U32" s="545">
        <v>100</v>
      </c>
    </row>
    <row r="33" spans="1:21" hidden="1" x14ac:dyDescent="0.2">
      <c r="A33" s="38"/>
      <c r="B33" s="38"/>
      <c r="C33" s="38" t="s">
        <v>58</v>
      </c>
      <c r="D33" s="494">
        <v>285034</v>
      </c>
      <c r="E33" s="545">
        <v>66.713009123378598</v>
      </c>
      <c r="F33" s="494">
        <v>46364</v>
      </c>
      <c r="G33" s="545">
        <v>10.851624560565847</v>
      </c>
      <c r="H33" s="494">
        <v>28637</v>
      </c>
      <c r="I33" s="545">
        <v>6.702570367977831</v>
      </c>
      <c r="J33" s="494">
        <v>0</v>
      </c>
      <c r="K33" s="545">
        <v>0</v>
      </c>
      <c r="L33" s="494">
        <v>981</v>
      </c>
      <c r="M33" s="545">
        <v>0.22960580825457455</v>
      </c>
      <c r="N33" s="494">
        <v>61732</v>
      </c>
      <c r="O33" s="545">
        <v>14.44854817040917</v>
      </c>
      <c r="P33" s="494">
        <v>1324</v>
      </c>
      <c r="Q33" s="545">
        <v>0.30988592265958892</v>
      </c>
      <c r="R33" s="494">
        <v>3182</v>
      </c>
      <c r="S33" s="545">
        <v>0.74475604675438967</v>
      </c>
      <c r="T33" s="494">
        <v>427254</v>
      </c>
      <c r="U33" s="545">
        <v>100</v>
      </c>
    </row>
    <row r="34" spans="1:21" x14ac:dyDescent="0.2">
      <c r="A34" s="38">
        <v>6</v>
      </c>
      <c r="B34" s="38" t="s">
        <v>443</v>
      </c>
      <c r="C34" s="38" t="s">
        <v>535</v>
      </c>
      <c r="D34" s="494">
        <v>1036926</v>
      </c>
      <c r="E34" s="545">
        <v>66.61895287063372</v>
      </c>
      <c r="F34" s="494">
        <v>208272</v>
      </c>
      <c r="G34" s="545">
        <v>13.380764444398757</v>
      </c>
      <c r="H34" s="494">
        <v>153297</v>
      </c>
      <c r="I34" s="545">
        <v>9.8488085149851941</v>
      </c>
      <c r="J34" s="494">
        <v>0</v>
      </c>
      <c r="K34" s="545">
        <v>0</v>
      </c>
      <c r="L34" s="494">
        <v>1680</v>
      </c>
      <c r="M34" s="545">
        <v>0.10793426032587151</v>
      </c>
      <c r="N34" s="494">
        <v>110930</v>
      </c>
      <c r="O34" s="545">
        <v>7.1268735106838861</v>
      </c>
      <c r="P34" s="494">
        <v>13152</v>
      </c>
      <c r="Q34" s="545">
        <v>0.84497106655110843</v>
      </c>
      <c r="R34" s="494">
        <v>32246</v>
      </c>
      <c r="S34" s="545">
        <v>2.0716953324214602</v>
      </c>
      <c r="T34" s="494">
        <v>1556503</v>
      </c>
      <c r="U34" s="545">
        <v>100</v>
      </c>
    </row>
    <row r="35" spans="1:21" hidden="1" x14ac:dyDescent="0.2">
      <c r="A35" s="38"/>
      <c r="B35" s="38"/>
      <c r="C35" s="38" t="s">
        <v>427</v>
      </c>
      <c r="D35" s="494">
        <v>1733935</v>
      </c>
      <c r="E35" s="545">
        <v>82.731274548348551</v>
      </c>
      <c r="F35" s="494">
        <v>226193</v>
      </c>
      <c r="G35" s="545">
        <v>10.792351030410369</v>
      </c>
      <c r="H35" s="494">
        <v>66976</v>
      </c>
      <c r="I35" s="545">
        <v>3.19562719718455</v>
      </c>
      <c r="J35" s="494">
        <v>9916</v>
      </c>
      <c r="K35" s="545">
        <v>0.4731223018287446</v>
      </c>
      <c r="L35" s="494">
        <v>540</v>
      </c>
      <c r="M35" s="545">
        <v>2.5765030555417717E-2</v>
      </c>
      <c r="N35" s="494">
        <v>41468</v>
      </c>
      <c r="O35" s="545">
        <v>1.9785634945778923</v>
      </c>
      <c r="P35" s="494">
        <v>10723</v>
      </c>
      <c r="Q35" s="545">
        <v>0.51162670860323001</v>
      </c>
      <c r="R35" s="494">
        <v>6113</v>
      </c>
      <c r="S35" s="545">
        <v>0.29166968849123798</v>
      </c>
      <c r="T35" s="494">
        <v>2095864</v>
      </c>
      <c r="U35" s="545">
        <v>100</v>
      </c>
    </row>
    <row r="36" spans="1:21" x14ac:dyDescent="0.2">
      <c r="A36" s="38">
        <v>7</v>
      </c>
      <c r="B36" s="38" t="s">
        <v>265</v>
      </c>
      <c r="C36" s="38" t="s">
        <v>535</v>
      </c>
      <c r="D36" s="494">
        <v>1733935</v>
      </c>
      <c r="E36" s="545">
        <v>82.731274548348551</v>
      </c>
      <c r="F36" s="494">
        <v>226193</v>
      </c>
      <c r="G36" s="545">
        <v>10.792351030410369</v>
      </c>
      <c r="H36" s="494">
        <v>66976</v>
      </c>
      <c r="I36" s="545">
        <v>3.19562719718455</v>
      </c>
      <c r="J36" s="494">
        <v>9916</v>
      </c>
      <c r="K36" s="545">
        <v>0.4731223018287446</v>
      </c>
      <c r="L36" s="494">
        <v>540</v>
      </c>
      <c r="M36" s="545">
        <v>2.5765030555417717E-2</v>
      </c>
      <c r="N36" s="494">
        <v>41468</v>
      </c>
      <c r="O36" s="545">
        <v>1.9785634945778923</v>
      </c>
      <c r="P36" s="494">
        <v>10723</v>
      </c>
      <c r="Q36" s="545">
        <v>0.51162670860323001</v>
      </c>
      <c r="R36" s="494">
        <v>6113</v>
      </c>
      <c r="S36" s="545">
        <v>0.29166968849123798</v>
      </c>
      <c r="T36" s="494">
        <v>2095864</v>
      </c>
      <c r="U36" s="545">
        <v>100</v>
      </c>
    </row>
    <row r="37" spans="1:21" hidden="1" x14ac:dyDescent="0.2">
      <c r="A37" s="38"/>
      <c r="B37" s="38"/>
      <c r="C37" s="38" t="s">
        <v>551</v>
      </c>
      <c r="D37" s="494">
        <v>428649</v>
      </c>
      <c r="E37" s="545">
        <v>90.680597924273641</v>
      </c>
      <c r="F37" s="494">
        <v>0</v>
      </c>
      <c r="G37" s="545">
        <v>0</v>
      </c>
      <c r="H37" s="494">
        <v>14657</v>
      </c>
      <c r="I37" s="545">
        <v>3.100684998159517</v>
      </c>
      <c r="J37" s="494">
        <v>9870</v>
      </c>
      <c r="K37" s="545">
        <v>2.0879962428760614</v>
      </c>
      <c r="L37" s="494">
        <v>0</v>
      </c>
      <c r="M37" s="545">
        <v>0</v>
      </c>
      <c r="N37" s="494">
        <v>2557</v>
      </c>
      <c r="O37" s="545">
        <v>0.54093276525168077</v>
      </c>
      <c r="P37" s="494">
        <v>7155</v>
      </c>
      <c r="Q37" s="545">
        <v>1.5136386137566584</v>
      </c>
      <c r="R37" s="494">
        <v>9814</v>
      </c>
      <c r="S37" s="545">
        <v>2.0761494556824385</v>
      </c>
      <c r="T37" s="494">
        <v>472702</v>
      </c>
      <c r="U37" s="545">
        <v>100</v>
      </c>
    </row>
    <row r="38" spans="1:21" hidden="1" x14ac:dyDescent="0.2">
      <c r="A38" s="38"/>
      <c r="B38" s="38"/>
      <c r="C38" s="38" t="s">
        <v>550</v>
      </c>
      <c r="D38" s="494">
        <v>475550</v>
      </c>
      <c r="E38" s="545">
        <v>90.787775580178845</v>
      </c>
      <c r="F38" s="494">
        <v>3818</v>
      </c>
      <c r="G38" s="545">
        <v>0.72889859565791781</v>
      </c>
      <c r="H38" s="494">
        <v>22558</v>
      </c>
      <c r="I38" s="545">
        <v>4.3065726874937953</v>
      </c>
      <c r="J38" s="494">
        <v>2080</v>
      </c>
      <c r="K38" s="545">
        <v>0.3970950966392009</v>
      </c>
      <c r="L38" s="494">
        <v>0</v>
      </c>
      <c r="M38" s="545">
        <v>0</v>
      </c>
      <c r="N38" s="494">
        <v>3838</v>
      </c>
      <c r="O38" s="545">
        <v>0.73271681774098707</v>
      </c>
      <c r="P38" s="494">
        <v>8619</v>
      </c>
      <c r="Q38" s="545">
        <v>1.6454628066986887</v>
      </c>
      <c r="R38" s="494">
        <v>7341</v>
      </c>
      <c r="S38" s="545">
        <v>1.4014784155905644</v>
      </c>
      <c r="T38" s="494">
        <v>523804</v>
      </c>
      <c r="U38" s="545">
        <v>100</v>
      </c>
    </row>
    <row r="39" spans="1:21" hidden="1" x14ac:dyDescent="0.2">
      <c r="A39" s="38"/>
      <c r="B39" s="38"/>
      <c r="C39" s="38" t="s">
        <v>549</v>
      </c>
      <c r="D39" s="494">
        <v>207005</v>
      </c>
      <c r="E39" s="545">
        <v>90.407040223610082</v>
      </c>
      <c r="F39" s="494">
        <v>2776</v>
      </c>
      <c r="G39" s="545">
        <v>1.2123859020832424</v>
      </c>
      <c r="H39" s="494">
        <v>16869</v>
      </c>
      <c r="I39" s="545">
        <v>7.3673406996549771</v>
      </c>
      <c r="J39" s="494">
        <v>608</v>
      </c>
      <c r="K39" s="545">
        <v>0.26553696990872167</v>
      </c>
      <c r="L39" s="494">
        <v>0</v>
      </c>
      <c r="M39" s="545">
        <v>0</v>
      </c>
      <c r="N39" s="494">
        <v>0</v>
      </c>
      <c r="O39" s="545">
        <v>0</v>
      </c>
      <c r="P39" s="494">
        <v>156</v>
      </c>
      <c r="Q39" s="545">
        <v>6.8131196226579899E-2</v>
      </c>
      <c r="R39" s="494">
        <v>1556</v>
      </c>
      <c r="S39" s="545">
        <v>0.67956500851639956</v>
      </c>
      <c r="T39" s="494">
        <v>228970</v>
      </c>
      <c r="U39" s="545">
        <v>100</v>
      </c>
    </row>
    <row r="40" spans="1:21" hidden="1" x14ac:dyDescent="0.2">
      <c r="A40" s="38"/>
      <c r="B40" s="38"/>
      <c r="C40" s="38" t="s">
        <v>139</v>
      </c>
      <c r="D40" s="494">
        <v>218956</v>
      </c>
      <c r="E40" s="545">
        <v>87.203934922436616</v>
      </c>
      <c r="F40" s="494">
        <v>3432</v>
      </c>
      <c r="G40" s="545">
        <v>1.3668677937750164</v>
      </c>
      <c r="H40" s="494">
        <v>22994</v>
      </c>
      <c r="I40" s="545">
        <v>9.1578549096919364</v>
      </c>
      <c r="J40" s="494">
        <v>42</v>
      </c>
      <c r="K40" s="545">
        <v>1.6727403070673278E-2</v>
      </c>
      <c r="L40" s="494">
        <v>0</v>
      </c>
      <c r="M40" s="545">
        <v>0</v>
      </c>
      <c r="N40" s="494">
        <v>888</v>
      </c>
      <c r="O40" s="545">
        <v>0.35366509349423503</v>
      </c>
      <c r="P40" s="494">
        <v>1928</v>
      </c>
      <c r="Q40" s="545">
        <v>0.76786745524423994</v>
      </c>
      <c r="R40" s="494">
        <v>2845</v>
      </c>
      <c r="S40" s="545">
        <v>1.1330824222872733</v>
      </c>
      <c r="T40" s="494">
        <v>251085</v>
      </c>
      <c r="U40" s="545">
        <v>100</v>
      </c>
    </row>
    <row r="41" spans="1:21" hidden="1" x14ac:dyDescent="0.2">
      <c r="A41" s="38"/>
      <c r="B41" s="38"/>
      <c r="C41" s="38" t="s">
        <v>548</v>
      </c>
      <c r="D41" s="494">
        <v>717375</v>
      </c>
      <c r="E41" s="545">
        <v>81.839245419055729</v>
      </c>
      <c r="F41" s="494">
        <v>21739</v>
      </c>
      <c r="G41" s="545">
        <v>2.4800186181074784</v>
      </c>
      <c r="H41" s="494">
        <v>54221</v>
      </c>
      <c r="I41" s="545">
        <v>6.1856152303420391</v>
      </c>
      <c r="J41" s="494">
        <v>1396</v>
      </c>
      <c r="K41" s="545">
        <v>0.1592578311273766</v>
      </c>
      <c r="L41" s="494">
        <v>0</v>
      </c>
      <c r="M41" s="545">
        <v>0</v>
      </c>
      <c r="N41" s="494">
        <v>3625</v>
      </c>
      <c r="O41" s="545">
        <v>0.41354558584293705</v>
      </c>
      <c r="P41" s="494">
        <v>4753</v>
      </c>
      <c r="Q41" s="545">
        <v>0.54222956400316691</v>
      </c>
      <c r="R41" s="494">
        <v>73457</v>
      </c>
      <c r="S41" s="545">
        <v>8.3800877515212768</v>
      </c>
      <c r="T41" s="494">
        <v>876566</v>
      </c>
      <c r="U41" s="545">
        <v>100</v>
      </c>
    </row>
    <row r="42" spans="1:21" hidden="1" x14ac:dyDescent="0.2">
      <c r="A42" s="38"/>
      <c r="B42" s="38"/>
      <c r="C42" s="38" t="s">
        <v>229</v>
      </c>
      <c r="D42" s="494">
        <v>276216</v>
      </c>
      <c r="E42" s="545">
        <v>94.016896192570314</v>
      </c>
      <c r="F42" s="494">
        <v>0</v>
      </c>
      <c r="G42" s="545">
        <v>0</v>
      </c>
      <c r="H42" s="494">
        <v>14804</v>
      </c>
      <c r="I42" s="545">
        <v>5.0389048108538637</v>
      </c>
      <c r="J42" s="494">
        <v>0</v>
      </c>
      <c r="K42" s="545">
        <v>0</v>
      </c>
      <c r="L42" s="494">
        <v>0</v>
      </c>
      <c r="M42" s="545">
        <v>0</v>
      </c>
      <c r="N42" s="494">
        <v>106</v>
      </c>
      <c r="O42" s="545">
        <v>3.6079702104195456E-2</v>
      </c>
      <c r="P42" s="494">
        <v>1168</v>
      </c>
      <c r="Q42" s="545">
        <v>0.39755747224245558</v>
      </c>
      <c r="R42" s="494">
        <v>1500</v>
      </c>
      <c r="S42" s="545">
        <v>0.51056182222918101</v>
      </c>
      <c r="T42" s="494">
        <v>293794</v>
      </c>
      <c r="U42" s="545">
        <v>100</v>
      </c>
    </row>
    <row r="43" spans="1:21" hidden="1" x14ac:dyDescent="0.2">
      <c r="A43" s="38"/>
      <c r="B43" s="38"/>
      <c r="C43" s="38" t="s">
        <v>36</v>
      </c>
      <c r="D43" s="494">
        <v>426562</v>
      </c>
      <c r="E43" s="545">
        <v>89.81216930659923</v>
      </c>
      <c r="F43" s="494">
        <v>517</v>
      </c>
      <c r="G43" s="545">
        <v>2.0239577815505787</v>
      </c>
      <c r="H43" s="494">
        <v>27870</v>
      </c>
      <c r="I43" s="545">
        <v>3.0797385052935997</v>
      </c>
      <c r="J43" s="494">
        <v>18</v>
      </c>
      <c r="K43" s="545">
        <v>3.3929647419206226E-2</v>
      </c>
      <c r="L43" s="494">
        <v>0</v>
      </c>
      <c r="M43" s="545">
        <v>6.9009452378046565E-3</v>
      </c>
      <c r="N43" s="494">
        <v>4866</v>
      </c>
      <c r="O43" s="545">
        <v>2.0319449866869266</v>
      </c>
      <c r="P43" s="494">
        <v>8221</v>
      </c>
      <c r="Q43" s="545">
        <v>0.8929695342437044</v>
      </c>
      <c r="R43" s="494">
        <v>6895</v>
      </c>
      <c r="S43" s="545">
        <v>1.7130318600028245</v>
      </c>
      <c r="T43" s="494">
        <v>474949</v>
      </c>
      <c r="U43" s="545">
        <v>100</v>
      </c>
    </row>
    <row r="44" spans="1:21" x14ac:dyDescent="0.2">
      <c r="A44" s="38">
        <v>8</v>
      </c>
      <c r="B44" s="38" t="s">
        <v>444</v>
      </c>
      <c r="C44" s="38" t="s">
        <v>535</v>
      </c>
      <c r="D44" s="494">
        <v>2750313</v>
      </c>
      <c r="E44" s="545">
        <v>88.098255212420767</v>
      </c>
      <c r="F44" s="494">
        <v>32282</v>
      </c>
      <c r="G44" s="545">
        <v>1.0340597142097525</v>
      </c>
      <c r="H44" s="494">
        <v>173973</v>
      </c>
      <c r="I44" s="545">
        <v>5.5727176339821964</v>
      </c>
      <c r="J44" s="494">
        <v>14014</v>
      </c>
      <c r="K44" s="545">
        <v>0.44889761585203741</v>
      </c>
      <c r="L44" s="494">
        <v>0</v>
      </c>
      <c r="M44" s="545">
        <v>0</v>
      </c>
      <c r="N44" s="494">
        <v>15880</v>
      </c>
      <c r="O44" s="545">
        <v>0.50866948335452788</v>
      </c>
      <c r="P44" s="494">
        <v>32000</v>
      </c>
      <c r="Q44" s="545">
        <v>1.0250266667093761</v>
      </c>
      <c r="R44" s="494">
        <v>103408</v>
      </c>
      <c r="S44" s="545">
        <v>3.3123736734713494</v>
      </c>
      <c r="T44" s="494">
        <v>3121870</v>
      </c>
      <c r="U44" s="545">
        <v>100</v>
      </c>
    </row>
    <row r="45" spans="1:21" hidden="1" x14ac:dyDescent="0.2">
      <c r="A45" s="38"/>
      <c r="B45" s="38"/>
      <c r="C45" s="38" t="s">
        <v>547</v>
      </c>
      <c r="D45" s="494">
        <v>1900514</v>
      </c>
      <c r="E45" s="545">
        <v>73.245719174782536</v>
      </c>
      <c r="F45" s="494">
        <v>375777</v>
      </c>
      <c r="G45" s="545">
        <v>14.482427708684206</v>
      </c>
      <c r="H45" s="494">
        <v>35108</v>
      </c>
      <c r="I45" s="545">
        <v>1.3530606503231575</v>
      </c>
      <c r="J45" s="494">
        <v>16785</v>
      </c>
      <c r="K45" s="545">
        <v>0.64689310173391246</v>
      </c>
      <c r="L45" s="494">
        <v>372</v>
      </c>
      <c r="M45" s="545">
        <v>1.4336862308311911E-2</v>
      </c>
      <c r="N45" s="494">
        <v>260344</v>
      </c>
      <c r="O45" s="545">
        <v>10.033645378481602</v>
      </c>
      <c r="P45" s="494">
        <v>5623</v>
      </c>
      <c r="Q45" s="545">
        <v>0.21671015257967172</v>
      </c>
      <c r="R45" s="494">
        <v>187</v>
      </c>
      <c r="S45" s="545">
        <v>7.2069711065976547E-3</v>
      </c>
      <c r="T45" s="494">
        <v>2594710</v>
      </c>
      <c r="U45" s="545">
        <v>100</v>
      </c>
    </row>
    <row r="46" spans="1:21" hidden="1" x14ac:dyDescent="0.2">
      <c r="A46" s="38"/>
      <c r="B46" s="38"/>
      <c r="C46" s="38" t="s">
        <v>67</v>
      </c>
      <c r="D46" s="494">
        <v>1121094</v>
      </c>
      <c r="E46" s="545">
        <v>68.88027633359097</v>
      </c>
      <c r="F46" s="494">
        <v>217008</v>
      </c>
      <c r="G46" s="545">
        <v>13.33302203615389</v>
      </c>
      <c r="H46" s="494">
        <v>66298</v>
      </c>
      <c r="I46" s="545">
        <v>4.0733645531636196</v>
      </c>
      <c r="J46" s="494">
        <v>10170</v>
      </c>
      <c r="K46" s="545">
        <v>0.62484716742094792</v>
      </c>
      <c r="L46" s="494">
        <v>5650</v>
      </c>
      <c r="M46" s="545">
        <v>0.34713731523385993</v>
      </c>
      <c r="N46" s="494">
        <v>199422</v>
      </c>
      <c r="O46" s="545">
        <v>12.252534102401206</v>
      </c>
      <c r="P46" s="494">
        <v>6444</v>
      </c>
      <c r="Q46" s="545">
        <v>0.39592086006495464</v>
      </c>
      <c r="R46" s="494">
        <v>1512</v>
      </c>
      <c r="S46" s="545">
        <v>9.2897631970548011E-2</v>
      </c>
      <c r="T46" s="494">
        <v>1627598</v>
      </c>
      <c r="U46" s="545">
        <v>100</v>
      </c>
    </row>
    <row r="47" spans="1:21" hidden="1" x14ac:dyDescent="0.2">
      <c r="A47" s="38"/>
      <c r="B47" s="38"/>
      <c r="C47" s="38" t="s">
        <v>238</v>
      </c>
      <c r="D47" s="494">
        <v>2014326</v>
      </c>
      <c r="E47" s="545">
        <v>70.206514556257886</v>
      </c>
      <c r="F47" s="494">
        <v>284870</v>
      </c>
      <c r="G47" s="545">
        <v>9.9287452982492344</v>
      </c>
      <c r="H47" s="494">
        <v>189995</v>
      </c>
      <c r="I47" s="545">
        <v>6.6220099095758185</v>
      </c>
      <c r="J47" s="494">
        <v>0</v>
      </c>
      <c r="K47" s="545">
        <v>0</v>
      </c>
      <c r="L47" s="494">
        <v>3597</v>
      </c>
      <c r="M47" s="545">
        <v>0.12536840256187909</v>
      </c>
      <c r="N47" s="494">
        <v>355129</v>
      </c>
      <c r="O47" s="545">
        <v>12.377524446315695</v>
      </c>
      <c r="P47" s="494">
        <v>12637</v>
      </c>
      <c r="Q47" s="545">
        <v>0.44044495501097192</v>
      </c>
      <c r="R47" s="494">
        <v>8590</v>
      </c>
      <c r="S47" s="545">
        <v>0.29939243202850746</v>
      </c>
      <c r="T47" s="494">
        <v>2869144</v>
      </c>
      <c r="U47" s="545">
        <v>100</v>
      </c>
    </row>
    <row r="48" spans="1:21" x14ac:dyDescent="0.2">
      <c r="A48" s="38">
        <v>9</v>
      </c>
      <c r="B48" s="38" t="s">
        <v>447</v>
      </c>
      <c r="C48" s="38" t="s">
        <v>286</v>
      </c>
      <c r="D48" s="494">
        <f>SUM(D45:D47)</f>
        <v>5035934</v>
      </c>
      <c r="E48" s="545">
        <v>71.562946142252059</v>
      </c>
      <c r="F48" s="494">
        <f>SUM(F45:F47)</f>
        <v>877655</v>
      </c>
      <c r="G48" s="545">
        <v>14.03935951616983</v>
      </c>
      <c r="H48" s="494">
        <f>SUM(H45:H47)</f>
        <v>291401</v>
      </c>
      <c r="I48" s="545">
        <v>2.4016722607635446</v>
      </c>
      <c r="J48" s="494">
        <f>SUM(J45:J47)</f>
        <v>26955</v>
      </c>
      <c r="K48" s="545">
        <v>0.6383949252399399</v>
      </c>
      <c r="L48" s="494">
        <f>SUM(L45:L47)</f>
        <v>9619</v>
      </c>
      <c r="M48" s="545">
        <v>0.14262341828213385</v>
      </c>
      <c r="N48" s="494">
        <f>SUM(N45:N47)</f>
        <v>814895</v>
      </c>
      <c r="O48" s="545">
        <v>10.888973518748514</v>
      </c>
      <c r="P48" s="494">
        <f>SUM(P45:P47)</f>
        <v>24704</v>
      </c>
      <c r="Q48" s="545">
        <v>0.28579156233983882</v>
      </c>
      <c r="R48" s="494">
        <f>SUM(R45:R47)</f>
        <v>10289</v>
      </c>
      <c r="S48" s="545">
        <v>4.0238656204142381E-2</v>
      </c>
      <c r="T48" s="494">
        <f>SUM(T45:T47)</f>
        <v>7091452</v>
      </c>
      <c r="U48" s="545">
        <v>100</v>
      </c>
    </row>
    <row r="49" spans="1:21" hidden="1" x14ac:dyDescent="0.2">
      <c r="A49" s="38"/>
      <c r="B49" s="38"/>
      <c r="C49" s="38" t="s">
        <v>751</v>
      </c>
      <c r="D49" s="494">
        <v>24971737</v>
      </c>
      <c r="E49" s="545">
        <v>67.103774667386475</v>
      </c>
      <c r="F49" s="494">
        <v>2646727</v>
      </c>
      <c r="G49" s="545">
        <v>7.1122554355785423</v>
      </c>
      <c r="H49" s="494">
        <v>1386026</v>
      </c>
      <c r="I49" s="545">
        <v>3.7245136927054374</v>
      </c>
      <c r="J49" s="494">
        <v>376285</v>
      </c>
      <c r="K49" s="545">
        <v>1.0111488780583233</v>
      </c>
      <c r="L49" s="494">
        <v>43183</v>
      </c>
      <c r="M49" s="545">
        <v>0.11604087859253644</v>
      </c>
      <c r="N49" s="494">
        <v>6744081</v>
      </c>
      <c r="O49" s="545">
        <v>18.122619654475876</v>
      </c>
      <c r="P49" s="494">
        <v>229827</v>
      </c>
      <c r="Q49" s="545">
        <v>0.61758856504381066</v>
      </c>
      <c r="R49" s="494">
        <v>815744</v>
      </c>
      <c r="S49" s="545">
        <v>2.1920582281589986</v>
      </c>
      <c r="T49" s="494">
        <v>37213610</v>
      </c>
      <c r="U49" s="545">
        <v>100</v>
      </c>
    </row>
    <row r="50" spans="1:21" ht="15" customHeight="1" x14ac:dyDescent="0.2">
      <c r="A50" s="38">
        <v>10</v>
      </c>
      <c r="B50" s="38" t="s">
        <v>687</v>
      </c>
      <c r="C50" s="38" t="s">
        <v>535</v>
      </c>
      <c r="D50" s="494">
        <v>24971737</v>
      </c>
      <c r="E50" s="545">
        <v>67.103774667386475</v>
      </c>
      <c r="F50" s="494">
        <v>2646727</v>
      </c>
      <c r="G50" s="545">
        <v>7.1122554355785423</v>
      </c>
      <c r="H50" s="494">
        <v>1386026</v>
      </c>
      <c r="I50" s="545">
        <v>3.7245136927054374</v>
      </c>
      <c r="J50" s="494">
        <v>376285</v>
      </c>
      <c r="K50" s="545">
        <v>1.0111488780583233</v>
      </c>
      <c r="L50" s="494">
        <v>43183</v>
      </c>
      <c r="M50" s="545">
        <v>0.11604087859253644</v>
      </c>
      <c r="N50" s="494">
        <v>6744081</v>
      </c>
      <c r="O50" s="545">
        <v>18.122619654475876</v>
      </c>
      <c r="P50" s="494">
        <v>229827</v>
      </c>
      <c r="Q50" s="545">
        <v>0.61758856504381066</v>
      </c>
      <c r="R50" s="494">
        <v>815744</v>
      </c>
      <c r="S50" s="545">
        <v>2.1920582281589986</v>
      </c>
      <c r="T50" s="494">
        <v>37213610</v>
      </c>
      <c r="U50" s="545">
        <v>100</v>
      </c>
    </row>
    <row r="51" spans="1:21" hidden="1" x14ac:dyDescent="0.2">
      <c r="A51" s="38"/>
      <c r="B51" s="38"/>
      <c r="C51" s="38" t="s">
        <v>546</v>
      </c>
      <c r="D51" s="494">
        <v>1876803</v>
      </c>
      <c r="E51" s="545">
        <v>84.547378530910549</v>
      </c>
      <c r="F51" s="494">
        <v>105011</v>
      </c>
      <c r="G51" s="545">
        <v>4.730600263804698</v>
      </c>
      <c r="H51" s="494">
        <v>59224</v>
      </c>
      <c r="I51" s="545">
        <v>2.6679592616351564</v>
      </c>
      <c r="J51" s="494">
        <v>0</v>
      </c>
      <c r="K51" s="545">
        <v>0</v>
      </c>
      <c r="L51" s="494">
        <v>2063</v>
      </c>
      <c r="M51" s="545">
        <v>9.2935295771196275E-2</v>
      </c>
      <c r="N51" s="494">
        <v>163738</v>
      </c>
      <c r="O51" s="545">
        <v>7.3761703630558104</v>
      </c>
      <c r="P51" s="494">
        <v>12985</v>
      </c>
      <c r="Q51" s="545">
        <v>0.58495628482258055</v>
      </c>
      <c r="R51" s="494">
        <v>0</v>
      </c>
      <c r="S51" s="545">
        <v>0</v>
      </c>
      <c r="T51" s="494">
        <v>2219824</v>
      </c>
      <c r="U51" s="545">
        <v>100</v>
      </c>
    </row>
    <row r="52" spans="1:21" hidden="1" x14ac:dyDescent="0.2">
      <c r="A52" s="38"/>
      <c r="B52" s="38"/>
      <c r="C52" s="38" t="s">
        <v>638</v>
      </c>
      <c r="D52" s="494">
        <v>1563555</v>
      </c>
      <c r="E52" s="545">
        <v>80.872126192285279</v>
      </c>
      <c r="F52" s="494">
        <v>106997</v>
      </c>
      <c r="G52" s="545">
        <v>5.5342312142495453</v>
      </c>
      <c r="H52" s="494">
        <v>62922</v>
      </c>
      <c r="I52" s="545">
        <v>3.2545295331926112</v>
      </c>
      <c r="J52" s="494">
        <v>7257</v>
      </c>
      <c r="K52" s="545">
        <v>0.37535553260193227</v>
      </c>
      <c r="L52" s="494">
        <v>657</v>
      </c>
      <c r="M52" s="545">
        <v>3.3982166862266711E-2</v>
      </c>
      <c r="N52" s="494">
        <v>148627</v>
      </c>
      <c r="O52" s="545">
        <v>7.6874695802711015</v>
      </c>
      <c r="P52" s="494">
        <v>5539</v>
      </c>
      <c r="Q52" s="545">
        <v>0.28649501103515268</v>
      </c>
      <c r="R52" s="494">
        <v>37813</v>
      </c>
      <c r="S52" s="545">
        <v>1.9558107695021174</v>
      </c>
      <c r="T52" s="494">
        <v>1933367</v>
      </c>
      <c r="U52" s="545">
        <v>100</v>
      </c>
    </row>
    <row r="53" spans="1:21" x14ac:dyDescent="0.2">
      <c r="A53" s="38">
        <v>11</v>
      </c>
      <c r="B53" s="38" t="s">
        <v>266</v>
      </c>
      <c r="C53" s="38" t="s">
        <v>535</v>
      </c>
      <c r="D53" s="494">
        <f>SUM(D51:D52)</f>
        <v>3440358</v>
      </c>
      <c r="E53" s="545">
        <v>84.547378530910549</v>
      </c>
      <c r="F53" s="494">
        <f>SUM(F51:F52)</f>
        <v>212008</v>
      </c>
      <c r="G53" s="545">
        <v>4.730600263804698</v>
      </c>
      <c r="H53" s="494">
        <f>SUM(H51:H52)</f>
        <v>122146</v>
      </c>
      <c r="I53" s="545">
        <v>2.6679592616351564</v>
      </c>
      <c r="J53" s="494">
        <f>SUM(J51:J52)</f>
        <v>7257</v>
      </c>
      <c r="K53" s="545">
        <v>0</v>
      </c>
      <c r="L53" s="494">
        <f>SUM(L51:L52)</f>
        <v>2720</v>
      </c>
      <c r="M53" s="545">
        <v>9.2935295771196275E-2</v>
      </c>
      <c r="N53" s="494">
        <f>SUM(N51:N52)</f>
        <v>312365</v>
      </c>
      <c r="O53" s="545">
        <v>7.3761703630558104</v>
      </c>
      <c r="P53" s="494">
        <f>SUM(P51:P52)</f>
        <v>18524</v>
      </c>
      <c r="Q53" s="545">
        <v>0.58495628482258055</v>
      </c>
      <c r="R53" s="494">
        <f>SUM(R51:R52)</f>
        <v>37813</v>
      </c>
      <c r="S53" s="545">
        <v>0</v>
      </c>
      <c r="T53" s="494">
        <f>SUM(T51:T52)</f>
        <v>4153191</v>
      </c>
      <c r="U53" s="545">
        <v>100</v>
      </c>
    </row>
    <row r="54" spans="1:21" hidden="1" x14ac:dyDescent="0.2">
      <c r="A54" s="38"/>
      <c r="B54" s="38"/>
      <c r="C54" s="38" t="s">
        <v>201</v>
      </c>
      <c r="D54" s="494">
        <v>6280356</v>
      </c>
      <c r="E54" s="545">
        <v>75.294260384923689</v>
      </c>
      <c r="F54" s="494">
        <v>571582</v>
      </c>
      <c r="G54" s="545">
        <v>6.8526121671025413</v>
      </c>
      <c r="H54" s="494">
        <v>174524</v>
      </c>
      <c r="I54" s="545">
        <v>2.0923424562904427</v>
      </c>
      <c r="J54" s="494">
        <v>207885</v>
      </c>
      <c r="K54" s="545">
        <v>2.4923025573900368</v>
      </c>
      <c r="L54" s="494">
        <v>12969</v>
      </c>
      <c r="M54" s="545">
        <v>0.15548342529182665</v>
      </c>
      <c r="N54" s="494">
        <v>468753</v>
      </c>
      <c r="O54" s="545">
        <v>5.6198104754275287</v>
      </c>
      <c r="P54" s="494">
        <v>57182</v>
      </c>
      <c r="Q54" s="545">
        <v>0.68554655139465115</v>
      </c>
      <c r="R54" s="494">
        <v>567831</v>
      </c>
      <c r="S54" s="545">
        <v>6.8076419821792911</v>
      </c>
      <c r="T54" s="494">
        <v>8341082</v>
      </c>
      <c r="U54" s="545">
        <v>100</v>
      </c>
    </row>
    <row r="55" spans="1:21" hidden="1" x14ac:dyDescent="0.2">
      <c r="A55" s="38"/>
      <c r="B55" s="38"/>
      <c r="C55" s="38" t="s">
        <v>108</v>
      </c>
      <c r="D55" s="494">
        <v>1228651</v>
      </c>
      <c r="E55" s="545">
        <v>75.193253818411492</v>
      </c>
      <c r="F55" s="494">
        <v>97379</v>
      </c>
      <c r="G55" s="545">
        <v>5.959579948726768</v>
      </c>
      <c r="H55" s="494">
        <v>93186</v>
      </c>
      <c r="I55" s="545">
        <v>5.7029689882012811</v>
      </c>
      <c r="J55" s="494">
        <v>11742</v>
      </c>
      <c r="K55" s="545">
        <v>0.71860860922734582</v>
      </c>
      <c r="L55" s="494">
        <v>34437</v>
      </c>
      <c r="M55" s="545">
        <v>2.1075391480124432</v>
      </c>
      <c r="N55" s="494">
        <v>66593</v>
      </c>
      <c r="O55" s="545">
        <v>4.0754814439002418</v>
      </c>
      <c r="P55" s="494">
        <v>49590</v>
      </c>
      <c r="Q55" s="545">
        <v>3.034900437028111</v>
      </c>
      <c r="R55" s="494">
        <v>52413</v>
      </c>
      <c r="S55" s="545">
        <v>3.2076676064923246</v>
      </c>
      <c r="T55" s="494">
        <v>1633991</v>
      </c>
      <c r="U55" s="545">
        <v>100</v>
      </c>
    </row>
    <row r="56" spans="1:21" x14ac:dyDescent="0.2">
      <c r="A56" s="38">
        <v>12</v>
      </c>
      <c r="B56" s="38" t="s">
        <v>271</v>
      </c>
      <c r="C56" s="38" t="s">
        <v>535</v>
      </c>
      <c r="D56" s="494">
        <f>SUM(D54:D55)</f>
        <v>7509007</v>
      </c>
      <c r="E56" s="545">
        <v>75.277714759581201</v>
      </c>
      <c r="F56" s="494">
        <f>SUM(F54:F55)</f>
        <v>668961</v>
      </c>
      <c r="G56" s="545">
        <v>6.70632686096633</v>
      </c>
      <c r="H56" s="494">
        <f>SUM(H54:H55)</f>
        <v>267710</v>
      </c>
      <c r="I56" s="545">
        <v>2.6837898830414573</v>
      </c>
      <c r="J56" s="494">
        <f>SUM(J54:J55)</f>
        <v>219627</v>
      </c>
      <c r="K56" s="545">
        <v>2.2017583229716715</v>
      </c>
      <c r="L56" s="494">
        <f>SUM(L54:L55)</f>
        <v>47406</v>
      </c>
      <c r="M56" s="545">
        <v>0.47524464231991081</v>
      </c>
      <c r="N56" s="494">
        <f>SUM(N54:N55)</f>
        <v>535346</v>
      </c>
      <c r="O56" s="545">
        <v>5.3668379168753955</v>
      </c>
      <c r="P56" s="494">
        <f>SUM(P54:P55)</f>
        <v>106772</v>
      </c>
      <c r="Q56" s="545">
        <v>1.0703881565578519</v>
      </c>
      <c r="R56" s="494">
        <f>SUM(R54:R55)</f>
        <v>620244</v>
      </c>
      <c r="S56" s="545">
        <v>6.2179394576861746</v>
      </c>
      <c r="T56" s="494">
        <f>SUM(T54:T55)</f>
        <v>9975073</v>
      </c>
      <c r="U56" s="545">
        <v>100</v>
      </c>
    </row>
    <row r="57" spans="1:21" hidden="1" x14ac:dyDescent="0.2">
      <c r="A57" s="38"/>
      <c r="B57" s="38"/>
      <c r="C57" s="38" t="s">
        <v>57</v>
      </c>
      <c r="D57" s="494">
        <v>6730145</v>
      </c>
      <c r="E57" s="545">
        <v>74.872613612015144</v>
      </c>
      <c r="F57" s="494">
        <v>126043</v>
      </c>
      <c r="G57" s="545">
        <v>1.4022237020895127</v>
      </c>
      <c r="H57" s="494">
        <v>222747</v>
      </c>
      <c r="I57" s="545">
        <v>2.4780521168913205</v>
      </c>
      <c r="J57" s="494">
        <v>144064</v>
      </c>
      <c r="K57" s="545">
        <v>1.6027066589800589</v>
      </c>
      <c r="L57" s="494">
        <v>203699</v>
      </c>
      <c r="M57" s="545">
        <v>2.2661438230757098</v>
      </c>
      <c r="N57" s="494">
        <v>659175</v>
      </c>
      <c r="O57" s="545">
        <v>7.3332974367862915</v>
      </c>
      <c r="P57" s="494">
        <v>24121</v>
      </c>
      <c r="Q57" s="545">
        <v>0.26834523073951855</v>
      </c>
      <c r="R57" s="494">
        <v>878800</v>
      </c>
      <c r="S57" s="545">
        <v>9.7766174194224487</v>
      </c>
      <c r="T57" s="494">
        <v>8988794</v>
      </c>
      <c r="U57" s="545">
        <v>100</v>
      </c>
    </row>
    <row r="58" spans="1:21" x14ac:dyDescent="0.2">
      <c r="A58" s="38">
        <v>13</v>
      </c>
      <c r="B58" s="54" t="s">
        <v>691</v>
      </c>
      <c r="C58" s="38" t="s">
        <v>535</v>
      </c>
      <c r="D58" s="494">
        <v>6730145</v>
      </c>
      <c r="E58" s="545">
        <v>74.872613612015144</v>
      </c>
      <c r="F58" s="494">
        <v>126043</v>
      </c>
      <c r="G58" s="545">
        <v>1.4022237020895127</v>
      </c>
      <c r="H58" s="494">
        <v>222747</v>
      </c>
      <c r="I58" s="545">
        <v>2.4780521168913205</v>
      </c>
      <c r="J58" s="494">
        <v>144064</v>
      </c>
      <c r="K58" s="545">
        <v>1.6027066589800589</v>
      </c>
      <c r="L58" s="494">
        <v>203699</v>
      </c>
      <c r="M58" s="545">
        <v>2.2661438230757098</v>
      </c>
      <c r="N58" s="494">
        <v>659175</v>
      </c>
      <c r="O58" s="545">
        <v>7.3332974367862915</v>
      </c>
      <c r="P58" s="494">
        <v>24121</v>
      </c>
      <c r="Q58" s="545">
        <v>0.26834523073951855</v>
      </c>
      <c r="R58" s="494">
        <v>878800</v>
      </c>
      <c r="S58" s="545">
        <v>9.7766174194224487</v>
      </c>
      <c r="T58" s="494">
        <v>8988794</v>
      </c>
      <c r="U58" s="545">
        <v>100</v>
      </c>
    </row>
    <row r="59" spans="1:21" hidden="1" x14ac:dyDescent="0.2">
      <c r="A59" s="38"/>
      <c r="B59" s="38"/>
      <c r="C59" s="38" t="s">
        <v>97</v>
      </c>
      <c r="D59" s="494">
        <v>6194392</v>
      </c>
      <c r="E59" s="545">
        <v>81.239835007274266</v>
      </c>
      <c r="F59" s="494">
        <v>476088</v>
      </c>
      <c r="G59" s="545">
        <v>6.2439236278464767</v>
      </c>
      <c r="H59" s="494">
        <v>262235</v>
      </c>
      <c r="I59" s="545">
        <v>3.4392282782769588</v>
      </c>
      <c r="J59" s="494">
        <v>87869</v>
      </c>
      <c r="K59" s="545">
        <v>1.152407381104422</v>
      </c>
      <c r="L59" s="494">
        <v>9438</v>
      </c>
      <c r="M59" s="545">
        <v>0.12377995496550018</v>
      </c>
      <c r="N59" s="494">
        <v>312497</v>
      </c>
      <c r="O59" s="545">
        <v>4.0984175235064537</v>
      </c>
      <c r="P59" s="494">
        <v>25722</v>
      </c>
      <c r="Q59" s="545">
        <v>0.33734562424481834</v>
      </c>
      <c r="R59" s="494">
        <v>256580</v>
      </c>
      <c r="S59" s="545">
        <v>3.3650626027811015</v>
      </c>
      <c r="T59" s="494">
        <v>7624821</v>
      </c>
      <c r="U59" s="545">
        <v>100</v>
      </c>
    </row>
    <row r="60" spans="1:21" x14ac:dyDescent="0.2">
      <c r="A60" s="38">
        <v>14</v>
      </c>
      <c r="B60" s="54" t="s">
        <v>530</v>
      </c>
      <c r="C60" s="38" t="s">
        <v>535</v>
      </c>
      <c r="D60" s="494">
        <v>6194392</v>
      </c>
      <c r="E60" s="545">
        <v>81.239835007274266</v>
      </c>
      <c r="F60" s="494">
        <v>476088</v>
      </c>
      <c r="G60" s="545">
        <v>6.2439236278464767</v>
      </c>
      <c r="H60" s="494">
        <v>262235</v>
      </c>
      <c r="I60" s="545">
        <v>3.4392282782769588</v>
      </c>
      <c r="J60" s="494">
        <v>87869</v>
      </c>
      <c r="K60" s="545">
        <v>1.152407381104422</v>
      </c>
      <c r="L60" s="494">
        <v>9438</v>
      </c>
      <c r="M60" s="545">
        <v>0.12377995496550018</v>
      </c>
      <c r="N60" s="494">
        <v>312497</v>
      </c>
      <c r="O60" s="545">
        <v>4.0984175235064537</v>
      </c>
      <c r="P60" s="494">
        <v>25722</v>
      </c>
      <c r="Q60" s="545">
        <v>0.33734562424481834</v>
      </c>
      <c r="R60" s="494">
        <v>256580</v>
      </c>
      <c r="S60" s="545">
        <v>3.3650626027811015</v>
      </c>
      <c r="T60" s="494">
        <v>7624821</v>
      </c>
      <c r="U60" s="545">
        <v>100</v>
      </c>
    </row>
    <row r="61" spans="1:21" hidden="1" x14ac:dyDescent="0.2">
      <c r="A61" s="38"/>
      <c r="B61" s="38"/>
      <c r="C61" s="38" t="s">
        <v>98</v>
      </c>
      <c r="D61" s="494">
        <v>2890474</v>
      </c>
      <c r="E61" s="545">
        <v>85.042355328133169</v>
      </c>
      <c r="F61" s="494">
        <v>141349</v>
      </c>
      <c r="G61" s="545">
        <v>4.1587130288237484</v>
      </c>
      <c r="H61" s="494">
        <v>54527</v>
      </c>
      <c r="I61" s="545">
        <v>1.604271309472812</v>
      </c>
      <c r="J61" s="494">
        <v>25119</v>
      </c>
      <c r="K61" s="545">
        <v>0.73904104430186091</v>
      </c>
      <c r="L61" s="494">
        <v>2602</v>
      </c>
      <c r="M61" s="545">
        <v>7.6554990137881362E-2</v>
      </c>
      <c r="N61" s="494">
        <v>198786</v>
      </c>
      <c r="O61" s="545">
        <v>5.8486011796882726</v>
      </c>
      <c r="P61" s="494">
        <v>25549</v>
      </c>
      <c r="Q61" s="545">
        <v>0.75169233014324788</v>
      </c>
      <c r="R61" s="494">
        <v>60458</v>
      </c>
      <c r="S61" s="545">
        <v>1.778770789299013</v>
      </c>
      <c r="T61" s="494">
        <v>3398864</v>
      </c>
      <c r="U61" s="545">
        <v>100</v>
      </c>
    </row>
    <row r="62" spans="1:21" x14ac:dyDescent="0.2">
      <c r="A62" s="38">
        <v>15</v>
      </c>
      <c r="B62" s="38" t="s">
        <v>529</v>
      </c>
      <c r="C62" s="38" t="s">
        <v>535</v>
      </c>
      <c r="D62" s="494">
        <v>2890474</v>
      </c>
      <c r="E62" s="545">
        <v>85.042355328133169</v>
      </c>
      <c r="F62" s="494">
        <v>141349</v>
      </c>
      <c r="G62" s="545">
        <v>4.1587130288237484</v>
      </c>
      <c r="H62" s="494">
        <v>54527</v>
      </c>
      <c r="I62" s="545">
        <v>1.604271309472812</v>
      </c>
      <c r="J62" s="494">
        <v>25119</v>
      </c>
      <c r="K62" s="545">
        <v>0.73904104430186091</v>
      </c>
      <c r="L62" s="494">
        <v>2602</v>
      </c>
      <c r="M62" s="545">
        <v>7.6554990137881362E-2</v>
      </c>
      <c r="N62" s="494">
        <v>198786</v>
      </c>
      <c r="O62" s="545">
        <v>5.8486011796882726</v>
      </c>
      <c r="P62" s="494">
        <v>25549</v>
      </c>
      <c r="Q62" s="545">
        <v>0.75169233014324788</v>
      </c>
      <c r="R62" s="494">
        <v>60458</v>
      </c>
      <c r="S62" s="545">
        <v>1.778770789299013</v>
      </c>
      <c r="T62" s="494">
        <v>3398864</v>
      </c>
      <c r="U62" s="545">
        <v>100</v>
      </c>
    </row>
    <row r="63" spans="1:21" hidden="1" x14ac:dyDescent="0.2">
      <c r="A63" s="38"/>
      <c r="B63" s="38"/>
      <c r="C63" s="38" t="s">
        <v>752</v>
      </c>
      <c r="D63" s="494">
        <v>1096413</v>
      </c>
      <c r="E63" s="545">
        <v>80.489523785752397</v>
      </c>
      <c r="F63" s="494">
        <v>6300</v>
      </c>
      <c r="G63" s="545">
        <v>0.46249360400710327</v>
      </c>
      <c r="H63" s="494">
        <v>181620</v>
      </c>
      <c r="I63" s="545">
        <v>13.333029898376205</v>
      </c>
      <c r="J63" s="494">
        <v>0</v>
      </c>
      <c r="K63" s="545">
        <v>0</v>
      </c>
      <c r="L63" s="494">
        <v>2874</v>
      </c>
      <c r="M63" s="545">
        <v>0.21098517744704998</v>
      </c>
      <c r="N63" s="494">
        <v>65704</v>
      </c>
      <c r="O63" s="545">
        <v>4.8234412313782089</v>
      </c>
      <c r="P63" s="494">
        <v>6483</v>
      </c>
      <c r="Q63" s="545">
        <v>0.47592794202826205</v>
      </c>
      <c r="R63" s="494">
        <v>2787</v>
      </c>
      <c r="S63" s="545">
        <v>0.2045983610107614</v>
      </c>
      <c r="T63" s="494">
        <v>1362181</v>
      </c>
      <c r="U63" s="545">
        <v>100</v>
      </c>
    </row>
    <row r="64" spans="1:21" hidden="1" x14ac:dyDescent="0.2">
      <c r="A64" s="38"/>
      <c r="B64" s="38"/>
      <c r="C64" s="38" t="s">
        <v>753</v>
      </c>
      <c r="D64" s="494">
        <v>398473</v>
      </c>
      <c r="E64" s="545">
        <v>89.909385054851825</v>
      </c>
      <c r="F64" s="494">
        <v>1112</v>
      </c>
      <c r="G64" s="545">
        <v>0.25090592381665816</v>
      </c>
      <c r="H64" s="494">
        <v>24846</v>
      </c>
      <c r="I64" s="545">
        <v>5.6061228265725616</v>
      </c>
      <c r="J64" s="494">
        <v>0</v>
      </c>
      <c r="K64" s="545">
        <v>0</v>
      </c>
      <c r="L64" s="494">
        <v>0</v>
      </c>
      <c r="M64" s="545">
        <v>0</v>
      </c>
      <c r="N64" s="494">
        <v>6259</v>
      </c>
      <c r="O64" s="545">
        <v>1.4122483607630067</v>
      </c>
      <c r="P64" s="494">
        <v>11582</v>
      </c>
      <c r="Q64" s="545">
        <v>2.6133025266587544</v>
      </c>
      <c r="R64" s="494">
        <v>922</v>
      </c>
      <c r="S64" s="545">
        <v>0.20803530733719319</v>
      </c>
      <c r="T64" s="494">
        <v>443194</v>
      </c>
      <c r="U64" s="545">
        <v>100</v>
      </c>
    </row>
    <row r="65" spans="1:21" hidden="1" x14ac:dyDescent="0.2">
      <c r="A65" s="38"/>
      <c r="B65" s="38"/>
      <c r="C65" s="38" t="s">
        <v>754</v>
      </c>
      <c r="D65" s="494">
        <v>407256</v>
      </c>
      <c r="E65" s="545">
        <v>88.799345870809489</v>
      </c>
      <c r="F65" s="494">
        <v>1885</v>
      </c>
      <c r="G65" s="545">
        <v>0.4110111747070046</v>
      </c>
      <c r="H65" s="494">
        <v>29972</v>
      </c>
      <c r="I65" s="545">
        <v>6.535186699373126</v>
      </c>
      <c r="J65" s="494">
        <v>0</v>
      </c>
      <c r="K65" s="545">
        <v>0</v>
      </c>
      <c r="L65" s="494">
        <v>0</v>
      </c>
      <c r="M65" s="545">
        <v>0</v>
      </c>
      <c r="N65" s="494">
        <v>8007</v>
      </c>
      <c r="O65" s="545">
        <v>1.7458708094848734</v>
      </c>
      <c r="P65" s="494">
        <v>10443</v>
      </c>
      <c r="Q65" s="545">
        <v>2.2770237121831562</v>
      </c>
      <c r="R65" s="494">
        <v>1062</v>
      </c>
      <c r="S65" s="545">
        <v>0.23156173344235487</v>
      </c>
      <c r="T65" s="494">
        <v>458625</v>
      </c>
      <c r="U65" s="545">
        <v>100</v>
      </c>
    </row>
    <row r="66" spans="1:21" hidden="1" x14ac:dyDescent="0.2">
      <c r="A66" s="38"/>
      <c r="B66" s="38"/>
      <c r="C66" s="38" t="s">
        <v>755</v>
      </c>
      <c r="D66" s="494">
        <v>379343</v>
      </c>
      <c r="E66" s="545">
        <v>90.134342685523123</v>
      </c>
      <c r="F66" s="494">
        <v>0</v>
      </c>
      <c r="G66" s="545">
        <v>0</v>
      </c>
      <c r="H66" s="494">
        <v>10169</v>
      </c>
      <c r="I66" s="545">
        <v>2.4162199665450119</v>
      </c>
      <c r="J66" s="494">
        <v>0</v>
      </c>
      <c r="K66" s="545">
        <v>0</v>
      </c>
      <c r="L66" s="494">
        <v>0</v>
      </c>
      <c r="M66" s="545">
        <v>0</v>
      </c>
      <c r="N66" s="494">
        <v>29140</v>
      </c>
      <c r="O66" s="545">
        <v>6.9238518856447691</v>
      </c>
      <c r="P66" s="494">
        <v>1329</v>
      </c>
      <c r="Q66" s="545">
        <v>0.3157789689781022</v>
      </c>
      <c r="R66" s="494">
        <v>883</v>
      </c>
      <c r="S66" s="545">
        <v>0.20980649330900242</v>
      </c>
      <c r="T66" s="494">
        <v>420864</v>
      </c>
      <c r="U66" s="545">
        <v>100</v>
      </c>
    </row>
    <row r="67" spans="1:21" hidden="1" x14ac:dyDescent="0.2">
      <c r="A67" s="38"/>
      <c r="B67" s="38"/>
      <c r="C67" s="38" t="s">
        <v>45</v>
      </c>
      <c r="D67" s="494">
        <v>1055672</v>
      </c>
      <c r="E67" s="545">
        <v>85.687870993192348</v>
      </c>
      <c r="F67" s="494">
        <v>10469</v>
      </c>
      <c r="G67" s="545">
        <v>0.84975856272377293</v>
      </c>
      <c r="H67" s="494">
        <v>96935</v>
      </c>
      <c r="I67" s="545">
        <v>7.8681198087333009</v>
      </c>
      <c r="J67" s="494">
        <v>0</v>
      </c>
      <c r="K67" s="545">
        <v>0</v>
      </c>
      <c r="L67" s="494">
        <v>0</v>
      </c>
      <c r="M67" s="545">
        <v>0</v>
      </c>
      <c r="N67" s="494">
        <v>51681</v>
      </c>
      <c r="O67" s="545">
        <v>4.1948965784819281</v>
      </c>
      <c r="P67" s="494">
        <v>9987</v>
      </c>
      <c r="Q67" s="545">
        <v>0.81063509083220164</v>
      </c>
      <c r="R67" s="494">
        <v>7253</v>
      </c>
      <c r="S67" s="545">
        <v>0.58871896603644325</v>
      </c>
      <c r="T67" s="494">
        <v>1231997</v>
      </c>
      <c r="U67" s="545">
        <v>100</v>
      </c>
    </row>
    <row r="68" spans="1:21" hidden="1" x14ac:dyDescent="0.2">
      <c r="A68" s="38"/>
      <c r="B68" s="38"/>
      <c r="C68" s="38" t="s">
        <v>756</v>
      </c>
      <c r="D68" s="494">
        <v>592557</v>
      </c>
      <c r="E68" s="545">
        <v>88.442927336011991</v>
      </c>
      <c r="F68" s="494">
        <v>260</v>
      </c>
      <c r="G68" s="545">
        <v>3.880666519400347E-2</v>
      </c>
      <c r="H68" s="494">
        <v>32590</v>
      </c>
      <c r="I68" s="545">
        <v>4.8642662256637426</v>
      </c>
      <c r="J68" s="494">
        <v>0</v>
      </c>
      <c r="K68" s="545">
        <v>0</v>
      </c>
      <c r="L68" s="494">
        <v>3117</v>
      </c>
      <c r="M68" s="545">
        <v>0.46523221311426477</v>
      </c>
      <c r="N68" s="494">
        <v>33503</v>
      </c>
      <c r="O68" s="545">
        <v>5.0005373230565322</v>
      </c>
      <c r="P68" s="494">
        <v>4800</v>
      </c>
      <c r="Q68" s="545">
        <v>0.71643074204314106</v>
      </c>
      <c r="R68" s="494">
        <v>3161</v>
      </c>
      <c r="S68" s="545">
        <v>0.47179949491632683</v>
      </c>
      <c r="T68" s="494">
        <v>669988</v>
      </c>
      <c r="U68" s="545">
        <v>100</v>
      </c>
    </row>
    <row r="69" spans="1:21" hidden="1" x14ac:dyDescent="0.2">
      <c r="A69" s="38"/>
      <c r="B69" s="38"/>
      <c r="C69" s="38" t="s">
        <v>757</v>
      </c>
      <c r="D69" s="494">
        <v>464815</v>
      </c>
      <c r="E69" s="545">
        <v>91.344557136652782</v>
      </c>
      <c r="F69" s="494">
        <v>0</v>
      </c>
      <c r="G69" s="545">
        <v>0</v>
      </c>
      <c r="H69" s="494">
        <v>15135</v>
      </c>
      <c r="I69" s="545">
        <v>2.9743013290518592</v>
      </c>
      <c r="J69" s="494">
        <v>0</v>
      </c>
      <c r="K69" s="545">
        <v>0</v>
      </c>
      <c r="L69" s="494">
        <v>2060</v>
      </c>
      <c r="M69" s="545">
        <v>0.40482727042265143</v>
      </c>
      <c r="N69" s="494">
        <v>14631</v>
      </c>
      <c r="O69" s="545">
        <v>2.8752562104630162</v>
      </c>
      <c r="P69" s="494">
        <v>7262</v>
      </c>
      <c r="Q69" s="545">
        <v>1.4271143872860654</v>
      </c>
      <c r="R69" s="494">
        <v>4956</v>
      </c>
      <c r="S69" s="545">
        <v>0.97394366612362171</v>
      </c>
      <c r="T69" s="494">
        <v>508859</v>
      </c>
      <c r="U69" s="545">
        <v>100</v>
      </c>
    </row>
    <row r="70" spans="1:21" x14ac:dyDescent="0.2">
      <c r="A70" s="38">
        <v>16</v>
      </c>
      <c r="B70" s="38" t="s">
        <v>252</v>
      </c>
      <c r="C70" s="38" t="s">
        <v>535</v>
      </c>
      <c r="D70" s="494">
        <v>4394529</v>
      </c>
      <c r="E70" s="545">
        <v>86.239812014346199</v>
      </c>
      <c r="F70" s="494">
        <v>20026</v>
      </c>
      <c r="G70" s="545">
        <v>0.39299740094997598</v>
      </c>
      <c r="H70" s="494">
        <v>391267</v>
      </c>
      <c r="I70" s="545">
        <v>7.6783638308945497</v>
      </c>
      <c r="J70" s="494">
        <v>0</v>
      </c>
      <c r="K70" s="545">
        <v>0</v>
      </c>
      <c r="L70" s="494">
        <v>8051</v>
      </c>
      <c r="M70" s="545">
        <v>0.15799570933028345</v>
      </c>
      <c r="N70" s="494">
        <v>208925</v>
      </c>
      <c r="O70" s="545">
        <v>4.1000190748763465</v>
      </c>
      <c r="P70" s="494">
        <v>51886</v>
      </c>
      <c r="Q70" s="545">
        <v>1.0182294589878385</v>
      </c>
      <c r="R70" s="494">
        <v>21024</v>
      </c>
      <c r="S70" s="545">
        <v>0.41258251061481543</v>
      </c>
      <c r="T70" s="494">
        <v>5095708</v>
      </c>
      <c r="U70" s="545">
        <v>100</v>
      </c>
    </row>
    <row r="71" spans="1:21" hidden="1" x14ac:dyDescent="0.2">
      <c r="A71" s="38"/>
      <c r="B71" s="38"/>
      <c r="C71" s="38" t="s">
        <v>15</v>
      </c>
      <c r="D71" s="494">
        <v>2877619</v>
      </c>
      <c r="E71" s="545">
        <v>78.132515955751273</v>
      </c>
      <c r="F71" s="494">
        <v>332411</v>
      </c>
      <c r="G71" s="545">
        <v>9.025554724710684</v>
      </c>
      <c r="H71" s="494">
        <v>33160</v>
      </c>
      <c r="I71" s="545">
        <v>0.90035346204369371</v>
      </c>
      <c r="J71" s="494">
        <v>33758</v>
      </c>
      <c r="K71" s="545">
        <v>0.91659023436884834</v>
      </c>
      <c r="L71" s="494">
        <v>0</v>
      </c>
      <c r="M71" s="545">
        <v>0</v>
      </c>
      <c r="N71" s="494">
        <v>234254</v>
      </c>
      <c r="O71" s="545">
        <v>6.3604161609645189</v>
      </c>
      <c r="P71" s="494">
        <v>69870</v>
      </c>
      <c r="Q71" s="545">
        <v>1.8970957898972522</v>
      </c>
      <c r="R71" s="494">
        <v>101926</v>
      </c>
      <c r="S71" s="545">
        <v>2.767473672263737</v>
      </c>
      <c r="T71" s="494">
        <v>3682998</v>
      </c>
      <c r="U71" s="545">
        <v>100</v>
      </c>
    </row>
    <row r="72" spans="1:21" x14ac:dyDescent="0.2">
      <c r="A72" s="38">
        <v>17</v>
      </c>
      <c r="B72" s="38" t="s">
        <v>253</v>
      </c>
      <c r="C72" s="38" t="s">
        <v>535</v>
      </c>
      <c r="D72" s="494">
        <v>2877619</v>
      </c>
      <c r="E72" s="545">
        <v>78.132515955751273</v>
      </c>
      <c r="F72" s="494">
        <v>332411</v>
      </c>
      <c r="G72" s="545">
        <v>9.025554724710684</v>
      </c>
      <c r="H72" s="494">
        <v>33160</v>
      </c>
      <c r="I72" s="545">
        <v>0.90035346204369371</v>
      </c>
      <c r="J72" s="494">
        <v>33758</v>
      </c>
      <c r="K72" s="545">
        <v>0.91659023436884834</v>
      </c>
      <c r="L72" s="494">
        <v>0</v>
      </c>
      <c r="M72" s="545">
        <v>0</v>
      </c>
      <c r="N72" s="494">
        <v>234254</v>
      </c>
      <c r="O72" s="545">
        <v>6.3604161609645189</v>
      </c>
      <c r="P72" s="494">
        <v>69870</v>
      </c>
      <c r="Q72" s="545">
        <v>1.8970957898972522</v>
      </c>
      <c r="R72" s="494">
        <v>101926</v>
      </c>
      <c r="S72" s="545">
        <v>2.767473672263737</v>
      </c>
      <c r="T72" s="494">
        <v>3682998</v>
      </c>
      <c r="U72" s="545">
        <v>100</v>
      </c>
    </row>
    <row r="73" spans="1:21" hidden="1" x14ac:dyDescent="0.2">
      <c r="A73" s="38"/>
      <c r="B73" s="38"/>
      <c r="C73" s="38" t="s">
        <v>62</v>
      </c>
      <c r="D73" s="494">
        <v>6557659</v>
      </c>
      <c r="E73" s="545">
        <v>73.17660213258732</v>
      </c>
      <c r="F73" s="494">
        <v>631514</v>
      </c>
      <c r="G73" s="545">
        <v>7.0470344248090289</v>
      </c>
      <c r="H73" s="494">
        <v>447721</v>
      </c>
      <c r="I73" s="545">
        <v>4.9960971565316408</v>
      </c>
      <c r="J73" s="494">
        <v>73121</v>
      </c>
      <c r="K73" s="545">
        <v>0.81595373052135178</v>
      </c>
      <c r="L73" s="494">
        <v>5456</v>
      </c>
      <c r="M73" s="545">
        <v>6.0883242211190979E-2</v>
      </c>
      <c r="N73" s="494">
        <v>841461</v>
      </c>
      <c r="O73" s="545">
        <v>9.3898229241698985</v>
      </c>
      <c r="P73" s="494">
        <v>82737</v>
      </c>
      <c r="Q73" s="545">
        <v>0.92325821312817224</v>
      </c>
      <c r="R73" s="494">
        <v>321746</v>
      </c>
      <c r="S73" s="545">
        <v>3.5903481760413953</v>
      </c>
      <c r="T73" s="494">
        <v>8961415</v>
      </c>
      <c r="U73" s="545">
        <v>100</v>
      </c>
    </row>
    <row r="74" spans="1:21" x14ac:dyDescent="0.2">
      <c r="A74" s="38">
        <v>18</v>
      </c>
      <c r="B74" s="38" t="s">
        <v>254</v>
      </c>
      <c r="C74" s="38" t="s">
        <v>535</v>
      </c>
      <c r="D74" s="494">
        <v>6557659</v>
      </c>
      <c r="E74" s="545">
        <v>73.17660213258732</v>
      </c>
      <c r="F74" s="494">
        <v>631514</v>
      </c>
      <c r="G74" s="545">
        <v>7.0470344248090289</v>
      </c>
      <c r="H74" s="494">
        <v>447721</v>
      </c>
      <c r="I74" s="545">
        <v>4.9960971565316408</v>
      </c>
      <c r="J74" s="494">
        <v>73121</v>
      </c>
      <c r="K74" s="545">
        <v>0.81595373052135178</v>
      </c>
      <c r="L74" s="494">
        <v>5456</v>
      </c>
      <c r="M74" s="545">
        <v>6.0883242211190979E-2</v>
      </c>
      <c r="N74" s="494">
        <v>841461</v>
      </c>
      <c r="O74" s="545">
        <v>9.3898229241698985</v>
      </c>
      <c r="P74" s="494">
        <v>82737</v>
      </c>
      <c r="Q74" s="545">
        <v>0.92325821312817224</v>
      </c>
      <c r="R74" s="494">
        <v>321746</v>
      </c>
      <c r="S74" s="545">
        <v>3.5903481760413953</v>
      </c>
      <c r="T74" s="494">
        <v>8961415</v>
      </c>
      <c r="U74" s="545">
        <v>100</v>
      </c>
    </row>
    <row r="75" spans="1:21" x14ac:dyDescent="0.2">
      <c r="A75" s="38"/>
      <c r="B75" s="38"/>
      <c r="C75" s="38" t="s">
        <v>317</v>
      </c>
      <c r="D75" s="494">
        <v>4101508</v>
      </c>
      <c r="E75" s="545">
        <v>69.503372554973893</v>
      </c>
      <c r="F75" s="494">
        <v>220466</v>
      </c>
      <c r="G75" s="545">
        <v>3.7359748009036862</v>
      </c>
      <c r="H75" s="494">
        <v>308498</v>
      </c>
      <c r="I75" s="545">
        <v>5.2277482883037987</v>
      </c>
      <c r="J75" s="494">
        <v>164422</v>
      </c>
      <c r="K75" s="545">
        <v>2.7862638625193266</v>
      </c>
      <c r="L75" s="494">
        <v>18014</v>
      </c>
      <c r="M75" s="545">
        <v>0.30526180936506764</v>
      </c>
      <c r="N75" s="494">
        <v>323121</v>
      </c>
      <c r="O75" s="545">
        <v>5.4755468582130575</v>
      </c>
      <c r="P75" s="494">
        <v>203549</v>
      </c>
      <c r="Q75" s="545">
        <v>3.4493025443793806</v>
      </c>
      <c r="R75" s="494">
        <v>561586</v>
      </c>
      <c r="S75" s="545">
        <v>9.5165292813417839</v>
      </c>
      <c r="T75" s="494">
        <v>5901164</v>
      </c>
      <c r="U75" s="545">
        <v>100</v>
      </c>
    </row>
    <row r="76" spans="1:21" x14ac:dyDescent="0.2">
      <c r="A76" s="38">
        <v>19</v>
      </c>
      <c r="B76" s="38" t="s">
        <v>445</v>
      </c>
      <c r="C76" s="38" t="s">
        <v>286</v>
      </c>
      <c r="D76" s="494">
        <f>SUM(D75:D75)</f>
        <v>4101508</v>
      </c>
      <c r="E76" s="545">
        <v>69.503372554973893</v>
      </c>
      <c r="F76" s="494">
        <f>SUM(F75:F75)</f>
        <v>220466</v>
      </c>
      <c r="G76" s="545">
        <v>3.7359748009036862</v>
      </c>
      <c r="H76" s="494">
        <f>SUM(H75:H75)</f>
        <v>308498</v>
      </c>
      <c r="I76" s="545">
        <v>5.2277482883037987</v>
      </c>
      <c r="J76" s="494">
        <f>SUM(J75:J75)</f>
        <v>164422</v>
      </c>
      <c r="K76" s="545">
        <v>2.7862638625193266</v>
      </c>
      <c r="L76" s="494">
        <f>SUM(L75:L75)</f>
        <v>18014</v>
      </c>
      <c r="M76" s="545">
        <v>0.30526180936506764</v>
      </c>
      <c r="N76" s="494">
        <f>SUM(N75:N75)</f>
        <v>323121</v>
      </c>
      <c r="O76" s="545">
        <v>5.4755468582130575</v>
      </c>
      <c r="P76" s="494">
        <f>SUM(P75:P75)</f>
        <v>203549</v>
      </c>
      <c r="Q76" s="545">
        <v>3.4493025443793806</v>
      </c>
      <c r="R76" s="494">
        <f>SUM(R75:R75)</f>
        <v>561586</v>
      </c>
      <c r="S76" s="545">
        <v>9.5165292813417839</v>
      </c>
      <c r="T76" s="494">
        <f>SUM(T75:T75)</f>
        <v>5901164</v>
      </c>
      <c r="U76" s="545">
        <v>100</v>
      </c>
    </row>
    <row r="77" spans="1:21" x14ac:dyDescent="0.2">
      <c r="A77" s="38"/>
      <c r="B77" s="38"/>
      <c r="C77" s="38" t="s">
        <v>320</v>
      </c>
      <c r="D77" s="494">
        <v>1778776</v>
      </c>
      <c r="E77" s="545">
        <v>69.446923609695844</v>
      </c>
      <c r="F77" s="494">
        <v>240909</v>
      </c>
      <c r="G77" s="545">
        <v>9.4055625440686264</v>
      </c>
      <c r="H77" s="494">
        <v>53286</v>
      </c>
      <c r="I77" s="545">
        <v>2.080390544658941</v>
      </c>
      <c r="J77" s="494">
        <v>2932</v>
      </c>
      <c r="K77" s="545">
        <v>0.11447106326126966</v>
      </c>
      <c r="L77" s="494">
        <v>8987</v>
      </c>
      <c r="M77" s="545">
        <v>0.35087020652422596</v>
      </c>
      <c r="N77" s="494">
        <v>349592</v>
      </c>
      <c r="O77" s="545">
        <v>13.648761237255725</v>
      </c>
      <c r="P77" s="494">
        <v>100681</v>
      </c>
      <c r="Q77" s="545">
        <v>3.9307848295388443</v>
      </c>
      <c r="R77" s="494">
        <v>26183</v>
      </c>
      <c r="S77" s="545">
        <v>1.0222359649965291</v>
      </c>
      <c r="T77" s="494">
        <v>2561346</v>
      </c>
      <c r="U77" s="545">
        <v>100</v>
      </c>
    </row>
    <row r="78" spans="1:21" x14ac:dyDescent="0.2">
      <c r="A78" s="38"/>
      <c r="B78" s="38"/>
      <c r="C78" s="38" t="s">
        <v>77</v>
      </c>
      <c r="D78" s="494">
        <v>1165699</v>
      </c>
      <c r="E78" s="545">
        <v>82.598295031414594</v>
      </c>
      <c r="F78" s="494">
        <v>114870</v>
      </c>
      <c r="G78" s="545">
        <v>8.1393791624240848</v>
      </c>
      <c r="H78" s="494">
        <v>39782</v>
      </c>
      <c r="I78" s="545">
        <v>2.8188454935105334</v>
      </c>
      <c r="J78" s="494">
        <v>1662</v>
      </c>
      <c r="K78" s="545">
        <v>0.11776484868067233</v>
      </c>
      <c r="L78" s="494">
        <v>675</v>
      </c>
      <c r="M78" s="545">
        <v>4.7828684030958982E-2</v>
      </c>
      <c r="N78" s="494">
        <v>33248</v>
      </c>
      <c r="O78" s="545">
        <v>2.3558638320908503</v>
      </c>
      <c r="P78" s="494">
        <v>24886</v>
      </c>
      <c r="Q78" s="545">
        <v>1.7633550085843632</v>
      </c>
      <c r="R78" s="494">
        <v>30465</v>
      </c>
      <c r="S78" s="545">
        <v>2.1586679392639483</v>
      </c>
      <c r="T78" s="494">
        <v>1411287</v>
      </c>
      <c r="U78" s="545">
        <v>100</v>
      </c>
    </row>
    <row r="79" spans="1:21" x14ac:dyDescent="0.2">
      <c r="A79" s="38">
        <v>20</v>
      </c>
      <c r="B79" s="38" t="s">
        <v>255</v>
      </c>
      <c r="C79" s="38" t="s">
        <v>535</v>
      </c>
      <c r="D79" s="494">
        <f>SUM(D77:D78)</f>
        <v>2944475</v>
      </c>
      <c r="E79" s="545">
        <v>74.118978521298089</v>
      </c>
      <c r="F79" s="494">
        <f>SUM(F77:F78)</f>
        <v>355779</v>
      </c>
      <c r="G79" s="545">
        <v>8.9557479888023881</v>
      </c>
      <c r="H79" s="494">
        <f>SUM(H77:H78)</f>
        <v>93068</v>
      </c>
      <c r="I79" s="545">
        <v>2.3427283617691339</v>
      </c>
      <c r="J79" s="494">
        <f>SUM(J77:J78)</f>
        <v>4594</v>
      </c>
      <c r="K79" s="545">
        <v>0.1156411880986741</v>
      </c>
      <c r="L79" s="494">
        <f>SUM(L77:L78)</f>
        <v>9662</v>
      </c>
      <c r="M79" s="545">
        <v>0.24321400944914873</v>
      </c>
      <c r="N79" s="494">
        <f>SUM(N77:N78)</f>
        <v>382840</v>
      </c>
      <c r="O79" s="545">
        <v>9.6369334897031766</v>
      </c>
      <c r="P79" s="494">
        <f>SUM(P77:P78)</f>
        <v>125567</v>
      </c>
      <c r="Q79" s="545">
        <v>3.160800406178975</v>
      </c>
      <c r="R79" s="494">
        <f>SUM(R77:R78)</f>
        <v>56648</v>
      </c>
      <c r="S79" s="545">
        <v>1.4259560347004117</v>
      </c>
      <c r="T79" s="494">
        <f>SUM(T77:T78)</f>
        <v>3972633</v>
      </c>
      <c r="U79" s="545">
        <v>100</v>
      </c>
    </row>
    <row r="80" spans="1:21" hidden="1" x14ac:dyDescent="0.2">
      <c r="A80" s="38"/>
      <c r="B80" s="38"/>
      <c r="C80" s="38" t="s">
        <v>189</v>
      </c>
      <c r="D80" s="494">
        <v>10871842</v>
      </c>
      <c r="E80" s="545">
        <v>57.818594819672178</v>
      </c>
      <c r="F80" s="494">
        <v>647894</v>
      </c>
      <c r="G80" s="545">
        <v>3.4456277668583382</v>
      </c>
      <c r="H80" s="494">
        <v>1916827</v>
      </c>
      <c r="I80" s="545">
        <v>10.194063126782726</v>
      </c>
      <c r="J80" s="494">
        <v>72436</v>
      </c>
      <c r="K80" s="545">
        <v>0.38522889997461096</v>
      </c>
      <c r="L80" s="494">
        <v>6155</v>
      </c>
      <c r="M80" s="545">
        <v>3.2733501012531481E-2</v>
      </c>
      <c r="N80" s="494">
        <v>1843679</v>
      </c>
      <c r="O80" s="545">
        <v>9.8050476707202314</v>
      </c>
      <c r="P80" s="494">
        <v>88164</v>
      </c>
      <c r="Q80" s="545">
        <v>0.46887349850021537</v>
      </c>
      <c r="R80" s="494">
        <v>3356369</v>
      </c>
      <c r="S80" s="545">
        <v>17.849830716479168</v>
      </c>
      <c r="T80" s="494">
        <v>18803366</v>
      </c>
      <c r="U80" s="545">
        <v>100</v>
      </c>
    </row>
    <row r="81" spans="1:21" x14ac:dyDescent="0.2">
      <c r="A81" s="38">
        <v>21</v>
      </c>
      <c r="B81" s="38" t="s">
        <v>256</v>
      </c>
      <c r="C81" s="38" t="s">
        <v>535</v>
      </c>
      <c r="D81" s="494">
        <v>10871842</v>
      </c>
      <c r="E81" s="545">
        <v>57.818594819672178</v>
      </c>
      <c r="F81" s="494">
        <v>647894</v>
      </c>
      <c r="G81" s="545">
        <v>3.4456277668583382</v>
      </c>
      <c r="H81" s="494">
        <v>1916827</v>
      </c>
      <c r="I81" s="545">
        <v>10.194063126782726</v>
      </c>
      <c r="J81" s="494">
        <v>72436</v>
      </c>
      <c r="K81" s="545">
        <v>0.38522889997461096</v>
      </c>
      <c r="L81" s="494">
        <v>6155</v>
      </c>
      <c r="M81" s="545">
        <v>3.2733501012531481E-2</v>
      </c>
      <c r="N81" s="494">
        <v>1843679</v>
      </c>
      <c r="O81" s="545">
        <v>9.8050476707202314</v>
      </c>
      <c r="P81" s="494">
        <v>88164</v>
      </c>
      <c r="Q81" s="545">
        <v>0.46887349850021537</v>
      </c>
      <c r="R81" s="494">
        <v>3356369</v>
      </c>
      <c r="S81" s="545">
        <v>17.849830716479168</v>
      </c>
      <c r="T81" s="494">
        <v>18803366</v>
      </c>
      <c r="U81" s="545">
        <v>100</v>
      </c>
    </row>
    <row r="82" spans="1:21" hidden="1" x14ac:dyDescent="0.2">
      <c r="A82" s="38"/>
      <c r="B82" s="38"/>
      <c r="C82" s="38" t="s">
        <v>28</v>
      </c>
      <c r="D82" s="494">
        <v>3111345</v>
      </c>
      <c r="E82" s="545">
        <v>81.733949374178081</v>
      </c>
      <c r="F82" s="494">
        <v>137325</v>
      </c>
      <c r="G82" s="545">
        <v>3.6074799155378159</v>
      </c>
      <c r="H82" s="494">
        <v>41928</v>
      </c>
      <c r="I82" s="545">
        <v>1.1014339552060408</v>
      </c>
      <c r="J82" s="494">
        <v>0</v>
      </c>
      <c r="K82" s="545">
        <v>0</v>
      </c>
      <c r="L82" s="494">
        <v>0</v>
      </c>
      <c r="M82" s="545">
        <v>0</v>
      </c>
      <c r="N82" s="494">
        <v>341028</v>
      </c>
      <c r="O82" s="545">
        <v>8.9586867696051726</v>
      </c>
      <c r="P82" s="494">
        <v>13445</v>
      </c>
      <c r="Q82" s="545">
        <v>0.35319546669875068</v>
      </c>
      <c r="R82" s="494">
        <v>161603</v>
      </c>
      <c r="S82" s="545">
        <v>4.2452545187741313</v>
      </c>
      <c r="T82" s="494">
        <v>3806674</v>
      </c>
      <c r="U82" s="545">
        <v>100</v>
      </c>
    </row>
    <row r="83" spans="1:21" x14ac:dyDescent="0.2">
      <c r="A83" s="38">
        <v>22</v>
      </c>
      <c r="B83" s="38" t="s">
        <v>446</v>
      </c>
      <c r="C83" s="38" t="s">
        <v>535</v>
      </c>
      <c r="D83" s="494">
        <v>3111345</v>
      </c>
      <c r="E83" s="545">
        <v>81.733949374178081</v>
      </c>
      <c r="F83" s="494">
        <v>137325</v>
      </c>
      <c r="G83" s="545">
        <v>3.6074799155378159</v>
      </c>
      <c r="H83" s="494">
        <v>41928</v>
      </c>
      <c r="I83" s="545">
        <v>1.1014339552060408</v>
      </c>
      <c r="J83" s="494">
        <v>0</v>
      </c>
      <c r="K83" s="545">
        <v>0</v>
      </c>
      <c r="L83" s="494">
        <v>0</v>
      </c>
      <c r="M83" s="545">
        <v>0</v>
      </c>
      <c r="N83" s="494">
        <v>341028</v>
      </c>
      <c r="O83" s="545">
        <v>8.9586867696051726</v>
      </c>
      <c r="P83" s="494">
        <v>13445</v>
      </c>
      <c r="Q83" s="545">
        <v>0.35319546669875068</v>
      </c>
      <c r="R83" s="494">
        <v>161603</v>
      </c>
      <c r="S83" s="545">
        <v>4.2452545187741313</v>
      </c>
      <c r="T83" s="494">
        <v>3806674</v>
      </c>
      <c r="U83" s="545">
        <v>100</v>
      </c>
    </row>
    <row r="84" spans="1:21" hidden="1" x14ac:dyDescent="0.2">
      <c r="A84" s="38"/>
      <c r="B84" s="38"/>
      <c r="C84" s="38" t="s">
        <v>545</v>
      </c>
      <c r="D84" s="494">
        <v>3913695</v>
      </c>
      <c r="E84" s="545">
        <v>77.186298738988413</v>
      </c>
      <c r="F84" s="494">
        <v>502439</v>
      </c>
      <c r="G84" s="545">
        <v>9.9091540736103845</v>
      </c>
      <c r="H84" s="494">
        <v>287069</v>
      </c>
      <c r="I84" s="545">
        <v>5.6616045943035074</v>
      </c>
      <c r="J84" s="494">
        <v>0</v>
      </c>
      <c r="K84" s="545">
        <v>0</v>
      </c>
      <c r="L84" s="494">
        <v>5421</v>
      </c>
      <c r="M84" s="545">
        <v>0.10691352429457487</v>
      </c>
      <c r="N84" s="494">
        <v>163577</v>
      </c>
      <c r="O84" s="545">
        <v>3.2260825610650565</v>
      </c>
      <c r="P84" s="494">
        <v>175227</v>
      </c>
      <c r="Q84" s="545">
        <v>3.4558450694642078</v>
      </c>
      <c r="R84" s="494">
        <v>23025</v>
      </c>
      <c r="S84" s="545">
        <v>0.45410143827385835</v>
      </c>
      <c r="T84" s="494">
        <v>5070453</v>
      </c>
      <c r="U84" s="545">
        <v>100</v>
      </c>
    </row>
    <row r="85" spans="1:21" x14ac:dyDescent="0.2">
      <c r="A85" s="38">
        <v>23</v>
      </c>
      <c r="B85" s="38" t="s">
        <v>257</v>
      </c>
      <c r="C85" s="38" t="s">
        <v>535</v>
      </c>
      <c r="D85" s="494">
        <f>SUM(D84:D84)</f>
        <v>3913695</v>
      </c>
      <c r="E85" s="545">
        <v>77.186298738988413</v>
      </c>
      <c r="F85" s="494">
        <f>SUM(F84:F84)</f>
        <v>502439</v>
      </c>
      <c r="G85" s="545">
        <v>9.9091540736103845</v>
      </c>
      <c r="H85" s="494">
        <f>SUM(H84:H84)</f>
        <v>287069</v>
      </c>
      <c r="I85" s="545">
        <v>5.6616045943035074</v>
      </c>
      <c r="J85" s="494">
        <f>SUM(J84:J84)</f>
        <v>0</v>
      </c>
      <c r="K85" s="545">
        <v>0</v>
      </c>
      <c r="L85" s="494">
        <f>SUM(L84:L84)</f>
        <v>5421</v>
      </c>
      <c r="M85" s="545">
        <v>0.10691352429457487</v>
      </c>
      <c r="N85" s="494">
        <f>SUM(N84:N84)</f>
        <v>163577</v>
      </c>
      <c r="O85" s="545">
        <v>3.2260825610650565</v>
      </c>
      <c r="P85" s="494">
        <f>SUM(P84:P84)</f>
        <v>175227</v>
      </c>
      <c r="Q85" s="545">
        <v>3.4558450694642078</v>
      </c>
      <c r="R85" s="494">
        <f>SUM(R84:R84)</f>
        <v>23025</v>
      </c>
      <c r="S85" s="545">
        <v>0.45410143827385835</v>
      </c>
      <c r="T85" s="494">
        <f>SUM(T84:T84)</f>
        <v>5070453</v>
      </c>
      <c r="U85" s="545">
        <v>100</v>
      </c>
    </row>
    <row r="86" spans="1:21" hidden="1" x14ac:dyDescent="0.2">
      <c r="A86" s="38"/>
      <c r="B86" s="38"/>
      <c r="C86" s="38" t="s">
        <v>544</v>
      </c>
      <c r="D86" s="494">
        <v>9774438</v>
      </c>
      <c r="E86" s="545">
        <v>76.768060263132838</v>
      </c>
      <c r="F86" s="494">
        <v>627433</v>
      </c>
      <c r="G86" s="545">
        <v>4.9278346596580009</v>
      </c>
      <c r="H86" s="494">
        <v>519995</v>
      </c>
      <c r="I86" s="545">
        <v>4.0840207382284044</v>
      </c>
      <c r="J86" s="494">
        <v>191774</v>
      </c>
      <c r="K86" s="545">
        <v>1.506185623040633</v>
      </c>
      <c r="L86" s="494">
        <v>38695</v>
      </c>
      <c r="M86" s="545">
        <v>0.3039090423287687</v>
      </c>
      <c r="N86" s="494">
        <v>886899</v>
      </c>
      <c r="O86" s="545">
        <v>6.9656706482062969</v>
      </c>
      <c r="P86" s="494">
        <v>282579</v>
      </c>
      <c r="Q86" s="545">
        <v>2.2193646019439495</v>
      </c>
      <c r="R86" s="494">
        <v>410615</v>
      </c>
      <c r="S86" s="545">
        <v>3.2249544234611025</v>
      </c>
      <c r="T86" s="494">
        <v>12732428</v>
      </c>
      <c r="U86" s="545">
        <v>100</v>
      </c>
    </row>
    <row r="87" spans="1:21" x14ac:dyDescent="0.2">
      <c r="A87" s="38">
        <v>24</v>
      </c>
      <c r="B87" s="38" t="s">
        <v>448</v>
      </c>
      <c r="C87" s="38" t="s">
        <v>535</v>
      </c>
      <c r="D87" s="494">
        <v>9774438</v>
      </c>
      <c r="E87" s="545">
        <v>76.768060263132838</v>
      </c>
      <c r="F87" s="494">
        <v>627433</v>
      </c>
      <c r="G87" s="545">
        <v>4.9278346596580009</v>
      </c>
      <c r="H87" s="494">
        <v>519995</v>
      </c>
      <c r="I87" s="545">
        <v>4.0840207382284044</v>
      </c>
      <c r="J87" s="494">
        <v>191774</v>
      </c>
      <c r="K87" s="545">
        <v>1.506185623040633</v>
      </c>
      <c r="L87" s="494">
        <v>38695</v>
      </c>
      <c r="M87" s="545">
        <v>0.3039090423287687</v>
      </c>
      <c r="N87" s="494">
        <v>886899</v>
      </c>
      <c r="O87" s="545">
        <v>6.9656706482062969</v>
      </c>
      <c r="P87" s="494">
        <v>282579</v>
      </c>
      <c r="Q87" s="545">
        <v>2.2193646019439495</v>
      </c>
      <c r="R87" s="494">
        <v>410615</v>
      </c>
      <c r="S87" s="545">
        <v>3.2249544234611025</v>
      </c>
      <c r="T87" s="494">
        <v>12732428</v>
      </c>
      <c r="U87" s="545">
        <v>100</v>
      </c>
    </row>
    <row r="88" spans="1:21" x14ac:dyDescent="0.2">
      <c r="A88" s="38"/>
      <c r="B88" s="38"/>
      <c r="C88" s="38" t="s">
        <v>758</v>
      </c>
      <c r="D88" s="494">
        <v>2108301</v>
      </c>
      <c r="E88" s="545">
        <v>82.678762395631992</v>
      </c>
      <c r="F88" s="494">
        <v>6778</v>
      </c>
      <c r="G88" s="545">
        <v>0.26580485970342643</v>
      </c>
      <c r="H88" s="494">
        <v>139446</v>
      </c>
      <c r="I88" s="545">
        <v>5.4684898887878424</v>
      </c>
      <c r="J88" s="494">
        <v>4595</v>
      </c>
      <c r="K88" s="545">
        <v>0.18019671441977639</v>
      </c>
      <c r="L88" s="494">
        <v>0</v>
      </c>
      <c r="M88" s="545">
        <v>0</v>
      </c>
      <c r="N88" s="494">
        <v>144228</v>
      </c>
      <c r="O88" s="545">
        <v>5.6560199624233967</v>
      </c>
      <c r="P88" s="494">
        <v>146643</v>
      </c>
      <c r="Q88" s="545">
        <v>5.7507261790335731</v>
      </c>
      <c r="R88" s="494">
        <v>0</v>
      </c>
      <c r="S88" s="545">
        <v>0</v>
      </c>
      <c r="T88" s="494">
        <v>2549991</v>
      </c>
      <c r="U88" s="545">
        <v>100</v>
      </c>
    </row>
    <row r="89" spans="1:21" x14ac:dyDescent="0.2">
      <c r="A89" s="38"/>
      <c r="B89" s="38"/>
      <c r="C89" s="38" t="s">
        <v>759</v>
      </c>
      <c r="D89" s="494">
        <v>904438</v>
      </c>
      <c r="E89" s="545">
        <v>90.129159105562479</v>
      </c>
      <c r="F89" s="494">
        <v>4729</v>
      </c>
      <c r="G89" s="545">
        <v>0.4712548493210203</v>
      </c>
      <c r="H89" s="494">
        <v>39970</v>
      </c>
      <c r="I89" s="545">
        <v>3.9830950153015818</v>
      </c>
      <c r="J89" s="494">
        <v>14</v>
      </c>
      <c r="K89" s="545">
        <v>1.395129602557472E-3</v>
      </c>
      <c r="L89" s="494">
        <v>0</v>
      </c>
      <c r="M89" s="545">
        <v>0</v>
      </c>
      <c r="N89" s="494">
        <v>47971</v>
      </c>
      <c r="O89" s="545">
        <v>4.7804115831631773</v>
      </c>
      <c r="P89" s="494">
        <v>6369</v>
      </c>
      <c r="Q89" s="545">
        <v>0.63468431704918127</v>
      </c>
      <c r="R89" s="494">
        <v>0</v>
      </c>
      <c r="S89" s="545">
        <v>0</v>
      </c>
      <c r="T89" s="494">
        <v>1003491</v>
      </c>
      <c r="U89" s="545">
        <v>100</v>
      </c>
    </row>
    <row r="90" spans="1:21" x14ac:dyDescent="0.2">
      <c r="A90" s="38"/>
      <c r="B90" s="38"/>
      <c r="C90" s="38" t="s">
        <v>760</v>
      </c>
      <c r="D90" s="494">
        <v>335274</v>
      </c>
      <c r="E90" s="545">
        <v>82.553166342879507</v>
      </c>
      <c r="F90" s="494">
        <v>0</v>
      </c>
      <c r="G90" s="545">
        <v>0</v>
      </c>
      <c r="H90" s="494">
        <v>39400</v>
      </c>
      <c r="I90" s="545">
        <v>9.701303274066742</v>
      </c>
      <c r="J90" s="494">
        <v>650</v>
      </c>
      <c r="K90" s="545">
        <v>0.16004688142495896</v>
      </c>
      <c r="L90" s="494">
        <v>0</v>
      </c>
      <c r="M90" s="545">
        <v>0</v>
      </c>
      <c r="N90" s="494">
        <v>3016</v>
      </c>
      <c r="O90" s="545">
        <v>0.74261752981180951</v>
      </c>
      <c r="P90" s="494">
        <v>27791</v>
      </c>
      <c r="Q90" s="545">
        <v>6.8428659718169751</v>
      </c>
      <c r="R90" s="494">
        <v>0</v>
      </c>
      <c r="S90" s="545">
        <v>0</v>
      </c>
      <c r="T90" s="494">
        <v>406131</v>
      </c>
      <c r="U90" s="545">
        <v>100</v>
      </c>
    </row>
    <row r="91" spans="1:21" x14ac:dyDescent="0.2">
      <c r="A91" s="38"/>
      <c r="B91" s="38"/>
      <c r="C91" s="38" t="s">
        <v>8</v>
      </c>
      <c r="D91" s="494">
        <v>18487</v>
      </c>
      <c r="E91" s="545">
        <v>100</v>
      </c>
      <c r="F91" s="494">
        <v>0</v>
      </c>
      <c r="G91" s="545">
        <v>0</v>
      </c>
      <c r="H91" s="494">
        <v>0</v>
      </c>
      <c r="I91" s="545">
        <v>0</v>
      </c>
      <c r="J91" s="494">
        <v>0</v>
      </c>
      <c r="K91" s="545">
        <v>0</v>
      </c>
      <c r="L91" s="494">
        <v>0</v>
      </c>
      <c r="M91" s="545">
        <v>0</v>
      </c>
      <c r="N91" s="494">
        <v>0</v>
      </c>
      <c r="O91" s="545">
        <v>0</v>
      </c>
      <c r="P91" s="494">
        <v>0</v>
      </c>
      <c r="Q91" s="545">
        <v>0</v>
      </c>
      <c r="R91" s="494">
        <v>0</v>
      </c>
      <c r="S91" s="545">
        <v>0</v>
      </c>
      <c r="T91" s="494">
        <v>18487</v>
      </c>
      <c r="U91" s="545">
        <v>100</v>
      </c>
    </row>
    <row r="92" spans="1:21" x14ac:dyDescent="0.2">
      <c r="A92" s="38"/>
      <c r="B92" s="38"/>
      <c r="C92" s="38" t="s">
        <v>647</v>
      </c>
      <c r="D92" s="494">
        <v>119896</v>
      </c>
      <c r="E92" s="545">
        <v>100</v>
      </c>
      <c r="F92" s="494">
        <v>0</v>
      </c>
      <c r="G92" s="545">
        <v>0</v>
      </c>
      <c r="H92" s="494">
        <v>0</v>
      </c>
      <c r="I92" s="545">
        <v>0</v>
      </c>
      <c r="J92" s="494">
        <v>0</v>
      </c>
      <c r="K92" s="545">
        <v>0</v>
      </c>
      <c r="L92" s="494">
        <v>0</v>
      </c>
      <c r="M92" s="545">
        <v>0</v>
      </c>
      <c r="N92" s="494">
        <v>0</v>
      </c>
      <c r="O92" s="545">
        <v>0</v>
      </c>
      <c r="P92" s="494">
        <v>0</v>
      </c>
      <c r="Q92" s="545">
        <v>0</v>
      </c>
      <c r="R92" s="494">
        <v>0</v>
      </c>
      <c r="S92" s="545">
        <v>0</v>
      </c>
      <c r="T92" s="494">
        <v>119896</v>
      </c>
      <c r="U92" s="545">
        <v>100</v>
      </c>
    </row>
    <row r="93" spans="1:21" x14ac:dyDescent="0.2">
      <c r="A93" s="38"/>
      <c r="B93" s="38"/>
      <c r="C93" s="38" t="s">
        <v>625</v>
      </c>
      <c r="D93" s="494">
        <v>1735756</v>
      </c>
      <c r="E93" s="545">
        <v>80.918158610697247</v>
      </c>
      <c r="F93" s="494">
        <v>7836</v>
      </c>
      <c r="G93" s="545">
        <v>0.36530174222265316</v>
      </c>
      <c r="H93" s="494">
        <v>104043</v>
      </c>
      <c r="I93" s="545">
        <v>4.8503176577426625</v>
      </c>
      <c r="J93" s="494">
        <v>0</v>
      </c>
      <c r="K93" s="545">
        <v>0</v>
      </c>
      <c r="L93" s="494">
        <v>0</v>
      </c>
      <c r="M93" s="545">
        <v>0</v>
      </c>
      <c r="N93" s="494">
        <v>98419</v>
      </c>
      <c r="O93" s="545">
        <v>4.5881358049784717</v>
      </c>
      <c r="P93" s="494">
        <v>183905</v>
      </c>
      <c r="Q93" s="545">
        <v>8.5733559090680238</v>
      </c>
      <c r="R93" s="494">
        <v>15117</v>
      </c>
      <c r="S93" s="545">
        <v>0.70473027529094534</v>
      </c>
      <c r="T93" s="494">
        <v>2145076</v>
      </c>
      <c r="U93" s="545">
        <v>100</v>
      </c>
    </row>
    <row r="94" spans="1:21" x14ac:dyDescent="0.2">
      <c r="A94" s="38">
        <v>26</v>
      </c>
      <c r="B94" s="38"/>
      <c r="C94" s="38" t="s">
        <v>637</v>
      </c>
      <c r="D94" s="494">
        <v>203105</v>
      </c>
      <c r="E94" s="545">
        <v>79.922637106643521</v>
      </c>
      <c r="F94" s="494">
        <v>41177</v>
      </c>
      <c r="G94" s="545">
        <v>16.203315665002144</v>
      </c>
      <c r="H94" s="494">
        <v>8635</v>
      </c>
      <c r="I94" s="545">
        <v>3.3979073455398288</v>
      </c>
      <c r="J94" s="494">
        <v>0</v>
      </c>
      <c r="K94" s="545">
        <v>0</v>
      </c>
      <c r="L94" s="494">
        <v>0</v>
      </c>
      <c r="M94" s="545">
        <v>0</v>
      </c>
      <c r="N94" s="494">
        <v>19</v>
      </c>
      <c r="O94" s="545">
        <v>7.4765766722937749E-3</v>
      </c>
      <c r="P94" s="494">
        <v>0</v>
      </c>
      <c r="Q94" s="545">
        <v>0</v>
      </c>
      <c r="R94" s="494">
        <v>1191</v>
      </c>
      <c r="S94" s="545">
        <v>0.46866330614220447</v>
      </c>
      <c r="T94" s="494">
        <v>254127</v>
      </c>
      <c r="U94" s="545">
        <v>100</v>
      </c>
    </row>
    <row r="95" spans="1:21" x14ac:dyDescent="0.2">
      <c r="A95" s="38">
        <v>25</v>
      </c>
      <c r="B95" s="38" t="s">
        <v>449</v>
      </c>
      <c r="C95" s="38" t="s">
        <v>535</v>
      </c>
      <c r="D95" s="494">
        <f>SUM(D88:D94)</f>
        <v>5425257</v>
      </c>
      <c r="E95" s="545">
        <v>85.075632089440788</v>
      </c>
      <c r="F95" s="494">
        <f>SUM(F88:F94)</f>
        <v>60520</v>
      </c>
      <c r="G95" s="545">
        <v>0.28079578408568479</v>
      </c>
      <c r="H95" s="494">
        <f>SUM(H88:H94)</f>
        <v>331494</v>
      </c>
      <c r="I95" s="545">
        <v>5.3395854949589996</v>
      </c>
      <c r="J95" s="494">
        <f>SUM(J88:J94)</f>
        <v>5259</v>
      </c>
      <c r="K95" s="545">
        <v>0.12833101838069144</v>
      </c>
      <c r="L95" s="494">
        <f>SUM(L88:L94)</f>
        <v>0</v>
      </c>
      <c r="M95" s="545">
        <v>0</v>
      </c>
      <c r="N95" s="494">
        <f>SUM(N88:N94)</f>
        <v>293653</v>
      </c>
      <c r="O95" s="545">
        <v>4.7636698522887775</v>
      </c>
      <c r="P95" s="494">
        <f>SUM(P88:P94)</f>
        <v>364708</v>
      </c>
      <c r="Q95" s="545">
        <v>4.4119857608450568</v>
      </c>
      <c r="R95" s="494">
        <f>SUM(R88:R94)</f>
        <v>16308</v>
      </c>
      <c r="S95" s="545">
        <v>0</v>
      </c>
      <c r="T95" s="494">
        <f>SUM(T88:T94)</f>
        <v>6497199</v>
      </c>
      <c r="U95" s="545">
        <v>100</v>
      </c>
    </row>
    <row r="96" spans="1:21" hidden="1" x14ac:dyDescent="0.2">
      <c r="A96" s="38"/>
      <c r="B96" s="38"/>
      <c r="C96" s="38" t="s">
        <v>543</v>
      </c>
      <c r="D96" s="494">
        <v>2415960</v>
      </c>
      <c r="E96" s="545">
        <v>76.709318939514205</v>
      </c>
      <c r="F96" s="494">
        <v>204342</v>
      </c>
      <c r="G96" s="545">
        <v>6.4880774726147008</v>
      </c>
      <c r="H96" s="494">
        <v>226578</v>
      </c>
      <c r="I96" s="545">
        <v>7.1940943006826474</v>
      </c>
      <c r="J96" s="494">
        <v>23675</v>
      </c>
      <c r="K96" s="545">
        <v>0.75170662009842837</v>
      </c>
      <c r="L96" s="494">
        <v>12719</v>
      </c>
      <c r="M96" s="545">
        <v>0.40384187966343865</v>
      </c>
      <c r="N96" s="494">
        <v>242252</v>
      </c>
      <c r="O96" s="545">
        <v>7.6917605969201457</v>
      </c>
      <c r="P96" s="494">
        <v>23974</v>
      </c>
      <c r="Q96" s="545">
        <v>0.76120019050642962</v>
      </c>
      <c r="R96" s="494">
        <v>0</v>
      </c>
      <c r="S96" s="545">
        <v>0</v>
      </c>
      <c r="T96" s="494">
        <v>3149500</v>
      </c>
      <c r="U96" s="545">
        <v>100</v>
      </c>
    </row>
    <row r="97" spans="1:21" x14ac:dyDescent="0.2">
      <c r="A97" s="38">
        <v>26</v>
      </c>
      <c r="B97" s="38" t="s">
        <v>268</v>
      </c>
      <c r="C97" s="38" t="s">
        <v>535</v>
      </c>
      <c r="D97" s="494">
        <v>2415960</v>
      </c>
      <c r="E97" s="545">
        <v>76.709318939514205</v>
      </c>
      <c r="F97" s="494">
        <v>204342</v>
      </c>
      <c r="G97" s="545">
        <v>6.4880774726147008</v>
      </c>
      <c r="H97" s="494">
        <v>226578</v>
      </c>
      <c r="I97" s="545">
        <v>7.1940943006826474</v>
      </c>
      <c r="J97" s="494">
        <v>23675</v>
      </c>
      <c r="K97" s="545">
        <v>0.75170662009842837</v>
      </c>
      <c r="L97" s="494">
        <v>12719</v>
      </c>
      <c r="M97" s="545">
        <v>0.40384187966343865</v>
      </c>
      <c r="N97" s="494">
        <v>242252</v>
      </c>
      <c r="O97" s="545">
        <v>7.6917605969201457</v>
      </c>
      <c r="P97" s="494">
        <v>23974</v>
      </c>
      <c r="Q97" s="545">
        <v>0.76120019050642962</v>
      </c>
      <c r="R97" s="494">
        <v>0</v>
      </c>
      <c r="S97" s="545">
        <v>0</v>
      </c>
      <c r="T97" s="494">
        <v>3149500</v>
      </c>
      <c r="U97" s="545">
        <v>100</v>
      </c>
    </row>
    <row r="98" spans="1:21" hidden="1" x14ac:dyDescent="0.2">
      <c r="A98" s="38"/>
      <c r="B98" s="38"/>
      <c r="C98" s="38" t="s">
        <v>59</v>
      </c>
      <c r="D98" s="494">
        <v>2109939</v>
      </c>
      <c r="E98" s="545">
        <v>72.132027990770936</v>
      </c>
      <c r="F98" s="494">
        <v>202950</v>
      </c>
      <c r="G98" s="545">
        <v>6.9382077305206273</v>
      </c>
      <c r="H98" s="494">
        <v>97395</v>
      </c>
      <c r="I98" s="545">
        <v>3.3296217881944146</v>
      </c>
      <c r="J98" s="494">
        <v>66202</v>
      </c>
      <c r="K98" s="545">
        <v>2.2632334475285858</v>
      </c>
      <c r="L98" s="494">
        <v>2033</v>
      </c>
      <c r="M98" s="545">
        <v>6.9501731047787313E-2</v>
      </c>
      <c r="N98" s="494">
        <v>222885</v>
      </c>
      <c r="O98" s="545">
        <v>7.6197212614786398</v>
      </c>
      <c r="P98" s="494">
        <v>56539</v>
      </c>
      <c r="Q98" s="545">
        <v>1.9328865576541301</v>
      </c>
      <c r="R98" s="494">
        <v>167164</v>
      </c>
      <c r="S98" s="545">
        <v>5.7147994928048789</v>
      </c>
      <c r="T98" s="494">
        <v>2925107</v>
      </c>
      <c r="U98" s="545">
        <v>100</v>
      </c>
    </row>
    <row r="99" spans="1:21" hidden="1" x14ac:dyDescent="0.2">
      <c r="A99" s="38"/>
      <c r="B99" s="38"/>
      <c r="C99" s="38" t="s">
        <v>326</v>
      </c>
      <c r="D99" s="494">
        <v>587233</v>
      </c>
      <c r="E99" s="545">
        <v>74.448073105116492</v>
      </c>
      <c r="F99" s="494">
        <v>94440</v>
      </c>
      <c r="G99" s="545">
        <v>11.972889847892066</v>
      </c>
      <c r="H99" s="494">
        <v>82300</v>
      </c>
      <c r="I99" s="545">
        <v>10.433808073713649</v>
      </c>
      <c r="J99" s="494">
        <v>0</v>
      </c>
      <c r="K99" s="545">
        <v>0</v>
      </c>
      <c r="L99" s="494">
        <v>1163</v>
      </c>
      <c r="M99" s="545">
        <v>0.14744251263340186</v>
      </c>
      <c r="N99" s="494">
        <v>12986</v>
      </c>
      <c r="O99" s="545">
        <v>1.6463357429555947</v>
      </c>
      <c r="P99" s="494">
        <v>10660</v>
      </c>
      <c r="Q99" s="545">
        <v>1.3514507176887911</v>
      </c>
      <c r="R99" s="494">
        <v>0</v>
      </c>
      <c r="S99" s="545">
        <v>0</v>
      </c>
      <c r="T99" s="494">
        <v>788782</v>
      </c>
      <c r="U99" s="545">
        <v>100</v>
      </c>
    </row>
    <row r="100" spans="1:21" hidden="1" x14ac:dyDescent="0.2">
      <c r="A100" s="38"/>
      <c r="B100" s="38"/>
      <c r="C100" s="38" t="s">
        <v>655</v>
      </c>
      <c r="D100" s="494">
        <v>553775</v>
      </c>
      <c r="E100" s="545">
        <v>75.484956169585743</v>
      </c>
      <c r="F100" s="494">
        <v>56353</v>
      </c>
      <c r="G100" s="545">
        <v>7.681465821000705</v>
      </c>
      <c r="H100" s="494">
        <v>33367</v>
      </c>
      <c r="I100" s="545">
        <v>4.5482488962314429</v>
      </c>
      <c r="J100" s="494">
        <v>556</v>
      </c>
      <c r="K100" s="545">
        <v>7.5788245461224632E-2</v>
      </c>
      <c r="L100" s="494">
        <v>1673</v>
      </c>
      <c r="M100" s="545">
        <v>0.22804628535364893</v>
      </c>
      <c r="N100" s="494">
        <v>73266</v>
      </c>
      <c r="O100" s="545">
        <v>9.9868733668382816</v>
      </c>
      <c r="P100" s="494">
        <v>2673</v>
      </c>
      <c r="Q100" s="545">
        <v>0.36435607934865732</v>
      </c>
      <c r="R100" s="494">
        <v>11960</v>
      </c>
      <c r="S100" s="545">
        <v>1.6302651361802998</v>
      </c>
      <c r="T100" s="494">
        <v>733623</v>
      </c>
      <c r="U100" s="545">
        <v>100</v>
      </c>
    </row>
    <row r="101" spans="1:21" x14ac:dyDescent="0.2">
      <c r="A101" s="38">
        <v>27</v>
      </c>
      <c r="B101" s="38" t="s">
        <v>450</v>
      </c>
      <c r="C101" s="38" t="s">
        <v>535</v>
      </c>
      <c r="D101" s="494">
        <f>SUM(D98:D100)</f>
        <v>3250947</v>
      </c>
      <c r="E101" s="545">
        <f>AVERAGE(E98:E100)</f>
        <v>74.021685755157719</v>
      </c>
      <c r="F101" s="494">
        <f>SUM(F98:F100)</f>
        <v>353743</v>
      </c>
      <c r="G101" s="545">
        <f>AVERAGE(G98:G100)</f>
        <v>8.8641877998044674</v>
      </c>
      <c r="H101" s="494">
        <f>SUM(H98:H100)</f>
        <v>213062</v>
      </c>
      <c r="I101" s="545">
        <f>AVERAGE(I98:I100)</f>
        <v>6.1038929193798355</v>
      </c>
      <c r="J101" s="494">
        <f>SUM(J98:J100)</f>
        <v>66758</v>
      </c>
      <c r="K101" s="545">
        <f>AVERAGE(K98:K100)</f>
        <v>0.77967389766327011</v>
      </c>
      <c r="L101" s="494">
        <f>SUM(L98:L100)</f>
        <v>4869</v>
      </c>
      <c r="M101" s="545">
        <f>AVERAGE(M98:M100)</f>
        <v>0.14833017634494602</v>
      </c>
      <c r="N101" s="494">
        <f>SUM(N98:N100)</f>
        <v>309137</v>
      </c>
      <c r="O101" s="545">
        <f>AVERAGE(O98:O100)</f>
        <v>6.4176434570908389</v>
      </c>
      <c r="P101" s="494">
        <f>SUM(P98:P100)</f>
        <v>69872</v>
      </c>
      <c r="Q101" s="545">
        <f>AVERAGE(Q98:Q100)</f>
        <v>1.2162311182305261</v>
      </c>
      <c r="R101" s="494">
        <f>SUM(R98:R100)</f>
        <v>179124</v>
      </c>
      <c r="S101" s="545">
        <f>AVERAGE(S98:S100)</f>
        <v>2.4483548763283927</v>
      </c>
      <c r="T101" s="494">
        <f>SUM(T98:T100)</f>
        <v>4447512</v>
      </c>
      <c r="U101" s="545">
        <v>100</v>
      </c>
    </row>
    <row r="102" spans="1:21" hidden="1" x14ac:dyDescent="0.2">
      <c r="A102" s="38"/>
      <c r="B102" s="38"/>
      <c r="C102" s="38" t="s">
        <v>421</v>
      </c>
      <c r="D102" s="494">
        <v>2177090</v>
      </c>
      <c r="E102" s="545">
        <v>75.093742573287543</v>
      </c>
      <c r="F102" s="494">
        <v>214455</v>
      </c>
      <c r="G102" s="545">
        <v>7.3971349661954164</v>
      </c>
      <c r="H102" s="494">
        <v>156773</v>
      </c>
      <c r="I102" s="545">
        <v>5.4075262411944411</v>
      </c>
      <c r="J102" s="494">
        <v>4588</v>
      </c>
      <c r="K102" s="545">
        <v>0.15825257151805538</v>
      </c>
      <c r="L102" s="494">
        <v>17376</v>
      </c>
      <c r="M102" s="545">
        <v>0.59934539727500669</v>
      </c>
      <c r="N102" s="494">
        <v>214012</v>
      </c>
      <c r="O102" s="545">
        <v>7.381854693923728</v>
      </c>
      <c r="P102" s="494">
        <v>14482</v>
      </c>
      <c r="Q102" s="545">
        <v>0.49952348315703526</v>
      </c>
      <c r="R102" s="494">
        <v>100387</v>
      </c>
      <c r="S102" s="545">
        <v>3.4626200734487846</v>
      </c>
      <c r="T102" s="494">
        <v>2899163</v>
      </c>
      <c r="U102" s="545">
        <v>100</v>
      </c>
    </row>
    <row r="103" spans="1:21" x14ac:dyDescent="0.2">
      <c r="A103" s="38">
        <v>28</v>
      </c>
      <c r="B103" s="38" t="s">
        <v>659</v>
      </c>
      <c r="C103" s="38" t="s">
        <v>535</v>
      </c>
      <c r="D103" s="494">
        <v>2177090</v>
      </c>
      <c r="E103" s="545">
        <v>75.093742573287543</v>
      </c>
      <c r="F103" s="494">
        <v>214455</v>
      </c>
      <c r="G103" s="545">
        <v>7.3971349661954164</v>
      </c>
      <c r="H103" s="494">
        <v>156773</v>
      </c>
      <c r="I103" s="545">
        <v>5.4075262411944411</v>
      </c>
      <c r="J103" s="494">
        <v>4588</v>
      </c>
      <c r="K103" s="545">
        <v>0.15825257151805538</v>
      </c>
      <c r="L103" s="494">
        <v>17376</v>
      </c>
      <c r="M103" s="545">
        <v>0.59934539727500669</v>
      </c>
      <c r="N103" s="494">
        <v>214012</v>
      </c>
      <c r="O103" s="545">
        <v>7.381854693923728</v>
      </c>
      <c r="P103" s="494">
        <v>14482</v>
      </c>
      <c r="Q103" s="545">
        <v>0.49952348315703526</v>
      </c>
      <c r="R103" s="494">
        <v>100387</v>
      </c>
      <c r="S103" s="545">
        <v>3.4626200734487846</v>
      </c>
      <c r="T103" s="494">
        <v>2899163</v>
      </c>
      <c r="U103" s="545">
        <v>100</v>
      </c>
    </row>
    <row r="104" spans="1:21" hidden="1" x14ac:dyDescent="0.2">
      <c r="A104" s="38"/>
      <c r="B104" s="38"/>
      <c r="C104" s="38" t="s">
        <v>761</v>
      </c>
      <c r="D104" s="494">
        <v>1828271</v>
      </c>
      <c r="E104" s="545">
        <v>89.936389766283682</v>
      </c>
      <c r="F104" s="494">
        <v>10460</v>
      </c>
      <c r="G104" s="545">
        <v>0.51193346524298111</v>
      </c>
      <c r="H104" s="494">
        <v>74077</v>
      </c>
      <c r="I104" s="545">
        <v>0.96342649975989758</v>
      </c>
      <c r="J104" s="494">
        <v>6319</v>
      </c>
      <c r="K104" s="545">
        <v>0.39457242920751134</v>
      </c>
      <c r="L104" s="494">
        <v>0</v>
      </c>
      <c r="M104" s="545">
        <v>0</v>
      </c>
      <c r="N104" s="494">
        <v>72447</v>
      </c>
      <c r="O104" s="545">
        <v>2.6495737240004322</v>
      </c>
      <c r="P104" s="494">
        <v>21867</v>
      </c>
      <c r="Q104" s="545">
        <v>0.81423618531377995</v>
      </c>
      <c r="R104" s="494">
        <v>19408</v>
      </c>
      <c r="S104" s="545">
        <v>8.8296329073506534</v>
      </c>
      <c r="T104" s="494">
        <v>2032849</v>
      </c>
      <c r="U104" s="545">
        <v>100</v>
      </c>
    </row>
    <row r="105" spans="1:21" x14ac:dyDescent="0.2">
      <c r="A105" s="38">
        <v>29</v>
      </c>
      <c r="B105" s="38" t="s">
        <v>269</v>
      </c>
      <c r="C105" s="38" t="s">
        <v>535</v>
      </c>
      <c r="D105" s="494">
        <v>1828271</v>
      </c>
      <c r="E105" s="545">
        <v>89.936389766283682</v>
      </c>
      <c r="F105" s="494">
        <v>10460</v>
      </c>
      <c r="G105" s="545">
        <v>0.51454879334372594</v>
      </c>
      <c r="H105" s="494">
        <v>74077</v>
      </c>
      <c r="I105" s="545">
        <v>3.6439991361876851</v>
      </c>
      <c r="J105" s="494">
        <v>6319</v>
      </c>
      <c r="K105" s="545">
        <v>0.31084453395210365</v>
      </c>
      <c r="L105" s="494">
        <v>0</v>
      </c>
      <c r="M105" s="545">
        <v>0</v>
      </c>
      <c r="N105" s="494">
        <v>72447</v>
      </c>
      <c r="O105" s="545">
        <v>3.5638161024257089</v>
      </c>
      <c r="P105" s="494">
        <v>21867</v>
      </c>
      <c r="Q105" s="545">
        <v>1.0756824535418026</v>
      </c>
      <c r="R105" s="494">
        <v>19408</v>
      </c>
      <c r="S105" s="545">
        <v>0.9547192142652996</v>
      </c>
      <c r="T105" s="494">
        <v>2032849</v>
      </c>
      <c r="U105" s="545">
        <v>100</v>
      </c>
    </row>
    <row r="106" spans="1:21" hidden="1" x14ac:dyDescent="0.2">
      <c r="A106" s="38"/>
      <c r="B106" s="38"/>
      <c r="C106" s="38" t="s">
        <v>54</v>
      </c>
      <c r="D106" s="494">
        <v>4262676</v>
      </c>
      <c r="E106" s="545">
        <v>73.234494470916573</v>
      </c>
      <c r="F106" s="494">
        <v>429396</v>
      </c>
      <c r="G106" s="545">
        <v>7.377196621989027</v>
      </c>
      <c r="H106" s="494">
        <v>102472</v>
      </c>
      <c r="I106" s="545">
        <v>1.7605103267111468</v>
      </c>
      <c r="J106" s="494">
        <v>41264</v>
      </c>
      <c r="K106" s="545">
        <v>0.70893217777938133</v>
      </c>
      <c r="L106" s="494">
        <v>8907</v>
      </c>
      <c r="M106" s="545">
        <v>0.15302585564853016</v>
      </c>
      <c r="N106" s="494">
        <v>539737</v>
      </c>
      <c r="O106" s="545">
        <v>9.272899545320616</v>
      </c>
      <c r="P106" s="494">
        <v>23545</v>
      </c>
      <c r="Q106" s="545">
        <v>0.4045126048326757</v>
      </c>
      <c r="R106" s="494">
        <v>412588</v>
      </c>
      <c r="S106" s="545">
        <v>7.0884283968020396</v>
      </c>
      <c r="T106" s="494">
        <v>5820585</v>
      </c>
      <c r="U106" s="545">
        <v>100</v>
      </c>
    </row>
    <row r="107" spans="1:21" x14ac:dyDescent="0.2">
      <c r="A107" s="38">
        <v>30</v>
      </c>
      <c r="B107" s="38" t="s">
        <v>258</v>
      </c>
      <c r="C107" s="38" t="s">
        <v>535</v>
      </c>
      <c r="D107" s="494">
        <v>4262676</v>
      </c>
      <c r="E107" s="545">
        <v>73.234494470916573</v>
      </c>
      <c r="F107" s="494">
        <v>429396</v>
      </c>
      <c r="G107" s="545">
        <v>7.377196621989027</v>
      </c>
      <c r="H107" s="494">
        <v>102472</v>
      </c>
      <c r="I107" s="545">
        <v>1.7605103267111468</v>
      </c>
      <c r="J107" s="494">
        <v>41264</v>
      </c>
      <c r="K107" s="545">
        <v>0.70893217777938133</v>
      </c>
      <c r="L107" s="494">
        <v>8907</v>
      </c>
      <c r="M107" s="545">
        <v>0.15302585564853016</v>
      </c>
      <c r="N107" s="494">
        <v>539737</v>
      </c>
      <c r="O107" s="545">
        <v>9.272899545320616</v>
      </c>
      <c r="P107" s="494">
        <v>23545</v>
      </c>
      <c r="Q107" s="545">
        <v>0.4045126048326757</v>
      </c>
      <c r="R107" s="494">
        <v>412588</v>
      </c>
      <c r="S107" s="545">
        <v>7.0884283968020396</v>
      </c>
      <c r="T107" s="494">
        <v>5820585</v>
      </c>
      <c r="U107" s="545">
        <v>100</v>
      </c>
    </row>
    <row r="108" spans="1:21" hidden="1" x14ac:dyDescent="0.2">
      <c r="A108" s="38"/>
      <c r="B108" s="38"/>
      <c r="C108" s="38" t="s">
        <v>318</v>
      </c>
      <c r="D108" s="494">
        <v>2067894</v>
      </c>
      <c r="E108" s="545">
        <v>68.799310640817907</v>
      </c>
      <c r="F108" s="494">
        <v>191183</v>
      </c>
      <c r="G108" s="545">
        <v>6.3607025341934795</v>
      </c>
      <c r="H108" s="494">
        <v>212393</v>
      </c>
      <c r="I108" s="545">
        <v>7.0663641293679653</v>
      </c>
      <c r="J108" s="494">
        <v>0</v>
      </c>
      <c r="K108" s="545">
        <v>0</v>
      </c>
      <c r="L108" s="494">
        <v>28835</v>
      </c>
      <c r="M108" s="545">
        <v>0.95934710499086739</v>
      </c>
      <c r="N108" s="494">
        <v>245397</v>
      </c>
      <c r="O108" s="545">
        <v>8.1644148265456522</v>
      </c>
      <c r="P108" s="494">
        <v>10361</v>
      </c>
      <c r="Q108" s="545">
        <v>0.34471286127311862</v>
      </c>
      <c r="R108" s="494">
        <v>249627</v>
      </c>
      <c r="S108" s="545">
        <v>8.3051479028110009</v>
      </c>
      <c r="T108" s="494">
        <v>3005690</v>
      </c>
      <c r="U108" s="545">
        <v>100</v>
      </c>
    </row>
    <row r="109" spans="1:21" hidden="1" x14ac:dyDescent="0.2">
      <c r="A109" s="38"/>
      <c r="B109" s="38"/>
      <c r="C109" s="38" t="s">
        <v>43</v>
      </c>
      <c r="D109" s="494">
        <v>116103</v>
      </c>
      <c r="E109" s="545">
        <v>53.786499520520337</v>
      </c>
      <c r="F109" s="494">
        <v>10591</v>
      </c>
      <c r="G109" s="545">
        <v>4.9064435580633656</v>
      </c>
      <c r="H109" s="494">
        <v>1827</v>
      </c>
      <c r="I109" s="545">
        <v>0.84638583519797639</v>
      </c>
      <c r="J109" s="494">
        <v>0</v>
      </c>
      <c r="K109" s="545">
        <v>0</v>
      </c>
      <c r="L109" s="494">
        <v>91</v>
      </c>
      <c r="M109" s="545">
        <v>4.2157148879592696E-2</v>
      </c>
      <c r="N109" s="494">
        <v>28861</v>
      </c>
      <c r="O109" s="545">
        <v>13.37030191004313</v>
      </c>
      <c r="P109" s="494">
        <v>5135</v>
      </c>
      <c r="Q109" s="545">
        <v>2.3788676867770167</v>
      </c>
      <c r="R109" s="494">
        <v>53251</v>
      </c>
      <c r="S109" s="545">
        <v>24.669344340518577</v>
      </c>
      <c r="T109" s="494">
        <v>215859</v>
      </c>
      <c r="U109" s="545">
        <v>100</v>
      </c>
    </row>
    <row r="110" spans="1:21" hidden="1" x14ac:dyDescent="0.2">
      <c r="A110" s="38"/>
      <c r="B110" s="38"/>
      <c r="C110" s="38" t="s">
        <v>642</v>
      </c>
      <c r="D110" s="494">
        <v>144035</v>
      </c>
      <c r="E110" s="545">
        <v>89.754854308432414</v>
      </c>
      <c r="F110" s="494">
        <v>5841</v>
      </c>
      <c r="G110" s="545">
        <v>3.6397966050998281</v>
      </c>
      <c r="H110" s="494">
        <v>5491</v>
      </c>
      <c r="I110" s="545">
        <v>3.4216954560183455</v>
      </c>
      <c r="J110" s="494">
        <v>0</v>
      </c>
      <c r="K110" s="545">
        <v>0</v>
      </c>
      <c r="L110" s="494">
        <v>0</v>
      </c>
      <c r="M110" s="545">
        <v>0</v>
      </c>
      <c r="N110" s="494">
        <v>1551</v>
      </c>
      <c r="O110" s="545">
        <v>0.96649966350108429</v>
      </c>
      <c r="P110" s="494">
        <v>0</v>
      </c>
      <c r="Q110" s="545">
        <v>0</v>
      </c>
      <c r="R110" s="494">
        <v>3558</v>
      </c>
      <c r="S110" s="545">
        <v>2.2171539669483287</v>
      </c>
      <c r="T110" s="494">
        <v>160476</v>
      </c>
      <c r="U110" s="545">
        <v>100</v>
      </c>
    </row>
    <row r="111" spans="1:21" x14ac:dyDescent="0.2">
      <c r="A111" s="38">
        <v>31</v>
      </c>
      <c r="B111" s="38" t="s">
        <v>828</v>
      </c>
      <c r="C111" s="38" t="s">
        <v>535</v>
      </c>
      <c r="D111" s="494">
        <f>SUM(D108:D110)</f>
        <v>2328032</v>
      </c>
      <c r="E111" s="545">
        <v>68.835446219350843</v>
      </c>
      <c r="F111" s="494">
        <f>SUM(F108:F110)</f>
        <v>207615</v>
      </c>
      <c r="G111" s="545">
        <v>6.1387778032391838</v>
      </c>
      <c r="H111" s="494">
        <f>SUM(H108:H110)</f>
        <v>219711</v>
      </c>
      <c r="I111" s="545">
        <v>6.4964333498421807</v>
      </c>
      <c r="J111" s="494">
        <f>SUM(J108:J110)</f>
        <v>0</v>
      </c>
      <c r="K111" s="545">
        <v>0</v>
      </c>
      <c r="L111" s="494">
        <f>SUM(L108:L110)</f>
        <v>28926</v>
      </c>
      <c r="M111" s="545">
        <v>0.85528640385567811</v>
      </c>
      <c r="N111" s="494">
        <f>SUM(N108:N110)</f>
        <v>275809</v>
      </c>
      <c r="O111" s="545">
        <v>8.1551437378493663</v>
      </c>
      <c r="P111" s="494">
        <f>SUM(P108:P110)</f>
        <v>15496</v>
      </c>
      <c r="Q111" s="545">
        <v>0.45818703291666973</v>
      </c>
      <c r="R111" s="494">
        <f>SUM(R108:R110)</f>
        <v>306436</v>
      </c>
      <c r="S111" s="545">
        <v>9.060725452946091</v>
      </c>
      <c r="T111" s="494">
        <f>SUM(T108:T110)</f>
        <v>3382025</v>
      </c>
      <c r="U111" s="545">
        <v>100</v>
      </c>
    </row>
    <row r="112" spans="1:21" hidden="1" x14ac:dyDescent="0.2">
      <c r="A112" s="38"/>
      <c r="B112" s="38"/>
      <c r="C112" s="38" t="s">
        <v>7</v>
      </c>
      <c r="D112" s="494">
        <v>9997422</v>
      </c>
      <c r="E112" s="545">
        <v>70.298027287308926</v>
      </c>
      <c r="F112" s="494">
        <v>1137816</v>
      </c>
      <c r="G112" s="545">
        <v>8.0006845980830548</v>
      </c>
      <c r="H112" s="494">
        <v>872142</v>
      </c>
      <c r="I112" s="545">
        <v>6.132567187261694</v>
      </c>
      <c r="J112" s="494">
        <v>441411</v>
      </c>
      <c r="K112" s="545">
        <v>3.1038324202897827</v>
      </c>
      <c r="L112" s="494">
        <v>3803</v>
      </c>
      <c r="M112" s="545">
        <v>2.6741233667403042E-2</v>
      </c>
      <c r="N112" s="494">
        <v>1689680</v>
      </c>
      <c r="O112" s="545">
        <v>11.881180042897073</v>
      </c>
      <c r="P112" s="494">
        <v>78979</v>
      </c>
      <c r="Q112" s="545">
        <v>0.5553499589318498</v>
      </c>
      <c r="R112" s="494">
        <v>230</v>
      </c>
      <c r="S112" s="545">
        <v>1.617271560216329E-3</v>
      </c>
      <c r="T112" s="494">
        <v>14221483</v>
      </c>
      <c r="U112" s="545">
        <v>100</v>
      </c>
    </row>
    <row r="113" spans="1:21" hidden="1" x14ac:dyDescent="0.2">
      <c r="A113" s="38"/>
      <c r="B113" s="38"/>
      <c r="C113" s="38" t="s">
        <v>141</v>
      </c>
      <c r="D113" s="494">
        <v>1109207</v>
      </c>
      <c r="E113" s="545">
        <v>77.36221076535935</v>
      </c>
      <c r="F113" s="494">
        <v>86452</v>
      </c>
      <c r="G113" s="545">
        <v>6.0296390530233284</v>
      </c>
      <c r="H113" s="494">
        <v>98476</v>
      </c>
      <c r="I113" s="545">
        <v>6.8682590962097496</v>
      </c>
      <c r="J113" s="494">
        <v>8168</v>
      </c>
      <c r="K113" s="545">
        <v>0.5696813467021532</v>
      </c>
      <c r="L113" s="494">
        <v>5252</v>
      </c>
      <c r="M113" s="545">
        <v>0.36630343203718269</v>
      </c>
      <c r="N113" s="494">
        <v>114152</v>
      </c>
      <c r="O113" s="545">
        <v>7.961589751315401</v>
      </c>
      <c r="P113" s="494">
        <v>12077</v>
      </c>
      <c r="Q113" s="545">
        <v>0.84231655535282857</v>
      </c>
      <c r="R113" s="494">
        <v>0</v>
      </c>
      <c r="S113" s="545">
        <v>0</v>
      </c>
      <c r="T113" s="494">
        <v>1433784</v>
      </c>
      <c r="U113" s="545">
        <v>100</v>
      </c>
    </row>
    <row r="114" spans="1:21" x14ac:dyDescent="0.2">
      <c r="A114" s="38">
        <v>32</v>
      </c>
      <c r="B114" s="38" t="s">
        <v>452</v>
      </c>
      <c r="C114" s="38" t="s">
        <v>535</v>
      </c>
      <c r="D114" s="494">
        <v>11106629</v>
      </c>
      <c r="E114" s="545">
        <v>70.944998893982458</v>
      </c>
      <c r="F114" s="494">
        <v>1224268</v>
      </c>
      <c r="G114" s="545">
        <v>7.8201668486395022</v>
      </c>
      <c r="H114" s="494">
        <v>970618</v>
      </c>
      <c r="I114" s="545">
        <v>6.1999453602420189</v>
      </c>
      <c r="J114" s="494">
        <v>449579</v>
      </c>
      <c r="K114" s="545">
        <v>2.8717427815188334</v>
      </c>
      <c r="L114" s="494">
        <v>9055</v>
      </c>
      <c r="M114" s="545">
        <v>5.7839958909675568E-2</v>
      </c>
      <c r="N114" s="494">
        <v>1803832</v>
      </c>
      <c r="O114" s="545">
        <v>11.522205274429366</v>
      </c>
      <c r="P114" s="494">
        <v>91056</v>
      </c>
      <c r="Q114" s="545">
        <v>0.58163172815896402</v>
      </c>
      <c r="R114" s="494">
        <v>230</v>
      </c>
      <c r="S114" s="545">
        <v>1.4691541191855751E-3</v>
      </c>
      <c r="T114" s="494">
        <v>15655267</v>
      </c>
      <c r="U114" s="545">
        <v>100</v>
      </c>
    </row>
    <row r="115" spans="1:21" hidden="1" x14ac:dyDescent="0.2">
      <c r="A115" s="38"/>
      <c r="B115" s="38"/>
      <c r="C115" s="38" t="s">
        <v>762</v>
      </c>
      <c r="D115" s="494">
        <v>3282261</v>
      </c>
      <c r="E115" s="545">
        <v>78.919058374781386</v>
      </c>
      <c r="F115" s="494">
        <v>185287</v>
      </c>
      <c r="G115" s="545">
        <v>4.4550617909691264</v>
      </c>
      <c r="H115" s="494">
        <v>328906</v>
      </c>
      <c r="I115" s="545">
        <v>7.9082534307344368</v>
      </c>
      <c r="J115" s="494">
        <v>10369</v>
      </c>
      <c r="K115" s="545">
        <v>0.24931342031852682</v>
      </c>
      <c r="L115" s="494">
        <v>91134</v>
      </c>
      <c r="M115" s="545">
        <v>2.1912363050736445</v>
      </c>
      <c r="N115" s="494">
        <v>181210</v>
      </c>
      <c r="O115" s="545">
        <v>4.3570339373054532</v>
      </c>
      <c r="P115" s="494">
        <v>74881</v>
      </c>
      <c r="Q115" s="545">
        <v>1.8004473167008976</v>
      </c>
      <c r="R115" s="494">
        <v>4974</v>
      </c>
      <c r="S115" s="545">
        <v>0.11959542411653509</v>
      </c>
      <c r="T115" s="494">
        <v>4159022</v>
      </c>
      <c r="U115" s="545">
        <v>100</v>
      </c>
    </row>
    <row r="116" spans="1:21" x14ac:dyDescent="0.2">
      <c r="A116" s="38">
        <v>33</v>
      </c>
      <c r="B116" s="38" t="s">
        <v>531</v>
      </c>
      <c r="C116" s="38" t="s">
        <v>535</v>
      </c>
      <c r="D116" s="494">
        <f>SUM(D115:D115)</f>
        <v>3282261</v>
      </c>
      <c r="E116" s="545">
        <v>78.919058374781386</v>
      </c>
      <c r="F116" s="494">
        <f>SUM(F115:F115)</f>
        <v>185287</v>
      </c>
      <c r="G116" s="545">
        <v>4.4550617909691264</v>
      </c>
      <c r="H116" s="494">
        <f>SUM(H115:H115)</f>
        <v>328906</v>
      </c>
      <c r="I116" s="545">
        <v>7.9082534307344368</v>
      </c>
      <c r="J116" s="494">
        <f>SUM(J115:J115)</f>
        <v>10369</v>
      </c>
      <c r="K116" s="545">
        <v>0.24931342031852682</v>
      </c>
      <c r="L116" s="494">
        <f>SUM(L115:L115)</f>
        <v>91134</v>
      </c>
      <c r="M116" s="545">
        <v>2.1912363050736445</v>
      </c>
      <c r="N116" s="494">
        <f>SUM(N115:N115)</f>
        <v>181210</v>
      </c>
      <c r="O116" s="545">
        <v>4.3570339373054532</v>
      </c>
      <c r="P116" s="494">
        <f>SUM(P115:P115)</f>
        <v>74881</v>
      </c>
      <c r="Q116" s="545">
        <v>1.8004473167008976</v>
      </c>
      <c r="R116" s="494">
        <f>SUM(R115:R115)</f>
        <v>4974</v>
      </c>
      <c r="S116" s="545">
        <v>0.11959542411653509</v>
      </c>
      <c r="T116" s="494">
        <f>SUM(T115:T115)</f>
        <v>4159022</v>
      </c>
      <c r="U116" s="545">
        <v>100</v>
      </c>
    </row>
    <row r="117" spans="1:21" hidden="1" x14ac:dyDescent="0.2">
      <c r="A117" s="38"/>
      <c r="B117" s="38"/>
      <c r="C117" s="38" t="s">
        <v>542</v>
      </c>
      <c r="D117" s="494">
        <v>658076</v>
      </c>
      <c r="E117" s="545">
        <v>74.860903346168939</v>
      </c>
      <c r="F117" s="494">
        <v>66708</v>
      </c>
      <c r="G117" s="545">
        <v>7.5885173451337495</v>
      </c>
      <c r="H117" s="494">
        <v>17177</v>
      </c>
      <c r="I117" s="545">
        <v>1.9540079516304254</v>
      </c>
      <c r="J117" s="494">
        <v>0</v>
      </c>
      <c r="K117" s="545">
        <v>0</v>
      </c>
      <c r="L117" s="494">
        <v>0</v>
      </c>
      <c r="M117" s="545">
        <v>0</v>
      </c>
      <c r="N117" s="494">
        <v>87452</v>
      </c>
      <c r="O117" s="545">
        <v>9.9482973386495885</v>
      </c>
      <c r="P117" s="494">
        <v>8153</v>
      </c>
      <c r="Q117" s="545">
        <v>0.92746270184798618</v>
      </c>
      <c r="R117" s="494">
        <v>41499</v>
      </c>
      <c r="S117" s="545">
        <v>4.7208113165693097</v>
      </c>
      <c r="T117" s="494">
        <v>879065</v>
      </c>
      <c r="U117" s="545">
        <v>100</v>
      </c>
    </row>
    <row r="118" spans="1:21" hidden="1" x14ac:dyDescent="0.2">
      <c r="A118" s="38"/>
      <c r="B118" s="38"/>
      <c r="C118" s="38" t="s">
        <v>61</v>
      </c>
      <c r="D118" s="494">
        <v>9554486</v>
      </c>
      <c r="E118" s="545">
        <v>77.895379450802736</v>
      </c>
      <c r="F118" s="494">
        <v>1360896</v>
      </c>
      <c r="G118" s="545">
        <v>11.09505109045946</v>
      </c>
      <c r="H118" s="494">
        <v>57538</v>
      </c>
      <c r="I118" s="545">
        <v>0.46909319275158157</v>
      </c>
      <c r="J118" s="494">
        <v>150480</v>
      </c>
      <c r="K118" s="545">
        <v>1.2268265084858354</v>
      </c>
      <c r="L118" s="494">
        <v>9329</v>
      </c>
      <c r="M118" s="545">
        <v>7.6057047432644589E-2</v>
      </c>
      <c r="N118" s="494">
        <v>789873</v>
      </c>
      <c r="O118" s="545">
        <v>6.4396407146280712</v>
      </c>
      <c r="P118" s="494">
        <v>55500</v>
      </c>
      <c r="Q118" s="545">
        <v>0.45247787892719205</v>
      </c>
      <c r="R118" s="494">
        <v>287691</v>
      </c>
      <c r="S118" s="545">
        <v>2.3454741165124831</v>
      </c>
      <c r="T118" s="494">
        <v>12265793</v>
      </c>
      <c r="U118" s="545">
        <v>100</v>
      </c>
    </row>
    <row r="119" spans="1:21" hidden="1" x14ac:dyDescent="0.2">
      <c r="A119" s="38"/>
      <c r="B119" s="38"/>
      <c r="C119" s="38" t="s">
        <v>629</v>
      </c>
      <c r="D119" s="494">
        <v>385486</v>
      </c>
      <c r="E119" s="545">
        <v>78.992385308317154</v>
      </c>
      <c r="F119" s="494">
        <v>60029</v>
      </c>
      <c r="G119" s="545">
        <v>12.300923762919975</v>
      </c>
      <c r="H119" s="494">
        <v>7742</v>
      </c>
      <c r="I119" s="545">
        <v>1.5864624060458521</v>
      </c>
      <c r="J119" s="494">
        <v>0</v>
      </c>
      <c r="K119" s="545">
        <v>0</v>
      </c>
      <c r="L119" s="494">
        <v>1479</v>
      </c>
      <c r="M119" s="545">
        <v>0.30307128630093194</v>
      </c>
      <c r="N119" s="494">
        <v>12275</v>
      </c>
      <c r="O119" s="545">
        <v>2.515348234850534</v>
      </c>
      <c r="P119" s="494">
        <v>5181</v>
      </c>
      <c r="Q119" s="545">
        <v>1.0616716256424128</v>
      </c>
      <c r="R119" s="494">
        <v>15812</v>
      </c>
      <c r="S119" s="545">
        <v>3.240137375923148</v>
      </c>
      <c r="T119" s="494">
        <v>488004</v>
      </c>
      <c r="U119" s="545">
        <v>100</v>
      </c>
    </row>
    <row r="120" spans="1:21" hidden="1" x14ac:dyDescent="0.2">
      <c r="A120" s="38"/>
      <c r="B120" s="38"/>
      <c r="C120" s="38" t="s">
        <v>622</v>
      </c>
      <c r="D120" s="494">
        <v>1728959</v>
      </c>
      <c r="E120" s="545">
        <v>65.434434012785175</v>
      </c>
      <c r="F120" s="494">
        <v>218401</v>
      </c>
      <c r="G120" s="545">
        <v>8.2656360404302802</v>
      </c>
      <c r="H120" s="494">
        <v>77038</v>
      </c>
      <c r="I120" s="545">
        <v>2.9155913630554253</v>
      </c>
      <c r="J120" s="494">
        <v>0</v>
      </c>
      <c r="K120" s="545">
        <v>0</v>
      </c>
      <c r="L120" s="494">
        <v>2528</v>
      </c>
      <c r="M120" s="545">
        <v>9.5675056021756993E-2</v>
      </c>
      <c r="N120" s="494">
        <v>401282</v>
      </c>
      <c r="O120" s="545">
        <v>15.186976989921948</v>
      </c>
      <c r="P120" s="494">
        <v>7895</v>
      </c>
      <c r="Q120" s="545">
        <v>0.29879531934009945</v>
      </c>
      <c r="R120" s="494">
        <v>206174</v>
      </c>
      <c r="S120" s="545">
        <v>7.8028912184453025</v>
      </c>
      <c r="T120" s="494">
        <v>2642277</v>
      </c>
      <c r="U120" s="545">
        <v>100</v>
      </c>
    </row>
    <row r="121" spans="1:21" x14ac:dyDescent="0.2">
      <c r="A121" s="38">
        <v>34</v>
      </c>
      <c r="B121" s="38" t="s">
        <v>453</v>
      </c>
      <c r="C121" s="38" t="s">
        <v>535</v>
      </c>
      <c r="D121" s="494">
        <f>SUM(D117:D120)</f>
        <v>12327007</v>
      </c>
      <c r="E121" s="545">
        <f>AVERAGE(E117:E120)</f>
        <v>74.295775529518494</v>
      </c>
      <c r="F121" s="494">
        <f>SUM(F117:F120)</f>
        <v>1706034</v>
      </c>
      <c r="G121" s="545">
        <f>AVERAGE(G117:G120)</f>
        <v>9.8125320597358652</v>
      </c>
      <c r="H121" s="494">
        <f>SUM(H117:H120)</f>
        <v>159495</v>
      </c>
      <c r="I121" s="545">
        <f>AVERAGE(I117:I120)</f>
        <v>1.7312887283708212</v>
      </c>
      <c r="J121" s="494">
        <f>SUM(J117:J120)</f>
        <v>150480</v>
      </c>
      <c r="K121" s="545">
        <f>AVERAGE(K117:K120)</f>
        <v>0.30670662712145885</v>
      </c>
      <c r="L121" s="494">
        <f>SUM(L117:L120)</f>
        <v>13336</v>
      </c>
      <c r="M121" s="545">
        <f>AVERAGE(M117:M120)</f>
        <v>0.11870084743883338</v>
      </c>
      <c r="N121" s="494">
        <f>SUM(N117:N120)</f>
        <v>1290882</v>
      </c>
      <c r="O121" s="545">
        <f>AVERAGE(O117:O120)</f>
        <v>8.5225658195125362</v>
      </c>
      <c r="P121" s="494">
        <f>SUM(P117:P120)</f>
        <v>76729</v>
      </c>
      <c r="Q121" s="545">
        <f>AVERAGE(Q117:Q120)</f>
        <v>0.68510188143942252</v>
      </c>
      <c r="R121" s="494">
        <f>SUM(R117:R120)</f>
        <v>551176</v>
      </c>
      <c r="S121" s="545">
        <f>AVERAGE(S117:S120)</f>
        <v>4.5273285068625606</v>
      </c>
      <c r="T121" s="494">
        <f>SUM(T117:T120)</f>
        <v>16275139</v>
      </c>
      <c r="U121" s="545">
        <v>100</v>
      </c>
    </row>
    <row r="122" spans="1:21" hidden="1" x14ac:dyDescent="0.2">
      <c r="A122" s="38"/>
      <c r="B122" s="38"/>
      <c r="C122" s="38" t="s">
        <v>541</v>
      </c>
      <c r="D122" s="494">
        <v>10772051</v>
      </c>
      <c r="E122" s="545">
        <v>73.115013335349659</v>
      </c>
      <c r="F122" s="494">
        <v>519790</v>
      </c>
      <c r="G122" s="545">
        <v>3.5280609775781233</v>
      </c>
      <c r="H122" s="494">
        <v>413752</v>
      </c>
      <c r="I122" s="545">
        <v>2.8083308366742412</v>
      </c>
      <c r="J122" s="494">
        <v>521211</v>
      </c>
      <c r="K122" s="545">
        <v>3.5377059777688515</v>
      </c>
      <c r="L122" s="494">
        <v>51926</v>
      </c>
      <c r="M122" s="545">
        <v>0.35244636164936155</v>
      </c>
      <c r="N122" s="494">
        <v>1893192</v>
      </c>
      <c r="O122" s="545">
        <v>12.849990993022342</v>
      </c>
      <c r="P122" s="494">
        <v>215653</v>
      </c>
      <c r="Q122" s="545">
        <v>1.4637390753913218</v>
      </c>
      <c r="R122" s="494">
        <v>345447</v>
      </c>
      <c r="S122" s="545">
        <v>2.3447124425660939</v>
      </c>
      <c r="T122" s="494">
        <v>14733022</v>
      </c>
      <c r="U122" s="545">
        <v>100</v>
      </c>
    </row>
    <row r="123" spans="1:21" hidden="1" x14ac:dyDescent="0.2">
      <c r="A123" s="38"/>
      <c r="B123" s="38"/>
      <c r="C123" s="38" t="s">
        <v>6</v>
      </c>
      <c r="D123" s="494">
        <v>1440448</v>
      </c>
      <c r="E123" s="545">
        <v>86.48955032816778</v>
      </c>
      <c r="F123" s="494">
        <v>56832</v>
      </c>
      <c r="G123" s="545">
        <v>3.4123926196922292</v>
      </c>
      <c r="H123" s="494">
        <v>2353</v>
      </c>
      <c r="I123" s="545">
        <v>0.14128237320762624</v>
      </c>
      <c r="J123" s="494">
        <v>0</v>
      </c>
      <c r="K123" s="545">
        <v>0</v>
      </c>
      <c r="L123" s="494">
        <v>32771</v>
      </c>
      <c r="M123" s="545">
        <v>1.9676857851198979</v>
      </c>
      <c r="N123" s="494">
        <v>14361</v>
      </c>
      <c r="O123" s="545">
        <v>0.86228481157446679</v>
      </c>
      <c r="P123" s="494">
        <v>9311</v>
      </c>
      <c r="Q123" s="545">
        <v>0.55906509857042408</v>
      </c>
      <c r="R123" s="494">
        <v>109383</v>
      </c>
      <c r="S123" s="545">
        <v>6.5677389836675664</v>
      </c>
      <c r="T123" s="494">
        <v>1665459</v>
      </c>
      <c r="U123" s="545">
        <v>100</v>
      </c>
    </row>
    <row r="124" spans="1:21" hidden="1" x14ac:dyDescent="0.2">
      <c r="A124" s="38"/>
      <c r="B124" s="38"/>
      <c r="C124" s="38" t="s">
        <v>25</v>
      </c>
      <c r="D124" s="494">
        <v>114092</v>
      </c>
      <c r="E124" s="545">
        <v>95.362754931461041</v>
      </c>
      <c r="F124" s="494">
        <v>562</v>
      </c>
      <c r="G124" s="545">
        <v>0.46974256101638245</v>
      </c>
      <c r="H124" s="494">
        <v>1208</v>
      </c>
      <c r="I124" s="545">
        <v>1.0096957539284519</v>
      </c>
      <c r="J124" s="494">
        <v>0</v>
      </c>
      <c r="K124" s="545">
        <v>0</v>
      </c>
      <c r="L124" s="494">
        <v>0</v>
      </c>
      <c r="M124" s="545">
        <v>0</v>
      </c>
      <c r="N124" s="494">
        <v>466</v>
      </c>
      <c r="O124" s="545">
        <v>0.38950183884988299</v>
      </c>
      <c r="P124" s="494">
        <v>2083</v>
      </c>
      <c r="Q124" s="545">
        <v>1.741056502841859</v>
      </c>
      <c r="R124" s="494">
        <v>1229</v>
      </c>
      <c r="S124" s="545">
        <v>1.0272484119023737</v>
      </c>
      <c r="T124" s="494">
        <v>119640</v>
      </c>
      <c r="U124" s="545">
        <v>100</v>
      </c>
    </row>
    <row r="125" spans="1:21" x14ac:dyDescent="0.2">
      <c r="A125" s="38">
        <v>35</v>
      </c>
      <c r="B125" s="38" t="s">
        <v>454</v>
      </c>
      <c r="C125" s="38" t="s">
        <v>535</v>
      </c>
      <c r="D125" s="494">
        <f>SUM(D122:D124)</f>
        <v>12326591</v>
      </c>
      <c r="E125" s="545">
        <v>74.624656157924989</v>
      </c>
      <c r="F125" s="494">
        <f>SUM(F122:F124)</f>
        <v>577184</v>
      </c>
      <c r="G125" s="545">
        <v>3.4942473178396014</v>
      </c>
      <c r="H125" s="494">
        <f>SUM(H122:H124)</f>
        <v>417313</v>
      </c>
      <c r="I125" s="545">
        <v>2.5263951026875273</v>
      </c>
      <c r="J125" s="494">
        <f>SUM(J122:J124)</f>
        <v>521211</v>
      </c>
      <c r="K125" s="545">
        <v>3.1553891632105127</v>
      </c>
      <c r="L125" s="494">
        <f>SUM(L122:L124)</f>
        <v>84697</v>
      </c>
      <c r="M125" s="545">
        <v>0.51275202548764476</v>
      </c>
      <c r="N125" s="494">
        <f>SUM(N122:N124)</f>
        <v>1908019</v>
      </c>
      <c r="O125" s="545">
        <v>11.55106564481517</v>
      </c>
      <c r="P125" s="494">
        <f>SUM(P122:P124)</f>
        <v>227047</v>
      </c>
      <c r="Q125" s="545">
        <v>1.3745328539487027</v>
      </c>
      <c r="R125" s="494">
        <f>SUM(R122:R124)</f>
        <v>456059</v>
      </c>
      <c r="S125" s="545">
        <v>2.7609617340858561</v>
      </c>
      <c r="T125" s="494">
        <f>SUM(T122:T124)</f>
        <v>16518121</v>
      </c>
      <c r="U125" s="545">
        <v>100</v>
      </c>
    </row>
    <row r="126" spans="1:21" hidden="1" x14ac:dyDescent="0.2">
      <c r="A126" s="38"/>
      <c r="B126" s="38"/>
      <c r="C126" s="38" t="s">
        <v>346</v>
      </c>
      <c r="D126" s="494">
        <v>11974173</v>
      </c>
      <c r="E126" s="545">
        <v>72.110305855532403</v>
      </c>
      <c r="F126" s="494">
        <v>1023209</v>
      </c>
      <c r="G126" s="545">
        <v>6.1619214908731861</v>
      </c>
      <c r="H126" s="494">
        <v>719842</v>
      </c>
      <c r="I126" s="545">
        <v>4.3349989003548011</v>
      </c>
      <c r="J126" s="494">
        <v>98031</v>
      </c>
      <c r="K126" s="545">
        <v>0.59035771349918664</v>
      </c>
      <c r="L126" s="494">
        <v>18668</v>
      </c>
      <c r="M126" s="545">
        <v>0.11242155844174614</v>
      </c>
      <c r="N126" s="494">
        <v>1494872</v>
      </c>
      <c r="O126" s="545">
        <v>9.0023483989141813</v>
      </c>
      <c r="P126" s="494">
        <v>134430</v>
      </c>
      <c r="Q126" s="545">
        <v>0.80955807270858882</v>
      </c>
      <c r="R126" s="494">
        <v>1142131</v>
      </c>
      <c r="S126" s="545">
        <v>6.8780880096759143</v>
      </c>
      <c r="T126" s="494">
        <v>16605356</v>
      </c>
      <c r="U126" s="545">
        <v>100</v>
      </c>
    </row>
    <row r="127" spans="1:21" x14ac:dyDescent="0.2">
      <c r="A127" s="38">
        <v>36</v>
      </c>
      <c r="B127" s="38" t="s">
        <v>455</v>
      </c>
      <c r="C127" s="38" t="s">
        <v>535</v>
      </c>
      <c r="D127" s="494">
        <v>11974173</v>
      </c>
      <c r="E127" s="545">
        <v>72.110305855532403</v>
      </c>
      <c r="F127" s="494">
        <v>1023209</v>
      </c>
      <c r="G127" s="545">
        <v>6.1619214908731861</v>
      </c>
      <c r="H127" s="494">
        <v>719842</v>
      </c>
      <c r="I127" s="545">
        <v>4.3349989003548011</v>
      </c>
      <c r="J127" s="494">
        <v>98031</v>
      </c>
      <c r="K127" s="545">
        <v>0.59035771349918664</v>
      </c>
      <c r="L127" s="494">
        <v>18668</v>
      </c>
      <c r="M127" s="545">
        <v>0.11242155844174614</v>
      </c>
      <c r="N127" s="494">
        <v>1494872</v>
      </c>
      <c r="O127" s="545">
        <v>9.0023483989141813</v>
      </c>
      <c r="P127" s="494">
        <v>134430</v>
      </c>
      <c r="Q127" s="545">
        <v>0.80955807270858882</v>
      </c>
      <c r="R127" s="494">
        <v>1142131</v>
      </c>
      <c r="S127" s="545">
        <v>6.8780880096759143</v>
      </c>
      <c r="T127" s="494">
        <v>16605356</v>
      </c>
      <c r="U127" s="545">
        <v>100</v>
      </c>
    </row>
    <row r="128" spans="1:21" hidden="1" x14ac:dyDescent="0.2">
      <c r="A128" s="38"/>
      <c r="B128" s="38"/>
      <c r="C128" s="38" t="s">
        <v>540</v>
      </c>
      <c r="D128" s="494">
        <v>2527181</v>
      </c>
      <c r="E128" s="545">
        <v>79.31424299553494</v>
      </c>
      <c r="F128" s="494">
        <v>239779</v>
      </c>
      <c r="G128" s="545">
        <v>7.5253374693883694</v>
      </c>
      <c r="H128" s="494">
        <v>30199</v>
      </c>
      <c r="I128" s="545">
        <v>0.94777968978959537</v>
      </c>
      <c r="J128" s="494">
        <v>0</v>
      </c>
      <c r="K128" s="545">
        <v>0</v>
      </c>
      <c r="L128" s="494">
        <v>5244</v>
      </c>
      <c r="M128" s="545">
        <v>0.16458017461692898</v>
      </c>
      <c r="N128" s="494">
        <v>134573</v>
      </c>
      <c r="O128" s="545">
        <v>4.2235026389633834</v>
      </c>
      <c r="P128" s="494">
        <v>23406</v>
      </c>
      <c r="Q128" s="545">
        <v>0.73458496702590381</v>
      </c>
      <c r="R128" s="494">
        <v>225907</v>
      </c>
      <c r="S128" s="545">
        <v>7.0899720646808868</v>
      </c>
      <c r="T128" s="494">
        <v>3186289</v>
      </c>
      <c r="U128" s="545">
        <v>100</v>
      </c>
    </row>
    <row r="129" spans="1:21" x14ac:dyDescent="0.2">
      <c r="A129" s="38">
        <v>37</v>
      </c>
      <c r="B129" s="38" t="s">
        <v>658</v>
      </c>
      <c r="C129" s="38" t="s">
        <v>535</v>
      </c>
      <c r="D129" s="494">
        <v>2527181</v>
      </c>
      <c r="E129" s="545">
        <v>79.31424299553494</v>
      </c>
      <c r="F129" s="494">
        <v>239779</v>
      </c>
      <c r="G129" s="545">
        <v>7.5253374693883694</v>
      </c>
      <c r="H129" s="494">
        <v>30199</v>
      </c>
      <c r="I129" s="545">
        <v>0.94777968978959537</v>
      </c>
      <c r="J129" s="494">
        <v>0</v>
      </c>
      <c r="K129" s="545">
        <v>0</v>
      </c>
      <c r="L129" s="494">
        <v>5244</v>
      </c>
      <c r="M129" s="545">
        <v>0.16458017461692898</v>
      </c>
      <c r="N129" s="494">
        <v>134573</v>
      </c>
      <c r="O129" s="545">
        <v>4.2235026389633834</v>
      </c>
      <c r="P129" s="494">
        <v>23406</v>
      </c>
      <c r="Q129" s="545">
        <v>0.73458496702590381</v>
      </c>
      <c r="R129" s="494">
        <v>225907</v>
      </c>
      <c r="S129" s="545">
        <v>7.0899720646808868</v>
      </c>
      <c r="T129" s="494">
        <v>3186289</v>
      </c>
      <c r="U129" s="545">
        <v>100</v>
      </c>
    </row>
    <row r="130" spans="1:21" hidden="1" x14ac:dyDescent="0.2">
      <c r="A130" s="38"/>
      <c r="B130" s="38"/>
      <c r="C130" s="38" t="s">
        <v>763</v>
      </c>
      <c r="D130" s="494">
        <v>1095191</v>
      </c>
      <c r="E130" s="545">
        <v>69.349112201225523</v>
      </c>
      <c r="F130" s="494">
        <v>235164</v>
      </c>
      <c r="G130" s="545">
        <v>14.890931921179959</v>
      </c>
      <c r="H130" s="494">
        <v>30101</v>
      </c>
      <c r="I130" s="545">
        <v>1.906039792482854</v>
      </c>
      <c r="J130" s="494">
        <v>0</v>
      </c>
      <c r="K130" s="545">
        <v>0</v>
      </c>
      <c r="L130" s="494">
        <v>11901</v>
      </c>
      <c r="M130" s="545">
        <v>0.7535889030377213</v>
      </c>
      <c r="N130" s="494">
        <v>79852</v>
      </c>
      <c r="O130" s="545">
        <v>5.0563466167017994</v>
      </c>
      <c r="P130" s="494">
        <v>4617</v>
      </c>
      <c r="Q130" s="545">
        <v>0.29235526134989992</v>
      </c>
      <c r="R130" s="494">
        <v>122417</v>
      </c>
      <c r="S130" s="545">
        <v>7.7516253040222427</v>
      </c>
      <c r="T130" s="494">
        <v>1579243</v>
      </c>
      <c r="U130" s="545">
        <v>100</v>
      </c>
    </row>
    <row r="131" spans="1:21" hidden="1" x14ac:dyDescent="0.2">
      <c r="A131" s="38"/>
      <c r="B131" s="38"/>
      <c r="C131" s="38" t="s">
        <v>127</v>
      </c>
      <c r="D131" s="494">
        <v>1630861</v>
      </c>
      <c r="E131" s="545">
        <v>70.046764817807045</v>
      </c>
      <c r="F131" s="494">
        <v>331439</v>
      </c>
      <c r="G131" s="545">
        <v>14.23556617299031</v>
      </c>
      <c r="H131" s="494">
        <v>112156</v>
      </c>
      <c r="I131" s="545">
        <v>4.8171885616897869</v>
      </c>
      <c r="J131" s="494">
        <v>6307</v>
      </c>
      <c r="K131" s="545">
        <v>0.27089061894662336</v>
      </c>
      <c r="L131" s="494">
        <v>1444</v>
      </c>
      <c r="M131" s="545">
        <v>6.202093765005931E-2</v>
      </c>
      <c r="N131" s="494">
        <v>79719</v>
      </c>
      <c r="O131" s="545">
        <v>3.4239938563193064</v>
      </c>
      <c r="P131" s="494">
        <v>10092</v>
      </c>
      <c r="Q131" s="545">
        <v>0.43345935094487437</v>
      </c>
      <c r="R131" s="494">
        <v>156228</v>
      </c>
      <c r="S131" s="545">
        <v>6.7101156836519849</v>
      </c>
      <c r="T131" s="494">
        <v>2328246</v>
      </c>
      <c r="U131" s="545">
        <v>100</v>
      </c>
    </row>
    <row r="132" spans="1:21" hidden="1" x14ac:dyDescent="0.2">
      <c r="A132" s="38"/>
      <c r="B132" s="38"/>
      <c r="C132" s="38" t="s">
        <v>764</v>
      </c>
      <c r="D132" s="494">
        <v>372288</v>
      </c>
      <c r="E132" s="545">
        <v>58.058056809214733</v>
      </c>
      <c r="F132" s="494">
        <v>189429</v>
      </c>
      <c r="G132" s="545">
        <v>29.541321888733286</v>
      </c>
      <c r="H132" s="494">
        <v>30744</v>
      </c>
      <c r="I132" s="545">
        <v>4.794505593901758</v>
      </c>
      <c r="J132" s="494">
        <v>0</v>
      </c>
      <c r="K132" s="545">
        <v>0</v>
      </c>
      <c r="L132" s="494">
        <v>0</v>
      </c>
      <c r="M132" s="545">
        <v>0</v>
      </c>
      <c r="N132" s="494">
        <v>19683</v>
      </c>
      <c r="O132" s="545">
        <v>3.0695502733791411</v>
      </c>
      <c r="P132" s="494">
        <v>4272</v>
      </c>
      <c r="Q132" s="545">
        <v>0.66621545332904997</v>
      </c>
      <c r="R132" s="494">
        <v>24818</v>
      </c>
      <c r="S132" s="545">
        <v>3.8703499814420317</v>
      </c>
      <c r="T132" s="494">
        <v>641234</v>
      </c>
      <c r="U132" s="545">
        <v>100</v>
      </c>
    </row>
    <row r="133" spans="1:21" hidden="1" x14ac:dyDescent="0.2">
      <c r="A133" s="38"/>
      <c r="B133" s="38"/>
      <c r="C133" s="38" t="s">
        <v>130</v>
      </c>
      <c r="D133" s="494">
        <v>164743</v>
      </c>
      <c r="E133" s="545">
        <v>37.990203991273994</v>
      </c>
      <c r="F133" s="494">
        <v>89354</v>
      </c>
      <c r="G133" s="545">
        <v>20.605286339548847</v>
      </c>
      <c r="H133" s="494">
        <v>35842</v>
      </c>
      <c r="I133" s="545">
        <v>8.2652670611512615</v>
      </c>
      <c r="J133" s="494">
        <v>0</v>
      </c>
      <c r="K133" s="545">
        <v>0</v>
      </c>
      <c r="L133" s="494">
        <v>741</v>
      </c>
      <c r="M133" s="545">
        <v>0.17087670588452333</v>
      </c>
      <c r="N133" s="494">
        <v>107810</v>
      </c>
      <c r="O133" s="545">
        <v>24.861292390567421</v>
      </c>
      <c r="P133" s="494">
        <v>575</v>
      </c>
      <c r="Q133" s="545">
        <v>0.1325966341209189</v>
      </c>
      <c r="R133" s="494">
        <v>34581</v>
      </c>
      <c r="S133" s="545">
        <v>7.9744768774530375</v>
      </c>
      <c r="T133" s="494">
        <v>433646</v>
      </c>
      <c r="U133" s="545">
        <v>100</v>
      </c>
    </row>
    <row r="134" spans="1:21" x14ac:dyDescent="0.2">
      <c r="A134" s="38">
        <v>38</v>
      </c>
      <c r="B134" s="38" t="s">
        <v>267</v>
      </c>
      <c r="C134" s="38" t="s">
        <v>535</v>
      </c>
      <c r="D134" s="494">
        <v>3263083</v>
      </c>
      <c r="E134" s="545">
        <v>65.492600006141657</v>
      </c>
      <c r="F134" s="494">
        <v>845386</v>
      </c>
      <c r="G134" s="545">
        <v>16.967550978259538</v>
      </c>
      <c r="H134" s="494">
        <v>208843</v>
      </c>
      <c r="I134" s="545">
        <v>4.1916405629530855</v>
      </c>
      <c r="J134" s="494">
        <v>6307</v>
      </c>
      <c r="K134" s="545">
        <v>0.12658636885385244</v>
      </c>
      <c r="L134" s="494">
        <v>14086</v>
      </c>
      <c r="M134" s="545">
        <v>0.28271691639057644</v>
      </c>
      <c r="N134" s="494">
        <v>287064</v>
      </c>
      <c r="O134" s="545">
        <v>5.7615965417254316</v>
      </c>
      <c r="P134" s="494">
        <v>19556</v>
      </c>
      <c r="Q134" s="545">
        <v>0.39250404777325804</v>
      </c>
      <c r="R134" s="494">
        <v>338044</v>
      </c>
      <c r="S134" s="545">
        <v>6.7848045779026007</v>
      </c>
      <c r="T134" s="494">
        <v>4982369</v>
      </c>
      <c r="U134" s="545">
        <v>100</v>
      </c>
    </row>
    <row r="135" spans="1:21" hidden="1" x14ac:dyDescent="0.2">
      <c r="A135" s="38"/>
      <c r="B135" s="38"/>
      <c r="C135" s="38" t="s">
        <v>765</v>
      </c>
      <c r="D135" s="494">
        <v>887967</v>
      </c>
      <c r="E135" s="545">
        <v>77.197269827525503</v>
      </c>
      <c r="F135" s="494">
        <v>103402</v>
      </c>
      <c r="G135" s="545">
        <v>8.9894693099020486</v>
      </c>
      <c r="H135" s="494">
        <v>4845</v>
      </c>
      <c r="I135" s="545">
        <v>0.42121021649944318</v>
      </c>
      <c r="J135" s="494">
        <v>1349</v>
      </c>
      <c r="K135" s="545">
        <v>0.11727813871160966</v>
      </c>
      <c r="L135" s="494">
        <v>1098</v>
      </c>
      <c r="M135" s="545">
        <v>9.5456928321236034E-2</v>
      </c>
      <c r="N135" s="494">
        <v>128569</v>
      </c>
      <c r="O135" s="545">
        <v>11.177415134183057</v>
      </c>
      <c r="P135" s="494">
        <v>21576</v>
      </c>
      <c r="Q135" s="545">
        <v>1.8757547226402449</v>
      </c>
      <c r="R135" s="494">
        <v>1451</v>
      </c>
      <c r="S135" s="545">
        <v>0.1261457222168611</v>
      </c>
      <c r="T135" s="494">
        <v>1150257</v>
      </c>
      <c r="U135" s="545">
        <v>100</v>
      </c>
    </row>
    <row r="136" spans="1:21" hidden="1" x14ac:dyDescent="0.2">
      <c r="A136" s="38"/>
      <c r="B136" s="38"/>
      <c r="C136" s="38" t="s">
        <v>766</v>
      </c>
      <c r="D136" s="494">
        <v>1077851</v>
      </c>
      <c r="E136" s="545">
        <v>84.205925229176458</v>
      </c>
      <c r="F136" s="494">
        <v>82043</v>
      </c>
      <c r="G136" s="545">
        <v>6.4095192411356718</v>
      </c>
      <c r="H136" s="494">
        <v>12596</v>
      </c>
      <c r="I136" s="545">
        <v>0.98404866181569328</v>
      </c>
      <c r="J136" s="494">
        <v>71778</v>
      </c>
      <c r="K136" s="545">
        <v>5.607577393442905</v>
      </c>
      <c r="L136" s="494">
        <v>480</v>
      </c>
      <c r="M136" s="545">
        <v>3.749947266366567E-2</v>
      </c>
      <c r="N136" s="494">
        <v>24518</v>
      </c>
      <c r="O136" s="545">
        <v>1.9154418140994893</v>
      </c>
      <c r="P136" s="494">
        <v>10180</v>
      </c>
      <c r="Q136" s="545">
        <v>0.79530131607524268</v>
      </c>
      <c r="R136" s="494">
        <v>572</v>
      </c>
      <c r="S136" s="545">
        <v>4.4686871590868253E-2</v>
      </c>
      <c r="T136" s="494">
        <v>1280018</v>
      </c>
      <c r="U136" s="545">
        <v>100</v>
      </c>
    </row>
    <row r="137" spans="1:21" hidden="1" x14ac:dyDescent="0.2">
      <c r="A137" s="38"/>
      <c r="B137" s="38"/>
      <c r="C137" s="38" t="s">
        <v>115</v>
      </c>
      <c r="D137" s="494">
        <v>381822</v>
      </c>
      <c r="E137" s="545">
        <v>89.22471508390332</v>
      </c>
      <c r="F137" s="494">
        <v>3346</v>
      </c>
      <c r="G137" s="545">
        <v>0.7818981008709307</v>
      </c>
      <c r="H137" s="494">
        <v>1440</v>
      </c>
      <c r="I137" s="545">
        <v>0.33650127473225949</v>
      </c>
      <c r="J137" s="494">
        <v>181</v>
      </c>
      <c r="K137" s="545">
        <v>4.2296340782318725E-2</v>
      </c>
      <c r="L137" s="494">
        <v>492</v>
      </c>
      <c r="M137" s="545">
        <v>0.11497126886685531</v>
      </c>
      <c r="N137" s="494">
        <v>38910</v>
      </c>
      <c r="O137" s="545">
        <v>9.0925448609945949</v>
      </c>
      <c r="P137" s="494">
        <v>1716</v>
      </c>
      <c r="Q137" s="545">
        <v>0.40099735238927592</v>
      </c>
      <c r="R137" s="494">
        <v>26</v>
      </c>
      <c r="S137" s="545">
        <v>6.0757174604435743E-3</v>
      </c>
      <c r="T137" s="494">
        <v>427933</v>
      </c>
      <c r="U137" s="545">
        <v>100</v>
      </c>
    </row>
    <row r="138" spans="1:21" x14ac:dyDescent="0.2">
      <c r="A138" s="38">
        <v>39</v>
      </c>
      <c r="B138" s="38" t="s">
        <v>270</v>
      </c>
      <c r="C138" s="38" t="s">
        <v>535</v>
      </c>
      <c r="D138" s="494">
        <v>2347640</v>
      </c>
      <c r="E138" s="545">
        <v>82.136779408636457</v>
      </c>
      <c r="F138" s="494">
        <v>188791</v>
      </c>
      <c r="G138" s="545">
        <v>6.6052225730247756</v>
      </c>
      <c r="H138" s="494">
        <v>18881</v>
      </c>
      <c r="I138" s="545">
        <v>0.66058873252051631</v>
      </c>
      <c r="J138" s="494">
        <v>73308</v>
      </c>
      <c r="K138" s="545">
        <v>2.5648238336748062</v>
      </c>
      <c r="L138" s="494">
        <v>2070</v>
      </c>
      <c r="M138" s="545">
        <v>7.2423000705337054E-2</v>
      </c>
      <c r="N138" s="494">
        <v>191997</v>
      </c>
      <c r="O138" s="545">
        <v>6.7173907567258926</v>
      </c>
      <c r="P138" s="494">
        <v>33472</v>
      </c>
      <c r="Q138" s="545">
        <v>1.1710834201009863</v>
      </c>
      <c r="R138" s="494">
        <v>2049</v>
      </c>
      <c r="S138" s="545">
        <v>7.1688274611224928E-2</v>
      </c>
      <c r="T138" s="494">
        <v>2858208</v>
      </c>
      <c r="U138" s="545">
        <v>100</v>
      </c>
    </row>
    <row r="139" spans="1:21" hidden="1" x14ac:dyDescent="0.2">
      <c r="A139" s="38"/>
      <c r="B139" s="38"/>
      <c r="C139" s="38" t="s">
        <v>767</v>
      </c>
      <c r="D139" s="494">
        <v>863263</v>
      </c>
      <c r="E139" s="545">
        <v>78.074525342071155</v>
      </c>
      <c r="F139" s="494">
        <v>116882</v>
      </c>
      <c r="G139" s="545">
        <v>10.57094613232811</v>
      </c>
      <c r="H139" s="494">
        <v>68125</v>
      </c>
      <c r="I139" s="545">
        <v>6.1613054641848404</v>
      </c>
      <c r="J139" s="494">
        <v>0</v>
      </c>
      <c r="K139" s="545">
        <v>0</v>
      </c>
      <c r="L139" s="494">
        <v>352</v>
      </c>
      <c r="M139" s="545">
        <v>3.1835295756228454E-2</v>
      </c>
      <c r="N139" s="494">
        <v>37246</v>
      </c>
      <c r="O139" s="545">
        <v>3.3685722322059233</v>
      </c>
      <c r="P139" s="494">
        <v>18215</v>
      </c>
      <c r="Q139" s="545">
        <v>1.6473861142036972</v>
      </c>
      <c r="R139" s="494">
        <v>1608</v>
      </c>
      <c r="S139" s="545">
        <v>0.14542941925004366</v>
      </c>
      <c r="T139" s="494">
        <v>1105691</v>
      </c>
      <c r="U139" s="545">
        <v>100</v>
      </c>
    </row>
    <row r="140" spans="1:21" hidden="1" x14ac:dyDescent="0.2">
      <c r="A140" s="38"/>
      <c r="B140" s="38"/>
      <c r="C140" s="38" t="s">
        <v>768</v>
      </c>
      <c r="D140" s="494">
        <v>1174905</v>
      </c>
      <c r="E140" s="545">
        <v>85.975117155142385</v>
      </c>
      <c r="F140" s="494">
        <v>110106</v>
      </c>
      <c r="G140" s="545">
        <v>8.0571418535831469</v>
      </c>
      <c r="H140" s="494">
        <v>68458</v>
      </c>
      <c r="I140" s="545">
        <v>5.0094982745045238</v>
      </c>
      <c r="J140" s="494">
        <v>0</v>
      </c>
      <c r="K140" s="545">
        <v>0</v>
      </c>
      <c r="L140" s="494">
        <v>112</v>
      </c>
      <c r="M140" s="545">
        <v>8.1957376310220365E-3</v>
      </c>
      <c r="N140" s="494">
        <v>8814</v>
      </c>
      <c r="O140" s="545">
        <v>0.64497528106989499</v>
      </c>
      <c r="P140" s="494">
        <v>4060</v>
      </c>
      <c r="Q140" s="545">
        <v>0.29709548912454886</v>
      </c>
      <c r="R140" s="494">
        <v>109</v>
      </c>
      <c r="S140" s="545">
        <v>7.976208944476806E-3</v>
      </c>
      <c r="T140" s="494">
        <v>1366564</v>
      </c>
      <c r="U140" s="545">
        <v>100</v>
      </c>
    </row>
    <row r="141" spans="1:21" hidden="1" x14ac:dyDescent="0.2">
      <c r="A141" s="38"/>
      <c r="B141" s="38"/>
      <c r="C141" s="38" t="s">
        <v>769</v>
      </c>
      <c r="D141" s="494">
        <v>320643</v>
      </c>
      <c r="E141" s="545">
        <v>82.727153107270297</v>
      </c>
      <c r="F141" s="494">
        <v>53450</v>
      </c>
      <c r="G141" s="545">
        <v>13.790309888516502</v>
      </c>
      <c r="H141" s="494">
        <v>4141</v>
      </c>
      <c r="I141" s="545">
        <v>1.0683942609606518</v>
      </c>
      <c r="J141" s="494">
        <v>0</v>
      </c>
      <c r="K141" s="545">
        <v>0</v>
      </c>
      <c r="L141" s="494">
        <v>27</v>
      </c>
      <c r="M141" s="545">
        <v>6.9661060241336869E-3</v>
      </c>
      <c r="N141" s="494">
        <v>8180</v>
      </c>
      <c r="O141" s="545">
        <v>2.1104721213856878</v>
      </c>
      <c r="P141" s="494">
        <v>1150</v>
      </c>
      <c r="Q141" s="545">
        <v>0.29670451584273116</v>
      </c>
      <c r="R141" s="494">
        <v>0</v>
      </c>
      <c r="S141" s="545">
        <v>0</v>
      </c>
      <c r="T141" s="494">
        <v>387591</v>
      </c>
      <c r="U141" s="545">
        <v>100</v>
      </c>
    </row>
    <row r="142" spans="1:21" hidden="1" x14ac:dyDescent="0.2">
      <c r="A142" s="38"/>
      <c r="B142" s="38"/>
      <c r="C142" s="38" t="s">
        <v>770</v>
      </c>
      <c r="D142" s="494">
        <v>715337</v>
      </c>
      <c r="E142" s="545">
        <v>76.150799100247085</v>
      </c>
      <c r="F142" s="494">
        <v>144522</v>
      </c>
      <c r="G142" s="545">
        <v>15.385008447159743</v>
      </c>
      <c r="H142" s="494">
        <v>23964</v>
      </c>
      <c r="I142" s="545">
        <v>2.5510741785177071</v>
      </c>
      <c r="J142" s="494">
        <v>0</v>
      </c>
      <c r="K142" s="545">
        <v>0</v>
      </c>
      <c r="L142" s="494">
        <v>100</v>
      </c>
      <c r="M142" s="545">
        <v>1.0645443909688312E-2</v>
      </c>
      <c r="N142" s="494">
        <v>50699</v>
      </c>
      <c r="O142" s="545">
        <v>5.3971336077728775</v>
      </c>
      <c r="P142" s="494">
        <v>4747</v>
      </c>
      <c r="Q142" s="545">
        <v>0.50533922239290419</v>
      </c>
      <c r="R142" s="494">
        <v>0</v>
      </c>
      <c r="S142" s="545">
        <v>0</v>
      </c>
      <c r="T142" s="494">
        <v>939369</v>
      </c>
      <c r="U142" s="545">
        <v>100</v>
      </c>
    </row>
    <row r="143" spans="1:21" hidden="1" x14ac:dyDescent="0.2">
      <c r="A143" s="38"/>
      <c r="B143" s="38"/>
      <c r="C143" s="38" t="s">
        <v>771</v>
      </c>
      <c r="D143" s="494">
        <v>699744</v>
      </c>
      <c r="E143" s="545">
        <v>83.645604967019622</v>
      </c>
      <c r="F143" s="494">
        <v>94835</v>
      </c>
      <c r="G143" s="545">
        <v>11.336332926109129</v>
      </c>
      <c r="H143" s="494">
        <v>11160</v>
      </c>
      <c r="I143" s="545">
        <v>1.3340378073008685</v>
      </c>
      <c r="J143" s="494">
        <v>0</v>
      </c>
      <c r="K143" s="545">
        <v>0</v>
      </c>
      <c r="L143" s="494">
        <v>77</v>
      </c>
      <c r="M143" s="545">
        <v>9.2043827206242726E-3</v>
      </c>
      <c r="N143" s="494">
        <v>17808</v>
      </c>
      <c r="O143" s="545">
        <v>2.1287226946607407</v>
      </c>
      <c r="P143" s="494">
        <v>12934</v>
      </c>
      <c r="Q143" s="545">
        <v>1.5460972221890175</v>
      </c>
      <c r="R143" s="494">
        <v>0</v>
      </c>
      <c r="S143" s="545">
        <v>0</v>
      </c>
      <c r="T143" s="494">
        <v>836558</v>
      </c>
      <c r="U143" s="545">
        <v>100</v>
      </c>
    </row>
    <row r="144" spans="1:21" x14ac:dyDescent="0.2">
      <c r="A144" s="38">
        <v>40</v>
      </c>
      <c r="B144" s="38" t="s">
        <v>259</v>
      </c>
      <c r="C144" s="38" t="s">
        <v>535</v>
      </c>
      <c r="D144" s="494">
        <f>SUM(D139:D143)</f>
        <v>3773892</v>
      </c>
      <c r="E144" s="545">
        <v>81.408041334206828</v>
      </c>
      <c r="F144" s="494">
        <f>SUM(F139:F143)</f>
        <v>519795</v>
      </c>
      <c r="G144" s="545">
        <v>11.212693115042519</v>
      </c>
      <c r="H144" s="494">
        <f>SUM(H139:H143)</f>
        <v>175848</v>
      </c>
      <c r="I144" s="545">
        <v>3.7932832345328382</v>
      </c>
      <c r="J144" s="494">
        <f>SUM(J139:J143)</f>
        <v>0</v>
      </c>
      <c r="K144" s="545">
        <v>0</v>
      </c>
      <c r="L144" s="494">
        <f>SUM(L139:L143)</f>
        <v>668</v>
      </c>
      <c r="M144" s="545">
        <v>1.440967881731914E-2</v>
      </c>
      <c r="N144" s="494">
        <f>SUM(N139:N143)</f>
        <v>122747</v>
      </c>
      <c r="O144" s="545">
        <v>2.647821625433342</v>
      </c>
      <c r="P144" s="494">
        <f>SUM(P139:P143)</f>
        <v>41106</v>
      </c>
      <c r="Q144" s="545">
        <v>0.8867129602765278</v>
      </c>
      <c r="R144" s="494">
        <f>SUM(R139:R143)</f>
        <v>1717</v>
      </c>
      <c r="S144" s="545">
        <v>3.7038051690624192E-2</v>
      </c>
      <c r="T144" s="494">
        <f>SUM(T139:T143)</f>
        <v>4635773</v>
      </c>
      <c r="U144" s="545">
        <v>100</v>
      </c>
    </row>
    <row r="145" spans="1:21" hidden="1" x14ac:dyDescent="0.2">
      <c r="A145" s="38"/>
      <c r="B145" s="38"/>
      <c r="C145" s="38" t="s">
        <v>772</v>
      </c>
      <c r="D145" s="494">
        <v>855420</v>
      </c>
      <c r="E145" s="545">
        <v>74.851617182393397</v>
      </c>
      <c r="F145" s="494">
        <v>97737</v>
      </c>
      <c r="G145" s="545">
        <v>8.5522579651581481</v>
      </c>
      <c r="H145" s="494">
        <v>38347</v>
      </c>
      <c r="I145" s="545">
        <v>3.3554686166950032</v>
      </c>
      <c r="J145" s="494">
        <v>0</v>
      </c>
      <c r="K145" s="545">
        <v>0</v>
      </c>
      <c r="L145" s="494">
        <v>0</v>
      </c>
      <c r="M145" s="545">
        <v>0</v>
      </c>
      <c r="N145" s="494">
        <v>28481</v>
      </c>
      <c r="O145" s="545">
        <v>2.4921663147597042</v>
      </c>
      <c r="P145" s="494">
        <v>0</v>
      </c>
      <c r="Q145" s="545">
        <v>0</v>
      </c>
      <c r="R145" s="494">
        <v>122836</v>
      </c>
      <c r="S145" s="545">
        <v>10.748489920993752</v>
      </c>
      <c r="T145" s="494">
        <v>1142821</v>
      </c>
      <c r="U145" s="545">
        <v>100</v>
      </c>
    </row>
    <row r="146" spans="1:21" hidden="1" x14ac:dyDescent="0.2">
      <c r="A146" s="38"/>
      <c r="B146" s="38"/>
      <c r="C146" s="38" t="s">
        <v>773</v>
      </c>
      <c r="D146" s="494">
        <v>202469</v>
      </c>
      <c r="E146" s="545">
        <v>87.506104755442422</v>
      </c>
      <c r="F146" s="494">
        <v>3966</v>
      </c>
      <c r="G146" s="545">
        <v>1.7140856697078792</v>
      </c>
      <c r="H146" s="494">
        <v>8863</v>
      </c>
      <c r="I146" s="545">
        <v>3.8305449547707857</v>
      </c>
      <c r="J146" s="494">
        <v>0</v>
      </c>
      <c r="K146" s="545">
        <v>0</v>
      </c>
      <c r="L146" s="494">
        <v>0</v>
      </c>
      <c r="M146" s="545">
        <v>0</v>
      </c>
      <c r="N146" s="494">
        <v>43</v>
      </c>
      <c r="O146" s="545">
        <v>1.8584388249480287E-2</v>
      </c>
      <c r="P146" s="494">
        <v>0</v>
      </c>
      <c r="Q146" s="545">
        <v>0</v>
      </c>
      <c r="R146" s="494">
        <v>16036</v>
      </c>
      <c r="S146" s="545">
        <v>6.9306802318294389</v>
      </c>
      <c r="T146" s="494">
        <v>231377</v>
      </c>
      <c r="U146" s="545">
        <v>100</v>
      </c>
    </row>
    <row r="147" spans="1:21" hidden="1" x14ac:dyDescent="0.2">
      <c r="A147" s="38"/>
      <c r="B147" s="38"/>
      <c r="C147" s="38" t="s">
        <v>774</v>
      </c>
      <c r="D147" s="494">
        <v>329864</v>
      </c>
      <c r="E147" s="545">
        <v>80.685275959572238</v>
      </c>
      <c r="F147" s="494">
        <v>43249</v>
      </c>
      <c r="G147" s="545">
        <v>10.578776404747229</v>
      </c>
      <c r="H147" s="494">
        <v>7769</v>
      </c>
      <c r="I147" s="545">
        <v>1.9003101548817596</v>
      </c>
      <c r="J147" s="494">
        <v>0</v>
      </c>
      <c r="K147" s="545">
        <v>0</v>
      </c>
      <c r="L147" s="494">
        <v>0</v>
      </c>
      <c r="M147" s="545">
        <v>0</v>
      </c>
      <c r="N147" s="494">
        <v>5608</v>
      </c>
      <c r="O147" s="545">
        <v>1.3717260070249591</v>
      </c>
      <c r="P147" s="494">
        <v>0</v>
      </c>
      <c r="Q147" s="545">
        <v>0</v>
      </c>
      <c r="R147" s="494">
        <v>22338</v>
      </c>
      <c r="S147" s="545">
        <v>5.4639114737738126</v>
      </c>
      <c r="T147" s="494">
        <v>408828</v>
      </c>
      <c r="U147" s="545">
        <v>100</v>
      </c>
    </row>
    <row r="148" spans="1:21" hidden="1" x14ac:dyDescent="0.2">
      <c r="A148" s="38"/>
      <c r="B148" s="38"/>
      <c r="C148" s="38" t="s">
        <v>355</v>
      </c>
      <c r="D148" s="494">
        <v>267150</v>
      </c>
      <c r="E148" s="545">
        <v>75.868806461415247</v>
      </c>
      <c r="F148" s="494">
        <v>32858</v>
      </c>
      <c r="G148" s="545">
        <v>9.3314514044887975</v>
      </c>
      <c r="H148" s="494">
        <v>4556</v>
      </c>
      <c r="I148" s="545">
        <v>1.2938734128325207</v>
      </c>
      <c r="J148" s="494">
        <v>0</v>
      </c>
      <c r="K148" s="545">
        <v>0</v>
      </c>
      <c r="L148" s="494">
        <v>0</v>
      </c>
      <c r="M148" s="545">
        <v>0</v>
      </c>
      <c r="N148" s="494">
        <v>6490</v>
      </c>
      <c r="O148" s="545">
        <v>1.8431164287276247</v>
      </c>
      <c r="P148" s="494">
        <v>0</v>
      </c>
      <c r="Q148" s="545">
        <v>0</v>
      </c>
      <c r="R148" s="494">
        <v>41067</v>
      </c>
      <c r="S148" s="545">
        <v>11.662752292535805</v>
      </c>
      <c r="T148" s="494">
        <v>352121</v>
      </c>
      <c r="U148" s="545">
        <v>100</v>
      </c>
    </row>
    <row r="149" spans="1:21" x14ac:dyDescent="0.2">
      <c r="A149" s="38">
        <v>41</v>
      </c>
      <c r="B149" s="38" t="s">
        <v>260</v>
      </c>
      <c r="C149" s="38" t="s">
        <v>535</v>
      </c>
      <c r="D149" s="494">
        <v>1654903</v>
      </c>
      <c r="E149" s="545">
        <v>77.507684482614081</v>
      </c>
      <c r="F149" s="494">
        <v>177810</v>
      </c>
      <c r="G149" s="545">
        <v>8.3277638495148096</v>
      </c>
      <c r="H149" s="494">
        <v>59535</v>
      </c>
      <c r="I149" s="545">
        <v>2.7883326066074141</v>
      </c>
      <c r="J149" s="494">
        <v>0</v>
      </c>
      <c r="K149" s="545">
        <v>0</v>
      </c>
      <c r="L149" s="494">
        <v>0</v>
      </c>
      <c r="M149" s="545">
        <v>0</v>
      </c>
      <c r="N149" s="494">
        <v>40622</v>
      </c>
      <c r="O149" s="545">
        <v>1.9025387947527734</v>
      </c>
      <c r="P149" s="494">
        <v>0</v>
      </c>
      <c r="Q149" s="545">
        <v>0</v>
      </c>
      <c r="R149" s="494">
        <v>202277</v>
      </c>
      <c r="S149" s="545">
        <v>9.4736802665109234</v>
      </c>
      <c r="T149" s="494">
        <v>2135147</v>
      </c>
      <c r="U149" s="545">
        <v>100</v>
      </c>
    </row>
    <row r="150" spans="1:21" hidden="1" x14ac:dyDescent="0.2">
      <c r="A150" s="38"/>
      <c r="B150" s="38"/>
      <c r="C150" s="38" t="s">
        <v>80</v>
      </c>
      <c r="D150" s="494">
        <v>575125</v>
      </c>
      <c r="E150" s="545">
        <v>94.192454776976177</v>
      </c>
      <c r="F150" s="494">
        <v>6327</v>
      </c>
      <c r="G150" s="545">
        <v>1.0362193633973975</v>
      </c>
      <c r="H150" s="494">
        <v>11375</v>
      </c>
      <c r="I150" s="545">
        <v>1.8629674820049624</v>
      </c>
      <c r="J150" s="494">
        <v>884</v>
      </c>
      <c r="K150" s="545">
        <v>0.14477918717295707</v>
      </c>
      <c r="L150" s="494">
        <v>0</v>
      </c>
      <c r="M150" s="545">
        <v>0</v>
      </c>
      <c r="N150" s="494">
        <v>9367</v>
      </c>
      <c r="O150" s="545">
        <v>1.5341025410057567</v>
      </c>
      <c r="P150" s="494">
        <v>3821</v>
      </c>
      <c r="Q150" s="545">
        <v>0.62579329659261207</v>
      </c>
      <c r="R150" s="494">
        <v>3686</v>
      </c>
      <c r="S150" s="545">
        <v>0.60368335285013552</v>
      </c>
      <c r="T150" s="494">
        <v>610585</v>
      </c>
      <c r="U150" s="545">
        <v>100</v>
      </c>
    </row>
    <row r="151" spans="1:21" hidden="1" x14ac:dyDescent="0.2">
      <c r="A151" s="38"/>
      <c r="B151" s="38"/>
      <c r="C151" s="38" t="s">
        <v>779</v>
      </c>
      <c r="D151" s="494">
        <v>498935</v>
      </c>
      <c r="E151" s="545">
        <v>89.413432399835841</v>
      </c>
      <c r="F151" s="494">
        <v>4274</v>
      </c>
      <c r="G151" s="545">
        <v>0.76593746695841824</v>
      </c>
      <c r="H151" s="494">
        <v>16134</v>
      </c>
      <c r="I151" s="545">
        <v>2.8913512147653533</v>
      </c>
      <c r="J151" s="494">
        <v>3087</v>
      </c>
      <c r="K151" s="545">
        <v>0.55321688359865162</v>
      </c>
      <c r="L151" s="494">
        <v>0</v>
      </c>
      <c r="M151" s="545">
        <v>0</v>
      </c>
      <c r="N151" s="494">
        <v>8062</v>
      </c>
      <c r="O151" s="545">
        <v>1.4447795644873112</v>
      </c>
      <c r="P151" s="494">
        <v>26268</v>
      </c>
      <c r="Q151" s="545">
        <v>4.7074509550921215</v>
      </c>
      <c r="R151" s="494">
        <v>1249</v>
      </c>
      <c r="S151" s="545">
        <v>0.22383151526229866</v>
      </c>
      <c r="T151" s="494">
        <v>558009</v>
      </c>
      <c r="U151" s="545">
        <v>100</v>
      </c>
    </row>
    <row r="152" spans="1:21" hidden="1" x14ac:dyDescent="0.2">
      <c r="A152" s="38"/>
      <c r="B152" s="38"/>
      <c r="C152" s="38" t="s">
        <v>81</v>
      </c>
      <c r="D152" s="494">
        <v>452861</v>
      </c>
      <c r="E152" s="545">
        <v>97.871241444443726</v>
      </c>
      <c r="F152" s="494">
        <v>0</v>
      </c>
      <c r="G152" s="545">
        <v>0</v>
      </c>
      <c r="H152" s="494">
        <v>530</v>
      </c>
      <c r="I152" s="545">
        <v>0.11454233852231739</v>
      </c>
      <c r="J152" s="494">
        <v>4223</v>
      </c>
      <c r="K152" s="545">
        <v>0.91266470864103078</v>
      </c>
      <c r="L152" s="494">
        <v>0</v>
      </c>
      <c r="M152" s="545">
        <v>0</v>
      </c>
      <c r="N152" s="494">
        <v>977</v>
      </c>
      <c r="O152" s="545">
        <v>0.21114691459680016</v>
      </c>
      <c r="P152" s="494">
        <v>1908</v>
      </c>
      <c r="Q152" s="545">
        <v>0.41235241868034261</v>
      </c>
      <c r="R152" s="494">
        <v>2212</v>
      </c>
      <c r="S152" s="545">
        <v>0.47805217511578507</v>
      </c>
      <c r="T152" s="494">
        <v>462711</v>
      </c>
      <c r="U152" s="545">
        <v>100</v>
      </c>
    </row>
    <row r="153" spans="1:21" hidden="1" x14ac:dyDescent="0.2">
      <c r="A153" s="38"/>
      <c r="B153" s="38"/>
      <c r="C153" s="38" t="s">
        <v>83</v>
      </c>
      <c r="D153" s="494">
        <v>439650</v>
      </c>
      <c r="E153" s="545">
        <v>92.459790033312018</v>
      </c>
      <c r="F153" s="494">
        <v>10839</v>
      </c>
      <c r="G153" s="545">
        <v>2.2794760927352873</v>
      </c>
      <c r="H153" s="494">
        <v>5449</v>
      </c>
      <c r="I153" s="545">
        <v>1.1459419899727448</v>
      </c>
      <c r="J153" s="494">
        <v>1608</v>
      </c>
      <c r="K153" s="545">
        <v>0.33816750227127423</v>
      </c>
      <c r="L153" s="494">
        <v>0</v>
      </c>
      <c r="M153" s="545">
        <v>0</v>
      </c>
      <c r="N153" s="494">
        <v>3530</v>
      </c>
      <c r="O153" s="545">
        <v>0.74237020088159089</v>
      </c>
      <c r="P153" s="494">
        <v>10466</v>
      </c>
      <c r="Q153" s="545">
        <v>2.2010330091860428</v>
      </c>
      <c r="R153" s="494">
        <v>3962</v>
      </c>
      <c r="S153" s="545">
        <v>0.83322117164103782</v>
      </c>
      <c r="T153" s="494">
        <v>475504</v>
      </c>
      <c r="U153" s="545">
        <v>100</v>
      </c>
    </row>
    <row r="154" spans="1:21" hidden="1" x14ac:dyDescent="0.2">
      <c r="A154" s="38"/>
      <c r="B154" s="38"/>
      <c r="C154" s="38" t="s">
        <v>780</v>
      </c>
      <c r="D154" s="494">
        <v>528348</v>
      </c>
      <c r="E154" s="545">
        <v>95.922528217687869</v>
      </c>
      <c r="F154" s="494">
        <v>3379</v>
      </c>
      <c r="G154" s="545">
        <v>0.61346351807438904</v>
      </c>
      <c r="H154" s="494">
        <v>12826</v>
      </c>
      <c r="I154" s="545">
        <v>2.3285833331820402</v>
      </c>
      <c r="J154" s="494">
        <v>2294</v>
      </c>
      <c r="K154" s="545">
        <v>0.41647981961013564</v>
      </c>
      <c r="L154" s="494">
        <v>0</v>
      </c>
      <c r="M154" s="545">
        <v>0</v>
      </c>
      <c r="N154" s="494">
        <v>2311</v>
      </c>
      <c r="O154" s="545">
        <v>0.41956620013906865</v>
      </c>
      <c r="P154" s="494">
        <v>179</v>
      </c>
      <c r="Q154" s="545">
        <v>3.2497771451706313E-2</v>
      </c>
      <c r="R154" s="494">
        <v>1470</v>
      </c>
      <c r="S154" s="545">
        <v>0.26688113985479489</v>
      </c>
      <c r="T154" s="494">
        <v>550807</v>
      </c>
      <c r="U154" s="545">
        <v>100</v>
      </c>
    </row>
    <row r="155" spans="1:21" hidden="1" x14ac:dyDescent="0.2">
      <c r="A155" s="38"/>
      <c r="B155" s="38"/>
      <c r="C155" s="38" t="s">
        <v>145</v>
      </c>
      <c r="D155" s="494">
        <v>388345</v>
      </c>
      <c r="E155" s="545">
        <v>82.079804536164403</v>
      </c>
      <c r="F155" s="494">
        <v>13978</v>
      </c>
      <c r="G155" s="545">
        <v>2.9543614770539235</v>
      </c>
      <c r="H155" s="494">
        <v>46098</v>
      </c>
      <c r="I155" s="545">
        <v>9.7431789504386739</v>
      </c>
      <c r="J155" s="494">
        <v>1125</v>
      </c>
      <c r="K155" s="545">
        <v>0.23777769793143971</v>
      </c>
      <c r="L155" s="494">
        <v>0</v>
      </c>
      <c r="M155" s="545">
        <v>0</v>
      </c>
      <c r="N155" s="494">
        <v>22756</v>
      </c>
      <c r="O155" s="545">
        <v>4.8096615947803043</v>
      </c>
      <c r="P155" s="494">
        <v>829</v>
      </c>
      <c r="Q155" s="545">
        <v>0.17521574363125647</v>
      </c>
      <c r="R155" s="494">
        <v>0</v>
      </c>
      <c r="S155" s="545">
        <v>0</v>
      </c>
      <c r="T155" s="494">
        <v>473131</v>
      </c>
      <c r="U155" s="545">
        <v>100</v>
      </c>
    </row>
    <row r="156" spans="1:21" x14ac:dyDescent="0.2">
      <c r="A156" s="38">
        <v>42</v>
      </c>
      <c r="B156" s="38" t="s">
        <v>578</v>
      </c>
      <c r="C156" s="38" t="s">
        <v>535</v>
      </c>
      <c r="D156" s="494">
        <f>SUM(D150:D155)</f>
        <v>2883264</v>
      </c>
      <c r="E156" s="545">
        <v>93.878084719538109</v>
      </c>
      <c r="F156" s="494">
        <f>SUM(F150:F155)</f>
        <v>38797</v>
      </c>
      <c r="G156" s="545">
        <v>0.9338820958332581</v>
      </c>
      <c r="H156" s="494">
        <f>SUM(H150:H155)</f>
        <v>92412</v>
      </c>
      <c r="I156" s="545">
        <v>1.7426896888038002</v>
      </c>
      <c r="J156" s="494">
        <f>SUM(J150:J155)</f>
        <v>13221</v>
      </c>
      <c r="K156" s="545">
        <v>0.45514476131991982</v>
      </c>
      <c r="L156" s="494">
        <f>SUM(L150:L155)</f>
        <v>0</v>
      </c>
      <c r="M156" s="545">
        <v>0</v>
      </c>
      <c r="N156" s="494">
        <f>SUM(N150:N155)</f>
        <v>47003</v>
      </c>
      <c r="O156" s="545">
        <v>0.91235904660417455</v>
      </c>
      <c r="P156" s="494">
        <f>SUM(P150:P155)</f>
        <v>43471</v>
      </c>
      <c r="Q156" s="545">
        <v>1.6045207434031101</v>
      </c>
      <c r="R156" s="494">
        <f>SUM(R150:R155)</f>
        <v>12579</v>
      </c>
      <c r="S156" s="545">
        <v>0.4733189444976249</v>
      </c>
      <c r="T156" s="494">
        <f>SUM(T150:T155)</f>
        <v>3130747</v>
      </c>
      <c r="U156" s="545">
        <v>100</v>
      </c>
    </row>
    <row r="157" spans="1:21" hidden="1" x14ac:dyDescent="0.2">
      <c r="A157" s="38"/>
      <c r="B157" s="38"/>
      <c r="C157" s="38" t="s">
        <v>775</v>
      </c>
      <c r="D157" s="494">
        <v>260722</v>
      </c>
      <c r="E157" s="545">
        <v>86.708481881551648</v>
      </c>
      <c r="F157" s="494">
        <v>6374</v>
      </c>
      <c r="G157" s="545">
        <v>2.1198052466343853</v>
      </c>
      <c r="H157" s="494">
        <v>15228</v>
      </c>
      <c r="I157" s="545">
        <v>5.0643856755174799</v>
      </c>
      <c r="J157" s="494">
        <v>0</v>
      </c>
      <c r="K157" s="545">
        <v>0</v>
      </c>
      <c r="L157" s="494">
        <v>0</v>
      </c>
      <c r="M157" s="545">
        <v>0</v>
      </c>
      <c r="N157" s="494">
        <v>17721</v>
      </c>
      <c r="O157" s="545">
        <v>5.8934842760602351</v>
      </c>
      <c r="P157" s="494">
        <v>293</v>
      </c>
      <c r="Q157" s="545">
        <v>9.7443196935029008E-2</v>
      </c>
      <c r="R157" s="494">
        <v>350</v>
      </c>
      <c r="S157" s="545">
        <v>0.11639972330122919</v>
      </c>
      <c r="T157" s="494">
        <v>300688</v>
      </c>
      <c r="U157" s="545">
        <v>100</v>
      </c>
    </row>
    <row r="158" spans="1:21" hidden="1" x14ac:dyDescent="0.2">
      <c r="A158" s="38"/>
      <c r="B158" s="38"/>
      <c r="C158" s="38" t="s">
        <v>93</v>
      </c>
      <c r="D158" s="494">
        <v>764111</v>
      </c>
      <c r="E158" s="545">
        <v>90.983141986907</v>
      </c>
      <c r="F158" s="494">
        <v>457</v>
      </c>
      <c r="G158" s="545">
        <v>5.4415256275615061E-2</v>
      </c>
      <c r="H158" s="494">
        <v>38156</v>
      </c>
      <c r="I158" s="545">
        <v>4.5432571519745473</v>
      </c>
      <c r="J158" s="494">
        <v>0</v>
      </c>
      <c r="K158" s="545">
        <v>0</v>
      </c>
      <c r="L158" s="494">
        <v>0</v>
      </c>
      <c r="M158" s="545">
        <v>0</v>
      </c>
      <c r="N158" s="494">
        <v>35187</v>
      </c>
      <c r="O158" s="545">
        <v>4.1897365920570397</v>
      </c>
      <c r="P158" s="494">
        <v>1239</v>
      </c>
      <c r="Q158" s="545">
        <v>0.14752845191572661</v>
      </c>
      <c r="R158" s="494">
        <v>688</v>
      </c>
      <c r="S158" s="545">
        <v>8.1920560870072559E-2</v>
      </c>
      <c r="T158" s="494">
        <v>839838</v>
      </c>
      <c r="U158" s="545">
        <v>100</v>
      </c>
    </row>
    <row r="159" spans="1:21" hidden="1" x14ac:dyDescent="0.2">
      <c r="A159" s="38"/>
      <c r="B159" s="38"/>
      <c r="C159" s="38" t="s">
        <v>89</v>
      </c>
      <c r="D159" s="494">
        <v>453074</v>
      </c>
      <c r="E159" s="545">
        <v>89.670568909384187</v>
      </c>
      <c r="F159" s="494">
        <v>968</v>
      </c>
      <c r="G159" s="545">
        <v>0.19158263485497709</v>
      </c>
      <c r="H159" s="494">
        <v>28633</v>
      </c>
      <c r="I159" s="545">
        <v>5.6669272559943789</v>
      </c>
      <c r="J159" s="494">
        <v>0</v>
      </c>
      <c r="K159" s="545">
        <v>0</v>
      </c>
      <c r="L159" s="494">
        <v>0</v>
      </c>
      <c r="M159" s="545">
        <v>0</v>
      </c>
      <c r="N159" s="494">
        <v>11312</v>
      </c>
      <c r="O159" s="545">
        <v>2.2388251709498976</v>
      </c>
      <c r="P159" s="494">
        <v>11253</v>
      </c>
      <c r="Q159" s="545">
        <v>2.227148130189109</v>
      </c>
      <c r="R159" s="494">
        <v>25</v>
      </c>
      <c r="S159" s="545">
        <v>4.9478986274529204E-3</v>
      </c>
      <c r="T159" s="494">
        <v>505265</v>
      </c>
      <c r="U159" s="545">
        <v>100</v>
      </c>
    </row>
    <row r="160" spans="1:21" hidden="1" x14ac:dyDescent="0.2">
      <c r="A160" s="38"/>
      <c r="B160" s="38"/>
      <c r="C160" s="38" t="s">
        <v>41</v>
      </c>
      <c r="D160" s="494">
        <v>316369</v>
      </c>
      <c r="E160" s="545">
        <v>87.58686179077867</v>
      </c>
      <c r="F160" s="494">
        <v>92</v>
      </c>
      <c r="G160" s="545">
        <v>2.547023028410381E-2</v>
      </c>
      <c r="H160" s="494">
        <v>40149</v>
      </c>
      <c r="I160" s="545">
        <v>11.115263866048737</v>
      </c>
      <c r="J160" s="494">
        <v>0</v>
      </c>
      <c r="K160" s="545">
        <v>0</v>
      </c>
      <c r="L160" s="494">
        <v>0</v>
      </c>
      <c r="M160" s="545">
        <v>0</v>
      </c>
      <c r="N160" s="494">
        <v>3214</v>
      </c>
      <c r="O160" s="545">
        <v>0.88979695796858305</v>
      </c>
      <c r="P160" s="494">
        <v>1382</v>
      </c>
      <c r="Q160" s="545">
        <v>0.38260715491990721</v>
      </c>
      <c r="R160" s="494">
        <v>0</v>
      </c>
      <c r="S160" s="545">
        <v>0</v>
      </c>
      <c r="T160" s="494">
        <v>361206</v>
      </c>
      <c r="U160" s="545">
        <v>100</v>
      </c>
    </row>
    <row r="161" spans="1:21" hidden="1" x14ac:dyDescent="0.2">
      <c r="A161" s="38"/>
      <c r="B161" s="38"/>
      <c r="C161" s="38" t="s">
        <v>39</v>
      </c>
      <c r="D161" s="494">
        <v>1748560</v>
      </c>
      <c r="E161" s="545">
        <v>86.261017820416498</v>
      </c>
      <c r="F161" s="494">
        <v>26839</v>
      </c>
      <c r="G161" s="545">
        <v>1.3240377552283926</v>
      </c>
      <c r="H161" s="494">
        <v>78093</v>
      </c>
      <c r="I161" s="545">
        <v>3.8525310339077787</v>
      </c>
      <c r="J161" s="494">
        <v>0</v>
      </c>
      <c r="K161" s="545">
        <v>0</v>
      </c>
      <c r="L161" s="494">
        <v>0</v>
      </c>
      <c r="M161" s="545">
        <v>0</v>
      </c>
      <c r="N161" s="494">
        <v>123068</v>
      </c>
      <c r="O161" s="545">
        <v>6.0712648928964503</v>
      </c>
      <c r="P161" s="494">
        <v>49550</v>
      </c>
      <c r="Q161" s="545">
        <v>2.4444305216873525</v>
      </c>
      <c r="R161" s="494">
        <v>947</v>
      </c>
      <c r="S161" s="545">
        <v>4.6717975863530235E-2</v>
      </c>
      <c r="T161" s="494">
        <v>2027057</v>
      </c>
      <c r="U161" s="545">
        <v>100</v>
      </c>
    </row>
    <row r="162" spans="1:21" hidden="1" x14ac:dyDescent="0.2">
      <c r="A162" s="38"/>
      <c r="B162" s="38"/>
      <c r="C162" s="38" t="s">
        <v>776</v>
      </c>
      <c r="D162" s="494">
        <v>1393157</v>
      </c>
      <c r="E162" s="545">
        <v>92.263702728459378</v>
      </c>
      <c r="F162" s="494">
        <v>4334</v>
      </c>
      <c r="G162" s="545">
        <v>0.28702499978476437</v>
      </c>
      <c r="H162" s="494">
        <v>75145</v>
      </c>
      <c r="I162" s="545">
        <v>4.976579051413502</v>
      </c>
      <c r="J162" s="494">
        <v>0</v>
      </c>
      <c r="K162" s="545">
        <v>0</v>
      </c>
      <c r="L162" s="494">
        <v>0</v>
      </c>
      <c r="M162" s="545">
        <v>0</v>
      </c>
      <c r="N162" s="494">
        <v>34640</v>
      </c>
      <c r="O162" s="545">
        <v>2.2940807550863491</v>
      </c>
      <c r="P162" s="494">
        <v>2631</v>
      </c>
      <c r="Q162" s="545">
        <v>0.17424152617298455</v>
      </c>
      <c r="R162" s="494">
        <v>66</v>
      </c>
      <c r="S162" s="545">
        <v>4.3709390830167167E-3</v>
      </c>
      <c r="T162" s="494">
        <v>1509973</v>
      </c>
      <c r="U162" s="545">
        <v>100</v>
      </c>
    </row>
    <row r="163" spans="1:21" hidden="1" x14ac:dyDescent="0.2">
      <c r="A163" s="38"/>
      <c r="B163" s="38"/>
      <c r="C163" s="38" t="s">
        <v>92</v>
      </c>
      <c r="D163" s="494">
        <v>407778</v>
      </c>
      <c r="E163" s="545">
        <v>90.807625757977277</v>
      </c>
      <c r="F163" s="494">
        <v>434</v>
      </c>
      <c r="G163" s="545">
        <v>9.6646973546788043E-2</v>
      </c>
      <c r="H163" s="494">
        <v>22883</v>
      </c>
      <c r="I163" s="545">
        <v>5.0957896213620986</v>
      </c>
      <c r="J163" s="494">
        <v>0</v>
      </c>
      <c r="K163" s="545">
        <v>0</v>
      </c>
      <c r="L163" s="494">
        <v>0</v>
      </c>
      <c r="M163" s="545">
        <v>0</v>
      </c>
      <c r="N163" s="494">
        <v>7527</v>
      </c>
      <c r="O163" s="545">
        <v>1.6761791932872663</v>
      </c>
      <c r="P163" s="494">
        <v>5174</v>
      </c>
      <c r="Q163" s="545">
        <v>1.1521922606706945</v>
      </c>
      <c r="R163" s="494">
        <v>5261</v>
      </c>
      <c r="S163" s="545">
        <v>1.1715661931558798</v>
      </c>
      <c r="T163" s="494">
        <v>449057</v>
      </c>
      <c r="U163" s="545">
        <v>100</v>
      </c>
    </row>
    <row r="164" spans="1:21" hidden="1" x14ac:dyDescent="0.2">
      <c r="A164" s="38"/>
      <c r="B164" s="38"/>
      <c r="C164" s="38" t="s">
        <v>777</v>
      </c>
      <c r="D164" s="494">
        <v>564992</v>
      </c>
      <c r="E164" s="545">
        <v>82.355667826464668</v>
      </c>
      <c r="F164" s="494">
        <v>8207</v>
      </c>
      <c r="G164" s="545">
        <v>1.1962876746074202</v>
      </c>
      <c r="H164" s="494">
        <v>11443</v>
      </c>
      <c r="I164" s="545">
        <v>1.667980974842538</v>
      </c>
      <c r="J164" s="494">
        <v>0</v>
      </c>
      <c r="K164" s="545">
        <v>0</v>
      </c>
      <c r="L164" s="494">
        <v>0</v>
      </c>
      <c r="M164" s="545">
        <v>0</v>
      </c>
      <c r="N164" s="494">
        <v>91044</v>
      </c>
      <c r="O164" s="545">
        <v>13.270965644810282</v>
      </c>
      <c r="P164" s="494">
        <v>10124</v>
      </c>
      <c r="Q164" s="545">
        <v>1.4757178527751338</v>
      </c>
      <c r="R164" s="494">
        <v>229</v>
      </c>
      <c r="S164" s="545">
        <v>3.3380026499951171E-2</v>
      </c>
      <c r="T164" s="494">
        <v>686039</v>
      </c>
      <c r="U164" s="545">
        <v>100</v>
      </c>
    </row>
    <row r="165" spans="1:21" hidden="1" x14ac:dyDescent="0.2">
      <c r="A165" s="38"/>
      <c r="B165" s="38"/>
      <c r="C165" s="38" t="s">
        <v>626</v>
      </c>
      <c r="D165" s="494">
        <v>356672</v>
      </c>
      <c r="E165" s="545">
        <v>98.094879248842815</v>
      </c>
      <c r="F165" s="494">
        <v>630</v>
      </c>
      <c r="G165" s="545">
        <v>0.17326780326678565</v>
      </c>
      <c r="H165" s="494">
        <v>5162</v>
      </c>
      <c r="I165" s="545">
        <v>1.4196958737510279</v>
      </c>
      <c r="J165" s="494">
        <v>0</v>
      </c>
      <c r="K165" s="545">
        <v>0</v>
      </c>
      <c r="L165" s="494">
        <v>0</v>
      </c>
      <c r="M165" s="545">
        <v>0</v>
      </c>
      <c r="N165" s="494">
        <v>303</v>
      </c>
      <c r="O165" s="545">
        <v>8.3333562523549301E-2</v>
      </c>
      <c r="P165" s="494">
        <v>728</v>
      </c>
      <c r="Q165" s="545">
        <v>0.20022057266384122</v>
      </c>
      <c r="R165" s="494">
        <v>104</v>
      </c>
      <c r="S165" s="545">
        <v>2.8602938951977314E-2</v>
      </c>
      <c r="T165" s="494">
        <v>363599</v>
      </c>
      <c r="U165" s="545">
        <v>100</v>
      </c>
    </row>
    <row r="166" spans="1:21" hidden="1" x14ac:dyDescent="0.2">
      <c r="A166" s="38"/>
      <c r="B166" s="38"/>
      <c r="C166" s="38" t="s">
        <v>639</v>
      </c>
      <c r="D166" s="494">
        <v>157472</v>
      </c>
      <c r="E166" s="545">
        <v>88.707624015592785</v>
      </c>
      <c r="F166" s="494">
        <v>12016</v>
      </c>
      <c r="G166" s="545">
        <v>6.7688910420351744</v>
      </c>
      <c r="H166" s="494">
        <v>2864</v>
      </c>
      <c r="I166" s="545">
        <v>1.6133575186741627</v>
      </c>
      <c r="J166" s="494">
        <v>0</v>
      </c>
      <c r="K166" s="545">
        <v>0</v>
      </c>
      <c r="L166" s="494">
        <v>0</v>
      </c>
      <c r="M166" s="545">
        <v>0</v>
      </c>
      <c r="N166" s="494">
        <v>940</v>
      </c>
      <c r="O166" s="545">
        <v>0.52952376660394995</v>
      </c>
      <c r="P166" s="494">
        <v>319</v>
      </c>
      <c r="Q166" s="545">
        <v>0.17970008675176602</v>
      </c>
      <c r="R166" s="494">
        <v>3907</v>
      </c>
      <c r="S166" s="545">
        <v>2.2009035703421627</v>
      </c>
      <c r="T166" s="494">
        <v>177518</v>
      </c>
      <c r="U166" s="545">
        <v>100</v>
      </c>
    </row>
    <row r="167" spans="1:21" x14ac:dyDescent="0.2">
      <c r="A167" s="38">
        <v>43</v>
      </c>
      <c r="B167" s="38" t="s">
        <v>261</v>
      </c>
      <c r="C167" s="38" t="s">
        <v>535</v>
      </c>
      <c r="D167" s="494">
        <v>6422907</v>
      </c>
      <c r="E167" s="545">
        <v>88.956973729405121</v>
      </c>
      <c r="F167" s="494">
        <v>60351</v>
      </c>
      <c r="G167" s="545">
        <v>0.83585864181800051</v>
      </c>
      <c r="H167" s="494">
        <v>317756</v>
      </c>
      <c r="I167" s="545">
        <v>4.4009063410634548</v>
      </c>
      <c r="J167" s="494">
        <v>0</v>
      </c>
      <c r="K167" s="545">
        <v>0</v>
      </c>
      <c r="L167" s="494">
        <v>0</v>
      </c>
      <c r="M167" s="545">
        <v>0</v>
      </c>
      <c r="N167" s="494">
        <v>324956</v>
      </c>
      <c r="O167" s="545">
        <v>4.5006260179717019</v>
      </c>
      <c r="P167" s="494">
        <v>82693</v>
      </c>
      <c r="Q167" s="545">
        <v>1.1452943392463408</v>
      </c>
      <c r="R167" s="494">
        <v>11577</v>
      </c>
      <c r="S167" s="545">
        <v>0.1603409304953852</v>
      </c>
      <c r="T167" s="494">
        <v>7220240</v>
      </c>
      <c r="U167" s="545">
        <v>100</v>
      </c>
    </row>
    <row r="168" spans="1:21" hidden="1" x14ac:dyDescent="0.2">
      <c r="A168" s="38"/>
      <c r="B168" s="38"/>
      <c r="C168" s="38" t="s">
        <v>76</v>
      </c>
      <c r="D168" s="494">
        <v>2137835</v>
      </c>
      <c r="E168" s="545">
        <v>77.503589983791144</v>
      </c>
      <c r="F168" s="494">
        <v>234313</v>
      </c>
      <c r="G168" s="545">
        <v>8.4946212780088537</v>
      </c>
      <c r="H168" s="494">
        <v>74490</v>
      </c>
      <c r="I168" s="545">
        <v>2.7005088876796397</v>
      </c>
      <c r="J168" s="494">
        <v>0</v>
      </c>
      <c r="K168" s="545">
        <v>0</v>
      </c>
      <c r="L168" s="494">
        <v>3727</v>
      </c>
      <c r="M168" s="545">
        <v>0.13511607765313488</v>
      </c>
      <c r="N168" s="494">
        <v>276649</v>
      </c>
      <c r="O168" s="545">
        <v>10.029441311151627</v>
      </c>
      <c r="P168" s="494">
        <v>10525</v>
      </c>
      <c r="Q168" s="545">
        <v>0.38156606313368513</v>
      </c>
      <c r="R168" s="494">
        <v>20830</v>
      </c>
      <c r="S168" s="545">
        <v>0.75515639858191563</v>
      </c>
      <c r="T168" s="494">
        <v>2758369</v>
      </c>
      <c r="U168" s="545">
        <v>100</v>
      </c>
    </row>
    <row r="169" spans="1:21" hidden="1" x14ac:dyDescent="0.2">
      <c r="A169" s="38"/>
      <c r="B169" s="38"/>
      <c r="C169" s="38" t="s">
        <v>539</v>
      </c>
      <c r="D169" s="494">
        <v>401976</v>
      </c>
      <c r="E169" s="545">
        <v>83.909147269345652</v>
      </c>
      <c r="F169" s="494">
        <v>38911</v>
      </c>
      <c r="G169" s="545">
        <v>8.1223476759744582</v>
      </c>
      <c r="H169" s="494">
        <v>16723</v>
      </c>
      <c r="I169" s="545">
        <v>3.4907871857654871</v>
      </c>
      <c r="J169" s="494">
        <v>0</v>
      </c>
      <c r="K169" s="545">
        <v>0</v>
      </c>
      <c r="L169" s="494">
        <v>239</v>
      </c>
      <c r="M169" s="545">
        <v>4.9889262536503699E-2</v>
      </c>
      <c r="N169" s="494">
        <v>11062</v>
      </c>
      <c r="O169" s="545">
        <v>2.3091005112083849</v>
      </c>
      <c r="P169" s="494">
        <v>9413</v>
      </c>
      <c r="Q169" s="545">
        <v>1.9648854738749346</v>
      </c>
      <c r="R169" s="494">
        <v>737</v>
      </c>
      <c r="S169" s="545">
        <v>0.15384262129457418</v>
      </c>
      <c r="T169" s="494">
        <v>479061</v>
      </c>
      <c r="U169" s="545">
        <v>100</v>
      </c>
    </row>
    <row r="170" spans="1:21" x14ac:dyDescent="0.2">
      <c r="A170" s="38">
        <v>44</v>
      </c>
      <c r="B170" s="38" t="s">
        <v>262</v>
      </c>
      <c r="C170" s="38" t="s">
        <v>535</v>
      </c>
      <c r="D170" s="494">
        <v>2539811</v>
      </c>
      <c r="E170" s="545">
        <v>78.451456865476629</v>
      </c>
      <c r="F170" s="494">
        <v>273224</v>
      </c>
      <c r="G170" s="545">
        <v>8.4395338277584386</v>
      </c>
      <c r="H170" s="494">
        <v>91213</v>
      </c>
      <c r="I170" s="545">
        <v>2.81745087924681</v>
      </c>
      <c r="J170" s="494">
        <v>0</v>
      </c>
      <c r="K170" s="545">
        <v>0</v>
      </c>
      <c r="L170" s="494">
        <v>3966</v>
      </c>
      <c r="M170" s="545">
        <v>0.12250457924958995</v>
      </c>
      <c r="N170" s="494">
        <v>287711</v>
      </c>
      <c r="O170" s="545">
        <v>8.8870184065755868</v>
      </c>
      <c r="P170" s="494">
        <v>19938</v>
      </c>
      <c r="Q170" s="545">
        <v>0.61585887571314279</v>
      </c>
      <c r="R170" s="494">
        <v>21567</v>
      </c>
      <c r="S170" s="545">
        <v>0.6661765659798049</v>
      </c>
      <c r="T170" s="494">
        <v>3237430</v>
      </c>
      <c r="U170" s="545">
        <v>100</v>
      </c>
    </row>
    <row r="171" spans="1:21" hidden="1" x14ac:dyDescent="0.2">
      <c r="A171" s="38"/>
      <c r="B171" s="38"/>
      <c r="C171" s="38" t="s">
        <v>221</v>
      </c>
      <c r="D171" s="494">
        <v>1963163</v>
      </c>
      <c r="E171" s="545">
        <v>66.457831047956034</v>
      </c>
      <c r="F171" s="494">
        <v>338306</v>
      </c>
      <c r="G171" s="545">
        <v>11.452478979335803</v>
      </c>
      <c r="H171" s="494">
        <v>123706</v>
      </c>
      <c r="I171" s="545">
        <v>4.1877482652324067</v>
      </c>
      <c r="J171" s="494">
        <v>6275</v>
      </c>
      <c r="K171" s="545">
        <v>0.21242397591332154</v>
      </c>
      <c r="L171" s="494">
        <v>822</v>
      </c>
      <c r="M171" s="545">
        <v>2.7826694533984113E-2</v>
      </c>
      <c r="N171" s="494">
        <v>375155</v>
      </c>
      <c r="O171" s="545">
        <v>12.699907041236994</v>
      </c>
      <c r="P171" s="494">
        <v>17305</v>
      </c>
      <c r="Q171" s="545">
        <v>0.58581623955060225</v>
      </c>
      <c r="R171" s="494">
        <v>129266</v>
      </c>
      <c r="S171" s="545">
        <v>4.3759677562408639</v>
      </c>
      <c r="T171" s="494">
        <v>2953998</v>
      </c>
      <c r="U171" s="545">
        <v>100</v>
      </c>
    </row>
    <row r="172" spans="1:21" x14ac:dyDescent="0.2">
      <c r="A172" s="38">
        <v>45</v>
      </c>
      <c r="B172" s="38" t="s">
        <v>660</v>
      </c>
      <c r="C172" s="38" t="s">
        <v>535</v>
      </c>
      <c r="D172" s="494">
        <v>1963163</v>
      </c>
      <c r="E172" s="545">
        <v>66.457831047956034</v>
      </c>
      <c r="F172" s="494">
        <v>338306</v>
      </c>
      <c r="G172" s="545">
        <v>11.452478979335803</v>
      </c>
      <c r="H172" s="494">
        <v>123706</v>
      </c>
      <c r="I172" s="545">
        <v>4.1877482652324067</v>
      </c>
      <c r="J172" s="494">
        <v>6275</v>
      </c>
      <c r="K172" s="545">
        <v>0.21242397591332154</v>
      </c>
      <c r="L172" s="494">
        <v>822</v>
      </c>
      <c r="M172" s="545">
        <v>2.7826694533984113E-2</v>
      </c>
      <c r="N172" s="494">
        <v>375155</v>
      </c>
      <c r="O172" s="545">
        <v>12.699907041236994</v>
      </c>
      <c r="P172" s="494">
        <v>17305</v>
      </c>
      <c r="Q172" s="545">
        <v>0.58581623955060225</v>
      </c>
      <c r="R172" s="494">
        <v>129266</v>
      </c>
      <c r="S172" s="545">
        <v>4.3759677562408639</v>
      </c>
      <c r="T172" s="494">
        <v>2953998</v>
      </c>
      <c r="U172" s="545">
        <v>100</v>
      </c>
    </row>
    <row r="173" spans="1:21" hidden="1" x14ac:dyDescent="0.2">
      <c r="A173" s="38"/>
      <c r="B173" s="38"/>
      <c r="C173" s="38" t="s">
        <v>197</v>
      </c>
      <c r="D173" s="494">
        <v>3589672</v>
      </c>
      <c r="E173" s="545">
        <v>59.367354100905942</v>
      </c>
      <c r="F173" s="494">
        <v>1029626</v>
      </c>
      <c r="G173" s="545">
        <v>17.028344465315879</v>
      </c>
      <c r="H173" s="494">
        <v>309326</v>
      </c>
      <c r="I173" s="545">
        <v>5.1157504570380885</v>
      </c>
      <c r="J173" s="494">
        <v>18880</v>
      </c>
      <c r="K173" s="545">
        <v>0.31224458541758249</v>
      </c>
      <c r="L173" s="494">
        <v>4532</v>
      </c>
      <c r="M173" s="545">
        <v>7.495193120299172E-2</v>
      </c>
      <c r="N173" s="494">
        <v>665937</v>
      </c>
      <c r="O173" s="545">
        <v>11.013518139789651</v>
      </c>
      <c r="P173" s="494">
        <v>48378</v>
      </c>
      <c r="Q173" s="545">
        <v>0.8000936733756252</v>
      </c>
      <c r="R173" s="494">
        <v>380191</v>
      </c>
      <c r="S173" s="545">
        <v>6.2877426469542437</v>
      </c>
      <c r="T173" s="494">
        <v>6046542</v>
      </c>
      <c r="U173" s="545">
        <v>100</v>
      </c>
    </row>
    <row r="174" spans="1:21" x14ac:dyDescent="0.2">
      <c r="A174" s="38">
        <v>46</v>
      </c>
      <c r="B174" s="38" t="s">
        <v>456</v>
      </c>
      <c r="C174" s="38" t="s">
        <v>535</v>
      </c>
      <c r="D174" s="494">
        <v>3589672</v>
      </c>
      <c r="E174" s="545">
        <v>59.367354100905942</v>
      </c>
      <c r="F174" s="494">
        <v>1029626</v>
      </c>
      <c r="G174" s="545">
        <v>17.028344465315879</v>
      </c>
      <c r="H174" s="494">
        <v>309326</v>
      </c>
      <c r="I174" s="545">
        <v>5.1157504570380885</v>
      </c>
      <c r="J174" s="494">
        <v>18880</v>
      </c>
      <c r="K174" s="545">
        <v>0.31224458541758249</v>
      </c>
      <c r="L174" s="494">
        <v>4532</v>
      </c>
      <c r="M174" s="545">
        <v>7.495193120299172E-2</v>
      </c>
      <c r="N174" s="494">
        <v>665937</v>
      </c>
      <c r="O174" s="545">
        <v>11.013518139789651</v>
      </c>
      <c r="P174" s="494">
        <v>48378</v>
      </c>
      <c r="Q174" s="545">
        <v>0.8000936733756252</v>
      </c>
      <c r="R174" s="494">
        <v>380191</v>
      </c>
      <c r="S174" s="545">
        <v>6.2877426469542437</v>
      </c>
      <c r="T174" s="494">
        <v>6046542</v>
      </c>
      <c r="U174" s="545">
        <v>100</v>
      </c>
    </row>
    <row r="175" spans="1:21" x14ac:dyDescent="0.2">
      <c r="A175" s="38"/>
      <c r="B175" s="38"/>
      <c r="C175" s="38" t="s">
        <v>538</v>
      </c>
      <c r="D175" s="494">
        <v>445500</v>
      </c>
      <c r="E175" s="545">
        <v>72.316145736106947</v>
      </c>
      <c r="F175" s="494">
        <v>41017</v>
      </c>
      <c r="G175" s="545">
        <v>6.658117507649604</v>
      </c>
      <c r="H175" s="494">
        <v>3959</v>
      </c>
      <c r="I175" s="545">
        <v>0.64264785851682915</v>
      </c>
      <c r="J175" s="494">
        <v>622</v>
      </c>
      <c r="K175" s="545">
        <v>0.10096665016354324</v>
      </c>
      <c r="L175" s="494">
        <v>5673</v>
      </c>
      <c r="M175" s="545">
        <v>0.92087428678099803</v>
      </c>
      <c r="N175" s="494">
        <v>48365</v>
      </c>
      <c r="O175" s="545">
        <v>7.8508875163340344</v>
      </c>
      <c r="P175" s="494">
        <v>3464</v>
      </c>
      <c r="Q175" s="545">
        <v>0.56229658547671035</v>
      </c>
      <c r="R175" s="494">
        <v>67445</v>
      </c>
      <c r="S175" s="545">
        <v>10.948063858971341</v>
      </c>
      <c r="T175" s="494">
        <v>616045</v>
      </c>
      <c r="U175" s="545">
        <v>100</v>
      </c>
    </row>
    <row r="176" spans="1:21" x14ac:dyDescent="0.2">
      <c r="A176" s="38"/>
      <c r="B176" s="38"/>
      <c r="C176" s="38" t="s">
        <v>209</v>
      </c>
      <c r="D176" s="494">
        <v>135773</v>
      </c>
      <c r="E176" s="545">
        <v>90.397816172309334</v>
      </c>
      <c r="F176" s="494">
        <v>0</v>
      </c>
      <c r="G176" s="545">
        <v>0</v>
      </c>
      <c r="H176" s="494">
        <v>622</v>
      </c>
      <c r="I176" s="545">
        <v>0.41412829987682681</v>
      </c>
      <c r="J176" s="494">
        <v>88</v>
      </c>
      <c r="K176" s="545">
        <v>5.8590499017943339E-2</v>
      </c>
      <c r="L176" s="494">
        <v>0</v>
      </c>
      <c r="M176" s="545">
        <v>0</v>
      </c>
      <c r="N176" s="494">
        <v>5838</v>
      </c>
      <c r="O176" s="545">
        <v>3.8869469689403773</v>
      </c>
      <c r="P176" s="494">
        <v>363</v>
      </c>
      <c r="Q176" s="545">
        <v>0.24168580844901627</v>
      </c>
      <c r="R176" s="494">
        <v>7511</v>
      </c>
      <c r="S176" s="545">
        <v>5.0008322514065044</v>
      </c>
      <c r="T176" s="494">
        <v>150195</v>
      </c>
      <c r="U176" s="545">
        <v>100</v>
      </c>
    </row>
    <row r="177" spans="1:21" x14ac:dyDescent="0.2">
      <c r="A177" s="38"/>
      <c r="B177" s="38"/>
      <c r="C177" s="38" t="s">
        <v>537</v>
      </c>
      <c r="D177" s="494">
        <v>339056</v>
      </c>
      <c r="E177" s="545">
        <v>89.67718899189336</v>
      </c>
      <c r="F177" s="494">
        <v>947</v>
      </c>
      <c r="G177" s="545">
        <v>0.25047277728553102</v>
      </c>
      <c r="H177" s="494">
        <v>0</v>
      </c>
      <c r="I177" s="545">
        <v>0</v>
      </c>
      <c r="J177" s="494">
        <v>434</v>
      </c>
      <c r="K177" s="545">
        <v>0.11478900247298889</v>
      </c>
      <c r="L177" s="494">
        <v>0</v>
      </c>
      <c r="M177" s="545">
        <v>0</v>
      </c>
      <c r="N177" s="494">
        <v>11334</v>
      </c>
      <c r="O177" s="545">
        <v>2.9977386037531244</v>
      </c>
      <c r="P177" s="494">
        <v>1191</v>
      </c>
      <c r="Q177" s="545">
        <v>0.31500852982794875</v>
      </c>
      <c r="R177" s="494">
        <v>25123</v>
      </c>
      <c r="S177" s="545">
        <v>6.6448020947670496</v>
      </c>
      <c r="T177" s="494">
        <v>378085</v>
      </c>
      <c r="U177" s="545">
        <v>100</v>
      </c>
    </row>
    <row r="178" spans="1:21" x14ac:dyDescent="0.2">
      <c r="A178" s="38"/>
      <c r="B178" s="38"/>
      <c r="C178" s="38" t="s">
        <v>217</v>
      </c>
      <c r="D178" s="494">
        <v>78764</v>
      </c>
      <c r="E178" s="545">
        <v>68.932803556738023</v>
      </c>
      <c r="F178" s="494">
        <v>5105</v>
      </c>
      <c r="G178" s="545">
        <v>4.467802068929303</v>
      </c>
      <c r="H178" s="494">
        <v>0</v>
      </c>
      <c r="I178" s="545">
        <v>0</v>
      </c>
      <c r="J178" s="494">
        <v>362</v>
      </c>
      <c r="K178" s="545">
        <v>0.31681573926589768</v>
      </c>
      <c r="L178" s="494">
        <v>0</v>
      </c>
      <c r="M178" s="545">
        <v>0</v>
      </c>
      <c r="N178" s="494">
        <v>15064</v>
      </c>
      <c r="O178" s="545">
        <v>13.183735625142218</v>
      </c>
      <c r="P178" s="494">
        <v>422</v>
      </c>
      <c r="Q178" s="545">
        <v>0.36932663527681991</v>
      </c>
      <c r="R178" s="494">
        <v>14545</v>
      </c>
      <c r="S178" s="545">
        <v>12.729516374647739</v>
      </c>
      <c r="T178" s="494">
        <v>114262</v>
      </c>
      <c r="U178" s="545">
        <v>100</v>
      </c>
    </row>
    <row r="179" spans="1:21" x14ac:dyDescent="0.2">
      <c r="A179" s="38"/>
      <c r="B179" s="38"/>
      <c r="C179" s="38" t="s">
        <v>536</v>
      </c>
      <c r="D179" s="494">
        <v>1374813</v>
      </c>
      <c r="E179" s="545">
        <v>68.028291743013042</v>
      </c>
      <c r="F179" s="494">
        <v>72824</v>
      </c>
      <c r="G179" s="545">
        <v>3.6034663026121967</v>
      </c>
      <c r="H179" s="494">
        <v>22261</v>
      </c>
      <c r="I179" s="545">
        <v>1.1015154806444318</v>
      </c>
      <c r="J179" s="494">
        <v>85535</v>
      </c>
      <c r="K179" s="545">
        <v>4.2324301081227924</v>
      </c>
      <c r="L179" s="494">
        <v>49960</v>
      </c>
      <c r="M179" s="545">
        <v>2.4721132659357536</v>
      </c>
      <c r="N179" s="494">
        <v>136332</v>
      </c>
      <c r="O179" s="545">
        <v>6.7459596831776061</v>
      </c>
      <c r="P179" s="494">
        <v>10353</v>
      </c>
      <c r="Q179" s="545">
        <v>0.51228560132571777</v>
      </c>
      <c r="R179" s="494">
        <v>268865</v>
      </c>
      <c r="S179" s="545">
        <v>13.303937815168462</v>
      </c>
      <c r="T179" s="494">
        <v>2020943</v>
      </c>
      <c r="U179" s="545">
        <v>100</v>
      </c>
    </row>
    <row r="180" spans="1:21" x14ac:dyDescent="0.2">
      <c r="A180" s="38"/>
      <c r="B180" s="38"/>
      <c r="C180" s="38" t="s">
        <v>205</v>
      </c>
      <c r="D180" s="494">
        <v>443781</v>
      </c>
      <c r="E180" s="545">
        <v>84.178569396232859</v>
      </c>
      <c r="F180" s="494">
        <v>6299</v>
      </c>
      <c r="G180" s="545">
        <v>1.1948253950188736</v>
      </c>
      <c r="H180" s="494">
        <v>6164</v>
      </c>
      <c r="I180" s="545">
        <v>1.1692179290198981</v>
      </c>
      <c r="J180" s="494">
        <v>516</v>
      </c>
      <c r="K180" s="545">
        <v>9.7877425596084908E-2</v>
      </c>
      <c r="L180" s="494">
        <v>1888</v>
      </c>
      <c r="M180" s="545">
        <v>0.35812515411900836</v>
      </c>
      <c r="N180" s="494">
        <v>6377</v>
      </c>
      <c r="O180" s="545">
        <v>1.2096208198182818</v>
      </c>
      <c r="P180" s="494">
        <v>5960</v>
      </c>
      <c r="Q180" s="545">
        <v>1.1305222026214459</v>
      </c>
      <c r="R180" s="494">
        <v>56205</v>
      </c>
      <c r="S180" s="545">
        <v>10.66124167757355</v>
      </c>
      <c r="T180" s="494">
        <v>527190</v>
      </c>
      <c r="U180" s="545">
        <v>100</v>
      </c>
    </row>
    <row r="181" spans="1:21" x14ac:dyDescent="0.2">
      <c r="A181" s="38"/>
      <c r="B181" s="38"/>
      <c r="C181" s="38" t="s">
        <v>133</v>
      </c>
      <c r="D181" s="494">
        <v>218850</v>
      </c>
      <c r="E181" s="545">
        <v>87.81856047382297</v>
      </c>
      <c r="F181" s="494">
        <v>502</v>
      </c>
      <c r="G181" s="545">
        <v>0.20143896439506112</v>
      </c>
      <c r="H181" s="494">
        <v>2792</v>
      </c>
      <c r="I181" s="545">
        <v>1.1203537621334874</v>
      </c>
      <c r="J181" s="494">
        <v>237</v>
      </c>
      <c r="K181" s="545">
        <v>9.5101662473365517E-2</v>
      </c>
      <c r="L181" s="494">
        <v>23</v>
      </c>
      <c r="M181" s="545">
        <v>9.2292752611282999E-3</v>
      </c>
      <c r="N181" s="494">
        <v>7568</v>
      </c>
      <c r="O181" s="545">
        <v>3.0368328337486505</v>
      </c>
      <c r="P181" s="494">
        <v>2654</v>
      </c>
      <c r="Q181" s="545">
        <v>1.0649781105667178</v>
      </c>
      <c r="R181" s="494">
        <v>16581</v>
      </c>
      <c r="S181" s="545">
        <v>6.6535049175986227</v>
      </c>
      <c r="T181" s="494">
        <v>249207</v>
      </c>
      <c r="U181" s="545">
        <v>100</v>
      </c>
    </row>
    <row r="182" spans="1:21" x14ac:dyDescent="0.2">
      <c r="A182" s="38"/>
      <c r="B182" s="38"/>
      <c r="C182" s="38" t="s">
        <v>224</v>
      </c>
      <c r="D182" s="494">
        <v>750836</v>
      </c>
      <c r="E182" s="545">
        <v>93.405918078428357</v>
      </c>
      <c r="F182" s="494">
        <v>2026</v>
      </c>
      <c r="G182" s="545">
        <v>0.25203957991744647</v>
      </c>
      <c r="H182" s="494">
        <v>3219</v>
      </c>
      <c r="I182" s="545">
        <v>0.40045183008601193</v>
      </c>
      <c r="J182" s="494">
        <v>864</v>
      </c>
      <c r="K182" s="545">
        <v>0.10748380900724272</v>
      </c>
      <c r="L182" s="494">
        <v>0</v>
      </c>
      <c r="M182" s="545">
        <v>0</v>
      </c>
      <c r="N182" s="494">
        <v>14573</v>
      </c>
      <c r="O182" s="545">
        <v>1.8129184591001717</v>
      </c>
      <c r="P182" s="494">
        <v>6873</v>
      </c>
      <c r="Q182" s="545">
        <v>0.85501877234580925</v>
      </c>
      <c r="R182" s="494">
        <v>25451</v>
      </c>
      <c r="S182" s="545">
        <v>3.1661694711149706</v>
      </c>
      <c r="T182" s="494">
        <v>803842</v>
      </c>
      <c r="U182" s="545">
        <v>100</v>
      </c>
    </row>
    <row r="183" spans="1:21" x14ac:dyDescent="0.2">
      <c r="A183" s="38"/>
      <c r="B183" s="38"/>
      <c r="C183" s="38" t="s">
        <v>233</v>
      </c>
      <c r="D183" s="494">
        <v>176656</v>
      </c>
      <c r="E183" s="545">
        <v>90.126933594547168</v>
      </c>
      <c r="F183" s="494">
        <v>289</v>
      </c>
      <c r="G183" s="545">
        <v>0.14744296151177502</v>
      </c>
      <c r="H183" s="494">
        <v>0</v>
      </c>
      <c r="I183" s="545">
        <v>0</v>
      </c>
      <c r="J183" s="494">
        <v>116</v>
      </c>
      <c r="K183" s="545">
        <v>5.9181257907840498E-2</v>
      </c>
      <c r="L183" s="494">
        <v>0</v>
      </c>
      <c r="M183" s="545">
        <v>0</v>
      </c>
      <c r="N183" s="494">
        <v>119</v>
      </c>
      <c r="O183" s="545">
        <v>6.0711807681319126E-2</v>
      </c>
      <c r="P183" s="494">
        <v>2184</v>
      </c>
      <c r="Q183" s="545">
        <v>1.1142402350924452</v>
      </c>
      <c r="R183" s="494">
        <v>16644</v>
      </c>
      <c r="S183" s="545">
        <v>8.4914901432594583</v>
      </c>
      <c r="T183" s="494">
        <v>196008</v>
      </c>
      <c r="U183" s="545">
        <v>100</v>
      </c>
    </row>
    <row r="184" spans="1:21" x14ac:dyDescent="0.2">
      <c r="A184" s="38"/>
      <c r="B184" s="38"/>
      <c r="C184" s="38" t="s">
        <v>334</v>
      </c>
      <c r="D184" s="494">
        <v>221017</v>
      </c>
      <c r="E184" s="545">
        <v>83.576733422071641</v>
      </c>
      <c r="F184" s="494">
        <v>109</v>
      </c>
      <c r="G184" s="545">
        <v>4.1217933204259434E-2</v>
      </c>
      <c r="H184" s="494">
        <v>2016</v>
      </c>
      <c r="I184" s="545">
        <v>0.76234269119070674</v>
      </c>
      <c r="J184" s="494">
        <v>1070</v>
      </c>
      <c r="K184" s="545">
        <v>0.40461640851887704</v>
      </c>
      <c r="L184" s="494">
        <v>0</v>
      </c>
      <c r="M184" s="545">
        <v>0</v>
      </c>
      <c r="N184" s="494">
        <v>18359</v>
      </c>
      <c r="O184" s="545">
        <v>6.9423856485963222</v>
      </c>
      <c r="P184" s="494">
        <v>7901</v>
      </c>
      <c r="Q184" s="545">
        <v>2.9877329380445303</v>
      </c>
      <c r="R184" s="494">
        <v>13976</v>
      </c>
      <c r="S184" s="545">
        <v>5.2849709583736697</v>
      </c>
      <c r="T184" s="494">
        <v>264448</v>
      </c>
      <c r="U184" s="545">
        <v>100</v>
      </c>
    </row>
    <row r="185" spans="1:21" x14ac:dyDescent="0.2">
      <c r="A185" s="38"/>
      <c r="B185" s="38"/>
      <c r="C185" s="38" t="s">
        <v>649</v>
      </c>
      <c r="D185" s="494">
        <v>145256</v>
      </c>
      <c r="E185" s="545">
        <v>92.354448407627103</v>
      </c>
      <c r="F185" s="494">
        <v>0</v>
      </c>
      <c r="G185" s="545">
        <v>0</v>
      </c>
      <c r="H185" s="494">
        <v>0</v>
      </c>
      <c r="I185" s="545">
        <v>0</v>
      </c>
      <c r="J185" s="494">
        <v>281</v>
      </c>
      <c r="K185" s="545">
        <v>0.17866112244962837</v>
      </c>
      <c r="L185" s="494">
        <v>0</v>
      </c>
      <c r="M185" s="545">
        <v>0</v>
      </c>
      <c r="N185" s="494">
        <v>1048</v>
      </c>
      <c r="O185" s="545">
        <v>0.66632333212530448</v>
      </c>
      <c r="P185" s="494">
        <v>91</v>
      </c>
      <c r="Q185" s="545">
        <v>5.7858228266605624E-2</v>
      </c>
      <c r="R185" s="494">
        <v>10605</v>
      </c>
      <c r="S185" s="545">
        <v>6.7427089095313493</v>
      </c>
      <c r="T185" s="494">
        <v>157281</v>
      </c>
      <c r="U185" s="545">
        <v>100</v>
      </c>
    </row>
    <row r="186" spans="1:21" x14ac:dyDescent="0.2">
      <c r="A186" s="38"/>
      <c r="B186" s="38"/>
      <c r="C186" s="38" t="s">
        <v>650</v>
      </c>
      <c r="D186" s="494">
        <v>198341</v>
      </c>
      <c r="E186" s="545">
        <v>89.635116325313177</v>
      </c>
      <c r="F186" s="494">
        <v>635</v>
      </c>
      <c r="G186" s="545">
        <v>0.28697192646287895</v>
      </c>
      <c r="H186" s="494">
        <v>435</v>
      </c>
      <c r="I186" s="545">
        <v>0.19658706773441315</v>
      </c>
      <c r="J186" s="494">
        <v>3680</v>
      </c>
      <c r="K186" s="545">
        <v>1.6630814006037709</v>
      </c>
      <c r="L186" s="494">
        <v>0</v>
      </c>
      <c r="M186" s="545">
        <v>0</v>
      </c>
      <c r="N186" s="494">
        <v>2890</v>
      </c>
      <c r="O186" s="545">
        <v>1.306061208626331</v>
      </c>
      <c r="P186" s="494">
        <v>4922</v>
      </c>
      <c r="Q186" s="545">
        <v>2.2243713733075436</v>
      </c>
      <c r="R186" s="494">
        <v>10373</v>
      </c>
      <c r="S186" s="545">
        <v>4.6878106979518792</v>
      </c>
      <c r="T186" s="494">
        <v>221276</v>
      </c>
      <c r="U186" s="545">
        <v>100</v>
      </c>
    </row>
    <row r="187" spans="1:21" x14ac:dyDescent="0.2">
      <c r="A187" s="38"/>
      <c r="B187" s="38"/>
      <c r="C187" s="38" t="s">
        <v>656</v>
      </c>
      <c r="D187" s="494">
        <v>337629</v>
      </c>
      <c r="E187" s="545">
        <v>86.188331878264336</v>
      </c>
      <c r="F187" s="494">
        <v>6174</v>
      </c>
      <c r="G187" s="545">
        <v>1.5760694757156641</v>
      </c>
      <c r="H187" s="494">
        <v>2684</v>
      </c>
      <c r="I187" s="545">
        <v>0.68515880674130913</v>
      </c>
      <c r="J187" s="494">
        <v>1072</v>
      </c>
      <c r="K187" s="545">
        <v>0.27365508227521734</v>
      </c>
      <c r="L187" s="494">
        <v>0</v>
      </c>
      <c r="M187" s="545">
        <v>0</v>
      </c>
      <c r="N187" s="494">
        <v>11927</v>
      </c>
      <c r="O187" s="545">
        <v>3.0446680655751095</v>
      </c>
      <c r="P187" s="494">
        <v>808</v>
      </c>
      <c r="Q187" s="545">
        <v>0.20626241275967877</v>
      </c>
      <c r="R187" s="494">
        <v>31440</v>
      </c>
      <c r="S187" s="545">
        <v>8.0258542786686888</v>
      </c>
      <c r="T187" s="494">
        <v>391734</v>
      </c>
      <c r="U187" s="545">
        <v>100</v>
      </c>
    </row>
    <row r="188" spans="1:21" x14ac:dyDescent="0.2">
      <c r="A188" s="38">
        <v>47</v>
      </c>
      <c r="B188" s="38" t="s">
        <v>457</v>
      </c>
      <c r="C188" s="38" t="s">
        <v>535</v>
      </c>
      <c r="D188" s="494">
        <f>SUM(D175:D187)</f>
        <v>4866272</v>
      </c>
      <c r="E188" s="545">
        <v>79.8991743885083</v>
      </c>
      <c r="F188" s="494">
        <f>SUM(F175:F187)</f>
        <v>135927</v>
      </c>
      <c r="G188" s="545">
        <v>2.2317813466051151</v>
      </c>
      <c r="H188" s="494">
        <f>SUM(H175:H187)</f>
        <v>44152</v>
      </c>
      <c r="I188" s="545">
        <v>0.72493036714787384</v>
      </c>
      <c r="J188" s="494">
        <f>SUM(J175:J187)</f>
        <v>94877</v>
      </c>
      <c r="K188" s="545">
        <v>1.5577826246577466</v>
      </c>
      <c r="L188" s="494">
        <f>SUM(L175:L187)</f>
        <v>57544</v>
      </c>
      <c r="M188" s="545">
        <v>0.94481321451253053</v>
      </c>
      <c r="N188" s="494">
        <f>SUM(N175:N187)</f>
        <v>279794</v>
      </c>
      <c r="O188" s="545">
        <v>4.5939293156770296</v>
      </c>
      <c r="P188" s="494">
        <f>SUM(P175:P187)</f>
        <v>47186</v>
      </c>
      <c r="Q188" s="545">
        <v>0.77474552238266836</v>
      </c>
      <c r="R188" s="494">
        <f>SUM(R175:R187)</f>
        <v>564764</v>
      </c>
      <c r="S188" s="545">
        <v>9.2728432205087383</v>
      </c>
      <c r="T188" s="494">
        <f>SUM(T175:T187)</f>
        <v>6090516</v>
      </c>
      <c r="U188" s="545">
        <v>100</v>
      </c>
    </row>
    <row r="189" spans="1:21" x14ac:dyDescent="0.2">
      <c r="A189" s="38"/>
      <c r="B189" s="38"/>
      <c r="C189" s="38" t="s">
        <v>778</v>
      </c>
      <c r="D189" s="494">
        <v>1874471</v>
      </c>
      <c r="E189" s="545">
        <v>80.632396615150597</v>
      </c>
      <c r="F189" s="494">
        <v>162344</v>
      </c>
      <c r="G189" s="545">
        <v>6.9834026752561176</v>
      </c>
      <c r="H189" s="494">
        <v>159482</v>
      </c>
      <c r="I189" s="545">
        <v>6.8602906510569914</v>
      </c>
      <c r="J189" s="494">
        <v>0</v>
      </c>
      <c r="K189" s="545">
        <v>0</v>
      </c>
      <c r="L189" s="494">
        <v>2629</v>
      </c>
      <c r="M189" s="545">
        <v>0.11308927729542413</v>
      </c>
      <c r="N189" s="494">
        <v>110750</v>
      </c>
      <c r="O189" s="545">
        <v>4.7640309853435605</v>
      </c>
      <c r="P189" s="494">
        <v>14946</v>
      </c>
      <c r="Q189" s="545">
        <v>0.64291834859543895</v>
      </c>
      <c r="R189" s="494">
        <v>90</v>
      </c>
      <c r="S189" s="545">
        <v>3.8714473018593271E-3</v>
      </c>
      <c r="T189" s="494">
        <v>2324712</v>
      </c>
      <c r="U189" s="545">
        <v>100</v>
      </c>
    </row>
    <row r="190" spans="1:21" x14ac:dyDescent="0.2">
      <c r="A190" s="38"/>
      <c r="B190" s="38"/>
      <c r="C190" s="38" t="s">
        <v>349</v>
      </c>
      <c r="D190" s="494">
        <v>365682</v>
      </c>
      <c r="E190" s="545">
        <v>74.883123744463347</v>
      </c>
      <c r="F190" s="494">
        <v>1012</v>
      </c>
      <c r="G190" s="545">
        <v>0.20723393885779695</v>
      </c>
      <c r="H190" s="494">
        <v>13362</v>
      </c>
      <c r="I190" s="545">
        <v>2.736225188752849</v>
      </c>
      <c r="J190" s="494">
        <v>0</v>
      </c>
      <c r="K190" s="545">
        <v>0</v>
      </c>
      <c r="L190" s="494">
        <v>7638</v>
      </c>
      <c r="M190" s="545">
        <v>1.564083819165863</v>
      </c>
      <c r="N190" s="494">
        <v>2200</v>
      </c>
      <c r="O190" s="545">
        <v>0.45050856273434126</v>
      </c>
      <c r="P190" s="494">
        <v>3986</v>
      </c>
      <c r="Q190" s="545">
        <v>0.81623960502685644</v>
      </c>
      <c r="R190" s="494">
        <v>94457</v>
      </c>
      <c r="S190" s="545">
        <v>19.342585140998942</v>
      </c>
      <c r="T190" s="494">
        <v>488337</v>
      </c>
      <c r="U190" s="545">
        <v>100</v>
      </c>
    </row>
    <row r="191" spans="1:21" x14ac:dyDescent="0.2">
      <c r="A191" s="38">
        <v>48</v>
      </c>
      <c r="B191" s="38" t="s">
        <v>263</v>
      </c>
      <c r="C191" s="38" t="s">
        <v>535</v>
      </c>
      <c r="D191" s="3">
        <f>SUM(D189:D190)</f>
        <v>2240153</v>
      </c>
      <c r="F191" s="3">
        <f>SUM(F189:F190)</f>
        <v>163356</v>
      </c>
      <c r="H191" s="3">
        <f>SUM(H189:H190)</f>
        <v>172844</v>
      </c>
      <c r="J191" s="3">
        <f>SUM(J189:J190)</f>
        <v>0</v>
      </c>
      <c r="L191" s="3">
        <f>SUM(L189:L190)</f>
        <v>10267</v>
      </c>
      <c r="N191" s="3">
        <f>SUM(N189:N190)</f>
        <v>112950</v>
      </c>
      <c r="P191" s="3">
        <f>SUM(P189:P190)</f>
        <v>18932</v>
      </c>
      <c r="R191" s="3">
        <f>SUM(R189:R190)</f>
        <v>94547</v>
      </c>
      <c r="T191" s="3">
        <f>SUM(T189:T190)</f>
        <v>2813049</v>
      </c>
      <c r="U191" s="105">
        <v>100</v>
      </c>
    </row>
    <row r="192" spans="1:21" hidden="1" x14ac:dyDescent="0.2">
      <c r="A192" s="38"/>
      <c r="B192" s="38"/>
      <c r="C192" s="38" t="s">
        <v>535</v>
      </c>
      <c r="D192" s="494">
        <v>1874471</v>
      </c>
      <c r="E192" s="545">
        <v>80.632396615150597</v>
      </c>
      <c r="F192" s="494">
        <v>162344</v>
      </c>
      <c r="G192" s="545">
        <v>6.9834026752561176</v>
      </c>
      <c r="H192" s="494">
        <v>159482</v>
      </c>
      <c r="I192" s="545">
        <v>6.8602906510569914</v>
      </c>
      <c r="J192" s="494">
        <v>0</v>
      </c>
      <c r="K192" s="545">
        <v>0</v>
      </c>
      <c r="L192" s="494">
        <v>2629</v>
      </c>
      <c r="M192" s="545">
        <v>0.11308927729542413</v>
      </c>
      <c r="N192" s="494">
        <v>110750</v>
      </c>
      <c r="O192" s="545">
        <v>4.7640309853435605</v>
      </c>
      <c r="P192" s="494">
        <v>14946</v>
      </c>
      <c r="Q192" s="545">
        <v>0.64291834859543895</v>
      </c>
      <c r="R192" s="494">
        <v>90</v>
      </c>
      <c r="S192" s="545">
        <v>3.8714473018593271E-3</v>
      </c>
      <c r="T192" s="494">
        <v>2324712</v>
      </c>
      <c r="U192" s="545">
        <v>100</v>
      </c>
    </row>
    <row r="193" spans="1:21" hidden="1" x14ac:dyDescent="0.2">
      <c r="A193" s="38"/>
      <c r="B193" s="38"/>
      <c r="C193" s="38" t="s">
        <v>351</v>
      </c>
      <c r="D193" s="494">
        <v>2895175</v>
      </c>
      <c r="E193" s="545">
        <v>72.72467174142831</v>
      </c>
      <c r="F193" s="494">
        <v>229870</v>
      </c>
      <c r="G193" s="545">
        <v>5.7741657389284322</v>
      </c>
      <c r="H193" s="494">
        <v>112512</v>
      </c>
      <c r="I193" s="545">
        <v>2.8262188872767902</v>
      </c>
      <c r="J193" s="494">
        <v>0</v>
      </c>
      <c r="K193" s="545">
        <v>0</v>
      </c>
      <c r="L193" s="494">
        <v>4575</v>
      </c>
      <c r="M193" s="545">
        <v>0.11492064321397998</v>
      </c>
      <c r="N193" s="494">
        <v>339149</v>
      </c>
      <c r="O193" s="545">
        <v>8.5191740383340093</v>
      </c>
      <c r="P193" s="494">
        <v>20710</v>
      </c>
      <c r="Q193" s="545">
        <v>0.5202200045817541</v>
      </c>
      <c r="R193" s="494">
        <v>379017</v>
      </c>
      <c r="S193" s="545">
        <v>9.5206289462367319</v>
      </c>
      <c r="T193" s="494">
        <v>3981008</v>
      </c>
      <c r="U193" s="545">
        <v>100</v>
      </c>
    </row>
    <row r="194" spans="1:21" x14ac:dyDescent="0.2">
      <c r="A194" s="38">
        <v>49</v>
      </c>
      <c r="B194" s="38" t="s">
        <v>264</v>
      </c>
      <c r="C194" s="38" t="s">
        <v>535</v>
      </c>
      <c r="D194" s="494">
        <v>2895175</v>
      </c>
      <c r="E194" s="545">
        <v>72.72467174142831</v>
      </c>
      <c r="F194" s="494">
        <v>229870</v>
      </c>
      <c r="G194" s="545">
        <v>5.7741657389284322</v>
      </c>
      <c r="H194" s="494">
        <v>112512</v>
      </c>
      <c r="I194" s="545">
        <v>2.8262188872767902</v>
      </c>
      <c r="J194" s="494">
        <v>0</v>
      </c>
      <c r="K194" s="545">
        <v>0</v>
      </c>
      <c r="L194" s="494">
        <v>4575</v>
      </c>
      <c r="M194" s="545">
        <v>0.11492064321397998</v>
      </c>
      <c r="N194" s="494">
        <v>339149</v>
      </c>
      <c r="O194" s="545">
        <v>8.5191740383340093</v>
      </c>
      <c r="P194" s="494">
        <v>20710</v>
      </c>
      <c r="Q194" s="545">
        <v>0.5202200045817541</v>
      </c>
      <c r="R194" s="494">
        <v>379017</v>
      </c>
      <c r="S194" s="545">
        <v>9.5206289462367319</v>
      </c>
      <c r="T194" s="494">
        <v>3981008</v>
      </c>
      <c r="U194" s="545">
        <v>100</v>
      </c>
    </row>
    <row r="195" spans="1:21" hidden="1" x14ac:dyDescent="0.2">
      <c r="A195" s="38"/>
      <c r="B195" s="38"/>
      <c r="C195" s="38" t="s">
        <v>60</v>
      </c>
      <c r="D195" s="494">
        <v>2920110</v>
      </c>
      <c r="E195" s="545">
        <v>80.766444687164892</v>
      </c>
      <c r="F195" s="494">
        <v>160811</v>
      </c>
      <c r="G195" s="545">
        <v>4.4478231082348527</v>
      </c>
      <c r="H195" s="494">
        <v>86999</v>
      </c>
      <c r="I195" s="545">
        <v>2.406279188571204</v>
      </c>
      <c r="J195" s="494">
        <v>24465</v>
      </c>
      <c r="K195" s="545">
        <v>0.67667008067212853</v>
      </c>
      <c r="L195" s="494">
        <v>10974</v>
      </c>
      <c r="M195" s="545">
        <v>0.30352656714882231</v>
      </c>
      <c r="N195" s="494">
        <v>253684</v>
      </c>
      <c r="O195" s="545">
        <v>7.0165694970459134</v>
      </c>
      <c r="P195" s="494">
        <v>33443</v>
      </c>
      <c r="Q195" s="545">
        <v>0.92498988383069669</v>
      </c>
      <c r="R195" s="494">
        <v>125013</v>
      </c>
      <c r="S195" s="545">
        <v>3.4576969873314858</v>
      </c>
      <c r="T195" s="494">
        <v>3615499</v>
      </c>
      <c r="U195" s="545">
        <v>100</v>
      </c>
    </row>
    <row r="196" spans="1:21" hidden="1" x14ac:dyDescent="0.2">
      <c r="A196" s="38"/>
      <c r="B196" s="38"/>
      <c r="C196" s="38" t="s">
        <v>633</v>
      </c>
      <c r="D196" s="494">
        <v>1069178</v>
      </c>
      <c r="E196" s="545">
        <v>74.901205015093339</v>
      </c>
      <c r="F196" s="494">
        <v>201555</v>
      </c>
      <c r="G196" s="545">
        <v>14.119924256594446</v>
      </c>
      <c r="H196" s="494">
        <v>23444</v>
      </c>
      <c r="I196" s="545">
        <v>1.6423681093081302</v>
      </c>
      <c r="J196" s="494">
        <v>32100</v>
      </c>
      <c r="K196" s="545">
        <v>2.2487637053741247</v>
      </c>
      <c r="L196" s="494">
        <v>1232</v>
      </c>
      <c r="M196" s="545">
        <v>8.630769112214709E-2</v>
      </c>
      <c r="N196" s="494">
        <v>33692</v>
      </c>
      <c r="O196" s="545">
        <v>2.3602911763696266</v>
      </c>
      <c r="P196" s="494">
        <v>14181</v>
      </c>
      <c r="Q196" s="545">
        <v>0.99344916217789614</v>
      </c>
      <c r="R196" s="494">
        <v>52069</v>
      </c>
      <c r="S196" s="545">
        <v>3.6476908839602902</v>
      </c>
      <c r="T196" s="494">
        <v>1427451</v>
      </c>
      <c r="U196" s="545">
        <v>100</v>
      </c>
    </row>
    <row r="197" spans="1:21" hidden="1" x14ac:dyDescent="0.2">
      <c r="A197" s="38"/>
      <c r="B197" s="38"/>
      <c r="C197" s="38" t="s">
        <v>654</v>
      </c>
      <c r="D197" s="494">
        <f>+D$274</f>
        <v>957267</v>
      </c>
      <c r="E197" s="545"/>
      <c r="F197" s="494">
        <f>+F$274</f>
        <v>67269</v>
      </c>
      <c r="G197" s="545"/>
      <c r="H197" s="494">
        <f>+H$274</f>
        <v>112214</v>
      </c>
      <c r="I197" s="545"/>
      <c r="J197" s="494">
        <f>+J$274</f>
        <v>692</v>
      </c>
      <c r="K197" s="545"/>
      <c r="L197" s="494">
        <f>+L$274</f>
        <v>10085</v>
      </c>
      <c r="M197" s="545"/>
      <c r="N197" s="494">
        <f>+N$274</f>
        <v>81686</v>
      </c>
      <c r="O197" s="545"/>
      <c r="P197" s="494">
        <f>+P$274</f>
        <v>5742</v>
      </c>
      <c r="Q197" s="545"/>
      <c r="R197" s="494">
        <f>+R$274</f>
        <v>18281</v>
      </c>
      <c r="S197" s="545"/>
      <c r="T197" s="494">
        <f>+T$274</f>
        <v>1253236</v>
      </c>
      <c r="U197" s="545"/>
    </row>
    <row r="198" spans="1:21" hidden="1" x14ac:dyDescent="0.2">
      <c r="A198" s="38"/>
      <c r="B198" s="38"/>
      <c r="C198" s="38" t="s">
        <v>630</v>
      </c>
      <c r="D198" s="494">
        <v>303263</v>
      </c>
      <c r="E198" s="545">
        <v>90.398900653407736</v>
      </c>
      <c r="F198" s="494">
        <v>23641</v>
      </c>
      <c r="G198" s="545">
        <v>7.0470858968855827</v>
      </c>
      <c r="H198" s="494">
        <v>5792</v>
      </c>
      <c r="I198" s="545">
        <v>1.7265226308007822</v>
      </c>
      <c r="J198" s="494">
        <v>179</v>
      </c>
      <c r="K198" s="545">
        <v>5.3357657270949585E-2</v>
      </c>
      <c r="L198" s="494">
        <v>700</v>
      </c>
      <c r="M198" s="545">
        <v>0.20866122955119948</v>
      </c>
      <c r="N198" s="494">
        <v>1598</v>
      </c>
      <c r="O198" s="545">
        <v>0.47634377831830971</v>
      </c>
      <c r="P198" s="494">
        <v>57</v>
      </c>
      <c r="Q198" s="545">
        <v>1.6990985834883388E-2</v>
      </c>
      <c r="R198" s="494">
        <v>242</v>
      </c>
      <c r="S198" s="545">
        <v>7.2137167930557536E-2</v>
      </c>
      <c r="T198" s="494">
        <v>335472</v>
      </c>
      <c r="U198" s="545">
        <v>100</v>
      </c>
    </row>
    <row r="199" spans="1:21" x14ac:dyDescent="0.2">
      <c r="A199" s="38">
        <v>50</v>
      </c>
      <c r="B199" s="38" t="s">
        <v>458</v>
      </c>
      <c r="C199" s="38" t="s">
        <v>535</v>
      </c>
      <c r="D199" s="494">
        <f>SUM(D195:D198)</f>
        <v>5249818</v>
      </c>
      <c r="E199" s="545">
        <v>80.766444687164892</v>
      </c>
      <c r="F199" s="494">
        <f>SUM(F195:F198)</f>
        <v>453276</v>
      </c>
      <c r="G199" s="545">
        <v>4.4478231082348527</v>
      </c>
      <c r="H199" s="494">
        <f>SUM(H195:H198)</f>
        <v>228449</v>
      </c>
      <c r="I199" s="545">
        <v>2.406279188571204</v>
      </c>
      <c r="J199" s="494">
        <f>SUM(J195:J198)</f>
        <v>57436</v>
      </c>
      <c r="K199" s="545">
        <v>0.67667008067212853</v>
      </c>
      <c r="L199" s="494">
        <f>SUM(L195:L198)</f>
        <v>22991</v>
      </c>
      <c r="M199" s="545">
        <v>0.30352656714882231</v>
      </c>
      <c r="N199" s="494">
        <f>SUM(N195:N198)</f>
        <v>370660</v>
      </c>
      <c r="O199" s="545">
        <v>7.0165694970459134</v>
      </c>
      <c r="P199" s="494">
        <f>SUM(P195:P198)</f>
        <v>53423</v>
      </c>
      <c r="Q199" s="545">
        <v>0.92498988383069669</v>
      </c>
      <c r="R199" s="494">
        <f>SUM(R195:R198)</f>
        <v>195605</v>
      </c>
      <c r="S199" s="545">
        <v>3.4576969873314858</v>
      </c>
      <c r="T199" s="494">
        <f>SUM(T195:T198)</f>
        <v>6631658</v>
      </c>
      <c r="U199" s="545">
        <v>100</v>
      </c>
    </row>
    <row r="200" spans="1:21" x14ac:dyDescent="0.2">
      <c r="A200" s="38"/>
      <c r="B200" s="38"/>
      <c r="C200" s="38" t="s">
        <v>670</v>
      </c>
      <c r="D200" s="494">
        <v>1920177</v>
      </c>
      <c r="E200" s="545">
        <v>75.023559914856108</v>
      </c>
      <c r="F200" s="494">
        <v>246158</v>
      </c>
      <c r="G200" s="545">
        <v>9.61768079792704</v>
      </c>
      <c r="H200" s="494">
        <v>151146</v>
      </c>
      <c r="I200" s="545">
        <v>5.9054508969177535</v>
      </c>
      <c r="J200" s="494">
        <v>8127</v>
      </c>
      <c r="K200" s="545">
        <v>0.31753138977710677</v>
      </c>
      <c r="L200" s="494">
        <v>1124</v>
      </c>
      <c r="M200" s="545">
        <v>4.3915993861137939E-2</v>
      </c>
      <c r="N200" s="494">
        <v>207386</v>
      </c>
      <c r="O200" s="545">
        <v>8.1028134367312745</v>
      </c>
      <c r="P200" s="494">
        <v>10298</v>
      </c>
      <c r="Q200" s="545">
        <v>0.40235489749288122</v>
      </c>
      <c r="R200" s="494">
        <v>15016</v>
      </c>
      <c r="S200" s="545">
        <v>0.58669267243669687</v>
      </c>
      <c r="T200" s="494">
        <v>2559432</v>
      </c>
      <c r="U200" s="545">
        <v>100</v>
      </c>
    </row>
    <row r="201" spans="1:21" x14ac:dyDescent="0.2">
      <c r="A201" s="38">
        <v>51</v>
      </c>
      <c r="B201" s="38" t="s">
        <v>275</v>
      </c>
      <c r="C201" s="54" t="s">
        <v>535</v>
      </c>
      <c r="D201" s="494">
        <f>SUM(D200:D200)</f>
        <v>1920177</v>
      </c>
      <c r="E201" s="545">
        <v>75.023559914856108</v>
      </c>
      <c r="F201" s="494">
        <f>SUM(F200:F200)</f>
        <v>246158</v>
      </c>
      <c r="G201" s="545">
        <v>9.61768079792704</v>
      </c>
      <c r="H201" s="494">
        <f>SUM(H200:H200)</f>
        <v>151146</v>
      </c>
      <c r="I201" s="545">
        <v>5.9054508969177535</v>
      </c>
      <c r="J201" s="494">
        <f>SUM(J200:J200)</f>
        <v>8127</v>
      </c>
      <c r="K201" s="545">
        <v>0.31753138977710677</v>
      </c>
      <c r="L201" s="494">
        <f>SUM(L200:L200)</f>
        <v>1124</v>
      </c>
      <c r="M201" s="545">
        <v>4.3915993861137939E-2</v>
      </c>
      <c r="N201" s="494">
        <f>SUM(N200:N200)</f>
        <v>207386</v>
      </c>
      <c r="O201" s="545">
        <v>8.1028134367312745</v>
      </c>
      <c r="P201" s="494">
        <f>SUM(P200:P200)</f>
        <v>10298</v>
      </c>
      <c r="Q201" s="545">
        <v>0.40235489749288122</v>
      </c>
      <c r="R201" s="494">
        <f>SUM(R200:R200)</f>
        <v>15016</v>
      </c>
      <c r="S201" s="545">
        <v>0.58669267243669687</v>
      </c>
      <c r="T201" s="494">
        <f>SUM(T200:T200)</f>
        <v>2559432</v>
      </c>
      <c r="U201" s="545">
        <v>100</v>
      </c>
    </row>
    <row r="202" spans="1:21" hidden="1" x14ac:dyDescent="0.2">
      <c r="A202" s="38"/>
      <c r="B202" s="38"/>
      <c r="C202" s="38" t="s">
        <v>781</v>
      </c>
      <c r="D202" s="494">
        <v>1265147</v>
      </c>
      <c r="E202" s="545">
        <v>79.136331991195306</v>
      </c>
      <c r="F202" s="494">
        <v>29697</v>
      </c>
      <c r="G202" s="545">
        <v>1.8575799105894626</v>
      </c>
      <c r="H202" s="494">
        <v>54456</v>
      </c>
      <c r="I202" s="545">
        <v>3.4062825070229246</v>
      </c>
      <c r="J202" s="494">
        <v>0</v>
      </c>
      <c r="K202" s="545">
        <v>0</v>
      </c>
      <c r="L202" s="494">
        <v>0</v>
      </c>
      <c r="M202" s="545">
        <v>0</v>
      </c>
      <c r="N202" s="494">
        <v>64290</v>
      </c>
      <c r="O202" s="545">
        <v>4.0214099892849973</v>
      </c>
      <c r="P202" s="494">
        <v>20552</v>
      </c>
      <c r="Q202" s="545">
        <v>1.2855501337655197</v>
      </c>
      <c r="R202" s="494">
        <v>164551</v>
      </c>
      <c r="S202" s="545">
        <v>10.292845468141788</v>
      </c>
      <c r="T202" s="494">
        <v>1598693</v>
      </c>
      <c r="U202" s="545">
        <v>100</v>
      </c>
    </row>
    <row r="203" spans="1:21" hidden="1" x14ac:dyDescent="0.2">
      <c r="A203" s="38"/>
      <c r="B203" s="38"/>
      <c r="C203" s="38" t="s">
        <v>314</v>
      </c>
      <c r="D203" s="494">
        <v>695275</v>
      </c>
      <c r="E203" s="545">
        <v>81.259978167827228</v>
      </c>
      <c r="F203" s="494">
        <v>32252</v>
      </c>
      <c r="G203" s="545">
        <v>3.7694391656089516</v>
      </c>
      <c r="H203" s="494">
        <v>83513</v>
      </c>
      <c r="I203" s="545">
        <v>9.7605473470637598</v>
      </c>
      <c r="J203" s="494">
        <v>1600</v>
      </c>
      <c r="K203" s="545">
        <v>0.18699933848984007</v>
      </c>
      <c r="L203" s="494">
        <v>0</v>
      </c>
      <c r="M203" s="545">
        <v>0</v>
      </c>
      <c r="N203" s="494">
        <v>15045</v>
      </c>
      <c r="O203" s="545">
        <v>1.7583781547372774</v>
      </c>
      <c r="P203" s="494">
        <v>26625</v>
      </c>
      <c r="Q203" s="545">
        <v>3.1117858670574949</v>
      </c>
      <c r="R203" s="494">
        <v>1308</v>
      </c>
      <c r="S203" s="545">
        <v>0.15287195921544428</v>
      </c>
      <c r="T203" s="494">
        <v>855618</v>
      </c>
      <c r="U203" s="545">
        <v>100</v>
      </c>
    </row>
    <row r="204" spans="1:21" hidden="1" x14ac:dyDescent="0.2">
      <c r="A204" s="38"/>
      <c r="B204" s="38"/>
      <c r="C204" s="38" t="s">
        <v>782</v>
      </c>
      <c r="D204" s="494">
        <v>1022101</v>
      </c>
      <c r="E204" s="545">
        <v>59.478872247700956</v>
      </c>
      <c r="F204" s="494">
        <v>139400</v>
      </c>
      <c r="G204" s="545">
        <v>8.112069933724273</v>
      </c>
      <c r="H204" s="494">
        <v>127000</v>
      </c>
      <c r="I204" s="545">
        <v>7.3904797818004493</v>
      </c>
      <c r="J204" s="494">
        <v>0</v>
      </c>
      <c r="K204" s="545">
        <v>0</v>
      </c>
      <c r="L204" s="494">
        <v>0</v>
      </c>
      <c r="M204" s="545">
        <v>0</v>
      </c>
      <c r="N204" s="494">
        <v>73898</v>
      </c>
      <c r="O204" s="545">
        <v>4.3003281489408627</v>
      </c>
      <c r="P204" s="494">
        <v>31063</v>
      </c>
      <c r="Q204" s="545">
        <v>1.8076415233233649</v>
      </c>
      <c r="R204" s="494">
        <v>324965</v>
      </c>
      <c r="S204" s="545">
        <v>18.9106083645101</v>
      </c>
      <c r="T204" s="494">
        <v>1718427</v>
      </c>
      <c r="U204" s="545">
        <v>100</v>
      </c>
    </row>
    <row r="205" spans="1:21" x14ac:dyDescent="0.2">
      <c r="A205" s="38">
        <v>52</v>
      </c>
      <c r="B205" s="38" t="s">
        <v>661</v>
      </c>
      <c r="C205" s="54" t="s">
        <v>535</v>
      </c>
      <c r="D205" s="494">
        <f>SUM(D202:D204)</f>
        <v>2982523</v>
      </c>
      <c r="E205" s="494">
        <f>AVERAGE(E202:E204)</f>
        <v>73.291727468907837</v>
      </c>
      <c r="F205" s="494">
        <f>SUM(F202:F204)</f>
        <v>201349</v>
      </c>
      <c r="G205" s="494">
        <f>AVERAGE(G202:G204)</f>
        <v>4.5796963366408958</v>
      </c>
      <c r="H205" s="494">
        <f>SUM(H202:H204)</f>
        <v>264969</v>
      </c>
      <c r="I205" s="494">
        <f>AVERAGE(I202:I204)</f>
        <v>6.8524365452957108</v>
      </c>
      <c r="J205" s="494">
        <f>SUM(J202:J204)</f>
        <v>1600</v>
      </c>
      <c r="K205" s="494">
        <f>AVERAGE(K202:K204)</f>
        <v>6.2333112829946691E-2</v>
      </c>
      <c r="L205" s="494">
        <f>SUM(L202:L204)</f>
        <v>0</v>
      </c>
      <c r="M205" s="494">
        <f>AVERAGE(M202:M204)</f>
        <v>0</v>
      </c>
      <c r="N205" s="494">
        <f>SUM(N202:N204)</f>
        <v>153233</v>
      </c>
      <c r="O205" s="494">
        <f>AVERAGE(O202:O204)</f>
        <v>3.3600387643210454</v>
      </c>
      <c r="P205" s="494">
        <f>SUM(P202:P204)</f>
        <v>78240</v>
      </c>
      <c r="Q205" s="494">
        <f>AVERAGE(Q202:Q204)</f>
        <v>2.0683258413821264</v>
      </c>
      <c r="R205" s="494">
        <f>SUM(R202:R204)</f>
        <v>490824</v>
      </c>
      <c r="S205" s="494">
        <f>AVERAGE(S202:S204)</f>
        <v>9.7854419306224454</v>
      </c>
      <c r="T205" s="494">
        <f>SUM(T202:T204)</f>
        <v>4172738</v>
      </c>
      <c r="U205" s="494">
        <f>AVERAGE(U202:U204)</f>
        <v>100</v>
      </c>
    </row>
    <row r="206" spans="1:21" hidden="1" x14ac:dyDescent="0.2">
      <c r="A206" s="38"/>
      <c r="B206" s="38"/>
      <c r="C206" s="38" t="s">
        <v>640</v>
      </c>
      <c r="D206" s="494">
        <v>733387</v>
      </c>
      <c r="E206" s="545">
        <v>88.642467432320387</v>
      </c>
      <c r="F206" s="494">
        <v>67325</v>
      </c>
      <c r="G206" s="545">
        <v>8.1373873819429168</v>
      </c>
      <c r="H206" s="494">
        <v>5885</v>
      </c>
      <c r="I206" s="545">
        <v>0.71130374664291218</v>
      </c>
      <c r="J206" s="494">
        <v>0</v>
      </c>
      <c r="K206" s="545">
        <v>0</v>
      </c>
      <c r="L206" s="494">
        <v>314</v>
      </c>
      <c r="M206" s="545">
        <v>3.7952315453844428E-2</v>
      </c>
      <c r="N206" s="494">
        <v>931</v>
      </c>
      <c r="O206" s="545">
        <v>0.11252740664818203</v>
      </c>
      <c r="P206" s="494">
        <v>0</v>
      </c>
      <c r="Q206" s="545">
        <v>0</v>
      </c>
      <c r="R206" s="494">
        <v>19512</v>
      </c>
      <c r="S206" s="545">
        <v>2.3583617169917592</v>
      </c>
      <c r="T206" s="494">
        <v>827354</v>
      </c>
      <c r="U206" s="545">
        <v>100</v>
      </c>
    </row>
    <row r="207" spans="1:21" x14ac:dyDescent="0.2">
      <c r="A207" s="38">
        <v>53</v>
      </c>
      <c r="B207" s="38" t="s">
        <v>272</v>
      </c>
      <c r="C207" s="54" t="s">
        <v>535</v>
      </c>
      <c r="D207" s="494">
        <f>SUM(D206:D206)</f>
        <v>733387</v>
      </c>
      <c r="E207" s="545">
        <v>88.642467432320387</v>
      </c>
      <c r="F207" s="494">
        <f>SUM(F206:F206)</f>
        <v>67325</v>
      </c>
      <c r="G207" s="545">
        <v>8.1373873819429168</v>
      </c>
      <c r="H207" s="494">
        <f>SUM(H206:H206)</f>
        <v>5885</v>
      </c>
      <c r="I207" s="545">
        <v>0.71130374664291218</v>
      </c>
      <c r="J207" s="494">
        <f>SUM(J206:J206)</f>
        <v>0</v>
      </c>
      <c r="K207" s="545">
        <v>0</v>
      </c>
      <c r="L207" s="494">
        <f>SUM(L206:L206)</f>
        <v>314</v>
      </c>
      <c r="M207" s="545">
        <v>3.7952315453844428E-2</v>
      </c>
      <c r="N207" s="494">
        <f>SUM(N206:N206)</f>
        <v>931</v>
      </c>
      <c r="O207" s="545">
        <v>0.11252740664818203</v>
      </c>
      <c r="P207" s="494">
        <f>SUM(P206:P206)</f>
        <v>0</v>
      </c>
      <c r="Q207" s="545">
        <v>0</v>
      </c>
      <c r="R207" s="494">
        <f>SUM(R206:R206)</f>
        <v>19512</v>
      </c>
      <c r="S207" s="545">
        <v>2.3583617169917592</v>
      </c>
      <c r="T207" s="494">
        <f>SUM(T206:T206)</f>
        <v>827354</v>
      </c>
      <c r="U207" s="545">
        <v>100</v>
      </c>
    </row>
    <row r="208" spans="1:21" hidden="1" x14ac:dyDescent="0.2">
      <c r="A208" s="38"/>
      <c r="B208" s="38"/>
      <c r="C208" s="38" t="s">
        <v>783</v>
      </c>
      <c r="D208" s="494">
        <v>8245186</v>
      </c>
      <c r="E208" s="545">
        <v>75.720949112445595</v>
      </c>
      <c r="F208" s="494">
        <v>698078</v>
      </c>
      <c r="G208" s="545">
        <v>6.4109079788518777</v>
      </c>
      <c r="H208" s="494">
        <v>252863</v>
      </c>
      <c r="I208" s="545">
        <v>2.3222067222522731</v>
      </c>
      <c r="J208" s="494">
        <v>108629</v>
      </c>
      <c r="K208" s="545">
        <v>0.99761133116170486</v>
      </c>
      <c r="L208" s="494">
        <v>14752</v>
      </c>
      <c r="M208" s="545">
        <v>0.1354772883603593</v>
      </c>
      <c r="N208" s="494">
        <v>794406</v>
      </c>
      <c r="O208" s="545">
        <v>7.2955511616865225</v>
      </c>
      <c r="P208" s="494">
        <v>50034</v>
      </c>
      <c r="Q208" s="545">
        <v>0.45949502750964055</v>
      </c>
      <c r="R208" s="494">
        <v>724962</v>
      </c>
      <c r="S208" s="545">
        <v>6.6578013777320226</v>
      </c>
      <c r="T208" s="494">
        <v>10888910</v>
      </c>
      <c r="U208" s="545">
        <v>100</v>
      </c>
    </row>
    <row r="209" spans="1:21" x14ac:dyDescent="0.2">
      <c r="A209" s="38">
        <v>54</v>
      </c>
      <c r="B209" s="38" t="s">
        <v>281</v>
      </c>
      <c r="C209" s="54" t="s">
        <v>535</v>
      </c>
      <c r="D209" s="494">
        <v>8245186</v>
      </c>
      <c r="E209" s="545">
        <v>75.720949112445595</v>
      </c>
      <c r="F209" s="494">
        <v>698078</v>
      </c>
      <c r="G209" s="545">
        <v>6.4109079788518777</v>
      </c>
      <c r="H209" s="494">
        <v>252863</v>
      </c>
      <c r="I209" s="545">
        <v>2.3222067222522731</v>
      </c>
      <c r="J209" s="494">
        <v>108629</v>
      </c>
      <c r="K209" s="545">
        <v>0.99761133116170486</v>
      </c>
      <c r="L209" s="494">
        <v>14752</v>
      </c>
      <c r="M209" s="545">
        <v>0.1354772883603593</v>
      </c>
      <c r="N209" s="494">
        <v>794406</v>
      </c>
      <c r="O209" s="545">
        <v>7.2955511616865225</v>
      </c>
      <c r="P209" s="494">
        <v>50034</v>
      </c>
      <c r="Q209" s="545">
        <v>0.45949502750964055</v>
      </c>
      <c r="R209" s="494">
        <v>724962</v>
      </c>
      <c r="S209" s="545">
        <v>6.6578013777320226</v>
      </c>
      <c r="T209" s="494">
        <v>10888910</v>
      </c>
      <c r="U209" s="545">
        <v>100</v>
      </c>
    </row>
    <row r="210" spans="1:21" hidden="1" x14ac:dyDescent="0.2">
      <c r="A210" s="38"/>
      <c r="B210" s="38"/>
      <c r="C210" s="38" t="s">
        <v>635</v>
      </c>
      <c r="D210" s="494">
        <v>827191</v>
      </c>
      <c r="E210" s="545">
        <v>82.724477091010911</v>
      </c>
      <c r="F210" s="494">
        <v>83667</v>
      </c>
      <c r="G210" s="545">
        <v>8.3672438708516061</v>
      </c>
      <c r="H210" s="494">
        <v>54090</v>
      </c>
      <c r="I210" s="545">
        <v>5.4093516078545099</v>
      </c>
      <c r="J210" s="494">
        <v>267</v>
      </c>
      <c r="K210" s="545">
        <v>2.6701735612814834E-2</v>
      </c>
      <c r="L210" s="494">
        <v>3883</v>
      </c>
      <c r="M210" s="545">
        <v>0.38832524114067413</v>
      </c>
      <c r="N210" s="494">
        <v>20113</v>
      </c>
      <c r="O210" s="545">
        <v>2.0114307429982952</v>
      </c>
      <c r="P210" s="494">
        <v>10724</v>
      </c>
      <c r="Q210" s="545">
        <v>1.0724697105311847</v>
      </c>
      <c r="R210" s="494">
        <v>0</v>
      </c>
      <c r="S210" s="545">
        <v>0</v>
      </c>
      <c r="T210" s="494">
        <v>999935</v>
      </c>
      <c r="U210" s="545">
        <v>100</v>
      </c>
    </row>
    <row r="211" spans="1:21" x14ac:dyDescent="0.2">
      <c r="A211" s="38">
        <v>55</v>
      </c>
      <c r="B211" s="38" t="s">
        <v>681</v>
      </c>
      <c r="C211" s="54" t="s">
        <v>535</v>
      </c>
      <c r="D211" s="494">
        <v>827191</v>
      </c>
      <c r="E211" s="545">
        <v>82.724477091010911</v>
      </c>
      <c r="F211" s="494">
        <v>83667</v>
      </c>
      <c r="G211" s="545">
        <v>8.3672438708516061</v>
      </c>
      <c r="H211" s="494">
        <v>54090</v>
      </c>
      <c r="I211" s="545">
        <v>5.4093516078545099</v>
      </c>
      <c r="J211" s="494">
        <v>267</v>
      </c>
      <c r="K211" s="545">
        <v>2.6701735612814834E-2</v>
      </c>
      <c r="L211" s="494">
        <v>3883</v>
      </c>
      <c r="M211" s="545">
        <v>0.38832524114067413</v>
      </c>
      <c r="N211" s="494">
        <v>20113</v>
      </c>
      <c r="O211" s="545">
        <v>2.0114307429982952</v>
      </c>
      <c r="P211" s="494">
        <v>10724</v>
      </c>
      <c r="Q211" s="545">
        <v>1.0724697105311847</v>
      </c>
      <c r="R211" s="494">
        <v>0</v>
      </c>
      <c r="S211" s="545">
        <v>0</v>
      </c>
      <c r="T211" s="494">
        <v>999935</v>
      </c>
      <c r="U211" s="545">
        <v>100</v>
      </c>
    </row>
    <row r="212" spans="1:21" x14ac:dyDescent="0.2">
      <c r="C212" s="53"/>
      <c r="E212" s="3"/>
      <c r="G212" s="3"/>
      <c r="I212" s="3"/>
      <c r="K212" s="3"/>
      <c r="M212" s="3"/>
      <c r="O212" s="3"/>
      <c r="Q212" s="3"/>
      <c r="S212" s="3"/>
      <c r="U212" s="3"/>
    </row>
    <row r="214" spans="1:21" x14ac:dyDescent="0.2">
      <c r="A214" s="38">
        <v>1</v>
      </c>
      <c r="B214" s="38"/>
      <c r="C214" s="38" t="s">
        <v>622</v>
      </c>
      <c r="D214" s="494">
        <v>1728959</v>
      </c>
      <c r="E214" s="545">
        <v>65.434434012785175</v>
      </c>
      <c r="F214" s="494">
        <v>218401</v>
      </c>
      <c r="G214" s="545">
        <v>8.2656360404302802</v>
      </c>
      <c r="H214" s="494">
        <v>77038</v>
      </c>
      <c r="I214" s="545">
        <v>2.9155913630554253</v>
      </c>
      <c r="J214" s="494">
        <v>0</v>
      </c>
      <c r="K214" s="545">
        <v>0</v>
      </c>
      <c r="L214" s="494">
        <v>2528</v>
      </c>
      <c r="M214" s="545">
        <v>9.5675056021756993E-2</v>
      </c>
      <c r="N214" s="494">
        <v>401282</v>
      </c>
      <c r="O214" s="545">
        <v>15.186976989921948</v>
      </c>
      <c r="P214" s="494">
        <v>7895</v>
      </c>
      <c r="Q214" s="545">
        <v>0.29879531934009945</v>
      </c>
      <c r="R214" s="494">
        <v>206174</v>
      </c>
      <c r="S214" s="545">
        <v>7.8028912184453025</v>
      </c>
      <c r="T214" s="494">
        <v>2642277</v>
      </c>
      <c r="U214" s="545">
        <v>100</v>
      </c>
    </row>
    <row r="215" spans="1:21" x14ac:dyDescent="0.2">
      <c r="A215" s="38">
        <v>2</v>
      </c>
      <c r="B215" s="38"/>
      <c r="C215" s="54" t="s">
        <v>304</v>
      </c>
      <c r="D215" s="494">
        <v>830202</v>
      </c>
      <c r="E215" s="545">
        <v>62.980116022112021</v>
      </c>
      <c r="F215" s="494">
        <v>184520</v>
      </c>
      <c r="G215" s="545">
        <v>13.997907748234899</v>
      </c>
      <c r="H215" s="494">
        <v>49045</v>
      </c>
      <c r="I215" s="545">
        <v>3.7206123212236104</v>
      </c>
      <c r="J215" s="494">
        <v>1480</v>
      </c>
      <c r="K215" s="545">
        <v>0.11227456897565387</v>
      </c>
      <c r="L215" s="494">
        <v>1803</v>
      </c>
      <c r="M215" s="545">
        <v>0.13677773504263779</v>
      </c>
      <c r="N215" s="494">
        <v>178171</v>
      </c>
      <c r="O215" s="545">
        <v>13.516265019568397</v>
      </c>
      <c r="P215" s="494">
        <v>12066</v>
      </c>
      <c r="Q215" s="545">
        <v>0.91534118193259428</v>
      </c>
      <c r="R215" s="494">
        <v>60910</v>
      </c>
      <c r="S215" s="545">
        <v>4.6207054029101871</v>
      </c>
      <c r="T215" s="494">
        <v>1318197</v>
      </c>
      <c r="U215" s="545">
        <v>100</v>
      </c>
    </row>
    <row r="216" spans="1:21" x14ac:dyDescent="0.2">
      <c r="A216" s="38">
        <v>3</v>
      </c>
      <c r="B216" s="38"/>
      <c r="C216" s="38" t="s">
        <v>623</v>
      </c>
      <c r="D216" s="494">
        <v>213941</v>
      </c>
      <c r="E216" s="545">
        <v>73.918045814186513</v>
      </c>
      <c r="F216" s="494">
        <v>59317</v>
      </c>
      <c r="G216" s="545">
        <v>20.494420067028297</v>
      </c>
      <c r="H216" s="494">
        <v>5354</v>
      </c>
      <c r="I216" s="545">
        <v>1.8498427944580726</v>
      </c>
      <c r="J216" s="494">
        <v>106</v>
      </c>
      <c r="K216" s="545">
        <v>3.6623708668762738E-2</v>
      </c>
      <c r="L216" s="494">
        <v>0</v>
      </c>
      <c r="M216" s="545">
        <v>0</v>
      </c>
      <c r="N216" s="494">
        <v>368</v>
      </c>
      <c r="O216" s="545">
        <v>0.1271464602840065</v>
      </c>
      <c r="P216" s="494">
        <v>1065</v>
      </c>
      <c r="Q216" s="545">
        <v>0.36796462011539921</v>
      </c>
      <c r="R216" s="494">
        <v>9279</v>
      </c>
      <c r="S216" s="545">
        <v>3.2059565352589572</v>
      </c>
      <c r="T216" s="494">
        <v>289430</v>
      </c>
      <c r="U216" s="545">
        <v>100</v>
      </c>
    </row>
    <row r="217" spans="1:21" x14ac:dyDescent="0.2">
      <c r="A217" s="38">
        <v>4</v>
      </c>
      <c r="B217" s="38"/>
      <c r="C217" s="54" t="s">
        <v>306</v>
      </c>
      <c r="D217" s="494">
        <v>448612</v>
      </c>
      <c r="E217" s="545">
        <v>82.470443979138437</v>
      </c>
      <c r="F217" s="494">
        <v>50046</v>
      </c>
      <c r="G217" s="545">
        <v>9.2001904527296681</v>
      </c>
      <c r="H217" s="494">
        <v>11346</v>
      </c>
      <c r="I217" s="545">
        <v>2.0857882923044966</v>
      </c>
      <c r="J217" s="494">
        <v>0</v>
      </c>
      <c r="K217" s="545">
        <v>0</v>
      </c>
      <c r="L217" s="494">
        <v>526</v>
      </c>
      <c r="M217" s="545">
        <v>9.669704228381501E-2</v>
      </c>
      <c r="N217" s="494">
        <v>17378</v>
      </c>
      <c r="O217" s="545">
        <v>3.1946790889888539</v>
      </c>
      <c r="P217" s="494">
        <v>1407</v>
      </c>
      <c r="Q217" s="545">
        <v>0.25865539637514778</v>
      </c>
      <c r="R217" s="494">
        <v>14652</v>
      </c>
      <c r="S217" s="545">
        <v>2.6935457481795768</v>
      </c>
      <c r="T217" s="494">
        <v>543967</v>
      </c>
      <c r="U217" s="545">
        <v>100</v>
      </c>
    </row>
    <row r="218" spans="1:21" x14ac:dyDescent="0.2">
      <c r="A218" s="38">
        <v>5</v>
      </c>
      <c r="B218" s="38"/>
      <c r="C218" s="38" t="s">
        <v>307</v>
      </c>
      <c r="D218" s="494">
        <v>207631</v>
      </c>
      <c r="E218" s="545">
        <v>66.197888105288655</v>
      </c>
      <c r="F218" s="494">
        <v>57320</v>
      </c>
      <c r="G218" s="545">
        <v>18.275030925994415</v>
      </c>
      <c r="H218" s="494">
        <v>37520</v>
      </c>
      <c r="I218" s="545">
        <v>11.962302169283156</v>
      </c>
      <c r="J218" s="494">
        <v>0</v>
      </c>
      <c r="K218" s="545">
        <v>0</v>
      </c>
      <c r="L218" s="494">
        <v>410</v>
      </c>
      <c r="M218" s="545">
        <v>0.13071812071977859</v>
      </c>
      <c r="N218" s="494">
        <v>2224</v>
      </c>
      <c r="O218" s="545">
        <v>0.70906609873362836</v>
      </c>
      <c r="P218" s="494">
        <v>3510</v>
      </c>
      <c r="Q218" s="545">
        <v>1.1190746432351779</v>
      </c>
      <c r="R218" s="494">
        <v>5037</v>
      </c>
      <c r="S218" s="545">
        <v>1.6059199367451826</v>
      </c>
      <c r="T218" s="494">
        <v>313652</v>
      </c>
      <c r="U218" s="545">
        <v>100</v>
      </c>
    </row>
    <row r="219" spans="1:21" x14ac:dyDescent="0.2">
      <c r="A219" s="38">
        <v>6</v>
      </c>
      <c r="B219" s="38"/>
      <c r="C219" s="38" t="s">
        <v>624</v>
      </c>
      <c r="D219" s="494">
        <v>420578</v>
      </c>
      <c r="E219" s="545">
        <v>78.923388140981132</v>
      </c>
      <c r="F219" s="494">
        <v>43689</v>
      </c>
      <c r="G219" s="545">
        <v>8.198440965745533</v>
      </c>
      <c r="H219" s="494">
        <v>17988</v>
      </c>
      <c r="I219" s="545">
        <v>3.375530593326252</v>
      </c>
      <c r="J219" s="494">
        <v>0</v>
      </c>
      <c r="K219" s="545">
        <v>0</v>
      </c>
      <c r="L219" s="494">
        <v>1549</v>
      </c>
      <c r="M219" s="545">
        <v>0.29067694513355374</v>
      </c>
      <c r="N219" s="494">
        <v>37898</v>
      </c>
      <c r="O219" s="545">
        <v>7.1117332902978818</v>
      </c>
      <c r="P219" s="494">
        <v>11192</v>
      </c>
      <c r="Q219" s="545">
        <v>2.1002300645156446</v>
      </c>
      <c r="R219" s="494">
        <v>0</v>
      </c>
      <c r="S219" s="545">
        <v>0</v>
      </c>
      <c r="T219" s="494">
        <v>532894</v>
      </c>
      <c r="U219" s="545">
        <v>100</v>
      </c>
    </row>
    <row r="220" spans="1:21" x14ac:dyDescent="0.2">
      <c r="A220" s="38">
        <v>7</v>
      </c>
      <c r="B220" s="38"/>
      <c r="C220" s="38" t="s">
        <v>625</v>
      </c>
      <c r="D220" s="494">
        <v>1735756</v>
      </c>
      <c r="E220" s="545">
        <v>80.918158610697247</v>
      </c>
      <c r="F220" s="494">
        <v>7836</v>
      </c>
      <c r="G220" s="545">
        <v>0.36530174222265316</v>
      </c>
      <c r="H220" s="494">
        <v>104043</v>
      </c>
      <c r="I220" s="545">
        <v>4.8503176577426625</v>
      </c>
      <c r="J220" s="494">
        <v>0</v>
      </c>
      <c r="K220" s="545">
        <v>0</v>
      </c>
      <c r="L220" s="494">
        <v>0</v>
      </c>
      <c r="M220" s="545">
        <v>0</v>
      </c>
      <c r="N220" s="494">
        <v>98419</v>
      </c>
      <c r="O220" s="545">
        <v>4.5881358049784717</v>
      </c>
      <c r="P220" s="494">
        <v>183905</v>
      </c>
      <c r="Q220" s="545">
        <v>8.5733559090680238</v>
      </c>
      <c r="R220" s="494">
        <v>15117</v>
      </c>
      <c r="S220" s="545">
        <v>0.70473027529094534</v>
      </c>
      <c r="T220" s="494">
        <v>2145076</v>
      </c>
      <c r="U220" s="545">
        <v>100</v>
      </c>
    </row>
    <row r="221" spans="1:21" x14ac:dyDescent="0.2">
      <c r="A221" s="38">
        <v>8</v>
      </c>
      <c r="B221" s="38"/>
      <c r="C221" s="38" t="s">
        <v>310</v>
      </c>
      <c r="D221" s="494">
        <v>586885</v>
      </c>
      <c r="E221" s="545">
        <v>53.245673961936859</v>
      </c>
      <c r="F221" s="494">
        <v>125252</v>
      </c>
      <c r="G221" s="545">
        <v>11.363601310445</v>
      </c>
      <c r="H221" s="494">
        <v>129377</v>
      </c>
      <c r="I221" s="545">
        <v>11.737845677046618</v>
      </c>
      <c r="J221" s="494">
        <v>138841</v>
      </c>
      <c r="K221" s="545">
        <v>12.596475661414544</v>
      </c>
      <c r="L221" s="494">
        <v>12229</v>
      </c>
      <c r="M221" s="545">
        <v>1.1094871173748277</v>
      </c>
      <c r="N221" s="494">
        <v>41516</v>
      </c>
      <c r="O221" s="545">
        <v>3.7665767572927749</v>
      </c>
      <c r="P221" s="494">
        <v>47230</v>
      </c>
      <c r="Q221" s="545">
        <v>4.2849845902046866</v>
      </c>
      <c r="R221" s="494">
        <v>20891</v>
      </c>
      <c r="S221" s="545">
        <v>1.8953549242846943</v>
      </c>
      <c r="T221" s="494">
        <v>1102221</v>
      </c>
      <c r="U221" s="545">
        <v>100</v>
      </c>
    </row>
    <row r="222" spans="1:21" x14ac:dyDescent="0.2">
      <c r="A222" s="38">
        <v>9</v>
      </c>
      <c r="B222" s="38"/>
      <c r="C222" s="38" t="s">
        <v>31</v>
      </c>
      <c r="D222" s="494">
        <v>240937</v>
      </c>
      <c r="E222" s="545">
        <v>70.187954811608222</v>
      </c>
      <c r="F222" s="494">
        <v>2642</v>
      </c>
      <c r="G222" s="545">
        <v>0.76964757016261065</v>
      </c>
      <c r="H222" s="494">
        <v>82350</v>
      </c>
      <c r="I222" s="545">
        <v>23.989582665742233</v>
      </c>
      <c r="J222" s="494">
        <v>0</v>
      </c>
      <c r="K222" s="545">
        <v>0</v>
      </c>
      <c r="L222" s="494">
        <v>0</v>
      </c>
      <c r="M222" s="545">
        <v>0</v>
      </c>
      <c r="N222" s="494">
        <v>9230</v>
      </c>
      <c r="O222" s="545">
        <v>2.6888141834219894</v>
      </c>
      <c r="P222" s="494">
        <v>8115</v>
      </c>
      <c r="Q222" s="545">
        <v>2.3640007690649454</v>
      </c>
      <c r="R222" s="494">
        <v>0</v>
      </c>
      <c r="S222" s="545">
        <v>0</v>
      </c>
      <c r="T222" s="494">
        <v>343274</v>
      </c>
      <c r="U222" s="545">
        <v>100</v>
      </c>
    </row>
    <row r="223" spans="1:21" x14ac:dyDescent="0.2">
      <c r="A223" s="38">
        <v>10</v>
      </c>
      <c r="B223" s="38"/>
      <c r="C223" s="38" t="s">
        <v>627</v>
      </c>
      <c r="D223" s="494">
        <v>220671</v>
      </c>
      <c r="E223" s="545">
        <v>69.737037540332395</v>
      </c>
      <c r="F223" s="494">
        <v>31502</v>
      </c>
      <c r="G223" s="545">
        <v>9.9553459974149341</v>
      </c>
      <c r="H223" s="494">
        <v>18972</v>
      </c>
      <c r="I223" s="545">
        <v>5.9955820031412648</v>
      </c>
      <c r="J223" s="494">
        <v>0</v>
      </c>
      <c r="K223" s="545">
        <v>0</v>
      </c>
      <c r="L223" s="494">
        <v>4653</v>
      </c>
      <c r="M223" s="545">
        <v>1.4704534609222173</v>
      </c>
      <c r="N223" s="494">
        <v>6701</v>
      </c>
      <c r="O223" s="545">
        <v>2.1176678791402921</v>
      </c>
      <c r="P223" s="494">
        <v>185</v>
      </c>
      <c r="Q223" s="545">
        <v>5.8464193051925684E-2</v>
      </c>
      <c r="R223" s="494">
        <v>33749</v>
      </c>
      <c r="S223" s="545">
        <v>10.665448925996973</v>
      </c>
      <c r="T223" s="494">
        <v>316433</v>
      </c>
      <c r="U223" s="545">
        <v>100</v>
      </c>
    </row>
    <row r="224" spans="1:21" x14ac:dyDescent="0.2">
      <c r="A224" s="38">
        <v>11</v>
      </c>
      <c r="B224" s="38"/>
      <c r="C224" s="38" t="s">
        <v>628</v>
      </c>
      <c r="D224" s="494">
        <v>237020</v>
      </c>
      <c r="E224" s="545">
        <v>88.777188060663036</v>
      </c>
      <c r="F224" s="494">
        <v>6451</v>
      </c>
      <c r="G224" s="545">
        <v>2.4162587131015831</v>
      </c>
      <c r="H224" s="494">
        <v>6808</v>
      </c>
      <c r="I224" s="545">
        <v>2.5499750920470592</v>
      </c>
      <c r="J224" s="494">
        <v>0</v>
      </c>
      <c r="K224" s="545">
        <v>0</v>
      </c>
      <c r="L224" s="494">
        <v>588</v>
      </c>
      <c r="M224" s="545">
        <v>0.2202387417925486</v>
      </c>
      <c r="N224" s="494">
        <v>8341</v>
      </c>
      <c r="O224" s="545">
        <v>3.1241689545776321</v>
      </c>
      <c r="P224" s="494">
        <v>6515</v>
      </c>
      <c r="Q224" s="545">
        <v>2.4402302768341055</v>
      </c>
      <c r="R224" s="494">
        <v>1260</v>
      </c>
      <c r="S224" s="545">
        <v>0.47194016098403263</v>
      </c>
      <c r="T224" s="494">
        <v>266983</v>
      </c>
      <c r="U224" s="545">
        <v>100</v>
      </c>
    </row>
    <row r="225" spans="1:21" x14ac:dyDescent="0.2">
      <c r="A225" s="38">
        <v>12</v>
      </c>
      <c r="B225" s="38"/>
      <c r="C225" s="38" t="s">
        <v>629</v>
      </c>
      <c r="D225" s="494">
        <v>385486</v>
      </c>
      <c r="E225" s="545">
        <v>78.992385308317154</v>
      </c>
      <c r="F225" s="494">
        <v>60029</v>
      </c>
      <c r="G225" s="545">
        <v>12.300923762919975</v>
      </c>
      <c r="H225" s="494">
        <v>7742</v>
      </c>
      <c r="I225" s="545">
        <v>1.5864624060458521</v>
      </c>
      <c r="J225" s="494">
        <v>0</v>
      </c>
      <c r="K225" s="545">
        <v>0</v>
      </c>
      <c r="L225" s="494">
        <v>1479</v>
      </c>
      <c r="M225" s="545">
        <v>0.30307128630093194</v>
      </c>
      <c r="N225" s="494">
        <v>12275</v>
      </c>
      <c r="O225" s="545">
        <v>2.515348234850534</v>
      </c>
      <c r="P225" s="494">
        <v>5181</v>
      </c>
      <c r="Q225" s="545">
        <v>1.0616716256424128</v>
      </c>
      <c r="R225" s="494">
        <v>15812</v>
      </c>
      <c r="S225" s="545">
        <v>3.240137375923148</v>
      </c>
      <c r="T225" s="494">
        <v>488004</v>
      </c>
      <c r="U225" s="545">
        <v>100</v>
      </c>
    </row>
    <row r="226" spans="1:21" x14ac:dyDescent="0.2">
      <c r="A226" s="38">
        <v>13</v>
      </c>
      <c r="B226" s="38"/>
      <c r="C226" s="38" t="s">
        <v>311</v>
      </c>
      <c r="D226" s="494">
        <v>900824</v>
      </c>
      <c r="E226" s="545">
        <v>71.516728736685238</v>
      </c>
      <c r="F226" s="494">
        <v>83400</v>
      </c>
      <c r="G226" s="545">
        <v>6.6211548278460057</v>
      </c>
      <c r="H226" s="494">
        <v>35864</v>
      </c>
      <c r="I226" s="545">
        <v>2.8472553566650975</v>
      </c>
      <c r="J226" s="494">
        <v>3189</v>
      </c>
      <c r="K226" s="545">
        <v>0.25317581230216918</v>
      </c>
      <c r="L226" s="494">
        <v>1251</v>
      </c>
      <c r="M226" s="545">
        <v>9.9317322417690077E-2</v>
      </c>
      <c r="N226" s="494">
        <v>57420</v>
      </c>
      <c r="O226" s="545">
        <v>4.5585936476608824</v>
      </c>
      <c r="P226" s="494">
        <v>2722</v>
      </c>
      <c r="Q226" s="545">
        <v>0.21610052088005785</v>
      </c>
      <c r="R226" s="494">
        <v>174929</v>
      </c>
      <c r="S226" s="545">
        <v>13.887673775542853</v>
      </c>
      <c r="T226" s="494">
        <v>1259599</v>
      </c>
      <c r="U226" s="545">
        <v>100</v>
      </c>
    </row>
    <row r="227" spans="1:21" x14ac:dyDescent="0.2">
      <c r="A227" s="38">
        <v>14</v>
      </c>
      <c r="B227" s="38"/>
      <c r="C227" s="38" t="s">
        <v>312</v>
      </c>
      <c r="D227" s="494">
        <v>1356955</v>
      </c>
      <c r="E227" s="545">
        <v>73.436844654545851</v>
      </c>
      <c r="F227" s="494">
        <v>178532</v>
      </c>
      <c r="G227" s="545">
        <v>9.6619466009303032</v>
      </c>
      <c r="H227" s="494">
        <v>100458</v>
      </c>
      <c r="I227" s="545">
        <v>5.4366714742245446</v>
      </c>
      <c r="J227" s="494">
        <v>3001</v>
      </c>
      <c r="K227" s="545">
        <v>0.16241067007254634</v>
      </c>
      <c r="L227" s="494">
        <v>66564</v>
      </c>
      <c r="M227" s="545">
        <v>3.6023671585168184</v>
      </c>
      <c r="N227" s="494">
        <v>16061</v>
      </c>
      <c r="O227" s="545">
        <v>0.86920285639292449</v>
      </c>
      <c r="P227" s="494">
        <v>36004</v>
      </c>
      <c r="Q227" s="545">
        <v>1.9484950900672968</v>
      </c>
      <c r="R227" s="494">
        <v>90210</v>
      </c>
      <c r="S227" s="545">
        <v>4.8820614952497179</v>
      </c>
      <c r="T227" s="494">
        <v>1847785</v>
      </c>
      <c r="U227" s="545">
        <v>100</v>
      </c>
    </row>
    <row r="228" spans="1:21" x14ac:dyDescent="0.2">
      <c r="A228" s="38">
        <v>15</v>
      </c>
      <c r="B228" s="38"/>
      <c r="C228" s="38" t="s">
        <v>630</v>
      </c>
      <c r="D228" s="494">
        <v>303263</v>
      </c>
      <c r="E228" s="545">
        <v>90.398900653407736</v>
      </c>
      <c r="F228" s="494">
        <v>23641</v>
      </c>
      <c r="G228" s="545">
        <v>7.0470858968855827</v>
      </c>
      <c r="H228" s="494">
        <v>5792</v>
      </c>
      <c r="I228" s="545">
        <v>1.7265226308007822</v>
      </c>
      <c r="J228" s="494">
        <v>179</v>
      </c>
      <c r="K228" s="545">
        <v>5.3357657270949585E-2</v>
      </c>
      <c r="L228" s="494">
        <v>700</v>
      </c>
      <c r="M228" s="545">
        <v>0.20866122955119948</v>
      </c>
      <c r="N228" s="494">
        <v>1598</v>
      </c>
      <c r="O228" s="545">
        <v>0.47634377831830971</v>
      </c>
      <c r="P228" s="494">
        <v>57</v>
      </c>
      <c r="Q228" s="545">
        <v>1.6990985834883388E-2</v>
      </c>
      <c r="R228" s="494">
        <v>242</v>
      </c>
      <c r="S228" s="545">
        <v>7.2137167930557536E-2</v>
      </c>
      <c r="T228" s="494">
        <v>335472</v>
      </c>
      <c r="U228" s="545">
        <v>100</v>
      </c>
    </row>
    <row r="229" spans="1:21" x14ac:dyDescent="0.2">
      <c r="A229" s="38">
        <v>16</v>
      </c>
      <c r="B229" s="38"/>
      <c r="C229" s="38" t="s">
        <v>631</v>
      </c>
      <c r="D229" s="494">
        <v>782766</v>
      </c>
      <c r="E229" s="545">
        <v>73.373971355912033</v>
      </c>
      <c r="F229" s="494">
        <v>128656</v>
      </c>
      <c r="G229" s="545">
        <v>12.059800321892133</v>
      </c>
      <c r="H229" s="494">
        <v>33431</v>
      </c>
      <c r="I229" s="545">
        <v>3.1337145920996763</v>
      </c>
      <c r="J229" s="494">
        <v>175</v>
      </c>
      <c r="K229" s="545">
        <v>1.6403938069978263E-2</v>
      </c>
      <c r="L229" s="494">
        <v>0</v>
      </c>
      <c r="M229" s="545">
        <v>0</v>
      </c>
      <c r="N229" s="494">
        <v>34398</v>
      </c>
      <c r="O229" s="545">
        <v>3.224358067034927</v>
      </c>
      <c r="P229" s="494">
        <v>22277</v>
      </c>
      <c r="Q229" s="545">
        <v>2.088174447913747</v>
      </c>
      <c r="R229" s="494">
        <v>65114</v>
      </c>
      <c r="S229" s="545">
        <v>6.1035772770775116</v>
      </c>
      <c r="T229" s="494">
        <v>1066817</v>
      </c>
      <c r="U229" s="545">
        <v>100</v>
      </c>
    </row>
    <row r="230" spans="1:21" x14ac:dyDescent="0.2">
      <c r="A230" s="38">
        <v>17</v>
      </c>
      <c r="B230" s="38"/>
      <c r="C230" s="38" t="s">
        <v>314</v>
      </c>
      <c r="D230" s="494">
        <v>695275</v>
      </c>
      <c r="E230" s="545">
        <v>81.259978167827228</v>
      </c>
      <c r="F230" s="494">
        <v>32252</v>
      </c>
      <c r="G230" s="545">
        <v>3.7694391656089516</v>
      </c>
      <c r="H230" s="494">
        <v>83513</v>
      </c>
      <c r="I230" s="545">
        <v>9.7605473470637598</v>
      </c>
      <c r="J230" s="494">
        <v>1600</v>
      </c>
      <c r="K230" s="545">
        <v>0.18699933848984007</v>
      </c>
      <c r="L230" s="494">
        <v>0</v>
      </c>
      <c r="M230" s="545">
        <v>0</v>
      </c>
      <c r="N230" s="494">
        <v>15045</v>
      </c>
      <c r="O230" s="545">
        <v>1.7583781547372774</v>
      </c>
      <c r="P230" s="494">
        <v>26625</v>
      </c>
      <c r="Q230" s="545">
        <v>3.1117858670574949</v>
      </c>
      <c r="R230" s="494">
        <v>1308</v>
      </c>
      <c r="S230" s="545">
        <v>0.15287195921544428</v>
      </c>
      <c r="T230" s="494">
        <v>855618</v>
      </c>
      <c r="U230" s="545">
        <v>100</v>
      </c>
    </row>
    <row r="231" spans="1:21" x14ac:dyDescent="0.2">
      <c r="A231" s="38">
        <v>18</v>
      </c>
      <c r="B231" s="38"/>
      <c r="C231" s="38" t="s">
        <v>315</v>
      </c>
      <c r="D231" s="494">
        <v>622922</v>
      </c>
      <c r="E231" s="545">
        <v>82.055517574330139</v>
      </c>
      <c r="F231" s="494">
        <v>72168</v>
      </c>
      <c r="G231" s="545">
        <v>9.5064592233124809</v>
      </c>
      <c r="H231" s="494">
        <v>29537</v>
      </c>
      <c r="I231" s="545">
        <v>3.8908142955185228</v>
      </c>
      <c r="J231" s="494">
        <v>262</v>
      </c>
      <c r="K231" s="545">
        <v>3.4512419860712094E-2</v>
      </c>
      <c r="L231" s="494">
        <v>5305</v>
      </c>
      <c r="M231" s="545">
        <v>0.69881063878273908</v>
      </c>
      <c r="N231" s="494">
        <v>10078</v>
      </c>
      <c r="O231" s="545">
        <v>1.3275426234971621</v>
      </c>
      <c r="P231" s="494">
        <v>18875</v>
      </c>
      <c r="Q231" s="545">
        <v>2.4863432246982469</v>
      </c>
      <c r="R231" s="494">
        <v>0</v>
      </c>
      <c r="S231" s="545">
        <v>0</v>
      </c>
      <c r="T231" s="494">
        <v>759147</v>
      </c>
      <c r="U231" s="545">
        <v>100</v>
      </c>
    </row>
    <row r="232" spans="1:21" x14ac:dyDescent="0.2">
      <c r="A232" s="38">
        <v>19</v>
      </c>
      <c r="B232" s="38"/>
      <c r="C232" s="38" t="s">
        <v>632</v>
      </c>
      <c r="D232" s="494">
        <v>1192043</v>
      </c>
      <c r="E232" s="545">
        <v>81.350409023564154</v>
      </c>
      <c r="F232" s="494">
        <v>139352</v>
      </c>
      <c r="G232" s="545">
        <v>9.5100111306821251</v>
      </c>
      <c r="H232" s="494">
        <v>27528</v>
      </c>
      <c r="I232" s="545">
        <v>1.8786353005727765</v>
      </c>
      <c r="J232" s="494">
        <v>2270</v>
      </c>
      <c r="K232" s="545">
        <v>0.15491507310012359</v>
      </c>
      <c r="L232" s="494">
        <v>0</v>
      </c>
      <c r="M232" s="545">
        <v>0</v>
      </c>
      <c r="N232" s="494">
        <v>41971</v>
      </c>
      <c r="O232" s="545">
        <v>2.8642909837380119</v>
      </c>
      <c r="P232" s="494">
        <v>34661</v>
      </c>
      <c r="Q232" s="545">
        <v>2.3654235016402572</v>
      </c>
      <c r="R232" s="494">
        <v>27494</v>
      </c>
      <c r="S232" s="545">
        <v>1.8763149867025541</v>
      </c>
      <c r="T232" s="494">
        <v>1465319</v>
      </c>
      <c r="U232" s="545">
        <v>100</v>
      </c>
    </row>
    <row r="233" spans="1:21" x14ac:dyDescent="0.2">
      <c r="A233" s="38">
        <v>20</v>
      </c>
      <c r="B233" s="38"/>
      <c r="C233" s="38" t="s">
        <v>633</v>
      </c>
      <c r="D233" s="494">
        <v>1069178</v>
      </c>
      <c r="E233" s="545">
        <v>74.901205015093339</v>
      </c>
      <c r="F233" s="494">
        <v>201555</v>
      </c>
      <c r="G233" s="545">
        <v>14.119924256594446</v>
      </c>
      <c r="H233" s="494">
        <v>23444</v>
      </c>
      <c r="I233" s="545">
        <v>1.6423681093081302</v>
      </c>
      <c r="J233" s="494">
        <v>32100</v>
      </c>
      <c r="K233" s="545">
        <v>2.2487637053741247</v>
      </c>
      <c r="L233" s="494">
        <v>1232</v>
      </c>
      <c r="M233" s="545">
        <v>8.630769112214709E-2</v>
      </c>
      <c r="N233" s="494">
        <v>33692</v>
      </c>
      <c r="O233" s="545">
        <v>2.3602911763696266</v>
      </c>
      <c r="P233" s="494">
        <v>14181</v>
      </c>
      <c r="Q233" s="545">
        <v>0.99344916217789614</v>
      </c>
      <c r="R233" s="494">
        <v>52069</v>
      </c>
      <c r="S233" s="545">
        <v>3.6476908839602902</v>
      </c>
      <c r="T233" s="494">
        <v>1427451</v>
      </c>
      <c r="U233" s="545">
        <v>100</v>
      </c>
    </row>
    <row r="234" spans="1:21" x14ac:dyDescent="0.2">
      <c r="A234" s="38">
        <v>21</v>
      </c>
      <c r="B234" s="38"/>
      <c r="C234" s="38" t="s">
        <v>634</v>
      </c>
      <c r="D234" s="494">
        <v>700000</v>
      </c>
      <c r="E234" s="545">
        <v>89.507885644725306</v>
      </c>
      <c r="F234" s="494">
        <v>0</v>
      </c>
      <c r="G234" s="545">
        <v>0</v>
      </c>
      <c r="H234" s="494">
        <v>3640</v>
      </c>
      <c r="I234" s="545">
        <v>0.44279329581754973</v>
      </c>
      <c r="J234" s="494">
        <v>0</v>
      </c>
      <c r="K234" s="545">
        <v>0</v>
      </c>
      <c r="L234" s="494">
        <v>0</v>
      </c>
      <c r="M234" s="545">
        <v>0</v>
      </c>
      <c r="N234" s="494">
        <v>0</v>
      </c>
      <c r="O234" s="545">
        <v>0</v>
      </c>
      <c r="P234" s="494">
        <v>13264</v>
      </c>
      <c r="Q234" s="545">
        <v>1.6135193065175766</v>
      </c>
      <c r="R234" s="494">
        <v>65150</v>
      </c>
      <c r="S234" s="545">
        <v>7.9252701160750991</v>
      </c>
      <c r="T234" s="494">
        <v>782054</v>
      </c>
      <c r="U234" s="545">
        <v>100</v>
      </c>
    </row>
    <row r="235" spans="1:21" x14ac:dyDescent="0.2">
      <c r="A235" s="38">
        <v>22</v>
      </c>
      <c r="B235" s="38"/>
      <c r="C235" s="38" t="s">
        <v>635</v>
      </c>
      <c r="D235" s="494">
        <v>827191</v>
      </c>
      <c r="E235" s="545">
        <v>82.724477091010911</v>
      </c>
      <c r="F235" s="494">
        <v>83667</v>
      </c>
      <c r="G235" s="545">
        <v>8.3672438708516061</v>
      </c>
      <c r="H235" s="494">
        <v>54090</v>
      </c>
      <c r="I235" s="545">
        <v>5.4093516078545099</v>
      </c>
      <c r="J235" s="494">
        <v>267</v>
      </c>
      <c r="K235" s="545">
        <v>2.6701735612814834E-2</v>
      </c>
      <c r="L235" s="494">
        <v>3883</v>
      </c>
      <c r="M235" s="545">
        <v>0.38832524114067413</v>
      </c>
      <c r="N235" s="494">
        <v>20113</v>
      </c>
      <c r="O235" s="545">
        <v>2.0114307429982952</v>
      </c>
      <c r="P235" s="494">
        <v>10724</v>
      </c>
      <c r="Q235" s="545">
        <v>1.0724697105311847</v>
      </c>
      <c r="R235" s="494">
        <v>0</v>
      </c>
      <c r="S235" s="545">
        <v>0</v>
      </c>
      <c r="T235" s="494">
        <v>999935</v>
      </c>
      <c r="U235" s="545">
        <v>100</v>
      </c>
    </row>
    <row r="236" spans="1:21" x14ac:dyDescent="0.2">
      <c r="A236" s="38">
        <v>23</v>
      </c>
      <c r="B236" s="38"/>
      <c r="C236" s="38" t="s">
        <v>636</v>
      </c>
      <c r="D236" s="494">
        <v>957764</v>
      </c>
      <c r="E236" s="545">
        <v>85.386486888874828</v>
      </c>
      <c r="F236" s="494">
        <v>14268</v>
      </c>
      <c r="G236" s="545">
        <v>1.2720194065870778</v>
      </c>
      <c r="H236" s="494">
        <v>15343</v>
      </c>
      <c r="I236" s="545">
        <v>1.3678577064245538</v>
      </c>
      <c r="J236" s="494">
        <v>1349</v>
      </c>
      <c r="K236" s="545">
        <v>0.12026592230767927</v>
      </c>
      <c r="L236" s="494">
        <v>0</v>
      </c>
      <c r="M236" s="545">
        <v>0</v>
      </c>
      <c r="N236" s="494">
        <v>88057</v>
      </c>
      <c r="O236" s="545">
        <v>7.8504494593382619</v>
      </c>
      <c r="P236" s="494">
        <v>29022</v>
      </c>
      <c r="Q236" s="545">
        <v>2.5873666398913775</v>
      </c>
      <c r="R236" s="494">
        <v>15878</v>
      </c>
      <c r="S236" s="545">
        <v>1.4155539765762279</v>
      </c>
      <c r="T236" s="494">
        <v>1121681</v>
      </c>
      <c r="U236" s="545">
        <v>100</v>
      </c>
    </row>
    <row r="237" spans="1:21" x14ac:dyDescent="0.2">
      <c r="A237" s="38">
        <v>24</v>
      </c>
      <c r="B237" s="38"/>
      <c r="C237" s="38" t="s">
        <v>212</v>
      </c>
      <c r="D237" s="494">
        <v>258624</v>
      </c>
      <c r="E237" s="545">
        <v>91.524344065625286</v>
      </c>
      <c r="F237" s="494">
        <v>17371</v>
      </c>
      <c r="G237" s="545">
        <v>6.1474162520260185</v>
      </c>
      <c r="H237" s="494">
        <v>2670</v>
      </c>
      <c r="I237" s="545">
        <v>0.9448852336025253</v>
      </c>
      <c r="J237" s="494">
        <v>0</v>
      </c>
      <c r="K237" s="545">
        <v>0</v>
      </c>
      <c r="L237" s="494">
        <v>243</v>
      </c>
      <c r="M237" s="545">
        <v>8.5995172945847811E-2</v>
      </c>
      <c r="N237" s="494">
        <v>35</v>
      </c>
      <c r="O237" s="545">
        <v>1.2386136021006886E-2</v>
      </c>
      <c r="P237" s="494">
        <v>3631</v>
      </c>
      <c r="Q237" s="545">
        <v>1.2849731397793145</v>
      </c>
      <c r="R237" s="494">
        <v>0</v>
      </c>
      <c r="S237" s="545">
        <v>0</v>
      </c>
      <c r="T237" s="494">
        <v>282574</v>
      </c>
      <c r="U237" s="545">
        <v>100</v>
      </c>
    </row>
    <row r="238" spans="1:21" x14ac:dyDescent="0.2">
      <c r="A238" s="38">
        <v>25</v>
      </c>
      <c r="B238" s="38"/>
      <c r="C238" s="38" t="s">
        <v>120</v>
      </c>
      <c r="D238" s="494">
        <v>1246441</v>
      </c>
      <c r="E238" s="545">
        <v>72.262601913063946</v>
      </c>
      <c r="F238" s="494">
        <v>137368</v>
      </c>
      <c r="G238" s="545">
        <v>7.9639301816883181</v>
      </c>
      <c r="H238" s="494">
        <v>35798</v>
      </c>
      <c r="I238" s="545">
        <v>2.0753943614530193</v>
      </c>
      <c r="J238" s="494">
        <v>3362</v>
      </c>
      <c r="K238" s="545">
        <v>0.19491244882968467</v>
      </c>
      <c r="L238" s="494">
        <v>4656</v>
      </c>
      <c r="M238" s="545">
        <v>0.26993229082421533</v>
      </c>
      <c r="N238" s="494">
        <v>33575</v>
      </c>
      <c r="O238" s="545">
        <v>1.9465156066200664</v>
      </c>
      <c r="P238" s="494">
        <v>39536</v>
      </c>
      <c r="Q238" s="545">
        <v>2.2921054660709141</v>
      </c>
      <c r="R238" s="494">
        <v>224141</v>
      </c>
      <c r="S238" s="545">
        <v>12.994607731449836</v>
      </c>
      <c r="T238" s="494">
        <v>1724877</v>
      </c>
      <c r="U238" s="545">
        <v>100</v>
      </c>
    </row>
    <row r="239" spans="1:21" x14ac:dyDescent="0.2">
      <c r="A239" s="38">
        <v>26</v>
      </c>
      <c r="B239" s="38"/>
      <c r="C239" s="38" t="s">
        <v>637</v>
      </c>
      <c r="D239" s="494">
        <v>203105</v>
      </c>
      <c r="E239" s="545">
        <v>79.922637106643521</v>
      </c>
      <c r="F239" s="494">
        <v>41177</v>
      </c>
      <c r="G239" s="545">
        <v>16.203315665002144</v>
      </c>
      <c r="H239" s="494">
        <v>8635</v>
      </c>
      <c r="I239" s="545">
        <v>3.3979073455398288</v>
      </c>
      <c r="J239" s="494">
        <v>0</v>
      </c>
      <c r="K239" s="545">
        <v>0</v>
      </c>
      <c r="L239" s="494">
        <v>0</v>
      </c>
      <c r="M239" s="545">
        <v>0</v>
      </c>
      <c r="N239" s="494">
        <v>19</v>
      </c>
      <c r="O239" s="545">
        <v>7.4765766722937749E-3</v>
      </c>
      <c r="P239" s="494">
        <v>0</v>
      </c>
      <c r="Q239" s="545">
        <v>0</v>
      </c>
      <c r="R239" s="494">
        <v>1191</v>
      </c>
      <c r="S239" s="545">
        <v>0.46866330614220447</v>
      </c>
      <c r="T239" s="494">
        <v>254127</v>
      </c>
      <c r="U239" s="545">
        <v>100</v>
      </c>
    </row>
    <row r="240" spans="1:21" x14ac:dyDescent="0.2">
      <c r="A240" s="38">
        <v>27</v>
      </c>
      <c r="B240" s="38"/>
      <c r="C240" s="38" t="s">
        <v>215</v>
      </c>
      <c r="D240" s="494">
        <v>1610051</v>
      </c>
      <c r="E240" s="545">
        <v>77.491650659452304</v>
      </c>
      <c r="F240" s="494">
        <v>46858</v>
      </c>
      <c r="G240" s="545">
        <v>2.2552725141008678</v>
      </c>
      <c r="H240" s="494">
        <v>100502</v>
      </c>
      <c r="I240" s="545">
        <v>4.8371547699894446</v>
      </c>
      <c r="J240" s="494">
        <v>0</v>
      </c>
      <c r="K240" s="545">
        <v>0</v>
      </c>
      <c r="L240" s="494">
        <v>0</v>
      </c>
      <c r="M240" s="545">
        <v>0</v>
      </c>
      <c r="N240" s="494">
        <v>125160</v>
      </c>
      <c r="O240" s="545">
        <v>6.0239427176760554</v>
      </c>
      <c r="P240" s="494">
        <v>19944</v>
      </c>
      <c r="Q240" s="545">
        <v>0.95990343209756512</v>
      </c>
      <c r="R240" s="494">
        <v>175194</v>
      </c>
      <c r="S240" s="545">
        <v>8.4320759066837567</v>
      </c>
      <c r="T240" s="494">
        <v>2077709</v>
      </c>
      <c r="U240" s="545">
        <v>100</v>
      </c>
    </row>
    <row r="241" spans="1:21" x14ac:dyDescent="0.2">
      <c r="A241" s="38">
        <v>28</v>
      </c>
      <c r="B241" s="38"/>
      <c r="C241" s="38" t="s">
        <v>781</v>
      </c>
      <c r="D241" s="494">
        <v>1265147</v>
      </c>
      <c r="E241" s="545">
        <v>79.136331991195306</v>
      </c>
      <c r="F241" s="494">
        <v>29697</v>
      </c>
      <c r="G241" s="545">
        <v>1.8575799105894626</v>
      </c>
      <c r="H241" s="494">
        <v>54456</v>
      </c>
      <c r="I241" s="545">
        <v>3.4062825070229246</v>
      </c>
      <c r="J241" s="494">
        <v>0</v>
      </c>
      <c r="K241" s="545">
        <v>0</v>
      </c>
      <c r="L241" s="494">
        <v>0</v>
      </c>
      <c r="M241" s="545">
        <v>0</v>
      </c>
      <c r="N241" s="494">
        <v>64290</v>
      </c>
      <c r="O241" s="545">
        <v>4.0214099892849973</v>
      </c>
      <c r="P241" s="494">
        <v>20552</v>
      </c>
      <c r="Q241" s="545">
        <v>1.2855501337655197</v>
      </c>
      <c r="R241" s="494">
        <v>164551</v>
      </c>
      <c r="S241" s="545">
        <v>10.292845468141788</v>
      </c>
      <c r="T241" s="494">
        <v>1598693</v>
      </c>
      <c r="U241" s="545">
        <v>100</v>
      </c>
    </row>
    <row r="242" spans="1:21" x14ac:dyDescent="0.2">
      <c r="A242" s="38">
        <v>29</v>
      </c>
      <c r="B242" s="38"/>
      <c r="C242" s="38" t="s">
        <v>319</v>
      </c>
      <c r="D242" s="494">
        <v>935505</v>
      </c>
      <c r="E242" s="545">
        <v>65.656661360822653</v>
      </c>
      <c r="F242" s="494">
        <v>80716</v>
      </c>
      <c r="G242" s="545">
        <v>5.6649008593221435</v>
      </c>
      <c r="H242" s="494">
        <v>75013</v>
      </c>
      <c r="I242" s="545">
        <v>5.2646465156887352</v>
      </c>
      <c r="J242" s="494">
        <v>31332</v>
      </c>
      <c r="K242" s="545">
        <v>2.198977572281597</v>
      </c>
      <c r="L242" s="494">
        <v>8394</v>
      </c>
      <c r="M242" s="545">
        <v>0.58911712440098707</v>
      </c>
      <c r="N242" s="494">
        <v>120188</v>
      </c>
      <c r="O242" s="545">
        <v>8.4351690430671713</v>
      </c>
      <c r="P242" s="494">
        <v>4176</v>
      </c>
      <c r="Q242" s="545">
        <v>0.29308471664266406</v>
      </c>
      <c r="R242" s="494">
        <v>169520</v>
      </c>
      <c r="S242" s="545">
        <v>11.897442807774045</v>
      </c>
      <c r="T242" s="494">
        <v>1424844</v>
      </c>
      <c r="U242" s="545">
        <v>100</v>
      </c>
    </row>
    <row r="243" spans="1:21" x14ac:dyDescent="0.2">
      <c r="A243" s="38">
        <v>30</v>
      </c>
      <c r="B243" s="38"/>
      <c r="C243" s="38" t="s">
        <v>638</v>
      </c>
      <c r="D243" s="494">
        <v>1563555</v>
      </c>
      <c r="E243" s="545">
        <v>80.872126192285279</v>
      </c>
      <c r="F243" s="494">
        <v>106997</v>
      </c>
      <c r="G243" s="545">
        <v>5.5342312142495453</v>
      </c>
      <c r="H243" s="494">
        <v>62922</v>
      </c>
      <c r="I243" s="545">
        <v>3.2545295331926112</v>
      </c>
      <c r="J243" s="494">
        <v>7257</v>
      </c>
      <c r="K243" s="545">
        <v>0.37535553260193227</v>
      </c>
      <c r="L243" s="494">
        <v>657</v>
      </c>
      <c r="M243" s="545">
        <v>3.3982166862266711E-2</v>
      </c>
      <c r="N243" s="494">
        <v>148627</v>
      </c>
      <c r="O243" s="545">
        <v>7.6874695802711015</v>
      </c>
      <c r="P243" s="494">
        <v>5539</v>
      </c>
      <c r="Q243" s="545">
        <v>0.28649501103515268</v>
      </c>
      <c r="R243" s="494">
        <v>37813</v>
      </c>
      <c r="S243" s="545">
        <v>1.9558107695021174</v>
      </c>
      <c r="T243" s="494">
        <v>1933367</v>
      </c>
      <c r="U243" s="545">
        <v>100</v>
      </c>
    </row>
    <row r="244" spans="1:21" x14ac:dyDescent="0.2">
      <c r="A244" s="38">
        <v>31</v>
      </c>
      <c r="B244" s="38"/>
      <c r="C244" s="38" t="s">
        <v>640</v>
      </c>
      <c r="D244" s="494">
        <v>733387</v>
      </c>
      <c r="E244" s="545">
        <v>88.642467432320387</v>
      </c>
      <c r="F244" s="494">
        <v>67325</v>
      </c>
      <c r="G244" s="545">
        <v>8.1373873819429168</v>
      </c>
      <c r="H244" s="494">
        <v>5885</v>
      </c>
      <c r="I244" s="545">
        <v>0.71130374664291218</v>
      </c>
      <c r="J244" s="494">
        <v>0</v>
      </c>
      <c r="K244" s="545">
        <v>0</v>
      </c>
      <c r="L244" s="494">
        <v>314</v>
      </c>
      <c r="M244" s="545">
        <v>3.7952315453844428E-2</v>
      </c>
      <c r="N244" s="494">
        <v>931</v>
      </c>
      <c r="O244" s="545">
        <v>0.11252740664818203</v>
      </c>
      <c r="P244" s="494">
        <v>0</v>
      </c>
      <c r="Q244" s="545">
        <v>0</v>
      </c>
      <c r="R244" s="494">
        <v>19512</v>
      </c>
      <c r="S244" s="545">
        <v>2.3583617169917592</v>
      </c>
      <c r="T244" s="494">
        <v>827354</v>
      </c>
      <c r="U244" s="545">
        <v>100</v>
      </c>
    </row>
    <row r="245" spans="1:21" x14ac:dyDescent="0.2">
      <c r="A245" s="38">
        <v>32</v>
      </c>
      <c r="B245" s="38"/>
      <c r="C245" s="38" t="s">
        <v>641</v>
      </c>
      <c r="D245" s="494">
        <v>4633803</v>
      </c>
      <c r="E245" s="545">
        <v>70.762337015605183</v>
      </c>
      <c r="F245" s="494">
        <v>519375</v>
      </c>
      <c r="G245" s="545">
        <v>7.9313231027473412</v>
      </c>
      <c r="H245" s="494">
        <v>322216</v>
      </c>
      <c r="I245" s="545">
        <v>4.9205279516242362</v>
      </c>
      <c r="J245" s="494">
        <v>150491</v>
      </c>
      <c r="K245" s="545">
        <v>2.2981328424655598</v>
      </c>
      <c r="L245" s="494">
        <v>6760</v>
      </c>
      <c r="M245" s="545">
        <v>0.10323127638906769</v>
      </c>
      <c r="N245" s="494">
        <v>460498</v>
      </c>
      <c r="O245" s="545">
        <v>7.0322183897356352</v>
      </c>
      <c r="P245" s="494">
        <v>57889</v>
      </c>
      <c r="Q245" s="545">
        <v>0.88401706492407395</v>
      </c>
      <c r="R245" s="494">
        <v>397371</v>
      </c>
      <c r="S245" s="545">
        <v>6.0682123565089077</v>
      </c>
      <c r="T245" s="494">
        <v>6548403</v>
      </c>
      <c r="U245" s="545">
        <v>100</v>
      </c>
    </row>
    <row r="246" spans="1:21" x14ac:dyDescent="0.2">
      <c r="A246" s="38">
        <v>33</v>
      </c>
      <c r="B246" s="38"/>
      <c r="C246" s="38" t="s">
        <v>782</v>
      </c>
      <c r="D246" s="494">
        <v>1022101</v>
      </c>
      <c r="E246" s="545">
        <v>59.478872247700956</v>
      </c>
      <c r="F246" s="494">
        <v>139400</v>
      </c>
      <c r="G246" s="545">
        <v>8.112069933724273</v>
      </c>
      <c r="H246" s="494">
        <v>127000</v>
      </c>
      <c r="I246" s="545">
        <v>7.3904797818004493</v>
      </c>
      <c r="J246" s="494">
        <v>0</v>
      </c>
      <c r="K246" s="545">
        <v>0</v>
      </c>
      <c r="L246" s="494">
        <v>0</v>
      </c>
      <c r="M246" s="545">
        <v>0</v>
      </c>
      <c r="N246" s="494">
        <v>73898</v>
      </c>
      <c r="O246" s="545">
        <v>4.3003281489408627</v>
      </c>
      <c r="P246" s="494">
        <v>31063</v>
      </c>
      <c r="Q246" s="545">
        <v>1.8076415233233649</v>
      </c>
      <c r="R246" s="494">
        <v>324965</v>
      </c>
      <c r="S246" s="545">
        <v>18.9106083645101</v>
      </c>
      <c r="T246" s="494">
        <v>1718427</v>
      </c>
      <c r="U246" s="545">
        <v>100</v>
      </c>
    </row>
    <row r="247" spans="1:21" x14ac:dyDescent="0.2">
      <c r="A247" s="38">
        <v>34</v>
      </c>
      <c r="B247" s="38"/>
      <c r="C247" s="38" t="s">
        <v>643</v>
      </c>
      <c r="D247" s="494">
        <v>344464</v>
      </c>
      <c r="E247" s="545">
        <v>79.979381969904168</v>
      </c>
      <c r="F247" s="494">
        <v>8988</v>
      </c>
      <c r="G247" s="545">
        <v>2.0868789921312496</v>
      </c>
      <c r="H247" s="494">
        <v>0</v>
      </c>
      <c r="I247" s="545">
        <v>0</v>
      </c>
      <c r="J247" s="494">
        <v>0</v>
      </c>
      <c r="K247" s="545">
        <v>0</v>
      </c>
      <c r="L247" s="494">
        <v>0</v>
      </c>
      <c r="M247" s="545">
        <v>0</v>
      </c>
      <c r="N247" s="494">
        <v>18820</v>
      </c>
      <c r="O247" s="545">
        <v>4.3697221441822558</v>
      </c>
      <c r="P247" s="494">
        <v>24234</v>
      </c>
      <c r="Q247" s="545">
        <v>5.6267718619613598</v>
      </c>
      <c r="R247" s="494">
        <v>34185</v>
      </c>
      <c r="S247" s="545">
        <v>7.9372450318209582</v>
      </c>
      <c r="T247" s="494">
        <v>430691</v>
      </c>
      <c r="U247" s="545">
        <v>100</v>
      </c>
    </row>
    <row r="248" spans="1:21" x14ac:dyDescent="0.2">
      <c r="A248" s="38">
        <v>35</v>
      </c>
      <c r="B248" s="38"/>
      <c r="C248" s="38" t="s">
        <v>321</v>
      </c>
      <c r="D248" s="494">
        <v>189255</v>
      </c>
      <c r="E248" s="545">
        <v>68.009328800695712</v>
      </c>
      <c r="F248" s="494">
        <v>25574</v>
      </c>
      <c r="G248" s="545">
        <v>9.1900904850545135</v>
      </c>
      <c r="H248" s="494">
        <v>11049</v>
      </c>
      <c r="I248" s="545">
        <v>3.9704899417129633</v>
      </c>
      <c r="J248" s="494">
        <v>146</v>
      </c>
      <c r="K248" s="545">
        <v>5.2465520091419374E-2</v>
      </c>
      <c r="L248" s="494">
        <v>453</v>
      </c>
      <c r="M248" s="545">
        <v>0.16278685343433544</v>
      </c>
      <c r="N248" s="494">
        <v>26197</v>
      </c>
      <c r="O248" s="545">
        <v>9.4139673276363922</v>
      </c>
      <c r="P248" s="494">
        <v>1949</v>
      </c>
      <c r="Q248" s="545">
        <v>0.70037875793271476</v>
      </c>
      <c r="R248" s="494">
        <v>23655</v>
      </c>
      <c r="S248" s="545">
        <v>8.5004923134419546</v>
      </c>
      <c r="T248" s="494">
        <v>278278</v>
      </c>
      <c r="U248" s="545">
        <v>100</v>
      </c>
    </row>
    <row r="249" spans="1:21" x14ac:dyDescent="0.2">
      <c r="A249" s="38">
        <v>36</v>
      </c>
      <c r="B249" s="38"/>
      <c r="C249" s="38" t="s">
        <v>322</v>
      </c>
      <c r="D249" s="494">
        <v>484538</v>
      </c>
      <c r="E249" s="545">
        <v>89.642273053555442</v>
      </c>
      <c r="F249" s="494">
        <v>5466</v>
      </c>
      <c r="G249" s="545">
        <v>1.0112409439728856</v>
      </c>
      <c r="H249" s="494">
        <v>8433</v>
      </c>
      <c r="I249" s="545">
        <v>1.5601527406738647</v>
      </c>
      <c r="J249" s="494">
        <v>0</v>
      </c>
      <c r="K249" s="545">
        <v>0</v>
      </c>
      <c r="L249" s="494">
        <v>24090</v>
      </c>
      <c r="M249" s="545">
        <v>4.456786377663156</v>
      </c>
      <c r="N249" s="494">
        <v>11387</v>
      </c>
      <c r="O249" s="545">
        <v>2.1066594637795917</v>
      </c>
      <c r="P249" s="494">
        <v>6565</v>
      </c>
      <c r="Q249" s="545">
        <v>1.2145621656022674</v>
      </c>
      <c r="R249" s="494">
        <v>45</v>
      </c>
      <c r="S249" s="545">
        <v>8.325254752795436E-3</v>
      </c>
      <c r="T249" s="494">
        <v>540524</v>
      </c>
      <c r="U249" s="545">
        <v>100</v>
      </c>
    </row>
    <row r="250" spans="1:21" x14ac:dyDescent="0.2">
      <c r="A250" s="38">
        <v>37</v>
      </c>
      <c r="B250" s="38"/>
      <c r="C250" s="38" t="s">
        <v>645</v>
      </c>
      <c r="D250" s="494">
        <v>374292</v>
      </c>
      <c r="E250" s="545">
        <v>71.26263020511054</v>
      </c>
      <c r="F250" s="494">
        <v>34715</v>
      </c>
      <c r="G250" s="545">
        <v>6.6094979523217496</v>
      </c>
      <c r="H250" s="494">
        <v>69184</v>
      </c>
      <c r="I250" s="545">
        <v>13.172159191514559</v>
      </c>
      <c r="J250" s="494">
        <v>963</v>
      </c>
      <c r="K250" s="545">
        <v>0.18334859651694785</v>
      </c>
      <c r="L250" s="494">
        <v>0</v>
      </c>
      <c r="M250" s="545">
        <v>0</v>
      </c>
      <c r="N250" s="494">
        <v>41479</v>
      </c>
      <c r="O250" s="545">
        <v>7.897317170224798</v>
      </c>
      <c r="P250" s="494">
        <v>0</v>
      </c>
      <c r="Q250" s="545">
        <v>0</v>
      </c>
      <c r="R250" s="494">
        <v>4596</v>
      </c>
      <c r="S250" s="545">
        <v>0.87504688431141475</v>
      </c>
      <c r="T250" s="494">
        <v>525229</v>
      </c>
      <c r="U250" s="545">
        <v>100</v>
      </c>
    </row>
    <row r="251" spans="1:21" x14ac:dyDescent="0.2">
      <c r="A251" s="38">
        <v>38</v>
      </c>
      <c r="B251" s="38"/>
      <c r="C251" s="38" t="s">
        <v>325</v>
      </c>
      <c r="D251" s="494">
        <v>1739017</v>
      </c>
      <c r="E251" s="545">
        <v>78.263802692536515</v>
      </c>
      <c r="F251" s="494">
        <v>69256</v>
      </c>
      <c r="G251" s="545">
        <v>3.1168400994782166</v>
      </c>
      <c r="H251" s="494">
        <v>291080</v>
      </c>
      <c r="I251" s="545">
        <v>13.099945364388924</v>
      </c>
      <c r="J251" s="494">
        <v>0</v>
      </c>
      <c r="K251" s="545">
        <v>0</v>
      </c>
      <c r="L251" s="494">
        <v>61881</v>
      </c>
      <c r="M251" s="545">
        <v>2.7849310124149751</v>
      </c>
      <c r="N251" s="494">
        <v>31201</v>
      </c>
      <c r="O251" s="545">
        <v>1.4041892102318909</v>
      </c>
      <c r="P251" s="494">
        <v>18688</v>
      </c>
      <c r="Q251" s="545">
        <v>0.84104637546275995</v>
      </c>
      <c r="R251" s="494">
        <v>10871</v>
      </c>
      <c r="S251" s="545">
        <v>0.48924524548671144</v>
      </c>
      <c r="T251" s="494">
        <v>2221994</v>
      </c>
      <c r="U251" s="545">
        <v>100</v>
      </c>
    </row>
    <row r="252" spans="1:21" x14ac:dyDescent="0.2">
      <c r="A252" s="38">
        <v>39</v>
      </c>
      <c r="B252" s="38"/>
      <c r="C252" s="38" t="s">
        <v>326</v>
      </c>
      <c r="D252" s="494">
        <v>587233</v>
      </c>
      <c r="E252" s="545">
        <v>74.448073105116492</v>
      </c>
      <c r="F252" s="494">
        <v>94440</v>
      </c>
      <c r="G252" s="545">
        <v>11.972889847892066</v>
      </c>
      <c r="H252" s="494">
        <v>82300</v>
      </c>
      <c r="I252" s="545">
        <v>10.433808073713649</v>
      </c>
      <c r="J252" s="494">
        <v>0</v>
      </c>
      <c r="K252" s="545">
        <v>0</v>
      </c>
      <c r="L252" s="494">
        <v>1163</v>
      </c>
      <c r="M252" s="545">
        <v>0.14744251263340186</v>
      </c>
      <c r="N252" s="494">
        <v>12986</v>
      </c>
      <c r="O252" s="545">
        <v>1.6463357429555947</v>
      </c>
      <c r="P252" s="494">
        <v>10660</v>
      </c>
      <c r="Q252" s="545">
        <v>1.3514507176887911</v>
      </c>
      <c r="R252" s="494">
        <v>0</v>
      </c>
      <c r="S252" s="545">
        <v>0</v>
      </c>
      <c r="T252" s="494">
        <v>788782</v>
      </c>
      <c r="U252" s="545">
        <v>100</v>
      </c>
    </row>
    <row r="253" spans="1:21" x14ac:dyDescent="0.2">
      <c r="A253" s="38">
        <v>40</v>
      </c>
      <c r="B253" s="38"/>
      <c r="C253" s="38" t="s">
        <v>327</v>
      </c>
      <c r="D253" s="494">
        <v>552452</v>
      </c>
      <c r="E253" s="545">
        <v>73.0537259314994</v>
      </c>
      <c r="F253" s="494">
        <v>136998</v>
      </c>
      <c r="G253" s="545">
        <v>18.115988982144252</v>
      </c>
      <c r="H253" s="494">
        <v>214</v>
      </c>
      <c r="I253" s="545">
        <v>2.8298381306142199E-2</v>
      </c>
      <c r="J253" s="494">
        <v>8315</v>
      </c>
      <c r="K253" s="545">
        <v>1.0995375727129553</v>
      </c>
      <c r="L253" s="494">
        <v>666</v>
      </c>
      <c r="M253" s="545">
        <v>8.8068794158367783E-2</v>
      </c>
      <c r="N253" s="494">
        <v>1961</v>
      </c>
      <c r="O253" s="545">
        <v>0.25931367168852743</v>
      </c>
      <c r="P253" s="494">
        <v>2251</v>
      </c>
      <c r="Q253" s="545">
        <v>0.29766194542114999</v>
      </c>
      <c r="R253" s="494">
        <v>53370</v>
      </c>
      <c r="S253" s="545">
        <v>7.0574047210692035</v>
      </c>
      <c r="T253" s="494">
        <v>756227</v>
      </c>
      <c r="U253" s="545">
        <v>100</v>
      </c>
    </row>
    <row r="254" spans="1:21" x14ac:dyDescent="0.2">
      <c r="A254" s="38">
        <v>41</v>
      </c>
      <c r="B254" s="38"/>
      <c r="C254" s="38" t="s">
        <v>33</v>
      </c>
      <c r="D254" s="494">
        <v>132423</v>
      </c>
      <c r="E254" s="545">
        <v>67.770561773601713</v>
      </c>
      <c r="F254" s="494">
        <v>20445</v>
      </c>
      <c r="G254" s="545">
        <v>10.463206055302228</v>
      </c>
      <c r="H254" s="494">
        <v>32170</v>
      </c>
      <c r="I254" s="545">
        <v>16.463748535048797</v>
      </c>
      <c r="J254" s="494">
        <v>225</v>
      </c>
      <c r="K254" s="545">
        <v>0.11514900280963566</v>
      </c>
      <c r="L254" s="494">
        <v>0</v>
      </c>
      <c r="M254" s="545">
        <v>0</v>
      </c>
      <c r="N254" s="494">
        <v>10136</v>
      </c>
      <c r="O254" s="545">
        <v>5.1873346332376311</v>
      </c>
      <c r="P254" s="494">
        <v>0</v>
      </c>
      <c r="Q254" s="545">
        <v>0</v>
      </c>
      <c r="R254" s="494">
        <v>0</v>
      </c>
      <c r="S254" s="545">
        <v>0</v>
      </c>
      <c r="T254" s="494">
        <v>195399</v>
      </c>
      <c r="U254" s="545">
        <v>100</v>
      </c>
    </row>
    <row r="255" spans="1:21" x14ac:dyDescent="0.2">
      <c r="A255" s="38">
        <v>42</v>
      </c>
      <c r="B255" s="38"/>
      <c r="C255" s="38" t="s">
        <v>227</v>
      </c>
      <c r="D255" s="494">
        <v>1737974</v>
      </c>
      <c r="E255" s="545">
        <v>68.364179623472154</v>
      </c>
      <c r="F255" s="494">
        <v>428975</v>
      </c>
      <c r="G255" s="545">
        <v>16.873971620967268</v>
      </c>
      <c r="H255" s="494">
        <v>47193</v>
      </c>
      <c r="I255" s="545">
        <v>1.8563630577733161</v>
      </c>
      <c r="J255" s="494">
        <v>24488</v>
      </c>
      <c r="K255" s="545">
        <v>0.96324918014860184</v>
      </c>
      <c r="L255" s="494">
        <v>0</v>
      </c>
      <c r="M255" s="545">
        <v>0</v>
      </c>
      <c r="N255" s="494">
        <v>159124</v>
      </c>
      <c r="O255" s="545">
        <v>6.2592315641116514</v>
      </c>
      <c r="P255" s="494">
        <v>13504</v>
      </c>
      <c r="Q255" s="545">
        <v>0.53118739499864098</v>
      </c>
      <c r="R255" s="494">
        <v>130971</v>
      </c>
      <c r="S255" s="545">
        <v>5.1518175585283625</v>
      </c>
      <c r="T255" s="494">
        <v>2542229</v>
      </c>
      <c r="U255" s="545">
        <v>100</v>
      </c>
    </row>
    <row r="256" spans="1:21" x14ac:dyDescent="0.2">
      <c r="A256" s="38">
        <v>43</v>
      </c>
      <c r="B256" s="38"/>
      <c r="C256" s="38" t="s">
        <v>328</v>
      </c>
      <c r="D256" s="494">
        <v>74472</v>
      </c>
      <c r="E256" s="545">
        <v>56.134955452037453</v>
      </c>
      <c r="F256" s="494">
        <v>14527</v>
      </c>
      <c r="G256" s="545">
        <v>10.950055025402138</v>
      </c>
      <c r="H256" s="494">
        <v>2578</v>
      </c>
      <c r="I256" s="545">
        <v>1.943225845356007</v>
      </c>
      <c r="J256" s="494">
        <v>0</v>
      </c>
      <c r="K256" s="545">
        <v>0</v>
      </c>
      <c r="L256" s="494">
        <v>360</v>
      </c>
      <c r="M256" s="545">
        <v>0.27135814752837956</v>
      </c>
      <c r="N256" s="494">
        <v>32956</v>
      </c>
      <c r="O256" s="545">
        <v>24.841330860959101</v>
      </c>
      <c r="P256" s="494">
        <v>0</v>
      </c>
      <c r="Q256" s="545">
        <v>0</v>
      </c>
      <c r="R256" s="494">
        <v>7773</v>
      </c>
      <c r="S256" s="545">
        <v>5.8590746687169277</v>
      </c>
      <c r="T256" s="494">
        <v>132666</v>
      </c>
      <c r="U256" s="545">
        <v>100</v>
      </c>
    </row>
    <row r="257" spans="1:21" x14ac:dyDescent="0.2">
      <c r="A257" s="38">
        <v>44</v>
      </c>
      <c r="B257" s="38"/>
      <c r="C257" s="38" t="s">
        <v>329</v>
      </c>
      <c r="D257" s="494">
        <v>2992613</v>
      </c>
      <c r="E257" s="545">
        <v>80.26801127384347</v>
      </c>
      <c r="F257" s="494">
        <v>241564</v>
      </c>
      <c r="G257" s="545">
        <v>6.4792413437202612</v>
      </c>
      <c r="H257" s="494">
        <v>120482</v>
      </c>
      <c r="I257" s="545">
        <v>3.2315740572854588</v>
      </c>
      <c r="J257" s="494">
        <v>45844</v>
      </c>
      <c r="K257" s="545">
        <v>1.2296299952042178</v>
      </c>
      <c r="L257" s="494">
        <v>0</v>
      </c>
      <c r="M257" s="545">
        <v>0</v>
      </c>
      <c r="N257" s="494">
        <v>165932</v>
      </c>
      <c r="O257" s="545">
        <v>4.4506361653482731</v>
      </c>
      <c r="P257" s="494">
        <v>161841</v>
      </c>
      <c r="Q257" s="545">
        <v>4.3409071645983293</v>
      </c>
      <c r="R257" s="494">
        <v>0</v>
      </c>
      <c r="S257" s="545">
        <v>0</v>
      </c>
      <c r="T257" s="494">
        <v>3728276</v>
      </c>
      <c r="U257" s="545">
        <v>100</v>
      </c>
    </row>
    <row r="258" spans="1:21" x14ac:dyDescent="0.2">
      <c r="A258" s="38">
        <v>45</v>
      </c>
      <c r="B258" s="38"/>
      <c r="C258" s="38" t="s">
        <v>331</v>
      </c>
      <c r="D258" s="494">
        <v>1081842</v>
      </c>
      <c r="E258" s="545">
        <v>70.774591220313837</v>
      </c>
      <c r="F258" s="494">
        <v>116937</v>
      </c>
      <c r="G258" s="545">
        <v>7.6500712428708066</v>
      </c>
      <c r="H258" s="494">
        <v>81661</v>
      </c>
      <c r="I258" s="545">
        <v>5.3422994241691928</v>
      </c>
      <c r="J258" s="494">
        <v>8479</v>
      </c>
      <c r="K258" s="545">
        <v>0.55470000143924991</v>
      </c>
      <c r="L258" s="494">
        <v>51133</v>
      </c>
      <c r="M258" s="545">
        <v>3.3451439053653926</v>
      </c>
      <c r="N258" s="494">
        <v>153892</v>
      </c>
      <c r="O258" s="545">
        <v>10.067683998288601</v>
      </c>
      <c r="P258" s="494">
        <v>2322</v>
      </c>
      <c r="Q258" s="545">
        <v>0.15190628651278903</v>
      </c>
      <c r="R258" s="494">
        <v>32308</v>
      </c>
      <c r="S258" s="545">
        <v>2.1136039210401325</v>
      </c>
      <c r="T258" s="494">
        <v>1528574</v>
      </c>
      <c r="U258" s="545">
        <v>100</v>
      </c>
    </row>
    <row r="259" spans="1:21" x14ac:dyDescent="0.2">
      <c r="A259" s="38">
        <v>46</v>
      </c>
      <c r="B259" s="38"/>
      <c r="C259" s="38" t="s">
        <v>332</v>
      </c>
      <c r="D259" s="494">
        <v>852811</v>
      </c>
      <c r="E259" s="545">
        <v>84.623322911012693</v>
      </c>
      <c r="F259" s="494">
        <v>59049</v>
      </c>
      <c r="G259" s="545">
        <v>5.8593552317833479</v>
      </c>
      <c r="H259" s="494">
        <v>3581</v>
      </c>
      <c r="I259" s="545">
        <v>0.35533795805206131</v>
      </c>
      <c r="J259" s="494">
        <v>0</v>
      </c>
      <c r="K259" s="545">
        <v>0</v>
      </c>
      <c r="L259" s="494">
        <v>373</v>
      </c>
      <c r="M259" s="545">
        <v>3.7012303365936576E-2</v>
      </c>
      <c r="N259" s="494">
        <v>19479</v>
      </c>
      <c r="O259" s="545">
        <v>1.9328757567428381</v>
      </c>
      <c r="P259" s="494">
        <v>54256</v>
      </c>
      <c r="Q259" s="545">
        <v>5.3837520949658302</v>
      </c>
      <c r="R259" s="494">
        <v>18224</v>
      </c>
      <c r="S259" s="545">
        <v>1.8083437440772874</v>
      </c>
      <c r="T259" s="494">
        <v>1007773</v>
      </c>
      <c r="U259" s="545">
        <v>100</v>
      </c>
    </row>
    <row r="260" spans="1:21" x14ac:dyDescent="0.2">
      <c r="A260" s="38">
        <v>47</v>
      </c>
      <c r="B260" s="38"/>
      <c r="C260" s="38" t="s">
        <v>648</v>
      </c>
      <c r="D260" s="494">
        <v>136940</v>
      </c>
      <c r="E260" s="545">
        <v>84.51990791317175</v>
      </c>
      <c r="F260" s="494">
        <v>15634</v>
      </c>
      <c r="G260" s="545">
        <v>9.6493664401528196</v>
      </c>
      <c r="H260" s="494">
        <v>3997</v>
      </c>
      <c r="I260" s="545">
        <v>2.4669641589670475</v>
      </c>
      <c r="J260" s="494">
        <v>0</v>
      </c>
      <c r="K260" s="545">
        <v>0</v>
      </c>
      <c r="L260" s="494">
        <v>0</v>
      </c>
      <c r="M260" s="545">
        <v>0</v>
      </c>
      <c r="N260" s="494">
        <v>0</v>
      </c>
      <c r="O260" s="545">
        <v>0</v>
      </c>
      <c r="P260" s="494">
        <v>0</v>
      </c>
      <c r="Q260" s="545">
        <v>0</v>
      </c>
      <c r="R260" s="494">
        <v>5450</v>
      </c>
      <c r="S260" s="545">
        <v>3.3637614877083832</v>
      </c>
      <c r="T260" s="494">
        <v>162021</v>
      </c>
      <c r="U260" s="545">
        <v>100</v>
      </c>
    </row>
    <row r="261" spans="1:21" x14ac:dyDescent="0.2">
      <c r="A261" s="38">
        <v>48</v>
      </c>
      <c r="B261" s="38"/>
      <c r="C261" s="38" t="s">
        <v>333</v>
      </c>
      <c r="D261" s="494">
        <v>661943</v>
      </c>
      <c r="E261" s="545">
        <v>76.561491574040872</v>
      </c>
      <c r="F261" s="494">
        <v>82735</v>
      </c>
      <c r="G261" s="545">
        <v>9.5692756104049312</v>
      </c>
      <c r="H261" s="494">
        <v>74492</v>
      </c>
      <c r="I261" s="545">
        <v>8.615875733006396</v>
      </c>
      <c r="J261" s="494">
        <v>0</v>
      </c>
      <c r="K261" s="545">
        <v>0</v>
      </c>
      <c r="L261" s="494">
        <v>0</v>
      </c>
      <c r="M261" s="545">
        <v>0</v>
      </c>
      <c r="N261" s="494">
        <v>22877</v>
      </c>
      <c r="O261" s="545">
        <v>2.6459940549856</v>
      </c>
      <c r="P261" s="494">
        <v>22543</v>
      </c>
      <c r="Q261" s="545">
        <v>2.6073630275621968</v>
      </c>
      <c r="R261" s="494">
        <v>0</v>
      </c>
      <c r="S261" s="545">
        <v>0</v>
      </c>
      <c r="T261" s="494">
        <v>864590</v>
      </c>
      <c r="U261" s="545">
        <v>100</v>
      </c>
    </row>
    <row r="262" spans="1:21" x14ac:dyDescent="0.2">
      <c r="A262" s="38">
        <v>49</v>
      </c>
      <c r="B262" s="38"/>
      <c r="C262" s="38" t="s">
        <v>784</v>
      </c>
      <c r="D262" s="494">
        <v>677507</v>
      </c>
      <c r="E262" s="545">
        <v>80.057924707333711</v>
      </c>
      <c r="F262" s="494">
        <v>4628</v>
      </c>
      <c r="G262" s="545">
        <v>0.54686973794446458</v>
      </c>
      <c r="H262" s="494">
        <v>48879</v>
      </c>
      <c r="I262" s="545">
        <v>5.7758094038434491</v>
      </c>
      <c r="J262" s="494">
        <v>0</v>
      </c>
      <c r="K262" s="545">
        <v>0</v>
      </c>
      <c r="L262" s="494">
        <v>0</v>
      </c>
      <c r="M262" s="545">
        <v>0</v>
      </c>
      <c r="N262" s="494">
        <v>32878</v>
      </c>
      <c r="O262" s="545">
        <v>3.8850439161923309</v>
      </c>
      <c r="P262" s="494">
        <v>12145</v>
      </c>
      <c r="Q262" s="545">
        <v>1.4351194830024898</v>
      </c>
      <c r="R262" s="494">
        <v>70234</v>
      </c>
      <c r="S262" s="545">
        <v>8.2992327516835616</v>
      </c>
      <c r="T262" s="494">
        <v>846271</v>
      </c>
      <c r="U262" s="545">
        <v>100</v>
      </c>
    </row>
    <row r="263" spans="1:21" x14ac:dyDescent="0.2">
      <c r="A263" s="38">
        <v>50</v>
      </c>
      <c r="B263" s="38"/>
      <c r="C263" s="38" t="s">
        <v>335</v>
      </c>
      <c r="D263" s="494">
        <v>100063</v>
      </c>
      <c r="E263" s="545">
        <v>98.538607738288675</v>
      </c>
      <c r="F263" s="494">
        <v>456</v>
      </c>
      <c r="G263" s="545">
        <v>0.44905314780348016</v>
      </c>
      <c r="H263" s="494">
        <v>152</v>
      </c>
      <c r="I263" s="545">
        <v>0.14968438260116007</v>
      </c>
      <c r="J263" s="494">
        <v>133</v>
      </c>
      <c r="K263" s="545">
        <v>0.13097383477601504</v>
      </c>
      <c r="L263" s="494">
        <v>0</v>
      </c>
      <c r="M263" s="545">
        <v>0</v>
      </c>
      <c r="N263" s="494">
        <v>0</v>
      </c>
      <c r="O263" s="545">
        <v>0</v>
      </c>
      <c r="P263" s="494">
        <v>0</v>
      </c>
      <c r="Q263" s="545">
        <v>0</v>
      </c>
      <c r="R263" s="494">
        <v>743</v>
      </c>
      <c r="S263" s="545">
        <v>0.73168089653067059</v>
      </c>
      <c r="T263" s="494">
        <v>101547</v>
      </c>
      <c r="U263" s="545">
        <v>100</v>
      </c>
    </row>
    <row r="264" spans="1:21" x14ac:dyDescent="0.2">
      <c r="A264" s="38">
        <v>51</v>
      </c>
      <c r="B264" s="38"/>
      <c r="C264" s="38" t="s">
        <v>336</v>
      </c>
      <c r="D264" s="494">
        <v>127145</v>
      </c>
      <c r="E264" s="545">
        <v>46.98233335673612</v>
      </c>
      <c r="F264" s="494">
        <v>0</v>
      </c>
      <c r="G264" s="545">
        <v>0</v>
      </c>
      <c r="H264" s="494">
        <v>23691</v>
      </c>
      <c r="I264" s="545">
        <v>8.7542448350657551</v>
      </c>
      <c r="J264" s="494">
        <v>0</v>
      </c>
      <c r="K264" s="545">
        <v>0</v>
      </c>
      <c r="L264" s="494">
        <v>4769</v>
      </c>
      <c r="M264" s="545">
        <v>1.7622301134788985</v>
      </c>
      <c r="N264" s="494">
        <v>63369</v>
      </c>
      <c r="O264" s="545">
        <v>23.415969817790803</v>
      </c>
      <c r="P264" s="494">
        <v>44</v>
      </c>
      <c r="Q264" s="545">
        <v>1.6258780665353648E-2</v>
      </c>
      <c r="R264" s="494">
        <v>51605</v>
      </c>
      <c r="S264" s="545">
        <v>19.068963096263065</v>
      </c>
      <c r="T264" s="494">
        <v>270623</v>
      </c>
      <c r="U264" s="545">
        <v>100</v>
      </c>
    </row>
    <row r="265" spans="1:21" x14ac:dyDescent="0.2">
      <c r="A265" s="38">
        <v>52</v>
      </c>
      <c r="B265" s="38"/>
      <c r="C265" s="38" t="s">
        <v>238</v>
      </c>
      <c r="D265" s="494">
        <v>2014326</v>
      </c>
      <c r="E265" s="545">
        <v>70.206514556257886</v>
      </c>
      <c r="F265" s="494">
        <v>284870</v>
      </c>
      <c r="G265" s="545">
        <v>9.9287452982492344</v>
      </c>
      <c r="H265" s="494">
        <v>189995</v>
      </c>
      <c r="I265" s="545">
        <v>6.6220099095758185</v>
      </c>
      <c r="J265" s="494">
        <v>0</v>
      </c>
      <c r="K265" s="545">
        <v>0</v>
      </c>
      <c r="L265" s="494">
        <v>3597</v>
      </c>
      <c r="M265" s="545">
        <v>0.12536840256187909</v>
      </c>
      <c r="N265" s="494">
        <v>355129</v>
      </c>
      <c r="O265" s="545">
        <v>12.377524446315695</v>
      </c>
      <c r="P265" s="494">
        <v>12637</v>
      </c>
      <c r="Q265" s="545">
        <v>0.44044495501097192</v>
      </c>
      <c r="R265" s="494">
        <v>8590</v>
      </c>
      <c r="S265" s="545">
        <v>0.29939243202850746</v>
      </c>
      <c r="T265" s="494">
        <v>2869144</v>
      </c>
      <c r="U265" s="545">
        <v>100</v>
      </c>
    </row>
    <row r="266" spans="1:21" x14ac:dyDescent="0.2">
      <c r="A266" s="38">
        <v>53</v>
      </c>
      <c r="B266" s="38"/>
      <c r="C266" s="38" t="s">
        <v>337</v>
      </c>
      <c r="D266" s="494">
        <v>519361</v>
      </c>
      <c r="E266" s="545">
        <v>90.442564484783475</v>
      </c>
      <c r="F266" s="494">
        <v>1568</v>
      </c>
      <c r="G266" s="545">
        <v>0.27305465969169901</v>
      </c>
      <c r="H266" s="494">
        <v>30534</v>
      </c>
      <c r="I266" s="545">
        <v>5.3172518998892455</v>
      </c>
      <c r="J266" s="494">
        <v>0</v>
      </c>
      <c r="K266" s="545">
        <v>0</v>
      </c>
      <c r="L266" s="494">
        <v>0</v>
      </c>
      <c r="M266" s="545">
        <v>0</v>
      </c>
      <c r="N266" s="494">
        <v>7345</v>
      </c>
      <c r="O266" s="545">
        <v>1.2790730072930669</v>
      </c>
      <c r="P266" s="494">
        <v>15436</v>
      </c>
      <c r="Q266" s="545">
        <v>2.6880559483425164</v>
      </c>
      <c r="R266" s="494">
        <v>0</v>
      </c>
      <c r="S266" s="545">
        <v>0</v>
      </c>
      <c r="T266" s="494">
        <v>574244</v>
      </c>
      <c r="U266" s="545">
        <v>100</v>
      </c>
    </row>
    <row r="267" spans="1:21" x14ac:dyDescent="0.2">
      <c r="A267" s="38">
        <v>54</v>
      </c>
      <c r="B267" s="38"/>
      <c r="C267" s="38" t="s">
        <v>338</v>
      </c>
      <c r="D267" s="494">
        <v>1787908</v>
      </c>
      <c r="E267" s="545">
        <v>83.508119340550834</v>
      </c>
      <c r="F267" s="494">
        <v>90243</v>
      </c>
      <c r="G267" s="545">
        <v>4.2149949626319305</v>
      </c>
      <c r="H267" s="494">
        <v>119219</v>
      </c>
      <c r="I267" s="545">
        <v>5.5683818628593471</v>
      </c>
      <c r="J267" s="494">
        <v>39948</v>
      </c>
      <c r="K267" s="545">
        <v>1.8658579476216477</v>
      </c>
      <c r="L267" s="494">
        <v>0</v>
      </c>
      <c r="M267" s="545">
        <v>0</v>
      </c>
      <c r="N267" s="494">
        <v>83948</v>
      </c>
      <c r="O267" s="545">
        <v>3.9209733400155726</v>
      </c>
      <c r="P267" s="494">
        <v>19733</v>
      </c>
      <c r="Q267" s="545">
        <v>0.92167254632066631</v>
      </c>
      <c r="R267" s="494">
        <v>0</v>
      </c>
      <c r="S267" s="545">
        <v>0</v>
      </c>
      <c r="T267" s="494">
        <v>2140999</v>
      </c>
      <c r="U267" s="545">
        <v>100</v>
      </c>
    </row>
    <row r="268" spans="1:21" x14ac:dyDescent="0.2">
      <c r="A268" s="38">
        <v>55</v>
      </c>
      <c r="B268" s="38"/>
      <c r="C268" s="38" t="s">
        <v>339</v>
      </c>
      <c r="D268" s="494">
        <v>171319</v>
      </c>
      <c r="E268" s="545">
        <v>67.950024789291035</v>
      </c>
      <c r="F268" s="494">
        <v>24296</v>
      </c>
      <c r="G268" s="545">
        <v>9.6364898363906804</v>
      </c>
      <c r="H268" s="494">
        <v>19160</v>
      </c>
      <c r="I268" s="545">
        <v>7.5994050570153693</v>
      </c>
      <c r="J268" s="494">
        <v>102</v>
      </c>
      <c r="K268" s="545">
        <v>4.0456122954883489E-2</v>
      </c>
      <c r="L268" s="494">
        <v>1325</v>
      </c>
      <c r="M268" s="545">
        <v>0.52553296975706487</v>
      </c>
      <c r="N268" s="494">
        <v>6819</v>
      </c>
      <c r="O268" s="545">
        <v>2.7046108081308877</v>
      </c>
      <c r="P268" s="494">
        <v>7041</v>
      </c>
      <c r="Q268" s="545">
        <v>2.7926623698562221</v>
      </c>
      <c r="R268" s="494">
        <v>22063</v>
      </c>
      <c r="S268" s="545">
        <v>8.7508180466038663</v>
      </c>
      <c r="T268" s="494">
        <v>252125</v>
      </c>
      <c r="U268" s="545">
        <v>100</v>
      </c>
    </row>
    <row r="269" spans="1:21" x14ac:dyDescent="0.2">
      <c r="A269" s="38">
        <v>56</v>
      </c>
      <c r="B269" s="38"/>
      <c r="C269" s="38" t="s">
        <v>340</v>
      </c>
      <c r="D269" s="494">
        <v>797289</v>
      </c>
      <c r="E269" s="545">
        <v>73.974978242353274</v>
      </c>
      <c r="F269" s="494">
        <v>39070</v>
      </c>
      <c r="G269" s="545">
        <v>3.6250373452145239</v>
      </c>
      <c r="H269" s="494">
        <v>129905</v>
      </c>
      <c r="I269" s="545">
        <v>12.052994019198687</v>
      </c>
      <c r="J269" s="494">
        <v>0</v>
      </c>
      <c r="K269" s="545">
        <v>0</v>
      </c>
      <c r="L269" s="494">
        <v>0</v>
      </c>
      <c r="M269" s="545">
        <v>0</v>
      </c>
      <c r="N269" s="494">
        <v>47486</v>
      </c>
      <c r="O269" s="545">
        <v>4.4059002655453519</v>
      </c>
      <c r="P269" s="494">
        <v>30696</v>
      </c>
      <c r="Q269" s="545">
        <v>2.8480713168340168</v>
      </c>
      <c r="R269" s="494">
        <v>33336</v>
      </c>
      <c r="S269" s="545">
        <v>3.0930188108541432</v>
      </c>
      <c r="T269" s="494">
        <v>1077782</v>
      </c>
      <c r="U269" s="545">
        <v>100</v>
      </c>
    </row>
    <row r="270" spans="1:21" x14ac:dyDescent="0.2">
      <c r="A270" s="38">
        <v>57</v>
      </c>
      <c r="B270" s="38"/>
      <c r="C270" s="38" t="s">
        <v>1254</v>
      </c>
      <c r="D270" s="494">
        <v>187473</v>
      </c>
      <c r="E270" s="545">
        <v>94.48291502872695</v>
      </c>
      <c r="F270" s="494">
        <v>1891</v>
      </c>
      <c r="G270" s="545">
        <v>0.95302892853542986</v>
      </c>
      <c r="H270" s="494">
        <v>7376</v>
      </c>
      <c r="I270" s="545">
        <v>3.7173672008870078</v>
      </c>
      <c r="J270" s="494">
        <v>0</v>
      </c>
      <c r="K270" s="545">
        <v>0</v>
      </c>
      <c r="L270" s="494">
        <v>0</v>
      </c>
      <c r="M270" s="545">
        <v>0</v>
      </c>
      <c r="N270" s="494">
        <v>1013</v>
      </c>
      <c r="O270" s="545">
        <v>0.51053321237778448</v>
      </c>
      <c r="P270" s="494">
        <v>591</v>
      </c>
      <c r="Q270" s="545">
        <v>0.29785303900816451</v>
      </c>
      <c r="R270" s="494">
        <v>76</v>
      </c>
      <c r="S270" s="545">
        <v>3.8302590464670896E-2</v>
      </c>
      <c r="T270" s="494">
        <v>198420</v>
      </c>
      <c r="U270" s="545">
        <v>100</v>
      </c>
    </row>
    <row r="271" spans="1:21" x14ac:dyDescent="0.2">
      <c r="A271" s="38">
        <v>58</v>
      </c>
      <c r="B271" s="38"/>
      <c r="C271" s="38" t="s">
        <v>652</v>
      </c>
      <c r="D271" s="494">
        <v>225323</v>
      </c>
      <c r="E271" s="545">
        <v>44.203342082857603</v>
      </c>
      <c r="F271" s="494">
        <v>43681</v>
      </c>
      <c r="G271" s="545">
        <v>8.5692369865539817</v>
      </c>
      <c r="H271" s="494">
        <v>20957</v>
      </c>
      <c r="I271" s="545">
        <v>4.1112955181248552</v>
      </c>
      <c r="J271" s="494">
        <v>637</v>
      </c>
      <c r="K271" s="545">
        <v>0.1249651784628302</v>
      </c>
      <c r="L271" s="494">
        <v>2469</v>
      </c>
      <c r="M271" s="545">
        <v>0.48436267758983959</v>
      </c>
      <c r="N271" s="494">
        <v>6340</v>
      </c>
      <c r="O271" s="545">
        <v>1.2437664544024232</v>
      </c>
      <c r="P271" s="494">
        <v>47267</v>
      </c>
      <c r="Q271" s="545">
        <v>9.2727301262207149</v>
      </c>
      <c r="R271" s="494">
        <v>163068</v>
      </c>
      <c r="S271" s="545">
        <v>31.990300975787751</v>
      </c>
      <c r="T271" s="494">
        <v>509742</v>
      </c>
      <c r="U271" s="545">
        <v>100</v>
      </c>
    </row>
    <row r="272" spans="1:21" x14ac:dyDescent="0.2">
      <c r="A272" s="38">
        <v>59</v>
      </c>
      <c r="B272" s="38"/>
      <c r="C272" s="38" t="s">
        <v>670</v>
      </c>
      <c r="D272" s="494">
        <v>1920177</v>
      </c>
      <c r="E272" s="545">
        <v>75.023559914856108</v>
      </c>
      <c r="F272" s="494">
        <v>246158</v>
      </c>
      <c r="G272" s="545">
        <v>9.61768079792704</v>
      </c>
      <c r="H272" s="494">
        <v>151146</v>
      </c>
      <c r="I272" s="545">
        <v>5.9054508969177535</v>
      </c>
      <c r="J272" s="494">
        <v>8127</v>
      </c>
      <c r="K272" s="545">
        <v>0.31753138977710677</v>
      </c>
      <c r="L272" s="494">
        <v>1124</v>
      </c>
      <c r="M272" s="545">
        <v>4.3915993861137939E-2</v>
      </c>
      <c r="N272" s="494">
        <v>207386</v>
      </c>
      <c r="O272" s="545">
        <v>8.1028134367312745</v>
      </c>
      <c r="P272" s="494">
        <v>10298</v>
      </c>
      <c r="Q272" s="545">
        <v>0.40235489749288122</v>
      </c>
      <c r="R272" s="494">
        <v>15016</v>
      </c>
      <c r="S272" s="545">
        <v>0.58669267243669687</v>
      </c>
      <c r="T272" s="494">
        <v>2559432</v>
      </c>
      <c r="U272" s="545">
        <v>100</v>
      </c>
    </row>
    <row r="273" spans="1:21" x14ac:dyDescent="0.2">
      <c r="A273" s="38">
        <v>60</v>
      </c>
      <c r="B273" s="38"/>
      <c r="C273" s="38" t="s">
        <v>653</v>
      </c>
      <c r="D273" s="494">
        <v>163488</v>
      </c>
      <c r="E273" s="545">
        <v>78.252378855468976</v>
      </c>
      <c r="F273" s="494">
        <v>4386</v>
      </c>
      <c r="G273" s="545">
        <v>2.0993279852960884</v>
      </c>
      <c r="H273" s="494">
        <v>35779</v>
      </c>
      <c r="I273" s="545">
        <v>17.125366161857901</v>
      </c>
      <c r="J273" s="494">
        <v>360</v>
      </c>
      <c r="K273" s="545">
        <v>0.17231146254140262</v>
      </c>
      <c r="L273" s="494">
        <v>4544</v>
      </c>
      <c r="M273" s="545">
        <v>2.1749535716337043</v>
      </c>
      <c r="N273" s="494">
        <v>297</v>
      </c>
      <c r="O273" s="545">
        <v>0.14215695659665714</v>
      </c>
      <c r="P273" s="494">
        <v>70</v>
      </c>
      <c r="Q273" s="545">
        <v>3.3505006605272732E-2</v>
      </c>
      <c r="R273" s="494">
        <v>0</v>
      </c>
      <c r="S273" s="545">
        <v>0</v>
      </c>
      <c r="T273" s="494">
        <v>208924</v>
      </c>
      <c r="U273" s="545">
        <v>100</v>
      </c>
    </row>
    <row r="274" spans="1:21" x14ac:dyDescent="0.2">
      <c r="A274" s="38">
        <v>61</v>
      </c>
      <c r="B274" s="38"/>
      <c r="C274" s="38" t="s">
        <v>654</v>
      </c>
      <c r="D274" s="494">
        <v>957267</v>
      </c>
      <c r="E274" s="545">
        <v>76.383618089489929</v>
      </c>
      <c r="F274" s="494">
        <v>67269</v>
      </c>
      <c r="G274" s="545">
        <v>5.3676242942271051</v>
      </c>
      <c r="H274" s="494">
        <v>112214</v>
      </c>
      <c r="I274" s="545">
        <v>8.9539400400243849</v>
      </c>
      <c r="J274" s="494">
        <v>692</v>
      </c>
      <c r="K274" s="545">
        <v>5.5217054090370851E-2</v>
      </c>
      <c r="L274" s="494">
        <v>10085</v>
      </c>
      <c r="M274" s="545">
        <v>0.80471674927946535</v>
      </c>
      <c r="N274" s="494">
        <v>81686</v>
      </c>
      <c r="O274" s="545">
        <v>6.5180061855867528</v>
      </c>
      <c r="P274" s="494">
        <v>5742</v>
      </c>
      <c r="Q274" s="545">
        <v>0.4581738794608517</v>
      </c>
      <c r="R274" s="494">
        <v>18281</v>
      </c>
      <c r="S274" s="545">
        <v>1.4587037078411409</v>
      </c>
      <c r="T274" s="494">
        <v>1253236</v>
      </c>
      <c r="U274" s="545">
        <v>100</v>
      </c>
    </row>
    <row r="275" spans="1:21" x14ac:dyDescent="0.2">
      <c r="A275" s="38">
        <v>62</v>
      </c>
      <c r="B275" s="38"/>
      <c r="C275" s="38" t="s">
        <v>655</v>
      </c>
      <c r="D275" s="494">
        <v>553775</v>
      </c>
      <c r="E275" s="545">
        <v>75.484956169585743</v>
      </c>
      <c r="F275" s="494">
        <v>56353</v>
      </c>
      <c r="G275" s="545">
        <v>7.681465821000705</v>
      </c>
      <c r="H275" s="494">
        <v>33367</v>
      </c>
      <c r="I275" s="545">
        <v>4.5482488962314429</v>
      </c>
      <c r="J275" s="494">
        <v>556</v>
      </c>
      <c r="K275" s="545">
        <v>7.5788245461224632E-2</v>
      </c>
      <c r="L275" s="494">
        <v>1673</v>
      </c>
      <c r="M275" s="545">
        <v>0.22804628535364893</v>
      </c>
      <c r="N275" s="494">
        <v>73266</v>
      </c>
      <c r="O275" s="545">
        <v>9.9868733668382816</v>
      </c>
      <c r="P275" s="494">
        <v>2673</v>
      </c>
      <c r="Q275" s="545">
        <v>0.36435607934865732</v>
      </c>
      <c r="R275" s="494">
        <v>11960</v>
      </c>
      <c r="S275" s="545">
        <v>1.6302651361802998</v>
      </c>
      <c r="T275" s="494">
        <v>733623</v>
      </c>
      <c r="U275" s="545">
        <v>100</v>
      </c>
    </row>
    <row r="276" spans="1:21" x14ac:dyDescent="0.2">
      <c r="A276" s="38">
        <v>63</v>
      </c>
      <c r="B276" s="38"/>
      <c r="C276" s="38" t="s">
        <v>345</v>
      </c>
      <c r="D276" s="494">
        <v>209242</v>
      </c>
      <c r="E276" s="545">
        <v>41.486801042116909</v>
      </c>
      <c r="F276" s="494">
        <v>43974</v>
      </c>
      <c r="G276" s="545">
        <v>8.7188068792405407</v>
      </c>
      <c r="H276" s="494">
        <v>38946</v>
      </c>
      <c r="I276" s="545">
        <v>7.7218959548574624</v>
      </c>
      <c r="J276" s="494">
        <v>91</v>
      </c>
      <c r="K276" s="545">
        <v>1.8042739482669056E-2</v>
      </c>
      <c r="L276" s="494">
        <v>0</v>
      </c>
      <c r="M276" s="545">
        <v>0</v>
      </c>
      <c r="N276" s="494">
        <v>66605</v>
      </c>
      <c r="O276" s="545">
        <v>13.205897398276619</v>
      </c>
      <c r="P276" s="494">
        <v>125249</v>
      </c>
      <c r="Q276" s="545">
        <v>24.833352499613369</v>
      </c>
      <c r="R276" s="494">
        <v>20251</v>
      </c>
      <c r="S276" s="545">
        <v>4.01520348641243</v>
      </c>
      <c r="T276" s="494">
        <v>504358</v>
      </c>
      <c r="U276" s="545">
        <v>100</v>
      </c>
    </row>
    <row r="277" spans="1:21" x14ac:dyDescent="0.2">
      <c r="A277" s="38">
        <v>64</v>
      </c>
      <c r="B277" s="38" t="s">
        <v>274</v>
      </c>
      <c r="C277" s="38" t="s">
        <v>348</v>
      </c>
      <c r="D277" s="494">
        <v>6196531</v>
      </c>
      <c r="E277" s="545">
        <v>75.730373111226228</v>
      </c>
      <c r="F277" s="494">
        <v>737162</v>
      </c>
      <c r="G277" s="545">
        <v>9.0091622721515883</v>
      </c>
      <c r="H277" s="494">
        <v>79450</v>
      </c>
      <c r="I277" s="545">
        <v>0.97099137302579852</v>
      </c>
      <c r="J277" s="494">
        <v>0</v>
      </c>
      <c r="K277" s="545">
        <v>0</v>
      </c>
      <c r="L277" s="494">
        <v>33551</v>
      </c>
      <c r="M277" s="545">
        <v>0.41004067408922046</v>
      </c>
      <c r="N277" s="494">
        <v>546217</v>
      </c>
      <c r="O277" s="545">
        <v>6.6755443020771885</v>
      </c>
      <c r="P277" s="494">
        <v>63209</v>
      </c>
      <c r="Q277" s="545">
        <v>0.77250338197089619</v>
      </c>
      <c r="R277" s="494">
        <v>526239</v>
      </c>
      <c r="S277" s="545">
        <v>6.4313848854590709</v>
      </c>
      <c r="T277" s="494">
        <v>8182359</v>
      </c>
      <c r="U277" s="545">
        <v>100</v>
      </c>
    </row>
    <row r="278" spans="1:21" x14ac:dyDescent="0.2">
      <c r="A278" s="38">
        <v>65</v>
      </c>
      <c r="B278" s="38"/>
      <c r="C278" s="38" t="s">
        <v>349</v>
      </c>
      <c r="D278" s="494">
        <v>365682</v>
      </c>
      <c r="E278" s="545">
        <v>74.883123744463347</v>
      </c>
      <c r="F278" s="494">
        <v>1012</v>
      </c>
      <c r="G278" s="545">
        <v>0.20723393885779695</v>
      </c>
      <c r="H278" s="494">
        <v>13362</v>
      </c>
      <c r="I278" s="545">
        <v>2.736225188752849</v>
      </c>
      <c r="J278" s="494">
        <v>0</v>
      </c>
      <c r="K278" s="545">
        <v>0</v>
      </c>
      <c r="L278" s="494">
        <v>7638</v>
      </c>
      <c r="M278" s="545">
        <v>1.564083819165863</v>
      </c>
      <c r="N278" s="494">
        <v>2200</v>
      </c>
      <c r="O278" s="545">
        <v>0.45050856273434126</v>
      </c>
      <c r="P278" s="494">
        <v>3986</v>
      </c>
      <c r="Q278" s="545">
        <v>0.81623960502685644</v>
      </c>
      <c r="R278" s="494">
        <v>94457</v>
      </c>
      <c r="S278" s="545">
        <v>19.342585140998942</v>
      </c>
      <c r="T278" s="494">
        <v>488337</v>
      </c>
      <c r="U278" s="545">
        <v>100</v>
      </c>
    </row>
    <row r="279" spans="1:21" x14ac:dyDescent="0.2">
      <c r="A279" s="38">
        <v>66</v>
      </c>
      <c r="B279" s="38"/>
      <c r="C279" s="38" t="s">
        <v>783</v>
      </c>
      <c r="D279" s="494">
        <v>8245186</v>
      </c>
      <c r="E279" s="545">
        <v>75.720949112445595</v>
      </c>
      <c r="F279" s="494">
        <v>698078</v>
      </c>
      <c r="G279" s="545">
        <v>6.4109079788518777</v>
      </c>
      <c r="H279" s="494">
        <v>252863</v>
      </c>
      <c r="I279" s="545">
        <v>2.3222067222522731</v>
      </c>
      <c r="J279" s="494">
        <v>108629</v>
      </c>
      <c r="K279" s="545">
        <v>0.99761133116170486</v>
      </c>
      <c r="L279" s="494">
        <v>14752</v>
      </c>
      <c r="M279" s="545">
        <v>0.1354772883603593</v>
      </c>
      <c r="N279" s="494">
        <v>794406</v>
      </c>
      <c r="O279" s="545">
        <v>7.2955511616865225</v>
      </c>
      <c r="P279" s="494">
        <v>50034</v>
      </c>
      <c r="Q279" s="545">
        <v>0.45949502750964055</v>
      </c>
      <c r="R279" s="494">
        <v>724962</v>
      </c>
      <c r="S279" s="545">
        <v>6.6578013777320226</v>
      </c>
      <c r="T279" s="494">
        <v>10888910</v>
      </c>
      <c r="U279" s="545">
        <v>100</v>
      </c>
    </row>
    <row r="280" spans="1:21" x14ac:dyDescent="0.2">
      <c r="A280" s="38">
        <v>67</v>
      </c>
      <c r="B280" s="38"/>
      <c r="C280" s="38" t="s">
        <v>145</v>
      </c>
      <c r="D280" s="494">
        <v>388345</v>
      </c>
      <c r="E280" s="545">
        <v>82.079804536164403</v>
      </c>
      <c r="F280" s="494">
        <v>13978</v>
      </c>
      <c r="G280" s="545">
        <v>2.9543614770539235</v>
      </c>
      <c r="H280" s="494">
        <v>46098</v>
      </c>
      <c r="I280" s="545">
        <v>9.7431789504386739</v>
      </c>
      <c r="J280" s="494">
        <v>1125</v>
      </c>
      <c r="K280" s="545">
        <v>0.23777769793143971</v>
      </c>
      <c r="L280" s="494">
        <v>0</v>
      </c>
      <c r="M280" s="545">
        <v>0</v>
      </c>
      <c r="N280" s="494">
        <v>22756</v>
      </c>
      <c r="O280" s="545">
        <v>4.8096615947803043</v>
      </c>
      <c r="P280" s="494">
        <v>829</v>
      </c>
      <c r="Q280" s="545">
        <v>0.17521574363125647</v>
      </c>
      <c r="R280" s="494">
        <v>0</v>
      </c>
      <c r="S280" s="545">
        <v>0</v>
      </c>
      <c r="T280" s="494">
        <v>473131</v>
      </c>
      <c r="U280" s="545">
        <v>100</v>
      </c>
    </row>
    <row r="281" spans="1:21" x14ac:dyDescent="0.2">
      <c r="A281" s="38">
        <v>68</v>
      </c>
      <c r="B281" s="38"/>
      <c r="C281" s="38" t="s">
        <v>353</v>
      </c>
      <c r="D281" s="494">
        <v>955767</v>
      </c>
      <c r="E281" s="545">
        <v>54.497169561726821</v>
      </c>
      <c r="F281" s="494">
        <v>167552</v>
      </c>
      <c r="G281" s="545">
        <v>9.5536985001642147</v>
      </c>
      <c r="H281" s="494">
        <v>475622</v>
      </c>
      <c r="I281" s="545">
        <v>27.119635623836807</v>
      </c>
      <c r="J281" s="494">
        <v>2334</v>
      </c>
      <c r="K281" s="545">
        <v>0.1330830565996424</v>
      </c>
      <c r="L281" s="494">
        <v>32742</v>
      </c>
      <c r="M281" s="545">
        <v>1.8669260664890706</v>
      </c>
      <c r="N281" s="494">
        <v>105814</v>
      </c>
      <c r="O281" s="545">
        <v>6.0334406816771891</v>
      </c>
      <c r="P281" s="494">
        <v>13282</v>
      </c>
      <c r="Q281" s="545">
        <v>0.75733040178082689</v>
      </c>
      <c r="R281" s="494">
        <v>679</v>
      </c>
      <c r="S281" s="545">
        <v>3.871610772543152E-2</v>
      </c>
      <c r="T281" s="494">
        <v>1753792</v>
      </c>
      <c r="U281" s="545">
        <v>100</v>
      </c>
    </row>
    <row r="282" spans="1:21" x14ac:dyDescent="0.2">
      <c r="A282" s="38">
        <v>69</v>
      </c>
      <c r="B282" s="38"/>
      <c r="C282" s="38" t="s">
        <v>354</v>
      </c>
      <c r="D282" s="494">
        <v>1086911</v>
      </c>
      <c r="E282" s="545">
        <v>78.197905102992991</v>
      </c>
      <c r="F282" s="494">
        <v>168561</v>
      </c>
      <c r="G282" s="545">
        <v>12.12713559993928</v>
      </c>
      <c r="H282" s="494">
        <v>88946</v>
      </c>
      <c r="I282" s="545">
        <v>6.3992275975593342</v>
      </c>
      <c r="J282" s="494">
        <v>0</v>
      </c>
      <c r="K282" s="545">
        <v>0</v>
      </c>
      <c r="L282" s="494">
        <v>2168</v>
      </c>
      <c r="M282" s="545">
        <v>0.15597694591672068</v>
      </c>
      <c r="N282" s="494">
        <v>22622</v>
      </c>
      <c r="O282" s="545">
        <v>1.627541729948365</v>
      </c>
      <c r="P282" s="494">
        <v>9808</v>
      </c>
      <c r="Q282" s="545">
        <v>0.70563740108450024</v>
      </c>
      <c r="R282" s="494">
        <v>10933</v>
      </c>
      <c r="S282" s="545">
        <v>0.7865756225588133</v>
      </c>
      <c r="T282" s="494">
        <v>1389949</v>
      </c>
      <c r="U282" s="545">
        <v>100</v>
      </c>
    </row>
    <row r="287" spans="1:21" x14ac:dyDescent="0.2">
      <c r="N287" s="1053"/>
    </row>
  </sheetData>
  <mergeCells count="16">
    <mergeCell ref="N1:O1"/>
    <mergeCell ref="P1:Q1"/>
    <mergeCell ref="R1:S1"/>
    <mergeCell ref="T1:U1"/>
    <mergeCell ref="D2:E2"/>
    <mergeCell ref="F2:G2"/>
    <mergeCell ref="H2:I2"/>
    <mergeCell ref="L2:M2"/>
    <mergeCell ref="N2:O2"/>
    <mergeCell ref="R2:S2"/>
    <mergeCell ref="T2:U2"/>
    <mergeCell ref="D1:E1"/>
    <mergeCell ref="F1:G1"/>
    <mergeCell ref="H1:I1"/>
    <mergeCell ref="J1:K1"/>
    <mergeCell ref="L1:M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8"/>
  <dimension ref="A1:V143"/>
  <sheetViews>
    <sheetView rightToLeft="1" zoomScaleNormal="100" workbookViewId="0">
      <pane xSplit="2" ySplit="10" topLeftCell="F106" activePane="bottomRight" state="frozen"/>
      <selection activeCell="E49" sqref="E49"/>
      <selection pane="topRight" activeCell="E49" sqref="E49"/>
      <selection pane="bottomLeft" activeCell="E49" sqref="E49"/>
      <selection pane="bottomRight" activeCell="J109" sqref="J109:J111"/>
    </sheetView>
  </sheetViews>
  <sheetFormatPr defaultRowHeight="12.75" x14ac:dyDescent="0.2"/>
  <cols>
    <col min="1" max="1" width="18.42578125" bestFit="1" customWidth="1"/>
    <col min="2" max="2" width="21.28515625" customWidth="1"/>
    <col min="3" max="3" width="18" style="19" customWidth="1"/>
    <col min="4" max="4" width="20" bestFit="1" customWidth="1"/>
    <col min="5" max="5" width="16.7109375" bestFit="1" customWidth="1"/>
    <col min="6" max="6" width="13.140625" customWidth="1"/>
    <col min="7" max="7" width="17.85546875" customWidth="1"/>
    <col min="8" max="8" width="12.140625" bestFit="1" customWidth="1"/>
    <col min="9" max="9" width="18.7109375" bestFit="1" customWidth="1"/>
    <col min="10" max="10" width="26.42578125" bestFit="1" customWidth="1"/>
    <col min="11" max="11" width="23.85546875" bestFit="1" customWidth="1"/>
    <col min="12" max="12" width="15.85546875" customWidth="1"/>
    <col min="13" max="13" width="16" bestFit="1" customWidth="1"/>
    <col min="14" max="14" width="10.28515625" customWidth="1"/>
    <col min="15" max="15" width="11.28515625" bestFit="1" customWidth="1"/>
    <col min="16" max="16" width="19" bestFit="1" customWidth="1"/>
    <col min="17" max="17" width="12.85546875" bestFit="1" customWidth="1"/>
    <col min="18" max="18" width="12.140625" customWidth="1"/>
    <col min="19" max="20" width="11.28515625" customWidth="1"/>
    <col min="21" max="21" width="12.85546875" bestFit="1" customWidth="1"/>
    <col min="22" max="22" width="15" customWidth="1"/>
    <col min="23" max="39" width="11.28515625" bestFit="1" customWidth="1"/>
  </cols>
  <sheetData>
    <row r="1" spans="1:22" x14ac:dyDescent="0.2">
      <c r="A1" t="s">
        <v>388</v>
      </c>
      <c r="B1" s="81">
        <f>0.692*(1+'[7]סל מדדים'!F23)</f>
        <v>0.68860919999999992</v>
      </c>
      <c r="C1" s="18">
        <v>0.69199999999999995</v>
      </c>
      <c r="H1" s="22"/>
      <c r="I1" s="4"/>
    </row>
    <row r="2" spans="1:22" x14ac:dyDescent="0.2">
      <c r="A2" t="s">
        <v>385</v>
      </c>
      <c r="B2" s="81">
        <f>1.679*(1+'[7]סל מדדים'!F23)</f>
        <v>1.6707729</v>
      </c>
      <c r="C2" s="33"/>
      <c r="F2" s="22"/>
      <c r="H2" s="22"/>
      <c r="I2" s="4"/>
      <c r="K2" s="1245"/>
      <c r="L2" s="1245"/>
      <c r="N2" s="80"/>
      <c r="V2" s="1245"/>
    </row>
    <row r="3" spans="1:22" x14ac:dyDescent="0.2">
      <c r="A3" t="s">
        <v>420</v>
      </c>
      <c r="B3" s="81">
        <f>1.999*(1+'[7]סל מדדים'!F23)</f>
        <v>1.9892049000000001</v>
      </c>
      <c r="C3" s="4"/>
      <c r="H3" s="22"/>
      <c r="I3" s="4"/>
    </row>
    <row r="4" spans="1:22" x14ac:dyDescent="0.2">
      <c r="A4" t="s">
        <v>487</v>
      </c>
      <c r="B4" s="81">
        <f>2.213*(1+'[7]סל מדדים'!F23)</f>
        <v>2.2021563</v>
      </c>
      <c r="C4" s="1593"/>
      <c r="F4" s="52"/>
      <c r="I4" s="22"/>
      <c r="J4" s="1245"/>
    </row>
    <row r="5" spans="1:22" x14ac:dyDescent="0.2">
      <c r="A5" s="1245" t="s">
        <v>63</v>
      </c>
      <c r="B5" s="22">
        <f>1.661*(1+'[7]מדד מחירים'!$E$78)</f>
        <v>1.6460981780177519</v>
      </c>
      <c r="C5" s="757"/>
      <c r="F5" s="52"/>
      <c r="H5" s="22"/>
    </row>
    <row r="6" spans="1:22" x14ac:dyDescent="0.2">
      <c r="A6" s="1245" t="s">
        <v>483</v>
      </c>
      <c r="B6" s="21">
        <f>+'[7]הנחות עבודה'!$D$30</f>
        <v>2.4775710084553761</v>
      </c>
      <c r="C6" s="4"/>
      <c r="D6" s="1221"/>
      <c r="F6" s="52"/>
      <c r="G6" s="1253"/>
      <c r="I6" s="22"/>
    </row>
    <row r="7" spans="1:22" x14ac:dyDescent="0.2">
      <c r="A7" s="1245" t="s">
        <v>391</v>
      </c>
      <c r="B7" s="21">
        <f>0.891*(1+'[7]מדד מחירים'!$E$78)</f>
        <v>0.88300630741349606</v>
      </c>
      <c r="C7" s="4"/>
      <c r="D7" s="1218"/>
      <c r="F7" s="52"/>
      <c r="H7" s="22"/>
      <c r="I7" s="4"/>
    </row>
    <row r="8" spans="1:22" x14ac:dyDescent="0.2">
      <c r="A8" s="1245" t="s">
        <v>987</v>
      </c>
      <c r="B8" s="21">
        <f>1.79*(1+'מדד מחירים'!$E$78)</f>
        <v>1.7739408420540494</v>
      </c>
      <c r="C8" s="4"/>
      <c r="F8" s="52"/>
      <c r="H8" s="22"/>
      <c r="I8" s="4"/>
    </row>
    <row r="10" spans="1:22" s="36" customFormat="1" ht="44.25" customHeight="1" x14ac:dyDescent="0.25">
      <c r="A10" s="469"/>
      <c r="B10" s="469" t="s">
        <v>273</v>
      </c>
      <c r="C10" s="470" t="s">
        <v>277</v>
      </c>
      <c r="D10" s="470" t="s">
        <v>488</v>
      </c>
      <c r="E10" s="471" t="s">
        <v>181</v>
      </c>
      <c r="F10" s="472" t="s">
        <v>379</v>
      </c>
      <c r="G10" s="471" t="s">
        <v>380</v>
      </c>
      <c r="H10" s="473" t="s">
        <v>905</v>
      </c>
      <c r="I10" s="473" t="s">
        <v>381</v>
      </c>
      <c r="J10" s="473" t="s">
        <v>382</v>
      </c>
      <c r="K10" s="473" t="s">
        <v>1566</v>
      </c>
      <c r="L10" s="473" t="s">
        <v>910</v>
      </c>
      <c r="M10" s="471" t="s">
        <v>489</v>
      </c>
      <c r="N10" s="471" t="s">
        <v>914</v>
      </c>
      <c r="O10" s="471" t="s">
        <v>913</v>
      </c>
      <c r="P10" s="471" t="s">
        <v>915</v>
      </c>
      <c r="Q10" s="471" t="s">
        <v>916</v>
      </c>
      <c r="T10" s="48"/>
    </row>
    <row r="11" spans="1:22" x14ac:dyDescent="0.2">
      <c r="A11" s="1779">
        <v>1</v>
      </c>
      <c r="B11" s="1779" t="s">
        <v>454</v>
      </c>
      <c r="C11" s="1254" t="s">
        <v>383</v>
      </c>
      <c r="D11" s="1254">
        <v>225356</v>
      </c>
      <c r="E11" s="1255" t="s">
        <v>384</v>
      </c>
      <c r="F11" s="1255">
        <v>35000</v>
      </c>
      <c r="G11" s="1255" t="s">
        <v>385</v>
      </c>
      <c r="H11" s="466">
        <f>+B6/(1+T10)*(1-HLOOKUP(B11,'[7]תחשיב תעריף 2016'!$4:$26,17,0))</f>
        <v>2.2952977887107857</v>
      </c>
      <c r="I11" s="1256">
        <f>+D11/(D11+D12+D13)</f>
        <v>0.82773262028157224</v>
      </c>
      <c r="J11" s="1777">
        <f>+I11*H11+I13*H13+I12*H12</f>
        <v>2.0956979737719879</v>
      </c>
      <c r="K11" s="1777">
        <f>+J11-L11</f>
        <v>2.0707265452005594</v>
      </c>
      <c r="L11" s="1568">
        <f>0.03/1.05*0.92*0.95</f>
        <v>2.4971428571428572E-2</v>
      </c>
      <c r="M11" s="1783" t="s">
        <v>911</v>
      </c>
      <c r="N11" s="38"/>
      <c r="O11" s="38"/>
      <c r="P11" s="38"/>
      <c r="Q11" s="38"/>
    </row>
    <row r="12" spans="1:22" x14ac:dyDescent="0.2">
      <c r="A12" s="1781"/>
      <c r="B12" s="1781"/>
      <c r="C12" s="1254" t="s">
        <v>6</v>
      </c>
      <c r="D12" s="1254">
        <v>43627</v>
      </c>
      <c r="E12" s="1255" t="s">
        <v>384</v>
      </c>
      <c r="F12" s="1255">
        <v>35000</v>
      </c>
      <c r="G12" s="1255" t="s">
        <v>385</v>
      </c>
      <c r="H12" s="466">
        <f>+J140</f>
        <v>1.1713077738953448</v>
      </c>
      <c r="I12" s="1256">
        <f>+D12/(D11+D12+D13)</f>
        <v>0.16024197724943712</v>
      </c>
      <c r="J12" s="1782"/>
      <c r="K12" s="1782"/>
      <c r="L12" s="1569"/>
      <c r="M12" s="1784"/>
      <c r="N12" s="38"/>
      <c r="O12" s="38"/>
      <c r="P12" s="38"/>
      <c r="Q12" s="38"/>
    </row>
    <row r="13" spans="1:22" x14ac:dyDescent="0.2">
      <c r="A13" s="1780"/>
      <c r="B13" s="1780"/>
      <c r="C13" s="1254" t="s">
        <v>25</v>
      </c>
      <c r="D13" s="1254">
        <v>3274</v>
      </c>
      <c r="E13" s="1255" t="s">
        <v>387</v>
      </c>
      <c r="F13" s="1255">
        <v>2000</v>
      </c>
      <c r="G13" s="1255" t="s">
        <v>388</v>
      </c>
      <c r="H13" s="1257">
        <f>$B$1-0.000007*F13</f>
        <v>0.67460919999999991</v>
      </c>
      <c r="I13" s="1256">
        <f>+D13/(D11+D12+D13)</f>
        <v>1.2025402468990696E-2</v>
      </c>
      <c r="J13" s="1778"/>
      <c r="K13" s="1778"/>
      <c r="L13" s="1570"/>
      <c r="M13" s="1785"/>
      <c r="N13" s="354"/>
      <c r="O13" s="38"/>
      <c r="P13" s="38"/>
      <c r="Q13" s="38"/>
    </row>
    <row r="14" spans="1:22" ht="25.5" x14ac:dyDescent="0.2">
      <c r="A14" s="467"/>
      <c r="B14" s="1779" t="s">
        <v>440</v>
      </c>
      <c r="C14" s="1254" t="s">
        <v>731</v>
      </c>
      <c r="D14" s="1254"/>
      <c r="E14" s="1255" t="s">
        <v>732</v>
      </c>
      <c r="F14" s="1255">
        <v>2000</v>
      </c>
      <c r="G14" s="1255" t="s">
        <v>396</v>
      </c>
      <c r="H14" s="1257"/>
      <c r="I14" s="1256">
        <v>0.31</v>
      </c>
      <c r="J14" s="1777">
        <f>+I14*H14+I15*H15+I16*H16+I17*H17</f>
        <v>1.1421924210000001</v>
      </c>
      <c r="K14" s="1777">
        <f>+J14</f>
        <v>1.1421924210000001</v>
      </c>
      <c r="L14" s="1568"/>
      <c r="M14" s="1258"/>
      <c r="N14" s="38"/>
      <c r="O14" s="38"/>
      <c r="P14" s="38"/>
      <c r="Q14" s="38"/>
    </row>
    <row r="15" spans="1:22" x14ac:dyDescent="0.2">
      <c r="A15" s="467"/>
      <c r="B15" s="1781"/>
      <c r="C15" s="1254" t="s">
        <v>733</v>
      </c>
      <c r="D15" s="1254"/>
      <c r="E15" s="1255" t="s">
        <v>734</v>
      </c>
      <c r="F15" s="1255">
        <v>3000</v>
      </c>
      <c r="G15" s="1255" t="s">
        <v>385</v>
      </c>
      <c r="H15" s="1257">
        <f>$B$2-0.000007*F15</f>
        <v>1.6497729000000001</v>
      </c>
      <c r="I15" s="1256">
        <v>0.03</v>
      </c>
      <c r="J15" s="1782"/>
      <c r="K15" s="1782"/>
      <c r="L15" s="1569"/>
      <c r="M15" s="1258"/>
      <c r="N15" s="38"/>
      <c r="O15" s="38"/>
      <c r="P15" s="38"/>
      <c r="Q15" s="38"/>
    </row>
    <row r="16" spans="1:22" x14ac:dyDescent="0.2">
      <c r="A16" s="1779">
        <v>2</v>
      </c>
      <c r="B16" s="1781"/>
      <c r="C16" s="1254" t="s">
        <v>52</v>
      </c>
      <c r="D16" s="1254">
        <v>6515</v>
      </c>
      <c r="E16" s="1255" t="s">
        <v>52</v>
      </c>
      <c r="F16" s="1255">
        <v>3000</v>
      </c>
      <c r="G16" s="1255" t="s">
        <v>420</v>
      </c>
      <c r="H16" s="1257">
        <f>$B$3-0.000007*F16</f>
        <v>1.9682049000000001</v>
      </c>
      <c r="I16" s="1256">
        <v>0.16</v>
      </c>
      <c r="J16" s="1782"/>
      <c r="K16" s="1782"/>
      <c r="L16" s="1569"/>
      <c r="M16" s="1259"/>
      <c r="N16" s="38"/>
      <c r="O16" s="38"/>
      <c r="P16" s="38"/>
      <c r="Q16" s="38"/>
      <c r="T16" s="34"/>
    </row>
    <row r="17" spans="1:20" x14ac:dyDescent="0.2">
      <c r="A17" s="1780"/>
      <c r="B17" s="1780"/>
      <c r="C17" s="1254" t="s">
        <v>389</v>
      </c>
      <c r="D17" s="1254">
        <f>23120+1511</f>
        <v>24631</v>
      </c>
      <c r="E17" s="1259" t="s">
        <v>56</v>
      </c>
      <c r="F17" s="1255">
        <v>9600</v>
      </c>
      <c r="G17" s="1255" t="s">
        <v>385</v>
      </c>
      <c r="H17" s="1257">
        <f>$B$2-0.000012*F17</f>
        <v>1.5555729</v>
      </c>
      <c r="I17" s="1256">
        <v>0.5</v>
      </c>
      <c r="J17" s="1778"/>
      <c r="K17" s="1778"/>
      <c r="L17" s="1570"/>
      <c r="M17" s="1259"/>
      <c r="N17" s="38"/>
      <c r="O17" s="38"/>
      <c r="P17" s="38"/>
      <c r="Q17" s="38"/>
    </row>
    <row r="18" spans="1:20" ht="15" x14ac:dyDescent="0.25">
      <c r="A18" s="468">
        <v>3</v>
      </c>
      <c r="B18" s="1259" t="s">
        <v>448</v>
      </c>
      <c r="C18" s="1254" t="s">
        <v>101</v>
      </c>
      <c r="D18" s="1254"/>
      <c r="E18" s="1255" t="s">
        <v>101</v>
      </c>
      <c r="F18" s="1255">
        <v>35000</v>
      </c>
      <c r="G18" s="1255" t="s">
        <v>420</v>
      </c>
      <c r="H18" s="1257">
        <f>$B$3-0.000013*F18</f>
        <v>1.5342049000000002</v>
      </c>
      <c r="I18" s="1256">
        <v>1</v>
      </c>
      <c r="J18" s="1260">
        <f>+I18*H18</f>
        <v>1.5342049000000002</v>
      </c>
      <c r="K18" s="1260">
        <f>+J18-L18</f>
        <v>1.3999162585873144</v>
      </c>
      <c r="L18" s="45">
        <f>+P18/Q18/1000</f>
        <v>0.13428864141268582</v>
      </c>
      <c r="M18" s="1259" t="s">
        <v>912</v>
      </c>
      <c r="N18" s="492">
        <v>0.15</v>
      </c>
      <c r="O18" s="353">
        <v>14000000</v>
      </c>
      <c r="P18" s="436">
        <f>+N18*O18</f>
        <v>2100000</v>
      </c>
      <c r="Q18" s="353">
        <f>+'[7]תחשיב תעריף 2016'!M16</f>
        <v>15637.956999999999</v>
      </c>
      <c r="T18" s="12"/>
    </row>
    <row r="19" spans="1:20" x14ac:dyDescent="0.2">
      <c r="A19" s="1779">
        <v>4</v>
      </c>
      <c r="B19" s="1779" t="s">
        <v>443</v>
      </c>
      <c r="C19" s="1254" t="s">
        <v>58</v>
      </c>
      <c r="D19" s="1254">
        <v>6210</v>
      </c>
      <c r="E19" s="1255" t="s">
        <v>390</v>
      </c>
      <c r="F19" s="1255">
        <v>14000</v>
      </c>
      <c r="G19" s="1255" t="s">
        <v>385</v>
      </c>
      <c r="H19" s="1257">
        <f>$B$2-0.000012*F19</f>
        <v>1.5027729000000001</v>
      </c>
      <c r="I19" s="1256">
        <f>550/(1280+550)</f>
        <v>0.30054644808743169</v>
      </c>
      <c r="J19" s="1777">
        <f>+I19*H19+I21*H21+I20*H20</f>
        <v>1.6077614245901639</v>
      </c>
      <c r="K19" s="1777">
        <f>+J19</f>
        <v>1.6077614245901639</v>
      </c>
      <c r="L19" s="1568"/>
      <c r="M19" s="1259"/>
      <c r="N19" s="38"/>
      <c r="O19" s="38"/>
      <c r="P19" s="38"/>
      <c r="Q19" s="38"/>
      <c r="T19" s="22"/>
    </row>
    <row r="20" spans="1:20" x14ac:dyDescent="0.2">
      <c r="A20" s="1781"/>
      <c r="B20" s="1781"/>
      <c r="C20" s="1786" t="s">
        <v>308</v>
      </c>
      <c r="D20" s="1254"/>
      <c r="E20" s="1255" t="s">
        <v>728</v>
      </c>
      <c r="F20" s="1255">
        <v>200</v>
      </c>
      <c r="G20" s="1255" t="s">
        <v>385</v>
      </c>
      <c r="H20" s="1257">
        <f>$B$2-0.000007*F20</f>
        <v>1.6693728999999999</v>
      </c>
      <c r="I20" s="1256">
        <v>0.04</v>
      </c>
      <c r="J20" s="1782"/>
      <c r="K20" s="1782"/>
      <c r="L20" s="1569"/>
      <c r="M20" s="1259"/>
      <c r="N20" s="38"/>
      <c r="O20" s="38"/>
      <c r="P20" s="38"/>
      <c r="Q20" s="38"/>
      <c r="T20" s="22"/>
    </row>
    <row r="21" spans="1:20" x14ac:dyDescent="0.2">
      <c r="A21" s="1780"/>
      <c r="B21" s="1780"/>
      <c r="C21" s="1787"/>
      <c r="D21" s="1254">
        <v>17559</v>
      </c>
      <c r="E21" s="1255" t="s">
        <v>729</v>
      </c>
      <c r="F21" s="1255">
        <v>2700</v>
      </c>
      <c r="G21" s="1255" t="s">
        <v>385</v>
      </c>
      <c r="H21" s="1257">
        <f>$B$2-0.000007*F21</f>
        <v>1.6518729000000001</v>
      </c>
      <c r="I21" s="1256">
        <f>1-I20-I19</f>
        <v>0.65945355191256827</v>
      </c>
      <c r="J21" s="1778"/>
      <c r="K21" s="1778"/>
      <c r="L21" s="1570"/>
      <c r="M21" s="1259"/>
      <c r="N21" s="38"/>
      <c r="O21" s="38"/>
      <c r="P21" s="38"/>
      <c r="Q21" s="38"/>
    </row>
    <row r="22" spans="1:20" s="719" customFormat="1" x14ac:dyDescent="0.2">
      <c r="A22" s="724">
        <v>5</v>
      </c>
      <c r="B22" s="1261" t="s">
        <v>257</v>
      </c>
      <c r="C22" s="1262" t="s">
        <v>104</v>
      </c>
      <c r="D22" s="1262"/>
      <c r="E22" s="1263" t="s">
        <v>391</v>
      </c>
      <c r="F22" s="1263">
        <v>35000</v>
      </c>
      <c r="G22" s="1263" t="s">
        <v>385</v>
      </c>
      <c r="H22" s="1264">
        <f>$B$2-0.000012*F22</f>
        <v>1.2507729000000001</v>
      </c>
      <c r="I22" s="1265">
        <v>1</v>
      </c>
      <c r="J22" s="1266">
        <f>+I22*H22</f>
        <v>1.2507729000000001</v>
      </c>
      <c r="K22" s="1266">
        <f>+IF($B$7=0,J22,$B$7*(1-HLOOKUP(B22,'[7]תחשיב תעריף 2016'!$4:$26,17,0)))</f>
        <v>0.82119586589455129</v>
      </c>
      <c r="L22" s="1266"/>
      <c r="M22" s="1261"/>
      <c r="N22" s="720"/>
      <c r="O22" s="720"/>
      <c r="P22" s="720"/>
      <c r="Q22" s="720"/>
    </row>
    <row r="23" spans="1:20" ht="12.75" customHeight="1" x14ac:dyDescent="0.2">
      <c r="A23" s="1779">
        <v>6</v>
      </c>
      <c r="B23" s="1779" t="s">
        <v>441</v>
      </c>
      <c r="C23" s="1786" t="s">
        <v>392</v>
      </c>
      <c r="D23" s="1267"/>
      <c r="E23" s="1255" t="s">
        <v>393</v>
      </c>
      <c r="F23" s="1255">
        <v>35000</v>
      </c>
      <c r="G23" s="1255" t="s">
        <v>385</v>
      </c>
      <c r="H23" s="1257">
        <f>$B$2-0.000012*F23</f>
        <v>1.2507729000000001</v>
      </c>
      <c r="I23" s="1256">
        <v>0.68500000000000005</v>
      </c>
      <c r="J23" s="1777">
        <f>+I23*H23+I24*H24+I26*H26+H25*I25</f>
        <v>1.1813298532000003</v>
      </c>
      <c r="K23" s="1777">
        <f>+J23</f>
        <v>1.1813298532000003</v>
      </c>
      <c r="L23" s="1568"/>
      <c r="M23" s="1259"/>
      <c r="N23" s="38"/>
      <c r="O23" s="38"/>
      <c r="P23" s="38"/>
      <c r="Q23" s="38"/>
      <c r="S23" s="13"/>
    </row>
    <row r="24" spans="1:20" x14ac:dyDescent="0.2">
      <c r="A24" s="1781"/>
      <c r="B24" s="1781"/>
      <c r="C24" s="1788"/>
      <c r="D24" s="1268"/>
      <c r="E24" s="1255" t="s">
        <v>394</v>
      </c>
      <c r="F24" s="1255">
        <v>22000</v>
      </c>
      <c r="G24" s="1255" t="s">
        <v>385</v>
      </c>
      <c r="H24" s="1257">
        <f>$B$2-0.000007*F24</f>
        <v>1.5167729000000001</v>
      </c>
      <c r="I24" s="1256">
        <v>0.126</v>
      </c>
      <c r="J24" s="1782"/>
      <c r="K24" s="1782"/>
      <c r="L24" s="1569"/>
      <c r="M24" s="1259"/>
      <c r="N24" s="493"/>
      <c r="O24" s="38"/>
      <c r="P24" s="38"/>
      <c r="Q24" s="38"/>
    </row>
    <row r="25" spans="1:20" x14ac:dyDescent="0.2">
      <c r="A25" s="1781"/>
      <c r="B25" s="1781"/>
      <c r="C25" s="1788"/>
      <c r="D25" s="1268"/>
      <c r="E25" s="1255" t="s">
        <v>1505</v>
      </c>
      <c r="F25" s="1255">
        <v>3000</v>
      </c>
      <c r="G25" s="1255" t="s">
        <v>420</v>
      </c>
      <c r="H25" s="1257">
        <f>$B$3-0.000007*F25</f>
        <v>1.9682049000000001</v>
      </c>
      <c r="I25" s="1256">
        <v>2.5000000000000001E-2</v>
      </c>
      <c r="J25" s="1782"/>
      <c r="K25" s="1782"/>
      <c r="L25" s="1569"/>
      <c r="M25" s="1259"/>
      <c r="N25" s="493"/>
      <c r="O25" s="38"/>
      <c r="P25" s="38"/>
      <c r="Q25" s="38"/>
    </row>
    <row r="26" spans="1:20" x14ac:dyDescent="0.2">
      <c r="A26" s="1780"/>
      <c r="B26" s="1780"/>
      <c r="C26" s="1787"/>
      <c r="D26" s="1268"/>
      <c r="E26" s="1255" t="s">
        <v>395</v>
      </c>
      <c r="F26" s="1255">
        <v>25000</v>
      </c>
      <c r="G26" s="1255" t="s">
        <v>388</v>
      </c>
      <c r="H26" s="1257">
        <f>$B$1-0.000007*F26</f>
        <v>0.51360919999999988</v>
      </c>
      <c r="I26" s="1256">
        <v>0.16400000000000001</v>
      </c>
      <c r="J26" s="1778"/>
      <c r="K26" s="1778"/>
      <c r="L26" s="1570"/>
      <c r="M26" s="1259"/>
      <c r="N26" s="38"/>
      <c r="O26" s="38"/>
      <c r="P26" s="38"/>
      <c r="Q26" s="38"/>
    </row>
    <row r="27" spans="1:20" x14ac:dyDescent="0.2">
      <c r="A27" s="468">
        <v>7</v>
      </c>
      <c r="B27" s="1259" t="s">
        <v>455</v>
      </c>
      <c r="C27" s="1254" t="s">
        <v>346</v>
      </c>
      <c r="D27" s="1254"/>
      <c r="E27" s="1255" t="s">
        <v>384</v>
      </c>
      <c r="F27" s="1255">
        <v>35000</v>
      </c>
      <c r="G27" s="1255" t="s">
        <v>385</v>
      </c>
      <c r="H27" s="1257">
        <f>$B$2-0.000012*F27</f>
        <v>1.2507729000000001</v>
      </c>
      <c r="I27" s="1256">
        <v>1</v>
      </c>
      <c r="J27" s="1260">
        <f>+I27*H27</f>
        <v>1.2507729000000001</v>
      </c>
      <c r="K27" s="1260">
        <f>+J134</f>
        <v>0.82239048281790539</v>
      </c>
      <c r="L27" s="1260"/>
      <c r="M27" s="1259" t="s">
        <v>386</v>
      </c>
      <c r="N27" s="493"/>
      <c r="O27" s="38"/>
      <c r="P27" s="38"/>
      <c r="Q27" s="38"/>
    </row>
    <row r="28" spans="1:20" x14ac:dyDescent="0.2">
      <c r="A28" s="468">
        <v>8</v>
      </c>
      <c r="B28" s="1259" t="s">
        <v>456</v>
      </c>
      <c r="C28" s="1254" t="s">
        <v>1</v>
      </c>
      <c r="D28" s="1254"/>
      <c r="E28" s="1255" t="s">
        <v>197</v>
      </c>
      <c r="F28" s="1255">
        <v>10000</v>
      </c>
      <c r="G28" s="1255" t="s">
        <v>385</v>
      </c>
      <c r="H28" s="1257">
        <f>$B$2-0.000012*F28</f>
        <v>1.5507728999999999</v>
      </c>
      <c r="I28" s="1256">
        <v>1</v>
      </c>
      <c r="J28" s="1260">
        <f>+I28*H28</f>
        <v>1.5507728999999999</v>
      </c>
      <c r="K28" s="1260">
        <f>+J28</f>
        <v>1.5507728999999999</v>
      </c>
      <c r="L28" s="1260"/>
      <c r="M28" s="1259"/>
      <c r="N28" s="38"/>
      <c r="O28" s="38"/>
      <c r="P28" s="38"/>
      <c r="Q28" s="38"/>
    </row>
    <row r="29" spans="1:20" x14ac:dyDescent="0.2">
      <c r="A29" s="1779">
        <v>9</v>
      </c>
      <c r="B29" s="1779" t="s">
        <v>447</v>
      </c>
      <c r="C29" s="1786" t="s">
        <v>103</v>
      </c>
      <c r="D29" s="1267"/>
      <c r="E29" s="1259" t="s">
        <v>397</v>
      </c>
      <c r="F29" s="1255">
        <v>15000</v>
      </c>
      <c r="G29" s="1257" t="s">
        <v>385</v>
      </c>
      <c r="H29" s="1257">
        <f>$B$2-0.000012*F29</f>
        <v>1.4907729000000001</v>
      </c>
      <c r="I29" s="1256">
        <v>0.3</v>
      </c>
      <c r="J29" s="1777">
        <f>+I29*H29+I30*H30+I32*H32+I31*H31</f>
        <v>0.96639140600000006</v>
      </c>
      <c r="K29" s="1777">
        <f>+J29</f>
        <v>0.96639140600000006</v>
      </c>
      <c r="L29" s="1568"/>
      <c r="M29" s="1259"/>
      <c r="N29" s="38"/>
      <c r="O29" s="38"/>
      <c r="P29" s="38"/>
      <c r="Q29" s="38"/>
    </row>
    <row r="30" spans="1:20" x14ac:dyDescent="0.2">
      <c r="A30" s="1781"/>
      <c r="B30" s="1781"/>
      <c r="C30" s="1787"/>
      <c r="D30" s="1267"/>
      <c r="E30" s="1259" t="s">
        <v>398</v>
      </c>
      <c r="F30" s="1255">
        <v>7000</v>
      </c>
      <c r="G30" s="1255" t="s">
        <v>385</v>
      </c>
      <c r="H30" s="1257">
        <f>$B$2-0.000012*F30</f>
        <v>1.5867728999999999</v>
      </c>
      <c r="I30" s="1256">
        <v>0.08</v>
      </c>
      <c r="J30" s="1782"/>
      <c r="K30" s="1782"/>
      <c r="L30" s="1569"/>
      <c r="M30" s="1259"/>
      <c r="N30" s="38"/>
      <c r="O30" s="38"/>
      <c r="P30" s="38"/>
      <c r="Q30" s="38"/>
    </row>
    <row r="31" spans="1:20" x14ac:dyDescent="0.2">
      <c r="A31" s="1781"/>
      <c r="B31" s="1781"/>
      <c r="C31" s="1267" t="s">
        <v>238</v>
      </c>
      <c r="D31" s="1267"/>
      <c r="E31" s="1259" t="s">
        <v>238</v>
      </c>
      <c r="F31" s="1255">
        <v>8000</v>
      </c>
      <c r="G31" s="1255" t="s">
        <v>388</v>
      </c>
      <c r="H31" s="1257">
        <f>$B$1-0.000007*F31</f>
        <v>0.63260919999999987</v>
      </c>
      <c r="I31" s="1256">
        <v>0.34</v>
      </c>
      <c r="J31" s="1782"/>
      <c r="K31" s="1782"/>
      <c r="L31" s="1569"/>
      <c r="M31" s="1259"/>
      <c r="N31" s="38"/>
      <c r="O31" s="38"/>
      <c r="P31" s="38"/>
      <c r="Q31" s="38"/>
    </row>
    <row r="32" spans="1:20" x14ac:dyDescent="0.2">
      <c r="A32" s="1780"/>
      <c r="B32" s="1780"/>
      <c r="C32" s="1254" t="s">
        <v>324</v>
      </c>
      <c r="D32" s="1254"/>
      <c r="E32" s="1255" t="s">
        <v>67</v>
      </c>
      <c r="F32" s="1255">
        <v>8000</v>
      </c>
      <c r="G32" s="1255" t="s">
        <v>388</v>
      </c>
      <c r="H32" s="1257">
        <f>$B$1-0.000007*F32</f>
        <v>0.63260919999999987</v>
      </c>
      <c r="I32" s="1256">
        <v>0.28000000000000003</v>
      </c>
      <c r="J32" s="1778"/>
      <c r="K32" s="1778"/>
      <c r="L32" s="1570"/>
      <c r="M32" s="1259"/>
      <c r="N32" s="38"/>
      <c r="O32" s="38"/>
      <c r="P32" s="38"/>
      <c r="Q32" s="38"/>
    </row>
    <row r="33" spans="1:18" x14ac:dyDescent="0.2">
      <c r="A33" s="1779">
        <v>10</v>
      </c>
      <c r="B33" s="1779" t="s">
        <v>828</v>
      </c>
      <c r="C33" s="1786" t="s">
        <v>318</v>
      </c>
      <c r="D33" s="1267">
        <v>33325</v>
      </c>
      <c r="E33" s="1259" t="s">
        <v>17</v>
      </c>
      <c r="F33" s="1255">
        <v>10000</v>
      </c>
      <c r="G33" s="1255" t="s">
        <v>385</v>
      </c>
      <c r="H33" s="1257">
        <f>$B$2-0.000007*F33</f>
        <v>1.6007728999999999</v>
      </c>
      <c r="I33" s="1256">
        <f>D33/($D$33+$D$34+$D$35+$D$36+$D$37)</f>
        <v>0.67964432117145601</v>
      </c>
      <c r="J33" s="1777">
        <f>+I33*H33+I34*H34+I37*H37+I35*H35+I36*H36</f>
        <v>1.5524275971223462</v>
      </c>
      <c r="K33" s="1777">
        <f>+J33</f>
        <v>1.5524275971223462</v>
      </c>
      <c r="L33" s="1568"/>
      <c r="M33" s="1259"/>
      <c r="N33" s="38"/>
      <c r="O33" s="38"/>
      <c r="P33" s="38"/>
      <c r="Q33" s="38"/>
    </row>
    <row r="34" spans="1:18" x14ac:dyDescent="0.2">
      <c r="A34" s="1781"/>
      <c r="B34" s="1781"/>
      <c r="C34" s="1787"/>
      <c r="D34" s="1267">
        <v>8000</v>
      </c>
      <c r="E34" s="1259" t="s">
        <v>399</v>
      </c>
      <c r="F34" s="1255">
        <v>2500</v>
      </c>
      <c r="G34" s="1255" t="s">
        <v>385</v>
      </c>
      <c r="H34" s="1257">
        <f>$B$2-0.000012*F34</f>
        <v>1.6407729</v>
      </c>
      <c r="I34" s="1256">
        <f>D34/($D$33+$D$34+$D$35+$D$36+$D$37)</f>
        <v>0.16315542593763385</v>
      </c>
      <c r="J34" s="1782"/>
      <c r="K34" s="1782"/>
      <c r="L34" s="1569"/>
      <c r="M34" s="1259"/>
      <c r="N34" s="38"/>
      <c r="O34" s="38"/>
      <c r="P34" s="38"/>
      <c r="Q34" s="38"/>
    </row>
    <row r="35" spans="1:18" x14ac:dyDescent="0.2">
      <c r="A35" s="1781"/>
      <c r="B35" s="1781"/>
      <c r="C35" s="1254" t="s">
        <v>19</v>
      </c>
      <c r="D35" s="1254">
        <v>3400</v>
      </c>
      <c r="E35" s="1259" t="s">
        <v>19</v>
      </c>
      <c r="F35" s="1255">
        <v>1000</v>
      </c>
      <c r="G35" s="1255" t="s">
        <v>388</v>
      </c>
      <c r="H35" s="1257">
        <f>$B$1-0.000007*F35</f>
        <v>0.68160919999999992</v>
      </c>
      <c r="I35" s="1256">
        <f>D35/($D$33+$D$34+$D$35+$D$36+$D$37)</f>
        <v>6.9341056023494385E-2</v>
      </c>
      <c r="J35" s="1782"/>
      <c r="K35" s="1782"/>
      <c r="L35" s="1569"/>
      <c r="M35" s="1259"/>
      <c r="N35" s="38"/>
      <c r="O35" s="38"/>
      <c r="P35" s="38"/>
      <c r="Q35" s="38"/>
    </row>
    <row r="36" spans="1:18" x14ac:dyDescent="0.2">
      <c r="A36" s="1781"/>
      <c r="B36" s="1781"/>
      <c r="C36" s="1254" t="s">
        <v>219</v>
      </c>
      <c r="D36" s="1254">
        <v>2916</v>
      </c>
      <c r="E36" s="1259" t="s">
        <v>409</v>
      </c>
      <c r="F36" s="1255">
        <v>6000</v>
      </c>
      <c r="G36" s="1255" t="s">
        <v>385</v>
      </c>
      <c r="H36" s="1257">
        <f>$B$2-0.000012*F36</f>
        <v>1.5987728999999999</v>
      </c>
      <c r="I36" s="1256">
        <f>D36/($D$33+$D$34+$D$35+$D$36+$D$37)</f>
        <v>5.9470152754267536E-2</v>
      </c>
      <c r="J36" s="1782"/>
      <c r="K36" s="1782"/>
      <c r="L36" s="1569"/>
      <c r="M36" s="1259"/>
      <c r="N36" s="38"/>
      <c r="O36" s="38"/>
      <c r="P36" s="38"/>
      <c r="Q36" s="38"/>
    </row>
    <row r="37" spans="1:18" x14ac:dyDescent="0.2">
      <c r="A37" s="1780"/>
      <c r="B37" s="1780"/>
      <c r="C37" s="1254" t="s">
        <v>43</v>
      </c>
      <c r="D37" s="1254">
        <v>1392</v>
      </c>
      <c r="E37" s="1255" t="s">
        <v>400</v>
      </c>
      <c r="F37" s="1255">
        <v>6000</v>
      </c>
      <c r="G37" s="1255" t="s">
        <v>420</v>
      </c>
      <c r="H37" s="1257">
        <f>$B$3-0.000012*F37</f>
        <v>1.9172049</v>
      </c>
      <c r="I37" s="1256">
        <f>D37/($D$33+$D$34+$D$35+$D$36+$D$37)</f>
        <v>2.8389044113148288E-2</v>
      </c>
      <c r="J37" s="1778"/>
      <c r="K37" s="1778"/>
      <c r="L37" s="1570"/>
      <c r="M37" s="1259"/>
      <c r="N37" s="37"/>
      <c r="O37" s="37"/>
      <c r="P37" s="37"/>
      <c r="Q37" s="37"/>
      <c r="R37" s="23"/>
    </row>
    <row r="38" spans="1:18" x14ac:dyDescent="0.2">
      <c r="A38" s="467">
        <v>11</v>
      </c>
      <c r="B38" s="1259" t="s">
        <v>442</v>
      </c>
      <c r="C38" s="1254" t="s">
        <v>309</v>
      </c>
      <c r="D38" s="1254"/>
      <c r="E38" s="1259" t="s">
        <v>2</v>
      </c>
      <c r="F38" s="1255">
        <v>33000</v>
      </c>
      <c r="G38" s="1255" t="s">
        <v>385</v>
      </c>
      <c r="H38" s="1257">
        <f>$B$2-0.000012*F38</f>
        <v>1.2747728999999999</v>
      </c>
      <c r="I38" s="1256">
        <v>1</v>
      </c>
      <c r="J38" s="1269">
        <f>+I38*H38</f>
        <v>1.2747728999999999</v>
      </c>
      <c r="K38" s="1269">
        <f>+J38</f>
        <v>1.2747728999999999</v>
      </c>
      <c r="L38" s="1269"/>
      <c r="M38" s="1259"/>
      <c r="N38" s="38"/>
      <c r="O38" s="38"/>
      <c r="P38" s="38"/>
      <c r="Q38" s="38"/>
    </row>
    <row r="39" spans="1:18" x14ac:dyDescent="0.2">
      <c r="A39" s="467">
        <v>12</v>
      </c>
      <c r="B39" s="1259" t="s">
        <v>452</v>
      </c>
      <c r="C39" s="1254" t="s">
        <v>401</v>
      </c>
      <c r="D39" s="1254"/>
      <c r="E39" s="1255" t="s">
        <v>7</v>
      </c>
      <c r="F39" s="1255">
        <v>35000</v>
      </c>
      <c r="G39" s="1255" t="s">
        <v>420</v>
      </c>
      <c r="H39" s="1257">
        <f>$B$3-0.000012*F39</f>
        <v>1.5692049000000001</v>
      </c>
      <c r="I39" s="1256">
        <v>1</v>
      </c>
      <c r="J39" s="1269">
        <f>+I39*H39</f>
        <v>1.5692049000000001</v>
      </c>
      <c r="K39" s="1269">
        <f>+J39-L39</f>
        <v>1.4766798735224218</v>
      </c>
      <c r="L39" s="45">
        <f>+P39/Q39/1000</f>
        <v>9.2525026477578404E-2</v>
      </c>
      <c r="M39" s="1259" t="s">
        <v>912</v>
      </c>
      <c r="N39" s="38">
        <v>0.15</v>
      </c>
      <c r="O39" s="353">
        <v>12000000</v>
      </c>
      <c r="P39" s="436">
        <f>+N39*O39</f>
        <v>1800000</v>
      </c>
      <c r="Q39" s="353">
        <f>+'[7]תחשיב תעריף 2016'!Q16</f>
        <v>19454.196</v>
      </c>
    </row>
    <row r="40" spans="1:18" x14ac:dyDescent="0.2">
      <c r="A40" s="467"/>
      <c r="B40" s="1779" t="s">
        <v>453</v>
      </c>
      <c r="C40" s="1254" t="s">
        <v>196</v>
      </c>
      <c r="D40" s="1254">
        <f>+[7]גיליון1!D137</f>
        <v>35915</v>
      </c>
      <c r="E40" s="1255" t="s">
        <v>384</v>
      </c>
      <c r="F40" s="1255">
        <v>35000</v>
      </c>
      <c r="G40" s="1255" t="s">
        <v>385</v>
      </c>
      <c r="H40" s="1257">
        <f>+J141</f>
        <v>1.648179784027286</v>
      </c>
      <c r="I40" s="1256">
        <f>+D40/(D40+D41)</f>
        <v>0.1482461426696276</v>
      </c>
      <c r="J40" s="1789">
        <f>+I41*H41+H40*I40</f>
        <v>2.2068973122415487</v>
      </c>
      <c r="K40" s="1777">
        <f>+J40-L41</f>
        <v>2.2068973122415487</v>
      </c>
      <c r="L40" s="45"/>
      <c r="M40" s="1259"/>
      <c r="N40" s="38"/>
      <c r="O40" s="353"/>
      <c r="P40" s="436"/>
      <c r="Q40" s="353"/>
    </row>
    <row r="41" spans="1:18" x14ac:dyDescent="0.2">
      <c r="A41" s="468">
        <v>13</v>
      </c>
      <c r="B41" s="1781"/>
      <c r="C41" s="1254" t="s">
        <v>735</v>
      </c>
      <c r="D41" s="1254">
        <f>+[7]גיליון1!D135+[7]גיליון1!D136+[7]גיליון1!D134</f>
        <v>206351</v>
      </c>
      <c r="E41" s="1259" t="s">
        <v>384</v>
      </c>
      <c r="F41" s="1255">
        <v>35000</v>
      </c>
      <c r="G41" s="1255" t="s">
        <v>385</v>
      </c>
      <c r="H41" s="1257">
        <f>+IF($B$6=0,J40,$B$6*(1-HLOOKUP(B40,'[7]תחשיב תעריף 2016'!$4:$26,17,0)))</f>
        <v>2.3041410378634994</v>
      </c>
      <c r="I41" s="1256">
        <f>+D41/(D41+D40)</f>
        <v>0.85175385733037245</v>
      </c>
      <c r="J41" s="1790"/>
      <c r="K41" s="1778"/>
      <c r="L41" s="1269"/>
      <c r="M41" s="1259" t="s">
        <v>386</v>
      </c>
      <c r="N41" s="38"/>
      <c r="O41" s="38"/>
      <c r="P41" s="38"/>
      <c r="Q41" s="38"/>
    </row>
    <row r="42" spans="1:18" ht="25.5" x14ac:dyDescent="0.2">
      <c r="A42" s="1779">
        <v>14</v>
      </c>
      <c r="B42" s="1779" t="s">
        <v>457</v>
      </c>
      <c r="C42" s="1254" t="s">
        <v>403</v>
      </c>
      <c r="D42" s="1254">
        <f>4518+8532+5633</f>
        <v>18683</v>
      </c>
      <c r="E42" s="1255" t="s">
        <v>404</v>
      </c>
      <c r="F42" s="1255">
        <v>3500</v>
      </c>
      <c r="G42" s="1255" t="s">
        <v>385</v>
      </c>
      <c r="H42" s="1257">
        <f>$B$2-0.000012*F42</f>
        <v>1.6287729</v>
      </c>
      <c r="I42" s="1256">
        <f t="shared" ref="I42:I50" si="0">D42/($D$42+$D$43+$D$44+$D$45+$D$46+$D$47+$D$48+$D$49+$D$50)</f>
        <v>0.19108547349472757</v>
      </c>
      <c r="J42" s="1777">
        <f>+I42*H42+I46*H46+I47*H47+I50*H50+I43*H43+I44*H44+I45*H45+I48*H48+I49*H49</f>
        <v>1.5898396657056659</v>
      </c>
      <c r="K42" s="1777">
        <f>+J42</f>
        <v>1.5898396657056659</v>
      </c>
      <c r="L42" s="1568"/>
      <c r="M42" s="1259"/>
      <c r="N42" s="38"/>
      <c r="O42" s="38"/>
      <c r="P42" s="38"/>
      <c r="Q42" s="38"/>
    </row>
    <row r="43" spans="1:18" x14ac:dyDescent="0.2">
      <c r="A43" s="1781"/>
      <c r="B43" s="1781"/>
      <c r="C43" s="1254" t="s">
        <v>490</v>
      </c>
      <c r="D43" s="1254">
        <v>19934</v>
      </c>
      <c r="E43" s="1255" t="s">
        <v>400</v>
      </c>
      <c r="F43" s="1255">
        <v>6000</v>
      </c>
      <c r="G43" s="1255" t="s">
        <v>420</v>
      </c>
      <c r="H43" s="1257">
        <f>$B$3-0.000012*F43</f>
        <v>1.9172049</v>
      </c>
      <c r="I43" s="1256">
        <f t="shared" si="0"/>
        <v>0.20388041688400682</v>
      </c>
      <c r="J43" s="1782"/>
      <c r="K43" s="1782"/>
      <c r="L43" s="1569"/>
      <c r="M43" s="1259"/>
      <c r="N43" s="38"/>
      <c r="O43" s="38"/>
      <c r="P43" s="38"/>
      <c r="Q43" s="38"/>
    </row>
    <row r="44" spans="1:18" x14ac:dyDescent="0.2">
      <c r="A44" s="1781"/>
      <c r="B44" s="1781"/>
      <c r="C44" s="1254" t="s">
        <v>405</v>
      </c>
      <c r="D44" s="1254">
        <f>3711+7244</f>
        <v>10955</v>
      </c>
      <c r="E44" s="1255" t="s">
        <v>73</v>
      </c>
      <c r="F44" s="1255">
        <v>20800</v>
      </c>
      <c r="G44" s="1255" t="s">
        <v>385</v>
      </c>
      <c r="H44" s="1257">
        <f>+IF($B$8=0,J54,$B$8*(1-HLOOKUP(B42,'[7]תחשיב תעריף 2016'!$4:$26,17,0)))</f>
        <v>1.5741730930935713</v>
      </c>
      <c r="I44" s="1256">
        <f t="shared" si="0"/>
        <v>0.11204524766551092</v>
      </c>
      <c r="J44" s="1782"/>
      <c r="K44" s="1782"/>
      <c r="L44" s="1569"/>
      <c r="M44" s="1259" t="s">
        <v>386</v>
      </c>
      <c r="N44" s="38"/>
      <c r="O44" s="38"/>
      <c r="P44" s="38"/>
      <c r="Q44" s="38"/>
    </row>
    <row r="45" spans="1:18" x14ac:dyDescent="0.2">
      <c r="A45" s="1781"/>
      <c r="B45" s="1781"/>
      <c r="C45" s="1254" t="s">
        <v>147</v>
      </c>
      <c r="D45" s="1254">
        <v>10491</v>
      </c>
      <c r="E45" s="1255" t="s">
        <v>1579</v>
      </c>
      <c r="F45" s="1255">
        <v>1000</v>
      </c>
      <c r="G45" s="1255" t="s">
        <v>385</v>
      </c>
      <c r="H45" s="1257">
        <f>$B$2-0.000007*F45</f>
        <v>1.6637729000000001</v>
      </c>
      <c r="I45" s="1256">
        <f t="shared" si="0"/>
        <v>0.10729956122856003</v>
      </c>
      <c r="J45" s="1782"/>
      <c r="K45" s="1782"/>
      <c r="L45" s="1569"/>
      <c r="M45" s="1259"/>
      <c r="N45" s="38"/>
      <c r="O45" s="38"/>
      <c r="P45" s="38"/>
      <c r="Q45" s="38"/>
    </row>
    <row r="46" spans="1:18" x14ac:dyDescent="0.2">
      <c r="A46" s="1781"/>
      <c r="B46" s="1781"/>
      <c r="C46" s="1254" t="s">
        <v>48</v>
      </c>
      <c r="D46" s="1254">
        <v>25000</v>
      </c>
      <c r="E46" s="1255" t="s">
        <v>48</v>
      </c>
      <c r="F46" s="1255">
        <v>5000</v>
      </c>
      <c r="G46" s="1255" t="s">
        <v>385</v>
      </c>
      <c r="H46" s="1257">
        <f>$B$2-0.000012*F46</f>
        <v>1.6107729</v>
      </c>
      <c r="I46" s="1256">
        <f t="shared" si="0"/>
        <v>0.25569431233571638</v>
      </c>
      <c r="J46" s="1782"/>
      <c r="K46" s="1782"/>
      <c r="L46" s="1569"/>
      <c r="M46" s="1259"/>
      <c r="N46" s="38"/>
      <c r="O46" s="38"/>
      <c r="P46" s="38"/>
      <c r="Q46" s="38"/>
    </row>
    <row r="47" spans="1:18" x14ac:dyDescent="0.2">
      <c r="A47" s="1781"/>
      <c r="B47" s="1781"/>
      <c r="C47" s="1254" t="s">
        <v>209</v>
      </c>
      <c r="D47" s="1254">
        <v>2899</v>
      </c>
      <c r="E47" s="1255" t="s">
        <v>406</v>
      </c>
      <c r="F47" s="1255">
        <v>1000</v>
      </c>
      <c r="G47" s="1255" t="s">
        <v>388</v>
      </c>
      <c r="H47" s="1257">
        <f>$B$1-0.000007*F47</f>
        <v>0.68160919999999992</v>
      </c>
      <c r="I47" s="1256">
        <f t="shared" si="0"/>
        <v>2.9650312458449676E-2</v>
      </c>
      <c r="J47" s="1782"/>
      <c r="K47" s="1782"/>
      <c r="L47" s="1569"/>
      <c r="M47" s="1259"/>
      <c r="N47" s="38"/>
      <c r="O47" s="38"/>
      <c r="P47" s="38"/>
      <c r="Q47" s="38"/>
    </row>
    <row r="48" spans="1:18" x14ac:dyDescent="0.2">
      <c r="A48" s="1781"/>
      <c r="B48" s="1781"/>
      <c r="C48" s="1254" t="s">
        <v>146</v>
      </c>
      <c r="D48" s="1254">
        <v>2886</v>
      </c>
      <c r="E48" s="1255" t="s">
        <v>146</v>
      </c>
      <c r="F48" s="1255">
        <v>1500</v>
      </c>
      <c r="G48" s="1255" t="s">
        <v>396</v>
      </c>
      <c r="H48" s="1257">
        <v>0</v>
      </c>
      <c r="I48" s="1256">
        <f t="shared" si="0"/>
        <v>2.9517351416035103E-2</v>
      </c>
      <c r="J48" s="1782"/>
      <c r="K48" s="1782"/>
      <c r="L48" s="1569"/>
      <c r="M48" s="1259"/>
      <c r="N48" s="38"/>
      <c r="O48" s="38"/>
      <c r="P48" s="38"/>
      <c r="Q48" s="38"/>
    </row>
    <row r="49" spans="1:18" x14ac:dyDescent="0.2">
      <c r="A49" s="1781"/>
      <c r="B49" s="1781"/>
      <c r="C49" s="1254" t="s">
        <v>133</v>
      </c>
      <c r="D49" s="1254">
        <v>5486</v>
      </c>
      <c r="E49" s="1255" t="s">
        <v>419</v>
      </c>
      <c r="F49" s="1255">
        <v>4500</v>
      </c>
      <c r="G49" s="1255" t="s">
        <v>385</v>
      </c>
      <c r="H49" s="1257">
        <f>$B$2-0.000012*F49</f>
        <v>1.6167729</v>
      </c>
      <c r="I49" s="1256">
        <f t="shared" si="0"/>
        <v>5.6109559898949606E-2</v>
      </c>
      <c r="J49" s="1782"/>
      <c r="K49" s="1782"/>
      <c r="L49" s="1569"/>
      <c r="M49" s="1259"/>
      <c r="N49" s="38"/>
      <c r="O49" s="38"/>
      <c r="P49" s="38"/>
      <c r="Q49" s="38"/>
    </row>
    <row r="50" spans="1:18" x14ac:dyDescent="0.2">
      <c r="A50" s="1780"/>
      <c r="B50" s="1780"/>
      <c r="C50" s="1254" t="s">
        <v>217</v>
      </c>
      <c r="D50" s="1254">
        <v>1439</v>
      </c>
      <c r="E50" s="1255" t="s">
        <v>21</v>
      </c>
      <c r="F50" s="1255">
        <v>1000</v>
      </c>
      <c r="G50" s="1255" t="s">
        <v>388</v>
      </c>
      <c r="H50" s="1257">
        <f>$B$1-0.000007*F50</f>
        <v>0.68160919999999992</v>
      </c>
      <c r="I50" s="1256">
        <f t="shared" si="0"/>
        <v>1.4717764618043836E-2</v>
      </c>
      <c r="J50" s="1778"/>
      <c r="K50" s="1778"/>
      <c r="L50" s="1570"/>
      <c r="M50" s="1256"/>
      <c r="N50" s="37"/>
      <c r="O50" s="37"/>
      <c r="P50" s="37"/>
      <c r="Q50" s="37"/>
      <c r="R50" s="23"/>
    </row>
    <row r="51" spans="1:18" x14ac:dyDescent="0.2">
      <c r="A51" s="468">
        <v>15</v>
      </c>
      <c r="B51" s="1259" t="s">
        <v>691</v>
      </c>
      <c r="C51" s="1254" t="s">
        <v>313</v>
      </c>
      <c r="D51" s="1254"/>
      <c r="E51" s="1255" t="s">
        <v>384</v>
      </c>
      <c r="F51" s="1255">
        <v>35000</v>
      </c>
      <c r="G51" s="1255" t="s">
        <v>385</v>
      </c>
      <c r="H51" s="1257">
        <f>$B$2-0.000012*F51</f>
        <v>1.2507729000000001</v>
      </c>
      <c r="I51" s="1256">
        <v>1</v>
      </c>
      <c r="J51" s="1260">
        <f>+I51*H51</f>
        <v>1.2507729000000001</v>
      </c>
      <c r="K51" s="1269">
        <f>+IF($B$6=0,J51,$B$6*(1-HLOOKUP(B51,'[7]תחשיב תעריף 2016'!$4:$26,17,0)))</f>
        <v>2.2372842333576948</v>
      </c>
      <c r="L51" s="1269"/>
      <c r="M51" s="1259" t="s">
        <v>386</v>
      </c>
      <c r="N51" s="432"/>
      <c r="O51" s="432"/>
      <c r="P51" s="432"/>
      <c r="Q51" s="432"/>
      <c r="R51" s="22"/>
    </row>
    <row r="52" spans="1:18" ht="25.5" x14ac:dyDescent="0.2">
      <c r="A52" s="468"/>
      <c r="B52" s="1779" t="s">
        <v>450</v>
      </c>
      <c r="C52" s="1254" t="s">
        <v>730</v>
      </c>
      <c r="D52" s="1254"/>
      <c r="E52" s="1255" t="s">
        <v>407</v>
      </c>
      <c r="F52" s="1255">
        <v>6000</v>
      </c>
      <c r="G52" s="1255" t="s">
        <v>420</v>
      </c>
      <c r="H52" s="1257">
        <f>$B$3-0.000012*F52</f>
        <v>1.9172049</v>
      </c>
      <c r="I52" s="1256">
        <f>1746/(1746+2573)</f>
        <v>0.4042602454271822</v>
      </c>
      <c r="J52" s="1777">
        <f>+I53*H53+I52*H52</f>
        <v>1.6693532388541548</v>
      </c>
      <c r="K52" s="1777">
        <f>+J52</f>
        <v>1.6693532388541548</v>
      </c>
      <c r="L52" s="1568"/>
      <c r="M52" s="1259"/>
      <c r="N52" s="432"/>
      <c r="O52" s="432"/>
      <c r="P52" s="432"/>
      <c r="Q52" s="432"/>
      <c r="R52" s="22"/>
    </row>
    <row r="53" spans="1:18" x14ac:dyDescent="0.2">
      <c r="A53" s="467">
        <v>16</v>
      </c>
      <c r="B53" s="1780"/>
      <c r="C53" s="1254" t="s">
        <v>330</v>
      </c>
      <c r="D53" s="1254"/>
      <c r="E53" s="1255" t="s">
        <v>384</v>
      </c>
      <c r="F53" s="1255">
        <v>35000</v>
      </c>
      <c r="G53" s="1255" t="s">
        <v>385</v>
      </c>
      <c r="H53" s="1257">
        <f>+J135</f>
        <v>1.5011647427948289</v>
      </c>
      <c r="I53" s="1270">
        <f>1-I52</f>
        <v>0.5957397545728178</v>
      </c>
      <c r="J53" s="1778"/>
      <c r="K53" s="1778"/>
      <c r="L53" s="1570"/>
      <c r="M53" s="1259" t="s">
        <v>386</v>
      </c>
      <c r="N53" s="38"/>
      <c r="O53" s="38"/>
      <c r="P53" s="38"/>
      <c r="Q53" s="38"/>
    </row>
    <row r="54" spans="1:18" s="1058" customFormat="1" x14ac:dyDescent="0.2">
      <c r="A54" s="1056">
        <v>17</v>
      </c>
      <c r="B54" s="1271" t="s">
        <v>446</v>
      </c>
      <c r="C54" s="1272" t="s">
        <v>323</v>
      </c>
      <c r="D54" s="1272"/>
      <c r="E54" s="1273" t="s">
        <v>391</v>
      </c>
      <c r="F54" s="1273">
        <v>35000</v>
      </c>
      <c r="G54" s="1273" t="s">
        <v>385</v>
      </c>
      <c r="H54" s="1274">
        <f>$B$2-0.000012*F54</f>
        <v>1.2507729000000001</v>
      </c>
      <c r="I54" s="1275">
        <v>1</v>
      </c>
      <c r="J54" s="1276">
        <f>+I54*H54</f>
        <v>1.2507729000000001</v>
      </c>
      <c r="K54" s="1276">
        <f>+IF($B$7=0,J54,$B$7*(1-HLOOKUP(B54,'[7]תחשיב תעריף 2016'!$4:$26,17,0)))+0.356</f>
        <v>1.1465453647348276</v>
      </c>
      <c r="L54" s="1276"/>
      <c r="M54" s="1271"/>
      <c r="N54" s="1057"/>
      <c r="O54" s="1057"/>
      <c r="P54" s="1057"/>
      <c r="Q54" s="1057"/>
    </row>
    <row r="55" spans="1:18" s="719" customFormat="1" x14ac:dyDescent="0.2">
      <c r="A55" s="1791">
        <v>18</v>
      </c>
      <c r="B55" s="1794" t="s">
        <v>458</v>
      </c>
      <c r="C55" s="1262" t="s">
        <v>244</v>
      </c>
      <c r="D55" s="1262">
        <v>21336</v>
      </c>
      <c r="E55" s="1263" t="s">
        <v>1499</v>
      </c>
      <c r="F55" s="1263">
        <v>6000</v>
      </c>
      <c r="G55" s="1263" t="s">
        <v>385</v>
      </c>
      <c r="H55" s="1264">
        <f>$B$2-0.000012*F55</f>
        <v>1.5987728999999999</v>
      </c>
      <c r="I55" s="1265">
        <f>+D55/(D55+D56+D57)</f>
        <v>0.17409468479201004</v>
      </c>
      <c r="J55" s="1266"/>
      <c r="K55" s="1797">
        <f>L55*I57+I55*H55+I56*H56</f>
        <v>1.4263231854820355</v>
      </c>
      <c r="L55" s="1266">
        <f>+IF($B$7=0,J57*I57,$B$7*(1-HLOOKUP(B55,'[7]תחשיב תעריף 2016'!$4:$26,17,0)))+0.374</f>
        <v>1.1553623805308311</v>
      </c>
      <c r="M55" s="1261"/>
      <c r="N55" s="720"/>
      <c r="O55" s="720"/>
      <c r="P55" s="720"/>
      <c r="Q55" s="720"/>
    </row>
    <row r="56" spans="1:18" s="719" customFormat="1" x14ac:dyDescent="0.2">
      <c r="A56" s="1792"/>
      <c r="B56" s="1795"/>
      <c r="C56" s="1262" t="s">
        <v>1493</v>
      </c>
      <c r="D56" s="1262">
        <f>25225+6959</f>
        <v>32184</v>
      </c>
      <c r="E56" s="1263" t="s">
        <v>1498</v>
      </c>
      <c r="F56" s="1263">
        <v>8000</v>
      </c>
      <c r="G56" s="1263" t="s">
        <v>385</v>
      </c>
      <c r="H56" s="1264">
        <f>$B$3-0.000012*F56</f>
        <v>1.8932049</v>
      </c>
      <c r="I56" s="1265">
        <f>+D56/(D55+D56+D57)</f>
        <v>0.26261076749840884</v>
      </c>
      <c r="J56" s="1266"/>
      <c r="K56" s="1798"/>
      <c r="L56" s="1266"/>
      <c r="M56" s="1261"/>
      <c r="N56" s="720"/>
      <c r="O56" s="720"/>
      <c r="P56" s="720"/>
      <c r="Q56" s="720"/>
    </row>
    <row r="57" spans="1:18" s="719" customFormat="1" x14ac:dyDescent="0.2">
      <c r="A57" s="1793">
        <v>18</v>
      </c>
      <c r="B57" s="1796"/>
      <c r="C57" s="1262" t="s">
        <v>350</v>
      </c>
      <c r="D57" s="1262">
        <v>69034</v>
      </c>
      <c r="E57" s="1263" t="s">
        <v>391</v>
      </c>
      <c r="F57" s="1263">
        <v>35000</v>
      </c>
      <c r="G57" s="1263" t="s">
        <v>385</v>
      </c>
      <c r="H57" s="1264">
        <f>$B$2-0.000012*F57</f>
        <v>1.2507729000000001</v>
      </c>
      <c r="I57" s="1265">
        <f>+D57/(D55+D56+D57)</f>
        <v>0.56329454770958109</v>
      </c>
      <c r="J57" s="1266">
        <f>+I57*H57</f>
        <v>0.70455355499290118</v>
      </c>
      <c r="K57" s="1799"/>
      <c r="L57" s="1266"/>
      <c r="M57" s="1261"/>
      <c r="N57" s="720"/>
      <c r="O57" s="720"/>
      <c r="P57" s="720"/>
      <c r="Q57" s="720"/>
    </row>
    <row r="58" spans="1:18" x14ac:dyDescent="0.2">
      <c r="A58" s="1779">
        <v>19</v>
      </c>
      <c r="B58" s="1779" t="s">
        <v>445</v>
      </c>
      <c r="C58" s="1254" t="s">
        <v>317</v>
      </c>
      <c r="D58" s="1254">
        <v>80163</v>
      </c>
      <c r="E58" s="1255" t="s">
        <v>138</v>
      </c>
      <c r="F58" s="1255">
        <v>25000</v>
      </c>
      <c r="G58" s="1255" t="s">
        <v>385</v>
      </c>
      <c r="H58" s="1257">
        <f>$B$2-0.000012*F58</f>
        <v>1.3707729</v>
      </c>
      <c r="I58" s="1256">
        <v>1</v>
      </c>
      <c r="J58" s="1777">
        <f>+I58*H58</f>
        <v>1.3707729</v>
      </c>
      <c r="K58" s="1777">
        <f>+J58+L58</f>
        <v>1.6337728999999999</v>
      </c>
      <c r="L58" s="1568">
        <v>0.26300000000000001</v>
      </c>
      <c r="M58" s="1259"/>
      <c r="N58" s="38"/>
      <c r="O58" s="38"/>
      <c r="P58" s="38"/>
      <c r="Q58" s="38"/>
    </row>
    <row r="59" spans="1:18" x14ac:dyDescent="0.2">
      <c r="A59" s="1780"/>
      <c r="B59" s="1780"/>
      <c r="C59" s="1254" t="s">
        <v>111</v>
      </c>
      <c r="D59" s="1254">
        <v>2981</v>
      </c>
      <c r="E59" s="1255" t="s">
        <v>101</v>
      </c>
      <c r="F59" s="1255">
        <v>35000</v>
      </c>
      <c r="G59" s="1255"/>
      <c r="H59" s="1257"/>
      <c r="I59" s="1256"/>
      <c r="J59" s="1778"/>
      <c r="K59" s="1778"/>
      <c r="L59" s="1570"/>
      <c r="M59" s="1259"/>
      <c r="N59" s="38"/>
      <c r="O59" s="38"/>
      <c r="P59" s="38"/>
      <c r="Q59" s="38"/>
    </row>
    <row r="60" spans="1:18" x14ac:dyDescent="0.2">
      <c r="A60" s="1779">
        <v>20</v>
      </c>
      <c r="B60" s="1779" t="s">
        <v>444</v>
      </c>
      <c r="C60" s="1254" t="s">
        <v>408</v>
      </c>
      <c r="D60" s="1254">
        <f>18754+11924</f>
        <v>30678</v>
      </c>
      <c r="E60" s="1259" t="s">
        <v>409</v>
      </c>
      <c r="F60" s="1255">
        <v>6000</v>
      </c>
      <c r="G60" s="1255" t="s">
        <v>385</v>
      </c>
      <c r="H60" s="1257">
        <f>$B$2-0.000012*F60</f>
        <v>1.5987728999999999</v>
      </c>
      <c r="I60" s="1256">
        <f>D60/($D$60+$D$61+$D$62+$D$63+$D$64)</f>
        <v>0.43280381479077906</v>
      </c>
      <c r="J60" s="1777">
        <f>+I60*H60+I61*H61+I62*H62+I63*H63+I64*H64</f>
        <v>1.1398666423845265</v>
      </c>
      <c r="K60" s="1777">
        <f>+J60</f>
        <v>1.1398666423845265</v>
      </c>
      <c r="L60" s="1568"/>
      <c r="M60" s="1259"/>
      <c r="N60" s="38"/>
      <c r="O60" s="38"/>
      <c r="P60" s="38"/>
      <c r="Q60" s="38"/>
    </row>
    <row r="61" spans="1:18" x14ac:dyDescent="0.2">
      <c r="A61" s="1781"/>
      <c r="B61" s="1781"/>
      <c r="C61" s="1254" t="s">
        <v>410</v>
      </c>
      <c r="D61" s="1254">
        <v>8000</v>
      </c>
      <c r="E61" s="1255" t="s">
        <v>411</v>
      </c>
      <c r="F61" s="1255">
        <v>3000</v>
      </c>
      <c r="G61" s="1255" t="s">
        <v>385</v>
      </c>
      <c r="H61" s="1257">
        <f>$B$2-0.000012*F61</f>
        <v>1.6347729</v>
      </c>
      <c r="I61" s="1256">
        <f>D61/($D$60+$D$61+$D$62+$D$63+$D$64)</f>
        <v>0.11286363251601253</v>
      </c>
      <c r="J61" s="1782"/>
      <c r="K61" s="1782"/>
      <c r="L61" s="1569"/>
      <c r="M61" s="1259"/>
      <c r="N61" s="38"/>
      <c r="O61" s="38"/>
      <c r="P61" s="38"/>
      <c r="Q61" s="38"/>
    </row>
    <row r="62" spans="1:18" x14ac:dyDescent="0.2">
      <c r="A62" s="1781"/>
      <c r="B62" s="1781"/>
      <c r="C62" s="1254" t="s">
        <v>412</v>
      </c>
      <c r="D62" s="1254">
        <f>8999+4978</f>
        <v>13977</v>
      </c>
      <c r="E62" s="1255" t="s">
        <v>413</v>
      </c>
      <c r="F62" s="1255">
        <v>0</v>
      </c>
      <c r="G62" s="1255" t="s">
        <v>396</v>
      </c>
      <c r="H62" s="1257">
        <v>0</v>
      </c>
      <c r="I62" s="1256">
        <f>D62/($D$60+$D$61+$D$62+$D$63+$D$64)</f>
        <v>0.19718687395953838</v>
      </c>
      <c r="J62" s="1782"/>
      <c r="K62" s="1782"/>
      <c r="L62" s="1569"/>
      <c r="M62" s="1259"/>
      <c r="N62" s="38"/>
      <c r="O62" s="38"/>
      <c r="P62" s="38"/>
      <c r="Q62" s="38"/>
    </row>
    <row r="63" spans="1:18" x14ac:dyDescent="0.2">
      <c r="A63" s="1781"/>
      <c r="B63" s="1781"/>
      <c r="C63" s="1254" t="s">
        <v>237</v>
      </c>
      <c r="D63" s="1254">
        <v>11170</v>
      </c>
      <c r="E63" s="1255" t="s">
        <v>414</v>
      </c>
      <c r="F63" s="1255">
        <v>2800</v>
      </c>
      <c r="G63" s="1255" t="s">
        <v>388</v>
      </c>
      <c r="H63" s="1257">
        <f>$B$1-0.000007*F63</f>
        <v>0.66900919999999997</v>
      </c>
      <c r="I63" s="1256">
        <f>D63/($D$60+$D$61+$D$62+$D$63+$D$64)</f>
        <v>0.1575858469004825</v>
      </c>
      <c r="J63" s="1782"/>
      <c r="K63" s="1782"/>
      <c r="L63" s="1569"/>
      <c r="M63" s="1259"/>
      <c r="N63" s="38"/>
      <c r="O63" s="38"/>
      <c r="P63" s="38"/>
      <c r="Q63" s="38"/>
    </row>
    <row r="64" spans="1:18" x14ac:dyDescent="0.2">
      <c r="A64" s="1780"/>
      <c r="B64" s="1780"/>
      <c r="C64" s="1254" t="s">
        <v>229</v>
      </c>
      <c r="D64" s="1254">
        <v>7057</v>
      </c>
      <c r="E64" s="1255" t="s">
        <v>398</v>
      </c>
      <c r="F64" s="1255">
        <v>7000</v>
      </c>
      <c r="G64" s="1255" t="s">
        <v>385</v>
      </c>
      <c r="H64" s="1257">
        <f>$B$2-0.000012*F64</f>
        <v>1.5867728999999999</v>
      </c>
      <c r="I64" s="1256">
        <f>D64/($D$60+$D$61+$D$62+$D$63+$D$64)</f>
        <v>9.9559831833187548E-2</v>
      </c>
      <c r="J64" s="1778"/>
      <c r="K64" s="1778"/>
      <c r="L64" s="1570"/>
      <c r="M64" s="1259"/>
      <c r="N64" s="38"/>
      <c r="O64" s="38"/>
      <c r="P64" s="38"/>
      <c r="Q64" s="38"/>
    </row>
    <row r="65" spans="1:18" ht="15.75" customHeight="1" x14ac:dyDescent="0.2">
      <c r="A65" s="1779">
        <v>21</v>
      </c>
      <c r="B65" s="1779" t="s">
        <v>449</v>
      </c>
      <c r="C65" s="1804" t="s">
        <v>736</v>
      </c>
      <c r="D65" s="1254"/>
      <c r="E65" s="1259" t="s">
        <v>415</v>
      </c>
      <c r="F65" s="1255">
        <v>10000</v>
      </c>
      <c r="G65" s="1255" t="s">
        <v>385</v>
      </c>
      <c r="H65" s="1257">
        <f>$B$2-0.000012*F65</f>
        <v>1.5507728999999999</v>
      </c>
      <c r="I65" s="1256">
        <v>0.73</v>
      </c>
      <c r="J65" s="1777">
        <f>+I65*H65+I66*H66+I67*H67</f>
        <v>1.568517841</v>
      </c>
      <c r="K65" s="1777">
        <f>+J65+0.2827</f>
        <v>1.851217841</v>
      </c>
      <c r="L65" s="1568"/>
      <c r="M65" s="1259"/>
      <c r="N65" s="38"/>
      <c r="O65" s="38"/>
      <c r="P65" s="38"/>
      <c r="Q65" s="38"/>
    </row>
    <row r="66" spans="1:18" ht="13.5" customHeight="1" x14ac:dyDescent="0.2">
      <c r="A66" s="1781"/>
      <c r="B66" s="1781"/>
      <c r="C66" s="1805"/>
      <c r="D66" s="1254"/>
      <c r="E66" s="1259" t="s">
        <v>577</v>
      </c>
      <c r="F66" s="1255">
        <v>3500</v>
      </c>
      <c r="G66" s="1255" t="s">
        <v>420</v>
      </c>
      <c r="H66" s="1257">
        <f>$B$3-0.000013*F66</f>
        <v>1.9437049</v>
      </c>
      <c r="I66" s="1256">
        <v>0.2</v>
      </c>
      <c r="J66" s="1782"/>
      <c r="K66" s="1782"/>
      <c r="L66" s="1569"/>
      <c r="M66" s="1259"/>
      <c r="N66" s="38"/>
      <c r="O66" s="38"/>
      <c r="P66" s="38"/>
      <c r="Q66" s="38"/>
    </row>
    <row r="67" spans="1:18" x14ac:dyDescent="0.2">
      <c r="A67" s="1780"/>
      <c r="B67" s="1780"/>
      <c r="C67" s="1254" t="s">
        <v>34</v>
      </c>
      <c r="D67" s="1254"/>
      <c r="E67" s="1255" t="s">
        <v>34</v>
      </c>
      <c r="F67" s="1255">
        <v>1000</v>
      </c>
      <c r="G67" s="1255" t="s">
        <v>388</v>
      </c>
      <c r="H67" s="1257">
        <f>$B$1-0.000007*F67</f>
        <v>0.68160919999999992</v>
      </c>
      <c r="I67" s="1256">
        <v>7.0000000000000007E-2</v>
      </c>
      <c r="J67" s="1778"/>
      <c r="K67" s="1778"/>
      <c r="L67" s="1570"/>
      <c r="M67" s="1259"/>
      <c r="N67" s="38"/>
      <c r="O67" s="38"/>
      <c r="P67" s="38"/>
      <c r="Q67" s="38"/>
    </row>
    <row r="68" spans="1:18" x14ac:dyDescent="0.2">
      <c r="A68" s="1779">
        <v>22</v>
      </c>
      <c r="B68" s="1779" t="s">
        <v>439</v>
      </c>
      <c r="C68" s="1254" t="s">
        <v>416</v>
      </c>
      <c r="D68" s="1254"/>
      <c r="E68" s="1259" t="s">
        <v>397</v>
      </c>
      <c r="F68" s="1255">
        <v>15000</v>
      </c>
      <c r="G68" s="1255" t="s">
        <v>385</v>
      </c>
      <c r="H68" s="1257">
        <f>$B$2-0.000012*F68</f>
        <v>1.4907729000000001</v>
      </c>
      <c r="I68" s="1256">
        <v>0.65</v>
      </c>
      <c r="J68" s="1777">
        <f>+I68*H68+I69*H69+I70*H70</f>
        <v>1.4325965299999999</v>
      </c>
      <c r="K68" s="1777">
        <f>+J68</f>
        <v>1.4325965299999999</v>
      </c>
      <c r="L68" s="1568"/>
      <c r="M68" s="1259"/>
      <c r="N68" s="38"/>
      <c r="O68" s="38"/>
      <c r="P68" s="38"/>
      <c r="Q68" s="38"/>
    </row>
    <row r="69" spans="1:18" x14ac:dyDescent="0.2">
      <c r="A69" s="1781"/>
      <c r="B69" s="1781"/>
      <c r="C69" s="1254" t="s">
        <v>417</v>
      </c>
      <c r="D69" s="1254"/>
      <c r="E69" s="1255" t="s">
        <v>398</v>
      </c>
      <c r="F69" s="1255">
        <v>7000</v>
      </c>
      <c r="G69" s="1255" t="s">
        <v>385</v>
      </c>
      <c r="H69" s="1257">
        <f>$B$2-0.000012*F69</f>
        <v>1.5867728999999999</v>
      </c>
      <c r="I69" s="1256">
        <v>0.25</v>
      </c>
      <c r="J69" s="1782"/>
      <c r="K69" s="1782"/>
      <c r="L69" s="1569"/>
      <c r="M69" s="1259"/>
      <c r="N69" s="38"/>
      <c r="O69" s="38"/>
      <c r="P69" s="38"/>
      <c r="Q69" s="38"/>
    </row>
    <row r="70" spans="1:18" x14ac:dyDescent="0.2">
      <c r="A70" s="1780"/>
      <c r="B70" s="1780"/>
      <c r="C70" s="1254" t="s">
        <v>305</v>
      </c>
      <c r="D70" s="1254"/>
      <c r="E70" s="1255" t="s">
        <v>414</v>
      </c>
      <c r="F70" s="1255">
        <v>2800</v>
      </c>
      <c r="G70" s="1255" t="s">
        <v>388</v>
      </c>
      <c r="H70" s="1257">
        <f>$B$1-0.000007*F70</f>
        <v>0.66900919999999997</v>
      </c>
      <c r="I70" s="1256">
        <v>0.1</v>
      </c>
      <c r="J70" s="1778"/>
      <c r="K70" s="1778"/>
      <c r="L70" s="1570"/>
      <c r="M70" s="1259"/>
      <c r="N70" s="38"/>
      <c r="O70" s="38"/>
      <c r="P70" s="38"/>
      <c r="Q70" s="38"/>
    </row>
    <row r="71" spans="1:18" ht="26.25" customHeight="1" x14ac:dyDescent="0.2">
      <c r="A71" s="1779">
        <v>23</v>
      </c>
      <c r="B71" s="1779" t="s">
        <v>260</v>
      </c>
      <c r="C71" s="1254" t="s">
        <v>418</v>
      </c>
      <c r="D71" s="1254">
        <f>20616+5500+7354</f>
        <v>33470</v>
      </c>
      <c r="E71" s="1259" t="s">
        <v>419</v>
      </c>
      <c r="F71" s="1255">
        <v>4500</v>
      </c>
      <c r="G71" s="1255" t="s">
        <v>385</v>
      </c>
      <c r="H71" s="1257">
        <f>$B$2-0.000012*F71</f>
        <v>1.6167729</v>
      </c>
      <c r="I71" s="1256">
        <f>D71/($D$71+$D$72)</f>
        <v>0.84899677853029953</v>
      </c>
      <c r="J71" s="1777">
        <f>+I71*H71+I72*H72</f>
        <v>1.6194909579864547</v>
      </c>
      <c r="K71" s="1777">
        <f>+J71</f>
        <v>1.6194909579864547</v>
      </c>
      <c r="L71" s="1568"/>
      <c r="M71" s="1259"/>
      <c r="N71" s="38"/>
      <c r="O71" s="38"/>
      <c r="P71" s="38"/>
      <c r="Q71" s="38"/>
    </row>
    <row r="72" spans="1:18" x14ac:dyDescent="0.2">
      <c r="A72" s="1780"/>
      <c r="B72" s="1780"/>
      <c r="C72" s="1254" t="s">
        <v>355</v>
      </c>
      <c r="D72" s="1254">
        <v>5953</v>
      </c>
      <c r="E72" s="1255" t="s">
        <v>38</v>
      </c>
      <c r="F72" s="1255">
        <v>3000</v>
      </c>
      <c r="G72" s="1255" t="s">
        <v>385</v>
      </c>
      <c r="H72" s="1257">
        <f>$B$2-0.000012*F72</f>
        <v>1.6347729</v>
      </c>
      <c r="I72" s="1256">
        <f>D72/($D$71+$D$72)</f>
        <v>0.15100322146970044</v>
      </c>
      <c r="J72" s="1778"/>
      <c r="K72" s="1778"/>
      <c r="L72" s="1570"/>
      <c r="M72" s="1256"/>
      <c r="N72" s="38"/>
      <c r="O72" s="38"/>
      <c r="P72" s="38"/>
      <c r="Q72" s="38"/>
    </row>
    <row r="73" spans="1:18" x14ac:dyDescent="0.2">
      <c r="A73" s="468">
        <v>24</v>
      </c>
      <c r="B73" s="1259" t="s">
        <v>658</v>
      </c>
      <c r="C73" s="1254" t="s">
        <v>341</v>
      </c>
      <c r="D73" s="1254"/>
      <c r="E73" s="1255" t="s">
        <v>63</v>
      </c>
      <c r="F73" s="1255">
        <v>35000</v>
      </c>
      <c r="G73" s="1255" t="s">
        <v>385</v>
      </c>
      <c r="H73" s="466">
        <f>IF(E73=A5,$B$5*(1-HLOOKUP(B73,'[7]תחשיב תעריף 2016'!$4:$26,17,0)),$B$2-0.000012*F73)</f>
        <v>1.5308713055565093</v>
      </c>
      <c r="I73" s="1256">
        <v>1</v>
      </c>
      <c r="J73" s="1260">
        <f t="shared" ref="J73:J78" si="1">+I73*H73</f>
        <v>1.5308713055565093</v>
      </c>
      <c r="K73" s="1260">
        <f>+J73</f>
        <v>1.5308713055565093</v>
      </c>
      <c r="L73" s="1260"/>
      <c r="M73" s="1259"/>
      <c r="N73" s="38"/>
      <c r="O73" s="38"/>
      <c r="P73" s="38"/>
      <c r="Q73" s="38"/>
    </row>
    <row r="74" spans="1:18" ht="15" x14ac:dyDescent="0.25">
      <c r="A74" s="468">
        <v>25</v>
      </c>
      <c r="B74" s="1259" t="s">
        <v>258</v>
      </c>
      <c r="C74" s="1254" t="s">
        <v>352</v>
      </c>
      <c r="D74" s="1254"/>
      <c r="E74" s="1255" t="s">
        <v>54</v>
      </c>
      <c r="F74" s="1255">
        <v>14000</v>
      </c>
      <c r="G74" s="1255" t="s">
        <v>420</v>
      </c>
      <c r="H74" s="1257">
        <f>$B$3-0.000013*F74</f>
        <v>1.8072049000000001</v>
      </c>
      <c r="I74" s="1256">
        <v>1</v>
      </c>
      <c r="J74" s="1260">
        <f t="shared" si="1"/>
        <v>1.8072049000000001</v>
      </c>
      <c r="K74" s="1260">
        <f>+J74-L74</f>
        <v>1.6822529232097465</v>
      </c>
      <c r="L74" s="18">
        <f>+P74/Q74/1000</f>
        <v>0.12495197679025359</v>
      </c>
      <c r="M74" s="1259" t="s">
        <v>912</v>
      </c>
      <c r="N74" s="492">
        <v>0.15</v>
      </c>
      <c r="O74" s="353">
        <v>5000000</v>
      </c>
      <c r="P74" s="353">
        <f>+O74*N74</f>
        <v>750000</v>
      </c>
      <c r="Q74" s="353">
        <f>+'[7]תחשיב תעריף 2016'!AA16</f>
        <v>6002.3060000000005</v>
      </c>
    </row>
    <row r="75" spans="1:18" x14ac:dyDescent="0.2">
      <c r="A75" s="468">
        <v>26</v>
      </c>
      <c r="B75" s="1259" t="s">
        <v>659</v>
      </c>
      <c r="C75" s="1254" t="s">
        <v>343</v>
      </c>
      <c r="D75" s="1254"/>
      <c r="E75" s="1255" t="s">
        <v>421</v>
      </c>
      <c r="F75" s="1255">
        <v>14000</v>
      </c>
      <c r="G75" s="1255" t="s">
        <v>385</v>
      </c>
      <c r="H75" s="1257">
        <f>$B$2-0.000012*F75</f>
        <v>1.5027729000000001</v>
      </c>
      <c r="I75" s="1256">
        <v>1</v>
      </c>
      <c r="J75" s="1260">
        <f t="shared" si="1"/>
        <v>1.5027729000000001</v>
      </c>
      <c r="K75" s="1260">
        <f>+J75</f>
        <v>1.5027729000000001</v>
      </c>
      <c r="L75" s="1260"/>
      <c r="M75" s="1259"/>
      <c r="N75" s="38"/>
      <c r="O75" s="38"/>
      <c r="P75" s="353"/>
      <c r="Q75" s="353"/>
      <c r="R75" s="18"/>
    </row>
    <row r="76" spans="1:18" ht="15" x14ac:dyDescent="0.25">
      <c r="A76" s="468">
        <v>27</v>
      </c>
      <c r="B76" s="1259" t="s">
        <v>254</v>
      </c>
      <c r="C76" s="1254" t="s">
        <v>316</v>
      </c>
      <c r="D76" s="1254"/>
      <c r="E76" s="1255" t="s">
        <v>62</v>
      </c>
      <c r="F76" s="1255">
        <v>18000</v>
      </c>
      <c r="G76" s="1255" t="s">
        <v>420</v>
      </c>
      <c r="H76" s="1257">
        <f>$B$3-0.000013*F76</f>
        <v>1.7552049000000001</v>
      </c>
      <c r="I76" s="1256">
        <v>1</v>
      </c>
      <c r="J76" s="1260">
        <f>+I76*H76</f>
        <v>1.7552049000000001</v>
      </c>
      <c r="K76" s="1260">
        <f>+J76-L76</f>
        <v>1.7264338354706126</v>
      </c>
      <c r="L76" s="18">
        <f>+P76/Q76/1000</f>
        <v>2.8771064529387595E-2</v>
      </c>
      <c r="M76" s="1259" t="s">
        <v>912</v>
      </c>
      <c r="N76" s="492">
        <v>0.28000000000000003</v>
      </c>
      <c r="O76" s="494">
        <v>1000000</v>
      </c>
      <c r="P76" s="353">
        <f>+O76*N76</f>
        <v>280000</v>
      </c>
      <c r="Q76" s="353">
        <f>+'[7]תחשיב תעריף 2016'!AC16</f>
        <v>9731.9999999999982</v>
      </c>
    </row>
    <row r="77" spans="1:18" ht="15" x14ac:dyDescent="0.25">
      <c r="A77" s="468">
        <v>28</v>
      </c>
      <c r="B77" s="1259" t="s">
        <v>264</v>
      </c>
      <c r="C77" s="1254" t="s">
        <v>351</v>
      </c>
      <c r="D77" s="1254"/>
      <c r="E77" s="1255" t="s">
        <v>53</v>
      </c>
      <c r="F77" s="1255">
        <v>8500</v>
      </c>
      <c r="G77" s="1255" t="s">
        <v>487</v>
      </c>
      <c r="H77" s="1257">
        <f>$B$4-0.000013*F77</f>
        <v>2.0916562999999999</v>
      </c>
      <c r="I77" s="1256">
        <v>1</v>
      </c>
      <c r="J77" s="1260">
        <f t="shared" si="1"/>
        <v>2.0916562999999999</v>
      </c>
      <c r="K77" s="1260">
        <f>+J77-L77+0.08</f>
        <v>2.1203166679355578</v>
      </c>
      <c r="L77" s="18">
        <f>+P77/Q77/1000</f>
        <v>5.1339632064442246E-2</v>
      </c>
      <c r="M77" s="1259" t="s">
        <v>912</v>
      </c>
      <c r="N77" s="492">
        <v>0.28000000000000003</v>
      </c>
      <c r="O77" s="494">
        <v>800000</v>
      </c>
      <c r="P77" s="353">
        <f>+O77*N77</f>
        <v>224000.00000000003</v>
      </c>
      <c r="Q77" s="353">
        <f>+'[7]תחשיב תעריף 2016'!AD16</f>
        <v>4363.1009999999997</v>
      </c>
    </row>
    <row r="78" spans="1:18" x14ac:dyDescent="0.2">
      <c r="A78" s="468">
        <v>29</v>
      </c>
      <c r="B78" s="1259" t="s">
        <v>256</v>
      </c>
      <c r="C78" s="1254" t="s">
        <v>189</v>
      </c>
      <c r="D78" s="1254"/>
      <c r="E78" s="1255" t="s">
        <v>63</v>
      </c>
      <c r="F78" s="1255">
        <v>35000</v>
      </c>
      <c r="G78" s="1255" t="s">
        <v>385</v>
      </c>
      <c r="H78" s="466">
        <f>IF(E78=A5,$B$5*(1-HLOOKUP(B78,'[7]תחשיב תעריף 2016'!$4:$26,17,0)),$B$2-0.000012*F78)</f>
        <v>1.5308713055565093</v>
      </c>
      <c r="I78" s="1256">
        <v>1</v>
      </c>
      <c r="J78" s="1260">
        <f t="shared" si="1"/>
        <v>1.5308713055565093</v>
      </c>
      <c r="K78" s="1260">
        <f>+J78</f>
        <v>1.5308713055565093</v>
      </c>
      <c r="L78" s="1260"/>
      <c r="M78" s="1259"/>
      <c r="N78" s="38"/>
      <c r="O78" s="38"/>
      <c r="P78" s="38"/>
      <c r="Q78" s="353"/>
      <c r="R78" s="18"/>
    </row>
    <row r="79" spans="1:18" ht="15" x14ac:dyDescent="0.25">
      <c r="A79" s="1779">
        <v>30</v>
      </c>
      <c r="B79" s="1779" t="s">
        <v>255</v>
      </c>
      <c r="C79" s="1254" t="s">
        <v>77</v>
      </c>
      <c r="D79" s="1254">
        <v>18399</v>
      </c>
      <c r="E79" s="1259" t="s">
        <v>422</v>
      </c>
      <c r="F79" s="1255">
        <v>6000</v>
      </c>
      <c r="G79" s="1255" t="s">
        <v>388</v>
      </c>
      <c r="H79" s="1257">
        <f>$B$1-0.000012*F79</f>
        <v>0.61660919999999986</v>
      </c>
      <c r="I79" s="1256">
        <f>D79/($D$79+$D$80)</f>
        <v>0.3580616911550063</v>
      </c>
      <c r="J79" s="1777">
        <f>+I80*H80+I79*H79</f>
        <v>1.2470977045869416</v>
      </c>
      <c r="K79" s="1777">
        <f>+J79-R79</f>
        <v>1.2470977045869416</v>
      </c>
      <c r="L79" s="1568"/>
      <c r="M79" s="1259"/>
      <c r="N79" s="492"/>
      <c r="O79" s="353"/>
      <c r="P79" s="353"/>
      <c r="Q79" s="353"/>
      <c r="R79" s="18"/>
    </row>
    <row r="80" spans="1:18" x14ac:dyDescent="0.2">
      <c r="A80" s="1780"/>
      <c r="B80" s="1780"/>
      <c r="C80" s="1254" t="s">
        <v>320</v>
      </c>
      <c r="D80" s="1254">
        <v>32986</v>
      </c>
      <c r="E80" s="1255" t="s">
        <v>68</v>
      </c>
      <c r="F80" s="1255">
        <v>6000</v>
      </c>
      <c r="G80" s="1255" t="s">
        <v>385</v>
      </c>
      <c r="H80" s="1257">
        <f>$B$2-0.000012*F80</f>
        <v>1.5987728999999999</v>
      </c>
      <c r="I80" s="1256">
        <f>D80/($D$79+$D$80)</f>
        <v>0.6419383088449937</v>
      </c>
      <c r="J80" s="1778"/>
      <c r="K80" s="1778"/>
      <c r="L80" s="1570"/>
      <c r="M80" s="1259"/>
      <c r="N80" s="38"/>
      <c r="O80" s="38"/>
      <c r="P80" s="38"/>
      <c r="Q80" s="38"/>
    </row>
    <row r="81" spans="1:19" x14ac:dyDescent="0.2">
      <c r="A81" s="468">
        <v>31</v>
      </c>
      <c r="B81" s="1259" t="s">
        <v>660</v>
      </c>
      <c r="C81" s="1254" t="s">
        <v>221</v>
      </c>
      <c r="D81" s="1254"/>
      <c r="E81" s="1255" t="s">
        <v>73</v>
      </c>
      <c r="F81" s="1255">
        <v>20800</v>
      </c>
      <c r="G81" s="1255" t="s">
        <v>385</v>
      </c>
      <c r="H81" s="1257">
        <f>$B$2-0.000012*F81</f>
        <v>1.4211729</v>
      </c>
      <c r="I81" s="1256">
        <v>1</v>
      </c>
      <c r="J81" s="1260">
        <f>+I81*H81</f>
        <v>1.4211729</v>
      </c>
      <c r="K81" s="1260">
        <f>+IF($B$8=0,J54,$B$8*(1-HLOOKUP(B81,'[7]תחשיב תעריף 2016'!$4:$26,17,0)))+'[8]לפי תעריף נורמטיבי מעודכן'!$L$14-'[9]חישוב אגרת הולכה למט"ש'!$C$28</f>
        <v>1.8293885838003043</v>
      </c>
      <c r="L81" s="1260"/>
      <c r="M81" s="1259" t="s">
        <v>386</v>
      </c>
      <c r="N81" s="38"/>
      <c r="O81" s="38"/>
      <c r="P81" s="38"/>
      <c r="Q81" s="38"/>
    </row>
    <row r="82" spans="1:19" x14ac:dyDescent="0.2">
      <c r="A82" s="468">
        <v>32</v>
      </c>
      <c r="B82" s="1259" t="s">
        <v>269</v>
      </c>
      <c r="C82" s="1254" t="s">
        <v>347</v>
      </c>
      <c r="D82" s="1254"/>
      <c r="E82" s="1255" t="s">
        <v>66</v>
      </c>
      <c r="F82" s="1255">
        <v>3800</v>
      </c>
      <c r="G82" s="1255" t="s">
        <v>385</v>
      </c>
      <c r="H82" s="1257">
        <f>$B$2-0.000012*F82</f>
        <v>1.6251728999999999</v>
      </c>
      <c r="I82" s="1256">
        <v>1</v>
      </c>
      <c r="J82" s="1260">
        <f>+I82*H82</f>
        <v>1.6251728999999999</v>
      </c>
      <c r="K82" s="1260">
        <f>+J82</f>
        <v>1.6251728999999999</v>
      </c>
      <c r="L82" s="1260"/>
      <c r="M82" s="1259"/>
      <c r="N82" s="1277"/>
      <c r="O82" s="38"/>
      <c r="P82" s="38"/>
      <c r="Q82" s="38"/>
    </row>
    <row r="83" spans="1:19" x14ac:dyDescent="0.2">
      <c r="A83" s="468">
        <v>34</v>
      </c>
      <c r="B83" s="1259" t="s">
        <v>262</v>
      </c>
      <c r="C83" s="1254" t="s">
        <v>76</v>
      </c>
      <c r="D83" s="1254"/>
      <c r="E83" s="1255" t="s">
        <v>384</v>
      </c>
      <c r="F83" s="1255">
        <v>35000</v>
      </c>
      <c r="G83" s="1255" t="s">
        <v>385</v>
      </c>
      <c r="H83" s="1257">
        <f>$B$2-0.000012*F83</f>
        <v>1.2507729000000001</v>
      </c>
      <c r="I83" s="1256">
        <v>1</v>
      </c>
      <c r="J83" s="1260">
        <f>+I83*H83</f>
        <v>1.2507729000000001</v>
      </c>
      <c r="K83" s="1260">
        <f>+J136</f>
        <v>1.5946827662251595</v>
      </c>
      <c r="L83" s="1260"/>
      <c r="M83" s="1259" t="s">
        <v>386</v>
      </c>
      <c r="N83" s="38"/>
      <c r="O83" s="38"/>
      <c r="P83" s="38"/>
      <c r="Q83" s="38"/>
    </row>
    <row r="84" spans="1:19" x14ac:dyDescent="0.2">
      <c r="A84" s="1800">
        <v>35</v>
      </c>
      <c r="B84" s="1802" t="s">
        <v>263</v>
      </c>
      <c r="C84" s="1254" t="s">
        <v>636</v>
      </c>
      <c r="D84" s="1262">
        <v>12248</v>
      </c>
      <c r="E84" s="1263" t="s">
        <v>491</v>
      </c>
      <c r="F84" s="1255">
        <v>6000</v>
      </c>
      <c r="G84" s="1255" t="s">
        <v>385</v>
      </c>
      <c r="H84" s="1257"/>
      <c r="I84" s="1256"/>
      <c r="J84" s="1789">
        <f>+I85*H85</f>
        <v>1.5098250682594736</v>
      </c>
      <c r="K84" s="1789">
        <f>+J84</f>
        <v>1.5098250682594736</v>
      </c>
      <c r="L84" s="1260"/>
      <c r="M84" s="1259"/>
      <c r="N84" s="38"/>
      <c r="O84" s="38"/>
      <c r="P84" s="38"/>
      <c r="Q84" s="38"/>
    </row>
    <row r="85" spans="1:19" x14ac:dyDescent="0.2">
      <c r="A85" s="1801"/>
      <c r="B85" s="1803"/>
      <c r="C85" s="1254" t="s">
        <v>344</v>
      </c>
      <c r="D85" s="1262">
        <v>39228</v>
      </c>
      <c r="E85" s="1255" t="s">
        <v>63</v>
      </c>
      <c r="F85" s="1255">
        <v>35000</v>
      </c>
      <c r="G85" s="1255" t="s">
        <v>385</v>
      </c>
      <c r="H85" s="466">
        <f>IF(E85=A5,$B$5*(1-HLOOKUP(B84,'[7]תחשיב תעריף 2016'!$4:$26,17,0)),$B$2-0.000012*F85)</f>
        <v>1.5098250682594736</v>
      </c>
      <c r="I85" s="1256">
        <v>1</v>
      </c>
      <c r="J85" s="1790"/>
      <c r="K85" s="1790"/>
      <c r="L85" s="1260"/>
      <c r="M85" s="1259"/>
      <c r="N85" s="38"/>
      <c r="O85" s="38"/>
      <c r="P85" s="38"/>
      <c r="Q85" s="38"/>
    </row>
    <row r="86" spans="1:19" x14ac:dyDescent="0.2">
      <c r="A86" s="468">
        <v>36</v>
      </c>
      <c r="B86" s="1259" t="s">
        <v>275</v>
      </c>
      <c r="C86" s="1254" t="s">
        <v>342</v>
      </c>
      <c r="D86" s="1254"/>
      <c r="E86" s="1255" t="s">
        <v>63</v>
      </c>
      <c r="F86" s="1255">
        <v>35000</v>
      </c>
      <c r="G86" s="1255" t="s">
        <v>385</v>
      </c>
      <c r="H86" s="466">
        <f>IF(E86=A5,$B$5*(1-HLOOKUP(B86,'[7]תחשיב תעריף 2016'!$4:$26,17,0)),$B$2-0.000012*F86)</f>
        <v>1.5308713055565093</v>
      </c>
      <c r="I86" s="1256">
        <v>1</v>
      </c>
      <c r="J86" s="1260">
        <f>+I86*H86</f>
        <v>1.5308713055565093</v>
      </c>
      <c r="K86" s="1260">
        <f>+J86</f>
        <v>1.5308713055565093</v>
      </c>
      <c r="L86" s="1260"/>
      <c r="M86" s="1259"/>
      <c r="N86" s="38"/>
      <c r="O86" s="38"/>
      <c r="P86" s="38"/>
      <c r="Q86" s="38"/>
    </row>
    <row r="87" spans="1:19" ht="38.25" x14ac:dyDescent="0.2">
      <c r="A87" s="467">
        <v>38</v>
      </c>
      <c r="B87" s="1779" t="s">
        <v>250</v>
      </c>
      <c r="C87" s="1254" t="s">
        <v>423</v>
      </c>
      <c r="D87" s="1594">
        <f>+(13151+19736+6036+9371+16048)</f>
        <v>64342</v>
      </c>
      <c r="E87" s="1255" t="s">
        <v>123</v>
      </c>
      <c r="F87" s="1278">
        <v>19200</v>
      </c>
      <c r="G87" s="1255" t="s">
        <v>420</v>
      </c>
      <c r="H87" s="1257">
        <f>$B$3-0.000012*F87</f>
        <v>1.7588049000000001</v>
      </c>
      <c r="I87" s="1256">
        <f>+(13151+19736+6036+9371+16048)/74117</f>
        <v>0.86811392797873632</v>
      </c>
      <c r="J87" s="1777">
        <f>+I87*H87+I88*H88+I90*H90</f>
        <v>1.6565789153770392</v>
      </c>
      <c r="K87" s="1777">
        <f>+J87</f>
        <v>1.6565789153770392</v>
      </c>
      <c r="L87" s="1568"/>
      <c r="M87" s="1259"/>
      <c r="N87" s="38"/>
      <c r="O87" s="38"/>
      <c r="P87" s="38"/>
      <c r="Q87" s="38"/>
    </row>
    <row r="88" spans="1:19" x14ac:dyDescent="0.2">
      <c r="A88" s="467"/>
      <c r="B88" s="1781"/>
      <c r="C88" s="1254" t="s">
        <v>737</v>
      </c>
      <c r="D88" s="1594">
        <f>6179</f>
        <v>6179</v>
      </c>
      <c r="E88" s="1255" t="s">
        <v>737</v>
      </c>
      <c r="F88" s="1278">
        <v>1000</v>
      </c>
      <c r="G88" s="1259" t="s">
        <v>388</v>
      </c>
      <c r="H88" s="1257">
        <f>$B$1-0.000007*F88</f>
        <v>0.68160919999999992</v>
      </c>
      <c r="I88" s="1256">
        <f>6179/74117</f>
        <v>8.3368188134975776E-2</v>
      </c>
      <c r="J88" s="1782"/>
      <c r="K88" s="1782"/>
      <c r="L88" s="1569"/>
      <c r="M88" s="1259"/>
      <c r="N88" s="38"/>
      <c r="O88" s="38"/>
      <c r="P88" s="38"/>
      <c r="Q88" s="38"/>
    </row>
    <row r="89" spans="1:19" x14ac:dyDescent="0.2">
      <c r="A89" s="467"/>
      <c r="B89" s="1781"/>
      <c r="C89" s="1254"/>
      <c r="D89" s="1254"/>
      <c r="E89" s="1255"/>
      <c r="F89" s="1278"/>
      <c r="G89" s="1255"/>
      <c r="H89" s="1257"/>
      <c r="I89" s="1256"/>
      <c r="J89" s="1782"/>
      <c r="K89" s="1782"/>
      <c r="L89" s="1569"/>
      <c r="M89" s="1259"/>
      <c r="N89" s="38"/>
      <c r="O89" s="38"/>
      <c r="P89" s="38"/>
      <c r="Q89" s="38"/>
    </row>
    <row r="90" spans="1:19" x14ac:dyDescent="0.2">
      <c r="A90" s="467"/>
      <c r="B90" s="1780"/>
      <c r="C90" s="1254" t="s">
        <v>142</v>
      </c>
      <c r="D90" s="1594">
        <f>3596</f>
        <v>3596</v>
      </c>
      <c r="E90" s="1255" t="s">
        <v>492</v>
      </c>
      <c r="F90" s="1278">
        <v>14000</v>
      </c>
      <c r="G90" s="1255" t="s">
        <v>385</v>
      </c>
      <c r="H90" s="1257">
        <f>$B$2-0.000012*F90</f>
        <v>1.5027729000000001</v>
      </c>
      <c r="I90" s="1256">
        <f>3596/74117</f>
        <v>4.8517883886287895E-2</v>
      </c>
      <c r="J90" s="1778"/>
      <c r="K90" s="1778"/>
      <c r="L90" s="1570"/>
      <c r="M90" s="1259"/>
      <c r="N90" s="38"/>
      <c r="O90" s="38"/>
      <c r="P90" s="38"/>
      <c r="Q90" s="38"/>
    </row>
    <row r="91" spans="1:19" x14ac:dyDescent="0.2">
      <c r="A91" s="468">
        <v>39</v>
      </c>
      <c r="B91" s="1259" t="s">
        <v>253</v>
      </c>
      <c r="C91" s="1254" t="s">
        <v>15</v>
      </c>
      <c r="D91" s="1254"/>
      <c r="E91" s="1255" t="s">
        <v>424</v>
      </c>
      <c r="F91" s="1255">
        <v>22000</v>
      </c>
      <c r="G91" s="1255" t="s">
        <v>487</v>
      </c>
      <c r="H91" s="1257">
        <f>$B$4-0.000013*F91</f>
        <v>1.9161562999999999</v>
      </c>
      <c r="I91" s="1256">
        <v>1</v>
      </c>
      <c r="J91" s="1260">
        <f>+I91*H91</f>
        <v>1.9161562999999999</v>
      </c>
      <c r="K91" s="1260">
        <f>+J91</f>
        <v>1.9161562999999999</v>
      </c>
      <c r="L91" s="1260"/>
      <c r="M91" s="1259"/>
      <c r="N91" s="38"/>
      <c r="O91" s="38"/>
      <c r="P91" s="38"/>
      <c r="Q91" s="38"/>
    </row>
    <row r="92" spans="1:19" x14ac:dyDescent="0.2">
      <c r="A92" s="1779">
        <v>41</v>
      </c>
      <c r="B92" s="1779" t="s">
        <v>661</v>
      </c>
      <c r="C92" s="1254" t="s">
        <v>117</v>
      </c>
      <c r="D92" s="1254"/>
      <c r="E92" s="1255" t="s">
        <v>387</v>
      </c>
      <c r="F92" s="1255">
        <v>2000</v>
      </c>
      <c r="G92" s="1255" t="s">
        <v>388</v>
      </c>
      <c r="H92" s="1257">
        <f>$B$1-0.000007*F92</f>
        <v>0.67460919999999991</v>
      </c>
      <c r="I92" s="1256">
        <v>0.25</v>
      </c>
      <c r="J92" s="1777">
        <f>+I92*H92+I93*H93+I94*H94</f>
        <v>0.92188613899999994</v>
      </c>
      <c r="K92" s="1777">
        <f>+J92</f>
        <v>0.92188613899999994</v>
      </c>
      <c r="L92" s="1568"/>
      <c r="M92" s="1259"/>
      <c r="N92" s="38"/>
      <c r="O92" s="38"/>
      <c r="P92" s="38"/>
      <c r="Q92" s="38"/>
      <c r="S92" s="2"/>
    </row>
    <row r="93" spans="1:19" x14ac:dyDescent="0.2">
      <c r="A93" s="1781"/>
      <c r="B93" s="1781"/>
      <c r="C93" s="1254" t="s">
        <v>122</v>
      </c>
      <c r="D93" s="1254"/>
      <c r="E93" s="1306" t="s">
        <v>1580</v>
      </c>
      <c r="F93" s="1306">
        <v>14000</v>
      </c>
      <c r="G93" s="1307" t="s">
        <v>388</v>
      </c>
      <c r="H93" s="1257">
        <f>$B$1-0.000007*F93</f>
        <v>0.59060919999999995</v>
      </c>
      <c r="I93" s="1256">
        <v>0.28000000000000003</v>
      </c>
      <c r="J93" s="1782"/>
      <c r="K93" s="1782"/>
      <c r="L93" s="1569"/>
      <c r="M93" s="1259"/>
      <c r="N93" s="38"/>
      <c r="O93" s="38"/>
      <c r="P93" s="38"/>
      <c r="Q93" s="38"/>
    </row>
    <row r="94" spans="1:19" x14ac:dyDescent="0.2">
      <c r="A94" s="1780"/>
      <c r="B94" s="1780"/>
      <c r="C94" s="1279" t="s">
        <v>425</v>
      </c>
      <c r="D94" s="1279"/>
      <c r="E94" s="1255" t="s">
        <v>384</v>
      </c>
      <c r="F94" s="1255">
        <v>35000</v>
      </c>
      <c r="G94" s="1255" t="s">
        <v>385</v>
      </c>
      <c r="H94" s="1257">
        <f>$B$2-0.000012*F94</f>
        <v>1.2507729000000001</v>
      </c>
      <c r="I94" s="1256">
        <v>0.47</v>
      </c>
      <c r="J94" s="1778"/>
      <c r="K94" s="1778"/>
      <c r="L94" s="1570"/>
      <c r="M94" s="1259" t="s">
        <v>386</v>
      </c>
      <c r="N94" s="38"/>
      <c r="O94" s="38"/>
      <c r="P94" s="38"/>
      <c r="Q94" s="38"/>
    </row>
    <row r="95" spans="1:19" x14ac:dyDescent="0.2">
      <c r="A95" s="468">
        <v>42</v>
      </c>
      <c r="B95" s="1259" t="s">
        <v>265</v>
      </c>
      <c r="C95" s="1279" t="s">
        <v>427</v>
      </c>
      <c r="D95" s="1279"/>
      <c r="E95" s="1255" t="s">
        <v>63</v>
      </c>
      <c r="F95" s="1255">
        <v>35000</v>
      </c>
      <c r="G95" s="1255" t="s">
        <v>385</v>
      </c>
      <c r="H95" s="466">
        <f>IF(E95=$A$5,$B$5*(1-HLOOKUP(B95,'[7]תחשיב תעריף 2016'!$4:$26,17,0)),$B$2-0.000012*F95)</f>
        <v>1.4773731147709324</v>
      </c>
      <c r="I95" s="1256">
        <v>1</v>
      </c>
      <c r="J95" s="1260">
        <f>+I95*H95</f>
        <v>1.4773731147709324</v>
      </c>
      <c r="K95" s="1260">
        <f>+J95</f>
        <v>1.4773731147709324</v>
      </c>
      <c r="L95" s="1260"/>
      <c r="M95" s="1259"/>
      <c r="N95" s="38"/>
      <c r="O95" s="38"/>
      <c r="P95" s="38"/>
      <c r="Q95" s="38"/>
    </row>
    <row r="96" spans="1:19" x14ac:dyDescent="0.2">
      <c r="A96" s="468"/>
      <c r="B96" s="1259" t="s">
        <v>681</v>
      </c>
      <c r="C96" s="1279" t="s">
        <v>102</v>
      </c>
      <c r="D96" s="1279"/>
      <c r="E96" s="1255" t="str">
        <f>+E97</f>
        <v>שפד"ן</v>
      </c>
      <c r="F96" s="1255">
        <f>+F97</f>
        <v>35000</v>
      </c>
      <c r="G96" s="1255" t="str">
        <f>+G97</f>
        <v>בסיסי</v>
      </c>
      <c r="H96" s="1257">
        <f>$B$2-0.000012*F96</f>
        <v>1.2507729000000001</v>
      </c>
      <c r="I96" s="1256">
        <v>1</v>
      </c>
      <c r="J96" s="1260">
        <f>+I96*H96</f>
        <v>1.2507729000000001</v>
      </c>
      <c r="K96" s="1260">
        <f>+J137</f>
        <v>2.1332933770328233</v>
      </c>
      <c r="L96" s="1260"/>
      <c r="M96" s="1259"/>
      <c r="N96" s="38"/>
      <c r="O96" s="38"/>
      <c r="P96" s="38"/>
      <c r="Q96" s="38"/>
    </row>
    <row r="97" spans="1:17" x14ac:dyDescent="0.2">
      <c r="A97" s="467">
        <v>43</v>
      </c>
      <c r="B97" s="1259" t="s">
        <v>266</v>
      </c>
      <c r="C97" s="1254" t="s">
        <v>546</v>
      </c>
      <c r="D97" s="1254"/>
      <c r="E97" s="1255" t="s">
        <v>384</v>
      </c>
      <c r="F97" s="1255">
        <v>35000</v>
      </c>
      <c r="G97" s="1255" t="s">
        <v>385</v>
      </c>
      <c r="H97" s="1257">
        <f>$B$2-0.000012*F97</f>
        <v>1.2507729000000001</v>
      </c>
      <c r="I97" s="1256">
        <v>1</v>
      </c>
      <c r="J97" s="1260">
        <f>+I97*H97</f>
        <v>1.2507729000000001</v>
      </c>
      <c r="K97" s="1260">
        <f>+J143</f>
        <v>1.9979745900125006</v>
      </c>
      <c r="L97" s="1260"/>
      <c r="M97" s="1259" t="s">
        <v>386</v>
      </c>
      <c r="N97" s="38"/>
      <c r="O97" s="38"/>
      <c r="P97" s="38"/>
      <c r="Q97" s="38"/>
    </row>
    <row r="98" spans="1:17" x14ac:dyDescent="0.2">
      <c r="A98" s="1779">
        <v>44</v>
      </c>
      <c r="B98" s="1779" t="s">
        <v>267</v>
      </c>
      <c r="C98" s="1279" t="s">
        <v>127</v>
      </c>
      <c r="D98" s="1254">
        <v>32439</v>
      </c>
      <c r="E98" s="1255" t="s">
        <v>127</v>
      </c>
      <c r="F98" s="1255">
        <v>8000</v>
      </c>
      <c r="G98" s="1255" t="s">
        <v>385</v>
      </c>
      <c r="H98" s="1257">
        <f>$B$2-0.000012*F98</f>
        <v>1.5747728999999999</v>
      </c>
      <c r="I98" s="1256">
        <f>D98/($D$98+$D$99+$D$100+$D$101)</f>
        <v>0.47244472925344438</v>
      </c>
      <c r="J98" s="1777">
        <f>+I98*H98+I99*H99+I100*H100+I101*H101</f>
        <v>1.7654665039730855</v>
      </c>
      <c r="K98" s="1777">
        <f>+J98</f>
        <v>1.7654665039730855</v>
      </c>
      <c r="L98" s="1568"/>
      <c r="M98" s="1259"/>
      <c r="N98" s="38"/>
      <c r="O98" s="38"/>
      <c r="P98" s="38"/>
      <c r="Q98" s="38"/>
    </row>
    <row r="99" spans="1:17" x14ac:dyDescent="0.2">
      <c r="A99" s="1781"/>
      <c r="B99" s="1781"/>
      <c r="C99" s="1254" t="s">
        <v>129</v>
      </c>
      <c r="D99" s="1254">
        <v>8111</v>
      </c>
      <c r="E99" s="1255" t="s">
        <v>129</v>
      </c>
      <c r="F99" s="1255">
        <v>1600</v>
      </c>
      <c r="G99" s="1255" t="s">
        <v>420</v>
      </c>
      <c r="H99" s="1257">
        <f>$B$3-0.000012*F99</f>
        <v>1.9700048999999999</v>
      </c>
      <c r="I99" s="1256">
        <f>D99/($D$98+$D$99+$D$100+$D$101)</f>
        <v>0.11812938743409747</v>
      </c>
      <c r="J99" s="1782"/>
      <c r="K99" s="1782"/>
      <c r="L99" s="1569"/>
      <c r="M99" s="1259"/>
      <c r="N99" s="38"/>
      <c r="O99" s="38"/>
      <c r="P99" s="38"/>
      <c r="Q99" s="38"/>
    </row>
    <row r="100" spans="1:17" x14ac:dyDescent="0.2">
      <c r="A100" s="1781"/>
      <c r="B100" s="1781"/>
      <c r="C100" s="1279" t="s">
        <v>130</v>
      </c>
      <c r="D100" s="1254">
        <v>4741</v>
      </c>
      <c r="E100" s="1255" t="s">
        <v>130</v>
      </c>
      <c r="F100" s="1255">
        <v>1300</v>
      </c>
      <c r="G100" s="1255" t="s">
        <v>385</v>
      </c>
      <c r="H100" s="1257">
        <f>$B$3-0.000013*F100</f>
        <v>1.9723049000000001</v>
      </c>
      <c r="I100" s="1256">
        <f>D100/($D$98+$D$99+$D$100+$D$101)</f>
        <v>6.9048381928868946E-2</v>
      </c>
      <c r="J100" s="1782"/>
      <c r="K100" s="1782"/>
      <c r="L100" s="1569"/>
      <c r="M100" s="1259"/>
      <c r="N100" s="38"/>
      <c r="O100" s="38"/>
      <c r="P100" s="38"/>
      <c r="Q100" s="38"/>
    </row>
    <row r="101" spans="1:17" x14ac:dyDescent="0.2">
      <c r="A101" s="1780"/>
      <c r="B101" s="1780"/>
      <c r="C101" s="1254" t="s">
        <v>128</v>
      </c>
      <c r="D101" s="1254">
        <v>23371</v>
      </c>
      <c r="E101" s="1255" t="s">
        <v>128</v>
      </c>
      <c r="F101" s="1255">
        <v>6000</v>
      </c>
      <c r="G101" s="1255" t="s">
        <v>420</v>
      </c>
      <c r="H101" s="1257">
        <f>$B$3-0.000012*F101</f>
        <v>1.9172049</v>
      </c>
      <c r="I101" s="1256">
        <f>D101/($D$98+$D$99+$D$100+$D$101)</f>
        <v>0.34037750138358919</v>
      </c>
      <c r="J101" s="1778"/>
      <c r="K101" s="1778"/>
      <c r="L101" s="1570"/>
      <c r="M101" s="1259"/>
      <c r="N101" s="38"/>
      <c r="O101" s="38"/>
      <c r="P101" s="38"/>
      <c r="Q101" s="38"/>
    </row>
    <row r="102" spans="1:17" x14ac:dyDescent="0.2">
      <c r="A102" s="468">
        <v>45</v>
      </c>
      <c r="B102" s="1259" t="s">
        <v>687</v>
      </c>
      <c r="C102" s="1279" t="s">
        <v>428</v>
      </c>
      <c r="D102" s="1279"/>
      <c r="E102" s="1255" t="s">
        <v>384</v>
      </c>
      <c r="F102" s="1255">
        <v>35000</v>
      </c>
      <c r="G102" s="1255" t="s">
        <v>385</v>
      </c>
      <c r="H102" s="1257">
        <f>$B$2-0.000012*F102</f>
        <v>1.2507729000000001</v>
      </c>
      <c r="I102" s="1256">
        <v>1</v>
      </c>
      <c r="J102" s="1260">
        <f t="shared" ref="J102:J108" si="2">+I102*H102</f>
        <v>1.2507729000000001</v>
      </c>
      <c r="K102" s="1269">
        <f>+IF($B$6=0,J102,$B$6*(1-HLOOKUP(B102,'[7]תחשיב תעריף 2016'!$4:$26,17,0)))</f>
        <v>2.3072335656431084</v>
      </c>
      <c r="L102" s="1269"/>
      <c r="M102" s="1259" t="s">
        <v>386</v>
      </c>
      <c r="N102" s="38"/>
      <c r="O102" s="38"/>
      <c r="P102" s="38"/>
      <c r="Q102" s="38"/>
    </row>
    <row r="103" spans="1:17" x14ac:dyDescent="0.2">
      <c r="A103" s="468">
        <v>46</v>
      </c>
      <c r="B103" s="1259" t="s">
        <v>531</v>
      </c>
      <c r="C103" s="1254" t="s">
        <v>106</v>
      </c>
      <c r="D103" s="1254"/>
      <c r="E103" s="1259" t="s">
        <v>106</v>
      </c>
      <c r="F103" s="1255">
        <v>14000</v>
      </c>
      <c r="G103" s="1255" t="s">
        <v>385</v>
      </c>
      <c r="H103" s="1257">
        <f>$B$2-0.000012*F103</f>
        <v>1.5027729000000001</v>
      </c>
      <c r="I103" s="1256">
        <v>1</v>
      </c>
      <c r="J103" s="1260">
        <f t="shared" si="2"/>
        <v>1.5027729000000001</v>
      </c>
      <c r="K103" s="1260">
        <f>+J103</f>
        <v>1.5027729000000001</v>
      </c>
      <c r="L103" s="1260"/>
      <c r="M103" s="1259"/>
      <c r="N103" s="38"/>
      <c r="O103" s="38"/>
      <c r="P103" s="38"/>
      <c r="Q103" s="38"/>
    </row>
    <row r="104" spans="1:17" x14ac:dyDescent="0.2">
      <c r="A104" s="468"/>
      <c r="B104" s="1259" t="s">
        <v>530</v>
      </c>
      <c r="C104" s="1254" t="s">
        <v>208</v>
      </c>
      <c r="D104" s="1254"/>
      <c r="E104" s="1255" t="s">
        <v>384</v>
      </c>
      <c r="F104" s="1255">
        <v>35000</v>
      </c>
      <c r="G104" s="1255" t="s">
        <v>385</v>
      </c>
      <c r="H104" s="1257">
        <f>$B$2-0.000012*F102</f>
        <v>1.2507729000000001</v>
      </c>
      <c r="I104" s="1256">
        <v>1</v>
      </c>
      <c r="J104" s="1260">
        <f>+I104*H104</f>
        <v>1.2507729000000001</v>
      </c>
      <c r="K104" s="1260">
        <f>+IF($B$6=0,J104,$B$6*(1-HLOOKUP(B104,'[7]תחשיב תעריף 2016'!$4:$26,17,0)))</f>
        <v>2.3357697375482096</v>
      </c>
      <c r="L104" s="1260"/>
      <c r="M104" s="1259"/>
      <c r="N104" s="38"/>
      <c r="O104" s="38"/>
      <c r="P104" s="38"/>
      <c r="Q104" s="38"/>
    </row>
    <row r="105" spans="1:17" x14ac:dyDescent="0.2">
      <c r="A105" s="468">
        <v>47</v>
      </c>
      <c r="B105" s="1259" t="s">
        <v>529</v>
      </c>
      <c r="C105" s="1279" t="s">
        <v>429</v>
      </c>
      <c r="D105" s="1279"/>
      <c r="E105" s="1255" t="s">
        <v>384</v>
      </c>
      <c r="F105" s="1255">
        <v>35000</v>
      </c>
      <c r="G105" s="1255" t="s">
        <v>385</v>
      </c>
      <c r="H105" s="1257">
        <f>$B$2-0.000012*F105</f>
        <v>1.2507729000000001</v>
      </c>
      <c r="I105" s="1256">
        <v>1</v>
      </c>
      <c r="J105" s="1260">
        <f t="shared" si="2"/>
        <v>1.2507729000000001</v>
      </c>
      <c r="K105" s="1269">
        <f>+IF($B$6=0,J105,$B$6*(1-HLOOKUP(B105,'[7]תחשיב תעריף 2016'!$4:$26,17,0)))</f>
        <v>2.3246701860930625</v>
      </c>
      <c r="L105" s="1269"/>
      <c r="M105" s="1259" t="s">
        <v>386</v>
      </c>
      <c r="N105" s="38"/>
      <c r="O105" s="38"/>
      <c r="P105" s="38"/>
      <c r="Q105" s="38"/>
    </row>
    <row r="106" spans="1:17" ht="25.5" x14ac:dyDescent="0.2">
      <c r="A106" s="467">
        <v>48</v>
      </c>
      <c r="B106" s="1259" t="s">
        <v>252</v>
      </c>
      <c r="C106" s="1279" t="s">
        <v>430</v>
      </c>
      <c r="D106" s="1279"/>
      <c r="E106" s="1255" t="s">
        <v>73</v>
      </c>
      <c r="F106" s="1255">
        <v>20800</v>
      </c>
      <c r="G106" s="1255" t="s">
        <v>385</v>
      </c>
      <c r="H106" s="1257">
        <f>$B$2-0.000012*F106</f>
        <v>1.4211729</v>
      </c>
      <c r="I106" s="1256">
        <v>1</v>
      </c>
      <c r="J106" s="1260">
        <f t="shared" si="2"/>
        <v>1.4211729</v>
      </c>
      <c r="K106" s="1260">
        <f>+IF($B$8=0,J40,$B$8*(1-HLOOKUP(B106,'[7]תחשיב תעריף 2016'!$4:$26,17,0)))</f>
        <v>1.5677759943016703</v>
      </c>
      <c r="L106" s="1260"/>
      <c r="M106" s="1259" t="s">
        <v>386</v>
      </c>
      <c r="N106" s="38"/>
      <c r="O106" s="38"/>
      <c r="P106" s="38"/>
      <c r="Q106" s="38"/>
    </row>
    <row r="107" spans="1:17" x14ac:dyDescent="0.2">
      <c r="A107" s="468">
        <v>49</v>
      </c>
      <c r="B107" s="1259" t="s">
        <v>268</v>
      </c>
      <c r="C107" s="1279" t="s">
        <v>123</v>
      </c>
      <c r="D107" s="1279"/>
      <c r="E107" s="1255" t="s">
        <v>123</v>
      </c>
      <c r="F107" s="1255">
        <v>19200</v>
      </c>
      <c r="G107" s="1255" t="s">
        <v>385</v>
      </c>
      <c r="H107" s="1257">
        <f>$B$3-0.000012*F107</f>
        <v>1.7588049000000001</v>
      </c>
      <c r="I107" s="1256">
        <v>1</v>
      </c>
      <c r="J107" s="1260">
        <f>+I107*H107</f>
        <v>1.7588049000000001</v>
      </c>
      <c r="K107" s="1260">
        <f>+J107</f>
        <v>1.7588049000000001</v>
      </c>
      <c r="L107" s="1260"/>
      <c r="M107" s="1259"/>
      <c r="N107" s="38"/>
      <c r="O107" s="38"/>
      <c r="P107" s="38"/>
      <c r="Q107" s="38"/>
    </row>
    <row r="108" spans="1:17" x14ac:dyDescent="0.2">
      <c r="A108" s="468">
        <v>50</v>
      </c>
      <c r="B108" s="1259" t="s">
        <v>281</v>
      </c>
      <c r="C108" s="1279" t="s">
        <v>248</v>
      </c>
      <c r="D108" s="1279"/>
      <c r="E108" s="1255" t="s">
        <v>384</v>
      </c>
      <c r="F108" s="1255">
        <v>35000</v>
      </c>
      <c r="G108" s="1255" t="s">
        <v>385</v>
      </c>
      <c r="H108" s="1257">
        <f>$B$2-0.000012*F108</f>
        <v>1.2507729000000001</v>
      </c>
      <c r="I108" s="1256">
        <v>1</v>
      </c>
      <c r="J108" s="1260">
        <f t="shared" si="2"/>
        <v>1.2507729000000001</v>
      </c>
      <c r="K108" s="1269">
        <f>+IF($B$6=0,J105,$B$6*(1-HLOOKUP(B108,'[7]תחשיב תעריף 2016'!$4:$26,17,0)))</f>
        <v>2.3218500289047865</v>
      </c>
      <c r="L108" s="1269"/>
      <c r="M108" s="1259" t="s">
        <v>386</v>
      </c>
      <c r="N108" s="38"/>
      <c r="O108" s="38"/>
      <c r="P108" s="38"/>
      <c r="Q108" s="38"/>
    </row>
    <row r="109" spans="1:17" ht="25.5" x14ac:dyDescent="0.2">
      <c r="A109" s="1779">
        <v>51</v>
      </c>
      <c r="B109" s="1779" t="s">
        <v>270</v>
      </c>
      <c r="C109" s="1279" t="s">
        <v>493</v>
      </c>
      <c r="D109" s="1254">
        <f>17605+22080</f>
        <v>39685</v>
      </c>
      <c r="E109" s="1254" t="s">
        <v>431</v>
      </c>
      <c r="F109" s="1255">
        <v>8000</v>
      </c>
      <c r="G109" s="1259" t="s">
        <v>388</v>
      </c>
      <c r="H109" s="1257">
        <f>$B$2-0.000007*F109</f>
        <v>1.6147729</v>
      </c>
      <c r="I109" s="1256">
        <f>D109/($D$109+$D$111+$D$110)</f>
        <v>0.57370650398276779</v>
      </c>
      <c r="J109" s="1777">
        <f>+I109*H109+I111*H111+H110*I110</f>
        <v>1.6371354981235453</v>
      </c>
      <c r="K109" s="1777">
        <f>+J109</f>
        <v>1.6371354981235453</v>
      </c>
      <c r="L109" s="1568"/>
      <c r="M109" s="1259"/>
      <c r="N109" s="38"/>
      <c r="O109" s="38"/>
      <c r="P109" s="38"/>
      <c r="Q109" s="38"/>
    </row>
    <row r="110" spans="1:17" x14ac:dyDescent="0.2">
      <c r="A110" s="1781"/>
      <c r="B110" s="1781"/>
      <c r="C110" s="1279" t="s">
        <v>2073</v>
      </c>
      <c r="D110" s="1254">
        <v>22028</v>
      </c>
      <c r="E110" s="1254" t="s">
        <v>120</v>
      </c>
      <c r="F110" s="1255"/>
      <c r="G110" s="1259" t="s">
        <v>385</v>
      </c>
      <c r="H110" s="1257">
        <f>$B$2-0.000007*F110</f>
        <v>1.6707729</v>
      </c>
      <c r="I110" s="1256">
        <f>+D110/(D109+D110+D111)</f>
        <v>0.31844794934439741</v>
      </c>
      <c r="J110" s="1782"/>
      <c r="K110" s="1782"/>
      <c r="L110" s="1569"/>
      <c r="M110" s="1259"/>
      <c r="N110" s="38"/>
      <c r="O110" s="38"/>
      <c r="P110" s="38"/>
      <c r="Q110" s="38"/>
    </row>
    <row r="111" spans="1:17" x14ac:dyDescent="0.2">
      <c r="A111" s="1780"/>
      <c r="B111" s="1780"/>
      <c r="C111" s="1279" t="s">
        <v>115</v>
      </c>
      <c r="D111" s="1254">
        <v>7460</v>
      </c>
      <c r="E111" s="1259" t="s">
        <v>115</v>
      </c>
      <c r="F111" s="1255">
        <v>2000</v>
      </c>
      <c r="G111" s="1259" t="s">
        <v>388</v>
      </c>
      <c r="H111" s="1257">
        <f>$B$2-0.000007*F111</f>
        <v>1.6567729</v>
      </c>
      <c r="I111" s="1256">
        <f>+D111/(D111+D110+D109)</f>
        <v>0.10784554667283477</v>
      </c>
      <c r="J111" s="1778"/>
      <c r="K111" s="1778"/>
      <c r="L111" s="1570"/>
      <c r="M111" s="1259"/>
      <c r="N111" s="38"/>
      <c r="O111" s="38"/>
      <c r="P111" s="38"/>
      <c r="Q111" s="38"/>
    </row>
    <row r="112" spans="1:17" ht="25.5" x14ac:dyDescent="0.2">
      <c r="A112" s="1779">
        <v>52</v>
      </c>
      <c r="B112" s="1779" t="s">
        <v>259</v>
      </c>
      <c r="C112" s="1279" t="s">
        <v>432</v>
      </c>
      <c r="D112" s="1254">
        <f>10426+10210+8000</f>
        <v>28636</v>
      </c>
      <c r="E112" s="1259" t="s">
        <v>433</v>
      </c>
      <c r="F112" s="1255">
        <v>12000</v>
      </c>
      <c r="G112" s="1255" t="s">
        <v>385</v>
      </c>
      <c r="H112" s="1257">
        <f>$B$2-0.000012*F112</f>
        <v>1.5267729000000001</v>
      </c>
      <c r="I112" s="1256">
        <f>D112/($D$112+$D$113+$D$114)</f>
        <v>0.473431868531561</v>
      </c>
      <c r="J112" s="1777">
        <f>+I112*H112+I114*H114+I113*H113</f>
        <v>1.5400450101742553</v>
      </c>
      <c r="K112" s="1777">
        <f>+J112</f>
        <v>1.5400450101742553</v>
      </c>
      <c r="L112" s="1568"/>
      <c r="M112" s="1259"/>
      <c r="N112" s="38"/>
      <c r="O112" s="38"/>
      <c r="P112" s="38"/>
      <c r="Q112" s="38"/>
    </row>
    <row r="113" spans="1:17" x14ac:dyDescent="0.2">
      <c r="A113" s="1781"/>
      <c r="B113" s="1781"/>
      <c r="C113" s="1279" t="s">
        <v>434</v>
      </c>
      <c r="D113" s="1254">
        <f>17602+5481</f>
        <v>23083</v>
      </c>
      <c r="E113" s="1255" t="s">
        <v>101</v>
      </c>
      <c r="F113" s="1255">
        <v>35000</v>
      </c>
      <c r="G113" s="1255" t="s">
        <v>420</v>
      </c>
      <c r="H113" s="1257">
        <f>$B$3-0.000013*F113</f>
        <v>1.5342049000000002</v>
      </c>
      <c r="I113" s="1256">
        <f>D113/($D$112+$D$113+$D$114)</f>
        <v>0.38162550011572927</v>
      </c>
      <c r="J113" s="1782"/>
      <c r="K113" s="1782"/>
      <c r="L113" s="1569"/>
      <c r="M113" s="1259"/>
      <c r="N113" s="38"/>
      <c r="O113" s="38"/>
      <c r="P113" s="38"/>
      <c r="Q113" s="38"/>
    </row>
    <row r="114" spans="1:17" x14ac:dyDescent="0.2">
      <c r="A114" s="1780"/>
      <c r="B114" s="1780"/>
      <c r="C114" s="1279" t="s">
        <v>65</v>
      </c>
      <c r="D114" s="1254">
        <v>8767</v>
      </c>
      <c r="E114" s="1255" t="s">
        <v>426</v>
      </c>
      <c r="F114" s="1255">
        <v>6000</v>
      </c>
      <c r="G114" s="1255" t="s">
        <v>385</v>
      </c>
      <c r="H114" s="1257">
        <f>$B$2-0.000012*F114</f>
        <v>1.5987728999999999</v>
      </c>
      <c r="I114" s="1256">
        <f>D114/($D$112+$D$113+$D$114)</f>
        <v>0.14494263135270971</v>
      </c>
      <c r="J114" s="1778"/>
      <c r="K114" s="1778"/>
      <c r="L114" s="1570"/>
      <c r="M114" s="1259" t="s">
        <v>386</v>
      </c>
      <c r="N114" s="38"/>
      <c r="O114" s="38"/>
      <c r="P114" s="38"/>
      <c r="Q114" s="38"/>
    </row>
    <row r="115" spans="1:17" x14ac:dyDescent="0.2">
      <c r="A115" s="1779">
        <v>53</v>
      </c>
      <c r="B115" s="1779" t="s">
        <v>261</v>
      </c>
      <c r="C115" s="1279" t="s">
        <v>435</v>
      </c>
      <c r="D115" s="1280">
        <f>36219+11456</f>
        <v>47675</v>
      </c>
      <c r="E115" s="1255" t="s">
        <v>63</v>
      </c>
      <c r="F115" s="1255">
        <v>35000</v>
      </c>
      <c r="G115" s="1255" t="s">
        <v>385</v>
      </c>
      <c r="H115" s="466">
        <f>IF(E115=$A$5,$B$5*(1-HLOOKUP(B115,'[7]תחשיב תעריף 2016'!$4:$26,17,0)),$B$2-0.000012*F115)</f>
        <v>1.4570591298441689</v>
      </c>
      <c r="I115" s="1256">
        <f>D115/($D$115+$D$116+$D$117+$D$118+$D$119)</f>
        <v>0.35564026437107432</v>
      </c>
      <c r="J115" s="1777">
        <f>+I115*H115+I116*H116+I118*H118+I119*H119+I117*H117</f>
        <v>1.4935329575785021</v>
      </c>
      <c r="K115" s="1777">
        <f>+J115</f>
        <v>1.4935329575785021</v>
      </c>
      <c r="L115" s="1568"/>
      <c r="M115" s="1259"/>
      <c r="N115" s="38"/>
      <c r="O115" s="38"/>
      <c r="P115" s="38"/>
      <c r="Q115" s="38"/>
    </row>
    <row r="116" spans="1:17" x14ac:dyDescent="0.2">
      <c r="A116" s="1781"/>
      <c r="B116" s="1781"/>
      <c r="C116" s="1279" t="s">
        <v>436</v>
      </c>
      <c r="D116" s="1280">
        <f>6778+6415</f>
        <v>13193</v>
      </c>
      <c r="E116" s="1259" t="s">
        <v>94</v>
      </c>
      <c r="F116" s="1255">
        <v>4000</v>
      </c>
      <c r="G116" s="1259" t="s">
        <v>388</v>
      </c>
      <c r="H116" s="1257">
        <f>$B$1-0.000007*F116</f>
        <v>0.6606091999999999</v>
      </c>
      <c r="I116" s="1256">
        <f>D116/($D$115+$D$116+$D$117+$D$118+$D$119)</f>
        <v>9.8415563877243498E-2</v>
      </c>
      <c r="J116" s="1782"/>
      <c r="K116" s="1782"/>
      <c r="L116" s="1569"/>
      <c r="M116" s="1259"/>
      <c r="N116" s="38"/>
      <c r="O116" s="38"/>
      <c r="P116" s="38"/>
      <c r="Q116" s="38"/>
    </row>
    <row r="117" spans="1:17" x14ac:dyDescent="0.2">
      <c r="A117" s="1781"/>
      <c r="B117" s="1781"/>
      <c r="C117" s="1279" t="s">
        <v>42</v>
      </c>
      <c r="D117" s="1280">
        <v>28674</v>
      </c>
      <c r="E117" s="1255" t="s">
        <v>123</v>
      </c>
      <c r="F117" s="1255">
        <v>19200</v>
      </c>
      <c r="G117" s="1255" t="s">
        <v>385</v>
      </c>
      <c r="H117" s="1257">
        <f>$B$3-0.000012*F117</f>
        <v>1.7588049000000001</v>
      </c>
      <c r="I117" s="1256">
        <f>D117/($D$115+$D$116+$D$117+$D$118+$D$119)</f>
        <v>0.21389887657212764</v>
      </c>
      <c r="J117" s="1782"/>
      <c r="K117" s="1782"/>
      <c r="L117" s="1569"/>
      <c r="M117" s="1259"/>
      <c r="N117" s="38"/>
      <c r="O117" s="38"/>
      <c r="P117" s="38"/>
      <c r="Q117" s="38"/>
    </row>
    <row r="118" spans="1:17" x14ac:dyDescent="0.2">
      <c r="A118" s="1781"/>
      <c r="B118" s="1781"/>
      <c r="C118" s="1279" t="s">
        <v>437</v>
      </c>
      <c r="D118" s="1280">
        <f>12148+5909</f>
        <v>18057</v>
      </c>
      <c r="E118" s="1255" t="s">
        <v>73</v>
      </c>
      <c r="F118" s="1255">
        <v>20800</v>
      </c>
      <c r="G118" s="1255" t="s">
        <v>385</v>
      </c>
      <c r="H118" s="1257">
        <f>+IF($B$8=0,J54,$B$8*(1-HLOOKUP(B115,'[7]תחשיב תעריף 2016'!$4:$26,17,0)))</f>
        <v>1.5702202543173165</v>
      </c>
      <c r="I118" s="1256">
        <f>D118/($D$115+$D$116+$D$117+$D$118+$D$119)</f>
        <v>0.13469944947558446</v>
      </c>
      <c r="J118" s="1782"/>
      <c r="K118" s="1782"/>
      <c r="L118" s="1569"/>
      <c r="M118" s="1259"/>
      <c r="N118" s="38"/>
      <c r="O118" s="38"/>
      <c r="P118" s="38"/>
      <c r="Q118" s="38"/>
    </row>
    <row r="119" spans="1:17" ht="25.5" x14ac:dyDescent="0.2">
      <c r="A119" s="1780"/>
      <c r="B119" s="1780"/>
      <c r="C119" s="1279" t="s">
        <v>494</v>
      </c>
      <c r="D119" s="1280">
        <f>16049+2795+7611</f>
        <v>26455</v>
      </c>
      <c r="E119" s="1255" t="s">
        <v>411</v>
      </c>
      <c r="F119" s="1255">
        <v>3000</v>
      </c>
      <c r="G119" s="1255" t="s">
        <v>385</v>
      </c>
      <c r="H119" s="1257">
        <f>$B$2-0.000012*F119</f>
        <v>1.6347729</v>
      </c>
      <c r="I119" s="1256">
        <f>D119/($D$115+$D$116+$D$117+$D$118+$D$119)</f>
        <v>0.19734584570397004</v>
      </c>
      <c r="J119" s="1778"/>
      <c r="K119" s="1778"/>
      <c r="L119" s="1570"/>
      <c r="M119" s="1259"/>
      <c r="N119" s="38"/>
      <c r="O119" s="38"/>
      <c r="P119" s="38"/>
      <c r="Q119" s="38"/>
    </row>
    <row r="120" spans="1:17" x14ac:dyDescent="0.2">
      <c r="A120" s="1779">
        <v>54</v>
      </c>
      <c r="B120" s="1779" t="s">
        <v>271</v>
      </c>
      <c r="C120" s="1279" t="s">
        <v>201</v>
      </c>
      <c r="D120" s="1279"/>
      <c r="E120" s="1259" t="s">
        <v>201</v>
      </c>
      <c r="F120" s="1255">
        <v>20000</v>
      </c>
      <c r="G120" s="1259" t="s">
        <v>385</v>
      </c>
      <c r="H120" s="1257">
        <f>$B$2-0.000012*F120</f>
        <v>1.4307729</v>
      </c>
      <c r="I120" s="1256">
        <v>0.82</v>
      </c>
      <c r="J120" s="1777">
        <f>+I120*H120+I121*H121</f>
        <v>1.4676728999999999</v>
      </c>
      <c r="K120" s="1777">
        <f>+J120</f>
        <v>1.4676728999999999</v>
      </c>
      <c r="L120" s="1568"/>
      <c r="M120" s="1259"/>
      <c r="N120" s="38"/>
      <c r="O120" s="38"/>
      <c r="P120" s="38"/>
      <c r="Q120" s="38"/>
    </row>
    <row r="121" spans="1:17" x14ac:dyDescent="0.2">
      <c r="A121" s="1780"/>
      <c r="B121" s="1780"/>
      <c r="C121" s="1254" t="s">
        <v>108</v>
      </c>
      <c r="D121" s="1254"/>
      <c r="E121" s="1259" t="s">
        <v>108</v>
      </c>
      <c r="F121" s="1255">
        <v>5000</v>
      </c>
      <c r="G121" s="1259" t="s">
        <v>385</v>
      </c>
      <c r="H121" s="1257">
        <f>$B$2-0.000007*F121</f>
        <v>1.6357729000000001</v>
      </c>
      <c r="I121" s="1256">
        <v>0.18</v>
      </c>
      <c r="J121" s="1778"/>
      <c r="K121" s="1778"/>
      <c r="L121" s="1570"/>
      <c r="M121" s="1259"/>
      <c r="N121" s="38"/>
      <c r="O121" s="38"/>
      <c r="P121" s="38"/>
      <c r="Q121" s="38"/>
    </row>
    <row r="122" spans="1:17" x14ac:dyDescent="0.2">
      <c r="A122" s="1779">
        <v>55</v>
      </c>
      <c r="B122" s="1779" t="s">
        <v>578</v>
      </c>
      <c r="C122" s="1279" t="s">
        <v>82</v>
      </c>
      <c r="D122" s="1280"/>
      <c r="E122" s="1255" t="s">
        <v>128</v>
      </c>
      <c r="F122" s="1255">
        <v>6000</v>
      </c>
      <c r="G122" s="1255" t="s">
        <v>420</v>
      </c>
      <c r="H122" s="1257">
        <f>$B$3-0.000007*F122</f>
        <v>1.9472049</v>
      </c>
      <c r="I122" s="1256">
        <v>0.2</v>
      </c>
      <c r="J122" s="1777">
        <f>+I122*H122+I123*H123+I125*H125+I126*H126+I124*H124</f>
        <v>1.7754473920567266</v>
      </c>
      <c r="K122" s="1777">
        <f>+J122</f>
        <v>1.7754473920567266</v>
      </c>
      <c r="L122" s="1568"/>
      <c r="M122" s="1259"/>
      <c r="N122" s="38"/>
      <c r="O122" s="38"/>
      <c r="P122" s="38"/>
      <c r="Q122" s="38"/>
    </row>
    <row r="123" spans="1:17" x14ac:dyDescent="0.2">
      <c r="A123" s="1781"/>
      <c r="B123" s="1781"/>
      <c r="C123" s="1279" t="s">
        <v>83</v>
      </c>
      <c r="D123" s="1280"/>
      <c r="E123" s="1255" t="s">
        <v>149</v>
      </c>
      <c r="F123" s="1255">
        <v>2000</v>
      </c>
      <c r="G123" s="1255" t="s">
        <v>385</v>
      </c>
      <c r="H123" s="1257">
        <f>$B$3-0.000012*F123</f>
        <v>1.9652049</v>
      </c>
      <c r="I123" s="1256">
        <v>0.17</v>
      </c>
      <c r="J123" s="1782"/>
      <c r="K123" s="1782"/>
      <c r="L123" s="1569"/>
      <c r="M123" s="1259"/>
      <c r="N123" s="38"/>
      <c r="O123" s="38"/>
      <c r="P123" s="38"/>
      <c r="Q123" s="38"/>
    </row>
    <row r="124" spans="1:17" x14ac:dyDescent="0.2">
      <c r="A124" s="1781"/>
      <c r="B124" s="1781"/>
      <c r="C124" s="1279" t="s">
        <v>579</v>
      </c>
      <c r="D124" s="1280"/>
      <c r="E124" s="1255" t="s">
        <v>7</v>
      </c>
      <c r="F124" s="1255">
        <v>35000</v>
      </c>
      <c r="G124" s="1255" t="s">
        <v>385</v>
      </c>
      <c r="H124" s="1257">
        <f>($B$3-0.000012*F124)-L124</f>
        <v>1.4766798735224218</v>
      </c>
      <c r="I124" s="1256">
        <v>0.3</v>
      </c>
      <c r="J124" s="1782"/>
      <c r="K124" s="1782"/>
      <c r="L124" s="1569">
        <f>+L39</f>
        <v>9.2525026477578404E-2</v>
      </c>
      <c r="M124" s="1259"/>
      <c r="N124" s="38"/>
      <c r="O124" s="38"/>
      <c r="P124" s="38"/>
      <c r="Q124" s="38"/>
    </row>
    <row r="125" spans="1:17" x14ac:dyDescent="0.2">
      <c r="A125" s="1781"/>
      <c r="B125" s="1781"/>
      <c r="C125" s="1279" t="s">
        <v>580</v>
      </c>
      <c r="D125" s="1280"/>
      <c r="E125" s="1255" t="s">
        <v>402</v>
      </c>
      <c r="F125" s="1255">
        <v>12000</v>
      </c>
      <c r="G125" s="1255" t="s">
        <v>420</v>
      </c>
      <c r="H125" s="1257">
        <f>$B$3-0.000012*F125</f>
        <v>1.8452049000000001</v>
      </c>
      <c r="I125" s="1256">
        <v>0.33</v>
      </c>
      <c r="J125" s="1782"/>
      <c r="K125" s="1782"/>
      <c r="L125" s="1569"/>
      <c r="M125" s="1259"/>
      <c r="N125" s="38"/>
      <c r="O125" s="38"/>
      <c r="P125" s="38"/>
      <c r="Q125" s="38"/>
    </row>
    <row r="126" spans="1:17" x14ac:dyDescent="0.2">
      <c r="A126" s="1780"/>
      <c r="B126" s="1780"/>
      <c r="C126" s="1279"/>
      <c r="D126" s="1280"/>
      <c r="E126" s="1255"/>
      <c r="F126" s="1255"/>
      <c r="G126" s="1255"/>
      <c r="H126" s="1257"/>
      <c r="I126" s="1256"/>
      <c r="J126" s="1778"/>
      <c r="K126" s="1778"/>
      <c r="L126" s="1570"/>
      <c r="M126" s="1259"/>
      <c r="N126" s="38"/>
      <c r="O126" s="38"/>
      <c r="P126" s="38"/>
      <c r="Q126" s="38"/>
    </row>
    <row r="127" spans="1:17" x14ac:dyDescent="0.2">
      <c r="A127" s="1779">
        <v>56</v>
      </c>
      <c r="B127" s="1779" t="s">
        <v>272</v>
      </c>
      <c r="C127" s="1279" t="s">
        <v>87</v>
      </c>
      <c r="D127" s="1279"/>
      <c r="E127" s="1259" t="s">
        <v>424</v>
      </c>
      <c r="F127" s="1255">
        <v>22000</v>
      </c>
      <c r="G127" s="1255" t="s">
        <v>487</v>
      </c>
      <c r="H127" s="1257">
        <f>$B$4-0.000013*F127</f>
        <v>1.9161562999999999</v>
      </c>
      <c r="I127" s="1256">
        <v>0.95</v>
      </c>
      <c r="J127" s="1777">
        <f>+I127*H127+I128*H128</f>
        <v>1.8540789449999997</v>
      </c>
      <c r="K127" s="1777">
        <f>+J127</f>
        <v>1.8540789449999997</v>
      </c>
      <c r="L127" s="1568"/>
      <c r="M127" s="1259"/>
      <c r="N127" s="38"/>
      <c r="O127" s="38"/>
      <c r="P127" s="38"/>
      <c r="Q127" s="38"/>
    </row>
    <row r="128" spans="1:17" x14ac:dyDescent="0.2">
      <c r="A128" s="1780"/>
      <c r="B128" s="1780"/>
      <c r="C128" s="1254" t="s">
        <v>581</v>
      </c>
      <c r="D128" s="1254"/>
      <c r="E128" s="1259" t="s">
        <v>582</v>
      </c>
      <c r="F128" s="1255">
        <v>2000</v>
      </c>
      <c r="G128" s="1259" t="s">
        <v>388</v>
      </c>
      <c r="H128" s="1257">
        <f>$B$1-0.000007*F128</f>
        <v>0.67460919999999991</v>
      </c>
      <c r="I128" s="1256">
        <v>0.05</v>
      </c>
      <c r="J128" s="1778"/>
      <c r="K128" s="1778"/>
      <c r="L128" s="1570"/>
      <c r="M128" s="1259"/>
      <c r="N128" s="38"/>
      <c r="O128" s="38"/>
      <c r="P128" s="38"/>
      <c r="Q128" s="38"/>
    </row>
    <row r="129" spans="2:12" x14ac:dyDescent="0.2">
      <c r="B129" s="1245" t="s">
        <v>274</v>
      </c>
      <c r="K129" s="22">
        <f>+J139</f>
        <v>1.6522383826755158</v>
      </c>
    </row>
    <row r="130" spans="2:12" x14ac:dyDescent="0.2">
      <c r="B130" s="13" t="s">
        <v>909</v>
      </c>
    </row>
    <row r="131" spans="2:12" ht="15" x14ac:dyDescent="0.25">
      <c r="B131" s="469" t="s">
        <v>567</v>
      </c>
      <c r="C131" s="469" t="s">
        <v>568</v>
      </c>
      <c r="D131" s="469" t="s">
        <v>986</v>
      </c>
      <c r="E131" s="469" t="s">
        <v>569</v>
      </c>
      <c r="F131" s="469" t="s">
        <v>570</v>
      </c>
      <c r="G131" s="469" t="s">
        <v>571</v>
      </c>
      <c r="H131" s="469" t="s">
        <v>572</v>
      </c>
      <c r="I131" s="469" t="s">
        <v>573</v>
      </c>
      <c r="J131" s="469" t="s">
        <v>575</v>
      </c>
      <c r="K131" s="469" t="s">
        <v>576</v>
      </c>
      <c r="L131" s="491"/>
    </row>
    <row r="132" spans="2:12" x14ac:dyDescent="0.2">
      <c r="B132" s="1277" t="s">
        <v>109</v>
      </c>
      <c r="C132" s="1281">
        <v>951000</v>
      </c>
      <c r="D132" s="1281">
        <f>+'[7]תחשיב תעריף 2016'!BB16*0.47</f>
        <v>2237.5708300000001</v>
      </c>
      <c r="E132" s="1282">
        <v>0.245</v>
      </c>
      <c r="F132" s="1282"/>
      <c r="G132" s="1282">
        <v>1.0820000000000001</v>
      </c>
      <c r="H132" s="1284">
        <f>E132+F132+G132</f>
        <v>1.327</v>
      </c>
      <c r="I132" s="1283">
        <v>1020</v>
      </c>
      <c r="J132" s="1284">
        <f>+H132*I132/D132*(1+'[7]מדד מחירים'!E78)</f>
        <v>0.59948787637434287</v>
      </c>
      <c r="K132" s="1282">
        <f t="shared" ref="K132:K136" si="3">H132/I132*D132</f>
        <v>2.9110357758921568</v>
      </c>
      <c r="L132" s="490"/>
    </row>
    <row r="133" spans="2:12" x14ac:dyDescent="0.2">
      <c r="B133" s="1277" t="s">
        <v>574</v>
      </c>
      <c r="C133" s="1281">
        <v>1879000</v>
      </c>
      <c r="D133" s="1281">
        <f>+[7]גיליון1!G138/1000-[7]גיליון1!K138/1000-[7]גיליון1!M138/1000</f>
        <v>2675.8530000000001</v>
      </c>
      <c r="E133" s="1285">
        <v>1.105</v>
      </c>
      <c r="F133" s="1285"/>
      <c r="G133" s="1282">
        <v>1.0820000000000001</v>
      </c>
      <c r="H133" s="1284">
        <f>E133+F133+G133</f>
        <v>2.1870000000000003</v>
      </c>
      <c r="I133" s="1283">
        <v>2438</v>
      </c>
      <c r="J133" s="1284">
        <f>+H133*I133/D133*(1+'[7]מדד מחירים'!E78)</f>
        <v>1.9747236825654133</v>
      </c>
      <c r="K133" s="1282">
        <f t="shared" si="3"/>
        <v>2.4003652629204266</v>
      </c>
      <c r="L133" s="490"/>
    </row>
    <row r="134" spans="2:12" x14ac:dyDescent="0.2">
      <c r="B134" s="1277" t="s">
        <v>144</v>
      </c>
      <c r="C134" s="1281">
        <v>13237996</v>
      </c>
      <c r="D134" s="1281">
        <f>+'[7]תחשיב תעריף 2016'!T16</f>
        <v>18472.741000000002</v>
      </c>
      <c r="E134" s="1285"/>
      <c r="F134" s="1285"/>
      <c r="G134" s="1282"/>
      <c r="H134" s="1282">
        <v>1.141</v>
      </c>
      <c r="I134" s="1283">
        <v>13435</v>
      </c>
      <c r="J134" s="1284">
        <f>+H134*I134/D134*(1+'[7]מדד מחירים'!E78)</f>
        <v>0.82239048281790539</v>
      </c>
      <c r="K134" s="1282">
        <f t="shared" si="3"/>
        <v>1.5688423878675102</v>
      </c>
      <c r="L134" s="490"/>
    </row>
    <row r="135" spans="2:12" x14ac:dyDescent="0.2">
      <c r="B135" s="1277" t="s">
        <v>59</v>
      </c>
      <c r="C135" s="1281">
        <v>9479948</v>
      </c>
      <c r="D135" s="1281">
        <f>+'[7]תחשיב תעריף 2016'!O16*0.6</f>
        <v>3169.6343999999999</v>
      </c>
      <c r="E135" s="1285"/>
      <c r="F135" s="1285"/>
      <c r="G135" s="1282"/>
      <c r="H135" s="1284">
        <v>1.8660000000000001</v>
      </c>
      <c r="I135" s="1283">
        <f>2573000/1000</f>
        <v>2573</v>
      </c>
      <c r="J135" s="1284">
        <f>+H135*I135/D135*(1+'[7]מדד מחירים'!E78)</f>
        <v>1.5011647427948289</v>
      </c>
      <c r="K135" s="1282">
        <f t="shared" si="3"/>
        <v>2.2986932726000777</v>
      </c>
      <c r="L135" s="490"/>
    </row>
    <row r="136" spans="2:12" x14ac:dyDescent="0.2">
      <c r="B136" s="1286" t="s">
        <v>76</v>
      </c>
      <c r="C136" s="1287">
        <v>2843000</v>
      </c>
      <c r="D136" s="1281">
        <f>+'[7]תחשיב תעריף 2016'!AI16</f>
        <v>3446.8580000000002</v>
      </c>
      <c r="E136" s="1285">
        <v>0.73</v>
      </c>
      <c r="F136" s="1288"/>
      <c r="G136" s="1282">
        <v>1.0820000000000001</v>
      </c>
      <c r="H136" s="1284">
        <f>E136+F136+G136</f>
        <v>1.8120000000000001</v>
      </c>
      <c r="I136" s="2">
        <f>+(3362810-301880)/1000</f>
        <v>3060.93</v>
      </c>
      <c r="J136" s="1284">
        <f>+H136*I136/D136*(1+'[7]מדד מחירים'!E78)</f>
        <v>1.5946827662251595</v>
      </c>
      <c r="K136" s="1282">
        <f t="shared" si="3"/>
        <v>2.0404604796581434</v>
      </c>
      <c r="L136" s="490"/>
    </row>
    <row r="137" spans="2:12" x14ac:dyDescent="0.2">
      <c r="B137" s="1286" t="s">
        <v>102</v>
      </c>
      <c r="C137" s="1287">
        <v>2843001</v>
      </c>
      <c r="D137" s="1281">
        <f>+'[7]תחשיב תעריף 2016'!BE16</f>
        <v>1061.6970000000001</v>
      </c>
      <c r="E137" s="1285">
        <v>1.105</v>
      </c>
      <c r="F137" s="1288"/>
      <c r="G137" s="1282">
        <v>1.0820000000000001</v>
      </c>
      <c r="H137" s="1284">
        <f>E137+F137+G137</f>
        <v>2.1870000000000003</v>
      </c>
      <c r="I137" s="1283">
        <v>1045</v>
      </c>
      <c r="J137" s="1284">
        <f>+H137*I137/D137*(1+'[7]מדד מחירים'!E78)</f>
        <v>2.1332933770328233</v>
      </c>
      <c r="K137" s="1282">
        <f>H137/I137*D137</f>
        <v>2.2219438650717711</v>
      </c>
    </row>
    <row r="138" spans="2:12" x14ac:dyDescent="0.2">
      <c r="B138" s="1289" t="s">
        <v>482</v>
      </c>
      <c r="C138" s="429"/>
      <c r="D138" s="38">
        <f>+[7]גיליון1!G148/1000-[7]גיליון1!K148/1000-[7]גיליון1!M148/1000</f>
        <v>2376.105</v>
      </c>
      <c r="E138" s="1285">
        <v>0.63600000000000001</v>
      </c>
      <c r="F138" s="38"/>
      <c r="G138" s="1285">
        <v>1.8720000000000001</v>
      </c>
      <c r="H138" s="1284">
        <f>E138+F138+G138</f>
        <v>2.508</v>
      </c>
      <c r="I138" s="38">
        <v>1938</v>
      </c>
      <c r="J138" s="1284">
        <f>+H138*I138/D138*(1+'[7]מדד מחירים'!E78)</f>
        <v>2.0272241835914473</v>
      </c>
      <c r="K138" s="38"/>
    </row>
    <row r="139" spans="2:12" x14ac:dyDescent="0.2">
      <c r="B139" s="1277" t="s">
        <v>72</v>
      </c>
      <c r="C139" s="429"/>
      <c r="D139" s="38">
        <f>+'[7]תחשיב תעריף 2016'!BF16</f>
        <v>9551.634</v>
      </c>
      <c r="E139" s="38"/>
      <c r="F139" s="38"/>
      <c r="G139" s="38"/>
      <c r="H139" s="38">
        <v>1.8660000000000001</v>
      </c>
      <c r="I139" s="353">
        <v>8534</v>
      </c>
      <c r="J139" s="1284">
        <f>+H139*I139/D139*(1+'[7]מדד מחירים'!E78)</f>
        <v>1.6522383826755158</v>
      </c>
      <c r="K139" s="38"/>
    </row>
    <row r="140" spans="2:12" x14ac:dyDescent="0.2">
      <c r="B140" s="1277" t="s">
        <v>6</v>
      </c>
      <c r="C140" s="429"/>
      <c r="D140" s="436">
        <f>(+[7]גיליון1!G105-[7]גיליון1!K105-[7]גיליון1!M105)/1000</f>
        <v>2002.9860000000001</v>
      </c>
      <c r="E140" s="38"/>
      <c r="F140" s="38"/>
      <c r="G140" s="38"/>
      <c r="H140" s="38">
        <v>1.3520000000000001</v>
      </c>
      <c r="I140" s="547">
        <v>1751</v>
      </c>
      <c r="J140" s="1284">
        <f>+H140*I140/D140*(1+'[7]מדד מחירים'!E78)</f>
        <v>1.1713077738953448</v>
      </c>
      <c r="K140" s="38"/>
    </row>
    <row r="141" spans="2:12" x14ac:dyDescent="0.2">
      <c r="B141" s="1277" t="s">
        <v>196</v>
      </c>
      <c r="C141" s="429"/>
      <c r="D141" s="38">
        <f>(+[7]גיליון1!G137-[7]גיליון1!K137-[7]גיליון1!M137)/1000</f>
        <v>2864.1</v>
      </c>
      <c r="E141" s="38"/>
      <c r="F141" s="38"/>
      <c r="G141" s="38"/>
      <c r="H141" s="38">
        <v>2.1869999999999998</v>
      </c>
      <c r="I141" s="38">
        <v>2178</v>
      </c>
      <c r="J141" s="1284">
        <f>+H141*I141/D141*(1+'[7]מדד מחירים'!E78)</f>
        <v>1.648179784027286</v>
      </c>
      <c r="K141" s="38"/>
    </row>
    <row r="143" spans="2:12" x14ac:dyDescent="0.2">
      <c r="I143" t="s">
        <v>1501</v>
      </c>
      <c r="J143" s="14">
        <f>+I133/(I133+I138)*J133+I138/(I133+I138)*J138</f>
        <v>1.9979745900125006</v>
      </c>
    </row>
  </sheetData>
  <mergeCells count="106">
    <mergeCell ref="A127:A128"/>
    <mergeCell ref="B127:B128"/>
    <mergeCell ref="J127:J128"/>
    <mergeCell ref="K127:K128"/>
    <mergeCell ref="J98:J101"/>
    <mergeCell ref="K98:K101"/>
    <mergeCell ref="A112:A114"/>
    <mergeCell ref="B112:B114"/>
    <mergeCell ref="J112:J114"/>
    <mergeCell ref="K112:K114"/>
    <mergeCell ref="A115:A119"/>
    <mergeCell ref="B115:B119"/>
    <mergeCell ref="J115:J119"/>
    <mergeCell ref="K115:K119"/>
    <mergeCell ref="A120:A121"/>
    <mergeCell ref="B120:B121"/>
    <mergeCell ref="J120:J121"/>
    <mergeCell ref="K120:K121"/>
    <mergeCell ref="A122:A126"/>
    <mergeCell ref="B122:B126"/>
    <mergeCell ref="J122:J126"/>
    <mergeCell ref="K122:K126"/>
    <mergeCell ref="A55:A57"/>
    <mergeCell ref="B55:B57"/>
    <mergeCell ref="K55:K57"/>
    <mergeCell ref="A58:A59"/>
    <mergeCell ref="B58:B59"/>
    <mergeCell ref="J58:J59"/>
    <mergeCell ref="K58:K59"/>
    <mergeCell ref="K79:K80"/>
    <mergeCell ref="A84:A85"/>
    <mergeCell ref="B84:B85"/>
    <mergeCell ref="J84:J85"/>
    <mergeCell ref="K84:K85"/>
    <mergeCell ref="A65:A67"/>
    <mergeCell ref="B65:B67"/>
    <mergeCell ref="C65:C66"/>
    <mergeCell ref="J65:J67"/>
    <mergeCell ref="K65:K67"/>
    <mergeCell ref="A68:A70"/>
    <mergeCell ref="B68:B70"/>
    <mergeCell ref="J68:J70"/>
    <mergeCell ref="K68:K70"/>
    <mergeCell ref="A71:A72"/>
    <mergeCell ref="B71:B72"/>
    <mergeCell ref="J71:J72"/>
    <mergeCell ref="B40:B41"/>
    <mergeCell ref="J40:J41"/>
    <mergeCell ref="K40:K41"/>
    <mergeCell ref="A42:A50"/>
    <mergeCell ref="B42:B50"/>
    <mergeCell ref="J42:J50"/>
    <mergeCell ref="K42:K50"/>
    <mergeCell ref="B52:B53"/>
    <mergeCell ref="J52:J53"/>
    <mergeCell ref="K52:K53"/>
    <mergeCell ref="B29:B32"/>
    <mergeCell ref="C29:C30"/>
    <mergeCell ref="J29:J32"/>
    <mergeCell ref="K29:K32"/>
    <mergeCell ref="A33:A37"/>
    <mergeCell ref="B33:B37"/>
    <mergeCell ref="C33:C34"/>
    <mergeCell ref="J33:J37"/>
    <mergeCell ref="K33:K37"/>
    <mergeCell ref="A11:A13"/>
    <mergeCell ref="B11:B13"/>
    <mergeCell ref="J11:J13"/>
    <mergeCell ref="K11:K13"/>
    <mergeCell ref="M11:M13"/>
    <mergeCell ref="A60:A64"/>
    <mergeCell ref="B60:B64"/>
    <mergeCell ref="J60:J64"/>
    <mergeCell ref="K60:K64"/>
    <mergeCell ref="B14:B17"/>
    <mergeCell ref="J14:J17"/>
    <mergeCell ref="K14:K17"/>
    <mergeCell ref="A16:A17"/>
    <mergeCell ref="A19:A21"/>
    <mergeCell ref="B19:B21"/>
    <mergeCell ref="J19:J21"/>
    <mergeCell ref="K19:K21"/>
    <mergeCell ref="C20:C21"/>
    <mergeCell ref="A23:A26"/>
    <mergeCell ref="B23:B26"/>
    <mergeCell ref="C23:C26"/>
    <mergeCell ref="J23:J26"/>
    <mergeCell ref="K23:K26"/>
    <mergeCell ref="A29:A32"/>
    <mergeCell ref="K71:K72"/>
    <mergeCell ref="A79:A80"/>
    <mergeCell ref="B79:B80"/>
    <mergeCell ref="J79:J80"/>
    <mergeCell ref="A109:A111"/>
    <mergeCell ref="B109:B111"/>
    <mergeCell ref="J109:J111"/>
    <mergeCell ref="K109:K111"/>
    <mergeCell ref="A98:A101"/>
    <mergeCell ref="B98:B101"/>
    <mergeCell ref="B87:B90"/>
    <mergeCell ref="J87:J90"/>
    <mergeCell ref="K87:K90"/>
    <mergeCell ref="A92:A94"/>
    <mergeCell ref="B92:B94"/>
    <mergeCell ref="J92:J94"/>
    <mergeCell ref="K92:K94"/>
  </mergeCells>
  <printOptions gridLines="1"/>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9"/>
  <dimension ref="A2:AC212"/>
  <sheetViews>
    <sheetView rightToLeft="1" topLeftCell="C1" workbookViewId="0">
      <pane xSplit="6" ySplit="10" topLeftCell="I74" activePane="bottomRight" state="frozen"/>
      <selection activeCell="C1" sqref="C1"/>
      <selection pane="topRight" activeCell="I1" sqref="I1"/>
      <selection pane="bottomLeft" activeCell="C11" sqref="C11"/>
      <selection pane="bottomRight" activeCell="F77" sqref="F77"/>
    </sheetView>
  </sheetViews>
  <sheetFormatPr defaultColWidth="8.85546875" defaultRowHeight="15" x14ac:dyDescent="0.25"/>
  <cols>
    <col min="1" max="1" width="8.85546875" style="109"/>
    <col min="2" max="2" width="7.42578125" style="110" customWidth="1"/>
    <col min="3" max="3" width="18.28515625" style="111" customWidth="1"/>
    <col min="4" max="4" width="6.28515625" style="56" customWidth="1"/>
    <col min="5" max="5" width="14" style="56" bestFit="1" customWidth="1"/>
    <col min="6" max="6" width="10.140625" style="112" customWidth="1"/>
    <col min="7" max="7" width="11.28515625" style="56" bestFit="1" customWidth="1"/>
    <col min="8" max="11" width="12.42578125" style="56" customWidth="1"/>
    <col min="12" max="12" width="11.28515625" style="56" customWidth="1"/>
    <col min="13" max="13" width="10.140625" style="56" customWidth="1"/>
    <col min="14" max="14" width="12.42578125" style="56" customWidth="1"/>
    <col min="15" max="15" width="11.28515625" style="56" customWidth="1"/>
    <col min="16" max="16" width="6.140625" style="113" customWidth="1"/>
    <col min="17" max="17" width="12.42578125" style="113" customWidth="1"/>
    <col min="18" max="18" width="11.85546875" style="113" customWidth="1"/>
    <col min="19" max="24" width="8.85546875" style="56" customWidth="1"/>
    <col min="25" max="25" width="8.85546875" style="57" customWidth="1"/>
    <col min="26" max="16384" width="8.85546875" style="56"/>
  </cols>
  <sheetData>
    <row r="2" spans="1:29" x14ac:dyDescent="0.25">
      <c r="Q2" s="114"/>
    </row>
    <row r="3" spans="1:29" ht="21.75" customHeight="1" x14ac:dyDescent="0.35">
      <c r="B3" s="1806" t="s">
        <v>785</v>
      </c>
      <c r="C3" s="1806"/>
      <c r="D3" s="1806"/>
      <c r="E3" s="1806"/>
      <c r="F3" s="1806"/>
      <c r="G3" s="1806"/>
      <c r="H3" s="1806"/>
      <c r="I3" s="1806"/>
      <c r="J3" s="1806"/>
      <c r="K3" s="1806"/>
      <c r="L3" s="1806"/>
      <c r="M3" s="1806"/>
      <c r="N3" s="1806"/>
      <c r="O3" s="1806"/>
      <c r="P3" s="1806"/>
      <c r="Q3" s="1806"/>
      <c r="R3" s="1806"/>
    </row>
    <row r="4" spans="1:29" ht="18" x14ac:dyDescent="0.25">
      <c r="C4" s="115" t="s">
        <v>557</v>
      </c>
      <c r="H4" s="116"/>
    </row>
    <row r="5" spans="1:29" ht="12" customHeight="1" thickBot="1" x14ac:dyDescent="0.3">
      <c r="C5" s="117"/>
    </row>
    <row r="6" spans="1:29" s="69" customFormat="1" ht="17.100000000000001" customHeight="1" x14ac:dyDescent="0.25">
      <c r="A6" s="118"/>
      <c r="B6" s="119" t="s">
        <v>282</v>
      </c>
      <c r="C6" s="589"/>
      <c r="D6" s="590" t="s">
        <v>282</v>
      </c>
      <c r="E6" s="590"/>
      <c r="F6" s="591" t="s">
        <v>283</v>
      </c>
      <c r="G6" s="590" t="s">
        <v>284</v>
      </c>
      <c r="H6" s="590" t="s">
        <v>284</v>
      </c>
      <c r="I6" s="590" t="s">
        <v>164</v>
      </c>
      <c r="J6" s="590" t="s">
        <v>285</v>
      </c>
      <c r="K6" s="590" t="s">
        <v>285</v>
      </c>
      <c r="L6" s="590" t="s">
        <v>285</v>
      </c>
      <c r="M6" s="590" t="s">
        <v>285</v>
      </c>
      <c r="N6" s="590" t="s">
        <v>286</v>
      </c>
      <c r="O6" s="590" t="s">
        <v>164</v>
      </c>
      <c r="P6" s="592" t="s">
        <v>164</v>
      </c>
      <c r="Q6" s="592" t="s">
        <v>287</v>
      </c>
      <c r="R6" s="758" t="s">
        <v>288</v>
      </c>
      <c r="Y6" s="120"/>
    </row>
    <row r="7" spans="1:29" s="69" customFormat="1" ht="17.100000000000001" customHeight="1" x14ac:dyDescent="0.25">
      <c r="A7" s="118"/>
      <c r="B7" s="121" t="s">
        <v>289</v>
      </c>
      <c r="C7" s="593" t="s">
        <v>556</v>
      </c>
      <c r="D7" s="594" t="s">
        <v>291</v>
      </c>
      <c r="E7" s="594" t="s">
        <v>290</v>
      </c>
      <c r="F7" s="595">
        <v>2011</v>
      </c>
      <c r="G7" s="594" t="s">
        <v>292</v>
      </c>
      <c r="H7" s="594" t="s">
        <v>293</v>
      </c>
      <c r="I7" s="594" t="s">
        <v>284</v>
      </c>
      <c r="J7" s="594" t="s">
        <v>294</v>
      </c>
      <c r="K7" s="594" t="s">
        <v>295</v>
      </c>
      <c r="L7" s="594" t="s">
        <v>296</v>
      </c>
      <c r="M7" s="594" t="s">
        <v>297</v>
      </c>
      <c r="N7" s="594" t="s">
        <v>285</v>
      </c>
      <c r="O7" s="594" t="s">
        <v>298</v>
      </c>
      <c r="P7" s="596" t="s">
        <v>298</v>
      </c>
      <c r="Q7" s="596" t="s">
        <v>299</v>
      </c>
      <c r="R7" s="597" t="s">
        <v>295</v>
      </c>
      <c r="Y7" s="120"/>
    </row>
    <row r="8" spans="1:29" s="69" customFormat="1" ht="17.100000000000001" customHeight="1" thickBot="1" x14ac:dyDescent="0.3">
      <c r="A8" s="118"/>
      <c r="B8" s="122"/>
      <c r="C8" s="598"/>
      <c r="D8" s="599"/>
      <c r="E8" s="599"/>
      <c r="F8" s="600" t="s">
        <v>300</v>
      </c>
      <c r="G8" s="599" t="s">
        <v>301</v>
      </c>
      <c r="H8" s="599" t="s">
        <v>301</v>
      </c>
      <c r="I8" s="599" t="s">
        <v>301</v>
      </c>
      <c r="J8" s="599" t="s">
        <v>301</v>
      </c>
      <c r="K8" s="599" t="s">
        <v>301</v>
      </c>
      <c r="L8" s="599" t="s">
        <v>301</v>
      </c>
      <c r="M8" s="599" t="s">
        <v>301</v>
      </c>
      <c r="N8" s="599" t="s">
        <v>301</v>
      </c>
      <c r="O8" s="599" t="s">
        <v>301</v>
      </c>
      <c r="P8" s="540" t="s">
        <v>302</v>
      </c>
      <c r="Q8" s="540" t="s">
        <v>303</v>
      </c>
      <c r="R8" s="601" t="s">
        <v>303</v>
      </c>
      <c r="Y8" s="120"/>
    </row>
    <row r="9" spans="1:29" ht="17.100000000000001" customHeight="1" x14ac:dyDescent="0.25">
      <c r="A9" s="109">
        <v>2012</v>
      </c>
      <c r="B9" s="123">
        <v>1</v>
      </c>
      <c r="D9" s="124">
        <v>639</v>
      </c>
      <c r="E9" s="124" t="s">
        <v>743</v>
      </c>
      <c r="F9" s="125">
        <v>12856</v>
      </c>
      <c r="G9" s="126">
        <v>0</v>
      </c>
      <c r="H9" s="126">
        <v>824598</v>
      </c>
      <c r="I9" s="126">
        <f t="shared" ref="I9:I15" si="0">SUM(G9:H9)</f>
        <v>824598</v>
      </c>
      <c r="J9" s="126">
        <v>616761</v>
      </c>
      <c r="K9" s="126">
        <v>667566</v>
      </c>
      <c r="L9" s="126">
        <v>0</v>
      </c>
      <c r="M9" s="126">
        <v>4422</v>
      </c>
      <c r="N9" s="126">
        <f t="shared" ref="N9:N15" si="1">SUM(K9:M9)</f>
        <v>671988</v>
      </c>
      <c r="O9" s="126">
        <f t="shared" ref="O9:O15" si="2">I9-N9</f>
        <v>152610</v>
      </c>
      <c r="P9" s="127">
        <f t="shared" ref="P9:P74" si="3">O9/I9*100</f>
        <v>18.507199871937598</v>
      </c>
      <c r="Q9" s="127">
        <f t="shared" ref="Q9:Q74" si="4">J9/F9</f>
        <v>47.974564405724955</v>
      </c>
      <c r="R9" s="128">
        <f t="shared" ref="R9:R74" si="5">K9/F9</f>
        <v>51.926415681393898</v>
      </c>
      <c r="T9" s="69"/>
      <c r="AA9" s="69"/>
      <c r="AB9" s="69"/>
      <c r="AC9" s="69"/>
    </row>
    <row r="10" spans="1:29" ht="17.100000000000001" customHeight="1" x14ac:dyDescent="0.25">
      <c r="B10" s="66"/>
      <c r="C10" s="65"/>
      <c r="D10" s="62"/>
      <c r="E10" s="62" t="s">
        <v>96</v>
      </c>
      <c r="F10" s="129">
        <v>5868</v>
      </c>
      <c r="G10" s="129">
        <v>0</v>
      </c>
      <c r="H10" s="129">
        <v>494605</v>
      </c>
      <c r="I10" s="129">
        <f t="shared" si="0"/>
        <v>494605</v>
      </c>
      <c r="J10" s="129">
        <v>313330</v>
      </c>
      <c r="K10" s="129">
        <v>364715</v>
      </c>
      <c r="L10" s="129">
        <v>0</v>
      </c>
      <c r="M10" s="129">
        <v>99</v>
      </c>
      <c r="N10" s="129">
        <f t="shared" si="1"/>
        <v>364814</v>
      </c>
      <c r="O10" s="129">
        <f t="shared" si="2"/>
        <v>129791</v>
      </c>
      <c r="P10" s="130">
        <f t="shared" si="3"/>
        <v>26.241344102869967</v>
      </c>
      <c r="Q10" s="130">
        <f t="shared" si="4"/>
        <v>53.396387184730742</v>
      </c>
      <c r="R10" s="131">
        <f t="shared" si="5"/>
        <v>62.15320381731425</v>
      </c>
      <c r="T10" s="69"/>
      <c r="AA10" s="69"/>
      <c r="AB10" s="69"/>
      <c r="AC10" s="69"/>
    </row>
    <row r="11" spans="1:29" s="135" customFormat="1" ht="17.100000000000001" customHeight="1" x14ac:dyDescent="0.25">
      <c r="A11" s="109"/>
      <c r="B11" s="66"/>
      <c r="C11" s="65"/>
      <c r="D11" s="62"/>
      <c r="E11" s="24" t="s">
        <v>90</v>
      </c>
      <c r="F11" s="132">
        <v>8947</v>
      </c>
      <c r="G11" s="132">
        <v>0</v>
      </c>
      <c r="H11" s="132">
        <v>716242</v>
      </c>
      <c r="I11" s="129">
        <f t="shared" si="0"/>
        <v>716242</v>
      </c>
      <c r="J11" s="132">
        <v>480811</v>
      </c>
      <c r="K11" s="132">
        <v>583121</v>
      </c>
      <c r="L11" s="132">
        <v>0</v>
      </c>
      <c r="M11" s="132">
        <v>5254</v>
      </c>
      <c r="N11" s="129">
        <f t="shared" si="1"/>
        <v>588375</v>
      </c>
      <c r="O11" s="132">
        <f t="shared" si="2"/>
        <v>127867</v>
      </c>
      <c r="P11" s="133">
        <f t="shared" si="3"/>
        <v>17.852485612404745</v>
      </c>
      <c r="Q11" s="133">
        <f t="shared" si="4"/>
        <v>53.739912819939647</v>
      </c>
      <c r="R11" s="134">
        <f t="shared" si="5"/>
        <v>65.175030736559734</v>
      </c>
      <c r="Y11" s="136"/>
      <c r="AA11" s="137"/>
      <c r="AB11" s="137"/>
      <c r="AC11" s="137"/>
    </row>
    <row r="12" spans="1:29" ht="17.100000000000001" customHeight="1" x14ac:dyDescent="0.25">
      <c r="B12" s="66"/>
      <c r="C12" s="65"/>
      <c r="D12" s="62"/>
      <c r="E12" s="62" t="s">
        <v>91</v>
      </c>
      <c r="F12" s="129">
        <v>15343</v>
      </c>
      <c r="G12" s="129">
        <v>0</v>
      </c>
      <c r="H12" s="129">
        <v>1447897</v>
      </c>
      <c r="I12" s="129">
        <f t="shared" si="0"/>
        <v>1447897</v>
      </c>
      <c r="J12" s="129">
        <v>851729</v>
      </c>
      <c r="K12" s="129">
        <v>1061589</v>
      </c>
      <c r="L12" s="129">
        <v>64314</v>
      </c>
      <c r="M12" s="129">
        <v>71980</v>
      </c>
      <c r="N12" s="129">
        <f t="shared" si="1"/>
        <v>1197883</v>
      </c>
      <c r="O12" s="129">
        <f t="shared" si="2"/>
        <v>250014</v>
      </c>
      <c r="P12" s="130">
        <f t="shared" si="3"/>
        <v>17.267388495176107</v>
      </c>
      <c r="Q12" s="130">
        <f t="shared" si="4"/>
        <v>55.512546438115102</v>
      </c>
      <c r="R12" s="131">
        <f t="shared" si="5"/>
        <v>69.190445154141955</v>
      </c>
      <c r="AA12" s="69"/>
      <c r="AB12" s="69"/>
      <c r="AC12" s="69"/>
    </row>
    <row r="13" spans="1:29" ht="17.100000000000001" customHeight="1" x14ac:dyDescent="0.25">
      <c r="B13" s="66"/>
      <c r="C13" s="65"/>
      <c r="D13" s="62"/>
      <c r="E13" s="24" t="s">
        <v>69</v>
      </c>
      <c r="F13" s="129">
        <v>18988</v>
      </c>
      <c r="G13" s="129">
        <v>0</v>
      </c>
      <c r="H13" s="129">
        <v>1376606</v>
      </c>
      <c r="I13" s="129">
        <f t="shared" si="0"/>
        <v>1376606</v>
      </c>
      <c r="J13" s="129">
        <v>1065763</v>
      </c>
      <c r="K13" s="129">
        <v>1164423</v>
      </c>
      <c r="L13" s="129">
        <v>0</v>
      </c>
      <c r="M13" s="129">
        <v>2645</v>
      </c>
      <c r="N13" s="129">
        <f t="shared" si="1"/>
        <v>1167068</v>
      </c>
      <c r="O13" s="129">
        <f t="shared" si="2"/>
        <v>209538</v>
      </c>
      <c r="P13" s="130">
        <f t="shared" si="3"/>
        <v>15.221348737401987</v>
      </c>
      <c r="Q13" s="130">
        <f t="shared" si="4"/>
        <v>56.12823888771856</v>
      </c>
      <c r="R13" s="131">
        <f t="shared" si="5"/>
        <v>61.324152096060672</v>
      </c>
      <c r="AA13" s="69"/>
      <c r="AB13" s="69"/>
      <c r="AC13" s="69"/>
    </row>
    <row r="14" spans="1:29" ht="17.100000000000001" customHeight="1" x14ac:dyDescent="0.25">
      <c r="B14" s="66"/>
      <c r="C14" s="65"/>
      <c r="D14" s="62"/>
      <c r="E14" s="138" t="s">
        <v>646</v>
      </c>
      <c r="F14" s="139">
        <v>3484</v>
      </c>
      <c r="G14" s="139">
        <v>0</v>
      </c>
      <c r="H14" s="139">
        <v>256113</v>
      </c>
      <c r="I14" s="140">
        <f t="shared" si="0"/>
        <v>256113</v>
      </c>
      <c r="J14" s="139">
        <v>163711</v>
      </c>
      <c r="K14" s="139">
        <v>173383</v>
      </c>
      <c r="L14" s="139">
        <v>0</v>
      </c>
      <c r="M14" s="139">
        <v>19213</v>
      </c>
      <c r="N14" s="129">
        <f t="shared" si="1"/>
        <v>192596</v>
      </c>
      <c r="O14" s="129">
        <f t="shared" si="2"/>
        <v>63517</v>
      </c>
      <c r="P14" s="130">
        <f t="shared" si="3"/>
        <v>24.800381081788117</v>
      </c>
      <c r="Q14" s="130">
        <f>J14/F14</f>
        <v>46.989380022962109</v>
      </c>
      <c r="R14" s="131">
        <f>K14/F14</f>
        <v>49.765499425947191</v>
      </c>
      <c r="AA14" s="69"/>
      <c r="AB14" s="69"/>
      <c r="AC14" s="69"/>
    </row>
    <row r="15" spans="1:29" ht="17.100000000000001" customHeight="1" x14ac:dyDescent="0.25">
      <c r="B15" s="66"/>
      <c r="C15" s="65"/>
      <c r="D15" s="62"/>
      <c r="E15" s="138" t="s">
        <v>216</v>
      </c>
      <c r="F15" s="140">
        <v>5878</v>
      </c>
      <c r="G15" s="140">
        <v>0</v>
      </c>
      <c r="H15" s="140">
        <v>463258</v>
      </c>
      <c r="I15" s="140">
        <f t="shared" si="0"/>
        <v>463258</v>
      </c>
      <c r="J15" s="140">
        <v>363242</v>
      </c>
      <c r="K15" s="140">
        <v>394979</v>
      </c>
      <c r="L15" s="140">
        <v>0</v>
      </c>
      <c r="M15" s="140">
        <v>3800</v>
      </c>
      <c r="N15" s="140">
        <f t="shared" si="1"/>
        <v>398779</v>
      </c>
      <c r="O15" s="140">
        <f t="shared" si="2"/>
        <v>64479</v>
      </c>
      <c r="P15" s="141">
        <f>O15/I15*100</f>
        <v>13.918593958442163</v>
      </c>
      <c r="Q15" s="141">
        <f>J15/F15</f>
        <v>61.796869683565838</v>
      </c>
      <c r="R15" s="142">
        <f>K15/F15</f>
        <v>67.196155154814562</v>
      </c>
      <c r="AA15" s="69"/>
      <c r="AB15" s="69"/>
      <c r="AC15" s="69"/>
    </row>
    <row r="16" spans="1:29" ht="17.100000000000001" customHeight="1" x14ac:dyDescent="0.25">
      <c r="B16" s="60"/>
      <c r="C16" s="143" t="s">
        <v>250</v>
      </c>
      <c r="D16" s="144"/>
      <c r="E16" s="145" t="s">
        <v>535</v>
      </c>
      <c r="F16" s="146">
        <f>SUM(F9:F15)</f>
        <v>71364</v>
      </c>
      <c r="G16" s="146">
        <f>SUM(G9:G13)</f>
        <v>0</v>
      </c>
      <c r="H16" s="146">
        <f t="shared" ref="H16:O16" si="6">SUM(H9:H15)</f>
        <v>5579319</v>
      </c>
      <c r="I16" s="146">
        <f t="shared" si="6"/>
        <v>5579319</v>
      </c>
      <c r="J16" s="146">
        <f t="shared" si="6"/>
        <v>3855347</v>
      </c>
      <c r="K16" s="146">
        <f t="shared" si="6"/>
        <v>4409776</v>
      </c>
      <c r="L16" s="146">
        <f t="shared" si="6"/>
        <v>64314</v>
      </c>
      <c r="M16" s="146">
        <f t="shared" si="6"/>
        <v>107413</v>
      </c>
      <c r="N16" s="146">
        <f t="shared" si="6"/>
        <v>4581503</v>
      </c>
      <c r="O16" s="146">
        <f t="shared" si="6"/>
        <v>997816</v>
      </c>
      <c r="P16" s="147">
        <f t="shared" si="3"/>
        <v>17.884189808827923</v>
      </c>
      <c r="Q16" s="147">
        <f t="shared" si="4"/>
        <v>54.023695420660275</v>
      </c>
      <c r="R16" s="148">
        <f t="shared" si="5"/>
        <v>61.792724623059243</v>
      </c>
      <c r="AA16" s="69"/>
      <c r="AB16" s="69"/>
      <c r="AC16" s="69"/>
    </row>
    <row r="17" spans="1:29" ht="17.100000000000001" customHeight="1" x14ac:dyDescent="0.25">
      <c r="A17" s="109">
        <v>2012</v>
      </c>
      <c r="B17" s="63">
        <v>2</v>
      </c>
      <c r="D17" s="149">
        <v>8625</v>
      </c>
      <c r="E17" s="24" t="s">
        <v>64</v>
      </c>
      <c r="F17" s="132">
        <v>804355</v>
      </c>
      <c r="G17" s="132">
        <v>0</v>
      </c>
      <c r="H17" s="132">
        <v>58792586</v>
      </c>
      <c r="I17" s="132">
        <f>SUM(G17,H17)</f>
        <v>58792586</v>
      </c>
      <c r="J17" s="132">
        <v>30179993</v>
      </c>
      <c r="K17" s="132">
        <v>47891462</v>
      </c>
      <c r="L17" s="132">
        <v>2874759</v>
      </c>
      <c r="M17" s="132">
        <v>381590</v>
      </c>
      <c r="N17" s="132">
        <f>SUM(K17:M17)</f>
        <v>51147811</v>
      </c>
      <c r="O17" s="132">
        <f>I17-N17</f>
        <v>7644775</v>
      </c>
      <c r="P17" s="133">
        <f t="shared" si="3"/>
        <v>13.002957549783572</v>
      </c>
      <c r="Q17" s="133">
        <f t="shared" si="4"/>
        <v>37.52073773396075</v>
      </c>
      <c r="R17" s="134">
        <f t="shared" si="5"/>
        <v>59.540205506275214</v>
      </c>
      <c r="AA17" s="69"/>
      <c r="AB17" s="69"/>
      <c r="AC17" s="69"/>
    </row>
    <row r="18" spans="1:29" s="135" customFormat="1" ht="17.100000000000001" customHeight="1" x14ac:dyDescent="0.25">
      <c r="A18" s="109"/>
      <c r="B18" s="66"/>
      <c r="C18" s="65"/>
      <c r="D18" s="62"/>
      <c r="E18" s="62" t="s">
        <v>747</v>
      </c>
      <c r="F18" s="132">
        <v>6270</v>
      </c>
      <c r="G18" s="129">
        <v>0</v>
      </c>
      <c r="H18" s="129">
        <v>413239</v>
      </c>
      <c r="I18" s="129">
        <f>SUM(G18:H18)</f>
        <v>413239</v>
      </c>
      <c r="J18" s="129">
        <v>251399</v>
      </c>
      <c r="K18" s="129">
        <v>285494</v>
      </c>
      <c r="L18" s="129">
        <v>0</v>
      </c>
      <c r="M18" s="129">
        <v>660</v>
      </c>
      <c r="N18" s="129">
        <f>SUM(K18:M18)</f>
        <v>286154</v>
      </c>
      <c r="O18" s="129">
        <f>I18-N18</f>
        <v>127085</v>
      </c>
      <c r="P18" s="130">
        <f t="shared" si="3"/>
        <v>30.753389684903894</v>
      </c>
      <c r="Q18" s="130">
        <f t="shared" si="4"/>
        <v>40.095534290271132</v>
      </c>
      <c r="R18" s="131">
        <f t="shared" si="5"/>
        <v>45.533333333333331</v>
      </c>
      <c r="Y18" s="136"/>
      <c r="AA18" s="137"/>
      <c r="AB18" s="137"/>
      <c r="AC18" s="137"/>
    </row>
    <row r="19" spans="1:29" s="135" customFormat="1" ht="17.100000000000001" customHeight="1" x14ac:dyDescent="0.25">
      <c r="A19" s="109"/>
      <c r="B19" s="66"/>
      <c r="C19" s="65"/>
      <c r="D19" s="62"/>
      <c r="E19" s="138" t="s">
        <v>644</v>
      </c>
      <c r="F19" s="139">
        <v>25305</v>
      </c>
      <c r="G19" s="139">
        <v>0</v>
      </c>
      <c r="H19" s="139">
        <v>1778190</v>
      </c>
      <c r="I19" s="139">
        <f>SUM(G19:H19)</f>
        <v>1778190</v>
      </c>
      <c r="J19" s="139">
        <v>1400194</v>
      </c>
      <c r="K19" s="139">
        <v>1538910</v>
      </c>
      <c r="L19" s="139">
        <v>1406</v>
      </c>
      <c r="M19" s="139">
        <v>0</v>
      </c>
      <c r="N19" s="139">
        <f>SUM(K19:M19)</f>
        <v>1540316</v>
      </c>
      <c r="O19" s="139">
        <f>I19-N19</f>
        <v>237874</v>
      </c>
      <c r="P19" s="150">
        <f>O19/I19*100</f>
        <v>13.377310636096254</v>
      </c>
      <c r="Q19" s="150">
        <f>J19/F19</f>
        <v>55.332701047223871</v>
      </c>
      <c r="R19" s="151">
        <f>K19/F19</f>
        <v>60.814463544753998</v>
      </c>
      <c r="Y19" s="136"/>
      <c r="AA19" s="137"/>
      <c r="AB19" s="137"/>
      <c r="AC19" s="137"/>
    </row>
    <row r="20" spans="1:29" s="135" customFormat="1" ht="17.100000000000001" customHeight="1" x14ac:dyDescent="0.25">
      <c r="A20" s="109"/>
      <c r="B20" s="60"/>
      <c r="C20" s="143" t="s">
        <v>441</v>
      </c>
      <c r="D20" s="144"/>
      <c r="E20" s="145" t="s">
        <v>535</v>
      </c>
      <c r="F20" s="152">
        <f>SUM(F17:F19)</f>
        <v>835930</v>
      </c>
      <c r="G20" s="152">
        <f>SUM(G17:G19)</f>
        <v>0</v>
      </c>
      <c r="H20" s="152">
        <f t="shared" ref="H20:O20" si="7">SUM(H17:H19)</f>
        <v>60984015</v>
      </c>
      <c r="I20" s="152">
        <f t="shared" si="7"/>
        <v>60984015</v>
      </c>
      <c r="J20" s="152">
        <f t="shared" si="7"/>
        <v>31831586</v>
      </c>
      <c r="K20" s="152">
        <f t="shared" si="7"/>
        <v>49715866</v>
      </c>
      <c r="L20" s="152">
        <f t="shared" si="7"/>
        <v>2876165</v>
      </c>
      <c r="M20" s="152">
        <f t="shared" si="7"/>
        <v>382250</v>
      </c>
      <c r="N20" s="152">
        <f t="shared" si="7"/>
        <v>52974281</v>
      </c>
      <c r="O20" s="152">
        <f t="shared" si="7"/>
        <v>8009734</v>
      </c>
      <c r="P20" s="147">
        <f t="shared" si="3"/>
        <v>13.134153269508412</v>
      </c>
      <c r="Q20" s="147">
        <f t="shared" si="4"/>
        <v>38.079248262414318</v>
      </c>
      <c r="R20" s="148">
        <f t="shared" si="5"/>
        <v>59.473719091311473</v>
      </c>
      <c r="Y20" s="136"/>
      <c r="AA20" s="137"/>
      <c r="AB20" s="137"/>
      <c r="AC20" s="137"/>
    </row>
    <row r="21" spans="1:29" ht="17.100000000000001" customHeight="1" x14ac:dyDescent="0.25">
      <c r="A21" s="109">
        <v>2012</v>
      </c>
      <c r="B21" s="63">
        <v>3</v>
      </c>
      <c r="D21" s="149">
        <v>765</v>
      </c>
      <c r="E21" s="149" t="s">
        <v>305</v>
      </c>
      <c r="F21" s="132">
        <v>12709</v>
      </c>
      <c r="G21" s="129">
        <v>0</v>
      </c>
      <c r="H21" s="129">
        <v>853692</v>
      </c>
      <c r="I21" s="129">
        <f>SUM(G21:H21)</f>
        <v>853692</v>
      </c>
      <c r="J21" s="129">
        <v>658638</v>
      </c>
      <c r="K21" s="129">
        <v>805520</v>
      </c>
      <c r="L21" s="129">
        <v>0</v>
      </c>
      <c r="M21" s="129">
        <v>10521</v>
      </c>
      <c r="N21" s="129">
        <f>SUM(K21:M21)</f>
        <v>816041</v>
      </c>
      <c r="O21" s="129">
        <f>I21-N21</f>
        <v>37651</v>
      </c>
      <c r="P21" s="130">
        <f t="shared" si="3"/>
        <v>4.4103728276708694</v>
      </c>
      <c r="Q21" s="130">
        <f t="shared" si="4"/>
        <v>51.824533794948465</v>
      </c>
      <c r="R21" s="131">
        <f t="shared" si="5"/>
        <v>63.381855378078527</v>
      </c>
      <c r="AA21" s="69"/>
      <c r="AB21" s="69"/>
      <c r="AC21" s="69"/>
    </row>
    <row r="22" spans="1:29" s="69" customFormat="1" ht="17.100000000000001" customHeight="1" x14ac:dyDescent="0.25">
      <c r="A22" s="118"/>
      <c r="B22" s="66"/>
      <c r="C22" s="65"/>
      <c r="D22" s="62"/>
      <c r="E22" s="62" t="s">
        <v>748</v>
      </c>
      <c r="F22" s="132">
        <v>17532</v>
      </c>
      <c r="G22" s="132">
        <v>0</v>
      </c>
      <c r="H22" s="132">
        <v>1372295</v>
      </c>
      <c r="I22" s="129">
        <f>SUM(G22:H22)</f>
        <v>1372295</v>
      </c>
      <c r="J22" s="132">
        <v>885382</v>
      </c>
      <c r="K22" s="132">
        <v>1022932</v>
      </c>
      <c r="L22" s="132">
        <v>43467</v>
      </c>
      <c r="M22" s="132">
        <v>0</v>
      </c>
      <c r="N22" s="129">
        <f>SUM(K22:M22)</f>
        <v>1066399</v>
      </c>
      <c r="O22" s="132">
        <f>I22-N22</f>
        <v>305896</v>
      </c>
      <c r="P22" s="133">
        <f t="shared" si="3"/>
        <v>22.290833967915059</v>
      </c>
      <c r="Q22" s="133">
        <f t="shared" si="4"/>
        <v>50.500912616929043</v>
      </c>
      <c r="R22" s="134">
        <f t="shared" si="5"/>
        <v>58.346566278804474</v>
      </c>
      <c r="Y22" s="120"/>
    </row>
    <row r="23" spans="1:29" ht="17.100000000000001" customHeight="1" x14ac:dyDescent="0.25">
      <c r="B23" s="66"/>
      <c r="C23" s="65"/>
      <c r="D23" s="62"/>
      <c r="E23" s="62" t="s">
        <v>46</v>
      </c>
      <c r="F23" s="132">
        <v>7106</v>
      </c>
      <c r="G23" s="132">
        <v>0</v>
      </c>
      <c r="H23" s="132">
        <v>548340</v>
      </c>
      <c r="I23" s="129">
        <f>SUM(G23:H23)</f>
        <v>548340</v>
      </c>
      <c r="J23" s="132">
        <v>356529</v>
      </c>
      <c r="K23" s="132">
        <v>433492</v>
      </c>
      <c r="L23" s="132">
        <v>0</v>
      </c>
      <c r="M23" s="132">
        <v>0</v>
      </c>
      <c r="N23" s="129">
        <f>SUM(K23:M23)</f>
        <v>433492</v>
      </c>
      <c r="O23" s="132">
        <f>I23-N23</f>
        <v>114848</v>
      </c>
      <c r="P23" s="133">
        <f t="shared" si="3"/>
        <v>20.944669365721996</v>
      </c>
      <c r="Q23" s="133">
        <f t="shared" si="4"/>
        <v>50.17295243456234</v>
      </c>
      <c r="R23" s="134">
        <f t="shared" si="5"/>
        <v>61.003658879819874</v>
      </c>
      <c r="AA23" s="69"/>
      <c r="AB23" s="69"/>
      <c r="AC23" s="69"/>
    </row>
    <row r="24" spans="1:29" s="135" customFormat="1" ht="17.100000000000001" customHeight="1" x14ac:dyDescent="0.25">
      <c r="A24" s="109"/>
      <c r="B24" s="66"/>
      <c r="C24" s="65"/>
      <c r="D24" s="62"/>
      <c r="E24" s="62" t="s">
        <v>749</v>
      </c>
      <c r="F24" s="129">
        <v>17206</v>
      </c>
      <c r="G24" s="129">
        <v>0</v>
      </c>
      <c r="H24" s="129">
        <v>943744</v>
      </c>
      <c r="I24" s="129">
        <f>SUM(G24:H24)</f>
        <v>943744</v>
      </c>
      <c r="J24" s="129">
        <v>733369</v>
      </c>
      <c r="K24" s="129">
        <v>833783</v>
      </c>
      <c r="L24" s="129">
        <v>0</v>
      </c>
      <c r="M24" s="129">
        <v>0</v>
      </c>
      <c r="N24" s="129">
        <f>SUM(K24:M24)</f>
        <v>833783</v>
      </c>
      <c r="O24" s="129">
        <f>I24-N24</f>
        <v>109961</v>
      </c>
      <c r="P24" s="130">
        <f t="shared" si="3"/>
        <v>11.651570764953208</v>
      </c>
      <c r="Q24" s="130">
        <f t="shared" si="4"/>
        <v>42.622864117168433</v>
      </c>
      <c r="R24" s="131">
        <f t="shared" si="5"/>
        <v>48.458851563408111</v>
      </c>
      <c r="Y24" s="136"/>
      <c r="AA24" s="137"/>
      <c r="AB24" s="137"/>
      <c r="AC24" s="137"/>
    </row>
    <row r="25" spans="1:29" ht="17.100000000000001" customHeight="1" x14ac:dyDescent="0.25">
      <c r="B25" s="66"/>
      <c r="C25" s="65"/>
      <c r="D25" s="62"/>
      <c r="E25" s="62" t="s">
        <v>750</v>
      </c>
      <c r="F25" s="153">
        <v>73658</v>
      </c>
      <c r="G25" s="132">
        <v>0</v>
      </c>
      <c r="H25" s="132">
        <v>5297189</v>
      </c>
      <c r="I25" s="132">
        <f>SUM(G25,H25)</f>
        <v>5297189</v>
      </c>
      <c r="J25" s="132">
        <v>2851268</v>
      </c>
      <c r="K25" s="132">
        <v>3638093</v>
      </c>
      <c r="L25" s="132">
        <v>133041</v>
      </c>
      <c r="M25" s="132">
        <v>14255</v>
      </c>
      <c r="N25" s="132">
        <f>SUM(K25:M25)</f>
        <v>3785389</v>
      </c>
      <c r="O25" s="132">
        <f>I25-N25</f>
        <v>1511800</v>
      </c>
      <c r="P25" s="133">
        <f t="shared" si="3"/>
        <v>28.539665094071591</v>
      </c>
      <c r="Q25" s="133">
        <f t="shared" si="4"/>
        <v>38.709549539764858</v>
      </c>
      <c r="R25" s="134">
        <f t="shared" si="5"/>
        <v>49.391688614950176</v>
      </c>
      <c r="AA25" s="69"/>
      <c r="AB25" s="69"/>
      <c r="AC25" s="69"/>
    </row>
    <row r="26" spans="1:29" ht="17.100000000000001" customHeight="1" x14ac:dyDescent="0.25">
      <c r="B26" s="60"/>
      <c r="C26" s="143" t="s">
        <v>439</v>
      </c>
      <c r="D26" s="144"/>
      <c r="E26" s="145" t="s">
        <v>535</v>
      </c>
      <c r="F26" s="146">
        <f>SUM(F21:F25)</f>
        <v>128211</v>
      </c>
      <c r="G26" s="146">
        <f t="shared" ref="G26:O26" si="8">SUM(G21:G25)</f>
        <v>0</v>
      </c>
      <c r="H26" s="146">
        <f t="shared" si="8"/>
        <v>9015260</v>
      </c>
      <c r="I26" s="146">
        <f t="shared" si="8"/>
        <v>9015260</v>
      </c>
      <c r="J26" s="146">
        <f t="shared" si="8"/>
        <v>5485186</v>
      </c>
      <c r="K26" s="146">
        <f t="shared" si="8"/>
        <v>6733820</v>
      </c>
      <c r="L26" s="146">
        <f t="shared" si="8"/>
        <v>176508</v>
      </c>
      <c r="M26" s="146">
        <f t="shared" si="8"/>
        <v>24776</v>
      </c>
      <c r="N26" s="146">
        <f t="shared" si="8"/>
        <v>6935104</v>
      </c>
      <c r="O26" s="146">
        <f t="shared" si="8"/>
        <v>2080156</v>
      </c>
      <c r="P26" s="154">
        <f t="shared" si="3"/>
        <v>23.073721667483799</v>
      </c>
      <c r="Q26" s="154">
        <f t="shared" si="4"/>
        <v>42.782491361895623</v>
      </c>
      <c r="R26" s="155">
        <f t="shared" si="5"/>
        <v>52.521390520314171</v>
      </c>
      <c r="AA26" s="69"/>
      <c r="AB26" s="69"/>
      <c r="AC26" s="69"/>
    </row>
    <row r="27" spans="1:29" s="135" customFormat="1" ht="17.100000000000001" customHeight="1" x14ac:dyDescent="0.25">
      <c r="A27" s="109">
        <v>2012</v>
      </c>
      <c r="B27" s="63">
        <v>4</v>
      </c>
      <c r="C27" s="13"/>
      <c r="D27" s="149">
        <v>718</v>
      </c>
      <c r="E27" s="149" t="s">
        <v>140</v>
      </c>
      <c r="F27" s="156">
        <v>1568</v>
      </c>
      <c r="G27" s="157">
        <v>0</v>
      </c>
      <c r="H27" s="157">
        <v>224311</v>
      </c>
      <c r="I27" s="157">
        <f>SUM(G27,H27)</f>
        <v>224311</v>
      </c>
      <c r="J27" s="157">
        <v>119876</v>
      </c>
      <c r="K27" s="157">
        <v>189867</v>
      </c>
      <c r="L27" s="157">
        <v>16493</v>
      </c>
      <c r="M27" s="157">
        <v>0</v>
      </c>
      <c r="N27" s="157">
        <f>SUM(K27:M27)</f>
        <v>206360</v>
      </c>
      <c r="O27" s="157">
        <f>I27-N27</f>
        <v>17951</v>
      </c>
      <c r="P27" s="158">
        <f t="shared" si="3"/>
        <v>8.0027283548287862</v>
      </c>
      <c r="Q27" s="158">
        <f t="shared" si="4"/>
        <v>76.451530612244895</v>
      </c>
      <c r="R27" s="159">
        <f t="shared" si="5"/>
        <v>121.08864795918367</v>
      </c>
      <c r="Y27" s="136"/>
      <c r="AA27" s="137"/>
      <c r="AB27" s="137"/>
      <c r="AC27" s="137"/>
    </row>
    <row r="28" spans="1:29" ht="17.100000000000001" customHeight="1" x14ac:dyDescent="0.25">
      <c r="B28" s="66"/>
      <c r="C28" s="65"/>
      <c r="D28" s="62"/>
      <c r="E28" s="62" t="s">
        <v>56</v>
      </c>
      <c r="F28" s="160">
        <v>22992</v>
      </c>
      <c r="G28" s="132">
        <v>0</v>
      </c>
      <c r="H28" s="132">
        <v>1927352</v>
      </c>
      <c r="I28" s="132">
        <f>SUM(G28,H28)</f>
        <v>1927352</v>
      </c>
      <c r="J28" s="132">
        <v>1189309</v>
      </c>
      <c r="K28" s="132">
        <v>1667302</v>
      </c>
      <c r="L28" s="132">
        <v>17600</v>
      </c>
      <c r="M28" s="132">
        <v>6505</v>
      </c>
      <c r="N28" s="132">
        <f>SUM(K28:M28)</f>
        <v>1691407</v>
      </c>
      <c r="O28" s="132">
        <f>I28-N28</f>
        <v>235945</v>
      </c>
      <c r="P28" s="133">
        <f t="shared" si="3"/>
        <v>12.241925709470818</v>
      </c>
      <c r="Q28" s="133">
        <f t="shared" si="4"/>
        <v>51.727078983994431</v>
      </c>
      <c r="R28" s="134">
        <f t="shared" si="5"/>
        <v>72.516614474599862</v>
      </c>
      <c r="AA28" s="69"/>
      <c r="AB28" s="69"/>
      <c r="AC28" s="69"/>
    </row>
    <row r="29" spans="1:29" s="135" customFormat="1" ht="17.100000000000001" customHeight="1" x14ac:dyDescent="0.25">
      <c r="A29" s="109"/>
      <c r="B29" s="66"/>
      <c r="C29" s="65"/>
      <c r="D29" s="62"/>
      <c r="E29" s="62" t="s">
        <v>52</v>
      </c>
      <c r="F29" s="160">
        <v>6619</v>
      </c>
      <c r="G29" s="132">
        <v>0</v>
      </c>
      <c r="H29" s="132">
        <v>770532</v>
      </c>
      <c r="I29" s="132">
        <f>SUM(G29,H29)</f>
        <v>770532</v>
      </c>
      <c r="J29" s="132">
        <v>332975</v>
      </c>
      <c r="K29" s="132">
        <v>564344</v>
      </c>
      <c r="L29" s="132">
        <v>106198</v>
      </c>
      <c r="M29" s="132">
        <v>535</v>
      </c>
      <c r="N29" s="132">
        <f>SUM(K29:M29)</f>
        <v>671077</v>
      </c>
      <c r="O29" s="132">
        <f>I29-N29</f>
        <v>99455</v>
      </c>
      <c r="P29" s="133">
        <f t="shared" si="3"/>
        <v>12.90731598428099</v>
      </c>
      <c r="Q29" s="133">
        <f t="shared" si="4"/>
        <v>50.305937452787433</v>
      </c>
      <c r="R29" s="134">
        <f t="shared" si="5"/>
        <v>85.26121770660221</v>
      </c>
      <c r="Y29" s="136"/>
      <c r="AA29" s="137"/>
      <c r="AB29" s="137"/>
      <c r="AC29" s="137"/>
    </row>
    <row r="30" spans="1:29" s="135" customFormat="1" ht="17.100000000000001" customHeight="1" x14ac:dyDescent="0.25">
      <c r="A30" s="109"/>
      <c r="B30" s="66"/>
      <c r="C30" s="143" t="s">
        <v>440</v>
      </c>
      <c r="D30" s="161"/>
      <c r="E30" s="162" t="s">
        <v>535</v>
      </c>
      <c r="F30" s="163">
        <f>SUM(F27:F29)</f>
        <v>31179</v>
      </c>
      <c r="G30" s="163">
        <f t="shared" ref="G30:O30" si="9">SUM(G27:G29)</f>
        <v>0</v>
      </c>
      <c r="H30" s="163">
        <f t="shared" si="9"/>
        <v>2922195</v>
      </c>
      <c r="I30" s="163">
        <f t="shared" si="9"/>
        <v>2922195</v>
      </c>
      <c r="J30" s="163">
        <f t="shared" si="9"/>
        <v>1642160</v>
      </c>
      <c r="K30" s="163">
        <f t="shared" si="9"/>
        <v>2421513</v>
      </c>
      <c r="L30" s="163">
        <f t="shared" si="9"/>
        <v>140291</v>
      </c>
      <c r="M30" s="163">
        <f t="shared" si="9"/>
        <v>7040</v>
      </c>
      <c r="N30" s="163">
        <f t="shared" si="9"/>
        <v>2568844</v>
      </c>
      <c r="O30" s="163">
        <f t="shared" si="9"/>
        <v>353351</v>
      </c>
      <c r="P30" s="154">
        <f t="shared" si="3"/>
        <v>12.091971959434602</v>
      </c>
      <c r="Q30" s="154">
        <f t="shared" si="4"/>
        <v>52.668783476057605</v>
      </c>
      <c r="R30" s="155">
        <f t="shared" si="5"/>
        <v>77.664870585971329</v>
      </c>
      <c r="Y30" s="136"/>
      <c r="AA30" s="137"/>
      <c r="AB30" s="137"/>
      <c r="AC30" s="137"/>
    </row>
    <row r="31" spans="1:29" ht="17.100000000000001" customHeight="1" x14ac:dyDescent="0.25">
      <c r="A31" s="109">
        <v>2012</v>
      </c>
      <c r="B31" s="63">
        <v>5</v>
      </c>
      <c r="D31" s="149">
        <v>6562</v>
      </c>
      <c r="E31" s="149" t="s">
        <v>309</v>
      </c>
      <c r="F31" s="157">
        <v>212278</v>
      </c>
      <c r="G31" s="157">
        <v>391670</v>
      </c>
      <c r="H31" s="157">
        <v>16311488</v>
      </c>
      <c r="I31" s="157">
        <f>SUM(G31,H31)</f>
        <v>16703158</v>
      </c>
      <c r="J31" s="157">
        <v>10043599</v>
      </c>
      <c r="K31" s="157">
        <v>14219101</v>
      </c>
      <c r="L31" s="157">
        <v>1588087</v>
      </c>
      <c r="M31" s="157">
        <v>0</v>
      </c>
      <c r="N31" s="157">
        <f>SUM(K31:M31)</f>
        <v>15807188</v>
      </c>
      <c r="O31" s="157">
        <f>I31-N31</f>
        <v>895970</v>
      </c>
      <c r="P31" s="158">
        <f t="shared" si="3"/>
        <v>5.3640754640529655</v>
      </c>
      <c r="Q31" s="158">
        <f t="shared" si="4"/>
        <v>47.313423906386909</v>
      </c>
      <c r="R31" s="159">
        <f t="shared" si="5"/>
        <v>66.983394416755388</v>
      </c>
      <c r="AA31" s="69"/>
      <c r="AB31" s="69"/>
      <c r="AC31" s="69"/>
    </row>
    <row r="32" spans="1:29" ht="17.100000000000001" customHeight="1" x14ac:dyDescent="0.25">
      <c r="B32" s="60"/>
      <c r="C32" s="143" t="s">
        <v>442</v>
      </c>
      <c r="D32" s="144"/>
      <c r="E32" s="145" t="s">
        <v>535</v>
      </c>
      <c r="F32" s="146">
        <f>SUM(F31)</f>
        <v>212278</v>
      </c>
      <c r="G32" s="146">
        <f t="shared" ref="G32:O32" si="10">SUM(G31)</f>
        <v>391670</v>
      </c>
      <c r="H32" s="146">
        <f t="shared" si="10"/>
        <v>16311488</v>
      </c>
      <c r="I32" s="146">
        <f t="shared" si="10"/>
        <v>16703158</v>
      </c>
      <c r="J32" s="146">
        <f t="shared" si="10"/>
        <v>10043599</v>
      </c>
      <c r="K32" s="146">
        <f t="shared" si="10"/>
        <v>14219101</v>
      </c>
      <c r="L32" s="146">
        <f t="shared" si="10"/>
        <v>1588087</v>
      </c>
      <c r="M32" s="146">
        <f t="shared" si="10"/>
        <v>0</v>
      </c>
      <c r="N32" s="146">
        <f t="shared" si="10"/>
        <v>15807188</v>
      </c>
      <c r="O32" s="146">
        <f t="shared" si="10"/>
        <v>895970</v>
      </c>
      <c r="P32" s="147">
        <f t="shared" si="3"/>
        <v>5.3640754640529655</v>
      </c>
      <c r="Q32" s="147">
        <f t="shared" si="4"/>
        <v>47.313423906386909</v>
      </c>
      <c r="R32" s="148">
        <f t="shared" si="5"/>
        <v>66.983394416755388</v>
      </c>
      <c r="S32" s="348">
        <f>+G32/I32</f>
        <v>2.3448859191776788E-2</v>
      </c>
      <c r="AA32" s="69"/>
      <c r="AB32" s="69"/>
      <c r="AC32" s="69"/>
    </row>
    <row r="33" spans="1:29" s="135" customFormat="1" ht="17.100000000000001" customHeight="1" x14ac:dyDescent="0.25">
      <c r="A33" s="109">
        <v>2012</v>
      </c>
      <c r="B33" s="66">
        <f>1+B31</f>
        <v>6</v>
      </c>
      <c r="C33" s="1752"/>
      <c r="D33" s="62">
        <v>9503</v>
      </c>
      <c r="E33" s="62" t="s">
        <v>136</v>
      </c>
      <c r="F33" s="132">
        <v>17849</v>
      </c>
      <c r="G33" s="132">
        <v>0</v>
      </c>
      <c r="H33" s="132">
        <v>1258332</v>
      </c>
      <c r="I33" s="132">
        <f>SUM(G33:H33)</f>
        <v>1258332</v>
      </c>
      <c r="J33" s="132">
        <v>773685</v>
      </c>
      <c r="K33" s="160">
        <v>1170857</v>
      </c>
      <c r="L33" s="132">
        <v>29492</v>
      </c>
      <c r="M33" s="132">
        <v>0</v>
      </c>
      <c r="N33" s="132">
        <f>SUM(K33:M33)</f>
        <v>1200349</v>
      </c>
      <c r="O33" s="132">
        <f>I33-N33</f>
        <v>57983</v>
      </c>
      <c r="P33" s="133">
        <f t="shared" si="3"/>
        <v>4.6079254123712978</v>
      </c>
      <c r="Q33" s="133">
        <f t="shared" si="4"/>
        <v>43.346125833380022</v>
      </c>
      <c r="R33" s="134">
        <f t="shared" si="5"/>
        <v>65.597904644517897</v>
      </c>
      <c r="Y33" s="136"/>
      <c r="AA33" s="137"/>
      <c r="AB33" s="137"/>
      <c r="AC33" s="137"/>
    </row>
    <row r="34" spans="1:29" ht="17.100000000000001" customHeight="1" x14ac:dyDescent="0.25">
      <c r="B34" s="66"/>
      <c r="C34" s="1752"/>
      <c r="D34" s="62"/>
      <c r="E34" s="62" t="s">
        <v>58</v>
      </c>
      <c r="F34" s="132">
        <v>6449</v>
      </c>
      <c r="G34" s="132">
        <v>0</v>
      </c>
      <c r="H34" s="132">
        <v>520104</v>
      </c>
      <c r="I34" s="132">
        <f>SUM(G34:H34)</f>
        <v>520104</v>
      </c>
      <c r="J34" s="132">
        <v>305137</v>
      </c>
      <c r="K34" s="132">
        <v>480833</v>
      </c>
      <c r="L34" s="132">
        <v>0</v>
      </c>
      <c r="M34" s="132">
        <v>0</v>
      </c>
      <c r="N34" s="132">
        <f>SUM(K34:M34)</f>
        <v>480833</v>
      </c>
      <c r="O34" s="132">
        <f>I34-N34</f>
        <v>39271</v>
      </c>
      <c r="P34" s="133">
        <f t="shared" si="3"/>
        <v>7.5506052635626721</v>
      </c>
      <c r="Q34" s="133">
        <f t="shared" si="4"/>
        <v>47.315397736083114</v>
      </c>
      <c r="R34" s="134">
        <f t="shared" si="5"/>
        <v>74.559311521166066</v>
      </c>
      <c r="AA34" s="69"/>
      <c r="AB34" s="69"/>
      <c r="AC34" s="69"/>
    </row>
    <row r="35" spans="1:29" ht="17.100000000000001" customHeight="1" x14ac:dyDescent="0.25">
      <c r="B35" s="66"/>
      <c r="C35" s="164" t="s">
        <v>443</v>
      </c>
      <c r="D35" s="62"/>
      <c r="E35" s="162" t="s">
        <v>535</v>
      </c>
      <c r="F35" s="152">
        <f>SUM(F33:F34)</f>
        <v>24298</v>
      </c>
      <c r="G35" s="152">
        <f t="shared" ref="G35:O35" si="11">SUM(G33:G34)</f>
        <v>0</v>
      </c>
      <c r="H35" s="152">
        <f t="shared" si="11"/>
        <v>1778436</v>
      </c>
      <c r="I35" s="152">
        <f t="shared" si="11"/>
        <v>1778436</v>
      </c>
      <c r="J35" s="152">
        <f t="shared" si="11"/>
        <v>1078822</v>
      </c>
      <c r="K35" s="152">
        <f t="shared" si="11"/>
        <v>1651690</v>
      </c>
      <c r="L35" s="152">
        <f t="shared" si="11"/>
        <v>29492</v>
      </c>
      <c r="M35" s="152">
        <f t="shared" si="11"/>
        <v>0</v>
      </c>
      <c r="N35" s="152">
        <f t="shared" si="11"/>
        <v>1681182</v>
      </c>
      <c r="O35" s="152">
        <f t="shared" si="11"/>
        <v>97254</v>
      </c>
      <c r="P35" s="154">
        <f t="shared" si="3"/>
        <v>5.4685127831420415</v>
      </c>
      <c r="Q35" s="154">
        <f t="shared" si="4"/>
        <v>44.399621368013825</v>
      </c>
      <c r="R35" s="155">
        <f t="shared" si="5"/>
        <v>67.976376656514944</v>
      </c>
      <c r="AA35" s="69"/>
      <c r="AB35" s="69"/>
      <c r="AC35" s="69"/>
    </row>
    <row r="36" spans="1:29" s="135" customFormat="1" ht="17.100000000000001" customHeight="1" x14ac:dyDescent="0.25">
      <c r="A36" s="109">
        <v>2012</v>
      </c>
      <c r="B36" s="63">
        <v>7</v>
      </c>
      <c r="C36" s="13"/>
      <c r="D36" s="149">
        <v>3143</v>
      </c>
      <c r="E36" s="149" t="s">
        <v>427</v>
      </c>
      <c r="F36" s="157">
        <v>38211</v>
      </c>
      <c r="G36" s="157">
        <v>0</v>
      </c>
      <c r="H36" s="157">
        <v>2739936</v>
      </c>
      <c r="I36" s="157">
        <f>SUM(G36,H36)</f>
        <v>2739936</v>
      </c>
      <c r="J36" s="157">
        <v>1905099</v>
      </c>
      <c r="K36" s="157">
        <v>2392891</v>
      </c>
      <c r="L36" s="157">
        <v>8880</v>
      </c>
      <c r="M36" s="157">
        <v>0</v>
      </c>
      <c r="N36" s="157">
        <f>SUM(K36:M36)</f>
        <v>2401771</v>
      </c>
      <c r="O36" s="157">
        <f>I36-N36</f>
        <v>338165</v>
      </c>
      <c r="P36" s="158">
        <f t="shared" si="3"/>
        <v>12.342076603249128</v>
      </c>
      <c r="Q36" s="158">
        <f t="shared" si="4"/>
        <v>49.8573447436602</v>
      </c>
      <c r="R36" s="159">
        <f t="shared" si="5"/>
        <v>62.623092826672945</v>
      </c>
      <c r="Y36" s="136"/>
      <c r="AA36" s="137"/>
      <c r="AB36" s="137"/>
      <c r="AC36" s="137"/>
    </row>
    <row r="37" spans="1:29" s="135" customFormat="1" ht="17.100000000000001" customHeight="1" thickBot="1" x14ac:dyDescent="0.3">
      <c r="A37" s="109"/>
      <c r="B37" s="165"/>
      <c r="C37" s="143" t="s">
        <v>265</v>
      </c>
      <c r="D37" s="166"/>
      <c r="E37" s="167" t="s">
        <v>535</v>
      </c>
      <c r="F37" s="168">
        <f>SUM(F36)</f>
        <v>38211</v>
      </c>
      <c r="G37" s="168">
        <f t="shared" ref="G37:O37" si="12">SUM(G36)</f>
        <v>0</v>
      </c>
      <c r="H37" s="168">
        <f t="shared" si="12"/>
        <v>2739936</v>
      </c>
      <c r="I37" s="168">
        <f t="shared" si="12"/>
        <v>2739936</v>
      </c>
      <c r="J37" s="168">
        <f t="shared" si="12"/>
        <v>1905099</v>
      </c>
      <c r="K37" s="168">
        <f t="shared" si="12"/>
        <v>2392891</v>
      </c>
      <c r="L37" s="168">
        <f t="shared" si="12"/>
        <v>8880</v>
      </c>
      <c r="M37" s="168">
        <f t="shared" si="12"/>
        <v>0</v>
      </c>
      <c r="N37" s="168">
        <f t="shared" si="12"/>
        <v>2401771</v>
      </c>
      <c r="O37" s="168">
        <f t="shared" si="12"/>
        <v>338165</v>
      </c>
      <c r="P37" s="169">
        <f t="shared" si="3"/>
        <v>12.342076603249128</v>
      </c>
      <c r="Q37" s="169">
        <f t="shared" si="4"/>
        <v>49.8573447436602</v>
      </c>
      <c r="R37" s="170">
        <f t="shared" si="5"/>
        <v>62.623092826672945</v>
      </c>
      <c r="Y37" s="136"/>
      <c r="AA37" s="137"/>
      <c r="AB37" s="137"/>
      <c r="AC37" s="137"/>
    </row>
    <row r="38" spans="1:29" ht="17.100000000000001" customHeight="1" x14ac:dyDescent="0.25">
      <c r="A38" s="109">
        <v>2012</v>
      </c>
      <c r="B38" s="123">
        <v>8</v>
      </c>
      <c r="D38" s="124">
        <v>504</v>
      </c>
      <c r="E38" s="124" t="s">
        <v>551</v>
      </c>
      <c r="F38" s="171">
        <v>9335</v>
      </c>
      <c r="G38" s="125">
        <v>0</v>
      </c>
      <c r="H38" s="125">
        <v>615736</v>
      </c>
      <c r="I38" s="125">
        <f t="shared" ref="I38:I43" si="13">SUM(G38,H38)</f>
        <v>615736</v>
      </c>
      <c r="J38" s="125">
        <v>463240</v>
      </c>
      <c r="K38" s="125">
        <v>518021</v>
      </c>
      <c r="L38" s="125">
        <v>0</v>
      </c>
      <c r="M38" s="125">
        <v>4106</v>
      </c>
      <c r="N38" s="125">
        <f t="shared" ref="N38:N44" si="14">SUM(K38:M38)</f>
        <v>522127</v>
      </c>
      <c r="O38" s="125">
        <f t="shared" ref="O38:O44" si="15">I38-N38</f>
        <v>93609</v>
      </c>
      <c r="P38" s="172">
        <f t="shared" si="3"/>
        <v>15.202781711642652</v>
      </c>
      <c r="Q38" s="172">
        <f t="shared" si="4"/>
        <v>49.623995715050881</v>
      </c>
      <c r="R38" s="173">
        <f t="shared" si="5"/>
        <v>55.49234065345474</v>
      </c>
      <c r="AA38" s="69"/>
      <c r="AB38" s="69"/>
      <c r="AC38" s="69"/>
    </row>
    <row r="39" spans="1:29" ht="17.100000000000001" customHeight="1" x14ac:dyDescent="0.25">
      <c r="B39" s="66"/>
      <c r="C39" s="65"/>
      <c r="D39" s="62"/>
      <c r="E39" s="62" t="s">
        <v>550</v>
      </c>
      <c r="F39" s="160">
        <v>12406</v>
      </c>
      <c r="G39" s="132">
        <v>0</v>
      </c>
      <c r="H39" s="132">
        <v>849082</v>
      </c>
      <c r="I39" s="132">
        <f t="shared" si="13"/>
        <v>849082</v>
      </c>
      <c r="J39" s="132">
        <v>521505</v>
      </c>
      <c r="K39" s="132">
        <v>662138</v>
      </c>
      <c r="L39" s="132">
        <v>0</v>
      </c>
      <c r="M39" s="132">
        <v>30629</v>
      </c>
      <c r="N39" s="132">
        <f t="shared" si="14"/>
        <v>692767</v>
      </c>
      <c r="O39" s="132">
        <f t="shared" si="15"/>
        <v>156315</v>
      </c>
      <c r="P39" s="133">
        <f t="shared" si="3"/>
        <v>18.40988267328715</v>
      </c>
      <c r="Q39" s="133">
        <f t="shared" si="4"/>
        <v>42.036514589714656</v>
      </c>
      <c r="R39" s="134">
        <f t="shared" si="5"/>
        <v>53.372400451394483</v>
      </c>
      <c r="AA39" s="69"/>
      <c r="AB39" s="69"/>
      <c r="AC39" s="69"/>
    </row>
    <row r="40" spans="1:29" ht="17.100000000000001" customHeight="1" x14ac:dyDescent="0.25">
      <c r="B40" s="66"/>
      <c r="C40" s="65"/>
      <c r="D40" s="62"/>
      <c r="E40" s="62" t="s">
        <v>549</v>
      </c>
      <c r="F40" s="160">
        <v>5255</v>
      </c>
      <c r="G40" s="132">
        <v>0</v>
      </c>
      <c r="H40" s="132">
        <v>378606</v>
      </c>
      <c r="I40" s="132">
        <f t="shared" si="13"/>
        <v>378606</v>
      </c>
      <c r="J40" s="132">
        <v>230734</v>
      </c>
      <c r="K40" s="132">
        <v>256240</v>
      </c>
      <c r="L40" s="132">
        <v>0</v>
      </c>
      <c r="M40" s="132">
        <v>8034</v>
      </c>
      <c r="N40" s="132">
        <f t="shared" si="14"/>
        <v>264274</v>
      </c>
      <c r="O40" s="132">
        <f t="shared" si="15"/>
        <v>114332</v>
      </c>
      <c r="P40" s="133">
        <f t="shared" si="3"/>
        <v>30.198147942716176</v>
      </c>
      <c r="Q40" s="133">
        <f t="shared" si="4"/>
        <v>43.907516650808752</v>
      </c>
      <c r="R40" s="134">
        <f t="shared" si="5"/>
        <v>48.761179828734541</v>
      </c>
      <c r="AA40" s="69"/>
      <c r="AB40" s="69"/>
      <c r="AC40" s="69"/>
    </row>
    <row r="41" spans="1:29" s="135" customFormat="1" ht="17.100000000000001" customHeight="1" x14ac:dyDescent="0.25">
      <c r="A41" s="109"/>
      <c r="B41" s="66"/>
      <c r="C41" s="65"/>
      <c r="D41" s="62"/>
      <c r="E41" s="62" t="s">
        <v>139</v>
      </c>
      <c r="F41" s="160">
        <v>8338</v>
      </c>
      <c r="G41" s="160">
        <f>SUM(G38:G40)</f>
        <v>0</v>
      </c>
      <c r="H41" s="160">
        <v>359533</v>
      </c>
      <c r="I41" s="132">
        <f t="shared" si="13"/>
        <v>359533</v>
      </c>
      <c r="J41" s="160">
        <v>237211</v>
      </c>
      <c r="K41" s="160">
        <v>276746</v>
      </c>
      <c r="L41" s="160">
        <v>28588</v>
      </c>
      <c r="M41" s="160">
        <v>1652</v>
      </c>
      <c r="N41" s="132">
        <f t="shared" si="14"/>
        <v>306986</v>
      </c>
      <c r="O41" s="132">
        <f t="shared" si="15"/>
        <v>52547</v>
      </c>
      <c r="P41" s="133">
        <f t="shared" si="3"/>
        <v>14.615348243415765</v>
      </c>
      <c r="Q41" s="133">
        <f t="shared" si="4"/>
        <v>28.449388342528184</v>
      </c>
      <c r="R41" s="134">
        <f t="shared" si="5"/>
        <v>33.190933077476615</v>
      </c>
      <c r="Y41" s="136"/>
      <c r="AA41" s="137"/>
      <c r="AB41" s="137"/>
      <c r="AC41" s="137"/>
    </row>
    <row r="42" spans="1:29" s="135" customFormat="1" ht="17.100000000000001" customHeight="1" x14ac:dyDescent="0.25">
      <c r="A42" s="109"/>
      <c r="B42" s="66"/>
      <c r="C42" s="65"/>
      <c r="D42" s="62"/>
      <c r="E42" s="62" t="s">
        <v>548</v>
      </c>
      <c r="F42" s="132">
        <v>19703</v>
      </c>
      <c r="G42" s="160">
        <v>0</v>
      </c>
      <c r="H42" s="160">
        <v>1366202</v>
      </c>
      <c r="I42" s="132">
        <f t="shared" si="13"/>
        <v>1366202</v>
      </c>
      <c r="J42" s="160">
        <v>766866</v>
      </c>
      <c r="K42" s="160">
        <v>961871</v>
      </c>
      <c r="L42" s="160">
        <v>7158</v>
      </c>
      <c r="M42" s="160">
        <v>21678</v>
      </c>
      <c r="N42" s="132">
        <f t="shared" si="14"/>
        <v>990707</v>
      </c>
      <c r="O42" s="132">
        <f t="shared" si="15"/>
        <v>375495</v>
      </c>
      <c r="P42" s="133">
        <f t="shared" si="3"/>
        <v>27.484588662584304</v>
      </c>
      <c r="Q42" s="133">
        <f t="shared" si="4"/>
        <v>38.921281023194439</v>
      </c>
      <c r="R42" s="134">
        <f t="shared" si="5"/>
        <v>48.818504796223927</v>
      </c>
      <c r="Y42" s="136"/>
      <c r="AA42" s="137"/>
      <c r="AB42" s="137"/>
      <c r="AC42" s="137"/>
    </row>
    <row r="43" spans="1:29" s="135" customFormat="1" ht="17.100000000000001" customHeight="1" x14ac:dyDescent="0.25">
      <c r="A43" s="109"/>
      <c r="B43" s="66"/>
      <c r="C43" s="65"/>
      <c r="D43" s="62"/>
      <c r="E43" s="62" t="s">
        <v>229</v>
      </c>
      <c r="F43" s="160">
        <v>7276</v>
      </c>
      <c r="G43" s="160">
        <v>0</v>
      </c>
      <c r="H43" s="160">
        <v>401687</v>
      </c>
      <c r="I43" s="132">
        <f t="shared" si="13"/>
        <v>401687</v>
      </c>
      <c r="J43" s="160">
        <v>288455</v>
      </c>
      <c r="K43" s="160">
        <v>314625</v>
      </c>
      <c r="L43" s="160">
        <v>0</v>
      </c>
      <c r="M43" s="160">
        <v>11507</v>
      </c>
      <c r="N43" s="132">
        <f t="shared" si="14"/>
        <v>326132</v>
      </c>
      <c r="O43" s="132">
        <f t="shared" si="15"/>
        <v>75555</v>
      </c>
      <c r="P43" s="133">
        <f t="shared" si="3"/>
        <v>18.809421265811441</v>
      </c>
      <c r="Q43" s="133">
        <f t="shared" si="4"/>
        <v>39.644722374931284</v>
      </c>
      <c r="R43" s="134">
        <f t="shared" si="5"/>
        <v>43.241478834524465</v>
      </c>
      <c r="Y43" s="136"/>
      <c r="AA43" s="137"/>
      <c r="AB43" s="137"/>
      <c r="AC43" s="137"/>
    </row>
    <row r="44" spans="1:29" s="135" customFormat="1" ht="17.100000000000001" customHeight="1" thickBot="1" x14ac:dyDescent="0.3">
      <c r="A44" s="109"/>
      <c r="B44" s="66"/>
      <c r="C44" s="65"/>
      <c r="D44" s="62"/>
      <c r="E44" s="62" t="s">
        <v>36</v>
      </c>
      <c r="F44" s="174">
        <v>11673</v>
      </c>
      <c r="G44" s="139">
        <v>0</v>
      </c>
      <c r="H44" s="139">
        <v>684448</v>
      </c>
      <c r="I44" s="139">
        <f>SUM(G44,H44)</f>
        <v>684448</v>
      </c>
      <c r="J44" s="139">
        <v>458395</v>
      </c>
      <c r="K44" s="139">
        <v>514450</v>
      </c>
      <c r="L44" s="139">
        <v>0</v>
      </c>
      <c r="M44" s="139">
        <v>190</v>
      </c>
      <c r="N44" s="139">
        <f t="shared" si="14"/>
        <v>514640</v>
      </c>
      <c r="O44" s="139">
        <f t="shared" si="15"/>
        <v>169808</v>
      </c>
      <c r="P44" s="150">
        <f t="shared" si="3"/>
        <v>24.809481509186966</v>
      </c>
      <c r="Q44" s="150">
        <f t="shared" si="4"/>
        <v>39.269682172534907</v>
      </c>
      <c r="R44" s="151">
        <f t="shared" si="5"/>
        <v>44.071789599931463</v>
      </c>
      <c r="Y44" s="136"/>
      <c r="AA44" s="137"/>
      <c r="AB44" s="137"/>
      <c r="AC44" s="137"/>
    </row>
    <row r="45" spans="1:29" s="135" customFormat="1" ht="17.100000000000001" customHeight="1" thickBot="1" x14ac:dyDescent="0.3">
      <c r="A45" s="109"/>
      <c r="B45" s="165"/>
      <c r="C45" s="175" t="s">
        <v>444</v>
      </c>
      <c r="D45" s="176"/>
      <c r="E45" s="167" t="s">
        <v>535</v>
      </c>
      <c r="F45" s="177">
        <f>SUM(F38:F44)</f>
        <v>73986</v>
      </c>
      <c r="G45" s="177">
        <f>SUM(G38:G43)</f>
        <v>0</v>
      </c>
      <c r="H45" s="177">
        <f>SUM(H38:H44)</f>
        <v>4655294</v>
      </c>
      <c r="I45" s="177">
        <f t="shared" ref="I45:N45" si="16">SUM(I38:I44)</f>
        <v>4655294</v>
      </c>
      <c r="J45" s="177">
        <f t="shared" si="16"/>
        <v>2966406</v>
      </c>
      <c r="K45" s="177">
        <f t="shared" si="16"/>
        <v>3504091</v>
      </c>
      <c r="L45" s="177">
        <f t="shared" si="16"/>
        <v>35746</v>
      </c>
      <c r="M45" s="177">
        <f t="shared" si="16"/>
        <v>77796</v>
      </c>
      <c r="N45" s="177">
        <f t="shared" si="16"/>
        <v>3617633</v>
      </c>
      <c r="O45" s="177">
        <f>SUM(O38:O44)</f>
        <v>1037661</v>
      </c>
      <c r="P45" s="169">
        <f t="shared" si="3"/>
        <v>22.289913376040268</v>
      </c>
      <c r="Q45" s="169">
        <f t="shared" si="4"/>
        <v>40.094152947855001</v>
      </c>
      <c r="R45" s="170">
        <f t="shared" si="5"/>
        <v>47.36154137269213</v>
      </c>
      <c r="Y45" s="136"/>
      <c r="AA45" s="137"/>
      <c r="AB45" s="137"/>
      <c r="AC45" s="137"/>
    </row>
    <row r="46" spans="1:29" s="135" customFormat="1" ht="17.100000000000001" customHeight="1" x14ac:dyDescent="0.25">
      <c r="A46" s="109">
        <v>2012</v>
      </c>
      <c r="B46" s="123">
        <v>9</v>
      </c>
      <c r="C46" s="13"/>
      <c r="D46" s="124">
        <v>953</v>
      </c>
      <c r="E46" s="178" t="s">
        <v>547</v>
      </c>
      <c r="F46" s="125">
        <v>40582</v>
      </c>
      <c r="G46" s="125">
        <v>0</v>
      </c>
      <c r="H46" s="125">
        <v>3229898</v>
      </c>
      <c r="I46" s="125">
        <f>SUM(G46,H46)</f>
        <v>3229898</v>
      </c>
      <c r="J46" s="125">
        <v>1833241</v>
      </c>
      <c r="K46" s="125">
        <v>2442642</v>
      </c>
      <c r="L46" s="125">
        <v>420092</v>
      </c>
      <c r="M46" s="125">
        <v>0</v>
      </c>
      <c r="N46" s="125">
        <f>SUM(K46:M46)</f>
        <v>2862734</v>
      </c>
      <c r="O46" s="125">
        <f>I46-N46</f>
        <v>367164</v>
      </c>
      <c r="P46" s="172">
        <f t="shared" si="3"/>
        <v>11.367665480457898</v>
      </c>
      <c r="Q46" s="172">
        <f t="shared" si="4"/>
        <v>45.173746981420337</v>
      </c>
      <c r="R46" s="173">
        <f t="shared" si="5"/>
        <v>60.190281405549257</v>
      </c>
      <c r="Y46" s="136"/>
      <c r="AA46" s="137"/>
      <c r="AB46" s="137"/>
      <c r="AC46" s="137"/>
    </row>
    <row r="47" spans="1:29" s="135" customFormat="1" ht="17.100000000000001" customHeight="1" x14ac:dyDescent="0.25">
      <c r="A47" s="109"/>
      <c r="B47" s="66"/>
      <c r="C47" s="65"/>
      <c r="D47" s="62"/>
      <c r="E47" s="179" t="s">
        <v>67</v>
      </c>
      <c r="F47" s="132">
        <v>24115</v>
      </c>
      <c r="G47" s="132">
        <v>0</v>
      </c>
      <c r="H47" s="132">
        <v>2646692</v>
      </c>
      <c r="I47" s="132">
        <f>SUM(G47,H47)</f>
        <v>2646692</v>
      </c>
      <c r="J47" s="132">
        <v>1059794</v>
      </c>
      <c r="K47" s="132">
        <v>1403773</v>
      </c>
      <c r="L47" s="132">
        <v>996386</v>
      </c>
      <c r="M47" s="132">
        <v>0</v>
      </c>
      <c r="N47" s="132">
        <f>SUM(K47:M47)</f>
        <v>2400159</v>
      </c>
      <c r="O47" s="132">
        <f>I47-N47</f>
        <v>246533</v>
      </c>
      <c r="P47" s="133">
        <f t="shared" si="3"/>
        <v>9.3147597075897011</v>
      </c>
      <c r="Q47" s="133">
        <f t="shared" si="4"/>
        <v>43.947501555048724</v>
      </c>
      <c r="R47" s="134">
        <f t="shared" si="5"/>
        <v>58.211611030478956</v>
      </c>
      <c r="Y47" s="136"/>
      <c r="AA47" s="137"/>
      <c r="AB47" s="137"/>
      <c r="AC47" s="137"/>
    </row>
    <row r="48" spans="1:29" s="135" customFormat="1" ht="17.100000000000001" customHeight="1" x14ac:dyDescent="0.25">
      <c r="A48" s="109"/>
      <c r="B48" s="66"/>
      <c r="C48" s="65"/>
      <c r="D48" s="62"/>
      <c r="E48" s="179" t="s">
        <v>238</v>
      </c>
      <c r="F48" s="132">
        <v>41721</v>
      </c>
      <c r="G48" s="132">
        <v>0</v>
      </c>
      <c r="H48" s="132">
        <v>3623473</v>
      </c>
      <c r="I48" s="132">
        <v>3623473</v>
      </c>
      <c r="J48" s="132">
        <v>1999303</v>
      </c>
      <c r="K48" s="132">
        <v>2881147</v>
      </c>
      <c r="L48" s="132">
        <v>180450</v>
      </c>
      <c r="M48" s="132">
        <v>17541</v>
      </c>
      <c r="N48" s="132">
        <v>3079138</v>
      </c>
      <c r="O48" s="132">
        <v>544335</v>
      </c>
      <c r="P48" s="133"/>
      <c r="Q48" s="133"/>
      <c r="R48" s="134"/>
      <c r="Y48" s="136"/>
      <c r="AA48" s="137"/>
      <c r="AB48" s="137"/>
      <c r="AC48" s="137"/>
    </row>
    <row r="49" spans="1:29" s="135" customFormat="1" ht="17.100000000000001" customHeight="1" x14ac:dyDescent="0.25">
      <c r="A49" s="109"/>
      <c r="B49" s="60"/>
      <c r="C49" s="143" t="s">
        <v>447</v>
      </c>
      <c r="D49" s="180"/>
      <c r="E49" s="145" t="s">
        <v>535</v>
      </c>
      <c r="F49" s="146">
        <f t="shared" ref="F49:O49" si="17">SUM(F46:F48)</f>
        <v>106418</v>
      </c>
      <c r="G49" s="146">
        <f t="shared" si="17"/>
        <v>0</v>
      </c>
      <c r="H49" s="146">
        <f t="shared" si="17"/>
        <v>9500063</v>
      </c>
      <c r="I49" s="146">
        <f t="shared" si="17"/>
        <v>9500063</v>
      </c>
      <c r="J49" s="146">
        <f t="shared" si="17"/>
        <v>4892338</v>
      </c>
      <c r="K49" s="146">
        <f t="shared" si="17"/>
        <v>6727562</v>
      </c>
      <c r="L49" s="146">
        <f t="shared" si="17"/>
        <v>1596928</v>
      </c>
      <c r="M49" s="146">
        <f t="shared" si="17"/>
        <v>17541</v>
      </c>
      <c r="N49" s="146">
        <f t="shared" si="17"/>
        <v>8342031</v>
      </c>
      <c r="O49" s="146">
        <f t="shared" si="17"/>
        <v>1158032</v>
      </c>
      <c r="P49" s="147">
        <f t="shared" si="3"/>
        <v>12.189729689161009</v>
      </c>
      <c r="Q49" s="147">
        <f t="shared" si="4"/>
        <v>45.972842940104115</v>
      </c>
      <c r="R49" s="148">
        <f t="shared" si="5"/>
        <v>63.218271345073205</v>
      </c>
      <c r="Y49" s="136"/>
      <c r="AA49" s="137"/>
      <c r="AB49" s="137"/>
      <c r="AC49" s="137"/>
    </row>
    <row r="50" spans="1:29" s="135" customFormat="1" ht="17.100000000000001" customHeight="1" x14ac:dyDescent="0.25">
      <c r="A50" s="109">
        <v>2012</v>
      </c>
      <c r="B50" s="63">
        <v>10</v>
      </c>
      <c r="C50" s="13"/>
      <c r="D50" s="149">
        <v>8209</v>
      </c>
      <c r="E50" s="149" t="s">
        <v>751</v>
      </c>
      <c r="F50" s="157">
        <v>404750</v>
      </c>
      <c r="G50" s="157">
        <v>4508128</v>
      </c>
      <c r="H50" s="157">
        <v>41402749</v>
      </c>
      <c r="I50" s="157">
        <f>SUM(G50,H50)</f>
        <v>45910877</v>
      </c>
      <c r="J50" s="157">
        <v>26159823</v>
      </c>
      <c r="K50" s="157">
        <v>39120111</v>
      </c>
      <c r="L50" s="157">
        <v>1649906</v>
      </c>
      <c r="M50" s="157">
        <v>22965</v>
      </c>
      <c r="N50" s="157">
        <f>SUM(K50:M50)</f>
        <v>40792982</v>
      </c>
      <c r="O50" s="157">
        <f>I50-N50</f>
        <v>5117895</v>
      </c>
      <c r="P50" s="158">
        <f t="shared" si="3"/>
        <v>11.147456407770211</v>
      </c>
      <c r="Q50" s="158">
        <f t="shared" si="4"/>
        <v>64.632051883878944</v>
      </c>
      <c r="R50" s="159">
        <f t="shared" si="5"/>
        <v>96.652528721432986</v>
      </c>
      <c r="S50" s="348"/>
      <c r="Y50" s="136"/>
      <c r="AA50" s="137"/>
      <c r="AB50" s="137"/>
      <c r="AC50" s="137"/>
    </row>
    <row r="51" spans="1:29" s="135" customFormat="1" ht="17.100000000000001" customHeight="1" x14ac:dyDescent="0.25">
      <c r="A51" s="109"/>
      <c r="B51" s="60"/>
      <c r="C51" s="143" t="s">
        <v>687</v>
      </c>
      <c r="D51" s="144"/>
      <c r="E51" s="145" t="s">
        <v>535</v>
      </c>
      <c r="F51" s="146">
        <f>SUM(F50)</f>
        <v>404750</v>
      </c>
      <c r="G51" s="146">
        <f t="shared" ref="G51:O51" si="18">SUM(G50)</f>
        <v>4508128</v>
      </c>
      <c r="H51" s="146">
        <f t="shared" si="18"/>
        <v>41402749</v>
      </c>
      <c r="I51" s="146">
        <f t="shared" si="18"/>
        <v>45910877</v>
      </c>
      <c r="J51" s="146">
        <f t="shared" si="18"/>
        <v>26159823</v>
      </c>
      <c r="K51" s="146">
        <f t="shared" si="18"/>
        <v>39120111</v>
      </c>
      <c r="L51" s="146">
        <f t="shared" si="18"/>
        <v>1649906</v>
      </c>
      <c r="M51" s="146">
        <f t="shared" si="18"/>
        <v>22965</v>
      </c>
      <c r="N51" s="146">
        <f t="shared" si="18"/>
        <v>40792982</v>
      </c>
      <c r="O51" s="146">
        <f t="shared" si="18"/>
        <v>5117895</v>
      </c>
      <c r="P51" s="147">
        <f t="shared" si="3"/>
        <v>11.147456407770211</v>
      </c>
      <c r="Q51" s="147">
        <f t="shared" si="4"/>
        <v>64.632051883878944</v>
      </c>
      <c r="R51" s="148">
        <f t="shared" si="5"/>
        <v>96.652528721432986</v>
      </c>
      <c r="S51" s="348">
        <f>+G51/I51</f>
        <v>9.8193027329885246E-2</v>
      </c>
      <c r="Y51" s="136"/>
      <c r="AA51" s="137"/>
      <c r="AB51" s="137"/>
      <c r="AC51" s="137"/>
    </row>
    <row r="52" spans="1:29" ht="17.100000000000001" customHeight="1" x14ac:dyDescent="0.25">
      <c r="A52" s="109">
        <v>2012</v>
      </c>
      <c r="B52" s="63">
        <v>11</v>
      </c>
      <c r="C52" s="1042"/>
      <c r="D52" s="149">
        <v>7926</v>
      </c>
      <c r="E52" s="181" t="s">
        <v>546</v>
      </c>
      <c r="F52" s="157">
        <v>33384</v>
      </c>
      <c r="G52" s="157">
        <v>2051236</v>
      </c>
      <c r="H52" s="157">
        <v>478351</v>
      </c>
      <c r="I52" s="157">
        <f>SUM(G52,H52)</f>
        <v>2529587</v>
      </c>
      <c r="J52" s="157">
        <v>1985714</v>
      </c>
      <c r="K52" s="157">
        <v>2359933</v>
      </c>
      <c r="L52" s="157">
        <v>0</v>
      </c>
      <c r="M52" s="157">
        <v>0</v>
      </c>
      <c r="N52" s="157">
        <f>SUM(K52:M52)</f>
        <v>2359933</v>
      </c>
      <c r="O52" s="157">
        <f>I52-N52</f>
        <v>169654</v>
      </c>
      <c r="P52" s="158">
        <f t="shared" si="3"/>
        <v>6.7067865228592645</v>
      </c>
      <c r="Q52" s="158">
        <f t="shared" si="4"/>
        <v>59.481008866522885</v>
      </c>
      <c r="R52" s="159">
        <f t="shared" si="5"/>
        <v>70.69054037862449</v>
      </c>
      <c r="S52" s="348"/>
      <c r="AA52" s="69"/>
      <c r="AB52" s="69"/>
      <c r="AC52" s="69"/>
    </row>
    <row r="53" spans="1:29" ht="17.100000000000001" customHeight="1" x14ac:dyDescent="0.25">
      <c r="B53" s="66"/>
      <c r="C53" s="1043"/>
      <c r="D53" s="62">
        <v>4485</v>
      </c>
      <c r="E53" s="179" t="s">
        <v>482</v>
      </c>
      <c r="F53" s="828">
        <v>27604</v>
      </c>
      <c r="G53" s="359">
        <v>0</v>
      </c>
      <c r="H53" s="359">
        <v>2457460</v>
      </c>
      <c r="I53" s="359">
        <v>2457460</v>
      </c>
      <c r="J53" s="359">
        <v>1610409</v>
      </c>
      <c r="K53" s="359">
        <v>2027651</v>
      </c>
      <c r="L53" s="359">
        <v>62826</v>
      </c>
      <c r="M53" s="359">
        <v>40255</v>
      </c>
      <c r="N53" s="359">
        <v>2130732</v>
      </c>
      <c r="O53" s="359">
        <v>326728</v>
      </c>
      <c r="P53" s="361">
        <v>13.295353739226682</v>
      </c>
      <c r="Q53" s="361">
        <v>58.339697145341255</v>
      </c>
      <c r="R53" s="362">
        <v>73.454970294160262</v>
      </c>
      <c r="S53" s="348"/>
      <c r="AA53" s="69"/>
      <c r="AB53" s="69"/>
      <c r="AC53" s="69"/>
    </row>
    <row r="54" spans="1:29" ht="17.100000000000001" customHeight="1" thickBot="1" x14ac:dyDescent="0.3">
      <c r="B54" s="60"/>
      <c r="C54" s="143" t="s">
        <v>266</v>
      </c>
      <c r="D54" s="180"/>
      <c r="E54" s="145" t="s">
        <v>535</v>
      </c>
      <c r="F54" s="146">
        <f>SUM(F52:F53)</f>
        <v>60988</v>
      </c>
      <c r="G54" s="146">
        <f t="shared" ref="G54:O54" si="19">SUM(G52:G53)</f>
        <v>2051236</v>
      </c>
      <c r="H54" s="146">
        <f t="shared" si="19"/>
        <v>2935811</v>
      </c>
      <c r="I54" s="146">
        <f t="shared" si="19"/>
        <v>4987047</v>
      </c>
      <c r="J54" s="146">
        <f t="shared" si="19"/>
        <v>3596123</v>
      </c>
      <c r="K54" s="146">
        <f t="shared" si="19"/>
        <v>4387584</v>
      </c>
      <c r="L54" s="146">
        <f t="shared" si="19"/>
        <v>62826</v>
      </c>
      <c r="M54" s="146">
        <f t="shared" si="19"/>
        <v>40255</v>
      </c>
      <c r="N54" s="146">
        <f t="shared" si="19"/>
        <v>4490665</v>
      </c>
      <c r="O54" s="146">
        <f t="shared" si="19"/>
        <v>496382</v>
      </c>
      <c r="P54" s="147">
        <f t="shared" si="3"/>
        <v>9.9534253436953772</v>
      </c>
      <c r="Q54" s="147">
        <f t="shared" si="4"/>
        <v>58.964435626680661</v>
      </c>
      <c r="R54" s="148">
        <f t="shared" si="5"/>
        <v>71.941759034564171</v>
      </c>
      <c r="S54" s="348">
        <f>+G54/I54</f>
        <v>0.41131274680186491</v>
      </c>
      <c r="AA54" s="69"/>
      <c r="AB54" s="69"/>
      <c r="AC54" s="69"/>
    </row>
    <row r="55" spans="1:29" ht="17.100000000000001" customHeight="1" x14ac:dyDescent="0.25">
      <c r="A55" s="109">
        <v>2012</v>
      </c>
      <c r="B55" s="66">
        <v>12</v>
      </c>
      <c r="D55" s="182">
        <v>6590</v>
      </c>
      <c r="E55" s="183" t="s">
        <v>201</v>
      </c>
      <c r="F55" s="125">
        <v>117429</v>
      </c>
      <c r="G55" s="125">
        <v>0</v>
      </c>
      <c r="H55" s="125">
        <v>10517791</v>
      </c>
      <c r="I55" s="125">
        <f>SUM(G55,H55)</f>
        <v>10517791</v>
      </c>
      <c r="J55" s="125">
        <v>5850567</v>
      </c>
      <c r="K55" s="125">
        <v>7936971</v>
      </c>
      <c r="L55" s="125">
        <v>933010</v>
      </c>
      <c r="M55" s="125">
        <v>81035</v>
      </c>
      <c r="N55" s="125">
        <f>SUM(K55:M55)</f>
        <v>8951016</v>
      </c>
      <c r="O55" s="125">
        <f>I55-N55</f>
        <v>1566775</v>
      </c>
      <c r="P55" s="172">
        <f>O55/I55*100</f>
        <v>14.896426445438971</v>
      </c>
      <c r="Q55" s="172">
        <f>J55/F55</f>
        <v>49.822164882609918</v>
      </c>
      <c r="R55" s="173">
        <f>K55/F55</f>
        <v>67.589530695143452</v>
      </c>
      <c r="AA55" s="69"/>
      <c r="AB55" s="69"/>
      <c r="AC55" s="69"/>
    </row>
    <row r="56" spans="1:29" ht="17.100000000000001" customHeight="1" x14ac:dyDescent="0.25">
      <c r="B56" s="66"/>
      <c r="C56" s="65"/>
      <c r="D56" s="161"/>
      <c r="E56" s="183" t="s">
        <v>108</v>
      </c>
      <c r="F56" s="132">
        <v>27978</v>
      </c>
      <c r="G56" s="132">
        <v>0</v>
      </c>
      <c r="H56" s="132">
        <v>2221139</v>
      </c>
      <c r="I56" s="132">
        <f>SUM(G56,H56)</f>
        <v>2221139</v>
      </c>
      <c r="J56" s="132">
        <v>1282344</v>
      </c>
      <c r="K56" s="132">
        <v>1718603</v>
      </c>
      <c r="L56" s="132">
        <v>42519</v>
      </c>
      <c r="M56" s="132">
        <v>0</v>
      </c>
      <c r="N56" s="132">
        <f>SUM(K56:M56)</f>
        <v>1761122</v>
      </c>
      <c r="O56" s="132">
        <f>I56-N56</f>
        <v>460017</v>
      </c>
      <c r="P56" s="133">
        <f>O56/I56*100</f>
        <v>20.71086050895509</v>
      </c>
      <c r="Q56" s="133">
        <f>J56/F56</f>
        <v>45.834012438344416</v>
      </c>
      <c r="R56" s="134">
        <f>K56/F56</f>
        <v>61.426942597755378</v>
      </c>
      <c r="AA56" s="69"/>
      <c r="AB56" s="69"/>
      <c r="AC56" s="69"/>
    </row>
    <row r="57" spans="1:29" ht="17.100000000000001" customHeight="1" x14ac:dyDescent="0.25">
      <c r="B57" s="66"/>
      <c r="C57" s="143" t="s">
        <v>271</v>
      </c>
      <c r="D57" s="161"/>
      <c r="E57" s="145" t="s">
        <v>535</v>
      </c>
      <c r="F57" s="146">
        <f t="shared" ref="F57:O57" si="20">SUM(F55:F56)</f>
        <v>145407</v>
      </c>
      <c r="G57" s="146">
        <f t="shared" si="20"/>
        <v>0</v>
      </c>
      <c r="H57" s="146">
        <f t="shared" si="20"/>
        <v>12738930</v>
      </c>
      <c r="I57" s="146">
        <f t="shared" si="20"/>
        <v>12738930</v>
      </c>
      <c r="J57" s="146">
        <f t="shared" si="20"/>
        <v>7132911</v>
      </c>
      <c r="K57" s="146">
        <f t="shared" si="20"/>
        <v>9655574</v>
      </c>
      <c r="L57" s="146">
        <f t="shared" si="20"/>
        <v>975529</v>
      </c>
      <c r="M57" s="146">
        <f t="shared" si="20"/>
        <v>81035</v>
      </c>
      <c r="N57" s="146">
        <f t="shared" si="20"/>
        <v>10712138</v>
      </c>
      <c r="O57" s="146">
        <f t="shared" si="20"/>
        <v>2026792</v>
      </c>
      <c r="P57" s="147">
        <f>O57/I57*100</f>
        <v>15.910221659118937</v>
      </c>
      <c r="Q57" s="147">
        <f>J57/F57</f>
        <v>49.054797912067507</v>
      </c>
      <c r="R57" s="148">
        <f>K57/F57</f>
        <v>66.403776984601848</v>
      </c>
      <c r="AA57" s="69"/>
      <c r="AB57" s="69"/>
      <c r="AC57" s="69"/>
    </row>
    <row r="58" spans="1:29" ht="17.100000000000001" customHeight="1" x14ac:dyDescent="0.25">
      <c r="A58" s="109">
        <v>2012</v>
      </c>
      <c r="B58" s="63">
        <v>13</v>
      </c>
      <c r="D58" s="149">
        <v>7695</v>
      </c>
      <c r="E58" s="149" t="s">
        <v>57</v>
      </c>
      <c r="F58" s="184">
        <v>163301</v>
      </c>
      <c r="G58" s="157">
        <v>3597943</v>
      </c>
      <c r="H58" s="157">
        <v>6805016</v>
      </c>
      <c r="I58" s="157">
        <f>SUM(G58,H58)</f>
        <v>10402959</v>
      </c>
      <c r="J58" s="157">
        <v>6967448</v>
      </c>
      <c r="K58" s="157">
        <v>9272659</v>
      </c>
      <c r="L58" s="157">
        <v>759591</v>
      </c>
      <c r="M58" s="157">
        <v>0</v>
      </c>
      <c r="N58" s="157">
        <f>SUM(K58:M58)</f>
        <v>10032250</v>
      </c>
      <c r="O58" s="157">
        <f>I58-N58</f>
        <v>370709</v>
      </c>
      <c r="P58" s="158">
        <f t="shared" si="3"/>
        <v>3.5634957323200065</v>
      </c>
      <c r="Q58" s="158">
        <f t="shared" si="4"/>
        <v>42.666291082112174</v>
      </c>
      <c r="R58" s="159">
        <f t="shared" si="5"/>
        <v>56.782622274205302</v>
      </c>
      <c r="S58" s="348">
        <f t="shared" ref="S58:S63" si="21">+G58/I58</f>
        <v>0.34585765453848277</v>
      </c>
      <c r="AA58" s="69"/>
      <c r="AB58" s="69"/>
      <c r="AC58" s="69"/>
    </row>
    <row r="59" spans="1:29" ht="17.100000000000001" customHeight="1" x14ac:dyDescent="0.25">
      <c r="B59" s="66"/>
      <c r="C59" s="143" t="s">
        <v>691</v>
      </c>
      <c r="D59" s="161"/>
      <c r="E59" s="162" t="s">
        <v>535</v>
      </c>
      <c r="F59" s="185">
        <f>SUM(F58)</f>
        <v>163301</v>
      </c>
      <c r="G59" s="185">
        <f t="shared" ref="G59:O59" si="22">SUM(G58)</f>
        <v>3597943</v>
      </c>
      <c r="H59" s="185">
        <f t="shared" si="22"/>
        <v>6805016</v>
      </c>
      <c r="I59" s="185">
        <f t="shared" si="22"/>
        <v>10402959</v>
      </c>
      <c r="J59" s="185">
        <f t="shared" si="22"/>
        <v>6967448</v>
      </c>
      <c r="K59" s="185">
        <f t="shared" si="22"/>
        <v>9272659</v>
      </c>
      <c r="L59" s="185">
        <f t="shared" si="22"/>
        <v>759591</v>
      </c>
      <c r="M59" s="185">
        <f t="shared" si="22"/>
        <v>0</v>
      </c>
      <c r="N59" s="185">
        <f t="shared" si="22"/>
        <v>10032250</v>
      </c>
      <c r="O59" s="185">
        <f t="shared" si="22"/>
        <v>370709</v>
      </c>
      <c r="P59" s="154">
        <f t="shared" si="3"/>
        <v>3.5634957323200065</v>
      </c>
      <c r="Q59" s="154">
        <f t="shared" si="4"/>
        <v>42.666291082112174</v>
      </c>
      <c r="R59" s="155">
        <f t="shared" si="5"/>
        <v>56.782622274205302</v>
      </c>
      <c r="S59" s="348">
        <f t="shared" si="21"/>
        <v>0.34585765453848277</v>
      </c>
      <c r="AA59" s="69"/>
      <c r="AB59" s="69"/>
      <c r="AC59" s="69"/>
    </row>
    <row r="60" spans="1:29" ht="17.100000000000001" customHeight="1" x14ac:dyDescent="0.25">
      <c r="A60" s="109">
        <v>2012</v>
      </c>
      <c r="B60" s="63">
        <v>14</v>
      </c>
      <c r="D60" s="149">
        <v>7739</v>
      </c>
      <c r="E60" s="149" t="s">
        <v>97</v>
      </c>
      <c r="F60" s="184">
        <v>128157</v>
      </c>
      <c r="G60" s="157">
        <v>7351629</v>
      </c>
      <c r="H60" s="157">
        <v>1747549</v>
      </c>
      <c r="I60" s="157">
        <f>SUM(G60,H60)</f>
        <v>9099178</v>
      </c>
      <c r="J60" s="157">
        <v>6382910</v>
      </c>
      <c r="K60" s="157">
        <v>7877578</v>
      </c>
      <c r="L60" s="157">
        <v>199694</v>
      </c>
      <c r="M60" s="157">
        <v>0</v>
      </c>
      <c r="N60" s="157">
        <f>SUM(K60:M60)</f>
        <v>8077272</v>
      </c>
      <c r="O60" s="157">
        <f>I60-N60</f>
        <v>1021906</v>
      </c>
      <c r="P60" s="158">
        <f t="shared" si="3"/>
        <v>11.230750733747598</v>
      </c>
      <c r="Q60" s="158">
        <f t="shared" si="4"/>
        <v>49.805394945262449</v>
      </c>
      <c r="R60" s="159">
        <f t="shared" si="5"/>
        <v>61.468183556106965</v>
      </c>
      <c r="S60" s="348">
        <f t="shared" si="21"/>
        <v>0.80794430002358453</v>
      </c>
    </row>
    <row r="61" spans="1:29" ht="17.100000000000001" customHeight="1" x14ac:dyDescent="0.25">
      <c r="B61" s="60"/>
      <c r="C61" s="143" t="s">
        <v>530</v>
      </c>
      <c r="D61" s="144"/>
      <c r="E61" s="145" t="s">
        <v>535</v>
      </c>
      <c r="F61" s="146">
        <f>SUM(F60)</f>
        <v>128157</v>
      </c>
      <c r="G61" s="146">
        <f t="shared" ref="G61:O61" si="23">SUM(G60)</f>
        <v>7351629</v>
      </c>
      <c r="H61" s="146">
        <f t="shared" si="23"/>
        <v>1747549</v>
      </c>
      <c r="I61" s="146">
        <f t="shared" si="23"/>
        <v>9099178</v>
      </c>
      <c r="J61" s="146">
        <f t="shared" si="23"/>
        <v>6382910</v>
      </c>
      <c r="K61" s="146">
        <f t="shared" si="23"/>
        <v>7877578</v>
      </c>
      <c r="L61" s="146">
        <f t="shared" si="23"/>
        <v>199694</v>
      </c>
      <c r="M61" s="146">
        <f t="shared" si="23"/>
        <v>0</v>
      </c>
      <c r="N61" s="146">
        <f t="shared" si="23"/>
        <v>8077272</v>
      </c>
      <c r="O61" s="146">
        <f t="shared" si="23"/>
        <v>1021906</v>
      </c>
      <c r="P61" s="147">
        <f t="shared" si="3"/>
        <v>11.230750733747598</v>
      </c>
      <c r="Q61" s="147">
        <f t="shared" si="4"/>
        <v>49.805394945262449</v>
      </c>
      <c r="R61" s="148">
        <f t="shared" si="5"/>
        <v>61.468183556106965</v>
      </c>
      <c r="S61" s="348">
        <f t="shared" si="21"/>
        <v>0.80794430002358453</v>
      </c>
    </row>
    <row r="62" spans="1:29" ht="17.100000000000001" customHeight="1" x14ac:dyDescent="0.25">
      <c r="A62" s="109">
        <v>2012</v>
      </c>
      <c r="B62" s="63">
        <v>15</v>
      </c>
      <c r="D62" s="149">
        <v>7776</v>
      </c>
      <c r="E62" s="149" t="s">
        <v>98</v>
      </c>
      <c r="F62" s="184">
        <v>54728</v>
      </c>
      <c r="G62" s="157">
        <v>1910830</v>
      </c>
      <c r="H62" s="157">
        <v>1777255</v>
      </c>
      <c r="I62" s="157">
        <f>SUM(G62,H62)</f>
        <v>3688085</v>
      </c>
      <c r="J62" s="157">
        <v>3005603</v>
      </c>
      <c r="K62" s="157">
        <v>3557188</v>
      </c>
      <c r="L62" s="157">
        <v>0</v>
      </c>
      <c r="M62" s="157">
        <v>0</v>
      </c>
      <c r="N62" s="157">
        <f>SUM(K62:M62)</f>
        <v>3557188</v>
      </c>
      <c r="O62" s="157">
        <f>I62-N62</f>
        <v>130897</v>
      </c>
      <c r="P62" s="158">
        <f t="shared" si="3"/>
        <v>3.5491860952228595</v>
      </c>
      <c r="Q62" s="158">
        <f t="shared" si="4"/>
        <v>54.918926326560445</v>
      </c>
      <c r="R62" s="159">
        <f t="shared" si="5"/>
        <v>64.99758807191931</v>
      </c>
      <c r="S62" s="348">
        <f t="shared" si="21"/>
        <v>0.51810899152270085</v>
      </c>
    </row>
    <row r="63" spans="1:29" ht="17.100000000000001" customHeight="1" x14ac:dyDescent="0.25">
      <c r="B63" s="60"/>
      <c r="C63" s="143" t="s">
        <v>529</v>
      </c>
      <c r="D63" s="144"/>
      <c r="E63" s="145" t="s">
        <v>535</v>
      </c>
      <c r="F63" s="146">
        <f>SUM(F62)</f>
        <v>54728</v>
      </c>
      <c r="G63" s="146">
        <f t="shared" ref="G63:O63" si="24">SUM(G62)</f>
        <v>1910830</v>
      </c>
      <c r="H63" s="146">
        <f t="shared" si="24"/>
        <v>1777255</v>
      </c>
      <c r="I63" s="146">
        <f t="shared" si="24"/>
        <v>3688085</v>
      </c>
      <c r="J63" s="146">
        <f t="shared" si="24"/>
        <v>3005603</v>
      </c>
      <c r="K63" s="146">
        <f t="shared" si="24"/>
        <v>3557188</v>
      </c>
      <c r="L63" s="146">
        <f t="shared" si="24"/>
        <v>0</v>
      </c>
      <c r="M63" s="146">
        <f t="shared" si="24"/>
        <v>0</v>
      </c>
      <c r="N63" s="146">
        <f t="shared" si="24"/>
        <v>3557188</v>
      </c>
      <c r="O63" s="146">
        <f t="shared" si="24"/>
        <v>130897</v>
      </c>
      <c r="P63" s="147">
        <f t="shared" si="3"/>
        <v>3.5491860952228595</v>
      </c>
      <c r="Q63" s="147">
        <f t="shared" si="4"/>
        <v>54.918926326560445</v>
      </c>
      <c r="R63" s="148">
        <f t="shared" si="5"/>
        <v>64.99758807191931</v>
      </c>
      <c r="S63" s="348">
        <f t="shared" si="21"/>
        <v>0.51810899152270085</v>
      </c>
    </row>
    <row r="64" spans="1:29" ht="17.100000000000001" customHeight="1" x14ac:dyDescent="0.25">
      <c r="A64" s="109">
        <v>2012</v>
      </c>
      <c r="B64" s="186">
        <v>16</v>
      </c>
      <c r="D64" s="149">
        <v>1245</v>
      </c>
      <c r="E64" s="149" t="s">
        <v>752</v>
      </c>
      <c r="F64" s="153">
        <v>27087</v>
      </c>
      <c r="G64" s="132">
        <v>0</v>
      </c>
      <c r="H64" s="132">
        <v>2116821</v>
      </c>
      <c r="I64" s="132">
        <f>SUM(G64,H64)</f>
        <v>2116821</v>
      </c>
      <c r="J64" s="132">
        <v>1116933</v>
      </c>
      <c r="K64" s="132">
        <v>1359201</v>
      </c>
      <c r="L64" s="132">
        <v>21075</v>
      </c>
      <c r="M64" s="132">
        <v>8503</v>
      </c>
      <c r="N64" s="132">
        <f t="shared" ref="N64:N70" si="25">SUM(K64:M64)</f>
        <v>1388779</v>
      </c>
      <c r="O64" s="132">
        <f t="shared" ref="O64:O70" si="26">I64-N64</f>
        <v>728042</v>
      </c>
      <c r="P64" s="133">
        <f t="shared" si="3"/>
        <v>34.393177316362596</v>
      </c>
      <c r="Q64" s="133">
        <f t="shared" si="4"/>
        <v>41.235020489533724</v>
      </c>
      <c r="R64" s="134">
        <f t="shared" si="5"/>
        <v>50.179089600177207</v>
      </c>
      <c r="AA64" s="69"/>
      <c r="AB64" s="69"/>
      <c r="AC64" s="69"/>
    </row>
    <row r="65" spans="1:29" ht="17.100000000000001" customHeight="1" x14ac:dyDescent="0.25">
      <c r="B65" s="187"/>
      <c r="C65" s="65"/>
      <c r="D65" s="62"/>
      <c r="E65" s="62" t="s">
        <v>753</v>
      </c>
      <c r="F65" s="132">
        <v>11249</v>
      </c>
      <c r="G65" s="132">
        <v>0</v>
      </c>
      <c r="H65" s="132">
        <v>668201</v>
      </c>
      <c r="I65" s="129">
        <f>SUM(G65:H65)</f>
        <v>668201</v>
      </c>
      <c r="J65" s="132">
        <v>433540</v>
      </c>
      <c r="K65" s="132">
        <v>477109</v>
      </c>
      <c r="L65" s="132">
        <v>0</v>
      </c>
      <c r="M65" s="132">
        <v>4741</v>
      </c>
      <c r="N65" s="129">
        <f t="shared" si="25"/>
        <v>481850</v>
      </c>
      <c r="O65" s="132">
        <f t="shared" si="26"/>
        <v>186351</v>
      </c>
      <c r="P65" s="133">
        <f t="shared" si="3"/>
        <v>27.888464698496414</v>
      </c>
      <c r="Q65" s="133">
        <f t="shared" si="4"/>
        <v>38.540314694639527</v>
      </c>
      <c r="R65" s="134">
        <f t="shared" si="5"/>
        <v>42.413458974131032</v>
      </c>
      <c r="AA65" s="69"/>
      <c r="AB65" s="69"/>
      <c r="AC65" s="69"/>
    </row>
    <row r="66" spans="1:29" ht="17.100000000000001" customHeight="1" x14ac:dyDescent="0.25">
      <c r="B66" s="187"/>
      <c r="C66" s="65"/>
      <c r="D66" s="62"/>
      <c r="E66" s="62" t="s">
        <v>754</v>
      </c>
      <c r="F66" s="129">
        <v>9248</v>
      </c>
      <c r="G66" s="129">
        <v>0</v>
      </c>
      <c r="H66" s="129">
        <v>601569</v>
      </c>
      <c r="I66" s="129">
        <f>SUM(G66:H66)</f>
        <v>601569</v>
      </c>
      <c r="J66" s="129">
        <v>403928</v>
      </c>
      <c r="K66" s="129">
        <v>463319</v>
      </c>
      <c r="L66" s="129">
        <v>0</v>
      </c>
      <c r="M66" s="129">
        <v>6219</v>
      </c>
      <c r="N66" s="129">
        <f t="shared" si="25"/>
        <v>469538</v>
      </c>
      <c r="O66" s="129">
        <f t="shared" si="26"/>
        <v>132031</v>
      </c>
      <c r="P66" s="130">
        <f t="shared" si="3"/>
        <v>21.947773239644995</v>
      </c>
      <c r="Q66" s="130">
        <f t="shared" si="4"/>
        <v>43.677335640138409</v>
      </c>
      <c r="R66" s="131">
        <f t="shared" si="5"/>
        <v>50.09937283737024</v>
      </c>
      <c r="AA66" s="69"/>
      <c r="AB66" s="69"/>
      <c r="AC66" s="69"/>
    </row>
    <row r="67" spans="1:29" ht="17.100000000000001" customHeight="1" x14ac:dyDescent="0.25">
      <c r="B67" s="187"/>
      <c r="C67" s="65"/>
      <c r="D67" s="62"/>
      <c r="E67" s="62" t="s">
        <v>755</v>
      </c>
      <c r="F67" s="129">
        <v>7510</v>
      </c>
      <c r="G67" s="129">
        <v>0</v>
      </c>
      <c r="H67" s="129">
        <v>598309</v>
      </c>
      <c r="I67" s="129">
        <f>SUM(G67:H67)</f>
        <v>598309</v>
      </c>
      <c r="J67" s="129">
        <v>353928</v>
      </c>
      <c r="K67" s="129">
        <v>411655</v>
      </c>
      <c r="L67" s="129">
        <v>0</v>
      </c>
      <c r="M67" s="129">
        <v>23775</v>
      </c>
      <c r="N67" s="129">
        <f t="shared" si="25"/>
        <v>435430</v>
      </c>
      <c r="O67" s="129">
        <f t="shared" si="26"/>
        <v>162879</v>
      </c>
      <c r="P67" s="130">
        <f t="shared" si="3"/>
        <v>27.223224119978141</v>
      </c>
      <c r="Q67" s="130">
        <f t="shared" si="4"/>
        <v>47.127563249001334</v>
      </c>
      <c r="R67" s="131">
        <f t="shared" si="5"/>
        <v>54.814247669773636</v>
      </c>
      <c r="AA67" s="69"/>
      <c r="AB67" s="69"/>
      <c r="AC67" s="69"/>
    </row>
    <row r="68" spans="1:29" ht="17.100000000000001" customHeight="1" x14ac:dyDescent="0.25">
      <c r="B68" s="187"/>
      <c r="C68" s="65"/>
      <c r="D68" s="62"/>
      <c r="E68" s="62" t="s">
        <v>45</v>
      </c>
      <c r="F68" s="132">
        <v>22229</v>
      </c>
      <c r="G68" s="132">
        <v>0</v>
      </c>
      <c r="H68" s="132">
        <v>1691215</v>
      </c>
      <c r="I68" s="132">
        <f>SUM(G68,H68)</f>
        <v>1691215</v>
      </c>
      <c r="J68" s="132">
        <v>1082921</v>
      </c>
      <c r="K68" s="132">
        <v>1240750</v>
      </c>
      <c r="L68" s="132">
        <v>45468</v>
      </c>
      <c r="M68" s="132">
        <v>32014</v>
      </c>
      <c r="N68" s="132">
        <f t="shared" si="25"/>
        <v>1318232</v>
      </c>
      <c r="O68" s="132">
        <f t="shared" si="26"/>
        <v>372983</v>
      </c>
      <c r="P68" s="133">
        <f t="shared" si="3"/>
        <v>22.054144505577352</v>
      </c>
      <c r="Q68" s="133">
        <f t="shared" si="4"/>
        <v>48.716586441135455</v>
      </c>
      <c r="R68" s="134">
        <f t="shared" si="5"/>
        <v>55.816725898600929</v>
      </c>
      <c r="AA68" s="69"/>
      <c r="AB68" s="69"/>
      <c r="AC68" s="69"/>
    </row>
    <row r="69" spans="1:29" s="69" customFormat="1" ht="17.100000000000001" customHeight="1" x14ac:dyDescent="0.25">
      <c r="A69" s="118"/>
      <c r="B69" s="187"/>
      <c r="C69" s="65"/>
      <c r="D69" s="62"/>
      <c r="E69" s="62" t="s">
        <v>756</v>
      </c>
      <c r="F69" s="160">
        <v>13789</v>
      </c>
      <c r="G69" s="132">
        <v>0</v>
      </c>
      <c r="H69" s="132">
        <v>912164</v>
      </c>
      <c r="I69" s="132">
        <f>SUM(G69:H69)</f>
        <v>912164</v>
      </c>
      <c r="J69" s="132">
        <v>642637</v>
      </c>
      <c r="K69" s="132">
        <v>725796</v>
      </c>
      <c r="L69" s="132">
        <v>0</v>
      </c>
      <c r="M69" s="132">
        <v>0</v>
      </c>
      <c r="N69" s="132">
        <f t="shared" si="25"/>
        <v>725796</v>
      </c>
      <c r="O69" s="132">
        <f t="shared" si="26"/>
        <v>186368</v>
      </c>
      <c r="P69" s="133">
        <f t="shared" si="3"/>
        <v>20.431413649299905</v>
      </c>
      <c r="Q69" s="133">
        <f t="shared" si="4"/>
        <v>46.605047501631738</v>
      </c>
      <c r="R69" s="134">
        <f t="shared" si="5"/>
        <v>52.635869171078397</v>
      </c>
      <c r="Y69" s="120"/>
    </row>
    <row r="70" spans="1:29" s="69" customFormat="1" ht="17.100000000000001" customHeight="1" x14ac:dyDescent="0.25">
      <c r="A70" s="118"/>
      <c r="B70" s="187"/>
      <c r="C70" s="65"/>
      <c r="D70" s="62"/>
      <c r="E70" s="62" t="s">
        <v>757</v>
      </c>
      <c r="F70" s="132">
        <v>10942</v>
      </c>
      <c r="G70" s="132">
        <v>0</v>
      </c>
      <c r="H70" s="132">
        <v>862195</v>
      </c>
      <c r="I70" s="132">
        <f>SUM(G70:H70)</f>
        <v>862195</v>
      </c>
      <c r="J70" s="132">
        <v>427678</v>
      </c>
      <c r="K70" s="132">
        <v>469576</v>
      </c>
      <c r="L70" s="132">
        <v>0</v>
      </c>
      <c r="M70" s="132">
        <v>55816</v>
      </c>
      <c r="N70" s="132">
        <f t="shared" si="25"/>
        <v>525392</v>
      </c>
      <c r="O70" s="132">
        <f t="shared" si="26"/>
        <v>336803</v>
      </c>
      <c r="P70" s="133">
        <f t="shared" si="3"/>
        <v>39.063436925521486</v>
      </c>
      <c r="Q70" s="133">
        <f t="shared" si="4"/>
        <v>39.085907512337783</v>
      </c>
      <c r="R70" s="134">
        <f t="shared" si="5"/>
        <v>42.915006397367939</v>
      </c>
      <c r="Y70" s="120"/>
    </row>
    <row r="71" spans="1:29" s="69" customFormat="1" ht="17.100000000000001" customHeight="1" x14ac:dyDescent="0.25">
      <c r="A71" s="118"/>
      <c r="B71" s="187"/>
      <c r="C71" s="143" t="s">
        <v>252</v>
      </c>
      <c r="D71" s="62"/>
      <c r="E71" s="162" t="s">
        <v>535</v>
      </c>
      <c r="F71" s="185">
        <f>SUM(F64:F70)</f>
        <v>102054</v>
      </c>
      <c r="G71" s="185">
        <f t="shared" ref="G71:O71" si="27">SUM(G64:G70)</f>
        <v>0</v>
      </c>
      <c r="H71" s="185">
        <f t="shared" si="27"/>
        <v>7450474</v>
      </c>
      <c r="I71" s="185">
        <f t="shared" si="27"/>
        <v>7450474</v>
      </c>
      <c r="J71" s="185">
        <f t="shared" si="27"/>
        <v>4461565</v>
      </c>
      <c r="K71" s="185">
        <f t="shared" si="27"/>
        <v>5147406</v>
      </c>
      <c r="L71" s="185">
        <f t="shared" si="27"/>
        <v>66543</v>
      </c>
      <c r="M71" s="185">
        <f t="shared" si="27"/>
        <v>131068</v>
      </c>
      <c r="N71" s="185">
        <f t="shared" si="27"/>
        <v>5345017</v>
      </c>
      <c r="O71" s="185">
        <f t="shared" si="27"/>
        <v>2105457</v>
      </c>
      <c r="P71" s="147">
        <f t="shared" si="3"/>
        <v>28.25936980653848</v>
      </c>
      <c r="Q71" s="147">
        <f t="shared" si="4"/>
        <v>43.71768867462324</v>
      </c>
      <c r="R71" s="148">
        <f t="shared" si="5"/>
        <v>50.438062202363454</v>
      </c>
      <c r="Y71" s="120"/>
    </row>
    <row r="72" spans="1:29" ht="17.100000000000001" customHeight="1" x14ac:dyDescent="0.25">
      <c r="A72" s="109">
        <v>2012</v>
      </c>
      <c r="B72" s="63">
        <v>17</v>
      </c>
      <c r="D72" s="149">
        <v>4014</v>
      </c>
      <c r="E72" s="149" t="s">
        <v>15</v>
      </c>
      <c r="F72" s="157">
        <v>49943</v>
      </c>
      <c r="G72" s="157">
        <v>38930</v>
      </c>
      <c r="H72" s="157">
        <v>4593090</v>
      </c>
      <c r="I72" s="157">
        <f>SUM(G72,H72)</f>
        <v>4632020</v>
      </c>
      <c r="J72" s="157">
        <v>2991094</v>
      </c>
      <c r="K72" s="157">
        <v>3875920</v>
      </c>
      <c r="L72" s="157">
        <v>119475</v>
      </c>
      <c r="M72" s="157">
        <v>304750</v>
      </c>
      <c r="N72" s="157">
        <f>SUM(K72:M72)</f>
        <v>4300145</v>
      </c>
      <c r="O72" s="157">
        <f>I72-N72</f>
        <v>331875</v>
      </c>
      <c r="P72" s="158">
        <f t="shared" si="3"/>
        <v>7.1648006701180043</v>
      </c>
      <c r="Q72" s="158">
        <f t="shared" si="4"/>
        <v>59.890154776445151</v>
      </c>
      <c r="R72" s="159">
        <f t="shared" si="5"/>
        <v>77.606871833890636</v>
      </c>
      <c r="S72" s="348">
        <f t="shared" ref="S72:S77" si="28">+G72/I72</f>
        <v>8.4045405676141296E-3</v>
      </c>
      <c r="AA72" s="69"/>
      <c r="AB72" s="69"/>
      <c r="AC72" s="69"/>
    </row>
    <row r="73" spans="1:29" ht="17.100000000000001" customHeight="1" x14ac:dyDescent="0.25">
      <c r="B73" s="60"/>
      <c r="C73" s="143" t="s">
        <v>253</v>
      </c>
      <c r="D73" s="180"/>
      <c r="E73" s="145" t="s">
        <v>535</v>
      </c>
      <c r="F73" s="146">
        <f>SUM(F72)</f>
        <v>49943</v>
      </c>
      <c r="G73" s="146">
        <f t="shared" ref="G73:O73" si="29">SUM(G72)</f>
        <v>38930</v>
      </c>
      <c r="H73" s="146">
        <f t="shared" si="29"/>
        <v>4593090</v>
      </c>
      <c r="I73" s="146">
        <f t="shared" si="29"/>
        <v>4632020</v>
      </c>
      <c r="J73" s="146">
        <f t="shared" si="29"/>
        <v>2991094</v>
      </c>
      <c r="K73" s="146">
        <f t="shared" si="29"/>
        <v>3875920</v>
      </c>
      <c r="L73" s="146">
        <f t="shared" si="29"/>
        <v>119475</v>
      </c>
      <c r="M73" s="146">
        <f t="shared" si="29"/>
        <v>304750</v>
      </c>
      <c r="N73" s="146">
        <f t="shared" si="29"/>
        <v>4300145</v>
      </c>
      <c r="O73" s="146">
        <f t="shared" si="29"/>
        <v>331875</v>
      </c>
      <c r="P73" s="147">
        <f t="shared" si="3"/>
        <v>7.1648006701180043</v>
      </c>
      <c r="Q73" s="147">
        <f t="shared" si="4"/>
        <v>59.890154776445151</v>
      </c>
      <c r="R73" s="148">
        <f t="shared" si="5"/>
        <v>77.606871833890636</v>
      </c>
      <c r="S73" s="348">
        <f t="shared" si="28"/>
        <v>8.4045405676141296E-3</v>
      </c>
      <c r="AA73" s="69"/>
      <c r="AB73" s="69"/>
      <c r="AC73" s="69"/>
    </row>
    <row r="74" spans="1:29" ht="17.100000000000001" customHeight="1" x14ac:dyDescent="0.25">
      <c r="A74" s="109">
        <v>2012</v>
      </c>
      <c r="B74" s="63">
        <f>1+B72</f>
        <v>18</v>
      </c>
      <c r="D74" s="149">
        <v>7803</v>
      </c>
      <c r="E74" s="181" t="s">
        <v>62</v>
      </c>
      <c r="F74" s="157">
        <v>88734</v>
      </c>
      <c r="G74" s="156">
        <v>3114450</v>
      </c>
      <c r="H74" s="156">
        <v>6857306</v>
      </c>
      <c r="I74" s="157">
        <f>SUM(G74,H74)</f>
        <v>9971756</v>
      </c>
      <c r="J74" s="156">
        <v>6583597</v>
      </c>
      <c r="K74" s="156">
        <v>9138887</v>
      </c>
      <c r="L74" s="156">
        <v>296089</v>
      </c>
      <c r="M74" s="156">
        <v>53234</v>
      </c>
      <c r="N74" s="157">
        <f>SUM(K74:M74)</f>
        <v>9488210</v>
      </c>
      <c r="O74" s="157">
        <f>I74-N74</f>
        <v>483546</v>
      </c>
      <c r="P74" s="158">
        <f t="shared" si="3"/>
        <v>4.8491559560823596</v>
      </c>
      <c r="Q74" s="158">
        <f t="shared" si="4"/>
        <v>74.194750602925595</v>
      </c>
      <c r="R74" s="159">
        <f t="shared" si="5"/>
        <v>102.99194220929971</v>
      </c>
      <c r="S74" s="348">
        <f t="shared" si="28"/>
        <v>0.31232713676507928</v>
      </c>
      <c r="AA74" s="69"/>
      <c r="AB74" s="69"/>
      <c r="AC74" s="69"/>
    </row>
    <row r="75" spans="1:29" ht="17.100000000000001" customHeight="1" thickBot="1" x14ac:dyDescent="0.3">
      <c r="B75" s="165"/>
      <c r="C75" s="143" t="s">
        <v>254</v>
      </c>
      <c r="D75" s="176"/>
      <c r="E75" s="167" t="s">
        <v>535</v>
      </c>
      <c r="F75" s="177">
        <f>SUM(F74)</f>
        <v>88734</v>
      </c>
      <c r="G75" s="177">
        <f t="shared" ref="G75:O75" si="30">SUM(G74)</f>
        <v>3114450</v>
      </c>
      <c r="H75" s="177">
        <f t="shared" si="30"/>
        <v>6857306</v>
      </c>
      <c r="I75" s="177">
        <f t="shared" si="30"/>
        <v>9971756</v>
      </c>
      <c r="J75" s="177">
        <f t="shared" si="30"/>
        <v>6583597</v>
      </c>
      <c r="K75" s="177">
        <f t="shared" si="30"/>
        <v>9138887</v>
      </c>
      <c r="L75" s="177">
        <f t="shared" si="30"/>
        <v>296089</v>
      </c>
      <c r="M75" s="177">
        <f t="shared" si="30"/>
        <v>53234</v>
      </c>
      <c r="N75" s="177">
        <f t="shared" si="30"/>
        <v>9488210</v>
      </c>
      <c r="O75" s="177">
        <f t="shared" si="30"/>
        <v>483546</v>
      </c>
      <c r="P75" s="169">
        <f t="shared" ref="P75:P104" si="31">O75/I75*100</f>
        <v>4.8491559560823596</v>
      </c>
      <c r="Q75" s="169">
        <f t="shared" ref="Q75:Q104" si="32">J75/F75</f>
        <v>74.194750602925595</v>
      </c>
      <c r="R75" s="170">
        <f t="shared" ref="R75:R104" si="33">K75/F75</f>
        <v>102.99194220929971</v>
      </c>
      <c r="S75" s="348">
        <f t="shared" si="28"/>
        <v>0.31232713676507928</v>
      </c>
      <c r="AA75" s="69"/>
      <c r="AB75" s="69"/>
      <c r="AC75" s="69"/>
    </row>
    <row r="76" spans="1:29" ht="17.100000000000001" customHeight="1" x14ac:dyDescent="0.25">
      <c r="A76" s="188">
        <v>2012</v>
      </c>
      <c r="B76" s="123">
        <f>1+B74</f>
        <v>19</v>
      </c>
      <c r="D76" s="124">
        <v>2177</v>
      </c>
      <c r="E76" s="178" t="s">
        <v>317</v>
      </c>
      <c r="F76" s="125">
        <v>82489</v>
      </c>
      <c r="G76" s="125">
        <v>2199575</v>
      </c>
      <c r="H76" s="125">
        <v>4972919</v>
      </c>
      <c r="I76" s="125">
        <f>SUM(G76,H76)</f>
        <v>7172494</v>
      </c>
      <c r="J76" s="125">
        <v>4223935</v>
      </c>
      <c r="K76" s="125">
        <v>5855679</v>
      </c>
      <c r="L76" s="125">
        <v>154433</v>
      </c>
      <c r="M76" s="125">
        <v>31156</v>
      </c>
      <c r="N76" s="125">
        <f>K76+L76+M76</f>
        <v>6041268</v>
      </c>
      <c r="O76" s="125">
        <f>I76-N76</f>
        <v>1131226</v>
      </c>
      <c r="P76" s="172">
        <f t="shared" si="31"/>
        <v>15.771724591195197</v>
      </c>
      <c r="Q76" s="172">
        <f t="shared" si="32"/>
        <v>51.206039593157875</v>
      </c>
      <c r="R76" s="173">
        <f t="shared" si="33"/>
        <v>70.987392258361723</v>
      </c>
      <c r="S76" s="348">
        <f t="shared" si="28"/>
        <v>0.30666808504824122</v>
      </c>
      <c r="AA76" s="69"/>
      <c r="AB76" s="69"/>
      <c r="AC76" s="69"/>
    </row>
    <row r="77" spans="1:29" ht="17.100000000000001" customHeight="1" x14ac:dyDescent="0.25">
      <c r="B77" s="60"/>
      <c r="C77" s="143" t="s">
        <v>445</v>
      </c>
      <c r="D77" s="144"/>
      <c r="E77" s="145" t="s">
        <v>535</v>
      </c>
      <c r="F77" s="146">
        <f t="shared" ref="F77:O77" si="34">SUM(F76:F76)</f>
        <v>82489</v>
      </c>
      <c r="G77" s="146">
        <f t="shared" si="34"/>
        <v>2199575</v>
      </c>
      <c r="H77" s="146">
        <f t="shared" si="34"/>
        <v>4972919</v>
      </c>
      <c r="I77" s="146">
        <f t="shared" si="34"/>
        <v>7172494</v>
      </c>
      <c r="J77" s="146">
        <f t="shared" si="34"/>
        <v>4223935</v>
      </c>
      <c r="K77" s="146">
        <f t="shared" si="34"/>
        <v>5855679</v>
      </c>
      <c r="L77" s="146">
        <f t="shared" si="34"/>
        <v>154433</v>
      </c>
      <c r="M77" s="146">
        <f t="shared" si="34"/>
        <v>31156</v>
      </c>
      <c r="N77" s="146">
        <f t="shared" si="34"/>
        <v>6041268</v>
      </c>
      <c r="O77" s="146">
        <f t="shared" si="34"/>
        <v>1131226</v>
      </c>
      <c r="P77" s="147">
        <f t="shared" si="31"/>
        <v>15.771724591195197</v>
      </c>
      <c r="Q77" s="147">
        <f t="shared" si="32"/>
        <v>51.206039593157875</v>
      </c>
      <c r="R77" s="148">
        <f t="shared" si="33"/>
        <v>70.987392258361723</v>
      </c>
      <c r="S77" s="348">
        <f t="shared" si="28"/>
        <v>0.30666808504824122</v>
      </c>
      <c r="AA77" s="69"/>
      <c r="AB77" s="69"/>
      <c r="AC77" s="69"/>
    </row>
    <row r="78" spans="1:29" ht="17.100000000000001" customHeight="1" x14ac:dyDescent="0.25">
      <c r="A78" s="109">
        <v>2012</v>
      </c>
      <c r="B78" s="63">
        <f>1+B76</f>
        <v>20</v>
      </c>
      <c r="D78" s="149">
        <v>4567</v>
      </c>
      <c r="E78" s="149" t="s">
        <v>320</v>
      </c>
      <c r="F78" s="184">
        <v>33333</v>
      </c>
      <c r="G78" s="157">
        <v>0</v>
      </c>
      <c r="H78" s="157">
        <v>3633772</v>
      </c>
      <c r="I78" s="157">
        <f>SUM(G78,H78)</f>
        <v>3633772</v>
      </c>
      <c r="J78" s="157">
        <v>1807662</v>
      </c>
      <c r="K78" s="157">
        <v>2651768</v>
      </c>
      <c r="L78" s="157">
        <v>299969</v>
      </c>
      <c r="M78" s="157">
        <v>0</v>
      </c>
      <c r="N78" s="157">
        <f>SUM(K78:M78)</f>
        <v>2951737</v>
      </c>
      <c r="O78" s="157">
        <f>I78-N78</f>
        <v>682035</v>
      </c>
      <c r="P78" s="158">
        <f t="shared" si="31"/>
        <v>18.769339408196224</v>
      </c>
      <c r="Q78" s="158">
        <f t="shared" si="32"/>
        <v>54.230402304023038</v>
      </c>
      <c r="R78" s="159">
        <f t="shared" si="33"/>
        <v>79.553835538355386</v>
      </c>
    </row>
    <row r="79" spans="1:29" ht="17.100000000000001" customHeight="1" x14ac:dyDescent="0.25">
      <c r="B79" s="66"/>
      <c r="C79" s="65"/>
      <c r="D79" s="62"/>
      <c r="E79" s="62" t="s">
        <v>77</v>
      </c>
      <c r="F79" s="132">
        <v>20460</v>
      </c>
      <c r="G79" s="132">
        <v>507050</v>
      </c>
      <c r="H79" s="132">
        <v>1185828</v>
      </c>
      <c r="I79" s="132">
        <f>SUM(G79,H79)</f>
        <v>1692878</v>
      </c>
      <c r="J79" s="132">
        <v>1134560</v>
      </c>
      <c r="K79" s="132">
        <v>1338074</v>
      </c>
      <c r="L79" s="132">
        <v>66976</v>
      </c>
      <c r="M79" s="132">
        <v>38909</v>
      </c>
      <c r="N79" s="132">
        <f>SUM(K79:M79)</f>
        <v>1443959</v>
      </c>
      <c r="O79" s="132">
        <f>I79-N79</f>
        <v>248919</v>
      </c>
      <c r="P79" s="133">
        <f>O79/I79*100</f>
        <v>14.703894787456628</v>
      </c>
      <c r="Q79" s="133">
        <f>J79/F79</f>
        <v>55.452590420332356</v>
      </c>
      <c r="R79" s="134">
        <f>K79/F79</f>
        <v>65.399511241446731</v>
      </c>
      <c r="S79" s="348">
        <f>+G79/I79</f>
        <v>0.29951951646840469</v>
      </c>
    </row>
    <row r="80" spans="1:29" ht="17.100000000000001" customHeight="1" x14ac:dyDescent="0.25">
      <c r="B80" s="60"/>
      <c r="C80" s="143" t="s">
        <v>255</v>
      </c>
      <c r="D80" s="144"/>
      <c r="E80" s="145" t="s">
        <v>535</v>
      </c>
      <c r="F80" s="146">
        <f>SUM(F78:F79)</f>
        <v>53793</v>
      </c>
      <c r="G80" s="146">
        <f>SUM(G78:G79)</f>
        <v>507050</v>
      </c>
      <c r="H80" s="146">
        <f t="shared" ref="H80:O80" si="35">SUM(H78:H79)</f>
        <v>4819600</v>
      </c>
      <c r="I80" s="146">
        <f t="shared" si="35"/>
        <v>5326650</v>
      </c>
      <c r="J80" s="146">
        <f t="shared" si="35"/>
        <v>2942222</v>
      </c>
      <c r="K80" s="146">
        <f t="shared" si="35"/>
        <v>3989842</v>
      </c>
      <c r="L80" s="146">
        <f t="shared" si="35"/>
        <v>366945</v>
      </c>
      <c r="M80" s="146">
        <f t="shared" si="35"/>
        <v>38909</v>
      </c>
      <c r="N80" s="146">
        <f t="shared" si="35"/>
        <v>4395696</v>
      </c>
      <c r="O80" s="146">
        <f t="shared" si="35"/>
        <v>930954</v>
      </c>
      <c r="P80" s="147">
        <f t="shared" si="31"/>
        <v>17.477288727436569</v>
      </c>
      <c r="Q80" s="147">
        <f t="shared" si="32"/>
        <v>54.69525774729054</v>
      </c>
      <c r="R80" s="148">
        <f t="shared" si="33"/>
        <v>74.170282378748169</v>
      </c>
      <c r="S80" s="348">
        <f>+G80/I80</f>
        <v>9.5191161424159648E-2</v>
      </c>
    </row>
    <row r="81" spans="1:25" ht="17.100000000000001" customHeight="1" x14ac:dyDescent="0.25">
      <c r="A81" s="189" t="s">
        <v>667</v>
      </c>
      <c r="B81" s="63">
        <v>21</v>
      </c>
      <c r="D81" s="149">
        <v>2473</v>
      </c>
      <c r="E81" s="149" t="s">
        <v>189</v>
      </c>
      <c r="F81" s="153">
        <v>270348</v>
      </c>
      <c r="G81" s="157">
        <v>0</v>
      </c>
      <c r="H81" s="157">
        <v>23482100</v>
      </c>
      <c r="I81" s="157">
        <f>SUM(G81,H81)</f>
        <v>23482100</v>
      </c>
      <c r="J81" s="157">
        <v>10871842</v>
      </c>
      <c r="K81" s="157">
        <v>18803366</v>
      </c>
      <c r="L81" s="157">
        <v>1624389</v>
      </c>
      <c r="M81" s="157">
        <v>0</v>
      </c>
      <c r="N81" s="157">
        <f>SUM(K81:M81)</f>
        <v>20427755</v>
      </c>
      <c r="O81" s="157">
        <f>I81-N81</f>
        <v>3054345</v>
      </c>
      <c r="P81" s="158">
        <f t="shared" si="31"/>
        <v>13.007120317177764</v>
      </c>
      <c r="Q81" s="158">
        <f t="shared" si="32"/>
        <v>40.214249781762767</v>
      </c>
      <c r="R81" s="159">
        <f t="shared" si="33"/>
        <v>69.552450915116808</v>
      </c>
    </row>
    <row r="82" spans="1:25" ht="17.100000000000001" customHeight="1" x14ac:dyDescent="0.25">
      <c r="B82" s="60"/>
      <c r="C82" s="143" t="s">
        <v>256</v>
      </c>
      <c r="D82" s="144"/>
      <c r="E82" s="145" t="s">
        <v>535</v>
      </c>
      <c r="F82" s="146">
        <f>SUM(F81)</f>
        <v>270348</v>
      </c>
      <c r="G82" s="146">
        <f t="shared" ref="G82:O82" si="36">SUM(G81)</f>
        <v>0</v>
      </c>
      <c r="H82" s="146">
        <f t="shared" si="36"/>
        <v>23482100</v>
      </c>
      <c r="I82" s="146">
        <f t="shared" si="36"/>
        <v>23482100</v>
      </c>
      <c r="J82" s="146">
        <f t="shared" si="36"/>
        <v>10871842</v>
      </c>
      <c r="K82" s="146">
        <f t="shared" si="36"/>
        <v>18803366</v>
      </c>
      <c r="L82" s="146">
        <f t="shared" si="36"/>
        <v>1624389</v>
      </c>
      <c r="M82" s="146">
        <f t="shared" si="36"/>
        <v>0</v>
      </c>
      <c r="N82" s="146">
        <f t="shared" si="36"/>
        <v>20427755</v>
      </c>
      <c r="O82" s="146">
        <f t="shared" si="36"/>
        <v>3054345</v>
      </c>
      <c r="P82" s="147">
        <f t="shared" si="31"/>
        <v>13.007120317177764</v>
      </c>
      <c r="Q82" s="147">
        <f t="shared" si="32"/>
        <v>40.214249781762767</v>
      </c>
      <c r="R82" s="148">
        <f t="shared" si="33"/>
        <v>69.552450915116808</v>
      </c>
    </row>
    <row r="83" spans="1:25" s="69" customFormat="1" ht="17.100000000000001" customHeight="1" x14ac:dyDescent="0.25">
      <c r="A83" s="118">
        <v>2012</v>
      </c>
      <c r="B83" s="63">
        <v>22</v>
      </c>
      <c r="C83" s="68"/>
      <c r="D83" s="149">
        <v>4762</v>
      </c>
      <c r="E83" s="181" t="s">
        <v>28</v>
      </c>
      <c r="F83" s="156">
        <v>70270</v>
      </c>
      <c r="G83" s="157">
        <v>0</v>
      </c>
      <c r="H83" s="156">
        <v>5178021</v>
      </c>
      <c r="I83" s="156">
        <f>SUM(H83)</f>
        <v>5178021</v>
      </c>
      <c r="J83" s="156">
        <v>3239003</v>
      </c>
      <c r="K83" s="156">
        <v>4027368</v>
      </c>
      <c r="L83" s="156">
        <v>211171</v>
      </c>
      <c r="M83" s="156">
        <v>0</v>
      </c>
      <c r="N83" s="157">
        <f>SUM(K83:M83)</f>
        <v>4238539</v>
      </c>
      <c r="O83" s="157">
        <f>I83-N83</f>
        <v>939482</v>
      </c>
      <c r="P83" s="158">
        <f t="shared" si="31"/>
        <v>18.143649861597702</v>
      </c>
      <c r="Q83" s="158">
        <f t="shared" si="32"/>
        <v>46.09368151415967</v>
      </c>
      <c r="R83" s="159">
        <f t="shared" si="33"/>
        <v>57.312765049096342</v>
      </c>
      <c r="Y83" s="120"/>
    </row>
    <row r="84" spans="1:25" s="69" customFormat="1" ht="17.100000000000001" customHeight="1" x14ac:dyDescent="0.25">
      <c r="A84" s="118"/>
      <c r="B84" s="60"/>
      <c r="C84" s="143" t="s">
        <v>446</v>
      </c>
      <c r="D84" s="144"/>
      <c r="E84" s="145" t="s">
        <v>535</v>
      </c>
      <c r="F84" s="190">
        <f>SUM(F83)</f>
        <v>70270</v>
      </c>
      <c r="G84" s="190">
        <f t="shared" ref="G84:O84" si="37">SUM(G83)</f>
        <v>0</v>
      </c>
      <c r="H84" s="190">
        <f t="shared" si="37"/>
        <v>5178021</v>
      </c>
      <c r="I84" s="190">
        <f t="shared" si="37"/>
        <v>5178021</v>
      </c>
      <c r="J84" s="190">
        <f t="shared" si="37"/>
        <v>3239003</v>
      </c>
      <c r="K84" s="190">
        <f t="shared" si="37"/>
        <v>4027368</v>
      </c>
      <c r="L84" s="190">
        <f t="shared" si="37"/>
        <v>211171</v>
      </c>
      <c r="M84" s="190">
        <f t="shared" si="37"/>
        <v>0</v>
      </c>
      <c r="N84" s="190">
        <f t="shared" si="37"/>
        <v>4238539</v>
      </c>
      <c r="O84" s="190">
        <f t="shared" si="37"/>
        <v>939482</v>
      </c>
      <c r="P84" s="147">
        <f t="shared" si="31"/>
        <v>18.143649861597702</v>
      </c>
      <c r="Q84" s="147">
        <f t="shared" si="32"/>
        <v>46.09368151415967</v>
      </c>
      <c r="R84" s="148">
        <f t="shared" si="33"/>
        <v>57.312765049096342</v>
      </c>
      <c r="Y84" s="120"/>
    </row>
    <row r="85" spans="1:25" ht="17.100000000000001" customHeight="1" x14ac:dyDescent="0.25">
      <c r="A85" s="109">
        <v>2012</v>
      </c>
      <c r="B85" s="63">
        <v>23</v>
      </c>
      <c r="D85" s="149">
        <v>4919</v>
      </c>
      <c r="E85" s="149" t="s">
        <v>545</v>
      </c>
      <c r="F85" s="184">
        <v>80218</v>
      </c>
      <c r="G85" s="157">
        <v>0</v>
      </c>
      <c r="H85" s="157">
        <v>6020294</v>
      </c>
      <c r="I85" s="157">
        <f>SUM(G85,H85)</f>
        <v>6020294</v>
      </c>
      <c r="J85" s="157">
        <v>4216555</v>
      </c>
      <c r="K85" s="157">
        <v>5511074</v>
      </c>
      <c r="L85" s="157">
        <v>0</v>
      </c>
      <c r="M85" s="157">
        <v>0</v>
      </c>
      <c r="N85" s="157">
        <f>SUM(K85:M85)</f>
        <v>5511074</v>
      </c>
      <c r="O85" s="157">
        <f>I85-N85</f>
        <v>509220</v>
      </c>
      <c r="P85" s="158">
        <f t="shared" si="31"/>
        <v>8.458390902504096</v>
      </c>
      <c r="Q85" s="158">
        <f t="shared" si="32"/>
        <v>52.563701413647813</v>
      </c>
      <c r="R85" s="159">
        <f t="shared" si="33"/>
        <v>68.701214191328631</v>
      </c>
    </row>
    <row r="86" spans="1:25" ht="17.100000000000001" customHeight="1" thickBot="1" x14ac:dyDescent="0.3">
      <c r="B86" s="165"/>
      <c r="C86" s="143" t="s">
        <v>257</v>
      </c>
      <c r="D86" s="176"/>
      <c r="E86" s="167" t="s">
        <v>535</v>
      </c>
      <c r="F86" s="177">
        <f>SUM(F85)</f>
        <v>80218</v>
      </c>
      <c r="G86" s="177">
        <f t="shared" ref="G86:O86" si="38">SUM(G85)</f>
        <v>0</v>
      </c>
      <c r="H86" s="177">
        <f t="shared" si="38"/>
        <v>6020294</v>
      </c>
      <c r="I86" s="177">
        <f t="shared" si="38"/>
        <v>6020294</v>
      </c>
      <c r="J86" s="177">
        <f t="shared" si="38"/>
        <v>4216555</v>
      </c>
      <c r="K86" s="177">
        <f t="shared" si="38"/>
        <v>5511074</v>
      </c>
      <c r="L86" s="177">
        <f t="shared" si="38"/>
        <v>0</v>
      </c>
      <c r="M86" s="177">
        <f t="shared" si="38"/>
        <v>0</v>
      </c>
      <c r="N86" s="177">
        <f t="shared" si="38"/>
        <v>5511074</v>
      </c>
      <c r="O86" s="177">
        <f t="shared" si="38"/>
        <v>509220</v>
      </c>
      <c r="P86" s="169">
        <f t="shared" si="31"/>
        <v>8.458390902504096</v>
      </c>
      <c r="Q86" s="169">
        <f t="shared" si="32"/>
        <v>52.563701413647813</v>
      </c>
      <c r="R86" s="170">
        <f t="shared" si="33"/>
        <v>68.701214191328631</v>
      </c>
    </row>
    <row r="87" spans="1:25" ht="17.100000000000001" customHeight="1" x14ac:dyDescent="0.25">
      <c r="A87" s="109">
        <v>2012</v>
      </c>
      <c r="B87" s="123">
        <v>24</v>
      </c>
      <c r="D87" s="124">
        <v>5316</v>
      </c>
      <c r="E87" s="124" t="s">
        <v>544</v>
      </c>
      <c r="F87" s="191">
        <v>189678</v>
      </c>
      <c r="G87" s="125">
        <v>6716540</v>
      </c>
      <c r="H87" s="125">
        <v>9334321</v>
      </c>
      <c r="I87" s="125">
        <f>SUM(G87,H87)</f>
        <v>16050861</v>
      </c>
      <c r="J87" s="125">
        <v>10050778</v>
      </c>
      <c r="K87" s="171">
        <v>13438806</v>
      </c>
      <c r="L87" s="171">
        <v>1161019</v>
      </c>
      <c r="M87" s="171">
        <v>8521</v>
      </c>
      <c r="N87" s="125">
        <f>SUM(K87:M87)</f>
        <v>14608346</v>
      </c>
      <c r="O87" s="125">
        <f>I87-N87</f>
        <v>1442515</v>
      </c>
      <c r="P87" s="172">
        <f t="shared" si="31"/>
        <v>8.9871502843367708</v>
      </c>
      <c r="Q87" s="172">
        <f t="shared" si="32"/>
        <v>52.988633368129143</v>
      </c>
      <c r="R87" s="173">
        <f t="shared" si="33"/>
        <v>70.850631069496728</v>
      </c>
      <c r="S87" s="348">
        <f>+G87/I87</f>
        <v>0.41845356457824912</v>
      </c>
    </row>
    <row r="88" spans="1:25" ht="17.100000000000001" customHeight="1" x14ac:dyDescent="0.25">
      <c r="B88" s="60"/>
      <c r="C88" s="143" t="s">
        <v>448</v>
      </c>
      <c r="D88" s="144"/>
      <c r="E88" s="145" t="s">
        <v>535</v>
      </c>
      <c r="F88" s="190">
        <f>SUM(F87)</f>
        <v>189678</v>
      </c>
      <c r="G88" s="190">
        <f t="shared" ref="G88:O88" si="39">SUM(G87)</f>
        <v>6716540</v>
      </c>
      <c r="H88" s="190">
        <f t="shared" si="39"/>
        <v>9334321</v>
      </c>
      <c r="I88" s="190">
        <f t="shared" si="39"/>
        <v>16050861</v>
      </c>
      <c r="J88" s="190">
        <f t="shared" si="39"/>
        <v>10050778</v>
      </c>
      <c r="K88" s="190">
        <f t="shared" si="39"/>
        <v>13438806</v>
      </c>
      <c r="L88" s="190">
        <f t="shared" si="39"/>
        <v>1161019</v>
      </c>
      <c r="M88" s="190">
        <f t="shared" si="39"/>
        <v>8521</v>
      </c>
      <c r="N88" s="190">
        <f t="shared" si="39"/>
        <v>14608346</v>
      </c>
      <c r="O88" s="190">
        <f t="shared" si="39"/>
        <v>1442515</v>
      </c>
      <c r="P88" s="147">
        <f t="shared" si="31"/>
        <v>8.9871502843367708</v>
      </c>
      <c r="Q88" s="147">
        <f t="shared" si="32"/>
        <v>52.988633368129143</v>
      </c>
      <c r="R88" s="148">
        <f t="shared" si="33"/>
        <v>70.850631069496728</v>
      </c>
      <c r="S88" s="348">
        <f>+G88/I88</f>
        <v>0.41845356457824912</v>
      </c>
    </row>
    <row r="89" spans="1:25" ht="17.100000000000001" customHeight="1" x14ac:dyDescent="0.25">
      <c r="A89" s="109">
        <v>2012</v>
      </c>
      <c r="B89" s="63">
        <f>1+B87</f>
        <v>25</v>
      </c>
      <c r="D89" s="149">
        <v>2586</v>
      </c>
      <c r="E89" s="149" t="s">
        <v>758</v>
      </c>
      <c r="F89" s="132">
        <v>48455</v>
      </c>
      <c r="G89" s="132">
        <v>0</v>
      </c>
      <c r="H89" s="132">
        <v>3189002</v>
      </c>
      <c r="I89" s="132">
        <f>SUM(G89,H89)</f>
        <v>3189002</v>
      </c>
      <c r="J89" s="160">
        <v>2239224</v>
      </c>
      <c r="K89" s="160">
        <v>2561498</v>
      </c>
      <c r="L89" s="160">
        <v>39947</v>
      </c>
      <c r="M89" s="160">
        <v>78181</v>
      </c>
      <c r="N89" s="132">
        <f t="shared" ref="N89:N94" si="40">SUM(K89:M89)</f>
        <v>2679626</v>
      </c>
      <c r="O89" s="132">
        <f t="shared" ref="O89:O94" si="41">I89-N89</f>
        <v>509376</v>
      </c>
      <c r="P89" s="133">
        <f t="shared" si="31"/>
        <v>15.972896849860865</v>
      </c>
      <c r="Q89" s="133">
        <f t="shared" si="32"/>
        <v>46.212444536167581</v>
      </c>
      <c r="R89" s="134">
        <f t="shared" si="33"/>
        <v>52.863440305438033</v>
      </c>
    </row>
    <row r="90" spans="1:25" ht="17.100000000000001" customHeight="1" x14ac:dyDescent="0.25">
      <c r="B90" s="66"/>
      <c r="C90" s="65"/>
      <c r="D90" s="62"/>
      <c r="E90" s="62" t="s">
        <v>759</v>
      </c>
      <c r="F90" s="132">
        <v>16342</v>
      </c>
      <c r="G90" s="132">
        <v>0</v>
      </c>
      <c r="H90" s="132">
        <v>1382949</v>
      </c>
      <c r="I90" s="129">
        <f>SUM(G90:H90)</f>
        <v>1382949</v>
      </c>
      <c r="J90" s="132">
        <v>848462</v>
      </c>
      <c r="K90" s="132">
        <v>1067129</v>
      </c>
      <c r="L90" s="132">
        <v>57030</v>
      </c>
      <c r="M90" s="132">
        <v>32600</v>
      </c>
      <c r="N90" s="129">
        <f t="shared" si="40"/>
        <v>1156759</v>
      </c>
      <c r="O90" s="132">
        <f t="shared" si="41"/>
        <v>226190</v>
      </c>
      <c r="P90" s="133">
        <f t="shared" si="31"/>
        <v>16.355628443275926</v>
      </c>
      <c r="Q90" s="133">
        <f t="shared" si="32"/>
        <v>51.919104148818995</v>
      </c>
      <c r="R90" s="134">
        <f t="shared" si="33"/>
        <v>65.299779708725978</v>
      </c>
    </row>
    <row r="91" spans="1:25" ht="17.100000000000001" customHeight="1" x14ac:dyDescent="0.25">
      <c r="B91" s="66"/>
      <c r="C91" s="65"/>
      <c r="D91" s="62"/>
      <c r="E91" s="62" t="s">
        <v>760</v>
      </c>
      <c r="F91" s="192">
        <v>8760</v>
      </c>
      <c r="G91" s="160">
        <v>0</v>
      </c>
      <c r="H91" s="160">
        <v>498631</v>
      </c>
      <c r="I91" s="160">
        <f>SUM(G91:H91)</f>
        <v>498631</v>
      </c>
      <c r="J91" s="160">
        <v>332280</v>
      </c>
      <c r="K91" s="160">
        <v>385532</v>
      </c>
      <c r="L91" s="160">
        <v>0</v>
      </c>
      <c r="M91" s="160">
        <v>1607</v>
      </c>
      <c r="N91" s="160">
        <f t="shared" si="40"/>
        <v>387139</v>
      </c>
      <c r="O91" s="160">
        <f t="shared" si="41"/>
        <v>111492</v>
      </c>
      <c r="P91" s="193">
        <f t="shared" si="31"/>
        <v>22.359620641315921</v>
      </c>
      <c r="Q91" s="193">
        <f t="shared" si="32"/>
        <v>37.93150684931507</v>
      </c>
      <c r="R91" s="194">
        <f t="shared" si="33"/>
        <v>44.010502283105026</v>
      </c>
    </row>
    <row r="92" spans="1:25" ht="17.100000000000001" customHeight="1" x14ac:dyDescent="0.25">
      <c r="B92" s="66"/>
      <c r="C92" s="65"/>
      <c r="D92" s="62"/>
      <c r="E92" s="62" t="s">
        <v>8</v>
      </c>
      <c r="F92" s="192">
        <v>500</v>
      </c>
      <c r="G92" s="132">
        <v>0</v>
      </c>
      <c r="H92" s="132">
        <v>152845</v>
      </c>
      <c r="I92" s="129">
        <f>SUM(G92:H92)</f>
        <v>152845</v>
      </c>
      <c r="J92" s="132">
        <v>78071</v>
      </c>
      <c r="K92" s="132">
        <v>108869</v>
      </c>
      <c r="L92" s="132">
        <v>0</v>
      </c>
      <c r="M92" s="132">
        <v>1671</v>
      </c>
      <c r="N92" s="129">
        <f t="shared" si="40"/>
        <v>110540</v>
      </c>
      <c r="O92" s="132">
        <f t="shared" si="41"/>
        <v>42305</v>
      </c>
      <c r="P92" s="133">
        <f t="shared" si="31"/>
        <v>27.678366973077299</v>
      </c>
      <c r="Q92" s="133">
        <f t="shared" si="32"/>
        <v>156.142</v>
      </c>
      <c r="R92" s="134">
        <f t="shared" si="33"/>
        <v>217.738</v>
      </c>
    </row>
    <row r="93" spans="1:25" ht="17.100000000000001" customHeight="1" x14ac:dyDescent="0.25">
      <c r="B93" s="66"/>
      <c r="C93" s="65"/>
      <c r="D93" s="62"/>
      <c r="E93" s="138" t="s">
        <v>647</v>
      </c>
      <c r="F93" s="195">
        <v>1900</v>
      </c>
      <c r="G93" s="139">
        <v>0</v>
      </c>
      <c r="H93" s="139">
        <v>177068</v>
      </c>
      <c r="I93" s="139">
        <f>SUM(G93,H93)</f>
        <v>177068</v>
      </c>
      <c r="J93" s="139">
        <v>119429</v>
      </c>
      <c r="K93" s="139">
        <v>132074</v>
      </c>
      <c r="L93" s="139">
        <v>0</v>
      </c>
      <c r="M93" s="139">
        <v>2490</v>
      </c>
      <c r="N93" s="139">
        <f t="shared" si="40"/>
        <v>134564</v>
      </c>
      <c r="O93" s="139">
        <f t="shared" si="41"/>
        <v>42504</v>
      </c>
      <c r="P93" s="150">
        <f t="shared" si="31"/>
        <v>24.004337316737072</v>
      </c>
      <c r="Q93" s="150">
        <f t="shared" si="32"/>
        <v>62.857368421052634</v>
      </c>
      <c r="R93" s="151">
        <f t="shared" si="33"/>
        <v>69.512631578947364</v>
      </c>
    </row>
    <row r="94" spans="1:25" ht="17.100000000000001" customHeight="1" x14ac:dyDescent="0.25">
      <c r="B94" s="66"/>
      <c r="C94" s="65"/>
      <c r="D94" s="62"/>
      <c r="E94" s="138" t="s">
        <v>786</v>
      </c>
      <c r="F94" s="196">
        <v>36176</v>
      </c>
      <c r="G94" s="139"/>
      <c r="H94" s="139">
        <v>2740185</v>
      </c>
      <c r="I94" s="139">
        <f>SUM(G94,H94)</f>
        <v>2740185</v>
      </c>
      <c r="J94" s="139">
        <v>1609160</v>
      </c>
      <c r="K94" s="139">
        <v>2093345</v>
      </c>
      <c r="L94" s="139">
        <v>53000</v>
      </c>
      <c r="M94" s="139">
        <v>39841</v>
      </c>
      <c r="N94" s="139">
        <f t="shared" si="40"/>
        <v>2186186</v>
      </c>
      <c r="O94" s="139">
        <f t="shared" si="41"/>
        <v>553999</v>
      </c>
      <c r="P94" s="150">
        <f t="shared" si="31"/>
        <v>20.217576550488378</v>
      </c>
      <c r="Q94" s="150">
        <f t="shared" si="32"/>
        <v>44.481424148606813</v>
      </c>
      <c r="R94" s="151">
        <f t="shared" si="33"/>
        <v>57.865573861123394</v>
      </c>
      <c r="S94" s="348">
        <f>+G94/I94</f>
        <v>0</v>
      </c>
    </row>
    <row r="95" spans="1:25" ht="17.100000000000001" customHeight="1" x14ac:dyDescent="0.25">
      <c r="B95" s="66"/>
      <c r="C95" s="65"/>
      <c r="D95" s="62">
        <v>5402</v>
      </c>
      <c r="E95" s="138" t="s">
        <v>214</v>
      </c>
      <c r="F95" s="360">
        <v>5883</v>
      </c>
      <c r="G95" s="822">
        <v>0</v>
      </c>
      <c r="H95" s="822">
        <v>260723</v>
      </c>
      <c r="I95" s="360">
        <v>260723</v>
      </c>
      <c r="J95" s="822">
        <v>202420</v>
      </c>
      <c r="K95" s="822">
        <v>247831</v>
      </c>
      <c r="L95" s="822">
        <v>0</v>
      </c>
      <c r="M95" s="822">
        <v>1013</v>
      </c>
      <c r="N95" s="822">
        <v>248844</v>
      </c>
      <c r="O95" s="822">
        <v>11879</v>
      </c>
      <c r="P95" s="826">
        <v>4.5561764784848284</v>
      </c>
      <c r="Q95" s="826">
        <v>34.407615162332142</v>
      </c>
      <c r="R95" s="829">
        <v>42.126636070032298</v>
      </c>
      <c r="S95" s="348"/>
    </row>
    <row r="96" spans="1:25" s="135" customFormat="1" ht="17.100000000000001" customHeight="1" x14ac:dyDescent="0.25">
      <c r="A96" s="109"/>
      <c r="B96" s="60"/>
      <c r="C96" s="143" t="s">
        <v>449</v>
      </c>
      <c r="D96" s="180"/>
      <c r="E96" s="145" t="s">
        <v>535</v>
      </c>
      <c r="F96" s="152">
        <f>SUM(F89:F95)</f>
        <v>118016</v>
      </c>
      <c r="G96" s="152">
        <f t="shared" ref="G96:O96" si="42">SUM(G89:G95)</f>
        <v>0</v>
      </c>
      <c r="H96" s="152">
        <f t="shared" si="42"/>
        <v>8401403</v>
      </c>
      <c r="I96" s="152">
        <f t="shared" si="42"/>
        <v>8401403</v>
      </c>
      <c r="J96" s="152">
        <f t="shared" si="42"/>
        <v>5429046</v>
      </c>
      <c r="K96" s="152">
        <f t="shared" si="42"/>
        <v>6596278</v>
      </c>
      <c r="L96" s="152">
        <f t="shared" si="42"/>
        <v>149977</v>
      </c>
      <c r="M96" s="152">
        <f t="shared" si="42"/>
        <v>157403</v>
      </c>
      <c r="N96" s="152">
        <f t="shared" si="42"/>
        <v>6903658</v>
      </c>
      <c r="O96" s="152">
        <f t="shared" si="42"/>
        <v>1497745</v>
      </c>
      <c r="P96" s="147">
        <f t="shared" si="31"/>
        <v>17.82732003214225</v>
      </c>
      <c r="Q96" s="147">
        <f t="shared" si="32"/>
        <v>46.002626762472886</v>
      </c>
      <c r="R96" s="148">
        <f t="shared" si="33"/>
        <v>55.893082293926248</v>
      </c>
      <c r="Y96" s="136"/>
    </row>
    <row r="97" spans="1:29" ht="17.100000000000001" customHeight="1" x14ac:dyDescent="0.25">
      <c r="A97" s="109">
        <v>2012</v>
      </c>
      <c r="B97" s="63">
        <v>26</v>
      </c>
      <c r="D97" s="149">
        <v>1224</v>
      </c>
      <c r="E97" s="149" t="s">
        <v>543</v>
      </c>
      <c r="F97" s="184">
        <v>46464</v>
      </c>
      <c r="G97" s="157">
        <v>0</v>
      </c>
      <c r="H97" s="157">
        <v>3561609</v>
      </c>
      <c r="I97" s="157">
        <f>SUM(G97,H97)</f>
        <v>3561609</v>
      </c>
      <c r="J97" s="157">
        <v>2008315</v>
      </c>
      <c r="K97" s="157">
        <v>2780999</v>
      </c>
      <c r="L97" s="157">
        <v>303118</v>
      </c>
      <c r="M97" s="157">
        <v>94746</v>
      </c>
      <c r="N97" s="157">
        <f>SUM(K97:M97)</f>
        <v>3178863</v>
      </c>
      <c r="O97" s="157">
        <f>I97-N97</f>
        <v>382746</v>
      </c>
      <c r="P97" s="158">
        <f t="shared" si="31"/>
        <v>10.746435108401849</v>
      </c>
      <c r="Q97" s="158">
        <f t="shared" si="32"/>
        <v>43.223032885674932</v>
      </c>
      <c r="R97" s="159">
        <f t="shared" si="33"/>
        <v>59.852767734159777</v>
      </c>
    </row>
    <row r="98" spans="1:29" ht="17.100000000000001" customHeight="1" x14ac:dyDescent="0.25">
      <c r="B98" s="60"/>
      <c r="C98" s="143" t="s">
        <v>268</v>
      </c>
      <c r="D98" s="144"/>
      <c r="E98" s="145" t="s">
        <v>535</v>
      </c>
      <c r="F98" s="190">
        <f>SUM(F97)</f>
        <v>46464</v>
      </c>
      <c r="G98" s="190">
        <f t="shared" ref="G98:O98" si="43">SUM(G97)</f>
        <v>0</v>
      </c>
      <c r="H98" s="190">
        <f t="shared" si="43"/>
        <v>3561609</v>
      </c>
      <c r="I98" s="190">
        <f t="shared" si="43"/>
        <v>3561609</v>
      </c>
      <c r="J98" s="190">
        <f t="shared" si="43"/>
        <v>2008315</v>
      </c>
      <c r="K98" s="190">
        <f t="shared" si="43"/>
        <v>2780999</v>
      </c>
      <c r="L98" s="190">
        <f t="shared" si="43"/>
        <v>303118</v>
      </c>
      <c r="M98" s="190">
        <f t="shared" si="43"/>
        <v>94746</v>
      </c>
      <c r="N98" s="190">
        <f t="shared" si="43"/>
        <v>3178863</v>
      </c>
      <c r="O98" s="190">
        <f t="shared" si="43"/>
        <v>382746</v>
      </c>
      <c r="P98" s="147">
        <f t="shared" si="31"/>
        <v>10.746435108401849</v>
      </c>
      <c r="Q98" s="147">
        <f t="shared" si="32"/>
        <v>43.223032885674932</v>
      </c>
      <c r="R98" s="148">
        <f t="shared" si="33"/>
        <v>59.852767734159777</v>
      </c>
    </row>
    <row r="99" spans="1:29" ht="17.100000000000001" customHeight="1" x14ac:dyDescent="0.25">
      <c r="A99" s="109">
        <v>2012</v>
      </c>
      <c r="B99" s="63">
        <v>27</v>
      </c>
      <c r="D99" s="149">
        <v>5243</v>
      </c>
      <c r="E99" s="149" t="s">
        <v>59</v>
      </c>
      <c r="F99" s="157">
        <v>41251</v>
      </c>
      <c r="G99" s="157">
        <v>2059084</v>
      </c>
      <c r="H99" s="157">
        <v>1399745</v>
      </c>
      <c r="I99" s="157">
        <f>SUM(G99,H99)</f>
        <v>3458829</v>
      </c>
      <c r="J99" s="156">
        <v>2247889</v>
      </c>
      <c r="K99" s="156">
        <v>3119387</v>
      </c>
      <c r="L99" s="157">
        <v>76918</v>
      </c>
      <c r="M99" s="157">
        <v>5168</v>
      </c>
      <c r="N99" s="157">
        <f>SUM(K99:M99)</f>
        <v>3201473</v>
      </c>
      <c r="O99" s="157">
        <f>I99-N99</f>
        <v>257356</v>
      </c>
      <c r="P99" s="158">
        <f t="shared" si="31"/>
        <v>7.4405528576289832</v>
      </c>
      <c r="Q99" s="158">
        <f t="shared" si="32"/>
        <v>54.492957746478872</v>
      </c>
      <c r="R99" s="159">
        <f t="shared" si="33"/>
        <v>75.619669826186026</v>
      </c>
      <c r="S99" s="348">
        <f>+G99/I99</f>
        <v>0.59531245979491898</v>
      </c>
      <c r="AA99" s="69"/>
      <c r="AB99" s="69"/>
      <c r="AC99" s="69"/>
    </row>
    <row r="100" spans="1:29" ht="17.100000000000001" customHeight="1" x14ac:dyDescent="0.25">
      <c r="B100" s="66"/>
      <c r="D100" s="62"/>
      <c r="E100" s="62" t="s">
        <v>71</v>
      </c>
      <c r="F100" s="495">
        <v>10506</v>
      </c>
      <c r="G100" s="496">
        <v>0</v>
      </c>
      <c r="H100" s="496">
        <v>871726</v>
      </c>
      <c r="I100" s="495">
        <v>871726</v>
      </c>
      <c r="J100" s="495">
        <v>626381</v>
      </c>
      <c r="K100" s="495">
        <v>826779</v>
      </c>
      <c r="L100" s="495">
        <v>11523</v>
      </c>
      <c r="M100" s="495">
        <v>0</v>
      </c>
      <c r="N100" s="495">
        <v>838302</v>
      </c>
      <c r="O100" s="495">
        <v>33424</v>
      </c>
      <c r="P100" s="497">
        <v>3.8342323161176792</v>
      </c>
      <c r="Q100" s="497">
        <v>59.621264039596419</v>
      </c>
      <c r="R100" s="498">
        <v>78.695888063963451</v>
      </c>
      <c r="S100" s="348"/>
      <c r="AA100" s="69"/>
      <c r="AB100" s="69"/>
      <c r="AC100" s="69"/>
    </row>
    <row r="101" spans="1:29" ht="17.100000000000001" customHeight="1" x14ac:dyDescent="0.25">
      <c r="B101" s="66"/>
      <c r="D101" s="62"/>
      <c r="E101" s="62" t="s">
        <v>78</v>
      </c>
      <c r="F101" s="499">
        <v>10679</v>
      </c>
      <c r="G101" s="495">
        <v>0</v>
      </c>
      <c r="H101" s="495">
        <v>899873</v>
      </c>
      <c r="I101" s="495">
        <v>899873</v>
      </c>
      <c r="J101" s="495">
        <v>638800</v>
      </c>
      <c r="K101" s="495">
        <v>819916</v>
      </c>
      <c r="L101" s="495">
        <v>0</v>
      </c>
      <c r="M101" s="495">
        <v>584</v>
      </c>
      <c r="N101" s="495">
        <v>820500</v>
      </c>
      <c r="O101" s="495">
        <v>79373</v>
      </c>
      <c r="P101" s="497">
        <v>8.8204668881053223</v>
      </c>
      <c r="Q101" s="497">
        <v>59.818335050098327</v>
      </c>
      <c r="R101" s="498">
        <v>76.778350032774611</v>
      </c>
      <c r="S101" s="348"/>
      <c r="AA101" s="69"/>
      <c r="AB101" s="69"/>
      <c r="AC101" s="69"/>
    </row>
    <row r="102" spans="1:29" ht="17.100000000000001" customHeight="1" x14ac:dyDescent="0.25">
      <c r="B102" s="60"/>
      <c r="C102" s="143" t="s">
        <v>450</v>
      </c>
      <c r="D102" s="180"/>
      <c r="E102" s="145" t="s">
        <v>535</v>
      </c>
      <c r="F102" s="146">
        <f>SUM(F99)</f>
        <v>41251</v>
      </c>
      <c r="G102" s="146">
        <f>SUM(G99)</f>
        <v>2059084</v>
      </c>
      <c r="H102" s="146">
        <f>SUM(H99)</f>
        <v>1399745</v>
      </c>
      <c r="I102" s="146">
        <f t="shared" ref="I102:O102" si="44">SUM(I99:I101)</f>
        <v>5230428</v>
      </c>
      <c r="J102" s="146">
        <f t="shared" si="44"/>
        <v>3513070</v>
      </c>
      <c r="K102" s="146">
        <f t="shared" si="44"/>
        <v>4766082</v>
      </c>
      <c r="L102" s="146">
        <f t="shared" si="44"/>
        <v>88441</v>
      </c>
      <c r="M102" s="146">
        <f t="shared" si="44"/>
        <v>5752</v>
      </c>
      <c r="N102" s="146">
        <f t="shared" si="44"/>
        <v>4860275</v>
      </c>
      <c r="O102" s="146">
        <f t="shared" si="44"/>
        <v>370153</v>
      </c>
      <c r="P102" s="147">
        <f t="shared" si="31"/>
        <v>7.0769160764664001</v>
      </c>
      <c r="Q102" s="147">
        <f t="shared" si="32"/>
        <v>85.163268769241952</v>
      </c>
      <c r="R102" s="148">
        <f t="shared" si="33"/>
        <v>115.53858088288769</v>
      </c>
      <c r="S102" s="348">
        <f>+G102/I102</f>
        <v>0.39367409320996294</v>
      </c>
      <c r="AA102" s="69"/>
      <c r="AB102" s="69"/>
      <c r="AC102" s="69"/>
    </row>
    <row r="103" spans="1:29" ht="17.100000000000001" customHeight="1" x14ac:dyDescent="0.25">
      <c r="A103" s="109">
        <v>2012</v>
      </c>
      <c r="B103" s="63">
        <v>28</v>
      </c>
      <c r="C103" s="1753" t="s">
        <v>659</v>
      </c>
      <c r="D103" s="149">
        <v>7315</v>
      </c>
      <c r="E103" s="149" t="s">
        <v>421</v>
      </c>
      <c r="F103" s="184">
        <v>47750</v>
      </c>
      <c r="G103" s="157">
        <v>0</v>
      </c>
      <c r="H103" s="157">
        <v>7660522</v>
      </c>
      <c r="I103" s="157">
        <f>SUM(G103,H103)</f>
        <v>7660522</v>
      </c>
      <c r="J103" s="157">
        <v>2194782</v>
      </c>
      <c r="K103" s="157">
        <v>2785842</v>
      </c>
      <c r="L103" s="157">
        <v>4253449</v>
      </c>
      <c r="M103" s="157">
        <v>0</v>
      </c>
      <c r="N103" s="157">
        <f>SUM(K103:M103)</f>
        <v>7039291</v>
      </c>
      <c r="O103" s="157">
        <f>I103-N103</f>
        <v>621231</v>
      </c>
      <c r="P103" s="158">
        <f t="shared" si="31"/>
        <v>8.1095126415667238</v>
      </c>
      <c r="Q103" s="158">
        <f t="shared" si="32"/>
        <v>45.964020942408375</v>
      </c>
      <c r="R103" s="159">
        <f t="shared" si="33"/>
        <v>58.342240837696338</v>
      </c>
    </row>
    <row r="104" spans="1:29" ht="17.100000000000001" customHeight="1" x14ac:dyDescent="0.25">
      <c r="B104" s="60"/>
      <c r="C104" s="1754"/>
      <c r="D104" s="144"/>
      <c r="E104" s="145" t="s">
        <v>535</v>
      </c>
      <c r="F104" s="152">
        <f>SUM(F103)</f>
        <v>47750</v>
      </c>
      <c r="G104" s="152">
        <f t="shared" ref="G104:O104" si="45">SUM(G103)</f>
        <v>0</v>
      </c>
      <c r="H104" s="152">
        <f t="shared" si="45"/>
        <v>7660522</v>
      </c>
      <c r="I104" s="152">
        <f t="shared" si="45"/>
        <v>7660522</v>
      </c>
      <c r="J104" s="152">
        <f t="shared" si="45"/>
        <v>2194782</v>
      </c>
      <c r="K104" s="152">
        <f t="shared" si="45"/>
        <v>2785842</v>
      </c>
      <c r="L104" s="152">
        <f t="shared" si="45"/>
        <v>4253449</v>
      </c>
      <c r="M104" s="152">
        <f t="shared" si="45"/>
        <v>0</v>
      </c>
      <c r="N104" s="152">
        <f t="shared" si="45"/>
        <v>7039291</v>
      </c>
      <c r="O104" s="152">
        <f t="shared" si="45"/>
        <v>621231</v>
      </c>
      <c r="P104" s="147">
        <f t="shared" si="31"/>
        <v>8.1095126415667238</v>
      </c>
      <c r="Q104" s="147">
        <f t="shared" si="32"/>
        <v>45.964020942408375</v>
      </c>
      <c r="R104" s="148">
        <f t="shared" si="33"/>
        <v>58.342240837696338</v>
      </c>
    </row>
    <row r="105" spans="1:29" ht="17.100000000000001" customHeight="1" x14ac:dyDescent="0.25">
      <c r="A105" s="109">
        <v>2012</v>
      </c>
      <c r="B105" s="66">
        <v>29</v>
      </c>
      <c r="D105" s="62">
        <v>6647</v>
      </c>
      <c r="E105" s="62" t="s">
        <v>761</v>
      </c>
      <c r="F105" s="153">
        <v>54882</v>
      </c>
      <c r="G105" s="132">
        <v>0</v>
      </c>
      <c r="H105" s="132">
        <v>3274499</v>
      </c>
      <c r="I105" s="132">
        <v>3274499</v>
      </c>
      <c r="J105" s="132">
        <v>2044508</v>
      </c>
      <c r="K105" s="132">
        <v>2270260</v>
      </c>
      <c r="L105" s="132">
        <v>58327</v>
      </c>
      <c r="M105" s="132">
        <v>46068</v>
      </c>
      <c r="N105" s="129">
        <v>2374655</v>
      </c>
      <c r="O105" s="132">
        <v>899844</v>
      </c>
      <c r="P105" s="133">
        <v>27.48035653698474</v>
      </c>
      <c r="Q105" s="133">
        <v>37.252796909733611</v>
      </c>
      <c r="R105" s="134">
        <v>41.366203855544626</v>
      </c>
    </row>
    <row r="106" spans="1:29" ht="17.100000000000001" customHeight="1" x14ac:dyDescent="0.25">
      <c r="B106" s="60"/>
      <c r="C106" s="1753" t="s">
        <v>269</v>
      </c>
      <c r="D106" s="144"/>
      <c r="E106" s="145" t="s">
        <v>535</v>
      </c>
      <c r="F106" s="152">
        <v>54882</v>
      </c>
      <c r="G106" s="152">
        <v>0</v>
      </c>
      <c r="H106" s="152">
        <v>3274499</v>
      </c>
      <c r="I106" s="152">
        <v>3274499</v>
      </c>
      <c r="J106" s="152">
        <v>2044508</v>
      </c>
      <c r="K106" s="152">
        <v>2270260</v>
      </c>
      <c r="L106" s="152">
        <v>58327</v>
      </c>
      <c r="M106" s="152">
        <v>46068</v>
      </c>
      <c r="N106" s="152">
        <v>2374655</v>
      </c>
      <c r="O106" s="152">
        <v>899844</v>
      </c>
      <c r="P106" s="147">
        <v>27.48035653698474</v>
      </c>
      <c r="Q106" s="147">
        <v>37.252796909733611</v>
      </c>
      <c r="R106" s="148">
        <v>41.366203855544626</v>
      </c>
    </row>
    <row r="107" spans="1:29" ht="17.100000000000001" customHeight="1" x14ac:dyDescent="0.25">
      <c r="A107" s="109">
        <v>2012</v>
      </c>
      <c r="B107" s="63">
        <v>30</v>
      </c>
      <c r="C107" s="1754"/>
      <c r="D107" s="149">
        <v>6463</v>
      </c>
      <c r="E107" s="149" t="s">
        <v>54</v>
      </c>
      <c r="F107" s="184">
        <v>69108</v>
      </c>
      <c r="G107" s="157">
        <v>4501689</v>
      </c>
      <c r="H107" s="157">
        <v>2077674</v>
      </c>
      <c r="I107" s="157">
        <v>6579363</v>
      </c>
      <c r="J107" s="157">
        <v>4231711</v>
      </c>
      <c r="K107" s="157">
        <v>5948179</v>
      </c>
      <c r="L107" s="157">
        <v>2285</v>
      </c>
      <c r="M107" s="157">
        <v>199026</v>
      </c>
      <c r="N107" s="157">
        <v>6149490</v>
      </c>
      <c r="O107" s="157">
        <v>429873</v>
      </c>
      <c r="P107" s="158">
        <v>6.5336568296961275</v>
      </c>
      <c r="Q107" s="158">
        <v>61.233301499102851</v>
      </c>
      <c r="R107" s="159">
        <v>86.070773282398562</v>
      </c>
      <c r="S107" s="348">
        <f>+G107/I107</f>
        <v>0.68421350212778953</v>
      </c>
    </row>
    <row r="108" spans="1:29" ht="17.100000000000001" customHeight="1" x14ac:dyDescent="0.25">
      <c r="B108" s="66"/>
      <c r="C108" s="43" t="s">
        <v>258</v>
      </c>
      <c r="D108" s="62"/>
      <c r="E108" s="162" t="s">
        <v>535</v>
      </c>
      <c r="F108" s="152">
        <v>69108</v>
      </c>
      <c r="G108" s="152">
        <v>4501689</v>
      </c>
      <c r="H108" s="152">
        <v>2077674</v>
      </c>
      <c r="I108" s="152">
        <v>6579363</v>
      </c>
      <c r="J108" s="152">
        <v>4231711</v>
      </c>
      <c r="K108" s="152">
        <v>5948179</v>
      </c>
      <c r="L108" s="152">
        <v>2285</v>
      </c>
      <c r="M108" s="152">
        <v>199026</v>
      </c>
      <c r="N108" s="152">
        <v>6149490</v>
      </c>
      <c r="O108" s="152">
        <v>429873</v>
      </c>
      <c r="P108" s="147">
        <v>6.5336568296961275</v>
      </c>
      <c r="Q108" s="147">
        <v>61.233301499102851</v>
      </c>
      <c r="R108" s="148">
        <v>86.070773282398562</v>
      </c>
      <c r="S108" s="348">
        <f>+G108/I108</f>
        <v>0.68421350212778953</v>
      </c>
    </row>
    <row r="109" spans="1:29" s="203" customFormat="1" ht="17.100000000000001" customHeight="1" x14ac:dyDescent="0.25">
      <c r="A109" s="189" t="s">
        <v>667</v>
      </c>
      <c r="B109" s="197">
        <v>31</v>
      </c>
      <c r="C109" s="198"/>
      <c r="D109" s="199">
        <v>371</v>
      </c>
      <c r="E109" s="199" t="s">
        <v>318</v>
      </c>
      <c r="F109" s="200">
        <v>41678</v>
      </c>
      <c r="G109" s="200">
        <v>4370400</v>
      </c>
      <c r="H109" s="200">
        <v>0</v>
      </c>
      <c r="I109" s="200">
        <v>4370400</v>
      </c>
      <c r="J109" s="200">
        <v>2067894</v>
      </c>
      <c r="K109" s="200">
        <v>3005690</v>
      </c>
      <c r="L109" s="200">
        <v>790655</v>
      </c>
      <c r="M109" s="200">
        <v>0</v>
      </c>
      <c r="N109" s="200">
        <v>3796345</v>
      </c>
      <c r="O109" s="200">
        <v>574055</v>
      </c>
      <c r="P109" s="201">
        <v>13.135067728354386</v>
      </c>
      <c r="Q109" s="201">
        <v>49.615960458755218</v>
      </c>
      <c r="R109" s="202">
        <v>72.116944191179996</v>
      </c>
      <c r="S109" s="348">
        <f>+G109/I109</f>
        <v>1</v>
      </c>
      <c r="Y109" s="204"/>
    </row>
    <row r="110" spans="1:29" s="203" customFormat="1" ht="17.100000000000001" customHeight="1" x14ac:dyDescent="0.25">
      <c r="A110" s="205"/>
      <c r="B110" s="206"/>
      <c r="C110" s="207"/>
      <c r="D110" s="208"/>
      <c r="E110" s="208" t="s">
        <v>43</v>
      </c>
      <c r="F110" s="200">
        <v>1559</v>
      </c>
      <c r="G110" s="200">
        <v>207050</v>
      </c>
      <c r="H110" s="200">
        <v>53628</v>
      </c>
      <c r="I110" s="200">
        <v>260678</v>
      </c>
      <c r="J110" s="200">
        <v>116103</v>
      </c>
      <c r="K110" s="200">
        <v>215859</v>
      </c>
      <c r="L110" s="200">
        <v>0</v>
      </c>
      <c r="M110" s="200">
        <v>1336</v>
      </c>
      <c r="N110" s="200">
        <v>217195</v>
      </c>
      <c r="O110" s="200">
        <v>43483</v>
      </c>
      <c r="P110" s="201">
        <v>16.68073255127015</v>
      </c>
      <c r="Q110" s="201">
        <v>74.472738935214878</v>
      </c>
      <c r="R110" s="202">
        <v>138.45991019884542</v>
      </c>
      <c r="S110" s="348">
        <f>+G110/I110</f>
        <v>0.79427492922302612</v>
      </c>
      <c r="Y110" s="204"/>
    </row>
    <row r="111" spans="1:29" s="203" customFormat="1" ht="17.100000000000001" customHeight="1" x14ac:dyDescent="0.25">
      <c r="A111" s="205"/>
      <c r="B111" s="206"/>
      <c r="C111" s="207"/>
      <c r="D111" s="208"/>
      <c r="E111" s="210" t="s">
        <v>642</v>
      </c>
      <c r="F111" s="211">
        <v>3005</v>
      </c>
      <c r="G111" s="212">
        <v>0</v>
      </c>
      <c r="H111" s="212">
        <v>197286</v>
      </c>
      <c r="I111" s="212">
        <v>197286</v>
      </c>
      <c r="J111" s="212">
        <v>144035</v>
      </c>
      <c r="K111" s="212">
        <v>160476</v>
      </c>
      <c r="L111" s="212">
        <v>0</v>
      </c>
      <c r="M111" s="212">
        <v>729</v>
      </c>
      <c r="N111" s="212">
        <v>161205</v>
      </c>
      <c r="O111" s="212">
        <v>36081</v>
      </c>
      <c r="P111" s="213">
        <v>18.288677351662056</v>
      </c>
      <c r="Q111" s="213">
        <v>47.931780366056572</v>
      </c>
      <c r="R111" s="214">
        <v>53.402995008319465</v>
      </c>
      <c r="S111" s="209"/>
      <c r="Y111" s="204"/>
    </row>
    <row r="112" spans="1:29" s="203" customFormat="1" ht="17.100000000000001" customHeight="1" x14ac:dyDescent="0.25">
      <c r="A112" s="205"/>
      <c r="B112" s="215"/>
      <c r="C112" s="143" t="s">
        <v>828</v>
      </c>
      <c r="D112" s="216"/>
      <c r="E112" s="217" t="s">
        <v>535</v>
      </c>
      <c r="F112" s="218">
        <v>43237</v>
      </c>
      <c r="G112" s="218">
        <v>4577450</v>
      </c>
      <c r="H112" s="218">
        <v>250914</v>
      </c>
      <c r="I112" s="218">
        <v>4828364</v>
      </c>
      <c r="J112" s="218">
        <v>2328032</v>
      </c>
      <c r="K112" s="218">
        <v>3382025</v>
      </c>
      <c r="L112" s="218">
        <v>790655</v>
      </c>
      <c r="M112" s="218">
        <v>2065</v>
      </c>
      <c r="N112" s="218">
        <v>4174745</v>
      </c>
      <c r="O112" s="218">
        <v>653619</v>
      </c>
      <c r="P112" s="219">
        <v>13.5370696989705</v>
      </c>
      <c r="Q112" s="219">
        <v>53.843513657284269</v>
      </c>
      <c r="R112" s="220">
        <v>78.220621227189682</v>
      </c>
      <c r="S112" s="348">
        <f>+G112/I112</f>
        <v>0.94803332971582088</v>
      </c>
      <c r="Y112" s="204"/>
    </row>
    <row r="113" spans="1:25" s="203" customFormat="1" ht="17.100000000000001" customHeight="1" x14ac:dyDescent="0.25">
      <c r="A113" s="205">
        <v>2012</v>
      </c>
      <c r="B113" s="197">
        <v>32</v>
      </c>
      <c r="C113" s="198"/>
      <c r="D113" s="199">
        <v>6841</v>
      </c>
      <c r="E113" s="221" t="s">
        <v>7</v>
      </c>
      <c r="F113" s="222">
        <v>196335</v>
      </c>
      <c r="G113" s="222">
        <v>0</v>
      </c>
      <c r="H113" s="222">
        <v>18145888</v>
      </c>
      <c r="I113" s="222">
        <v>18145888</v>
      </c>
      <c r="J113" s="222">
        <v>10124548</v>
      </c>
      <c r="K113" s="222">
        <v>14720275</v>
      </c>
      <c r="L113" s="222">
        <v>458072</v>
      </c>
      <c r="M113" s="222">
        <v>56524</v>
      </c>
      <c r="N113" s="222">
        <v>15234871</v>
      </c>
      <c r="O113" s="222">
        <v>2911017</v>
      </c>
      <c r="P113" s="223">
        <v>16.042295642957789</v>
      </c>
      <c r="Q113" s="223">
        <v>51.567718440420713</v>
      </c>
      <c r="R113" s="224">
        <v>74.975297323452267</v>
      </c>
      <c r="Y113" s="204"/>
    </row>
    <row r="114" spans="1:25" s="203" customFormat="1" ht="17.100000000000001" customHeight="1" x14ac:dyDescent="0.25">
      <c r="A114" s="205"/>
      <c r="B114" s="206"/>
      <c r="C114" s="207"/>
      <c r="D114" s="208"/>
      <c r="E114" s="225" t="s">
        <v>141</v>
      </c>
      <c r="F114" s="200">
        <v>24366</v>
      </c>
      <c r="G114" s="200">
        <v>0</v>
      </c>
      <c r="H114" s="200">
        <v>2249327</v>
      </c>
      <c r="I114" s="200">
        <v>2249327</v>
      </c>
      <c r="J114" s="200">
        <v>1094713</v>
      </c>
      <c r="K114" s="200">
        <v>1433090</v>
      </c>
      <c r="L114" s="200">
        <v>400123</v>
      </c>
      <c r="M114" s="200">
        <v>0</v>
      </c>
      <c r="N114" s="200">
        <v>1833213</v>
      </c>
      <c r="O114" s="200">
        <v>416114</v>
      </c>
      <c r="P114" s="201">
        <v>18.499488958252847</v>
      </c>
      <c r="Q114" s="201">
        <v>44.927891323976034</v>
      </c>
      <c r="R114" s="202">
        <v>58.815152261347777</v>
      </c>
      <c r="Y114" s="204"/>
    </row>
    <row r="115" spans="1:25" s="203" customFormat="1" ht="17.100000000000001" customHeight="1" thickBot="1" x14ac:dyDescent="0.3">
      <c r="A115" s="205"/>
      <c r="B115" s="226"/>
      <c r="C115" s="143" t="s">
        <v>452</v>
      </c>
      <c r="D115" s="227"/>
      <c r="E115" s="228" t="s">
        <v>535</v>
      </c>
      <c r="F115" s="229">
        <v>220701</v>
      </c>
      <c r="G115" s="229">
        <v>0</v>
      </c>
      <c r="H115" s="229">
        <v>20395215</v>
      </c>
      <c r="I115" s="229">
        <v>20395215</v>
      </c>
      <c r="J115" s="229">
        <v>11219261</v>
      </c>
      <c r="K115" s="229">
        <v>16153365</v>
      </c>
      <c r="L115" s="229">
        <v>858195</v>
      </c>
      <c r="M115" s="229">
        <v>56524</v>
      </c>
      <c r="N115" s="229">
        <v>17068084</v>
      </c>
      <c r="O115" s="229">
        <v>3327131</v>
      </c>
      <c r="P115" s="230">
        <v>16.313292112880397</v>
      </c>
      <c r="Q115" s="230">
        <v>50.834663186845553</v>
      </c>
      <c r="R115" s="231">
        <v>73.191172672529802</v>
      </c>
      <c r="Y115" s="204"/>
    </row>
    <row r="116" spans="1:25" ht="17.100000000000001" customHeight="1" x14ac:dyDescent="0.25">
      <c r="A116" s="109">
        <v>2012</v>
      </c>
      <c r="B116" s="123">
        <v>33</v>
      </c>
      <c r="D116" s="124">
        <v>8329</v>
      </c>
      <c r="E116" s="124" t="s">
        <v>762</v>
      </c>
      <c r="F116" s="125">
        <v>84209</v>
      </c>
      <c r="G116" s="125">
        <v>0</v>
      </c>
      <c r="H116" s="125">
        <v>5357384</v>
      </c>
      <c r="I116" s="125">
        <v>5357384</v>
      </c>
      <c r="J116" s="125">
        <v>3536540</v>
      </c>
      <c r="K116" s="125">
        <v>4490740</v>
      </c>
      <c r="L116" s="125">
        <v>118294</v>
      </c>
      <c r="M116" s="125">
        <v>0</v>
      </c>
      <c r="N116" s="125">
        <v>4609034</v>
      </c>
      <c r="O116" s="125">
        <v>748350</v>
      </c>
      <c r="P116" s="172">
        <v>13.968571228047121</v>
      </c>
      <c r="Q116" s="172">
        <v>41.997173698773288</v>
      </c>
      <c r="R116" s="173">
        <v>53.328504079136437</v>
      </c>
    </row>
    <row r="117" spans="1:25" ht="17.100000000000001" customHeight="1" x14ac:dyDescent="0.25">
      <c r="B117" s="60"/>
      <c r="C117" s="143" t="s">
        <v>531</v>
      </c>
      <c r="D117" s="144"/>
      <c r="E117" s="145" t="s">
        <v>535</v>
      </c>
      <c r="F117" s="146">
        <v>84209</v>
      </c>
      <c r="G117" s="146">
        <v>0</v>
      </c>
      <c r="H117" s="146">
        <v>5357384</v>
      </c>
      <c r="I117" s="146">
        <v>5357384</v>
      </c>
      <c r="J117" s="146">
        <v>3536540</v>
      </c>
      <c r="K117" s="146">
        <v>4490740</v>
      </c>
      <c r="L117" s="146">
        <v>118294</v>
      </c>
      <c r="M117" s="146">
        <v>0</v>
      </c>
      <c r="N117" s="146">
        <v>4609034</v>
      </c>
      <c r="O117" s="146">
        <v>748350</v>
      </c>
      <c r="P117" s="147">
        <v>13.968571228047121</v>
      </c>
      <c r="Q117" s="147">
        <v>41.997173698773288</v>
      </c>
      <c r="R117" s="148">
        <v>53.328504079136437</v>
      </c>
    </row>
    <row r="118" spans="1:25" ht="17.100000000000001" customHeight="1" x14ac:dyDescent="0.25">
      <c r="A118" s="109">
        <v>2012</v>
      </c>
      <c r="B118" s="63">
        <v>34</v>
      </c>
      <c r="C118" s="13"/>
      <c r="D118" s="149">
        <v>7864</v>
      </c>
      <c r="E118" s="149" t="s">
        <v>542</v>
      </c>
      <c r="F118" s="184">
        <v>11587</v>
      </c>
      <c r="G118" s="157">
        <v>0</v>
      </c>
      <c r="H118" s="156">
        <v>1298735</v>
      </c>
      <c r="I118" s="157">
        <v>1298735</v>
      </c>
      <c r="J118" s="157">
        <v>662481</v>
      </c>
      <c r="K118" s="157">
        <v>891857</v>
      </c>
      <c r="L118" s="157">
        <v>222020</v>
      </c>
      <c r="M118" s="157">
        <v>12411</v>
      </c>
      <c r="N118" s="157">
        <v>1126288</v>
      </c>
      <c r="O118" s="157">
        <v>172447</v>
      </c>
      <c r="P118" s="158">
        <v>13.27807443396844</v>
      </c>
      <c r="Q118" s="158">
        <v>57.174505911797702</v>
      </c>
      <c r="R118" s="159">
        <v>76.970484163286443</v>
      </c>
    </row>
    <row r="119" spans="1:25" ht="17.100000000000001" customHeight="1" x14ac:dyDescent="0.25">
      <c r="B119" s="66"/>
      <c r="C119" s="65"/>
      <c r="D119" s="62"/>
      <c r="E119" s="62" t="s">
        <v>61</v>
      </c>
      <c r="F119" s="153">
        <v>182575</v>
      </c>
      <c r="G119" s="132">
        <v>0</v>
      </c>
      <c r="H119" s="132">
        <v>13422560</v>
      </c>
      <c r="I119" s="132">
        <v>13422560</v>
      </c>
      <c r="J119" s="132">
        <v>9445824</v>
      </c>
      <c r="K119" s="132">
        <v>11506298</v>
      </c>
      <c r="L119" s="132">
        <v>243567</v>
      </c>
      <c r="M119" s="132">
        <v>0</v>
      </c>
      <c r="N119" s="132">
        <v>11749865</v>
      </c>
      <c r="O119" s="132">
        <v>1672695</v>
      </c>
      <c r="P119" s="133">
        <v>12.461818013851307</v>
      </c>
      <c r="Q119" s="133">
        <v>51.736678077502397</v>
      </c>
      <c r="R119" s="134">
        <v>63.022308640284812</v>
      </c>
    </row>
    <row r="120" spans="1:25" x14ac:dyDescent="0.25">
      <c r="B120" s="66"/>
      <c r="C120" s="65"/>
      <c r="D120" s="62"/>
      <c r="E120" s="62" t="s">
        <v>206</v>
      </c>
      <c r="F120" s="153">
        <v>6961</v>
      </c>
      <c r="G120" s="132">
        <v>0</v>
      </c>
      <c r="H120" s="132">
        <v>538283</v>
      </c>
      <c r="I120" s="132">
        <v>538283</v>
      </c>
      <c r="J120" s="132">
        <v>372327</v>
      </c>
      <c r="K120" s="132">
        <v>461381</v>
      </c>
      <c r="L120" s="132">
        <v>0</v>
      </c>
      <c r="M120" s="132">
        <v>0</v>
      </c>
      <c r="N120" s="132">
        <v>461381</v>
      </c>
      <c r="O120" s="132">
        <v>76902</v>
      </c>
      <c r="P120" s="133">
        <v>14.28653700748491</v>
      </c>
      <c r="Q120" s="133">
        <v>53.487573624479239</v>
      </c>
      <c r="R120" s="134">
        <v>66.280850452521193</v>
      </c>
    </row>
    <row r="121" spans="1:25" x14ac:dyDescent="0.25">
      <c r="B121" s="60"/>
      <c r="C121" s="143" t="s">
        <v>453</v>
      </c>
      <c r="D121" s="144"/>
      <c r="E121" s="145" t="s">
        <v>535</v>
      </c>
      <c r="F121" s="152">
        <v>194162</v>
      </c>
      <c r="G121" s="152">
        <v>0</v>
      </c>
      <c r="H121" s="152">
        <v>15259578</v>
      </c>
      <c r="I121" s="152">
        <v>15259578</v>
      </c>
      <c r="J121" s="152">
        <v>10480632</v>
      </c>
      <c r="K121" s="152">
        <v>12859536</v>
      </c>
      <c r="L121" s="152">
        <v>465587</v>
      </c>
      <c r="M121" s="152">
        <v>12411</v>
      </c>
      <c r="N121" s="152">
        <v>13337534</v>
      </c>
      <c r="O121" s="152">
        <v>1922044</v>
      </c>
      <c r="P121" s="154">
        <v>12.595656315004256</v>
      </c>
      <c r="Q121" s="154">
        <v>53.978801207239314</v>
      </c>
      <c r="R121" s="155">
        <v>66.230961774188557</v>
      </c>
    </row>
    <row r="122" spans="1:25" x14ac:dyDescent="0.25">
      <c r="A122" s="109">
        <v>2012</v>
      </c>
      <c r="B122" s="63">
        <v>35</v>
      </c>
      <c r="D122" s="149">
        <v>5742</v>
      </c>
      <c r="E122" s="181" t="s">
        <v>541</v>
      </c>
      <c r="F122" s="157">
        <v>210376</v>
      </c>
      <c r="G122" s="157">
        <v>7676156</v>
      </c>
      <c r="H122" s="157">
        <v>8481701</v>
      </c>
      <c r="I122" s="157">
        <v>16157857</v>
      </c>
      <c r="J122" s="157">
        <v>11017785</v>
      </c>
      <c r="K122" s="157">
        <v>15021919</v>
      </c>
      <c r="L122" s="157">
        <v>187999</v>
      </c>
      <c r="M122" s="157">
        <v>48833</v>
      </c>
      <c r="N122" s="157">
        <v>15258751</v>
      </c>
      <c r="O122" s="157">
        <v>899106</v>
      </c>
      <c r="P122" s="158">
        <v>5.5645126702136301</v>
      </c>
      <c r="Q122" s="158">
        <v>52.371872266798491</v>
      </c>
      <c r="R122" s="159">
        <v>71.405098490322089</v>
      </c>
      <c r="S122" s="348">
        <f>+G122/I122</f>
        <v>0.47507265350844485</v>
      </c>
    </row>
    <row r="123" spans="1:25" x14ac:dyDescent="0.25">
      <c r="B123" s="66"/>
      <c r="C123" s="65"/>
      <c r="D123" s="62"/>
      <c r="E123" s="179" t="s">
        <v>6</v>
      </c>
      <c r="F123" s="132">
        <v>39796</v>
      </c>
      <c r="G123" s="132">
        <v>0</v>
      </c>
      <c r="H123" s="132">
        <v>1878533</v>
      </c>
      <c r="I123" s="132">
        <v>1878533</v>
      </c>
      <c r="J123" s="132">
        <v>1386071</v>
      </c>
      <c r="K123" s="132">
        <v>1636209</v>
      </c>
      <c r="L123" s="132">
        <v>0</v>
      </c>
      <c r="M123" s="132">
        <v>0</v>
      </c>
      <c r="N123" s="132">
        <v>1636209</v>
      </c>
      <c r="O123" s="132">
        <v>242324</v>
      </c>
      <c r="P123" s="133">
        <v>12.899640304429042</v>
      </c>
      <c r="Q123" s="133">
        <v>34.82940496532315</v>
      </c>
      <c r="R123" s="134">
        <v>41.114911046336317</v>
      </c>
    </row>
    <row r="124" spans="1:25" s="69" customFormat="1" x14ac:dyDescent="0.25">
      <c r="A124" s="118"/>
      <c r="B124" s="66"/>
      <c r="C124" s="65"/>
      <c r="D124" s="62"/>
      <c r="E124" s="179" t="s">
        <v>25</v>
      </c>
      <c r="F124" s="132">
        <v>3012</v>
      </c>
      <c r="G124" s="132">
        <v>0</v>
      </c>
      <c r="H124" s="132">
        <v>192742</v>
      </c>
      <c r="I124" s="132">
        <v>192742</v>
      </c>
      <c r="J124" s="132">
        <v>123404</v>
      </c>
      <c r="K124" s="132">
        <v>131381</v>
      </c>
      <c r="L124" s="132">
        <v>0</v>
      </c>
      <c r="M124" s="132">
        <v>0</v>
      </c>
      <c r="N124" s="132">
        <v>131381</v>
      </c>
      <c r="O124" s="132">
        <v>61361</v>
      </c>
      <c r="P124" s="133">
        <v>31.835821979641178</v>
      </c>
      <c r="Q124" s="133">
        <v>40.970783532536522</v>
      </c>
      <c r="R124" s="134">
        <v>43.619189907038511</v>
      </c>
      <c r="Y124" s="120"/>
    </row>
    <row r="125" spans="1:25" s="69" customFormat="1" x14ac:dyDescent="0.25">
      <c r="A125" s="118"/>
      <c r="B125" s="60"/>
      <c r="C125" s="143" t="s">
        <v>454</v>
      </c>
      <c r="D125" s="180"/>
      <c r="E125" s="145" t="s">
        <v>535</v>
      </c>
      <c r="F125" s="146">
        <v>253184</v>
      </c>
      <c r="G125" s="146">
        <v>7676156</v>
      </c>
      <c r="H125" s="146">
        <v>10552976</v>
      </c>
      <c r="I125" s="146">
        <v>18229132</v>
      </c>
      <c r="J125" s="146">
        <v>12527260</v>
      </c>
      <c r="K125" s="146">
        <v>16789509</v>
      </c>
      <c r="L125" s="146">
        <v>187999</v>
      </c>
      <c r="M125" s="146">
        <v>48833</v>
      </c>
      <c r="N125" s="146">
        <v>17026341</v>
      </c>
      <c r="O125" s="146">
        <v>1202791</v>
      </c>
      <c r="P125" s="147">
        <v>6.5981803192823447</v>
      </c>
      <c r="Q125" s="147">
        <v>49.478877022244689</v>
      </c>
      <c r="R125" s="148">
        <v>66.313467675682503</v>
      </c>
      <c r="S125" s="348">
        <f>+G125/I125</f>
        <v>0.42109278708388309</v>
      </c>
      <c r="Y125" s="120"/>
    </row>
    <row r="126" spans="1:25" x14ac:dyDescent="0.25">
      <c r="A126" s="109">
        <v>2012</v>
      </c>
      <c r="B126" s="63">
        <v>36</v>
      </c>
      <c r="D126" s="149">
        <v>6019</v>
      </c>
      <c r="E126" s="149" t="s">
        <v>346</v>
      </c>
      <c r="F126" s="184">
        <v>232410</v>
      </c>
      <c r="G126" s="157">
        <v>10037068</v>
      </c>
      <c r="H126" s="157">
        <v>9269876</v>
      </c>
      <c r="I126" s="157">
        <v>19306944</v>
      </c>
      <c r="J126" s="157">
        <v>12217983</v>
      </c>
      <c r="K126" s="157">
        <v>17425166</v>
      </c>
      <c r="L126" s="157">
        <v>409366</v>
      </c>
      <c r="M126" s="157">
        <v>8140</v>
      </c>
      <c r="N126" s="157">
        <v>17842672</v>
      </c>
      <c r="O126" s="157">
        <v>1464272</v>
      </c>
      <c r="P126" s="158">
        <v>7.5841728240367816</v>
      </c>
      <c r="Q126" s="158">
        <v>52.570814508842133</v>
      </c>
      <c r="R126" s="159">
        <v>74.975973495116392</v>
      </c>
      <c r="S126" s="348">
        <f>+G126/I126</f>
        <v>0.51986829194718753</v>
      </c>
    </row>
    <row r="127" spans="1:25" x14ac:dyDescent="0.25">
      <c r="B127" s="60"/>
      <c r="C127" s="143" t="s">
        <v>455</v>
      </c>
      <c r="D127" s="144"/>
      <c r="E127" s="145" t="s">
        <v>535</v>
      </c>
      <c r="F127" s="152">
        <v>232410</v>
      </c>
      <c r="G127" s="152">
        <v>10037068</v>
      </c>
      <c r="H127" s="152">
        <v>9269876</v>
      </c>
      <c r="I127" s="152">
        <v>19306944</v>
      </c>
      <c r="J127" s="152">
        <v>12217983</v>
      </c>
      <c r="K127" s="152">
        <v>17425166</v>
      </c>
      <c r="L127" s="152">
        <v>409366</v>
      </c>
      <c r="M127" s="152">
        <v>8140</v>
      </c>
      <c r="N127" s="152">
        <v>17842672</v>
      </c>
      <c r="O127" s="152">
        <v>1464272</v>
      </c>
      <c r="P127" s="147">
        <v>7.5841728240367816</v>
      </c>
      <c r="Q127" s="147">
        <v>52.570814508842133</v>
      </c>
      <c r="R127" s="148">
        <v>74.975973495116392</v>
      </c>
      <c r="S127" s="348">
        <f>+G127/I127</f>
        <v>0.51986829194718753</v>
      </c>
    </row>
    <row r="128" spans="1:25" x14ac:dyDescent="0.25">
      <c r="A128" s="109">
        <v>2012</v>
      </c>
      <c r="B128" s="66">
        <v>37</v>
      </c>
      <c r="D128" s="62">
        <v>3070</v>
      </c>
      <c r="E128" s="62" t="s">
        <v>540</v>
      </c>
      <c r="F128" s="153">
        <v>52030</v>
      </c>
      <c r="G128" s="132">
        <v>0</v>
      </c>
      <c r="H128" s="132">
        <v>3627098</v>
      </c>
      <c r="I128" s="132">
        <v>3627098</v>
      </c>
      <c r="J128" s="132">
        <v>2611755</v>
      </c>
      <c r="K128" s="132">
        <v>3249509</v>
      </c>
      <c r="L128" s="132">
        <v>49030</v>
      </c>
      <c r="M128" s="132">
        <v>456</v>
      </c>
      <c r="N128" s="132">
        <v>3298995</v>
      </c>
      <c r="O128" s="132">
        <v>328103</v>
      </c>
      <c r="P128" s="133">
        <v>9.0458818592715158</v>
      </c>
      <c r="Q128" s="133">
        <v>50.197097828176055</v>
      </c>
      <c r="R128" s="134">
        <v>62.454526234864502</v>
      </c>
    </row>
    <row r="129" spans="1:25" x14ac:dyDescent="0.25">
      <c r="B129" s="60"/>
      <c r="C129" s="143" t="s">
        <v>658</v>
      </c>
      <c r="D129" s="144"/>
      <c r="E129" s="145" t="s">
        <v>535</v>
      </c>
      <c r="F129" s="146">
        <v>52030</v>
      </c>
      <c r="G129" s="146">
        <v>0</v>
      </c>
      <c r="H129" s="146">
        <v>3627098</v>
      </c>
      <c r="I129" s="146">
        <v>3627098</v>
      </c>
      <c r="J129" s="146">
        <v>2611755</v>
      </c>
      <c r="K129" s="146">
        <v>3249509</v>
      </c>
      <c r="L129" s="146">
        <v>49030</v>
      </c>
      <c r="M129" s="146">
        <v>456</v>
      </c>
      <c r="N129" s="146">
        <v>3298995</v>
      </c>
      <c r="O129" s="146">
        <v>328103</v>
      </c>
      <c r="P129" s="147">
        <v>9.0458818592715158</v>
      </c>
      <c r="Q129" s="147">
        <v>50.197097828176055</v>
      </c>
      <c r="R129" s="148">
        <v>62.454526234864502</v>
      </c>
    </row>
    <row r="130" spans="1:25" s="203" customFormat="1" x14ac:dyDescent="0.25">
      <c r="A130" s="189" t="s">
        <v>667</v>
      </c>
      <c r="B130" s="197">
        <v>38</v>
      </c>
      <c r="C130" s="198"/>
      <c r="D130" s="199">
        <v>4457</v>
      </c>
      <c r="E130" s="232" t="s">
        <v>122</v>
      </c>
      <c r="F130" s="222">
        <v>210376</v>
      </c>
      <c r="G130" s="222">
        <v>7952256</v>
      </c>
      <c r="H130" s="222">
        <v>7986916</v>
      </c>
      <c r="I130" s="222">
        <v>15939172</v>
      </c>
      <c r="J130" s="222">
        <v>10772051</v>
      </c>
      <c r="K130" s="222">
        <v>14733022</v>
      </c>
      <c r="L130" s="222">
        <v>254423</v>
      </c>
      <c r="M130" s="222">
        <v>39137</v>
      </c>
      <c r="N130" s="222">
        <v>15026582</v>
      </c>
      <c r="O130" s="222">
        <v>912590</v>
      </c>
      <c r="P130" s="223">
        <v>5.7254542456785078</v>
      </c>
      <c r="Q130" s="223">
        <v>51.203801764459826</v>
      </c>
      <c r="R130" s="224">
        <v>70.031857246073699</v>
      </c>
      <c r="S130" s="348">
        <f>+G130/I130</f>
        <v>0.49891274151505488</v>
      </c>
      <c r="Y130" s="204"/>
    </row>
    <row r="131" spans="1:25" s="203" customFormat="1" x14ac:dyDescent="0.25">
      <c r="A131" s="205"/>
      <c r="B131" s="206"/>
      <c r="C131" s="207"/>
      <c r="D131" s="208"/>
      <c r="E131" s="233" t="s">
        <v>787</v>
      </c>
      <c r="F131" s="200">
        <v>39796</v>
      </c>
      <c r="G131" s="200">
        <v>0</v>
      </c>
      <c r="H131" s="200">
        <v>1844900</v>
      </c>
      <c r="I131" s="200">
        <v>1844900</v>
      </c>
      <c r="J131" s="200">
        <v>1440448</v>
      </c>
      <c r="K131" s="200">
        <v>1665459</v>
      </c>
      <c r="L131" s="200">
        <v>0</v>
      </c>
      <c r="M131" s="200">
        <v>0</v>
      </c>
      <c r="N131" s="200">
        <v>1665459</v>
      </c>
      <c r="O131" s="200">
        <v>179441</v>
      </c>
      <c r="P131" s="201">
        <v>9.7263266301696572</v>
      </c>
      <c r="Q131" s="201">
        <v>36.195798572720875</v>
      </c>
      <c r="R131" s="202">
        <v>41.849909538647097</v>
      </c>
      <c r="Y131" s="204"/>
    </row>
    <row r="132" spans="1:25" s="203" customFormat="1" x14ac:dyDescent="0.25">
      <c r="A132" s="205"/>
      <c r="B132" s="206"/>
      <c r="C132" s="207"/>
      <c r="D132" s="208"/>
      <c r="E132" s="233" t="s">
        <v>109</v>
      </c>
      <c r="F132" s="200">
        <v>3012</v>
      </c>
      <c r="G132" s="200">
        <v>0</v>
      </c>
      <c r="H132" s="200">
        <v>188991</v>
      </c>
      <c r="I132" s="200">
        <v>188991</v>
      </c>
      <c r="J132" s="200">
        <v>114092</v>
      </c>
      <c r="K132" s="200">
        <v>119640</v>
      </c>
      <c r="L132" s="200">
        <v>0</v>
      </c>
      <c r="M132" s="200">
        <v>0</v>
      </c>
      <c r="N132" s="200">
        <v>119640</v>
      </c>
      <c r="O132" s="200">
        <v>69351</v>
      </c>
      <c r="P132" s="201">
        <v>36.69539819356477</v>
      </c>
      <c r="Q132" s="201">
        <v>37.87915006640106</v>
      </c>
      <c r="R132" s="202">
        <v>39.721115537848604</v>
      </c>
      <c r="Y132" s="204"/>
    </row>
    <row r="133" spans="1:25" s="203" customFormat="1" x14ac:dyDescent="0.25">
      <c r="A133" s="205"/>
      <c r="B133" s="215"/>
      <c r="C133" s="143" t="s">
        <v>661</v>
      </c>
      <c r="D133" s="216"/>
      <c r="E133" s="217" t="s">
        <v>535</v>
      </c>
      <c r="F133" s="234">
        <v>253184</v>
      </c>
      <c r="G133" s="234">
        <v>7952256</v>
      </c>
      <c r="H133" s="234">
        <v>10020807</v>
      </c>
      <c r="I133" s="234">
        <v>17973063</v>
      </c>
      <c r="J133" s="234">
        <v>12326591</v>
      </c>
      <c r="K133" s="234">
        <v>16518121</v>
      </c>
      <c r="L133" s="234">
        <v>254423</v>
      </c>
      <c r="M133" s="234">
        <v>39137</v>
      </c>
      <c r="N133" s="234">
        <v>16811681</v>
      </c>
      <c r="O133" s="234">
        <v>1161382</v>
      </c>
      <c r="P133" s="235">
        <v>6.4617922943907775</v>
      </c>
      <c r="Q133" s="235">
        <v>48.686295342517695</v>
      </c>
      <c r="R133" s="236">
        <v>65.241567397623868</v>
      </c>
      <c r="S133" s="348">
        <f>+G133/I133</f>
        <v>0.44245413260945005</v>
      </c>
      <c r="Y133" s="204"/>
    </row>
    <row r="134" spans="1:25" x14ac:dyDescent="0.25">
      <c r="A134" s="109">
        <v>2012</v>
      </c>
      <c r="B134" s="66">
        <v>39</v>
      </c>
      <c r="D134" s="62">
        <v>7290</v>
      </c>
      <c r="E134" s="62" t="s">
        <v>763</v>
      </c>
      <c r="F134" s="153">
        <v>23437</v>
      </c>
      <c r="G134" s="132">
        <v>0</v>
      </c>
      <c r="H134" s="132">
        <v>2351024</v>
      </c>
      <c r="I134" s="132">
        <v>2351024</v>
      </c>
      <c r="J134" s="132">
        <v>1228128</v>
      </c>
      <c r="K134" s="132">
        <v>1687922</v>
      </c>
      <c r="L134" s="132">
        <v>236693</v>
      </c>
      <c r="M134" s="132">
        <v>1415</v>
      </c>
      <c r="N134" s="132">
        <v>1926030</v>
      </c>
      <c r="O134" s="132">
        <v>424994</v>
      </c>
      <c r="P134" s="133">
        <v>18.076974118511764</v>
      </c>
      <c r="Q134" s="133">
        <v>52.401245893245722</v>
      </c>
      <c r="R134" s="134">
        <v>72.019541750224008</v>
      </c>
    </row>
    <row r="135" spans="1:25" s="135" customFormat="1" x14ac:dyDescent="0.25">
      <c r="A135" s="109"/>
      <c r="B135" s="66"/>
      <c r="C135" s="65"/>
      <c r="D135" s="62"/>
      <c r="E135" s="62" t="s">
        <v>127</v>
      </c>
      <c r="F135" s="132">
        <v>32433</v>
      </c>
      <c r="G135" s="132">
        <v>0</v>
      </c>
      <c r="H135" s="132">
        <v>3129367</v>
      </c>
      <c r="I135" s="132">
        <v>3129367</v>
      </c>
      <c r="J135" s="132">
        <v>1728023</v>
      </c>
      <c r="K135" s="132">
        <v>2430428</v>
      </c>
      <c r="L135" s="132">
        <v>248068</v>
      </c>
      <c r="M135" s="132">
        <v>0</v>
      </c>
      <c r="N135" s="132">
        <v>2678496</v>
      </c>
      <c r="O135" s="132">
        <v>450871</v>
      </c>
      <c r="P135" s="133">
        <v>14.407738050538654</v>
      </c>
      <c r="Q135" s="133">
        <v>53.279776770573179</v>
      </c>
      <c r="R135" s="134">
        <v>74.936885271174418</v>
      </c>
      <c r="Y135" s="136"/>
    </row>
    <row r="136" spans="1:25" x14ac:dyDescent="0.25">
      <c r="B136" s="66"/>
      <c r="C136" s="65"/>
      <c r="D136" s="62"/>
      <c r="E136" s="62" t="s">
        <v>764</v>
      </c>
      <c r="F136" s="132">
        <v>8282</v>
      </c>
      <c r="G136" s="132">
        <v>0</v>
      </c>
      <c r="H136" s="132">
        <v>1114586</v>
      </c>
      <c r="I136" s="132">
        <v>1114586</v>
      </c>
      <c r="J136" s="132">
        <v>444179</v>
      </c>
      <c r="K136" s="132">
        <v>716393</v>
      </c>
      <c r="L136" s="132">
        <v>248291</v>
      </c>
      <c r="M136" s="132">
        <v>0</v>
      </c>
      <c r="N136" s="132">
        <v>964684</v>
      </c>
      <c r="O136" s="132">
        <v>149902</v>
      </c>
      <c r="P136" s="133">
        <v>13.449119224537181</v>
      </c>
      <c r="Q136" s="133">
        <v>53.631852209611203</v>
      </c>
      <c r="R136" s="134">
        <v>86.5</v>
      </c>
    </row>
    <row r="137" spans="1:25" x14ac:dyDescent="0.25">
      <c r="B137" s="66"/>
      <c r="C137" s="65"/>
      <c r="D137" s="62"/>
      <c r="E137" s="62" t="s">
        <v>130</v>
      </c>
      <c r="F137" s="132">
        <v>4915</v>
      </c>
      <c r="G137" s="132">
        <v>0</v>
      </c>
      <c r="H137" s="132">
        <v>677889</v>
      </c>
      <c r="I137" s="132">
        <v>677889</v>
      </c>
      <c r="J137" s="132">
        <v>207011</v>
      </c>
      <c r="K137" s="132">
        <v>386525</v>
      </c>
      <c r="L137" s="132">
        <v>145186</v>
      </c>
      <c r="M137" s="132">
        <v>12125</v>
      </c>
      <c r="N137" s="132">
        <v>543836</v>
      </c>
      <c r="O137" s="132">
        <v>134053</v>
      </c>
      <c r="P137" s="133">
        <v>19.775066419428551</v>
      </c>
      <c r="Q137" s="133">
        <v>42.118209562563578</v>
      </c>
      <c r="R137" s="134">
        <v>78.641912512716175</v>
      </c>
    </row>
    <row r="138" spans="1:25" x14ac:dyDescent="0.25">
      <c r="B138" s="60"/>
      <c r="C138" s="143" t="s">
        <v>267</v>
      </c>
      <c r="D138" s="144"/>
      <c r="E138" s="145" t="s">
        <v>535</v>
      </c>
      <c r="F138" s="146">
        <v>69067</v>
      </c>
      <c r="G138" s="146">
        <v>0</v>
      </c>
      <c r="H138" s="146">
        <v>7272866</v>
      </c>
      <c r="I138" s="146">
        <v>7272866</v>
      </c>
      <c r="J138" s="146">
        <v>3607341</v>
      </c>
      <c r="K138" s="146">
        <v>5221268</v>
      </c>
      <c r="L138" s="146">
        <v>878238</v>
      </c>
      <c r="M138" s="146">
        <v>13540</v>
      </c>
      <c r="N138" s="146">
        <v>6113046</v>
      </c>
      <c r="O138" s="146">
        <v>1159820</v>
      </c>
      <c r="P138" s="147">
        <v>15.947220806763109</v>
      </c>
      <c r="Q138" s="147">
        <v>52.229588660286389</v>
      </c>
      <c r="R138" s="148">
        <v>75.597144801424704</v>
      </c>
    </row>
    <row r="139" spans="1:25" x14ac:dyDescent="0.25">
      <c r="A139" s="109">
        <v>2012</v>
      </c>
      <c r="B139" s="63">
        <v>40</v>
      </c>
      <c r="D139" s="149">
        <v>1719</v>
      </c>
      <c r="E139" s="138" t="s">
        <v>765</v>
      </c>
      <c r="F139" s="174">
        <v>19524</v>
      </c>
      <c r="G139" s="139">
        <v>0</v>
      </c>
      <c r="H139" s="139">
        <v>1447965</v>
      </c>
      <c r="I139" s="139">
        <v>1447965</v>
      </c>
      <c r="J139" s="139">
        <v>918670</v>
      </c>
      <c r="K139" s="139">
        <v>1278288</v>
      </c>
      <c r="L139" s="139">
        <v>3489</v>
      </c>
      <c r="M139" s="139">
        <v>0</v>
      </c>
      <c r="N139" s="139">
        <v>1281777</v>
      </c>
      <c r="O139" s="139">
        <v>166188</v>
      </c>
      <c r="P139" s="150">
        <v>11.477349245320156</v>
      </c>
      <c r="Q139" s="150">
        <v>47.053370211022333</v>
      </c>
      <c r="R139" s="151">
        <v>65.472649047326371</v>
      </c>
    </row>
    <row r="140" spans="1:25" x14ac:dyDescent="0.25">
      <c r="B140" s="66"/>
      <c r="C140" s="65"/>
      <c r="D140" s="62"/>
      <c r="E140" s="62" t="s">
        <v>766</v>
      </c>
      <c r="F140" s="153">
        <v>17057</v>
      </c>
      <c r="G140" s="132">
        <v>0</v>
      </c>
      <c r="H140" s="160">
        <v>1421805</v>
      </c>
      <c r="I140" s="132">
        <v>1421805</v>
      </c>
      <c r="J140" s="132">
        <v>971546</v>
      </c>
      <c r="K140" s="132">
        <v>1284895</v>
      </c>
      <c r="L140" s="132">
        <v>0</v>
      </c>
      <c r="M140" s="132">
        <v>9077</v>
      </c>
      <c r="N140" s="132">
        <v>1293972</v>
      </c>
      <c r="O140" s="132">
        <v>127833</v>
      </c>
      <c r="P140" s="133">
        <v>8.9908953759481776</v>
      </c>
      <c r="Q140" s="133">
        <v>56.958785249457698</v>
      </c>
      <c r="R140" s="134">
        <v>75.329483496511699</v>
      </c>
    </row>
    <row r="141" spans="1:25" x14ac:dyDescent="0.25">
      <c r="B141" s="66"/>
      <c r="C141" s="65"/>
      <c r="D141" s="62"/>
      <c r="E141" s="62" t="s">
        <v>115</v>
      </c>
      <c r="F141" s="153">
        <v>7113</v>
      </c>
      <c r="G141" s="132">
        <v>0</v>
      </c>
      <c r="H141" s="132">
        <v>512160</v>
      </c>
      <c r="I141" s="132">
        <v>512160</v>
      </c>
      <c r="J141" s="132">
        <v>389423</v>
      </c>
      <c r="K141" s="132">
        <v>456218</v>
      </c>
      <c r="L141" s="132">
        <v>0</v>
      </c>
      <c r="M141" s="132">
        <v>0</v>
      </c>
      <c r="N141" s="132">
        <v>456218</v>
      </c>
      <c r="O141" s="132">
        <v>55942</v>
      </c>
      <c r="P141" s="133">
        <v>10.922758512964698</v>
      </c>
      <c r="Q141" s="133">
        <v>54.748066919724451</v>
      </c>
      <c r="R141" s="134">
        <v>64.138619429214117</v>
      </c>
    </row>
    <row r="142" spans="1:25" x14ac:dyDescent="0.25">
      <c r="B142" s="60"/>
      <c r="C142" s="143" t="s">
        <v>270</v>
      </c>
      <c r="D142" s="144"/>
      <c r="E142" s="145" t="s">
        <v>535</v>
      </c>
      <c r="F142" s="152">
        <v>43694</v>
      </c>
      <c r="G142" s="152">
        <v>0</v>
      </c>
      <c r="H142" s="152">
        <v>3381930</v>
      </c>
      <c r="I142" s="152">
        <v>3381930</v>
      </c>
      <c r="J142" s="152">
        <v>2279639</v>
      </c>
      <c r="K142" s="152">
        <v>3019401</v>
      </c>
      <c r="L142" s="152">
        <v>3489</v>
      </c>
      <c r="M142" s="152">
        <v>9077</v>
      </c>
      <c r="N142" s="152">
        <v>3031967</v>
      </c>
      <c r="O142" s="152">
        <v>349963</v>
      </c>
      <c r="P142" s="147">
        <v>10.34802612709311</v>
      </c>
      <c r="Q142" s="147">
        <v>52.172815489540895</v>
      </c>
      <c r="R142" s="148">
        <v>69.103332265299585</v>
      </c>
    </row>
    <row r="143" spans="1:25" x14ac:dyDescent="0.25">
      <c r="A143" s="109">
        <v>2012</v>
      </c>
      <c r="B143" s="66">
        <v>41</v>
      </c>
      <c r="D143" s="62">
        <v>3178</v>
      </c>
      <c r="E143" s="62" t="s">
        <v>767</v>
      </c>
      <c r="F143" s="132">
        <v>11853</v>
      </c>
      <c r="G143" s="132">
        <v>0</v>
      </c>
      <c r="H143" s="129">
        <v>1272811</v>
      </c>
      <c r="I143" s="132">
        <v>1272811</v>
      </c>
      <c r="J143" s="132">
        <v>803077</v>
      </c>
      <c r="K143" s="132">
        <v>1059648</v>
      </c>
      <c r="L143" s="132">
        <v>0</v>
      </c>
      <c r="M143" s="132">
        <v>17061</v>
      </c>
      <c r="N143" s="132">
        <v>1076709</v>
      </c>
      <c r="O143" s="132">
        <v>196102</v>
      </c>
      <c r="P143" s="133">
        <v>15.407000725166581</v>
      </c>
      <c r="Q143" s="133">
        <v>67.753058297477438</v>
      </c>
      <c r="R143" s="134">
        <v>89.399139458364971</v>
      </c>
    </row>
    <row r="144" spans="1:25" x14ac:dyDescent="0.25">
      <c r="B144" s="66"/>
      <c r="C144" s="65"/>
      <c r="D144" s="62"/>
      <c r="E144" s="62" t="s">
        <v>768</v>
      </c>
      <c r="F144" s="132">
        <v>19500</v>
      </c>
      <c r="G144" s="132">
        <v>722970</v>
      </c>
      <c r="H144" s="132">
        <v>940821</v>
      </c>
      <c r="I144" s="132">
        <v>1663791</v>
      </c>
      <c r="J144" s="132">
        <v>1102842</v>
      </c>
      <c r="K144" s="132">
        <v>1335918</v>
      </c>
      <c r="L144" s="132">
        <v>0</v>
      </c>
      <c r="M144" s="160">
        <v>59906</v>
      </c>
      <c r="N144" s="132">
        <v>1395824</v>
      </c>
      <c r="O144" s="132">
        <v>267967</v>
      </c>
      <c r="P144" s="133">
        <v>16.105808962784387</v>
      </c>
      <c r="Q144" s="133">
        <v>56.555999999999997</v>
      </c>
      <c r="R144" s="134">
        <v>68.508615384615382</v>
      </c>
      <c r="S144" s="348">
        <f>+G144/I144</f>
        <v>0.43453174106603532</v>
      </c>
    </row>
    <row r="145" spans="1:25" x14ac:dyDescent="0.25">
      <c r="B145" s="66"/>
      <c r="C145" s="65"/>
      <c r="D145" s="62"/>
      <c r="E145" s="62" t="s">
        <v>769</v>
      </c>
      <c r="F145" s="132">
        <v>5460</v>
      </c>
      <c r="G145" s="132">
        <v>318381</v>
      </c>
      <c r="H145" s="132">
        <v>166145</v>
      </c>
      <c r="I145" s="132">
        <v>484526</v>
      </c>
      <c r="J145" s="132">
        <v>339832</v>
      </c>
      <c r="K145" s="132">
        <v>455611</v>
      </c>
      <c r="L145" s="132">
        <v>0</v>
      </c>
      <c r="M145" s="132">
        <v>2725</v>
      </c>
      <c r="N145" s="132">
        <v>458336</v>
      </c>
      <c r="O145" s="132">
        <v>26190</v>
      </c>
      <c r="P145" s="133">
        <v>5.4052826886482874</v>
      </c>
      <c r="Q145" s="133">
        <v>62.240293040293039</v>
      </c>
      <c r="R145" s="134">
        <v>83.445238095238096</v>
      </c>
      <c r="S145" s="348">
        <f>+G145/I145</f>
        <v>0.65709786471727005</v>
      </c>
    </row>
    <row r="146" spans="1:25" x14ac:dyDescent="0.25">
      <c r="B146" s="66"/>
      <c r="C146" s="65"/>
      <c r="D146" s="62"/>
      <c r="E146" s="62" t="s">
        <v>770</v>
      </c>
      <c r="F146" s="160">
        <v>17602</v>
      </c>
      <c r="G146" s="132">
        <v>863500</v>
      </c>
      <c r="H146" s="132">
        <v>619872</v>
      </c>
      <c r="I146" s="132">
        <v>1483372</v>
      </c>
      <c r="J146" s="132">
        <v>766996</v>
      </c>
      <c r="K146" s="160">
        <v>1112163</v>
      </c>
      <c r="L146" s="132">
        <v>0</v>
      </c>
      <c r="M146" s="132">
        <v>276661</v>
      </c>
      <c r="N146" s="132">
        <v>1388824</v>
      </c>
      <c r="O146" s="132">
        <v>94548</v>
      </c>
      <c r="P146" s="133">
        <v>6.3738563219475628</v>
      </c>
      <c r="Q146" s="133">
        <v>43.574366549255764</v>
      </c>
      <c r="R146" s="134">
        <v>63.183899556868539</v>
      </c>
      <c r="S146" s="348">
        <f>+G146/I146</f>
        <v>0.58211965710556757</v>
      </c>
    </row>
    <row r="147" spans="1:25" x14ac:dyDescent="0.25">
      <c r="B147" s="66"/>
      <c r="C147" s="65"/>
      <c r="D147" s="62"/>
      <c r="E147" s="62" t="s">
        <v>771</v>
      </c>
      <c r="F147" s="132">
        <v>10818</v>
      </c>
      <c r="G147" s="132">
        <v>0</v>
      </c>
      <c r="H147" s="132">
        <v>1010025</v>
      </c>
      <c r="I147" s="132">
        <v>1010025</v>
      </c>
      <c r="J147" s="132">
        <v>715716</v>
      </c>
      <c r="K147" s="132">
        <v>898794</v>
      </c>
      <c r="L147" s="132">
        <v>0</v>
      </c>
      <c r="M147" s="132">
        <v>707</v>
      </c>
      <c r="N147" s="132">
        <v>899501</v>
      </c>
      <c r="O147" s="132">
        <v>110524</v>
      </c>
      <c r="P147" s="133">
        <v>10.942699438132719</v>
      </c>
      <c r="Q147" s="133">
        <v>66.159733777038269</v>
      </c>
      <c r="R147" s="134">
        <v>83.083194675540767</v>
      </c>
    </row>
    <row r="148" spans="1:25" ht="15.75" thickBot="1" x14ac:dyDescent="0.3">
      <c r="B148" s="165"/>
      <c r="C148" s="143" t="s">
        <v>259</v>
      </c>
      <c r="D148" s="176"/>
      <c r="E148" s="167" t="s">
        <v>535</v>
      </c>
      <c r="F148" s="168">
        <v>65233</v>
      </c>
      <c r="G148" s="168">
        <v>1904851</v>
      </c>
      <c r="H148" s="168">
        <v>4009674</v>
      </c>
      <c r="I148" s="168">
        <v>5914525</v>
      </c>
      <c r="J148" s="168">
        <v>3728463</v>
      </c>
      <c r="K148" s="168">
        <v>4862134</v>
      </c>
      <c r="L148" s="168">
        <v>0</v>
      </c>
      <c r="M148" s="168">
        <v>357060</v>
      </c>
      <c r="N148" s="168">
        <v>5219194</v>
      </c>
      <c r="O148" s="168">
        <v>695331</v>
      </c>
      <c r="P148" s="169">
        <v>11.756328699261562</v>
      </c>
      <c r="Q148" s="169">
        <v>57.156086643263379</v>
      </c>
      <c r="R148" s="170">
        <v>74.534882651418755</v>
      </c>
      <c r="S148" s="348">
        <f>+G148/I148</f>
        <v>0.32206322570282481</v>
      </c>
    </row>
    <row r="149" spans="1:25" x14ac:dyDescent="0.25">
      <c r="A149" s="109">
        <v>2012</v>
      </c>
      <c r="B149" s="123">
        <v>42</v>
      </c>
      <c r="D149" s="124">
        <v>778</v>
      </c>
      <c r="E149" s="124" t="s">
        <v>772</v>
      </c>
      <c r="F149" s="191">
        <v>21032</v>
      </c>
      <c r="G149" s="125">
        <v>0</v>
      </c>
      <c r="H149" s="125">
        <v>1817054</v>
      </c>
      <c r="I149" s="125">
        <v>1817054</v>
      </c>
      <c r="J149" s="125">
        <v>959152</v>
      </c>
      <c r="K149" s="125">
        <v>1365310</v>
      </c>
      <c r="L149" s="125">
        <v>71346</v>
      </c>
      <c r="M149" s="125">
        <v>14121</v>
      </c>
      <c r="N149" s="125">
        <v>1450777</v>
      </c>
      <c r="O149" s="125">
        <v>366277</v>
      </c>
      <c r="P149" s="172">
        <v>20.157738845405806</v>
      </c>
      <c r="Q149" s="172">
        <v>45.604412324077593</v>
      </c>
      <c r="R149" s="173">
        <v>64.91584252567516</v>
      </c>
    </row>
    <row r="150" spans="1:25" x14ac:dyDescent="0.25">
      <c r="B150" s="66"/>
      <c r="C150" s="65"/>
      <c r="D150" s="62"/>
      <c r="E150" s="62" t="s">
        <v>773</v>
      </c>
      <c r="F150" s="132">
        <v>7577</v>
      </c>
      <c r="G150" s="132">
        <v>0</v>
      </c>
      <c r="H150" s="132">
        <v>351125</v>
      </c>
      <c r="I150" s="129">
        <v>351125</v>
      </c>
      <c r="J150" s="132">
        <v>215972</v>
      </c>
      <c r="K150" s="132">
        <v>242817</v>
      </c>
      <c r="L150" s="132">
        <v>0</v>
      </c>
      <c r="M150" s="132">
        <v>1318</v>
      </c>
      <c r="N150" s="129">
        <v>244135</v>
      </c>
      <c r="O150" s="132">
        <v>106990</v>
      </c>
      <c r="P150" s="133">
        <v>30.47063011747953</v>
      </c>
      <c r="Q150" s="133">
        <v>28.503629404777616</v>
      </c>
      <c r="R150" s="134">
        <v>32.046588359509038</v>
      </c>
    </row>
    <row r="151" spans="1:25" x14ac:dyDescent="0.25">
      <c r="B151" s="66"/>
      <c r="C151" s="65"/>
      <c r="D151" s="62"/>
      <c r="E151" s="62" t="s">
        <v>774</v>
      </c>
      <c r="F151" s="132">
        <v>5605</v>
      </c>
      <c r="G151" s="132">
        <v>0</v>
      </c>
      <c r="H151" s="132">
        <v>548056</v>
      </c>
      <c r="I151" s="132">
        <v>548056</v>
      </c>
      <c r="J151" s="132">
        <v>363802</v>
      </c>
      <c r="K151" s="132">
        <v>459629</v>
      </c>
      <c r="L151" s="132">
        <v>0</v>
      </c>
      <c r="M151" s="132">
        <v>0</v>
      </c>
      <c r="N151" s="132">
        <v>459629</v>
      </c>
      <c r="O151" s="132">
        <v>88427</v>
      </c>
      <c r="P151" s="133">
        <v>16.134665070722701</v>
      </c>
      <c r="Q151" s="133">
        <v>64.906690454950933</v>
      </c>
      <c r="R151" s="134">
        <v>82.003389830508468</v>
      </c>
    </row>
    <row r="152" spans="1:25" x14ac:dyDescent="0.25">
      <c r="B152" s="66"/>
      <c r="C152" s="65"/>
      <c r="D152" s="62"/>
      <c r="E152" s="62" t="s">
        <v>355</v>
      </c>
      <c r="F152" s="132">
        <v>6053</v>
      </c>
      <c r="G152" s="132">
        <v>0</v>
      </c>
      <c r="H152" s="132">
        <v>844803</v>
      </c>
      <c r="I152" s="132">
        <v>844803</v>
      </c>
      <c r="J152" s="132">
        <v>289970</v>
      </c>
      <c r="K152" s="132">
        <v>396026</v>
      </c>
      <c r="L152" s="132">
        <v>406208</v>
      </c>
      <c r="M152" s="132">
        <v>0</v>
      </c>
      <c r="N152" s="132">
        <v>802234</v>
      </c>
      <c r="O152" s="132">
        <v>42569</v>
      </c>
      <c r="P152" s="133">
        <v>5.038926234873693</v>
      </c>
      <c r="Q152" s="133">
        <v>47.905170989591937</v>
      </c>
      <c r="R152" s="134">
        <v>65.426400132165867</v>
      </c>
    </row>
    <row r="153" spans="1:25" s="135" customFormat="1" ht="15.75" thickBot="1" x14ac:dyDescent="0.3">
      <c r="A153" s="109"/>
      <c r="B153" s="165"/>
      <c r="C153" s="143" t="s">
        <v>260</v>
      </c>
      <c r="D153" s="166"/>
      <c r="E153" s="167" t="s">
        <v>535</v>
      </c>
      <c r="F153" s="168">
        <v>40267</v>
      </c>
      <c r="G153" s="168">
        <v>0</v>
      </c>
      <c r="H153" s="168">
        <v>3561038</v>
      </c>
      <c r="I153" s="168">
        <v>3561038</v>
      </c>
      <c r="J153" s="168">
        <v>1828896</v>
      </c>
      <c r="K153" s="168">
        <v>2463782</v>
      </c>
      <c r="L153" s="168">
        <v>477554</v>
      </c>
      <c r="M153" s="168">
        <v>15439</v>
      </c>
      <c r="N153" s="168">
        <v>2956775</v>
      </c>
      <c r="O153" s="168">
        <v>604263</v>
      </c>
      <c r="P153" s="169">
        <v>16.968732150569583</v>
      </c>
      <c r="Q153" s="169">
        <v>45.419226662030944</v>
      </c>
      <c r="R153" s="170">
        <v>61.186132565127771</v>
      </c>
      <c r="Y153" s="136"/>
    </row>
    <row r="154" spans="1:25" s="203" customFormat="1" x14ac:dyDescent="0.25">
      <c r="A154" s="189" t="s">
        <v>667</v>
      </c>
      <c r="B154" s="237">
        <v>43</v>
      </c>
      <c r="C154" s="198"/>
      <c r="D154" s="238">
        <v>6646</v>
      </c>
      <c r="E154" s="238" t="s">
        <v>80</v>
      </c>
      <c r="F154" s="239">
        <v>16434</v>
      </c>
      <c r="G154" s="239">
        <v>0</v>
      </c>
      <c r="H154" s="239">
        <v>1078964</v>
      </c>
      <c r="I154" s="239">
        <v>1078964</v>
      </c>
      <c r="J154" s="239">
        <v>575125</v>
      </c>
      <c r="K154" s="239">
        <v>610585</v>
      </c>
      <c r="L154" s="239">
        <v>8362</v>
      </c>
      <c r="M154" s="239">
        <v>0</v>
      </c>
      <c r="N154" s="239">
        <v>618947</v>
      </c>
      <c r="O154" s="239">
        <v>460017</v>
      </c>
      <c r="P154" s="240">
        <v>42.635064747294628</v>
      </c>
      <c r="Q154" s="240">
        <v>34.996044785201413</v>
      </c>
      <c r="R154" s="241">
        <v>37.153766581477427</v>
      </c>
      <c r="Y154" s="204"/>
    </row>
    <row r="155" spans="1:25" s="203" customFormat="1" x14ac:dyDescent="0.25">
      <c r="A155" s="205"/>
      <c r="B155" s="206"/>
      <c r="C155" s="207"/>
      <c r="D155" s="208"/>
      <c r="E155" s="208" t="s">
        <v>779</v>
      </c>
      <c r="F155" s="212">
        <v>16980</v>
      </c>
      <c r="G155" s="212">
        <v>0</v>
      </c>
      <c r="H155" s="212">
        <v>878703</v>
      </c>
      <c r="I155" s="212">
        <v>878703</v>
      </c>
      <c r="J155" s="212">
        <v>498935</v>
      </c>
      <c r="K155" s="212">
        <v>558009</v>
      </c>
      <c r="L155" s="212">
        <v>0</v>
      </c>
      <c r="M155" s="212">
        <v>569</v>
      </c>
      <c r="N155" s="212">
        <v>558578</v>
      </c>
      <c r="O155" s="212">
        <v>320125</v>
      </c>
      <c r="P155" s="213">
        <v>36.431536025255404</v>
      </c>
      <c r="Q155" s="213">
        <v>29.383686690223794</v>
      </c>
      <c r="R155" s="214">
        <v>32.86272084805654</v>
      </c>
      <c r="Y155" s="204"/>
    </row>
    <row r="156" spans="1:25" s="203" customFormat="1" x14ac:dyDescent="0.25">
      <c r="A156" s="205"/>
      <c r="B156" s="206"/>
      <c r="C156" s="207"/>
      <c r="D156" s="208"/>
      <c r="E156" s="208" t="s">
        <v>81</v>
      </c>
      <c r="F156" s="212">
        <v>9641</v>
      </c>
      <c r="G156" s="212">
        <v>0</v>
      </c>
      <c r="H156" s="212">
        <v>1350388</v>
      </c>
      <c r="I156" s="212">
        <v>1350388</v>
      </c>
      <c r="J156" s="212">
        <v>452861</v>
      </c>
      <c r="K156" s="212">
        <v>462711</v>
      </c>
      <c r="L156" s="212">
        <v>0</v>
      </c>
      <c r="M156" s="212">
        <v>0</v>
      </c>
      <c r="N156" s="212">
        <v>462711</v>
      </c>
      <c r="O156" s="212">
        <v>887677</v>
      </c>
      <c r="P156" s="213">
        <v>65.73495913767006</v>
      </c>
      <c r="Q156" s="213">
        <v>46.972409501089096</v>
      </c>
      <c r="R156" s="214">
        <v>47.994087750233376</v>
      </c>
      <c r="Y156" s="204"/>
    </row>
    <row r="157" spans="1:25" s="203" customFormat="1" x14ac:dyDescent="0.25">
      <c r="A157" s="205"/>
      <c r="B157" s="206"/>
      <c r="C157" s="207"/>
      <c r="D157" s="208"/>
      <c r="E157" s="208" t="s">
        <v>83</v>
      </c>
      <c r="F157" s="212">
        <v>13623</v>
      </c>
      <c r="G157" s="212">
        <v>0</v>
      </c>
      <c r="H157" s="212">
        <v>999028</v>
      </c>
      <c r="I157" s="212">
        <v>999028</v>
      </c>
      <c r="J157" s="212">
        <v>439650</v>
      </c>
      <c r="K157" s="212">
        <v>475504</v>
      </c>
      <c r="L157" s="212">
        <v>0</v>
      </c>
      <c r="M157" s="212">
        <v>0</v>
      </c>
      <c r="N157" s="212">
        <v>475504</v>
      </c>
      <c r="O157" s="212">
        <v>523524</v>
      </c>
      <c r="P157" s="213">
        <v>52.403336042633441</v>
      </c>
      <c r="Q157" s="213">
        <v>32.27262717463114</v>
      </c>
      <c r="R157" s="214">
        <v>34.904499743081551</v>
      </c>
      <c r="Y157" s="204"/>
    </row>
    <row r="158" spans="1:25" s="203" customFormat="1" x14ac:dyDescent="0.25">
      <c r="A158" s="205"/>
      <c r="B158" s="206"/>
      <c r="C158" s="207"/>
      <c r="D158" s="208"/>
      <c r="E158" s="208" t="s">
        <v>780</v>
      </c>
      <c r="F158" s="212">
        <v>17226</v>
      </c>
      <c r="G158" s="212">
        <v>0</v>
      </c>
      <c r="H158" s="212">
        <v>768014</v>
      </c>
      <c r="I158" s="212">
        <v>768014</v>
      </c>
      <c r="J158" s="212">
        <v>528348</v>
      </c>
      <c r="K158" s="212">
        <v>550807</v>
      </c>
      <c r="L158" s="212">
        <v>0</v>
      </c>
      <c r="M158" s="212">
        <v>0</v>
      </c>
      <c r="N158" s="212">
        <v>550807</v>
      </c>
      <c r="O158" s="212">
        <v>217207</v>
      </c>
      <c r="P158" s="213">
        <v>28.281645907496479</v>
      </c>
      <c r="Q158" s="213">
        <v>30.671543016370602</v>
      </c>
      <c r="R158" s="214">
        <v>31.975327992569373</v>
      </c>
      <c r="Y158" s="204"/>
    </row>
    <row r="159" spans="1:25" s="203" customFormat="1" x14ac:dyDescent="0.25">
      <c r="A159" s="205"/>
      <c r="B159" s="215"/>
      <c r="C159" s="143" t="s">
        <v>578</v>
      </c>
      <c r="D159" s="216"/>
      <c r="E159" s="217" t="s">
        <v>535</v>
      </c>
      <c r="F159" s="234">
        <v>73904</v>
      </c>
      <c r="G159" s="234">
        <v>0</v>
      </c>
      <c r="H159" s="234">
        <v>5075097</v>
      </c>
      <c r="I159" s="234">
        <v>5075097</v>
      </c>
      <c r="J159" s="234">
        <v>2494919</v>
      </c>
      <c r="K159" s="234">
        <v>2657616</v>
      </c>
      <c r="L159" s="234">
        <v>8362</v>
      </c>
      <c r="M159" s="234">
        <v>569</v>
      </c>
      <c r="N159" s="234">
        <v>2666547</v>
      </c>
      <c r="O159" s="234">
        <v>2408550</v>
      </c>
      <c r="P159" s="235">
        <v>47.458206217536336</v>
      </c>
      <c r="Q159" s="235">
        <v>33.758916973370859</v>
      </c>
      <c r="R159" s="236">
        <v>35.960381034856027</v>
      </c>
      <c r="Y159" s="204"/>
    </row>
    <row r="160" spans="1:25" x14ac:dyDescent="0.25">
      <c r="A160" s="109">
        <v>2012</v>
      </c>
      <c r="B160" s="66">
        <v>44</v>
      </c>
      <c r="D160" s="62">
        <v>1626</v>
      </c>
      <c r="E160" s="62" t="s">
        <v>775</v>
      </c>
      <c r="F160" s="160">
        <v>6736</v>
      </c>
      <c r="G160" s="129">
        <v>0</v>
      </c>
      <c r="H160" s="129">
        <v>440542</v>
      </c>
      <c r="I160" s="129">
        <v>440542</v>
      </c>
      <c r="J160" s="129">
        <v>289686</v>
      </c>
      <c r="K160" s="129">
        <v>348358</v>
      </c>
      <c r="L160" s="129">
        <v>0</v>
      </c>
      <c r="M160" s="129">
        <v>21743</v>
      </c>
      <c r="N160" s="129">
        <v>370101</v>
      </c>
      <c r="O160" s="129">
        <v>70441</v>
      </c>
      <c r="P160" s="130">
        <v>15.989621874872316</v>
      </c>
      <c r="Q160" s="130">
        <v>43.00564133016627</v>
      </c>
      <c r="R160" s="131">
        <v>51.715855106888363</v>
      </c>
    </row>
    <row r="161" spans="1:25" x14ac:dyDescent="0.25">
      <c r="B161" s="66"/>
      <c r="C161" s="65"/>
      <c r="D161" s="62"/>
      <c r="E161" s="62" t="s">
        <v>93</v>
      </c>
      <c r="F161" s="132">
        <v>16992</v>
      </c>
      <c r="G161" s="132">
        <v>0</v>
      </c>
      <c r="H161" s="132">
        <v>1143395</v>
      </c>
      <c r="I161" s="129">
        <v>1143395</v>
      </c>
      <c r="J161" s="132">
        <v>863294</v>
      </c>
      <c r="K161" s="132">
        <v>951349</v>
      </c>
      <c r="L161" s="132">
        <v>0</v>
      </c>
      <c r="M161" s="132">
        <v>9638</v>
      </c>
      <c r="N161" s="129">
        <v>960987</v>
      </c>
      <c r="O161" s="132">
        <v>182408</v>
      </c>
      <c r="P161" s="133">
        <v>15.95319202900135</v>
      </c>
      <c r="Q161" s="133">
        <v>50.805908662900187</v>
      </c>
      <c r="R161" s="134">
        <v>55.988053201506588</v>
      </c>
    </row>
    <row r="162" spans="1:25" x14ac:dyDescent="0.25">
      <c r="B162" s="66"/>
      <c r="C162" s="65"/>
      <c r="D162" s="62"/>
      <c r="E162" s="62" t="s">
        <v>89</v>
      </c>
      <c r="F162" s="129">
        <v>12536</v>
      </c>
      <c r="G162" s="129">
        <v>0</v>
      </c>
      <c r="H162" s="129">
        <v>804419</v>
      </c>
      <c r="I162" s="129">
        <v>804419</v>
      </c>
      <c r="J162" s="129">
        <v>547677</v>
      </c>
      <c r="K162" s="129">
        <v>658633</v>
      </c>
      <c r="L162" s="129">
        <v>0</v>
      </c>
      <c r="M162" s="129">
        <v>14692</v>
      </c>
      <c r="N162" s="129">
        <v>673325</v>
      </c>
      <c r="O162" s="129">
        <v>131094</v>
      </c>
      <c r="P162" s="130">
        <v>16.296730932511537</v>
      </c>
      <c r="Q162" s="130">
        <v>43.688337587747284</v>
      </c>
      <c r="R162" s="131">
        <v>52.539326738991704</v>
      </c>
    </row>
    <row r="163" spans="1:25" x14ac:dyDescent="0.25">
      <c r="B163" s="66"/>
      <c r="C163" s="65"/>
      <c r="D163" s="62"/>
      <c r="E163" s="62" t="s">
        <v>41</v>
      </c>
      <c r="F163" s="132">
        <v>6142</v>
      </c>
      <c r="G163" s="132">
        <v>0</v>
      </c>
      <c r="H163" s="132">
        <v>433755</v>
      </c>
      <c r="I163" s="129">
        <v>433755</v>
      </c>
      <c r="J163" s="132">
        <v>318145</v>
      </c>
      <c r="K163" s="132">
        <v>383651</v>
      </c>
      <c r="L163" s="132">
        <v>0</v>
      </c>
      <c r="M163" s="132">
        <v>3572</v>
      </c>
      <c r="N163" s="129">
        <v>387223</v>
      </c>
      <c r="O163" s="132">
        <v>46532</v>
      </c>
      <c r="P163" s="133">
        <v>10.727714954294475</v>
      </c>
      <c r="Q163" s="133">
        <v>51.798274177792251</v>
      </c>
      <c r="R163" s="134">
        <v>62.463529794855098</v>
      </c>
    </row>
    <row r="164" spans="1:25" x14ac:dyDescent="0.25">
      <c r="B164" s="66"/>
      <c r="C164" s="65"/>
      <c r="D164" s="62"/>
      <c r="E164" s="62" t="s">
        <v>39</v>
      </c>
      <c r="F164" s="153">
        <v>37732</v>
      </c>
      <c r="G164" s="132">
        <v>0</v>
      </c>
      <c r="H164" s="132">
        <v>2465491</v>
      </c>
      <c r="I164" s="132">
        <v>2465491</v>
      </c>
      <c r="J164" s="132">
        <v>1589056</v>
      </c>
      <c r="K164" s="132">
        <v>1821352</v>
      </c>
      <c r="L164" s="132">
        <v>26925</v>
      </c>
      <c r="M164" s="132">
        <v>59476</v>
      </c>
      <c r="N164" s="132">
        <v>1907753</v>
      </c>
      <c r="O164" s="132">
        <v>557738</v>
      </c>
      <c r="P164" s="133">
        <v>22.621782030435316</v>
      </c>
      <c r="Q164" s="133">
        <v>42.114279656524964</v>
      </c>
      <c r="R164" s="134">
        <v>48.270751616664903</v>
      </c>
    </row>
    <row r="165" spans="1:25" x14ac:dyDescent="0.25">
      <c r="B165" s="66"/>
      <c r="D165" s="62"/>
      <c r="E165" s="62" t="s">
        <v>776</v>
      </c>
      <c r="F165" s="132">
        <v>30074</v>
      </c>
      <c r="G165" s="132">
        <v>0</v>
      </c>
      <c r="H165" s="132">
        <v>2359553</v>
      </c>
      <c r="I165" s="132">
        <v>2359553</v>
      </c>
      <c r="J165" s="132">
        <v>1592637</v>
      </c>
      <c r="K165" s="132">
        <v>1816932</v>
      </c>
      <c r="L165" s="132">
        <v>13689</v>
      </c>
      <c r="M165" s="132">
        <v>2672</v>
      </c>
      <c r="N165" s="132">
        <v>1833293</v>
      </c>
      <c r="O165" s="132">
        <v>526260</v>
      </c>
      <c r="P165" s="133">
        <v>22.30337695317715</v>
      </c>
      <c r="Q165" s="133">
        <v>52.95727206224646</v>
      </c>
      <c r="R165" s="134">
        <v>60.41537540732859</v>
      </c>
    </row>
    <row r="166" spans="1:25" x14ac:dyDescent="0.25">
      <c r="B166" s="66"/>
      <c r="C166" s="65"/>
      <c r="D166" s="62"/>
      <c r="E166" s="62" t="s">
        <v>92</v>
      </c>
      <c r="F166" s="129">
        <v>7044</v>
      </c>
      <c r="G166" s="129">
        <v>0</v>
      </c>
      <c r="H166" s="160">
        <v>481048</v>
      </c>
      <c r="I166" s="129">
        <v>481048</v>
      </c>
      <c r="J166" s="129">
        <v>373923</v>
      </c>
      <c r="K166" s="129">
        <v>413217</v>
      </c>
      <c r="L166" s="129">
        <v>0</v>
      </c>
      <c r="M166" s="129">
        <v>1004</v>
      </c>
      <c r="N166" s="129">
        <v>414221</v>
      </c>
      <c r="O166" s="129">
        <v>66827</v>
      </c>
      <c r="P166" s="130">
        <v>13.891960885400209</v>
      </c>
      <c r="Q166" s="130">
        <v>53.083901192504257</v>
      </c>
      <c r="R166" s="131">
        <v>58.662265758091991</v>
      </c>
    </row>
    <row r="167" spans="1:25" x14ac:dyDescent="0.25">
      <c r="B167" s="66"/>
      <c r="C167" s="65"/>
      <c r="D167" s="62"/>
      <c r="E167" s="62" t="s">
        <v>777</v>
      </c>
      <c r="F167" s="132">
        <v>11944</v>
      </c>
      <c r="G167" s="129">
        <v>0</v>
      </c>
      <c r="H167" s="129">
        <v>978474</v>
      </c>
      <c r="I167" s="129">
        <v>978474</v>
      </c>
      <c r="J167" s="129">
        <v>520830</v>
      </c>
      <c r="K167" s="129">
        <v>712538</v>
      </c>
      <c r="L167" s="129">
        <v>0</v>
      </c>
      <c r="M167" s="129">
        <v>46605</v>
      </c>
      <c r="N167" s="129">
        <v>759143</v>
      </c>
      <c r="O167" s="129">
        <v>219331</v>
      </c>
      <c r="P167" s="130">
        <v>22.415618606115238</v>
      </c>
      <c r="Q167" s="130">
        <v>43.605994641661084</v>
      </c>
      <c r="R167" s="131">
        <v>59.656563965170797</v>
      </c>
    </row>
    <row r="168" spans="1:25" x14ac:dyDescent="0.25">
      <c r="B168" s="66"/>
      <c r="C168" s="65"/>
      <c r="D168" s="62"/>
      <c r="E168" s="138" t="s">
        <v>626</v>
      </c>
      <c r="F168" s="132">
        <v>7954</v>
      </c>
      <c r="G168" s="129">
        <v>0</v>
      </c>
      <c r="H168" s="129">
        <v>521517</v>
      </c>
      <c r="I168" s="129">
        <v>521517</v>
      </c>
      <c r="J168" s="129">
        <v>375204</v>
      </c>
      <c r="K168" s="129">
        <v>437951</v>
      </c>
      <c r="L168" s="129">
        <v>0</v>
      </c>
      <c r="M168" s="129">
        <v>2159</v>
      </c>
      <c r="N168" s="129">
        <v>440110</v>
      </c>
      <c r="O168" s="129">
        <v>81407</v>
      </c>
      <c r="P168" s="130">
        <v>15.609654143584963</v>
      </c>
      <c r="Q168" s="130">
        <v>47.171737490570784</v>
      </c>
      <c r="R168" s="131">
        <v>55.06047271812924</v>
      </c>
    </row>
    <row r="169" spans="1:25" x14ac:dyDescent="0.25">
      <c r="B169" s="66"/>
      <c r="C169" s="65"/>
      <c r="D169" s="62"/>
      <c r="E169" s="138" t="s">
        <v>639</v>
      </c>
      <c r="F169" s="132">
        <v>2986</v>
      </c>
      <c r="G169" s="129">
        <v>0</v>
      </c>
      <c r="H169" s="129">
        <v>212519</v>
      </c>
      <c r="I169" s="129">
        <v>212519</v>
      </c>
      <c r="J169" s="129">
        <v>165887</v>
      </c>
      <c r="K169" s="129">
        <v>197991</v>
      </c>
      <c r="L169" s="129">
        <v>0</v>
      </c>
      <c r="M169" s="129">
        <v>0</v>
      </c>
      <c r="N169" s="129">
        <v>197991</v>
      </c>
      <c r="O169" s="129">
        <v>14528</v>
      </c>
      <c r="P169" s="130">
        <v>6.8360946550661357</v>
      </c>
      <c r="Q169" s="130">
        <v>55.554922973878099</v>
      </c>
      <c r="R169" s="131">
        <v>66.306430006697923</v>
      </c>
    </row>
    <row r="170" spans="1:25" x14ac:dyDescent="0.25">
      <c r="B170" s="60"/>
      <c r="C170" s="143" t="s">
        <v>261</v>
      </c>
      <c r="D170" s="144"/>
      <c r="E170" s="145" t="s">
        <v>535</v>
      </c>
      <c r="F170" s="146">
        <v>129200</v>
      </c>
      <c r="G170" s="146">
        <v>0</v>
      </c>
      <c r="H170" s="146">
        <v>9840713</v>
      </c>
      <c r="I170" s="146">
        <v>9840713</v>
      </c>
      <c r="J170" s="146">
        <v>6636339</v>
      </c>
      <c r="K170" s="146">
        <v>7741972</v>
      </c>
      <c r="L170" s="146">
        <v>40614</v>
      </c>
      <c r="M170" s="146">
        <v>161561</v>
      </c>
      <c r="N170" s="146">
        <v>7944147</v>
      </c>
      <c r="O170" s="146">
        <v>1896566</v>
      </c>
      <c r="P170" s="147">
        <v>19.272648231891328</v>
      </c>
      <c r="Q170" s="147">
        <v>51.364852941176473</v>
      </c>
      <c r="R170" s="148">
        <v>59.922383900928793</v>
      </c>
    </row>
    <row r="171" spans="1:25" s="242" customFormat="1" x14ac:dyDescent="0.25">
      <c r="A171" s="109">
        <v>2012</v>
      </c>
      <c r="B171" s="63">
        <v>45</v>
      </c>
      <c r="C171" s="64"/>
      <c r="D171" s="149">
        <v>5876</v>
      </c>
      <c r="E171" s="149" t="s">
        <v>76</v>
      </c>
      <c r="F171" s="157">
        <v>39917</v>
      </c>
      <c r="G171" s="157">
        <v>0</v>
      </c>
      <c r="H171" s="156">
        <v>3395310</v>
      </c>
      <c r="I171" s="157">
        <v>3395310</v>
      </c>
      <c r="J171" s="157">
        <v>2217716</v>
      </c>
      <c r="K171" s="157">
        <v>2856251</v>
      </c>
      <c r="L171" s="157">
        <v>19026</v>
      </c>
      <c r="M171" s="157">
        <v>0</v>
      </c>
      <c r="N171" s="157">
        <v>2875277</v>
      </c>
      <c r="O171" s="157">
        <v>520033</v>
      </c>
      <c r="P171" s="158">
        <v>15.316215603288065</v>
      </c>
      <c r="Q171" s="158">
        <v>55.558183230202673</v>
      </c>
      <c r="R171" s="159">
        <v>71.554751108550235</v>
      </c>
      <c r="Y171" s="243"/>
    </row>
    <row r="172" spans="1:25" s="242" customFormat="1" x14ac:dyDescent="0.25">
      <c r="A172" s="109"/>
      <c r="B172" s="66"/>
      <c r="C172" s="65"/>
      <c r="D172" s="62"/>
      <c r="E172" s="62" t="s">
        <v>539</v>
      </c>
      <c r="F172" s="132">
        <v>6600</v>
      </c>
      <c r="G172" s="132">
        <v>0</v>
      </c>
      <c r="H172" s="132">
        <v>152838</v>
      </c>
      <c r="I172" s="132">
        <v>152838</v>
      </c>
      <c r="J172" s="132">
        <v>121791</v>
      </c>
      <c r="K172" s="132">
        <v>132050</v>
      </c>
      <c r="L172" s="132">
        <v>0</v>
      </c>
      <c r="M172" s="132">
        <v>0</v>
      </c>
      <c r="N172" s="132">
        <v>132050</v>
      </c>
      <c r="O172" s="132">
        <v>20788</v>
      </c>
      <c r="P172" s="133">
        <v>13.601329512294063</v>
      </c>
      <c r="Q172" s="133">
        <v>18.453181818181818</v>
      </c>
      <c r="R172" s="134">
        <v>20.007575757575758</v>
      </c>
      <c r="Y172" s="243"/>
    </row>
    <row r="173" spans="1:25" s="242" customFormat="1" x14ac:dyDescent="0.25">
      <c r="A173" s="109"/>
      <c r="B173" s="60"/>
      <c r="C173" s="143" t="s">
        <v>262</v>
      </c>
      <c r="D173" s="144"/>
      <c r="E173" s="145" t="s">
        <v>535</v>
      </c>
      <c r="F173" s="146">
        <v>46517</v>
      </c>
      <c r="G173" s="152">
        <v>0</v>
      </c>
      <c r="H173" s="152">
        <v>3548148</v>
      </c>
      <c r="I173" s="152">
        <v>3548148</v>
      </c>
      <c r="J173" s="152">
        <v>2339507</v>
      </c>
      <c r="K173" s="152">
        <v>2988301</v>
      </c>
      <c r="L173" s="152">
        <v>19026</v>
      </c>
      <c r="M173" s="152">
        <v>0</v>
      </c>
      <c r="N173" s="152">
        <v>3007327</v>
      </c>
      <c r="O173" s="152">
        <v>540821</v>
      </c>
      <c r="P173" s="147">
        <v>15.242346147905895</v>
      </c>
      <c r="Q173" s="147">
        <v>50.293591590171339</v>
      </c>
      <c r="R173" s="148">
        <v>64.241051658533436</v>
      </c>
      <c r="Y173" s="243"/>
    </row>
    <row r="174" spans="1:25" x14ac:dyDescent="0.25">
      <c r="A174" s="109">
        <v>2012</v>
      </c>
      <c r="B174" s="66">
        <v>46</v>
      </c>
      <c r="D174" s="62">
        <v>636</v>
      </c>
      <c r="E174" s="62" t="s">
        <v>221</v>
      </c>
      <c r="F174" s="153">
        <v>44710</v>
      </c>
      <c r="G174" s="132">
        <v>0</v>
      </c>
      <c r="H174" s="132">
        <v>4061656</v>
      </c>
      <c r="I174" s="132">
        <v>4061656</v>
      </c>
      <c r="J174" s="132">
        <v>2034905</v>
      </c>
      <c r="K174" s="132">
        <v>3175741</v>
      </c>
      <c r="L174" s="132">
        <v>406024</v>
      </c>
      <c r="M174" s="132">
        <v>0</v>
      </c>
      <c r="N174" s="132">
        <v>3581765</v>
      </c>
      <c r="O174" s="132">
        <v>479891</v>
      </c>
      <c r="P174" s="133">
        <v>11.815156182601383</v>
      </c>
      <c r="Q174" s="133">
        <v>45.513419816595842</v>
      </c>
      <c r="R174" s="134">
        <v>71.029769626481766</v>
      </c>
    </row>
    <row r="175" spans="1:25" x14ac:dyDescent="0.25">
      <c r="B175" s="60"/>
      <c r="C175" s="143" t="s">
        <v>660</v>
      </c>
      <c r="D175" s="144"/>
      <c r="E175" s="145" t="s">
        <v>535</v>
      </c>
      <c r="F175" s="152">
        <v>44710</v>
      </c>
      <c r="G175" s="152">
        <v>0</v>
      </c>
      <c r="H175" s="152">
        <v>4061656</v>
      </c>
      <c r="I175" s="152">
        <v>4061656</v>
      </c>
      <c r="J175" s="152">
        <v>2034905</v>
      </c>
      <c r="K175" s="152">
        <v>3175741</v>
      </c>
      <c r="L175" s="152">
        <v>406024</v>
      </c>
      <c r="M175" s="152">
        <v>0</v>
      </c>
      <c r="N175" s="152">
        <v>3581765</v>
      </c>
      <c r="O175" s="152">
        <v>479891</v>
      </c>
      <c r="P175" s="147">
        <v>11.815156182601383</v>
      </c>
      <c r="Q175" s="147">
        <v>45.513419816595842</v>
      </c>
      <c r="R175" s="148">
        <v>71.029769626481766</v>
      </c>
    </row>
    <row r="176" spans="1:25" x14ac:dyDescent="0.25">
      <c r="A176" s="109">
        <v>2012</v>
      </c>
      <c r="B176" s="63">
        <v>47</v>
      </c>
      <c r="D176" s="149">
        <v>6544</v>
      </c>
      <c r="E176" s="149" t="s">
        <v>197</v>
      </c>
      <c r="F176" s="184">
        <v>46655</v>
      </c>
      <c r="G176" s="157">
        <v>0</v>
      </c>
      <c r="H176" s="157">
        <v>11067069</v>
      </c>
      <c r="I176" s="157">
        <v>11067069</v>
      </c>
      <c r="J176" s="157">
        <v>3556625</v>
      </c>
      <c r="K176" s="157">
        <v>6077876</v>
      </c>
      <c r="L176" s="157">
        <v>3932650</v>
      </c>
      <c r="M176" s="157">
        <v>89893</v>
      </c>
      <c r="N176" s="157">
        <v>10100419</v>
      </c>
      <c r="O176" s="157">
        <v>966650</v>
      </c>
      <c r="P176" s="158">
        <v>8.7344716112278693</v>
      </c>
      <c r="Q176" s="158">
        <v>76.232450969885335</v>
      </c>
      <c r="R176" s="159">
        <v>130.27276819204801</v>
      </c>
    </row>
    <row r="177" spans="1:25" ht="15.75" thickBot="1" x14ac:dyDescent="0.3">
      <c r="B177" s="165"/>
      <c r="C177" s="143" t="s">
        <v>456</v>
      </c>
      <c r="D177" s="176"/>
      <c r="E177" s="167" t="s">
        <v>535</v>
      </c>
      <c r="F177" s="244">
        <v>46655</v>
      </c>
      <c r="G177" s="244">
        <v>0</v>
      </c>
      <c r="H177" s="244">
        <v>11067069</v>
      </c>
      <c r="I177" s="244">
        <v>11067069</v>
      </c>
      <c r="J177" s="244">
        <v>3556625</v>
      </c>
      <c r="K177" s="244">
        <v>6077876</v>
      </c>
      <c r="L177" s="244">
        <v>3932650</v>
      </c>
      <c r="M177" s="244">
        <v>89893</v>
      </c>
      <c r="N177" s="244">
        <v>10100419</v>
      </c>
      <c r="O177" s="244">
        <v>966650</v>
      </c>
      <c r="P177" s="169">
        <v>8.7344716112278693</v>
      </c>
      <c r="Q177" s="169">
        <v>76.232450969885335</v>
      </c>
      <c r="R177" s="170">
        <v>130.27276819204801</v>
      </c>
    </row>
    <row r="178" spans="1:25" x14ac:dyDescent="0.25">
      <c r="A178" s="109">
        <v>2012</v>
      </c>
      <c r="B178" s="123">
        <v>48</v>
      </c>
      <c r="D178" s="124">
        <v>1464</v>
      </c>
      <c r="E178" s="124" t="s">
        <v>538</v>
      </c>
      <c r="F178" s="125">
        <v>8705</v>
      </c>
      <c r="G178" s="125">
        <v>0</v>
      </c>
      <c r="H178" s="125">
        <v>714241</v>
      </c>
      <c r="I178" s="125">
        <v>714241</v>
      </c>
      <c r="J178" s="125">
        <v>455071</v>
      </c>
      <c r="K178" s="125">
        <v>612215</v>
      </c>
      <c r="L178" s="125">
        <v>43194</v>
      </c>
      <c r="M178" s="125">
        <v>6100</v>
      </c>
      <c r="N178" s="125">
        <v>661509</v>
      </c>
      <c r="O178" s="125">
        <v>52732</v>
      </c>
      <c r="P178" s="172">
        <v>7.3829421721799777</v>
      </c>
      <c r="Q178" s="172">
        <v>52.276967260195292</v>
      </c>
      <c r="R178" s="173">
        <v>70.329121194715682</v>
      </c>
    </row>
    <row r="179" spans="1:25" x14ac:dyDescent="0.25">
      <c r="B179" s="66"/>
      <c r="C179" s="65"/>
      <c r="D179" s="62"/>
      <c r="E179" s="62" t="s">
        <v>209</v>
      </c>
      <c r="F179" s="129">
        <v>2954</v>
      </c>
      <c r="G179" s="129">
        <v>0</v>
      </c>
      <c r="H179" s="129">
        <v>177697</v>
      </c>
      <c r="I179" s="129">
        <v>177697</v>
      </c>
      <c r="J179" s="129">
        <v>145745</v>
      </c>
      <c r="K179" s="129">
        <v>163241</v>
      </c>
      <c r="L179" s="129">
        <v>0</v>
      </c>
      <c r="M179" s="129">
        <v>15621</v>
      </c>
      <c r="N179" s="129">
        <v>178862</v>
      </c>
      <c r="O179" s="129">
        <v>-1165</v>
      </c>
      <c r="P179" s="130">
        <v>-0.65561039297230683</v>
      </c>
      <c r="Q179" s="130">
        <v>49.338185511171297</v>
      </c>
      <c r="R179" s="131">
        <v>55.261002031144209</v>
      </c>
    </row>
    <row r="180" spans="1:25" x14ac:dyDescent="0.25">
      <c r="B180" s="66"/>
      <c r="C180" s="65"/>
      <c r="D180" s="62"/>
      <c r="E180" s="62" t="s">
        <v>537</v>
      </c>
      <c r="F180" s="129">
        <v>5871</v>
      </c>
      <c r="G180" s="129">
        <v>0</v>
      </c>
      <c r="H180" s="129">
        <v>528427</v>
      </c>
      <c r="I180" s="129">
        <v>528427</v>
      </c>
      <c r="J180" s="129">
        <v>349158</v>
      </c>
      <c r="K180" s="129">
        <v>390907</v>
      </c>
      <c r="L180" s="129">
        <v>0</v>
      </c>
      <c r="M180" s="129">
        <v>5073</v>
      </c>
      <c r="N180" s="129">
        <v>395980</v>
      </c>
      <c r="O180" s="129">
        <v>132447</v>
      </c>
      <c r="P180" s="130">
        <v>25.064389215539705</v>
      </c>
      <c r="Q180" s="130">
        <v>59.471640265712828</v>
      </c>
      <c r="R180" s="131">
        <v>66.582694600579117</v>
      </c>
    </row>
    <row r="181" spans="1:25" x14ac:dyDescent="0.25">
      <c r="B181" s="66"/>
      <c r="C181" s="65"/>
      <c r="D181" s="62"/>
      <c r="E181" s="62" t="s">
        <v>217</v>
      </c>
      <c r="F181" s="132">
        <v>1520</v>
      </c>
      <c r="G181" s="132">
        <v>0</v>
      </c>
      <c r="H181" s="132">
        <v>125707</v>
      </c>
      <c r="I181" s="132">
        <v>125707</v>
      </c>
      <c r="J181" s="132">
        <v>80848</v>
      </c>
      <c r="K181" s="132">
        <v>110029</v>
      </c>
      <c r="L181" s="132">
        <v>0</v>
      </c>
      <c r="M181" s="132">
        <v>0</v>
      </c>
      <c r="N181" s="132">
        <v>110029</v>
      </c>
      <c r="O181" s="132">
        <v>15678</v>
      </c>
      <c r="P181" s="133">
        <v>12.471859164565219</v>
      </c>
      <c r="Q181" s="133">
        <v>53.189473684210526</v>
      </c>
      <c r="R181" s="134">
        <v>72.387500000000003</v>
      </c>
    </row>
    <row r="182" spans="1:25" x14ac:dyDescent="0.25">
      <c r="B182" s="66"/>
      <c r="C182" s="65"/>
      <c r="D182" s="62"/>
      <c r="E182" s="62" t="s">
        <v>536</v>
      </c>
      <c r="F182" s="153">
        <v>32236</v>
      </c>
      <c r="G182" s="132">
        <v>0</v>
      </c>
      <c r="H182" s="132">
        <v>2820737</v>
      </c>
      <c r="I182" s="132">
        <v>2820737</v>
      </c>
      <c r="J182" s="132">
        <v>1506126</v>
      </c>
      <c r="K182" s="132">
        <v>2179321</v>
      </c>
      <c r="L182" s="132">
        <v>343945</v>
      </c>
      <c r="M182" s="132">
        <v>6532</v>
      </c>
      <c r="N182" s="132">
        <v>2529798</v>
      </c>
      <c r="O182" s="132">
        <v>290939</v>
      </c>
      <c r="P182" s="133">
        <v>10.314290201461533</v>
      </c>
      <c r="Q182" s="133">
        <v>46.72186375480829</v>
      </c>
      <c r="R182" s="134">
        <v>67.605192951979149</v>
      </c>
      <c r="Y182" s="56"/>
    </row>
    <row r="183" spans="1:25" x14ac:dyDescent="0.25">
      <c r="B183" s="66"/>
      <c r="C183" s="65"/>
      <c r="D183" s="62"/>
      <c r="E183" s="62" t="s">
        <v>205</v>
      </c>
      <c r="F183" s="129">
        <v>10839</v>
      </c>
      <c r="G183" s="129">
        <v>0</v>
      </c>
      <c r="H183" s="129">
        <v>758119</v>
      </c>
      <c r="I183" s="129">
        <v>758119</v>
      </c>
      <c r="J183" s="129">
        <v>416532</v>
      </c>
      <c r="K183" s="129">
        <v>472004</v>
      </c>
      <c r="L183" s="129">
        <v>0</v>
      </c>
      <c r="M183" s="129">
        <v>31396</v>
      </c>
      <c r="N183" s="129">
        <v>503400</v>
      </c>
      <c r="O183" s="129">
        <v>254719</v>
      </c>
      <c r="P183" s="130">
        <v>33.598814961767218</v>
      </c>
      <c r="Q183" s="130">
        <v>38.429006365900911</v>
      </c>
      <c r="R183" s="131">
        <v>43.546821662514994</v>
      </c>
      <c r="Y183" s="56"/>
    </row>
    <row r="184" spans="1:25" x14ac:dyDescent="0.25">
      <c r="B184" s="66"/>
      <c r="C184" s="65"/>
      <c r="D184" s="62"/>
      <c r="E184" s="62" t="s">
        <v>133</v>
      </c>
      <c r="F184" s="129">
        <v>5693</v>
      </c>
      <c r="G184" s="129">
        <v>0</v>
      </c>
      <c r="H184" s="129">
        <v>349809</v>
      </c>
      <c r="I184" s="129">
        <v>349809</v>
      </c>
      <c r="J184" s="129">
        <v>260579</v>
      </c>
      <c r="K184" s="129">
        <v>300224</v>
      </c>
      <c r="L184" s="129">
        <v>0</v>
      </c>
      <c r="M184" s="129">
        <v>5404</v>
      </c>
      <c r="N184" s="129">
        <v>305628</v>
      </c>
      <c r="O184" s="129">
        <v>44181</v>
      </c>
      <c r="P184" s="130">
        <v>12.63003524780666</v>
      </c>
      <c r="Q184" s="130">
        <v>45.771825048304933</v>
      </c>
      <c r="R184" s="131">
        <v>52.735640259968385</v>
      </c>
      <c r="Y184" s="56"/>
    </row>
    <row r="185" spans="1:25" x14ac:dyDescent="0.25">
      <c r="B185" s="66"/>
      <c r="D185" s="62"/>
      <c r="E185" s="62" t="s">
        <v>224</v>
      </c>
      <c r="F185" s="129">
        <v>20650</v>
      </c>
      <c r="G185" s="129">
        <v>0</v>
      </c>
      <c r="H185" s="129">
        <v>1368799</v>
      </c>
      <c r="I185" s="129">
        <v>1368799</v>
      </c>
      <c r="J185" s="129">
        <v>833750</v>
      </c>
      <c r="K185" s="129">
        <v>955039</v>
      </c>
      <c r="L185" s="129">
        <v>13620</v>
      </c>
      <c r="M185" s="129">
        <v>18500</v>
      </c>
      <c r="N185" s="129">
        <v>987159</v>
      </c>
      <c r="O185" s="129">
        <v>381640</v>
      </c>
      <c r="P185" s="130">
        <v>27.881376301414594</v>
      </c>
      <c r="Q185" s="130">
        <v>40.375302663438255</v>
      </c>
      <c r="R185" s="131">
        <v>46.248861985472153</v>
      </c>
      <c r="Y185" s="56"/>
    </row>
    <row r="186" spans="1:25" x14ac:dyDescent="0.25">
      <c r="B186" s="66"/>
      <c r="C186" s="65"/>
      <c r="D186" s="62"/>
      <c r="E186" s="138" t="s">
        <v>233</v>
      </c>
      <c r="F186" s="129">
        <v>3842</v>
      </c>
      <c r="G186" s="129">
        <v>0</v>
      </c>
      <c r="H186" s="129">
        <v>257812</v>
      </c>
      <c r="I186" s="129">
        <v>257812</v>
      </c>
      <c r="J186" s="129">
        <v>188511</v>
      </c>
      <c r="K186" s="129">
        <v>216223</v>
      </c>
      <c r="L186" s="129">
        <v>0</v>
      </c>
      <c r="M186" s="129">
        <v>2680</v>
      </c>
      <c r="N186" s="129">
        <v>218903</v>
      </c>
      <c r="O186" s="129">
        <v>38909</v>
      </c>
      <c r="P186" s="130">
        <v>15.092005026918839</v>
      </c>
      <c r="Q186" s="130">
        <v>49.065851119208745</v>
      </c>
      <c r="R186" s="131">
        <v>56.278761061946902</v>
      </c>
      <c r="Y186" s="56"/>
    </row>
    <row r="187" spans="1:25" x14ac:dyDescent="0.25">
      <c r="B187" s="66"/>
      <c r="C187" s="65"/>
      <c r="D187" s="62"/>
      <c r="E187" s="138" t="s">
        <v>334</v>
      </c>
      <c r="F187" s="129">
        <v>5000</v>
      </c>
      <c r="G187" s="129">
        <v>0</v>
      </c>
      <c r="H187" s="129">
        <v>370170</v>
      </c>
      <c r="I187" s="129">
        <v>370170</v>
      </c>
      <c r="J187" s="129">
        <v>248643</v>
      </c>
      <c r="K187" s="129">
        <v>291948</v>
      </c>
      <c r="L187" s="129">
        <v>23540</v>
      </c>
      <c r="M187" s="129">
        <v>19112</v>
      </c>
      <c r="N187" s="129">
        <v>334600</v>
      </c>
      <c r="O187" s="129">
        <v>35570</v>
      </c>
      <c r="P187" s="130">
        <v>9.6090985223005649</v>
      </c>
      <c r="Q187" s="130">
        <v>49.7286</v>
      </c>
      <c r="R187" s="131">
        <v>58.389600000000002</v>
      </c>
      <c r="Y187" s="56"/>
    </row>
    <row r="188" spans="1:25" x14ac:dyDescent="0.25">
      <c r="B188" s="66"/>
      <c r="C188" s="65"/>
      <c r="D188" s="62"/>
      <c r="E188" s="138" t="s">
        <v>649</v>
      </c>
      <c r="F188" s="129">
        <v>2916</v>
      </c>
      <c r="G188" s="129">
        <v>0</v>
      </c>
      <c r="H188" s="129">
        <v>202822</v>
      </c>
      <c r="I188" s="129">
        <v>202822</v>
      </c>
      <c r="J188" s="129">
        <v>147519</v>
      </c>
      <c r="K188" s="129">
        <v>164663</v>
      </c>
      <c r="L188" s="129">
        <v>0</v>
      </c>
      <c r="M188" s="129">
        <v>8267</v>
      </c>
      <c r="N188" s="129">
        <v>172930</v>
      </c>
      <c r="O188" s="129">
        <v>29892</v>
      </c>
      <c r="P188" s="130">
        <v>14.738046168561597</v>
      </c>
      <c r="Q188" s="130">
        <v>50.589506172839506</v>
      </c>
      <c r="R188" s="131">
        <v>56.468792866941016</v>
      </c>
      <c r="Y188" s="56"/>
    </row>
    <row r="189" spans="1:25" x14ac:dyDescent="0.25">
      <c r="B189" s="66"/>
      <c r="C189" s="65"/>
      <c r="D189" s="62"/>
      <c r="E189" s="138" t="s">
        <v>650</v>
      </c>
      <c r="F189" s="129">
        <v>5452</v>
      </c>
      <c r="G189" s="129">
        <v>0</v>
      </c>
      <c r="H189" s="129">
        <v>356883</v>
      </c>
      <c r="I189" s="129">
        <v>356883</v>
      </c>
      <c r="J189" s="129">
        <v>222894</v>
      </c>
      <c r="K189" s="129">
        <v>256470</v>
      </c>
      <c r="L189" s="129">
        <v>6691</v>
      </c>
      <c r="M189" s="129">
        <v>1217</v>
      </c>
      <c r="N189" s="129">
        <v>264378</v>
      </c>
      <c r="O189" s="129">
        <v>92505</v>
      </c>
      <c r="P189" s="130">
        <v>25.92025958087104</v>
      </c>
      <c r="Q189" s="130">
        <v>40.882978723404257</v>
      </c>
      <c r="R189" s="131">
        <v>47.041452677916361</v>
      </c>
      <c r="Y189" s="56"/>
    </row>
    <row r="190" spans="1:25" x14ac:dyDescent="0.25">
      <c r="B190" s="66"/>
      <c r="C190" s="65"/>
      <c r="D190" s="62"/>
      <c r="E190" s="138" t="s">
        <v>656</v>
      </c>
      <c r="F190" s="129">
        <v>7250</v>
      </c>
      <c r="G190" s="129">
        <v>0</v>
      </c>
      <c r="H190" s="129">
        <v>681336</v>
      </c>
      <c r="I190" s="129">
        <v>681336</v>
      </c>
      <c r="J190" s="129">
        <v>365096</v>
      </c>
      <c r="K190" s="129">
        <v>474351</v>
      </c>
      <c r="L190" s="129">
        <v>0</v>
      </c>
      <c r="M190" s="129">
        <v>15452</v>
      </c>
      <c r="N190" s="129">
        <v>489803</v>
      </c>
      <c r="O190" s="129">
        <v>191533</v>
      </c>
      <c r="P190" s="130">
        <v>28.111387039581061</v>
      </c>
      <c r="Q190" s="130">
        <v>50.358068965517241</v>
      </c>
      <c r="R190" s="131">
        <v>65.427724137931037</v>
      </c>
      <c r="Y190" s="56"/>
    </row>
    <row r="191" spans="1:25" ht="15.75" thickBot="1" x14ac:dyDescent="0.3">
      <c r="B191" s="165"/>
      <c r="C191" s="143" t="s">
        <v>457</v>
      </c>
      <c r="D191" s="176"/>
      <c r="E191" s="167" t="s">
        <v>535</v>
      </c>
      <c r="F191" s="168">
        <v>112928</v>
      </c>
      <c r="G191" s="168">
        <v>0</v>
      </c>
      <c r="H191" s="168">
        <v>8712559</v>
      </c>
      <c r="I191" s="168">
        <v>8712559</v>
      </c>
      <c r="J191" s="168">
        <v>5220472</v>
      </c>
      <c r="K191" s="168">
        <v>6586635</v>
      </c>
      <c r="L191" s="168">
        <v>430990</v>
      </c>
      <c r="M191" s="168">
        <v>135354</v>
      </c>
      <c r="N191" s="168">
        <v>7152979</v>
      </c>
      <c r="O191" s="168">
        <v>1559580</v>
      </c>
      <c r="P191" s="169">
        <v>17.90036658575282</v>
      </c>
      <c r="Q191" s="169">
        <v>46.228322470954943</v>
      </c>
      <c r="R191" s="170">
        <v>58.325968758855197</v>
      </c>
      <c r="Y191" s="56"/>
    </row>
    <row r="192" spans="1:25" x14ac:dyDescent="0.25">
      <c r="A192" s="109">
        <v>2012</v>
      </c>
      <c r="B192" s="123">
        <v>49</v>
      </c>
      <c r="D192" s="124">
        <v>7254</v>
      </c>
      <c r="E192" s="245" t="s">
        <v>789</v>
      </c>
      <c r="F192" s="191">
        <v>38346</v>
      </c>
      <c r="G192" s="125">
        <v>0</v>
      </c>
      <c r="H192" s="125">
        <v>1131487</v>
      </c>
      <c r="I192" s="125">
        <v>1131487</v>
      </c>
      <c r="J192" s="125">
        <v>743747</v>
      </c>
      <c r="K192" s="125">
        <v>881078</v>
      </c>
      <c r="L192" s="125">
        <v>0</v>
      </c>
      <c r="M192" s="125">
        <v>0</v>
      </c>
      <c r="N192" s="125">
        <v>881078</v>
      </c>
      <c r="O192" s="125">
        <v>250409</v>
      </c>
      <c r="P192" s="172">
        <v>22.130965711492927</v>
      </c>
      <c r="Q192" s="172">
        <v>19.395686642674594</v>
      </c>
      <c r="R192" s="173">
        <v>22.977051061388412</v>
      </c>
      <c r="S192" s="69"/>
      <c r="Y192" s="56"/>
    </row>
    <row r="193" spans="1:29" ht="15.75" thickBot="1" x14ac:dyDescent="0.3">
      <c r="B193" s="165"/>
      <c r="C193" s="143" t="s">
        <v>272</v>
      </c>
      <c r="D193" s="176"/>
      <c r="E193" s="167" t="s">
        <v>535</v>
      </c>
      <c r="F193" s="244">
        <v>38346</v>
      </c>
      <c r="G193" s="244">
        <v>0</v>
      </c>
      <c r="H193" s="244">
        <v>1131487</v>
      </c>
      <c r="I193" s="244">
        <v>1131487</v>
      </c>
      <c r="J193" s="244">
        <v>743747</v>
      </c>
      <c r="K193" s="244">
        <v>881078</v>
      </c>
      <c r="L193" s="244">
        <v>0</v>
      </c>
      <c r="M193" s="244">
        <v>0</v>
      </c>
      <c r="N193" s="244">
        <v>881078</v>
      </c>
      <c r="O193" s="244">
        <v>250409</v>
      </c>
      <c r="P193" s="169">
        <v>22.130965711492927</v>
      </c>
      <c r="Q193" s="169">
        <v>19.395686642674594</v>
      </c>
      <c r="R193" s="170">
        <v>22.977051061388412</v>
      </c>
      <c r="S193" s="69"/>
      <c r="Y193" s="56"/>
    </row>
    <row r="194" spans="1:29" x14ac:dyDescent="0.25">
      <c r="A194" s="109">
        <v>2012</v>
      </c>
      <c r="B194" s="123">
        <v>50</v>
      </c>
      <c r="D194" s="124">
        <v>3160</v>
      </c>
      <c r="E194" s="124" t="s">
        <v>778</v>
      </c>
      <c r="F194" s="191">
        <v>38346</v>
      </c>
      <c r="G194" s="125">
        <v>0</v>
      </c>
      <c r="H194" s="125">
        <v>2531477</v>
      </c>
      <c r="I194" s="125">
        <v>2531477</v>
      </c>
      <c r="J194" s="125">
        <v>1894466</v>
      </c>
      <c r="K194" s="125">
        <v>2346890</v>
      </c>
      <c r="L194" s="125">
        <v>0</v>
      </c>
      <c r="M194" s="125">
        <v>0</v>
      </c>
      <c r="N194" s="125">
        <v>2346890</v>
      </c>
      <c r="O194" s="125">
        <v>184587</v>
      </c>
      <c r="P194" s="172">
        <v>7.2916720159811836</v>
      </c>
      <c r="Q194" s="172">
        <v>49.404527199707921</v>
      </c>
      <c r="R194" s="173">
        <v>61.20299379335524</v>
      </c>
      <c r="Y194" s="56"/>
    </row>
    <row r="195" spans="1:29" ht="15.75" thickBot="1" x14ac:dyDescent="0.3">
      <c r="B195" s="165"/>
      <c r="C195" s="43" t="s">
        <v>263</v>
      </c>
      <c r="D195" s="176"/>
      <c r="E195" s="167" t="s">
        <v>535</v>
      </c>
      <c r="F195" s="244">
        <v>38346</v>
      </c>
      <c r="G195" s="244">
        <v>0</v>
      </c>
      <c r="H195" s="244">
        <v>2531477</v>
      </c>
      <c r="I195" s="244">
        <v>2531477</v>
      </c>
      <c r="J195" s="244">
        <v>1894466</v>
      </c>
      <c r="K195" s="244">
        <v>2346890</v>
      </c>
      <c r="L195" s="244">
        <v>0</v>
      </c>
      <c r="M195" s="244">
        <v>0</v>
      </c>
      <c r="N195" s="244">
        <v>2346890</v>
      </c>
      <c r="O195" s="244">
        <v>184587</v>
      </c>
      <c r="P195" s="169">
        <v>7.2916720159811836</v>
      </c>
      <c r="Q195" s="169">
        <v>49.404527199707921</v>
      </c>
      <c r="R195" s="170">
        <v>61.20299379335524</v>
      </c>
      <c r="Y195" s="56"/>
    </row>
    <row r="196" spans="1:29" x14ac:dyDescent="0.25">
      <c r="A196" s="109">
        <v>2012</v>
      </c>
      <c r="B196" s="66">
        <v>51</v>
      </c>
      <c r="C196" s="43" t="s">
        <v>264</v>
      </c>
      <c r="D196" s="62">
        <v>8008</v>
      </c>
      <c r="E196" s="62" t="s">
        <v>351</v>
      </c>
      <c r="F196" s="132">
        <v>42285</v>
      </c>
      <c r="G196" s="132">
        <v>0</v>
      </c>
      <c r="H196" s="132">
        <v>5389593</v>
      </c>
      <c r="I196" s="132">
        <v>5389593</v>
      </c>
      <c r="J196" s="132">
        <v>3039893</v>
      </c>
      <c r="K196" s="132">
        <v>4083809</v>
      </c>
      <c r="L196" s="132">
        <v>25198</v>
      </c>
      <c r="M196" s="132">
        <v>935680</v>
      </c>
      <c r="N196" s="132">
        <v>5044687</v>
      </c>
      <c r="O196" s="132">
        <v>344906</v>
      </c>
      <c r="P196" s="133">
        <v>6.3994813708567602</v>
      </c>
      <c r="Q196" s="133">
        <v>71.890575854321867</v>
      </c>
      <c r="R196" s="134">
        <v>96.578195577627994</v>
      </c>
      <c r="Y196" s="56"/>
    </row>
    <row r="197" spans="1:29" x14ac:dyDescent="0.25">
      <c r="B197" s="60"/>
      <c r="C197" s="13"/>
      <c r="D197" s="144"/>
      <c r="E197" s="145" t="s">
        <v>535</v>
      </c>
      <c r="F197" s="146">
        <v>42285</v>
      </c>
      <c r="G197" s="146">
        <v>0</v>
      </c>
      <c r="H197" s="146">
        <v>5389593</v>
      </c>
      <c r="I197" s="146">
        <v>5389593</v>
      </c>
      <c r="J197" s="146">
        <v>3039893</v>
      </c>
      <c r="K197" s="146">
        <v>4083809</v>
      </c>
      <c r="L197" s="146">
        <v>25198</v>
      </c>
      <c r="M197" s="146">
        <v>935680</v>
      </c>
      <c r="N197" s="146">
        <v>5044687</v>
      </c>
      <c r="O197" s="146">
        <v>344906</v>
      </c>
      <c r="P197" s="147">
        <v>6.3994813708567602</v>
      </c>
      <c r="Q197" s="147">
        <v>71.890575854321867</v>
      </c>
      <c r="R197" s="148">
        <v>96.578195577627994</v>
      </c>
      <c r="Y197" s="56"/>
    </row>
    <row r="198" spans="1:29" x14ac:dyDescent="0.25">
      <c r="A198" s="188">
        <v>2012</v>
      </c>
      <c r="B198" s="63">
        <v>52</v>
      </c>
      <c r="D198" s="149">
        <v>6358</v>
      </c>
      <c r="E198" s="149" t="s">
        <v>60</v>
      </c>
      <c r="F198" s="184">
        <v>67874</v>
      </c>
      <c r="G198" s="157">
        <v>0</v>
      </c>
      <c r="H198" s="157">
        <v>4649583</v>
      </c>
      <c r="I198" s="157">
        <v>4649583</v>
      </c>
      <c r="J198" s="157">
        <v>2890753</v>
      </c>
      <c r="K198" s="157">
        <v>3567312</v>
      </c>
      <c r="L198" s="157">
        <v>126669</v>
      </c>
      <c r="M198" s="157">
        <v>0</v>
      </c>
      <c r="N198" s="157">
        <v>3693981</v>
      </c>
      <c r="O198" s="157">
        <v>955602</v>
      </c>
      <c r="P198" s="158">
        <v>20.552423733483195</v>
      </c>
      <c r="Q198" s="158">
        <v>42.589990276099833</v>
      </c>
      <c r="R198" s="159">
        <v>52.557857205999355</v>
      </c>
      <c r="Y198" s="56"/>
    </row>
    <row r="199" spans="1:29" x14ac:dyDescent="0.25">
      <c r="A199" s="188"/>
      <c r="B199" s="66"/>
      <c r="D199" s="62">
        <v>3561</v>
      </c>
      <c r="E199" s="62" t="s">
        <v>211</v>
      </c>
      <c r="F199" s="359">
        <v>24392</v>
      </c>
      <c r="G199" s="359">
        <v>0</v>
      </c>
      <c r="H199" s="359">
        <v>1589055</v>
      </c>
      <c r="I199" s="359">
        <v>1589055</v>
      </c>
      <c r="J199" s="359">
        <v>1125009</v>
      </c>
      <c r="K199" s="359">
        <v>1483320</v>
      </c>
      <c r="L199" s="359">
        <v>0</v>
      </c>
      <c r="M199" s="359">
        <v>0</v>
      </c>
      <c r="N199" s="359">
        <v>1483320</v>
      </c>
      <c r="O199" s="359">
        <v>105735</v>
      </c>
      <c r="P199" s="361">
        <v>6.6539547089307804</v>
      </c>
      <c r="Q199" s="361">
        <v>46.122048212528696</v>
      </c>
      <c r="R199" s="362">
        <v>60.811741554608069</v>
      </c>
      <c r="Y199" s="56"/>
    </row>
    <row r="200" spans="1:29" ht="15.75" thickBot="1" x14ac:dyDescent="0.3">
      <c r="B200" s="246"/>
      <c r="C200" s="143" t="s">
        <v>458</v>
      </c>
      <c r="D200" s="176"/>
      <c r="E200" s="167" t="s">
        <v>535</v>
      </c>
      <c r="F200" s="244">
        <f>SUM(F198:F199)</f>
        <v>92266</v>
      </c>
      <c r="G200" s="244">
        <f t="shared" ref="G200:O200" si="46">SUM(G198:G199)</f>
        <v>0</v>
      </c>
      <c r="H200" s="244">
        <f t="shared" si="46"/>
        <v>6238638</v>
      </c>
      <c r="I200" s="244">
        <f t="shared" si="46"/>
        <v>6238638</v>
      </c>
      <c r="J200" s="244">
        <f t="shared" si="46"/>
        <v>4015762</v>
      </c>
      <c r="K200" s="244">
        <f t="shared" si="46"/>
        <v>5050632</v>
      </c>
      <c r="L200" s="244">
        <f t="shared" si="46"/>
        <v>126669</v>
      </c>
      <c r="M200" s="244">
        <f t="shared" si="46"/>
        <v>0</v>
      </c>
      <c r="N200" s="244">
        <f t="shared" si="46"/>
        <v>5177301</v>
      </c>
      <c r="O200" s="244">
        <f t="shared" si="46"/>
        <v>1061337</v>
      </c>
      <c r="P200" s="169">
        <v>20.552423733483195</v>
      </c>
      <c r="Q200" s="169">
        <v>42.589990276099833</v>
      </c>
      <c r="R200" s="170">
        <v>52.557857205999355</v>
      </c>
      <c r="Y200" s="56"/>
    </row>
    <row r="201" spans="1:29" ht="15.75" thickBot="1" x14ac:dyDescent="0.3">
      <c r="B201" s="246"/>
      <c r="C201" s="143"/>
      <c r="D201" s="176"/>
      <c r="E201" s="149" t="s">
        <v>102</v>
      </c>
      <c r="F201" s="359">
        <v>13910</v>
      </c>
      <c r="G201" s="359">
        <v>0</v>
      </c>
      <c r="H201" s="359">
        <v>1075876</v>
      </c>
      <c r="I201" s="359">
        <v>1075876</v>
      </c>
      <c r="J201" s="359">
        <v>851293</v>
      </c>
      <c r="K201" s="360">
        <v>1034325</v>
      </c>
      <c r="L201" s="359">
        <v>0</v>
      </c>
      <c r="M201" s="359">
        <v>0</v>
      </c>
      <c r="N201" s="359">
        <v>1034325</v>
      </c>
      <c r="O201" s="359">
        <v>41551</v>
      </c>
      <c r="P201" s="361">
        <v>3.8620621707334304</v>
      </c>
      <c r="Q201" s="361">
        <v>61.200071890726093</v>
      </c>
      <c r="R201" s="362">
        <v>74.358375269590226</v>
      </c>
      <c r="Y201" s="56"/>
    </row>
    <row r="202" spans="1:29" s="363" customFormat="1" ht="15.75" thickBot="1" x14ac:dyDescent="0.3">
      <c r="A202" s="356">
        <v>2012</v>
      </c>
      <c r="B202" s="357">
        <v>20</v>
      </c>
      <c r="C202" s="143" t="s">
        <v>681</v>
      </c>
      <c r="D202" s="39">
        <v>3910</v>
      </c>
      <c r="E202" s="167" t="str">
        <f>+E200</f>
        <v xml:space="preserve">סה"כ תאגיד </v>
      </c>
      <c r="F202" s="359">
        <v>13910</v>
      </c>
      <c r="G202" s="359">
        <v>0</v>
      </c>
      <c r="H202" s="359">
        <v>1075876</v>
      </c>
      <c r="I202" s="359">
        <v>1075876</v>
      </c>
      <c r="J202" s="359">
        <v>851293</v>
      </c>
      <c r="K202" s="360">
        <v>1034325</v>
      </c>
      <c r="L202" s="359">
        <v>0</v>
      </c>
      <c r="M202" s="359">
        <v>0</v>
      </c>
      <c r="N202" s="359">
        <v>1034325</v>
      </c>
      <c r="O202" s="359">
        <v>41551</v>
      </c>
      <c r="P202" s="361">
        <v>3.8620621707334304</v>
      </c>
      <c r="Q202" s="361">
        <v>61.200071890726093</v>
      </c>
      <c r="R202" s="362">
        <v>74.358375269590226</v>
      </c>
      <c r="S202" s="363">
        <v>4846</v>
      </c>
      <c r="Y202" s="364"/>
      <c r="AA202" s="365"/>
      <c r="AB202" s="365"/>
      <c r="AC202" s="365"/>
    </row>
    <row r="203" spans="1:29" s="363" customFormat="1" x14ac:dyDescent="0.25">
      <c r="A203" s="356"/>
      <c r="B203" s="357"/>
      <c r="C203" s="47"/>
      <c r="D203" s="39"/>
      <c r="E203" s="358" t="s">
        <v>75</v>
      </c>
      <c r="F203" s="359">
        <v>37634</v>
      </c>
      <c r="G203" s="359">
        <v>0</v>
      </c>
      <c r="H203" s="359">
        <v>2919657</v>
      </c>
      <c r="I203" s="359">
        <v>2919657</v>
      </c>
      <c r="J203" s="359">
        <v>1963493</v>
      </c>
      <c r="K203" s="359">
        <v>2539649</v>
      </c>
      <c r="L203" s="359">
        <v>122153</v>
      </c>
      <c r="M203" s="359">
        <v>3430</v>
      </c>
      <c r="N203" s="359">
        <v>2665232</v>
      </c>
      <c r="O203" s="359">
        <v>254425</v>
      </c>
      <c r="P203" s="361">
        <v>8.7142085525799775</v>
      </c>
      <c r="Q203" s="361">
        <v>52.173380453844928</v>
      </c>
      <c r="R203" s="362">
        <v>67.482834670776427</v>
      </c>
      <c r="Y203" s="364"/>
      <c r="AA203" s="365"/>
      <c r="AB203" s="365"/>
      <c r="AC203" s="365"/>
    </row>
    <row r="204" spans="1:29" s="363" customFormat="1" ht="15.75" thickBot="1" x14ac:dyDescent="0.3">
      <c r="A204" s="356">
        <v>2012</v>
      </c>
      <c r="B204" s="357">
        <v>54</v>
      </c>
      <c r="C204" s="143" t="s">
        <v>275</v>
      </c>
      <c r="D204" s="366">
        <v>3042</v>
      </c>
      <c r="E204" s="167" t="str">
        <f>+E202</f>
        <v xml:space="preserve">סה"כ תאגיד </v>
      </c>
      <c r="F204" s="359">
        <v>37634</v>
      </c>
      <c r="G204" s="359">
        <v>0</v>
      </c>
      <c r="H204" s="359">
        <v>2919657</v>
      </c>
      <c r="I204" s="359">
        <v>2919657</v>
      </c>
      <c r="J204" s="359">
        <v>1963493</v>
      </c>
      <c r="K204" s="359">
        <v>2539649</v>
      </c>
      <c r="L204" s="359">
        <v>122153</v>
      </c>
      <c r="M204" s="359">
        <v>3430</v>
      </c>
      <c r="N204" s="359">
        <v>2665232</v>
      </c>
      <c r="O204" s="359">
        <v>254425</v>
      </c>
      <c r="P204" s="361">
        <v>8.7142085525799775</v>
      </c>
      <c r="Q204" s="361">
        <v>52.173380453844928</v>
      </c>
      <c r="R204" s="362">
        <v>67.482834670776427</v>
      </c>
      <c r="S204" s="363">
        <v>18491</v>
      </c>
      <c r="Y204" s="364"/>
    </row>
    <row r="205" spans="1:29" s="363" customFormat="1" ht="15.75" thickBot="1" x14ac:dyDescent="0.3">
      <c r="A205" s="356">
        <v>2012</v>
      </c>
      <c r="B205" s="372">
        <v>61</v>
      </c>
      <c r="C205" s="5"/>
      <c r="D205" s="39"/>
      <c r="E205" s="367" t="s">
        <v>248</v>
      </c>
      <c r="F205" s="368">
        <v>148035</v>
      </c>
      <c r="G205" s="369">
        <v>4080020</v>
      </c>
      <c r="H205" s="369">
        <v>7918642</v>
      </c>
      <c r="I205" s="369">
        <v>11998662</v>
      </c>
      <c r="J205" s="369">
        <v>7873689</v>
      </c>
      <c r="K205" s="369">
        <v>10539488</v>
      </c>
      <c r="L205" s="369">
        <v>34475</v>
      </c>
      <c r="M205" s="369">
        <v>95363</v>
      </c>
      <c r="N205" s="369">
        <v>10669326</v>
      </c>
      <c r="O205" s="369">
        <v>1329336</v>
      </c>
      <c r="P205" s="370">
        <v>11.079035312437338</v>
      </c>
      <c r="Q205" s="370">
        <v>53.188023102644642</v>
      </c>
      <c r="R205" s="371">
        <v>71.195919883811257</v>
      </c>
      <c r="S205" s="373">
        <v>67849</v>
      </c>
      <c r="Y205" s="364"/>
    </row>
    <row r="206" spans="1:29" s="363" customFormat="1" ht="15.75" thickBot="1" x14ac:dyDescent="0.3">
      <c r="A206" s="356"/>
      <c r="B206" s="357"/>
      <c r="C206" s="143" t="s">
        <v>281</v>
      </c>
      <c r="D206" s="39">
        <v>7966</v>
      </c>
      <c r="E206" s="367">
        <v>7966</v>
      </c>
      <c r="F206" s="368">
        <v>148035</v>
      </c>
      <c r="G206" s="369">
        <v>4080020</v>
      </c>
      <c r="H206" s="369">
        <v>7918642</v>
      </c>
      <c r="I206" s="369">
        <v>11998662</v>
      </c>
      <c r="J206" s="369">
        <v>7873689</v>
      </c>
      <c r="K206" s="369">
        <v>10539488</v>
      </c>
      <c r="L206" s="369">
        <v>34475</v>
      </c>
      <c r="M206" s="369">
        <v>95363</v>
      </c>
      <c r="N206" s="369">
        <v>10669326</v>
      </c>
      <c r="O206" s="369">
        <v>1329336</v>
      </c>
      <c r="P206" s="370">
        <v>11.079035312437338</v>
      </c>
      <c r="Q206" s="370">
        <v>53.188023102644642</v>
      </c>
      <c r="R206" s="371">
        <v>71.195919883811257</v>
      </c>
      <c r="Y206" s="364"/>
    </row>
    <row r="207" spans="1:29" ht="15.75" thickBot="1" x14ac:dyDescent="0.3">
      <c r="B207" s="247"/>
      <c r="C207" s="248" t="s">
        <v>164</v>
      </c>
      <c r="D207" s="249"/>
      <c r="E207" s="249"/>
      <c r="F207" s="250">
        <v>5961139</v>
      </c>
      <c r="G207" s="250">
        <v>71096535</v>
      </c>
      <c r="H207" s="250">
        <v>422417131</v>
      </c>
      <c r="I207" s="250">
        <v>493513666</v>
      </c>
      <c r="J207" s="250">
        <v>290301458</v>
      </c>
      <c r="K207" s="250">
        <v>399823356</v>
      </c>
      <c r="L207" s="250">
        <v>28263054</v>
      </c>
      <c r="M207" s="250">
        <v>3657982</v>
      </c>
      <c r="N207" s="250">
        <v>431744392</v>
      </c>
      <c r="O207" s="250">
        <v>61769274</v>
      </c>
      <c r="P207" s="251">
        <v>12.516223613552373</v>
      </c>
      <c r="Q207" s="251">
        <v>48.698991585332941</v>
      </c>
      <c r="R207" s="252">
        <v>67.071637819550929</v>
      </c>
      <c r="S207" s="348">
        <f>+G207/I207</f>
        <v>0.14406193768907707</v>
      </c>
      <c r="Y207" s="56"/>
    </row>
    <row r="208" spans="1:29" x14ac:dyDescent="0.25">
      <c r="Y208" s="56"/>
    </row>
    <row r="209" spans="6:25" x14ac:dyDescent="0.25">
      <c r="Y209" s="56"/>
    </row>
    <row r="210" spans="6:25" x14ac:dyDescent="0.25">
      <c r="F210" s="253"/>
      <c r="Y210" s="56"/>
    </row>
    <row r="211" spans="6:25" x14ac:dyDescent="0.25">
      <c r="Y211" s="56"/>
    </row>
    <row r="212" spans="6:25" x14ac:dyDescent="0.25">
      <c r="Y212" s="56"/>
    </row>
  </sheetData>
  <autoFilter ref="C6:S213"/>
  <mergeCells count="4">
    <mergeCell ref="B3:R3"/>
    <mergeCell ref="C33:C34"/>
    <mergeCell ref="C103:C104"/>
    <mergeCell ref="C106:C107"/>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0"/>
  <dimension ref="B10:AE25"/>
  <sheetViews>
    <sheetView rightToLeft="1" topLeftCell="A4" workbookViewId="0">
      <selection activeCell="H13" sqref="H13"/>
    </sheetView>
  </sheetViews>
  <sheetFormatPr defaultRowHeight="12.75" x14ac:dyDescent="0.2"/>
  <cols>
    <col min="4" max="4" width="11" bestFit="1" customWidth="1"/>
    <col min="5" max="5" width="14.140625" bestFit="1" customWidth="1"/>
  </cols>
  <sheetData>
    <row r="10" spans="2:31" x14ac:dyDescent="0.2">
      <c r="E10" s="438"/>
      <c r="F10" s="618"/>
      <c r="G10" s="618"/>
      <c r="H10" s="618">
        <v>42370</v>
      </c>
      <c r="I10" s="618"/>
      <c r="J10" s="618">
        <v>42186</v>
      </c>
      <c r="K10" s="618"/>
      <c r="L10" s="618">
        <v>42005</v>
      </c>
      <c r="M10" s="618"/>
      <c r="N10" s="618">
        <v>41821</v>
      </c>
      <c r="O10" s="618"/>
      <c r="P10" s="618">
        <v>41640</v>
      </c>
      <c r="Q10" s="438"/>
      <c r="R10" s="618">
        <v>41456</v>
      </c>
      <c r="S10" s="438"/>
      <c r="T10" s="618">
        <v>41275</v>
      </c>
      <c r="U10" s="438"/>
      <c r="V10" s="618">
        <v>41091</v>
      </c>
      <c r="W10" s="438"/>
      <c r="X10" s="438"/>
      <c r="Y10" s="618">
        <v>40909</v>
      </c>
      <c r="Z10" s="438"/>
      <c r="AA10" s="618">
        <v>40725</v>
      </c>
      <c r="AB10" s="438"/>
      <c r="AC10" s="618">
        <v>40544</v>
      </c>
      <c r="AE10" s="107"/>
    </row>
    <row r="11" spans="2:31" x14ac:dyDescent="0.2">
      <c r="B11" t="s">
        <v>867</v>
      </c>
      <c r="C11">
        <v>1.2230000000000001</v>
      </c>
      <c r="E11" s="38" t="s">
        <v>845</v>
      </c>
      <c r="F11" s="419">
        <v>0.5</v>
      </c>
      <c r="G11" s="419">
        <v>0.85</v>
      </c>
      <c r="H11" s="733">
        <f>+'מדד מחירים'!C72/'מדד מחירים'!I72-1</f>
        <v>-4.0160642843233285E-3</v>
      </c>
      <c r="I11" s="434">
        <f>+H11*G11</f>
        <v>-3.4136546416748291E-3</v>
      </c>
      <c r="J11" s="1000">
        <f>+'מדד מחירים'!I72/'מדד מחירים'!C71-1</f>
        <v>-4.9755143188784379E-3</v>
      </c>
      <c r="K11" s="434">
        <f>+J11*G11</f>
        <v>-4.2291871710466722E-3</v>
      </c>
      <c r="L11" s="733">
        <f>+'מדד מחירים'!C71/'מדד מחירים'!I71-1</f>
        <v>9.8039215719913919E-4</v>
      </c>
      <c r="M11" s="733">
        <f>+L11*G11</f>
        <v>8.3333333361926829E-4</v>
      </c>
      <c r="N11" s="38">
        <f>+'מדד מחירים'!I71/'מדד מחירים'!C70-1</f>
        <v>-1.9569471624251156E-3</v>
      </c>
      <c r="O11" s="733">
        <f>+N11*G11</f>
        <v>-1.6634050880613481E-3</v>
      </c>
      <c r="P11" s="38">
        <f>+'מדד מחירים'!C70/'מדד מחירים'!I70-1</f>
        <v>1.1881188118809671E-2</v>
      </c>
      <c r="Q11" s="38">
        <f>+P11*G11</f>
        <v>1.0099009900988221E-2</v>
      </c>
      <c r="R11" s="584">
        <f>+'מדד מחירים'!I70/'מדד מחירים'!C69-1</f>
        <v>7.1279620853086367E-3</v>
      </c>
      <c r="S11" s="38">
        <f>+R11*G11</f>
        <v>6.058767772512341E-3</v>
      </c>
      <c r="T11" s="38">
        <f>+'מדד מחירים'!C69/'מדד מחירים'!I69-1</f>
        <v>1.8993352326686086E-3</v>
      </c>
      <c r="U11" s="38">
        <f>+T11*G11</f>
        <v>1.6144349477683173E-3</v>
      </c>
      <c r="V11" s="38">
        <f>+'מדד מחירים'!I69/'מדד מחירים'!C68-1</f>
        <v>1.2499999999999956E-2</v>
      </c>
      <c r="W11" s="38">
        <f>+V11*G11</f>
        <v>1.0624999999999963E-2</v>
      </c>
      <c r="X11" s="38">
        <f>+'מדד מחירים'!C68/'מדד מחירים'!I68-1</f>
        <v>3.8610038610042974E-3</v>
      </c>
      <c r="Y11" s="38">
        <f>+X11*G11</f>
        <v>3.2818532818536528E-3</v>
      </c>
      <c r="Z11" s="38">
        <f>+'מדד מחירים'!I68/'מדד מחירים'!B67-1</f>
        <v>1.7774074074073276E-2</v>
      </c>
      <c r="AA11" s="38">
        <f>+Z11*F11</f>
        <v>8.8870370370366381E-3</v>
      </c>
      <c r="AB11" s="38">
        <f>+'מדד מחירים'!C67/'מדד מחירים'!I67-1</f>
        <v>1.8939393939393145E-2</v>
      </c>
      <c r="AC11" s="38">
        <f>+AB11*F11</f>
        <v>9.4696969696965727E-3</v>
      </c>
    </row>
    <row r="12" spans="2:31" x14ac:dyDescent="0.2">
      <c r="E12" s="38"/>
      <c r="F12" s="38"/>
      <c r="G12" s="38"/>
      <c r="H12" s="38"/>
      <c r="I12" s="434"/>
      <c r="J12" s="434"/>
      <c r="K12" s="38"/>
      <c r="L12" s="38"/>
      <c r="M12" s="733"/>
      <c r="N12" s="38"/>
      <c r="O12" s="733"/>
      <c r="P12" s="38"/>
      <c r="Q12" s="38"/>
      <c r="R12" s="38"/>
      <c r="S12" s="38"/>
      <c r="T12" s="38"/>
      <c r="U12" s="38"/>
      <c r="V12" s="38"/>
      <c r="W12" s="38"/>
      <c r="X12" s="38"/>
      <c r="Y12" s="38"/>
      <c r="Z12" s="38"/>
      <c r="AA12" s="38"/>
      <c r="AB12" s="38"/>
      <c r="AC12" s="38"/>
    </row>
    <row r="13" spans="2:31" x14ac:dyDescent="0.2">
      <c r="E13" s="38" t="s">
        <v>868</v>
      </c>
      <c r="F13" s="419">
        <v>0.15</v>
      </c>
      <c r="G13" s="419">
        <v>0.1</v>
      </c>
      <c r="H13" s="733">
        <f>+'מדד שכר ממוצע'!B8/'מדד שכר ממוצע'!C8-1</f>
        <v>1.4093137254902022E-2</v>
      </c>
      <c r="I13" s="434">
        <f>+H13*G13</f>
        <v>1.4093137254902023E-3</v>
      </c>
      <c r="J13" s="733">
        <f>+'מדד שכר ממוצע'!C8/'מדד שכר ממוצע'!D8-1</f>
        <v>1.4205199164254445E-3</v>
      </c>
      <c r="K13" s="434">
        <f>+J13*G13</f>
        <v>1.4205199164254445E-4</v>
      </c>
      <c r="L13" s="733">
        <f>+'מדד שכר ממוצע'!D8/'מדד שכר ממוצע'!E8-1</f>
        <v>2.2271638083528833E-2</v>
      </c>
      <c r="M13" s="733">
        <f>+L13*G13</f>
        <v>2.2271638083528832E-3</v>
      </c>
      <c r="N13" s="38">
        <f>+'מדד שכר ממוצע'!E8/'מדד שכר ממוצע'!F8-1</f>
        <v>2.3641553803397386E-3</v>
      </c>
      <c r="O13" s="733">
        <f>+N13*G13</f>
        <v>2.3641553803397387E-4</v>
      </c>
      <c r="P13" s="38">
        <f>+'מדד שכר ממוצע'!F8/'מדד שכר ממוצע'!G8-1</f>
        <v>1.7927432620119088E-2</v>
      </c>
      <c r="Q13" s="38">
        <f>+P13*G13</f>
        <v>1.792743262011909E-3</v>
      </c>
      <c r="R13" s="38">
        <f>+'מדד שכר ממוצע'!G8*C11/'מדד שכר ממוצע'!H8-1</f>
        <v>5.1696107311938189E-3</v>
      </c>
      <c r="S13" s="38">
        <f>+R13*G13</f>
        <v>5.1696107311938189E-4</v>
      </c>
      <c r="T13" s="38">
        <f>+'מדד שכר ממוצע'!H8/'מדד שכר ממוצע'!I8-1</f>
        <v>1.4137103227527481E-2</v>
      </c>
      <c r="U13" s="38">
        <f>+T13*G13</f>
        <v>1.4137103227527482E-3</v>
      </c>
      <c r="V13" s="38">
        <f>+'מדד שכר ממוצע'!I8/'מדד שכר ממוצע'!J8-1</f>
        <v>1.4614343707713084E-2</v>
      </c>
      <c r="W13" s="38">
        <f>+V13*G13</f>
        <v>1.4614343707713086E-3</v>
      </c>
      <c r="X13" s="38">
        <f>+'מדד שכר ממוצע'!J8/'מדד שכר ממוצע'!K8-1</f>
        <v>7.3609596510362252E-3</v>
      </c>
      <c r="Y13" s="38">
        <f>+X13*G13</f>
        <v>7.3609596510362254E-4</v>
      </c>
      <c r="Z13" s="38">
        <f>+'מדד שכר ממוצע'!K8/'מדד שכר ממוצע'!L8-1</f>
        <v>2.8315110737314075E-2</v>
      </c>
      <c r="AA13" s="38">
        <f>+Z13*F13</f>
        <v>4.2472666105971115E-3</v>
      </c>
      <c r="AB13" s="38">
        <f>+'מדד שכר ממוצע'!L8/'מדד שכר ממוצע'!M8-1</f>
        <v>8.7669683257920461E-3</v>
      </c>
      <c r="AC13" s="38">
        <f>+AB13*F13</f>
        <v>1.3150452488688068E-3</v>
      </c>
    </row>
    <row r="14" spans="2:31" x14ac:dyDescent="0.2">
      <c r="E14" s="38"/>
      <c r="F14" s="38"/>
      <c r="G14" s="38"/>
      <c r="H14" s="38"/>
      <c r="I14" s="434"/>
      <c r="J14" s="38"/>
      <c r="K14" s="38"/>
      <c r="L14" s="38"/>
      <c r="M14" s="733"/>
      <c r="N14" s="38"/>
      <c r="O14" s="733"/>
      <c r="P14" s="38"/>
      <c r="Q14" s="38"/>
      <c r="R14" s="38"/>
      <c r="S14" s="38"/>
      <c r="T14" s="38"/>
      <c r="U14" s="38"/>
      <c r="V14" s="38"/>
      <c r="W14" s="38"/>
      <c r="X14" s="38"/>
      <c r="Y14" s="38"/>
      <c r="Z14" s="38"/>
      <c r="AA14" s="38"/>
      <c r="AB14" s="38"/>
      <c r="AC14" s="38"/>
    </row>
    <row r="15" spans="2:31" x14ac:dyDescent="0.2">
      <c r="E15" s="38" t="s">
        <v>846</v>
      </c>
      <c r="F15" s="419">
        <v>0.35</v>
      </c>
      <c r="G15" s="419">
        <v>0.05</v>
      </c>
      <c r="H15" s="733">
        <f>+'מדד חשמל'!C156/'מדד חשמל'!C150-1</f>
        <v>-5.8899999999999841E-2</v>
      </c>
      <c r="I15" s="434">
        <f>+H15*G15</f>
        <v>-2.9449999999999923E-3</v>
      </c>
      <c r="J15" s="733">
        <f>+'מדד חשמל'!B151/'מדד חשמל'!B143-1</f>
        <v>-0.11799999999999999</v>
      </c>
      <c r="K15" s="434">
        <f>+J15*G15</f>
        <v>-5.8999999999999999E-3</v>
      </c>
      <c r="L15" s="419">
        <f>+'מדד חשמל'!B144/'מדד חשמל'!B138-1</f>
        <v>0</v>
      </c>
      <c r="M15" s="733">
        <f>+L15*L15</f>
        <v>0</v>
      </c>
      <c r="N15" s="38">
        <f>+'מדד חשמל'!B138/'מדד חשמל'!B132-1</f>
        <v>0</v>
      </c>
      <c r="O15" s="733">
        <f>+N15*G15</f>
        <v>0</v>
      </c>
      <c r="P15" s="38">
        <f>+'מדד חשמל'!B132/'מדד חשמל'!B126-1</f>
        <v>0</v>
      </c>
      <c r="Q15" s="38">
        <f>+P15*G15</f>
        <v>0</v>
      </c>
      <c r="R15" s="38">
        <f>+'מדד חשמל'!B126/'מדד חשמל'!B120-1</f>
        <v>5.4999999999999938E-2</v>
      </c>
      <c r="S15" s="38">
        <f>+R15*G15</f>
        <v>2.7499999999999972E-3</v>
      </c>
      <c r="T15" s="38">
        <f>+'מדד חשמל'!B120/'מדד חשמל'!B114-1</f>
        <v>0</v>
      </c>
      <c r="U15" s="38">
        <f>+T15*G15</f>
        <v>0</v>
      </c>
      <c r="V15" s="423">
        <f>+'מדד חשמל'!B114/'מדד חשמל'!B108-1</f>
        <v>8.8999999999999968E-2</v>
      </c>
      <c r="W15" s="38">
        <f>+V15*G15</f>
        <v>4.4499999999999982E-3</v>
      </c>
      <c r="X15" s="423">
        <f>+'מדד חשמל'!B108/'מדד חשמל'!B102-1</f>
        <v>0.15119875237710101</v>
      </c>
      <c r="Y15" s="38">
        <f>+X15*G15</f>
        <v>7.5599376188550506E-3</v>
      </c>
      <c r="Z15" s="423">
        <f>+'מדד חשמל'!B102/'מדד חשמל'!B96-1</f>
        <v>3.4000000000000696E-3</v>
      </c>
      <c r="AA15" s="38">
        <f>+Z15*F15</f>
        <v>1.1900000000000244E-3</v>
      </c>
      <c r="AB15" s="423">
        <f>+'מדד חשמל'!B96/'מדד חשמל'!B90-1</f>
        <v>0</v>
      </c>
      <c r="AC15" s="38">
        <f>+AB15*F15</f>
        <v>0</v>
      </c>
    </row>
    <row r="16" spans="2:31" x14ac:dyDescent="0.2">
      <c r="E16" s="38"/>
      <c r="F16" s="38"/>
      <c r="G16" s="38"/>
      <c r="H16" s="38"/>
      <c r="I16" s="38"/>
      <c r="J16" s="38"/>
      <c r="K16" s="38"/>
      <c r="L16" s="38"/>
      <c r="M16" s="38"/>
      <c r="N16" s="38"/>
      <c r="O16" s="38"/>
      <c r="P16" s="38"/>
      <c r="Q16" s="38"/>
      <c r="R16" s="38"/>
      <c r="S16" s="38"/>
      <c r="T16" s="38"/>
      <c r="U16" s="38"/>
      <c r="V16" s="38"/>
      <c r="W16" s="38"/>
      <c r="X16" s="38"/>
      <c r="Y16" s="38"/>
      <c r="Z16" s="38"/>
      <c r="AA16" s="38"/>
      <c r="AB16" s="38"/>
      <c r="AC16" s="38"/>
    </row>
    <row r="17" spans="4:30" x14ac:dyDescent="0.2">
      <c r="E17" s="38"/>
      <c r="F17" s="38"/>
      <c r="G17" s="38"/>
      <c r="H17" s="434">
        <f>ROUND(SUM(I11:I15),4)</f>
        <v>-4.8999999999999998E-3</v>
      </c>
      <c r="I17" s="38"/>
      <c r="J17" s="434">
        <f>ROUND(SUM(K11:K15),4)</f>
        <v>-0.01</v>
      </c>
      <c r="K17" s="434"/>
      <c r="L17" s="434">
        <f>ROUND(SUM(M11:M15),4)</f>
        <v>3.0999999999999999E-3</v>
      </c>
      <c r="M17" s="38"/>
      <c r="N17" s="735">
        <f>SUM(O11:O15)</f>
        <v>-1.4269895500273742E-3</v>
      </c>
      <c r="O17" s="38"/>
      <c r="P17" s="493">
        <f>SUM(Q11:Q15)</f>
        <v>1.1891753163000129E-2</v>
      </c>
      <c r="Q17" s="38"/>
      <c r="R17" s="585">
        <f>ROUND(SUM(S11:S15),3)</f>
        <v>8.9999999999999993E-3</v>
      </c>
      <c r="S17" s="585"/>
      <c r="T17" s="585">
        <f>ROUND(SUM(U11:U15),3)</f>
        <v>3.0000000000000001E-3</v>
      </c>
      <c r="U17" s="585"/>
      <c r="V17" s="585">
        <f>ROUND(SUM(W11:W15),3)</f>
        <v>1.7000000000000001E-2</v>
      </c>
      <c r="W17" s="585"/>
      <c r="X17" s="586">
        <f>ROUND(SUM(Y11:Y15),3)</f>
        <v>1.2E-2</v>
      </c>
      <c r="Y17" s="587"/>
      <c r="Z17" s="588">
        <v>1.417E-2</v>
      </c>
      <c r="AA17" s="587"/>
      <c r="AB17" s="587"/>
      <c r="AC17" s="585">
        <f>ROUND(SUM(AC11:AC15),3)</f>
        <v>1.0999999999999999E-2</v>
      </c>
    </row>
    <row r="18" spans="4:30" x14ac:dyDescent="0.2">
      <c r="AD18" s="51"/>
    </row>
    <row r="20" spans="4:30" x14ac:dyDescent="0.2">
      <c r="E20" s="107">
        <v>41821</v>
      </c>
      <c r="F20" s="34">
        <f>+N17</f>
        <v>-1.4269895500273742E-3</v>
      </c>
    </row>
    <row r="21" spans="4:30" x14ac:dyDescent="0.2">
      <c r="E21" s="107">
        <v>42005</v>
      </c>
      <c r="F21" s="34">
        <f>+L17</f>
        <v>3.0999999999999999E-3</v>
      </c>
    </row>
    <row r="22" spans="4:30" x14ac:dyDescent="0.2">
      <c r="E22" s="107">
        <v>42186</v>
      </c>
      <c r="F22" s="34">
        <f>+J17</f>
        <v>-0.01</v>
      </c>
      <c r="L22" s="33"/>
    </row>
    <row r="23" spans="4:30" x14ac:dyDescent="0.2">
      <c r="E23" s="107">
        <v>42370</v>
      </c>
      <c r="F23" s="34">
        <f>+H17</f>
        <v>-4.8999999999999998E-3</v>
      </c>
      <c r="Z23" s="79">
        <f>2.346-X17</f>
        <v>2.3340000000000001</v>
      </c>
    </row>
    <row r="25" spans="4:30" x14ac:dyDescent="0.2">
      <c r="D25" s="403" t="s">
        <v>954</v>
      </c>
      <c r="F25" s="404">
        <f>SUM(F20:F23)</f>
        <v>-1.3226989550027374E-2</v>
      </c>
      <c r="H25" s="3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1"/>
  <dimension ref="B2:AC18"/>
  <sheetViews>
    <sheetView rightToLeft="1" workbookViewId="0">
      <selection activeCell="C4" sqref="C4:C6"/>
    </sheetView>
  </sheetViews>
  <sheetFormatPr defaultRowHeight="12.75" x14ac:dyDescent="0.2"/>
  <cols>
    <col min="5" max="5" width="8.28515625" customWidth="1"/>
  </cols>
  <sheetData>
    <row r="2" spans="2:29" x14ac:dyDescent="0.2">
      <c r="B2" t="s">
        <v>1546</v>
      </c>
    </row>
    <row r="3" spans="2:29" x14ac:dyDescent="0.2">
      <c r="B3" s="583">
        <v>42309</v>
      </c>
      <c r="C3" s="583">
        <v>42125</v>
      </c>
      <c r="D3" s="583">
        <v>41944</v>
      </c>
      <c r="E3" s="583">
        <v>41760</v>
      </c>
      <c r="F3" s="583">
        <v>41579</v>
      </c>
      <c r="G3" s="583">
        <v>41395</v>
      </c>
      <c r="H3" s="583">
        <v>41214</v>
      </c>
      <c r="I3" s="583">
        <v>41030</v>
      </c>
      <c r="J3" s="583">
        <v>40848</v>
      </c>
      <c r="K3" s="583">
        <v>40664</v>
      </c>
      <c r="L3" s="583">
        <v>40483</v>
      </c>
      <c r="M3" s="583">
        <v>40299</v>
      </c>
      <c r="N3" s="583">
        <v>40118</v>
      </c>
      <c r="O3" s="583">
        <v>39934</v>
      </c>
      <c r="P3" s="583">
        <v>39753</v>
      </c>
      <c r="Q3" s="583">
        <v>39569</v>
      </c>
      <c r="R3" s="583">
        <v>39387</v>
      </c>
      <c r="S3" s="583">
        <v>39203</v>
      </c>
      <c r="T3" s="583">
        <v>39022</v>
      </c>
      <c r="U3" s="583">
        <v>38838</v>
      </c>
      <c r="V3" s="583">
        <v>38657</v>
      </c>
      <c r="W3" s="583">
        <v>38473</v>
      </c>
      <c r="X3" s="583">
        <v>38292</v>
      </c>
      <c r="Y3" s="583">
        <v>38108</v>
      </c>
      <c r="Z3" s="583">
        <v>37926</v>
      </c>
      <c r="AA3" s="583">
        <v>37742</v>
      </c>
      <c r="AB3" s="583">
        <v>37561</v>
      </c>
      <c r="AC3" s="583">
        <v>37377</v>
      </c>
    </row>
    <row r="4" spans="2:29" x14ac:dyDescent="0.2">
      <c r="B4" s="1598">
        <v>110.9</v>
      </c>
      <c r="C4" s="580">
        <v>107.6</v>
      </c>
      <c r="D4" s="578">
        <v>109.741</v>
      </c>
      <c r="E4" s="578">
        <v>106.096</v>
      </c>
      <c r="F4" s="578">
        <v>107.348</v>
      </c>
      <c r="G4" s="578">
        <v>103.83499999999999</v>
      </c>
      <c r="H4" s="579">
        <v>128.80000000000001</v>
      </c>
      <c r="I4" s="579">
        <v>124.3</v>
      </c>
      <c r="J4" s="579">
        <v>124.5</v>
      </c>
      <c r="K4" s="580">
        <v>122.1</v>
      </c>
      <c r="L4" s="579">
        <v>120.6</v>
      </c>
      <c r="M4" s="579">
        <v>117.5</v>
      </c>
      <c r="N4" s="579">
        <v>117.6</v>
      </c>
      <c r="O4" s="579">
        <v>114.8</v>
      </c>
      <c r="P4" s="579">
        <v>114.8</v>
      </c>
      <c r="Q4" s="579">
        <v>113.142</v>
      </c>
      <c r="R4" s="579">
        <v>110.76300000000001</v>
      </c>
      <c r="S4" s="579">
        <v>119.282</v>
      </c>
      <c r="T4" s="580">
        <v>119.708</v>
      </c>
      <c r="U4" s="580">
        <v>111.13200000000001</v>
      </c>
      <c r="V4" s="581">
        <v>110.67400000000001</v>
      </c>
      <c r="W4" s="581">
        <v>106.6</v>
      </c>
      <c r="X4" s="38"/>
      <c r="Y4" s="38"/>
      <c r="Z4" s="38"/>
      <c r="AA4" s="38"/>
      <c r="AB4" s="38"/>
      <c r="AC4" s="38"/>
    </row>
    <row r="5" spans="2:29" x14ac:dyDescent="0.2">
      <c r="B5" s="1598">
        <v>110.5</v>
      </c>
      <c r="C5" s="580">
        <v>106.3</v>
      </c>
      <c r="D5" s="578">
        <v>107.97</v>
      </c>
      <c r="E5" s="578">
        <v>104.34699999999999</v>
      </c>
      <c r="F5" s="578">
        <v>105.745</v>
      </c>
      <c r="G5" s="578">
        <v>102.553</v>
      </c>
      <c r="H5" s="579">
        <v>126.3</v>
      </c>
      <c r="I5" s="579">
        <v>122.9</v>
      </c>
      <c r="J5" s="579">
        <v>121.8</v>
      </c>
      <c r="K5" s="580">
        <v>118.8</v>
      </c>
      <c r="L5" s="579">
        <v>119.2</v>
      </c>
      <c r="M5" s="579">
        <v>115.6</v>
      </c>
      <c r="N5" s="579">
        <v>113.5</v>
      </c>
      <c r="O5" s="579">
        <v>111.3</v>
      </c>
      <c r="P5" s="579">
        <v>112.4</v>
      </c>
      <c r="Q5" s="579">
        <v>110.679</v>
      </c>
      <c r="R5" s="579">
        <v>109.15300000000001</v>
      </c>
      <c r="S5" s="579">
        <v>116.53400000000001</v>
      </c>
      <c r="T5" s="580">
        <v>114.911</v>
      </c>
      <c r="U5" s="580">
        <v>109.783</v>
      </c>
      <c r="V5" s="581">
        <v>105.59099999999999</v>
      </c>
      <c r="W5" s="581">
        <v>100.3</v>
      </c>
      <c r="X5" s="38"/>
      <c r="Y5" s="38"/>
      <c r="Z5" s="38"/>
      <c r="AA5" s="38"/>
      <c r="AB5" s="38"/>
      <c r="AC5" s="38"/>
    </row>
    <row r="6" spans="2:29" x14ac:dyDescent="0.2">
      <c r="B6" s="1598">
        <v>109.6</v>
      </c>
      <c r="C6" s="580">
        <v>112.5</v>
      </c>
      <c r="D6" s="578">
        <v>108.226</v>
      </c>
      <c r="E6" s="578">
        <v>108.393</v>
      </c>
      <c r="F6" s="578">
        <v>104.991</v>
      </c>
      <c r="G6" s="578">
        <v>106.09399999999999</v>
      </c>
      <c r="H6" s="579">
        <v>125.1</v>
      </c>
      <c r="I6" s="579">
        <v>127.7</v>
      </c>
      <c r="J6" s="579">
        <v>123.2</v>
      </c>
      <c r="K6" s="580">
        <v>125.9</v>
      </c>
      <c r="L6" s="579">
        <v>116.9</v>
      </c>
      <c r="M6" s="579">
        <v>120.5</v>
      </c>
      <c r="N6" s="579">
        <v>114.4</v>
      </c>
      <c r="O6" s="579">
        <v>116.5</v>
      </c>
      <c r="P6" s="579">
        <v>113.7</v>
      </c>
      <c r="Q6" s="579">
        <v>113.968</v>
      </c>
      <c r="R6" s="579">
        <v>109.01300000000001</v>
      </c>
      <c r="S6" s="579">
        <v>121.95</v>
      </c>
      <c r="T6" s="580">
        <v>115.006</v>
      </c>
      <c r="U6" s="580">
        <v>114.113</v>
      </c>
      <c r="V6" s="581">
        <v>108.309</v>
      </c>
      <c r="W6" s="581">
        <v>104.5</v>
      </c>
      <c r="X6" s="38"/>
      <c r="Y6" s="38"/>
      <c r="Z6" s="38"/>
      <c r="AA6" s="38"/>
      <c r="AB6" s="38"/>
      <c r="AC6" s="38"/>
    </row>
    <row r="7" spans="2:29" x14ac:dyDescent="0.2">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row>
    <row r="8" spans="2:29" x14ac:dyDescent="0.2">
      <c r="B8" s="1215">
        <f>AVERAGE(B4:B6)</f>
        <v>110.33333333333333</v>
      </c>
      <c r="C8" s="582">
        <f t="shared" ref="C8:M8" si="0">AVERAGE(C4:C6)</f>
        <v>108.8</v>
      </c>
      <c r="D8" s="582">
        <f t="shared" si="0"/>
        <v>108.64566666666667</v>
      </c>
      <c r="E8" s="582">
        <f t="shared" si="0"/>
        <v>106.27866666666667</v>
      </c>
      <c r="F8" s="582">
        <f t="shared" si="0"/>
        <v>106.02800000000001</v>
      </c>
      <c r="G8" s="582">
        <f t="shared" si="0"/>
        <v>104.16066666666666</v>
      </c>
      <c r="H8" s="582">
        <f t="shared" si="0"/>
        <v>126.73333333333335</v>
      </c>
      <c r="I8" s="582">
        <f t="shared" si="0"/>
        <v>124.96666666666665</v>
      </c>
      <c r="J8" s="582">
        <f t="shared" si="0"/>
        <v>123.16666666666667</v>
      </c>
      <c r="K8" s="582">
        <f t="shared" si="0"/>
        <v>122.26666666666665</v>
      </c>
      <c r="L8" s="582">
        <f t="shared" si="0"/>
        <v>118.90000000000002</v>
      </c>
      <c r="M8" s="582">
        <f t="shared" si="0"/>
        <v>117.86666666666667</v>
      </c>
      <c r="N8" s="38"/>
      <c r="O8" s="38"/>
      <c r="P8" s="38"/>
      <c r="Q8" s="38"/>
      <c r="R8" s="38"/>
      <c r="S8" s="38"/>
      <c r="T8" s="38"/>
      <c r="U8" s="38"/>
      <c r="V8" s="38"/>
      <c r="W8" s="38"/>
      <c r="X8" s="38">
        <v>96.175459256008807</v>
      </c>
      <c r="Y8" s="38">
        <v>96.221063096460227</v>
      </c>
      <c r="Z8" s="38">
        <v>98.759676881589115</v>
      </c>
      <c r="AA8" s="38">
        <v>96.315311033393158</v>
      </c>
      <c r="AB8" s="38">
        <v>101.94100079147998</v>
      </c>
      <c r="AC8" s="38">
        <v>96.695343037154956</v>
      </c>
    </row>
    <row r="10" spans="2:29" x14ac:dyDescent="0.2">
      <c r="B10" s="33"/>
      <c r="D10" s="33">
        <f>+D8/E8-1</f>
        <v>2.2271638083528833E-2</v>
      </c>
      <c r="E10" s="33"/>
      <c r="F10" s="33">
        <f>+F8/G8-1</f>
        <v>1.7927432620119088E-2</v>
      </c>
      <c r="G10" s="33"/>
      <c r="H10" s="33">
        <f>+H8/I8-1</f>
        <v>1.4137103227527481E-2</v>
      </c>
    </row>
    <row r="11" spans="2:29" x14ac:dyDescent="0.2">
      <c r="H11" s="732"/>
    </row>
    <row r="12" spans="2:29" x14ac:dyDescent="0.2">
      <c r="C12" s="732"/>
      <c r="F12" s="34">
        <f>AVERAGE(D10:H10)</f>
        <v>1.8112057977058466E-2</v>
      </c>
      <c r="H12" s="732"/>
    </row>
    <row r="13" spans="2:29" x14ac:dyDescent="0.2">
      <c r="C13" s="732"/>
      <c r="F13" s="33"/>
      <c r="H13" s="734"/>
      <c r="I13" s="33"/>
    </row>
    <row r="14" spans="2:29" x14ac:dyDescent="0.2">
      <c r="C14" s="732"/>
    </row>
    <row r="16" spans="2:29" x14ac:dyDescent="0.2">
      <c r="C16" s="1069"/>
      <c r="H16" s="34"/>
    </row>
    <row r="18" spans="19:19" x14ac:dyDescent="0.2">
      <c r="S18" s="34">
        <v>1.4999999999999999E-2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2"/>
  <dimension ref="A1:X158"/>
  <sheetViews>
    <sheetView rightToLeft="1" topLeftCell="A148" workbookViewId="0">
      <selection activeCell="E49" sqref="E49"/>
    </sheetView>
  </sheetViews>
  <sheetFormatPr defaultColWidth="10.140625" defaultRowHeight="12.75" x14ac:dyDescent="0.2"/>
  <cols>
    <col min="1" max="1" width="11.28515625" bestFit="1" customWidth="1"/>
    <col min="2" max="2" width="13.5703125" bestFit="1" customWidth="1"/>
    <col min="3" max="3" width="8.42578125" bestFit="1" customWidth="1"/>
    <col min="4" max="4" width="11.28515625" customWidth="1"/>
    <col min="5" max="5" width="7.5703125" customWidth="1"/>
    <col min="6" max="16" width="13.5703125" bestFit="1" customWidth="1"/>
    <col min="17" max="254" width="9.140625" customWidth="1"/>
  </cols>
  <sheetData>
    <row r="1" spans="1:5" x14ac:dyDescent="0.2">
      <c r="A1" s="566">
        <f>+[10]חשמל!A3</f>
        <v>37637</v>
      </c>
      <c r="B1" s="567">
        <f>+[10]חשמל!C3</f>
        <v>100</v>
      </c>
      <c r="C1" s="423">
        <f t="shared" ref="C1:C32" si="0">+B1/$E$1*100</f>
        <v>101.23843324858674</v>
      </c>
      <c r="D1" t="s">
        <v>477</v>
      </c>
      <c r="E1" s="14">
        <f>AVERAGE(B1:B12)</f>
        <v>98.776716303436046</v>
      </c>
    </row>
    <row r="2" spans="1:5" x14ac:dyDescent="0.2">
      <c r="A2" s="566">
        <f>+[10]חשמל!A4</f>
        <v>37668</v>
      </c>
      <c r="B2" s="567">
        <f>+[10]חשמל!C4</f>
        <v>105.27</v>
      </c>
      <c r="C2" s="423">
        <f t="shared" si="0"/>
        <v>106.57369868078726</v>
      </c>
    </row>
    <row r="3" spans="1:5" x14ac:dyDescent="0.2">
      <c r="A3" s="566">
        <f>+[10]חשמל!A5</f>
        <v>37696</v>
      </c>
      <c r="B3" s="567">
        <f>+[10]חשמל!C5</f>
        <v>105.27</v>
      </c>
      <c r="C3" s="423">
        <f t="shared" si="0"/>
        <v>106.57369868078726</v>
      </c>
    </row>
    <row r="4" spans="1:5" x14ac:dyDescent="0.2">
      <c r="A4" s="566">
        <f>+[10]חשמל!A6</f>
        <v>37727</v>
      </c>
      <c r="B4" s="567">
        <f>+[10]חשמל!C6</f>
        <v>101.32237499999999</v>
      </c>
      <c r="C4" s="423">
        <f t="shared" si="0"/>
        <v>102.57718498025774</v>
      </c>
    </row>
    <row r="5" spans="1:5" x14ac:dyDescent="0.2">
      <c r="A5" s="566">
        <f>+[10]חשמל!A7</f>
        <v>37757</v>
      </c>
      <c r="B5" s="567">
        <f>+[10]חשמל!C7</f>
        <v>101.32237499999999</v>
      </c>
      <c r="C5" s="423">
        <f t="shared" si="0"/>
        <v>102.57718498025774</v>
      </c>
    </row>
    <row r="6" spans="1:5" x14ac:dyDescent="0.2">
      <c r="A6" s="566">
        <f>+[10]חשמל!A8</f>
        <v>37788</v>
      </c>
      <c r="B6" s="567">
        <f>+[10]חשמל!C8</f>
        <v>97.239083287499994</v>
      </c>
      <c r="C6" s="423">
        <f t="shared" si="0"/>
        <v>98.443324425553342</v>
      </c>
    </row>
    <row r="7" spans="1:5" x14ac:dyDescent="0.2">
      <c r="A7" s="566">
        <f>+[10]חשמל!A9</f>
        <v>37818</v>
      </c>
      <c r="B7" s="567">
        <f>+[10]חשמל!C9</f>
        <v>97.239083287499994</v>
      </c>
      <c r="C7" s="423">
        <f t="shared" si="0"/>
        <v>98.443324425553342</v>
      </c>
    </row>
    <row r="8" spans="1:5" x14ac:dyDescent="0.2">
      <c r="A8" s="566">
        <f>+[10]חשמל!A10</f>
        <v>37849</v>
      </c>
      <c r="B8" s="567">
        <f>+[10]חשמל!C10</f>
        <v>93.787095830793746</v>
      </c>
      <c r="C8" s="423">
        <f t="shared" si="0"/>
        <v>94.948586408446204</v>
      </c>
    </row>
    <row r="9" spans="1:5" x14ac:dyDescent="0.2">
      <c r="A9" s="566">
        <f>+[10]חשמל!A11</f>
        <v>37880</v>
      </c>
      <c r="B9" s="567">
        <f>+[10]חשמל!C11</f>
        <v>93.787095830793746</v>
      </c>
      <c r="C9" s="423">
        <f t="shared" si="0"/>
        <v>94.948586408446204</v>
      </c>
    </row>
    <row r="10" spans="1:5" x14ac:dyDescent="0.2">
      <c r="A10" s="566">
        <f>+[10]חשמל!A12</f>
        <v>37910</v>
      </c>
      <c r="B10" s="567">
        <f>+[10]חשמל!C12</f>
        <v>93.787095830793746</v>
      </c>
      <c r="C10" s="423">
        <f t="shared" si="0"/>
        <v>94.948586408446204</v>
      </c>
    </row>
    <row r="11" spans="1:5" x14ac:dyDescent="0.2">
      <c r="A11" s="566">
        <f>+[10]חשמל!A13</f>
        <v>37941</v>
      </c>
      <c r="B11" s="567">
        <f>+[10]חשמל!C13</f>
        <v>98.148195786925655</v>
      </c>
      <c r="C11" s="423">
        <f t="shared" si="0"/>
        <v>99.363695676438951</v>
      </c>
    </row>
    <row r="12" spans="1:5" x14ac:dyDescent="0.2">
      <c r="A12" s="566">
        <f>+[10]חשמל!A14</f>
        <v>37971</v>
      </c>
      <c r="B12" s="567">
        <f>+[10]חשמל!C14</f>
        <v>98.148195786925655</v>
      </c>
      <c r="C12" s="423">
        <f t="shared" si="0"/>
        <v>99.363695676438951</v>
      </c>
    </row>
    <row r="13" spans="1:5" x14ac:dyDescent="0.2">
      <c r="A13" s="566">
        <f>+[10]חשמל!A15</f>
        <v>38002</v>
      </c>
      <c r="B13" s="567">
        <f>+[10]חשמל!C15</f>
        <v>98.148195786925655</v>
      </c>
      <c r="C13" s="423">
        <f t="shared" si="0"/>
        <v>99.363695676438951</v>
      </c>
    </row>
    <row r="14" spans="1:5" x14ac:dyDescent="0.2">
      <c r="A14" s="566">
        <f>+[10]חשמל!A16</f>
        <v>38033</v>
      </c>
      <c r="B14" s="567">
        <f>+[10]חשמל!C16</f>
        <v>98.148195786925655</v>
      </c>
      <c r="C14" s="423">
        <f t="shared" si="0"/>
        <v>99.363695676438951</v>
      </c>
    </row>
    <row r="15" spans="1:5" x14ac:dyDescent="0.2">
      <c r="A15" s="566">
        <f>+[10]חשמל!A17</f>
        <v>38062</v>
      </c>
      <c r="B15" s="567">
        <f>+[10]חשמל!C17</f>
        <v>98.148195786925655</v>
      </c>
      <c r="C15" s="423">
        <f t="shared" si="0"/>
        <v>99.363695676438951</v>
      </c>
    </row>
    <row r="16" spans="1:5" x14ac:dyDescent="0.2">
      <c r="A16" s="566">
        <f>+[10]חשמל!A18</f>
        <v>38093</v>
      </c>
      <c r="B16" s="567">
        <f>+[10]חשמל!C18</f>
        <v>103.23227232868841</v>
      </c>
      <c r="C16" s="423">
        <f t="shared" si="0"/>
        <v>104.5107351124785</v>
      </c>
    </row>
    <row r="17" spans="1:3" x14ac:dyDescent="0.2">
      <c r="A17" s="566">
        <f>+[10]חשמל!A19</f>
        <v>38123</v>
      </c>
      <c r="B17" s="567">
        <f>+[10]חשמל!C19</f>
        <v>103.23227232868841</v>
      </c>
      <c r="C17" s="423">
        <f t="shared" si="0"/>
        <v>104.5107351124785</v>
      </c>
    </row>
    <row r="18" spans="1:3" x14ac:dyDescent="0.2">
      <c r="A18" s="566">
        <f>+[10]חשמל!A20</f>
        <v>38154</v>
      </c>
      <c r="B18" s="567">
        <f>+[10]חשמל!C20</f>
        <v>107.25833094950725</v>
      </c>
      <c r="C18" s="423">
        <f t="shared" si="0"/>
        <v>108.58665378186517</v>
      </c>
    </row>
    <row r="19" spans="1:3" x14ac:dyDescent="0.2">
      <c r="A19" s="566">
        <f>+[10]חשמל!A21</f>
        <v>38184</v>
      </c>
      <c r="B19" s="567">
        <f>+[10]חשמל!C21</f>
        <v>107.25833094950725</v>
      </c>
      <c r="C19" s="423">
        <f t="shared" si="0"/>
        <v>108.58665378186517</v>
      </c>
    </row>
    <row r="20" spans="1:3" x14ac:dyDescent="0.2">
      <c r="A20" s="566">
        <f>+[10]חשמל!A22</f>
        <v>38215</v>
      </c>
      <c r="B20" s="567">
        <f>+[10]חשמל!C22</f>
        <v>107.25833094950725</v>
      </c>
      <c r="C20" s="423">
        <f t="shared" si="0"/>
        <v>108.58665378186517</v>
      </c>
    </row>
    <row r="21" spans="1:3" x14ac:dyDescent="0.2">
      <c r="A21" s="566">
        <f>+[10]חשמל!A23</f>
        <v>38246</v>
      </c>
      <c r="B21" s="567">
        <f>+[10]חשמל!C23</f>
        <v>107.25833094950725</v>
      </c>
      <c r="C21" s="423">
        <f t="shared" si="0"/>
        <v>108.58665378186517</v>
      </c>
    </row>
    <row r="22" spans="1:3" x14ac:dyDescent="0.2">
      <c r="A22" s="566">
        <f>+[10]חשמל!A24</f>
        <v>38276</v>
      </c>
      <c r="B22" s="567">
        <f>+[10]חשמל!C24</f>
        <v>107.25833094950725</v>
      </c>
      <c r="C22" s="423">
        <f t="shared" si="0"/>
        <v>108.58665378186517</v>
      </c>
    </row>
    <row r="23" spans="1:3" x14ac:dyDescent="0.2">
      <c r="A23" s="566">
        <f>+[10]חשמל!A25</f>
        <v>38307</v>
      </c>
      <c r="B23" s="567">
        <f>+[10]חשמל!C25</f>
        <v>112.25656917175429</v>
      </c>
      <c r="C23" s="423">
        <f t="shared" si="0"/>
        <v>113.64679184810007</v>
      </c>
    </row>
    <row r="24" spans="1:3" x14ac:dyDescent="0.2">
      <c r="A24" s="566">
        <f>+[10]חשמל!A26</f>
        <v>38337</v>
      </c>
      <c r="B24" s="567">
        <f>+[10]חשמל!C26</f>
        <v>112.25656917175429</v>
      </c>
      <c r="C24" s="423">
        <f t="shared" si="0"/>
        <v>113.64679184810007</v>
      </c>
    </row>
    <row r="25" spans="1:3" x14ac:dyDescent="0.2">
      <c r="A25" s="566">
        <f>+[10]חשמל!A27</f>
        <v>38368</v>
      </c>
      <c r="B25" s="567">
        <f>+[10]חשמל!C27</f>
        <v>112.25656917175429</v>
      </c>
      <c r="C25" s="423">
        <f t="shared" si="0"/>
        <v>113.64679184810007</v>
      </c>
    </row>
    <row r="26" spans="1:3" x14ac:dyDescent="0.2">
      <c r="A26" s="566">
        <f>+[10]חשמל!A28</f>
        <v>38399</v>
      </c>
      <c r="B26" s="567">
        <f>+[10]חשמל!C28</f>
        <v>112.25656917175429</v>
      </c>
      <c r="C26" s="423">
        <f t="shared" si="0"/>
        <v>113.64679184810007</v>
      </c>
    </row>
    <row r="27" spans="1:3" x14ac:dyDescent="0.2">
      <c r="A27" s="566">
        <f>+[10]חשמל!A29</f>
        <v>38427</v>
      </c>
      <c r="B27" s="567">
        <f>+[10]חשמל!C29</f>
        <v>112.25656917175429</v>
      </c>
      <c r="C27" s="423">
        <f t="shared" si="0"/>
        <v>113.64679184810007</v>
      </c>
    </row>
    <row r="28" spans="1:3" x14ac:dyDescent="0.2">
      <c r="A28" s="566">
        <f>+[10]חשמל!A30</f>
        <v>38458</v>
      </c>
      <c r="B28" s="567">
        <f>+[10]חשמל!C30</f>
        <v>112.25656917175429</v>
      </c>
      <c r="C28" s="423">
        <f t="shared" si="0"/>
        <v>113.64679184810007</v>
      </c>
    </row>
    <row r="29" spans="1:3" x14ac:dyDescent="0.2">
      <c r="A29" s="566">
        <f>+[10]חשמל!A31</f>
        <v>38488</v>
      </c>
      <c r="B29" s="567">
        <f>+[10]חשמל!C31</f>
        <v>114.43434661368633</v>
      </c>
      <c r="C29" s="423">
        <f t="shared" si="0"/>
        <v>115.85153960995322</v>
      </c>
    </row>
    <row r="30" spans="1:3" x14ac:dyDescent="0.2">
      <c r="A30" s="566">
        <f>+[10]חשמל!A32</f>
        <v>38519</v>
      </c>
      <c r="B30" s="567">
        <f>+[10]חשמל!C32</f>
        <v>114.43434661368633</v>
      </c>
      <c r="C30" s="423">
        <f t="shared" si="0"/>
        <v>115.85153960995322</v>
      </c>
    </row>
    <row r="31" spans="1:3" x14ac:dyDescent="0.2">
      <c r="A31" s="566">
        <f>+[10]חשמל!A33</f>
        <v>38549</v>
      </c>
      <c r="B31" s="567">
        <f>+[10]חשמל!C33</f>
        <v>114.43434661368633</v>
      </c>
      <c r="C31" s="423">
        <f t="shared" si="0"/>
        <v>115.85153960995322</v>
      </c>
    </row>
    <row r="32" spans="1:3" x14ac:dyDescent="0.2">
      <c r="A32" s="566">
        <f>+[10]חשמל!A34</f>
        <v>38580</v>
      </c>
      <c r="B32" s="567">
        <f>+[10]חשמל!C34</f>
        <v>114.43434661368633</v>
      </c>
      <c r="C32" s="423">
        <f t="shared" si="0"/>
        <v>115.85153960995322</v>
      </c>
    </row>
    <row r="33" spans="1:3" x14ac:dyDescent="0.2">
      <c r="A33" s="566">
        <f>+[10]חשמל!A35</f>
        <v>38611</v>
      </c>
      <c r="B33" s="567">
        <f>+[10]חשמל!C35</f>
        <v>120.15606394437066</v>
      </c>
      <c r="C33" s="423">
        <f t="shared" ref="C33:C64" si="1">+B33/$E$1*100</f>
        <v>121.64411659045089</v>
      </c>
    </row>
    <row r="34" spans="1:3" x14ac:dyDescent="0.2">
      <c r="A34" s="566">
        <f>+[10]חשמל!A36</f>
        <v>38641</v>
      </c>
      <c r="B34" s="567">
        <f>+[10]חשמל!C36</f>
        <v>120.15606394437066</v>
      </c>
      <c r="C34" s="423">
        <f t="shared" si="1"/>
        <v>121.64411659045089</v>
      </c>
    </row>
    <row r="35" spans="1:3" x14ac:dyDescent="0.2">
      <c r="A35" s="566">
        <f>+[10]חשמל!A37</f>
        <v>38672</v>
      </c>
      <c r="B35" s="567">
        <f>+[10]חשמל!C37</f>
        <v>120.15606394437066</v>
      </c>
      <c r="C35" s="423">
        <f t="shared" si="1"/>
        <v>121.64411659045089</v>
      </c>
    </row>
    <row r="36" spans="1:3" x14ac:dyDescent="0.2">
      <c r="A36" s="566">
        <f>+[10]חשמל!A38</f>
        <v>38702</v>
      </c>
      <c r="B36" s="567">
        <f>+[10]חשמל!C38</f>
        <v>120.15606394437066</v>
      </c>
      <c r="C36" s="423">
        <f t="shared" si="1"/>
        <v>121.64411659045089</v>
      </c>
    </row>
    <row r="37" spans="1:3" x14ac:dyDescent="0.2">
      <c r="A37" s="566">
        <f>+[10]חשמל!A39</f>
        <v>38733</v>
      </c>
      <c r="B37" s="567">
        <f>+[10]חשמל!C39</f>
        <v>113.15096541641384</v>
      </c>
      <c r="C37" s="423">
        <f t="shared" si="1"/>
        <v>114.5522645932276</v>
      </c>
    </row>
    <row r="38" spans="1:3" x14ac:dyDescent="0.2">
      <c r="A38" s="566">
        <f>+[10]חשמל!A40</f>
        <v>38764</v>
      </c>
      <c r="B38" s="567">
        <f>+[10]חשמל!C40</f>
        <v>113.15096541641384</v>
      </c>
      <c r="C38" s="423">
        <f t="shared" si="1"/>
        <v>114.5522645932276</v>
      </c>
    </row>
    <row r="39" spans="1:3" x14ac:dyDescent="0.2">
      <c r="A39" s="566">
        <f>+[10]חשמל!A41</f>
        <v>38792</v>
      </c>
      <c r="B39" s="567">
        <f>+[10]חשמל!C41</f>
        <v>113.15096541641384</v>
      </c>
      <c r="C39" s="423">
        <f t="shared" si="1"/>
        <v>114.5522645932276</v>
      </c>
    </row>
    <row r="40" spans="1:3" x14ac:dyDescent="0.2">
      <c r="A40" s="566">
        <f>+[10]חשמל!A42</f>
        <v>38823</v>
      </c>
      <c r="B40" s="567">
        <f>+[10]חשמל!C42</f>
        <v>111.88367460375001</v>
      </c>
      <c r="C40" s="423">
        <f t="shared" si="1"/>
        <v>113.26927922978345</v>
      </c>
    </row>
    <row r="41" spans="1:3" x14ac:dyDescent="0.2">
      <c r="A41" s="566">
        <f>+[10]חשמל!A43</f>
        <v>38853</v>
      </c>
      <c r="B41" s="567">
        <f>+[10]חשמל!C43</f>
        <v>111.88367460375001</v>
      </c>
      <c r="C41" s="423">
        <f t="shared" si="1"/>
        <v>113.26927922978345</v>
      </c>
    </row>
    <row r="42" spans="1:3" x14ac:dyDescent="0.2">
      <c r="A42" s="566">
        <f>+[10]חשמל!A44</f>
        <v>38884</v>
      </c>
      <c r="B42" s="567">
        <f>+[10]חשמל!C44</f>
        <v>111.88367460375001</v>
      </c>
      <c r="C42" s="423">
        <f t="shared" si="1"/>
        <v>113.26927922978345</v>
      </c>
    </row>
    <row r="43" spans="1:3" x14ac:dyDescent="0.2">
      <c r="A43" s="566">
        <f>+[10]חשמל!A45</f>
        <v>38914</v>
      </c>
      <c r="B43" s="567">
        <f>+[10]חשמל!C45</f>
        <v>111.88367460375001</v>
      </c>
      <c r="C43" s="423">
        <f t="shared" si="1"/>
        <v>113.26927922978345</v>
      </c>
    </row>
    <row r="44" spans="1:3" x14ac:dyDescent="0.2">
      <c r="A44" s="566">
        <f>+[10]חשמל!A46</f>
        <v>38945</v>
      </c>
      <c r="B44" s="567">
        <f>+[10]חשמל!C46</f>
        <v>111.88367460375001</v>
      </c>
      <c r="C44" s="423">
        <f t="shared" si="1"/>
        <v>113.26927922978345</v>
      </c>
    </row>
    <row r="45" spans="1:3" x14ac:dyDescent="0.2">
      <c r="A45" s="566">
        <f>+[10]חשמל!A47</f>
        <v>38976</v>
      </c>
      <c r="B45" s="567">
        <f>+[10]חשמל!C47</f>
        <v>111.88367460375001</v>
      </c>
      <c r="C45" s="423">
        <f t="shared" si="1"/>
        <v>113.26927922978345</v>
      </c>
    </row>
    <row r="46" spans="1:3" x14ac:dyDescent="0.2">
      <c r="A46" s="566">
        <f>+[10]חשמל!A48</f>
        <v>39006</v>
      </c>
      <c r="B46" s="567">
        <f>+[10]חשמל!C48</f>
        <v>109.05893852033516</v>
      </c>
      <c r="C46" s="423">
        <f t="shared" si="1"/>
        <v>110.40956067552676</v>
      </c>
    </row>
    <row r="47" spans="1:3" x14ac:dyDescent="0.2">
      <c r="A47" s="566">
        <f>+[10]חשמל!A49</f>
        <v>39037</v>
      </c>
      <c r="B47" s="567">
        <f>+[10]חשמל!C49</f>
        <v>109.05893852033516</v>
      </c>
      <c r="C47" s="423">
        <f t="shared" si="1"/>
        <v>110.40956067552676</v>
      </c>
    </row>
    <row r="48" spans="1:3" x14ac:dyDescent="0.2">
      <c r="A48" s="566">
        <f>+[10]חשמל!A50</f>
        <v>39067</v>
      </c>
      <c r="B48" s="567">
        <f>+[10]חשמל!C50</f>
        <v>109.05893852033516</v>
      </c>
      <c r="C48" s="423">
        <f t="shared" si="1"/>
        <v>110.40956067552676</v>
      </c>
    </row>
    <row r="49" spans="1:3" x14ac:dyDescent="0.2">
      <c r="A49" s="566">
        <f>+[10]חשמל!A51</f>
        <v>39098</v>
      </c>
      <c r="B49" s="567">
        <f>+[10]חשמל!C51</f>
        <v>109.05893852033516</v>
      </c>
      <c r="C49" s="423">
        <f t="shared" si="1"/>
        <v>110.40956067552676</v>
      </c>
    </row>
    <row r="50" spans="1:3" x14ac:dyDescent="0.2">
      <c r="A50" s="566">
        <f>+[10]חשמל!A52</f>
        <v>39129</v>
      </c>
      <c r="B50" s="567">
        <f>+[10]חשמל!C52</f>
        <v>109.05893852033516</v>
      </c>
      <c r="C50" s="423">
        <f t="shared" si="1"/>
        <v>110.40956067552676</v>
      </c>
    </row>
    <row r="51" spans="1:3" x14ac:dyDescent="0.2">
      <c r="A51" s="566">
        <f>+[10]חשמל!A53</f>
        <v>39157</v>
      </c>
      <c r="B51" s="567">
        <f>+[10]חשמל!C53</f>
        <v>109.05893852033516</v>
      </c>
      <c r="C51" s="423">
        <f t="shared" si="1"/>
        <v>110.40956067552676</v>
      </c>
    </row>
    <row r="52" spans="1:3" x14ac:dyDescent="0.2">
      <c r="A52" s="566">
        <f>+[10]חשמל!A54</f>
        <v>39188</v>
      </c>
      <c r="B52" s="567">
        <f>+[10]חשמל!C54</f>
        <v>109.05893852033516</v>
      </c>
      <c r="C52" s="423">
        <f t="shared" si="1"/>
        <v>110.40956067552676</v>
      </c>
    </row>
    <row r="53" spans="1:3" x14ac:dyDescent="0.2">
      <c r="A53" s="566">
        <f>+[10]חשמל!A55</f>
        <v>39218</v>
      </c>
      <c r="B53" s="567">
        <f>+[10]חשמל!C55</f>
        <v>101.75198963947271</v>
      </c>
      <c r="C53" s="423">
        <f t="shared" si="1"/>
        <v>103.01212011026648</v>
      </c>
    </row>
    <row r="54" spans="1:3" x14ac:dyDescent="0.2">
      <c r="A54" s="566">
        <f>+[10]חשמל!A56</f>
        <v>39249</v>
      </c>
      <c r="B54" s="567">
        <f>+[10]חשמל!C56</f>
        <v>101.75198963947271</v>
      </c>
      <c r="C54" s="423">
        <f t="shared" si="1"/>
        <v>103.01212011026648</v>
      </c>
    </row>
    <row r="55" spans="1:3" x14ac:dyDescent="0.2">
      <c r="A55" s="566">
        <f>+[10]חשמל!A57</f>
        <v>39279</v>
      </c>
      <c r="B55" s="567">
        <f>+[10]חשמל!C57</f>
        <v>101.75198963947271</v>
      </c>
      <c r="C55" s="423">
        <f t="shared" si="1"/>
        <v>103.01212011026648</v>
      </c>
    </row>
    <row r="56" spans="1:3" x14ac:dyDescent="0.2">
      <c r="A56" s="566">
        <f>+[10]חשמל!A58</f>
        <v>39310</v>
      </c>
      <c r="B56" s="567">
        <f>+[10]חשמל!C58</f>
        <v>106.52415795356397</v>
      </c>
      <c r="C56" s="423">
        <f t="shared" si="1"/>
        <v>107.84338854343795</v>
      </c>
    </row>
    <row r="57" spans="1:3" x14ac:dyDescent="0.2">
      <c r="A57" s="566">
        <f>+[10]חשמל!A59</f>
        <v>39341</v>
      </c>
      <c r="B57" s="567">
        <f>+[10]חשמל!C59</f>
        <v>106.52415795356397</v>
      </c>
      <c r="C57" s="423">
        <f t="shared" si="1"/>
        <v>107.84338854343795</v>
      </c>
    </row>
    <row r="58" spans="1:3" x14ac:dyDescent="0.2">
      <c r="A58" s="566">
        <f>+[10]חשמל!A60</f>
        <v>39371</v>
      </c>
      <c r="B58" s="567">
        <f>+[10]חשמל!C60</f>
        <v>114.93956643189551</v>
      </c>
      <c r="C58" s="423">
        <f t="shared" si="1"/>
        <v>116.36301623836955</v>
      </c>
    </row>
    <row r="59" spans="1:3" x14ac:dyDescent="0.2">
      <c r="A59" s="566">
        <f>+[10]חשמל!A61</f>
        <v>39402</v>
      </c>
      <c r="B59" s="567">
        <f>+[10]חשמל!C61</f>
        <v>120.3302320975514</v>
      </c>
      <c r="C59" s="423">
        <f t="shared" si="1"/>
        <v>121.82044169994907</v>
      </c>
    </row>
    <row r="60" spans="1:3" x14ac:dyDescent="0.2">
      <c r="A60" s="566">
        <f>+[10]חשמל!A62</f>
        <v>39432</v>
      </c>
      <c r="B60" s="567">
        <f>+[10]חשמל!C62</f>
        <v>120.3302320975514</v>
      </c>
      <c r="C60" s="423">
        <f t="shared" si="1"/>
        <v>121.82044169994907</v>
      </c>
    </row>
    <row r="61" spans="1:3" x14ac:dyDescent="0.2">
      <c r="A61" s="566">
        <f>+[10]חשמל!A63</f>
        <v>39463</v>
      </c>
      <c r="B61" s="567">
        <f>+[10]חשמל!C63</f>
        <v>120.3302320975514</v>
      </c>
      <c r="C61" s="423">
        <f t="shared" si="1"/>
        <v>121.82044169994907</v>
      </c>
    </row>
    <row r="62" spans="1:3" x14ac:dyDescent="0.2">
      <c r="A62" s="566">
        <f>+[10]חשמל!A64</f>
        <v>39494</v>
      </c>
      <c r="B62" s="567">
        <f>+[10]חשמל!C64</f>
        <v>124.55382324417545</v>
      </c>
      <c r="C62" s="423">
        <f t="shared" si="1"/>
        <v>126.09633920361728</v>
      </c>
    </row>
    <row r="63" spans="1:3" x14ac:dyDescent="0.2">
      <c r="A63" s="566">
        <f>+[10]חשמל!A65</f>
        <v>39523</v>
      </c>
      <c r="B63" s="567">
        <f>+[10]חשמל!C65</f>
        <v>125.00392339523293</v>
      </c>
      <c r="C63" s="423">
        <f t="shared" si="1"/>
        <v>126.5520135445974</v>
      </c>
    </row>
    <row r="64" spans="1:3" x14ac:dyDescent="0.2">
      <c r="A64" s="566">
        <f>+[10]חשמל!A66</f>
        <v>39554</v>
      </c>
      <c r="B64" s="567">
        <f>+[10]חשמל!C66</f>
        <v>125.00392339523293</v>
      </c>
      <c r="C64" s="423">
        <f t="shared" si="1"/>
        <v>126.5520135445974</v>
      </c>
    </row>
    <row r="65" spans="1:24" x14ac:dyDescent="0.2">
      <c r="A65" s="566">
        <f>+[10]חשמל!A67</f>
        <v>39584</v>
      </c>
      <c r="B65" s="567">
        <f>+[10]חשמל!C67</f>
        <v>125.00392339523293</v>
      </c>
      <c r="C65" s="423">
        <f t="shared" ref="C65:C96" si="2">+B65/$E$1*100</f>
        <v>126.5520135445974</v>
      </c>
      <c r="E65" s="383"/>
      <c r="F65" s="383"/>
      <c r="G65" s="383"/>
      <c r="H65" s="383"/>
      <c r="I65" s="383"/>
      <c r="J65" s="383"/>
      <c r="K65" s="383"/>
      <c r="L65" s="383"/>
      <c r="M65" s="383"/>
      <c r="N65" s="383"/>
      <c r="O65" s="383"/>
      <c r="P65" s="383"/>
      <c r="Q65" s="383"/>
      <c r="R65" s="383"/>
      <c r="S65" s="383"/>
      <c r="T65" s="383"/>
      <c r="U65" s="383"/>
      <c r="V65" s="383"/>
      <c r="W65" s="383"/>
      <c r="X65" s="383"/>
    </row>
    <row r="66" spans="1:24" ht="15.75" x14ac:dyDescent="0.25">
      <c r="A66" s="566">
        <f>+[10]חשמל!A68</f>
        <v>39615</v>
      </c>
      <c r="B66" s="567">
        <f>+[10]חשמל!C68</f>
        <v>125.00392339523293</v>
      </c>
      <c r="C66" s="423">
        <f t="shared" si="2"/>
        <v>126.5520135445974</v>
      </c>
      <c r="E66" s="383"/>
      <c r="F66" s="384" t="s">
        <v>849</v>
      </c>
      <c r="G66" s="383"/>
      <c r="H66" s="383"/>
      <c r="I66" s="383"/>
      <c r="J66" s="383"/>
      <c r="K66" s="383"/>
      <c r="L66" s="383"/>
      <c r="M66" s="383"/>
      <c r="N66" s="383"/>
      <c r="O66" s="383"/>
      <c r="P66" s="383"/>
      <c r="Q66" s="383"/>
      <c r="R66" s="383"/>
      <c r="S66" s="383"/>
      <c r="T66" s="383"/>
      <c r="U66" s="383"/>
      <c r="V66" s="383"/>
      <c r="W66" s="383"/>
      <c r="X66" s="383"/>
    </row>
    <row r="67" spans="1:24" x14ac:dyDescent="0.2">
      <c r="A67" s="566">
        <f>+[10]חשמל!A69</f>
        <v>39645</v>
      </c>
      <c r="B67" s="567">
        <f>+[10]חשמל!C69</f>
        <v>131.61663094284074</v>
      </c>
      <c r="C67" s="423">
        <f t="shared" si="2"/>
        <v>133.24661506110661</v>
      </c>
      <c r="E67" s="383"/>
      <c r="F67" s="383"/>
      <c r="G67" s="383"/>
      <c r="H67" s="383"/>
      <c r="I67" s="383"/>
      <c r="J67" s="383"/>
      <c r="K67" s="383"/>
      <c r="L67" s="383"/>
      <c r="M67" s="383"/>
      <c r="N67" s="383"/>
      <c r="O67" s="383"/>
      <c r="P67" s="383"/>
      <c r="Q67" s="383"/>
      <c r="R67" s="383"/>
      <c r="S67" s="383"/>
      <c r="T67" s="383"/>
      <c r="U67" s="383"/>
      <c r="V67" s="383"/>
      <c r="W67" s="383"/>
      <c r="X67" s="383"/>
    </row>
    <row r="68" spans="1:24" ht="18.75" x14ac:dyDescent="0.3">
      <c r="A68" s="566">
        <f>+[10]חשמל!A70</f>
        <v>39676</v>
      </c>
      <c r="B68" s="567">
        <f>+[10]חשמל!C70</f>
        <v>131.61663094284074</v>
      </c>
      <c r="C68" s="423">
        <f t="shared" si="2"/>
        <v>133.24661506110661</v>
      </c>
      <c r="E68" s="383"/>
      <c r="F68" s="568"/>
      <c r="G68" s="568"/>
      <c r="H68" s="569" t="s">
        <v>471</v>
      </c>
      <c r="I68" s="569" t="s">
        <v>470</v>
      </c>
      <c r="J68" s="569" t="s">
        <v>478</v>
      </c>
      <c r="K68" s="569" t="s">
        <v>468</v>
      </c>
      <c r="L68" s="569" t="s">
        <v>467</v>
      </c>
      <c r="M68" s="569" t="s">
        <v>466</v>
      </c>
      <c r="N68" s="569" t="s">
        <v>465</v>
      </c>
      <c r="O68" s="569" t="s">
        <v>464</v>
      </c>
      <c r="P68" s="569" t="s">
        <v>463</v>
      </c>
      <c r="Q68" s="569" t="s">
        <v>462</v>
      </c>
      <c r="R68" s="569" t="s">
        <v>461</v>
      </c>
      <c r="S68" s="569" t="s">
        <v>460</v>
      </c>
      <c r="T68" s="383"/>
      <c r="U68" s="383"/>
      <c r="V68" s="383"/>
      <c r="W68" s="383"/>
      <c r="X68" s="383"/>
    </row>
    <row r="69" spans="1:24" ht="15.75" x14ac:dyDescent="0.25">
      <c r="A69" s="566">
        <f>+[10]חשמל!A71</f>
        <v>39707</v>
      </c>
      <c r="B69" s="567">
        <f>+[10]חשמל!C71</f>
        <v>131.61663094284074</v>
      </c>
      <c r="C69" s="423">
        <f t="shared" si="2"/>
        <v>133.24661506110661</v>
      </c>
      <c r="E69" s="383"/>
      <c r="F69" s="570" t="s">
        <v>850</v>
      </c>
      <c r="G69" s="570" t="s">
        <v>851</v>
      </c>
      <c r="H69" s="571">
        <v>6.9999999999999999E-4</v>
      </c>
      <c r="I69" s="571">
        <v>6.7000000000000002E-4</v>
      </c>
      <c r="J69" s="571">
        <v>3.9899999999999996E-3</v>
      </c>
      <c r="K69" s="571">
        <v>4.45E-3</v>
      </c>
      <c r="L69" s="571">
        <v>5.1799999999999997E-3</v>
      </c>
      <c r="M69" s="571">
        <v>6.1399999999999996E-3</v>
      </c>
      <c r="N69" s="571">
        <v>1.6299999999999999E-3</v>
      </c>
      <c r="O69" s="571">
        <v>1.2099999999999999E-3</v>
      </c>
      <c r="P69" s="571">
        <v>5.1700000000000001E-3</v>
      </c>
      <c r="Q69" s="571">
        <v>4.0099999999999997E-3</v>
      </c>
      <c r="R69" s="571">
        <v>3.98E-3</v>
      </c>
      <c r="S69" s="571">
        <v>9.7999999999999997E-4</v>
      </c>
      <c r="T69" s="383"/>
      <c r="U69" s="383"/>
      <c r="V69" s="383"/>
      <c r="W69" s="383"/>
      <c r="X69" s="383"/>
    </row>
    <row r="70" spans="1:24" ht="15.75" x14ac:dyDescent="0.25">
      <c r="A70" s="566">
        <f>+[10]חשמל!A72</f>
        <v>39737</v>
      </c>
      <c r="B70" s="567">
        <f>+[10]חשמל!C72</f>
        <v>131.61663094284074</v>
      </c>
      <c r="C70" s="423">
        <f t="shared" si="2"/>
        <v>133.24661506110661</v>
      </c>
      <c r="E70" s="383"/>
      <c r="F70" s="570" t="s">
        <v>852</v>
      </c>
      <c r="G70" s="570" t="s">
        <v>851</v>
      </c>
      <c r="H70" s="571">
        <v>6.7000000000000002E-4</v>
      </c>
      <c r="I70" s="571">
        <v>6.8000000000000005E-4</v>
      </c>
      <c r="J70" s="571">
        <v>3.14E-3</v>
      </c>
      <c r="K70" s="571">
        <v>4.2300000000000003E-3</v>
      </c>
      <c r="L70" s="571">
        <v>3.3400000000000001E-3</v>
      </c>
      <c r="M70" s="571">
        <v>3.5400000000000002E-3</v>
      </c>
      <c r="N70" s="571">
        <v>3.0799999999999998E-3</v>
      </c>
      <c r="O70" s="571">
        <v>3.48E-3</v>
      </c>
      <c r="P70" s="571">
        <v>3.6099999999999999E-3</v>
      </c>
      <c r="Q70" s="571">
        <v>4.79E-3</v>
      </c>
      <c r="R70" s="571">
        <v>2.3900000000000002E-3</v>
      </c>
      <c r="S70" s="571">
        <v>3.6999999999999999E-4</v>
      </c>
      <c r="T70" s="383"/>
      <c r="U70" s="383"/>
      <c r="V70" s="383"/>
      <c r="W70" s="383"/>
      <c r="X70" s="383"/>
    </row>
    <row r="71" spans="1:24" ht="15.75" x14ac:dyDescent="0.25">
      <c r="A71" s="566">
        <f>+[10]חשמל!A73</f>
        <v>39768</v>
      </c>
      <c r="B71" s="567">
        <f>+[10]חשמל!C73</f>
        <v>125.35167930996153</v>
      </c>
      <c r="C71" s="423">
        <f t="shared" si="2"/>
        <v>126.90407618419792</v>
      </c>
      <c r="E71" s="383"/>
      <c r="F71" s="570" t="s">
        <v>853</v>
      </c>
      <c r="G71" s="570" t="s">
        <v>851</v>
      </c>
      <c r="H71" s="571">
        <v>1.308E-2</v>
      </c>
      <c r="I71" s="571">
        <v>1.23E-2</v>
      </c>
      <c r="J71" s="571">
        <v>9.3200000000000002E-3</v>
      </c>
      <c r="K71" s="571">
        <v>1.2330000000000001E-2</v>
      </c>
      <c r="L71" s="571">
        <v>1.1350000000000001E-2</v>
      </c>
      <c r="M71" s="571">
        <v>1.201E-2</v>
      </c>
      <c r="N71" s="571">
        <v>1.6709999999999999E-2</v>
      </c>
      <c r="O71" s="571">
        <v>1.652E-2</v>
      </c>
      <c r="P71" s="571">
        <v>1.1350000000000001E-2</v>
      </c>
      <c r="Q71" s="571">
        <v>1.495E-2</v>
      </c>
      <c r="R71" s="571">
        <v>9.41E-3</v>
      </c>
      <c r="S71" s="571">
        <v>1.3140000000000001E-2</v>
      </c>
      <c r="T71" s="383"/>
      <c r="U71" s="383"/>
      <c r="V71" s="383"/>
      <c r="W71" s="383"/>
      <c r="X71" s="383"/>
    </row>
    <row r="72" spans="1:24" ht="15.75" x14ac:dyDescent="0.25">
      <c r="A72" s="566">
        <f>+[10]חשמל!A74</f>
        <v>39798</v>
      </c>
      <c r="B72" s="567">
        <f>+[10]חשמל!C74</f>
        <v>125.35167930996153</v>
      </c>
      <c r="C72" s="423">
        <f t="shared" si="2"/>
        <v>126.90407618419792</v>
      </c>
      <c r="E72" s="383"/>
      <c r="F72" s="570" t="s">
        <v>850</v>
      </c>
      <c r="G72" s="570" t="s">
        <v>854</v>
      </c>
      <c r="H72" s="571">
        <v>2.0999999999999999E-3</v>
      </c>
      <c r="I72" s="571">
        <v>1.8799999999999999E-3</v>
      </c>
      <c r="J72" s="571">
        <v>1.319E-2</v>
      </c>
      <c r="K72" s="571">
        <v>1.536E-2</v>
      </c>
      <c r="L72" s="571">
        <v>1.959E-2</v>
      </c>
      <c r="M72" s="571">
        <v>2.3349999999999999E-2</v>
      </c>
      <c r="N72" s="571">
        <v>5.3200000000000001E-3</v>
      </c>
      <c r="O72" s="571">
        <v>3.46E-3</v>
      </c>
      <c r="P72" s="571">
        <v>1.6330000000000001E-2</v>
      </c>
      <c r="Q72" s="571">
        <v>1.315E-2</v>
      </c>
      <c r="R72" s="571">
        <v>1.372E-2</v>
      </c>
      <c r="S72" s="571">
        <v>2.9199999999999999E-3</v>
      </c>
      <c r="T72" s="383"/>
      <c r="U72" s="383"/>
      <c r="V72" s="383"/>
      <c r="W72" s="383"/>
      <c r="X72" s="383"/>
    </row>
    <row r="73" spans="1:24" ht="15.75" x14ac:dyDescent="0.25">
      <c r="A73" s="566">
        <f>+[10]חשמל!A75</f>
        <v>39829</v>
      </c>
      <c r="B73" s="567">
        <f>+[10]חשמל!C75</f>
        <v>125.35167930996153</v>
      </c>
      <c r="C73" s="423">
        <f t="shared" si="2"/>
        <v>126.90407618419792</v>
      </c>
      <c r="E73" s="383"/>
      <c r="F73" s="570" t="s">
        <v>852</v>
      </c>
      <c r="G73" s="570" t="s">
        <v>854</v>
      </c>
      <c r="H73" s="571">
        <v>1.5900000000000001E-3</v>
      </c>
      <c r="I73" s="571">
        <v>1.6100000000000001E-3</v>
      </c>
      <c r="J73" s="571">
        <v>1.306E-2</v>
      </c>
      <c r="K73" s="571">
        <v>1.566E-2</v>
      </c>
      <c r="L73" s="571">
        <v>1.443E-2</v>
      </c>
      <c r="M73" s="571">
        <v>1.528E-2</v>
      </c>
      <c r="N73" s="571">
        <v>1.337E-2</v>
      </c>
      <c r="O73" s="571">
        <v>1.4290000000000001E-2</v>
      </c>
      <c r="P73" s="571">
        <v>1.7270000000000001E-2</v>
      </c>
      <c r="Q73" s="571">
        <v>1.8030000000000001E-2</v>
      </c>
      <c r="R73" s="571">
        <v>9.5899999999999996E-3</v>
      </c>
      <c r="S73" s="571">
        <v>6.6E-4</v>
      </c>
      <c r="T73" s="383"/>
      <c r="U73" s="383"/>
      <c r="V73" s="383"/>
      <c r="W73" s="383"/>
      <c r="X73" s="383"/>
    </row>
    <row r="74" spans="1:24" ht="15.75" x14ac:dyDescent="0.25">
      <c r="A74" s="566">
        <f>+[10]חשמל!A76</f>
        <v>39860</v>
      </c>
      <c r="B74" s="567">
        <f>+[10]חשמל!C76</f>
        <v>125.35167930996153</v>
      </c>
      <c r="C74" s="423">
        <f t="shared" si="2"/>
        <v>126.90407618419792</v>
      </c>
      <c r="E74" s="383"/>
      <c r="F74" s="570" t="s">
        <v>853</v>
      </c>
      <c r="G74" s="570" t="s">
        <v>854</v>
      </c>
      <c r="H74" s="571">
        <v>6.2089999999999999E-2</v>
      </c>
      <c r="I74" s="571">
        <v>5.774E-2</v>
      </c>
      <c r="J74" s="571">
        <v>4.6510000000000003E-2</v>
      </c>
      <c r="K74" s="571">
        <v>5.7020000000000001E-2</v>
      </c>
      <c r="L74" s="571">
        <v>5.8439999999999999E-2</v>
      </c>
      <c r="M74" s="571">
        <v>6.234E-2</v>
      </c>
      <c r="N74" s="571">
        <v>8.337E-2</v>
      </c>
      <c r="O74" s="571">
        <v>7.9799999999999996E-2</v>
      </c>
      <c r="P74" s="571">
        <v>5.4550000000000001E-2</v>
      </c>
      <c r="Q74" s="571">
        <v>6.837E-2</v>
      </c>
      <c r="R74" s="571">
        <v>4.5609999999999998E-2</v>
      </c>
      <c r="S74" s="571">
        <v>6.3930000000000001E-2</v>
      </c>
      <c r="T74" s="386"/>
      <c r="U74" s="387"/>
      <c r="V74" s="383"/>
      <c r="W74" s="383"/>
      <c r="X74" s="383"/>
    </row>
    <row r="75" spans="1:24" ht="15.75" x14ac:dyDescent="0.25">
      <c r="A75" s="566">
        <f>+[10]חשמל!A77</f>
        <v>39888</v>
      </c>
      <c r="B75" s="567">
        <f>+[10]חשמל!C77</f>
        <v>125.35167930996153</v>
      </c>
      <c r="C75" s="423">
        <f t="shared" si="2"/>
        <v>126.90407618419792</v>
      </c>
      <c r="E75" s="383"/>
      <c r="F75" s="383"/>
      <c r="G75" s="383"/>
      <c r="H75" s="383"/>
      <c r="I75" s="383"/>
      <c r="J75" s="383"/>
      <c r="K75" s="383"/>
      <c r="L75" s="383"/>
      <c r="M75" s="383"/>
      <c r="N75" s="386"/>
      <c r="O75" s="388"/>
      <c r="P75" s="383"/>
      <c r="Q75" s="383"/>
      <c r="R75" s="383"/>
      <c r="S75" s="383"/>
      <c r="T75" s="383"/>
      <c r="U75" s="383"/>
      <c r="V75" s="383"/>
      <c r="W75" s="383"/>
      <c r="X75" s="383"/>
    </row>
    <row r="76" spans="1:24" ht="15.75" x14ac:dyDescent="0.25">
      <c r="A76" s="566">
        <f>+[10]חשמל!A78</f>
        <v>39919</v>
      </c>
      <c r="B76" s="567">
        <f>+[10]חשמל!C78</f>
        <v>125.35167930996153</v>
      </c>
      <c r="C76" s="423">
        <f t="shared" si="2"/>
        <v>126.90407618419792</v>
      </c>
      <c r="E76" s="383"/>
      <c r="F76" s="384" t="s">
        <v>855</v>
      </c>
      <c r="G76" s="383"/>
      <c r="H76" s="383"/>
      <c r="I76" s="383"/>
      <c r="J76" s="383"/>
      <c r="K76" s="383"/>
      <c r="L76" s="383"/>
      <c r="M76" s="383"/>
      <c r="N76" s="383"/>
      <c r="O76" s="383"/>
      <c r="P76" s="383"/>
      <c r="Q76" s="383"/>
      <c r="R76" s="383"/>
      <c r="S76" s="383"/>
      <c r="T76" s="383"/>
      <c r="U76" s="383"/>
      <c r="V76" s="383"/>
      <c r="W76" s="383"/>
      <c r="X76" s="383"/>
    </row>
    <row r="77" spans="1:24" ht="15.75" x14ac:dyDescent="0.25">
      <c r="A77" s="566">
        <f>+[10]חשמל!A79</f>
        <v>39949</v>
      </c>
      <c r="B77" s="567">
        <f>+[10]חשמל!C79</f>
        <v>123.27084143341617</v>
      </c>
      <c r="C77" s="423">
        <f t="shared" si="2"/>
        <v>124.79746851954023</v>
      </c>
      <c r="E77" s="383"/>
      <c r="F77" s="384"/>
      <c r="G77" s="383"/>
      <c r="H77" s="389" t="s">
        <v>856</v>
      </c>
      <c r="I77" s="390">
        <f>SUM(H89:S94)</f>
        <v>33.257730500000001</v>
      </c>
      <c r="J77" s="389" t="s">
        <v>857</v>
      </c>
      <c r="K77" s="391"/>
      <c r="L77" s="391"/>
      <c r="M77" s="392"/>
      <c r="N77" s="383"/>
      <c r="O77" s="391"/>
      <c r="P77" s="391"/>
      <c r="Q77" s="391"/>
      <c r="R77" s="391"/>
      <c r="S77" s="383"/>
      <c r="T77" s="383"/>
      <c r="U77" s="383"/>
      <c r="V77" s="383"/>
      <c r="W77" s="383"/>
      <c r="X77" s="383"/>
    </row>
    <row r="78" spans="1:24" ht="15.75" x14ac:dyDescent="0.25">
      <c r="A78" s="566">
        <f>+[10]חשמל!A80</f>
        <v>39980</v>
      </c>
      <c r="B78" s="567">
        <f>+[10]חשמל!C80</f>
        <v>116.35534722900151</v>
      </c>
      <c r="C78" s="423">
        <f t="shared" si="2"/>
        <v>117.79633053559402</v>
      </c>
      <c r="E78" s="383"/>
      <c r="F78" s="384"/>
      <c r="G78" s="383"/>
      <c r="H78" s="389"/>
      <c r="I78" s="393"/>
      <c r="J78" s="389"/>
      <c r="K78" s="391"/>
      <c r="L78" s="391"/>
      <c r="M78" s="394"/>
      <c r="N78" s="391"/>
      <c r="O78" s="391"/>
      <c r="P78" s="383"/>
      <c r="Q78" s="383"/>
      <c r="R78" s="383"/>
      <c r="S78" s="383"/>
      <c r="T78" s="383"/>
      <c r="U78" s="383"/>
      <c r="V78" s="383"/>
      <c r="W78" s="383"/>
      <c r="X78" s="383"/>
    </row>
    <row r="79" spans="1:24" ht="15.75" x14ac:dyDescent="0.25">
      <c r="A79" s="566">
        <f>+[10]חשמל!A81</f>
        <v>40010</v>
      </c>
      <c r="B79" s="567">
        <f>+[10]חשמל!C81</f>
        <v>116.35534722900151</v>
      </c>
      <c r="C79" s="423">
        <f t="shared" si="2"/>
        <v>117.79633053559402</v>
      </c>
      <c r="E79" s="383"/>
      <c r="F79" s="384" t="s">
        <v>858</v>
      </c>
      <c r="G79" s="383"/>
      <c r="H79" s="389"/>
      <c r="I79" s="393"/>
      <c r="J79" s="389"/>
      <c r="K79" s="383"/>
      <c r="L79" s="391"/>
      <c r="M79" s="383"/>
      <c r="N79" s="383"/>
      <c r="O79" s="383"/>
      <c r="P79" s="383"/>
      <c r="Q79" s="383"/>
      <c r="R79" s="383"/>
      <c r="S79" s="383"/>
      <c r="T79" s="383"/>
      <c r="U79" s="383"/>
      <c r="V79" s="383"/>
      <c r="W79" s="383"/>
      <c r="X79" s="383"/>
    </row>
    <row r="80" spans="1:24" ht="15.75" x14ac:dyDescent="0.25">
      <c r="A80" s="566">
        <f>+[10]חשמל!A82</f>
        <v>40041</v>
      </c>
      <c r="B80" s="567">
        <f>+[10]חשמל!C82</f>
        <v>116.35534722900151</v>
      </c>
      <c r="C80" s="423">
        <f t="shared" si="2"/>
        <v>117.79633053559402</v>
      </c>
      <c r="E80" s="383"/>
      <c r="F80" s="384"/>
      <c r="G80" s="383"/>
      <c r="H80" s="383"/>
      <c r="I80" s="395"/>
      <c r="J80" s="383"/>
      <c r="K80" s="383"/>
      <c r="L80" s="383"/>
      <c r="M80" s="383"/>
      <c r="N80" s="383"/>
      <c r="O80" s="383"/>
      <c r="P80" s="383"/>
      <c r="Q80" s="383"/>
      <c r="R80" s="383"/>
      <c r="S80" s="383"/>
      <c r="T80" s="383"/>
      <c r="U80" s="383"/>
      <c r="V80" s="383"/>
      <c r="W80" s="383"/>
      <c r="X80" s="383"/>
    </row>
    <row r="81" spans="1:24" ht="15.75" x14ac:dyDescent="0.25">
      <c r="A81" s="566">
        <f>+[10]חשמל!A83</f>
        <v>40072</v>
      </c>
      <c r="B81" s="567">
        <f>+[10]חשמל!C83</f>
        <v>116.35534722900151</v>
      </c>
      <c r="C81" s="423">
        <f t="shared" si="2"/>
        <v>117.79633053559402</v>
      </c>
      <c r="E81" s="383"/>
      <c r="F81" s="568"/>
      <c r="G81" s="568"/>
      <c r="H81" s="570" t="s">
        <v>859</v>
      </c>
      <c r="I81" s="570" t="s">
        <v>859</v>
      </c>
      <c r="J81" s="570" t="s">
        <v>860</v>
      </c>
      <c r="K81" s="570" t="s">
        <v>860</v>
      </c>
      <c r="L81" s="570" t="s">
        <v>860</v>
      </c>
      <c r="M81" s="570" t="s">
        <v>860</v>
      </c>
      <c r="N81" s="570" t="s">
        <v>861</v>
      </c>
      <c r="O81" s="570" t="s">
        <v>861</v>
      </c>
      <c r="P81" s="570" t="s">
        <v>860</v>
      </c>
      <c r="Q81" s="570" t="s">
        <v>860</v>
      </c>
      <c r="R81" s="570" t="s">
        <v>860</v>
      </c>
      <c r="S81" s="570" t="s">
        <v>859</v>
      </c>
      <c r="T81" s="383"/>
      <c r="U81" s="383"/>
      <c r="V81" s="383"/>
      <c r="W81" s="383"/>
      <c r="X81" s="383"/>
    </row>
    <row r="82" spans="1:24" ht="15.75" x14ac:dyDescent="0.25">
      <c r="A82" s="566">
        <f>+[10]חשמל!A84</f>
        <v>40102</v>
      </c>
      <c r="B82" s="567">
        <f>+[10]חשמל!C84</f>
        <v>116.35534722900151</v>
      </c>
      <c r="C82" s="423">
        <f t="shared" si="2"/>
        <v>117.79633053559402</v>
      </c>
      <c r="E82" s="383"/>
      <c r="F82" s="570" t="s">
        <v>850</v>
      </c>
      <c r="G82" s="570" t="s">
        <v>851</v>
      </c>
      <c r="H82" s="570">
        <v>91.25</v>
      </c>
      <c r="I82" s="570">
        <v>91.25</v>
      </c>
      <c r="J82" s="570">
        <v>41.94</v>
      </c>
      <c r="K82" s="570">
        <v>41.94</v>
      </c>
      <c r="L82" s="570">
        <v>41.94</v>
      </c>
      <c r="M82" s="570">
        <v>41.94</v>
      </c>
      <c r="N82" s="570">
        <v>100.89</v>
      </c>
      <c r="O82" s="570">
        <v>100.89</v>
      </c>
      <c r="P82" s="570">
        <v>41.94</v>
      </c>
      <c r="Q82" s="570">
        <v>41.94</v>
      </c>
      <c r="R82" s="570">
        <v>41.94</v>
      </c>
      <c r="S82" s="570">
        <v>91.25</v>
      </c>
      <c r="T82" s="383"/>
      <c r="U82" s="383"/>
      <c r="V82" s="383"/>
      <c r="W82" s="383"/>
      <c r="X82" s="383"/>
    </row>
    <row r="83" spans="1:24" ht="15.75" x14ac:dyDescent="0.25">
      <c r="A83" s="566">
        <f>+[10]חשמל!A85</f>
        <v>40133</v>
      </c>
      <c r="B83" s="567">
        <f>+[10]חשמל!C85</f>
        <v>116.35534722900151</v>
      </c>
      <c r="C83" s="423">
        <f t="shared" si="2"/>
        <v>117.79633053559402</v>
      </c>
      <c r="E83" s="383"/>
      <c r="F83" s="570" t="s">
        <v>852</v>
      </c>
      <c r="G83" s="570" t="s">
        <v>851</v>
      </c>
      <c r="H83" s="570">
        <v>53.47</v>
      </c>
      <c r="I83" s="570">
        <v>53.47</v>
      </c>
      <c r="J83" s="570">
        <v>34.07</v>
      </c>
      <c r="K83" s="570">
        <v>34.07</v>
      </c>
      <c r="L83" s="570">
        <v>34.07</v>
      </c>
      <c r="M83" s="570">
        <v>34.07</v>
      </c>
      <c r="N83" s="570">
        <v>43.16</v>
      </c>
      <c r="O83" s="570">
        <v>43.16</v>
      </c>
      <c r="P83" s="570">
        <v>34.07</v>
      </c>
      <c r="Q83" s="570">
        <v>34.07</v>
      </c>
      <c r="R83" s="570">
        <v>34.07</v>
      </c>
      <c r="S83" s="570">
        <v>53.47</v>
      </c>
      <c r="T83" s="383"/>
      <c r="U83" s="383"/>
      <c r="V83" s="383"/>
      <c r="W83" s="383"/>
      <c r="X83" s="383"/>
    </row>
    <row r="84" spans="1:24" ht="15.75" x14ac:dyDescent="0.25">
      <c r="A84" s="566">
        <f>+[10]חשמל!A86</f>
        <v>40163</v>
      </c>
      <c r="B84" s="567">
        <f>+[10]חשמל!C86</f>
        <v>121.00956111816157</v>
      </c>
      <c r="C84" s="423">
        <f t="shared" si="2"/>
        <v>122.50818375701778</v>
      </c>
      <c r="E84" s="383"/>
      <c r="F84" s="570" t="s">
        <v>853</v>
      </c>
      <c r="G84" s="570" t="s">
        <v>851</v>
      </c>
      <c r="H84" s="570">
        <v>30.51</v>
      </c>
      <c r="I84" s="570">
        <v>30.51</v>
      </c>
      <c r="J84" s="570">
        <v>26.98</v>
      </c>
      <c r="K84" s="570">
        <v>26.98</v>
      </c>
      <c r="L84" s="570">
        <v>26.98</v>
      </c>
      <c r="M84" s="570">
        <v>26.98</v>
      </c>
      <c r="N84" s="570">
        <v>27.89</v>
      </c>
      <c r="O84" s="570">
        <v>27.89</v>
      </c>
      <c r="P84" s="570">
        <v>26.98</v>
      </c>
      <c r="Q84" s="570">
        <v>26.98</v>
      </c>
      <c r="R84" s="570">
        <v>26.98</v>
      </c>
      <c r="S84" s="570">
        <v>30.51</v>
      </c>
      <c r="T84" s="383"/>
      <c r="U84" s="383"/>
      <c r="V84" s="383"/>
      <c r="W84" s="383"/>
      <c r="X84" s="383"/>
    </row>
    <row r="85" spans="1:24" ht="15.75" x14ac:dyDescent="0.25">
      <c r="A85" s="566">
        <f>+[10]חשמל!A87</f>
        <v>40194</v>
      </c>
      <c r="B85" s="567">
        <f>+[10]חשמל!C87</f>
        <v>121.00956111816157</v>
      </c>
      <c r="C85" s="423">
        <f t="shared" si="2"/>
        <v>122.50818375701778</v>
      </c>
      <c r="E85" s="383"/>
      <c r="F85" s="570" t="s">
        <v>850</v>
      </c>
      <c r="G85" s="570" t="s">
        <v>854</v>
      </c>
      <c r="H85" s="570">
        <v>81.22</v>
      </c>
      <c r="I85" s="570">
        <v>81.22</v>
      </c>
      <c r="J85" s="570">
        <v>35.22</v>
      </c>
      <c r="K85" s="570">
        <v>35.22</v>
      </c>
      <c r="L85" s="570">
        <v>35.22</v>
      </c>
      <c r="M85" s="570">
        <v>35.22</v>
      </c>
      <c r="N85" s="570">
        <v>89.25</v>
      </c>
      <c r="O85" s="570">
        <v>89.25</v>
      </c>
      <c r="P85" s="570">
        <v>35.22</v>
      </c>
      <c r="Q85" s="570">
        <v>35.22</v>
      </c>
      <c r="R85" s="570">
        <v>35.22</v>
      </c>
      <c r="S85" s="570">
        <v>81.22</v>
      </c>
      <c r="T85" s="383"/>
      <c r="U85" s="383"/>
      <c r="V85" s="383"/>
      <c r="W85" s="383"/>
      <c r="X85" s="383"/>
    </row>
    <row r="86" spans="1:24" ht="15.75" x14ac:dyDescent="0.25">
      <c r="A86" s="566">
        <f>+[10]חשמל!A88</f>
        <v>40225</v>
      </c>
      <c r="B86" s="567">
        <f>+[10]חשמל!C88</f>
        <v>106.83934151122486</v>
      </c>
      <c r="C86" s="423">
        <f t="shared" si="2"/>
        <v>108.162475439071</v>
      </c>
      <c r="E86" s="383"/>
      <c r="F86" s="570" t="s">
        <v>852</v>
      </c>
      <c r="G86" s="570" t="s">
        <v>854</v>
      </c>
      <c r="H86" s="570">
        <v>46.45</v>
      </c>
      <c r="I86" s="570">
        <v>46.45</v>
      </c>
      <c r="J86" s="570">
        <v>27.7</v>
      </c>
      <c r="K86" s="570">
        <v>27.7</v>
      </c>
      <c r="L86" s="570">
        <v>27.7</v>
      </c>
      <c r="M86" s="570">
        <v>27.7</v>
      </c>
      <c r="N86" s="570">
        <v>35.72</v>
      </c>
      <c r="O86" s="570">
        <v>35.72</v>
      </c>
      <c r="P86" s="570">
        <v>27.7</v>
      </c>
      <c r="Q86" s="570">
        <v>27.7</v>
      </c>
      <c r="R86" s="570">
        <v>27.7</v>
      </c>
      <c r="S86" s="570">
        <v>46.45</v>
      </c>
      <c r="T86" s="383"/>
      <c r="U86" s="383"/>
      <c r="V86" s="383"/>
      <c r="W86" s="383"/>
      <c r="X86" s="383"/>
    </row>
    <row r="87" spans="1:24" ht="15.75" x14ac:dyDescent="0.25">
      <c r="A87" s="566">
        <v>40253</v>
      </c>
      <c r="B87" s="567">
        <f>+B86</f>
        <v>106.83934151122486</v>
      </c>
      <c r="C87" s="423">
        <f t="shared" si="2"/>
        <v>108.162475439071</v>
      </c>
      <c r="E87" s="383"/>
      <c r="F87" s="570" t="s">
        <v>853</v>
      </c>
      <c r="G87" s="570" t="s">
        <v>854</v>
      </c>
      <c r="H87" s="570">
        <v>24.59</v>
      </c>
      <c r="I87" s="570">
        <v>24.59</v>
      </c>
      <c r="J87" s="570">
        <v>21.31</v>
      </c>
      <c r="K87" s="570">
        <v>21.31</v>
      </c>
      <c r="L87" s="570">
        <v>21.31</v>
      </c>
      <c r="M87" s="570">
        <v>21.31</v>
      </c>
      <c r="N87" s="570">
        <v>21.85</v>
      </c>
      <c r="O87" s="570">
        <v>21.85</v>
      </c>
      <c r="P87" s="570">
        <v>21.31</v>
      </c>
      <c r="Q87" s="570">
        <v>21.31</v>
      </c>
      <c r="R87" s="570">
        <v>21.31</v>
      </c>
      <c r="S87" s="570">
        <v>24.59</v>
      </c>
      <c r="T87" s="383"/>
      <c r="U87" s="383"/>
      <c r="V87" s="383"/>
      <c r="W87" s="383"/>
      <c r="X87" s="383"/>
    </row>
    <row r="88" spans="1:24" ht="15.75" x14ac:dyDescent="0.25">
      <c r="A88" s="566">
        <v>40284</v>
      </c>
      <c r="B88" s="567">
        <f t="shared" ref="B88:B106" si="3">+B87</f>
        <v>106.83934151122486</v>
      </c>
      <c r="C88" s="423">
        <f t="shared" si="2"/>
        <v>108.162475439071</v>
      </c>
      <c r="E88" s="383"/>
      <c r="F88" s="383"/>
      <c r="G88" s="383"/>
      <c r="H88" s="385"/>
      <c r="I88" s="385"/>
      <c r="J88" s="385"/>
      <c r="K88" s="385"/>
      <c r="L88" s="385"/>
      <c r="M88" s="385"/>
      <c r="N88" s="385"/>
      <c r="O88" s="385"/>
      <c r="P88" s="385"/>
      <c r="Q88" s="385"/>
      <c r="R88" s="385"/>
      <c r="S88" s="385"/>
      <c r="T88" s="383"/>
      <c r="U88" s="383"/>
      <c r="V88" s="383"/>
      <c r="W88" s="383"/>
      <c r="X88" s="383"/>
    </row>
    <row r="89" spans="1:24" ht="15.75" x14ac:dyDescent="0.25">
      <c r="A89" s="566">
        <v>40314</v>
      </c>
      <c r="B89" s="567">
        <f t="shared" si="3"/>
        <v>106.83934151122486</v>
      </c>
      <c r="C89" s="423">
        <f t="shared" si="2"/>
        <v>108.162475439071</v>
      </c>
      <c r="E89" s="383"/>
      <c r="F89" s="568"/>
      <c r="G89" s="568"/>
      <c r="H89" s="572">
        <f t="shared" ref="H89:H94" si="4">H82*H69</f>
        <v>6.3875000000000001E-2</v>
      </c>
      <c r="I89" s="572">
        <f t="shared" ref="I89:S94" si="5">I82*I69</f>
        <v>6.1137500000000004E-2</v>
      </c>
      <c r="J89" s="572">
        <f t="shared" si="5"/>
        <v>0.16734059999999998</v>
      </c>
      <c r="K89" s="572">
        <f t="shared" si="5"/>
        <v>0.18663299999999999</v>
      </c>
      <c r="L89" s="572">
        <f t="shared" si="5"/>
        <v>0.21724919999999998</v>
      </c>
      <c r="M89" s="572">
        <f t="shared" si="5"/>
        <v>0.25751159999999995</v>
      </c>
      <c r="N89" s="572">
        <f t="shared" si="5"/>
        <v>0.16445070000000001</v>
      </c>
      <c r="O89" s="572">
        <f t="shared" si="5"/>
        <v>0.12207689999999999</v>
      </c>
      <c r="P89" s="572">
        <f t="shared" si="5"/>
        <v>0.21682979999999999</v>
      </c>
      <c r="Q89" s="572">
        <f t="shared" si="5"/>
        <v>0.16817939999999998</v>
      </c>
      <c r="R89" s="572">
        <f t="shared" si="5"/>
        <v>0.16692119999999999</v>
      </c>
      <c r="S89" s="572">
        <f t="shared" si="5"/>
        <v>8.9424999999999991E-2</v>
      </c>
      <c r="T89" s="396"/>
      <c r="U89" s="383"/>
      <c r="V89" s="383"/>
      <c r="W89" s="383"/>
      <c r="X89" s="383"/>
    </row>
    <row r="90" spans="1:24" ht="15.75" x14ac:dyDescent="0.25">
      <c r="A90" s="566">
        <v>40345</v>
      </c>
      <c r="B90" s="567">
        <f t="shared" si="3"/>
        <v>106.83934151122486</v>
      </c>
      <c r="C90" s="423">
        <f t="shared" si="2"/>
        <v>108.162475439071</v>
      </c>
      <c r="E90" s="383"/>
      <c r="F90" s="568"/>
      <c r="G90" s="568"/>
      <c r="H90" s="572">
        <f t="shared" si="4"/>
        <v>3.58249E-2</v>
      </c>
      <c r="I90" s="572">
        <f t="shared" si="5"/>
        <v>3.6359599999999999E-2</v>
      </c>
      <c r="J90" s="572">
        <f t="shared" si="5"/>
        <v>0.1069798</v>
      </c>
      <c r="K90" s="572">
        <f t="shared" si="5"/>
        <v>0.1441161</v>
      </c>
      <c r="L90" s="572">
        <f t="shared" si="5"/>
        <v>0.1137938</v>
      </c>
      <c r="M90" s="572">
        <f t="shared" si="5"/>
        <v>0.1206078</v>
      </c>
      <c r="N90" s="572">
        <f t="shared" si="5"/>
        <v>0.13293279999999999</v>
      </c>
      <c r="O90" s="572">
        <f t="shared" si="5"/>
        <v>0.15019679999999999</v>
      </c>
      <c r="P90" s="572">
        <f t="shared" si="5"/>
        <v>0.1229927</v>
      </c>
      <c r="Q90" s="572">
        <f t="shared" si="5"/>
        <v>0.16319529999999999</v>
      </c>
      <c r="R90" s="572">
        <f t="shared" si="5"/>
        <v>8.1427300000000008E-2</v>
      </c>
      <c r="S90" s="572">
        <f t="shared" si="5"/>
        <v>1.97839E-2</v>
      </c>
      <c r="T90" s="396"/>
      <c r="U90" s="383"/>
      <c r="V90" s="383"/>
      <c r="W90" s="383"/>
      <c r="X90" s="383"/>
    </row>
    <row r="91" spans="1:24" ht="15.75" x14ac:dyDescent="0.25">
      <c r="A91" s="566">
        <v>40375</v>
      </c>
      <c r="B91" s="567">
        <f t="shared" si="3"/>
        <v>106.83934151122486</v>
      </c>
      <c r="C91" s="423">
        <f t="shared" si="2"/>
        <v>108.162475439071</v>
      </c>
      <c r="E91" s="383"/>
      <c r="F91" s="568"/>
      <c r="G91" s="568"/>
      <c r="H91" s="572">
        <f t="shared" si="4"/>
        <v>0.3990708</v>
      </c>
      <c r="I91" s="572">
        <f t="shared" si="5"/>
        <v>0.37527300000000002</v>
      </c>
      <c r="J91" s="572">
        <f t="shared" si="5"/>
        <v>0.2514536</v>
      </c>
      <c r="K91" s="572">
        <f t="shared" si="5"/>
        <v>0.3326634</v>
      </c>
      <c r="L91" s="572">
        <f t="shared" si="5"/>
        <v>0.30622300000000002</v>
      </c>
      <c r="M91" s="572">
        <f t="shared" si="5"/>
        <v>0.32402979999999998</v>
      </c>
      <c r="N91" s="572">
        <f t="shared" si="5"/>
        <v>0.46604190000000001</v>
      </c>
      <c r="O91" s="572">
        <f t="shared" si="5"/>
        <v>0.46074280000000001</v>
      </c>
      <c r="P91" s="572">
        <f t="shared" si="5"/>
        <v>0.30622300000000002</v>
      </c>
      <c r="Q91" s="572">
        <f t="shared" si="5"/>
        <v>0.40335100000000002</v>
      </c>
      <c r="R91" s="572">
        <f t="shared" si="5"/>
        <v>0.25388179999999999</v>
      </c>
      <c r="S91" s="572">
        <f t="shared" si="5"/>
        <v>0.40090140000000002</v>
      </c>
      <c r="T91" s="396"/>
      <c r="U91" s="383"/>
      <c r="V91" s="383"/>
      <c r="W91" s="383"/>
      <c r="X91" s="383"/>
    </row>
    <row r="92" spans="1:24" ht="15.75" x14ac:dyDescent="0.25">
      <c r="A92" s="566">
        <v>40406</v>
      </c>
      <c r="B92" s="567">
        <f t="shared" si="3"/>
        <v>106.83934151122486</v>
      </c>
      <c r="C92" s="423">
        <f t="shared" si="2"/>
        <v>108.162475439071</v>
      </c>
      <c r="E92" s="383"/>
      <c r="F92" s="568"/>
      <c r="G92" s="568"/>
      <c r="H92" s="572">
        <f t="shared" si="4"/>
        <v>0.17056199999999999</v>
      </c>
      <c r="I92" s="572">
        <f t="shared" si="5"/>
        <v>0.15269359999999998</v>
      </c>
      <c r="J92" s="572">
        <f t="shared" si="5"/>
        <v>0.46455180000000001</v>
      </c>
      <c r="K92" s="572">
        <f t="shared" si="5"/>
        <v>0.54097919999999999</v>
      </c>
      <c r="L92" s="572">
        <f t="shared" si="5"/>
        <v>0.68995980000000001</v>
      </c>
      <c r="M92" s="572">
        <f t="shared" si="5"/>
        <v>0.82238699999999998</v>
      </c>
      <c r="N92" s="572">
        <f t="shared" si="5"/>
        <v>0.47481000000000001</v>
      </c>
      <c r="O92" s="572">
        <f t="shared" si="5"/>
        <v>0.308805</v>
      </c>
      <c r="P92" s="572">
        <f t="shared" si="5"/>
        <v>0.57514260000000006</v>
      </c>
      <c r="Q92" s="572">
        <f t="shared" si="5"/>
        <v>0.46314299999999997</v>
      </c>
      <c r="R92" s="572">
        <f t="shared" si="5"/>
        <v>0.48321839999999999</v>
      </c>
      <c r="S92" s="572">
        <f t="shared" si="5"/>
        <v>0.2371624</v>
      </c>
      <c r="T92" s="396"/>
      <c r="U92" s="383"/>
      <c r="V92" s="383"/>
      <c r="W92" s="383"/>
      <c r="X92" s="383"/>
    </row>
    <row r="93" spans="1:24" ht="15.75" x14ac:dyDescent="0.25">
      <c r="A93" s="566">
        <v>40437</v>
      </c>
      <c r="B93" s="567">
        <f t="shared" si="3"/>
        <v>106.83934151122486</v>
      </c>
      <c r="C93" s="423">
        <f t="shared" si="2"/>
        <v>108.162475439071</v>
      </c>
      <c r="E93" s="383"/>
      <c r="F93" s="568"/>
      <c r="G93" s="568"/>
      <c r="H93" s="572">
        <f t="shared" si="4"/>
        <v>7.3855500000000004E-2</v>
      </c>
      <c r="I93" s="572">
        <f t="shared" si="5"/>
        <v>7.4784500000000004E-2</v>
      </c>
      <c r="J93" s="572">
        <f t="shared" si="5"/>
        <v>0.36176200000000003</v>
      </c>
      <c r="K93" s="572">
        <f t="shared" si="5"/>
        <v>0.433782</v>
      </c>
      <c r="L93" s="572">
        <f t="shared" si="5"/>
        <v>0.39971099999999998</v>
      </c>
      <c r="M93" s="572">
        <f t="shared" si="5"/>
        <v>0.42325600000000002</v>
      </c>
      <c r="N93" s="572">
        <f t="shared" si="5"/>
        <v>0.47757639999999996</v>
      </c>
      <c r="O93" s="572">
        <f t="shared" si="5"/>
        <v>0.51043879999999997</v>
      </c>
      <c r="P93" s="572">
        <f t="shared" si="5"/>
        <v>0.478379</v>
      </c>
      <c r="Q93" s="572">
        <f t="shared" si="5"/>
        <v>0.49943100000000001</v>
      </c>
      <c r="R93" s="572">
        <f t="shared" si="5"/>
        <v>0.26564299999999996</v>
      </c>
      <c r="S93" s="572">
        <f t="shared" si="5"/>
        <v>3.0657E-2</v>
      </c>
      <c r="T93" s="396"/>
      <c r="U93" s="383"/>
      <c r="V93" s="383"/>
      <c r="W93" s="383"/>
      <c r="X93" s="383"/>
    </row>
    <row r="94" spans="1:24" ht="15.75" x14ac:dyDescent="0.25">
      <c r="A94" s="566">
        <v>40467</v>
      </c>
      <c r="B94" s="567">
        <f t="shared" si="3"/>
        <v>106.83934151122486</v>
      </c>
      <c r="C94" s="423">
        <f t="shared" si="2"/>
        <v>108.162475439071</v>
      </c>
      <c r="E94" s="383"/>
      <c r="F94" s="568"/>
      <c r="G94" s="568"/>
      <c r="H94" s="572">
        <f t="shared" si="4"/>
        <v>1.5267930999999999</v>
      </c>
      <c r="I94" s="572">
        <f t="shared" si="5"/>
        <v>1.4198265999999999</v>
      </c>
      <c r="J94" s="572">
        <f t="shared" si="5"/>
        <v>0.99112809999999996</v>
      </c>
      <c r="K94" s="572">
        <f t="shared" si="5"/>
        <v>1.2150961999999998</v>
      </c>
      <c r="L94" s="572">
        <f t="shared" si="5"/>
        <v>1.2453563999999999</v>
      </c>
      <c r="M94" s="572">
        <f t="shared" si="5"/>
        <v>1.3284654</v>
      </c>
      <c r="N94" s="572">
        <f t="shared" si="5"/>
        <v>1.8216345</v>
      </c>
      <c r="O94" s="572">
        <f t="shared" si="5"/>
        <v>1.74363</v>
      </c>
      <c r="P94" s="572">
        <f t="shared" si="5"/>
        <v>1.1624604999999999</v>
      </c>
      <c r="Q94" s="572">
        <f t="shared" si="5"/>
        <v>1.4569646999999999</v>
      </c>
      <c r="R94" s="572">
        <f t="shared" si="5"/>
        <v>0.9719490999999999</v>
      </c>
      <c r="S94" s="572">
        <f t="shared" si="5"/>
        <v>1.5720387</v>
      </c>
      <c r="T94" s="396"/>
      <c r="U94" s="383"/>
      <c r="V94" s="383"/>
      <c r="W94" s="383"/>
      <c r="X94" s="383"/>
    </row>
    <row r="95" spans="1:24" x14ac:dyDescent="0.2">
      <c r="A95" s="566">
        <v>40498</v>
      </c>
      <c r="B95" s="567">
        <f t="shared" si="3"/>
        <v>106.83934151122486</v>
      </c>
      <c r="C95" s="423">
        <f t="shared" si="2"/>
        <v>108.162475439071</v>
      </c>
      <c r="E95" s="383"/>
      <c r="F95" s="383"/>
      <c r="G95" s="383"/>
      <c r="H95" s="383"/>
      <c r="I95" s="383"/>
      <c r="J95" s="383"/>
      <c r="K95" s="383"/>
      <c r="L95" s="383"/>
      <c r="M95" s="383"/>
      <c r="N95" s="383"/>
      <c r="O95" s="383"/>
      <c r="P95" s="383"/>
      <c r="Q95" s="383"/>
      <c r="R95" s="383"/>
      <c r="S95" s="383"/>
      <c r="T95" s="383"/>
      <c r="U95" s="383"/>
      <c r="V95" s="383"/>
      <c r="W95" s="383"/>
      <c r="X95" s="383"/>
    </row>
    <row r="96" spans="1:24" ht="26.25" x14ac:dyDescent="0.25">
      <c r="A96" s="566">
        <v>40528</v>
      </c>
      <c r="B96" s="567">
        <f t="shared" si="3"/>
        <v>106.83934151122486</v>
      </c>
      <c r="C96" s="423">
        <f t="shared" si="2"/>
        <v>108.162475439071</v>
      </c>
      <c r="E96" s="383"/>
      <c r="F96" s="383"/>
      <c r="G96" s="383"/>
      <c r="H96" s="397" t="s">
        <v>862</v>
      </c>
      <c r="I96" s="398">
        <f>+I98/I77</f>
        <v>1.0106854825827638</v>
      </c>
      <c r="J96" s="399">
        <v>1.0034000000000001</v>
      </c>
      <c r="K96" s="383"/>
      <c r="L96" s="383"/>
      <c r="M96" s="383"/>
      <c r="N96" s="383"/>
      <c r="O96" s="383"/>
      <c r="P96" s="383"/>
      <c r="Q96" s="383"/>
      <c r="R96" s="383"/>
      <c r="S96" s="383"/>
      <c r="T96" s="396"/>
      <c r="U96" s="383"/>
      <c r="V96" s="383"/>
      <c r="W96" s="383"/>
      <c r="X96" s="383"/>
    </row>
    <row r="97" spans="1:24" ht="15.75" x14ac:dyDescent="0.25">
      <c r="A97" s="566">
        <v>40559</v>
      </c>
      <c r="B97" s="567">
        <f t="shared" si="3"/>
        <v>106.83934151122486</v>
      </c>
      <c r="C97" s="423">
        <f t="shared" ref="C97:C128" si="6">+B97/$E$1*100</f>
        <v>108.162475439071</v>
      </c>
      <c r="E97" s="383"/>
      <c r="F97" s="384" t="s">
        <v>863</v>
      </c>
      <c r="G97" s="383"/>
      <c r="H97" s="383"/>
      <c r="I97" s="383"/>
      <c r="J97" s="383"/>
      <c r="K97" s="383"/>
      <c r="L97" s="383"/>
      <c r="M97" s="383"/>
      <c r="N97" s="383"/>
      <c r="O97" s="383"/>
      <c r="P97" s="383"/>
      <c r="Q97" s="383"/>
      <c r="R97" s="383"/>
      <c r="S97" s="383"/>
      <c r="T97" s="383"/>
      <c r="U97" s="383"/>
      <c r="V97" s="383"/>
      <c r="W97" s="383"/>
      <c r="X97" s="383"/>
    </row>
    <row r="98" spans="1:24" ht="15.75" x14ac:dyDescent="0.25">
      <c r="A98" s="566">
        <v>40590</v>
      </c>
      <c r="B98" s="567">
        <f t="shared" si="3"/>
        <v>106.83934151122486</v>
      </c>
      <c r="C98" s="423">
        <f t="shared" si="6"/>
        <v>108.162475439071</v>
      </c>
      <c r="E98" s="383"/>
      <c r="F98" s="383"/>
      <c r="G98" s="383"/>
      <c r="H98" s="389" t="s">
        <v>856</v>
      </c>
      <c r="I98" s="393">
        <f>SUM(H110:S115)</f>
        <v>33.613105400000002</v>
      </c>
      <c r="J98" s="389" t="s">
        <v>857</v>
      </c>
      <c r="K98" s="383"/>
      <c r="L98" s="383"/>
      <c r="M98" s="383"/>
      <c r="N98" s="383"/>
      <c r="O98" s="383"/>
      <c r="P98" s="383"/>
      <c r="Q98" s="383"/>
      <c r="R98" s="383"/>
      <c r="S98" s="383"/>
      <c r="T98" s="383"/>
      <c r="U98" s="383"/>
      <c r="V98" s="383"/>
      <c r="W98" s="383"/>
      <c r="X98" s="383"/>
    </row>
    <row r="99" spans="1:24" ht="15.75" x14ac:dyDescent="0.25">
      <c r="A99" s="566">
        <v>40618</v>
      </c>
      <c r="B99" s="567">
        <f>+B98*J96</f>
        <v>107.20259527236303</v>
      </c>
      <c r="C99" s="423">
        <f t="shared" si="6"/>
        <v>108.53022785556385</v>
      </c>
      <c r="D99" s="41"/>
      <c r="E99" s="383"/>
      <c r="F99" s="383"/>
      <c r="G99" s="383"/>
      <c r="H99" s="389"/>
      <c r="I99" s="393"/>
      <c r="J99" s="389"/>
      <c r="K99" s="383"/>
      <c r="L99" s="383"/>
      <c r="M99" s="383"/>
      <c r="N99" s="383"/>
      <c r="O99" s="383"/>
      <c r="P99" s="383"/>
      <c r="Q99" s="383"/>
      <c r="R99" s="383"/>
      <c r="S99" s="383"/>
      <c r="T99" s="383"/>
      <c r="U99" s="383"/>
      <c r="V99" s="383"/>
      <c r="W99" s="383"/>
      <c r="X99" s="383"/>
    </row>
    <row r="100" spans="1:24" ht="15.75" x14ac:dyDescent="0.25">
      <c r="A100" s="566">
        <v>40649</v>
      </c>
      <c r="B100" s="567">
        <f>+B99</f>
        <v>107.20259527236303</v>
      </c>
      <c r="C100" s="423">
        <f t="shared" si="6"/>
        <v>108.53022785556385</v>
      </c>
      <c r="E100" s="383"/>
      <c r="F100" s="384" t="s">
        <v>858</v>
      </c>
      <c r="G100" s="383"/>
      <c r="H100" s="389"/>
      <c r="I100" s="393"/>
      <c r="J100" s="389"/>
      <c r="K100" s="383"/>
      <c r="L100" s="383"/>
      <c r="M100" s="383"/>
      <c r="N100" s="383"/>
      <c r="O100" s="383"/>
      <c r="P100" s="383"/>
      <c r="Q100" s="383"/>
      <c r="R100" s="383"/>
      <c r="S100" s="383"/>
      <c r="T100" s="383"/>
      <c r="U100" s="383"/>
      <c r="V100" s="383"/>
      <c r="W100" s="383"/>
      <c r="X100" s="383"/>
    </row>
    <row r="101" spans="1:24" x14ac:dyDescent="0.2">
      <c r="A101" s="566">
        <v>40679</v>
      </c>
      <c r="B101" s="567">
        <f>+B100</f>
        <v>107.20259527236303</v>
      </c>
      <c r="C101" s="423">
        <f t="shared" si="6"/>
        <v>108.53022785556385</v>
      </c>
      <c r="E101" s="383"/>
      <c r="F101" s="383"/>
      <c r="G101" s="383"/>
      <c r="H101" s="383"/>
      <c r="I101" s="383"/>
      <c r="J101" s="383"/>
      <c r="K101" s="383"/>
      <c r="L101" s="383"/>
      <c r="M101" s="383"/>
      <c r="N101" s="383"/>
      <c r="O101" s="383"/>
      <c r="P101" s="383"/>
      <c r="Q101" s="383"/>
      <c r="R101" s="383"/>
      <c r="S101" s="383"/>
      <c r="T101" s="383"/>
      <c r="U101" s="383"/>
      <c r="V101" s="383"/>
      <c r="W101" s="383"/>
      <c r="X101" s="383"/>
    </row>
    <row r="102" spans="1:24" ht="15.75" x14ac:dyDescent="0.25">
      <c r="A102" s="566">
        <v>40710</v>
      </c>
      <c r="B102" s="567">
        <f t="shared" si="3"/>
        <v>107.20259527236303</v>
      </c>
      <c r="C102" s="423">
        <f t="shared" si="6"/>
        <v>108.53022785556385</v>
      </c>
      <c r="E102" s="383"/>
      <c r="F102" s="568"/>
      <c r="G102" s="568"/>
      <c r="H102" s="570" t="s">
        <v>859</v>
      </c>
      <c r="I102" s="570" t="s">
        <v>859</v>
      </c>
      <c r="J102" s="570" t="s">
        <v>860</v>
      </c>
      <c r="K102" s="570" t="s">
        <v>860</v>
      </c>
      <c r="L102" s="570" t="s">
        <v>860</v>
      </c>
      <c r="M102" s="570" t="s">
        <v>860</v>
      </c>
      <c r="N102" s="570" t="s">
        <v>861</v>
      </c>
      <c r="O102" s="570" t="s">
        <v>861</v>
      </c>
      <c r="P102" s="570" t="s">
        <v>860</v>
      </c>
      <c r="Q102" s="570" t="s">
        <v>860</v>
      </c>
      <c r="R102" s="570" t="s">
        <v>860</v>
      </c>
      <c r="S102" s="570" t="s">
        <v>859</v>
      </c>
      <c r="T102" s="383"/>
      <c r="U102" s="383"/>
      <c r="V102" s="383"/>
      <c r="W102" s="383"/>
      <c r="X102" s="383"/>
    </row>
    <row r="103" spans="1:24" ht="15.75" x14ac:dyDescent="0.25">
      <c r="A103" s="566">
        <v>40740</v>
      </c>
      <c r="B103" s="567">
        <f t="shared" si="3"/>
        <v>107.20259527236303</v>
      </c>
      <c r="C103" s="423">
        <f t="shared" si="6"/>
        <v>108.53022785556385</v>
      </c>
      <c r="E103" s="383"/>
      <c r="F103" s="570" t="s">
        <v>850</v>
      </c>
      <c r="G103" s="570" t="s">
        <v>851</v>
      </c>
      <c r="H103" s="573">
        <v>91.66</v>
      </c>
      <c r="I103" s="574">
        <f t="shared" ref="I103:I108" si="7">H103</f>
        <v>91.66</v>
      </c>
      <c r="J103" s="573">
        <v>41.5</v>
      </c>
      <c r="K103" s="574">
        <f>J103</f>
        <v>41.5</v>
      </c>
      <c r="L103" s="574">
        <f>K103</f>
        <v>41.5</v>
      </c>
      <c r="M103" s="574">
        <f>L103</f>
        <v>41.5</v>
      </c>
      <c r="N103" s="573">
        <v>100.97</v>
      </c>
      <c r="O103" s="574">
        <f t="shared" ref="O103:O108" si="8">N103</f>
        <v>100.97</v>
      </c>
      <c r="P103" s="574">
        <f t="shared" ref="P103:R108" si="9">J103</f>
        <v>41.5</v>
      </c>
      <c r="Q103" s="574">
        <f t="shared" si="9"/>
        <v>41.5</v>
      </c>
      <c r="R103" s="574">
        <f t="shared" si="9"/>
        <v>41.5</v>
      </c>
      <c r="S103" s="574">
        <f t="shared" ref="S103:S108" si="10">H103</f>
        <v>91.66</v>
      </c>
      <c r="T103" s="383"/>
      <c r="U103" s="383"/>
      <c r="V103" s="383"/>
      <c r="W103" s="383"/>
      <c r="X103" s="383"/>
    </row>
    <row r="104" spans="1:24" ht="15.75" x14ac:dyDescent="0.25">
      <c r="A104" s="566">
        <v>40771</v>
      </c>
      <c r="B104" s="567">
        <f>+B103*$K$119</f>
        <v>117.71731515838354</v>
      </c>
      <c r="C104" s="423">
        <f t="shared" si="6"/>
        <v>119.17516552864859</v>
      </c>
      <c r="E104" s="383"/>
      <c r="F104" s="570" t="s">
        <v>852</v>
      </c>
      <c r="G104" s="570" t="s">
        <v>851</v>
      </c>
      <c r="H104" s="573">
        <v>54.08</v>
      </c>
      <c r="I104" s="574">
        <f t="shared" si="7"/>
        <v>54.08</v>
      </c>
      <c r="J104" s="573">
        <v>33.78</v>
      </c>
      <c r="K104" s="574">
        <f t="shared" ref="K104:M108" si="11">J104</f>
        <v>33.78</v>
      </c>
      <c r="L104" s="574">
        <f t="shared" si="11"/>
        <v>33.78</v>
      </c>
      <c r="M104" s="574">
        <f t="shared" si="11"/>
        <v>33.78</v>
      </c>
      <c r="N104" s="573">
        <v>43.32</v>
      </c>
      <c r="O104" s="574">
        <f t="shared" si="8"/>
        <v>43.32</v>
      </c>
      <c r="P104" s="574">
        <f t="shared" si="9"/>
        <v>33.78</v>
      </c>
      <c r="Q104" s="574">
        <f t="shared" si="9"/>
        <v>33.78</v>
      </c>
      <c r="R104" s="574">
        <f t="shared" si="9"/>
        <v>33.78</v>
      </c>
      <c r="S104" s="574">
        <f t="shared" si="10"/>
        <v>54.08</v>
      </c>
      <c r="T104" s="383"/>
      <c r="U104" s="383"/>
      <c r="V104" s="383"/>
      <c r="W104" s="383"/>
      <c r="X104" s="383"/>
    </row>
    <row r="105" spans="1:24" ht="15.75" x14ac:dyDescent="0.25">
      <c r="A105" s="566">
        <v>40802</v>
      </c>
      <c r="B105" s="567">
        <f>+B104</f>
        <v>117.71731515838354</v>
      </c>
      <c r="C105" s="423">
        <f t="shared" si="6"/>
        <v>119.17516552864859</v>
      </c>
      <c r="E105" s="383"/>
      <c r="F105" s="570" t="s">
        <v>853</v>
      </c>
      <c r="G105" s="570" t="s">
        <v>851</v>
      </c>
      <c r="H105" s="573">
        <v>30.55</v>
      </c>
      <c r="I105" s="574">
        <f t="shared" si="7"/>
        <v>30.55</v>
      </c>
      <c r="J105" s="573">
        <v>27.26</v>
      </c>
      <c r="K105" s="574">
        <f t="shared" si="11"/>
        <v>27.26</v>
      </c>
      <c r="L105" s="574">
        <f t="shared" si="11"/>
        <v>27.26</v>
      </c>
      <c r="M105" s="574">
        <f t="shared" si="11"/>
        <v>27.26</v>
      </c>
      <c r="N105" s="573">
        <v>27.86</v>
      </c>
      <c r="O105" s="574">
        <f t="shared" si="8"/>
        <v>27.86</v>
      </c>
      <c r="P105" s="574">
        <f t="shared" si="9"/>
        <v>27.26</v>
      </c>
      <c r="Q105" s="574">
        <f t="shared" si="9"/>
        <v>27.26</v>
      </c>
      <c r="R105" s="574">
        <f t="shared" si="9"/>
        <v>27.26</v>
      </c>
      <c r="S105" s="574">
        <f t="shared" si="10"/>
        <v>30.55</v>
      </c>
      <c r="T105" s="383"/>
      <c r="U105" s="383"/>
      <c r="V105" s="383"/>
      <c r="W105" s="383"/>
      <c r="X105" s="383"/>
    </row>
    <row r="106" spans="1:24" ht="15.75" x14ac:dyDescent="0.25">
      <c r="A106" s="566">
        <v>40832</v>
      </c>
      <c r="B106" s="567">
        <f t="shared" si="3"/>
        <v>117.71731515838354</v>
      </c>
      <c r="C106" s="423">
        <f t="shared" si="6"/>
        <v>119.17516552864859</v>
      </c>
      <c r="E106" s="383"/>
      <c r="F106" s="570" t="s">
        <v>850</v>
      </c>
      <c r="G106" s="570" t="s">
        <v>854</v>
      </c>
      <c r="H106" s="573">
        <v>81.92</v>
      </c>
      <c r="I106" s="574">
        <f t="shared" si="7"/>
        <v>81.92</v>
      </c>
      <c r="J106" s="573">
        <v>35.03</v>
      </c>
      <c r="K106" s="574">
        <f t="shared" si="11"/>
        <v>35.03</v>
      </c>
      <c r="L106" s="574">
        <f t="shared" si="11"/>
        <v>35.03</v>
      </c>
      <c r="M106" s="574">
        <f t="shared" si="11"/>
        <v>35.03</v>
      </c>
      <c r="N106" s="573">
        <v>89.65</v>
      </c>
      <c r="O106" s="574">
        <f t="shared" si="8"/>
        <v>89.65</v>
      </c>
      <c r="P106" s="574">
        <f t="shared" si="9"/>
        <v>35.03</v>
      </c>
      <c r="Q106" s="574">
        <f t="shared" si="9"/>
        <v>35.03</v>
      </c>
      <c r="R106" s="574">
        <f t="shared" si="9"/>
        <v>35.03</v>
      </c>
      <c r="S106" s="574">
        <f t="shared" si="10"/>
        <v>81.92</v>
      </c>
      <c r="T106" s="383"/>
      <c r="U106" s="383"/>
      <c r="V106" s="383"/>
      <c r="W106" s="383"/>
      <c r="X106" s="383"/>
    </row>
    <row r="107" spans="1:24" ht="15.75" x14ac:dyDescent="0.25">
      <c r="A107" s="566">
        <v>40863</v>
      </c>
      <c r="B107" s="567">
        <f>+B106*$K$140</f>
        <v>123.41149392913162</v>
      </c>
      <c r="C107" s="423">
        <f t="shared" si="6"/>
        <v>124.93986290252759</v>
      </c>
      <c r="E107" s="383"/>
      <c r="F107" s="570" t="s">
        <v>852</v>
      </c>
      <c r="G107" s="570" t="s">
        <v>854</v>
      </c>
      <c r="H107" s="573">
        <v>47.31</v>
      </c>
      <c r="I107" s="574">
        <f t="shared" si="7"/>
        <v>47.31</v>
      </c>
      <c r="J107" s="573">
        <v>27.77</v>
      </c>
      <c r="K107" s="574">
        <f t="shared" si="11"/>
        <v>27.77</v>
      </c>
      <c r="L107" s="574">
        <f t="shared" si="11"/>
        <v>27.77</v>
      </c>
      <c r="M107" s="574">
        <f t="shared" si="11"/>
        <v>27.77</v>
      </c>
      <c r="N107" s="573">
        <v>36.18</v>
      </c>
      <c r="O107" s="574">
        <f t="shared" si="8"/>
        <v>36.18</v>
      </c>
      <c r="P107" s="574">
        <f t="shared" si="9"/>
        <v>27.77</v>
      </c>
      <c r="Q107" s="574">
        <f t="shared" si="9"/>
        <v>27.77</v>
      </c>
      <c r="R107" s="574">
        <f t="shared" si="9"/>
        <v>27.77</v>
      </c>
      <c r="S107" s="574">
        <f t="shared" si="10"/>
        <v>47.31</v>
      </c>
      <c r="T107" s="383"/>
      <c r="U107" s="383"/>
      <c r="V107" s="383"/>
      <c r="W107" s="383"/>
      <c r="X107" s="383"/>
    </row>
    <row r="108" spans="1:24" ht="15.75" x14ac:dyDescent="0.25">
      <c r="A108" s="566">
        <v>40893</v>
      </c>
      <c r="B108" s="567">
        <f>+B107</f>
        <v>123.41149392913162</v>
      </c>
      <c r="C108" s="423">
        <f t="shared" si="6"/>
        <v>124.93986290252759</v>
      </c>
      <c r="E108" s="383"/>
      <c r="F108" s="570" t="s">
        <v>853</v>
      </c>
      <c r="G108" s="570" t="s">
        <v>854</v>
      </c>
      <c r="H108" s="573">
        <v>24.91</v>
      </c>
      <c r="I108" s="574">
        <f t="shared" si="7"/>
        <v>24.91</v>
      </c>
      <c r="J108" s="573">
        <v>21.92</v>
      </c>
      <c r="K108" s="574">
        <f t="shared" si="11"/>
        <v>21.92</v>
      </c>
      <c r="L108" s="574">
        <f t="shared" si="11"/>
        <v>21.92</v>
      </c>
      <c r="M108" s="574">
        <f t="shared" si="11"/>
        <v>21.92</v>
      </c>
      <c r="N108" s="573">
        <v>22.11</v>
      </c>
      <c r="O108" s="574">
        <f t="shared" si="8"/>
        <v>22.11</v>
      </c>
      <c r="P108" s="574">
        <f t="shared" si="9"/>
        <v>21.92</v>
      </c>
      <c r="Q108" s="574">
        <f t="shared" si="9"/>
        <v>21.92</v>
      </c>
      <c r="R108" s="574">
        <f t="shared" si="9"/>
        <v>21.92</v>
      </c>
      <c r="S108" s="574">
        <f t="shared" si="10"/>
        <v>24.91</v>
      </c>
      <c r="T108" s="383"/>
      <c r="U108" s="383"/>
      <c r="V108" s="383"/>
      <c r="W108" s="383"/>
      <c r="X108" s="383"/>
    </row>
    <row r="109" spans="1:24" x14ac:dyDescent="0.2">
      <c r="A109" s="566">
        <v>40924</v>
      </c>
      <c r="B109" s="423">
        <f>+B108</f>
        <v>123.41149392913162</v>
      </c>
      <c r="C109" s="423">
        <f t="shared" si="6"/>
        <v>124.93986290252759</v>
      </c>
      <c r="E109" s="383"/>
      <c r="F109" s="383"/>
      <c r="G109" s="383"/>
      <c r="H109" s="383"/>
      <c r="I109" s="383"/>
      <c r="J109" s="383"/>
      <c r="K109" s="383"/>
      <c r="L109" s="383"/>
      <c r="M109" s="383"/>
      <c r="N109" s="383"/>
      <c r="O109" s="383"/>
      <c r="P109" s="383"/>
      <c r="Q109" s="383"/>
      <c r="R109" s="383"/>
      <c r="S109" s="383"/>
      <c r="T109" s="383"/>
      <c r="U109" s="383"/>
      <c r="V109" s="383"/>
      <c r="W109" s="383"/>
      <c r="X109" s="383"/>
    </row>
    <row r="110" spans="1:24" ht="15.75" x14ac:dyDescent="0.25">
      <c r="A110" s="566">
        <v>40955</v>
      </c>
      <c r="B110" s="38">
        <f>+B109</f>
        <v>123.41149392913162</v>
      </c>
      <c r="C110" s="423">
        <f t="shared" si="6"/>
        <v>124.93986290252759</v>
      </c>
      <c r="E110" s="383"/>
      <c r="F110" s="383"/>
      <c r="G110" s="383"/>
      <c r="H110" s="572">
        <f t="shared" ref="H110:S110" si="12">+H103*H69</f>
        <v>6.4161999999999997E-2</v>
      </c>
      <c r="I110" s="572">
        <f t="shared" si="12"/>
        <v>6.14122E-2</v>
      </c>
      <c r="J110" s="572">
        <f t="shared" si="12"/>
        <v>0.16558499999999998</v>
      </c>
      <c r="K110" s="572">
        <f t="shared" si="12"/>
        <v>0.18467500000000001</v>
      </c>
      <c r="L110" s="572">
        <f t="shared" si="12"/>
        <v>0.21496999999999999</v>
      </c>
      <c r="M110" s="572">
        <f t="shared" si="12"/>
        <v>0.25480999999999998</v>
      </c>
      <c r="N110" s="572">
        <f t="shared" si="12"/>
        <v>0.16458109999999998</v>
      </c>
      <c r="O110" s="572">
        <f t="shared" si="12"/>
        <v>0.1221737</v>
      </c>
      <c r="P110" s="572">
        <f t="shared" si="12"/>
        <v>0.214555</v>
      </c>
      <c r="Q110" s="572">
        <f t="shared" si="12"/>
        <v>0.16641499999999998</v>
      </c>
      <c r="R110" s="572">
        <f t="shared" si="12"/>
        <v>0.16517000000000001</v>
      </c>
      <c r="S110" s="572">
        <f t="shared" si="12"/>
        <v>8.9826799999999998E-2</v>
      </c>
      <c r="T110" s="383"/>
      <c r="U110" s="383"/>
      <c r="V110" s="383"/>
      <c r="W110" s="383"/>
      <c r="X110" s="383"/>
    </row>
    <row r="111" spans="1:24" ht="15.75" x14ac:dyDescent="0.25">
      <c r="A111" s="566">
        <v>40984</v>
      </c>
      <c r="B111" s="38">
        <f>+B110</f>
        <v>123.41149392913162</v>
      </c>
      <c r="C111" s="423">
        <f t="shared" si="6"/>
        <v>124.93986290252759</v>
      </c>
      <c r="E111" s="383"/>
      <c r="F111" s="383"/>
      <c r="G111" s="383"/>
      <c r="H111" s="572">
        <f t="shared" ref="H111:S115" si="13">+H104*H70</f>
        <v>3.6233599999999998E-2</v>
      </c>
      <c r="I111" s="572">
        <f t="shared" si="13"/>
        <v>3.6774399999999999E-2</v>
      </c>
      <c r="J111" s="572">
        <f t="shared" si="13"/>
        <v>0.1060692</v>
      </c>
      <c r="K111" s="572">
        <f t="shared" si="13"/>
        <v>0.1428894</v>
      </c>
      <c r="L111" s="572">
        <f t="shared" si="13"/>
        <v>0.1128252</v>
      </c>
      <c r="M111" s="572">
        <f t="shared" si="13"/>
        <v>0.11958120000000001</v>
      </c>
      <c r="N111" s="572">
        <f t="shared" si="13"/>
        <v>0.13342560000000001</v>
      </c>
      <c r="O111" s="572">
        <f t="shared" si="13"/>
        <v>0.15075360000000002</v>
      </c>
      <c r="P111" s="572">
        <f t="shared" si="13"/>
        <v>0.12194580000000001</v>
      </c>
      <c r="Q111" s="572">
        <f t="shared" si="13"/>
        <v>0.16180620000000001</v>
      </c>
      <c r="R111" s="572">
        <f t="shared" si="13"/>
        <v>8.0734200000000006E-2</v>
      </c>
      <c r="S111" s="572">
        <f t="shared" si="13"/>
        <v>2.0009599999999999E-2</v>
      </c>
      <c r="T111" s="383"/>
      <c r="U111" s="383"/>
      <c r="V111" s="383"/>
      <c r="W111" s="383"/>
      <c r="X111" s="383"/>
    </row>
    <row r="112" spans="1:24" ht="15.75" x14ac:dyDescent="0.25">
      <c r="A112" s="566">
        <v>41015</v>
      </c>
      <c r="B112" s="38">
        <f>+B111*(1+8.9%)</f>
        <v>134.39511688882433</v>
      </c>
      <c r="C112" s="423">
        <f t="shared" si="6"/>
        <v>136.05951070085257</v>
      </c>
      <c r="E112" s="383"/>
      <c r="F112" s="383"/>
      <c r="G112" s="383"/>
      <c r="H112" s="572">
        <f t="shared" si="13"/>
        <v>0.399594</v>
      </c>
      <c r="I112" s="572">
        <f t="shared" si="13"/>
        <v>0.37576500000000002</v>
      </c>
      <c r="J112" s="572">
        <f t="shared" si="13"/>
        <v>0.25406320000000004</v>
      </c>
      <c r="K112" s="572">
        <f t="shared" si="13"/>
        <v>0.33611580000000002</v>
      </c>
      <c r="L112" s="572">
        <f t="shared" si="13"/>
        <v>0.30940100000000004</v>
      </c>
      <c r="M112" s="572">
        <f t="shared" si="13"/>
        <v>0.32739260000000003</v>
      </c>
      <c r="N112" s="572">
        <f t="shared" si="13"/>
        <v>0.46554059999999997</v>
      </c>
      <c r="O112" s="572">
        <f t="shared" si="13"/>
        <v>0.46024719999999997</v>
      </c>
      <c r="P112" s="572">
        <f t="shared" si="13"/>
        <v>0.30940100000000004</v>
      </c>
      <c r="Q112" s="572">
        <f t="shared" si="13"/>
        <v>0.40753700000000004</v>
      </c>
      <c r="R112" s="572">
        <f t="shared" si="13"/>
        <v>0.25651660000000004</v>
      </c>
      <c r="S112" s="572">
        <f t="shared" si="13"/>
        <v>0.40142700000000003</v>
      </c>
      <c r="T112" s="383"/>
      <c r="U112" s="383"/>
      <c r="V112" s="383"/>
      <c r="W112" s="383"/>
      <c r="X112" s="383"/>
    </row>
    <row r="113" spans="1:24" ht="15.75" x14ac:dyDescent="0.25">
      <c r="A113" s="566">
        <v>41045</v>
      </c>
      <c r="B113" s="38">
        <f>+B112</f>
        <v>134.39511688882433</v>
      </c>
      <c r="C113" s="423">
        <f t="shared" si="6"/>
        <v>136.05951070085257</v>
      </c>
      <c r="E113" s="383"/>
      <c r="F113" s="383"/>
      <c r="G113" s="383"/>
      <c r="H113" s="572">
        <f t="shared" si="13"/>
        <v>0.17203199999999999</v>
      </c>
      <c r="I113" s="572">
        <f t="shared" si="13"/>
        <v>0.1540096</v>
      </c>
      <c r="J113" s="572">
        <f t="shared" si="13"/>
        <v>0.4620457</v>
      </c>
      <c r="K113" s="572">
        <f t="shared" si="13"/>
        <v>0.53806080000000001</v>
      </c>
      <c r="L113" s="572">
        <f t="shared" si="13"/>
        <v>0.68623770000000006</v>
      </c>
      <c r="M113" s="572">
        <f t="shared" si="13"/>
        <v>0.81795050000000002</v>
      </c>
      <c r="N113" s="572">
        <f t="shared" si="13"/>
        <v>0.47693800000000003</v>
      </c>
      <c r="O113" s="572">
        <f t="shared" si="13"/>
        <v>0.31018899999999999</v>
      </c>
      <c r="P113" s="572">
        <f t="shared" si="13"/>
        <v>0.57203990000000005</v>
      </c>
      <c r="Q113" s="572">
        <f t="shared" si="13"/>
        <v>0.46064450000000001</v>
      </c>
      <c r="R113" s="572">
        <f t="shared" si="13"/>
        <v>0.48061160000000003</v>
      </c>
      <c r="S113" s="572">
        <f t="shared" si="13"/>
        <v>0.23920639999999999</v>
      </c>
      <c r="T113" s="383"/>
      <c r="U113" s="383"/>
      <c r="V113" s="383"/>
      <c r="W113" s="383"/>
      <c r="X113" s="383"/>
    </row>
    <row r="114" spans="1:24" ht="15.75" x14ac:dyDescent="0.25">
      <c r="A114" s="566">
        <v>41076</v>
      </c>
      <c r="B114" s="38">
        <f>+B113</f>
        <v>134.39511688882433</v>
      </c>
      <c r="C114" s="423">
        <f t="shared" si="6"/>
        <v>136.05951070085257</v>
      </c>
      <c r="E114" s="383"/>
      <c r="F114" s="383"/>
      <c r="G114" s="383"/>
      <c r="H114" s="572">
        <f t="shared" si="13"/>
        <v>7.5222900000000009E-2</v>
      </c>
      <c r="I114" s="572">
        <f t="shared" si="13"/>
        <v>7.6169100000000003E-2</v>
      </c>
      <c r="J114" s="572">
        <f t="shared" si="13"/>
        <v>0.3626762</v>
      </c>
      <c r="K114" s="572">
        <f t="shared" si="13"/>
        <v>0.43487819999999999</v>
      </c>
      <c r="L114" s="572">
        <f t="shared" si="13"/>
        <v>0.4007211</v>
      </c>
      <c r="M114" s="572">
        <f t="shared" si="13"/>
        <v>0.42432560000000002</v>
      </c>
      <c r="N114" s="572">
        <f t="shared" si="13"/>
        <v>0.48372660000000001</v>
      </c>
      <c r="O114" s="572">
        <f t="shared" si="13"/>
        <v>0.51701220000000003</v>
      </c>
      <c r="P114" s="572">
        <f t="shared" si="13"/>
        <v>0.47958790000000001</v>
      </c>
      <c r="Q114" s="572">
        <f t="shared" si="13"/>
        <v>0.5006931</v>
      </c>
      <c r="R114" s="572">
        <f t="shared" si="13"/>
        <v>0.2663143</v>
      </c>
      <c r="S114" s="572">
        <f t="shared" si="13"/>
        <v>3.1224600000000002E-2</v>
      </c>
      <c r="T114" s="383"/>
      <c r="U114" s="383"/>
      <c r="V114" s="383"/>
      <c r="W114" s="383"/>
      <c r="X114" s="383"/>
    </row>
    <row r="115" spans="1:24" ht="15.75" x14ac:dyDescent="0.25">
      <c r="A115" s="566">
        <v>41106</v>
      </c>
      <c r="B115" s="38">
        <f>+B114</f>
        <v>134.39511688882433</v>
      </c>
      <c r="C115" s="423">
        <f t="shared" si="6"/>
        <v>136.05951070085257</v>
      </c>
      <c r="E115" s="383"/>
      <c r="F115" s="383"/>
      <c r="G115" s="383"/>
      <c r="H115" s="572">
        <f t="shared" si="13"/>
        <v>1.5466618999999999</v>
      </c>
      <c r="I115" s="572">
        <f t="shared" si="13"/>
        <v>1.4383033999999999</v>
      </c>
      <c r="J115" s="572">
        <f t="shared" si="13"/>
        <v>1.0194992</v>
      </c>
      <c r="K115" s="572">
        <f t="shared" si="13"/>
        <v>1.2498784000000001</v>
      </c>
      <c r="L115" s="572">
        <f t="shared" si="13"/>
        <v>1.2810048000000001</v>
      </c>
      <c r="M115" s="572">
        <f t="shared" si="13"/>
        <v>1.3664928000000001</v>
      </c>
      <c r="N115" s="572">
        <f t="shared" si="13"/>
        <v>1.8433107</v>
      </c>
      <c r="O115" s="572">
        <f t="shared" si="13"/>
        <v>1.7643779999999998</v>
      </c>
      <c r="P115" s="572">
        <f t="shared" si="13"/>
        <v>1.1957360000000001</v>
      </c>
      <c r="Q115" s="572">
        <f t="shared" si="13"/>
        <v>1.4986704000000002</v>
      </c>
      <c r="R115" s="572">
        <f t="shared" si="13"/>
        <v>0.99977120000000008</v>
      </c>
      <c r="S115" s="572">
        <f t="shared" si="13"/>
        <v>1.5924963000000001</v>
      </c>
      <c r="T115" s="383"/>
      <c r="U115" s="383"/>
      <c r="V115" s="383"/>
      <c r="W115" s="383"/>
      <c r="X115" s="383"/>
    </row>
    <row r="116" spans="1:24" x14ac:dyDescent="0.2">
      <c r="A116" s="566">
        <v>41137</v>
      </c>
      <c r="B116" s="38">
        <f>+B115</f>
        <v>134.39511688882433</v>
      </c>
      <c r="C116" s="423">
        <f t="shared" si="6"/>
        <v>136.05951070085257</v>
      </c>
      <c r="E116" s="383"/>
      <c r="F116" s="383"/>
      <c r="G116" s="383"/>
      <c r="H116" s="383"/>
      <c r="I116" s="383"/>
      <c r="J116" s="383"/>
      <c r="K116" s="383"/>
      <c r="L116" s="383"/>
      <c r="M116" s="383"/>
      <c r="N116" s="383"/>
      <c r="O116" s="383"/>
      <c r="P116" s="383"/>
      <c r="Q116" s="383"/>
      <c r="R116" s="383"/>
      <c r="S116" s="383"/>
      <c r="T116" s="383"/>
      <c r="U116" s="383"/>
      <c r="V116" s="383"/>
      <c r="W116" s="383"/>
      <c r="X116" s="383"/>
    </row>
    <row r="117" spans="1:24" x14ac:dyDescent="0.2">
      <c r="A117" s="566">
        <v>41168</v>
      </c>
      <c r="B117" s="38">
        <f>+B116</f>
        <v>134.39511688882433</v>
      </c>
      <c r="C117" s="423">
        <f t="shared" si="6"/>
        <v>136.05951070085257</v>
      </c>
      <c r="E117" s="383"/>
      <c r="F117" s="383"/>
      <c r="G117" s="383"/>
      <c r="H117" s="383"/>
      <c r="I117" s="383"/>
      <c r="J117" s="383"/>
      <c r="K117" s="383"/>
      <c r="L117" s="383"/>
      <c r="M117" s="383"/>
      <c r="N117" s="383"/>
      <c r="O117" s="383"/>
      <c r="P117" s="383"/>
      <c r="Q117" s="383"/>
      <c r="R117" s="383"/>
      <c r="S117" s="383"/>
      <c r="T117" s="383"/>
      <c r="U117" s="383"/>
      <c r="V117" s="383"/>
      <c r="W117" s="383"/>
      <c r="X117" s="383"/>
    </row>
    <row r="118" spans="1:24" ht="15.75" x14ac:dyDescent="0.25">
      <c r="A118" s="566">
        <v>41198</v>
      </c>
      <c r="B118" s="38">
        <f t="shared" ref="B118:B125" si="14">+B117</f>
        <v>134.39511688882433</v>
      </c>
      <c r="C118" s="423">
        <f t="shared" si="6"/>
        <v>136.05951070085257</v>
      </c>
      <c r="E118" s="383"/>
      <c r="F118" s="384" t="s">
        <v>864</v>
      </c>
      <c r="G118" s="383"/>
      <c r="H118" s="383"/>
      <c r="I118" s="383"/>
      <c r="J118" s="383"/>
      <c r="K118" s="383"/>
      <c r="L118" s="383"/>
      <c r="M118" s="383"/>
      <c r="N118" s="383"/>
      <c r="O118" s="383"/>
      <c r="P118" s="383"/>
      <c r="Q118" s="383"/>
      <c r="R118" s="383"/>
      <c r="S118" s="383"/>
      <c r="T118" s="383"/>
      <c r="U118" s="383"/>
      <c r="V118" s="383"/>
      <c r="W118" s="383"/>
      <c r="X118" s="383"/>
    </row>
    <row r="119" spans="1:24" ht="15.75" x14ac:dyDescent="0.25">
      <c r="A119" s="566">
        <v>41229</v>
      </c>
      <c r="B119" s="38">
        <f t="shared" si="14"/>
        <v>134.39511688882433</v>
      </c>
      <c r="C119" s="423">
        <f t="shared" si="6"/>
        <v>136.05951070085257</v>
      </c>
      <c r="E119" s="383"/>
      <c r="F119" s="383"/>
      <c r="G119" s="383"/>
      <c r="H119" s="389" t="s">
        <v>856</v>
      </c>
      <c r="I119" s="393">
        <f>SUM(H131:S136)</f>
        <v>36.909969500000003</v>
      </c>
      <c r="J119" s="389" t="s">
        <v>857</v>
      </c>
      <c r="K119" s="398">
        <f>+I119/I98</f>
        <v>1.0980826990177468</v>
      </c>
      <c r="L119" s="383" t="s">
        <v>865</v>
      </c>
      <c r="N119" s="400">
        <f>+I119/I98</f>
        <v>1.0980826990177468</v>
      </c>
      <c r="O119" s="383"/>
      <c r="P119" s="383"/>
      <c r="Q119" s="383"/>
      <c r="R119" s="383"/>
      <c r="S119" s="383"/>
      <c r="T119" s="383"/>
      <c r="U119" s="383"/>
      <c r="V119" s="383"/>
      <c r="W119" s="383"/>
      <c r="X119" s="383"/>
    </row>
    <row r="120" spans="1:24" ht="15.75" x14ac:dyDescent="0.25">
      <c r="A120" s="566">
        <v>41259</v>
      </c>
      <c r="B120" s="38">
        <f t="shared" si="14"/>
        <v>134.39511688882433</v>
      </c>
      <c r="C120" s="423">
        <f t="shared" si="6"/>
        <v>136.05951070085257</v>
      </c>
      <c r="E120" s="383"/>
      <c r="F120" s="383"/>
      <c r="G120" s="383"/>
      <c r="H120" s="389"/>
      <c r="I120" s="393"/>
      <c r="J120" s="389"/>
      <c r="K120" s="383"/>
      <c r="L120" s="383"/>
      <c r="M120" s="33"/>
      <c r="N120" s="383"/>
      <c r="O120" s="383"/>
      <c r="P120" s="383"/>
      <c r="Q120" s="383"/>
      <c r="R120" s="383"/>
      <c r="S120" s="383"/>
      <c r="T120" s="383"/>
      <c r="U120" s="383"/>
      <c r="V120" s="383"/>
      <c r="W120" s="383"/>
      <c r="X120" s="383"/>
    </row>
    <row r="121" spans="1:24" ht="15.75" x14ac:dyDescent="0.25">
      <c r="A121" s="566">
        <v>41290</v>
      </c>
      <c r="B121" s="38">
        <f t="shared" si="14"/>
        <v>134.39511688882433</v>
      </c>
      <c r="C121" s="423">
        <f t="shared" si="6"/>
        <v>136.05951070085257</v>
      </c>
      <c r="E121" s="383"/>
      <c r="F121" s="384" t="s">
        <v>858</v>
      </c>
      <c r="G121" s="383"/>
      <c r="H121" s="389"/>
      <c r="I121" s="393"/>
      <c r="J121" s="389"/>
      <c r="K121" s="383"/>
      <c r="L121" s="383"/>
      <c r="M121" s="383"/>
      <c r="N121" s="383"/>
      <c r="O121" s="383"/>
      <c r="P121" s="383"/>
      <c r="Q121" s="383"/>
      <c r="R121" s="383"/>
      <c r="S121" s="383"/>
      <c r="T121" s="383"/>
      <c r="U121" s="383"/>
      <c r="V121" s="383"/>
      <c r="W121" s="383"/>
      <c r="X121" s="383"/>
    </row>
    <row r="122" spans="1:24" x14ac:dyDescent="0.2">
      <c r="A122" s="566">
        <v>41321</v>
      </c>
      <c r="B122" s="38">
        <f t="shared" si="14"/>
        <v>134.39511688882433</v>
      </c>
      <c r="C122" s="423">
        <f t="shared" si="6"/>
        <v>136.05951070085257</v>
      </c>
      <c r="E122" s="383"/>
      <c r="F122" s="383"/>
      <c r="G122" s="383"/>
      <c r="H122" s="383"/>
      <c r="I122" s="383"/>
      <c r="J122" s="383"/>
      <c r="K122" s="383"/>
      <c r="L122" s="383"/>
      <c r="M122" s="383"/>
      <c r="N122" s="383"/>
      <c r="O122" s="383"/>
      <c r="P122" s="383"/>
      <c r="Q122" s="383"/>
      <c r="R122" s="383"/>
      <c r="S122" s="383"/>
      <c r="T122" s="383"/>
      <c r="U122" s="383"/>
      <c r="V122" s="383"/>
      <c r="W122" s="383"/>
      <c r="X122" s="383"/>
    </row>
    <row r="123" spans="1:24" ht="15.75" x14ac:dyDescent="0.25">
      <c r="A123" s="566">
        <v>41349</v>
      </c>
      <c r="B123" s="38">
        <f t="shared" si="14"/>
        <v>134.39511688882433</v>
      </c>
      <c r="C123" s="423">
        <f t="shared" si="6"/>
        <v>136.05951070085257</v>
      </c>
      <c r="E123" s="383"/>
      <c r="F123" s="568"/>
      <c r="G123" s="568"/>
      <c r="H123" s="570" t="s">
        <v>859</v>
      </c>
      <c r="I123" s="570" t="s">
        <v>859</v>
      </c>
      <c r="J123" s="570" t="s">
        <v>860</v>
      </c>
      <c r="K123" s="570" t="s">
        <v>860</v>
      </c>
      <c r="L123" s="570" t="s">
        <v>860</v>
      </c>
      <c r="M123" s="570" t="s">
        <v>860</v>
      </c>
      <c r="N123" s="570" t="s">
        <v>861</v>
      </c>
      <c r="O123" s="570" t="s">
        <v>861</v>
      </c>
      <c r="P123" s="570" t="s">
        <v>860</v>
      </c>
      <c r="Q123" s="570" t="s">
        <v>860</v>
      </c>
      <c r="R123" s="570" t="s">
        <v>860</v>
      </c>
      <c r="S123" s="570" t="s">
        <v>859</v>
      </c>
      <c r="T123" s="383"/>
      <c r="U123" s="383"/>
      <c r="V123" s="383"/>
      <c r="W123" s="383"/>
      <c r="X123" s="383"/>
    </row>
    <row r="124" spans="1:24" ht="15.75" x14ac:dyDescent="0.25">
      <c r="A124" s="566">
        <v>41380</v>
      </c>
      <c r="B124" s="38">
        <f t="shared" si="14"/>
        <v>134.39511688882433</v>
      </c>
      <c r="C124" s="423">
        <f t="shared" si="6"/>
        <v>136.05951070085257</v>
      </c>
      <c r="E124" s="383"/>
      <c r="F124" s="570" t="s">
        <v>850</v>
      </c>
      <c r="G124" s="570" t="s">
        <v>851</v>
      </c>
      <c r="H124" s="573">
        <v>101.23</v>
      </c>
      <c r="I124" s="574">
        <f t="shared" ref="I124:I129" si="15">H124</f>
        <v>101.23</v>
      </c>
      <c r="J124" s="573">
        <v>45.83</v>
      </c>
      <c r="K124" s="574">
        <f>J124</f>
        <v>45.83</v>
      </c>
      <c r="L124" s="574">
        <f>K124</f>
        <v>45.83</v>
      </c>
      <c r="M124" s="574">
        <f>L124</f>
        <v>45.83</v>
      </c>
      <c r="N124" s="573">
        <v>111.69</v>
      </c>
      <c r="O124" s="574">
        <f t="shared" ref="O124:O129" si="16">N124</f>
        <v>111.69</v>
      </c>
      <c r="P124" s="574">
        <f t="shared" ref="P124:R129" si="17">J124</f>
        <v>45.83</v>
      </c>
      <c r="Q124" s="574">
        <f t="shared" si="17"/>
        <v>45.83</v>
      </c>
      <c r="R124" s="574">
        <f t="shared" si="17"/>
        <v>45.83</v>
      </c>
      <c r="S124" s="574">
        <f t="shared" ref="S124:S129" si="18">H124</f>
        <v>101.23</v>
      </c>
      <c r="T124" s="383"/>
      <c r="U124" s="383"/>
      <c r="V124" s="383"/>
      <c r="W124" s="383"/>
      <c r="X124" s="383"/>
    </row>
    <row r="125" spans="1:24" ht="15.75" x14ac:dyDescent="0.25">
      <c r="A125" s="566">
        <v>41410</v>
      </c>
      <c r="B125" s="38">
        <f t="shared" si="14"/>
        <v>134.39511688882433</v>
      </c>
      <c r="C125" s="423">
        <f t="shared" si="6"/>
        <v>136.05951070085257</v>
      </c>
      <c r="E125" s="383"/>
      <c r="F125" s="570" t="s">
        <v>852</v>
      </c>
      <c r="G125" s="570" t="s">
        <v>851</v>
      </c>
      <c r="H125" s="573">
        <v>58.91</v>
      </c>
      <c r="I125" s="574">
        <f t="shared" si="15"/>
        <v>58.91</v>
      </c>
      <c r="J125" s="573">
        <v>36.549999999999997</v>
      </c>
      <c r="K125" s="574">
        <f t="shared" ref="K125:M129" si="19">J125</f>
        <v>36.549999999999997</v>
      </c>
      <c r="L125" s="574">
        <f t="shared" si="19"/>
        <v>36.549999999999997</v>
      </c>
      <c r="M125" s="574">
        <f t="shared" si="19"/>
        <v>36.549999999999997</v>
      </c>
      <c r="N125" s="573">
        <v>46.62</v>
      </c>
      <c r="O125" s="574">
        <f t="shared" si="16"/>
        <v>46.62</v>
      </c>
      <c r="P125" s="574">
        <f t="shared" si="17"/>
        <v>36.549999999999997</v>
      </c>
      <c r="Q125" s="574">
        <f t="shared" si="17"/>
        <v>36.549999999999997</v>
      </c>
      <c r="R125" s="574">
        <f t="shared" si="17"/>
        <v>36.549999999999997</v>
      </c>
      <c r="S125" s="574">
        <f t="shared" si="18"/>
        <v>58.91</v>
      </c>
      <c r="T125" s="383"/>
      <c r="U125" s="383"/>
      <c r="V125" s="383"/>
      <c r="W125" s="383"/>
      <c r="X125" s="383"/>
    </row>
    <row r="126" spans="1:24" ht="15.75" x14ac:dyDescent="0.25">
      <c r="A126" s="566">
        <v>41441</v>
      </c>
      <c r="B126" s="38">
        <f>+B125*(1+5.5%)</f>
        <v>141.78684831770966</v>
      </c>
      <c r="C126" s="423">
        <f t="shared" si="6"/>
        <v>143.54278378939941</v>
      </c>
      <c r="E126" s="383"/>
      <c r="F126" s="570" t="s">
        <v>853</v>
      </c>
      <c r="G126" s="570" t="s">
        <v>851</v>
      </c>
      <c r="H126" s="573">
        <v>33.25</v>
      </c>
      <c r="I126" s="574">
        <f t="shared" si="15"/>
        <v>33.25</v>
      </c>
      <c r="J126" s="573">
        <v>28.85</v>
      </c>
      <c r="K126" s="574">
        <f t="shared" si="19"/>
        <v>28.85</v>
      </c>
      <c r="L126" s="574">
        <f t="shared" si="19"/>
        <v>28.85</v>
      </c>
      <c r="M126" s="574">
        <f t="shared" si="19"/>
        <v>28.85</v>
      </c>
      <c r="N126" s="573">
        <v>29.87</v>
      </c>
      <c r="O126" s="574">
        <f t="shared" si="16"/>
        <v>29.87</v>
      </c>
      <c r="P126" s="574">
        <f t="shared" si="17"/>
        <v>28.85</v>
      </c>
      <c r="Q126" s="574">
        <f t="shared" si="17"/>
        <v>28.85</v>
      </c>
      <c r="R126" s="574">
        <f t="shared" si="17"/>
        <v>28.85</v>
      </c>
      <c r="S126" s="574">
        <f t="shared" si="18"/>
        <v>33.25</v>
      </c>
      <c r="T126" s="383"/>
      <c r="U126" s="383"/>
      <c r="V126" s="383"/>
      <c r="W126" s="383"/>
      <c r="X126" s="383"/>
    </row>
    <row r="127" spans="1:24" ht="15.75" x14ac:dyDescent="0.25">
      <c r="A127" s="566">
        <v>41471</v>
      </c>
      <c r="B127" s="38">
        <f t="shared" ref="B127:B145" si="20">+B126</f>
        <v>141.78684831770966</v>
      </c>
      <c r="C127" s="423">
        <f t="shared" si="6"/>
        <v>143.54278378939941</v>
      </c>
      <c r="E127" s="383"/>
      <c r="F127" s="570" t="s">
        <v>850</v>
      </c>
      <c r="G127" s="570" t="s">
        <v>854</v>
      </c>
      <c r="H127" s="573">
        <v>91.42</v>
      </c>
      <c r="I127" s="574">
        <f t="shared" si="15"/>
        <v>91.42</v>
      </c>
      <c r="J127" s="573">
        <v>39.49</v>
      </c>
      <c r="K127" s="574">
        <f t="shared" si="19"/>
        <v>39.49</v>
      </c>
      <c r="L127" s="574">
        <f t="shared" si="19"/>
        <v>39.49</v>
      </c>
      <c r="M127" s="574">
        <f t="shared" si="19"/>
        <v>39.49</v>
      </c>
      <c r="N127" s="573">
        <v>100.27</v>
      </c>
      <c r="O127" s="574">
        <f t="shared" si="16"/>
        <v>100.27</v>
      </c>
      <c r="P127" s="574">
        <f t="shared" si="17"/>
        <v>39.49</v>
      </c>
      <c r="Q127" s="574">
        <f t="shared" si="17"/>
        <v>39.49</v>
      </c>
      <c r="R127" s="574">
        <f t="shared" si="17"/>
        <v>39.49</v>
      </c>
      <c r="S127" s="574">
        <f t="shared" si="18"/>
        <v>91.42</v>
      </c>
      <c r="T127" s="383"/>
      <c r="U127" s="383"/>
      <c r="V127" s="383"/>
      <c r="W127" s="383"/>
      <c r="X127" s="383"/>
    </row>
    <row r="128" spans="1:24" ht="15.75" x14ac:dyDescent="0.25">
      <c r="A128" s="566">
        <v>41502</v>
      </c>
      <c r="B128" s="38">
        <f t="shared" si="20"/>
        <v>141.78684831770966</v>
      </c>
      <c r="C128" s="423">
        <f t="shared" si="6"/>
        <v>143.54278378939941</v>
      </c>
      <c r="E128" s="383"/>
      <c r="F128" s="570" t="s">
        <v>852</v>
      </c>
      <c r="G128" s="570" t="s">
        <v>854</v>
      </c>
      <c r="H128" s="573">
        <v>52.25</v>
      </c>
      <c r="I128" s="574">
        <f t="shared" si="15"/>
        <v>52.25</v>
      </c>
      <c r="J128" s="573">
        <v>30.73</v>
      </c>
      <c r="K128" s="574">
        <f t="shared" si="19"/>
        <v>30.73</v>
      </c>
      <c r="L128" s="574">
        <f t="shared" si="19"/>
        <v>30.73</v>
      </c>
      <c r="M128" s="574">
        <f t="shared" si="19"/>
        <v>30.73</v>
      </c>
      <c r="N128" s="573">
        <v>39.65</v>
      </c>
      <c r="O128" s="574">
        <f t="shared" si="16"/>
        <v>39.65</v>
      </c>
      <c r="P128" s="574">
        <f t="shared" si="17"/>
        <v>30.73</v>
      </c>
      <c r="Q128" s="574">
        <f t="shared" si="17"/>
        <v>30.73</v>
      </c>
      <c r="R128" s="574">
        <f t="shared" si="17"/>
        <v>30.73</v>
      </c>
      <c r="S128" s="574">
        <f t="shared" si="18"/>
        <v>52.25</v>
      </c>
      <c r="T128" s="383"/>
      <c r="U128" s="383"/>
      <c r="V128" s="383"/>
      <c r="W128" s="383"/>
      <c r="X128" s="383"/>
    </row>
    <row r="129" spans="1:24" ht="15.75" x14ac:dyDescent="0.25">
      <c r="A129" s="566">
        <v>41533</v>
      </c>
      <c r="B129" s="38">
        <f t="shared" si="20"/>
        <v>141.78684831770966</v>
      </c>
      <c r="C129" s="423">
        <f>+B129/$E$1*100</f>
        <v>143.54278378939941</v>
      </c>
      <c r="E129" s="383"/>
      <c r="F129" s="570" t="s">
        <v>853</v>
      </c>
      <c r="G129" s="570" t="s">
        <v>854</v>
      </c>
      <c r="H129" s="573">
        <v>27.81</v>
      </c>
      <c r="I129" s="574">
        <f t="shared" si="15"/>
        <v>27.81</v>
      </c>
      <c r="J129" s="573">
        <v>23.74</v>
      </c>
      <c r="K129" s="574">
        <f t="shared" si="19"/>
        <v>23.74</v>
      </c>
      <c r="L129" s="574">
        <f t="shared" si="19"/>
        <v>23.74</v>
      </c>
      <c r="M129" s="574">
        <f t="shared" si="19"/>
        <v>23.74</v>
      </c>
      <c r="N129" s="573">
        <v>24.34</v>
      </c>
      <c r="O129" s="574">
        <f t="shared" si="16"/>
        <v>24.34</v>
      </c>
      <c r="P129" s="574">
        <f t="shared" si="17"/>
        <v>23.74</v>
      </c>
      <c r="Q129" s="574">
        <f t="shared" si="17"/>
        <v>23.74</v>
      </c>
      <c r="R129" s="574">
        <f t="shared" si="17"/>
        <v>23.74</v>
      </c>
      <c r="S129" s="574">
        <f t="shared" si="18"/>
        <v>27.81</v>
      </c>
      <c r="T129" s="383"/>
      <c r="U129" s="383"/>
      <c r="V129" s="383"/>
      <c r="W129" s="383"/>
      <c r="X129" s="383"/>
    </row>
    <row r="130" spans="1:24" x14ac:dyDescent="0.2">
      <c r="A130" s="566">
        <v>41563</v>
      </c>
      <c r="B130" s="38">
        <f t="shared" si="20"/>
        <v>141.78684831770966</v>
      </c>
      <c r="C130" s="423">
        <f>+B130/$E$1*100</f>
        <v>143.54278378939941</v>
      </c>
      <c r="E130" s="383"/>
      <c r="F130" s="568"/>
      <c r="G130" s="568"/>
      <c r="H130" s="568"/>
      <c r="I130" s="568"/>
      <c r="J130" s="568"/>
      <c r="K130" s="568"/>
      <c r="L130" s="568"/>
      <c r="M130" s="568"/>
      <c r="N130" s="568"/>
      <c r="O130" s="568"/>
      <c r="P130" s="568"/>
      <c r="Q130" s="568"/>
      <c r="R130" s="568"/>
      <c r="S130" s="568"/>
      <c r="T130" s="383"/>
      <c r="U130" s="383"/>
      <c r="V130" s="383"/>
      <c r="W130" s="383"/>
      <c r="X130" s="383"/>
    </row>
    <row r="131" spans="1:24" ht="15.75" x14ac:dyDescent="0.25">
      <c r="A131" s="566">
        <v>41594</v>
      </c>
      <c r="B131" s="38">
        <f t="shared" si="20"/>
        <v>141.78684831770966</v>
      </c>
      <c r="C131" s="423">
        <f>+B131/$E$1*100</f>
        <v>143.54278378939941</v>
      </c>
      <c r="E131" s="383"/>
      <c r="F131" s="568"/>
      <c r="G131" s="568"/>
      <c r="H131" s="572">
        <f>+H124*H69</f>
        <v>7.0861000000000007E-2</v>
      </c>
      <c r="I131" s="572">
        <f t="shared" ref="I131:S131" si="21">+I124*I69</f>
        <v>6.7824099999999998E-2</v>
      </c>
      <c r="J131" s="572">
        <f t="shared" si="21"/>
        <v>0.18286169999999999</v>
      </c>
      <c r="K131" s="572">
        <f t="shared" si="21"/>
        <v>0.2039435</v>
      </c>
      <c r="L131" s="572">
        <f t="shared" si="21"/>
        <v>0.23739939999999998</v>
      </c>
      <c r="M131" s="572">
        <f t="shared" si="21"/>
        <v>0.28139619999999999</v>
      </c>
      <c r="N131" s="572">
        <f t="shared" si="21"/>
        <v>0.18205469999999999</v>
      </c>
      <c r="O131" s="572">
        <f t="shared" si="21"/>
        <v>0.13514489999999998</v>
      </c>
      <c r="P131" s="572">
        <f t="shared" si="21"/>
        <v>0.23694109999999999</v>
      </c>
      <c r="Q131" s="572">
        <f t="shared" si="21"/>
        <v>0.18377829999999998</v>
      </c>
      <c r="R131" s="572">
        <f t="shared" si="21"/>
        <v>0.18240339999999999</v>
      </c>
      <c r="S131" s="572">
        <f t="shared" si="21"/>
        <v>9.9205399999999999E-2</v>
      </c>
      <c r="T131" s="383"/>
      <c r="U131" s="383"/>
      <c r="V131" s="383"/>
      <c r="W131" s="383"/>
      <c r="X131" s="383"/>
    </row>
    <row r="132" spans="1:24" ht="15.75" x14ac:dyDescent="0.25">
      <c r="A132" s="566">
        <v>41624</v>
      </c>
      <c r="B132" s="38">
        <f t="shared" si="20"/>
        <v>141.78684831770966</v>
      </c>
      <c r="C132" s="423">
        <f>+B132/$E$1*100</f>
        <v>143.54278378939941</v>
      </c>
      <c r="E132" s="383"/>
      <c r="F132" s="568"/>
      <c r="G132" s="568"/>
      <c r="H132" s="572">
        <f t="shared" ref="H132:S136" si="22">+H125*H70</f>
        <v>3.9469699999999996E-2</v>
      </c>
      <c r="I132" s="572">
        <f t="shared" si="22"/>
        <v>4.0058799999999999E-2</v>
      </c>
      <c r="J132" s="572">
        <f t="shared" si="22"/>
        <v>0.11476699999999999</v>
      </c>
      <c r="K132" s="572">
        <f t="shared" si="22"/>
        <v>0.15460650000000001</v>
      </c>
      <c r="L132" s="572">
        <f t="shared" si="22"/>
        <v>0.12207699999999999</v>
      </c>
      <c r="M132" s="572">
        <f t="shared" si="22"/>
        <v>0.129387</v>
      </c>
      <c r="N132" s="572">
        <f t="shared" si="22"/>
        <v>0.14358959999999998</v>
      </c>
      <c r="O132" s="572">
        <f t="shared" si="22"/>
        <v>0.16223759999999998</v>
      </c>
      <c r="P132" s="572">
        <f t="shared" si="22"/>
        <v>0.13194549999999999</v>
      </c>
      <c r="Q132" s="572">
        <f t="shared" si="22"/>
        <v>0.17507449999999999</v>
      </c>
      <c r="R132" s="572">
        <f t="shared" si="22"/>
        <v>8.7354500000000002E-2</v>
      </c>
      <c r="S132" s="572">
        <f t="shared" si="22"/>
        <v>2.1796699999999999E-2</v>
      </c>
      <c r="T132" s="383"/>
      <c r="U132" s="383"/>
      <c r="V132" s="383"/>
      <c r="W132" s="383"/>
      <c r="X132" s="383"/>
    </row>
    <row r="133" spans="1:24" ht="15.75" x14ac:dyDescent="0.25">
      <c r="A133" s="566">
        <v>41655</v>
      </c>
      <c r="B133" s="38">
        <f t="shared" si="20"/>
        <v>141.78684831770966</v>
      </c>
      <c r="C133" s="423">
        <f t="shared" ref="C133:C150" si="23">+B133/$E$1*100</f>
        <v>143.54278378939941</v>
      </c>
      <c r="E133" s="383"/>
      <c r="F133" s="568"/>
      <c r="G133" s="568"/>
      <c r="H133" s="572">
        <f t="shared" si="22"/>
        <v>0.43490999999999996</v>
      </c>
      <c r="I133" s="572">
        <f t="shared" si="22"/>
        <v>0.40897500000000003</v>
      </c>
      <c r="J133" s="572">
        <f t="shared" si="22"/>
        <v>0.26888200000000001</v>
      </c>
      <c r="K133" s="572">
        <f t="shared" si="22"/>
        <v>0.35572050000000005</v>
      </c>
      <c r="L133" s="572">
        <f t="shared" si="22"/>
        <v>0.32744750000000006</v>
      </c>
      <c r="M133" s="572">
        <f t="shared" si="22"/>
        <v>0.34648850000000003</v>
      </c>
      <c r="N133" s="572">
        <f t="shared" si="22"/>
        <v>0.49912770000000001</v>
      </c>
      <c r="O133" s="572">
        <f t="shared" si="22"/>
        <v>0.49345240000000001</v>
      </c>
      <c r="P133" s="572">
        <f t="shared" si="22"/>
        <v>0.32744750000000006</v>
      </c>
      <c r="Q133" s="572">
        <f t="shared" si="22"/>
        <v>0.43130750000000001</v>
      </c>
      <c r="R133" s="572">
        <f t="shared" si="22"/>
        <v>0.27147850000000001</v>
      </c>
      <c r="S133" s="572">
        <f t="shared" si="22"/>
        <v>0.43690500000000004</v>
      </c>
      <c r="T133" s="383"/>
      <c r="U133" s="383"/>
      <c r="V133" s="383"/>
      <c r="W133" s="383"/>
      <c r="X133" s="383"/>
    </row>
    <row r="134" spans="1:24" ht="15.75" x14ac:dyDescent="0.25">
      <c r="A134" s="566">
        <v>41686</v>
      </c>
      <c r="B134" s="38">
        <f t="shared" si="20"/>
        <v>141.78684831770966</v>
      </c>
      <c r="C134" s="423">
        <f t="shared" si="23"/>
        <v>143.54278378939941</v>
      </c>
      <c r="E134" s="383"/>
      <c r="F134" s="568"/>
      <c r="G134" s="568"/>
      <c r="H134" s="572">
        <f t="shared" si="22"/>
        <v>0.19198199999999999</v>
      </c>
      <c r="I134" s="572">
        <f t="shared" si="22"/>
        <v>0.17186960000000001</v>
      </c>
      <c r="J134" s="572">
        <f t="shared" si="22"/>
        <v>0.52087310000000009</v>
      </c>
      <c r="K134" s="572">
        <f t="shared" si="22"/>
        <v>0.60656640000000006</v>
      </c>
      <c r="L134" s="572">
        <f t="shared" si="22"/>
        <v>0.77360910000000005</v>
      </c>
      <c r="M134" s="572">
        <f t="shared" si="22"/>
        <v>0.92209150000000006</v>
      </c>
      <c r="N134" s="572">
        <f t="shared" si="22"/>
        <v>0.53343640000000003</v>
      </c>
      <c r="O134" s="572">
        <f t="shared" si="22"/>
        <v>0.34693419999999997</v>
      </c>
      <c r="P134" s="572">
        <f t="shared" si="22"/>
        <v>0.64487170000000005</v>
      </c>
      <c r="Q134" s="572">
        <f t="shared" si="22"/>
        <v>0.51929350000000007</v>
      </c>
      <c r="R134" s="572">
        <f t="shared" si="22"/>
        <v>0.54180280000000003</v>
      </c>
      <c r="S134" s="572">
        <f t="shared" si="22"/>
        <v>0.26694639999999997</v>
      </c>
      <c r="T134" s="383"/>
      <c r="U134" s="383"/>
      <c r="V134" s="383"/>
      <c r="W134" s="383"/>
      <c r="X134" s="383"/>
    </row>
    <row r="135" spans="1:24" ht="15.75" x14ac:dyDescent="0.25">
      <c r="A135" s="566">
        <v>41714</v>
      </c>
      <c r="B135" s="38">
        <f t="shared" si="20"/>
        <v>141.78684831770966</v>
      </c>
      <c r="C135" s="423">
        <f t="shared" si="23"/>
        <v>143.54278378939941</v>
      </c>
      <c r="E135" s="383"/>
      <c r="F135" s="568"/>
      <c r="G135" s="568"/>
      <c r="H135" s="572">
        <f t="shared" si="22"/>
        <v>8.3077499999999999E-2</v>
      </c>
      <c r="I135" s="572">
        <f t="shared" si="22"/>
        <v>8.4122500000000003E-2</v>
      </c>
      <c r="J135" s="572">
        <f t="shared" si="22"/>
        <v>0.40133380000000002</v>
      </c>
      <c r="K135" s="572">
        <f t="shared" si="22"/>
        <v>0.48123180000000004</v>
      </c>
      <c r="L135" s="572">
        <f t="shared" si="22"/>
        <v>0.44343389999999999</v>
      </c>
      <c r="M135" s="572">
        <f t="shared" si="22"/>
        <v>0.46955440000000004</v>
      </c>
      <c r="N135" s="572">
        <f t="shared" si="22"/>
        <v>0.53012049999999999</v>
      </c>
      <c r="O135" s="572">
        <f t="shared" si="22"/>
        <v>0.5665985</v>
      </c>
      <c r="P135" s="572">
        <f t="shared" si="22"/>
        <v>0.53070709999999999</v>
      </c>
      <c r="Q135" s="572">
        <f t="shared" si="22"/>
        <v>0.5540619</v>
      </c>
      <c r="R135" s="572">
        <f t="shared" si="22"/>
        <v>0.29470069999999998</v>
      </c>
      <c r="S135" s="572">
        <f t="shared" si="22"/>
        <v>3.4485000000000002E-2</v>
      </c>
      <c r="T135" s="383"/>
      <c r="U135" s="383"/>
      <c r="V135" s="383"/>
      <c r="W135" s="383"/>
      <c r="X135" s="383"/>
    </row>
    <row r="136" spans="1:24" ht="15.75" x14ac:dyDescent="0.25">
      <c r="A136" s="566">
        <v>41745</v>
      </c>
      <c r="B136" s="38">
        <f t="shared" si="20"/>
        <v>141.78684831770966</v>
      </c>
      <c r="C136" s="423">
        <f t="shared" si="23"/>
        <v>143.54278378939941</v>
      </c>
      <c r="E136" s="383"/>
      <c r="F136" s="568"/>
      <c r="G136" s="568"/>
      <c r="H136" s="572">
        <f t="shared" si="22"/>
        <v>1.7267228999999999</v>
      </c>
      <c r="I136" s="572">
        <f t="shared" si="22"/>
        <v>1.6057493999999999</v>
      </c>
      <c r="J136" s="572">
        <f t="shared" si="22"/>
        <v>1.1041474</v>
      </c>
      <c r="K136" s="572">
        <f t="shared" si="22"/>
        <v>1.3536547999999999</v>
      </c>
      <c r="L136" s="572">
        <f t="shared" si="22"/>
        <v>1.3873655999999999</v>
      </c>
      <c r="M136" s="572">
        <f t="shared" si="22"/>
        <v>1.4799515999999999</v>
      </c>
      <c r="N136" s="572">
        <f t="shared" si="22"/>
        <v>2.0292257999999999</v>
      </c>
      <c r="O136" s="572">
        <f t="shared" si="22"/>
        <v>1.9423319999999999</v>
      </c>
      <c r="P136" s="572">
        <f t="shared" si="22"/>
        <v>1.2950169999999999</v>
      </c>
      <c r="Q136" s="572">
        <f t="shared" si="22"/>
        <v>1.6231038</v>
      </c>
      <c r="R136" s="572">
        <f t="shared" si="22"/>
        <v>1.0827813999999998</v>
      </c>
      <c r="S136" s="572">
        <f t="shared" si="22"/>
        <v>1.7778932999999999</v>
      </c>
      <c r="T136" s="383"/>
      <c r="U136" s="383"/>
      <c r="V136" s="383"/>
      <c r="W136" s="383"/>
      <c r="X136" s="383"/>
    </row>
    <row r="137" spans="1:24" x14ac:dyDescent="0.2">
      <c r="A137" s="566">
        <v>41775</v>
      </c>
      <c r="B137" s="38">
        <f t="shared" si="20"/>
        <v>141.78684831770966</v>
      </c>
      <c r="C137" s="423">
        <f t="shared" si="23"/>
        <v>143.54278378939941</v>
      </c>
      <c r="E137" s="383"/>
      <c r="F137" s="383"/>
      <c r="G137" s="383"/>
      <c r="H137" s="383"/>
      <c r="I137" s="383"/>
      <c r="J137" s="383"/>
      <c r="K137" s="383"/>
      <c r="L137" s="383"/>
      <c r="M137" s="383"/>
      <c r="N137" s="383"/>
      <c r="O137" s="383"/>
      <c r="P137" s="383"/>
      <c r="Q137" s="383"/>
      <c r="R137" s="383"/>
      <c r="S137" s="383"/>
      <c r="T137" s="383"/>
      <c r="U137" s="383"/>
      <c r="V137" s="383"/>
      <c r="W137" s="383"/>
      <c r="X137" s="383"/>
    </row>
    <row r="138" spans="1:24" x14ac:dyDescent="0.2">
      <c r="A138" s="566">
        <v>41806</v>
      </c>
      <c r="B138" s="38">
        <f t="shared" si="20"/>
        <v>141.78684831770966</v>
      </c>
      <c r="C138" s="423">
        <f t="shared" si="23"/>
        <v>143.54278378939941</v>
      </c>
    </row>
    <row r="139" spans="1:24" ht="15.75" x14ac:dyDescent="0.25">
      <c r="A139" s="566">
        <v>41836</v>
      </c>
      <c r="B139" s="38">
        <f t="shared" si="20"/>
        <v>141.78684831770966</v>
      </c>
      <c r="C139" s="423">
        <f t="shared" si="23"/>
        <v>143.54278378939941</v>
      </c>
      <c r="F139" s="401" t="s">
        <v>866</v>
      </c>
    </row>
    <row r="140" spans="1:24" ht="15.75" x14ac:dyDescent="0.25">
      <c r="A140" s="566">
        <v>41867</v>
      </c>
      <c r="B140" s="38">
        <f t="shared" si="20"/>
        <v>141.78684831770966</v>
      </c>
      <c r="C140" s="423">
        <f t="shared" si="23"/>
        <v>143.54278378939941</v>
      </c>
      <c r="H140" s="402" t="s">
        <v>856</v>
      </c>
      <c r="I140" s="393">
        <f>SUM(H152:S158)</f>
        <v>38.695365000000002</v>
      </c>
      <c r="J140" s="402" t="s">
        <v>857</v>
      </c>
      <c r="K140" s="52">
        <f>+I140/I119</f>
        <v>1.048371633035351</v>
      </c>
      <c r="L140" s="387"/>
    </row>
    <row r="141" spans="1:24" ht="15.75" x14ac:dyDescent="0.25">
      <c r="A141" s="566">
        <v>41898</v>
      </c>
      <c r="B141" s="38">
        <f t="shared" si="20"/>
        <v>141.78684831770966</v>
      </c>
      <c r="C141" s="423">
        <f t="shared" si="23"/>
        <v>143.54278378939941</v>
      </c>
      <c r="H141" s="402"/>
      <c r="I141" s="393"/>
      <c r="J141" s="402"/>
    </row>
    <row r="142" spans="1:24" ht="15.75" x14ac:dyDescent="0.25">
      <c r="A142" s="566">
        <v>41928</v>
      </c>
      <c r="B142" s="38">
        <f t="shared" si="20"/>
        <v>141.78684831770966</v>
      </c>
      <c r="C142" s="423">
        <f t="shared" si="23"/>
        <v>143.54278378939941</v>
      </c>
      <c r="F142" s="401" t="s">
        <v>858</v>
      </c>
      <c r="H142" s="402"/>
      <c r="I142" s="393"/>
      <c r="J142" s="402"/>
    </row>
    <row r="143" spans="1:24" x14ac:dyDescent="0.2">
      <c r="A143" s="566">
        <v>41959</v>
      </c>
      <c r="B143" s="38">
        <f t="shared" si="20"/>
        <v>141.78684831770966</v>
      </c>
      <c r="C143" s="423">
        <f t="shared" si="23"/>
        <v>143.54278378939941</v>
      </c>
    </row>
    <row r="144" spans="1:24" ht="15.75" x14ac:dyDescent="0.25">
      <c r="A144" s="566">
        <v>41989</v>
      </c>
      <c r="B144" s="38">
        <f t="shared" si="20"/>
        <v>141.78684831770966</v>
      </c>
      <c r="C144" s="423">
        <f t="shared" si="23"/>
        <v>143.54278378939941</v>
      </c>
      <c r="F144" s="38"/>
      <c r="G144" s="38"/>
      <c r="H144" s="575" t="s">
        <v>859</v>
      </c>
      <c r="I144" s="575" t="s">
        <v>859</v>
      </c>
      <c r="J144" s="575" t="s">
        <v>860</v>
      </c>
      <c r="K144" s="575" t="s">
        <v>860</v>
      </c>
      <c r="L144" s="575" t="s">
        <v>860</v>
      </c>
      <c r="M144" s="575" t="s">
        <v>860</v>
      </c>
      <c r="N144" s="575" t="s">
        <v>861</v>
      </c>
      <c r="O144" s="575" t="s">
        <v>861</v>
      </c>
      <c r="P144" s="575" t="s">
        <v>860</v>
      </c>
      <c r="Q144" s="575" t="s">
        <v>860</v>
      </c>
      <c r="R144" s="38"/>
      <c r="S144" s="38"/>
    </row>
    <row r="145" spans="1:19" ht="15.75" x14ac:dyDescent="0.25">
      <c r="A145" s="566">
        <v>42020</v>
      </c>
      <c r="B145" s="38">
        <f t="shared" si="20"/>
        <v>141.78684831770966</v>
      </c>
      <c r="C145" s="423">
        <f t="shared" si="23"/>
        <v>143.54278378939941</v>
      </c>
      <c r="F145" s="38"/>
      <c r="G145" s="38"/>
      <c r="H145" s="575" t="s">
        <v>859</v>
      </c>
      <c r="I145" s="575" t="s">
        <v>859</v>
      </c>
      <c r="J145" s="575" t="s">
        <v>860</v>
      </c>
      <c r="K145" s="575" t="s">
        <v>860</v>
      </c>
      <c r="L145" s="575" t="s">
        <v>860</v>
      </c>
      <c r="M145" s="575" t="s">
        <v>860</v>
      </c>
      <c r="N145" s="575" t="s">
        <v>861</v>
      </c>
      <c r="O145" s="575" t="s">
        <v>861</v>
      </c>
      <c r="P145" s="575" t="s">
        <v>860</v>
      </c>
      <c r="Q145" s="575" t="s">
        <v>860</v>
      </c>
      <c r="R145" s="575" t="s">
        <v>860</v>
      </c>
      <c r="S145" s="575" t="s">
        <v>859</v>
      </c>
    </row>
    <row r="146" spans="1:19" ht="15.75" x14ac:dyDescent="0.25">
      <c r="A146" s="566">
        <v>42051</v>
      </c>
      <c r="B146" s="38">
        <f>+B145*(1-11.8%)</f>
        <v>125.05600021621991</v>
      </c>
      <c r="C146" s="423">
        <f t="shared" si="23"/>
        <v>126.60473530225029</v>
      </c>
      <c r="F146" s="575" t="s">
        <v>850</v>
      </c>
      <c r="G146" s="575" t="s">
        <v>851</v>
      </c>
      <c r="H146" s="576">
        <v>106.15</v>
      </c>
      <c r="I146" s="575">
        <f t="shared" ref="I146:I151" si="24">H146</f>
        <v>106.15</v>
      </c>
      <c r="J146" s="576">
        <v>47.93</v>
      </c>
      <c r="K146" s="575">
        <f>J146</f>
        <v>47.93</v>
      </c>
      <c r="L146" s="575">
        <f>K146</f>
        <v>47.93</v>
      </c>
      <c r="M146" s="575">
        <f>L146</f>
        <v>47.93</v>
      </c>
      <c r="N146" s="576">
        <v>116.96</v>
      </c>
      <c r="O146" s="575">
        <f t="shared" ref="O146:O151" si="25">N146</f>
        <v>116.96</v>
      </c>
      <c r="P146" s="575">
        <f t="shared" ref="P146:R151" si="26">J146</f>
        <v>47.93</v>
      </c>
      <c r="Q146" s="575">
        <f t="shared" si="26"/>
        <v>47.93</v>
      </c>
      <c r="R146" s="575">
        <f t="shared" si="26"/>
        <v>47.93</v>
      </c>
      <c r="S146" s="575">
        <f t="shared" ref="S146:S151" si="27">H146</f>
        <v>106.15</v>
      </c>
    </row>
    <row r="147" spans="1:19" ht="15.75" x14ac:dyDescent="0.25">
      <c r="A147" s="566">
        <v>42079</v>
      </c>
      <c r="B147" s="38">
        <f t="shared" ref="B147:B152" si="28">+B146</f>
        <v>125.05600021621991</v>
      </c>
      <c r="C147" s="423">
        <f t="shared" si="23"/>
        <v>126.60473530225029</v>
      </c>
      <c r="F147" s="575" t="s">
        <v>852</v>
      </c>
      <c r="G147" s="575" t="s">
        <v>851</v>
      </c>
      <c r="H147" s="576">
        <v>61.72</v>
      </c>
      <c r="I147" s="575">
        <f t="shared" si="24"/>
        <v>61.72</v>
      </c>
      <c r="J147" s="576">
        <v>38.200000000000003</v>
      </c>
      <c r="K147" s="575">
        <f t="shared" ref="K147:M151" si="29">J147</f>
        <v>38.200000000000003</v>
      </c>
      <c r="L147" s="575">
        <f t="shared" si="29"/>
        <v>38.200000000000003</v>
      </c>
      <c r="M147" s="575">
        <f t="shared" si="29"/>
        <v>38.200000000000003</v>
      </c>
      <c r="N147" s="576">
        <v>48.72</v>
      </c>
      <c r="O147" s="575">
        <f t="shared" si="25"/>
        <v>48.72</v>
      </c>
      <c r="P147" s="575">
        <f t="shared" si="26"/>
        <v>38.200000000000003</v>
      </c>
      <c r="Q147" s="575">
        <f t="shared" si="26"/>
        <v>38.200000000000003</v>
      </c>
      <c r="R147" s="575">
        <f t="shared" si="26"/>
        <v>38.200000000000003</v>
      </c>
      <c r="S147" s="575">
        <f t="shared" si="27"/>
        <v>61.72</v>
      </c>
    </row>
    <row r="148" spans="1:19" ht="15.75" x14ac:dyDescent="0.25">
      <c r="A148" s="566">
        <v>42110</v>
      </c>
      <c r="B148" s="38">
        <f t="shared" si="28"/>
        <v>125.05600021621991</v>
      </c>
      <c r="C148" s="423">
        <f t="shared" si="23"/>
        <v>126.60473530225029</v>
      </c>
      <c r="F148" s="575" t="s">
        <v>853</v>
      </c>
      <c r="G148" s="575" t="s">
        <v>851</v>
      </c>
      <c r="H148" s="576">
        <v>34.76</v>
      </c>
      <c r="I148" s="575">
        <f t="shared" si="24"/>
        <v>34.76</v>
      </c>
      <c r="J148" s="576">
        <v>30.15</v>
      </c>
      <c r="K148" s="575">
        <f t="shared" si="29"/>
        <v>30.15</v>
      </c>
      <c r="L148" s="575">
        <f t="shared" si="29"/>
        <v>30.15</v>
      </c>
      <c r="M148" s="575">
        <f t="shared" si="29"/>
        <v>30.15</v>
      </c>
      <c r="N148" s="576">
        <v>31.19</v>
      </c>
      <c r="O148" s="575">
        <f t="shared" si="25"/>
        <v>31.19</v>
      </c>
      <c r="P148" s="575">
        <f t="shared" si="26"/>
        <v>30.15</v>
      </c>
      <c r="Q148" s="575">
        <f t="shared" si="26"/>
        <v>30.15</v>
      </c>
      <c r="R148" s="575">
        <f t="shared" si="26"/>
        <v>30.15</v>
      </c>
      <c r="S148" s="575">
        <f t="shared" si="27"/>
        <v>34.76</v>
      </c>
    </row>
    <row r="149" spans="1:19" ht="15.75" x14ac:dyDescent="0.25">
      <c r="A149" s="566">
        <v>42140</v>
      </c>
      <c r="B149" s="38">
        <f t="shared" si="28"/>
        <v>125.05600021621991</v>
      </c>
      <c r="C149" s="423">
        <f t="shared" si="23"/>
        <v>126.60473530225029</v>
      </c>
      <c r="F149" s="575" t="s">
        <v>850</v>
      </c>
      <c r="G149" s="575" t="s">
        <v>854</v>
      </c>
      <c r="H149" s="576">
        <v>96.01</v>
      </c>
      <c r="I149" s="575">
        <f t="shared" si="24"/>
        <v>96.01</v>
      </c>
      <c r="J149" s="576">
        <v>41.42</v>
      </c>
      <c r="K149" s="575">
        <f t="shared" si="29"/>
        <v>41.42</v>
      </c>
      <c r="L149" s="575">
        <f t="shared" si="29"/>
        <v>41.42</v>
      </c>
      <c r="M149" s="575">
        <f t="shared" si="29"/>
        <v>41.42</v>
      </c>
      <c r="N149" s="576">
        <v>105.17</v>
      </c>
      <c r="O149" s="575">
        <f t="shared" si="25"/>
        <v>105.17</v>
      </c>
      <c r="P149" s="575">
        <f t="shared" si="26"/>
        <v>41.42</v>
      </c>
      <c r="Q149" s="575">
        <f t="shared" si="26"/>
        <v>41.42</v>
      </c>
      <c r="R149" s="575">
        <f t="shared" si="26"/>
        <v>41.42</v>
      </c>
      <c r="S149" s="575">
        <f t="shared" si="27"/>
        <v>96.01</v>
      </c>
    </row>
    <row r="150" spans="1:19" ht="15.75" x14ac:dyDescent="0.25">
      <c r="A150" s="566">
        <v>42171</v>
      </c>
      <c r="B150" s="38">
        <f t="shared" si="28"/>
        <v>125.05600021621991</v>
      </c>
      <c r="C150" s="423">
        <f t="shared" si="23"/>
        <v>126.60473530225029</v>
      </c>
      <c r="F150" s="575" t="s">
        <v>852</v>
      </c>
      <c r="G150" s="575" t="s">
        <v>854</v>
      </c>
      <c r="H150" s="576">
        <v>54.87</v>
      </c>
      <c r="I150" s="575">
        <f t="shared" si="24"/>
        <v>54.87</v>
      </c>
      <c r="J150" s="576">
        <v>32.24</v>
      </c>
      <c r="K150" s="575">
        <f t="shared" si="29"/>
        <v>32.24</v>
      </c>
      <c r="L150" s="575">
        <f t="shared" si="29"/>
        <v>32.24</v>
      </c>
      <c r="M150" s="575">
        <f t="shared" si="29"/>
        <v>32.24</v>
      </c>
      <c r="N150" s="576">
        <v>41.56</v>
      </c>
      <c r="O150" s="575">
        <f t="shared" si="25"/>
        <v>41.56</v>
      </c>
      <c r="P150" s="575">
        <f t="shared" si="26"/>
        <v>32.24</v>
      </c>
      <c r="Q150" s="575">
        <f t="shared" si="26"/>
        <v>32.24</v>
      </c>
      <c r="R150" s="575">
        <f t="shared" si="26"/>
        <v>32.24</v>
      </c>
      <c r="S150" s="575">
        <f t="shared" si="27"/>
        <v>54.87</v>
      </c>
    </row>
    <row r="151" spans="1:19" ht="15.75" x14ac:dyDescent="0.25">
      <c r="A151" s="566">
        <v>42201</v>
      </c>
      <c r="B151" s="38">
        <f t="shared" si="28"/>
        <v>125.05600021621991</v>
      </c>
      <c r="C151" s="423">
        <f>+C150</f>
        <v>126.60473530225029</v>
      </c>
      <c r="F151" s="575" t="s">
        <v>853</v>
      </c>
      <c r="G151" s="575" t="s">
        <v>854</v>
      </c>
      <c r="H151" s="576">
        <v>29.18</v>
      </c>
      <c r="I151" s="575">
        <f t="shared" si="24"/>
        <v>29.18</v>
      </c>
      <c r="J151" s="576">
        <v>24.92</v>
      </c>
      <c r="K151" s="575">
        <f t="shared" si="29"/>
        <v>24.92</v>
      </c>
      <c r="L151" s="575">
        <f t="shared" si="29"/>
        <v>24.92</v>
      </c>
      <c r="M151" s="575">
        <f t="shared" si="29"/>
        <v>24.92</v>
      </c>
      <c r="N151" s="576">
        <v>25.52</v>
      </c>
      <c r="O151" s="575">
        <f t="shared" si="25"/>
        <v>25.52</v>
      </c>
      <c r="P151" s="575">
        <f t="shared" si="26"/>
        <v>24.92</v>
      </c>
      <c r="Q151" s="575">
        <f t="shared" si="26"/>
        <v>24.92</v>
      </c>
      <c r="R151" s="575">
        <f t="shared" si="26"/>
        <v>24.92</v>
      </c>
      <c r="S151" s="575">
        <f t="shared" si="27"/>
        <v>29.18</v>
      </c>
    </row>
    <row r="152" spans="1:19" ht="15.75" x14ac:dyDescent="0.25">
      <c r="A152" s="566">
        <v>42232</v>
      </c>
      <c r="B152" s="38">
        <f t="shared" si="28"/>
        <v>125.05600021621991</v>
      </c>
      <c r="C152" s="423">
        <f>+B152/$E$1*100</f>
        <v>126.60473530225029</v>
      </c>
      <c r="H152" s="396"/>
      <c r="I152" s="396"/>
      <c r="J152" s="396"/>
      <c r="K152" s="396"/>
      <c r="L152" s="396"/>
      <c r="M152" s="396"/>
      <c r="N152" s="396"/>
      <c r="O152" s="396"/>
      <c r="P152" s="396"/>
      <c r="Q152" s="396"/>
    </row>
    <row r="153" spans="1:19" ht="15.75" x14ac:dyDescent="0.25">
      <c r="A153" s="566">
        <v>42263</v>
      </c>
      <c r="B153" s="38">
        <f>+B152</f>
        <v>125.05600021621991</v>
      </c>
      <c r="C153" s="423">
        <f>+B153/$E$1*100</f>
        <v>126.60473530225029</v>
      </c>
      <c r="F153" s="38"/>
      <c r="G153" s="38"/>
      <c r="H153" s="572">
        <f t="shared" ref="H153:Q153" si="30">H146*H69</f>
        <v>7.430500000000001E-2</v>
      </c>
      <c r="I153" s="572">
        <f t="shared" si="30"/>
        <v>7.1120500000000003E-2</v>
      </c>
      <c r="J153" s="572">
        <f t="shared" si="30"/>
        <v>0.19124069999999999</v>
      </c>
      <c r="K153" s="572">
        <f t="shared" si="30"/>
        <v>0.21328849999999999</v>
      </c>
      <c r="L153" s="572">
        <f t="shared" si="30"/>
        <v>0.24827739999999998</v>
      </c>
      <c r="M153" s="572">
        <f t="shared" si="30"/>
        <v>0.2942902</v>
      </c>
      <c r="N153" s="572">
        <f t="shared" si="30"/>
        <v>0.19064479999999998</v>
      </c>
      <c r="O153" s="572">
        <f t="shared" si="30"/>
        <v>0.14152159999999997</v>
      </c>
      <c r="P153" s="572">
        <f t="shared" si="30"/>
        <v>0.24779809999999999</v>
      </c>
      <c r="Q153" s="572">
        <f t="shared" si="30"/>
        <v>0.19219929999999999</v>
      </c>
      <c r="R153" s="577">
        <f>+R146*R69</f>
        <v>0.1907614</v>
      </c>
      <c r="S153" s="577">
        <f>+S146*S69</f>
        <v>0.10402700000000001</v>
      </c>
    </row>
    <row r="154" spans="1:19" ht="15.75" x14ac:dyDescent="0.25">
      <c r="A154" s="566">
        <v>42293</v>
      </c>
      <c r="B154" s="38">
        <f>+B153*(1-5.89%)</f>
        <v>117.69020180348457</v>
      </c>
      <c r="C154" s="423">
        <f>+B154/$E$1*100</f>
        <v>119.14771639294777</v>
      </c>
      <c r="F154" s="38"/>
      <c r="G154" s="38"/>
      <c r="H154" s="572">
        <f t="shared" ref="H154:Q158" si="31">H147*H70</f>
        <v>4.1352399999999997E-2</v>
      </c>
      <c r="I154" s="572">
        <f t="shared" si="31"/>
        <v>4.1969600000000003E-2</v>
      </c>
      <c r="J154" s="572">
        <f t="shared" si="31"/>
        <v>0.11994800000000001</v>
      </c>
      <c r="K154" s="572">
        <f t="shared" si="31"/>
        <v>0.16158600000000004</v>
      </c>
      <c r="L154" s="572">
        <f t="shared" si="31"/>
        <v>0.12758800000000001</v>
      </c>
      <c r="M154" s="572">
        <f t="shared" si="31"/>
        <v>0.13522800000000001</v>
      </c>
      <c r="N154" s="572">
        <f t="shared" si="31"/>
        <v>0.15005759999999999</v>
      </c>
      <c r="O154" s="572">
        <f t="shared" si="31"/>
        <v>0.16954559999999999</v>
      </c>
      <c r="P154" s="572">
        <f t="shared" si="31"/>
        <v>0.137902</v>
      </c>
      <c r="Q154" s="572">
        <f t="shared" si="31"/>
        <v>0.182978</v>
      </c>
      <c r="R154" s="577">
        <f t="shared" ref="R154:S158" si="32">+R147*R70</f>
        <v>9.1298000000000018E-2</v>
      </c>
      <c r="S154" s="577">
        <f t="shared" si="32"/>
        <v>2.28364E-2</v>
      </c>
    </row>
    <row r="155" spans="1:19" ht="15.75" x14ac:dyDescent="0.25">
      <c r="A155" s="566">
        <v>42324</v>
      </c>
      <c r="B155" s="38">
        <f>+B154</f>
        <v>117.69020180348457</v>
      </c>
      <c r="C155" s="423">
        <f>+C154</f>
        <v>119.14771639294777</v>
      </c>
      <c r="F155" s="38"/>
      <c r="G155" s="38"/>
      <c r="H155" s="572">
        <f t="shared" si="31"/>
        <v>0.45466079999999998</v>
      </c>
      <c r="I155" s="572">
        <f t="shared" si="31"/>
        <v>0.42754799999999998</v>
      </c>
      <c r="J155" s="572">
        <f t="shared" si="31"/>
        <v>0.28099799999999997</v>
      </c>
      <c r="K155" s="572">
        <f t="shared" si="31"/>
        <v>0.37174950000000001</v>
      </c>
      <c r="L155" s="572">
        <f t="shared" si="31"/>
        <v>0.34220250000000002</v>
      </c>
      <c r="M155" s="572">
        <f t="shared" si="31"/>
        <v>0.36210149999999997</v>
      </c>
      <c r="N155" s="572">
        <f t="shared" si="31"/>
        <v>0.52118489999999995</v>
      </c>
      <c r="O155" s="572">
        <f t="shared" si="31"/>
        <v>0.51525880000000002</v>
      </c>
      <c r="P155" s="572">
        <f t="shared" si="31"/>
        <v>0.34220250000000002</v>
      </c>
      <c r="Q155" s="572">
        <f t="shared" si="31"/>
        <v>0.45074249999999999</v>
      </c>
      <c r="R155" s="577">
        <f t="shared" si="32"/>
        <v>0.28371150000000001</v>
      </c>
      <c r="S155" s="577">
        <f t="shared" si="32"/>
        <v>0.4567464</v>
      </c>
    </row>
    <row r="156" spans="1:19" ht="15.75" x14ac:dyDescent="0.25">
      <c r="A156" s="566">
        <v>42354</v>
      </c>
      <c r="B156" s="38">
        <f>+B155</f>
        <v>117.69020180348457</v>
      </c>
      <c r="C156" s="423">
        <f>+B156/$E$1*100</f>
        <v>119.14771639294777</v>
      </c>
      <c r="F156" s="38"/>
      <c r="G156" s="38"/>
      <c r="H156" s="572">
        <f t="shared" si="31"/>
        <v>0.20162099999999999</v>
      </c>
      <c r="I156" s="572">
        <f t="shared" si="31"/>
        <v>0.18049880000000001</v>
      </c>
      <c r="J156" s="572">
        <f t="shared" si="31"/>
        <v>0.54632980000000009</v>
      </c>
      <c r="K156" s="572">
        <f t="shared" si="31"/>
        <v>0.63621120000000009</v>
      </c>
      <c r="L156" s="572">
        <f t="shared" si="31"/>
        <v>0.81141780000000008</v>
      </c>
      <c r="M156" s="572">
        <f t="shared" si="31"/>
        <v>0.96715700000000004</v>
      </c>
      <c r="N156" s="572">
        <f t="shared" si="31"/>
        <v>0.55950440000000001</v>
      </c>
      <c r="O156" s="572">
        <f t="shared" si="31"/>
        <v>0.36388819999999999</v>
      </c>
      <c r="P156" s="572">
        <f t="shared" si="31"/>
        <v>0.67638860000000001</v>
      </c>
      <c r="Q156" s="572">
        <f t="shared" si="31"/>
        <v>0.54467300000000007</v>
      </c>
      <c r="R156" s="577">
        <f t="shared" si="32"/>
        <v>0.56828239999999997</v>
      </c>
      <c r="S156" s="577">
        <f t="shared" si="32"/>
        <v>0.28034920000000002</v>
      </c>
    </row>
    <row r="157" spans="1:19" ht="15.75" x14ac:dyDescent="0.25">
      <c r="F157" s="38"/>
      <c r="G157" s="38"/>
      <c r="H157" s="572">
        <f t="shared" si="31"/>
        <v>8.7243299999999996E-2</v>
      </c>
      <c r="I157" s="572">
        <f t="shared" si="31"/>
        <v>8.8340700000000008E-2</v>
      </c>
      <c r="J157" s="572">
        <f t="shared" si="31"/>
        <v>0.42105440000000005</v>
      </c>
      <c r="K157" s="572">
        <f t="shared" si="31"/>
        <v>0.50487840000000006</v>
      </c>
      <c r="L157" s="572">
        <f t="shared" si="31"/>
        <v>0.46522320000000006</v>
      </c>
      <c r="M157" s="572">
        <f t="shared" si="31"/>
        <v>0.49262720000000004</v>
      </c>
      <c r="N157" s="572">
        <f t="shared" si="31"/>
        <v>0.55565720000000007</v>
      </c>
      <c r="O157" s="572">
        <f t="shared" si="31"/>
        <v>0.5938924000000001</v>
      </c>
      <c r="P157" s="572">
        <f t="shared" si="31"/>
        <v>0.55678480000000008</v>
      </c>
      <c r="Q157" s="572">
        <f t="shared" si="31"/>
        <v>0.58128720000000011</v>
      </c>
      <c r="R157" s="577">
        <f t="shared" si="32"/>
        <v>0.3091816</v>
      </c>
      <c r="S157" s="577">
        <f t="shared" si="32"/>
        <v>3.6214199999999995E-2</v>
      </c>
    </row>
    <row r="158" spans="1:19" ht="15.75" x14ac:dyDescent="0.25">
      <c r="F158" s="38"/>
      <c r="G158" s="38"/>
      <c r="H158" s="572">
        <f t="shared" si="31"/>
        <v>1.8117862</v>
      </c>
      <c r="I158" s="572">
        <f t="shared" si="31"/>
        <v>1.6848532000000001</v>
      </c>
      <c r="J158" s="572">
        <f t="shared" si="31"/>
        <v>1.1590292000000002</v>
      </c>
      <c r="K158" s="572">
        <f t="shared" si="31"/>
        <v>1.4209384</v>
      </c>
      <c r="L158" s="572">
        <f t="shared" si="31"/>
        <v>1.4563248</v>
      </c>
      <c r="M158" s="572">
        <f t="shared" si="31"/>
        <v>1.5535128</v>
      </c>
      <c r="N158" s="572">
        <f t="shared" si="31"/>
        <v>2.1276023999999998</v>
      </c>
      <c r="O158" s="572">
        <f t="shared" si="31"/>
        <v>2.0364960000000001</v>
      </c>
      <c r="P158" s="572">
        <f t="shared" si="31"/>
        <v>1.3593860000000002</v>
      </c>
      <c r="Q158" s="572">
        <f t="shared" si="31"/>
        <v>1.7037804000000001</v>
      </c>
      <c r="R158" s="577">
        <f t="shared" si="32"/>
        <v>1.1366012000000001</v>
      </c>
      <c r="S158" s="577">
        <f t="shared" si="32"/>
        <v>1.8654774000000001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3"/>
  <dimension ref="A1:U85"/>
  <sheetViews>
    <sheetView rightToLeft="1" workbookViewId="0">
      <pane xSplit="1" ySplit="7" topLeftCell="B65" activePane="bottomRight" state="frozen"/>
      <selection activeCell="E49" sqref="E49"/>
      <selection pane="topRight" activeCell="E49" sqref="E49"/>
      <selection pane="bottomLeft" activeCell="E49" sqref="E49"/>
      <selection pane="bottomRight" activeCell="C72" sqref="C72"/>
    </sheetView>
  </sheetViews>
  <sheetFormatPr defaultRowHeight="12.75" x14ac:dyDescent="0.2"/>
  <cols>
    <col min="1" max="1" width="5.5703125" bestFit="1" customWidth="1"/>
    <col min="2" max="2" width="13.5703125" bestFit="1" customWidth="1"/>
    <col min="3" max="4" width="15.42578125" bestFit="1" customWidth="1"/>
    <col min="5" max="5" width="21.7109375" bestFit="1" customWidth="1"/>
    <col min="6" max="8" width="13.5703125" bestFit="1" customWidth="1"/>
    <col min="9" max="9" width="14" bestFit="1" customWidth="1"/>
    <col min="10" max="13" width="13.5703125" bestFit="1" customWidth="1"/>
    <col min="14" max="14" width="5.5703125" bestFit="1" customWidth="1"/>
  </cols>
  <sheetData>
    <row r="1" spans="1:14" ht="15" customHeight="1" x14ac:dyDescent="0.25">
      <c r="A1" s="1808" t="s">
        <v>472</v>
      </c>
      <c r="B1" s="1808"/>
      <c r="C1" s="1808"/>
      <c r="D1" s="1808"/>
      <c r="E1" s="1808"/>
      <c r="F1" s="1808"/>
      <c r="G1" s="1808"/>
      <c r="H1" s="1808"/>
      <c r="I1" s="1808"/>
      <c r="J1" s="1808"/>
      <c r="K1" s="1808"/>
      <c r="L1" s="1808"/>
      <c r="M1" s="1808"/>
      <c r="N1" s="1808"/>
    </row>
    <row r="2" spans="1:14" ht="15" customHeight="1" x14ac:dyDescent="0.25">
      <c r="A2" s="1809" t="s">
        <v>475</v>
      </c>
      <c r="B2" s="1809"/>
      <c r="C2" s="1809"/>
      <c r="D2" s="1809"/>
      <c r="E2" s="1809"/>
      <c r="F2" s="1809"/>
      <c r="G2" s="1809"/>
      <c r="H2" s="1809"/>
      <c r="I2" s="1809"/>
      <c r="J2" s="1809"/>
      <c r="K2" s="1809"/>
      <c r="L2" s="1809"/>
      <c r="M2" s="1809"/>
      <c r="N2" s="1809"/>
    </row>
    <row r="3" spans="1:14" ht="15" customHeight="1" x14ac:dyDescent="0.25">
      <c r="A3" s="1809" t="s">
        <v>476</v>
      </c>
      <c r="B3" s="1809"/>
      <c r="C3" s="1809"/>
      <c r="D3" s="1809"/>
      <c r="E3" s="1809"/>
      <c r="F3" s="1809"/>
      <c r="G3" s="1809"/>
      <c r="H3" s="1809"/>
      <c r="I3" s="1809"/>
      <c r="J3" s="1809"/>
      <c r="K3" s="1809"/>
      <c r="L3" s="1809"/>
      <c r="M3" s="1809"/>
      <c r="N3" s="1809"/>
    </row>
    <row r="4" spans="1:14" ht="15" customHeight="1" x14ac:dyDescent="0.25">
      <c r="A4" s="1809" t="s">
        <v>847</v>
      </c>
      <c r="B4" s="1809"/>
      <c r="C4" s="1809"/>
      <c r="D4" s="1809"/>
      <c r="E4" s="1809"/>
      <c r="F4" s="1809"/>
      <c r="G4" s="1809"/>
      <c r="H4" s="1809"/>
      <c r="I4" s="1809"/>
      <c r="J4" s="1809"/>
      <c r="K4" s="1809"/>
      <c r="L4" s="1809"/>
      <c r="M4" s="1809"/>
      <c r="N4" s="1809"/>
    </row>
    <row r="5" spans="1:14" ht="15" customHeight="1" x14ac:dyDescent="0.25">
      <c r="A5" s="1809" t="s">
        <v>848</v>
      </c>
      <c r="B5" s="1809"/>
      <c r="C5" s="1809"/>
      <c r="D5" s="1809"/>
      <c r="E5" s="1809"/>
      <c r="F5" s="1809"/>
      <c r="G5" s="1809"/>
      <c r="H5" s="1809"/>
      <c r="I5" s="1809"/>
      <c r="J5" s="1809"/>
      <c r="K5" s="1809"/>
      <c r="L5" s="1809"/>
      <c r="M5" s="1809"/>
      <c r="N5" s="1809"/>
    </row>
    <row r="6" spans="1:14" ht="15" customHeight="1" x14ac:dyDescent="0.25">
      <c r="A6" s="1807" t="s">
        <v>473</v>
      </c>
      <c r="B6" s="1807" t="s">
        <v>474</v>
      </c>
      <c r="C6" s="1807"/>
      <c r="D6" s="1807"/>
      <c r="E6" s="1807"/>
      <c r="F6" s="1807"/>
      <c r="G6" s="1807"/>
      <c r="H6" s="1807"/>
      <c r="I6" s="1807"/>
      <c r="J6" s="1807"/>
      <c r="K6" s="1807"/>
      <c r="L6" s="1807"/>
      <c r="M6" s="1807"/>
      <c r="N6" s="1807" t="s">
        <v>473</v>
      </c>
    </row>
    <row r="7" spans="1:14" ht="15" x14ac:dyDescent="0.25">
      <c r="A7" s="1807"/>
      <c r="B7" s="565" t="s">
        <v>460</v>
      </c>
      <c r="C7" s="565" t="s">
        <v>461</v>
      </c>
      <c r="D7" s="565" t="s">
        <v>462</v>
      </c>
      <c r="E7" s="565" t="s">
        <v>463</v>
      </c>
      <c r="F7" s="565" t="s">
        <v>464</v>
      </c>
      <c r="G7" s="565" t="s">
        <v>465</v>
      </c>
      <c r="H7" s="565" t="s">
        <v>466</v>
      </c>
      <c r="I7" s="565" t="s">
        <v>467</v>
      </c>
      <c r="J7" s="565" t="s">
        <v>468</v>
      </c>
      <c r="K7" s="565" t="s">
        <v>469</v>
      </c>
      <c r="L7" s="565" t="s">
        <v>470</v>
      </c>
      <c r="M7" s="565" t="s">
        <v>471</v>
      </c>
      <c r="N7" s="1807"/>
    </row>
    <row r="8" spans="1:14" ht="20.100000000000001" customHeight="1" x14ac:dyDescent="0.25">
      <c r="A8" s="562">
        <v>1951</v>
      </c>
      <c r="B8" s="562">
        <v>107</v>
      </c>
      <c r="C8" s="562">
        <v>105</v>
      </c>
      <c r="D8" s="562">
        <v>103</v>
      </c>
      <c r="E8" s="562">
        <v>100</v>
      </c>
      <c r="F8" s="563"/>
      <c r="G8" s="563"/>
      <c r="H8" s="563"/>
      <c r="I8" s="563"/>
      <c r="J8" s="563"/>
      <c r="K8" s="563"/>
      <c r="L8" s="563"/>
      <c r="M8" s="563"/>
      <c r="N8" s="562">
        <v>1951</v>
      </c>
    </row>
    <row r="9" spans="1:14" ht="15" x14ac:dyDescent="0.25">
      <c r="A9" s="562">
        <v>1952</v>
      </c>
      <c r="B9" s="562">
        <v>178</v>
      </c>
      <c r="C9" s="562">
        <v>175</v>
      </c>
      <c r="D9" s="562">
        <v>173</v>
      </c>
      <c r="E9" s="562">
        <v>169</v>
      </c>
      <c r="F9" s="562">
        <v>165</v>
      </c>
      <c r="G9" s="562">
        <v>162</v>
      </c>
      <c r="H9" s="562">
        <v>157</v>
      </c>
      <c r="I9" s="562">
        <v>150</v>
      </c>
      <c r="J9" s="562">
        <v>144</v>
      </c>
      <c r="K9" s="562">
        <v>132</v>
      </c>
      <c r="L9" s="562">
        <v>120</v>
      </c>
      <c r="M9" s="562">
        <v>113</v>
      </c>
      <c r="N9" s="562">
        <v>1952</v>
      </c>
    </row>
    <row r="10" spans="1:14" ht="15" x14ac:dyDescent="0.25">
      <c r="A10" s="562">
        <v>1953</v>
      </c>
      <c r="B10" s="562">
        <v>212</v>
      </c>
      <c r="C10" s="562">
        <v>208</v>
      </c>
      <c r="D10" s="562">
        <v>207</v>
      </c>
      <c r="E10" s="562">
        <v>205</v>
      </c>
      <c r="F10" s="562">
        <v>201</v>
      </c>
      <c r="G10" s="562">
        <v>200</v>
      </c>
      <c r="H10" s="562">
        <v>197</v>
      </c>
      <c r="I10" s="562">
        <v>191</v>
      </c>
      <c r="J10" s="562">
        <v>187</v>
      </c>
      <c r="K10" s="562">
        <v>184</v>
      </c>
      <c r="L10" s="562">
        <v>182</v>
      </c>
      <c r="M10" s="562">
        <v>181</v>
      </c>
      <c r="N10" s="562">
        <v>1953</v>
      </c>
    </row>
    <row r="11" spans="1:14" ht="15" x14ac:dyDescent="0.25">
      <c r="A11" s="562">
        <v>1954</v>
      </c>
      <c r="B11" s="562">
        <v>228</v>
      </c>
      <c r="C11" s="562">
        <v>228</v>
      </c>
      <c r="D11" s="562">
        <v>227</v>
      </c>
      <c r="E11" s="562">
        <v>227</v>
      </c>
      <c r="F11" s="562">
        <v>222</v>
      </c>
      <c r="G11" s="562">
        <v>217</v>
      </c>
      <c r="H11" s="562">
        <v>214</v>
      </c>
      <c r="I11" s="562">
        <v>218</v>
      </c>
      <c r="J11" s="562">
        <v>217</v>
      </c>
      <c r="K11" s="562">
        <v>217</v>
      </c>
      <c r="L11" s="562">
        <v>216</v>
      </c>
      <c r="M11" s="562">
        <v>214</v>
      </c>
      <c r="N11" s="562">
        <v>1954</v>
      </c>
    </row>
    <row r="12" spans="1:14" ht="15" x14ac:dyDescent="0.25">
      <c r="A12" s="562">
        <v>1955</v>
      </c>
      <c r="B12" s="562">
        <v>239</v>
      </c>
      <c r="C12" s="562">
        <v>236</v>
      </c>
      <c r="D12" s="562">
        <v>238</v>
      </c>
      <c r="E12" s="562">
        <v>239</v>
      </c>
      <c r="F12" s="562">
        <v>231</v>
      </c>
      <c r="G12" s="562">
        <v>233</v>
      </c>
      <c r="H12" s="562">
        <v>232</v>
      </c>
      <c r="I12" s="562">
        <v>230</v>
      </c>
      <c r="J12" s="562">
        <v>230</v>
      </c>
      <c r="K12" s="562">
        <v>229</v>
      </c>
      <c r="L12" s="562">
        <v>228</v>
      </c>
      <c r="M12" s="562">
        <v>228</v>
      </c>
      <c r="N12" s="562">
        <v>1955</v>
      </c>
    </row>
    <row r="13" spans="1:14" ht="20.100000000000001" customHeight="1" x14ac:dyDescent="0.25">
      <c r="A13" s="562">
        <v>1956</v>
      </c>
      <c r="B13" s="562">
        <v>250</v>
      </c>
      <c r="C13" s="562">
        <v>248</v>
      </c>
      <c r="D13" s="562">
        <v>259</v>
      </c>
      <c r="E13" s="562">
        <v>260</v>
      </c>
      <c r="F13" s="562">
        <v>247</v>
      </c>
      <c r="G13" s="562">
        <v>244</v>
      </c>
      <c r="H13" s="562">
        <v>249</v>
      </c>
      <c r="I13" s="562">
        <v>249</v>
      </c>
      <c r="J13" s="562">
        <v>246</v>
      </c>
      <c r="K13" s="562">
        <v>244</v>
      </c>
      <c r="L13" s="562">
        <v>239</v>
      </c>
      <c r="M13" s="562">
        <v>238</v>
      </c>
      <c r="N13" s="562">
        <v>1956</v>
      </c>
    </row>
    <row r="14" spans="1:14" ht="15" x14ac:dyDescent="0.25">
      <c r="A14" s="562">
        <v>1957</v>
      </c>
      <c r="B14" s="562">
        <v>263</v>
      </c>
      <c r="C14" s="562">
        <v>267</v>
      </c>
      <c r="D14" s="562">
        <v>268</v>
      </c>
      <c r="E14" s="562">
        <v>268</v>
      </c>
      <c r="F14" s="562">
        <v>269</v>
      </c>
      <c r="G14" s="562">
        <v>264</v>
      </c>
      <c r="H14" s="562">
        <v>258</v>
      </c>
      <c r="I14" s="562">
        <v>270</v>
      </c>
      <c r="J14" s="562">
        <v>265</v>
      </c>
      <c r="K14" s="562">
        <v>261</v>
      </c>
      <c r="L14" s="562">
        <v>259</v>
      </c>
      <c r="M14" s="562">
        <v>254</v>
      </c>
      <c r="N14" s="562">
        <v>1957</v>
      </c>
    </row>
    <row r="15" spans="1:14" ht="15" x14ac:dyDescent="0.25">
      <c r="A15" s="562">
        <v>1958</v>
      </c>
      <c r="B15" s="562">
        <v>274</v>
      </c>
      <c r="C15" s="562">
        <v>273</v>
      </c>
      <c r="D15" s="562">
        <v>280</v>
      </c>
      <c r="E15" s="562">
        <v>280</v>
      </c>
      <c r="F15" s="562">
        <v>274</v>
      </c>
      <c r="G15" s="562">
        <v>274</v>
      </c>
      <c r="H15" s="562">
        <v>267</v>
      </c>
      <c r="I15" s="562">
        <v>276</v>
      </c>
      <c r="J15" s="562">
        <v>272</v>
      </c>
      <c r="K15" s="562">
        <v>268</v>
      </c>
      <c r="L15" s="562">
        <v>269</v>
      </c>
      <c r="M15" s="562">
        <v>267</v>
      </c>
      <c r="N15" s="562">
        <v>1958</v>
      </c>
    </row>
    <row r="16" spans="1:14" ht="15" x14ac:dyDescent="0.25">
      <c r="A16" s="562">
        <v>1959</v>
      </c>
      <c r="B16" s="564">
        <v>279.70479999999998</v>
      </c>
      <c r="C16" s="564">
        <v>281.0813</v>
      </c>
      <c r="D16" s="564">
        <v>280.53070000000002</v>
      </c>
      <c r="E16" s="564">
        <v>275.57530000000003</v>
      </c>
      <c r="F16" s="564">
        <v>269.51870000000002</v>
      </c>
      <c r="G16" s="564">
        <v>269.79399999999998</v>
      </c>
      <c r="H16" s="564">
        <v>273.37290000000002</v>
      </c>
      <c r="I16" s="564">
        <v>287.1379</v>
      </c>
      <c r="J16" s="564">
        <v>276.40120000000002</v>
      </c>
      <c r="K16" s="564">
        <v>277.77769999999998</v>
      </c>
      <c r="L16" s="564">
        <v>277.50240000000002</v>
      </c>
      <c r="M16" s="562">
        <v>275.3</v>
      </c>
      <c r="N16" s="562">
        <v>1959</v>
      </c>
    </row>
    <row r="17" spans="1:14" ht="15" x14ac:dyDescent="0.25">
      <c r="A17" s="562">
        <v>1960</v>
      </c>
      <c r="B17" s="564">
        <v>289.34030000000001</v>
      </c>
      <c r="C17" s="564">
        <v>291.26740000000001</v>
      </c>
      <c r="D17" s="564">
        <v>292.36860000000001</v>
      </c>
      <c r="E17" s="564">
        <v>286.58730000000003</v>
      </c>
      <c r="F17" s="564">
        <v>279.42950000000002</v>
      </c>
      <c r="G17" s="564">
        <v>278.87889999999999</v>
      </c>
      <c r="H17" s="564">
        <v>277.50240000000002</v>
      </c>
      <c r="I17" s="564">
        <v>284.1096</v>
      </c>
      <c r="J17" s="564">
        <v>278.60359999999997</v>
      </c>
      <c r="K17" s="564">
        <v>281.90719999999999</v>
      </c>
      <c r="L17" s="564">
        <v>279.1542</v>
      </c>
      <c r="M17" s="564">
        <v>278.60359999999997</v>
      </c>
      <c r="N17" s="562">
        <v>1960</v>
      </c>
    </row>
    <row r="18" spans="1:14" ht="20.100000000000001" customHeight="1" x14ac:dyDescent="0.25">
      <c r="A18" s="562">
        <v>1961</v>
      </c>
      <c r="B18" s="564">
        <v>315.49380000000002</v>
      </c>
      <c r="C18" s="564">
        <v>311.36430000000001</v>
      </c>
      <c r="D18" s="564">
        <v>308.88659999999999</v>
      </c>
      <c r="E18" s="564">
        <v>304.75709999999998</v>
      </c>
      <c r="F18" s="564">
        <v>294.84629999999999</v>
      </c>
      <c r="G18" s="564">
        <v>297.32400000000001</v>
      </c>
      <c r="H18" s="564">
        <v>303.93119999999999</v>
      </c>
      <c r="I18" s="564">
        <v>314.66789999999997</v>
      </c>
      <c r="J18" s="564">
        <v>293.74509999999998</v>
      </c>
      <c r="K18" s="564">
        <v>294.0204</v>
      </c>
      <c r="L18" s="564">
        <v>293.46980000000002</v>
      </c>
      <c r="M18" s="564">
        <v>295.94749999999999</v>
      </c>
      <c r="N18" s="562">
        <v>1961</v>
      </c>
    </row>
    <row r="19" spans="1:14" ht="15" x14ac:dyDescent="0.25">
      <c r="A19" s="562">
        <v>1962</v>
      </c>
      <c r="B19" s="564">
        <v>347.70389999999998</v>
      </c>
      <c r="C19" s="564">
        <v>343.84969999999998</v>
      </c>
      <c r="D19" s="564">
        <v>341.37200000000001</v>
      </c>
      <c r="E19" s="564">
        <v>337.79309999999998</v>
      </c>
      <c r="F19" s="564">
        <v>330.0847</v>
      </c>
      <c r="G19" s="564">
        <v>326.23050000000001</v>
      </c>
      <c r="H19" s="564">
        <v>323.47750000000002</v>
      </c>
      <c r="I19" s="564">
        <v>327.88229999999999</v>
      </c>
      <c r="J19" s="564">
        <v>331.1859</v>
      </c>
      <c r="K19" s="564">
        <v>325.40460000000002</v>
      </c>
      <c r="L19" s="564">
        <v>318.24680000000001</v>
      </c>
      <c r="M19" s="564">
        <v>316.59500000000003</v>
      </c>
      <c r="N19" s="562">
        <v>1962</v>
      </c>
    </row>
    <row r="20" spans="1:14" ht="15" x14ac:dyDescent="0.25">
      <c r="A20" s="562">
        <v>1963</v>
      </c>
      <c r="B20" s="564">
        <v>365.0478</v>
      </c>
      <c r="C20" s="564">
        <v>363.1207</v>
      </c>
      <c r="D20" s="564">
        <v>356.23820000000001</v>
      </c>
      <c r="E20" s="564">
        <v>353.48520000000002</v>
      </c>
      <c r="F20" s="564">
        <v>346.60270000000003</v>
      </c>
      <c r="G20" s="564">
        <v>352.38400000000001</v>
      </c>
      <c r="H20" s="564">
        <v>352.1087</v>
      </c>
      <c r="I20" s="564">
        <v>355.137</v>
      </c>
      <c r="J20" s="564">
        <v>343.84969999999998</v>
      </c>
      <c r="K20" s="564">
        <v>347.70389999999998</v>
      </c>
      <c r="L20" s="564">
        <v>347.70389999999998</v>
      </c>
      <c r="M20" s="564">
        <v>347.70389999999998</v>
      </c>
      <c r="N20" s="562">
        <v>1963</v>
      </c>
    </row>
    <row r="21" spans="1:14" ht="15" x14ac:dyDescent="0.25">
      <c r="A21" s="562">
        <v>1964</v>
      </c>
      <c r="B21" s="564">
        <v>381.29050000000001</v>
      </c>
      <c r="C21" s="564">
        <v>377.43630000000002</v>
      </c>
      <c r="D21" s="564">
        <v>374.1327</v>
      </c>
      <c r="E21" s="564">
        <v>370.00319999999999</v>
      </c>
      <c r="F21" s="564">
        <v>367.25020000000001</v>
      </c>
      <c r="G21" s="564">
        <v>370.82909999999998</v>
      </c>
      <c r="H21" s="564">
        <v>365.87369999999999</v>
      </c>
      <c r="I21" s="564">
        <v>376.33510000000001</v>
      </c>
      <c r="J21" s="564">
        <v>363.94659999999999</v>
      </c>
      <c r="K21" s="564">
        <v>367.25020000000001</v>
      </c>
      <c r="L21" s="564">
        <v>367.80079999999998</v>
      </c>
      <c r="M21" s="564">
        <v>367.80079999999998</v>
      </c>
      <c r="N21" s="562">
        <v>1964</v>
      </c>
    </row>
    <row r="22" spans="1:14" ht="15" x14ac:dyDescent="0.25">
      <c r="A22" s="562">
        <v>1965</v>
      </c>
      <c r="B22" s="564">
        <v>408.28283909999999</v>
      </c>
      <c r="C22" s="564">
        <v>407.91201000000001</v>
      </c>
      <c r="D22" s="564">
        <v>405.68703540000001</v>
      </c>
      <c r="E22" s="564">
        <v>401.6079153</v>
      </c>
      <c r="F22" s="564">
        <v>396.41630789999999</v>
      </c>
      <c r="G22" s="564">
        <v>400.86625709999998</v>
      </c>
      <c r="H22" s="564">
        <v>403.8328899</v>
      </c>
      <c r="I22" s="564">
        <v>405.68703540000001</v>
      </c>
      <c r="J22" s="564">
        <v>397.52879519999999</v>
      </c>
      <c r="K22" s="564">
        <v>394.1913333</v>
      </c>
      <c r="L22" s="564">
        <v>386.40392220000001</v>
      </c>
      <c r="M22" s="564">
        <v>384.5497767</v>
      </c>
      <c r="N22" s="562">
        <v>1965</v>
      </c>
    </row>
    <row r="23" spans="1:14" ht="20.100000000000001" customHeight="1" x14ac:dyDescent="0.25">
      <c r="A23" s="562">
        <v>1966</v>
      </c>
      <c r="B23" s="564">
        <v>440.17414170000001</v>
      </c>
      <c r="C23" s="564">
        <v>437.20750889999999</v>
      </c>
      <c r="D23" s="564">
        <v>439.43248349999999</v>
      </c>
      <c r="E23" s="564">
        <v>435.72419250000002</v>
      </c>
      <c r="F23" s="564">
        <v>429.42009780000001</v>
      </c>
      <c r="G23" s="564">
        <v>434.24087609999998</v>
      </c>
      <c r="H23" s="564">
        <v>433.12838879999998</v>
      </c>
      <c r="I23" s="564">
        <v>434.61170520000002</v>
      </c>
      <c r="J23" s="564">
        <v>432.7575597</v>
      </c>
      <c r="K23" s="564">
        <v>424.97014860000002</v>
      </c>
      <c r="L23" s="564">
        <v>417.92439569999999</v>
      </c>
      <c r="M23" s="564">
        <v>413.4744465</v>
      </c>
      <c r="N23" s="562">
        <v>1966</v>
      </c>
    </row>
    <row r="24" spans="1:14" ht="15" x14ac:dyDescent="0.25">
      <c r="A24" s="562">
        <v>1967</v>
      </c>
      <c r="B24" s="564">
        <v>440.91579990000002</v>
      </c>
      <c r="C24" s="564">
        <v>437.94916710000001</v>
      </c>
      <c r="D24" s="564">
        <v>436.0950216</v>
      </c>
      <c r="E24" s="564">
        <v>432.7575597</v>
      </c>
      <c r="F24" s="564">
        <v>433.12838879999998</v>
      </c>
      <c r="G24" s="564">
        <v>437.20750889999999</v>
      </c>
      <c r="H24" s="564">
        <v>440.54497079999999</v>
      </c>
      <c r="I24" s="564">
        <v>445.36574910000002</v>
      </c>
      <c r="J24" s="564">
        <v>444.25326180000002</v>
      </c>
      <c r="K24" s="564">
        <v>437.57833799999997</v>
      </c>
      <c r="L24" s="564">
        <v>435.72419250000002</v>
      </c>
      <c r="M24" s="564">
        <v>439.80331260000003</v>
      </c>
      <c r="N24" s="562">
        <v>1967</v>
      </c>
    </row>
    <row r="25" spans="1:14" ht="15" x14ac:dyDescent="0.25">
      <c r="A25" s="562">
        <v>1968</v>
      </c>
      <c r="B25" s="564">
        <v>449.44486920000003</v>
      </c>
      <c r="C25" s="564">
        <v>447.59072370000001</v>
      </c>
      <c r="D25" s="564">
        <v>448.70321100000001</v>
      </c>
      <c r="E25" s="564">
        <v>445.7365782</v>
      </c>
      <c r="F25" s="564">
        <v>443.88243269999998</v>
      </c>
      <c r="G25" s="564">
        <v>447.96155279999999</v>
      </c>
      <c r="H25" s="564">
        <v>446.47823640000001</v>
      </c>
      <c r="I25" s="564">
        <v>451.29901469999999</v>
      </c>
      <c r="J25" s="564">
        <v>452.0406729</v>
      </c>
      <c r="K25" s="564">
        <v>447.96155279999999</v>
      </c>
      <c r="L25" s="564">
        <v>444.6240909</v>
      </c>
      <c r="M25" s="564">
        <v>444.99491999999998</v>
      </c>
      <c r="N25" s="562">
        <v>1968</v>
      </c>
    </row>
    <row r="26" spans="1:14" ht="15" x14ac:dyDescent="0.25">
      <c r="A26" s="562">
        <v>1969</v>
      </c>
      <c r="B26" s="564">
        <v>466.87383690000001</v>
      </c>
      <c r="C26" s="564">
        <v>465.0196914</v>
      </c>
      <c r="D26" s="564">
        <v>461.68222950000001</v>
      </c>
      <c r="E26" s="564">
        <v>456.11979300000002</v>
      </c>
      <c r="F26" s="564">
        <v>453.1531602</v>
      </c>
      <c r="G26" s="564">
        <v>462.05305859999999</v>
      </c>
      <c r="H26" s="564">
        <v>461.68222950000001</v>
      </c>
      <c r="I26" s="564">
        <v>457.23228030000001</v>
      </c>
      <c r="J26" s="564">
        <v>459.82808399999999</v>
      </c>
      <c r="K26" s="564">
        <v>456.86145119999998</v>
      </c>
      <c r="L26" s="564">
        <v>450.55735650000003</v>
      </c>
      <c r="M26" s="564">
        <v>451.66984380000002</v>
      </c>
      <c r="N26" s="562">
        <v>1969</v>
      </c>
    </row>
    <row r="27" spans="1:14" ht="15" x14ac:dyDescent="0.25">
      <c r="A27" s="562">
        <v>1970</v>
      </c>
      <c r="B27" s="564">
        <v>514.22018390070002</v>
      </c>
      <c r="C27" s="564">
        <v>510.5504591271</v>
      </c>
      <c r="D27" s="564">
        <v>510.5504591271</v>
      </c>
      <c r="E27" s="564">
        <v>500.45871599970002</v>
      </c>
      <c r="F27" s="564">
        <v>481.19266093829998</v>
      </c>
      <c r="G27" s="564">
        <v>478.89908295480001</v>
      </c>
      <c r="H27" s="564">
        <v>480.73394534160002</v>
      </c>
      <c r="I27" s="564">
        <v>481.651376535</v>
      </c>
      <c r="J27" s="564">
        <v>475.6880737779</v>
      </c>
      <c r="K27" s="564">
        <v>472.01834900429998</v>
      </c>
      <c r="L27" s="564">
        <v>467.43119303729998</v>
      </c>
      <c r="M27" s="564">
        <v>465.59633065050002</v>
      </c>
      <c r="N27" s="562">
        <v>1970</v>
      </c>
    </row>
    <row r="28" spans="1:14" ht="20.100000000000001" customHeight="1" x14ac:dyDescent="0.25">
      <c r="A28" s="562">
        <v>1971</v>
      </c>
      <c r="B28" s="564">
        <v>583.02752340569998</v>
      </c>
      <c r="C28" s="564">
        <v>576.14678945519995</v>
      </c>
      <c r="D28" s="564">
        <v>566.97247752119995</v>
      </c>
      <c r="E28" s="564">
        <v>555.04587200699996</v>
      </c>
      <c r="F28" s="564">
        <v>537.61467933239999</v>
      </c>
      <c r="G28" s="564">
        <v>534.8623857522</v>
      </c>
      <c r="H28" s="564">
        <v>537.61467933239999</v>
      </c>
      <c r="I28" s="564">
        <v>536.69724813899995</v>
      </c>
      <c r="J28" s="564">
        <v>533.94495455879996</v>
      </c>
      <c r="K28" s="564">
        <v>529.81651418850004</v>
      </c>
      <c r="L28" s="564">
        <v>522.93578023800001</v>
      </c>
      <c r="M28" s="564">
        <v>523.39449583470002</v>
      </c>
      <c r="N28" s="562">
        <v>1971</v>
      </c>
    </row>
    <row r="29" spans="1:14" ht="15" x14ac:dyDescent="0.25">
      <c r="A29" s="562">
        <v>1972</v>
      </c>
      <c r="B29" s="564">
        <v>655.04587208759995</v>
      </c>
      <c r="C29" s="564">
        <v>645.87156015359994</v>
      </c>
      <c r="D29" s="564">
        <v>634.86238583279999</v>
      </c>
      <c r="E29" s="564">
        <v>620.18348673840001</v>
      </c>
      <c r="F29" s="564">
        <v>611.46789040110002</v>
      </c>
      <c r="G29" s="564">
        <v>608.71559682090003</v>
      </c>
      <c r="H29" s="564">
        <v>604.58715645059999</v>
      </c>
      <c r="I29" s="564">
        <v>613.30275278789998</v>
      </c>
      <c r="J29" s="564">
        <v>606.88073443409996</v>
      </c>
      <c r="K29" s="564">
        <v>600.00000048360005</v>
      </c>
      <c r="L29" s="564">
        <v>588.07339496940006</v>
      </c>
      <c r="M29" s="564">
        <v>591.28440414629995</v>
      </c>
      <c r="N29" s="562">
        <v>1972</v>
      </c>
    </row>
    <row r="30" spans="1:14" ht="15" x14ac:dyDescent="0.25">
      <c r="A30" s="562">
        <v>1973</v>
      </c>
      <c r="B30" s="564">
        <v>827.98165204350005</v>
      </c>
      <c r="C30" s="564">
        <v>806.42201899860004</v>
      </c>
      <c r="D30" s="564">
        <v>772.47706484280002</v>
      </c>
      <c r="E30" s="564">
        <v>758.71559694179996</v>
      </c>
      <c r="F30" s="564">
        <v>746.33027583089995</v>
      </c>
      <c r="G30" s="564">
        <v>741.74311986390001</v>
      </c>
      <c r="H30" s="564">
        <v>729.357798753</v>
      </c>
      <c r="I30" s="564">
        <v>727.06422076950003</v>
      </c>
      <c r="J30" s="564">
        <v>716.97247764209999</v>
      </c>
      <c r="K30" s="564">
        <v>690.36697303350002</v>
      </c>
      <c r="L30" s="564">
        <v>673.85321155229997</v>
      </c>
      <c r="M30" s="564">
        <v>667.43119319849995</v>
      </c>
      <c r="N30" s="562">
        <v>1973</v>
      </c>
    </row>
    <row r="31" spans="1:14" ht="15" x14ac:dyDescent="0.25">
      <c r="A31" s="562">
        <v>1974</v>
      </c>
      <c r="B31" s="564">
        <v>1293.1192670973001</v>
      </c>
      <c r="C31" s="564">
        <v>1196.3302761936</v>
      </c>
      <c r="D31" s="564">
        <v>1071.5596338912001</v>
      </c>
      <c r="E31" s="564">
        <v>1045.4128448793001</v>
      </c>
      <c r="F31" s="564">
        <v>1025.2293586245</v>
      </c>
      <c r="G31" s="564">
        <v>1020.1834870608</v>
      </c>
      <c r="H31" s="564">
        <v>1006.4220191598</v>
      </c>
      <c r="I31" s="564">
        <v>1003.2110099829</v>
      </c>
      <c r="J31" s="564">
        <v>977.06422097100005</v>
      </c>
      <c r="K31" s="564">
        <v>951.3761475558</v>
      </c>
      <c r="L31" s="564">
        <v>926.60550533399999</v>
      </c>
      <c r="M31" s="564">
        <v>857.33945023230001</v>
      </c>
      <c r="N31" s="562">
        <v>1974</v>
      </c>
    </row>
    <row r="32" spans="1:14" ht="15" x14ac:dyDescent="0.25">
      <c r="A32" s="562">
        <v>1975</v>
      </c>
      <c r="B32" s="564">
        <v>1597.2477077093999</v>
      </c>
      <c r="C32" s="564">
        <v>1584.8623865985001</v>
      </c>
      <c r="D32" s="564">
        <v>1536.2385333483001</v>
      </c>
      <c r="E32" s="564">
        <v>1444.9541296049999</v>
      </c>
      <c r="F32" s="564">
        <v>1415.5963314162</v>
      </c>
      <c r="G32" s="564">
        <v>1415.1376158195001</v>
      </c>
      <c r="H32" s="564">
        <v>1408.7155974657001</v>
      </c>
      <c r="I32" s="564">
        <v>1413.7614690293999</v>
      </c>
      <c r="J32" s="564">
        <v>1394.0366983713</v>
      </c>
      <c r="K32" s="564">
        <v>1370.6422029396001</v>
      </c>
      <c r="L32" s="564">
        <v>1338.0733955738999</v>
      </c>
      <c r="M32" s="564">
        <v>1318.3486249158</v>
      </c>
      <c r="N32" s="562">
        <v>1975</v>
      </c>
    </row>
    <row r="33" spans="1:14" ht="20.100000000000001" customHeight="1" x14ac:dyDescent="0.25">
      <c r="A33" s="562">
        <v>1976</v>
      </c>
      <c r="B33" s="564">
        <v>2204.5871577401999</v>
      </c>
      <c r="C33" s="564">
        <v>2146.7889925559998</v>
      </c>
      <c r="D33" s="564">
        <v>2055.045873216</v>
      </c>
      <c r="E33" s="564">
        <v>1988.5321116944999</v>
      </c>
      <c r="F33" s="564">
        <v>1944.0366988146</v>
      </c>
      <c r="G33" s="564">
        <v>1920.6422033829001</v>
      </c>
      <c r="H33" s="564">
        <v>1827.5229372527999</v>
      </c>
      <c r="I33" s="564">
        <v>1823.8532124792</v>
      </c>
      <c r="J33" s="564">
        <v>1785.7798179531001</v>
      </c>
      <c r="K33" s="564">
        <v>1688.9908270494</v>
      </c>
      <c r="L33" s="564">
        <v>1630.2752306718</v>
      </c>
      <c r="M33" s="564">
        <v>1618.8073407543</v>
      </c>
      <c r="N33" s="562">
        <v>1976</v>
      </c>
    </row>
    <row r="34" spans="1:14" ht="15" x14ac:dyDescent="0.25">
      <c r="A34" s="562">
        <v>1977</v>
      </c>
      <c r="B34" s="564">
        <v>3142.47339702825</v>
      </c>
      <c r="C34" s="564">
        <v>3082.1137639520698</v>
      </c>
      <c r="D34" s="564">
        <v>2755.79449763401</v>
      </c>
      <c r="E34" s="564">
        <v>2659.5963324188601</v>
      </c>
      <c r="F34" s="564">
        <v>2561.5119286700801</v>
      </c>
      <c r="G34" s="564">
        <v>2465.3137634549298</v>
      </c>
      <c r="H34" s="564">
        <v>2429.4752313159602</v>
      </c>
      <c r="I34" s="564">
        <v>2372.8880753070398</v>
      </c>
      <c r="J34" s="564">
        <v>2318.18715783176</v>
      </c>
      <c r="K34" s="564">
        <v>2263.4862403564798</v>
      </c>
      <c r="L34" s="564">
        <v>2220.10275408298</v>
      </c>
      <c r="M34" s="564">
        <v>2199.3541302130502</v>
      </c>
      <c r="N34" s="562">
        <v>1977</v>
      </c>
    </row>
    <row r="35" spans="1:14" ht="15" x14ac:dyDescent="0.25">
      <c r="A35" s="562">
        <v>1978</v>
      </c>
      <c r="B35" s="564">
        <v>4655.2367009998297</v>
      </c>
      <c r="C35" s="564">
        <v>4500.5651412421303</v>
      </c>
      <c r="D35" s="564">
        <v>4236.4917465338804</v>
      </c>
      <c r="E35" s="564">
        <v>4006.3706454309699</v>
      </c>
      <c r="F35" s="564">
        <v>3889.4238563458798</v>
      </c>
      <c r="G35" s="564">
        <v>3798.88440673163</v>
      </c>
      <c r="H35" s="564">
        <v>3710.2311956509998</v>
      </c>
      <c r="I35" s="564">
        <v>3638.55413137304</v>
      </c>
      <c r="J35" s="564">
        <v>3572.5357826959798</v>
      </c>
      <c r="K35" s="564">
        <v>3385.7981678665701</v>
      </c>
      <c r="L35" s="564">
        <v>3265.0789017142201</v>
      </c>
      <c r="M35" s="564">
        <v>3214.1504613062002</v>
      </c>
      <c r="N35" s="562">
        <v>1978</v>
      </c>
    </row>
    <row r="36" spans="1:14" ht="15" x14ac:dyDescent="0.25">
      <c r="A36" s="562">
        <v>1979</v>
      </c>
      <c r="B36" s="564">
        <v>9840.5064299498008</v>
      </c>
      <c r="C36" s="564">
        <v>9102.9871633003095</v>
      </c>
      <c r="D36" s="564">
        <v>8295.6770709065004</v>
      </c>
      <c r="E36" s="564">
        <v>7693.9669786783998</v>
      </c>
      <c r="F36" s="564">
        <v>7124.3229415220203</v>
      </c>
      <c r="G36" s="564">
        <v>6573.5412897019396</v>
      </c>
      <c r="H36" s="564">
        <v>6230.2458765812098</v>
      </c>
      <c r="I36" s="564">
        <v>6017.1009222809798</v>
      </c>
      <c r="J36" s="564">
        <v>5743.5963349045696</v>
      </c>
      <c r="K36" s="564">
        <v>5285.2403712323803</v>
      </c>
      <c r="L36" s="564">
        <v>5004.1908297214504</v>
      </c>
      <c r="M36" s="564">
        <v>4885.3578021027397</v>
      </c>
      <c r="N36" s="562">
        <v>1979</v>
      </c>
    </row>
    <row r="37" spans="1:14" ht="15" x14ac:dyDescent="0.25">
      <c r="A37" s="562">
        <v>1980</v>
      </c>
      <c r="B37" s="564">
        <v>22923.456899210301</v>
      </c>
      <c r="C37" s="564">
        <v>21629.497265139798</v>
      </c>
      <c r="D37" s="564">
        <v>19775.324786581099</v>
      </c>
      <c r="E37" s="564">
        <v>17815.5229501391</v>
      </c>
      <c r="F37" s="564">
        <v>16608.3302886157</v>
      </c>
      <c r="G37" s="564">
        <v>15342.6642325497</v>
      </c>
      <c r="H37" s="564">
        <v>14699.4568925817</v>
      </c>
      <c r="I37" s="564">
        <v>14050.5908370129</v>
      </c>
      <c r="J37" s="564">
        <v>12835.853221354901</v>
      </c>
      <c r="K37" s="564">
        <v>11647.522945167701</v>
      </c>
      <c r="L37" s="564">
        <v>11081.6513850786</v>
      </c>
      <c r="M37" s="564">
        <v>10561.0495497966</v>
      </c>
      <c r="N37" s="562">
        <v>1980</v>
      </c>
    </row>
    <row r="38" spans="1:14" ht="20.100000000000001" customHeight="1" x14ac:dyDescent="0.25">
      <c r="A38" s="562">
        <v>1981</v>
      </c>
      <c r="B38" s="564">
        <v>46189.486782182903</v>
      </c>
      <c r="C38" s="564">
        <v>43921.745187694498</v>
      </c>
      <c r="D38" s="564">
        <v>41512.269743550598</v>
      </c>
      <c r="E38" s="564">
        <v>38079.160940783499</v>
      </c>
      <c r="F38" s="564">
        <v>35212.987536638502</v>
      </c>
      <c r="G38" s="564">
        <v>33890.138273187004</v>
      </c>
      <c r="H38" s="564">
        <v>31953.108994561499</v>
      </c>
      <c r="I38" s="564">
        <v>31102.705896628398</v>
      </c>
      <c r="J38" s="564">
        <v>30094.820743522501</v>
      </c>
      <c r="K38" s="564">
        <v>27197.1509283429</v>
      </c>
      <c r="L38" s="564">
        <v>25953.0426924778</v>
      </c>
      <c r="M38" s="564">
        <v>24598.697017991701</v>
      </c>
      <c r="N38" s="562">
        <v>1981</v>
      </c>
    </row>
    <row r="39" spans="1:14" ht="15" x14ac:dyDescent="0.25">
      <c r="A39" s="562">
        <v>1982</v>
      </c>
      <c r="B39" s="564">
        <v>106930.315462333</v>
      </c>
      <c r="C39" s="564">
        <v>101308.206092664</v>
      </c>
      <c r="D39" s="564">
        <v>95134.909529889701</v>
      </c>
      <c r="E39" s="564">
        <v>87764.749347802601</v>
      </c>
      <c r="F39" s="564">
        <v>81575.704579511497</v>
      </c>
      <c r="G39" s="564">
        <v>75622.882893979593</v>
      </c>
      <c r="H39" s="564">
        <v>69244.859659481095</v>
      </c>
      <c r="I39" s="564">
        <v>65307.808280161</v>
      </c>
      <c r="J39" s="564">
        <v>61480.994339461897</v>
      </c>
      <c r="K39" s="564">
        <v>55559.669064964597</v>
      </c>
      <c r="L39" s="564">
        <v>52882.474127026901</v>
      </c>
      <c r="M39" s="564">
        <v>50032.048928399199</v>
      </c>
      <c r="N39" s="562">
        <v>1982</v>
      </c>
    </row>
    <row r="40" spans="1:14" ht="15" x14ac:dyDescent="0.25">
      <c r="A40" s="562">
        <v>1983</v>
      </c>
      <c r="B40" s="564">
        <v>310838.08050007699</v>
      </c>
      <c r="C40" s="564">
        <v>278507.01457310002</v>
      </c>
      <c r="D40" s="564">
        <v>241813.69571783801</v>
      </c>
      <c r="E40" s="564">
        <v>199734.490575665</v>
      </c>
      <c r="F40" s="564">
        <v>183261.86760458999</v>
      </c>
      <c r="G40" s="564">
        <v>171009.763712146</v>
      </c>
      <c r="H40" s="564">
        <v>160946.66038660399</v>
      </c>
      <c r="I40" s="564">
        <v>155356.047427969</v>
      </c>
      <c r="J40" s="564">
        <v>147229.97338105299</v>
      </c>
      <c r="K40" s="564">
        <v>129985.688339631</v>
      </c>
      <c r="L40" s="564">
        <v>123040.72970651</v>
      </c>
      <c r="M40" s="564">
        <v>116001.281840286</v>
      </c>
      <c r="N40" s="562">
        <v>1983</v>
      </c>
    </row>
    <row r="41" spans="1:14" ht="15" x14ac:dyDescent="0.25">
      <c r="A41" s="562">
        <v>1984</v>
      </c>
      <c r="B41" s="564">
        <v>1693688.0069724501</v>
      </c>
      <c r="C41" s="564">
        <v>1632679.45879851</v>
      </c>
      <c r="D41" s="564">
        <v>1365778.87169164</v>
      </c>
      <c r="E41" s="564">
        <v>1098437.3348302899</v>
      </c>
      <c r="F41" s="564">
        <v>905033.622872576</v>
      </c>
      <c r="G41" s="564">
        <v>777032.20842812303</v>
      </c>
      <c r="H41" s="564">
        <v>691613.94170239498</v>
      </c>
      <c r="I41" s="564">
        <v>610132.72635598702</v>
      </c>
      <c r="J41" s="564">
        <v>533816.92241924698</v>
      </c>
      <c r="K41" s="564">
        <v>442634.81247419497</v>
      </c>
      <c r="L41" s="564">
        <v>399972.92372788303</v>
      </c>
      <c r="M41" s="564">
        <v>357216.54574846698</v>
      </c>
      <c r="N41" s="562">
        <v>1984</v>
      </c>
    </row>
    <row r="42" spans="1:14" ht="15" x14ac:dyDescent="0.25">
      <c r="A42" s="562">
        <v>1985</v>
      </c>
      <c r="B42" s="564">
        <v>4829974.6321498398</v>
      </c>
      <c r="C42" s="564">
        <v>4768556.6306324499</v>
      </c>
      <c r="D42" s="564">
        <v>4746509.14290825</v>
      </c>
      <c r="E42" s="564">
        <v>4535483.1889767004</v>
      </c>
      <c r="F42" s="564">
        <v>4401623.4420798197</v>
      </c>
      <c r="G42" s="564">
        <v>4236267.2841483802</v>
      </c>
      <c r="H42" s="564">
        <v>3322871.3641461199</v>
      </c>
      <c r="I42" s="564">
        <v>2891370.5329726501</v>
      </c>
      <c r="J42" s="564">
        <v>2707116.5284204702</v>
      </c>
      <c r="K42" s="564">
        <v>2267741.5944883502</v>
      </c>
      <c r="L42" s="564">
        <v>2023644.4089705099</v>
      </c>
      <c r="M42" s="564">
        <v>1782696.86455612</v>
      </c>
      <c r="N42" s="562">
        <v>1985</v>
      </c>
    </row>
    <row r="43" spans="1:14" ht="20.100000000000001" customHeight="1" x14ac:dyDescent="0.25">
      <c r="A43" s="562">
        <v>1986</v>
      </c>
      <c r="B43" s="564">
        <v>5779197.7197038997</v>
      </c>
      <c r="C43" s="564">
        <v>5694157.4099105904</v>
      </c>
      <c r="D43" s="564">
        <v>5534706.8290481297</v>
      </c>
      <c r="E43" s="564">
        <v>5407146.3643581597</v>
      </c>
      <c r="F43" s="564">
        <v>5304389.3233579099</v>
      </c>
      <c r="G43" s="564">
        <v>5247695.7834957</v>
      </c>
      <c r="H43" s="564">
        <v>5247695.7834957</v>
      </c>
      <c r="I43" s="564">
        <v>5162655.4737023804</v>
      </c>
      <c r="J43" s="564">
        <v>5081158.5101504596</v>
      </c>
      <c r="K43" s="564">
        <v>4918164.5830466095</v>
      </c>
      <c r="L43" s="564">
        <v>4843754.31197746</v>
      </c>
      <c r="M43" s="564">
        <v>4765800.6946669202</v>
      </c>
      <c r="N43" s="562">
        <v>1986</v>
      </c>
    </row>
    <row r="44" spans="1:14" ht="15" x14ac:dyDescent="0.25">
      <c r="A44" s="562">
        <v>1987</v>
      </c>
      <c r="B44" s="564">
        <v>6711097.7811889602</v>
      </c>
      <c r="C44" s="564">
        <v>6626057.4713956499</v>
      </c>
      <c r="D44" s="564">
        <v>6523300.4303953899</v>
      </c>
      <c r="E44" s="564">
        <v>6424086.7356365304</v>
      </c>
      <c r="F44" s="564">
        <v>6363849.8495329302</v>
      </c>
      <c r="G44" s="564">
        <v>6285896.2322223997</v>
      </c>
      <c r="H44" s="564">
        <v>6271722.8472568402</v>
      </c>
      <c r="I44" s="564">
        <v>6211485.9611532502</v>
      </c>
      <c r="J44" s="564">
        <v>6172509.1524979798</v>
      </c>
      <c r="K44" s="564">
        <v>6037861.9953252301</v>
      </c>
      <c r="L44" s="564">
        <v>5959908.3780146902</v>
      </c>
      <c r="M44" s="564">
        <v>5903214.8381524896</v>
      </c>
      <c r="N44" s="562">
        <v>1987</v>
      </c>
    </row>
    <row r="45" spans="1:14" ht="15" x14ac:dyDescent="0.25">
      <c r="A45" s="562">
        <v>1988</v>
      </c>
      <c r="B45" s="564">
        <v>7811483.9564520204</v>
      </c>
      <c r="C45" s="564">
        <v>7773747.3189812396</v>
      </c>
      <c r="D45" s="564">
        <v>7647958.5274119601</v>
      </c>
      <c r="E45" s="564">
        <v>7471854.2192149702</v>
      </c>
      <c r="F45" s="564">
        <v>7346065.4276457001</v>
      </c>
      <c r="G45" s="564">
        <v>7289460.4714395301</v>
      </c>
      <c r="H45" s="564">
        <v>7283171.0318610603</v>
      </c>
      <c r="I45" s="564">
        <v>7264302.7131256703</v>
      </c>
      <c r="J45" s="564">
        <v>7176250.5590271801</v>
      </c>
      <c r="K45" s="564">
        <v>6987567.3716732599</v>
      </c>
      <c r="L45" s="564">
        <v>6874357.4592609201</v>
      </c>
      <c r="M45" s="564">
        <v>6817752.5030547399</v>
      </c>
      <c r="N45" s="562">
        <v>1988</v>
      </c>
    </row>
    <row r="46" spans="1:14" ht="15" x14ac:dyDescent="0.25">
      <c r="A46" s="562">
        <v>1989</v>
      </c>
      <c r="B46" s="564">
        <v>9427869.92811721</v>
      </c>
      <c r="C46" s="564">
        <v>9327238.8948617894</v>
      </c>
      <c r="D46" s="564">
        <v>9207739.5428709798</v>
      </c>
      <c r="E46" s="564">
        <v>9044214.1138309203</v>
      </c>
      <c r="F46" s="564">
        <v>8905846.4431047197</v>
      </c>
      <c r="G46" s="564">
        <v>8798925.9702708293</v>
      </c>
      <c r="H46" s="564">
        <v>8748610.4536431208</v>
      </c>
      <c r="I46" s="564">
        <v>8641689.9808092397</v>
      </c>
      <c r="J46" s="564">
        <v>8566216.7058676705</v>
      </c>
      <c r="K46" s="564">
        <v>8352375.76019991</v>
      </c>
      <c r="L46" s="564">
        <v>8314639.1227291198</v>
      </c>
      <c r="M46" s="564">
        <v>8176271.4520029202</v>
      </c>
      <c r="N46" s="562">
        <v>1989</v>
      </c>
    </row>
    <row r="47" spans="1:14" ht="15" x14ac:dyDescent="0.25">
      <c r="A47" s="562">
        <v>1990</v>
      </c>
      <c r="B47" s="564">
        <v>11088281.976831701</v>
      </c>
      <c r="C47" s="564">
        <v>11044255.899782401</v>
      </c>
      <c r="D47" s="564">
        <v>10905888.2290562</v>
      </c>
      <c r="E47" s="564">
        <v>10723494.4812808</v>
      </c>
      <c r="F47" s="564">
        <v>10503364.096034501</v>
      </c>
      <c r="G47" s="564">
        <v>10339838.666994501</v>
      </c>
      <c r="H47" s="564">
        <v>10176313.2379544</v>
      </c>
      <c r="I47" s="564">
        <v>10100839.9630128</v>
      </c>
      <c r="J47" s="564">
        <v>9943603.9735512398</v>
      </c>
      <c r="K47" s="564">
        <v>9698315.8299911506</v>
      </c>
      <c r="L47" s="564">
        <v>9578816.4780003391</v>
      </c>
      <c r="M47" s="564">
        <v>9528500.9613726307</v>
      </c>
      <c r="N47" s="562">
        <v>1990</v>
      </c>
    </row>
    <row r="48" spans="1:14" ht="20.100000000000001" customHeight="1" x14ac:dyDescent="0.25">
      <c r="A48" s="562">
        <v>1991</v>
      </c>
      <c r="B48" s="564">
        <v>13088323.762783101</v>
      </c>
      <c r="C48" s="564">
        <v>13044297.685733899</v>
      </c>
      <c r="D48" s="564">
        <v>13025429.366998499</v>
      </c>
      <c r="E48" s="564">
        <v>12968824.4107923</v>
      </c>
      <c r="F48" s="564">
        <v>12767562.3442815</v>
      </c>
      <c r="G48" s="564">
        <v>12509695.321564499</v>
      </c>
      <c r="H48" s="564">
        <v>12144907.8260136</v>
      </c>
      <c r="I48" s="564">
        <v>11912198.561610401</v>
      </c>
      <c r="J48" s="564">
        <v>11692068.1763642</v>
      </c>
      <c r="K48" s="564">
        <v>11440490.5932256</v>
      </c>
      <c r="L48" s="564">
        <v>11302122.9224994</v>
      </c>
      <c r="M48" s="564">
        <v>11232939.0871363</v>
      </c>
      <c r="N48" s="562">
        <v>1991</v>
      </c>
    </row>
    <row r="49" spans="1:14" ht="15" x14ac:dyDescent="0.25">
      <c r="A49" s="562">
        <v>1992</v>
      </c>
      <c r="B49" s="564">
        <v>14314764.480583601</v>
      </c>
      <c r="C49" s="564">
        <v>14163817.930700401</v>
      </c>
      <c r="D49" s="564">
        <v>14075765.776601899</v>
      </c>
      <c r="E49" s="564">
        <v>14006581.9412388</v>
      </c>
      <c r="F49" s="564">
        <v>13824188.1934634</v>
      </c>
      <c r="G49" s="564">
        <v>13717267.7206295</v>
      </c>
      <c r="H49" s="564">
        <v>13622926.1269526</v>
      </c>
      <c r="I49" s="564">
        <v>13604057.8082172</v>
      </c>
      <c r="J49" s="564">
        <v>13654373.324844901</v>
      </c>
      <c r="K49" s="564">
        <v>13415374.6208633</v>
      </c>
      <c r="L49" s="564">
        <v>13220401.9939309</v>
      </c>
      <c r="M49" s="564">
        <v>13088323.762783101</v>
      </c>
      <c r="N49" s="562">
        <v>1992</v>
      </c>
    </row>
    <row r="50" spans="1:14" ht="15" x14ac:dyDescent="0.25">
      <c r="A50" s="562">
        <v>1993</v>
      </c>
      <c r="B50" s="564">
        <v>15924861.012670301</v>
      </c>
      <c r="C50" s="564">
        <v>15805361.660679501</v>
      </c>
      <c r="D50" s="564">
        <v>15685862.3086887</v>
      </c>
      <c r="E50" s="564">
        <v>15465731.923442399</v>
      </c>
      <c r="F50" s="564">
        <v>15314785.3735593</v>
      </c>
      <c r="G50" s="564">
        <v>15170128.2632546</v>
      </c>
      <c r="H50" s="564">
        <v>15151259.9445193</v>
      </c>
      <c r="I50" s="564">
        <v>15113523.3070485</v>
      </c>
      <c r="J50" s="564">
        <v>15069497.2299992</v>
      </c>
      <c r="K50" s="564">
        <v>14861945.7239099</v>
      </c>
      <c r="L50" s="564">
        <v>14673262.536556</v>
      </c>
      <c r="M50" s="564">
        <v>14497158.228359001</v>
      </c>
      <c r="N50" s="562">
        <v>1993</v>
      </c>
    </row>
    <row r="51" spans="1:14" ht="15" x14ac:dyDescent="0.25">
      <c r="A51" s="562">
        <v>1994</v>
      </c>
      <c r="B51" s="564">
        <v>18226399.663694602</v>
      </c>
      <c r="C51" s="564">
        <v>18074132.331500001</v>
      </c>
      <c r="D51" s="564">
        <v>17845731.333208099</v>
      </c>
      <c r="E51" s="564">
        <v>17602103.6016967</v>
      </c>
      <c r="F51" s="564">
        <v>17404156.069843698</v>
      </c>
      <c r="G51" s="564">
        <v>17221435.271210201</v>
      </c>
      <c r="H51" s="564">
        <v>17038714.4725767</v>
      </c>
      <c r="I51" s="564">
        <v>16810313.474284701</v>
      </c>
      <c r="J51" s="564">
        <v>16612365.9424318</v>
      </c>
      <c r="K51" s="564">
        <v>16292604.544823101</v>
      </c>
      <c r="L51" s="564">
        <v>16125110.479409</v>
      </c>
      <c r="M51" s="564">
        <v>16033750.080092199</v>
      </c>
      <c r="N51" s="562">
        <v>1994</v>
      </c>
    </row>
    <row r="52" spans="1:14" ht="15" x14ac:dyDescent="0.25">
      <c r="A52" s="562">
        <v>1995</v>
      </c>
      <c r="B52" s="564">
        <v>19703392.7859823</v>
      </c>
      <c r="C52" s="564">
        <v>19474991.787690401</v>
      </c>
      <c r="D52" s="564">
        <v>19337951.188715201</v>
      </c>
      <c r="E52" s="564">
        <v>19140003.6568623</v>
      </c>
      <c r="F52" s="564">
        <v>18957282.858228698</v>
      </c>
      <c r="G52" s="564">
        <v>18728881.8599368</v>
      </c>
      <c r="H52" s="564">
        <v>18683201.660278399</v>
      </c>
      <c r="I52" s="564">
        <v>18622294.727400601</v>
      </c>
      <c r="J52" s="564">
        <v>18439573.9287671</v>
      </c>
      <c r="K52" s="564">
        <v>18272079.863352999</v>
      </c>
      <c r="L52" s="564">
        <v>18287306.596572399</v>
      </c>
      <c r="M52" s="564">
        <v>18256853.130133498</v>
      </c>
      <c r="N52" s="562">
        <v>1995</v>
      </c>
    </row>
    <row r="53" spans="1:14" ht="20.100000000000001" customHeight="1" x14ac:dyDescent="0.25">
      <c r="A53" s="562">
        <v>1996</v>
      </c>
      <c r="B53" s="564">
        <v>21789455.237048399</v>
      </c>
      <c r="C53" s="564">
        <v>21621961.171634398</v>
      </c>
      <c r="D53" s="564">
        <v>21484920.572659198</v>
      </c>
      <c r="E53" s="564">
        <v>21317426.507245101</v>
      </c>
      <c r="F53" s="564">
        <v>21226066.107928399</v>
      </c>
      <c r="G53" s="564">
        <v>21149932.441831101</v>
      </c>
      <c r="H53" s="564">
        <v>21089025.508953199</v>
      </c>
      <c r="I53" s="564">
        <v>20936758.176758599</v>
      </c>
      <c r="J53" s="564">
        <v>20586543.312711</v>
      </c>
      <c r="K53" s="564">
        <v>20251555.181882899</v>
      </c>
      <c r="L53" s="564">
        <v>20053607.650029901</v>
      </c>
      <c r="M53" s="564">
        <v>19870886.8513964</v>
      </c>
      <c r="N53" s="562">
        <v>1996</v>
      </c>
    </row>
    <row r="54" spans="1:14" ht="15" x14ac:dyDescent="0.25">
      <c r="A54" s="562">
        <v>1997</v>
      </c>
      <c r="B54" s="564">
        <v>23312128.558994502</v>
      </c>
      <c r="C54" s="564">
        <v>23388262.2250918</v>
      </c>
      <c r="D54" s="564">
        <v>23449169.157969698</v>
      </c>
      <c r="E54" s="564">
        <v>23175087.960019398</v>
      </c>
      <c r="F54" s="564">
        <v>23190314.693238799</v>
      </c>
      <c r="G54" s="564">
        <v>23098954.2939221</v>
      </c>
      <c r="H54" s="564">
        <v>22870553.295630101</v>
      </c>
      <c r="I54" s="564">
        <v>22626925.564118799</v>
      </c>
      <c r="J54" s="564">
        <v>22520338.4315826</v>
      </c>
      <c r="K54" s="564">
        <v>22352844.366168499</v>
      </c>
      <c r="L54" s="564">
        <v>22139670.101096001</v>
      </c>
      <c r="M54" s="564">
        <v>21880815.636365201</v>
      </c>
      <c r="N54" s="562">
        <v>1997</v>
      </c>
    </row>
    <row r="55" spans="1:14" ht="15" x14ac:dyDescent="0.25">
      <c r="A55" s="562">
        <v>1998</v>
      </c>
      <c r="B55" s="564">
        <v>25322057.343963299</v>
      </c>
      <c r="C55" s="564">
        <v>25306830.610743899</v>
      </c>
      <c r="D55" s="564">
        <v>24987069.213135201</v>
      </c>
      <c r="E55" s="564">
        <v>24256186.018601101</v>
      </c>
      <c r="F55" s="564">
        <v>23921197.887772899</v>
      </c>
      <c r="G55" s="564">
        <v>23799384.0220173</v>
      </c>
      <c r="H55" s="564">
        <v>23829837.488456201</v>
      </c>
      <c r="I55" s="564">
        <v>23738477.089139398</v>
      </c>
      <c r="J55" s="564">
        <v>23647116.6898227</v>
      </c>
      <c r="K55" s="564">
        <v>23327355.292213999</v>
      </c>
      <c r="L55" s="564">
        <v>23373035.4918724</v>
      </c>
      <c r="M55" s="564">
        <v>23388262.2250918</v>
      </c>
      <c r="N55" s="562">
        <v>1998</v>
      </c>
    </row>
    <row r="56" spans="1:14" ht="15" x14ac:dyDescent="0.25">
      <c r="A56" s="562">
        <v>1999</v>
      </c>
      <c r="B56" s="564">
        <v>25662313.9244854</v>
      </c>
      <c r="C56" s="564">
        <v>25662313.9244854</v>
      </c>
      <c r="D56" s="564">
        <v>25710460.854925301</v>
      </c>
      <c r="E56" s="564">
        <v>25541946.598385599</v>
      </c>
      <c r="F56" s="564">
        <v>25421579.2722857</v>
      </c>
      <c r="G56" s="564">
        <v>25301211.946185902</v>
      </c>
      <c r="H56" s="564">
        <v>25228991.550526001</v>
      </c>
      <c r="I56" s="564">
        <v>25156771.154866099</v>
      </c>
      <c r="J56" s="564">
        <v>25036403.828766301</v>
      </c>
      <c r="K56" s="564">
        <v>24964183.4331064</v>
      </c>
      <c r="L56" s="564">
        <v>25012330.363546301</v>
      </c>
      <c r="M56" s="564">
        <v>25204918.085306</v>
      </c>
      <c r="N56" s="562">
        <v>1999</v>
      </c>
    </row>
    <row r="57" spans="1:14" ht="15" x14ac:dyDescent="0.25">
      <c r="A57" s="562">
        <v>2000</v>
      </c>
      <c r="B57" s="564">
        <v>25662313.9244854</v>
      </c>
      <c r="C57" s="564">
        <v>25686387.389705401</v>
      </c>
      <c r="D57" s="564">
        <v>25686387.389705401</v>
      </c>
      <c r="E57" s="564">
        <v>25541946.598385599</v>
      </c>
      <c r="F57" s="564">
        <v>25686387.389705401</v>
      </c>
      <c r="G57" s="564">
        <v>25830828.1810252</v>
      </c>
      <c r="H57" s="564">
        <v>25758607.785365298</v>
      </c>
      <c r="I57" s="564">
        <v>25686387.389705401</v>
      </c>
      <c r="J57" s="564">
        <v>25469726.202725701</v>
      </c>
      <c r="K57" s="564">
        <v>25349358.876625799</v>
      </c>
      <c r="L57" s="564">
        <v>25421579.2722857</v>
      </c>
      <c r="M57" s="564">
        <v>25541946.598385599</v>
      </c>
      <c r="N57" s="562">
        <v>2000</v>
      </c>
    </row>
    <row r="58" spans="1:14" ht="20.100000000000001" customHeight="1" x14ac:dyDescent="0.25">
      <c r="A58" s="562">
        <v>2001</v>
      </c>
      <c r="B58" s="564">
        <v>26023993.665950201</v>
      </c>
      <c r="C58" s="564">
        <v>26049607.8329443</v>
      </c>
      <c r="D58" s="564">
        <v>26203292.8349085</v>
      </c>
      <c r="E58" s="564">
        <v>26177678.667914499</v>
      </c>
      <c r="F58" s="564">
        <v>26126450.333926398</v>
      </c>
      <c r="G58" s="564">
        <v>26049607.8329443</v>
      </c>
      <c r="H58" s="564">
        <v>25947151.164968099</v>
      </c>
      <c r="I58" s="564">
        <v>25870308.663985901</v>
      </c>
      <c r="J58" s="564">
        <v>25767851.996009801</v>
      </c>
      <c r="K58" s="564">
        <v>25537324.493063301</v>
      </c>
      <c r="L58" s="564">
        <v>25486096.159075301</v>
      </c>
      <c r="M58" s="564">
        <v>25511710.326069299</v>
      </c>
      <c r="N58" s="562">
        <v>2001</v>
      </c>
    </row>
    <row r="59" spans="1:14" ht="15" x14ac:dyDescent="0.25">
      <c r="A59" s="562">
        <v>2002</v>
      </c>
      <c r="B59" s="564">
        <v>27714528.687557202</v>
      </c>
      <c r="C59" s="564">
        <v>27791371.1885393</v>
      </c>
      <c r="D59" s="564">
        <v>28021898.6914858</v>
      </c>
      <c r="E59" s="564">
        <v>27842599.5225274</v>
      </c>
      <c r="F59" s="564">
        <v>27740142.8545513</v>
      </c>
      <c r="G59" s="564">
        <v>27842599.5225274</v>
      </c>
      <c r="H59" s="564">
        <v>27663300.353569102</v>
      </c>
      <c r="I59" s="564">
        <v>27304702.0156525</v>
      </c>
      <c r="J59" s="564">
        <v>27048560.345711999</v>
      </c>
      <c r="K59" s="564">
        <v>26638733.673807301</v>
      </c>
      <c r="L59" s="564">
        <v>26510662.838837098</v>
      </c>
      <c r="M59" s="564">
        <v>26305749.502884701</v>
      </c>
      <c r="N59" s="562">
        <v>2002</v>
      </c>
    </row>
    <row r="60" spans="1:14" ht="15" x14ac:dyDescent="0.25">
      <c r="A60" s="562">
        <v>2003</v>
      </c>
      <c r="B60" s="564">
        <v>27191794.767542701</v>
      </c>
      <c r="C60" s="564">
        <v>27246506.628242001</v>
      </c>
      <c r="D60" s="564">
        <v>27301218.488941301</v>
      </c>
      <c r="E60" s="564">
        <v>27301218.488941301</v>
      </c>
      <c r="F60" s="564">
        <v>27437998.1406895</v>
      </c>
      <c r="G60" s="564">
        <v>27383286.2799902</v>
      </c>
      <c r="H60" s="564">
        <v>27574777.792437699</v>
      </c>
      <c r="I60" s="564">
        <v>27738913.374535501</v>
      </c>
      <c r="J60" s="564">
        <v>27875693.0262837</v>
      </c>
      <c r="K60" s="564">
        <v>27930404.886983</v>
      </c>
      <c r="L60" s="564">
        <v>27875693.0262837</v>
      </c>
      <c r="M60" s="564">
        <v>27766269.304885201</v>
      </c>
      <c r="N60" s="562">
        <v>2003</v>
      </c>
    </row>
    <row r="61" spans="1:14" ht="15" x14ac:dyDescent="0.25">
      <c r="A61" s="562">
        <v>2004</v>
      </c>
      <c r="B61" s="564">
        <v>27520065.931738399</v>
      </c>
      <c r="C61" s="564">
        <v>27492710.001388799</v>
      </c>
      <c r="D61" s="564">
        <v>27520065.931738399</v>
      </c>
      <c r="E61" s="564">
        <v>27520065.931738399</v>
      </c>
      <c r="F61" s="564">
        <v>27574777.792437699</v>
      </c>
      <c r="G61" s="564">
        <v>27520065.931738399</v>
      </c>
      <c r="H61" s="564">
        <v>27574777.792437699</v>
      </c>
      <c r="I61" s="564">
        <v>27574777.792437699</v>
      </c>
      <c r="J61" s="564">
        <v>27465354.071039099</v>
      </c>
      <c r="K61" s="564">
        <v>27164438.837193102</v>
      </c>
      <c r="L61" s="564">
        <v>27191794.767542701</v>
      </c>
      <c r="M61" s="564">
        <v>27137082.906843401</v>
      </c>
      <c r="N61" s="562">
        <v>2004</v>
      </c>
    </row>
    <row r="62" spans="1:14" ht="15" x14ac:dyDescent="0.25">
      <c r="A62" s="562">
        <v>2005</v>
      </c>
      <c r="B62" s="564">
        <v>28176608.260129798</v>
      </c>
      <c r="C62" s="564">
        <v>28231320.120829102</v>
      </c>
      <c r="D62" s="564">
        <v>28258676.051178701</v>
      </c>
      <c r="E62" s="564">
        <v>28039828.608381599</v>
      </c>
      <c r="F62" s="564">
        <v>28012472.678031899</v>
      </c>
      <c r="G62" s="564">
        <v>27957760.8173327</v>
      </c>
      <c r="H62" s="564">
        <v>27656845.583486602</v>
      </c>
      <c r="I62" s="564">
        <v>27629489.653136998</v>
      </c>
      <c r="J62" s="564">
        <v>27547421.862088099</v>
      </c>
      <c r="K62" s="564">
        <v>27355930.3496406</v>
      </c>
      <c r="L62" s="564">
        <v>27410642.2103399</v>
      </c>
      <c r="M62" s="564">
        <v>27355930.3496406</v>
      </c>
      <c r="N62" s="562">
        <v>2005</v>
      </c>
    </row>
    <row r="63" spans="1:14" ht="20.100000000000001" customHeight="1" x14ac:dyDescent="0.25">
      <c r="A63" s="562">
        <v>2006</v>
      </c>
      <c r="B63" s="564">
        <v>28149252.329780199</v>
      </c>
      <c r="C63" s="564">
        <v>28149252.329780199</v>
      </c>
      <c r="D63" s="564">
        <v>28203964.190479401</v>
      </c>
      <c r="E63" s="564">
        <v>28395455.7029269</v>
      </c>
      <c r="F63" s="564">
        <v>28641659.076073699</v>
      </c>
      <c r="G63" s="564">
        <v>28641659.076073699</v>
      </c>
      <c r="H63" s="564">
        <v>28614303.145723999</v>
      </c>
      <c r="I63" s="564">
        <v>28586947.215374399</v>
      </c>
      <c r="J63" s="564">
        <v>28586947.215374399</v>
      </c>
      <c r="K63" s="564">
        <v>28340743.842227601</v>
      </c>
      <c r="L63" s="564">
        <v>28258676.051178701</v>
      </c>
      <c r="M63" s="564">
        <v>28094540.469080899</v>
      </c>
      <c r="N63" s="562">
        <v>2006</v>
      </c>
    </row>
    <row r="64" spans="1:14" ht="15" x14ac:dyDescent="0.25">
      <c r="A64" s="562">
        <v>2007</v>
      </c>
      <c r="B64" s="564">
        <v>29105342.0955001</v>
      </c>
      <c r="C64" s="564">
        <v>28934969.361282501</v>
      </c>
      <c r="D64" s="564">
        <v>28821387.538470801</v>
      </c>
      <c r="E64" s="564">
        <v>28792992.0827679</v>
      </c>
      <c r="F64" s="564">
        <v>28934969.361282501</v>
      </c>
      <c r="G64" s="564">
        <v>28736201.171362001</v>
      </c>
      <c r="H64" s="564">
        <v>28423851.158629801</v>
      </c>
      <c r="I64" s="564">
        <v>28225082.968709402</v>
      </c>
      <c r="J64" s="564">
        <v>28225082.968709402</v>
      </c>
      <c r="K64" s="564">
        <v>28083105.6901947</v>
      </c>
      <c r="L64" s="564">
        <v>28026314.778788898</v>
      </c>
      <c r="M64" s="564">
        <v>28111501.145897601</v>
      </c>
      <c r="N64" s="562">
        <v>2007</v>
      </c>
    </row>
    <row r="65" spans="1:21" ht="15" x14ac:dyDescent="0.25">
      <c r="A65" s="562">
        <v>2008</v>
      </c>
      <c r="B65" s="564">
        <v>30212764.8679142</v>
      </c>
      <c r="C65" s="564">
        <v>30241160.323617201</v>
      </c>
      <c r="D65" s="564">
        <v>30411533.0578347</v>
      </c>
      <c r="E65" s="564">
        <v>30383137.602131799</v>
      </c>
      <c r="F65" s="564">
        <v>30383137.602131799</v>
      </c>
      <c r="G65" s="564">
        <v>30127578.500805501</v>
      </c>
      <c r="H65" s="564">
        <v>29786833.032370299</v>
      </c>
      <c r="I65" s="564">
        <v>29758437.576667398</v>
      </c>
      <c r="J65" s="564">
        <v>29559669.386746898</v>
      </c>
      <c r="K65" s="564">
        <v>29133737.551203001</v>
      </c>
      <c r="L65" s="564">
        <v>29048551.184094202</v>
      </c>
      <c r="M65" s="564">
        <v>29105342.0955001</v>
      </c>
      <c r="N65" s="562">
        <v>2008</v>
      </c>
    </row>
    <row r="66" spans="1:21" ht="15" x14ac:dyDescent="0.25">
      <c r="A66" s="562">
        <v>2009</v>
      </c>
      <c r="B66" s="564">
        <v>31395492.3888526</v>
      </c>
      <c r="C66" s="564">
        <v>31395492.3888526</v>
      </c>
      <c r="D66" s="564">
        <v>31305961.517021202</v>
      </c>
      <c r="E66" s="564">
        <v>31246274.269133698</v>
      </c>
      <c r="F66" s="564">
        <v>31335805.140965</v>
      </c>
      <c r="G66" s="564">
        <v>31186587.021246102</v>
      </c>
      <c r="H66" s="564">
        <v>30858307.1578646</v>
      </c>
      <c r="I66" s="564">
        <v>30589714.542370599</v>
      </c>
      <c r="J66" s="564">
        <v>30470340.046595499</v>
      </c>
      <c r="K66" s="564">
        <v>30171903.807157699</v>
      </c>
      <c r="L66" s="564">
        <v>30022685.687438801</v>
      </c>
      <c r="M66" s="564">
        <v>30052529.311382599</v>
      </c>
      <c r="N66" s="562">
        <v>2009</v>
      </c>
    </row>
    <row r="67" spans="1:21" ht="15" x14ac:dyDescent="0.25">
      <c r="A67" s="562">
        <v>2010</v>
      </c>
      <c r="B67" s="564">
        <v>32231113.859278299</v>
      </c>
      <c r="C67" s="564">
        <v>32111739.363503199</v>
      </c>
      <c r="D67" s="564">
        <v>32081895.739559401</v>
      </c>
      <c r="E67" s="564">
        <v>31992364.867728099</v>
      </c>
      <c r="F67" s="564">
        <v>31902833.995896701</v>
      </c>
      <c r="G67" s="564">
        <v>31753615.8761779</v>
      </c>
      <c r="H67" s="564">
        <v>31604397.756459001</v>
      </c>
      <c r="I67" s="564">
        <v>31514866.8846277</v>
      </c>
      <c r="J67" s="564">
        <v>31395492.3888526</v>
      </c>
      <c r="K67" s="564">
        <v>31126899.773358598</v>
      </c>
      <c r="L67" s="564">
        <v>31097056.1494148</v>
      </c>
      <c r="M67" s="564">
        <v>31186587.021246102</v>
      </c>
      <c r="N67" s="562">
        <v>2010</v>
      </c>
    </row>
    <row r="68" spans="1:21" ht="20.100000000000001" customHeight="1" x14ac:dyDescent="0.25">
      <c r="A68" s="562">
        <v>2011</v>
      </c>
      <c r="B68" s="564">
        <v>32930648.4045204</v>
      </c>
      <c r="C68" s="564">
        <v>32930648.4045204</v>
      </c>
      <c r="D68" s="564">
        <v>32962312.4895247</v>
      </c>
      <c r="E68" s="564">
        <v>32930648.4045204</v>
      </c>
      <c r="F68" s="564">
        <v>32993976.5745291</v>
      </c>
      <c r="G68" s="564">
        <v>32835656.1495074</v>
      </c>
      <c r="H68" s="564">
        <v>32930648.4045204</v>
      </c>
      <c r="I68" s="564">
        <v>32803992.064502999</v>
      </c>
      <c r="J68" s="564">
        <v>32645671.639481299</v>
      </c>
      <c r="K68" s="564">
        <v>32455687.129455201</v>
      </c>
      <c r="L68" s="564">
        <v>32392358.959446501</v>
      </c>
      <c r="M68" s="564">
        <v>32297366.704433501</v>
      </c>
      <c r="N68" s="562">
        <v>2011</v>
      </c>
    </row>
    <row r="69" spans="1:21" ht="15" x14ac:dyDescent="0.25">
      <c r="A69" s="562">
        <v>2012</v>
      </c>
      <c r="B69" s="564">
        <v>33468937.849594299</v>
      </c>
      <c r="C69" s="564">
        <v>33405609.679585598</v>
      </c>
      <c r="D69" s="564">
        <v>33563930.104607299</v>
      </c>
      <c r="E69" s="564">
        <v>33627258.274616003</v>
      </c>
      <c r="F69" s="564">
        <v>33627258.274616003</v>
      </c>
      <c r="G69" s="564">
        <v>33278953.339568201</v>
      </c>
      <c r="H69" s="564">
        <v>33247289.254563902</v>
      </c>
      <c r="I69" s="564">
        <v>33342281.509576902</v>
      </c>
      <c r="J69" s="564">
        <v>33342281.509576902</v>
      </c>
      <c r="K69" s="564">
        <v>33057304.744537801</v>
      </c>
      <c r="L69" s="564">
        <v>32930648.4045204</v>
      </c>
      <c r="M69" s="564">
        <v>32930648.4045204</v>
      </c>
      <c r="N69" s="562">
        <v>2012</v>
      </c>
    </row>
    <row r="70" spans="1:21" ht="15" x14ac:dyDescent="0.25">
      <c r="A70" s="562">
        <v>2013</v>
      </c>
      <c r="B70" s="564">
        <v>34076761.625337698</v>
      </c>
      <c r="C70" s="564">
        <v>34043451.007913098</v>
      </c>
      <c r="D70" s="564">
        <v>34176693.4776114</v>
      </c>
      <c r="E70" s="564">
        <v>34076761.625337698</v>
      </c>
      <c r="F70" s="564">
        <v>34076761.625337698</v>
      </c>
      <c r="G70" s="564">
        <v>34010140.390488602</v>
      </c>
      <c r="H70" s="564">
        <v>33910208.5382149</v>
      </c>
      <c r="I70" s="564">
        <v>33643723.598818302</v>
      </c>
      <c r="J70" s="564">
        <v>33610412.981393702</v>
      </c>
      <c r="K70" s="564">
        <v>33477170.5116954</v>
      </c>
      <c r="L70" s="564">
        <v>33410549.276846301</v>
      </c>
      <c r="M70" s="564">
        <v>33410549.276846301</v>
      </c>
      <c r="N70" s="562">
        <v>2013</v>
      </c>
    </row>
    <row r="71" spans="1:21" ht="15" x14ac:dyDescent="0.25">
      <c r="A71" s="562">
        <v>2014</v>
      </c>
      <c r="B71" s="1065">
        <v>34010140.390000001</v>
      </c>
      <c r="C71" s="1064">
        <v>34010140.390500002</v>
      </c>
      <c r="D71" s="564">
        <v>34076761.625299998</v>
      </c>
      <c r="E71" s="564">
        <v>33976829.773064002</v>
      </c>
      <c r="F71" s="564">
        <v>34076761.625337698</v>
      </c>
      <c r="G71" s="564">
        <v>34110072.242762297</v>
      </c>
      <c r="H71" s="564">
        <v>34076761.625337698</v>
      </c>
      <c r="I71" s="564">
        <v>33976829.773064002</v>
      </c>
      <c r="J71" s="564">
        <v>33943519.155639403</v>
      </c>
      <c r="K71" s="564">
        <v>33910208.5382149</v>
      </c>
      <c r="L71" s="564">
        <v>33810276.6859411</v>
      </c>
      <c r="M71" s="564">
        <v>33876897.9207903</v>
      </c>
      <c r="N71" s="562">
        <v>2014</v>
      </c>
    </row>
    <row r="72" spans="1:21" x14ac:dyDescent="0.2">
      <c r="A72" s="38">
        <v>2015</v>
      </c>
      <c r="B72" s="38"/>
      <c r="C72" s="353">
        <v>33705015.130000003</v>
      </c>
      <c r="D72" s="1213">
        <v>33840922.450000003</v>
      </c>
      <c r="E72" s="1213">
        <v>33806945.619999997</v>
      </c>
      <c r="F72" s="1063">
        <v>33942852.939999998</v>
      </c>
      <c r="G72" s="1063">
        <v>34010806.600000001</v>
      </c>
      <c r="H72" s="1063">
        <v>33942852.939999998</v>
      </c>
      <c r="I72" s="1063">
        <v>33840922.450000003</v>
      </c>
      <c r="J72" s="1063">
        <v>33772968.789999999</v>
      </c>
      <c r="K72" s="1063">
        <v>33569107.82</v>
      </c>
      <c r="L72" s="1063">
        <v>33467177.329999998</v>
      </c>
      <c r="M72" s="1063">
        <v>33705015.130000003</v>
      </c>
      <c r="N72" s="38">
        <v>2015</v>
      </c>
    </row>
    <row r="73" spans="1:21" x14ac:dyDescent="0.2">
      <c r="C73" s="33">
        <f>+C72/D72-1</f>
        <v>-4.0160642843233285E-3</v>
      </c>
      <c r="D73" s="20">
        <f>+D72/E72-1</f>
        <v>1.0050251324658088E-3</v>
      </c>
      <c r="E73" s="20">
        <f>+E72/F72-1</f>
        <v>-4.004004031135544E-3</v>
      </c>
      <c r="F73" s="729"/>
    </row>
    <row r="74" spans="1:21" x14ac:dyDescent="0.2">
      <c r="C74" s="33"/>
      <c r="D74" s="20"/>
      <c r="E74" s="20"/>
      <c r="F74" s="729"/>
      <c r="J74" s="33"/>
    </row>
    <row r="75" spans="1:21" x14ac:dyDescent="0.2">
      <c r="B75" s="33">
        <f>+C70/C67-1</f>
        <v>6.0155933085499491E-2</v>
      </c>
      <c r="E75" s="17"/>
      <c r="F75" s="33"/>
      <c r="G75" s="382"/>
    </row>
    <row r="76" spans="1:21" x14ac:dyDescent="0.2">
      <c r="B76" s="33"/>
      <c r="C76" s="474" t="s">
        <v>742</v>
      </c>
      <c r="D76" s="477"/>
      <c r="E76" s="478">
        <f>3.442%+2%</f>
        <v>5.4419999999999996E-2</v>
      </c>
      <c r="G76" s="51"/>
    </row>
    <row r="77" spans="1:21" x14ac:dyDescent="0.2">
      <c r="B77" s="16"/>
    </row>
    <row r="78" spans="1:21" x14ac:dyDescent="0.2">
      <c r="B78" s="20"/>
      <c r="E78" s="51">
        <f>+C72/C71-1</f>
        <v>-8.9715966178495199E-3</v>
      </c>
      <c r="G78" s="51">
        <f>+E71/K71-1</f>
        <v>1.9646365422383294E-3</v>
      </c>
    </row>
    <row r="79" spans="1:21" x14ac:dyDescent="0.2">
      <c r="B79" s="728"/>
      <c r="C79" s="80"/>
      <c r="D79" s="2"/>
      <c r="L79" s="731"/>
      <c r="M79" s="730"/>
      <c r="N79" s="730"/>
      <c r="O79" s="731"/>
      <c r="P79" s="730"/>
      <c r="Q79" s="730"/>
      <c r="R79" s="730"/>
      <c r="S79" s="730"/>
      <c r="T79" s="730"/>
      <c r="U79" s="731"/>
    </row>
    <row r="80" spans="1:21" x14ac:dyDescent="0.2">
      <c r="B80" s="20"/>
      <c r="C80" s="22"/>
      <c r="D80" s="33"/>
      <c r="K80" s="728"/>
      <c r="L80" s="728"/>
      <c r="M80" s="728"/>
      <c r="N80" s="728"/>
      <c r="O80" s="728"/>
      <c r="P80" s="727"/>
    </row>
    <row r="81" spans="3:14" x14ac:dyDescent="0.2">
      <c r="C81" s="729"/>
      <c r="D81" s="729"/>
      <c r="E81" s="729"/>
      <c r="F81" s="729"/>
      <c r="G81" s="729"/>
      <c r="H81" s="729"/>
      <c r="I81" s="729"/>
      <c r="J81" s="729"/>
      <c r="K81" s="729"/>
      <c r="L81" s="729"/>
      <c r="M81" s="729"/>
      <c r="N81" s="729"/>
    </row>
    <row r="82" spans="3:14" x14ac:dyDescent="0.2">
      <c r="E82" s="12"/>
    </row>
    <row r="83" spans="3:14" x14ac:dyDescent="0.2">
      <c r="D83" s="12"/>
      <c r="E83" s="12"/>
    </row>
    <row r="85" spans="3:14" x14ac:dyDescent="0.2">
      <c r="E85" s="34"/>
    </row>
  </sheetData>
  <mergeCells count="8">
    <mergeCell ref="A6:A7"/>
    <mergeCell ref="B6:M6"/>
    <mergeCell ref="N6:N7"/>
    <mergeCell ref="A1:N1"/>
    <mergeCell ref="A2:N2"/>
    <mergeCell ref="A3:N3"/>
    <mergeCell ref="A4:N4"/>
    <mergeCell ref="A5:N5"/>
  </mergeCells>
  <pageMargins left="0.7" right="0.7" top="0.75" bottom="0.75" header="0.3" footer="0.3"/>
  <pageSetup paperSize="9" orientation="portrait" verticalDpi="300"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
  <dimension ref="A3:H83"/>
  <sheetViews>
    <sheetView rightToLeft="1" workbookViewId="0">
      <pane xSplit="1" ySplit="5" topLeftCell="B21" activePane="bottomRight" state="frozen"/>
      <selection activeCell="E49" sqref="E49"/>
      <selection pane="topRight" activeCell="E49" sqref="E49"/>
      <selection pane="bottomLeft" activeCell="E49" sqref="E49"/>
      <selection pane="bottomRight" activeCell="E49" sqref="E49"/>
    </sheetView>
  </sheetViews>
  <sheetFormatPr defaultRowHeight="12.75" x14ac:dyDescent="0.2"/>
  <cols>
    <col min="1" max="1" width="27.42578125" style="511" bestFit="1" customWidth="1"/>
    <col min="2" max="2" width="44.7109375" style="511" bestFit="1" customWidth="1"/>
    <col min="3" max="3" width="14" style="512" bestFit="1" customWidth="1"/>
    <col min="4" max="4" width="10.28515625" style="511" bestFit="1" customWidth="1"/>
    <col min="5" max="6" width="9.140625" style="511" customWidth="1"/>
    <col min="7" max="7" width="9.140625" style="511" hidden="1" customWidth="1"/>
    <col min="8" max="8" width="43.5703125" style="511" hidden="1" customWidth="1"/>
    <col min="9" max="16384" width="9.140625" style="511"/>
  </cols>
  <sheetData>
    <row r="3" spans="1:8" ht="16.5" customHeight="1" x14ac:dyDescent="0.2">
      <c r="A3" s="519"/>
      <c r="G3" s="511">
        <v>1</v>
      </c>
      <c r="H3" s="513" t="s">
        <v>691</v>
      </c>
    </row>
    <row r="4" spans="1:8" x14ac:dyDescent="0.2">
      <c r="A4" s="1810" t="s">
        <v>188</v>
      </c>
      <c r="G4" s="511">
        <v>2</v>
      </c>
      <c r="H4" s="513" t="s">
        <v>439</v>
      </c>
    </row>
    <row r="5" spans="1:8" x14ac:dyDescent="0.2">
      <c r="A5" s="1810"/>
      <c r="G5" s="511">
        <v>3</v>
      </c>
      <c r="H5" s="513" t="s">
        <v>440</v>
      </c>
    </row>
    <row r="6" spans="1:8" x14ac:dyDescent="0.2">
      <c r="G6" s="511">
        <v>4</v>
      </c>
      <c r="H6" s="513" t="s">
        <v>441</v>
      </c>
    </row>
    <row r="7" spans="1:8" ht="14.25" x14ac:dyDescent="0.2">
      <c r="A7" s="638" t="s">
        <v>839</v>
      </c>
      <c r="B7" s="639"/>
      <c r="C7" s="516"/>
      <c r="G7" s="511">
        <v>5</v>
      </c>
      <c r="H7" s="513" t="s">
        <v>442</v>
      </c>
    </row>
    <row r="8" spans="1:8" x14ac:dyDescent="0.2">
      <c r="A8" s="639"/>
      <c r="B8" s="514" t="s">
        <v>671</v>
      </c>
      <c r="C8" s="516" t="str">
        <f>+VLOOKUP(B8,'תחשיב תעריף 2016'!$B$5:$BE$82,$H$64+1,0)</f>
        <v>חלש</v>
      </c>
      <c r="G8" s="511">
        <v>6</v>
      </c>
      <c r="H8" s="513" t="s">
        <v>443</v>
      </c>
    </row>
    <row r="9" spans="1:8" x14ac:dyDescent="0.2">
      <c r="A9" s="639"/>
      <c r="B9" s="514" t="s">
        <v>190</v>
      </c>
      <c r="C9" s="516">
        <f>+VLOOKUP(B9,'תחשיב תעריף 2016'!$B$5:$BE$82,$H$64+1,0)</f>
        <v>3</v>
      </c>
      <c r="G9" s="511">
        <v>7</v>
      </c>
      <c r="H9" s="513" t="s">
        <v>444</v>
      </c>
    </row>
    <row r="10" spans="1:8" x14ac:dyDescent="0.2">
      <c r="A10" s="639"/>
      <c r="B10" s="514" t="s">
        <v>191</v>
      </c>
      <c r="C10" s="516">
        <f>+VLOOKUP(B10,'תחשיב תעריף 2016'!$B$5:$BE$82,$H$64+1,0)</f>
        <v>2009</v>
      </c>
      <c r="G10" s="511">
        <v>8</v>
      </c>
      <c r="H10" s="513" t="s">
        <v>445</v>
      </c>
    </row>
    <row r="11" spans="1:8" x14ac:dyDescent="0.2">
      <c r="A11" s="639"/>
      <c r="B11" s="514" t="s">
        <v>919</v>
      </c>
      <c r="C11" s="516">
        <f>+VLOOKUP(B11,'תחשיב תעריף 2016'!$B$5:$BE$82,$H$64+1,0)</f>
        <v>42979.930999999997</v>
      </c>
      <c r="D11" s="653"/>
      <c r="G11" s="511">
        <v>9</v>
      </c>
      <c r="H11" s="513" t="s">
        <v>446</v>
      </c>
    </row>
    <row r="12" spans="1:8" x14ac:dyDescent="0.2">
      <c r="A12" s="639"/>
      <c r="B12" s="514" t="s">
        <v>920</v>
      </c>
      <c r="C12" s="516">
        <f>+VLOOKUP(B12,'תחשיב תעריף 2016'!$B$5:$BE$82,$H$64+1,0)</f>
        <v>6102.7640000000001</v>
      </c>
      <c r="G12" s="511">
        <v>10</v>
      </c>
      <c r="H12" s="513" t="s">
        <v>447</v>
      </c>
    </row>
    <row r="13" spans="1:8" x14ac:dyDescent="0.2">
      <c r="A13" s="639"/>
      <c r="B13" s="514" t="s">
        <v>834</v>
      </c>
      <c r="C13" s="516">
        <f>+VLOOKUP(B13,'תחשיב תעריף 2016'!$B$5:$BE$82,$H$64+1,0)</f>
        <v>94051.764314285727</v>
      </c>
      <c r="G13" s="511">
        <v>11</v>
      </c>
      <c r="H13" s="513" t="s">
        <v>448</v>
      </c>
    </row>
    <row r="14" spans="1:8" x14ac:dyDescent="0.2">
      <c r="A14" s="639"/>
      <c r="B14" s="514" t="s">
        <v>833</v>
      </c>
      <c r="C14" s="516">
        <f>+VLOOKUP(B14,'תחשיב תעריף 2016'!$B$5:$BE$82,$H$64+1,0)</f>
        <v>78671.974771428562</v>
      </c>
      <c r="G14" s="511">
        <v>12</v>
      </c>
      <c r="H14" s="513" t="s">
        <v>449</v>
      </c>
    </row>
    <row r="15" spans="1:8" x14ac:dyDescent="0.2">
      <c r="A15" s="639"/>
      <c r="B15" s="514" t="s">
        <v>835</v>
      </c>
      <c r="C15" s="516">
        <f>+VLOOKUP(B15,'תחשיב תעריף 2016'!$B$5:$BE$82,$H$64+1,0)</f>
        <v>60377.362999999998</v>
      </c>
      <c r="G15" s="511">
        <v>13</v>
      </c>
      <c r="H15" s="513" t="s">
        <v>450</v>
      </c>
    </row>
    <row r="16" spans="1:8" x14ac:dyDescent="0.2">
      <c r="A16" s="639"/>
      <c r="B16" s="514" t="s">
        <v>836</v>
      </c>
      <c r="C16" s="516">
        <f>+VLOOKUP(B16,'תחשיב תעריף 2016'!$B$5:$BE$82,$H$64+1,0)</f>
        <v>12560.46</v>
      </c>
      <c r="G16" s="511">
        <v>14</v>
      </c>
      <c r="H16" s="513" t="s">
        <v>828</v>
      </c>
    </row>
    <row r="17" spans="1:8" x14ac:dyDescent="0.2">
      <c r="A17" s="639"/>
      <c r="B17" s="514" t="s">
        <v>837</v>
      </c>
      <c r="C17" s="516">
        <f>+VLOOKUP(B17,'תחשיב תעריף 2016'!$B$5:$BE$82,$H$64+1,0)</f>
        <v>14179.218000000001</v>
      </c>
      <c r="G17" s="511">
        <v>15</v>
      </c>
      <c r="H17" s="513" t="s">
        <v>452</v>
      </c>
    </row>
    <row r="18" spans="1:8" x14ac:dyDescent="0.2">
      <c r="A18" s="639"/>
      <c r="B18" s="514" t="s">
        <v>791</v>
      </c>
      <c r="C18" s="516">
        <f>+VLOOKUP(B18,'תחשיב תעריף 2016'!$B$5:$BE$82,$H$64+1,0)</f>
        <v>10780.42</v>
      </c>
      <c r="G18" s="511">
        <v>16</v>
      </c>
      <c r="H18" s="513" t="s">
        <v>453</v>
      </c>
    </row>
    <row r="19" spans="1:8" x14ac:dyDescent="0.2">
      <c r="A19" s="639"/>
      <c r="B19" s="514" t="s">
        <v>486</v>
      </c>
      <c r="C19" s="516">
        <f>+VLOOKUP(B19,'תחשיב תעריף 2016'!$B$5:$BE$82,$H$64+1,0)</f>
        <v>10687.855</v>
      </c>
      <c r="G19" s="511">
        <v>17</v>
      </c>
      <c r="H19" s="513" t="s">
        <v>454</v>
      </c>
    </row>
    <row r="20" spans="1:8" ht="12" customHeight="1" x14ac:dyDescent="0.2">
      <c r="A20" s="639"/>
      <c r="B20" s="514" t="s">
        <v>798</v>
      </c>
      <c r="C20" s="517">
        <f>+VLOOKUP(B20,'תחשיב תעריף 2016'!$B$5:$BE$82,$H$64+1,0)</f>
        <v>0.7</v>
      </c>
      <c r="G20" s="511">
        <v>18</v>
      </c>
      <c r="H20" s="513" t="s">
        <v>455</v>
      </c>
    </row>
    <row r="21" spans="1:8" x14ac:dyDescent="0.2">
      <c r="A21" s="639"/>
      <c r="B21" s="514" t="s">
        <v>953</v>
      </c>
      <c r="C21" s="517">
        <f>+VLOOKUP(B21,'תחשיב תעריף 2016'!$B$5:$BE$82,$H$64+1,0)</f>
        <v>0.7</v>
      </c>
      <c r="G21" s="511">
        <v>19</v>
      </c>
      <c r="H21" s="513" t="s">
        <v>456</v>
      </c>
    </row>
    <row r="22" spans="1:8" x14ac:dyDescent="0.2">
      <c r="A22" s="639"/>
      <c r="B22" s="514" t="s">
        <v>878</v>
      </c>
      <c r="C22" s="516">
        <f>+VLOOKUP(B22,'תחשיב תעריף 2016'!$B$5:$BE$82,$H$64+1,0)</f>
        <v>16.833333333333336</v>
      </c>
      <c r="G22" s="511">
        <v>20</v>
      </c>
      <c r="H22" s="513" t="s">
        <v>457</v>
      </c>
    </row>
    <row r="23" spans="1:8" x14ac:dyDescent="0.2">
      <c r="A23" s="639"/>
      <c r="B23" s="514" t="s">
        <v>192</v>
      </c>
      <c r="C23" s="518">
        <f>+VLOOKUP(B23,'תחשיב תעריף 2016'!$B$5:$BE$82,$H$64+1,0)</f>
        <v>9.6984818710599358E-2</v>
      </c>
      <c r="G23" s="511">
        <v>21</v>
      </c>
      <c r="H23" s="513" t="s">
        <v>458</v>
      </c>
    </row>
    <row r="24" spans="1:8" x14ac:dyDescent="0.2">
      <c r="A24" s="639"/>
      <c r="B24" s="514" t="s">
        <v>496</v>
      </c>
      <c r="C24" s="518">
        <f>+VLOOKUP(B24,'תחשיב תעריף 2016'!$B$5:$BE$82,$H$64+1,0)</f>
        <v>5.1553417542358766E-2</v>
      </c>
      <c r="G24" s="511">
        <v>22</v>
      </c>
      <c r="H24" s="513" t="s">
        <v>257</v>
      </c>
    </row>
    <row r="25" spans="1:8" x14ac:dyDescent="0.2">
      <c r="A25" s="639"/>
      <c r="B25" s="514" t="s">
        <v>843</v>
      </c>
      <c r="C25" s="516">
        <f>+VLOOKUP(B25,'תחשיב תעריף 2016'!$B$5:$BE$82,$H$64+1,0)</f>
        <v>35</v>
      </c>
      <c r="G25" s="511">
        <v>23</v>
      </c>
      <c r="H25" s="513" t="s">
        <v>260</v>
      </c>
    </row>
    <row r="26" spans="1:8" x14ac:dyDescent="0.2">
      <c r="A26" s="639"/>
      <c r="B26" s="514" t="s">
        <v>844</v>
      </c>
      <c r="C26" s="518">
        <f>+VLOOKUP(B26,'תחשיב תעריף 2016'!$B$5:$BE$82,$H$64+1,0)</f>
        <v>2.9172521528580027E-2</v>
      </c>
      <c r="G26" s="511">
        <v>24</v>
      </c>
      <c r="H26" s="513" t="s">
        <v>658</v>
      </c>
    </row>
    <row r="27" spans="1:8" x14ac:dyDescent="0.2">
      <c r="A27" s="639"/>
      <c r="B27" s="514" t="s">
        <v>872</v>
      </c>
      <c r="C27" s="518">
        <f>+VLOOKUP(B27,'תחשיב תעריף 2016'!$B$5:$BE$82,$H$64+1,0)</f>
        <v>0.05</v>
      </c>
      <c r="G27" s="511">
        <v>25</v>
      </c>
      <c r="H27" s="513" t="s">
        <v>258</v>
      </c>
    </row>
    <row r="28" spans="1:8" x14ac:dyDescent="0.2">
      <c r="A28" s="639"/>
      <c r="B28" s="514" t="s">
        <v>880</v>
      </c>
      <c r="C28" s="518">
        <f>+VLOOKUP(B28,'תחשיב תעריף 2016'!$B$5:$BE$82,$H$64+1,0)</f>
        <v>5.6000000000000001E-2</v>
      </c>
      <c r="G28" s="511">
        <v>26</v>
      </c>
      <c r="H28" s="513" t="s">
        <v>659</v>
      </c>
    </row>
    <row r="29" spans="1:8" x14ac:dyDescent="0.2">
      <c r="A29" s="639"/>
      <c r="B29" s="514" t="s">
        <v>875</v>
      </c>
      <c r="C29" s="518">
        <f>+VLOOKUP(B29,'תחשיב תעריף 2016'!$B$5:$BE$82,$H$64+1,0)</f>
        <v>7.0000000000000007E-2</v>
      </c>
      <c r="G29" s="511">
        <v>27</v>
      </c>
      <c r="H29" s="513" t="s">
        <v>254</v>
      </c>
    </row>
    <row r="30" spans="1:8" x14ac:dyDescent="0.2">
      <c r="B30" s="515"/>
      <c r="G30" s="511">
        <v>28</v>
      </c>
      <c r="H30" s="513" t="s">
        <v>264</v>
      </c>
    </row>
    <row r="31" spans="1:8" x14ac:dyDescent="0.2">
      <c r="B31" s="515"/>
      <c r="G31" s="511">
        <v>29</v>
      </c>
      <c r="H31" s="513" t="s">
        <v>256</v>
      </c>
    </row>
    <row r="32" spans="1:8" x14ac:dyDescent="0.2">
      <c r="B32" s="515"/>
      <c r="G32" s="511">
        <v>30</v>
      </c>
      <c r="H32" s="513" t="s">
        <v>255</v>
      </c>
    </row>
    <row r="33" spans="1:8" ht="14.25" x14ac:dyDescent="0.2">
      <c r="A33" s="638" t="s">
        <v>838</v>
      </c>
      <c r="B33" s="514" t="s">
        <v>722</v>
      </c>
      <c r="C33" s="516"/>
      <c r="G33" s="511">
        <v>31</v>
      </c>
      <c r="H33" s="513" t="s">
        <v>660</v>
      </c>
    </row>
    <row r="34" spans="1:8" x14ac:dyDescent="0.2">
      <c r="A34" s="639"/>
      <c r="B34" s="514" t="s">
        <v>673</v>
      </c>
      <c r="C34" s="641">
        <f>+VLOOKUP(B34,'תחשיב תעריף 2016'!$B$5:$BE$82,$H$64+1,0)</f>
        <v>0.91869263176766125</v>
      </c>
      <c r="G34" s="511">
        <v>32</v>
      </c>
      <c r="H34" s="513" t="s">
        <v>269</v>
      </c>
    </row>
    <row r="35" spans="1:8" x14ac:dyDescent="0.2">
      <c r="A35" s="639"/>
      <c r="B35" s="514" t="s">
        <v>674</v>
      </c>
      <c r="C35" s="641">
        <f>+VLOOKUP(B35,'תחשיב תעריף 2016'!$B$5:$BE$82,$H$64+1,0)</f>
        <v>0.55462266562692264</v>
      </c>
      <c r="G35" s="511">
        <v>33</v>
      </c>
      <c r="H35" s="513" t="s">
        <v>262</v>
      </c>
    </row>
    <row r="36" spans="1:8" x14ac:dyDescent="0.2">
      <c r="A36" s="639"/>
      <c r="B36" s="639"/>
      <c r="C36" s="516"/>
      <c r="G36" s="511">
        <v>34</v>
      </c>
      <c r="H36" s="513" t="s">
        <v>263</v>
      </c>
    </row>
    <row r="37" spans="1:8" x14ac:dyDescent="0.2">
      <c r="A37" s="639"/>
      <c r="B37" s="639"/>
      <c r="C37" s="516"/>
      <c r="G37" s="511">
        <v>35</v>
      </c>
      <c r="H37" s="513" t="s">
        <v>275</v>
      </c>
    </row>
    <row r="38" spans="1:8" x14ac:dyDescent="0.2">
      <c r="A38" s="640" t="s">
        <v>887</v>
      </c>
      <c r="B38" s="514" t="s">
        <v>842</v>
      </c>
      <c r="C38" s="641">
        <f>+C13/C18/C25/(1-C23)*(1+C26)</f>
        <v>0.28409026508742558</v>
      </c>
      <c r="G38" s="511">
        <v>36</v>
      </c>
      <c r="H38" s="513" t="s">
        <v>687</v>
      </c>
    </row>
    <row r="39" spans="1:8" x14ac:dyDescent="0.2">
      <c r="A39" s="639"/>
      <c r="B39" s="514" t="s">
        <v>870</v>
      </c>
      <c r="C39" s="641">
        <f>+C15*C20*C27/C18/(1-C23)*(1+C26)</f>
        <v>0.2234084703421863</v>
      </c>
      <c r="G39" s="511">
        <v>37</v>
      </c>
      <c r="H39" s="513" t="s">
        <v>259</v>
      </c>
    </row>
    <row r="40" spans="1:8" x14ac:dyDescent="0.2">
      <c r="A40" s="639"/>
      <c r="B40" s="514" t="s">
        <v>873</v>
      </c>
      <c r="C40" s="641">
        <f>+C15*C29*(1-C20)/C18/(1-C23)*(1+C26)</f>
        <v>0.13404508220531183</v>
      </c>
      <c r="G40" s="511">
        <v>38</v>
      </c>
      <c r="H40" s="513" t="s">
        <v>281</v>
      </c>
    </row>
    <row r="41" spans="1:8" x14ac:dyDescent="0.2">
      <c r="A41" s="639"/>
      <c r="B41" s="514" t="s">
        <v>876</v>
      </c>
      <c r="C41" s="641">
        <f>-((C11+C17/2)*C21/C18/(1-C23)*(1+C26)/C22)</f>
        <v>-0.22011972803997717</v>
      </c>
      <c r="G41" s="511">
        <v>39</v>
      </c>
      <c r="H41" s="513" t="s">
        <v>529</v>
      </c>
    </row>
    <row r="42" spans="1:8" x14ac:dyDescent="0.2">
      <c r="A42" s="639"/>
      <c r="B42" s="514" t="s">
        <v>879</v>
      </c>
      <c r="C42" s="641">
        <f>+C17*C28/C18/(1-C23)*(1+C26)</f>
        <v>8.394556493706809E-2</v>
      </c>
      <c r="G42" s="511">
        <v>40</v>
      </c>
      <c r="H42" s="513" t="s">
        <v>530</v>
      </c>
    </row>
    <row r="43" spans="1:8" x14ac:dyDescent="0.2">
      <c r="A43" s="639"/>
      <c r="B43" s="514" t="s">
        <v>881</v>
      </c>
      <c r="C43" s="641">
        <f>+'הנחות עבודה'!D8/(1-C23)</f>
        <v>5.4391941879403074</v>
      </c>
      <c r="G43" s="511">
        <v>41</v>
      </c>
      <c r="H43" s="513" t="s">
        <v>266</v>
      </c>
    </row>
    <row r="44" spans="1:8" x14ac:dyDescent="0.2">
      <c r="A44" s="639"/>
      <c r="B44" s="514" t="s">
        <v>882</v>
      </c>
      <c r="C44" s="641">
        <f>+'הנחות עבודה'!D9/(1-C23)</f>
        <v>1.108148507827214</v>
      </c>
      <c r="G44" s="511">
        <v>42</v>
      </c>
      <c r="H44" s="513" t="s">
        <v>261</v>
      </c>
    </row>
    <row r="45" spans="1:8" x14ac:dyDescent="0.2">
      <c r="A45" s="639"/>
      <c r="B45" s="640"/>
      <c r="C45" s="516"/>
      <c r="G45" s="511">
        <v>43</v>
      </c>
      <c r="H45" s="513" t="s">
        <v>268</v>
      </c>
    </row>
    <row r="46" spans="1:8" x14ac:dyDescent="0.2">
      <c r="A46" s="640" t="s">
        <v>888</v>
      </c>
      <c r="B46" s="514" t="s">
        <v>869</v>
      </c>
      <c r="C46" s="641">
        <f>+C14/C19/C25/(1-C23)*(1+C26)</f>
        <v>0.23969257703926214</v>
      </c>
      <c r="G46" s="511">
        <v>44</v>
      </c>
      <c r="H46" s="513" t="s">
        <v>265</v>
      </c>
    </row>
    <row r="47" spans="1:8" x14ac:dyDescent="0.2">
      <c r="A47" s="639"/>
      <c r="B47" s="514" t="s">
        <v>871</v>
      </c>
      <c r="C47" s="641">
        <f>+C16*C20*C27/C19/(1-C23)*(1+C26)</f>
        <v>4.6878765504595445E-2</v>
      </c>
      <c r="G47" s="511">
        <v>45</v>
      </c>
      <c r="H47" s="513" t="s">
        <v>253</v>
      </c>
    </row>
    <row r="48" spans="1:8" x14ac:dyDescent="0.2">
      <c r="A48" s="639"/>
      <c r="B48" s="514" t="s">
        <v>874</v>
      </c>
      <c r="C48" s="641">
        <f>+C16*C29*(1-C20)/C19/(1-C23)*(1+C26)</f>
        <v>2.8127259302757276E-2</v>
      </c>
      <c r="G48" s="511">
        <v>46</v>
      </c>
      <c r="H48" s="513" t="s">
        <v>250</v>
      </c>
    </row>
    <row r="49" spans="1:8" x14ac:dyDescent="0.2">
      <c r="A49" s="639"/>
      <c r="B49" s="514" t="s">
        <v>877</v>
      </c>
      <c r="C49" s="641">
        <f>-(C12*C21/C19/(1-C23)*(1+C26))/C22</f>
        <v>-2.7061824277882382E-2</v>
      </c>
      <c r="G49" s="511">
        <v>47</v>
      </c>
      <c r="H49" s="513" t="s">
        <v>252</v>
      </c>
    </row>
    <row r="50" spans="1:8" x14ac:dyDescent="0.2">
      <c r="A50" s="639"/>
      <c r="B50" s="514" t="s">
        <v>889</v>
      </c>
      <c r="C50" s="641">
        <f>+VLOOKUP(B50,'תחשיב תעריף 2016'!$B$5:$BE$82,$H$64+1,0)</f>
        <v>2.4775710084553761</v>
      </c>
      <c r="G50" s="511">
        <v>48</v>
      </c>
      <c r="H50" s="513" t="s">
        <v>271</v>
      </c>
    </row>
    <row r="51" spans="1:8" x14ac:dyDescent="0.2">
      <c r="A51" s="639"/>
      <c r="B51" s="639"/>
      <c r="C51" s="516"/>
      <c r="G51" s="511">
        <v>49</v>
      </c>
      <c r="H51" s="513" t="s">
        <v>267</v>
      </c>
    </row>
    <row r="52" spans="1:8" ht="14.25" x14ac:dyDescent="0.2">
      <c r="A52" s="638" t="s">
        <v>883</v>
      </c>
      <c r="B52" s="514" t="s">
        <v>884</v>
      </c>
      <c r="C52" s="641">
        <f>+C34+C38+C39+C40+C41+C42+C43</f>
        <v>6.863256474239984</v>
      </c>
      <c r="G52" s="511">
        <v>50</v>
      </c>
      <c r="H52" s="513" t="s">
        <v>270</v>
      </c>
    </row>
    <row r="53" spans="1:8" x14ac:dyDescent="0.2">
      <c r="A53" s="639"/>
      <c r="B53" s="514" t="s">
        <v>885</v>
      </c>
      <c r="C53" s="641">
        <f>+C52+(-C43*(1-C23)+C44*(1-C23))</f>
        <v>2.9522564742399839</v>
      </c>
      <c r="G53" s="511">
        <v>51</v>
      </c>
      <c r="H53" s="513" t="s">
        <v>531</v>
      </c>
    </row>
    <row r="54" spans="1:8" x14ac:dyDescent="0.2">
      <c r="A54" s="639"/>
      <c r="B54" s="514" t="s">
        <v>886</v>
      </c>
      <c r="C54" s="641">
        <f>+C35+C46+C47+C48+C49+C50</f>
        <v>3.3198304516510313</v>
      </c>
      <c r="G54" s="511">
        <v>52</v>
      </c>
      <c r="H54" s="513" t="s">
        <v>661</v>
      </c>
    </row>
    <row r="55" spans="1:8" x14ac:dyDescent="0.2">
      <c r="A55" s="639"/>
      <c r="B55" s="639"/>
      <c r="C55" s="516"/>
      <c r="G55" s="511">
        <v>53</v>
      </c>
      <c r="H55" s="513" t="s">
        <v>578</v>
      </c>
    </row>
    <row r="56" spans="1:8" x14ac:dyDescent="0.2">
      <c r="A56" s="639"/>
      <c r="B56" s="639"/>
      <c r="C56" s="516"/>
      <c r="G56" s="511">
        <v>54</v>
      </c>
      <c r="H56" s="513" t="s">
        <v>272</v>
      </c>
    </row>
    <row r="57" spans="1:8" ht="14.25" x14ac:dyDescent="0.2">
      <c r="A57" s="638" t="s">
        <v>890</v>
      </c>
      <c r="B57" s="514" t="s">
        <v>895</v>
      </c>
      <c r="C57" s="641">
        <f>+VLOOKUP(B57,'תחשיב תעריף 2016'!$B$5:$BE$82,$H$64+1,0)</f>
        <v>10.5597463205149</v>
      </c>
      <c r="G57" s="511">
        <v>55</v>
      </c>
      <c r="H57" s="513" t="s">
        <v>681</v>
      </c>
    </row>
    <row r="58" spans="1:8" x14ac:dyDescent="0.2">
      <c r="A58" s="639"/>
      <c r="B58" s="514" t="s">
        <v>891</v>
      </c>
      <c r="C58" s="641">
        <f>+C54/(1-C24)</f>
        <v>3.5002819484557519</v>
      </c>
      <c r="G58" s="511">
        <v>56</v>
      </c>
      <c r="H58" s="513" t="s">
        <v>947</v>
      </c>
    </row>
    <row r="59" spans="1:8" x14ac:dyDescent="0.2">
      <c r="A59" s="639"/>
      <c r="B59" s="514" t="s">
        <v>892</v>
      </c>
      <c r="C59" s="641">
        <f>+(C52-C43)/(1-C24)</f>
        <v>1.5014680980868809</v>
      </c>
      <c r="G59" s="511">
        <v>57</v>
      </c>
      <c r="H59" s="513" t="s">
        <v>949</v>
      </c>
    </row>
    <row r="60" spans="1:8" x14ac:dyDescent="0.2">
      <c r="A60" s="639"/>
      <c r="B60" s="514" t="s">
        <v>893</v>
      </c>
      <c r="C60" s="641">
        <f>+C57-C58-C59</f>
        <v>5.5579962739722673</v>
      </c>
      <c r="G60" s="511">
        <v>58</v>
      </c>
      <c r="H60" s="513" t="s">
        <v>950</v>
      </c>
    </row>
    <row r="61" spans="1:8" x14ac:dyDescent="0.2">
      <c r="A61" s="644"/>
      <c r="B61" s="635" t="s">
        <v>896</v>
      </c>
      <c r="C61" s="645">
        <f>+C60*(1-C24)*(1-C23)</f>
        <v>4.7602107295381151</v>
      </c>
      <c r="G61" s="511">
        <v>59</v>
      </c>
      <c r="H61" s="513" t="s">
        <v>951</v>
      </c>
    </row>
    <row r="62" spans="1:8" x14ac:dyDescent="0.2">
      <c r="A62" s="639"/>
      <c r="B62" s="639"/>
      <c r="C62" s="516"/>
      <c r="G62" s="511">
        <v>60</v>
      </c>
      <c r="H62" s="513" t="s">
        <v>952</v>
      </c>
    </row>
    <row r="63" spans="1:8" x14ac:dyDescent="0.2">
      <c r="A63" s="639"/>
      <c r="B63" s="639"/>
      <c r="C63" s="516"/>
    </row>
    <row r="64" spans="1:8" x14ac:dyDescent="0.2">
      <c r="A64" s="639"/>
      <c r="B64" s="514" t="s">
        <v>894</v>
      </c>
      <c r="C64" s="641">
        <f>+VLOOKUP(B64,'תחשיב תעריף 2016'!$B$5:$BE$82,$H$64+1,0)</f>
        <v>6.5610803233590609</v>
      </c>
      <c r="H64" s="511">
        <v>1</v>
      </c>
    </row>
    <row r="65" spans="1:3" x14ac:dyDescent="0.2">
      <c r="A65" s="639"/>
      <c r="B65" s="514" t="s">
        <v>891</v>
      </c>
      <c r="C65" s="641">
        <f>+C58</f>
        <v>3.5002819484557519</v>
      </c>
    </row>
    <row r="66" spans="1:3" x14ac:dyDescent="0.2">
      <c r="A66" s="639"/>
      <c r="B66" s="514" t="s">
        <v>892</v>
      </c>
      <c r="C66" s="641">
        <f>+C59</f>
        <v>1.5014680980868809</v>
      </c>
    </row>
    <row r="67" spans="1:3" x14ac:dyDescent="0.2">
      <c r="A67" s="639"/>
      <c r="B67" s="514" t="s">
        <v>893</v>
      </c>
      <c r="C67" s="642">
        <f>+(C64-C65-C66)-(C61/(1-C23)-C61)/(1-C24)</f>
        <v>1.0202890157910409</v>
      </c>
    </row>
    <row r="68" spans="1:3" x14ac:dyDescent="0.2">
      <c r="A68" s="644"/>
      <c r="B68" s="635" t="s">
        <v>897</v>
      </c>
      <c r="C68" s="645">
        <f>+C67*(1-C24)</f>
        <v>0.96768963014608311</v>
      </c>
    </row>
    <row r="69" spans="1:3" x14ac:dyDescent="0.2">
      <c r="A69" s="639"/>
      <c r="B69" s="639"/>
      <c r="C69" s="516"/>
    </row>
    <row r="70" spans="1:3" x14ac:dyDescent="0.2">
      <c r="A70" s="639"/>
      <c r="B70" s="639"/>
      <c r="C70" s="516"/>
    </row>
    <row r="71" spans="1:3" x14ac:dyDescent="0.2">
      <c r="A71" s="639"/>
      <c r="B71" s="639"/>
      <c r="C71" s="516"/>
    </row>
    <row r="72" spans="1:3" x14ac:dyDescent="0.2">
      <c r="A72" s="639"/>
      <c r="B72" s="639"/>
      <c r="C72" s="516"/>
    </row>
    <row r="73" spans="1:3" ht="14.25" x14ac:dyDescent="0.2">
      <c r="A73" s="638" t="s">
        <v>898</v>
      </c>
      <c r="B73" s="514" t="s">
        <v>884</v>
      </c>
      <c r="C73" s="641">
        <f>+C52</f>
        <v>6.863256474239984</v>
      </c>
    </row>
    <row r="74" spans="1:3" x14ac:dyDescent="0.2">
      <c r="A74" s="639"/>
      <c r="B74" s="514" t="s">
        <v>881</v>
      </c>
      <c r="C74" s="641">
        <f>+'הנחות עבודה'!D8</f>
        <v>4.9116749256911705</v>
      </c>
    </row>
    <row r="75" spans="1:3" ht="15" x14ac:dyDescent="0.35">
      <c r="A75" s="639"/>
      <c r="B75" s="514" t="s">
        <v>499</v>
      </c>
      <c r="C75" s="643">
        <f>+'הנחות עבודה'!D31</f>
        <v>3.8111733748363652</v>
      </c>
    </row>
    <row r="76" spans="1:3" x14ac:dyDescent="0.2">
      <c r="A76" s="639"/>
      <c r="B76" s="514" t="s">
        <v>500</v>
      </c>
      <c r="C76" s="641">
        <f>+C73-C74+C75</f>
        <v>5.7627549233851791</v>
      </c>
    </row>
    <row r="77" spans="1:3" x14ac:dyDescent="0.2">
      <c r="A77" s="639"/>
      <c r="B77" s="514" t="s">
        <v>496</v>
      </c>
      <c r="C77" s="518">
        <f>+C24</f>
        <v>5.1553417542358766E-2</v>
      </c>
    </row>
    <row r="78" spans="1:3" x14ac:dyDescent="0.2">
      <c r="A78" s="639"/>
      <c r="B78" s="514" t="s">
        <v>899</v>
      </c>
      <c r="C78" s="641">
        <f>+C76/(1-C77)</f>
        <v>6.0759931344288969</v>
      </c>
    </row>
    <row r="79" spans="1:3" x14ac:dyDescent="0.2">
      <c r="A79" s="639"/>
      <c r="B79" s="639"/>
      <c r="C79" s="516"/>
    </row>
    <row r="80" spans="1:3" x14ac:dyDescent="0.2">
      <c r="A80" s="639"/>
      <c r="B80" s="639"/>
      <c r="C80" s="516"/>
    </row>
    <row r="81" spans="1:3" x14ac:dyDescent="0.2">
      <c r="A81" s="639"/>
      <c r="B81" s="514" t="s">
        <v>900</v>
      </c>
      <c r="C81" s="641">
        <f>+'ריכוז עלויות'!$B$68</f>
        <v>5.8829401268363268</v>
      </c>
    </row>
    <row r="82" spans="1:3" x14ac:dyDescent="0.2">
      <c r="A82" s="639"/>
      <c r="B82" s="514" t="s">
        <v>901</v>
      </c>
      <c r="C82" s="641">
        <f>+C81-C59-(C61/(1-C23)-C61)/(1-C24)</f>
        <v>3.8424307677240588</v>
      </c>
    </row>
    <row r="83" spans="1:3" x14ac:dyDescent="0.2">
      <c r="A83" s="644"/>
      <c r="B83" s="635" t="s">
        <v>902</v>
      </c>
      <c r="C83" s="645">
        <f>+C82*(1-C24)</f>
        <v>3.6443403299779744</v>
      </c>
    </row>
  </sheetData>
  <mergeCells count="1">
    <mergeCell ref="A4:A5"/>
  </mergeCells>
  <pageMargins left="0.7" right="0.7" top="0.75" bottom="0.75" header="0.3" footer="0.3"/>
  <pageSetup paperSize="9" orientation="portrait"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13687" r:id="rId4" name="Drop Down 23">
              <controlPr defaultSize="0" autoLine="0" autoPict="0">
                <anchor moveWithCells="1">
                  <from>
                    <xdr:col>1</xdr:col>
                    <xdr:colOff>285750</xdr:colOff>
                    <xdr:row>3</xdr:row>
                    <xdr:rowOff>28575</xdr:rowOff>
                  </from>
                  <to>
                    <xdr:col>1</xdr:col>
                    <xdr:colOff>2219325</xdr:colOff>
                    <xdr:row>4</xdr:row>
                    <xdr:rowOff>114300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7"/>
  <dimension ref="A1:X322"/>
  <sheetViews>
    <sheetView rightToLeft="1" workbookViewId="0">
      <pane xSplit="4" ySplit="3" topLeftCell="E194" activePane="bottomRight" state="frozen"/>
      <selection pane="topRight" activeCell="E1" sqref="E1"/>
      <selection pane="bottomLeft" activeCell="A4" sqref="A4"/>
      <selection pane="bottomRight" sqref="A1:XFD1048576"/>
    </sheetView>
  </sheetViews>
  <sheetFormatPr defaultRowHeight="12.75" x14ac:dyDescent="0.2"/>
  <cols>
    <col min="1" max="1" width="6.42578125" customWidth="1"/>
    <col min="2" max="2" width="12.5703125" customWidth="1"/>
    <col min="3" max="3" width="6.7109375" customWidth="1"/>
    <col min="4" max="4" width="11.28515625" customWidth="1"/>
    <col min="5" max="5" width="9.28515625" style="3" bestFit="1" customWidth="1"/>
    <col min="6" max="10" width="10.140625" style="3" bestFit="1" customWidth="1"/>
    <col min="11" max="12" width="9.28515625" style="3" bestFit="1" customWidth="1"/>
    <col min="13" max="13" width="10.140625" style="3" bestFit="1" customWidth="1"/>
    <col min="14" max="14" width="9.28515625" style="3" bestFit="1" customWidth="1"/>
    <col min="15" max="17" width="9.140625" style="105"/>
    <col min="18" max="18" width="10.140625" style="3" bestFit="1" customWidth="1"/>
    <col min="19" max="19" width="11.28515625" style="2" bestFit="1" customWidth="1"/>
  </cols>
  <sheetData>
    <row r="1" spans="1:24" s="9" customFormat="1" ht="17.100000000000001" customHeight="1" x14ac:dyDescent="0.2">
      <c r="A1" s="550" t="s">
        <v>282</v>
      </c>
      <c r="B1" s="551"/>
      <c r="C1" s="438"/>
      <c r="D1" s="438"/>
      <c r="E1" s="552" t="s">
        <v>283</v>
      </c>
      <c r="F1" s="552" t="s">
        <v>284</v>
      </c>
      <c r="G1" s="552" t="s">
        <v>284</v>
      </c>
      <c r="H1" s="552" t="s">
        <v>164</v>
      </c>
      <c r="I1" s="552" t="s">
        <v>285</v>
      </c>
      <c r="J1" s="552" t="s">
        <v>285</v>
      </c>
      <c r="K1" s="552" t="s">
        <v>285</v>
      </c>
      <c r="L1" s="552" t="s">
        <v>285</v>
      </c>
      <c r="M1" s="552" t="s">
        <v>286</v>
      </c>
      <c r="N1" s="552" t="s">
        <v>164</v>
      </c>
      <c r="O1" s="553" t="s">
        <v>164</v>
      </c>
      <c r="P1" s="553" t="s">
        <v>287</v>
      </c>
      <c r="Q1" s="553" t="s">
        <v>288</v>
      </c>
      <c r="R1" s="552" t="s">
        <v>903</v>
      </c>
      <c r="S1" s="554"/>
      <c r="X1" s="29"/>
    </row>
    <row r="2" spans="1:24" s="9" customFormat="1" ht="17.100000000000001" customHeight="1" x14ac:dyDescent="0.2">
      <c r="A2" s="550" t="s">
        <v>289</v>
      </c>
      <c r="B2" s="551" t="s">
        <v>556</v>
      </c>
      <c r="C2" s="438"/>
      <c r="D2" s="438" t="s">
        <v>290</v>
      </c>
      <c r="E2" s="555">
        <v>2011</v>
      </c>
      <c r="F2" s="552" t="s">
        <v>292</v>
      </c>
      <c r="G2" s="552" t="s">
        <v>293</v>
      </c>
      <c r="H2" s="552" t="s">
        <v>284</v>
      </c>
      <c r="I2" s="552" t="s">
        <v>294</v>
      </c>
      <c r="J2" s="552" t="s">
        <v>295</v>
      </c>
      <c r="K2" s="552" t="s">
        <v>296</v>
      </c>
      <c r="L2" s="552" t="s">
        <v>297</v>
      </c>
      <c r="M2" s="552" t="s">
        <v>285</v>
      </c>
      <c r="N2" s="552" t="s">
        <v>298</v>
      </c>
      <c r="O2" s="553" t="s">
        <v>298</v>
      </c>
      <c r="P2" s="553" t="s">
        <v>299</v>
      </c>
      <c r="Q2" s="553" t="s">
        <v>295</v>
      </c>
      <c r="R2" s="552" t="s">
        <v>553</v>
      </c>
      <c r="S2" s="554" t="s">
        <v>904</v>
      </c>
      <c r="X2" s="29"/>
    </row>
    <row r="3" spans="1:24" s="9" customFormat="1" ht="17.100000000000001" customHeight="1" x14ac:dyDescent="0.2">
      <c r="A3" s="556"/>
      <c r="B3" s="557"/>
      <c r="C3" s="558"/>
      <c r="D3" s="558"/>
      <c r="E3" s="559" t="s">
        <v>300</v>
      </c>
      <c r="F3" s="559" t="s">
        <v>301</v>
      </c>
      <c r="G3" s="559" t="s">
        <v>301</v>
      </c>
      <c r="H3" s="559" t="s">
        <v>301</v>
      </c>
      <c r="I3" s="559" t="s">
        <v>301</v>
      </c>
      <c r="J3" s="559" t="s">
        <v>301</v>
      </c>
      <c r="K3" s="559" t="s">
        <v>301</v>
      </c>
      <c r="L3" s="559" t="s">
        <v>301</v>
      </c>
      <c r="M3" s="559" t="s">
        <v>301</v>
      </c>
      <c r="N3" s="559" t="s">
        <v>301</v>
      </c>
      <c r="O3" s="560" t="s">
        <v>302</v>
      </c>
      <c r="P3" s="560" t="s">
        <v>303</v>
      </c>
      <c r="Q3" s="560" t="s">
        <v>303</v>
      </c>
      <c r="R3" s="559" t="s">
        <v>301</v>
      </c>
      <c r="S3" s="561"/>
      <c r="X3" s="29"/>
    </row>
    <row r="4" spans="1:24" x14ac:dyDescent="0.2">
      <c r="A4" s="38"/>
      <c r="B4" s="38"/>
      <c r="C4" s="38">
        <v>1</v>
      </c>
      <c r="D4" s="38" t="s">
        <v>88</v>
      </c>
      <c r="E4" s="494">
        <v>12856</v>
      </c>
      <c r="F4" s="494">
        <v>0</v>
      </c>
      <c r="G4" s="494">
        <v>844413</v>
      </c>
      <c r="H4" s="494">
        <v>844413</v>
      </c>
      <c r="I4" s="494">
        <v>585730</v>
      </c>
      <c r="J4" s="494">
        <v>657280</v>
      </c>
      <c r="K4" s="494">
        <v>6685</v>
      </c>
      <c r="L4" s="494">
        <v>707</v>
      </c>
      <c r="M4" s="494">
        <v>664672</v>
      </c>
      <c r="N4" s="494">
        <v>179741</v>
      </c>
      <c r="O4" s="545">
        <v>21.285911041161139</v>
      </c>
      <c r="P4" s="545">
        <v>45.560827629122592</v>
      </c>
      <c r="Q4" s="545">
        <v>51.126322339763533</v>
      </c>
      <c r="R4" s="494">
        <v>0</v>
      </c>
      <c r="S4" s="353"/>
    </row>
    <row r="5" spans="1:24" x14ac:dyDescent="0.2">
      <c r="A5" s="38"/>
      <c r="B5" s="38"/>
      <c r="C5" s="38">
        <v>2</v>
      </c>
      <c r="D5" s="38" t="s">
        <v>96</v>
      </c>
      <c r="E5" s="494">
        <v>5868</v>
      </c>
      <c r="F5" s="494">
        <v>0</v>
      </c>
      <c r="G5" s="494">
        <v>456900</v>
      </c>
      <c r="H5" s="494">
        <v>456900</v>
      </c>
      <c r="I5" s="494">
        <v>251438</v>
      </c>
      <c r="J5" s="494">
        <v>297072</v>
      </c>
      <c r="K5" s="494">
        <v>1327</v>
      </c>
      <c r="L5" s="494">
        <v>678</v>
      </c>
      <c r="M5" s="494">
        <v>299077</v>
      </c>
      <c r="N5" s="494">
        <v>157823</v>
      </c>
      <c r="O5" s="545">
        <v>34.542131757496172</v>
      </c>
      <c r="P5" s="545">
        <v>42.849011588275395</v>
      </c>
      <c r="Q5" s="545">
        <v>50.625766871165645</v>
      </c>
      <c r="R5" s="494">
        <v>0</v>
      </c>
      <c r="S5" s="353"/>
    </row>
    <row r="6" spans="1:24" x14ac:dyDescent="0.2">
      <c r="A6" s="38"/>
      <c r="B6" s="38"/>
      <c r="C6" s="38">
        <v>3</v>
      </c>
      <c r="D6" s="38" t="s">
        <v>90</v>
      </c>
      <c r="E6" s="494">
        <v>8947</v>
      </c>
      <c r="F6" s="494">
        <v>0</v>
      </c>
      <c r="G6" s="494">
        <v>679942</v>
      </c>
      <c r="H6" s="494">
        <v>679942</v>
      </c>
      <c r="I6" s="494">
        <v>476860</v>
      </c>
      <c r="J6" s="494">
        <v>582205</v>
      </c>
      <c r="K6" s="494">
        <v>0</v>
      </c>
      <c r="L6" s="494">
        <v>28416</v>
      </c>
      <c r="M6" s="494">
        <v>610621</v>
      </c>
      <c r="N6" s="494">
        <v>69321</v>
      </c>
      <c r="O6" s="545">
        <v>10.195134290865985</v>
      </c>
      <c r="P6" s="545">
        <v>53.298312283446968</v>
      </c>
      <c r="Q6" s="545">
        <v>65.07265005029619</v>
      </c>
      <c r="R6" s="494">
        <v>0</v>
      </c>
      <c r="S6" s="353"/>
    </row>
    <row r="7" spans="1:24" x14ac:dyDescent="0.2">
      <c r="A7" s="38"/>
      <c r="B7" s="38"/>
      <c r="C7" s="38">
        <v>4</v>
      </c>
      <c r="D7" s="38" t="s">
        <v>91</v>
      </c>
      <c r="E7" s="494">
        <v>15343</v>
      </c>
      <c r="F7" s="494">
        <v>0</v>
      </c>
      <c r="G7" s="494">
        <v>1352569</v>
      </c>
      <c r="H7" s="494">
        <v>1352569</v>
      </c>
      <c r="I7" s="494">
        <v>618591</v>
      </c>
      <c r="J7" s="494">
        <v>812027</v>
      </c>
      <c r="K7" s="494">
        <v>22266</v>
      </c>
      <c r="L7" s="494">
        <v>17242</v>
      </c>
      <c r="M7" s="494">
        <v>851535</v>
      </c>
      <c r="N7" s="494">
        <v>501034</v>
      </c>
      <c r="O7" s="545">
        <v>37.043137910154677</v>
      </c>
      <c r="P7" s="545">
        <v>40.317473766538484</v>
      </c>
      <c r="Q7" s="545">
        <v>52.924916900215081</v>
      </c>
      <c r="R7" s="494">
        <v>0</v>
      </c>
      <c r="S7" s="353"/>
    </row>
    <row r="8" spans="1:24" x14ac:dyDescent="0.2">
      <c r="A8" s="38"/>
      <c r="B8" s="38"/>
      <c r="C8" s="38">
        <v>5</v>
      </c>
      <c r="D8" s="38" t="s">
        <v>69</v>
      </c>
      <c r="E8" s="494">
        <v>18988</v>
      </c>
      <c r="F8" s="494">
        <v>0</v>
      </c>
      <c r="G8" s="494">
        <v>1436138</v>
      </c>
      <c r="H8" s="494">
        <v>1436138</v>
      </c>
      <c r="I8" s="494">
        <v>935763</v>
      </c>
      <c r="J8" s="494">
        <v>1051274</v>
      </c>
      <c r="K8" s="494">
        <v>0</v>
      </c>
      <c r="L8" s="494">
        <v>7949</v>
      </c>
      <c r="M8" s="494">
        <v>1059223</v>
      </c>
      <c r="N8" s="494">
        <v>376915</v>
      </c>
      <c r="O8" s="545">
        <v>26.245040518390294</v>
      </c>
      <c r="P8" s="545">
        <v>49.28180956393512</v>
      </c>
      <c r="Q8" s="545">
        <v>55.36517800716242</v>
      </c>
      <c r="R8" s="494">
        <v>0</v>
      </c>
      <c r="S8" s="353"/>
    </row>
    <row r="9" spans="1:24" x14ac:dyDescent="0.2">
      <c r="A9" s="38"/>
      <c r="B9" s="38"/>
      <c r="C9" s="38">
        <v>6</v>
      </c>
      <c r="D9" s="38" t="s">
        <v>142</v>
      </c>
      <c r="E9" s="494">
        <v>3484</v>
      </c>
      <c r="F9" s="494">
        <v>0</v>
      </c>
      <c r="G9" s="494">
        <v>250660</v>
      </c>
      <c r="H9" s="494">
        <v>250660</v>
      </c>
      <c r="I9" s="494">
        <v>164810</v>
      </c>
      <c r="J9" s="494">
        <v>179826</v>
      </c>
      <c r="K9" s="494">
        <v>0</v>
      </c>
      <c r="L9" s="494">
        <v>23457</v>
      </c>
      <c r="M9" s="494">
        <v>203283</v>
      </c>
      <c r="N9" s="494">
        <v>47377</v>
      </c>
      <c r="O9" s="545">
        <v>18.900901619723928</v>
      </c>
      <c r="P9" s="545">
        <v>47.304822043628015</v>
      </c>
      <c r="Q9" s="545">
        <v>51.614810562571755</v>
      </c>
      <c r="R9" s="494">
        <v>0</v>
      </c>
      <c r="S9" s="353"/>
    </row>
    <row r="10" spans="1:24" x14ac:dyDescent="0.2">
      <c r="A10" s="38"/>
      <c r="B10" s="38"/>
      <c r="C10" s="38">
        <v>7</v>
      </c>
      <c r="D10" s="38" t="s">
        <v>131</v>
      </c>
      <c r="E10" s="494">
        <v>5878</v>
      </c>
      <c r="F10" s="494">
        <v>0</v>
      </c>
      <c r="G10" s="494">
        <v>472478</v>
      </c>
      <c r="H10" s="494">
        <v>472478</v>
      </c>
      <c r="I10" s="494">
        <v>235521</v>
      </c>
      <c r="J10" s="494">
        <v>255627</v>
      </c>
      <c r="K10" s="494">
        <v>0</v>
      </c>
      <c r="L10" s="494">
        <v>3531</v>
      </c>
      <c r="M10" s="494">
        <v>259158</v>
      </c>
      <c r="N10" s="494">
        <v>213320</v>
      </c>
      <c r="O10" s="545">
        <v>45.149192131697134</v>
      </c>
      <c r="P10" s="545">
        <v>40.068220483157539</v>
      </c>
      <c r="Q10" s="545">
        <v>43.488771691051376</v>
      </c>
      <c r="R10" s="494">
        <v>0</v>
      </c>
      <c r="S10" s="353"/>
    </row>
    <row r="11" spans="1:24" x14ac:dyDescent="0.2">
      <c r="A11" s="38">
        <v>1</v>
      </c>
      <c r="B11" s="38" t="s">
        <v>250</v>
      </c>
      <c r="C11" s="38">
        <v>8</v>
      </c>
      <c r="D11" s="38" t="s">
        <v>535</v>
      </c>
      <c r="E11" s="494">
        <f t="shared" ref="E11:N11" si="0">SUM(E4:E10)</f>
        <v>71364</v>
      </c>
      <c r="F11" s="494">
        <f t="shared" si="0"/>
        <v>0</v>
      </c>
      <c r="G11" s="494">
        <f t="shared" si="0"/>
        <v>5493100</v>
      </c>
      <c r="H11" s="494">
        <f t="shared" si="0"/>
        <v>5493100</v>
      </c>
      <c r="I11" s="494">
        <f t="shared" si="0"/>
        <v>3268713</v>
      </c>
      <c r="J11" s="494">
        <f t="shared" si="0"/>
        <v>3835311</v>
      </c>
      <c r="K11" s="494">
        <f t="shared" si="0"/>
        <v>30278</v>
      </c>
      <c r="L11" s="494">
        <f t="shared" si="0"/>
        <v>81980</v>
      </c>
      <c r="M11" s="494">
        <f t="shared" si="0"/>
        <v>3947569</v>
      </c>
      <c r="N11" s="494">
        <f t="shared" si="0"/>
        <v>1545531</v>
      </c>
      <c r="O11" s="545">
        <v>28.135861353334185</v>
      </c>
      <c r="P11" s="545">
        <v>45.803388262989742</v>
      </c>
      <c r="Q11" s="545">
        <v>53.742937615604504</v>
      </c>
      <c r="R11" s="494">
        <f>SUM(R4:R10)</f>
        <v>0</v>
      </c>
      <c r="S11" s="353"/>
    </row>
    <row r="12" spans="1:24" x14ac:dyDescent="0.2">
      <c r="A12" s="38"/>
      <c r="B12" s="38"/>
      <c r="C12" s="38">
        <v>9</v>
      </c>
      <c r="D12" s="38" t="s">
        <v>64</v>
      </c>
      <c r="E12" s="494">
        <v>804355</v>
      </c>
      <c r="F12" s="494">
        <v>0</v>
      </c>
      <c r="G12" s="494">
        <v>57465303</v>
      </c>
      <c r="H12" s="494">
        <v>57465303</v>
      </c>
      <c r="I12" s="494">
        <v>29584429</v>
      </c>
      <c r="J12" s="494">
        <v>46430151</v>
      </c>
      <c r="K12" s="494">
        <v>2729779</v>
      </c>
      <c r="L12" s="494">
        <v>342936</v>
      </c>
      <c r="M12" s="494">
        <v>49502866</v>
      </c>
      <c r="N12" s="494">
        <v>7962437</v>
      </c>
      <c r="O12" s="545">
        <v>13.856077640450273</v>
      </c>
      <c r="P12" s="545">
        <v>36.780313418826267</v>
      </c>
      <c r="Q12" s="545">
        <v>57.72345668268364</v>
      </c>
      <c r="R12" s="494">
        <v>0</v>
      </c>
      <c r="S12" s="353"/>
    </row>
    <row r="13" spans="1:24" x14ac:dyDescent="0.2">
      <c r="A13" s="38"/>
      <c r="B13" s="38"/>
      <c r="C13" s="38">
        <v>10</v>
      </c>
      <c r="D13" s="38" t="s">
        <v>9</v>
      </c>
      <c r="E13" s="494">
        <v>6270</v>
      </c>
      <c r="F13" s="494">
        <v>0</v>
      </c>
      <c r="G13" s="494">
        <v>379883</v>
      </c>
      <c r="H13" s="494">
        <v>379883</v>
      </c>
      <c r="I13" s="494">
        <v>229386</v>
      </c>
      <c r="J13" s="494">
        <v>255647</v>
      </c>
      <c r="K13" s="494">
        <v>0</v>
      </c>
      <c r="L13" s="494">
        <v>800</v>
      </c>
      <c r="M13" s="494">
        <v>256447</v>
      </c>
      <c r="N13" s="494">
        <v>123436</v>
      </c>
      <c r="O13" s="545">
        <v>32.493162368413429</v>
      </c>
      <c r="P13" s="545">
        <v>36.584688995215309</v>
      </c>
      <c r="Q13" s="545">
        <v>40.77304625199362</v>
      </c>
      <c r="R13" s="494">
        <v>0</v>
      </c>
      <c r="S13" s="353"/>
    </row>
    <row r="14" spans="1:24" x14ac:dyDescent="0.2">
      <c r="A14" s="38"/>
      <c r="B14" s="38"/>
      <c r="C14" s="38">
        <v>11</v>
      </c>
      <c r="D14" s="38" t="s">
        <v>119</v>
      </c>
      <c r="E14" s="494">
        <v>25305</v>
      </c>
      <c r="F14" s="494">
        <v>0</v>
      </c>
      <c r="G14" s="494">
        <v>1861170</v>
      </c>
      <c r="H14" s="494">
        <v>1861170</v>
      </c>
      <c r="I14" s="494">
        <v>1386218</v>
      </c>
      <c r="J14" s="494">
        <v>1543371</v>
      </c>
      <c r="K14" s="494">
        <v>0</v>
      </c>
      <c r="L14" s="494">
        <v>0</v>
      </c>
      <c r="M14" s="494">
        <v>1543371</v>
      </c>
      <c r="N14" s="494">
        <v>317799</v>
      </c>
      <c r="O14" s="545">
        <v>17.075226873418334</v>
      </c>
      <c r="P14" s="545">
        <v>54.780399130606597</v>
      </c>
      <c r="Q14" s="545">
        <v>60.990752815649081</v>
      </c>
      <c r="R14" s="494">
        <v>0</v>
      </c>
      <c r="S14" s="353"/>
    </row>
    <row r="15" spans="1:24" x14ac:dyDescent="0.2">
      <c r="A15" s="38">
        <v>2</v>
      </c>
      <c r="B15" s="38" t="s">
        <v>441</v>
      </c>
      <c r="C15" s="38">
        <v>12</v>
      </c>
      <c r="D15" s="38" t="s">
        <v>535</v>
      </c>
      <c r="E15" s="494">
        <v>835930</v>
      </c>
      <c r="F15" s="494">
        <v>0</v>
      </c>
      <c r="G15" s="494">
        <f>59706356-4800000</f>
        <v>54906356</v>
      </c>
      <c r="H15" s="494">
        <f>59706356-4800000</f>
        <v>54906356</v>
      </c>
      <c r="I15" s="494">
        <v>31200033</v>
      </c>
      <c r="J15" s="494">
        <f>48229169-4800000</f>
        <v>43429169</v>
      </c>
      <c r="K15" s="494">
        <v>2729779</v>
      </c>
      <c r="L15" s="494">
        <v>343736</v>
      </c>
      <c r="M15" s="494">
        <v>51302684</v>
      </c>
      <c r="N15" s="494">
        <v>8403672</v>
      </c>
      <c r="O15" s="545">
        <v>14.0750040079485</v>
      </c>
      <c r="P15" s="545">
        <v>37.323738829806324</v>
      </c>
      <c r="Q15" s="545">
        <v>57.695224480518704</v>
      </c>
      <c r="R15" s="494">
        <v>0</v>
      </c>
      <c r="S15" s="353"/>
    </row>
    <row r="16" spans="1:24" x14ac:dyDescent="0.2">
      <c r="A16" s="38"/>
      <c r="B16" s="38"/>
      <c r="C16" s="38">
        <v>13</v>
      </c>
      <c r="D16" s="38" t="s">
        <v>5</v>
      </c>
      <c r="E16" s="494">
        <v>12709</v>
      </c>
      <c r="F16" s="494">
        <v>0</v>
      </c>
      <c r="G16" s="494">
        <v>847034</v>
      </c>
      <c r="H16" s="494">
        <v>847034</v>
      </c>
      <c r="I16" s="494">
        <v>535862</v>
      </c>
      <c r="J16" s="494">
        <v>639702</v>
      </c>
      <c r="K16" s="494">
        <v>0</v>
      </c>
      <c r="L16" s="494">
        <v>12210</v>
      </c>
      <c r="M16" s="494">
        <v>651912</v>
      </c>
      <c r="N16" s="494">
        <v>195122</v>
      </c>
      <c r="O16" s="545">
        <v>23.035911191286303</v>
      </c>
      <c r="P16" s="545">
        <v>42.163978283106459</v>
      </c>
      <c r="Q16" s="545">
        <v>50.334566055551186</v>
      </c>
      <c r="R16" s="494">
        <v>0</v>
      </c>
      <c r="S16" s="353"/>
    </row>
    <row r="17" spans="1:19" x14ac:dyDescent="0.2">
      <c r="A17" s="38"/>
      <c r="B17" s="38"/>
      <c r="C17" s="38">
        <v>14</v>
      </c>
      <c r="D17" s="38" t="s">
        <v>40</v>
      </c>
      <c r="E17" s="494">
        <v>17532</v>
      </c>
      <c r="F17" s="494">
        <v>0</v>
      </c>
      <c r="G17" s="494">
        <v>1332252</v>
      </c>
      <c r="H17" s="494">
        <v>1332252</v>
      </c>
      <c r="I17" s="494">
        <v>736861</v>
      </c>
      <c r="J17" s="494">
        <v>990898</v>
      </c>
      <c r="K17" s="494">
        <v>0</v>
      </c>
      <c r="L17" s="494">
        <v>0</v>
      </c>
      <c r="M17" s="494">
        <v>990898</v>
      </c>
      <c r="N17" s="494">
        <v>341354</v>
      </c>
      <c r="O17" s="545">
        <v>25.622329709394322</v>
      </c>
      <c r="P17" s="545">
        <v>42.029488934519733</v>
      </c>
      <c r="Q17" s="545">
        <v>56.519393109742182</v>
      </c>
      <c r="R17" s="494">
        <v>0</v>
      </c>
      <c r="S17" s="353"/>
    </row>
    <row r="18" spans="1:19" x14ac:dyDescent="0.2">
      <c r="A18" s="38"/>
      <c r="B18" s="38"/>
      <c r="C18" s="38">
        <v>15</v>
      </c>
      <c r="D18" s="38" t="s">
        <v>46</v>
      </c>
      <c r="E18" s="494">
        <v>7106</v>
      </c>
      <c r="F18" s="494">
        <v>0</v>
      </c>
      <c r="G18" s="494">
        <v>465452</v>
      </c>
      <c r="H18" s="494">
        <v>465452</v>
      </c>
      <c r="I18" s="494">
        <v>275412</v>
      </c>
      <c r="J18" s="494">
        <v>342965</v>
      </c>
      <c r="K18" s="494">
        <v>0</v>
      </c>
      <c r="L18" s="494">
        <v>0</v>
      </c>
      <c r="M18" s="494">
        <v>342965</v>
      </c>
      <c r="N18" s="494">
        <v>122487</v>
      </c>
      <c r="O18" s="545">
        <v>26.315710320290815</v>
      </c>
      <c r="P18" s="545">
        <v>38.757669575007036</v>
      </c>
      <c r="Q18" s="545">
        <v>48.264142977765268</v>
      </c>
      <c r="R18" s="494">
        <v>0</v>
      </c>
      <c r="S18" s="353"/>
    </row>
    <row r="19" spans="1:19" x14ac:dyDescent="0.2">
      <c r="A19" s="38"/>
      <c r="B19" s="38"/>
      <c r="C19" s="38">
        <v>16</v>
      </c>
      <c r="D19" s="38" t="s">
        <v>20</v>
      </c>
      <c r="E19" s="494">
        <v>17206</v>
      </c>
      <c r="F19" s="494">
        <v>0</v>
      </c>
      <c r="G19" s="494">
        <v>1037518</v>
      </c>
      <c r="H19" s="494">
        <v>1037518</v>
      </c>
      <c r="I19" s="494">
        <v>732550</v>
      </c>
      <c r="J19" s="494">
        <v>771692</v>
      </c>
      <c r="K19" s="494">
        <v>0</v>
      </c>
      <c r="L19" s="494">
        <v>0</v>
      </c>
      <c r="M19" s="494">
        <v>771692</v>
      </c>
      <c r="N19" s="494">
        <v>265826</v>
      </c>
      <c r="O19" s="545">
        <v>25.621338617739642</v>
      </c>
      <c r="P19" s="545">
        <v>42.575264442636289</v>
      </c>
      <c r="Q19" s="545">
        <v>44.8501685458561</v>
      </c>
      <c r="R19" s="494">
        <v>0</v>
      </c>
      <c r="S19" s="353"/>
    </row>
    <row r="20" spans="1:19" x14ac:dyDescent="0.2">
      <c r="A20" s="38"/>
      <c r="B20" s="38"/>
      <c r="C20" s="38">
        <v>17</v>
      </c>
      <c r="D20" s="38" t="s">
        <v>55</v>
      </c>
      <c r="E20" s="494">
        <v>73658</v>
      </c>
      <c r="F20" s="494">
        <v>0</v>
      </c>
      <c r="G20" s="494">
        <v>5264644</v>
      </c>
      <c r="H20" s="494">
        <v>5264644</v>
      </c>
      <c r="I20" s="494">
        <v>3394665</v>
      </c>
      <c r="J20" s="494">
        <v>3909214</v>
      </c>
      <c r="K20" s="494">
        <v>206700</v>
      </c>
      <c r="L20" s="494">
        <v>0</v>
      </c>
      <c r="M20" s="494">
        <v>4115914</v>
      </c>
      <c r="N20" s="494">
        <v>1148730</v>
      </c>
      <c r="O20" s="545">
        <v>21.81970898697044</v>
      </c>
      <c r="P20" s="545">
        <v>46.086847321404328</v>
      </c>
      <c r="Q20" s="545">
        <v>53.072497216867141</v>
      </c>
      <c r="R20" s="494">
        <v>0</v>
      </c>
      <c r="S20" s="353"/>
    </row>
    <row r="21" spans="1:19" x14ac:dyDescent="0.2">
      <c r="A21" s="38">
        <v>3</v>
      </c>
      <c r="B21" s="38" t="s">
        <v>439</v>
      </c>
      <c r="C21" s="38">
        <v>18</v>
      </c>
      <c r="D21" s="38" t="s">
        <v>535</v>
      </c>
      <c r="E21" s="494">
        <v>128211</v>
      </c>
      <c r="F21" s="494">
        <v>0</v>
      </c>
      <c r="G21" s="494">
        <v>8946900</v>
      </c>
      <c r="H21" s="494">
        <v>8946900</v>
      </c>
      <c r="I21" s="494">
        <v>5675350</v>
      </c>
      <c r="J21" s="494">
        <v>6654471</v>
      </c>
      <c r="K21" s="494">
        <v>206700</v>
      </c>
      <c r="L21" s="494">
        <v>12210</v>
      </c>
      <c r="M21" s="494">
        <v>6873381</v>
      </c>
      <c r="N21" s="494">
        <v>2073519</v>
      </c>
      <c r="O21" s="545">
        <v>23.175837440901319</v>
      </c>
      <c r="P21" s="545">
        <v>44.265702630819511</v>
      </c>
      <c r="Q21" s="545">
        <v>51.902496665652713</v>
      </c>
      <c r="R21" s="494">
        <v>0</v>
      </c>
      <c r="S21" s="353"/>
    </row>
    <row r="22" spans="1:19" x14ac:dyDescent="0.2">
      <c r="A22" s="38"/>
      <c r="B22" s="38"/>
      <c r="C22" s="38">
        <v>19</v>
      </c>
      <c r="D22" s="38" t="s">
        <v>140</v>
      </c>
      <c r="E22" s="494">
        <v>1568</v>
      </c>
      <c r="F22" s="494">
        <v>0</v>
      </c>
      <c r="G22" s="494">
        <v>197889</v>
      </c>
      <c r="H22" s="494">
        <v>197889</v>
      </c>
      <c r="I22" s="494">
        <v>110781</v>
      </c>
      <c r="J22" s="494">
        <v>175472</v>
      </c>
      <c r="K22" s="494">
        <v>11822</v>
      </c>
      <c r="L22" s="494">
        <v>0</v>
      </c>
      <c r="M22" s="494">
        <v>187294</v>
      </c>
      <c r="N22" s="494">
        <v>10595</v>
      </c>
      <c r="O22" s="545">
        <v>5.354011592357331</v>
      </c>
      <c r="P22" s="545">
        <v>70.651147959183675</v>
      </c>
      <c r="Q22" s="545">
        <v>111.90816326530613</v>
      </c>
      <c r="R22" s="494">
        <v>58532</v>
      </c>
      <c r="S22" s="353"/>
    </row>
    <row r="23" spans="1:19" x14ac:dyDescent="0.2">
      <c r="A23" s="38"/>
      <c r="B23" s="38"/>
      <c r="C23" s="38">
        <v>20</v>
      </c>
      <c r="D23" s="38" t="s">
        <v>56</v>
      </c>
      <c r="E23" s="494">
        <v>22992</v>
      </c>
      <c r="F23" s="494">
        <v>0</v>
      </c>
      <c r="G23" s="494">
        <v>1798367</v>
      </c>
      <c r="H23" s="494">
        <v>1798367</v>
      </c>
      <c r="I23" s="494">
        <v>1177364</v>
      </c>
      <c r="J23" s="494">
        <v>1605059</v>
      </c>
      <c r="K23" s="494">
        <v>12024</v>
      </c>
      <c r="L23" s="494">
        <v>8888</v>
      </c>
      <c r="M23" s="494">
        <v>1625971</v>
      </c>
      <c r="N23" s="494">
        <v>172396</v>
      </c>
      <c r="O23" s="545">
        <v>9.5862524167758867</v>
      </c>
      <c r="P23" s="545">
        <v>51.207550452331247</v>
      </c>
      <c r="Q23" s="545">
        <v>69.809455462769662</v>
      </c>
      <c r="R23" s="494">
        <v>143431</v>
      </c>
      <c r="S23" s="353"/>
    </row>
    <row r="24" spans="1:19" x14ac:dyDescent="0.2">
      <c r="A24" s="38"/>
      <c r="B24" s="38"/>
      <c r="C24" s="38">
        <v>21</v>
      </c>
      <c r="D24" s="38" t="s">
        <v>52</v>
      </c>
      <c r="E24" s="494">
        <v>6619</v>
      </c>
      <c r="F24" s="494">
        <v>0</v>
      </c>
      <c r="G24" s="494">
        <v>753970</v>
      </c>
      <c r="H24" s="494">
        <v>753970</v>
      </c>
      <c r="I24" s="494">
        <v>347517</v>
      </c>
      <c r="J24" s="494">
        <v>536226</v>
      </c>
      <c r="K24" s="494">
        <v>98323</v>
      </c>
      <c r="L24" s="494">
        <v>494</v>
      </c>
      <c r="M24" s="494">
        <v>635043</v>
      </c>
      <c r="N24" s="494">
        <v>118927</v>
      </c>
      <c r="O24" s="545">
        <v>15.773439261509079</v>
      </c>
      <c r="P24" s="545">
        <v>52.502946064360174</v>
      </c>
      <c r="Q24" s="545">
        <v>81.013143979453091</v>
      </c>
      <c r="R24" s="494">
        <v>56971</v>
      </c>
      <c r="S24" s="353"/>
    </row>
    <row r="25" spans="1:19" x14ac:dyDescent="0.2">
      <c r="A25" s="38"/>
      <c r="B25" s="38"/>
      <c r="C25" s="38">
        <v>22</v>
      </c>
      <c r="D25" s="38" t="s">
        <v>33</v>
      </c>
      <c r="E25" s="713">
        <v>3253</v>
      </c>
      <c r="F25" s="494">
        <v>0</v>
      </c>
      <c r="G25" s="713">
        <v>218837</v>
      </c>
      <c r="H25" s="494">
        <v>218837</v>
      </c>
      <c r="I25" s="494">
        <v>132423</v>
      </c>
      <c r="J25" s="494">
        <v>195399</v>
      </c>
      <c r="K25" s="494">
        <v>0</v>
      </c>
      <c r="L25" s="494">
        <v>0</v>
      </c>
      <c r="M25" s="494">
        <v>195399</v>
      </c>
      <c r="N25" s="494">
        <v>23438</v>
      </c>
      <c r="O25" s="494">
        <v>10.710254664430604</v>
      </c>
      <c r="P25" s="494">
        <v>40.707961881340303</v>
      </c>
      <c r="Q25" s="494">
        <v>60.067322471564708</v>
      </c>
      <c r="R25" s="494"/>
      <c r="S25" s="353"/>
    </row>
    <row r="26" spans="1:19" x14ac:dyDescent="0.2">
      <c r="A26" s="38"/>
      <c r="B26" s="38"/>
      <c r="C26" s="38">
        <v>23</v>
      </c>
      <c r="D26" s="47" t="s">
        <v>223</v>
      </c>
      <c r="E26" s="713">
        <v>9927</v>
      </c>
      <c r="F26" s="713">
        <v>0</v>
      </c>
      <c r="G26" s="713">
        <v>766775</v>
      </c>
      <c r="H26" s="494">
        <v>766775</v>
      </c>
      <c r="I26" s="494">
        <v>374292</v>
      </c>
      <c r="J26" s="494">
        <v>525229</v>
      </c>
      <c r="K26" s="494">
        <v>0</v>
      </c>
      <c r="L26" s="494">
        <v>0</v>
      </c>
      <c r="M26" s="494">
        <v>525229</v>
      </c>
      <c r="N26" s="494">
        <v>241546</v>
      </c>
      <c r="O26" s="494">
        <v>31.501548694206257</v>
      </c>
      <c r="P26" s="494">
        <v>37.704442429737078</v>
      </c>
      <c r="Q26" s="494">
        <v>52.909136697894631</v>
      </c>
      <c r="R26" s="494"/>
      <c r="S26" s="353"/>
    </row>
    <row r="27" spans="1:19" x14ac:dyDescent="0.2">
      <c r="A27" s="38">
        <v>9</v>
      </c>
      <c r="B27" s="38"/>
      <c r="C27" s="38">
        <v>24</v>
      </c>
      <c r="D27" s="38" t="s">
        <v>31</v>
      </c>
      <c r="E27" s="494">
        <v>5989</v>
      </c>
      <c r="F27" s="494">
        <v>0</v>
      </c>
      <c r="G27" s="494">
        <v>421635</v>
      </c>
      <c r="H27" s="494">
        <v>421635</v>
      </c>
      <c r="I27" s="494">
        <v>240937</v>
      </c>
      <c r="J27" s="494">
        <v>343274</v>
      </c>
      <c r="K27" s="494">
        <v>0</v>
      </c>
      <c r="L27" s="494">
        <v>8320</v>
      </c>
      <c r="M27" s="494">
        <v>351594</v>
      </c>
      <c r="N27" s="494">
        <v>70041</v>
      </c>
      <c r="O27" s="545">
        <v>16.611761357572309</v>
      </c>
      <c r="P27" s="545">
        <v>40.229921522791784</v>
      </c>
      <c r="Q27" s="545">
        <v>57.317415261312405</v>
      </c>
      <c r="R27" s="494"/>
      <c r="S27" s="353"/>
    </row>
    <row r="28" spans="1:19" x14ac:dyDescent="0.2">
      <c r="A28" s="38">
        <v>50</v>
      </c>
      <c r="B28" s="38"/>
      <c r="C28" s="38">
        <v>25</v>
      </c>
      <c r="D28" s="47" t="s">
        <v>47</v>
      </c>
      <c r="E28" s="494">
        <v>1806</v>
      </c>
      <c r="F28" s="494">
        <v>0</v>
      </c>
      <c r="G28" s="494">
        <v>120705</v>
      </c>
      <c r="H28" s="494">
        <v>120705</v>
      </c>
      <c r="I28" s="494">
        <v>100063</v>
      </c>
      <c r="J28" s="494">
        <v>101547</v>
      </c>
      <c r="K28" s="494">
        <v>0</v>
      </c>
      <c r="L28" s="494">
        <v>0</v>
      </c>
      <c r="M28" s="494">
        <v>101547</v>
      </c>
      <c r="N28" s="494">
        <v>19158</v>
      </c>
      <c r="O28" s="545">
        <v>15.87175344849012</v>
      </c>
      <c r="P28" s="545">
        <v>55.405869324473976</v>
      </c>
      <c r="Q28" s="545">
        <v>56.227574750830563</v>
      </c>
      <c r="R28" s="494"/>
      <c r="S28" s="353"/>
    </row>
    <row r="29" spans="1:19" x14ac:dyDescent="0.2">
      <c r="A29" s="38">
        <v>4</v>
      </c>
      <c r="B29" s="38" t="s">
        <v>440</v>
      </c>
      <c r="C29" s="38">
        <v>26</v>
      </c>
      <c r="D29" s="38" t="s">
        <v>535</v>
      </c>
      <c r="E29" s="494">
        <f t="shared" ref="E29:N29" si="1">SUM(E22:E28)</f>
        <v>52154</v>
      </c>
      <c r="F29" s="494">
        <f t="shared" si="1"/>
        <v>0</v>
      </c>
      <c r="G29" s="494">
        <f t="shared" si="1"/>
        <v>4278178</v>
      </c>
      <c r="H29" s="494">
        <f t="shared" si="1"/>
        <v>4278178</v>
      </c>
      <c r="I29" s="494">
        <f t="shared" si="1"/>
        <v>2483377</v>
      </c>
      <c r="J29" s="494">
        <f t="shared" si="1"/>
        <v>3482206</v>
      </c>
      <c r="K29" s="494">
        <f t="shared" si="1"/>
        <v>122169</v>
      </c>
      <c r="L29" s="494">
        <f t="shared" si="1"/>
        <v>17702</v>
      </c>
      <c r="M29" s="494">
        <f t="shared" si="1"/>
        <v>3622077</v>
      </c>
      <c r="N29" s="494">
        <f t="shared" si="1"/>
        <v>656101</v>
      </c>
      <c r="O29" s="545">
        <f>AVERAGE(P22:P28)</f>
        <v>49.772834233459754</v>
      </c>
      <c r="P29" s="545">
        <v>52.460373969659067</v>
      </c>
      <c r="Q29" s="545">
        <v>74.305045062381737</v>
      </c>
      <c r="R29" s="546">
        <f>SUM(R22:R26)</f>
        <v>258934</v>
      </c>
      <c r="S29" s="353"/>
    </row>
    <row r="30" spans="1:19" x14ac:dyDescent="0.2">
      <c r="A30" s="38"/>
      <c r="B30" s="38"/>
      <c r="C30" s="38">
        <v>27</v>
      </c>
      <c r="D30" s="47" t="s">
        <v>2</v>
      </c>
      <c r="E30" s="494">
        <v>212278</v>
      </c>
      <c r="F30" s="494">
        <v>827090</v>
      </c>
      <c r="G30" s="494">
        <v>16004100</v>
      </c>
      <c r="H30" s="494">
        <v>16831190</v>
      </c>
      <c r="I30" s="494">
        <v>9872889</v>
      </c>
      <c r="J30" s="494">
        <v>13420488</v>
      </c>
      <c r="K30" s="494">
        <v>2040300</v>
      </c>
      <c r="L30" s="494">
        <v>0</v>
      </c>
      <c r="M30" s="494">
        <v>15460788</v>
      </c>
      <c r="N30" s="494">
        <v>1370402</v>
      </c>
      <c r="O30" s="545">
        <v>8.1420386793803647</v>
      </c>
      <c r="P30" s="545">
        <v>46.509242596971895</v>
      </c>
      <c r="Q30" s="545">
        <v>63.22128529569715</v>
      </c>
      <c r="R30" s="546">
        <v>1034558</v>
      </c>
      <c r="S30" s="547">
        <v>182088</v>
      </c>
    </row>
    <row r="31" spans="1:19" x14ac:dyDescent="0.2">
      <c r="A31" s="38">
        <v>5</v>
      </c>
      <c r="B31" s="38" t="s">
        <v>442</v>
      </c>
      <c r="C31" s="38">
        <v>28</v>
      </c>
      <c r="D31" s="38" t="s">
        <v>535</v>
      </c>
      <c r="E31" s="494">
        <v>212278</v>
      </c>
      <c r="F31" s="494">
        <v>827090</v>
      </c>
      <c r="G31" s="494">
        <v>16004100</v>
      </c>
      <c r="H31" s="494">
        <v>16831190</v>
      </c>
      <c r="I31" s="494">
        <v>9872889</v>
      </c>
      <c r="J31" s="494">
        <v>13420488</v>
      </c>
      <c r="K31" s="494">
        <v>2040300</v>
      </c>
      <c r="L31" s="494">
        <v>0</v>
      </c>
      <c r="M31" s="494">
        <v>15460788</v>
      </c>
      <c r="N31" s="494">
        <v>1370402</v>
      </c>
      <c r="O31" s="545">
        <v>8.1420386793803647</v>
      </c>
      <c r="P31" s="545">
        <v>46.509242596971895</v>
      </c>
      <c r="Q31" s="545">
        <v>63.22128529569715</v>
      </c>
      <c r="R31" s="494">
        <f>SUM(R30)</f>
        <v>1034558</v>
      </c>
      <c r="S31" s="547">
        <v>905575</v>
      </c>
    </row>
    <row r="32" spans="1:19" x14ac:dyDescent="0.2">
      <c r="A32" s="38"/>
      <c r="B32" s="38"/>
      <c r="C32" s="38">
        <v>29</v>
      </c>
      <c r="D32" s="38" t="s">
        <v>136</v>
      </c>
      <c r="E32" s="494">
        <v>17849</v>
      </c>
      <c r="F32" s="494">
        <v>0</v>
      </c>
      <c r="G32" s="494">
        <v>1228303</v>
      </c>
      <c r="H32" s="494">
        <v>1228303</v>
      </c>
      <c r="I32" s="494">
        <v>751892</v>
      </c>
      <c r="J32" s="494">
        <v>1129249</v>
      </c>
      <c r="K32" s="494">
        <v>20312</v>
      </c>
      <c r="L32" s="494">
        <v>0</v>
      </c>
      <c r="M32" s="494">
        <v>1149561</v>
      </c>
      <c r="N32" s="494">
        <v>78742</v>
      </c>
      <c r="O32" s="545">
        <v>6.4106332069530074</v>
      </c>
      <c r="P32" s="545">
        <v>42.12516107344949</v>
      </c>
      <c r="Q32" s="545">
        <v>63.266793657908003</v>
      </c>
      <c r="R32" s="494"/>
      <c r="S32" s="353"/>
    </row>
    <row r="33" spans="1:19" x14ac:dyDescent="0.2">
      <c r="A33" s="38"/>
      <c r="B33" s="38"/>
      <c r="C33" s="38">
        <v>30</v>
      </c>
      <c r="D33" s="38" t="s">
        <v>58</v>
      </c>
      <c r="E33" s="494">
        <v>6449</v>
      </c>
      <c r="F33" s="494">
        <v>0</v>
      </c>
      <c r="G33" s="494">
        <v>520809</v>
      </c>
      <c r="H33" s="494">
        <v>520809</v>
      </c>
      <c r="I33" s="494">
        <v>285034</v>
      </c>
      <c r="J33" s="494">
        <v>427254</v>
      </c>
      <c r="K33" s="494">
        <v>38390</v>
      </c>
      <c r="L33" s="494">
        <v>0</v>
      </c>
      <c r="M33" s="494">
        <v>465644</v>
      </c>
      <c r="N33" s="494">
        <v>55165</v>
      </c>
      <c r="O33" s="545">
        <v>10.59217486640976</v>
      </c>
      <c r="P33" s="545">
        <v>44.198170258954875</v>
      </c>
      <c r="Q33" s="545">
        <v>66.251201736703365</v>
      </c>
      <c r="R33" s="494"/>
      <c r="S33" s="353"/>
    </row>
    <row r="34" spans="1:19" x14ac:dyDescent="0.2">
      <c r="A34" s="38">
        <v>6</v>
      </c>
      <c r="B34" s="38" t="s">
        <v>443</v>
      </c>
      <c r="C34" s="38">
        <v>31</v>
      </c>
      <c r="D34" s="38" t="s">
        <v>535</v>
      </c>
      <c r="E34" s="494">
        <v>24298</v>
      </c>
      <c r="F34" s="494">
        <v>0</v>
      </c>
      <c r="G34" s="494">
        <v>1749112</v>
      </c>
      <c r="H34" s="494">
        <v>1749112</v>
      </c>
      <c r="I34" s="494">
        <v>1036926</v>
      </c>
      <c r="J34" s="494">
        <v>1556503</v>
      </c>
      <c r="K34" s="494">
        <v>58702</v>
      </c>
      <c r="L34" s="494">
        <v>0</v>
      </c>
      <c r="M34" s="494">
        <v>1615205</v>
      </c>
      <c r="N34" s="494">
        <v>133907</v>
      </c>
      <c r="O34" s="545">
        <v>7.6557132990911967</v>
      </c>
      <c r="P34" s="545">
        <v>42.675364227508439</v>
      </c>
      <c r="Q34" s="545">
        <v>64.058893736109965</v>
      </c>
      <c r="R34" s="494">
        <f>SUM(R32:R33)</f>
        <v>0</v>
      </c>
      <c r="S34" s="353"/>
    </row>
    <row r="35" spans="1:19" x14ac:dyDescent="0.2">
      <c r="A35" s="38"/>
      <c r="B35" s="38"/>
      <c r="C35" s="38">
        <v>32</v>
      </c>
      <c r="D35" s="47" t="s">
        <v>112</v>
      </c>
      <c r="E35" s="494">
        <v>38211</v>
      </c>
      <c r="F35" s="494">
        <v>0</v>
      </c>
      <c r="G35" s="494">
        <v>2561785</v>
      </c>
      <c r="H35" s="494">
        <v>2561785</v>
      </c>
      <c r="I35" s="494">
        <v>1733935</v>
      </c>
      <c r="J35" s="494">
        <v>2095864</v>
      </c>
      <c r="K35" s="494">
        <v>12583</v>
      </c>
      <c r="L35" s="494">
        <v>0</v>
      </c>
      <c r="M35" s="494">
        <v>2108447</v>
      </c>
      <c r="N35" s="494">
        <v>453338</v>
      </c>
      <c r="O35" s="545">
        <v>17.696176689300625</v>
      </c>
      <c r="P35" s="545">
        <v>45.377901651356936</v>
      </c>
      <c r="Q35" s="545">
        <v>54.849755306063699</v>
      </c>
      <c r="R35" s="494">
        <v>54322</v>
      </c>
      <c r="S35" s="353"/>
    </row>
    <row r="36" spans="1:19" x14ac:dyDescent="0.2">
      <c r="A36" s="38">
        <v>7</v>
      </c>
      <c r="B36" s="38" t="s">
        <v>265</v>
      </c>
      <c r="C36" s="38">
        <v>33</v>
      </c>
      <c r="D36" s="38" t="s">
        <v>535</v>
      </c>
      <c r="E36" s="494">
        <v>38211</v>
      </c>
      <c r="F36" s="494">
        <v>0</v>
      </c>
      <c r="G36" s="494">
        <v>2561785</v>
      </c>
      <c r="H36" s="494">
        <v>2561785</v>
      </c>
      <c r="I36" s="494">
        <v>1733935</v>
      </c>
      <c r="J36" s="494">
        <v>2095864</v>
      </c>
      <c r="K36" s="494">
        <v>12583</v>
      </c>
      <c r="L36" s="494">
        <v>0</v>
      </c>
      <c r="M36" s="494">
        <v>2108447</v>
      </c>
      <c r="N36" s="494">
        <v>453338</v>
      </c>
      <c r="O36" s="545">
        <v>17.696176689300625</v>
      </c>
      <c r="P36" s="545">
        <v>45.377901651356936</v>
      </c>
      <c r="Q36" s="545">
        <v>54.849755306063699</v>
      </c>
      <c r="R36" s="546">
        <f>SUM(R35)</f>
        <v>54322</v>
      </c>
      <c r="S36" s="353">
        <v>36948</v>
      </c>
    </row>
    <row r="37" spans="1:19" x14ac:dyDescent="0.2">
      <c r="A37" s="38"/>
      <c r="B37" s="38"/>
      <c r="C37" s="38">
        <v>34</v>
      </c>
      <c r="D37" s="38" t="s">
        <v>13</v>
      </c>
      <c r="E37" s="494">
        <v>9335</v>
      </c>
      <c r="F37" s="494">
        <v>0</v>
      </c>
      <c r="G37" s="494">
        <v>608966</v>
      </c>
      <c r="H37" s="494">
        <v>608966</v>
      </c>
      <c r="I37" s="494">
        <v>428649</v>
      </c>
      <c r="J37" s="494">
        <v>472702</v>
      </c>
      <c r="K37" s="494">
        <v>0</v>
      </c>
      <c r="L37" s="494">
        <v>4249</v>
      </c>
      <c r="M37" s="494">
        <v>476951</v>
      </c>
      <c r="N37" s="494">
        <v>132015</v>
      </c>
      <c r="O37" s="545">
        <v>21.678550198204828</v>
      </c>
      <c r="P37" s="545">
        <v>45.918478843063738</v>
      </c>
      <c r="Q37" s="545">
        <v>50.637600428494913</v>
      </c>
      <c r="R37" s="494">
        <v>34347</v>
      </c>
      <c r="S37" s="353"/>
    </row>
    <row r="38" spans="1:19" x14ac:dyDescent="0.2">
      <c r="A38" s="38"/>
      <c r="B38" s="38"/>
      <c r="C38" s="38">
        <v>35</v>
      </c>
      <c r="D38" s="38" t="s">
        <v>0</v>
      </c>
      <c r="E38" s="494">
        <v>12406</v>
      </c>
      <c r="F38" s="494">
        <v>0</v>
      </c>
      <c r="G38" s="494">
        <v>861043</v>
      </c>
      <c r="H38" s="494">
        <v>861043</v>
      </c>
      <c r="I38" s="494">
        <v>475550</v>
      </c>
      <c r="J38" s="494">
        <v>523804</v>
      </c>
      <c r="K38" s="494">
        <v>0</v>
      </c>
      <c r="L38" s="494">
        <v>24956</v>
      </c>
      <c r="M38" s="494">
        <v>548760</v>
      </c>
      <c r="N38" s="494">
        <v>312283</v>
      </c>
      <c r="O38" s="545">
        <v>36.267991261760443</v>
      </c>
      <c r="P38" s="545">
        <v>38.332258584555859</v>
      </c>
      <c r="Q38" s="545">
        <v>42.221828147670479</v>
      </c>
      <c r="R38" s="494">
        <v>50447</v>
      </c>
      <c r="S38" s="353"/>
    </row>
    <row r="39" spans="1:19" x14ac:dyDescent="0.2">
      <c r="A39" s="38"/>
      <c r="B39" s="38"/>
      <c r="C39" s="38">
        <v>36</v>
      </c>
      <c r="D39" s="38" t="s">
        <v>135</v>
      </c>
      <c r="E39" s="494">
        <v>5255</v>
      </c>
      <c r="F39" s="494">
        <v>0</v>
      </c>
      <c r="G39" s="494">
        <v>360310</v>
      </c>
      <c r="H39" s="494">
        <v>360310</v>
      </c>
      <c r="I39" s="494">
        <v>207005</v>
      </c>
      <c r="J39" s="494">
        <v>228970</v>
      </c>
      <c r="K39" s="494">
        <v>0</v>
      </c>
      <c r="L39" s="494">
        <v>6880</v>
      </c>
      <c r="M39" s="494">
        <v>235850</v>
      </c>
      <c r="N39" s="494">
        <v>124460</v>
      </c>
      <c r="O39" s="545">
        <v>34.542477311204237</v>
      </c>
      <c r="P39" s="545">
        <v>39.392007611798284</v>
      </c>
      <c r="Q39" s="545">
        <v>43.571836346336823</v>
      </c>
      <c r="R39" s="494">
        <v>34981</v>
      </c>
      <c r="S39" s="353"/>
    </row>
    <row r="40" spans="1:19" x14ac:dyDescent="0.2">
      <c r="A40" s="38"/>
      <c r="B40" s="38"/>
      <c r="C40" s="38">
        <v>37</v>
      </c>
      <c r="D40" s="38" t="s">
        <v>139</v>
      </c>
      <c r="E40" s="494">
        <v>8338</v>
      </c>
      <c r="F40" s="494">
        <v>0</v>
      </c>
      <c r="G40" s="494">
        <v>331580</v>
      </c>
      <c r="H40" s="494">
        <v>331580</v>
      </c>
      <c r="I40" s="494">
        <v>218956</v>
      </c>
      <c r="J40" s="494">
        <v>251085</v>
      </c>
      <c r="K40" s="494">
        <v>24926</v>
      </c>
      <c r="L40" s="494">
        <v>2784</v>
      </c>
      <c r="M40" s="494">
        <v>278795</v>
      </c>
      <c r="N40" s="494">
        <v>52785</v>
      </c>
      <c r="O40" s="545">
        <v>15.919235177031185</v>
      </c>
      <c r="P40" s="545">
        <v>26.260014391940512</v>
      </c>
      <c r="Q40" s="545">
        <v>30.113336531542338</v>
      </c>
      <c r="R40" s="494">
        <v>28833</v>
      </c>
      <c r="S40" s="353"/>
    </row>
    <row r="41" spans="1:19" x14ac:dyDescent="0.2">
      <c r="A41" s="38"/>
      <c r="B41" s="38"/>
      <c r="C41" s="38">
        <v>38</v>
      </c>
      <c r="D41" s="38" t="s">
        <v>27</v>
      </c>
      <c r="E41" s="494">
        <v>19703</v>
      </c>
      <c r="F41" s="494">
        <v>0</v>
      </c>
      <c r="G41" s="494">
        <v>1230454</v>
      </c>
      <c r="H41" s="494">
        <v>1230454</v>
      </c>
      <c r="I41" s="494">
        <v>717375</v>
      </c>
      <c r="J41" s="494">
        <v>876566</v>
      </c>
      <c r="K41" s="494">
        <v>7281</v>
      </c>
      <c r="L41" s="494">
        <v>17883</v>
      </c>
      <c r="M41" s="494">
        <v>901730</v>
      </c>
      <c r="N41" s="494">
        <v>328724</v>
      </c>
      <c r="O41" s="545">
        <v>26.715667550351334</v>
      </c>
      <c r="P41" s="545">
        <v>36.409430036035118</v>
      </c>
      <c r="Q41" s="545">
        <v>44.488961071917984</v>
      </c>
      <c r="R41" s="494">
        <v>77367</v>
      </c>
      <c r="S41" s="353"/>
    </row>
    <row r="42" spans="1:19" x14ac:dyDescent="0.2">
      <c r="A42" s="38"/>
      <c r="B42" s="38"/>
      <c r="C42" s="38">
        <v>39</v>
      </c>
      <c r="D42" s="38" t="s">
        <v>32</v>
      </c>
      <c r="E42" s="494">
        <v>7276</v>
      </c>
      <c r="F42" s="494">
        <v>0</v>
      </c>
      <c r="G42" s="494">
        <v>398918</v>
      </c>
      <c r="H42" s="494">
        <v>398918</v>
      </c>
      <c r="I42" s="494">
        <v>276216</v>
      </c>
      <c r="J42" s="494">
        <v>293794</v>
      </c>
      <c r="K42" s="494">
        <v>0</v>
      </c>
      <c r="L42" s="494">
        <v>8056</v>
      </c>
      <c r="M42" s="494">
        <v>301850</v>
      </c>
      <c r="N42" s="494">
        <v>97068</v>
      </c>
      <c r="O42" s="545">
        <v>24.3328202788543</v>
      </c>
      <c r="P42" s="545">
        <v>37.962616822429908</v>
      </c>
      <c r="Q42" s="545">
        <v>40.378504672897193</v>
      </c>
      <c r="R42" s="494">
        <v>7604</v>
      </c>
      <c r="S42" s="353"/>
    </row>
    <row r="43" spans="1:19" x14ac:dyDescent="0.2">
      <c r="A43" s="38"/>
      <c r="B43" s="38"/>
      <c r="C43" s="38">
        <v>40</v>
      </c>
      <c r="D43" s="38" t="s">
        <v>36</v>
      </c>
      <c r="E43" s="494">
        <v>11673</v>
      </c>
      <c r="F43" s="494">
        <v>0</v>
      </c>
      <c r="G43" s="494">
        <v>747337</v>
      </c>
      <c r="H43" s="494">
        <v>747337</v>
      </c>
      <c r="I43" s="494">
        <v>426562</v>
      </c>
      <c r="J43" s="494">
        <v>474949</v>
      </c>
      <c r="K43" s="494">
        <v>0</v>
      </c>
      <c r="L43" s="494">
        <v>9597</v>
      </c>
      <c r="M43" s="494">
        <v>484546</v>
      </c>
      <c r="N43" s="494">
        <v>262791</v>
      </c>
      <c r="O43" s="545">
        <v>35.163654415611703</v>
      </c>
      <c r="P43" s="545">
        <v>36.542619720723039</v>
      </c>
      <c r="Q43" s="545">
        <v>40.687826608412578</v>
      </c>
      <c r="R43" s="494">
        <v>0</v>
      </c>
      <c r="S43" s="353"/>
    </row>
    <row r="44" spans="1:19" x14ac:dyDescent="0.2">
      <c r="A44" s="38">
        <v>8</v>
      </c>
      <c r="B44" s="38" t="s">
        <v>444</v>
      </c>
      <c r="C44" s="38">
        <v>41</v>
      </c>
      <c r="D44" s="38" t="s">
        <v>535</v>
      </c>
      <c r="E44" s="494">
        <v>73986</v>
      </c>
      <c r="F44" s="494">
        <v>0</v>
      </c>
      <c r="G44" s="494">
        <v>4538608</v>
      </c>
      <c r="H44" s="494">
        <v>4538608</v>
      </c>
      <c r="I44" s="494">
        <v>2750313</v>
      </c>
      <c r="J44" s="494">
        <v>3121870</v>
      </c>
      <c r="K44" s="494">
        <v>32207</v>
      </c>
      <c r="L44" s="494">
        <v>74405</v>
      </c>
      <c r="M44" s="494">
        <v>3228482</v>
      </c>
      <c r="N44" s="494">
        <v>1310126</v>
      </c>
      <c r="O44" s="545">
        <v>28.866251502663371</v>
      </c>
      <c r="P44" s="545">
        <v>37.173424701970646</v>
      </c>
      <c r="Q44" s="545">
        <v>42.195415348849785</v>
      </c>
      <c r="R44" s="546">
        <f>SUM(R37:R43)</f>
        <v>233579</v>
      </c>
      <c r="S44" s="353">
        <v>224541</v>
      </c>
    </row>
    <row r="45" spans="1:19" x14ac:dyDescent="0.2">
      <c r="A45" s="38"/>
      <c r="B45" s="38"/>
      <c r="C45" s="38">
        <v>42</v>
      </c>
      <c r="D45" s="47" t="s">
        <v>103</v>
      </c>
      <c r="E45" s="494">
        <v>40582</v>
      </c>
      <c r="F45" s="494">
        <v>0</v>
      </c>
      <c r="G45" s="494">
        <v>3422613</v>
      </c>
      <c r="H45" s="494">
        <v>3422613</v>
      </c>
      <c r="I45" s="494">
        <v>1900514</v>
      </c>
      <c r="J45" s="494">
        <v>2594710</v>
      </c>
      <c r="K45" s="494">
        <v>597023</v>
      </c>
      <c r="L45" s="494">
        <v>0</v>
      </c>
      <c r="M45" s="494">
        <v>3191733</v>
      </c>
      <c r="N45" s="494">
        <v>230880</v>
      </c>
      <c r="O45" s="545">
        <v>6.7457232237474702</v>
      </c>
      <c r="P45" s="545">
        <v>46.831452368044943</v>
      </c>
      <c r="Q45" s="545">
        <v>63.937459957616674</v>
      </c>
      <c r="R45" s="494">
        <v>49105</v>
      </c>
      <c r="S45" s="353"/>
    </row>
    <row r="46" spans="1:19" x14ac:dyDescent="0.2">
      <c r="A46" s="38"/>
      <c r="B46" s="38"/>
      <c r="C46" s="38">
        <v>43</v>
      </c>
      <c r="D46" s="38" t="s">
        <v>67</v>
      </c>
      <c r="E46" s="494">
        <v>24115</v>
      </c>
      <c r="F46" s="494">
        <v>0</v>
      </c>
      <c r="G46" s="494">
        <v>2748574</v>
      </c>
      <c r="H46" s="494">
        <v>2748574</v>
      </c>
      <c r="I46" s="494">
        <v>1121094</v>
      </c>
      <c r="J46" s="494">
        <v>1627598</v>
      </c>
      <c r="K46" s="494">
        <v>1008229</v>
      </c>
      <c r="L46" s="494">
        <v>0</v>
      </c>
      <c r="M46" s="494">
        <v>2635827</v>
      </c>
      <c r="N46" s="494">
        <v>112747</v>
      </c>
      <c r="O46" s="545">
        <v>4.1020179918750594</v>
      </c>
      <c r="P46" s="545">
        <v>46.489487870619946</v>
      </c>
      <c r="Q46" s="545">
        <v>67.493178519593613</v>
      </c>
      <c r="R46" s="494">
        <v>87108</v>
      </c>
      <c r="S46" s="353"/>
    </row>
    <row r="47" spans="1:19" x14ac:dyDescent="0.2">
      <c r="A47" s="38"/>
      <c r="B47" s="38"/>
      <c r="C47" s="38">
        <v>44</v>
      </c>
      <c r="D47" s="38" t="s">
        <v>238</v>
      </c>
      <c r="E47" s="494">
        <v>41293</v>
      </c>
      <c r="F47" s="494">
        <v>0</v>
      </c>
      <c r="G47" s="494">
        <v>3347614</v>
      </c>
      <c r="H47" s="494">
        <v>3347614</v>
      </c>
      <c r="I47" s="494">
        <v>2014326</v>
      </c>
      <c r="J47" s="494">
        <v>2869144</v>
      </c>
      <c r="K47" s="494">
        <v>185474</v>
      </c>
      <c r="L47" s="494">
        <v>15349</v>
      </c>
      <c r="M47" s="494">
        <v>3069967</v>
      </c>
      <c r="N47" s="494">
        <v>277647</v>
      </c>
      <c r="O47" s="545">
        <v>8.2938773705690085</v>
      </c>
      <c r="P47" s="545">
        <v>48.781294650425011</v>
      </c>
      <c r="Q47" s="545">
        <v>69.482575739229404</v>
      </c>
      <c r="R47" s="494">
        <v>0</v>
      </c>
      <c r="S47" s="353"/>
    </row>
    <row r="48" spans="1:19" x14ac:dyDescent="0.2">
      <c r="A48" s="38">
        <v>9</v>
      </c>
      <c r="B48" s="38" t="s">
        <v>447</v>
      </c>
      <c r="C48" s="38">
        <v>46</v>
      </c>
      <c r="D48" s="38" t="s">
        <v>535</v>
      </c>
      <c r="E48" s="494">
        <f>SUM(E45:E47)</f>
        <v>105990</v>
      </c>
      <c r="F48" s="494">
        <f t="shared" ref="F48:N48" si="2">SUM(F45:F47)</f>
        <v>0</v>
      </c>
      <c r="G48" s="494">
        <f t="shared" si="2"/>
        <v>9518801</v>
      </c>
      <c r="H48" s="494">
        <f t="shared" si="2"/>
        <v>9518801</v>
      </c>
      <c r="I48" s="494">
        <f t="shared" si="2"/>
        <v>5035934</v>
      </c>
      <c r="J48" s="494">
        <f t="shared" si="2"/>
        <v>7091452</v>
      </c>
      <c r="K48" s="494">
        <f t="shared" si="2"/>
        <v>1790726</v>
      </c>
      <c r="L48" s="494">
        <f t="shared" si="2"/>
        <v>15349</v>
      </c>
      <c r="M48" s="494">
        <f t="shared" si="2"/>
        <v>8897527</v>
      </c>
      <c r="N48" s="494">
        <f t="shared" si="2"/>
        <v>621274</v>
      </c>
      <c r="O48" s="545">
        <v>5.5682480534133871</v>
      </c>
      <c r="P48" s="545">
        <v>46.703989365812944</v>
      </c>
      <c r="Q48" s="545">
        <v>65.262809712969684</v>
      </c>
      <c r="R48" s="546">
        <f>SUM(R45:R47)</f>
        <v>136213</v>
      </c>
      <c r="S48" s="353">
        <v>329665</v>
      </c>
    </row>
    <row r="49" spans="1:19" x14ac:dyDescent="0.2">
      <c r="A49" s="38"/>
      <c r="B49" s="38"/>
      <c r="C49" s="38">
        <v>47</v>
      </c>
      <c r="D49" s="47" t="s">
        <v>134</v>
      </c>
      <c r="E49" s="494">
        <v>404750</v>
      </c>
      <c r="F49" s="494">
        <v>4468449</v>
      </c>
      <c r="G49" s="494">
        <v>39839900</v>
      </c>
      <c r="H49" s="494">
        <v>44308349</v>
      </c>
      <c r="I49" s="494">
        <v>24971737</v>
      </c>
      <c r="J49" s="494">
        <v>37213610</v>
      </c>
      <c r="K49" s="494">
        <v>1639622</v>
      </c>
      <c r="L49" s="494">
        <v>17079</v>
      </c>
      <c r="M49" s="494">
        <v>38870311</v>
      </c>
      <c r="N49" s="494">
        <v>5438038</v>
      </c>
      <c r="O49" s="545">
        <v>12.273167749942568</v>
      </c>
      <c r="P49" s="545">
        <v>61.696694255713403</v>
      </c>
      <c r="Q49" s="545">
        <v>91.94221124150711</v>
      </c>
      <c r="R49" s="494"/>
      <c r="S49" s="353"/>
    </row>
    <row r="50" spans="1:19" x14ac:dyDescent="0.2">
      <c r="A50" s="38">
        <v>10</v>
      </c>
      <c r="B50" s="38" t="s">
        <v>687</v>
      </c>
      <c r="C50" s="38">
        <v>48</v>
      </c>
      <c r="D50" s="38" t="s">
        <v>535</v>
      </c>
      <c r="E50" s="494">
        <v>404750</v>
      </c>
      <c r="F50" s="494">
        <v>4468449</v>
      </c>
      <c r="G50" s="494">
        <v>39839900</v>
      </c>
      <c r="H50" s="494">
        <v>44308349</v>
      </c>
      <c r="I50" s="494">
        <v>24971737</v>
      </c>
      <c r="J50" s="494">
        <v>37213610</v>
      </c>
      <c r="K50" s="494">
        <v>1639622</v>
      </c>
      <c r="L50" s="494">
        <v>17079</v>
      </c>
      <c r="M50" s="494">
        <v>38870311</v>
      </c>
      <c r="N50" s="494">
        <v>5438038</v>
      </c>
      <c r="O50" s="545">
        <v>12.273167749942568</v>
      </c>
      <c r="P50" s="545">
        <v>61.696694255713403</v>
      </c>
      <c r="Q50" s="545">
        <v>91.94221124150711</v>
      </c>
      <c r="R50" s="494"/>
      <c r="S50" s="353"/>
    </row>
    <row r="51" spans="1:19" x14ac:dyDescent="0.2">
      <c r="A51" s="38"/>
      <c r="B51" s="38"/>
      <c r="C51" s="38">
        <v>49</v>
      </c>
      <c r="D51" s="38" t="s">
        <v>99</v>
      </c>
      <c r="E51" s="494">
        <v>33384</v>
      </c>
      <c r="F51" s="494">
        <v>1385331</v>
      </c>
      <c r="G51" s="494">
        <v>992789</v>
      </c>
      <c r="H51" s="494">
        <v>2378120</v>
      </c>
      <c r="I51" s="494">
        <v>1876803</v>
      </c>
      <c r="J51" s="494">
        <v>2219824</v>
      </c>
      <c r="K51" s="494">
        <v>0</v>
      </c>
      <c r="L51" s="494">
        <v>0</v>
      </c>
      <c r="M51" s="494">
        <v>2219824</v>
      </c>
      <c r="N51" s="494">
        <v>158296</v>
      </c>
      <c r="O51" s="545">
        <v>6.6563503944292126</v>
      </c>
      <c r="P51" s="545">
        <v>56.218637670740478</v>
      </c>
      <c r="Q51" s="545">
        <v>66.493649652528163</v>
      </c>
      <c r="R51" s="494">
        <v>15766</v>
      </c>
      <c r="S51" s="353"/>
    </row>
    <row r="52" spans="1:19" x14ac:dyDescent="0.2">
      <c r="A52" s="38"/>
      <c r="B52" s="38"/>
      <c r="C52" s="38">
        <v>50</v>
      </c>
      <c r="D52" s="5" t="s">
        <v>680</v>
      </c>
      <c r="E52" s="494">
        <v>27604</v>
      </c>
      <c r="F52" s="494">
        <v>0</v>
      </c>
      <c r="G52" s="494">
        <v>2384380</v>
      </c>
      <c r="H52" s="494">
        <v>2384380</v>
      </c>
      <c r="I52" s="494">
        <v>1563555</v>
      </c>
      <c r="J52" s="494">
        <v>1933367</v>
      </c>
      <c r="K52" s="494">
        <v>45830</v>
      </c>
      <c r="L52" s="494">
        <v>43195</v>
      </c>
      <c r="M52" s="494">
        <v>2022392</v>
      </c>
      <c r="N52" s="494">
        <v>361988</v>
      </c>
      <c r="O52" s="545">
        <v>15.181640510321342</v>
      </c>
      <c r="P52" s="545">
        <v>56.642334444283435</v>
      </c>
      <c r="Q52" s="545">
        <v>70.039378350963631</v>
      </c>
      <c r="R52" s="494"/>
      <c r="S52" s="353"/>
    </row>
    <row r="53" spans="1:19" x14ac:dyDescent="0.2">
      <c r="A53" s="38">
        <v>11</v>
      </c>
      <c r="B53" s="38" t="s">
        <v>266</v>
      </c>
      <c r="C53" s="38">
        <v>51</v>
      </c>
      <c r="D53" s="38" t="s">
        <v>535</v>
      </c>
      <c r="E53" s="494">
        <f>SUM(E51:E52)</f>
        <v>60988</v>
      </c>
      <c r="F53" s="494">
        <f t="shared" ref="F53:N53" si="3">SUM(F51:F52)</f>
        <v>1385331</v>
      </c>
      <c r="G53" s="494">
        <f t="shared" si="3"/>
        <v>3377169</v>
      </c>
      <c r="H53" s="494">
        <f t="shared" si="3"/>
        <v>4762500</v>
      </c>
      <c r="I53" s="494">
        <f t="shared" si="3"/>
        <v>3440358</v>
      </c>
      <c r="J53" s="494">
        <f t="shared" si="3"/>
        <v>4153191</v>
      </c>
      <c r="K53" s="494">
        <f t="shared" si="3"/>
        <v>45830</v>
      </c>
      <c r="L53" s="494">
        <f t="shared" si="3"/>
        <v>43195</v>
      </c>
      <c r="M53" s="494">
        <f t="shared" si="3"/>
        <v>4242216</v>
      </c>
      <c r="N53" s="494">
        <f t="shared" si="3"/>
        <v>520284</v>
      </c>
      <c r="O53" s="545">
        <v>6.6563503944292126</v>
      </c>
      <c r="P53" s="545">
        <v>56.218637670740478</v>
      </c>
      <c r="Q53" s="545">
        <v>66.493649652528163</v>
      </c>
      <c r="R53" s="546">
        <f>SUM(R51)</f>
        <v>15766</v>
      </c>
      <c r="S53" s="353">
        <v>46798</v>
      </c>
    </row>
    <row r="54" spans="1:19" x14ac:dyDescent="0.2">
      <c r="A54" s="38"/>
      <c r="B54" s="38"/>
      <c r="C54" s="38">
        <v>52</v>
      </c>
      <c r="D54" s="38" t="s">
        <v>107</v>
      </c>
      <c r="E54" s="494">
        <v>117429</v>
      </c>
      <c r="F54" s="494">
        <v>0</v>
      </c>
      <c r="G54" s="494">
        <v>10198160</v>
      </c>
      <c r="H54" s="494">
        <v>10198160</v>
      </c>
      <c r="I54" s="494">
        <v>6280356</v>
      </c>
      <c r="J54" s="494">
        <v>8341082</v>
      </c>
      <c r="K54" s="494">
        <v>1047814</v>
      </c>
      <c r="L54" s="494">
        <v>79321</v>
      </c>
      <c r="M54" s="494">
        <v>9468217</v>
      </c>
      <c r="N54" s="494">
        <v>729943</v>
      </c>
      <c r="O54" s="545">
        <v>7.1575950955858696</v>
      </c>
      <c r="P54" s="545">
        <v>53.482155174616153</v>
      </c>
      <c r="Q54" s="545">
        <v>71.030852685452487</v>
      </c>
      <c r="R54" s="494"/>
      <c r="S54" s="353"/>
    </row>
    <row r="55" spans="1:19" x14ac:dyDescent="0.2">
      <c r="A55" s="38"/>
      <c r="B55" s="38"/>
      <c r="C55" s="38">
        <v>53</v>
      </c>
      <c r="D55" s="38" t="s">
        <v>108</v>
      </c>
      <c r="E55" s="494">
        <v>27978</v>
      </c>
      <c r="F55" s="494">
        <v>0</v>
      </c>
      <c r="G55" s="494">
        <v>2121400</v>
      </c>
      <c r="H55" s="494">
        <v>2121400</v>
      </c>
      <c r="I55" s="494">
        <v>1228651</v>
      </c>
      <c r="J55" s="494">
        <v>1633991</v>
      </c>
      <c r="K55" s="494">
        <v>51994</v>
      </c>
      <c r="L55" s="494">
        <v>0</v>
      </c>
      <c r="M55" s="494">
        <v>1685985</v>
      </c>
      <c r="N55" s="494">
        <v>435415</v>
      </c>
      <c r="O55" s="545">
        <v>20.524889224097294</v>
      </c>
      <c r="P55" s="545">
        <v>43.914897419400958</v>
      </c>
      <c r="Q55" s="545">
        <v>58.402709271570522</v>
      </c>
      <c r="R55" s="494"/>
      <c r="S55" s="353"/>
    </row>
    <row r="56" spans="1:19" x14ac:dyDescent="0.2">
      <c r="A56" s="38">
        <v>12</v>
      </c>
      <c r="B56" s="38" t="s">
        <v>271</v>
      </c>
      <c r="C56" s="38">
        <v>55</v>
      </c>
      <c r="D56" s="38" t="s">
        <v>535</v>
      </c>
      <c r="E56" s="494">
        <f>SUM(E54:E55)</f>
        <v>145407</v>
      </c>
      <c r="F56" s="494">
        <f t="shared" ref="F56:N56" si="4">SUM(F54:F55)</f>
        <v>0</v>
      </c>
      <c r="G56" s="494">
        <f t="shared" si="4"/>
        <v>12319560</v>
      </c>
      <c r="H56" s="494">
        <f t="shared" si="4"/>
        <v>12319560</v>
      </c>
      <c r="I56" s="494">
        <f t="shared" si="4"/>
        <v>7509007</v>
      </c>
      <c r="J56" s="494">
        <f t="shared" si="4"/>
        <v>9975073</v>
      </c>
      <c r="K56" s="494">
        <f t="shared" si="4"/>
        <v>1099808</v>
      </c>
      <c r="L56" s="494">
        <f t="shared" si="4"/>
        <v>79321</v>
      </c>
      <c r="M56" s="494">
        <f t="shared" si="4"/>
        <v>11154202</v>
      </c>
      <c r="N56" s="494">
        <f t="shared" si="4"/>
        <v>1165358</v>
      </c>
      <c r="O56" s="545">
        <v>9.4594125114857999</v>
      </c>
      <c r="P56" s="545">
        <v>51.641303376041044</v>
      </c>
      <c r="Q56" s="545">
        <v>68.601050843494463</v>
      </c>
      <c r="R56" s="494"/>
      <c r="S56" s="353"/>
    </row>
    <row r="57" spans="1:19" x14ac:dyDescent="0.2">
      <c r="A57" s="38"/>
      <c r="B57" s="38"/>
      <c r="C57" s="38">
        <v>56</v>
      </c>
      <c r="D57" s="38" t="s">
        <v>57</v>
      </c>
      <c r="E57" s="494">
        <v>163301</v>
      </c>
      <c r="F57" s="494">
        <v>3054211</v>
      </c>
      <c r="G57" s="494">
        <v>7147497</v>
      </c>
      <c r="H57" s="494">
        <v>10201708</v>
      </c>
      <c r="I57" s="494">
        <v>6730145</v>
      </c>
      <c r="J57" s="494">
        <v>8988794</v>
      </c>
      <c r="K57" s="494">
        <v>747169</v>
      </c>
      <c r="L57" s="494">
        <v>0</v>
      </c>
      <c r="M57" s="494">
        <v>9735963</v>
      </c>
      <c r="N57" s="494">
        <v>465745</v>
      </c>
      <c r="O57" s="545">
        <v>4.5653629764741357</v>
      </c>
      <c r="P57" s="545">
        <v>41.213127904911786</v>
      </c>
      <c r="Q57" s="545">
        <v>55.044329183532248</v>
      </c>
      <c r="R57" s="494">
        <v>544668</v>
      </c>
      <c r="S57" s="353"/>
    </row>
    <row r="58" spans="1:19" x14ac:dyDescent="0.2">
      <c r="A58" s="38">
        <v>13</v>
      </c>
      <c r="B58" s="54" t="s">
        <v>691</v>
      </c>
      <c r="C58" s="38">
        <v>57</v>
      </c>
      <c r="D58" s="38" t="s">
        <v>535</v>
      </c>
      <c r="E58" s="494">
        <v>163301</v>
      </c>
      <c r="F58" s="494">
        <v>3054211</v>
      </c>
      <c r="G58" s="494">
        <v>7147497</v>
      </c>
      <c r="H58" s="494">
        <v>10201708</v>
      </c>
      <c r="I58" s="494">
        <v>6730145</v>
      </c>
      <c r="J58" s="494">
        <v>8988794</v>
      </c>
      <c r="K58" s="494">
        <v>747169</v>
      </c>
      <c r="L58" s="494">
        <v>0</v>
      </c>
      <c r="M58" s="494">
        <v>9735963</v>
      </c>
      <c r="N58" s="494">
        <v>465745</v>
      </c>
      <c r="O58" s="545">
        <v>4.5653629764741357</v>
      </c>
      <c r="P58" s="545">
        <v>41.213127904911786</v>
      </c>
      <c r="Q58" s="545">
        <v>55.044329183532248</v>
      </c>
      <c r="R58" s="546">
        <f>SUM(R57)</f>
        <v>544668</v>
      </c>
      <c r="S58" s="353">
        <v>1296911</v>
      </c>
    </row>
    <row r="59" spans="1:19" x14ac:dyDescent="0.2">
      <c r="A59" s="38"/>
      <c r="B59" s="38"/>
      <c r="C59" s="38">
        <v>58</v>
      </c>
      <c r="D59" s="38" t="s">
        <v>97</v>
      </c>
      <c r="E59" s="494">
        <v>128157</v>
      </c>
      <c r="F59" s="494">
        <v>7199999</v>
      </c>
      <c r="G59" s="494">
        <v>1681900</v>
      </c>
      <c r="H59" s="494">
        <v>8881899</v>
      </c>
      <c r="I59" s="494">
        <v>6194392</v>
      </c>
      <c r="J59" s="494">
        <v>7624821</v>
      </c>
      <c r="K59" s="494">
        <v>240986</v>
      </c>
      <c r="L59" s="494">
        <v>0</v>
      </c>
      <c r="M59" s="494">
        <v>7865807</v>
      </c>
      <c r="N59" s="494">
        <v>1016092</v>
      </c>
      <c r="O59" s="545">
        <v>11.440031011386191</v>
      </c>
      <c r="P59" s="545">
        <v>48.334402334636422</v>
      </c>
      <c r="Q59" s="545">
        <v>59.495938575341185</v>
      </c>
      <c r="R59" s="494">
        <v>32163</v>
      </c>
      <c r="S59" s="353"/>
    </row>
    <row r="60" spans="1:19" x14ac:dyDescent="0.2">
      <c r="A60" s="38">
        <v>14</v>
      </c>
      <c r="B60" s="38" t="s">
        <v>530</v>
      </c>
      <c r="C60" s="38">
        <v>59</v>
      </c>
      <c r="D60" s="38" t="s">
        <v>535</v>
      </c>
      <c r="E60" s="494">
        <v>128157</v>
      </c>
      <c r="F60" s="494">
        <v>7199999</v>
      </c>
      <c r="G60" s="494">
        <v>1681900</v>
      </c>
      <c r="H60" s="494">
        <v>8881899</v>
      </c>
      <c r="I60" s="494">
        <v>6194392</v>
      </c>
      <c r="J60" s="494">
        <v>7624821</v>
      </c>
      <c r="K60" s="494">
        <v>240986</v>
      </c>
      <c r="L60" s="494">
        <v>0</v>
      </c>
      <c r="M60" s="494">
        <v>7865807</v>
      </c>
      <c r="N60" s="494">
        <v>1016092</v>
      </c>
      <c r="O60" s="545">
        <v>11.440031011386191</v>
      </c>
      <c r="P60" s="545">
        <v>48.334402334636422</v>
      </c>
      <c r="Q60" s="545">
        <v>59.495938575341185</v>
      </c>
      <c r="R60" s="546">
        <f>SUM(R59)</f>
        <v>32163</v>
      </c>
      <c r="S60" s="353">
        <v>442203</v>
      </c>
    </row>
    <row r="61" spans="1:19" x14ac:dyDescent="0.2">
      <c r="A61" s="38"/>
      <c r="B61" s="38"/>
      <c r="C61" s="38">
        <v>60</v>
      </c>
      <c r="D61" s="38" t="s">
        <v>98</v>
      </c>
      <c r="E61" s="494">
        <v>54728</v>
      </c>
      <c r="F61" s="494">
        <v>1955300</v>
      </c>
      <c r="G61" s="494">
        <v>1673272</v>
      </c>
      <c r="H61" s="494">
        <v>3628572</v>
      </c>
      <c r="I61" s="494">
        <v>2890474</v>
      </c>
      <c r="J61" s="494">
        <v>3398864</v>
      </c>
      <c r="K61" s="494">
        <v>0</v>
      </c>
      <c r="L61" s="494">
        <v>0</v>
      </c>
      <c r="M61" s="494">
        <v>3398864</v>
      </c>
      <c r="N61" s="494">
        <v>229708</v>
      </c>
      <c r="O61" s="545">
        <v>6.3305344361363094</v>
      </c>
      <c r="P61" s="545">
        <v>52.815268235638065</v>
      </c>
      <c r="Q61" s="545">
        <v>62.104663060956</v>
      </c>
      <c r="R61" s="494">
        <v>110094</v>
      </c>
      <c r="S61" s="353"/>
    </row>
    <row r="62" spans="1:19" x14ac:dyDescent="0.2">
      <c r="A62" s="38">
        <v>15</v>
      </c>
      <c r="B62" s="38" t="s">
        <v>529</v>
      </c>
      <c r="C62" s="38">
        <v>61</v>
      </c>
      <c r="D62" s="38" t="s">
        <v>535</v>
      </c>
      <c r="E62" s="494">
        <v>54728</v>
      </c>
      <c r="F62" s="494">
        <v>1955300</v>
      </c>
      <c r="G62" s="494">
        <v>1673272</v>
      </c>
      <c r="H62" s="494">
        <v>3628572</v>
      </c>
      <c r="I62" s="494">
        <v>2890474</v>
      </c>
      <c r="J62" s="494">
        <v>3398864</v>
      </c>
      <c r="K62" s="494">
        <v>0</v>
      </c>
      <c r="L62" s="494">
        <v>0</v>
      </c>
      <c r="M62" s="494">
        <v>3398864</v>
      </c>
      <c r="N62" s="494">
        <v>229708</v>
      </c>
      <c r="O62" s="545">
        <v>6.3305344361363094</v>
      </c>
      <c r="P62" s="545">
        <v>52.815268235638065</v>
      </c>
      <c r="Q62" s="545">
        <v>62.104663060956</v>
      </c>
      <c r="R62" s="546">
        <f>SUM(R61)</f>
        <v>110094</v>
      </c>
      <c r="S62" s="353">
        <v>223597</v>
      </c>
    </row>
    <row r="63" spans="1:19" x14ac:dyDescent="0.2">
      <c r="A63" s="38"/>
      <c r="B63" s="38"/>
      <c r="C63" s="38">
        <v>62</v>
      </c>
      <c r="D63" s="38" t="s">
        <v>35</v>
      </c>
      <c r="E63" s="494">
        <v>27087</v>
      </c>
      <c r="F63" s="494">
        <v>0</v>
      </c>
      <c r="G63" s="494">
        <v>2094569</v>
      </c>
      <c r="H63" s="494">
        <v>2094569</v>
      </c>
      <c r="I63" s="494">
        <v>1096413</v>
      </c>
      <c r="J63" s="494">
        <v>1362181</v>
      </c>
      <c r="K63" s="494">
        <v>9230</v>
      </c>
      <c r="L63" s="494">
        <v>13167</v>
      </c>
      <c r="M63" s="494">
        <v>1384578</v>
      </c>
      <c r="N63" s="494">
        <v>709991</v>
      </c>
      <c r="O63" s="545">
        <v>33.896758712651625</v>
      </c>
      <c r="P63" s="545">
        <v>40.47746151290287</v>
      </c>
      <c r="Q63" s="545">
        <v>50.289105474951086</v>
      </c>
      <c r="R63" s="494"/>
      <c r="S63" s="353"/>
    </row>
    <row r="64" spans="1:19" x14ac:dyDescent="0.2">
      <c r="A64" s="38"/>
      <c r="B64" s="38"/>
      <c r="C64" s="38">
        <v>63</v>
      </c>
      <c r="D64" s="38" t="s">
        <v>105</v>
      </c>
      <c r="E64" s="494">
        <v>11249</v>
      </c>
      <c r="F64" s="494">
        <v>0</v>
      </c>
      <c r="G64" s="494">
        <v>609166</v>
      </c>
      <c r="H64" s="494">
        <v>609166</v>
      </c>
      <c r="I64" s="494">
        <v>398473</v>
      </c>
      <c r="J64" s="494">
        <v>443194</v>
      </c>
      <c r="K64" s="494">
        <v>0</v>
      </c>
      <c r="L64" s="494">
        <v>3775</v>
      </c>
      <c r="M64" s="494">
        <v>446969</v>
      </c>
      <c r="N64" s="494">
        <v>162197</v>
      </c>
      <c r="O64" s="545">
        <v>26.626075650971988</v>
      </c>
      <c r="P64" s="545">
        <v>35.422970930749401</v>
      </c>
      <c r="Q64" s="545">
        <v>39.39852431327229</v>
      </c>
      <c r="R64" s="494"/>
      <c r="S64" s="353"/>
    </row>
    <row r="65" spans="1:19" x14ac:dyDescent="0.2">
      <c r="A65" s="38"/>
      <c r="B65" s="38"/>
      <c r="C65" s="38">
        <v>64</v>
      </c>
      <c r="D65" s="38" t="s">
        <v>14</v>
      </c>
      <c r="E65" s="494">
        <v>9248</v>
      </c>
      <c r="F65" s="494">
        <v>0</v>
      </c>
      <c r="G65" s="494">
        <v>650565</v>
      </c>
      <c r="H65" s="494">
        <v>650565</v>
      </c>
      <c r="I65" s="494">
        <v>407256</v>
      </c>
      <c r="J65" s="494">
        <v>458625</v>
      </c>
      <c r="K65" s="494">
        <v>0</v>
      </c>
      <c r="L65" s="494">
        <v>8082</v>
      </c>
      <c r="M65" s="494">
        <v>466707</v>
      </c>
      <c r="N65" s="494">
        <v>183858</v>
      </c>
      <c r="O65" s="545">
        <v>28.261280579188856</v>
      </c>
      <c r="P65" s="545">
        <v>44.037197231833908</v>
      </c>
      <c r="Q65" s="545">
        <v>49.591803633217992</v>
      </c>
      <c r="R65" s="494"/>
      <c r="S65" s="353"/>
    </row>
    <row r="66" spans="1:19" x14ac:dyDescent="0.2">
      <c r="A66" s="38"/>
      <c r="B66" s="38"/>
      <c r="C66" s="38">
        <v>65</v>
      </c>
      <c r="D66" s="38" t="s">
        <v>738</v>
      </c>
      <c r="E66" s="494">
        <v>7510</v>
      </c>
      <c r="F66" s="494">
        <v>0</v>
      </c>
      <c r="G66" s="494">
        <v>717984</v>
      </c>
      <c r="H66" s="494">
        <v>717984</v>
      </c>
      <c r="I66" s="494">
        <v>379343</v>
      </c>
      <c r="J66" s="494">
        <v>420864</v>
      </c>
      <c r="K66" s="494">
        <v>0</v>
      </c>
      <c r="L66" s="494">
        <v>52396</v>
      </c>
      <c r="M66" s="494">
        <v>473260</v>
      </c>
      <c r="N66" s="494">
        <v>244724</v>
      </c>
      <c r="O66" s="545">
        <v>34.084882114364667</v>
      </c>
      <c r="P66" s="545">
        <v>50.511717709720372</v>
      </c>
      <c r="Q66" s="545">
        <v>56.040479360852196</v>
      </c>
      <c r="R66" s="494"/>
      <c r="S66" s="353"/>
    </row>
    <row r="67" spans="1:19" x14ac:dyDescent="0.2">
      <c r="A67" s="38"/>
      <c r="B67" s="38"/>
      <c r="C67" s="38">
        <v>66</v>
      </c>
      <c r="D67" s="38" t="s">
        <v>45</v>
      </c>
      <c r="E67" s="494">
        <v>22229</v>
      </c>
      <c r="F67" s="494">
        <v>0</v>
      </c>
      <c r="G67" s="494">
        <v>1809982</v>
      </c>
      <c r="H67" s="494">
        <v>1809982</v>
      </c>
      <c r="I67" s="494">
        <v>1055672</v>
      </c>
      <c r="J67" s="494">
        <v>1231997</v>
      </c>
      <c r="K67" s="494">
        <v>30027</v>
      </c>
      <c r="L67" s="494">
        <v>15820</v>
      </c>
      <c r="M67" s="494">
        <v>1277844</v>
      </c>
      <c r="N67" s="494">
        <v>532138</v>
      </c>
      <c r="O67" s="545">
        <v>29.400181880261794</v>
      </c>
      <c r="P67" s="545">
        <v>47.49075531962751</v>
      </c>
      <c r="Q67" s="545">
        <v>55.422960996895945</v>
      </c>
      <c r="R67" s="494"/>
      <c r="S67" s="353"/>
    </row>
    <row r="68" spans="1:19" x14ac:dyDescent="0.2">
      <c r="A68" s="38"/>
      <c r="B68" s="38"/>
      <c r="C68" s="38">
        <v>67</v>
      </c>
      <c r="D68" s="38" t="s">
        <v>739</v>
      </c>
      <c r="E68" s="494">
        <v>13789</v>
      </c>
      <c r="F68" s="494">
        <v>0</v>
      </c>
      <c r="G68" s="494">
        <v>906528</v>
      </c>
      <c r="H68" s="494">
        <v>906528</v>
      </c>
      <c r="I68" s="494">
        <v>592557</v>
      </c>
      <c r="J68" s="494">
        <v>669988</v>
      </c>
      <c r="K68" s="494">
        <v>0</v>
      </c>
      <c r="L68" s="494">
        <v>0</v>
      </c>
      <c r="M68" s="494">
        <v>669988</v>
      </c>
      <c r="N68" s="494">
        <v>236540</v>
      </c>
      <c r="O68" s="545">
        <v>26.092961276430515</v>
      </c>
      <c r="P68" s="545">
        <v>42.973167017187613</v>
      </c>
      <c r="Q68" s="545">
        <v>48.588585104068457</v>
      </c>
      <c r="R68" s="494"/>
      <c r="S68" s="353"/>
    </row>
    <row r="69" spans="1:19" x14ac:dyDescent="0.2">
      <c r="A69" s="38"/>
      <c r="B69" s="38"/>
      <c r="C69" s="38">
        <v>68</v>
      </c>
      <c r="D69" s="38" t="s">
        <v>740</v>
      </c>
      <c r="E69" s="494">
        <v>10942</v>
      </c>
      <c r="F69" s="494">
        <v>0</v>
      </c>
      <c r="G69" s="494">
        <v>749984</v>
      </c>
      <c r="H69" s="494">
        <v>749984</v>
      </c>
      <c r="I69" s="494">
        <v>464815</v>
      </c>
      <c r="J69" s="494">
        <v>508859</v>
      </c>
      <c r="K69" s="494">
        <v>0</v>
      </c>
      <c r="L69" s="494">
        <v>706</v>
      </c>
      <c r="M69" s="494">
        <v>509565</v>
      </c>
      <c r="N69" s="494">
        <v>240419</v>
      </c>
      <c r="O69" s="545">
        <v>32.056550539744848</v>
      </c>
      <c r="P69" s="545">
        <v>42.479893986474139</v>
      </c>
      <c r="Q69" s="545">
        <v>46.50511789435204</v>
      </c>
      <c r="R69" s="494"/>
      <c r="S69" s="353"/>
    </row>
    <row r="70" spans="1:19" x14ac:dyDescent="0.2">
      <c r="A70" s="38">
        <v>16</v>
      </c>
      <c r="B70" s="38" t="s">
        <v>252</v>
      </c>
      <c r="C70" s="38">
        <v>69</v>
      </c>
      <c r="D70" s="38" t="s">
        <v>535</v>
      </c>
      <c r="E70" s="494">
        <v>102054</v>
      </c>
      <c r="F70" s="494">
        <v>0</v>
      </c>
      <c r="G70" s="494">
        <v>7538778</v>
      </c>
      <c r="H70" s="494">
        <v>7538778</v>
      </c>
      <c r="I70" s="494">
        <v>4394529</v>
      </c>
      <c r="J70" s="494">
        <v>5095708</v>
      </c>
      <c r="K70" s="494">
        <v>39257</v>
      </c>
      <c r="L70" s="494">
        <v>93946</v>
      </c>
      <c r="M70" s="494">
        <v>5228911</v>
      </c>
      <c r="N70" s="494">
        <v>2309867</v>
      </c>
      <c r="O70" s="545">
        <v>30.639806610567387</v>
      </c>
      <c r="P70" s="545">
        <v>43.060820741960136</v>
      </c>
      <c r="Q70" s="545">
        <v>49.931487251847059</v>
      </c>
      <c r="R70" s="494"/>
      <c r="S70" s="353"/>
    </row>
    <row r="71" spans="1:19" x14ac:dyDescent="0.2">
      <c r="A71" s="38"/>
      <c r="B71" s="38"/>
      <c r="C71" s="38">
        <v>70</v>
      </c>
      <c r="D71" s="38" t="s">
        <v>15</v>
      </c>
      <c r="E71" s="494">
        <v>49943</v>
      </c>
      <c r="F71" s="494">
        <v>30040</v>
      </c>
      <c r="G71" s="494">
        <v>4232809</v>
      </c>
      <c r="H71" s="494">
        <v>4262849</v>
      </c>
      <c r="I71" s="494">
        <v>2877619</v>
      </c>
      <c r="J71" s="494">
        <v>3682998</v>
      </c>
      <c r="K71" s="494">
        <v>90376</v>
      </c>
      <c r="L71" s="494">
        <v>261490</v>
      </c>
      <c r="M71" s="494">
        <v>4034864</v>
      </c>
      <c r="N71" s="494">
        <v>227985</v>
      </c>
      <c r="O71" s="545">
        <v>5.3481838085280522</v>
      </c>
      <c r="P71" s="545">
        <v>57.618064593636745</v>
      </c>
      <c r="Q71" s="545">
        <v>73.744028192139041</v>
      </c>
      <c r="R71" s="494">
        <v>47009</v>
      </c>
      <c r="S71" s="547"/>
    </row>
    <row r="72" spans="1:19" x14ac:dyDescent="0.2">
      <c r="A72" s="38">
        <v>17</v>
      </c>
      <c r="B72" s="38" t="s">
        <v>253</v>
      </c>
      <c r="C72" s="38">
        <v>71</v>
      </c>
      <c r="D72" s="38" t="s">
        <v>535</v>
      </c>
      <c r="E72" s="494">
        <v>49943</v>
      </c>
      <c r="F72" s="494">
        <v>30040</v>
      </c>
      <c r="G72" s="494">
        <v>4232809</v>
      </c>
      <c r="H72" s="494">
        <v>4262849</v>
      </c>
      <c r="I72" s="494">
        <v>2877619</v>
      </c>
      <c r="J72" s="494">
        <v>3682998</v>
      </c>
      <c r="K72" s="494">
        <v>90376</v>
      </c>
      <c r="L72" s="494">
        <v>261490</v>
      </c>
      <c r="M72" s="494">
        <v>4034864</v>
      </c>
      <c r="N72" s="494">
        <v>227985</v>
      </c>
      <c r="O72" s="545">
        <v>5.3481838085280522</v>
      </c>
      <c r="P72" s="545">
        <v>57.618064593636745</v>
      </c>
      <c r="Q72" s="545">
        <v>73.744028192139041</v>
      </c>
      <c r="R72" s="546">
        <f>SUM(R71)</f>
        <v>47009</v>
      </c>
      <c r="S72" s="353">
        <v>280848</v>
      </c>
    </row>
    <row r="73" spans="1:19" x14ac:dyDescent="0.2">
      <c r="A73" s="38"/>
      <c r="B73" s="38"/>
      <c r="C73" s="38">
        <v>72</v>
      </c>
      <c r="D73" s="38" t="s">
        <v>62</v>
      </c>
      <c r="E73" s="494">
        <v>88734</v>
      </c>
      <c r="F73" s="494">
        <v>3105510</v>
      </c>
      <c r="G73" s="494">
        <v>6964400</v>
      </c>
      <c r="H73" s="494">
        <v>10069910</v>
      </c>
      <c r="I73" s="494">
        <v>6557659</v>
      </c>
      <c r="J73" s="494">
        <v>8961415</v>
      </c>
      <c r="K73" s="494">
        <v>252349</v>
      </c>
      <c r="L73" s="494">
        <v>54918</v>
      </c>
      <c r="M73" s="494">
        <v>9268682</v>
      </c>
      <c r="N73" s="494">
        <v>801228</v>
      </c>
      <c r="O73" s="545">
        <v>7.956655024722167</v>
      </c>
      <c r="P73" s="545">
        <v>73.902438749521039</v>
      </c>
      <c r="Q73" s="545">
        <v>100.99189713075033</v>
      </c>
      <c r="R73" s="494">
        <v>196899</v>
      </c>
      <c r="S73" s="353"/>
    </row>
    <row r="74" spans="1:19" x14ac:dyDescent="0.2">
      <c r="A74" s="38">
        <v>18</v>
      </c>
      <c r="B74" s="38" t="s">
        <v>254</v>
      </c>
      <c r="C74" s="38">
        <v>73</v>
      </c>
      <c r="D74" s="38" t="s">
        <v>535</v>
      </c>
      <c r="E74" s="494">
        <v>88734</v>
      </c>
      <c r="F74" s="494">
        <v>3105510</v>
      </c>
      <c r="G74" s="494">
        <v>6964400</v>
      </c>
      <c r="H74" s="494">
        <v>10069910</v>
      </c>
      <c r="I74" s="494">
        <v>6557659</v>
      </c>
      <c r="J74" s="494">
        <v>8961415</v>
      </c>
      <c r="K74" s="494">
        <v>252349</v>
      </c>
      <c r="L74" s="494">
        <v>54918</v>
      </c>
      <c r="M74" s="494">
        <v>9268682</v>
      </c>
      <c r="N74" s="494">
        <v>801228</v>
      </c>
      <c r="O74" s="545">
        <v>7.956655024722167</v>
      </c>
      <c r="P74" s="545">
        <v>73.902438749521039</v>
      </c>
      <c r="Q74" s="545">
        <v>100.99189713075033</v>
      </c>
      <c r="R74" s="546">
        <f>SUM(R73)</f>
        <v>196899</v>
      </c>
      <c r="S74" s="353">
        <v>555888</v>
      </c>
    </row>
    <row r="75" spans="1:19" x14ac:dyDescent="0.2">
      <c r="A75" s="38"/>
      <c r="B75" s="38"/>
      <c r="C75" s="38">
        <v>74</v>
      </c>
      <c r="D75" s="5" t="s">
        <v>138</v>
      </c>
      <c r="E75" s="494">
        <v>82489</v>
      </c>
      <c r="F75" s="494">
        <v>2157072</v>
      </c>
      <c r="G75" s="494">
        <v>4874141</v>
      </c>
      <c r="H75" s="494">
        <v>7031213</v>
      </c>
      <c r="I75" s="494">
        <v>4101508</v>
      </c>
      <c r="J75" s="494">
        <v>5901164</v>
      </c>
      <c r="K75" s="494">
        <v>247010</v>
      </c>
      <c r="L75" s="494">
        <v>20346</v>
      </c>
      <c r="M75" s="494">
        <v>6168520</v>
      </c>
      <c r="N75" s="494">
        <v>862693</v>
      </c>
      <c r="O75" s="545">
        <v>12.26947612026545</v>
      </c>
      <c r="P75" s="545">
        <v>49.721878068590961</v>
      </c>
      <c r="Q75" s="545">
        <v>71.538799112608956</v>
      </c>
      <c r="R75" s="494">
        <v>353114</v>
      </c>
      <c r="S75" s="353"/>
    </row>
    <row r="76" spans="1:19" x14ac:dyDescent="0.2">
      <c r="A76" s="38">
        <v>19</v>
      </c>
      <c r="B76" s="38" t="s">
        <v>445</v>
      </c>
      <c r="C76" s="38">
        <v>78</v>
      </c>
      <c r="D76" s="38" t="s">
        <v>535</v>
      </c>
      <c r="E76" s="494">
        <f t="shared" ref="E76:N76" si="5">SUM(E75:E75)</f>
        <v>82489</v>
      </c>
      <c r="F76" s="494">
        <f t="shared" si="5"/>
        <v>2157072</v>
      </c>
      <c r="G76" s="494">
        <f t="shared" si="5"/>
        <v>4874141</v>
      </c>
      <c r="H76" s="494">
        <f t="shared" si="5"/>
        <v>7031213</v>
      </c>
      <c r="I76" s="494">
        <f t="shared" si="5"/>
        <v>4101508</v>
      </c>
      <c r="J76" s="494">
        <f t="shared" si="5"/>
        <v>5901164</v>
      </c>
      <c r="K76" s="494">
        <f t="shared" si="5"/>
        <v>247010</v>
      </c>
      <c r="L76" s="494">
        <f t="shared" si="5"/>
        <v>20346</v>
      </c>
      <c r="M76" s="494">
        <f t="shared" si="5"/>
        <v>6168520</v>
      </c>
      <c r="N76" s="494">
        <f t="shared" si="5"/>
        <v>862693</v>
      </c>
      <c r="O76" s="545">
        <v>12.26947612026545</v>
      </c>
      <c r="P76" s="545">
        <v>49.721878068590961</v>
      </c>
      <c r="Q76" s="545">
        <v>71.538799112608956</v>
      </c>
      <c r="R76" s="546">
        <f>SUM(R75)</f>
        <v>353114</v>
      </c>
      <c r="S76" s="353">
        <v>1016303</v>
      </c>
    </row>
    <row r="77" spans="1:19" x14ac:dyDescent="0.2">
      <c r="A77" s="38"/>
      <c r="B77" s="38"/>
      <c r="C77" s="38">
        <v>79</v>
      </c>
      <c r="D77" s="5" t="s">
        <v>68</v>
      </c>
      <c r="E77" s="494">
        <v>33333</v>
      </c>
      <c r="F77" s="494">
        <v>0</v>
      </c>
      <c r="G77" s="494">
        <v>3951302</v>
      </c>
      <c r="H77" s="494">
        <v>3951302</v>
      </c>
      <c r="I77" s="494">
        <v>1778776</v>
      </c>
      <c r="J77" s="494">
        <v>2561346</v>
      </c>
      <c r="K77" s="494">
        <v>257420</v>
      </c>
      <c r="L77" s="494">
        <v>0</v>
      </c>
      <c r="M77" s="494">
        <v>2818766</v>
      </c>
      <c r="N77" s="494">
        <v>1132536</v>
      </c>
      <c r="O77" s="545">
        <v>28.662349777364525</v>
      </c>
      <c r="P77" s="545">
        <v>53.363813638136378</v>
      </c>
      <c r="Q77" s="545">
        <v>76.841148411484113</v>
      </c>
      <c r="R77" s="494">
        <v>385300</v>
      </c>
      <c r="S77" s="353"/>
    </row>
    <row r="78" spans="1:19" x14ac:dyDescent="0.2">
      <c r="A78" s="38"/>
      <c r="B78" s="38"/>
      <c r="C78" s="38">
        <v>80</v>
      </c>
      <c r="D78" s="5" t="s">
        <v>77</v>
      </c>
      <c r="E78" s="494">
        <v>20460</v>
      </c>
      <c r="F78" s="494">
        <v>668140</v>
      </c>
      <c r="G78" s="494">
        <v>983990</v>
      </c>
      <c r="H78" s="494">
        <v>1652130</v>
      </c>
      <c r="I78" s="494">
        <v>1165699</v>
      </c>
      <c r="J78" s="494">
        <v>1411287</v>
      </c>
      <c r="K78" s="494">
        <v>74034</v>
      </c>
      <c r="L78" s="494">
        <v>62633</v>
      </c>
      <c r="M78" s="494">
        <v>1547954</v>
      </c>
      <c r="N78" s="494">
        <v>104176</v>
      </c>
      <c r="O78" s="545">
        <v>6.3055570687536697</v>
      </c>
      <c r="P78" s="545">
        <v>56.974535679374391</v>
      </c>
      <c r="Q78" s="545">
        <v>68.977859237536663</v>
      </c>
      <c r="R78" s="494">
        <v>0</v>
      </c>
      <c r="S78" s="353"/>
    </row>
    <row r="79" spans="1:19" x14ac:dyDescent="0.2">
      <c r="A79" s="38">
        <v>20</v>
      </c>
      <c r="B79" s="38" t="s">
        <v>255</v>
      </c>
      <c r="C79" s="38">
        <v>82</v>
      </c>
      <c r="D79" s="38" t="s">
        <v>535</v>
      </c>
      <c r="E79" s="494">
        <f t="shared" ref="E79:N79" si="6">SUM(E77:E78)</f>
        <v>53793</v>
      </c>
      <c r="F79" s="494">
        <f t="shared" si="6"/>
        <v>668140</v>
      </c>
      <c r="G79" s="494">
        <f t="shared" si="6"/>
        <v>4935292</v>
      </c>
      <c r="H79" s="494">
        <f t="shared" si="6"/>
        <v>5603432</v>
      </c>
      <c r="I79" s="494">
        <f t="shared" si="6"/>
        <v>2944475</v>
      </c>
      <c r="J79" s="494">
        <f t="shared" si="6"/>
        <v>3972633</v>
      </c>
      <c r="K79" s="494">
        <f t="shared" si="6"/>
        <v>331454</v>
      </c>
      <c r="L79" s="494">
        <f t="shared" si="6"/>
        <v>62633</v>
      </c>
      <c r="M79" s="494">
        <f t="shared" si="6"/>
        <v>4366720</v>
      </c>
      <c r="N79" s="494">
        <f t="shared" si="6"/>
        <v>1236712</v>
      </c>
      <c r="O79" s="545">
        <v>22.070616722037496</v>
      </c>
      <c r="P79" s="545">
        <v>54.737140520142027</v>
      </c>
      <c r="Q79" s="545">
        <v>73.850370866097819</v>
      </c>
      <c r="R79" s="546">
        <f>SUM(R77:R78)</f>
        <v>385300</v>
      </c>
      <c r="S79" s="353">
        <v>403028</v>
      </c>
    </row>
    <row r="80" spans="1:19" x14ac:dyDescent="0.2">
      <c r="A80" s="38"/>
      <c r="B80" s="38"/>
      <c r="C80" s="38">
        <v>83</v>
      </c>
      <c r="D80" s="5" t="s">
        <v>63</v>
      </c>
      <c r="E80" s="494">
        <v>270348</v>
      </c>
      <c r="F80" s="494">
        <v>0</v>
      </c>
      <c r="G80" s="494">
        <v>23482100</v>
      </c>
      <c r="H80" s="494">
        <v>23482100</v>
      </c>
      <c r="I80" s="494">
        <v>10871842</v>
      </c>
      <c r="J80" s="494">
        <v>18803366</v>
      </c>
      <c r="K80" s="494">
        <v>1624389</v>
      </c>
      <c r="L80" s="494">
        <v>0</v>
      </c>
      <c r="M80" s="494">
        <v>20427755</v>
      </c>
      <c r="N80" s="494">
        <v>3054345</v>
      </c>
      <c r="O80" s="545">
        <v>13.007120317177764</v>
      </c>
      <c r="P80" s="545">
        <v>40.214249781762767</v>
      </c>
      <c r="Q80" s="545">
        <v>69.552450915116808</v>
      </c>
      <c r="R80" s="494"/>
      <c r="S80" s="353"/>
    </row>
    <row r="81" spans="1:19" x14ac:dyDescent="0.2">
      <c r="A81" s="38">
        <v>21</v>
      </c>
      <c r="B81" s="38" t="s">
        <v>256</v>
      </c>
      <c r="C81" s="38">
        <v>84</v>
      </c>
      <c r="D81" s="38" t="s">
        <v>535</v>
      </c>
      <c r="E81" s="494">
        <v>270348</v>
      </c>
      <c r="F81" s="494">
        <v>0</v>
      </c>
      <c r="G81" s="494">
        <v>23482100</v>
      </c>
      <c r="H81" s="494">
        <v>23482100</v>
      </c>
      <c r="I81" s="494">
        <v>10871842</v>
      </c>
      <c r="J81" s="494">
        <v>18803366</v>
      </c>
      <c r="K81" s="494">
        <v>1624389</v>
      </c>
      <c r="L81" s="494">
        <v>0</v>
      </c>
      <c r="M81" s="494">
        <v>20427755</v>
      </c>
      <c r="N81" s="494">
        <v>3054345</v>
      </c>
      <c r="O81" s="545">
        <v>13.007120317177764</v>
      </c>
      <c r="P81" s="545">
        <v>40.214249781762767</v>
      </c>
      <c r="Q81" s="545">
        <v>69.552450915116808</v>
      </c>
      <c r="R81" s="494"/>
      <c r="S81" s="353"/>
    </row>
    <row r="82" spans="1:19" x14ac:dyDescent="0.2">
      <c r="A82" s="38"/>
      <c r="B82" s="38"/>
      <c r="C82" s="38">
        <v>85</v>
      </c>
      <c r="D82" s="38" t="s">
        <v>28</v>
      </c>
      <c r="E82" s="494">
        <v>70270</v>
      </c>
      <c r="F82" s="494">
        <v>0</v>
      </c>
      <c r="G82" s="494">
        <v>5367855</v>
      </c>
      <c r="H82" s="494">
        <v>5367855</v>
      </c>
      <c r="I82" s="494">
        <v>3111345</v>
      </c>
      <c r="J82" s="494">
        <v>3806674</v>
      </c>
      <c r="K82" s="494">
        <v>244953</v>
      </c>
      <c r="L82" s="494">
        <v>0</v>
      </c>
      <c r="M82" s="494">
        <v>4051627</v>
      </c>
      <c r="N82" s="494">
        <v>1316228</v>
      </c>
      <c r="O82" s="545">
        <v>24.520558025505533</v>
      </c>
      <c r="P82" s="545">
        <v>44.277002988473029</v>
      </c>
      <c r="Q82" s="545">
        <v>54.172107585029174</v>
      </c>
      <c r="R82" s="494">
        <v>171952</v>
      </c>
      <c r="S82" s="353"/>
    </row>
    <row r="83" spans="1:19" x14ac:dyDescent="0.2">
      <c r="A83" s="38">
        <v>22</v>
      </c>
      <c r="B83" s="38" t="s">
        <v>446</v>
      </c>
      <c r="C83" s="38">
        <v>86</v>
      </c>
      <c r="D83" s="38" t="s">
        <v>535</v>
      </c>
      <c r="E83" s="494">
        <v>70270</v>
      </c>
      <c r="F83" s="494">
        <v>0</v>
      </c>
      <c r="G83" s="494">
        <v>5367855</v>
      </c>
      <c r="H83" s="494">
        <v>5367855</v>
      </c>
      <c r="I83" s="494">
        <v>3111345</v>
      </c>
      <c r="J83" s="494">
        <v>3806674</v>
      </c>
      <c r="K83" s="494">
        <v>244953</v>
      </c>
      <c r="L83" s="494">
        <v>0</v>
      </c>
      <c r="M83" s="494">
        <v>4051627</v>
      </c>
      <c r="N83" s="494">
        <v>1316228</v>
      </c>
      <c r="O83" s="545">
        <v>24.520558025505533</v>
      </c>
      <c r="P83" s="545">
        <v>44.277002988473029</v>
      </c>
      <c r="Q83" s="545">
        <v>54.172107585029174</v>
      </c>
      <c r="R83" s="546">
        <f>SUM(R82)</f>
        <v>171952</v>
      </c>
      <c r="S83" s="353">
        <v>219329</v>
      </c>
    </row>
    <row r="84" spans="1:19" x14ac:dyDescent="0.2">
      <c r="A84" s="38"/>
      <c r="B84" s="38"/>
      <c r="C84" s="38">
        <v>87</v>
      </c>
      <c r="D84" s="47" t="s">
        <v>104</v>
      </c>
      <c r="E84" s="494">
        <v>80218</v>
      </c>
      <c r="F84" s="494">
        <v>0</v>
      </c>
      <c r="G84" s="494">
        <v>5628976</v>
      </c>
      <c r="H84" s="494">
        <v>5628976</v>
      </c>
      <c r="I84" s="494">
        <v>3913695</v>
      </c>
      <c r="J84" s="494">
        <v>5070453</v>
      </c>
      <c r="K84" s="494">
        <v>0</v>
      </c>
      <c r="L84" s="494">
        <v>0</v>
      </c>
      <c r="M84" s="494">
        <v>5070453</v>
      </c>
      <c r="N84" s="494">
        <v>558523</v>
      </c>
      <c r="O84" s="545">
        <v>9.9222842662679689</v>
      </c>
      <c r="P84" s="545">
        <v>48.788239547233786</v>
      </c>
      <c r="Q84" s="545">
        <v>63.208419556707973</v>
      </c>
      <c r="R84" s="494">
        <v>332838</v>
      </c>
      <c r="S84" s="353"/>
    </row>
    <row r="85" spans="1:19" x14ac:dyDescent="0.2">
      <c r="A85" s="38">
        <v>23</v>
      </c>
      <c r="B85" s="38" t="s">
        <v>257</v>
      </c>
      <c r="C85" s="38">
        <v>89</v>
      </c>
      <c r="D85" s="38" t="s">
        <v>535</v>
      </c>
      <c r="E85" s="494">
        <f t="shared" ref="E85:N85" si="7">SUM(E84:E84)</f>
        <v>80218</v>
      </c>
      <c r="F85" s="494">
        <f t="shared" si="7"/>
        <v>0</v>
      </c>
      <c r="G85" s="494">
        <f t="shared" si="7"/>
        <v>5628976</v>
      </c>
      <c r="H85" s="494">
        <f t="shared" si="7"/>
        <v>5628976</v>
      </c>
      <c r="I85" s="494">
        <f t="shared" si="7"/>
        <v>3913695</v>
      </c>
      <c r="J85" s="494">
        <f t="shared" si="7"/>
        <v>5070453</v>
      </c>
      <c r="K85" s="494">
        <f t="shared" si="7"/>
        <v>0</v>
      </c>
      <c r="L85" s="494">
        <f t="shared" si="7"/>
        <v>0</v>
      </c>
      <c r="M85" s="494">
        <f t="shared" si="7"/>
        <v>5070453</v>
      </c>
      <c r="N85" s="494">
        <f t="shared" si="7"/>
        <v>558523</v>
      </c>
      <c r="O85" s="545">
        <v>9.9222842662679689</v>
      </c>
      <c r="P85" s="545">
        <v>48.788239547233786</v>
      </c>
      <c r="Q85" s="545">
        <v>63.208419556707973</v>
      </c>
      <c r="R85" s="546">
        <f>SUM(R84)</f>
        <v>332838</v>
      </c>
      <c r="S85" s="353">
        <v>283243</v>
      </c>
    </row>
    <row r="86" spans="1:19" x14ac:dyDescent="0.2">
      <c r="A86" s="38"/>
      <c r="B86" s="38"/>
      <c r="C86" s="38">
        <v>90</v>
      </c>
      <c r="D86" s="47" t="s">
        <v>101</v>
      </c>
      <c r="E86" s="494">
        <v>189678</v>
      </c>
      <c r="F86" s="494">
        <v>7400110</v>
      </c>
      <c r="G86" s="494">
        <v>7848300</v>
      </c>
      <c r="H86" s="494">
        <v>15248410</v>
      </c>
      <c r="I86" s="494">
        <v>9774438</v>
      </c>
      <c r="J86" s="494">
        <v>12732428</v>
      </c>
      <c r="K86" s="494">
        <v>1045758</v>
      </c>
      <c r="L86" s="494">
        <v>18196</v>
      </c>
      <c r="M86" s="494">
        <v>13796382</v>
      </c>
      <c r="N86" s="494">
        <v>1452028</v>
      </c>
      <c r="O86" s="545">
        <v>9.5224879184124767</v>
      </c>
      <c r="P86" s="545">
        <v>51.531743270173664</v>
      </c>
      <c r="Q86" s="545">
        <v>67.126540769092884</v>
      </c>
      <c r="R86" s="494">
        <v>511755</v>
      </c>
      <c r="S86" s="353"/>
    </row>
    <row r="87" spans="1:19" x14ac:dyDescent="0.2">
      <c r="A87" s="38">
        <v>24</v>
      </c>
      <c r="B87" s="38" t="s">
        <v>448</v>
      </c>
      <c r="C87" s="38">
        <v>91</v>
      </c>
      <c r="D87" s="38" t="s">
        <v>535</v>
      </c>
      <c r="E87" s="494">
        <v>189678</v>
      </c>
      <c r="F87" s="494">
        <v>7400110</v>
      </c>
      <c r="G87" s="494">
        <v>7848300</v>
      </c>
      <c r="H87" s="494">
        <v>15248410</v>
      </c>
      <c r="I87" s="494">
        <v>9774438</v>
      </c>
      <c r="J87" s="494">
        <v>12732428</v>
      </c>
      <c r="K87" s="494">
        <v>1045758</v>
      </c>
      <c r="L87" s="494">
        <v>18196</v>
      </c>
      <c r="M87" s="494">
        <v>13796382</v>
      </c>
      <c r="N87" s="494">
        <v>1452028</v>
      </c>
      <c r="O87" s="545">
        <v>9.5224879184124767</v>
      </c>
      <c r="P87" s="545">
        <v>51.531743270173664</v>
      </c>
      <c r="Q87" s="545">
        <v>67.126540769092884</v>
      </c>
      <c r="R87" s="546">
        <f>SUM(R86)</f>
        <v>511755</v>
      </c>
      <c r="S87" s="353">
        <v>142860</v>
      </c>
    </row>
    <row r="88" spans="1:19" x14ac:dyDescent="0.2">
      <c r="A88" s="38"/>
      <c r="B88" s="38"/>
      <c r="C88" s="38">
        <v>92</v>
      </c>
      <c r="D88" s="38" t="s">
        <v>3</v>
      </c>
      <c r="E88" s="494">
        <v>48455</v>
      </c>
      <c r="F88" s="494">
        <v>0</v>
      </c>
      <c r="G88" s="494">
        <v>3123870</v>
      </c>
      <c r="H88" s="494">
        <v>3123870</v>
      </c>
      <c r="I88" s="494">
        <v>2108301</v>
      </c>
      <c r="J88" s="494">
        <v>2549991</v>
      </c>
      <c r="K88" s="494">
        <v>38329</v>
      </c>
      <c r="L88" s="494">
        <v>12659</v>
      </c>
      <c r="M88" s="494">
        <v>2600979</v>
      </c>
      <c r="N88" s="494">
        <v>522891</v>
      </c>
      <c r="O88" s="545">
        <v>16.738564664982857</v>
      </c>
      <c r="P88" s="545">
        <v>43.510494273036841</v>
      </c>
      <c r="Q88" s="545">
        <v>52.62596223299969</v>
      </c>
      <c r="R88" s="494"/>
      <c r="S88" s="353"/>
    </row>
    <row r="89" spans="1:19" x14ac:dyDescent="0.2">
      <c r="A89" s="38"/>
      <c r="B89" s="38"/>
      <c r="C89" s="38">
        <v>93</v>
      </c>
      <c r="D89" s="38" t="s">
        <v>23</v>
      </c>
      <c r="E89" s="494">
        <v>16342</v>
      </c>
      <c r="F89" s="494">
        <v>0</v>
      </c>
      <c r="G89" s="494">
        <v>1293914</v>
      </c>
      <c r="H89" s="494">
        <v>1293914</v>
      </c>
      <c r="I89" s="494">
        <v>904438</v>
      </c>
      <c r="J89" s="494">
        <v>1003491</v>
      </c>
      <c r="K89" s="494">
        <v>23329</v>
      </c>
      <c r="L89" s="494">
        <v>64204</v>
      </c>
      <c r="M89" s="494">
        <v>1091024</v>
      </c>
      <c r="N89" s="494">
        <v>202890</v>
      </c>
      <c r="O89" s="545">
        <v>15.680331150292831</v>
      </c>
      <c r="P89" s="545">
        <v>55.344388691714599</v>
      </c>
      <c r="Q89" s="545">
        <v>61.405641904295678</v>
      </c>
      <c r="R89" s="494"/>
      <c r="S89" s="353"/>
    </row>
    <row r="90" spans="1:19" x14ac:dyDescent="0.2">
      <c r="A90" s="38"/>
      <c r="B90" s="38"/>
      <c r="C90" s="38">
        <v>94</v>
      </c>
      <c r="D90" s="38" t="s">
        <v>149</v>
      </c>
      <c r="E90" s="494">
        <v>8760</v>
      </c>
      <c r="F90" s="494">
        <v>0</v>
      </c>
      <c r="G90" s="494">
        <v>492869</v>
      </c>
      <c r="H90" s="494">
        <v>492869</v>
      </c>
      <c r="I90" s="494">
        <v>335274</v>
      </c>
      <c r="J90" s="494">
        <v>406131</v>
      </c>
      <c r="K90" s="494">
        <v>0</v>
      </c>
      <c r="L90" s="494">
        <v>3976</v>
      </c>
      <c r="M90" s="494">
        <v>410107</v>
      </c>
      <c r="N90" s="494">
        <v>82762</v>
      </c>
      <c r="O90" s="545">
        <v>16.79188587636877</v>
      </c>
      <c r="P90" s="545">
        <v>38.273287671232879</v>
      </c>
      <c r="Q90" s="545">
        <v>46.361986301369861</v>
      </c>
      <c r="R90" s="494"/>
      <c r="S90" s="353"/>
    </row>
    <row r="91" spans="1:19" x14ac:dyDescent="0.2">
      <c r="A91" s="38"/>
      <c r="B91" s="38"/>
      <c r="C91" s="38">
        <v>95</v>
      </c>
      <c r="D91" s="38" t="s">
        <v>8</v>
      </c>
      <c r="E91" s="494">
        <v>500</v>
      </c>
      <c r="F91" s="494">
        <v>0</v>
      </c>
      <c r="G91" s="494">
        <v>22009</v>
      </c>
      <c r="H91" s="494">
        <v>22009</v>
      </c>
      <c r="I91" s="494">
        <v>18487</v>
      </c>
      <c r="J91" s="494">
        <v>18487</v>
      </c>
      <c r="K91" s="494">
        <v>0</v>
      </c>
      <c r="L91" s="494">
        <v>0</v>
      </c>
      <c r="M91" s="494">
        <v>18487</v>
      </c>
      <c r="N91" s="494">
        <v>3522</v>
      </c>
      <c r="O91" s="545">
        <v>16.002544413648963</v>
      </c>
      <c r="P91" s="545">
        <v>36.973999999999997</v>
      </c>
      <c r="Q91" s="545">
        <v>36.973999999999997</v>
      </c>
      <c r="R91" s="494"/>
      <c r="S91" s="353"/>
    </row>
    <row r="92" spans="1:19" x14ac:dyDescent="0.2">
      <c r="A92" s="38"/>
      <c r="B92" s="38"/>
      <c r="C92" s="38">
        <v>96</v>
      </c>
      <c r="D92" s="38" t="s">
        <v>34</v>
      </c>
      <c r="E92" s="494">
        <v>1900</v>
      </c>
      <c r="F92" s="494">
        <v>0</v>
      </c>
      <c r="G92" s="494">
        <v>157813</v>
      </c>
      <c r="H92" s="494">
        <v>157813</v>
      </c>
      <c r="I92" s="494">
        <v>119896</v>
      </c>
      <c r="J92" s="494">
        <v>119896</v>
      </c>
      <c r="K92" s="494">
        <v>0</v>
      </c>
      <c r="L92" s="494">
        <v>0</v>
      </c>
      <c r="M92" s="494">
        <v>119896</v>
      </c>
      <c r="N92" s="494">
        <v>37917</v>
      </c>
      <c r="O92" s="545">
        <v>24.026537737702217</v>
      </c>
      <c r="P92" s="545">
        <v>63.103157894736839</v>
      </c>
      <c r="Q92" s="545">
        <v>63.103157894736839</v>
      </c>
      <c r="R92" s="494"/>
      <c r="S92" s="353"/>
    </row>
    <row r="93" spans="1:19" x14ac:dyDescent="0.2">
      <c r="A93" s="38"/>
      <c r="B93" s="38"/>
      <c r="C93" s="38">
        <v>97</v>
      </c>
      <c r="D93" s="38" t="s">
        <v>560</v>
      </c>
      <c r="E93" s="494">
        <v>36176</v>
      </c>
      <c r="F93" s="494">
        <v>0</v>
      </c>
      <c r="G93" s="494">
        <v>2753003</v>
      </c>
      <c r="H93" s="494">
        <v>2753003</v>
      </c>
      <c r="I93" s="494">
        <v>1735756</v>
      </c>
      <c r="J93" s="494">
        <v>2145076</v>
      </c>
      <c r="K93" s="494">
        <v>42072</v>
      </c>
      <c r="L93" s="494">
        <v>21261</v>
      </c>
      <c r="M93" s="494">
        <v>2208409</v>
      </c>
      <c r="N93" s="494">
        <v>544594</v>
      </c>
      <c r="O93" s="545">
        <v>19.781816438267594</v>
      </c>
      <c r="P93" s="545">
        <v>47.980871295886779</v>
      </c>
      <c r="Q93" s="545">
        <v>59.295555064130916</v>
      </c>
      <c r="R93" s="494"/>
      <c r="S93" s="353"/>
    </row>
    <row r="94" spans="1:19" x14ac:dyDescent="0.2">
      <c r="A94" s="38">
        <v>26</v>
      </c>
      <c r="B94" s="38"/>
      <c r="C94" s="38">
        <v>250</v>
      </c>
      <c r="D94" s="47" t="s">
        <v>214</v>
      </c>
      <c r="E94" s="494">
        <v>5883</v>
      </c>
      <c r="F94" s="494">
        <v>0</v>
      </c>
      <c r="G94" s="494">
        <v>265706</v>
      </c>
      <c r="H94" s="494">
        <v>265706</v>
      </c>
      <c r="I94" s="494">
        <v>203105</v>
      </c>
      <c r="J94" s="494">
        <v>254127</v>
      </c>
      <c r="K94" s="494">
        <v>0</v>
      </c>
      <c r="L94" s="494">
        <v>0</v>
      </c>
      <c r="M94" s="494">
        <v>254127</v>
      </c>
      <c r="N94" s="494">
        <v>11579</v>
      </c>
      <c r="O94" s="545">
        <v>4.357824061180402</v>
      </c>
      <c r="P94" s="545">
        <v>34.524052354241036</v>
      </c>
      <c r="Q94" s="545">
        <v>43.196838347781743</v>
      </c>
      <c r="R94" s="494"/>
      <c r="S94" s="353"/>
    </row>
    <row r="95" spans="1:19" x14ac:dyDescent="0.2">
      <c r="A95" s="38">
        <v>25</v>
      </c>
      <c r="B95" s="38" t="s">
        <v>449</v>
      </c>
      <c r="C95" s="38">
        <v>99</v>
      </c>
      <c r="D95" s="38" t="s">
        <v>535</v>
      </c>
      <c r="E95" s="494">
        <f t="shared" ref="E95:N95" si="8">SUM(E88:E94)</f>
        <v>118016</v>
      </c>
      <c r="F95" s="494">
        <f t="shared" si="8"/>
        <v>0</v>
      </c>
      <c r="G95" s="494">
        <f t="shared" si="8"/>
        <v>8109184</v>
      </c>
      <c r="H95" s="494">
        <f t="shared" si="8"/>
        <v>8109184</v>
      </c>
      <c r="I95" s="494">
        <f t="shared" si="8"/>
        <v>5425257</v>
      </c>
      <c r="J95" s="494">
        <f t="shared" si="8"/>
        <v>6497199</v>
      </c>
      <c r="K95" s="494">
        <f t="shared" si="8"/>
        <v>103730</v>
      </c>
      <c r="L95" s="494">
        <f t="shared" si="8"/>
        <v>102100</v>
      </c>
      <c r="M95" s="494">
        <f t="shared" si="8"/>
        <v>6703029</v>
      </c>
      <c r="N95" s="494">
        <f t="shared" si="8"/>
        <v>1406155</v>
      </c>
      <c r="O95" s="545">
        <v>16.697498759938906</v>
      </c>
      <c r="P95" s="545">
        <v>45.899601090090449</v>
      </c>
      <c r="Q95" s="545">
        <v>53.951525205050224</v>
      </c>
      <c r="R95" s="494"/>
      <c r="S95" s="353"/>
    </row>
    <row r="96" spans="1:19" x14ac:dyDescent="0.2">
      <c r="A96" s="38"/>
      <c r="B96" s="38"/>
      <c r="C96" s="38">
        <v>100</v>
      </c>
      <c r="D96" s="38" t="s">
        <v>123</v>
      </c>
      <c r="E96" s="494">
        <v>46464</v>
      </c>
      <c r="F96" s="494">
        <v>0</v>
      </c>
      <c r="G96" s="494">
        <v>3648200</v>
      </c>
      <c r="H96" s="494">
        <v>3648200</v>
      </c>
      <c r="I96" s="494">
        <v>2415960</v>
      </c>
      <c r="J96" s="494">
        <v>3149500</v>
      </c>
      <c r="K96" s="494">
        <v>180635</v>
      </c>
      <c r="L96" s="494">
        <v>27405</v>
      </c>
      <c r="M96" s="494">
        <v>3357540</v>
      </c>
      <c r="N96" s="494">
        <v>290660</v>
      </c>
      <c r="O96" s="545">
        <v>7.9672167096102182</v>
      </c>
      <c r="P96" s="545">
        <v>51.996384297520663</v>
      </c>
      <c r="Q96" s="545">
        <v>67.783660468319553</v>
      </c>
      <c r="R96" s="494">
        <v>291630</v>
      </c>
      <c r="S96" s="353"/>
    </row>
    <row r="97" spans="1:19" x14ac:dyDescent="0.2">
      <c r="A97" s="38">
        <v>26</v>
      </c>
      <c r="B97" s="38" t="s">
        <v>268</v>
      </c>
      <c r="C97" s="38">
        <v>101</v>
      </c>
      <c r="D97" s="38" t="s">
        <v>535</v>
      </c>
      <c r="E97" s="494">
        <v>46464</v>
      </c>
      <c r="F97" s="494">
        <v>0</v>
      </c>
      <c r="G97" s="494">
        <v>3648200</v>
      </c>
      <c r="H97" s="494">
        <v>3648200</v>
      </c>
      <c r="I97" s="494">
        <v>2415960</v>
      </c>
      <c r="J97" s="494">
        <v>3149500</v>
      </c>
      <c r="K97" s="494">
        <v>180635</v>
      </c>
      <c r="L97" s="494">
        <v>27405</v>
      </c>
      <c r="M97" s="494">
        <v>3357540</v>
      </c>
      <c r="N97" s="494">
        <v>290660</v>
      </c>
      <c r="O97" s="545">
        <v>7.9672167096102182</v>
      </c>
      <c r="P97" s="545">
        <v>51.996384297520663</v>
      </c>
      <c r="Q97" s="545">
        <v>67.783660468319553</v>
      </c>
      <c r="R97" s="546">
        <f>SUM(R96)</f>
        <v>291630</v>
      </c>
      <c r="S97" s="353">
        <v>26583</v>
      </c>
    </row>
    <row r="98" spans="1:19" x14ac:dyDescent="0.2">
      <c r="A98" s="38"/>
      <c r="B98" s="47"/>
      <c r="C98" s="38">
        <v>102</v>
      </c>
      <c r="D98" s="38" t="s">
        <v>59</v>
      </c>
      <c r="E98" s="494">
        <v>41251</v>
      </c>
      <c r="F98" s="494">
        <v>2054470</v>
      </c>
      <c r="G98" s="494">
        <v>1082471</v>
      </c>
      <c r="H98" s="494">
        <v>3136941</v>
      </c>
      <c r="I98" s="494">
        <v>2109939</v>
      </c>
      <c r="J98" s="494">
        <v>2925107</v>
      </c>
      <c r="K98" s="494">
        <v>68286</v>
      </c>
      <c r="L98" s="494">
        <v>6284</v>
      </c>
      <c r="M98" s="494">
        <v>2999677</v>
      </c>
      <c r="N98" s="494">
        <v>137264</v>
      </c>
      <c r="O98" s="545">
        <v>4.3757278189165811</v>
      </c>
      <c r="P98" s="545">
        <v>51.148796392814717</v>
      </c>
      <c r="Q98" s="545">
        <v>70.909965819010452</v>
      </c>
      <c r="R98" s="494">
        <v>95722</v>
      </c>
      <c r="S98" s="353"/>
    </row>
    <row r="99" spans="1:19" x14ac:dyDescent="0.2">
      <c r="A99" s="38"/>
      <c r="B99" s="47"/>
      <c r="C99" s="38">
        <v>103</v>
      </c>
      <c r="D99" s="47" t="s">
        <v>78</v>
      </c>
      <c r="E99" s="494">
        <v>10088</v>
      </c>
      <c r="F99" s="494">
        <v>0</v>
      </c>
      <c r="G99" s="494">
        <v>874525</v>
      </c>
      <c r="H99" s="494">
        <v>874525</v>
      </c>
      <c r="I99" s="494">
        <v>587233</v>
      </c>
      <c r="J99" s="494">
        <v>788782</v>
      </c>
      <c r="K99" s="494">
        <v>0</v>
      </c>
      <c r="L99" s="494">
        <v>631</v>
      </c>
      <c r="M99" s="494">
        <v>789413</v>
      </c>
      <c r="N99" s="494">
        <v>85112</v>
      </c>
      <c r="O99" s="545">
        <v>9.7323690003144563</v>
      </c>
      <c r="P99" s="545">
        <v>58.211042823156227</v>
      </c>
      <c r="Q99" s="545">
        <v>78.190126883425847</v>
      </c>
      <c r="R99" s="494">
        <v>0</v>
      </c>
      <c r="S99" s="353"/>
    </row>
    <row r="100" spans="1:19" x14ac:dyDescent="0.2">
      <c r="A100" s="38"/>
      <c r="B100" s="38"/>
      <c r="C100" s="38">
        <v>104</v>
      </c>
      <c r="D100" s="47" t="s">
        <v>71</v>
      </c>
      <c r="E100" s="494">
        <v>10295</v>
      </c>
      <c r="F100" s="494">
        <v>0</v>
      </c>
      <c r="G100" s="494">
        <v>839000</v>
      </c>
      <c r="H100" s="494">
        <v>839000</v>
      </c>
      <c r="I100" s="494">
        <v>553775</v>
      </c>
      <c r="J100" s="494">
        <v>733623</v>
      </c>
      <c r="K100" s="494">
        <v>11365</v>
      </c>
      <c r="L100" s="494">
        <v>0</v>
      </c>
      <c r="M100" s="494">
        <v>744988</v>
      </c>
      <c r="N100" s="494">
        <v>94012</v>
      </c>
      <c r="O100" s="545">
        <v>11.205244338498211</v>
      </c>
      <c r="P100" s="545">
        <v>53.790675084992714</v>
      </c>
      <c r="Q100" s="545">
        <v>71.260126274890723</v>
      </c>
      <c r="R100" s="494">
        <v>0</v>
      </c>
      <c r="S100" s="353"/>
    </row>
    <row r="101" spans="1:19" x14ac:dyDescent="0.2">
      <c r="A101" s="38">
        <v>27</v>
      </c>
      <c r="B101" s="38" t="s">
        <v>450</v>
      </c>
      <c r="C101" s="38">
        <v>105</v>
      </c>
      <c r="D101" s="38" t="s">
        <v>535</v>
      </c>
      <c r="E101" s="494">
        <f>SUM(E98:E100)</f>
        <v>61634</v>
      </c>
      <c r="F101" s="494">
        <f t="shared" ref="F101:L101" si="9">SUM(F98:F100)</f>
        <v>2054470</v>
      </c>
      <c r="G101" s="494">
        <f t="shared" si="9"/>
        <v>2795996</v>
      </c>
      <c r="H101" s="494">
        <f t="shared" si="9"/>
        <v>4850466</v>
      </c>
      <c r="I101" s="494">
        <f t="shared" si="9"/>
        <v>3250947</v>
      </c>
      <c r="J101" s="494">
        <f t="shared" si="9"/>
        <v>4447512</v>
      </c>
      <c r="K101" s="494">
        <f t="shared" si="9"/>
        <v>79651</v>
      </c>
      <c r="L101" s="494">
        <f t="shared" si="9"/>
        <v>6915</v>
      </c>
      <c r="M101" s="494">
        <f>SUM(M98:M100)</f>
        <v>4534078</v>
      </c>
      <c r="N101" s="494">
        <f>SUM(N98:N100)</f>
        <v>316388</v>
      </c>
      <c r="O101" s="545">
        <v>4.3757278189165811</v>
      </c>
      <c r="P101" s="545">
        <v>51.148796392814717</v>
      </c>
      <c r="Q101" s="545">
        <v>70.909965819010452</v>
      </c>
      <c r="R101" s="546">
        <f>SUM(R98:R100)</f>
        <v>95722</v>
      </c>
      <c r="S101" s="353">
        <v>214341</v>
      </c>
    </row>
    <row r="102" spans="1:19" x14ac:dyDescent="0.2">
      <c r="A102" s="38"/>
      <c r="B102" s="38"/>
      <c r="C102" s="38">
        <v>106</v>
      </c>
      <c r="D102" s="47" t="s">
        <v>51</v>
      </c>
      <c r="E102" s="494">
        <v>47750</v>
      </c>
      <c r="F102" s="494">
        <v>0</v>
      </c>
      <c r="G102" s="494">
        <v>7483785</v>
      </c>
      <c r="H102" s="494">
        <v>7483785</v>
      </c>
      <c r="I102" s="494">
        <v>2177090</v>
      </c>
      <c r="J102" s="494">
        <v>2899163</v>
      </c>
      <c r="K102" s="494">
        <v>4087021</v>
      </c>
      <c r="L102" s="494">
        <v>652</v>
      </c>
      <c r="M102" s="494">
        <v>6986836</v>
      </c>
      <c r="N102" s="494">
        <v>496949</v>
      </c>
      <c r="O102" s="545">
        <v>6.6403430884238386</v>
      </c>
      <c r="P102" s="545">
        <v>45.593507853403139</v>
      </c>
      <c r="Q102" s="545">
        <v>60.715455497382202</v>
      </c>
      <c r="R102" s="494">
        <v>33264</v>
      </c>
      <c r="S102" s="353"/>
    </row>
    <row r="103" spans="1:19" x14ac:dyDescent="0.2">
      <c r="A103" s="38">
        <v>28</v>
      </c>
      <c r="B103" s="38" t="s">
        <v>659</v>
      </c>
      <c r="C103" s="38">
        <v>107</v>
      </c>
      <c r="D103" s="38" t="s">
        <v>535</v>
      </c>
      <c r="E103" s="494">
        <v>47750</v>
      </c>
      <c r="F103" s="494">
        <v>0</v>
      </c>
      <c r="G103" s="494">
        <v>7483785</v>
      </c>
      <c r="H103" s="494">
        <v>7483785</v>
      </c>
      <c r="I103" s="494">
        <v>2177090</v>
      </c>
      <c r="J103" s="494">
        <v>2899163</v>
      </c>
      <c r="K103" s="494">
        <v>4087021</v>
      </c>
      <c r="L103" s="494">
        <v>652</v>
      </c>
      <c r="M103" s="494">
        <v>6986836</v>
      </c>
      <c r="N103" s="494">
        <v>496949</v>
      </c>
      <c r="O103" s="545">
        <v>6.6403430884238386</v>
      </c>
      <c r="P103" s="545">
        <v>45.593507853403139</v>
      </c>
      <c r="Q103" s="545">
        <v>60.715455497382202</v>
      </c>
      <c r="R103" s="546">
        <f>SUM(R102)</f>
        <v>33264</v>
      </c>
      <c r="S103" s="353">
        <v>83979</v>
      </c>
    </row>
    <row r="104" spans="1:19" x14ac:dyDescent="0.2">
      <c r="A104" s="38"/>
      <c r="B104" s="38"/>
      <c r="C104" s="38">
        <v>108</v>
      </c>
      <c r="D104" s="5" t="s">
        <v>66</v>
      </c>
      <c r="E104" s="494">
        <v>54882</v>
      </c>
      <c r="F104" s="494">
        <v>0</v>
      </c>
      <c r="G104" s="494">
        <v>3282744</v>
      </c>
      <c r="H104" s="494">
        <v>3282744</v>
      </c>
      <c r="I104" s="494">
        <v>1828271</v>
      </c>
      <c r="J104" s="494">
        <v>2032849</v>
      </c>
      <c r="K104" s="494">
        <v>39435</v>
      </c>
      <c r="L104" s="494">
        <v>54979</v>
      </c>
      <c r="M104" s="494">
        <v>2127263</v>
      </c>
      <c r="N104" s="494">
        <v>1155481</v>
      </c>
      <c r="O104" s="545">
        <v>35.198632607355314</v>
      </c>
      <c r="P104" s="545">
        <v>33.312761925585804</v>
      </c>
      <c r="Q104" s="545">
        <v>37.040359316351442</v>
      </c>
      <c r="R104" s="494"/>
      <c r="S104" s="353"/>
    </row>
    <row r="105" spans="1:19" x14ac:dyDescent="0.2">
      <c r="A105" s="38">
        <v>29</v>
      </c>
      <c r="B105" s="38" t="s">
        <v>269</v>
      </c>
      <c r="C105" s="38">
        <v>109</v>
      </c>
      <c r="D105" s="38" t="s">
        <v>535</v>
      </c>
      <c r="E105" s="494">
        <v>54882</v>
      </c>
      <c r="F105" s="494">
        <v>0</v>
      </c>
      <c r="G105" s="494">
        <v>3282744</v>
      </c>
      <c r="H105" s="494">
        <v>3282744</v>
      </c>
      <c r="I105" s="494">
        <v>1828271</v>
      </c>
      <c r="J105" s="494">
        <v>2032849</v>
      </c>
      <c r="K105" s="494">
        <v>39435</v>
      </c>
      <c r="L105" s="494">
        <v>54979</v>
      </c>
      <c r="M105" s="494">
        <v>2127263</v>
      </c>
      <c r="N105" s="494">
        <v>1155481</v>
      </c>
      <c r="O105" s="545">
        <v>35.198632607355314</v>
      </c>
      <c r="P105" s="545">
        <v>33.312761925585804</v>
      </c>
      <c r="Q105" s="545">
        <v>37.040359316351442</v>
      </c>
      <c r="R105" s="494"/>
      <c r="S105" s="353"/>
    </row>
    <row r="106" spans="1:19" x14ac:dyDescent="0.2">
      <c r="A106" s="38"/>
      <c r="B106" s="38"/>
      <c r="C106" s="38">
        <v>110</v>
      </c>
      <c r="D106" s="38" t="s">
        <v>54</v>
      </c>
      <c r="E106" s="494">
        <v>69108</v>
      </c>
      <c r="F106" s="494">
        <v>4542306</v>
      </c>
      <c r="G106" s="494">
        <v>1930000</v>
      </c>
      <c r="H106" s="494">
        <v>6472306</v>
      </c>
      <c r="I106" s="494">
        <v>4262676</v>
      </c>
      <c r="J106" s="494">
        <v>5820585</v>
      </c>
      <c r="K106" s="494">
        <v>2041</v>
      </c>
      <c r="L106" s="494">
        <v>198746</v>
      </c>
      <c r="M106" s="494">
        <v>6021372</v>
      </c>
      <c r="N106" s="494">
        <v>450934</v>
      </c>
      <c r="O106" s="545">
        <v>6.9671304168869641</v>
      </c>
      <c r="P106" s="545">
        <v>61.681368293106445</v>
      </c>
      <c r="Q106" s="545">
        <v>84.224474735197077</v>
      </c>
      <c r="R106" s="494">
        <v>91493</v>
      </c>
      <c r="S106" s="353"/>
    </row>
    <row r="107" spans="1:19" x14ac:dyDescent="0.2">
      <c r="A107" s="38">
        <v>30</v>
      </c>
      <c r="B107" s="38" t="s">
        <v>258</v>
      </c>
      <c r="C107" s="38">
        <v>111</v>
      </c>
      <c r="D107" s="38" t="s">
        <v>535</v>
      </c>
      <c r="E107" s="494">
        <v>69108</v>
      </c>
      <c r="F107" s="494">
        <v>4542306</v>
      </c>
      <c r="G107" s="494">
        <v>1930000</v>
      </c>
      <c r="H107" s="494">
        <v>6472306</v>
      </c>
      <c r="I107" s="494">
        <v>4262676</v>
      </c>
      <c r="J107" s="494">
        <v>5820585</v>
      </c>
      <c r="K107" s="494">
        <v>2041</v>
      </c>
      <c r="L107" s="494">
        <v>198746</v>
      </c>
      <c r="M107" s="494">
        <v>6021372</v>
      </c>
      <c r="N107" s="494">
        <v>450934</v>
      </c>
      <c r="O107" s="545">
        <v>6.9671304168869641</v>
      </c>
      <c r="P107" s="545">
        <v>61.681368293106445</v>
      </c>
      <c r="Q107" s="545">
        <v>84.224474735197077</v>
      </c>
      <c r="R107" s="546">
        <f>SUM(R106)</f>
        <v>91493</v>
      </c>
      <c r="S107" s="353">
        <v>60191</v>
      </c>
    </row>
    <row r="108" spans="1:19" x14ac:dyDescent="0.2">
      <c r="A108" s="38"/>
      <c r="B108" s="38"/>
      <c r="C108" s="38">
        <v>112</v>
      </c>
      <c r="D108" s="38" t="s">
        <v>17</v>
      </c>
      <c r="E108" s="494">
        <v>41678</v>
      </c>
      <c r="F108" s="494">
        <v>4370400</v>
      </c>
      <c r="G108" s="494">
        <v>0</v>
      </c>
      <c r="H108" s="494">
        <v>4370400</v>
      </c>
      <c r="I108" s="494">
        <v>2067894</v>
      </c>
      <c r="J108" s="494">
        <v>3005690</v>
      </c>
      <c r="K108" s="494">
        <v>790655</v>
      </c>
      <c r="L108" s="494">
        <v>0</v>
      </c>
      <c r="M108" s="494">
        <v>3796345</v>
      </c>
      <c r="N108" s="494">
        <v>574055</v>
      </c>
      <c r="O108" s="545">
        <v>13.135067728354386</v>
      </c>
      <c r="P108" s="545">
        <v>49.615960458755218</v>
      </c>
      <c r="Q108" s="545">
        <v>72.116944191179996</v>
      </c>
      <c r="R108" s="494"/>
      <c r="S108" s="353"/>
    </row>
    <row r="109" spans="1:19" x14ac:dyDescent="0.2">
      <c r="A109" s="38"/>
      <c r="B109" s="38"/>
      <c r="C109" s="38">
        <v>113</v>
      </c>
      <c r="D109" s="38" t="s">
        <v>148</v>
      </c>
      <c r="E109" s="494">
        <v>1559</v>
      </c>
      <c r="F109" s="494">
        <v>207050</v>
      </c>
      <c r="G109" s="494">
        <v>53628</v>
      </c>
      <c r="H109" s="494">
        <v>260678</v>
      </c>
      <c r="I109" s="494">
        <v>116103</v>
      </c>
      <c r="J109" s="494">
        <v>215859</v>
      </c>
      <c r="K109" s="494">
        <v>0</v>
      </c>
      <c r="L109" s="494">
        <v>1336</v>
      </c>
      <c r="M109" s="494">
        <v>217195</v>
      </c>
      <c r="N109" s="494">
        <v>43483</v>
      </c>
      <c r="O109" s="545">
        <v>16.68073255127015</v>
      </c>
      <c r="P109" s="545">
        <v>74.472738935214878</v>
      </c>
      <c r="Q109" s="545">
        <v>138.45991019884542</v>
      </c>
      <c r="R109" s="494"/>
      <c r="S109" s="353"/>
    </row>
    <row r="110" spans="1:19" x14ac:dyDescent="0.2">
      <c r="A110" s="38"/>
      <c r="B110" s="38"/>
      <c r="C110" s="38">
        <v>114</v>
      </c>
      <c r="D110" s="38" t="s">
        <v>219</v>
      </c>
      <c r="E110" s="494">
        <v>3005</v>
      </c>
      <c r="F110" s="494">
        <v>0</v>
      </c>
      <c r="G110" s="494">
        <v>197286</v>
      </c>
      <c r="H110" s="494">
        <v>197286</v>
      </c>
      <c r="I110" s="494">
        <v>144035</v>
      </c>
      <c r="J110" s="494">
        <v>160476</v>
      </c>
      <c r="K110" s="494">
        <v>0</v>
      </c>
      <c r="L110" s="494">
        <v>729</v>
      </c>
      <c r="M110" s="494">
        <v>161205</v>
      </c>
      <c r="N110" s="494">
        <v>36081</v>
      </c>
      <c r="O110" s="545">
        <v>18.288677351662056</v>
      </c>
      <c r="P110" s="545">
        <v>47.931780366056572</v>
      </c>
      <c r="Q110" s="545">
        <v>53.402995008319465</v>
      </c>
      <c r="R110" s="494"/>
      <c r="S110" s="353"/>
    </row>
    <row r="111" spans="1:19" x14ac:dyDescent="0.2">
      <c r="A111" s="38">
        <v>31</v>
      </c>
      <c r="B111" s="38" t="s">
        <v>828</v>
      </c>
      <c r="C111" s="38">
        <v>116</v>
      </c>
      <c r="D111" s="38" t="s">
        <v>535</v>
      </c>
      <c r="E111" s="494">
        <f>SUM(E108:E110)</f>
        <v>46242</v>
      </c>
      <c r="F111" s="494">
        <f t="shared" ref="F111:N111" si="10">SUM(F108:F110)</f>
        <v>4577450</v>
      </c>
      <c r="G111" s="494">
        <f t="shared" si="10"/>
        <v>250914</v>
      </c>
      <c r="H111" s="494">
        <f t="shared" si="10"/>
        <v>4828364</v>
      </c>
      <c r="I111" s="494">
        <f t="shared" si="10"/>
        <v>2328032</v>
      </c>
      <c r="J111" s="494">
        <f t="shared" si="10"/>
        <v>3382025</v>
      </c>
      <c r="K111" s="494">
        <f t="shared" si="10"/>
        <v>790655</v>
      </c>
      <c r="L111" s="494">
        <f t="shared" si="10"/>
        <v>2065</v>
      </c>
      <c r="M111" s="494">
        <f t="shared" si="10"/>
        <v>4174745</v>
      </c>
      <c r="N111" s="494">
        <f t="shared" si="10"/>
        <v>653619</v>
      </c>
      <c r="O111" s="545">
        <v>13.5370696989705</v>
      </c>
      <c r="P111" s="545">
        <v>53.843513657284269</v>
      </c>
      <c r="Q111" s="545">
        <v>78.220621227189682</v>
      </c>
      <c r="R111" s="494"/>
      <c r="S111" s="353"/>
    </row>
    <row r="112" spans="1:19" x14ac:dyDescent="0.2">
      <c r="A112" s="38"/>
      <c r="B112" s="38"/>
      <c r="C112" s="38">
        <v>117</v>
      </c>
      <c r="D112" s="38" t="s">
        <v>7</v>
      </c>
      <c r="E112" s="494">
        <v>196335</v>
      </c>
      <c r="F112" s="494">
        <v>0</v>
      </c>
      <c r="G112" s="494">
        <v>17707425</v>
      </c>
      <c r="H112" s="494">
        <v>17707425</v>
      </c>
      <c r="I112" s="494">
        <v>9997422</v>
      </c>
      <c r="J112" s="494">
        <v>14221483</v>
      </c>
      <c r="K112" s="494">
        <v>431726</v>
      </c>
      <c r="L112" s="494">
        <v>56456</v>
      </c>
      <c r="M112" s="494">
        <v>14709665</v>
      </c>
      <c r="N112" s="494">
        <v>2997760</v>
      </c>
      <c r="O112" s="545">
        <v>16.92939543722478</v>
      </c>
      <c r="P112" s="545">
        <v>50.920223088089237</v>
      </c>
      <c r="Q112" s="545">
        <v>72.434782387246287</v>
      </c>
      <c r="R112" s="494">
        <v>1100613</v>
      </c>
      <c r="S112" s="353"/>
    </row>
    <row r="113" spans="1:19" x14ac:dyDescent="0.2">
      <c r="A113" s="38"/>
      <c r="B113" s="38"/>
      <c r="C113" s="38">
        <v>118</v>
      </c>
      <c r="D113" s="38" t="s">
        <v>141</v>
      </c>
      <c r="E113" s="494">
        <v>24366</v>
      </c>
      <c r="F113" s="494">
        <v>0</v>
      </c>
      <c r="G113" s="494">
        <v>2502946</v>
      </c>
      <c r="H113" s="494">
        <v>2502946</v>
      </c>
      <c r="I113" s="494">
        <v>1109207</v>
      </c>
      <c r="J113" s="494">
        <v>1433784</v>
      </c>
      <c r="K113" s="494">
        <v>442341</v>
      </c>
      <c r="L113" s="494">
        <v>0</v>
      </c>
      <c r="M113" s="494">
        <v>1876125</v>
      </c>
      <c r="N113" s="494">
        <v>626821</v>
      </c>
      <c r="O113" s="545">
        <v>25.043328941175719</v>
      </c>
      <c r="P113" s="545">
        <v>45.522736600180579</v>
      </c>
      <c r="Q113" s="545">
        <v>58.843634572765332</v>
      </c>
      <c r="R113" s="494">
        <v>0</v>
      </c>
      <c r="S113" s="353"/>
    </row>
    <row r="114" spans="1:19" x14ac:dyDescent="0.2">
      <c r="A114" s="38">
        <v>32</v>
      </c>
      <c r="B114" s="38" t="s">
        <v>452</v>
      </c>
      <c r="C114" s="38">
        <v>119</v>
      </c>
      <c r="D114" s="38" t="s">
        <v>535</v>
      </c>
      <c r="E114" s="494">
        <v>220701</v>
      </c>
      <c r="F114" s="494">
        <v>0</v>
      </c>
      <c r="G114" s="494">
        <v>20210371</v>
      </c>
      <c r="H114" s="494">
        <v>20210371</v>
      </c>
      <c r="I114" s="494">
        <v>11106629</v>
      </c>
      <c r="J114" s="494">
        <v>15655267</v>
      </c>
      <c r="K114" s="494">
        <v>874067</v>
      </c>
      <c r="L114" s="494">
        <v>56456</v>
      </c>
      <c r="M114" s="494">
        <v>16585790</v>
      </c>
      <c r="N114" s="494">
        <v>3624581</v>
      </c>
      <c r="O114" s="545">
        <v>17.934262562522974</v>
      </c>
      <c r="P114" s="545">
        <v>50.324325671383455</v>
      </c>
      <c r="Q114" s="545">
        <v>70.934282128309349</v>
      </c>
      <c r="R114" s="546">
        <f>SUM(R112:R113)</f>
        <v>1100613</v>
      </c>
      <c r="S114" s="353">
        <v>1045449</v>
      </c>
    </row>
    <row r="115" spans="1:19" x14ac:dyDescent="0.2">
      <c r="A115" s="38"/>
      <c r="B115" s="38"/>
      <c r="C115" s="38">
        <v>120</v>
      </c>
      <c r="D115" s="38" t="s">
        <v>106</v>
      </c>
      <c r="E115" s="494">
        <v>84209</v>
      </c>
      <c r="F115" s="494">
        <v>0</v>
      </c>
      <c r="G115" s="494">
        <v>5224579</v>
      </c>
      <c r="H115" s="494">
        <v>5224579</v>
      </c>
      <c r="I115" s="494">
        <v>3282261</v>
      </c>
      <c r="J115" s="494">
        <v>4159022</v>
      </c>
      <c r="K115" s="494">
        <v>106794</v>
      </c>
      <c r="L115" s="494">
        <v>0</v>
      </c>
      <c r="M115" s="494">
        <v>4265816</v>
      </c>
      <c r="N115" s="494">
        <v>958763</v>
      </c>
      <c r="O115" s="545">
        <v>18.351009717720796</v>
      </c>
      <c r="P115" s="545">
        <v>38.97755584319966</v>
      </c>
      <c r="Q115" s="545">
        <v>49.38928143072593</v>
      </c>
      <c r="R115" s="494"/>
      <c r="S115" s="353"/>
    </row>
    <row r="116" spans="1:19" x14ac:dyDescent="0.2">
      <c r="A116" s="38">
        <v>33</v>
      </c>
      <c r="B116" s="38" t="s">
        <v>531</v>
      </c>
      <c r="C116" s="38">
        <v>123</v>
      </c>
      <c r="D116" s="38" t="s">
        <v>535</v>
      </c>
      <c r="E116" s="494">
        <f>SUM(E115)</f>
        <v>84209</v>
      </c>
      <c r="F116" s="494">
        <f t="shared" ref="F116:N116" si="11">SUM(F115:F115)</f>
        <v>0</v>
      </c>
      <c r="G116" s="494">
        <f t="shared" si="11"/>
        <v>5224579</v>
      </c>
      <c r="H116" s="494">
        <f t="shared" si="11"/>
        <v>5224579</v>
      </c>
      <c r="I116" s="494">
        <f t="shared" si="11"/>
        <v>3282261</v>
      </c>
      <c r="J116" s="494">
        <f t="shared" si="11"/>
        <v>4159022</v>
      </c>
      <c r="K116" s="494">
        <f t="shared" si="11"/>
        <v>106794</v>
      </c>
      <c r="L116" s="494">
        <f t="shared" si="11"/>
        <v>0</v>
      </c>
      <c r="M116" s="494">
        <f t="shared" si="11"/>
        <v>4265816</v>
      </c>
      <c r="N116" s="494">
        <f t="shared" si="11"/>
        <v>958763</v>
      </c>
      <c r="O116" s="545">
        <v>18.351009717720796</v>
      </c>
      <c r="P116" s="545">
        <v>38.97755584319966</v>
      </c>
      <c r="Q116" s="545">
        <v>49.38928143072593</v>
      </c>
      <c r="R116" s="494"/>
      <c r="S116" s="353"/>
    </row>
    <row r="117" spans="1:19" x14ac:dyDescent="0.2">
      <c r="A117" s="38"/>
      <c r="B117" s="38"/>
      <c r="C117" s="38">
        <v>124</v>
      </c>
      <c r="D117" s="47" t="s">
        <v>4</v>
      </c>
      <c r="E117" s="494">
        <v>11587</v>
      </c>
      <c r="F117" s="494">
        <v>0</v>
      </c>
      <c r="G117" s="494">
        <v>1315966</v>
      </c>
      <c r="H117" s="494">
        <v>1315966</v>
      </c>
      <c r="I117" s="494">
        <v>658076</v>
      </c>
      <c r="J117" s="494">
        <v>879065</v>
      </c>
      <c r="K117" s="494">
        <v>232102</v>
      </c>
      <c r="L117" s="494">
        <v>13736</v>
      </c>
      <c r="M117" s="494">
        <v>1124903</v>
      </c>
      <c r="N117" s="494">
        <v>191063</v>
      </c>
      <c r="O117" s="545">
        <v>14.518840152405154</v>
      </c>
      <c r="P117" s="545">
        <v>56.794338482782429</v>
      </c>
      <c r="Q117" s="545">
        <v>75.866488305860017</v>
      </c>
      <c r="R117" s="494">
        <v>20006</v>
      </c>
      <c r="S117" s="353"/>
    </row>
    <row r="118" spans="1:19" x14ac:dyDescent="0.2">
      <c r="A118" s="38"/>
      <c r="B118" s="38"/>
      <c r="C118" s="38">
        <v>125</v>
      </c>
      <c r="D118" s="38" t="s">
        <v>61</v>
      </c>
      <c r="E118" s="494">
        <v>182575</v>
      </c>
      <c r="F118" s="494">
        <v>0</v>
      </c>
      <c r="G118" s="494">
        <v>13213279</v>
      </c>
      <c r="H118" s="494">
        <v>13213279</v>
      </c>
      <c r="I118" s="494">
        <v>9554486</v>
      </c>
      <c r="J118" s="494">
        <v>12265793</v>
      </c>
      <c r="K118" s="494">
        <v>215652</v>
      </c>
      <c r="L118" s="494">
        <v>0</v>
      </c>
      <c r="M118" s="494">
        <v>12481445</v>
      </c>
      <c r="N118" s="494">
        <v>731834</v>
      </c>
      <c r="O118" s="545">
        <v>5.5386251966676854</v>
      </c>
      <c r="P118" s="545">
        <v>52.331841708886756</v>
      </c>
      <c r="Q118" s="545">
        <v>67.182215527865267</v>
      </c>
      <c r="R118" s="494">
        <v>49193</v>
      </c>
      <c r="S118" s="353"/>
    </row>
    <row r="119" spans="1:19" x14ac:dyDescent="0.2">
      <c r="A119" s="38"/>
      <c r="B119" s="38"/>
      <c r="C119" s="38">
        <v>126</v>
      </c>
      <c r="D119" s="47" t="s">
        <v>206</v>
      </c>
      <c r="E119" s="494">
        <v>6961</v>
      </c>
      <c r="F119" s="494">
        <v>0</v>
      </c>
      <c r="G119" s="494">
        <v>521894</v>
      </c>
      <c r="H119" s="494">
        <v>521894</v>
      </c>
      <c r="I119" s="494">
        <v>385486</v>
      </c>
      <c r="J119" s="494">
        <v>488004</v>
      </c>
      <c r="K119" s="494">
        <v>0</v>
      </c>
      <c r="L119" s="494">
        <v>0</v>
      </c>
      <c r="M119" s="494">
        <v>488004</v>
      </c>
      <c r="N119" s="494">
        <v>33890</v>
      </c>
      <c r="O119" s="545">
        <v>6.4936557998367475</v>
      </c>
      <c r="P119" s="545">
        <v>55.377962936359715</v>
      </c>
      <c r="Q119" s="545">
        <v>70.105444620025864</v>
      </c>
      <c r="R119" s="494">
        <v>0</v>
      </c>
      <c r="S119" s="353"/>
    </row>
    <row r="120" spans="1:19" x14ac:dyDescent="0.2">
      <c r="A120" s="38"/>
      <c r="B120" s="38"/>
      <c r="C120" s="38">
        <v>127</v>
      </c>
      <c r="D120" s="47" t="s">
        <v>196</v>
      </c>
      <c r="E120" s="494">
        <v>35019</v>
      </c>
      <c r="F120" s="494">
        <v>0</v>
      </c>
      <c r="G120" s="494">
        <v>3019251</v>
      </c>
      <c r="H120" s="494">
        <v>3019251</v>
      </c>
      <c r="I120" s="494">
        <v>1728959</v>
      </c>
      <c r="J120" s="494">
        <v>2642277</v>
      </c>
      <c r="K120" s="494">
        <v>0</v>
      </c>
      <c r="L120" s="494">
        <v>94891</v>
      </c>
      <c r="M120" s="494">
        <v>2737168</v>
      </c>
      <c r="N120" s="494">
        <v>282083</v>
      </c>
      <c r="O120" s="545">
        <v>9.3428138303175192</v>
      </c>
      <c r="P120" s="545">
        <v>49.372026614123762</v>
      </c>
      <c r="Q120" s="545">
        <v>75.452668551357831</v>
      </c>
      <c r="R120" s="494">
        <v>0</v>
      </c>
      <c r="S120" s="353"/>
    </row>
    <row r="121" spans="1:19" x14ac:dyDescent="0.2">
      <c r="A121" s="38">
        <v>34</v>
      </c>
      <c r="B121" s="38" t="s">
        <v>453</v>
      </c>
      <c r="C121" s="38">
        <v>128</v>
      </c>
      <c r="D121" s="38" t="s">
        <v>535</v>
      </c>
      <c r="E121" s="494">
        <f>SUM(E117:E120)</f>
        <v>236142</v>
      </c>
      <c r="F121" s="494">
        <f t="shared" ref="F121:N121" si="12">SUM(F117:F120)</f>
        <v>0</v>
      </c>
      <c r="G121" s="494">
        <f t="shared" si="12"/>
        <v>18070390</v>
      </c>
      <c r="H121" s="494">
        <f t="shared" si="12"/>
        <v>18070390</v>
      </c>
      <c r="I121" s="494">
        <f t="shared" si="12"/>
        <v>12327007</v>
      </c>
      <c r="J121" s="494">
        <f t="shared" si="12"/>
        <v>16275139</v>
      </c>
      <c r="K121" s="494">
        <f t="shared" si="12"/>
        <v>447754</v>
      </c>
      <c r="L121" s="494">
        <f t="shared" si="12"/>
        <v>108627</v>
      </c>
      <c r="M121" s="494">
        <f t="shared" si="12"/>
        <v>16831520</v>
      </c>
      <c r="N121" s="494">
        <f t="shared" si="12"/>
        <v>1238870</v>
      </c>
      <c r="O121" s="545">
        <v>6.3519955785727333</v>
      </c>
      <c r="P121" s="545">
        <v>52.5981499984549</v>
      </c>
      <c r="Q121" s="545">
        <v>67.700466620656982</v>
      </c>
      <c r="R121" s="546">
        <f>SUM(R117:R120)</f>
        <v>69199</v>
      </c>
      <c r="S121" s="353">
        <v>514966</v>
      </c>
    </row>
    <row r="122" spans="1:19" x14ac:dyDescent="0.2">
      <c r="A122" s="38"/>
      <c r="B122" s="38"/>
      <c r="C122" s="38">
        <v>129</v>
      </c>
      <c r="D122" s="47" t="s">
        <v>100</v>
      </c>
      <c r="E122" s="494">
        <v>210376</v>
      </c>
      <c r="F122" s="494">
        <v>7952256</v>
      </c>
      <c r="G122" s="494">
        <v>7986916</v>
      </c>
      <c r="H122" s="494">
        <v>15939172</v>
      </c>
      <c r="I122" s="494">
        <v>10772051</v>
      </c>
      <c r="J122" s="494">
        <v>14733022</v>
      </c>
      <c r="K122" s="494">
        <v>254423</v>
      </c>
      <c r="L122" s="494">
        <v>39137</v>
      </c>
      <c r="M122" s="494">
        <v>15026582</v>
      </c>
      <c r="N122" s="494">
        <v>912590</v>
      </c>
      <c r="O122" s="545">
        <v>5.7254542456785078</v>
      </c>
      <c r="P122" s="545">
        <v>51.203801764459826</v>
      </c>
      <c r="Q122" s="545">
        <v>70.031857246073699</v>
      </c>
      <c r="R122" s="494">
        <v>807408</v>
      </c>
      <c r="S122" s="353"/>
    </row>
    <row r="123" spans="1:19" x14ac:dyDescent="0.2">
      <c r="A123" s="38"/>
      <c r="B123" s="38"/>
      <c r="C123" s="38">
        <v>130</v>
      </c>
      <c r="D123" s="38" t="s">
        <v>6</v>
      </c>
      <c r="E123" s="494">
        <v>39796</v>
      </c>
      <c r="F123" s="494">
        <v>0</v>
      </c>
      <c r="G123" s="494">
        <v>1844900</v>
      </c>
      <c r="H123" s="494">
        <v>1844900</v>
      </c>
      <c r="I123" s="494">
        <v>1440448</v>
      </c>
      <c r="J123" s="494">
        <v>1665459</v>
      </c>
      <c r="K123" s="494">
        <v>0</v>
      </c>
      <c r="L123" s="494">
        <v>0</v>
      </c>
      <c r="M123" s="494">
        <v>1665459</v>
      </c>
      <c r="N123" s="494">
        <v>179441</v>
      </c>
      <c r="O123" s="545">
        <v>9.7263266301696572</v>
      </c>
      <c r="P123" s="545">
        <v>36.195798572720875</v>
      </c>
      <c r="Q123" s="545">
        <v>41.849909538647097</v>
      </c>
      <c r="R123" s="494">
        <v>115524</v>
      </c>
      <c r="S123" s="353"/>
    </row>
    <row r="124" spans="1:19" x14ac:dyDescent="0.2">
      <c r="A124" s="38"/>
      <c r="B124" s="38"/>
      <c r="C124" s="38">
        <v>131</v>
      </c>
      <c r="D124" s="38" t="s">
        <v>25</v>
      </c>
      <c r="E124" s="494">
        <v>3012</v>
      </c>
      <c r="F124" s="494">
        <v>0</v>
      </c>
      <c r="G124" s="494">
        <v>188991</v>
      </c>
      <c r="H124" s="494">
        <v>188991</v>
      </c>
      <c r="I124" s="494">
        <v>114092</v>
      </c>
      <c r="J124" s="494">
        <v>119640</v>
      </c>
      <c r="K124" s="494">
        <v>0</v>
      </c>
      <c r="L124" s="494">
        <v>0</v>
      </c>
      <c r="M124" s="494">
        <v>119640</v>
      </c>
      <c r="N124" s="494">
        <v>69351</v>
      </c>
      <c r="O124" s="545">
        <v>36.69539819356477</v>
      </c>
      <c r="P124" s="545">
        <v>37.87915006640106</v>
      </c>
      <c r="Q124" s="545">
        <v>39.721115537848604</v>
      </c>
      <c r="R124" s="494">
        <v>5924</v>
      </c>
      <c r="S124" s="353"/>
    </row>
    <row r="125" spans="1:19" x14ac:dyDescent="0.2">
      <c r="A125" s="38">
        <v>35</v>
      </c>
      <c r="B125" s="38" t="s">
        <v>454</v>
      </c>
      <c r="C125" s="38">
        <v>133</v>
      </c>
      <c r="D125" s="38" t="s">
        <v>535</v>
      </c>
      <c r="E125" s="494">
        <f t="shared" ref="E125:N125" si="13">SUM(E122:E124)</f>
        <v>253184</v>
      </c>
      <c r="F125" s="494">
        <f t="shared" si="13"/>
        <v>7952256</v>
      </c>
      <c r="G125" s="494">
        <f t="shared" si="13"/>
        <v>10020807</v>
      </c>
      <c r="H125" s="494">
        <f t="shared" si="13"/>
        <v>17973063</v>
      </c>
      <c r="I125" s="494">
        <f t="shared" si="13"/>
        <v>12326591</v>
      </c>
      <c r="J125" s="494">
        <f t="shared" si="13"/>
        <v>16518121</v>
      </c>
      <c r="K125" s="494">
        <f t="shared" si="13"/>
        <v>254423</v>
      </c>
      <c r="L125" s="494">
        <f t="shared" si="13"/>
        <v>39137</v>
      </c>
      <c r="M125" s="494">
        <f t="shared" si="13"/>
        <v>16811681</v>
      </c>
      <c r="N125" s="494">
        <f t="shared" si="13"/>
        <v>1161382</v>
      </c>
      <c r="O125" s="545">
        <v>6.4617922943907775</v>
      </c>
      <c r="P125" s="545">
        <v>48.686295342517695</v>
      </c>
      <c r="Q125" s="545">
        <v>65.241567397623868</v>
      </c>
      <c r="R125" s="546">
        <f>SUM(R122:R124)</f>
        <v>928856</v>
      </c>
      <c r="S125" s="353">
        <v>222445</v>
      </c>
    </row>
    <row r="126" spans="1:19" x14ac:dyDescent="0.2">
      <c r="A126" s="38"/>
      <c r="B126" s="38"/>
      <c r="C126" s="38">
        <v>134</v>
      </c>
      <c r="D126" s="47" t="s">
        <v>144</v>
      </c>
      <c r="E126" s="494">
        <v>232410</v>
      </c>
      <c r="F126" s="494">
        <v>10884042</v>
      </c>
      <c r="G126" s="494">
        <v>7715850</v>
      </c>
      <c r="H126" s="494">
        <v>18599892</v>
      </c>
      <c r="I126" s="494">
        <v>11974173</v>
      </c>
      <c r="J126" s="494">
        <v>16605356</v>
      </c>
      <c r="K126" s="494">
        <v>395266</v>
      </c>
      <c r="L126" s="494">
        <v>21256</v>
      </c>
      <c r="M126" s="494">
        <v>17021878</v>
      </c>
      <c r="N126" s="494">
        <v>1578014</v>
      </c>
      <c r="O126" s="545">
        <v>8.4839954984684862</v>
      </c>
      <c r="P126" s="545">
        <v>51.521763263198658</v>
      </c>
      <c r="Q126" s="545">
        <v>71.448543522223659</v>
      </c>
      <c r="R126" s="494">
        <v>809480</v>
      </c>
      <c r="S126" s="353"/>
    </row>
    <row r="127" spans="1:19" x14ac:dyDescent="0.2">
      <c r="A127" s="38">
        <v>36</v>
      </c>
      <c r="B127" s="38" t="s">
        <v>455</v>
      </c>
      <c r="C127" s="38">
        <v>135</v>
      </c>
      <c r="D127" s="38" t="s">
        <v>535</v>
      </c>
      <c r="E127" s="494">
        <v>232410</v>
      </c>
      <c r="F127" s="494">
        <v>10884042</v>
      </c>
      <c r="G127" s="494">
        <v>7715850</v>
      </c>
      <c r="H127" s="494">
        <v>18599892</v>
      </c>
      <c r="I127" s="494">
        <v>11974173</v>
      </c>
      <c r="J127" s="494">
        <v>16605356</v>
      </c>
      <c r="K127" s="494">
        <v>395266</v>
      </c>
      <c r="L127" s="494">
        <v>21256</v>
      </c>
      <c r="M127" s="494">
        <v>17021878</v>
      </c>
      <c r="N127" s="494">
        <v>1578014</v>
      </c>
      <c r="O127" s="545">
        <v>8.4839954984684862</v>
      </c>
      <c r="P127" s="545">
        <v>51.521763263198658</v>
      </c>
      <c r="Q127" s="545">
        <v>71.448543522223659</v>
      </c>
      <c r="R127" s="546">
        <f>SUM(R126)</f>
        <v>809480</v>
      </c>
      <c r="S127" s="353">
        <v>160672</v>
      </c>
    </row>
    <row r="128" spans="1:19" x14ac:dyDescent="0.2">
      <c r="A128" s="38"/>
      <c r="B128" s="38"/>
      <c r="C128" s="38">
        <v>136</v>
      </c>
      <c r="D128" s="47" t="s">
        <v>50</v>
      </c>
      <c r="E128" s="494">
        <v>52030</v>
      </c>
      <c r="F128" s="494">
        <v>0</v>
      </c>
      <c r="G128" s="494">
        <v>3530400</v>
      </c>
      <c r="H128" s="494">
        <v>3530400</v>
      </c>
      <c r="I128" s="494">
        <v>2527181</v>
      </c>
      <c r="J128" s="494">
        <v>3186289</v>
      </c>
      <c r="K128" s="494">
        <v>54338</v>
      </c>
      <c r="L128" s="494">
        <v>427</v>
      </c>
      <c r="M128" s="494">
        <v>3241054</v>
      </c>
      <c r="N128" s="494">
        <v>289346</v>
      </c>
      <c r="O128" s="545">
        <v>8.1958418309540004</v>
      </c>
      <c r="P128" s="545">
        <v>48.571612531231985</v>
      </c>
      <c r="Q128" s="545">
        <v>61.239458004997118</v>
      </c>
      <c r="R128" s="494">
        <v>44279</v>
      </c>
      <c r="S128" s="353"/>
    </row>
    <row r="129" spans="1:19" x14ac:dyDescent="0.2">
      <c r="A129" s="38">
        <v>37</v>
      </c>
      <c r="B129" s="38" t="s">
        <v>658</v>
      </c>
      <c r="C129" s="38">
        <v>137</v>
      </c>
      <c r="D129" s="38" t="s">
        <v>535</v>
      </c>
      <c r="E129" s="494">
        <v>52030</v>
      </c>
      <c r="F129" s="494">
        <v>0</v>
      </c>
      <c r="G129" s="494">
        <v>3530400</v>
      </c>
      <c r="H129" s="494">
        <v>3530400</v>
      </c>
      <c r="I129" s="494">
        <v>2527181</v>
      </c>
      <c r="J129" s="494">
        <v>3186289</v>
      </c>
      <c r="K129" s="494">
        <v>54338</v>
      </c>
      <c r="L129" s="494">
        <v>427</v>
      </c>
      <c r="M129" s="494">
        <v>3241054</v>
      </c>
      <c r="N129" s="494">
        <v>289346</v>
      </c>
      <c r="O129" s="545">
        <v>8.1958418309540004</v>
      </c>
      <c r="P129" s="545">
        <v>48.571612531231985</v>
      </c>
      <c r="Q129" s="545">
        <v>61.239458004997118</v>
      </c>
      <c r="R129" s="546">
        <f>SUM(R128)</f>
        <v>44279</v>
      </c>
      <c r="S129" s="353">
        <v>149601</v>
      </c>
    </row>
    <row r="130" spans="1:19" x14ac:dyDescent="0.2">
      <c r="A130" s="38"/>
      <c r="B130" s="38"/>
      <c r="C130" s="38">
        <v>138</v>
      </c>
      <c r="D130" s="47" t="s">
        <v>128</v>
      </c>
      <c r="E130" s="494">
        <v>23437</v>
      </c>
      <c r="F130" s="494">
        <v>0</v>
      </c>
      <c r="G130" s="494">
        <v>2406361</v>
      </c>
      <c r="H130" s="494">
        <v>2406361</v>
      </c>
      <c r="I130" s="494">
        <v>1095191</v>
      </c>
      <c r="J130" s="494">
        <v>1579243</v>
      </c>
      <c r="K130" s="494">
        <v>255952</v>
      </c>
      <c r="L130" s="494">
        <v>1285</v>
      </c>
      <c r="M130" s="494">
        <v>1836480</v>
      </c>
      <c r="N130" s="494">
        <v>569881</v>
      </c>
      <c r="O130" s="545">
        <v>23.68227377355268</v>
      </c>
      <c r="P130" s="545">
        <v>46.729146221786067</v>
      </c>
      <c r="Q130" s="545">
        <v>67.382472159406063</v>
      </c>
      <c r="R130" s="494"/>
      <c r="S130" s="353"/>
    </row>
    <row r="131" spans="1:19" x14ac:dyDescent="0.2">
      <c r="A131" s="38"/>
      <c r="B131" s="38"/>
      <c r="C131" s="38">
        <v>139</v>
      </c>
      <c r="D131" s="47" t="s">
        <v>127</v>
      </c>
      <c r="E131" s="494">
        <v>32433</v>
      </c>
      <c r="F131" s="494">
        <v>0</v>
      </c>
      <c r="G131" s="494">
        <v>3188546</v>
      </c>
      <c r="H131" s="494">
        <v>3188546</v>
      </c>
      <c r="I131" s="494">
        <v>1630861</v>
      </c>
      <c r="J131" s="494">
        <v>2328246</v>
      </c>
      <c r="K131" s="494">
        <v>269532</v>
      </c>
      <c r="L131" s="494">
        <v>0</v>
      </c>
      <c r="M131" s="494">
        <v>2597778</v>
      </c>
      <c r="N131" s="494">
        <v>590768</v>
      </c>
      <c r="O131" s="545">
        <v>18.527818008584475</v>
      </c>
      <c r="P131" s="545">
        <v>50.284000863318226</v>
      </c>
      <c r="Q131" s="545">
        <v>71.786328739247068</v>
      </c>
      <c r="R131" s="494"/>
      <c r="S131" s="353"/>
    </row>
    <row r="132" spans="1:19" x14ac:dyDescent="0.2">
      <c r="A132" s="38"/>
      <c r="B132" s="38"/>
      <c r="C132" s="38">
        <v>140</v>
      </c>
      <c r="D132" s="47" t="s">
        <v>129</v>
      </c>
      <c r="E132" s="494">
        <v>8282</v>
      </c>
      <c r="F132" s="494">
        <v>0</v>
      </c>
      <c r="G132" s="494">
        <v>1060986</v>
      </c>
      <c r="H132" s="494">
        <v>1060986</v>
      </c>
      <c r="I132" s="494">
        <v>372288</v>
      </c>
      <c r="J132" s="494">
        <v>641234</v>
      </c>
      <c r="K132" s="494">
        <v>201378</v>
      </c>
      <c r="L132" s="494">
        <v>0</v>
      </c>
      <c r="M132" s="494">
        <v>842612</v>
      </c>
      <c r="N132" s="494">
        <v>218374</v>
      </c>
      <c r="O132" s="545">
        <v>20.5821754481209</v>
      </c>
      <c r="P132" s="545">
        <v>44.95146099975851</v>
      </c>
      <c r="Q132" s="545">
        <v>77.425018111567255</v>
      </c>
      <c r="R132" s="494"/>
      <c r="S132" s="353"/>
    </row>
    <row r="133" spans="1:19" x14ac:dyDescent="0.2">
      <c r="A133" s="38"/>
      <c r="B133" s="38"/>
      <c r="C133" s="38">
        <v>141</v>
      </c>
      <c r="D133" s="47" t="s">
        <v>130</v>
      </c>
      <c r="E133" s="494">
        <v>4915</v>
      </c>
      <c r="F133" s="494">
        <v>0</v>
      </c>
      <c r="G133" s="494">
        <v>604793</v>
      </c>
      <c r="H133" s="494">
        <v>604793</v>
      </c>
      <c r="I133" s="494">
        <v>164743</v>
      </c>
      <c r="J133" s="494">
        <v>433646</v>
      </c>
      <c r="K133" s="494">
        <v>21875</v>
      </c>
      <c r="L133" s="494">
        <v>10441</v>
      </c>
      <c r="M133" s="494">
        <v>465962</v>
      </c>
      <c r="N133" s="494">
        <v>138831</v>
      </c>
      <c r="O133" s="545">
        <v>22.955126795449022</v>
      </c>
      <c r="P133" s="545">
        <v>33.518413021363173</v>
      </c>
      <c r="Q133" s="545">
        <v>88.229094608341811</v>
      </c>
      <c r="R133" s="494"/>
      <c r="S133" s="353"/>
    </row>
    <row r="134" spans="1:19" x14ac:dyDescent="0.2">
      <c r="A134" s="38">
        <v>38</v>
      </c>
      <c r="B134" s="38" t="s">
        <v>267</v>
      </c>
      <c r="C134" s="38">
        <v>142</v>
      </c>
      <c r="D134" s="38" t="s">
        <v>535</v>
      </c>
      <c r="E134" s="494">
        <v>69067</v>
      </c>
      <c r="F134" s="494">
        <v>0</v>
      </c>
      <c r="G134" s="494">
        <v>7260686</v>
      </c>
      <c r="H134" s="494">
        <v>7260686</v>
      </c>
      <c r="I134" s="494">
        <v>3263083</v>
      </c>
      <c r="J134" s="494">
        <v>4982369</v>
      </c>
      <c r="K134" s="494">
        <v>748737</v>
      </c>
      <c r="L134" s="494">
        <v>11726</v>
      </c>
      <c r="M134" s="494">
        <v>5742832</v>
      </c>
      <c r="N134" s="494">
        <v>1517854</v>
      </c>
      <c r="O134" s="545">
        <v>20.905104558990708</v>
      </c>
      <c r="P134" s="545">
        <v>47.245182214371553</v>
      </c>
      <c r="Q134" s="545">
        <v>72.138199139965536</v>
      </c>
      <c r="R134" s="494"/>
      <c r="S134" s="353"/>
    </row>
    <row r="135" spans="1:19" x14ac:dyDescent="0.2">
      <c r="A135" s="38"/>
      <c r="B135" s="38"/>
      <c r="C135" s="38">
        <v>143</v>
      </c>
      <c r="D135" s="38" t="s">
        <v>125</v>
      </c>
      <c r="E135" s="494">
        <v>19524</v>
      </c>
      <c r="F135" s="494">
        <v>0</v>
      </c>
      <c r="G135" s="494">
        <v>1271926</v>
      </c>
      <c r="H135" s="494">
        <v>1271926</v>
      </c>
      <c r="I135" s="494">
        <v>887967</v>
      </c>
      <c r="J135" s="494">
        <v>1150257</v>
      </c>
      <c r="K135" s="494">
        <v>1293</v>
      </c>
      <c r="L135" s="494">
        <v>0</v>
      </c>
      <c r="M135" s="494">
        <v>1151550</v>
      </c>
      <c r="N135" s="494">
        <v>120376</v>
      </c>
      <c r="O135" s="545">
        <v>9.4640725954182869</v>
      </c>
      <c r="P135" s="545">
        <v>45.480792870313458</v>
      </c>
      <c r="Q135" s="545">
        <v>58.915027658266752</v>
      </c>
      <c r="R135" s="494"/>
      <c r="S135" s="353"/>
    </row>
    <row r="136" spans="1:19" x14ac:dyDescent="0.2">
      <c r="A136" s="38"/>
      <c r="B136" s="38"/>
      <c r="C136" s="38">
        <v>144</v>
      </c>
      <c r="D136" s="38" t="s">
        <v>113</v>
      </c>
      <c r="E136" s="494">
        <v>17057</v>
      </c>
      <c r="F136" s="494">
        <v>0</v>
      </c>
      <c r="G136" s="494">
        <v>1388935</v>
      </c>
      <c r="H136" s="494">
        <v>1388935</v>
      </c>
      <c r="I136" s="494">
        <v>1077851</v>
      </c>
      <c r="J136" s="494">
        <v>1280018</v>
      </c>
      <c r="K136" s="494">
        <v>0</v>
      </c>
      <c r="L136" s="494">
        <v>1255</v>
      </c>
      <c r="M136" s="494">
        <v>1281273</v>
      </c>
      <c r="N136" s="494">
        <v>107662</v>
      </c>
      <c r="O136" s="545">
        <v>7.7514066532991102</v>
      </c>
      <c r="P136" s="545">
        <v>63.191123878759456</v>
      </c>
      <c r="Q136" s="545">
        <v>75.043559828809293</v>
      </c>
      <c r="R136" s="494"/>
      <c r="S136" s="353"/>
    </row>
    <row r="137" spans="1:19" x14ac:dyDescent="0.2">
      <c r="A137" s="38"/>
      <c r="B137" s="38"/>
      <c r="C137" s="38">
        <v>145</v>
      </c>
      <c r="D137" s="38" t="s">
        <v>115</v>
      </c>
      <c r="E137" s="494">
        <v>7113</v>
      </c>
      <c r="F137" s="494">
        <v>0</v>
      </c>
      <c r="G137" s="494">
        <v>608207</v>
      </c>
      <c r="H137" s="494">
        <v>608207</v>
      </c>
      <c r="I137" s="494">
        <v>381822</v>
      </c>
      <c r="J137" s="494">
        <v>427933</v>
      </c>
      <c r="K137" s="494">
        <v>145151</v>
      </c>
      <c r="L137" s="494">
        <v>0</v>
      </c>
      <c r="M137" s="494">
        <v>573084</v>
      </c>
      <c r="N137" s="494">
        <v>35123</v>
      </c>
      <c r="O137" s="545">
        <v>5.7748431044035993</v>
      </c>
      <c r="P137" s="545">
        <v>53.67946014339941</v>
      </c>
      <c r="Q137" s="545">
        <v>60.162097567833541</v>
      </c>
      <c r="R137" s="494"/>
      <c r="S137" s="353"/>
    </row>
    <row r="138" spans="1:19" x14ac:dyDescent="0.2">
      <c r="A138" s="38">
        <v>39</v>
      </c>
      <c r="B138" s="38" t="s">
        <v>270</v>
      </c>
      <c r="C138" s="38">
        <v>146</v>
      </c>
      <c r="D138" s="38" t="s">
        <v>535</v>
      </c>
      <c r="E138" s="494">
        <v>43694</v>
      </c>
      <c r="F138" s="494">
        <v>0</v>
      </c>
      <c r="G138" s="494">
        <v>3269068</v>
      </c>
      <c r="H138" s="494">
        <v>3269068</v>
      </c>
      <c r="I138" s="494">
        <v>2347640</v>
      </c>
      <c r="J138" s="494">
        <v>2858208</v>
      </c>
      <c r="K138" s="494">
        <v>146444</v>
      </c>
      <c r="L138" s="494">
        <v>1255</v>
      </c>
      <c r="M138" s="494">
        <v>3005907</v>
      </c>
      <c r="N138" s="494">
        <v>263161</v>
      </c>
      <c r="O138" s="545">
        <v>8.0500313850920193</v>
      </c>
      <c r="P138" s="545">
        <v>53.729116125783861</v>
      </c>
      <c r="Q138" s="545">
        <v>65.414198745823228</v>
      </c>
      <c r="R138" s="494"/>
      <c r="S138" s="353"/>
    </row>
    <row r="139" spans="1:19" x14ac:dyDescent="0.2">
      <c r="A139" s="38"/>
      <c r="B139" s="38"/>
      <c r="C139" s="38">
        <v>147</v>
      </c>
      <c r="D139" s="38" t="s">
        <v>86</v>
      </c>
      <c r="E139" s="494">
        <v>11853</v>
      </c>
      <c r="F139" s="494">
        <v>0</v>
      </c>
      <c r="G139" s="494">
        <v>1322694</v>
      </c>
      <c r="H139" s="494">
        <v>1322694</v>
      </c>
      <c r="I139" s="494">
        <v>863263</v>
      </c>
      <c r="J139" s="494">
        <v>1105691</v>
      </c>
      <c r="K139" s="494">
        <v>0</v>
      </c>
      <c r="L139" s="494">
        <v>15182</v>
      </c>
      <c r="M139" s="494">
        <v>1120873</v>
      </c>
      <c r="N139" s="494">
        <v>201821</v>
      </c>
      <c r="O139" s="545">
        <v>15.258328834938393</v>
      </c>
      <c r="P139" s="545">
        <v>72.830760145110943</v>
      </c>
      <c r="Q139" s="545">
        <v>93.283641272251757</v>
      </c>
      <c r="R139" s="494"/>
      <c r="S139" s="353"/>
    </row>
    <row r="140" spans="1:19" x14ac:dyDescent="0.2">
      <c r="A140" s="38"/>
      <c r="B140" s="38"/>
      <c r="C140" s="38">
        <v>148</v>
      </c>
      <c r="D140" s="38" t="s">
        <v>70</v>
      </c>
      <c r="E140" s="494">
        <v>19500</v>
      </c>
      <c r="F140" s="494">
        <v>584950</v>
      </c>
      <c r="G140" s="494">
        <v>1057661</v>
      </c>
      <c r="H140" s="494">
        <v>1642611</v>
      </c>
      <c r="I140" s="494">
        <v>1174905</v>
      </c>
      <c r="J140" s="494">
        <v>1366564</v>
      </c>
      <c r="K140" s="494">
        <v>0</v>
      </c>
      <c r="L140" s="494">
        <v>54584</v>
      </c>
      <c r="M140" s="494">
        <v>1421148</v>
      </c>
      <c r="N140" s="494">
        <v>221463</v>
      </c>
      <c r="O140" s="545">
        <v>13.482376533458012</v>
      </c>
      <c r="P140" s="545">
        <v>60.251538461538459</v>
      </c>
      <c r="Q140" s="545">
        <v>70.080205128205122</v>
      </c>
      <c r="R140" s="494"/>
      <c r="S140" s="353"/>
    </row>
    <row r="141" spans="1:19" x14ac:dyDescent="0.2">
      <c r="A141" s="38"/>
      <c r="B141" s="38"/>
      <c r="C141" s="38">
        <v>149</v>
      </c>
      <c r="D141" s="38" t="s">
        <v>85</v>
      </c>
      <c r="E141" s="494">
        <v>5460</v>
      </c>
      <c r="F141" s="494">
        <v>233174</v>
      </c>
      <c r="G141" s="494">
        <v>241913</v>
      </c>
      <c r="H141" s="494">
        <v>475087</v>
      </c>
      <c r="I141" s="494">
        <v>320643</v>
      </c>
      <c r="J141" s="494">
        <v>387591</v>
      </c>
      <c r="K141" s="494">
        <v>0</v>
      </c>
      <c r="L141" s="494">
        <v>2461</v>
      </c>
      <c r="M141" s="494">
        <v>390052</v>
      </c>
      <c r="N141" s="494">
        <v>85035</v>
      </c>
      <c r="O141" s="545">
        <v>17.898826951695163</v>
      </c>
      <c r="P141" s="545">
        <v>58.725824175824172</v>
      </c>
      <c r="Q141" s="545">
        <v>70.987362637362637</v>
      </c>
      <c r="R141" s="494"/>
      <c r="S141" s="353"/>
    </row>
    <row r="142" spans="1:19" x14ac:dyDescent="0.2">
      <c r="A142" s="38"/>
      <c r="B142" s="38"/>
      <c r="C142" s="38">
        <v>150</v>
      </c>
      <c r="D142" s="38" t="s">
        <v>65</v>
      </c>
      <c r="E142" s="494">
        <v>17602</v>
      </c>
      <c r="F142" s="494">
        <v>715768</v>
      </c>
      <c r="G142" s="494">
        <v>681792</v>
      </c>
      <c r="H142" s="494">
        <v>1397560</v>
      </c>
      <c r="I142" s="494">
        <v>715337</v>
      </c>
      <c r="J142" s="494">
        <v>939369</v>
      </c>
      <c r="K142" s="494">
        <v>0</v>
      </c>
      <c r="L142" s="494">
        <v>416937</v>
      </c>
      <c r="M142" s="494">
        <v>1356306</v>
      </c>
      <c r="N142" s="494">
        <v>41254</v>
      </c>
      <c r="O142" s="545">
        <v>2.9518589541772804</v>
      </c>
      <c r="P142" s="545">
        <v>40.639529598909213</v>
      </c>
      <c r="Q142" s="545">
        <v>53.367174184751732</v>
      </c>
      <c r="R142" s="494"/>
      <c r="S142" s="353"/>
    </row>
    <row r="143" spans="1:19" x14ac:dyDescent="0.2">
      <c r="A143" s="38"/>
      <c r="B143" s="38"/>
      <c r="C143" s="38">
        <v>151</v>
      </c>
      <c r="D143" s="38" t="s">
        <v>84</v>
      </c>
      <c r="E143" s="494">
        <v>10818</v>
      </c>
      <c r="F143" s="494">
        <v>0</v>
      </c>
      <c r="G143" s="494">
        <v>901210</v>
      </c>
      <c r="H143" s="494">
        <v>901210</v>
      </c>
      <c r="I143" s="494">
        <v>699744</v>
      </c>
      <c r="J143" s="494">
        <v>836558</v>
      </c>
      <c r="K143" s="494">
        <v>0</v>
      </c>
      <c r="L143" s="494">
        <v>6780</v>
      </c>
      <c r="M143" s="494">
        <v>843338</v>
      </c>
      <c r="N143" s="494">
        <v>57872</v>
      </c>
      <c r="O143" s="545">
        <v>6.4215887528988809</v>
      </c>
      <c r="P143" s="545">
        <v>64.683305601774819</v>
      </c>
      <c r="Q143" s="545">
        <v>77.330190423368464</v>
      </c>
      <c r="R143" s="494"/>
      <c r="S143" s="353"/>
    </row>
    <row r="144" spans="1:19" x14ac:dyDescent="0.2">
      <c r="A144" s="38">
        <v>40</v>
      </c>
      <c r="B144" s="38" t="s">
        <v>259</v>
      </c>
      <c r="C144" s="38">
        <v>153</v>
      </c>
      <c r="D144" s="38" t="s">
        <v>535</v>
      </c>
      <c r="E144" s="494">
        <f>SUM(E139:E143)</f>
        <v>65233</v>
      </c>
      <c r="F144" s="494">
        <f t="shared" ref="F144:N144" si="14">SUM(F139:F143)</f>
        <v>1533892</v>
      </c>
      <c r="G144" s="494">
        <f t="shared" si="14"/>
        <v>4205270</v>
      </c>
      <c r="H144" s="494">
        <f t="shared" si="14"/>
        <v>5739162</v>
      </c>
      <c r="I144" s="494">
        <f t="shared" si="14"/>
        <v>3773892</v>
      </c>
      <c r="J144" s="494">
        <f t="shared" si="14"/>
        <v>4635773</v>
      </c>
      <c r="K144" s="494">
        <f t="shared" si="14"/>
        <v>0</v>
      </c>
      <c r="L144" s="494">
        <f t="shared" si="14"/>
        <v>495944</v>
      </c>
      <c r="M144" s="494">
        <f t="shared" si="14"/>
        <v>5131717</v>
      </c>
      <c r="N144" s="494">
        <f t="shared" si="14"/>
        <v>607445</v>
      </c>
      <c r="O144" s="545">
        <v>10.584210726234945</v>
      </c>
      <c r="P144" s="545">
        <v>57.852497968819463</v>
      </c>
      <c r="Q144" s="545">
        <v>71.064844480554314</v>
      </c>
      <c r="R144" s="494"/>
      <c r="S144" s="353"/>
    </row>
    <row r="145" spans="1:19" x14ac:dyDescent="0.2">
      <c r="A145" s="38"/>
      <c r="B145" s="38"/>
      <c r="C145" s="38">
        <v>154</v>
      </c>
      <c r="D145" s="38" t="s">
        <v>30</v>
      </c>
      <c r="E145" s="494">
        <v>21032</v>
      </c>
      <c r="F145" s="494">
        <v>0</v>
      </c>
      <c r="G145" s="494">
        <v>1682722</v>
      </c>
      <c r="H145" s="494">
        <v>1682722</v>
      </c>
      <c r="I145" s="494">
        <v>855420</v>
      </c>
      <c r="J145" s="494">
        <v>1142821</v>
      </c>
      <c r="K145" s="494">
        <v>38907</v>
      </c>
      <c r="L145" s="494">
        <v>10027</v>
      </c>
      <c r="M145" s="494">
        <v>1191755</v>
      </c>
      <c r="N145" s="494">
        <v>490967</v>
      </c>
      <c r="O145" s="545">
        <v>29.176952580402464</v>
      </c>
      <c r="P145" s="545">
        <v>40.672308862685433</v>
      </c>
      <c r="Q145" s="545">
        <v>54.33724800304298</v>
      </c>
      <c r="R145" s="494"/>
      <c r="S145" s="353"/>
    </row>
    <row r="146" spans="1:19" x14ac:dyDescent="0.2">
      <c r="A146" s="38"/>
      <c r="B146" s="38"/>
      <c r="C146" s="38">
        <v>155</v>
      </c>
      <c r="D146" s="38" t="s">
        <v>22</v>
      </c>
      <c r="E146" s="494">
        <v>7577</v>
      </c>
      <c r="F146" s="494">
        <v>0</v>
      </c>
      <c r="G146" s="494">
        <v>328339</v>
      </c>
      <c r="H146" s="494">
        <v>328339</v>
      </c>
      <c r="I146" s="494">
        <v>202469</v>
      </c>
      <c r="J146" s="494">
        <v>231377</v>
      </c>
      <c r="K146" s="494">
        <v>0</v>
      </c>
      <c r="L146" s="494">
        <v>525</v>
      </c>
      <c r="M146" s="494">
        <v>231902</v>
      </c>
      <c r="N146" s="494">
        <v>96437</v>
      </c>
      <c r="O146" s="545">
        <v>29.371168213340482</v>
      </c>
      <c r="P146" s="545">
        <v>26.721525669790154</v>
      </c>
      <c r="Q146" s="545">
        <v>30.53675597202059</v>
      </c>
      <c r="R146" s="494"/>
      <c r="S146" s="353"/>
    </row>
    <row r="147" spans="1:19" x14ac:dyDescent="0.2">
      <c r="A147" s="38"/>
      <c r="B147" s="38"/>
      <c r="C147" s="38">
        <v>156</v>
      </c>
      <c r="D147" s="38" t="s">
        <v>26</v>
      </c>
      <c r="E147" s="494">
        <v>5605</v>
      </c>
      <c r="F147" s="494">
        <v>0</v>
      </c>
      <c r="G147" s="494">
        <v>509735</v>
      </c>
      <c r="H147" s="494">
        <v>509735</v>
      </c>
      <c r="I147" s="494">
        <v>329864</v>
      </c>
      <c r="J147" s="494">
        <v>408828</v>
      </c>
      <c r="K147" s="494">
        <v>0</v>
      </c>
      <c r="L147" s="494">
        <v>0</v>
      </c>
      <c r="M147" s="494">
        <v>408828</v>
      </c>
      <c r="N147" s="494">
        <v>100907</v>
      </c>
      <c r="O147" s="545">
        <v>19.795972417040229</v>
      </c>
      <c r="P147" s="545">
        <v>58.851739518287246</v>
      </c>
      <c r="Q147" s="545">
        <v>72.939875111507575</v>
      </c>
      <c r="R147" s="494"/>
      <c r="S147" s="353"/>
    </row>
    <row r="148" spans="1:19" x14ac:dyDescent="0.2">
      <c r="A148" s="38"/>
      <c r="B148" s="38"/>
      <c r="C148" s="38">
        <v>157</v>
      </c>
      <c r="D148" s="38" t="s">
        <v>38</v>
      </c>
      <c r="E148" s="494">
        <v>6053</v>
      </c>
      <c r="F148" s="494">
        <v>0</v>
      </c>
      <c r="G148" s="494">
        <v>890784</v>
      </c>
      <c r="H148" s="494">
        <v>890784</v>
      </c>
      <c r="I148" s="494">
        <v>267150</v>
      </c>
      <c r="J148" s="494">
        <v>352121</v>
      </c>
      <c r="K148" s="494">
        <v>400035</v>
      </c>
      <c r="L148" s="494">
        <v>0</v>
      </c>
      <c r="M148" s="494">
        <v>752156</v>
      </c>
      <c r="N148" s="494">
        <v>138628</v>
      </c>
      <c r="O148" s="545">
        <v>15.56247081222833</v>
      </c>
      <c r="P148" s="545">
        <v>44.135139600198251</v>
      </c>
      <c r="Q148" s="545">
        <v>58.172972079960353</v>
      </c>
      <c r="R148" s="494"/>
      <c r="S148" s="353"/>
    </row>
    <row r="149" spans="1:19" x14ac:dyDescent="0.2">
      <c r="A149" s="38">
        <v>41</v>
      </c>
      <c r="B149" s="38" t="s">
        <v>260</v>
      </c>
      <c r="C149" s="38">
        <v>158</v>
      </c>
      <c r="D149" s="38" t="s">
        <v>535</v>
      </c>
      <c r="E149" s="494">
        <v>40267</v>
      </c>
      <c r="F149" s="494">
        <v>0</v>
      </c>
      <c r="G149" s="494">
        <v>3411580</v>
      </c>
      <c r="H149" s="494">
        <v>3411580</v>
      </c>
      <c r="I149" s="494">
        <v>1654903</v>
      </c>
      <c r="J149" s="494">
        <v>2135147</v>
      </c>
      <c r="K149" s="494">
        <v>438942</v>
      </c>
      <c r="L149" s="494">
        <v>10552</v>
      </c>
      <c r="M149" s="494">
        <v>2584641</v>
      </c>
      <c r="N149" s="494">
        <v>826939</v>
      </c>
      <c r="O149" s="545">
        <v>24.239179500407435</v>
      </c>
      <c r="P149" s="545">
        <v>41.098244219832615</v>
      </c>
      <c r="Q149" s="545">
        <v>53.024734894578685</v>
      </c>
      <c r="R149" s="494"/>
      <c r="S149" s="353"/>
    </row>
    <row r="150" spans="1:19" x14ac:dyDescent="0.2">
      <c r="A150" s="38"/>
      <c r="B150" s="38"/>
      <c r="C150" s="38">
        <v>159</v>
      </c>
      <c r="D150" s="38" t="s">
        <v>80</v>
      </c>
      <c r="E150" s="494">
        <v>16434</v>
      </c>
      <c r="F150" s="494">
        <v>0</v>
      </c>
      <c r="G150" s="494">
        <v>1078964</v>
      </c>
      <c r="H150" s="494">
        <v>1078964</v>
      </c>
      <c r="I150" s="494">
        <v>575125</v>
      </c>
      <c r="J150" s="494">
        <v>610585</v>
      </c>
      <c r="K150" s="494">
        <v>8362</v>
      </c>
      <c r="L150" s="494">
        <v>0</v>
      </c>
      <c r="M150" s="494">
        <v>618947</v>
      </c>
      <c r="N150" s="494">
        <v>460017</v>
      </c>
      <c r="O150" s="545">
        <v>42.635064747294628</v>
      </c>
      <c r="P150" s="545">
        <v>34.996044785201413</v>
      </c>
      <c r="Q150" s="545">
        <v>37.153766581477427</v>
      </c>
      <c r="R150" s="494"/>
      <c r="S150" s="353"/>
    </row>
    <row r="151" spans="1:19" x14ac:dyDescent="0.2">
      <c r="A151" s="38"/>
      <c r="B151" s="38"/>
      <c r="C151" s="38">
        <v>160</v>
      </c>
      <c r="D151" s="38" t="s">
        <v>143</v>
      </c>
      <c r="E151" s="494">
        <v>16980</v>
      </c>
      <c r="F151" s="494">
        <v>0</v>
      </c>
      <c r="G151" s="494">
        <v>878703</v>
      </c>
      <c r="H151" s="494">
        <v>878703</v>
      </c>
      <c r="I151" s="494">
        <v>498935</v>
      </c>
      <c r="J151" s="494">
        <v>558009</v>
      </c>
      <c r="K151" s="494">
        <v>0</v>
      </c>
      <c r="L151" s="494">
        <v>569</v>
      </c>
      <c r="M151" s="494">
        <v>558578</v>
      </c>
      <c r="N151" s="494">
        <v>320125</v>
      </c>
      <c r="O151" s="545">
        <v>36.431536025255404</v>
      </c>
      <c r="P151" s="545">
        <v>29.383686690223794</v>
      </c>
      <c r="Q151" s="545">
        <v>32.86272084805654</v>
      </c>
      <c r="R151" s="494"/>
      <c r="S151" s="353"/>
    </row>
    <row r="152" spans="1:19" x14ac:dyDescent="0.2">
      <c r="A152" s="38"/>
      <c r="B152" s="38"/>
      <c r="C152" s="38">
        <v>161</v>
      </c>
      <c r="D152" s="38" t="s">
        <v>81</v>
      </c>
      <c r="E152" s="494">
        <v>9641</v>
      </c>
      <c r="F152" s="494">
        <v>0</v>
      </c>
      <c r="G152" s="494">
        <v>1350388</v>
      </c>
      <c r="H152" s="494">
        <v>1350388</v>
      </c>
      <c r="I152" s="494">
        <v>452861</v>
      </c>
      <c r="J152" s="494">
        <v>462711</v>
      </c>
      <c r="K152" s="494">
        <v>0</v>
      </c>
      <c r="L152" s="494">
        <v>0</v>
      </c>
      <c r="M152" s="494">
        <v>462711</v>
      </c>
      <c r="N152" s="494">
        <v>887677</v>
      </c>
      <c r="O152" s="545">
        <v>65.73495913767006</v>
      </c>
      <c r="P152" s="545">
        <v>46.972409501089096</v>
      </c>
      <c r="Q152" s="545">
        <v>47.994087750233376</v>
      </c>
      <c r="R152" s="494"/>
      <c r="S152" s="353"/>
    </row>
    <row r="153" spans="1:19" x14ac:dyDescent="0.2">
      <c r="A153" s="38"/>
      <c r="B153" s="38"/>
      <c r="C153" s="38">
        <v>162</v>
      </c>
      <c r="D153" s="38" t="s">
        <v>83</v>
      </c>
      <c r="E153" s="494">
        <v>13623</v>
      </c>
      <c r="F153" s="494">
        <v>0</v>
      </c>
      <c r="G153" s="494">
        <v>999028</v>
      </c>
      <c r="H153" s="494">
        <v>999028</v>
      </c>
      <c r="I153" s="494">
        <v>439650</v>
      </c>
      <c r="J153" s="494">
        <v>475504</v>
      </c>
      <c r="K153" s="494">
        <v>0</v>
      </c>
      <c r="L153" s="494">
        <v>0</v>
      </c>
      <c r="M153" s="494">
        <v>475504</v>
      </c>
      <c r="N153" s="494">
        <v>523524</v>
      </c>
      <c r="O153" s="545">
        <v>52.403336042633441</v>
      </c>
      <c r="P153" s="545">
        <v>32.27262717463114</v>
      </c>
      <c r="Q153" s="545">
        <v>34.904499743081551</v>
      </c>
      <c r="R153" s="494"/>
      <c r="S153" s="353"/>
    </row>
    <row r="154" spans="1:19" x14ac:dyDescent="0.2">
      <c r="A154" s="38"/>
      <c r="B154" s="38"/>
      <c r="C154" s="38">
        <v>163</v>
      </c>
      <c r="D154" s="38" t="s">
        <v>82</v>
      </c>
      <c r="E154" s="494">
        <v>17226</v>
      </c>
      <c r="F154" s="494">
        <v>0</v>
      </c>
      <c r="G154" s="494">
        <v>768014</v>
      </c>
      <c r="H154" s="494">
        <v>768014</v>
      </c>
      <c r="I154" s="494">
        <v>528348</v>
      </c>
      <c r="J154" s="494">
        <v>550807</v>
      </c>
      <c r="K154" s="494">
        <v>0</v>
      </c>
      <c r="L154" s="494">
        <v>0</v>
      </c>
      <c r="M154" s="494">
        <v>550807</v>
      </c>
      <c r="N154" s="494">
        <v>217207</v>
      </c>
      <c r="O154" s="545">
        <v>28.281645907496479</v>
      </c>
      <c r="P154" s="545">
        <v>30.671543016370602</v>
      </c>
      <c r="Q154" s="545">
        <v>31.975327992569373</v>
      </c>
      <c r="R154" s="494"/>
      <c r="S154" s="353"/>
    </row>
    <row r="155" spans="1:19" x14ac:dyDescent="0.2">
      <c r="A155" s="38"/>
      <c r="B155" s="38"/>
      <c r="C155" s="38">
        <v>164</v>
      </c>
      <c r="D155" s="38" t="s">
        <v>145</v>
      </c>
      <c r="E155" s="494">
        <v>7828</v>
      </c>
      <c r="F155" s="494">
        <v>0</v>
      </c>
      <c r="G155" s="494">
        <v>573770</v>
      </c>
      <c r="H155" s="494">
        <v>573770</v>
      </c>
      <c r="I155" s="494">
        <v>388345</v>
      </c>
      <c r="J155" s="494">
        <v>473131</v>
      </c>
      <c r="K155" s="494">
        <v>0</v>
      </c>
      <c r="L155" s="494">
        <v>0</v>
      </c>
      <c r="M155" s="494">
        <v>473131</v>
      </c>
      <c r="N155" s="494">
        <v>100639</v>
      </c>
      <c r="O155" s="545">
        <v>17.539955034247175</v>
      </c>
      <c r="P155" s="545">
        <v>49.609734287174248</v>
      </c>
      <c r="Q155" s="545">
        <v>60.440853346959635</v>
      </c>
      <c r="R155" s="494"/>
      <c r="S155" s="353"/>
    </row>
    <row r="156" spans="1:19" x14ac:dyDescent="0.2">
      <c r="A156" s="38">
        <v>42</v>
      </c>
      <c r="B156" s="38" t="s">
        <v>578</v>
      </c>
      <c r="C156" s="38">
        <v>165</v>
      </c>
      <c r="D156" s="38" t="s">
        <v>535</v>
      </c>
      <c r="E156" s="494">
        <f>SUM(E150:E155)</f>
        <v>81732</v>
      </c>
      <c r="F156" s="494">
        <f t="shared" ref="F156:N156" si="15">SUM(F150:F155)</f>
        <v>0</v>
      </c>
      <c r="G156" s="494">
        <f t="shared" si="15"/>
        <v>5648867</v>
      </c>
      <c r="H156" s="494">
        <f t="shared" si="15"/>
        <v>5648867</v>
      </c>
      <c r="I156" s="494">
        <f t="shared" si="15"/>
        <v>2883264</v>
      </c>
      <c r="J156" s="494">
        <f t="shared" si="15"/>
        <v>3130747</v>
      </c>
      <c r="K156" s="494">
        <f t="shared" si="15"/>
        <v>8362</v>
      </c>
      <c r="L156" s="494">
        <f t="shared" si="15"/>
        <v>569</v>
      </c>
      <c r="M156" s="494">
        <f t="shared" si="15"/>
        <v>3139678</v>
      </c>
      <c r="N156" s="494">
        <f t="shared" si="15"/>
        <v>2509189</v>
      </c>
      <c r="O156" s="545">
        <v>47.458206217536336</v>
      </c>
      <c r="P156" s="545">
        <v>33.758916973370859</v>
      </c>
      <c r="Q156" s="545">
        <v>35.960381034856027</v>
      </c>
      <c r="R156" s="494"/>
      <c r="S156" s="353"/>
    </row>
    <row r="157" spans="1:19" x14ac:dyDescent="0.2">
      <c r="A157" s="38"/>
      <c r="B157" s="38"/>
      <c r="C157" s="38">
        <v>166</v>
      </c>
      <c r="D157" s="47" t="s">
        <v>94</v>
      </c>
      <c r="E157" s="494">
        <v>6736</v>
      </c>
      <c r="F157" s="494">
        <v>0</v>
      </c>
      <c r="G157" s="494">
        <v>397444</v>
      </c>
      <c r="H157" s="494">
        <v>397444</v>
      </c>
      <c r="I157" s="494">
        <v>260722</v>
      </c>
      <c r="J157" s="494">
        <v>300688</v>
      </c>
      <c r="K157" s="494">
        <v>0</v>
      </c>
      <c r="L157" s="494">
        <v>15241</v>
      </c>
      <c r="M157" s="494">
        <v>315929</v>
      </c>
      <c r="N157" s="494">
        <v>81515</v>
      </c>
      <c r="O157" s="545">
        <v>20.509807671017803</v>
      </c>
      <c r="P157" s="545">
        <v>38.705760095011875</v>
      </c>
      <c r="Q157" s="545">
        <v>44.63895486935867</v>
      </c>
      <c r="R157" s="494"/>
      <c r="S157" s="353"/>
    </row>
    <row r="158" spans="1:19" x14ac:dyDescent="0.2">
      <c r="A158" s="38"/>
      <c r="B158" s="38"/>
      <c r="C158" s="38">
        <v>167</v>
      </c>
      <c r="D158" s="47" t="s">
        <v>93</v>
      </c>
      <c r="E158" s="494">
        <v>16992</v>
      </c>
      <c r="F158" s="494">
        <v>0</v>
      </c>
      <c r="G158" s="494">
        <v>1064314</v>
      </c>
      <c r="H158" s="494">
        <v>1064314</v>
      </c>
      <c r="I158" s="494">
        <v>764111</v>
      </c>
      <c r="J158" s="494">
        <v>839838</v>
      </c>
      <c r="K158" s="494">
        <v>0</v>
      </c>
      <c r="L158" s="494">
        <v>3253</v>
      </c>
      <c r="M158" s="494">
        <v>843091</v>
      </c>
      <c r="N158" s="494">
        <v>221223</v>
      </c>
      <c r="O158" s="545">
        <v>20.785501271241383</v>
      </c>
      <c r="P158" s="545">
        <v>44.968867702448208</v>
      </c>
      <c r="Q158" s="545">
        <v>49.425494350282484</v>
      </c>
      <c r="R158" s="494"/>
      <c r="S158" s="353"/>
    </row>
    <row r="159" spans="1:19" x14ac:dyDescent="0.2">
      <c r="A159" s="38"/>
      <c r="B159" s="38"/>
      <c r="C159" s="38">
        <v>168</v>
      </c>
      <c r="D159" s="47" t="s">
        <v>89</v>
      </c>
      <c r="E159" s="494">
        <v>12536</v>
      </c>
      <c r="F159" s="494">
        <v>0</v>
      </c>
      <c r="G159" s="494">
        <v>649195</v>
      </c>
      <c r="H159" s="494">
        <v>649195</v>
      </c>
      <c r="I159" s="494">
        <v>453074</v>
      </c>
      <c r="J159" s="494">
        <v>505265</v>
      </c>
      <c r="K159" s="494">
        <v>0</v>
      </c>
      <c r="L159" s="494">
        <v>25855</v>
      </c>
      <c r="M159" s="494">
        <v>531120</v>
      </c>
      <c r="N159" s="494">
        <v>118075</v>
      </c>
      <c r="O159" s="545">
        <v>18.187909641941175</v>
      </c>
      <c r="P159" s="545">
        <v>36.141831525207401</v>
      </c>
      <c r="Q159" s="545">
        <v>40.305121250797704</v>
      </c>
      <c r="R159" s="494"/>
      <c r="S159" s="353"/>
    </row>
    <row r="160" spans="1:19" x14ac:dyDescent="0.2">
      <c r="A160" s="38"/>
      <c r="B160" s="38"/>
      <c r="C160" s="38">
        <v>169</v>
      </c>
      <c r="D160" s="47" t="s">
        <v>41</v>
      </c>
      <c r="E160" s="494">
        <v>6142</v>
      </c>
      <c r="F160" s="494">
        <v>0</v>
      </c>
      <c r="G160" s="494">
        <v>373319</v>
      </c>
      <c r="H160" s="494">
        <v>373319</v>
      </c>
      <c r="I160" s="494">
        <v>316369</v>
      </c>
      <c r="J160" s="494">
        <v>361206</v>
      </c>
      <c r="K160" s="494">
        <v>0</v>
      </c>
      <c r="L160" s="494">
        <v>0</v>
      </c>
      <c r="M160" s="494">
        <v>361206</v>
      </c>
      <c r="N160" s="494">
        <v>12113</v>
      </c>
      <c r="O160" s="545">
        <v>3.2446781438930246</v>
      </c>
      <c r="P160" s="545">
        <v>51.509117551286224</v>
      </c>
      <c r="Q160" s="545">
        <v>58.809182676652554</v>
      </c>
      <c r="R160" s="494"/>
      <c r="S160" s="353"/>
    </row>
    <row r="161" spans="1:19" x14ac:dyDescent="0.2">
      <c r="A161" s="38"/>
      <c r="B161" s="38"/>
      <c r="C161" s="38">
        <v>170</v>
      </c>
      <c r="D161" s="47" t="s">
        <v>39</v>
      </c>
      <c r="E161" s="494">
        <v>37732</v>
      </c>
      <c r="F161" s="494">
        <v>0</v>
      </c>
      <c r="G161" s="494">
        <v>2945059</v>
      </c>
      <c r="H161" s="494">
        <v>2945059</v>
      </c>
      <c r="I161" s="494">
        <v>1748560</v>
      </c>
      <c r="J161" s="494">
        <v>2027057</v>
      </c>
      <c r="K161" s="494">
        <v>109805</v>
      </c>
      <c r="L161" s="494">
        <v>9517</v>
      </c>
      <c r="M161" s="494">
        <v>2146379</v>
      </c>
      <c r="N161" s="494">
        <v>798680</v>
      </c>
      <c r="O161" s="545">
        <v>27.119320869293279</v>
      </c>
      <c r="P161" s="545">
        <v>46.341566839817659</v>
      </c>
      <c r="Q161" s="545">
        <v>53.722490193999789</v>
      </c>
      <c r="R161" s="494"/>
      <c r="S161" s="353"/>
    </row>
    <row r="162" spans="1:19" x14ac:dyDescent="0.2">
      <c r="A162" s="38"/>
      <c r="B162" s="38"/>
      <c r="C162" s="38">
        <v>171</v>
      </c>
      <c r="D162" s="47" t="s">
        <v>42</v>
      </c>
      <c r="E162" s="494">
        <v>30074</v>
      </c>
      <c r="F162" s="494">
        <v>0</v>
      </c>
      <c r="G162" s="494">
        <v>2015699</v>
      </c>
      <c r="H162" s="494">
        <v>2015699</v>
      </c>
      <c r="I162" s="494">
        <v>1393157</v>
      </c>
      <c r="J162" s="494">
        <v>1509973</v>
      </c>
      <c r="K162" s="494">
        <v>0</v>
      </c>
      <c r="L162" s="494">
        <v>12883</v>
      </c>
      <c r="M162" s="494">
        <v>1522856</v>
      </c>
      <c r="N162" s="494">
        <v>492843</v>
      </c>
      <c r="O162" s="545">
        <v>24.450227935817797</v>
      </c>
      <c r="P162" s="545">
        <v>46.324300059852362</v>
      </c>
      <c r="Q162" s="545">
        <v>50.208585489126818</v>
      </c>
      <c r="R162" s="494"/>
      <c r="S162" s="353"/>
    </row>
    <row r="163" spans="1:19" x14ac:dyDescent="0.2">
      <c r="A163" s="38"/>
      <c r="B163" s="38"/>
      <c r="C163" s="38">
        <v>172</v>
      </c>
      <c r="D163" s="47" t="s">
        <v>92</v>
      </c>
      <c r="E163" s="494">
        <v>7044</v>
      </c>
      <c r="F163" s="494">
        <v>0</v>
      </c>
      <c r="G163" s="494">
        <v>483684</v>
      </c>
      <c r="H163" s="494">
        <v>483684</v>
      </c>
      <c r="I163" s="494">
        <v>407778</v>
      </c>
      <c r="J163" s="494">
        <v>449057</v>
      </c>
      <c r="K163" s="494">
        <v>0</v>
      </c>
      <c r="L163" s="494">
        <v>25035</v>
      </c>
      <c r="M163" s="494">
        <v>474092</v>
      </c>
      <c r="N163" s="494">
        <v>9592</v>
      </c>
      <c r="O163" s="545">
        <v>1.983112941507265</v>
      </c>
      <c r="P163" s="545">
        <v>57.890119250425897</v>
      </c>
      <c r="Q163" s="545">
        <v>63.750283929585464</v>
      </c>
      <c r="R163" s="494"/>
      <c r="S163" s="353"/>
    </row>
    <row r="164" spans="1:19" x14ac:dyDescent="0.2">
      <c r="A164" s="38"/>
      <c r="B164" s="38"/>
      <c r="C164" s="38">
        <v>173</v>
      </c>
      <c r="D164" s="1" t="s">
        <v>11</v>
      </c>
      <c r="E164" s="494">
        <v>11944</v>
      </c>
      <c r="F164" s="494">
        <v>0</v>
      </c>
      <c r="G164" s="494">
        <v>998772</v>
      </c>
      <c r="H164" s="494">
        <v>998772</v>
      </c>
      <c r="I164" s="494">
        <v>564992</v>
      </c>
      <c r="J164" s="494">
        <v>686039</v>
      </c>
      <c r="K164" s="494">
        <v>0</v>
      </c>
      <c r="L164" s="494">
        <v>23311</v>
      </c>
      <c r="M164" s="494">
        <v>709350</v>
      </c>
      <c r="N164" s="494">
        <v>289422</v>
      </c>
      <c r="O164" s="545">
        <v>28.977784719635714</v>
      </c>
      <c r="P164" s="545">
        <v>47.303415941058269</v>
      </c>
      <c r="Q164" s="545">
        <v>57.437960482250503</v>
      </c>
      <c r="R164" s="494"/>
      <c r="S164" s="353"/>
    </row>
    <row r="165" spans="1:19" x14ac:dyDescent="0.2">
      <c r="A165" s="38"/>
      <c r="B165" s="38"/>
      <c r="C165" s="38">
        <v>174</v>
      </c>
      <c r="D165" s="1" t="s">
        <v>485</v>
      </c>
      <c r="E165" s="494">
        <v>7954</v>
      </c>
      <c r="F165" s="494">
        <v>0</v>
      </c>
      <c r="G165" s="494">
        <v>476706</v>
      </c>
      <c r="H165" s="494">
        <v>476706</v>
      </c>
      <c r="I165" s="494">
        <v>356672</v>
      </c>
      <c r="J165" s="494">
        <v>363599</v>
      </c>
      <c r="K165" s="494">
        <v>0</v>
      </c>
      <c r="L165" s="494">
        <v>4821</v>
      </c>
      <c r="M165" s="494">
        <v>368420</v>
      </c>
      <c r="N165" s="494">
        <v>108286</v>
      </c>
      <c r="O165" s="545">
        <v>22.715468234089776</v>
      </c>
      <c r="P165" s="545">
        <v>44.841840583354291</v>
      </c>
      <c r="Q165" s="545">
        <v>45.712723158159413</v>
      </c>
      <c r="R165" s="494"/>
      <c r="S165" s="353"/>
    </row>
    <row r="166" spans="1:19" x14ac:dyDescent="0.2">
      <c r="A166" s="38"/>
      <c r="B166" s="38"/>
      <c r="C166" s="38">
        <v>175</v>
      </c>
      <c r="D166" s="1" t="s">
        <v>484</v>
      </c>
      <c r="E166" s="494">
        <v>2986</v>
      </c>
      <c r="F166" s="494">
        <v>0</v>
      </c>
      <c r="G166" s="494">
        <v>180108</v>
      </c>
      <c r="H166" s="494">
        <v>180108</v>
      </c>
      <c r="I166" s="494">
        <v>157472</v>
      </c>
      <c r="J166" s="494">
        <v>177518</v>
      </c>
      <c r="K166" s="494">
        <v>0</v>
      </c>
      <c r="L166" s="494">
        <v>148</v>
      </c>
      <c r="M166" s="494">
        <v>177666</v>
      </c>
      <c r="N166" s="494">
        <v>2442</v>
      </c>
      <c r="O166" s="545">
        <v>1.3558531547738024</v>
      </c>
      <c r="P166" s="545">
        <v>52.736771600803749</v>
      </c>
      <c r="Q166" s="545">
        <v>59.450100468854657</v>
      </c>
      <c r="R166" s="494"/>
      <c r="S166" s="353"/>
    </row>
    <row r="167" spans="1:19" x14ac:dyDescent="0.2">
      <c r="A167" s="38">
        <v>43</v>
      </c>
      <c r="B167" s="38" t="s">
        <v>261</v>
      </c>
      <c r="C167" s="38">
        <v>176</v>
      </c>
      <c r="D167" s="38" t="s">
        <v>535</v>
      </c>
      <c r="E167" s="494">
        <v>129200</v>
      </c>
      <c r="F167" s="494">
        <v>0</v>
      </c>
      <c r="G167" s="494">
        <v>9584300</v>
      </c>
      <c r="H167" s="494">
        <v>9584300</v>
      </c>
      <c r="I167" s="494">
        <v>6422907</v>
      </c>
      <c r="J167" s="494">
        <v>7220240</v>
      </c>
      <c r="K167" s="494">
        <v>109805</v>
      </c>
      <c r="L167" s="494">
        <v>120064</v>
      </c>
      <c r="M167" s="494">
        <v>7450109</v>
      </c>
      <c r="N167" s="494">
        <v>2134191</v>
      </c>
      <c r="O167" s="545">
        <v>22.267573010026815</v>
      </c>
      <c r="P167" s="545">
        <v>49.712902476780187</v>
      </c>
      <c r="Q167" s="545">
        <v>55.88421052631579</v>
      </c>
      <c r="R167" s="494"/>
      <c r="S167" s="353"/>
    </row>
    <row r="168" spans="1:19" x14ac:dyDescent="0.2">
      <c r="A168" s="38"/>
      <c r="B168" s="38"/>
      <c r="C168" s="38">
        <v>177</v>
      </c>
      <c r="D168" s="38" t="s">
        <v>76</v>
      </c>
      <c r="E168" s="494">
        <v>39917</v>
      </c>
      <c r="F168" s="494">
        <v>0</v>
      </c>
      <c r="G168" s="494">
        <v>3254224</v>
      </c>
      <c r="H168" s="494">
        <v>3254224</v>
      </c>
      <c r="I168" s="494">
        <v>2137835</v>
      </c>
      <c r="J168" s="494">
        <v>2758369</v>
      </c>
      <c r="K168" s="494">
        <v>63312</v>
      </c>
      <c r="L168" s="494">
        <v>2297</v>
      </c>
      <c r="M168" s="494">
        <v>2823978</v>
      </c>
      <c r="N168" s="494">
        <v>430246</v>
      </c>
      <c r="O168" s="545">
        <v>13.221155028049697</v>
      </c>
      <c r="P168" s="545">
        <v>53.557005787008045</v>
      </c>
      <c r="Q168" s="545">
        <v>69.102612921812764</v>
      </c>
      <c r="R168" s="494">
        <v>29132</v>
      </c>
      <c r="S168" s="353"/>
    </row>
    <row r="169" spans="1:19" x14ac:dyDescent="0.2">
      <c r="A169" s="38">
        <v>44</v>
      </c>
      <c r="B169" s="38" t="s">
        <v>262</v>
      </c>
      <c r="C169" s="38">
        <v>178</v>
      </c>
      <c r="D169" s="38" t="s">
        <v>535</v>
      </c>
      <c r="E169" s="494">
        <f>+E168</f>
        <v>39917</v>
      </c>
      <c r="F169" s="494">
        <f t="shared" ref="F169:Q169" si="16">+F168</f>
        <v>0</v>
      </c>
      <c r="G169" s="494">
        <f t="shared" si="16"/>
        <v>3254224</v>
      </c>
      <c r="H169" s="494">
        <f t="shared" si="16"/>
        <v>3254224</v>
      </c>
      <c r="I169" s="494">
        <f t="shared" si="16"/>
        <v>2137835</v>
      </c>
      <c r="J169" s="494">
        <f t="shared" si="16"/>
        <v>2758369</v>
      </c>
      <c r="K169" s="494">
        <f t="shared" si="16"/>
        <v>63312</v>
      </c>
      <c r="L169" s="494">
        <f t="shared" si="16"/>
        <v>2297</v>
      </c>
      <c r="M169" s="494">
        <f t="shared" si="16"/>
        <v>2823978</v>
      </c>
      <c r="N169" s="494">
        <f t="shared" si="16"/>
        <v>430246</v>
      </c>
      <c r="O169" s="494">
        <f t="shared" si="16"/>
        <v>13.221155028049697</v>
      </c>
      <c r="P169" s="494">
        <f t="shared" si="16"/>
        <v>53.557005787008045</v>
      </c>
      <c r="Q169" s="494">
        <f t="shared" si="16"/>
        <v>69.102612921812764</v>
      </c>
      <c r="R169" s="546">
        <f>SUM(R168:R168)</f>
        <v>29132</v>
      </c>
      <c r="S169" s="353">
        <v>72259</v>
      </c>
    </row>
    <row r="170" spans="1:19" x14ac:dyDescent="0.2">
      <c r="A170" s="38"/>
      <c r="B170" s="38"/>
      <c r="C170" s="38">
        <v>179</v>
      </c>
      <c r="D170" s="38" t="s">
        <v>73</v>
      </c>
      <c r="E170" s="494">
        <v>44710</v>
      </c>
      <c r="F170" s="494">
        <v>0</v>
      </c>
      <c r="G170" s="494">
        <v>4062800</v>
      </c>
      <c r="H170" s="494">
        <v>4062800</v>
      </c>
      <c r="I170" s="494">
        <v>1963163</v>
      </c>
      <c r="J170" s="494">
        <v>2953998</v>
      </c>
      <c r="K170" s="494">
        <v>336290</v>
      </c>
      <c r="L170" s="494">
        <v>0</v>
      </c>
      <c r="M170" s="494">
        <v>3290288</v>
      </c>
      <c r="N170" s="494">
        <v>772512</v>
      </c>
      <c r="O170" s="545">
        <v>19.014275868858917</v>
      </c>
      <c r="P170" s="545">
        <v>43.908812346231265</v>
      </c>
      <c r="Q170" s="545">
        <v>66.07018564079624</v>
      </c>
      <c r="R170" s="494">
        <v>113918</v>
      </c>
      <c r="S170" s="353"/>
    </row>
    <row r="171" spans="1:19" x14ac:dyDescent="0.2">
      <c r="A171" s="38">
        <v>45</v>
      </c>
      <c r="B171" s="38" t="s">
        <v>660</v>
      </c>
      <c r="C171" s="38">
        <v>180</v>
      </c>
      <c r="D171" s="38" t="s">
        <v>535</v>
      </c>
      <c r="E171" s="494">
        <v>44710</v>
      </c>
      <c r="F171" s="494">
        <v>0</v>
      </c>
      <c r="G171" s="494">
        <v>4062800</v>
      </c>
      <c r="H171" s="494">
        <v>4062800</v>
      </c>
      <c r="I171" s="494">
        <v>1963163</v>
      </c>
      <c r="J171" s="494">
        <v>2953998</v>
      </c>
      <c r="K171" s="494">
        <v>336290</v>
      </c>
      <c r="L171" s="494">
        <v>0</v>
      </c>
      <c r="M171" s="494">
        <v>3290288</v>
      </c>
      <c r="N171" s="494">
        <v>772512</v>
      </c>
      <c r="O171" s="545">
        <v>19.014275868858917</v>
      </c>
      <c r="P171" s="545">
        <v>43.908812346231265</v>
      </c>
      <c r="Q171" s="545">
        <v>66.07018564079624</v>
      </c>
      <c r="R171" s="546">
        <f>SUM(R170)</f>
        <v>113918</v>
      </c>
      <c r="S171" s="353">
        <v>927057</v>
      </c>
    </row>
    <row r="172" spans="1:19" x14ac:dyDescent="0.2">
      <c r="A172" s="38"/>
      <c r="B172" s="38"/>
      <c r="C172" s="38">
        <v>181</v>
      </c>
      <c r="D172" s="47" t="s">
        <v>1</v>
      </c>
      <c r="E172" s="494">
        <v>46655</v>
      </c>
      <c r="F172" s="494">
        <v>0</v>
      </c>
      <c r="G172" s="494">
        <v>11310700</v>
      </c>
      <c r="H172" s="494">
        <v>11310700</v>
      </c>
      <c r="I172" s="494">
        <v>3589672</v>
      </c>
      <c r="J172" s="494">
        <v>6046542</v>
      </c>
      <c r="K172" s="494">
        <v>4141666</v>
      </c>
      <c r="L172" s="494">
        <v>108626</v>
      </c>
      <c r="M172" s="494">
        <v>10296834</v>
      </c>
      <c r="N172" s="494">
        <v>1013866</v>
      </c>
      <c r="O172" s="545">
        <v>8.9637776618600089</v>
      </c>
      <c r="P172" s="545">
        <v>76.940778051655769</v>
      </c>
      <c r="Q172" s="545">
        <v>129.60115743221519</v>
      </c>
      <c r="R172" s="494">
        <v>288462</v>
      </c>
      <c r="S172" s="353"/>
    </row>
    <row r="173" spans="1:19" x14ac:dyDescent="0.2">
      <c r="A173" s="38">
        <v>46</v>
      </c>
      <c r="B173" s="38" t="s">
        <v>456</v>
      </c>
      <c r="C173" s="38">
        <v>182</v>
      </c>
      <c r="D173" s="38" t="s">
        <v>535</v>
      </c>
      <c r="E173" s="494">
        <v>46655</v>
      </c>
      <c r="F173" s="494">
        <v>0</v>
      </c>
      <c r="G173" s="494">
        <v>11310700</v>
      </c>
      <c r="H173" s="494">
        <v>11310700</v>
      </c>
      <c r="I173" s="494">
        <v>3589672</v>
      </c>
      <c r="J173" s="494">
        <v>6046542</v>
      </c>
      <c r="K173" s="494">
        <v>4141666</v>
      </c>
      <c r="L173" s="494">
        <v>108626</v>
      </c>
      <c r="M173" s="494">
        <v>10296834</v>
      </c>
      <c r="N173" s="494">
        <v>1013866</v>
      </c>
      <c r="O173" s="545">
        <v>8.9637776618600089</v>
      </c>
      <c r="P173" s="545">
        <v>76.940778051655769</v>
      </c>
      <c r="Q173" s="545">
        <v>129.60115743221519</v>
      </c>
      <c r="R173" s="546">
        <f>SUM(R172)</f>
        <v>288462</v>
      </c>
      <c r="S173" s="353">
        <v>388928</v>
      </c>
    </row>
    <row r="174" spans="1:19" x14ac:dyDescent="0.2">
      <c r="A174" s="38"/>
      <c r="B174" s="38"/>
      <c r="C174" s="38">
        <v>183</v>
      </c>
      <c r="D174" s="38" t="s">
        <v>16</v>
      </c>
      <c r="E174" s="494">
        <v>8705</v>
      </c>
      <c r="F174" s="494">
        <v>0</v>
      </c>
      <c r="G174" s="494">
        <v>698340</v>
      </c>
      <c r="H174" s="494">
        <v>698340</v>
      </c>
      <c r="I174" s="494">
        <v>445500</v>
      </c>
      <c r="J174" s="494">
        <v>616045</v>
      </c>
      <c r="K174" s="494">
        <v>21379</v>
      </c>
      <c r="L174" s="494">
        <v>271</v>
      </c>
      <c r="M174" s="494">
        <v>637695</v>
      </c>
      <c r="N174" s="494">
        <v>60645</v>
      </c>
      <c r="O174" s="545">
        <v>8.6841653062977926</v>
      </c>
      <c r="P174" s="545">
        <v>51.177484204480187</v>
      </c>
      <c r="Q174" s="545">
        <v>70.769098219414133</v>
      </c>
      <c r="R174" s="494">
        <v>39332</v>
      </c>
      <c r="S174" s="353"/>
    </row>
    <row r="175" spans="1:19" x14ac:dyDescent="0.2">
      <c r="A175" s="38"/>
      <c r="B175" s="38"/>
      <c r="C175" s="38">
        <v>184</v>
      </c>
      <c r="D175" s="38" t="s">
        <v>12</v>
      </c>
      <c r="E175" s="494">
        <v>2954</v>
      </c>
      <c r="F175" s="494">
        <v>0</v>
      </c>
      <c r="G175" s="494">
        <v>171094</v>
      </c>
      <c r="H175" s="494">
        <v>171094</v>
      </c>
      <c r="I175" s="494">
        <v>135773</v>
      </c>
      <c r="J175" s="494">
        <v>150195</v>
      </c>
      <c r="K175" s="494">
        <v>0</v>
      </c>
      <c r="L175" s="494">
        <v>12503</v>
      </c>
      <c r="M175" s="494">
        <v>162698</v>
      </c>
      <c r="N175" s="494">
        <v>8396</v>
      </c>
      <c r="O175" s="545">
        <v>4.9072439711503613</v>
      </c>
      <c r="P175" s="545">
        <v>45.962423832092078</v>
      </c>
      <c r="Q175" s="545">
        <v>50.844617467840216</v>
      </c>
      <c r="R175" s="494">
        <v>3085</v>
      </c>
      <c r="S175" s="353"/>
    </row>
    <row r="176" spans="1:19" x14ac:dyDescent="0.2">
      <c r="A176" s="38"/>
      <c r="B176" s="38"/>
      <c r="C176" s="38">
        <v>185</v>
      </c>
      <c r="D176" s="38" t="s">
        <v>18</v>
      </c>
      <c r="E176" s="494">
        <v>5871</v>
      </c>
      <c r="F176" s="494">
        <v>0</v>
      </c>
      <c r="G176" s="494">
        <v>539022</v>
      </c>
      <c r="H176" s="494">
        <v>539022</v>
      </c>
      <c r="I176" s="494">
        <v>339056</v>
      </c>
      <c r="J176" s="494">
        <v>378085</v>
      </c>
      <c r="K176" s="494">
        <v>0</v>
      </c>
      <c r="L176" s="494">
        <v>1352</v>
      </c>
      <c r="M176" s="494">
        <v>379437</v>
      </c>
      <c r="N176" s="494">
        <v>159585</v>
      </c>
      <c r="O176" s="545">
        <v>29.606398254616696</v>
      </c>
      <c r="P176" s="545">
        <v>57.750979390223129</v>
      </c>
      <c r="Q176" s="545">
        <v>64.398739567365013</v>
      </c>
      <c r="R176" s="494">
        <v>13182</v>
      </c>
      <c r="S176" s="353"/>
    </row>
    <row r="177" spans="1:19" x14ac:dyDescent="0.2">
      <c r="A177" s="38"/>
      <c r="B177" s="38"/>
      <c r="C177" s="38">
        <v>186</v>
      </c>
      <c r="D177" s="38" t="s">
        <v>21</v>
      </c>
      <c r="E177" s="494">
        <v>1520</v>
      </c>
      <c r="F177" s="494">
        <v>0</v>
      </c>
      <c r="G177" s="494">
        <v>133618</v>
      </c>
      <c r="H177" s="494">
        <v>133618</v>
      </c>
      <c r="I177" s="494">
        <v>78764</v>
      </c>
      <c r="J177" s="494">
        <v>114262</v>
      </c>
      <c r="K177" s="494">
        <v>6190</v>
      </c>
      <c r="L177" s="494">
        <v>2843</v>
      </c>
      <c r="M177" s="494">
        <v>123295</v>
      </c>
      <c r="N177" s="494">
        <v>10323</v>
      </c>
      <c r="O177" s="545">
        <v>7.7257555119819186</v>
      </c>
      <c r="P177" s="545">
        <v>51.818421052631578</v>
      </c>
      <c r="Q177" s="545">
        <v>75.172368421052639</v>
      </c>
      <c r="R177" s="494">
        <v>3771</v>
      </c>
      <c r="S177" s="353"/>
    </row>
    <row r="178" spans="1:19" x14ac:dyDescent="0.2">
      <c r="A178" s="38"/>
      <c r="B178" s="38"/>
      <c r="C178" s="38">
        <v>187</v>
      </c>
      <c r="D178" s="38" t="s">
        <v>48</v>
      </c>
      <c r="E178" s="494">
        <v>32236</v>
      </c>
      <c r="F178" s="494">
        <v>0</v>
      </c>
      <c r="G178" s="494">
        <v>2737516</v>
      </c>
      <c r="H178" s="494">
        <v>2737516</v>
      </c>
      <c r="I178" s="494">
        <v>1374813</v>
      </c>
      <c r="J178" s="494">
        <v>2020943</v>
      </c>
      <c r="K178" s="494">
        <v>239382</v>
      </c>
      <c r="L178" s="494">
        <v>0</v>
      </c>
      <c r="M178" s="494">
        <v>2260325</v>
      </c>
      <c r="N178" s="494">
        <v>477191</v>
      </c>
      <c r="O178" s="545">
        <v>17.431532820264795</v>
      </c>
      <c r="P178" s="545">
        <v>42.648374488149898</v>
      </c>
      <c r="Q178" s="545">
        <v>62.692114406253879</v>
      </c>
      <c r="R178" s="494">
        <v>97167</v>
      </c>
      <c r="S178" s="353"/>
    </row>
    <row r="179" spans="1:19" x14ac:dyDescent="0.2">
      <c r="A179" s="38"/>
      <c r="B179" s="38"/>
      <c r="C179" s="38">
        <v>188</v>
      </c>
      <c r="D179" s="38" t="s">
        <v>147</v>
      </c>
      <c r="E179" s="494">
        <v>10839</v>
      </c>
      <c r="F179" s="494">
        <v>0</v>
      </c>
      <c r="G179" s="494">
        <v>739018</v>
      </c>
      <c r="H179" s="494">
        <v>739018</v>
      </c>
      <c r="I179" s="494">
        <v>443781</v>
      </c>
      <c r="J179" s="494">
        <v>527190</v>
      </c>
      <c r="K179" s="494">
        <v>0</v>
      </c>
      <c r="L179" s="494">
        <v>5232</v>
      </c>
      <c r="M179" s="494">
        <v>532422</v>
      </c>
      <c r="N179" s="494">
        <v>206596</v>
      </c>
      <c r="O179" s="545">
        <v>27.955476050651001</v>
      </c>
      <c r="P179" s="545">
        <v>40.942983670080267</v>
      </c>
      <c r="Q179" s="545">
        <v>48.638250761140327</v>
      </c>
      <c r="R179" s="494">
        <v>0</v>
      </c>
      <c r="S179" s="353"/>
    </row>
    <row r="180" spans="1:19" x14ac:dyDescent="0.2">
      <c r="A180" s="38"/>
      <c r="B180" s="38"/>
      <c r="C180" s="38">
        <v>189</v>
      </c>
      <c r="D180" s="38" t="s">
        <v>133</v>
      </c>
      <c r="E180" s="494">
        <v>5693</v>
      </c>
      <c r="F180" s="494">
        <v>0</v>
      </c>
      <c r="G180" s="494">
        <v>362206</v>
      </c>
      <c r="H180" s="494">
        <v>362206</v>
      </c>
      <c r="I180" s="494">
        <v>218850</v>
      </c>
      <c r="J180" s="494">
        <v>249207</v>
      </c>
      <c r="K180" s="494">
        <v>0</v>
      </c>
      <c r="L180" s="494">
        <v>1631</v>
      </c>
      <c r="M180" s="494">
        <v>250838</v>
      </c>
      <c r="N180" s="494">
        <v>111368</v>
      </c>
      <c r="O180" s="545">
        <v>30.747143890493255</v>
      </c>
      <c r="P180" s="545">
        <v>38.441946249780429</v>
      </c>
      <c r="Q180" s="545">
        <v>43.774284208677322</v>
      </c>
      <c r="R180" s="494">
        <v>0</v>
      </c>
      <c r="S180" s="353"/>
    </row>
    <row r="181" spans="1:19" x14ac:dyDescent="0.2">
      <c r="A181" s="38"/>
      <c r="B181" s="38"/>
      <c r="C181" s="38">
        <v>190</v>
      </c>
      <c r="D181" s="38" t="s">
        <v>224</v>
      </c>
      <c r="E181" s="494">
        <v>20650</v>
      </c>
      <c r="F181" s="494">
        <v>0</v>
      </c>
      <c r="G181" s="494">
        <v>1433907</v>
      </c>
      <c r="H181" s="494">
        <v>1433907</v>
      </c>
      <c r="I181" s="494">
        <v>750836</v>
      </c>
      <c r="J181" s="494">
        <v>803842</v>
      </c>
      <c r="K181" s="494">
        <v>10827</v>
      </c>
      <c r="L181" s="494">
        <v>4868</v>
      </c>
      <c r="M181" s="494">
        <v>819537</v>
      </c>
      <c r="N181" s="494">
        <v>614370</v>
      </c>
      <c r="O181" s="545">
        <v>42.845874941680314</v>
      </c>
      <c r="P181" s="545">
        <v>36.360096852300245</v>
      </c>
      <c r="Q181" s="545">
        <v>38.926973365617435</v>
      </c>
      <c r="R181" s="494">
        <v>0</v>
      </c>
      <c r="S181" s="353"/>
    </row>
    <row r="182" spans="1:19" x14ac:dyDescent="0.2">
      <c r="A182" s="38"/>
      <c r="B182" s="38"/>
      <c r="C182" s="38">
        <v>191</v>
      </c>
      <c r="D182" s="38" t="s">
        <v>233</v>
      </c>
      <c r="E182" s="494">
        <v>3842</v>
      </c>
      <c r="F182" s="494">
        <v>0</v>
      </c>
      <c r="G182" s="494">
        <v>280959</v>
      </c>
      <c r="H182" s="494">
        <v>280959</v>
      </c>
      <c r="I182" s="494">
        <v>176656</v>
      </c>
      <c r="J182" s="494">
        <v>196008</v>
      </c>
      <c r="K182" s="494">
        <v>0</v>
      </c>
      <c r="L182" s="494">
        <v>5741</v>
      </c>
      <c r="M182" s="494">
        <v>201749</v>
      </c>
      <c r="N182" s="494">
        <v>79210</v>
      </c>
      <c r="O182" s="545">
        <v>28.192725629006365</v>
      </c>
      <c r="P182" s="545">
        <v>45.98021863612702</v>
      </c>
      <c r="Q182" s="545">
        <v>51.017178552837066</v>
      </c>
      <c r="R182" s="494">
        <v>0</v>
      </c>
      <c r="S182" s="353"/>
    </row>
    <row r="183" spans="1:19" x14ac:dyDescent="0.2">
      <c r="A183" s="38"/>
      <c r="B183" s="38"/>
      <c r="C183" s="38">
        <v>192</v>
      </c>
      <c r="D183" s="38" t="s">
        <v>37</v>
      </c>
      <c r="E183" s="494">
        <v>5000</v>
      </c>
      <c r="F183" s="494">
        <v>0</v>
      </c>
      <c r="G183" s="494">
        <v>394045</v>
      </c>
      <c r="H183" s="494">
        <v>394045</v>
      </c>
      <c r="I183" s="494">
        <v>221017</v>
      </c>
      <c r="J183" s="494">
        <v>264448</v>
      </c>
      <c r="K183" s="494">
        <v>45365</v>
      </c>
      <c r="L183" s="494">
        <v>4954</v>
      </c>
      <c r="M183" s="494">
        <v>314767</v>
      </c>
      <c r="N183" s="494">
        <v>79278</v>
      </c>
      <c r="O183" s="545">
        <v>20.119021939118628</v>
      </c>
      <c r="P183" s="545">
        <v>44.203400000000002</v>
      </c>
      <c r="Q183" s="545">
        <v>52.889600000000002</v>
      </c>
      <c r="R183" s="494">
        <v>0</v>
      </c>
      <c r="S183" s="353"/>
    </row>
    <row r="184" spans="1:19" x14ac:dyDescent="0.2">
      <c r="A184" s="38"/>
      <c r="B184" s="38"/>
      <c r="C184" s="38">
        <v>193</v>
      </c>
      <c r="D184" s="38" t="s">
        <v>146</v>
      </c>
      <c r="E184" s="494">
        <v>2916</v>
      </c>
      <c r="F184" s="494">
        <v>0</v>
      </c>
      <c r="G184" s="494">
        <v>189632</v>
      </c>
      <c r="H184" s="494">
        <v>189632</v>
      </c>
      <c r="I184" s="494">
        <v>145256</v>
      </c>
      <c r="J184" s="494">
        <v>157281</v>
      </c>
      <c r="K184" s="494">
        <v>19867</v>
      </c>
      <c r="L184" s="494">
        <v>1705</v>
      </c>
      <c r="M184" s="494">
        <v>178853</v>
      </c>
      <c r="N184" s="494">
        <v>10779</v>
      </c>
      <c r="O184" s="545">
        <v>5.6841672291596357</v>
      </c>
      <c r="P184" s="545">
        <v>49.813443072702334</v>
      </c>
      <c r="Q184" s="545">
        <v>53.937242798353907</v>
      </c>
      <c r="R184" s="494">
        <v>0</v>
      </c>
      <c r="S184" s="353"/>
    </row>
    <row r="185" spans="1:19" x14ac:dyDescent="0.2">
      <c r="A185" s="38"/>
      <c r="B185" s="38"/>
      <c r="C185" s="38">
        <v>194</v>
      </c>
      <c r="D185" s="38" t="s">
        <v>132</v>
      </c>
      <c r="E185" s="494">
        <v>5452</v>
      </c>
      <c r="F185" s="494">
        <v>0</v>
      </c>
      <c r="G185" s="494">
        <v>355076</v>
      </c>
      <c r="H185" s="494">
        <v>355076</v>
      </c>
      <c r="I185" s="494">
        <v>198341</v>
      </c>
      <c r="J185" s="494">
        <v>221276</v>
      </c>
      <c r="K185" s="494">
        <v>0</v>
      </c>
      <c r="L185" s="494">
        <v>757</v>
      </c>
      <c r="M185" s="494">
        <v>222033</v>
      </c>
      <c r="N185" s="494">
        <v>133043</v>
      </c>
      <c r="O185" s="545">
        <v>37.468879901767508</v>
      </c>
      <c r="P185" s="545">
        <v>36.379493763756422</v>
      </c>
      <c r="Q185" s="545">
        <v>40.586206896551722</v>
      </c>
      <c r="R185" s="494">
        <v>0</v>
      </c>
      <c r="S185" s="353"/>
    </row>
    <row r="186" spans="1:19" x14ac:dyDescent="0.2">
      <c r="A186" s="38"/>
      <c r="B186" s="38"/>
      <c r="C186" s="38">
        <v>195</v>
      </c>
      <c r="D186" s="38" t="s">
        <v>245</v>
      </c>
      <c r="E186" s="494">
        <v>7250</v>
      </c>
      <c r="F186" s="494">
        <v>0</v>
      </c>
      <c r="G186" s="494">
        <v>643698</v>
      </c>
      <c r="H186" s="494">
        <v>643698</v>
      </c>
      <c r="I186" s="494">
        <v>337629</v>
      </c>
      <c r="J186" s="494">
        <v>391734</v>
      </c>
      <c r="K186" s="494">
        <v>0</v>
      </c>
      <c r="L186" s="494">
        <v>11726</v>
      </c>
      <c r="M186" s="494">
        <v>403460</v>
      </c>
      <c r="N186" s="494">
        <v>240238</v>
      </c>
      <c r="O186" s="545">
        <v>37.321538982566359</v>
      </c>
      <c r="P186" s="545">
        <v>46.569517241379309</v>
      </c>
      <c r="Q186" s="545">
        <v>54.032275862068964</v>
      </c>
      <c r="R186" s="494">
        <v>0</v>
      </c>
      <c r="S186" s="353"/>
    </row>
    <row r="187" spans="1:19" x14ac:dyDescent="0.2">
      <c r="A187" s="38">
        <v>47</v>
      </c>
      <c r="B187" s="38" t="s">
        <v>457</v>
      </c>
      <c r="C187" s="38">
        <v>197</v>
      </c>
      <c r="D187" s="38" t="s">
        <v>535</v>
      </c>
      <c r="E187" s="494">
        <f>SUM(E174:E186)</f>
        <v>112928</v>
      </c>
      <c r="F187" s="494">
        <f t="shared" ref="F187:N187" si="17">SUM(F174:F186)</f>
        <v>0</v>
      </c>
      <c r="G187" s="494">
        <f t="shared" si="17"/>
        <v>8678131</v>
      </c>
      <c r="H187" s="494">
        <f t="shared" si="17"/>
        <v>8678131</v>
      </c>
      <c r="I187" s="494">
        <f t="shared" si="17"/>
        <v>4866272</v>
      </c>
      <c r="J187" s="494">
        <f t="shared" si="17"/>
        <v>6090516</v>
      </c>
      <c r="K187" s="494">
        <f t="shared" si="17"/>
        <v>343010</v>
      </c>
      <c r="L187" s="494">
        <f t="shared" si="17"/>
        <v>53583</v>
      </c>
      <c r="M187" s="494">
        <f t="shared" si="17"/>
        <v>6487109</v>
      </c>
      <c r="N187" s="494">
        <f t="shared" si="17"/>
        <v>2191022</v>
      </c>
      <c r="O187" s="545">
        <v>25.247625323932077</v>
      </c>
      <c r="P187" s="545">
        <v>43.091810711249643</v>
      </c>
      <c r="Q187" s="545">
        <v>53.932735902521962</v>
      </c>
      <c r="R187" s="546">
        <f>SUM(R174:R186)</f>
        <v>156537</v>
      </c>
      <c r="S187" s="353">
        <v>446973</v>
      </c>
    </row>
    <row r="188" spans="1:19" x14ac:dyDescent="0.2">
      <c r="A188" s="38"/>
      <c r="B188" s="38"/>
      <c r="C188" s="38">
        <v>198</v>
      </c>
      <c r="D188" s="38" t="s">
        <v>74</v>
      </c>
      <c r="E188" s="494">
        <v>38346</v>
      </c>
      <c r="F188" s="494">
        <v>10504</v>
      </c>
      <c r="G188" s="494">
        <v>2524848</v>
      </c>
      <c r="H188" s="494">
        <v>2535352</v>
      </c>
      <c r="I188" s="494">
        <v>1874471</v>
      </c>
      <c r="J188" s="494">
        <v>2324712</v>
      </c>
      <c r="K188" s="494">
        <v>0</v>
      </c>
      <c r="L188" s="494">
        <v>0</v>
      </c>
      <c r="M188" s="494">
        <v>2324712</v>
      </c>
      <c r="N188" s="494">
        <v>210640</v>
      </c>
      <c r="O188" s="545">
        <v>8.3081165849949041</v>
      </c>
      <c r="P188" s="545">
        <v>48.883090804777552</v>
      </c>
      <c r="Q188" s="545">
        <v>60.624628383664529</v>
      </c>
      <c r="R188" s="494"/>
      <c r="S188" s="353"/>
    </row>
    <row r="189" spans="1:19" x14ac:dyDescent="0.2">
      <c r="A189" s="38"/>
      <c r="B189" s="38"/>
      <c r="C189" s="38">
        <v>199</v>
      </c>
      <c r="D189" s="5" t="s">
        <v>247</v>
      </c>
      <c r="E189" s="494">
        <v>9753</v>
      </c>
      <c r="F189" s="494">
        <v>0</v>
      </c>
      <c r="G189" s="494">
        <v>561213</v>
      </c>
      <c r="H189" s="494">
        <v>561213</v>
      </c>
      <c r="I189" s="494">
        <v>365682</v>
      </c>
      <c r="J189" s="494">
        <v>488337</v>
      </c>
      <c r="K189" s="494">
        <v>0</v>
      </c>
      <c r="L189" s="494">
        <v>0</v>
      </c>
      <c r="M189" s="494">
        <v>488337</v>
      </c>
      <c r="N189" s="494">
        <v>72876</v>
      </c>
      <c r="O189" s="545">
        <v>12.985444029272308</v>
      </c>
      <c r="P189" s="545">
        <v>37.494309443248234</v>
      </c>
      <c r="Q189" s="545">
        <v>50.070439864657025</v>
      </c>
      <c r="R189" s="494"/>
      <c r="S189" s="353"/>
    </row>
    <row r="190" spans="1:19" x14ac:dyDescent="0.2">
      <c r="A190" s="38">
        <v>48</v>
      </c>
      <c r="B190" s="38" t="s">
        <v>263</v>
      </c>
      <c r="C190" s="38">
        <v>202</v>
      </c>
      <c r="D190" s="38" t="s">
        <v>535</v>
      </c>
      <c r="E190" s="494">
        <f t="shared" ref="E190:N190" si="18">SUM(E188:E189)</f>
        <v>48099</v>
      </c>
      <c r="F190" s="494">
        <f t="shared" si="18"/>
        <v>10504</v>
      </c>
      <c r="G190" s="494">
        <f t="shared" si="18"/>
        <v>3086061</v>
      </c>
      <c r="H190" s="494">
        <f t="shared" si="18"/>
        <v>3096565</v>
      </c>
      <c r="I190" s="494">
        <f t="shared" si="18"/>
        <v>2240153</v>
      </c>
      <c r="J190" s="494">
        <f t="shared" si="18"/>
        <v>2813049</v>
      </c>
      <c r="K190" s="494">
        <f t="shared" si="18"/>
        <v>0</v>
      </c>
      <c r="L190" s="494">
        <f t="shared" si="18"/>
        <v>0</v>
      </c>
      <c r="M190" s="494">
        <f t="shared" si="18"/>
        <v>2813049</v>
      </c>
      <c r="N190" s="494">
        <f t="shared" si="18"/>
        <v>283516</v>
      </c>
      <c r="O190" s="545">
        <v>8.3081165849949041</v>
      </c>
      <c r="P190" s="545">
        <v>48.883090804777552</v>
      </c>
      <c r="Q190" s="545">
        <v>60.624628383664529</v>
      </c>
      <c r="R190" s="494"/>
      <c r="S190" s="353"/>
    </row>
    <row r="191" spans="1:19" x14ac:dyDescent="0.2">
      <c r="A191" s="38"/>
      <c r="B191" s="38"/>
      <c r="C191" s="38">
        <v>203</v>
      </c>
      <c r="D191" s="5" t="s">
        <v>53</v>
      </c>
      <c r="E191" s="494">
        <v>42285</v>
      </c>
      <c r="F191" s="494">
        <v>0</v>
      </c>
      <c r="G191" s="494">
        <v>5431744</v>
      </c>
      <c r="H191" s="494">
        <v>5431744</v>
      </c>
      <c r="I191" s="494">
        <v>2895175</v>
      </c>
      <c r="J191" s="494">
        <v>3981008</v>
      </c>
      <c r="K191" s="494">
        <v>27094</v>
      </c>
      <c r="L191" s="494">
        <v>899815</v>
      </c>
      <c r="M191" s="494">
        <v>4907917</v>
      </c>
      <c r="N191" s="494">
        <v>523827</v>
      </c>
      <c r="O191" s="545">
        <v>9.6438086920149413</v>
      </c>
      <c r="P191" s="545">
        <v>68.468132907650471</v>
      </c>
      <c r="Q191" s="545">
        <v>94.147049781246309</v>
      </c>
      <c r="R191" s="494">
        <v>66633</v>
      </c>
      <c r="S191" s="353"/>
    </row>
    <row r="192" spans="1:19" x14ac:dyDescent="0.2">
      <c r="A192" s="38">
        <v>49</v>
      </c>
      <c r="B192" s="38" t="s">
        <v>264</v>
      </c>
      <c r="C192" s="38">
        <v>204</v>
      </c>
      <c r="D192" s="38" t="s">
        <v>535</v>
      </c>
      <c r="E192" s="494">
        <v>42285</v>
      </c>
      <c r="F192" s="494">
        <v>0</v>
      </c>
      <c r="G192" s="494">
        <v>5431744</v>
      </c>
      <c r="H192" s="494">
        <v>5431744</v>
      </c>
      <c r="I192" s="494">
        <v>2895175</v>
      </c>
      <c r="J192" s="494">
        <v>3981008</v>
      </c>
      <c r="K192" s="494">
        <v>27094</v>
      </c>
      <c r="L192" s="494">
        <v>899815</v>
      </c>
      <c r="M192" s="494">
        <v>4907917</v>
      </c>
      <c r="N192" s="494">
        <v>523827</v>
      </c>
      <c r="O192" s="545">
        <v>9.6438086920149413</v>
      </c>
      <c r="P192" s="545">
        <v>68.468132907650471</v>
      </c>
      <c r="Q192" s="545">
        <v>94.147049781246309</v>
      </c>
      <c r="R192" s="546">
        <f>SUM(R191)</f>
        <v>66633</v>
      </c>
      <c r="S192" s="353">
        <v>25767</v>
      </c>
    </row>
    <row r="193" spans="1:19" x14ac:dyDescent="0.2">
      <c r="A193" s="38"/>
      <c r="B193" s="38"/>
      <c r="C193" s="38">
        <v>205</v>
      </c>
      <c r="D193" s="38" t="s">
        <v>60</v>
      </c>
      <c r="E193" s="494">
        <v>67874</v>
      </c>
      <c r="F193" s="494">
        <v>0</v>
      </c>
      <c r="G193" s="494">
        <v>4755515</v>
      </c>
      <c r="H193" s="494">
        <v>4755515</v>
      </c>
      <c r="I193" s="494">
        <v>2920110</v>
      </c>
      <c r="J193" s="494">
        <v>3615499</v>
      </c>
      <c r="K193" s="494">
        <v>118841</v>
      </c>
      <c r="L193" s="494">
        <v>0</v>
      </c>
      <c r="M193" s="494">
        <v>3734340</v>
      </c>
      <c r="N193" s="494">
        <v>1021175</v>
      </c>
      <c r="O193" s="545">
        <v>21.473489201485013</v>
      </c>
      <c r="P193" s="545">
        <v>43.022512302207033</v>
      </c>
      <c r="Q193" s="545">
        <v>53.267805050534811</v>
      </c>
      <c r="R193" s="494"/>
      <c r="S193" s="353"/>
    </row>
    <row r="194" spans="1:19" x14ac:dyDescent="0.2">
      <c r="A194" s="38"/>
      <c r="B194" s="38"/>
      <c r="C194" s="38">
        <v>206</v>
      </c>
      <c r="D194" s="47" t="s">
        <v>211</v>
      </c>
      <c r="E194" s="494">
        <v>24392</v>
      </c>
      <c r="F194" s="494">
        <v>0</v>
      </c>
      <c r="G194" s="494">
        <v>1516143</v>
      </c>
      <c r="H194" s="494">
        <v>1516143</v>
      </c>
      <c r="I194" s="494">
        <v>1069178</v>
      </c>
      <c r="J194" s="494">
        <v>1427451</v>
      </c>
      <c r="K194" s="494">
        <v>599</v>
      </c>
      <c r="L194" s="494">
        <v>323</v>
      </c>
      <c r="M194" s="494">
        <v>1428373</v>
      </c>
      <c r="N194" s="494">
        <v>87770</v>
      </c>
      <c r="O194" s="545">
        <v>5.78903177338813</v>
      </c>
      <c r="P194" s="545">
        <v>43.83314201377501</v>
      </c>
      <c r="Q194" s="545">
        <v>58.521277468022305</v>
      </c>
      <c r="R194" s="494"/>
      <c r="S194" s="353"/>
    </row>
    <row r="195" spans="1:19" x14ac:dyDescent="0.2">
      <c r="A195" s="38"/>
      <c r="B195" s="38"/>
      <c r="C195" s="38">
        <v>207</v>
      </c>
      <c r="D195" s="38" t="s">
        <v>244</v>
      </c>
      <c r="E195" s="494">
        <f>+$E$271</f>
        <v>20941</v>
      </c>
      <c r="F195" s="494">
        <f>G$271</f>
        <v>1761984</v>
      </c>
      <c r="G195" s="494">
        <f>G$271</f>
        <v>1761984</v>
      </c>
      <c r="H195" s="494">
        <f t="shared" ref="H195:N195" si="19">H$271</f>
        <v>1761984</v>
      </c>
      <c r="I195" s="494">
        <f t="shared" si="19"/>
        <v>957267</v>
      </c>
      <c r="J195" s="494">
        <f t="shared" si="19"/>
        <v>1253236</v>
      </c>
      <c r="K195" s="494">
        <f>K$271</f>
        <v>324171</v>
      </c>
      <c r="L195" s="494">
        <f t="shared" si="19"/>
        <v>0</v>
      </c>
      <c r="M195" s="494">
        <f t="shared" si="19"/>
        <v>1577407</v>
      </c>
      <c r="N195" s="494">
        <f t="shared" si="19"/>
        <v>184577</v>
      </c>
      <c r="O195" s="545"/>
      <c r="P195" s="545"/>
      <c r="Q195" s="545"/>
      <c r="R195" s="494"/>
      <c r="S195" s="353"/>
    </row>
    <row r="196" spans="1:19" x14ac:dyDescent="0.2">
      <c r="A196" s="38"/>
      <c r="B196" s="38"/>
      <c r="C196" s="38">
        <v>208</v>
      </c>
      <c r="D196" s="47" t="s">
        <v>79</v>
      </c>
      <c r="E196" s="494">
        <v>6962</v>
      </c>
      <c r="F196" s="494">
        <v>0</v>
      </c>
      <c r="G196" s="494">
        <v>389599</v>
      </c>
      <c r="H196" s="494">
        <v>389599</v>
      </c>
      <c r="I196" s="494">
        <v>303263</v>
      </c>
      <c r="J196" s="494">
        <v>335472</v>
      </c>
      <c r="K196" s="494">
        <v>0</v>
      </c>
      <c r="L196" s="494">
        <v>0</v>
      </c>
      <c r="M196" s="494">
        <v>335472</v>
      </c>
      <c r="N196" s="494">
        <v>54127</v>
      </c>
      <c r="O196" s="545">
        <v>13.893002805448679</v>
      </c>
      <c r="P196" s="545">
        <v>43.559752944556159</v>
      </c>
      <c r="Q196" s="545">
        <v>48.186153404194194</v>
      </c>
      <c r="R196" s="494"/>
      <c r="S196" s="353"/>
    </row>
    <row r="197" spans="1:19" x14ac:dyDescent="0.2">
      <c r="A197" s="38">
        <v>50</v>
      </c>
      <c r="B197" s="38" t="s">
        <v>458</v>
      </c>
      <c r="C197" s="38">
        <v>209</v>
      </c>
      <c r="D197" s="38" t="s">
        <v>535</v>
      </c>
      <c r="E197" s="494">
        <f>SUM(E193:E196)</f>
        <v>120169</v>
      </c>
      <c r="F197" s="494">
        <f t="shared" ref="F197:L197" si="20">SUM(F193:F196)</f>
        <v>1761984</v>
      </c>
      <c r="G197" s="494">
        <f t="shared" si="20"/>
        <v>8423241</v>
      </c>
      <c r="H197" s="494">
        <f t="shared" si="20"/>
        <v>8423241</v>
      </c>
      <c r="I197" s="494">
        <f t="shared" si="20"/>
        <v>5249818</v>
      </c>
      <c r="J197" s="494">
        <f t="shared" si="20"/>
        <v>6631658</v>
      </c>
      <c r="K197" s="494">
        <f t="shared" si="20"/>
        <v>443611</v>
      </c>
      <c r="L197" s="494">
        <f t="shared" si="20"/>
        <v>323</v>
      </c>
      <c r="M197" s="494">
        <f>SUM(M193:M196)</f>
        <v>7075592</v>
      </c>
      <c r="N197" s="494">
        <f>SUM(N193:N196)</f>
        <v>1347649</v>
      </c>
      <c r="O197" s="545">
        <v>21.473489201485013</v>
      </c>
      <c r="P197" s="545">
        <v>43.022512302207033</v>
      </c>
      <c r="Q197" s="545">
        <v>53.267805050534811</v>
      </c>
      <c r="R197" s="494"/>
      <c r="S197" s="353"/>
    </row>
    <row r="198" spans="1:19" x14ac:dyDescent="0.2">
      <c r="A198" s="38"/>
      <c r="B198" s="38"/>
      <c r="C198" s="38">
        <v>210</v>
      </c>
      <c r="D198" s="47" t="s">
        <v>75</v>
      </c>
      <c r="E198" s="494">
        <v>37634</v>
      </c>
      <c r="F198" s="494">
        <v>0</v>
      </c>
      <c r="G198" s="494">
        <v>2889484</v>
      </c>
      <c r="H198" s="494">
        <v>2889484</v>
      </c>
      <c r="I198" s="494">
        <v>1920177</v>
      </c>
      <c r="J198" s="494">
        <v>2559432</v>
      </c>
      <c r="K198" s="494">
        <v>117108</v>
      </c>
      <c r="L198" s="494">
        <v>5767</v>
      </c>
      <c r="M198" s="494">
        <v>2682307</v>
      </c>
      <c r="N198" s="494">
        <v>207177</v>
      </c>
      <c r="O198" s="545">
        <v>7.1700345113521999</v>
      </c>
      <c r="P198" s="545">
        <v>51.022399957485256</v>
      </c>
      <c r="Q198" s="545">
        <v>68.008502949460592</v>
      </c>
      <c r="R198" s="494">
        <v>167488</v>
      </c>
      <c r="S198" s="353"/>
    </row>
    <row r="199" spans="1:19" x14ac:dyDescent="0.2">
      <c r="A199" s="38">
        <v>51</v>
      </c>
      <c r="B199" s="38" t="s">
        <v>275</v>
      </c>
      <c r="C199" s="38">
        <v>212</v>
      </c>
      <c r="D199" s="38" t="s">
        <v>535</v>
      </c>
      <c r="E199" s="494">
        <f t="shared" ref="E199:N199" si="21">SUM(E198:E198)</f>
        <v>37634</v>
      </c>
      <c r="F199" s="494">
        <f t="shared" si="21"/>
        <v>0</v>
      </c>
      <c r="G199" s="494">
        <f t="shared" si="21"/>
        <v>2889484</v>
      </c>
      <c r="H199" s="494">
        <f t="shared" si="21"/>
        <v>2889484</v>
      </c>
      <c r="I199" s="494">
        <f t="shared" si="21"/>
        <v>1920177</v>
      </c>
      <c r="J199" s="494">
        <f t="shared" si="21"/>
        <v>2559432</v>
      </c>
      <c r="K199" s="494">
        <f t="shared" si="21"/>
        <v>117108</v>
      </c>
      <c r="L199" s="494">
        <f t="shared" si="21"/>
        <v>5767</v>
      </c>
      <c r="M199" s="494">
        <f t="shared" si="21"/>
        <v>2682307</v>
      </c>
      <c r="N199" s="494">
        <f t="shared" si="21"/>
        <v>207177</v>
      </c>
      <c r="O199" s="545">
        <v>7.1700345113521999</v>
      </c>
      <c r="P199" s="545">
        <v>51.022399957485256</v>
      </c>
      <c r="Q199" s="545">
        <v>68.008502949460592</v>
      </c>
      <c r="R199" s="546">
        <f>SUM(R198)</f>
        <v>167488</v>
      </c>
      <c r="S199" s="353">
        <v>197818</v>
      </c>
    </row>
    <row r="200" spans="1:19" x14ac:dyDescent="0.2">
      <c r="A200" s="38"/>
      <c r="B200" s="38"/>
      <c r="C200" s="38">
        <v>213</v>
      </c>
      <c r="D200" s="38" t="s">
        <v>122</v>
      </c>
      <c r="E200" s="494">
        <v>23346</v>
      </c>
      <c r="F200" s="494">
        <v>1109300</v>
      </c>
      <c r="G200" s="494">
        <v>1158700</v>
      </c>
      <c r="H200" s="494">
        <v>2268000</v>
      </c>
      <c r="I200" s="494">
        <v>1265147</v>
      </c>
      <c r="J200" s="494">
        <v>1598693</v>
      </c>
      <c r="K200" s="494">
        <v>0</v>
      </c>
      <c r="L200" s="494">
        <v>0</v>
      </c>
      <c r="M200" s="494">
        <v>1598693</v>
      </c>
      <c r="N200" s="494">
        <v>669307</v>
      </c>
      <c r="O200" s="545">
        <v>29.510890652557322</v>
      </c>
      <c r="P200" s="545">
        <v>54.191167651846143</v>
      </c>
      <c r="Q200" s="545">
        <v>68.478240383791658</v>
      </c>
      <c r="R200" s="494"/>
      <c r="S200" s="353"/>
    </row>
    <row r="201" spans="1:19" x14ac:dyDescent="0.2">
      <c r="A201" s="38"/>
      <c r="B201" s="38"/>
      <c r="C201" s="38">
        <v>214</v>
      </c>
      <c r="D201" s="38" t="s">
        <v>314</v>
      </c>
      <c r="E201" s="494">
        <v>8709</v>
      </c>
      <c r="F201" s="494">
        <v>1115152</v>
      </c>
      <c r="G201" s="494">
        <v>0</v>
      </c>
      <c r="H201" s="494">
        <v>1115152</v>
      </c>
      <c r="I201" s="494">
        <v>695275</v>
      </c>
      <c r="J201" s="494">
        <v>855618</v>
      </c>
      <c r="K201" s="494">
        <v>0</v>
      </c>
      <c r="L201" s="494">
        <v>0</v>
      </c>
      <c r="M201" s="494">
        <v>855618</v>
      </c>
      <c r="N201" s="494">
        <v>259534</v>
      </c>
      <c r="O201" s="545">
        <v>23.273419228948161</v>
      </c>
      <c r="P201" s="545">
        <v>79.834079687679406</v>
      </c>
      <c r="Q201" s="545">
        <v>98.245263520496039</v>
      </c>
      <c r="R201" s="494"/>
      <c r="S201" s="353"/>
    </row>
    <row r="202" spans="1:19" x14ac:dyDescent="0.2">
      <c r="A202" s="38"/>
      <c r="B202" s="38"/>
      <c r="C202" s="38">
        <v>215</v>
      </c>
      <c r="D202" s="38" t="s">
        <v>109</v>
      </c>
      <c r="E202" s="494">
        <v>20027</v>
      </c>
      <c r="F202" s="494">
        <v>733328</v>
      </c>
      <c r="G202" s="494">
        <v>1190566</v>
      </c>
      <c r="H202" s="494">
        <v>1923894</v>
      </c>
      <c r="I202" s="494">
        <v>1022101</v>
      </c>
      <c r="J202" s="494">
        <v>1718427</v>
      </c>
      <c r="K202" s="494">
        <v>0</v>
      </c>
      <c r="L202" s="494">
        <v>0</v>
      </c>
      <c r="M202" s="494">
        <v>1718427</v>
      </c>
      <c r="N202" s="494">
        <v>205467</v>
      </c>
      <c r="O202" s="545">
        <v>10.679746389354092</v>
      </c>
      <c r="P202" s="545">
        <v>51.036151195885552</v>
      </c>
      <c r="Q202" s="545">
        <v>85.805512558046644</v>
      </c>
      <c r="R202" s="494"/>
      <c r="S202" s="353"/>
    </row>
    <row r="203" spans="1:19" x14ac:dyDescent="0.2">
      <c r="A203" s="38">
        <v>52</v>
      </c>
      <c r="B203" s="38" t="s">
        <v>661</v>
      </c>
      <c r="C203" s="38">
        <v>216</v>
      </c>
      <c r="D203" s="54" t="s">
        <v>535</v>
      </c>
      <c r="E203" s="494">
        <f t="shared" ref="E203:N203" si="22">SUM(E200:E202)</f>
        <v>52082</v>
      </c>
      <c r="F203" s="494">
        <f t="shared" si="22"/>
        <v>2957780</v>
      </c>
      <c r="G203" s="494">
        <f t="shared" si="22"/>
        <v>2349266</v>
      </c>
      <c r="H203" s="494">
        <f t="shared" si="22"/>
        <v>5307046</v>
      </c>
      <c r="I203" s="494">
        <f t="shared" si="22"/>
        <v>2982523</v>
      </c>
      <c r="J203" s="494">
        <f t="shared" si="22"/>
        <v>4172738</v>
      </c>
      <c r="K203" s="494">
        <f t="shared" si="22"/>
        <v>0</v>
      </c>
      <c r="L203" s="494">
        <f t="shared" si="22"/>
        <v>0</v>
      </c>
      <c r="M203" s="494">
        <f t="shared" si="22"/>
        <v>4172738</v>
      </c>
      <c r="N203" s="494">
        <f t="shared" si="22"/>
        <v>1134308</v>
      </c>
      <c r="O203" s="545">
        <f>AVERAGE(O200:O202)</f>
        <v>21.154685423619856</v>
      </c>
      <c r="P203" s="545">
        <f>AVERAGE(P200:P202)</f>
        <v>61.687132845137036</v>
      </c>
      <c r="Q203" s="545">
        <f>AVERAGE(Q200:Q202)</f>
        <v>84.176338820778113</v>
      </c>
      <c r="R203" s="494"/>
      <c r="S203" s="353"/>
    </row>
    <row r="204" spans="1:19" x14ac:dyDescent="0.2">
      <c r="A204" s="38"/>
      <c r="B204" s="38"/>
      <c r="C204" s="38">
        <v>217</v>
      </c>
      <c r="D204" s="54" t="s">
        <v>495</v>
      </c>
      <c r="E204" s="494">
        <v>9183</v>
      </c>
      <c r="F204" s="494">
        <v>0</v>
      </c>
      <c r="G204" s="494">
        <v>1017579</v>
      </c>
      <c r="H204" s="494">
        <v>1017579</v>
      </c>
      <c r="I204" s="494">
        <v>733387</v>
      </c>
      <c r="J204" s="494">
        <v>827354</v>
      </c>
      <c r="K204" s="494">
        <v>0</v>
      </c>
      <c r="L204" s="494">
        <v>0</v>
      </c>
      <c r="M204" s="494">
        <v>827354</v>
      </c>
      <c r="N204" s="494">
        <v>190225</v>
      </c>
      <c r="O204" s="545">
        <v>18.693880278582792</v>
      </c>
      <c r="P204" s="545">
        <v>79.863552216051403</v>
      </c>
      <c r="Q204" s="545">
        <v>90.096264837199172</v>
      </c>
      <c r="R204" s="494"/>
      <c r="S204" s="353"/>
    </row>
    <row r="205" spans="1:19" x14ac:dyDescent="0.2">
      <c r="A205" s="38">
        <v>53</v>
      </c>
      <c r="B205" s="38" t="s">
        <v>272</v>
      </c>
      <c r="C205" s="38">
        <v>219</v>
      </c>
      <c r="D205" s="54" t="s">
        <v>535</v>
      </c>
      <c r="E205" s="494">
        <f>SUM(E204)</f>
        <v>9183</v>
      </c>
      <c r="F205" s="494">
        <f t="shared" ref="F205:N205" si="23">SUM(F204:F204)</f>
        <v>0</v>
      </c>
      <c r="G205" s="494">
        <f t="shared" si="23"/>
        <v>1017579</v>
      </c>
      <c r="H205" s="494">
        <f t="shared" si="23"/>
        <v>1017579</v>
      </c>
      <c r="I205" s="494">
        <f t="shared" si="23"/>
        <v>733387</v>
      </c>
      <c r="J205" s="494">
        <f t="shared" si="23"/>
        <v>827354</v>
      </c>
      <c r="K205" s="494">
        <f t="shared" si="23"/>
        <v>0</v>
      </c>
      <c r="L205" s="494">
        <f t="shared" si="23"/>
        <v>0</v>
      </c>
      <c r="M205" s="494">
        <f t="shared" si="23"/>
        <v>827354</v>
      </c>
      <c r="N205" s="494">
        <f t="shared" si="23"/>
        <v>190225</v>
      </c>
      <c r="O205" s="494">
        <f>+O204</f>
        <v>18.693880278582792</v>
      </c>
      <c r="P205" s="494">
        <f>+P204</f>
        <v>79.863552216051403</v>
      </c>
      <c r="Q205" s="494">
        <f>+Q204</f>
        <v>90.096264837199172</v>
      </c>
      <c r="R205" s="494"/>
      <c r="S205" s="353"/>
    </row>
    <row r="206" spans="1:19" x14ac:dyDescent="0.2">
      <c r="A206" s="38"/>
      <c r="B206" s="38"/>
      <c r="C206" s="38">
        <v>220</v>
      </c>
      <c r="D206" s="54" t="s">
        <v>248</v>
      </c>
      <c r="E206" s="494">
        <v>148035</v>
      </c>
      <c r="F206" s="494">
        <v>4461050</v>
      </c>
      <c r="G206" s="494">
        <v>7190681</v>
      </c>
      <c r="H206" s="494">
        <v>11651731</v>
      </c>
      <c r="I206" s="494">
        <v>8245186</v>
      </c>
      <c r="J206" s="494">
        <v>10888910</v>
      </c>
      <c r="K206" s="494">
        <v>181988</v>
      </c>
      <c r="L206" s="494">
        <v>118122</v>
      </c>
      <c r="M206" s="494">
        <v>11189020</v>
      </c>
      <c r="N206" s="494">
        <v>462711</v>
      </c>
      <c r="O206" s="545">
        <v>3.9711781880306023</v>
      </c>
      <c r="P206" s="545">
        <v>55.697544499611581</v>
      </c>
      <c r="Q206" s="545">
        <v>73.556321140270882</v>
      </c>
      <c r="R206" s="494"/>
      <c r="S206" s="353"/>
    </row>
    <row r="207" spans="1:19" x14ac:dyDescent="0.2">
      <c r="A207" s="38">
        <v>54</v>
      </c>
      <c r="B207" s="38" t="s">
        <v>281</v>
      </c>
      <c r="C207" s="38">
        <v>221</v>
      </c>
      <c r="D207" s="54" t="s">
        <v>535</v>
      </c>
      <c r="E207" s="494">
        <f>SUM(E206)</f>
        <v>148035</v>
      </c>
      <c r="F207" s="494">
        <f t="shared" ref="F207:Q207" si="24">SUM(F206)</f>
        <v>4461050</v>
      </c>
      <c r="G207" s="494">
        <f t="shared" si="24"/>
        <v>7190681</v>
      </c>
      <c r="H207" s="494">
        <f t="shared" si="24"/>
        <v>11651731</v>
      </c>
      <c r="I207" s="494">
        <f t="shared" si="24"/>
        <v>8245186</v>
      </c>
      <c r="J207" s="494">
        <f t="shared" si="24"/>
        <v>10888910</v>
      </c>
      <c r="K207" s="494">
        <f t="shared" si="24"/>
        <v>181988</v>
      </c>
      <c r="L207" s="494">
        <f t="shared" si="24"/>
        <v>118122</v>
      </c>
      <c r="M207" s="494">
        <f t="shared" si="24"/>
        <v>11189020</v>
      </c>
      <c r="N207" s="494">
        <f t="shared" si="24"/>
        <v>462711</v>
      </c>
      <c r="O207" s="494">
        <f t="shared" si="24"/>
        <v>3.9711781880306023</v>
      </c>
      <c r="P207" s="494">
        <f t="shared" si="24"/>
        <v>55.697544499611581</v>
      </c>
      <c r="Q207" s="494">
        <f t="shared" si="24"/>
        <v>73.556321140270882</v>
      </c>
      <c r="R207" s="494"/>
      <c r="S207" s="353"/>
    </row>
    <row r="208" spans="1:19" x14ac:dyDescent="0.2">
      <c r="A208" s="38"/>
      <c r="B208" s="38"/>
      <c r="C208" s="38">
        <v>222</v>
      </c>
      <c r="D208" s="54" t="s">
        <v>102</v>
      </c>
      <c r="E208" s="494">
        <v>13910</v>
      </c>
      <c r="F208" s="494">
        <v>0</v>
      </c>
      <c r="G208" s="494">
        <v>1069812</v>
      </c>
      <c r="H208" s="494">
        <v>1069812</v>
      </c>
      <c r="I208" s="494">
        <v>827191</v>
      </c>
      <c r="J208" s="494">
        <v>999935</v>
      </c>
      <c r="K208" s="494">
        <v>0</v>
      </c>
      <c r="L208" s="494">
        <v>0</v>
      </c>
      <c r="M208" s="494">
        <v>999935</v>
      </c>
      <c r="N208" s="494">
        <v>69877</v>
      </c>
      <c r="O208" s="545">
        <v>6.5317083749294262</v>
      </c>
      <c r="P208" s="545">
        <v>59.467361610352263</v>
      </c>
      <c r="Q208" s="545">
        <v>71.886053199137308</v>
      </c>
      <c r="R208" s="494"/>
      <c r="S208" s="353"/>
    </row>
    <row r="209" spans="1:19" x14ac:dyDescent="0.2">
      <c r="A209" s="38">
        <v>55</v>
      </c>
      <c r="B209" s="38" t="s">
        <v>681</v>
      </c>
      <c r="C209" s="38">
        <v>223</v>
      </c>
      <c r="D209" s="54" t="s">
        <v>535</v>
      </c>
      <c r="E209" s="494">
        <f>SUM(E208)</f>
        <v>13910</v>
      </c>
      <c r="F209" s="494">
        <f t="shared" ref="F209:Q209" si="25">SUM(F208)</f>
        <v>0</v>
      </c>
      <c r="G209" s="494">
        <f t="shared" si="25"/>
        <v>1069812</v>
      </c>
      <c r="H209" s="494">
        <f t="shared" si="25"/>
        <v>1069812</v>
      </c>
      <c r="I209" s="494">
        <f t="shared" si="25"/>
        <v>827191</v>
      </c>
      <c r="J209" s="494">
        <f t="shared" si="25"/>
        <v>999935</v>
      </c>
      <c r="K209" s="494">
        <f t="shared" si="25"/>
        <v>0</v>
      </c>
      <c r="L209" s="494">
        <f t="shared" si="25"/>
        <v>0</v>
      </c>
      <c r="M209" s="494">
        <f t="shared" si="25"/>
        <v>999935</v>
      </c>
      <c r="N209" s="494">
        <f t="shared" si="25"/>
        <v>69877</v>
      </c>
      <c r="O209" s="494">
        <f t="shared" si="25"/>
        <v>6.5317083749294262</v>
      </c>
      <c r="P209" s="494">
        <f t="shared" si="25"/>
        <v>59.467361610352263</v>
      </c>
      <c r="Q209" s="494">
        <f t="shared" si="25"/>
        <v>71.886053199137308</v>
      </c>
      <c r="R209" s="494"/>
      <c r="S209" s="353"/>
    </row>
    <row r="210" spans="1:19" x14ac:dyDescent="0.2">
      <c r="A210" s="38"/>
      <c r="B210" s="38"/>
      <c r="C210" s="38">
        <v>224</v>
      </c>
      <c r="D210" s="38"/>
      <c r="E210" s="494"/>
      <c r="F210" s="494"/>
      <c r="G210" s="494"/>
      <c r="H210" s="494"/>
      <c r="I210" s="494"/>
      <c r="J210" s="494"/>
      <c r="K210" s="494"/>
      <c r="L210" s="494"/>
      <c r="M210" s="494"/>
      <c r="N210" s="494"/>
      <c r="O210" s="545"/>
      <c r="P210" s="545"/>
      <c r="Q210" s="545"/>
      <c r="R210" s="494">
        <f>+R199+R192+R187+R173+R171+R169+R129+R127+R125+R121+R114+R107+R103+R101+R97+R87+R85+R83+R79+R76+R74+R72+R62+R60+R58+R53+R48+R44+R30+R29+R36</f>
        <v>8705870</v>
      </c>
      <c r="S210" s="353">
        <f>SUM(S4:S209)</f>
        <v>11126854</v>
      </c>
    </row>
    <row r="211" spans="1:19" x14ac:dyDescent="0.2">
      <c r="A211" s="38">
        <v>1</v>
      </c>
      <c r="B211" s="38"/>
      <c r="C211" s="38">
        <v>225</v>
      </c>
      <c r="D211" s="38" t="s">
        <v>622</v>
      </c>
      <c r="E211" s="494">
        <v>35019</v>
      </c>
      <c r="F211" s="494">
        <v>0</v>
      </c>
      <c r="G211" s="494">
        <v>3019251</v>
      </c>
      <c r="H211" s="494">
        <v>3019251</v>
      </c>
      <c r="I211" s="494">
        <v>1728959</v>
      </c>
      <c r="J211" s="494">
        <v>2642277</v>
      </c>
      <c r="K211" s="494">
        <v>0</v>
      </c>
      <c r="L211" s="494">
        <v>94891</v>
      </c>
      <c r="M211" s="494">
        <v>2737168</v>
      </c>
      <c r="N211" s="494">
        <v>282083</v>
      </c>
      <c r="O211" s="545">
        <v>9.3428138303175192</v>
      </c>
      <c r="P211" s="545">
        <v>49.372026614123762</v>
      </c>
      <c r="Q211" s="545">
        <v>75.452668551357831</v>
      </c>
      <c r="R211" s="494">
        <f>+R210+32163</f>
        <v>8738033</v>
      </c>
      <c r="S211" s="548">
        <f>+R210/S210</f>
        <v>0.78241972079439526</v>
      </c>
    </row>
    <row r="212" spans="1:19" x14ac:dyDescent="0.2">
      <c r="A212" s="38">
        <v>2</v>
      </c>
      <c r="B212" s="38"/>
      <c r="C212" s="38">
        <v>226</v>
      </c>
      <c r="D212" s="38" t="s">
        <v>304</v>
      </c>
      <c r="E212" s="494">
        <v>15902</v>
      </c>
      <c r="F212" s="494">
        <v>0</v>
      </c>
      <c r="G212" s="494">
        <v>1541900</v>
      </c>
      <c r="H212" s="494">
        <v>1541900</v>
      </c>
      <c r="I212" s="494">
        <v>830202</v>
      </c>
      <c r="J212" s="494">
        <v>1318197</v>
      </c>
      <c r="K212" s="494">
        <v>33382</v>
      </c>
      <c r="L212" s="494">
        <v>0</v>
      </c>
      <c r="M212" s="494">
        <v>1351579</v>
      </c>
      <c r="N212" s="494">
        <v>190321</v>
      </c>
      <c r="O212" s="545">
        <v>12.343277774174719</v>
      </c>
      <c r="P212" s="545">
        <v>52.207395296189162</v>
      </c>
      <c r="Q212" s="545">
        <v>82.895044648471895</v>
      </c>
      <c r="R212" s="494">
        <f>+R211-R59</f>
        <v>8705870</v>
      </c>
      <c r="S212" s="353"/>
    </row>
    <row r="213" spans="1:19" x14ac:dyDescent="0.2">
      <c r="A213" s="38">
        <v>3</v>
      </c>
      <c r="B213" s="38"/>
      <c r="C213" s="38">
        <v>227</v>
      </c>
      <c r="D213" s="38" t="s">
        <v>623</v>
      </c>
      <c r="E213" s="494">
        <v>3109</v>
      </c>
      <c r="F213" s="494">
        <v>0</v>
      </c>
      <c r="G213" s="494">
        <v>315790</v>
      </c>
      <c r="H213" s="494">
        <v>315790</v>
      </c>
      <c r="I213" s="494">
        <v>213941</v>
      </c>
      <c r="J213" s="494">
        <v>289430</v>
      </c>
      <c r="K213" s="494">
        <v>0</v>
      </c>
      <c r="L213" s="494">
        <v>0</v>
      </c>
      <c r="M213" s="494">
        <v>289430</v>
      </c>
      <c r="N213" s="494">
        <v>26360</v>
      </c>
      <c r="O213" s="545">
        <v>8.3473194211342978</v>
      </c>
      <c r="P213" s="545">
        <v>68.813444837568355</v>
      </c>
      <c r="Q213" s="545">
        <v>93.094242521711166</v>
      </c>
      <c r="R213" s="494"/>
      <c r="S213" s="353"/>
    </row>
    <row r="214" spans="1:19" x14ac:dyDescent="0.2">
      <c r="A214" s="38">
        <v>4</v>
      </c>
      <c r="B214" s="38"/>
      <c r="C214" s="38">
        <v>228</v>
      </c>
      <c r="D214" s="38" t="s">
        <v>306</v>
      </c>
      <c r="E214" s="494">
        <v>7423</v>
      </c>
      <c r="F214" s="494">
        <v>0</v>
      </c>
      <c r="G214" s="494">
        <v>626190</v>
      </c>
      <c r="H214" s="494">
        <v>626190</v>
      </c>
      <c r="I214" s="494">
        <v>448612</v>
      </c>
      <c r="J214" s="494">
        <v>543967</v>
      </c>
      <c r="K214" s="494">
        <v>0</v>
      </c>
      <c r="L214" s="494">
        <v>0</v>
      </c>
      <c r="M214" s="494">
        <v>543967</v>
      </c>
      <c r="N214" s="494">
        <v>82223</v>
      </c>
      <c r="O214" s="545">
        <v>13.130679186828278</v>
      </c>
      <c r="P214" s="545">
        <v>60.435403475683685</v>
      </c>
      <c r="Q214" s="545">
        <v>73.281287888993674</v>
      </c>
      <c r="R214" s="494"/>
      <c r="S214" s="353"/>
    </row>
    <row r="215" spans="1:19" x14ac:dyDescent="0.2">
      <c r="A215" s="38">
        <v>5</v>
      </c>
      <c r="B215" s="38"/>
      <c r="C215" s="38">
        <v>229</v>
      </c>
      <c r="D215" s="38" t="s">
        <v>307</v>
      </c>
      <c r="E215" s="494">
        <v>3746</v>
      </c>
      <c r="F215" s="494">
        <v>0</v>
      </c>
      <c r="G215" s="494">
        <v>343045</v>
      </c>
      <c r="H215" s="494">
        <v>343045</v>
      </c>
      <c r="I215" s="494">
        <v>207631</v>
      </c>
      <c r="J215" s="494">
        <v>313652</v>
      </c>
      <c r="K215" s="494">
        <v>0</v>
      </c>
      <c r="L215" s="494">
        <v>0</v>
      </c>
      <c r="M215" s="494">
        <v>313652</v>
      </c>
      <c r="N215" s="494">
        <v>29393</v>
      </c>
      <c r="O215" s="545">
        <v>8.5682636388811968</v>
      </c>
      <c r="P215" s="545">
        <v>55.42738921516284</v>
      </c>
      <c r="Q215" s="545">
        <v>83.729845168179395</v>
      </c>
      <c r="R215" s="494"/>
      <c r="S215" s="353"/>
    </row>
    <row r="216" spans="1:19" x14ac:dyDescent="0.2">
      <c r="A216" s="38">
        <v>6</v>
      </c>
      <c r="B216" s="38"/>
      <c r="C216" s="38">
        <v>230</v>
      </c>
      <c r="D216" s="38" t="s">
        <v>624</v>
      </c>
      <c r="E216" s="494">
        <v>7685</v>
      </c>
      <c r="F216" s="494">
        <v>0</v>
      </c>
      <c r="G216" s="494">
        <v>573096</v>
      </c>
      <c r="H216" s="494">
        <v>573096</v>
      </c>
      <c r="I216" s="494">
        <v>420578</v>
      </c>
      <c r="J216" s="494">
        <v>532894</v>
      </c>
      <c r="K216" s="494">
        <v>0</v>
      </c>
      <c r="L216" s="494">
        <v>667</v>
      </c>
      <c r="M216" s="494">
        <v>533561</v>
      </c>
      <c r="N216" s="494">
        <v>39535</v>
      </c>
      <c r="O216" s="545">
        <v>6.8984951910325663</v>
      </c>
      <c r="P216" s="545">
        <v>54.727130774235526</v>
      </c>
      <c r="Q216" s="545">
        <v>69.342094990240724</v>
      </c>
      <c r="R216" s="494"/>
      <c r="S216" s="353"/>
    </row>
    <row r="217" spans="1:19" x14ac:dyDescent="0.2">
      <c r="A217" s="38">
        <v>7</v>
      </c>
      <c r="B217" s="38"/>
      <c r="C217" s="38">
        <v>231</v>
      </c>
      <c r="D217" s="38" t="s">
        <v>625</v>
      </c>
      <c r="E217" s="494">
        <v>36176</v>
      </c>
      <c r="F217" s="494">
        <v>0</v>
      </c>
      <c r="G217" s="494">
        <v>2753003</v>
      </c>
      <c r="H217" s="494">
        <v>2753003</v>
      </c>
      <c r="I217" s="494">
        <v>1735756</v>
      </c>
      <c r="J217" s="494">
        <v>2145076</v>
      </c>
      <c r="K217" s="494">
        <v>42072</v>
      </c>
      <c r="L217" s="494">
        <v>21261</v>
      </c>
      <c r="M217" s="494">
        <v>2208409</v>
      </c>
      <c r="N217" s="494">
        <v>544594</v>
      </c>
      <c r="O217" s="545">
        <v>19.781816438267594</v>
      </c>
      <c r="P217" s="545">
        <v>47.980871295886779</v>
      </c>
      <c r="Q217" s="545">
        <v>59.295555064130916</v>
      </c>
      <c r="R217" s="494"/>
      <c r="S217" s="353"/>
    </row>
    <row r="218" spans="1:19" x14ac:dyDescent="0.2">
      <c r="A218" s="38">
        <v>8</v>
      </c>
      <c r="B218" s="38"/>
      <c r="C218" s="38">
        <v>232</v>
      </c>
      <c r="D218" s="38" t="s">
        <v>310</v>
      </c>
      <c r="E218" s="494">
        <v>14510</v>
      </c>
      <c r="F218" s="494">
        <v>0</v>
      </c>
      <c r="G218" s="494">
        <v>1186626</v>
      </c>
      <c r="H218" s="494">
        <v>1186626</v>
      </c>
      <c r="I218" s="494">
        <v>586885</v>
      </c>
      <c r="J218" s="494">
        <v>1102221</v>
      </c>
      <c r="K218" s="494">
        <v>0</v>
      </c>
      <c r="L218" s="494">
        <v>61068</v>
      </c>
      <c r="M218" s="494">
        <v>1163289</v>
      </c>
      <c r="N218" s="494">
        <v>23337</v>
      </c>
      <c r="O218" s="545">
        <v>1.9666685206627867</v>
      </c>
      <c r="P218" s="545">
        <v>40.446933149552031</v>
      </c>
      <c r="Q218" s="545">
        <v>75.962853204686425</v>
      </c>
      <c r="R218" s="494"/>
      <c r="S218" s="353"/>
    </row>
    <row r="219" spans="1:19" x14ac:dyDescent="0.2">
      <c r="A219" s="38">
        <v>9</v>
      </c>
      <c r="B219" s="38"/>
      <c r="C219" s="38">
        <v>233</v>
      </c>
      <c r="D219" s="38" t="s">
        <v>31</v>
      </c>
      <c r="E219" s="494">
        <v>5989</v>
      </c>
      <c r="F219" s="494">
        <v>0</v>
      </c>
      <c r="G219" s="494">
        <v>421635</v>
      </c>
      <c r="H219" s="494">
        <v>421635</v>
      </c>
      <c r="I219" s="494">
        <v>240937</v>
      </c>
      <c r="J219" s="494">
        <v>343274</v>
      </c>
      <c r="K219" s="494">
        <v>0</v>
      </c>
      <c r="L219" s="494">
        <v>8320</v>
      </c>
      <c r="M219" s="494">
        <v>351594</v>
      </c>
      <c r="N219" s="494">
        <v>70041</v>
      </c>
      <c r="O219" s="545">
        <v>16.611761357572309</v>
      </c>
      <c r="P219" s="545">
        <v>40.229921522791784</v>
      </c>
      <c r="Q219" s="545">
        <v>57.317415261312405</v>
      </c>
      <c r="R219" s="494"/>
      <c r="S219" s="353"/>
    </row>
    <row r="220" spans="1:19" x14ac:dyDescent="0.2">
      <c r="A220" s="38">
        <v>10</v>
      </c>
      <c r="B220" s="38"/>
      <c r="C220" s="38">
        <v>234</v>
      </c>
      <c r="D220" s="38" t="s">
        <v>627</v>
      </c>
      <c r="E220" s="494">
        <v>5808</v>
      </c>
      <c r="F220" s="494">
        <v>0</v>
      </c>
      <c r="G220" s="494">
        <v>347662</v>
      </c>
      <c r="H220" s="494">
        <v>347662</v>
      </c>
      <c r="I220" s="494">
        <v>220671</v>
      </c>
      <c r="J220" s="494">
        <v>316433</v>
      </c>
      <c r="K220" s="494">
        <v>0</v>
      </c>
      <c r="L220" s="494">
        <v>0</v>
      </c>
      <c r="M220" s="494">
        <v>316433</v>
      </c>
      <c r="N220" s="494">
        <v>31229</v>
      </c>
      <c r="O220" s="545">
        <v>8.9825750297702935</v>
      </c>
      <c r="P220" s="545">
        <v>37.99431818181818</v>
      </c>
      <c r="Q220" s="545">
        <v>54.482265840220386</v>
      </c>
      <c r="R220" s="494"/>
      <c r="S220" s="353"/>
    </row>
    <row r="221" spans="1:19" x14ac:dyDescent="0.2">
      <c r="A221" s="38">
        <v>11</v>
      </c>
      <c r="B221" s="38"/>
      <c r="C221" s="38">
        <v>235</v>
      </c>
      <c r="D221" s="38" t="s">
        <v>628</v>
      </c>
      <c r="E221" s="494">
        <v>4057</v>
      </c>
      <c r="F221" s="494">
        <v>0</v>
      </c>
      <c r="G221" s="494">
        <v>332086</v>
      </c>
      <c r="H221" s="494">
        <v>332086</v>
      </c>
      <c r="I221" s="494">
        <v>237020</v>
      </c>
      <c r="J221" s="494">
        <v>266983</v>
      </c>
      <c r="K221" s="494">
        <v>0</v>
      </c>
      <c r="L221" s="494">
        <v>0</v>
      </c>
      <c r="M221" s="494">
        <v>266983</v>
      </c>
      <c r="N221" s="494">
        <v>65103</v>
      </c>
      <c r="O221" s="545">
        <v>19.604259137693248</v>
      </c>
      <c r="P221" s="545">
        <v>58.42247966477693</v>
      </c>
      <c r="Q221" s="545">
        <v>65.807986196697073</v>
      </c>
      <c r="R221" s="494"/>
      <c r="S221" s="353"/>
    </row>
    <row r="222" spans="1:19" x14ac:dyDescent="0.2">
      <c r="A222" s="38">
        <v>12</v>
      </c>
      <c r="B222" s="38"/>
      <c r="C222" s="38">
        <v>236</v>
      </c>
      <c r="D222" s="38" t="s">
        <v>629</v>
      </c>
      <c r="E222" s="494">
        <v>6961</v>
      </c>
      <c r="F222" s="494">
        <v>0</v>
      </c>
      <c r="G222" s="494">
        <v>521894</v>
      </c>
      <c r="H222" s="494">
        <v>521894</v>
      </c>
      <c r="I222" s="494">
        <v>385486</v>
      </c>
      <c r="J222" s="494">
        <v>488004</v>
      </c>
      <c r="K222" s="494">
        <v>0</v>
      </c>
      <c r="L222" s="494">
        <v>0</v>
      </c>
      <c r="M222" s="494">
        <v>488004</v>
      </c>
      <c r="N222" s="494">
        <v>33890</v>
      </c>
      <c r="O222" s="545">
        <v>6.4936557998367475</v>
      </c>
      <c r="P222" s="545">
        <v>55.377962936359715</v>
      </c>
      <c r="Q222" s="545">
        <v>70.105444620025864</v>
      </c>
      <c r="R222" s="494"/>
      <c r="S222" s="353"/>
    </row>
    <row r="223" spans="1:19" x14ac:dyDescent="0.2">
      <c r="A223" s="38">
        <v>13</v>
      </c>
      <c r="B223" s="38"/>
      <c r="C223" s="38">
        <v>237</v>
      </c>
      <c r="D223" s="38" t="s">
        <v>126</v>
      </c>
      <c r="E223" s="494">
        <v>16922</v>
      </c>
      <c r="F223" s="494">
        <v>0</v>
      </c>
      <c r="G223" s="494">
        <v>1531000</v>
      </c>
      <c r="H223" s="494">
        <v>1531000</v>
      </c>
      <c r="I223" s="494">
        <v>900824</v>
      </c>
      <c r="J223" s="494">
        <v>1259599</v>
      </c>
      <c r="K223" s="494">
        <v>64498</v>
      </c>
      <c r="L223" s="494">
        <v>0</v>
      </c>
      <c r="M223" s="494">
        <v>1324097</v>
      </c>
      <c r="N223" s="494">
        <v>206903</v>
      </c>
      <c r="O223" s="545">
        <v>13.514239059438276</v>
      </c>
      <c r="P223" s="545">
        <v>53.233896702517434</v>
      </c>
      <c r="Q223" s="545">
        <v>74.435586810069736</v>
      </c>
      <c r="R223" s="494"/>
      <c r="S223" s="353"/>
    </row>
    <row r="224" spans="1:19" x14ac:dyDescent="0.2">
      <c r="A224" s="38">
        <v>14</v>
      </c>
      <c r="B224" s="38"/>
      <c r="C224" s="38">
        <v>238</v>
      </c>
      <c r="D224" s="38" t="s">
        <v>312</v>
      </c>
      <c r="E224" s="494">
        <v>39710</v>
      </c>
      <c r="F224" s="494">
        <v>0</v>
      </c>
      <c r="G224" s="494">
        <v>2063600</v>
      </c>
      <c r="H224" s="494">
        <v>2063600</v>
      </c>
      <c r="I224" s="494">
        <v>1356955</v>
      </c>
      <c r="J224" s="494">
        <v>1847785</v>
      </c>
      <c r="K224" s="494">
        <v>0</v>
      </c>
      <c r="L224" s="494">
        <v>0</v>
      </c>
      <c r="M224" s="494">
        <v>1847785</v>
      </c>
      <c r="N224" s="494">
        <v>215815</v>
      </c>
      <c r="O224" s="545">
        <v>10.458179879821671</v>
      </c>
      <c r="P224" s="545">
        <v>34.171619239486276</v>
      </c>
      <c r="Q224" s="545">
        <v>46.531981868546964</v>
      </c>
      <c r="R224" s="494"/>
      <c r="S224" s="353"/>
    </row>
    <row r="225" spans="1:19" x14ac:dyDescent="0.2">
      <c r="A225" s="38">
        <v>15</v>
      </c>
      <c r="B225" s="38"/>
      <c r="C225" s="38">
        <v>239</v>
      </c>
      <c r="D225" s="38" t="s">
        <v>630</v>
      </c>
      <c r="E225" s="494">
        <v>6962</v>
      </c>
      <c r="F225" s="494">
        <v>0</v>
      </c>
      <c r="G225" s="494">
        <v>389599</v>
      </c>
      <c r="H225" s="494">
        <v>389599</v>
      </c>
      <c r="I225" s="494">
        <v>303263</v>
      </c>
      <c r="J225" s="494">
        <v>335472</v>
      </c>
      <c r="K225" s="494">
        <v>0</v>
      </c>
      <c r="L225" s="494">
        <v>0</v>
      </c>
      <c r="M225" s="494">
        <v>335472</v>
      </c>
      <c r="N225" s="494">
        <v>54127</v>
      </c>
      <c r="O225" s="545">
        <v>13.893002805448679</v>
      </c>
      <c r="P225" s="545">
        <v>43.559752944556159</v>
      </c>
      <c r="Q225" s="545">
        <v>48.186153404194194</v>
      </c>
      <c r="R225" s="494"/>
      <c r="S225" s="353"/>
    </row>
    <row r="226" spans="1:19" x14ac:dyDescent="0.2">
      <c r="A226" s="38">
        <v>16</v>
      </c>
      <c r="B226" s="38"/>
      <c r="C226" s="38">
        <v>240</v>
      </c>
      <c r="D226" s="38" t="s">
        <v>631</v>
      </c>
      <c r="E226" s="494">
        <v>13567</v>
      </c>
      <c r="F226" s="494">
        <v>711600</v>
      </c>
      <c r="G226" s="494">
        <v>1195800</v>
      </c>
      <c r="H226" s="494">
        <v>1907400</v>
      </c>
      <c r="I226" s="494">
        <v>782766</v>
      </c>
      <c r="J226" s="494">
        <v>1066817</v>
      </c>
      <c r="K226" s="494">
        <v>61930</v>
      </c>
      <c r="L226" s="494">
        <v>581677</v>
      </c>
      <c r="M226" s="494">
        <v>1710424</v>
      </c>
      <c r="N226" s="494">
        <v>196976</v>
      </c>
      <c r="O226" s="545">
        <v>10.326937191989096</v>
      </c>
      <c r="P226" s="545">
        <v>57.69632195769146</v>
      </c>
      <c r="Q226" s="545">
        <v>78.633227684823467</v>
      </c>
      <c r="R226" s="494"/>
      <c r="S226" s="353"/>
    </row>
    <row r="227" spans="1:19" x14ac:dyDescent="0.2">
      <c r="A227" s="38">
        <v>17</v>
      </c>
      <c r="B227" s="38"/>
      <c r="C227" s="38">
        <v>241</v>
      </c>
      <c r="D227" s="38" t="s">
        <v>314</v>
      </c>
      <c r="E227" s="494">
        <v>8709</v>
      </c>
      <c r="F227" s="494">
        <v>1115152</v>
      </c>
      <c r="G227" s="494">
        <v>0</v>
      </c>
      <c r="H227" s="494">
        <v>1115152</v>
      </c>
      <c r="I227" s="494">
        <v>695275</v>
      </c>
      <c r="J227" s="494">
        <v>855618</v>
      </c>
      <c r="K227" s="494">
        <v>0</v>
      </c>
      <c r="L227" s="494">
        <v>0</v>
      </c>
      <c r="M227" s="494">
        <v>855618</v>
      </c>
      <c r="N227" s="494">
        <v>259534</v>
      </c>
      <c r="O227" s="545">
        <v>23.273419228948161</v>
      </c>
      <c r="P227" s="545">
        <v>79.834079687679406</v>
      </c>
      <c r="Q227" s="545">
        <v>98.245263520496039</v>
      </c>
      <c r="R227" s="494"/>
      <c r="S227" s="353"/>
    </row>
    <row r="228" spans="1:19" x14ac:dyDescent="0.2">
      <c r="A228" s="38">
        <v>18</v>
      </c>
      <c r="B228" s="38"/>
      <c r="C228" s="38">
        <v>242</v>
      </c>
      <c r="D228" s="38" t="s">
        <v>315</v>
      </c>
      <c r="E228" s="494">
        <v>12632</v>
      </c>
      <c r="F228" s="494">
        <v>0</v>
      </c>
      <c r="G228" s="494">
        <v>1033900</v>
      </c>
      <c r="H228" s="494">
        <v>1033900</v>
      </c>
      <c r="I228" s="494">
        <v>622922</v>
      </c>
      <c r="J228" s="494">
        <v>759147</v>
      </c>
      <c r="K228" s="494">
        <v>0</v>
      </c>
      <c r="L228" s="494">
        <v>0</v>
      </c>
      <c r="M228" s="494">
        <v>759147</v>
      </c>
      <c r="N228" s="494">
        <v>274753</v>
      </c>
      <c r="O228" s="545">
        <v>26.574426927168972</v>
      </c>
      <c r="P228" s="545">
        <v>49.313014566181124</v>
      </c>
      <c r="Q228" s="545">
        <v>60.097134262191261</v>
      </c>
      <c r="R228" s="494"/>
      <c r="S228" s="353"/>
    </row>
    <row r="229" spans="1:19" x14ac:dyDescent="0.2">
      <c r="A229" s="38">
        <v>19</v>
      </c>
      <c r="B229" s="38"/>
      <c r="C229" s="38">
        <v>243</v>
      </c>
      <c r="D229" s="38" t="s">
        <v>632</v>
      </c>
      <c r="E229" s="494">
        <v>23050</v>
      </c>
      <c r="F229" s="494">
        <v>0</v>
      </c>
      <c r="G229" s="494">
        <v>1533463</v>
      </c>
      <c r="H229" s="494">
        <v>1533463</v>
      </c>
      <c r="I229" s="494">
        <v>1192043</v>
      </c>
      <c r="J229" s="494">
        <v>1465319</v>
      </c>
      <c r="K229" s="494">
        <v>0</v>
      </c>
      <c r="L229" s="494">
        <v>0</v>
      </c>
      <c r="M229" s="494">
        <v>1465319</v>
      </c>
      <c r="N229" s="494">
        <v>68144</v>
      </c>
      <c r="O229" s="545">
        <v>4.4437981222892242</v>
      </c>
      <c r="P229" s="545">
        <v>51.715531453362253</v>
      </c>
      <c r="Q229" s="545">
        <v>63.571323210412146</v>
      </c>
      <c r="R229" s="494"/>
      <c r="S229" s="353"/>
    </row>
    <row r="230" spans="1:19" x14ac:dyDescent="0.2">
      <c r="A230" s="38">
        <v>20</v>
      </c>
      <c r="B230" s="38"/>
      <c r="C230" s="38">
        <v>244</v>
      </c>
      <c r="D230" s="38" t="s">
        <v>633</v>
      </c>
      <c r="E230" s="494">
        <v>24392</v>
      </c>
      <c r="F230" s="494">
        <v>0</v>
      </c>
      <c r="G230" s="494">
        <v>1516143</v>
      </c>
      <c r="H230" s="494">
        <v>1516143</v>
      </c>
      <c r="I230" s="494">
        <v>1069178</v>
      </c>
      <c r="J230" s="494">
        <v>1427451</v>
      </c>
      <c r="K230" s="494">
        <v>599</v>
      </c>
      <c r="L230" s="494">
        <v>323</v>
      </c>
      <c r="M230" s="494">
        <v>1428373</v>
      </c>
      <c r="N230" s="494">
        <v>87770</v>
      </c>
      <c r="O230" s="545">
        <v>5.78903177338813</v>
      </c>
      <c r="P230" s="545">
        <v>43.83314201377501</v>
      </c>
      <c r="Q230" s="545">
        <v>58.521277468022305</v>
      </c>
      <c r="R230" s="494"/>
      <c r="S230" s="353"/>
    </row>
    <row r="231" spans="1:19" x14ac:dyDescent="0.2">
      <c r="A231" s="38">
        <v>21</v>
      </c>
      <c r="B231" s="38"/>
      <c r="C231" s="38">
        <v>245</v>
      </c>
      <c r="D231" s="38" t="s">
        <v>634</v>
      </c>
      <c r="E231" s="494">
        <v>12946</v>
      </c>
      <c r="F231" s="494">
        <v>0</v>
      </c>
      <c r="G231" s="494">
        <v>864100</v>
      </c>
      <c r="H231" s="494">
        <v>864100</v>
      </c>
      <c r="I231" s="494">
        <v>700000</v>
      </c>
      <c r="J231" s="494">
        <v>782054</v>
      </c>
      <c r="K231" s="494">
        <v>0</v>
      </c>
      <c r="L231" s="494">
        <v>0</v>
      </c>
      <c r="M231" s="494">
        <v>782054</v>
      </c>
      <c r="N231" s="494">
        <v>82046</v>
      </c>
      <c r="O231" s="545">
        <v>9.4949658604328206</v>
      </c>
      <c r="P231" s="545">
        <v>54.070755445697515</v>
      </c>
      <c r="Q231" s="545">
        <v>60.408929399042172</v>
      </c>
      <c r="R231" s="494"/>
      <c r="S231" s="353"/>
    </row>
    <row r="232" spans="1:19" x14ac:dyDescent="0.2">
      <c r="A232" s="38">
        <v>22</v>
      </c>
      <c r="B232" s="38"/>
      <c r="C232" s="38">
        <v>246</v>
      </c>
      <c r="D232" s="38" t="s">
        <v>635</v>
      </c>
      <c r="E232" s="494">
        <v>13910</v>
      </c>
      <c r="F232" s="494">
        <v>0</v>
      </c>
      <c r="G232" s="494">
        <v>1069812</v>
      </c>
      <c r="H232" s="494">
        <v>1069812</v>
      </c>
      <c r="I232" s="494">
        <v>827191</v>
      </c>
      <c r="J232" s="494">
        <v>999935</v>
      </c>
      <c r="K232" s="494">
        <v>0</v>
      </c>
      <c r="L232" s="494">
        <v>0</v>
      </c>
      <c r="M232" s="494">
        <v>999935</v>
      </c>
      <c r="N232" s="494">
        <v>69877</v>
      </c>
      <c r="O232" s="545">
        <v>6.5317083749294262</v>
      </c>
      <c r="P232" s="545">
        <v>59.467361610352263</v>
      </c>
      <c r="Q232" s="545">
        <v>71.886053199137308</v>
      </c>
      <c r="R232" s="494"/>
      <c r="S232" s="353"/>
    </row>
    <row r="233" spans="1:19" x14ac:dyDescent="0.2">
      <c r="A233" s="38">
        <v>23</v>
      </c>
      <c r="B233" s="38"/>
      <c r="C233" s="38">
        <v>247</v>
      </c>
      <c r="D233" s="38" t="s">
        <v>636</v>
      </c>
      <c r="E233" s="494">
        <v>15847</v>
      </c>
      <c r="F233" s="494">
        <v>0</v>
      </c>
      <c r="G233" s="494">
        <v>1765300</v>
      </c>
      <c r="H233" s="494">
        <v>1765300</v>
      </c>
      <c r="I233" s="494">
        <v>957764</v>
      </c>
      <c r="J233" s="494">
        <v>1121681</v>
      </c>
      <c r="K233" s="494">
        <v>16606</v>
      </c>
      <c r="L233" s="494">
        <v>11764</v>
      </c>
      <c r="M233" s="494">
        <v>1150051</v>
      </c>
      <c r="N233" s="494">
        <v>615249</v>
      </c>
      <c r="O233" s="545">
        <v>34.85237636662324</v>
      </c>
      <c r="P233" s="545">
        <v>60.438190193727522</v>
      </c>
      <c r="Q233" s="545">
        <v>70.781914557960491</v>
      </c>
      <c r="R233" s="494"/>
      <c r="S233" s="353"/>
    </row>
    <row r="234" spans="1:19" x14ac:dyDescent="0.2">
      <c r="A234" s="38">
        <v>24</v>
      </c>
      <c r="B234" s="38"/>
      <c r="C234" s="38">
        <v>248</v>
      </c>
      <c r="D234" s="38" t="s">
        <v>212</v>
      </c>
      <c r="E234" s="494">
        <v>3622</v>
      </c>
      <c r="F234" s="494">
        <v>0</v>
      </c>
      <c r="G234" s="494">
        <v>299338</v>
      </c>
      <c r="H234" s="494">
        <v>299338</v>
      </c>
      <c r="I234" s="494">
        <v>258624</v>
      </c>
      <c r="J234" s="494">
        <v>282574</v>
      </c>
      <c r="K234" s="494">
        <v>0</v>
      </c>
      <c r="L234" s="494">
        <v>0</v>
      </c>
      <c r="M234" s="494">
        <v>282574</v>
      </c>
      <c r="N234" s="494">
        <v>16764</v>
      </c>
      <c r="O234" s="545">
        <v>5.600358123592728</v>
      </c>
      <c r="P234" s="545">
        <v>71.403644395361681</v>
      </c>
      <c r="Q234" s="545">
        <v>78.016013252346767</v>
      </c>
      <c r="R234" s="494"/>
      <c r="S234" s="353"/>
    </row>
    <row r="235" spans="1:19" x14ac:dyDescent="0.2">
      <c r="A235" s="38">
        <v>25</v>
      </c>
      <c r="B235" s="38"/>
      <c r="C235" s="38">
        <v>249</v>
      </c>
      <c r="D235" s="38" t="s">
        <v>120</v>
      </c>
      <c r="E235" s="494">
        <v>20242</v>
      </c>
      <c r="F235" s="494">
        <v>0</v>
      </c>
      <c r="G235" s="494">
        <v>1962109</v>
      </c>
      <c r="H235" s="494">
        <v>1962109</v>
      </c>
      <c r="I235" s="494">
        <v>1246441</v>
      </c>
      <c r="J235" s="494">
        <v>1724877</v>
      </c>
      <c r="K235" s="494">
        <v>51870</v>
      </c>
      <c r="L235" s="494">
        <v>12265</v>
      </c>
      <c r="M235" s="494">
        <v>1789012</v>
      </c>
      <c r="N235" s="494">
        <v>173097</v>
      </c>
      <c r="O235" s="545">
        <v>8.8219869538338589</v>
      </c>
      <c r="P235" s="545">
        <v>61.576968678984294</v>
      </c>
      <c r="Q235" s="545">
        <v>85.212775417448867</v>
      </c>
      <c r="R235" s="494"/>
      <c r="S235" s="353"/>
    </row>
    <row r="236" spans="1:19" x14ac:dyDescent="0.2">
      <c r="A236" s="38">
        <v>26</v>
      </c>
      <c r="B236" s="38"/>
      <c r="C236" s="38">
        <v>250</v>
      </c>
      <c r="D236" s="47" t="s">
        <v>214</v>
      </c>
      <c r="E236" s="494">
        <v>5883</v>
      </c>
      <c r="F236" s="494">
        <v>0</v>
      </c>
      <c r="G236" s="494">
        <v>265706</v>
      </c>
      <c r="H236" s="494">
        <v>265706</v>
      </c>
      <c r="I236" s="494">
        <v>203105</v>
      </c>
      <c r="J236" s="494">
        <v>254127</v>
      </c>
      <c r="K236" s="494">
        <v>0</v>
      </c>
      <c r="L236" s="494">
        <v>0</v>
      </c>
      <c r="M236" s="494">
        <v>254127</v>
      </c>
      <c r="N236" s="494">
        <v>11579</v>
      </c>
      <c r="O236" s="545">
        <v>4.357824061180402</v>
      </c>
      <c r="P236" s="545">
        <v>34.524052354241036</v>
      </c>
      <c r="Q236" s="545">
        <v>43.196838347781743</v>
      </c>
      <c r="R236" s="494"/>
      <c r="S236" s="353"/>
    </row>
    <row r="237" spans="1:19" x14ac:dyDescent="0.2">
      <c r="A237" s="38">
        <v>27</v>
      </c>
      <c r="B237" s="38"/>
      <c r="C237" s="38">
        <v>251</v>
      </c>
      <c r="D237" s="38" t="s">
        <v>215</v>
      </c>
      <c r="E237" s="494">
        <v>38188</v>
      </c>
      <c r="F237" s="494">
        <v>3380600</v>
      </c>
      <c r="G237" s="494">
        <v>0</v>
      </c>
      <c r="H237" s="494">
        <v>3380600</v>
      </c>
      <c r="I237" s="494">
        <v>1610051</v>
      </c>
      <c r="J237" s="494">
        <v>2077709</v>
      </c>
      <c r="K237" s="494">
        <v>0</v>
      </c>
      <c r="L237" s="494">
        <v>0</v>
      </c>
      <c r="M237" s="494">
        <v>2077709</v>
      </c>
      <c r="N237" s="494">
        <v>1302891</v>
      </c>
      <c r="O237" s="545">
        <v>38.540229545051176</v>
      </c>
      <c r="P237" s="545">
        <v>42.161176285744212</v>
      </c>
      <c r="Q237" s="545">
        <v>54.407379281449671</v>
      </c>
      <c r="R237" s="494"/>
      <c r="S237" s="353"/>
    </row>
    <row r="238" spans="1:19" x14ac:dyDescent="0.2">
      <c r="A238" s="38">
        <v>28</v>
      </c>
      <c r="B238" s="38"/>
      <c r="C238" s="38">
        <v>252</v>
      </c>
      <c r="D238" s="38" t="s">
        <v>781</v>
      </c>
      <c r="E238" s="494">
        <v>23346</v>
      </c>
      <c r="F238" s="494">
        <v>1109300</v>
      </c>
      <c r="G238" s="494">
        <v>1158700</v>
      </c>
      <c r="H238" s="494">
        <v>2268000</v>
      </c>
      <c r="I238" s="494">
        <v>1265147</v>
      </c>
      <c r="J238" s="494">
        <v>1598693</v>
      </c>
      <c r="K238" s="494">
        <v>0</v>
      </c>
      <c r="L238" s="494">
        <v>0</v>
      </c>
      <c r="M238" s="494">
        <v>1598693</v>
      </c>
      <c r="N238" s="494">
        <v>669307</v>
      </c>
      <c r="O238" s="545">
        <v>29.510890652557322</v>
      </c>
      <c r="P238" s="545">
        <v>54.191167651846143</v>
      </c>
      <c r="Q238" s="545">
        <v>68.478240383791658</v>
      </c>
      <c r="R238" s="494"/>
      <c r="S238" s="353"/>
    </row>
    <row r="239" spans="1:19" x14ac:dyDescent="0.2">
      <c r="A239" s="38">
        <v>29</v>
      </c>
      <c r="B239" s="38"/>
      <c r="C239" s="38">
        <v>253</v>
      </c>
      <c r="D239" s="38" t="s">
        <v>319</v>
      </c>
      <c r="E239" s="494">
        <v>18323</v>
      </c>
      <c r="F239" s="494">
        <v>0</v>
      </c>
      <c r="G239" s="494">
        <v>1644000</v>
      </c>
      <c r="H239" s="494">
        <v>1644000</v>
      </c>
      <c r="I239" s="494">
        <v>935505</v>
      </c>
      <c r="J239" s="494">
        <v>1424844</v>
      </c>
      <c r="K239" s="494">
        <v>94769</v>
      </c>
      <c r="L239" s="494">
        <v>0</v>
      </c>
      <c r="M239" s="494">
        <v>1519613</v>
      </c>
      <c r="N239" s="494">
        <v>124387</v>
      </c>
      <c r="O239" s="545">
        <v>7.5661192214111921</v>
      </c>
      <c r="P239" s="545">
        <v>51.056322654587134</v>
      </c>
      <c r="Q239" s="545">
        <v>77.762593461769356</v>
      </c>
      <c r="R239" s="494"/>
      <c r="S239" s="353"/>
    </row>
    <row r="240" spans="1:19" x14ac:dyDescent="0.2">
      <c r="A240" s="38">
        <v>30</v>
      </c>
      <c r="B240" s="38"/>
      <c r="C240" s="38">
        <v>254</v>
      </c>
      <c r="D240" s="38" t="s">
        <v>638</v>
      </c>
      <c r="E240" s="494">
        <v>27604</v>
      </c>
      <c r="F240" s="494">
        <v>0</v>
      </c>
      <c r="G240" s="494">
        <v>2384380</v>
      </c>
      <c r="H240" s="494">
        <v>2384380</v>
      </c>
      <c r="I240" s="494">
        <v>1563555</v>
      </c>
      <c r="J240" s="494">
        <v>1933367</v>
      </c>
      <c r="K240" s="494">
        <v>45830</v>
      </c>
      <c r="L240" s="494">
        <v>43195</v>
      </c>
      <c r="M240" s="494">
        <v>2022392</v>
      </c>
      <c r="N240" s="494">
        <v>361988</v>
      </c>
      <c r="O240" s="545">
        <v>15.181640510321342</v>
      </c>
      <c r="P240" s="545">
        <v>56.642334444283435</v>
      </c>
      <c r="Q240" s="545">
        <v>70.039378350963631</v>
      </c>
      <c r="R240" s="494"/>
      <c r="S240" s="353"/>
    </row>
    <row r="241" spans="1:19" x14ac:dyDescent="0.2">
      <c r="A241" s="38">
        <v>31</v>
      </c>
      <c r="B241" s="38"/>
      <c r="C241" s="38">
        <v>255</v>
      </c>
      <c r="D241" s="38" t="s">
        <v>495</v>
      </c>
      <c r="E241" s="494">
        <v>9183</v>
      </c>
      <c r="F241" s="494">
        <v>0</v>
      </c>
      <c r="G241" s="494">
        <v>1017579</v>
      </c>
      <c r="H241" s="494">
        <v>1017579</v>
      </c>
      <c r="I241" s="494">
        <v>733387</v>
      </c>
      <c r="J241" s="494">
        <v>827354</v>
      </c>
      <c r="K241" s="494">
        <v>0</v>
      </c>
      <c r="L241" s="494">
        <v>0</v>
      </c>
      <c r="M241" s="494">
        <v>827354</v>
      </c>
      <c r="N241" s="494">
        <v>190225</v>
      </c>
      <c r="O241" s="545">
        <v>18.693880278582792</v>
      </c>
      <c r="P241" s="545">
        <v>79.863552216051403</v>
      </c>
      <c r="Q241" s="545">
        <v>90.096264837199172</v>
      </c>
      <c r="R241" s="494"/>
      <c r="S241" s="353"/>
    </row>
    <row r="242" spans="1:19" x14ac:dyDescent="0.2">
      <c r="A242" s="38">
        <v>32</v>
      </c>
      <c r="B242" s="38"/>
      <c r="C242" s="38">
        <v>256</v>
      </c>
      <c r="D242" s="38" t="s">
        <v>87</v>
      </c>
      <c r="E242" s="494">
        <v>87335</v>
      </c>
      <c r="F242" s="494">
        <v>7334021</v>
      </c>
      <c r="G242" s="494">
        <v>413568</v>
      </c>
      <c r="H242" s="494">
        <v>7747589</v>
      </c>
      <c r="I242" s="494">
        <v>4633803</v>
      </c>
      <c r="J242" s="494">
        <v>6548403</v>
      </c>
      <c r="K242" s="494">
        <v>237968</v>
      </c>
      <c r="L242" s="494">
        <v>697537</v>
      </c>
      <c r="M242" s="494">
        <v>7483908</v>
      </c>
      <c r="N242" s="494">
        <v>263681</v>
      </c>
      <c r="O242" s="545">
        <v>3.4033942688493157</v>
      </c>
      <c r="P242" s="545">
        <v>53.05780042365604</v>
      </c>
      <c r="Q242" s="545">
        <v>74.980282819030165</v>
      </c>
      <c r="R242" s="494"/>
      <c r="S242" s="353"/>
    </row>
    <row r="243" spans="1:19" x14ac:dyDescent="0.2">
      <c r="A243" s="38">
        <v>33</v>
      </c>
      <c r="B243" s="38"/>
      <c r="C243" s="38">
        <v>257</v>
      </c>
      <c r="D243" s="38" t="s">
        <v>782</v>
      </c>
      <c r="E243" s="494">
        <v>20027</v>
      </c>
      <c r="F243" s="494">
        <v>733328</v>
      </c>
      <c r="G243" s="494">
        <v>1190566</v>
      </c>
      <c r="H243" s="494">
        <v>1923894</v>
      </c>
      <c r="I243" s="494">
        <v>1022101</v>
      </c>
      <c r="J243" s="494">
        <v>1718427</v>
      </c>
      <c r="K243" s="494">
        <v>0</v>
      </c>
      <c r="L243" s="494">
        <v>0</v>
      </c>
      <c r="M243" s="494">
        <v>1718427</v>
      </c>
      <c r="N243" s="494">
        <v>205467</v>
      </c>
      <c r="O243" s="545">
        <v>10.679746389354092</v>
      </c>
      <c r="P243" s="545">
        <v>51.036151195885552</v>
      </c>
      <c r="Q243" s="545">
        <v>85.805512558046644</v>
      </c>
      <c r="R243" s="494"/>
      <c r="S243" s="353"/>
    </row>
    <row r="244" spans="1:19" x14ac:dyDescent="0.2">
      <c r="A244" s="38">
        <v>34</v>
      </c>
      <c r="B244" s="38"/>
      <c r="C244" s="38">
        <v>258</v>
      </c>
      <c r="D244" s="38" t="s">
        <v>643</v>
      </c>
      <c r="E244" s="494">
        <v>1759</v>
      </c>
      <c r="F244" s="494">
        <v>632867</v>
      </c>
      <c r="G244" s="494">
        <v>0</v>
      </c>
      <c r="H244" s="494">
        <v>632867</v>
      </c>
      <c r="I244" s="494">
        <v>344464</v>
      </c>
      <c r="J244" s="494">
        <v>430691</v>
      </c>
      <c r="K244" s="494">
        <v>0</v>
      </c>
      <c r="L244" s="494">
        <v>159986</v>
      </c>
      <c r="M244" s="494">
        <v>590677</v>
      </c>
      <c r="N244" s="494">
        <v>42190</v>
      </c>
      <c r="O244" s="545">
        <v>6.6664875874393834</v>
      </c>
      <c r="P244" s="545">
        <v>195.82944855031269</v>
      </c>
      <c r="Q244" s="545">
        <v>244.84991472427515</v>
      </c>
      <c r="R244" s="494"/>
      <c r="S244" s="353"/>
    </row>
    <row r="245" spans="1:19" x14ac:dyDescent="0.2">
      <c r="A245" s="38">
        <v>35</v>
      </c>
      <c r="B245" s="38"/>
      <c r="C245" s="38">
        <v>259</v>
      </c>
      <c r="D245" s="38" t="s">
        <v>321</v>
      </c>
      <c r="E245" s="494">
        <v>3006</v>
      </c>
      <c r="F245" s="494">
        <v>0</v>
      </c>
      <c r="G245" s="494">
        <v>346618</v>
      </c>
      <c r="H245" s="494">
        <v>346618</v>
      </c>
      <c r="I245" s="494">
        <v>189255</v>
      </c>
      <c r="J245" s="494">
        <v>278278</v>
      </c>
      <c r="K245" s="494">
        <v>29540</v>
      </c>
      <c r="L245" s="494">
        <v>19497</v>
      </c>
      <c r="M245" s="494">
        <v>327315</v>
      </c>
      <c r="N245" s="494">
        <v>19303</v>
      </c>
      <c r="O245" s="545">
        <v>5.5689548725109486</v>
      </c>
      <c r="P245" s="545">
        <v>62.959081836327343</v>
      </c>
      <c r="Q245" s="545">
        <v>92.574184963406523</v>
      </c>
      <c r="R245" s="494"/>
      <c r="S245" s="353"/>
    </row>
    <row r="246" spans="1:19" x14ac:dyDescent="0.2">
      <c r="A246" s="38">
        <v>36</v>
      </c>
      <c r="B246" s="38"/>
      <c r="C246" s="38">
        <v>260</v>
      </c>
      <c r="D246" s="38" t="s">
        <v>322</v>
      </c>
      <c r="E246" s="494">
        <v>6063</v>
      </c>
      <c r="F246" s="494">
        <v>0</v>
      </c>
      <c r="G246" s="494">
        <v>619128</v>
      </c>
      <c r="H246" s="494">
        <v>619128</v>
      </c>
      <c r="I246" s="494">
        <v>484538</v>
      </c>
      <c r="J246" s="494">
        <v>540524</v>
      </c>
      <c r="K246" s="494">
        <v>0</v>
      </c>
      <c r="L246" s="494">
        <v>0</v>
      </c>
      <c r="M246" s="494">
        <v>540524</v>
      </c>
      <c r="N246" s="494">
        <v>78604</v>
      </c>
      <c r="O246" s="545">
        <v>12.695920714294944</v>
      </c>
      <c r="P246" s="545">
        <v>79.917202704931555</v>
      </c>
      <c r="Q246" s="545">
        <v>89.151245258123041</v>
      </c>
      <c r="R246" s="494"/>
      <c r="S246" s="353"/>
    </row>
    <row r="247" spans="1:19" x14ac:dyDescent="0.2">
      <c r="A247" s="38">
        <v>37</v>
      </c>
      <c r="B247" s="38"/>
      <c r="C247" s="38">
        <v>261</v>
      </c>
      <c r="D247" s="38" t="s">
        <v>645</v>
      </c>
      <c r="E247" s="494">
        <v>9927</v>
      </c>
      <c r="F247" s="494">
        <v>0</v>
      </c>
      <c r="G247" s="494">
        <v>766775</v>
      </c>
      <c r="H247" s="494">
        <v>766775</v>
      </c>
      <c r="I247" s="494">
        <v>374292</v>
      </c>
      <c r="J247" s="494">
        <v>525229</v>
      </c>
      <c r="K247" s="494">
        <v>0</v>
      </c>
      <c r="L247" s="494">
        <v>0</v>
      </c>
      <c r="M247" s="494">
        <v>525229</v>
      </c>
      <c r="N247" s="494">
        <v>241546</v>
      </c>
      <c r="O247" s="545">
        <v>31.501548694206257</v>
      </c>
      <c r="P247" s="545">
        <v>37.704442429737078</v>
      </c>
      <c r="Q247" s="545">
        <v>52.909136697894631</v>
      </c>
      <c r="R247" s="494"/>
      <c r="S247" s="353"/>
    </row>
    <row r="248" spans="1:19" x14ac:dyDescent="0.2">
      <c r="A248" s="38">
        <v>38</v>
      </c>
      <c r="B248" s="38"/>
      <c r="C248" s="38">
        <v>262</v>
      </c>
      <c r="D248" s="38" t="s">
        <v>325</v>
      </c>
      <c r="E248" s="494">
        <v>52060</v>
      </c>
      <c r="F248" s="494">
        <v>0</v>
      </c>
      <c r="G248" s="494">
        <v>2486594</v>
      </c>
      <c r="H248" s="494">
        <v>2486594</v>
      </c>
      <c r="I248" s="494">
        <v>1739017</v>
      </c>
      <c r="J248" s="494">
        <v>2221994</v>
      </c>
      <c r="K248" s="494">
        <v>14671</v>
      </c>
      <c r="L248" s="494">
        <v>0</v>
      </c>
      <c r="M248" s="494">
        <v>2236665</v>
      </c>
      <c r="N248" s="494">
        <v>249929</v>
      </c>
      <c r="O248" s="545">
        <v>10.051057792305459</v>
      </c>
      <c r="P248" s="545">
        <v>33.40409143296197</v>
      </c>
      <c r="Q248" s="545">
        <v>42.681406069919326</v>
      </c>
      <c r="R248" s="494"/>
      <c r="S248" s="353"/>
    </row>
    <row r="249" spans="1:19" x14ac:dyDescent="0.2">
      <c r="A249" s="38">
        <v>39</v>
      </c>
      <c r="B249" s="38"/>
      <c r="C249" s="38">
        <v>263</v>
      </c>
      <c r="D249" s="38" t="s">
        <v>326</v>
      </c>
      <c r="E249" s="494">
        <v>10088</v>
      </c>
      <c r="F249" s="494">
        <v>0</v>
      </c>
      <c r="G249" s="494">
        <v>874525</v>
      </c>
      <c r="H249" s="494">
        <v>874525</v>
      </c>
      <c r="I249" s="494">
        <v>587233</v>
      </c>
      <c r="J249" s="494">
        <v>788782</v>
      </c>
      <c r="K249" s="494">
        <v>0</v>
      </c>
      <c r="L249" s="494">
        <v>631</v>
      </c>
      <c r="M249" s="494">
        <v>789413</v>
      </c>
      <c r="N249" s="494">
        <v>85112</v>
      </c>
      <c r="O249" s="545">
        <v>9.7323690003144563</v>
      </c>
      <c r="P249" s="545">
        <v>58.211042823156227</v>
      </c>
      <c r="Q249" s="545">
        <v>78.190126883425847</v>
      </c>
      <c r="R249" s="494"/>
      <c r="S249" s="353"/>
    </row>
    <row r="250" spans="1:19" x14ac:dyDescent="0.2">
      <c r="A250" s="38">
        <v>40</v>
      </c>
      <c r="B250" s="38"/>
      <c r="C250" s="38">
        <v>264</v>
      </c>
      <c r="D250" s="38" t="s">
        <v>327</v>
      </c>
      <c r="E250" s="494">
        <v>6603</v>
      </c>
      <c r="F250" s="494">
        <v>0</v>
      </c>
      <c r="G250" s="494">
        <v>828174</v>
      </c>
      <c r="H250" s="494">
        <v>828174</v>
      </c>
      <c r="I250" s="494">
        <v>552452</v>
      </c>
      <c r="J250" s="494">
        <v>756227</v>
      </c>
      <c r="K250" s="494">
        <v>0</v>
      </c>
      <c r="L250" s="494">
        <v>0</v>
      </c>
      <c r="M250" s="494">
        <v>756227</v>
      </c>
      <c r="N250" s="494">
        <v>71947</v>
      </c>
      <c r="O250" s="545">
        <v>8.6874255893085266</v>
      </c>
      <c r="P250" s="545">
        <v>83.666818112978945</v>
      </c>
      <c r="Q250" s="545">
        <v>114.52779039830381</v>
      </c>
      <c r="R250" s="494"/>
      <c r="S250" s="353"/>
    </row>
    <row r="251" spans="1:19" x14ac:dyDescent="0.2">
      <c r="A251" s="38">
        <v>41</v>
      </c>
      <c r="B251" s="38"/>
      <c r="C251" s="38">
        <v>265</v>
      </c>
      <c r="D251" s="38" t="s">
        <v>33</v>
      </c>
      <c r="E251" s="494">
        <v>3253</v>
      </c>
      <c r="F251" s="494">
        <v>0</v>
      </c>
      <c r="G251" s="494">
        <v>218837</v>
      </c>
      <c r="H251" s="494">
        <v>218837</v>
      </c>
      <c r="I251" s="494">
        <v>132423</v>
      </c>
      <c r="J251" s="494">
        <v>195399</v>
      </c>
      <c r="K251" s="494">
        <v>0</v>
      </c>
      <c r="L251" s="494">
        <v>0</v>
      </c>
      <c r="M251" s="494">
        <v>195399</v>
      </c>
      <c r="N251" s="494">
        <v>23438</v>
      </c>
      <c r="O251" s="545">
        <v>10.710254664430604</v>
      </c>
      <c r="P251" s="545">
        <v>40.707961881340303</v>
      </c>
      <c r="Q251" s="545">
        <v>60.067322471564708</v>
      </c>
      <c r="R251" s="494"/>
      <c r="S251" s="353"/>
    </row>
    <row r="252" spans="1:19" x14ac:dyDescent="0.2">
      <c r="A252" s="38">
        <v>42</v>
      </c>
      <c r="B252" s="38"/>
      <c r="C252" s="38">
        <v>266</v>
      </c>
      <c r="D252" s="38" t="s">
        <v>227</v>
      </c>
      <c r="E252" s="494">
        <v>36089</v>
      </c>
      <c r="F252" s="494">
        <v>0</v>
      </c>
      <c r="G252" s="494">
        <v>3131400</v>
      </c>
      <c r="H252" s="494">
        <v>3131400</v>
      </c>
      <c r="I252" s="494">
        <v>1737974</v>
      </c>
      <c r="J252" s="494">
        <v>2542229</v>
      </c>
      <c r="K252" s="494">
        <v>302924</v>
      </c>
      <c r="L252" s="494">
        <v>0</v>
      </c>
      <c r="M252" s="494">
        <v>2845153</v>
      </c>
      <c r="N252" s="494">
        <v>286247</v>
      </c>
      <c r="O252" s="545">
        <v>9.1411828575078236</v>
      </c>
      <c r="P252" s="545">
        <v>48.157998282024991</v>
      </c>
      <c r="Q252" s="545">
        <v>70.443320679431409</v>
      </c>
      <c r="R252" s="494"/>
      <c r="S252" s="353"/>
    </row>
    <row r="253" spans="1:19" x14ac:dyDescent="0.2">
      <c r="A253" s="38">
        <v>43</v>
      </c>
      <c r="B253" s="38"/>
      <c r="C253" s="38">
        <v>267</v>
      </c>
      <c r="D253" s="38" t="s">
        <v>328</v>
      </c>
      <c r="E253" s="494">
        <v>1197</v>
      </c>
      <c r="F253" s="494">
        <v>0</v>
      </c>
      <c r="G253" s="494">
        <v>156430</v>
      </c>
      <c r="H253" s="494">
        <v>156430</v>
      </c>
      <c r="I253" s="494">
        <v>74472</v>
      </c>
      <c r="J253" s="494">
        <v>132666</v>
      </c>
      <c r="K253" s="494">
        <v>7773</v>
      </c>
      <c r="L253" s="494">
        <v>0</v>
      </c>
      <c r="M253" s="494">
        <v>140439</v>
      </c>
      <c r="N253" s="494">
        <v>15991</v>
      </c>
      <c r="O253" s="545">
        <v>10.222463721792495</v>
      </c>
      <c r="P253" s="545">
        <v>62.215538847117791</v>
      </c>
      <c r="Q253" s="545">
        <v>110.83208020050125</v>
      </c>
      <c r="R253" s="494"/>
      <c r="S253" s="353"/>
    </row>
    <row r="254" spans="1:19" x14ac:dyDescent="0.2">
      <c r="A254" s="38">
        <v>44</v>
      </c>
      <c r="B254" s="38"/>
      <c r="C254" s="38">
        <v>268</v>
      </c>
      <c r="D254" s="38" t="s">
        <v>329</v>
      </c>
      <c r="E254" s="494">
        <v>52613</v>
      </c>
      <c r="F254" s="494">
        <v>1575369</v>
      </c>
      <c r="G254" s="494">
        <v>3380377</v>
      </c>
      <c r="H254" s="494">
        <v>4955746</v>
      </c>
      <c r="I254" s="494">
        <v>2992613</v>
      </c>
      <c r="J254" s="494">
        <v>3728276</v>
      </c>
      <c r="K254" s="494">
        <v>636910</v>
      </c>
      <c r="L254" s="494">
        <v>329693</v>
      </c>
      <c r="M254" s="494">
        <v>4694879</v>
      </c>
      <c r="N254" s="494">
        <v>260867</v>
      </c>
      <c r="O254" s="545">
        <v>5.2639299915693822</v>
      </c>
      <c r="P254" s="545">
        <v>56.87972554311672</v>
      </c>
      <c r="Q254" s="545">
        <v>70.862258377207155</v>
      </c>
      <c r="R254" s="494"/>
      <c r="S254" s="353"/>
    </row>
    <row r="255" spans="1:19" x14ac:dyDescent="0.2">
      <c r="A255" s="38">
        <v>45</v>
      </c>
      <c r="B255" s="38"/>
      <c r="C255" s="38">
        <v>269</v>
      </c>
      <c r="D255" s="38" t="s">
        <v>331</v>
      </c>
      <c r="E255" s="494">
        <v>24019</v>
      </c>
      <c r="F255" s="494">
        <v>0</v>
      </c>
      <c r="G255" s="494">
        <v>1741397</v>
      </c>
      <c r="H255" s="494">
        <v>1741397</v>
      </c>
      <c r="I255" s="494">
        <v>1081842</v>
      </c>
      <c r="J255" s="494">
        <v>1528574</v>
      </c>
      <c r="K255" s="494">
        <v>99022</v>
      </c>
      <c r="L255" s="494">
        <v>722</v>
      </c>
      <c r="M255" s="494">
        <v>1628318</v>
      </c>
      <c r="N255" s="494">
        <v>113079</v>
      </c>
      <c r="O255" s="545">
        <v>6.4935795800727805</v>
      </c>
      <c r="P255" s="545">
        <v>45.041092468462466</v>
      </c>
      <c r="Q255" s="545">
        <v>63.640201507140183</v>
      </c>
      <c r="R255" s="494"/>
      <c r="S255" s="353"/>
    </row>
    <row r="256" spans="1:19" x14ac:dyDescent="0.2">
      <c r="A256" s="38">
        <v>46</v>
      </c>
      <c r="B256" s="38"/>
      <c r="C256" s="38">
        <v>270</v>
      </c>
      <c r="D256" s="38" t="s">
        <v>332</v>
      </c>
      <c r="E256" s="494">
        <v>3124</v>
      </c>
      <c r="F256" s="494">
        <v>0</v>
      </c>
      <c r="G256" s="494">
        <v>1032719</v>
      </c>
      <c r="H256" s="494">
        <v>1032719</v>
      </c>
      <c r="I256" s="494">
        <v>852811</v>
      </c>
      <c r="J256" s="494">
        <v>1007773</v>
      </c>
      <c r="K256" s="494">
        <v>0</v>
      </c>
      <c r="L256" s="494">
        <v>0</v>
      </c>
      <c r="M256" s="494">
        <v>1007773</v>
      </c>
      <c r="N256" s="494">
        <v>24946</v>
      </c>
      <c r="O256" s="545">
        <v>2.415565124685418</v>
      </c>
      <c r="P256" s="545">
        <v>272.98687580025609</v>
      </c>
      <c r="Q256" s="545">
        <v>322.59058898847633</v>
      </c>
      <c r="R256" s="494"/>
      <c r="S256" s="353"/>
    </row>
    <row r="257" spans="1:19" x14ac:dyDescent="0.2">
      <c r="A257" s="38">
        <v>47</v>
      </c>
      <c r="B257" s="38"/>
      <c r="C257" s="38">
        <v>271</v>
      </c>
      <c r="D257" s="38" t="s">
        <v>648</v>
      </c>
      <c r="E257" s="494">
        <v>2256</v>
      </c>
      <c r="F257" s="494">
        <v>160925</v>
      </c>
      <c r="G257" s="494">
        <v>1813</v>
      </c>
      <c r="H257" s="494">
        <v>162738</v>
      </c>
      <c r="I257" s="494">
        <v>136940</v>
      </c>
      <c r="J257" s="494">
        <v>162021</v>
      </c>
      <c r="K257" s="494">
        <v>0</v>
      </c>
      <c r="L257" s="494">
        <v>0</v>
      </c>
      <c r="M257" s="494">
        <v>162021</v>
      </c>
      <c r="N257" s="494">
        <v>717</v>
      </c>
      <c r="O257" s="545">
        <v>0.4405854809571213</v>
      </c>
      <c r="P257" s="545">
        <v>60.700354609929079</v>
      </c>
      <c r="Q257" s="545">
        <v>71.817819148936167</v>
      </c>
      <c r="R257" s="494"/>
      <c r="S257" s="353"/>
    </row>
    <row r="258" spans="1:19" x14ac:dyDescent="0.2">
      <c r="A258" s="38">
        <v>48</v>
      </c>
      <c r="B258" s="38"/>
      <c r="C258" s="38">
        <v>272</v>
      </c>
      <c r="D258" s="38" t="s">
        <v>333</v>
      </c>
      <c r="E258" s="494">
        <v>7081</v>
      </c>
      <c r="F258" s="494">
        <v>0</v>
      </c>
      <c r="G258" s="494">
        <v>998476</v>
      </c>
      <c r="H258" s="494">
        <v>998476</v>
      </c>
      <c r="I258" s="494">
        <v>661943</v>
      </c>
      <c r="J258" s="494">
        <v>864590</v>
      </c>
      <c r="K258" s="494">
        <v>1445</v>
      </c>
      <c r="L258" s="494">
        <v>48123</v>
      </c>
      <c r="M258" s="494">
        <v>914158</v>
      </c>
      <c r="N258" s="494">
        <v>84318</v>
      </c>
      <c r="O258" s="545">
        <v>8.4446696765871181</v>
      </c>
      <c r="P258" s="545">
        <v>93.481570399661067</v>
      </c>
      <c r="Q258" s="545">
        <v>122.09998587770089</v>
      </c>
      <c r="R258" s="494"/>
      <c r="S258" s="353"/>
    </row>
    <row r="259" spans="1:19" x14ac:dyDescent="0.2">
      <c r="A259" s="38">
        <v>49</v>
      </c>
      <c r="B259" s="38"/>
      <c r="C259" s="38">
        <v>273</v>
      </c>
      <c r="D259" s="38" t="s">
        <v>784</v>
      </c>
      <c r="E259" s="494">
        <v>11131</v>
      </c>
      <c r="F259" s="494">
        <v>0</v>
      </c>
      <c r="G259" s="494">
        <v>1095500</v>
      </c>
      <c r="H259" s="494">
        <v>1095500</v>
      </c>
      <c r="I259" s="494">
        <v>677507</v>
      </c>
      <c r="J259" s="494">
        <v>846271</v>
      </c>
      <c r="K259" s="494">
        <v>0</v>
      </c>
      <c r="L259" s="494">
        <v>2328</v>
      </c>
      <c r="M259" s="494">
        <v>848599</v>
      </c>
      <c r="N259" s="494">
        <v>246901</v>
      </c>
      <c r="O259" s="545">
        <v>22.537745321770881</v>
      </c>
      <c r="P259" s="545">
        <v>60.866678645225051</v>
      </c>
      <c r="Q259" s="545">
        <v>76.028299344173931</v>
      </c>
      <c r="R259" s="494"/>
      <c r="S259" s="353"/>
    </row>
    <row r="260" spans="1:19" x14ac:dyDescent="0.2">
      <c r="A260" s="38">
        <v>50</v>
      </c>
      <c r="B260" s="38"/>
      <c r="C260" s="38">
        <v>274</v>
      </c>
      <c r="D260" s="38" t="s">
        <v>335</v>
      </c>
      <c r="E260" s="494">
        <v>1806</v>
      </c>
      <c r="F260" s="494">
        <v>0</v>
      </c>
      <c r="G260" s="494">
        <v>120705</v>
      </c>
      <c r="H260" s="494">
        <v>120705</v>
      </c>
      <c r="I260" s="494">
        <v>100063</v>
      </c>
      <c r="J260" s="494">
        <v>101547</v>
      </c>
      <c r="K260" s="494">
        <v>0</v>
      </c>
      <c r="L260" s="494">
        <v>0</v>
      </c>
      <c r="M260" s="494">
        <v>101547</v>
      </c>
      <c r="N260" s="494">
        <v>19158</v>
      </c>
      <c r="O260" s="545">
        <v>15.87175344849012</v>
      </c>
      <c r="P260" s="545">
        <v>55.405869324473976</v>
      </c>
      <c r="Q260" s="545">
        <v>56.227574750830563</v>
      </c>
      <c r="R260" s="494"/>
      <c r="S260" s="353"/>
    </row>
    <row r="261" spans="1:19" x14ac:dyDescent="0.2">
      <c r="A261" s="38">
        <v>51</v>
      </c>
      <c r="B261" s="38"/>
      <c r="C261" s="38">
        <v>275</v>
      </c>
      <c r="D261" s="38" t="s">
        <v>336</v>
      </c>
      <c r="E261" s="494">
        <v>2952</v>
      </c>
      <c r="F261" s="494">
        <v>0</v>
      </c>
      <c r="G261" s="494">
        <v>306458</v>
      </c>
      <c r="H261" s="494">
        <v>306458</v>
      </c>
      <c r="I261" s="494">
        <v>127145</v>
      </c>
      <c r="J261" s="494">
        <v>270623</v>
      </c>
      <c r="K261" s="494">
        <v>0</v>
      </c>
      <c r="L261" s="494">
        <v>0</v>
      </c>
      <c r="M261" s="494">
        <v>270623</v>
      </c>
      <c r="N261" s="494">
        <v>35835</v>
      </c>
      <c r="O261" s="545">
        <v>11.693282603162586</v>
      </c>
      <c r="P261" s="545">
        <v>43.070799457994582</v>
      </c>
      <c r="Q261" s="545">
        <v>91.674457994579939</v>
      </c>
      <c r="R261" s="494"/>
      <c r="S261" s="353"/>
    </row>
    <row r="262" spans="1:19" x14ac:dyDescent="0.2">
      <c r="A262" s="38">
        <v>52</v>
      </c>
      <c r="B262" s="38"/>
      <c r="C262" s="38">
        <v>276</v>
      </c>
      <c r="D262" s="38" t="s">
        <v>238</v>
      </c>
      <c r="E262" s="494">
        <v>41293</v>
      </c>
      <c r="F262" s="494">
        <v>0</v>
      </c>
      <c r="G262" s="494">
        <v>3347614</v>
      </c>
      <c r="H262" s="494">
        <v>3347614</v>
      </c>
      <c r="I262" s="494">
        <v>2014326</v>
      </c>
      <c r="J262" s="494">
        <v>2869144</v>
      </c>
      <c r="K262" s="494">
        <v>185474</v>
      </c>
      <c r="L262" s="494">
        <v>15349</v>
      </c>
      <c r="M262" s="494">
        <v>3069967</v>
      </c>
      <c r="N262" s="494">
        <v>277647</v>
      </c>
      <c r="O262" s="545">
        <v>8.2938773705690085</v>
      </c>
      <c r="P262" s="545">
        <v>48.781294650425011</v>
      </c>
      <c r="Q262" s="545">
        <v>69.482575739229404</v>
      </c>
      <c r="R262" s="494"/>
      <c r="S262" s="353"/>
    </row>
    <row r="263" spans="1:19" x14ac:dyDescent="0.2">
      <c r="A263" s="38">
        <v>53</v>
      </c>
      <c r="B263" s="38"/>
      <c r="C263" s="38">
        <v>277</v>
      </c>
      <c r="D263" s="38" t="s">
        <v>337</v>
      </c>
      <c r="E263" s="494">
        <v>11471</v>
      </c>
      <c r="F263" s="494">
        <v>0</v>
      </c>
      <c r="G263" s="494">
        <v>627689</v>
      </c>
      <c r="H263" s="494">
        <v>627689</v>
      </c>
      <c r="I263" s="494">
        <v>519361</v>
      </c>
      <c r="J263" s="494">
        <v>574244</v>
      </c>
      <c r="K263" s="494">
        <v>0</v>
      </c>
      <c r="L263" s="494">
        <v>52</v>
      </c>
      <c r="M263" s="494">
        <v>574296</v>
      </c>
      <c r="N263" s="494">
        <v>53393</v>
      </c>
      <c r="O263" s="545">
        <v>8.5062825698713862</v>
      </c>
      <c r="P263" s="545">
        <v>45.276000348705431</v>
      </c>
      <c r="Q263" s="545">
        <v>50.060500392293612</v>
      </c>
      <c r="R263" s="494"/>
      <c r="S263" s="353"/>
    </row>
    <row r="264" spans="1:19" x14ac:dyDescent="0.2">
      <c r="A264" s="38">
        <v>54</v>
      </c>
      <c r="B264" s="38"/>
      <c r="C264" s="38">
        <v>278</v>
      </c>
      <c r="D264" s="38" t="s">
        <v>338</v>
      </c>
      <c r="E264" s="494">
        <v>33544</v>
      </c>
      <c r="F264" s="494">
        <v>615112</v>
      </c>
      <c r="G264" s="494">
        <v>2205179</v>
      </c>
      <c r="H264" s="494">
        <v>2820291</v>
      </c>
      <c r="I264" s="494">
        <v>1787908</v>
      </c>
      <c r="J264" s="494">
        <v>2140999</v>
      </c>
      <c r="K264" s="494">
        <v>20093</v>
      </c>
      <c r="L264" s="494">
        <v>482228</v>
      </c>
      <c r="M264" s="494">
        <v>2643320</v>
      </c>
      <c r="N264" s="494">
        <v>176971</v>
      </c>
      <c r="O264" s="545">
        <v>6.2749198575607981</v>
      </c>
      <c r="P264" s="545">
        <v>53.300381588361553</v>
      </c>
      <c r="Q264" s="545">
        <v>63.826585976627712</v>
      </c>
      <c r="R264" s="494"/>
      <c r="S264" s="353"/>
    </row>
    <row r="265" spans="1:19" x14ac:dyDescent="0.2">
      <c r="A265" s="38">
        <v>55</v>
      </c>
      <c r="B265" s="38"/>
      <c r="C265" s="38">
        <v>279</v>
      </c>
      <c r="D265" s="38" t="s">
        <v>339</v>
      </c>
      <c r="E265" s="494">
        <v>3904</v>
      </c>
      <c r="F265" s="494">
        <v>0</v>
      </c>
      <c r="G265" s="494">
        <v>335740</v>
      </c>
      <c r="H265" s="494">
        <v>335740</v>
      </c>
      <c r="I265" s="494">
        <v>171319</v>
      </c>
      <c r="J265" s="494">
        <v>252125</v>
      </c>
      <c r="K265" s="494">
        <v>0</v>
      </c>
      <c r="L265" s="494">
        <v>17268</v>
      </c>
      <c r="M265" s="494">
        <v>269393</v>
      </c>
      <c r="N265" s="494">
        <v>66347</v>
      </c>
      <c r="O265" s="545">
        <v>19.76142252933818</v>
      </c>
      <c r="P265" s="545">
        <v>43.88294057377049</v>
      </c>
      <c r="Q265" s="545">
        <v>64.58119877049181</v>
      </c>
      <c r="R265" s="494"/>
      <c r="S265" s="353"/>
    </row>
    <row r="266" spans="1:19" x14ac:dyDescent="0.2">
      <c r="A266" s="38">
        <v>56</v>
      </c>
      <c r="B266" s="38"/>
      <c r="C266" s="38">
        <v>280</v>
      </c>
      <c r="D266" s="46" t="s">
        <v>49</v>
      </c>
      <c r="E266" s="494">
        <v>19767</v>
      </c>
      <c r="F266" s="494">
        <v>1368200</v>
      </c>
      <c r="G266" s="494">
        <v>6100</v>
      </c>
      <c r="H266" s="494">
        <v>1374300</v>
      </c>
      <c r="I266" s="494">
        <v>797289</v>
      </c>
      <c r="J266" s="494">
        <v>1077782</v>
      </c>
      <c r="K266" s="494">
        <v>0</v>
      </c>
      <c r="L266" s="494">
        <v>0</v>
      </c>
      <c r="M266" s="494">
        <v>1077782</v>
      </c>
      <c r="N266" s="494">
        <v>296518</v>
      </c>
      <c r="O266" s="545">
        <v>21.575929564141745</v>
      </c>
      <c r="P266" s="545">
        <v>40.334345120655641</v>
      </c>
      <c r="Q266" s="545">
        <v>54.524308190418374</v>
      </c>
      <c r="R266" s="494"/>
      <c r="S266" s="353"/>
    </row>
    <row r="267" spans="1:19" x14ac:dyDescent="0.2">
      <c r="A267" s="38">
        <v>57</v>
      </c>
      <c r="B267" s="38"/>
      <c r="C267" s="38">
        <v>281</v>
      </c>
      <c r="D267" s="38" t="s">
        <v>651</v>
      </c>
      <c r="E267" s="494">
        <v>3300</v>
      </c>
      <c r="F267" s="494">
        <v>0</v>
      </c>
      <c r="G267" s="494">
        <v>249500</v>
      </c>
      <c r="H267" s="494">
        <v>249500</v>
      </c>
      <c r="I267" s="494">
        <v>187473</v>
      </c>
      <c r="J267" s="494">
        <v>198420</v>
      </c>
      <c r="K267" s="494">
        <v>0</v>
      </c>
      <c r="L267" s="494">
        <v>76</v>
      </c>
      <c r="M267" s="494">
        <v>198496</v>
      </c>
      <c r="N267" s="494">
        <v>51004</v>
      </c>
      <c r="O267" s="545">
        <v>20.44248496993988</v>
      </c>
      <c r="P267" s="545">
        <v>56.81</v>
      </c>
      <c r="Q267" s="545">
        <v>60.127272727272725</v>
      </c>
      <c r="R267" s="494"/>
      <c r="S267" s="353"/>
    </row>
    <row r="268" spans="1:19" x14ac:dyDescent="0.2">
      <c r="A268" s="38">
        <v>58</v>
      </c>
      <c r="B268" s="38"/>
      <c r="C268" s="38">
        <v>282</v>
      </c>
      <c r="D268" s="38" t="s">
        <v>652</v>
      </c>
      <c r="E268" s="494">
        <v>7433</v>
      </c>
      <c r="F268" s="494">
        <v>0</v>
      </c>
      <c r="G268" s="494">
        <v>583758</v>
      </c>
      <c r="H268" s="494">
        <v>583758</v>
      </c>
      <c r="I268" s="494">
        <v>225323</v>
      </c>
      <c r="J268" s="494">
        <v>509742</v>
      </c>
      <c r="K268" s="494">
        <v>3992</v>
      </c>
      <c r="L268" s="494">
        <v>0</v>
      </c>
      <c r="M268" s="494">
        <v>513734</v>
      </c>
      <c r="N268" s="494">
        <v>70024</v>
      </c>
      <c r="O268" s="545">
        <v>11.995381647874632</v>
      </c>
      <c r="P268" s="545">
        <v>30.313870577155928</v>
      </c>
      <c r="Q268" s="545">
        <v>68.578232207722323</v>
      </c>
      <c r="R268" s="494"/>
      <c r="S268" s="353"/>
    </row>
    <row r="269" spans="1:19" x14ac:dyDescent="0.2">
      <c r="A269" s="38">
        <v>59</v>
      </c>
      <c r="B269" s="38"/>
      <c r="C269" s="38">
        <v>283</v>
      </c>
      <c r="D269" s="38" t="s">
        <v>670</v>
      </c>
      <c r="E269" s="494">
        <v>37634</v>
      </c>
      <c r="F269" s="494">
        <v>0</v>
      </c>
      <c r="G269" s="494">
        <v>2889484</v>
      </c>
      <c r="H269" s="494">
        <v>2889484</v>
      </c>
      <c r="I269" s="494">
        <v>1920177</v>
      </c>
      <c r="J269" s="494">
        <v>2559432</v>
      </c>
      <c r="K269" s="494">
        <v>117108</v>
      </c>
      <c r="L269" s="494">
        <v>5767</v>
      </c>
      <c r="M269" s="494">
        <v>2682307</v>
      </c>
      <c r="N269" s="494">
        <v>207177</v>
      </c>
      <c r="O269" s="545">
        <v>7.1700345113521999</v>
      </c>
      <c r="P269" s="545">
        <v>51.022399957485256</v>
      </c>
      <c r="Q269" s="545">
        <v>68.008502949460592</v>
      </c>
      <c r="R269" s="494"/>
      <c r="S269" s="353"/>
    </row>
    <row r="270" spans="1:19" x14ac:dyDescent="0.2">
      <c r="A270" s="38">
        <v>60</v>
      </c>
      <c r="B270" s="38"/>
      <c r="C270" s="38">
        <v>284</v>
      </c>
      <c r="D270" s="38" t="s">
        <v>653</v>
      </c>
      <c r="E270" s="494">
        <v>3158</v>
      </c>
      <c r="F270" s="494">
        <v>0</v>
      </c>
      <c r="G270" s="494">
        <v>216988</v>
      </c>
      <c r="H270" s="494">
        <v>216988</v>
      </c>
      <c r="I270" s="494">
        <v>163488</v>
      </c>
      <c r="J270" s="494">
        <v>208924</v>
      </c>
      <c r="K270" s="494">
        <v>0</v>
      </c>
      <c r="L270" s="494">
        <v>0</v>
      </c>
      <c r="M270" s="494">
        <v>208924</v>
      </c>
      <c r="N270" s="494">
        <v>8064</v>
      </c>
      <c r="O270" s="545">
        <v>3.7163345438457425</v>
      </c>
      <c r="P270" s="545">
        <v>51.769474350854971</v>
      </c>
      <c r="Q270" s="545">
        <v>66.157061431285626</v>
      </c>
      <c r="R270" s="494"/>
      <c r="S270" s="353"/>
    </row>
    <row r="271" spans="1:19" x14ac:dyDescent="0.2">
      <c r="A271" s="38">
        <v>61</v>
      </c>
      <c r="B271" s="38"/>
      <c r="C271" s="38">
        <v>285</v>
      </c>
      <c r="D271" s="38" t="s">
        <v>244</v>
      </c>
      <c r="E271" s="494">
        <v>20941</v>
      </c>
      <c r="F271" s="494">
        <v>0</v>
      </c>
      <c r="G271" s="494">
        <v>1761984</v>
      </c>
      <c r="H271" s="494">
        <v>1761984</v>
      </c>
      <c r="I271" s="494">
        <v>957267</v>
      </c>
      <c r="J271" s="494">
        <v>1253236</v>
      </c>
      <c r="K271" s="494">
        <v>324171</v>
      </c>
      <c r="L271" s="494">
        <v>0</v>
      </c>
      <c r="M271" s="494">
        <v>1577407</v>
      </c>
      <c r="N271" s="494">
        <v>184577</v>
      </c>
      <c r="O271" s="545">
        <v>10.475520776579129</v>
      </c>
      <c r="P271" s="545">
        <v>45.712573420562535</v>
      </c>
      <c r="Q271" s="545">
        <v>59.84604364643522</v>
      </c>
      <c r="R271" s="494"/>
      <c r="S271" s="353"/>
    </row>
    <row r="272" spans="1:19" x14ac:dyDescent="0.2">
      <c r="A272" s="38">
        <v>62</v>
      </c>
      <c r="B272" s="38"/>
      <c r="C272" s="38">
        <v>286</v>
      </c>
      <c r="D272" s="38" t="s">
        <v>655</v>
      </c>
      <c r="E272" s="494">
        <v>10295</v>
      </c>
      <c r="F272" s="494">
        <v>0</v>
      </c>
      <c r="G272" s="494">
        <v>839000</v>
      </c>
      <c r="H272" s="494">
        <v>839000</v>
      </c>
      <c r="I272" s="494">
        <v>553775</v>
      </c>
      <c r="J272" s="494">
        <v>733623</v>
      </c>
      <c r="K272" s="494">
        <v>11365</v>
      </c>
      <c r="L272" s="494">
        <v>0</v>
      </c>
      <c r="M272" s="494">
        <v>744988</v>
      </c>
      <c r="N272" s="494">
        <v>94012</v>
      </c>
      <c r="O272" s="545">
        <v>11.205244338498211</v>
      </c>
      <c r="P272" s="545">
        <v>53.790675084992714</v>
      </c>
      <c r="Q272" s="545">
        <v>71.260126274890723</v>
      </c>
      <c r="R272" s="494"/>
      <c r="S272" s="353"/>
    </row>
    <row r="273" spans="1:19" x14ac:dyDescent="0.2">
      <c r="A273" s="38">
        <v>63</v>
      </c>
      <c r="B273" s="38"/>
      <c r="C273" s="38">
        <v>287</v>
      </c>
      <c r="D273" s="38" t="s">
        <v>345</v>
      </c>
      <c r="E273" s="494">
        <v>2691</v>
      </c>
      <c r="F273" s="494">
        <v>254780</v>
      </c>
      <c r="G273" s="494">
        <v>407670</v>
      </c>
      <c r="H273" s="494">
        <v>662450</v>
      </c>
      <c r="I273" s="494">
        <v>209242</v>
      </c>
      <c r="J273" s="494">
        <v>504358</v>
      </c>
      <c r="K273" s="494">
        <v>65073</v>
      </c>
      <c r="L273" s="494">
        <v>0</v>
      </c>
      <c r="M273" s="494">
        <v>569431</v>
      </c>
      <c r="N273" s="494">
        <v>93019</v>
      </c>
      <c r="O273" s="545">
        <v>14.041663521775227</v>
      </c>
      <c r="P273" s="545">
        <v>77.756224451876619</v>
      </c>
      <c r="Q273" s="545">
        <v>187.42400594574508</v>
      </c>
      <c r="R273" s="494"/>
      <c r="S273" s="353"/>
    </row>
    <row r="274" spans="1:19" x14ac:dyDescent="0.2">
      <c r="A274" s="38">
        <v>64</v>
      </c>
      <c r="B274" s="38" t="s">
        <v>274</v>
      </c>
      <c r="C274" s="38">
        <v>288</v>
      </c>
      <c r="D274" s="38" t="s">
        <v>348</v>
      </c>
      <c r="E274" s="494">
        <v>118139</v>
      </c>
      <c r="F274" s="494">
        <v>3543600</v>
      </c>
      <c r="G274" s="494">
        <v>5308900</v>
      </c>
      <c r="H274" s="494">
        <v>8852500</v>
      </c>
      <c r="I274" s="494">
        <v>6196531</v>
      </c>
      <c r="J274" s="494">
        <v>8182359</v>
      </c>
      <c r="K274" s="494">
        <v>96858</v>
      </c>
      <c r="L274" s="494">
        <v>110688</v>
      </c>
      <c r="M274" s="494">
        <v>8389905</v>
      </c>
      <c r="N274" s="494">
        <v>462595</v>
      </c>
      <c r="O274" s="545">
        <v>5.2255859926574413</v>
      </c>
      <c r="P274" s="545">
        <v>52.4511888538078</v>
      </c>
      <c r="Q274" s="545">
        <v>69.260438974428425</v>
      </c>
      <c r="R274" s="494"/>
      <c r="S274" s="353"/>
    </row>
    <row r="275" spans="1:19" x14ac:dyDescent="0.2">
      <c r="A275" s="38">
        <v>65</v>
      </c>
      <c r="B275" s="38"/>
      <c r="C275" s="38">
        <v>289</v>
      </c>
      <c r="D275" s="38" t="s">
        <v>349</v>
      </c>
      <c r="E275" s="494">
        <v>9753</v>
      </c>
      <c r="F275" s="494">
        <v>0</v>
      </c>
      <c r="G275" s="494">
        <v>561213</v>
      </c>
      <c r="H275" s="494">
        <v>561213</v>
      </c>
      <c r="I275" s="494">
        <v>365682</v>
      </c>
      <c r="J275" s="494">
        <v>488337</v>
      </c>
      <c r="K275" s="494">
        <v>0</v>
      </c>
      <c r="L275" s="494">
        <v>0</v>
      </c>
      <c r="M275" s="494">
        <v>488337</v>
      </c>
      <c r="N275" s="494">
        <v>72876</v>
      </c>
      <c r="O275" s="545">
        <v>12.985444029272308</v>
      </c>
      <c r="P275" s="545">
        <v>37.494309443248234</v>
      </c>
      <c r="Q275" s="545">
        <v>50.070439864657025</v>
      </c>
      <c r="R275" s="494"/>
      <c r="S275" s="353"/>
    </row>
    <row r="276" spans="1:19" x14ac:dyDescent="0.2">
      <c r="A276" s="38">
        <v>66</v>
      </c>
      <c r="B276" s="38"/>
      <c r="C276" s="38">
        <v>290</v>
      </c>
      <c r="D276" s="38" t="s">
        <v>783</v>
      </c>
      <c r="E276" s="494">
        <v>148035</v>
      </c>
      <c r="F276" s="494">
        <v>4461050</v>
      </c>
      <c r="G276" s="494">
        <v>7190681</v>
      </c>
      <c r="H276" s="494">
        <v>11651731</v>
      </c>
      <c r="I276" s="494">
        <v>8245186</v>
      </c>
      <c r="J276" s="494">
        <v>10888910</v>
      </c>
      <c r="K276" s="494">
        <v>181988</v>
      </c>
      <c r="L276" s="494">
        <v>118122</v>
      </c>
      <c r="M276" s="494">
        <v>11189020</v>
      </c>
      <c r="N276" s="494">
        <v>462711</v>
      </c>
      <c r="O276" s="545">
        <v>3.9711781880306023</v>
      </c>
      <c r="P276" s="545">
        <v>55.697544499611581</v>
      </c>
      <c r="Q276" s="545">
        <v>73.556321140270882</v>
      </c>
      <c r="R276" s="494"/>
      <c r="S276" s="353"/>
    </row>
    <row r="277" spans="1:19" x14ac:dyDescent="0.2">
      <c r="A277" s="38">
        <v>67</v>
      </c>
      <c r="B277" s="38"/>
      <c r="C277" s="38">
        <v>291</v>
      </c>
      <c r="D277" s="38" t="s">
        <v>145</v>
      </c>
      <c r="E277" s="494">
        <v>7828</v>
      </c>
      <c r="F277" s="494">
        <v>0</v>
      </c>
      <c r="G277" s="494">
        <v>573770</v>
      </c>
      <c r="H277" s="494">
        <v>573770</v>
      </c>
      <c r="I277" s="494">
        <v>388345</v>
      </c>
      <c r="J277" s="494">
        <v>473131</v>
      </c>
      <c r="K277" s="494">
        <v>0</v>
      </c>
      <c r="L277" s="494">
        <v>0</v>
      </c>
      <c r="M277" s="494">
        <v>473131</v>
      </c>
      <c r="N277" s="494">
        <v>100639</v>
      </c>
      <c r="O277" s="545">
        <v>17.539955034247175</v>
      </c>
      <c r="P277" s="545">
        <v>49.609734287174248</v>
      </c>
      <c r="Q277" s="545">
        <v>60.440853346959635</v>
      </c>
      <c r="R277" s="494"/>
      <c r="S277" s="353"/>
    </row>
    <row r="278" spans="1:19" x14ac:dyDescent="0.2">
      <c r="A278" s="38">
        <v>68</v>
      </c>
      <c r="B278" s="38"/>
      <c r="C278" s="38">
        <v>292</v>
      </c>
      <c r="D278" s="38" t="s">
        <v>353</v>
      </c>
      <c r="E278" s="494">
        <v>21050</v>
      </c>
      <c r="F278" s="494">
        <v>0</v>
      </c>
      <c r="G278" s="494">
        <v>2306866</v>
      </c>
      <c r="H278" s="494">
        <v>2306866</v>
      </c>
      <c r="I278" s="494">
        <v>955767</v>
      </c>
      <c r="J278" s="494">
        <v>1753792</v>
      </c>
      <c r="K278" s="494">
        <v>308745</v>
      </c>
      <c r="L278" s="494">
        <v>0</v>
      </c>
      <c r="M278" s="494">
        <v>2062537</v>
      </c>
      <c r="N278" s="494">
        <v>244329</v>
      </c>
      <c r="O278" s="545">
        <v>10.59138242099888</v>
      </c>
      <c r="P278" s="545">
        <v>45.404608076009502</v>
      </c>
      <c r="Q278" s="545">
        <v>83.315534441805227</v>
      </c>
      <c r="R278" s="494"/>
      <c r="S278" s="353"/>
    </row>
    <row r="279" spans="1:19" x14ac:dyDescent="0.2">
      <c r="A279" s="38">
        <v>69</v>
      </c>
      <c r="B279" s="38"/>
      <c r="C279" s="38">
        <v>293</v>
      </c>
      <c r="D279" s="38" t="s">
        <v>354</v>
      </c>
      <c r="E279" s="494">
        <v>19369</v>
      </c>
      <c r="F279" s="494">
        <v>0</v>
      </c>
      <c r="G279" s="494">
        <v>1482455</v>
      </c>
      <c r="H279" s="494">
        <v>1482455</v>
      </c>
      <c r="I279" s="494">
        <v>1086911</v>
      </c>
      <c r="J279" s="494">
        <v>1389949</v>
      </c>
      <c r="K279" s="494">
        <v>0</v>
      </c>
      <c r="L279" s="494">
        <v>0</v>
      </c>
      <c r="M279" s="494">
        <v>1389949</v>
      </c>
      <c r="N279" s="494">
        <v>92506</v>
      </c>
      <c r="O279" s="545">
        <v>6.2400545041839379</v>
      </c>
      <c r="P279" s="545">
        <v>56.116010119262739</v>
      </c>
      <c r="Q279" s="545">
        <v>71.761526150033561</v>
      </c>
      <c r="R279" s="494"/>
      <c r="S279" s="353"/>
    </row>
    <row r="280" spans="1:19" x14ac:dyDescent="0.2">
      <c r="A280" s="38"/>
      <c r="B280" s="38"/>
      <c r="C280" s="38"/>
      <c r="D280" s="38"/>
      <c r="E280" s="494"/>
      <c r="F280" s="494"/>
      <c r="G280" s="494"/>
      <c r="H280" s="494"/>
      <c r="I280" s="494"/>
      <c r="J280" s="494"/>
      <c r="K280" s="494"/>
      <c r="L280" s="494"/>
      <c r="M280" s="494"/>
      <c r="N280" s="494"/>
      <c r="O280" s="545"/>
      <c r="P280" s="545"/>
      <c r="Q280" s="545"/>
      <c r="R280" s="494"/>
      <c r="S280" s="353"/>
    </row>
    <row r="281" spans="1:19" x14ac:dyDescent="0.2">
      <c r="A281" s="38"/>
      <c r="B281" s="38"/>
      <c r="C281" s="38"/>
      <c r="D281" s="38"/>
      <c r="E281" s="494"/>
      <c r="F281" s="494"/>
      <c r="G281" s="494"/>
      <c r="H281" s="494"/>
      <c r="I281" s="494"/>
      <c r="J281" s="494"/>
      <c r="K281" s="494"/>
      <c r="L281" s="494"/>
      <c r="M281" s="494"/>
      <c r="N281" s="494"/>
      <c r="O281" s="545"/>
      <c r="P281" s="545"/>
      <c r="Q281" s="545"/>
      <c r="R281" s="494"/>
      <c r="S281" s="353"/>
    </row>
    <row r="282" spans="1:19" x14ac:dyDescent="0.2">
      <c r="A282" s="38"/>
      <c r="B282" s="38"/>
      <c r="C282" s="38"/>
      <c r="D282" s="38"/>
      <c r="E282" s="494"/>
      <c r="F282" s="494"/>
      <c r="G282" s="494"/>
      <c r="H282" s="494"/>
      <c r="I282" s="494"/>
      <c r="J282" s="494"/>
      <c r="K282" s="494"/>
      <c r="L282" s="494"/>
      <c r="M282" s="494"/>
      <c r="N282" s="494"/>
      <c r="O282" s="545"/>
      <c r="P282" s="545"/>
      <c r="Q282" s="545"/>
      <c r="R282" s="494"/>
      <c r="S282" s="353"/>
    </row>
    <row r="283" spans="1:19" x14ac:dyDescent="0.2">
      <c r="A283" s="38"/>
      <c r="B283" s="38"/>
      <c r="C283" s="38"/>
      <c r="D283" s="38"/>
      <c r="E283" s="494"/>
      <c r="F283" s="494"/>
      <c r="G283" s="494"/>
      <c r="H283" s="494"/>
      <c r="I283" s="494"/>
      <c r="J283" s="494"/>
      <c r="K283" s="494"/>
      <c r="L283" s="494"/>
      <c r="M283" s="494"/>
      <c r="N283" s="494"/>
      <c r="O283" s="545"/>
      <c r="P283" s="545"/>
      <c r="Q283" s="545"/>
      <c r="R283" s="494"/>
      <c r="S283" s="353"/>
    </row>
    <row r="284" spans="1:19" x14ac:dyDescent="0.2">
      <c r="A284" s="38"/>
      <c r="B284" s="38"/>
      <c r="C284" s="38"/>
      <c r="D284" s="38"/>
      <c r="E284" s="494"/>
      <c r="F284" s="494"/>
      <c r="G284" s="494"/>
      <c r="H284" s="494"/>
      <c r="I284" s="494"/>
      <c r="J284" s="494"/>
      <c r="K284" s="494"/>
      <c r="L284" s="494"/>
      <c r="M284" s="494"/>
      <c r="N284" s="494"/>
      <c r="O284" s="545"/>
      <c r="P284" s="545"/>
      <c r="Q284" s="545"/>
      <c r="R284" s="494"/>
      <c r="S284" s="353"/>
    </row>
    <row r="285" spans="1:19" x14ac:dyDescent="0.2">
      <c r="A285" s="38"/>
      <c r="B285" s="38"/>
      <c r="C285" s="38"/>
      <c r="D285" s="38"/>
      <c r="E285" s="494"/>
      <c r="F285" s="494"/>
      <c r="G285" s="494"/>
      <c r="H285" s="494"/>
      <c r="I285" s="494"/>
      <c r="J285" s="494"/>
      <c r="K285" s="494"/>
      <c r="L285" s="494"/>
      <c r="M285" s="494"/>
      <c r="N285" s="494"/>
      <c r="O285" s="545"/>
      <c r="P285" s="545"/>
      <c r="Q285" s="545"/>
      <c r="R285" s="494"/>
      <c r="S285" s="353"/>
    </row>
    <row r="286" spans="1:19" x14ac:dyDescent="0.2">
      <c r="A286" s="38"/>
      <c r="B286" s="38"/>
      <c r="C286" s="38"/>
      <c r="D286" s="38"/>
      <c r="E286" s="494"/>
      <c r="F286" s="494"/>
      <c r="G286" s="494"/>
      <c r="H286" s="494"/>
      <c r="I286" s="494"/>
      <c r="J286" s="494"/>
      <c r="K286" s="494"/>
      <c r="L286" s="494"/>
      <c r="M286" s="494"/>
      <c r="N286" s="494"/>
      <c r="O286" s="545"/>
      <c r="P286" s="545"/>
      <c r="Q286" s="545"/>
      <c r="R286" s="494"/>
      <c r="S286" s="353"/>
    </row>
    <row r="287" spans="1:19" x14ac:dyDescent="0.2">
      <c r="A287" s="38"/>
      <c r="B287" s="38"/>
      <c r="C287" s="38"/>
      <c r="D287" s="38"/>
      <c r="E287" s="494"/>
      <c r="F287" s="494"/>
      <c r="G287" s="494"/>
      <c r="H287" s="494"/>
      <c r="I287" s="494"/>
      <c r="J287" s="494"/>
      <c r="K287" s="494"/>
      <c r="L287" s="494"/>
      <c r="M287" s="494"/>
      <c r="N287" s="494"/>
      <c r="O287" s="545"/>
      <c r="P287" s="545"/>
      <c r="Q287" s="545"/>
      <c r="R287" s="494"/>
      <c r="S287" s="353"/>
    </row>
    <row r="288" spans="1:19" x14ac:dyDescent="0.2">
      <c r="A288" s="38"/>
      <c r="B288" s="38"/>
      <c r="C288" s="38"/>
      <c r="E288" s="494"/>
      <c r="F288" s="494"/>
      <c r="G288" s="494"/>
      <c r="H288" s="494"/>
      <c r="I288" s="494"/>
      <c r="J288" s="494"/>
      <c r="K288" s="494"/>
      <c r="L288" s="494"/>
      <c r="M288" s="494"/>
      <c r="N288" s="494"/>
      <c r="O288" s="545"/>
      <c r="P288" s="545"/>
      <c r="Q288" s="545"/>
      <c r="R288" s="494"/>
      <c r="S288" s="353"/>
    </row>
    <row r="289" spans="1:19" x14ac:dyDescent="0.2">
      <c r="A289" s="38"/>
      <c r="B289" s="38"/>
      <c r="C289" s="38"/>
      <c r="D289" s="38"/>
      <c r="E289" s="494"/>
      <c r="F289" s="494"/>
      <c r="G289" s="494"/>
      <c r="H289" s="494"/>
      <c r="I289" s="494"/>
      <c r="J289" s="494"/>
      <c r="K289" s="494"/>
      <c r="L289" s="494"/>
      <c r="M289" s="494"/>
      <c r="N289" s="494"/>
      <c r="O289" s="545"/>
      <c r="P289" s="545"/>
      <c r="Q289" s="545"/>
      <c r="R289" s="494"/>
      <c r="S289" s="353"/>
    </row>
    <row r="290" spans="1:19" x14ac:dyDescent="0.2">
      <c r="A290" s="38"/>
      <c r="B290" s="38"/>
      <c r="C290" s="38"/>
      <c r="D290" s="38"/>
      <c r="E290" s="494"/>
      <c r="F290" s="494"/>
      <c r="G290" s="494"/>
      <c r="H290" s="494"/>
      <c r="I290" s="494"/>
      <c r="J290" s="494"/>
      <c r="K290" s="494"/>
      <c r="L290" s="494"/>
      <c r="M290" s="494"/>
      <c r="N290" s="494"/>
      <c r="O290" s="545"/>
      <c r="P290" s="545"/>
      <c r="Q290" s="545"/>
      <c r="R290" s="494"/>
      <c r="S290" s="353"/>
    </row>
    <row r="291" spans="1:19" x14ac:dyDescent="0.2">
      <c r="A291" s="38"/>
      <c r="B291" s="38"/>
      <c r="C291" s="38"/>
      <c r="D291" s="38"/>
      <c r="E291" s="494"/>
      <c r="F291" s="494"/>
      <c r="G291" s="494"/>
      <c r="H291" s="494"/>
      <c r="I291" s="494"/>
      <c r="J291" s="494"/>
      <c r="K291" s="494"/>
      <c r="L291" s="494"/>
      <c r="M291" s="494"/>
      <c r="N291" s="494"/>
      <c r="O291" s="545"/>
      <c r="P291" s="545"/>
      <c r="Q291" s="545"/>
      <c r="R291" s="494"/>
      <c r="S291" s="353"/>
    </row>
    <row r="292" spans="1:19" x14ac:dyDescent="0.2">
      <c r="A292" s="38"/>
      <c r="B292" s="38"/>
      <c r="C292" s="38"/>
      <c r="D292" s="38"/>
      <c r="E292" s="494"/>
      <c r="F292" s="494"/>
      <c r="G292" s="494"/>
      <c r="H292" s="494"/>
      <c r="I292" s="494"/>
      <c r="J292" s="494"/>
      <c r="K292" s="494"/>
      <c r="L292" s="494"/>
      <c r="M292" s="494"/>
      <c r="N292" s="494"/>
      <c r="O292" s="545"/>
      <c r="P292" s="545"/>
      <c r="Q292" s="545"/>
      <c r="R292" s="494"/>
      <c r="S292" s="353"/>
    </row>
    <row r="293" spans="1:19" x14ac:dyDescent="0.2">
      <c r="A293" s="38"/>
      <c r="B293" s="38"/>
      <c r="C293" s="38"/>
      <c r="D293" s="38"/>
      <c r="E293" s="494"/>
      <c r="F293" s="494"/>
      <c r="G293" s="494"/>
      <c r="H293" s="494"/>
      <c r="I293" s="494"/>
      <c r="J293" s="494"/>
      <c r="K293" s="494"/>
      <c r="L293" s="494"/>
      <c r="M293" s="494"/>
      <c r="N293" s="494"/>
      <c r="O293" s="545"/>
      <c r="P293" s="545"/>
      <c r="Q293" s="545"/>
      <c r="R293" s="494"/>
      <c r="S293" s="353"/>
    </row>
    <row r="294" spans="1:19" x14ac:dyDescent="0.2">
      <c r="A294" s="38"/>
      <c r="B294" s="38"/>
      <c r="C294" s="38"/>
      <c r="D294" s="38"/>
      <c r="E294" s="494"/>
      <c r="F294" s="494"/>
      <c r="G294" s="494"/>
      <c r="H294" s="494"/>
      <c r="I294" s="494"/>
      <c r="J294" s="494"/>
      <c r="K294" s="494"/>
      <c r="L294" s="494"/>
      <c r="M294" s="494"/>
      <c r="N294" s="494"/>
      <c r="O294" s="545"/>
      <c r="P294" s="545"/>
      <c r="Q294" s="545"/>
      <c r="R294" s="494"/>
      <c r="S294" s="353"/>
    </row>
    <row r="295" spans="1:19" x14ac:dyDescent="0.2">
      <c r="A295" s="38"/>
      <c r="B295" s="38"/>
      <c r="C295" s="38"/>
      <c r="D295" s="38"/>
      <c r="E295" s="494"/>
      <c r="F295" s="494"/>
      <c r="G295" s="494"/>
      <c r="H295" s="494"/>
      <c r="I295" s="494"/>
      <c r="J295" s="494"/>
      <c r="K295" s="494"/>
      <c r="L295" s="494"/>
      <c r="M295" s="494"/>
      <c r="N295" s="494"/>
      <c r="O295" s="545"/>
      <c r="P295" s="545"/>
      <c r="Q295" s="545"/>
      <c r="R295" s="494"/>
      <c r="S295" s="353"/>
    </row>
    <row r="296" spans="1:19" x14ac:dyDescent="0.2">
      <c r="A296" s="38"/>
      <c r="B296" s="38"/>
      <c r="C296" s="38"/>
      <c r="D296" s="38"/>
      <c r="E296" s="494"/>
      <c r="F296" s="494"/>
      <c r="G296" s="494"/>
      <c r="H296" s="494"/>
      <c r="I296" s="494"/>
      <c r="J296" s="494"/>
      <c r="K296" s="494"/>
      <c r="L296" s="494"/>
      <c r="M296" s="494"/>
      <c r="N296" s="494"/>
      <c r="O296" s="545"/>
      <c r="P296" s="545"/>
      <c r="Q296" s="545"/>
      <c r="R296" s="494"/>
      <c r="S296" s="353"/>
    </row>
    <row r="297" spans="1:19" x14ac:dyDescent="0.2">
      <c r="A297" s="38"/>
      <c r="B297" s="38"/>
      <c r="C297" s="38"/>
      <c r="D297" s="38"/>
      <c r="E297" s="494"/>
      <c r="F297" s="494"/>
      <c r="G297" s="494"/>
      <c r="H297" s="494"/>
      <c r="I297" s="494"/>
      <c r="J297" s="494"/>
      <c r="K297" s="494"/>
      <c r="L297" s="494"/>
      <c r="M297" s="494"/>
      <c r="N297" s="494"/>
      <c r="O297" s="545"/>
      <c r="P297" s="545"/>
      <c r="Q297" s="545"/>
      <c r="R297" s="494"/>
      <c r="S297" s="353"/>
    </row>
    <row r="298" spans="1:19" x14ac:dyDescent="0.2">
      <c r="A298" s="38"/>
      <c r="B298" s="38"/>
      <c r="C298" s="38"/>
      <c r="D298" s="38"/>
      <c r="E298" s="494"/>
      <c r="F298" s="494"/>
      <c r="G298" s="494"/>
      <c r="H298" s="494"/>
      <c r="I298" s="494"/>
      <c r="J298" s="494"/>
      <c r="K298" s="494"/>
      <c r="L298" s="494"/>
      <c r="M298" s="494"/>
      <c r="N298" s="494"/>
      <c r="O298" s="545"/>
      <c r="P298" s="545"/>
      <c r="Q298" s="545"/>
      <c r="R298" s="494"/>
      <c r="S298" s="353"/>
    </row>
    <row r="299" spans="1:19" x14ac:dyDescent="0.2">
      <c r="A299" s="38"/>
      <c r="B299" s="38"/>
      <c r="C299" s="38"/>
      <c r="D299" s="38"/>
      <c r="E299" s="494"/>
      <c r="F299" s="494"/>
      <c r="G299" s="494"/>
      <c r="H299" s="494"/>
      <c r="I299" s="494"/>
      <c r="J299" s="494"/>
      <c r="K299" s="494"/>
      <c r="L299" s="494"/>
      <c r="M299" s="494"/>
      <c r="N299" s="494"/>
      <c r="O299" s="545"/>
      <c r="P299" s="545"/>
      <c r="Q299" s="545"/>
      <c r="R299" s="494"/>
      <c r="S299" s="353"/>
    </row>
    <row r="300" spans="1:19" x14ac:dyDescent="0.2">
      <c r="A300" s="38"/>
      <c r="B300" s="38"/>
      <c r="C300" s="38"/>
      <c r="D300" s="38"/>
      <c r="E300" s="494"/>
      <c r="F300" s="494"/>
      <c r="G300" s="494"/>
      <c r="H300" s="494"/>
      <c r="I300" s="494"/>
      <c r="J300" s="494"/>
      <c r="K300" s="494"/>
      <c r="L300" s="494"/>
      <c r="M300" s="494"/>
      <c r="N300" s="494"/>
      <c r="O300" s="545"/>
      <c r="P300" s="545"/>
      <c r="Q300" s="545"/>
      <c r="R300" s="494"/>
      <c r="S300" s="353"/>
    </row>
    <row r="301" spans="1:19" x14ac:dyDescent="0.2">
      <c r="A301" s="38"/>
      <c r="B301" s="38"/>
      <c r="C301" s="38"/>
      <c r="D301" s="38"/>
      <c r="E301" s="494"/>
      <c r="F301" s="494"/>
      <c r="G301" s="494"/>
      <c r="H301" s="494"/>
      <c r="I301" s="494"/>
      <c r="J301" s="494"/>
      <c r="K301" s="494"/>
      <c r="L301" s="494"/>
      <c r="M301" s="494"/>
      <c r="N301" s="494"/>
      <c r="O301" s="545"/>
      <c r="P301" s="545"/>
      <c r="Q301" s="545"/>
      <c r="R301" s="494"/>
      <c r="S301" s="353"/>
    </row>
    <row r="302" spans="1:19" x14ac:dyDescent="0.2">
      <c r="A302" s="38"/>
      <c r="B302" s="38"/>
      <c r="C302" s="38"/>
      <c r="D302" s="38"/>
      <c r="E302" s="494"/>
      <c r="F302" s="494"/>
      <c r="G302" s="494"/>
      <c r="H302" s="494"/>
      <c r="I302" s="494"/>
      <c r="J302" s="494"/>
      <c r="K302" s="494"/>
      <c r="L302" s="494"/>
      <c r="M302" s="494"/>
      <c r="N302" s="494"/>
      <c r="O302" s="545"/>
      <c r="P302" s="545"/>
      <c r="Q302" s="545"/>
      <c r="R302" s="494"/>
      <c r="S302" s="353"/>
    </row>
    <row r="303" spans="1:19" x14ac:dyDescent="0.2">
      <c r="A303" s="38"/>
      <c r="B303" s="38"/>
      <c r="C303" s="38"/>
      <c r="D303" s="38"/>
      <c r="E303" s="494"/>
      <c r="F303" s="494"/>
      <c r="G303" s="494"/>
      <c r="H303" s="494"/>
      <c r="I303" s="494"/>
      <c r="J303" s="494"/>
      <c r="K303" s="494"/>
      <c r="L303" s="494"/>
      <c r="M303" s="494"/>
      <c r="N303" s="494"/>
      <c r="O303" s="545"/>
      <c r="P303" s="545"/>
      <c r="Q303" s="545"/>
      <c r="R303" s="494"/>
      <c r="S303" s="353"/>
    </row>
    <row r="304" spans="1:19" x14ac:dyDescent="0.2">
      <c r="A304" s="38"/>
      <c r="B304" s="38"/>
      <c r="C304" s="38"/>
      <c r="D304" s="38"/>
      <c r="E304" s="494"/>
      <c r="F304" s="494"/>
      <c r="G304" s="494"/>
      <c r="H304" s="494"/>
      <c r="I304" s="494"/>
      <c r="J304" s="494"/>
      <c r="K304" s="494"/>
      <c r="L304" s="494"/>
      <c r="M304" s="494"/>
      <c r="N304" s="494"/>
      <c r="O304" s="545"/>
      <c r="P304" s="545"/>
      <c r="Q304" s="545"/>
      <c r="R304" s="494"/>
      <c r="S304" s="353"/>
    </row>
    <row r="305" spans="1:19" x14ac:dyDescent="0.2">
      <c r="A305" s="38"/>
      <c r="B305" s="38"/>
      <c r="C305" s="38"/>
      <c r="D305" s="38"/>
      <c r="E305" s="494"/>
      <c r="F305" s="494"/>
      <c r="G305" s="494"/>
      <c r="H305" s="494"/>
      <c r="I305" s="494"/>
      <c r="J305" s="494"/>
      <c r="K305" s="494"/>
      <c r="L305" s="494"/>
      <c r="M305" s="494"/>
      <c r="N305" s="494"/>
      <c r="O305" s="545"/>
      <c r="P305" s="545"/>
      <c r="Q305" s="545"/>
      <c r="R305" s="494"/>
      <c r="S305" s="353"/>
    </row>
    <row r="306" spans="1:19" x14ac:dyDescent="0.2">
      <c r="A306" s="38"/>
      <c r="B306" s="38"/>
      <c r="C306" s="38"/>
      <c r="D306" s="38"/>
      <c r="E306" s="494"/>
      <c r="F306" s="494"/>
      <c r="G306" s="494"/>
      <c r="H306" s="494"/>
      <c r="I306" s="494"/>
      <c r="J306" s="494"/>
      <c r="K306" s="494"/>
      <c r="L306" s="494"/>
      <c r="M306" s="494"/>
      <c r="N306" s="494"/>
      <c r="O306" s="545"/>
      <c r="P306" s="545"/>
      <c r="Q306" s="545"/>
      <c r="R306" s="494"/>
      <c r="S306" s="353"/>
    </row>
    <row r="307" spans="1:19" x14ac:dyDescent="0.2">
      <c r="A307" s="38"/>
      <c r="B307" s="38"/>
      <c r="C307" s="38"/>
      <c r="D307" s="38"/>
      <c r="E307" s="494"/>
      <c r="F307" s="494"/>
      <c r="G307" s="494"/>
      <c r="H307" s="494"/>
      <c r="I307" s="494"/>
      <c r="J307" s="494"/>
      <c r="K307" s="494"/>
      <c r="L307" s="494"/>
      <c r="M307" s="494"/>
      <c r="N307" s="494"/>
      <c r="O307" s="545"/>
      <c r="P307" s="545"/>
      <c r="Q307" s="545"/>
      <c r="R307" s="494"/>
      <c r="S307" s="353"/>
    </row>
    <row r="308" spans="1:19" x14ac:dyDescent="0.2">
      <c r="A308" s="38"/>
      <c r="B308" s="38"/>
      <c r="C308" s="38"/>
      <c r="D308" s="38"/>
      <c r="E308" s="494"/>
      <c r="F308" s="494"/>
      <c r="G308" s="494"/>
      <c r="H308" s="494"/>
      <c r="I308" s="494"/>
      <c r="J308" s="494"/>
      <c r="K308" s="494"/>
      <c r="L308" s="494"/>
      <c r="M308" s="494"/>
      <c r="N308" s="494"/>
      <c r="O308" s="545"/>
      <c r="P308" s="545"/>
      <c r="Q308" s="545"/>
      <c r="R308" s="494"/>
      <c r="S308" s="353"/>
    </row>
    <row r="309" spans="1:19" x14ac:dyDescent="0.2">
      <c r="A309" s="38"/>
      <c r="B309" s="38"/>
      <c r="C309" s="38"/>
      <c r="D309" s="38"/>
      <c r="E309" s="494"/>
      <c r="F309" s="494"/>
      <c r="G309" s="494"/>
      <c r="H309" s="494"/>
      <c r="I309" s="494"/>
      <c r="J309" s="494"/>
      <c r="K309" s="494"/>
      <c r="L309" s="494"/>
      <c r="M309" s="494"/>
      <c r="N309" s="494"/>
      <c r="O309" s="545"/>
      <c r="P309" s="545"/>
      <c r="Q309" s="545"/>
      <c r="R309" s="494"/>
      <c r="S309" s="353"/>
    </row>
    <row r="310" spans="1:19" x14ac:dyDescent="0.2">
      <c r="A310" s="38"/>
      <c r="B310" s="38"/>
      <c r="C310" s="38"/>
      <c r="D310" s="38"/>
      <c r="E310" s="494"/>
      <c r="F310" s="494"/>
      <c r="G310" s="494"/>
      <c r="H310" s="494"/>
      <c r="I310" s="494"/>
      <c r="J310" s="494"/>
      <c r="K310" s="494"/>
      <c r="L310" s="494"/>
      <c r="M310" s="494"/>
      <c r="N310" s="494"/>
      <c r="O310" s="545"/>
      <c r="P310" s="545"/>
      <c r="Q310" s="545"/>
      <c r="R310" s="494"/>
      <c r="S310" s="353"/>
    </row>
    <row r="311" spans="1:19" x14ac:dyDescent="0.2">
      <c r="A311" s="38"/>
      <c r="B311" s="38"/>
      <c r="C311" s="38"/>
      <c r="D311" s="38"/>
      <c r="E311" s="494"/>
      <c r="F311" s="494"/>
      <c r="G311" s="494"/>
      <c r="H311" s="494"/>
      <c r="I311" s="494"/>
      <c r="J311" s="494"/>
      <c r="K311" s="494"/>
      <c r="L311" s="494"/>
      <c r="M311" s="494"/>
      <c r="N311" s="494"/>
      <c r="O311" s="545"/>
      <c r="P311" s="545"/>
      <c r="Q311" s="545"/>
      <c r="R311" s="494"/>
      <c r="S311" s="353"/>
    </row>
    <row r="312" spans="1:19" x14ac:dyDescent="0.2">
      <c r="A312" s="38"/>
      <c r="B312" s="38"/>
      <c r="C312" s="38"/>
      <c r="D312" s="38"/>
      <c r="E312" s="494"/>
      <c r="F312" s="494"/>
      <c r="G312" s="494"/>
      <c r="H312" s="494"/>
      <c r="I312" s="494"/>
      <c r="J312" s="494"/>
      <c r="K312" s="494"/>
      <c r="L312" s="494"/>
      <c r="M312" s="494"/>
      <c r="N312" s="494"/>
      <c r="O312" s="545"/>
      <c r="P312" s="545"/>
      <c r="Q312" s="545"/>
      <c r="R312" s="494"/>
      <c r="S312" s="353"/>
    </row>
    <row r="313" spans="1:19" x14ac:dyDescent="0.2">
      <c r="A313" s="38"/>
      <c r="B313" s="38"/>
      <c r="C313" s="38"/>
      <c r="D313" s="38"/>
      <c r="E313" s="494"/>
      <c r="F313" s="494"/>
      <c r="G313" s="494"/>
      <c r="H313" s="494"/>
      <c r="I313" s="494"/>
      <c r="J313" s="494"/>
      <c r="K313" s="494"/>
      <c r="L313" s="494"/>
      <c r="M313" s="494"/>
      <c r="N313" s="494"/>
      <c r="O313" s="545"/>
      <c r="P313" s="545"/>
      <c r="Q313" s="545"/>
      <c r="R313" s="494"/>
      <c r="S313" s="353"/>
    </row>
    <row r="314" spans="1:19" x14ac:dyDescent="0.2">
      <c r="A314" s="38"/>
      <c r="B314" s="38"/>
      <c r="C314" s="38"/>
      <c r="D314" s="38"/>
      <c r="E314" s="494"/>
      <c r="F314" s="494"/>
      <c r="G314" s="494"/>
      <c r="H314" s="494"/>
      <c r="I314" s="494"/>
      <c r="J314" s="494"/>
      <c r="K314" s="494"/>
      <c r="L314" s="494"/>
      <c r="M314" s="494"/>
      <c r="N314" s="494"/>
      <c r="O314" s="545"/>
      <c r="P314" s="545"/>
      <c r="Q314" s="545"/>
      <c r="R314" s="494"/>
      <c r="S314" s="353"/>
    </row>
    <row r="315" spans="1:19" x14ac:dyDescent="0.2">
      <c r="A315" s="38"/>
      <c r="B315" s="38"/>
      <c r="C315" s="38"/>
      <c r="D315" s="38"/>
      <c r="E315" s="494"/>
      <c r="F315" s="494"/>
      <c r="G315" s="494"/>
      <c r="H315" s="494"/>
      <c r="I315" s="494"/>
      <c r="J315" s="494"/>
      <c r="K315" s="494"/>
      <c r="L315" s="494"/>
      <c r="M315" s="494"/>
      <c r="N315" s="494"/>
      <c r="O315" s="545"/>
      <c r="P315" s="545"/>
      <c r="Q315" s="545"/>
      <c r="R315" s="494"/>
      <c r="S315" s="353"/>
    </row>
    <row r="316" spans="1:19" x14ac:dyDescent="0.2">
      <c r="A316" s="38"/>
      <c r="B316" s="38"/>
      <c r="C316" s="38"/>
      <c r="D316" s="38"/>
      <c r="E316" s="494"/>
      <c r="F316" s="494"/>
      <c r="G316" s="494"/>
      <c r="H316" s="494"/>
      <c r="I316" s="494"/>
      <c r="J316" s="494"/>
      <c r="K316" s="494"/>
      <c r="L316" s="494"/>
      <c r="M316" s="494"/>
      <c r="N316" s="494"/>
      <c r="O316" s="545"/>
      <c r="P316" s="545"/>
      <c r="Q316" s="545"/>
      <c r="R316" s="494"/>
      <c r="S316" s="353"/>
    </row>
    <row r="317" spans="1:19" x14ac:dyDescent="0.2">
      <c r="A317" s="38"/>
      <c r="B317" s="38"/>
      <c r="C317" s="38"/>
      <c r="D317" s="38"/>
      <c r="E317" s="494"/>
      <c r="F317" s="494"/>
      <c r="G317" s="494"/>
      <c r="H317" s="494"/>
      <c r="I317" s="494"/>
      <c r="J317" s="494"/>
      <c r="K317" s="494"/>
      <c r="L317" s="494"/>
      <c r="M317" s="494"/>
      <c r="N317" s="494"/>
      <c r="O317" s="545"/>
      <c r="P317" s="545"/>
      <c r="Q317" s="545"/>
      <c r="R317" s="494"/>
      <c r="S317" s="353"/>
    </row>
    <row r="318" spans="1:19" x14ac:dyDescent="0.2">
      <c r="A318" s="38"/>
      <c r="B318" s="38"/>
      <c r="C318" s="38"/>
      <c r="D318" s="38"/>
      <c r="E318" s="494"/>
      <c r="F318" s="494"/>
      <c r="G318" s="494"/>
      <c r="H318" s="494"/>
      <c r="I318" s="494"/>
      <c r="J318" s="494"/>
      <c r="K318" s="494"/>
      <c r="L318" s="494"/>
      <c r="M318" s="494"/>
      <c r="N318" s="494"/>
      <c r="O318" s="545"/>
      <c r="P318" s="545"/>
      <c r="Q318" s="545"/>
      <c r="R318" s="494"/>
      <c r="S318" s="353"/>
    </row>
    <row r="319" spans="1:19" x14ac:dyDescent="0.2">
      <c r="A319" s="38"/>
      <c r="B319" s="38"/>
      <c r="C319" s="38"/>
      <c r="D319" s="38"/>
      <c r="E319" s="494"/>
      <c r="F319" s="494"/>
      <c r="G319" s="494"/>
      <c r="H319" s="494"/>
      <c r="I319" s="494"/>
      <c r="J319" s="494"/>
      <c r="K319" s="494"/>
      <c r="L319" s="494"/>
      <c r="M319" s="494"/>
      <c r="N319" s="494"/>
      <c r="O319" s="545"/>
      <c r="P319" s="545"/>
      <c r="Q319" s="545"/>
      <c r="R319" s="494"/>
      <c r="S319" s="353"/>
    </row>
    <row r="320" spans="1:19" x14ac:dyDescent="0.2">
      <c r="A320" s="38"/>
      <c r="B320" s="38"/>
      <c r="C320" s="38"/>
      <c r="D320" s="38"/>
      <c r="E320" s="494"/>
      <c r="F320" s="494"/>
      <c r="G320" s="494"/>
      <c r="H320" s="494"/>
      <c r="I320" s="494"/>
      <c r="J320" s="494"/>
      <c r="K320" s="494"/>
      <c r="L320" s="494"/>
      <c r="M320" s="494"/>
      <c r="N320" s="494"/>
      <c r="O320" s="545"/>
      <c r="P320" s="545"/>
      <c r="Q320" s="545"/>
      <c r="R320" s="494"/>
      <c r="S320" s="353"/>
    </row>
    <row r="321" spans="1:19" x14ac:dyDescent="0.2">
      <c r="A321" s="38"/>
      <c r="B321" s="38"/>
      <c r="C321" s="38"/>
      <c r="D321" s="38"/>
      <c r="E321" s="494"/>
      <c r="F321" s="494"/>
      <c r="G321" s="494"/>
      <c r="H321" s="494"/>
      <c r="I321" s="494"/>
      <c r="J321" s="494"/>
      <c r="K321" s="494"/>
      <c r="L321" s="494"/>
      <c r="M321" s="494"/>
      <c r="N321" s="494"/>
      <c r="O321" s="545"/>
      <c r="P321" s="545"/>
      <c r="Q321" s="545"/>
      <c r="R321" s="494"/>
      <c r="S321" s="353"/>
    </row>
    <row r="322" spans="1:19" x14ac:dyDescent="0.2">
      <c r="A322" s="38"/>
      <c r="B322" s="38"/>
      <c r="C322" s="38"/>
      <c r="D322" s="38"/>
      <c r="E322" s="494"/>
      <c r="F322" s="494"/>
      <c r="G322" s="494"/>
      <c r="H322" s="494"/>
      <c r="I322" s="494"/>
      <c r="J322" s="494"/>
      <c r="K322" s="494"/>
      <c r="L322" s="494"/>
      <c r="M322" s="494"/>
      <c r="N322" s="494"/>
      <c r="O322" s="545"/>
      <c r="P322" s="545"/>
      <c r="Q322" s="545"/>
      <c r="R322" s="494"/>
      <c r="S322" s="353"/>
    </row>
  </sheetData>
  <pageMargins left="0.7" right="0.7" top="0.75" bottom="0.75" header="0.3" footer="0.3"/>
  <pageSetup paperSize="9" orientation="portrait"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5"/>
  <dimension ref="A1:W116"/>
  <sheetViews>
    <sheetView rightToLeft="1" tabSelected="1" zoomScaleNormal="100" workbookViewId="0">
      <pane xSplit="2" ySplit="4" topLeftCell="D5" activePane="bottomRight" state="frozen"/>
      <selection activeCell="E49" sqref="E49"/>
      <selection pane="topRight" activeCell="E49" sqref="E49"/>
      <selection pane="bottomLeft" activeCell="E49" sqref="E49"/>
      <selection pane="bottomRight" activeCell="M8" sqref="M8"/>
    </sheetView>
  </sheetViews>
  <sheetFormatPr defaultColWidth="19.7109375" defaultRowHeight="12.75" x14ac:dyDescent="0.2"/>
  <cols>
    <col min="1" max="1" width="9.7109375" style="1" hidden="1" customWidth="1"/>
    <col min="2" max="2" width="41" style="1" bestFit="1" customWidth="1"/>
    <col min="3" max="3" width="13.85546875" style="1" hidden="1" customWidth="1"/>
    <col min="4" max="6" width="19.7109375" customWidth="1"/>
    <col min="7" max="7" width="18.5703125" customWidth="1"/>
    <col min="8" max="9" width="17.85546875" customWidth="1"/>
    <col min="10" max="10" width="13.7109375" customWidth="1"/>
    <col min="11" max="12" width="19.7109375" customWidth="1"/>
  </cols>
  <sheetData>
    <row r="1" spans="1:23" x14ac:dyDescent="0.2">
      <c r="B1" s="42"/>
      <c r="C1" s="42"/>
      <c r="D1" s="742"/>
      <c r="E1" s="1067"/>
    </row>
    <row r="2" spans="1:23" x14ac:dyDescent="0.2">
      <c r="D2" s="1565"/>
      <c r="E2" s="1565"/>
      <c r="F2" s="1565"/>
      <c r="G2" s="22"/>
      <c r="H2" s="22"/>
      <c r="I2" s="22"/>
    </row>
    <row r="3" spans="1:23" ht="53.25" customHeight="1" x14ac:dyDescent="0.2">
      <c r="A3" s="39" t="s">
        <v>503</v>
      </c>
      <c r="B3" s="39" t="s">
        <v>503</v>
      </c>
      <c r="C3" s="39"/>
      <c r="D3" s="737" t="s">
        <v>955</v>
      </c>
      <c r="E3" s="738" t="s">
        <v>956</v>
      </c>
      <c r="F3" s="737" t="s">
        <v>957</v>
      </c>
      <c r="G3" s="737" t="s">
        <v>958</v>
      </c>
      <c r="H3" s="737" t="s">
        <v>959</v>
      </c>
      <c r="I3" s="737" t="s">
        <v>960</v>
      </c>
      <c r="K3" s="739" t="s">
        <v>532</v>
      </c>
      <c r="L3" s="739" t="s">
        <v>961</v>
      </c>
    </row>
    <row r="4" spans="1:23" x14ac:dyDescent="0.2">
      <c r="A4" s="39" t="s">
        <v>504</v>
      </c>
      <c r="B4" s="39" t="s">
        <v>504</v>
      </c>
      <c r="C4" s="39"/>
    </row>
    <row r="5" spans="1:23" x14ac:dyDescent="0.2">
      <c r="A5" s="1" t="s">
        <v>250</v>
      </c>
      <c r="B5" s="1" t="s">
        <v>686</v>
      </c>
      <c r="C5" s="1" t="s">
        <v>250</v>
      </c>
      <c r="D5" s="740">
        <f>+VLOOKUP(C5,'ריכוז עלויות'!$A$2:$AV$57,45,0)</f>
        <v>0.55000000000000004</v>
      </c>
      <c r="E5" s="740">
        <f>+VLOOKUP(C5,'ריכוז עלויות'!$A$2:$BJ$57,48,0)</f>
        <v>2.5535013527571495</v>
      </c>
      <c r="F5" s="740">
        <f>+VLOOKUP(C5,'ריכוז עלויות'!$A$2:$AV$57,25,0)</f>
        <v>2.9052346258380535</v>
      </c>
      <c r="G5" s="740">
        <f>+VLOOKUP(C5,'ריכוז עלויות'!$A$2:$AV$57,20,0)</f>
        <v>1.9540848246899047</v>
      </c>
      <c r="H5" s="740">
        <f>+VLOOKUP(C5,'ריכוז עלויות'!$A$2:$AV$57,19,0)*(1+$E$1)</f>
        <v>3.8528551594838332</v>
      </c>
      <c r="I5" s="740">
        <f>+VLOOKUP(C5,'ריכוז עלויות'!$A$2:$AV$57,38,0)*(1+$E$1)</f>
        <v>2.9777055009982734</v>
      </c>
      <c r="K5" s="22">
        <f>+VLOOKUP(C5,'ריכוז עלויות'!$A$2:$AV$57,36,0)</f>
        <v>0.97228031241408752</v>
      </c>
      <c r="L5" s="22">
        <f>+VLOOKUP(C5,'ריכוז עלויות'!$A$2:$AV$57,4,0)</f>
        <v>4.0588668829954146</v>
      </c>
      <c r="M5" s="22"/>
      <c r="N5" s="22"/>
      <c r="O5" s="22"/>
      <c r="P5" s="22"/>
      <c r="Q5" s="22"/>
      <c r="R5" s="22"/>
    </row>
    <row r="6" spans="1:23" x14ac:dyDescent="0.2">
      <c r="A6" s="1" t="s">
        <v>441</v>
      </c>
      <c r="B6" s="1" t="s">
        <v>441</v>
      </c>
      <c r="C6" s="1" t="s">
        <v>441</v>
      </c>
      <c r="D6" s="740">
        <f>+VLOOKUP(C6,'ריכוז עלויות'!$A$2:$AV$57,45,0)</f>
        <v>1.8132650977398053</v>
      </c>
      <c r="E6" s="740">
        <f>+VLOOKUP(C6,'ריכוז עלויות'!$A$2:$BJ$57,48,0)</f>
        <v>5.6824945381809391</v>
      </c>
      <c r="F6" s="740">
        <f>+VLOOKUP(C6,'ריכוז עלויות'!$A$2:$AV$57,25,0)</f>
        <v>3.5598689178437413</v>
      </c>
      <c r="G6" s="740">
        <f>+VLOOKUP(C6,'ריכוז עלויות'!$A$2:$AV$57,20,0)</f>
        <v>2.2983445656015262</v>
      </c>
      <c r="H6" s="740">
        <f>+VLOOKUP(C6,'ריכוז עלויות'!$A$2:$AV$57,19,0)*(1+$E$1)</f>
        <v>2.358645820348944</v>
      </c>
      <c r="I6" s="740">
        <f>+VLOOKUP(C6,'ריכוז עלויות'!$A$2:$AV$57,38,0)*(1+$E$1)</f>
        <v>2.3230712089925856</v>
      </c>
      <c r="J6" s="22"/>
      <c r="K6" s="22">
        <f>+VLOOKUP(C6,'ריכוז עלויות'!$A$2:$AV$57,36,0)</f>
        <v>0.98792469450970533</v>
      </c>
      <c r="L6" s="22">
        <f>+VLOOKUP(C6,'ריכוז עלויות'!$A$2:$AV$57,4,0)</f>
        <v>2.4513420443439879</v>
      </c>
      <c r="M6" s="22"/>
      <c r="N6" s="22"/>
      <c r="O6" s="22"/>
      <c r="P6" s="22"/>
      <c r="Q6" s="22"/>
      <c r="R6" s="22"/>
    </row>
    <row r="7" spans="1:23" x14ac:dyDescent="0.2">
      <c r="A7" s="1" t="s">
        <v>439</v>
      </c>
      <c r="B7" s="1" t="s">
        <v>439</v>
      </c>
      <c r="C7" s="1" t="s">
        <v>439</v>
      </c>
      <c r="D7" s="740">
        <f>+VLOOKUP(C7,'ריכוז עלויות'!$A$2:$AV$57,45,0)</f>
        <v>0.87667263461070755</v>
      </c>
      <c r="E7" s="740">
        <f>+VLOOKUP(C7,'ריכוז עלויות'!$A$2:$BJ$57,48,0)</f>
        <v>4.4930257807474794</v>
      </c>
      <c r="F7" s="740">
        <f>+VLOOKUP(C7,'ריכוז עלויות'!$A$2:$AV$57,25,0)</f>
        <v>3.2533424438754586</v>
      </c>
      <c r="G7" s="740">
        <f>+VLOOKUP(C7,'ריכוז עלויות'!$A$2:$AV$57,20,0)</f>
        <v>2.4900661081544948</v>
      </c>
      <c r="H7" s="740">
        <f>+VLOOKUP(C7,'ריכוז עלויות'!$A$2:$AV$57,19,0)*(1+$E$1)</f>
        <v>2.7149333875304569</v>
      </c>
      <c r="I7" s="740">
        <f>+VLOOKUP(C7,'ריכוז עלויות'!$A$2:$AV$57,38,0)*(1+$E$1)</f>
        <v>2.6295976829608683</v>
      </c>
      <c r="J7" s="22"/>
      <c r="K7" s="22">
        <f>+VLOOKUP(C7,'ריכוז עלויות'!$A$2:$AV$57,36,0)</f>
        <v>0.96607743036092963</v>
      </c>
      <c r="L7" s="22">
        <f>+VLOOKUP(C7,'ריכוז עלויות'!$A$2:$AV$57,4,0)</f>
        <v>3.1962129649201172</v>
      </c>
      <c r="M7" s="22"/>
      <c r="N7" s="22"/>
      <c r="O7" s="22"/>
      <c r="P7" s="22"/>
      <c r="Q7" s="22"/>
      <c r="R7" s="22"/>
    </row>
    <row r="8" spans="1:23" x14ac:dyDescent="0.2">
      <c r="A8" s="1" t="s">
        <v>440</v>
      </c>
      <c r="B8" s="1" t="s">
        <v>440</v>
      </c>
      <c r="C8" s="1" t="s">
        <v>440</v>
      </c>
      <c r="D8" s="740">
        <f>+VLOOKUP(C8,'ריכוז עלויות'!$A$2:$AV$57,45,0)</f>
        <v>0.55000000000000004</v>
      </c>
      <c r="E8" s="740">
        <f>+VLOOKUP(C8,'ריכוז עלויות'!$A$2:$BJ$57,48,0)</f>
        <v>2.5839676047312956</v>
      </c>
      <c r="F8" s="740">
        <f>+VLOOKUP(C8,'ריכוז עלויות'!$A$2:$AV$57,25,0)</f>
        <v>2.6655594017591997</v>
      </c>
      <c r="G8" s="740">
        <f>+VLOOKUP(C8,'ריכוז עלויות'!$A$2:$AV$57,20,0)</f>
        <v>2.3222597637700733</v>
      </c>
      <c r="H8" s="740">
        <f>+VLOOKUP(C8,'ריכוז עלויות'!$A$2:$AV$57,19,0)*(1+$E$1)</f>
        <v>3.99845556698657</v>
      </c>
      <c r="I8" s="740">
        <f>+VLOOKUP(C8,'ריכוז עלויות'!$A$2:$AV$57,38,0)*(1+$E$1)</f>
        <v>3.2173807250771271</v>
      </c>
      <c r="K8" s="22">
        <f>+VLOOKUP(C8,'ריכוז עלויות'!$A$2:$AV$57,36,0)</f>
        <v>0.91964164861930664</v>
      </c>
      <c r="L8" s="22">
        <f>+VLOOKUP(C8,'ריכוז עלויות'!$A$2:$AV$57,4,0)</f>
        <v>3.6906919439152461</v>
      </c>
      <c r="M8" s="22"/>
      <c r="N8" s="22"/>
      <c r="O8" s="22"/>
      <c r="P8" s="22"/>
      <c r="Q8" s="22"/>
      <c r="R8" s="22"/>
    </row>
    <row r="9" spans="1:23" x14ac:dyDescent="0.2">
      <c r="A9" s="1" t="s">
        <v>442</v>
      </c>
      <c r="B9" s="1" t="s">
        <v>442</v>
      </c>
      <c r="C9" s="1" t="s">
        <v>442</v>
      </c>
      <c r="D9" s="740">
        <f>+VLOOKUP(C9,'ריכוז עלויות'!$A$2:$AV$57,45,0)</f>
        <v>2.3427638880035859</v>
      </c>
      <c r="E9" s="740">
        <f>+VLOOKUP(C9,'ריכוז עלויות'!$A$2:$BJ$57,48,0)</f>
        <v>6.0836115091512122</v>
      </c>
      <c r="F9" s="740">
        <f>+VLOOKUP(C9,'ריכוז עלויות'!$A$2:$AV$57,25,0)</f>
        <v>4.1095868214780644</v>
      </c>
      <c r="G9" s="740">
        <f>+VLOOKUP(C9,'ריכוז עלויות'!$A$2:$AV$57,20,0)</f>
        <v>1.7483187566874472</v>
      </c>
      <c r="H9" s="740">
        <f>+VLOOKUP(C9,'ריכוז עלויות'!$A$2:$AV$57,19,0)*(1+$E$1)</f>
        <v>1.8086200114348658</v>
      </c>
      <c r="I9" s="740">
        <f>+VLOOKUP(C9,'ריכוז עלויות'!$A$2:$AV$57,38,0)*(1+$E$1)</f>
        <v>1.7733533053582624</v>
      </c>
      <c r="K9" s="22">
        <f>+VLOOKUP(C9,'ריכוז עלויות'!$A$2:$AV$57,36,0)</f>
        <v>0.96850434384552075</v>
      </c>
      <c r="L9" s="22">
        <f>+VLOOKUP(C9,'ריכוז עלויות'!$A$2:$AV$57,4,0)</f>
        <v>2.4718690629942861</v>
      </c>
      <c r="M9" s="22"/>
      <c r="N9" s="22"/>
      <c r="O9" s="22"/>
      <c r="P9" s="22"/>
      <c r="Q9" s="22"/>
      <c r="R9" s="22"/>
    </row>
    <row r="10" spans="1:23" x14ac:dyDescent="0.2">
      <c r="A10" s="1" t="s">
        <v>443</v>
      </c>
      <c r="B10" s="1" t="s">
        <v>443</v>
      </c>
      <c r="C10" s="1" t="s">
        <v>443</v>
      </c>
      <c r="D10" s="740">
        <f>+VLOOKUP(C10,'ריכוז עלויות'!$A$2:$AV$57,45,0)</f>
        <v>0.55000000000000004</v>
      </c>
      <c r="E10" s="740">
        <f>+VLOOKUP(C10,'ריכוז עלויות'!$A$2:$BJ$57,48,0)</f>
        <v>1.5501393849805685</v>
      </c>
      <c r="F10" s="740">
        <f>+VLOOKUP(C10,'ריכוז עלויות'!$A$2:$AV$57,25,0)</f>
        <v>3.1003699091364085</v>
      </c>
      <c r="G10" s="740">
        <f>+VLOOKUP(C10,'ריכוז עלויות'!$A$2:$AV$57,20,0)</f>
        <v>1.5195974019035114</v>
      </c>
      <c r="H10" s="740">
        <f>+VLOOKUP(C10,'ריכוז עלויות'!$A$2:$AV$57,19,0)*(1+$E$1)</f>
        <v>3.995130633618488</v>
      </c>
      <c r="I10" s="740">
        <f>+VLOOKUP(C10,'ריכוז עלויות'!$A$2:$AV$57,38,0)*(1+$E$1)</f>
        <v>2.7825702176999183</v>
      </c>
      <c r="K10" s="22">
        <f>+VLOOKUP(C10,'ריכוז עלויות'!$A$2:$AV$57,36,0)</f>
        <v>0.84050488338698426</v>
      </c>
      <c r="L10" s="22">
        <f>+VLOOKUP(C10,'ריכוז עלויות'!$A$2:$AV$57,4,0)</f>
        <v>4.4933543057818079</v>
      </c>
      <c r="M10" s="22"/>
      <c r="N10" s="22"/>
      <c r="O10" s="22"/>
      <c r="P10" s="22"/>
      <c r="Q10" s="22"/>
      <c r="R10" s="22"/>
    </row>
    <row r="11" spans="1:23" x14ac:dyDescent="0.2">
      <c r="A11" s="1" t="s">
        <v>265</v>
      </c>
      <c r="B11" s="1" t="s">
        <v>265</v>
      </c>
      <c r="C11" s="1" t="s">
        <v>265</v>
      </c>
      <c r="D11" s="740">
        <f>+VLOOKUP(C11,'ריכוז עלויות'!$A$2:$AV$57,45,0)</f>
        <v>1.1063997922574056</v>
      </c>
      <c r="E11" s="740">
        <f>+VLOOKUP(C11,'ריכוז עלויות'!$A$2:$BJ$57,48,0)</f>
        <v>4.7077834539718095</v>
      </c>
      <c r="F11" s="740">
        <f>+VLOOKUP(C11,'ריכוז עלויות'!$A$2:$AV$57,25,0)</f>
        <v>3.928342107488294</v>
      </c>
      <c r="G11" s="740">
        <f>+VLOOKUP(C11,'ריכוז עלויות'!$A$2:$AV$57,20,0)</f>
        <v>1.8388884738730042</v>
      </c>
      <c r="H11" s="740">
        <f>+VLOOKUP(C11,'ריכוז עלויות'!$A$2:$AV$57,19,0)*(1+$E$1)</f>
        <v>1.9991563785493187</v>
      </c>
      <c r="I11" s="740">
        <f>+VLOOKUP(C11,'ריכוז עלויות'!$A$2:$AV$57,38,0)*(1+$E$1)</f>
        <v>1.9545980193480328</v>
      </c>
      <c r="K11" s="22">
        <f>+VLOOKUP(C11,'ריכוז עלויות'!$A$2:$AV$57,36,0)</f>
        <v>0.95200607136475135</v>
      </c>
      <c r="L11" s="22">
        <f>+VLOOKUP(C11,'ריכוז עלויות'!$A$2:$AV$57,4,0)</f>
        <v>3.6176634415549098</v>
      </c>
      <c r="M11" s="22"/>
      <c r="N11" s="22"/>
      <c r="O11" s="22"/>
      <c r="P11" s="22"/>
      <c r="Q11" s="22"/>
      <c r="R11" s="22"/>
    </row>
    <row r="12" spans="1:23" x14ac:dyDescent="0.2">
      <c r="A12" s="1" t="s">
        <v>444</v>
      </c>
      <c r="B12" s="1" t="s">
        <v>444</v>
      </c>
      <c r="C12" s="1" t="s">
        <v>444</v>
      </c>
      <c r="D12" s="740">
        <f>+VLOOKUP(C12,'ריכוז עלויות'!$A$2:$AV$57,45,0)</f>
        <v>0.55000000000000004</v>
      </c>
      <c r="E12" s="740">
        <f>+VLOOKUP(C12,'ריכוז עלויות'!$A$2:$BJ$57,48,0)</f>
        <v>1.6026543495414303</v>
      </c>
      <c r="F12" s="740">
        <f>+VLOOKUP(C12,'ריכוז עלויות'!$A$2:$AV$57,25,0)</f>
        <v>2.7589385359569873</v>
      </c>
      <c r="G12" s="740">
        <f>+VLOOKUP(C12,'ריכוז עלויות'!$A$2:$AV$57,20,0)</f>
        <v>1.6279300007271686</v>
      </c>
      <c r="H12" s="740">
        <f>+VLOOKUP(C12,'ריכוז עלויות'!$A$2:$AV$57,19,0)*(1+$E$1)</f>
        <v>4.4260538056723746</v>
      </c>
      <c r="I12" s="740">
        <f>+VLOOKUP(C12,'ריכוז עלויות'!$A$2:$AV$57,38,0)*(1+$E$1)</f>
        <v>3.1240015908793395</v>
      </c>
      <c r="K12" s="22">
        <f>+VLOOKUP(C12,'ריכוז עלויות'!$A$2:$AV$57,36,0)</f>
        <v>0.95114735207717493</v>
      </c>
      <c r="L12" s="22">
        <f>+VLOOKUP(C12,'ריכוז עלויות'!$A$2:$AV$57,4,0)</f>
        <v>4.3850217069581507</v>
      </c>
      <c r="M12" s="22"/>
      <c r="N12" s="22"/>
      <c r="O12" s="22"/>
      <c r="P12" s="22"/>
      <c r="Q12" s="22"/>
      <c r="R12" s="22"/>
    </row>
    <row r="13" spans="1:23" x14ac:dyDescent="0.2">
      <c r="A13" s="1" t="s">
        <v>962</v>
      </c>
      <c r="B13" s="1" t="s">
        <v>687</v>
      </c>
      <c r="C13" s="1" t="s">
        <v>687</v>
      </c>
      <c r="D13" s="740">
        <f>+VLOOKUP(C13,'ריכוז עלויות'!$A$2:$AV$57,45,0)</f>
        <v>1.0364180392940001</v>
      </c>
      <c r="E13" s="740">
        <f>+VLOOKUP(C13,'ריכוז עלויות'!$A$2:$BJ$57,48,0)</f>
        <v>4.9144376604851479</v>
      </c>
      <c r="F13" s="740">
        <f>+VLOOKUP(C13,'ריכוז עלויות'!$A$2:$AV$57,25,0)</f>
        <v>4.1711787425252957</v>
      </c>
      <c r="G13" s="740">
        <f>+VLOOKUP(C13,'ריכוז עלויות'!$A$2:$AV$57,20,0)</f>
        <v>1.6658952959992486</v>
      </c>
      <c r="H13" s="740">
        <f>+VLOOKUP(C13,'ריכוז עלויות'!$A$2:$AV$57,19,0)*(1+$E$1)</f>
        <v>1.7261965507466663</v>
      </c>
      <c r="I13" s="740">
        <f>+VLOOKUP(C13,'ריכוז עלויות'!$A$2:$AV$57,38,0)*(1+$E$1)</f>
        <v>1.7117613843110311</v>
      </c>
      <c r="K13" s="22">
        <f>+VLOOKUP(C13,'ריכוז עלויות'!$A$2:$AV$57,36,0)</f>
        <v>0.98780600657987749</v>
      </c>
      <c r="L13" s="22">
        <f>+VLOOKUP(C13,'ריכוז עלויות'!$A$2:$AV$57,4,0)</f>
        <v>3.8606383723920703</v>
      </c>
      <c r="M13" s="22"/>
      <c r="N13" s="22"/>
      <c r="O13" s="22"/>
      <c r="P13" s="22"/>
      <c r="Q13" s="22"/>
      <c r="R13" s="22"/>
    </row>
    <row r="14" spans="1:23" s="719" customFormat="1" x14ac:dyDescent="0.2">
      <c r="A14" s="719" t="s">
        <v>963</v>
      </c>
      <c r="B14" s="1" t="s">
        <v>688</v>
      </c>
      <c r="C14" s="719" t="s">
        <v>266</v>
      </c>
      <c r="D14" s="740">
        <f>+VLOOKUP(C14,'ריכוז עלויות'!$A$2:$AV$57,45,0)</f>
        <v>0.99561684708236053</v>
      </c>
      <c r="E14" s="740">
        <f>+VLOOKUP(C14,'ריכוז עלויות'!$A$2:$BJ$57,48,0)</f>
        <v>4.8222354183549747</v>
      </c>
      <c r="F14" s="740">
        <f>+VLOOKUP(C14,'ריכוז עלויות'!$A$2:$AV$57,25,0)</f>
        <v>3.6361500284823061</v>
      </c>
      <c r="G14" s="740">
        <f>+VLOOKUP(C14,'ריכוז עלויות'!$A$2:$AV$57,20,0)</f>
        <v>2.1964882530278791</v>
      </c>
      <c r="H14" s="740">
        <f>+VLOOKUP(C14,'ריכוז עלויות'!$A$2:$AV$57,19,0)*(1+$E$1)</f>
        <v>2.2742867052738767</v>
      </c>
      <c r="I14" s="740">
        <f>+VLOOKUP(C14,'ריכוז עלויות'!$A$2:$AV$57,38,0)*(1+$E$1)</f>
        <v>2.2467900983540208</v>
      </c>
      <c r="J14" s="22"/>
      <c r="K14" s="22">
        <f>+VLOOKUP(C14,'ריכוז עלויות'!$A$2:$AV$57,36,0)</f>
        <v>0.98076591896674681</v>
      </c>
      <c r="L14" s="22">
        <f>+VLOOKUP(C14,'ריכוז עלויות'!$A$2:$AV$57,4,0)</f>
        <v>3.3708466075750794</v>
      </c>
      <c r="M14" s="22"/>
      <c r="N14" s="22"/>
      <c r="O14" s="22"/>
      <c r="P14" s="22"/>
      <c r="Q14" s="22"/>
      <c r="R14" s="22"/>
      <c r="S14" s="22"/>
      <c r="T14" s="22"/>
      <c r="U14" s="22"/>
      <c r="V14" s="22"/>
      <c r="W14" s="22"/>
    </row>
    <row r="15" spans="1:23" x14ac:dyDescent="0.2">
      <c r="A15" s="1" t="s">
        <v>271</v>
      </c>
      <c r="B15" s="1" t="s">
        <v>689</v>
      </c>
      <c r="C15" s="1" t="s">
        <v>271</v>
      </c>
      <c r="D15" s="740">
        <f>+VLOOKUP(C15,'ריכוז עלויות'!$A$2:$AV$57,45,0)</f>
        <v>1.9926984472293323</v>
      </c>
      <c r="E15" s="740">
        <f>+VLOOKUP(C15,'ריכוז עלויות'!$A$2:$BJ$57,48,0)</f>
        <v>5.7615439236517947</v>
      </c>
      <c r="F15" s="740">
        <f>+VLOOKUP(C15,'ריכוז עלויות'!$A$2:$AV$57,25,0)</f>
        <v>4.2033781003153603</v>
      </c>
      <c r="G15" s="740">
        <f>+VLOOKUP(C15,'ריכוז עלויות'!$A$2:$AV$57,20,0)</f>
        <v>1.6477682384652041</v>
      </c>
      <c r="H15" s="740">
        <f>+VLOOKUP(C15,'ריכוז עלויות'!$A$2:$AV$57,19,0)*(1+$E$1)</f>
        <v>1.708069493212621</v>
      </c>
      <c r="I15" s="740">
        <f>+VLOOKUP(C15,'ריכוז עלויות'!$A$2:$AV$57,38,0)*(1+$E$1)</f>
        <v>1.6795620265209665</v>
      </c>
      <c r="K15" s="22">
        <f>+VLOOKUP(C15,'ריכוז עלויות'!$A$2:$AV$57,36,0)</f>
        <v>0.97136578616999725</v>
      </c>
      <c r="L15" s="22">
        <f>+VLOOKUP(C15,'ריכוז עלויות'!$A$2:$AV$57,4,0)</f>
        <v>2.9224850219907825</v>
      </c>
      <c r="M15" s="22"/>
      <c r="N15" s="22"/>
      <c r="O15" s="22"/>
      <c r="P15" s="22"/>
      <c r="Q15" s="22"/>
      <c r="R15" s="22"/>
    </row>
    <row r="16" spans="1:23" x14ac:dyDescent="0.2">
      <c r="A16" s="1" t="s">
        <v>531</v>
      </c>
      <c r="B16" s="1" t="s">
        <v>690</v>
      </c>
      <c r="C16" s="1" t="s">
        <v>531</v>
      </c>
      <c r="D16" s="740">
        <f>+VLOOKUP(C16,'ריכוז עלויות'!$A$2:$AV$57,45,0)</f>
        <v>1.7624084608696076</v>
      </c>
      <c r="E16" s="740">
        <f>+VLOOKUP(C16,'ריכוז עלויות'!$A$2:$BJ$57,48,0)</f>
        <v>5.0412861996658469</v>
      </c>
      <c r="F16" s="740">
        <f>+VLOOKUP(C16,'ריכוז עלויות'!$A$2:$AV$57,25,0)</f>
        <v>3.5603274724898299</v>
      </c>
      <c r="G16" s="740">
        <f>+VLOOKUP(C16,'ריכוז עלויות'!$A$2:$AV$57,20,0)</f>
        <v>2.2211582778880454</v>
      </c>
      <c r="H16" s="740">
        <f>+VLOOKUP(C16,'ריכוז עלויות'!$A$2:$AV$57,19,0)*(1+$E$1)</f>
        <v>2.4387925432327324</v>
      </c>
      <c r="I16" s="740">
        <f>+VLOOKUP(C16,'ריכוז עלויות'!$A$2:$AV$57,38,0)*(1+$E$1)</f>
        <v>2.3226126543464969</v>
      </c>
      <c r="K16" s="22">
        <f>+VLOOKUP(C16,'ריכוז עלויות'!$A$2:$AV$57,36,0)</f>
        <v>0.90936203484588052</v>
      </c>
      <c r="L16" s="22">
        <f>+VLOOKUP(C16,'ריכוז עלויות'!$A$2:$AV$57,4,0)</f>
        <v>2.5793849689276667</v>
      </c>
      <c r="M16" s="22"/>
      <c r="N16" s="22"/>
      <c r="O16" s="22"/>
      <c r="P16" s="22"/>
      <c r="Q16" s="22"/>
      <c r="R16" s="22"/>
    </row>
    <row r="17" spans="1:18" x14ac:dyDescent="0.2">
      <c r="A17" s="1" t="s">
        <v>964</v>
      </c>
      <c r="B17" s="1" t="s">
        <v>691</v>
      </c>
      <c r="C17" s="1" t="s">
        <v>691</v>
      </c>
      <c r="D17" s="740">
        <f>+VLOOKUP(C17,'ריכוז עלויות'!$A$2:$AV$57,45,0)</f>
        <v>0.96768963014608311</v>
      </c>
      <c r="E17" s="740">
        <f>+VLOOKUP(C17,'ריכוז עלויות'!$A$2:$BJ$57,48,0)</f>
        <v>4.3833622866958235</v>
      </c>
      <c r="F17" s="740">
        <f>+VLOOKUP(C17,'ריכוז עלויות'!$A$2:$AV$57,25,0)</f>
        <v>3.6443403299779744</v>
      </c>
      <c r="G17" s="740">
        <f>+VLOOKUP(C17,'ריכוז עלויות'!$A$2:$AV$57,20,0)</f>
        <v>2.0949801290834844</v>
      </c>
      <c r="H17" s="740">
        <f>+VLOOKUP(C17,'ריכוז עלויות'!$A$2:$AV$57,19,0)*(1+$E$1)</f>
        <v>2.3014462916373719</v>
      </c>
      <c r="I17" s="740">
        <f>+VLOOKUP(C17,'ריכוז עלויות'!$A$2:$AV$57,38,0)*(1+$E$1)</f>
        <v>2.2385997968583524</v>
      </c>
      <c r="K17" s="22">
        <f>+VLOOKUP(C17,'ריכוז עלויות'!$A$2:$AV$57,36,0)</f>
        <v>0.92083366383259735</v>
      </c>
      <c r="L17" s="22">
        <f>+VLOOKUP(C17,'ריכוז עלויות'!$A$2:$AV$57,4,0)</f>
        <v>3.5002819484557519</v>
      </c>
      <c r="M17" s="22"/>
      <c r="N17" s="22"/>
      <c r="O17" s="22"/>
      <c r="P17" s="22"/>
      <c r="Q17" s="22"/>
      <c r="R17" s="22"/>
    </row>
    <row r="18" spans="1:18" x14ac:dyDescent="0.2">
      <c r="A18" s="1" t="s">
        <v>208</v>
      </c>
      <c r="B18" s="1" t="s">
        <v>692</v>
      </c>
      <c r="C18" s="1" t="s">
        <v>530</v>
      </c>
      <c r="D18" s="740">
        <f>+VLOOKUP(C18,'ריכוז עלויות'!$A$2:$AV$57,45,0)</f>
        <v>1.3399708680461135</v>
      </c>
      <c r="E18" s="740">
        <f>+VLOOKUP(C18,'ריכוז עלויות'!$A$2:$BJ$57,48,0)</f>
        <v>5.0391230520283301</v>
      </c>
      <c r="F18" s="740">
        <f>+VLOOKUP(C18,'ריכוז עלויות'!$A$2:$AV$57,25,0)</f>
        <v>4.0393095082611108</v>
      </c>
      <c r="G18" s="740">
        <f>+VLOOKUP(C18,'ריכוז עלויות'!$A$2:$AV$57,20,0)</f>
        <v>1.8043953231012466</v>
      </c>
      <c r="H18" s="740">
        <f>+VLOOKUP(C18,'ריכוז עלויות'!$A$2:$AV$57,19,0)*(1+$E$1)</f>
        <v>1.8646965778486635</v>
      </c>
      <c r="I18" s="740">
        <f>+VLOOKUP(C18,'ריכוז עלויות'!$A$2:$AV$57,38,0)*(1+$E$1)</f>
        <v>1.843630618575216</v>
      </c>
      <c r="K18" s="22">
        <f>+VLOOKUP(C18,'ריכוז עלויות'!$A$2:$AV$57,36,0)</f>
        <v>0.95462220241296025</v>
      </c>
      <c r="L18" s="22">
        <f>+VLOOKUP(C18,'ריכוז עלויות'!$A$2:$AV$57,4,0)</f>
        <v>3.4185855165379593</v>
      </c>
      <c r="M18" s="22"/>
      <c r="N18" s="22"/>
      <c r="O18" s="22"/>
      <c r="P18" s="22"/>
      <c r="Q18" s="22"/>
      <c r="R18" s="22"/>
    </row>
    <row r="19" spans="1:18" x14ac:dyDescent="0.2">
      <c r="A19" s="1" t="s">
        <v>965</v>
      </c>
      <c r="B19" s="1" t="s">
        <v>693</v>
      </c>
      <c r="C19" s="1" t="s">
        <v>529</v>
      </c>
      <c r="D19" s="740">
        <f>+VLOOKUP(C19,'ריכוז עלויות'!$A$2:$AV$57,45,0)</f>
        <v>0.9329883280748229</v>
      </c>
      <c r="E19" s="740">
        <f>+VLOOKUP(C19,'ריכוז עלויות'!$A$2:$BJ$57,48,0)</f>
        <v>4.7638787857872211</v>
      </c>
      <c r="F19" s="740">
        <f>+VLOOKUP(C19,'ריכוז עלויות'!$A$2:$AV$57,25,0)</f>
        <v>3.8774221272444844</v>
      </c>
      <c r="G19" s="740">
        <f>+VLOOKUP(C19,'ריכוז עלויות'!$A$2:$AV$57,20,0)</f>
        <v>1.9625502905297294</v>
      </c>
      <c r="H19" s="740">
        <f>+VLOOKUP(C19,'ריכוז עלויות'!$A$2:$AV$57,19,0)*(1+$E$1)</f>
        <v>2.0228515452771481</v>
      </c>
      <c r="I19" s="740">
        <f>+VLOOKUP(C19,'ריכוז עלויות'!$A$2:$AV$57,38,0)*(1+$E$1)</f>
        <v>2.0055179995918424</v>
      </c>
      <c r="K19" s="22">
        <f>+VLOOKUP(C19,'ריכוז עלויות'!$A$2:$AV$57,36,0)</f>
        <v>0.97787299764567381</v>
      </c>
      <c r="L19" s="22">
        <f>+VLOOKUP(C19,'ריכוז עלויות'!$A$2:$AV$57,4,0)</f>
        <v>3.6674130890807666</v>
      </c>
      <c r="M19" s="22"/>
      <c r="N19" s="22"/>
      <c r="O19" s="22"/>
      <c r="P19" s="22"/>
      <c r="Q19" s="22"/>
      <c r="R19" s="22"/>
    </row>
    <row r="20" spans="1:18" x14ac:dyDescent="0.2">
      <c r="A20" s="46" t="s">
        <v>252</v>
      </c>
      <c r="B20" s="1" t="s">
        <v>694</v>
      </c>
      <c r="C20" s="1" t="s">
        <v>252</v>
      </c>
      <c r="D20" s="740">
        <f>+VLOOKUP(C20,'ריכוז עלויות'!$A$2:$AV$57,45,0)</f>
        <v>0.55000000000000004</v>
      </c>
      <c r="E20" s="740">
        <f>+VLOOKUP(C20,'ריכוז עלויות'!$A$2:$BJ$57,48,0)</f>
        <v>2.6968639745798972</v>
      </c>
      <c r="F20" s="740">
        <f>+VLOOKUP(C20,'ריכוז עלויות'!$A$2:$AV$57,25,0)</f>
        <v>3.0778928965812895</v>
      </c>
      <c r="G20" s="740">
        <f>+VLOOKUP(C20,'ריכוז עלויות'!$A$2:$AV$57,20,0)</f>
        <v>1.9368504772218982</v>
      </c>
      <c r="H20" s="740">
        <f>+VLOOKUP(C20,'ריכוז עלויות'!$A$2:$AV$57,19,0)*(1+$E$1)</f>
        <v>3.5172565620796172</v>
      </c>
      <c r="I20" s="740">
        <f>+VLOOKUP(C20,'ריכוז עלויות'!$A$2:$AV$57,38,0)*(1+$E$1)</f>
        <v>2.8050472302550373</v>
      </c>
      <c r="K20" s="22">
        <f>+VLOOKUP(C20,'ריכוז עלויות'!$A$2:$AV$57,36,0)</f>
        <v>0.92543900475142571</v>
      </c>
      <c r="L20" s="22">
        <f>+VLOOKUP(C20,'ריכוז עלויות'!$A$2:$AV$57,4,0)</f>
        <v>4.0761012304634212</v>
      </c>
      <c r="M20" s="22"/>
      <c r="N20" s="22"/>
      <c r="O20" s="22"/>
      <c r="P20" s="22"/>
      <c r="Q20" s="22"/>
      <c r="R20" s="22"/>
    </row>
    <row r="21" spans="1:18" x14ac:dyDescent="0.2">
      <c r="A21" s="46" t="s">
        <v>681</v>
      </c>
      <c r="B21" s="1" t="s">
        <v>966</v>
      </c>
      <c r="C21" s="1" t="s">
        <v>681</v>
      </c>
      <c r="D21" s="740">
        <f>+VLOOKUP(C21,'ריכוז עלויות'!$A$2:$AV$57,45,0)</f>
        <v>0.70464160480847837</v>
      </c>
      <c r="E21" s="740">
        <f>+VLOOKUP(C21,'ריכוז עלויות'!$A$2:$BJ$57,48,0)</f>
        <v>4.4081020477591419</v>
      </c>
      <c r="F21" s="740">
        <f>+VLOOKUP(C21,'ריכוז עלויות'!$A$2:$AV$57,25,0)</f>
        <v>3.6218096604910044</v>
      </c>
      <c r="G21" s="740">
        <f>+VLOOKUP(C21,'ריכוז עלויות'!$A$2:$AV$57,20,0)</f>
        <v>2.2185779716510345</v>
      </c>
      <c r="H21" s="740">
        <f>+VLOOKUP(C21,'ריכוז עלויות'!$A$2:$AV$57,19,0)*(1+$E$1)</f>
        <v>2.2788792263984523</v>
      </c>
      <c r="I21" s="740">
        <f>+VLOOKUP(C21,'ריכוז עלויות'!$A$2:$AV$57,38,0)*(1+$E$1)</f>
        <v>2.2611304663453224</v>
      </c>
      <c r="K21" s="22">
        <f>+VLOOKUP(C21,'ריכוז עלויות'!$A$2:$AV$57,36,0)</f>
        <v>0.94934116566757454</v>
      </c>
      <c r="L21" s="22">
        <f>+VLOOKUP(C21,'ריכוז עלויות'!$A$2:$AV$57,4,0)</f>
        <v>3.6397321312258062</v>
      </c>
      <c r="M21" s="22"/>
      <c r="N21" s="22"/>
      <c r="O21" s="22"/>
      <c r="P21" s="22"/>
      <c r="Q21" s="22"/>
      <c r="R21" s="22"/>
    </row>
    <row r="22" spans="1:18" x14ac:dyDescent="0.2">
      <c r="A22" s="1" t="s">
        <v>967</v>
      </c>
      <c r="B22" s="1" t="s">
        <v>695</v>
      </c>
      <c r="C22" s="1" t="s">
        <v>267</v>
      </c>
      <c r="D22" s="740">
        <f>+VLOOKUP(C22,'ריכוז עלויות'!$A$2:$AV$57,45,0)</f>
        <v>0.55000000000000004</v>
      </c>
      <c r="E22" s="740">
        <f>+VLOOKUP(C22,'ריכוז עלויות'!$A$2:$BJ$57,48,0)</f>
        <v>3.4167931372182521</v>
      </c>
      <c r="F22" s="740">
        <f>+VLOOKUP(C22,'ריכוז עלויות'!$A$2:$AV$57,25,0)</f>
        <v>3.3244560620848818</v>
      </c>
      <c r="G22" s="740">
        <f>+VLOOKUP(C22,'ריכוז עלויות'!$A$2:$AV$57,20,0)</f>
        <v>2.0075845339907801</v>
      </c>
      <c r="H22" s="740">
        <f>+VLOOKUP(C22,'ריכוז עלויות'!$A$2:$AV$57,19,0)*(1+$E$1)</f>
        <v>2.9934500901616579</v>
      </c>
      <c r="I22" s="740">
        <f>+VLOOKUP(C22,'ריכוז עלויות'!$A$2:$AV$57,38,0)*(1+$E$1)</f>
        <v>2.5584840647514451</v>
      </c>
      <c r="K22" s="22">
        <f>+VLOOKUP(C22,'ריכוז עלויות'!$A$2:$AV$57,36,0)</f>
        <v>0.96310012393119881</v>
      </c>
      <c r="L22" s="22">
        <f>+VLOOKUP(C22,'ריכוז עלויות'!$A$2:$AV$57,4,0)</f>
        <v>4.0053671736945393</v>
      </c>
      <c r="M22" s="22"/>
      <c r="N22" s="22"/>
      <c r="O22" s="22"/>
      <c r="P22" s="22"/>
      <c r="Q22" s="22"/>
      <c r="R22" s="22"/>
    </row>
    <row r="23" spans="1:18" x14ac:dyDescent="0.2">
      <c r="A23" s="1" t="s">
        <v>15</v>
      </c>
      <c r="B23" s="1" t="s">
        <v>696</v>
      </c>
      <c r="C23" s="1" t="s">
        <v>253</v>
      </c>
      <c r="D23" s="740">
        <f>+VLOOKUP(C23,'ריכוז עלויות'!$A$2:$AV$57,45,0)</f>
        <v>1.1460354778797033</v>
      </c>
      <c r="E23" s="740">
        <f>+VLOOKUP(C23,'ריכוז עלויות'!$A$2:$BJ$57,48,0)</f>
        <v>4.8990132872360226</v>
      </c>
      <c r="F23" s="740">
        <f>+VLOOKUP(C23,'ריכוז עלויות'!$A$2:$AV$57,25,0)</f>
        <v>4.0296794089843804</v>
      </c>
      <c r="G23" s="740">
        <f>+VLOOKUP(C23,'ריכוז עלויות'!$A$2:$AV$57,20,0)</f>
        <v>1.8112187428212811</v>
      </c>
      <c r="H23" s="740">
        <f>+VLOOKUP(C23,'ריכוז עלויות'!$A$2:$AV$57,19,0)*(1+$E$1)</f>
        <v>1.8715199975686989</v>
      </c>
      <c r="I23" s="740">
        <f>+VLOOKUP(C23,'ריכוז עלויות'!$A$2:$AV$57,38,0)*(1+$E$1)</f>
        <v>1.8532607178519465</v>
      </c>
      <c r="K23" s="22">
        <f>+VLOOKUP(C23,'ריכוז עלויות'!$A$2:$AV$57,36,0)</f>
        <v>0.96347721337596004</v>
      </c>
      <c r="L23" s="22">
        <f>+VLOOKUP(C23,'ריכוז עלויות'!$A$2:$AV$57,4,0)</f>
        <v>3.6056974869843348</v>
      </c>
      <c r="M23" s="22"/>
      <c r="N23" s="22"/>
      <c r="O23" s="22"/>
      <c r="P23" s="22"/>
      <c r="Q23" s="22"/>
      <c r="R23" s="22"/>
    </row>
    <row r="24" spans="1:18" x14ac:dyDescent="0.2">
      <c r="A24" s="1" t="s">
        <v>62</v>
      </c>
      <c r="B24" s="1" t="s">
        <v>697</v>
      </c>
      <c r="C24" s="1" t="s">
        <v>254</v>
      </c>
      <c r="D24" s="740">
        <f>+VLOOKUP(C24,'ריכוז עלויות'!$A$2:$AV$57,45,0)</f>
        <v>1.7687105197906099</v>
      </c>
      <c r="E24" s="740">
        <f>+VLOOKUP(C24,'ריכוז עלויות'!$A$2:$BJ$57,48,0)</f>
        <v>5.5475740269836429</v>
      </c>
      <c r="F24" s="740">
        <f>+VLOOKUP(C24,'ריכוז עלויות'!$A$2:$AV$57,25,0)</f>
        <v>4.2010252526251675</v>
      </c>
      <c r="G24" s="740">
        <f>+VLOOKUP(C24,'ריכוז עלויות'!$A$2:$AV$57,20,0)</f>
        <v>1.6467459326566876</v>
      </c>
      <c r="H24" s="740">
        <f>+VLOOKUP(C24,'ריכוז עלויות'!$A$2:$AV$57,19,0)*(1+$E$1)</f>
        <v>1.7070471874041053</v>
      </c>
      <c r="I24" s="740">
        <f>+VLOOKUP(C24,'ריכוז עלויות'!$A$2:$AV$57,38,0)*(1+$E$1)</f>
        <v>1.6819148742111594</v>
      </c>
      <c r="K24" s="22">
        <f>+VLOOKUP(C24,'ריכוז עלויות'!$A$2:$AV$57,36,0)</f>
        <v>0.97199730222883562</v>
      </c>
      <c r="L24" s="22">
        <f>+VLOOKUP(C24,'ריכוז עלויות'!$A$2:$AV$57,4,0)</f>
        <v>3.1474952552380215</v>
      </c>
      <c r="M24" s="22"/>
      <c r="N24" s="22"/>
      <c r="O24" s="22"/>
      <c r="P24" s="22"/>
      <c r="Q24" s="22"/>
      <c r="R24" s="22"/>
    </row>
    <row r="25" spans="1:18" x14ac:dyDescent="0.2">
      <c r="A25" s="46" t="s">
        <v>968</v>
      </c>
      <c r="B25" s="1" t="s">
        <v>698</v>
      </c>
      <c r="C25" s="1" t="s">
        <v>578</v>
      </c>
      <c r="D25" s="740">
        <f>+VLOOKUP(C25,'ריכוז עלויות'!$A$2:$AV$57,45,0)</f>
        <v>0.55000000000000004</v>
      </c>
      <c r="E25" s="740">
        <f>+VLOOKUP(C25,'ריכוז עלויות'!$A$2:$BJ$57,48,0)</f>
        <v>0.7190506699868533</v>
      </c>
      <c r="F25" s="740">
        <f>+VLOOKUP(C25,'ריכוז עלויות'!$A$2:$AV$57,25,0)</f>
        <v>3.5253676672320302</v>
      </c>
      <c r="G25" s="740">
        <f>+VLOOKUP(C25,'ריכוז עלויות'!$A$2:$AV$57,20,0)</f>
        <v>0.39712862635754131</v>
      </c>
      <c r="H25" s="740">
        <f>+VLOOKUP(C25,'ריכוז עלויות'!$A$2:$AV$57,19,0)*(1+$E$1)</f>
        <v>3.9732828194106036</v>
      </c>
      <c r="I25" s="740">
        <f>+VLOOKUP(C25,'ריכוז עלויות'!$A$2:$AV$57,38,0)*(1+$E$1)</f>
        <v>2.3575724596042966</v>
      </c>
      <c r="K25" s="22">
        <f>+VLOOKUP(C25,'ריכוז עלויות'!$A$2:$AV$57,36,0)</f>
        <v>0.90394612374085814</v>
      </c>
      <c r="L25" s="22">
        <f>+VLOOKUP(C25,'ריכוז עלויות'!$A$2:$AV$57,4,0)</f>
        <v>5.6158230813277781</v>
      </c>
      <c r="M25" s="22"/>
      <c r="N25" s="22"/>
      <c r="O25" s="22"/>
      <c r="P25" s="22"/>
      <c r="Q25" s="22"/>
      <c r="R25" s="22"/>
    </row>
    <row r="26" spans="1:18" s="719" customFormat="1" x14ac:dyDescent="0.2">
      <c r="A26" s="719" t="s">
        <v>445</v>
      </c>
      <c r="B26" s="1" t="s">
        <v>445</v>
      </c>
      <c r="C26" s="719" t="s">
        <v>445</v>
      </c>
      <c r="D26" s="740">
        <f>+VLOOKUP(C26,'ריכוז עלויות'!$A$2:$AV$57,45,0)</f>
        <v>1.9773260730007463</v>
      </c>
      <c r="E26" s="740">
        <f>+VLOOKUP(C26,'ריכוז עלויות'!$A$2:$BJ$57,48,0)</f>
        <v>5.7165354917793225</v>
      </c>
      <c r="F26" s="740">
        <f>+VLOOKUP(C26,'ריכוז עלויות'!$A$2:$AV$57,25,0)</f>
        <v>4.0511807253408758</v>
      </c>
      <c r="G26" s="740">
        <f>+VLOOKUP(C26,'ריכוז עלויות'!$A$2:$AV$57,20,0)</f>
        <v>1.8020492428926711</v>
      </c>
      <c r="H26" s="740">
        <f>+VLOOKUP(C26,'ריכוז עלויות'!$A$2:$AV$57,19,0)*(1+$E$1)</f>
        <v>1.8623504976400898</v>
      </c>
      <c r="I26" s="740">
        <f>+VLOOKUP(C26,'ריכוז עלויות'!$A$2:$AV$57,38,0)*(1+$E$1)</f>
        <v>1.831759401495451</v>
      </c>
      <c r="K26" s="1029">
        <f>+VLOOKUP(C26,'ריכוז עלויות'!$A$2:$AV$57,36,0)</f>
        <v>0.96628191664997298</v>
      </c>
      <c r="L26" s="22">
        <f>+VLOOKUP(C26,'ריכוז עלויות'!$A$2:$AV$57,4,0)</f>
        <v>2.7835763917919016</v>
      </c>
      <c r="M26" s="22"/>
      <c r="N26" s="22"/>
      <c r="O26" s="22"/>
      <c r="P26" s="22"/>
      <c r="Q26" s="22"/>
      <c r="R26" s="22"/>
    </row>
    <row r="27" spans="1:18" x14ac:dyDescent="0.2">
      <c r="A27" s="1" t="s">
        <v>255</v>
      </c>
      <c r="B27" s="1" t="s">
        <v>699</v>
      </c>
      <c r="C27" s="1" t="s">
        <v>255</v>
      </c>
      <c r="D27" s="740">
        <f>+VLOOKUP(C27,'ריכוז עלויות'!$A$2:$AV$57,45,0)</f>
        <v>1.187011322415108</v>
      </c>
      <c r="E27" s="740">
        <f>+VLOOKUP(C27,'ריכוז עלויות'!$A$2:$BJ$57,48,0)</f>
        <v>4.9600214846248134</v>
      </c>
      <c r="F27" s="740">
        <f>+VLOOKUP(C27,'ריכוז עלויות'!$A$2:$AV$57,25,0)</f>
        <v>3.4290718765826078</v>
      </c>
      <c r="G27" s="740">
        <f>+VLOOKUP(C27,'ריכוז עלויות'!$A$2:$AV$57,20,0)</f>
        <v>2.4215965804555992</v>
      </c>
      <c r="H27" s="740">
        <f>+VLOOKUP(C27,'ריכוז עלויות'!$A$2:$AV$57,19,0)*(1+$E$1)</f>
        <v>2.481897835203017</v>
      </c>
      <c r="I27" s="740">
        <f>+VLOOKUP(C27,'ריכוז עלויות'!$A$2:$AV$57,38,0)*(1+$E$1)</f>
        <v>2.453868250253719</v>
      </c>
      <c r="K27" s="22">
        <f>+VLOOKUP(C27,'ריכוז עלויות'!$A$2:$AV$57,36,0)</f>
        <v>0.96767740380774969</v>
      </c>
      <c r="L27" s="22">
        <f>+VLOOKUP(C27,'ריכוז עלויות'!$A$2:$AV$57,4,0)</f>
        <v>2.954343804814612</v>
      </c>
      <c r="M27" s="22"/>
      <c r="N27" s="22"/>
      <c r="O27" s="22"/>
      <c r="P27" s="22"/>
      <c r="Q27" s="22"/>
      <c r="R27" s="22"/>
    </row>
    <row r="28" spans="1:18" x14ac:dyDescent="0.2">
      <c r="A28" s="1" t="s">
        <v>63</v>
      </c>
      <c r="B28" s="1" t="s">
        <v>700</v>
      </c>
      <c r="C28" s="1" t="s">
        <v>256</v>
      </c>
      <c r="D28" s="740">
        <f>+VLOOKUP(C28,'ריכוז עלויות'!$A$2:$AV$57,45,0)</f>
        <v>0.55000000000000004</v>
      </c>
      <c r="E28" s="740">
        <f>+VLOOKUP(C28,'ריכוז עלויות'!$A$2:$BJ$57,48,0)</f>
        <v>3.4059734801062631</v>
      </c>
      <c r="F28" s="740">
        <f>+VLOOKUP(C28,'ריכוז עלויות'!$A$2:$AV$57,25,0)</f>
        <v>3.0650163455850099</v>
      </c>
      <c r="G28" s="740">
        <f>+VLOOKUP(C28,'ריכוז עלויות'!$A$2:$AV$57,20,0)</f>
        <v>2.4374953179524481</v>
      </c>
      <c r="H28" s="740">
        <f>+VLOOKUP(C28,'ריכוז עלויות'!$A$2:$AV$57,19,0)*(1+$E$1)</f>
        <v>3.1754767821538166</v>
      </c>
      <c r="I28" s="740">
        <f>+VLOOKUP(C28,'ריכוז עלויות'!$A$2:$AV$57,38,0)*(1+$E$1)</f>
        <v>2.8179237812513169</v>
      </c>
      <c r="K28" s="22">
        <f>+VLOOKUP(C28,'ריכוז עלויות'!$A$2:$AV$57,36,0)</f>
        <v>0.90239822702884875</v>
      </c>
      <c r="L28" s="22">
        <f>+VLOOKUP(C28,'ריכוז עלויות'!$A$2:$AV$57,4,0)</f>
        <v>3.5754563897328713</v>
      </c>
      <c r="M28" s="22"/>
      <c r="N28" s="22"/>
      <c r="O28" s="22"/>
      <c r="P28" s="22"/>
      <c r="Q28" s="22"/>
      <c r="R28" s="22"/>
    </row>
    <row r="29" spans="1:18" x14ac:dyDescent="0.2">
      <c r="A29" s="1" t="s">
        <v>446</v>
      </c>
      <c r="B29" s="1" t="s">
        <v>446</v>
      </c>
      <c r="C29" s="1" t="s">
        <v>446</v>
      </c>
      <c r="D29" s="740">
        <f>+VLOOKUP(C29,'ריכוז עלויות'!$A$2:$AV$57,45,0)</f>
        <v>1.025732852762151</v>
      </c>
      <c r="E29" s="740">
        <f>+VLOOKUP(C29,'ריכוז עלויות'!$A$2:$BJ$57,48,0)</f>
        <v>4.6082141712410456</v>
      </c>
      <c r="F29" s="740">
        <f>+VLOOKUP(C29,'ריכוז עלויות'!$A$2:$AV$57,25,0)</f>
        <v>3.7445668829819891</v>
      </c>
      <c r="G29" s="740">
        <f>+VLOOKUP(C29,'ריכוז עלויות'!$A$2:$AV$57,20,0)</f>
        <v>1.9865334928560254</v>
      </c>
      <c r="H29" s="740">
        <f>+VLOOKUP(C29,'ריכוז עלויות'!$A$2:$AV$57,19,0)*(1+$E$1)</f>
        <v>2.2008251061645736</v>
      </c>
      <c r="I29" s="740">
        <f>+VLOOKUP(C29,'ריכוז עלויות'!$A$2:$AV$57,38,0)*(1+$E$1)</f>
        <v>2.1383732438543377</v>
      </c>
      <c r="K29" s="22">
        <f>+VLOOKUP(C29,'ריכוז עלויות'!$A$2:$AV$57,36,0)</f>
        <v>0.95796334357747015</v>
      </c>
      <c r="L29" s="22">
        <f>+VLOOKUP(C29,'ריכוז עלויות'!$A$2:$AV$57,4,0)</f>
        <v>3.5506853620671426</v>
      </c>
      <c r="M29" s="22"/>
      <c r="N29" s="22"/>
      <c r="O29" s="22"/>
      <c r="P29" s="22"/>
      <c r="Q29" s="22"/>
      <c r="R29" s="22"/>
    </row>
    <row r="30" spans="1:18" x14ac:dyDescent="0.2">
      <c r="A30" s="1" t="s">
        <v>257</v>
      </c>
      <c r="B30" s="1" t="s">
        <v>701</v>
      </c>
      <c r="C30" s="1" t="s">
        <v>257</v>
      </c>
      <c r="D30" s="740">
        <f>+VLOOKUP(C30,'ריכוז עלויות'!$A$2:$AV$57,45,0)</f>
        <v>2.0778960258234593</v>
      </c>
      <c r="E30" s="740">
        <f>+VLOOKUP(C30,'ריכוז עלויות'!$A$2:$BJ$57,48,0)</f>
        <v>5.7221549566178451</v>
      </c>
      <c r="F30" s="740">
        <f>+VLOOKUP(C30,'ריכוז עלויות'!$A$2:$AV$57,25,0)</f>
        <v>3.5719258427278757</v>
      </c>
      <c r="G30" s="740">
        <f>+VLOOKUP(C30,'ריכוז עלויות'!$A$2:$AV$57,20,0)</f>
        <v>2.2901339453346434</v>
      </c>
      <c r="H30" s="740">
        <f>+VLOOKUP(C30,'ריכוז עלויות'!$A$2:$AV$57,19,0)*(1+$E$1)</f>
        <v>2.3504352000820603</v>
      </c>
      <c r="I30" s="740">
        <f>+VLOOKUP(C30,'ריכוז עלויות'!$A$2:$AV$57,38,0)*(1+$E$1)</f>
        <v>2.3110142841084511</v>
      </c>
      <c r="K30" s="22">
        <f>+VLOOKUP(C30,'ריכוז עלויות'!$A$2:$AV$57,36,0)</f>
        <v>0.95106406348518879</v>
      </c>
      <c r="L30" s="22">
        <f>+VLOOKUP(C30,'ריכוז עלויות'!$A$2:$AV$57,4,0)</f>
        <v>2.1949217365272169</v>
      </c>
      <c r="M30" s="22"/>
      <c r="N30" s="22"/>
      <c r="O30" s="22"/>
      <c r="P30" s="22"/>
      <c r="Q30" s="22"/>
      <c r="R30" s="22"/>
    </row>
    <row r="31" spans="1:18" x14ac:dyDescent="0.2">
      <c r="A31" s="1" t="s">
        <v>447</v>
      </c>
      <c r="B31" s="1" t="s">
        <v>447</v>
      </c>
      <c r="C31" s="1" t="s">
        <v>447</v>
      </c>
      <c r="D31" s="740">
        <f>+VLOOKUP(C31,'ריכוז עלויות'!$A$2:$AV$57,45,0)</f>
        <v>1.9514914760636128</v>
      </c>
      <c r="E31" s="740">
        <f>+VLOOKUP(C31,'ריכוז עלויות'!$A$2:$BJ$57,48,0)</f>
        <v>5.7619689701272643</v>
      </c>
      <c r="F31" s="740">
        <f>+VLOOKUP(C31,'ריכוז עלויות'!$A$2:$AV$57,25,0)</f>
        <v>3.7357978619999104</v>
      </c>
      <c r="G31" s="740">
        <f>+VLOOKUP(C31,'ריכוז עלויות'!$A$2:$AV$57,20,0)</f>
        <v>2.1218414706966389</v>
      </c>
      <c r="H31" s="740">
        <f>+VLOOKUP(C31,'ריכוז עלויות'!$A$2:$AV$57,19,0)*(1+$E$1)</f>
        <v>2.1821427254440566</v>
      </c>
      <c r="I31" s="740">
        <f>+VLOOKUP(C31,'ריכוז עלויות'!$A$2:$AV$57,38,0)*(1+$E$1)</f>
        <v>2.1471422648364165</v>
      </c>
      <c r="K31" s="22">
        <f>+VLOOKUP(C31,'ריכוז עלויות'!$A$2:$AV$57,36,0)</f>
        <v>0.97823350595136127</v>
      </c>
      <c r="L31" s="22">
        <f>+VLOOKUP(C31,'ריכוז עלויות'!$A$2:$AV$57,4,0)</f>
        <v>2.4896187609250671</v>
      </c>
      <c r="M31" s="22"/>
      <c r="N31" s="22"/>
      <c r="O31" s="22"/>
      <c r="P31" s="22"/>
      <c r="Q31" s="22"/>
      <c r="R31" s="22"/>
    </row>
    <row r="32" spans="1:18" x14ac:dyDescent="0.2">
      <c r="A32" s="1" t="s">
        <v>448</v>
      </c>
      <c r="B32" s="1" t="s">
        <v>448</v>
      </c>
      <c r="C32" s="1" t="s">
        <v>448</v>
      </c>
      <c r="D32" s="740">
        <f>+VLOOKUP(C32,'ריכוז עלויות'!$A$2:$AV$57,45,0)</f>
        <v>1.6396551746016061</v>
      </c>
      <c r="E32" s="740">
        <f>+VLOOKUP(C32,'ריכוז עלויות'!$A$2:$BJ$57,48,0)</f>
        <v>5.4882602107350458</v>
      </c>
      <c r="F32" s="740">
        <f>+VLOOKUP(C32,'ריכוז עלויות'!$A$2:$AV$57,25,0)</f>
        <v>4.0103386389569415</v>
      </c>
      <c r="G32" s="740">
        <f>+VLOOKUP(C32,'ריכוז עלויות'!$A$2:$AV$57,20,0)</f>
        <v>1.8383710935606388</v>
      </c>
      <c r="H32" s="740">
        <f>+VLOOKUP(C32,'ריכוז עלויות'!$A$2:$AV$57,19,0)*(1+$E$1)</f>
        <v>1.8986723483080565</v>
      </c>
      <c r="I32" s="740">
        <f>+VLOOKUP(C32,'ריכוז עלויות'!$A$2:$AV$57,38,0)*(1+$E$1)</f>
        <v>1.8726014878793853</v>
      </c>
      <c r="K32" s="22">
        <f>+VLOOKUP(C32,'ריכוז עלויות'!$A$2:$AV$57,36,0)</f>
        <v>0.98385165623089521</v>
      </c>
      <c r="L32" s="22">
        <f>+VLOOKUP(C32,'ריכוז עלויות'!$A$2:$AV$57,4,0)</f>
        <v>3.0849254395230741</v>
      </c>
      <c r="M32" s="22"/>
      <c r="N32" s="22"/>
      <c r="O32" s="22"/>
      <c r="P32" s="22"/>
      <c r="Q32" s="22"/>
      <c r="R32" s="22"/>
    </row>
    <row r="33" spans="1:18" x14ac:dyDescent="0.2">
      <c r="A33" s="1" t="s">
        <v>449</v>
      </c>
      <c r="B33" s="1" t="s">
        <v>449</v>
      </c>
      <c r="C33" s="1" t="s">
        <v>449</v>
      </c>
      <c r="D33" s="740">
        <f>+VLOOKUP(C33,'ריכוז עלויות'!$A$2:$AV$57,45,0)</f>
        <v>0.55000000000000004</v>
      </c>
      <c r="E33" s="740">
        <f>+VLOOKUP(C33,'ריכוז עלויות'!$A$2:$BJ$57,48,0)</f>
        <v>1.1776078145160578</v>
      </c>
      <c r="F33" s="740">
        <f>+VLOOKUP(C33,'ריכוז עלויות'!$A$2:$AV$57,25,0)</f>
        <v>3.2838871096109923</v>
      </c>
      <c r="G33" s="740">
        <f>+VLOOKUP(C33,'ריכוז עלויות'!$A$2:$AV$57,20,0)</f>
        <v>0.87186322161565766</v>
      </c>
      <c r="H33" s="740">
        <f>+VLOOKUP(C33,'ריכוז עלויות'!$A$2:$AV$57,19,0)*(1+$E$1)</f>
        <v>4.051890888783972</v>
      </c>
      <c r="I33" s="740">
        <f>+VLOOKUP(C33,'ריכוז עלויות'!$A$2:$AV$57,38,0)*(1+$E$1)</f>
        <v>2.5990530172253345</v>
      </c>
      <c r="K33" s="22">
        <f>+VLOOKUP(C33,'ריכוז עלויות'!$A$2:$AV$57,36,0)</f>
        <v>0.93276086362035515</v>
      </c>
      <c r="L33" s="22">
        <f>+VLOOKUP(C33,'ריכוז עלויות'!$A$2:$AV$57,4,0)</f>
        <v>5.1410884860696617</v>
      </c>
      <c r="M33" s="22"/>
      <c r="N33" s="22"/>
      <c r="O33" s="22"/>
      <c r="P33" s="22"/>
      <c r="Q33" s="22"/>
      <c r="R33" s="22"/>
    </row>
    <row r="34" spans="1:18" x14ac:dyDescent="0.2">
      <c r="A34" s="1" t="s">
        <v>123</v>
      </c>
      <c r="B34" s="1" t="s">
        <v>702</v>
      </c>
      <c r="C34" s="1" t="s">
        <v>268</v>
      </c>
      <c r="D34" s="740">
        <f>+VLOOKUP(C34,'ריכוז עלויות'!$A$2:$AV$57,45,0)</f>
        <v>0.55000000000000004</v>
      </c>
      <c r="E34" s="740">
        <f>+VLOOKUP(C34,'ריכוז עלויות'!$A$2:$BJ$57,48,0)</f>
        <v>2.9714391288726079</v>
      </c>
      <c r="F34" s="740">
        <f>+VLOOKUP(C34,'ריכוז עלויות'!$A$2:$AV$57,25,0)</f>
        <v>3.1295763293803387</v>
      </c>
      <c r="G34" s="740">
        <f>+VLOOKUP(C34,'ריכוז עלויות'!$A$2:$AV$57,20,0)</f>
        <v>2.0483236293357092</v>
      </c>
      <c r="H34" s="740">
        <f>+VLOOKUP(C34,'ריכוז עלויות'!$A$2:$AV$57,19,0)*(1+$E$1)</f>
        <v>3.3401364216223128</v>
      </c>
      <c r="I34" s="740">
        <f>+VLOOKUP(C34,'ריכוז עלויות'!$A$2:$AV$57,38,0)*(1+$E$1)</f>
        <v>2.7533637974559881</v>
      </c>
      <c r="K34" s="22">
        <f>+VLOOKUP(C34,'ריכוז עלויות'!$A$2:$AV$57,36,0)</f>
        <v>0.92496271760523863</v>
      </c>
      <c r="L34" s="22">
        <f>+VLOOKUP(C34,'ריכוז עלויות'!$A$2:$AV$57,4,0)</f>
        <v>3.9646280783496102</v>
      </c>
      <c r="M34" s="22"/>
      <c r="N34" s="22"/>
      <c r="O34" s="22"/>
      <c r="P34" s="22"/>
      <c r="Q34" s="22"/>
      <c r="R34" s="22"/>
    </row>
    <row r="35" spans="1:18" x14ac:dyDescent="0.2">
      <c r="A35" s="1" t="s">
        <v>450</v>
      </c>
      <c r="B35" s="1" t="s">
        <v>450</v>
      </c>
      <c r="C35" s="1" t="s">
        <v>450</v>
      </c>
      <c r="D35" s="740">
        <f>+VLOOKUP(C35,'ריכוז עלויות'!$A$2:$AV$57,45,0)</f>
        <v>1.4507817077424887</v>
      </c>
      <c r="E35" s="740">
        <f>+VLOOKUP(C35,'ריכוז עלויות'!$A$2:$BJ$57,48,0)</f>
        <v>5.2097620004935852</v>
      </c>
      <c r="F35" s="740">
        <f>+VLOOKUP(C35,'ריכוז עלויות'!$A$2:$AV$57,25,0)</f>
        <v>3.873790378644645</v>
      </c>
      <c r="G35" s="740">
        <f>+VLOOKUP(C35,'ריכוז עלויות'!$A$2:$AV$57,20,0)</f>
        <v>1.9741225233163839</v>
      </c>
      <c r="H35" s="740">
        <f>+VLOOKUP(C35,'ריכוז עלויות'!$A$2:$AV$57,19,0)*(1+$E$1)</f>
        <v>2.0344237780638026</v>
      </c>
      <c r="I35" s="740">
        <f>+VLOOKUP(C35,'ריכוז עלויות'!$A$2:$AV$57,38,0)*(1+$E$1)</f>
        <v>2.0091497481916818</v>
      </c>
      <c r="K35" s="22">
        <f>+VLOOKUP(C35,'ריכוז עלויות'!$A$2:$AV$57,36,0)</f>
        <v>0.96665612933366052</v>
      </c>
      <c r="L35" s="22">
        <f>+VLOOKUP(C35,'ריכוז עלויות'!$A$2:$AV$57,4,0)</f>
        <v>3.1380474766264466</v>
      </c>
      <c r="M35" s="22"/>
      <c r="N35" s="22"/>
      <c r="O35" s="22"/>
      <c r="P35" s="22"/>
      <c r="Q35" s="22"/>
      <c r="R35" s="22"/>
    </row>
    <row r="36" spans="1:18" x14ac:dyDescent="0.2">
      <c r="A36" s="46" t="s">
        <v>275</v>
      </c>
      <c r="B36" s="1" t="str">
        <f>+A36</f>
        <v>מי קריית ביאליק</v>
      </c>
      <c r="C36" s="1" t="s">
        <v>275</v>
      </c>
      <c r="D36" s="740">
        <f>+VLOOKUP(C36,'ריכוז עלויות'!$A$2:$AV$57,45,0)</f>
        <v>1.6705287561252233</v>
      </c>
      <c r="E36" s="740">
        <f>+VLOOKUP(C36,'ריכוז עלויות'!$A$2:$BJ$57,48,0)</f>
        <v>5.332113937267283</v>
      </c>
      <c r="F36" s="740">
        <f>+VLOOKUP(C36,'ריכוז עלויות'!$A$2:$AV$57,25,0)</f>
        <v>4.1054769426728193</v>
      </c>
      <c r="G36" s="740">
        <f>+VLOOKUP(C36,'ריכוז עלויות'!$A$2:$AV$57,20,0)</f>
        <v>1.7422541392530007</v>
      </c>
      <c r="H36" s="740">
        <f>+VLOOKUP(C36,'ריכוז עלויות'!$A$2:$AV$57,19,0)*(1+$E$1)</f>
        <v>1.8025553940004175</v>
      </c>
      <c r="I36" s="740">
        <f>+VLOOKUP(C36,'ריכוז עלויות'!$A$2:$AV$57,38,0)*(1+$E$1)</f>
        <v>1.7774631841635076</v>
      </c>
      <c r="K36" s="22">
        <f>+VLOOKUP(C36,'ריכוז עלויות'!$A$2:$AV$57,36,0)</f>
        <v>0.95059899865694442</v>
      </c>
      <c r="L36" s="22">
        <f>+VLOOKUP(C36,'ריכוז עלויות'!$A$2:$AV$57,4,0)</f>
        <v>3.1501688123070957</v>
      </c>
      <c r="M36" s="22"/>
      <c r="N36" s="22"/>
      <c r="O36" s="22"/>
      <c r="P36" s="22"/>
      <c r="Q36" s="22"/>
      <c r="R36" s="22"/>
    </row>
    <row r="37" spans="1:18" x14ac:dyDescent="0.2">
      <c r="A37" s="1" t="s">
        <v>51</v>
      </c>
      <c r="B37" s="1" t="s">
        <v>703</v>
      </c>
      <c r="C37" s="1" t="s">
        <v>659</v>
      </c>
      <c r="D37" s="740">
        <f>+VLOOKUP(C37,'ריכוז עלויות'!$A$2:$AV$57,45,0)</f>
        <v>1.0238463101266504</v>
      </c>
      <c r="E37" s="740">
        <f>+VLOOKUP(C37,'ריכוז עלויות'!$A$2:$BJ$57,48,0)</f>
        <v>4.8340763499168355</v>
      </c>
      <c r="F37" s="740">
        <f>+VLOOKUP(C37,'ריכוז עלויות'!$A$2:$AV$57,25,0)</f>
        <v>3.5219607758120262</v>
      </c>
      <c r="G37" s="740">
        <f>+VLOOKUP(C37,'ריכוז עלויות'!$A$2:$AV$57,20,0)</f>
        <v>2.276890651532423</v>
      </c>
      <c r="H37" s="740">
        <f>+VLOOKUP(C37,'ריכוז עלויות'!$A$2:$AV$57,19,0)*(1+$E$1)</f>
        <v>2.4102288466360231</v>
      </c>
      <c r="I37" s="740">
        <f>+VLOOKUP(C37,'ריכוז עלויות'!$A$2:$AV$57,38,0)*(1+$E$1)</f>
        <v>2.3609793510243007</v>
      </c>
      <c r="K37" s="22">
        <f>+VLOOKUP(C37,'ריכוז עלויות'!$A$2:$AV$57,36,0)</f>
        <v>0.98866569599121101</v>
      </c>
      <c r="L37" s="22">
        <f>+VLOOKUP(C37,'ריכוז עלויות'!$A$2:$AV$57,4,0)</f>
        <v>3.2622147460262458</v>
      </c>
      <c r="M37" s="22"/>
      <c r="N37" s="22"/>
      <c r="O37" s="22"/>
      <c r="P37" s="22"/>
      <c r="Q37" s="22"/>
      <c r="R37" s="22"/>
    </row>
    <row r="38" spans="1:18" x14ac:dyDescent="0.2">
      <c r="A38" s="1" t="s">
        <v>66</v>
      </c>
      <c r="B38" s="1" t="s">
        <v>704</v>
      </c>
      <c r="C38" s="1" t="s">
        <v>269</v>
      </c>
      <c r="D38" s="740">
        <f>+VLOOKUP(C38,'ריכוז עלויות'!$A$2:$AV$57,45,0)</f>
        <v>0.55027905833562329</v>
      </c>
      <c r="E38" s="740">
        <f>+VLOOKUP(C38,'ריכוז עלויות'!$A$2:$BJ$57,48,0)</f>
        <v>3.8624092249674709</v>
      </c>
      <c r="F38" s="740">
        <f>+VLOOKUP(C38,'ריכוז עלויות'!$A$2:$AV$57,25,0)</f>
        <v>3.2107194997288531</v>
      </c>
      <c r="G38" s="740">
        <f>+VLOOKUP(C38,'ריכוז עלויות'!$A$2:$AV$57,20,0)</f>
        <v>2.5112850161460694</v>
      </c>
      <c r="H38" s="740">
        <f>+VLOOKUP(C38,'ריכוז עלויות'!$A$2:$AV$57,19,0)*(1+$E$1)</f>
        <v>2.7421956326513639</v>
      </c>
      <c r="I38" s="740">
        <f>+VLOOKUP(C38,'ריכוז עלויות'!$A$2:$AV$57,38,0)*(1+$E$1)</f>
        <v>2.6722206271074738</v>
      </c>
      <c r="K38" s="22">
        <f>+VLOOKUP(C38,'ריכוז עלויות'!$A$2:$AV$57,36,0)</f>
        <v>0.894416646037271</v>
      </c>
      <c r="L38" s="22">
        <f>+VLOOKUP(C38,'ריכוז עלויות'!$A$2:$AV$57,4,0)</f>
        <v>3.5013876332036267</v>
      </c>
      <c r="M38" s="22"/>
      <c r="N38" s="22"/>
      <c r="O38" s="22"/>
      <c r="P38" s="22"/>
      <c r="Q38" s="22"/>
      <c r="R38" s="22"/>
    </row>
    <row r="39" spans="1:18" x14ac:dyDescent="0.2">
      <c r="A39" s="46" t="s">
        <v>248</v>
      </c>
      <c r="B39" s="1" t="s">
        <v>281</v>
      </c>
      <c r="C39" s="1" t="s">
        <v>281</v>
      </c>
      <c r="D39" s="740">
        <f>+VLOOKUP(C39,'ריכוז עלויות'!$A$2:$AV$57,45,0)</f>
        <v>1.074293148656146</v>
      </c>
      <c r="E39" s="740">
        <f>+VLOOKUP(C39,'ריכוז עלויות'!$A$2:$BJ$57,48,0)</f>
        <v>4.8858499780902722</v>
      </c>
      <c r="F39" s="740">
        <f>+VLOOKUP(C39,'ריכוז עלויות'!$A$2:$AV$57,25,0)</f>
        <v>4.0908752876122776</v>
      </c>
      <c r="G39" s="740">
        <f>+VLOOKUP(C39,'ריכוז עלויות'!$A$2:$AV$57,20,0)</f>
        <v>1.7479984244799098</v>
      </c>
      <c r="H39" s="740">
        <f>+VLOOKUP(C39,'ריכוז עלויות'!$A$2:$AV$57,19,0)*(1+$E$1)</f>
        <v>1.8082996792273276</v>
      </c>
      <c r="I39" s="740">
        <f>+VLOOKUP(C39,'ריכוז עלויות'!$A$2:$AV$57,38,0)*(1+$E$1)</f>
        <v>1.7920648392240492</v>
      </c>
      <c r="K39" s="22">
        <f>+VLOOKUP(C39,'ריכוז עלויות'!$A$2:$AV$57,36,0)</f>
        <v>0.97463999473927554</v>
      </c>
      <c r="L39" s="22">
        <f>+VLOOKUP(C39,'ריכוז עלויות'!$A$2:$AV$57,4,0)</f>
        <v>3.7406601345492634</v>
      </c>
      <c r="M39" s="22"/>
      <c r="N39" s="22"/>
      <c r="O39" s="22"/>
      <c r="P39" s="22"/>
      <c r="Q39" s="22"/>
      <c r="R39" s="22"/>
    </row>
    <row r="40" spans="1:18" x14ac:dyDescent="0.2">
      <c r="A40" s="1" t="s">
        <v>54</v>
      </c>
      <c r="B40" s="1" t="s">
        <v>705</v>
      </c>
      <c r="C40" s="1" t="s">
        <v>258</v>
      </c>
      <c r="D40" s="740">
        <f>+VLOOKUP(C40,'ריכוז עלויות'!$A$2:$AV$57,45,0)</f>
        <v>1.2989348544983084</v>
      </c>
      <c r="E40" s="740">
        <f>+VLOOKUP(C40,'ריכוז עלויות'!$A$2:$BJ$57,48,0)</f>
        <v>5.1629900161360185</v>
      </c>
      <c r="F40" s="740">
        <f>+VLOOKUP(C40,'ריכוז עלויות'!$A$2:$AV$57,25,0)</f>
        <v>3.701232946844573</v>
      </c>
      <c r="G40" s="740">
        <f>+VLOOKUP(C40,'ריכוז עלויות'!$A$2:$AV$57,20,0)</f>
        <v>2.1469953446376118</v>
      </c>
      <c r="H40" s="740">
        <f>+VLOOKUP(C40,'ריכוז עלויות'!$A$2:$AV$57,19,0)*(1+$E$1)</f>
        <v>2.2072965993850295</v>
      </c>
      <c r="I40" s="740">
        <f>+VLOOKUP(C40,'ריכוז עלויות'!$A$2:$AV$57,38,0)*(1+$E$1)</f>
        <v>2.1817071799917538</v>
      </c>
      <c r="K40" s="22">
        <f>+VLOOKUP(C40,'ריכוז עלויות'!$A$2:$AV$57,36,0)</f>
        <v>0.98575100269158955</v>
      </c>
      <c r="L40" s="22">
        <f>+VLOOKUP(C40,'ריכוז עלויות'!$A$2:$AV$57,4,0)</f>
        <v>3.1170215085493989</v>
      </c>
      <c r="M40" s="22"/>
      <c r="N40" s="22"/>
      <c r="O40" s="22"/>
      <c r="P40" s="22"/>
      <c r="Q40" s="22"/>
      <c r="R40" s="22"/>
    </row>
    <row r="41" spans="1:18" x14ac:dyDescent="0.2">
      <c r="A41" s="1" t="s">
        <v>828</v>
      </c>
      <c r="B41" s="1" t="s">
        <v>451</v>
      </c>
      <c r="C41" s="1" t="s">
        <v>828</v>
      </c>
      <c r="D41" s="740">
        <f>+VLOOKUP(C41,'ריכוז עלויות'!$A$2:$AV$57,45,0)</f>
        <v>0.55000000000000004</v>
      </c>
      <c r="E41" s="740">
        <f>+VLOOKUP(C41,'ריכוז עלויות'!$A$2:$BJ$57,48,0)</f>
        <v>0.55000000000000004</v>
      </c>
      <c r="F41" s="740">
        <f>+VLOOKUP(C41,'ריכוז עלויות'!$A$2:$AV$57,25,0)</f>
        <v>2.0260477250388411</v>
      </c>
      <c r="G41" s="740">
        <f>+VLOOKUP(C41,'ריכוז עלויות'!$A$2:$AV$57,20,0)</f>
        <v>1.4588567667304488</v>
      </c>
      <c r="H41" s="740">
        <f>+VLOOKUP(C41,'ריכוז עלויות'!$A$2:$AV$57,19,0)*(1+$E$1)</f>
        <v>5.4578440286763676</v>
      </c>
      <c r="I41" s="740">
        <f>+VLOOKUP(C41,'ריכוז עלויות'!$A$2:$AV$57,38,0)*(1+$E$1)</f>
        <v>3.8568924017974857</v>
      </c>
      <c r="K41" s="22">
        <f>+VLOOKUP(C41,'ריכוז עלויות'!$A$2:$AV$57,36,0)</f>
        <v>0.93928918556085761</v>
      </c>
      <c r="L41" s="22">
        <f>+VLOOKUP(C41,'ריכוז עלויות'!$A$2:$AV$57,4,0)</f>
        <v>4.5540949409548706</v>
      </c>
      <c r="M41" s="22"/>
      <c r="N41" s="22"/>
      <c r="O41" s="22"/>
      <c r="P41" s="22"/>
      <c r="Q41" s="22"/>
      <c r="R41" s="22"/>
    </row>
    <row r="42" spans="1:18" x14ac:dyDescent="0.2">
      <c r="A42" s="1" t="s">
        <v>452</v>
      </c>
      <c r="B42" s="1" t="s">
        <v>452</v>
      </c>
      <c r="C42" s="1" t="s">
        <v>452</v>
      </c>
      <c r="D42" s="740">
        <f>+VLOOKUP(C42,'ריכוז עלויות'!$A$2:$AV$57,45,0)</f>
        <v>1.325390177495553</v>
      </c>
      <c r="E42" s="740">
        <f>+VLOOKUP(C42,'ריכוז עלויות'!$A$2:$BJ$57,48,0)</f>
        <v>5.0776227883007454</v>
      </c>
      <c r="F42" s="740">
        <f>+VLOOKUP(C42,'ריכוז עלויות'!$A$2:$AV$57,25,0)</f>
        <v>3.789590412818737</v>
      </c>
      <c r="G42" s="740">
        <f>+VLOOKUP(C42,'ריכוז עלויות'!$A$2:$AV$57,20,0)</f>
        <v>2.0576952064353735</v>
      </c>
      <c r="H42" s="740">
        <f>+VLOOKUP(C42,'ריכוז עלויות'!$A$2:$AV$57,19,0)*(1+$E$1)</f>
        <v>2.1179964611827913</v>
      </c>
      <c r="I42" s="740">
        <f>+VLOOKUP(C42,'ריכוז עלויות'!$A$2:$AV$57,38,0)*(1+$E$1)</f>
        <v>2.0933497140175898</v>
      </c>
      <c r="K42" s="22">
        <f>+VLOOKUP(C42,'ריכוז עלויות'!$A$2:$AV$57,36,0)</f>
        <v>0.96458003458699071</v>
      </c>
      <c r="L42" s="22">
        <f>+VLOOKUP(C42,'ריכוז עלויות'!$A$2:$AV$57,4,0)</f>
        <v>3.1798663237543927</v>
      </c>
      <c r="M42" s="22"/>
      <c r="N42" s="22"/>
      <c r="O42" s="22"/>
      <c r="P42" s="22"/>
      <c r="Q42" s="22"/>
      <c r="R42" s="22"/>
    </row>
    <row r="43" spans="1:18" x14ac:dyDescent="0.2">
      <c r="A43" s="1" t="s">
        <v>453</v>
      </c>
      <c r="B43" s="1" t="s">
        <v>453</v>
      </c>
      <c r="C43" s="1" t="s">
        <v>453</v>
      </c>
      <c r="D43" s="740">
        <f>+VLOOKUP(C43,'ריכוז עלויות'!$A$2:$AV$57,45,0)</f>
        <v>1.1859923259228464</v>
      </c>
      <c r="E43" s="740">
        <f>+VLOOKUP(C43,'ריכוז עלויות'!$A$2:$BJ$57,48,0)</f>
        <v>5.0384660289409542</v>
      </c>
      <c r="F43" s="740">
        <f>+VLOOKUP(C43,'ריכוז עלויות'!$A$2:$AV$57,25,0)</f>
        <v>4.04775394559951</v>
      </c>
      <c r="G43" s="740">
        <f>+VLOOKUP(C43,'ריכוז עלויות'!$A$2:$AV$57,20,0)</f>
        <v>1.7934774393751058</v>
      </c>
      <c r="H43" s="740">
        <f>+VLOOKUP(C43,'ריכוז עלויות'!$A$2:$AV$57,19,0)*(1+$E$1)</f>
        <v>1.8537786941225245</v>
      </c>
      <c r="I43" s="740">
        <f>+VLOOKUP(C43,'ריכוז עלויות'!$A$2:$AV$57,38,0)*(1+$E$1)</f>
        <v>1.8351861812368169</v>
      </c>
      <c r="K43" s="22">
        <f>+VLOOKUP(C43,'ריכוז עלויות'!$A$2:$AV$57,36,0)</f>
        <v>0.98317703110784649</v>
      </c>
      <c r="L43" s="22">
        <f>+VLOOKUP(C43,'ריכוז עלויות'!$A$2:$AV$57,4,0)</f>
        <v>3.5834819423873667</v>
      </c>
      <c r="M43" s="22"/>
      <c r="N43" s="22"/>
      <c r="O43" s="22"/>
      <c r="P43" s="22"/>
      <c r="Q43" s="22"/>
      <c r="R43" s="22"/>
    </row>
    <row r="44" spans="1:18" x14ac:dyDescent="0.2">
      <c r="A44" s="1" t="s">
        <v>454</v>
      </c>
      <c r="B44" s="1" t="s">
        <v>454</v>
      </c>
      <c r="C44" s="1" t="s">
        <v>454</v>
      </c>
      <c r="D44" s="740">
        <f>+VLOOKUP(C44,'ריכוז עלויות'!$A$2:$AV$57,45,0)</f>
        <v>1.2428290241393927</v>
      </c>
      <c r="E44" s="740">
        <f>+VLOOKUP(C44,'ריכוז עלויות'!$A$2:$BJ$57,48,0)</f>
        <v>4.944632908806379</v>
      </c>
      <c r="F44" s="740">
        <f>+VLOOKUP(C44,'ריכוז עלויות'!$A$2:$AV$57,25,0)</f>
        <v>3.8830136579610688</v>
      </c>
      <c r="G44" s="740">
        <f>+VLOOKUP(C44,'ריכוז עלויות'!$A$2:$AV$57,20,0)</f>
        <v>1.9615919958336736</v>
      </c>
      <c r="H44" s="740">
        <f>+VLOOKUP(C44,'ריכוז עלויות'!$A$2:$AV$57,19,0)*(1+$E$1)</f>
        <v>2.0218932505810914</v>
      </c>
      <c r="I44" s="740">
        <f>+VLOOKUP(C44,'ריכוז עלויות'!$A$2:$AV$57,38,0)*(1+$E$1)</f>
        <v>1.999926468875258</v>
      </c>
      <c r="K44" s="22">
        <f>+VLOOKUP(C44,'ריכוז עלויות'!$A$2:$AV$57,36,0)</f>
        <v>0.95428323162263395</v>
      </c>
      <c r="L44" s="22">
        <f>+VLOOKUP(C44,'ריכוז עלויות'!$A$2:$AV$57,4,0)</f>
        <v>3.3585306877122534</v>
      </c>
      <c r="M44" s="22"/>
      <c r="N44" s="22"/>
      <c r="O44" s="22"/>
      <c r="P44" s="22"/>
      <c r="Q44" s="22"/>
      <c r="R44" s="22"/>
    </row>
    <row r="45" spans="1:18" x14ac:dyDescent="0.2">
      <c r="A45" s="1" t="s">
        <v>455</v>
      </c>
      <c r="B45" s="1" t="s">
        <v>455</v>
      </c>
      <c r="C45" s="1" t="s">
        <v>455</v>
      </c>
      <c r="D45" s="740">
        <f>+VLOOKUP(C45,'ריכוז עלויות'!$A$2:$AV$57,45,0)</f>
        <v>1.4663378412412185</v>
      </c>
      <c r="E45" s="740">
        <f>+VLOOKUP(C45,'ריכוז עלויות'!$A$2:$BJ$57,48,0)</f>
        <v>5.2205225832986226</v>
      </c>
      <c r="F45" s="740">
        <f>+VLOOKUP(C45,'ריכוז עלויות'!$A$2:$AV$57,25,0)</f>
        <v>3.3527239565065083</v>
      </c>
      <c r="G45" s="740">
        <f>+VLOOKUP(C45,'ריכוז עלויות'!$A$2:$AV$57,20,0)</f>
        <v>2.503360862545438</v>
      </c>
      <c r="H45" s="740">
        <f>+VLOOKUP(C45,'ריכוז עלויות'!$A$2:$AV$57,19,0)*(1+$E$1)</f>
        <v>2.5636621172928566</v>
      </c>
      <c r="I45" s="740">
        <f>+VLOOKUP(C45,'ריכוז עלויות'!$A$2:$AV$57,38,0)*(1+$E$1)</f>
        <v>2.5302161703298185</v>
      </c>
      <c r="K45" s="22">
        <f>+VLOOKUP(C45,'ריכוז עלויות'!$A$2:$AV$57,36,0)</f>
        <v>0.96586485641606246</v>
      </c>
      <c r="L45" s="22">
        <f>+VLOOKUP(C45,'ריכוז עלויות'!$A$2:$AV$57,4,0)</f>
        <v>2.593253003898663</v>
      </c>
      <c r="M45" s="22"/>
      <c r="N45" s="22"/>
      <c r="O45" s="22"/>
      <c r="P45" s="22"/>
      <c r="Q45" s="22"/>
      <c r="R45" s="22"/>
    </row>
    <row r="46" spans="1:18" x14ac:dyDescent="0.2">
      <c r="A46" s="1" t="s">
        <v>50</v>
      </c>
      <c r="B46" s="1" t="s">
        <v>706</v>
      </c>
      <c r="C46" s="1" t="s">
        <v>658</v>
      </c>
      <c r="D46" s="740">
        <f>+VLOOKUP(C46,'ריכוז עלויות'!$A$2:$AV$57,45,0)</f>
        <v>0.61760317784525087</v>
      </c>
      <c r="E46" s="740">
        <f>+VLOOKUP(C46,'ריכוז עלויות'!$A$2:$BJ$57,48,0)</f>
        <v>4.480894781895767</v>
      </c>
      <c r="F46" s="740">
        <f>+VLOOKUP(C46,'ריכוז עלויות'!$A$2:$AV$57,25,0)</f>
        <v>3.8076694815998566</v>
      </c>
      <c r="G46" s="740">
        <f>+VLOOKUP(C46,'ריכוז עלויות'!$A$2:$AV$57,20,0)</f>
        <v>2.0285623396578352</v>
      </c>
      <c r="H46" s="740">
        <f>+VLOOKUP(C46,'ריכוז עלויות'!$A$2:$AV$57,19,0)*(1+$E$1)</f>
        <v>2.0888635944052529</v>
      </c>
      <c r="I46" s="740">
        <f>+VLOOKUP(C46,'ריכוז עלויות'!$A$2:$AV$57,38,0)*(1+$E$1)</f>
        <v>2.0752706452364702</v>
      </c>
      <c r="K46" s="22">
        <f>+VLOOKUP(C46,'ריכוז עלויות'!$A$2:$AV$57,36,0)</f>
        <v>0.98345267385672708</v>
      </c>
      <c r="L46" s="22">
        <f>+VLOOKUP(C46,'ריכוז עלויות'!$A$2:$AV$57,4,0)</f>
        <v>3.9167861901822327</v>
      </c>
      <c r="M46" s="22"/>
      <c r="N46" s="22"/>
      <c r="O46" s="22"/>
      <c r="P46" s="22"/>
      <c r="Q46" s="22"/>
      <c r="R46" s="22"/>
    </row>
    <row r="47" spans="1:18" s="719" customFormat="1" x14ac:dyDescent="0.2">
      <c r="A47" s="719" t="s">
        <v>969</v>
      </c>
      <c r="B47" s="1" t="s">
        <v>707</v>
      </c>
      <c r="C47" s="1" t="s">
        <v>661</v>
      </c>
      <c r="D47" s="740">
        <f>+VLOOKUP(C47,'ריכוז עלויות'!$A$2:$AV$57,45,0)</f>
        <v>0.90502566698185505</v>
      </c>
      <c r="E47" s="740">
        <f>+VLOOKUP(C47,'ריכוז עלויות'!$A$2:$BJ$57,48,0)</f>
        <v>4.5681530037266702</v>
      </c>
      <c r="F47" s="740">
        <f>+VLOOKUP(C47,'ריכוז עלויות'!$A$2:$AV$57,25,0)</f>
        <v>3.5557467675499739</v>
      </c>
      <c r="G47" s="740">
        <f>+VLOOKUP(C47,'ריכוז עלויות'!$A$2:$AV$57,20,0)</f>
        <v>2.1799338916351094</v>
      </c>
      <c r="H47" s="740">
        <f>+VLOOKUP(C47,'ריכוז עלויות'!$A$2:$AV$57,19,0)*(1+$E$1)</f>
        <v>2.3932394416789635</v>
      </c>
      <c r="I47" s="740">
        <f>+VLOOKUP(C47,'ריכוז עלויות'!$A$2:$AV$57,38,0)*(1+$E$1)</f>
        <v>2.327193359286353</v>
      </c>
      <c r="K47" s="1029">
        <f>+VLOOKUP(C47,'ריכוז עלויות'!$A$2:$AV$57,36,0)</f>
        <v>0.97387294383168066</v>
      </c>
      <c r="L47" s="22">
        <f>+VLOOKUP(C47,'ריכוז עלויות'!$A$2:$AV$57,4,0)</f>
        <v>3.477992149068355</v>
      </c>
      <c r="M47" s="22"/>
      <c r="N47" s="22"/>
      <c r="O47" s="22"/>
      <c r="P47" s="22"/>
      <c r="Q47" s="22"/>
      <c r="R47" s="22"/>
    </row>
    <row r="48" spans="1:18" x14ac:dyDescent="0.2">
      <c r="A48" s="1" t="s">
        <v>270</v>
      </c>
      <c r="B48" s="1" t="s">
        <v>708</v>
      </c>
      <c r="C48" s="1" t="s">
        <v>270</v>
      </c>
      <c r="D48" s="740">
        <f>+VLOOKUP(C48,'ריכוז עלויות'!$A$2:$AV$57,45,0)</f>
        <v>0.55000000000000004</v>
      </c>
      <c r="E48" s="740">
        <f>+VLOOKUP(C48,'ריכוז עלויות'!$A$2:$BJ$57,48,0)</f>
        <v>4.1465122441343532</v>
      </c>
      <c r="F48" s="740">
        <f>+VLOOKUP(C48,'ריכוז עלויות'!$A$2:$AV$57,25,0)</f>
        <v>3.4819997303609305</v>
      </c>
      <c r="G48" s="740">
        <f>+VLOOKUP(C48,'ריכוז עלויות'!$A$2:$AV$57,20,0)</f>
        <v>2.2616140270029752</v>
      </c>
      <c r="H48" s="740">
        <f>+VLOOKUP(C48,'ריכוז עלויות'!$A$2:$AV$57,19,0)*(1+$E$1)</f>
        <v>2.5051731052853365</v>
      </c>
      <c r="I48" s="740">
        <f>+VLOOKUP(C48,'ריכוז עלויות'!$A$2:$AV$57,38,0)*(1+$E$1)</f>
        <v>2.4009403964753964</v>
      </c>
      <c r="K48" s="22">
        <f>+VLOOKUP(C48,'ריכוז עלויות'!$A$2:$AV$57,36,0)</f>
        <v>0.96380537477739692</v>
      </c>
      <c r="L48" s="22">
        <f>+VLOOKUP(C48,'ריכוז עלויות'!$A$2:$AV$57,4,0)</f>
        <v>3.7513376806823442</v>
      </c>
      <c r="M48" s="22"/>
      <c r="N48" s="22"/>
      <c r="O48" s="22"/>
      <c r="P48" s="22"/>
      <c r="Q48" s="22"/>
      <c r="R48" s="22"/>
    </row>
    <row r="49" spans="1:18" x14ac:dyDescent="0.2">
      <c r="A49" s="1" t="s">
        <v>970</v>
      </c>
      <c r="B49" s="1" t="s">
        <v>971</v>
      </c>
      <c r="C49" s="1" t="s">
        <v>259</v>
      </c>
      <c r="D49" s="740">
        <f>+VLOOKUP(C49,'ריכוז עלויות'!$A$2:$AV$57,45,0)</f>
        <v>1.2537949339587093</v>
      </c>
      <c r="E49" s="740">
        <f>+VLOOKUP(C49,'ריכוז עלויות'!$A$2:$BJ$57,48,0)</f>
        <v>4.9617156958434254</v>
      </c>
      <c r="F49" s="740">
        <f>+VLOOKUP(C49,'ריכוז עלויות'!$A$2:$AV$57,25,0)</f>
        <v>3.6349849937132857</v>
      </c>
      <c r="G49" s="740">
        <f>+VLOOKUP(C49,'ריכוז עלויות'!$A$2:$AV$57,20,0)</f>
        <v>2.213564739889585</v>
      </c>
      <c r="H49" s="740">
        <f>+VLOOKUP(C49,'ריכוז עלויות'!$A$2:$AV$57,19,0)*(1+$E$1)</f>
        <v>2.2738659946370028</v>
      </c>
      <c r="I49" s="740">
        <f>+VLOOKUP(C49,'ריכוז עלויות'!$A$2:$AV$57,38,0)*(1+$E$1)</f>
        <v>2.2479551331230412</v>
      </c>
      <c r="K49" s="22">
        <f>+VLOOKUP(C49,'ריכוז עלויות'!$A$2:$AV$57,36,0)</f>
        <v>0.95555780600277807</v>
      </c>
      <c r="L49" s="22">
        <f>+VLOOKUP(C49,'ריכוז עלויות'!$A$2:$AV$57,4,0)</f>
        <v>3.0955920338370246</v>
      </c>
      <c r="M49" s="22"/>
      <c r="N49" s="22"/>
      <c r="O49" s="22"/>
      <c r="P49" s="22"/>
      <c r="Q49" s="22"/>
      <c r="R49" s="22"/>
    </row>
    <row r="50" spans="1:18" x14ac:dyDescent="0.2">
      <c r="A50" s="1" t="s">
        <v>972</v>
      </c>
      <c r="B50" s="1" t="s">
        <v>709</v>
      </c>
      <c r="C50" s="1" t="s">
        <v>260</v>
      </c>
      <c r="D50" s="740">
        <f>+VLOOKUP(C50,'ריכוז עלויות'!$A$2:$AV$57,45,0)</f>
        <v>0.55000000000000004</v>
      </c>
      <c r="E50" s="740">
        <f>+VLOOKUP(C50,'ריכוז עלויות'!$A$2:$BJ$57,48,0)</f>
        <v>2.3864483034267376</v>
      </c>
      <c r="F50" s="740">
        <f>+VLOOKUP(C50,'ריכוז עלויות'!$A$2:$AV$57,25,0)</f>
        <v>3.5156717176103123</v>
      </c>
      <c r="G50" s="740">
        <f>+VLOOKUP(C50,'ריכוז עלויות'!$A$2:$AV$57,20,0)</f>
        <v>1.3297365051822458</v>
      </c>
      <c r="H50" s="740">
        <f>+VLOOKUP(C50,'ריכוז עלויות'!$A$2:$AV$57,19,0)*(1+$E$1)</f>
        <v>3.3486920864903089</v>
      </c>
      <c r="I50" s="740">
        <f>+VLOOKUP(C50,'ריכוז עלויות'!$A$2:$AV$57,38,0)*(1+$E$1)</f>
        <v>2.3672684092260146</v>
      </c>
      <c r="K50" s="22">
        <f>+VLOOKUP(C50,'ריכוז עלויות'!$A$2:$AV$57,36,0)</f>
        <v>0.95908558127079169</v>
      </c>
      <c r="L50" s="22">
        <f>+VLOOKUP(C50,'ריכוז עלויות'!$A$2:$AV$57,4,0)</f>
        <v>4.6832152025030735</v>
      </c>
      <c r="M50" s="22"/>
      <c r="N50" s="22"/>
      <c r="O50" s="22"/>
      <c r="P50" s="22"/>
      <c r="Q50" s="22"/>
      <c r="R50" s="22"/>
    </row>
    <row r="51" spans="1:18" s="719" customFormat="1" x14ac:dyDescent="0.2">
      <c r="A51" s="719" t="s">
        <v>261</v>
      </c>
      <c r="B51" s="1" t="s">
        <v>710</v>
      </c>
      <c r="C51" s="719" t="s">
        <v>261</v>
      </c>
      <c r="D51" s="740">
        <f>+VLOOKUP(C51,'ריכוז עלויות'!$A$2:$AV$57,45,0)</f>
        <v>0.55000000000000004</v>
      </c>
      <c r="E51" s="740">
        <f>+VLOOKUP(C51,'ריכוז עלויות'!$A$2:$BJ$57,48,0)</f>
        <v>1.8049561414465976</v>
      </c>
      <c r="F51" s="740">
        <f>+VLOOKUP(C51,'ריכוז עלויות'!$A$2:$AV$57,25,0)</f>
        <v>2.8094067524644148</v>
      </c>
      <c r="G51" s="740">
        <f>+VLOOKUP(C51,'ריכוז עלויות'!$A$2:$AV$57,20,0)</f>
        <v>1.7220816237602454</v>
      </c>
      <c r="H51" s="740">
        <f>+VLOOKUP(C51,'ריכוז עלויות'!$A$2:$AV$57,19,0)*(1+$E$1)</f>
        <v>4.2484819063199781</v>
      </c>
      <c r="I51" s="740">
        <f>+VLOOKUP(C51,'ריכוז עלויות'!$A$2:$AV$57,38,0)*(1+$E$1)</f>
        <v>3.073533374371912</v>
      </c>
      <c r="K51" s="1029">
        <f>+VLOOKUP(C51,'ריכוז עלויות'!$A$2:$AV$57,36,0)</f>
        <v>0.9314277788816776</v>
      </c>
      <c r="L51" s="22">
        <f>+VLOOKUP(C51,'ריכוז עלויות'!$A$2:$AV$57,4,0)</f>
        <v>4.290870083925074</v>
      </c>
      <c r="M51" s="22"/>
      <c r="N51" s="22"/>
      <c r="O51" s="22"/>
      <c r="P51" s="22"/>
      <c r="Q51" s="22"/>
      <c r="R51" s="22"/>
    </row>
    <row r="52" spans="1:18" x14ac:dyDescent="0.2">
      <c r="A52" s="1" t="s">
        <v>262</v>
      </c>
      <c r="B52" s="1" t="s">
        <v>711</v>
      </c>
      <c r="C52" s="1" t="s">
        <v>262</v>
      </c>
      <c r="D52" s="740">
        <f>+VLOOKUP(C52,'ריכוז עלויות'!$A$2:$AV$57,45,0)</f>
        <v>0.82840162160721731</v>
      </c>
      <c r="E52" s="740">
        <f>+VLOOKUP(C52,'ריכוז עלויות'!$A$2:$BJ$57,48,0)</f>
        <v>4.6390469562789853</v>
      </c>
      <c r="F52" s="740">
        <f>+VLOOKUP(C52,'ריכוז עלויות'!$A$2:$AV$57,25,0)</f>
        <v>3.8587245562697206</v>
      </c>
      <c r="G52" s="740">
        <f>+VLOOKUP(C52,'ריכוז עלויות'!$A$2:$AV$57,20,0)</f>
        <v>1.9799399051264306</v>
      </c>
      <c r="H52" s="740">
        <f>+VLOOKUP(C52,'ריכוז עלויות'!$A$2:$AV$57,19,0)*(1+$E$1)</f>
        <v>2.0402411598738475</v>
      </c>
      <c r="I52" s="740">
        <f>+VLOOKUP(C52,'ריכוז עלויות'!$A$2:$AV$57,38,0)*(1+$E$1)</f>
        <v>2.0242155705666063</v>
      </c>
      <c r="K52" s="22">
        <f>+VLOOKUP(C52,'ריכוז עלויות'!$A$2:$AV$57,36,0)</f>
        <v>0.97314069249471447</v>
      </c>
      <c r="L52" s="22">
        <f>+VLOOKUP(C52,'ריכוז עלויות'!$A$2:$AV$57,4,0)</f>
        <v>3.754610180951671</v>
      </c>
      <c r="M52" s="22"/>
      <c r="N52" s="22"/>
      <c r="O52" s="22"/>
      <c r="P52" s="22"/>
      <c r="Q52" s="22"/>
      <c r="R52" s="22"/>
    </row>
    <row r="53" spans="1:18" x14ac:dyDescent="0.2">
      <c r="A53" s="1" t="s">
        <v>973</v>
      </c>
      <c r="B53" s="1" t="s">
        <v>712</v>
      </c>
      <c r="C53" s="1" t="s">
        <v>660</v>
      </c>
      <c r="D53" s="740">
        <f>+VLOOKUP(C53,'ריכוז עלויות'!$A$2:$AV$57,45,0)</f>
        <v>0.83529091187687665</v>
      </c>
      <c r="E53" s="740">
        <f>+VLOOKUP(C53,'ריכוז עלויות'!$A$2:$BJ$57,48,0)</f>
        <v>4.566614890854531</v>
      </c>
      <c r="F53" s="740">
        <f>+VLOOKUP(C53,'ריכוז עלויות'!$A$2:$AV$57,25,0)</f>
        <v>3.6197803619268734</v>
      </c>
      <c r="G53" s="740">
        <f>+VLOOKUP(C53,'ריכוז עלויות'!$A$2:$AV$57,20,0)</f>
        <v>2.2226277565953563</v>
      </c>
      <c r="H53" s="740">
        <f>+VLOOKUP(C53,'ריכוז עלויות'!$A$2:$AV$57,19,0)*(1+$E$1)</f>
        <v>2.282929011342774</v>
      </c>
      <c r="I53" s="740">
        <f>+VLOOKUP(C53,'ריכוז עלויות'!$A$2:$AV$57,38,0)*(1+$E$1)</f>
        <v>2.2631597649094535</v>
      </c>
      <c r="K53" s="22">
        <f>+VLOOKUP(C53,'ריכוז עלויות'!$A$2:$AV$57,36,0)</f>
        <v>0.95656409074951931</v>
      </c>
      <c r="L53" s="22">
        <f>+VLOOKUP(C53,'ריכוז עלויות'!$A$2:$AV$57,4,0)</f>
        <v>3.5050330392130862</v>
      </c>
      <c r="M53" s="22"/>
      <c r="N53" s="22"/>
      <c r="O53" s="22"/>
      <c r="P53" s="22"/>
      <c r="Q53" s="22"/>
      <c r="R53" s="22"/>
    </row>
    <row r="54" spans="1:18" x14ac:dyDescent="0.2">
      <c r="A54" s="1" t="s">
        <v>456</v>
      </c>
      <c r="B54" s="1" t="s">
        <v>456</v>
      </c>
      <c r="C54" s="1" t="s">
        <v>456</v>
      </c>
      <c r="D54" s="740">
        <f>+VLOOKUP(C54,'ריכוז עלויות'!$A$2:$AV$57,45,0)</f>
        <v>1.0774554424863565</v>
      </c>
      <c r="E54" s="740">
        <f>+VLOOKUP(C54,'ריכוז עלויות'!$A$2:$BJ$57,48,0)</f>
        <v>4.9291489727605189</v>
      </c>
      <c r="F54" s="740">
        <f>+VLOOKUP(C54,'ריכוז עלויות'!$A$2:$AV$57,25,0)</f>
        <v>4.025549172829936</v>
      </c>
      <c r="G54" s="740">
        <f>+VLOOKUP(C54,'ריכוז עלויות'!$A$2:$AV$57,20,0)</f>
        <v>1.814367509951782</v>
      </c>
      <c r="H54" s="740">
        <f>+VLOOKUP(C54,'ריכוז עלויות'!$A$2:$AV$57,19,0)*(1+$E$1)</f>
        <v>1.8746687646991997</v>
      </c>
      <c r="I54" s="740">
        <f>+VLOOKUP(C54,'ריכוז עלויות'!$A$2:$AV$57,38,0)*(1+$E$1)</f>
        <v>1.8573909540063909</v>
      </c>
      <c r="K54" s="22">
        <f>+VLOOKUP(C54,'ריכוז עלויות'!$A$2:$AV$57,36,0)</f>
        <v>0.9826574912615742</v>
      </c>
      <c r="L54" s="22">
        <f>+VLOOKUP(C54,'ריכוז עלויות'!$A$2:$AV$57,4,0)</f>
        <v>3.6711287552471807</v>
      </c>
      <c r="M54" s="22"/>
      <c r="N54" s="22"/>
      <c r="O54" s="22"/>
      <c r="P54" s="22"/>
      <c r="Q54" s="22"/>
      <c r="R54" s="22"/>
    </row>
    <row r="55" spans="1:18" x14ac:dyDescent="0.2">
      <c r="A55" s="1" t="s">
        <v>457</v>
      </c>
      <c r="B55" s="1" t="s">
        <v>457</v>
      </c>
      <c r="C55" s="1" t="s">
        <v>457</v>
      </c>
      <c r="D55" s="740">
        <f>+VLOOKUP(C55,'ריכוז עלויות'!$A$2:$AV$57,45,0)</f>
        <v>0.55000000000000004</v>
      </c>
      <c r="E55" s="740">
        <f>+VLOOKUP(C55,'ריכוז עלויות'!$A$2:$BJ$57,48,0)</f>
        <v>0.55000000000000004</v>
      </c>
      <c r="F55" s="740">
        <f>+VLOOKUP(C55,'ריכוז עלויות'!$A$2:$AV$57,25,0)</f>
        <v>2.5441200376616875</v>
      </c>
      <c r="G55" s="740">
        <f>+VLOOKUP(C55,'ריכוז עלויות'!$A$2:$AV$57,20,0)</f>
        <v>1.2666928478715649</v>
      </c>
      <c r="H55" s="740">
        <f>+VLOOKUP(C55,'ריכוז עלויות'!$A$2:$AV$57,19,0)*(1+$E$1)</f>
        <v>5.1918996674274309</v>
      </c>
      <c r="I55" s="740">
        <f>+VLOOKUP(C55,'ריכוז עלויות'!$A$2:$AV$57,38,0)*(1+$E$1)</f>
        <v>3.3388200891746393</v>
      </c>
      <c r="K55" s="22">
        <f>+VLOOKUP(C55,'ריכוז עלויות'!$A$2:$AV$57,36,0)</f>
        <v>0.91643575782449038</v>
      </c>
      <c r="L55" s="22">
        <f>+VLOOKUP(C55,'ריכוז עלויות'!$A$2:$AV$57,4,0)</f>
        <v>4.7462588598137545</v>
      </c>
      <c r="M55" s="22"/>
      <c r="N55" s="22"/>
      <c r="O55" s="22"/>
      <c r="P55" s="22"/>
      <c r="Q55" s="22"/>
      <c r="R55" s="22"/>
    </row>
    <row r="56" spans="1:18" s="719" customFormat="1" x14ac:dyDescent="0.2">
      <c r="A56" s="719" t="s">
        <v>974</v>
      </c>
      <c r="B56" s="1" t="s">
        <v>713</v>
      </c>
      <c r="C56" s="719" t="s">
        <v>263</v>
      </c>
      <c r="D56" s="740">
        <f>+VLOOKUP(C56,'ריכוז עלויות'!$A$2:$AV$57,45,0)</f>
        <v>0.89420349927290699</v>
      </c>
      <c r="E56" s="740">
        <f>+VLOOKUP(C56,'ריכוז עלויות'!$A$2:$BJ$57,48,0)</f>
        <v>4.2370416632174779</v>
      </c>
      <c r="F56" s="740">
        <f>+VLOOKUP(C56,'ריכוז עלויות'!$A$2:$AV$57,25,0)</f>
        <v>4.0939667537854936</v>
      </c>
      <c r="G56" s="740">
        <f>+VLOOKUP(C56,'ריכוז עלויות'!$A$2:$AV$57,20,0)</f>
        <v>1.7421173981713167</v>
      </c>
      <c r="H56" s="740">
        <f>+VLOOKUP(C56,'ריכוז עלויות'!$A$2:$AV$57,19,0)*(1+$E$1)</f>
        <v>1.8024186529187336</v>
      </c>
      <c r="I56" s="740">
        <f>+VLOOKUP(C56,'ריכוז עלויות'!$A$2:$AV$57,38,0)*(1+$E$1)</f>
        <v>1.7889733730508333</v>
      </c>
      <c r="K56" s="1029">
        <f>+VLOOKUP(C56,'ריכוז עלויות'!$A$2:$AV$57,36,0)</f>
        <v>0.87670981460344366</v>
      </c>
      <c r="L56" s="22">
        <f>+VLOOKUP(C56,'ריכוז עלויות'!$A$2:$AV$57,4,0)</f>
        <v>3.9266308102410958</v>
      </c>
      <c r="M56" s="22"/>
      <c r="N56" s="22"/>
      <c r="O56" s="22"/>
      <c r="P56" s="22"/>
      <c r="Q56" s="22"/>
      <c r="R56" s="22"/>
    </row>
    <row r="57" spans="1:18" x14ac:dyDescent="0.2">
      <c r="A57" s="46" t="s">
        <v>272</v>
      </c>
      <c r="B57" s="1" t="s">
        <v>714</v>
      </c>
      <c r="C57" s="1" t="s">
        <v>272</v>
      </c>
      <c r="D57" s="740">
        <f>+VLOOKUP(C57,'ריכוז עלויות'!$A$2:$AV$57,45,0)</f>
        <v>0.55000000000000004</v>
      </c>
      <c r="E57" s="740">
        <f>+VLOOKUP(C57,'ריכוז עלויות'!$A$2:$BJ$57,48,0)</f>
        <v>3.1079975289172661</v>
      </c>
      <c r="F57" s="740">
        <f>+VLOOKUP(C57,'ריכוז עלויות'!$A$2:$AV$57,25,0)</f>
        <v>2.6619434491735618</v>
      </c>
      <c r="G57" s="740">
        <f>+VLOOKUP(C57,'ריכוז עלויות'!$A$2:$AV$57,20,0)</f>
        <v>2.5245382189654069</v>
      </c>
      <c r="H57" s="740">
        <f>+VLOOKUP(C57,'ריכוז עלויות'!$A$2:$AV$57,19,0)*(1+$E$1)</f>
        <v>3.8971909609941409</v>
      </c>
      <c r="I57" s="740">
        <f>+VLOOKUP(C57,'ריכוז עלויות'!$A$2:$AV$57,38,0)*(1+$E$1)</f>
        <v>3.220996677662765</v>
      </c>
      <c r="K57" s="22">
        <f>+VLOOKUP(C57,'ריכוז עלויות'!$A$2:$AV$57,36,0)</f>
        <v>0.98216913033483189</v>
      </c>
      <c r="L57" s="22">
        <f>+VLOOKUP(C57,'ריכוז עלויות'!$A$2:$AV$57,4,0)</f>
        <v>3.4884134887199125</v>
      </c>
      <c r="M57" s="22"/>
      <c r="N57" s="22"/>
      <c r="O57" s="22"/>
      <c r="P57" s="22"/>
      <c r="Q57" s="22"/>
      <c r="R57" s="22"/>
    </row>
    <row r="58" spans="1:18" x14ac:dyDescent="0.2">
      <c r="A58" s="1" t="s">
        <v>53</v>
      </c>
      <c r="B58" s="1" t="s">
        <v>715</v>
      </c>
      <c r="C58" s="1" t="s">
        <v>264</v>
      </c>
      <c r="D58" s="740">
        <f>+VLOOKUP(C58,'ריכוז עלויות'!$A$2:$AV$57,45,0)</f>
        <v>0.69488773214788413</v>
      </c>
      <c r="E58" s="740">
        <f>+VLOOKUP(C58,'ריכוז עלויות'!$A$2:$BJ$57,48,0)</f>
        <v>4.5249799561132535</v>
      </c>
      <c r="F58" s="740">
        <f>+VLOOKUP(C58,'ריכוז עלויות'!$A$2:$AV$57,25,0)</f>
        <v>3.5213328666101233</v>
      </c>
      <c r="G58" s="740">
        <f>+VLOOKUP(C58,'ריכוז עלויות'!$A$2:$AV$57,20,0)</f>
        <v>2.3204363328601429</v>
      </c>
      <c r="H58" s="740">
        <f>+VLOOKUP(C58,'ריכוז עלויות'!$A$2:$AV$57,19,0)*(1+$E$1)</f>
        <v>2.3807375876075607</v>
      </c>
      <c r="I58" s="740">
        <f>+VLOOKUP(C58,'ריכוז עלויות'!$A$2:$AV$57,38,0)*(1+$E$1)</f>
        <v>2.3616072602262035</v>
      </c>
      <c r="K58" s="22">
        <f>+VLOOKUP(C58,'ריכוז עלויות'!$A$2:$AV$57,36,0)</f>
        <v>0.97656370884723398</v>
      </c>
      <c r="L58" s="22">
        <f>+VLOOKUP(C58,'ריכוז עלויות'!$A$2:$AV$57,4,0)</f>
        <v>3.5476276426772921</v>
      </c>
      <c r="M58" s="22"/>
      <c r="N58" s="22"/>
      <c r="O58" s="22"/>
      <c r="P58" s="22"/>
      <c r="Q58" s="22"/>
      <c r="R58" s="22"/>
    </row>
    <row r="59" spans="1:18" s="719" customFormat="1" x14ac:dyDescent="0.2">
      <c r="A59" s="719" t="s">
        <v>458</v>
      </c>
      <c r="B59" s="1" t="s">
        <v>458</v>
      </c>
      <c r="C59" s="719" t="s">
        <v>458</v>
      </c>
      <c r="D59" s="740">
        <f>+VLOOKUP(C59,'ריכוז עלויות'!$A$2:$AV$57,45,0)</f>
        <v>1.0404944211059219</v>
      </c>
      <c r="E59" s="740">
        <f>+VLOOKUP(C59,'ריכוז עלויות'!$A$2:$BJ$57,48,0)</f>
        <v>4.6453034792377856</v>
      </c>
      <c r="F59" s="740">
        <f>+VLOOKUP(C59,'ריכוז עלויות'!$A$2:$AV$57,25,0)</f>
        <v>3.2182501096862417</v>
      </c>
      <c r="G59" s="740">
        <f>+VLOOKUP(C59,'ריכוז עלויות'!$A$2:$AV$57,20,0)</f>
        <v>2.5236114180687208</v>
      </c>
      <c r="H59" s="740">
        <f>+VLOOKUP(C59,'ריכוז עלויות'!$A$2:$AV$57,19,0)*(1+$E$1)</f>
        <v>2.7702410557152373</v>
      </c>
      <c r="I59" s="740">
        <f>+VLOOKUP(C59,'ריכוז עלויות'!$A$2:$AV$57,38,0)*(1+$E$1)</f>
        <v>2.6646900171500851</v>
      </c>
      <c r="K59" s="1029">
        <f>+VLOOKUP(C59,'ריכוז עלויות'!$A$2:$AV$57,36,0)</f>
        <v>0.96921487148576035</v>
      </c>
      <c r="L59" s="22">
        <f>+VLOOKUP(C59,'ריכוז עלויות'!$A$2:$AV$57,4,0)</f>
        <v>2.9988458685106769</v>
      </c>
      <c r="M59" s="22"/>
      <c r="N59" s="22"/>
      <c r="O59" s="22"/>
      <c r="P59" s="22"/>
      <c r="Q59" s="22"/>
      <c r="R59" s="22"/>
    </row>
    <row r="60" spans="1:18" x14ac:dyDescent="0.2">
      <c r="D60" s="22"/>
      <c r="E60" s="22"/>
      <c r="G60" s="22"/>
      <c r="K60" s="22"/>
    </row>
    <row r="61" spans="1:18" x14ac:dyDescent="0.2">
      <c r="D61" s="22"/>
      <c r="E61" s="22"/>
      <c r="K61" s="22"/>
      <c r="L61" s="22"/>
    </row>
    <row r="62" spans="1:18" x14ac:dyDescent="0.2">
      <c r="E62" s="22"/>
      <c r="K62" s="22"/>
    </row>
    <row r="63" spans="1:18" x14ac:dyDescent="0.2">
      <c r="K63" s="22"/>
    </row>
    <row r="64" spans="1:18" x14ac:dyDescent="0.2">
      <c r="K64" s="22"/>
    </row>
    <row r="65" spans="1:11" x14ac:dyDescent="0.2">
      <c r="A65"/>
      <c r="B65"/>
      <c r="C65"/>
      <c r="D65" s="22"/>
      <c r="E65" s="22"/>
      <c r="K65" s="22"/>
    </row>
    <row r="66" spans="1:11" x14ac:dyDescent="0.2">
      <c r="A66"/>
      <c r="B66"/>
      <c r="C66"/>
      <c r="D66" s="22"/>
      <c r="F66" s="2"/>
      <c r="K66" s="22"/>
    </row>
    <row r="67" spans="1:11" x14ac:dyDescent="0.2">
      <c r="A67"/>
      <c r="B67"/>
      <c r="C67"/>
      <c r="D67" s="22"/>
      <c r="K67" s="22"/>
    </row>
    <row r="83" spans="1:9" x14ac:dyDescent="0.2">
      <c r="D83" s="1"/>
      <c r="E83" s="1"/>
      <c r="F83" s="1"/>
      <c r="G83" s="1"/>
      <c r="H83" s="1"/>
      <c r="I83" s="1"/>
    </row>
    <row r="84" spans="1:9" x14ac:dyDescent="0.2">
      <c r="D84" s="1"/>
      <c r="E84" s="1"/>
      <c r="F84" s="1"/>
      <c r="G84" s="1"/>
      <c r="H84" s="1"/>
      <c r="I84" s="1"/>
    </row>
    <row r="85" spans="1:9" x14ac:dyDescent="0.2">
      <c r="D85" s="1"/>
      <c r="E85" s="1"/>
      <c r="F85" s="1"/>
      <c r="G85" s="1"/>
      <c r="H85" s="1"/>
      <c r="I85" s="1"/>
    </row>
    <row r="86" spans="1:9" x14ac:dyDescent="0.2">
      <c r="D86" s="1"/>
      <c r="E86" s="1"/>
      <c r="F86" s="1"/>
      <c r="G86" s="1"/>
      <c r="H86" s="1"/>
      <c r="I86" s="1"/>
    </row>
    <row r="87" spans="1:9" x14ac:dyDescent="0.2">
      <c r="A87" s="39"/>
      <c r="B87" s="39"/>
      <c r="C87" s="39"/>
      <c r="D87" s="1"/>
      <c r="E87" s="1"/>
      <c r="F87" s="1"/>
      <c r="G87" s="1"/>
      <c r="H87" s="1"/>
      <c r="I87" s="1"/>
    </row>
    <row r="88" spans="1:9" x14ac:dyDescent="0.2">
      <c r="D88" s="1"/>
      <c r="E88" s="1"/>
      <c r="F88" s="1"/>
      <c r="G88" s="1"/>
      <c r="H88" s="1"/>
      <c r="I88" s="1"/>
    </row>
    <row r="89" spans="1:9" x14ac:dyDescent="0.2">
      <c r="D89" s="1"/>
      <c r="E89" s="1"/>
      <c r="F89" s="1"/>
      <c r="G89" s="1"/>
      <c r="H89" s="1"/>
      <c r="I89" s="1"/>
    </row>
    <row r="90" spans="1:9" x14ac:dyDescent="0.2">
      <c r="D90" s="1"/>
      <c r="E90" s="1"/>
      <c r="F90" s="1"/>
      <c r="G90" s="1"/>
      <c r="H90" s="1"/>
      <c r="I90" s="1"/>
    </row>
    <row r="91" spans="1:9" x14ac:dyDescent="0.2">
      <c r="D91" s="1"/>
      <c r="E91" s="1"/>
      <c r="F91" s="1"/>
      <c r="G91" s="1"/>
      <c r="H91" s="1"/>
      <c r="I91" s="1"/>
    </row>
    <row r="92" spans="1:9" ht="13.5" thickBot="1" x14ac:dyDescent="0.25">
      <c r="D92" s="1"/>
      <c r="E92" s="1"/>
      <c r="F92" s="1"/>
      <c r="G92" s="1"/>
      <c r="H92" s="1"/>
      <c r="I92" s="1"/>
    </row>
    <row r="93" spans="1:9" ht="13.5" thickBot="1" x14ac:dyDescent="0.25">
      <c r="A93" s="741"/>
      <c r="B93" s="741"/>
      <c r="C93" s="53"/>
      <c r="D93" s="1"/>
      <c r="E93" s="1"/>
      <c r="F93" s="1"/>
      <c r="G93" s="1"/>
      <c r="H93" s="1"/>
      <c r="I93" s="1"/>
    </row>
    <row r="94" spans="1:9" x14ac:dyDescent="0.2">
      <c r="D94" s="1"/>
      <c r="E94" s="1"/>
      <c r="F94" s="1"/>
      <c r="G94" s="1"/>
      <c r="H94" s="1"/>
      <c r="I94" s="1"/>
    </row>
    <row r="106" spans="1:3" x14ac:dyDescent="0.2">
      <c r="A106">
        <v>1</v>
      </c>
      <c r="B106">
        <v>1</v>
      </c>
      <c r="C106"/>
    </row>
    <row r="115" spans="1:3" x14ac:dyDescent="0.2">
      <c r="A115"/>
      <c r="B115"/>
      <c r="C115"/>
    </row>
    <row r="116" spans="1:3" x14ac:dyDescent="0.2">
      <c r="A116"/>
      <c r="B116"/>
      <c r="C116"/>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6"/>
  <dimension ref="A1:BJ93"/>
  <sheetViews>
    <sheetView rightToLeft="1" workbookViewId="0">
      <pane xSplit="1" ySplit="2" topLeftCell="B52" activePane="bottomRight" state="frozen"/>
      <selection activeCell="E49" sqref="E49"/>
      <selection pane="topRight" activeCell="E49" sqref="E49"/>
      <selection pane="bottomLeft" activeCell="E49" sqref="E49"/>
      <selection pane="bottomRight" activeCell="E62" sqref="E62"/>
    </sheetView>
  </sheetViews>
  <sheetFormatPr defaultColWidth="10.85546875" defaultRowHeight="12.75" x14ac:dyDescent="0.2"/>
  <cols>
    <col min="1" max="1" width="41" style="1" bestFit="1" customWidth="1"/>
    <col min="2" max="2" width="17.28515625" style="40" customWidth="1"/>
    <col min="3" max="3" width="18.28515625" style="40" customWidth="1"/>
    <col min="4" max="4" width="18.42578125" style="40" bestFit="1" customWidth="1"/>
    <col min="5" max="6" width="16.85546875" style="40" customWidth="1"/>
    <col min="7" max="7" width="16.140625" style="40" customWidth="1"/>
    <col min="8" max="8" width="17.85546875" style="5" customWidth="1"/>
    <col min="9" max="9" width="16.85546875" style="5" customWidth="1"/>
    <col min="10" max="10" width="21.140625" style="40" customWidth="1"/>
    <col min="11" max="11" width="19.5703125" style="40" customWidth="1"/>
    <col min="12" max="12" width="24.7109375" style="40" hidden="1" customWidth="1"/>
    <col min="13" max="13" width="25.7109375" style="40" hidden="1" customWidth="1"/>
    <col min="14" max="14" width="29" style="40" hidden="1" customWidth="1"/>
    <col min="15" max="15" width="7.5703125" style="40" hidden="1" customWidth="1"/>
    <col min="16" max="16" width="12" style="40" customWidth="1"/>
    <col min="17" max="17" width="11.28515625" style="40" customWidth="1"/>
    <col min="18" max="18" width="21.140625" style="40" customWidth="1"/>
    <col min="19" max="19" width="16.42578125" style="40" customWidth="1"/>
    <col min="20" max="20" width="16.28515625" style="40" customWidth="1"/>
    <col min="21" max="21" width="23" style="40" customWidth="1"/>
    <col min="22" max="22" width="22.7109375" style="1" customWidth="1"/>
    <col min="23" max="23" width="16" style="1" customWidth="1"/>
    <col min="24" max="24" width="33" style="1" customWidth="1"/>
    <col min="25" max="25" width="24.85546875" style="1" customWidth="1"/>
    <col min="26" max="26" width="20.85546875" style="1" customWidth="1"/>
    <col min="27" max="27" width="26.28515625" style="1" customWidth="1"/>
    <col min="28" max="28" width="39.85546875" style="1" customWidth="1"/>
    <col min="29" max="29" width="24.85546875" style="1" customWidth="1"/>
    <col min="30" max="30" width="36.140625" style="5" customWidth="1"/>
    <col min="31" max="31" width="26.140625" style="1" customWidth="1"/>
    <col min="32" max="32" width="26.28515625" style="1" customWidth="1"/>
    <col min="33" max="33" width="49.7109375" style="1" customWidth="1"/>
    <col min="34" max="34" width="15.28515625" style="1" customWidth="1"/>
    <col min="35" max="35" width="35" style="1" customWidth="1"/>
    <col min="36" max="36" width="42" style="1" customWidth="1"/>
    <col min="37" max="37" width="39.7109375" style="1" customWidth="1"/>
    <col min="38" max="38" width="29.140625" style="1" customWidth="1"/>
    <col min="39" max="39" width="10.140625" style="1" hidden="1" customWidth="1"/>
    <col min="40" max="40" width="10.5703125" style="1" hidden="1" customWidth="1"/>
    <col min="41" max="41" width="18.85546875" style="1" hidden="1" customWidth="1"/>
    <col min="42" max="42" width="10.140625" style="1" hidden="1" customWidth="1"/>
    <col min="43" max="43" width="0" style="1" hidden="1" customWidth="1"/>
    <col min="44" max="44" width="20.42578125" style="1" hidden="1" customWidth="1"/>
    <col min="45" max="45" width="34" style="1" customWidth="1"/>
    <col min="46" max="46" width="9.140625" style="1" customWidth="1"/>
    <col min="47" max="47" width="11.85546875" style="1" customWidth="1"/>
    <col min="48" max="49" width="16.42578125" style="1" customWidth="1"/>
    <col min="50" max="51" width="9.140625" style="1" customWidth="1"/>
    <col min="52" max="52" width="12.85546875" style="1" customWidth="1"/>
    <col min="53" max="53" width="11.28515625" style="1" customWidth="1"/>
    <col min="54" max="54" width="12.85546875" style="1" customWidth="1"/>
    <col min="55" max="55" width="11.28515625" style="1" customWidth="1"/>
    <col min="56" max="56" width="10.85546875" style="1" customWidth="1"/>
    <col min="57" max="58" width="12.85546875" style="1" customWidth="1"/>
    <col min="59" max="60" width="10.85546875" style="1" customWidth="1"/>
    <col min="61" max="16384" width="10.85546875" style="1"/>
  </cols>
  <sheetData>
    <row r="1" spans="1:62" x14ac:dyDescent="0.2">
      <c r="A1" s="39" t="s">
        <v>503</v>
      </c>
      <c r="H1" s="40"/>
      <c r="I1" s="40"/>
      <c r="Y1" s="55"/>
      <c r="Z1" s="1">
        <f>+IF(VLOOKUP(A3,'נתוני מים 2011 מעודכן'!$B:$S,17,0)/1000=0,1,0)</f>
        <v>0</v>
      </c>
      <c r="AH1" s="55"/>
      <c r="AI1" s="55"/>
      <c r="AJ1" s="479" t="s">
        <v>532</v>
      </c>
      <c r="AS1" s="1">
        <v>0.55000000000000004</v>
      </c>
      <c r="AU1" s="480">
        <v>1</v>
      </c>
      <c r="BE1" s="46" t="s">
        <v>988</v>
      </c>
      <c r="BF1" s="46"/>
      <c r="BG1" s="1">
        <v>3.95</v>
      </c>
      <c r="BH1" s="46" t="s">
        <v>989</v>
      </c>
      <c r="BI1" s="1">
        <v>2.8</v>
      </c>
    </row>
    <row r="2" spans="1:62" ht="16.5" customHeight="1" x14ac:dyDescent="0.2">
      <c r="A2" s="661" t="s">
        <v>504</v>
      </c>
      <c r="B2" s="662" t="s">
        <v>930</v>
      </c>
      <c r="C2" s="662" t="s">
        <v>931</v>
      </c>
      <c r="D2" s="662" t="s">
        <v>932</v>
      </c>
      <c r="E2" s="662" t="s">
        <v>933</v>
      </c>
      <c r="F2" s="662" t="s">
        <v>946</v>
      </c>
      <c r="G2" s="662" t="s">
        <v>459</v>
      </c>
      <c r="H2" s="663" t="s">
        <v>505</v>
      </c>
      <c r="I2" s="663" t="s">
        <v>506</v>
      </c>
      <c r="J2" s="662" t="s">
        <v>507</v>
      </c>
      <c r="K2" s="662" t="s">
        <v>934</v>
      </c>
      <c r="L2" s="664" t="s">
        <v>508</v>
      </c>
      <c r="M2" s="664" t="s">
        <v>509</v>
      </c>
      <c r="N2" s="664" t="s">
        <v>510</v>
      </c>
      <c r="O2" s="664" t="s">
        <v>511</v>
      </c>
      <c r="P2" s="662" t="s">
        <v>496</v>
      </c>
      <c r="Q2" s="662" t="s">
        <v>192</v>
      </c>
      <c r="R2" s="662" t="s">
        <v>512</v>
      </c>
      <c r="S2" s="665" t="s">
        <v>935</v>
      </c>
      <c r="T2" s="666" t="s">
        <v>936</v>
      </c>
      <c r="U2" s="664" t="s">
        <v>513</v>
      </c>
      <c r="V2" s="664" t="s">
        <v>514</v>
      </c>
      <c r="W2" s="664" t="s">
        <v>938</v>
      </c>
      <c r="X2" s="664" t="s">
        <v>939</v>
      </c>
      <c r="Y2" s="664" t="s">
        <v>515</v>
      </c>
      <c r="Z2" s="664" t="s">
        <v>516</v>
      </c>
      <c r="AA2" s="664" t="s">
        <v>517</v>
      </c>
      <c r="AB2" s="664" t="s">
        <v>518</v>
      </c>
      <c r="AC2" s="664" t="s">
        <v>519</v>
      </c>
      <c r="AD2" s="1066" t="s">
        <v>520</v>
      </c>
      <c r="AE2" s="664" t="s">
        <v>521</v>
      </c>
      <c r="AF2" s="664" t="s">
        <v>522</v>
      </c>
      <c r="AG2" s="664" t="s">
        <v>523</v>
      </c>
      <c r="AH2" s="664" t="s">
        <v>524</v>
      </c>
      <c r="AI2" s="664" t="s">
        <v>525</v>
      </c>
      <c r="AJ2" s="664" t="s">
        <v>526</v>
      </c>
      <c r="AK2" s="664" t="s">
        <v>527</v>
      </c>
      <c r="AL2" s="664" t="s">
        <v>528</v>
      </c>
      <c r="AM2" s="667" t="s">
        <v>924</v>
      </c>
      <c r="AN2" s="667" t="s">
        <v>927</v>
      </c>
      <c r="AO2" s="667" t="s">
        <v>533</v>
      </c>
      <c r="AP2" s="667" t="s">
        <v>534</v>
      </c>
      <c r="AQ2" s="667" t="s">
        <v>928</v>
      </c>
      <c r="AR2" s="667" t="s">
        <v>929</v>
      </c>
      <c r="AS2" s="668" t="s">
        <v>561</v>
      </c>
      <c r="AT2" s="667" t="s">
        <v>194</v>
      </c>
      <c r="AU2" s="667" t="s">
        <v>562</v>
      </c>
      <c r="AV2" s="668" t="s">
        <v>563</v>
      </c>
      <c r="AW2" s="747"/>
      <c r="AX2" s="669" t="s">
        <v>925</v>
      </c>
      <c r="AY2" s="670" t="s">
        <v>926</v>
      </c>
      <c r="AZ2" s="736"/>
      <c r="BE2" s="46" t="s">
        <v>292</v>
      </c>
      <c r="BF2" s="46"/>
    </row>
    <row r="3" spans="1:62" ht="12.75" customHeight="1" x14ac:dyDescent="0.2">
      <c r="A3" s="671" t="s">
        <v>691</v>
      </c>
      <c r="B3" s="672">
        <f>+HLOOKUP(A3,'תחשיב תעריף 2016'!$4:$67,48,0)/(1-P3)</f>
        <v>7.2363131473948936</v>
      </c>
      <c r="C3" s="672">
        <f>+HLOOKUP(A3,'תחשיב תעריף 2016'!$4:$67,49,0)/(1-P3)</f>
        <v>3.1127282535933807</v>
      </c>
      <c r="D3" s="672">
        <f>+HLOOKUP(A3,'תחשיב תעריף 2016'!$4:$67,50,0)/(1-P3)</f>
        <v>3.5002819484557519</v>
      </c>
      <c r="E3" s="673">
        <f t="shared" ref="E3:E34" si="0">+C3+D3</f>
        <v>6.6130102020491321</v>
      </c>
      <c r="F3" s="673">
        <f t="shared" ref="F3:F34" si="1">+(C3+D3)*H3</f>
        <v>49518.855241923302</v>
      </c>
      <c r="G3" s="674">
        <f>+HLOOKUP(A3,'תחשיב תעריף 2016'!$4:$67,12,0)</f>
        <v>10780.42</v>
      </c>
      <c r="H3" s="674">
        <f>+(HLOOKUP(A3,'נתוני תאגידים'!$1:$539,358,0))*3.5*12</f>
        <v>7488.0960000000005</v>
      </c>
      <c r="I3" s="674">
        <f>G3-H3</f>
        <v>3292.3239999999996</v>
      </c>
      <c r="J3" s="672">
        <f>+HLOOKUP(A3,'תחשיב תעריף 2016'!$4:$82,64,0)</f>
        <v>0.96768963014608311</v>
      </c>
      <c r="K3" s="672">
        <f>+HLOOKUP(A3,'תחשיב תעריף 2016'!$4:$82,57,0)</f>
        <v>4.7602107295381151</v>
      </c>
      <c r="L3" s="673">
        <f t="shared" ref="L3:L34" si="2">I3*B3</f>
        <v>23824.287446683742</v>
      </c>
      <c r="M3" s="673">
        <f t="shared" ref="M3:M34" si="3">H3*C3</f>
        <v>23308.40798481958</v>
      </c>
      <c r="N3" s="673" t="e">
        <f>I3*#REF!</f>
        <v>#REF!</v>
      </c>
      <c r="O3" s="673">
        <f t="shared" ref="O3:O34" si="4">H3*E3</f>
        <v>49518.855241923302</v>
      </c>
      <c r="P3" s="675">
        <f>+HLOOKUP(A3,'תחשיב תעריף 2016'!$4:$67,18,0)</f>
        <v>5.1553417542358766E-2</v>
      </c>
      <c r="Q3" s="675">
        <f>+HLOOKUP(A3,'תחשיב תעריף 2016'!$4:$67,17,0)</f>
        <v>9.6984818710599358E-2</v>
      </c>
      <c r="R3" s="673">
        <f>+$C$61</f>
        <v>10.561938969631239</v>
      </c>
      <c r="S3" s="673">
        <f t="shared" ref="S3:S34" si="5">+$C$61-AW3-D3</f>
        <v>2.3014462916373719</v>
      </c>
      <c r="T3" s="673">
        <f t="shared" ref="T3:T34" si="6">+$E$60-AS3-D3</f>
        <v>2.0949801290834844</v>
      </c>
      <c r="U3" s="673">
        <f t="shared" ref="U3:U34" si="7">+R3-T3</f>
        <v>8.4669588405477541</v>
      </c>
      <c r="V3" s="673">
        <f>+HLOOKUP(A3,'תחשיב תעריף 2016'!$4:$82,72,0)</f>
        <v>5.7627549233851791</v>
      </c>
      <c r="W3" s="676">
        <f>HLOOKUP(A3,'נתוני תאגידים'!$1:$473,356,0)</f>
        <v>92.564999999999998</v>
      </c>
      <c r="X3" s="676">
        <f>+W3*V3</f>
        <v>533.42940948314913</v>
      </c>
      <c r="Y3" s="672">
        <f>+HLOOKUP(A3,'תחשיב תעריף 2016'!$4:$82,79,0)</f>
        <v>3.6443403299779744</v>
      </c>
      <c r="Z3" s="673">
        <f>HLOOKUP(A3,'נתוני תאגידים'!$1:$1000,958,0)</f>
        <v>619.61300000000006</v>
      </c>
      <c r="AA3" s="677">
        <f t="shared" ref="AA3:AA34" si="8">+V3+D3</f>
        <v>9.2630368718409315</v>
      </c>
      <c r="AB3" s="676">
        <f>+AA3*Z3</f>
        <v>5739.498065271976</v>
      </c>
      <c r="AC3" s="673">
        <f>+$B$69-$B$68-D3+Y3</f>
        <v>2.8141182546858965</v>
      </c>
      <c r="AD3" s="674">
        <f>+AC3*(Z3)</f>
        <v>1743.6642541406925</v>
      </c>
      <c r="AE3" s="676">
        <f>+K3*AH3</f>
        <v>12282.038672974848</v>
      </c>
      <c r="AF3" s="676">
        <f t="shared" ref="AF3:AF34" si="9">+W3+G3</f>
        <v>10872.985000000001</v>
      </c>
      <c r="AG3" s="676">
        <f>+AD3+AE3</f>
        <v>14025.702927115541</v>
      </c>
      <c r="AH3" s="678">
        <f>+I3-W3-Z3</f>
        <v>2580.1459999999997</v>
      </c>
      <c r="AI3" s="679">
        <f>+AG3/(AH3+Z3)</f>
        <v>4.3833622866958235</v>
      </c>
      <c r="AJ3" s="679">
        <f>+AI3/K3</f>
        <v>0.92083366383259735</v>
      </c>
      <c r="AK3" s="679">
        <f t="shared" ref="AK3:AK34" si="10">+AH3*(B3+D3)</f>
        <v>27701.982890178657</v>
      </c>
      <c r="AL3" s="679">
        <f t="shared" ref="AL3:AL34" si="11">+$B$68-Y3</f>
        <v>2.2385997968583524</v>
      </c>
      <c r="AM3" s="677">
        <v>3.0872329269122578</v>
      </c>
      <c r="AN3" s="677">
        <v>3.4061318340572062</v>
      </c>
      <c r="AO3" s="677">
        <f t="shared" ref="AO3:AO34" si="12">+AL3-AM3</f>
        <v>-0.84863313005390539</v>
      </c>
      <c r="AP3" s="679" t="e">
        <f>+#REF!-AN3</f>
        <v>#REF!</v>
      </c>
      <c r="AQ3" s="677"/>
      <c r="AR3" s="680">
        <v>544.66800000000001</v>
      </c>
      <c r="AS3" s="679">
        <f t="shared" ref="AS3:AS34" si="13">+IF(J3&gt;$AS$1,J3,$AS$1)</f>
        <v>0.96768963014608311</v>
      </c>
      <c r="AT3" s="679">
        <f t="shared" ref="AT3:AT34" si="14">+AS3-J3</f>
        <v>0</v>
      </c>
      <c r="AU3" s="746">
        <f t="shared" ref="AU3:AU34" si="15">-IF(J3&gt;$AS$1,0,J3-$AS$1)*$AU$1</f>
        <v>0</v>
      </c>
      <c r="AV3" s="679">
        <f t="shared" ref="AV3:AV34" si="16">+IF(AS3&lt;$AS$1,$AS$1,+IF((AI3-AU3)&lt;$AS$1,$AS$1,AI3-AU3))</f>
        <v>4.3833622866958235</v>
      </c>
      <c r="AW3" s="748">
        <f t="shared" ref="AW3:AW34" si="17">+IF(AS3&lt;$AS$1,$AS$1,+IF((K3-AU3)&lt;$AS$1,$AS$1,K3-AU3))</f>
        <v>4.7602107295381151</v>
      </c>
      <c r="AX3" s="681" t="s">
        <v>940</v>
      </c>
      <c r="AY3" s="682"/>
      <c r="AZ3" s="749">
        <f t="shared" ref="AZ3:AZ34" si="18">+D3*G3</f>
        <v>37734.509522771354</v>
      </c>
      <c r="BA3" s="50">
        <f t="shared" ref="BA3:BA34" si="19">+H3*C3</f>
        <v>23308.40798481958</v>
      </c>
      <c r="BB3" s="50">
        <f t="shared" ref="BB3:BB34" si="20">+B3*I3</f>
        <v>23824.287446683742</v>
      </c>
      <c r="BC3" s="50">
        <f t="shared" ref="BC3:BC34" si="21">+AV3*AH3</f>
        <v>11309.714670569081</v>
      </c>
      <c r="BD3" s="50">
        <f t="shared" ref="BD3:BD34" si="22">+AS3*H3</f>
        <v>7246.1528487383648</v>
      </c>
      <c r="BE3" s="5">
        <f>+VLOOKUP(A3,'נתוני מים 2011 מעודכן'!$B:$S,5,0)/1000</f>
        <v>3054.2109999999998</v>
      </c>
      <c r="BF3" s="5" t="str">
        <f>+IF(AND(BE3&gt;0,AX3="מי רקת"),$BE$1,+IF(BE3&gt;0,$BH$1,0))</f>
        <v>מפיק ארצי</v>
      </c>
      <c r="BG3" s="42">
        <f>+IF(AND(BF3=$BH$1,AV3&lt;$BI$1),$BI$1,0)</f>
        <v>0</v>
      </c>
      <c r="BH3" s="1">
        <f>+IF(AND(BF3=$BE$1,AV3&lt;$BG$1),$BG$1,0)</f>
        <v>0</v>
      </c>
      <c r="BI3" s="42">
        <f>+IF((BG3+BH3)=0,AV3,$BG$1)</f>
        <v>4.3833622866958235</v>
      </c>
      <c r="BJ3" s="483"/>
    </row>
    <row r="4" spans="1:62" x14ac:dyDescent="0.2">
      <c r="A4" s="683" t="s">
        <v>439</v>
      </c>
      <c r="B4" s="657">
        <f>+HLOOKUP(A4,'תחשיב תעריף 2016'!$4:$67,48,0)/(1-P4)</f>
        <v>7.6758737687272047</v>
      </c>
      <c r="C4" s="657">
        <f>+HLOOKUP(A4,'תחשיב תעריף 2016'!$4:$67,49,0)/(1-P4)</f>
        <v>3.532183905368016</v>
      </c>
      <c r="D4" s="684">
        <f>+HLOOKUP(A4,'תחשיב תעריף 2016'!$4:$67,50,0)/(1-P4)</f>
        <v>3.1962129649201172</v>
      </c>
      <c r="E4" s="684">
        <f t="shared" si="0"/>
        <v>6.7283968702881332</v>
      </c>
      <c r="F4" s="684">
        <f t="shared" si="1"/>
        <v>37168.283323983713</v>
      </c>
      <c r="G4" s="685">
        <f>+HLOOKUP(A4,'תחשיב תעריף 2016'!$4:$67,12,0)</f>
        <v>9340.4369999999999</v>
      </c>
      <c r="H4" s="685">
        <f>+(HLOOKUP(A4,'נתוני תאגידים'!$1:$539,358,0))*3.5*12</f>
        <v>5524.0919999999996</v>
      </c>
      <c r="I4" s="685">
        <f>G4-H4</f>
        <v>3816.3450000000003</v>
      </c>
      <c r="J4" s="684">
        <f>+HLOOKUP(A4,'תחשיב תעריף 2016'!$4:$82,64,0)</f>
        <v>0.87667263461070755</v>
      </c>
      <c r="K4" s="684">
        <f>+HLOOKUP(A4,'תחשיב תעריף 2016'!$4:$82,57,0)</f>
        <v>4.6507926171806648</v>
      </c>
      <c r="L4" s="684">
        <f t="shared" si="2"/>
        <v>29293.782477913224</v>
      </c>
      <c r="M4" s="684">
        <f t="shared" si="3"/>
        <v>19512.108854172213</v>
      </c>
      <c r="N4" s="684" t="e">
        <f>I4*#REF!</f>
        <v>#REF!</v>
      </c>
      <c r="O4" s="684">
        <f t="shared" si="4"/>
        <v>37168.283323983713</v>
      </c>
      <c r="P4" s="686">
        <f>+HLOOKUP(A4,'תחשיב תעריף 2016'!$4:$67,18,0)</f>
        <v>5.6155231456089812E-2</v>
      </c>
      <c r="Q4" s="686">
        <f>+HLOOKUP(A4,'תחשיב תעריף 2016'!$4:$67,17,0)</f>
        <v>0.11505582399254707</v>
      </c>
      <c r="R4" s="684">
        <f>+R3</f>
        <v>10.561938969631239</v>
      </c>
      <c r="S4" s="684">
        <f t="shared" si="5"/>
        <v>2.7149333875304569</v>
      </c>
      <c r="T4" s="684">
        <f t="shared" si="6"/>
        <v>2.4900661081544948</v>
      </c>
      <c r="U4" s="684">
        <f t="shared" si="7"/>
        <v>8.071872861476745</v>
      </c>
      <c r="V4" s="684">
        <f>+HLOOKUP(A4,'תחשיב תעריף 2016'!$4:$82,72,0)</f>
        <v>6.1443317497617951</v>
      </c>
      <c r="W4" s="687">
        <f>HLOOKUP(A4,'נתוני תאגידים'!$1:$473,356,0)</f>
        <v>285.15699999999998</v>
      </c>
      <c r="X4" s="687">
        <f t="shared" ref="X4:X53" si="23">+W4*V4</f>
        <v>1752.0992087668242</v>
      </c>
      <c r="Y4" s="690">
        <f>+HLOOKUP(A4,'תחשיב תעריף 2016'!$4:$82,79,0)</f>
        <v>3.2533424438754586</v>
      </c>
      <c r="Z4" s="690">
        <f>HLOOKUP(A4,'נתוני תאגידים'!$1:$1000,958,0)</f>
        <v>289.61500000000001</v>
      </c>
      <c r="AA4" s="688">
        <f t="shared" si="8"/>
        <v>9.3405447146819114</v>
      </c>
      <c r="AB4" s="683">
        <f t="shared" ref="AB4:AB54" si="24">+AA4*Z4</f>
        <v>2705.1618575426019</v>
      </c>
      <c r="AC4" s="684">
        <f t="shared" ref="AC4:AC34" si="25">+$B$69-$B$68-D4+Y4</f>
        <v>2.7271893521190154</v>
      </c>
      <c r="AD4" s="685">
        <f t="shared" ref="AD4:AD54" si="26">+AC4*(Z4)</f>
        <v>789.83494421394869</v>
      </c>
      <c r="AE4" s="687">
        <f t="shared" ref="AE4:AE34" si="27">+K4*AH4</f>
        <v>15075.883776452181</v>
      </c>
      <c r="AF4" s="687">
        <f t="shared" si="9"/>
        <v>9625.5939999999991</v>
      </c>
      <c r="AG4" s="687">
        <f>+AD4+AE4</f>
        <v>15865.718720666129</v>
      </c>
      <c r="AH4" s="689">
        <f>+I4-W4-Z4</f>
        <v>3241.5730000000003</v>
      </c>
      <c r="AI4" s="687">
        <f t="shared" ref="AI4:AI34" si="28">+AG4/(AH4+Z4)</f>
        <v>4.4930257807474794</v>
      </c>
      <c r="AJ4" s="690">
        <f t="shared" ref="AJ4:AJ34" si="29">+AI4/K4</f>
        <v>0.96607743036092963</v>
      </c>
      <c r="AK4" s="690">
        <f t="shared" si="10"/>
        <v>35242.662809449357</v>
      </c>
      <c r="AL4" s="690">
        <f t="shared" si="11"/>
        <v>2.6295976829608683</v>
      </c>
      <c r="AM4" s="688">
        <v>3.2623113168975721</v>
      </c>
      <c r="AN4" s="688">
        <v>3.5812102240425205</v>
      </c>
      <c r="AO4" s="688">
        <f t="shared" si="12"/>
        <v>-0.63271363393670388</v>
      </c>
      <c r="AP4" s="690" t="e">
        <f>+#REF!-AN4</f>
        <v>#REF!</v>
      </c>
      <c r="AQ4" s="688"/>
      <c r="AR4" s="691">
        <v>261.0502729982797</v>
      </c>
      <c r="AS4" s="690">
        <f t="shared" si="13"/>
        <v>0.87667263461070755</v>
      </c>
      <c r="AT4" s="690">
        <f t="shared" si="14"/>
        <v>0</v>
      </c>
      <c r="AU4" s="683">
        <f t="shared" si="15"/>
        <v>0</v>
      </c>
      <c r="AV4" s="690">
        <f t="shared" si="16"/>
        <v>4.4930257807474794</v>
      </c>
      <c r="AW4" s="690">
        <f t="shared" si="17"/>
        <v>4.6507926171806648</v>
      </c>
      <c r="AX4" s="692" t="s">
        <v>439</v>
      </c>
      <c r="AY4" s="659"/>
      <c r="AZ4" s="659">
        <f t="shared" si="18"/>
        <v>29854.025837419566</v>
      </c>
      <c r="BA4" s="50">
        <f t="shared" si="19"/>
        <v>19512.108854172213</v>
      </c>
      <c r="BB4" s="50">
        <f t="shared" si="20"/>
        <v>29293.782477913224</v>
      </c>
      <c r="BC4" s="50">
        <f t="shared" si="21"/>
        <v>14564.47105917495</v>
      </c>
      <c r="BD4" s="50">
        <f t="shared" si="22"/>
        <v>4842.8202874719327</v>
      </c>
      <c r="BE4" s="5">
        <f>+VLOOKUP(A4,'נתוני מים 2011 מעודכן'!$B:$S,5,0)/1000</f>
        <v>0</v>
      </c>
      <c r="BF4" s="5">
        <f t="shared" ref="BF4:BF57" si="30">+IF(AND(BE4&gt;0,AX4="מי רקת"),$BE$1,+IF(BE4&gt;0,$BH$1,0))</f>
        <v>0</v>
      </c>
      <c r="BG4" s="42">
        <f t="shared" ref="BG4:BG57" si="31">+IF(AND(BF4=$BH$1,AV4&lt;$BI$1),$BI$1,0)</f>
        <v>0</v>
      </c>
      <c r="BH4" s="1">
        <f t="shared" ref="BH4:BH57" si="32">+IF(AND(BF4=$BE$1,AV4&lt;$BG$1),$BG$1,0)</f>
        <v>0</v>
      </c>
      <c r="BI4" s="42">
        <f t="shared" ref="BI4:BI57" si="33">+IF((BG4+BH4)=0,AV4,$BG$1)</f>
        <v>4.4930257807474794</v>
      </c>
      <c r="BJ4" s="483"/>
    </row>
    <row r="5" spans="1:62" x14ac:dyDescent="0.2">
      <c r="A5" s="671" t="s">
        <v>440</v>
      </c>
      <c r="B5" s="673">
        <f>+HLOOKUP(A5,'תחשיב תעריף 2016'!$4:$67,48,0)/(1-P5)</f>
        <v>8.4365283875959598</v>
      </c>
      <c r="C5" s="673">
        <f>+HLOOKUP(A5,'תחשיב תעריף 2016'!$4:$67,49,0)/(1-P5)</f>
        <v>4.2834688640978404</v>
      </c>
      <c r="D5" s="673">
        <f>+HLOOKUP(A5,'תחשיב תעריף 2016'!$4:$67,50,0)/(1-P5)</f>
        <v>3.6906919439152461</v>
      </c>
      <c r="E5" s="673">
        <f t="shared" si="0"/>
        <v>7.974160808013087</v>
      </c>
      <c r="F5" s="673">
        <f t="shared" si="1"/>
        <v>17946.74200444395</v>
      </c>
      <c r="G5" s="674">
        <f>+HLOOKUP(A5,'תחשיב תעריף 2016'!$4:$67,12,0)</f>
        <v>4262.473</v>
      </c>
      <c r="H5" s="674">
        <f>+(HLOOKUP(A5,'נתוני תאגידים'!$1:$539,358,0))*3.5*12</f>
        <v>2250.6120000000001</v>
      </c>
      <c r="I5" s="674">
        <f t="shared" ref="I5:I34" si="34">G5-H5</f>
        <v>2011.8609999999999</v>
      </c>
      <c r="J5" s="673">
        <f>+HLOOKUP(A5,'תחשיב תעריף 2016'!$4:$82,64,0)</f>
        <v>-0.17140689197888428</v>
      </c>
      <c r="K5" s="673">
        <f>+HLOOKUP(A5,'תחשיב תעריף 2016'!$4:$82,57,0)</f>
        <v>3.5941983507083068</v>
      </c>
      <c r="L5" s="673">
        <f t="shared" si="2"/>
        <v>16973.122438397193</v>
      </c>
      <c r="M5" s="673">
        <f t="shared" si="3"/>
        <v>9640.4264271649699</v>
      </c>
      <c r="N5" s="673" t="e">
        <f>I5*#REF!</f>
        <v>#REF!</v>
      </c>
      <c r="O5" s="673">
        <f t="shared" si="4"/>
        <v>17946.74200444395</v>
      </c>
      <c r="P5" s="675">
        <f>+HLOOKUP(A5,'תחשיב תעריף 2016'!$4:$67,18,0)</f>
        <v>5.8284626581569812E-2</v>
      </c>
      <c r="Q5" s="675">
        <f>+HLOOKUP(A5,'תחשיב תעריף 2016'!$4:$67,17,0)</f>
        <v>0.10746985561863323</v>
      </c>
      <c r="R5" s="673">
        <f t="shared" ref="R5:R58" si="35">+R4</f>
        <v>10.561938969631239</v>
      </c>
      <c r="S5" s="673">
        <f t="shared" si="5"/>
        <v>3.99845556698657</v>
      </c>
      <c r="T5" s="673">
        <f t="shared" si="6"/>
        <v>2.3222597637700733</v>
      </c>
      <c r="U5" s="673">
        <f t="shared" si="7"/>
        <v>8.2396792058611652</v>
      </c>
      <c r="V5" s="673">
        <f>+HLOOKUP(A5,'תחשיב תעריף 2016'!$4:$82,72,0)</f>
        <v>6.8443069300253114</v>
      </c>
      <c r="W5" s="676">
        <f>HLOOKUP(A5,'נתוני תאגידים'!$1:$473,356,0)</f>
        <v>232.27900000000002</v>
      </c>
      <c r="X5" s="676">
        <f t="shared" si="23"/>
        <v>1589.7887693993496</v>
      </c>
      <c r="Y5" s="673">
        <f>+HLOOKUP(A5,'תחשיב תעריף 2016'!$4:$82,79,0)</f>
        <v>2.6655594017591997</v>
      </c>
      <c r="Z5" s="673">
        <f>HLOOKUP(A5,'נתוני תאגידים'!$1:$1000,958,0)</f>
        <v>263.68100000000004</v>
      </c>
      <c r="AA5" s="677">
        <f t="shared" si="8"/>
        <v>10.534998873940557</v>
      </c>
      <c r="AB5" s="671">
        <f t="shared" si="24"/>
        <v>2777.8790380795203</v>
      </c>
      <c r="AC5" s="673">
        <f t="shared" si="25"/>
        <v>1.6449273310076276</v>
      </c>
      <c r="AD5" s="674">
        <f t="shared" si="26"/>
        <v>433.73608356742233</v>
      </c>
      <c r="AE5" s="676">
        <f t="shared" si="27"/>
        <v>5448.4488740370725</v>
      </c>
      <c r="AF5" s="676">
        <f t="shared" si="9"/>
        <v>4494.7520000000004</v>
      </c>
      <c r="AG5" s="676">
        <f t="shared" ref="AG5:AG54" si="36">+AD5+AE5</f>
        <v>5882.1849576044951</v>
      </c>
      <c r="AH5" s="678">
        <f t="shared" ref="AH5:AH57" si="37">+I5-W5-Z5</f>
        <v>1515.9009999999998</v>
      </c>
      <c r="AI5" s="676">
        <f t="shared" si="28"/>
        <v>3.3053744967101801</v>
      </c>
      <c r="AJ5" s="679">
        <f t="shared" si="29"/>
        <v>0.91964164861930664</v>
      </c>
      <c r="AK5" s="679">
        <f t="shared" si="10"/>
        <v>18383.665427758166</v>
      </c>
      <c r="AL5" s="679">
        <f t="shared" si="11"/>
        <v>3.2173807250771271</v>
      </c>
      <c r="AM5" s="677">
        <v>2.812001509805703</v>
      </c>
      <c r="AN5" s="677">
        <v>3.1309004169506514</v>
      </c>
      <c r="AO5" s="677">
        <f t="shared" si="12"/>
        <v>0.40537921527142418</v>
      </c>
      <c r="AP5" s="679" t="e">
        <f>+#REF!-AN5</f>
        <v>#REF!</v>
      </c>
      <c r="AQ5" s="677"/>
      <c r="AR5" s="680">
        <v>258.93400000000003</v>
      </c>
      <c r="AS5" s="679">
        <f t="shared" si="13"/>
        <v>0.55000000000000004</v>
      </c>
      <c r="AT5" s="679">
        <f t="shared" si="14"/>
        <v>0.7214068919788843</v>
      </c>
      <c r="AU5" s="671">
        <f t="shared" si="15"/>
        <v>0.7214068919788843</v>
      </c>
      <c r="AV5" s="679">
        <f t="shared" si="16"/>
        <v>2.5839676047312956</v>
      </c>
      <c r="AW5" s="748">
        <f t="shared" si="17"/>
        <v>2.8727914587294228</v>
      </c>
      <c r="AX5" s="693" t="s">
        <v>440</v>
      </c>
      <c r="AY5" s="658"/>
      <c r="AZ5" s="749">
        <f t="shared" si="18"/>
        <v>15731.47476225625</v>
      </c>
      <c r="BA5" s="50">
        <f t="shared" si="19"/>
        <v>9640.4264271649699</v>
      </c>
      <c r="BB5" s="50">
        <f t="shared" si="20"/>
        <v>16973.122438397193</v>
      </c>
      <c r="BC5" s="50">
        <f t="shared" si="21"/>
        <v>3917.0390759797751</v>
      </c>
      <c r="BD5" s="50">
        <f t="shared" si="22"/>
        <v>1237.8366000000001</v>
      </c>
      <c r="BE5" s="5">
        <f>+VLOOKUP(A5,'נתוני מים 2011 מעודכן'!$B:$S,5,0)/1000</f>
        <v>0</v>
      </c>
      <c r="BF5" s="5">
        <f t="shared" si="30"/>
        <v>0</v>
      </c>
      <c r="BG5" s="42">
        <f t="shared" si="31"/>
        <v>0</v>
      </c>
      <c r="BH5" s="1">
        <f t="shared" si="32"/>
        <v>0</v>
      </c>
      <c r="BI5" s="42">
        <f t="shared" si="33"/>
        <v>2.5839676047312956</v>
      </c>
      <c r="BJ5" s="483"/>
    </row>
    <row r="6" spans="1:62" x14ac:dyDescent="0.2">
      <c r="A6" s="683" t="s">
        <v>441</v>
      </c>
      <c r="B6" s="657">
        <f>+HLOOKUP(A6,'תחשיב תעריף 2016'!$4:$67,48,0)/(1-P6)</f>
        <v>7.1796780446675799</v>
      </c>
      <c r="C6" s="657">
        <f>+HLOOKUP(A6,'תחשיב תעריף 2016'!$4:$67,49,0)/(1-P6)</f>
        <v>3.2091196690330621</v>
      </c>
      <c r="D6" s="684">
        <f>+HLOOKUP(A6,'תחשיב תעריף 2016'!$4:$67,50,0)/(1-P6)</f>
        <v>2.4513420443439879</v>
      </c>
      <c r="E6" s="684">
        <f t="shared" si="0"/>
        <v>5.6604617133770496</v>
      </c>
      <c r="F6" s="684">
        <f t="shared" si="1"/>
        <v>209408.46410052798</v>
      </c>
      <c r="G6" s="685">
        <f>+HLOOKUP(A6,'תחשיב תעריף 2016'!$4:$67,12,0)</f>
        <v>54306.558000000005</v>
      </c>
      <c r="H6" s="685">
        <f>+(HLOOKUP(A6,'נתוני תאגידים'!$1:$539,358,0))*3.5*12</f>
        <v>36994.943999999996</v>
      </c>
      <c r="I6" s="685">
        <f t="shared" si="34"/>
        <v>17311.614000000009</v>
      </c>
      <c r="J6" s="684">
        <f>+HLOOKUP(A6,'תחשיב תעריף 2016'!$4:$82,64,0)</f>
        <v>1.8132650977398053</v>
      </c>
      <c r="K6" s="684">
        <f>+HLOOKUP(A6,'תחשיב תעריף 2016'!$4:$82,57,0)</f>
        <v>5.751951104938307</v>
      </c>
      <c r="L6" s="684">
        <f t="shared" si="2"/>
        <v>124291.81495355997</v>
      </c>
      <c r="M6" s="684">
        <f t="shared" si="3"/>
        <v>118721.20244517665</v>
      </c>
      <c r="N6" s="684" t="e">
        <f>I6*#REF!</f>
        <v>#REF!</v>
      </c>
      <c r="O6" s="684">
        <f t="shared" si="4"/>
        <v>209408.46410052798</v>
      </c>
      <c r="P6" s="686">
        <f>+HLOOKUP(A6,'תחשיב תעריף 2016'!$4:$67,18,0)</f>
        <v>1.4999999999999999E-2</v>
      </c>
      <c r="Q6" s="686">
        <f>+HLOOKUP(A6,'תחשיב תעריף 2016'!$4:$67,17,0)</f>
        <v>8.145992407881919E-2</v>
      </c>
      <c r="R6" s="684">
        <f t="shared" si="35"/>
        <v>10.561938969631239</v>
      </c>
      <c r="S6" s="684">
        <f t="shared" si="5"/>
        <v>2.358645820348944</v>
      </c>
      <c r="T6" s="684">
        <f t="shared" si="6"/>
        <v>2.2983445656015262</v>
      </c>
      <c r="U6" s="684">
        <f t="shared" si="7"/>
        <v>8.2635944040297122</v>
      </c>
      <c r="V6" s="684">
        <f>+HLOOKUP(A6,'תחשיב תעריף 2016'!$4:$82,72,0)</f>
        <v>5.9714813231427613</v>
      </c>
      <c r="W6" s="687">
        <f>HLOOKUP(A6,'נתוני תאגידים'!$1:$473,356,0)</f>
        <v>1586.2819999999999</v>
      </c>
      <c r="X6" s="687">
        <f t="shared" si="23"/>
        <v>9472.453336237546</v>
      </c>
      <c r="Y6" s="690">
        <f>+HLOOKUP(A6,'תחשיב תעריף 2016'!$4:$82,79,0)</f>
        <v>3.5598689178437413</v>
      </c>
      <c r="Z6" s="690">
        <f>HLOOKUP(A6,'נתוני תאגידים'!$1:$1000,958,0)</f>
        <v>553.48500000000001</v>
      </c>
      <c r="AA6" s="688">
        <f t="shared" si="8"/>
        <v>8.4228233674867496</v>
      </c>
      <c r="AB6" s="683">
        <f t="shared" si="24"/>
        <v>4661.9063915534034</v>
      </c>
      <c r="AC6" s="684">
        <f t="shared" si="25"/>
        <v>3.7785867466634273</v>
      </c>
      <c r="AD6" s="685">
        <f>+AC6*(Z6)</f>
        <v>2091.391085477007</v>
      </c>
      <c r="AE6" s="687">
        <f t="shared" si="27"/>
        <v>87267.722115604993</v>
      </c>
      <c r="AF6" s="687">
        <f t="shared" si="9"/>
        <v>55892.840000000004</v>
      </c>
      <c r="AG6" s="687">
        <f>+AD6+AE6</f>
        <v>89359.113201082</v>
      </c>
      <c r="AH6" s="689">
        <f t="shared" si="37"/>
        <v>15171.847000000009</v>
      </c>
      <c r="AI6" s="690">
        <f t="shared" si="28"/>
        <v>5.6824945381809391</v>
      </c>
      <c r="AJ6" s="690">
        <f t="shared" si="29"/>
        <v>0.98792469450970533</v>
      </c>
      <c r="AK6" s="690">
        <f t="shared" si="10"/>
        <v>146120.36324440996</v>
      </c>
      <c r="AL6" s="690">
        <f t="shared" si="11"/>
        <v>2.3230712089925856</v>
      </c>
      <c r="AM6" s="688">
        <v>3.0194766472302397</v>
      </c>
      <c r="AN6" s="688">
        <v>3.3383755543751881</v>
      </c>
      <c r="AO6" s="688">
        <f t="shared" si="12"/>
        <v>-0.69640543823765411</v>
      </c>
      <c r="AP6" s="690" t="e">
        <f>+#REF!-AN6</f>
        <v>#REF!</v>
      </c>
      <c r="AQ6" s="688"/>
      <c r="AR6" s="691">
        <v>3708.9660522945665</v>
      </c>
      <c r="AS6" s="690">
        <f t="shared" si="13"/>
        <v>1.8132650977398053</v>
      </c>
      <c r="AT6" s="690">
        <f t="shared" si="14"/>
        <v>0</v>
      </c>
      <c r="AU6" s="683">
        <f t="shared" si="15"/>
        <v>0</v>
      </c>
      <c r="AV6" s="690">
        <f t="shared" si="16"/>
        <v>5.6824945381809391</v>
      </c>
      <c r="AW6" s="690">
        <f t="shared" si="17"/>
        <v>5.751951104938307</v>
      </c>
      <c r="AX6" s="692" t="s">
        <v>441</v>
      </c>
      <c r="AY6" s="659"/>
      <c r="AZ6" s="659">
        <f t="shared" si="18"/>
        <v>133123.94890900535</v>
      </c>
      <c r="BA6" s="50">
        <f t="shared" si="19"/>
        <v>118721.20244517665</v>
      </c>
      <c r="BB6" s="50">
        <f t="shared" si="20"/>
        <v>124291.81495355997</v>
      </c>
      <c r="BC6" s="50">
        <f t="shared" si="21"/>
        <v>86213.93771161692</v>
      </c>
      <c r="BD6" s="50">
        <f t="shared" si="22"/>
        <v>67081.640748038611</v>
      </c>
      <c r="BE6" s="5">
        <f>+VLOOKUP(A6,'נתוני מים 2011 מעודכן'!$B:$S,5,0)/1000</f>
        <v>0</v>
      </c>
      <c r="BF6" s="5">
        <f t="shared" si="30"/>
        <v>0</v>
      </c>
      <c r="BG6" s="42">
        <f t="shared" si="31"/>
        <v>0</v>
      </c>
      <c r="BH6" s="1">
        <f t="shared" si="32"/>
        <v>0</v>
      </c>
      <c r="BI6" s="42">
        <f t="shared" si="33"/>
        <v>5.6824945381809391</v>
      </c>
      <c r="BJ6" s="483"/>
    </row>
    <row r="7" spans="1:62" x14ac:dyDescent="0.2">
      <c r="A7" s="671" t="s">
        <v>442</v>
      </c>
      <c r="B7" s="673">
        <f>+HLOOKUP(A7,'תחשיב תעריף 2016'!$4:$67,48,0)/(1-P7)</f>
        <v>6.5932467981470104</v>
      </c>
      <c r="C7" s="673">
        <f>+HLOOKUP(A7,'תחשיב תעריף 2016'!$4:$67,49,0)/(1-P7)</f>
        <v>2.6226884225124927</v>
      </c>
      <c r="D7" s="673">
        <f>+HLOOKUP(A7,'תחשיב תעריף 2016'!$4:$67,50,0)/(1-P7)</f>
        <v>2.4718690629942861</v>
      </c>
      <c r="E7" s="673">
        <f t="shared" si="0"/>
        <v>5.0945574855067788</v>
      </c>
      <c r="F7" s="673">
        <f t="shared" si="1"/>
        <v>46636.995509310022</v>
      </c>
      <c r="G7" s="674">
        <f>+HLOOKUP(A7,'תחשיב תעריף 2016'!$4:$67,12,0)</f>
        <v>17049.447</v>
      </c>
      <c r="H7" s="674">
        <f>+(HLOOKUP(A7,'נתוני תאגידים'!$1:$539,358,0))*3.5*12</f>
        <v>9154.2780000000002</v>
      </c>
      <c r="I7" s="674">
        <f t="shared" si="34"/>
        <v>7895.1689999999999</v>
      </c>
      <c r="J7" s="673">
        <f>+HLOOKUP(A7,'תחשיב תעריף 2016'!$4:$82,64,0)</f>
        <v>2.3427638880035859</v>
      </c>
      <c r="K7" s="673">
        <f>+HLOOKUP(A7,'תחשיב תעריף 2016'!$4:$82,57,0)</f>
        <v>6.281449895202087</v>
      </c>
      <c r="L7" s="673">
        <f t="shared" si="2"/>
        <v>52054.797730079532</v>
      </c>
      <c r="M7" s="673">
        <f t="shared" si="3"/>
        <v>24008.818927060816</v>
      </c>
      <c r="N7" s="673" t="e">
        <f>I7*#REF!</f>
        <v>#REF!</v>
      </c>
      <c r="O7" s="673">
        <f t="shared" si="4"/>
        <v>46636.995509310022</v>
      </c>
      <c r="P7" s="675">
        <f>+HLOOKUP(A7,'תחשיב תעריף 2016'!$4:$67,18,0)</f>
        <v>1.4999999999999999E-2</v>
      </c>
      <c r="Q7" s="675">
        <f>+HLOOKUP(A7,'תחשיב תעריף 2016'!$4:$67,17,0)</f>
        <v>6.9579722471382013E-2</v>
      </c>
      <c r="R7" s="673">
        <f t="shared" si="35"/>
        <v>10.561938969631239</v>
      </c>
      <c r="S7" s="673">
        <f t="shared" si="5"/>
        <v>1.8086200114348658</v>
      </c>
      <c r="T7" s="673">
        <f t="shared" si="6"/>
        <v>1.7483187566874472</v>
      </c>
      <c r="U7" s="673">
        <f t="shared" si="7"/>
        <v>8.8136202129437926</v>
      </c>
      <c r="V7" s="673">
        <f>+HLOOKUP(A7,'תחשיב תעריף 2016'!$4:$82,72,0)</f>
        <v>5.3938465453200006</v>
      </c>
      <c r="W7" s="676">
        <f>HLOOKUP(A7,'נתוני תאגידים'!$1:$473,356,0)</f>
        <v>1044.114</v>
      </c>
      <c r="X7" s="676">
        <f t="shared" si="23"/>
        <v>5631.790691820247</v>
      </c>
      <c r="Y7" s="673">
        <f>+HLOOKUP(A7,'תחשיב תעריף 2016'!$4:$82,79,0)</f>
        <v>4.1095868214780644</v>
      </c>
      <c r="Z7" s="673">
        <f>HLOOKUP(A7,'נתוני תאגידים'!$1:$1000,958,0)</f>
        <v>686.74099999999999</v>
      </c>
      <c r="AA7" s="677">
        <f t="shared" si="8"/>
        <v>7.8657156083142867</v>
      </c>
      <c r="AB7" s="671">
        <f t="shared" si="24"/>
        <v>5401.7094025693614</v>
      </c>
      <c r="AC7" s="673">
        <f t="shared" si="25"/>
        <v>4.3077776316474523</v>
      </c>
      <c r="AD7" s="674">
        <f t="shared" si="26"/>
        <v>2958.3275185352031</v>
      </c>
      <c r="AE7" s="676">
        <f t="shared" si="27"/>
        <v>38720.829529292758</v>
      </c>
      <c r="AF7" s="676">
        <f t="shared" si="9"/>
        <v>18093.561000000002</v>
      </c>
      <c r="AG7" s="676">
        <f t="shared" si="36"/>
        <v>41679.157047827961</v>
      </c>
      <c r="AH7" s="678">
        <f t="shared" si="37"/>
        <v>6164.3140000000003</v>
      </c>
      <c r="AI7" s="676">
        <f t="shared" si="28"/>
        <v>6.0836115091512122</v>
      </c>
      <c r="AJ7" s="679">
        <f t="shared" si="29"/>
        <v>0.96850434384552075</v>
      </c>
      <c r="AK7" s="679">
        <f t="shared" si="10"/>
        <v>55880.220614455357</v>
      </c>
      <c r="AL7" s="679">
        <f t="shared" si="11"/>
        <v>1.7733533053582624</v>
      </c>
      <c r="AM7" s="677">
        <v>2.598388377257252</v>
      </c>
      <c r="AN7" s="677">
        <v>2.9172872844022004</v>
      </c>
      <c r="AO7" s="677">
        <f t="shared" si="12"/>
        <v>-0.82503507189898961</v>
      </c>
      <c r="AP7" s="679" t="e">
        <f>+#REF!-AN7</f>
        <v>#REF!</v>
      </c>
      <c r="AQ7" s="677"/>
      <c r="AR7" s="680">
        <v>1034.558</v>
      </c>
      <c r="AS7" s="679">
        <f t="shared" si="13"/>
        <v>2.3427638880035859</v>
      </c>
      <c r="AT7" s="679">
        <f t="shared" si="14"/>
        <v>0</v>
      </c>
      <c r="AU7" s="671">
        <f t="shared" si="15"/>
        <v>0</v>
      </c>
      <c r="AV7" s="679">
        <f t="shared" si="16"/>
        <v>6.0836115091512122</v>
      </c>
      <c r="AW7" s="748">
        <f t="shared" si="17"/>
        <v>6.281449895202087</v>
      </c>
      <c r="AX7" s="693" t="s">
        <v>990</v>
      </c>
      <c r="AY7" s="658"/>
      <c r="AZ7" s="749">
        <f t="shared" si="18"/>
        <v>42144.000580460743</v>
      </c>
      <c r="BA7" s="50">
        <f t="shared" si="19"/>
        <v>24008.818927060816</v>
      </c>
      <c r="BB7" s="50">
        <f t="shared" si="20"/>
        <v>52054.797730079532</v>
      </c>
      <c r="BC7" s="50">
        <f t="shared" si="21"/>
        <v>37501.29159642195</v>
      </c>
      <c r="BD7" s="50">
        <f t="shared" si="22"/>
        <v>21446.31191914569</v>
      </c>
      <c r="BE7" s="5">
        <f>+VLOOKUP(A7,'נתוני מים 2011 מעודכן'!$B:$S,5,0)/1000</f>
        <v>827.09</v>
      </c>
      <c r="BF7" s="5" t="str">
        <f t="shared" si="30"/>
        <v>מפיק ארצי</v>
      </c>
      <c r="BG7" s="42">
        <f t="shared" si="31"/>
        <v>0</v>
      </c>
      <c r="BH7" s="1">
        <f t="shared" si="32"/>
        <v>0</v>
      </c>
      <c r="BI7" s="42">
        <f t="shared" si="33"/>
        <v>6.0836115091512122</v>
      </c>
      <c r="BJ7" s="483"/>
    </row>
    <row r="8" spans="1:62" x14ac:dyDescent="0.2">
      <c r="A8" s="683" t="s">
        <v>443</v>
      </c>
      <c r="B8" s="657">
        <f>+HLOOKUP(A8,'תחשיב תעריף 2016'!$4:$67,48,0)/(1-P8)</f>
        <v>7.8464312123494322</v>
      </c>
      <c r="C8" s="657">
        <f>+HLOOKUP(A8,'תחשיב תעריף 2016'!$4:$67,49,0)/(1-P8)</f>
        <v>3.8758728367149144</v>
      </c>
      <c r="D8" s="684">
        <f>+HLOOKUP(A8,'תחשיב תעריף 2016'!$4:$67,50,0)/(1-P8)</f>
        <v>4.4933543057818079</v>
      </c>
      <c r="E8" s="684">
        <f t="shared" si="0"/>
        <v>8.3692271424967224</v>
      </c>
      <c r="F8" s="684">
        <f t="shared" si="1"/>
        <v>8802.1003087609351</v>
      </c>
      <c r="G8" s="685">
        <f>+HLOOKUP(A8,'תחשיב תעריף 2016'!$4:$67,12,0)</f>
        <v>2004.4870000000001</v>
      </c>
      <c r="H8" s="685">
        <f>+(HLOOKUP(A8,'נתוני תאגידים'!$1:$539,358,0))*3.5*12</f>
        <v>1051.7219999999998</v>
      </c>
      <c r="I8" s="685">
        <f t="shared" si="34"/>
        <v>952.76500000000033</v>
      </c>
      <c r="J8" s="684">
        <f>+HLOOKUP(A8,'תחשיב תעריף 2016'!$4:$82,64,0)</f>
        <v>-0.65761598848377945</v>
      </c>
      <c r="K8" s="684">
        <f>+HLOOKUP(A8,'תחשיב תעריף 2016'!$4:$82,57,0)</f>
        <v>3.2810700187147224</v>
      </c>
      <c r="L8" s="684">
        <f t="shared" si="2"/>
        <v>7475.8050340341097</v>
      </c>
      <c r="M8" s="684">
        <f t="shared" si="3"/>
        <v>4076.3407315754821</v>
      </c>
      <c r="N8" s="684" t="e">
        <f>I8*#REF!</f>
        <v>#REF!</v>
      </c>
      <c r="O8" s="684">
        <f t="shared" si="4"/>
        <v>8802.1003087609351</v>
      </c>
      <c r="P8" s="686">
        <f>+HLOOKUP(A8,'תחשיב תעריף 2016'!$4:$67,18,0)</f>
        <v>1.4999999999999999E-2</v>
      </c>
      <c r="Q8" s="686">
        <f>+HLOOKUP(A8,'תחשיב תעריף 2016'!$4:$67,17,0)</f>
        <v>7.0000000000000007E-2</v>
      </c>
      <c r="R8" s="684">
        <f t="shared" si="35"/>
        <v>10.561938969631239</v>
      </c>
      <c r="S8" s="684">
        <f t="shared" si="5"/>
        <v>3.995130633618488</v>
      </c>
      <c r="T8" s="684">
        <f t="shared" si="6"/>
        <v>1.5195974019035114</v>
      </c>
      <c r="U8" s="684">
        <f t="shared" si="7"/>
        <v>9.0423415677277283</v>
      </c>
      <c r="V8" s="684">
        <f>+HLOOKUP(A8,'תחשיב תעריף 2016'!$4:$82,72,0)</f>
        <v>6.6282331933093861</v>
      </c>
      <c r="W8" s="687">
        <f>HLOOKUP(A8,'נתוני תאגידים'!$1:$473,356,0)</f>
        <v>216.30900000000003</v>
      </c>
      <c r="X8" s="687">
        <f t="shared" si="23"/>
        <v>1433.7464938115602</v>
      </c>
      <c r="Y8" s="690">
        <f>+HLOOKUP(A8,'תחשיב תעריף 2016'!$4:$82,79,0)</f>
        <v>3.1003699091364085</v>
      </c>
      <c r="Z8" s="690">
        <f>HLOOKUP(A8,'נתוני תאגידים'!$1:$1000,958,0)</f>
        <v>192.315</v>
      </c>
      <c r="AA8" s="688">
        <f t="shared" si="8"/>
        <v>11.121587499091195</v>
      </c>
      <c r="AB8" s="683">
        <f t="shared" si="24"/>
        <v>2138.848099887723</v>
      </c>
      <c r="AC8" s="684">
        <f t="shared" si="25"/>
        <v>1.2770754765182746</v>
      </c>
      <c r="AD8" s="685">
        <f t="shared" si="26"/>
        <v>245.60077026661196</v>
      </c>
      <c r="AE8" s="687">
        <f t="shared" si="27"/>
        <v>1785.3647210534486</v>
      </c>
      <c r="AF8" s="687">
        <f t="shared" si="9"/>
        <v>2220.7960000000003</v>
      </c>
      <c r="AG8" s="687">
        <f t="shared" si="36"/>
        <v>2030.9654913200607</v>
      </c>
      <c r="AH8" s="689">
        <f t="shared" si="37"/>
        <v>544.1410000000003</v>
      </c>
      <c r="AI8" s="687">
        <f t="shared" si="28"/>
        <v>2.7577553734643478</v>
      </c>
      <c r="AJ8" s="690">
        <f t="shared" si="29"/>
        <v>0.84050488338698426</v>
      </c>
      <c r="AK8" s="690">
        <f t="shared" si="10"/>
        <v>6714.5832316214546</v>
      </c>
      <c r="AL8" s="690">
        <f t="shared" si="11"/>
        <v>2.7825702176999183</v>
      </c>
      <c r="AM8" s="688">
        <v>2.9571408629683473</v>
      </c>
      <c r="AN8" s="688">
        <v>3.2760397701132957</v>
      </c>
      <c r="AO8" s="688">
        <f t="shared" si="12"/>
        <v>-0.17457064526842903</v>
      </c>
      <c r="AP8" s="690" t="e">
        <f>+#REF!-AN8</f>
        <v>#REF!</v>
      </c>
      <c r="AQ8" s="688"/>
      <c r="AR8" s="691">
        <v>124.76204865867747</v>
      </c>
      <c r="AS8" s="690">
        <f t="shared" si="13"/>
        <v>0.55000000000000004</v>
      </c>
      <c r="AT8" s="690">
        <f t="shared" si="14"/>
        <v>1.2076159884837794</v>
      </c>
      <c r="AU8" s="683">
        <f t="shared" si="15"/>
        <v>1.2076159884837794</v>
      </c>
      <c r="AV8" s="690">
        <f t="shared" si="16"/>
        <v>1.5501393849805685</v>
      </c>
      <c r="AW8" s="690">
        <f t="shared" si="17"/>
        <v>2.073454030230943</v>
      </c>
      <c r="AX8" s="692" t="s">
        <v>443</v>
      </c>
      <c r="AY8" s="659"/>
      <c r="AZ8" s="659">
        <f t="shared" si="18"/>
        <v>9006.8702923336587</v>
      </c>
      <c r="BA8" s="50">
        <f t="shared" si="19"/>
        <v>4076.3407315754821</v>
      </c>
      <c r="BB8" s="50">
        <f t="shared" si="20"/>
        <v>7475.8050340341097</v>
      </c>
      <c r="BC8" s="50">
        <f t="shared" si="21"/>
        <v>843.494395082712</v>
      </c>
      <c r="BD8" s="50">
        <f t="shared" si="22"/>
        <v>578.44709999999986</v>
      </c>
      <c r="BE8" s="5">
        <f>+VLOOKUP(A8,'נתוני מים 2011 מעודכן'!$B:$S,5,0)/1000</f>
        <v>0</v>
      </c>
      <c r="BF8" s="5">
        <f t="shared" si="30"/>
        <v>0</v>
      </c>
      <c r="BG8" s="42">
        <f t="shared" si="31"/>
        <v>0</v>
      </c>
      <c r="BH8" s="1">
        <f t="shared" si="32"/>
        <v>0</v>
      </c>
      <c r="BI8" s="42">
        <f t="shared" si="33"/>
        <v>1.5501393849805685</v>
      </c>
      <c r="BJ8" s="483"/>
    </row>
    <row r="9" spans="1:62" x14ac:dyDescent="0.2">
      <c r="A9" s="671" t="s">
        <v>444</v>
      </c>
      <c r="B9" s="673">
        <f>+HLOOKUP(A9,'תחשיב תעריף 2016'!$4:$67,48,0)/(1-P9)</f>
        <v>8.4325726158871888</v>
      </c>
      <c r="C9" s="673">
        <f>+HLOOKUP(A9,'תחשיב תעריף 2016'!$4:$67,49,0)/(1-P9)</f>
        <v>4.2807579024423195</v>
      </c>
      <c r="D9" s="673">
        <f>+HLOOKUP(A9,'תחשיב תעריף 2016'!$4:$67,50,0)/(1-P9)</f>
        <v>4.3850217069581507</v>
      </c>
      <c r="E9" s="673">
        <f t="shared" si="0"/>
        <v>8.6657796094004702</v>
      </c>
      <c r="F9" s="673">
        <f t="shared" si="1"/>
        <v>28370.895863216196</v>
      </c>
      <c r="G9" s="674">
        <f>+HLOOKUP(A9,'תחשיב תעריף 2016'!$4:$67,12,0)</f>
        <v>4334.6769999999997</v>
      </c>
      <c r="H9" s="674">
        <f>+(HLOOKUP(A9,'נתוני תאגידים'!$1:$539,358,0))*3.5*12</f>
        <v>3273.8999999999996</v>
      </c>
      <c r="I9" s="674">
        <f t="shared" si="34"/>
        <v>1060.777</v>
      </c>
      <c r="J9" s="673">
        <f>+HLOOKUP(A9,'תחשיב תעריף 2016'!$4:$82,64,0)</f>
        <v>-0.73293540060504869</v>
      </c>
      <c r="K9" s="673">
        <f>+HLOOKUP(A9,'תחשיב תעריף 2016'!$4:$82,57,0)</f>
        <v>3.0337988576057624</v>
      </c>
      <c r="L9" s="673">
        <f t="shared" si="2"/>
        <v>8945.0790817629641</v>
      </c>
      <c r="M9" s="673">
        <f t="shared" si="3"/>
        <v>14014.773296805908</v>
      </c>
      <c r="N9" s="673" t="e">
        <f>I9*#REF!</f>
        <v>#REF!</v>
      </c>
      <c r="O9" s="673">
        <f t="shared" si="4"/>
        <v>28370.895863216196</v>
      </c>
      <c r="P9" s="675">
        <f>+HLOOKUP(A9,'תחשיב תעריף 2016'!$4:$67,18,0)</f>
        <v>5.8002278537391302E-2</v>
      </c>
      <c r="Q9" s="675">
        <f>+HLOOKUP(A9,'תחשיב תעריף 2016'!$4:$67,17,0)</f>
        <v>0.11707792969470691</v>
      </c>
      <c r="R9" s="673">
        <f t="shared" si="35"/>
        <v>10.561938969631239</v>
      </c>
      <c r="S9" s="673">
        <f t="shared" si="5"/>
        <v>4.4260538056723746</v>
      </c>
      <c r="T9" s="673">
        <f t="shared" si="6"/>
        <v>1.6279300007271686</v>
      </c>
      <c r="U9" s="673">
        <f t="shared" si="7"/>
        <v>8.9340089689040703</v>
      </c>
      <c r="V9" s="673">
        <f>+HLOOKUP(A9,'תחשיב תעריף 2016'!$4:$82,72,0)</f>
        <v>6.842962639378916</v>
      </c>
      <c r="W9" s="676">
        <f>HLOOKUP(A9,'נתוני תאגידים'!$1:$473,356,0)</f>
        <v>25.058999999999997</v>
      </c>
      <c r="X9" s="676">
        <f t="shared" si="23"/>
        <v>171.47780078019625</v>
      </c>
      <c r="Y9" s="673">
        <f>+HLOOKUP(A9,'תחשיב תעריף 2016'!$4:$82,79,0)</f>
        <v>2.7589385359569873</v>
      </c>
      <c r="Z9" s="673">
        <f>HLOOKUP(A9,'נתוני תאגידים'!$1:$1000,958,0)</f>
        <v>77.144000000000005</v>
      </c>
      <c r="AA9" s="677">
        <f t="shared" si="8"/>
        <v>11.227984346337067</v>
      </c>
      <c r="AB9" s="671">
        <f t="shared" si="24"/>
        <v>866.17162441382675</v>
      </c>
      <c r="AC9" s="673">
        <f t="shared" si="25"/>
        <v>1.0439767021625106</v>
      </c>
      <c r="AD9" s="674">
        <f t="shared" si="26"/>
        <v>80.536538711624729</v>
      </c>
      <c r="AE9" s="676">
        <f t="shared" si="27"/>
        <v>2908.1207061305863</v>
      </c>
      <c r="AF9" s="676">
        <f t="shared" si="9"/>
        <v>4359.7359999999999</v>
      </c>
      <c r="AG9" s="676">
        <f t="shared" si="36"/>
        <v>2988.6572448422112</v>
      </c>
      <c r="AH9" s="678">
        <f t="shared" si="37"/>
        <v>958.57400000000007</v>
      </c>
      <c r="AI9" s="676">
        <f t="shared" si="28"/>
        <v>2.8855897501464791</v>
      </c>
      <c r="AJ9" s="679">
        <f t="shared" si="29"/>
        <v>0.95114735207717493</v>
      </c>
      <c r="AK9" s="679">
        <f t="shared" si="10"/>
        <v>12286.612660427149</v>
      </c>
      <c r="AL9" s="679">
        <f t="shared" si="11"/>
        <v>3.1240015908793395</v>
      </c>
      <c r="AM9" s="677">
        <v>3.2750608090397275</v>
      </c>
      <c r="AN9" s="677">
        <v>3.5939597161846759</v>
      </c>
      <c r="AO9" s="677">
        <f t="shared" si="12"/>
        <v>-0.15105921816038803</v>
      </c>
      <c r="AP9" s="679" t="e">
        <f>+#REF!-AN9</f>
        <v>#REF!</v>
      </c>
      <c r="AQ9" s="677"/>
      <c r="AR9" s="680">
        <v>222.63829485836695</v>
      </c>
      <c r="AS9" s="679">
        <f t="shared" si="13"/>
        <v>0.55000000000000004</v>
      </c>
      <c r="AT9" s="679">
        <f t="shared" si="14"/>
        <v>1.2829354006050488</v>
      </c>
      <c r="AU9" s="671">
        <f t="shared" si="15"/>
        <v>1.2829354006050488</v>
      </c>
      <c r="AV9" s="679">
        <f t="shared" si="16"/>
        <v>1.6026543495414303</v>
      </c>
      <c r="AW9" s="748">
        <f t="shared" si="17"/>
        <v>1.7508634570007136</v>
      </c>
      <c r="AX9" s="693" t="s">
        <v>444</v>
      </c>
      <c r="AY9" s="658"/>
      <c r="AZ9" s="749">
        <f t="shared" si="18"/>
        <v>19007.652737652235</v>
      </c>
      <c r="BA9" s="50">
        <f t="shared" si="19"/>
        <v>14014.773296805908</v>
      </c>
      <c r="BB9" s="50">
        <f t="shared" si="20"/>
        <v>8945.0790817629641</v>
      </c>
      <c r="BC9" s="50">
        <f t="shared" si="21"/>
        <v>1536.2627904573271</v>
      </c>
      <c r="BD9" s="50">
        <f t="shared" si="22"/>
        <v>1800.645</v>
      </c>
      <c r="BE9" s="5">
        <f>+VLOOKUP(A9,'נתוני מים 2011 מעודכן'!$B:$S,5,0)/1000</f>
        <v>0</v>
      </c>
      <c r="BF9" s="5">
        <f t="shared" si="30"/>
        <v>0</v>
      </c>
      <c r="BG9" s="42">
        <f t="shared" si="31"/>
        <v>0</v>
      </c>
      <c r="BH9" s="1">
        <f t="shared" si="32"/>
        <v>0</v>
      </c>
      <c r="BI9" s="42">
        <f t="shared" si="33"/>
        <v>1.6026543495414303</v>
      </c>
      <c r="BJ9" s="483"/>
    </row>
    <row r="10" spans="1:62" s="719" customFormat="1" x14ac:dyDescent="0.2">
      <c r="A10" s="1015" t="s">
        <v>445</v>
      </c>
      <c r="B10" s="1016">
        <f>+HLOOKUP(A10,'תחשיב תעריף 2016'!$4:$67,48,0)/(1-P10)</f>
        <v>6.687901176096859</v>
      </c>
      <c r="C10" s="1016">
        <f>+HLOOKUP(A10,'תחשיב תעריף 2016'!$4:$67,49,0)/(1-P10)</f>
        <v>2.7173428004623412</v>
      </c>
      <c r="D10" s="1017">
        <f>+HLOOKUP(A10,'תחשיב תעריף 2016'!$4:$67,50,0)/(1-P10)</f>
        <v>2.7835763917919016</v>
      </c>
      <c r="E10" s="1017">
        <f t="shared" si="0"/>
        <v>5.5009191922542424</v>
      </c>
      <c r="F10" s="1017">
        <f t="shared" si="1"/>
        <v>20048.144003524125</v>
      </c>
      <c r="G10" s="1018">
        <f>+HLOOKUP(A10,'תחשיב תעריף 2016'!$4:$67,12,0)</f>
        <v>7271.4120000000003</v>
      </c>
      <c r="H10" s="685">
        <f>+(HLOOKUP(A10,'נתוני תאגידים'!$1:$539,358,0))*3.5*12</f>
        <v>3644.5079999999998</v>
      </c>
      <c r="I10" s="1018">
        <f t="shared" si="34"/>
        <v>3626.9040000000005</v>
      </c>
      <c r="J10" s="684">
        <f>+HLOOKUP(A10,'תחשיב תעריף 2016'!$4:$82,64,0)</f>
        <v>1.9773260730007463</v>
      </c>
      <c r="K10" s="684">
        <f>+HLOOKUP(A10,'תחשיב תעריף 2016'!$4:$82,57,0)</f>
        <v>5.9160120801992475</v>
      </c>
      <c r="L10" s="1017">
        <f t="shared" si="2"/>
        <v>24256.375527190405</v>
      </c>
      <c r="M10" s="1017">
        <f t="shared" si="3"/>
        <v>9903.3775750274053</v>
      </c>
      <c r="N10" s="1017" t="e">
        <f>I10*#REF!</f>
        <v>#REF!</v>
      </c>
      <c r="O10" s="1017">
        <f t="shared" si="4"/>
        <v>20048.144003524125</v>
      </c>
      <c r="P10" s="1019">
        <f>+HLOOKUP(A10,'תחשיב תעריף 2016'!$4:$67,18,0)</f>
        <v>1.4999999999999999E-2</v>
      </c>
      <c r="Q10" s="1019">
        <f>+HLOOKUP(A10,'תחשיב תעריף 2016'!$4:$67,17,0)</f>
        <v>6.3070012364408054E-2</v>
      </c>
      <c r="R10" s="1017">
        <f t="shared" si="35"/>
        <v>10.561938969631239</v>
      </c>
      <c r="S10" s="684">
        <f t="shared" si="5"/>
        <v>1.8623504976400898</v>
      </c>
      <c r="T10" s="684">
        <f t="shared" si="6"/>
        <v>1.8020492428926711</v>
      </c>
      <c r="U10" s="1017">
        <f t="shared" si="7"/>
        <v>8.7598897267385674</v>
      </c>
      <c r="V10" s="1017">
        <f>+HLOOKUP(A10,'תחשיב תעריף 2016'!$4:$82,72,0)</f>
        <v>5.4870811076006003</v>
      </c>
      <c r="W10" s="687">
        <f>HLOOKUP(A10,'נתוני תאגידים'!$1:$473,356,0)</f>
        <v>361.63200000000001</v>
      </c>
      <c r="X10" s="1020">
        <f t="shared" si="23"/>
        <v>1984.3041151038203</v>
      </c>
      <c r="Y10" s="690">
        <f>+HLOOKUP(A10,'תחשיב תעריף 2016'!$4:$82,79,0)</f>
        <v>4.0511807253408758</v>
      </c>
      <c r="Z10" s="690">
        <f>HLOOKUP(A10,'נתוני תאגידים'!$1:$1000,958,0)</f>
        <v>329.23700000000002</v>
      </c>
      <c r="AA10" s="1021">
        <f>+V10+D10</f>
        <v>8.2706574993925024</v>
      </c>
      <c r="AB10" s="1015">
        <f t="shared" si="24"/>
        <v>2723.0064631274895</v>
      </c>
      <c r="AC10" s="1017">
        <f t="shared" si="25"/>
        <v>3.9376642067126482</v>
      </c>
      <c r="AD10" s="1018">
        <f t="shared" si="26"/>
        <v>1296.4247504254522</v>
      </c>
      <c r="AE10" s="1020">
        <f t="shared" si="27"/>
        <v>17369.6185278878</v>
      </c>
      <c r="AF10" s="1020">
        <f t="shared" si="9"/>
        <v>7633.0439999999999</v>
      </c>
      <c r="AG10" s="1020">
        <f t="shared" si="36"/>
        <v>18666.043278313253</v>
      </c>
      <c r="AH10" s="1022">
        <f t="shared" si="37"/>
        <v>2936.0350000000003</v>
      </c>
      <c r="AI10" s="1023">
        <f t="shared" si="28"/>
        <v>5.7165354917793225</v>
      </c>
      <c r="AJ10" s="1023">
        <f t="shared" si="29"/>
        <v>0.96628191664997298</v>
      </c>
      <c r="AK10" s="1023">
        <f t="shared" si="10"/>
        <v>27808.58964103628</v>
      </c>
      <c r="AL10" s="1023">
        <f t="shared" si="11"/>
        <v>1.831759401495451</v>
      </c>
      <c r="AM10" s="1021">
        <v>2.708562629913311</v>
      </c>
      <c r="AN10" s="1021">
        <v>3.0274615370582594</v>
      </c>
      <c r="AO10" s="1021">
        <f t="shared" si="12"/>
        <v>-0.87680322841785996</v>
      </c>
      <c r="AP10" s="1023" t="e">
        <f>+#REF!-AN10</f>
        <v>#REF!</v>
      </c>
      <c r="AQ10" s="1021"/>
      <c r="AR10" s="1024">
        <v>353.11399999999998</v>
      </c>
      <c r="AS10" s="1023">
        <f t="shared" si="13"/>
        <v>1.9773260730007463</v>
      </c>
      <c r="AT10" s="1023">
        <f t="shared" si="14"/>
        <v>0</v>
      </c>
      <c r="AU10" s="1015">
        <f t="shared" si="15"/>
        <v>0</v>
      </c>
      <c r="AV10" s="690">
        <f t="shared" si="16"/>
        <v>5.7165354917793225</v>
      </c>
      <c r="AW10" s="690">
        <f t="shared" si="17"/>
        <v>5.9160120801992475</v>
      </c>
      <c r="AX10" s="1025" t="s">
        <v>991</v>
      </c>
      <c r="AY10" s="1026"/>
      <c r="AZ10" s="1026">
        <f t="shared" si="18"/>
        <v>20240.530778192337</v>
      </c>
      <c r="BA10" s="1027">
        <f t="shared" si="19"/>
        <v>9903.3775750274053</v>
      </c>
      <c r="BB10" s="1027">
        <f t="shared" si="20"/>
        <v>24256.375527190405</v>
      </c>
      <c r="BC10" s="1027">
        <f t="shared" si="21"/>
        <v>16783.948282606307</v>
      </c>
      <c r="BD10" s="1027">
        <f t="shared" si="22"/>
        <v>7206.3806916598032</v>
      </c>
      <c r="BE10" s="1028">
        <f>+VLOOKUP(A10,'נתוני מים 2011 מעודכן'!$B:$S,5,0)/1000</f>
        <v>2157.0720000000001</v>
      </c>
      <c r="BF10" s="1028" t="str">
        <f t="shared" si="30"/>
        <v>מפיק ארצי</v>
      </c>
      <c r="BG10" s="1029">
        <f t="shared" si="31"/>
        <v>0</v>
      </c>
      <c r="BH10" s="719">
        <f t="shared" si="32"/>
        <v>0</v>
      </c>
      <c r="BI10" s="1029">
        <f t="shared" si="33"/>
        <v>5.7165354917793225</v>
      </c>
      <c r="BJ10" s="483"/>
    </row>
    <row r="11" spans="1:62" x14ac:dyDescent="0.2">
      <c r="A11" s="671" t="s">
        <v>446</v>
      </c>
      <c r="B11" s="673">
        <f>+HLOOKUP(A11,'תחשיב תעריף 2016'!$4:$67,48,0)/(1-P11)</f>
        <v>7.1285425151296504</v>
      </c>
      <c r="C11" s="673">
        <f>+HLOOKUP(A11,'תחשיב תעריף 2016'!$4:$67,49,0)/(1-P11)</f>
        <v>2.996431464005362</v>
      </c>
      <c r="D11" s="673">
        <f>+HLOOKUP(A11,'תחשיב תעריף 2016'!$4:$67,50,0)/(1-P11)</f>
        <v>3.5506853620671426</v>
      </c>
      <c r="E11" s="673">
        <f t="shared" si="0"/>
        <v>6.5471168260725046</v>
      </c>
      <c r="F11" s="673">
        <f t="shared" si="1"/>
        <v>19841.103012580988</v>
      </c>
      <c r="G11" s="674">
        <f>+HLOOKUP(A11,'תחשיב תעריף 2016'!$4:$67,12,0)</f>
        <v>5391.3759999999993</v>
      </c>
      <c r="H11" s="674">
        <f>+(HLOOKUP(A11,'נתוני תאגידים'!$1:$539,358,0))*3.5*12</f>
        <v>3030.51</v>
      </c>
      <c r="I11" s="674">
        <f t="shared" si="34"/>
        <v>2360.8659999999991</v>
      </c>
      <c r="J11" s="673">
        <f>+HLOOKUP(A11,'תחשיב תעריף 2016'!$4:$82,64,0)</f>
        <v>1.025732852762151</v>
      </c>
      <c r="K11" s="673">
        <f>+HLOOKUP(A11,'תחשיב תעריף 2016'!$4:$82,57,0)</f>
        <v>4.8104285013995227</v>
      </c>
      <c r="L11" s="673">
        <f t="shared" si="2"/>
        <v>16829.533653524071</v>
      </c>
      <c r="M11" s="673">
        <f t="shared" si="3"/>
        <v>9080.7155159828908</v>
      </c>
      <c r="N11" s="673" t="e">
        <f>I11*#REF!</f>
        <v>#REF!</v>
      </c>
      <c r="O11" s="673">
        <f t="shared" si="4"/>
        <v>19841.103012580988</v>
      </c>
      <c r="P11" s="675">
        <f>+HLOOKUP(A11,'תחשיב תעריף 2016'!$4:$67,18,0)</f>
        <v>5.3510432897036393E-2</v>
      </c>
      <c r="Q11" s="675">
        <f>+HLOOKUP(A11,'תחשיב תעריף 2016'!$4:$67,17,0)</f>
        <v>0.10471153139268657</v>
      </c>
      <c r="R11" s="673">
        <f t="shared" si="35"/>
        <v>10.561938969631239</v>
      </c>
      <c r="S11" s="673">
        <f t="shared" si="5"/>
        <v>2.2008251061645736</v>
      </c>
      <c r="T11" s="673">
        <f t="shared" si="6"/>
        <v>1.9865334928560254</v>
      </c>
      <c r="U11" s="673">
        <f t="shared" si="7"/>
        <v>8.575405476775213</v>
      </c>
      <c r="V11" s="673">
        <f>+HLOOKUP(A11,'תחשיב תעריף 2016'!$4:$82,72,0)</f>
        <v>5.6465895683653287</v>
      </c>
      <c r="W11" s="676">
        <f>HLOOKUP(A11,'נתוני תאגידים'!$1:$473,356,0)</f>
        <v>204.05699999999999</v>
      </c>
      <c r="X11" s="676">
        <f t="shared" si="23"/>
        <v>1152.2261275519238</v>
      </c>
      <c r="Y11" s="673">
        <f>+HLOOKUP(A11,'תחשיב תעריף 2016'!$4:$82,79,0)</f>
        <v>3.7445668829819891</v>
      </c>
      <c r="Z11" s="673">
        <f>HLOOKUP(A11,'נתוני תאגידים'!$1:$1000,958,0)</f>
        <v>224.06399999999999</v>
      </c>
      <c r="AA11" s="677">
        <f t="shared" si="8"/>
        <v>9.1972749304324708</v>
      </c>
      <c r="AB11" s="671">
        <f t="shared" si="24"/>
        <v>2060.7782100124209</v>
      </c>
      <c r="AC11" s="673">
        <f>+$B$69-$B$68-D11+Y11</f>
        <v>2.8639413940785206</v>
      </c>
      <c r="AD11" s="674">
        <f t="shared" si="26"/>
        <v>641.70616452280956</v>
      </c>
      <c r="AE11" s="676">
        <f t="shared" si="27"/>
        <v>9297.331633937416</v>
      </c>
      <c r="AF11" s="676">
        <f t="shared" si="9"/>
        <v>5595.4329999999991</v>
      </c>
      <c r="AG11" s="676">
        <f t="shared" si="36"/>
        <v>9939.0377984602255</v>
      </c>
      <c r="AH11" s="678">
        <f t="shared" si="37"/>
        <v>1932.7449999999992</v>
      </c>
      <c r="AI11" s="676">
        <f t="shared" si="28"/>
        <v>4.6082141712410456</v>
      </c>
      <c r="AJ11" s="679">
        <f t="shared" si="29"/>
        <v>0.95796334357747015</v>
      </c>
      <c r="AK11" s="679">
        <f t="shared" si="10"/>
        <v>20640.224283512707</v>
      </c>
      <c r="AL11" s="679">
        <f t="shared" si="11"/>
        <v>2.1383732438543377</v>
      </c>
      <c r="AM11" s="677">
        <v>3.0273437012671502</v>
      </c>
      <c r="AN11" s="677">
        <v>3.3462426084120986</v>
      </c>
      <c r="AO11" s="677">
        <f t="shared" si="12"/>
        <v>-0.88897045741281255</v>
      </c>
      <c r="AP11" s="679" t="e">
        <f>+#REF!-AN11</f>
        <v>#REF!</v>
      </c>
      <c r="AQ11" s="677"/>
      <c r="AR11" s="680">
        <v>171.952</v>
      </c>
      <c r="AS11" s="679">
        <f t="shared" si="13"/>
        <v>1.025732852762151</v>
      </c>
      <c r="AT11" s="679">
        <f t="shared" si="14"/>
        <v>0</v>
      </c>
      <c r="AU11" s="671">
        <f t="shared" si="15"/>
        <v>0</v>
      </c>
      <c r="AV11" s="679">
        <f t="shared" si="16"/>
        <v>4.6082141712410456</v>
      </c>
      <c r="AW11" s="748">
        <f t="shared" si="17"/>
        <v>4.8104285013995227</v>
      </c>
      <c r="AX11" s="693" t="s">
        <v>446</v>
      </c>
      <c r="AY11" s="658"/>
      <c r="AZ11" s="749">
        <f t="shared" si="18"/>
        <v>19143.079844600099</v>
      </c>
      <c r="BA11" s="50">
        <f t="shared" si="19"/>
        <v>9080.7155159828908</v>
      </c>
      <c r="BB11" s="50">
        <f t="shared" si="20"/>
        <v>16829.533653524071</v>
      </c>
      <c r="BC11" s="50">
        <f t="shared" si="21"/>
        <v>8906.5028983952707</v>
      </c>
      <c r="BD11" s="50">
        <f t="shared" si="22"/>
        <v>3108.4936676242264</v>
      </c>
      <c r="BE11" s="5">
        <f>+VLOOKUP(A11,'נתוני מים 2011 מעודכן'!$B:$S,5,0)/1000</f>
        <v>0</v>
      </c>
      <c r="BF11" s="5">
        <f t="shared" si="30"/>
        <v>0</v>
      </c>
      <c r="BG11" s="42">
        <f t="shared" si="31"/>
        <v>0</v>
      </c>
      <c r="BH11" s="1">
        <f t="shared" si="32"/>
        <v>0</v>
      </c>
      <c r="BI11" s="42">
        <f t="shared" si="33"/>
        <v>4.6082141712410456</v>
      </c>
      <c r="BJ11" s="483"/>
    </row>
    <row r="12" spans="1:62" s="719" customFormat="1" x14ac:dyDescent="0.2">
      <c r="A12" s="1015" t="s">
        <v>447</v>
      </c>
      <c r="B12" s="1016">
        <f>+HLOOKUP(A12,'תחשיב תעריף 2016'!$4:$67,48,0)/(1-P12)</f>
        <v>7.0019516329799929</v>
      </c>
      <c r="C12" s="1016">
        <f>+HLOOKUP(A12,'תחשיב תעריף 2016'!$4:$67,49,0)/(1-P12)</f>
        <v>3.0313932573454752</v>
      </c>
      <c r="D12" s="1017">
        <f>+HLOOKUP(A12,'תחשיב תעריף 2016'!$4:$67,50,0)/(1-P12)</f>
        <v>2.4896187609250671</v>
      </c>
      <c r="E12" s="1017">
        <f t="shared" si="0"/>
        <v>5.5210120182705422</v>
      </c>
      <c r="F12" s="1017">
        <f t="shared" si="1"/>
        <v>25254.323594213482</v>
      </c>
      <c r="G12" s="1018">
        <f>+HLOOKUP(A12,'תחשיב תעריף 2016'!$4:$67,12,0)</f>
        <v>9928.9809999999998</v>
      </c>
      <c r="H12" s="685">
        <f>+(HLOOKUP(A12,'נתוני תאגידים'!$1:$539,358,0))*3.5*12</f>
        <v>4574.22</v>
      </c>
      <c r="I12" s="1018">
        <f t="shared" si="34"/>
        <v>5354.7609999999995</v>
      </c>
      <c r="J12" s="684">
        <f>+HLOOKUP(A12,'תחשיב תעריף 2016'!$4:$82,64,0)</f>
        <v>1.9514914760636128</v>
      </c>
      <c r="K12" s="684">
        <f>+HLOOKUP(A12,'תחשיב תעריף 2016'!$4:$82,57,0)</f>
        <v>5.8901774832621152</v>
      </c>
      <c r="L12" s="1017">
        <f t="shared" si="2"/>
        <v>37493.777528167579</v>
      </c>
      <c r="M12" s="1017">
        <f t="shared" si="3"/>
        <v>13866.25966561482</v>
      </c>
      <c r="N12" s="1017" t="e">
        <f>I12*#REF!</f>
        <v>#REF!</v>
      </c>
      <c r="O12" s="1017">
        <f t="shared" si="4"/>
        <v>25254.323594213482</v>
      </c>
      <c r="P12" s="1019">
        <f>+HLOOKUP(A12,'תחשיב תעריף 2016'!$4:$67,18,0)</f>
        <v>1.4999999999999999E-2</v>
      </c>
      <c r="Q12" s="1019">
        <f>+HLOOKUP(A12,'תחשיב תעריף 2016'!$4:$67,17,0)</f>
        <v>7.0000000000000007E-2</v>
      </c>
      <c r="R12" s="1017">
        <f t="shared" si="35"/>
        <v>10.561938969631239</v>
      </c>
      <c r="S12" s="684">
        <f t="shared" si="5"/>
        <v>2.1821427254440566</v>
      </c>
      <c r="T12" s="684">
        <f t="shared" si="6"/>
        <v>2.1218414706966389</v>
      </c>
      <c r="U12" s="1017">
        <f t="shared" si="7"/>
        <v>8.4400974989346</v>
      </c>
      <c r="V12" s="1017">
        <f>+HLOOKUP(A12,'תחשיב תעריף 2016'!$4:$82,72,0)</f>
        <v>5.7964208076304882</v>
      </c>
      <c r="W12" s="687">
        <f>HLOOKUP(A12,'נתוני תאגידים'!$1:$473,356,0)</f>
        <v>305.81700000000001</v>
      </c>
      <c r="X12" s="1020">
        <f t="shared" si="23"/>
        <v>1772.644022127133</v>
      </c>
      <c r="Y12" s="690">
        <f>+HLOOKUP(A12,'תחשיב תעריף 2016'!$4:$82,79,0)</f>
        <v>3.7357978619999104</v>
      </c>
      <c r="Z12" s="690">
        <f>HLOOKUP(A12,'נתוני תאגידים'!$1:$1000,958,0)</f>
        <v>327.93200000000002</v>
      </c>
      <c r="AA12" s="1021">
        <f t="shared" si="8"/>
        <v>8.2860395685555552</v>
      </c>
      <c r="AB12" s="1015">
        <f t="shared" si="24"/>
        <v>2717.2575277955607</v>
      </c>
      <c r="AC12" s="1017">
        <f t="shared" si="25"/>
        <v>3.9162389742385173</v>
      </c>
      <c r="AD12" s="1018">
        <f t="shared" si="26"/>
        <v>1284.2600792999856</v>
      </c>
      <c r="AE12" s="1020">
        <f t="shared" si="27"/>
        <v>27807.598580610244</v>
      </c>
      <c r="AF12" s="1020">
        <f t="shared" si="9"/>
        <v>10234.797999999999</v>
      </c>
      <c r="AG12" s="1020">
        <f t="shared" si="36"/>
        <v>29091.858659910227</v>
      </c>
      <c r="AH12" s="1022">
        <f t="shared" si="37"/>
        <v>4721.0119999999997</v>
      </c>
      <c r="AI12" s="1020">
        <f t="shared" si="28"/>
        <v>5.7619689701272643</v>
      </c>
      <c r="AJ12" s="1023">
        <f t="shared" si="29"/>
        <v>0.97823350595136127</v>
      </c>
      <c r="AK12" s="1023">
        <f t="shared" si="10"/>
        <v>44809.817728470516</v>
      </c>
      <c r="AL12" s="1023">
        <f t="shared" si="11"/>
        <v>2.1471422648364165</v>
      </c>
      <c r="AM12" s="1021">
        <v>2.9176043527776372</v>
      </c>
      <c r="AN12" s="1021">
        <v>3.2365032599225856</v>
      </c>
      <c r="AO12" s="1021">
        <f t="shared" si="12"/>
        <v>-0.77046208794122073</v>
      </c>
      <c r="AP12" s="1023" t="e">
        <f>+#REF!-AN12</f>
        <v>#REF!</v>
      </c>
      <c r="AQ12" s="1021"/>
      <c r="AR12" s="1024">
        <v>136.21299999999999</v>
      </c>
      <c r="AS12" s="1023">
        <f t="shared" si="13"/>
        <v>1.9514914760636128</v>
      </c>
      <c r="AT12" s="1023">
        <f t="shared" si="14"/>
        <v>0</v>
      </c>
      <c r="AU12" s="1015">
        <f t="shared" si="15"/>
        <v>0</v>
      </c>
      <c r="AV12" s="690">
        <f t="shared" si="16"/>
        <v>5.7619689701272643</v>
      </c>
      <c r="AW12" s="690">
        <f t="shared" si="17"/>
        <v>5.8901774832621152</v>
      </c>
      <c r="AX12" s="1025" t="s">
        <v>447</v>
      </c>
      <c r="AY12" s="1026"/>
      <c r="AZ12" s="1026">
        <f t="shared" si="18"/>
        <v>24719.377374468531</v>
      </c>
      <c r="BA12" s="1027">
        <f t="shared" si="19"/>
        <v>13866.25966561482</v>
      </c>
      <c r="BB12" s="1027">
        <f t="shared" si="20"/>
        <v>37493.777528167579</v>
      </c>
      <c r="BC12" s="1027">
        <f t="shared" si="21"/>
        <v>27202.324651598454</v>
      </c>
      <c r="BD12" s="1027">
        <f t="shared" si="22"/>
        <v>8926.5513396397</v>
      </c>
      <c r="BE12" s="1028">
        <f>+VLOOKUP(A12,'נתוני מים 2011 מעודכן'!$B:$S,5,0)/1000</f>
        <v>0</v>
      </c>
      <c r="BF12" s="1028">
        <f t="shared" si="30"/>
        <v>0</v>
      </c>
      <c r="BG12" s="1029">
        <f t="shared" si="31"/>
        <v>0</v>
      </c>
      <c r="BH12" s="719">
        <f t="shared" si="32"/>
        <v>0</v>
      </c>
      <c r="BI12" s="1029">
        <f t="shared" si="33"/>
        <v>5.7619689701272643</v>
      </c>
      <c r="BJ12" s="483"/>
    </row>
    <row r="13" spans="1:62" x14ac:dyDescent="0.2">
      <c r="A13" s="671" t="s">
        <v>448</v>
      </c>
      <c r="B13" s="673">
        <f>+HLOOKUP(A13,'תחשיב תעריף 2016'!$4:$67,48,0)/(1-P13)</f>
        <v>6.7526090414914615</v>
      </c>
      <c r="C13" s="673">
        <f>+HLOOKUP(A13,'תחשיב תעריף 2016'!$4:$67,49,0)/(1-P13)</f>
        <v>2.7820506658569433</v>
      </c>
      <c r="D13" s="673">
        <f>+HLOOKUP(A13,'תחשיב תעריף 2016'!$4:$67,50,0)/(1-P13)</f>
        <v>3.0849254395230741</v>
      </c>
      <c r="E13" s="673">
        <f t="shared" si="0"/>
        <v>5.8669761053800169</v>
      </c>
      <c r="F13" s="673">
        <f t="shared" si="1"/>
        <v>49880.89004051438</v>
      </c>
      <c r="G13" s="674">
        <f>+HLOOKUP(A13,'תחשיב תעריף 2016'!$4:$67,12,0)</f>
        <v>16724.746999999999</v>
      </c>
      <c r="H13" s="674">
        <f>+(HLOOKUP(A13,'נתוני תאגידים'!$1:$539,358,0))*3.5*12</f>
        <v>8501.9760000000006</v>
      </c>
      <c r="I13" s="674">
        <f t="shared" si="34"/>
        <v>8222.7709999999988</v>
      </c>
      <c r="J13" s="673">
        <f>+HLOOKUP(A13,'תחשיב תעריף 2016'!$4:$82,64,0)</f>
        <v>1.6396551746016061</v>
      </c>
      <c r="K13" s="673">
        <f>+HLOOKUP(A13,'תחשיב תעריף 2016'!$4:$82,57,0)</f>
        <v>5.5783411818001083</v>
      </c>
      <c r="L13" s="673">
        <f t="shared" si="2"/>
        <v>55525.15780071378</v>
      </c>
      <c r="M13" s="673">
        <f t="shared" si="3"/>
        <v>23652.927991899753</v>
      </c>
      <c r="N13" s="673" t="e">
        <f>I13*#REF!</f>
        <v>#REF!</v>
      </c>
      <c r="O13" s="673">
        <f t="shared" si="4"/>
        <v>49880.89004051438</v>
      </c>
      <c r="P13" s="675">
        <f>+HLOOKUP(A13,'תחשיב תעריף 2016'!$4:$67,18,0)</f>
        <v>1.4999999999999999E-2</v>
      </c>
      <c r="Q13" s="675">
        <f>+HLOOKUP(A13,'תחשיב תעריף 2016'!$4:$67,17,0)</f>
        <v>6.2853172569172833E-2</v>
      </c>
      <c r="R13" s="673">
        <f t="shared" si="35"/>
        <v>10.561938969631239</v>
      </c>
      <c r="S13" s="673">
        <f t="shared" si="5"/>
        <v>1.8986723483080565</v>
      </c>
      <c r="T13" s="673">
        <f t="shared" si="6"/>
        <v>1.8383710935606388</v>
      </c>
      <c r="U13" s="673">
        <f t="shared" si="7"/>
        <v>8.7235678760706001</v>
      </c>
      <c r="V13" s="673">
        <f>+HLOOKUP(A13,'תחשיב תעריף 2016'!$4:$82,72,0)</f>
        <v>5.5508183550142842</v>
      </c>
      <c r="W13" s="676">
        <f>HLOOKUP(A13,'נתוני תאגידים'!$1:$473,356,0)</f>
        <v>1086.79</v>
      </c>
      <c r="X13" s="676">
        <f t="shared" si="23"/>
        <v>6032.573880045974</v>
      </c>
      <c r="Y13" s="673">
        <f>+HLOOKUP(A13,'תחשיב תעריף 2016'!$4:$82,79,0)</f>
        <v>4.0103386389569415</v>
      </c>
      <c r="Z13" s="673">
        <f>HLOOKUP(A13,'נתוני תאגידים'!$1:$1000,958,0)</f>
        <v>324.185</v>
      </c>
      <c r="AA13" s="677">
        <f t="shared" si="8"/>
        <v>8.6357437945373583</v>
      </c>
      <c r="AB13" s="671">
        <f t="shared" si="24"/>
        <v>2799.5786020320934</v>
      </c>
      <c r="AC13" s="673">
        <f t="shared" si="25"/>
        <v>3.5954730725975415</v>
      </c>
      <c r="AD13" s="674">
        <f t="shared" si="26"/>
        <v>1165.5984380400339</v>
      </c>
      <c r="AE13" s="676">
        <f t="shared" si="27"/>
        <v>37998.522148821241</v>
      </c>
      <c r="AF13" s="676">
        <f t="shared" si="9"/>
        <v>17811.537</v>
      </c>
      <c r="AG13" s="676">
        <f t="shared" si="36"/>
        <v>39164.120586861274</v>
      </c>
      <c r="AH13" s="678">
        <f t="shared" si="37"/>
        <v>6811.7959999999985</v>
      </c>
      <c r="AI13" s="679">
        <f t="shared" si="28"/>
        <v>5.4882602107350458</v>
      </c>
      <c r="AJ13" s="679">
        <f t="shared" si="29"/>
        <v>0.98385165623089521</v>
      </c>
      <c r="AK13" s="679">
        <f t="shared" si="10"/>
        <v>67011.278027636887</v>
      </c>
      <c r="AL13" s="679">
        <f t="shared" si="11"/>
        <v>1.8726014878793853</v>
      </c>
      <c r="AM13" s="677">
        <v>2.793978898870531</v>
      </c>
      <c r="AN13" s="677">
        <v>3.1128778060154794</v>
      </c>
      <c r="AO13" s="677">
        <f t="shared" si="12"/>
        <v>-0.92137741099114567</v>
      </c>
      <c r="AP13" s="679" t="e">
        <f>+#REF!-AN13</f>
        <v>#REF!</v>
      </c>
      <c r="AQ13" s="677"/>
      <c r="AR13" s="680">
        <v>498.90030276752083</v>
      </c>
      <c r="AS13" s="679">
        <f t="shared" si="13"/>
        <v>1.6396551746016061</v>
      </c>
      <c r="AT13" s="679">
        <f t="shared" si="14"/>
        <v>0</v>
      </c>
      <c r="AU13" s="671">
        <f t="shared" si="15"/>
        <v>0</v>
      </c>
      <c r="AV13" s="679">
        <f t="shared" si="16"/>
        <v>5.4882602107350458</v>
      </c>
      <c r="AW13" s="748">
        <f t="shared" si="17"/>
        <v>5.5783411818001083</v>
      </c>
      <c r="AX13" s="693" t="s">
        <v>992</v>
      </c>
      <c r="AY13" s="658"/>
      <c r="AZ13" s="749">
        <f t="shared" si="18"/>
        <v>51594.597489887215</v>
      </c>
      <c r="BA13" s="50">
        <f t="shared" si="19"/>
        <v>23652.927991899753</v>
      </c>
      <c r="BB13" s="50">
        <f t="shared" si="20"/>
        <v>55525.15780071378</v>
      </c>
      <c r="BC13" s="50">
        <f t="shared" si="21"/>
        <v>37384.908950444136</v>
      </c>
      <c r="BD13" s="50">
        <f t="shared" si="22"/>
        <v>13940.308942738666</v>
      </c>
      <c r="BE13" s="5">
        <f>+VLOOKUP(A13,'נתוני מים 2011 מעודכן'!$B:$S,5,0)/1000</f>
        <v>7400.11</v>
      </c>
      <c r="BF13" s="5" t="str">
        <f t="shared" si="30"/>
        <v>מפיק ארצי</v>
      </c>
      <c r="BG13" s="42">
        <f t="shared" si="31"/>
        <v>0</v>
      </c>
      <c r="BH13" s="1">
        <f t="shared" si="32"/>
        <v>0</v>
      </c>
      <c r="BI13" s="42">
        <f t="shared" si="33"/>
        <v>5.4882602107350458</v>
      </c>
      <c r="BJ13" s="483"/>
    </row>
    <row r="14" spans="1:62" s="719" customFormat="1" x14ac:dyDescent="0.2">
      <c r="A14" s="1015" t="s">
        <v>449</v>
      </c>
      <c r="B14" s="1016">
        <f>+HLOOKUP(A14,'תחשיב תעריף 2016'!$4:$67,48,0)/(1-P14)</f>
        <v>7.8890484418324371</v>
      </c>
      <c r="C14" s="1016">
        <f>+HLOOKUP(A14,'תחשיב תעריף 2016'!$4:$67,49,0)/(1-P14)</f>
        <v>3.7438199561380312</v>
      </c>
      <c r="D14" s="1017">
        <f>+HLOOKUP(A14,'תחשיב תעריף 2016'!$4:$67,50,0)/(1-P14)</f>
        <v>5.1410884860696617</v>
      </c>
      <c r="E14" s="1017">
        <f t="shared" si="0"/>
        <v>8.884908442207692</v>
      </c>
      <c r="F14" s="1017">
        <f t="shared" si="1"/>
        <v>47247.313162761609</v>
      </c>
      <c r="G14" s="1018">
        <f>+HLOOKUP(A14,'תחשיב תעריף 2016'!$4:$67,12,0)</f>
        <v>9228.0609999999997</v>
      </c>
      <c r="H14" s="685">
        <f>+(HLOOKUP(A14,'נתוני תאגידים'!$1:$539,358,0))*3.5*12</f>
        <v>5317.7039999999997</v>
      </c>
      <c r="I14" s="1018">
        <f t="shared" si="34"/>
        <v>3910.357</v>
      </c>
      <c r="J14" s="684">
        <f>+HLOOKUP(A14,'תחשיב תעריף 2016'!$4:$82,64,0)</f>
        <v>-0.92687975659567312</v>
      </c>
      <c r="K14" s="684">
        <f>+HLOOKUP(A14,'תחשיב תעריף 2016'!$4:$82,57,0)</f>
        <v>2.8458393513732787</v>
      </c>
      <c r="L14" s="1017">
        <f t="shared" si="2"/>
        <v>30848.995797858563</v>
      </c>
      <c r="M14" s="1017">
        <f t="shared" si="3"/>
        <v>19908.526356035032</v>
      </c>
      <c r="N14" s="1017" t="e">
        <f>I14*#REF!</f>
        <v>#REF!</v>
      </c>
      <c r="O14" s="1017">
        <f t="shared" si="4"/>
        <v>47247.313162761609</v>
      </c>
      <c r="P14" s="1019">
        <f>+HLOOKUP(A14,'תחשיב תעריף 2016'!$4:$67,18,0)</f>
        <v>5.6505566943475305E-2</v>
      </c>
      <c r="Q14" s="1019">
        <f>+HLOOKUP(A14,'תחשיב תעריף 2016'!$4:$67,17,0)</f>
        <v>0.11367952445778497</v>
      </c>
      <c r="R14" s="1017">
        <f t="shared" si="35"/>
        <v>10.561938969631239</v>
      </c>
      <c r="S14" s="684">
        <f t="shared" si="5"/>
        <v>4.051890888783972</v>
      </c>
      <c r="T14" s="684">
        <f t="shared" si="6"/>
        <v>0.87186322161565766</v>
      </c>
      <c r="U14" s="1017">
        <f t="shared" si="7"/>
        <v>9.6900757480155804</v>
      </c>
      <c r="V14" s="1017">
        <f>+HLOOKUP(A14,'תחשיב תעריף 2016'!$4:$82,72,0)</f>
        <v>6.3427717361273501</v>
      </c>
      <c r="W14" s="687">
        <f>HLOOKUP(A14,'נתוני תאגידים'!$1:$473,356,0)</f>
        <v>60.266000000000005</v>
      </c>
      <c r="X14" s="1020">
        <f t="shared" si="23"/>
        <v>382.25348144945093</v>
      </c>
      <c r="Y14" s="690">
        <f>+HLOOKUP(A14,'תחשיב תעריף 2016'!$4:$82,79,0)</f>
        <v>3.2838871096109923</v>
      </c>
      <c r="Z14" s="690">
        <f>HLOOKUP(A14,'נתוני תאגידים'!$1:$1000,958,0)</f>
        <v>362.38499999999999</v>
      </c>
      <c r="AA14" s="1021">
        <f t="shared" si="8"/>
        <v>11.483860222197013</v>
      </c>
      <c r="AB14" s="1015">
        <f t="shared" si="24"/>
        <v>4161.5786866208646</v>
      </c>
      <c r="AC14" s="1017">
        <f t="shared" si="25"/>
        <v>0.81285849670500454</v>
      </c>
      <c r="AD14" s="1018">
        <f t="shared" si="26"/>
        <v>294.56772632844309</v>
      </c>
      <c r="AE14" s="1020">
        <f t="shared" si="27"/>
        <v>9925.4509808206931</v>
      </c>
      <c r="AF14" s="1020">
        <f t="shared" si="9"/>
        <v>9288.3269999999993</v>
      </c>
      <c r="AG14" s="1020">
        <f>+AD14+AE14</f>
        <v>10220.018707149136</v>
      </c>
      <c r="AH14" s="1022">
        <f t="shared" si="37"/>
        <v>3487.7060000000001</v>
      </c>
      <c r="AI14" s="1023">
        <f t="shared" si="28"/>
        <v>2.6544875711117308</v>
      </c>
      <c r="AJ14" s="1023">
        <f t="shared" si="29"/>
        <v>0.93276086362035515</v>
      </c>
      <c r="AK14" s="1023">
        <f t="shared" si="10"/>
        <v>45445.286744265723</v>
      </c>
      <c r="AL14" s="1023">
        <f t="shared" si="11"/>
        <v>2.5990530172253345</v>
      </c>
      <c r="AM14" s="1021">
        <v>3.382285111826913</v>
      </c>
      <c r="AN14" s="1021">
        <v>3.7011840189718614</v>
      </c>
      <c r="AO14" s="1021">
        <f t="shared" si="12"/>
        <v>-0.7832320946015785</v>
      </c>
      <c r="AP14" s="1023" t="e">
        <f>+#REF!-AN14</f>
        <v>#REF!</v>
      </c>
      <c r="AQ14" s="1021"/>
      <c r="AR14" s="1024">
        <v>298.16800167612519</v>
      </c>
      <c r="AS14" s="1023">
        <f t="shared" si="13"/>
        <v>0.55000000000000004</v>
      </c>
      <c r="AT14" s="1023">
        <f t="shared" si="14"/>
        <v>1.4768797565956731</v>
      </c>
      <c r="AU14" s="1015">
        <f t="shared" si="15"/>
        <v>1.4768797565956731</v>
      </c>
      <c r="AV14" s="690">
        <f t="shared" si="16"/>
        <v>1.1776078145160578</v>
      </c>
      <c r="AW14" s="690">
        <f t="shared" si="17"/>
        <v>1.3689595947776056</v>
      </c>
      <c r="AX14" s="1025" t="s">
        <v>449</v>
      </c>
      <c r="AY14" s="1026"/>
      <c r="AZ14" s="1026">
        <f t="shared" si="18"/>
        <v>47442.278155848486</v>
      </c>
      <c r="BA14" s="1027">
        <f t="shared" si="19"/>
        <v>19908.526356035032</v>
      </c>
      <c r="BB14" s="1027">
        <f t="shared" si="20"/>
        <v>30848.995797858563</v>
      </c>
      <c r="BC14" s="1027">
        <f t="shared" si="21"/>
        <v>4107.1498403345422</v>
      </c>
      <c r="BD14" s="1027">
        <f t="shared" si="22"/>
        <v>2924.7372</v>
      </c>
      <c r="BE14" s="1028">
        <f>+VLOOKUP(A14,'נתוני מים 2011 מעודכן'!$B:$S,5,0)/1000</f>
        <v>0</v>
      </c>
      <c r="BF14" s="1028">
        <f t="shared" si="30"/>
        <v>0</v>
      </c>
      <c r="BG14" s="1029">
        <f t="shared" si="31"/>
        <v>0</v>
      </c>
      <c r="BH14" s="719">
        <f t="shared" si="32"/>
        <v>0</v>
      </c>
      <c r="BI14" s="1029">
        <f t="shared" si="33"/>
        <v>1.1776078145160578</v>
      </c>
      <c r="BJ14" s="483"/>
    </row>
    <row r="15" spans="1:62" x14ac:dyDescent="0.2">
      <c r="A15" s="671" t="s">
        <v>450</v>
      </c>
      <c r="B15" s="673">
        <f>+HLOOKUP(A15,'תחשיב תעריף 2016'!$4:$67,48,0)/(1-P15)</f>
        <v>6.904054809874931</v>
      </c>
      <c r="C15" s="673">
        <f>+HLOOKUP(A15,'תחשיב תעריף 2016'!$4:$67,49,0)/(1-P15)</f>
        <v>2.9334964342404137</v>
      </c>
      <c r="D15" s="673">
        <f>+HLOOKUP(A15,'תחשיב תעריף 2016'!$4:$67,50,0)/(1-P15)</f>
        <v>3.1380474766264466</v>
      </c>
      <c r="E15" s="673">
        <f t="shared" si="0"/>
        <v>6.0715439108668603</v>
      </c>
      <c r="F15" s="673">
        <f t="shared" si="1"/>
        <v>17427.031056482931</v>
      </c>
      <c r="G15" s="674">
        <f>+HLOOKUP(A15,'תחשיב תעריף 2016'!$4:$67,12,0)</f>
        <v>5681.5389999999998</v>
      </c>
      <c r="H15" s="674">
        <f>+(HLOOKUP(A15,'נתוני תאגידים'!$1:$539,358,0))*3.5*12</f>
        <v>2870.2799999999997</v>
      </c>
      <c r="I15" s="674">
        <f t="shared" si="34"/>
        <v>2811.259</v>
      </c>
      <c r="J15" s="673">
        <f>+HLOOKUP(A15,'תחשיב תעריף 2016'!$4:$82,64,0)</f>
        <v>1.4507817077424887</v>
      </c>
      <c r="K15" s="673">
        <f>+HLOOKUP(A15,'תחשיב תעריף 2016'!$4:$82,57,0)</f>
        <v>5.3894677149409898</v>
      </c>
      <c r="L15" s="673">
        <f t="shared" si="2"/>
        <v>19409.08622075419</v>
      </c>
      <c r="M15" s="673">
        <f t="shared" si="3"/>
        <v>8419.9561452715734</v>
      </c>
      <c r="N15" s="673" t="e">
        <f>I15*#REF!</f>
        <v>#REF!</v>
      </c>
      <c r="O15" s="673">
        <f t="shared" si="4"/>
        <v>17427.031056482931</v>
      </c>
      <c r="P15" s="675">
        <f>+HLOOKUP(A15,'תחשיב תעריף 2016'!$4:$67,18,0)</f>
        <v>1.4999999999999999E-2</v>
      </c>
      <c r="Q15" s="675">
        <f>+HLOOKUP(A15,'תחשיב תעריף 2016'!$4:$67,17,0)</f>
        <v>6.2929755391038331E-2</v>
      </c>
      <c r="R15" s="673">
        <f t="shared" si="35"/>
        <v>10.561938969631239</v>
      </c>
      <c r="S15" s="673">
        <f t="shared" si="5"/>
        <v>2.0344237780638026</v>
      </c>
      <c r="T15" s="673">
        <f t="shared" si="6"/>
        <v>1.9741225233163839</v>
      </c>
      <c r="U15" s="673">
        <f t="shared" si="7"/>
        <v>8.5878164463148554</v>
      </c>
      <c r="V15" s="673">
        <f>+HLOOKUP(A15,'תחשיב תעריף 2016'!$4:$82,72,0)</f>
        <v>5.6999924368720016</v>
      </c>
      <c r="W15" s="676">
        <f>HLOOKUP(A15,'נתוני תאגידים'!$1:$473,356,0)</f>
        <v>398.815</v>
      </c>
      <c r="X15" s="676">
        <f t="shared" si="23"/>
        <v>2273.2424837111075</v>
      </c>
      <c r="Y15" s="673">
        <f>+HLOOKUP(A15,'תחשיב תעריף 2016'!$4:$82,79,0)</f>
        <v>3.873790378644645</v>
      </c>
      <c r="Z15" s="673">
        <f>HLOOKUP(A15,'נתוני תאגידים'!$1:$1000,958,0)</f>
        <v>218.55</v>
      </c>
      <c r="AA15" s="677">
        <f t="shared" si="8"/>
        <v>8.8380399134984486</v>
      </c>
      <c r="AB15" s="671">
        <f t="shared" si="24"/>
        <v>1931.5536230950861</v>
      </c>
      <c r="AC15" s="673">
        <f>+$B$69-$B$68-D15+Y15</f>
        <v>3.4058027751818725</v>
      </c>
      <c r="AD15" s="674">
        <f t="shared" si="26"/>
        <v>744.33819651599822</v>
      </c>
      <c r="AE15" s="676">
        <f>+K15*AH15</f>
        <v>11823.920883002747</v>
      </c>
      <c r="AF15" s="676">
        <f t="shared" si="9"/>
        <v>6080.3539999999994</v>
      </c>
      <c r="AG15" s="676">
        <f>+AD15+AE15</f>
        <v>12568.259079518746</v>
      </c>
      <c r="AH15" s="678">
        <f>+I15-W15-Z15</f>
        <v>2193.8939999999998</v>
      </c>
      <c r="AI15" s="679">
        <f>+AG15/(AH15+Z15)</f>
        <v>5.2097620004935852</v>
      </c>
      <c r="AJ15" s="679">
        <f>+AI15/K15</f>
        <v>0.96665612933366052</v>
      </c>
      <c r="AK15" s="679">
        <f t="shared" si="10"/>
        <v>22031.307953741649</v>
      </c>
      <c r="AL15" s="679">
        <f t="shared" si="11"/>
        <v>2.0091497481916818</v>
      </c>
      <c r="AM15" s="677">
        <v>2.6989668326361644</v>
      </c>
      <c r="AN15" s="677">
        <v>3.0178657397811128</v>
      </c>
      <c r="AO15" s="677">
        <f t="shared" si="12"/>
        <v>-0.68981708444448264</v>
      </c>
      <c r="AP15" s="679" t="e">
        <f>+#REF!-AN15</f>
        <v>#REF!</v>
      </c>
      <c r="AQ15" s="677"/>
      <c r="AR15" s="680">
        <v>95.721999999999994</v>
      </c>
      <c r="AS15" s="679">
        <f t="shared" si="13"/>
        <v>1.4507817077424887</v>
      </c>
      <c r="AT15" s="679">
        <f t="shared" si="14"/>
        <v>0</v>
      </c>
      <c r="AU15" s="671">
        <f t="shared" si="15"/>
        <v>0</v>
      </c>
      <c r="AV15" s="679">
        <f t="shared" si="16"/>
        <v>5.2097620004935852</v>
      </c>
      <c r="AW15" s="748">
        <f t="shared" si="17"/>
        <v>5.3894677149409898</v>
      </c>
      <c r="AX15" s="693" t="s">
        <v>993</v>
      </c>
      <c r="AY15" s="658"/>
      <c r="AZ15" s="749">
        <f t="shared" si="18"/>
        <v>17828.939122304742</v>
      </c>
      <c r="BA15" s="50">
        <f t="shared" si="19"/>
        <v>8419.9561452715734</v>
      </c>
      <c r="BB15" s="50">
        <f t="shared" si="20"/>
        <v>19409.08622075419</v>
      </c>
      <c r="BC15" s="50">
        <f t="shared" si="21"/>
        <v>11429.665594310873</v>
      </c>
      <c r="BD15" s="50">
        <f t="shared" si="22"/>
        <v>4164.1497200991098</v>
      </c>
      <c r="BE15" s="5">
        <f>+VLOOKUP(A15,'נתוני מים 2011 מעודכן'!$B:$S,5,0)/1000</f>
        <v>2054.4699999999998</v>
      </c>
      <c r="BF15" s="5" t="str">
        <f t="shared" si="30"/>
        <v>מפיק ארצי</v>
      </c>
      <c r="BG15" s="42">
        <f t="shared" si="31"/>
        <v>0</v>
      </c>
      <c r="BH15" s="1">
        <f t="shared" si="32"/>
        <v>0</v>
      </c>
      <c r="BI15" s="42">
        <f t="shared" si="33"/>
        <v>5.2097620004935852</v>
      </c>
      <c r="BJ15" s="483"/>
    </row>
    <row r="16" spans="1:62" x14ac:dyDescent="0.2">
      <c r="A16" s="683" t="s">
        <v>828</v>
      </c>
      <c r="B16" s="657">
        <f>+HLOOKUP(A16,'תחשיב תעריף 2016'!$4:$67,48,0)/(1-P16)</f>
        <v>9.1726102213489007</v>
      </c>
      <c r="C16" s="657">
        <f>+HLOOKUP(A16,'תחשיב תעריף 2016'!$4:$67,49,0)/(1-P16)</f>
        <v>5.0784486278114853</v>
      </c>
      <c r="D16" s="684">
        <f>+HLOOKUP(A16,'תחשיב תעריף 2016'!$4:$67,50,0)/(1-P16)</f>
        <v>4.5540949409548706</v>
      </c>
      <c r="E16" s="684">
        <f t="shared" si="0"/>
        <v>9.632543568766355</v>
      </c>
      <c r="F16" s="684">
        <f t="shared" si="1"/>
        <v>19112.950744407615</v>
      </c>
      <c r="G16" s="685">
        <f>+HLOOKUP(A16,'תחשיב תעריף 2016'!$4:$67,12,0)</f>
        <v>4715.7889999999998</v>
      </c>
      <c r="H16" s="685">
        <f>+(HLOOKUP(A16,'נתוני תאגידים'!$1:$539,358,0))*3.5*12</f>
        <v>1984.2060000000001</v>
      </c>
      <c r="I16" s="685">
        <f t="shared" si="34"/>
        <v>2731.5829999999996</v>
      </c>
      <c r="J16" s="684">
        <f>+HLOOKUP(A16,'תחשיב תעריף 2016'!$4:$82,64,0)</f>
        <v>-1.6765074035623748</v>
      </c>
      <c r="K16" s="684">
        <f>+HLOOKUP(A16,'תחשיב תעריף 2016'!$4:$82,57,0)</f>
        <v>2.1432692118897649</v>
      </c>
      <c r="L16" s="684">
        <f t="shared" si="2"/>
        <v>25055.746146262893</v>
      </c>
      <c r="M16" s="684">
        <f t="shared" si="3"/>
        <v>10076.688237995317</v>
      </c>
      <c r="N16" s="684" t="e">
        <f>I16*#REF!</f>
        <v>#REF!</v>
      </c>
      <c r="O16" s="684">
        <f t="shared" si="4"/>
        <v>19112.950744407615</v>
      </c>
      <c r="P16" s="686">
        <f>+HLOOKUP(A16,'תחשיב תעריף 2016'!$4:$67,18,0)</f>
        <v>4.4737265335724384E-2</v>
      </c>
      <c r="Q16" s="686">
        <f>+HLOOKUP(A16,'תחשיב תעריף 2016'!$4:$67,17,0)</f>
        <v>8.4908583618578296E-2</v>
      </c>
      <c r="R16" s="684">
        <f t="shared" si="35"/>
        <v>10.561938969631239</v>
      </c>
      <c r="S16" s="684">
        <f t="shared" si="5"/>
        <v>5.4578440286763676</v>
      </c>
      <c r="T16" s="684">
        <f t="shared" si="6"/>
        <v>1.4588567667304488</v>
      </c>
      <c r="U16" s="684">
        <f t="shared" si="7"/>
        <v>9.1030822029007901</v>
      </c>
      <c r="V16" s="684">
        <f>+HLOOKUP(A16,'תחשיב תעריף 2016'!$4:$82,72,0)</f>
        <v>7.6617511732004324</v>
      </c>
      <c r="W16" s="687">
        <f>HLOOKUP(A16,'נתוני תאגידים'!$1:$473,356,0)</f>
        <v>176.43600000000001</v>
      </c>
      <c r="X16" s="687">
        <f t="shared" si="23"/>
        <v>1351.8087299947915</v>
      </c>
      <c r="Y16" s="690">
        <f>+HLOOKUP(A16,'תחשיב תעריף 2016'!$4:$82,79,0)</f>
        <v>2.0260477250388411</v>
      </c>
      <c r="Z16" s="690">
        <f>HLOOKUP(A16,'נתוני תאגידים'!$1:$1000,958,0)</f>
        <v>166.13300000000001</v>
      </c>
      <c r="AA16" s="688">
        <f t="shared" si="8"/>
        <v>12.215846114155303</v>
      </c>
      <c r="AB16" s="683">
        <f t="shared" si="24"/>
        <v>2029.455162482963</v>
      </c>
      <c r="AC16" s="684">
        <f t="shared" si="25"/>
        <v>0.14201265724764456</v>
      </c>
      <c r="AD16" s="685">
        <f>+AC16*(Z16)</f>
        <v>23.592988786522934</v>
      </c>
      <c r="AE16" s="687">
        <f>+K16*AH16</f>
        <v>5120.3001529736139</v>
      </c>
      <c r="AF16" s="687">
        <f t="shared" si="9"/>
        <v>4892.2249999999995</v>
      </c>
      <c r="AG16" s="687">
        <f t="shared" si="36"/>
        <v>5143.893141760137</v>
      </c>
      <c r="AH16" s="689">
        <f t="shared" si="37"/>
        <v>2389.0139999999997</v>
      </c>
      <c r="AI16" s="690">
        <f>+AG16/(AH16+Z16)</f>
        <v>2.0131495924735985</v>
      </c>
      <c r="AJ16" s="690">
        <f t="shared" si="29"/>
        <v>0.93928918556085761</v>
      </c>
      <c r="AK16" s="690">
        <f t="shared" si="10"/>
        <v>32793.29080661598</v>
      </c>
      <c r="AL16" s="690">
        <f t="shared" si="11"/>
        <v>3.8568924017974857</v>
      </c>
      <c r="AM16" s="688">
        <v>3.5606417456602415</v>
      </c>
      <c r="AN16" s="688">
        <v>3.8795406528051899</v>
      </c>
      <c r="AO16" s="688">
        <f t="shared" si="12"/>
        <v>0.29625065613724422</v>
      </c>
      <c r="AP16" s="690" t="e">
        <f>+#REF!-AN16</f>
        <v>#REF!</v>
      </c>
      <c r="AQ16" s="688"/>
      <c r="AR16" s="691">
        <v>467.81327578505125</v>
      </c>
      <c r="AS16" s="690">
        <f t="shared" si="13"/>
        <v>0.55000000000000004</v>
      </c>
      <c r="AT16" s="690">
        <f t="shared" si="14"/>
        <v>2.2265074035623749</v>
      </c>
      <c r="AU16" s="688">
        <f t="shared" si="15"/>
        <v>2.2265074035623749</v>
      </c>
      <c r="AV16" s="690">
        <f t="shared" si="16"/>
        <v>0.55000000000000004</v>
      </c>
      <c r="AW16" s="690">
        <f t="shared" si="17"/>
        <v>0.55000000000000004</v>
      </c>
      <c r="AX16" s="692" t="s">
        <v>994</v>
      </c>
      <c r="AY16" s="659"/>
      <c r="AZ16" s="659">
        <f t="shared" si="18"/>
        <v>21476.150827510628</v>
      </c>
      <c r="BA16" s="50">
        <f t="shared" si="19"/>
        <v>10076.688237995317</v>
      </c>
      <c r="BB16" s="50">
        <f t="shared" si="20"/>
        <v>25055.746146262893</v>
      </c>
      <c r="BC16" s="50">
        <f t="shared" si="21"/>
        <v>1313.9576999999999</v>
      </c>
      <c r="BD16" s="50">
        <f t="shared" si="22"/>
        <v>1091.3133000000003</v>
      </c>
      <c r="BE16" s="5">
        <f>+VLOOKUP(A16,'נתוני מים 2011 מעודכן'!$B:$S,5,0)/1000</f>
        <v>4577.45</v>
      </c>
      <c r="BF16" s="5" t="str">
        <f t="shared" si="30"/>
        <v>מפיק סובב כנרת</v>
      </c>
      <c r="BG16" s="42">
        <f t="shared" si="31"/>
        <v>0</v>
      </c>
      <c r="BH16" s="1">
        <f>+IF(AND(BF16=$BE$1,AV16&lt;$BG$1),$BG$1,0)</f>
        <v>3.95</v>
      </c>
      <c r="BI16" s="42">
        <f t="shared" si="33"/>
        <v>3.95</v>
      </c>
      <c r="BJ16" s="483"/>
    </row>
    <row r="17" spans="1:62" x14ac:dyDescent="0.2">
      <c r="A17" s="671" t="s">
        <v>452</v>
      </c>
      <c r="B17" s="673">
        <f>+HLOOKUP(A17,'תחשיב תעריף 2016'!$4:$67,48,0)/(1-P17)</f>
        <v>6.9908996516349093</v>
      </c>
      <c r="C17" s="673">
        <f>+HLOOKUP(A17,'תחשיב תעריף 2016'!$4:$67,49,0)/(1-P17)</f>
        <v>3.0203412760003916</v>
      </c>
      <c r="D17" s="673">
        <f>+HLOOKUP(A17,'תחשיב תעריף 2016'!$4:$67,50,0)/(1-P17)</f>
        <v>3.1798663237543927</v>
      </c>
      <c r="E17" s="673">
        <f t="shared" si="0"/>
        <v>6.2002075997547843</v>
      </c>
      <c r="F17" s="673">
        <f t="shared" si="1"/>
        <v>58951.58625888369</v>
      </c>
      <c r="G17" s="674">
        <f>+HLOOKUP(A17,'תחשיב תעריף 2016'!$4:$67,12,0)</f>
        <v>20929.161</v>
      </c>
      <c r="H17" s="674">
        <f>+(HLOOKUP(A17,'נתוני תאגידים'!$1:$539,358,0))*3.5*12</f>
        <v>9508.0020000000004</v>
      </c>
      <c r="I17" s="674">
        <f t="shared" si="34"/>
        <v>11421.159</v>
      </c>
      <c r="J17" s="673">
        <f>+HLOOKUP(A17,'תחשיב תעריף 2016'!$4:$82,64,0)</f>
        <v>1.325390177495553</v>
      </c>
      <c r="K17" s="673">
        <f>+HLOOKUP(A17,'תחשיב תעריף 2016'!$4:$82,57,0)</f>
        <v>5.2640761846940549</v>
      </c>
      <c r="L17" s="673">
        <f t="shared" si="2"/>
        <v>79844.176474366905</v>
      </c>
      <c r="M17" s="673">
        <f t="shared" si="3"/>
        <v>28717.410892894277</v>
      </c>
      <c r="N17" s="673" t="e">
        <f>I17*#REF!</f>
        <v>#REF!</v>
      </c>
      <c r="O17" s="673">
        <f t="shared" si="4"/>
        <v>58951.58625888369</v>
      </c>
      <c r="P17" s="675">
        <f>+HLOOKUP(A17,'תחשיב תעריף 2016'!$4:$67,18,0)</f>
        <v>1.4999999999999999E-2</v>
      </c>
      <c r="Q17" s="675">
        <f>+HLOOKUP(A17,'תחשיב תעריף 2016'!$4:$67,17,0)</f>
        <v>8.0242022197995228E-2</v>
      </c>
      <c r="R17" s="673">
        <f t="shared" si="35"/>
        <v>10.561938969631239</v>
      </c>
      <c r="S17" s="673">
        <f t="shared" si="5"/>
        <v>2.1179964611827913</v>
      </c>
      <c r="T17" s="673">
        <f t="shared" si="6"/>
        <v>2.0576952064353735</v>
      </c>
      <c r="U17" s="673">
        <f t="shared" si="7"/>
        <v>8.5042437631958663</v>
      </c>
      <c r="V17" s="673">
        <f>+HLOOKUP(A17,'תחשיב תעריף 2016'!$4:$82,72,0)</f>
        <v>5.7855346060055801</v>
      </c>
      <c r="W17" s="676">
        <f>HLOOKUP(A17,'נתוני תאגידים'!$1:$473,356,0)</f>
        <v>1474.9649999999999</v>
      </c>
      <c r="X17" s="676">
        <f t="shared" si="23"/>
        <v>8533.4610501470197</v>
      </c>
      <c r="Y17" s="673">
        <f>+HLOOKUP(A17,'תחשיב תעריף 2016'!$4:$82,79,0)</f>
        <v>3.789590412818737</v>
      </c>
      <c r="Z17" s="673">
        <f>HLOOKUP(A17,'נתוני תאגידים'!$1:$1000,958,0)</f>
        <v>934.59099999999989</v>
      </c>
      <c r="AA17" s="677">
        <f t="shared" si="8"/>
        <v>8.9654009297599728</v>
      </c>
      <c r="AB17" s="671">
        <f t="shared" si="24"/>
        <v>8378.9830203453021</v>
      </c>
      <c r="AC17" s="673">
        <f t="shared" si="25"/>
        <v>3.2797839622280183</v>
      </c>
      <c r="AD17" s="674">
        <f t="shared" si="26"/>
        <v>3065.2565730426454</v>
      </c>
      <c r="AE17" s="676">
        <f t="shared" si="27"/>
        <v>47437.764738217498</v>
      </c>
      <c r="AF17" s="676">
        <f t="shared" si="9"/>
        <v>22404.126</v>
      </c>
      <c r="AG17" s="676">
        <f>+AD17+AE17</f>
        <v>50503.021311260141</v>
      </c>
      <c r="AH17" s="678">
        <f t="shared" si="37"/>
        <v>9011.6029999999992</v>
      </c>
      <c r="AI17" s="679">
        <f t="shared" si="28"/>
        <v>5.0776227883007454</v>
      </c>
      <c r="AJ17" s="679">
        <f t="shared" si="29"/>
        <v>0.96458003458699071</v>
      </c>
      <c r="AK17" s="679">
        <f t="shared" si="10"/>
        <v>91654.905176116139</v>
      </c>
      <c r="AL17" s="679">
        <f t="shared" si="11"/>
        <v>2.0933497140175898</v>
      </c>
      <c r="AM17" s="677">
        <v>2.6620147785440871</v>
      </c>
      <c r="AN17" s="677">
        <v>2.9809136856890355</v>
      </c>
      <c r="AO17" s="677">
        <f t="shared" si="12"/>
        <v>-0.56866506452649723</v>
      </c>
      <c r="AP17" s="679" t="e">
        <f>+#REF!-AN17</f>
        <v>#REF!</v>
      </c>
      <c r="AQ17" s="677"/>
      <c r="AR17" s="680">
        <v>1100.6130000000001</v>
      </c>
      <c r="AS17" s="679">
        <f t="shared" si="13"/>
        <v>1.325390177495553</v>
      </c>
      <c r="AT17" s="679">
        <f t="shared" si="14"/>
        <v>0</v>
      </c>
      <c r="AU17" s="671">
        <f t="shared" si="15"/>
        <v>0</v>
      </c>
      <c r="AV17" s="679">
        <f t="shared" si="16"/>
        <v>5.0776227883007454</v>
      </c>
      <c r="AW17" s="748">
        <f t="shared" si="17"/>
        <v>5.2640761846940549</v>
      </c>
      <c r="AX17" s="693" t="s">
        <v>452</v>
      </c>
      <c r="AY17" s="658"/>
      <c r="AZ17" s="749">
        <f t="shared" si="18"/>
        <v>66551.934248333811</v>
      </c>
      <c r="BA17" s="50">
        <f t="shared" si="19"/>
        <v>28717.410892894277</v>
      </c>
      <c r="BB17" s="50">
        <f t="shared" si="20"/>
        <v>79844.176474366905</v>
      </c>
      <c r="BC17" s="50">
        <f t="shared" si="21"/>
        <v>45757.520751919357</v>
      </c>
      <c r="BD17" s="50">
        <f t="shared" si="22"/>
        <v>12601.812458408074</v>
      </c>
      <c r="BE17" s="5">
        <f>+VLOOKUP(A17,'נתוני מים 2011 מעודכן'!$B:$S,5,0)/1000</f>
        <v>0</v>
      </c>
      <c r="BF17" s="5">
        <f t="shared" si="30"/>
        <v>0</v>
      </c>
      <c r="BG17" s="42">
        <f t="shared" si="31"/>
        <v>0</v>
      </c>
      <c r="BH17" s="1">
        <f t="shared" si="32"/>
        <v>0</v>
      </c>
      <c r="BI17" s="42">
        <f t="shared" si="33"/>
        <v>5.0776227883007454</v>
      </c>
      <c r="BJ17" s="483"/>
    </row>
    <row r="18" spans="1:62" x14ac:dyDescent="0.2">
      <c r="A18" s="683" t="s">
        <v>453</v>
      </c>
      <c r="B18" s="657">
        <f>+HLOOKUP(A18,'תחשיב תעריף 2016'!$4:$67,48,0)/(1-P18)</f>
        <v>6.7437405994798851</v>
      </c>
      <c r="C18" s="657">
        <f>+HLOOKUP(A18,'תחשיב תעריף 2016'!$4:$67,49,0)/(1-P18)</f>
        <v>2.7731822238453678</v>
      </c>
      <c r="D18" s="684">
        <f>+HLOOKUP(A18,'תחשיב תעריף 2016'!$4:$67,50,0)/(1-P18)</f>
        <v>3.5834819423873667</v>
      </c>
      <c r="E18" s="684">
        <f t="shared" si="0"/>
        <v>6.3566641662327346</v>
      </c>
      <c r="F18" s="684">
        <f t="shared" si="1"/>
        <v>64680.151237654667</v>
      </c>
      <c r="G18" s="685">
        <f>+HLOOKUP(A18,'תחשיב תעריף 2016'!$4:$67,12,0)</f>
        <v>18659.955999999998</v>
      </c>
      <c r="H18" s="685">
        <f>+(HLOOKUP(A18,'נתוני תאגידים'!$1:$539,358,0))*3.5*12</f>
        <v>10175.172</v>
      </c>
      <c r="I18" s="685">
        <f t="shared" si="34"/>
        <v>8484.7839999999978</v>
      </c>
      <c r="J18" s="684">
        <f>+HLOOKUP(A18,'תחשיב תעריף 2016'!$4:$82,64,0)</f>
        <v>1.1859923259228464</v>
      </c>
      <c r="K18" s="684">
        <f>+HLOOKUP(A18,'תחשיב תעריף 2016'!$4:$82,57,0)</f>
        <v>5.1246783331213477</v>
      </c>
      <c r="L18" s="684">
        <f t="shared" si="2"/>
        <v>57219.18233861732</v>
      </c>
      <c r="M18" s="684">
        <f t="shared" si="3"/>
        <v>28217.60611496912</v>
      </c>
      <c r="N18" s="684" t="e">
        <f>I18*#REF!</f>
        <v>#REF!</v>
      </c>
      <c r="O18" s="684">
        <f t="shared" si="4"/>
        <v>64680.151237654667</v>
      </c>
      <c r="P18" s="686">
        <f>+HLOOKUP(A18,'תחשיב תעריף 2016'!$4:$67,18,0)</f>
        <v>1.4999999999999999E-2</v>
      </c>
      <c r="Q18" s="686">
        <f>+HLOOKUP(A18,'תחשיב תעריף 2016'!$4:$67,17,0)</f>
        <v>7.0000000000000007E-2</v>
      </c>
      <c r="R18" s="684">
        <f t="shared" si="35"/>
        <v>10.561938969631239</v>
      </c>
      <c r="S18" s="684">
        <f t="shared" si="5"/>
        <v>1.8537786941225245</v>
      </c>
      <c r="T18" s="684">
        <f t="shared" si="6"/>
        <v>1.7934774393751058</v>
      </c>
      <c r="U18" s="684">
        <f t="shared" si="7"/>
        <v>8.7684615302561326</v>
      </c>
      <c r="V18" s="684">
        <f>+HLOOKUP(A18,'תחשיב תעריף 2016'!$4:$82,72,0)</f>
        <v>5.5420829396328823</v>
      </c>
      <c r="W18" s="687">
        <f>HLOOKUP(A18,'נתוני תאגידים'!$1:$473,356,0)</f>
        <v>968.44299999999998</v>
      </c>
      <c r="X18" s="687">
        <f t="shared" si="23"/>
        <v>5367.1914283068872</v>
      </c>
      <c r="Y18" s="690">
        <f>+HLOOKUP(A18,'תחשיב תעריף 2016'!$4:$82,79,0)</f>
        <v>4.04775394559951</v>
      </c>
      <c r="Z18" s="690">
        <f>HLOOKUP(A18,'נתוני תאגידים'!$1:$1000,958,0)</f>
        <v>325.572</v>
      </c>
      <c r="AA18" s="688">
        <f t="shared" si="8"/>
        <v>9.1255648820202495</v>
      </c>
      <c r="AB18" s="683">
        <f t="shared" si="24"/>
        <v>2971.0284097690969</v>
      </c>
      <c r="AC18" s="684">
        <f t="shared" si="25"/>
        <v>3.1343318763758172</v>
      </c>
      <c r="AD18" s="685">
        <f t="shared" si="26"/>
        <v>1020.4506976554276</v>
      </c>
      <c r="AE18" s="687">
        <f t="shared" si="27"/>
        <v>36850.378092780644</v>
      </c>
      <c r="AF18" s="687">
        <f t="shared" si="9"/>
        <v>19628.398999999998</v>
      </c>
      <c r="AG18" s="687">
        <f>+AD18+AE18</f>
        <v>37870.82879043607</v>
      </c>
      <c r="AH18" s="689">
        <f>+I18-W18-Z18</f>
        <v>7190.7689999999975</v>
      </c>
      <c r="AI18" s="687">
        <f>+AG18/(AH18+Z18)</f>
        <v>5.0384660289409542</v>
      </c>
      <c r="AJ18" s="690">
        <f t="shared" si="29"/>
        <v>0.98317703110784649</v>
      </c>
      <c r="AK18" s="690">
        <f t="shared" si="10"/>
        <v>74260.671710160212</v>
      </c>
      <c r="AL18" s="690">
        <f t="shared" si="11"/>
        <v>1.8351861812368169</v>
      </c>
      <c r="AM18" s="688">
        <v>2.6888385662693821</v>
      </c>
      <c r="AN18" s="688">
        <v>3.0077374734143305</v>
      </c>
      <c r="AO18" s="688">
        <f t="shared" si="12"/>
        <v>-0.85365238503256524</v>
      </c>
      <c r="AP18" s="690" t="e">
        <f>+#REF!-AN18</f>
        <v>#REF!</v>
      </c>
      <c r="AQ18" s="688"/>
      <c r="AR18" s="691">
        <v>402.95917078771771</v>
      </c>
      <c r="AS18" s="690">
        <f t="shared" si="13"/>
        <v>1.1859923259228464</v>
      </c>
      <c r="AT18" s="690">
        <f t="shared" si="14"/>
        <v>0</v>
      </c>
      <c r="AU18" s="683">
        <f t="shared" si="15"/>
        <v>0</v>
      </c>
      <c r="AV18" s="690">
        <f t="shared" si="16"/>
        <v>5.0384660289409542</v>
      </c>
      <c r="AW18" s="690">
        <f t="shared" si="17"/>
        <v>5.1246783331213477</v>
      </c>
      <c r="AX18" s="692" t="s">
        <v>453</v>
      </c>
      <c r="AY18" s="659"/>
      <c r="AZ18" s="659">
        <f t="shared" si="18"/>
        <v>66867.615371742795</v>
      </c>
      <c r="BA18" s="50">
        <f t="shared" si="19"/>
        <v>28217.60611496912</v>
      </c>
      <c r="BB18" s="50">
        <f t="shared" si="20"/>
        <v>57219.18233861732</v>
      </c>
      <c r="BC18" s="50">
        <f t="shared" si="21"/>
        <v>36230.445328461705</v>
      </c>
      <c r="BD18" s="50">
        <f t="shared" si="22"/>
        <v>12067.675906945022</v>
      </c>
      <c r="BE18" s="5">
        <f>+VLOOKUP(A18,'נתוני מים 2011 מעודכן'!$B:$S,5,0)/1000</f>
        <v>0</v>
      </c>
      <c r="BF18" s="5">
        <f t="shared" si="30"/>
        <v>0</v>
      </c>
      <c r="BG18" s="42">
        <f t="shared" si="31"/>
        <v>0</v>
      </c>
      <c r="BH18" s="1">
        <f t="shared" si="32"/>
        <v>0</v>
      </c>
      <c r="BI18" s="42">
        <f t="shared" si="33"/>
        <v>5.0384660289409542</v>
      </c>
      <c r="BJ18" s="483"/>
    </row>
    <row r="19" spans="1:62" s="719" customFormat="1" x14ac:dyDescent="0.2">
      <c r="A19" s="1030" t="s">
        <v>454</v>
      </c>
      <c r="B19" s="1031">
        <f>+HLOOKUP(A19,'תחשיב תעריף 2016'!$4:$67,48,0)/(1-P19)</f>
        <v>6.9055115370803017</v>
      </c>
      <c r="C19" s="1031">
        <f>+HLOOKUP(A19,'תחשיב תעריף 2016'!$4:$67,49,0)/(1-P19)</f>
        <v>2.9349531614457836</v>
      </c>
      <c r="D19" s="1031">
        <f>+HLOOKUP(A19,'תחשיב תעריף 2016'!$4:$67,50,0)/(1-P19)</f>
        <v>3.3585306877122534</v>
      </c>
      <c r="E19" s="1031">
        <f t="shared" si="0"/>
        <v>6.2934838491580365</v>
      </c>
      <c r="F19" s="1031">
        <f t="shared" si="1"/>
        <v>71964.691357449221</v>
      </c>
      <c r="G19" s="1032">
        <f>+HLOOKUP(A19,'תחשיב תעריף 2016'!$4:$67,12,0)</f>
        <v>19665.205999999998</v>
      </c>
      <c r="H19" s="674">
        <f>+(HLOOKUP(A19,'נתוני תאגידים'!$1:$539,358,0))*3.5*12</f>
        <v>11434.794</v>
      </c>
      <c r="I19" s="1032">
        <f t="shared" si="34"/>
        <v>8230.4119999999984</v>
      </c>
      <c r="J19" s="673">
        <f>+HLOOKUP(A19,'תחשיב תעריף 2016'!$4:$82,64,0)</f>
        <v>1.2428290241393927</v>
      </c>
      <c r="K19" s="673">
        <f>+HLOOKUP(A19,'תחשיב תעריף 2016'!$4:$82,57,0)</f>
        <v>5.1815150313378942</v>
      </c>
      <c r="L19" s="1031">
        <f t="shared" si="2"/>
        <v>56835.20502092415</v>
      </c>
      <c r="M19" s="1031">
        <f t="shared" si="3"/>
        <v>33560.584800781275</v>
      </c>
      <c r="N19" s="1031" t="e">
        <f>I19*#REF!</f>
        <v>#REF!</v>
      </c>
      <c r="O19" s="1031">
        <f t="shared" si="4"/>
        <v>71964.691357449221</v>
      </c>
      <c r="P19" s="1033">
        <f>+HLOOKUP(A19,'תחשיב תעריף 2016'!$4:$67,18,0)</f>
        <v>1.4999999999999999E-2</v>
      </c>
      <c r="Q19" s="1033">
        <f>+HLOOKUP(A19,'תחשיב תעריף 2016'!$4:$67,17,0)</f>
        <v>7.3569322179882657E-2</v>
      </c>
      <c r="R19" s="1031">
        <f t="shared" si="35"/>
        <v>10.561938969631239</v>
      </c>
      <c r="S19" s="673">
        <f t="shared" si="5"/>
        <v>2.0218932505810914</v>
      </c>
      <c r="T19" s="673">
        <f t="shared" si="6"/>
        <v>1.9615919958336736</v>
      </c>
      <c r="U19" s="1031">
        <f t="shared" si="7"/>
        <v>8.6003469737975653</v>
      </c>
      <c r="V19" s="1031">
        <f>+HLOOKUP(A19,'תחשיב תעריף 2016'!$4:$82,72,0)</f>
        <v>5.7014273131692921</v>
      </c>
      <c r="W19" s="676">
        <f>HLOOKUP(A19,'נתוני תאגידים'!$1:$473,356,0)</f>
        <v>827.69</v>
      </c>
      <c r="X19" s="1034">
        <f t="shared" si="23"/>
        <v>4719.0143728370913</v>
      </c>
      <c r="Y19" s="673">
        <f>+HLOOKUP(A19,'תחשיב תעריף 2016'!$4:$82,79,0)</f>
        <v>3.8830136579610688</v>
      </c>
      <c r="Z19" s="673">
        <f>HLOOKUP(A19,'נתוני תאגידים'!$1:$1000,958,0)</f>
        <v>882.53500000000008</v>
      </c>
      <c r="AA19" s="1035">
        <f t="shared" si="8"/>
        <v>9.0599580008815455</v>
      </c>
      <c r="AB19" s="1030">
        <f t="shared" si="24"/>
        <v>7995.7300343079951</v>
      </c>
      <c r="AC19" s="1031">
        <f t="shared" si="25"/>
        <v>3.1945428434124894</v>
      </c>
      <c r="AD19" s="1032">
        <f t="shared" si="26"/>
        <v>2819.2958683110414</v>
      </c>
      <c r="AE19" s="1034">
        <f t="shared" si="27"/>
        <v>33784.446947633922</v>
      </c>
      <c r="AF19" s="1034">
        <f t="shared" si="9"/>
        <v>20492.895999999997</v>
      </c>
      <c r="AG19" s="1034">
        <f t="shared" si="36"/>
        <v>36603.742815944963</v>
      </c>
      <c r="AH19" s="1036">
        <f t="shared" si="37"/>
        <v>6520.1869999999981</v>
      </c>
      <c r="AI19" s="1034">
        <f>+AG19/(AH19+Z19)</f>
        <v>4.944632908806379</v>
      </c>
      <c r="AJ19" s="1037">
        <f t="shared" si="29"/>
        <v>0.95428323162263395</v>
      </c>
      <c r="AK19" s="1037">
        <f t="shared" si="10"/>
        <v>66923.474681543477</v>
      </c>
      <c r="AL19" s="1037">
        <f t="shared" si="11"/>
        <v>1.999926468875258</v>
      </c>
      <c r="AM19" s="1035">
        <v>2.8374677533913686</v>
      </c>
      <c r="AN19" s="1035">
        <v>3.156366660536317</v>
      </c>
      <c r="AO19" s="1035">
        <f t="shared" si="12"/>
        <v>-0.83754128451611054</v>
      </c>
      <c r="AP19" s="1037" t="e">
        <f>+#REF!-AN19</f>
        <v>#REF!</v>
      </c>
      <c r="AQ19" s="1035"/>
      <c r="AR19" s="1038">
        <v>928.85599999999999</v>
      </c>
      <c r="AS19" s="1037">
        <f t="shared" si="13"/>
        <v>1.2428290241393927</v>
      </c>
      <c r="AT19" s="1037">
        <f t="shared" si="14"/>
        <v>0</v>
      </c>
      <c r="AU19" s="1030">
        <f t="shared" si="15"/>
        <v>0</v>
      </c>
      <c r="AV19" s="679">
        <f t="shared" si="16"/>
        <v>4.944632908806379</v>
      </c>
      <c r="AW19" s="748">
        <f t="shared" si="17"/>
        <v>5.1815150313378942</v>
      </c>
      <c r="AX19" s="1039" t="s">
        <v>995</v>
      </c>
      <c r="AY19" s="1040"/>
      <c r="AZ19" s="1041">
        <f t="shared" si="18"/>
        <v>66046.197831183119</v>
      </c>
      <c r="BA19" s="1027">
        <f t="shared" si="19"/>
        <v>33560.584800781275</v>
      </c>
      <c r="BB19" s="1027">
        <f t="shared" si="20"/>
        <v>56835.20502092415</v>
      </c>
      <c r="BC19" s="1027">
        <f t="shared" si="21"/>
        <v>32239.931211771527</v>
      </c>
      <c r="BD19" s="1027">
        <f t="shared" si="22"/>
        <v>14211.493868254982</v>
      </c>
      <c r="BE19" s="1028">
        <f>+VLOOKUP(A19,'נתוני מים 2011 מעודכן'!$B:$S,5,0)/1000</f>
        <v>7952.2560000000003</v>
      </c>
      <c r="BF19" s="1028" t="str">
        <f t="shared" si="30"/>
        <v>מפיק ארצי</v>
      </c>
      <c r="BG19" s="1029">
        <f t="shared" si="31"/>
        <v>0</v>
      </c>
      <c r="BH19" s="719">
        <f t="shared" si="32"/>
        <v>0</v>
      </c>
      <c r="BI19" s="1029">
        <f t="shared" si="33"/>
        <v>4.944632908806379</v>
      </c>
      <c r="BJ19" s="483"/>
    </row>
    <row r="20" spans="1:62" x14ac:dyDescent="0.2">
      <c r="A20" s="683" t="s">
        <v>455</v>
      </c>
      <c r="B20" s="657">
        <f>+HLOOKUP(A20,'תחשיב תעריף 2016'!$4:$67,48,0)/(1-P20)</f>
        <v>7.43376206797564</v>
      </c>
      <c r="C20" s="657">
        <f>+HLOOKUP(A20,'תחשיב תעריף 2016'!$4:$67,49,0)/(1-P20)</f>
        <v>3.4632036923411222</v>
      </c>
      <c r="D20" s="684">
        <f>+HLOOKUP(A20,'תחשיב תעריף 2016'!$4:$67,50,0)/(1-P20)</f>
        <v>2.593253003898663</v>
      </c>
      <c r="E20" s="684">
        <f t="shared" si="0"/>
        <v>6.0564566962397848</v>
      </c>
      <c r="F20" s="684">
        <f t="shared" si="1"/>
        <v>61218.494704804245</v>
      </c>
      <c r="G20" s="685">
        <f>+HLOOKUP(A20,'תחשיב תעריף 2016'!$4:$67,12,0)</f>
        <v>19849.735000000001</v>
      </c>
      <c r="H20" s="685">
        <f>+(HLOOKUP(A20,'נתוני תאגידים'!$1:$539,358,0))*3.5*12</f>
        <v>10107.972</v>
      </c>
      <c r="I20" s="685">
        <f t="shared" si="34"/>
        <v>9741.7630000000008</v>
      </c>
      <c r="J20" s="684">
        <f>+HLOOKUP(A20,'תחשיב תעריף 2016'!$4:$82,64,0)</f>
        <v>1.4663378412412185</v>
      </c>
      <c r="K20" s="684">
        <f>+HLOOKUP(A20,'תחשיב תעריף 2016'!$4:$82,57,0)</f>
        <v>5.4050238484397193</v>
      </c>
      <c r="L20" s="684">
        <f t="shared" si="2"/>
        <v>72417.948264608582</v>
      </c>
      <c r="M20" s="684">
        <f t="shared" si="3"/>
        <v>35005.965952480678</v>
      </c>
      <c r="N20" s="684" t="e">
        <f>I20*#REF!</f>
        <v>#REF!</v>
      </c>
      <c r="O20" s="684">
        <f t="shared" si="4"/>
        <v>61218.494704804245</v>
      </c>
      <c r="P20" s="686">
        <f>+HLOOKUP(A20,'תחשיב תעריף 2016'!$4:$67,18,0)</f>
        <v>1.4999999999999999E-2</v>
      </c>
      <c r="Q20" s="686">
        <f>+HLOOKUP(A20,'תחשיב תעריף 2016'!$4:$67,17,0)</f>
        <v>5.9822655824637132E-2</v>
      </c>
      <c r="R20" s="684">
        <f t="shared" si="35"/>
        <v>10.561938969631239</v>
      </c>
      <c r="S20" s="684">
        <f t="shared" si="5"/>
        <v>2.5636621172928566</v>
      </c>
      <c r="T20" s="684">
        <f t="shared" si="6"/>
        <v>2.503360862545438</v>
      </c>
      <c r="U20" s="684">
        <f t="shared" si="7"/>
        <v>8.0585781070858005</v>
      </c>
      <c r="V20" s="684">
        <f>+HLOOKUP(A20,'תחשיב תעריף 2016'!$4:$82,72,0)</f>
        <v>6.2217540861011997</v>
      </c>
      <c r="W20" s="687">
        <f>HLOOKUP(A20,'נתוני תאגידים'!$1:$473,356,0)</f>
        <v>1376.9939999999999</v>
      </c>
      <c r="X20" s="687">
        <f t="shared" si="23"/>
        <v>8567.3180460368349</v>
      </c>
      <c r="Y20" s="690">
        <f>+HLOOKUP(A20,'תחשיב תעריף 2016'!$4:$82,79,0)</f>
        <v>3.3527239565065083</v>
      </c>
      <c r="Z20" s="690">
        <f>HLOOKUP(A20,'נתוני תאגידים'!$1:$1000,958,0)</f>
        <v>781.22799999999995</v>
      </c>
      <c r="AA20" s="688">
        <f t="shared" si="8"/>
        <v>8.8150070899998632</v>
      </c>
      <c r="AB20" s="683">
        <f t="shared" si="24"/>
        <v>6886.5303589064124</v>
      </c>
      <c r="AC20" s="684">
        <f t="shared" si="25"/>
        <v>3.4295308257715194</v>
      </c>
      <c r="AD20" s="685">
        <f>+AC20*(Z20)</f>
        <v>2679.2455079558322</v>
      </c>
      <c r="AE20" s="687">
        <f t="shared" si="27"/>
        <v>40989.219960620401</v>
      </c>
      <c r="AF20" s="687">
        <f t="shared" si="9"/>
        <v>21226.728999999999</v>
      </c>
      <c r="AG20" s="687">
        <f t="shared" si="36"/>
        <v>43668.465468576236</v>
      </c>
      <c r="AH20" s="689">
        <f t="shared" si="37"/>
        <v>7583.5410000000002</v>
      </c>
      <c r="AI20" s="690">
        <f>+AG20/(AH20+Z20)</f>
        <v>5.2205225832986226</v>
      </c>
      <c r="AJ20" s="690">
        <f t="shared" si="29"/>
        <v>0.96586485641606246</v>
      </c>
      <c r="AK20" s="690">
        <f t="shared" si="10"/>
        <v>76040.279905176722</v>
      </c>
      <c r="AL20" s="690">
        <f t="shared" si="11"/>
        <v>2.5302161703298185</v>
      </c>
      <c r="AM20" s="688">
        <v>3.0052541636426091</v>
      </c>
      <c r="AN20" s="688">
        <v>3.3241530707875575</v>
      </c>
      <c r="AO20" s="688">
        <f t="shared" si="12"/>
        <v>-0.47503799331279062</v>
      </c>
      <c r="AP20" s="690" t="e">
        <f>+#REF!-AN20</f>
        <v>#REF!</v>
      </c>
      <c r="AQ20" s="688"/>
      <c r="AR20" s="691">
        <v>809.48</v>
      </c>
      <c r="AS20" s="690">
        <f t="shared" si="13"/>
        <v>1.4663378412412185</v>
      </c>
      <c r="AT20" s="690">
        <f t="shared" si="14"/>
        <v>0</v>
      </c>
      <c r="AU20" s="683">
        <f t="shared" si="15"/>
        <v>0</v>
      </c>
      <c r="AV20" s="690">
        <f t="shared" si="16"/>
        <v>5.2205225832986226</v>
      </c>
      <c r="AW20" s="690">
        <f t="shared" si="17"/>
        <v>5.4050238484397193</v>
      </c>
      <c r="AX20" s="692" t="s">
        <v>996</v>
      </c>
      <c r="AY20" s="659"/>
      <c r="AZ20" s="659">
        <f t="shared" si="18"/>
        <v>51475.384915342431</v>
      </c>
      <c r="BA20" s="50">
        <f t="shared" si="19"/>
        <v>35005.965952480678</v>
      </c>
      <c r="BB20" s="50">
        <f t="shared" si="20"/>
        <v>72417.948264608582</v>
      </c>
      <c r="BC20" s="50">
        <f t="shared" si="21"/>
        <v>39590.047051871021</v>
      </c>
      <c r="BD20" s="50">
        <f t="shared" si="22"/>
        <v>14821.701841806682</v>
      </c>
      <c r="BE20" s="5">
        <f>+VLOOKUP(A20,'נתוני מים 2011 מעודכן'!$B:$S,5,0)/1000</f>
        <v>10884.041999999999</v>
      </c>
      <c r="BF20" s="5" t="str">
        <f t="shared" si="30"/>
        <v>מפיק ארצי</v>
      </c>
      <c r="BG20" s="42">
        <f t="shared" si="31"/>
        <v>0</v>
      </c>
      <c r="BH20" s="1">
        <f t="shared" si="32"/>
        <v>0</v>
      </c>
      <c r="BI20" s="42">
        <f t="shared" si="33"/>
        <v>5.2205225832986226</v>
      </c>
      <c r="BJ20" s="483"/>
    </row>
    <row r="21" spans="1:62" x14ac:dyDescent="0.2">
      <c r="A21" s="671" t="s">
        <v>456</v>
      </c>
      <c r="B21" s="673">
        <f>+HLOOKUP(A21,'תחשיב תעריף 2016'!$4:$67,48,0)/(1-P21)</f>
        <v>6.7745773665954987</v>
      </c>
      <c r="C21" s="673">
        <f>+HLOOKUP(A21,'תחשיב תעריף 2016'!$4:$67,49,0)/(1-P21)</f>
        <v>2.8040189909609814</v>
      </c>
      <c r="D21" s="673">
        <f>+HLOOKUP(A21,'תחשיב תעריף 2016'!$4:$67,50,0)/(1-P21)</f>
        <v>3.6711287552471807</v>
      </c>
      <c r="E21" s="673">
        <f t="shared" si="0"/>
        <v>6.4751477462081617</v>
      </c>
      <c r="F21" s="673">
        <f t="shared" si="1"/>
        <v>13311.168426607996</v>
      </c>
      <c r="G21" s="674">
        <f>+HLOOKUP(A21,'תחשיב תעריף 2016'!$4:$67,12,0)</f>
        <v>11081.690999999999</v>
      </c>
      <c r="H21" s="674">
        <f>+(HLOOKUP(A21,'נתוני תאגידים'!$1:$539,358,0))*3.5*12</f>
        <v>2055.732</v>
      </c>
      <c r="I21" s="674">
        <f t="shared" si="34"/>
        <v>9025.9589999999989</v>
      </c>
      <c r="J21" s="673">
        <f>+HLOOKUP(A21,'תחשיב תעריף 2016'!$4:$82,64,0)</f>
        <v>1.0774554424863565</v>
      </c>
      <c r="K21" s="673">
        <f>+HLOOKUP(A21,'תחשיב תעריף 2016'!$4:$82,57,0)</f>
        <v>5.0161414496848584</v>
      </c>
      <c r="L21" s="673">
        <f t="shared" si="2"/>
        <v>61147.057553218932</v>
      </c>
      <c r="M21" s="673">
        <f t="shared" si="3"/>
        <v>5764.3115683262004</v>
      </c>
      <c r="N21" s="673" t="e">
        <f>I21*#REF!</f>
        <v>#REF!</v>
      </c>
      <c r="O21" s="673">
        <f t="shared" si="4"/>
        <v>13311.168426607996</v>
      </c>
      <c r="P21" s="675">
        <f>+HLOOKUP(A21,'תחשיב תעריף 2016'!$4:$67,18,0)</f>
        <v>1.4999999999999999E-2</v>
      </c>
      <c r="Q21" s="675">
        <f>+HLOOKUP(A21,'תחשיב תעריף 2016'!$4:$67,17,0)</f>
        <v>7.0000000000000007E-2</v>
      </c>
      <c r="R21" s="673">
        <f t="shared" si="35"/>
        <v>10.561938969631239</v>
      </c>
      <c r="S21" s="673">
        <f t="shared" si="5"/>
        <v>1.8746687646991997</v>
      </c>
      <c r="T21" s="673">
        <f t="shared" si="6"/>
        <v>1.814367509951782</v>
      </c>
      <c r="U21" s="673">
        <f t="shared" si="7"/>
        <v>8.747571459679456</v>
      </c>
      <c r="V21" s="673">
        <f>+HLOOKUP(A21,'תחשיב תעריף 2016'!$4:$82,72,0)</f>
        <v>5.5724571552417608</v>
      </c>
      <c r="W21" s="676">
        <f>HLOOKUP(A21,'נתוני תאגידים'!$1:$473,356,0)</f>
        <v>1297.3019999999999</v>
      </c>
      <c r="X21" s="676">
        <f t="shared" si="23"/>
        <v>7229.1598124094462</v>
      </c>
      <c r="Y21" s="673">
        <f>+HLOOKUP(A21,'תחשיב תעריף 2016'!$4:$82,79,0)</f>
        <v>4.025549172829936</v>
      </c>
      <c r="Z21" s="673">
        <f>HLOOKUP(A21,'נתוני תאגידים'!$1:$1000,958,0)</f>
        <v>337.57499999999999</v>
      </c>
      <c r="AA21" s="677">
        <f t="shared" si="8"/>
        <v>9.2435859104889424</v>
      </c>
      <c r="AB21" s="671">
        <f t="shared" si="24"/>
        <v>3120.4035137333044</v>
      </c>
      <c r="AC21" s="673">
        <f t="shared" si="25"/>
        <v>3.0244802907464292</v>
      </c>
      <c r="AD21" s="674">
        <f t="shared" si="26"/>
        <v>1020.9889341487258</v>
      </c>
      <c r="AE21" s="676">
        <f t="shared" si="27"/>
        <v>37074.712778219662</v>
      </c>
      <c r="AF21" s="676">
        <f t="shared" si="9"/>
        <v>12378.992999999999</v>
      </c>
      <c r="AG21" s="676">
        <f t="shared" si="36"/>
        <v>38095.701712368391</v>
      </c>
      <c r="AH21" s="678">
        <f t="shared" si="37"/>
        <v>7391.0819999999994</v>
      </c>
      <c r="AI21" s="679">
        <f t="shared" si="28"/>
        <v>4.9291489727605189</v>
      </c>
      <c r="AJ21" s="679">
        <f t="shared" si="29"/>
        <v>0.9826574912615742</v>
      </c>
      <c r="AK21" s="679">
        <f t="shared" si="10"/>
        <v>77205.070494441228</v>
      </c>
      <c r="AL21" s="679">
        <f t="shared" si="11"/>
        <v>1.8573909540063909</v>
      </c>
      <c r="AM21" s="677">
        <v>2.463182970229207</v>
      </c>
      <c r="AN21" s="677">
        <v>2.7820818773741554</v>
      </c>
      <c r="AO21" s="677">
        <f t="shared" si="12"/>
        <v>-0.60579201622281609</v>
      </c>
      <c r="AP21" s="679" t="e">
        <f>+#REF!-AN21</f>
        <v>#REF!</v>
      </c>
      <c r="AQ21" s="677"/>
      <c r="AR21" s="680">
        <v>288.46199999999999</v>
      </c>
      <c r="AS21" s="679">
        <f t="shared" si="13"/>
        <v>1.0774554424863565</v>
      </c>
      <c r="AT21" s="679">
        <f t="shared" si="14"/>
        <v>0</v>
      </c>
      <c r="AU21" s="671">
        <f t="shared" si="15"/>
        <v>0</v>
      </c>
      <c r="AV21" s="679">
        <f t="shared" si="16"/>
        <v>4.9291489727605189</v>
      </c>
      <c r="AW21" s="748">
        <f t="shared" si="17"/>
        <v>5.0161414496848584</v>
      </c>
      <c r="AX21" s="693" t="s">
        <v>456</v>
      </c>
      <c r="AY21" s="658"/>
      <c r="AZ21" s="749">
        <f t="shared" si="18"/>
        <v>40682.314486863885</v>
      </c>
      <c r="BA21" s="50">
        <f t="shared" si="19"/>
        <v>5764.3115683262004</v>
      </c>
      <c r="BB21" s="50">
        <f t="shared" si="20"/>
        <v>61147.057553218932</v>
      </c>
      <c r="BC21" s="50">
        <f t="shared" si="21"/>
        <v>36431.744247888761</v>
      </c>
      <c r="BD21" s="50">
        <f t="shared" si="22"/>
        <v>2214.9596316933626</v>
      </c>
      <c r="BE21" s="5">
        <f>+VLOOKUP(A21,'נתוני מים 2011 מעודכן'!$B:$S,5,0)/1000</f>
        <v>0</v>
      </c>
      <c r="BF21" s="5">
        <f t="shared" si="30"/>
        <v>0</v>
      </c>
      <c r="BG21" s="42">
        <f t="shared" si="31"/>
        <v>0</v>
      </c>
      <c r="BH21" s="1">
        <f t="shared" si="32"/>
        <v>0</v>
      </c>
      <c r="BI21" s="42">
        <f t="shared" si="33"/>
        <v>4.9291489727605189</v>
      </c>
      <c r="BJ21" s="483"/>
    </row>
    <row r="22" spans="1:62" x14ac:dyDescent="0.2">
      <c r="A22" s="683" t="s">
        <v>457</v>
      </c>
      <c r="B22" s="657">
        <f>+HLOOKUP(A22,'תחשיב תעריף 2016'!$4:$67,48,0)/(1-P22)</f>
        <v>8.7118270843652912</v>
      </c>
      <c r="C22" s="657">
        <f>+HLOOKUP(A22,'תחשיב תעריף 2016'!$4:$67,49,0)/(1-P22)</f>
        <v>4.5779125758997194</v>
      </c>
      <c r="D22" s="684">
        <f>+HLOOKUP(A22,'תחשיב תעריף 2016'!$4:$67,50,0)/(1-P22)</f>
        <v>4.7462588598137545</v>
      </c>
      <c r="E22" s="684">
        <f t="shared" si="0"/>
        <v>9.324171435713474</v>
      </c>
      <c r="F22" s="684">
        <f t="shared" si="1"/>
        <v>45568.736322104334</v>
      </c>
      <c r="G22" s="685">
        <f>+HLOOKUP(A22,'תחשיב תעריף 2016'!$4:$67,12,0)</f>
        <v>8586.9550000000017</v>
      </c>
      <c r="H22" s="685">
        <f>+(HLOOKUP(A22,'נתוני תאגידים'!$1:$539,358,0))*3.5*12</f>
        <v>4887.1620000000003</v>
      </c>
      <c r="I22" s="685">
        <f t="shared" si="34"/>
        <v>3699.7930000000015</v>
      </c>
      <c r="J22" s="684">
        <f>+HLOOKUP(A22,'תחשיב תעריף 2016'!$4:$82,64,0)</f>
        <v>-1.3046320493854182</v>
      </c>
      <c r="K22" s="684">
        <f>+HLOOKUP(A22,'תחשיב תעריף 2016'!$4:$82,57,0)</f>
        <v>2.4784124917754724</v>
      </c>
      <c r="L22" s="684">
        <f t="shared" si="2"/>
        <v>32231.956863945128</v>
      </c>
      <c r="M22" s="684">
        <f t="shared" si="3"/>
        <v>22373.000380259225</v>
      </c>
      <c r="N22" s="684" t="e">
        <f>I22*#REF!</f>
        <v>#REF!</v>
      </c>
      <c r="O22" s="684">
        <f t="shared" si="4"/>
        <v>45568.736322104334</v>
      </c>
      <c r="P22" s="686">
        <f>+HLOOKUP(A22,'תחשיב תעריף 2016'!$4:$67,18,0)</f>
        <v>5.392334747346135E-2</v>
      </c>
      <c r="Q22" s="686">
        <f>+HLOOKUP(A22,'תחשיב תעריף 2016'!$4:$67,17,0)</f>
        <v>0.11261240748545284</v>
      </c>
      <c r="R22" s="684">
        <f t="shared" si="35"/>
        <v>10.561938969631239</v>
      </c>
      <c r="S22" s="684">
        <f t="shared" si="5"/>
        <v>5.1918996674274309</v>
      </c>
      <c r="T22" s="684">
        <f t="shared" si="6"/>
        <v>1.2666928478715649</v>
      </c>
      <c r="U22" s="684">
        <f t="shared" si="7"/>
        <v>9.2952461217596749</v>
      </c>
      <c r="V22" s="684">
        <f>+HLOOKUP(A22,'תחשיב תעריף 2016'!$4:$82,72,0)</f>
        <v>7.1415546545115447</v>
      </c>
      <c r="W22" s="687">
        <f>HLOOKUP(A22,'נתוני תאגידים'!$1:$473,356,0)</f>
        <v>141.19199999999998</v>
      </c>
      <c r="X22" s="687">
        <f t="shared" si="23"/>
        <v>1008.3303847797939</v>
      </c>
      <c r="Y22" s="690">
        <f>+HLOOKUP(A22,'תחשיב תעריף 2016'!$4:$82,79,0)</f>
        <v>2.5441200376616875</v>
      </c>
      <c r="Z22" s="690">
        <f>HLOOKUP(A22,'נתוני תאגידים'!$1:$1000,958,0)</f>
        <v>366.58199999999999</v>
      </c>
      <c r="AA22" s="688">
        <f t="shared" si="8"/>
        <v>11.887813514325298</v>
      </c>
      <c r="AB22" s="683">
        <f t="shared" si="24"/>
        <v>4357.8584537083962</v>
      </c>
      <c r="AC22" s="684">
        <f t="shared" si="25"/>
        <v>0.46792105101160697</v>
      </c>
      <c r="AD22" s="685">
        <f t="shared" si="26"/>
        <v>171.5314347219369</v>
      </c>
      <c r="AE22" s="687">
        <f t="shared" si="27"/>
        <v>7911.1397635846552</v>
      </c>
      <c r="AF22" s="687">
        <f t="shared" si="9"/>
        <v>8728.1470000000008</v>
      </c>
      <c r="AG22" s="687">
        <f t="shared" si="36"/>
        <v>8082.6711983065925</v>
      </c>
      <c r="AH22" s="689">
        <f t="shared" si="37"/>
        <v>3192.0190000000016</v>
      </c>
      <c r="AI22" s="687">
        <f t="shared" si="28"/>
        <v>2.2713058301019386</v>
      </c>
      <c r="AJ22" s="690">
        <f t="shared" si="29"/>
        <v>0.91643575782449038</v>
      </c>
      <c r="AK22" s="690">
        <f t="shared" si="10"/>
        <v>42958.466037452476</v>
      </c>
      <c r="AL22" s="690">
        <f t="shared" si="11"/>
        <v>3.3388200891746393</v>
      </c>
      <c r="AM22" s="688">
        <v>3.4828868328824716</v>
      </c>
      <c r="AN22" s="688">
        <v>3.80178574002742</v>
      </c>
      <c r="AO22" s="688">
        <f t="shared" si="12"/>
        <v>-0.14406674370783223</v>
      </c>
      <c r="AP22" s="690" t="e">
        <f>+#REF!-AN22</f>
        <v>#REF!</v>
      </c>
      <c r="AQ22" s="688"/>
      <c r="AR22" s="691">
        <v>237.01588833842879</v>
      </c>
      <c r="AS22" s="690">
        <f t="shared" si="13"/>
        <v>0.55000000000000004</v>
      </c>
      <c r="AT22" s="690">
        <f t="shared" si="14"/>
        <v>1.8546320493854183</v>
      </c>
      <c r="AU22" s="683">
        <f t="shared" si="15"/>
        <v>1.8546320493854183</v>
      </c>
      <c r="AV22" s="690">
        <f t="shared" si="16"/>
        <v>0.55000000000000004</v>
      </c>
      <c r="AW22" s="690">
        <f t="shared" si="17"/>
        <v>0.62378044239005415</v>
      </c>
      <c r="AX22" s="692" t="s">
        <v>457</v>
      </c>
      <c r="AY22" s="659"/>
      <c r="AZ22" s="659">
        <f t="shared" si="18"/>
        <v>40755.911247572025</v>
      </c>
      <c r="BA22" s="50">
        <f t="shared" si="19"/>
        <v>22373.000380259225</v>
      </c>
      <c r="BB22" s="50">
        <f t="shared" si="20"/>
        <v>32231.956863945128</v>
      </c>
      <c r="BC22" s="50">
        <f t="shared" si="21"/>
        <v>1755.610450000001</v>
      </c>
      <c r="BD22" s="50">
        <f t="shared" si="22"/>
        <v>2687.9391000000005</v>
      </c>
      <c r="BE22" s="5">
        <f>+VLOOKUP(A22,'נתוני מים 2011 מעודכן'!$B:$S,5,0)/1000</f>
        <v>0</v>
      </c>
      <c r="BF22" s="5">
        <f t="shared" si="30"/>
        <v>0</v>
      </c>
      <c r="BG22" s="42">
        <f t="shared" si="31"/>
        <v>0</v>
      </c>
      <c r="BH22" s="1">
        <f t="shared" si="32"/>
        <v>0</v>
      </c>
      <c r="BI22" s="42">
        <f t="shared" si="33"/>
        <v>0.55000000000000004</v>
      </c>
      <c r="BJ22" s="483"/>
    </row>
    <row r="23" spans="1:62" s="719" customFormat="1" x14ac:dyDescent="0.2">
      <c r="A23" s="1030" t="s">
        <v>458</v>
      </c>
      <c r="B23" s="1031">
        <f>+HLOOKUP(A23,'תחשיב תעריף 2016'!$4:$67,48,0)/(1-P23)</f>
        <v>7.703994737465103</v>
      </c>
      <c r="C23" s="1031">
        <f>+HLOOKUP(A23,'תחשיב תעריף 2016'!$4:$67,49,0)/(1-P23)</f>
        <v>3.5362729260888788</v>
      </c>
      <c r="D23" s="1031">
        <f>+HLOOKUP(A23,'תחשיב תעריף 2016'!$4:$67,50,0)/(1-P23)</f>
        <v>2.9988458685106769</v>
      </c>
      <c r="E23" s="1031">
        <f t="shared" si="0"/>
        <v>6.5351187945995557</v>
      </c>
      <c r="F23" s="1031">
        <f t="shared" si="1"/>
        <v>34695.011031716997</v>
      </c>
      <c r="G23" s="1032">
        <f>+HLOOKUP(A23,'תחשיב תעריף 2016'!$4:$67,12,0)</f>
        <v>8741.3060000000005</v>
      </c>
      <c r="H23" s="674">
        <f>+(HLOOKUP(A23,'נתוני תאגידים'!$1:$539,358,0))*3.5*12</f>
        <v>5309.0100000000011</v>
      </c>
      <c r="I23" s="1032">
        <f t="shared" si="34"/>
        <v>3432.2959999999994</v>
      </c>
      <c r="J23" s="673">
        <f>+HLOOKUP(A23,'תחשיב תעריף 2016'!$4:$82,64,0)</f>
        <v>1.0404944211059219</v>
      </c>
      <c r="K23" s="673">
        <f>+HLOOKUP(A23,'תחשיב תעריף 2016'!$4:$82,57,0)</f>
        <v>4.7928520454053247</v>
      </c>
      <c r="L23" s="1031">
        <f t="shared" si="2"/>
        <v>26442.390321422517</v>
      </c>
      <c r="M23" s="1031">
        <f t="shared" si="3"/>
        <v>18774.108327335121</v>
      </c>
      <c r="N23" s="1031" t="e">
        <f>I23*#REF!</f>
        <v>#REF!</v>
      </c>
      <c r="O23" s="1031">
        <f t="shared" si="4"/>
        <v>34695.011031716997</v>
      </c>
      <c r="P23" s="1033">
        <f>+HLOOKUP(A23,'תחשיב תעריף 2016'!$4:$67,18,0)</f>
        <v>6.1597636069536964E-2</v>
      </c>
      <c r="Q23" s="1033">
        <f>+HLOOKUP(A23,'תחשיב תעריף 2016'!$4:$67,17,0)</f>
        <v>0.11511121271647599</v>
      </c>
      <c r="R23" s="1031">
        <f t="shared" si="35"/>
        <v>10.561938969631239</v>
      </c>
      <c r="S23" s="673">
        <f t="shared" si="5"/>
        <v>2.7702410557152373</v>
      </c>
      <c r="T23" s="673">
        <f t="shared" si="6"/>
        <v>2.5236114180687208</v>
      </c>
      <c r="U23" s="1031">
        <f t="shared" si="7"/>
        <v>8.0383275515625172</v>
      </c>
      <c r="V23" s="1031">
        <f>+HLOOKUP(A23,'תחשיב תעריף 2016'!$4:$82,72,0)</f>
        <v>6.1289453224902939</v>
      </c>
      <c r="W23" s="676">
        <f>HLOOKUP(A23,'נתוני תאגידים'!$1:$473,356,0)</f>
        <v>500.80500000000001</v>
      </c>
      <c r="X23" s="1034">
        <f t="shared" si="23"/>
        <v>3069.4064622297515</v>
      </c>
      <c r="Y23" s="673">
        <f>+HLOOKUP(A23,'תחשיב תעריף 2016'!$4:$82,79,0)</f>
        <v>3.2182501096862417</v>
      </c>
      <c r="Z23" s="673">
        <f>HLOOKUP(A23,'נתוני תאגידים'!$1:$1000,958,0)</f>
        <v>227.24599999999998</v>
      </c>
      <c r="AA23" s="1035">
        <f t="shared" si="8"/>
        <v>9.1277911910009699</v>
      </c>
      <c r="AB23" s="1030">
        <f t="shared" si="24"/>
        <v>2074.2540369902063</v>
      </c>
      <c r="AC23" s="1031">
        <f t="shared" si="25"/>
        <v>2.8894641143392388</v>
      </c>
      <c r="AD23" s="1032">
        <f t="shared" si="26"/>
        <v>656.61916212713459</v>
      </c>
      <c r="AE23" s="1034">
        <f t="shared" si="27"/>
        <v>12961.04617952712</v>
      </c>
      <c r="AF23" s="1034">
        <f t="shared" si="9"/>
        <v>9242.1110000000008</v>
      </c>
      <c r="AG23" s="1034">
        <f t="shared" si="36"/>
        <v>13617.665341654254</v>
      </c>
      <c r="AH23" s="1036">
        <f>+I23-W23-Z23</f>
        <v>2704.2449999999994</v>
      </c>
      <c r="AI23" s="1034">
        <f>+AG23/(AH23+Z23)</f>
        <v>4.6453034792377856</v>
      </c>
      <c r="AJ23" s="1037">
        <f>+AI23/K23</f>
        <v>0.96921487148576035</v>
      </c>
      <c r="AK23" s="1037">
        <f t="shared" si="10"/>
        <v>28943.103194506966</v>
      </c>
      <c r="AL23" s="1037">
        <f t="shared" si="11"/>
        <v>2.6646900171500851</v>
      </c>
      <c r="AM23" s="1035">
        <v>3.1937963920255128</v>
      </c>
      <c r="AN23" s="1035">
        <v>3.5126952991704612</v>
      </c>
      <c r="AO23" s="1035">
        <f t="shared" si="12"/>
        <v>-0.52910637487542767</v>
      </c>
      <c r="AP23" s="1037" t="e">
        <f>+#REF!-AN23</f>
        <v>#REF!</v>
      </c>
      <c r="AQ23" s="1035"/>
      <c r="AR23" s="1038">
        <v>44.279000000000003</v>
      </c>
      <c r="AS23" s="1037">
        <f t="shared" si="13"/>
        <v>1.0404944211059219</v>
      </c>
      <c r="AT23" s="1037">
        <f t="shared" si="14"/>
        <v>0</v>
      </c>
      <c r="AU23" s="1030">
        <f t="shared" si="15"/>
        <v>0</v>
      </c>
      <c r="AV23" s="679">
        <f t="shared" si="16"/>
        <v>4.6453034792377856</v>
      </c>
      <c r="AW23" s="748">
        <f t="shared" si="17"/>
        <v>4.7928520454053247</v>
      </c>
      <c r="AX23" s="1039" t="s">
        <v>458</v>
      </c>
      <c r="AY23" s="1040"/>
      <c r="AZ23" s="1041">
        <f t="shared" si="18"/>
        <v>26213.829383487591</v>
      </c>
      <c r="BA23" s="1027">
        <f t="shared" si="19"/>
        <v>18774.108327335121</v>
      </c>
      <c r="BB23" s="1027">
        <f t="shared" si="20"/>
        <v>26442.390321422517</v>
      </c>
      <c r="BC23" s="1027">
        <f t="shared" si="21"/>
        <v>12562.038707211383</v>
      </c>
      <c r="BD23" s="1027">
        <f t="shared" si="22"/>
        <v>5523.995286595552</v>
      </c>
      <c r="BE23" s="1028">
        <f>+VLOOKUP(A23,'נתוני מים 2011 מעודכן'!$B:$S,5,0)/1000</f>
        <v>1761.9839999999999</v>
      </c>
      <c r="BF23" s="1028" t="str">
        <f t="shared" si="30"/>
        <v>מפיק ארצי</v>
      </c>
      <c r="BG23" s="1029">
        <f t="shared" si="31"/>
        <v>0</v>
      </c>
      <c r="BH23" s="719">
        <f t="shared" si="32"/>
        <v>0</v>
      </c>
      <c r="BI23" s="1029">
        <f>+IF((BG23+BH23)=0,AV23,$BG$1)</f>
        <v>4.6453034792377856</v>
      </c>
      <c r="BJ23" s="483"/>
    </row>
    <row r="24" spans="1:62" x14ac:dyDescent="0.2">
      <c r="A24" s="683" t="s">
        <v>257</v>
      </c>
      <c r="B24" s="657">
        <f>+HLOOKUP(A24,'תחשיב תעריף 2016'!$4:$67,48,0)/(1-P24)</f>
        <v>7.1586599561499114</v>
      </c>
      <c r="C24" s="657">
        <f>+HLOOKUP(A24,'תחשיב תעריף 2016'!$4:$67,49,0)/(1-P24)</f>
        <v>3.1881015805153936</v>
      </c>
      <c r="D24" s="684">
        <f>+HLOOKUP(A24,'תחשיב תעריף 2016'!$4:$67,50,0)/(1-P24)</f>
        <v>2.1949217365272169</v>
      </c>
      <c r="E24" s="684">
        <f t="shared" si="0"/>
        <v>5.3830233170426105</v>
      </c>
      <c r="F24" s="684">
        <f t="shared" si="1"/>
        <v>19662.784591094223</v>
      </c>
      <c r="G24" s="685">
        <f>+HLOOKUP(A24,'תחשיב תעריף 2016'!$4:$67,12,0)</f>
        <v>6495.7709999999997</v>
      </c>
      <c r="H24" s="685">
        <f>+(HLOOKUP(A24,'נתוני תאגידים'!$1:$539,358,0))*3.5*12</f>
        <v>3652.74</v>
      </c>
      <c r="I24" s="685">
        <f t="shared" si="34"/>
        <v>2843.0309999999999</v>
      </c>
      <c r="J24" s="684">
        <f>+HLOOKUP(A24,'תחשיב תעריף 2016'!$4:$82,64,0)</f>
        <v>2.0778960258234593</v>
      </c>
      <c r="K24" s="684">
        <f>+HLOOKUP(A24,'תחשיב תעריף 2016'!$4:$82,57,0)</f>
        <v>6.0165820330219617</v>
      </c>
      <c r="L24" s="684">
        <f t="shared" si="2"/>
        <v>20352.292173792837</v>
      </c>
      <c r="M24" s="684">
        <f t="shared" si="3"/>
        <v>11645.306167211798</v>
      </c>
      <c r="N24" s="684" t="e">
        <f>I24*#REF!</f>
        <v>#REF!</v>
      </c>
      <c r="O24" s="684">
        <f t="shared" si="4"/>
        <v>19662.784591094223</v>
      </c>
      <c r="P24" s="686">
        <f>+HLOOKUP(A24,'תחשיב תעריף 2016'!$4:$67,18,0)</f>
        <v>1.4999999999999999E-2</v>
      </c>
      <c r="Q24" s="686">
        <f>+HLOOKUP(A24,'תחשיב תעריף 2016'!$4:$67,17,0)</f>
        <v>7.0000000000000007E-2</v>
      </c>
      <c r="R24" s="684">
        <f t="shared" si="35"/>
        <v>10.561938969631239</v>
      </c>
      <c r="S24" s="684">
        <f t="shared" si="5"/>
        <v>2.3504352000820603</v>
      </c>
      <c r="T24" s="684">
        <f t="shared" si="6"/>
        <v>2.2901339453346434</v>
      </c>
      <c r="U24" s="684">
        <f t="shared" si="7"/>
        <v>8.2718050242965955</v>
      </c>
      <c r="V24" s="684">
        <f>+HLOOKUP(A24,'תחשיב תעריף 2016'!$4:$82,72,0)</f>
        <v>5.950778505952858</v>
      </c>
      <c r="W24" s="687">
        <f>HLOOKUP(A24,'נתוני תאגידים'!$1:$473,356,0)</f>
        <v>662.77300000000002</v>
      </c>
      <c r="X24" s="687">
        <f t="shared" si="23"/>
        <v>3944.0153227258938</v>
      </c>
      <c r="Y24" s="690">
        <f>+HLOOKUP(A24,'תחשיב תעריף 2016'!$4:$82,79,0)</f>
        <v>3.5719258427278757</v>
      </c>
      <c r="Z24" s="690">
        <f>HLOOKUP(A24,'נתוני תאגידים'!$1:$1000,958,0)</f>
        <v>325.93099999999998</v>
      </c>
      <c r="AA24" s="688">
        <f t="shared" si="8"/>
        <v>8.1457002424800748</v>
      </c>
      <c r="AB24" s="683">
        <f t="shared" si="24"/>
        <v>2654.936225731773</v>
      </c>
      <c r="AC24" s="684">
        <f t="shared" si="25"/>
        <v>4.0470639793643333</v>
      </c>
      <c r="AD24" s="685">
        <f t="shared" si="26"/>
        <v>1319.0636098581965</v>
      </c>
      <c r="AE24" s="687">
        <f t="shared" si="27"/>
        <v>11156.710511547513</v>
      </c>
      <c r="AF24" s="687">
        <f t="shared" si="9"/>
        <v>7158.5439999999999</v>
      </c>
      <c r="AG24" s="687">
        <f t="shared" si="36"/>
        <v>12475.77412140571</v>
      </c>
      <c r="AH24" s="689">
        <f t="shared" si="37"/>
        <v>1854.3269999999998</v>
      </c>
      <c r="AI24" s="687">
        <f t="shared" si="28"/>
        <v>5.7221549566178451</v>
      </c>
      <c r="AJ24" s="690">
        <f t="shared" si="29"/>
        <v>0.95106406348518879</v>
      </c>
      <c r="AK24" s="690">
        <f t="shared" si="10"/>
        <v>17344.599079436899</v>
      </c>
      <c r="AL24" s="690">
        <f t="shared" si="11"/>
        <v>2.3110142841084511</v>
      </c>
      <c r="AM24" s="688">
        <v>3.0786696465733345</v>
      </c>
      <c r="AN24" s="688">
        <v>3.3975685537182829</v>
      </c>
      <c r="AO24" s="688">
        <f t="shared" si="12"/>
        <v>-0.76765536246488342</v>
      </c>
      <c r="AP24" s="690" t="e">
        <f>+#REF!-AN24</f>
        <v>#REF!</v>
      </c>
      <c r="AQ24" s="688"/>
      <c r="AR24" s="691">
        <v>332.83800000000002</v>
      </c>
      <c r="AS24" s="690">
        <f t="shared" si="13"/>
        <v>2.0778960258234593</v>
      </c>
      <c r="AT24" s="690">
        <f t="shared" si="14"/>
        <v>0</v>
      </c>
      <c r="AU24" s="683">
        <f t="shared" si="15"/>
        <v>0</v>
      </c>
      <c r="AV24" s="690">
        <f t="shared" si="16"/>
        <v>5.7221549566178451</v>
      </c>
      <c r="AW24" s="690">
        <f t="shared" si="17"/>
        <v>6.0165820330219617</v>
      </c>
      <c r="AX24" s="692" t="s">
        <v>257</v>
      </c>
      <c r="AY24" s="659"/>
      <c r="AZ24" s="659">
        <f t="shared" si="18"/>
        <v>14257.708963403136</v>
      </c>
      <c r="BA24" s="50">
        <f t="shared" si="19"/>
        <v>11645.306167211798</v>
      </c>
      <c r="BB24" s="50">
        <f t="shared" si="20"/>
        <v>20352.292173792837</v>
      </c>
      <c r="BC24" s="50">
        <f t="shared" si="21"/>
        <v>10610.746434240298</v>
      </c>
      <c r="BD24" s="50">
        <f t="shared" si="22"/>
        <v>7590.0139293663824</v>
      </c>
      <c r="BE24" s="5">
        <f>+VLOOKUP(A24,'נתוני מים 2011 מעודכן'!$B:$S,5,0)/1000</f>
        <v>0</v>
      </c>
      <c r="BF24" s="5">
        <f t="shared" si="30"/>
        <v>0</v>
      </c>
      <c r="BG24" s="42">
        <f t="shared" si="31"/>
        <v>0</v>
      </c>
      <c r="BH24" s="1">
        <f t="shared" si="32"/>
        <v>0</v>
      </c>
      <c r="BI24" s="42">
        <f t="shared" si="33"/>
        <v>5.7221549566178451</v>
      </c>
      <c r="BJ24" s="483"/>
    </row>
    <row r="25" spans="1:62" x14ac:dyDescent="0.2">
      <c r="A25" s="671" t="s">
        <v>260</v>
      </c>
      <c r="B25" s="673">
        <f>+HLOOKUP(A25,'תחשיב תעריף 2016'!$4:$67,48,0)/(1-P25)</f>
        <v>7.4248892678974476</v>
      </c>
      <c r="C25" s="673">
        <f>+HLOOKUP(A25,'תחשיב תעריף 2016'!$4:$67,49,0)/(1-P25)</f>
        <v>3.4543308922629299</v>
      </c>
      <c r="D25" s="673">
        <f>+HLOOKUP(A25,'תחשיב תעריף 2016'!$4:$67,50,0)/(1-P25)</f>
        <v>4.6832152025030735</v>
      </c>
      <c r="E25" s="673">
        <f t="shared" si="0"/>
        <v>8.1375460947660034</v>
      </c>
      <c r="F25" s="673">
        <f t="shared" si="1"/>
        <v>13980.38556626894</v>
      </c>
      <c r="G25" s="674">
        <f>+HLOOKUP(A25,'תחשיב תעריף 2016'!$4:$67,12,0)</f>
        <v>3201.0769999999998</v>
      </c>
      <c r="H25" s="674">
        <f>+(HLOOKUP(A25,'נתוני תאגידים'!$1:$539,358,0))*3.5*12</f>
        <v>1718.0099999999998</v>
      </c>
      <c r="I25" s="674">
        <f t="shared" si="34"/>
        <v>1483.067</v>
      </c>
      <c r="J25" s="673">
        <f>+HLOOKUP(A25,'תחשיב תעריף 2016'!$4:$82,64,0)</f>
        <v>-0.42932716328032233</v>
      </c>
      <c r="K25" s="673">
        <f>+HLOOKUP(A25,'תחשיב תעריף 2016'!$4:$82,57,0)</f>
        <v>3.5093588439181791</v>
      </c>
      <c r="L25" s="673">
        <f t="shared" si="2"/>
        <v>11011.608251872864</v>
      </c>
      <c r="M25" s="673">
        <f t="shared" si="3"/>
        <v>5934.575016216635</v>
      </c>
      <c r="N25" s="673" t="e">
        <f>I25*#REF!</f>
        <v>#REF!</v>
      </c>
      <c r="O25" s="673">
        <f t="shared" si="4"/>
        <v>13980.38556626894</v>
      </c>
      <c r="P25" s="675">
        <f>+HLOOKUP(A25,'תחשיב תעריף 2016'!$4:$67,18,0)</f>
        <v>1.4999999999999999E-2</v>
      </c>
      <c r="Q25" s="675">
        <f>+HLOOKUP(A25,'תחשיב תעריף 2016'!$4:$67,17,0)</f>
        <v>8.0528526870038877E-2</v>
      </c>
      <c r="R25" s="673">
        <f t="shared" si="35"/>
        <v>10.561938969631239</v>
      </c>
      <c r="S25" s="673">
        <f t="shared" si="5"/>
        <v>3.3486920864903089</v>
      </c>
      <c r="T25" s="673">
        <f t="shared" si="6"/>
        <v>1.3297365051822458</v>
      </c>
      <c r="U25" s="673">
        <f t="shared" si="7"/>
        <v>9.2322024644489922</v>
      </c>
      <c r="V25" s="673">
        <f>+HLOOKUP(A25,'תחשיב תעריף 2016'!$4:$82,72,0)</f>
        <v>6.2130143780241802</v>
      </c>
      <c r="W25" s="676">
        <f>HLOOKUP(A25,'נתוני תאגידים'!$1:$473,356,0)</f>
        <v>248.11499999999998</v>
      </c>
      <c r="X25" s="676">
        <f t="shared" si="23"/>
        <v>1541.5420624034693</v>
      </c>
      <c r="Y25" s="673">
        <f>+HLOOKUP(A25,'תחשיב תעריף 2016'!$4:$82,79,0)</f>
        <v>3.5156717176103123</v>
      </c>
      <c r="Z25" s="673">
        <f>HLOOKUP(A25,'נתוני תאגידים'!$1:$1000,958,0)</f>
        <v>88.356999999999985</v>
      </c>
      <c r="AA25" s="677">
        <f t="shared" si="8"/>
        <v>10.896229580527255</v>
      </c>
      <c r="AB25" s="671">
        <f t="shared" si="24"/>
        <v>962.75815704664649</v>
      </c>
      <c r="AC25" s="673">
        <f t="shared" si="25"/>
        <v>1.5025163882709127</v>
      </c>
      <c r="AD25" s="674">
        <f t="shared" si="26"/>
        <v>132.75784051845301</v>
      </c>
      <c r="AE25" s="676">
        <f t="shared" si="27"/>
        <v>4023.8133036423646</v>
      </c>
      <c r="AF25" s="676">
        <f t="shared" si="9"/>
        <v>3449.1919999999996</v>
      </c>
      <c r="AG25" s="676">
        <f t="shared" si="36"/>
        <v>4156.5711441608173</v>
      </c>
      <c r="AH25" s="678">
        <f t="shared" si="37"/>
        <v>1146.595</v>
      </c>
      <c r="AI25" s="676">
        <f t="shared" si="28"/>
        <v>3.3657754667070603</v>
      </c>
      <c r="AJ25" s="679">
        <f t="shared" si="29"/>
        <v>0.95908558127079169</v>
      </c>
      <c r="AK25" s="679">
        <f t="shared" si="10"/>
        <v>13883.092045238885</v>
      </c>
      <c r="AL25" s="679">
        <f t="shared" si="11"/>
        <v>2.3672684092260146</v>
      </c>
      <c r="AM25" s="677">
        <v>3.39096161277797</v>
      </c>
      <c r="AN25" s="677">
        <v>3.7098605199229184</v>
      </c>
      <c r="AO25" s="677">
        <f t="shared" si="12"/>
        <v>-1.0236932035519555</v>
      </c>
      <c r="AP25" s="679" t="e">
        <f>+#REF!-AN25</f>
        <v>#REF!</v>
      </c>
      <c r="AQ25" s="677"/>
      <c r="AR25" s="680">
        <v>105.07991037610449</v>
      </c>
      <c r="AS25" s="679">
        <f t="shared" si="13"/>
        <v>0.55000000000000004</v>
      </c>
      <c r="AT25" s="679">
        <f t="shared" si="14"/>
        <v>0.97932716328032243</v>
      </c>
      <c r="AU25" s="671">
        <f t="shared" si="15"/>
        <v>0.97932716328032243</v>
      </c>
      <c r="AV25" s="679">
        <f t="shared" si="16"/>
        <v>2.3864483034267376</v>
      </c>
      <c r="AW25" s="748">
        <f t="shared" si="17"/>
        <v>2.5300316806378564</v>
      </c>
      <c r="AX25" s="693" t="s">
        <v>260</v>
      </c>
      <c r="AY25" s="658"/>
      <c r="AZ25" s="749">
        <f t="shared" si="18"/>
        <v>14991.332470782931</v>
      </c>
      <c r="BA25" s="50">
        <f t="shared" si="19"/>
        <v>5934.575016216635</v>
      </c>
      <c r="BB25" s="50">
        <f t="shared" si="20"/>
        <v>11011.608251872864</v>
      </c>
      <c r="BC25" s="50">
        <f t="shared" si="21"/>
        <v>2736.2896924675802</v>
      </c>
      <c r="BD25" s="50">
        <f t="shared" si="22"/>
        <v>944.90549999999996</v>
      </c>
      <c r="BE25" s="5">
        <f>+VLOOKUP(A25,'נתוני מים 2011 מעודכן'!$B:$S,5,0)/1000</f>
        <v>0</v>
      </c>
      <c r="BF25" s="5">
        <f t="shared" si="30"/>
        <v>0</v>
      </c>
      <c r="BG25" s="42">
        <f t="shared" si="31"/>
        <v>0</v>
      </c>
      <c r="BH25" s="1">
        <f t="shared" si="32"/>
        <v>0</v>
      </c>
      <c r="BI25" s="42">
        <f t="shared" si="33"/>
        <v>2.3864483034267376</v>
      </c>
      <c r="BJ25" s="483"/>
    </row>
    <row r="26" spans="1:62" x14ac:dyDescent="0.2">
      <c r="A26" s="683" t="s">
        <v>658</v>
      </c>
      <c r="B26" s="657">
        <f>+HLOOKUP(A26,'תחשיב תעריף 2016'!$4:$67,48,0)/(1-P26)</f>
        <v>7.0309146531724878</v>
      </c>
      <c r="C26" s="657">
        <f>+HLOOKUP(A26,'תחשיב תעריף 2016'!$4:$67,49,0)/(1-P26)</f>
        <v>3.06035627753797</v>
      </c>
      <c r="D26" s="684">
        <f>+HLOOKUP(A26,'תחשיב תעריף 2016'!$4:$67,50,0)/(1-P26)</f>
        <v>3.9167861901822327</v>
      </c>
      <c r="E26" s="684">
        <f t="shared" si="0"/>
        <v>6.9771424677202027</v>
      </c>
      <c r="F26" s="684">
        <f t="shared" si="1"/>
        <v>15919.983191441088</v>
      </c>
      <c r="G26" s="685">
        <f>+HLOOKUP(A26,'תחשיב תעריף 2016'!$4:$67,12,0)</f>
        <v>3917.029</v>
      </c>
      <c r="H26" s="685">
        <f>+(HLOOKUP(A26,'נתוני תאגידים'!$1:$539,358,0))*3.5*12</f>
        <v>2281.7339999999999</v>
      </c>
      <c r="I26" s="685">
        <f t="shared" si="34"/>
        <v>1635.2950000000001</v>
      </c>
      <c r="J26" s="684">
        <f>+HLOOKUP(A26,'תחשיב תעריף 2016'!$4:$82,64,0)</f>
        <v>0.61760317784525087</v>
      </c>
      <c r="K26" s="684">
        <f>+HLOOKUP(A26,'תחשיב תעריף 2016'!$4:$82,57,0)</f>
        <v>4.5562891850437532</v>
      </c>
      <c r="L26" s="684">
        <f t="shared" si="2"/>
        <v>11497.619577759704</v>
      </c>
      <c r="M26" s="684">
        <f t="shared" si="3"/>
        <v>6982.9189705718227</v>
      </c>
      <c r="N26" s="684" t="e">
        <f>I26*#REF!</f>
        <v>#REF!</v>
      </c>
      <c r="O26" s="684">
        <f t="shared" si="4"/>
        <v>15919.983191441088</v>
      </c>
      <c r="P26" s="686">
        <f>+HLOOKUP(A26,'תחשיב תעריף 2016'!$4:$67,18,0)</f>
        <v>1.4999999999999999E-2</v>
      </c>
      <c r="Q26" s="686">
        <f>+HLOOKUP(A26,'תחשיב תעריף 2016'!$4:$67,17,0)</f>
        <v>7.0000000000000007E-2</v>
      </c>
      <c r="R26" s="684">
        <f t="shared" si="35"/>
        <v>10.561938969631239</v>
      </c>
      <c r="S26" s="684">
        <f t="shared" si="5"/>
        <v>2.0888635944052529</v>
      </c>
      <c r="T26" s="684">
        <f t="shared" si="6"/>
        <v>2.0285623396578352</v>
      </c>
      <c r="U26" s="684">
        <f t="shared" si="7"/>
        <v>8.5333766299734037</v>
      </c>
      <c r="V26" s="684">
        <f>+HLOOKUP(A26,'תחשיב תעריף 2016'!$4:$82,72,0)</f>
        <v>5.8249493825200958</v>
      </c>
      <c r="W26" s="687">
        <f>HLOOKUP(A26,'נתוני תאגידים'!$1:$473,356,0)</f>
        <v>472.08600000000001</v>
      </c>
      <c r="X26" s="687">
        <f t="shared" si="23"/>
        <v>2749.8770541963818</v>
      </c>
      <c r="Y26" s="690">
        <f>+HLOOKUP(A26,'תחשיב תעריף 2016'!$4:$82,79,0)</f>
        <v>3.8076694815998566</v>
      </c>
      <c r="Z26" s="690">
        <f>HLOOKUP(A26,'נתוני תאגידים'!$1:$1000,958,0)</f>
        <v>43.951999999999998</v>
      </c>
      <c r="AA26" s="688">
        <f t="shared" si="8"/>
        <v>9.7417355727023285</v>
      </c>
      <c r="AB26" s="683">
        <f t="shared" si="24"/>
        <v>428.16876189141271</v>
      </c>
      <c r="AC26" s="684">
        <f t="shared" si="25"/>
        <v>2.5609431645812979</v>
      </c>
      <c r="AD26" s="685">
        <f t="shared" si="26"/>
        <v>112.5585739696772</v>
      </c>
      <c r="AE26" s="687">
        <f t="shared" si="27"/>
        <v>5099.6585643845165</v>
      </c>
      <c r="AF26" s="687">
        <f t="shared" si="9"/>
        <v>4389.1149999999998</v>
      </c>
      <c r="AG26" s="687">
        <f t="shared" si="36"/>
        <v>5212.2171383541936</v>
      </c>
      <c r="AH26" s="689">
        <f t="shared" si="37"/>
        <v>1119.2570000000001</v>
      </c>
      <c r="AI26" s="687">
        <f t="shared" si="28"/>
        <v>4.480894781895767</v>
      </c>
      <c r="AJ26" s="690">
        <f t="shared" si="29"/>
        <v>0.98345267385672708</v>
      </c>
      <c r="AK26" s="690">
        <f t="shared" si="10"/>
        <v>12253.290802830676</v>
      </c>
      <c r="AL26" s="690">
        <f t="shared" si="11"/>
        <v>2.0752706452364702</v>
      </c>
      <c r="AM26" s="688">
        <v>2.8174306831917555</v>
      </c>
      <c r="AN26" s="688">
        <v>3.1363295903367039</v>
      </c>
      <c r="AO26" s="688">
        <f t="shared" si="12"/>
        <v>-0.74216003795528529</v>
      </c>
      <c r="AP26" s="690" t="e">
        <f>+#REF!-AN26</f>
        <v>#REF!</v>
      </c>
      <c r="AQ26" s="688"/>
      <c r="AR26" s="691">
        <v>44.279000000000003</v>
      </c>
      <c r="AS26" s="690">
        <f t="shared" si="13"/>
        <v>0.61760317784525087</v>
      </c>
      <c r="AT26" s="690">
        <f t="shared" si="14"/>
        <v>0</v>
      </c>
      <c r="AU26" s="683">
        <f t="shared" si="15"/>
        <v>0</v>
      </c>
      <c r="AV26" s="690">
        <f t="shared" si="16"/>
        <v>4.480894781895767</v>
      </c>
      <c r="AW26" s="690">
        <f t="shared" si="17"/>
        <v>4.5562891850437532</v>
      </c>
      <c r="AX26" s="692" t="s">
        <v>658</v>
      </c>
      <c r="AY26" s="659"/>
      <c r="AZ26" s="659">
        <f t="shared" si="18"/>
        <v>15342.165093743321</v>
      </c>
      <c r="BA26" s="50">
        <f t="shared" si="19"/>
        <v>6982.9189705718227</v>
      </c>
      <c r="BB26" s="50">
        <f t="shared" si="20"/>
        <v>11497.619577759704</v>
      </c>
      <c r="BC26" s="50">
        <f t="shared" si="21"/>
        <v>5015.2728509003109</v>
      </c>
      <c r="BD26" s="50">
        <f t="shared" si="22"/>
        <v>1409.2061693975556</v>
      </c>
      <c r="BE26" s="5">
        <f>+VLOOKUP(A26,'נתוני מים 2011 מעודכן'!$B:$S,5,0)/1000</f>
        <v>0</v>
      </c>
      <c r="BF26" s="5">
        <f t="shared" si="30"/>
        <v>0</v>
      </c>
      <c r="BG26" s="42">
        <f t="shared" si="31"/>
        <v>0</v>
      </c>
      <c r="BH26" s="1">
        <f t="shared" si="32"/>
        <v>0</v>
      </c>
      <c r="BI26" s="42">
        <f t="shared" si="33"/>
        <v>4.480894781895767</v>
      </c>
      <c r="BJ26" s="483"/>
    </row>
    <row r="27" spans="1:62" x14ac:dyDescent="0.2">
      <c r="A27" s="671" t="s">
        <v>258</v>
      </c>
      <c r="B27" s="673">
        <f>+HLOOKUP(A27,'תחשיב תעריף 2016'!$4:$67,48,0)/(1-P27)</f>
        <v>7.0915361074329537</v>
      </c>
      <c r="C27" s="673">
        <f>+HLOOKUP(A27,'תחשיב תעריף 2016'!$4:$67,49,0)/(1-P27)</f>
        <v>3.120977731798436</v>
      </c>
      <c r="D27" s="673">
        <f>+HLOOKUP(A27,'תחשיב תעריף 2016'!$4:$67,50,0)/(1-P27)</f>
        <v>3.1170215085493989</v>
      </c>
      <c r="E27" s="673">
        <f t="shared" si="0"/>
        <v>6.2379992403478344</v>
      </c>
      <c r="F27" s="673">
        <f t="shared" si="1"/>
        <v>18393.688936050123</v>
      </c>
      <c r="G27" s="674">
        <f>+HLOOKUP(A27,'תחשיב תעריף 2016'!$4:$67,12,0)</f>
        <v>6640.0940000000001</v>
      </c>
      <c r="H27" s="674">
        <f>+(HLOOKUP(A27,'נתוני תאגידים'!$1:$539,358,0))*3.5*12</f>
        <v>2948.652</v>
      </c>
      <c r="I27" s="674">
        <f t="shared" si="34"/>
        <v>3691.442</v>
      </c>
      <c r="J27" s="673">
        <f>+HLOOKUP(A27,'תחשיב תעריף 2016'!$4:$82,64,0)</f>
        <v>1.2989348544983084</v>
      </c>
      <c r="K27" s="673">
        <f>+HLOOKUP(A27,'תחשיב תעריף 2016'!$4:$82,57,0)</f>
        <v>5.2376208616968105</v>
      </c>
      <c r="L27" s="673">
        <f t="shared" si="2"/>
        <v>26177.994231494518</v>
      </c>
      <c r="M27" s="673">
        <f t="shared" si="3"/>
        <v>9202.677230822921</v>
      </c>
      <c r="N27" s="673" t="e">
        <f>I27*#REF!</f>
        <v>#REF!</v>
      </c>
      <c r="O27" s="673">
        <f t="shared" si="4"/>
        <v>18393.688936050123</v>
      </c>
      <c r="P27" s="675">
        <f>+HLOOKUP(A27,'תחשיב תעריף 2016'!$4:$67,18,0)</f>
        <v>1.4999999999999999E-2</v>
      </c>
      <c r="Q27" s="675">
        <f>+HLOOKUP(A27,'תחשיב תעריף 2016'!$4:$67,17,0)</f>
        <v>5.7744239976007125E-2</v>
      </c>
      <c r="R27" s="673">
        <f t="shared" si="35"/>
        <v>10.561938969631239</v>
      </c>
      <c r="S27" s="673">
        <f t="shared" si="5"/>
        <v>2.2072965993850295</v>
      </c>
      <c r="T27" s="673">
        <f t="shared" si="6"/>
        <v>2.1469953446376118</v>
      </c>
      <c r="U27" s="673">
        <f t="shared" si="7"/>
        <v>8.4149436249936276</v>
      </c>
      <c r="V27" s="673">
        <f>+HLOOKUP(A27,'תחשיב תעריף 2016'!$4:$82,72,0)</f>
        <v>5.8846615149666537</v>
      </c>
      <c r="W27" s="676">
        <f>HLOOKUP(A27,'נתוני תאגידים'!$1:$473,356,0)</f>
        <v>637.78800000000001</v>
      </c>
      <c r="X27" s="676">
        <f t="shared" si="23"/>
        <v>3753.166498307552</v>
      </c>
      <c r="Y27" s="673">
        <f>+HLOOKUP(A27,'תחשיב תעריף 2016'!$4:$82,79,0)</f>
        <v>3.701232946844573</v>
      </c>
      <c r="Z27" s="673">
        <f>HLOOKUP(A27,'נתוני תאגידים'!$1:$1000,958,0)</f>
        <v>114.905</v>
      </c>
      <c r="AA27" s="677">
        <f t="shared" si="8"/>
        <v>9.001683023516053</v>
      </c>
      <c r="AB27" s="671">
        <f t="shared" si="24"/>
        <v>1034.3383878171121</v>
      </c>
      <c r="AC27" s="673">
        <f t="shared" si="25"/>
        <v>3.2542713114588482</v>
      </c>
      <c r="AD27" s="674">
        <f t="shared" si="26"/>
        <v>373.93204504317896</v>
      </c>
      <c r="AE27" s="676">
        <f t="shared" si="27"/>
        <v>15392.053069690639</v>
      </c>
      <c r="AF27" s="676">
        <f t="shared" si="9"/>
        <v>7277.8819999999996</v>
      </c>
      <c r="AG27" s="676">
        <f t="shared" si="36"/>
        <v>15765.985114733818</v>
      </c>
      <c r="AH27" s="678">
        <f t="shared" si="37"/>
        <v>2938.7489999999998</v>
      </c>
      <c r="AI27" s="676">
        <f t="shared" si="28"/>
        <v>5.1629900161360185</v>
      </c>
      <c r="AJ27" s="679">
        <f t="shared" si="29"/>
        <v>0.98575100269158955</v>
      </c>
      <c r="AK27" s="679">
        <f t="shared" si="10"/>
        <v>30000.38848541052</v>
      </c>
      <c r="AL27" s="679">
        <f t="shared" si="11"/>
        <v>2.1817071799917538</v>
      </c>
      <c r="AM27" s="677">
        <v>2.8286593731708121</v>
      </c>
      <c r="AN27" s="677">
        <v>3.1475582803157605</v>
      </c>
      <c r="AO27" s="677">
        <f t="shared" si="12"/>
        <v>-0.64695219317905828</v>
      </c>
      <c r="AP27" s="679" t="e">
        <f>+#REF!-AN27</f>
        <v>#REF!</v>
      </c>
      <c r="AQ27" s="677"/>
      <c r="AR27" s="680">
        <v>463.40155966223699</v>
      </c>
      <c r="AS27" s="679">
        <f t="shared" si="13"/>
        <v>1.2989348544983084</v>
      </c>
      <c r="AT27" s="679">
        <f t="shared" si="14"/>
        <v>0</v>
      </c>
      <c r="AU27" s="671">
        <f t="shared" si="15"/>
        <v>0</v>
      </c>
      <c r="AV27" s="679">
        <f t="shared" si="16"/>
        <v>5.1629900161360185</v>
      </c>
      <c r="AW27" s="748">
        <f t="shared" si="17"/>
        <v>5.2376208616968105</v>
      </c>
      <c r="AX27" s="693" t="s">
        <v>258</v>
      </c>
      <c r="AY27" s="658"/>
      <c r="AZ27" s="749">
        <f t="shared" si="18"/>
        <v>20697.315816789811</v>
      </c>
      <c r="BA27" s="50">
        <f t="shared" si="19"/>
        <v>9202.677230822921</v>
      </c>
      <c r="BB27" s="50">
        <f t="shared" si="20"/>
        <v>26177.994231494518</v>
      </c>
      <c r="BC27" s="50">
        <f t="shared" si="21"/>
        <v>15172.731746929707</v>
      </c>
      <c r="BD27" s="50">
        <f t="shared" si="22"/>
        <v>3830.106856586146</v>
      </c>
      <c r="BE27" s="5">
        <f>+VLOOKUP(A27,'נתוני מים 2011 מעודכן'!$B:$S,5,0)/1000</f>
        <v>4542.3059999999996</v>
      </c>
      <c r="BF27" s="5" t="str">
        <f t="shared" si="30"/>
        <v>מפיק ארצי</v>
      </c>
      <c r="BG27" s="42">
        <f t="shared" si="31"/>
        <v>0</v>
      </c>
      <c r="BH27" s="1">
        <f t="shared" si="32"/>
        <v>0</v>
      </c>
      <c r="BI27" s="42">
        <f t="shared" si="33"/>
        <v>5.1629900161360185</v>
      </c>
      <c r="BJ27" s="483"/>
    </row>
    <row r="28" spans="1:62" x14ac:dyDescent="0.2">
      <c r="A28" s="683" t="s">
        <v>659</v>
      </c>
      <c r="B28" s="657">
        <f>+HLOOKUP(A28,'תחשיב תעריף 2016'!$4:$67,48,0)/(1-P28)</f>
        <v>7.3226457842656183</v>
      </c>
      <c r="C28" s="657">
        <f>+HLOOKUP(A28,'תחשיב תעריף 2016'!$4:$67,49,0)/(1-P28)</f>
        <v>3.2770683289765561</v>
      </c>
      <c r="D28" s="684">
        <f>+HLOOKUP(A28,'תחשיב תעריף 2016'!$4:$67,50,0)/(1-P28)</f>
        <v>3.2622147460262458</v>
      </c>
      <c r="E28" s="684">
        <f t="shared" si="0"/>
        <v>6.5392830750028015</v>
      </c>
      <c r="F28" s="684">
        <f t="shared" si="1"/>
        <v>13889.044894321451</v>
      </c>
      <c r="G28" s="685">
        <f>+HLOOKUP(A28,'תחשיב תעריף 2016'!$4:$67,12,0)</f>
        <v>6789.9260000000004</v>
      </c>
      <c r="H28" s="685">
        <f>+(HLOOKUP(A28,'נתוני תאגידים'!$1:$539,358,0))*3.5*12</f>
        <v>2123.94</v>
      </c>
      <c r="I28" s="685">
        <f t="shared" si="34"/>
        <v>4665.9860000000008</v>
      </c>
      <c r="J28" s="684">
        <f>+HLOOKUP(A28,'תחשיב תעריף 2016'!$4:$82,64,0)</f>
        <v>1.0238463101266504</v>
      </c>
      <c r="K28" s="684">
        <f>+HLOOKUP(A28,'תחשיב תעריף 2016'!$4:$82,57,0)</f>
        <v>4.88949537696897</v>
      </c>
      <c r="L28" s="684">
        <f t="shared" si="2"/>
        <v>34167.362712342401</v>
      </c>
      <c r="M28" s="684">
        <f t="shared" si="3"/>
        <v>6960.2965066464667</v>
      </c>
      <c r="N28" s="684" t="e">
        <f>I28*#REF!</f>
        <v>#REF!</v>
      </c>
      <c r="O28" s="684">
        <f t="shared" si="4"/>
        <v>13889.044894321451</v>
      </c>
      <c r="P28" s="686">
        <f>+HLOOKUP(A28,'תחשיב תעריף 2016'!$4:$67,18,0)</f>
        <v>3.3265326588450196E-2</v>
      </c>
      <c r="Q28" s="686">
        <f>+HLOOKUP(A28,'תחשיב תעריף 2016'!$4:$67,17,0)</f>
        <v>8.6463524545875803E-2</v>
      </c>
      <c r="R28" s="684">
        <f t="shared" si="35"/>
        <v>10.561938969631239</v>
      </c>
      <c r="S28" s="684">
        <f t="shared" si="5"/>
        <v>2.4102288466360231</v>
      </c>
      <c r="T28" s="684">
        <f t="shared" si="6"/>
        <v>2.276890651532423</v>
      </c>
      <c r="U28" s="684">
        <f t="shared" si="7"/>
        <v>8.2850483180988164</v>
      </c>
      <c r="V28" s="684">
        <f>+HLOOKUP(A28,'תחשיב תעריף 2016'!$4:$82,72,0)</f>
        <v>5.9785540299056787</v>
      </c>
      <c r="W28" s="687">
        <f>HLOOKUP(A28,'נתוני תאגידים'!$1:$473,356,0)</f>
        <v>296.70699999999999</v>
      </c>
      <c r="X28" s="687">
        <f t="shared" si="23"/>
        <v>1773.8788305512242</v>
      </c>
      <c r="Y28" s="690">
        <f>+HLOOKUP(A28,'תחשיב תעריף 2016'!$4:$82,79,0)</f>
        <v>3.5219607758120262</v>
      </c>
      <c r="Z28" s="690">
        <f>HLOOKUP(A28,'נתוני תאגידים'!$1:$1000,958,0)</f>
        <v>123.56100000000001</v>
      </c>
      <c r="AA28" s="688">
        <f t="shared" si="8"/>
        <v>9.2407687759319241</v>
      </c>
      <c r="AB28" s="683">
        <f t="shared" si="24"/>
        <v>1141.7986307229246</v>
      </c>
      <c r="AC28" s="684">
        <f t="shared" si="25"/>
        <v>2.9298059029494543</v>
      </c>
      <c r="AD28" s="685">
        <f t="shared" si="26"/>
        <v>362.00974717433752</v>
      </c>
      <c r="AE28" s="687">
        <f t="shared" si="27"/>
        <v>20759.418532913944</v>
      </c>
      <c r="AF28" s="687">
        <f t="shared" si="9"/>
        <v>7086.6330000000007</v>
      </c>
      <c r="AG28" s="687">
        <f t="shared" si="36"/>
        <v>21121.428280088283</v>
      </c>
      <c r="AH28" s="689">
        <f t="shared" si="37"/>
        <v>4245.7180000000008</v>
      </c>
      <c r="AI28" s="687">
        <f t="shared" si="28"/>
        <v>4.8340763499168355</v>
      </c>
      <c r="AJ28" s="690">
        <f t="shared" si="29"/>
        <v>0.98866569599121101</v>
      </c>
      <c r="AK28" s="690">
        <f t="shared" si="10"/>
        <v>44940.332880949725</v>
      </c>
      <c r="AL28" s="690">
        <f t="shared" si="11"/>
        <v>2.3609793510243007</v>
      </c>
      <c r="AM28" s="688">
        <v>3.0793909558991936</v>
      </c>
      <c r="AN28" s="688">
        <v>3.398289863044142</v>
      </c>
      <c r="AO28" s="688">
        <f t="shared" si="12"/>
        <v>-0.71841160487489297</v>
      </c>
      <c r="AP28" s="690" t="e">
        <f>+#REF!-AN28</f>
        <v>#REF!</v>
      </c>
      <c r="AQ28" s="688"/>
      <c r="AR28" s="691">
        <v>33.264000000000003</v>
      </c>
      <c r="AS28" s="690">
        <f t="shared" si="13"/>
        <v>1.0238463101266504</v>
      </c>
      <c r="AT28" s="690">
        <f t="shared" si="14"/>
        <v>0</v>
      </c>
      <c r="AU28" s="683">
        <f t="shared" si="15"/>
        <v>0</v>
      </c>
      <c r="AV28" s="690">
        <f t="shared" si="16"/>
        <v>4.8340763499168355</v>
      </c>
      <c r="AW28" s="690">
        <f t="shared" si="17"/>
        <v>4.88949537696897</v>
      </c>
      <c r="AX28" s="692" t="s">
        <v>659</v>
      </c>
      <c r="AY28" s="659"/>
      <c r="AZ28" s="659">
        <f t="shared" si="18"/>
        <v>22150.196721627006</v>
      </c>
      <c r="BA28" s="50">
        <f t="shared" si="19"/>
        <v>6960.2965066464667</v>
      </c>
      <c r="BB28" s="50">
        <f t="shared" si="20"/>
        <v>34167.362712342401</v>
      </c>
      <c r="BC28" s="50">
        <f t="shared" si="21"/>
        <v>20524.12497221621</v>
      </c>
      <c r="BD28" s="50">
        <f t="shared" si="22"/>
        <v>2174.588131930398</v>
      </c>
      <c r="BE28" s="5">
        <f>+VLOOKUP(A28,'נתוני מים 2011 מעודכן'!$B:$S,5,0)/1000</f>
        <v>0</v>
      </c>
      <c r="BF28" s="5">
        <f t="shared" si="30"/>
        <v>0</v>
      </c>
      <c r="BG28" s="42">
        <f t="shared" si="31"/>
        <v>0</v>
      </c>
      <c r="BH28" s="1">
        <f t="shared" si="32"/>
        <v>0</v>
      </c>
      <c r="BI28" s="42">
        <f t="shared" si="33"/>
        <v>4.8340763499168355</v>
      </c>
      <c r="BJ28" s="483"/>
    </row>
    <row r="29" spans="1:62" x14ac:dyDescent="0.2">
      <c r="A29" s="671" t="s">
        <v>254</v>
      </c>
      <c r="B29" s="673">
        <f>+HLOOKUP(A29,'תחשיב תעריף 2016'!$4:$67,48,0)/(1-P29)</f>
        <v>6.5491936611454751</v>
      </c>
      <c r="C29" s="673">
        <f>+HLOOKUP(A29,'תחשיב תעריף 2016'!$4:$67,49,0)/(1-P29)</f>
        <v>2.5786352855109573</v>
      </c>
      <c r="D29" s="673">
        <f>+HLOOKUP(A29,'תחשיב תעריף 2016'!$4:$67,50,0)/(1-P29)</f>
        <v>3.1474952552380215</v>
      </c>
      <c r="E29" s="673">
        <f t="shared" si="0"/>
        <v>5.7261305407489793</v>
      </c>
      <c r="F29" s="673">
        <f t="shared" si="1"/>
        <v>21821.058098858644</v>
      </c>
      <c r="G29" s="674">
        <f>+HLOOKUP(A29,'תחשיב תעריף 2016'!$4:$67,12,0)</f>
        <v>10469.824999999999</v>
      </c>
      <c r="H29" s="674">
        <f>+(HLOOKUP(A29,'נתוני תאגידים'!$1:$539,358,0))*3.5*12</f>
        <v>3810.7860000000005</v>
      </c>
      <c r="I29" s="674">
        <f t="shared" si="34"/>
        <v>6659.0389999999989</v>
      </c>
      <c r="J29" s="673">
        <f>+HLOOKUP(A29,'תחשיב תעריף 2016'!$4:$82,64,0)</f>
        <v>1.7687105197906099</v>
      </c>
      <c r="K29" s="673">
        <f>+HLOOKUP(A29,'תחשיב תעריף 2016'!$4:$82,57,0)</f>
        <v>5.707396526989112</v>
      </c>
      <c r="L29" s="673">
        <f t="shared" si="2"/>
        <v>43611.336008120496</v>
      </c>
      <c r="M29" s="673">
        <f t="shared" si="3"/>
        <v>9826.6272451311597</v>
      </c>
      <c r="N29" s="673" t="e">
        <f>I29*#REF!</f>
        <v>#REF!</v>
      </c>
      <c r="O29" s="673">
        <f t="shared" si="4"/>
        <v>21821.058098858644</v>
      </c>
      <c r="P29" s="675">
        <f>+HLOOKUP(A29,'תחשיב תעריף 2016'!$4:$67,18,0)</f>
        <v>1.4999999999999999E-2</v>
      </c>
      <c r="Q29" s="675">
        <f>+HLOOKUP(A29,'תחשיב תעריף 2016'!$4:$67,17,0)</f>
        <v>6.3979770907603192E-2</v>
      </c>
      <c r="R29" s="673">
        <f t="shared" si="35"/>
        <v>10.561938969631239</v>
      </c>
      <c r="S29" s="673">
        <f t="shared" si="5"/>
        <v>1.7070471874041053</v>
      </c>
      <c r="T29" s="673">
        <f t="shared" si="6"/>
        <v>1.6467459326566876</v>
      </c>
      <c r="U29" s="673">
        <f t="shared" si="7"/>
        <v>8.9151930369745518</v>
      </c>
      <c r="V29" s="673">
        <f>+HLOOKUP(A29,'תחשיב תעריף 2016'!$4:$82,72,0)</f>
        <v>5.350454205373488</v>
      </c>
      <c r="W29" s="676">
        <f>HLOOKUP(A29,'נתוני תאגידים'!$1:$473,356,0)</f>
        <v>737.82500000000005</v>
      </c>
      <c r="X29" s="676">
        <f t="shared" si="23"/>
        <v>3947.6988740796942</v>
      </c>
      <c r="Y29" s="673">
        <f>+HLOOKUP(A29,'תחשיב תעריף 2016'!$4:$82,79,0)</f>
        <v>4.2010252526251675</v>
      </c>
      <c r="Z29" s="673">
        <f>HLOOKUP(A29,'נתוני תאגידים'!$1:$1000,958,0)</f>
        <v>477.03399999999999</v>
      </c>
      <c r="AA29" s="677">
        <f t="shared" si="8"/>
        <v>8.49794946061151</v>
      </c>
      <c r="AB29" s="671">
        <f t="shared" si="24"/>
        <v>4053.8108229933509</v>
      </c>
      <c r="AC29" s="673">
        <f t="shared" si="25"/>
        <v>3.7235898705508199</v>
      </c>
      <c r="AD29" s="674">
        <f t="shared" si="26"/>
        <v>1776.2789703083397</v>
      </c>
      <c r="AE29" s="676">
        <f t="shared" si="27"/>
        <v>31072.09402430358</v>
      </c>
      <c r="AF29" s="676">
        <f t="shared" si="9"/>
        <v>11207.65</v>
      </c>
      <c r="AG29" s="676">
        <f t="shared" si="36"/>
        <v>32848.37299461192</v>
      </c>
      <c r="AH29" s="678">
        <f t="shared" si="37"/>
        <v>5444.1799999999994</v>
      </c>
      <c r="AI29" s="679">
        <f t="shared" si="28"/>
        <v>5.5475740269836429</v>
      </c>
      <c r="AJ29" s="679">
        <f t="shared" si="29"/>
        <v>0.97199730222883562</v>
      </c>
      <c r="AK29" s="679">
        <f t="shared" si="10"/>
        <v>52790.519864796704</v>
      </c>
      <c r="AL29" s="679">
        <f t="shared" si="11"/>
        <v>1.6819148742111594</v>
      </c>
      <c r="AM29" s="677">
        <v>2.6001768190625354</v>
      </c>
      <c r="AN29" s="677">
        <v>2.9190757262074838</v>
      </c>
      <c r="AO29" s="677">
        <f t="shared" si="12"/>
        <v>-0.91826194485137602</v>
      </c>
      <c r="AP29" s="679" t="e">
        <f>+#REF!-AN29</f>
        <v>#REF!</v>
      </c>
      <c r="AQ29" s="677"/>
      <c r="AR29" s="680">
        <v>196.899</v>
      </c>
      <c r="AS29" s="679">
        <f t="shared" si="13"/>
        <v>1.7687105197906099</v>
      </c>
      <c r="AT29" s="679">
        <f t="shared" si="14"/>
        <v>0</v>
      </c>
      <c r="AU29" s="671">
        <f t="shared" si="15"/>
        <v>0</v>
      </c>
      <c r="AV29" s="679">
        <f t="shared" si="16"/>
        <v>5.5475740269836429</v>
      </c>
      <c r="AW29" s="748">
        <f t="shared" si="17"/>
        <v>5.707396526989112</v>
      </c>
      <c r="AX29" s="693" t="s">
        <v>254</v>
      </c>
      <c r="AY29" s="658"/>
      <c r="AZ29" s="749">
        <f t="shared" si="18"/>
        <v>32953.724510672415</v>
      </c>
      <c r="BA29" s="50">
        <f t="shared" si="19"/>
        <v>9826.6272451311597</v>
      </c>
      <c r="BB29" s="50">
        <f t="shared" si="20"/>
        <v>43611.336008120496</v>
      </c>
      <c r="BC29" s="50">
        <f t="shared" si="21"/>
        <v>30201.991566223805</v>
      </c>
      <c r="BD29" s="50">
        <f t="shared" si="22"/>
        <v>6740.1772868707803</v>
      </c>
      <c r="BE29" s="5">
        <f>+VLOOKUP(A29,'נתוני מים 2011 מעודכן'!$B:$S,5,0)/1000</f>
        <v>3105.51</v>
      </c>
      <c r="BF29" s="5" t="str">
        <f t="shared" si="30"/>
        <v>מפיק ארצי</v>
      </c>
      <c r="BG29" s="42">
        <f t="shared" si="31"/>
        <v>0</v>
      </c>
      <c r="BH29" s="1">
        <f t="shared" si="32"/>
        <v>0</v>
      </c>
      <c r="BI29" s="42">
        <f t="shared" si="33"/>
        <v>5.5475740269836429</v>
      </c>
      <c r="BJ29" s="483"/>
    </row>
    <row r="30" spans="1:62" x14ac:dyDescent="0.2">
      <c r="A30" s="683" t="s">
        <v>264</v>
      </c>
      <c r="B30" s="657">
        <f>+HLOOKUP(A30,'תחשיב תעריף 2016'!$4:$67,48,0)/(1-P30)</f>
        <v>7.315706021699607</v>
      </c>
      <c r="C30" s="657">
        <f>+HLOOKUP(A30,'תחשיב תעריף 2016'!$4:$67,49,0)/(1-P30)</f>
        <v>3.3451476460650893</v>
      </c>
      <c r="D30" s="684">
        <f>+HLOOKUP(A30,'תחשיב תעריף 2016'!$4:$67,50,0)/(1-P30)</f>
        <v>3.5476276426772921</v>
      </c>
      <c r="E30" s="684">
        <f t="shared" si="0"/>
        <v>6.8927752887423814</v>
      </c>
      <c r="F30" s="684">
        <f t="shared" si="1"/>
        <v>12752.32356170228</v>
      </c>
      <c r="G30" s="685">
        <f>+HLOOKUP(A30,'תחשיב תעריף 2016'!$4:$67,12,0)</f>
        <v>4708.6639999999998</v>
      </c>
      <c r="H30" s="685">
        <f>+(HLOOKUP(A30,'נתוני תאגידים'!$1:$539,358,0))*3.5*12</f>
        <v>1850.1</v>
      </c>
      <c r="I30" s="685">
        <f t="shared" si="34"/>
        <v>2858.5639999999999</v>
      </c>
      <c r="J30" s="684">
        <f>+HLOOKUP(A30,'תחשיב תעריף 2016'!$4:$82,64,0)</f>
        <v>0.69488773214788413</v>
      </c>
      <c r="K30" s="684">
        <f>+HLOOKUP(A30,'תחשיב תעריף 2016'!$4:$82,57,0)</f>
        <v>4.6335737393463861</v>
      </c>
      <c r="L30" s="684">
        <f t="shared" si="2"/>
        <v>20912.413868213713</v>
      </c>
      <c r="M30" s="684">
        <f t="shared" si="3"/>
        <v>6188.8576599850212</v>
      </c>
      <c r="N30" s="684" t="e">
        <f>I30*#REF!</f>
        <v>#REF!</v>
      </c>
      <c r="O30" s="684">
        <f t="shared" si="4"/>
        <v>12752.32356170228</v>
      </c>
      <c r="P30" s="686">
        <f>+HLOOKUP(A30,'תחשיב תעריף 2016'!$4:$67,18,0)</f>
        <v>1.4999999999999999E-2</v>
      </c>
      <c r="Q30" s="686">
        <f>+HLOOKUP(A30,'תחשיב תעריף 2016'!$4:$67,17,0)</f>
        <v>7.0000000000000007E-2</v>
      </c>
      <c r="R30" s="684">
        <f t="shared" si="35"/>
        <v>10.561938969631239</v>
      </c>
      <c r="S30" s="684">
        <f t="shared" si="5"/>
        <v>2.3807375876075607</v>
      </c>
      <c r="T30" s="684">
        <f t="shared" si="6"/>
        <v>2.3204363328601429</v>
      </c>
      <c r="U30" s="684">
        <f t="shared" si="7"/>
        <v>8.2415026367710951</v>
      </c>
      <c r="V30" s="684">
        <f>+HLOOKUP(A30,'תחשיב תעריף 2016'!$4:$82,72,0)</f>
        <v>6.1054688805193074</v>
      </c>
      <c r="W30" s="687">
        <f>HLOOKUP(A30,'נתוני תאגידים'!$1:$473,356,0)</f>
        <v>345.56299999999999</v>
      </c>
      <c r="X30" s="687">
        <f t="shared" si="23"/>
        <v>2109.8241427588932</v>
      </c>
      <c r="Y30" s="690">
        <f>+HLOOKUP(A30,'תחשיב תעריף 2016'!$4:$82,79,0)</f>
        <v>3.5213328666101233</v>
      </c>
      <c r="Z30" s="690">
        <f>HLOOKUP(A30,'נתוני תאגידים'!$1:$1000,958,0)</f>
        <v>137.14699999999999</v>
      </c>
      <c r="AA30" s="688">
        <f t="shared" si="8"/>
        <v>9.6530965231965986</v>
      </c>
      <c r="AB30" s="683">
        <f t="shared" si="24"/>
        <v>1323.8932288668439</v>
      </c>
      <c r="AC30" s="684">
        <f t="shared" si="25"/>
        <v>2.6437650970965052</v>
      </c>
      <c r="AD30" s="685">
        <f t="shared" si="26"/>
        <v>362.5844517714944</v>
      </c>
      <c r="AE30" s="687">
        <f t="shared" si="27"/>
        <v>11008.694702921068</v>
      </c>
      <c r="AF30" s="687">
        <f t="shared" si="9"/>
        <v>5054.2269999999999</v>
      </c>
      <c r="AG30" s="687">
        <f t="shared" si="36"/>
        <v>11371.279154692562</v>
      </c>
      <c r="AH30" s="689">
        <f t="shared" si="37"/>
        <v>2375.8539999999998</v>
      </c>
      <c r="AI30" s="687">
        <f t="shared" si="28"/>
        <v>4.5249799561132535</v>
      </c>
      <c r="AJ30" s="690">
        <f t="shared" si="29"/>
        <v>0.97656370884723398</v>
      </c>
      <c r="AK30" s="690">
        <f t="shared" si="10"/>
        <v>25809.694739844512</v>
      </c>
      <c r="AL30" s="690">
        <f t="shared" si="11"/>
        <v>2.3616072602262035</v>
      </c>
      <c r="AM30" s="688">
        <v>2.7295265945143958</v>
      </c>
      <c r="AN30" s="688">
        <v>3.0484255016593442</v>
      </c>
      <c r="AO30" s="688">
        <f t="shared" si="12"/>
        <v>-0.36791933428819235</v>
      </c>
      <c r="AP30" s="690" t="e">
        <f>+#REF!-AN30</f>
        <v>#REF!</v>
      </c>
      <c r="AQ30" s="688"/>
      <c r="AR30" s="691">
        <v>66.632999999999996</v>
      </c>
      <c r="AS30" s="690">
        <f t="shared" si="13"/>
        <v>0.69488773214788413</v>
      </c>
      <c r="AT30" s="690">
        <f t="shared" si="14"/>
        <v>0</v>
      </c>
      <c r="AU30" s="683">
        <f t="shared" si="15"/>
        <v>0</v>
      </c>
      <c r="AV30" s="690">
        <f t="shared" si="16"/>
        <v>4.5249799561132535</v>
      </c>
      <c r="AW30" s="690">
        <f t="shared" si="17"/>
        <v>4.6335737393463861</v>
      </c>
      <c r="AX30" s="692" t="s">
        <v>264</v>
      </c>
      <c r="AY30" s="659"/>
      <c r="AZ30" s="659">
        <f t="shared" si="18"/>
        <v>16704.586566479429</v>
      </c>
      <c r="BA30" s="50">
        <f t="shared" si="19"/>
        <v>6188.8576599850212</v>
      </c>
      <c r="BB30" s="50">
        <f t="shared" si="20"/>
        <v>20912.413868213713</v>
      </c>
      <c r="BC30" s="50">
        <f t="shared" si="21"/>
        <v>10750.691728651496</v>
      </c>
      <c r="BD30" s="50">
        <f t="shared" si="22"/>
        <v>1285.6117932468003</v>
      </c>
      <c r="BE30" s="5">
        <f>+VLOOKUP(A30,'נתוני מים 2011 מעודכן'!$B:$S,5,0)/1000</f>
        <v>0</v>
      </c>
      <c r="BF30" s="5">
        <f t="shared" si="30"/>
        <v>0</v>
      </c>
      <c r="BG30" s="42">
        <f t="shared" si="31"/>
        <v>0</v>
      </c>
      <c r="BH30" s="1">
        <f t="shared" si="32"/>
        <v>0</v>
      </c>
      <c r="BI30" s="42">
        <f t="shared" si="33"/>
        <v>4.5249799561132535</v>
      </c>
      <c r="BJ30" s="483"/>
    </row>
    <row r="31" spans="1:62" x14ac:dyDescent="0.2">
      <c r="A31" s="671" t="s">
        <v>256</v>
      </c>
      <c r="B31" s="673">
        <f>+HLOOKUP(A31,'תחשיב תעריף 2016'!$4:$67,48,0)/(1-P31)</f>
        <v>7.8159356086594851</v>
      </c>
      <c r="C31" s="673">
        <f>+HLOOKUP(A31,'תחשיב תעריף 2016'!$4:$67,49,0)/(1-P31)</f>
        <v>3.8453772330249674</v>
      </c>
      <c r="D31" s="673">
        <f>+HLOOKUP(A31,'תחשיב תעריף 2016'!$4:$67,50,0)/(1-P31)</f>
        <v>3.5754563897328713</v>
      </c>
      <c r="E31" s="673">
        <f t="shared" si="0"/>
        <v>7.4208336227578382</v>
      </c>
      <c r="F31" s="673">
        <f t="shared" si="1"/>
        <v>86359.535718161467</v>
      </c>
      <c r="G31" s="674">
        <f>+HLOOKUP(A31,'תחשיב תעריף 2016'!$4:$67,12,0)</f>
        <v>23115.748</v>
      </c>
      <c r="H31" s="674">
        <f>+(HLOOKUP(A31,'נתוני תאגידים'!$1:$539,358,0))*3.5*12</f>
        <v>11637.444</v>
      </c>
      <c r="I31" s="674">
        <f t="shared" si="34"/>
        <v>11478.304</v>
      </c>
      <c r="J31" s="673">
        <f>+HLOOKUP(A31,'תחשיב תעריף 2016'!$4:$82,64,0)</f>
        <v>0.21115989527302476</v>
      </c>
      <c r="K31" s="673">
        <f>+HLOOKUP(A31,'תחשיב תעריף 2016'!$4:$82,57,0)</f>
        <v>4.1498459024715268</v>
      </c>
      <c r="L31" s="673">
        <f t="shared" si="2"/>
        <v>89713.684960618601</v>
      </c>
      <c r="M31" s="673">
        <f t="shared" si="3"/>
        <v>44750.362208203005</v>
      </c>
      <c r="N31" s="673" t="e">
        <f>I31*#REF!</f>
        <v>#REF!</v>
      </c>
      <c r="O31" s="673">
        <f t="shared" si="4"/>
        <v>86359.535718161467</v>
      </c>
      <c r="P31" s="675">
        <f>+HLOOKUP(A31,'תחשיב תעריף 2016'!$4:$67,18,0)</f>
        <v>1.4999999999999999E-2</v>
      </c>
      <c r="Q31" s="675">
        <f>+HLOOKUP(A31,'תחשיב תעריף 2016'!$4:$67,17,0)</f>
        <v>7.0000000000000007E-2</v>
      </c>
      <c r="R31" s="673">
        <f t="shared" si="35"/>
        <v>10.561938969631239</v>
      </c>
      <c r="S31" s="673">
        <f t="shared" si="5"/>
        <v>3.1754767821538166</v>
      </c>
      <c r="T31" s="673">
        <f t="shared" si="6"/>
        <v>2.4374953179524481</v>
      </c>
      <c r="U31" s="673">
        <f t="shared" si="7"/>
        <v>8.1244436516787903</v>
      </c>
      <c r="V31" s="673">
        <f>+HLOOKUP(A31,'תחשיב תעריף 2016'!$4:$82,72,0)</f>
        <v>6.5981950236747871</v>
      </c>
      <c r="W31" s="676">
        <f>HLOOKUP(A31,'נתוני תאגידים'!$1:$473,356,0)</f>
        <v>1004.064</v>
      </c>
      <c r="X31" s="676">
        <f t="shared" si="23"/>
        <v>6625.0100882510014</v>
      </c>
      <c r="Y31" s="673">
        <f>+HLOOKUP(A31,'תחשיב תעריף 2016'!$4:$82,79,0)</f>
        <v>3.0650163455850099</v>
      </c>
      <c r="Z31" s="673">
        <f>HLOOKUP(A31,'נתוני תאגידים'!$1:$1000,958,0)</f>
        <v>2131.62</v>
      </c>
      <c r="AA31" s="677">
        <f t="shared" si="8"/>
        <v>10.173651413407658</v>
      </c>
      <c r="AB31" s="671">
        <f t="shared" si="24"/>
        <v>21686.35882584803</v>
      </c>
      <c r="AC31" s="673">
        <f t="shared" si="25"/>
        <v>2.1596198290158126</v>
      </c>
      <c r="AD31" s="674">
        <f t="shared" si="26"/>
        <v>4603.4888199266861</v>
      </c>
      <c r="AE31" s="676">
        <f t="shared" si="27"/>
        <v>34620.587422877004</v>
      </c>
      <c r="AF31" s="676">
        <f t="shared" si="9"/>
        <v>24119.811999999998</v>
      </c>
      <c r="AG31" s="676">
        <f t="shared" si="36"/>
        <v>39224.076242803691</v>
      </c>
      <c r="AH31" s="678">
        <f t="shared" si="37"/>
        <v>8342.619999999999</v>
      </c>
      <c r="AI31" s="676">
        <f t="shared" si="28"/>
        <v>3.7448135848332385</v>
      </c>
      <c r="AJ31" s="679">
        <f t="shared" si="29"/>
        <v>0.90239822702884875</v>
      </c>
      <c r="AK31" s="679">
        <f t="shared" si="10"/>
        <v>95034.054713628022</v>
      </c>
      <c r="AL31" s="679">
        <f t="shared" si="11"/>
        <v>2.8179237812513169</v>
      </c>
      <c r="AM31" s="677">
        <v>3.0376022195717836</v>
      </c>
      <c r="AN31" s="677">
        <v>3.356501126716732</v>
      </c>
      <c r="AO31" s="677">
        <f t="shared" si="12"/>
        <v>-0.21967843832046663</v>
      </c>
      <c r="AP31" s="679" t="e">
        <f>+#REF!-AN31</f>
        <v>#REF!</v>
      </c>
      <c r="AQ31" s="677"/>
      <c r="AR31" s="680">
        <v>1604.9522776083877</v>
      </c>
      <c r="AS31" s="679">
        <f t="shared" si="13"/>
        <v>0.55000000000000004</v>
      </c>
      <c r="AT31" s="679">
        <f t="shared" si="14"/>
        <v>0.33884010472697529</v>
      </c>
      <c r="AU31" s="671">
        <f t="shared" si="15"/>
        <v>0.33884010472697529</v>
      </c>
      <c r="AV31" s="679">
        <f t="shared" si="16"/>
        <v>3.4059734801062631</v>
      </c>
      <c r="AW31" s="748">
        <f t="shared" si="17"/>
        <v>3.8110057977445515</v>
      </c>
      <c r="AX31" s="693" t="s">
        <v>256</v>
      </c>
      <c r="AY31" s="658"/>
      <c r="AZ31" s="749">
        <f t="shared" si="18"/>
        <v>82649.34889005484</v>
      </c>
      <c r="BA31" s="50">
        <f t="shared" si="19"/>
        <v>44750.362208203005</v>
      </c>
      <c r="BB31" s="50">
        <f t="shared" si="20"/>
        <v>89713.684960618601</v>
      </c>
      <c r="BC31" s="50">
        <f t="shared" si="21"/>
        <v>28414.742474604111</v>
      </c>
      <c r="BD31" s="50">
        <f t="shared" si="22"/>
        <v>6400.5942000000005</v>
      </c>
      <c r="BE31" s="5">
        <f>+VLOOKUP(A31,'נתוני מים 2011 מעודכן'!$B:$S,5,0)/1000</f>
        <v>0</v>
      </c>
      <c r="BF31" s="5">
        <f t="shared" si="30"/>
        <v>0</v>
      </c>
      <c r="BG31" s="42">
        <f t="shared" si="31"/>
        <v>0</v>
      </c>
      <c r="BH31" s="1">
        <f t="shared" si="32"/>
        <v>0</v>
      </c>
      <c r="BI31" s="42">
        <f t="shared" si="33"/>
        <v>3.4059734801062631</v>
      </c>
      <c r="BJ31" s="483"/>
    </row>
    <row r="32" spans="1:62" s="719" customFormat="1" x14ac:dyDescent="0.2">
      <c r="A32" s="1015" t="s">
        <v>255</v>
      </c>
      <c r="B32" s="1016">
        <f>+HLOOKUP(A32,'תחשיב תעריף 2016'!$4:$67,48,0)/(1-P32)</f>
        <v>7.3724123819142964</v>
      </c>
      <c r="C32" s="1016">
        <f>+HLOOKUP(A32,'תחשיב תעריף 2016'!$4:$67,49,0)/(1-P32)</f>
        <v>3.4018540062797782</v>
      </c>
      <c r="D32" s="1017">
        <f>+HLOOKUP(A32,'תחשיב תעריף 2016'!$4:$67,50,0)/(1-P32)</f>
        <v>2.954343804814612</v>
      </c>
      <c r="E32" s="1017">
        <f t="shared" si="0"/>
        <v>6.3561978110943897</v>
      </c>
      <c r="F32" s="1017">
        <f t="shared" si="1"/>
        <v>16402.575248188983</v>
      </c>
      <c r="G32" s="1018">
        <f>+HLOOKUP(A32,'תחשיב תעריף 2016'!$4:$67,12,0)</f>
        <v>5412.576</v>
      </c>
      <c r="H32" s="685">
        <f>+(HLOOKUP(A32,'נתוני תאגידים'!$1:$539,358,0))*3.5*12</f>
        <v>2580.5639999999999</v>
      </c>
      <c r="I32" s="1018">
        <f t="shared" si="34"/>
        <v>2832.0120000000002</v>
      </c>
      <c r="J32" s="684">
        <f>+HLOOKUP(A32,'תחשיב תעריף 2016'!$4:$82,64,0)</f>
        <v>1.187011322415108</v>
      </c>
      <c r="K32" s="684">
        <f>+HLOOKUP(A32,'תחשיב תעריף 2016'!$4:$82,57,0)</f>
        <v>5.1256973296136099</v>
      </c>
      <c r="L32" s="1017">
        <f t="shared" si="2"/>
        <v>20878.76033452987</v>
      </c>
      <c r="M32" s="1017">
        <f t="shared" si="3"/>
        <v>8778.7019818613699</v>
      </c>
      <c r="N32" s="1017" t="e">
        <f>I32*#REF!</f>
        <v>#REF!</v>
      </c>
      <c r="O32" s="1017">
        <f t="shared" si="4"/>
        <v>16402.575248188983</v>
      </c>
      <c r="P32" s="1019">
        <f>+HLOOKUP(A32,'תחשיב תעריף 2016'!$4:$67,18,0)</f>
        <v>1.4999999999999999E-2</v>
      </c>
      <c r="Q32" s="1019">
        <f>+HLOOKUP(A32,'תחשיב תעריף 2016'!$4:$67,17,0)</f>
        <v>6.7421333183007193E-2</v>
      </c>
      <c r="R32" s="1017">
        <f t="shared" si="35"/>
        <v>10.561938969631239</v>
      </c>
      <c r="S32" s="684">
        <f t="shared" si="5"/>
        <v>2.481897835203017</v>
      </c>
      <c r="T32" s="684">
        <f t="shared" si="6"/>
        <v>2.4215965804555992</v>
      </c>
      <c r="U32" s="1017">
        <f t="shared" si="7"/>
        <v>8.1403423891756397</v>
      </c>
      <c r="V32" s="1017">
        <f>+HLOOKUP(A32,'תחשיב תעריף 2016'!$4:$82,72,0)</f>
        <v>6.161324645330776</v>
      </c>
      <c r="W32" s="687">
        <f>HLOOKUP(A32,'נתוני תאגידים'!$1:$473,356,0)</f>
        <v>426.83500000000004</v>
      </c>
      <c r="X32" s="1020">
        <f t="shared" si="23"/>
        <v>2629.8690049897618</v>
      </c>
      <c r="Y32" s="690">
        <f>+HLOOKUP(A32,'תחשיב תעריף 2016'!$4:$82,79,0)</f>
        <v>3.4290718765826078</v>
      </c>
      <c r="Z32" s="690">
        <f>HLOOKUP(A32,'נתוני תאגידים'!$1:$1000,958,0)</f>
        <v>201.16</v>
      </c>
      <c r="AA32" s="1021">
        <f t="shared" si="8"/>
        <v>9.1156684501453888</v>
      </c>
      <c r="AB32" s="1015">
        <f t="shared" si="24"/>
        <v>1833.7078654312463</v>
      </c>
      <c r="AC32" s="1017">
        <f t="shared" si="25"/>
        <v>3.1447879449316698</v>
      </c>
      <c r="AD32" s="1018">
        <f t="shared" si="26"/>
        <v>632.60554300245474</v>
      </c>
      <c r="AE32" s="1020">
        <f t="shared" si="27"/>
        <v>11297.124051323</v>
      </c>
      <c r="AF32" s="1020">
        <f t="shared" si="9"/>
        <v>5839.4110000000001</v>
      </c>
      <c r="AG32" s="1020">
        <f t="shared" si="36"/>
        <v>11929.729594325456</v>
      </c>
      <c r="AH32" s="1022">
        <f t="shared" si="37"/>
        <v>2204.0170000000003</v>
      </c>
      <c r="AI32" s="1020">
        <f t="shared" si="28"/>
        <v>4.9600214846248134</v>
      </c>
      <c r="AJ32" s="1023">
        <f t="shared" si="29"/>
        <v>0.96767740380774969</v>
      </c>
      <c r="AK32" s="1023">
        <f t="shared" si="10"/>
        <v>22760.346190405689</v>
      </c>
      <c r="AL32" s="1023">
        <f t="shared" si="11"/>
        <v>2.453868250253719</v>
      </c>
      <c r="AM32" s="1021">
        <v>2.5234005231126426</v>
      </c>
      <c r="AN32" s="1021">
        <v>2.842299430257591</v>
      </c>
      <c r="AO32" s="1021">
        <f t="shared" si="12"/>
        <v>-6.9532272858923605E-2</v>
      </c>
      <c r="AP32" s="1023" t="e">
        <f>+#REF!-AN32</f>
        <v>#REF!</v>
      </c>
      <c r="AQ32" s="1021"/>
      <c r="AR32" s="1024">
        <v>315.36806057920774</v>
      </c>
      <c r="AS32" s="1023">
        <f t="shared" si="13"/>
        <v>1.187011322415108</v>
      </c>
      <c r="AT32" s="1023">
        <f t="shared" si="14"/>
        <v>0</v>
      </c>
      <c r="AU32" s="1015">
        <f t="shared" si="15"/>
        <v>0</v>
      </c>
      <c r="AV32" s="690">
        <f t="shared" si="16"/>
        <v>4.9600214846248134</v>
      </c>
      <c r="AW32" s="690">
        <f t="shared" si="17"/>
        <v>5.1256973296136099</v>
      </c>
      <c r="AX32" s="1025" t="s">
        <v>255</v>
      </c>
      <c r="AY32" s="1026"/>
      <c r="AZ32" s="1026">
        <f t="shared" si="18"/>
        <v>15990.610373688254</v>
      </c>
      <c r="BA32" s="1027">
        <f t="shared" si="19"/>
        <v>8778.7019818613699</v>
      </c>
      <c r="BB32" s="1027">
        <f t="shared" si="20"/>
        <v>20878.76033452987</v>
      </c>
      <c r="BC32" s="1027">
        <f t="shared" si="21"/>
        <v>10931.971672478328</v>
      </c>
      <c r="BD32" s="1027">
        <f t="shared" si="22"/>
        <v>3063.1586862168206</v>
      </c>
      <c r="BE32" s="1028">
        <f>+VLOOKUP(A32,'נתוני מים 2011 מעודכן'!$B:$S,5,0)/1000</f>
        <v>668.14</v>
      </c>
      <c r="BF32" s="1028" t="str">
        <f t="shared" si="30"/>
        <v>מפיק ארצי</v>
      </c>
      <c r="BG32" s="1029">
        <f t="shared" si="31"/>
        <v>0</v>
      </c>
      <c r="BH32" s="719">
        <f t="shared" si="32"/>
        <v>0</v>
      </c>
      <c r="BI32" s="1029">
        <f t="shared" si="33"/>
        <v>4.9600214846248134</v>
      </c>
      <c r="BJ32" s="483"/>
    </row>
    <row r="33" spans="1:62" x14ac:dyDescent="0.2">
      <c r="A33" s="671" t="s">
        <v>660</v>
      </c>
      <c r="B33" s="673">
        <f>+HLOOKUP(A33,'תחשיב תעריף 2016'!$4:$67,48,0)/(1-P33)</f>
        <v>7.2050304109517151</v>
      </c>
      <c r="C33" s="673">
        <f>+HLOOKUP(A33,'תחשיב תעריף 2016'!$4:$67,49,0)/(1-P33)</f>
        <v>3.2344720353171974</v>
      </c>
      <c r="D33" s="673">
        <f>+HLOOKUP(A33,'תחשיב תעריף 2016'!$4:$67,50,0)/(1-P33)</f>
        <v>3.5050330392130862</v>
      </c>
      <c r="E33" s="673">
        <f t="shared" si="0"/>
        <v>6.7395050745302836</v>
      </c>
      <c r="F33" s="673">
        <f t="shared" si="1"/>
        <v>12633.781859643428</v>
      </c>
      <c r="G33" s="674">
        <f>+HLOOKUP(A33,'תחשיב תעריף 2016'!$4:$67,12,0)</f>
        <v>3747.5639999999999</v>
      </c>
      <c r="H33" s="674">
        <f>+(HLOOKUP(A33,'נתוני תאגידים'!$1:$539,358,0))*3.5*12</f>
        <v>1874.5860000000002</v>
      </c>
      <c r="I33" s="674">
        <f t="shared" si="34"/>
        <v>1872.9779999999996</v>
      </c>
      <c r="J33" s="673">
        <f>+HLOOKUP(A33,'תחשיב תעריף 2016'!$4:$82,64,0)</f>
        <v>0.83529091187687665</v>
      </c>
      <c r="K33" s="673">
        <f>+HLOOKUP(A33,'תחשיב תעריף 2016'!$4:$82,57,0)</f>
        <v>4.7739769190753787</v>
      </c>
      <c r="L33" s="673">
        <f t="shared" si="2"/>
        <v>13494.863449043518</v>
      </c>
      <c r="M33" s="673">
        <f t="shared" si="3"/>
        <v>6063.2959947971249</v>
      </c>
      <c r="N33" s="673" t="e">
        <f>I33*#REF!</f>
        <v>#REF!</v>
      </c>
      <c r="O33" s="673">
        <f t="shared" si="4"/>
        <v>12633.781859643428</v>
      </c>
      <c r="P33" s="675">
        <f>+HLOOKUP(A33,'תחשיב תעריף 2016'!$4:$67,18,0)</f>
        <v>1.4999999999999999E-2</v>
      </c>
      <c r="Q33" s="675">
        <f>+HLOOKUP(A33,'תחשיב תעריף 2016'!$4:$67,17,0)</f>
        <v>7.0000000000000007E-2</v>
      </c>
      <c r="R33" s="673">
        <f t="shared" si="35"/>
        <v>10.561938969631239</v>
      </c>
      <c r="S33" s="673">
        <f t="shared" si="5"/>
        <v>2.282929011342774</v>
      </c>
      <c r="T33" s="673">
        <f t="shared" si="6"/>
        <v>2.2226277565953563</v>
      </c>
      <c r="U33" s="673">
        <f t="shared" si="7"/>
        <v>8.3393112130358826</v>
      </c>
      <c r="V33" s="673">
        <f>+HLOOKUP(A33,'תחשיב תעריף 2016'!$4:$82,72,0)</f>
        <v>5.9964534039326338</v>
      </c>
      <c r="W33" s="676">
        <f>HLOOKUP(A33,'נתוני תאגידים'!$1:$473,356,0)</f>
        <v>487.988</v>
      </c>
      <c r="X33" s="676">
        <f t="shared" si="23"/>
        <v>2926.1973036782783</v>
      </c>
      <c r="Y33" s="673">
        <f>+HLOOKUP(A33,'תחשיב תעריף 2016'!$4:$82,79,0)</f>
        <v>3.6197803619268734</v>
      </c>
      <c r="Z33" s="673">
        <f>HLOOKUP(A33,'נתוני תאגידים'!$1:$1000,958,0)</f>
        <v>144.37899999999999</v>
      </c>
      <c r="AA33" s="677">
        <f t="shared" si="8"/>
        <v>9.5014864431457191</v>
      </c>
      <c r="AB33" s="671">
        <f t="shared" si="24"/>
        <v>1371.8151111749357</v>
      </c>
      <c r="AC33" s="673">
        <f t="shared" si="25"/>
        <v>2.7848071958774612</v>
      </c>
      <c r="AD33" s="674">
        <f t="shared" si="26"/>
        <v>402.06767813359193</v>
      </c>
      <c r="AE33" s="676">
        <f t="shared" si="27"/>
        <v>5922.6482795510228</v>
      </c>
      <c r="AF33" s="676">
        <f t="shared" si="9"/>
        <v>4235.5519999999997</v>
      </c>
      <c r="AG33" s="676">
        <f t="shared" si="36"/>
        <v>6324.7159576846152</v>
      </c>
      <c r="AH33" s="678">
        <f t="shared" si="37"/>
        <v>1240.6109999999996</v>
      </c>
      <c r="AI33" s="676">
        <f t="shared" si="28"/>
        <v>4.566614890854531</v>
      </c>
      <c r="AJ33" s="679">
        <f t="shared" si="29"/>
        <v>0.95656409074951931</v>
      </c>
      <c r="AK33" s="679">
        <f t="shared" si="10"/>
        <v>13287.022526972401</v>
      </c>
      <c r="AL33" s="679">
        <f t="shared" si="11"/>
        <v>2.2631597649094535</v>
      </c>
      <c r="AM33" s="677">
        <v>2.861741089192976</v>
      </c>
      <c r="AN33" s="677">
        <v>3.1806399963379244</v>
      </c>
      <c r="AO33" s="677">
        <f t="shared" si="12"/>
        <v>-0.59858132428352251</v>
      </c>
      <c r="AP33" s="679" t="e">
        <f>+#REF!-AN33</f>
        <v>#REF!</v>
      </c>
      <c r="AQ33" s="677"/>
      <c r="AR33" s="680">
        <v>113.91800000000001</v>
      </c>
      <c r="AS33" s="679">
        <f t="shared" si="13"/>
        <v>0.83529091187687665</v>
      </c>
      <c r="AT33" s="679">
        <f t="shared" si="14"/>
        <v>0</v>
      </c>
      <c r="AU33" s="671">
        <f t="shared" si="15"/>
        <v>0</v>
      </c>
      <c r="AV33" s="679">
        <f t="shared" si="16"/>
        <v>4.566614890854531</v>
      </c>
      <c r="AW33" s="748">
        <f t="shared" si="17"/>
        <v>4.7739769190753787</v>
      </c>
      <c r="AX33" s="693" t="s">
        <v>660</v>
      </c>
      <c r="AY33" s="658"/>
      <c r="AZ33" s="749">
        <f t="shared" si="18"/>
        <v>13135.335636565549</v>
      </c>
      <c r="BA33" s="50">
        <f t="shared" si="19"/>
        <v>6063.2959947971249</v>
      </c>
      <c r="BB33" s="50">
        <f t="shared" si="20"/>
        <v>13494.863449043518</v>
      </c>
      <c r="BC33" s="50">
        <f t="shared" si="21"/>
        <v>5665.3926663579286</v>
      </c>
      <c r="BD33" s="50">
        <f t="shared" si="22"/>
        <v>1565.8246493316269</v>
      </c>
      <c r="BE33" s="5">
        <f>+VLOOKUP(A33,'נתוני מים 2011 מעודכן'!$B:$S,5,0)/1000</f>
        <v>0</v>
      </c>
      <c r="BF33" s="5">
        <f t="shared" si="30"/>
        <v>0</v>
      </c>
      <c r="BG33" s="42">
        <f t="shared" si="31"/>
        <v>0</v>
      </c>
      <c r="BH33" s="1">
        <f t="shared" si="32"/>
        <v>0</v>
      </c>
      <c r="BI33" s="42">
        <f t="shared" si="33"/>
        <v>4.566614890854531</v>
      </c>
      <c r="BJ33" s="483"/>
    </row>
    <row r="34" spans="1:62" x14ac:dyDescent="0.2">
      <c r="A34" s="683" t="s">
        <v>269</v>
      </c>
      <c r="B34" s="657">
        <f>+HLOOKUP(A34,'תחשיב תעריף 2016'!$4:$67,48,0)/(1-P34)</f>
        <v>7.7645816879143847</v>
      </c>
      <c r="C34" s="657">
        <f>+HLOOKUP(A34,'תחשיב תעריף 2016'!$4:$67,49,0)/(1-P34)</f>
        <v>3.6142460693967982</v>
      </c>
      <c r="D34" s="684">
        <f>+HLOOKUP(A34,'תחשיב תעריף 2016'!$4:$67,50,0)/(1-P34)</f>
        <v>3.5013876332036267</v>
      </c>
      <c r="E34" s="684">
        <f t="shared" si="0"/>
        <v>7.1156337026004248</v>
      </c>
      <c r="F34" s="684">
        <f t="shared" si="1"/>
        <v>18058.709848759998</v>
      </c>
      <c r="G34" s="685">
        <f>+HLOOKUP(A34,'תחשיב תעריף 2016'!$4:$67,12,0)</f>
        <v>3174.326</v>
      </c>
      <c r="H34" s="685">
        <f>+(HLOOKUP(A34,'נתוני תאגידים'!$1:$539,358,0))*3.5*12</f>
        <v>2537.8920000000003</v>
      </c>
      <c r="I34" s="685">
        <f t="shared" si="34"/>
        <v>636.43399999999974</v>
      </c>
      <c r="J34" s="684">
        <f>+HLOOKUP(A34,'תחשיב תעריף 2016'!$4:$82,64,0)</f>
        <v>0.55027905833562329</v>
      </c>
      <c r="K34" s="684">
        <f>+HLOOKUP(A34,'תחשיב תעריף 2016'!$4:$82,57,0)</f>
        <v>4.3183557037762483</v>
      </c>
      <c r="L34" s="684">
        <f t="shared" si="2"/>
        <v>4941.6437819661014</v>
      </c>
      <c r="M34" s="684">
        <f t="shared" si="3"/>
        <v>9172.56618555358</v>
      </c>
      <c r="N34" s="684" t="e">
        <f>I34*#REF!</f>
        <v>#REF!</v>
      </c>
      <c r="O34" s="684">
        <f t="shared" si="4"/>
        <v>18058.709848759998</v>
      </c>
      <c r="P34" s="686">
        <f>+HLOOKUP(A34,'תחשיב תעריף 2016'!$4:$67,18,0)</f>
        <v>5.766656977082564E-2</v>
      </c>
      <c r="Q34" s="686">
        <f>+HLOOKUP(A34,'תחשיב תעריף 2016'!$4:$67,17,0)</f>
        <v>0.10845768184372293</v>
      </c>
      <c r="R34" s="684">
        <f t="shared" si="35"/>
        <v>10.561938969631239</v>
      </c>
      <c r="S34" s="684">
        <f t="shared" si="5"/>
        <v>2.7421956326513639</v>
      </c>
      <c r="T34" s="684">
        <f t="shared" si="6"/>
        <v>2.5112850161460694</v>
      </c>
      <c r="U34" s="684">
        <f t="shared" si="7"/>
        <v>8.0506539534851704</v>
      </c>
      <c r="V34" s="684">
        <f>+HLOOKUP(A34,'תחשיב תעריף 2016'!$4:$82,72,0)</f>
        <v>6.2163233454121904</v>
      </c>
      <c r="W34" s="687">
        <f>HLOOKUP(A34,'נתוני תאגידים'!$1:$473,356,0)</f>
        <v>45.677999999999997</v>
      </c>
      <c r="X34" s="687">
        <f t="shared" si="23"/>
        <v>283.94921777173801</v>
      </c>
      <c r="Y34" s="690">
        <f>+HLOOKUP(A34,'תחשיב תעריף 2016'!$4:$82,79,0)</f>
        <v>3.2107194997288531</v>
      </c>
      <c r="Z34" s="690">
        <f>HLOOKUP(A34,'נתוני תאגידים'!$1:$1000,958,0)</f>
        <v>138.916</v>
      </c>
      <c r="AA34" s="688">
        <f t="shared" si="8"/>
        <v>9.7177109786158162</v>
      </c>
      <c r="AB34" s="683">
        <f t="shared" si="24"/>
        <v>1349.9455383053946</v>
      </c>
      <c r="AC34" s="684">
        <f t="shared" si="25"/>
        <v>2.3793917396889004</v>
      </c>
      <c r="AD34" s="685">
        <f t="shared" si="26"/>
        <v>330.5355829106233</v>
      </c>
      <c r="AE34" s="687">
        <f t="shared" si="27"/>
        <v>1951.2058411942589</v>
      </c>
      <c r="AF34" s="687">
        <f t="shared" si="9"/>
        <v>3220.0039999999999</v>
      </c>
      <c r="AG34" s="687">
        <f t="shared" si="36"/>
        <v>2281.7414241048823</v>
      </c>
      <c r="AH34" s="689">
        <f t="shared" si="37"/>
        <v>451.83999999999975</v>
      </c>
      <c r="AI34" s="687">
        <f t="shared" si="28"/>
        <v>3.8624092249674709</v>
      </c>
      <c r="AJ34" s="690">
        <f t="shared" si="29"/>
        <v>0.894416646037271</v>
      </c>
      <c r="AK34" s="690">
        <f t="shared" si="10"/>
        <v>5090.4155780539586</v>
      </c>
      <c r="AL34" s="690">
        <f t="shared" si="11"/>
        <v>2.6722206271074738</v>
      </c>
      <c r="AM34" s="688">
        <v>3.4173516838593367</v>
      </c>
      <c r="AN34" s="688">
        <v>3.7362505910042851</v>
      </c>
      <c r="AO34" s="688">
        <f t="shared" si="12"/>
        <v>-0.74513105675186297</v>
      </c>
      <c r="AP34" s="690" t="e">
        <f>+#REF!-AN34</f>
        <v>#REF!</v>
      </c>
      <c r="AQ34" s="688"/>
      <c r="AR34" s="691">
        <v>125.7253020370358</v>
      </c>
      <c r="AS34" s="690">
        <f t="shared" si="13"/>
        <v>0.55027905833562329</v>
      </c>
      <c r="AT34" s="690">
        <f t="shared" si="14"/>
        <v>0</v>
      </c>
      <c r="AU34" s="683">
        <f t="shared" si="15"/>
        <v>0</v>
      </c>
      <c r="AV34" s="690">
        <f t="shared" si="16"/>
        <v>3.8624092249674709</v>
      </c>
      <c r="AW34" s="690">
        <f t="shared" si="17"/>
        <v>4.3183557037762483</v>
      </c>
      <c r="AX34" s="692" t="s">
        <v>269</v>
      </c>
      <c r="AY34" s="659"/>
      <c r="AZ34" s="659">
        <f t="shared" si="18"/>
        <v>11114.545800156735</v>
      </c>
      <c r="BA34" s="50">
        <f t="shared" si="19"/>
        <v>9172.56618555358</v>
      </c>
      <c r="BB34" s="50">
        <f t="shared" si="20"/>
        <v>4941.6437819661014</v>
      </c>
      <c r="BC34" s="50">
        <f t="shared" si="21"/>
        <v>1745.190984209301</v>
      </c>
      <c r="BD34" s="50">
        <f t="shared" si="22"/>
        <v>1396.5488199175118</v>
      </c>
      <c r="BE34" s="5">
        <f>+VLOOKUP(A34,'נתוני מים 2011 מעודכן'!$B:$S,5,0)/1000</f>
        <v>0</v>
      </c>
      <c r="BF34" s="5">
        <f t="shared" si="30"/>
        <v>0</v>
      </c>
      <c r="BG34" s="42">
        <f t="shared" si="31"/>
        <v>0</v>
      </c>
      <c r="BH34" s="1">
        <f t="shared" si="32"/>
        <v>0</v>
      </c>
      <c r="BI34" s="42">
        <f t="shared" si="33"/>
        <v>3.8624092249674709</v>
      </c>
      <c r="BJ34" s="483"/>
    </row>
    <row r="35" spans="1:62" x14ac:dyDescent="0.2">
      <c r="A35" s="671" t="s">
        <v>262</v>
      </c>
      <c r="B35" s="673">
        <f>+HLOOKUP(A35,'תחשיב תעריף 2016'!$4:$67,48,0)/(1-P35)</f>
        <v>6.9629739179437227</v>
      </c>
      <c r="C35" s="673">
        <f>+HLOOKUP(A35,'תחשיב תעריף 2016'!$4:$67,49,0)/(1-P35)</f>
        <v>2.9924155423092049</v>
      </c>
      <c r="D35" s="673">
        <f>+HLOOKUP(A35,'תחשיב תעריף 2016'!$4:$67,50,0)/(1-P35)</f>
        <v>3.754610180951671</v>
      </c>
      <c r="E35" s="673">
        <f t="shared" ref="E35:E58" si="38">+C35+D35</f>
        <v>6.7470257232608759</v>
      </c>
      <c r="F35" s="673">
        <f t="shared" ref="F35:F58" si="39">+(C35+D35)*H35</f>
        <v>11948.510264094382</v>
      </c>
      <c r="G35" s="674">
        <f>+HLOOKUP(A35,'תחשיב תעריף 2016'!$4:$67,12,0)</f>
        <v>3853.471</v>
      </c>
      <c r="H35" s="674">
        <f>+(HLOOKUP(A35,'נתוני תאגידים'!$1:$539,358,0))*3.5*12</f>
        <v>1770.9299999999998</v>
      </c>
      <c r="I35" s="674">
        <f t="shared" ref="I35:I57" si="40">G35-H35</f>
        <v>2082.5410000000002</v>
      </c>
      <c r="J35" s="673">
        <f>+HLOOKUP(A35,'תחשיב תעריף 2016'!$4:$82,64,0)</f>
        <v>0.82840162160721731</v>
      </c>
      <c r="K35" s="673">
        <f>+HLOOKUP(A35,'תחשיב תעריף 2016'!$4:$82,57,0)</f>
        <v>4.7670876288057205</v>
      </c>
      <c r="L35" s="673">
        <f t="shared" ref="L35:L58" si="41">I35*B35</f>
        <v>14500.678666048439</v>
      </c>
      <c r="M35" s="673">
        <f t="shared" ref="M35:M58" si="42">H35*C35</f>
        <v>5299.3584563416398</v>
      </c>
      <c r="N35" s="673" t="e">
        <f>I35*#REF!</f>
        <v>#REF!</v>
      </c>
      <c r="O35" s="673">
        <f t="shared" ref="O35:O57" si="43">H35*E35</f>
        <v>11948.510264094382</v>
      </c>
      <c r="P35" s="675">
        <f>+HLOOKUP(A35,'תחשיב תעריף 2016'!$4:$67,18,0)</f>
        <v>1.4999999999999999E-2</v>
      </c>
      <c r="Q35" s="675">
        <f>+HLOOKUP(A35,'תחשיב תעריף 2016'!$4:$67,17,0)</f>
        <v>7.0000000000000007E-2</v>
      </c>
      <c r="R35" s="673">
        <f t="shared" si="35"/>
        <v>10.561938969631239</v>
      </c>
      <c r="S35" s="673">
        <f t="shared" ref="S35:S58" si="44">+$C$61-AW35-D35</f>
        <v>2.0402411598738475</v>
      </c>
      <c r="T35" s="673">
        <f t="shared" ref="T35:T58" si="45">+$E$60-AS35-D35</f>
        <v>1.9799399051264306</v>
      </c>
      <c r="U35" s="673">
        <f t="shared" ref="U35:U57" si="46">+R35-T35</f>
        <v>8.5819990645048083</v>
      </c>
      <c r="V35" s="673">
        <f>+HLOOKUP(A35,'תחשיב תעריף 2016'!$4:$82,72,0)</f>
        <v>5.758027758319761</v>
      </c>
      <c r="W35" s="676">
        <f>HLOOKUP(A35,'נתוני תאגידים'!$1:$473,356,0)</f>
        <v>406.613</v>
      </c>
      <c r="X35" s="676">
        <f t="shared" si="23"/>
        <v>2341.288940893673</v>
      </c>
      <c r="Y35" s="673">
        <f>+HLOOKUP(A35,'תחשיב תעריף 2016'!$4:$82,79,0)</f>
        <v>3.8587245562697206</v>
      </c>
      <c r="Z35" s="673">
        <f>HLOOKUP(A35,'נתוני תאגידים'!$1:$1000,958,0)</f>
        <v>107.675</v>
      </c>
      <c r="AA35" s="677">
        <f t="shared" ref="AA35:AA57" si="47">+V35+D35</f>
        <v>9.512637939271432</v>
      </c>
      <c r="AB35" s="671">
        <f t="shared" si="24"/>
        <v>1024.2732901110514</v>
      </c>
      <c r="AC35" s="673">
        <f t="shared" ref="AC35:AC57" si="48">+$B$69-$B$68-D35+Y35</f>
        <v>2.7741742484817236</v>
      </c>
      <c r="AD35" s="674">
        <f t="shared" si="26"/>
        <v>298.70921220526958</v>
      </c>
      <c r="AE35" s="676">
        <f t="shared" ref="AE35:AE57" si="49">+K35*AH35</f>
        <v>7475.9994751374579</v>
      </c>
      <c r="AF35" s="676">
        <f t="shared" ref="AF35:AF57" si="50">+W35+G35</f>
        <v>4260.0839999999998</v>
      </c>
      <c r="AG35" s="676">
        <f t="shared" si="36"/>
        <v>7774.7086873427279</v>
      </c>
      <c r="AH35" s="678">
        <f t="shared" si="37"/>
        <v>1568.2530000000002</v>
      </c>
      <c r="AI35" s="679">
        <f t="shared" ref="AI35:AI57" si="51">+AG35/(AH35+Z35)</f>
        <v>4.6390469562789853</v>
      </c>
      <c r="AJ35" s="679">
        <f t="shared" ref="AJ35:AJ56" si="52">+AI35/K35</f>
        <v>0.97314069249471447</v>
      </c>
      <c r="AK35" s="679">
        <f t="shared" ref="AK35:AK58" si="53">+AH35*(B35+D35)</f>
        <v>16807.883415845001</v>
      </c>
      <c r="AL35" s="679">
        <f t="shared" ref="AL35:AL58" si="54">+$B$68-Y35</f>
        <v>2.0242155705666063</v>
      </c>
      <c r="AM35" s="677">
        <v>2.5562625985763185</v>
      </c>
      <c r="AN35" s="677">
        <v>2.8751615057212669</v>
      </c>
      <c r="AO35" s="677">
        <f t="shared" ref="AO35:AO57" si="55">+AL35-AM35</f>
        <v>-0.53204702800971226</v>
      </c>
      <c r="AP35" s="679" t="e">
        <f>+#REF!-AN35</f>
        <v>#REF!</v>
      </c>
      <c r="AQ35" s="677"/>
      <c r="AR35" s="680">
        <v>44.279000000000003</v>
      </c>
      <c r="AS35" s="679">
        <f t="shared" ref="AS35:AS58" si="56">+IF(J35&gt;$AS$1,J35,$AS$1)</f>
        <v>0.82840162160721731</v>
      </c>
      <c r="AT35" s="679">
        <f t="shared" ref="AT35:AT58" si="57">+AS35-J35</f>
        <v>0</v>
      </c>
      <c r="AU35" s="671">
        <f t="shared" ref="AU35:AU58" si="58">-IF(J35&gt;$AS$1,0,J35-$AS$1)*$AU$1</f>
        <v>0</v>
      </c>
      <c r="AV35" s="679">
        <f t="shared" ref="AV35:AV58" si="59">+IF(AS35&lt;$AS$1,$AS$1,+IF((AI35-AU35)&lt;$AS$1,$AS$1,AI35-AU35))</f>
        <v>4.6390469562789853</v>
      </c>
      <c r="AW35" s="748">
        <f t="shared" ref="AW35:AW58" si="60">+IF(AS35&lt;$AS$1,$AS$1,+IF((K35-AU35)&lt;$AS$1,$AS$1,K35-AU35))</f>
        <v>4.7670876288057205</v>
      </c>
      <c r="AX35" s="693" t="s">
        <v>262</v>
      </c>
      <c r="AY35" s="658"/>
      <c r="AZ35" s="749">
        <f t="shared" ref="AZ35:AZ58" si="61">+D35*G35</f>
        <v>14468.281448602016</v>
      </c>
      <c r="BA35" s="50">
        <f t="shared" ref="BA35:BA58" si="62">+H35*C35</f>
        <v>5299.3584563416398</v>
      </c>
      <c r="BB35" s="50">
        <f t="shared" ref="BB35:BB58" si="63">+B35*I35</f>
        <v>14500.678666048439</v>
      </c>
      <c r="BC35" s="50">
        <f t="shared" ref="BC35:BC58" si="64">+AV35*AH35</f>
        <v>7275.1993063253885</v>
      </c>
      <c r="BD35" s="50">
        <f t="shared" ref="BD35:BD58" si="65">+AS35*H35</f>
        <v>1467.0412837528693</v>
      </c>
      <c r="BE35" s="5">
        <f>+VLOOKUP(A35,'נתוני מים 2011 מעודכן'!$B:$S,5,0)/1000</f>
        <v>0</v>
      </c>
      <c r="BF35" s="5">
        <f t="shared" si="30"/>
        <v>0</v>
      </c>
      <c r="BG35" s="42">
        <f t="shared" si="31"/>
        <v>0</v>
      </c>
      <c r="BH35" s="1">
        <f t="shared" si="32"/>
        <v>0</v>
      </c>
      <c r="BI35" s="42">
        <f t="shared" si="33"/>
        <v>4.6390469562789853</v>
      </c>
      <c r="BJ35" s="483"/>
    </row>
    <row r="36" spans="1:62" s="719" customFormat="1" x14ac:dyDescent="0.2">
      <c r="A36" s="1015" t="s">
        <v>263</v>
      </c>
      <c r="B36" s="1016">
        <f>+HLOOKUP(A36,'תחשיב תעריף 2016'!$4:$67,48,0)/(1-P36)</f>
        <v>6.7203199752877074</v>
      </c>
      <c r="C36" s="1016">
        <f>+HLOOKUP(A36,'תחשיב תעריף 2016'!$4:$67,49,0)/(1-P36)</f>
        <v>2.7497615996531897</v>
      </c>
      <c r="D36" s="1017">
        <f>+HLOOKUP(A36,'תחשיב תעריף 2016'!$4:$67,50,0)/(1-P36)</f>
        <v>3.9266308102410958</v>
      </c>
      <c r="E36" s="1017">
        <f t="shared" si="38"/>
        <v>6.6763924098942855</v>
      </c>
      <c r="F36" s="1017">
        <f t="shared" si="39"/>
        <v>13990.139944806719</v>
      </c>
      <c r="G36" s="1018">
        <f>+HLOOKUP(A36,'תחשיב תעריף 2016'!$4:$67,12,0)</f>
        <v>3276.6880000000001</v>
      </c>
      <c r="H36" s="685">
        <f>+(HLOOKUP(A36,'נתוני תאגידים'!$1:$539,358,0))*3.5*12</f>
        <v>2095.4639999999999</v>
      </c>
      <c r="I36" s="1018">
        <f t="shared" si="40"/>
        <v>1181.2240000000002</v>
      </c>
      <c r="J36" s="684">
        <f>+HLOOKUP(A36,'תחשיב תעריף 2016'!$4:$82,64,0)</f>
        <v>0.89420349927290699</v>
      </c>
      <c r="K36" s="684">
        <f>+HLOOKUP(A36,'תחשיב תעריף 2016'!$4:$82,57,0)</f>
        <v>4.8328895064714095</v>
      </c>
      <c r="L36" s="1017">
        <f t="shared" si="41"/>
        <v>7938.2032424892477</v>
      </c>
      <c r="M36" s="1017">
        <f t="shared" si="42"/>
        <v>5762.0264406556716</v>
      </c>
      <c r="N36" s="1017" t="e">
        <f>I36*#REF!</f>
        <v>#REF!</v>
      </c>
      <c r="O36" s="1017">
        <f t="shared" si="43"/>
        <v>13990.139944806719</v>
      </c>
      <c r="P36" s="1019">
        <f>+HLOOKUP(A36,'תחשיב תעריף 2016'!$4:$67,18,0)</f>
        <v>1.4999999999999999E-2</v>
      </c>
      <c r="Q36" s="1019">
        <f>+HLOOKUP(A36,'תחשיב תעריף 2016'!$4:$67,17,0)</f>
        <v>8.2785529792870446E-2</v>
      </c>
      <c r="R36" s="1017">
        <f t="shared" si="35"/>
        <v>10.561938969631239</v>
      </c>
      <c r="S36" s="684">
        <f t="shared" si="44"/>
        <v>1.8024186529187336</v>
      </c>
      <c r="T36" s="684">
        <f t="shared" si="45"/>
        <v>1.7421173981713167</v>
      </c>
      <c r="U36" s="1017">
        <f t="shared" si="46"/>
        <v>8.8198215714599222</v>
      </c>
      <c r="V36" s="1017">
        <f>+HLOOKUP(A36,'תחשיב תעריף 2016'!$4:$82,72,0)</f>
        <v>5.5190136248035859</v>
      </c>
      <c r="W36" s="687">
        <f>HLOOKUP(A36,'נתוני תאגידים'!$1:$473,356,0)</f>
        <v>220.41299999999998</v>
      </c>
      <c r="X36" s="1020">
        <f t="shared" si="23"/>
        <v>1216.4623500838327</v>
      </c>
      <c r="Y36" s="690">
        <f>+HLOOKUP(A36,'תחשיב תעריף 2016'!$4:$82,79,0)</f>
        <v>4.0939667537854936</v>
      </c>
      <c r="Z36" s="690">
        <f>HLOOKUP(A36,'נתוני תאגידים'!$1:$1000,958,0)</f>
        <v>286.89499999999998</v>
      </c>
      <c r="AA36" s="1021">
        <f t="shared" si="47"/>
        <v>9.4456444350446809</v>
      </c>
      <c r="AB36" s="1015">
        <f t="shared" si="24"/>
        <v>2709.9081601921434</v>
      </c>
      <c r="AC36" s="1017">
        <f t="shared" si="48"/>
        <v>2.8373958167080717</v>
      </c>
      <c r="AD36" s="1018">
        <f t="shared" si="26"/>
        <v>814.03467283446219</v>
      </c>
      <c r="AE36" s="1020">
        <f t="shared" si="49"/>
        <v>3256.9615646431871</v>
      </c>
      <c r="AF36" s="1020">
        <f t="shared" si="50"/>
        <v>3497.1010000000001</v>
      </c>
      <c r="AG36" s="1020">
        <f t="shared" si="36"/>
        <v>4070.9962374776492</v>
      </c>
      <c r="AH36" s="1022">
        <f t="shared" si="37"/>
        <v>673.91600000000017</v>
      </c>
      <c r="AI36" s="1020">
        <f t="shared" si="51"/>
        <v>4.2370416632174779</v>
      </c>
      <c r="AJ36" s="1023">
        <f t="shared" si="52"/>
        <v>0.87670981460344366</v>
      </c>
      <c r="AK36" s="1023">
        <f t="shared" si="53"/>
        <v>7175.1504855804305</v>
      </c>
      <c r="AL36" s="1023">
        <f t="shared" si="54"/>
        <v>1.7889733730508333</v>
      </c>
      <c r="AM36" s="1021">
        <v>2.5553174832759371</v>
      </c>
      <c r="AN36" s="1021">
        <v>2.8742163904208855</v>
      </c>
      <c r="AO36" s="1021">
        <f t="shared" si="55"/>
        <v>-0.76634411022510385</v>
      </c>
      <c r="AP36" s="1023" t="e">
        <f>+#REF!-AN36</f>
        <v>#REF!</v>
      </c>
      <c r="AQ36" s="1021"/>
      <c r="AR36" s="1024">
        <v>117.06228160502512</v>
      </c>
      <c r="AS36" s="1023">
        <f t="shared" si="56"/>
        <v>0.89420349927290699</v>
      </c>
      <c r="AT36" s="1023">
        <f t="shared" si="57"/>
        <v>0</v>
      </c>
      <c r="AU36" s="1015">
        <f t="shared" si="58"/>
        <v>0</v>
      </c>
      <c r="AV36" s="690">
        <f t="shared" si="59"/>
        <v>4.2370416632174779</v>
      </c>
      <c r="AW36" s="690">
        <f t="shared" si="60"/>
        <v>4.8328895064714095</v>
      </c>
      <c r="AX36" s="1025" t="s">
        <v>263</v>
      </c>
      <c r="AY36" s="1026"/>
      <c r="AZ36" s="1026">
        <f t="shared" si="61"/>
        <v>12866.344056347276</v>
      </c>
      <c r="BA36" s="1027">
        <f t="shared" si="62"/>
        <v>5762.0264406556716</v>
      </c>
      <c r="BB36" s="1027">
        <f t="shared" si="63"/>
        <v>7938.2032424892477</v>
      </c>
      <c r="BC36" s="1027">
        <f t="shared" si="64"/>
        <v>2855.4101695088707</v>
      </c>
      <c r="BD36" s="1027">
        <f t="shared" si="65"/>
        <v>1873.7712414004027</v>
      </c>
      <c r="BE36" s="1028">
        <f>+VLOOKUP(A36,'נתוני מים 2011 מעודכן'!$B:$S,5,0)/1000</f>
        <v>10.504</v>
      </c>
      <c r="BF36" s="1028" t="str">
        <f t="shared" si="30"/>
        <v>מפיק ארצי</v>
      </c>
      <c r="BG36" s="1029">
        <f t="shared" si="31"/>
        <v>0</v>
      </c>
      <c r="BH36" s="719">
        <f t="shared" si="32"/>
        <v>0</v>
      </c>
      <c r="BI36" s="1029">
        <f t="shared" si="33"/>
        <v>4.2370416632174779</v>
      </c>
      <c r="BJ36" s="483"/>
    </row>
    <row r="37" spans="1:62" s="719" customFormat="1" x14ac:dyDescent="0.2">
      <c r="A37" s="1030" t="s">
        <v>275</v>
      </c>
      <c r="B37" s="1031">
        <f>+HLOOKUP(A37,'תחשיב תעריף 2016'!$4:$67,48,0)/(1-P37)</f>
        <v>6.6481126999194418</v>
      </c>
      <c r="C37" s="1031">
        <f>+HLOOKUP(A37,'תחשיב תעריף 2016'!$4:$67,49,0)/(1-P37)</f>
        <v>2.6775543242849236</v>
      </c>
      <c r="D37" s="1031">
        <f>+HLOOKUP(A37,'תחשיב תעריף 2016'!$4:$67,50,0)/(1-P37)</f>
        <v>3.1501688123070957</v>
      </c>
      <c r="E37" s="1031">
        <f t="shared" si="38"/>
        <v>5.8277231365920192</v>
      </c>
      <c r="F37" s="1031">
        <f t="shared" si="39"/>
        <v>9553.6429576333067</v>
      </c>
      <c r="G37" s="1032">
        <f>+HLOOKUP(A37,'תחשיב תעריף 2016'!$4:$67,12,0)</f>
        <v>2922.759</v>
      </c>
      <c r="H37" s="674">
        <f>+(HLOOKUP(A37,'נתוני תאגידים'!$1:$539,358,0))*3.5*12</f>
        <v>1639.3440000000001</v>
      </c>
      <c r="I37" s="1032">
        <f t="shared" si="40"/>
        <v>1283.415</v>
      </c>
      <c r="J37" s="673">
        <f>+HLOOKUP(A37,'תחשיב תעריף 2016'!$4:$82,64,0)</f>
        <v>1.6705287561252233</v>
      </c>
      <c r="K37" s="673">
        <f>+HLOOKUP(A37,'תחשיב תעריף 2016'!$4:$82,57,0)</f>
        <v>5.6092147633237257</v>
      </c>
      <c r="L37" s="1031">
        <f t="shared" si="41"/>
        <v>8532.2875607671103</v>
      </c>
      <c r="M37" s="1031">
        <f t="shared" si="42"/>
        <v>4389.4326161905437</v>
      </c>
      <c r="N37" s="1031" t="e">
        <f>I37*#REF!</f>
        <v>#REF!</v>
      </c>
      <c r="O37" s="1031">
        <f t="shared" si="43"/>
        <v>9553.6429576333067</v>
      </c>
      <c r="P37" s="1033">
        <f>+HLOOKUP(A37,'תחשיב תעריף 2016'!$4:$67,18,0)</f>
        <v>1.4999999999999999E-2</v>
      </c>
      <c r="Q37" s="1033">
        <f>+HLOOKUP(A37,'תחשיב תעריף 2016'!$4:$67,17,0)</f>
        <v>7.0000000000000007E-2</v>
      </c>
      <c r="R37" s="1031">
        <f t="shared" si="35"/>
        <v>10.561938969631239</v>
      </c>
      <c r="S37" s="673">
        <f t="shared" si="44"/>
        <v>1.8025553940004175</v>
      </c>
      <c r="T37" s="673">
        <f t="shared" si="45"/>
        <v>1.7422541392530007</v>
      </c>
      <c r="U37" s="1031">
        <f t="shared" si="46"/>
        <v>8.8196848303782378</v>
      </c>
      <c r="V37" s="1031">
        <f>+HLOOKUP(A37,'תחשיב תעריף 2016'!$4:$82,72,0)</f>
        <v>5.4478894585658448</v>
      </c>
      <c r="W37" s="676">
        <f>HLOOKUP(A37,'נתוני תאגידים'!$1:$473,356,0)</f>
        <v>236.36799999999999</v>
      </c>
      <c r="X37" s="1034">
        <f t="shared" si="23"/>
        <v>1287.7067355422917</v>
      </c>
      <c r="Y37" s="673">
        <f>+HLOOKUP(A37,'תחשיב תעריף 2016'!$4:$82,79,0)</f>
        <v>4.1054769426728193</v>
      </c>
      <c r="Z37" s="673">
        <f>HLOOKUP(A37,'נתוני תאגידים'!$1:$1000,958,0)</f>
        <v>146.25</v>
      </c>
      <c r="AA37" s="1035">
        <f>+V37+D37</f>
        <v>8.5980582708729401</v>
      </c>
      <c r="AB37" s="1030">
        <f t="shared" si="24"/>
        <v>1257.4660221151676</v>
      </c>
      <c r="AC37" s="1031">
        <f t="shared" si="48"/>
        <v>3.6253680035293976</v>
      </c>
      <c r="AD37" s="1032">
        <f t="shared" si="26"/>
        <v>530.21007051617437</v>
      </c>
      <c r="AE37" s="1034">
        <f t="shared" si="49"/>
        <v>5052.7638311577221</v>
      </c>
      <c r="AF37" s="1034">
        <f t="shared" si="50"/>
        <v>3159.127</v>
      </c>
      <c r="AG37" s="1034">
        <f t="shared" si="36"/>
        <v>5582.9739016738968</v>
      </c>
      <c r="AH37" s="1036">
        <f t="shared" si="37"/>
        <v>900.79700000000003</v>
      </c>
      <c r="AI37" s="1037">
        <f t="shared" si="51"/>
        <v>5.332113937267283</v>
      </c>
      <c r="AJ37" s="1037">
        <f t="shared" si="52"/>
        <v>0.95059899865694442</v>
      </c>
      <c r="AK37" s="1037">
        <f t="shared" si="53"/>
        <v>8826.2625913691281</v>
      </c>
      <c r="AL37" s="1037">
        <f t="shared" si="54"/>
        <v>1.7774631841635076</v>
      </c>
      <c r="AM37" s="1035">
        <v>2.7921977179290551</v>
      </c>
      <c r="AN37" s="1035">
        <v>3.1110966250740035</v>
      </c>
      <c r="AO37" s="1035">
        <f t="shared" si="55"/>
        <v>-1.0147345337655476</v>
      </c>
      <c r="AP37" s="1037" t="e">
        <f>+#REF!-AN37</f>
        <v>#REF!</v>
      </c>
      <c r="AQ37" s="1035"/>
      <c r="AR37" s="1038">
        <v>1420.1062235417128</v>
      </c>
      <c r="AS37" s="1037">
        <f t="shared" si="56"/>
        <v>1.6705287561252233</v>
      </c>
      <c r="AT37" s="1037">
        <f t="shared" si="57"/>
        <v>0</v>
      </c>
      <c r="AU37" s="1030">
        <f t="shared" si="58"/>
        <v>0</v>
      </c>
      <c r="AV37" s="679">
        <f t="shared" si="59"/>
        <v>5.332113937267283</v>
      </c>
      <c r="AW37" s="748">
        <f t="shared" si="60"/>
        <v>5.6092147633237257</v>
      </c>
      <c r="AX37" s="1039" t="s">
        <v>275</v>
      </c>
      <c r="AY37" s="1040"/>
      <c r="AZ37" s="1041">
        <f t="shared" si="61"/>
        <v>9207.1842476898746</v>
      </c>
      <c r="BA37" s="1027">
        <f t="shared" si="62"/>
        <v>4389.4326161905437</v>
      </c>
      <c r="BB37" s="1027">
        <f t="shared" si="63"/>
        <v>8532.2875607671103</v>
      </c>
      <c r="BC37" s="1027">
        <f t="shared" si="64"/>
        <v>4803.1522383485571</v>
      </c>
      <c r="BD37" s="1027">
        <f t="shared" si="65"/>
        <v>2738.5712931813482</v>
      </c>
      <c r="BE37" s="1028">
        <f>+VLOOKUP(A37,'נתוני מים 2011 מעודכן'!$B:$S,5,0)/1000</f>
        <v>0</v>
      </c>
      <c r="BF37" s="1028">
        <f t="shared" si="30"/>
        <v>0</v>
      </c>
      <c r="BG37" s="1029">
        <f t="shared" si="31"/>
        <v>0</v>
      </c>
      <c r="BH37" s="719">
        <f t="shared" si="32"/>
        <v>0</v>
      </c>
      <c r="BI37" s="1029">
        <f t="shared" si="33"/>
        <v>5.332113937267283</v>
      </c>
      <c r="BJ37" s="483"/>
    </row>
    <row r="38" spans="1:62" x14ac:dyDescent="0.2">
      <c r="A38" s="683" t="s">
        <v>687</v>
      </c>
      <c r="B38" s="657">
        <f>+HLOOKUP(A38,'תחשיב תעריף 2016'!$4:$67,48,0)/(1-P38)</f>
        <v>6.6299587719538691</v>
      </c>
      <c r="C38" s="657">
        <f>+HLOOKUP(A38,'תחשיב תעריף 2016'!$4:$67,49,0)/(1-P38)</f>
        <v>2.6594003963193509</v>
      </c>
      <c r="D38" s="684">
        <f>+HLOOKUP(A38,'תחשיב תעריף 2016'!$4:$67,50,0)/(1-P38)</f>
        <v>3.8606383723920703</v>
      </c>
      <c r="E38" s="684">
        <f t="shared" si="38"/>
        <v>6.5200387687114212</v>
      </c>
      <c r="F38" s="684">
        <f t="shared" si="39"/>
        <v>116694.32379448818</v>
      </c>
      <c r="G38" s="685">
        <f>+HLOOKUP(A38,'תחשיב תעריף 2016'!$4:$67,12,0)</f>
        <v>46124.361000000004</v>
      </c>
      <c r="H38" s="685">
        <f>+(HLOOKUP(A38,'נתוני תאגידים'!$1:$539,358,0))*3.5*12</f>
        <v>17897.795999999998</v>
      </c>
      <c r="I38" s="685">
        <f t="shared" si="40"/>
        <v>28226.565000000006</v>
      </c>
      <c r="J38" s="684">
        <f>+HLOOKUP(A38,'תחשיב תעריף 2016'!$4:$82,64,0)</f>
        <v>1.0364180392940001</v>
      </c>
      <c r="K38" s="684">
        <f>+HLOOKUP(A38,'תחשיב תעריף 2016'!$4:$82,57,0)</f>
        <v>4.9751040464925023</v>
      </c>
      <c r="L38" s="684">
        <f t="shared" si="41"/>
        <v>187140.96222387609</v>
      </c>
      <c r="M38" s="684">
        <f t="shared" si="42"/>
        <v>47597.405775642888</v>
      </c>
      <c r="N38" s="684" t="e">
        <f>I38*#REF!</f>
        <v>#REF!</v>
      </c>
      <c r="O38" s="684">
        <f t="shared" si="43"/>
        <v>116694.32379448818</v>
      </c>
      <c r="P38" s="686">
        <f>+HLOOKUP(A38,'תחשיב תעריף 2016'!$4:$67,18,0)</f>
        <v>1.4999999999999999E-2</v>
      </c>
      <c r="Q38" s="686">
        <f>+HLOOKUP(A38,'תחשיב תעריף 2016'!$4:$67,17,0)</f>
        <v>6.8751790455629902E-2</v>
      </c>
      <c r="R38" s="684">
        <f t="shared" si="35"/>
        <v>10.561938969631239</v>
      </c>
      <c r="S38" s="684">
        <f t="shared" si="44"/>
        <v>1.7261965507466663</v>
      </c>
      <c r="T38" s="684">
        <f t="shared" si="45"/>
        <v>1.6658952959992486</v>
      </c>
      <c r="U38" s="684">
        <f t="shared" si="46"/>
        <v>8.8960436736319899</v>
      </c>
      <c r="V38" s="684">
        <f>+HLOOKUP(A38,'תחשיב תעריף 2016'!$4:$82,72,0)</f>
        <v>5.4300078395197549</v>
      </c>
      <c r="W38" s="687">
        <f>HLOOKUP(A38,'נתוני תאגידים'!$1:$473,356,0)</f>
        <v>3443.5680000000002</v>
      </c>
      <c r="X38" s="687">
        <f t="shared" si="23"/>
        <v>18698.601235919363</v>
      </c>
      <c r="Y38" s="690">
        <f>+HLOOKUP(A38,'תחשיב תעריף 2016'!$4:$82,79,0)</f>
        <v>4.1711787425252957</v>
      </c>
      <c r="Z38" s="690">
        <f>HLOOKUP(A38,'נתוני תאגידים'!$1:$1000,958,0)</f>
        <v>753.81899999999996</v>
      </c>
      <c r="AA38" s="688">
        <f t="shared" si="47"/>
        <v>9.2906462119118256</v>
      </c>
      <c r="AB38" s="683">
        <f t="shared" si="24"/>
        <v>7003.46563681716</v>
      </c>
      <c r="AC38" s="684">
        <f t="shared" si="48"/>
        <v>2.9806002432968994</v>
      </c>
      <c r="AD38" s="685">
        <f t="shared" si="26"/>
        <v>2246.8330948018252</v>
      </c>
      <c r="AE38" s="687">
        <f t="shared" si="49"/>
        <v>119547.66070168864</v>
      </c>
      <c r="AF38" s="687">
        <f t="shared" si="50"/>
        <v>49567.929000000004</v>
      </c>
      <c r="AG38" s="687">
        <f t="shared" si="36"/>
        <v>121794.49379649047</v>
      </c>
      <c r="AH38" s="689">
        <f t="shared" si="37"/>
        <v>24029.178000000007</v>
      </c>
      <c r="AI38" s="690">
        <f t="shared" si="51"/>
        <v>4.9144376604851479</v>
      </c>
      <c r="AJ38" s="690">
        <f t="shared" si="52"/>
        <v>0.98780600657987749</v>
      </c>
      <c r="AK38" s="690">
        <f t="shared" si="53"/>
        <v>252080.42610778034</v>
      </c>
      <c r="AL38" s="690">
        <f t="shared" si="54"/>
        <v>1.7117613843110311</v>
      </c>
      <c r="AM38" s="688">
        <v>2.8004034089049226</v>
      </c>
      <c r="AN38" s="688">
        <v>3.119302316049871</v>
      </c>
      <c r="AO38" s="688">
        <f t="shared" si="55"/>
        <v>-1.0886420245938915</v>
      </c>
      <c r="AP38" s="690" t="e">
        <f>+#REF!-AN38</f>
        <v>#REF!</v>
      </c>
      <c r="AQ38" s="688"/>
      <c r="AR38" s="691">
        <v>174.07029267482073</v>
      </c>
      <c r="AS38" s="690">
        <f t="shared" si="56"/>
        <v>1.0364180392940001</v>
      </c>
      <c r="AT38" s="690">
        <f t="shared" si="57"/>
        <v>0</v>
      </c>
      <c r="AU38" s="683">
        <f t="shared" si="58"/>
        <v>0</v>
      </c>
      <c r="AV38" s="690">
        <f t="shared" si="59"/>
        <v>4.9144376604851479</v>
      </c>
      <c r="AW38" s="690">
        <f t="shared" si="60"/>
        <v>4.9751040464925023</v>
      </c>
      <c r="AX38" s="692" t="s">
        <v>941</v>
      </c>
      <c r="AY38" s="659"/>
      <c r="AZ38" s="659">
        <f t="shared" si="61"/>
        <v>178069.4779786643</v>
      </c>
      <c r="BA38" s="50">
        <f t="shared" si="62"/>
        <v>47597.405775642888</v>
      </c>
      <c r="BB38" s="50">
        <f t="shared" si="63"/>
        <v>187140.96222387609</v>
      </c>
      <c r="BC38" s="50">
        <f t="shared" si="64"/>
        <v>118089.89731370122</v>
      </c>
      <c r="BD38" s="50">
        <f t="shared" si="65"/>
        <v>18549.598638003998</v>
      </c>
      <c r="BE38" s="5">
        <f>+VLOOKUP(A38,'נתוני מים 2011 מעודכן'!$B:$S,5,0)/1000</f>
        <v>4468.4489999999996</v>
      </c>
      <c r="BF38" s="5" t="str">
        <f t="shared" si="30"/>
        <v>מפיק ארצי</v>
      </c>
      <c r="BG38" s="42">
        <f t="shared" si="31"/>
        <v>0</v>
      </c>
      <c r="BH38" s="1">
        <f t="shared" si="32"/>
        <v>0</v>
      </c>
      <c r="BI38" s="42">
        <f t="shared" si="33"/>
        <v>4.9144376604851479</v>
      </c>
      <c r="BJ38" s="483"/>
    </row>
    <row r="39" spans="1:62" s="719" customFormat="1" x14ac:dyDescent="0.2">
      <c r="A39" s="1030" t="s">
        <v>259</v>
      </c>
      <c r="B39" s="1031">
        <f>+HLOOKUP(A39,'תחשיב תעריף 2016'!$4:$67,48,0)/(1-P39)</f>
        <v>7.1583273219828918</v>
      </c>
      <c r="C39" s="1031">
        <f>+HLOOKUP(A39,'תחשיב תעריף 2016'!$4:$67,49,0)/(1-P39)</f>
        <v>3.187768946348374</v>
      </c>
      <c r="D39" s="1031">
        <f>+HLOOKUP(A39,'תחשיב תעריף 2016'!$4:$67,50,0)/(1-P39)</f>
        <v>3.0955920338370246</v>
      </c>
      <c r="E39" s="1031">
        <f t="shared" si="38"/>
        <v>6.2833609801853987</v>
      </c>
      <c r="F39" s="1031">
        <f t="shared" si="39"/>
        <v>18712.175733763088</v>
      </c>
      <c r="G39" s="1032">
        <f>+HLOOKUP(A39,'תחשיב תעריף 2016'!$4:$67,12,0)</f>
        <v>5738.3119999999999</v>
      </c>
      <c r="H39" s="674">
        <f>+(HLOOKUP(A39,'נתוני תאגידים'!$1:$539,358,0))*3.5*12</f>
        <v>2978.0520000000001</v>
      </c>
      <c r="I39" s="1032">
        <f t="shared" si="40"/>
        <v>2760.2599999999998</v>
      </c>
      <c r="J39" s="673">
        <f>+HLOOKUP(A39,'תחשיב תעריף 2016'!$4:$82,64,0)</f>
        <v>1.2537949339587093</v>
      </c>
      <c r="K39" s="673">
        <f>+HLOOKUP(A39,'תחשיב תעריף 2016'!$4:$82,57,0)</f>
        <v>5.1924809411572115</v>
      </c>
      <c r="L39" s="1031">
        <f t="shared" si="41"/>
        <v>19758.844573776496</v>
      </c>
      <c r="M39" s="1031">
        <f t="shared" si="42"/>
        <v>9493.3416862106678</v>
      </c>
      <c r="N39" s="1031" t="e">
        <f>I39*#REF!</f>
        <v>#REF!</v>
      </c>
      <c r="O39" s="1031">
        <f t="shared" si="43"/>
        <v>18712.175733763088</v>
      </c>
      <c r="P39" s="1033">
        <f>+HLOOKUP(A39,'תחשיב תעריף 2016'!$4:$67,18,0)</f>
        <v>1.4999999999999999E-2</v>
      </c>
      <c r="Q39" s="1033">
        <f>+HLOOKUP(A39,'תחשיב תעריף 2016'!$4:$67,17,0)</f>
        <v>6.7831544911584121E-2</v>
      </c>
      <c r="R39" s="1031">
        <f t="shared" si="35"/>
        <v>10.561938969631239</v>
      </c>
      <c r="S39" s="673">
        <f t="shared" si="44"/>
        <v>2.2738659946370028</v>
      </c>
      <c r="T39" s="673">
        <f t="shared" si="45"/>
        <v>2.213564739889585</v>
      </c>
      <c r="U39" s="1031">
        <f t="shared" si="46"/>
        <v>8.3483742297416548</v>
      </c>
      <c r="V39" s="1031">
        <f>+HLOOKUP(A39,'תחשיב תעריף 2016'!$4:$82,72,0)</f>
        <v>5.9504508612983429</v>
      </c>
      <c r="W39" s="676">
        <f>HLOOKUP(A39,'נתוני תאגידים'!$1:$473,356,0)</f>
        <v>415.10500000000002</v>
      </c>
      <c r="X39" s="1034">
        <f t="shared" si="23"/>
        <v>2470.0619047792488</v>
      </c>
      <c r="Y39" s="673">
        <f>+HLOOKUP(A39,'תחשיב תעריף 2016'!$4:$82,79,0)</f>
        <v>3.6349849937132857</v>
      </c>
      <c r="Z39" s="673">
        <f>HLOOKUP(A39,'נתוני תאגידים'!$1:$1000,958,0)</f>
        <v>272.90600000000001</v>
      </c>
      <c r="AA39" s="1035">
        <f t="shared" si="47"/>
        <v>9.0460428951353684</v>
      </c>
      <c r="AB39" s="1030">
        <f t="shared" si="24"/>
        <v>2468.7193823398129</v>
      </c>
      <c r="AC39" s="1031">
        <f t="shared" si="48"/>
        <v>3.209452833039935</v>
      </c>
      <c r="AD39" s="1032">
        <f t="shared" si="26"/>
        <v>875.87893485359655</v>
      </c>
      <c r="AE39" s="1034">
        <f t="shared" si="49"/>
        <v>10760.113437832089</v>
      </c>
      <c r="AF39" s="1034">
        <f t="shared" si="50"/>
        <v>6153.4169999999995</v>
      </c>
      <c r="AG39" s="1034">
        <f t="shared" si="36"/>
        <v>11635.992372685687</v>
      </c>
      <c r="AH39" s="1036">
        <f t="shared" si="37"/>
        <v>2072.2489999999998</v>
      </c>
      <c r="AI39" s="1037">
        <f t="shared" si="51"/>
        <v>4.9617156958434254</v>
      </c>
      <c r="AJ39" s="1037">
        <f t="shared" si="52"/>
        <v>0.95555780600277807</v>
      </c>
      <c r="AK39" s="1037">
        <f t="shared" si="53"/>
        <v>21248.674131178464</v>
      </c>
      <c r="AL39" s="1037">
        <f t="shared" si="54"/>
        <v>2.2479551331230412</v>
      </c>
      <c r="AM39" s="1035">
        <v>2.7005672410318997</v>
      </c>
      <c r="AN39" s="1035">
        <v>3.0194661481768481</v>
      </c>
      <c r="AO39" s="1035">
        <f t="shared" si="55"/>
        <v>-0.45261210790885853</v>
      </c>
      <c r="AP39" s="1037" t="e">
        <f>+#REF!-AN39</f>
        <v>#REF!</v>
      </c>
      <c r="AQ39" s="1035"/>
      <c r="AR39" s="1038">
        <v>700.75548655424075</v>
      </c>
      <c r="AS39" s="1037">
        <f t="shared" si="56"/>
        <v>1.2537949339587093</v>
      </c>
      <c r="AT39" s="1037">
        <f t="shared" si="57"/>
        <v>0</v>
      </c>
      <c r="AU39" s="1030">
        <f t="shared" si="58"/>
        <v>0</v>
      </c>
      <c r="AV39" s="679">
        <f t="shared" si="59"/>
        <v>4.9617156958434254</v>
      </c>
      <c r="AW39" s="748">
        <f t="shared" si="60"/>
        <v>5.1924809411572115</v>
      </c>
      <c r="AX39" s="1039" t="s">
        <v>259</v>
      </c>
      <c r="AY39" s="1040"/>
      <c r="AZ39" s="1041">
        <f t="shared" si="61"/>
        <v>17763.472914871403</v>
      </c>
      <c r="BA39" s="1027">
        <f t="shared" si="62"/>
        <v>9493.3416862106678</v>
      </c>
      <c r="BB39" s="1027">
        <f t="shared" si="63"/>
        <v>19758.844573776496</v>
      </c>
      <c r="BC39" s="1027">
        <f t="shared" si="64"/>
        <v>10281.910388995842</v>
      </c>
      <c r="BD39" s="1027">
        <f t="shared" si="65"/>
        <v>3733.8665106656026</v>
      </c>
      <c r="BE39" s="1028">
        <f>+VLOOKUP(A39,'נתוני מים 2011 מעודכן'!$B:$S,5,0)/1000</f>
        <v>1533.8920000000001</v>
      </c>
      <c r="BF39" s="1028" t="str">
        <f t="shared" si="30"/>
        <v>מפיק ארצי</v>
      </c>
      <c r="BG39" s="1029">
        <f t="shared" si="31"/>
        <v>0</v>
      </c>
      <c r="BH39" s="719">
        <f t="shared" si="32"/>
        <v>0</v>
      </c>
      <c r="BI39" s="1029">
        <f t="shared" si="33"/>
        <v>4.9617156958434254</v>
      </c>
      <c r="BJ39" s="483"/>
    </row>
    <row r="40" spans="1:62" x14ac:dyDescent="0.2">
      <c r="A40" s="683" t="s">
        <v>281</v>
      </c>
      <c r="B40" s="657">
        <f>+HLOOKUP(A40,'תחשיב תעריף 2016'!$4:$67,48,0)/(1-P40)</f>
        <v>6.7093415516218489</v>
      </c>
      <c r="C40" s="657">
        <f>+HLOOKUP(A40,'תחשיב תעריף 2016'!$4:$67,49,0)/(1-P40)</f>
        <v>2.7387831759873311</v>
      </c>
      <c r="D40" s="684">
        <f>+HLOOKUP(A40,'תחשיב תעריף 2016'!$4:$67,50,0)/(1-P40)</f>
        <v>3.7406601345492634</v>
      </c>
      <c r="E40" s="684">
        <f t="shared" si="38"/>
        <v>6.4794433105365945</v>
      </c>
      <c r="F40" s="684">
        <f t="shared" si="39"/>
        <v>41070.042136042561</v>
      </c>
      <c r="G40" s="685">
        <f>+HLOOKUP(A40,'תחשיב תעריף 2016'!$4:$67,12,0)</f>
        <v>12026.431</v>
      </c>
      <c r="H40" s="685">
        <f>+(HLOOKUP(A40,'נתוני תאגידים'!$1:$539,358,0))*3.5*12</f>
        <v>6338.514000000001</v>
      </c>
      <c r="I40" s="685">
        <f t="shared" si="40"/>
        <v>5687.9169999999995</v>
      </c>
      <c r="J40" s="684">
        <f>+HLOOKUP(A40,'תחשיב תעריף 2016'!$4:$82,64,0)</f>
        <v>1.074293148656146</v>
      </c>
      <c r="K40" s="684">
        <f>+HLOOKUP(A40,'תחשיב תעריף 2016'!$4:$82,57,0)</f>
        <v>5.0129791558546479</v>
      </c>
      <c r="L40" s="684">
        <f t="shared" si="41"/>
        <v>38162.177870276289</v>
      </c>
      <c r="M40" s="684">
        <f t="shared" si="42"/>
        <v>17359.815503960166</v>
      </c>
      <c r="N40" s="684" t="e">
        <f>I40*#REF!</f>
        <v>#REF!</v>
      </c>
      <c r="O40" s="684">
        <f t="shared" si="43"/>
        <v>41070.042136042561</v>
      </c>
      <c r="P40" s="686">
        <f>+HLOOKUP(A40,'תחשיב תעריף 2016'!$4:$67,18,0)</f>
        <v>1.4999999999999999E-2</v>
      </c>
      <c r="Q40" s="686">
        <f>+HLOOKUP(A40,'תחשיב תעריף 2016'!$4:$67,17,0)</f>
        <v>6.2852277096862211E-2</v>
      </c>
      <c r="R40" s="684">
        <f t="shared" si="35"/>
        <v>10.561938969631239</v>
      </c>
      <c r="S40" s="684">
        <f t="shared" si="44"/>
        <v>1.8082996792273276</v>
      </c>
      <c r="T40" s="684">
        <f t="shared" si="45"/>
        <v>1.7479984244799098</v>
      </c>
      <c r="U40" s="684">
        <f t="shared" si="46"/>
        <v>8.8139405451513291</v>
      </c>
      <c r="V40" s="684">
        <f>+HLOOKUP(A40,'תחשיב תעריף 2016'!$4:$82,72,0)</f>
        <v>5.5081998774927161</v>
      </c>
      <c r="W40" s="687">
        <f>HLOOKUP(A40,'נתוני תאגידים'!$1:$473,356,0)</f>
        <v>805.48599999999999</v>
      </c>
      <c r="X40" s="687">
        <f t="shared" si="23"/>
        <v>4436.777886522098</v>
      </c>
      <c r="Y40" s="690">
        <f>+HLOOKUP(A40,'תחשיב תעריף 2016'!$4:$82,79,0)</f>
        <v>4.0908752876122776</v>
      </c>
      <c r="Z40" s="690">
        <f>HLOOKUP(A40,'נתוני תאגידים'!$1:$1000,958,0)</f>
        <v>311.48599999999999</v>
      </c>
      <c r="AA40" s="688">
        <f t="shared" si="47"/>
        <v>9.2488600120419804</v>
      </c>
      <c r="AB40" s="683">
        <f t="shared" si="24"/>
        <v>2880.890409710908</v>
      </c>
      <c r="AC40" s="684">
        <f t="shared" si="48"/>
        <v>3.0202750262266882</v>
      </c>
      <c r="AD40" s="685">
        <f t="shared" si="26"/>
        <v>940.77338681924618</v>
      </c>
      <c r="AE40" s="687">
        <f t="shared" si="49"/>
        <v>22914.052007558021</v>
      </c>
      <c r="AF40" s="687">
        <f t="shared" si="50"/>
        <v>12831.917000000001</v>
      </c>
      <c r="AG40" s="687">
        <f t="shared" si="36"/>
        <v>23854.825394377265</v>
      </c>
      <c r="AH40" s="689">
        <f t="shared" si="37"/>
        <v>4570.9449999999997</v>
      </c>
      <c r="AI40" s="690">
        <f t="shared" si="51"/>
        <v>4.8858499780902722</v>
      </c>
      <c r="AJ40" s="690">
        <f t="shared" si="52"/>
        <v>0.97463999473927554</v>
      </c>
      <c r="AK40" s="690">
        <f t="shared" si="53"/>
        <v>47766.382957395414</v>
      </c>
      <c r="AL40" s="690">
        <f t="shared" si="54"/>
        <v>1.7920648392240492</v>
      </c>
      <c r="AM40" s="688">
        <v>2.7437468174412092</v>
      </c>
      <c r="AN40" s="688">
        <v>3.0626457245861576</v>
      </c>
      <c r="AO40" s="688">
        <f t="shared" si="55"/>
        <v>-0.95168197821715994</v>
      </c>
      <c r="AP40" s="690" t="e">
        <f>+#REF!-AN40</f>
        <v>#REF!</v>
      </c>
      <c r="AQ40" s="688"/>
      <c r="AR40" s="691">
        <v>110.09399999999999</v>
      </c>
      <c r="AS40" s="690">
        <f t="shared" si="56"/>
        <v>1.074293148656146</v>
      </c>
      <c r="AT40" s="690">
        <f t="shared" si="57"/>
        <v>0</v>
      </c>
      <c r="AU40" s="683">
        <f t="shared" si="58"/>
        <v>0</v>
      </c>
      <c r="AV40" s="690">
        <f t="shared" si="59"/>
        <v>4.8858499780902722</v>
      </c>
      <c r="AW40" s="690">
        <f t="shared" si="60"/>
        <v>5.0129791558546479</v>
      </c>
      <c r="AX40" s="692" t="s">
        <v>281</v>
      </c>
      <c r="AY40" s="659"/>
      <c r="AZ40" s="659">
        <f t="shared" si="61"/>
        <v>44986.791002607431</v>
      </c>
      <c r="BA40" s="50">
        <f t="shared" si="62"/>
        <v>17359.815503960166</v>
      </c>
      <c r="BB40" s="50">
        <f t="shared" si="63"/>
        <v>38162.177870276289</v>
      </c>
      <c r="BC40" s="50">
        <f t="shared" si="64"/>
        <v>22332.951528101839</v>
      </c>
      <c r="BD40" s="50">
        <f t="shared" si="65"/>
        <v>6809.422162861064</v>
      </c>
      <c r="BE40" s="5">
        <f>+VLOOKUP(A40,'נתוני מים 2011 מעודכן'!$B:$S,5,0)/1000</f>
        <v>4461.05</v>
      </c>
      <c r="BF40" s="5" t="str">
        <f t="shared" si="30"/>
        <v>מפיק ארצי</v>
      </c>
      <c r="BG40" s="42">
        <f t="shared" si="31"/>
        <v>0</v>
      </c>
      <c r="BH40" s="1">
        <f t="shared" si="32"/>
        <v>0</v>
      </c>
      <c r="BI40" s="42">
        <f t="shared" si="33"/>
        <v>4.8858499780902722</v>
      </c>
      <c r="BJ40" s="483"/>
    </row>
    <row r="41" spans="1:62" x14ac:dyDescent="0.2">
      <c r="A41" s="671" t="s">
        <v>529</v>
      </c>
      <c r="B41" s="673">
        <f>+HLOOKUP(A41,'תחשיב תעריף 2016'!$4:$67,48,0)/(1-P41)</f>
        <v>6.9356139971651816</v>
      </c>
      <c r="C41" s="673">
        <f>+HLOOKUP(A41,'תחשיב תעריף 2016'!$4:$67,49,0)/(1-P41)</f>
        <v>2.9650556215306638</v>
      </c>
      <c r="D41" s="673">
        <f>+HLOOKUP(A41,'תחשיב תעריף 2016'!$4:$67,50,0)/(1-P41)</f>
        <v>3.6674130890807666</v>
      </c>
      <c r="E41" s="673">
        <f t="shared" si="38"/>
        <v>6.6324687106114304</v>
      </c>
      <c r="F41" s="673">
        <f t="shared" si="39"/>
        <v>15836.066976641067</v>
      </c>
      <c r="G41" s="674">
        <f>+HLOOKUP(A41,'תחשיב תעריף 2016'!$4:$67,12,0)</f>
        <v>3748.2510000000002</v>
      </c>
      <c r="H41" s="674">
        <f>+(HLOOKUP(A41,'נתוני תאגידים'!$1:$539,358,0))*3.5*12</f>
        <v>2387.6579999999999</v>
      </c>
      <c r="I41" s="674">
        <f t="shared" si="40"/>
        <v>1360.5930000000003</v>
      </c>
      <c r="J41" s="673">
        <f>+HLOOKUP(A41,'תחשיב תעריף 2016'!$4:$82,64,0)</f>
        <v>0.9329883280748229</v>
      </c>
      <c r="K41" s="673">
        <f>+HLOOKUP(A41,'תחשיב תעריף 2016'!$4:$82,57,0)</f>
        <v>4.8716743352733243</v>
      </c>
      <c r="L41" s="673">
        <f t="shared" si="41"/>
        <v>9436.5478552449676</v>
      </c>
      <c r="M41" s="673">
        <f t="shared" si="42"/>
        <v>7079.538775192661</v>
      </c>
      <c r="N41" s="673" t="e">
        <f>I41*#REF!</f>
        <v>#REF!</v>
      </c>
      <c r="O41" s="673">
        <f t="shared" si="43"/>
        <v>15836.066976641067</v>
      </c>
      <c r="P41" s="675">
        <f>+HLOOKUP(A41,'תחשיב תעריף 2016'!$4:$67,18,0)</f>
        <v>1.4999999999999999E-2</v>
      </c>
      <c r="Q41" s="675">
        <f>+HLOOKUP(A41,'תחשיב תעריף 2016'!$4:$67,17,0)</f>
        <v>6.17140020772355E-2</v>
      </c>
      <c r="R41" s="673">
        <f t="shared" si="35"/>
        <v>10.561938969631239</v>
      </c>
      <c r="S41" s="673">
        <f t="shared" si="44"/>
        <v>2.0228515452771481</v>
      </c>
      <c r="T41" s="673">
        <f t="shared" si="45"/>
        <v>1.9625502905297294</v>
      </c>
      <c r="U41" s="673">
        <f t="shared" si="46"/>
        <v>8.5993886791015086</v>
      </c>
      <c r="V41" s="673">
        <f>+HLOOKUP(A41,'תחשיב תעריף 2016'!$4:$82,72,0)</f>
        <v>5.7310782363528983</v>
      </c>
      <c r="W41" s="676">
        <f>HLOOKUP(A41,'נתוני תאגידים'!$1:$473,356,0)</f>
        <v>146.07</v>
      </c>
      <c r="X41" s="676">
        <f t="shared" si="23"/>
        <v>837.13859798406781</v>
      </c>
      <c r="Y41" s="673">
        <f>+HLOOKUP(A41,'תחשיב תעריף 2016'!$4:$82,79,0)</f>
        <v>3.8774221272444844</v>
      </c>
      <c r="Z41" s="673">
        <f>HLOOKUP(A41,'נתוני תאגידים'!$1:$1000,958,0)</f>
        <v>65.736000000000004</v>
      </c>
      <c r="AA41" s="677">
        <f t="shared" si="47"/>
        <v>9.3984913254336639</v>
      </c>
      <c r="AB41" s="671">
        <f t="shared" si="24"/>
        <v>617.81922576870738</v>
      </c>
      <c r="AC41" s="673">
        <f t="shared" si="48"/>
        <v>2.8800689113273918</v>
      </c>
      <c r="AD41" s="674">
        <f t="shared" si="26"/>
        <v>189.32420995501744</v>
      </c>
      <c r="AE41" s="676">
        <f t="shared" si="49"/>
        <v>5596.5161445956373</v>
      </c>
      <c r="AF41" s="676">
        <f t="shared" si="50"/>
        <v>3894.3210000000004</v>
      </c>
      <c r="AG41" s="676">
        <f t="shared" si="36"/>
        <v>5785.8403545506544</v>
      </c>
      <c r="AH41" s="678">
        <f t="shared" si="37"/>
        <v>1148.7870000000003</v>
      </c>
      <c r="AI41" s="676">
        <f t="shared" si="51"/>
        <v>4.7638787857872211</v>
      </c>
      <c r="AJ41" s="679">
        <f t="shared" si="52"/>
        <v>0.97787299764567381</v>
      </c>
      <c r="AK41" s="679">
        <f t="shared" si="53"/>
        <v>12180.619677327228</v>
      </c>
      <c r="AL41" s="679">
        <f t="shared" si="54"/>
        <v>2.0055179995918424</v>
      </c>
      <c r="AM41" s="677">
        <v>2.4129844325895862</v>
      </c>
      <c r="AN41" s="677">
        <v>2.7318833397345346</v>
      </c>
      <c r="AO41" s="677">
        <f t="shared" si="55"/>
        <v>-0.40746643299774377</v>
      </c>
      <c r="AP41" s="679" t="e">
        <f>+#REF!-AN41</f>
        <v>#REF!</v>
      </c>
      <c r="AQ41" s="677"/>
      <c r="AR41" s="680">
        <v>346.02236691323532</v>
      </c>
      <c r="AS41" s="679">
        <f t="shared" si="56"/>
        <v>0.9329883280748229</v>
      </c>
      <c r="AT41" s="679">
        <f t="shared" si="57"/>
        <v>0</v>
      </c>
      <c r="AU41" s="671">
        <f t="shared" si="58"/>
        <v>0</v>
      </c>
      <c r="AV41" s="679">
        <f t="shared" si="59"/>
        <v>4.7638787857872211</v>
      </c>
      <c r="AW41" s="748">
        <f t="shared" si="60"/>
        <v>4.8716743352733243</v>
      </c>
      <c r="AX41" s="693" t="s">
        <v>529</v>
      </c>
      <c r="AY41" s="658"/>
      <c r="AZ41" s="749">
        <f t="shared" si="61"/>
        <v>13746.384778560074</v>
      </c>
      <c r="BA41" s="50">
        <f t="shared" si="62"/>
        <v>7079.538775192661</v>
      </c>
      <c r="BB41" s="50">
        <f t="shared" si="63"/>
        <v>9436.5478552449676</v>
      </c>
      <c r="BC41" s="50">
        <f t="shared" si="64"/>
        <v>5472.6820186881459</v>
      </c>
      <c r="BD41" s="50">
        <f t="shared" si="65"/>
        <v>2227.6570454344755</v>
      </c>
      <c r="BE41" s="5">
        <f>+VLOOKUP(A41,'נתוני מים 2011 מעודכן'!$B:$S,5,0)/1000</f>
        <v>1955.3</v>
      </c>
      <c r="BF41" s="5" t="str">
        <f t="shared" si="30"/>
        <v>מפיק ארצי</v>
      </c>
      <c r="BG41" s="42">
        <f t="shared" si="31"/>
        <v>0</v>
      </c>
      <c r="BH41" s="1">
        <f t="shared" si="32"/>
        <v>0</v>
      </c>
      <c r="BI41" s="42">
        <f t="shared" si="33"/>
        <v>4.7638787857872211</v>
      </c>
      <c r="BJ41" s="483"/>
    </row>
    <row r="42" spans="1:62" x14ac:dyDescent="0.2">
      <c r="A42" s="683" t="s">
        <v>530</v>
      </c>
      <c r="B42" s="657">
        <f>+HLOOKUP(A42,'תחשיב תעריף 2016'!$4:$67,48,0)/(1-P42)</f>
        <v>6.7459720692705059</v>
      </c>
      <c r="C42" s="657">
        <f>+HLOOKUP(A42,'תחשיב תעריף 2016'!$4:$67,49,0)/(1-P42)</f>
        <v>2.7754136936359881</v>
      </c>
      <c r="D42" s="684">
        <f>+HLOOKUP(A42,'תחשיב תעריף 2016'!$4:$67,50,0)/(1-P42)</f>
        <v>3.4185855165379593</v>
      </c>
      <c r="E42" s="684">
        <f t="shared" si="38"/>
        <v>6.1939992101739474</v>
      </c>
      <c r="F42" s="684">
        <f t="shared" si="39"/>
        <v>33428.493441375133</v>
      </c>
      <c r="G42" s="685">
        <f>+HLOOKUP(A42,'תחשיב תעריף 2016'!$4:$67,12,0)</f>
        <v>9026.4089999999997</v>
      </c>
      <c r="H42" s="685">
        <f>+(HLOOKUP(A42,'נתוני תאגידים'!$1:$539,358,0))*3.5*12</f>
        <v>5396.9159999999993</v>
      </c>
      <c r="I42" s="685">
        <f t="shared" si="40"/>
        <v>3629.4930000000004</v>
      </c>
      <c r="J42" s="684">
        <f>+HLOOKUP(A42,'תחשיב תעריף 2016'!$4:$82,64,0)</f>
        <v>1.3399708680461135</v>
      </c>
      <c r="K42" s="684">
        <f>+HLOOKUP(A42,'תחשיב תעריף 2016'!$4:$82,57,0)</f>
        <v>5.2786568752446161</v>
      </c>
      <c r="L42" s="684">
        <f t="shared" si="41"/>
        <v>24484.458403612818</v>
      </c>
      <c r="M42" s="684">
        <f t="shared" si="42"/>
        <v>14978.674569803161</v>
      </c>
      <c r="N42" s="684" t="e">
        <f>I42*#REF!</f>
        <v>#REF!</v>
      </c>
      <c r="O42" s="684">
        <f t="shared" si="43"/>
        <v>33428.493441375133</v>
      </c>
      <c r="P42" s="686">
        <f>+HLOOKUP(A42,'תחשיב תעריף 2016'!$4:$67,18,0)</f>
        <v>1.4999999999999999E-2</v>
      </c>
      <c r="Q42" s="686">
        <f>+HLOOKUP(A42,'תחשיב תעריף 2016'!$4:$67,17,0)</f>
        <v>5.7233988621610214E-2</v>
      </c>
      <c r="R42" s="684">
        <f t="shared" si="35"/>
        <v>10.561938969631239</v>
      </c>
      <c r="S42" s="684">
        <f t="shared" si="44"/>
        <v>1.8646965778486635</v>
      </c>
      <c r="T42" s="684">
        <f t="shared" si="45"/>
        <v>1.8043953231012466</v>
      </c>
      <c r="U42" s="684">
        <f t="shared" si="46"/>
        <v>8.7575436465299923</v>
      </c>
      <c r="V42" s="684">
        <f>+HLOOKUP(A42,'תחשיב תעריף 2016'!$4:$82,72,0)</f>
        <v>5.5442809373766426</v>
      </c>
      <c r="W42" s="687">
        <f>HLOOKUP(A42,'נתוני תאגידים'!$1:$473,356,0)</f>
        <v>458.58199999999999</v>
      </c>
      <c r="X42" s="687">
        <f t="shared" si="23"/>
        <v>2542.5074408240557</v>
      </c>
      <c r="Y42" s="690">
        <f>+HLOOKUP(A42,'תחשיב תעריף 2016'!$4:$82,79,0)</f>
        <v>4.0393095082611108</v>
      </c>
      <c r="Z42" s="690">
        <f>HLOOKUP(A42,'נתוני תאגידים'!$1:$1000,958,0)</f>
        <v>382.08699999999999</v>
      </c>
      <c r="AA42" s="688">
        <f t="shared" si="47"/>
        <v>8.9628664539146019</v>
      </c>
      <c r="AB42" s="683">
        <f t="shared" si="24"/>
        <v>3424.5947547768683</v>
      </c>
      <c r="AC42" s="684">
        <f t="shared" si="48"/>
        <v>3.2907838648868255</v>
      </c>
      <c r="AD42" s="685">
        <f t="shared" si="26"/>
        <v>1257.3657345830125</v>
      </c>
      <c r="AE42" s="687">
        <f t="shared" si="49"/>
        <v>14721.244981447195</v>
      </c>
      <c r="AF42" s="687">
        <f t="shared" si="50"/>
        <v>9484.991</v>
      </c>
      <c r="AG42" s="687">
        <f t="shared" si="36"/>
        <v>15978.610716030207</v>
      </c>
      <c r="AH42" s="689">
        <f t="shared" si="37"/>
        <v>2788.8240000000005</v>
      </c>
      <c r="AI42" s="687">
        <f t="shared" si="51"/>
        <v>5.0391230520283301</v>
      </c>
      <c r="AJ42" s="690">
        <f t="shared" si="52"/>
        <v>0.95462220241296025</v>
      </c>
      <c r="AK42" s="690">
        <f t="shared" si="53"/>
        <v>28347.162144684713</v>
      </c>
      <c r="AL42" s="690">
        <f t="shared" si="54"/>
        <v>1.843630618575216</v>
      </c>
      <c r="AM42" s="688">
        <v>2.7763259891159646</v>
      </c>
      <c r="AN42" s="688">
        <v>3.095224896260913</v>
      </c>
      <c r="AO42" s="688">
        <f t="shared" si="55"/>
        <v>-0.93269537054074858</v>
      </c>
      <c r="AP42" s="690" t="e">
        <f>+#REF!-AN42</f>
        <v>#REF!</v>
      </c>
      <c r="AQ42" s="688"/>
      <c r="AR42" s="691">
        <v>15.766</v>
      </c>
      <c r="AS42" s="690">
        <f t="shared" si="56"/>
        <v>1.3399708680461135</v>
      </c>
      <c r="AT42" s="690">
        <f t="shared" si="57"/>
        <v>0</v>
      </c>
      <c r="AU42" s="683">
        <f t="shared" si="58"/>
        <v>0</v>
      </c>
      <c r="AV42" s="690">
        <f t="shared" si="59"/>
        <v>5.0391230520283301</v>
      </c>
      <c r="AW42" s="690">
        <f t="shared" si="60"/>
        <v>5.2786568752446161</v>
      </c>
      <c r="AX42" s="692" t="s">
        <v>530</v>
      </c>
      <c r="AY42" s="659"/>
      <c r="AZ42" s="659">
        <f t="shared" si="61"/>
        <v>30857.551073747883</v>
      </c>
      <c r="BA42" s="50">
        <f t="shared" si="62"/>
        <v>14978.674569803161</v>
      </c>
      <c r="BB42" s="50">
        <f t="shared" si="63"/>
        <v>24484.458403612818</v>
      </c>
      <c r="BC42" s="50">
        <f t="shared" si="64"/>
        <v>14053.227306449859</v>
      </c>
      <c r="BD42" s="50">
        <f t="shared" si="65"/>
        <v>7231.7102172919576</v>
      </c>
      <c r="BE42" s="5">
        <f>+VLOOKUP(A42,'נתוני מים 2011 מעודכן'!$B:$S,5,0)/1000</f>
        <v>7199.9989999999998</v>
      </c>
      <c r="BF42" s="5" t="str">
        <f t="shared" si="30"/>
        <v>מפיק ארצי</v>
      </c>
      <c r="BG42" s="42">
        <f t="shared" si="31"/>
        <v>0</v>
      </c>
      <c r="BH42" s="1">
        <f t="shared" si="32"/>
        <v>0</v>
      </c>
      <c r="BI42" s="42">
        <f t="shared" si="33"/>
        <v>5.0391230520283301</v>
      </c>
      <c r="BJ42" s="483"/>
    </row>
    <row r="43" spans="1:62" s="719" customFormat="1" x14ac:dyDescent="0.2">
      <c r="A43" s="1030" t="s">
        <v>266</v>
      </c>
      <c r="B43" s="1031">
        <f>+HLOOKUP(A43,'תחשיב תעריף 2016'!$4:$67,48,0)/(1-P43)</f>
        <v>7.1832367216034951</v>
      </c>
      <c r="C43" s="1031">
        <f>+HLOOKUP(A43,'תחשיב תעריף 2016'!$4:$67,49,0)/(1-P43)</f>
        <v>3.1949608507271621</v>
      </c>
      <c r="D43" s="1031">
        <f>+HLOOKUP(A43,'תחשיב תעריף 2016'!$4:$67,50,0)/(1-P43)</f>
        <v>3.3708466075750794</v>
      </c>
      <c r="E43" s="1031">
        <f t="shared" si="38"/>
        <v>6.5658074583022419</v>
      </c>
      <c r="F43" s="1031">
        <f t="shared" si="39"/>
        <v>17946.439710311766</v>
      </c>
      <c r="G43" s="1032">
        <f>+HLOOKUP(A43,'תחשיב תעריף 2016'!$4:$67,12,0)</f>
        <v>5354.7740000000003</v>
      </c>
      <c r="H43" s="674">
        <f>+(HLOOKUP(A43,'נתוני תאגידים'!$1:$539,358,0))*3.5*12</f>
        <v>2733.3179999999998</v>
      </c>
      <c r="I43" s="1032">
        <f t="shared" si="40"/>
        <v>2621.4560000000006</v>
      </c>
      <c r="J43" s="673">
        <f>+HLOOKUP(A43,'תחשיב תעריף 2016'!$4:$82,64,0)</f>
        <v>0.99561684708236053</v>
      </c>
      <c r="K43" s="673">
        <f>+HLOOKUP(A43,'תחשיב תעריף 2016'!$4:$82,57,0)</f>
        <v>4.9168056567822829</v>
      </c>
      <c r="L43" s="1031">
        <f t="shared" si="41"/>
        <v>18830.539003267815</v>
      </c>
      <c r="M43" s="1031">
        <f t="shared" si="42"/>
        <v>8732.8440025878645</v>
      </c>
      <c r="N43" s="1031" t="e">
        <f>I43*#REF!</f>
        <v>#REF!</v>
      </c>
      <c r="O43" s="1031">
        <f t="shared" si="43"/>
        <v>17946.439710311766</v>
      </c>
      <c r="P43" s="1033">
        <f>+HLOOKUP(A43,'תחשיב תעריף 2016'!$4:$67,18,0)</f>
        <v>1.9375758693280475E-2</v>
      </c>
      <c r="Q43" s="1033">
        <f>+HLOOKUP(A43,'תחשיב תעריף 2016'!$4:$67,17,0)</f>
        <v>7.6087737785596535E-2</v>
      </c>
      <c r="R43" s="1031">
        <f t="shared" si="35"/>
        <v>10.561938969631239</v>
      </c>
      <c r="S43" s="673">
        <f t="shared" si="44"/>
        <v>2.2742867052738767</v>
      </c>
      <c r="T43" s="673">
        <f t="shared" si="45"/>
        <v>2.1964882530278791</v>
      </c>
      <c r="U43" s="1031">
        <f t="shared" si="46"/>
        <v>8.3654507166033589</v>
      </c>
      <c r="V43" s="1031">
        <f>+HLOOKUP(A43,'תחשיב תעריף 2016'!$4:$82,72,0)</f>
        <v>5.9435545093941897</v>
      </c>
      <c r="W43" s="676">
        <f>HLOOKUP(A43,'נתוני תאגידים'!$1:$473,356,0)</f>
        <v>302.81600000000003</v>
      </c>
      <c r="X43" s="1034">
        <f t="shared" si="23"/>
        <v>1799.8034023167111</v>
      </c>
      <c r="Y43" s="673">
        <f>+HLOOKUP(A43,'תחשיב תעריף 2016'!$4:$82,79,0)</f>
        <v>3.6361500284823061</v>
      </c>
      <c r="Z43" s="673">
        <f>HLOOKUP(A43,'נתוני תאגידים'!$1:$1000,958,0)</f>
        <v>110.664</v>
      </c>
      <c r="AA43" s="1035">
        <f t="shared" si="47"/>
        <v>9.3144011169692682</v>
      </c>
      <c r="AB43" s="1030">
        <f t="shared" si="24"/>
        <v>1030.7688852082872</v>
      </c>
      <c r="AC43" s="1031">
        <f t="shared" si="48"/>
        <v>2.9353632940709007</v>
      </c>
      <c r="AD43" s="1032">
        <f t="shared" si="26"/>
        <v>324.83904357506214</v>
      </c>
      <c r="AE43" s="1034">
        <f t="shared" si="49"/>
        <v>10856.188886839518</v>
      </c>
      <c r="AF43" s="1034">
        <f t="shared" si="50"/>
        <v>5657.59</v>
      </c>
      <c r="AG43" s="1034">
        <f t="shared" si="36"/>
        <v>11181.027930414581</v>
      </c>
      <c r="AH43" s="1036">
        <f t="shared" si="37"/>
        <v>2207.9760000000001</v>
      </c>
      <c r="AI43" s="1034">
        <f t="shared" si="51"/>
        <v>4.8222354183549747</v>
      </c>
      <c r="AJ43" s="1037">
        <f t="shared" si="52"/>
        <v>0.98076591896674681</v>
      </c>
      <c r="AK43" s="1037">
        <f t="shared" si="53"/>
        <v>23303.162692826394</v>
      </c>
      <c r="AL43" s="1037">
        <f t="shared" si="54"/>
        <v>2.2467900983540208</v>
      </c>
      <c r="AM43" s="1035">
        <v>3.2479289411936749</v>
      </c>
      <c r="AN43" s="1035">
        <v>3.5668278483386233</v>
      </c>
      <c r="AO43" s="1035">
        <f t="shared" si="55"/>
        <v>-1.0011388428396542</v>
      </c>
      <c r="AP43" s="1037" t="e">
        <f>+#REF!-AN43</f>
        <v>#REF!</v>
      </c>
      <c r="AQ43" s="1035"/>
      <c r="AR43" s="1038">
        <v>372.72741264565883</v>
      </c>
      <c r="AS43" s="1037">
        <f t="shared" si="56"/>
        <v>0.99561684708236053</v>
      </c>
      <c r="AT43" s="1037">
        <f t="shared" si="57"/>
        <v>0</v>
      </c>
      <c r="AU43" s="1030">
        <f t="shared" si="58"/>
        <v>0</v>
      </c>
      <c r="AV43" s="679">
        <f t="shared" si="59"/>
        <v>4.8222354183549747</v>
      </c>
      <c r="AW43" s="748">
        <f t="shared" si="60"/>
        <v>4.9168056567822829</v>
      </c>
      <c r="AX43" s="1039" t="s">
        <v>942</v>
      </c>
      <c r="AY43" s="1040"/>
      <c r="AZ43" s="1041">
        <f t="shared" si="61"/>
        <v>18050.121772231239</v>
      </c>
      <c r="BA43" s="1027">
        <f t="shared" si="62"/>
        <v>8732.8440025878645</v>
      </c>
      <c r="BB43" s="1027">
        <f t="shared" si="63"/>
        <v>18830.539003267815</v>
      </c>
      <c r="BC43" s="1027">
        <f t="shared" si="64"/>
        <v>10647.380070077745</v>
      </c>
      <c r="BD43" s="1027">
        <f t="shared" si="65"/>
        <v>2721.3374492334633</v>
      </c>
      <c r="BE43" s="1028">
        <f>+VLOOKUP(A43,'נתוני מים 2011 מעודכן'!$B:$S,5,0)/1000</f>
        <v>1385.3309999999999</v>
      </c>
      <c r="BF43" s="1028" t="str">
        <f t="shared" si="30"/>
        <v>מפיק ארצי</v>
      </c>
      <c r="BG43" s="1029">
        <f t="shared" si="31"/>
        <v>0</v>
      </c>
      <c r="BH43" s="719">
        <f t="shared" si="32"/>
        <v>0</v>
      </c>
      <c r="BI43" s="1029">
        <f t="shared" si="33"/>
        <v>4.8222354183549747</v>
      </c>
      <c r="BJ43" s="483"/>
    </row>
    <row r="44" spans="1:62" x14ac:dyDescent="0.2">
      <c r="A44" s="683" t="s">
        <v>261</v>
      </c>
      <c r="B44" s="657">
        <f>+HLOOKUP(A44,'תחשיב תעריף 2016'!$4:$67,48,0)/(1-P44)</f>
        <v>8.3486662659039155</v>
      </c>
      <c r="C44" s="657">
        <f>+HLOOKUP(A44,'תחשיב תעריף 2016'!$4:$67,49,0)/(1-P44)</f>
        <v>4.2058389487080818</v>
      </c>
      <c r="D44" s="684">
        <f>+HLOOKUP(A44,'תחשיב תעריף 2016'!$4:$67,50,0)/(1-P44)</f>
        <v>4.290870083925074</v>
      </c>
      <c r="E44" s="684">
        <f t="shared" si="38"/>
        <v>8.4967090326331558</v>
      </c>
      <c r="F44" s="684">
        <f t="shared" si="39"/>
        <v>52528.269614454373</v>
      </c>
      <c r="G44" s="685">
        <f>+HLOOKUP(A44,'תחשיב תעריף 2016'!$4:$67,12,0)</f>
        <v>10326.152000000002</v>
      </c>
      <c r="H44" s="685">
        <f>+(HLOOKUP(A44,'נתוני תאגידים'!$1:$539,358,0))*3.5*12</f>
        <v>6182.1900000000005</v>
      </c>
      <c r="I44" s="685">
        <f t="shared" si="40"/>
        <v>4143.9620000000014</v>
      </c>
      <c r="J44" s="684">
        <f>+HLOOKUP(A44,'תחשיב תעריף 2016'!$4:$82,64,0)</f>
        <v>-0.60115939181657474</v>
      </c>
      <c r="K44" s="684">
        <f>+HLOOKUP(A44,'תחשיב תעריף 2016'!$4:$82,57,0)</f>
        <v>3.1737463712027614</v>
      </c>
      <c r="L44" s="684">
        <f t="shared" si="41"/>
        <v>34596.555756587732</v>
      </c>
      <c r="M44" s="684">
        <f t="shared" si="42"/>
        <v>26001.29549031362</v>
      </c>
      <c r="N44" s="684" t="e">
        <f>I44*#REF!</f>
        <v>#REF!</v>
      </c>
      <c r="O44" s="684">
        <f t="shared" si="43"/>
        <v>52528.269614454373</v>
      </c>
      <c r="P44" s="686">
        <f>+HLOOKUP(A44,'תחשיב תעריף 2016'!$4:$67,18,0)</f>
        <v>5.5958720807304053E-2</v>
      </c>
      <c r="Q44" s="686">
        <f>+HLOOKUP(A44,'תחשיב תעריף 2016'!$4:$67,17,0)</f>
        <v>0.11484068854339283</v>
      </c>
      <c r="R44" s="684">
        <f t="shared" si="35"/>
        <v>10.561938969631239</v>
      </c>
      <c r="S44" s="684">
        <f t="shared" si="44"/>
        <v>4.2484819063199781</v>
      </c>
      <c r="T44" s="684">
        <f t="shared" si="45"/>
        <v>1.7220816237602454</v>
      </c>
      <c r="U44" s="684">
        <f t="shared" si="46"/>
        <v>8.8398573458709926</v>
      </c>
      <c r="V44" s="684">
        <f>+HLOOKUP(A44,'תחשיב תעריף 2016'!$4:$82,72,0)</f>
        <v>6.7809840303620366</v>
      </c>
      <c r="W44" s="687">
        <f>HLOOKUP(A44,'נתוני תאגידים'!$1:$473,356,0)</f>
        <v>236.09700000000001</v>
      </c>
      <c r="X44" s="687">
        <f t="shared" si="23"/>
        <v>1600.9699866163858</v>
      </c>
      <c r="Y44" s="690">
        <f>+HLOOKUP(A44,'תחשיב תעריף 2016'!$4:$82,79,0)</f>
        <v>2.8094067524644148</v>
      </c>
      <c r="Z44" s="690">
        <f>HLOOKUP(A44,'נתוני תאגידים'!$1:$1000,958,0)</f>
        <v>428.41700000000003</v>
      </c>
      <c r="AA44" s="688">
        <f t="shared" si="47"/>
        <v>11.07185411428711</v>
      </c>
      <c r="AB44" s="683">
        <f t="shared" si="24"/>
        <v>4743.3705240805411</v>
      </c>
      <c r="AC44" s="684">
        <f t="shared" si="48"/>
        <v>1.1885965417030149</v>
      </c>
      <c r="AD44" s="685">
        <f t="shared" si="26"/>
        <v>509.21496460678054</v>
      </c>
      <c r="AE44" s="687">
        <f t="shared" si="49"/>
        <v>11042.885463788709</v>
      </c>
      <c r="AF44" s="687">
        <f t="shared" si="50"/>
        <v>10562.249000000002</v>
      </c>
      <c r="AG44" s="687">
        <f t="shared" si="36"/>
        <v>11552.10042839549</v>
      </c>
      <c r="AH44" s="689">
        <f t="shared" si="37"/>
        <v>3479.4480000000012</v>
      </c>
      <c r="AI44" s="687">
        <f t="shared" si="51"/>
        <v>2.9561155332631723</v>
      </c>
      <c r="AJ44" s="690">
        <f t="shared" si="52"/>
        <v>0.9314277788816776</v>
      </c>
      <c r="AK44" s="690">
        <f t="shared" si="53"/>
        <v>43978.609473339799</v>
      </c>
      <c r="AL44" s="690">
        <f t="shared" si="54"/>
        <v>3.073533374371912</v>
      </c>
      <c r="AM44" s="688">
        <v>3.2693943626930064</v>
      </c>
      <c r="AN44" s="688">
        <v>3.5882932698379548</v>
      </c>
      <c r="AO44" s="688">
        <f t="shared" si="55"/>
        <v>-0.19586098832109444</v>
      </c>
      <c r="AP44" s="690" t="e">
        <f>+#REF!-AN44</f>
        <v>#REF!</v>
      </c>
      <c r="AQ44" s="688"/>
      <c r="AR44" s="691">
        <v>535.12989774558014</v>
      </c>
      <c r="AS44" s="690">
        <f t="shared" si="56"/>
        <v>0.55000000000000004</v>
      </c>
      <c r="AT44" s="690">
        <f t="shared" si="57"/>
        <v>1.1511593918165748</v>
      </c>
      <c r="AU44" s="683">
        <f t="shared" si="58"/>
        <v>1.1511593918165748</v>
      </c>
      <c r="AV44" s="690">
        <f t="shared" si="59"/>
        <v>1.8049561414465976</v>
      </c>
      <c r="AW44" s="690">
        <f t="shared" si="60"/>
        <v>2.0225869793861868</v>
      </c>
      <c r="AX44" s="692" t="s">
        <v>261</v>
      </c>
      <c r="AY44" s="659"/>
      <c r="AZ44" s="659">
        <f t="shared" si="61"/>
        <v>44308.176698863077</v>
      </c>
      <c r="BA44" s="50">
        <f t="shared" si="62"/>
        <v>26001.29549031362</v>
      </c>
      <c r="BB44" s="50">
        <f t="shared" si="63"/>
        <v>34596.555756587732</v>
      </c>
      <c r="BC44" s="50">
        <f t="shared" si="64"/>
        <v>6280.2510364440832</v>
      </c>
      <c r="BD44" s="50">
        <f t="shared" si="65"/>
        <v>3400.2045000000007</v>
      </c>
      <c r="BE44" s="5">
        <f>+VLOOKUP(A44,'נתוני מים 2011 מעודכן'!$B:$S,5,0)/1000</f>
        <v>0</v>
      </c>
      <c r="BF44" s="5">
        <f t="shared" si="30"/>
        <v>0</v>
      </c>
      <c r="BG44" s="42">
        <f t="shared" si="31"/>
        <v>0</v>
      </c>
      <c r="BH44" s="1">
        <f t="shared" si="32"/>
        <v>0</v>
      </c>
      <c r="BI44" s="42">
        <f t="shared" si="33"/>
        <v>1.8049561414465976</v>
      </c>
      <c r="BJ44" s="483"/>
    </row>
    <row r="45" spans="1:62" x14ac:dyDescent="0.2">
      <c r="A45" s="671" t="s">
        <v>268</v>
      </c>
      <c r="B45" s="673">
        <f>+HLOOKUP(A45,'תחשיב תעריף 2016'!$4:$67,48,0)/(1-P45)</f>
        <v>7.8817250622262538</v>
      </c>
      <c r="C45" s="673">
        <f>+HLOOKUP(A45,'תחשיב תעריף 2016'!$4:$67,49,0)/(1-P45)</f>
        <v>3.7756014671940892</v>
      </c>
      <c r="D45" s="673">
        <f>+HLOOKUP(A45,'תחשיב תעריף 2016'!$4:$67,50,0)/(1-P45)</f>
        <v>3.9646280783496102</v>
      </c>
      <c r="E45" s="673">
        <f t="shared" si="38"/>
        <v>7.7402295455436994</v>
      </c>
      <c r="F45" s="673">
        <f t="shared" si="39"/>
        <v>15430.054716286817</v>
      </c>
      <c r="G45" s="674">
        <f>+HLOOKUP(A45,'תחשיב תעריף 2016'!$4:$67,12,0)</f>
        <v>3423.1089999999999</v>
      </c>
      <c r="H45" s="674">
        <f>+(HLOOKUP(A45,'נתוני תאגידים'!$1:$539,358,0))*3.5*12</f>
        <v>1993.4879999999998</v>
      </c>
      <c r="I45" s="674">
        <f t="shared" si="40"/>
        <v>1429.6210000000001</v>
      </c>
      <c r="J45" s="673">
        <f>+HLOOKUP(A45,'תחשיב תעריף 2016'!$4:$82,64,0)</f>
        <v>-7.3716663224929712E-4</v>
      </c>
      <c r="K45" s="673">
        <f>+HLOOKUP(A45,'תחשיב תעריף 2016'!$4:$82,57,0)</f>
        <v>3.8079116362915655</v>
      </c>
      <c r="L45" s="673">
        <f t="shared" si="41"/>
        <v>11267.879665184961</v>
      </c>
      <c r="M45" s="673">
        <f t="shared" si="42"/>
        <v>7526.6162176338094</v>
      </c>
      <c r="N45" s="673" t="e">
        <f>I45*#REF!</f>
        <v>#REF!</v>
      </c>
      <c r="O45" s="673">
        <f t="shared" si="43"/>
        <v>15430.054716286817</v>
      </c>
      <c r="P45" s="675">
        <f>+HLOOKUP(A45,'תחשיב תעריף 2016'!$4:$67,18,0)</f>
        <v>4.752014656067266E-2</v>
      </c>
      <c r="Q45" s="675">
        <f>+HLOOKUP(A45,'תחשיב תעריף 2016'!$4:$67,17,0)</f>
        <v>9.931216305081908E-2</v>
      </c>
      <c r="R45" s="673">
        <f t="shared" si="35"/>
        <v>10.561938969631239</v>
      </c>
      <c r="S45" s="673">
        <f t="shared" si="44"/>
        <v>3.3401364216223128</v>
      </c>
      <c r="T45" s="673">
        <f t="shared" si="45"/>
        <v>2.0483236293357092</v>
      </c>
      <c r="U45" s="673">
        <f t="shared" si="46"/>
        <v>8.5136153402955301</v>
      </c>
      <c r="V45" s="673">
        <f>+HLOOKUP(A45,'תחשיב תעריף 2016'!$4:$82,72,0)</f>
        <v>6.4066827812635303</v>
      </c>
      <c r="W45" s="676">
        <f>HLOOKUP(A45,'נתוני תאגידים'!$1:$473,356,0)</f>
        <v>253.14400000000001</v>
      </c>
      <c r="X45" s="676">
        <f t="shared" si="23"/>
        <v>1621.8133059801751</v>
      </c>
      <c r="Y45" s="673">
        <f>+HLOOKUP(A45,'תחשיב תעריף 2016'!$4:$82,79,0)</f>
        <v>3.1295763293803387</v>
      </c>
      <c r="Z45" s="673">
        <f>HLOOKUP(A45,'נתוני תאגידים'!$1:$1000,958,0)</f>
        <v>170.38900000000001</v>
      </c>
      <c r="AA45" s="677">
        <f t="shared" si="47"/>
        <v>10.371310859613141</v>
      </c>
      <c r="AB45" s="671">
        <f t="shared" si="24"/>
        <v>1767.1572860586236</v>
      </c>
      <c r="AC45" s="673">
        <f>+$B$69-$B$68-D45+Y45</f>
        <v>1.8350081241944025</v>
      </c>
      <c r="AD45" s="674">
        <f t="shared" si="26"/>
        <v>312.66519927336009</v>
      </c>
      <c r="AE45" s="676">
        <f t="shared" si="49"/>
        <v>3831.0942023333087</v>
      </c>
      <c r="AF45" s="676">
        <f t="shared" si="50"/>
        <v>3676.2529999999997</v>
      </c>
      <c r="AG45" s="676">
        <f t="shared" si="36"/>
        <v>4143.7594016066687</v>
      </c>
      <c r="AH45" s="678">
        <f t="shared" si="37"/>
        <v>1006.0880000000001</v>
      </c>
      <c r="AI45" s="676">
        <f t="shared" si="51"/>
        <v>3.5221762955048574</v>
      </c>
      <c r="AJ45" s="679">
        <f t="shared" si="52"/>
        <v>0.92496271760523863</v>
      </c>
      <c r="AK45" s="679">
        <f t="shared" si="53"/>
        <v>11918.473738495692</v>
      </c>
      <c r="AL45" s="679">
        <f t="shared" si="54"/>
        <v>2.7533637974559881</v>
      </c>
      <c r="AM45" s="677">
        <v>3.4819791697974489</v>
      </c>
      <c r="AN45" s="677">
        <v>3.8008780769423973</v>
      </c>
      <c r="AO45" s="677">
        <f t="shared" si="55"/>
        <v>-0.72861537234146079</v>
      </c>
      <c r="AP45" s="679" t="e">
        <f>+#REF!-AN45</f>
        <v>#REF!</v>
      </c>
      <c r="AQ45" s="677"/>
      <c r="AR45" s="680">
        <v>144.14057824035436</v>
      </c>
      <c r="AS45" s="679">
        <f t="shared" si="56"/>
        <v>0.55000000000000004</v>
      </c>
      <c r="AT45" s="679">
        <f t="shared" si="57"/>
        <v>0.55073716663224936</v>
      </c>
      <c r="AU45" s="671">
        <f t="shared" si="58"/>
        <v>0.55073716663224936</v>
      </c>
      <c r="AV45" s="679">
        <f t="shared" si="59"/>
        <v>2.9714391288726079</v>
      </c>
      <c r="AW45" s="748">
        <f t="shared" si="60"/>
        <v>3.2571744696593159</v>
      </c>
      <c r="AX45" s="693" t="s">
        <v>268</v>
      </c>
      <c r="AY45" s="658"/>
      <c r="AZ45" s="749">
        <f t="shared" si="61"/>
        <v>13571.354056651255</v>
      </c>
      <c r="BA45" s="50">
        <f t="shared" si="62"/>
        <v>7526.6162176338094</v>
      </c>
      <c r="BB45" s="50">
        <f t="shared" si="63"/>
        <v>11267.879665184961</v>
      </c>
      <c r="BC45" s="50">
        <f t="shared" si="64"/>
        <v>2989.5292502891843</v>
      </c>
      <c r="BD45" s="50">
        <f t="shared" si="65"/>
        <v>1096.4184</v>
      </c>
      <c r="BE45" s="5">
        <f>+VLOOKUP(A45,'נתוני מים 2011 מעודכן'!$B:$S,5,0)/1000</f>
        <v>0</v>
      </c>
      <c r="BF45" s="5">
        <f t="shared" si="30"/>
        <v>0</v>
      </c>
      <c r="BG45" s="42">
        <f t="shared" si="31"/>
        <v>0</v>
      </c>
      <c r="BH45" s="1">
        <f t="shared" si="32"/>
        <v>0</v>
      </c>
      <c r="BI45" s="42">
        <f t="shared" si="33"/>
        <v>2.9714391288726079</v>
      </c>
      <c r="BJ45" s="483"/>
    </row>
    <row r="46" spans="1:62" x14ac:dyDescent="0.2">
      <c r="A46" s="683" t="s">
        <v>265</v>
      </c>
      <c r="B46" s="657">
        <f>+HLOOKUP(A46,'תחשיב תעריף 2016'!$4:$67,48,0)/(1-P46)</f>
        <v>6.9032664631802314</v>
      </c>
      <c r="C46" s="657">
        <f>+HLOOKUP(A46,'תחשיב תעריף 2016'!$4:$67,49,0)/(1-P46)</f>
        <v>2.8293081298468974</v>
      </c>
      <c r="D46" s="684">
        <f>+HLOOKUP(A46,'תחשיב תעריף 2016'!$4:$67,50,0)/(1-P46)</f>
        <v>3.6176634415549098</v>
      </c>
      <c r="E46" s="684">
        <f t="shared" si="38"/>
        <v>6.4469715714018072</v>
      </c>
      <c r="F46" s="684">
        <f t="shared" si="39"/>
        <v>10545.246929626222</v>
      </c>
      <c r="G46" s="685">
        <f>+HLOOKUP(A46,'תחשיב תעריף 2016'!$4:$67,12,0)</f>
        <v>2910.1680000000001</v>
      </c>
      <c r="H46" s="685">
        <f>+(HLOOKUP(A46,'נתוני תאגידים'!$1:$539,358,0))*3.5*12</f>
        <v>1635.69</v>
      </c>
      <c r="I46" s="685">
        <f t="shared" si="40"/>
        <v>1274.4780000000001</v>
      </c>
      <c r="J46" s="684">
        <f>+HLOOKUP(A46,'תחשיב תעריף 2016'!$4:$82,64,0)</f>
        <v>1.1063997922574056</v>
      </c>
      <c r="K46" s="684">
        <f>+HLOOKUP(A46,'תחשיב תעריף 2016'!$4:$82,57,0)</f>
        <v>4.9451191495270104</v>
      </c>
      <c r="L46" s="684">
        <f t="shared" si="41"/>
        <v>8798.0612354610148</v>
      </c>
      <c r="M46" s="684">
        <f t="shared" si="42"/>
        <v>4627.8710149092722</v>
      </c>
      <c r="N46" s="684" t="e">
        <f>I46*#REF!</f>
        <v>#REF!</v>
      </c>
      <c r="O46" s="684">
        <f t="shared" si="43"/>
        <v>10545.246929626222</v>
      </c>
      <c r="P46" s="686">
        <f>+HLOOKUP(A46,'תחשיב תעריף 2016'!$4:$67,18,0)</f>
        <v>0.04</v>
      </c>
      <c r="Q46" s="686">
        <f>+HLOOKUP(A46,'תחשיב תעריף 2016'!$4:$67,17,0)</f>
        <v>0.10249999999999999</v>
      </c>
      <c r="R46" s="684">
        <f t="shared" si="35"/>
        <v>10.561938969631239</v>
      </c>
      <c r="S46" s="684">
        <f t="shared" si="44"/>
        <v>1.9991563785493187</v>
      </c>
      <c r="T46" s="684">
        <f t="shared" si="45"/>
        <v>1.8388884738730042</v>
      </c>
      <c r="U46" s="684">
        <f t="shared" si="46"/>
        <v>8.7230504957582351</v>
      </c>
      <c r="V46" s="684">
        <f>+HLOOKUP(A46,'תחשיב תעריף 2016'!$4:$82,72,0)</f>
        <v>5.5266342537982158</v>
      </c>
      <c r="W46" s="687">
        <f>HLOOKUP(A46,'נתוני תאגידים'!$1:$473,356,0)</f>
        <v>347.35199999999998</v>
      </c>
      <c r="X46" s="687">
        <f t="shared" si="23"/>
        <v>1919.6874613253178</v>
      </c>
      <c r="Y46" s="690">
        <f>+HLOOKUP(A46,'תחשיב תעריף 2016'!$4:$82,79,0)</f>
        <v>3.928342107488294</v>
      </c>
      <c r="Z46" s="690">
        <f>HLOOKUP(A46,'נתוני תאגידים'!$1:$1000,958,0)</f>
        <v>112.015</v>
      </c>
      <c r="AA46" s="688">
        <f t="shared" si="47"/>
        <v>9.1442976953531261</v>
      </c>
      <c r="AB46" s="683">
        <f t="shared" si="24"/>
        <v>1024.2985063449805</v>
      </c>
      <c r="AC46" s="684">
        <f t="shared" si="48"/>
        <v>2.9807385390970582</v>
      </c>
      <c r="AD46" s="685">
        <f t="shared" si="26"/>
        <v>333.88742745695697</v>
      </c>
      <c r="AE46" s="687">
        <f t="shared" si="49"/>
        <v>4030.8210150901114</v>
      </c>
      <c r="AF46" s="687">
        <f t="shared" si="50"/>
        <v>3257.52</v>
      </c>
      <c r="AG46" s="687">
        <f t="shared" si="36"/>
        <v>4364.7084425470684</v>
      </c>
      <c r="AH46" s="689">
        <f t="shared" si="37"/>
        <v>815.1110000000001</v>
      </c>
      <c r="AI46" s="687">
        <f t="shared" si="51"/>
        <v>4.7077834539718095</v>
      </c>
      <c r="AJ46" s="690">
        <f t="shared" si="52"/>
        <v>0.95200607136475135</v>
      </c>
      <c r="AK46" s="690">
        <f t="shared" si="53"/>
        <v>8575.725695578567</v>
      </c>
      <c r="AL46" s="690">
        <f t="shared" si="54"/>
        <v>1.9545980193480328</v>
      </c>
      <c r="AM46" s="688">
        <v>3.1936277307234455</v>
      </c>
      <c r="AN46" s="688">
        <v>3.5125266378683939</v>
      </c>
      <c r="AO46" s="688">
        <f t="shared" si="55"/>
        <v>-1.2390297113754127</v>
      </c>
      <c r="AP46" s="690" t="e">
        <f>+#REF!-AN46</f>
        <v>#REF!</v>
      </c>
      <c r="AQ46" s="688"/>
      <c r="AR46" s="691">
        <v>446.10681866428729</v>
      </c>
      <c r="AS46" s="690">
        <f t="shared" si="56"/>
        <v>1.1063997922574056</v>
      </c>
      <c r="AT46" s="690">
        <f t="shared" si="57"/>
        <v>0</v>
      </c>
      <c r="AU46" s="683">
        <f t="shared" si="58"/>
        <v>0</v>
      </c>
      <c r="AV46" s="690">
        <f t="shared" si="59"/>
        <v>4.7077834539718095</v>
      </c>
      <c r="AW46" s="690">
        <f t="shared" si="60"/>
        <v>4.9451191495270104</v>
      </c>
      <c r="AX46" s="692" t="s">
        <v>265</v>
      </c>
      <c r="AY46" s="659"/>
      <c r="AZ46" s="659">
        <f t="shared" si="61"/>
        <v>10528.00838238297</v>
      </c>
      <c r="BA46" s="50">
        <f t="shared" si="62"/>
        <v>4627.8710149092722</v>
      </c>
      <c r="BB46" s="50">
        <f t="shared" si="63"/>
        <v>8798.0612354610148</v>
      </c>
      <c r="BC46" s="50">
        <f t="shared" si="64"/>
        <v>3837.3660789504161</v>
      </c>
      <c r="BD46" s="50">
        <f t="shared" si="65"/>
        <v>1809.7270761975158</v>
      </c>
      <c r="BE46" s="5">
        <f>+VLOOKUP(A46,'נתוני מים 2011 מעודכן'!$B:$S,5,0)/1000</f>
        <v>0</v>
      </c>
      <c r="BF46" s="5">
        <f t="shared" si="30"/>
        <v>0</v>
      </c>
      <c r="BG46" s="42">
        <f t="shared" si="31"/>
        <v>0</v>
      </c>
      <c r="BH46" s="1">
        <f t="shared" si="32"/>
        <v>0</v>
      </c>
      <c r="BI46" s="42">
        <f t="shared" si="33"/>
        <v>4.7077834539718095</v>
      </c>
      <c r="BJ46" s="483"/>
    </row>
    <row r="47" spans="1:62" x14ac:dyDescent="0.2">
      <c r="A47" s="671" t="s">
        <v>253</v>
      </c>
      <c r="B47" s="673">
        <f>+HLOOKUP(A47,'תחשיב תעריף 2016'!$4:$67,48,0)/(1-P47)</f>
        <v>6.765143687100748</v>
      </c>
      <c r="C47" s="673">
        <f>+HLOOKUP(A47,'תחשיב תעריף 2016'!$4:$67,49,0)/(1-P47)</f>
        <v>2.7945853114662298</v>
      </c>
      <c r="D47" s="673">
        <f>+HLOOKUP(A47,'תחשיב תעריף 2016'!$4:$67,50,0)/(1-P47)</f>
        <v>3.6056974869843348</v>
      </c>
      <c r="E47" s="673">
        <f t="shared" si="38"/>
        <v>6.400282798450565</v>
      </c>
      <c r="F47" s="673">
        <f t="shared" si="39"/>
        <v>14551.86217847556</v>
      </c>
      <c r="G47" s="674">
        <f>+HLOOKUP(A47,'תחשיב תעריף 2016'!$4:$67,12,0)</f>
        <v>4710.6399999999994</v>
      </c>
      <c r="H47" s="674">
        <f>+(HLOOKUP(A47,'נתוני תאגידים'!$1:$539,358,0))*3.5*12</f>
        <v>2273.6279999999997</v>
      </c>
      <c r="I47" s="674">
        <f t="shared" si="40"/>
        <v>2437.0119999999997</v>
      </c>
      <c r="J47" s="673">
        <f>+HLOOKUP(A47,'תחשיב תעריף 2016'!$4:$82,64,0)</f>
        <v>1.1460354778797033</v>
      </c>
      <c r="K47" s="673">
        <f>+HLOOKUP(A47,'תחשיב תעריף 2016'!$4:$82,57,0)</f>
        <v>5.0847214850782052</v>
      </c>
      <c r="L47" s="673">
        <f t="shared" si="41"/>
        <v>16486.736347188766</v>
      </c>
      <c r="M47" s="673">
        <f t="shared" si="42"/>
        <v>6353.84741253834</v>
      </c>
      <c r="N47" s="673" t="e">
        <f>I47*#REF!</f>
        <v>#REF!</v>
      </c>
      <c r="O47" s="673">
        <f t="shared" si="43"/>
        <v>14551.86217847556</v>
      </c>
      <c r="P47" s="675">
        <f>+HLOOKUP(A47,'תחשיב תעריף 2016'!$4:$67,18,0)</f>
        <v>1.4999999999999999E-2</v>
      </c>
      <c r="Q47" s="675">
        <f>+HLOOKUP(A47,'תחשיב תעריף 2016'!$4:$67,17,0)</f>
        <v>7.0000000000000007E-2</v>
      </c>
      <c r="R47" s="673">
        <f t="shared" si="35"/>
        <v>10.561938969631239</v>
      </c>
      <c r="S47" s="673">
        <f t="shared" si="44"/>
        <v>1.8715199975686989</v>
      </c>
      <c r="T47" s="673">
        <f t="shared" si="45"/>
        <v>1.8112187428212811</v>
      </c>
      <c r="U47" s="673">
        <f t="shared" si="46"/>
        <v>8.7507202268099569</v>
      </c>
      <c r="V47" s="673">
        <f>+HLOOKUP(A47,'תחשיב תעריף 2016'!$4:$82,72,0)</f>
        <v>5.5631649809394315</v>
      </c>
      <c r="W47" s="676">
        <f>HLOOKUP(A47,'נתוני תאגידים'!$1:$473,356,0)</f>
        <v>456.81799999999998</v>
      </c>
      <c r="X47" s="676">
        <f t="shared" si="23"/>
        <v>2541.353900262789</v>
      </c>
      <c r="Y47" s="673">
        <f>+HLOOKUP(A47,'תחשיב תעריף 2016'!$4:$82,79,0)</f>
        <v>4.0296794089843804</v>
      </c>
      <c r="Z47" s="673">
        <f>HLOOKUP(A47,'נתוני תאגידים'!$1:$1000,958,0)</f>
        <v>184.73</v>
      </c>
      <c r="AA47" s="677">
        <f t="shared" si="47"/>
        <v>9.1688624679237662</v>
      </c>
      <c r="AB47" s="671">
        <f t="shared" si="24"/>
        <v>1693.7639636995573</v>
      </c>
      <c r="AC47" s="673">
        <f t="shared" si="48"/>
        <v>3.0940417951637196</v>
      </c>
      <c r="AD47" s="674">
        <f t="shared" si="26"/>
        <v>571.56234082059393</v>
      </c>
      <c r="AE47" s="676">
        <f t="shared" si="49"/>
        <v>9129.4343764844525</v>
      </c>
      <c r="AF47" s="676">
        <f t="shared" si="50"/>
        <v>5167.4579999999996</v>
      </c>
      <c r="AG47" s="676">
        <f t="shared" si="36"/>
        <v>9700.9967173050463</v>
      </c>
      <c r="AH47" s="678">
        <f t="shared" si="37"/>
        <v>1795.4639999999997</v>
      </c>
      <c r="AI47" s="679">
        <f t="shared" si="51"/>
        <v>4.8990132872360226</v>
      </c>
      <c r="AJ47" s="679">
        <f t="shared" si="52"/>
        <v>0.96347721337596004</v>
      </c>
      <c r="AK47" s="679">
        <f t="shared" si="53"/>
        <v>18620.471977787496</v>
      </c>
      <c r="AL47" s="679">
        <f t="shared" si="54"/>
        <v>1.8532607178519465</v>
      </c>
      <c r="AM47" s="677">
        <v>2.5839058987051171</v>
      </c>
      <c r="AN47" s="677">
        <v>2.9028048058500655</v>
      </c>
      <c r="AO47" s="677">
        <f t="shared" si="55"/>
        <v>-0.73064518085317065</v>
      </c>
      <c r="AP47" s="679" t="e">
        <f>+#REF!-AN47</f>
        <v>#REF!</v>
      </c>
      <c r="AQ47" s="677"/>
      <c r="AR47" s="680">
        <v>54.322000000000003</v>
      </c>
      <c r="AS47" s="679">
        <f t="shared" si="56"/>
        <v>1.1460354778797033</v>
      </c>
      <c r="AT47" s="679">
        <f t="shared" si="57"/>
        <v>0</v>
      </c>
      <c r="AU47" s="671">
        <f t="shared" si="58"/>
        <v>0</v>
      </c>
      <c r="AV47" s="679">
        <f t="shared" si="59"/>
        <v>4.8990132872360226</v>
      </c>
      <c r="AW47" s="748">
        <f t="shared" si="60"/>
        <v>5.0847214850782052</v>
      </c>
      <c r="AX47" s="693" t="s">
        <v>253</v>
      </c>
      <c r="AY47" s="658"/>
      <c r="AZ47" s="749">
        <f t="shared" si="61"/>
        <v>16985.142810087884</v>
      </c>
      <c r="BA47" s="50">
        <f t="shared" si="62"/>
        <v>6353.84741253834</v>
      </c>
      <c r="BB47" s="50">
        <f t="shared" si="63"/>
        <v>16486.736347188766</v>
      </c>
      <c r="BC47" s="50">
        <f t="shared" si="64"/>
        <v>8796.0019927539361</v>
      </c>
      <c r="BD47" s="50">
        <f t="shared" si="65"/>
        <v>2605.6583515006737</v>
      </c>
      <c r="BE47" s="5">
        <f>+VLOOKUP(A47,'נתוני מים 2011 מעודכן'!$B:$S,5,0)/1000</f>
        <v>30.04</v>
      </c>
      <c r="BF47" s="5" t="str">
        <f t="shared" si="30"/>
        <v>מפיק ארצי</v>
      </c>
      <c r="BG47" s="42">
        <f t="shared" si="31"/>
        <v>0</v>
      </c>
      <c r="BH47" s="1">
        <f t="shared" si="32"/>
        <v>0</v>
      </c>
      <c r="BI47" s="42">
        <f t="shared" si="33"/>
        <v>4.8990132872360226</v>
      </c>
      <c r="BJ47" s="483"/>
    </row>
    <row r="48" spans="1:62" x14ac:dyDescent="0.2">
      <c r="A48" s="683" t="s">
        <v>250</v>
      </c>
      <c r="B48" s="657">
        <f>+HLOOKUP(A48,'תחשיב תעריף 2016'!$4:$67,48,0)/(1-P48)</f>
        <v>8.2004143009830539</v>
      </c>
      <c r="C48" s="657">
        <f>+HLOOKUP(A48,'תחשיב תעריף 2016'!$4:$67,49,0)/(1-P48)</f>
        <v>4.0608675892747277</v>
      </c>
      <c r="D48" s="684">
        <f>+HLOOKUP(A48,'תחשיב תעריף 2016'!$4:$67,50,0)/(1-P48)</f>
        <v>4.0588668829954146</v>
      </c>
      <c r="E48" s="684">
        <f t="shared" si="38"/>
        <v>8.1197344722701423</v>
      </c>
      <c r="F48" s="684">
        <f t="shared" si="39"/>
        <v>25276.035115012342</v>
      </c>
      <c r="G48" s="685">
        <f>+HLOOKUP(A48,'תחשיב תעריף 2016'!$4:$67,12,0)</f>
        <v>5711.9690000000001</v>
      </c>
      <c r="H48" s="685">
        <f>+(HLOOKUP(A48,'נתוני תאגידים'!$1:$539,358,0))*3.5*12</f>
        <v>3112.9140000000007</v>
      </c>
      <c r="I48" s="685">
        <f t="shared" si="40"/>
        <v>2599.0549999999994</v>
      </c>
      <c r="J48" s="684">
        <f>+HLOOKUP(A48,'תחשיב תעריף 2016'!$4:$82,64,0)</f>
        <v>-0.28884023105325346</v>
      </c>
      <c r="K48" s="684">
        <f>+HLOOKUP(A48,'תחשיב תעריף 2016'!$4:$82,57,0)</f>
        <v>3.4890571582052443</v>
      </c>
      <c r="L48" s="684">
        <f t="shared" si="41"/>
        <v>21313.327791041505</v>
      </c>
      <c r="M48" s="684">
        <f t="shared" si="42"/>
        <v>12641.131570799553</v>
      </c>
      <c r="N48" s="684" t="e">
        <f>I48*#REF!</f>
        <v>#REF!</v>
      </c>
      <c r="O48" s="684">
        <f t="shared" si="43"/>
        <v>25276.035115012342</v>
      </c>
      <c r="P48" s="686">
        <f>+HLOOKUP(A48,'תחשיב תעריף 2016'!$4:$67,18,0)</f>
        <v>5.5210564736932116E-2</v>
      </c>
      <c r="Q48" s="686">
        <f>+HLOOKUP(A48,'תחשיב תעריף 2016'!$4:$67,17,0)</f>
        <v>0.11402162406403013</v>
      </c>
      <c r="R48" s="684">
        <f t="shared" si="35"/>
        <v>10.561938969631239</v>
      </c>
      <c r="S48" s="684">
        <f t="shared" si="44"/>
        <v>3.8528551594838332</v>
      </c>
      <c r="T48" s="684">
        <f t="shared" si="45"/>
        <v>1.9540848246899047</v>
      </c>
      <c r="U48" s="684">
        <f t="shared" si="46"/>
        <v>8.6078541449413351</v>
      </c>
      <c r="V48" s="684">
        <f>+HLOOKUP(A48,'תחשיב תעריף 2016'!$4:$82,72,0)</f>
        <v>6.6471632454941609</v>
      </c>
      <c r="W48" s="687">
        <f>HLOOKUP(A48,'נתוני תאגידים'!$1:$473,356,0)</f>
        <v>2.6399999999999997</v>
      </c>
      <c r="X48" s="687">
        <f t="shared" si="23"/>
        <v>17.548510968104583</v>
      </c>
      <c r="Y48" s="690">
        <f>+HLOOKUP(A48,'תחשיב תעריף 2016'!$4:$82,79,0)</f>
        <v>2.9052346258380535</v>
      </c>
      <c r="Z48" s="690">
        <f>HLOOKUP(A48,'נתוני תאגידים'!$1:$1000,958,0)</f>
        <v>127.29900000000001</v>
      </c>
      <c r="AA48" s="688">
        <f t="shared" si="47"/>
        <v>10.706030128489576</v>
      </c>
      <c r="AB48" s="683">
        <f t="shared" si="24"/>
        <v>1362.8669293265946</v>
      </c>
      <c r="AC48" s="684">
        <f>+$B$69-$B$68-D48+Y48</f>
        <v>1.5164276160063128</v>
      </c>
      <c r="AD48" s="685">
        <f t="shared" si="26"/>
        <v>193.03971908998761</v>
      </c>
      <c r="AE48" s="687">
        <f t="shared" si="49"/>
        <v>8614.8868542390992</v>
      </c>
      <c r="AF48" s="687">
        <f t="shared" si="50"/>
        <v>5714.6090000000004</v>
      </c>
      <c r="AG48" s="687">
        <f t="shared" si="36"/>
        <v>8807.9265733290868</v>
      </c>
      <c r="AH48" s="689">
        <f t="shared" si="37"/>
        <v>2469.1159999999995</v>
      </c>
      <c r="AI48" s="690">
        <f t="shared" si="51"/>
        <v>3.3923415838104032</v>
      </c>
      <c r="AJ48" s="690">
        <f t="shared" si="52"/>
        <v>0.97228031241408752</v>
      </c>
      <c r="AK48" s="690">
        <f t="shared" si="53"/>
        <v>30269.587319860177</v>
      </c>
      <c r="AL48" s="690">
        <f t="shared" si="54"/>
        <v>2.9777055009982734</v>
      </c>
      <c r="AM48" s="688">
        <v>2.8751580968023212</v>
      </c>
      <c r="AN48" s="688">
        <v>3.1940570039472695</v>
      </c>
      <c r="AO48" s="688">
        <f t="shared" si="55"/>
        <v>0.10254740419595221</v>
      </c>
      <c r="AP48" s="690" t="e">
        <f>+#REF!-AN48</f>
        <v>#REF!</v>
      </c>
      <c r="AQ48" s="688"/>
      <c r="AR48" s="691">
        <v>142.98952566556551</v>
      </c>
      <c r="AS48" s="690">
        <f t="shared" si="56"/>
        <v>0.55000000000000004</v>
      </c>
      <c r="AT48" s="690">
        <f t="shared" si="57"/>
        <v>0.83884023105325345</v>
      </c>
      <c r="AU48" s="683">
        <f t="shared" si="58"/>
        <v>0.83884023105325345</v>
      </c>
      <c r="AV48" s="690">
        <f t="shared" si="59"/>
        <v>2.5535013527571495</v>
      </c>
      <c r="AW48" s="690">
        <f t="shared" si="60"/>
        <v>2.6502169271519911</v>
      </c>
      <c r="AX48" s="692" t="s">
        <v>250</v>
      </c>
      <c r="AY48" s="659"/>
      <c r="AZ48" s="659">
        <f t="shared" si="61"/>
        <v>23184.121810796434</v>
      </c>
      <c r="BA48" s="50">
        <f t="shared" si="62"/>
        <v>12641.131570799553</v>
      </c>
      <c r="BB48" s="50">
        <f t="shared" si="63"/>
        <v>21313.327791041505</v>
      </c>
      <c r="BC48" s="50">
        <f t="shared" si="64"/>
        <v>6304.8910461143205</v>
      </c>
      <c r="BD48" s="50">
        <f t="shared" si="65"/>
        <v>1712.1027000000006</v>
      </c>
      <c r="BE48" s="5">
        <f>+VLOOKUP(A48,'נתוני מים 2011 מעודכן'!$B:$S,5,0)/1000</f>
        <v>0</v>
      </c>
      <c r="BF48" s="5">
        <f t="shared" si="30"/>
        <v>0</v>
      </c>
      <c r="BG48" s="42">
        <f t="shared" si="31"/>
        <v>0</v>
      </c>
      <c r="BH48" s="1">
        <f t="shared" si="32"/>
        <v>0</v>
      </c>
      <c r="BI48" s="42">
        <f t="shared" si="33"/>
        <v>2.5535013527571495</v>
      </c>
      <c r="BJ48" s="483"/>
    </row>
    <row r="49" spans="1:62" x14ac:dyDescent="0.2">
      <c r="A49" s="671" t="s">
        <v>252</v>
      </c>
      <c r="B49" s="673">
        <f>+HLOOKUP(A49,'תחשיב תעריף 2016'!$4:$67,48,0)/(1-P49)</f>
        <v>8.004800537712617</v>
      </c>
      <c r="C49" s="673">
        <f>+HLOOKUP(A49,'תחשיב תעריף 2016'!$4:$67,49,0)/(1-P49)</f>
        <v>3.8564426795755229</v>
      </c>
      <c r="D49" s="673">
        <f>+HLOOKUP(A49,'תחשיב תעריף 2016'!$4:$67,50,0)/(1-P49)</f>
        <v>4.0761012304634212</v>
      </c>
      <c r="E49" s="673">
        <f t="shared" si="38"/>
        <v>7.9325439100389445</v>
      </c>
      <c r="F49" s="673">
        <f t="shared" si="39"/>
        <v>35740.140047031746</v>
      </c>
      <c r="G49" s="674">
        <f>+HLOOKUP(A49,'תחשיב תעריף 2016'!$4:$67,12,0)</f>
        <v>7207.7849999999999</v>
      </c>
      <c r="H49" s="674">
        <f>+(HLOOKUP(A49,'נתוני תאגידים'!$1:$539,358,0))*3.5*12</f>
        <v>4505.5079999999998</v>
      </c>
      <c r="I49" s="674">
        <f t="shared" si="40"/>
        <v>2702.277</v>
      </c>
      <c r="J49" s="673">
        <f>+HLOOKUP(A49,'תחשיב תעריף 2016'!$4:$82,64,0)</f>
        <v>-0.12564596342196016</v>
      </c>
      <c r="K49" s="673">
        <f>+HLOOKUP(A49,'תחשיב תעריף 2016'!$4:$82,57,0)</f>
        <v>3.6442271405101612</v>
      </c>
      <c r="L49" s="673">
        <f t="shared" si="41"/>
        <v>21631.188382648437</v>
      </c>
      <c r="M49" s="673">
        <f t="shared" si="42"/>
        <v>17375.233344368953</v>
      </c>
      <c r="N49" s="673" t="e">
        <f>I49*#REF!</f>
        <v>#REF!</v>
      </c>
      <c r="O49" s="673">
        <f t="shared" si="43"/>
        <v>35740.140047031746</v>
      </c>
      <c r="P49" s="675">
        <f>+HLOOKUP(A49,'תחשיב תעריף 2016'!$4:$67,18,0)</f>
        <v>5.7217305317937013E-2</v>
      </c>
      <c r="Q49" s="675">
        <f>+HLOOKUP(A49,'תחשיב תעריף 2016'!$4:$67,17,0)</f>
        <v>0.11621855862660029</v>
      </c>
      <c r="R49" s="673">
        <f t="shared" si="35"/>
        <v>10.561938969631239</v>
      </c>
      <c r="S49" s="673">
        <f t="shared" si="44"/>
        <v>3.5172565620796172</v>
      </c>
      <c r="T49" s="673">
        <f t="shared" si="45"/>
        <v>1.9368504772218982</v>
      </c>
      <c r="U49" s="673">
        <f t="shared" si="46"/>
        <v>8.6250884924093398</v>
      </c>
      <c r="V49" s="673">
        <f>+HLOOKUP(A49,'תחשיב תעריף 2016'!$4:$82,72,0)</f>
        <v>6.4462858704823223</v>
      </c>
      <c r="W49" s="676">
        <f>HLOOKUP(A49,'נתוני תאגידים'!$1:$473,356,0)</f>
        <v>8.0170000000000012</v>
      </c>
      <c r="X49" s="676">
        <f t="shared" si="23"/>
        <v>51.679873823656784</v>
      </c>
      <c r="Y49" s="673">
        <f>+HLOOKUP(A49,'תחשיב תעריף 2016'!$4:$82,79,0)</f>
        <v>3.0778928965812895</v>
      </c>
      <c r="Z49" s="673">
        <f>HLOOKUP(A49,'נתוני תאגידים'!$1:$1000,958,0)</f>
        <v>371.16499999999996</v>
      </c>
      <c r="AA49" s="677">
        <f t="shared" si="47"/>
        <v>10.522387100945743</v>
      </c>
      <c r="AB49" s="671">
        <f t="shared" si="24"/>
        <v>3905.5418083225263</v>
      </c>
      <c r="AC49" s="673">
        <f t="shared" si="48"/>
        <v>1.6718515392815423</v>
      </c>
      <c r="AD49" s="674">
        <f t="shared" si="26"/>
        <v>620.53277657743354</v>
      </c>
      <c r="AE49" s="676">
        <f t="shared" si="49"/>
        <v>8465.8858489834529</v>
      </c>
      <c r="AF49" s="676">
        <f t="shared" si="50"/>
        <v>7215.8019999999997</v>
      </c>
      <c r="AG49" s="676">
        <f>+AD49+AE49</f>
        <v>9086.4186255608856</v>
      </c>
      <c r="AH49" s="678">
        <f t="shared" si="37"/>
        <v>2323.0950000000003</v>
      </c>
      <c r="AI49" s="676">
        <f>+AG49/(AH49+Z49)</f>
        <v>3.3725099380018575</v>
      </c>
      <c r="AJ49" s="679">
        <f>+AI49/K49</f>
        <v>0.92543900475142571</v>
      </c>
      <c r="AK49" s="679">
        <f t="shared" si="53"/>
        <v>28065.082493140915</v>
      </c>
      <c r="AL49" s="679">
        <f t="shared" si="54"/>
        <v>2.8050472302550373</v>
      </c>
      <c r="AM49" s="677">
        <v>3.2852823823664004</v>
      </c>
      <c r="AN49" s="677">
        <v>3.6041812895113488</v>
      </c>
      <c r="AO49" s="677">
        <f t="shared" si="55"/>
        <v>-0.48023515211136303</v>
      </c>
      <c r="AP49" s="679" t="e">
        <f>+#REF!-AN49</f>
        <v>#REF!</v>
      </c>
      <c r="AQ49" s="677"/>
      <c r="AR49" s="680">
        <v>481.99837508877175</v>
      </c>
      <c r="AS49" s="679">
        <f t="shared" si="56"/>
        <v>0.55000000000000004</v>
      </c>
      <c r="AT49" s="679">
        <f t="shared" si="57"/>
        <v>0.67564596342196026</v>
      </c>
      <c r="AU49" s="671">
        <f t="shared" si="58"/>
        <v>0.67564596342196026</v>
      </c>
      <c r="AV49" s="679">
        <f t="shared" si="59"/>
        <v>2.6968639745798972</v>
      </c>
      <c r="AW49" s="748">
        <f t="shared" si="60"/>
        <v>2.9685811770882009</v>
      </c>
      <c r="AX49" s="693" t="s">
        <v>252</v>
      </c>
      <c r="AY49" s="658"/>
      <c r="AZ49" s="749">
        <f t="shared" si="61"/>
        <v>29379.66130741579</v>
      </c>
      <c r="BA49" s="50">
        <f t="shared" si="62"/>
        <v>17375.233344368953</v>
      </c>
      <c r="BB49" s="50">
        <f t="shared" si="63"/>
        <v>21631.188382648437</v>
      </c>
      <c r="BC49" s="50">
        <f t="shared" si="64"/>
        <v>6265.0712150266872</v>
      </c>
      <c r="BD49" s="50">
        <f t="shared" si="65"/>
        <v>2478.0293999999999</v>
      </c>
      <c r="BE49" s="5">
        <f>+VLOOKUP(A49,'נתוני מים 2011 מעודכן'!$B:$S,5,0)/1000</f>
        <v>0</v>
      </c>
      <c r="BF49" s="5">
        <f t="shared" si="30"/>
        <v>0</v>
      </c>
      <c r="BG49" s="42">
        <f t="shared" si="31"/>
        <v>0</v>
      </c>
      <c r="BH49" s="1">
        <f t="shared" si="32"/>
        <v>0</v>
      </c>
      <c r="BI49" s="42">
        <f t="shared" si="33"/>
        <v>2.6968639745798972</v>
      </c>
      <c r="BJ49" s="483"/>
    </row>
    <row r="50" spans="1:62" s="719" customFormat="1" x14ac:dyDescent="0.2">
      <c r="A50" s="1015" t="s">
        <v>271</v>
      </c>
      <c r="B50" s="1016">
        <f>+HLOOKUP(A50,'תחשיב תעריף 2016'!$4:$67,48,0)/(1-P50)</f>
        <v>6.5117560407280353</v>
      </c>
      <c r="C50" s="1016">
        <f>+HLOOKUP(A50,'תחשיב תעריף 2016'!$4:$67,49,0)/(1-P50)</f>
        <v>2.5411976650935175</v>
      </c>
      <c r="D50" s="1017">
        <f>+HLOOKUP(A50,'תחשיב תעריף 2016'!$4:$67,50,0)/(1-P50)</f>
        <v>2.9224850219907825</v>
      </c>
      <c r="E50" s="1017">
        <f t="shared" si="38"/>
        <v>5.4636826870843</v>
      </c>
      <c r="F50" s="1017">
        <f t="shared" si="39"/>
        <v>36054.831124703924</v>
      </c>
      <c r="G50" s="1018">
        <f>+HLOOKUP(A50,'תחשיב תעריף 2016'!$4:$67,12,0)</f>
        <v>14360.366</v>
      </c>
      <c r="H50" s="685">
        <f>+(HLOOKUP(A50,'נתוני תאגידים'!$1:$539,358,0))*3.5*12</f>
        <v>6598.9980000000005</v>
      </c>
      <c r="I50" s="1018">
        <f t="shared" si="40"/>
        <v>7761.3679999999995</v>
      </c>
      <c r="J50" s="684">
        <f>+HLOOKUP(A50,'תחשיב תעריף 2016'!$4:$82,64,0)</f>
        <v>1.9926984472293323</v>
      </c>
      <c r="K50" s="684">
        <f>+HLOOKUP(A50,'תחשיב תעריף 2016'!$4:$82,57,0)</f>
        <v>5.9313844544278354</v>
      </c>
      <c r="L50" s="1017">
        <f t="shared" si="41"/>
        <v>50540.134958313269</v>
      </c>
      <c r="M50" s="1017">
        <f t="shared" si="42"/>
        <v>16769.358309556792</v>
      </c>
      <c r="N50" s="1017" t="e">
        <f>I50*#REF!</f>
        <v>#REF!</v>
      </c>
      <c r="O50" s="1017">
        <f t="shared" si="43"/>
        <v>36054.831124703924</v>
      </c>
      <c r="P50" s="1019">
        <f>+HLOOKUP(A50,'תחשיב תעריף 2016'!$4:$67,18,0)</f>
        <v>1.4999999999999999E-2</v>
      </c>
      <c r="Q50" s="1019">
        <f>+HLOOKUP(A50,'תחשיב תעריף 2016'!$4:$67,17,0)</f>
        <v>8.0201453463284791E-2</v>
      </c>
      <c r="R50" s="1017">
        <f t="shared" si="35"/>
        <v>10.561938969631239</v>
      </c>
      <c r="S50" s="684">
        <f t="shared" si="44"/>
        <v>1.708069493212621</v>
      </c>
      <c r="T50" s="684">
        <f t="shared" si="45"/>
        <v>1.6477682384652041</v>
      </c>
      <c r="U50" s="1017">
        <f t="shared" si="46"/>
        <v>8.9141707311660348</v>
      </c>
      <c r="V50" s="1017">
        <f>+HLOOKUP(A50,'תחשיב תעריף 2016'!$4:$82,72,0)</f>
        <v>5.3135781492623089</v>
      </c>
      <c r="W50" s="687">
        <f>HLOOKUP(A50,'נתוני תאגידים'!$1:$473,356,0)</f>
        <v>807.18799999999999</v>
      </c>
      <c r="X50" s="1020">
        <f t="shared" si="23"/>
        <v>4289.0565191467449</v>
      </c>
      <c r="Y50" s="690">
        <f>+HLOOKUP(A50,'תחשיב תעריף 2016'!$4:$82,79,0)</f>
        <v>4.2033781003153603</v>
      </c>
      <c r="Z50" s="690">
        <f>HLOOKUP(A50,'נתוני תאגידים'!$1:$1000,958,0)</f>
        <v>596.38599999999997</v>
      </c>
      <c r="AA50" s="1021">
        <f t="shared" si="47"/>
        <v>8.2360631712530914</v>
      </c>
      <c r="AB50" s="1015">
        <f t="shared" si="24"/>
        <v>4911.8727704509456</v>
      </c>
      <c r="AC50" s="1017">
        <f t="shared" si="48"/>
        <v>3.9509529514882518</v>
      </c>
      <c r="AD50" s="1018">
        <f t="shared" si="26"/>
        <v>2356.2930269262724</v>
      </c>
      <c r="AE50" s="1020">
        <f t="shared" si="49"/>
        <v>37710.520496054567</v>
      </c>
      <c r="AF50" s="1020">
        <f t="shared" si="50"/>
        <v>15167.554</v>
      </c>
      <c r="AG50" s="1020">
        <f t="shared" si="36"/>
        <v>40066.813522980839</v>
      </c>
      <c r="AH50" s="1022">
        <f t="shared" si="37"/>
        <v>6357.7939999999999</v>
      </c>
      <c r="AI50" s="1020">
        <f t="shared" si="51"/>
        <v>5.7615439236517947</v>
      </c>
      <c r="AJ50" s="1023">
        <f t="shared" si="52"/>
        <v>0.97136578616999725</v>
      </c>
      <c r="AK50" s="1023">
        <f t="shared" si="53"/>
        <v>59980.961223107326</v>
      </c>
      <c r="AL50" s="1023">
        <f t="shared" si="54"/>
        <v>1.6795620265209665</v>
      </c>
      <c r="AM50" s="1021">
        <v>3.1414243699743039</v>
      </c>
      <c r="AN50" s="1021">
        <v>3.4603232771192522</v>
      </c>
      <c r="AO50" s="1021">
        <f t="shared" si="55"/>
        <v>-1.4618623434533373</v>
      </c>
      <c r="AP50" s="1023" t="e">
        <f>+#REF!-AN50</f>
        <v>#REF!</v>
      </c>
      <c r="AQ50" s="1021"/>
      <c r="AR50" s="1024">
        <v>355.47023148699537</v>
      </c>
      <c r="AS50" s="1023">
        <f t="shared" si="56"/>
        <v>1.9926984472293323</v>
      </c>
      <c r="AT50" s="1023">
        <f t="shared" si="57"/>
        <v>0</v>
      </c>
      <c r="AU50" s="1015">
        <f t="shared" si="58"/>
        <v>0</v>
      </c>
      <c r="AV50" s="690">
        <f t="shared" si="59"/>
        <v>5.7615439236517947</v>
      </c>
      <c r="AW50" s="690">
        <f t="shared" si="60"/>
        <v>5.9313844544278354</v>
      </c>
      <c r="AX50" s="1025" t="s">
        <v>271</v>
      </c>
      <c r="AY50" s="1026"/>
      <c r="AZ50" s="1026">
        <f t="shared" si="61"/>
        <v>41967.954545305685</v>
      </c>
      <c r="BA50" s="1027">
        <f t="shared" si="62"/>
        <v>16769.358309556792</v>
      </c>
      <c r="BB50" s="1027">
        <f t="shared" si="63"/>
        <v>50540.134958313269</v>
      </c>
      <c r="BC50" s="1027">
        <f t="shared" si="64"/>
        <v>36630.709388529838</v>
      </c>
      <c r="BD50" s="1027">
        <f t="shared" si="65"/>
        <v>13149.813067869471</v>
      </c>
      <c r="BE50" s="1028">
        <f>+VLOOKUP(A50,'נתוני מים 2011 מעודכן'!$B:$S,5,0)/1000</f>
        <v>0</v>
      </c>
      <c r="BF50" s="1028">
        <f t="shared" si="30"/>
        <v>0</v>
      </c>
      <c r="BG50" s="1029">
        <f t="shared" si="31"/>
        <v>0</v>
      </c>
      <c r="BH50" s="719">
        <f t="shared" si="32"/>
        <v>0</v>
      </c>
      <c r="BI50" s="1029">
        <f t="shared" si="33"/>
        <v>5.7615439236517947</v>
      </c>
      <c r="BJ50" s="483"/>
    </row>
    <row r="51" spans="1:62" x14ac:dyDescent="0.2">
      <c r="A51" s="671" t="s">
        <v>267</v>
      </c>
      <c r="B51" s="673">
        <f>+HLOOKUP(A51,'תחשיב תעריף 2016'!$4:$67,48,0)/(1-P51)</f>
        <v>7.6591040482939317</v>
      </c>
      <c r="C51" s="673">
        <f>+HLOOKUP(A51,'תחשיב תעריף 2016'!$4:$67,49,0)/(1-P51)</f>
        <v>3.5630294574226902</v>
      </c>
      <c r="D51" s="673">
        <f>+HLOOKUP(A51,'תחשיב תעריף 2016'!$4:$67,50,0)/(1-P51)</f>
        <v>4.0053671736945393</v>
      </c>
      <c r="E51" s="673">
        <f t="shared" si="38"/>
        <v>7.5683966311172295</v>
      </c>
      <c r="F51" s="673">
        <f t="shared" si="39"/>
        <v>22692.929090809281</v>
      </c>
      <c r="G51" s="674">
        <f>+HLOOKUP(A51,'תחשיב תעריף 2016'!$4:$67,12,0)</f>
        <v>6640.4369999999999</v>
      </c>
      <c r="H51" s="674">
        <f>+(HLOOKUP(A51,'נתוני תאגידים'!$1:$539,358,0))*3.5*12</f>
        <v>2998.38</v>
      </c>
      <c r="I51" s="674">
        <f t="shared" si="40"/>
        <v>3642.0569999999998</v>
      </c>
      <c r="J51" s="673">
        <f>+HLOOKUP(A51,'תחשיב תעריף 2016'!$4:$82,64,0)</f>
        <v>0.14756452384971255</v>
      </c>
      <c r="K51" s="673">
        <f>+HLOOKUP(A51,'תחשיב תעריף 2016'!$4:$82,57,0)</f>
        <v>3.965557181925329</v>
      </c>
      <c r="L51" s="673">
        <f t="shared" si="41"/>
        <v>27894.893512817249</v>
      </c>
      <c r="M51" s="673">
        <f t="shared" si="42"/>
        <v>10683.316264547046</v>
      </c>
      <c r="N51" s="673" t="e">
        <f>I51*#REF!</f>
        <v>#REF!</v>
      </c>
      <c r="O51" s="673">
        <f t="shared" si="43"/>
        <v>22692.929090809281</v>
      </c>
      <c r="P51" s="675">
        <f>+HLOOKUP(A51,'תחשיב תעריף 2016'!$4:$67,18,0)</f>
        <v>4.5183403467239154E-2</v>
      </c>
      <c r="Q51" s="675">
        <f>+HLOOKUP(A51,'תחשיב תעריף 2016'!$4:$67,17,0)</f>
        <v>0.10304411288676472</v>
      </c>
      <c r="R51" s="673">
        <f t="shared" si="35"/>
        <v>10.561938969631239</v>
      </c>
      <c r="S51" s="673">
        <f t="shared" si="44"/>
        <v>2.9934500901616579</v>
      </c>
      <c r="T51" s="673">
        <f t="shared" si="45"/>
        <v>2.0075845339907801</v>
      </c>
      <c r="U51" s="673">
        <f t="shared" si="46"/>
        <v>8.5543544356404588</v>
      </c>
      <c r="V51" s="673">
        <f>+HLOOKUP(A51,'תחשיב תעריף 2016'!$4:$82,72,0)</f>
        <v>6.2125381090274967</v>
      </c>
      <c r="W51" s="676">
        <f>HLOOKUP(A51,'נתוני תאגידים'!$1:$473,356,0)</f>
        <v>835.14599999999996</v>
      </c>
      <c r="X51" s="676">
        <f t="shared" si="23"/>
        <v>5188.3763516018771</v>
      </c>
      <c r="Y51" s="673">
        <f>+HLOOKUP(A51,'תחשיב תעריף 2016'!$4:$82,79,0)</f>
        <v>3.3244560620848818</v>
      </c>
      <c r="Z51" s="673">
        <f>HLOOKUP(A51,'נתוני תאגידים'!$1:$1000,958,0)</f>
        <v>207.81700000000001</v>
      </c>
      <c r="AA51" s="677">
        <f t="shared" si="47"/>
        <v>10.217905282722036</v>
      </c>
      <c r="AB51" s="671">
        <f t="shared" si="24"/>
        <v>2123.4544221394453</v>
      </c>
      <c r="AC51" s="673">
        <f t="shared" si="48"/>
        <v>1.9891487615540164</v>
      </c>
      <c r="AD51" s="674">
        <f t="shared" si="26"/>
        <v>413.37892817987102</v>
      </c>
      <c r="AE51" s="676">
        <f t="shared" si="49"/>
        <v>10306.85587819903</v>
      </c>
      <c r="AF51" s="676">
        <f t="shared" si="50"/>
        <v>7475.5829999999996</v>
      </c>
      <c r="AG51" s="676">
        <f t="shared" si="36"/>
        <v>10720.234806378901</v>
      </c>
      <c r="AH51" s="678">
        <f t="shared" si="37"/>
        <v>2599.0940000000001</v>
      </c>
      <c r="AI51" s="676">
        <f t="shared" si="51"/>
        <v>3.8192286133685398</v>
      </c>
      <c r="AJ51" s="679">
        <f t="shared" si="52"/>
        <v>0.96310012393119881</v>
      </c>
      <c r="AK51" s="679">
        <f t="shared" si="53"/>
        <v>30317.057166242903</v>
      </c>
      <c r="AL51" s="679">
        <f t="shared" si="54"/>
        <v>2.5584840647514451</v>
      </c>
      <c r="AM51" s="677">
        <v>2.676306716017911</v>
      </c>
      <c r="AN51" s="677">
        <v>2.9952056231628594</v>
      </c>
      <c r="AO51" s="677">
        <f t="shared" si="55"/>
        <v>-0.11782265126646596</v>
      </c>
      <c r="AP51" s="679" t="e">
        <f>+#REF!-AN51</f>
        <v>#REF!</v>
      </c>
      <c r="AQ51" s="677"/>
      <c r="AR51" s="680">
        <v>47.009</v>
      </c>
      <c r="AS51" s="679">
        <f t="shared" si="56"/>
        <v>0.55000000000000004</v>
      </c>
      <c r="AT51" s="679">
        <f t="shared" si="57"/>
        <v>0.40243547615028752</v>
      </c>
      <c r="AU51" s="671">
        <f t="shared" si="58"/>
        <v>0.40243547615028752</v>
      </c>
      <c r="AV51" s="679">
        <f t="shared" si="59"/>
        <v>3.4167931372182521</v>
      </c>
      <c r="AW51" s="748">
        <f t="shared" si="60"/>
        <v>3.5631217057750417</v>
      </c>
      <c r="AX51" s="693" t="s">
        <v>267</v>
      </c>
      <c r="AY51" s="658"/>
      <c r="AZ51" s="749">
        <f t="shared" si="61"/>
        <v>26597.388378786643</v>
      </c>
      <c r="BA51" s="50">
        <f t="shared" si="62"/>
        <v>10683.316264547046</v>
      </c>
      <c r="BB51" s="50">
        <f t="shared" si="63"/>
        <v>27894.893512817249</v>
      </c>
      <c r="BC51" s="50">
        <f t="shared" si="64"/>
        <v>8880.5665421851354</v>
      </c>
      <c r="BD51" s="50">
        <f t="shared" si="65"/>
        <v>1649.1090000000002</v>
      </c>
      <c r="BE51" s="5">
        <f>+VLOOKUP(A51,'נתוני מים 2011 מעודכן'!$B:$S,5,0)/1000</f>
        <v>0</v>
      </c>
      <c r="BF51" s="5">
        <f t="shared" si="30"/>
        <v>0</v>
      </c>
      <c r="BG51" s="42">
        <f t="shared" si="31"/>
        <v>0</v>
      </c>
      <c r="BH51" s="1">
        <f t="shared" si="32"/>
        <v>0</v>
      </c>
      <c r="BI51" s="42">
        <f t="shared" si="33"/>
        <v>3.4167931372182521</v>
      </c>
      <c r="BJ51" s="483"/>
    </row>
    <row r="52" spans="1:62" x14ac:dyDescent="0.2">
      <c r="A52" s="683" t="s">
        <v>270</v>
      </c>
      <c r="B52" s="657">
        <f>+HLOOKUP(A52,'תחשיב תעריף 2016'!$4:$67,48,0)/(1-P52)</f>
        <v>7.383109512700476</v>
      </c>
      <c r="C52" s="657">
        <f>+HLOOKUP(A52,'תחשיב תעריף 2016'!$4:$67,49,0)/(1-P52)</f>
        <v>3.3994794132055168</v>
      </c>
      <c r="D52" s="684">
        <f>+HLOOKUP(A52,'תחשיב תעריף 2016'!$4:$67,50,0)/(1-P52)</f>
        <v>3.7513376806823442</v>
      </c>
      <c r="E52" s="684">
        <f t="shared" si="38"/>
        <v>7.150817093887861</v>
      </c>
      <c r="F52" s="684">
        <f t="shared" si="39"/>
        <v>20468.684770789052</v>
      </c>
      <c r="G52" s="685">
        <f>+HLOOKUP(A52,'תחשיב תעריף 2016'!$4:$67,12,0)</f>
        <v>5883.2190000000001</v>
      </c>
      <c r="H52" s="685">
        <f>+(HLOOKUP(A52,'נתוני תאגידים'!$1:$539,358,0))*3.5*12</f>
        <v>2862.4259999999995</v>
      </c>
      <c r="I52" s="685">
        <f t="shared" si="40"/>
        <v>3020.7930000000006</v>
      </c>
      <c r="J52" s="684">
        <f>+HLOOKUP(A52,'תחשיב תעריף 2016'!$4:$82,64,0)</f>
        <v>0.46483321129280014</v>
      </c>
      <c r="K52" s="684">
        <f>+HLOOKUP(A52,'תחשיב תעריף 2016'!$4:$82,57,0)</f>
        <v>4.3905949723707582</v>
      </c>
      <c r="L52" s="684">
        <f t="shared" si="41"/>
        <v>22302.845534199012</v>
      </c>
      <c r="M52" s="684">
        <f t="shared" si="42"/>
        <v>9730.758258824213</v>
      </c>
      <c r="N52" s="684" t="e">
        <f>I52*#REF!</f>
        <v>#REF!</v>
      </c>
      <c r="O52" s="684">
        <f t="shared" si="43"/>
        <v>20468.684770789052</v>
      </c>
      <c r="P52" s="686">
        <f>+HLOOKUP(A52,'תחשיב תעריף 2016'!$4:$67,18,0)</f>
        <v>1.8232139450941265E-2</v>
      </c>
      <c r="Q52" s="686">
        <f>+HLOOKUP(A52,'תחשיב תעריף 2016'!$4:$67,17,0)</f>
        <v>7.6464278901882538E-2</v>
      </c>
      <c r="R52" s="684">
        <f t="shared" si="35"/>
        <v>10.561938969631239</v>
      </c>
      <c r="S52" s="684">
        <f t="shared" si="44"/>
        <v>2.5051731052853365</v>
      </c>
      <c r="T52" s="684">
        <f t="shared" si="45"/>
        <v>2.2616140270029752</v>
      </c>
      <c r="U52" s="684">
        <f t="shared" si="46"/>
        <v>8.3003249426282633</v>
      </c>
      <c r="V52" s="684">
        <f>+HLOOKUP(A52,'תחשיב תעריף 2016'!$4:$82,72,0)</f>
        <v>6.1479980796285449</v>
      </c>
      <c r="W52" s="687">
        <f>HLOOKUP(A52,'נתוני תאגידים'!$1:$473,356,0)</f>
        <v>371.15899999999999</v>
      </c>
      <c r="X52" s="687">
        <f t="shared" si="23"/>
        <v>2281.8848192368509</v>
      </c>
      <c r="Y52" s="690">
        <f>+HLOOKUP(A52,'תחשיב תעריף 2016'!$4:$82,79,0)</f>
        <v>3.4819997303609305</v>
      </c>
      <c r="Z52" s="690">
        <f>HLOOKUP(A52,'נתוני תאגידים'!$1:$1000,958,0)</f>
        <v>211.60599999999999</v>
      </c>
      <c r="AA52" s="688">
        <f t="shared" si="47"/>
        <v>9.8993357603108887</v>
      </c>
      <c r="AB52" s="683">
        <f t="shared" si="24"/>
        <v>2094.7588428963459</v>
      </c>
      <c r="AC52" s="684">
        <f t="shared" si="48"/>
        <v>2.4007219228422603</v>
      </c>
      <c r="AD52" s="685">
        <f>+AC52*(Z52)</f>
        <v>508.00716320495934</v>
      </c>
      <c r="AE52" s="687">
        <f t="shared" si="49"/>
        <v>10704.393479299137</v>
      </c>
      <c r="AF52" s="687">
        <f t="shared" si="50"/>
        <v>6254.3779999999997</v>
      </c>
      <c r="AG52" s="687">
        <f t="shared" si="36"/>
        <v>11212.400642504095</v>
      </c>
      <c r="AH52" s="689">
        <f t="shared" si="37"/>
        <v>2438.0280000000002</v>
      </c>
      <c r="AI52" s="690">
        <f t="shared" si="51"/>
        <v>4.2316790328415532</v>
      </c>
      <c r="AJ52" s="690">
        <f t="shared" si="52"/>
        <v>0.96380537477739692</v>
      </c>
      <c r="AK52" s="690">
        <f t="shared" si="53"/>
        <v>27146.094021988734</v>
      </c>
      <c r="AL52" s="690">
        <f t="shared" si="54"/>
        <v>2.4009403964753964</v>
      </c>
      <c r="AM52" s="688">
        <v>3.3260825580344395</v>
      </c>
      <c r="AN52" s="688">
        <v>3.6449814651793879</v>
      </c>
      <c r="AO52" s="688">
        <f t="shared" si="55"/>
        <v>-0.92514216155904316</v>
      </c>
      <c r="AP52" s="690" t="e">
        <f>+#REF!-AN52</f>
        <v>#REF!</v>
      </c>
      <c r="AQ52" s="688"/>
      <c r="AR52" s="691">
        <v>190.6553092095933</v>
      </c>
      <c r="AS52" s="690">
        <f t="shared" si="56"/>
        <v>0.55000000000000004</v>
      </c>
      <c r="AT52" s="690">
        <f t="shared" si="57"/>
        <v>8.5166788707199903E-2</v>
      </c>
      <c r="AU52" s="683">
        <f t="shared" si="58"/>
        <v>8.5166788707199903E-2</v>
      </c>
      <c r="AV52" s="690">
        <f t="shared" si="59"/>
        <v>4.1465122441343532</v>
      </c>
      <c r="AW52" s="690">
        <f t="shared" si="60"/>
        <v>4.3054281836635582</v>
      </c>
      <c r="AX52" s="692" t="s">
        <v>270</v>
      </c>
      <c r="AY52" s="659"/>
      <c r="AZ52" s="659">
        <f t="shared" si="61"/>
        <v>22069.941118406299</v>
      </c>
      <c r="BA52" s="50">
        <f t="shared" si="62"/>
        <v>9730.758258824213</v>
      </c>
      <c r="BB52" s="50">
        <f t="shared" si="63"/>
        <v>22302.845534199012</v>
      </c>
      <c r="BC52" s="50">
        <f t="shared" si="64"/>
        <v>10109.31295354239</v>
      </c>
      <c r="BD52" s="50">
        <f t="shared" si="65"/>
        <v>1574.3342999999998</v>
      </c>
      <c r="BE52" s="5">
        <f>+VLOOKUP(A52,'נתוני מים 2011 מעודכן'!$B:$S,5,0)/1000</f>
        <v>0</v>
      </c>
      <c r="BF52" s="5">
        <f t="shared" si="30"/>
        <v>0</v>
      </c>
      <c r="BG52" s="42">
        <f t="shared" si="31"/>
        <v>0</v>
      </c>
      <c r="BH52" s="1">
        <f t="shared" si="32"/>
        <v>0</v>
      </c>
      <c r="BI52" s="42">
        <f t="shared" si="33"/>
        <v>4.1465122441343532</v>
      </c>
      <c r="BJ52" s="483"/>
    </row>
    <row r="53" spans="1:62" s="719" customFormat="1" x14ac:dyDescent="0.2">
      <c r="A53" s="1030" t="s">
        <v>531</v>
      </c>
      <c r="B53" s="1031">
        <f>+HLOOKUP(A53,'תחשיב תעריף 2016'!$4:$67,48,0)/(1-P53)</f>
        <v>7.2331437176536557</v>
      </c>
      <c r="C53" s="1031">
        <f>+HLOOKUP(A53,'תחשיב תעריף 2016'!$4:$67,49,0)/(1-P53)</f>
        <v>3.0973799503108581</v>
      </c>
      <c r="D53" s="1031">
        <f>+HLOOKUP(A53,'תחשיב תעריף 2016'!$4:$67,50,0)/(1-P53)</f>
        <v>2.5793849689276667</v>
      </c>
      <c r="E53" s="1031">
        <f t="shared" si="38"/>
        <v>5.6767649192385248</v>
      </c>
      <c r="F53" s="1031">
        <f t="shared" si="39"/>
        <v>23385.592034220845</v>
      </c>
      <c r="G53" s="1032">
        <f>+HLOOKUP(A53,'תחשיב תעריף 2016'!$4:$67,12,0)</f>
        <v>5761.5990000000002</v>
      </c>
      <c r="H53" s="674">
        <f>+(HLOOKUP(A53,'נתוני תאגידים'!$1:$539,358,0))*3.5*12</f>
        <v>4119.5280000000002</v>
      </c>
      <c r="I53" s="1032">
        <f t="shared" si="40"/>
        <v>1642.0709999999999</v>
      </c>
      <c r="J53" s="673">
        <f>+HLOOKUP(A53,'תחשיב תעריף 2016'!$4:$82,64,0)</f>
        <v>1.7624084608696076</v>
      </c>
      <c r="K53" s="673">
        <f>+HLOOKUP(A53,'תחשיב תעריף 2016'!$4:$82,57,0)</f>
        <v>5.5437614574708398</v>
      </c>
      <c r="L53" s="1031">
        <f t="shared" si="41"/>
        <v>11877.335537591256</v>
      </c>
      <c r="M53" s="1031">
        <f t="shared" si="42"/>
        <v>12759.743431944189</v>
      </c>
      <c r="N53" s="1031" t="e">
        <f>I53*#REF!</f>
        <v>#REF!</v>
      </c>
      <c r="O53" s="1031">
        <f t="shared" si="43"/>
        <v>23385.592034220845</v>
      </c>
      <c r="P53" s="1033">
        <f>+HLOOKUP(A53,'תחשיב תעריף 2016'!$4:$67,18,0)</f>
        <v>5.4346374693254665E-2</v>
      </c>
      <c r="Q53" s="1033">
        <f>+HLOOKUP(A53,'תחשיב תעריף 2016'!$4:$67,17,0)</f>
        <v>0.10546501084537074</v>
      </c>
      <c r="R53" s="1031">
        <f t="shared" si="35"/>
        <v>10.561938969631239</v>
      </c>
      <c r="S53" s="673">
        <f t="shared" si="44"/>
        <v>2.4387925432327324</v>
      </c>
      <c r="T53" s="673">
        <f t="shared" si="45"/>
        <v>2.2211582778880454</v>
      </c>
      <c r="U53" s="1031">
        <f t="shared" si="46"/>
        <v>8.340780691743193</v>
      </c>
      <c r="V53" s="1031">
        <f>+HLOOKUP(A53,'תחשיב תעריף 2016'!$4:$82,72,0)</f>
        <v>5.7395470281090848</v>
      </c>
      <c r="W53" s="676">
        <f>HLOOKUP(A53,'נתוני תאגידים'!$1:$473,356,0)</f>
        <v>212.76599999999999</v>
      </c>
      <c r="X53" s="1034">
        <f t="shared" si="23"/>
        <v>1221.1804629826574</v>
      </c>
      <c r="Y53" s="673">
        <f>+HLOOKUP(A53,'תחשיב תעריף 2016'!$4:$82,79,0)</f>
        <v>3.5603274724898299</v>
      </c>
      <c r="Z53" s="673">
        <f>HLOOKUP(A53,'נתוני תאגידים'!$1:$1000,958,0)</f>
        <v>379.44099999999997</v>
      </c>
      <c r="AA53" s="1035">
        <f t="shared" si="47"/>
        <v>8.318931997036751</v>
      </c>
      <c r="AB53" s="1030">
        <f t="shared" si="24"/>
        <v>3156.5438758876217</v>
      </c>
      <c r="AC53" s="1031">
        <f t="shared" si="48"/>
        <v>3.6510023767258373</v>
      </c>
      <c r="AD53" s="1032">
        <f t="shared" si="26"/>
        <v>1385.3399928272283</v>
      </c>
      <c r="AE53" s="1034">
        <f t="shared" si="49"/>
        <v>5820.1955787861643</v>
      </c>
      <c r="AF53" s="1034">
        <f t="shared" si="50"/>
        <v>5974.3649999999998</v>
      </c>
      <c r="AG53" s="1034">
        <f t="shared" si="36"/>
        <v>7205.5355716133927</v>
      </c>
      <c r="AH53" s="1036">
        <f t="shared" si="37"/>
        <v>1049.8639999999998</v>
      </c>
      <c r="AI53" s="1034">
        <f t="shared" si="51"/>
        <v>5.0412861996658469</v>
      </c>
      <c r="AJ53" s="1037">
        <f t="shared" si="52"/>
        <v>0.90936203484588052</v>
      </c>
      <c r="AK53" s="1037">
        <f t="shared" si="53"/>
        <v>10301.820617009011</v>
      </c>
      <c r="AL53" s="1037">
        <f t="shared" si="54"/>
        <v>2.3226126543464969</v>
      </c>
      <c r="AM53" s="1035">
        <v>3.0617069493541589</v>
      </c>
      <c r="AN53" s="1035">
        <v>3.3806058564991073</v>
      </c>
      <c r="AO53" s="1035">
        <f t="shared" si="55"/>
        <v>-0.73909429500766199</v>
      </c>
      <c r="AP53" s="1037" t="e">
        <f>+#REF!-AN53</f>
        <v>#REF!</v>
      </c>
      <c r="AQ53" s="1035"/>
      <c r="AR53" s="1038">
        <v>323.77598710273367</v>
      </c>
      <c r="AS53" s="1037">
        <f t="shared" si="56"/>
        <v>1.7624084608696076</v>
      </c>
      <c r="AT53" s="1037">
        <f t="shared" si="57"/>
        <v>0</v>
      </c>
      <c r="AU53" s="1030">
        <f t="shared" si="58"/>
        <v>0</v>
      </c>
      <c r="AV53" s="679">
        <f t="shared" si="59"/>
        <v>5.0412861996658469</v>
      </c>
      <c r="AW53" s="748">
        <f t="shared" si="60"/>
        <v>5.5437614574708398</v>
      </c>
      <c r="AX53" s="1039" t="s">
        <v>531</v>
      </c>
      <c r="AY53" s="1040"/>
      <c r="AZ53" s="1041">
        <f t="shared" si="61"/>
        <v>14861.381857588676</v>
      </c>
      <c r="BA53" s="1027">
        <f t="shared" si="62"/>
        <v>12759.743431944189</v>
      </c>
      <c r="BB53" s="1027">
        <f t="shared" si="63"/>
        <v>11877.335537591256</v>
      </c>
      <c r="BC53" s="1027">
        <f t="shared" si="64"/>
        <v>5292.6648947259837</v>
      </c>
      <c r="BD53" s="1027">
        <f t="shared" si="65"/>
        <v>7260.2910019892533</v>
      </c>
      <c r="BE53" s="1028">
        <f>+VLOOKUP(A53,'נתוני מים 2011 מעודכן'!$B:$S,5,0)/1000</f>
        <v>0</v>
      </c>
      <c r="BF53" s="1028">
        <f t="shared" si="30"/>
        <v>0</v>
      </c>
      <c r="BG53" s="1029">
        <f t="shared" si="31"/>
        <v>0</v>
      </c>
      <c r="BH53" s="719">
        <f t="shared" si="32"/>
        <v>0</v>
      </c>
      <c r="BI53" s="1029">
        <f t="shared" si="33"/>
        <v>5.0412861996658469</v>
      </c>
      <c r="BJ53" s="483"/>
    </row>
    <row r="54" spans="1:62" x14ac:dyDescent="0.2">
      <c r="A54" s="683" t="s">
        <v>661</v>
      </c>
      <c r="B54" s="657">
        <f>+HLOOKUP(A54,'תחשיב תעריף 2016'!$4:$67,48,0)/(1-P54)</f>
        <v>7.3401374504989176</v>
      </c>
      <c r="C54" s="657">
        <f>+HLOOKUP(A54,'תחשיב תעריף 2016'!$4:$67,49,0)/(1-P54)</f>
        <v>3.209102697706931</v>
      </c>
      <c r="D54" s="684">
        <f>+HLOOKUP(A54,'תחשיב תעריף 2016'!$4:$67,50,0)/(1-P54)</f>
        <v>3.477992149068355</v>
      </c>
      <c r="E54" s="684">
        <f t="shared" si="38"/>
        <v>6.6870948467752864</v>
      </c>
      <c r="F54" s="684">
        <f t="shared" si="39"/>
        <v>15448.312527985168</v>
      </c>
      <c r="G54" s="685">
        <f>+HLOOKUP(A54,'תחשיב תעריף 2016'!$4:$67,12,0)</f>
        <v>4786.3330000000005</v>
      </c>
      <c r="H54" s="685">
        <f>+(HLOOKUP(A54,'נתוני תאגידים'!$1:$539,358,0))*3.5*12</f>
        <v>2310.1679999999997</v>
      </c>
      <c r="I54" s="685">
        <f t="shared" si="40"/>
        <v>2476.1650000000009</v>
      </c>
      <c r="J54" s="684">
        <f>+HLOOKUP(A54,'תחשיב תעריף 2016'!$4:$82,64,0)</f>
        <v>0.90502566698185505</v>
      </c>
      <c r="K54" s="684">
        <f>+HLOOKUP(A54,'תחשיב תעריף 2016'!$4:$82,57,0)</f>
        <v>4.6907073788839204</v>
      </c>
      <c r="L54" s="684">
        <f t="shared" si="41"/>
        <v>18175.391450114657</v>
      </c>
      <c r="M54" s="684">
        <f t="shared" si="42"/>
        <v>7413.5663609562243</v>
      </c>
      <c r="N54" s="684" t="e">
        <f>I54*#REF!</f>
        <v>#REF!</v>
      </c>
      <c r="O54" s="684">
        <f t="shared" si="43"/>
        <v>15448.312527985168</v>
      </c>
      <c r="P54" s="686">
        <f>+HLOOKUP(A54,'תחשיב תעריף 2016'!$4:$67,18,0)</f>
        <v>5.3263834840235794E-2</v>
      </c>
      <c r="Q54" s="686">
        <f>+HLOOKUP(A54,'תחשיב תעריף 2016'!$4:$67,17,0)</f>
        <v>9.6693529134474293E-2</v>
      </c>
      <c r="R54" s="684">
        <f t="shared" si="35"/>
        <v>10.561938969631239</v>
      </c>
      <c r="S54" s="684">
        <f t="shared" si="44"/>
        <v>2.3932394416789635</v>
      </c>
      <c r="T54" s="684">
        <f t="shared" si="45"/>
        <v>2.1799338916351094</v>
      </c>
      <c r="U54" s="684">
        <f t="shared" si="46"/>
        <v>8.3820050779961299</v>
      </c>
      <c r="V54" s="684">
        <f>+HLOOKUP(A54,'תחשיב תעריף 2016'!$4:$82,72,0)</f>
        <v>5.8486720307761093</v>
      </c>
      <c r="W54" s="687">
        <f>HLOOKUP(A54,'נתוני תאגידים'!$1:$473,356,0)</f>
        <v>25.544000000000004</v>
      </c>
      <c r="X54" s="687">
        <f>+W54*V54</f>
        <v>149.39847835414497</v>
      </c>
      <c r="Y54" s="690">
        <f>+HLOOKUP(A54,'תחשיב תעריף 2016'!$4:$82,79,0)</f>
        <v>3.5557467675499739</v>
      </c>
      <c r="Z54" s="690">
        <f>HLOOKUP(A54,'נתוני תאגידים'!$1:$1000,958,0)</f>
        <v>154.58099999999999</v>
      </c>
      <c r="AA54" s="688">
        <f t="shared" si="47"/>
        <v>9.3266641798444638</v>
      </c>
      <c r="AB54" s="683">
        <f t="shared" si="24"/>
        <v>1441.7250755845369</v>
      </c>
      <c r="AC54" s="684">
        <f t="shared" si="48"/>
        <v>2.7478144916452929</v>
      </c>
      <c r="AD54" s="685">
        <f t="shared" si="26"/>
        <v>424.75991193302099</v>
      </c>
      <c r="AE54" s="687">
        <f t="shared" si="49"/>
        <v>10770.05177021264</v>
      </c>
      <c r="AF54" s="687">
        <f t="shared" si="50"/>
        <v>4811.8770000000004</v>
      </c>
      <c r="AG54" s="687">
        <f t="shared" si="36"/>
        <v>11194.811682145661</v>
      </c>
      <c r="AH54" s="689">
        <f t="shared" si="37"/>
        <v>2296.0400000000009</v>
      </c>
      <c r="AI54" s="687">
        <f t="shared" si="51"/>
        <v>4.5681530037266702</v>
      </c>
      <c r="AJ54" s="690">
        <f t="shared" si="52"/>
        <v>0.97387294383168066</v>
      </c>
      <c r="AK54" s="690">
        <f t="shared" si="53"/>
        <v>24838.858285790451</v>
      </c>
      <c r="AL54" s="690">
        <f t="shared" si="54"/>
        <v>2.327193359286353</v>
      </c>
      <c r="AM54" s="688">
        <v>3.2750495490481373</v>
      </c>
      <c r="AN54" s="688">
        <v>3.5939484561930857</v>
      </c>
      <c r="AO54" s="688">
        <f t="shared" si="55"/>
        <v>-0.94785618976178432</v>
      </c>
      <c r="AP54" s="690" t="e">
        <f>+#REF!-AN54</f>
        <v>#REF!</v>
      </c>
      <c r="AQ54" s="688"/>
      <c r="AR54" s="691">
        <v>279.05552095605822</v>
      </c>
      <c r="AS54" s="690">
        <f t="shared" si="56"/>
        <v>0.90502566698185505</v>
      </c>
      <c r="AT54" s="690">
        <f t="shared" si="57"/>
        <v>0</v>
      </c>
      <c r="AU54" s="683">
        <f t="shared" si="58"/>
        <v>0</v>
      </c>
      <c r="AV54" s="690">
        <f t="shared" si="59"/>
        <v>4.5681530037266702</v>
      </c>
      <c r="AW54" s="690">
        <f t="shared" si="60"/>
        <v>4.6907073788839204</v>
      </c>
      <c r="AX54" s="692" t="s">
        <v>661</v>
      </c>
      <c r="AY54" s="659"/>
      <c r="AZ54" s="659">
        <f t="shared" si="61"/>
        <v>16646.828596826788</v>
      </c>
      <c r="BA54" s="50">
        <f t="shared" si="62"/>
        <v>7413.5663609562243</v>
      </c>
      <c r="BB54" s="50">
        <f t="shared" si="63"/>
        <v>18175.391450114657</v>
      </c>
      <c r="BC54" s="50">
        <f t="shared" si="64"/>
        <v>10488.662022676588</v>
      </c>
      <c r="BD54" s="50">
        <f t="shared" si="65"/>
        <v>2090.761335040138</v>
      </c>
      <c r="BE54" s="5">
        <f>+VLOOKUP(A54,'נתוני מים 2011 מעודכן'!$B:$S,5,0)/1000</f>
        <v>2957.78</v>
      </c>
      <c r="BF54" s="5" t="str">
        <f t="shared" si="30"/>
        <v>מפיק ארצי</v>
      </c>
      <c r="BG54" s="42">
        <f t="shared" si="31"/>
        <v>0</v>
      </c>
      <c r="BH54" s="1">
        <f t="shared" si="32"/>
        <v>0</v>
      </c>
      <c r="BI54" s="42">
        <f t="shared" si="33"/>
        <v>4.5681530037266702</v>
      </c>
      <c r="BJ54" s="483"/>
    </row>
    <row r="55" spans="1:62" x14ac:dyDescent="0.2">
      <c r="A55" s="694" t="s">
        <v>578</v>
      </c>
      <c r="B55" s="673">
        <f>+HLOOKUP(A55,'תחשיב תעריף 2016'!$4:$67,48,0)/(1-P55)</f>
        <v>7.681246908630305</v>
      </c>
      <c r="C55" s="673">
        <f>+HLOOKUP(A55,'תחשיב תעריף 2016'!$4:$67,49,0)/(1-P55)</f>
        <v>3.523472095349732</v>
      </c>
      <c r="D55" s="673">
        <f>+HLOOKUP(A55,'תחשיב תעריף 2016'!$4:$67,50,0)/(1-P55)</f>
        <v>5.6158230813277781</v>
      </c>
      <c r="E55" s="673">
        <f t="shared" si="38"/>
        <v>9.1392951766775106</v>
      </c>
      <c r="F55" s="673">
        <f t="shared" si="39"/>
        <v>34838.26206988054</v>
      </c>
      <c r="G55" s="674">
        <f>+HLOOKUP(A55,'תחשיב תעריף 2016'!$4:$67,12,0)</f>
        <v>6044.5029999999997</v>
      </c>
      <c r="H55" s="674">
        <f>+(HLOOKUP(A55,'נתוני תאגידים'!$1:$539,358,0))*3.5*12</f>
        <v>3811.92</v>
      </c>
      <c r="I55" s="674">
        <f t="shared" si="40"/>
        <v>2232.5829999999996</v>
      </c>
      <c r="J55" s="673">
        <f>+HLOOKUP(A55,'תחשיב תעריף 2016'!$4:$82,64,0)</f>
        <v>-1.1192508197503173</v>
      </c>
      <c r="K55" s="673">
        <f>+HLOOKUP(A55,'תחשיב תעריף 2016'!$4:$82,57,0)</f>
        <v>2.6420838886431746</v>
      </c>
      <c r="L55" s="673">
        <f t="shared" si="41"/>
        <v>17149.021267010568</v>
      </c>
      <c r="M55" s="673">
        <f t="shared" si="42"/>
        <v>13431.193749705551</v>
      </c>
      <c r="N55" s="673" t="e">
        <f>I55*#REF!</f>
        <v>#REF!</v>
      </c>
      <c r="O55" s="673">
        <f t="shared" si="43"/>
        <v>34838.26206988054</v>
      </c>
      <c r="P55" s="675">
        <f>+HLOOKUP(A55,'תחשיב תעריף 2016'!$4:$67,18,0)</f>
        <v>5.9352616330335332E-2</v>
      </c>
      <c r="Q55" s="675">
        <f>+HLOOKUP(A55,'תחשיב תעריף 2016'!$4:$67,17,0)</f>
        <v>0.11855624921270752</v>
      </c>
      <c r="R55" s="673">
        <f t="shared" si="35"/>
        <v>10.561938969631239</v>
      </c>
      <c r="S55" s="673">
        <f t="shared" si="44"/>
        <v>3.9732828194106036</v>
      </c>
      <c r="T55" s="673">
        <f t="shared" si="45"/>
        <v>0.39712862635754131</v>
      </c>
      <c r="U55" s="673">
        <f t="shared" si="46"/>
        <v>10.164810343273697</v>
      </c>
      <c r="V55" s="673">
        <f>+HLOOKUP(A55,'תחשיב תעריף 2016'!$4:$82,72,0)</f>
        <v>6.1248432570689921</v>
      </c>
      <c r="W55" s="676">
        <f>HLOOKUP(A55,'נתוני תאגידים'!$1:$473,356,0)</f>
        <v>31.469000000000001</v>
      </c>
      <c r="X55" s="676">
        <f>+W55*V55</f>
        <v>192.74269245670413</v>
      </c>
      <c r="Y55" s="673">
        <f>+HLOOKUP(A55,'תחשיב תעריף 2016'!$4:$82,79,0)</f>
        <v>3.5253676672320302</v>
      </c>
      <c r="Z55" s="673">
        <f>HLOOKUP(A55,'נתוני תאגידים'!$1:$1000,958,0)</f>
        <v>270.84100000000001</v>
      </c>
      <c r="AA55" s="677">
        <f t="shared" si="47"/>
        <v>11.740666338396771</v>
      </c>
      <c r="AB55" s="671">
        <f>+AA55*Z55</f>
        <v>3179.85381175772</v>
      </c>
      <c r="AC55" s="673">
        <f t="shared" si="48"/>
        <v>0.57960445906792613</v>
      </c>
      <c r="AD55" s="674">
        <f>+AC55*(Z55)</f>
        <v>156.98065129841618</v>
      </c>
      <c r="AE55" s="676">
        <f t="shared" si="49"/>
        <v>5099.9431939829255</v>
      </c>
      <c r="AF55" s="676">
        <f t="shared" si="50"/>
        <v>6075.9719999999998</v>
      </c>
      <c r="AG55" s="676">
        <f>+AD55+AE55</f>
        <v>5256.9238452813415</v>
      </c>
      <c r="AH55" s="678">
        <f t="shared" si="37"/>
        <v>1930.2729999999997</v>
      </c>
      <c r="AI55" s="679">
        <f t="shared" si="51"/>
        <v>2.3883014897371706</v>
      </c>
      <c r="AJ55" s="679">
        <f t="shared" si="52"/>
        <v>0.90394612374085814</v>
      </c>
      <c r="AK55" s="679">
        <f t="shared" si="53"/>
        <v>25666.975180726353</v>
      </c>
      <c r="AL55" s="679">
        <f t="shared" si="54"/>
        <v>2.3575724596042966</v>
      </c>
      <c r="AM55" s="677">
        <v>3.2750495490481373</v>
      </c>
      <c r="AN55" s="677">
        <v>3.5939484561930857</v>
      </c>
      <c r="AO55" s="677">
        <f t="shared" si="55"/>
        <v>-0.91747708944384065</v>
      </c>
      <c r="AP55" s="679" t="e">
        <f>+#REF!-AN55</f>
        <v>#REF!</v>
      </c>
      <c r="AQ55" s="677"/>
      <c r="AR55" s="680">
        <v>280.05552095605799</v>
      </c>
      <c r="AS55" s="679">
        <f t="shared" si="56"/>
        <v>0.55000000000000004</v>
      </c>
      <c r="AT55" s="679">
        <f t="shared" si="57"/>
        <v>1.6692508197503173</v>
      </c>
      <c r="AU55" s="671">
        <f t="shared" si="58"/>
        <v>1.6692508197503173</v>
      </c>
      <c r="AV55" s="679">
        <f t="shared" si="59"/>
        <v>0.7190506699868533</v>
      </c>
      <c r="AW55" s="748">
        <f t="shared" si="60"/>
        <v>0.97283306889285726</v>
      </c>
      <c r="AX55" s="693" t="s">
        <v>578</v>
      </c>
      <c r="AY55" s="658"/>
      <c r="AZ55" s="749">
        <f t="shared" si="61"/>
        <v>33944.859462554996</v>
      </c>
      <c r="BA55" s="50">
        <f t="shared" si="62"/>
        <v>13431.193749705551</v>
      </c>
      <c r="BB55" s="50">
        <f t="shared" si="63"/>
        <v>17149.021267010568</v>
      </c>
      <c r="BC55" s="50">
        <f t="shared" si="64"/>
        <v>1387.964093907533</v>
      </c>
      <c r="BD55" s="50">
        <f t="shared" si="65"/>
        <v>2096.556</v>
      </c>
      <c r="BE55" s="5">
        <f>+VLOOKUP(A55,'נתוני מים 2011 מעודכן'!$B:$S,5,0)/1000</f>
        <v>0</v>
      </c>
      <c r="BF55" s="5">
        <f t="shared" si="30"/>
        <v>0</v>
      </c>
      <c r="BG55" s="42">
        <f t="shared" si="31"/>
        <v>0</v>
      </c>
      <c r="BH55" s="1">
        <f t="shared" si="32"/>
        <v>0</v>
      </c>
      <c r="BI55" s="42">
        <f t="shared" si="33"/>
        <v>0.7190506699868533</v>
      </c>
      <c r="BJ55" s="483"/>
    </row>
    <row r="56" spans="1:62" x14ac:dyDescent="0.2">
      <c r="A56" s="695" t="s">
        <v>272</v>
      </c>
      <c r="B56" s="657">
        <f>+HLOOKUP(A56,'תחשיב תעריף 2016'!$4:$67,48,0)/(1-P56)</f>
        <v>8.2493958874506035</v>
      </c>
      <c r="C56" s="657">
        <f>+HLOOKUP(A56,'תחשיב תעריף 2016'!$4:$67,49,0)/(1-P56)</f>
        <v>4.2788375118160866</v>
      </c>
      <c r="D56" s="684">
        <f>+HLOOKUP(A56,'תחשיב תעריף 2016'!$4:$67,50,0)/(1-P56)</f>
        <v>3.4884134887199125</v>
      </c>
      <c r="E56" s="684">
        <f t="shared" si="38"/>
        <v>7.7672510005359996</v>
      </c>
      <c r="F56" s="684">
        <f t="shared" si="39"/>
        <v>2972.5580269091292</v>
      </c>
      <c r="G56" s="685">
        <f>+HLOOKUP(A56,'תחשיב תעריף 2016'!$4:$67,12,0)</f>
        <v>975.60500000000002</v>
      </c>
      <c r="H56" s="685">
        <f>+(HLOOKUP(A56,'נתוני תאגידים'!$1:$539,358,0))*3.5*12</f>
        <v>382.70400000000001</v>
      </c>
      <c r="I56" s="685">
        <f t="shared" si="40"/>
        <v>592.90100000000007</v>
      </c>
      <c r="J56" s="684">
        <f>+HLOOKUP(A56,'תחשיב תעריף 2016'!$4:$82,64,0)</f>
        <v>-0.10617574364065893</v>
      </c>
      <c r="K56" s="684">
        <f>+HLOOKUP(A56,'תחשיב תעריף 2016'!$4:$82,57,0)</f>
        <v>3.8325102635578441</v>
      </c>
      <c r="L56" s="684">
        <f t="shared" si="41"/>
        <v>4891.075071065351</v>
      </c>
      <c r="M56" s="684">
        <f t="shared" si="42"/>
        <v>1637.5282311220637</v>
      </c>
      <c r="N56" s="684" t="e">
        <f>I56*#REF!</f>
        <v>#REF!</v>
      </c>
      <c r="O56" s="684">
        <f t="shared" si="43"/>
        <v>2972.5580269091292</v>
      </c>
      <c r="P56" s="686">
        <f>+HLOOKUP(A56,'תחשיב תעריף 2016'!$4:$67,18,0)</f>
        <v>1.4999999999999999E-2</v>
      </c>
      <c r="Q56" s="686">
        <f>+HLOOKUP(A56,'תחשיב תעריף 2016'!$4:$67,17,0)</f>
        <v>7.0000000000000007E-2</v>
      </c>
      <c r="R56" s="684">
        <f t="shared" si="35"/>
        <v>10.561938969631239</v>
      </c>
      <c r="S56" s="684">
        <f t="shared" si="44"/>
        <v>3.8971909609941409</v>
      </c>
      <c r="T56" s="684">
        <f t="shared" si="45"/>
        <v>2.5245382189654069</v>
      </c>
      <c r="U56" s="684">
        <f t="shared" si="46"/>
        <v>8.0374007506658316</v>
      </c>
      <c r="V56" s="684">
        <f>+HLOOKUP(A56,'תחשיב תעריף 2016'!$4:$82,72,0)</f>
        <v>7.02515339828404</v>
      </c>
      <c r="W56" s="687">
        <f>HLOOKUP(A56,'נתוני תאגידים'!$1:$473,356,0)</f>
        <v>58.918999999999997</v>
      </c>
      <c r="X56" s="687">
        <f>+W56*V56</f>
        <v>413.91501307349733</v>
      </c>
      <c r="Y56" s="690">
        <f>+HLOOKUP(A56,'תחשיב תעריף 2016'!$4:$82,79,0)</f>
        <v>2.6619434491735618</v>
      </c>
      <c r="Z56" s="690">
        <f>HLOOKUP(A56,'נתוני תאגידים'!$1:$1000,958,0)</f>
        <v>18.347000000000001</v>
      </c>
      <c r="AA56" s="688">
        <f t="shared" si="47"/>
        <v>10.513566887003952</v>
      </c>
      <c r="AB56" s="683">
        <f>+AA56*Z56</f>
        <v>192.89241167586152</v>
      </c>
      <c r="AC56" s="684">
        <f t="shared" si="48"/>
        <v>1.8435898336173233</v>
      </c>
      <c r="AD56" s="685">
        <f>+AC56*(Z56)</f>
        <v>33.824342677377032</v>
      </c>
      <c r="AE56" s="687">
        <f t="shared" si="49"/>
        <v>1976.1764297496493</v>
      </c>
      <c r="AF56" s="687">
        <f t="shared" si="50"/>
        <v>1034.5240000000001</v>
      </c>
      <c r="AG56" s="687">
        <f>+AD56+AE56</f>
        <v>2010.0007724270263</v>
      </c>
      <c r="AH56" s="689">
        <f t="shared" si="37"/>
        <v>515.6350000000001</v>
      </c>
      <c r="AI56" s="690">
        <f t="shared" si="51"/>
        <v>3.7641732725579251</v>
      </c>
      <c r="AJ56" s="690">
        <f t="shared" si="52"/>
        <v>0.98216913033483189</v>
      </c>
      <c r="AK56" s="690">
        <f t="shared" si="53"/>
        <v>6052.4253376816851</v>
      </c>
      <c r="AL56" s="690">
        <f t="shared" si="54"/>
        <v>3.220996677662765</v>
      </c>
      <c r="AM56" s="688">
        <v>3.2750495490481373</v>
      </c>
      <c r="AN56" s="688">
        <v>3.5939484561930857</v>
      </c>
      <c r="AO56" s="688">
        <f t="shared" si="55"/>
        <v>-5.4052871385372292E-2</v>
      </c>
      <c r="AP56" s="690" t="e">
        <f>+#REF!-AN56</f>
        <v>#REF!</v>
      </c>
      <c r="AQ56" s="688"/>
      <c r="AR56" s="691">
        <v>282.05552095605799</v>
      </c>
      <c r="AS56" s="690">
        <f t="shared" si="56"/>
        <v>0.55000000000000004</v>
      </c>
      <c r="AT56" s="690">
        <f t="shared" si="57"/>
        <v>0.656175743640659</v>
      </c>
      <c r="AU56" s="683">
        <f t="shared" si="58"/>
        <v>0.656175743640659</v>
      </c>
      <c r="AV56" s="690">
        <f t="shared" si="59"/>
        <v>3.1079975289172661</v>
      </c>
      <c r="AW56" s="690">
        <f t="shared" si="60"/>
        <v>3.1763345199171851</v>
      </c>
      <c r="AX56" s="692" t="s">
        <v>272</v>
      </c>
      <c r="AY56" s="659"/>
      <c r="AZ56" s="659">
        <f t="shared" si="61"/>
        <v>3403.3136416625903</v>
      </c>
      <c r="BA56" s="50">
        <f t="shared" si="62"/>
        <v>1637.5282311220637</v>
      </c>
      <c r="BB56" s="50">
        <f t="shared" si="63"/>
        <v>4891.075071065351</v>
      </c>
      <c r="BC56" s="50">
        <f t="shared" si="64"/>
        <v>1602.5923058232549</v>
      </c>
      <c r="BD56" s="50">
        <f t="shared" si="65"/>
        <v>210.48720000000003</v>
      </c>
      <c r="BE56" s="5">
        <f>+VLOOKUP(A56,'נתוני מים 2011 מעודכן'!$B:$S,5,0)/1000</f>
        <v>0</v>
      </c>
      <c r="BF56" s="5">
        <f t="shared" si="30"/>
        <v>0</v>
      </c>
      <c r="BG56" s="42">
        <f t="shared" si="31"/>
        <v>0</v>
      </c>
      <c r="BH56" s="1">
        <f t="shared" si="32"/>
        <v>0</v>
      </c>
      <c r="BI56" s="42">
        <f t="shared" si="33"/>
        <v>3.1079975289172661</v>
      </c>
      <c r="BJ56" s="483"/>
    </row>
    <row r="57" spans="1:62" x14ac:dyDescent="0.2">
      <c r="A57" s="696" t="s">
        <v>681</v>
      </c>
      <c r="B57" s="673">
        <f>+HLOOKUP(A57,'תחשיב תעריף 2016'!$4:$67,48,0)/(1-P57)</f>
        <v>7.2129537817613292</v>
      </c>
      <c r="C57" s="673">
        <f>+HLOOKUP(A57,'תחשיב תעריף 2016'!$4:$67,49,0)/(1-P57)</f>
        <v>3.242395406126811</v>
      </c>
      <c r="D57" s="673">
        <f>+HLOOKUP(A57,'תחשיב תעריף 2016'!$4:$67,50,0)/(1-P57)</f>
        <v>3.6397321312258062</v>
      </c>
      <c r="E57" s="698">
        <f t="shared" si="38"/>
        <v>6.8821275373526172</v>
      </c>
      <c r="F57" s="673">
        <f t="shared" si="39"/>
        <v>4510.904258612848</v>
      </c>
      <c r="G57" s="699">
        <f>+HLOOKUP(A57,'תחשיב תעריף 2016'!$4:$67,12,0)</f>
        <v>1173.269</v>
      </c>
      <c r="H57" s="674">
        <f>+(HLOOKUP(A57,'נתוני תאגידים'!$1:$539,358,0))*3.5*12</f>
        <v>655.452</v>
      </c>
      <c r="I57" s="699">
        <f t="shared" si="40"/>
        <v>517.81700000000001</v>
      </c>
      <c r="J57" s="673">
        <f>+HLOOKUP(A57,'תחשיב תעריף 2016'!$4:$82,64,0)</f>
        <v>0.70464160480847837</v>
      </c>
      <c r="K57" s="673">
        <f>+HLOOKUP(A57,'תחשיב תעריף 2016'!$4:$82,57,0)</f>
        <v>4.6433276120069804</v>
      </c>
      <c r="L57" s="698">
        <f t="shared" si="41"/>
        <v>3734.9900884103063</v>
      </c>
      <c r="M57" s="698">
        <f t="shared" si="42"/>
        <v>2125.2345537366305</v>
      </c>
      <c r="N57" s="698" t="e">
        <f>I57*#REF!</f>
        <v>#REF!</v>
      </c>
      <c r="O57" s="698">
        <f t="shared" si="43"/>
        <v>4510.904258612848</v>
      </c>
      <c r="P57" s="700">
        <f>+HLOOKUP(A57,'תחשיב תעריף 2016'!$4:$67,18,0)</f>
        <v>1.4999999999999999E-2</v>
      </c>
      <c r="Q57" s="700">
        <f>+HLOOKUP(A57,'תחשיב תעריף 2016'!$4:$67,17,0)</f>
        <v>7.0000000000000007E-2</v>
      </c>
      <c r="R57" s="698">
        <f t="shared" si="35"/>
        <v>10.561938969631239</v>
      </c>
      <c r="S57" s="673">
        <f t="shared" si="44"/>
        <v>2.2788792263984523</v>
      </c>
      <c r="T57" s="673">
        <f t="shared" si="45"/>
        <v>2.2185779716510345</v>
      </c>
      <c r="U57" s="698">
        <f t="shared" si="46"/>
        <v>8.3433609979802039</v>
      </c>
      <c r="V57" s="698">
        <f>+HLOOKUP(A57,'תחשיב תעריף 2016'!$4:$82,72,0)</f>
        <v>6.004257924180104</v>
      </c>
      <c r="W57" s="676">
        <f>HLOOKUP(A57,'נתוני תאגידים'!$1:$473,356,0)</f>
        <v>111.572</v>
      </c>
      <c r="X57" s="701">
        <f>+W57*V57</f>
        <v>669.90706511662256</v>
      </c>
      <c r="Y57" s="673">
        <f>+HLOOKUP(A57,'תחשיב תעריף 2016'!$4:$82,79,0)</f>
        <v>3.6218096604910044</v>
      </c>
      <c r="Z57" s="673">
        <f>HLOOKUP(A57,'נתוני תאגידים'!$1:$1000,958,0)</f>
        <v>47.991</v>
      </c>
      <c r="AA57" s="702">
        <f t="shared" si="47"/>
        <v>9.6439900554059097</v>
      </c>
      <c r="AB57" s="697">
        <f>+AA57*Z57</f>
        <v>462.82472674898503</v>
      </c>
      <c r="AC57" s="698">
        <f t="shared" si="48"/>
        <v>2.6521374024288722</v>
      </c>
      <c r="AD57" s="699">
        <f>+AC57*(Z57)</f>
        <v>127.278726079964</v>
      </c>
      <c r="AE57" s="701">
        <f t="shared" si="49"/>
        <v>1663.4906903119488</v>
      </c>
      <c r="AF57" s="701">
        <f t="shared" si="50"/>
        <v>1284.8409999999999</v>
      </c>
      <c r="AG57" s="701">
        <f>+AD57+AE57</f>
        <v>1790.7694163919127</v>
      </c>
      <c r="AH57" s="703">
        <f t="shared" si="37"/>
        <v>358.25400000000002</v>
      </c>
      <c r="AI57" s="704">
        <f t="shared" si="51"/>
        <v>4.4081020477591419</v>
      </c>
      <c r="AJ57" s="704">
        <f>+AI57/K57</f>
        <v>0.94934116566757454</v>
      </c>
      <c r="AK57" s="679">
        <f t="shared" si="53"/>
        <v>3888.0181390712937</v>
      </c>
      <c r="AL57" s="704">
        <f t="shared" si="54"/>
        <v>2.2611304663453224</v>
      </c>
      <c r="AM57" s="702">
        <v>3.2750495490481373</v>
      </c>
      <c r="AN57" s="702">
        <v>3.5939484561930857</v>
      </c>
      <c r="AO57" s="702">
        <f t="shared" si="55"/>
        <v>-1.0139190827028148</v>
      </c>
      <c r="AP57" s="704" t="e">
        <f>+#REF!-AN57</f>
        <v>#REF!</v>
      </c>
      <c r="AQ57" s="702"/>
      <c r="AR57" s="705">
        <v>283.05552095605799</v>
      </c>
      <c r="AS57" s="704">
        <f t="shared" si="56"/>
        <v>0.70464160480847837</v>
      </c>
      <c r="AT57" s="704">
        <f t="shared" si="57"/>
        <v>0</v>
      </c>
      <c r="AU57" s="697">
        <f t="shared" si="58"/>
        <v>0</v>
      </c>
      <c r="AV57" s="679">
        <f t="shared" si="59"/>
        <v>4.4081020477591419</v>
      </c>
      <c r="AW57" s="748">
        <f t="shared" si="60"/>
        <v>4.6433276120069804</v>
      </c>
      <c r="AX57" s="706" t="s">
        <v>681</v>
      </c>
      <c r="AY57" s="660"/>
      <c r="AZ57" s="749">
        <f t="shared" si="61"/>
        <v>4270.3848778711708</v>
      </c>
      <c r="BA57" s="50">
        <f t="shared" si="62"/>
        <v>2125.2345537366305</v>
      </c>
      <c r="BB57" s="50">
        <f t="shared" si="63"/>
        <v>3734.9900884103063</v>
      </c>
      <c r="BC57" s="50">
        <f t="shared" si="64"/>
        <v>1579.2201910179037</v>
      </c>
      <c r="BD57" s="50">
        <f t="shared" si="65"/>
        <v>461.85874915492678</v>
      </c>
      <c r="BE57" s="5">
        <f>+VLOOKUP(A57,'נתוני מים 2011 מעודכן'!$B:$S,5,0)/1000</f>
        <v>0</v>
      </c>
      <c r="BF57" s="5">
        <f t="shared" si="30"/>
        <v>0</v>
      </c>
      <c r="BG57" s="42">
        <f t="shared" si="31"/>
        <v>0</v>
      </c>
      <c r="BH57" s="1">
        <f t="shared" si="32"/>
        <v>0</v>
      </c>
      <c r="BI57" s="42">
        <f t="shared" si="33"/>
        <v>4.4081020477591419</v>
      </c>
      <c r="BJ57" s="483"/>
    </row>
    <row r="58" spans="1:62" x14ac:dyDescent="0.2">
      <c r="A58" s="695" t="s">
        <v>274</v>
      </c>
      <c r="B58" s="657">
        <f>+HLOOKUP(A58,'תחשיב תעריף 2016'!$4:$67,48,0)/(1-P58)</f>
        <v>7.0314398193093535</v>
      </c>
      <c r="C58" s="657">
        <f>+HLOOKUP(A58,'תחשיב תעריף 2016'!$4:$67,49,0)/(1-P58)</f>
        <v>2.9145977140461956</v>
      </c>
      <c r="D58" s="657">
        <f>+HLOOKUP(A58,'תחשיב תעריף 2016'!$4:$67,50,0)/(1-P58)</f>
        <v>3.6594949850581981</v>
      </c>
      <c r="E58" s="657">
        <f t="shared" si="38"/>
        <v>6.5740926991043942</v>
      </c>
      <c r="F58" s="657">
        <f t="shared" si="39"/>
        <v>35588.614159264471</v>
      </c>
      <c r="G58" s="657">
        <f>+HLOOKUP(A58,'תחשיב תעריף 2016'!$4:$67,12,0)</f>
        <v>10422.161</v>
      </c>
      <c r="H58" s="657">
        <f>+(HLOOKUP(A58,'נתוני תאגידים'!$1:$539,358,0))*3.5*12</f>
        <v>5413.4639999999999</v>
      </c>
      <c r="I58" s="657">
        <f t="shared" ref="I58" si="66">G58-H58</f>
        <v>5008.6970000000001</v>
      </c>
      <c r="J58" s="657">
        <f>+HLOOKUP(A58,'תחשיב תעריף 2016'!$4:$82,64,0)</f>
        <v>1.0012785959301458</v>
      </c>
      <c r="K58" s="657">
        <f>+HLOOKUP(A58,'תחשיב תעריף 2016'!$4:$82,57,0)</f>
        <v>4.8000112932281924</v>
      </c>
      <c r="L58" s="657">
        <f t="shared" si="41"/>
        <v>35218.351528655301</v>
      </c>
      <c r="M58" s="657">
        <f t="shared" si="42"/>
        <v>15778.069799471374</v>
      </c>
      <c r="N58" s="657" t="e">
        <f>I58*#REF!</f>
        <v>#REF!</v>
      </c>
      <c r="O58" s="657">
        <f t="shared" ref="O58" si="67">H58*E58</f>
        <v>35588.614159264471</v>
      </c>
      <c r="P58" s="657">
        <f>+HLOOKUP(A58,'תחשיב תעריף 2016'!$4:$67,18,0)</f>
        <v>0.05</v>
      </c>
      <c r="Q58" s="657">
        <f>+HLOOKUP(A58,'תחשיב תעריף 2016'!$4:$67,17,0)</f>
        <v>0.10403213530142984</v>
      </c>
      <c r="R58" s="657">
        <f t="shared" si="35"/>
        <v>10.561938969631239</v>
      </c>
      <c r="S58" s="657">
        <f t="shared" si="44"/>
        <v>2.1024326913448483</v>
      </c>
      <c r="T58" s="657">
        <f t="shared" si="45"/>
        <v>1.9021781266969748</v>
      </c>
      <c r="U58" s="657">
        <f t="shared" ref="U58" si="68">+R58-T58</f>
        <v>8.659760842934265</v>
      </c>
      <c r="V58" s="657">
        <f>+HLOOKUP(A58,'תחשיב תעריף 2016'!$4:$82,72,0)</f>
        <v>5.5793662774890809</v>
      </c>
      <c r="W58" s="687">
        <f>HLOOKUP(A58,'נתוני תאגידים'!$1:$473,356,0)</f>
        <v>870.52700000000004</v>
      </c>
      <c r="X58" s="657">
        <f>+W58*V58</f>
        <v>4856.9889874437376</v>
      </c>
      <c r="Y58" s="657">
        <f>+HLOOKUP(A58,'תחשיב תעריף 2016'!$4:$82,79,0)</f>
        <v>3.8335656450388362</v>
      </c>
      <c r="Z58" s="690">
        <f>HLOOKUP(A58,'נתוני תאגידים'!$1:$1000,958,0)</f>
        <v>867.947</v>
      </c>
      <c r="AA58" s="657">
        <f t="shared" ref="AA58" si="69">+V58+D58</f>
        <v>9.2388612625472781</v>
      </c>
      <c r="AB58" s="657">
        <f>+AA58*Z58</f>
        <v>8018.8419162441223</v>
      </c>
      <c r="AC58" s="657">
        <f t="shared" ref="AC58" si="70">+$B$69-$B$68-D58+Y58</f>
        <v>2.8441305331443121</v>
      </c>
      <c r="AD58" s="657">
        <f>+AC58*(Z58)</f>
        <v>2468.5545638510062</v>
      </c>
      <c r="AE58" s="657">
        <f t="shared" ref="AE58" si="71">+K58*AH58</f>
        <v>15697.107331374578</v>
      </c>
      <c r="AF58" s="657">
        <f t="shared" ref="AF58" si="72">+W58+G58</f>
        <v>11292.688</v>
      </c>
      <c r="AG58" s="657">
        <f>+AD58+AE58</f>
        <v>18165.661895225585</v>
      </c>
      <c r="AH58" s="657">
        <f t="shared" ref="AH58" si="73">+I58-W58-Z58</f>
        <v>3270.223</v>
      </c>
      <c r="AI58" s="657">
        <f>+AG58/(AH58+Z58)</f>
        <v>4.3897814481342197</v>
      </c>
      <c r="AJ58" s="657">
        <f t="shared" ref="AJ58" si="74">+AI58/K58</f>
        <v>0.91453565001550707</v>
      </c>
      <c r="AK58" s="657">
        <f t="shared" si="53"/>
        <v>34961.740888743261</v>
      </c>
      <c r="AL58" s="657">
        <f t="shared" si="54"/>
        <v>2.0493744817974906</v>
      </c>
      <c r="AM58" s="657">
        <v>3.2750495490481373</v>
      </c>
      <c r="AN58" s="657">
        <v>3.5939484561930857</v>
      </c>
      <c r="AO58" s="657">
        <f t="shared" ref="AO58" si="75">+AL58-AM58</f>
        <v>-1.2256750672506467</v>
      </c>
      <c r="AP58" s="657" t="e">
        <f>+#REF!-AN58</f>
        <v>#REF!</v>
      </c>
      <c r="AQ58" s="657"/>
      <c r="AR58" s="657">
        <v>284.05552095605799</v>
      </c>
      <c r="AS58" s="657">
        <f t="shared" si="56"/>
        <v>1.0012785959301458</v>
      </c>
      <c r="AT58" s="657">
        <f t="shared" si="57"/>
        <v>0</v>
      </c>
      <c r="AU58" s="657">
        <f t="shared" si="58"/>
        <v>0</v>
      </c>
      <c r="AV58" s="690">
        <f t="shared" si="59"/>
        <v>4.3897814481342197</v>
      </c>
      <c r="AW58" s="690">
        <f t="shared" si="60"/>
        <v>4.8000112932281924</v>
      </c>
      <c r="AX58" s="706" t="s">
        <v>681</v>
      </c>
      <c r="AY58" s="660"/>
      <c r="AZ58" s="749">
        <f t="shared" si="61"/>
        <v>38139.845912969133</v>
      </c>
      <c r="BA58" s="50">
        <f t="shared" si="62"/>
        <v>15778.069799471374</v>
      </c>
      <c r="BB58" s="50">
        <f t="shared" si="63"/>
        <v>35218.351528655301</v>
      </c>
      <c r="BC58" s="50">
        <f t="shared" si="64"/>
        <v>14355.564256661832</v>
      </c>
      <c r="BD58" s="50">
        <f t="shared" si="65"/>
        <v>5420.3856330383906</v>
      </c>
      <c r="BE58" s="5">
        <f>+VLOOKUP(A58,'נתוני מים 2011 מעודכן'!$B:$S,5,0)/1000</f>
        <v>3543.6</v>
      </c>
      <c r="BF58" s="5" t="str">
        <f t="shared" ref="BF58" si="76">+IF(AND(BE58&gt;0,AX58="מי רקת"),$BE$1,+IF(BE58&gt;0,$BH$1,0))</f>
        <v>מפיק ארצי</v>
      </c>
      <c r="BG58" s="42">
        <f t="shared" ref="BG58" si="77">+IF(AND(BF58=$BH$1,AV58&lt;$BI$1),$BI$1,0)</f>
        <v>0</v>
      </c>
      <c r="BH58" s="1">
        <f t="shared" ref="BH58" si="78">+IF(AND(BF58=$BE$1,AV58&lt;$BG$1),$BG$1,0)</f>
        <v>0</v>
      </c>
      <c r="BI58" s="42">
        <f t="shared" ref="BI58" si="79">+IF((BG58+BH58)=0,AV58,$BG$1)</f>
        <v>4.3897814481342197</v>
      </c>
      <c r="BJ58" s="483"/>
    </row>
    <row r="59" spans="1:62" x14ac:dyDescent="0.2">
      <c r="A59" s="722"/>
      <c r="B59" s="698"/>
      <c r="C59" s="698"/>
      <c r="D59" s="698"/>
      <c r="E59" s="698"/>
      <c r="F59" s="673"/>
      <c r="G59" s="699"/>
      <c r="H59" s="699"/>
      <c r="I59" s="699"/>
      <c r="J59" s="698"/>
      <c r="K59" s="698"/>
      <c r="L59" s="698"/>
      <c r="M59" s="698"/>
      <c r="N59" s="698"/>
      <c r="O59" s="698"/>
      <c r="P59" s="700"/>
      <c r="Q59" s="700"/>
      <c r="R59" s="698"/>
      <c r="S59" s="673"/>
      <c r="T59" s="673"/>
      <c r="U59" s="698"/>
      <c r="V59" s="698"/>
      <c r="W59" s="697"/>
      <c r="X59" s="701"/>
      <c r="Y59" s="698"/>
      <c r="Z59" s="677"/>
      <c r="AA59" s="702"/>
      <c r="AB59" s="697"/>
      <c r="AC59" s="698"/>
      <c r="AD59" s="699"/>
      <c r="AE59" s="701"/>
      <c r="AF59" s="701"/>
      <c r="AG59" s="701"/>
      <c r="AH59" s="703"/>
      <c r="AI59" s="704"/>
      <c r="AJ59" s="704"/>
      <c r="AK59" s="679"/>
      <c r="AL59" s="704"/>
      <c r="AM59" s="702"/>
      <c r="AN59" s="702"/>
      <c r="AO59" s="702"/>
      <c r="AP59" s="704"/>
      <c r="AQ59" s="702"/>
      <c r="AR59" s="705"/>
      <c r="AS59" s="704"/>
      <c r="AT59" s="704"/>
      <c r="AU59" s="697"/>
      <c r="AV59" s="704"/>
      <c r="AW59" s="748"/>
      <c r="AX59" s="721"/>
      <c r="AY59" s="721"/>
      <c r="AZ59" s="749"/>
      <c r="BA59" s="50"/>
      <c r="BB59" s="50"/>
      <c r="BC59" s="50">
        <f>SUM(BC3:BC58)/AH60</f>
        <v>4.5976252426393103</v>
      </c>
      <c r="BD59" s="50">
        <f>SUM(BD3:BD58)/H60</f>
        <v>1.223701969508546</v>
      </c>
    </row>
    <row r="60" spans="1:62" x14ac:dyDescent="0.2">
      <c r="A60" s="46"/>
      <c r="B60" s="608">
        <f>+BB61/I60</f>
        <v>7.148883559643985</v>
      </c>
      <c r="C60" s="608">
        <f>+BA61/H60</f>
        <v>3.2045195980045924</v>
      </c>
      <c r="E60" s="510">
        <f>+F60/H60</f>
        <v>6.5629517076853192</v>
      </c>
      <c r="F60" s="532">
        <f>SUM(F3:F58)</f>
        <v>1826139.9344435814</v>
      </c>
      <c r="G60" s="532">
        <f>SUM(G3:G58)</f>
        <v>528615.78499999968</v>
      </c>
      <c r="H60" s="532">
        <f>SUM(H3:H58)</f>
        <v>278249.78999999998</v>
      </c>
      <c r="I60" s="532">
        <f>SUM(I3:I58)</f>
        <v>250365.99500000005</v>
      </c>
      <c r="J60" s="608"/>
      <c r="K60" s="608"/>
      <c r="L60" s="607">
        <f>SUM(L3:L56)</f>
        <v>1750884.0039323431</v>
      </c>
      <c r="M60" s="607">
        <f>SUM(M3:M56)</f>
        <v>873753.60084245412</v>
      </c>
      <c r="N60" s="607" t="e">
        <f>SUM(N3:N56)</f>
        <v>#REF!</v>
      </c>
      <c r="O60" s="607">
        <f>SUM(O3:O56)</f>
        <v>1786040.4160257042</v>
      </c>
      <c r="P60" s="607"/>
      <c r="Q60" s="607"/>
      <c r="R60" s="607"/>
      <c r="S60" s="607"/>
      <c r="T60" s="607"/>
      <c r="U60" s="607">
        <f>AVERAGE(U7:U58)</f>
        <v>8.6344404998617641</v>
      </c>
      <c r="V60" s="607"/>
      <c r="W60" s="54"/>
      <c r="X60" s="609">
        <f>SUM(X3:X58)</f>
        <v>168959.60042999836</v>
      </c>
      <c r="Y60" s="608"/>
      <c r="Z60" s="609"/>
      <c r="AA60" s="604"/>
      <c r="AC60" s="607"/>
      <c r="AE60" s="609"/>
      <c r="AF60" s="609"/>
      <c r="AG60" s="609">
        <f>SUM(AG3:AG58)</f>
        <v>1050717.25038268</v>
      </c>
      <c r="AH60" s="609">
        <f>SUM(AH3:AH58)</f>
        <v>202270.36400000003</v>
      </c>
      <c r="AI60" s="54"/>
      <c r="AJ60" s="54"/>
      <c r="AK60" s="610">
        <f>SUM(AK3:AK58)/AH60</f>
        <v>10.561938969631239</v>
      </c>
      <c r="AL60" s="54"/>
      <c r="AM60" s="54"/>
      <c r="AN60" s="54"/>
      <c r="AO60" s="54"/>
      <c r="AP60" s="54"/>
      <c r="AQ60" s="54"/>
      <c r="AR60" s="54">
        <v>22750.994889573627</v>
      </c>
      <c r="AS60" s="54"/>
      <c r="AT60" s="54"/>
      <c r="AU60" s="54"/>
      <c r="AV60" s="54"/>
      <c r="AW60" s="690">
        <f>+IF(AS60&lt;$AS$1,$AS$1,K60-AU60)</f>
        <v>0.55000000000000004</v>
      </c>
      <c r="AZ60" s="659">
        <f>+D60*G60</f>
        <v>0</v>
      </c>
      <c r="BC60" s="50" t="e">
        <f>+BC59/AJ59</f>
        <v>#DIV/0!</v>
      </c>
    </row>
    <row r="61" spans="1:62" x14ac:dyDescent="0.2">
      <c r="A61" s="46"/>
      <c r="B61" s="608"/>
      <c r="C61" s="608">
        <f>+AK60</f>
        <v>10.561938969631239</v>
      </c>
      <c r="D61" s="608"/>
      <c r="E61" s="510"/>
      <c r="F61" s="532"/>
      <c r="G61" s="532"/>
      <c r="H61" s="532"/>
      <c r="I61" s="532"/>
      <c r="J61" s="608"/>
      <c r="K61" s="608"/>
      <c r="L61" s="607"/>
      <c r="M61" s="607"/>
      <c r="N61" s="607"/>
      <c r="O61" s="607"/>
      <c r="P61" s="607"/>
      <c r="Q61" s="607"/>
      <c r="R61" s="607"/>
      <c r="S61" s="607"/>
      <c r="T61" s="607"/>
      <c r="U61" s="607"/>
      <c r="V61" s="607"/>
      <c r="W61" s="54"/>
      <c r="X61" s="609"/>
      <c r="Y61" s="608"/>
      <c r="Z61" s="609"/>
      <c r="AA61" s="604"/>
      <c r="AC61" s="607"/>
      <c r="AE61" s="609"/>
      <c r="AF61" s="609"/>
      <c r="AG61" s="609"/>
      <c r="AH61" s="1601"/>
      <c r="AI61" s="54"/>
      <c r="AJ61" s="54"/>
      <c r="AK61" s="610"/>
      <c r="AL61" s="54"/>
      <c r="AM61" s="54"/>
      <c r="AN61" s="54"/>
      <c r="AO61" s="54"/>
      <c r="AP61" s="54"/>
      <c r="AQ61" s="54"/>
      <c r="AR61" s="54"/>
      <c r="AS61" s="54"/>
      <c r="AT61" s="54"/>
      <c r="AU61" s="54"/>
      <c r="AV61" s="54"/>
      <c r="AW61" s="748">
        <f>+IF(AS61&lt;$AS$1,$AS$1,K61-AU61)</f>
        <v>0.55000000000000004</v>
      </c>
      <c r="AZ61" s="749">
        <f>+D61*G61</f>
        <v>0</v>
      </c>
      <c r="BA61" s="50">
        <f>SUM(BA3:BA60)</f>
        <v>891656.90519566217</v>
      </c>
      <c r="BB61" s="50">
        <f>SUM(BB3:BB60)</f>
        <v>1789837.3455494086</v>
      </c>
    </row>
    <row r="62" spans="1:62" x14ac:dyDescent="0.2">
      <c r="A62" s="54"/>
      <c r="B62" s="607"/>
      <c r="C62" s="607">
        <v>10.5597463205149</v>
      </c>
      <c r="D62" s="608"/>
      <c r="E62" s="607">
        <v>6.5610803233590609</v>
      </c>
      <c r="F62" s="607"/>
      <c r="G62" s="607"/>
      <c r="H62" s="532"/>
      <c r="I62" s="532"/>
      <c r="J62" s="607"/>
      <c r="K62" s="607"/>
      <c r="L62" s="607"/>
      <c r="M62" s="607"/>
      <c r="N62" s="607"/>
      <c r="O62" s="607"/>
      <c r="P62" s="607"/>
      <c r="Q62" s="607"/>
      <c r="R62" s="607"/>
      <c r="S62" s="607"/>
      <c r="T62" s="607"/>
      <c r="U62" s="607"/>
      <c r="V62" s="54"/>
      <c r="W62" s="54"/>
      <c r="X62" s="54"/>
      <c r="Y62" s="54"/>
      <c r="Z62" s="54"/>
      <c r="AA62" s="54"/>
      <c r="AB62" s="609">
        <f>SUM(AB3:AB58)</f>
        <v>178838.3747763338</v>
      </c>
      <c r="AC62" s="54"/>
      <c r="AD62" s="532">
        <f>SUM(AD3:AD58)</f>
        <v>53528.138674358437</v>
      </c>
      <c r="AE62" s="54"/>
      <c r="AF62" s="54"/>
      <c r="AG62" s="610"/>
      <c r="AH62" s="54"/>
      <c r="AI62" s="604"/>
      <c r="AJ62" s="54"/>
      <c r="AK62" s="54"/>
      <c r="AL62" s="54"/>
      <c r="AM62" s="54"/>
      <c r="AN62" s="54"/>
      <c r="AO62" s="54"/>
      <c r="AP62" s="54"/>
      <c r="AQ62" s="54"/>
      <c r="AR62" s="54"/>
      <c r="AS62" s="54"/>
      <c r="AT62" s="54"/>
      <c r="AU62" s="54"/>
      <c r="AV62" s="54"/>
      <c r="AW62" s="53"/>
    </row>
    <row r="63" spans="1:62" x14ac:dyDescent="0.2">
      <c r="D63" s="28"/>
      <c r="I63" s="83"/>
      <c r="Y63" s="50"/>
      <c r="Z63" s="42"/>
      <c r="AK63" s="483"/>
      <c r="AZ63" s="50">
        <f>SUM(AZ3:AZ57)</f>
        <v>1749361.6213817217</v>
      </c>
    </row>
    <row r="64" spans="1:62" x14ac:dyDescent="0.2">
      <c r="C64" s="44"/>
      <c r="E64" s="44"/>
      <c r="V64" s="484"/>
      <c r="W64" s="50"/>
      <c r="AA64" s="55"/>
      <c r="AF64" s="46"/>
      <c r="AH64" s="50"/>
      <c r="AK64" s="55">
        <f>+AK60-'[5]ריכוז נתונים'!$BM$59</f>
        <v>-1.56567577404312</v>
      </c>
    </row>
    <row r="65" spans="1:37" x14ac:dyDescent="0.2">
      <c r="D65" s="481"/>
      <c r="E65" s="486"/>
      <c r="F65" s="712"/>
      <c r="AK65" s="50"/>
    </row>
    <row r="66" spans="1:37" ht="13.5" thickBot="1" x14ac:dyDescent="0.25">
      <c r="A66" t="s">
        <v>473</v>
      </c>
      <c r="B66">
        <v>2015</v>
      </c>
      <c r="C66">
        <v>2014</v>
      </c>
      <c r="E66" s="486"/>
      <c r="F66" s="711"/>
      <c r="I66" s="40">
        <f>493*10</f>
        <v>4930</v>
      </c>
      <c r="AA66" s="485"/>
      <c r="AB66" s="42"/>
      <c r="AH66" s="26"/>
      <c r="AK66" s="78">
        <f>SUM(AK3:AK57)</f>
        <v>2101405.4990443527</v>
      </c>
    </row>
    <row r="67" spans="1:37" x14ac:dyDescent="0.2">
      <c r="A67" s="649" t="s">
        <v>922</v>
      </c>
      <c r="B67" s="650">
        <f>+C62</f>
        <v>10.5597463205149</v>
      </c>
      <c r="D67" s="481"/>
      <c r="E67" s="1051"/>
      <c r="F67" s="486"/>
      <c r="I67" s="40"/>
      <c r="V67" s="42"/>
      <c r="AA67" s="55"/>
      <c r="AB67" s="50"/>
      <c r="AK67" s="5">
        <f>SUM('[11]ריכוז עלויות'!$AK$3:$AK$57)</f>
        <v>2371295.4466927825</v>
      </c>
    </row>
    <row r="68" spans="1:37" ht="13.5" thickBot="1" x14ac:dyDescent="0.25">
      <c r="A68" s="544" t="s">
        <v>923</v>
      </c>
      <c r="B68" s="488">
        <f>6.053*(1+'[7]גיליון סימולציה לתעריפי 2016'!$F$43)</f>
        <v>5.8829401268363268</v>
      </c>
      <c r="H68" s="27"/>
      <c r="AA68" s="55"/>
      <c r="AI68" s="487"/>
    </row>
    <row r="69" spans="1:37" ht="13.5" thickBot="1" x14ac:dyDescent="0.25">
      <c r="A69" s="649" t="s">
        <v>937</v>
      </c>
      <c r="B69" s="488">
        <v>8.5530000000000008</v>
      </c>
      <c r="D69" s="481"/>
      <c r="E69" s="1052"/>
      <c r="V69" s="42"/>
      <c r="AK69" s="78">
        <f>+AK66-AK67</f>
        <v>-269889.94764842978</v>
      </c>
    </row>
    <row r="70" spans="1:37" ht="13.5" thickBot="1" x14ac:dyDescent="0.25">
      <c r="A70" s="649" t="s">
        <v>975</v>
      </c>
      <c r="B70" s="488">
        <f>טבלה5[[#This Row],[עמודה3]]*(1+'[7]גיליון סימולציה לתעריפי 2016'!$F$43)</f>
        <v>7.8734012832481559</v>
      </c>
      <c r="C70" s="40">
        <v>8.1010000000000009</v>
      </c>
      <c r="AA70" s="42"/>
    </row>
    <row r="71" spans="1:37" ht="13.5" thickBot="1" x14ac:dyDescent="0.25">
      <c r="A71" s="744" t="s">
        <v>976</v>
      </c>
      <c r="B71" s="488">
        <f>טבלה5[[#This Row],[עמודה3]]*(1+'[7]גיליון סימולציה לתעריפי 2016'!$F$43)</f>
        <v>4.0236861267309418</v>
      </c>
      <c r="C71" s="40">
        <v>4.1399999999999997</v>
      </c>
      <c r="D71" s="481"/>
      <c r="E71" s="481"/>
      <c r="H71" s="40"/>
      <c r="AB71" s="42"/>
    </row>
    <row r="72" spans="1:37" x14ac:dyDescent="0.2">
      <c r="A72" s="649" t="s">
        <v>977</v>
      </c>
      <c r="B72" s="650">
        <f>+AZ63/G60</f>
        <v>3.3093253569446905</v>
      </c>
      <c r="C72" s="481"/>
    </row>
    <row r="73" spans="1:37" x14ac:dyDescent="0.2">
      <c r="A73" s="42"/>
      <c r="D73" s="481"/>
      <c r="H73" s="40"/>
      <c r="I73" s="40"/>
    </row>
    <row r="74" spans="1:37" x14ac:dyDescent="0.2">
      <c r="A74" s="42"/>
      <c r="H74" s="40"/>
      <c r="I74" s="40"/>
    </row>
    <row r="75" spans="1:37" x14ac:dyDescent="0.2">
      <c r="A75" s="44"/>
      <c r="D75" s="481"/>
    </row>
    <row r="76" spans="1:37" x14ac:dyDescent="0.2">
      <c r="A76" s="55"/>
      <c r="B76" s="27"/>
      <c r="E76" s="481"/>
      <c r="F76" s="481"/>
      <c r="I76" s="40"/>
    </row>
    <row r="77" spans="1:37" x14ac:dyDescent="0.2">
      <c r="B77" s="27"/>
      <c r="D77" s="481"/>
    </row>
    <row r="78" spans="1:37" x14ac:dyDescent="0.2">
      <c r="E78" s="489"/>
      <c r="F78" s="489"/>
      <c r="G78" s="489"/>
    </row>
    <row r="79" spans="1:37" x14ac:dyDescent="0.2">
      <c r="D79" s="481"/>
    </row>
    <row r="81" spans="1:61" x14ac:dyDescent="0.2">
      <c r="D81" s="481"/>
    </row>
    <row r="83" spans="1:61" x14ac:dyDescent="0.2">
      <c r="A83" s="1">
        <v>1</v>
      </c>
      <c r="B83" s="1">
        <v>2</v>
      </c>
      <c r="C83" s="1">
        <v>3</v>
      </c>
      <c r="D83" s="1">
        <v>4</v>
      </c>
      <c r="E83" s="1">
        <v>5</v>
      </c>
      <c r="F83" s="1">
        <v>6</v>
      </c>
      <c r="G83" s="1">
        <v>7</v>
      </c>
      <c r="H83" s="1">
        <v>8</v>
      </c>
      <c r="I83" s="1">
        <v>9</v>
      </c>
      <c r="J83" s="1">
        <v>10</v>
      </c>
      <c r="K83" s="1">
        <v>11</v>
      </c>
      <c r="L83" s="1">
        <v>12</v>
      </c>
      <c r="M83" s="1">
        <v>13</v>
      </c>
      <c r="N83" s="1">
        <v>14</v>
      </c>
      <c r="O83" s="1">
        <v>15</v>
      </c>
      <c r="P83" s="1">
        <v>16</v>
      </c>
      <c r="Q83" s="1">
        <v>17</v>
      </c>
      <c r="R83" s="1">
        <v>18</v>
      </c>
      <c r="S83" s="1">
        <v>19</v>
      </c>
      <c r="T83" s="1">
        <v>20</v>
      </c>
      <c r="U83" s="1">
        <v>21</v>
      </c>
      <c r="V83" s="1">
        <v>22</v>
      </c>
      <c r="W83" s="1">
        <v>23</v>
      </c>
      <c r="X83" s="1">
        <v>24</v>
      </c>
      <c r="Y83" s="1">
        <v>25</v>
      </c>
      <c r="Z83" s="1">
        <v>26</v>
      </c>
      <c r="AA83" s="1">
        <v>27</v>
      </c>
      <c r="AB83" s="1">
        <v>28</v>
      </c>
      <c r="AC83" s="1">
        <v>29</v>
      </c>
      <c r="AD83" s="5">
        <v>30</v>
      </c>
      <c r="AE83" s="1">
        <v>31</v>
      </c>
      <c r="AF83" s="1">
        <v>32</v>
      </c>
      <c r="AG83" s="1">
        <v>33</v>
      </c>
      <c r="AH83" s="1">
        <v>34</v>
      </c>
      <c r="AI83" s="1">
        <v>35</v>
      </c>
      <c r="AJ83" s="1">
        <v>36</v>
      </c>
      <c r="AK83" s="1">
        <v>37</v>
      </c>
      <c r="AL83" s="1">
        <v>38</v>
      </c>
      <c r="AM83" s="1">
        <v>39</v>
      </c>
      <c r="AN83" s="1">
        <v>40</v>
      </c>
      <c r="AO83" s="1">
        <v>41</v>
      </c>
      <c r="AP83" s="1">
        <v>42</v>
      </c>
      <c r="AQ83" s="1">
        <v>43</v>
      </c>
      <c r="AR83" s="1">
        <v>44</v>
      </c>
      <c r="AS83" s="1">
        <v>45</v>
      </c>
      <c r="AT83" s="1">
        <v>46</v>
      </c>
      <c r="AU83" s="1">
        <v>47</v>
      </c>
      <c r="AV83" s="1">
        <v>48</v>
      </c>
      <c r="AW83" s="1">
        <v>49</v>
      </c>
      <c r="AX83" s="1">
        <v>50</v>
      </c>
      <c r="AY83" s="1">
        <v>51</v>
      </c>
      <c r="AZ83" s="1">
        <v>52</v>
      </c>
      <c r="BA83" s="1">
        <v>53</v>
      </c>
      <c r="BB83" s="1">
        <v>54</v>
      </c>
      <c r="BC83" s="1">
        <v>55</v>
      </c>
      <c r="BD83" s="1">
        <v>56</v>
      </c>
      <c r="BE83" s="1">
        <v>57</v>
      </c>
      <c r="BF83" s="1">
        <v>58</v>
      </c>
      <c r="BG83" s="1">
        <v>59</v>
      </c>
      <c r="BH83" s="1">
        <v>60</v>
      </c>
      <c r="BI83" s="1">
        <v>61</v>
      </c>
    </row>
    <row r="92" spans="1:61" x14ac:dyDescent="0.2">
      <c r="B92" s="1"/>
      <c r="D92" s="1"/>
      <c r="E92" s="1"/>
      <c r="F92" s="1"/>
      <c r="G92" s="1"/>
      <c r="H92" s="1"/>
      <c r="I92" s="1"/>
      <c r="K92" s="1"/>
      <c r="L92" s="1"/>
      <c r="M92" s="1"/>
      <c r="N92" s="1"/>
      <c r="O92" s="1"/>
      <c r="P92" s="1"/>
      <c r="Q92" s="1"/>
      <c r="R92" s="1"/>
      <c r="S92" s="1"/>
      <c r="T92" s="1"/>
      <c r="U92" s="1"/>
    </row>
    <row r="93" spans="1:61" x14ac:dyDescent="0.2">
      <c r="B93" s="1"/>
      <c r="D93" s="1"/>
      <c r="E93" s="1"/>
      <c r="F93" s="1"/>
      <c r="G93" s="1"/>
      <c r="H93" s="1"/>
      <c r="I93" s="1"/>
      <c r="K93" s="1"/>
      <c r="L93" s="1"/>
      <c r="M93" s="1"/>
      <c r="N93" s="1"/>
      <c r="O93" s="1"/>
      <c r="P93" s="1"/>
      <c r="Q93" s="1"/>
      <c r="R93" s="1"/>
      <c r="S93" s="1"/>
      <c r="T93" s="1"/>
      <c r="U93" s="1"/>
    </row>
  </sheetData>
  <pageMargins left="0.7" right="0.7" top="0.75" bottom="0.75" header="0.3" footer="0.3"/>
  <pageSetup paperSize="9" orientation="portrait" r:id="rId1"/>
  <legacyDrawing r:id="rId2"/>
  <tableParts count="1">
    <tablePart r:id="rId3"/>
  </tablePart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4"/>
  <dimension ref="A1:IA958"/>
  <sheetViews>
    <sheetView rightToLeft="1" zoomScaleNormal="100" workbookViewId="0">
      <pane xSplit="2" ySplit="1" topLeftCell="I331" activePane="bottomRight" state="frozen"/>
      <selection activeCell="E49" sqref="E49"/>
      <selection pane="topRight" activeCell="E49" sqref="E49"/>
      <selection pane="bottomLeft" activeCell="E49" sqref="E49"/>
      <selection pane="bottomRight" activeCell="K346" sqref="K346"/>
    </sheetView>
  </sheetViews>
  <sheetFormatPr defaultRowHeight="12.75" x14ac:dyDescent="0.2"/>
  <cols>
    <col min="1" max="1" width="38" style="1" bestFit="1" customWidth="1"/>
    <col min="2" max="2" width="5" style="1" bestFit="1" customWidth="1"/>
    <col min="3" max="3" width="21.7109375" style="1" bestFit="1" customWidth="1"/>
    <col min="4" max="4" width="13" style="1" bestFit="1" customWidth="1"/>
    <col min="5" max="5" width="14.7109375" style="1" bestFit="1" customWidth="1"/>
    <col min="6" max="6" width="15.28515625" style="1" bestFit="1" customWidth="1"/>
    <col min="7" max="7" width="16.7109375" style="1" customWidth="1"/>
    <col min="8" max="8" width="14.5703125" style="1" customWidth="1"/>
    <col min="9" max="9" width="17" style="1" bestFit="1" customWidth="1"/>
    <col min="10" max="10" width="14.85546875" style="1" bestFit="1" customWidth="1"/>
    <col min="11" max="11" width="12.7109375" style="1" bestFit="1" customWidth="1"/>
    <col min="12" max="13" width="12.85546875" style="1" bestFit="1" customWidth="1"/>
    <col min="14" max="14" width="15.140625" style="1" bestFit="1" customWidth="1"/>
    <col min="15" max="15" width="13" style="1" bestFit="1" customWidth="1"/>
    <col min="16" max="16" width="12.5703125" style="1" customWidth="1"/>
    <col min="17" max="17" width="12.140625" style="1" bestFit="1" customWidth="1"/>
    <col min="18" max="18" width="17.28515625" style="1" bestFit="1" customWidth="1"/>
    <col min="19" max="19" width="11.85546875" style="1" bestFit="1" customWidth="1"/>
    <col min="20" max="20" width="23.85546875" style="1" bestFit="1" customWidth="1"/>
    <col min="21" max="21" width="11.85546875" style="1" customWidth="1"/>
    <col min="22" max="22" width="15" style="1" customWidth="1"/>
    <col min="23" max="23" width="12.85546875" style="1" bestFit="1" customWidth="1"/>
    <col min="24" max="24" width="24.28515625" style="1" bestFit="1" customWidth="1"/>
    <col min="25" max="25" width="13" style="1" bestFit="1" customWidth="1"/>
    <col min="26" max="28" width="11.85546875" style="1" bestFit="1" customWidth="1"/>
    <col min="29" max="29" width="12.85546875" style="1" bestFit="1" customWidth="1"/>
    <col min="30" max="30" width="11.85546875" style="1" bestFit="1" customWidth="1"/>
    <col min="31" max="31" width="12.85546875" style="1" bestFit="1" customWidth="1"/>
    <col min="32" max="33" width="11.85546875" style="1" bestFit="1" customWidth="1"/>
    <col min="34" max="34" width="11.85546875" style="1" customWidth="1"/>
    <col min="35" max="37" width="11.85546875" style="1" bestFit="1" customWidth="1"/>
    <col min="38" max="38" width="12.85546875" style="1" bestFit="1" customWidth="1"/>
    <col min="39" max="40" width="11.85546875" style="1" bestFit="1" customWidth="1"/>
    <col min="41" max="41" width="12.5703125" style="1" bestFit="1" customWidth="1"/>
    <col min="42" max="42" width="11.5703125" style="1" bestFit="1" customWidth="1"/>
    <col min="43" max="43" width="11.85546875" style="1" bestFit="1" customWidth="1"/>
    <col min="44" max="45" width="11.5703125" style="1" bestFit="1" customWidth="1"/>
    <col min="46" max="47" width="11.85546875" style="1" bestFit="1" customWidth="1"/>
    <col min="48" max="48" width="12.5703125" style="1" bestFit="1" customWidth="1"/>
    <col min="49" max="50" width="11.5703125" style="1" bestFit="1" customWidth="1"/>
    <col min="51" max="51" width="11.85546875" style="1" bestFit="1" customWidth="1"/>
    <col min="52" max="52" width="27.7109375" style="1" bestFit="1" customWidth="1"/>
    <col min="53" max="53" width="12.85546875" style="1" bestFit="1" customWidth="1"/>
    <col min="54" max="58" width="13" style="1" bestFit="1" customWidth="1"/>
    <col min="59" max="60" width="11.85546875" style="1" bestFit="1" customWidth="1"/>
    <col min="61" max="62" width="9.140625" style="1"/>
    <col min="63" max="63" width="10.85546875" style="1" bestFit="1" customWidth="1"/>
    <col min="64" max="64" width="12.85546875" style="1" bestFit="1" customWidth="1"/>
    <col min="65" max="16384" width="9.140625" style="1"/>
  </cols>
  <sheetData>
    <row r="1" spans="1:63" ht="18.75" customHeight="1" x14ac:dyDescent="0.2">
      <c r="A1" s="1" t="str">
        <f>+'[4]תחשיב עלות תפעול 2015'!$B$4</f>
        <v>שם תאגיד</v>
      </c>
      <c r="C1" s="438" t="s">
        <v>454</v>
      </c>
      <c r="D1" s="438" t="s">
        <v>440</v>
      </c>
      <c r="E1" s="602" t="s">
        <v>448</v>
      </c>
      <c r="F1" s="602" t="s">
        <v>443</v>
      </c>
      <c r="G1" s="602" t="s">
        <v>257</v>
      </c>
      <c r="H1" s="602" t="s">
        <v>441</v>
      </c>
      <c r="I1" s="602" t="s">
        <v>455</v>
      </c>
      <c r="J1" s="602" t="s">
        <v>456</v>
      </c>
      <c r="K1" s="602" t="s">
        <v>447</v>
      </c>
      <c r="L1" s="602" t="s">
        <v>828</v>
      </c>
      <c r="M1" s="602" t="s">
        <v>442</v>
      </c>
      <c r="N1" s="602" t="s">
        <v>452</v>
      </c>
      <c r="O1" s="602" t="s">
        <v>453</v>
      </c>
      <c r="P1" s="602" t="s">
        <v>457</v>
      </c>
      <c r="Q1" s="602" t="s">
        <v>691</v>
      </c>
      <c r="R1" s="602" t="s">
        <v>450</v>
      </c>
      <c r="S1" s="602" t="s">
        <v>446</v>
      </c>
      <c r="T1" s="602" t="s">
        <v>458</v>
      </c>
      <c r="U1" s="602" t="s">
        <v>445</v>
      </c>
      <c r="V1" s="602" t="s">
        <v>444</v>
      </c>
      <c r="W1" s="602" t="s">
        <v>449</v>
      </c>
      <c r="X1" s="602" t="s">
        <v>439</v>
      </c>
      <c r="Y1" s="602" t="s">
        <v>260</v>
      </c>
      <c r="Z1" s="602" t="s">
        <v>658</v>
      </c>
      <c r="AA1" s="602" t="s">
        <v>258</v>
      </c>
      <c r="AB1" s="602" t="s">
        <v>659</v>
      </c>
      <c r="AC1" s="602" t="s">
        <v>254</v>
      </c>
      <c r="AD1" s="602" t="s">
        <v>264</v>
      </c>
      <c r="AE1" s="602" t="s">
        <v>256</v>
      </c>
      <c r="AF1" s="602" t="s">
        <v>255</v>
      </c>
      <c r="AG1" s="603" t="s">
        <v>660</v>
      </c>
      <c r="AH1" s="602" t="s">
        <v>269</v>
      </c>
      <c r="AI1" s="602" t="s">
        <v>262</v>
      </c>
      <c r="AJ1" s="602" t="s">
        <v>263</v>
      </c>
      <c r="AK1" s="602" t="s">
        <v>275</v>
      </c>
      <c r="AL1" s="439" t="s">
        <v>687</v>
      </c>
      <c r="AM1" s="602" t="s">
        <v>259</v>
      </c>
      <c r="AN1" s="602" t="s">
        <v>578</v>
      </c>
      <c r="AO1" s="602" t="s">
        <v>281</v>
      </c>
      <c r="AP1" s="602" t="s">
        <v>529</v>
      </c>
      <c r="AQ1" s="602" t="s">
        <v>530</v>
      </c>
      <c r="AR1" s="602" t="s">
        <v>266</v>
      </c>
      <c r="AS1" s="602" t="s">
        <v>261</v>
      </c>
      <c r="AT1" s="602" t="s">
        <v>531</v>
      </c>
      <c r="AU1" s="602" t="s">
        <v>253</v>
      </c>
      <c r="AV1" s="602" t="s">
        <v>271</v>
      </c>
      <c r="AW1" s="602" t="s">
        <v>268</v>
      </c>
      <c r="AX1" s="602" t="s">
        <v>661</v>
      </c>
      <c r="AY1" s="602" t="s">
        <v>265</v>
      </c>
      <c r="AZ1" s="602" t="s">
        <v>270</v>
      </c>
      <c r="BA1" s="602" t="s">
        <v>267</v>
      </c>
      <c r="BB1" s="602" t="s">
        <v>250</v>
      </c>
      <c r="BC1" s="602" t="s">
        <v>252</v>
      </c>
      <c r="BD1" s="602" t="s">
        <v>272</v>
      </c>
      <c r="BE1" s="602" t="s">
        <v>681</v>
      </c>
      <c r="BF1" s="602" t="s">
        <v>274</v>
      </c>
    </row>
    <row r="2" spans="1:63" x14ac:dyDescent="0.2">
      <c r="A2" s="1" t="s">
        <v>1094</v>
      </c>
      <c r="C2" s="438" t="s">
        <v>1095</v>
      </c>
      <c r="D2" s="438" t="s">
        <v>1096</v>
      </c>
      <c r="E2" s="438" t="s">
        <v>1097</v>
      </c>
      <c r="F2" s="438" t="s">
        <v>1098</v>
      </c>
      <c r="G2" s="438" t="s">
        <v>1099</v>
      </c>
      <c r="H2" s="438" t="s">
        <v>1100</v>
      </c>
      <c r="I2" s="438" t="s">
        <v>1099</v>
      </c>
      <c r="J2" s="438" t="s">
        <v>1101</v>
      </c>
      <c r="K2" s="438" t="s">
        <v>1102</v>
      </c>
      <c r="L2" s="438" t="s">
        <v>1096</v>
      </c>
      <c r="M2" s="438" t="s">
        <v>1103</v>
      </c>
      <c r="N2" s="438" t="s">
        <v>1104</v>
      </c>
      <c r="O2" s="438" t="s">
        <v>1105</v>
      </c>
      <c r="P2" s="438" t="s">
        <v>1096</v>
      </c>
      <c r="Q2" s="438" t="s">
        <v>1095</v>
      </c>
      <c r="R2" s="438" t="s">
        <v>1105</v>
      </c>
      <c r="S2" s="438" t="s">
        <v>1099</v>
      </c>
      <c r="T2" s="438" t="s">
        <v>1099</v>
      </c>
      <c r="U2" s="438" t="s">
        <v>1097</v>
      </c>
      <c r="V2" s="438" t="s">
        <v>1102</v>
      </c>
      <c r="W2" s="438" t="s">
        <v>1097</v>
      </c>
      <c r="X2" s="438" t="s">
        <v>1102</v>
      </c>
      <c r="Y2" s="438" t="s">
        <v>1106</v>
      </c>
      <c r="Z2" s="438" t="s">
        <v>1107</v>
      </c>
      <c r="AA2" s="438" t="s">
        <v>1108</v>
      </c>
      <c r="AB2" s="438" t="s">
        <v>1104</v>
      </c>
      <c r="AC2" s="438" t="s">
        <v>1108</v>
      </c>
      <c r="AD2" s="438" t="s">
        <v>1108</v>
      </c>
      <c r="AE2" s="438" t="s">
        <v>1107</v>
      </c>
      <c r="AF2" s="438" t="s">
        <v>1103</v>
      </c>
      <c r="AG2" s="438" t="s">
        <v>1106</v>
      </c>
      <c r="AH2" s="438" t="s">
        <v>1104</v>
      </c>
      <c r="AI2" s="438" t="s">
        <v>1095</v>
      </c>
      <c r="AJ2" s="438" t="s">
        <v>1107</v>
      </c>
      <c r="AK2" s="438" t="s">
        <v>1107</v>
      </c>
      <c r="AL2" s="438" t="s">
        <v>1109</v>
      </c>
      <c r="AM2" s="438" t="s">
        <v>1097</v>
      </c>
      <c r="AN2" s="438" t="s">
        <v>1104</v>
      </c>
      <c r="AO2" s="438" t="s">
        <v>1109</v>
      </c>
      <c r="AP2" s="438" t="s">
        <v>1109</v>
      </c>
      <c r="AQ2" s="438" t="s">
        <v>1105</v>
      </c>
      <c r="AR2" s="438" t="s">
        <v>1095</v>
      </c>
      <c r="AS2" s="438" t="s">
        <v>1102</v>
      </c>
      <c r="AT2" s="438" t="s">
        <v>1099</v>
      </c>
      <c r="AU2" s="438" t="s">
        <v>1108</v>
      </c>
      <c r="AV2" s="438" t="s">
        <v>1103</v>
      </c>
      <c r="AW2" s="438" t="s">
        <v>1107</v>
      </c>
      <c r="AX2" s="438" t="s">
        <v>1108</v>
      </c>
      <c r="AY2" s="438" t="s">
        <v>1107</v>
      </c>
      <c r="AZ2" s="438" t="s">
        <v>1102</v>
      </c>
      <c r="BA2" s="438" t="s">
        <v>1104</v>
      </c>
      <c r="BB2" s="438" t="s">
        <v>1106</v>
      </c>
      <c r="BC2" s="438" t="s">
        <v>1106</v>
      </c>
      <c r="BD2" s="438" t="s">
        <v>1108</v>
      </c>
      <c r="BE2" s="438" t="s">
        <v>1095</v>
      </c>
      <c r="BF2" s="438" t="s">
        <v>1105</v>
      </c>
    </row>
    <row r="3" spans="1:63" x14ac:dyDescent="0.2">
      <c r="A3" s="1" t="s">
        <v>1495</v>
      </c>
      <c r="B3" s="1">
        <f>+'פחתי מים לרשויות מצטרפות'!$F$2</f>
        <v>2015</v>
      </c>
      <c r="C3" s="1" t="str">
        <f>+VLOOKUP(C1,'פחת מים וגביה'!$A:$S,16,0)</f>
        <v>בינוני</v>
      </c>
      <c r="D3" s="1" t="str">
        <f>+VLOOKUP(D1,'פחת מים וגביה'!$A:$S,16,0)</f>
        <v>בינוני</v>
      </c>
      <c r="E3" s="1" t="str">
        <f>+VLOOKUP(E1,'פחת מים וגביה'!$A:$S,16,0)</f>
        <v xml:space="preserve">חזק </v>
      </c>
      <c r="F3" s="1" t="str">
        <f>+VLOOKUP(F1,'פחת מים וגביה'!$A:$S,16,0)</f>
        <v xml:space="preserve">חזק </v>
      </c>
      <c r="G3" s="1" t="str">
        <f>+VLOOKUP(G1,'פחת מים וגביה'!$A:$S,16,0)</f>
        <v>חזק מאוד</v>
      </c>
      <c r="H3" s="1" t="str">
        <f>+VLOOKUP(H1,'פחת מים וגביה'!$A:$S,16,0)</f>
        <v>בינוני</v>
      </c>
      <c r="I3" s="1" t="str">
        <f>+VLOOKUP(I1,'פחת מים וגביה'!$A:$S,16,0)</f>
        <v xml:space="preserve">חזק </v>
      </c>
      <c r="J3" s="1" t="str">
        <f>+VLOOKUP(J1,'פחת מים וגביה'!$A:$S,16,0)</f>
        <v xml:space="preserve">חזק </v>
      </c>
      <c r="K3" s="1" t="str">
        <f>+VLOOKUP(K1,'פחת מים וגביה'!$A:$S,16,0)</f>
        <v xml:space="preserve">חזק </v>
      </c>
      <c r="L3" s="1" t="str">
        <f>+VLOOKUP(L1,'פחת מים וגביה'!$A:$S,16,0)</f>
        <v>חלש רב רשותי</v>
      </c>
      <c r="M3" s="1" t="str">
        <f>+VLOOKUP(M1,'פחת מים וגביה'!$A:$S,16,0)</f>
        <v xml:space="preserve">חזק </v>
      </c>
      <c r="N3" s="1" t="str">
        <f>+VLOOKUP(N1,'פחת מים וגביה'!$A:$S,16,0)</f>
        <v>בינוני</v>
      </c>
      <c r="O3" s="1" t="str">
        <f>+VLOOKUP(O1,'פחת מים וגביה'!$A:$S,16,0)</f>
        <v xml:space="preserve">חזק </v>
      </c>
      <c r="P3" s="1" t="str">
        <f>+VLOOKUP(P1,'פחת מים וגביה'!$A:$S,16,0)</f>
        <v>חלש רב רשותי</v>
      </c>
      <c r="Q3" s="1" t="str">
        <f>+VLOOKUP(Q1,'פחת מים וגביה'!$A:$S,16,0)</f>
        <v>חלש</v>
      </c>
      <c r="R3" s="1" t="str">
        <f>+VLOOKUP(R1,'פחת מים וגביה'!$A:$S,16,0)</f>
        <v>חזק מאוד</v>
      </c>
      <c r="S3" s="1" t="str">
        <f>+VLOOKUP(S1,'פחת מים וגביה'!$A:$S,16,0)</f>
        <v>חלש</v>
      </c>
      <c r="T3" s="1" t="str">
        <f>+VLOOKUP(T1,'פחת מים וגביה'!$A:$S,16,0)</f>
        <v>חלש רב רשותי</v>
      </c>
      <c r="U3" s="1" t="str">
        <f>+VLOOKUP(U1,'פחת מים וגביה'!$A:$S,16,0)</f>
        <v xml:space="preserve">חזק </v>
      </c>
      <c r="V3" s="1" t="str">
        <f>+VLOOKUP(V1,'פחת מים וגביה'!$A:$S,16,0)</f>
        <v>חלש רב רשותי</v>
      </c>
      <c r="W3" s="1" t="str">
        <f>+VLOOKUP(W1,'פחת מים וגביה'!$A:$S,16,0)</f>
        <v>חלש רב רשותי</v>
      </c>
      <c r="X3" s="1" t="str">
        <f>+VLOOKUP(X1,'פחת מים וגביה'!$A:$S,16,0)</f>
        <v>חלש רב רשותי</v>
      </c>
      <c r="Y3" s="1" t="str">
        <f>+VLOOKUP(Y1,'פחת מים וגביה'!$A:$S,16,0)</f>
        <v>בינוני</v>
      </c>
      <c r="Z3" s="1" t="str">
        <f>+VLOOKUP(Z1,'פחת מים וגביה'!$A:$S,16,0)</f>
        <v xml:space="preserve">חזק </v>
      </c>
      <c r="AA3" s="1" t="str">
        <f>+VLOOKUP(AA1,'פחת מים וגביה'!$A:$S,16,0)</f>
        <v>חזק מאוד</v>
      </c>
      <c r="AB3" s="1" t="str">
        <f>+VLOOKUP(AB1,'פחת מים וגביה'!$A:$S,16,0)</f>
        <v>חלש</v>
      </c>
      <c r="AC3" s="1" t="str">
        <f>+VLOOKUP(AC1,'פחת מים וגביה'!$A:$S,16,0)</f>
        <v>חזק מאוד</v>
      </c>
      <c r="AD3" s="1" t="str">
        <f>+VLOOKUP(AD1,'פחת מים וגביה'!$A:$S,16,0)</f>
        <v>חזק מאוד</v>
      </c>
      <c r="AE3" s="1" t="str">
        <f>+VLOOKUP(AE1,'פחת מים וגביה'!$A:$S,16,0)</f>
        <v>חזק מאוד</v>
      </c>
      <c r="AF3" s="1" t="str">
        <f>+VLOOKUP(AF1,'פחת מים וגביה'!$A:$S,16,0)</f>
        <v xml:space="preserve">חזק </v>
      </c>
      <c r="AG3" s="1" t="str">
        <f>+VLOOKUP(AG1,'פחת מים וגביה'!$A:$S,16,0)</f>
        <v xml:space="preserve">חזק </v>
      </c>
      <c r="AH3" s="1" t="str">
        <f>+VLOOKUP(AH1,'פחת מים וגביה'!$A:$S,16,0)</f>
        <v>חלש</v>
      </c>
      <c r="AI3" s="1" t="str">
        <f>+VLOOKUP(AI1,'פחת מים וגביה'!$A:$S,16,0)</f>
        <v xml:space="preserve">חזק </v>
      </c>
      <c r="AJ3" s="1" t="str">
        <f>+VLOOKUP(AJ1,'פחת מים וגביה'!$A:$S,16,0)</f>
        <v>בינוני</v>
      </c>
      <c r="AK3" s="1" t="str">
        <f>+VLOOKUP(AK1,'פחת מים וגביה'!$A:$S,16,0)</f>
        <v xml:space="preserve">חזק </v>
      </c>
      <c r="AL3" s="1" t="str">
        <f>+VLOOKUP(AL1,'פחת מים וגביה'!$A:$S,16,0)</f>
        <v>חזק מאוד</v>
      </c>
      <c r="AM3" s="1" t="str">
        <f>+VLOOKUP(AM1,'פחת מים וגביה'!$A:$S,16,0)</f>
        <v>חזק מאוד</v>
      </c>
      <c r="AN3" s="1" t="str">
        <f>+VLOOKUP(AN1,'פחת מים וגביה'!$A:$S,16,0)</f>
        <v>חלש רב רשותי</v>
      </c>
      <c r="AO3" s="1" t="str">
        <f>+VLOOKUP(AO1,'פחת מים וגביה'!$A:$S,16,0)</f>
        <v>חזק מאוד</v>
      </c>
      <c r="AP3" s="1" t="str">
        <f>+VLOOKUP(AP1,'פחת מים וגביה'!$A:$S,16,0)</f>
        <v>חזק מאוד</v>
      </c>
      <c r="AQ3" s="1" t="str">
        <f>+VLOOKUP(AQ1,'פחת מים וגביה'!$A:$S,16,0)</f>
        <v xml:space="preserve">חזק </v>
      </c>
      <c r="AR3" s="1" t="str">
        <f>+VLOOKUP(AR1,'פחת מים וגביה'!$A:$S,16,0)</f>
        <v>חזק מאוד</v>
      </c>
      <c r="AS3" s="1" t="str">
        <f>+VLOOKUP(AS1,'פחת מים וגביה'!$A:$S,16,0)</f>
        <v>חלש רב רשותי</v>
      </c>
      <c r="AT3" s="1" t="str">
        <f>+VLOOKUP(AT1,'פחת מים וגביה'!$A:$S,16,0)</f>
        <v>חלש</v>
      </c>
      <c r="AU3" s="1" t="str">
        <f>+VLOOKUP(AU1,'פחת מים וגביה'!$A:$S,16,0)</f>
        <v>חזק מאוד</v>
      </c>
      <c r="AV3" s="1" t="str">
        <f>+VLOOKUP(AV1,'פחת מים וגביה'!$A:$S,16,0)</f>
        <v>בינוני</v>
      </c>
      <c r="AW3" s="1" t="str">
        <f>+VLOOKUP(AW1,'פחת מים וגביה'!$A:$S,16,0)</f>
        <v>חלש</v>
      </c>
      <c r="AX3" s="1" t="str">
        <f>+VLOOKUP(AX1,'פחת מים וגביה'!$A:$S,16,0)</f>
        <v>חלש רב רשותי</v>
      </c>
      <c r="AY3" s="1" t="str">
        <f>+VLOOKUP(AY1,'פחת מים וגביה'!$A:$S,16,0)</f>
        <v xml:space="preserve">חזק </v>
      </c>
      <c r="AZ3" s="1" t="str">
        <f>+VLOOKUP(AZ1,'פחת מים וגביה'!$A:$S,16,0)</f>
        <v>חזק מאוד</v>
      </c>
      <c r="BA3" s="1" t="str">
        <f>+VLOOKUP(BA1,'פחת מים וגביה'!$A:$S,16,0)</f>
        <v>חלש רב רשותי</v>
      </c>
      <c r="BB3" s="1" t="str">
        <f>+VLOOKUP(BB1,'פחת מים וגביה'!$A:$S,16,0)</f>
        <v>חלש רב רשותי</v>
      </c>
      <c r="BC3" s="1" t="str">
        <f>+VLOOKUP(BC1,'פחת מים וגביה'!$A:$S,16,0)</f>
        <v>חלש רב רשותי</v>
      </c>
      <c r="BD3" s="1" t="str">
        <f>+VLOOKUP(BD1,'פחת מים וגביה'!$A:$S,16,0)</f>
        <v>חזק מאוד</v>
      </c>
      <c r="BE3" s="1" t="str">
        <f>+VLOOKUP(BE1,'פחת מים וגביה'!$A:$S,16,0)</f>
        <v>חזק מאוד</v>
      </c>
      <c r="BF3" s="1" t="str">
        <f>+VLOOKUP(BF1,'פחת מים וגביה'!$A:$S,16,0)</f>
        <v xml:space="preserve">חזק </v>
      </c>
    </row>
    <row r="4" spans="1:63" ht="15.75" x14ac:dyDescent="0.25">
      <c r="A4" s="500" t="s">
        <v>481</v>
      </c>
      <c r="C4" s="1">
        <v>2009</v>
      </c>
      <c r="D4" s="1">
        <v>2009</v>
      </c>
      <c r="E4" s="1">
        <v>2009</v>
      </c>
      <c r="F4" s="1">
        <v>2009</v>
      </c>
      <c r="G4" s="1">
        <v>2009</v>
      </c>
      <c r="H4" s="1">
        <v>2009</v>
      </c>
      <c r="I4" s="1">
        <v>2009</v>
      </c>
      <c r="J4" s="1">
        <v>2009</v>
      </c>
      <c r="K4" s="1">
        <v>2009</v>
      </c>
      <c r="L4" s="1">
        <v>2009</v>
      </c>
      <c r="M4" s="1">
        <v>2009</v>
      </c>
      <c r="N4" s="1">
        <v>2009</v>
      </c>
      <c r="O4" s="1">
        <v>2009</v>
      </c>
      <c r="P4" s="1">
        <v>2009</v>
      </c>
      <c r="Q4" s="1">
        <v>2009</v>
      </c>
      <c r="R4" s="1">
        <v>2009</v>
      </c>
      <c r="S4" s="1">
        <v>2009</v>
      </c>
      <c r="T4" s="1">
        <v>2009</v>
      </c>
      <c r="U4" s="1">
        <v>2009</v>
      </c>
      <c r="V4" s="1">
        <v>2009</v>
      </c>
      <c r="W4" s="1">
        <v>2009</v>
      </c>
      <c r="X4" s="1">
        <v>2009</v>
      </c>
      <c r="Y4" s="1">
        <v>2009</v>
      </c>
      <c r="Z4" s="1">
        <v>2009</v>
      </c>
      <c r="AA4" s="1">
        <v>2009</v>
      </c>
      <c r="AB4" s="1">
        <v>2009</v>
      </c>
      <c r="AC4" s="1">
        <v>2009</v>
      </c>
      <c r="AD4" s="1">
        <v>2009</v>
      </c>
      <c r="AE4" s="1">
        <v>2009</v>
      </c>
      <c r="AF4" s="1">
        <v>2009</v>
      </c>
      <c r="AG4" s="1">
        <v>2009</v>
      </c>
      <c r="AH4" s="1">
        <v>2009</v>
      </c>
      <c r="AI4" s="1">
        <v>2009</v>
      </c>
      <c r="AJ4" s="1">
        <v>2009</v>
      </c>
      <c r="AK4" s="1">
        <v>2009</v>
      </c>
      <c r="AL4" s="1">
        <v>2009</v>
      </c>
      <c r="AM4" s="1">
        <v>2009</v>
      </c>
      <c r="AN4" s="1">
        <v>2009</v>
      </c>
      <c r="AO4" s="1">
        <v>2009</v>
      </c>
      <c r="AP4" s="1">
        <v>2009</v>
      </c>
      <c r="AQ4" s="1">
        <v>2009</v>
      </c>
      <c r="AR4" s="1">
        <v>2009</v>
      </c>
      <c r="AS4" s="1">
        <v>2009</v>
      </c>
      <c r="AT4" s="1">
        <v>2009</v>
      </c>
      <c r="AU4" s="1">
        <v>2009</v>
      </c>
      <c r="AV4" s="1">
        <v>2009</v>
      </c>
      <c r="AW4" s="1">
        <v>2009</v>
      </c>
      <c r="AX4" s="1">
        <v>2009</v>
      </c>
      <c r="AY4" s="1">
        <v>2009</v>
      </c>
      <c r="AZ4" s="1">
        <v>2009</v>
      </c>
      <c r="BA4" s="1">
        <v>2009</v>
      </c>
      <c r="BB4" s="1">
        <v>2009</v>
      </c>
      <c r="BC4" s="1">
        <v>2009</v>
      </c>
      <c r="BD4" s="1">
        <v>2010</v>
      </c>
      <c r="BE4" s="1">
        <v>2009</v>
      </c>
      <c r="BF4" s="1">
        <v>2009</v>
      </c>
    </row>
    <row r="5" spans="1:63" ht="15.75" x14ac:dyDescent="0.25">
      <c r="A5" s="500" t="s">
        <v>276</v>
      </c>
      <c r="C5" s="349">
        <v>2009</v>
      </c>
      <c r="D5" s="349">
        <v>2006</v>
      </c>
      <c r="E5" s="349">
        <v>2009</v>
      </c>
      <c r="F5" s="349">
        <v>2008</v>
      </c>
      <c r="G5" s="349">
        <v>2005</v>
      </c>
      <c r="H5" s="349">
        <v>2007</v>
      </c>
      <c r="I5" s="349">
        <v>2003</v>
      </c>
      <c r="J5" s="349">
        <v>2005</v>
      </c>
      <c r="K5" s="349">
        <v>2003</v>
      </c>
      <c r="L5" s="349">
        <v>2008</v>
      </c>
      <c r="M5" s="349">
        <v>2008</v>
      </c>
      <c r="N5" s="349">
        <v>2008</v>
      </c>
      <c r="O5" s="349">
        <v>2008</v>
      </c>
      <c r="P5" s="349">
        <v>2008</v>
      </c>
      <c r="Q5" s="26">
        <v>2008</v>
      </c>
      <c r="R5" s="349">
        <v>2008</v>
      </c>
      <c r="S5" s="26">
        <v>2008</v>
      </c>
      <c r="T5" s="349">
        <v>2008</v>
      </c>
      <c r="U5" s="26">
        <v>2008</v>
      </c>
      <c r="V5" s="26">
        <v>2008</v>
      </c>
      <c r="W5" s="349">
        <v>2008</v>
      </c>
      <c r="X5" s="349">
        <v>2008</v>
      </c>
      <c r="Y5" s="26">
        <v>2008</v>
      </c>
      <c r="Z5" s="349">
        <v>2008</v>
      </c>
      <c r="AA5" s="349">
        <v>2008</v>
      </c>
      <c r="AB5" s="26">
        <v>2008</v>
      </c>
      <c r="AC5" s="26">
        <v>2008</v>
      </c>
      <c r="AD5" s="26">
        <v>2008</v>
      </c>
      <c r="AE5" s="26">
        <v>2008</v>
      </c>
      <c r="AF5" s="26">
        <v>2008</v>
      </c>
      <c r="AG5" s="349">
        <v>2008</v>
      </c>
      <c r="AH5" s="26">
        <v>2008</v>
      </c>
      <c r="AI5" s="349">
        <v>2008</v>
      </c>
      <c r="AJ5" s="26">
        <v>2008</v>
      </c>
      <c r="AK5" s="26">
        <v>2008</v>
      </c>
      <c r="AL5" s="349">
        <v>2008</v>
      </c>
      <c r="AM5" s="349">
        <v>2008</v>
      </c>
      <c r="AN5" s="26">
        <v>2008</v>
      </c>
      <c r="AO5" s="26">
        <v>2008</v>
      </c>
      <c r="AP5" s="26">
        <v>2008</v>
      </c>
      <c r="AQ5" s="26">
        <v>2008</v>
      </c>
      <c r="AR5" s="26">
        <v>2008</v>
      </c>
      <c r="AS5" s="349">
        <v>2008</v>
      </c>
      <c r="AT5" s="349">
        <v>2009</v>
      </c>
      <c r="AU5" s="26">
        <v>2009</v>
      </c>
      <c r="AV5" s="26">
        <v>2008</v>
      </c>
      <c r="AW5" s="349">
        <v>2008</v>
      </c>
      <c r="AX5" s="349">
        <v>2008</v>
      </c>
      <c r="AY5" s="26">
        <v>2008</v>
      </c>
      <c r="AZ5" s="26">
        <v>2009</v>
      </c>
      <c r="BA5" s="349">
        <v>2008</v>
      </c>
      <c r="BB5" s="26">
        <v>2008</v>
      </c>
      <c r="BC5" s="26">
        <v>2008</v>
      </c>
      <c r="BD5" s="349">
        <v>2010</v>
      </c>
      <c r="BE5" s="349">
        <v>2009</v>
      </c>
      <c r="BF5" s="349">
        <v>2009</v>
      </c>
      <c r="BG5" s="26"/>
      <c r="BH5" s="26"/>
      <c r="BI5" s="26"/>
      <c r="BJ5" s="26"/>
      <c r="BK5" s="26"/>
    </row>
    <row r="6" spans="1:63" s="482" customFormat="1" ht="12.75" customHeight="1" x14ac:dyDescent="0.2">
      <c r="A6" s="482" t="s">
        <v>564</v>
      </c>
      <c r="C6" s="47">
        <v>2004</v>
      </c>
      <c r="D6" s="47">
        <v>2008</v>
      </c>
      <c r="E6" s="47">
        <v>2003</v>
      </c>
      <c r="F6" s="47">
        <v>2008</v>
      </c>
      <c r="G6" s="47">
        <v>2006</v>
      </c>
      <c r="H6" s="47">
        <v>2003</v>
      </c>
      <c r="I6" s="47">
        <v>2003</v>
      </c>
      <c r="J6" s="47">
        <v>2006</v>
      </c>
      <c r="K6" s="47">
        <v>2003</v>
      </c>
      <c r="L6" s="47">
        <v>2008</v>
      </c>
      <c r="M6" s="47">
        <v>2008</v>
      </c>
      <c r="N6" s="47">
        <v>2007</v>
      </c>
      <c r="O6" s="47">
        <v>2008</v>
      </c>
      <c r="P6" s="47">
        <v>2008</v>
      </c>
      <c r="Q6" s="5">
        <v>2009</v>
      </c>
      <c r="R6" s="47">
        <v>2009</v>
      </c>
      <c r="S6" s="5">
        <v>2009</v>
      </c>
      <c r="T6" s="47">
        <v>2009</v>
      </c>
      <c r="U6" s="5">
        <v>2009</v>
      </c>
      <c r="V6" s="47">
        <v>2009</v>
      </c>
      <c r="W6" s="47">
        <v>2009</v>
      </c>
      <c r="X6" s="47">
        <v>2009</v>
      </c>
      <c r="Y6" s="5">
        <v>2009</v>
      </c>
      <c r="Z6" s="47">
        <v>2009</v>
      </c>
      <c r="AA6" s="47">
        <v>2010</v>
      </c>
      <c r="AB6" s="47">
        <v>2009</v>
      </c>
      <c r="AC6" s="5">
        <v>2010</v>
      </c>
      <c r="AD6" s="5">
        <v>2009</v>
      </c>
      <c r="AE6" s="5">
        <v>2010</v>
      </c>
      <c r="AF6" s="5">
        <v>2009</v>
      </c>
      <c r="AG6" s="47">
        <v>2010</v>
      </c>
      <c r="AH6" s="5">
        <v>2010</v>
      </c>
      <c r="AI6" s="47">
        <v>2009</v>
      </c>
      <c r="AJ6" s="5">
        <v>2009</v>
      </c>
      <c r="AK6" s="47">
        <v>2013</v>
      </c>
      <c r="AL6" s="47">
        <v>2010</v>
      </c>
      <c r="AM6" s="47">
        <v>2010</v>
      </c>
      <c r="AN6" s="5">
        <v>2011</v>
      </c>
      <c r="AO6" s="5">
        <v>2012</v>
      </c>
      <c r="AP6" s="5">
        <v>2010</v>
      </c>
      <c r="AQ6" s="5">
        <v>2009</v>
      </c>
      <c r="AR6" s="5">
        <v>2010</v>
      </c>
      <c r="AS6" s="47">
        <v>2010</v>
      </c>
      <c r="AT6" s="47">
        <v>2010</v>
      </c>
      <c r="AU6" s="5">
        <v>2010</v>
      </c>
      <c r="AV6" s="5">
        <v>2010</v>
      </c>
      <c r="AW6" s="47">
        <v>2010</v>
      </c>
      <c r="AX6" s="47">
        <v>2010</v>
      </c>
      <c r="AY6" s="47">
        <v>2010</v>
      </c>
      <c r="AZ6" s="5">
        <v>2010</v>
      </c>
      <c r="BA6" s="47">
        <v>2010</v>
      </c>
      <c r="BB6" s="5">
        <v>2010</v>
      </c>
      <c r="BC6" s="5">
        <v>2010</v>
      </c>
      <c r="BD6" s="47">
        <v>2011</v>
      </c>
      <c r="BE6" s="47">
        <v>2013</v>
      </c>
      <c r="BF6" s="47">
        <v>2013</v>
      </c>
    </row>
    <row r="7" spans="1:63" x14ac:dyDescent="0.2">
      <c r="C7" s="47"/>
      <c r="D7" s="47"/>
      <c r="E7" s="47"/>
      <c r="F7" s="47"/>
      <c r="G7" s="47"/>
      <c r="H7" s="47"/>
      <c r="I7" s="47"/>
      <c r="J7" s="47"/>
      <c r="K7" s="47"/>
      <c r="L7" s="47"/>
      <c r="M7" s="47"/>
      <c r="N7" s="47"/>
      <c r="O7" s="47"/>
      <c r="P7" s="47"/>
      <c r="Q7" s="5"/>
      <c r="R7" s="47"/>
      <c r="S7" s="5"/>
      <c r="T7" s="47"/>
      <c r="U7" s="5"/>
      <c r="V7" s="47"/>
      <c r="W7" s="47"/>
      <c r="X7" s="47"/>
      <c r="Y7" s="5"/>
      <c r="Z7" s="47"/>
      <c r="AA7" s="47"/>
      <c r="AB7" s="47"/>
      <c r="AC7" s="5"/>
      <c r="AD7" s="5"/>
      <c r="AE7" s="5"/>
      <c r="AF7" s="5"/>
      <c r="AG7" s="47"/>
      <c r="AH7" s="5"/>
      <c r="AI7" s="47"/>
      <c r="AJ7" s="5"/>
      <c r="AK7" s="47"/>
      <c r="AL7" s="47"/>
      <c r="AM7" s="47"/>
      <c r="AN7" s="5"/>
      <c r="AO7" s="5"/>
      <c r="AP7" s="5"/>
      <c r="AQ7" s="5"/>
      <c r="AR7" s="5"/>
      <c r="AS7" s="47"/>
      <c r="AT7" s="47"/>
      <c r="AU7" s="5"/>
      <c r="AV7" s="5"/>
      <c r="AW7" s="47"/>
      <c r="AX7" s="47"/>
      <c r="AY7" s="1240" t="s">
        <v>2070</v>
      </c>
      <c r="AZ7" s="5"/>
      <c r="BA7" s="47"/>
      <c r="BB7" s="5"/>
      <c r="BC7" s="5"/>
      <c r="BD7" s="47"/>
      <c r="BE7" s="47"/>
      <c r="BF7" s="47"/>
    </row>
    <row r="8" spans="1:63" x14ac:dyDescent="0.2">
      <c r="A8" s="501" t="s">
        <v>277</v>
      </c>
      <c r="B8" s="1">
        <v>1</v>
      </c>
      <c r="C8" s="47" t="s">
        <v>100</v>
      </c>
      <c r="D8" s="47" t="s">
        <v>56</v>
      </c>
      <c r="E8" s="47" t="s">
        <v>101</v>
      </c>
      <c r="F8" s="47" t="s">
        <v>136</v>
      </c>
      <c r="G8" s="47" t="s">
        <v>104</v>
      </c>
      <c r="H8" s="47" t="s">
        <v>64</v>
      </c>
      <c r="I8" s="47" t="s">
        <v>144</v>
      </c>
      <c r="J8" s="47" t="s">
        <v>1</v>
      </c>
      <c r="K8" s="47" t="s">
        <v>103</v>
      </c>
      <c r="L8" s="47" t="s">
        <v>17</v>
      </c>
      <c r="M8" s="47" t="s">
        <v>2</v>
      </c>
      <c r="N8" s="47" t="s">
        <v>7</v>
      </c>
      <c r="O8" s="47" t="s">
        <v>61</v>
      </c>
      <c r="P8" s="47" t="s">
        <v>48</v>
      </c>
      <c r="Q8" s="5" t="s">
        <v>57</v>
      </c>
      <c r="R8" s="47" t="s">
        <v>59</v>
      </c>
      <c r="S8" s="5" t="s">
        <v>28</v>
      </c>
      <c r="T8" s="47" t="s">
        <v>60</v>
      </c>
      <c r="U8" s="5" t="s">
        <v>138</v>
      </c>
      <c r="V8" s="47" t="s">
        <v>27</v>
      </c>
      <c r="W8" s="47" t="s">
        <v>3</v>
      </c>
      <c r="X8" s="47" t="s">
        <v>55</v>
      </c>
      <c r="Y8" s="5" t="s">
        <v>30</v>
      </c>
      <c r="Z8" s="47" t="s">
        <v>50</v>
      </c>
      <c r="AA8" s="47" t="s">
        <v>54</v>
      </c>
      <c r="AB8" s="47" t="s">
        <v>51</v>
      </c>
      <c r="AC8" s="5" t="s">
        <v>62</v>
      </c>
      <c r="AD8" s="5" t="s">
        <v>53</v>
      </c>
      <c r="AE8" s="5" t="s">
        <v>63</v>
      </c>
      <c r="AF8" s="5" t="s">
        <v>68</v>
      </c>
      <c r="AG8" s="47" t="s">
        <v>73</v>
      </c>
      <c r="AH8" s="5" t="s">
        <v>66</v>
      </c>
      <c r="AI8" s="47" t="s">
        <v>76</v>
      </c>
      <c r="AJ8" s="5" t="s">
        <v>74</v>
      </c>
      <c r="AK8" s="47" t="s">
        <v>75</v>
      </c>
      <c r="AL8" s="47" t="s">
        <v>134</v>
      </c>
      <c r="AM8" s="47" t="s">
        <v>86</v>
      </c>
      <c r="AN8" s="5" t="s">
        <v>80</v>
      </c>
      <c r="AO8" s="5" t="s">
        <v>248</v>
      </c>
      <c r="AP8" s="5" t="s">
        <v>98</v>
      </c>
      <c r="AQ8" s="5" t="s">
        <v>97</v>
      </c>
      <c r="AR8" s="5" t="s">
        <v>99</v>
      </c>
      <c r="AS8" s="47" t="s">
        <v>39</v>
      </c>
      <c r="AT8" s="47" t="s">
        <v>106</v>
      </c>
      <c r="AU8" s="5" t="s">
        <v>15</v>
      </c>
      <c r="AV8" s="5" t="s">
        <v>107</v>
      </c>
      <c r="AW8" s="47" t="s">
        <v>123</v>
      </c>
      <c r="AX8" s="47"/>
      <c r="AY8" s="47" t="s">
        <v>112</v>
      </c>
      <c r="AZ8" s="5" t="s">
        <v>113</v>
      </c>
      <c r="BA8" s="47" t="s">
        <v>127</v>
      </c>
      <c r="BB8" s="5" t="s">
        <v>88</v>
      </c>
      <c r="BC8" s="47" t="s">
        <v>740</v>
      </c>
      <c r="BD8" s="47" t="s">
        <v>87</v>
      </c>
      <c r="BE8" s="47" t="s">
        <v>102</v>
      </c>
      <c r="BF8" s="1240" t="s">
        <v>72</v>
      </c>
    </row>
    <row r="9" spans="1:63" x14ac:dyDescent="0.2">
      <c r="B9" s="1">
        <v>2</v>
      </c>
      <c r="C9" s="47" t="s">
        <v>6</v>
      </c>
      <c r="D9" s="47" t="s">
        <v>140</v>
      </c>
      <c r="E9" s="47"/>
      <c r="F9" s="47" t="s">
        <v>58</v>
      </c>
      <c r="G9" s="47"/>
      <c r="H9" s="47" t="s">
        <v>9</v>
      </c>
      <c r="I9" s="47"/>
      <c r="J9" s="47"/>
      <c r="K9" s="47" t="s">
        <v>67</v>
      </c>
      <c r="L9" s="47" t="s">
        <v>148</v>
      </c>
      <c r="M9" s="47"/>
      <c r="N9" s="47" t="s">
        <v>141</v>
      </c>
      <c r="O9" s="47" t="s">
        <v>4</v>
      </c>
      <c r="P9" s="47" t="s">
        <v>16</v>
      </c>
      <c r="Q9" s="5"/>
      <c r="R9" s="47" t="s">
        <v>71</v>
      </c>
      <c r="S9" s="5"/>
      <c r="T9" s="47" t="s">
        <v>211</v>
      </c>
      <c r="U9" s="47"/>
      <c r="V9" s="47" t="s">
        <v>0</v>
      </c>
      <c r="W9" s="47" t="s">
        <v>149</v>
      </c>
      <c r="X9" s="47" t="s">
        <v>40</v>
      </c>
      <c r="Y9" s="5" t="s">
        <v>38</v>
      </c>
      <c r="Z9" s="47"/>
      <c r="AA9" s="47"/>
      <c r="AB9" s="47"/>
      <c r="AC9" s="5"/>
      <c r="AD9" s="5"/>
      <c r="AE9" s="5"/>
      <c r="AF9" s="5" t="s">
        <v>77</v>
      </c>
      <c r="AG9" s="47"/>
      <c r="AH9" s="5"/>
      <c r="AI9" s="47"/>
      <c r="AJ9" s="5" t="s">
        <v>247</v>
      </c>
      <c r="AK9" s="47"/>
      <c r="AL9" s="47"/>
      <c r="AM9" s="47" t="s">
        <v>70</v>
      </c>
      <c r="AN9" s="5" t="s">
        <v>82</v>
      </c>
      <c r="AO9" s="5"/>
      <c r="AP9" s="5"/>
      <c r="AQ9" s="5"/>
      <c r="AR9" s="5" t="s">
        <v>680</v>
      </c>
      <c r="AS9" s="47" t="s">
        <v>93</v>
      </c>
      <c r="AT9" s="47"/>
      <c r="AU9" s="5"/>
      <c r="AV9" s="5" t="s">
        <v>108</v>
      </c>
      <c r="AW9" s="47"/>
      <c r="AX9" s="350" t="s">
        <v>314</v>
      </c>
      <c r="AY9" s="47"/>
      <c r="AZ9" s="5" t="s">
        <v>125</v>
      </c>
      <c r="BA9" s="47" t="s">
        <v>128</v>
      </c>
      <c r="BB9" s="5" t="s">
        <v>69</v>
      </c>
      <c r="BC9" s="5" t="s">
        <v>14</v>
      </c>
      <c r="BD9" s="47" t="s">
        <v>495</v>
      </c>
      <c r="BE9" s="47"/>
      <c r="BF9" s="1240"/>
    </row>
    <row r="10" spans="1:63" x14ac:dyDescent="0.2">
      <c r="A10" s="482"/>
      <c r="B10" s="1">
        <v>3</v>
      </c>
      <c r="C10" s="47" t="s">
        <v>25</v>
      </c>
      <c r="D10" s="47" t="s">
        <v>52</v>
      </c>
      <c r="E10" s="47"/>
      <c r="F10" s="47"/>
      <c r="G10" s="47"/>
      <c r="H10" s="47" t="s">
        <v>119</v>
      </c>
      <c r="I10" s="47"/>
      <c r="J10" s="47"/>
      <c r="K10" s="47" t="s">
        <v>238</v>
      </c>
      <c r="L10" s="47" t="s">
        <v>124</v>
      </c>
      <c r="M10" s="47"/>
      <c r="N10" s="47"/>
      <c r="O10" s="47" t="s">
        <v>206</v>
      </c>
      <c r="P10" s="47" t="s">
        <v>18</v>
      </c>
      <c r="Q10" s="5"/>
      <c r="R10" s="47" t="s">
        <v>78</v>
      </c>
      <c r="S10" s="5"/>
      <c r="T10" s="47" t="s">
        <v>244</v>
      </c>
      <c r="U10" s="47"/>
      <c r="V10" s="350" t="s">
        <v>139</v>
      </c>
      <c r="W10" s="47" t="s">
        <v>23</v>
      </c>
      <c r="X10" s="47" t="s">
        <v>20</v>
      </c>
      <c r="Y10" s="5" t="s">
        <v>26</v>
      </c>
      <c r="Z10" s="47"/>
      <c r="AA10" s="47"/>
      <c r="AB10" s="47"/>
      <c r="AC10" s="5"/>
      <c r="AD10" s="5"/>
      <c r="AE10" s="5"/>
      <c r="AF10" s="5"/>
      <c r="AG10" s="47"/>
      <c r="AH10" s="5"/>
      <c r="AI10" s="47"/>
      <c r="AJ10" s="5"/>
      <c r="AK10" s="47"/>
      <c r="AL10" s="47"/>
      <c r="AM10" s="47" t="s">
        <v>85</v>
      </c>
      <c r="AN10" s="47" t="s">
        <v>83</v>
      </c>
      <c r="AO10" s="5"/>
      <c r="AP10" s="5"/>
      <c r="AQ10" s="5"/>
      <c r="AR10" s="5"/>
      <c r="AS10" s="47" t="s">
        <v>94</v>
      </c>
      <c r="AT10" s="47"/>
      <c r="AU10" s="5"/>
      <c r="AV10" s="47"/>
      <c r="AW10" s="47"/>
      <c r="AX10" s="47" t="s">
        <v>109</v>
      </c>
      <c r="AY10" s="47"/>
      <c r="AZ10" s="5" t="s">
        <v>115</v>
      </c>
      <c r="BA10" s="47" t="s">
        <v>129</v>
      </c>
      <c r="BB10" s="5" t="s">
        <v>96</v>
      </c>
      <c r="BC10" s="5" t="s">
        <v>105</v>
      </c>
      <c r="BD10" s="47"/>
      <c r="BE10" s="47"/>
      <c r="BF10" s="47"/>
    </row>
    <row r="11" spans="1:63" x14ac:dyDescent="0.2">
      <c r="B11" s="1">
        <v>4</v>
      </c>
      <c r="C11" s="47"/>
      <c r="D11" s="47" t="s">
        <v>223</v>
      </c>
      <c r="E11" s="47"/>
      <c r="F11" s="47"/>
      <c r="G11" s="47"/>
      <c r="H11" s="47"/>
      <c r="I11" s="47"/>
      <c r="J11" s="47"/>
      <c r="K11" s="47"/>
      <c r="L11" s="47" t="s">
        <v>219</v>
      </c>
      <c r="M11" s="47"/>
      <c r="N11" s="47"/>
      <c r="O11" s="47" t="s">
        <v>196</v>
      </c>
      <c r="P11" s="47" t="s">
        <v>12</v>
      </c>
      <c r="Q11" s="5"/>
      <c r="R11" s="47"/>
      <c r="S11" s="5"/>
      <c r="T11" s="47" t="s">
        <v>79</v>
      </c>
      <c r="U11" s="47"/>
      <c r="V11" s="47" t="s">
        <v>13</v>
      </c>
      <c r="W11" s="47" t="s">
        <v>34</v>
      </c>
      <c r="X11" s="47" t="s">
        <v>46</v>
      </c>
      <c r="Y11" s="5" t="s">
        <v>22</v>
      </c>
      <c r="Z11" s="47"/>
      <c r="AA11" s="47"/>
      <c r="AB11" s="47"/>
      <c r="AC11" s="5"/>
      <c r="AD11" s="5"/>
      <c r="AE11" s="5"/>
      <c r="AF11" s="5"/>
      <c r="AG11" s="47"/>
      <c r="AH11" s="5"/>
      <c r="AI11" s="47"/>
      <c r="AJ11" s="5"/>
      <c r="AK11" s="47"/>
      <c r="AL11" s="47"/>
      <c r="AM11" s="47" t="s">
        <v>65</v>
      </c>
      <c r="AN11" s="5" t="s">
        <v>81</v>
      </c>
      <c r="AO11" s="5"/>
      <c r="AP11" s="5"/>
      <c r="AQ11" s="5"/>
      <c r="AR11" s="5"/>
      <c r="AS11" s="47" t="s">
        <v>89</v>
      </c>
      <c r="AT11" s="47"/>
      <c r="AU11" s="5"/>
      <c r="AV11" s="5"/>
      <c r="AW11" s="47"/>
      <c r="AX11" s="47" t="s">
        <v>122</v>
      </c>
      <c r="AY11" s="47"/>
      <c r="AZ11" s="1240" t="s">
        <v>120</v>
      </c>
      <c r="BA11" s="47" t="s">
        <v>130</v>
      </c>
      <c r="BB11" s="5" t="s">
        <v>90</v>
      </c>
      <c r="BC11" s="5" t="s">
        <v>45</v>
      </c>
      <c r="BD11" s="47"/>
      <c r="BE11" s="47"/>
      <c r="BF11" s="47"/>
    </row>
    <row r="12" spans="1:63" x14ac:dyDescent="0.2">
      <c r="B12" s="1">
        <v>5</v>
      </c>
      <c r="C12" s="47"/>
      <c r="D12" s="47" t="s">
        <v>33</v>
      </c>
      <c r="E12" s="47"/>
      <c r="F12" s="47"/>
      <c r="G12" s="47"/>
      <c r="H12" s="47"/>
      <c r="I12" s="47"/>
      <c r="J12" s="47"/>
      <c r="K12" s="47"/>
      <c r="L12" s="47"/>
      <c r="M12" s="47"/>
      <c r="N12" s="47"/>
      <c r="O12" s="47"/>
      <c r="P12" s="47" t="s">
        <v>21</v>
      </c>
      <c r="Q12" s="5"/>
      <c r="R12" s="47"/>
      <c r="S12" s="5"/>
      <c r="T12" s="47"/>
      <c r="U12" s="47"/>
      <c r="V12" s="47" t="s">
        <v>36</v>
      </c>
      <c r="W12" s="47" t="s">
        <v>8</v>
      </c>
      <c r="X12" s="47" t="s">
        <v>5</v>
      </c>
      <c r="Y12" s="5"/>
      <c r="Z12" s="47"/>
      <c r="AA12" s="47"/>
      <c r="AB12" s="47"/>
      <c r="AC12" s="5"/>
      <c r="AD12" s="5"/>
      <c r="AE12" s="5"/>
      <c r="AF12" s="5"/>
      <c r="AG12" s="47"/>
      <c r="AH12" s="5"/>
      <c r="AI12" s="47"/>
      <c r="AJ12" s="5"/>
      <c r="AK12" s="47"/>
      <c r="AL12" s="47"/>
      <c r="AM12" s="47" t="s">
        <v>84</v>
      </c>
      <c r="AN12" s="5" t="s">
        <v>143</v>
      </c>
      <c r="AO12" s="5"/>
      <c r="AP12" s="5"/>
      <c r="AQ12" s="5"/>
      <c r="AR12" s="5"/>
      <c r="AS12" s="47" t="s">
        <v>42</v>
      </c>
      <c r="AT12" s="47"/>
      <c r="AU12" s="5"/>
      <c r="AV12" s="5"/>
      <c r="AW12" s="47"/>
      <c r="AX12" s="1240"/>
      <c r="AY12" s="47"/>
      <c r="AZ12" s="5"/>
      <c r="BA12" s="47"/>
      <c r="BB12" s="5" t="s">
        <v>91</v>
      </c>
      <c r="BC12" s="5" t="s">
        <v>35</v>
      </c>
      <c r="BD12" s="47"/>
      <c r="BE12" s="47"/>
      <c r="BF12" s="47"/>
    </row>
    <row r="13" spans="1:63" x14ac:dyDescent="0.2">
      <c r="A13" s="482"/>
      <c r="B13" s="1">
        <v>6</v>
      </c>
      <c r="C13" s="47"/>
      <c r="D13" s="47" t="s">
        <v>47</v>
      </c>
      <c r="E13" s="47"/>
      <c r="F13" s="47"/>
      <c r="G13" s="47"/>
      <c r="H13" s="47"/>
      <c r="I13" s="47"/>
      <c r="J13" s="47"/>
      <c r="K13" s="47"/>
      <c r="L13" s="47"/>
      <c r="M13" s="47"/>
      <c r="N13" s="47"/>
      <c r="O13" s="47"/>
      <c r="P13" s="47" t="s">
        <v>132</v>
      </c>
      <c r="Q13" s="5"/>
      <c r="R13" s="47"/>
      <c r="S13" s="5"/>
      <c r="T13" s="47"/>
      <c r="U13" s="5"/>
      <c r="V13" s="47" t="s">
        <v>32</v>
      </c>
      <c r="W13" s="47" t="s">
        <v>560</v>
      </c>
      <c r="X13" s="47"/>
      <c r="Y13" s="5"/>
      <c r="Z13" s="47"/>
      <c r="AA13" s="47"/>
      <c r="AB13" s="47"/>
      <c r="AC13" s="5"/>
      <c r="AD13" s="5"/>
      <c r="AE13" s="5"/>
      <c r="AF13" s="5"/>
      <c r="AG13" s="47"/>
      <c r="AH13" s="5"/>
      <c r="AI13" s="47"/>
      <c r="AJ13" s="5"/>
      <c r="AK13" s="47"/>
      <c r="AL13" s="47"/>
      <c r="AM13" s="47"/>
      <c r="AN13" s="5" t="s">
        <v>145</v>
      </c>
      <c r="AO13" s="5"/>
      <c r="AP13" s="5"/>
      <c r="AQ13" s="5"/>
      <c r="AR13" s="5"/>
      <c r="AS13" s="47" t="s">
        <v>92</v>
      </c>
      <c r="AT13" s="47"/>
      <c r="AU13" s="5"/>
      <c r="AV13" s="5"/>
      <c r="AW13" s="47"/>
      <c r="AX13" s="47"/>
      <c r="AY13" s="47"/>
      <c r="AZ13" s="5"/>
      <c r="BA13" s="47"/>
      <c r="BB13" s="5" t="s">
        <v>142</v>
      </c>
      <c r="BC13" s="47" t="s">
        <v>738</v>
      </c>
      <c r="BD13" s="47"/>
      <c r="BE13" s="47"/>
      <c r="BF13" s="47"/>
    </row>
    <row r="14" spans="1:63" x14ac:dyDescent="0.2">
      <c r="A14" s="482"/>
      <c r="B14" s="1">
        <v>7</v>
      </c>
      <c r="C14" s="47"/>
      <c r="D14" s="47" t="s">
        <v>31</v>
      </c>
      <c r="E14" s="47"/>
      <c r="F14" s="47"/>
      <c r="G14" s="47"/>
      <c r="H14" s="47"/>
      <c r="I14" s="47"/>
      <c r="J14" s="47"/>
      <c r="K14" s="47"/>
      <c r="L14" s="47"/>
      <c r="M14" s="47"/>
      <c r="N14" s="47"/>
      <c r="O14" s="47"/>
      <c r="P14" s="47" t="s">
        <v>133</v>
      </c>
      <c r="Q14" s="5"/>
      <c r="R14" s="47"/>
      <c r="S14" s="5"/>
      <c r="T14" s="47"/>
      <c r="U14" s="5"/>
      <c r="V14" s="47" t="s">
        <v>135</v>
      </c>
      <c r="W14" s="47" t="s">
        <v>214</v>
      </c>
      <c r="X14" s="47"/>
      <c r="Y14" s="5"/>
      <c r="Z14" s="47"/>
      <c r="AA14" s="47"/>
      <c r="AB14" s="47"/>
      <c r="AC14" s="5"/>
      <c r="AD14" s="5"/>
      <c r="AE14" s="5"/>
      <c r="AF14" s="5"/>
      <c r="AG14" s="47"/>
      <c r="AH14" s="5"/>
      <c r="AI14" s="47"/>
      <c r="AJ14" s="5"/>
      <c r="AK14" s="47"/>
      <c r="AL14" s="47"/>
      <c r="AM14" s="47"/>
      <c r="AN14" s="5"/>
      <c r="AO14" s="5"/>
      <c r="AP14" s="5"/>
      <c r="AQ14" s="5"/>
      <c r="AR14" s="5"/>
      <c r="AS14" s="47" t="s">
        <v>41</v>
      </c>
      <c r="AT14" s="47"/>
      <c r="AU14" s="5"/>
      <c r="AV14" s="5"/>
      <c r="AW14" s="47"/>
      <c r="AX14" s="47"/>
      <c r="AY14" s="47"/>
      <c r="AZ14" s="5"/>
      <c r="BA14" s="47"/>
      <c r="BB14" s="5" t="s">
        <v>131</v>
      </c>
      <c r="BC14" s="47" t="s">
        <v>739</v>
      </c>
      <c r="BD14" s="47"/>
      <c r="BE14" s="47"/>
      <c r="BF14" s="47"/>
    </row>
    <row r="15" spans="1:63" x14ac:dyDescent="0.2">
      <c r="B15" s="1">
        <v>8</v>
      </c>
      <c r="P15" s="1" t="s">
        <v>146</v>
      </c>
      <c r="AS15" s="1" t="s">
        <v>11</v>
      </c>
    </row>
    <row r="16" spans="1:63" x14ac:dyDescent="0.2">
      <c r="B16" s="1">
        <v>9</v>
      </c>
      <c r="P16" s="481" t="s">
        <v>224</v>
      </c>
      <c r="AS16" s="1" t="s">
        <v>484</v>
      </c>
    </row>
    <row r="17" spans="2:45" x14ac:dyDescent="0.2">
      <c r="B17" s="1">
        <v>10</v>
      </c>
      <c r="P17" s="481" t="s">
        <v>245</v>
      </c>
      <c r="AS17" s="1" t="s">
        <v>485</v>
      </c>
    </row>
    <row r="18" spans="2:45" x14ac:dyDescent="0.2">
      <c r="B18" s="1">
        <v>11</v>
      </c>
      <c r="P18" s="481" t="s">
        <v>233</v>
      </c>
      <c r="AS18" s="1" t="s">
        <v>1502</v>
      </c>
    </row>
    <row r="19" spans="2:45" x14ac:dyDescent="0.2">
      <c r="B19" s="1">
        <v>12</v>
      </c>
      <c r="P19" s="481" t="s">
        <v>37</v>
      </c>
    </row>
    <row r="20" spans="2:45" x14ac:dyDescent="0.2">
      <c r="B20" s="1">
        <v>13</v>
      </c>
      <c r="P20" s="481" t="s">
        <v>147</v>
      </c>
    </row>
    <row r="21" spans="2:45" x14ac:dyDescent="0.2">
      <c r="B21" s="1">
        <v>14</v>
      </c>
      <c r="P21" s="481"/>
    </row>
    <row r="22" spans="2:45" x14ac:dyDescent="0.2">
      <c r="B22" s="1">
        <v>15</v>
      </c>
      <c r="P22" s="481"/>
    </row>
    <row r="23" spans="2:45" x14ac:dyDescent="0.2">
      <c r="B23" s="1">
        <v>16</v>
      </c>
      <c r="P23" s="481"/>
    </row>
    <row r="24" spans="2:45" x14ac:dyDescent="0.2">
      <c r="B24" s="1">
        <v>17</v>
      </c>
      <c r="P24" s="481"/>
    </row>
    <row r="25" spans="2:45" x14ac:dyDescent="0.2">
      <c r="B25" s="1">
        <v>18</v>
      </c>
      <c r="P25" s="481"/>
    </row>
    <row r="26" spans="2:45" x14ac:dyDescent="0.2">
      <c r="B26" s="1">
        <v>19</v>
      </c>
      <c r="P26" s="481"/>
    </row>
    <row r="27" spans="2:45" x14ac:dyDescent="0.2">
      <c r="B27" s="1">
        <v>20</v>
      </c>
      <c r="P27" s="481"/>
    </row>
    <row r="28" spans="2:45" x14ac:dyDescent="0.2">
      <c r="B28" s="1">
        <v>21</v>
      </c>
      <c r="P28" s="481"/>
    </row>
    <row r="29" spans="2:45" x14ac:dyDescent="0.2">
      <c r="B29" s="1">
        <v>22</v>
      </c>
    </row>
    <row r="30" spans="2:45" x14ac:dyDescent="0.2">
      <c r="B30" s="1">
        <v>23</v>
      </c>
      <c r="P30" s="481"/>
    </row>
    <row r="31" spans="2:45" x14ac:dyDescent="0.2">
      <c r="B31" s="1">
        <v>24</v>
      </c>
      <c r="P31" s="481"/>
    </row>
    <row r="32" spans="2:45" x14ac:dyDescent="0.2">
      <c r="B32" s="1">
        <v>25</v>
      </c>
      <c r="P32" s="481"/>
    </row>
    <row r="33" spans="1:235" x14ac:dyDescent="0.2">
      <c r="B33" s="1">
        <v>26</v>
      </c>
    </row>
    <row r="34" spans="1:235" x14ac:dyDescent="0.2">
      <c r="A34" s="42"/>
      <c r="B34" s="1">
        <v>27</v>
      </c>
      <c r="I34" s="47"/>
    </row>
    <row r="35" spans="1:235" x14ac:dyDescent="0.2">
      <c r="B35" s="1">
        <v>28</v>
      </c>
    </row>
    <row r="36" spans="1:235" x14ac:dyDescent="0.2">
      <c r="B36" s="1">
        <v>29</v>
      </c>
      <c r="P36" s="481"/>
    </row>
    <row r="37" spans="1:235" x14ac:dyDescent="0.2">
      <c r="B37" s="1">
        <v>30</v>
      </c>
      <c r="P37" s="481"/>
    </row>
    <row r="38" spans="1:235" x14ac:dyDescent="0.2">
      <c r="P38" s="481"/>
    </row>
    <row r="39" spans="1:235" x14ac:dyDescent="0.2">
      <c r="A39" s="106"/>
      <c r="B39" s="106"/>
      <c r="C39" s="656" t="str">
        <f>+CONCATENATE(C8," ",C9," ",C10," ",C11," ",C12," ",C13," ",C14," ",C15," ",C16," ",C17," ",C18," ",C19," ",C20," ",C21," ",C22)&amp;+CONCATENATE(C23," ",C24," ",C25," ",C26," ",C27," ",C28," ",C29," ",C30," ",C31," ",C32," ",C33," ",C34," ",C35," ",C36," ",C37)</f>
        <v xml:space="preserve">פתח תקוה  אלעד כפר ברא                          </v>
      </c>
      <c r="D39" s="656" t="str">
        <f t="shared" ref="D39:BE39" si="0">+CONCATENATE(D8," ",D9," ",D10," ",D11," ",D12," ",D13," ",D14," ",D15," ",D16," ",D17," ",D18," ",D19," ",D20," ",D21," ",D22)&amp;+CONCATENATE(D23," ",D24," ",D25," ",D26," ",D27," ",D28," ",D29," ",D30," ",D31," ",D32," ",D33," ",D34," ",D35," ",D36," ",D37)</f>
        <v xml:space="preserve">קרית שמונה מטולה  קצרין מג'דל שמס מסעדה עין קיניא בוקעאתא                      </v>
      </c>
      <c r="E39" s="656" t="str">
        <f t="shared" si="0"/>
        <v xml:space="preserve">נתניה                            </v>
      </c>
      <c r="F39" s="656" t="str">
        <f t="shared" si="0"/>
        <v xml:space="preserve">אריאל קרני שומרון                           </v>
      </c>
      <c r="G39" s="656" t="str">
        <f t="shared" si="0"/>
        <v xml:space="preserve">מודיעין-מכבים-רעות                            </v>
      </c>
      <c r="H39" s="656" t="str">
        <f t="shared" si="0"/>
        <v xml:space="preserve">ירושלים  אבו גוש מבשרת ציון                          </v>
      </c>
      <c r="I39" s="656" t="str">
        <f t="shared" si="0"/>
        <v xml:space="preserve">ראשון לציון                            </v>
      </c>
      <c r="J39" s="656" t="str">
        <f t="shared" si="0"/>
        <v xml:space="preserve">אילת                             </v>
      </c>
      <c r="K39" s="656" t="str">
        <f t="shared" si="0"/>
        <v xml:space="preserve">נצרת עילית  מגדל העמק עפולה                          </v>
      </c>
      <c r="L39" s="656" t="str">
        <f t="shared" si="0"/>
        <v xml:space="preserve">טבריה מגדל יבניאל כפר כמא                         </v>
      </c>
      <c r="M39" s="656" t="str">
        <f t="shared" si="0"/>
        <v xml:space="preserve">אשדוד                            </v>
      </c>
      <c r="N39" s="656" t="str">
        <f t="shared" si="0"/>
        <v xml:space="preserve">באר שבע אופקים                           </v>
      </c>
      <c r="O39" s="656" t="str">
        <f t="shared" si="0"/>
        <v xml:space="preserve">חולון אזור בית דגן אור יהודה                         </v>
      </c>
      <c r="P39" s="656" t="str">
        <f t="shared" si="0"/>
        <v xml:space="preserve">צפת חצור הגלילית טובא-זנגרייה גוש חלב יסוד המעלה פקיעין חורפיש פסוטה מגאר ראמה סאג'ור עילבון בית ג'אן                </v>
      </c>
      <c r="Q39" s="656" t="str">
        <f t="shared" si="0"/>
        <v xml:space="preserve">בני ברק                            </v>
      </c>
      <c r="R39" s="656" t="str">
        <f t="shared" si="0"/>
        <v xml:space="preserve">נס ציונה קריית עקרון מזכרת בתיה                          </v>
      </c>
      <c r="S39" s="656" t="str">
        <f t="shared" si="0"/>
        <v xml:space="preserve">לוד                            </v>
      </c>
      <c r="T39" s="656" t="str">
        <f>+CONCATENATE(T8," ",T9," ",T10," ",T11," ",T12," ",T13," ",T14," ",T15," ",T16," ",T17," ",T18," ",T19," ",T20," ",T21," ",T22)&amp;+CONCATENATE(T23," ",T24," ",T25," ",T26," ",T27," ",T28," ",T29," ",T30," ",T31," ",T32," ",T33," ",T34," ",T35," ",T36," ",T37)</f>
        <v xml:space="preserve">רמלה גדרה קריית מלאכי בני עייש                         </v>
      </c>
      <c r="U39" s="656" t="str">
        <f t="shared" si="0"/>
        <v xml:space="preserve">חדרה                            </v>
      </c>
      <c r="V39" s="656" t="str">
        <f t="shared" si="0"/>
        <v xml:space="preserve">כפר כנא טורעאן בועיינה-נוג'ידאת דבורייה עין מאהל משהד שיבלי                      </v>
      </c>
      <c r="W39" s="656" t="str">
        <f t="shared" si="0"/>
        <v xml:space="preserve">אום אל-פחם ערערה כפר קרע מעלה עירון בסמ"ה באקה ג'את זמר                      </v>
      </c>
      <c r="X39" s="656" t="str">
        <f t="shared" si="0"/>
        <v xml:space="preserve">נצרת ריינה יפיע עילוט אכסאל                        </v>
      </c>
      <c r="Y39" s="656" t="str">
        <f t="shared" si="0"/>
        <v xml:space="preserve">מעלות-תרשיחא שלומי כפר ורדים כסרא-סמיע                         </v>
      </c>
      <c r="Z39" s="656" t="str">
        <f t="shared" si="0"/>
        <v xml:space="preserve">קריית אתא                            </v>
      </c>
      <c r="AA39" s="656" t="str">
        <f t="shared" si="0"/>
        <v xml:space="preserve">רעננה                            </v>
      </c>
      <c r="AB39" s="656" t="str">
        <f t="shared" si="0"/>
        <v xml:space="preserve">קריית גת                            </v>
      </c>
      <c r="AC39" s="656" t="str">
        <f t="shared" si="0"/>
        <v xml:space="preserve">הרצליה                            </v>
      </c>
      <c r="AD39" s="656" t="str">
        <f t="shared" si="0"/>
        <v xml:space="preserve">רמת השרון                            </v>
      </c>
      <c r="AE39" s="656" t="str">
        <f t="shared" si="0"/>
        <v xml:space="preserve">חיפה                            </v>
      </c>
      <c r="AF39" s="656" t="str">
        <f t="shared" si="0"/>
        <v xml:space="preserve">יבנה גן יבנה                           </v>
      </c>
      <c r="AG39" s="656" t="str">
        <f t="shared" si="0"/>
        <v xml:space="preserve">כרמיאל                            </v>
      </c>
      <c r="AH39" s="656" t="str">
        <f t="shared" si="0"/>
        <v xml:space="preserve">רהט                            </v>
      </c>
      <c r="AI39" s="656" t="str">
        <f t="shared" si="0"/>
        <v xml:space="preserve">ראש העין                            </v>
      </c>
      <c r="AJ39" s="656" t="str">
        <f t="shared" si="0"/>
        <v xml:space="preserve">קריית מוצקין רכסים                           </v>
      </c>
      <c r="AK39" s="656" t="str">
        <f t="shared" si="0"/>
        <v xml:space="preserve">קריית ביאליק                            </v>
      </c>
      <c r="AL39" s="656" t="str">
        <f t="shared" si="0"/>
        <v xml:space="preserve">תל אביב-יפו                            </v>
      </c>
      <c r="AM39" s="656" t="str">
        <f t="shared" si="0"/>
        <v xml:space="preserve">אבן יהודה כפר יונה פרדסיה קדימה צורן תל מונד                        </v>
      </c>
      <c r="AN39" s="656" t="str">
        <f t="shared" si="0"/>
        <v xml:space="preserve">תל שבע כסיפה ערערה בנגב לקיה חורה שגב שלום                       </v>
      </c>
      <c r="AO39" s="656" t="str">
        <f t="shared" si="0"/>
        <v xml:space="preserve">רמת גן                            </v>
      </c>
      <c r="AP39" s="656" t="str">
        <f t="shared" si="0"/>
        <v xml:space="preserve">גבעתיים                             </v>
      </c>
      <c r="AQ39" s="656" t="str">
        <f t="shared" si="0"/>
        <v xml:space="preserve">בת ים                             </v>
      </c>
      <c r="AR39" s="656" t="str">
        <f t="shared" si="0"/>
        <v xml:space="preserve">קרית אונו  יהוד מונוסון                           </v>
      </c>
      <c r="AS39" s="656" t="str">
        <f t="shared" si="0"/>
        <v xml:space="preserve">שפרעם  כפר מנדא  זרזיר כאבול  טמרה בסמת טבעון  שעב  אעבלין   כאוכב ביר אל מכסור כעביה                  </v>
      </c>
      <c r="AT39" s="656" t="str">
        <f t="shared" si="0"/>
        <v xml:space="preserve">בית שמש                            </v>
      </c>
      <c r="AU39" s="656" t="str">
        <f t="shared" si="0"/>
        <v xml:space="preserve">הוד השרון                            </v>
      </c>
      <c r="AV39" s="656" t="str">
        <f t="shared" si="0"/>
        <v xml:space="preserve">אשקלון  נתיבות                           </v>
      </c>
      <c r="AW39" s="656" t="str">
        <f t="shared" si="0"/>
        <v xml:space="preserve">עכו                            </v>
      </c>
      <c r="AX39" s="656" t="str">
        <f t="shared" si="0"/>
        <v xml:space="preserve"> ג'לג'וליה  כפר קאסם טירה                         </v>
      </c>
      <c r="AY39" s="656" t="str">
        <f t="shared" si="0"/>
        <v xml:space="preserve">קריית ים                            </v>
      </c>
      <c r="AZ39" s="656" t="str">
        <f t="shared" si="0"/>
        <v xml:space="preserve">קריית טבעון יקנעם עילית רמת ישי זכרון יעקב                         </v>
      </c>
      <c r="BA39" s="656" t="str">
        <f t="shared" si="0"/>
        <v xml:space="preserve">דימונה ערד ירוחם מצפה רמון                         </v>
      </c>
      <c r="BB39" s="656" t="str">
        <f t="shared" si="0"/>
        <v xml:space="preserve">אבו סנאן ג'דידה אלמכר ג'וליס  כפר יאסיף ירכא מזרעה יאנוח ג'ת                      </v>
      </c>
      <c r="BC39" s="656" t="str">
        <f t="shared" si="0"/>
        <v xml:space="preserve">דיר אלאסד דיר חנא נחף עראבה סכנין בענה מג'דל כרום                      </v>
      </c>
      <c r="BD39" s="656" t="str">
        <f t="shared" si="0"/>
        <v xml:space="preserve">כפר סבא צור יגאל                           </v>
      </c>
      <c r="BE39" s="656" t="str">
        <f t="shared" si="0"/>
        <v xml:space="preserve">גני תקווה                            </v>
      </c>
      <c r="BF39" s="656" t="str">
        <f>+CONCATENATE(BF8," ",BF9," ",BF10," ",BF11," ",BF12," ",BF13," ",BF14," ",BF15," ",BF16," ",BF17," ",BF18," ",BF19," ",BF20," ",BF21," ",BF22)&amp;+CONCATENATE(BF23," ",BF24," ",BF25," ",BF26," ",BF27," ",BF28," ",BF29," ",BF30," ",BF31," ",BF32," ",BF33," ",BF34," ",BF35," ",BF36," ",BF37)</f>
        <v xml:space="preserve">רחובות                            </v>
      </c>
      <c r="BG39" s="106"/>
      <c r="BH39" s="106"/>
      <c r="BI39" s="106"/>
      <c r="BJ39" s="106"/>
      <c r="BK39" s="106"/>
      <c r="BL39" s="106"/>
      <c r="BM39" s="106"/>
      <c r="BN39" s="106"/>
      <c r="BO39" s="106"/>
      <c r="BP39" s="106"/>
      <c r="BQ39" s="106"/>
      <c r="BR39" s="106"/>
      <c r="BS39" s="106"/>
      <c r="BT39" s="106"/>
      <c r="BU39" s="106"/>
      <c r="BV39" s="106"/>
      <c r="BW39" s="106"/>
      <c r="BX39" s="106"/>
      <c r="BY39" s="106"/>
      <c r="BZ39" s="106"/>
      <c r="CA39" s="106"/>
      <c r="CB39" s="106"/>
      <c r="CC39" s="106"/>
      <c r="CD39" s="106"/>
      <c r="CE39" s="106"/>
      <c r="CF39" s="106"/>
      <c r="CG39" s="106"/>
      <c r="CH39" s="106"/>
      <c r="CI39" s="106"/>
      <c r="CJ39" s="106"/>
      <c r="CK39" s="106"/>
      <c r="CL39" s="106"/>
      <c r="CM39" s="106"/>
      <c r="CN39" s="106"/>
      <c r="CO39" s="106"/>
      <c r="CP39" s="106"/>
      <c r="CQ39" s="106"/>
      <c r="CR39" s="106"/>
      <c r="CS39" s="106"/>
      <c r="CT39" s="106"/>
      <c r="CU39" s="106"/>
      <c r="CV39" s="106"/>
      <c r="CW39" s="106"/>
      <c r="CX39" s="106"/>
      <c r="CY39" s="106"/>
      <c r="CZ39" s="106"/>
      <c r="DA39" s="106"/>
      <c r="DB39" s="106"/>
      <c r="DC39" s="106"/>
      <c r="DD39" s="106"/>
      <c r="DE39" s="106"/>
      <c r="DF39" s="106"/>
      <c r="DG39" s="106"/>
      <c r="DH39" s="106"/>
      <c r="DI39" s="106"/>
      <c r="DJ39" s="106"/>
      <c r="DK39" s="106"/>
      <c r="DL39" s="106"/>
      <c r="DM39" s="106"/>
      <c r="DN39" s="106"/>
      <c r="DO39" s="106"/>
      <c r="DP39" s="106"/>
      <c r="DQ39" s="106"/>
      <c r="DR39" s="106"/>
      <c r="DS39" s="106"/>
      <c r="DT39" s="106"/>
      <c r="DU39" s="106"/>
      <c r="DV39" s="106"/>
      <c r="DW39" s="106"/>
      <c r="DX39" s="106"/>
      <c r="DY39" s="106"/>
      <c r="DZ39" s="106"/>
      <c r="EA39" s="106"/>
      <c r="EB39" s="106"/>
      <c r="EC39" s="106"/>
      <c r="ED39" s="106"/>
      <c r="EE39" s="106"/>
      <c r="EF39" s="106"/>
      <c r="EG39" s="106"/>
      <c r="EH39" s="106"/>
      <c r="EI39" s="106"/>
      <c r="EJ39" s="106"/>
      <c r="EK39" s="106"/>
      <c r="EL39" s="106"/>
      <c r="EM39" s="106"/>
      <c r="EN39" s="106"/>
      <c r="EO39" s="106"/>
      <c r="EP39" s="106"/>
      <c r="EQ39" s="106"/>
      <c r="ER39" s="106"/>
      <c r="ES39" s="106"/>
      <c r="ET39" s="106"/>
      <c r="EU39" s="106"/>
      <c r="EV39" s="106"/>
      <c r="EW39" s="106"/>
      <c r="EX39" s="106"/>
      <c r="EY39" s="106"/>
      <c r="EZ39" s="106"/>
      <c r="FA39" s="106"/>
      <c r="FB39" s="106"/>
      <c r="FC39" s="106"/>
      <c r="FD39" s="106"/>
      <c r="FE39" s="106"/>
      <c r="FF39" s="106"/>
      <c r="FG39" s="106"/>
      <c r="FH39" s="106"/>
      <c r="FI39" s="106"/>
      <c r="FJ39" s="106"/>
      <c r="FK39" s="106"/>
      <c r="FL39" s="106"/>
      <c r="FM39" s="106"/>
      <c r="FN39" s="106"/>
      <c r="FO39" s="106"/>
      <c r="FP39" s="106"/>
      <c r="FQ39" s="106"/>
      <c r="FR39" s="106"/>
      <c r="FS39" s="106"/>
      <c r="FT39" s="106"/>
      <c r="FU39" s="106"/>
      <c r="FV39" s="106"/>
      <c r="FW39" s="106"/>
      <c r="FX39" s="106"/>
      <c r="FY39" s="106"/>
      <c r="FZ39" s="106"/>
      <c r="GA39" s="106"/>
      <c r="GB39" s="106"/>
      <c r="GC39" s="106"/>
      <c r="GD39" s="106"/>
      <c r="GE39" s="106"/>
      <c r="GF39" s="106"/>
      <c r="GG39" s="106"/>
      <c r="GH39" s="106"/>
      <c r="GI39" s="106"/>
      <c r="GJ39" s="106"/>
      <c r="GK39" s="106"/>
      <c r="GL39" s="106"/>
      <c r="GM39" s="106"/>
      <c r="GN39" s="106"/>
      <c r="GO39" s="106"/>
      <c r="GP39" s="106"/>
      <c r="GQ39" s="106"/>
      <c r="GR39" s="106"/>
      <c r="GS39" s="106"/>
      <c r="GT39" s="106"/>
      <c r="GU39" s="106"/>
      <c r="GV39" s="106"/>
      <c r="GW39" s="106"/>
      <c r="GX39" s="106"/>
      <c r="GY39" s="106"/>
      <c r="GZ39" s="106"/>
      <c r="HA39" s="106"/>
      <c r="HB39" s="106"/>
      <c r="HC39" s="106"/>
      <c r="HD39" s="106"/>
      <c r="HE39" s="106"/>
      <c r="HF39" s="106"/>
      <c r="HG39" s="106"/>
      <c r="HH39" s="106"/>
      <c r="HI39" s="106"/>
      <c r="HJ39" s="106"/>
      <c r="HK39" s="106"/>
      <c r="HL39" s="106"/>
      <c r="HM39" s="106"/>
      <c r="HN39" s="106"/>
      <c r="HO39" s="106"/>
      <c r="HP39" s="106"/>
      <c r="HQ39" s="106"/>
      <c r="HR39" s="106"/>
      <c r="HS39" s="106"/>
      <c r="HT39" s="106"/>
      <c r="HU39" s="106"/>
      <c r="HV39" s="106"/>
      <c r="HW39" s="106"/>
      <c r="HX39" s="106"/>
      <c r="HY39" s="106"/>
      <c r="HZ39" s="106"/>
      <c r="IA39" s="106"/>
    </row>
    <row r="40" spans="1:235" x14ac:dyDescent="0.2">
      <c r="C40" s="47"/>
      <c r="D40" s="47"/>
      <c r="E40" s="47"/>
      <c r="F40" s="47"/>
      <c r="G40" s="47"/>
      <c r="H40" s="47"/>
      <c r="I40" s="47"/>
      <c r="J40" s="47"/>
      <c r="K40" s="47"/>
      <c r="L40" s="47"/>
      <c r="M40" s="47"/>
      <c r="N40" s="47"/>
      <c r="O40" s="47"/>
      <c r="P40" s="47"/>
      <c r="Q40" s="5"/>
      <c r="R40" s="47"/>
      <c r="S40" s="5"/>
      <c r="T40" s="47"/>
      <c r="U40" s="5"/>
      <c r="V40" s="47"/>
      <c r="W40" s="47"/>
      <c r="X40" s="47"/>
      <c r="Y40" s="5"/>
      <c r="Z40" s="47"/>
      <c r="AA40" s="47"/>
      <c r="AB40" s="47"/>
      <c r="AC40" s="5"/>
      <c r="AD40" s="5"/>
      <c r="AE40" s="5"/>
      <c r="AF40" s="5"/>
      <c r="AG40" s="47"/>
      <c r="AH40" s="5"/>
      <c r="AI40" s="47"/>
      <c r="AJ40" s="5"/>
      <c r="AK40" s="47"/>
      <c r="AL40" s="47"/>
      <c r="AM40" s="47"/>
      <c r="AN40" s="5"/>
      <c r="AO40" s="5"/>
      <c r="AP40" s="5"/>
      <c r="AQ40" s="5"/>
      <c r="AR40" s="5"/>
      <c r="AS40" s="47"/>
      <c r="AT40" s="47"/>
      <c r="AU40" s="5"/>
      <c r="AV40" s="5"/>
      <c r="AW40" s="47"/>
      <c r="AX40" s="47"/>
      <c r="AY40" s="47"/>
      <c r="AZ40" s="5"/>
      <c r="BA40" s="47"/>
      <c r="BB40" s="5"/>
      <c r="BC40" s="5"/>
      <c r="BD40" s="47"/>
      <c r="BE40" s="47"/>
      <c r="BF40" s="47"/>
    </row>
    <row r="43" spans="1:235" x14ac:dyDescent="0.2">
      <c r="A43" s="1" t="s">
        <v>983</v>
      </c>
      <c r="B43" s="1">
        <v>1</v>
      </c>
      <c r="C43" s="47">
        <f>+IFERROR(HLOOKUP(C8,'סקרי נכסים-יתרות פתיחה'!$2:$76,72,0),0)-IFERROR(HLOOKUP(C8,'סקרי נכסים-יתרות פתיחה'!$2:$90,87,0),0)</f>
        <v>237768218.65714285</v>
      </c>
      <c r="D43" s="47">
        <f>+IFERROR(HLOOKUP(D8,'סקרי נכסים-יתרות פתיחה'!$2:$76,72,0),0)-IFERROR(HLOOKUP(D8,'סקרי נכסים-יתרות פתיחה'!$2:$90,87,0),0)</f>
        <v>22379828.571428571</v>
      </c>
      <c r="E43" s="47">
        <f>+IFERROR(HLOOKUP(E8,'סקרי נכסים-יתרות פתיחה'!$2:$76,72,0),0)-IFERROR(HLOOKUP(E8,'סקרי נכסים-יתרות פתיחה'!$2:$90,87,0),0)</f>
        <v>192682129.02857143</v>
      </c>
      <c r="F43" s="47">
        <f>+IFERROR(HLOOKUP(F8,'סקרי נכסים-יתרות פתיחה'!$2:$76,72,0),0)-IFERROR(HLOOKUP(F8,'סקרי נכסים-יתרות פתיחה'!$2:$90,87,0),0)</f>
        <v>26886426.899999999</v>
      </c>
      <c r="G43" s="47">
        <f>+IFERROR(HLOOKUP(G8,'סקרי נכסים-יתרות פתיחה'!$2:$76,72,0),0)-IFERROR(HLOOKUP(G8,'סקרי נכסים-יתרות פתיחה'!$2:$90,87,0),0)</f>
        <v>93114313.242857143</v>
      </c>
      <c r="H43" s="47">
        <f>+IFERROR(HLOOKUP(H8,'סקרי נכסים-יתרות פתיחה'!$2:$76,72,0),0)-IFERROR(HLOOKUP(H8,'סקרי נכסים-יתרות פתיחה'!$2:$90,87,0),0)</f>
        <v>873467966.61428571</v>
      </c>
      <c r="I43" s="47">
        <f>+IFERROR(HLOOKUP(I8,'סקרי נכסים-יתרות פתיחה'!$2:$76,72,0),0)-IFERROR(HLOOKUP(I8,'סקרי נכסים-יתרות פתיחה'!$2:$90,87,0),0)</f>
        <v>293958417.21428573</v>
      </c>
      <c r="J43" s="47">
        <f>+IFERROR(HLOOKUP(J8,'סקרי נכסים-יתרות פתיחה'!$2:$76,72,0),0)-IFERROR(HLOOKUP(J8,'סקרי נכסים-יתרות פתיחה'!$2:$90,87,0),0)</f>
        <v>69389520</v>
      </c>
      <c r="K43" s="47">
        <f>+IFERROR(HLOOKUP(K8,'סקרי נכסים-יתרות פתיחה'!$2:$76,72,0),0)-IFERROR(HLOOKUP(K8,'סקרי נכסים-יתרות פתיחה'!$2:$90,87,0),0)</f>
        <v>43380075.557142854</v>
      </c>
      <c r="L43" s="47">
        <f>+IFERROR(HLOOKUP(L8,'סקרי נכסים-יתרות פתיחה'!$2:$76,72,0),0)-IFERROR(HLOOKUP(L8,'סקרי נכסים-יתרות פתיחה'!$2:$90,87,0),0)</f>
        <v>100343003.57142857</v>
      </c>
      <c r="M43" s="47">
        <f>+IFERROR(HLOOKUP(M8,'סקרי נכסים-יתרות פתיחה'!$2:$76,72,0),0)-IFERROR(HLOOKUP(M8,'סקרי נכסים-יתרות פתיחה'!$2:$90,87,0),0)</f>
        <v>130406228.57142857</v>
      </c>
      <c r="N43" s="47">
        <f>+IFERROR(HLOOKUP(N8,'סקרי נכסים-יתרות פתיחה'!$2:$76,72,0),0)-IFERROR(HLOOKUP(N8,'סקרי נכסים-יתרות פתיחה'!$2:$90,87,0),0)</f>
        <v>210697186.67142856</v>
      </c>
      <c r="O43" s="47">
        <f>+IFERROR(HLOOKUP(O8,'סקרי נכסים-יתרות פתיחה'!$2:$76,72,0),0)-IFERROR(HLOOKUP(O8,'סקרי נכסים-יתרות פתיחה'!$2:$90,87,0),0)</f>
        <v>101596011.77142857</v>
      </c>
      <c r="P43" s="47">
        <f>+IFERROR(HLOOKUP(P8,'סקרי נכסים-יתרות פתיחה'!$2:$76,72,0),0)-IFERROR(HLOOKUP(P8,'סקרי נכסים-יתרות פתיחה'!$2:$90,87,0),0)</f>
        <v>31678539.857142858</v>
      </c>
      <c r="Q43" s="47">
        <f>+IFERROR(HLOOKUP(Q8,'סקרי נכסים-יתרות פתיחה'!$2:$76,72,0),0)-IFERROR(HLOOKUP(Q8,'סקרי נכסים-יתרות פתיחה'!$2:$90,87,0),0)</f>
        <v>65131364.31428571</v>
      </c>
      <c r="R43" s="47">
        <f>+IFERROR(HLOOKUP(R8,'סקרי נכסים-יתרות פתיחה'!$2:$76,72,0),0)-IFERROR(HLOOKUP(R8,'סקרי נכסים-יתרות פתיחה'!$2:$90,87,0),0)</f>
        <v>42639539.700000003</v>
      </c>
      <c r="S43" s="47">
        <f>+IFERROR(HLOOKUP(S8,'סקרי נכסים-יתרות פתיחה'!$2:$76,72,0),0)-IFERROR(HLOOKUP(S8,'סקרי נכסים-יתרות פתיחה'!$2:$90,87,0),0)</f>
        <v>30412737.600000001</v>
      </c>
      <c r="T43" s="47">
        <f>+IFERROR(HLOOKUP(T8,'סקרי נכסים-יתרות פתיחה'!$2:$76,72,0),0)-IFERROR(HLOOKUP(T8,'סקרי נכסים-יתרות פתיחה'!$2:$90,87,0),0)</f>
        <v>39164397.085714288</v>
      </c>
      <c r="U43" s="47">
        <f>+IFERROR(HLOOKUP(U8,'סקרי נכסים-יתרות פתיחה'!$2:$76,72,0),0)-IFERROR(HLOOKUP(U8,'סקרי נכסים-יתרות פתיחה'!$2:$90,87,0),0)</f>
        <v>82343076.171428576</v>
      </c>
      <c r="V43" s="47">
        <f>+IFERROR(HLOOKUP(V8,'סקרי נכסים-יתרות פתיחה'!$2:$76,72,0),0)-IFERROR(HLOOKUP(V8,'סקרי נכסים-יתרות פתיחה'!$2:$90,87,0),0)</f>
        <v>13792810.328571428</v>
      </c>
      <c r="W43" s="47">
        <f>+IFERROR(HLOOKUP(W8,'סקרי נכסים-יתרות פתיחה'!$2:$76,72,0),0)-IFERROR(HLOOKUP(W8,'סקרי נכסים-יתרות פתיחה'!$2:$90,87,0),0)</f>
        <v>34727209.285714284</v>
      </c>
      <c r="X43" s="47">
        <f>+IFERROR(HLOOKUP(X8,'סקרי נכסים-יתרות פתיחה'!$2:$76,72,0),0)-IFERROR(HLOOKUP(X8,'סקרי נכסים-יתרות פתיחה'!$2:$90,87,0),0)</f>
        <v>47291067.857142858</v>
      </c>
      <c r="Y43" s="47">
        <f>+IFERROR(HLOOKUP(Y8,'סקרי נכסים-יתרות פתיחה'!$2:$76,72,0),0)-IFERROR(HLOOKUP(Y8,'סקרי נכסים-יתרות פתיחה'!$2:$90,87,0),0)</f>
        <v>29659306.714285713</v>
      </c>
      <c r="Z43" s="47">
        <f>+IFERROR(HLOOKUP(Z8,'סקרי נכסים-יתרות פתיחה'!$2:$76,72,0),0)-IFERROR(HLOOKUP(Z8,'סקרי נכסים-יתרות פתיחה'!$2:$90,87,0),0)</f>
        <v>49089081.557142854</v>
      </c>
      <c r="AA43" s="47">
        <f>+IFERROR(HLOOKUP(AA8,'סקרי נכסים-יתרות פתיחה'!$2:$76,72,0),0)-IFERROR(HLOOKUP(AA8,'סקרי נכסים-יתרות פתיחה'!$2:$90,87,0),0)</f>
        <v>124930097.85714287</v>
      </c>
      <c r="AB43" s="47">
        <f>+IFERROR(HLOOKUP(AB8,'סקרי נכסים-יתרות פתיחה'!$2:$76,72,0),0)-IFERROR(HLOOKUP(AB8,'סקרי נכסים-יתרות פתיחה'!$2:$90,87,0),0)</f>
        <v>46020586.714285716</v>
      </c>
      <c r="AC43" s="47">
        <f>+IFERROR(HLOOKUP(AC8,'סקרי נכסים-יתרות פתיחה'!$2:$76,72,0),0)-IFERROR(HLOOKUP(AC8,'סקרי נכסים-יתרות פתיחה'!$2:$90,87,0),0)</f>
        <v>126636538</v>
      </c>
      <c r="AD43" s="47">
        <f>+IFERROR(HLOOKUP(AD8,'סקרי נכסים-יתרות פתיחה'!$2:$76,72,0),0)-IFERROR(HLOOKUP(AD8,'סקרי נכסים-יתרות פתיחה'!$2:$90,87,0),0)</f>
        <v>54671243.828571424</v>
      </c>
      <c r="AE43" s="47">
        <f>+IFERROR(HLOOKUP(AE8,'סקרי נכסים-יתרות פתיחה'!$2:$76,72,0),0)-IFERROR(HLOOKUP(AE8,'סקרי נכסים-יתרות פתיחה'!$2:$90,87,0),0)</f>
        <v>445026415.39999998</v>
      </c>
      <c r="AF43" s="47">
        <f>+IFERROR(HLOOKUP(AF8,'סקרי נכסים-יתרות פתיחה'!$2:$76,72,0),0)-IFERROR(HLOOKUP(AF8,'סקרי נכסים-יתרות פתיחה'!$2:$90,87,0),0)</f>
        <v>26004534.300000001</v>
      </c>
      <c r="AG43" s="47">
        <f>+IFERROR(HLOOKUP(AG8,'סקרי נכסים-יתרות פתיחה'!$2:$76,72,0),0)-IFERROR(HLOOKUP(AG8,'סקרי נכסים-יתרות פתיחה'!$2:$90,87,0),0)</f>
        <v>51370831.371428572</v>
      </c>
      <c r="AH43" s="47">
        <f>+IFERROR(HLOOKUP(AH8,'סקרי נכסים-יתרות פתיחה'!$2:$76,72,0),0)-IFERROR(HLOOKUP(AH8,'סקרי נכסים-יתרות פתיחה'!$2:$90,87,0),0)</f>
        <v>47769687.142857142</v>
      </c>
      <c r="AI43" s="47">
        <f>+IFERROR(HLOOKUP(AI8,'סקרי נכסים-יתרות פתיחה'!$2:$76,72,0),0)-IFERROR(HLOOKUP(AI8,'סקרי נכסים-יתרות פתיחה'!$2:$90,87,0),0)</f>
        <v>46046871.857142858</v>
      </c>
      <c r="AJ43" s="47">
        <f>+IFERROR(HLOOKUP(AJ8,'סקרי נכסים-יתרות פתיחה'!$2:$76,72,0),0)-IFERROR(HLOOKUP(AJ8,'סקרי נכסים-יתרות פתיחה'!$2:$90,87,0),0)</f>
        <v>19903722.514285713</v>
      </c>
      <c r="AK43" s="47">
        <f>+IFERROR(HLOOKUP(AK8,'סקרי נכסים-יתרות פתיחה'!$2:$76,72,0),0)-IFERROR(HLOOKUP(AK8,'סקרי נכסים-יתרות פתיחה'!$2:$90,87,0),0)</f>
        <v>26073448.971428573</v>
      </c>
      <c r="AL43" s="47">
        <f>+IFERROR(HLOOKUP(AL8,'סקרי נכסים-יתרות פתיחה'!$2:$76,72,0),0)-IFERROR(HLOOKUP(AL8,'סקרי נכסים-יתרות פתיחה'!$2:$90,87,0),0)</f>
        <v>543019869.39999998</v>
      </c>
      <c r="AM43" s="47">
        <f>+IFERROR(HLOOKUP(AM8,'סקרי נכסים-יתרות פתיחה'!$2:$76,72,0),0)-IFERROR(HLOOKUP(AM8,'סקרי נכסים-יתרות פתיחה'!$2:$90,87,0),0)</f>
        <v>19443872.27142857</v>
      </c>
      <c r="AN43" s="47">
        <f>+IFERROR(HLOOKUP(AN8,'סקרי נכסים-יתרות פתיחה'!$2:$76,72,0),0)-IFERROR(HLOOKUP(AN8,'סקרי נכסים-יתרות פתיחה'!$2:$90,87,0),0)</f>
        <v>14242795.014285713</v>
      </c>
      <c r="AO43" s="47">
        <f>+IFERROR(HLOOKUP(AO8,'סקרי נכסים-יתרות פתיחה'!$2:$76,72,0),0)-IFERROR(HLOOKUP(AO8,'סקרי נכסים-יתרות פתיחה'!$2:$90,87,0),0)</f>
        <v>163387460.57142857</v>
      </c>
      <c r="AP43" s="47">
        <f>+IFERROR(HLOOKUP(AP8,'סקרי נכסים-יתרות פתיחה'!$2:$76,72,0),0)-IFERROR(HLOOKUP(AP8,'סקרי נכסים-יתרות פתיחה'!$2:$90,87,0),0)</f>
        <v>45305821.857142858</v>
      </c>
      <c r="AQ43" s="47">
        <f>+IFERROR(HLOOKUP(AQ8,'סקרי נכסים-יתרות פתיחה'!$2:$76,72,0),0)-IFERROR(HLOOKUP(AQ8,'סקרי נכסים-יתרות פתיחה'!$2:$90,87,0),0)</f>
        <v>68289320.657142863</v>
      </c>
      <c r="AR43" s="47">
        <f>+IFERROR(HLOOKUP(AR8,'סקרי נכסים-יתרות פתיחה'!$2:$76,72,0),0)-IFERROR(HLOOKUP(AR8,'סקרי נכסים-יתרות פתיחה'!$2:$90,87,0),0)</f>
        <v>39297267.757142857</v>
      </c>
      <c r="AS43" s="47">
        <f>+IFERROR(HLOOKUP(AS8,'סקרי נכסים-יתרות פתיחה'!$2:$76,72,0),0)-IFERROR(HLOOKUP(AS8,'סקרי נכסים-יתרות פתיחה'!$2:$90,87,0),0)</f>
        <v>32124654.428571429</v>
      </c>
      <c r="AT43" s="47">
        <f>+IFERROR(HLOOKUP(AT8,'סקרי נכסים-יתרות פתיחה'!$2:$76,72,0),0)-IFERROR(HLOOKUP(AT8,'סקרי נכסים-יתרות פתיחה'!$2:$90,87,0),0)</f>
        <v>46792362.257142857</v>
      </c>
      <c r="AU43" s="47">
        <f>+IFERROR(HLOOKUP(AU8,'סקרי נכסים-יתרות פתיחה'!$2:$76,72,0),0)-IFERROR(HLOOKUP(AU8,'סקרי נכסים-יתרות פתיחה'!$2:$90,87,0),0)</f>
        <v>62406171.142857142</v>
      </c>
      <c r="AV43" s="47">
        <f>+IFERROR(HLOOKUP(AV8,'סקרי נכסים-יתרות פתיחה'!$2:$76,72,0),0)-IFERROR(HLOOKUP(AV8,'סקרי נכסים-יתרות פתיחה'!$2:$90,87,0),0)</f>
        <v>88118043.27142857</v>
      </c>
      <c r="AW43" s="47">
        <f>+IFERROR(HLOOKUP(AW8,'סקרי נכסים-יתרות פתיחה'!$2:$76,72,0),0)-IFERROR(HLOOKUP(AW8,'סקרי נכסים-יתרות פתיחה'!$2:$90,87,0),0)</f>
        <v>57768368.257142857</v>
      </c>
      <c r="AX43" s="47">
        <f>+IFERROR(HLOOKUP(AX8,'סקרי נכסים-יתרות פתיחה'!$2:$76,72,0),0)-IFERROR(HLOOKUP(AX8,'סקרי נכסים-יתרות פתיחה'!$2:$90,87,0),0)</f>
        <v>0</v>
      </c>
      <c r="AY43" s="47">
        <f>+IFERROR(HLOOKUP(AY8,'סקרי נכסים-יתרות פתיחה'!$2:$76,72,0),0)-IFERROR(HLOOKUP(AY8,'סקרי נכסים-יתרות פתיחה'!$2:$90,87,0),0)</f>
        <v>21184274.5</v>
      </c>
      <c r="AZ43" s="47">
        <f>+IFERROR(HLOOKUP(AZ8,'סקרי נכסים-יתרות פתיחה'!$2:$76,72,0),0)-IFERROR(HLOOKUP(AZ8,'סקרי נכסים-יתרות פתיחה'!$2:$90,87,0),0)</f>
        <v>20059148.714285716</v>
      </c>
      <c r="BA43" s="47">
        <f>+IFERROR(HLOOKUP(BA8,'סקרי נכסים-יתרות פתיחה'!$2:$76,72,0),0)-IFERROR(HLOOKUP(BA8,'סקרי נכסים-יתרות פתיחה'!$2:$90,87,0),0)</f>
        <v>30256337.857142858</v>
      </c>
      <c r="BB43" s="47">
        <f>+IFERROR(HLOOKUP(BB8,'סקרי נכסים-יתרות פתיחה'!$2:$76,72,0),0)-IFERROR(HLOOKUP(BB8,'סקרי נכסים-יתרות פתיחה'!$2:$90,87,0),0)</f>
        <v>13043871.714285715</v>
      </c>
      <c r="BC43" s="47">
        <f>+IFERROR(HLOOKUP(BC8,'סקרי נכסים-יתרות פתיחה'!$2:$76,72,0),0)-IFERROR(HLOOKUP(BC8,'סקרי נכסים-יתרות פתיחה'!$2:$90,87,0),0)</f>
        <v>5987609.6619047625</v>
      </c>
      <c r="BD43" s="47">
        <f>+IFERROR(HLOOKUP(BD8,'סקרי נכסים-יתרות פתיחה'!$2:$76,72,0),0)-IFERROR(HLOOKUP(BD8,'סקרי נכסים-יתרות פתיחה'!$2:$90,87,0),0)</f>
        <v>0</v>
      </c>
      <c r="BE43" s="47">
        <f>+IFERROR(HLOOKUP(BE8,'סקרי נכסים-יתרות פתיחה'!$2:$76,72,0),0)-IFERROR(HLOOKUP(BE8,'סקרי נכסים-יתרות פתיחה'!$2:$90,87,0),0)</f>
        <v>17904395.142857142</v>
      </c>
      <c r="BF43" s="47">
        <f>+IFERROR(HLOOKUP(BF8,'סקרי נכסים-יתרות פתיחה'!$2:$76,72,0),0)-IFERROR(HLOOKUP(BF8,'סקרי נכסים-יתרות פתיחה'!$2:$90,87,0),0)</f>
        <v>94580449</v>
      </c>
    </row>
    <row r="44" spans="1:235" x14ac:dyDescent="0.2">
      <c r="B44" s="1">
        <v>2</v>
      </c>
      <c r="C44" s="47">
        <f>+IFERROR(HLOOKUP(C9,'סקרי נכסים-יתרות פתיחה'!$2:$76,72,0),0)-IFERROR(HLOOKUP(C9,'סקרי נכסים-יתרות פתיחה'!$2:$90,87,0),0)</f>
        <v>16225347.257142857</v>
      </c>
      <c r="D44" s="47">
        <f>+IFERROR(HLOOKUP(D9,'סקרי נכסים-יתרות פתיחה'!$2:$76,72,0),0)-IFERROR(HLOOKUP(D9,'סקרי נכסים-יתרות פתיחה'!$2:$90,87,0),0)</f>
        <v>5199360.8571428573</v>
      </c>
      <c r="E44" s="47">
        <f>+IFERROR(HLOOKUP(E9,'סקרי נכסים-יתרות פתיחה'!$2:$76,72,0),0)-IFERROR(HLOOKUP(E9,'סקרי נכסים-יתרות פתיחה'!$2:$90,87,0),0)</f>
        <v>0</v>
      </c>
      <c r="F44" s="47">
        <f>+IFERROR(HLOOKUP(F9,'סקרי נכסים-יתרות פתיחה'!$2:$76,72,0),0)-IFERROR(HLOOKUP(F9,'סקרי נכסים-יתרות פתיחה'!$2:$90,87,0),0)</f>
        <v>10372254.985714287</v>
      </c>
      <c r="G44" s="47">
        <f>+IFERROR(HLOOKUP(G9,'סקרי נכסים-יתרות פתיחה'!$2:$76,72,0),0)-IFERROR(HLOOKUP(G9,'סקרי נכסים-יתרות פתיחה'!$2:$90,87,0),0)</f>
        <v>0</v>
      </c>
      <c r="H44" s="47">
        <f>+IFERROR(HLOOKUP(H9,'סקרי נכסים-יתרות פתיחה'!$2:$76,72,0),0)-IFERROR(HLOOKUP(H9,'סקרי נכסים-יתרות פתיחה'!$2:$90,87,0),0)</f>
        <v>4268553.0714285718</v>
      </c>
      <c r="I44" s="47">
        <f>+IFERROR(HLOOKUP(I9,'סקרי נכסים-יתרות פתיחה'!$2:$76,72,0),0)-IFERROR(HLOOKUP(I9,'סקרי נכסים-יתרות פתיחה'!$2:$90,87,0),0)</f>
        <v>0</v>
      </c>
      <c r="J44" s="47">
        <f>+IFERROR(HLOOKUP(J9,'סקרי נכסים-יתרות פתיחה'!$2:$76,72,0),0)-IFERROR(HLOOKUP(J9,'סקרי נכסים-יתרות פתיחה'!$2:$90,87,0),0)</f>
        <v>0</v>
      </c>
      <c r="K44" s="47">
        <f>+IFERROR(HLOOKUP(K9,'סקרי נכסים-יתרות פתיחה'!$2:$76,72,0),0)-IFERROR(HLOOKUP(K9,'סקרי נכסים-יתרות פתיחה'!$2:$90,87,0),0)</f>
        <v>29687147.142857142</v>
      </c>
      <c r="L44" s="47">
        <f>+IFERROR(HLOOKUP(L9,'סקרי נכסים-יתרות פתיחה'!$2:$76,72,0),0)-IFERROR(HLOOKUP(L9,'סקרי נכסים-יתרות פתיחה'!$2:$90,87,0),0)</f>
        <v>7612363.0285714287</v>
      </c>
      <c r="M44" s="47">
        <f>+IFERROR(HLOOKUP(M9,'סקרי נכסים-יתרות פתיחה'!$2:$76,72,0),0)-IFERROR(HLOOKUP(M9,'סקרי נכסים-יתרות פתיחה'!$2:$90,87,0),0)</f>
        <v>0</v>
      </c>
      <c r="N44" s="47">
        <f>+IFERROR(HLOOKUP(N9,'סקרי נכסים-יתרות פתיחה'!$2:$76,72,0),0)-IFERROR(HLOOKUP(N9,'סקרי נכסים-יתרות פתיחה'!$2:$90,87,0),0)</f>
        <v>26369647.114285715</v>
      </c>
      <c r="O44" s="47">
        <f>+IFERROR(HLOOKUP(O9,'סקרי נכסים-יתרות פתיחה'!$2:$76,72,0),0)-IFERROR(HLOOKUP(O9,'סקרי נכסים-יתרות פתיחה'!$2:$90,87,0),0)</f>
        <v>9354864.4285714291</v>
      </c>
      <c r="P44" s="47">
        <f>+IFERROR(HLOOKUP(P9,'סקרי נכסים-יתרות פתיחה'!$2:$76,72,0),0)-IFERROR(HLOOKUP(P9,'סקרי נכסים-יתרות פתיחה'!$2:$90,87,0),0)</f>
        <v>15426414.857142856</v>
      </c>
      <c r="Q44" s="47">
        <f>+IFERROR(HLOOKUP(Q9,'סקרי נכסים-יתרות פתיחה'!$2:$76,72,0),0)-IFERROR(HLOOKUP(Q9,'סקרי נכסים-יתרות פתיחה'!$2:$90,87,0),0)</f>
        <v>0</v>
      </c>
      <c r="R44" s="47">
        <f>+IFERROR(HLOOKUP(R9,'סקרי נכסים-יתרות פתיחה'!$2:$76,72,0),0)-IFERROR(HLOOKUP(R9,'סקרי נכסים-יתרות פתיחה'!$2:$90,87,0),0)</f>
        <v>10521451.285714285</v>
      </c>
      <c r="S44" s="47">
        <f>+IFERROR(HLOOKUP(S9,'סקרי נכסים-יתרות פתיחה'!$2:$76,72,0),0)-IFERROR(HLOOKUP(S9,'סקרי נכסים-יתרות פתיחה'!$2:$90,87,0),0)</f>
        <v>0</v>
      </c>
      <c r="T44" s="47">
        <f>+IFERROR(HLOOKUP(T9,'סקרי נכסים-יתרות פתיחה'!$2:$76,72,0),0)-IFERROR(HLOOKUP(T9,'סקרי נכסים-יתרות פתיחה'!$2:$90,87,0),0)</f>
        <v>27530423</v>
      </c>
      <c r="U44" s="47">
        <f>+IFERROR(HLOOKUP(U9,'סקרי נכסים-יתרות פתיחה'!$2:$76,72,0),0)-IFERROR(HLOOKUP(U9,'סקרי נכסים-יתרות פתיחה'!$2:$90,87,0),0)</f>
        <v>0</v>
      </c>
      <c r="V44" s="47">
        <f>+IFERROR(HLOOKUP(V9,'סקרי נכסים-יתרות פתיחה'!$2:$76,72,0),0)-IFERROR(HLOOKUP(V9,'סקרי נכסים-יתרות פתיחה'!$2:$90,87,0),0)</f>
        <v>8967069</v>
      </c>
      <c r="W44" s="47">
        <f>+IFERROR(HLOOKUP(W9,'סקרי נכסים-יתרות פתיחה'!$2:$76,72,0),0)-IFERROR(HLOOKUP(W9,'סקרי נכסים-יתרות פתיחה'!$2:$90,87,0),0)</f>
        <v>5697849.1428571427</v>
      </c>
      <c r="X44" s="47">
        <f>+IFERROR(HLOOKUP(X9,'סקרי נכסים-יתרות פתיחה'!$2:$76,72,0),0)-IFERROR(HLOOKUP(X9,'סקרי נכסים-יתרות פתיחה'!$2:$90,87,0),0)</f>
        <v>12362624.142857142</v>
      </c>
      <c r="Y44" s="47">
        <f>+IFERROR(HLOOKUP(Y9,'סקרי נכסים-יתרות פתיחה'!$2:$76,72,0),0)-IFERROR(HLOOKUP(Y9,'סקרי נכסים-יתרות פתיחה'!$2:$90,87,0),0)</f>
        <v>8730406.6285714284</v>
      </c>
      <c r="Z44" s="47">
        <f>+IFERROR(HLOOKUP(Z9,'סקרי נכסים-יתרות פתיחה'!$2:$76,72,0),0)-IFERROR(HLOOKUP(Z9,'סקרי נכסים-יתרות פתיחה'!$2:$90,87,0),0)</f>
        <v>0</v>
      </c>
      <c r="AA44" s="47">
        <f>+IFERROR(HLOOKUP(AA9,'סקרי נכסים-יתרות פתיחה'!$2:$76,72,0),0)-IFERROR(HLOOKUP(AA9,'סקרי נכסים-יתרות פתיחה'!$2:$90,87,0),0)</f>
        <v>0</v>
      </c>
      <c r="AB44" s="47">
        <f>+IFERROR(HLOOKUP(AB9,'סקרי נכסים-יתרות פתיחה'!$2:$76,72,0),0)-IFERROR(HLOOKUP(AB9,'סקרי נכסים-יתרות פתיחה'!$2:$90,87,0),0)</f>
        <v>0</v>
      </c>
      <c r="AC44" s="47">
        <f>+IFERROR(HLOOKUP(AC9,'סקרי נכסים-יתרות פתיחה'!$2:$76,72,0),0)-IFERROR(HLOOKUP(AC9,'סקרי נכסים-יתרות פתיחה'!$2:$90,87,0),0)</f>
        <v>0</v>
      </c>
      <c r="AD44" s="47">
        <f>+IFERROR(HLOOKUP(AD9,'סקרי נכסים-יתרות פתיחה'!$2:$76,72,0),0)-IFERROR(HLOOKUP(AD9,'סקרי נכסים-יתרות פתיחה'!$2:$90,87,0),0)</f>
        <v>0</v>
      </c>
      <c r="AE44" s="47">
        <f>+IFERROR(HLOOKUP(AE9,'סקרי נכסים-יתרות פתיחה'!$2:$76,72,0),0)-IFERROR(HLOOKUP(AE9,'סקרי נכסים-יתרות פתיחה'!$2:$90,87,0),0)</f>
        <v>0</v>
      </c>
      <c r="AF44" s="47">
        <f>+IFERROR(HLOOKUP(AF9,'סקרי נכסים-יתרות פתיחה'!$2:$76,72,0),0)-IFERROR(HLOOKUP(AF9,'סקרי נכסים-יתרות פתיחה'!$2:$90,87,0),0)</f>
        <v>29918057.142857142</v>
      </c>
      <c r="AG44" s="47">
        <f>+IFERROR(HLOOKUP(AG9,'סקרי נכסים-יתרות פתיחה'!$2:$76,72,0),0)-IFERROR(HLOOKUP(AG9,'סקרי נכסים-יתרות פתיחה'!$2:$90,87,0),0)</f>
        <v>0</v>
      </c>
      <c r="AH44" s="47">
        <f>+IFERROR(HLOOKUP(AH9,'סקרי נכסים-יתרות פתיחה'!$2:$76,72,0),0)-IFERROR(HLOOKUP(AH9,'סקרי נכסים-יתרות פתיחה'!$2:$90,87,0),0)</f>
        <v>0</v>
      </c>
      <c r="AI44" s="47">
        <f>+IFERROR(HLOOKUP(AI9,'סקרי נכסים-יתרות פתיחה'!$2:$76,72,0),0)-IFERROR(HLOOKUP(AI9,'סקרי נכסים-יתרות פתיחה'!$2:$90,87,0),0)</f>
        <v>0</v>
      </c>
      <c r="AJ44" s="47">
        <f>+IFERROR(HLOOKUP(AJ9,'סקרי נכסים-יתרות פתיחה'!$2:$76,72,0),0)-IFERROR(HLOOKUP(AJ9,'סקרי נכסים-יתרות פתיחה'!$2:$90,87,0),0)</f>
        <v>8445194.0571428575</v>
      </c>
      <c r="AK44" s="47">
        <f>+IFERROR(HLOOKUP(AK9,'סקרי נכסים-יתרות פתיחה'!$2:$76,72,0),0)-IFERROR(HLOOKUP(AK9,'סקרי נכסים-יתרות פתיחה'!$2:$90,87,0),0)</f>
        <v>0</v>
      </c>
      <c r="AL44" s="47">
        <f>+IFERROR(HLOOKUP(AL9,'סקרי נכסים-יתרות פתיחה'!$2:$76,72,0),0)-IFERROR(HLOOKUP(AL9,'סקרי נכסים-יתרות פתיחה'!$2:$90,87,0),0)</f>
        <v>0</v>
      </c>
      <c r="AM44" s="47">
        <f>+IFERROR(HLOOKUP(AM9,'סקרי נכסים-יתרות פתיחה'!$2:$76,72,0),0)-IFERROR(HLOOKUP(AM9,'סקרי נכסים-יתרות פתיחה'!$2:$90,87,0),0)</f>
        <v>24253569.128571428</v>
      </c>
      <c r="AN44" s="47">
        <f>+IFERROR(HLOOKUP(AN9,'סקרי נכסים-יתרות פתיחה'!$2:$76,72,0),0)-IFERROR(HLOOKUP(AN9,'סקרי נכסים-יתרות פתיחה'!$2:$90,87,0),0)</f>
        <v>8467305.4285714291</v>
      </c>
      <c r="AO44" s="47">
        <f>+IFERROR(HLOOKUP(AO9,'סקרי נכסים-יתרות פתיחה'!$2:$76,72,0),0)-IFERROR(HLOOKUP(AO9,'סקרי נכסים-יתרות פתיחה'!$2:$90,87,0),0)</f>
        <v>0</v>
      </c>
      <c r="AP44" s="47">
        <f>+IFERROR(HLOOKUP(AP9,'סקרי נכסים-יתרות פתיחה'!$2:$76,72,0),0)-IFERROR(HLOOKUP(AP9,'סקרי נכסים-יתרות פתיחה'!$2:$90,87,0),0)</f>
        <v>0</v>
      </c>
      <c r="AQ44" s="47">
        <f>+IFERROR(HLOOKUP(AQ9,'סקרי נכסים-יתרות פתיחה'!$2:$76,72,0),0)-IFERROR(HLOOKUP(AQ9,'סקרי נכסים-יתרות פתיחה'!$2:$90,87,0),0)</f>
        <v>0</v>
      </c>
      <c r="AR44" s="47">
        <f>+IFERROR(HLOOKUP(AR9,'סקרי נכסים-יתרות פתיחה'!$2:$76,72,0),0)-IFERROR(HLOOKUP(AR9,'סקרי נכסים-יתרות פתיחה'!$2:$90,87,0),0)</f>
        <v>31596175</v>
      </c>
      <c r="AS44" s="47">
        <f>+IFERROR(HLOOKUP(AS9,'סקרי נכסים-יתרות פתיחה'!$2:$76,72,0),0)-IFERROR(HLOOKUP(AS9,'סקרי נכסים-יתרות פתיחה'!$2:$90,87,0),0)</f>
        <v>8968656.8571428563</v>
      </c>
      <c r="AT44" s="47">
        <f>+IFERROR(HLOOKUP(AT9,'סקרי נכסים-יתרות פתיחה'!$2:$76,72,0),0)-IFERROR(HLOOKUP(AT9,'סקרי נכסים-יתרות פתיחה'!$2:$90,87,0),0)</f>
        <v>0</v>
      </c>
      <c r="AU44" s="47">
        <f>+IFERROR(HLOOKUP(AU9,'סקרי נכסים-יתרות פתיחה'!$2:$76,72,0),0)-IFERROR(HLOOKUP(AU9,'סקרי נכסים-יתרות פתיחה'!$2:$90,87,0),0)</f>
        <v>0</v>
      </c>
      <c r="AV44" s="47">
        <f>+IFERROR(HLOOKUP(AV9,'סקרי נכסים-יתרות פתיחה'!$2:$76,72,0),0)-IFERROR(HLOOKUP(AV9,'סקרי נכסים-יתרות פתיחה'!$2:$90,87,0),0)</f>
        <v>25350599.957142856</v>
      </c>
      <c r="AW44" s="47">
        <f>+IFERROR(HLOOKUP(AW9,'סקרי נכסים-יתרות פתיחה'!$2:$76,72,0),0)-IFERROR(HLOOKUP(AW9,'סקרי נכסים-יתרות פתיחה'!$2:$90,87,0),0)</f>
        <v>0</v>
      </c>
      <c r="AX44" s="47">
        <f>+IFERROR(HLOOKUP(AX9,'סקרי נכסים-יתרות פתיחה'!$2:$76,72,0),0)-IFERROR(HLOOKUP(AX9,'סקרי נכסים-יתרות פתיחה'!$2:$90,87,0),0)</f>
        <v>7635069.3571428573</v>
      </c>
      <c r="AY44" s="47">
        <f>+IFERROR(HLOOKUP(AY9,'סקרי נכסים-יתרות פתיחה'!$2:$76,72,0),0)-IFERROR(HLOOKUP(AY9,'סקרי נכסים-יתרות פתיחה'!$2:$90,87,0),0)</f>
        <v>0</v>
      </c>
      <c r="AZ44" s="47">
        <f>+IFERROR(HLOOKUP(AZ9,'סקרי נכסים-יתרות פתיחה'!$2:$76,72,0),0)-IFERROR(HLOOKUP(AZ9,'סקרי נכסים-יתרות פתיחה'!$2:$90,87,0),0)</f>
        <v>23255518.385714285</v>
      </c>
      <c r="BA44" s="47">
        <f>+IFERROR(HLOOKUP(BA9,'סקרי נכסים-יתרות פתיחה'!$2:$76,72,0),0)-IFERROR(HLOOKUP(BA9,'סקרי נכסים-יתרות פתיחה'!$2:$90,87,0),0)</f>
        <v>30648814.285714284</v>
      </c>
      <c r="BB44" s="47">
        <f>+IFERROR(HLOOKUP(BB9,'סקרי נכסים-יתרות פתיחה'!$2:$76,72,0),0)-IFERROR(HLOOKUP(BB9,'סקרי נכסים-יתרות פתיחה'!$2:$90,87,0),0)</f>
        <v>16462892.214285715</v>
      </c>
      <c r="BC44" s="47">
        <f>+IFERROR(HLOOKUP(BC9,'סקרי נכסים-יתרות פתיחה'!$2:$76,72,0),0)-IFERROR(HLOOKUP(BC9,'סקרי נכסים-יתרות פתיחה'!$2:$90,87,0),0)</f>
        <v>7033002.2857142854</v>
      </c>
      <c r="BD44" s="47">
        <f>+IFERROR(HLOOKUP(BD9,'סקרי נכסים-יתרות פתיחה'!$2:$76,72,0),0)-IFERROR(HLOOKUP(BD9,'סקרי נכסים-יתרות פתיחה'!$2:$90,87,0),0)</f>
        <v>15106737.142857142</v>
      </c>
      <c r="BE44" s="47">
        <f>+IFERROR(HLOOKUP(BE9,'סקרי נכסים-יתרות פתיחה'!$2:$76,72,0),0)-IFERROR(HLOOKUP(BE9,'סקרי נכסים-יתרות פתיחה'!$2:$90,87,0),0)</f>
        <v>0</v>
      </c>
      <c r="BF44" s="47">
        <f>+IFERROR(HLOOKUP(BF9,'סקרי נכסים-יתרות פתיחה'!$2:$76,72,0),0)-IFERROR(HLOOKUP(BF9,'סקרי נכסים-יתרות פתיחה'!$2:$90,87,0),0)</f>
        <v>0</v>
      </c>
    </row>
    <row r="45" spans="1:235" x14ac:dyDescent="0.2">
      <c r="B45" s="1">
        <v>3</v>
      </c>
      <c r="C45" s="47">
        <f>+IFERROR(HLOOKUP(C10,'סקרי נכסים-יתרות פתיחה'!$2:$76,72,0),0)-IFERROR(HLOOKUP(C10,'סקרי נכסים-יתרות פתיחה'!$2:$90,87,0),0)</f>
        <v>4426381.4428571425</v>
      </c>
      <c r="D45" s="47">
        <f>+IFERROR(HLOOKUP(D10,'סקרי נכסים-יתרות פתיחה'!$2:$76,72,0),0)-IFERROR(HLOOKUP(D10,'סקרי נכסים-יתרות פתיחה'!$2:$90,87,0),0)</f>
        <v>10550972.785714285</v>
      </c>
      <c r="E45" s="47">
        <f>+IFERROR(HLOOKUP(E10,'סקרי נכסים-יתרות פתיחה'!$2:$76,72,0),0)-IFERROR(HLOOKUP(E10,'סקרי נכסים-יתרות פתיחה'!$2:$90,87,0),0)</f>
        <v>0</v>
      </c>
      <c r="F45" s="47">
        <f>+IFERROR(HLOOKUP(F10,'סקרי נכסים-יתרות פתיחה'!$2:$76,72,0),0)-IFERROR(HLOOKUP(F10,'סקרי נכסים-יתרות פתיחה'!$2:$90,87,0),0)</f>
        <v>0</v>
      </c>
      <c r="G45" s="47">
        <f>+IFERROR(HLOOKUP(G10,'סקרי נכסים-יתרות פתיחה'!$2:$76,72,0),0)-IFERROR(HLOOKUP(G10,'סקרי נכסים-יתרות פתיחה'!$2:$90,87,0),0)</f>
        <v>0</v>
      </c>
      <c r="H45" s="47">
        <f>+IFERROR(HLOOKUP(H10,'סקרי נכסים-יתרות פתיחה'!$2:$76,72,0),0)-IFERROR(HLOOKUP(H10,'סקרי נכסים-יתרות פתיחה'!$2:$90,87,0),0)</f>
        <v>29578899.128571428</v>
      </c>
      <c r="I45" s="47">
        <f>+IFERROR(HLOOKUP(I10,'סקרי נכסים-יתרות פתיחה'!$2:$76,72,0),0)-IFERROR(HLOOKUP(I10,'סקרי נכסים-יתרות פתיחה'!$2:$90,87,0),0)</f>
        <v>0</v>
      </c>
      <c r="J45" s="47">
        <f>+IFERROR(HLOOKUP(J10,'סקרי נכסים-יתרות פתיחה'!$2:$76,72,0),0)-IFERROR(HLOOKUP(J10,'סקרי נכסים-יתרות פתיחה'!$2:$90,87,0),0)</f>
        <v>0</v>
      </c>
      <c r="K45" s="47">
        <f>+IFERROR(HLOOKUP(K10,'סקרי נכסים-יתרות פתיחה'!$2:$76,72,0),0)-IFERROR(HLOOKUP(K10,'סקרי נכסים-יתרות פתיחה'!$2:$90,87,0),0)</f>
        <v>43708828.114285715</v>
      </c>
      <c r="L45" s="47">
        <f>+IFERROR(HLOOKUP(L10,'סקרי נכסים-יתרות פתיחה'!$2:$76,72,0),0)-IFERROR(HLOOKUP(L10,'סקרי נכסים-יתרות פתיחה'!$2:$90,87,0),0)</f>
        <v>0</v>
      </c>
      <c r="M45" s="47">
        <f>+IFERROR(HLOOKUP(M10,'סקרי נכסים-יתרות פתיחה'!$2:$76,72,0),0)-IFERROR(HLOOKUP(M10,'סקרי נכסים-יתרות פתיחה'!$2:$90,87,0),0)</f>
        <v>0</v>
      </c>
      <c r="N45" s="47">
        <f>+IFERROR(HLOOKUP(N10,'סקרי נכסים-יתרות פתיחה'!$2:$76,72,0),0)-IFERROR(HLOOKUP(N10,'סקרי נכסים-יתרות פתיחה'!$2:$90,87,0),0)</f>
        <v>0</v>
      </c>
      <c r="O45" s="47">
        <f>+IFERROR(HLOOKUP(O10,'סקרי נכסים-יתרות פתיחה'!$2:$76,72,0),0)-IFERROR(HLOOKUP(O10,'סקרי נכסים-יתרות פתיחה'!$2:$90,87,0),0)</f>
        <v>6312704.385714286</v>
      </c>
      <c r="P45" s="47">
        <f>+IFERROR(HLOOKUP(P10,'סקרי נכסים-יתרות פתיחה'!$2:$76,72,0),0)-IFERROR(HLOOKUP(P10,'סקרי נכסים-יתרות פתיחה'!$2:$90,87,0),0)</f>
        <v>7463962.7142857146</v>
      </c>
      <c r="Q45" s="47">
        <f>+IFERROR(HLOOKUP(Q10,'סקרי נכסים-יתרות פתיחה'!$2:$76,72,0),0)-IFERROR(HLOOKUP(Q10,'סקרי נכסים-יתרות פתיחה'!$2:$90,87,0),0)</f>
        <v>0</v>
      </c>
      <c r="R45" s="47">
        <f>+IFERROR(HLOOKUP(R10,'סקרי נכסים-יתרות פתיחה'!$2:$76,72,0),0)-IFERROR(HLOOKUP(R10,'סקרי נכסים-יתרות פתיחה'!$2:$90,87,0),0)</f>
        <v>10120562.571428571</v>
      </c>
      <c r="S45" s="47">
        <f>+IFERROR(HLOOKUP(S10,'סקרי נכסים-יתרות פתיחה'!$2:$76,72,0),0)-IFERROR(HLOOKUP(S10,'סקרי נכסים-יתרות פתיחה'!$2:$90,87,0),0)</f>
        <v>0</v>
      </c>
      <c r="T45" s="47">
        <f>+IFERROR(HLOOKUP(T10,'סקרי נכסים-יתרות פתיחה'!$2:$76,72,0),0)-IFERROR(HLOOKUP(T10,'סקרי נכסים-יתרות פתיחה'!$2:$90,87,0),0)</f>
        <v>19311068</v>
      </c>
      <c r="U45" s="47">
        <f>+IFERROR(HLOOKUP(U10,'סקרי נכסים-יתרות פתיחה'!$2:$76,72,0),0)-IFERROR(HLOOKUP(U10,'סקרי נכסים-יתרות פתיחה'!$2:$90,87,0),0)</f>
        <v>0</v>
      </c>
      <c r="V45" s="47">
        <f>+IFERROR(HLOOKUP(V10,'סקרי נכסים-יתרות פתיחה'!$2:$76,72,0),0)-IFERROR(HLOOKUP(V10,'סקרי נכסים-יתרות פתיחה'!$2:$90,87,0),0)</f>
        <v>9531906.4285714291</v>
      </c>
      <c r="W45" s="47">
        <f>+IFERROR(HLOOKUP(W10,'סקרי נכסים-יתרות פתיחה'!$2:$76,72,0),0)-IFERROR(HLOOKUP(W10,'סקרי נכסים-יתרות פתיחה'!$2:$90,87,0),0)</f>
        <v>16973060.185714286</v>
      </c>
      <c r="X45" s="47">
        <f>+IFERROR(HLOOKUP(X10,'סקרי נכסים-יתרות פתיחה'!$2:$76,72,0),0)-IFERROR(HLOOKUP(X10,'סקרי נכסים-יתרות פתיחה'!$2:$90,87,0),0)</f>
        <v>13204888.714285715</v>
      </c>
      <c r="Y45" s="47">
        <f>+IFERROR(HLOOKUP(Y10,'סקרי נכסים-יתרות פתיחה'!$2:$76,72,0),0)-IFERROR(HLOOKUP(Y10,'סקרי נכסים-יתרות פתיחה'!$2:$90,87,0),0)</f>
        <v>7714572.1714285715</v>
      </c>
      <c r="Z45" s="47">
        <f>+IFERROR(HLOOKUP(Z10,'סקרי נכסים-יתרות פתיחה'!$2:$76,72,0),0)-IFERROR(HLOOKUP(Z10,'סקרי נכסים-יתרות פתיחה'!$2:$90,87,0),0)</f>
        <v>0</v>
      </c>
      <c r="AA45" s="47">
        <f>+IFERROR(HLOOKUP(AA10,'סקרי נכסים-יתרות פתיחה'!$2:$76,72,0),0)-IFERROR(HLOOKUP(AA10,'סקרי נכסים-יתרות פתיחה'!$2:$90,87,0),0)</f>
        <v>0</v>
      </c>
      <c r="AB45" s="47">
        <f>+IFERROR(HLOOKUP(AB10,'סקרי נכסים-יתרות פתיחה'!$2:$76,72,0),0)-IFERROR(HLOOKUP(AB10,'סקרי נכסים-יתרות פתיחה'!$2:$90,87,0),0)</f>
        <v>0</v>
      </c>
      <c r="AC45" s="47">
        <f>+IFERROR(HLOOKUP(AC10,'סקרי נכסים-יתרות פתיחה'!$2:$76,72,0),0)-IFERROR(HLOOKUP(AC10,'סקרי נכסים-יתרות פתיחה'!$2:$90,87,0),0)</f>
        <v>0</v>
      </c>
      <c r="AD45" s="47">
        <f>+IFERROR(HLOOKUP(AD10,'סקרי נכסים-יתרות פתיחה'!$2:$76,72,0),0)-IFERROR(HLOOKUP(AD10,'סקרי נכסים-יתרות פתיחה'!$2:$90,87,0),0)</f>
        <v>0</v>
      </c>
      <c r="AE45" s="47">
        <f>+IFERROR(HLOOKUP(AE10,'סקרי נכסים-יתרות פתיחה'!$2:$76,72,0),0)-IFERROR(HLOOKUP(AE10,'סקרי נכסים-יתרות פתיחה'!$2:$90,87,0),0)</f>
        <v>0</v>
      </c>
      <c r="AF45" s="47">
        <f>+IFERROR(HLOOKUP(AF10,'סקרי נכסים-יתרות פתיחה'!$2:$76,72,0),0)-IFERROR(HLOOKUP(AF10,'סקרי נכסים-יתרות פתיחה'!$2:$90,87,0),0)</f>
        <v>0</v>
      </c>
      <c r="AG45" s="47">
        <f>+IFERROR(HLOOKUP(AG10,'סקרי נכסים-יתרות פתיחה'!$2:$76,72,0),0)-IFERROR(HLOOKUP(AG10,'סקרי נכסים-יתרות פתיחה'!$2:$90,87,0),0)</f>
        <v>0</v>
      </c>
      <c r="AH45" s="47">
        <f>+IFERROR(HLOOKUP(AH10,'סקרי נכסים-יתרות פתיחה'!$2:$76,72,0),0)-IFERROR(HLOOKUP(AH10,'סקרי נכסים-יתרות פתיחה'!$2:$90,87,0),0)</f>
        <v>0</v>
      </c>
      <c r="AI45" s="47">
        <f>+IFERROR(HLOOKUP(AI10,'סקרי נכסים-יתרות פתיחה'!$2:$76,72,0),0)-IFERROR(HLOOKUP(AI10,'סקרי נכסים-יתרות פתיחה'!$2:$90,87,0),0)</f>
        <v>0</v>
      </c>
      <c r="AJ45" s="47">
        <f>+IFERROR(HLOOKUP(AJ10,'סקרי נכסים-יתרות פתיחה'!$2:$76,72,0),0)-IFERROR(HLOOKUP(AJ10,'סקרי נכסים-יתרות פתיחה'!$2:$90,87,0),0)</f>
        <v>0</v>
      </c>
      <c r="AK45" s="47">
        <f>+IFERROR(HLOOKUP(AK10,'סקרי נכסים-יתרות פתיחה'!$2:$76,72,0),0)-IFERROR(HLOOKUP(AK10,'סקרי נכסים-יתרות פתיחה'!$2:$90,87,0),0)</f>
        <v>0</v>
      </c>
      <c r="AL45" s="47">
        <f>+IFERROR(HLOOKUP(AL10,'סקרי נכסים-יתרות פתיחה'!$2:$76,72,0),0)-IFERROR(HLOOKUP(AL10,'סקרי נכסים-יתרות פתיחה'!$2:$90,87,0),0)</f>
        <v>0</v>
      </c>
      <c r="AM45" s="47">
        <f>+IFERROR(HLOOKUP(AM10,'סקרי נכסים-יתרות פתיחה'!$2:$76,72,0),0)-IFERROR(HLOOKUP(AM10,'סקרי נכסים-יתרות פתיחה'!$2:$90,87,0),0)</f>
        <v>7810757.1428571427</v>
      </c>
      <c r="AN45" s="47">
        <f>+IFERROR(HLOOKUP(AN10,'סקרי נכסים-יתרות פתיחה'!$2:$76,72,0),0)-IFERROR(HLOOKUP(AN10,'סקרי נכסים-יתרות פתיחה'!$2:$90,87,0),0)</f>
        <v>11625467.142857142</v>
      </c>
      <c r="AO45" s="47">
        <f>+IFERROR(HLOOKUP(AO10,'סקרי נכסים-יתרות פתיחה'!$2:$76,72,0),0)-IFERROR(HLOOKUP(AO10,'סקרי נכסים-יתרות פתיחה'!$2:$90,87,0),0)</f>
        <v>0</v>
      </c>
      <c r="AP45" s="47">
        <f>+IFERROR(HLOOKUP(AP10,'סקרי נכסים-יתרות פתיחה'!$2:$76,72,0),0)-IFERROR(HLOOKUP(AP10,'סקרי נכסים-יתרות פתיחה'!$2:$90,87,0),0)</f>
        <v>0</v>
      </c>
      <c r="AQ45" s="47">
        <f>+IFERROR(HLOOKUP(AQ10,'סקרי נכסים-יתרות פתיחה'!$2:$76,72,0),0)-IFERROR(HLOOKUP(AQ10,'סקרי נכסים-יתרות פתיחה'!$2:$90,87,0),0)</f>
        <v>0</v>
      </c>
      <c r="AR45" s="47">
        <f>+IFERROR(HLOOKUP(AR10,'סקרי נכסים-יתרות פתיחה'!$2:$76,72,0),0)-IFERROR(HLOOKUP(AR10,'סקרי נכסים-יתרות פתיחה'!$2:$90,87,0),0)</f>
        <v>0</v>
      </c>
      <c r="AS45" s="47">
        <f>+IFERROR(HLOOKUP(AS10,'סקרי נכסים-יתרות פתיחה'!$2:$76,72,0),0)-IFERROR(HLOOKUP(AS10,'סקרי נכסים-יתרות פתיחה'!$2:$90,87,0),0)</f>
        <v>3083781.4285714286</v>
      </c>
      <c r="AT45" s="47">
        <f>+IFERROR(HLOOKUP(AT10,'סקרי נכסים-יתרות פתיחה'!$2:$76,72,0),0)-IFERROR(HLOOKUP(AT10,'סקרי נכסים-יתרות פתיחה'!$2:$90,87,0),0)</f>
        <v>0</v>
      </c>
      <c r="AU45" s="47">
        <f>+IFERROR(HLOOKUP(AU10,'סקרי נכסים-יתרות פתיחה'!$2:$76,72,0),0)-IFERROR(HLOOKUP(AU10,'סקרי נכסים-יתרות פתיחה'!$2:$90,87,0),0)</f>
        <v>0</v>
      </c>
      <c r="AV45" s="47">
        <f>+IFERROR(HLOOKUP(AV10,'סקרי נכסים-יתרות פתיחה'!$2:$76,72,0),0)-IFERROR(HLOOKUP(AV10,'סקרי נכסים-יתרות פתיחה'!$2:$90,87,0),0)</f>
        <v>0</v>
      </c>
      <c r="AW45" s="47">
        <f>+IFERROR(HLOOKUP(AW10,'סקרי נכסים-יתרות פתיחה'!$2:$76,72,0),0)-IFERROR(HLOOKUP(AW10,'סקרי נכסים-יתרות פתיחה'!$2:$90,87,0),0)</f>
        <v>0</v>
      </c>
      <c r="AX45" s="47">
        <f>+IFERROR(HLOOKUP(AX10,'סקרי נכסים-יתרות פתיחה'!$2:$76,72,0),0)-IFERROR(HLOOKUP(AX10,'סקרי נכסים-יתרות פתיחה'!$2:$90,87,0),0)</f>
        <v>12588317.285714285</v>
      </c>
      <c r="AY45" s="47">
        <f>+IFERROR(HLOOKUP(AY10,'סקרי נכסים-יתרות פתיחה'!$2:$76,72,0),0)-IFERROR(HLOOKUP(AY10,'סקרי נכסים-יתרות פתיחה'!$2:$90,87,0),0)</f>
        <v>0</v>
      </c>
      <c r="AZ45" s="47">
        <f>+IFERROR(HLOOKUP(AZ10,'סקרי נכסים-יתרות פתיחה'!$2:$76,72,0),0)-IFERROR(HLOOKUP(AZ10,'סקרי נכסים-יתרות פתיחה'!$2:$90,87,0),0)</f>
        <v>10112279.714285715</v>
      </c>
      <c r="BA45" s="47">
        <f>+IFERROR(HLOOKUP(BA10,'סקרי נכסים-יתרות פתיחה'!$2:$76,72,0),0)-IFERROR(HLOOKUP(BA10,'סקרי נכסים-יתרות פתיחה'!$2:$90,87,0),0)</f>
        <v>17285166.785714287</v>
      </c>
      <c r="BB45" s="47">
        <f>+IFERROR(HLOOKUP(BB10,'סקרי נכסים-יתרות פתיחה'!$2:$76,72,0),0)-IFERROR(HLOOKUP(BB10,'סקרי נכסים-יתרות פתיחה'!$2:$90,87,0),0)</f>
        <v>10926100.428571429</v>
      </c>
      <c r="BC45" s="47">
        <f>+IFERROR(HLOOKUP(BC10,'סקרי נכסים-יתרות פתיחה'!$2:$76,72,0),0)-IFERROR(HLOOKUP(BC10,'סקרי נכסים-יתרות פתיחה'!$2:$90,87,0),0)</f>
        <v>5746468.5142857144</v>
      </c>
      <c r="BD45" s="47">
        <f>+IFERROR(HLOOKUP(BD10,'סקרי נכסים-יתרות פתיחה'!$2:$76,72,0),0)-IFERROR(HLOOKUP(BD10,'סקרי נכסים-יתרות פתיחה'!$2:$90,87,0),0)</f>
        <v>0</v>
      </c>
      <c r="BE45" s="47">
        <f>+IFERROR(HLOOKUP(BE10,'סקרי נכסים-יתרות פתיחה'!$2:$76,72,0),0)-IFERROR(HLOOKUP(BE10,'סקרי נכסים-יתרות פתיחה'!$2:$90,87,0),0)</f>
        <v>0</v>
      </c>
      <c r="BF45" s="47">
        <f>+IFERROR(HLOOKUP(BF10,'סקרי נכסים-יתרות פתיחה'!$2:$76,72,0),0)-IFERROR(HLOOKUP(BF10,'סקרי נכסים-יתרות פתיחה'!$2:$90,87,0),0)</f>
        <v>0</v>
      </c>
    </row>
    <row r="46" spans="1:235" x14ac:dyDescent="0.2">
      <c r="B46" s="1">
        <v>4</v>
      </c>
      <c r="C46" s="47">
        <f>+IFERROR(HLOOKUP(C11,'סקרי נכסים-יתרות פתיחה'!$2:$76,72,0),0)-IFERROR(HLOOKUP(C11,'סקרי נכסים-יתרות פתיחה'!$2:$90,87,0),0)</f>
        <v>0</v>
      </c>
      <c r="D46" s="47">
        <f>+IFERROR(HLOOKUP(D11,'סקרי נכסים-יתרות פתיחה'!$2:$76,72,0),0)-IFERROR(HLOOKUP(D11,'סקרי נכסים-יתרות פתיחה'!$2:$90,87,0),0)</f>
        <v>7166803</v>
      </c>
      <c r="E46" s="47">
        <f>+IFERROR(HLOOKUP(E11,'סקרי נכסים-יתרות פתיחה'!$2:$76,72,0),0)-IFERROR(HLOOKUP(E11,'סקרי נכסים-יתרות פתיחה'!$2:$90,87,0),0)</f>
        <v>0</v>
      </c>
      <c r="F46" s="47">
        <f>+IFERROR(HLOOKUP(F11,'סקרי נכסים-יתרות פתיחה'!$2:$76,72,0),0)-IFERROR(HLOOKUP(F11,'סקרי נכסים-יתרות פתיחה'!$2:$90,87,0),0)</f>
        <v>0</v>
      </c>
      <c r="G46" s="47">
        <f>+IFERROR(HLOOKUP(G11,'סקרי נכסים-יתרות פתיחה'!$2:$76,72,0),0)-IFERROR(HLOOKUP(G11,'סקרי נכסים-יתרות פתיחה'!$2:$90,87,0),0)</f>
        <v>0</v>
      </c>
      <c r="H46" s="47">
        <f>+IFERROR(HLOOKUP(H11,'סקרי נכסים-יתרות פתיחה'!$2:$76,72,0),0)-IFERROR(HLOOKUP(H11,'סקרי נכסים-יתרות פתיחה'!$2:$90,87,0),0)</f>
        <v>0</v>
      </c>
      <c r="I46" s="47">
        <f>+IFERROR(HLOOKUP(I11,'סקרי נכסים-יתרות פתיחה'!$2:$76,72,0),0)-IFERROR(HLOOKUP(I11,'סקרי נכסים-יתרות פתיחה'!$2:$90,87,0),0)</f>
        <v>0</v>
      </c>
      <c r="J46" s="47">
        <f>+IFERROR(HLOOKUP(J11,'סקרי נכסים-יתרות פתיחה'!$2:$76,72,0),0)-IFERROR(HLOOKUP(J11,'סקרי נכסים-יתרות פתיחה'!$2:$90,87,0),0)</f>
        <v>0</v>
      </c>
      <c r="K46" s="47">
        <f>+IFERROR(HLOOKUP(K11,'סקרי נכסים-יתרות פתיחה'!$2:$76,72,0),0)-IFERROR(HLOOKUP(K11,'סקרי נכסים-יתרות פתיחה'!$2:$90,87,0),0)</f>
        <v>0</v>
      </c>
      <c r="L46" s="47">
        <f>+IFERROR(HLOOKUP(L11,'סקרי נכסים-יתרות פתיחה'!$2:$76,72,0),0)-IFERROR(HLOOKUP(L11,'סקרי נכסים-יתרות פתיחה'!$2:$90,87,0),0)</f>
        <v>4243757.0571428575</v>
      </c>
      <c r="M46" s="47">
        <f>+IFERROR(HLOOKUP(M11,'סקרי נכסים-יתרות פתיחה'!$2:$76,72,0),0)-IFERROR(HLOOKUP(M11,'סקרי נכסים-יתרות פתיחה'!$2:$90,87,0),0)</f>
        <v>0</v>
      </c>
      <c r="N46" s="47">
        <f>+IFERROR(HLOOKUP(N11,'סקרי נכסים-יתרות פתיחה'!$2:$76,72,0),0)-IFERROR(HLOOKUP(N11,'סקרי נכסים-יתרות פתיחה'!$2:$90,87,0),0)</f>
        <v>0</v>
      </c>
      <c r="O46" s="47">
        <f>+IFERROR(HLOOKUP(O11,'סקרי נכסים-יתרות פתיחה'!$2:$76,72,0),0)-IFERROR(HLOOKUP(O11,'סקרי נכסים-יתרות פתיחה'!$2:$90,87,0),0)</f>
        <v>25950167.571428571</v>
      </c>
      <c r="P46" s="47">
        <f>+IFERROR(HLOOKUP(P11,'סקרי נכסים-יתרות פתיחה'!$2:$76,72,0),0)-IFERROR(HLOOKUP(P11,'סקרי נכסים-יתרות פתיחה'!$2:$90,87,0),0)</f>
        <v>2253083.7857142854</v>
      </c>
      <c r="Q46" s="47">
        <f>+IFERROR(HLOOKUP(Q11,'סקרי נכסים-יתרות פתיחה'!$2:$76,72,0),0)-IFERROR(HLOOKUP(Q11,'סקרי נכסים-יתרות פתיחה'!$2:$90,87,0),0)</f>
        <v>0</v>
      </c>
      <c r="R46" s="47">
        <f>+IFERROR(HLOOKUP(R11,'סקרי נכסים-יתרות פתיחה'!$2:$76,72,0),0)-IFERROR(HLOOKUP(R11,'סקרי נכסים-יתרות פתיחה'!$2:$90,87,0),0)</f>
        <v>0</v>
      </c>
      <c r="S46" s="47">
        <f>+IFERROR(HLOOKUP(S11,'סקרי נכסים-יתרות פתיחה'!$2:$76,72,0),0)-IFERROR(HLOOKUP(S11,'סקרי נכסים-יתרות פתיחה'!$2:$90,87,0),0)</f>
        <v>0</v>
      </c>
      <c r="T46" s="47">
        <f>+IFERROR(HLOOKUP(T11,'סקרי נכסים-יתרות פתיחה'!$2:$76,72,0),0)-IFERROR(HLOOKUP(T11,'סקרי נכסים-יתרות פתיחה'!$2:$90,87,0),0)</f>
        <v>4832905</v>
      </c>
      <c r="U46" s="47">
        <f>+IFERROR(HLOOKUP(U11,'סקרי נכסים-יתרות פתיחה'!$2:$76,72,0),0)-IFERROR(HLOOKUP(U11,'סקרי נכסים-יתרות פתיחה'!$2:$90,87,0),0)</f>
        <v>0</v>
      </c>
      <c r="V46" s="47">
        <f>+IFERROR(HLOOKUP(V11,'סקרי נכסים-יתרות פתיחה'!$2:$76,72,0),0)-IFERROR(HLOOKUP(V11,'סקרי נכסים-יתרות פתיחה'!$2:$90,87,0),0)</f>
        <v>8979872.0142857134</v>
      </c>
      <c r="W46" s="47">
        <f>+IFERROR(HLOOKUP(W11,'סקרי נכסים-יתרות פתיחה'!$2:$76,72,0),0)-IFERROR(HLOOKUP(W11,'סקרי נכסים-יתרות פתיחה'!$2:$90,87,0),0)</f>
        <v>1252722.1428571427</v>
      </c>
      <c r="X46" s="47">
        <f>+IFERROR(HLOOKUP(X11,'סקרי נכסים-יתרות פתיחה'!$2:$76,72,0),0)-IFERROR(HLOOKUP(X11,'סקרי נכסים-יתרות פתיחה'!$2:$90,87,0),0)</f>
        <v>5612887.7142857146</v>
      </c>
      <c r="Y46" s="47">
        <f>+IFERROR(HLOOKUP(Y11,'סקרי נכסים-יתרות פתיחה'!$2:$76,72,0),0)-IFERROR(HLOOKUP(Y11,'סקרי נכסים-יתרות פתיחה'!$2:$90,87,0),0)</f>
        <v>6669541.5</v>
      </c>
      <c r="Z46" s="47">
        <f>+IFERROR(HLOOKUP(Z11,'סקרי נכסים-יתרות פתיחה'!$2:$76,72,0),0)-IFERROR(HLOOKUP(Z11,'סקרי נכסים-יתרות פתיחה'!$2:$90,87,0),0)</f>
        <v>0</v>
      </c>
      <c r="AA46" s="47">
        <f>+IFERROR(HLOOKUP(AA11,'סקרי נכסים-יתרות פתיחה'!$2:$76,72,0),0)-IFERROR(HLOOKUP(AA11,'סקרי נכסים-יתרות פתיחה'!$2:$90,87,0),0)</f>
        <v>0</v>
      </c>
      <c r="AB46" s="47">
        <f>+IFERROR(HLOOKUP(AB11,'סקרי נכסים-יתרות פתיחה'!$2:$76,72,0),0)-IFERROR(HLOOKUP(AB11,'סקרי נכסים-יתרות פתיחה'!$2:$90,87,0),0)</f>
        <v>0</v>
      </c>
      <c r="AC46" s="47">
        <f>+IFERROR(HLOOKUP(AC11,'סקרי נכסים-יתרות פתיחה'!$2:$76,72,0),0)-IFERROR(HLOOKUP(AC11,'סקרי נכסים-יתרות פתיחה'!$2:$90,87,0),0)</f>
        <v>0</v>
      </c>
      <c r="AD46" s="47">
        <f>+IFERROR(HLOOKUP(AD11,'סקרי נכסים-יתרות פתיחה'!$2:$76,72,0),0)-IFERROR(HLOOKUP(AD11,'סקרי נכסים-יתרות פתיחה'!$2:$90,87,0),0)</f>
        <v>0</v>
      </c>
      <c r="AE46" s="47">
        <f>+IFERROR(HLOOKUP(AE11,'סקרי נכסים-יתרות פתיחה'!$2:$76,72,0),0)-IFERROR(HLOOKUP(AE11,'סקרי נכסים-יתרות פתיחה'!$2:$90,87,0),0)</f>
        <v>0</v>
      </c>
      <c r="AF46" s="47">
        <f>+IFERROR(HLOOKUP(AF11,'סקרי נכסים-יתרות פתיחה'!$2:$76,72,0),0)-IFERROR(HLOOKUP(AF11,'סקרי נכסים-יתרות פתיחה'!$2:$90,87,0),0)</f>
        <v>0</v>
      </c>
      <c r="AG46" s="47">
        <f>+IFERROR(HLOOKUP(AG11,'סקרי נכסים-יתרות פתיחה'!$2:$76,72,0),0)-IFERROR(HLOOKUP(AG11,'סקרי נכסים-יתרות פתיחה'!$2:$90,87,0),0)</f>
        <v>0</v>
      </c>
      <c r="AH46" s="47">
        <f>+IFERROR(HLOOKUP(AH11,'סקרי נכסים-יתרות פתיחה'!$2:$76,72,0),0)-IFERROR(HLOOKUP(AH11,'סקרי נכסים-יתרות פתיחה'!$2:$90,87,0),0)</f>
        <v>0</v>
      </c>
      <c r="AI46" s="47">
        <f>+IFERROR(HLOOKUP(AI11,'סקרי נכסים-יתרות פתיחה'!$2:$76,72,0),0)-IFERROR(HLOOKUP(AI11,'סקרי נכסים-יתרות פתיחה'!$2:$90,87,0),0)</f>
        <v>0</v>
      </c>
      <c r="AJ46" s="47">
        <f>+IFERROR(HLOOKUP(AJ11,'סקרי נכסים-יתרות פתיחה'!$2:$76,72,0),0)-IFERROR(HLOOKUP(AJ11,'סקרי נכסים-יתרות פתיחה'!$2:$90,87,0),0)</f>
        <v>0</v>
      </c>
      <c r="AK46" s="47">
        <f>+IFERROR(HLOOKUP(AK11,'סקרי נכסים-יתרות פתיחה'!$2:$76,72,0),0)-IFERROR(HLOOKUP(AK11,'סקרי נכסים-יתרות פתיחה'!$2:$90,87,0),0)</f>
        <v>0</v>
      </c>
      <c r="AL46" s="47">
        <f>+IFERROR(HLOOKUP(AL11,'סקרי נכסים-יתרות פתיחה'!$2:$76,72,0),0)-IFERROR(HLOOKUP(AL11,'סקרי נכסים-יתרות פתיחה'!$2:$90,87,0),0)</f>
        <v>0</v>
      </c>
      <c r="AM46" s="47">
        <f>+IFERROR(HLOOKUP(AM11,'סקרי נכסים-יתרות פתיחה'!$2:$76,72,0),0)-IFERROR(HLOOKUP(AM11,'סקרי נכסים-יתרות פתיחה'!$2:$90,87,0),0)</f>
        <v>20759992.014285713</v>
      </c>
      <c r="AN46" s="47">
        <f>+IFERROR(HLOOKUP(AN11,'סקרי נכסים-יתרות פתיחה'!$2:$76,72,0),0)-IFERROR(HLOOKUP(AN11,'סקרי נכסים-יתרות פתיחה'!$2:$90,87,0),0)</f>
        <v>11665966.785714285</v>
      </c>
      <c r="AO46" s="47">
        <f>+IFERROR(HLOOKUP(AO11,'סקרי נכסים-יתרות פתיחה'!$2:$76,72,0),0)-IFERROR(HLOOKUP(AO11,'סקרי נכסים-יתרות פתיחה'!$2:$90,87,0),0)</f>
        <v>0</v>
      </c>
      <c r="AP46" s="47">
        <f>+IFERROR(HLOOKUP(AP11,'סקרי נכסים-יתרות פתיחה'!$2:$76,72,0),0)-IFERROR(HLOOKUP(AP11,'סקרי נכסים-יתרות פתיחה'!$2:$90,87,0),0)</f>
        <v>0</v>
      </c>
      <c r="AQ46" s="47">
        <f>+IFERROR(HLOOKUP(AQ11,'סקרי נכסים-יתרות פתיחה'!$2:$76,72,0),0)-IFERROR(HLOOKUP(AQ11,'סקרי נכסים-יתרות פתיחה'!$2:$90,87,0),0)</f>
        <v>0</v>
      </c>
      <c r="AR46" s="47">
        <f>+IFERROR(HLOOKUP(AR11,'סקרי נכסים-יתרות פתיחה'!$2:$76,72,0),0)-IFERROR(HLOOKUP(AR11,'סקרי נכסים-יתרות פתיחה'!$2:$90,87,0),0)</f>
        <v>0</v>
      </c>
      <c r="AS46" s="47">
        <f>+IFERROR(HLOOKUP(AS11,'סקרי נכסים-יתרות פתיחה'!$2:$76,72,0),0)-IFERROR(HLOOKUP(AS11,'סקרי נכסים-יתרות פתיחה'!$2:$90,87,0),0)</f>
        <v>10904661.857142858</v>
      </c>
      <c r="AT46" s="47">
        <f>+IFERROR(HLOOKUP(AT11,'סקרי נכסים-יתרות פתיחה'!$2:$76,72,0),0)-IFERROR(HLOOKUP(AT11,'סקרי נכסים-יתרות פתיחה'!$2:$90,87,0),0)</f>
        <v>0</v>
      </c>
      <c r="AU46" s="47">
        <f>+IFERROR(HLOOKUP(AU11,'סקרי נכסים-יתרות פתיחה'!$2:$76,72,0),0)-IFERROR(HLOOKUP(AU11,'סקרי נכסים-יתרות פתיחה'!$2:$90,87,0),0)</f>
        <v>0</v>
      </c>
      <c r="AV46" s="47">
        <f>+IFERROR(HLOOKUP(AV11,'סקרי נכסים-יתרות פתיחה'!$2:$76,72,0),0)-IFERROR(HLOOKUP(AV11,'סקרי נכסים-יתרות פתיחה'!$2:$90,87,0),0)</f>
        <v>0</v>
      </c>
      <c r="AW46" s="47">
        <f>+IFERROR(HLOOKUP(AW11,'סקרי נכסים-יתרות פתיחה'!$2:$76,72,0),0)-IFERROR(HLOOKUP(AW11,'סקרי נכסים-יתרות פתיחה'!$2:$90,87,0),0)</f>
        <v>0</v>
      </c>
      <c r="AX46" s="47">
        <f>+IFERROR(HLOOKUP(AX11,'סקרי נכסים-יתרות פתיחה'!$2:$76,72,0),0)-IFERROR(HLOOKUP(AX11,'סקרי נכסים-יתרות פתיחה'!$2:$90,87,0),0)</f>
        <v>17372157.757142857</v>
      </c>
      <c r="AY46" s="47">
        <f>+IFERROR(HLOOKUP(AY11,'סקרי נכסים-יתרות פתיחה'!$2:$76,72,0),0)-IFERROR(HLOOKUP(AY11,'סקרי נכסים-יתרות פתיחה'!$2:$90,87,0),0)</f>
        <v>0</v>
      </c>
      <c r="AZ46" s="47">
        <f>+IFERROR(HLOOKUP(AZ11,'סקרי נכסים-יתרות פתיחה'!$2:$76,72,0),0)-IFERROR(HLOOKUP(AZ11,'סקרי נכסים-יתרות פתיחה'!$2:$90,87,0),0)</f>
        <v>37682575</v>
      </c>
      <c r="BA46" s="47">
        <f>+IFERROR(HLOOKUP(BA11,'סקרי נכסים-יתרות פתיחה'!$2:$76,72,0),0)-IFERROR(HLOOKUP(BA11,'סקרי נכסים-יתרות פתיחה'!$2:$90,87,0),0)</f>
        <v>11596816.642857142</v>
      </c>
      <c r="BB46" s="47">
        <f>+IFERROR(HLOOKUP(BB11,'סקרי נכסים-יתרות פתיחה'!$2:$76,72,0),0)-IFERROR(HLOOKUP(BB11,'סקרי נכסים-יתרות פתיחה'!$2:$90,87,0),0)</f>
        <v>8696482</v>
      </c>
      <c r="BC46" s="47">
        <f>+IFERROR(HLOOKUP(BC11,'סקרי נכסים-יתרות פתיחה'!$2:$76,72,0),0)-IFERROR(HLOOKUP(BC11,'סקרי נכסים-יתרות פתיחה'!$2:$90,87,0),0)</f>
        <v>14117524.214285715</v>
      </c>
      <c r="BD46" s="47">
        <f>+IFERROR(HLOOKUP(BD11,'סקרי נכסים-יתרות פתיחה'!$2:$76,72,0),0)-IFERROR(HLOOKUP(BD11,'סקרי נכסים-יתרות פתיחה'!$2:$90,87,0),0)</f>
        <v>0</v>
      </c>
      <c r="BE46" s="47">
        <f>+IFERROR(HLOOKUP(BE11,'סקרי נכסים-יתרות פתיחה'!$2:$76,72,0),0)-IFERROR(HLOOKUP(BE11,'סקרי נכסים-יתרות פתיחה'!$2:$90,87,0),0)</f>
        <v>0</v>
      </c>
      <c r="BF46" s="47">
        <f>+IFERROR(HLOOKUP(BF11,'סקרי נכסים-יתרות פתיחה'!$2:$76,72,0),0)-IFERROR(HLOOKUP(BF11,'סקרי נכסים-יתרות פתיחה'!$2:$90,87,0),0)</f>
        <v>0</v>
      </c>
    </row>
    <row r="47" spans="1:235" x14ac:dyDescent="0.2">
      <c r="B47" s="1">
        <v>5</v>
      </c>
      <c r="C47" s="47">
        <f>+IFERROR(HLOOKUP(C12,'סקרי נכסים-יתרות פתיחה'!$2:$76,72,0),0)-IFERROR(HLOOKUP(C12,'סקרי נכסים-יתרות פתיחה'!$2:$90,87,0),0)</f>
        <v>0</v>
      </c>
      <c r="D47" s="47">
        <f>+IFERROR(HLOOKUP(D12,'סקרי נכסים-יתרות פתיחה'!$2:$76,72,0),0)-IFERROR(HLOOKUP(D12,'סקרי נכסים-יתרות פתיחה'!$2:$90,87,0),0)</f>
        <v>4602310</v>
      </c>
      <c r="E47" s="47">
        <f>+IFERROR(HLOOKUP(E12,'סקרי נכסים-יתרות פתיחה'!$2:$76,72,0),0)-IFERROR(HLOOKUP(E12,'סקרי נכסים-יתרות פתיחה'!$2:$90,87,0),0)</f>
        <v>0</v>
      </c>
      <c r="F47" s="47">
        <f>+IFERROR(HLOOKUP(F12,'סקרי נכסים-יתרות פתיחה'!$2:$76,72,0),0)-IFERROR(HLOOKUP(F12,'סקרי נכסים-יתרות פתיחה'!$2:$90,87,0),0)</f>
        <v>0</v>
      </c>
      <c r="G47" s="47">
        <f>+IFERROR(HLOOKUP(G12,'סקרי נכסים-יתרות פתיחה'!$2:$76,72,0),0)-IFERROR(HLOOKUP(G12,'סקרי נכסים-יתרות פתיחה'!$2:$90,87,0),0)</f>
        <v>0</v>
      </c>
      <c r="H47" s="47">
        <f>+IFERROR(HLOOKUP(H12,'סקרי נכסים-יתרות פתיחה'!$2:$76,72,0),0)-IFERROR(HLOOKUP(H12,'סקרי נכסים-יתרות פתיחה'!$2:$90,87,0),0)</f>
        <v>0</v>
      </c>
      <c r="I47" s="47">
        <f>+IFERROR(HLOOKUP(I12,'סקרי נכסים-יתרות פתיחה'!$2:$76,72,0),0)-IFERROR(HLOOKUP(I12,'סקרי נכסים-יתרות פתיחה'!$2:$90,87,0),0)</f>
        <v>0</v>
      </c>
      <c r="J47" s="47">
        <f>+IFERROR(HLOOKUP(J12,'סקרי נכסים-יתרות פתיחה'!$2:$76,72,0),0)-IFERROR(HLOOKUP(J12,'סקרי נכסים-יתרות פתיחה'!$2:$90,87,0),0)</f>
        <v>0</v>
      </c>
      <c r="K47" s="47">
        <f>+IFERROR(HLOOKUP(K12,'סקרי נכסים-יתרות פתיחה'!$2:$76,72,0),0)-IFERROR(HLOOKUP(K12,'סקרי נכסים-יתרות פתיחה'!$2:$90,87,0),0)</f>
        <v>0</v>
      </c>
      <c r="L47" s="47">
        <f>+IFERROR(HLOOKUP(L12,'סקרי נכסים-יתרות פתיחה'!$2:$76,72,0),0)-IFERROR(HLOOKUP(L12,'סקרי נכסים-יתרות פתיחה'!$2:$90,87,0),0)</f>
        <v>0</v>
      </c>
      <c r="M47" s="47">
        <f>+IFERROR(HLOOKUP(M12,'סקרי נכסים-יתרות פתיחה'!$2:$76,72,0),0)-IFERROR(HLOOKUP(M12,'סקרי נכסים-יתרות פתיחה'!$2:$90,87,0),0)</f>
        <v>0</v>
      </c>
      <c r="N47" s="47">
        <f>+IFERROR(HLOOKUP(N12,'סקרי נכסים-יתרות פתיחה'!$2:$76,72,0),0)-IFERROR(HLOOKUP(N12,'סקרי נכסים-יתרות פתיחה'!$2:$90,87,0),0)</f>
        <v>0</v>
      </c>
      <c r="O47" s="47">
        <f>+IFERROR(HLOOKUP(O12,'סקרי נכסים-יתרות פתיחה'!$2:$76,72,0),0)-IFERROR(HLOOKUP(O12,'סקרי נכסים-יתרות פתיחה'!$2:$90,87,0),0)</f>
        <v>0</v>
      </c>
      <c r="P47" s="47">
        <f>+IFERROR(HLOOKUP(P12,'סקרי נכסים-יתרות פתיחה'!$2:$76,72,0),0)-IFERROR(HLOOKUP(P12,'סקרי נכסים-יתרות פתיחה'!$2:$90,87,0),0)</f>
        <v>3222464.057142857</v>
      </c>
      <c r="Q47" s="47">
        <f>+IFERROR(HLOOKUP(Q12,'סקרי נכסים-יתרות פתיחה'!$2:$76,72,0),0)-IFERROR(HLOOKUP(Q12,'סקרי נכסים-יתרות פתיחה'!$2:$90,87,0),0)</f>
        <v>0</v>
      </c>
      <c r="R47" s="47">
        <f>+IFERROR(HLOOKUP(R12,'סקרי נכסים-יתרות פתיחה'!$2:$76,72,0),0)-IFERROR(HLOOKUP(R12,'סקרי נכסים-יתרות פתיחה'!$2:$90,87,0),0)</f>
        <v>0</v>
      </c>
      <c r="S47" s="47">
        <f>+IFERROR(HLOOKUP(S12,'סקרי נכסים-יתרות פתיחה'!$2:$76,72,0),0)-IFERROR(HLOOKUP(S12,'סקרי נכסים-יתרות פתיחה'!$2:$90,87,0),0)</f>
        <v>0</v>
      </c>
      <c r="T47" s="47">
        <f>+IFERROR(HLOOKUP(T12,'סקרי נכסים-יתרות פתיחה'!$2:$76,72,0),0)-IFERROR(HLOOKUP(T12,'סקרי נכסים-יתרות פתיחה'!$2:$90,87,0),0)</f>
        <v>0</v>
      </c>
      <c r="U47" s="47">
        <f>+IFERROR(HLOOKUP(U12,'סקרי נכסים-יתרות פתיחה'!$2:$76,72,0),0)-IFERROR(HLOOKUP(U12,'סקרי נכסים-יתרות פתיחה'!$2:$90,87,0),0)</f>
        <v>0</v>
      </c>
      <c r="V47" s="47">
        <f>+IFERROR(HLOOKUP(V12,'סקרי נכסים-יתרות פתיחה'!$2:$76,72,0),0)-IFERROR(HLOOKUP(V12,'סקרי נכסים-יתרות פתיחה'!$2:$90,87,0),0)</f>
        <v>7648014.0714285709</v>
      </c>
      <c r="W47" s="47">
        <f>+IFERROR(HLOOKUP(W12,'סקרי נכסים-יתרות פתיחה'!$2:$76,72,0),0)-IFERROR(HLOOKUP(W12,'סקרי נכסים-יתרות פתיחה'!$2:$90,87,0),0)</f>
        <v>0</v>
      </c>
      <c r="X47" s="47">
        <f>+IFERROR(HLOOKUP(X12,'סקרי נכסים-יתרות פתיחה'!$2:$76,72,0),0)-IFERROR(HLOOKUP(X12,'סקרי נכסים-יתרות פתיחה'!$2:$90,87,0),0)</f>
        <v>7363042.5857142862</v>
      </c>
      <c r="Y47" s="47">
        <f>+IFERROR(HLOOKUP(Y12,'סקרי נכסים-יתרות פתיחה'!$2:$76,72,0),0)-IFERROR(HLOOKUP(Y12,'סקרי נכסים-יתרות פתיחה'!$2:$90,87,0),0)</f>
        <v>0</v>
      </c>
      <c r="Z47" s="47">
        <f>+IFERROR(HLOOKUP(Z12,'סקרי נכסים-יתרות פתיחה'!$2:$76,72,0),0)-IFERROR(HLOOKUP(Z12,'סקרי נכסים-יתרות פתיחה'!$2:$90,87,0),0)</f>
        <v>0</v>
      </c>
      <c r="AA47" s="47">
        <f>+IFERROR(HLOOKUP(AA12,'סקרי נכסים-יתרות פתיחה'!$2:$76,72,0),0)-IFERROR(HLOOKUP(AA12,'סקרי נכסים-יתרות פתיחה'!$2:$90,87,0),0)</f>
        <v>0</v>
      </c>
      <c r="AB47" s="47">
        <f>+IFERROR(HLOOKUP(AB12,'סקרי נכסים-יתרות פתיחה'!$2:$76,72,0),0)-IFERROR(HLOOKUP(AB12,'סקרי נכסים-יתרות פתיחה'!$2:$90,87,0),0)</f>
        <v>0</v>
      </c>
      <c r="AC47" s="47">
        <f>+IFERROR(HLOOKUP(AC12,'סקרי נכסים-יתרות פתיחה'!$2:$76,72,0),0)-IFERROR(HLOOKUP(AC12,'סקרי נכסים-יתרות פתיחה'!$2:$90,87,0),0)</f>
        <v>0</v>
      </c>
      <c r="AD47" s="47">
        <f>+IFERROR(HLOOKUP(AD12,'סקרי נכסים-יתרות פתיחה'!$2:$76,72,0),0)-IFERROR(HLOOKUP(AD12,'סקרי נכסים-יתרות פתיחה'!$2:$90,87,0),0)</f>
        <v>0</v>
      </c>
      <c r="AE47" s="47">
        <f>+IFERROR(HLOOKUP(AE12,'סקרי נכסים-יתרות פתיחה'!$2:$76,72,0),0)-IFERROR(HLOOKUP(AE12,'סקרי נכסים-יתרות פתיחה'!$2:$90,87,0),0)</f>
        <v>0</v>
      </c>
      <c r="AF47" s="47">
        <f>+IFERROR(HLOOKUP(AF12,'סקרי נכסים-יתרות פתיחה'!$2:$76,72,0),0)-IFERROR(HLOOKUP(AF12,'סקרי נכסים-יתרות פתיחה'!$2:$90,87,0),0)</f>
        <v>0</v>
      </c>
      <c r="AG47" s="47">
        <f>+IFERROR(HLOOKUP(AG12,'סקרי נכסים-יתרות פתיחה'!$2:$76,72,0),0)-IFERROR(HLOOKUP(AG12,'סקרי נכסים-יתרות פתיחה'!$2:$90,87,0),0)</f>
        <v>0</v>
      </c>
      <c r="AH47" s="47">
        <f>+IFERROR(HLOOKUP(AH12,'סקרי נכסים-יתרות פתיחה'!$2:$76,72,0),0)-IFERROR(HLOOKUP(AH12,'סקרי נכסים-יתרות פתיחה'!$2:$90,87,0),0)</f>
        <v>0</v>
      </c>
      <c r="AI47" s="47">
        <f>+IFERROR(HLOOKUP(AI12,'סקרי נכסים-יתרות פתיחה'!$2:$76,72,0),0)-IFERROR(HLOOKUP(AI12,'סקרי נכסים-יתרות פתיחה'!$2:$90,87,0),0)</f>
        <v>0</v>
      </c>
      <c r="AJ47" s="47">
        <f>+IFERROR(HLOOKUP(AJ12,'סקרי נכסים-יתרות פתיחה'!$2:$76,72,0),0)-IFERROR(HLOOKUP(AJ12,'סקרי נכסים-יתרות פתיחה'!$2:$90,87,0),0)</f>
        <v>0</v>
      </c>
      <c r="AK47" s="47">
        <f>+IFERROR(HLOOKUP(AK12,'סקרי נכסים-יתרות פתיחה'!$2:$76,72,0),0)-IFERROR(HLOOKUP(AK12,'סקרי נכסים-יתרות פתיחה'!$2:$90,87,0),0)</f>
        <v>0</v>
      </c>
      <c r="AL47" s="47">
        <f>+IFERROR(HLOOKUP(AL12,'סקרי נכסים-יתרות פתיחה'!$2:$76,72,0),0)-IFERROR(HLOOKUP(AL12,'סקרי נכסים-יתרות פתיחה'!$2:$90,87,0),0)</f>
        <v>0</v>
      </c>
      <c r="AM47" s="47">
        <f>+IFERROR(HLOOKUP(AM12,'סקרי נכסים-יתרות פתיחה'!$2:$76,72,0),0)-IFERROR(HLOOKUP(AM12,'סקרי נכסים-יתרות פתיחה'!$2:$90,87,0),0)</f>
        <v>14971175.828571428</v>
      </c>
      <c r="AN47" s="47">
        <f>+IFERROR(HLOOKUP(AN12,'סקרי נכסים-יתרות פתיחה'!$2:$76,72,0),0)-IFERROR(HLOOKUP(AN12,'סקרי נכסים-יתרות פתיחה'!$2:$90,87,0),0)</f>
        <v>14859534.642857142</v>
      </c>
      <c r="AO47" s="47">
        <f>+IFERROR(HLOOKUP(AO12,'סקרי נכסים-יתרות פתיחה'!$2:$76,72,0),0)-IFERROR(HLOOKUP(AO12,'סקרי נכסים-יתרות פתיחה'!$2:$90,87,0),0)</f>
        <v>0</v>
      </c>
      <c r="AP47" s="47">
        <f>+IFERROR(HLOOKUP(AP12,'סקרי נכסים-יתרות פתיחה'!$2:$76,72,0),0)-IFERROR(HLOOKUP(AP12,'סקרי נכסים-יתרות פתיחה'!$2:$90,87,0),0)</f>
        <v>0</v>
      </c>
      <c r="AQ47" s="47">
        <f>+IFERROR(HLOOKUP(AQ12,'סקרי נכסים-יתרות פתיחה'!$2:$76,72,0),0)-IFERROR(HLOOKUP(AQ12,'סקרי נכסים-יתרות פתיחה'!$2:$90,87,0),0)</f>
        <v>0</v>
      </c>
      <c r="AR47" s="47">
        <f>+IFERROR(HLOOKUP(AR12,'סקרי נכסים-יתרות פתיחה'!$2:$76,72,0),0)-IFERROR(HLOOKUP(AR12,'סקרי נכסים-יתרות פתיחה'!$2:$90,87,0),0)</f>
        <v>0</v>
      </c>
      <c r="AS47" s="47">
        <f>+IFERROR(HLOOKUP(AS12,'סקרי נכסים-יתרות פתיחה'!$2:$76,72,0),0)-IFERROR(HLOOKUP(AS12,'סקרי נכסים-יתרות פתיחה'!$2:$90,87,0),0)</f>
        <v>16473561.857142856</v>
      </c>
      <c r="AT47" s="47">
        <f>+IFERROR(HLOOKUP(AT12,'סקרי נכסים-יתרות פתיחה'!$2:$76,72,0),0)-IFERROR(HLOOKUP(AT12,'סקרי נכסים-יתרות פתיחה'!$2:$90,87,0),0)</f>
        <v>0</v>
      </c>
      <c r="AU47" s="47">
        <f>+IFERROR(HLOOKUP(AU12,'סקרי נכסים-יתרות פתיחה'!$2:$76,72,0),0)-IFERROR(HLOOKUP(AU12,'סקרי נכסים-יתרות פתיחה'!$2:$90,87,0),0)</f>
        <v>0</v>
      </c>
      <c r="AV47" s="47">
        <f>+IFERROR(HLOOKUP(AV12,'סקרי נכסים-יתרות פתיחה'!$2:$76,72,0),0)-IFERROR(HLOOKUP(AV12,'סקרי נכסים-יתרות פתיחה'!$2:$90,87,0),0)</f>
        <v>0</v>
      </c>
      <c r="AW47" s="47">
        <f>+IFERROR(HLOOKUP(AW12,'סקרי נכסים-יתרות פתיחה'!$2:$76,72,0),0)-IFERROR(HLOOKUP(AW12,'סקרי נכסים-יתרות פתיחה'!$2:$90,87,0),0)</f>
        <v>0</v>
      </c>
      <c r="AX47" s="47">
        <f>+IFERROR(HLOOKUP(AX12,'סקרי נכסים-יתרות פתיחה'!$2:$76,72,0),0)-IFERROR(HLOOKUP(AX12,'סקרי נכסים-יתרות פתיחה'!$2:$90,87,0),0)</f>
        <v>0</v>
      </c>
      <c r="AY47" s="47">
        <f>+IFERROR(HLOOKUP(AY12,'סקרי נכסים-יתרות פתיחה'!$2:$76,72,0),0)-IFERROR(HLOOKUP(AY12,'סקרי נכסים-יתרות פתיחה'!$2:$90,87,0),0)</f>
        <v>0</v>
      </c>
      <c r="AZ47" s="47">
        <f>+IFERROR(HLOOKUP(AZ12,'סקרי נכסים-יתרות פתיחה'!$2:$76,72,0),0)-IFERROR(HLOOKUP(AZ12,'סקרי נכסים-יתרות פתיחה'!$2:$90,87,0),0)</f>
        <v>0</v>
      </c>
      <c r="BA47" s="47">
        <f>+IFERROR(HLOOKUP(BA12,'סקרי נכסים-יתרות פתיחה'!$2:$76,72,0),0)-IFERROR(HLOOKUP(BA12,'סקרי נכסים-יתרות פתיחה'!$2:$90,87,0),0)</f>
        <v>0</v>
      </c>
      <c r="BB47" s="47">
        <f>+IFERROR(HLOOKUP(BB12,'סקרי נכסים-יתרות פתיחה'!$2:$76,72,0),0)-IFERROR(HLOOKUP(BB12,'סקרי נכסים-יתרות פתיחה'!$2:$90,87,0),0)</f>
        <v>15756807.185714286</v>
      </c>
      <c r="BC47" s="47">
        <f>+IFERROR(HLOOKUP(BC12,'סקרי נכסים-יתרות פתיחה'!$2:$76,72,0),0)-IFERROR(HLOOKUP(BC12,'סקרי נכסים-יתרות פתיחה'!$2:$90,87,0),0)</f>
        <v>17920601</v>
      </c>
      <c r="BD47" s="47">
        <f>+IFERROR(HLOOKUP(BD12,'סקרי נכסים-יתרות פתיחה'!$2:$76,72,0),0)-IFERROR(HLOOKUP(BD12,'סקרי נכסים-יתרות פתיחה'!$2:$90,87,0),0)</f>
        <v>0</v>
      </c>
      <c r="BE47" s="47">
        <f>+IFERROR(HLOOKUP(BE12,'סקרי נכסים-יתרות פתיחה'!$2:$76,72,0),0)-IFERROR(HLOOKUP(BE12,'סקרי נכסים-יתרות פתיחה'!$2:$90,87,0),0)</f>
        <v>0</v>
      </c>
      <c r="BF47" s="47">
        <f>+IFERROR(HLOOKUP(BF12,'סקרי נכסים-יתרות פתיחה'!$2:$76,72,0),0)-IFERROR(HLOOKUP(BF12,'סקרי נכסים-יתרות פתיחה'!$2:$90,87,0),0)</f>
        <v>0</v>
      </c>
    </row>
    <row r="48" spans="1:235" x14ac:dyDescent="0.2">
      <c r="B48" s="1">
        <v>6</v>
      </c>
      <c r="C48" s="47">
        <f>+IFERROR(HLOOKUP(C13,'סקרי נכסים-יתרות פתיחה'!$2:$76,72,0),0)-IFERROR(HLOOKUP(C13,'סקרי נכסים-יתרות פתיחה'!$2:$90,87,0),0)</f>
        <v>0</v>
      </c>
      <c r="D48" s="47">
        <f>+IFERROR(HLOOKUP(D13,'סקרי נכסים-יתרות פתיחה'!$2:$76,72,0),0)-IFERROR(HLOOKUP(D13,'סקרי נכסים-יתרות פתיחה'!$2:$90,87,0),0)</f>
        <v>3975970</v>
      </c>
      <c r="E48" s="47">
        <f>+IFERROR(HLOOKUP(E13,'סקרי נכסים-יתרות פתיחה'!$2:$76,72,0),0)-IFERROR(HLOOKUP(E13,'סקרי נכסים-יתרות פתיחה'!$2:$90,87,0),0)</f>
        <v>0</v>
      </c>
      <c r="F48" s="47">
        <f>+IFERROR(HLOOKUP(F13,'סקרי נכסים-יתרות פתיחה'!$2:$76,72,0),0)-IFERROR(HLOOKUP(F13,'סקרי נכסים-יתרות פתיחה'!$2:$90,87,0),0)</f>
        <v>0</v>
      </c>
      <c r="G48" s="47">
        <f>+IFERROR(HLOOKUP(G13,'סקרי נכסים-יתרות פתיחה'!$2:$76,72,0),0)-IFERROR(HLOOKUP(G13,'סקרי נכסים-יתרות פתיחה'!$2:$90,87,0),0)</f>
        <v>0</v>
      </c>
      <c r="H48" s="47">
        <f>+IFERROR(HLOOKUP(H13,'סקרי נכסים-יתרות פתיחה'!$2:$76,72,0),0)-IFERROR(HLOOKUP(H13,'סקרי נכסים-יתרות פתיחה'!$2:$90,87,0),0)</f>
        <v>0</v>
      </c>
      <c r="I48" s="47">
        <f>+IFERROR(HLOOKUP(I13,'סקרי נכסים-יתרות פתיחה'!$2:$76,72,0),0)-IFERROR(HLOOKUP(I13,'סקרי נכסים-יתרות פתיחה'!$2:$90,87,0),0)</f>
        <v>0</v>
      </c>
      <c r="J48" s="47">
        <f>+IFERROR(HLOOKUP(J13,'סקרי נכסים-יתרות פתיחה'!$2:$76,72,0),0)-IFERROR(HLOOKUP(J13,'סקרי נכסים-יתרות פתיחה'!$2:$90,87,0),0)</f>
        <v>0</v>
      </c>
      <c r="K48" s="47">
        <f>+IFERROR(HLOOKUP(K13,'סקרי נכסים-יתרות פתיחה'!$2:$76,72,0),0)-IFERROR(HLOOKUP(K13,'סקרי נכסים-יתרות פתיחה'!$2:$90,87,0),0)</f>
        <v>0</v>
      </c>
      <c r="L48" s="47">
        <f>+IFERROR(HLOOKUP(L13,'סקרי נכסים-יתרות פתיחה'!$2:$76,72,0),0)-IFERROR(HLOOKUP(L13,'סקרי נכסים-יתרות פתיחה'!$2:$90,87,0),0)</f>
        <v>0</v>
      </c>
      <c r="M48" s="47">
        <f>+IFERROR(HLOOKUP(M13,'סקרי נכסים-יתרות פתיחה'!$2:$76,72,0),0)-IFERROR(HLOOKUP(M13,'סקרי נכסים-יתרות פתיחה'!$2:$90,87,0),0)</f>
        <v>0</v>
      </c>
      <c r="N48" s="47">
        <f>+IFERROR(HLOOKUP(N13,'סקרי נכסים-יתרות פתיחה'!$2:$76,72,0),0)-IFERROR(HLOOKUP(N13,'סקרי נכסים-יתרות פתיחה'!$2:$90,87,0),0)</f>
        <v>0</v>
      </c>
      <c r="O48" s="47">
        <f>+IFERROR(HLOOKUP(O13,'סקרי נכסים-יתרות פתיחה'!$2:$76,72,0),0)-IFERROR(HLOOKUP(O13,'סקרי נכסים-יתרות פתיחה'!$2:$90,87,0),0)</f>
        <v>0</v>
      </c>
      <c r="P48" s="47">
        <f>+IFERROR(HLOOKUP(P13,'סקרי נכסים-יתרות פתיחה'!$2:$76,72,0),0)-IFERROR(HLOOKUP(P13,'סקרי נכסים-יתרות פתיחה'!$2:$90,87,0),0)</f>
        <v>7510755.7142857146</v>
      </c>
      <c r="Q48" s="47">
        <f>+IFERROR(HLOOKUP(Q13,'סקרי נכסים-יתרות פתיחה'!$2:$76,72,0),0)-IFERROR(HLOOKUP(Q13,'סקרי נכסים-יתרות פתיחה'!$2:$90,87,0),0)</f>
        <v>0</v>
      </c>
      <c r="R48" s="47">
        <f>+IFERROR(HLOOKUP(R13,'סקרי נכסים-יתרות פתיחה'!$2:$76,72,0),0)-IFERROR(HLOOKUP(R13,'סקרי נכסים-יתרות פתיחה'!$2:$90,87,0),0)</f>
        <v>0</v>
      </c>
      <c r="S48" s="47">
        <f>+IFERROR(HLOOKUP(S13,'סקרי נכסים-יתרות פתיחה'!$2:$76,72,0),0)-IFERROR(HLOOKUP(S13,'סקרי נכסים-יתרות פתיחה'!$2:$90,87,0),0)</f>
        <v>0</v>
      </c>
      <c r="T48" s="47">
        <f>+IFERROR(HLOOKUP(T13,'סקרי נכסים-יתרות פתיחה'!$2:$76,72,0),0)-IFERROR(HLOOKUP(T13,'סקרי נכסים-יתרות פתיחה'!$2:$90,87,0),0)</f>
        <v>0</v>
      </c>
      <c r="U48" s="47">
        <f>+IFERROR(HLOOKUP(U13,'סקרי נכסים-יתרות פתיחה'!$2:$76,72,0),0)-IFERROR(HLOOKUP(U13,'סקרי נכסים-יתרות פתיחה'!$2:$90,87,0),0)</f>
        <v>0</v>
      </c>
      <c r="V48" s="47">
        <f>+IFERROR(HLOOKUP(V13,'סקרי נכסים-יתרות פתיחה'!$2:$76,72,0),0)-IFERROR(HLOOKUP(V13,'סקרי נכסים-יתרות פתיחה'!$2:$90,87,0),0)</f>
        <v>5347300.2857142854</v>
      </c>
      <c r="W48" s="47">
        <f>+IFERROR(HLOOKUP(W13,'סקרי נכסים-יתרות פתיחה'!$2:$76,72,0),0)-IFERROR(HLOOKUP(W13,'סקרי נכסים-יתרות פתיחה'!$2:$90,87,0),0)</f>
        <v>34179785.142857142</v>
      </c>
      <c r="X48" s="47">
        <f>+IFERROR(HLOOKUP(X13,'סקרי נכסים-יתרות פתיחה'!$2:$76,72,0),0)-IFERROR(HLOOKUP(X13,'סקרי נכסים-יתרות פתיחה'!$2:$90,87,0),0)</f>
        <v>0</v>
      </c>
      <c r="Y48" s="47">
        <f>+IFERROR(HLOOKUP(Y13,'סקרי נכסים-יתרות פתיחה'!$2:$76,72,0),0)-IFERROR(HLOOKUP(Y13,'סקרי נכסים-יתרות פתיחה'!$2:$90,87,0),0)</f>
        <v>0</v>
      </c>
      <c r="Z48" s="47">
        <f>+IFERROR(HLOOKUP(Z13,'סקרי נכסים-יתרות פתיחה'!$2:$76,72,0),0)-IFERROR(HLOOKUP(Z13,'סקרי נכסים-יתרות פתיחה'!$2:$90,87,0),0)</f>
        <v>0</v>
      </c>
      <c r="AA48" s="47">
        <f>+IFERROR(HLOOKUP(AA13,'סקרי נכסים-יתרות פתיחה'!$2:$76,72,0),0)-IFERROR(HLOOKUP(AA13,'סקרי נכסים-יתרות פתיחה'!$2:$90,87,0),0)</f>
        <v>0</v>
      </c>
      <c r="AB48" s="47">
        <f>+IFERROR(HLOOKUP(AB13,'סקרי נכסים-יתרות פתיחה'!$2:$76,72,0),0)-IFERROR(HLOOKUP(AB13,'סקרי נכסים-יתרות פתיחה'!$2:$90,87,0),0)</f>
        <v>0</v>
      </c>
      <c r="AC48" s="47">
        <f>+IFERROR(HLOOKUP(AC13,'סקרי נכסים-יתרות פתיחה'!$2:$76,72,0),0)-IFERROR(HLOOKUP(AC13,'סקרי נכסים-יתרות פתיחה'!$2:$90,87,0),0)</f>
        <v>0</v>
      </c>
      <c r="AD48" s="47">
        <f>+IFERROR(HLOOKUP(AD13,'סקרי נכסים-יתרות פתיחה'!$2:$76,72,0),0)-IFERROR(HLOOKUP(AD13,'סקרי נכסים-יתרות פתיחה'!$2:$90,87,0),0)</f>
        <v>0</v>
      </c>
      <c r="AE48" s="47">
        <f>+IFERROR(HLOOKUP(AE13,'סקרי נכסים-יתרות פתיחה'!$2:$76,72,0),0)-IFERROR(HLOOKUP(AE13,'סקרי נכסים-יתרות פתיחה'!$2:$90,87,0),0)</f>
        <v>0</v>
      </c>
      <c r="AF48" s="47">
        <f>+IFERROR(HLOOKUP(AF13,'סקרי נכסים-יתרות פתיחה'!$2:$76,72,0),0)-IFERROR(HLOOKUP(AF13,'סקרי נכסים-יתרות פתיחה'!$2:$90,87,0),0)</f>
        <v>0</v>
      </c>
      <c r="AG48" s="47">
        <f>+IFERROR(HLOOKUP(AG13,'סקרי נכסים-יתרות פתיחה'!$2:$76,72,0),0)-IFERROR(HLOOKUP(AG13,'סקרי נכסים-יתרות פתיחה'!$2:$90,87,0),0)</f>
        <v>0</v>
      </c>
      <c r="AH48" s="47">
        <f>+IFERROR(HLOOKUP(AH13,'סקרי נכסים-יתרות פתיחה'!$2:$76,72,0),0)-IFERROR(HLOOKUP(AH13,'סקרי נכסים-יתרות פתיחה'!$2:$90,87,0),0)</f>
        <v>0</v>
      </c>
      <c r="AI48" s="47">
        <f>+IFERROR(HLOOKUP(AI13,'סקרי נכסים-יתרות פתיחה'!$2:$76,72,0),0)-IFERROR(HLOOKUP(AI13,'סקרי נכסים-יתרות פתיחה'!$2:$90,87,0),0)</f>
        <v>0</v>
      </c>
      <c r="AJ48" s="47">
        <f>+IFERROR(HLOOKUP(AJ13,'סקרי נכסים-יתרות פתיחה'!$2:$76,72,0),0)-IFERROR(HLOOKUP(AJ13,'סקרי נכסים-יתרות פתיחה'!$2:$90,87,0),0)</f>
        <v>0</v>
      </c>
      <c r="AK48" s="47">
        <f>+IFERROR(HLOOKUP(AK13,'סקרי נכסים-יתרות פתיחה'!$2:$76,72,0),0)-IFERROR(HLOOKUP(AK13,'סקרי נכסים-יתרות פתיחה'!$2:$90,87,0),0)</f>
        <v>0</v>
      </c>
      <c r="AL48" s="47">
        <f>+IFERROR(HLOOKUP(AL13,'סקרי נכסים-יתרות פתיחה'!$2:$76,72,0),0)-IFERROR(HLOOKUP(AL13,'סקרי נכסים-יתרות פתיחה'!$2:$90,87,0),0)</f>
        <v>0</v>
      </c>
      <c r="AM48" s="47">
        <f>+IFERROR(HLOOKUP(AM13,'סקרי נכסים-יתרות פתיחה'!$2:$76,72,0),0)-IFERROR(HLOOKUP(AM13,'סקרי נכסים-יתרות פתיחה'!$2:$90,87,0),0)</f>
        <v>0</v>
      </c>
      <c r="AN48" s="47">
        <f>+IFERROR(HLOOKUP(AN13,'סקרי נכסים-יתרות פתיחה'!$2:$76,72,0),0)-IFERROR(HLOOKUP(AN13,'סקרי נכסים-יתרות פתיחה'!$2:$90,87,0),0)</f>
        <v>8391588.5714285709</v>
      </c>
      <c r="AO48" s="47">
        <f>+IFERROR(HLOOKUP(AO13,'סקרי נכסים-יתרות פתיחה'!$2:$76,72,0),0)-IFERROR(HLOOKUP(AO13,'סקרי נכסים-יתרות פתיחה'!$2:$90,87,0),0)</f>
        <v>0</v>
      </c>
      <c r="AP48" s="47">
        <f>+IFERROR(HLOOKUP(AP13,'סקרי נכסים-יתרות פתיחה'!$2:$76,72,0),0)-IFERROR(HLOOKUP(AP13,'סקרי נכסים-יתרות פתיחה'!$2:$90,87,0),0)</f>
        <v>0</v>
      </c>
      <c r="AQ48" s="47">
        <f>+IFERROR(HLOOKUP(AQ13,'סקרי נכסים-יתרות פתיחה'!$2:$76,72,0),0)-IFERROR(HLOOKUP(AQ13,'סקרי נכסים-יתרות פתיחה'!$2:$90,87,0),0)</f>
        <v>0</v>
      </c>
      <c r="AR48" s="47">
        <f>+IFERROR(HLOOKUP(AR13,'סקרי נכסים-יתרות פתיחה'!$2:$76,72,0),0)-IFERROR(HLOOKUP(AR13,'סקרי נכסים-יתרות פתיחה'!$2:$90,87,0),0)</f>
        <v>0</v>
      </c>
      <c r="AS48" s="47">
        <f>+IFERROR(HLOOKUP(AS13,'סקרי נכסים-יתרות פתיחה'!$2:$76,72,0),0)-IFERROR(HLOOKUP(AS13,'סקרי נכסים-יתרות פתיחה'!$2:$90,87,0),0)</f>
        <v>7811676.5571428575</v>
      </c>
      <c r="AT48" s="47">
        <f>+IFERROR(HLOOKUP(AT13,'סקרי נכסים-יתרות פתיחה'!$2:$76,72,0),0)-IFERROR(HLOOKUP(AT13,'סקרי נכסים-יתרות פתיחה'!$2:$90,87,0),0)</f>
        <v>0</v>
      </c>
      <c r="AU48" s="47">
        <f>+IFERROR(HLOOKUP(AU13,'סקרי נכסים-יתרות פתיחה'!$2:$76,72,0),0)-IFERROR(HLOOKUP(AU13,'סקרי נכסים-יתרות פתיחה'!$2:$90,87,0),0)</f>
        <v>0</v>
      </c>
      <c r="AV48" s="47">
        <f>+IFERROR(HLOOKUP(AV13,'סקרי נכסים-יתרות פתיחה'!$2:$76,72,0),0)-IFERROR(HLOOKUP(AV13,'סקרי נכסים-יתרות פתיחה'!$2:$90,87,0),0)</f>
        <v>0</v>
      </c>
      <c r="AW48" s="47">
        <f>+IFERROR(HLOOKUP(AW13,'סקרי נכסים-יתרות פתיחה'!$2:$76,72,0),0)-IFERROR(HLOOKUP(AW13,'סקרי נכסים-יתרות פתיחה'!$2:$90,87,0),0)</f>
        <v>0</v>
      </c>
      <c r="AX48" s="47">
        <f>+IFERROR(HLOOKUP(AX13,'סקרי נכסים-יתרות פתיחה'!$2:$76,72,0),0)-IFERROR(HLOOKUP(AX13,'סקרי נכסים-יתרות פתיחה'!$2:$90,87,0),0)</f>
        <v>0</v>
      </c>
      <c r="AY48" s="47">
        <f>+IFERROR(HLOOKUP(AY13,'סקרי נכסים-יתרות פתיחה'!$2:$76,72,0),0)-IFERROR(HLOOKUP(AY13,'סקרי נכסים-יתרות פתיחה'!$2:$90,87,0),0)</f>
        <v>0</v>
      </c>
      <c r="AZ48" s="47">
        <f>+IFERROR(HLOOKUP(AZ13,'סקרי נכסים-יתרות פתיחה'!$2:$76,72,0),0)-IFERROR(HLOOKUP(AZ13,'סקרי נכסים-יתרות פתיחה'!$2:$90,87,0),0)</f>
        <v>0</v>
      </c>
      <c r="BA48" s="47">
        <f>+IFERROR(HLOOKUP(BA13,'סקרי נכסים-יתרות פתיחה'!$2:$76,72,0),0)-IFERROR(HLOOKUP(BA13,'סקרי נכסים-יתרות פתיחה'!$2:$90,87,0),0)</f>
        <v>0</v>
      </c>
      <c r="BB48" s="47">
        <f>+IFERROR(HLOOKUP(BB13,'סקרי נכסים-יתרות פתיחה'!$2:$76,72,0),0)-IFERROR(HLOOKUP(BB13,'סקרי נכסים-יתרות פתיחה'!$2:$90,87,0),0)</f>
        <v>1798829.9285714286</v>
      </c>
      <c r="BC48" s="47">
        <f>+IFERROR(HLOOKUP(BC13,'סקרי נכסים-יתרות פתיחה'!$2:$76,72,0),0)-IFERROR(HLOOKUP(BC13,'סקרי נכסים-יתרות פתיחה'!$2:$90,87,0),0)</f>
        <v>5987609.6619047625</v>
      </c>
      <c r="BD48" s="47">
        <f>+IFERROR(HLOOKUP(BD13,'סקרי נכסים-יתרות פתיחה'!$2:$76,72,0),0)-IFERROR(HLOOKUP(BD13,'סקרי נכסים-יתרות פתיחה'!$2:$90,87,0),0)</f>
        <v>0</v>
      </c>
      <c r="BE48" s="47">
        <f>+IFERROR(HLOOKUP(BE13,'סקרי נכסים-יתרות פתיחה'!$2:$76,72,0),0)-IFERROR(HLOOKUP(BE13,'סקרי נכסים-יתרות פתיחה'!$2:$90,87,0),0)</f>
        <v>0</v>
      </c>
      <c r="BF48" s="47">
        <f>+IFERROR(HLOOKUP(BF13,'סקרי נכסים-יתרות פתיחה'!$2:$76,72,0),0)-IFERROR(HLOOKUP(BF13,'סקרי נכסים-יתרות פתיחה'!$2:$90,87,0),0)</f>
        <v>0</v>
      </c>
    </row>
    <row r="49" spans="2:58" x14ac:dyDescent="0.2">
      <c r="B49" s="1">
        <v>7</v>
      </c>
      <c r="C49" s="47">
        <f>+IFERROR(HLOOKUP(C14,'סקרי נכסים-יתרות פתיחה'!$2:$76,72,0),0)-IFERROR(HLOOKUP(C14,'סקרי נכסים-יתרות פתיחה'!$2:$90,87,0),0)</f>
        <v>0</v>
      </c>
      <c r="D49" s="47">
        <f>+IFERROR(HLOOKUP(D14,'סקרי נכסים-יתרות פתיחה'!$2:$76,72,0),0)-IFERROR(HLOOKUP(D14,'סקרי נכסים-יתרות פתיחה'!$2:$90,87,0),0)</f>
        <v>7267740</v>
      </c>
      <c r="E49" s="47">
        <f>+IFERROR(HLOOKUP(E14,'סקרי נכסים-יתרות פתיחה'!$2:$76,72,0),0)-IFERROR(HLOOKUP(E14,'סקרי נכסים-יתרות פתיחה'!$2:$90,87,0),0)</f>
        <v>0</v>
      </c>
      <c r="F49" s="47">
        <f>+IFERROR(HLOOKUP(F14,'סקרי נכסים-יתרות פתיחה'!$2:$76,72,0),0)-IFERROR(HLOOKUP(F14,'סקרי נכסים-יתרות פתיחה'!$2:$90,87,0),0)</f>
        <v>0</v>
      </c>
      <c r="G49" s="47">
        <f>+IFERROR(HLOOKUP(G14,'סקרי נכסים-יתרות פתיחה'!$2:$76,72,0),0)-IFERROR(HLOOKUP(G14,'סקרי נכסים-יתרות פתיחה'!$2:$90,87,0),0)</f>
        <v>0</v>
      </c>
      <c r="H49" s="47">
        <f>+IFERROR(HLOOKUP(H14,'סקרי נכסים-יתרות פתיחה'!$2:$76,72,0),0)-IFERROR(HLOOKUP(H14,'סקרי נכסים-יתרות פתיחה'!$2:$90,87,0),0)</f>
        <v>0</v>
      </c>
      <c r="I49" s="47">
        <f>+IFERROR(HLOOKUP(I14,'סקרי נכסים-יתרות פתיחה'!$2:$76,72,0),0)-IFERROR(HLOOKUP(I14,'סקרי נכסים-יתרות פתיחה'!$2:$90,87,0),0)</f>
        <v>0</v>
      </c>
      <c r="J49" s="47">
        <f>+IFERROR(HLOOKUP(J14,'סקרי נכסים-יתרות פתיחה'!$2:$76,72,0),0)-IFERROR(HLOOKUP(J14,'סקרי נכסים-יתרות פתיחה'!$2:$90,87,0),0)</f>
        <v>0</v>
      </c>
      <c r="K49" s="47">
        <f>+IFERROR(HLOOKUP(K14,'סקרי נכסים-יתרות פתיחה'!$2:$76,72,0),0)-IFERROR(HLOOKUP(K14,'סקרי נכסים-יתרות פתיחה'!$2:$90,87,0),0)</f>
        <v>0</v>
      </c>
      <c r="L49" s="47">
        <f>+IFERROR(HLOOKUP(L14,'סקרי נכסים-יתרות פתיחה'!$2:$76,72,0),0)-IFERROR(HLOOKUP(L14,'סקרי נכסים-יתרות פתיחה'!$2:$90,87,0),0)</f>
        <v>0</v>
      </c>
      <c r="M49" s="47">
        <f>+IFERROR(HLOOKUP(M14,'סקרי נכסים-יתרות פתיחה'!$2:$76,72,0),0)-IFERROR(HLOOKUP(M14,'סקרי נכסים-יתרות פתיחה'!$2:$90,87,0),0)</f>
        <v>0</v>
      </c>
      <c r="N49" s="47">
        <f>+IFERROR(HLOOKUP(N14,'סקרי נכסים-יתרות פתיחה'!$2:$76,72,0),0)-IFERROR(HLOOKUP(N14,'סקרי נכסים-יתרות פתיחה'!$2:$90,87,0),0)</f>
        <v>0</v>
      </c>
      <c r="O49" s="47">
        <f>+IFERROR(HLOOKUP(O14,'סקרי נכסים-יתרות פתיחה'!$2:$76,72,0),0)-IFERROR(HLOOKUP(O14,'סקרי נכסים-יתרות פתיחה'!$2:$90,87,0),0)</f>
        <v>0</v>
      </c>
      <c r="P49" s="47">
        <f>+IFERROR(HLOOKUP(P14,'סקרי נכסים-יתרות פתיחה'!$2:$76,72,0),0)-IFERROR(HLOOKUP(P14,'סקרי נכסים-יתרות פתיחה'!$2:$90,87,0),0)</f>
        <v>8658545.6571428571</v>
      </c>
      <c r="Q49" s="47">
        <f>+IFERROR(HLOOKUP(Q14,'סקרי נכסים-יתרות פתיחה'!$2:$76,72,0),0)-IFERROR(HLOOKUP(Q14,'סקרי נכסים-יתרות פתיחה'!$2:$90,87,0),0)</f>
        <v>0</v>
      </c>
      <c r="R49" s="47">
        <f>+IFERROR(HLOOKUP(R14,'סקרי נכסים-יתרות פתיחה'!$2:$76,72,0),0)-IFERROR(HLOOKUP(R14,'סקרי נכסים-יתרות פתיחה'!$2:$90,87,0),0)</f>
        <v>0</v>
      </c>
      <c r="S49" s="47">
        <f>+IFERROR(HLOOKUP(S14,'סקרי נכסים-יתרות פתיחה'!$2:$76,72,0),0)-IFERROR(HLOOKUP(S14,'סקרי נכסים-יתרות פתיחה'!$2:$90,87,0),0)</f>
        <v>0</v>
      </c>
      <c r="T49" s="47">
        <f>+IFERROR(HLOOKUP(T14,'סקרי נכסים-יתרות פתיחה'!$2:$76,72,0),0)-IFERROR(HLOOKUP(T14,'סקרי נכסים-יתרות פתיחה'!$2:$90,87,0),0)</f>
        <v>0</v>
      </c>
      <c r="U49" s="47">
        <f>+IFERROR(HLOOKUP(U14,'סקרי נכסים-יתרות פתיחה'!$2:$76,72,0),0)-IFERROR(HLOOKUP(U14,'סקרי נכסים-יתרות פתיחה'!$2:$90,87,0),0)</f>
        <v>0</v>
      </c>
      <c r="V49" s="47">
        <f>+IFERROR(HLOOKUP(V14,'סקרי נכסים-יתרות פתיחה'!$2:$76,72,0),0)-IFERROR(HLOOKUP(V14,'סקרי נכסים-יתרות פתיחה'!$2:$90,87,0),0)</f>
        <v>7616565.5571428575</v>
      </c>
      <c r="W49" s="47">
        <f>+IFERROR(HLOOKUP(W14,'סקרי נכסים-יתרות פתיחה'!$2:$76,72,0),0)-IFERROR(HLOOKUP(W14,'סקרי נכסים-יתרות פתיחה'!$2:$90,87,0),0)</f>
        <v>6840045</v>
      </c>
      <c r="X49" s="47">
        <f>+IFERROR(HLOOKUP(X14,'סקרי נכסים-יתרות פתיחה'!$2:$76,72,0),0)-IFERROR(HLOOKUP(X14,'סקרי נכסים-יתרות פתיחה'!$2:$90,87,0),0)</f>
        <v>0</v>
      </c>
      <c r="Y49" s="47">
        <f>+IFERROR(HLOOKUP(Y14,'סקרי נכסים-יתרות פתיחה'!$2:$76,72,0),0)-IFERROR(HLOOKUP(Y14,'סקרי נכסים-יתרות פתיחה'!$2:$90,87,0),0)</f>
        <v>0</v>
      </c>
      <c r="Z49" s="47">
        <f>+IFERROR(HLOOKUP(Z14,'סקרי נכסים-יתרות פתיחה'!$2:$76,72,0),0)-IFERROR(HLOOKUP(Z14,'סקרי נכסים-יתרות פתיחה'!$2:$90,87,0),0)</f>
        <v>0</v>
      </c>
      <c r="AA49" s="47">
        <f>+IFERROR(HLOOKUP(AA14,'סקרי נכסים-יתרות פתיחה'!$2:$76,72,0),0)-IFERROR(HLOOKUP(AA14,'סקרי נכסים-יתרות פתיחה'!$2:$90,87,0),0)</f>
        <v>0</v>
      </c>
      <c r="AB49" s="47">
        <f>+IFERROR(HLOOKUP(AB14,'סקרי נכסים-יתרות פתיחה'!$2:$76,72,0),0)-IFERROR(HLOOKUP(AB14,'סקרי נכסים-יתרות פתיחה'!$2:$90,87,0),0)</f>
        <v>0</v>
      </c>
      <c r="AC49" s="47">
        <f>+IFERROR(HLOOKUP(AC14,'סקרי נכסים-יתרות פתיחה'!$2:$76,72,0),0)-IFERROR(HLOOKUP(AC14,'סקרי נכסים-יתרות פתיחה'!$2:$90,87,0),0)</f>
        <v>0</v>
      </c>
      <c r="AD49" s="47">
        <f>+IFERROR(HLOOKUP(AD14,'סקרי נכסים-יתרות פתיחה'!$2:$76,72,0),0)-IFERROR(HLOOKUP(AD14,'סקרי נכסים-יתרות פתיחה'!$2:$90,87,0),0)</f>
        <v>0</v>
      </c>
      <c r="AE49" s="47">
        <f>+IFERROR(HLOOKUP(AE14,'סקרי נכסים-יתרות פתיחה'!$2:$76,72,0),0)-IFERROR(HLOOKUP(AE14,'סקרי נכסים-יתרות פתיחה'!$2:$90,87,0),0)</f>
        <v>0</v>
      </c>
      <c r="AF49" s="47">
        <f>+IFERROR(HLOOKUP(AF14,'סקרי נכסים-יתרות פתיחה'!$2:$76,72,0),0)-IFERROR(HLOOKUP(AF14,'סקרי נכסים-יתרות פתיחה'!$2:$90,87,0),0)</f>
        <v>0</v>
      </c>
      <c r="AG49" s="47">
        <f>+IFERROR(HLOOKUP(AG14,'סקרי נכסים-יתרות פתיחה'!$2:$76,72,0),0)-IFERROR(HLOOKUP(AG14,'סקרי נכסים-יתרות פתיחה'!$2:$90,87,0),0)</f>
        <v>0</v>
      </c>
      <c r="AH49" s="47">
        <f>+IFERROR(HLOOKUP(AH14,'סקרי נכסים-יתרות פתיחה'!$2:$76,72,0),0)-IFERROR(HLOOKUP(AH14,'סקרי נכסים-יתרות פתיחה'!$2:$90,87,0),0)</f>
        <v>0</v>
      </c>
      <c r="AI49" s="47">
        <f>+IFERROR(HLOOKUP(AI14,'סקרי נכסים-יתרות פתיחה'!$2:$76,72,0),0)-IFERROR(HLOOKUP(AI14,'סקרי נכסים-יתרות פתיחה'!$2:$90,87,0),0)</f>
        <v>0</v>
      </c>
      <c r="AJ49" s="47">
        <f>+IFERROR(HLOOKUP(AJ14,'סקרי נכסים-יתרות פתיחה'!$2:$76,72,0),0)-IFERROR(HLOOKUP(AJ14,'סקרי נכסים-יתרות פתיחה'!$2:$90,87,0),0)</f>
        <v>0</v>
      </c>
      <c r="AK49" s="47">
        <f>+IFERROR(HLOOKUP(AK14,'סקרי נכסים-יתרות פתיחה'!$2:$76,72,0),0)-IFERROR(HLOOKUP(AK14,'סקרי נכסים-יתרות פתיחה'!$2:$90,87,0),0)</f>
        <v>0</v>
      </c>
      <c r="AL49" s="47">
        <f>+IFERROR(HLOOKUP(AL14,'סקרי נכסים-יתרות פתיחה'!$2:$76,72,0),0)-IFERROR(HLOOKUP(AL14,'סקרי נכסים-יתרות פתיחה'!$2:$90,87,0),0)</f>
        <v>0</v>
      </c>
      <c r="AM49" s="47">
        <f>+IFERROR(HLOOKUP(AM14,'סקרי נכסים-יתרות פתיחה'!$2:$76,72,0),0)-IFERROR(HLOOKUP(AM14,'סקרי נכסים-יתרות פתיחה'!$2:$90,87,0),0)</f>
        <v>0</v>
      </c>
      <c r="AN49" s="47">
        <f>+IFERROR(HLOOKUP(AN14,'סקרי נכסים-יתרות פתיחה'!$2:$76,72,0),0)-IFERROR(HLOOKUP(AN14,'סקרי נכסים-יתרות פתיחה'!$2:$90,87,0),0)</f>
        <v>0</v>
      </c>
      <c r="AO49" s="47">
        <f>+IFERROR(HLOOKUP(AO14,'סקרי נכסים-יתרות פתיחה'!$2:$76,72,0),0)-IFERROR(HLOOKUP(AO14,'סקרי נכסים-יתרות פתיחה'!$2:$90,87,0),0)</f>
        <v>0</v>
      </c>
      <c r="AP49" s="47">
        <f>+IFERROR(HLOOKUP(AP14,'סקרי נכסים-יתרות פתיחה'!$2:$76,72,0),0)-IFERROR(HLOOKUP(AP14,'סקרי נכסים-יתרות פתיחה'!$2:$90,87,0),0)</f>
        <v>0</v>
      </c>
      <c r="AQ49" s="47">
        <f>+IFERROR(HLOOKUP(AQ14,'סקרי נכסים-יתרות פתיחה'!$2:$76,72,0),0)-IFERROR(HLOOKUP(AQ14,'סקרי נכסים-יתרות פתיחה'!$2:$90,87,0),0)</f>
        <v>0</v>
      </c>
      <c r="AR49" s="47">
        <f>+IFERROR(HLOOKUP(AR14,'סקרי נכסים-יתרות פתיחה'!$2:$76,72,0),0)-IFERROR(HLOOKUP(AR14,'סקרי נכסים-יתרות פתיחה'!$2:$90,87,0),0)</f>
        <v>0</v>
      </c>
      <c r="AS49" s="47">
        <f>+IFERROR(HLOOKUP(AS14,'סקרי נכסים-יתרות פתיחה'!$2:$76,72,0),0)-IFERROR(HLOOKUP(AS14,'סקרי נכסים-יתרות פתיחה'!$2:$90,87,0),0)</f>
        <v>5014192.2857142854</v>
      </c>
      <c r="AT49" s="47">
        <f>+IFERROR(HLOOKUP(AT14,'סקרי נכסים-יתרות פתיחה'!$2:$76,72,0),0)-IFERROR(HLOOKUP(AT14,'סקרי נכסים-יתרות פתיחה'!$2:$90,87,0),0)</f>
        <v>0</v>
      </c>
      <c r="AU49" s="47">
        <f>+IFERROR(HLOOKUP(AU14,'סקרי נכסים-יתרות פתיחה'!$2:$76,72,0),0)-IFERROR(HLOOKUP(AU14,'סקרי נכסים-יתרות פתיחה'!$2:$90,87,0),0)</f>
        <v>0</v>
      </c>
      <c r="AV49" s="47">
        <f>+IFERROR(HLOOKUP(AV14,'סקרי נכסים-יתרות פתיחה'!$2:$76,72,0),0)-IFERROR(HLOOKUP(AV14,'סקרי נכסים-יתרות פתיחה'!$2:$90,87,0),0)</f>
        <v>0</v>
      </c>
      <c r="AW49" s="47">
        <f>+IFERROR(HLOOKUP(AW14,'סקרי נכסים-יתרות פתיחה'!$2:$76,72,0),0)-IFERROR(HLOOKUP(AW14,'סקרי נכסים-יתרות פתיחה'!$2:$90,87,0),0)</f>
        <v>0</v>
      </c>
      <c r="AX49" s="47">
        <f>+IFERROR(HLOOKUP(AX14,'סקרי נכסים-יתרות פתיחה'!$2:$76,72,0),0)-IFERROR(HLOOKUP(AX14,'סקרי נכסים-יתרות פתיחה'!$2:$90,87,0),0)</f>
        <v>0</v>
      </c>
      <c r="AY49" s="47">
        <f>+IFERROR(HLOOKUP(AY14,'סקרי נכסים-יתרות פתיחה'!$2:$76,72,0),0)-IFERROR(HLOOKUP(AY14,'סקרי נכסים-יתרות פתיחה'!$2:$90,87,0),0)</f>
        <v>0</v>
      </c>
      <c r="AZ49" s="47">
        <f>+IFERROR(HLOOKUP(AZ14,'סקרי נכסים-יתרות פתיחה'!$2:$76,72,0),0)-IFERROR(HLOOKUP(AZ14,'סקרי נכסים-יתרות פתיחה'!$2:$90,87,0),0)</f>
        <v>0</v>
      </c>
      <c r="BA49" s="47">
        <f>+IFERROR(HLOOKUP(BA14,'סקרי נכסים-יתרות פתיחה'!$2:$76,72,0),0)-IFERROR(HLOOKUP(BA14,'סקרי נכסים-יתרות פתיחה'!$2:$90,87,0),0)</f>
        <v>0</v>
      </c>
      <c r="BB49" s="47">
        <f>+IFERROR(HLOOKUP(BB14,'סקרי נכסים-יתרות פתיחה'!$2:$76,72,0),0)-IFERROR(HLOOKUP(BB14,'סקרי נכסים-יתרות פתיחה'!$2:$90,87,0),0)</f>
        <v>10362010.742857143</v>
      </c>
      <c r="BC49" s="47">
        <f>+IFERROR(HLOOKUP(BC14,'סקרי נכסים-יתרות פתיחה'!$2:$76,72,0),0)-IFERROR(HLOOKUP(BC14,'סקרי נכסים-יתרות פתיחה'!$2:$90,87,0),0)</f>
        <v>5987609.6619047625</v>
      </c>
      <c r="BD49" s="47">
        <f>+IFERROR(HLOOKUP(BD14,'סקרי נכסים-יתרות פתיחה'!$2:$76,72,0),0)-IFERROR(HLOOKUP(BD14,'סקרי נכסים-יתרות פתיחה'!$2:$90,87,0),0)</f>
        <v>0</v>
      </c>
      <c r="BE49" s="47">
        <f>+IFERROR(HLOOKUP(BE14,'סקרי נכסים-יתרות פתיחה'!$2:$76,72,0),0)-IFERROR(HLOOKUP(BE14,'סקרי נכסים-יתרות פתיחה'!$2:$90,87,0),0)</f>
        <v>0</v>
      </c>
      <c r="BF49" s="47">
        <f>+IFERROR(HLOOKUP(BF14,'סקרי נכסים-יתרות פתיחה'!$2:$76,72,0),0)-IFERROR(HLOOKUP(BF14,'סקרי נכסים-יתרות פתיחה'!$2:$90,87,0),0)</f>
        <v>0</v>
      </c>
    </row>
    <row r="50" spans="2:58" x14ac:dyDescent="0.2">
      <c r="B50" s="1">
        <v>8</v>
      </c>
      <c r="C50" s="47">
        <f>+IFERROR(HLOOKUP(C15,'סקרי נכסים-יתרות פתיחה'!$2:$76,72,0),0)-IFERROR(HLOOKUP(C15,'סקרי נכסים-יתרות פתיחה'!$2:$90,87,0),0)</f>
        <v>0</v>
      </c>
      <c r="D50" s="47">
        <f>+IFERROR(HLOOKUP(D15,'סקרי נכסים-יתרות פתיחה'!$2:$76,72,0),0)-IFERROR(HLOOKUP(D15,'סקרי נכסים-יתרות פתיחה'!$2:$90,87,0),0)</f>
        <v>0</v>
      </c>
      <c r="E50" s="47">
        <f>+IFERROR(HLOOKUP(E15,'סקרי נכסים-יתרות פתיחה'!$2:$76,72,0),0)-IFERROR(HLOOKUP(E15,'סקרי נכסים-יתרות פתיחה'!$2:$90,87,0),0)</f>
        <v>0</v>
      </c>
      <c r="F50" s="47">
        <f>+IFERROR(HLOOKUP(F15,'סקרי נכסים-יתרות פתיחה'!$2:$76,72,0),0)-IFERROR(HLOOKUP(F15,'סקרי נכסים-יתרות פתיחה'!$2:$90,87,0),0)</f>
        <v>0</v>
      </c>
      <c r="G50" s="47">
        <f>+IFERROR(HLOOKUP(G15,'סקרי נכסים-יתרות פתיחה'!$2:$76,72,0),0)-IFERROR(HLOOKUP(G15,'סקרי נכסים-יתרות פתיחה'!$2:$90,87,0),0)</f>
        <v>0</v>
      </c>
      <c r="H50" s="47">
        <f>+IFERROR(HLOOKUP(H15,'סקרי נכסים-יתרות פתיחה'!$2:$76,72,0),0)-IFERROR(HLOOKUP(H15,'סקרי נכסים-יתרות פתיחה'!$2:$90,87,0),0)</f>
        <v>0</v>
      </c>
      <c r="I50" s="47">
        <f>+IFERROR(HLOOKUP(I15,'סקרי נכסים-יתרות פתיחה'!$2:$76,72,0),0)-IFERROR(HLOOKUP(I15,'סקרי נכסים-יתרות פתיחה'!$2:$90,87,0),0)</f>
        <v>0</v>
      </c>
      <c r="J50" s="47">
        <f>+IFERROR(HLOOKUP(J15,'סקרי נכסים-יתרות פתיחה'!$2:$76,72,0),0)-IFERROR(HLOOKUP(J15,'סקרי נכסים-יתרות פתיחה'!$2:$90,87,0),0)</f>
        <v>0</v>
      </c>
      <c r="K50" s="47">
        <f>+IFERROR(HLOOKUP(K15,'סקרי נכסים-יתרות פתיחה'!$2:$76,72,0),0)-IFERROR(HLOOKUP(K15,'סקרי נכסים-יתרות פתיחה'!$2:$90,87,0),0)</f>
        <v>0</v>
      </c>
      <c r="L50" s="47">
        <f>+IFERROR(HLOOKUP(L15,'סקרי נכסים-יתרות פתיחה'!$2:$76,72,0),0)-IFERROR(HLOOKUP(L15,'סקרי נכסים-יתרות פתיחה'!$2:$90,87,0),0)</f>
        <v>0</v>
      </c>
      <c r="M50" s="47">
        <f>+IFERROR(HLOOKUP(M15,'סקרי נכסים-יתרות פתיחה'!$2:$76,72,0),0)-IFERROR(HLOOKUP(M15,'סקרי נכסים-יתרות פתיחה'!$2:$90,87,0),0)</f>
        <v>0</v>
      </c>
      <c r="N50" s="47">
        <f>+IFERROR(HLOOKUP(N15,'סקרי נכסים-יתרות פתיחה'!$2:$76,72,0),0)-IFERROR(HLOOKUP(N15,'סקרי נכסים-יתרות פתיחה'!$2:$90,87,0),0)</f>
        <v>0</v>
      </c>
      <c r="O50" s="47">
        <f>+IFERROR(HLOOKUP(O15,'סקרי נכסים-יתרות פתיחה'!$2:$76,72,0),0)-IFERROR(HLOOKUP(O15,'סקרי נכסים-יתרות פתיחה'!$2:$90,87,0),0)</f>
        <v>0</v>
      </c>
      <c r="P50" s="47">
        <f>+IFERROR(HLOOKUP(P15,'סקרי נכסים-יתרות פתיחה'!$2:$76,72,0),0)-IFERROR(HLOOKUP(P15,'סקרי נכסים-יתרות פתיחה'!$2:$90,87,0),0)</f>
        <v>2884733.5714285714</v>
      </c>
      <c r="Q50" s="47">
        <f>+IFERROR(HLOOKUP(Q15,'סקרי נכסים-יתרות פתיחה'!$2:$76,72,0),0)-IFERROR(HLOOKUP(Q15,'סקרי נכסים-יתרות פתיחה'!$2:$90,87,0),0)</f>
        <v>0</v>
      </c>
      <c r="R50" s="47">
        <f>+IFERROR(HLOOKUP(R15,'סקרי נכסים-יתרות פתיחה'!$2:$76,72,0),0)-IFERROR(HLOOKUP(R15,'סקרי נכסים-יתרות פתיחה'!$2:$90,87,0),0)</f>
        <v>0</v>
      </c>
      <c r="S50" s="47">
        <f>+IFERROR(HLOOKUP(S15,'סקרי נכסים-יתרות פתיחה'!$2:$76,72,0),0)-IFERROR(HLOOKUP(S15,'סקרי נכסים-יתרות פתיחה'!$2:$90,87,0),0)</f>
        <v>0</v>
      </c>
      <c r="T50" s="47">
        <f>+IFERROR(HLOOKUP(T15,'סקרי נכסים-יתרות פתיחה'!$2:$76,72,0),0)-IFERROR(HLOOKUP(T15,'סקרי נכסים-יתרות פתיחה'!$2:$90,87,0),0)</f>
        <v>0</v>
      </c>
      <c r="U50" s="47">
        <f>+IFERROR(HLOOKUP(U15,'סקרי נכסים-יתרות פתיחה'!$2:$76,72,0),0)-IFERROR(HLOOKUP(U15,'סקרי נכסים-יתרות פתיחה'!$2:$90,87,0),0)</f>
        <v>0</v>
      </c>
      <c r="V50" s="47">
        <f>+IFERROR(HLOOKUP(V15,'סקרי נכסים-יתרות פתיחה'!$2:$76,72,0),0)-IFERROR(HLOOKUP(V15,'סקרי נכסים-יתרות פתיחה'!$2:$90,87,0),0)</f>
        <v>0</v>
      </c>
      <c r="W50" s="47">
        <f>+IFERROR(HLOOKUP(W15,'סקרי נכסים-יתרות פתיחה'!$2:$76,72,0),0)-IFERROR(HLOOKUP(W15,'סקרי נכסים-יתרות פתיחה'!$2:$90,87,0),0)</f>
        <v>0</v>
      </c>
      <c r="X50" s="47">
        <f>+IFERROR(HLOOKUP(X15,'סקרי נכסים-יתרות פתיחה'!$2:$76,72,0),0)-IFERROR(HLOOKUP(X15,'סקרי נכסים-יתרות פתיחה'!$2:$90,87,0),0)</f>
        <v>0</v>
      </c>
      <c r="Y50" s="47">
        <f>+IFERROR(HLOOKUP(Y15,'סקרי נכסים-יתרות פתיחה'!$2:$76,72,0),0)-IFERROR(HLOOKUP(Y15,'סקרי נכסים-יתרות פתיחה'!$2:$90,87,0),0)</f>
        <v>0</v>
      </c>
      <c r="Z50" s="47">
        <f>+IFERROR(HLOOKUP(Z15,'סקרי נכסים-יתרות פתיחה'!$2:$76,72,0),0)-IFERROR(HLOOKUP(Z15,'סקרי נכסים-יתרות פתיחה'!$2:$90,87,0),0)</f>
        <v>0</v>
      </c>
      <c r="AA50" s="47">
        <f>+IFERROR(HLOOKUP(AA15,'סקרי נכסים-יתרות פתיחה'!$2:$76,72,0),0)-IFERROR(HLOOKUP(AA15,'סקרי נכסים-יתרות פתיחה'!$2:$90,87,0),0)</f>
        <v>0</v>
      </c>
      <c r="AB50" s="47">
        <f>+IFERROR(HLOOKUP(AB15,'סקרי נכסים-יתרות פתיחה'!$2:$76,72,0),0)-IFERROR(HLOOKUP(AB15,'סקרי נכסים-יתרות פתיחה'!$2:$90,87,0),0)</f>
        <v>0</v>
      </c>
      <c r="AC50" s="47">
        <f>+IFERROR(HLOOKUP(AC15,'סקרי נכסים-יתרות פתיחה'!$2:$76,72,0),0)-IFERROR(HLOOKUP(AC15,'סקרי נכסים-יתרות פתיחה'!$2:$90,87,0),0)</f>
        <v>0</v>
      </c>
      <c r="AD50" s="47">
        <f>+IFERROR(HLOOKUP(AD15,'סקרי נכסים-יתרות פתיחה'!$2:$76,72,0),0)-IFERROR(HLOOKUP(AD15,'סקרי נכסים-יתרות פתיחה'!$2:$90,87,0),0)</f>
        <v>0</v>
      </c>
      <c r="AE50" s="47">
        <f>+IFERROR(HLOOKUP(AE15,'סקרי נכסים-יתרות פתיחה'!$2:$76,72,0),0)-IFERROR(HLOOKUP(AE15,'סקרי נכסים-יתרות פתיחה'!$2:$90,87,0),0)</f>
        <v>0</v>
      </c>
      <c r="AF50" s="47">
        <f>+IFERROR(HLOOKUP(AF15,'סקרי נכסים-יתרות פתיחה'!$2:$76,72,0),0)-IFERROR(HLOOKUP(AF15,'סקרי נכסים-יתרות פתיחה'!$2:$90,87,0),0)</f>
        <v>0</v>
      </c>
      <c r="AG50" s="47">
        <f>+IFERROR(HLOOKUP(AG15,'סקרי נכסים-יתרות פתיחה'!$2:$76,72,0),0)-IFERROR(HLOOKUP(AG15,'סקרי נכסים-יתרות פתיחה'!$2:$90,87,0),0)</f>
        <v>0</v>
      </c>
      <c r="AH50" s="47">
        <f>+IFERROR(HLOOKUP(AH15,'סקרי נכסים-יתרות פתיחה'!$2:$76,72,0),0)-IFERROR(HLOOKUP(AH15,'סקרי נכסים-יתרות פתיחה'!$2:$90,87,0),0)</f>
        <v>0</v>
      </c>
      <c r="AI50" s="47">
        <f>+IFERROR(HLOOKUP(AI15,'סקרי נכסים-יתרות פתיחה'!$2:$76,72,0),0)-IFERROR(HLOOKUP(AI15,'סקרי נכסים-יתרות פתיחה'!$2:$90,87,0),0)</f>
        <v>0</v>
      </c>
      <c r="AJ50" s="47">
        <f>+IFERROR(HLOOKUP(AJ15,'סקרי נכסים-יתרות פתיחה'!$2:$76,72,0),0)-IFERROR(HLOOKUP(AJ15,'סקרי נכסים-יתרות פתיחה'!$2:$90,87,0),0)</f>
        <v>0</v>
      </c>
      <c r="AK50" s="47">
        <f>+IFERROR(HLOOKUP(AK15,'סקרי נכסים-יתרות פתיחה'!$2:$76,72,0),0)-IFERROR(HLOOKUP(AK15,'סקרי נכסים-יתרות פתיחה'!$2:$90,87,0),0)</f>
        <v>0</v>
      </c>
      <c r="AL50" s="47">
        <f>+IFERROR(HLOOKUP(AL15,'סקרי נכסים-יתרות פתיחה'!$2:$76,72,0),0)-IFERROR(HLOOKUP(AL15,'סקרי נכסים-יתרות פתיחה'!$2:$90,87,0),0)</f>
        <v>0</v>
      </c>
      <c r="AM50" s="47">
        <f>+IFERROR(HLOOKUP(AM15,'סקרי נכסים-יתרות פתיחה'!$2:$76,72,0),0)-IFERROR(HLOOKUP(AM15,'סקרי נכסים-יתרות פתיחה'!$2:$90,87,0),0)</f>
        <v>0</v>
      </c>
      <c r="AN50" s="47">
        <f>+IFERROR(HLOOKUP(AN15,'סקרי נכסים-יתרות פתיחה'!$2:$76,72,0),0)-IFERROR(HLOOKUP(AN15,'סקרי נכסים-יתרות פתיחה'!$2:$90,87,0),0)</f>
        <v>0</v>
      </c>
      <c r="AO50" s="47">
        <f>+IFERROR(HLOOKUP(AO15,'סקרי נכסים-יתרות פתיחה'!$2:$76,72,0),0)-IFERROR(HLOOKUP(AO15,'סקרי נכסים-יתרות פתיחה'!$2:$90,87,0),0)</f>
        <v>0</v>
      </c>
      <c r="AP50" s="47">
        <f>+IFERROR(HLOOKUP(AP15,'סקרי נכסים-יתרות פתיחה'!$2:$76,72,0),0)-IFERROR(HLOOKUP(AP15,'סקרי נכסים-יתרות פתיחה'!$2:$90,87,0),0)</f>
        <v>0</v>
      </c>
      <c r="AQ50" s="47">
        <f>+IFERROR(HLOOKUP(AQ15,'סקרי נכסים-יתרות פתיחה'!$2:$76,72,0),0)-IFERROR(HLOOKUP(AQ15,'סקרי נכסים-יתרות פתיחה'!$2:$90,87,0),0)</f>
        <v>0</v>
      </c>
      <c r="AR50" s="47">
        <f>+IFERROR(HLOOKUP(AR15,'סקרי נכסים-יתרות פתיחה'!$2:$76,72,0),0)-IFERROR(HLOOKUP(AR15,'סקרי נכסים-יתרות פתיחה'!$2:$90,87,0),0)</f>
        <v>0</v>
      </c>
      <c r="AS50" s="47">
        <f>+IFERROR(HLOOKUP(AS15,'סקרי נכסים-יתרות פתיחה'!$2:$76,72,0),0)-IFERROR(HLOOKUP(AS15,'סקרי נכסים-יתרות פתיחה'!$2:$90,87,0),0)</f>
        <v>9788145.8571428582</v>
      </c>
      <c r="AT50" s="47">
        <f>+IFERROR(HLOOKUP(AT15,'סקרי נכסים-יתרות פתיחה'!$2:$76,72,0),0)-IFERROR(HLOOKUP(AT15,'סקרי נכסים-יתרות פתיחה'!$2:$90,87,0),0)</f>
        <v>0</v>
      </c>
      <c r="AU50" s="47">
        <f>+IFERROR(HLOOKUP(AU15,'סקרי נכסים-יתרות פתיחה'!$2:$76,72,0),0)-IFERROR(HLOOKUP(AU15,'סקרי נכסים-יתרות פתיחה'!$2:$90,87,0),0)</f>
        <v>0</v>
      </c>
      <c r="AV50" s="47">
        <f>+IFERROR(HLOOKUP(AV15,'סקרי נכסים-יתרות פתיחה'!$2:$76,72,0),0)-IFERROR(HLOOKUP(AV15,'סקרי נכסים-יתרות פתיחה'!$2:$90,87,0),0)</f>
        <v>0</v>
      </c>
      <c r="AW50" s="47">
        <f>+IFERROR(HLOOKUP(AW15,'סקרי נכסים-יתרות פתיחה'!$2:$76,72,0),0)-IFERROR(HLOOKUP(AW15,'סקרי נכסים-יתרות פתיחה'!$2:$90,87,0),0)</f>
        <v>0</v>
      </c>
      <c r="AX50" s="47">
        <f>+IFERROR(HLOOKUP(AX15,'סקרי נכסים-יתרות פתיחה'!$2:$76,72,0),0)-IFERROR(HLOOKUP(AX15,'סקרי נכסים-יתרות פתיחה'!$2:$90,87,0),0)</f>
        <v>0</v>
      </c>
      <c r="AY50" s="47">
        <f>+IFERROR(HLOOKUP(AY15,'סקרי נכסים-יתרות פתיחה'!$2:$76,72,0),0)-IFERROR(HLOOKUP(AY15,'סקרי נכסים-יתרות פתיחה'!$2:$90,87,0),0)</f>
        <v>0</v>
      </c>
      <c r="AZ50" s="47">
        <f>+IFERROR(HLOOKUP(AZ15,'סקרי נכסים-יתרות פתיחה'!$2:$76,72,0),0)-IFERROR(HLOOKUP(AZ15,'סקרי נכסים-יתרות פתיחה'!$2:$90,87,0),0)</f>
        <v>0</v>
      </c>
      <c r="BA50" s="47">
        <f>+IFERROR(HLOOKUP(BA15,'סקרי נכסים-יתרות פתיחה'!$2:$76,72,0),0)-IFERROR(HLOOKUP(BA15,'סקרי נכסים-יתרות פתיחה'!$2:$90,87,0),0)</f>
        <v>0</v>
      </c>
      <c r="BB50" s="47">
        <f>+IFERROR(HLOOKUP(BB15,'סקרי נכסים-יתרות פתיחה'!$2:$76,72,0),0)-IFERROR(HLOOKUP(BB15,'סקרי נכסים-יתרות פתיחה'!$2:$90,87,0),0)</f>
        <v>0</v>
      </c>
      <c r="BC50" s="47">
        <f>+IFERROR(HLOOKUP(BC15,'סקרי נכסים-יתרות פתיחה'!$2:$76,72,0),0)-IFERROR(HLOOKUP(BC15,'סקרי נכסים-יתרות פתיחה'!$2:$90,87,0),0)</f>
        <v>0</v>
      </c>
      <c r="BD50" s="47">
        <f>+IFERROR(HLOOKUP(BD15,'סקרי נכסים-יתרות פתיחה'!$2:$76,72,0),0)-IFERROR(HLOOKUP(BD15,'סקרי נכסים-יתרות פתיחה'!$2:$90,87,0),0)</f>
        <v>0</v>
      </c>
      <c r="BE50" s="47">
        <f>+IFERROR(HLOOKUP(BE15,'סקרי נכסים-יתרות פתיחה'!$2:$76,72,0),0)-IFERROR(HLOOKUP(BE15,'סקרי נכסים-יתרות פתיחה'!$2:$90,87,0),0)</f>
        <v>0</v>
      </c>
      <c r="BF50" s="47">
        <f>+IFERROR(HLOOKUP(BF15,'סקרי נכסים-יתרות פתיחה'!$2:$76,72,0),0)-IFERROR(HLOOKUP(BF15,'סקרי נכסים-יתרות פתיחה'!$2:$90,87,0),0)</f>
        <v>0</v>
      </c>
    </row>
    <row r="51" spans="2:58" x14ac:dyDescent="0.2">
      <c r="B51" s="1">
        <v>9</v>
      </c>
      <c r="C51" s="47">
        <f>+IFERROR(HLOOKUP(C16,'סקרי נכסים-יתרות פתיחה'!$2:$76,72,0),0)-IFERROR(HLOOKUP(C16,'סקרי נכסים-יתרות פתיחה'!$2:$90,87,0),0)</f>
        <v>0</v>
      </c>
      <c r="D51" s="47">
        <f>+IFERROR(HLOOKUP(D16,'סקרי נכסים-יתרות פתיחה'!$2:$76,72,0),0)-IFERROR(HLOOKUP(D16,'סקרי נכסים-יתרות פתיחה'!$2:$90,87,0),0)</f>
        <v>0</v>
      </c>
      <c r="E51" s="47">
        <f>+IFERROR(HLOOKUP(E16,'סקרי נכסים-יתרות פתיחה'!$2:$76,72,0),0)-IFERROR(HLOOKUP(E16,'סקרי נכסים-יתרות פתיחה'!$2:$90,87,0),0)</f>
        <v>0</v>
      </c>
      <c r="F51" s="47">
        <f>+IFERROR(HLOOKUP(F16,'סקרי נכסים-יתרות פתיחה'!$2:$76,72,0),0)-IFERROR(HLOOKUP(F16,'סקרי נכסים-יתרות פתיחה'!$2:$90,87,0),0)</f>
        <v>0</v>
      </c>
      <c r="G51" s="47">
        <f>+IFERROR(HLOOKUP(G16,'סקרי נכסים-יתרות פתיחה'!$2:$76,72,0),0)-IFERROR(HLOOKUP(G16,'סקרי נכסים-יתרות פתיחה'!$2:$90,87,0),0)</f>
        <v>0</v>
      </c>
      <c r="H51" s="47">
        <f>+IFERROR(HLOOKUP(H16,'סקרי נכסים-יתרות פתיחה'!$2:$76,72,0),0)-IFERROR(HLOOKUP(H16,'סקרי נכסים-יתרות פתיחה'!$2:$90,87,0),0)</f>
        <v>0</v>
      </c>
      <c r="I51" s="47">
        <f>+IFERROR(HLOOKUP(I16,'סקרי נכסים-יתרות פתיחה'!$2:$76,72,0),0)-IFERROR(HLOOKUP(I16,'סקרי נכסים-יתרות פתיחה'!$2:$90,87,0),0)</f>
        <v>0</v>
      </c>
      <c r="J51" s="47">
        <f>+IFERROR(HLOOKUP(J16,'סקרי נכסים-יתרות פתיחה'!$2:$76,72,0),0)-IFERROR(HLOOKUP(J16,'סקרי נכסים-יתרות פתיחה'!$2:$90,87,0),0)</f>
        <v>0</v>
      </c>
      <c r="K51" s="47">
        <f>+IFERROR(HLOOKUP(K16,'סקרי נכסים-יתרות פתיחה'!$2:$76,72,0),0)-IFERROR(HLOOKUP(K16,'סקרי נכסים-יתרות פתיחה'!$2:$90,87,0),0)</f>
        <v>0</v>
      </c>
      <c r="L51" s="47">
        <f>+IFERROR(HLOOKUP(L16,'סקרי נכסים-יתרות פתיחה'!$2:$76,72,0),0)-IFERROR(HLOOKUP(L16,'סקרי נכסים-יתרות פתיחה'!$2:$90,87,0),0)</f>
        <v>0</v>
      </c>
      <c r="M51" s="47">
        <f>+IFERROR(HLOOKUP(M16,'סקרי נכסים-יתרות פתיחה'!$2:$76,72,0),0)-IFERROR(HLOOKUP(M16,'סקרי נכסים-יתרות פתיחה'!$2:$90,87,0),0)</f>
        <v>0</v>
      </c>
      <c r="N51" s="47">
        <f>+IFERROR(HLOOKUP(N16,'סקרי נכסים-יתרות פתיחה'!$2:$76,72,0),0)-IFERROR(HLOOKUP(N16,'סקרי נכסים-יתרות פתיחה'!$2:$90,87,0),0)</f>
        <v>0</v>
      </c>
      <c r="O51" s="47">
        <f>+IFERROR(HLOOKUP(O16,'סקרי נכסים-יתרות פתיחה'!$2:$76,72,0),0)-IFERROR(HLOOKUP(O16,'סקרי נכסים-יתרות פתיחה'!$2:$90,87,0),0)</f>
        <v>0</v>
      </c>
      <c r="P51" s="47">
        <f>+IFERROR(HLOOKUP(P16,'סקרי נכסים-יתרות פתיחה'!$2:$76,72,0),0)-IFERROR(HLOOKUP(P16,'סקרי נכסים-יתרות פתיחה'!$2:$90,87,0),0)</f>
        <v>13236165.357142858</v>
      </c>
      <c r="Q51" s="47">
        <f>+IFERROR(HLOOKUP(Q16,'סקרי נכסים-יתרות פתיחה'!$2:$76,72,0),0)-IFERROR(HLOOKUP(Q16,'סקרי נכסים-יתרות פתיחה'!$2:$90,87,0),0)</f>
        <v>0</v>
      </c>
      <c r="R51" s="47">
        <f>+IFERROR(HLOOKUP(R16,'סקרי נכסים-יתרות פתיחה'!$2:$76,72,0),0)-IFERROR(HLOOKUP(R16,'סקרי נכסים-יתרות פתיחה'!$2:$90,87,0),0)</f>
        <v>0</v>
      </c>
      <c r="S51" s="47">
        <f>+IFERROR(HLOOKUP(S16,'סקרי נכסים-יתרות פתיחה'!$2:$76,72,0),0)-IFERROR(HLOOKUP(S16,'סקרי נכסים-יתרות פתיחה'!$2:$90,87,0),0)</f>
        <v>0</v>
      </c>
      <c r="T51" s="47">
        <f>+IFERROR(HLOOKUP(T16,'סקרי נכסים-יתרות פתיחה'!$2:$76,72,0),0)-IFERROR(HLOOKUP(T16,'סקרי נכסים-יתרות פתיחה'!$2:$90,87,0),0)</f>
        <v>0</v>
      </c>
      <c r="U51" s="47">
        <f>+IFERROR(HLOOKUP(U16,'סקרי נכסים-יתרות פתיחה'!$2:$76,72,0),0)-IFERROR(HLOOKUP(U16,'סקרי נכסים-יתרות פתיחה'!$2:$90,87,0),0)</f>
        <v>0</v>
      </c>
      <c r="V51" s="47">
        <f>+IFERROR(HLOOKUP(V16,'סקרי נכסים-יתרות פתיחה'!$2:$76,72,0),0)-IFERROR(HLOOKUP(V16,'סקרי נכסים-יתרות פתיחה'!$2:$90,87,0),0)</f>
        <v>0</v>
      </c>
      <c r="W51" s="47">
        <f>+IFERROR(HLOOKUP(W16,'סקרי נכסים-יתרות פתיחה'!$2:$76,72,0),0)-IFERROR(HLOOKUP(W16,'סקרי נכסים-יתרות פתיחה'!$2:$90,87,0),0)</f>
        <v>0</v>
      </c>
      <c r="X51" s="47">
        <f>+IFERROR(HLOOKUP(X16,'סקרי נכסים-יתרות פתיחה'!$2:$76,72,0),0)-IFERROR(HLOOKUP(X16,'סקרי נכסים-יתרות פתיחה'!$2:$90,87,0),0)</f>
        <v>0</v>
      </c>
      <c r="Y51" s="47">
        <f>+IFERROR(HLOOKUP(Y16,'סקרי נכסים-יתרות פתיחה'!$2:$76,72,0),0)-IFERROR(HLOOKUP(Y16,'סקרי נכסים-יתרות פתיחה'!$2:$90,87,0),0)</f>
        <v>0</v>
      </c>
      <c r="Z51" s="47">
        <f>+IFERROR(HLOOKUP(Z16,'סקרי נכסים-יתרות פתיחה'!$2:$76,72,0),0)-IFERROR(HLOOKUP(Z16,'סקרי נכסים-יתרות פתיחה'!$2:$90,87,0),0)</f>
        <v>0</v>
      </c>
      <c r="AA51" s="47">
        <f>+IFERROR(HLOOKUP(AA16,'סקרי נכסים-יתרות פתיחה'!$2:$76,72,0),0)-IFERROR(HLOOKUP(AA16,'סקרי נכסים-יתרות פתיחה'!$2:$90,87,0),0)</f>
        <v>0</v>
      </c>
      <c r="AB51" s="47">
        <f>+IFERROR(HLOOKUP(AB16,'סקרי נכסים-יתרות פתיחה'!$2:$76,72,0),0)-IFERROR(HLOOKUP(AB16,'סקרי נכסים-יתרות פתיחה'!$2:$90,87,0),0)</f>
        <v>0</v>
      </c>
      <c r="AC51" s="47">
        <f>+IFERROR(HLOOKUP(AC16,'סקרי נכסים-יתרות פתיחה'!$2:$76,72,0),0)-IFERROR(HLOOKUP(AC16,'סקרי נכסים-יתרות פתיחה'!$2:$90,87,0),0)</f>
        <v>0</v>
      </c>
      <c r="AD51" s="47">
        <f>+IFERROR(HLOOKUP(AD16,'סקרי נכסים-יתרות פתיחה'!$2:$76,72,0),0)-IFERROR(HLOOKUP(AD16,'סקרי נכסים-יתרות פתיחה'!$2:$90,87,0),0)</f>
        <v>0</v>
      </c>
      <c r="AE51" s="47">
        <f>+IFERROR(HLOOKUP(AE16,'סקרי נכסים-יתרות פתיחה'!$2:$76,72,0),0)-IFERROR(HLOOKUP(AE16,'סקרי נכסים-יתרות פתיחה'!$2:$90,87,0),0)</f>
        <v>0</v>
      </c>
      <c r="AF51" s="47">
        <f>+IFERROR(HLOOKUP(AF16,'סקרי נכסים-יתרות פתיחה'!$2:$76,72,0),0)-IFERROR(HLOOKUP(AF16,'סקרי נכסים-יתרות פתיחה'!$2:$90,87,0),0)</f>
        <v>0</v>
      </c>
      <c r="AG51" s="47">
        <f>+IFERROR(HLOOKUP(AG16,'סקרי נכסים-יתרות פתיחה'!$2:$76,72,0),0)-IFERROR(HLOOKUP(AG16,'סקרי נכסים-יתרות פתיחה'!$2:$90,87,0),0)</f>
        <v>0</v>
      </c>
      <c r="AH51" s="47">
        <f>+IFERROR(HLOOKUP(AH16,'סקרי נכסים-יתרות פתיחה'!$2:$76,72,0),0)-IFERROR(HLOOKUP(AH16,'סקרי נכסים-יתרות פתיחה'!$2:$90,87,0),0)</f>
        <v>0</v>
      </c>
      <c r="AI51" s="47">
        <f>+IFERROR(HLOOKUP(AI16,'סקרי נכסים-יתרות פתיחה'!$2:$76,72,0),0)-IFERROR(HLOOKUP(AI16,'סקרי נכסים-יתרות פתיחה'!$2:$90,87,0),0)</f>
        <v>0</v>
      </c>
      <c r="AJ51" s="47">
        <f>+IFERROR(HLOOKUP(AJ16,'סקרי נכסים-יתרות פתיחה'!$2:$76,72,0),0)-IFERROR(HLOOKUP(AJ16,'סקרי נכסים-יתרות פתיחה'!$2:$90,87,0),0)</f>
        <v>0</v>
      </c>
      <c r="AK51" s="47">
        <f>+IFERROR(HLOOKUP(AK16,'סקרי נכסים-יתרות פתיחה'!$2:$76,72,0),0)-IFERROR(HLOOKUP(AK16,'סקרי נכסים-יתרות פתיחה'!$2:$90,87,0),0)</f>
        <v>0</v>
      </c>
      <c r="AL51" s="47">
        <f>+IFERROR(HLOOKUP(AL16,'סקרי נכסים-יתרות פתיחה'!$2:$76,72,0),0)-IFERROR(HLOOKUP(AL16,'סקרי נכסים-יתרות פתיחה'!$2:$90,87,0),0)</f>
        <v>0</v>
      </c>
      <c r="AM51" s="47">
        <f>+IFERROR(HLOOKUP(AM16,'סקרי נכסים-יתרות פתיחה'!$2:$76,72,0),0)-IFERROR(HLOOKUP(AM16,'סקרי נכסים-יתרות פתיחה'!$2:$90,87,0),0)</f>
        <v>0</v>
      </c>
      <c r="AN51" s="47">
        <f>+IFERROR(HLOOKUP(AN16,'סקרי נכסים-יתרות פתיחה'!$2:$76,72,0),0)-IFERROR(HLOOKUP(AN16,'סקרי נכסים-יתרות פתיחה'!$2:$90,87,0),0)</f>
        <v>0</v>
      </c>
      <c r="AO51" s="47">
        <f>+IFERROR(HLOOKUP(AO16,'סקרי נכסים-יתרות פתיחה'!$2:$76,72,0),0)-IFERROR(HLOOKUP(AO16,'סקרי נכסים-יתרות פתיחה'!$2:$90,87,0),0)</f>
        <v>0</v>
      </c>
      <c r="AP51" s="47">
        <f>+IFERROR(HLOOKUP(AP16,'סקרי נכסים-יתרות פתיחה'!$2:$76,72,0),0)-IFERROR(HLOOKUP(AP16,'סקרי נכסים-יתרות פתיחה'!$2:$90,87,0),0)</f>
        <v>0</v>
      </c>
      <c r="AQ51" s="47">
        <f>+IFERROR(HLOOKUP(AQ16,'סקרי נכסים-יתרות פתיחה'!$2:$76,72,0),0)-IFERROR(HLOOKUP(AQ16,'סקרי נכסים-יתרות פתיחה'!$2:$90,87,0),0)</f>
        <v>0</v>
      </c>
      <c r="AR51" s="47">
        <f>+IFERROR(HLOOKUP(AR16,'סקרי נכסים-יתרות פתיחה'!$2:$76,72,0),0)-IFERROR(HLOOKUP(AR16,'סקרי נכסים-יתרות פתיחה'!$2:$90,87,0),0)</f>
        <v>0</v>
      </c>
      <c r="AS51" s="47">
        <f>+IFERROR(HLOOKUP(AS16,'סקרי נכסים-יתרות פתיחה'!$2:$76,72,0),0)-IFERROR(HLOOKUP(AS16,'סקרי נכסים-יתרות פתיחה'!$2:$90,87,0),0)</f>
        <v>4431070.2571428567</v>
      </c>
      <c r="AT51" s="47">
        <f>+IFERROR(HLOOKUP(AT16,'סקרי נכסים-יתרות פתיחה'!$2:$76,72,0),0)-IFERROR(HLOOKUP(AT16,'סקרי נכסים-יתרות פתיחה'!$2:$90,87,0),0)</f>
        <v>0</v>
      </c>
      <c r="AU51" s="47">
        <f>+IFERROR(HLOOKUP(AU16,'סקרי נכסים-יתרות פתיחה'!$2:$76,72,0),0)-IFERROR(HLOOKUP(AU16,'סקרי נכסים-יתרות פתיחה'!$2:$90,87,0),0)</f>
        <v>0</v>
      </c>
      <c r="AV51" s="47">
        <f>+IFERROR(HLOOKUP(AV16,'סקרי נכסים-יתרות פתיחה'!$2:$76,72,0),0)-IFERROR(HLOOKUP(AV16,'סקרי נכסים-יתרות פתיחה'!$2:$90,87,0),0)</f>
        <v>0</v>
      </c>
      <c r="AW51" s="47">
        <f>+IFERROR(HLOOKUP(AW16,'סקרי נכסים-יתרות פתיחה'!$2:$76,72,0),0)-IFERROR(HLOOKUP(AW16,'סקרי נכסים-יתרות פתיחה'!$2:$90,87,0),0)</f>
        <v>0</v>
      </c>
      <c r="AX51" s="47">
        <f>+IFERROR(HLOOKUP(AX16,'סקרי נכסים-יתרות פתיחה'!$2:$76,72,0),0)-IFERROR(HLOOKUP(AX16,'סקרי נכסים-יתרות פתיחה'!$2:$90,87,0),0)</f>
        <v>0</v>
      </c>
      <c r="AY51" s="47">
        <f>+IFERROR(HLOOKUP(AY16,'סקרי נכסים-יתרות פתיחה'!$2:$76,72,0),0)-IFERROR(HLOOKUP(AY16,'סקרי נכסים-יתרות פתיחה'!$2:$90,87,0),0)</f>
        <v>0</v>
      </c>
      <c r="AZ51" s="47">
        <f>+IFERROR(HLOOKUP(AZ16,'סקרי נכסים-יתרות פתיחה'!$2:$76,72,0),0)-IFERROR(HLOOKUP(AZ16,'סקרי נכסים-יתרות פתיחה'!$2:$90,87,0),0)</f>
        <v>0</v>
      </c>
      <c r="BA51" s="47">
        <f>+IFERROR(HLOOKUP(BA16,'סקרי נכסים-יתרות פתיחה'!$2:$76,72,0),0)-IFERROR(HLOOKUP(BA16,'סקרי נכסים-יתרות פתיחה'!$2:$90,87,0),0)</f>
        <v>0</v>
      </c>
      <c r="BB51" s="47">
        <f>+IFERROR(HLOOKUP(BB16,'סקרי נכסים-יתרות פתיחה'!$2:$76,72,0),0)-IFERROR(HLOOKUP(BB16,'סקרי נכסים-יתרות פתיחה'!$2:$90,87,0),0)</f>
        <v>0</v>
      </c>
      <c r="BC51" s="47">
        <f>+IFERROR(HLOOKUP(BC16,'סקרי נכסים-יתרות פתיחה'!$2:$76,72,0),0)-IFERROR(HLOOKUP(BC16,'סקרי נכסים-יתרות פתיחה'!$2:$90,87,0),0)</f>
        <v>0</v>
      </c>
      <c r="BD51" s="47">
        <f>+IFERROR(HLOOKUP(BD16,'סקרי נכסים-יתרות פתיחה'!$2:$76,72,0),0)-IFERROR(HLOOKUP(BD16,'סקרי נכסים-יתרות פתיחה'!$2:$90,87,0),0)</f>
        <v>0</v>
      </c>
      <c r="BE51" s="47">
        <f>+IFERROR(HLOOKUP(BE16,'סקרי נכסים-יתרות פתיחה'!$2:$76,72,0),0)-IFERROR(HLOOKUP(BE16,'סקרי נכסים-יתרות פתיחה'!$2:$90,87,0),0)</f>
        <v>0</v>
      </c>
      <c r="BF51" s="47">
        <f>+IFERROR(HLOOKUP(BF16,'סקרי נכסים-יתרות פתיחה'!$2:$76,72,0),0)-IFERROR(HLOOKUP(BF16,'סקרי נכסים-יתרות פתיחה'!$2:$90,87,0),0)</f>
        <v>0</v>
      </c>
    </row>
    <row r="52" spans="2:58" x14ac:dyDescent="0.2">
      <c r="B52" s="1">
        <v>10</v>
      </c>
      <c r="C52" s="47">
        <f>+IFERROR(HLOOKUP(C17,'סקרי נכסים-יתרות פתיחה'!$2:$76,72,0),0)-IFERROR(HLOOKUP(C17,'סקרי נכסים-יתרות פתיחה'!$2:$90,87,0),0)</f>
        <v>0</v>
      </c>
      <c r="D52" s="47">
        <f>+IFERROR(HLOOKUP(D17,'סקרי נכסים-יתרות פתיחה'!$2:$76,72,0),0)-IFERROR(HLOOKUP(D17,'סקרי נכסים-יתרות פתיחה'!$2:$90,87,0),0)</f>
        <v>0</v>
      </c>
      <c r="E52" s="47">
        <f>+IFERROR(HLOOKUP(E17,'סקרי נכסים-יתרות פתיחה'!$2:$76,72,0),0)-IFERROR(HLOOKUP(E17,'סקרי נכסים-יתרות פתיחה'!$2:$90,87,0),0)</f>
        <v>0</v>
      </c>
      <c r="F52" s="47">
        <f>+IFERROR(HLOOKUP(F17,'סקרי נכסים-יתרות פתיחה'!$2:$76,72,0),0)-IFERROR(HLOOKUP(F17,'סקרי נכסים-יתרות פתיחה'!$2:$90,87,0),0)</f>
        <v>0</v>
      </c>
      <c r="G52" s="47">
        <f>+IFERROR(HLOOKUP(G17,'סקרי נכסים-יתרות פתיחה'!$2:$76,72,0),0)-IFERROR(HLOOKUP(G17,'סקרי נכסים-יתרות פתיחה'!$2:$90,87,0),0)</f>
        <v>0</v>
      </c>
      <c r="H52" s="47">
        <f>+IFERROR(HLOOKUP(H17,'סקרי נכסים-יתרות פתיחה'!$2:$76,72,0),0)-IFERROR(HLOOKUP(H17,'סקרי נכסים-יתרות פתיחה'!$2:$90,87,0),0)</f>
        <v>0</v>
      </c>
      <c r="I52" s="47">
        <f>+IFERROR(HLOOKUP(I17,'סקרי נכסים-יתרות פתיחה'!$2:$76,72,0),0)-IFERROR(HLOOKUP(I17,'סקרי נכסים-יתרות פתיחה'!$2:$90,87,0),0)</f>
        <v>0</v>
      </c>
      <c r="J52" s="47">
        <f>+IFERROR(HLOOKUP(J17,'סקרי נכסים-יתרות פתיחה'!$2:$76,72,0),0)-IFERROR(HLOOKUP(J17,'סקרי נכסים-יתרות פתיחה'!$2:$90,87,0),0)</f>
        <v>0</v>
      </c>
      <c r="K52" s="47">
        <f>+IFERROR(HLOOKUP(K17,'סקרי נכסים-יתרות פתיחה'!$2:$76,72,0),0)-IFERROR(HLOOKUP(K17,'סקרי נכסים-יתרות פתיחה'!$2:$90,87,0),0)</f>
        <v>0</v>
      </c>
      <c r="L52" s="47">
        <f>+IFERROR(HLOOKUP(L17,'סקרי נכסים-יתרות פתיחה'!$2:$76,72,0),0)-IFERROR(HLOOKUP(L17,'סקרי נכסים-יתרות פתיחה'!$2:$90,87,0),0)</f>
        <v>0</v>
      </c>
      <c r="M52" s="47">
        <f>+IFERROR(HLOOKUP(M17,'סקרי נכסים-יתרות פתיחה'!$2:$76,72,0),0)-IFERROR(HLOOKUP(M17,'סקרי נכסים-יתרות פתיחה'!$2:$90,87,0),0)</f>
        <v>0</v>
      </c>
      <c r="N52" s="47">
        <f>+IFERROR(HLOOKUP(N17,'סקרי נכסים-יתרות פתיחה'!$2:$76,72,0),0)-IFERROR(HLOOKUP(N17,'סקרי נכסים-יתרות פתיחה'!$2:$90,87,0),0)</f>
        <v>0</v>
      </c>
      <c r="O52" s="47">
        <f>+IFERROR(HLOOKUP(O17,'סקרי נכסים-יתרות פתיחה'!$2:$76,72,0),0)-IFERROR(HLOOKUP(O17,'סקרי נכסים-יתרות פתיחה'!$2:$90,87,0),0)</f>
        <v>0</v>
      </c>
      <c r="P52" s="47">
        <f>+IFERROR(HLOOKUP(P17,'סקרי נכסים-יתרות פתיחה'!$2:$76,72,0),0)-IFERROR(HLOOKUP(P17,'סקרי נכסים-יתרות פתיחה'!$2:$90,87,0),0)</f>
        <v>6378127.5714285709</v>
      </c>
      <c r="Q52" s="47">
        <f>+IFERROR(HLOOKUP(Q17,'סקרי נכסים-יתרות פתיחה'!$2:$76,72,0),0)-IFERROR(HLOOKUP(Q17,'סקרי נכסים-יתרות פתיחה'!$2:$90,87,0),0)</f>
        <v>0</v>
      </c>
      <c r="R52" s="47">
        <f>+IFERROR(HLOOKUP(R17,'סקרי נכסים-יתרות פתיחה'!$2:$76,72,0),0)-IFERROR(HLOOKUP(R17,'סקרי נכסים-יתרות פתיחה'!$2:$90,87,0),0)</f>
        <v>0</v>
      </c>
      <c r="S52" s="47">
        <f>+IFERROR(HLOOKUP(S17,'סקרי נכסים-יתרות פתיחה'!$2:$76,72,0),0)-IFERROR(HLOOKUP(S17,'סקרי נכסים-יתרות פתיחה'!$2:$90,87,0),0)</f>
        <v>0</v>
      </c>
      <c r="T52" s="47">
        <f>+IFERROR(HLOOKUP(T17,'סקרי נכסים-יתרות פתיחה'!$2:$76,72,0),0)-IFERROR(HLOOKUP(T17,'סקרי נכסים-יתרות פתיחה'!$2:$90,87,0),0)</f>
        <v>0</v>
      </c>
      <c r="U52" s="47">
        <f>+IFERROR(HLOOKUP(U17,'סקרי נכסים-יתרות פתיחה'!$2:$76,72,0),0)-IFERROR(HLOOKUP(U17,'סקרי נכסים-יתרות פתיחה'!$2:$90,87,0),0)</f>
        <v>0</v>
      </c>
      <c r="V52" s="47">
        <f>+IFERROR(HLOOKUP(V17,'סקרי נכסים-יתרות פתיחה'!$2:$76,72,0),0)-IFERROR(HLOOKUP(V17,'סקרי נכסים-יתרות פתיחה'!$2:$90,87,0),0)</f>
        <v>0</v>
      </c>
      <c r="W52" s="47">
        <f>+IFERROR(HLOOKUP(W17,'סקרי נכסים-יתרות פתיחה'!$2:$76,72,0),0)-IFERROR(HLOOKUP(W17,'סקרי נכסים-יתרות פתיחה'!$2:$90,87,0),0)</f>
        <v>0</v>
      </c>
      <c r="X52" s="47">
        <f>+IFERROR(HLOOKUP(X17,'סקרי נכסים-יתרות פתיחה'!$2:$76,72,0),0)-IFERROR(HLOOKUP(X17,'סקרי נכסים-יתרות פתיחה'!$2:$90,87,0),0)</f>
        <v>0</v>
      </c>
      <c r="Y52" s="47">
        <f>+IFERROR(HLOOKUP(Y17,'סקרי נכסים-יתרות פתיחה'!$2:$76,72,0),0)-IFERROR(HLOOKUP(Y17,'סקרי נכסים-יתרות פתיחה'!$2:$90,87,0),0)</f>
        <v>0</v>
      </c>
      <c r="Z52" s="47">
        <f>+IFERROR(HLOOKUP(Z17,'סקרי נכסים-יתרות פתיחה'!$2:$76,72,0),0)-IFERROR(HLOOKUP(Z17,'סקרי נכסים-יתרות פתיחה'!$2:$90,87,0),0)</f>
        <v>0</v>
      </c>
      <c r="AA52" s="47">
        <f>+IFERROR(HLOOKUP(AA17,'סקרי נכסים-יתרות פתיחה'!$2:$76,72,0),0)-IFERROR(HLOOKUP(AA17,'סקרי נכסים-יתרות פתיחה'!$2:$90,87,0),0)</f>
        <v>0</v>
      </c>
      <c r="AB52" s="47">
        <f>+IFERROR(HLOOKUP(AB17,'סקרי נכסים-יתרות פתיחה'!$2:$76,72,0),0)-IFERROR(HLOOKUP(AB17,'סקרי נכסים-יתרות פתיחה'!$2:$90,87,0),0)</f>
        <v>0</v>
      </c>
      <c r="AC52" s="47">
        <f>+IFERROR(HLOOKUP(AC17,'סקרי נכסים-יתרות פתיחה'!$2:$76,72,0),0)-IFERROR(HLOOKUP(AC17,'סקרי נכסים-יתרות פתיחה'!$2:$90,87,0),0)</f>
        <v>0</v>
      </c>
      <c r="AD52" s="47">
        <f>+IFERROR(HLOOKUP(AD17,'סקרי נכסים-יתרות פתיחה'!$2:$76,72,0),0)-IFERROR(HLOOKUP(AD17,'סקרי נכסים-יתרות פתיחה'!$2:$90,87,0),0)</f>
        <v>0</v>
      </c>
      <c r="AE52" s="47">
        <f>+IFERROR(HLOOKUP(AE17,'סקרי נכסים-יתרות פתיחה'!$2:$76,72,0),0)-IFERROR(HLOOKUP(AE17,'סקרי נכסים-יתרות פתיחה'!$2:$90,87,0),0)</f>
        <v>0</v>
      </c>
      <c r="AF52" s="47">
        <f>+IFERROR(HLOOKUP(AF17,'סקרי נכסים-יתרות פתיחה'!$2:$76,72,0),0)-IFERROR(HLOOKUP(AF17,'סקרי נכסים-יתרות פתיחה'!$2:$90,87,0),0)</f>
        <v>0</v>
      </c>
      <c r="AG52" s="47">
        <f>+IFERROR(HLOOKUP(AG17,'סקרי נכסים-יתרות פתיחה'!$2:$76,72,0),0)-IFERROR(HLOOKUP(AG17,'סקרי נכסים-יתרות פתיחה'!$2:$90,87,0),0)</f>
        <v>0</v>
      </c>
      <c r="AH52" s="47">
        <f>+IFERROR(HLOOKUP(AH17,'סקרי נכסים-יתרות פתיחה'!$2:$76,72,0),0)-IFERROR(HLOOKUP(AH17,'סקרי נכסים-יתרות פתיחה'!$2:$90,87,0),0)</f>
        <v>0</v>
      </c>
      <c r="AI52" s="47">
        <f>+IFERROR(HLOOKUP(AI17,'סקרי נכסים-יתרות פתיחה'!$2:$76,72,0),0)-IFERROR(HLOOKUP(AI17,'סקרי נכסים-יתרות פתיחה'!$2:$90,87,0),0)</f>
        <v>0</v>
      </c>
      <c r="AJ52" s="47">
        <f>+IFERROR(HLOOKUP(AJ17,'סקרי נכסים-יתרות פתיחה'!$2:$76,72,0),0)-IFERROR(HLOOKUP(AJ17,'סקרי נכסים-יתרות פתיחה'!$2:$90,87,0),0)</f>
        <v>0</v>
      </c>
      <c r="AK52" s="47">
        <f>+IFERROR(HLOOKUP(AK17,'סקרי נכסים-יתרות פתיחה'!$2:$76,72,0),0)-IFERROR(HLOOKUP(AK17,'סקרי נכסים-יתרות פתיחה'!$2:$90,87,0),0)</f>
        <v>0</v>
      </c>
      <c r="AL52" s="47">
        <f>+IFERROR(HLOOKUP(AL17,'סקרי נכסים-יתרות פתיחה'!$2:$76,72,0),0)-IFERROR(HLOOKUP(AL17,'סקרי נכסים-יתרות פתיחה'!$2:$90,87,0),0)</f>
        <v>0</v>
      </c>
      <c r="AM52" s="47">
        <f>+IFERROR(HLOOKUP(AM17,'סקרי נכסים-יתרות פתיחה'!$2:$76,72,0),0)-IFERROR(HLOOKUP(AM17,'סקרי נכסים-יתרות פתיחה'!$2:$90,87,0),0)</f>
        <v>0</v>
      </c>
      <c r="AN52" s="47">
        <f>+IFERROR(HLOOKUP(AN17,'סקרי נכסים-יתרות פתיחה'!$2:$76,72,0),0)-IFERROR(HLOOKUP(AN17,'סקרי נכסים-יתרות פתיחה'!$2:$90,87,0),0)</f>
        <v>0</v>
      </c>
      <c r="AO52" s="47">
        <f>+IFERROR(HLOOKUP(AO17,'סקרי נכסים-יתרות פתיחה'!$2:$76,72,0),0)-IFERROR(HLOOKUP(AO17,'סקרי נכסים-יתרות פתיחה'!$2:$90,87,0),0)</f>
        <v>0</v>
      </c>
      <c r="AP52" s="47">
        <f>+IFERROR(HLOOKUP(AP17,'סקרי נכסים-יתרות פתיחה'!$2:$76,72,0),0)-IFERROR(HLOOKUP(AP17,'סקרי נכסים-יתרות פתיחה'!$2:$90,87,0),0)</f>
        <v>0</v>
      </c>
      <c r="AQ52" s="47">
        <f>+IFERROR(HLOOKUP(AQ17,'סקרי נכסים-יתרות פתיחה'!$2:$76,72,0),0)-IFERROR(HLOOKUP(AQ17,'סקרי נכסים-יתרות פתיחה'!$2:$90,87,0),0)</f>
        <v>0</v>
      </c>
      <c r="AR52" s="47">
        <f>+IFERROR(HLOOKUP(AR17,'סקרי נכסים-יתרות פתיחה'!$2:$76,72,0),0)-IFERROR(HLOOKUP(AR17,'סקרי נכסים-יתרות פתיחה'!$2:$90,87,0),0)</f>
        <v>0</v>
      </c>
      <c r="AS52" s="47">
        <f>+IFERROR(HLOOKUP(AS17,'סקרי נכסים-יתרות פתיחה'!$2:$76,72,0),0)-IFERROR(HLOOKUP(AS17,'סקרי נכסים-יתרות פתיחה'!$2:$90,87,0),0)</f>
        <v>10520547.071428571</v>
      </c>
      <c r="AT52" s="47">
        <f>+IFERROR(HLOOKUP(AT17,'סקרי נכסים-יתרות פתיחה'!$2:$76,72,0),0)-IFERROR(HLOOKUP(AT17,'סקרי נכסים-יתרות פתיחה'!$2:$90,87,0),0)</f>
        <v>0</v>
      </c>
      <c r="AU52" s="47">
        <f>+IFERROR(HLOOKUP(AU17,'סקרי נכסים-יתרות פתיחה'!$2:$76,72,0),0)-IFERROR(HLOOKUP(AU17,'סקרי נכסים-יתרות פתיחה'!$2:$90,87,0),0)</f>
        <v>0</v>
      </c>
      <c r="AV52" s="47">
        <f>+IFERROR(HLOOKUP(AV17,'סקרי נכסים-יתרות פתיחה'!$2:$76,72,0),0)-IFERROR(HLOOKUP(AV17,'סקרי נכסים-יתרות פתיחה'!$2:$90,87,0),0)</f>
        <v>0</v>
      </c>
      <c r="AW52" s="47">
        <f>+IFERROR(HLOOKUP(AW17,'סקרי נכסים-יתרות פתיחה'!$2:$76,72,0),0)-IFERROR(HLOOKUP(AW17,'סקרי נכסים-יתרות פתיחה'!$2:$90,87,0),0)</f>
        <v>0</v>
      </c>
      <c r="AX52" s="47">
        <f>+IFERROR(HLOOKUP(AX17,'סקרי נכסים-יתרות פתיחה'!$2:$76,72,0),0)-IFERROR(HLOOKUP(AX17,'סקרי נכסים-יתרות פתיחה'!$2:$90,87,0),0)</f>
        <v>0</v>
      </c>
      <c r="AY52" s="47">
        <f>+IFERROR(HLOOKUP(AY17,'סקרי נכסים-יתרות פתיחה'!$2:$76,72,0),0)-IFERROR(HLOOKUP(AY17,'סקרי נכסים-יתרות פתיחה'!$2:$90,87,0),0)</f>
        <v>0</v>
      </c>
      <c r="AZ52" s="47">
        <f>+IFERROR(HLOOKUP(AZ17,'סקרי נכסים-יתרות פתיחה'!$2:$76,72,0),0)-IFERROR(HLOOKUP(AZ17,'סקרי נכסים-יתרות פתיחה'!$2:$90,87,0),0)</f>
        <v>0</v>
      </c>
      <c r="BA52" s="47">
        <f>+IFERROR(HLOOKUP(BA17,'סקרי נכסים-יתרות פתיחה'!$2:$76,72,0),0)-IFERROR(HLOOKUP(BA17,'סקרי נכסים-יתרות פתיחה'!$2:$90,87,0),0)</f>
        <v>0</v>
      </c>
      <c r="BB52" s="47">
        <f>+IFERROR(HLOOKUP(BB17,'סקרי נכסים-יתרות פתיחה'!$2:$76,72,0),0)-IFERROR(HLOOKUP(BB17,'סקרי נכסים-יתרות פתיחה'!$2:$90,87,0),0)</f>
        <v>0</v>
      </c>
      <c r="BC52" s="47">
        <f>+IFERROR(HLOOKUP(BC17,'סקרי נכסים-יתרות פתיחה'!$2:$76,72,0),0)-IFERROR(HLOOKUP(BC17,'סקרי נכסים-יתרות פתיחה'!$2:$90,87,0),0)</f>
        <v>0</v>
      </c>
      <c r="BD52" s="47">
        <f>+IFERROR(HLOOKUP(BD17,'סקרי נכסים-יתרות פתיחה'!$2:$76,72,0),0)-IFERROR(HLOOKUP(BD17,'סקרי נכסים-יתרות פתיחה'!$2:$90,87,0),0)</f>
        <v>0</v>
      </c>
      <c r="BE52" s="47">
        <f>+IFERROR(HLOOKUP(BE17,'סקרי נכסים-יתרות פתיחה'!$2:$76,72,0),0)-IFERROR(HLOOKUP(BE17,'סקרי נכסים-יתרות פתיחה'!$2:$90,87,0),0)</f>
        <v>0</v>
      </c>
      <c r="BF52" s="47">
        <f>+IFERROR(HLOOKUP(BF17,'סקרי נכסים-יתרות פתיחה'!$2:$76,72,0),0)-IFERROR(HLOOKUP(BF17,'סקרי נכסים-יתרות פתיחה'!$2:$90,87,0),0)</f>
        <v>0</v>
      </c>
    </row>
    <row r="53" spans="2:58" x14ac:dyDescent="0.2">
      <c r="B53" s="1">
        <v>11</v>
      </c>
      <c r="C53" s="47">
        <f>+IFERROR(HLOOKUP(C18,'סקרי נכסים-יתרות פתיחה'!$2:$76,72,0),0)-IFERROR(HLOOKUP(C18,'סקרי נכסים-יתרות פתיחה'!$2:$90,87,0),0)</f>
        <v>0</v>
      </c>
      <c r="D53" s="47">
        <f>+IFERROR(HLOOKUP(D18,'סקרי נכסים-יתרות פתיחה'!$2:$76,72,0),0)-IFERROR(HLOOKUP(D18,'סקרי נכסים-יתרות פתיחה'!$2:$90,87,0),0)</f>
        <v>0</v>
      </c>
      <c r="E53" s="47">
        <f>+IFERROR(HLOOKUP(E18,'סקרי נכסים-יתרות פתיחה'!$2:$76,72,0),0)-IFERROR(HLOOKUP(E18,'סקרי נכסים-יתרות פתיחה'!$2:$90,87,0),0)</f>
        <v>0</v>
      </c>
      <c r="F53" s="47">
        <f>+IFERROR(HLOOKUP(F18,'סקרי נכסים-יתרות פתיחה'!$2:$76,72,0),0)-IFERROR(HLOOKUP(F18,'סקרי נכסים-יתרות פתיחה'!$2:$90,87,0),0)</f>
        <v>0</v>
      </c>
      <c r="G53" s="47">
        <f>+IFERROR(HLOOKUP(G18,'סקרי נכסים-יתרות פתיחה'!$2:$76,72,0),0)-IFERROR(HLOOKUP(G18,'סקרי נכסים-יתרות פתיחה'!$2:$90,87,0),0)</f>
        <v>0</v>
      </c>
      <c r="H53" s="47">
        <f>+IFERROR(HLOOKUP(H18,'סקרי נכסים-יתרות פתיחה'!$2:$76,72,0),0)-IFERROR(HLOOKUP(H18,'סקרי נכסים-יתרות פתיחה'!$2:$90,87,0),0)</f>
        <v>0</v>
      </c>
      <c r="I53" s="47">
        <f>+IFERROR(HLOOKUP(I18,'סקרי נכסים-יתרות פתיחה'!$2:$76,72,0),0)-IFERROR(HLOOKUP(I18,'סקרי נכסים-יתרות פתיחה'!$2:$90,87,0),0)</f>
        <v>0</v>
      </c>
      <c r="J53" s="47">
        <f>+IFERROR(HLOOKUP(J18,'סקרי נכסים-יתרות פתיחה'!$2:$76,72,0),0)-IFERROR(HLOOKUP(J18,'סקרי נכסים-יתרות פתיחה'!$2:$90,87,0),0)</f>
        <v>0</v>
      </c>
      <c r="K53" s="47">
        <f>+IFERROR(HLOOKUP(K18,'סקרי נכסים-יתרות פתיחה'!$2:$76,72,0),0)-IFERROR(HLOOKUP(K18,'סקרי נכסים-יתרות פתיחה'!$2:$90,87,0),0)</f>
        <v>0</v>
      </c>
      <c r="L53" s="47">
        <f>+IFERROR(HLOOKUP(L18,'סקרי נכסים-יתרות פתיחה'!$2:$76,72,0),0)-IFERROR(HLOOKUP(L18,'סקרי נכסים-יתרות פתיחה'!$2:$90,87,0),0)</f>
        <v>0</v>
      </c>
      <c r="M53" s="47">
        <f>+IFERROR(HLOOKUP(M18,'סקרי נכסים-יתרות פתיחה'!$2:$76,72,0),0)-IFERROR(HLOOKUP(M18,'סקרי נכסים-יתרות פתיחה'!$2:$90,87,0),0)</f>
        <v>0</v>
      </c>
      <c r="N53" s="47">
        <f>+IFERROR(HLOOKUP(N18,'סקרי נכסים-יתרות פתיחה'!$2:$76,72,0),0)-IFERROR(HLOOKUP(N18,'סקרי נכסים-יתרות פתיחה'!$2:$90,87,0),0)</f>
        <v>0</v>
      </c>
      <c r="O53" s="47">
        <f>+IFERROR(HLOOKUP(O18,'סקרי נכסים-יתרות פתיחה'!$2:$76,72,0),0)-IFERROR(HLOOKUP(O18,'סקרי נכסים-יתרות פתיחה'!$2:$90,87,0),0)</f>
        <v>0</v>
      </c>
      <c r="P53" s="47">
        <f>+IFERROR(HLOOKUP(P18,'סקרי נכסים-יתרות פתיחה'!$2:$76,72,0),0)-IFERROR(HLOOKUP(P18,'סקרי נכסים-יתרות פתיחה'!$2:$90,87,0),0)</f>
        <v>4681306.4428571425</v>
      </c>
      <c r="Q53" s="47">
        <f>+IFERROR(HLOOKUP(Q18,'סקרי נכסים-יתרות פתיחה'!$2:$76,72,0),0)-IFERROR(HLOOKUP(Q18,'סקרי נכסים-יתרות פתיחה'!$2:$90,87,0),0)</f>
        <v>0</v>
      </c>
      <c r="R53" s="47">
        <f>+IFERROR(HLOOKUP(R18,'סקרי נכסים-יתרות פתיחה'!$2:$76,72,0),0)-IFERROR(HLOOKUP(R18,'סקרי נכסים-יתרות פתיחה'!$2:$90,87,0),0)</f>
        <v>0</v>
      </c>
      <c r="S53" s="47">
        <f>+IFERROR(HLOOKUP(S18,'סקרי נכסים-יתרות פתיחה'!$2:$76,72,0),0)-IFERROR(HLOOKUP(S18,'סקרי נכסים-יתרות פתיחה'!$2:$90,87,0),0)</f>
        <v>0</v>
      </c>
      <c r="T53" s="47">
        <f>+IFERROR(HLOOKUP(T18,'סקרי נכסים-יתרות פתיחה'!$2:$76,72,0),0)-IFERROR(HLOOKUP(T18,'סקרי נכסים-יתרות פתיחה'!$2:$90,87,0),0)</f>
        <v>0</v>
      </c>
      <c r="U53" s="47">
        <f>+IFERROR(HLOOKUP(U18,'סקרי נכסים-יתרות פתיחה'!$2:$76,72,0),0)-IFERROR(HLOOKUP(U18,'סקרי נכסים-יתרות פתיחה'!$2:$90,87,0),0)</f>
        <v>0</v>
      </c>
      <c r="V53" s="47">
        <f>+IFERROR(HLOOKUP(V18,'סקרי נכסים-יתרות פתיחה'!$2:$76,72,0),0)-IFERROR(HLOOKUP(V18,'סקרי נכסים-יתרות פתיחה'!$2:$90,87,0),0)</f>
        <v>0</v>
      </c>
      <c r="W53" s="47">
        <f>+IFERROR(HLOOKUP(W18,'סקרי נכסים-יתרות פתיחה'!$2:$76,72,0),0)-IFERROR(HLOOKUP(W18,'סקרי נכסים-יתרות פתיחה'!$2:$90,87,0),0)</f>
        <v>0</v>
      </c>
      <c r="X53" s="47">
        <f>+IFERROR(HLOOKUP(X18,'סקרי נכסים-יתרות פתיחה'!$2:$76,72,0),0)-IFERROR(HLOOKUP(X18,'סקרי נכסים-יתרות פתיחה'!$2:$90,87,0),0)</f>
        <v>0</v>
      </c>
      <c r="Y53" s="47">
        <f>+IFERROR(HLOOKUP(Y18,'סקרי נכסים-יתרות פתיחה'!$2:$76,72,0),0)-IFERROR(HLOOKUP(Y18,'סקרי נכסים-יתרות פתיחה'!$2:$90,87,0),0)</f>
        <v>0</v>
      </c>
      <c r="Z53" s="47">
        <f>+IFERROR(HLOOKUP(Z18,'סקרי נכסים-יתרות פתיחה'!$2:$76,72,0),0)-IFERROR(HLOOKUP(Z18,'סקרי נכסים-יתרות פתיחה'!$2:$90,87,0),0)</f>
        <v>0</v>
      </c>
      <c r="AA53" s="47">
        <f>+IFERROR(HLOOKUP(AA18,'סקרי נכסים-יתרות פתיחה'!$2:$76,72,0),0)-IFERROR(HLOOKUP(AA18,'סקרי נכסים-יתרות פתיחה'!$2:$90,87,0),0)</f>
        <v>0</v>
      </c>
      <c r="AB53" s="47">
        <f>+IFERROR(HLOOKUP(AB18,'סקרי נכסים-יתרות פתיחה'!$2:$76,72,0),0)-IFERROR(HLOOKUP(AB18,'סקרי נכסים-יתרות פתיחה'!$2:$90,87,0),0)</f>
        <v>0</v>
      </c>
      <c r="AC53" s="47">
        <f>+IFERROR(HLOOKUP(AC18,'סקרי נכסים-יתרות פתיחה'!$2:$76,72,0),0)-IFERROR(HLOOKUP(AC18,'סקרי נכסים-יתרות פתיחה'!$2:$90,87,0),0)</f>
        <v>0</v>
      </c>
      <c r="AD53" s="47">
        <f>+IFERROR(HLOOKUP(AD18,'סקרי נכסים-יתרות פתיחה'!$2:$76,72,0),0)-IFERROR(HLOOKUP(AD18,'סקרי נכסים-יתרות פתיחה'!$2:$90,87,0),0)</f>
        <v>0</v>
      </c>
      <c r="AE53" s="47">
        <f>+IFERROR(HLOOKUP(AE18,'סקרי נכסים-יתרות פתיחה'!$2:$76,72,0),0)-IFERROR(HLOOKUP(AE18,'סקרי נכסים-יתרות פתיחה'!$2:$90,87,0),0)</f>
        <v>0</v>
      </c>
      <c r="AF53" s="47">
        <f>+IFERROR(HLOOKUP(AF18,'סקרי נכסים-יתרות פתיחה'!$2:$76,72,0),0)-IFERROR(HLOOKUP(AF18,'סקרי נכסים-יתרות פתיחה'!$2:$90,87,0),0)</f>
        <v>0</v>
      </c>
      <c r="AG53" s="47">
        <f>+IFERROR(HLOOKUP(AG18,'סקרי נכסים-יתרות פתיחה'!$2:$76,72,0),0)-IFERROR(HLOOKUP(AG18,'סקרי נכסים-יתרות פתיחה'!$2:$90,87,0),0)</f>
        <v>0</v>
      </c>
      <c r="AH53" s="47">
        <f>+IFERROR(HLOOKUP(AH18,'סקרי נכסים-יתרות פתיחה'!$2:$76,72,0),0)-IFERROR(HLOOKUP(AH18,'סקרי נכסים-יתרות פתיחה'!$2:$90,87,0),0)</f>
        <v>0</v>
      </c>
      <c r="AI53" s="47">
        <f>+IFERROR(HLOOKUP(AI18,'סקרי נכסים-יתרות פתיחה'!$2:$76,72,0),0)-IFERROR(HLOOKUP(AI18,'סקרי נכסים-יתרות פתיחה'!$2:$90,87,0),0)</f>
        <v>0</v>
      </c>
      <c r="AJ53" s="47">
        <f>+IFERROR(HLOOKUP(AJ18,'סקרי נכסים-יתרות פתיחה'!$2:$76,72,0),0)-IFERROR(HLOOKUP(AJ18,'סקרי נכסים-יתרות פתיחה'!$2:$90,87,0),0)</f>
        <v>0</v>
      </c>
      <c r="AK53" s="47">
        <f>+IFERROR(HLOOKUP(AK18,'סקרי נכסים-יתרות פתיחה'!$2:$76,72,0),0)-IFERROR(HLOOKUP(AK18,'סקרי נכסים-יתרות פתיחה'!$2:$90,87,0),0)</f>
        <v>0</v>
      </c>
      <c r="AL53" s="47">
        <f>+IFERROR(HLOOKUP(AL18,'סקרי נכסים-יתרות פתיחה'!$2:$76,72,0),0)-IFERROR(HLOOKUP(AL18,'סקרי נכסים-יתרות פתיחה'!$2:$90,87,0),0)</f>
        <v>0</v>
      </c>
      <c r="AM53" s="47">
        <f>+IFERROR(HLOOKUP(AM18,'סקרי נכסים-יתרות פתיחה'!$2:$76,72,0),0)-IFERROR(HLOOKUP(AM18,'סקרי נכסים-יתרות פתיחה'!$2:$90,87,0),0)</f>
        <v>0</v>
      </c>
      <c r="AN53" s="47">
        <f>+IFERROR(HLOOKUP(AN18,'סקרי נכסים-יתרות פתיחה'!$2:$76,72,0),0)-IFERROR(HLOOKUP(AN18,'סקרי נכסים-יתרות פתיחה'!$2:$90,87,0),0)</f>
        <v>0</v>
      </c>
      <c r="AO53" s="47">
        <f>+IFERROR(HLOOKUP(AO18,'סקרי נכסים-יתרות פתיחה'!$2:$76,72,0),0)-IFERROR(HLOOKUP(AO18,'סקרי נכסים-יתרות פתיחה'!$2:$90,87,0),0)</f>
        <v>0</v>
      </c>
      <c r="AP53" s="47">
        <f>+IFERROR(HLOOKUP(AP18,'סקרי נכסים-יתרות פתיחה'!$2:$76,72,0),0)-IFERROR(HLOOKUP(AP18,'סקרי נכסים-יתרות פתיחה'!$2:$90,87,0),0)</f>
        <v>0</v>
      </c>
      <c r="AQ53" s="47">
        <f>+IFERROR(HLOOKUP(AQ18,'סקרי נכסים-יתרות פתיחה'!$2:$76,72,0),0)-IFERROR(HLOOKUP(AQ18,'סקרי נכסים-יתרות פתיחה'!$2:$90,87,0),0)</f>
        <v>0</v>
      </c>
      <c r="AR53" s="47">
        <f>+IFERROR(HLOOKUP(AR18,'סקרי נכסים-יתרות פתיחה'!$2:$76,72,0),0)-IFERROR(HLOOKUP(AR18,'סקרי נכסים-יתרות פתיחה'!$2:$90,87,0),0)</f>
        <v>0</v>
      </c>
      <c r="AS53" s="47">
        <f>+IFERROR(HLOOKUP(AS18,'סקרי נכסים-יתרות פתיחה'!$2:$76,72,0),0)-IFERROR(HLOOKUP(AS18,'סקרי נכסים-יתרות פתיחה'!$2:$90,87,0),0)</f>
        <v>0</v>
      </c>
      <c r="AT53" s="47">
        <f>+IFERROR(HLOOKUP(AT18,'סקרי נכסים-יתרות פתיחה'!$2:$76,72,0),0)-IFERROR(HLOOKUP(AT18,'סקרי נכסים-יתרות פתיחה'!$2:$90,87,0),0)</f>
        <v>0</v>
      </c>
      <c r="AU53" s="47">
        <f>+IFERROR(HLOOKUP(AU18,'סקרי נכסים-יתרות פתיחה'!$2:$76,72,0),0)-IFERROR(HLOOKUP(AU18,'סקרי נכסים-יתרות פתיחה'!$2:$90,87,0),0)</f>
        <v>0</v>
      </c>
      <c r="AV53" s="47">
        <f>+IFERROR(HLOOKUP(AV18,'סקרי נכסים-יתרות פתיחה'!$2:$76,72,0),0)-IFERROR(HLOOKUP(AV18,'סקרי נכסים-יתרות פתיחה'!$2:$90,87,0),0)</f>
        <v>0</v>
      </c>
      <c r="AW53" s="47">
        <f>+IFERROR(HLOOKUP(AW18,'סקרי נכסים-יתרות פתיחה'!$2:$76,72,0),0)-IFERROR(HLOOKUP(AW18,'סקרי נכסים-יתרות פתיחה'!$2:$90,87,0),0)</f>
        <v>0</v>
      </c>
      <c r="AX53" s="47">
        <f>+IFERROR(HLOOKUP(AX18,'סקרי נכסים-יתרות פתיחה'!$2:$76,72,0),0)-IFERROR(HLOOKUP(AX18,'סקרי נכסים-יתרות פתיחה'!$2:$90,87,0),0)</f>
        <v>0</v>
      </c>
      <c r="AY53" s="47">
        <f>+IFERROR(HLOOKUP(AY18,'סקרי נכסים-יתרות פתיחה'!$2:$76,72,0),0)-IFERROR(HLOOKUP(AY18,'סקרי נכסים-יתרות פתיחה'!$2:$90,87,0),0)</f>
        <v>0</v>
      </c>
      <c r="AZ53" s="47">
        <f>+IFERROR(HLOOKUP(AZ18,'סקרי נכסים-יתרות פתיחה'!$2:$76,72,0),0)-IFERROR(HLOOKUP(AZ18,'סקרי נכסים-יתרות פתיחה'!$2:$90,87,0),0)</f>
        <v>0</v>
      </c>
      <c r="BA53" s="47">
        <f>+IFERROR(HLOOKUP(BA18,'סקרי נכסים-יתרות פתיחה'!$2:$76,72,0),0)-IFERROR(HLOOKUP(BA18,'סקרי נכסים-יתרות פתיחה'!$2:$90,87,0),0)</f>
        <v>0</v>
      </c>
      <c r="BB53" s="47">
        <f>+IFERROR(HLOOKUP(BB18,'סקרי נכסים-יתרות פתיחה'!$2:$76,72,0),0)-IFERROR(HLOOKUP(BB18,'סקרי נכסים-יתרות פתיחה'!$2:$90,87,0),0)</f>
        <v>0</v>
      </c>
      <c r="BC53" s="47">
        <f>+IFERROR(HLOOKUP(BC18,'סקרי נכסים-יתרות פתיחה'!$2:$76,72,0),0)-IFERROR(HLOOKUP(BC18,'סקרי נכסים-יתרות פתיחה'!$2:$90,87,0),0)</f>
        <v>0</v>
      </c>
      <c r="BD53" s="47">
        <f>+IFERROR(HLOOKUP(BD18,'סקרי נכסים-יתרות פתיחה'!$2:$76,72,0),0)-IFERROR(HLOOKUP(BD18,'סקרי נכסים-יתרות פתיחה'!$2:$90,87,0),0)</f>
        <v>0</v>
      </c>
      <c r="BE53" s="47">
        <f>+IFERROR(HLOOKUP(BE18,'סקרי נכסים-יתרות פתיחה'!$2:$76,72,0),0)-IFERROR(HLOOKUP(BE18,'סקרי נכסים-יתרות פתיחה'!$2:$90,87,0),0)</f>
        <v>0</v>
      </c>
      <c r="BF53" s="47">
        <f>+IFERROR(HLOOKUP(BF18,'סקרי נכסים-יתרות פתיחה'!$2:$76,72,0),0)-IFERROR(HLOOKUP(BF18,'סקרי נכסים-יתרות פתיחה'!$2:$90,87,0),0)</f>
        <v>0</v>
      </c>
    </row>
    <row r="54" spans="2:58" x14ac:dyDescent="0.2">
      <c r="B54" s="1">
        <v>12</v>
      </c>
      <c r="C54" s="47">
        <f>+IFERROR(HLOOKUP(C19,'סקרי נכסים-יתרות פתיחה'!$2:$76,72,0),0)-IFERROR(HLOOKUP(C19,'סקרי נכסים-יתרות פתיחה'!$2:$90,87,0),0)</f>
        <v>0</v>
      </c>
      <c r="D54" s="47">
        <f>+IFERROR(HLOOKUP(D19,'סקרי נכסים-יתרות פתיחה'!$2:$76,72,0),0)-IFERROR(HLOOKUP(D19,'סקרי נכסים-יתרות פתיחה'!$2:$90,87,0),0)</f>
        <v>0</v>
      </c>
      <c r="E54" s="47">
        <f>+IFERROR(HLOOKUP(E19,'סקרי נכסים-יתרות פתיחה'!$2:$76,72,0),0)-IFERROR(HLOOKUP(E19,'סקרי נכסים-יתרות פתיחה'!$2:$90,87,0),0)</f>
        <v>0</v>
      </c>
      <c r="F54" s="47">
        <f>+IFERROR(HLOOKUP(F19,'סקרי נכסים-יתרות פתיחה'!$2:$76,72,0),0)-IFERROR(HLOOKUP(F19,'סקרי נכסים-יתרות פתיחה'!$2:$90,87,0),0)</f>
        <v>0</v>
      </c>
      <c r="G54" s="47">
        <f>+IFERROR(HLOOKUP(G19,'סקרי נכסים-יתרות פתיחה'!$2:$76,72,0),0)-IFERROR(HLOOKUP(G19,'סקרי נכסים-יתרות פתיחה'!$2:$90,87,0),0)</f>
        <v>0</v>
      </c>
      <c r="H54" s="47">
        <f>+IFERROR(HLOOKUP(H19,'סקרי נכסים-יתרות פתיחה'!$2:$76,72,0),0)-IFERROR(HLOOKUP(H19,'סקרי נכסים-יתרות פתיחה'!$2:$90,87,0),0)</f>
        <v>0</v>
      </c>
      <c r="I54" s="47">
        <f>+IFERROR(HLOOKUP(I19,'סקרי נכסים-יתרות פתיחה'!$2:$76,72,0),0)-IFERROR(HLOOKUP(I19,'סקרי נכסים-יתרות פתיחה'!$2:$90,87,0),0)</f>
        <v>0</v>
      </c>
      <c r="J54" s="47">
        <f>+IFERROR(HLOOKUP(J19,'סקרי נכסים-יתרות פתיחה'!$2:$76,72,0),0)-IFERROR(HLOOKUP(J19,'סקרי נכסים-יתרות פתיחה'!$2:$90,87,0),0)</f>
        <v>0</v>
      </c>
      <c r="K54" s="47">
        <f>+IFERROR(HLOOKUP(K19,'סקרי נכסים-יתרות פתיחה'!$2:$76,72,0),0)-IFERROR(HLOOKUP(K19,'סקרי נכסים-יתרות פתיחה'!$2:$90,87,0),0)</f>
        <v>0</v>
      </c>
      <c r="L54" s="47">
        <f>+IFERROR(HLOOKUP(L19,'סקרי נכסים-יתרות פתיחה'!$2:$76,72,0),0)-IFERROR(HLOOKUP(L19,'סקרי נכסים-יתרות פתיחה'!$2:$90,87,0),0)</f>
        <v>0</v>
      </c>
      <c r="M54" s="47">
        <f>+IFERROR(HLOOKUP(M19,'סקרי נכסים-יתרות פתיחה'!$2:$76,72,0),0)-IFERROR(HLOOKUP(M19,'סקרי נכסים-יתרות פתיחה'!$2:$90,87,0),0)</f>
        <v>0</v>
      </c>
      <c r="N54" s="47">
        <f>+IFERROR(HLOOKUP(N19,'סקרי נכסים-יתרות פתיחה'!$2:$76,72,0),0)-IFERROR(HLOOKUP(N19,'סקרי נכסים-יתרות פתיחה'!$2:$90,87,0),0)</f>
        <v>0</v>
      </c>
      <c r="O54" s="47">
        <f>+IFERROR(HLOOKUP(O19,'סקרי נכסים-יתרות פתיחה'!$2:$76,72,0),0)-IFERROR(HLOOKUP(O19,'סקרי נכסים-יתרות פתיחה'!$2:$90,87,0),0)</f>
        <v>0</v>
      </c>
      <c r="P54" s="47">
        <f>+IFERROR(HLOOKUP(P19,'סקרי נכסים-יתרות פתיחה'!$2:$76,72,0),0)-IFERROR(HLOOKUP(P19,'סקרי נכסים-יתרות פתיחה'!$2:$90,87,0),0)</f>
        <v>8665969.3571428563</v>
      </c>
      <c r="Q54" s="47">
        <f>+IFERROR(HLOOKUP(Q19,'סקרי נכסים-יתרות פתיחה'!$2:$76,72,0),0)-IFERROR(HLOOKUP(Q19,'סקרי נכסים-יתרות פתיחה'!$2:$90,87,0),0)</f>
        <v>0</v>
      </c>
      <c r="R54" s="47">
        <f>+IFERROR(HLOOKUP(R19,'סקרי נכסים-יתרות פתיחה'!$2:$76,72,0),0)-IFERROR(HLOOKUP(R19,'סקרי נכסים-יתרות פתיחה'!$2:$90,87,0),0)</f>
        <v>0</v>
      </c>
      <c r="S54" s="47">
        <f>+IFERROR(HLOOKUP(S19,'סקרי נכסים-יתרות פתיחה'!$2:$76,72,0),0)-IFERROR(HLOOKUP(S19,'סקרי נכסים-יתרות פתיחה'!$2:$90,87,0),0)</f>
        <v>0</v>
      </c>
      <c r="T54" s="47">
        <f>+IFERROR(HLOOKUP(T19,'סקרי נכסים-יתרות פתיחה'!$2:$76,72,0),0)-IFERROR(HLOOKUP(T19,'סקרי נכסים-יתרות פתיחה'!$2:$90,87,0),0)</f>
        <v>0</v>
      </c>
      <c r="U54" s="47">
        <f>+IFERROR(HLOOKUP(U19,'סקרי נכסים-יתרות פתיחה'!$2:$76,72,0),0)-IFERROR(HLOOKUP(U19,'סקרי נכסים-יתרות פתיחה'!$2:$90,87,0),0)</f>
        <v>0</v>
      </c>
      <c r="V54" s="47">
        <f>+IFERROR(HLOOKUP(V19,'סקרי נכסים-יתרות פתיחה'!$2:$76,72,0),0)-IFERROR(HLOOKUP(V19,'סקרי נכסים-יתרות פתיחה'!$2:$90,87,0),0)</f>
        <v>0</v>
      </c>
      <c r="W54" s="47">
        <f>+IFERROR(HLOOKUP(W19,'סקרי נכסים-יתרות פתיחה'!$2:$76,72,0),0)-IFERROR(HLOOKUP(W19,'סקרי נכסים-יתרות פתיחה'!$2:$90,87,0),0)</f>
        <v>0</v>
      </c>
      <c r="X54" s="47">
        <f>+IFERROR(HLOOKUP(X19,'סקרי נכסים-יתרות פתיחה'!$2:$76,72,0),0)-IFERROR(HLOOKUP(X19,'סקרי נכסים-יתרות פתיחה'!$2:$90,87,0),0)</f>
        <v>0</v>
      </c>
      <c r="Y54" s="47">
        <f>+IFERROR(HLOOKUP(Y19,'סקרי נכסים-יתרות פתיחה'!$2:$76,72,0),0)-IFERROR(HLOOKUP(Y19,'סקרי נכסים-יתרות פתיחה'!$2:$90,87,0),0)</f>
        <v>0</v>
      </c>
      <c r="Z54" s="47">
        <f>+IFERROR(HLOOKUP(Z19,'סקרי נכסים-יתרות פתיחה'!$2:$76,72,0),0)-IFERROR(HLOOKUP(Z19,'סקרי נכסים-יתרות פתיחה'!$2:$90,87,0),0)</f>
        <v>0</v>
      </c>
      <c r="AA54" s="47">
        <f>+IFERROR(HLOOKUP(AA19,'סקרי נכסים-יתרות פתיחה'!$2:$76,72,0),0)-IFERROR(HLOOKUP(AA19,'סקרי נכסים-יתרות פתיחה'!$2:$90,87,0),0)</f>
        <v>0</v>
      </c>
      <c r="AB54" s="47">
        <f>+IFERROR(HLOOKUP(AB19,'סקרי נכסים-יתרות פתיחה'!$2:$76,72,0),0)-IFERROR(HLOOKUP(AB19,'סקרי נכסים-יתרות פתיחה'!$2:$90,87,0),0)</f>
        <v>0</v>
      </c>
      <c r="AC54" s="47">
        <f>+IFERROR(HLOOKUP(AC19,'סקרי נכסים-יתרות פתיחה'!$2:$76,72,0),0)-IFERROR(HLOOKUP(AC19,'סקרי נכסים-יתרות פתיחה'!$2:$90,87,0),0)</f>
        <v>0</v>
      </c>
      <c r="AD54" s="47">
        <f>+IFERROR(HLOOKUP(AD19,'סקרי נכסים-יתרות פתיחה'!$2:$76,72,0),0)-IFERROR(HLOOKUP(AD19,'סקרי נכסים-יתרות פתיחה'!$2:$90,87,0),0)</f>
        <v>0</v>
      </c>
      <c r="AE54" s="47">
        <f>+IFERROR(HLOOKUP(AE19,'סקרי נכסים-יתרות פתיחה'!$2:$76,72,0),0)-IFERROR(HLOOKUP(AE19,'סקרי נכסים-יתרות פתיחה'!$2:$90,87,0),0)</f>
        <v>0</v>
      </c>
      <c r="AF54" s="47">
        <f>+IFERROR(HLOOKUP(AF19,'סקרי נכסים-יתרות פתיחה'!$2:$76,72,0),0)-IFERROR(HLOOKUP(AF19,'סקרי נכסים-יתרות פתיחה'!$2:$90,87,0),0)</f>
        <v>0</v>
      </c>
      <c r="AG54" s="47">
        <f>+IFERROR(HLOOKUP(AG19,'סקרי נכסים-יתרות פתיחה'!$2:$76,72,0),0)-IFERROR(HLOOKUP(AG19,'סקרי נכסים-יתרות פתיחה'!$2:$90,87,0),0)</f>
        <v>0</v>
      </c>
      <c r="AH54" s="47">
        <f>+IFERROR(HLOOKUP(AH19,'סקרי נכסים-יתרות פתיחה'!$2:$76,72,0),0)-IFERROR(HLOOKUP(AH19,'סקרי נכסים-יתרות פתיחה'!$2:$90,87,0),0)</f>
        <v>0</v>
      </c>
      <c r="AI54" s="47">
        <f>+IFERROR(HLOOKUP(AI19,'סקרי נכסים-יתרות פתיחה'!$2:$76,72,0),0)-IFERROR(HLOOKUP(AI19,'סקרי נכסים-יתרות פתיחה'!$2:$90,87,0),0)</f>
        <v>0</v>
      </c>
      <c r="AJ54" s="47">
        <f>+IFERROR(HLOOKUP(AJ19,'סקרי נכסים-יתרות פתיחה'!$2:$76,72,0),0)-IFERROR(HLOOKUP(AJ19,'סקרי נכסים-יתרות פתיחה'!$2:$90,87,0),0)</f>
        <v>0</v>
      </c>
      <c r="AK54" s="47">
        <f>+IFERROR(HLOOKUP(AK19,'סקרי נכסים-יתרות פתיחה'!$2:$76,72,0),0)-IFERROR(HLOOKUP(AK19,'סקרי נכסים-יתרות פתיחה'!$2:$90,87,0),0)</f>
        <v>0</v>
      </c>
      <c r="AL54" s="47">
        <f>+IFERROR(HLOOKUP(AL19,'סקרי נכסים-יתרות פתיחה'!$2:$76,72,0),0)-IFERROR(HLOOKUP(AL19,'סקרי נכסים-יתרות פתיחה'!$2:$90,87,0),0)</f>
        <v>0</v>
      </c>
      <c r="AM54" s="47">
        <f>+IFERROR(HLOOKUP(AM19,'סקרי נכסים-יתרות פתיחה'!$2:$76,72,0),0)-IFERROR(HLOOKUP(AM19,'סקרי נכסים-יתרות פתיחה'!$2:$90,87,0),0)</f>
        <v>0</v>
      </c>
      <c r="AN54" s="47">
        <f>+IFERROR(HLOOKUP(AN19,'סקרי נכסים-יתרות פתיחה'!$2:$76,72,0),0)-IFERROR(HLOOKUP(AN19,'סקרי נכסים-יתרות פתיחה'!$2:$90,87,0),0)</f>
        <v>0</v>
      </c>
      <c r="AO54" s="47">
        <f>+IFERROR(HLOOKUP(AO19,'סקרי נכסים-יתרות פתיחה'!$2:$76,72,0),0)-IFERROR(HLOOKUP(AO19,'סקרי נכסים-יתרות פתיחה'!$2:$90,87,0),0)</f>
        <v>0</v>
      </c>
      <c r="AP54" s="47">
        <f>+IFERROR(HLOOKUP(AP19,'סקרי נכסים-יתרות פתיחה'!$2:$76,72,0),0)-IFERROR(HLOOKUP(AP19,'סקרי נכסים-יתרות פתיחה'!$2:$90,87,0),0)</f>
        <v>0</v>
      </c>
      <c r="AQ54" s="47">
        <f>+IFERROR(HLOOKUP(AQ19,'סקרי נכסים-יתרות פתיחה'!$2:$76,72,0),0)-IFERROR(HLOOKUP(AQ19,'סקרי נכסים-יתרות פתיחה'!$2:$90,87,0),0)</f>
        <v>0</v>
      </c>
      <c r="AR54" s="47">
        <f>+IFERROR(HLOOKUP(AR19,'סקרי נכסים-יתרות פתיחה'!$2:$76,72,0),0)-IFERROR(HLOOKUP(AR19,'סקרי נכסים-יתרות פתיחה'!$2:$90,87,0),0)</f>
        <v>0</v>
      </c>
      <c r="AS54" s="47">
        <f>+IFERROR(HLOOKUP(AS19,'סקרי נכסים-יתרות פתיחה'!$2:$76,72,0),0)-IFERROR(HLOOKUP(AS19,'סקרי נכסים-יתרות פתיחה'!$2:$90,87,0),0)</f>
        <v>0</v>
      </c>
      <c r="AT54" s="47">
        <f>+IFERROR(HLOOKUP(AT19,'סקרי נכסים-יתרות פתיחה'!$2:$76,72,0),0)-IFERROR(HLOOKUP(AT19,'סקרי נכסים-יתרות פתיחה'!$2:$90,87,0),0)</f>
        <v>0</v>
      </c>
      <c r="AU54" s="47">
        <f>+IFERROR(HLOOKUP(AU19,'סקרי נכסים-יתרות פתיחה'!$2:$76,72,0),0)-IFERROR(HLOOKUP(AU19,'סקרי נכסים-יתרות פתיחה'!$2:$90,87,0),0)</f>
        <v>0</v>
      </c>
      <c r="AV54" s="47">
        <f>+IFERROR(HLOOKUP(AV19,'סקרי נכסים-יתרות פתיחה'!$2:$76,72,0),0)-IFERROR(HLOOKUP(AV19,'סקרי נכסים-יתרות פתיחה'!$2:$90,87,0),0)</f>
        <v>0</v>
      </c>
      <c r="AW54" s="47">
        <f>+IFERROR(HLOOKUP(AW19,'סקרי נכסים-יתרות פתיחה'!$2:$76,72,0),0)-IFERROR(HLOOKUP(AW19,'סקרי נכסים-יתרות פתיחה'!$2:$90,87,0),0)</f>
        <v>0</v>
      </c>
      <c r="AX54" s="47">
        <f>+IFERROR(HLOOKUP(AX19,'סקרי נכסים-יתרות פתיחה'!$2:$76,72,0),0)-IFERROR(HLOOKUP(AX19,'סקרי נכסים-יתרות פתיחה'!$2:$90,87,0),0)</f>
        <v>0</v>
      </c>
      <c r="AY54" s="47">
        <f>+IFERROR(HLOOKUP(AY19,'סקרי נכסים-יתרות פתיחה'!$2:$76,72,0),0)-IFERROR(HLOOKUP(AY19,'סקרי נכסים-יתרות פתיחה'!$2:$90,87,0),0)</f>
        <v>0</v>
      </c>
      <c r="AZ54" s="47">
        <f>+IFERROR(HLOOKUP(AZ19,'סקרי נכסים-יתרות פתיחה'!$2:$76,72,0),0)-IFERROR(HLOOKUP(AZ19,'סקרי נכסים-יתרות פתיחה'!$2:$90,87,0),0)</f>
        <v>0</v>
      </c>
      <c r="BA54" s="47">
        <f>+IFERROR(HLOOKUP(BA19,'סקרי נכסים-יתרות פתיחה'!$2:$76,72,0),0)-IFERROR(HLOOKUP(BA19,'סקרי נכסים-יתרות פתיחה'!$2:$90,87,0),0)</f>
        <v>0</v>
      </c>
      <c r="BB54" s="47">
        <f>+IFERROR(HLOOKUP(BB19,'סקרי נכסים-יתרות פתיחה'!$2:$76,72,0),0)-IFERROR(HLOOKUP(BB19,'סקרי נכסים-יתרות פתיחה'!$2:$90,87,0),0)</f>
        <v>0</v>
      </c>
      <c r="BC54" s="47">
        <f>+IFERROR(HLOOKUP(BC19,'סקרי נכסים-יתרות פתיחה'!$2:$76,72,0),0)-IFERROR(HLOOKUP(BC19,'סקרי נכסים-יתרות פתיחה'!$2:$90,87,0),0)</f>
        <v>0</v>
      </c>
      <c r="BD54" s="47">
        <f>+IFERROR(HLOOKUP(BD19,'סקרי נכסים-יתרות פתיחה'!$2:$76,72,0),0)-IFERROR(HLOOKUP(BD19,'סקרי נכסים-יתרות פתיחה'!$2:$90,87,0),0)</f>
        <v>0</v>
      </c>
      <c r="BE54" s="47">
        <f>+IFERROR(HLOOKUP(BE19,'סקרי נכסים-יתרות פתיחה'!$2:$76,72,0),0)-IFERROR(HLOOKUP(BE19,'סקרי נכסים-יתרות פתיחה'!$2:$90,87,0),0)</f>
        <v>0</v>
      </c>
      <c r="BF54" s="47">
        <f>+IFERROR(HLOOKUP(BF19,'סקרי נכסים-יתרות פתיחה'!$2:$76,72,0),0)-IFERROR(HLOOKUP(BF19,'סקרי נכסים-יתרות פתיחה'!$2:$90,87,0),0)</f>
        <v>0</v>
      </c>
    </row>
    <row r="55" spans="2:58" x14ac:dyDescent="0.2">
      <c r="B55" s="1">
        <v>13</v>
      </c>
      <c r="C55" s="47">
        <f>+IFERROR(HLOOKUP(C20,'סקרי נכסים-יתרות פתיחה'!$2:$76,72,0),0)-IFERROR(HLOOKUP(C20,'סקרי נכסים-יתרות פתיחה'!$2:$90,87,0),0)</f>
        <v>0</v>
      </c>
      <c r="D55" s="47">
        <f>+IFERROR(HLOOKUP(D20,'סקרי נכסים-יתרות פתיחה'!$2:$76,72,0),0)-IFERROR(HLOOKUP(D20,'סקרי נכסים-יתרות פתיחה'!$2:$90,87,0),0)</f>
        <v>0</v>
      </c>
      <c r="E55" s="47">
        <f>+IFERROR(HLOOKUP(E20,'סקרי נכסים-יתרות פתיחה'!$2:$76,72,0),0)-IFERROR(HLOOKUP(E20,'סקרי נכסים-יתרות פתיחה'!$2:$90,87,0),0)</f>
        <v>0</v>
      </c>
      <c r="F55" s="47">
        <f>+IFERROR(HLOOKUP(F20,'סקרי נכסים-יתרות פתיחה'!$2:$76,72,0),0)-IFERROR(HLOOKUP(F20,'סקרי נכסים-יתרות פתיחה'!$2:$90,87,0),0)</f>
        <v>0</v>
      </c>
      <c r="G55" s="47">
        <f>+IFERROR(HLOOKUP(G20,'סקרי נכסים-יתרות פתיחה'!$2:$76,72,0),0)-IFERROR(HLOOKUP(G20,'סקרי נכסים-יתרות פתיחה'!$2:$90,87,0),0)</f>
        <v>0</v>
      </c>
      <c r="H55" s="47">
        <f>+IFERROR(HLOOKUP(H20,'סקרי נכסים-יתרות פתיחה'!$2:$76,72,0),0)-IFERROR(HLOOKUP(H20,'סקרי נכסים-יתרות פתיחה'!$2:$90,87,0),0)</f>
        <v>0</v>
      </c>
      <c r="I55" s="47">
        <f>+IFERROR(HLOOKUP(I20,'סקרי נכסים-יתרות פתיחה'!$2:$76,72,0),0)-IFERROR(HLOOKUP(I20,'סקרי נכסים-יתרות פתיחה'!$2:$90,87,0),0)</f>
        <v>0</v>
      </c>
      <c r="J55" s="47">
        <f>+IFERROR(HLOOKUP(J20,'סקרי נכסים-יתרות פתיחה'!$2:$76,72,0),0)-IFERROR(HLOOKUP(J20,'סקרי נכסים-יתרות פתיחה'!$2:$90,87,0),0)</f>
        <v>0</v>
      </c>
      <c r="K55" s="47">
        <f>+IFERROR(HLOOKUP(K20,'סקרי נכסים-יתרות פתיחה'!$2:$76,72,0),0)-IFERROR(HLOOKUP(K20,'סקרי נכסים-יתרות פתיחה'!$2:$90,87,0),0)</f>
        <v>0</v>
      </c>
      <c r="L55" s="47">
        <f>+IFERROR(HLOOKUP(L20,'סקרי נכסים-יתרות פתיחה'!$2:$76,72,0),0)-IFERROR(HLOOKUP(L20,'סקרי נכסים-יתרות פתיחה'!$2:$90,87,0),0)</f>
        <v>0</v>
      </c>
      <c r="M55" s="47">
        <f>+IFERROR(HLOOKUP(M20,'סקרי נכסים-יתרות פתיחה'!$2:$76,72,0),0)-IFERROR(HLOOKUP(M20,'סקרי נכסים-יתרות פתיחה'!$2:$90,87,0),0)</f>
        <v>0</v>
      </c>
      <c r="N55" s="47">
        <f>+IFERROR(HLOOKUP(N20,'סקרי נכסים-יתרות פתיחה'!$2:$76,72,0),0)-IFERROR(HLOOKUP(N20,'סקרי נכסים-יתרות פתיחה'!$2:$90,87,0),0)</f>
        <v>0</v>
      </c>
      <c r="O55" s="47">
        <f>+IFERROR(HLOOKUP(O20,'סקרי נכסים-יתרות פתיחה'!$2:$76,72,0),0)-IFERROR(HLOOKUP(O20,'סקרי נכסים-יתרות פתיחה'!$2:$90,87,0),0)</f>
        <v>0</v>
      </c>
      <c r="P55" s="47">
        <f>+IFERROR(HLOOKUP(P20,'סקרי נכסים-יתרות פתיחה'!$2:$76,72,0),0)-IFERROR(HLOOKUP(P20,'סקרי נכסים-יתרות פתיחה'!$2:$90,87,0),0)</f>
        <v>11863628.571428571</v>
      </c>
      <c r="Q55" s="47">
        <f>+IFERROR(HLOOKUP(Q20,'סקרי נכסים-יתרות פתיחה'!$2:$76,72,0),0)-IFERROR(HLOOKUP(Q20,'סקרי נכסים-יתרות פתיחה'!$2:$90,87,0),0)</f>
        <v>0</v>
      </c>
      <c r="R55" s="47">
        <f>+IFERROR(HLOOKUP(R20,'סקרי נכסים-יתרות פתיחה'!$2:$76,72,0),0)-IFERROR(HLOOKUP(R20,'סקרי נכסים-יתרות פתיחה'!$2:$90,87,0),0)</f>
        <v>0</v>
      </c>
      <c r="S55" s="47">
        <f>+IFERROR(HLOOKUP(S20,'סקרי נכסים-יתרות פתיחה'!$2:$76,72,0),0)-IFERROR(HLOOKUP(S20,'סקרי נכסים-יתרות פתיחה'!$2:$90,87,0),0)</f>
        <v>0</v>
      </c>
      <c r="T55" s="47">
        <f>+IFERROR(HLOOKUP(T20,'סקרי נכסים-יתרות פתיחה'!$2:$76,72,0),0)-IFERROR(HLOOKUP(T20,'סקרי נכסים-יתרות פתיחה'!$2:$90,87,0),0)</f>
        <v>0</v>
      </c>
      <c r="U55" s="47">
        <f>+IFERROR(HLOOKUP(U20,'סקרי נכסים-יתרות פתיחה'!$2:$76,72,0),0)-IFERROR(HLOOKUP(U20,'סקרי נכסים-יתרות פתיחה'!$2:$90,87,0),0)</f>
        <v>0</v>
      </c>
      <c r="V55" s="47">
        <f>+IFERROR(HLOOKUP(V20,'סקרי נכסים-יתרות פתיחה'!$2:$76,72,0),0)-IFERROR(HLOOKUP(V20,'סקרי נכסים-יתרות פתיחה'!$2:$90,87,0),0)</f>
        <v>0</v>
      </c>
      <c r="W55" s="47">
        <f>+IFERROR(HLOOKUP(W20,'סקרי נכסים-יתרות פתיחה'!$2:$76,72,0),0)-IFERROR(HLOOKUP(W20,'סקרי נכסים-יתרות פתיחה'!$2:$90,87,0),0)</f>
        <v>0</v>
      </c>
      <c r="X55" s="47">
        <f>+IFERROR(HLOOKUP(X20,'סקרי נכסים-יתרות פתיחה'!$2:$76,72,0),0)-IFERROR(HLOOKUP(X20,'סקרי נכסים-יתרות פתיחה'!$2:$90,87,0),0)</f>
        <v>0</v>
      </c>
      <c r="Y55" s="47">
        <f>+IFERROR(HLOOKUP(Y20,'סקרי נכסים-יתרות פתיחה'!$2:$76,72,0),0)-IFERROR(HLOOKUP(Y20,'סקרי נכסים-יתרות פתיחה'!$2:$90,87,0),0)</f>
        <v>0</v>
      </c>
      <c r="Z55" s="47">
        <f>+IFERROR(HLOOKUP(Z20,'סקרי נכסים-יתרות פתיחה'!$2:$76,72,0),0)-IFERROR(HLOOKUP(Z20,'סקרי נכסים-יתרות פתיחה'!$2:$90,87,0),0)</f>
        <v>0</v>
      </c>
      <c r="AA55" s="47">
        <f>+IFERROR(HLOOKUP(AA20,'סקרי נכסים-יתרות פתיחה'!$2:$76,72,0),0)-IFERROR(HLOOKUP(AA20,'סקרי נכסים-יתרות פתיחה'!$2:$90,87,0),0)</f>
        <v>0</v>
      </c>
      <c r="AB55" s="47">
        <f>+IFERROR(HLOOKUP(AB20,'סקרי נכסים-יתרות פתיחה'!$2:$76,72,0),0)-IFERROR(HLOOKUP(AB20,'סקרי נכסים-יתרות פתיחה'!$2:$90,87,0),0)</f>
        <v>0</v>
      </c>
      <c r="AC55" s="47">
        <f>+IFERROR(HLOOKUP(AC20,'סקרי נכסים-יתרות פתיחה'!$2:$76,72,0),0)-IFERROR(HLOOKUP(AC20,'סקרי נכסים-יתרות פתיחה'!$2:$90,87,0),0)</f>
        <v>0</v>
      </c>
      <c r="AD55" s="47">
        <f>+IFERROR(HLOOKUP(AD20,'סקרי נכסים-יתרות פתיחה'!$2:$76,72,0),0)-IFERROR(HLOOKUP(AD20,'סקרי נכסים-יתרות פתיחה'!$2:$90,87,0),0)</f>
        <v>0</v>
      </c>
      <c r="AE55" s="47">
        <f>+IFERROR(HLOOKUP(AE20,'סקרי נכסים-יתרות פתיחה'!$2:$76,72,0),0)-IFERROR(HLOOKUP(AE20,'סקרי נכסים-יתרות פתיחה'!$2:$90,87,0),0)</f>
        <v>0</v>
      </c>
      <c r="AF55" s="47">
        <f>+IFERROR(HLOOKUP(AF20,'סקרי נכסים-יתרות פתיחה'!$2:$76,72,0),0)-IFERROR(HLOOKUP(AF20,'סקרי נכסים-יתרות פתיחה'!$2:$90,87,0),0)</f>
        <v>0</v>
      </c>
      <c r="AG55" s="47">
        <f>+IFERROR(HLOOKUP(AG20,'סקרי נכסים-יתרות פתיחה'!$2:$76,72,0),0)-IFERROR(HLOOKUP(AG20,'סקרי נכסים-יתרות פתיחה'!$2:$90,87,0),0)</f>
        <v>0</v>
      </c>
      <c r="AH55" s="47">
        <f>+IFERROR(HLOOKUP(AH20,'סקרי נכסים-יתרות פתיחה'!$2:$76,72,0),0)-IFERROR(HLOOKUP(AH20,'סקרי נכסים-יתרות פתיחה'!$2:$90,87,0),0)</f>
        <v>0</v>
      </c>
      <c r="AI55" s="47">
        <f>+IFERROR(HLOOKUP(AI20,'סקרי נכסים-יתרות פתיחה'!$2:$76,72,0),0)-IFERROR(HLOOKUP(AI20,'סקרי נכסים-יתרות פתיחה'!$2:$90,87,0),0)</f>
        <v>0</v>
      </c>
      <c r="AJ55" s="47">
        <f>+IFERROR(HLOOKUP(AJ20,'סקרי נכסים-יתרות פתיחה'!$2:$76,72,0),0)-IFERROR(HLOOKUP(AJ20,'סקרי נכסים-יתרות פתיחה'!$2:$90,87,0),0)</f>
        <v>0</v>
      </c>
      <c r="AK55" s="47">
        <f>+IFERROR(HLOOKUP(AK20,'סקרי נכסים-יתרות פתיחה'!$2:$76,72,0),0)-IFERROR(HLOOKUP(AK20,'סקרי נכסים-יתרות פתיחה'!$2:$90,87,0),0)</f>
        <v>0</v>
      </c>
      <c r="AL55" s="47">
        <f>+IFERROR(HLOOKUP(AL20,'סקרי נכסים-יתרות פתיחה'!$2:$76,72,0),0)-IFERROR(HLOOKUP(AL20,'סקרי נכסים-יתרות פתיחה'!$2:$90,87,0),0)</f>
        <v>0</v>
      </c>
      <c r="AM55" s="47">
        <f>+IFERROR(HLOOKUP(AM20,'סקרי נכסים-יתרות פתיחה'!$2:$76,72,0),0)-IFERROR(HLOOKUP(AM20,'סקרי נכסים-יתרות פתיחה'!$2:$90,87,0),0)</f>
        <v>0</v>
      </c>
      <c r="AN55" s="47">
        <f>+IFERROR(HLOOKUP(AN20,'סקרי נכסים-יתרות פתיחה'!$2:$76,72,0),0)-IFERROR(HLOOKUP(AN20,'סקרי נכסים-יתרות פתיחה'!$2:$90,87,0),0)</f>
        <v>0</v>
      </c>
      <c r="AO55" s="47">
        <f>+IFERROR(HLOOKUP(AO20,'סקרי נכסים-יתרות פתיחה'!$2:$76,72,0),0)-IFERROR(HLOOKUP(AO20,'סקרי נכסים-יתרות פתיחה'!$2:$90,87,0),0)</f>
        <v>0</v>
      </c>
      <c r="AP55" s="47">
        <f>+IFERROR(HLOOKUP(AP20,'סקרי נכסים-יתרות פתיחה'!$2:$76,72,0),0)-IFERROR(HLOOKUP(AP20,'סקרי נכסים-יתרות פתיחה'!$2:$90,87,0),0)</f>
        <v>0</v>
      </c>
      <c r="AQ55" s="47">
        <f>+IFERROR(HLOOKUP(AQ20,'סקרי נכסים-יתרות פתיחה'!$2:$76,72,0),0)-IFERROR(HLOOKUP(AQ20,'סקרי נכסים-יתרות פתיחה'!$2:$90,87,0),0)</f>
        <v>0</v>
      </c>
      <c r="AR55" s="47">
        <f>+IFERROR(HLOOKUP(AR20,'סקרי נכסים-יתרות פתיחה'!$2:$76,72,0),0)-IFERROR(HLOOKUP(AR20,'סקרי נכסים-יתרות פתיחה'!$2:$90,87,0),0)</f>
        <v>0</v>
      </c>
      <c r="AS55" s="47">
        <f>+IFERROR(HLOOKUP(AS20,'סקרי נכסים-יתרות פתיחה'!$2:$76,72,0),0)-IFERROR(HLOOKUP(AS20,'סקרי נכסים-יתרות פתיחה'!$2:$90,87,0),0)</f>
        <v>0</v>
      </c>
      <c r="AT55" s="47">
        <f>+IFERROR(HLOOKUP(AT20,'סקרי נכסים-יתרות פתיחה'!$2:$76,72,0),0)-IFERROR(HLOOKUP(AT20,'סקרי נכסים-יתרות פתיחה'!$2:$90,87,0),0)</f>
        <v>0</v>
      </c>
      <c r="AU55" s="47">
        <f>+IFERROR(HLOOKUP(AU20,'סקרי נכסים-יתרות פתיחה'!$2:$76,72,0),0)-IFERROR(HLOOKUP(AU20,'סקרי נכסים-יתרות פתיחה'!$2:$90,87,0),0)</f>
        <v>0</v>
      </c>
      <c r="AV55" s="47">
        <f>+IFERROR(HLOOKUP(AV20,'סקרי נכסים-יתרות פתיחה'!$2:$76,72,0),0)-IFERROR(HLOOKUP(AV20,'סקרי נכסים-יתרות פתיחה'!$2:$90,87,0),0)</f>
        <v>0</v>
      </c>
      <c r="AW55" s="47">
        <f>+IFERROR(HLOOKUP(AW20,'סקרי נכסים-יתרות פתיחה'!$2:$76,72,0),0)-IFERROR(HLOOKUP(AW20,'סקרי נכסים-יתרות פתיחה'!$2:$90,87,0),0)</f>
        <v>0</v>
      </c>
      <c r="AX55" s="47">
        <f>+IFERROR(HLOOKUP(AX20,'סקרי נכסים-יתרות פתיחה'!$2:$76,72,0),0)-IFERROR(HLOOKUP(AX20,'סקרי נכסים-יתרות פתיחה'!$2:$90,87,0),0)</f>
        <v>0</v>
      </c>
      <c r="AY55" s="47">
        <f>+IFERROR(HLOOKUP(AY20,'סקרי נכסים-יתרות פתיחה'!$2:$76,72,0),0)-IFERROR(HLOOKUP(AY20,'סקרי נכסים-יתרות פתיחה'!$2:$90,87,0),0)</f>
        <v>0</v>
      </c>
      <c r="AZ55" s="47">
        <f>+IFERROR(HLOOKUP(AZ20,'סקרי נכסים-יתרות פתיחה'!$2:$76,72,0),0)-IFERROR(HLOOKUP(AZ20,'סקרי נכסים-יתרות פתיחה'!$2:$90,87,0),0)</f>
        <v>0</v>
      </c>
      <c r="BA55" s="47">
        <f>+IFERROR(HLOOKUP(BA20,'סקרי נכסים-יתרות פתיחה'!$2:$76,72,0),0)-IFERROR(HLOOKUP(BA20,'סקרי נכסים-יתרות פתיחה'!$2:$90,87,0),0)</f>
        <v>0</v>
      </c>
      <c r="BB55" s="47">
        <f>+IFERROR(HLOOKUP(BB20,'סקרי נכסים-יתרות פתיחה'!$2:$76,72,0),0)-IFERROR(HLOOKUP(BB20,'סקרי נכסים-יתרות פתיחה'!$2:$90,87,0),0)</f>
        <v>0</v>
      </c>
      <c r="BC55" s="47">
        <f>+IFERROR(HLOOKUP(BC20,'סקרי נכסים-יתרות פתיחה'!$2:$76,72,0),0)-IFERROR(HLOOKUP(BC20,'סקרי נכסים-יתרות פתיחה'!$2:$90,87,0),0)</f>
        <v>0</v>
      </c>
      <c r="BD55" s="47">
        <f>+IFERROR(HLOOKUP(BD20,'סקרי נכסים-יתרות פתיחה'!$2:$76,72,0),0)-IFERROR(HLOOKUP(BD20,'סקרי נכסים-יתרות פתיחה'!$2:$90,87,0),0)</f>
        <v>0</v>
      </c>
      <c r="BE55" s="47">
        <f>+IFERROR(HLOOKUP(BE20,'סקרי נכסים-יתרות פתיחה'!$2:$76,72,0),0)-IFERROR(HLOOKUP(BE20,'סקרי נכסים-יתרות פתיחה'!$2:$90,87,0),0)</f>
        <v>0</v>
      </c>
      <c r="BF55" s="47">
        <f>+IFERROR(HLOOKUP(BF20,'סקרי נכסים-יתרות פתיחה'!$2:$76,72,0),0)-IFERROR(HLOOKUP(BF20,'סקרי נכסים-יתרות פתיחה'!$2:$90,87,0),0)</f>
        <v>0</v>
      </c>
    </row>
    <row r="56" spans="2:58" x14ac:dyDescent="0.2">
      <c r="B56" s="1">
        <v>14</v>
      </c>
      <c r="C56" s="47">
        <f>+IFERROR(HLOOKUP(C21,'סקרי נכסים-יתרות פתיחה'!$2:$76,72,0),0)-IFERROR(HLOOKUP(C21,'סקרי נכסים-יתרות פתיחה'!$2:$90,87,0),0)</f>
        <v>0</v>
      </c>
      <c r="D56" s="47">
        <f>+IFERROR(HLOOKUP(D21,'סקרי נכסים-יתרות פתיחה'!$2:$76,72,0),0)-IFERROR(HLOOKUP(D21,'סקרי נכסים-יתרות פתיחה'!$2:$90,87,0),0)</f>
        <v>0</v>
      </c>
      <c r="E56" s="47">
        <f>+IFERROR(HLOOKUP(E21,'סקרי נכסים-יתרות פתיחה'!$2:$76,72,0),0)-IFERROR(HLOOKUP(E21,'סקרי נכסים-יתרות פתיחה'!$2:$90,87,0),0)</f>
        <v>0</v>
      </c>
      <c r="F56" s="47">
        <f>+IFERROR(HLOOKUP(F21,'סקרי נכסים-יתרות פתיחה'!$2:$76,72,0),0)-IFERROR(HLOOKUP(F21,'סקרי נכסים-יתרות פתיחה'!$2:$90,87,0),0)</f>
        <v>0</v>
      </c>
      <c r="G56" s="47">
        <f>+IFERROR(HLOOKUP(G21,'סקרי נכסים-יתרות פתיחה'!$2:$76,72,0),0)-IFERROR(HLOOKUP(G21,'סקרי נכסים-יתרות פתיחה'!$2:$90,87,0),0)</f>
        <v>0</v>
      </c>
      <c r="H56" s="47">
        <f>+IFERROR(HLOOKUP(H21,'סקרי נכסים-יתרות פתיחה'!$2:$76,72,0),0)-IFERROR(HLOOKUP(H21,'סקרי נכסים-יתרות פתיחה'!$2:$90,87,0),0)</f>
        <v>0</v>
      </c>
      <c r="I56" s="47">
        <f>+IFERROR(HLOOKUP(I21,'סקרי נכסים-יתרות פתיחה'!$2:$76,72,0),0)-IFERROR(HLOOKUP(I21,'סקרי נכסים-יתרות פתיחה'!$2:$90,87,0),0)</f>
        <v>0</v>
      </c>
      <c r="J56" s="47">
        <f>+IFERROR(HLOOKUP(J21,'סקרי נכסים-יתרות פתיחה'!$2:$76,72,0),0)-IFERROR(HLOOKUP(J21,'סקרי נכסים-יתרות פתיחה'!$2:$90,87,0),0)</f>
        <v>0</v>
      </c>
      <c r="K56" s="47">
        <f>+IFERROR(HLOOKUP(K21,'סקרי נכסים-יתרות פתיחה'!$2:$76,72,0),0)-IFERROR(HLOOKUP(K21,'סקרי נכסים-יתרות פתיחה'!$2:$90,87,0),0)</f>
        <v>0</v>
      </c>
      <c r="L56" s="47">
        <f>+IFERROR(HLOOKUP(L21,'סקרי נכסים-יתרות פתיחה'!$2:$76,72,0),0)-IFERROR(HLOOKUP(L21,'סקרי נכסים-יתרות פתיחה'!$2:$90,87,0),0)</f>
        <v>0</v>
      </c>
      <c r="M56" s="47">
        <f>+IFERROR(HLOOKUP(M21,'סקרי נכסים-יתרות פתיחה'!$2:$76,72,0),0)-IFERROR(HLOOKUP(M21,'סקרי נכסים-יתרות פתיחה'!$2:$90,87,0),0)</f>
        <v>0</v>
      </c>
      <c r="N56" s="47">
        <f>+IFERROR(HLOOKUP(N21,'סקרי נכסים-יתרות פתיחה'!$2:$76,72,0),0)-IFERROR(HLOOKUP(N21,'סקרי נכסים-יתרות פתיחה'!$2:$90,87,0),0)</f>
        <v>0</v>
      </c>
      <c r="O56" s="47">
        <f>+IFERROR(HLOOKUP(O21,'סקרי נכסים-יתרות פתיחה'!$2:$76,72,0),0)-IFERROR(HLOOKUP(O21,'סקרי נכסים-יתרות פתיחה'!$2:$90,87,0),0)</f>
        <v>0</v>
      </c>
      <c r="P56" s="47">
        <f>+IFERROR(HLOOKUP(P21,'סקרי נכסים-יתרות פתיחה'!$2:$76,72,0),0)-IFERROR(HLOOKUP(P21,'סקרי נכסים-יתרות פתיחה'!$2:$90,87,0),0)</f>
        <v>0</v>
      </c>
      <c r="Q56" s="47">
        <f>+IFERROR(HLOOKUP(Q21,'סקרי נכסים-יתרות פתיחה'!$2:$76,72,0),0)-IFERROR(HLOOKUP(Q21,'סקרי נכסים-יתרות פתיחה'!$2:$90,87,0),0)</f>
        <v>0</v>
      </c>
      <c r="R56" s="47">
        <f>+IFERROR(HLOOKUP(R21,'סקרי נכסים-יתרות פתיחה'!$2:$76,72,0),0)-IFERROR(HLOOKUP(R21,'סקרי נכסים-יתרות פתיחה'!$2:$90,87,0),0)</f>
        <v>0</v>
      </c>
      <c r="S56" s="47">
        <f>+IFERROR(HLOOKUP(S21,'סקרי נכסים-יתרות פתיחה'!$2:$76,72,0),0)-IFERROR(HLOOKUP(S21,'סקרי נכסים-יתרות פתיחה'!$2:$90,87,0),0)</f>
        <v>0</v>
      </c>
      <c r="T56" s="47">
        <f>+IFERROR(HLOOKUP(T21,'סקרי נכסים-יתרות פתיחה'!$2:$76,72,0),0)-IFERROR(HLOOKUP(T21,'סקרי נכסים-יתרות פתיחה'!$2:$90,87,0),0)</f>
        <v>0</v>
      </c>
      <c r="U56" s="47">
        <f>+IFERROR(HLOOKUP(U21,'סקרי נכסים-יתרות פתיחה'!$2:$76,72,0),0)-IFERROR(HLOOKUP(U21,'סקרי נכסים-יתרות פתיחה'!$2:$90,87,0),0)</f>
        <v>0</v>
      </c>
      <c r="V56" s="47">
        <f>+IFERROR(HLOOKUP(V21,'סקרי נכסים-יתרות פתיחה'!$2:$76,72,0),0)-IFERROR(HLOOKUP(V21,'סקרי נכסים-יתרות פתיחה'!$2:$90,87,0),0)</f>
        <v>0</v>
      </c>
      <c r="W56" s="47">
        <f>+IFERROR(HLOOKUP(W21,'סקרי נכסים-יתרות פתיחה'!$2:$76,72,0),0)-IFERROR(HLOOKUP(W21,'סקרי נכסים-יתרות פתיחה'!$2:$90,87,0),0)</f>
        <v>0</v>
      </c>
      <c r="X56" s="47">
        <f>+IFERROR(HLOOKUP(X21,'סקרי נכסים-יתרות פתיחה'!$2:$76,72,0),0)-IFERROR(HLOOKUP(X21,'סקרי נכסים-יתרות פתיחה'!$2:$90,87,0),0)</f>
        <v>0</v>
      </c>
      <c r="Y56" s="47">
        <f>+IFERROR(HLOOKUP(Y21,'סקרי נכסים-יתרות פתיחה'!$2:$76,72,0),0)-IFERROR(HLOOKUP(Y21,'סקרי נכסים-יתרות פתיחה'!$2:$90,87,0),0)</f>
        <v>0</v>
      </c>
      <c r="Z56" s="47">
        <f>+IFERROR(HLOOKUP(Z21,'סקרי נכסים-יתרות פתיחה'!$2:$76,72,0),0)-IFERROR(HLOOKUP(Z21,'סקרי נכסים-יתרות פתיחה'!$2:$90,87,0),0)</f>
        <v>0</v>
      </c>
      <c r="AA56" s="47">
        <f>+IFERROR(HLOOKUP(AA21,'סקרי נכסים-יתרות פתיחה'!$2:$76,72,0),0)-IFERROR(HLOOKUP(AA21,'סקרי נכסים-יתרות פתיחה'!$2:$90,87,0),0)</f>
        <v>0</v>
      </c>
      <c r="AB56" s="47">
        <f>+IFERROR(HLOOKUP(AB21,'סקרי נכסים-יתרות פתיחה'!$2:$76,72,0),0)-IFERROR(HLOOKUP(AB21,'סקרי נכסים-יתרות פתיחה'!$2:$90,87,0),0)</f>
        <v>0</v>
      </c>
      <c r="AC56" s="47">
        <f>+IFERROR(HLOOKUP(AC21,'סקרי נכסים-יתרות פתיחה'!$2:$76,72,0),0)-IFERROR(HLOOKUP(AC21,'סקרי נכסים-יתרות פתיחה'!$2:$90,87,0),0)</f>
        <v>0</v>
      </c>
      <c r="AD56" s="47">
        <f>+IFERROR(HLOOKUP(AD21,'סקרי נכסים-יתרות פתיחה'!$2:$76,72,0),0)-IFERROR(HLOOKUP(AD21,'סקרי נכסים-יתרות פתיחה'!$2:$90,87,0),0)</f>
        <v>0</v>
      </c>
      <c r="AE56" s="47">
        <f>+IFERROR(HLOOKUP(AE21,'סקרי נכסים-יתרות פתיחה'!$2:$76,72,0),0)-IFERROR(HLOOKUP(AE21,'סקרי נכסים-יתרות פתיחה'!$2:$90,87,0),0)</f>
        <v>0</v>
      </c>
      <c r="AF56" s="47">
        <f>+IFERROR(HLOOKUP(AF21,'סקרי נכסים-יתרות פתיחה'!$2:$76,72,0),0)-IFERROR(HLOOKUP(AF21,'סקרי נכסים-יתרות פתיחה'!$2:$90,87,0),0)</f>
        <v>0</v>
      </c>
      <c r="AG56" s="47">
        <f>+IFERROR(HLOOKUP(AG21,'סקרי נכסים-יתרות פתיחה'!$2:$76,72,0),0)-IFERROR(HLOOKUP(AG21,'סקרי נכסים-יתרות פתיחה'!$2:$90,87,0),0)</f>
        <v>0</v>
      </c>
      <c r="AH56" s="47">
        <f>+IFERROR(HLOOKUP(AH21,'סקרי נכסים-יתרות פתיחה'!$2:$76,72,0),0)-IFERROR(HLOOKUP(AH21,'סקרי נכסים-יתרות פתיחה'!$2:$90,87,0),0)</f>
        <v>0</v>
      </c>
      <c r="AI56" s="47">
        <f>+IFERROR(HLOOKUP(AI21,'סקרי נכסים-יתרות פתיחה'!$2:$76,72,0),0)-IFERROR(HLOOKUP(AI21,'סקרי נכסים-יתרות פתיחה'!$2:$90,87,0),0)</f>
        <v>0</v>
      </c>
      <c r="AJ56" s="47">
        <f>+IFERROR(HLOOKUP(AJ21,'סקרי נכסים-יתרות פתיחה'!$2:$76,72,0),0)-IFERROR(HLOOKUP(AJ21,'סקרי נכסים-יתרות פתיחה'!$2:$90,87,0),0)</f>
        <v>0</v>
      </c>
      <c r="AK56" s="47">
        <f>+IFERROR(HLOOKUP(AK21,'סקרי נכסים-יתרות פתיחה'!$2:$76,72,0),0)-IFERROR(HLOOKUP(AK21,'סקרי נכסים-יתרות פתיחה'!$2:$90,87,0),0)</f>
        <v>0</v>
      </c>
      <c r="AL56" s="47">
        <f>+IFERROR(HLOOKUP(AL21,'סקרי נכסים-יתרות פתיחה'!$2:$76,72,0),0)-IFERROR(HLOOKUP(AL21,'סקרי נכסים-יתרות פתיחה'!$2:$90,87,0),0)</f>
        <v>0</v>
      </c>
      <c r="AM56" s="47">
        <f>+IFERROR(HLOOKUP(AM21,'סקרי נכסים-יתרות פתיחה'!$2:$76,72,0),0)-IFERROR(HLOOKUP(AM21,'סקרי נכסים-יתרות פתיחה'!$2:$90,87,0),0)</f>
        <v>0</v>
      </c>
      <c r="AN56" s="47">
        <f>+IFERROR(HLOOKUP(AN21,'סקרי נכסים-יתרות פתיחה'!$2:$76,72,0),0)-IFERROR(HLOOKUP(AN21,'סקרי נכסים-יתרות פתיחה'!$2:$90,87,0),0)</f>
        <v>0</v>
      </c>
      <c r="AO56" s="47">
        <f>+IFERROR(HLOOKUP(AO21,'סקרי נכסים-יתרות פתיחה'!$2:$76,72,0),0)-IFERROR(HLOOKUP(AO21,'סקרי נכסים-יתרות פתיחה'!$2:$90,87,0),0)</f>
        <v>0</v>
      </c>
      <c r="AP56" s="47">
        <f>+IFERROR(HLOOKUP(AP21,'סקרי נכסים-יתרות פתיחה'!$2:$76,72,0),0)-IFERROR(HLOOKUP(AP21,'סקרי נכסים-יתרות פתיחה'!$2:$90,87,0),0)</f>
        <v>0</v>
      </c>
      <c r="AQ56" s="47">
        <f>+IFERROR(HLOOKUP(AQ21,'סקרי נכסים-יתרות פתיחה'!$2:$76,72,0),0)-IFERROR(HLOOKUP(AQ21,'סקרי נכסים-יתרות פתיחה'!$2:$90,87,0),0)</f>
        <v>0</v>
      </c>
      <c r="AR56" s="47">
        <f>+IFERROR(HLOOKUP(AR21,'סקרי נכסים-יתרות פתיחה'!$2:$76,72,0),0)-IFERROR(HLOOKUP(AR21,'סקרי נכסים-יתרות פתיחה'!$2:$90,87,0),0)</f>
        <v>0</v>
      </c>
      <c r="AS56" s="47">
        <f>+IFERROR(HLOOKUP(AS21,'סקרי נכסים-יתרות פתיחה'!$2:$76,72,0),0)-IFERROR(HLOOKUP(AS21,'סקרי נכסים-יתרות פתיחה'!$2:$90,87,0),0)</f>
        <v>0</v>
      </c>
      <c r="AT56" s="47">
        <f>+IFERROR(HLOOKUP(AT21,'סקרי נכסים-יתרות פתיחה'!$2:$76,72,0),0)-IFERROR(HLOOKUP(AT21,'סקרי נכסים-יתרות פתיחה'!$2:$90,87,0),0)</f>
        <v>0</v>
      </c>
      <c r="AU56" s="47">
        <f>+IFERROR(HLOOKUP(AU21,'סקרי נכסים-יתרות פתיחה'!$2:$76,72,0),0)-IFERROR(HLOOKUP(AU21,'סקרי נכסים-יתרות פתיחה'!$2:$90,87,0),0)</f>
        <v>0</v>
      </c>
      <c r="AV56" s="47">
        <f>+IFERROR(HLOOKUP(AV21,'סקרי נכסים-יתרות פתיחה'!$2:$76,72,0),0)-IFERROR(HLOOKUP(AV21,'סקרי נכסים-יתרות פתיחה'!$2:$90,87,0),0)</f>
        <v>0</v>
      </c>
      <c r="AW56" s="47">
        <f>+IFERROR(HLOOKUP(AW21,'סקרי נכסים-יתרות פתיחה'!$2:$76,72,0),0)-IFERROR(HLOOKUP(AW21,'סקרי נכסים-יתרות פתיחה'!$2:$90,87,0),0)</f>
        <v>0</v>
      </c>
      <c r="AX56" s="47">
        <f>+IFERROR(HLOOKUP(AX21,'סקרי נכסים-יתרות פתיחה'!$2:$76,72,0),0)-IFERROR(HLOOKUP(AX21,'סקרי נכסים-יתרות פתיחה'!$2:$90,87,0),0)</f>
        <v>0</v>
      </c>
      <c r="AY56" s="47">
        <f>+IFERROR(HLOOKUP(AY21,'סקרי נכסים-יתרות פתיחה'!$2:$76,72,0),0)-IFERROR(HLOOKUP(AY21,'סקרי נכסים-יתרות פתיחה'!$2:$90,87,0),0)</f>
        <v>0</v>
      </c>
      <c r="AZ56" s="47">
        <f>+IFERROR(HLOOKUP(AZ21,'סקרי נכסים-יתרות פתיחה'!$2:$76,72,0),0)-IFERROR(HLOOKUP(AZ21,'סקרי נכסים-יתרות פתיחה'!$2:$90,87,0),0)</f>
        <v>0</v>
      </c>
      <c r="BA56" s="47">
        <f>+IFERROR(HLOOKUP(BA21,'סקרי נכסים-יתרות פתיחה'!$2:$76,72,0),0)-IFERROR(HLOOKUP(BA21,'סקרי נכסים-יתרות פתיחה'!$2:$90,87,0),0)</f>
        <v>0</v>
      </c>
      <c r="BB56" s="47">
        <f>+IFERROR(HLOOKUP(BB21,'סקרי נכסים-יתרות פתיחה'!$2:$76,72,0),0)-IFERROR(HLOOKUP(BB21,'סקרי נכסים-יתרות פתיחה'!$2:$90,87,0),0)</f>
        <v>0</v>
      </c>
      <c r="BC56" s="47">
        <f>+IFERROR(HLOOKUP(BC21,'סקרי נכסים-יתרות פתיחה'!$2:$76,72,0),0)-IFERROR(HLOOKUP(BC21,'סקרי נכסים-יתרות פתיחה'!$2:$90,87,0),0)</f>
        <v>0</v>
      </c>
      <c r="BD56" s="47">
        <f>+IFERROR(HLOOKUP(BD21,'סקרי נכסים-יתרות פתיחה'!$2:$76,72,0),0)-IFERROR(HLOOKUP(BD21,'סקרי נכסים-יתרות פתיחה'!$2:$90,87,0),0)</f>
        <v>0</v>
      </c>
      <c r="BE56" s="47">
        <f>+IFERROR(HLOOKUP(BE21,'סקרי נכסים-יתרות פתיחה'!$2:$76,72,0),0)-IFERROR(HLOOKUP(BE21,'סקרי נכסים-יתרות פתיחה'!$2:$90,87,0),0)</f>
        <v>0</v>
      </c>
      <c r="BF56" s="47">
        <f>+IFERROR(HLOOKUP(BF21,'סקרי נכסים-יתרות פתיחה'!$2:$76,72,0),0)-IFERROR(HLOOKUP(BF21,'סקרי נכסים-יתרות פתיחה'!$2:$90,87,0),0)</f>
        <v>0</v>
      </c>
    </row>
    <row r="57" spans="2:58" x14ac:dyDescent="0.2">
      <c r="B57" s="1">
        <v>15</v>
      </c>
      <c r="C57" s="47">
        <f>+IFERROR(HLOOKUP(C22,'סקרי נכסים-יתרות פתיחה'!$2:$76,72,0),0)-IFERROR(HLOOKUP(C22,'סקרי נכסים-יתרות פתיחה'!$2:$90,87,0),0)</f>
        <v>0</v>
      </c>
      <c r="D57" s="47">
        <f>+IFERROR(HLOOKUP(D22,'סקרי נכסים-יתרות פתיחה'!$2:$76,72,0),0)-IFERROR(HLOOKUP(D22,'סקרי נכסים-יתרות פתיחה'!$2:$90,87,0),0)</f>
        <v>0</v>
      </c>
      <c r="E57" s="47">
        <f>+IFERROR(HLOOKUP(E22,'סקרי נכסים-יתרות פתיחה'!$2:$76,72,0),0)-IFERROR(HLOOKUP(E22,'סקרי נכסים-יתרות פתיחה'!$2:$90,87,0),0)</f>
        <v>0</v>
      </c>
      <c r="F57" s="47">
        <f>+IFERROR(HLOOKUP(F22,'סקרי נכסים-יתרות פתיחה'!$2:$76,72,0),0)-IFERROR(HLOOKUP(F22,'סקרי נכסים-יתרות פתיחה'!$2:$90,87,0),0)</f>
        <v>0</v>
      </c>
      <c r="G57" s="47">
        <f>+IFERROR(HLOOKUP(G22,'סקרי נכסים-יתרות פתיחה'!$2:$76,72,0),0)-IFERROR(HLOOKUP(G22,'סקרי נכסים-יתרות פתיחה'!$2:$90,87,0),0)</f>
        <v>0</v>
      </c>
      <c r="H57" s="47">
        <f>+IFERROR(HLOOKUP(H22,'סקרי נכסים-יתרות פתיחה'!$2:$76,72,0),0)-IFERROR(HLOOKUP(H22,'סקרי נכסים-יתרות פתיחה'!$2:$90,87,0),0)</f>
        <v>0</v>
      </c>
      <c r="I57" s="47">
        <f>+IFERROR(HLOOKUP(I22,'סקרי נכסים-יתרות פתיחה'!$2:$76,72,0),0)-IFERROR(HLOOKUP(I22,'סקרי נכסים-יתרות פתיחה'!$2:$90,87,0),0)</f>
        <v>0</v>
      </c>
      <c r="J57" s="47">
        <f>+IFERROR(HLOOKUP(J22,'סקרי נכסים-יתרות פתיחה'!$2:$76,72,0),0)-IFERROR(HLOOKUP(J22,'סקרי נכסים-יתרות פתיחה'!$2:$90,87,0),0)</f>
        <v>0</v>
      </c>
      <c r="K57" s="47">
        <f>+IFERROR(HLOOKUP(K22,'סקרי נכסים-יתרות פתיחה'!$2:$76,72,0),0)-IFERROR(HLOOKUP(K22,'סקרי נכסים-יתרות פתיחה'!$2:$90,87,0),0)</f>
        <v>0</v>
      </c>
      <c r="L57" s="47">
        <f>+IFERROR(HLOOKUP(L22,'סקרי נכסים-יתרות פתיחה'!$2:$76,72,0),0)-IFERROR(HLOOKUP(L22,'סקרי נכסים-יתרות פתיחה'!$2:$90,87,0),0)</f>
        <v>0</v>
      </c>
      <c r="M57" s="47">
        <f>+IFERROR(HLOOKUP(M22,'סקרי נכסים-יתרות פתיחה'!$2:$76,72,0),0)-IFERROR(HLOOKUP(M22,'סקרי נכסים-יתרות פתיחה'!$2:$90,87,0),0)</f>
        <v>0</v>
      </c>
      <c r="N57" s="47">
        <f>+IFERROR(HLOOKUP(N22,'סקרי נכסים-יתרות פתיחה'!$2:$76,72,0),0)-IFERROR(HLOOKUP(N22,'סקרי נכסים-יתרות פתיחה'!$2:$90,87,0),0)</f>
        <v>0</v>
      </c>
      <c r="O57" s="47">
        <f>+IFERROR(HLOOKUP(O22,'סקרי נכסים-יתרות פתיחה'!$2:$76,72,0),0)-IFERROR(HLOOKUP(O22,'סקרי נכסים-יתרות פתיחה'!$2:$90,87,0),0)</f>
        <v>0</v>
      </c>
      <c r="P57" s="47">
        <f>+IFERROR(HLOOKUP(P22,'סקרי נכסים-יתרות פתיחה'!$2:$76,72,0),0)-IFERROR(HLOOKUP(P22,'סקרי נכסים-יתרות פתיחה'!$2:$90,87,0),0)</f>
        <v>0</v>
      </c>
      <c r="Q57" s="47">
        <f>+IFERROR(HLOOKUP(Q22,'סקרי נכסים-יתרות פתיחה'!$2:$76,72,0),0)-IFERROR(HLOOKUP(Q22,'סקרי נכסים-יתרות פתיחה'!$2:$90,87,0),0)</f>
        <v>0</v>
      </c>
      <c r="R57" s="47">
        <f>+IFERROR(HLOOKUP(R22,'סקרי נכסים-יתרות פתיחה'!$2:$76,72,0),0)-IFERROR(HLOOKUP(R22,'סקרי נכסים-יתרות פתיחה'!$2:$90,87,0),0)</f>
        <v>0</v>
      </c>
      <c r="S57" s="47">
        <f>+IFERROR(HLOOKUP(S22,'סקרי נכסים-יתרות פתיחה'!$2:$76,72,0),0)-IFERROR(HLOOKUP(S22,'סקרי נכסים-יתרות פתיחה'!$2:$90,87,0),0)</f>
        <v>0</v>
      </c>
      <c r="T57" s="47">
        <f>+IFERROR(HLOOKUP(T22,'סקרי נכסים-יתרות פתיחה'!$2:$76,72,0),0)-IFERROR(HLOOKUP(T22,'סקרי נכסים-יתרות פתיחה'!$2:$90,87,0),0)</f>
        <v>0</v>
      </c>
      <c r="U57" s="47">
        <f>+IFERROR(HLOOKUP(U22,'סקרי נכסים-יתרות פתיחה'!$2:$76,72,0),0)-IFERROR(HLOOKUP(U22,'סקרי נכסים-יתרות פתיחה'!$2:$90,87,0),0)</f>
        <v>0</v>
      </c>
      <c r="V57" s="47">
        <f>+IFERROR(HLOOKUP(V22,'סקרי נכסים-יתרות פתיחה'!$2:$76,72,0),0)-IFERROR(HLOOKUP(V22,'סקרי נכסים-יתרות פתיחה'!$2:$90,87,0),0)</f>
        <v>0</v>
      </c>
      <c r="W57" s="47">
        <f>+IFERROR(HLOOKUP(W22,'סקרי נכסים-יתרות פתיחה'!$2:$76,72,0),0)-IFERROR(HLOOKUP(W22,'סקרי נכסים-יתרות פתיחה'!$2:$90,87,0),0)</f>
        <v>0</v>
      </c>
      <c r="X57" s="47">
        <f>+IFERROR(HLOOKUP(X22,'סקרי נכסים-יתרות פתיחה'!$2:$76,72,0),0)-IFERROR(HLOOKUP(X22,'סקרי נכסים-יתרות פתיחה'!$2:$90,87,0),0)</f>
        <v>0</v>
      </c>
      <c r="Y57" s="47">
        <f>+IFERROR(HLOOKUP(Y22,'סקרי נכסים-יתרות פתיחה'!$2:$76,72,0),0)-IFERROR(HLOOKUP(Y22,'סקרי נכסים-יתרות פתיחה'!$2:$90,87,0),0)</f>
        <v>0</v>
      </c>
      <c r="Z57" s="47">
        <f>+IFERROR(HLOOKUP(Z22,'סקרי נכסים-יתרות פתיחה'!$2:$76,72,0),0)-IFERROR(HLOOKUP(Z22,'סקרי נכסים-יתרות פתיחה'!$2:$90,87,0),0)</f>
        <v>0</v>
      </c>
      <c r="AA57" s="47">
        <f>+IFERROR(HLOOKUP(AA22,'סקרי נכסים-יתרות פתיחה'!$2:$76,72,0),0)-IFERROR(HLOOKUP(AA22,'סקרי נכסים-יתרות פתיחה'!$2:$90,87,0),0)</f>
        <v>0</v>
      </c>
      <c r="AB57" s="47">
        <f>+IFERROR(HLOOKUP(AB22,'סקרי נכסים-יתרות פתיחה'!$2:$76,72,0),0)-IFERROR(HLOOKUP(AB22,'סקרי נכסים-יתרות פתיחה'!$2:$90,87,0),0)</f>
        <v>0</v>
      </c>
      <c r="AC57" s="47">
        <f>+IFERROR(HLOOKUP(AC22,'סקרי נכסים-יתרות פתיחה'!$2:$76,72,0),0)-IFERROR(HLOOKUP(AC22,'סקרי נכסים-יתרות פתיחה'!$2:$90,87,0),0)</f>
        <v>0</v>
      </c>
      <c r="AD57" s="47">
        <f>+IFERROR(HLOOKUP(AD22,'סקרי נכסים-יתרות פתיחה'!$2:$76,72,0),0)-IFERROR(HLOOKUP(AD22,'סקרי נכסים-יתרות פתיחה'!$2:$90,87,0),0)</f>
        <v>0</v>
      </c>
      <c r="AE57" s="47">
        <f>+IFERROR(HLOOKUP(AE22,'סקרי נכסים-יתרות פתיחה'!$2:$76,72,0),0)-IFERROR(HLOOKUP(AE22,'סקרי נכסים-יתרות פתיחה'!$2:$90,87,0),0)</f>
        <v>0</v>
      </c>
      <c r="AF57" s="47">
        <f>+IFERROR(HLOOKUP(AF22,'סקרי נכסים-יתרות פתיחה'!$2:$76,72,0),0)-IFERROR(HLOOKUP(AF22,'סקרי נכסים-יתרות פתיחה'!$2:$90,87,0),0)</f>
        <v>0</v>
      </c>
      <c r="AG57" s="47">
        <f>+IFERROR(HLOOKUP(AG22,'סקרי נכסים-יתרות פתיחה'!$2:$76,72,0),0)-IFERROR(HLOOKUP(AG22,'סקרי נכסים-יתרות פתיחה'!$2:$90,87,0),0)</f>
        <v>0</v>
      </c>
      <c r="AH57" s="47">
        <f>+IFERROR(HLOOKUP(AH22,'סקרי נכסים-יתרות פתיחה'!$2:$76,72,0),0)-IFERROR(HLOOKUP(AH22,'סקרי נכסים-יתרות פתיחה'!$2:$90,87,0),0)</f>
        <v>0</v>
      </c>
      <c r="AI57" s="47">
        <f>+IFERROR(HLOOKUP(AI22,'סקרי נכסים-יתרות פתיחה'!$2:$76,72,0),0)-IFERROR(HLOOKUP(AI22,'סקרי נכסים-יתרות פתיחה'!$2:$90,87,0),0)</f>
        <v>0</v>
      </c>
      <c r="AJ57" s="47">
        <f>+IFERROR(HLOOKUP(AJ22,'סקרי נכסים-יתרות פתיחה'!$2:$76,72,0),0)-IFERROR(HLOOKUP(AJ22,'סקרי נכסים-יתרות פתיחה'!$2:$90,87,0),0)</f>
        <v>0</v>
      </c>
      <c r="AK57" s="47">
        <f>+IFERROR(HLOOKUP(AK22,'סקרי נכסים-יתרות פתיחה'!$2:$76,72,0),0)-IFERROR(HLOOKUP(AK22,'סקרי נכסים-יתרות פתיחה'!$2:$90,87,0),0)</f>
        <v>0</v>
      </c>
      <c r="AL57" s="47">
        <f>+IFERROR(HLOOKUP(AL22,'סקרי נכסים-יתרות פתיחה'!$2:$76,72,0),0)-IFERROR(HLOOKUP(AL22,'סקרי נכסים-יתרות פתיחה'!$2:$90,87,0),0)</f>
        <v>0</v>
      </c>
      <c r="AM57" s="47">
        <f>+IFERROR(HLOOKUP(AM22,'סקרי נכסים-יתרות פתיחה'!$2:$76,72,0),0)-IFERROR(HLOOKUP(AM22,'סקרי נכסים-יתרות פתיחה'!$2:$90,87,0),0)</f>
        <v>0</v>
      </c>
      <c r="AN57" s="47">
        <f>+IFERROR(HLOOKUP(AN22,'סקרי נכסים-יתרות פתיחה'!$2:$76,72,0),0)-IFERROR(HLOOKUP(AN22,'סקרי נכסים-יתרות פתיחה'!$2:$90,87,0),0)</f>
        <v>0</v>
      </c>
      <c r="AO57" s="47">
        <f>+IFERROR(HLOOKUP(AO22,'סקרי נכסים-יתרות פתיחה'!$2:$76,72,0),0)-IFERROR(HLOOKUP(AO22,'סקרי נכסים-יתרות פתיחה'!$2:$90,87,0),0)</f>
        <v>0</v>
      </c>
      <c r="AP57" s="47">
        <f>+IFERROR(HLOOKUP(AP22,'סקרי נכסים-יתרות פתיחה'!$2:$76,72,0),0)-IFERROR(HLOOKUP(AP22,'סקרי נכסים-יתרות פתיחה'!$2:$90,87,0),0)</f>
        <v>0</v>
      </c>
      <c r="AQ57" s="47">
        <f>+IFERROR(HLOOKUP(AQ22,'סקרי נכסים-יתרות פתיחה'!$2:$76,72,0),0)-IFERROR(HLOOKUP(AQ22,'סקרי נכסים-יתרות פתיחה'!$2:$90,87,0),0)</f>
        <v>0</v>
      </c>
      <c r="AR57" s="47">
        <f>+IFERROR(HLOOKUP(AR22,'סקרי נכסים-יתרות פתיחה'!$2:$76,72,0),0)-IFERROR(HLOOKUP(AR22,'סקרי נכסים-יתרות פתיחה'!$2:$90,87,0),0)</f>
        <v>0</v>
      </c>
      <c r="AS57" s="47">
        <f>+IFERROR(HLOOKUP(AS22,'סקרי נכסים-יתרות פתיחה'!$2:$76,72,0),0)-IFERROR(HLOOKUP(AS22,'סקרי נכסים-יתרות פתיחה'!$2:$90,87,0),0)</f>
        <v>0</v>
      </c>
      <c r="AT57" s="47">
        <f>+IFERROR(HLOOKUP(AT22,'סקרי נכסים-יתרות פתיחה'!$2:$76,72,0),0)-IFERROR(HLOOKUP(AT22,'סקרי נכסים-יתרות פתיחה'!$2:$90,87,0),0)</f>
        <v>0</v>
      </c>
      <c r="AU57" s="47">
        <f>+IFERROR(HLOOKUP(AU22,'סקרי נכסים-יתרות פתיחה'!$2:$76,72,0),0)-IFERROR(HLOOKUP(AU22,'סקרי נכסים-יתרות פתיחה'!$2:$90,87,0),0)</f>
        <v>0</v>
      </c>
      <c r="AV57" s="47">
        <f>+IFERROR(HLOOKUP(AV22,'סקרי נכסים-יתרות פתיחה'!$2:$76,72,0),0)-IFERROR(HLOOKUP(AV22,'סקרי נכסים-יתרות פתיחה'!$2:$90,87,0),0)</f>
        <v>0</v>
      </c>
      <c r="AW57" s="47">
        <f>+IFERROR(HLOOKUP(AW22,'סקרי נכסים-יתרות פתיחה'!$2:$76,72,0),0)-IFERROR(HLOOKUP(AW22,'סקרי נכסים-יתרות פתיחה'!$2:$90,87,0),0)</f>
        <v>0</v>
      </c>
      <c r="AX57" s="47">
        <f>+IFERROR(HLOOKUP(AX22,'סקרי נכסים-יתרות פתיחה'!$2:$76,72,0),0)-IFERROR(HLOOKUP(AX22,'סקרי נכסים-יתרות פתיחה'!$2:$90,87,0),0)</f>
        <v>0</v>
      </c>
      <c r="AY57" s="47">
        <f>+IFERROR(HLOOKUP(AY22,'סקרי נכסים-יתרות פתיחה'!$2:$76,72,0),0)-IFERROR(HLOOKUP(AY22,'סקרי נכסים-יתרות פתיחה'!$2:$90,87,0),0)</f>
        <v>0</v>
      </c>
      <c r="AZ57" s="47">
        <f>+IFERROR(HLOOKUP(AZ22,'סקרי נכסים-יתרות פתיחה'!$2:$76,72,0),0)-IFERROR(HLOOKUP(AZ22,'סקרי נכסים-יתרות פתיחה'!$2:$90,87,0),0)</f>
        <v>0</v>
      </c>
      <c r="BA57" s="47">
        <f>+IFERROR(HLOOKUP(BA22,'סקרי נכסים-יתרות פתיחה'!$2:$76,72,0),0)-IFERROR(HLOOKUP(BA22,'סקרי נכסים-יתרות פתיחה'!$2:$90,87,0),0)</f>
        <v>0</v>
      </c>
      <c r="BB57" s="47">
        <f>+IFERROR(HLOOKUP(BB22,'סקרי נכסים-יתרות פתיחה'!$2:$76,72,0),0)-IFERROR(HLOOKUP(BB22,'סקרי נכסים-יתרות פתיחה'!$2:$90,87,0),0)</f>
        <v>0</v>
      </c>
      <c r="BC57" s="47">
        <f>+IFERROR(HLOOKUP(BC22,'סקרי נכסים-יתרות פתיחה'!$2:$76,72,0),0)-IFERROR(HLOOKUP(BC22,'סקרי נכסים-יתרות פתיחה'!$2:$90,87,0),0)</f>
        <v>0</v>
      </c>
      <c r="BD57" s="47">
        <f>+IFERROR(HLOOKUP(BD22,'סקרי נכסים-יתרות פתיחה'!$2:$76,72,0),0)-IFERROR(HLOOKUP(BD22,'סקרי נכסים-יתרות פתיחה'!$2:$90,87,0),0)</f>
        <v>0</v>
      </c>
      <c r="BE57" s="47">
        <f>+IFERROR(HLOOKUP(BE22,'סקרי נכסים-יתרות פתיחה'!$2:$76,72,0),0)-IFERROR(HLOOKUP(BE22,'סקרי נכסים-יתרות פתיחה'!$2:$90,87,0),0)</f>
        <v>0</v>
      </c>
      <c r="BF57" s="47">
        <f>+IFERROR(HLOOKUP(BF22,'סקרי נכסים-יתרות פתיחה'!$2:$76,72,0),0)-IFERROR(HLOOKUP(BF22,'סקרי נכסים-יתרות פתיחה'!$2:$90,87,0),0)</f>
        <v>0</v>
      </c>
    </row>
    <row r="58" spans="2:58" x14ac:dyDescent="0.2">
      <c r="B58" s="1">
        <v>16</v>
      </c>
      <c r="C58" s="47">
        <f>+IFERROR(HLOOKUP(C23,'סקרי נכסים-יתרות פתיחה'!$2:$76,72,0),0)-IFERROR(HLOOKUP(C23,'סקרי נכסים-יתרות פתיחה'!$2:$90,87,0),0)</f>
        <v>0</v>
      </c>
      <c r="D58" s="47">
        <f>+IFERROR(HLOOKUP(D23,'סקרי נכסים-יתרות פתיחה'!$2:$76,72,0),0)-IFERROR(HLOOKUP(D23,'סקרי נכסים-יתרות פתיחה'!$2:$90,87,0),0)</f>
        <v>0</v>
      </c>
      <c r="E58" s="47">
        <f>+IFERROR(HLOOKUP(E23,'סקרי נכסים-יתרות פתיחה'!$2:$76,72,0),0)-IFERROR(HLOOKUP(E23,'סקרי נכסים-יתרות פתיחה'!$2:$90,87,0),0)</f>
        <v>0</v>
      </c>
      <c r="F58" s="47">
        <f>+IFERROR(HLOOKUP(F23,'סקרי נכסים-יתרות פתיחה'!$2:$76,72,0),0)-IFERROR(HLOOKUP(F23,'סקרי נכסים-יתרות פתיחה'!$2:$90,87,0),0)</f>
        <v>0</v>
      </c>
      <c r="G58" s="47">
        <f>+IFERROR(HLOOKUP(G23,'סקרי נכסים-יתרות פתיחה'!$2:$76,72,0),0)-IFERROR(HLOOKUP(G23,'סקרי נכסים-יתרות פתיחה'!$2:$90,87,0),0)</f>
        <v>0</v>
      </c>
      <c r="H58" s="47">
        <f>+IFERROR(HLOOKUP(H23,'סקרי נכסים-יתרות פתיחה'!$2:$76,72,0),0)-IFERROR(HLOOKUP(H23,'סקרי נכסים-יתרות פתיחה'!$2:$90,87,0),0)</f>
        <v>0</v>
      </c>
      <c r="I58" s="47">
        <f>+IFERROR(HLOOKUP(I23,'סקרי נכסים-יתרות פתיחה'!$2:$76,72,0),0)-IFERROR(HLOOKUP(I23,'סקרי נכסים-יתרות פתיחה'!$2:$90,87,0),0)</f>
        <v>0</v>
      </c>
      <c r="J58" s="47">
        <f>+IFERROR(HLOOKUP(J23,'סקרי נכסים-יתרות פתיחה'!$2:$76,72,0),0)-IFERROR(HLOOKUP(J23,'סקרי נכסים-יתרות פתיחה'!$2:$90,87,0),0)</f>
        <v>0</v>
      </c>
      <c r="K58" s="47">
        <f>+IFERROR(HLOOKUP(K23,'סקרי נכסים-יתרות פתיחה'!$2:$76,72,0),0)-IFERROR(HLOOKUP(K23,'סקרי נכסים-יתרות פתיחה'!$2:$90,87,0),0)</f>
        <v>0</v>
      </c>
      <c r="L58" s="47">
        <f>+IFERROR(HLOOKUP(L23,'סקרי נכסים-יתרות פתיחה'!$2:$76,72,0),0)-IFERROR(HLOOKUP(L23,'סקרי נכסים-יתרות פתיחה'!$2:$90,87,0),0)</f>
        <v>0</v>
      </c>
      <c r="M58" s="47">
        <f>+IFERROR(HLOOKUP(M23,'סקרי נכסים-יתרות פתיחה'!$2:$76,72,0),0)-IFERROR(HLOOKUP(M23,'סקרי נכסים-יתרות פתיחה'!$2:$90,87,0),0)</f>
        <v>0</v>
      </c>
      <c r="N58" s="47">
        <f>+IFERROR(HLOOKUP(N23,'סקרי נכסים-יתרות פתיחה'!$2:$76,72,0),0)-IFERROR(HLOOKUP(N23,'סקרי נכסים-יתרות פתיחה'!$2:$90,87,0),0)</f>
        <v>0</v>
      </c>
      <c r="O58" s="47">
        <f>+IFERROR(HLOOKUP(O23,'סקרי נכסים-יתרות פתיחה'!$2:$76,72,0),0)-IFERROR(HLOOKUP(O23,'סקרי נכסים-יתרות פתיחה'!$2:$90,87,0),0)</f>
        <v>0</v>
      </c>
      <c r="P58" s="47">
        <f>+IFERROR(HLOOKUP(P23,'סקרי נכסים-יתרות פתיחה'!$2:$76,72,0),0)-IFERROR(HLOOKUP(P23,'סקרי נכסים-יתרות פתיחה'!$2:$90,87,0),0)</f>
        <v>0</v>
      </c>
      <c r="Q58" s="47">
        <f>+IFERROR(HLOOKUP(Q23,'סקרי נכסים-יתרות פתיחה'!$2:$76,72,0),0)-IFERROR(HLOOKUP(Q23,'סקרי נכסים-יתרות פתיחה'!$2:$90,87,0),0)</f>
        <v>0</v>
      </c>
      <c r="R58" s="47">
        <f>+IFERROR(HLOOKUP(R23,'סקרי נכסים-יתרות פתיחה'!$2:$76,72,0),0)-IFERROR(HLOOKUP(R23,'סקרי נכסים-יתרות פתיחה'!$2:$90,87,0),0)</f>
        <v>0</v>
      </c>
      <c r="S58" s="47">
        <f>+IFERROR(HLOOKUP(S23,'סקרי נכסים-יתרות פתיחה'!$2:$76,72,0),0)-IFERROR(HLOOKUP(S23,'סקרי נכסים-יתרות פתיחה'!$2:$90,87,0),0)</f>
        <v>0</v>
      </c>
      <c r="T58" s="47">
        <f>+IFERROR(HLOOKUP(T23,'סקרי נכסים-יתרות פתיחה'!$2:$76,72,0),0)-IFERROR(HLOOKUP(T23,'סקרי נכסים-יתרות פתיחה'!$2:$90,87,0),0)</f>
        <v>0</v>
      </c>
      <c r="U58" s="47">
        <f>+IFERROR(HLOOKUP(U23,'סקרי נכסים-יתרות פתיחה'!$2:$76,72,0),0)-IFERROR(HLOOKUP(U23,'סקרי נכסים-יתרות פתיחה'!$2:$90,87,0),0)</f>
        <v>0</v>
      </c>
      <c r="V58" s="47">
        <f>+IFERROR(HLOOKUP(V23,'סקרי נכסים-יתרות פתיחה'!$2:$76,72,0),0)-IFERROR(HLOOKUP(V23,'סקרי נכסים-יתרות פתיחה'!$2:$90,87,0),0)</f>
        <v>0</v>
      </c>
      <c r="W58" s="47">
        <f>+IFERROR(HLOOKUP(W23,'סקרי נכסים-יתרות פתיחה'!$2:$76,72,0),0)-IFERROR(HLOOKUP(W23,'סקרי נכסים-יתרות פתיחה'!$2:$90,87,0),0)</f>
        <v>0</v>
      </c>
      <c r="X58" s="47">
        <f>+IFERROR(HLOOKUP(X23,'סקרי נכסים-יתרות פתיחה'!$2:$76,72,0),0)-IFERROR(HLOOKUP(X23,'סקרי נכסים-יתרות פתיחה'!$2:$90,87,0),0)</f>
        <v>0</v>
      </c>
      <c r="Y58" s="47">
        <f>+IFERROR(HLOOKUP(Y23,'סקרי נכסים-יתרות פתיחה'!$2:$76,72,0),0)-IFERROR(HLOOKUP(Y23,'סקרי נכסים-יתרות פתיחה'!$2:$90,87,0),0)</f>
        <v>0</v>
      </c>
      <c r="Z58" s="47">
        <f>+IFERROR(HLOOKUP(Z23,'סקרי נכסים-יתרות פתיחה'!$2:$76,72,0),0)-IFERROR(HLOOKUP(Z23,'סקרי נכסים-יתרות פתיחה'!$2:$90,87,0),0)</f>
        <v>0</v>
      </c>
      <c r="AA58" s="47">
        <f>+IFERROR(HLOOKUP(AA23,'סקרי נכסים-יתרות פתיחה'!$2:$76,72,0),0)-IFERROR(HLOOKUP(AA23,'סקרי נכסים-יתרות פתיחה'!$2:$90,87,0),0)</f>
        <v>0</v>
      </c>
      <c r="AB58" s="47">
        <f>+IFERROR(HLOOKUP(AB23,'סקרי נכסים-יתרות פתיחה'!$2:$76,72,0),0)-IFERROR(HLOOKUP(AB23,'סקרי נכסים-יתרות פתיחה'!$2:$90,87,0),0)</f>
        <v>0</v>
      </c>
      <c r="AC58" s="47">
        <f>+IFERROR(HLOOKUP(AC23,'סקרי נכסים-יתרות פתיחה'!$2:$76,72,0),0)-IFERROR(HLOOKUP(AC23,'סקרי נכסים-יתרות פתיחה'!$2:$90,87,0),0)</f>
        <v>0</v>
      </c>
      <c r="AD58" s="47">
        <f>+IFERROR(HLOOKUP(AD23,'סקרי נכסים-יתרות פתיחה'!$2:$76,72,0),0)-IFERROR(HLOOKUP(AD23,'סקרי נכסים-יתרות פתיחה'!$2:$90,87,0),0)</f>
        <v>0</v>
      </c>
      <c r="AE58" s="47">
        <f>+IFERROR(HLOOKUP(AE23,'סקרי נכסים-יתרות פתיחה'!$2:$76,72,0),0)-IFERROR(HLOOKUP(AE23,'סקרי נכסים-יתרות פתיחה'!$2:$90,87,0),0)</f>
        <v>0</v>
      </c>
      <c r="AF58" s="47">
        <f>+IFERROR(HLOOKUP(AF23,'סקרי נכסים-יתרות פתיחה'!$2:$76,72,0),0)-IFERROR(HLOOKUP(AF23,'סקרי נכסים-יתרות פתיחה'!$2:$90,87,0),0)</f>
        <v>0</v>
      </c>
      <c r="AG58" s="47">
        <f>+IFERROR(HLOOKUP(AG23,'סקרי נכסים-יתרות פתיחה'!$2:$76,72,0),0)-IFERROR(HLOOKUP(AG23,'סקרי נכסים-יתרות פתיחה'!$2:$90,87,0),0)</f>
        <v>0</v>
      </c>
      <c r="AH58" s="47">
        <f>+IFERROR(HLOOKUP(AH23,'סקרי נכסים-יתרות פתיחה'!$2:$76,72,0),0)-IFERROR(HLOOKUP(AH23,'סקרי נכסים-יתרות פתיחה'!$2:$90,87,0),0)</f>
        <v>0</v>
      </c>
      <c r="AI58" s="47">
        <f>+IFERROR(HLOOKUP(AI23,'סקרי נכסים-יתרות פתיחה'!$2:$76,72,0),0)-IFERROR(HLOOKUP(AI23,'סקרי נכסים-יתרות פתיחה'!$2:$90,87,0),0)</f>
        <v>0</v>
      </c>
      <c r="AJ58" s="47">
        <f>+IFERROR(HLOOKUP(AJ23,'סקרי נכסים-יתרות פתיחה'!$2:$76,72,0),0)-IFERROR(HLOOKUP(AJ23,'סקרי נכסים-יתרות פתיחה'!$2:$90,87,0),0)</f>
        <v>0</v>
      </c>
      <c r="AK58" s="47">
        <f>+IFERROR(HLOOKUP(AK23,'סקרי נכסים-יתרות פתיחה'!$2:$76,72,0),0)-IFERROR(HLOOKUP(AK23,'סקרי נכסים-יתרות פתיחה'!$2:$90,87,0),0)</f>
        <v>0</v>
      </c>
      <c r="AL58" s="47">
        <f>+IFERROR(HLOOKUP(AL23,'סקרי נכסים-יתרות פתיחה'!$2:$76,72,0),0)-IFERROR(HLOOKUP(AL23,'סקרי נכסים-יתרות פתיחה'!$2:$90,87,0),0)</f>
        <v>0</v>
      </c>
      <c r="AM58" s="47">
        <f>+IFERROR(HLOOKUP(AM23,'סקרי נכסים-יתרות פתיחה'!$2:$76,72,0),0)-IFERROR(HLOOKUP(AM23,'סקרי נכסים-יתרות פתיחה'!$2:$90,87,0),0)</f>
        <v>0</v>
      </c>
      <c r="AN58" s="47">
        <f>+IFERROR(HLOOKUP(AN23,'סקרי נכסים-יתרות פתיחה'!$2:$76,72,0),0)-IFERROR(HLOOKUP(AN23,'סקרי נכסים-יתרות פתיחה'!$2:$90,87,0),0)</f>
        <v>0</v>
      </c>
      <c r="AO58" s="47">
        <f>+IFERROR(HLOOKUP(AO23,'סקרי נכסים-יתרות פתיחה'!$2:$76,72,0),0)-IFERROR(HLOOKUP(AO23,'סקרי נכסים-יתרות פתיחה'!$2:$90,87,0),0)</f>
        <v>0</v>
      </c>
      <c r="AP58" s="47">
        <f>+IFERROR(HLOOKUP(AP23,'סקרי נכסים-יתרות פתיחה'!$2:$76,72,0),0)-IFERROR(HLOOKUP(AP23,'סקרי נכסים-יתרות פתיחה'!$2:$90,87,0),0)</f>
        <v>0</v>
      </c>
      <c r="AQ58" s="47">
        <f>+IFERROR(HLOOKUP(AQ23,'סקרי נכסים-יתרות פתיחה'!$2:$76,72,0),0)-IFERROR(HLOOKUP(AQ23,'סקרי נכסים-יתרות פתיחה'!$2:$90,87,0),0)</f>
        <v>0</v>
      </c>
      <c r="AR58" s="47">
        <f>+IFERROR(HLOOKUP(AR23,'סקרי נכסים-יתרות פתיחה'!$2:$76,72,0),0)-IFERROR(HLOOKUP(AR23,'סקרי נכסים-יתרות פתיחה'!$2:$90,87,0),0)</f>
        <v>0</v>
      </c>
      <c r="AS58" s="47">
        <f>+IFERROR(HLOOKUP(AS23,'סקרי נכסים-יתרות פתיחה'!$2:$76,72,0),0)-IFERROR(HLOOKUP(AS23,'סקרי נכסים-יתרות פתיחה'!$2:$90,87,0),0)</f>
        <v>0</v>
      </c>
      <c r="AT58" s="47">
        <f>+IFERROR(HLOOKUP(AT23,'סקרי נכסים-יתרות פתיחה'!$2:$76,72,0),0)-IFERROR(HLOOKUP(AT23,'סקרי נכסים-יתרות פתיחה'!$2:$90,87,0),0)</f>
        <v>0</v>
      </c>
      <c r="AU58" s="47">
        <f>+IFERROR(HLOOKUP(AU23,'סקרי נכסים-יתרות פתיחה'!$2:$76,72,0),0)-IFERROR(HLOOKUP(AU23,'סקרי נכסים-יתרות פתיחה'!$2:$90,87,0),0)</f>
        <v>0</v>
      </c>
      <c r="AV58" s="47">
        <f>+IFERROR(HLOOKUP(AV23,'סקרי נכסים-יתרות פתיחה'!$2:$76,72,0),0)-IFERROR(HLOOKUP(AV23,'סקרי נכסים-יתרות פתיחה'!$2:$90,87,0),0)</f>
        <v>0</v>
      </c>
      <c r="AW58" s="47">
        <f>+IFERROR(HLOOKUP(AW23,'סקרי נכסים-יתרות פתיחה'!$2:$76,72,0),0)-IFERROR(HLOOKUP(AW23,'סקרי נכסים-יתרות פתיחה'!$2:$90,87,0),0)</f>
        <v>0</v>
      </c>
      <c r="AX58" s="47">
        <f>+IFERROR(HLOOKUP(AX23,'סקרי נכסים-יתרות פתיחה'!$2:$76,72,0),0)-IFERROR(HLOOKUP(AX23,'סקרי נכסים-יתרות פתיחה'!$2:$90,87,0),0)</f>
        <v>0</v>
      </c>
      <c r="AY58" s="47">
        <f>+IFERROR(HLOOKUP(AY23,'סקרי נכסים-יתרות פתיחה'!$2:$76,72,0),0)-IFERROR(HLOOKUP(AY23,'סקרי נכסים-יתרות פתיחה'!$2:$90,87,0),0)</f>
        <v>0</v>
      </c>
      <c r="AZ58" s="47">
        <f>+IFERROR(HLOOKUP(AZ23,'סקרי נכסים-יתרות פתיחה'!$2:$76,72,0),0)-IFERROR(HLOOKUP(AZ23,'סקרי נכסים-יתרות פתיחה'!$2:$90,87,0),0)</f>
        <v>0</v>
      </c>
      <c r="BA58" s="47">
        <f>+IFERROR(HLOOKUP(BA23,'סקרי נכסים-יתרות פתיחה'!$2:$76,72,0),0)-IFERROR(HLOOKUP(BA23,'סקרי נכסים-יתרות פתיחה'!$2:$90,87,0),0)</f>
        <v>0</v>
      </c>
      <c r="BB58" s="47">
        <f>+IFERROR(HLOOKUP(BB23,'סקרי נכסים-יתרות פתיחה'!$2:$76,72,0),0)-IFERROR(HLOOKUP(BB23,'סקרי נכסים-יתרות פתיחה'!$2:$90,87,0),0)</f>
        <v>0</v>
      </c>
      <c r="BC58" s="47">
        <f>+IFERROR(HLOOKUP(BC23,'סקרי נכסים-יתרות פתיחה'!$2:$76,72,0),0)-IFERROR(HLOOKUP(BC23,'סקרי נכסים-יתרות פתיחה'!$2:$90,87,0),0)</f>
        <v>0</v>
      </c>
      <c r="BD58" s="47">
        <f>+IFERROR(HLOOKUP(BD23,'סקרי נכסים-יתרות פתיחה'!$2:$76,72,0),0)-IFERROR(HLOOKUP(BD23,'סקרי נכסים-יתרות פתיחה'!$2:$90,87,0),0)</f>
        <v>0</v>
      </c>
      <c r="BE58" s="47">
        <f>+IFERROR(HLOOKUP(BE23,'סקרי נכסים-יתרות פתיחה'!$2:$76,72,0),0)-IFERROR(HLOOKUP(BE23,'סקרי נכסים-יתרות פתיחה'!$2:$90,87,0),0)</f>
        <v>0</v>
      </c>
      <c r="BF58" s="47">
        <f>+IFERROR(HLOOKUP(BF23,'סקרי נכסים-יתרות פתיחה'!$2:$76,72,0),0)-IFERROR(HLOOKUP(BF23,'סקרי נכסים-יתרות פתיחה'!$2:$90,87,0),0)</f>
        <v>0</v>
      </c>
    </row>
    <row r="59" spans="2:58" x14ac:dyDescent="0.2">
      <c r="B59" s="1">
        <v>17</v>
      </c>
      <c r="C59" s="47">
        <f>+IFERROR(HLOOKUP(C24,'סקרי נכסים-יתרות פתיחה'!$2:$76,72,0),0)-IFERROR(HLOOKUP(C24,'סקרי נכסים-יתרות פתיחה'!$2:$90,87,0),0)</f>
        <v>0</v>
      </c>
      <c r="D59" s="47">
        <f>+IFERROR(HLOOKUP(D24,'סקרי נכסים-יתרות פתיחה'!$2:$76,72,0),0)-IFERROR(HLOOKUP(D24,'סקרי נכסים-יתרות פתיחה'!$2:$90,87,0),0)</f>
        <v>0</v>
      </c>
      <c r="E59" s="47">
        <f>+IFERROR(HLOOKUP(E24,'סקרי נכסים-יתרות פתיחה'!$2:$76,72,0),0)-IFERROR(HLOOKUP(E24,'סקרי נכסים-יתרות פתיחה'!$2:$90,87,0),0)</f>
        <v>0</v>
      </c>
      <c r="F59" s="47">
        <f>+IFERROR(HLOOKUP(F24,'סקרי נכסים-יתרות פתיחה'!$2:$76,72,0),0)-IFERROR(HLOOKUP(F24,'סקרי נכסים-יתרות פתיחה'!$2:$90,87,0),0)</f>
        <v>0</v>
      </c>
      <c r="G59" s="47">
        <f>+IFERROR(HLOOKUP(G24,'סקרי נכסים-יתרות פתיחה'!$2:$76,72,0),0)-IFERROR(HLOOKUP(G24,'סקרי נכסים-יתרות פתיחה'!$2:$90,87,0),0)</f>
        <v>0</v>
      </c>
      <c r="H59" s="47">
        <f>+IFERROR(HLOOKUP(H24,'סקרי נכסים-יתרות פתיחה'!$2:$76,72,0),0)-IFERROR(HLOOKUP(H24,'סקרי נכסים-יתרות פתיחה'!$2:$90,87,0),0)</f>
        <v>0</v>
      </c>
      <c r="I59" s="47">
        <f>+IFERROR(HLOOKUP(I24,'סקרי נכסים-יתרות פתיחה'!$2:$76,72,0),0)-IFERROR(HLOOKUP(I24,'סקרי נכסים-יתרות פתיחה'!$2:$90,87,0),0)</f>
        <v>0</v>
      </c>
      <c r="J59" s="47">
        <f>+IFERROR(HLOOKUP(J24,'סקרי נכסים-יתרות פתיחה'!$2:$76,72,0),0)-IFERROR(HLOOKUP(J24,'סקרי נכסים-יתרות פתיחה'!$2:$90,87,0),0)</f>
        <v>0</v>
      </c>
      <c r="K59" s="47">
        <f>+IFERROR(HLOOKUP(K24,'סקרי נכסים-יתרות פתיחה'!$2:$76,72,0),0)-IFERROR(HLOOKUP(K24,'סקרי נכסים-יתרות פתיחה'!$2:$90,87,0),0)</f>
        <v>0</v>
      </c>
      <c r="L59" s="47">
        <f>+IFERROR(HLOOKUP(L24,'סקרי נכסים-יתרות פתיחה'!$2:$76,72,0),0)-IFERROR(HLOOKUP(L24,'סקרי נכסים-יתרות פתיחה'!$2:$90,87,0),0)</f>
        <v>0</v>
      </c>
      <c r="M59" s="47">
        <f>+IFERROR(HLOOKUP(M24,'סקרי נכסים-יתרות פתיחה'!$2:$76,72,0),0)-IFERROR(HLOOKUP(M24,'סקרי נכסים-יתרות פתיחה'!$2:$90,87,0),0)</f>
        <v>0</v>
      </c>
      <c r="N59" s="47">
        <f>+IFERROR(HLOOKUP(N24,'סקרי נכסים-יתרות פתיחה'!$2:$76,72,0),0)-IFERROR(HLOOKUP(N24,'סקרי נכסים-יתרות פתיחה'!$2:$90,87,0),0)</f>
        <v>0</v>
      </c>
      <c r="O59" s="47">
        <f>+IFERROR(HLOOKUP(O24,'סקרי נכסים-יתרות פתיחה'!$2:$76,72,0),0)-IFERROR(HLOOKUP(O24,'סקרי נכסים-יתרות פתיחה'!$2:$90,87,0),0)</f>
        <v>0</v>
      </c>
      <c r="P59" s="47">
        <f>+IFERROR(HLOOKUP(P24,'סקרי נכסים-יתרות פתיחה'!$2:$76,72,0),0)-IFERROR(HLOOKUP(P24,'סקרי נכסים-יתרות פתיחה'!$2:$90,87,0),0)</f>
        <v>0</v>
      </c>
      <c r="Q59" s="47">
        <f>+IFERROR(HLOOKUP(Q24,'סקרי נכסים-יתרות פתיחה'!$2:$76,72,0),0)-IFERROR(HLOOKUP(Q24,'סקרי נכסים-יתרות פתיחה'!$2:$90,87,0),0)</f>
        <v>0</v>
      </c>
      <c r="R59" s="47">
        <f>+IFERROR(HLOOKUP(R24,'סקרי נכסים-יתרות פתיחה'!$2:$76,72,0),0)-IFERROR(HLOOKUP(R24,'סקרי נכסים-יתרות פתיחה'!$2:$90,87,0),0)</f>
        <v>0</v>
      </c>
      <c r="S59" s="47">
        <f>+IFERROR(HLOOKUP(S24,'סקרי נכסים-יתרות פתיחה'!$2:$76,72,0),0)-IFERROR(HLOOKUP(S24,'סקרי נכסים-יתרות פתיחה'!$2:$90,87,0),0)</f>
        <v>0</v>
      </c>
      <c r="T59" s="47">
        <f>+IFERROR(HLOOKUP(T24,'סקרי נכסים-יתרות פתיחה'!$2:$76,72,0),0)-IFERROR(HLOOKUP(T24,'סקרי נכסים-יתרות פתיחה'!$2:$90,87,0),0)</f>
        <v>0</v>
      </c>
      <c r="U59" s="47">
        <f>+IFERROR(HLOOKUP(U24,'סקרי נכסים-יתרות פתיחה'!$2:$76,72,0),0)-IFERROR(HLOOKUP(U24,'סקרי נכסים-יתרות פתיחה'!$2:$90,87,0),0)</f>
        <v>0</v>
      </c>
      <c r="V59" s="47">
        <f>+IFERROR(HLOOKUP(V24,'סקרי נכסים-יתרות פתיחה'!$2:$76,72,0),0)-IFERROR(HLOOKUP(V24,'סקרי נכסים-יתרות פתיחה'!$2:$90,87,0),0)</f>
        <v>0</v>
      </c>
      <c r="W59" s="47">
        <f>+IFERROR(HLOOKUP(W24,'סקרי נכסים-יתרות פתיחה'!$2:$76,72,0),0)-IFERROR(HLOOKUP(W24,'סקרי נכסים-יתרות פתיחה'!$2:$90,87,0),0)</f>
        <v>0</v>
      </c>
      <c r="X59" s="47">
        <f>+IFERROR(HLOOKUP(X24,'סקרי נכסים-יתרות פתיחה'!$2:$76,72,0),0)-IFERROR(HLOOKUP(X24,'סקרי נכסים-יתרות פתיחה'!$2:$90,87,0),0)</f>
        <v>0</v>
      </c>
      <c r="Y59" s="47">
        <f>+IFERROR(HLOOKUP(Y24,'סקרי נכסים-יתרות פתיחה'!$2:$76,72,0),0)-IFERROR(HLOOKUP(Y24,'סקרי נכסים-יתרות פתיחה'!$2:$90,87,0),0)</f>
        <v>0</v>
      </c>
      <c r="Z59" s="47">
        <f>+IFERROR(HLOOKUP(Z24,'סקרי נכסים-יתרות פתיחה'!$2:$76,72,0),0)-IFERROR(HLOOKUP(Z24,'סקרי נכסים-יתרות פתיחה'!$2:$90,87,0),0)</f>
        <v>0</v>
      </c>
      <c r="AA59" s="47">
        <f>+IFERROR(HLOOKUP(AA24,'סקרי נכסים-יתרות פתיחה'!$2:$76,72,0),0)-IFERROR(HLOOKUP(AA24,'סקרי נכסים-יתרות פתיחה'!$2:$90,87,0),0)</f>
        <v>0</v>
      </c>
      <c r="AB59" s="47">
        <f>+IFERROR(HLOOKUP(AB24,'סקרי נכסים-יתרות פתיחה'!$2:$76,72,0),0)-IFERROR(HLOOKUP(AB24,'סקרי נכסים-יתרות פתיחה'!$2:$90,87,0),0)</f>
        <v>0</v>
      </c>
      <c r="AC59" s="47">
        <f>+IFERROR(HLOOKUP(AC24,'סקרי נכסים-יתרות פתיחה'!$2:$76,72,0),0)-IFERROR(HLOOKUP(AC24,'סקרי נכסים-יתרות פתיחה'!$2:$90,87,0),0)</f>
        <v>0</v>
      </c>
      <c r="AD59" s="47">
        <f>+IFERROR(HLOOKUP(AD24,'סקרי נכסים-יתרות פתיחה'!$2:$76,72,0),0)-IFERROR(HLOOKUP(AD24,'סקרי נכסים-יתרות פתיחה'!$2:$90,87,0),0)</f>
        <v>0</v>
      </c>
      <c r="AE59" s="47">
        <f>+IFERROR(HLOOKUP(AE24,'סקרי נכסים-יתרות פתיחה'!$2:$76,72,0),0)-IFERROR(HLOOKUP(AE24,'סקרי נכסים-יתרות פתיחה'!$2:$90,87,0),0)</f>
        <v>0</v>
      </c>
      <c r="AF59" s="47">
        <f>+IFERROR(HLOOKUP(AF24,'סקרי נכסים-יתרות פתיחה'!$2:$76,72,0),0)-IFERROR(HLOOKUP(AF24,'סקרי נכסים-יתרות פתיחה'!$2:$90,87,0),0)</f>
        <v>0</v>
      </c>
      <c r="AG59" s="47">
        <f>+IFERROR(HLOOKUP(AG24,'סקרי נכסים-יתרות פתיחה'!$2:$76,72,0),0)-IFERROR(HLOOKUP(AG24,'סקרי נכסים-יתרות פתיחה'!$2:$90,87,0),0)</f>
        <v>0</v>
      </c>
      <c r="AH59" s="47">
        <f>+IFERROR(HLOOKUP(AH24,'סקרי נכסים-יתרות פתיחה'!$2:$76,72,0),0)-IFERROR(HLOOKUP(AH24,'סקרי נכסים-יתרות פתיחה'!$2:$90,87,0),0)</f>
        <v>0</v>
      </c>
      <c r="AI59" s="47">
        <f>+IFERROR(HLOOKUP(AI24,'סקרי נכסים-יתרות פתיחה'!$2:$76,72,0),0)-IFERROR(HLOOKUP(AI24,'סקרי נכסים-יתרות פתיחה'!$2:$90,87,0),0)</f>
        <v>0</v>
      </c>
      <c r="AJ59" s="47">
        <f>+IFERROR(HLOOKUP(AJ24,'סקרי נכסים-יתרות פתיחה'!$2:$76,72,0),0)-IFERROR(HLOOKUP(AJ24,'סקרי נכסים-יתרות פתיחה'!$2:$90,87,0),0)</f>
        <v>0</v>
      </c>
      <c r="AK59" s="47">
        <f>+IFERROR(HLOOKUP(AK24,'סקרי נכסים-יתרות פתיחה'!$2:$76,72,0),0)-IFERROR(HLOOKUP(AK24,'סקרי נכסים-יתרות פתיחה'!$2:$90,87,0),0)</f>
        <v>0</v>
      </c>
      <c r="AL59" s="47">
        <f>+IFERROR(HLOOKUP(AL24,'סקרי נכסים-יתרות פתיחה'!$2:$76,72,0),0)-IFERROR(HLOOKUP(AL24,'סקרי נכסים-יתרות פתיחה'!$2:$90,87,0),0)</f>
        <v>0</v>
      </c>
      <c r="AM59" s="47">
        <f>+IFERROR(HLOOKUP(AM24,'סקרי נכסים-יתרות פתיחה'!$2:$76,72,0),0)-IFERROR(HLOOKUP(AM24,'סקרי נכסים-יתרות פתיחה'!$2:$90,87,0),0)</f>
        <v>0</v>
      </c>
      <c r="AN59" s="47">
        <f>+IFERROR(HLOOKUP(AN24,'סקרי נכסים-יתרות פתיחה'!$2:$76,72,0),0)-IFERROR(HLOOKUP(AN24,'סקרי נכסים-יתרות פתיחה'!$2:$90,87,0),0)</f>
        <v>0</v>
      </c>
      <c r="AO59" s="47">
        <f>+IFERROR(HLOOKUP(AO24,'סקרי נכסים-יתרות פתיחה'!$2:$76,72,0),0)-IFERROR(HLOOKUP(AO24,'סקרי נכסים-יתרות פתיחה'!$2:$90,87,0),0)</f>
        <v>0</v>
      </c>
      <c r="AP59" s="47">
        <f>+IFERROR(HLOOKUP(AP24,'סקרי נכסים-יתרות פתיחה'!$2:$76,72,0),0)-IFERROR(HLOOKUP(AP24,'סקרי נכסים-יתרות פתיחה'!$2:$90,87,0),0)</f>
        <v>0</v>
      </c>
      <c r="AQ59" s="47">
        <f>+IFERROR(HLOOKUP(AQ24,'סקרי נכסים-יתרות פתיחה'!$2:$76,72,0),0)-IFERROR(HLOOKUP(AQ24,'סקרי נכסים-יתרות פתיחה'!$2:$90,87,0),0)</f>
        <v>0</v>
      </c>
      <c r="AR59" s="47">
        <f>+IFERROR(HLOOKUP(AR24,'סקרי נכסים-יתרות פתיחה'!$2:$76,72,0),0)-IFERROR(HLOOKUP(AR24,'סקרי נכסים-יתרות פתיחה'!$2:$90,87,0),0)</f>
        <v>0</v>
      </c>
      <c r="AS59" s="47">
        <f>+IFERROR(HLOOKUP(AS24,'סקרי נכסים-יתרות פתיחה'!$2:$76,72,0),0)-IFERROR(HLOOKUP(AS24,'סקרי נכסים-יתרות פתיחה'!$2:$90,87,0),0)</f>
        <v>0</v>
      </c>
      <c r="AT59" s="47">
        <f>+IFERROR(HLOOKUP(AT24,'סקרי נכסים-יתרות פתיחה'!$2:$76,72,0),0)-IFERROR(HLOOKUP(AT24,'סקרי נכסים-יתרות פתיחה'!$2:$90,87,0),0)</f>
        <v>0</v>
      </c>
      <c r="AU59" s="47">
        <f>+IFERROR(HLOOKUP(AU24,'סקרי נכסים-יתרות פתיחה'!$2:$76,72,0),0)-IFERROR(HLOOKUP(AU24,'סקרי נכסים-יתרות פתיחה'!$2:$90,87,0),0)</f>
        <v>0</v>
      </c>
      <c r="AV59" s="47">
        <f>+IFERROR(HLOOKUP(AV24,'סקרי נכסים-יתרות פתיחה'!$2:$76,72,0),0)-IFERROR(HLOOKUP(AV24,'סקרי נכסים-יתרות פתיחה'!$2:$90,87,0),0)</f>
        <v>0</v>
      </c>
      <c r="AW59" s="47">
        <f>+IFERROR(HLOOKUP(AW24,'סקרי נכסים-יתרות פתיחה'!$2:$76,72,0),0)-IFERROR(HLOOKUP(AW24,'סקרי נכסים-יתרות פתיחה'!$2:$90,87,0),0)</f>
        <v>0</v>
      </c>
      <c r="AX59" s="47">
        <f>+IFERROR(HLOOKUP(AX24,'סקרי נכסים-יתרות פתיחה'!$2:$76,72,0),0)-IFERROR(HLOOKUP(AX24,'סקרי נכסים-יתרות פתיחה'!$2:$90,87,0),0)</f>
        <v>0</v>
      </c>
      <c r="AY59" s="47">
        <f>+IFERROR(HLOOKUP(AY24,'סקרי נכסים-יתרות פתיחה'!$2:$76,72,0),0)-IFERROR(HLOOKUP(AY24,'סקרי נכסים-יתרות פתיחה'!$2:$90,87,0),0)</f>
        <v>0</v>
      </c>
      <c r="AZ59" s="47">
        <f>+IFERROR(HLOOKUP(AZ24,'סקרי נכסים-יתרות פתיחה'!$2:$76,72,0),0)-IFERROR(HLOOKUP(AZ24,'סקרי נכסים-יתרות פתיחה'!$2:$90,87,0),0)</f>
        <v>0</v>
      </c>
      <c r="BA59" s="47">
        <f>+IFERROR(HLOOKUP(BA24,'סקרי נכסים-יתרות פתיחה'!$2:$76,72,0),0)-IFERROR(HLOOKUP(BA24,'סקרי נכסים-יתרות פתיחה'!$2:$90,87,0),0)</f>
        <v>0</v>
      </c>
      <c r="BB59" s="47">
        <f>+IFERROR(HLOOKUP(BB24,'סקרי נכסים-יתרות פתיחה'!$2:$76,72,0),0)-IFERROR(HLOOKUP(BB24,'סקרי נכסים-יתרות פתיחה'!$2:$90,87,0),0)</f>
        <v>0</v>
      </c>
      <c r="BC59" s="47">
        <f>+IFERROR(HLOOKUP(BC24,'סקרי נכסים-יתרות פתיחה'!$2:$76,72,0),0)-IFERROR(HLOOKUP(BC24,'סקרי נכסים-יתרות פתיחה'!$2:$90,87,0),0)</f>
        <v>0</v>
      </c>
      <c r="BD59" s="47">
        <f>+IFERROR(HLOOKUP(BD24,'סקרי נכסים-יתרות פתיחה'!$2:$76,72,0),0)-IFERROR(HLOOKUP(BD24,'סקרי נכסים-יתרות פתיחה'!$2:$90,87,0),0)</f>
        <v>0</v>
      </c>
      <c r="BE59" s="47">
        <f>+IFERROR(HLOOKUP(BE24,'סקרי נכסים-יתרות פתיחה'!$2:$76,72,0),0)-IFERROR(HLOOKUP(BE24,'סקרי נכסים-יתרות פתיחה'!$2:$90,87,0),0)</f>
        <v>0</v>
      </c>
      <c r="BF59" s="47">
        <f>+IFERROR(HLOOKUP(BF24,'סקרי נכסים-יתרות פתיחה'!$2:$76,72,0),0)-IFERROR(HLOOKUP(BF24,'סקרי נכסים-יתרות פתיחה'!$2:$90,87,0),0)</f>
        <v>0</v>
      </c>
    </row>
    <row r="60" spans="2:58" x14ac:dyDescent="0.2">
      <c r="B60" s="1">
        <v>18</v>
      </c>
      <c r="C60" s="47">
        <f>+IFERROR(HLOOKUP(C25,'סקרי נכסים-יתרות פתיחה'!$2:$76,72,0),0)-IFERROR(HLOOKUP(C25,'סקרי נכסים-יתרות פתיחה'!$2:$90,87,0),0)</f>
        <v>0</v>
      </c>
      <c r="D60" s="47">
        <f>+IFERROR(HLOOKUP(D25,'סקרי נכסים-יתרות פתיחה'!$2:$76,72,0),0)-IFERROR(HLOOKUP(D25,'סקרי נכסים-יתרות פתיחה'!$2:$90,87,0),0)</f>
        <v>0</v>
      </c>
      <c r="E60" s="47">
        <f>+IFERROR(HLOOKUP(E25,'סקרי נכסים-יתרות פתיחה'!$2:$76,72,0),0)-IFERROR(HLOOKUP(E25,'סקרי נכסים-יתרות פתיחה'!$2:$90,87,0),0)</f>
        <v>0</v>
      </c>
      <c r="F60" s="47">
        <f>+IFERROR(HLOOKUP(F25,'סקרי נכסים-יתרות פתיחה'!$2:$76,72,0),0)-IFERROR(HLOOKUP(F25,'סקרי נכסים-יתרות פתיחה'!$2:$90,87,0),0)</f>
        <v>0</v>
      </c>
      <c r="G60" s="47">
        <f>+IFERROR(HLOOKUP(G25,'סקרי נכסים-יתרות פתיחה'!$2:$76,72,0),0)-IFERROR(HLOOKUP(G25,'סקרי נכסים-יתרות פתיחה'!$2:$90,87,0),0)</f>
        <v>0</v>
      </c>
      <c r="H60" s="47">
        <f>+IFERROR(HLOOKUP(H25,'סקרי נכסים-יתרות פתיחה'!$2:$76,72,0),0)-IFERROR(HLOOKUP(H25,'סקרי נכסים-יתרות פתיחה'!$2:$90,87,0),0)</f>
        <v>0</v>
      </c>
      <c r="I60" s="47">
        <f>+IFERROR(HLOOKUP(I25,'סקרי נכסים-יתרות פתיחה'!$2:$76,72,0),0)-IFERROR(HLOOKUP(I25,'סקרי נכסים-יתרות פתיחה'!$2:$90,87,0),0)</f>
        <v>0</v>
      </c>
      <c r="J60" s="47">
        <f>+IFERROR(HLOOKUP(J25,'סקרי נכסים-יתרות פתיחה'!$2:$76,72,0),0)-IFERROR(HLOOKUP(J25,'סקרי נכסים-יתרות פתיחה'!$2:$90,87,0),0)</f>
        <v>0</v>
      </c>
      <c r="K60" s="47">
        <f>+IFERROR(HLOOKUP(K25,'סקרי נכסים-יתרות פתיחה'!$2:$76,72,0),0)-IFERROR(HLOOKUP(K25,'סקרי נכסים-יתרות פתיחה'!$2:$90,87,0),0)</f>
        <v>0</v>
      </c>
      <c r="L60" s="47">
        <f>+IFERROR(HLOOKUP(L25,'סקרי נכסים-יתרות פתיחה'!$2:$76,72,0),0)-IFERROR(HLOOKUP(L25,'סקרי נכסים-יתרות פתיחה'!$2:$90,87,0),0)</f>
        <v>0</v>
      </c>
      <c r="M60" s="47">
        <f>+IFERROR(HLOOKUP(M25,'סקרי נכסים-יתרות פתיחה'!$2:$76,72,0),0)-IFERROR(HLOOKUP(M25,'סקרי נכסים-יתרות פתיחה'!$2:$90,87,0),0)</f>
        <v>0</v>
      </c>
      <c r="N60" s="47">
        <f>+IFERROR(HLOOKUP(N25,'סקרי נכסים-יתרות פתיחה'!$2:$76,72,0),0)-IFERROR(HLOOKUP(N25,'סקרי נכסים-יתרות פתיחה'!$2:$90,87,0),0)</f>
        <v>0</v>
      </c>
      <c r="O60" s="47">
        <f>+IFERROR(HLOOKUP(O25,'סקרי נכסים-יתרות פתיחה'!$2:$76,72,0),0)-IFERROR(HLOOKUP(O25,'סקרי נכסים-יתרות פתיחה'!$2:$90,87,0),0)</f>
        <v>0</v>
      </c>
      <c r="P60" s="47">
        <f>+IFERROR(HLOOKUP(P25,'סקרי נכסים-יתרות פתיחה'!$2:$76,72,0),0)-IFERROR(HLOOKUP(P25,'סקרי נכסים-יתרות פתיחה'!$2:$90,87,0),0)</f>
        <v>0</v>
      </c>
      <c r="Q60" s="47">
        <f>+IFERROR(HLOOKUP(Q25,'סקרי נכסים-יתרות פתיחה'!$2:$76,72,0),0)-IFERROR(HLOOKUP(Q25,'סקרי נכסים-יתרות פתיחה'!$2:$90,87,0),0)</f>
        <v>0</v>
      </c>
      <c r="R60" s="47">
        <f>+IFERROR(HLOOKUP(R25,'סקרי נכסים-יתרות פתיחה'!$2:$76,72,0),0)-IFERROR(HLOOKUP(R25,'סקרי נכסים-יתרות פתיחה'!$2:$90,87,0),0)</f>
        <v>0</v>
      </c>
      <c r="S60" s="47">
        <f>+IFERROR(HLOOKUP(S25,'סקרי נכסים-יתרות פתיחה'!$2:$76,72,0),0)-IFERROR(HLOOKUP(S25,'סקרי נכסים-יתרות פתיחה'!$2:$90,87,0),0)</f>
        <v>0</v>
      </c>
      <c r="T60" s="47">
        <f>+IFERROR(HLOOKUP(T25,'סקרי נכסים-יתרות פתיחה'!$2:$76,72,0),0)-IFERROR(HLOOKUP(T25,'סקרי נכסים-יתרות פתיחה'!$2:$90,87,0),0)</f>
        <v>0</v>
      </c>
      <c r="U60" s="47">
        <f>+IFERROR(HLOOKUP(U25,'סקרי נכסים-יתרות פתיחה'!$2:$76,72,0),0)-IFERROR(HLOOKUP(U25,'סקרי נכסים-יתרות פתיחה'!$2:$90,87,0),0)</f>
        <v>0</v>
      </c>
      <c r="V60" s="47">
        <f>+IFERROR(HLOOKUP(V25,'סקרי נכסים-יתרות פתיחה'!$2:$76,72,0),0)-IFERROR(HLOOKUP(V25,'סקרי נכסים-יתרות פתיחה'!$2:$90,87,0),0)</f>
        <v>0</v>
      </c>
      <c r="W60" s="47">
        <f>+IFERROR(HLOOKUP(W25,'סקרי נכסים-יתרות פתיחה'!$2:$76,72,0),0)-IFERROR(HLOOKUP(W25,'סקרי נכסים-יתרות פתיחה'!$2:$90,87,0),0)</f>
        <v>0</v>
      </c>
      <c r="X60" s="47">
        <f>+IFERROR(HLOOKUP(X25,'סקרי נכסים-יתרות פתיחה'!$2:$76,72,0),0)-IFERROR(HLOOKUP(X25,'סקרי נכסים-יתרות פתיחה'!$2:$90,87,0),0)</f>
        <v>0</v>
      </c>
      <c r="Y60" s="47">
        <f>+IFERROR(HLOOKUP(Y25,'סקרי נכסים-יתרות פתיחה'!$2:$76,72,0),0)-IFERROR(HLOOKUP(Y25,'סקרי נכסים-יתרות פתיחה'!$2:$90,87,0),0)</f>
        <v>0</v>
      </c>
      <c r="Z60" s="47">
        <f>+IFERROR(HLOOKUP(Z25,'סקרי נכסים-יתרות פתיחה'!$2:$76,72,0),0)-IFERROR(HLOOKUP(Z25,'סקרי נכסים-יתרות פתיחה'!$2:$90,87,0),0)</f>
        <v>0</v>
      </c>
      <c r="AA60" s="47">
        <f>+IFERROR(HLOOKUP(AA25,'סקרי נכסים-יתרות פתיחה'!$2:$76,72,0),0)-IFERROR(HLOOKUP(AA25,'סקרי נכסים-יתרות פתיחה'!$2:$90,87,0),0)</f>
        <v>0</v>
      </c>
      <c r="AB60" s="47">
        <f>+IFERROR(HLOOKUP(AB25,'סקרי נכסים-יתרות פתיחה'!$2:$76,72,0),0)-IFERROR(HLOOKUP(AB25,'סקרי נכסים-יתרות פתיחה'!$2:$90,87,0),0)</f>
        <v>0</v>
      </c>
      <c r="AC60" s="47">
        <f>+IFERROR(HLOOKUP(AC25,'סקרי נכסים-יתרות פתיחה'!$2:$76,72,0),0)-IFERROR(HLOOKUP(AC25,'סקרי נכסים-יתרות פתיחה'!$2:$90,87,0),0)</f>
        <v>0</v>
      </c>
      <c r="AD60" s="47">
        <f>+IFERROR(HLOOKUP(AD25,'סקרי נכסים-יתרות פתיחה'!$2:$76,72,0),0)-IFERROR(HLOOKUP(AD25,'סקרי נכסים-יתרות פתיחה'!$2:$90,87,0),0)</f>
        <v>0</v>
      </c>
      <c r="AE60" s="47">
        <f>+IFERROR(HLOOKUP(AE25,'סקרי נכסים-יתרות פתיחה'!$2:$76,72,0),0)-IFERROR(HLOOKUP(AE25,'סקרי נכסים-יתרות פתיחה'!$2:$90,87,0),0)</f>
        <v>0</v>
      </c>
      <c r="AF60" s="47">
        <f>+IFERROR(HLOOKUP(AF25,'סקרי נכסים-יתרות פתיחה'!$2:$76,72,0),0)-IFERROR(HLOOKUP(AF25,'סקרי נכסים-יתרות פתיחה'!$2:$90,87,0),0)</f>
        <v>0</v>
      </c>
      <c r="AG60" s="47">
        <f>+IFERROR(HLOOKUP(AG25,'סקרי נכסים-יתרות פתיחה'!$2:$76,72,0),0)-IFERROR(HLOOKUP(AG25,'סקרי נכסים-יתרות פתיחה'!$2:$90,87,0),0)</f>
        <v>0</v>
      </c>
      <c r="AH60" s="47">
        <f>+IFERROR(HLOOKUP(AH25,'סקרי נכסים-יתרות פתיחה'!$2:$76,72,0),0)-IFERROR(HLOOKUP(AH25,'סקרי נכסים-יתרות פתיחה'!$2:$90,87,0),0)</f>
        <v>0</v>
      </c>
      <c r="AI60" s="47">
        <f>+IFERROR(HLOOKUP(AI25,'סקרי נכסים-יתרות פתיחה'!$2:$76,72,0),0)-IFERROR(HLOOKUP(AI25,'סקרי נכסים-יתרות פתיחה'!$2:$90,87,0),0)</f>
        <v>0</v>
      </c>
      <c r="AJ60" s="47">
        <f>+IFERROR(HLOOKUP(AJ25,'סקרי נכסים-יתרות פתיחה'!$2:$76,72,0),0)-IFERROR(HLOOKUP(AJ25,'סקרי נכסים-יתרות פתיחה'!$2:$90,87,0),0)</f>
        <v>0</v>
      </c>
      <c r="AK60" s="47">
        <f>+IFERROR(HLOOKUP(AK25,'סקרי נכסים-יתרות פתיחה'!$2:$76,72,0),0)-IFERROR(HLOOKUP(AK25,'סקרי נכסים-יתרות פתיחה'!$2:$90,87,0),0)</f>
        <v>0</v>
      </c>
      <c r="AL60" s="47">
        <f>+IFERROR(HLOOKUP(AL25,'סקרי נכסים-יתרות פתיחה'!$2:$76,72,0),0)-IFERROR(HLOOKUP(AL25,'סקרי נכסים-יתרות פתיחה'!$2:$90,87,0),0)</f>
        <v>0</v>
      </c>
      <c r="AM60" s="47">
        <f>+IFERROR(HLOOKUP(AM25,'סקרי נכסים-יתרות פתיחה'!$2:$76,72,0),0)-IFERROR(HLOOKUP(AM25,'סקרי נכסים-יתרות פתיחה'!$2:$90,87,0),0)</f>
        <v>0</v>
      </c>
      <c r="AN60" s="47">
        <f>+IFERROR(HLOOKUP(AN25,'סקרי נכסים-יתרות פתיחה'!$2:$76,72,0),0)-IFERROR(HLOOKUP(AN25,'סקרי נכסים-יתרות פתיחה'!$2:$90,87,0),0)</f>
        <v>0</v>
      </c>
      <c r="AO60" s="47">
        <f>+IFERROR(HLOOKUP(AO25,'סקרי נכסים-יתרות פתיחה'!$2:$76,72,0),0)-IFERROR(HLOOKUP(AO25,'סקרי נכסים-יתרות פתיחה'!$2:$90,87,0),0)</f>
        <v>0</v>
      </c>
      <c r="AP60" s="47">
        <f>+IFERROR(HLOOKUP(AP25,'סקרי נכסים-יתרות פתיחה'!$2:$76,72,0),0)-IFERROR(HLOOKUP(AP25,'סקרי נכסים-יתרות פתיחה'!$2:$90,87,0),0)</f>
        <v>0</v>
      </c>
      <c r="AQ60" s="47">
        <f>+IFERROR(HLOOKUP(AQ25,'סקרי נכסים-יתרות פתיחה'!$2:$76,72,0),0)-IFERROR(HLOOKUP(AQ25,'סקרי נכסים-יתרות פתיחה'!$2:$90,87,0),0)</f>
        <v>0</v>
      </c>
      <c r="AR60" s="47">
        <f>+IFERROR(HLOOKUP(AR25,'סקרי נכסים-יתרות פתיחה'!$2:$76,72,0),0)-IFERROR(HLOOKUP(AR25,'סקרי נכסים-יתרות פתיחה'!$2:$90,87,0),0)</f>
        <v>0</v>
      </c>
      <c r="AS60" s="47">
        <f>+IFERROR(HLOOKUP(AS25,'סקרי נכסים-יתרות פתיחה'!$2:$76,72,0),0)-IFERROR(HLOOKUP(AS25,'סקרי נכסים-יתרות פתיחה'!$2:$90,87,0),0)</f>
        <v>0</v>
      </c>
      <c r="AT60" s="47">
        <f>+IFERROR(HLOOKUP(AT25,'סקרי נכסים-יתרות פתיחה'!$2:$76,72,0),0)-IFERROR(HLOOKUP(AT25,'סקרי נכסים-יתרות פתיחה'!$2:$90,87,0),0)</f>
        <v>0</v>
      </c>
      <c r="AU60" s="47">
        <f>+IFERROR(HLOOKUP(AU25,'סקרי נכסים-יתרות פתיחה'!$2:$76,72,0),0)-IFERROR(HLOOKUP(AU25,'סקרי נכסים-יתרות פתיחה'!$2:$90,87,0),0)</f>
        <v>0</v>
      </c>
      <c r="AV60" s="47">
        <f>+IFERROR(HLOOKUP(AV25,'סקרי נכסים-יתרות פתיחה'!$2:$76,72,0),0)-IFERROR(HLOOKUP(AV25,'סקרי נכסים-יתרות פתיחה'!$2:$90,87,0),0)</f>
        <v>0</v>
      </c>
      <c r="AW60" s="47">
        <f>+IFERROR(HLOOKUP(AW25,'סקרי נכסים-יתרות פתיחה'!$2:$76,72,0),0)-IFERROR(HLOOKUP(AW25,'סקרי נכסים-יתרות פתיחה'!$2:$90,87,0),0)</f>
        <v>0</v>
      </c>
      <c r="AX60" s="47">
        <f>+IFERROR(HLOOKUP(AX25,'סקרי נכסים-יתרות פתיחה'!$2:$76,72,0),0)-IFERROR(HLOOKUP(AX25,'סקרי נכסים-יתרות פתיחה'!$2:$90,87,0),0)</f>
        <v>0</v>
      </c>
      <c r="AY60" s="47">
        <f>+IFERROR(HLOOKUP(AY25,'סקרי נכסים-יתרות פתיחה'!$2:$76,72,0),0)-IFERROR(HLOOKUP(AY25,'סקרי נכסים-יתרות פתיחה'!$2:$90,87,0),0)</f>
        <v>0</v>
      </c>
      <c r="AZ60" s="47">
        <f>+IFERROR(HLOOKUP(AZ25,'סקרי נכסים-יתרות פתיחה'!$2:$76,72,0),0)-IFERROR(HLOOKUP(AZ25,'סקרי נכסים-יתרות פתיחה'!$2:$90,87,0),0)</f>
        <v>0</v>
      </c>
      <c r="BA60" s="47">
        <f>+IFERROR(HLOOKUP(BA25,'סקרי נכסים-יתרות פתיחה'!$2:$76,72,0),0)-IFERROR(HLOOKUP(BA25,'סקרי נכסים-יתרות פתיחה'!$2:$90,87,0),0)</f>
        <v>0</v>
      </c>
      <c r="BB60" s="47">
        <f>+IFERROR(HLOOKUP(BB25,'סקרי נכסים-יתרות פתיחה'!$2:$76,72,0),0)-IFERROR(HLOOKUP(BB25,'סקרי נכסים-יתרות פתיחה'!$2:$90,87,0),0)</f>
        <v>0</v>
      </c>
      <c r="BC60" s="47">
        <f>+IFERROR(HLOOKUP(BC25,'סקרי נכסים-יתרות פתיחה'!$2:$76,72,0),0)-IFERROR(HLOOKUP(BC25,'סקרי נכסים-יתרות פתיחה'!$2:$90,87,0),0)</f>
        <v>0</v>
      </c>
      <c r="BD60" s="47">
        <f>+IFERROR(HLOOKUP(BD25,'סקרי נכסים-יתרות פתיחה'!$2:$76,72,0),0)-IFERROR(HLOOKUP(BD25,'סקרי נכסים-יתרות פתיחה'!$2:$90,87,0),0)</f>
        <v>0</v>
      </c>
      <c r="BE60" s="47">
        <f>+IFERROR(HLOOKUP(BE25,'סקרי נכסים-יתרות פתיחה'!$2:$76,72,0),0)-IFERROR(HLOOKUP(BE25,'סקרי נכסים-יתרות פתיחה'!$2:$90,87,0),0)</f>
        <v>0</v>
      </c>
      <c r="BF60" s="47">
        <f>+IFERROR(HLOOKUP(BF25,'סקרי נכסים-יתרות פתיחה'!$2:$76,72,0),0)-IFERROR(HLOOKUP(BF25,'סקרי נכסים-יתרות פתיחה'!$2:$90,87,0),0)</f>
        <v>0</v>
      </c>
    </row>
    <row r="61" spans="2:58" x14ac:dyDescent="0.2">
      <c r="B61" s="1">
        <v>19</v>
      </c>
      <c r="C61" s="47">
        <f>+IFERROR(HLOOKUP(C26,'סקרי נכסים-יתרות פתיחה'!$2:$76,72,0),0)-IFERROR(HLOOKUP(C26,'סקרי נכסים-יתרות פתיחה'!$2:$90,87,0),0)</f>
        <v>0</v>
      </c>
      <c r="D61" s="47">
        <f>+IFERROR(HLOOKUP(D26,'סקרי נכסים-יתרות פתיחה'!$2:$76,72,0),0)-IFERROR(HLOOKUP(D26,'סקרי נכסים-יתרות פתיחה'!$2:$90,87,0),0)</f>
        <v>0</v>
      </c>
      <c r="E61" s="47">
        <f>+IFERROR(HLOOKUP(E26,'סקרי נכסים-יתרות פתיחה'!$2:$76,72,0),0)-IFERROR(HLOOKUP(E26,'סקרי נכסים-יתרות פתיחה'!$2:$90,87,0),0)</f>
        <v>0</v>
      </c>
      <c r="F61" s="47">
        <f>+IFERROR(HLOOKUP(F26,'סקרי נכסים-יתרות פתיחה'!$2:$76,72,0),0)-IFERROR(HLOOKUP(F26,'סקרי נכסים-יתרות פתיחה'!$2:$90,87,0),0)</f>
        <v>0</v>
      </c>
      <c r="G61" s="47">
        <f>+IFERROR(HLOOKUP(G26,'סקרי נכסים-יתרות פתיחה'!$2:$76,72,0),0)-IFERROR(HLOOKUP(G26,'סקרי נכסים-יתרות פתיחה'!$2:$90,87,0),0)</f>
        <v>0</v>
      </c>
      <c r="H61" s="47">
        <f>+IFERROR(HLOOKUP(H26,'סקרי נכסים-יתרות פתיחה'!$2:$76,72,0),0)-IFERROR(HLOOKUP(H26,'סקרי נכסים-יתרות פתיחה'!$2:$90,87,0),0)</f>
        <v>0</v>
      </c>
      <c r="I61" s="47">
        <f>+IFERROR(HLOOKUP(I26,'סקרי נכסים-יתרות פתיחה'!$2:$76,72,0),0)-IFERROR(HLOOKUP(I26,'סקרי נכסים-יתרות פתיחה'!$2:$90,87,0),0)</f>
        <v>0</v>
      </c>
      <c r="J61" s="47">
        <f>+IFERROR(HLOOKUP(J26,'סקרי נכסים-יתרות פתיחה'!$2:$76,72,0),0)-IFERROR(HLOOKUP(J26,'סקרי נכסים-יתרות פתיחה'!$2:$90,87,0),0)</f>
        <v>0</v>
      </c>
      <c r="K61" s="47">
        <f>+IFERROR(HLOOKUP(K26,'סקרי נכסים-יתרות פתיחה'!$2:$76,72,0),0)-IFERROR(HLOOKUP(K26,'סקרי נכסים-יתרות פתיחה'!$2:$90,87,0),0)</f>
        <v>0</v>
      </c>
      <c r="L61" s="47">
        <f>+IFERROR(HLOOKUP(L26,'סקרי נכסים-יתרות פתיחה'!$2:$76,72,0),0)-IFERROR(HLOOKUP(L26,'סקרי נכסים-יתרות פתיחה'!$2:$90,87,0),0)</f>
        <v>0</v>
      </c>
      <c r="M61" s="47">
        <f>+IFERROR(HLOOKUP(M26,'סקרי נכסים-יתרות פתיחה'!$2:$76,72,0),0)-IFERROR(HLOOKUP(M26,'סקרי נכסים-יתרות פתיחה'!$2:$90,87,0),0)</f>
        <v>0</v>
      </c>
      <c r="N61" s="47">
        <f>+IFERROR(HLOOKUP(N26,'סקרי נכסים-יתרות פתיחה'!$2:$76,72,0),0)-IFERROR(HLOOKUP(N26,'סקרי נכסים-יתרות פתיחה'!$2:$90,87,0),0)</f>
        <v>0</v>
      </c>
      <c r="O61" s="47">
        <f>+IFERROR(HLOOKUP(O26,'סקרי נכסים-יתרות פתיחה'!$2:$76,72,0),0)-IFERROR(HLOOKUP(O26,'סקרי נכסים-יתרות פתיחה'!$2:$90,87,0),0)</f>
        <v>0</v>
      </c>
      <c r="P61" s="47">
        <f>+IFERROR(HLOOKUP(P26,'סקרי נכסים-יתרות פתיחה'!$2:$76,72,0),0)-IFERROR(HLOOKUP(P26,'סקרי נכסים-יתרות פתיחה'!$2:$90,87,0),0)</f>
        <v>0</v>
      </c>
      <c r="Q61" s="47">
        <f>+IFERROR(HLOOKUP(Q26,'סקרי נכסים-יתרות פתיחה'!$2:$76,72,0),0)-IFERROR(HLOOKUP(Q26,'סקרי נכסים-יתרות פתיחה'!$2:$90,87,0),0)</f>
        <v>0</v>
      </c>
      <c r="R61" s="47">
        <f>+IFERROR(HLOOKUP(R26,'סקרי נכסים-יתרות פתיחה'!$2:$76,72,0),0)-IFERROR(HLOOKUP(R26,'סקרי נכסים-יתרות פתיחה'!$2:$90,87,0),0)</f>
        <v>0</v>
      </c>
      <c r="S61" s="47">
        <f>+IFERROR(HLOOKUP(S26,'סקרי נכסים-יתרות פתיחה'!$2:$76,72,0),0)-IFERROR(HLOOKUP(S26,'סקרי נכסים-יתרות פתיחה'!$2:$90,87,0),0)</f>
        <v>0</v>
      </c>
      <c r="T61" s="47">
        <f>+IFERROR(HLOOKUP(T26,'סקרי נכסים-יתרות פתיחה'!$2:$76,72,0),0)-IFERROR(HLOOKUP(T26,'סקרי נכסים-יתרות פתיחה'!$2:$90,87,0),0)</f>
        <v>0</v>
      </c>
      <c r="U61" s="47">
        <f>+IFERROR(HLOOKUP(U26,'סקרי נכסים-יתרות פתיחה'!$2:$76,72,0),0)-IFERROR(HLOOKUP(U26,'סקרי נכסים-יתרות פתיחה'!$2:$90,87,0),0)</f>
        <v>0</v>
      </c>
      <c r="V61" s="47">
        <f>+IFERROR(HLOOKUP(V26,'סקרי נכסים-יתרות פתיחה'!$2:$76,72,0),0)-IFERROR(HLOOKUP(V26,'סקרי נכסים-יתרות פתיחה'!$2:$90,87,0),0)</f>
        <v>0</v>
      </c>
      <c r="W61" s="47">
        <f>+IFERROR(HLOOKUP(W26,'סקרי נכסים-יתרות פתיחה'!$2:$76,72,0),0)-IFERROR(HLOOKUP(W26,'סקרי נכסים-יתרות פתיחה'!$2:$90,87,0),0)</f>
        <v>0</v>
      </c>
      <c r="X61" s="47">
        <f>+IFERROR(HLOOKUP(X26,'סקרי נכסים-יתרות פתיחה'!$2:$76,72,0),0)-IFERROR(HLOOKUP(X26,'סקרי נכסים-יתרות פתיחה'!$2:$90,87,0),0)</f>
        <v>0</v>
      </c>
      <c r="Y61" s="47">
        <f>+IFERROR(HLOOKUP(Y26,'סקרי נכסים-יתרות פתיחה'!$2:$76,72,0),0)-IFERROR(HLOOKUP(Y26,'סקרי נכסים-יתרות פתיחה'!$2:$90,87,0),0)</f>
        <v>0</v>
      </c>
      <c r="Z61" s="47">
        <f>+IFERROR(HLOOKUP(Z26,'סקרי נכסים-יתרות פתיחה'!$2:$76,72,0),0)-IFERROR(HLOOKUP(Z26,'סקרי נכסים-יתרות פתיחה'!$2:$90,87,0),0)</f>
        <v>0</v>
      </c>
      <c r="AA61" s="47">
        <f>+IFERROR(HLOOKUP(AA26,'סקרי נכסים-יתרות פתיחה'!$2:$76,72,0),0)-IFERROR(HLOOKUP(AA26,'סקרי נכסים-יתרות פתיחה'!$2:$90,87,0),0)</f>
        <v>0</v>
      </c>
      <c r="AB61" s="47">
        <f>+IFERROR(HLOOKUP(AB26,'סקרי נכסים-יתרות פתיחה'!$2:$76,72,0),0)-IFERROR(HLOOKUP(AB26,'סקרי נכסים-יתרות פתיחה'!$2:$90,87,0),0)</f>
        <v>0</v>
      </c>
      <c r="AC61" s="47">
        <f>+IFERROR(HLOOKUP(AC26,'סקרי נכסים-יתרות פתיחה'!$2:$76,72,0),0)-IFERROR(HLOOKUP(AC26,'סקרי נכסים-יתרות פתיחה'!$2:$90,87,0),0)</f>
        <v>0</v>
      </c>
      <c r="AD61" s="47">
        <f>+IFERROR(HLOOKUP(AD26,'סקרי נכסים-יתרות פתיחה'!$2:$76,72,0),0)-IFERROR(HLOOKUP(AD26,'סקרי נכסים-יתרות פתיחה'!$2:$90,87,0),0)</f>
        <v>0</v>
      </c>
      <c r="AE61" s="47">
        <f>+IFERROR(HLOOKUP(AE26,'סקרי נכסים-יתרות פתיחה'!$2:$76,72,0),0)-IFERROR(HLOOKUP(AE26,'סקרי נכסים-יתרות פתיחה'!$2:$90,87,0),0)</f>
        <v>0</v>
      </c>
      <c r="AF61" s="47">
        <f>+IFERROR(HLOOKUP(AF26,'סקרי נכסים-יתרות פתיחה'!$2:$76,72,0),0)-IFERROR(HLOOKUP(AF26,'סקרי נכסים-יתרות פתיחה'!$2:$90,87,0),0)</f>
        <v>0</v>
      </c>
      <c r="AG61" s="47">
        <f>+IFERROR(HLOOKUP(AG26,'סקרי נכסים-יתרות פתיחה'!$2:$76,72,0),0)-IFERROR(HLOOKUP(AG26,'סקרי נכסים-יתרות פתיחה'!$2:$90,87,0),0)</f>
        <v>0</v>
      </c>
      <c r="AH61" s="47">
        <f>+IFERROR(HLOOKUP(AH26,'סקרי נכסים-יתרות פתיחה'!$2:$76,72,0),0)-IFERROR(HLOOKUP(AH26,'סקרי נכסים-יתרות פתיחה'!$2:$90,87,0),0)</f>
        <v>0</v>
      </c>
      <c r="AI61" s="47">
        <f>+IFERROR(HLOOKUP(AI26,'סקרי נכסים-יתרות פתיחה'!$2:$76,72,0),0)-IFERROR(HLOOKUP(AI26,'סקרי נכסים-יתרות פתיחה'!$2:$90,87,0),0)</f>
        <v>0</v>
      </c>
      <c r="AJ61" s="47">
        <f>+IFERROR(HLOOKUP(AJ26,'סקרי נכסים-יתרות פתיחה'!$2:$76,72,0),0)-IFERROR(HLOOKUP(AJ26,'סקרי נכסים-יתרות פתיחה'!$2:$90,87,0),0)</f>
        <v>0</v>
      </c>
      <c r="AK61" s="47">
        <f>+IFERROR(HLOOKUP(AK26,'סקרי נכסים-יתרות פתיחה'!$2:$76,72,0),0)-IFERROR(HLOOKUP(AK26,'סקרי נכסים-יתרות פתיחה'!$2:$90,87,0),0)</f>
        <v>0</v>
      </c>
      <c r="AL61" s="47">
        <f>+IFERROR(HLOOKUP(AL26,'סקרי נכסים-יתרות פתיחה'!$2:$76,72,0),0)-IFERROR(HLOOKUP(AL26,'סקרי נכסים-יתרות פתיחה'!$2:$90,87,0),0)</f>
        <v>0</v>
      </c>
      <c r="AM61" s="47">
        <f>+IFERROR(HLOOKUP(AM26,'סקרי נכסים-יתרות פתיחה'!$2:$76,72,0),0)-IFERROR(HLOOKUP(AM26,'סקרי נכסים-יתרות פתיחה'!$2:$90,87,0),0)</f>
        <v>0</v>
      </c>
      <c r="AN61" s="47">
        <f>+IFERROR(HLOOKUP(AN26,'סקרי נכסים-יתרות פתיחה'!$2:$76,72,0),0)-IFERROR(HLOOKUP(AN26,'סקרי נכסים-יתרות פתיחה'!$2:$90,87,0),0)</f>
        <v>0</v>
      </c>
      <c r="AO61" s="47">
        <f>+IFERROR(HLOOKUP(AO26,'סקרי נכסים-יתרות פתיחה'!$2:$76,72,0),0)-IFERROR(HLOOKUP(AO26,'סקרי נכסים-יתרות פתיחה'!$2:$90,87,0),0)</f>
        <v>0</v>
      </c>
      <c r="AP61" s="47">
        <f>+IFERROR(HLOOKUP(AP26,'סקרי נכסים-יתרות פתיחה'!$2:$76,72,0),0)-IFERROR(HLOOKUP(AP26,'סקרי נכסים-יתרות פתיחה'!$2:$90,87,0),0)</f>
        <v>0</v>
      </c>
      <c r="AQ61" s="47">
        <f>+IFERROR(HLOOKUP(AQ26,'סקרי נכסים-יתרות פתיחה'!$2:$76,72,0),0)-IFERROR(HLOOKUP(AQ26,'סקרי נכסים-יתרות פתיחה'!$2:$90,87,0),0)</f>
        <v>0</v>
      </c>
      <c r="AR61" s="47">
        <f>+IFERROR(HLOOKUP(AR26,'סקרי נכסים-יתרות פתיחה'!$2:$76,72,0),0)-IFERROR(HLOOKUP(AR26,'סקרי נכסים-יתרות פתיחה'!$2:$90,87,0),0)</f>
        <v>0</v>
      </c>
      <c r="AS61" s="47">
        <f>+IFERROR(HLOOKUP(AS26,'סקרי נכסים-יתרות פתיחה'!$2:$76,72,0),0)-IFERROR(HLOOKUP(AS26,'סקרי נכסים-יתרות פתיחה'!$2:$90,87,0),0)</f>
        <v>0</v>
      </c>
      <c r="AT61" s="47">
        <f>+IFERROR(HLOOKUP(AT26,'סקרי נכסים-יתרות פתיחה'!$2:$76,72,0),0)-IFERROR(HLOOKUP(AT26,'סקרי נכסים-יתרות פתיחה'!$2:$90,87,0),0)</f>
        <v>0</v>
      </c>
      <c r="AU61" s="47">
        <f>+IFERROR(HLOOKUP(AU26,'סקרי נכסים-יתרות פתיחה'!$2:$76,72,0),0)-IFERROR(HLOOKUP(AU26,'סקרי נכסים-יתרות פתיחה'!$2:$90,87,0),0)</f>
        <v>0</v>
      </c>
      <c r="AV61" s="47">
        <f>+IFERROR(HLOOKUP(AV26,'סקרי נכסים-יתרות פתיחה'!$2:$76,72,0),0)-IFERROR(HLOOKUP(AV26,'סקרי נכסים-יתרות פתיחה'!$2:$90,87,0),0)</f>
        <v>0</v>
      </c>
      <c r="AW61" s="47">
        <f>+IFERROR(HLOOKUP(AW26,'סקרי נכסים-יתרות פתיחה'!$2:$76,72,0),0)-IFERROR(HLOOKUP(AW26,'סקרי נכסים-יתרות פתיחה'!$2:$90,87,0),0)</f>
        <v>0</v>
      </c>
      <c r="AX61" s="47">
        <f>+IFERROR(HLOOKUP(AX26,'סקרי נכסים-יתרות פתיחה'!$2:$76,72,0),0)-IFERROR(HLOOKUP(AX26,'סקרי נכסים-יתרות פתיחה'!$2:$90,87,0),0)</f>
        <v>0</v>
      </c>
      <c r="AY61" s="47">
        <f>+IFERROR(HLOOKUP(AY26,'סקרי נכסים-יתרות פתיחה'!$2:$76,72,0),0)-IFERROR(HLOOKUP(AY26,'סקרי נכסים-יתרות פתיחה'!$2:$90,87,0),0)</f>
        <v>0</v>
      </c>
      <c r="AZ61" s="47">
        <f>+IFERROR(HLOOKUP(AZ26,'סקרי נכסים-יתרות פתיחה'!$2:$76,72,0),0)-IFERROR(HLOOKUP(AZ26,'סקרי נכסים-יתרות פתיחה'!$2:$90,87,0),0)</f>
        <v>0</v>
      </c>
      <c r="BA61" s="47">
        <f>+IFERROR(HLOOKUP(BA26,'סקרי נכסים-יתרות פתיחה'!$2:$76,72,0),0)-IFERROR(HLOOKUP(BA26,'סקרי נכסים-יתרות פתיחה'!$2:$90,87,0),0)</f>
        <v>0</v>
      </c>
      <c r="BB61" s="47">
        <f>+IFERROR(HLOOKUP(BB26,'סקרי נכסים-יתרות פתיחה'!$2:$76,72,0),0)-IFERROR(HLOOKUP(BB26,'סקרי נכסים-יתרות פתיחה'!$2:$90,87,0),0)</f>
        <v>0</v>
      </c>
      <c r="BC61" s="47">
        <f>+IFERROR(HLOOKUP(BC26,'סקרי נכסים-יתרות פתיחה'!$2:$76,72,0),0)-IFERROR(HLOOKUP(BC26,'סקרי נכסים-יתרות פתיחה'!$2:$90,87,0),0)</f>
        <v>0</v>
      </c>
      <c r="BD61" s="47">
        <f>+IFERROR(HLOOKUP(BD26,'סקרי נכסים-יתרות פתיחה'!$2:$76,72,0),0)-IFERROR(HLOOKUP(BD26,'סקרי נכסים-יתרות פתיחה'!$2:$90,87,0),0)</f>
        <v>0</v>
      </c>
      <c r="BE61" s="47">
        <f>+IFERROR(HLOOKUP(BE26,'סקרי נכסים-יתרות פתיחה'!$2:$76,72,0),0)-IFERROR(HLOOKUP(BE26,'סקרי נכסים-יתרות פתיחה'!$2:$90,87,0),0)</f>
        <v>0</v>
      </c>
      <c r="BF61" s="47">
        <f>+IFERROR(HLOOKUP(BF26,'סקרי נכסים-יתרות פתיחה'!$2:$76,72,0),0)-IFERROR(HLOOKUP(BF26,'סקרי נכסים-יתרות פתיחה'!$2:$90,87,0),0)</f>
        <v>0</v>
      </c>
    </row>
    <row r="62" spans="2:58" x14ac:dyDescent="0.2">
      <c r="B62" s="1">
        <v>20</v>
      </c>
      <c r="C62" s="47">
        <f>+IFERROR(HLOOKUP(C27,'סקרי נכסים-יתרות פתיחה'!$2:$76,72,0),0)-IFERROR(HLOOKUP(C27,'סקרי נכסים-יתרות פתיחה'!$2:$90,87,0),0)</f>
        <v>0</v>
      </c>
      <c r="D62" s="47">
        <f>+IFERROR(HLOOKUP(D27,'סקרי נכסים-יתרות פתיחה'!$2:$76,72,0),0)-IFERROR(HLOOKUP(D27,'סקרי נכסים-יתרות פתיחה'!$2:$90,87,0),0)</f>
        <v>0</v>
      </c>
      <c r="E62" s="47">
        <f>+IFERROR(HLOOKUP(E27,'סקרי נכסים-יתרות פתיחה'!$2:$76,72,0),0)-IFERROR(HLOOKUP(E27,'סקרי נכסים-יתרות פתיחה'!$2:$90,87,0),0)</f>
        <v>0</v>
      </c>
      <c r="F62" s="47">
        <f>+IFERROR(HLOOKUP(F27,'סקרי נכסים-יתרות פתיחה'!$2:$76,72,0),0)-IFERROR(HLOOKUP(F27,'סקרי נכסים-יתרות פתיחה'!$2:$90,87,0),0)</f>
        <v>0</v>
      </c>
      <c r="G62" s="47">
        <f>+IFERROR(HLOOKUP(G27,'סקרי נכסים-יתרות פתיחה'!$2:$76,72,0),0)-IFERROR(HLOOKUP(G27,'סקרי נכסים-יתרות פתיחה'!$2:$90,87,0),0)</f>
        <v>0</v>
      </c>
      <c r="H62" s="47">
        <f>+IFERROR(HLOOKUP(H27,'סקרי נכסים-יתרות פתיחה'!$2:$76,72,0),0)-IFERROR(HLOOKUP(H27,'סקרי נכסים-יתרות פתיחה'!$2:$90,87,0),0)</f>
        <v>0</v>
      </c>
      <c r="I62" s="47">
        <f>+IFERROR(HLOOKUP(I27,'סקרי נכסים-יתרות פתיחה'!$2:$76,72,0),0)-IFERROR(HLOOKUP(I27,'סקרי נכסים-יתרות פתיחה'!$2:$90,87,0),0)</f>
        <v>0</v>
      </c>
      <c r="J62" s="47">
        <f>+IFERROR(HLOOKUP(J27,'סקרי נכסים-יתרות פתיחה'!$2:$76,72,0),0)-IFERROR(HLOOKUP(J27,'סקרי נכסים-יתרות פתיחה'!$2:$90,87,0),0)</f>
        <v>0</v>
      </c>
      <c r="K62" s="47">
        <f>+IFERROR(HLOOKUP(K27,'סקרי נכסים-יתרות פתיחה'!$2:$76,72,0),0)-IFERROR(HLOOKUP(K27,'סקרי נכסים-יתרות פתיחה'!$2:$90,87,0),0)</f>
        <v>0</v>
      </c>
      <c r="L62" s="47">
        <f>+IFERROR(HLOOKUP(L27,'סקרי נכסים-יתרות פתיחה'!$2:$76,72,0),0)-IFERROR(HLOOKUP(L27,'סקרי נכסים-יתרות פתיחה'!$2:$90,87,0),0)</f>
        <v>0</v>
      </c>
      <c r="M62" s="47">
        <f>+IFERROR(HLOOKUP(M27,'סקרי נכסים-יתרות פתיחה'!$2:$76,72,0),0)-IFERROR(HLOOKUP(M27,'סקרי נכסים-יתרות פתיחה'!$2:$90,87,0),0)</f>
        <v>0</v>
      </c>
      <c r="N62" s="47">
        <f>+IFERROR(HLOOKUP(N27,'סקרי נכסים-יתרות פתיחה'!$2:$76,72,0),0)-IFERROR(HLOOKUP(N27,'סקרי נכסים-יתרות פתיחה'!$2:$90,87,0),0)</f>
        <v>0</v>
      </c>
      <c r="O62" s="47">
        <f>+IFERROR(HLOOKUP(O27,'סקרי נכסים-יתרות פתיחה'!$2:$76,72,0),0)-IFERROR(HLOOKUP(O27,'סקרי נכסים-יתרות פתיחה'!$2:$90,87,0),0)</f>
        <v>0</v>
      </c>
      <c r="P62" s="47">
        <f>+IFERROR(HLOOKUP(P27,'סקרי נכסים-יתרות פתיחה'!$2:$76,72,0),0)-IFERROR(HLOOKUP(P27,'סקרי נכסים-יתרות פתיחה'!$2:$90,87,0),0)</f>
        <v>0</v>
      </c>
      <c r="Q62" s="47">
        <f>+IFERROR(HLOOKUP(Q27,'סקרי נכסים-יתרות פתיחה'!$2:$76,72,0),0)-IFERROR(HLOOKUP(Q27,'סקרי נכסים-יתרות פתיחה'!$2:$90,87,0),0)</f>
        <v>0</v>
      </c>
      <c r="R62" s="47">
        <f>+IFERROR(HLOOKUP(R27,'סקרי נכסים-יתרות פתיחה'!$2:$76,72,0),0)-IFERROR(HLOOKUP(R27,'סקרי נכסים-יתרות פתיחה'!$2:$90,87,0),0)</f>
        <v>0</v>
      </c>
      <c r="S62" s="47">
        <f>+IFERROR(HLOOKUP(S27,'סקרי נכסים-יתרות פתיחה'!$2:$76,72,0),0)-IFERROR(HLOOKUP(S27,'סקרי נכסים-יתרות פתיחה'!$2:$90,87,0),0)</f>
        <v>0</v>
      </c>
      <c r="T62" s="47">
        <f>+IFERROR(HLOOKUP(T27,'סקרי נכסים-יתרות פתיחה'!$2:$76,72,0),0)-IFERROR(HLOOKUP(T27,'סקרי נכסים-יתרות פתיחה'!$2:$90,87,0),0)</f>
        <v>0</v>
      </c>
      <c r="U62" s="47">
        <f>+IFERROR(HLOOKUP(U27,'סקרי נכסים-יתרות פתיחה'!$2:$76,72,0),0)-IFERROR(HLOOKUP(U27,'סקרי נכסים-יתרות פתיחה'!$2:$90,87,0),0)</f>
        <v>0</v>
      </c>
      <c r="V62" s="47">
        <f>+IFERROR(HLOOKUP(V27,'סקרי נכסים-יתרות פתיחה'!$2:$76,72,0),0)-IFERROR(HLOOKUP(V27,'סקרי נכסים-יתרות פתיחה'!$2:$90,87,0),0)</f>
        <v>0</v>
      </c>
      <c r="W62" s="47">
        <f>+IFERROR(HLOOKUP(W27,'סקרי נכסים-יתרות פתיחה'!$2:$76,72,0),0)-IFERROR(HLOOKUP(W27,'סקרי נכסים-יתרות פתיחה'!$2:$90,87,0),0)</f>
        <v>0</v>
      </c>
      <c r="X62" s="47">
        <f>+IFERROR(HLOOKUP(X27,'סקרי נכסים-יתרות פתיחה'!$2:$76,72,0),0)-IFERROR(HLOOKUP(X27,'סקרי נכסים-יתרות פתיחה'!$2:$90,87,0),0)</f>
        <v>0</v>
      </c>
      <c r="Y62" s="47">
        <f>+IFERROR(HLOOKUP(Y27,'סקרי נכסים-יתרות פתיחה'!$2:$76,72,0),0)-IFERROR(HLOOKUP(Y27,'סקרי נכסים-יתרות פתיחה'!$2:$90,87,0),0)</f>
        <v>0</v>
      </c>
      <c r="Z62" s="47">
        <f>+IFERROR(HLOOKUP(Z27,'סקרי נכסים-יתרות פתיחה'!$2:$76,72,0),0)-IFERROR(HLOOKUP(Z27,'סקרי נכסים-יתרות פתיחה'!$2:$90,87,0),0)</f>
        <v>0</v>
      </c>
      <c r="AA62" s="47">
        <f>+IFERROR(HLOOKUP(AA27,'סקרי נכסים-יתרות פתיחה'!$2:$76,72,0),0)-IFERROR(HLOOKUP(AA27,'סקרי נכסים-יתרות פתיחה'!$2:$90,87,0),0)</f>
        <v>0</v>
      </c>
      <c r="AB62" s="47">
        <f>+IFERROR(HLOOKUP(AB27,'סקרי נכסים-יתרות פתיחה'!$2:$76,72,0),0)-IFERROR(HLOOKUP(AB27,'סקרי נכסים-יתרות פתיחה'!$2:$90,87,0),0)</f>
        <v>0</v>
      </c>
      <c r="AC62" s="47">
        <f>+IFERROR(HLOOKUP(AC27,'סקרי נכסים-יתרות פתיחה'!$2:$76,72,0),0)-IFERROR(HLOOKUP(AC27,'סקרי נכסים-יתרות פתיחה'!$2:$90,87,0),0)</f>
        <v>0</v>
      </c>
      <c r="AD62" s="47">
        <f>+IFERROR(HLOOKUP(AD27,'סקרי נכסים-יתרות פתיחה'!$2:$76,72,0),0)-IFERROR(HLOOKUP(AD27,'סקרי נכסים-יתרות פתיחה'!$2:$90,87,0),0)</f>
        <v>0</v>
      </c>
      <c r="AE62" s="47">
        <f>+IFERROR(HLOOKUP(AE27,'סקרי נכסים-יתרות פתיחה'!$2:$76,72,0),0)-IFERROR(HLOOKUP(AE27,'סקרי נכסים-יתרות פתיחה'!$2:$90,87,0),0)</f>
        <v>0</v>
      </c>
      <c r="AF62" s="47">
        <f>+IFERROR(HLOOKUP(AF27,'סקרי נכסים-יתרות פתיחה'!$2:$76,72,0),0)-IFERROR(HLOOKUP(AF27,'סקרי נכסים-יתרות פתיחה'!$2:$90,87,0),0)</f>
        <v>0</v>
      </c>
      <c r="AG62" s="47">
        <f>+IFERROR(HLOOKUP(AG27,'סקרי נכסים-יתרות פתיחה'!$2:$76,72,0),0)-IFERROR(HLOOKUP(AG27,'סקרי נכסים-יתרות פתיחה'!$2:$90,87,0),0)</f>
        <v>0</v>
      </c>
      <c r="AH62" s="47">
        <f>+IFERROR(HLOOKUP(AH27,'סקרי נכסים-יתרות פתיחה'!$2:$76,72,0),0)-IFERROR(HLOOKUP(AH27,'סקרי נכסים-יתרות פתיחה'!$2:$90,87,0),0)</f>
        <v>0</v>
      </c>
      <c r="AI62" s="47">
        <f>+IFERROR(HLOOKUP(AI27,'סקרי נכסים-יתרות פתיחה'!$2:$76,72,0),0)-IFERROR(HLOOKUP(AI27,'סקרי נכסים-יתרות פתיחה'!$2:$90,87,0),0)</f>
        <v>0</v>
      </c>
      <c r="AJ62" s="47">
        <f>+IFERROR(HLOOKUP(AJ27,'סקרי נכסים-יתרות פתיחה'!$2:$76,72,0),0)-IFERROR(HLOOKUP(AJ27,'סקרי נכסים-יתרות פתיחה'!$2:$90,87,0),0)</f>
        <v>0</v>
      </c>
      <c r="AK62" s="47">
        <f>+IFERROR(HLOOKUP(AK27,'סקרי נכסים-יתרות פתיחה'!$2:$76,72,0),0)-IFERROR(HLOOKUP(AK27,'סקרי נכסים-יתרות פתיחה'!$2:$90,87,0),0)</f>
        <v>0</v>
      </c>
      <c r="AL62" s="47">
        <f>+IFERROR(HLOOKUP(AL27,'סקרי נכסים-יתרות פתיחה'!$2:$76,72,0),0)-IFERROR(HLOOKUP(AL27,'סקרי נכסים-יתרות פתיחה'!$2:$90,87,0),0)</f>
        <v>0</v>
      </c>
      <c r="AM62" s="47">
        <f>+IFERROR(HLOOKUP(AM27,'סקרי נכסים-יתרות פתיחה'!$2:$76,72,0),0)-IFERROR(HLOOKUP(AM27,'סקרי נכסים-יתרות פתיחה'!$2:$90,87,0),0)</f>
        <v>0</v>
      </c>
      <c r="AN62" s="47">
        <f>+IFERROR(HLOOKUP(AN27,'סקרי נכסים-יתרות פתיחה'!$2:$76,72,0),0)-IFERROR(HLOOKUP(AN27,'סקרי נכסים-יתרות פתיחה'!$2:$90,87,0),0)</f>
        <v>0</v>
      </c>
      <c r="AO62" s="47">
        <f>+IFERROR(HLOOKUP(AO27,'סקרי נכסים-יתרות פתיחה'!$2:$76,72,0),0)-IFERROR(HLOOKUP(AO27,'סקרי נכסים-יתרות פתיחה'!$2:$90,87,0),0)</f>
        <v>0</v>
      </c>
      <c r="AP62" s="47">
        <f>+IFERROR(HLOOKUP(AP27,'סקרי נכסים-יתרות פתיחה'!$2:$76,72,0),0)-IFERROR(HLOOKUP(AP27,'סקרי נכסים-יתרות פתיחה'!$2:$90,87,0),0)</f>
        <v>0</v>
      </c>
      <c r="AQ62" s="47">
        <f>+IFERROR(HLOOKUP(AQ27,'סקרי נכסים-יתרות פתיחה'!$2:$76,72,0),0)-IFERROR(HLOOKUP(AQ27,'סקרי נכסים-יתרות פתיחה'!$2:$90,87,0),0)</f>
        <v>0</v>
      </c>
      <c r="AR62" s="47">
        <f>+IFERROR(HLOOKUP(AR27,'סקרי נכסים-יתרות פתיחה'!$2:$76,72,0),0)-IFERROR(HLOOKUP(AR27,'סקרי נכסים-יתרות פתיחה'!$2:$90,87,0),0)</f>
        <v>0</v>
      </c>
      <c r="AS62" s="47">
        <f>+IFERROR(HLOOKUP(AS27,'סקרי נכסים-יתרות פתיחה'!$2:$76,72,0),0)-IFERROR(HLOOKUP(AS27,'סקרי נכסים-יתרות פתיחה'!$2:$90,87,0),0)</f>
        <v>0</v>
      </c>
      <c r="AT62" s="47">
        <f>+IFERROR(HLOOKUP(AT27,'סקרי נכסים-יתרות פתיחה'!$2:$76,72,0),0)-IFERROR(HLOOKUP(AT27,'סקרי נכסים-יתרות פתיחה'!$2:$90,87,0),0)</f>
        <v>0</v>
      </c>
      <c r="AU62" s="47">
        <f>+IFERROR(HLOOKUP(AU27,'סקרי נכסים-יתרות פתיחה'!$2:$76,72,0),0)-IFERROR(HLOOKUP(AU27,'סקרי נכסים-יתרות פתיחה'!$2:$90,87,0),0)</f>
        <v>0</v>
      </c>
      <c r="AV62" s="47">
        <f>+IFERROR(HLOOKUP(AV27,'סקרי נכסים-יתרות פתיחה'!$2:$76,72,0),0)-IFERROR(HLOOKUP(AV27,'סקרי נכסים-יתרות פתיחה'!$2:$90,87,0),0)</f>
        <v>0</v>
      </c>
      <c r="AW62" s="47">
        <f>+IFERROR(HLOOKUP(AW27,'סקרי נכסים-יתרות פתיחה'!$2:$76,72,0),0)-IFERROR(HLOOKUP(AW27,'סקרי נכסים-יתרות פתיחה'!$2:$90,87,0),0)</f>
        <v>0</v>
      </c>
      <c r="AX62" s="47">
        <f>+IFERROR(HLOOKUP(AX27,'סקרי נכסים-יתרות פתיחה'!$2:$76,72,0),0)-IFERROR(HLOOKUP(AX27,'סקרי נכסים-יתרות פתיחה'!$2:$90,87,0),0)</f>
        <v>0</v>
      </c>
      <c r="AY62" s="47">
        <f>+IFERROR(HLOOKUP(AY27,'סקרי נכסים-יתרות פתיחה'!$2:$76,72,0),0)-IFERROR(HLOOKUP(AY27,'סקרי נכסים-יתרות פתיחה'!$2:$90,87,0),0)</f>
        <v>0</v>
      </c>
      <c r="AZ62" s="47">
        <f>+IFERROR(HLOOKUP(AZ27,'סקרי נכסים-יתרות פתיחה'!$2:$76,72,0),0)-IFERROR(HLOOKUP(AZ27,'סקרי נכסים-יתרות פתיחה'!$2:$90,87,0),0)</f>
        <v>0</v>
      </c>
      <c r="BA62" s="47">
        <f>+IFERROR(HLOOKUP(BA27,'סקרי נכסים-יתרות פתיחה'!$2:$76,72,0),0)-IFERROR(HLOOKUP(BA27,'סקרי נכסים-יתרות פתיחה'!$2:$90,87,0),0)</f>
        <v>0</v>
      </c>
      <c r="BB62" s="47">
        <f>+IFERROR(HLOOKUP(BB27,'סקרי נכסים-יתרות פתיחה'!$2:$76,72,0),0)-IFERROR(HLOOKUP(BB27,'סקרי נכסים-יתרות פתיחה'!$2:$90,87,0),0)</f>
        <v>0</v>
      </c>
      <c r="BC62" s="47">
        <f>+IFERROR(HLOOKUP(BC27,'סקרי נכסים-יתרות פתיחה'!$2:$76,72,0),0)-IFERROR(HLOOKUP(BC27,'סקרי נכסים-יתרות פתיחה'!$2:$90,87,0),0)</f>
        <v>0</v>
      </c>
      <c r="BD62" s="47">
        <f>+IFERROR(HLOOKUP(BD27,'סקרי נכסים-יתרות פתיחה'!$2:$76,72,0),0)-IFERROR(HLOOKUP(BD27,'סקרי נכסים-יתרות פתיחה'!$2:$90,87,0),0)</f>
        <v>0</v>
      </c>
      <c r="BE62" s="47">
        <f>+IFERROR(HLOOKUP(BE27,'סקרי נכסים-יתרות פתיחה'!$2:$76,72,0),0)-IFERROR(HLOOKUP(BE27,'סקרי נכסים-יתרות פתיחה'!$2:$90,87,0),0)</f>
        <v>0</v>
      </c>
      <c r="BF62" s="47">
        <f>+IFERROR(HLOOKUP(BF27,'סקרי נכסים-יתרות פתיחה'!$2:$76,72,0),0)-IFERROR(HLOOKUP(BF27,'סקרי נכסים-יתרות פתיחה'!$2:$90,87,0),0)</f>
        <v>0</v>
      </c>
    </row>
    <row r="63" spans="2:58" x14ac:dyDescent="0.2">
      <c r="B63" s="1">
        <v>21</v>
      </c>
      <c r="C63" s="47">
        <f>+IFERROR(HLOOKUP(C28,'סקרי נכסים-יתרות פתיחה'!$2:$76,72,0),0)-IFERROR(HLOOKUP(C28,'סקרי נכסים-יתרות פתיחה'!$2:$90,87,0),0)</f>
        <v>0</v>
      </c>
      <c r="D63" s="47">
        <f>+IFERROR(HLOOKUP(D28,'סקרי נכסים-יתרות פתיחה'!$2:$76,72,0),0)-IFERROR(HLOOKUP(D28,'סקרי נכסים-יתרות פתיחה'!$2:$90,87,0),0)</f>
        <v>0</v>
      </c>
      <c r="E63" s="47">
        <f>+IFERROR(HLOOKUP(E28,'סקרי נכסים-יתרות פתיחה'!$2:$76,72,0),0)-IFERROR(HLOOKUP(E28,'סקרי נכסים-יתרות פתיחה'!$2:$90,87,0),0)</f>
        <v>0</v>
      </c>
      <c r="F63" s="47">
        <f>+IFERROR(HLOOKUP(F28,'סקרי נכסים-יתרות פתיחה'!$2:$76,72,0),0)-IFERROR(HLOOKUP(F28,'סקרי נכסים-יתרות פתיחה'!$2:$90,87,0),0)</f>
        <v>0</v>
      </c>
      <c r="G63" s="47">
        <f>+IFERROR(HLOOKUP(G28,'סקרי נכסים-יתרות פתיחה'!$2:$76,72,0),0)-IFERROR(HLOOKUP(G28,'סקרי נכסים-יתרות פתיחה'!$2:$90,87,0),0)</f>
        <v>0</v>
      </c>
      <c r="H63" s="47">
        <f>+IFERROR(HLOOKUP(H28,'סקרי נכסים-יתרות פתיחה'!$2:$76,72,0),0)-IFERROR(HLOOKUP(H28,'סקרי נכסים-יתרות פתיחה'!$2:$90,87,0),0)</f>
        <v>0</v>
      </c>
      <c r="I63" s="47">
        <f>+IFERROR(HLOOKUP(I28,'סקרי נכסים-יתרות פתיחה'!$2:$76,72,0),0)-IFERROR(HLOOKUP(I28,'סקרי נכסים-יתרות פתיחה'!$2:$90,87,0),0)</f>
        <v>0</v>
      </c>
      <c r="J63" s="47">
        <f>+IFERROR(HLOOKUP(J28,'סקרי נכסים-יתרות פתיחה'!$2:$76,72,0),0)-IFERROR(HLOOKUP(J28,'סקרי נכסים-יתרות פתיחה'!$2:$90,87,0),0)</f>
        <v>0</v>
      </c>
      <c r="K63" s="47">
        <f>+IFERROR(HLOOKUP(K28,'סקרי נכסים-יתרות פתיחה'!$2:$76,72,0),0)-IFERROR(HLOOKUP(K28,'סקרי נכסים-יתרות פתיחה'!$2:$90,87,0),0)</f>
        <v>0</v>
      </c>
      <c r="L63" s="47">
        <f>+IFERROR(HLOOKUP(L28,'סקרי נכסים-יתרות פתיחה'!$2:$76,72,0),0)-IFERROR(HLOOKUP(L28,'סקרי נכסים-יתרות פתיחה'!$2:$90,87,0),0)</f>
        <v>0</v>
      </c>
      <c r="M63" s="47">
        <f>+IFERROR(HLOOKUP(M28,'סקרי נכסים-יתרות פתיחה'!$2:$76,72,0),0)-IFERROR(HLOOKUP(M28,'סקרי נכסים-יתרות פתיחה'!$2:$90,87,0),0)</f>
        <v>0</v>
      </c>
      <c r="N63" s="47">
        <f>+IFERROR(HLOOKUP(N28,'סקרי נכסים-יתרות פתיחה'!$2:$76,72,0),0)-IFERROR(HLOOKUP(N28,'סקרי נכסים-יתרות פתיחה'!$2:$90,87,0),0)</f>
        <v>0</v>
      </c>
      <c r="O63" s="47">
        <f>+IFERROR(HLOOKUP(O28,'סקרי נכסים-יתרות פתיחה'!$2:$76,72,0),0)-IFERROR(HLOOKUP(O28,'סקרי נכסים-יתרות פתיחה'!$2:$90,87,0),0)</f>
        <v>0</v>
      </c>
      <c r="P63" s="47">
        <f>+IFERROR(HLOOKUP(P28,'סקרי נכסים-יתרות פתיחה'!$2:$76,72,0),0)-IFERROR(HLOOKUP(P28,'סקרי נכסים-יתרות פתיחה'!$2:$90,87,0),0)</f>
        <v>0</v>
      </c>
      <c r="Q63" s="47">
        <f>+IFERROR(HLOOKUP(Q28,'סקרי נכסים-יתרות פתיחה'!$2:$76,72,0),0)-IFERROR(HLOOKUP(Q28,'סקרי נכסים-יתרות פתיחה'!$2:$90,87,0),0)</f>
        <v>0</v>
      </c>
      <c r="R63" s="47">
        <f>+IFERROR(HLOOKUP(R28,'סקרי נכסים-יתרות פתיחה'!$2:$76,72,0),0)-IFERROR(HLOOKUP(R28,'סקרי נכסים-יתרות פתיחה'!$2:$90,87,0),0)</f>
        <v>0</v>
      </c>
      <c r="S63" s="47">
        <f>+IFERROR(HLOOKUP(S28,'סקרי נכסים-יתרות פתיחה'!$2:$76,72,0),0)-IFERROR(HLOOKUP(S28,'סקרי נכסים-יתרות פתיחה'!$2:$90,87,0),0)</f>
        <v>0</v>
      </c>
      <c r="T63" s="47">
        <f>+IFERROR(HLOOKUP(T28,'סקרי נכסים-יתרות פתיחה'!$2:$76,72,0),0)-IFERROR(HLOOKUP(T28,'סקרי נכסים-יתרות פתיחה'!$2:$90,87,0),0)</f>
        <v>0</v>
      </c>
      <c r="U63" s="47">
        <f>+IFERROR(HLOOKUP(U28,'סקרי נכסים-יתרות פתיחה'!$2:$76,72,0),0)-IFERROR(HLOOKUP(U28,'סקרי נכסים-יתרות פתיחה'!$2:$90,87,0),0)</f>
        <v>0</v>
      </c>
      <c r="V63" s="47">
        <f>+IFERROR(HLOOKUP(V28,'סקרי נכסים-יתרות פתיחה'!$2:$76,72,0),0)-IFERROR(HLOOKUP(V28,'סקרי נכסים-יתרות פתיחה'!$2:$90,87,0),0)</f>
        <v>0</v>
      </c>
      <c r="W63" s="47">
        <f>+IFERROR(HLOOKUP(W28,'סקרי נכסים-יתרות פתיחה'!$2:$76,72,0),0)-IFERROR(HLOOKUP(W28,'סקרי נכסים-יתרות פתיחה'!$2:$90,87,0),0)</f>
        <v>0</v>
      </c>
      <c r="X63" s="47">
        <f>+IFERROR(HLOOKUP(X28,'סקרי נכסים-יתרות פתיחה'!$2:$76,72,0),0)-IFERROR(HLOOKUP(X28,'סקרי נכסים-יתרות פתיחה'!$2:$90,87,0),0)</f>
        <v>0</v>
      </c>
      <c r="Y63" s="47">
        <f>+IFERROR(HLOOKUP(Y28,'סקרי נכסים-יתרות פתיחה'!$2:$76,72,0),0)-IFERROR(HLOOKUP(Y28,'סקרי נכסים-יתרות פתיחה'!$2:$90,87,0),0)</f>
        <v>0</v>
      </c>
      <c r="Z63" s="47">
        <f>+IFERROR(HLOOKUP(Z28,'סקרי נכסים-יתרות פתיחה'!$2:$76,72,0),0)-IFERROR(HLOOKUP(Z28,'סקרי נכסים-יתרות פתיחה'!$2:$90,87,0),0)</f>
        <v>0</v>
      </c>
      <c r="AA63" s="47">
        <f>+IFERROR(HLOOKUP(AA28,'סקרי נכסים-יתרות פתיחה'!$2:$76,72,0),0)-IFERROR(HLOOKUP(AA28,'סקרי נכסים-יתרות פתיחה'!$2:$90,87,0),0)</f>
        <v>0</v>
      </c>
      <c r="AB63" s="47">
        <f>+IFERROR(HLOOKUP(AB28,'סקרי נכסים-יתרות פתיחה'!$2:$76,72,0),0)-IFERROR(HLOOKUP(AB28,'סקרי נכסים-יתרות פתיחה'!$2:$90,87,0),0)</f>
        <v>0</v>
      </c>
      <c r="AC63" s="47">
        <f>+IFERROR(HLOOKUP(AC28,'סקרי נכסים-יתרות פתיחה'!$2:$76,72,0),0)-IFERROR(HLOOKUP(AC28,'סקרי נכסים-יתרות פתיחה'!$2:$90,87,0),0)</f>
        <v>0</v>
      </c>
      <c r="AD63" s="47">
        <f>+IFERROR(HLOOKUP(AD28,'סקרי נכסים-יתרות פתיחה'!$2:$76,72,0),0)-IFERROR(HLOOKUP(AD28,'סקרי נכסים-יתרות פתיחה'!$2:$90,87,0),0)</f>
        <v>0</v>
      </c>
      <c r="AE63" s="47">
        <f>+IFERROR(HLOOKUP(AE28,'סקרי נכסים-יתרות פתיחה'!$2:$76,72,0),0)-IFERROR(HLOOKUP(AE28,'סקרי נכסים-יתרות פתיחה'!$2:$90,87,0),0)</f>
        <v>0</v>
      </c>
      <c r="AF63" s="47">
        <f>+IFERROR(HLOOKUP(AF28,'סקרי נכסים-יתרות פתיחה'!$2:$76,72,0),0)-IFERROR(HLOOKUP(AF28,'סקרי נכסים-יתרות פתיחה'!$2:$90,87,0),0)</f>
        <v>0</v>
      </c>
      <c r="AG63" s="47">
        <f>+IFERROR(HLOOKUP(AG28,'סקרי נכסים-יתרות פתיחה'!$2:$76,72,0),0)-IFERROR(HLOOKUP(AG28,'סקרי נכסים-יתרות פתיחה'!$2:$90,87,0),0)</f>
        <v>0</v>
      </c>
      <c r="AH63" s="47">
        <f>+IFERROR(HLOOKUP(AH28,'סקרי נכסים-יתרות פתיחה'!$2:$76,72,0),0)-IFERROR(HLOOKUP(AH28,'סקרי נכסים-יתרות פתיחה'!$2:$90,87,0),0)</f>
        <v>0</v>
      </c>
      <c r="AI63" s="47">
        <f>+IFERROR(HLOOKUP(AI28,'סקרי נכסים-יתרות פתיחה'!$2:$76,72,0),0)-IFERROR(HLOOKUP(AI28,'סקרי נכסים-יתרות פתיחה'!$2:$90,87,0),0)</f>
        <v>0</v>
      </c>
      <c r="AJ63" s="47">
        <f>+IFERROR(HLOOKUP(AJ28,'סקרי נכסים-יתרות פתיחה'!$2:$76,72,0),0)-IFERROR(HLOOKUP(AJ28,'סקרי נכסים-יתרות פתיחה'!$2:$90,87,0),0)</f>
        <v>0</v>
      </c>
      <c r="AK63" s="47">
        <f>+IFERROR(HLOOKUP(AK28,'סקרי נכסים-יתרות פתיחה'!$2:$76,72,0),0)-IFERROR(HLOOKUP(AK28,'סקרי נכסים-יתרות פתיחה'!$2:$90,87,0),0)</f>
        <v>0</v>
      </c>
      <c r="AL63" s="47">
        <f>+IFERROR(HLOOKUP(AL28,'סקרי נכסים-יתרות פתיחה'!$2:$76,72,0),0)-IFERROR(HLOOKUP(AL28,'סקרי נכסים-יתרות פתיחה'!$2:$90,87,0),0)</f>
        <v>0</v>
      </c>
      <c r="AM63" s="47">
        <f>+IFERROR(HLOOKUP(AM28,'סקרי נכסים-יתרות פתיחה'!$2:$76,72,0),0)-IFERROR(HLOOKUP(AM28,'סקרי נכסים-יתרות פתיחה'!$2:$90,87,0),0)</f>
        <v>0</v>
      </c>
      <c r="AN63" s="47">
        <f>+IFERROR(HLOOKUP(AN28,'סקרי נכסים-יתרות פתיחה'!$2:$76,72,0),0)-IFERROR(HLOOKUP(AN28,'סקרי נכסים-יתרות פתיחה'!$2:$90,87,0),0)</f>
        <v>0</v>
      </c>
      <c r="AO63" s="47">
        <f>+IFERROR(HLOOKUP(AO28,'סקרי נכסים-יתרות פתיחה'!$2:$76,72,0),0)-IFERROR(HLOOKUP(AO28,'סקרי נכסים-יתרות פתיחה'!$2:$90,87,0),0)</f>
        <v>0</v>
      </c>
      <c r="AP63" s="47">
        <f>+IFERROR(HLOOKUP(AP28,'סקרי נכסים-יתרות פתיחה'!$2:$76,72,0),0)-IFERROR(HLOOKUP(AP28,'סקרי נכסים-יתרות פתיחה'!$2:$90,87,0),0)</f>
        <v>0</v>
      </c>
      <c r="AQ63" s="47">
        <f>+IFERROR(HLOOKUP(AQ28,'סקרי נכסים-יתרות פתיחה'!$2:$76,72,0),0)-IFERROR(HLOOKUP(AQ28,'סקרי נכסים-יתרות פתיחה'!$2:$90,87,0),0)</f>
        <v>0</v>
      </c>
      <c r="AR63" s="47">
        <f>+IFERROR(HLOOKUP(AR28,'סקרי נכסים-יתרות פתיחה'!$2:$76,72,0),0)-IFERROR(HLOOKUP(AR28,'סקרי נכסים-יתרות פתיחה'!$2:$90,87,0),0)</f>
        <v>0</v>
      </c>
      <c r="AS63" s="47">
        <f>+IFERROR(HLOOKUP(AS28,'סקרי נכסים-יתרות פתיחה'!$2:$76,72,0),0)-IFERROR(HLOOKUP(AS28,'סקרי נכסים-יתרות פתיחה'!$2:$90,87,0),0)</f>
        <v>0</v>
      </c>
      <c r="AT63" s="47">
        <f>+IFERROR(HLOOKUP(AT28,'סקרי נכסים-יתרות פתיחה'!$2:$76,72,0),0)-IFERROR(HLOOKUP(AT28,'סקרי נכסים-יתרות פתיחה'!$2:$90,87,0),0)</f>
        <v>0</v>
      </c>
      <c r="AU63" s="47">
        <f>+IFERROR(HLOOKUP(AU28,'סקרי נכסים-יתרות פתיחה'!$2:$76,72,0),0)-IFERROR(HLOOKUP(AU28,'סקרי נכסים-יתרות פתיחה'!$2:$90,87,0),0)</f>
        <v>0</v>
      </c>
      <c r="AV63" s="47">
        <f>+IFERROR(HLOOKUP(AV28,'סקרי נכסים-יתרות פתיחה'!$2:$76,72,0),0)-IFERROR(HLOOKUP(AV28,'סקרי נכסים-יתרות פתיחה'!$2:$90,87,0),0)</f>
        <v>0</v>
      </c>
      <c r="AW63" s="47">
        <f>+IFERROR(HLOOKUP(AW28,'סקרי נכסים-יתרות פתיחה'!$2:$76,72,0),0)-IFERROR(HLOOKUP(AW28,'סקרי נכסים-יתרות פתיחה'!$2:$90,87,0),0)</f>
        <v>0</v>
      </c>
      <c r="AX63" s="47">
        <f>+IFERROR(HLOOKUP(AX28,'סקרי נכסים-יתרות פתיחה'!$2:$76,72,0),0)-IFERROR(HLOOKUP(AX28,'סקרי נכסים-יתרות פתיחה'!$2:$90,87,0),0)</f>
        <v>0</v>
      </c>
      <c r="AY63" s="47">
        <f>+IFERROR(HLOOKUP(AY28,'סקרי נכסים-יתרות פתיחה'!$2:$76,72,0),0)-IFERROR(HLOOKUP(AY28,'סקרי נכסים-יתרות פתיחה'!$2:$90,87,0),0)</f>
        <v>0</v>
      </c>
      <c r="AZ63" s="47">
        <f>+IFERROR(HLOOKUP(AZ28,'סקרי נכסים-יתרות פתיחה'!$2:$76,72,0),0)-IFERROR(HLOOKUP(AZ28,'סקרי נכסים-יתרות פתיחה'!$2:$90,87,0),0)</f>
        <v>0</v>
      </c>
      <c r="BA63" s="47">
        <f>+IFERROR(HLOOKUP(BA28,'סקרי נכסים-יתרות פתיחה'!$2:$76,72,0),0)-IFERROR(HLOOKUP(BA28,'סקרי נכסים-יתרות פתיחה'!$2:$90,87,0),0)</f>
        <v>0</v>
      </c>
      <c r="BB63" s="47">
        <f>+IFERROR(HLOOKUP(BB28,'סקרי נכסים-יתרות פתיחה'!$2:$76,72,0),0)-IFERROR(HLOOKUP(BB28,'סקרי נכסים-יתרות פתיחה'!$2:$90,87,0),0)</f>
        <v>0</v>
      </c>
      <c r="BC63" s="47">
        <f>+IFERROR(HLOOKUP(BC28,'סקרי נכסים-יתרות פתיחה'!$2:$76,72,0),0)-IFERROR(HLOOKUP(BC28,'סקרי נכסים-יתרות פתיחה'!$2:$90,87,0),0)</f>
        <v>0</v>
      </c>
      <c r="BD63" s="47">
        <f>+IFERROR(HLOOKUP(BD28,'סקרי נכסים-יתרות פתיחה'!$2:$76,72,0),0)-IFERROR(HLOOKUP(BD28,'סקרי נכסים-יתרות פתיחה'!$2:$90,87,0),0)</f>
        <v>0</v>
      </c>
      <c r="BE63" s="47">
        <f>+IFERROR(HLOOKUP(BE28,'סקרי נכסים-יתרות פתיחה'!$2:$76,72,0),0)-IFERROR(HLOOKUP(BE28,'סקרי נכסים-יתרות פתיחה'!$2:$90,87,0),0)</f>
        <v>0</v>
      </c>
      <c r="BF63" s="47">
        <f>+IFERROR(HLOOKUP(BF28,'סקרי נכסים-יתרות פתיחה'!$2:$76,72,0),0)-IFERROR(HLOOKUP(BF28,'סקרי נכסים-יתרות פתיחה'!$2:$90,87,0),0)</f>
        <v>0</v>
      </c>
    </row>
    <row r="64" spans="2:58" x14ac:dyDescent="0.2">
      <c r="B64" s="1">
        <v>22</v>
      </c>
      <c r="C64" s="47">
        <f>+IFERROR(HLOOKUP(C29,'סקרי נכסים-יתרות פתיחה'!$2:$76,72,0),0)-IFERROR(HLOOKUP(C29,'סקרי נכסים-יתרות פתיחה'!$2:$90,87,0),0)</f>
        <v>0</v>
      </c>
      <c r="D64" s="47">
        <f>+IFERROR(HLOOKUP(D29,'סקרי נכסים-יתרות פתיחה'!$2:$76,72,0),0)-IFERROR(HLOOKUP(D29,'סקרי נכסים-יתרות פתיחה'!$2:$90,87,0),0)</f>
        <v>0</v>
      </c>
      <c r="E64" s="47">
        <f>+IFERROR(HLOOKUP(E29,'סקרי נכסים-יתרות פתיחה'!$2:$76,72,0),0)-IFERROR(HLOOKUP(E29,'סקרי נכסים-יתרות פתיחה'!$2:$90,87,0),0)</f>
        <v>0</v>
      </c>
      <c r="F64" s="47">
        <f>+IFERROR(HLOOKUP(F29,'סקרי נכסים-יתרות פתיחה'!$2:$76,72,0),0)-IFERROR(HLOOKUP(F29,'סקרי נכסים-יתרות פתיחה'!$2:$90,87,0),0)</f>
        <v>0</v>
      </c>
      <c r="G64" s="47">
        <f>+IFERROR(HLOOKUP(G29,'סקרי נכסים-יתרות פתיחה'!$2:$76,72,0),0)-IFERROR(HLOOKUP(G29,'סקרי נכסים-יתרות פתיחה'!$2:$90,87,0),0)</f>
        <v>0</v>
      </c>
      <c r="H64" s="47">
        <f>+IFERROR(HLOOKUP(H29,'סקרי נכסים-יתרות פתיחה'!$2:$76,72,0),0)-IFERROR(HLOOKUP(H29,'סקרי נכסים-יתרות פתיחה'!$2:$90,87,0),0)</f>
        <v>0</v>
      </c>
      <c r="I64" s="47">
        <f>+IFERROR(HLOOKUP(I29,'סקרי נכסים-יתרות פתיחה'!$2:$76,72,0),0)-IFERROR(HLOOKUP(I29,'סקרי נכסים-יתרות פתיחה'!$2:$90,87,0),0)</f>
        <v>0</v>
      </c>
      <c r="J64" s="47">
        <f>+IFERROR(HLOOKUP(J29,'סקרי נכסים-יתרות פתיחה'!$2:$76,72,0),0)-IFERROR(HLOOKUP(J29,'סקרי נכסים-יתרות פתיחה'!$2:$90,87,0),0)</f>
        <v>0</v>
      </c>
      <c r="K64" s="47">
        <f>+IFERROR(HLOOKUP(K29,'סקרי נכסים-יתרות פתיחה'!$2:$76,72,0),0)-IFERROR(HLOOKUP(K29,'סקרי נכסים-יתרות פתיחה'!$2:$90,87,0),0)</f>
        <v>0</v>
      </c>
      <c r="L64" s="47">
        <f>+IFERROR(HLOOKUP(L29,'סקרי נכסים-יתרות פתיחה'!$2:$76,72,0),0)-IFERROR(HLOOKUP(L29,'סקרי נכסים-יתרות פתיחה'!$2:$90,87,0),0)</f>
        <v>0</v>
      </c>
      <c r="M64" s="47">
        <f>+IFERROR(HLOOKUP(M29,'סקרי נכסים-יתרות פתיחה'!$2:$76,72,0),0)-IFERROR(HLOOKUP(M29,'סקרי נכסים-יתרות פתיחה'!$2:$90,87,0),0)</f>
        <v>0</v>
      </c>
      <c r="N64" s="47">
        <f>+IFERROR(HLOOKUP(N29,'סקרי נכסים-יתרות פתיחה'!$2:$76,72,0),0)-IFERROR(HLOOKUP(N29,'סקרי נכסים-יתרות פתיחה'!$2:$90,87,0),0)</f>
        <v>0</v>
      </c>
      <c r="O64" s="47">
        <f>+IFERROR(HLOOKUP(O29,'סקרי נכסים-יתרות פתיחה'!$2:$76,72,0),0)-IFERROR(HLOOKUP(O29,'סקרי נכסים-יתרות פתיחה'!$2:$90,87,0),0)</f>
        <v>0</v>
      </c>
      <c r="P64" s="47">
        <f>+IFERROR(HLOOKUP(P29,'סקרי נכסים-יתרות פתיחה'!$2:$76,72,0),0)-IFERROR(HLOOKUP(P29,'סקרי נכסים-יתרות פתיחה'!$2:$90,87,0),0)</f>
        <v>0</v>
      </c>
      <c r="Q64" s="47">
        <f>+IFERROR(HLOOKUP(Q29,'סקרי נכסים-יתרות פתיחה'!$2:$76,72,0),0)-IFERROR(HLOOKUP(Q29,'סקרי נכסים-יתרות פתיחה'!$2:$90,87,0),0)</f>
        <v>0</v>
      </c>
      <c r="R64" s="47">
        <f>+IFERROR(HLOOKUP(R29,'סקרי נכסים-יתרות פתיחה'!$2:$76,72,0),0)-IFERROR(HLOOKUP(R29,'סקרי נכסים-יתרות פתיחה'!$2:$90,87,0),0)</f>
        <v>0</v>
      </c>
      <c r="S64" s="47">
        <f>+IFERROR(HLOOKUP(S29,'סקרי נכסים-יתרות פתיחה'!$2:$76,72,0),0)-IFERROR(HLOOKUP(S29,'סקרי נכסים-יתרות פתיחה'!$2:$90,87,0),0)</f>
        <v>0</v>
      </c>
      <c r="T64" s="47">
        <f>+IFERROR(HLOOKUP(T29,'סקרי נכסים-יתרות פתיחה'!$2:$76,72,0),0)-IFERROR(HLOOKUP(T29,'סקרי נכסים-יתרות פתיחה'!$2:$90,87,0),0)</f>
        <v>0</v>
      </c>
      <c r="U64" s="47">
        <f>+IFERROR(HLOOKUP(U29,'סקרי נכסים-יתרות פתיחה'!$2:$76,72,0),0)-IFERROR(HLOOKUP(U29,'סקרי נכסים-יתרות פתיחה'!$2:$90,87,0),0)</f>
        <v>0</v>
      </c>
      <c r="V64" s="47">
        <f>+IFERROR(HLOOKUP(V29,'סקרי נכסים-יתרות פתיחה'!$2:$76,72,0),0)-IFERROR(HLOOKUP(V29,'סקרי נכסים-יתרות פתיחה'!$2:$90,87,0),0)</f>
        <v>0</v>
      </c>
      <c r="W64" s="47">
        <f>+IFERROR(HLOOKUP(W29,'סקרי נכסים-יתרות פתיחה'!$2:$76,72,0),0)-IFERROR(HLOOKUP(W29,'סקרי נכסים-יתרות פתיחה'!$2:$90,87,0),0)</f>
        <v>0</v>
      </c>
      <c r="X64" s="47">
        <f>+IFERROR(HLOOKUP(X29,'סקרי נכסים-יתרות פתיחה'!$2:$76,72,0),0)-IFERROR(HLOOKUP(X29,'סקרי נכסים-יתרות פתיחה'!$2:$90,87,0),0)</f>
        <v>0</v>
      </c>
      <c r="Y64" s="47">
        <f>+IFERROR(HLOOKUP(Y29,'סקרי נכסים-יתרות פתיחה'!$2:$76,72,0),0)-IFERROR(HLOOKUP(Y29,'סקרי נכסים-יתרות פתיחה'!$2:$90,87,0),0)</f>
        <v>0</v>
      </c>
      <c r="Z64" s="47">
        <f>+IFERROR(HLOOKUP(Z29,'סקרי נכסים-יתרות פתיחה'!$2:$76,72,0),0)-IFERROR(HLOOKUP(Z29,'סקרי נכסים-יתרות פתיחה'!$2:$90,87,0),0)</f>
        <v>0</v>
      </c>
      <c r="AA64" s="47">
        <f>+IFERROR(HLOOKUP(AA29,'סקרי נכסים-יתרות פתיחה'!$2:$76,72,0),0)-IFERROR(HLOOKUP(AA29,'סקרי נכסים-יתרות פתיחה'!$2:$90,87,0),0)</f>
        <v>0</v>
      </c>
      <c r="AB64" s="47">
        <f>+IFERROR(HLOOKUP(AB29,'סקרי נכסים-יתרות פתיחה'!$2:$76,72,0),0)-IFERROR(HLOOKUP(AB29,'סקרי נכסים-יתרות פתיחה'!$2:$90,87,0),0)</f>
        <v>0</v>
      </c>
      <c r="AC64" s="47">
        <f>+IFERROR(HLOOKUP(AC29,'סקרי נכסים-יתרות פתיחה'!$2:$76,72,0),0)-IFERROR(HLOOKUP(AC29,'סקרי נכסים-יתרות פתיחה'!$2:$90,87,0),0)</f>
        <v>0</v>
      </c>
      <c r="AD64" s="47">
        <f>+IFERROR(HLOOKUP(AD29,'סקרי נכסים-יתרות פתיחה'!$2:$76,72,0),0)-IFERROR(HLOOKUP(AD29,'סקרי נכסים-יתרות פתיחה'!$2:$90,87,0),0)</f>
        <v>0</v>
      </c>
      <c r="AE64" s="47">
        <f>+IFERROR(HLOOKUP(AE29,'סקרי נכסים-יתרות פתיחה'!$2:$76,72,0),0)-IFERROR(HLOOKUP(AE29,'סקרי נכסים-יתרות פתיחה'!$2:$90,87,0),0)</f>
        <v>0</v>
      </c>
      <c r="AF64" s="47">
        <f>+IFERROR(HLOOKUP(AF29,'סקרי נכסים-יתרות פתיחה'!$2:$76,72,0),0)-IFERROR(HLOOKUP(AF29,'סקרי נכסים-יתרות פתיחה'!$2:$90,87,0),0)</f>
        <v>0</v>
      </c>
      <c r="AG64" s="47">
        <f>+IFERROR(HLOOKUP(AG29,'סקרי נכסים-יתרות פתיחה'!$2:$76,72,0),0)-IFERROR(HLOOKUP(AG29,'סקרי נכסים-יתרות פתיחה'!$2:$90,87,0),0)</f>
        <v>0</v>
      </c>
      <c r="AH64" s="47">
        <f>+IFERROR(HLOOKUP(AH29,'סקרי נכסים-יתרות פתיחה'!$2:$76,72,0),0)-IFERROR(HLOOKUP(AH29,'סקרי נכסים-יתרות פתיחה'!$2:$90,87,0),0)</f>
        <v>0</v>
      </c>
      <c r="AI64" s="47">
        <f>+IFERROR(HLOOKUP(AI29,'סקרי נכסים-יתרות פתיחה'!$2:$76,72,0),0)-IFERROR(HLOOKUP(AI29,'סקרי נכסים-יתרות פתיחה'!$2:$90,87,0),0)</f>
        <v>0</v>
      </c>
      <c r="AJ64" s="47">
        <f>+IFERROR(HLOOKUP(AJ29,'סקרי נכסים-יתרות פתיחה'!$2:$76,72,0),0)-IFERROR(HLOOKUP(AJ29,'סקרי נכסים-יתרות פתיחה'!$2:$90,87,0),0)</f>
        <v>0</v>
      </c>
      <c r="AK64" s="47">
        <f>+IFERROR(HLOOKUP(AK29,'סקרי נכסים-יתרות פתיחה'!$2:$76,72,0),0)-IFERROR(HLOOKUP(AK29,'סקרי נכסים-יתרות פתיחה'!$2:$90,87,0),0)</f>
        <v>0</v>
      </c>
      <c r="AL64" s="47">
        <f>+IFERROR(HLOOKUP(AL29,'סקרי נכסים-יתרות פתיחה'!$2:$76,72,0),0)-IFERROR(HLOOKUP(AL29,'סקרי נכסים-יתרות פתיחה'!$2:$90,87,0),0)</f>
        <v>0</v>
      </c>
      <c r="AM64" s="47">
        <f>+IFERROR(HLOOKUP(AM29,'סקרי נכסים-יתרות פתיחה'!$2:$76,72,0),0)-IFERROR(HLOOKUP(AM29,'סקרי נכסים-יתרות פתיחה'!$2:$90,87,0),0)</f>
        <v>0</v>
      </c>
      <c r="AN64" s="47">
        <f>+IFERROR(HLOOKUP(AN29,'סקרי נכסים-יתרות פתיחה'!$2:$76,72,0),0)-IFERROR(HLOOKUP(AN29,'סקרי נכסים-יתרות פתיחה'!$2:$90,87,0),0)</f>
        <v>0</v>
      </c>
      <c r="AO64" s="47">
        <f>+IFERROR(HLOOKUP(AO29,'סקרי נכסים-יתרות פתיחה'!$2:$76,72,0),0)-IFERROR(HLOOKUP(AO29,'סקרי נכסים-יתרות פתיחה'!$2:$90,87,0),0)</f>
        <v>0</v>
      </c>
      <c r="AP64" s="47">
        <f>+IFERROR(HLOOKUP(AP29,'סקרי נכסים-יתרות פתיחה'!$2:$76,72,0),0)-IFERROR(HLOOKUP(AP29,'סקרי נכסים-יתרות פתיחה'!$2:$90,87,0),0)</f>
        <v>0</v>
      </c>
      <c r="AQ64" s="47">
        <f>+IFERROR(HLOOKUP(AQ29,'סקרי נכסים-יתרות פתיחה'!$2:$76,72,0),0)-IFERROR(HLOOKUP(AQ29,'סקרי נכסים-יתרות פתיחה'!$2:$90,87,0),0)</f>
        <v>0</v>
      </c>
      <c r="AR64" s="47">
        <f>+IFERROR(HLOOKUP(AR29,'סקרי נכסים-יתרות פתיחה'!$2:$76,72,0),0)-IFERROR(HLOOKUP(AR29,'סקרי נכסים-יתרות פתיחה'!$2:$90,87,0),0)</f>
        <v>0</v>
      </c>
      <c r="AS64" s="47">
        <f>+IFERROR(HLOOKUP(AS29,'סקרי נכסים-יתרות פתיחה'!$2:$76,72,0),0)-IFERROR(HLOOKUP(AS29,'סקרי נכסים-יתרות פתיחה'!$2:$90,87,0),0)</f>
        <v>0</v>
      </c>
      <c r="AT64" s="47">
        <f>+IFERROR(HLOOKUP(AT29,'סקרי נכסים-יתרות פתיחה'!$2:$76,72,0),0)-IFERROR(HLOOKUP(AT29,'סקרי נכסים-יתרות פתיחה'!$2:$90,87,0),0)</f>
        <v>0</v>
      </c>
      <c r="AU64" s="47">
        <f>+IFERROR(HLOOKUP(AU29,'סקרי נכסים-יתרות פתיחה'!$2:$76,72,0),0)-IFERROR(HLOOKUP(AU29,'סקרי נכסים-יתרות פתיחה'!$2:$90,87,0),0)</f>
        <v>0</v>
      </c>
      <c r="AV64" s="47">
        <f>+IFERROR(HLOOKUP(AV29,'סקרי נכסים-יתרות פתיחה'!$2:$76,72,0),0)-IFERROR(HLOOKUP(AV29,'סקרי נכסים-יתרות פתיחה'!$2:$90,87,0),0)</f>
        <v>0</v>
      </c>
      <c r="AW64" s="47">
        <f>+IFERROR(HLOOKUP(AW29,'סקרי נכסים-יתרות פתיחה'!$2:$76,72,0),0)-IFERROR(HLOOKUP(AW29,'סקרי נכסים-יתרות פתיחה'!$2:$90,87,0),0)</f>
        <v>0</v>
      </c>
      <c r="AX64" s="47">
        <f>+IFERROR(HLOOKUP(AX29,'סקרי נכסים-יתרות פתיחה'!$2:$76,72,0),0)-IFERROR(HLOOKUP(AX29,'סקרי נכסים-יתרות פתיחה'!$2:$90,87,0),0)</f>
        <v>0</v>
      </c>
      <c r="AY64" s="47">
        <f>+IFERROR(HLOOKUP(AY29,'סקרי נכסים-יתרות פתיחה'!$2:$76,72,0),0)-IFERROR(HLOOKUP(AY29,'סקרי נכסים-יתרות פתיחה'!$2:$90,87,0),0)</f>
        <v>0</v>
      </c>
      <c r="AZ64" s="47">
        <f>+IFERROR(HLOOKUP(AZ29,'סקרי נכסים-יתרות פתיחה'!$2:$76,72,0),0)-IFERROR(HLOOKUP(AZ29,'סקרי נכסים-יתרות פתיחה'!$2:$90,87,0),0)</f>
        <v>0</v>
      </c>
      <c r="BA64" s="47">
        <f>+IFERROR(HLOOKUP(BA29,'סקרי נכסים-יתרות פתיחה'!$2:$76,72,0),0)-IFERROR(HLOOKUP(BA29,'סקרי נכסים-יתרות פתיחה'!$2:$90,87,0),0)</f>
        <v>0</v>
      </c>
      <c r="BB64" s="47">
        <f>+IFERROR(HLOOKUP(BB29,'סקרי נכסים-יתרות פתיחה'!$2:$76,72,0),0)-IFERROR(HLOOKUP(BB29,'סקרי נכסים-יתרות פתיחה'!$2:$90,87,0),0)</f>
        <v>0</v>
      </c>
      <c r="BC64" s="47">
        <f>+IFERROR(HLOOKUP(BC29,'סקרי נכסים-יתרות פתיחה'!$2:$76,72,0),0)-IFERROR(HLOOKUP(BC29,'סקרי נכסים-יתרות פתיחה'!$2:$90,87,0),0)</f>
        <v>0</v>
      </c>
      <c r="BD64" s="47">
        <f>+IFERROR(HLOOKUP(BD29,'סקרי נכסים-יתרות פתיחה'!$2:$76,72,0),0)-IFERROR(HLOOKUP(BD29,'סקרי נכסים-יתרות פתיחה'!$2:$90,87,0),0)</f>
        <v>0</v>
      </c>
      <c r="BE64" s="47">
        <f>+IFERROR(HLOOKUP(BE29,'סקרי נכסים-יתרות פתיחה'!$2:$76,72,0),0)-IFERROR(HLOOKUP(BE29,'סקרי נכסים-יתרות פתיחה'!$2:$90,87,0),0)</f>
        <v>0</v>
      </c>
      <c r="BF64" s="47">
        <f>+IFERROR(HLOOKUP(BF29,'סקרי נכסים-יתרות פתיחה'!$2:$76,72,0),0)-IFERROR(HLOOKUP(BF29,'סקרי נכסים-יתרות פתיחה'!$2:$90,87,0),0)</f>
        <v>0</v>
      </c>
    </row>
    <row r="65" spans="1:58" x14ac:dyDescent="0.2">
      <c r="B65" s="1">
        <v>23</v>
      </c>
      <c r="C65" s="47">
        <f>+IFERROR(HLOOKUP(C30,'סקרי נכסים-יתרות פתיחה'!$2:$76,72,0),0)-IFERROR(HLOOKUP(C30,'סקרי נכסים-יתרות פתיחה'!$2:$90,87,0),0)</f>
        <v>0</v>
      </c>
      <c r="D65" s="47">
        <f>+IFERROR(HLOOKUP(D30,'סקרי נכסים-יתרות פתיחה'!$2:$76,72,0),0)-IFERROR(HLOOKUP(D30,'סקרי נכסים-יתרות פתיחה'!$2:$90,87,0),0)</f>
        <v>0</v>
      </c>
      <c r="E65" s="47">
        <f>+IFERROR(HLOOKUP(E30,'סקרי נכסים-יתרות פתיחה'!$2:$76,72,0),0)-IFERROR(HLOOKUP(E30,'סקרי נכסים-יתרות פתיחה'!$2:$90,87,0),0)</f>
        <v>0</v>
      </c>
      <c r="F65" s="47">
        <f>+IFERROR(HLOOKUP(F30,'סקרי נכסים-יתרות פתיחה'!$2:$76,72,0),0)-IFERROR(HLOOKUP(F30,'סקרי נכסים-יתרות פתיחה'!$2:$90,87,0),0)</f>
        <v>0</v>
      </c>
      <c r="G65" s="47">
        <f>+IFERROR(HLOOKUP(G30,'סקרי נכסים-יתרות פתיחה'!$2:$76,72,0),0)-IFERROR(HLOOKUP(G30,'סקרי נכסים-יתרות פתיחה'!$2:$90,87,0),0)</f>
        <v>0</v>
      </c>
      <c r="H65" s="47">
        <f>+IFERROR(HLOOKUP(H30,'סקרי נכסים-יתרות פתיחה'!$2:$76,72,0),0)-IFERROR(HLOOKUP(H30,'סקרי נכסים-יתרות פתיחה'!$2:$90,87,0),0)</f>
        <v>0</v>
      </c>
      <c r="I65" s="47">
        <f>+IFERROR(HLOOKUP(I30,'סקרי נכסים-יתרות פתיחה'!$2:$76,72,0),0)-IFERROR(HLOOKUP(I30,'סקרי נכסים-יתרות פתיחה'!$2:$90,87,0),0)</f>
        <v>0</v>
      </c>
      <c r="J65" s="47">
        <f>+IFERROR(HLOOKUP(J30,'סקרי נכסים-יתרות פתיחה'!$2:$76,72,0),0)-IFERROR(HLOOKUP(J30,'סקרי נכסים-יתרות פתיחה'!$2:$90,87,0),0)</f>
        <v>0</v>
      </c>
      <c r="K65" s="47">
        <f>+IFERROR(HLOOKUP(K30,'סקרי נכסים-יתרות פתיחה'!$2:$76,72,0),0)-IFERROR(HLOOKUP(K30,'סקרי נכסים-יתרות פתיחה'!$2:$90,87,0),0)</f>
        <v>0</v>
      </c>
      <c r="L65" s="47">
        <f>+IFERROR(HLOOKUP(L30,'סקרי נכסים-יתרות פתיחה'!$2:$76,72,0),0)-IFERROR(HLOOKUP(L30,'סקרי נכסים-יתרות פתיחה'!$2:$90,87,0),0)</f>
        <v>0</v>
      </c>
      <c r="M65" s="47">
        <f>+IFERROR(HLOOKUP(M30,'סקרי נכסים-יתרות פתיחה'!$2:$76,72,0),0)-IFERROR(HLOOKUP(M30,'סקרי נכסים-יתרות פתיחה'!$2:$90,87,0),0)</f>
        <v>0</v>
      </c>
      <c r="N65" s="47">
        <f>+IFERROR(HLOOKUP(N30,'סקרי נכסים-יתרות פתיחה'!$2:$76,72,0),0)-IFERROR(HLOOKUP(N30,'סקרי נכסים-יתרות פתיחה'!$2:$90,87,0),0)</f>
        <v>0</v>
      </c>
      <c r="O65" s="47">
        <f>+IFERROR(HLOOKUP(O30,'סקרי נכסים-יתרות פתיחה'!$2:$76,72,0),0)-IFERROR(HLOOKUP(O30,'סקרי נכסים-יתרות פתיחה'!$2:$90,87,0),0)</f>
        <v>0</v>
      </c>
      <c r="P65" s="47">
        <f>+IFERROR(HLOOKUP(P30,'סקרי נכסים-יתרות פתיחה'!$2:$76,72,0),0)-IFERROR(HLOOKUP(P30,'סקרי נכסים-יתרות פתיחה'!$2:$90,87,0),0)</f>
        <v>0</v>
      </c>
      <c r="Q65" s="47">
        <f>+IFERROR(HLOOKUP(Q30,'סקרי נכסים-יתרות פתיחה'!$2:$76,72,0),0)-IFERROR(HLOOKUP(Q30,'סקרי נכסים-יתרות פתיחה'!$2:$90,87,0),0)</f>
        <v>0</v>
      </c>
      <c r="R65" s="47">
        <f>+IFERROR(HLOOKUP(R30,'סקרי נכסים-יתרות פתיחה'!$2:$76,72,0),0)-IFERROR(HLOOKUP(R30,'סקרי נכסים-יתרות פתיחה'!$2:$90,87,0),0)</f>
        <v>0</v>
      </c>
      <c r="S65" s="47">
        <f>+IFERROR(HLOOKUP(S30,'סקרי נכסים-יתרות פתיחה'!$2:$76,72,0),0)-IFERROR(HLOOKUP(S30,'סקרי נכסים-יתרות פתיחה'!$2:$90,87,0),0)</f>
        <v>0</v>
      </c>
      <c r="T65" s="47">
        <f>+IFERROR(HLOOKUP(T30,'סקרי נכסים-יתרות פתיחה'!$2:$76,72,0),0)-IFERROR(HLOOKUP(T30,'סקרי נכסים-יתרות פתיחה'!$2:$90,87,0),0)</f>
        <v>0</v>
      </c>
      <c r="U65" s="47">
        <f>+IFERROR(HLOOKUP(U30,'סקרי נכסים-יתרות פתיחה'!$2:$76,72,0),0)-IFERROR(HLOOKUP(U30,'סקרי נכסים-יתרות פתיחה'!$2:$90,87,0),0)</f>
        <v>0</v>
      </c>
      <c r="V65" s="47">
        <f>+IFERROR(HLOOKUP(V30,'סקרי נכסים-יתרות פתיחה'!$2:$76,72,0),0)-IFERROR(HLOOKUP(V30,'סקרי נכסים-יתרות פתיחה'!$2:$90,87,0),0)</f>
        <v>0</v>
      </c>
      <c r="W65" s="47">
        <f>+IFERROR(HLOOKUP(W30,'סקרי נכסים-יתרות פתיחה'!$2:$76,72,0),0)-IFERROR(HLOOKUP(W30,'סקרי נכסים-יתרות פתיחה'!$2:$90,87,0),0)</f>
        <v>0</v>
      </c>
      <c r="X65" s="47">
        <f>+IFERROR(HLOOKUP(X30,'סקרי נכסים-יתרות פתיחה'!$2:$76,72,0),0)-IFERROR(HLOOKUP(X30,'סקרי נכסים-יתרות פתיחה'!$2:$90,87,0),0)</f>
        <v>0</v>
      </c>
      <c r="Y65" s="47">
        <f>+IFERROR(HLOOKUP(Y30,'סקרי נכסים-יתרות פתיחה'!$2:$76,72,0),0)-IFERROR(HLOOKUP(Y30,'סקרי נכסים-יתרות פתיחה'!$2:$90,87,0),0)</f>
        <v>0</v>
      </c>
      <c r="Z65" s="47">
        <f>+IFERROR(HLOOKUP(Z30,'סקרי נכסים-יתרות פתיחה'!$2:$76,72,0),0)-IFERROR(HLOOKUP(Z30,'סקרי נכסים-יתרות פתיחה'!$2:$90,87,0),0)</f>
        <v>0</v>
      </c>
      <c r="AA65" s="47">
        <f>+IFERROR(HLOOKUP(AA30,'סקרי נכסים-יתרות פתיחה'!$2:$76,72,0),0)-IFERROR(HLOOKUP(AA30,'סקרי נכסים-יתרות פתיחה'!$2:$90,87,0),0)</f>
        <v>0</v>
      </c>
      <c r="AB65" s="47">
        <f>+IFERROR(HLOOKUP(AB30,'סקרי נכסים-יתרות פתיחה'!$2:$76,72,0),0)-IFERROR(HLOOKUP(AB30,'סקרי נכסים-יתרות פתיחה'!$2:$90,87,0),0)</f>
        <v>0</v>
      </c>
      <c r="AC65" s="47">
        <f>+IFERROR(HLOOKUP(AC30,'סקרי נכסים-יתרות פתיחה'!$2:$76,72,0),0)-IFERROR(HLOOKUP(AC30,'סקרי נכסים-יתרות פתיחה'!$2:$90,87,0),0)</f>
        <v>0</v>
      </c>
      <c r="AD65" s="47">
        <f>+IFERROR(HLOOKUP(AD30,'סקרי נכסים-יתרות פתיחה'!$2:$76,72,0),0)-IFERROR(HLOOKUP(AD30,'סקרי נכסים-יתרות פתיחה'!$2:$90,87,0),0)</f>
        <v>0</v>
      </c>
      <c r="AE65" s="47">
        <f>+IFERROR(HLOOKUP(AE30,'סקרי נכסים-יתרות פתיחה'!$2:$76,72,0),0)-IFERROR(HLOOKUP(AE30,'סקרי נכסים-יתרות פתיחה'!$2:$90,87,0),0)</f>
        <v>0</v>
      </c>
      <c r="AF65" s="47">
        <f>+IFERROR(HLOOKUP(AF30,'סקרי נכסים-יתרות פתיחה'!$2:$76,72,0),0)-IFERROR(HLOOKUP(AF30,'סקרי נכסים-יתרות פתיחה'!$2:$90,87,0),0)</f>
        <v>0</v>
      </c>
      <c r="AG65" s="47">
        <f>+IFERROR(HLOOKUP(AG30,'סקרי נכסים-יתרות פתיחה'!$2:$76,72,0),0)-IFERROR(HLOOKUP(AG30,'סקרי נכסים-יתרות פתיחה'!$2:$90,87,0),0)</f>
        <v>0</v>
      </c>
      <c r="AH65" s="47">
        <f>+IFERROR(HLOOKUP(AH30,'סקרי נכסים-יתרות פתיחה'!$2:$76,72,0),0)-IFERROR(HLOOKUP(AH30,'סקרי נכסים-יתרות פתיחה'!$2:$90,87,0),0)</f>
        <v>0</v>
      </c>
      <c r="AI65" s="47">
        <f>+IFERROR(HLOOKUP(AI30,'סקרי נכסים-יתרות פתיחה'!$2:$76,72,0),0)-IFERROR(HLOOKUP(AI30,'סקרי נכסים-יתרות פתיחה'!$2:$90,87,0),0)</f>
        <v>0</v>
      </c>
      <c r="AJ65" s="47">
        <f>+IFERROR(HLOOKUP(AJ30,'סקרי נכסים-יתרות פתיחה'!$2:$76,72,0),0)-IFERROR(HLOOKUP(AJ30,'סקרי נכסים-יתרות פתיחה'!$2:$90,87,0),0)</f>
        <v>0</v>
      </c>
      <c r="AK65" s="47">
        <f>+IFERROR(HLOOKUP(AK30,'סקרי נכסים-יתרות פתיחה'!$2:$76,72,0),0)-IFERROR(HLOOKUP(AK30,'סקרי נכסים-יתרות פתיחה'!$2:$90,87,0),0)</f>
        <v>0</v>
      </c>
      <c r="AL65" s="47">
        <f>+IFERROR(HLOOKUP(AL30,'סקרי נכסים-יתרות פתיחה'!$2:$76,72,0),0)-IFERROR(HLOOKUP(AL30,'סקרי נכסים-יתרות פתיחה'!$2:$90,87,0),0)</f>
        <v>0</v>
      </c>
      <c r="AM65" s="47">
        <f>+IFERROR(HLOOKUP(AM30,'סקרי נכסים-יתרות פתיחה'!$2:$76,72,0),0)-IFERROR(HLOOKUP(AM30,'סקרי נכסים-יתרות פתיחה'!$2:$90,87,0),0)</f>
        <v>0</v>
      </c>
      <c r="AN65" s="47">
        <f>+IFERROR(HLOOKUP(AN30,'סקרי נכסים-יתרות פתיחה'!$2:$76,72,0),0)-IFERROR(HLOOKUP(AN30,'סקרי נכסים-יתרות פתיחה'!$2:$90,87,0),0)</f>
        <v>0</v>
      </c>
      <c r="AO65" s="47">
        <f>+IFERROR(HLOOKUP(AO30,'סקרי נכסים-יתרות פתיחה'!$2:$76,72,0),0)-IFERROR(HLOOKUP(AO30,'סקרי נכסים-יתרות פתיחה'!$2:$90,87,0),0)</f>
        <v>0</v>
      </c>
      <c r="AP65" s="47">
        <f>+IFERROR(HLOOKUP(AP30,'סקרי נכסים-יתרות פתיחה'!$2:$76,72,0),0)-IFERROR(HLOOKUP(AP30,'סקרי נכסים-יתרות פתיחה'!$2:$90,87,0),0)</f>
        <v>0</v>
      </c>
      <c r="AQ65" s="47">
        <f>+IFERROR(HLOOKUP(AQ30,'סקרי נכסים-יתרות פתיחה'!$2:$76,72,0),0)-IFERROR(HLOOKUP(AQ30,'סקרי נכסים-יתרות פתיחה'!$2:$90,87,0),0)</f>
        <v>0</v>
      </c>
      <c r="AR65" s="47">
        <f>+IFERROR(HLOOKUP(AR30,'סקרי נכסים-יתרות פתיחה'!$2:$76,72,0),0)-IFERROR(HLOOKUP(AR30,'סקרי נכסים-יתרות פתיחה'!$2:$90,87,0),0)</f>
        <v>0</v>
      </c>
      <c r="AS65" s="47">
        <f>+IFERROR(HLOOKUP(AS30,'סקרי נכסים-יתרות פתיחה'!$2:$76,72,0),0)-IFERROR(HLOOKUP(AS30,'סקרי נכסים-יתרות פתיחה'!$2:$90,87,0),0)</f>
        <v>0</v>
      </c>
      <c r="AT65" s="47">
        <f>+IFERROR(HLOOKUP(AT30,'סקרי נכסים-יתרות פתיחה'!$2:$76,72,0),0)-IFERROR(HLOOKUP(AT30,'סקרי נכסים-יתרות פתיחה'!$2:$90,87,0),0)</f>
        <v>0</v>
      </c>
      <c r="AU65" s="47">
        <f>+IFERROR(HLOOKUP(AU30,'סקרי נכסים-יתרות פתיחה'!$2:$76,72,0),0)-IFERROR(HLOOKUP(AU30,'סקרי נכסים-יתרות פתיחה'!$2:$90,87,0),0)</f>
        <v>0</v>
      </c>
      <c r="AV65" s="47">
        <f>+IFERROR(HLOOKUP(AV30,'סקרי נכסים-יתרות פתיחה'!$2:$76,72,0),0)-IFERROR(HLOOKUP(AV30,'סקרי נכסים-יתרות פתיחה'!$2:$90,87,0),0)</f>
        <v>0</v>
      </c>
      <c r="AW65" s="47">
        <f>+IFERROR(HLOOKUP(AW30,'סקרי נכסים-יתרות פתיחה'!$2:$76,72,0),0)-IFERROR(HLOOKUP(AW30,'סקרי נכסים-יתרות פתיחה'!$2:$90,87,0),0)</f>
        <v>0</v>
      </c>
      <c r="AX65" s="47">
        <f>+IFERROR(HLOOKUP(AX30,'סקרי נכסים-יתרות פתיחה'!$2:$76,72,0),0)-IFERROR(HLOOKUP(AX30,'סקרי נכסים-יתרות פתיחה'!$2:$90,87,0),0)</f>
        <v>0</v>
      </c>
      <c r="AY65" s="47">
        <f>+IFERROR(HLOOKUP(AY30,'סקרי נכסים-יתרות פתיחה'!$2:$76,72,0),0)-IFERROR(HLOOKUP(AY30,'סקרי נכסים-יתרות פתיחה'!$2:$90,87,0),0)</f>
        <v>0</v>
      </c>
      <c r="AZ65" s="47">
        <f>+IFERROR(HLOOKUP(AZ30,'סקרי נכסים-יתרות פתיחה'!$2:$76,72,0),0)-IFERROR(HLOOKUP(AZ30,'סקרי נכסים-יתרות פתיחה'!$2:$90,87,0),0)</f>
        <v>0</v>
      </c>
      <c r="BA65" s="47">
        <f>+IFERROR(HLOOKUP(BA30,'סקרי נכסים-יתרות פתיחה'!$2:$76,72,0),0)-IFERROR(HLOOKUP(BA30,'סקרי נכסים-יתרות פתיחה'!$2:$90,87,0),0)</f>
        <v>0</v>
      </c>
      <c r="BB65" s="47">
        <f>+IFERROR(HLOOKUP(BB30,'סקרי נכסים-יתרות פתיחה'!$2:$76,72,0),0)-IFERROR(HLOOKUP(BB30,'סקרי נכסים-יתרות פתיחה'!$2:$90,87,0),0)</f>
        <v>0</v>
      </c>
      <c r="BC65" s="47">
        <f>+IFERROR(HLOOKUP(BC30,'סקרי נכסים-יתרות פתיחה'!$2:$76,72,0),0)-IFERROR(HLOOKUP(BC30,'סקרי נכסים-יתרות פתיחה'!$2:$90,87,0),0)</f>
        <v>0</v>
      </c>
      <c r="BD65" s="47">
        <f>+IFERROR(HLOOKUP(BD30,'סקרי נכסים-יתרות פתיחה'!$2:$76,72,0),0)-IFERROR(HLOOKUP(BD30,'סקרי נכסים-יתרות פתיחה'!$2:$90,87,0),0)</f>
        <v>0</v>
      </c>
      <c r="BE65" s="47">
        <f>+IFERROR(HLOOKUP(BE30,'סקרי נכסים-יתרות פתיחה'!$2:$76,72,0),0)-IFERROR(HLOOKUP(BE30,'סקרי נכסים-יתרות פתיחה'!$2:$90,87,0),0)</f>
        <v>0</v>
      </c>
      <c r="BF65" s="47">
        <f>+IFERROR(HLOOKUP(BF30,'סקרי נכסים-יתרות פתיחה'!$2:$76,72,0),0)-IFERROR(HLOOKUP(BF30,'סקרי נכסים-יתרות פתיחה'!$2:$90,87,0),0)</f>
        <v>0</v>
      </c>
    </row>
    <row r="66" spans="1:58" x14ac:dyDescent="0.2">
      <c r="B66" s="1">
        <v>24</v>
      </c>
      <c r="C66" s="47">
        <f>+IFERROR(HLOOKUP(C31,'סקרי נכסים-יתרות פתיחה'!$2:$76,72,0),0)-IFERROR(HLOOKUP(C31,'סקרי נכסים-יתרות פתיחה'!$2:$90,87,0),0)</f>
        <v>0</v>
      </c>
      <c r="D66" s="47">
        <f>+IFERROR(HLOOKUP(D31,'סקרי נכסים-יתרות פתיחה'!$2:$76,72,0),0)-IFERROR(HLOOKUP(D31,'סקרי נכסים-יתרות פתיחה'!$2:$90,87,0),0)</f>
        <v>0</v>
      </c>
      <c r="E66" s="47">
        <f>+IFERROR(HLOOKUP(E31,'סקרי נכסים-יתרות פתיחה'!$2:$76,72,0),0)-IFERROR(HLOOKUP(E31,'סקרי נכסים-יתרות פתיחה'!$2:$90,87,0),0)</f>
        <v>0</v>
      </c>
      <c r="F66" s="47">
        <f>+IFERROR(HLOOKUP(F31,'סקרי נכסים-יתרות פתיחה'!$2:$76,72,0),0)-IFERROR(HLOOKUP(F31,'סקרי נכסים-יתרות פתיחה'!$2:$90,87,0),0)</f>
        <v>0</v>
      </c>
      <c r="G66" s="47">
        <f>+IFERROR(HLOOKUP(G31,'סקרי נכסים-יתרות פתיחה'!$2:$76,72,0),0)-IFERROR(HLOOKUP(G31,'סקרי נכסים-יתרות פתיחה'!$2:$90,87,0),0)</f>
        <v>0</v>
      </c>
      <c r="H66" s="47">
        <f>+IFERROR(HLOOKUP(H31,'סקרי נכסים-יתרות פתיחה'!$2:$76,72,0),0)-IFERROR(HLOOKUP(H31,'סקרי נכסים-יתרות פתיחה'!$2:$90,87,0),0)</f>
        <v>0</v>
      </c>
      <c r="I66" s="47">
        <f>+IFERROR(HLOOKUP(I31,'סקרי נכסים-יתרות פתיחה'!$2:$76,72,0),0)-IFERROR(HLOOKUP(I31,'סקרי נכסים-יתרות פתיחה'!$2:$90,87,0),0)</f>
        <v>0</v>
      </c>
      <c r="J66" s="47">
        <f>+IFERROR(HLOOKUP(J31,'סקרי נכסים-יתרות פתיחה'!$2:$76,72,0),0)-IFERROR(HLOOKUP(J31,'סקרי נכסים-יתרות פתיחה'!$2:$90,87,0),0)</f>
        <v>0</v>
      </c>
      <c r="K66" s="47">
        <f>+IFERROR(HLOOKUP(K31,'סקרי נכסים-יתרות פתיחה'!$2:$76,72,0),0)-IFERROR(HLOOKUP(K31,'סקרי נכסים-יתרות פתיחה'!$2:$90,87,0),0)</f>
        <v>0</v>
      </c>
      <c r="L66" s="47">
        <f>+IFERROR(HLOOKUP(L31,'סקרי נכסים-יתרות פתיחה'!$2:$76,72,0),0)-IFERROR(HLOOKUP(L31,'סקרי נכסים-יתרות פתיחה'!$2:$90,87,0),0)</f>
        <v>0</v>
      </c>
      <c r="M66" s="47">
        <f>+IFERROR(HLOOKUP(M31,'סקרי נכסים-יתרות פתיחה'!$2:$76,72,0),0)-IFERROR(HLOOKUP(M31,'סקרי נכסים-יתרות פתיחה'!$2:$90,87,0),0)</f>
        <v>0</v>
      </c>
      <c r="N66" s="47">
        <f>+IFERROR(HLOOKUP(N31,'סקרי נכסים-יתרות פתיחה'!$2:$76,72,0),0)-IFERROR(HLOOKUP(N31,'סקרי נכסים-יתרות פתיחה'!$2:$90,87,0),0)</f>
        <v>0</v>
      </c>
      <c r="O66" s="47">
        <f>+IFERROR(HLOOKUP(O31,'סקרי נכסים-יתרות פתיחה'!$2:$76,72,0),0)-IFERROR(HLOOKUP(O31,'סקרי נכסים-יתרות פתיחה'!$2:$90,87,0),0)</f>
        <v>0</v>
      </c>
      <c r="P66" s="47">
        <f>+IFERROR(HLOOKUP(P31,'סקרי נכסים-יתרות פתיחה'!$2:$76,72,0),0)-IFERROR(HLOOKUP(P31,'סקרי נכסים-יתרות פתיחה'!$2:$90,87,0),0)</f>
        <v>0</v>
      </c>
      <c r="Q66" s="47">
        <f>+IFERROR(HLOOKUP(Q31,'סקרי נכסים-יתרות פתיחה'!$2:$76,72,0),0)-IFERROR(HLOOKUP(Q31,'סקרי נכסים-יתרות פתיחה'!$2:$90,87,0),0)</f>
        <v>0</v>
      </c>
      <c r="R66" s="47">
        <f>+IFERROR(HLOOKUP(R31,'סקרי נכסים-יתרות פתיחה'!$2:$76,72,0),0)-IFERROR(HLOOKUP(R31,'סקרי נכסים-יתרות פתיחה'!$2:$90,87,0),0)</f>
        <v>0</v>
      </c>
      <c r="S66" s="47">
        <f>+IFERROR(HLOOKUP(S31,'סקרי נכסים-יתרות פתיחה'!$2:$76,72,0),0)-IFERROR(HLOOKUP(S31,'סקרי נכסים-יתרות פתיחה'!$2:$90,87,0),0)</f>
        <v>0</v>
      </c>
      <c r="T66" s="47">
        <f>+IFERROR(HLOOKUP(T31,'סקרי נכסים-יתרות פתיחה'!$2:$76,72,0),0)-IFERROR(HLOOKUP(T31,'סקרי נכסים-יתרות פתיחה'!$2:$90,87,0),0)</f>
        <v>0</v>
      </c>
      <c r="U66" s="47">
        <f>+IFERROR(HLOOKUP(U31,'סקרי נכסים-יתרות פתיחה'!$2:$76,72,0),0)-IFERROR(HLOOKUP(U31,'סקרי נכסים-יתרות פתיחה'!$2:$90,87,0),0)</f>
        <v>0</v>
      </c>
      <c r="V66" s="47">
        <f>+IFERROR(HLOOKUP(V31,'סקרי נכסים-יתרות פתיחה'!$2:$76,72,0),0)-IFERROR(HLOOKUP(V31,'סקרי נכסים-יתרות פתיחה'!$2:$90,87,0),0)</f>
        <v>0</v>
      </c>
      <c r="W66" s="47">
        <f>+IFERROR(HLOOKUP(W31,'סקרי נכסים-יתרות פתיחה'!$2:$76,72,0),0)-IFERROR(HLOOKUP(W31,'סקרי נכסים-יתרות פתיחה'!$2:$90,87,0),0)</f>
        <v>0</v>
      </c>
      <c r="X66" s="47">
        <f>+IFERROR(HLOOKUP(X31,'סקרי נכסים-יתרות פתיחה'!$2:$76,72,0),0)-IFERROR(HLOOKUP(X31,'סקרי נכסים-יתרות פתיחה'!$2:$90,87,0),0)</f>
        <v>0</v>
      </c>
      <c r="Y66" s="47">
        <f>+IFERROR(HLOOKUP(Y31,'סקרי נכסים-יתרות פתיחה'!$2:$76,72,0),0)-IFERROR(HLOOKUP(Y31,'סקרי נכסים-יתרות פתיחה'!$2:$90,87,0),0)</f>
        <v>0</v>
      </c>
      <c r="Z66" s="47">
        <f>+IFERROR(HLOOKUP(Z31,'סקרי נכסים-יתרות פתיחה'!$2:$76,72,0),0)-IFERROR(HLOOKUP(Z31,'סקרי נכסים-יתרות פתיחה'!$2:$90,87,0),0)</f>
        <v>0</v>
      </c>
      <c r="AA66" s="47">
        <f>+IFERROR(HLOOKUP(AA31,'סקרי נכסים-יתרות פתיחה'!$2:$76,72,0),0)-IFERROR(HLOOKUP(AA31,'סקרי נכסים-יתרות פתיחה'!$2:$90,87,0),0)</f>
        <v>0</v>
      </c>
      <c r="AB66" s="47">
        <f>+IFERROR(HLOOKUP(AB31,'סקרי נכסים-יתרות פתיחה'!$2:$76,72,0),0)-IFERROR(HLOOKUP(AB31,'סקרי נכסים-יתרות פתיחה'!$2:$90,87,0),0)</f>
        <v>0</v>
      </c>
      <c r="AC66" s="47">
        <f>+IFERROR(HLOOKUP(AC31,'סקרי נכסים-יתרות פתיחה'!$2:$76,72,0),0)-IFERROR(HLOOKUP(AC31,'סקרי נכסים-יתרות פתיחה'!$2:$90,87,0),0)</f>
        <v>0</v>
      </c>
      <c r="AD66" s="47">
        <f>+IFERROR(HLOOKUP(AD31,'סקרי נכסים-יתרות פתיחה'!$2:$76,72,0),0)-IFERROR(HLOOKUP(AD31,'סקרי נכסים-יתרות פתיחה'!$2:$90,87,0),0)</f>
        <v>0</v>
      </c>
      <c r="AE66" s="47">
        <f>+IFERROR(HLOOKUP(AE31,'סקרי נכסים-יתרות פתיחה'!$2:$76,72,0),0)-IFERROR(HLOOKUP(AE31,'סקרי נכסים-יתרות פתיחה'!$2:$90,87,0),0)</f>
        <v>0</v>
      </c>
      <c r="AF66" s="47">
        <f>+IFERROR(HLOOKUP(AF31,'סקרי נכסים-יתרות פתיחה'!$2:$76,72,0),0)-IFERROR(HLOOKUP(AF31,'סקרי נכסים-יתרות פתיחה'!$2:$90,87,0),0)</f>
        <v>0</v>
      </c>
      <c r="AG66" s="47">
        <f>+IFERROR(HLOOKUP(AG31,'סקרי נכסים-יתרות פתיחה'!$2:$76,72,0),0)-IFERROR(HLOOKUP(AG31,'סקרי נכסים-יתרות פתיחה'!$2:$90,87,0),0)</f>
        <v>0</v>
      </c>
      <c r="AH66" s="47">
        <f>+IFERROR(HLOOKUP(AH31,'סקרי נכסים-יתרות פתיחה'!$2:$76,72,0),0)-IFERROR(HLOOKUP(AH31,'סקרי נכסים-יתרות פתיחה'!$2:$90,87,0),0)</f>
        <v>0</v>
      </c>
      <c r="AI66" s="47">
        <f>+IFERROR(HLOOKUP(AI31,'סקרי נכסים-יתרות פתיחה'!$2:$76,72,0),0)-IFERROR(HLOOKUP(AI31,'סקרי נכסים-יתרות פתיחה'!$2:$90,87,0),0)</f>
        <v>0</v>
      </c>
      <c r="AJ66" s="47">
        <f>+IFERROR(HLOOKUP(AJ31,'סקרי נכסים-יתרות פתיחה'!$2:$76,72,0),0)-IFERROR(HLOOKUP(AJ31,'סקרי נכסים-יתרות פתיחה'!$2:$90,87,0),0)</f>
        <v>0</v>
      </c>
      <c r="AK66" s="47">
        <f>+IFERROR(HLOOKUP(AK31,'סקרי נכסים-יתרות פתיחה'!$2:$76,72,0),0)-IFERROR(HLOOKUP(AK31,'סקרי נכסים-יתרות פתיחה'!$2:$90,87,0),0)</f>
        <v>0</v>
      </c>
      <c r="AL66" s="47">
        <f>+IFERROR(HLOOKUP(AL31,'סקרי נכסים-יתרות פתיחה'!$2:$76,72,0),0)-IFERROR(HLOOKUP(AL31,'סקרי נכסים-יתרות פתיחה'!$2:$90,87,0),0)</f>
        <v>0</v>
      </c>
      <c r="AM66" s="47">
        <f>+IFERROR(HLOOKUP(AM31,'סקרי נכסים-יתרות פתיחה'!$2:$76,72,0),0)-IFERROR(HLOOKUP(AM31,'סקרי נכסים-יתרות פתיחה'!$2:$90,87,0),0)</f>
        <v>0</v>
      </c>
      <c r="AN66" s="47">
        <f>+IFERROR(HLOOKUP(AN31,'סקרי נכסים-יתרות פתיחה'!$2:$76,72,0),0)-IFERROR(HLOOKUP(AN31,'סקרי נכסים-יתרות פתיחה'!$2:$90,87,0),0)</f>
        <v>0</v>
      </c>
      <c r="AO66" s="47">
        <f>+IFERROR(HLOOKUP(AO31,'סקרי נכסים-יתרות פתיחה'!$2:$76,72,0),0)-IFERROR(HLOOKUP(AO31,'סקרי נכסים-יתרות פתיחה'!$2:$90,87,0),0)</f>
        <v>0</v>
      </c>
      <c r="AP66" s="47">
        <f>+IFERROR(HLOOKUP(AP31,'סקרי נכסים-יתרות פתיחה'!$2:$76,72,0),0)-IFERROR(HLOOKUP(AP31,'סקרי נכסים-יתרות פתיחה'!$2:$90,87,0),0)</f>
        <v>0</v>
      </c>
      <c r="AQ66" s="47">
        <f>+IFERROR(HLOOKUP(AQ31,'סקרי נכסים-יתרות פתיחה'!$2:$76,72,0),0)-IFERROR(HLOOKUP(AQ31,'סקרי נכסים-יתרות פתיחה'!$2:$90,87,0),0)</f>
        <v>0</v>
      </c>
      <c r="AR66" s="47">
        <f>+IFERROR(HLOOKUP(AR31,'סקרי נכסים-יתרות פתיחה'!$2:$76,72,0),0)-IFERROR(HLOOKUP(AR31,'סקרי נכסים-יתרות פתיחה'!$2:$90,87,0),0)</f>
        <v>0</v>
      </c>
      <c r="AS66" s="47">
        <f>+IFERROR(HLOOKUP(AS31,'סקרי נכסים-יתרות פתיחה'!$2:$76,72,0),0)-IFERROR(HLOOKUP(AS31,'סקרי נכסים-יתרות פתיחה'!$2:$90,87,0),0)</f>
        <v>0</v>
      </c>
      <c r="AT66" s="47">
        <f>+IFERROR(HLOOKUP(AT31,'סקרי נכסים-יתרות פתיחה'!$2:$76,72,0),0)-IFERROR(HLOOKUP(AT31,'סקרי נכסים-יתרות פתיחה'!$2:$90,87,0),0)</f>
        <v>0</v>
      </c>
      <c r="AU66" s="47">
        <f>+IFERROR(HLOOKUP(AU31,'סקרי נכסים-יתרות פתיחה'!$2:$76,72,0),0)-IFERROR(HLOOKUP(AU31,'סקרי נכסים-יתרות פתיחה'!$2:$90,87,0),0)</f>
        <v>0</v>
      </c>
      <c r="AV66" s="47">
        <f>+IFERROR(HLOOKUP(AV31,'סקרי נכסים-יתרות פתיחה'!$2:$76,72,0),0)-IFERROR(HLOOKUP(AV31,'סקרי נכסים-יתרות פתיחה'!$2:$90,87,0),0)</f>
        <v>0</v>
      </c>
      <c r="AW66" s="47">
        <f>+IFERROR(HLOOKUP(AW31,'סקרי נכסים-יתרות פתיחה'!$2:$76,72,0),0)-IFERROR(HLOOKUP(AW31,'סקרי נכסים-יתרות פתיחה'!$2:$90,87,0),0)</f>
        <v>0</v>
      </c>
      <c r="AX66" s="47">
        <f>+IFERROR(HLOOKUP(AX31,'סקרי נכסים-יתרות פתיחה'!$2:$76,72,0),0)-IFERROR(HLOOKUP(AX31,'סקרי נכסים-יתרות פתיחה'!$2:$90,87,0),0)</f>
        <v>0</v>
      </c>
      <c r="AY66" s="47">
        <f>+IFERROR(HLOOKUP(AY31,'סקרי נכסים-יתרות פתיחה'!$2:$76,72,0),0)-IFERROR(HLOOKUP(AY31,'סקרי נכסים-יתרות פתיחה'!$2:$90,87,0),0)</f>
        <v>0</v>
      </c>
      <c r="AZ66" s="47">
        <f>+IFERROR(HLOOKUP(AZ31,'סקרי נכסים-יתרות פתיחה'!$2:$76,72,0),0)-IFERROR(HLOOKUP(AZ31,'סקרי נכסים-יתרות פתיחה'!$2:$90,87,0),0)</f>
        <v>0</v>
      </c>
      <c r="BA66" s="47">
        <f>+IFERROR(HLOOKUP(BA31,'סקרי נכסים-יתרות פתיחה'!$2:$76,72,0),0)-IFERROR(HLOOKUP(BA31,'סקרי נכסים-יתרות פתיחה'!$2:$90,87,0),0)</f>
        <v>0</v>
      </c>
      <c r="BB66" s="47">
        <f>+IFERROR(HLOOKUP(BB31,'סקרי נכסים-יתרות פתיחה'!$2:$76,72,0),0)-IFERROR(HLOOKUP(BB31,'סקרי נכסים-יתרות פתיחה'!$2:$90,87,0),0)</f>
        <v>0</v>
      </c>
      <c r="BC66" s="47">
        <f>+IFERROR(HLOOKUP(BC31,'סקרי נכסים-יתרות פתיחה'!$2:$76,72,0),0)-IFERROR(HLOOKUP(BC31,'סקרי נכסים-יתרות פתיחה'!$2:$90,87,0),0)</f>
        <v>0</v>
      </c>
      <c r="BD66" s="47">
        <f>+IFERROR(HLOOKUP(BD31,'סקרי נכסים-יתרות פתיחה'!$2:$76,72,0),0)-IFERROR(HLOOKUP(BD31,'סקרי נכסים-יתרות פתיחה'!$2:$90,87,0),0)</f>
        <v>0</v>
      </c>
      <c r="BE66" s="47">
        <f>+IFERROR(HLOOKUP(BE31,'סקרי נכסים-יתרות פתיחה'!$2:$76,72,0),0)-IFERROR(HLOOKUP(BE31,'סקרי נכסים-יתרות פתיחה'!$2:$90,87,0),0)</f>
        <v>0</v>
      </c>
      <c r="BF66" s="47">
        <f>+IFERROR(HLOOKUP(BF31,'סקרי נכסים-יתרות פתיחה'!$2:$76,72,0),0)-IFERROR(HLOOKUP(BF31,'סקרי נכסים-יתרות פתיחה'!$2:$90,87,0),0)</f>
        <v>0</v>
      </c>
    </row>
    <row r="67" spans="1:58" x14ac:dyDescent="0.2">
      <c r="B67" s="1">
        <v>25</v>
      </c>
      <c r="C67" s="47">
        <f>+IFERROR(HLOOKUP(C32,'סקרי נכסים-יתרות פתיחה'!$2:$76,72,0),0)-IFERROR(HLOOKUP(C32,'סקרי נכסים-יתרות פתיחה'!$2:$90,87,0),0)</f>
        <v>0</v>
      </c>
      <c r="D67" s="47">
        <f>+IFERROR(HLOOKUP(D32,'סקרי נכסים-יתרות פתיחה'!$2:$76,72,0),0)-IFERROR(HLOOKUP(D32,'סקרי נכסים-יתרות פתיחה'!$2:$90,87,0),0)</f>
        <v>0</v>
      </c>
      <c r="E67" s="47">
        <f>+IFERROR(HLOOKUP(E32,'סקרי נכסים-יתרות פתיחה'!$2:$76,72,0),0)-IFERROR(HLOOKUP(E32,'סקרי נכסים-יתרות פתיחה'!$2:$90,87,0),0)</f>
        <v>0</v>
      </c>
      <c r="F67" s="47">
        <f>+IFERROR(HLOOKUP(F32,'סקרי נכסים-יתרות פתיחה'!$2:$76,72,0),0)-IFERROR(HLOOKUP(F32,'סקרי נכסים-יתרות פתיחה'!$2:$90,87,0),0)</f>
        <v>0</v>
      </c>
      <c r="G67" s="47">
        <f>+IFERROR(HLOOKUP(G32,'סקרי נכסים-יתרות פתיחה'!$2:$76,72,0),0)-IFERROR(HLOOKUP(G32,'סקרי נכסים-יתרות פתיחה'!$2:$90,87,0),0)</f>
        <v>0</v>
      </c>
      <c r="H67" s="47">
        <f>+IFERROR(HLOOKUP(H32,'סקרי נכסים-יתרות פתיחה'!$2:$76,72,0),0)-IFERROR(HLOOKUP(H32,'סקרי נכסים-יתרות פתיחה'!$2:$90,87,0),0)</f>
        <v>0</v>
      </c>
      <c r="I67" s="47">
        <f>+IFERROR(HLOOKUP(I32,'סקרי נכסים-יתרות פתיחה'!$2:$76,72,0),0)-IFERROR(HLOOKUP(I32,'סקרי נכסים-יתרות פתיחה'!$2:$90,87,0),0)</f>
        <v>0</v>
      </c>
      <c r="J67" s="47">
        <f>+IFERROR(HLOOKUP(J32,'סקרי נכסים-יתרות פתיחה'!$2:$76,72,0),0)-IFERROR(HLOOKUP(J32,'סקרי נכסים-יתרות פתיחה'!$2:$90,87,0),0)</f>
        <v>0</v>
      </c>
      <c r="K67" s="47">
        <f>+IFERROR(HLOOKUP(K32,'סקרי נכסים-יתרות פתיחה'!$2:$76,72,0),0)-IFERROR(HLOOKUP(K32,'סקרי נכסים-יתרות פתיחה'!$2:$90,87,0),0)</f>
        <v>0</v>
      </c>
      <c r="L67" s="47">
        <f>+IFERROR(HLOOKUP(L32,'סקרי נכסים-יתרות פתיחה'!$2:$76,72,0),0)-IFERROR(HLOOKUP(L32,'סקרי נכסים-יתרות פתיחה'!$2:$90,87,0),0)</f>
        <v>0</v>
      </c>
      <c r="M67" s="47">
        <f>+IFERROR(HLOOKUP(M32,'סקרי נכסים-יתרות פתיחה'!$2:$76,72,0),0)-IFERROR(HLOOKUP(M32,'סקרי נכסים-יתרות פתיחה'!$2:$90,87,0),0)</f>
        <v>0</v>
      </c>
      <c r="N67" s="47">
        <f>+IFERROR(HLOOKUP(N32,'סקרי נכסים-יתרות פתיחה'!$2:$76,72,0),0)-IFERROR(HLOOKUP(N32,'סקרי נכסים-יתרות פתיחה'!$2:$90,87,0),0)</f>
        <v>0</v>
      </c>
      <c r="O67" s="47">
        <f>+IFERROR(HLOOKUP(O32,'סקרי נכסים-יתרות פתיחה'!$2:$76,72,0),0)-IFERROR(HLOOKUP(O32,'סקרי נכסים-יתרות פתיחה'!$2:$90,87,0),0)</f>
        <v>0</v>
      </c>
      <c r="P67" s="47">
        <f>+IFERROR(HLOOKUP(P32,'סקרי נכסים-יתרות פתיחה'!$2:$76,72,0),0)-IFERROR(HLOOKUP(P32,'סקרי נכסים-יתרות פתיחה'!$2:$90,87,0),0)</f>
        <v>0</v>
      </c>
      <c r="Q67" s="47">
        <f>+IFERROR(HLOOKUP(Q32,'סקרי נכסים-יתרות פתיחה'!$2:$76,72,0),0)-IFERROR(HLOOKUP(Q32,'סקרי נכסים-יתרות פתיחה'!$2:$90,87,0),0)</f>
        <v>0</v>
      </c>
      <c r="R67" s="47">
        <f>+IFERROR(HLOOKUP(R32,'סקרי נכסים-יתרות פתיחה'!$2:$76,72,0),0)-IFERROR(HLOOKUP(R32,'סקרי נכסים-יתרות פתיחה'!$2:$90,87,0),0)</f>
        <v>0</v>
      </c>
      <c r="S67" s="47">
        <f>+IFERROR(HLOOKUP(S32,'סקרי נכסים-יתרות פתיחה'!$2:$76,72,0),0)-IFERROR(HLOOKUP(S32,'סקרי נכסים-יתרות פתיחה'!$2:$90,87,0),0)</f>
        <v>0</v>
      </c>
      <c r="T67" s="47">
        <f>+IFERROR(HLOOKUP(T32,'סקרי נכסים-יתרות פתיחה'!$2:$76,72,0),0)-IFERROR(HLOOKUP(T32,'סקרי נכסים-יתרות פתיחה'!$2:$90,87,0),0)</f>
        <v>0</v>
      </c>
      <c r="U67" s="47">
        <f>+IFERROR(HLOOKUP(U32,'סקרי נכסים-יתרות פתיחה'!$2:$76,72,0),0)-IFERROR(HLOOKUP(U32,'סקרי נכסים-יתרות פתיחה'!$2:$90,87,0),0)</f>
        <v>0</v>
      </c>
      <c r="V67" s="47">
        <f>+IFERROR(HLOOKUP(V32,'סקרי נכסים-יתרות פתיחה'!$2:$76,72,0),0)-IFERROR(HLOOKUP(V32,'סקרי נכסים-יתרות פתיחה'!$2:$90,87,0),0)</f>
        <v>0</v>
      </c>
      <c r="W67" s="47">
        <f>+IFERROR(HLOOKUP(W32,'סקרי נכסים-יתרות פתיחה'!$2:$76,72,0),0)-IFERROR(HLOOKUP(W32,'סקרי נכסים-יתרות פתיחה'!$2:$90,87,0),0)</f>
        <v>0</v>
      </c>
      <c r="X67" s="47">
        <f>+IFERROR(HLOOKUP(X32,'סקרי נכסים-יתרות פתיחה'!$2:$76,72,0),0)-IFERROR(HLOOKUP(X32,'סקרי נכסים-יתרות פתיחה'!$2:$90,87,0),0)</f>
        <v>0</v>
      </c>
      <c r="Y67" s="47">
        <f>+IFERROR(HLOOKUP(Y32,'סקרי נכסים-יתרות פתיחה'!$2:$76,72,0),0)-IFERROR(HLOOKUP(Y32,'סקרי נכסים-יתרות פתיחה'!$2:$90,87,0),0)</f>
        <v>0</v>
      </c>
      <c r="Z67" s="47">
        <f>+IFERROR(HLOOKUP(Z32,'סקרי נכסים-יתרות פתיחה'!$2:$76,72,0),0)-IFERROR(HLOOKUP(Z32,'סקרי נכסים-יתרות פתיחה'!$2:$90,87,0),0)</f>
        <v>0</v>
      </c>
      <c r="AA67" s="47">
        <f>+IFERROR(HLOOKUP(AA32,'סקרי נכסים-יתרות פתיחה'!$2:$76,72,0),0)-IFERROR(HLOOKUP(AA32,'סקרי נכסים-יתרות פתיחה'!$2:$90,87,0),0)</f>
        <v>0</v>
      </c>
      <c r="AB67" s="47">
        <f>+IFERROR(HLOOKUP(AB32,'סקרי נכסים-יתרות פתיחה'!$2:$76,72,0),0)-IFERROR(HLOOKUP(AB32,'סקרי נכסים-יתרות פתיחה'!$2:$90,87,0),0)</f>
        <v>0</v>
      </c>
      <c r="AC67" s="47">
        <f>+IFERROR(HLOOKUP(AC32,'סקרי נכסים-יתרות פתיחה'!$2:$76,72,0),0)-IFERROR(HLOOKUP(AC32,'סקרי נכסים-יתרות פתיחה'!$2:$90,87,0),0)</f>
        <v>0</v>
      </c>
      <c r="AD67" s="47">
        <f>+IFERROR(HLOOKUP(AD32,'סקרי נכסים-יתרות פתיחה'!$2:$76,72,0),0)-IFERROR(HLOOKUP(AD32,'סקרי נכסים-יתרות פתיחה'!$2:$90,87,0),0)</f>
        <v>0</v>
      </c>
      <c r="AE67" s="47">
        <f>+IFERROR(HLOOKUP(AE32,'סקרי נכסים-יתרות פתיחה'!$2:$76,72,0),0)-IFERROR(HLOOKUP(AE32,'סקרי נכסים-יתרות פתיחה'!$2:$90,87,0),0)</f>
        <v>0</v>
      </c>
      <c r="AF67" s="47">
        <f>+IFERROR(HLOOKUP(AF32,'סקרי נכסים-יתרות פתיחה'!$2:$76,72,0),0)-IFERROR(HLOOKUP(AF32,'סקרי נכסים-יתרות פתיחה'!$2:$90,87,0),0)</f>
        <v>0</v>
      </c>
      <c r="AG67" s="47">
        <f>+IFERROR(HLOOKUP(AG32,'סקרי נכסים-יתרות פתיחה'!$2:$76,72,0),0)-IFERROR(HLOOKUP(AG32,'סקרי נכסים-יתרות פתיחה'!$2:$90,87,0),0)</f>
        <v>0</v>
      </c>
      <c r="AH67" s="47">
        <f>+IFERROR(HLOOKUP(AH32,'סקרי נכסים-יתרות פתיחה'!$2:$76,72,0),0)-IFERROR(HLOOKUP(AH32,'סקרי נכסים-יתרות פתיחה'!$2:$90,87,0),0)</f>
        <v>0</v>
      </c>
      <c r="AI67" s="47">
        <f>+IFERROR(HLOOKUP(AI32,'סקרי נכסים-יתרות פתיחה'!$2:$76,72,0),0)-IFERROR(HLOOKUP(AI32,'סקרי נכסים-יתרות פתיחה'!$2:$90,87,0),0)</f>
        <v>0</v>
      </c>
      <c r="AJ67" s="47">
        <f>+IFERROR(HLOOKUP(AJ32,'סקרי נכסים-יתרות פתיחה'!$2:$76,72,0),0)-IFERROR(HLOOKUP(AJ32,'סקרי נכסים-יתרות פתיחה'!$2:$90,87,0),0)</f>
        <v>0</v>
      </c>
      <c r="AK67" s="47">
        <f>+IFERROR(HLOOKUP(AK32,'סקרי נכסים-יתרות פתיחה'!$2:$76,72,0),0)-IFERROR(HLOOKUP(AK32,'סקרי נכסים-יתרות פתיחה'!$2:$90,87,0),0)</f>
        <v>0</v>
      </c>
      <c r="AL67" s="47">
        <f>+IFERROR(HLOOKUP(AL32,'סקרי נכסים-יתרות פתיחה'!$2:$76,72,0),0)-IFERROR(HLOOKUP(AL32,'סקרי נכסים-יתרות פתיחה'!$2:$90,87,0),0)</f>
        <v>0</v>
      </c>
      <c r="AM67" s="47">
        <f>+IFERROR(HLOOKUP(AM32,'סקרי נכסים-יתרות פתיחה'!$2:$76,72,0),0)-IFERROR(HLOOKUP(AM32,'סקרי נכסים-יתרות פתיחה'!$2:$90,87,0),0)</f>
        <v>0</v>
      </c>
      <c r="AN67" s="47">
        <f>+IFERROR(HLOOKUP(AN32,'סקרי נכסים-יתרות פתיחה'!$2:$76,72,0),0)-IFERROR(HLOOKUP(AN32,'סקרי נכסים-יתרות פתיחה'!$2:$90,87,0),0)</f>
        <v>0</v>
      </c>
      <c r="AO67" s="47">
        <f>+IFERROR(HLOOKUP(AO32,'סקרי נכסים-יתרות פתיחה'!$2:$76,72,0),0)-IFERROR(HLOOKUP(AO32,'סקרי נכסים-יתרות פתיחה'!$2:$90,87,0),0)</f>
        <v>0</v>
      </c>
      <c r="AP67" s="47">
        <f>+IFERROR(HLOOKUP(AP32,'סקרי נכסים-יתרות פתיחה'!$2:$76,72,0),0)-IFERROR(HLOOKUP(AP32,'סקרי נכסים-יתרות פתיחה'!$2:$90,87,0),0)</f>
        <v>0</v>
      </c>
      <c r="AQ67" s="47">
        <f>+IFERROR(HLOOKUP(AQ32,'סקרי נכסים-יתרות פתיחה'!$2:$76,72,0),0)-IFERROR(HLOOKUP(AQ32,'סקרי נכסים-יתרות פתיחה'!$2:$90,87,0),0)</f>
        <v>0</v>
      </c>
      <c r="AR67" s="47">
        <f>+IFERROR(HLOOKUP(AR32,'סקרי נכסים-יתרות פתיחה'!$2:$76,72,0),0)-IFERROR(HLOOKUP(AR32,'סקרי נכסים-יתרות פתיחה'!$2:$90,87,0),0)</f>
        <v>0</v>
      </c>
      <c r="AS67" s="47">
        <f>+IFERROR(HLOOKUP(AS32,'סקרי נכסים-יתרות פתיחה'!$2:$76,72,0),0)-IFERROR(HLOOKUP(AS32,'סקרי נכסים-יתרות פתיחה'!$2:$90,87,0),0)</f>
        <v>0</v>
      </c>
      <c r="AT67" s="47">
        <f>+IFERROR(HLOOKUP(AT32,'סקרי נכסים-יתרות פתיחה'!$2:$76,72,0),0)-IFERROR(HLOOKUP(AT32,'סקרי נכסים-יתרות פתיחה'!$2:$90,87,0),0)</f>
        <v>0</v>
      </c>
      <c r="AU67" s="47">
        <f>+IFERROR(HLOOKUP(AU32,'סקרי נכסים-יתרות פתיחה'!$2:$76,72,0),0)-IFERROR(HLOOKUP(AU32,'סקרי נכסים-יתרות פתיחה'!$2:$90,87,0),0)</f>
        <v>0</v>
      </c>
      <c r="AV67" s="47">
        <f>+IFERROR(HLOOKUP(AV32,'סקרי נכסים-יתרות פתיחה'!$2:$76,72,0),0)-IFERROR(HLOOKUP(AV32,'סקרי נכסים-יתרות פתיחה'!$2:$90,87,0),0)</f>
        <v>0</v>
      </c>
      <c r="AW67" s="47">
        <f>+IFERROR(HLOOKUP(AW32,'סקרי נכסים-יתרות פתיחה'!$2:$76,72,0),0)-IFERROR(HLOOKUP(AW32,'סקרי נכסים-יתרות פתיחה'!$2:$90,87,0),0)</f>
        <v>0</v>
      </c>
      <c r="AX67" s="47">
        <f>+IFERROR(HLOOKUP(AX32,'סקרי נכסים-יתרות פתיחה'!$2:$76,72,0),0)-IFERROR(HLOOKUP(AX32,'סקרי נכסים-יתרות פתיחה'!$2:$90,87,0),0)</f>
        <v>0</v>
      </c>
      <c r="AY67" s="47">
        <f>+IFERROR(HLOOKUP(AY32,'סקרי נכסים-יתרות פתיחה'!$2:$76,72,0),0)-IFERROR(HLOOKUP(AY32,'סקרי נכסים-יתרות פתיחה'!$2:$90,87,0),0)</f>
        <v>0</v>
      </c>
      <c r="AZ67" s="47">
        <f>+IFERROR(HLOOKUP(AZ32,'סקרי נכסים-יתרות פתיחה'!$2:$76,72,0),0)-IFERROR(HLOOKUP(AZ32,'סקרי נכסים-יתרות פתיחה'!$2:$90,87,0),0)</f>
        <v>0</v>
      </c>
      <c r="BA67" s="47">
        <f>+IFERROR(HLOOKUP(BA32,'סקרי נכסים-יתרות פתיחה'!$2:$76,72,0),0)-IFERROR(HLOOKUP(BA32,'סקרי נכסים-יתרות פתיחה'!$2:$90,87,0),0)</f>
        <v>0</v>
      </c>
      <c r="BB67" s="47">
        <f>+IFERROR(HLOOKUP(BB32,'סקרי נכסים-יתרות פתיחה'!$2:$76,72,0),0)-IFERROR(HLOOKUP(BB32,'סקרי נכסים-יתרות פתיחה'!$2:$90,87,0),0)</f>
        <v>0</v>
      </c>
      <c r="BC67" s="47">
        <f>+IFERROR(HLOOKUP(BC32,'סקרי נכסים-יתרות פתיחה'!$2:$76,72,0),0)-IFERROR(HLOOKUP(BC32,'סקרי נכסים-יתרות פתיחה'!$2:$90,87,0),0)</f>
        <v>0</v>
      </c>
      <c r="BD67" s="47">
        <f>+IFERROR(HLOOKUP(BD32,'סקרי נכסים-יתרות פתיחה'!$2:$76,72,0),0)-IFERROR(HLOOKUP(BD32,'סקרי נכסים-יתרות פתיחה'!$2:$90,87,0),0)</f>
        <v>0</v>
      </c>
      <c r="BE67" s="47">
        <f>+IFERROR(HLOOKUP(BE32,'סקרי נכסים-יתרות פתיחה'!$2:$76,72,0),0)-IFERROR(HLOOKUP(BE32,'סקרי נכסים-יתרות פתיחה'!$2:$90,87,0),0)</f>
        <v>0</v>
      </c>
      <c r="BF67" s="47">
        <f>+IFERROR(HLOOKUP(BF32,'סקרי נכסים-יתרות פתיחה'!$2:$76,72,0),0)-IFERROR(HLOOKUP(BF32,'סקרי נכסים-יתרות פתיחה'!$2:$90,87,0),0)</f>
        <v>0</v>
      </c>
    </row>
    <row r="68" spans="1:58" x14ac:dyDescent="0.2">
      <c r="B68" s="1">
        <v>26</v>
      </c>
      <c r="C68" s="47">
        <f>+IFERROR(HLOOKUP(C33,'סקרי נכסים-יתרות פתיחה'!$2:$76,72,0),0)-IFERROR(HLOOKUP(C33,'סקרי נכסים-יתרות פתיחה'!$2:$90,87,0),0)</f>
        <v>0</v>
      </c>
      <c r="D68" s="47">
        <f>+IFERROR(HLOOKUP(D33,'סקרי נכסים-יתרות פתיחה'!$2:$76,72,0),0)-IFERROR(HLOOKUP(D33,'סקרי נכסים-יתרות פתיחה'!$2:$90,87,0),0)</f>
        <v>0</v>
      </c>
      <c r="E68" s="47">
        <f>+IFERROR(HLOOKUP(E33,'סקרי נכסים-יתרות פתיחה'!$2:$76,72,0),0)-IFERROR(HLOOKUP(E33,'סקרי נכסים-יתרות פתיחה'!$2:$90,87,0),0)</f>
        <v>0</v>
      </c>
      <c r="F68" s="47">
        <f>+IFERROR(HLOOKUP(F33,'סקרי נכסים-יתרות פתיחה'!$2:$76,72,0),0)-IFERROR(HLOOKUP(F33,'סקרי נכסים-יתרות פתיחה'!$2:$90,87,0),0)</f>
        <v>0</v>
      </c>
      <c r="G68" s="47">
        <f>+IFERROR(HLOOKUP(G33,'סקרי נכסים-יתרות פתיחה'!$2:$76,72,0),0)-IFERROR(HLOOKUP(G33,'סקרי נכסים-יתרות פתיחה'!$2:$90,87,0),0)</f>
        <v>0</v>
      </c>
      <c r="H68" s="47">
        <f>+IFERROR(HLOOKUP(H33,'סקרי נכסים-יתרות פתיחה'!$2:$76,72,0),0)-IFERROR(HLOOKUP(H33,'סקרי נכסים-יתרות פתיחה'!$2:$90,87,0),0)</f>
        <v>0</v>
      </c>
      <c r="I68" s="47">
        <f>+IFERROR(HLOOKUP(I33,'סקרי נכסים-יתרות פתיחה'!$2:$76,72,0),0)-IFERROR(HLOOKUP(I33,'סקרי נכסים-יתרות פתיחה'!$2:$90,87,0),0)</f>
        <v>0</v>
      </c>
      <c r="J68" s="47">
        <f>+IFERROR(HLOOKUP(J33,'סקרי נכסים-יתרות פתיחה'!$2:$76,72,0),0)-IFERROR(HLOOKUP(J33,'סקרי נכסים-יתרות פתיחה'!$2:$90,87,0),0)</f>
        <v>0</v>
      </c>
      <c r="K68" s="47">
        <f>+IFERROR(HLOOKUP(K33,'סקרי נכסים-יתרות פתיחה'!$2:$76,72,0),0)-IFERROR(HLOOKUP(K33,'סקרי נכסים-יתרות פתיחה'!$2:$90,87,0),0)</f>
        <v>0</v>
      </c>
      <c r="L68" s="47">
        <f>+IFERROR(HLOOKUP(L33,'סקרי נכסים-יתרות פתיחה'!$2:$76,72,0),0)-IFERROR(HLOOKUP(L33,'סקרי נכסים-יתרות פתיחה'!$2:$90,87,0),0)</f>
        <v>0</v>
      </c>
      <c r="M68" s="47">
        <f>+IFERROR(HLOOKUP(M33,'סקרי נכסים-יתרות פתיחה'!$2:$76,72,0),0)-IFERROR(HLOOKUP(M33,'סקרי נכסים-יתרות פתיחה'!$2:$90,87,0),0)</f>
        <v>0</v>
      </c>
      <c r="N68" s="47">
        <f>+IFERROR(HLOOKUP(N33,'סקרי נכסים-יתרות פתיחה'!$2:$76,72,0),0)-IFERROR(HLOOKUP(N33,'סקרי נכסים-יתרות פתיחה'!$2:$90,87,0),0)</f>
        <v>0</v>
      </c>
      <c r="O68" s="47">
        <f>+IFERROR(HLOOKUP(O33,'סקרי נכסים-יתרות פתיחה'!$2:$76,72,0),0)-IFERROR(HLOOKUP(O33,'סקרי נכסים-יתרות פתיחה'!$2:$90,87,0),0)</f>
        <v>0</v>
      </c>
      <c r="P68" s="47">
        <f>+IFERROR(HLOOKUP(P33,'סקרי נכסים-יתרות פתיחה'!$2:$76,72,0),0)-IFERROR(HLOOKUP(P33,'סקרי נכסים-יתרות פתיחה'!$2:$90,87,0),0)</f>
        <v>0</v>
      </c>
      <c r="Q68" s="47">
        <f>+IFERROR(HLOOKUP(Q33,'סקרי נכסים-יתרות פתיחה'!$2:$76,72,0),0)-IFERROR(HLOOKUP(Q33,'סקרי נכסים-יתרות פתיחה'!$2:$90,87,0),0)</f>
        <v>0</v>
      </c>
      <c r="R68" s="47">
        <f>+IFERROR(HLOOKUP(R33,'סקרי נכסים-יתרות פתיחה'!$2:$76,72,0),0)-IFERROR(HLOOKUP(R33,'סקרי נכסים-יתרות פתיחה'!$2:$90,87,0),0)</f>
        <v>0</v>
      </c>
      <c r="S68" s="47">
        <f>+IFERROR(HLOOKUP(S33,'סקרי נכסים-יתרות פתיחה'!$2:$76,72,0),0)-IFERROR(HLOOKUP(S33,'סקרי נכסים-יתרות פתיחה'!$2:$90,87,0),0)</f>
        <v>0</v>
      </c>
      <c r="T68" s="47">
        <f>+IFERROR(HLOOKUP(T33,'סקרי נכסים-יתרות פתיחה'!$2:$76,72,0),0)-IFERROR(HLOOKUP(T33,'סקרי נכסים-יתרות פתיחה'!$2:$90,87,0),0)</f>
        <v>0</v>
      </c>
      <c r="U68" s="47">
        <f>+IFERROR(HLOOKUP(U33,'סקרי נכסים-יתרות פתיחה'!$2:$76,72,0),0)-IFERROR(HLOOKUP(U33,'סקרי נכסים-יתרות פתיחה'!$2:$90,87,0),0)</f>
        <v>0</v>
      </c>
      <c r="V68" s="47">
        <f>+IFERROR(HLOOKUP(V33,'סקרי נכסים-יתרות פתיחה'!$2:$76,72,0),0)-IFERROR(HLOOKUP(V33,'סקרי נכסים-יתרות פתיחה'!$2:$90,87,0),0)</f>
        <v>0</v>
      </c>
      <c r="W68" s="47">
        <f>+IFERROR(HLOOKUP(W33,'סקרי נכסים-יתרות פתיחה'!$2:$76,72,0),0)-IFERROR(HLOOKUP(W33,'סקרי נכסים-יתרות פתיחה'!$2:$90,87,0),0)</f>
        <v>0</v>
      </c>
      <c r="X68" s="47">
        <f>+IFERROR(HLOOKUP(X33,'סקרי נכסים-יתרות פתיחה'!$2:$76,72,0),0)-IFERROR(HLOOKUP(X33,'סקרי נכסים-יתרות פתיחה'!$2:$90,87,0),0)</f>
        <v>0</v>
      </c>
      <c r="Y68" s="47">
        <f>+IFERROR(HLOOKUP(Y33,'סקרי נכסים-יתרות פתיחה'!$2:$76,72,0),0)-IFERROR(HLOOKUP(Y33,'סקרי נכסים-יתרות פתיחה'!$2:$90,87,0),0)</f>
        <v>0</v>
      </c>
      <c r="Z68" s="47">
        <f>+IFERROR(HLOOKUP(Z33,'סקרי נכסים-יתרות פתיחה'!$2:$76,72,0),0)-IFERROR(HLOOKUP(Z33,'סקרי נכסים-יתרות פתיחה'!$2:$90,87,0),0)</f>
        <v>0</v>
      </c>
      <c r="AA68" s="47">
        <f>+IFERROR(HLOOKUP(AA33,'סקרי נכסים-יתרות פתיחה'!$2:$76,72,0),0)-IFERROR(HLOOKUP(AA33,'סקרי נכסים-יתרות פתיחה'!$2:$90,87,0),0)</f>
        <v>0</v>
      </c>
      <c r="AB68" s="47">
        <f>+IFERROR(HLOOKUP(AB33,'סקרי נכסים-יתרות פתיחה'!$2:$76,72,0),0)-IFERROR(HLOOKUP(AB33,'סקרי נכסים-יתרות פתיחה'!$2:$90,87,0),0)</f>
        <v>0</v>
      </c>
      <c r="AC68" s="47">
        <f>+IFERROR(HLOOKUP(AC33,'סקרי נכסים-יתרות פתיחה'!$2:$76,72,0),0)-IFERROR(HLOOKUP(AC33,'סקרי נכסים-יתרות פתיחה'!$2:$90,87,0),0)</f>
        <v>0</v>
      </c>
      <c r="AD68" s="47">
        <f>+IFERROR(HLOOKUP(AD33,'סקרי נכסים-יתרות פתיחה'!$2:$76,72,0),0)-IFERROR(HLOOKUP(AD33,'סקרי נכסים-יתרות פתיחה'!$2:$90,87,0),0)</f>
        <v>0</v>
      </c>
      <c r="AE68" s="47">
        <f>+IFERROR(HLOOKUP(AE33,'סקרי נכסים-יתרות פתיחה'!$2:$76,72,0),0)-IFERROR(HLOOKUP(AE33,'סקרי נכסים-יתרות פתיחה'!$2:$90,87,0),0)</f>
        <v>0</v>
      </c>
      <c r="AF68" s="47">
        <f>+IFERROR(HLOOKUP(AF33,'סקרי נכסים-יתרות פתיחה'!$2:$76,72,0),0)-IFERROR(HLOOKUP(AF33,'סקרי נכסים-יתרות פתיחה'!$2:$90,87,0),0)</f>
        <v>0</v>
      </c>
      <c r="AG68" s="47">
        <f>+IFERROR(HLOOKUP(AG33,'סקרי נכסים-יתרות פתיחה'!$2:$76,72,0),0)-IFERROR(HLOOKUP(AG33,'סקרי נכסים-יתרות פתיחה'!$2:$90,87,0),0)</f>
        <v>0</v>
      </c>
      <c r="AH68" s="47">
        <f>+IFERROR(HLOOKUP(AH33,'סקרי נכסים-יתרות פתיחה'!$2:$76,72,0),0)-IFERROR(HLOOKUP(AH33,'סקרי נכסים-יתרות פתיחה'!$2:$90,87,0),0)</f>
        <v>0</v>
      </c>
      <c r="AI68" s="47">
        <f>+IFERROR(HLOOKUP(AI33,'סקרי נכסים-יתרות פתיחה'!$2:$76,72,0),0)-IFERROR(HLOOKUP(AI33,'סקרי נכסים-יתרות פתיחה'!$2:$90,87,0),0)</f>
        <v>0</v>
      </c>
      <c r="AJ68" s="47">
        <f>+IFERROR(HLOOKUP(AJ33,'סקרי נכסים-יתרות פתיחה'!$2:$76,72,0),0)-IFERROR(HLOOKUP(AJ33,'סקרי נכסים-יתרות פתיחה'!$2:$90,87,0),0)</f>
        <v>0</v>
      </c>
      <c r="AK68" s="47">
        <f>+IFERROR(HLOOKUP(AK33,'סקרי נכסים-יתרות פתיחה'!$2:$76,72,0),0)-IFERROR(HLOOKUP(AK33,'סקרי נכסים-יתרות פתיחה'!$2:$90,87,0),0)</f>
        <v>0</v>
      </c>
      <c r="AL68" s="47">
        <f>+IFERROR(HLOOKUP(AL33,'סקרי נכסים-יתרות פתיחה'!$2:$76,72,0),0)-IFERROR(HLOOKUP(AL33,'סקרי נכסים-יתרות פתיחה'!$2:$90,87,0),0)</f>
        <v>0</v>
      </c>
      <c r="AM68" s="47">
        <f>+IFERROR(HLOOKUP(AM33,'סקרי נכסים-יתרות פתיחה'!$2:$76,72,0),0)-IFERROR(HLOOKUP(AM33,'סקרי נכסים-יתרות פתיחה'!$2:$90,87,0),0)</f>
        <v>0</v>
      </c>
      <c r="AN68" s="47">
        <f>+IFERROR(HLOOKUP(AN33,'סקרי נכסים-יתרות פתיחה'!$2:$76,72,0),0)-IFERROR(HLOOKUP(AN33,'סקרי נכסים-יתרות פתיחה'!$2:$90,87,0),0)</f>
        <v>0</v>
      </c>
      <c r="AO68" s="47">
        <f>+IFERROR(HLOOKUP(AO33,'סקרי נכסים-יתרות פתיחה'!$2:$76,72,0),0)-IFERROR(HLOOKUP(AO33,'סקרי נכסים-יתרות פתיחה'!$2:$90,87,0),0)</f>
        <v>0</v>
      </c>
      <c r="AP68" s="47">
        <f>+IFERROR(HLOOKUP(AP33,'סקרי נכסים-יתרות פתיחה'!$2:$76,72,0),0)-IFERROR(HLOOKUP(AP33,'סקרי נכסים-יתרות פתיחה'!$2:$90,87,0),0)</f>
        <v>0</v>
      </c>
      <c r="AQ68" s="47">
        <f>+IFERROR(HLOOKUP(AQ33,'סקרי נכסים-יתרות פתיחה'!$2:$76,72,0),0)-IFERROR(HLOOKUP(AQ33,'סקרי נכסים-יתרות פתיחה'!$2:$90,87,0),0)</f>
        <v>0</v>
      </c>
      <c r="AR68" s="47">
        <f>+IFERROR(HLOOKUP(AR33,'סקרי נכסים-יתרות פתיחה'!$2:$76,72,0),0)-IFERROR(HLOOKUP(AR33,'סקרי נכסים-יתרות פתיחה'!$2:$90,87,0),0)</f>
        <v>0</v>
      </c>
      <c r="AS68" s="47">
        <f>+IFERROR(HLOOKUP(AS33,'סקרי נכסים-יתרות פתיחה'!$2:$76,72,0),0)-IFERROR(HLOOKUP(AS33,'סקרי נכסים-יתרות פתיחה'!$2:$90,87,0),0)</f>
        <v>0</v>
      </c>
      <c r="AT68" s="47">
        <f>+IFERROR(HLOOKUP(AT33,'סקרי נכסים-יתרות פתיחה'!$2:$76,72,0),0)-IFERROR(HLOOKUP(AT33,'סקרי נכסים-יתרות פתיחה'!$2:$90,87,0),0)</f>
        <v>0</v>
      </c>
      <c r="AU68" s="47">
        <f>+IFERROR(HLOOKUP(AU33,'סקרי נכסים-יתרות פתיחה'!$2:$76,72,0),0)-IFERROR(HLOOKUP(AU33,'סקרי נכסים-יתרות פתיחה'!$2:$90,87,0),0)</f>
        <v>0</v>
      </c>
      <c r="AV68" s="47">
        <f>+IFERROR(HLOOKUP(AV33,'סקרי נכסים-יתרות פתיחה'!$2:$76,72,0),0)-IFERROR(HLOOKUP(AV33,'סקרי נכסים-יתרות פתיחה'!$2:$90,87,0),0)</f>
        <v>0</v>
      </c>
      <c r="AW68" s="47">
        <f>+IFERROR(HLOOKUP(AW33,'סקרי נכסים-יתרות פתיחה'!$2:$76,72,0),0)-IFERROR(HLOOKUP(AW33,'סקרי נכסים-יתרות פתיחה'!$2:$90,87,0),0)</f>
        <v>0</v>
      </c>
      <c r="AX68" s="47">
        <f>+IFERROR(HLOOKUP(AX33,'סקרי נכסים-יתרות פתיחה'!$2:$76,72,0),0)-IFERROR(HLOOKUP(AX33,'סקרי נכסים-יתרות פתיחה'!$2:$90,87,0),0)</f>
        <v>0</v>
      </c>
      <c r="AY68" s="47">
        <f>+IFERROR(HLOOKUP(AY33,'סקרי נכסים-יתרות פתיחה'!$2:$76,72,0),0)-IFERROR(HLOOKUP(AY33,'סקרי נכסים-יתרות פתיחה'!$2:$90,87,0),0)</f>
        <v>0</v>
      </c>
      <c r="AZ68" s="47">
        <f>+IFERROR(HLOOKUP(AZ33,'סקרי נכסים-יתרות פתיחה'!$2:$76,72,0),0)-IFERROR(HLOOKUP(AZ33,'סקרי נכסים-יתרות פתיחה'!$2:$90,87,0),0)</f>
        <v>0</v>
      </c>
      <c r="BA68" s="47">
        <f>+IFERROR(HLOOKUP(BA33,'סקרי נכסים-יתרות פתיחה'!$2:$76,72,0),0)-IFERROR(HLOOKUP(BA33,'סקרי נכסים-יתרות פתיחה'!$2:$90,87,0),0)</f>
        <v>0</v>
      </c>
      <c r="BB68" s="47">
        <f>+IFERROR(HLOOKUP(BB33,'סקרי נכסים-יתרות פתיחה'!$2:$76,72,0),0)-IFERROR(HLOOKUP(BB33,'סקרי נכסים-יתרות פתיחה'!$2:$90,87,0),0)</f>
        <v>0</v>
      </c>
      <c r="BC68" s="47">
        <f>+IFERROR(HLOOKUP(BC33,'סקרי נכסים-יתרות פתיחה'!$2:$76,72,0),0)-IFERROR(HLOOKUP(BC33,'סקרי נכסים-יתרות פתיחה'!$2:$90,87,0),0)</f>
        <v>0</v>
      </c>
      <c r="BD68" s="47">
        <f>+IFERROR(HLOOKUP(BD33,'סקרי נכסים-יתרות פתיחה'!$2:$76,72,0),0)-IFERROR(HLOOKUP(BD33,'סקרי נכסים-יתרות פתיחה'!$2:$90,87,0),0)</f>
        <v>0</v>
      </c>
      <c r="BE68" s="47">
        <f>+IFERROR(HLOOKUP(BE33,'סקרי נכסים-יתרות פתיחה'!$2:$76,72,0),0)-IFERROR(HLOOKUP(BE33,'סקרי נכסים-יתרות פתיחה'!$2:$90,87,0),0)</f>
        <v>0</v>
      </c>
      <c r="BF68" s="47">
        <f>+IFERROR(HLOOKUP(BF33,'סקרי נכסים-יתרות פתיחה'!$2:$76,72,0),0)-IFERROR(HLOOKUP(BF33,'סקרי נכסים-יתרות פתיחה'!$2:$90,87,0),0)</f>
        <v>0</v>
      </c>
    </row>
    <row r="69" spans="1:58" x14ac:dyDescent="0.2">
      <c r="B69" s="1">
        <v>27</v>
      </c>
      <c r="C69" s="47">
        <f>+IFERROR(HLOOKUP(C34,'סקרי נכסים-יתרות פתיחה'!$2:$76,72,0),0)-IFERROR(HLOOKUP(C34,'סקרי נכסים-יתרות פתיחה'!$2:$90,87,0),0)</f>
        <v>0</v>
      </c>
      <c r="D69" s="47">
        <f>+IFERROR(HLOOKUP(D34,'סקרי נכסים-יתרות פתיחה'!$2:$76,72,0),0)-IFERROR(HLOOKUP(D34,'סקרי נכסים-יתרות פתיחה'!$2:$90,87,0),0)</f>
        <v>0</v>
      </c>
      <c r="E69" s="47">
        <f>+IFERROR(HLOOKUP(E34,'סקרי נכסים-יתרות פתיחה'!$2:$76,72,0),0)-IFERROR(HLOOKUP(E34,'סקרי נכסים-יתרות פתיחה'!$2:$90,87,0),0)</f>
        <v>0</v>
      </c>
      <c r="F69" s="47">
        <f>+IFERROR(HLOOKUP(F34,'סקרי נכסים-יתרות פתיחה'!$2:$76,72,0),0)-IFERROR(HLOOKUP(F34,'סקרי נכסים-יתרות פתיחה'!$2:$90,87,0),0)</f>
        <v>0</v>
      </c>
      <c r="G69" s="47">
        <f>+IFERROR(HLOOKUP(G34,'סקרי נכסים-יתרות פתיחה'!$2:$76,72,0),0)-IFERROR(HLOOKUP(G34,'סקרי נכסים-יתרות פתיחה'!$2:$90,87,0),0)</f>
        <v>0</v>
      </c>
      <c r="H69" s="47">
        <f>+IFERROR(HLOOKUP(H34,'סקרי נכסים-יתרות פתיחה'!$2:$76,72,0),0)-IFERROR(HLOOKUP(H34,'סקרי נכסים-יתרות פתיחה'!$2:$90,87,0),0)</f>
        <v>0</v>
      </c>
      <c r="I69" s="47">
        <f>+IFERROR(HLOOKUP(I34,'סקרי נכסים-יתרות פתיחה'!$2:$76,72,0),0)-IFERROR(HLOOKUP(I34,'סקרי נכסים-יתרות פתיחה'!$2:$90,87,0),0)</f>
        <v>0</v>
      </c>
      <c r="J69" s="47">
        <f>+IFERROR(HLOOKUP(J34,'סקרי נכסים-יתרות פתיחה'!$2:$76,72,0),0)-IFERROR(HLOOKUP(J34,'סקרי נכסים-יתרות פתיחה'!$2:$90,87,0),0)</f>
        <v>0</v>
      </c>
      <c r="K69" s="47">
        <f>+IFERROR(HLOOKUP(K34,'סקרי נכסים-יתרות פתיחה'!$2:$76,72,0),0)-IFERROR(HLOOKUP(K34,'סקרי נכסים-יתרות פתיחה'!$2:$90,87,0),0)</f>
        <v>0</v>
      </c>
      <c r="L69" s="47">
        <f>+IFERROR(HLOOKUP(L34,'סקרי נכסים-יתרות פתיחה'!$2:$76,72,0),0)-IFERROR(HLOOKUP(L34,'סקרי נכסים-יתרות פתיחה'!$2:$90,87,0),0)</f>
        <v>0</v>
      </c>
      <c r="M69" s="47">
        <f>+IFERROR(HLOOKUP(M34,'סקרי נכסים-יתרות פתיחה'!$2:$76,72,0),0)-IFERROR(HLOOKUP(M34,'סקרי נכסים-יתרות פתיחה'!$2:$90,87,0),0)</f>
        <v>0</v>
      </c>
      <c r="N69" s="47">
        <f>+IFERROR(HLOOKUP(N34,'סקרי נכסים-יתרות פתיחה'!$2:$76,72,0),0)-IFERROR(HLOOKUP(N34,'סקרי נכסים-יתרות פתיחה'!$2:$90,87,0),0)</f>
        <v>0</v>
      </c>
      <c r="O69" s="47">
        <f>+IFERROR(HLOOKUP(O34,'סקרי נכסים-יתרות פתיחה'!$2:$76,72,0),0)-IFERROR(HLOOKUP(O34,'סקרי נכסים-יתרות פתיחה'!$2:$90,87,0),0)</f>
        <v>0</v>
      </c>
      <c r="P69" s="47">
        <f>+IFERROR(HLOOKUP(P34,'סקרי נכסים-יתרות פתיחה'!$2:$76,72,0),0)-IFERROR(HLOOKUP(P34,'סקרי נכסים-יתרות פתיחה'!$2:$90,87,0),0)</f>
        <v>0</v>
      </c>
      <c r="Q69" s="47">
        <f>+IFERROR(HLOOKUP(Q34,'סקרי נכסים-יתרות פתיחה'!$2:$76,72,0),0)-IFERROR(HLOOKUP(Q34,'סקרי נכסים-יתרות פתיחה'!$2:$90,87,0),0)</f>
        <v>0</v>
      </c>
      <c r="R69" s="47">
        <f>+IFERROR(HLOOKUP(R34,'סקרי נכסים-יתרות פתיחה'!$2:$76,72,0),0)-IFERROR(HLOOKUP(R34,'סקרי נכסים-יתרות פתיחה'!$2:$90,87,0),0)</f>
        <v>0</v>
      </c>
      <c r="S69" s="47">
        <f>+IFERROR(HLOOKUP(S34,'סקרי נכסים-יתרות פתיחה'!$2:$76,72,0),0)-IFERROR(HLOOKUP(S34,'סקרי נכסים-יתרות פתיחה'!$2:$90,87,0),0)</f>
        <v>0</v>
      </c>
      <c r="T69" s="47">
        <f>+IFERROR(HLOOKUP(T34,'סקרי נכסים-יתרות פתיחה'!$2:$76,72,0),0)-IFERROR(HLOOKUP(T34,'סקרי נכסים-יתרות פתיחה'!$2:$90,87,0),0)</f>
        <v>0</v>
      </c>
      <c r="U69" s="47">
        <f>+IFERROR(HLOOKUP(U34,'סקרי נכסים-יתרות פתיחה'!$2:$76,72,0),0)-IFERROR(HLOOKUP(U34,'סקרי נכסים-יתרות פתיחה'!$2:$90,87,0),0)</f>
        <v>0</v>
      </c>
      <c r="V69" s="47">
        <f>+IFERROR(HLOOKUP(V34,'סקרי נכסים-יתרות פתיחה'!$2:$76,72,0),0)-IFERROR(HLOOKUP(V34,'סקרי נכסים-יתרות פתיחה'!$2:$90,87,0),0)</f>
        <v>0</v>
      </c>
      <c r="W69" s="47">
        <f>+IFERROR(HLOOKUP(W34,'סקרי נכסים-יתרות פתיחה'!$2:$76,72,0),0)-IFERROR(HLOOKUP(W34,'סקרי נכסים-יתרות פתיחה'!$2:$90,87,0),0)</f>
        <v>0</v>
      </c>
      <c r="X69" s="47">
        <f>+IFERROR(HLOOKUP(X34,'סקרי נכסים-יתרות פתיחה'!$2:$76,72,0),0)-IFERROR(HLOOKUP(X34,'סקרי נכסים-יתרות פתיחה'!$2:$90,87,0),0)</f>
        <v>0</v>
      </c>
      <c r="Y69" s="47">
        <f>+IFERROR(HLOOKUP(Y34,'סקרי נכסים-יתרות פתיחה'!$2:$76,72,0),0)-IFERROR(HLOOKUP(Y34,'סקרי נכסים-יתרות פתיחה'!$2:$90,87,0),0)</f>
        <v>0</v>
      </c>
      <c r="Z69" s="47">
        <f>+IFERROR(HLOOKUP(Z34,'סקרי נכסים-יתרות פתיחה'!$2:$76,72,0),0)-IFERROR(HLOOKUP(Z34,'סקרי נכסים-יתרות פתיחה'!$2:$90,87,0),0)</f>
        <v>0</v>
      </c>
      <c r="AA69" s="47">
        <f>+IFERROR(HLOOKUP(AA34,'סקרי נכסים-יתרות פתיחה'!$2:$76,72,0),0)-IFERROR(HLOOKUP(AA34,'סקרי נכסים-יתרות פתיחה'!$2:$90,87,0),0)</f>
        <v>0</v>
      </c>
      <c r="AB69" s="47">
        <f>+IFERROR(HLOOKUP(AB34,'סקרי נכסים-יתרות פתיחה'!$2:$76,72,0),0)-IFERROR(HLOOKUP(AB34,'סקרי נכסים-יתרות פתיחה'!$2:$90,87,0),0)</f>
        <v>0</v>
      </c>
      <c r="AC69" s="47">
        <f>+IFERROR(HLOOKUP(AC34,'סקרי נכסים-יתרות פתיחה'!$2:$76,72,0),0)-IFERROR(HLOOKUP(AC34,'סקרי נכסים-יתרות פתיחה'!$2:$90,87,0),0)</f>
        <v>0</v>
      </c>
      <c r="AD69" s="47">
        <f>+IFERROR(HLOOKUP(AD34,'סקרי נכסים-יתרות פתיחה'!$2:$76,72,0),0)-IFERROR(HLOOKUP(AD34,'סקרי נכסים-יתרות פתיחה'!$2:$90,87,0),0)</f>
        <v>0</v>
      </c>
      <c r="AE69" s="47">
        <f>+IFERROR(HLOOKUP(AE34,'סקרי נכסים-יתרות פתיחה'!$2:$76,72,0),0)-IFERROR(HLOOKUP(AE34,'סקרי נכסים-יתרות פתיחה'!$2:$90,87,0),0)</f>
        <v>0</v>
      </c>
      <c r="AF69" s="47">
        <f>+IFERROR(HLOOKUP(AF34,'סקרי נכסים-יתרות פתיחה'!$2:$76,72,0),0)-IFERROR(HLOOKUP(AF34,'סקרי נכסים-יתרות פתיחה'!$2:$90,87,0),0)</f>
        <v>0</v>
      </c>
      <c r="AG69" s="47">
        <f>+IFERROR(HLOOKUP(AG34,'סקרי נכסים-יתרות פתיחה'!$2:$76,72,0),0)-IFERROR(HLOOKUP(AG34,'סקרי נכסים-יתרות פתיחה'!$2:$90,87,0),0)</f>
        <v>0</v>
      </c>
      <c r="AH69" s="47">
        <f>+IFERROR(HLOOKUP(AH34,'סקרי נכסים-יתרות פתיחה'!$2:$76,72,0),0)-IFERROR(HLOOKUP(AH34,'סקרי נכסים-יתרות פתיחה'!$2:$90,87,0),0)</f>
        <v>0</v>
      </c>
      <c r="AI69" s="47">
        <f>+IFERROR(HLOOKUP(AI34,'סקרי נכסים-יתרות פתיחה'!$2:$76,72,0),0)-IFERROR(HLOOKUP(AI34,'סקרי נכסים-יתרות פתיחה'!$2:$90,87,0),0)</f>
        <v>0</v>
      </c>
      <c r="AJ69" s="47">
        <f>+IFERROR(HLOOKUP(AJ34,'סקרי נכסים-יתרות פתיחה'!$2:$76,72,0),0)-IFERROR(HLOOKUP(AJ34,'סקרי נכסים-יתרות פתיחה'!$2:$90,87,0),0)</f>
        <v>0</v>
      </c>
      <c r="AK69" s="47">
        <f>+IFERROR(HLOOKUP(AK34,'סקרי נכסים-יתרות פתיחה'!$2:$76,72,0),0)-IFERROR(HLOOKUP(AK34,'סקרי נכסים-יתרות פתיחה'!$2:$90,87,0),0)</f>
        <v>0</v>
      </c>
      <c r="AL69" s="47">
        <f>+IFERROR(HLOOKUP(AL34,'סקרי נכסים-יתרות פתיחה'!$2:$76,72,0),0)-IFERROR(HLOOKUP(AL34,'סקרי נכסים-יתרות פתיחה'!$2:$90,87,0),0)</f>
        <v>0</v>
      </c>
      <c r="AM69" s="47">
        <f>+IFERROR(HLOOKUP(AM34,'סקרי נכסים-יתרות פתיחה'!$2:$76,72,0),0)-IFERROR(HLOOKUP(AM34,'סקרי נכסים-יתרות פתיחה'!$2:$90,87,0),0)</f>
        <v>0</v>
      </c>
      <c r="AN69" s="47">
        <f>+IFERROR(HLOOKUP(AN34,'סקרי נכסים-יתרות פתיחה'!$2:$76,72,0),0)-IFERROR(HLOOKUP(AN34,'סקרי נכסים-יתרות פתיחה'!$2:$90,87,0),0)</f>
        <v>0</v>
      </c>
      <c r="AO69" s="47">
        <f>+IFERROR(HLOOKUP(AO34,'סקרי נכסים-יתרות פתיחה'!$2:$76,72,0),0)-IFERROR(HLOOKUP(AO34,'סקרי נכסים-יתרות פתיחה'!$2:$90,87,0),0)</f>
        <v>0</v>
      </c>
      <c r="AP69" s="47">
        <f>+IFERROR(HLOOKUP(AP34,'סקרי נכסים-יתרות פתיחה'!$2:$76,72,0),0)-IFERROR(HLOOKUP(AP34,'סקרי נכסים-יתרות פתיחה'!$2:$90,87,0),0)</f>
        <v>0</v>
      </c>
      <c r="AQ69" s="47">
        <f>+IFERROR(HLOOKUP(AQ34,'סקרי נכסים-יתרות פתיחה'!$2:$76,72,0),0)-IFERROR(HLOOKUP(AQ34,'סקרי נכסים-יתרות פתיחה'!$2:$90,87,0),0)</f>
        <v>0</v>
      </c>
      <c r="AR69" s="47">
        <f>+IFERROR(HLOOKUP(AR34,'סקרי נכסים-יתרות פתיחה'!$2:$76,72,0),0)-IFERROR(HLOOKUP(AR34,'סקרי נכסים-יתרות פתיחה'!$2:$90,87,0),0)</f>
        <v>0</v>
      </c>
      <c r="AS69" s="47">
        <f>+IFERROR(HLOOKUP(AS34,'סקרי נכסים-יתרות פתיחה'!$2:$76,72,0),0)-IFERROR(HLOOKUP(AS34,'סקרי נכסים-יתרות פתיחה'!$2:$90,87,0),0)</f>
        <v>0</v>
      </c>
      <c r="AT69" s="47">
        <f>+IFERROR(HLOOKUP(AT34,'סקרי נכסים-יתרות פתיחה'!$2:$76,72,0),0)-IFERROR(HLOOKUP(AT34,'סקרי נכסים-יתרות פתיחה'!$2:$90,87,0),0)</f>
        <v>0</v>
      </c>
      <c r="AU69" s="47">
        <f>+IFERROR(HLOOKUP(AU34,'סקרי נכסים-יתרות פתיחה'!$2:$76,72,0),0)-IFERROR(HLOOKUP(AU34,'סקרי נכסים-יתרות פתיחה'!$2:$90,87,0),0)</f>
        <v>0</v>
      </c>
      <c r="AV69" s="47">
        <f>+IFERROR(HLOOKUP(AV34,'סקרי נכסים-יתרות פתיחה'!$2:$76,72,0),0)-IFERROR(HLOOKUP(AV34,'סקרי נכסים-יתרות פתיחה'!$2:$90,87,0),0)</f>
        <v>0</v>
      </c>
      <c r="AW69" s="47">
        <f>+IFERROR(HLOOKUP(AW34,'סקרי נכסים-יתרות פתיחה'!$2:$76,72,0),0)-IFERROR(HLOOKUP(AW34,'סקרי נכסים-יתרות פתיחה'!$2:$90,87,0),0)</f>
        <v>0</v>
      </c>
      <c r="AX69" s="47">
        <f>+IFERROR(HLOOKUP(AX34,'סקרי נכסים-יתרות פתיחה'!$2:$76,72,0),0)-IFERROR(HLOOKUP(AX34,'סקרי נכסים-יתרות פתיחה'!$2:$90,87,0),0)</f>
        <v>0</v>
      </c>
      <c r="AY69" s="47">
        <f>+IFERROR(HLOOKUP(AY34,'סקרי נכסים-יתרות פתיחה'!$2:$76,72,0),0)-IFERROR(HLOOKUP(AY34,'סקרי נכסים-יתרות פתיחה'!$2:$90,87,0),0)</f>
        <v>0</v>
      </c>
      <c r="AZ69" s="47">
        <f>+IFERROR(HLOOKUP(AZ34,'סקרי נכסים-יתרות פתיחה'!$2:$76,72,0),0)-IFERROR(HLOOKUP(AZ34,'סקרי נכסים-יתרות פתיחה'!$2:$90,87,0),0)</f>
        <v>0</v>
      </c>
      <c r="BA69" s="47">
        <f>+IFERROR(HLOOKUP(BA34,'סקרי נכסים-יתרות פתיחה'!$2:$76,72,0),0)-IFERROR(HLOOKUP(BA34,'סקרי נכסים-יתרות פתיחה'!$2:$90,87,0),0)</f>
        <v>0</v>
      </c>
      <c r="BB69" s="47">
        <f>+IFERROR(HLOOKUP(BB34,'סקרי נכסים-יתרות פתיחה'!$2:$76,72,0),0)-IFERROR(HLOOKUP(BB34,'סקרי נכסים-יתרות פתיחה'!$2:$90,87,0),0)</f>
        <v>0</v>
      </c>
      <c r="BC69" s="47">
        <f>+IFERROR(HLOOKUP(BC34,'סקרי נכסים-יתרות פתיחה'!$2:$76,72,0),0)-IFERROR(HLOOKUP(BC34,'סקרי נכסים-יתרות פתיחה'!$2:$90,87,0),0)</f>
        <v>0</v>
      </c>
      <c r="BD69" s="47">
        <f>+IFERROR(HLOOKUP(BD34,'סקרי נכסים-יתרות פתיחה'!$2:$76,72,0),0)-IFERROR(HLOOKUP(BD34,'סקרי נכסים-יתרות פתיחה'!$2:$90,87,0),0)</f>
        <v>0</v>
      </c>
      <c r="BE69" s="47">
        <f>+IFERROR(HLOOKUP(BE34,'סקרי נכסים-יתרות פתיחה'!$2:$76,72,0),0)-IFERROR(HLOOKUP(BE34,'סקרי נכסים-יתרות פתיחה'!$2:$90,87,0),0)</f>
        <v>0</v>
      </c>
      <c r="BF69" s="47">
        <f>+IFERROR(HLOOKUP(BF34,'סקרי נכסים-יתרות פתיחה'!$2:$76,72,0),0)-IFERROR(HLOOKUP(BF34,'סקרי נכסים-יתרות פתיחה'!$2:$90,87,0),0)</f>
        <v>0</v>
      </c>
    </row>
    <row r="70" spans="1:58" x14ac:dyDescent="0.2">
      <c r="B70" s="1">
        <v>28</v>
      </c>
      <c r="C70" s="47">
        <f>+IFERROR(HLOOKUP(C35,'סקרי נכסים-יתרות פתיחה'!$2:$76,72,0),0)-IFERROR(HLOOKUP(C35,'סקרי נכסים-יתרות פתיחה'!$2:$90,87,0),0)</f>
        <v>0</v>
      </c>
      <c r="D70" s="47">
        <f>+IFERROR(HLOOKUP(D35,'סקרי נכסים-יתרות פתיחה'!$2:$76,72,0),0)-IFERROR(HLOOKUP(D35,'סקרי נכסים-יתרות פתיחה'!$2:$90,87,0),0)</f>
        <v>0</v>
      </c>
      <c r="E70" s="47">
        <f>+IFERROR(HLOOKUP(E35,'סקרי נכסים-יתרות פתיחה'!$2:$76,72,0),0)-IFERROR(HLOOKUP(E35,'סקרי נכסים-יתרות פתיחה'!$2:$90,87,0),0)</f>
        <v>0</v>
      </c>
      <c r="F70" s="47">
        <f>+IFERROR(HLOOKUP(F35,'סקרי נכסים-יתרות פתיחה'!$2:$76,72,0),0)-IFERROR(HLOOKUP(F35,'סקרי נכסים-יתרות פתיחה'!$2:$90,87,0),0)</f>
        <v>0</v>
      </c>
      <c r="G70" s="47">
        <f>+IFERROR(HLOOKUP(G35,'סקרי נכסים-יתרות פתיחה'!$2:$76,72,0),0)-IFERROR(HLOOKUP(G35,'סקרי נכסים-יתרות פתיחה'!$2:$90,87,0),0)</f>
        <v>0</v>
      </c>
      <c r="H70" s="47">
        <f>+IFERROR(HLOOKUP(H35,'סקרי נכסים-יתרות פתיחה'!$2:$76,72,0),0)-IFERROR(HLOOKUP(H35,'סקרי נכסים-יתרות פתיחה'!$2:$90,87,0),0)</f>
        <v>0</v>
      </c>
      <c r="I70" s="47">
        <f>+IFERROR(HLOOKUP(I35,'סקרי נכסים-יתרות פתיחה'!$2:$76,72,0),0)-IFERROR(HLOOKUP(I35,'סקרי נכסים-יתרות פתיחה'!$2:$90,87,0),0)</f>
        <v>0</v>
      </c>
      <c r="J70" s="47">
        <f>+IFERROR(HLOOKUP(J35,'סקרי נכסים-יתרות פתיחה'!$2:$76,72,0),0)-IFERROR(HLOOKUP(J35,'סקרי נכסים-יתרות פתיחה'!$2:$90,87,0),0)</f>
        <v>0</v>
      </c>
      <c r="K70" s="47">
        <f>+IFERROR(HLOOKUP(K35,'סקרי נכסים-יתרות פתיחה'!$2:$76,72,0),0)-IFERROR(HLOOKUP(K35,'סקרי נכסים-יתרות פתיחה'!$2:$90,87,0),0)</f>
        <v>0</v>
      </c>
      <c r="L70" s="47">
        <f>+IFERROR(HLOOKUP(L35,'סקרי נכסים-יתרות פתיחה'!$2:$76,72,0),0)-IFERROR(HLOOKUP(L35,'סקרי נכסים-יתרות פתיחה'!$2:$90,87,0),0)</f>
        <v>0</v>
      </c>
      <c r="M70" s="47">
        <f>+IFERROR(HLOOKUP(M35,'סקרי נכסים-יתרות פתיחה'!$2:$76,72,0),0)-IFERROR(HLOOKUP(M35,'סקרי נכסים-יתרות פתיחה'!$2:$90,87,0),0)</f>
        <v>0</v>
      </c>
      <c r="N70" s="47">
        <f>+IFERROR(HLOOKUP(N35,'סקרי נכסים-יתרות פתיחה'!$2:$76,72,0),0)-IFERROR(HLOOKUP(N35,'סקרי נכסים-יתרות פתיחה'!$2:$90,87,0),0)</f>
        <v>0</v>
      </c>
      <c r="O70" s="47">
        <f>+IFERROR(HLOOKUP(O35,'סקרי נכסים-יתרות פתיחה'!$2:$76,72,0),0)-IFERROR(HLOOKUP(O35,'סקרי נכסים-יתרות פתיחה'!$2:$90,87,0),0)</f>
        <v>0</v>
      </c>
      <c r="P70" s="47">
        <f>+IFERROR(HLOOKUP(P35,'סקרי נכסים-יתרות פתיחה'!$2:$76,72,0),0)-IFERROR(HLOOKUP(P35,'סקרי נכסים-יתרות פתיחה'!$2:$90,87,0),0)</f>
        <v>0</v>
      </c>
      <c r="Q70" s="47">
        <f>+IFERROR(HLOOKUP(Q35,'סקרי נכסים-יתרות פתיחה'!$2:$76,72,0),0)-IFERROR(HLOOKUP(Q35,'סקרי נכסים-יתרות פתיחה'!$2:$90,87,0),0)</f>
        <v>0</v>
      </c>
      <c r="R70" s="47">
        <f>+IFERROR(HLOOKUP(R35,'סקרי נכסים-יתרות פתיחה'!$2:$76,72,0),0)-IFERROR(HLOOKUP(R35,'סקרי נכסים-יתרות פתיחה'!$2:$90,87,0),0)</f>
        <v>0</v>
      </c>
      <c r="S70" s="47">
        <f>+IFERROR(HLOOKUP(S35,'סקרי נכסים-יתרות פתיחה'!$2:$76,72,0),0)-IFERROR(HLOOKUP(S35,'סקרי נכסים-יתרות פתיחה'!$2:$90,87,0),0)</f>
        <v>0</v>
      </c>
      <c r="T70" s="47">
        <f>+IFERROR(HLOOKUP(T35,'סקרי נכסים-יתרות פתיחה'!$2:$76,72,0),0)-IFERROR(HLOOKUP(T35,'סקרי נכסים-יתרות פתיחה'!$2:$90,87,0),0)</f>
        <v>0</v>
      </c>
      <c r="U70" s="47">
        <f>+IFERROR(HLOOKUP(U35,'סקרי נכסים-יתרות פתיחה'!$2:$76,72,0),0)-IFERROR(HLOOKUP(U35,'סקרי נכסים-יתרות פתיחה'!$2:$90,87,0),0)</f>
        <v>0</v>
      </c>
      <c r="V70" s="47">
        <f>+IFERROR(HLOOKUP(V35,'סקרי נכסים-יתרות פתיחה'!$2:$76,72,0),0)-IFERROR(HLOOKUP(V35,'סקרי נכסים-יתרות פתיחה'!$2:$90,87,0),0)</f>
        <v>0</v>
      </c>
      <c r="W70" s="47">
        <f>+IFERROR(HLOOKUP(W35,'סקרי נכסים-יתרות פתיחה'!$2:$76,72,0),0)-IFERROR(HLOOKUP(W35,'סקרי נכסים-יתרות פתיחה'!$2:$90,87,0),0)</f>
        <v>0</v>
      </c>
      <c r="X70" s="47">
        <f>+IFERROR(HLOOKUP(X35,'סקרי נכסים-יתרות פתיחה'!$2:$76,72,0),0)-IFERROR(HLOOKUP(X35,'סקרי נכסים-יתרות פתיחה'!$2:$90,87,0),0)</f>
        <v>0</v>
      </c>
      <c r="Y70" s="47">
        <f>+IFERROR(HLOOKUP(Y35,'סקרי נכסים-יתרות פתיחה'!$2:$76,72,0),0)-IFERROR(HLOOKUP(Y35,'סקרי נכסים-יתרות פתיחה'!$2:$90,87,0),0)</f>
        <v>0</v>
      </c>
      <c r="Z70" s="47">
        <f>+IFERROR(HLOOKUP(Z35,'סקרי נכסים-יתרות פתיחה'!$2:$76,72,0),0)-IFERROR(HLOOKUP(Z35,'סקרי נכסים-יתרות פתיחה'!$2:$90,87,0),0)</f>
        <v>0</v>
      </c>
      <c r="AA70" s="47">
        <f>+IFERROR(HLOOKUP(AA35,'סקרי נכסים-יתרות פתיחה'!$2:$76,72,0),0)-IFERROR(HLOOKUP(AA35,'סקרי נכסים-יתרות פתיחה'!$2:$90,87,0),0)</f>
        <v>0</v>
      </c>
      <c r="AB70" s="47">
        <f>+IFERROR(HLOOKUP(AB35,'סקרי נכסים-יתרות פתיחה'!$2:$76,72,0),0)-IFERROR(HLOOKUP(AB35,'סקרי נכסים-יתרות פתיחה'!$2:$90,87,0),0)</f>
        <v>0</v>
      </c>
      <c r="AC70" s="47">
        <f>+IFERROR(HLOOKUP(AC35,'סקרי נכסים-יתרות פתיחה'!$2:$76,72,0),0)-IFERROR(HLOOKUP(AC35,'סקרי נכסים-יתרות פתיחה'!$2:$90,87,0),0)</f>
        <v>0</v>
      </c>
      <c r="AD70" s="47">
        <f>+IFERROR(HLOOKUP(AD35,'סקרי נכסים-יתרות פתיחה'!$2:$76,72,0),0)-IFERROR(HLOOKUP(AD35,'סקרי נכסים-יתרות פתיחה'!$2:$90,87,0),0)</f>
        <v>0</v>
      </c>
      <c r="AE70" s="47">
        <f>+IFERROR(HLOOKUP(AE35,'סקרי נכסים-יתרות פתיחה'!$2:$76,72,0),0)-IFERROR(HLOOKUP(AE35,'סקרי נכסים-יתרות פתיחה'!$2:$90,87,0),0)</f>
        <v>0</v>
      </c>
      <c r="AF70" s="47">
        <f>+IFERROR(HLOOKUP(AF35,'סקרי נכסים-יתרות פתיחה'!$2:$76,72,0),0)-IFERROR(HLOOKUP(AF35,'סקרי נכסים-יתרות פתיחה'!$2:$90,87,0),0)</f>
        <v>0</v>
      </c>
      <c r="AG70" s="47">
        <f>+IFERROR(HLOOKUP(AG35,'סקרי נכסים-יתרות פתיחה'!$2:$76,72,0),0)-IFERROR(HLOOKUP(AG35,'סקרי נכסים-יתרות פתיחה'!$2:$90,87,0),0)</f>
        <v>0</v>
      </c>
      <c r="AH70" s="47">
        <f>+IFERROR(HLOOKUP(AH35,'סקרי נכסים-יתרות פתיחה'!$2:$76,72,0),0)-IFERROR(HLOOKUP(AH35,'סקרי נכסים-יתרות פתיחה'!$2:$90,87,0),0)</f>
        <v>0</v>
      </c>
      <c r="AI70" s="47">
        <f>+IFERROR(HLOOKUP(AI35,'סקרי נכסים-יתרות פתיחה'!$2:$76,72,0),0)-IFERROR(HLOOKUP(AI35,'סקרי נכסים-יתרות פתיחה'!$2:$90,87,0),0)</f>
        <v>0</v>
      </c>
      <c r="AJ70" s="47">
        <f>+IFERROR(HLOOKUP(AJ35,'סקרי נכסים-יתרות פתיחה'!$2:$76,72,0),0)-IFERROR(HLOOKUP(AJ35,'סקרי נכסים-יתרות פתיחה'!$2:$90,87,0),0)</f>
        <v>0</v>
      </c>
      <c r="AK70" s="47">
        <f>+IFERROR(HLOOKUP(AK35,'סקרי נכסים-יתרות פתיחה'!$2:$76,72,0),0)-IFERROR(HLOOKUP(AK35,'סקרי נכסים-יתרות פתיחה'!$2:$90,87,0),0)</f>
        <v>0</v>
      </c>
      <c r="AL70" s="47">
        <f>+IFERROR(HLOOKUP(AL35,'סקרי נכסים-יתרות פתיחה'!$2:$76,72,0),0)-IFERROR(HLOOKUP(AL35,'סקרי נכסים-יתרות פתיחה'!$2:$90,87,0),0)</f>
        <v>0</v>
      </c>
      <c r="AM70" s="47">
        <f>+IFERROR(HLOOKUP(AM35,'סקרי נכסים-יתרות פתיחה'!$2:$76,72,0),0)-IFERROR(HLOOKUP(AM35,'סקרי נכסים-יתרות פתיחה'!$2:$90,87,0),0)</f>
        <v>0</v>
      </c>
      <c r="AN70" s="47">
        <f>+IFERROR(HLOOKUP(AN35,'סקרי נכסים-יתרות פתיחה'!$2:$76,72,0),0)-IFERROR(HLOOKUP(AN35,'סקרי נכסים-יתרות פתיחה'!$2:$90,87,0),0)</f>
        <v>0</v>
      </c>
      <c r="AO70" s="47">
        <f>+IFERROR(HLOOKUP(AO35,'סקרי נכסים-יתרות פתיחה'!$2:$76,72,0),0)-IFERROR(HLOOKUP(AO35,'סקרי נכסים-יתרות פתיחה'!$2:$90,87,0),0)</f>
        <v>0</v>
      </c>
      <c r="AP70" s="47">
        <f>+IFERROR(HLOOKUP(AP35,'סקרי נכסים-יתרות פתיחה'!$2:$76,72,0),0)-IFERROR(HLOOKUP(AP35,'סקרי נכסים-יתרות פתיחה'!$2:$90,87,0),0)</f>
        <v>0</v>
      </c>
      <c r="AQ70" s="47">
        <f>+IFERROR(HLOOKUP(AQ35,'סקרי נכסים-יתרות פתיחה'!$2:$76,72,0),0)-IFERROR(HLOOKUP(AQ35,'סקרי נכסים-יתרות פתיחה'!$2:$90,87,0),0)</f>
        <v>0</v>
      </c>
      <c r="AR70" s="47">
        <f>+IFERROR(HLOOKUP(AR35,'סקרי נכסים-יתרות פתיחה'!$2:$76,72,0),0)-IFERROR(HLOOKUP(AR35,'סקרי נכסים-יתרות פתיחה'!$2:$90,87,0),0)</f>
        <v>0</v>
      </c>
      <c r="AS70" s="47">
        <f>+IFERROR(HLOOKUP(AS35,'סקרי נכסים-יתרות פתיחה'!$2:$76,72,0),0)-IFERROR(HLOOKUP(AS35,'סקרי נכסים-יתרות פתיחה'!$2:$90,87,0),0)</f>
        <v>0</v>
      </c>
      <c r="AT70" s="47">
        <f>+IFERROR(HLOOKUP(AT35,'סקרי נכסים-יתרות פתיחה'!$2:$76,72,0),0)-IFERROR(HLOOKUP(AT35,'סקרי נכסים-יתרות פתיחה'!$2:$90,87,0),0)</f>
        <v>0</v>
      </c>
      <c r="AU70" s="47">
        <f>+IFERROR(HLOOKUP(AU35,'סקרי נכסים-יתרות פתיחה'!$2:$76,72,0),0)-IFERROR(HLOOKUP(AU35,'סקרי נכסים-יתרות פתיחה'!$2:$90,87,0),0)</f>
        <v>0</v>
      </c>
      <c r="AV70" s="47">
        <f>+IFERROR(HLOOKUP(AV35,'סקרי נכסים-יתרות פתיחה'!$2:$76,72,0),0)-IFERROR(HLOOKUP(AV35,'סקרי נכסים-יתרות פתיחה'!$2:$90,87,0),0)</f>
        <v>0</v>
      </c>
      <c r="AW70" s="47">
        <f>+IFERROR(HLOOKUP(AW35,'סקרי נכסים-יתרות פתיחה'!$2:$76,72,0),0)-IFERROR(HLOOKUP(AW35,'סקרי נכסים-יתרות פתיחה'!$2:$90,87,0),0)</f>
        <v>0</v>
      </c>
      <c r="AX70" s="47">
        <f>+IFERROR(HLOOKUP(AX35,'סקרי נכסים-יתרות פתיחה'!$2:$76,72,0),0)-IFERROR(HLOOKUP(AX35,'סקרי נכסים-יתרות פתיחה'!$2:$90,87,0),0)</f>
        <v>0</v>
      </c>
      <c r="AY70" s="47">
        <f>+IFERROR(HLOOKUP(AY35,'סקרי נכסים-יתרות פתיחה'!$2:$76,72,0),0)-IFERROR(HLOOKUP(AY35,'סקרי נכסים-יתרות פתיחה'!$2:$90,87,0),0)</f>
        <v>0</v>
      </c>
      <c r="AZ70" s="47">
        <f>+IFERROR(HLOOKUP(AZ35,'סקרי נכסים-יתרות פתיחה'!$2:$76,72,0),0)-IFERROR(HLOOKUP(AZ35,'סקרי נכסים-יתרות פתיחה'!$2:$90,87,0),0)</f>
        <v>0</v>
      </c>
      <c r="BA70" s="47">
        <f>+IFERROR(HLOOKUP(BA35,'סקרי נכסים-יתרות פתיחה'!$2:$76,72,0),0)-IFERROR(HLOOKUP(BA35,'סקרי נכסים-יתרות פתיחה'!$2:$90,87,0),0)</f>
        <v>0</v>
      </c>
      <c r="BB70" s="47">
        <f>+IFERROR(HLOOKUP(BB35,'סקרי נכסים-יתרות פתיחה'!$2:$76,72,0),0)-IFERROR(HLOOKUP(BB35,'סקרי נכסים-יתרות פתיחה'!$2:$90,87,0),0)</f>
        <v>0</v>
      </c>
      <c r="BC70" s="47">
        <f>+IFERROR(HLOOKUP(BC35,'סקרי נכסים-יתרות פתיחה'!$2:$76,72,0),0)-IFERROR(HLOOKUP(BC35,'סקרי נכסים-יתרות פתיחה'!$2:$90,87,0),0)</f>
        <v>0</v>
      </c>
      <c r="BD70" s="47">
        <f>+IFERROR(HLOOKUP(BD35,'סקרי נכסים-יתרות פתיחה'!$2:$76,72,0),0)-IFERROR(HLOOKUP(BD35,'סקרי נכסים-יתרות פתיחה'!$2:$90,87,0),0)</f>
        <v>0</v>
      </c>
      <c r="BE70" s="47">
        <f>+IFERROR(HLOOKUP(BE35,'סקרי נכסים-יתרות פתיחה'!$2:$76,72,0),0)-IFERROR(HLOOKUP(BE35,'סקרי נכסים-יתרות פתיחה'!$2:$90,87,0),0)</f>
        <v>0</v>
      </c>
      <c r="BF70" s="47">
        <f>+IFERROR(HLOOKUP(BF35,'סקרי נכסים-יתרות פתיחה'!$2:$76,72,0),0)-IFERROR(HLOOKUP(BF35,'סקרי נכסים-יתרות פתיחה'!$2:$90,87,0),0)</f>
        <v>0</v>
      </c>
    </row>
    <row r="71" spans="1:58" x14ac:dyDescent="0.2">
      <c r="B71" s="1">
        <v>29</v>
      </c>
      <c r="C71" s="47">
        <f>+IFERROR(HLOOKUP(C36,'סקרי נכסים-יתרות פתיחה'!$2:$76,72,0),0)-IFERROR(HLOOKUP(C36,'סקרי נכסים-יתרות פתיחה'!$2:$90,87,0),0)</f>
        <v>0</v>
      </c>
      <c r="D71" s="47">
        <f>+IFERROR(HLOOKUP(D36,'סקרי נכסים-יתרות פתיחה'!$2:$76,72,0),0)-IFERROR(HLOOKUP(D36,'סקרי נכסים-יתרות פתיחה'!$2:$90,87,0),0)</f>
        <v>0</v>
      </c>
      <c r="E71" s="47">
        <f>+IFERROR(HLOOKUP(E36,'סקרי נכסים-יתרות פתיחה'!$2:$76,72,0),0)-IFERROR(HLOOKUP(E36,'סקרי נכסים-יתרות פתיחה'!$2:$90,87,0),0)</f>
        <v>0</v>
      </c>
      <c r="F71" s="47">
        <f>+IFERROR(HLOOKUP(F36,'סקרי נכסים-יתרות פתיחה'!$2:$76,72,0),0)-IFERROR(HLOOKUP(F36,'סקרי נכסים-יתרות פתיחה'!$2:$90,87,0),0)</f>
        <v>0</v>
      </c>
      <c r="G71" s="47">
        <f>+IFERROR(HLOOKUP(G36,'סקרי נכסים-יתרות פתיחה'!$2:$76,72,0),0)-IFERROR(HLOOKUP(G36,'סקרי נכסים-יתרות פתיחה'!$2:$90,87,0),0)</f>
        <v>0</v>
      </c>
      <c r="H71" s="47">
        <f>+IFERROR(HLOOKUP(H36,'סקרי נכסים-יתרות פתיחה'!$2:$76,72,0),0)-IFERROR(HLOOKUP(H36,'סקרי נכסים-יתרות פתיחה'!$2:$90,87,0),0)</f>
        <v>0</v>
      </c>
      <c r="I71" s="47">
        <f>+IFERROR(HLOOKUP(I36,'סקרי נכסים-יתרות פתיחה'!$2:$76,72,0),0)-IFERROR(HLOOKUP(I36,'סקרי נכסים-יתרות פתיחה'!$2:$90,87,0),0)</f>
        <v>0</v>
      </c>
      <c r="J71" s="47">
        <f>+IFERROR(HLOOKUP(J36,'סקרי נכסים-יתרות פתיחה'!$2:$76,72,0),0)-IFERROR(HLOOKUP(J36,'סקרי נכסים-יתרות פתיחה'!$2:$90,87,0),0)</f>
        <v>0</v>
      </c>
      <c r="K71" s="47">
        <f>+IFERROR(HLOOKUP(K36,'סקרי נכסים-יתרות פתיחה'!$2:$76,72,0),0)-IFERROR(HLOOKUP(K36,'סקרי נכסים-יתרות פתיחה'!$2:$90,87,0),0)</f>
        <v>0</v>
      </c>
      <c r="L71" s="47">
        <f>+IFERROR(HLOOKUP(L36,'סקרי נכסים-יתרות פתיחה'!$2:$76,72,0),0)-IFERROR(HLOOKUP(L36,'סקרי נכסים-יתרות פתיחה'!$2:$90,87,0),0)</f>
        <v>0</v>
      </c>
      <c r="M71" s="47">
        <f>+IFERROR(HLOOKUP(M36,'סקרי נכסים-יתרות פתיחה'!$2:$76,72,0),0)-IFERROR(HLOOKUP(M36,'סקרי נכסים-יתרות פתיחה'!$2:$90,87,0),0)</f>
        <v>0</v>
      </c>
      <c r="N71" s="47">
        <f>+IFERROR(HLOOKUP(N36,'סקרי נכסים-יתרות פתיחה'!$2:$76,72,0),0)-IFERROR(HLOOKUP(N36,'סקרי נכסים-יתרות פתיחה'!$2:$90,87,0),0)</f>
        <v>0</v>
      </c>
      <c r="O71" s="47">
        <f>+IFERROR(HLOOKUP(O36,'סקרי נכסים-יתרות פתיחה'!$2:$76,72,0),0)-IFERROR(HLOOKUP(O36,'סקרי נכסים-יתרות פתיחה'!$2:$90,87,0),0)</f>
        <v>0</v>
      </c>
      <c r="P71" s="47">
        <f>+IFERROR(HLOOKUP(P36,'סקרי נכסים-יתרות פתיחה'!$2:$76,72,0),0)-IFERROR(HLOOKUP(P36,'סקרי נכסים-יתרות פתיחה'!$2:$90,87,0),0)</f>
        <v>0</v>
      </c>
      <c r="Q71" s="47">
        <f>+IFERROR(HLOOKUP(Q36,'סקרי נכסים-יתרות פתיחה'!$2:$76,72,0),0)-IFERROR(HLOOKUP(Q36,'סקרי נכסים-יתרות פתיחה'!$2:$90,87,0),0)</f>
        <v>0</v>
      </c>
      <c r="R71" s="47">
        <f>+IFERROR(HLOOKUP(R36,'סקרי נכסים-יתרות פתיחה'!$2:$76,72,0),0)-IFERROR(HLOOKUP(R36,'סקרי נכסים-יתרות פתיחה'!$2:$90,87,0),0)</f>
        <v>0</v>
      </c>
      <c r="S71" s="47">
        <f>+IFERROR(HLOOKUP(S36,'סקרי נכסים-יתרות פתיחה'!$2:$76,72,0),0)-IFERROR(HLOOKUP(S36,'סקרי נכסים-יתרות פתיחה'!$2:$90,87,0),0)</f>
        <v>0</v>
      </c>
      <c r="T71" s="47">
        <f>+IFERROR(HLOOKUP(T36,'סקרי נכסים-יתרות פתיחה'!$2:$76,72,0),0)-IFERROR(HLOOKUP(T36,'סקרי נכסים-יתרות פתיחה'!$2:$90,87,0),0)</f>
        <v>0</v>
      </c>
      <c r="U71" s="47">
        <f>+IFERROR(HLOOKUP(U36,'סקרי נכסים-יתרות פתיחה'!$2:$76,72,0),0)-IFERROR(HLOOKUP(U36,'סקרי נכסים-יתרות פתיחה'!$2:$90,87,0),0)</f>
        <v>0</v>
      </c>
      <c r="V71" s="47">
        <f>+IFERROR(HLOOKUP(V36,'סקרי נכסים-יתרות פתיחה'!$2:$76,72,0),0)-IFERROR(HLOOKUP(V36,'סקרי נכסים-יתרות פתיחה'!$2:$90,87,0),0)</f>
        <v>0</v>
      </c>
      <c r="W71" s="47">
        <f>+IFERROR(HLOOKUP(W36,'סקרי נכסים-יתרות פתיחה'!$2:$76,72,0),0)-IFERROR(HLOOKUP(W36,'סקרי נכסים-יתרות פתיחה'!$2:$90,87,0),0)</f>
        <v>0</v>
      </c>
      <c r="X71" s="47">
        <f>+IFERROR(HLOOKUP(X36,'סקרי נכסים-יתרות פתיחה'!$2:$76,72,0),0)-IFERROR(HLOOKUP(X36,'סקרי נכסים-יתרות פתיחה'!$2:$90,87,0),0)</f>
        <v>0</v>
      </c>
      <c r="Y71" s="47">
        <f>+IFERROR(HLOOKUP(Y36,'סקרי נכסים-יתרות פתיחה'!$2:$76,72,0),0)-IFERROR(HLOOKUP(Y36,'סקרי נכסים-יתרות פתיחה'!$2:$90,87,0),0)</f>
        <v>0</v>
      </c>
      <c r="Z71" s="47">
        <f>+IFERROR(HLOOKUP(Z36,'סקרי נכסים-יתרות פתיחה'!$2:$76,72,0),0)-IFERROR(HLOOKUP(Z36,'סקרי נכסים-יתרות פתיחה'!$2:$90,87,0),0)</f>
        <v>0</v>
      </c>
      <c r="AA71" s="47">
        <f>+IFERROR(HLOOKUP(AA36,'סקרי נכסים-יתרות פתיחה'!$2:$76,72,0),0)-IFERROR(HLOOKUP(AA36,'סקרי נכסים-יתרות פתיחה'!$2:$90,87,0),0)</f>
        <v>0</v>
      </c>
      <c r="AB71" s="47">
        <f>+IFERROR(HLOOKUP(AB36,'סקרי נכסים-יתרות פתיחה'!$2:$76,72,0),0)-IFERROR(HLOOKUP(AB36,'סקרי נכסים-יתרות פתיחה'!$2:$90,87,0),0)</f>
        <v>0</v>
      </c>
      <c r="AC71" s="47">
        <f>+IFERROR(HLOOKUP(AC36,'סקרי נכסים-יתרות פתיחה'!$2:$76,72,0),0)-IFERROR(HLOOKUP(AC36,'סקרי נכסים-יתרות פתיחה'!$2:$90,87,0),0)</f>
        <v>0</v>
      </c>
      <c r="AD71" s="47">
        <f>+IFERROR(HLOOKUP(AD36,'סקרי נכסים-יתרות פתיחה'!$2:$76,72,0),0)-IFERROR(HLOOKUP(AD36,'סקרי נכסים-יתרות פתיחה'!$2:$90,87,0),0)</f>
        <v>0</v>
      </c>
      <c r="AE71" s="47">
        <f>+IFERROR(HLOOKUP(AE36,'סקרי נכסים-יתרות פתיחה'!$2:$76,72,0),0)-IFERROR(HLOOKUP(AE36,'סקרי נכסים-יתרות פתיחה'!$2:$90,87,0),0)</f>
        <v>0</v>
      </c>
      <c r="AF71" s="47">
        <f>+IFERROR(HLOOKUP(AF36,'סקרי נכסים-יתרות פתיחה'!$2:$76,72,0),0)-IFERROR(HLOOKUP(AF36,'סקרי נכסים-יתרות פתיחה'!$2:$90,87,0),0)</f>
        <v>0</v>
      </c>
      <c r="AG71" s="47">
        <f>+IFERROR(HLOOKUP(AG36,'סקרי נכסים-יתרות פתיחה'!$2:$76,72,0),0)-IFERROR(HLOOKUP(AG36,'סקרי נכסים-יתרות פתיחה'!$2:$90,87,0),0)</f>
        <v>0</v>
      </c>
      <c r="AH71" s="47">
        <f>+IFERROR(HLOOKUP(AH36,'סקרי נכסים-יתרות פתיחה'!$2:$76,72,0),0)-IFERROR(HLOOKUP(AH36,'סקרי נכסים-יתרות פתיחה'!$2:$90,87,0),0)</f>
        <v>0</v>
      </c>
      <c r="AI71" s="47">
        <f>+IFERROR(HLOOKUP(AI36,'סקרי נכסים-יתרות פתיחה'!$2:$76,72,0),0)-IFERROR(HLOOKUP(AI36,'סקרי נכסים-יתרות פתיחה'!$2:$90,87,0),0)</f>
        <v>0</v>
      </c>
      <c r="AJ71" s="47">
        <f>+IFERROR(HLOOKUP(AJ36,'סקרי נכסים-יתרות פתיחה'!$2:$76,72,0),0)-IFERROR(HLOOKUP(AJ36,'סקרי נכסים-יתרות פתיחה'!$2:$90,87,0),0)</f>
        <v>0</v>
      </c>
      <c r="AK71" s="47">
        <f>+IFERROR(HLOOKUP(AK36,'סקרי נכסים-יתרות פתיחה'!$2:$76,72,0),0)-IFERROR(HLOOKUP(AK36,'סקרי נכסים-יתרות פתיחה'!$2:$90,87,0),0)</f>
        <v>0</v>
      </c>
      <c r="AL71" s="47">
        <f>+IFERROR(HLOOKUP(AL36,'סקרי נכסים-יתרות פתיחה'!$2:$76,72,0),0)-IFERROR(HLOOKUP(AL36,'סקרי נכסים-יתרות פתיחה'!$2:$90,87,0),0)</f>
        <v>0</v>
      </c>
      <c r="AM71" s="47">
        <f>+IFERROR(HLOOKUP(AM36,'סקרי נכסים-יתרות פתיחה'!$2:$76,72,0),0)-IFERROR(HLOOKUP(AM36,'סקרי נכסים-יתרות פתיחה'!$2:$90,87,0),0)</f>
        <v>0</v>
      </c>
      <c r="AN71" s="47">
        <f>+IFERROR(HLOOKUP(AN36,'סקרי נכסים-יתרות פתיחה'!$2:$76,72,0),0)-IFERROR(HLOOKUP(AN36,'סקרי נכסים-יתרות פתיחה'!$2:$90,87,0),0)</f>
        <v>0</v>
      </c>
      <c r="AO71" s="47">
        <f>+IFERROR(HLOOKUP(AO36,'סקרי נכסים-יתרות פתיחה'!$2:$76,72,0),0)-IFERROR(HLOOKUP(AO36,'סקרי נכסים-יתרות פתיחה'!$2:$90,87,0),0)</f>
        <v>0</v>
      </c>
      <c r="AP71" s="47">
        <f>+IFERROR(HLOOKUP(AP36,'סקרי נכסים-יתרות פתיחה'!$2:$76,72,0),0)-IFERROR(HLOOKUP(AP36,'סקרי נכסים-יתרות פתיחה'!$2:$90,87,0),0)</f>
        <v>0</v>
      </c>
      <c r="AQ71" s="47">
        <f>+IFERROR(HLOOKUP(AQ36,'סקרי נכסים-יתרות פתיחה'!$2:$76,72,0),0)-IFERROR(HLOOKUP(AQ36,'סקרי נכסים-יתרות פתיחה'!$2:$90,87,0),0)</f>
        <v>0</v>
      </c>
      <c r="AR71" s="47">
        <f>+IFERROR(HLOOKUP(AR36,'סקרי נכסים-יתרות פתיחה'!$2:$76,72,0),0)-IFERROR(HLOOKUP(AR36,'סקרי נכסים-יתרות פתיחה'!$2:$90,87,0),0)</f>
        <v>0</v>
      </c>
      <c r="AS71" s="47">
        <f>+IFERROR(HLOOKUP(AS36,'סקרי נכסים-יתרות פתיחה'!$2:$76,72,0),0)-IFERROR(HLOOKUP(AS36,'סקרי נכסים-יתרות פתיחה'!$2:$90,87,0),0)</f>
        <v>0</v>
      </c>
      <c r="AT71" s="47">
        <f>+IFERROR(HLOOKUP(AT36,'סקרי נכסים-יתרות פתיחה'!$2:$76,72,0),0)-IFERROR(HLOOKUP(AT36,'סקרי נכסים-יתרות פתיחה'!$2:$90,87,0),0)</f>
        <v>0</v>
      </c>
      <c r="AU71" s="47">
        <f>+IFERROR(HLOOKUP(AU36,'סקרי נכסים-יתרות פתיחה'!$2:$76,72,0),0)-IFERROR(HLOOKUP(AU36,'סקרי נכסים-יתרות פתיחה'!$2:$90,87,0),0)</f>
        <v>0</v>
      </c>
      <c r="AV71" s="47">
        <f>+IFERROR(HLOOKUP(AV36,'סקרי נכסים-יתרות פתיחה'!$2:$76,72,0),0)-IFERROR(HLOOKUP(AV36,'סקרי נכסים-יתרות פתיחה'!$2:$90,87,0),0)</f>
        <v>0</v>
      </c>
      <c r="AW71" s="47">
        <f>+IFERROR(HLOOKUP(AW36,'סקרי נכסים-יתרות פתיחה'!$2:$76,72,0),0)-IFERROR(HLOOKUP(AW36,'סקרי נכסים-יתרות פתיחה'!$2:$90,87,0),0)</f>
        <v>0</v>
      </c>
      <c r="AX71" s="47">
        <f>+IFERROR(HLOOKUP(AX36,'סקרי נכסים-יתרות פתיחה'!$2:$76,72,0),0)-IFERROR(HLOOKUP(AX36,'סקרי נכסים-יתרות פתיחה'!$2:$90,87,0),0)</f>
        <v>0</v>
      </c>
      <c r="AY71" s="47">
        <f>+IFERROR(HLOOKUP(AY36,'סקרי נכסים-יתרות פתיחה'!$2:$76,72,0),0)-IFERROR(HLOOKUP(AY36,'סקרי נכסים-יתרות פתיחה'!$2:$90,87,0),0)</f>
        <v>0</v>
      </c>
      <c r="AZ71" s="47">
        <f>+IFERROR(HLOOKUP(AZ36,'סקרי נכסים-יתרות פתיחה'!$2:$76,72,0),0)-IFERROR(HLOOKUP(AZ36,'סקרי נכסים-יתרות פתיחה'!$2:$90,87,0),0)</f>
        <v>0</v>
      </c>
      <c r="BA71" s="47">
        <f>+IFERROR(HLOOKUP(BA36,'סקרי נכסים-יתרות פתיחה'!$2:$76,72,0),0)-IFERROR(HLOOKUP(BA36,'סקרי נכסים-יתרות פתיחה'!$2:$90,87,0),0)</f>
        <v>0</v>
      </c>
      <c r="BB71" s="47">
        <f>+IFERROR(HLOOKUP(BB36,'סקרי נכסים-יתרות פתיחה'!$2:$76,72,0),0)-IFERROR(HLOOKUP(BB36,'סקרי נכסים-יתרות פתיחה'!$2:$90,87,0),0)</f>
        <v>0</v>
      </c>
      <c r="BC71" s="47">
        <f>+IFERROR(HLOOKUP(BC36,'סקרי נכסים-יתרות פתיחה'!$2:$76,72,0),0)-IFERROR(HLOOKUP(BC36,'סקרי נכסים-יתרות פתיחה'!$2:$90,87,0),0)</f>
        <v>0</v>
      </c>
      <c r="BD71" s="47">
        <f>+IFERROR(HLOOKUP(BD36,'סקרי נכסים-יתרות פתיחה'!$2:$76,72,0),0)-IFERROR(HLOOKUP(BD36,'סקרי נכסים-יתרות פתיחה'!$2:$90,87,0),0)</f>
        <v>0</v>
      </c>
      <c r="BE71" s="47">
        <f>+IFERROR(HLOOKUP(BE36,'סקרי נכסים-יתרות פתיחה'!$2:$76,72,0),0)-IFERROR(HLOOKUP(BE36,'סקרי נכסים-יתרות פתיחה'!$2:$90,87,0),0)</f>
        <v>0</v>
      </c>
      <c r="BF71" s="47">
        <f>+IFERROR(HLOOKUP(BF36,'סקרי נכסים-יתרות פתיחה'!$2:$76,72,0),0)-IFERROR(HLOOKUP(BF36,'סקרי נכסים-יתרות פתיחה'!$2:$90,87,0),0)</f>
        <v>0</v>
      </c>
    </row>
    <row r="72" spans="1:58" x14ac:dyDescent="0.2">
      <c r="B72" s="1">
        <v>30</v>
      </c>
      <c r="C72" s="47">
        <f>+IFERROR(HLOOKUP(C37,'סקרי נכסים-יתרות פתיחה'!$2:$76,72,0),0)-IFERROR(HLOOKUP(C37,'סקרי נכסים-יתרות פתיחה'!$2:$90,87,0),0)</f>
        <v>0</v>
      </c>
      <c r="D72" s="47">
        <f>+IFERROR(HLOOKUP(D37,'סקרי נכסים-יתרות פתיחה'!$2:$76,72,0),0)-IFERROR(HLOOKUP(D37,'סקרי נכסים-יתרות פתיחה'!$2:$90,87,0),0)</f>
        <v>0</v>
      </c>
      <c r="E72" s="47">
        <f>+IFERROR(HLOOKUP(E37,'סקרי נכסים-יתרות פתיחה'!$2:$76,72,0),0)-IFERROR(HLOOKUP(E37,'סקרי נכסים-יתרות פתיחה'!$2:$90,87,0),0)</f>
        <v>0</v>
      </c>
      <c r="F72" s="47">
        <f>+IFERROR(HLOOKUP(F37,'סקרי נכסים-יתרות פתיחה'!$2:$76,72,0),0)-IFERROR(HLOOKUP(F37,'סקרי נכסים-יתרות פתיחה'!$2:$90,87,0),0)</f>
        <v>0</v>
      </c>
      <c r="G72" s="47">
        <f>+IFERROR(HLOOKUP(G37,'סקרי נכסים-יתרות פתיחה'!$2:$76,72,0),0)-IFERROR(HLOOKUP(G37,'סקרי נכסים-יתרות פתיחה'!$2:$90,87,0),0)</f>
        <v>0</v>
      </c>
      <c r="H72" s="47">
        <f>+IFERROR(HLOOKUP(H37,'סקרי נכסים-יתרות פתיחה'!$2:$76,72,0),0)-IFERROR(HLOOKUP(H37,'סקרי נכסים-יתרות פתיחה'!$2:$90,87,0),0)</f>
        <v>0</v>
      </c>
      <c r="I72" s="47">
        <f>+IFERROR(HLOOKUP(I37,'סקרי נכסים-יתרות פתיחה'!$2:$76,72,0),0)-IFERROR(HLOOKUP(I37,'סקרי נכסים-יתרות פתיחה'!$2:$90,87,0),0)</f>
        <v>0</v>
      </c>
      <c r="J72" s="47">
        <f>+IFERROR(HLOOKUP(J37,'סקרי נכסים-יתרות פתיחה'!$2:$76,72,0),0)-IFERROR(HLOOKUP(J37,'סקרי נכסים-יתרות פתיחה'!$2:$90,87,0),0)</f>
        <v>0</v>
      </c>
      <c r="K72" s="47">
        <f>+IFERROR(HLOOKUP(K37,'סקרי נכסים-יתרות פתיחה'!$2:$76,72,0),0)-IFERROR(HLOOKUP(K37,'סקרי נכסים-יתרות פתיחה'!$2:$90,87,0),0)</f>
        <v>0</v>
      </c>
      <c r="L72" s="47">
        <f>+IFERROR(HLOOKUP(L37,'סקרי נכסים-יתרות פתיחה'!$2:$76,72,0),0)-IFERROR(HLOOKUP(L37,'סקרי נכסים-יתרות פתיחה'!$2:$90,87,0),0)</f>
        <v>0</v>
      </c>
      <c r="M72" s="47">
        <f>+IFERROR(HLOOKUP(M37,'סקרי נכסים-יתרות פתיחה'!$2:$76,72,0),0)-IFERROR(HLOOKUP(M37,'סקרי נכסים-יתרות פתיחה'!$2:$90,87,0),0)</f>
        <v>0</v>
      </c>
      <c r="N72" s="47">
        <f>+IFERROR(HLOOKUP(N37,'סקרי נכסים-יתרות פתיחה'!$2:$76,72,0),0)-IFERROR(HLOOKUP(N37,'סקרי נכסים-יתרות פתיחה'!$2:$90,87,0),0)</f>
        <v>0</v>
      </c>
      <c r="O72" s="47">
        <f>+IFERROR(HLOOKUP(O37,'סקרי נכסים-יתרות פתיחה'!$2:$76,72,0),0)-IFERROR(HLOOKUP(O37,'סקרי נכסים-יתרות פתיחה'!$2:$90,87,0),0)</f>
        <v>0</v>
      </c>
      <c r="P72" s="47">
        <f>+IFERROR(HLOOKUP(P37,'סקרי נכסים-יתרות פתיחה'!$2:$76,72,0),0)-IFERROR(HLOOKUP(P37,'סקרי נכסים-יתרות פתיחה'!$2:$90,87,0),0)</f>
        <v>0</v>
      </c>
      <c r="Q72" s="47">
        <f>+IFERROR(HLOOKUP(Q37,'סקרי נכסים-יתרות פתיחה'!$2:$76,72,0),0)-IFERROR(HLOOKUP(Q37,'סקרי נכסים-יתרות פתיחה'!$2:$90,87,0),0)</f>
        <v>0</v>
      </c>
      <c r="R72" s="47">
        <f>+IFERROR(HLOOKUP(R37,'סקרי נכסים-יתרות פתיחה'!$2:$76,72,0),0)-IFERROR(HLOOKUP(R37,'סקרי נכסים-יתרות פתיחה'!$2:$90,87,0),0)</f>
        <v>0</v>
      </c>
      <c r="S72" s="47">
        <f>+IFERROR(HLOOKUP(S37,'סקרי נכסים-יתרות פתיחה'!$2:$76,72,0),0)-IFERROR(HLOOKUP(S37,'סקרי נכסים-יתרות פתיחה'!$2:$90,87,0),0)</f>
        <v>0</v>
      </c>
      <c r="T72" s="47">
        <f>+IFERROR(HLOOKUP(T37,'סקרי נכסים-יתרות פתיחה'!$2:$76,72,0),0)-IFERROR(HLOOKUP(T37,'סקרי נכסים-יתרות פתיחה'!$2:$90,87,0),0)</f>
        <v>0</v>
      </c>
      <c r="U72" s="47">
        <f>+IFERROR(HLOOKUP(U37,'סקרי נכסים-יתרות פתיחה'!$2:$76,72,0),0)-IFERROR(HLOOKUP(U37,'סקרי נכסים-יתרות פתיחה'!$2:$90,87,0),0)</f>
        <v>0</v>
      </c>
      <c r="V72" s="47">
        <f>+IFERROR(HLOOKUP(V37,'סקרי נכסים-יתרות פתיחה'!$2:$76,72,0),0)-IFERROR(HLOOKUP(V37,'סקרי נכסים-יתרות פתיחה'!$2:$90,87,0),0)</f>
        <v>0</v>
      </c>
      <c r="W72" s="47">
        <f>+IFERROR(HLOOKUP(W37,'סקרי נכסים-יתרות פתיחה'!$2:$76,72,0),0)-IFERROR(HLOOKUP(W37,'סקרי נכסים-יתרות פתיחה'!$2:$90,87,0),0)</f>
        <v>0</v>
      </c>
      <c r="X72" s="47">
        <f>+IFERROR(HLOOKUP(X37,'סקרי נכסים-יתרות פתיחה'!$2:$76,72,0),0)-IFERROR(HLOOKUP(X37,'סקרי נכסים-יתרות פתיחה'!$2:$90,87,0),0)</f>
        <v>0</v>
      </c>
      <c r="Y72" s="47">
        <f>+IFERROR(HLOOKUP(Y37,'סקרי נכסים-יתרות פתיחה'!$2:$76,72,0),0)-IFERROR(HLOOKUP(Y37,'סקרי נכסים-יתרות פתיחה'!$2:$90,87,0),0)</f>
        <v>0</v>
      </c>
      <c r="Z72" s="47">
        <f>+IFERROR(HLOOKUP(Z37,'סקרי נכסים-יתרות פתיחה'!$2:$76,72,0),0)-IFERROR(HLOOKUP(Z37,'סקרי נכסים-יתרות פתיחה'!$2:$90,87,0),0)</f>
        <v>0</v>
      </c>
      <c r="AA72" s="47">
        <f>+IFERROR(HLOOKUP(AA37,'סקרי נכסים-יתרות פתיחה'!$2:$76,72,0),0)-IFERROR(HLOOKUP(AA37,'סקרי נכסים-יתרות פתיחה'!$2:$90,87,0),0)</f>
        <v>0</v>
      </c>
      <c r="AB72" s="47">
        <f>+IFERROR(HLOOKUP(AB37,'סקרי נכסים-יתרות פתיחה'!$2:$76,72,0),0)-IFERROR(HLOOKUP(AB37,'סקרי נכסים-יתרות פתיחה'!$2:$90,87,0),0)</f>
        <v>0</v>
      </c>
      <c r="AC72" s="47">
        <f>+IFERROR(HLOOKUP(AC37,'סקרי נכסים-יתרות פתיחה'!$2:$76,72,0),0)-IFERROR(HLOOKUP(AC37,'סקרי נכסים-יתרות פתיחה'!$2:$90,87,0),0)</f>
        <v>0</v>
      </c>
      <c r="AD72" s="47">
        <f>+IFERROR(HLOOKUP(AD37,'סקרי נכסים-יתרות פתיחה'!$2:$76,72,0),0)-IFERROR(HLOOKUP(AD37,'סקרי נכסים-יתרות פתיחה'!$2:$90,87,0),0)</f>
        <v>0</v>
      </c>
      <c r="AE72" s="47">
        <f>+IFERROR(HLOOKUP(AE37,'סקרי נכסים-יתרות פתיחה'!$2:$76,72,0),0)-IFERROR(HLOOKUP(AE37,'סקרי נכסים-יתרות פתיחה'!$2:$90,87,0),0)</f>
        <v>0</v>
      </c>
      <c r="AF72" s="47">
        <f>+IFERROR(HLOOKUP(AF37,'סקרי נכסים-יתרות פתיחה'!$2:$76,72,0),0)-IFERROR(HLOOKUP(AF37,'סקרי נכסים-יתרות פתיחה'!$2:$90,87,0),0)</f>
        <v>0</v>
      </c>
      <c r="AG72" s="47">
        <f>+IFERROR(HLOOKUP(AG37,'סקרי נכסים-יתרות פתיחה'!$2:$76,72,0),0)-IFERROR(HLOOKUP(AG37,'סקרי נכסים-יתרות פתיחה'!$2:$90,87,0),0)</f>
        <v>0</v>
      </c>
      <c r="AH72" s="47">
        <f>+IFERROR(HLOOKUP(AH37,'סקרי נכסים-יתרות פתיחה'!$2:$76,72,0),0)-IFERROR(HLOOKUP(AH37,'סקרי נכסים-יתרות פתיחה'!$2:$90,87,0),0)</f>
        <v>0</v>
      </c>
      <c r="AI72" s="47">
        <f>+IFERROR(HLOOKUP(AI37,'סקרי נכסים-יתרות פתיחה'!$2:$76,72,0),0)-IFERROR(HLOOKUP(AI37,'סקרי נכסים-יתרות פתיחה'!$2:$90,87,0),0)</f>
        <v>0</v>
      </c>
      <c r="AJ72" s="47">
        <f>+IFERROR(HLOOKUP(AJ37,'סקרי נכסים-יתרות פתיחה'!$2:$76,72,0),0)-IFERROR(HLOOKUP(AJ37,'סקרי נכסים-יתרות פתיחה'!$2:$90,87,0),0)</f>
        <v>0</v>
      </c>
      <c r="AK72" s="47">
        <f>+IFERROR(HLOOKUP(AK37,'סקרי נכסים-יתרות פתיחה'!$2:$76,72,0),0)-IFERROR(HLOOKUP(AK37,'סקרי נכסים-יתרות פתיחה'!$2:$90,87,0),0)</f>
        <v>0</v>
      </c>
      <c r="AL72" s="47">
        <f>+IFERROR(HLOOKUP(AL37,'סקרי נכסים-יתרות פתיחה'!$2:$76,72,0),0)-IFERROR(HLOOKUP(AL37,'סקרי נכסים-יתרות פתיחה'!$2:$90,87,0),0)</f>
        <v>0</v>
      </c>
      <c r="AM72" s="47">
        <f>+IFERROR(HLOOKUP(AM37,'סקרי נכסים-יתרות פתיחה'!$2:$76,72,0),0)-IFERROR(HLOOKUP(AM37,'סקרי נכסים-יתרות פתיחה'!$2:$90,87,0),0)</f>
        <v>0</v>
      </c>
      <c r="AN72" s="47">
        <f>+IFERROR(HLOOKUP(AN37,'סקרי נכסים-יתרות פתיחה'!$2:$76,72,0),0)-IFERROR(HLOOKUP(AN37,'סקרי נכסים-יתרות פתיחה'!$2:$90,87,0),0)</f>
        <v>0</v>
      </c>
      <c r="AO72" s="47">
        <f>+IFERROR(HLOOKUP(AO37,'סקרי נכסים-יתרות פתיחה'!$2:$76,72,0),0)-IFERROR(HLOOKUP(AO37,'סקרי נכסים-יתרות פתיחה'!$2:$90,87,0),0)</f>
        <v>0</v>
      </c>
      <c r="AP72" s="47">
        <f>+IFERROR(HLOOKUP(AP37,'סקרי נכסים-יתרות פתיחה'!$2:$76,72,0),0)-IFERROR(HLOOKUP(AP37,'סקרי נכסים-יתרות פתיחה'!$2:$90,87,0),0)</f>
        <v>0</v>
      </c>
      <c r="AQ72" s="47">
        <f>+IFERROR(HLOOKUP(AQ37,'סקרי נכסים-יתרות פתיחה'!$2:$76,72,0),0)-IFERROR(HLOOKUP(AQ37,'סקרי נכסים-יתרות פתיחה'!$2:$90,87,0),0)</f>
        <v>0</v>
      </c>
      <c r="AR72" s="47">
        <f>+IFERROR(HLOOKUP(AR37,'סקרי נכסים-יתרות פתיחה'!$2:$76,72,0),0)-IFERROR(HLOOKUP(AR37,'סקרי נכסים-יתרות פתיחה'!$2:$90,87,0),0)</f>
        <v>0</v>
      </c>
      <c r="AS72" s="47">
        <f>+IFERROR(HLOOKUP(AS37,'סקרי נכסים-יתרות פתיחה'!$2:$76,72,0),0)-IFERROR(HLOOKUP(AS37,'סקרי נכסים-יתרות פתיחה'!$2:$90,87,0),0)</f>
        <v>0</v>
      </c>
      <c r="AT72" s="47">
        <f>+IFERROR(HLOOKUP(AT37,'סקרי נכסים-יתרות פתיחה'!$2:$76,72,0),0)-IFERROR(HLOOKUP(AT37,'סקרי נכסים-יתרות פתיחה'!$2:$90,87,0),0)</f>
        <v>0</v>
      </c>
      <c r="AU72" s="47">
        <f>+IFERROR(HLOOKUP(AU37,'סקרי נכסים-יתרות פתיחה'!$2:$76,72,0),0)-IFERROR(HLOOKUP(AU37,'סקרי נכסים-יתרות פתיחה'!$2:$90,87,0),0)</f>
        <v>0</v>
      </c>
      <c r="AV72" s="47">
        <f>+IFERROR(HLOOKUP(AV37,'סקרי נכסים-יתרות פתיחה'!$2:$76,72,0),0)-IFERROR(HLOOKUP(AV37,'סקרי נכסים-יתרות פתיחה'!$2:$90,87,0),0)</f>
        <v>0</v>
      </c>
      <c r="AW72" s="47">
        <f>+IFERROR(HLOOKUP(AW37,'סקרי נכסים-יתרות פתיחה'!$2:$76,72,0),0)-IFERROR(HLOOKUP(AW37,'סקרי נכסים-יתרות פתיחה'!$2:$90,87,0),0)</f>
        <v>0</v>
      </c>
      <c r="AX72" s="47">
        <f>+IFERROR(HLOOKUP(AX37,'סקרי נכסים-יתרות פתיחה'!$2:$76,72,0),0)-IFERROR(HLOOKUP(AX37,'סקרי נכסים-יתרות פתיחה'!$2:$90,87,0),0)</f>
        <v>0</v>
      </c>
      <c r="AY72" s="47">
        <f>+IFERROR(HLOOKUP(AY37,'סקרי נכסים-יתרות פתיחה'!$2:$76,72,0),0)-IFERROR(HLOOKUP(AY37,'סקרי נכסים-יתרות פתיחה'!$2:$90,87,0),0)</f>
        <v>0</v>
      </c>
      <c r="AZ72" s="47">
        <f>+IFERROR(HLOOKUP(AZ37,'סקרי נכסים-יתרות פתיחה'!$2:$76,72,0),0)-IFERROR(HLOOKUP(AZ37,'סקרי נכסים-יתרות פתיחה'!$2:$90,87,0),0)</f>
        <v>0</v>
      </c>
      <c r="BA72" s="47">
        <f>+IFERROR(HLOOKUP(BA37,'סקרי נכסים-יתרות פתיחה'!$2:$76,72,0),0)-IFERROR(HLOOKUP(BA37,'סקרי נכסים-יתרות פתיחה'!$2:$90,87,0),0)</f>
        <v>0</v>
      </c>
      <c r="BB72" s="47">
        <f>+IFERROR(HLOOKUP(BB37,'סקרי נכסים-יתרות פתיחה'!$2:$76,72,0),0)-IFERROR(HLOOKUP(BB37,'סקרי נכסים-יתרות פתיחה'!$2:$90,87,0),0)</f>
        <v>0</v>
      </c>
      <c r="BC72" s="47">
        <f>+IFERROR(HLOOKUP(BC37,'סקרי נכסים-יתרות פתיחה'!$2:$76,72,0),0)-IFERROR(HLOOKUP(BC37,'סקרי נכסים-יתרות פתיחה'!$2:$90,87,0),0)</f>
        <v>0</v>
      </c>
      <c r="BD72" s="47">
        <f>+IFERROR(HLOOKUP(BD37,'סקרי נכסים-יתרות פתיחה'!$2:$76,72,0),0)-IFERROR(HLOOKUP(BD37,'סקרי נכסים-יתרות פתיחה'!$2:$90,87,0),0)</f>
        <v>0</v>
      </c>
      <c r="BE72" s="47">
        <f>+IFERROR(HLOOKUP(BE37,'סקרי נכסים-יתרות פתיחה'!$2:$76,72,0),0)-IFERROR(HLOOKUP(BE37,'סקרי נכסים-יתרות פתיחה'!$2:$90,87,0),0)</f>
        <v>0</v>
      </c>
      <c r="BF72" s="47">
        <f>+IFERROR(HLOOKUP(BF37,'סקרי נכסים-יתרות פתיחה'!$2:$76,72,0),0)-IFERROR(HLOOKUP(BF37,'סקרי נכסים-יתרות פתיחה'!$2:$90,87,0),0)</f>
        <v>0</v>
      </c>
    </row>
    <row r="73" spans="1:58" x14ac:dyDescent="0.2">
      <c r="P73" s="47"/>
    </row>
    <row r="74" spans="1:58" s="43" customFormat="1" x14ac:dyDescent="0.2">
      <c r="A74" s="43" t="s">
        <v>164</v>
      </c>
      <c r="C74" s="502">
        <f>SUM(C43:C72)/1000</f>
        <v>258419.94735714287</v>
      </c>
      <c r="D74" s="502">
        <f t="shared" ref="D74:BE74" si="1">SUM(D43:D72)/1000</f>
        <v>61142.98521428572</v>
      </c>
      <c r="E74" s="502">
        <f t="shared" si="1"/>
        <v>192682.12902857142</v>
      </c>
      <c r="F74" s="502">
        <f t="shared" si="1"/>
        <v>37258.681885714286</v>
      </c>
      <c r="G74" s="502">
        <f t="shared" si="1"/>
        <v>93114.313242857141</v>
      </c>
      <c r="H74" s="502">
        <f t="shared" si="1"/>
        <v>907315.41881428566</v>
      </c>
      <c r="I74" s="502">
        <f t="shared" si="1"/>
        <v>293958.41721428576</v>
      </c>
      <c r="J74" s="502">
        <f t="shared" si="1"/>
        <v>69389.52</v>
      </c>
      <c r="K74" s="502">
        <f t="shared" si="1"/>
        <v>116776.0508142857</v>
      </c>
      <c r="L74" s="502">
        <f t="shared" si="1"/>
        <v>112199.12365714285</v>
      </c>
      <c r="M74" s="502">
        <f t="shared" si="1"/>
        <v>130406.22857142857</v>
      </c>
      <c r="N74" s="502">
        <f t="shared" si="1"/>
        <v>237066.83378571426</v>
      </c>
      <c r="O74" s="502">
        <f t="shared" si="1"/>
        <v>143213.74815714287</v>
      </c>
      <c r="P74" s="502">
        <f t="shared" si="1"/>
        <v>123923.6975142857</v>
      </c>
      <c r="Q74" s="502">
        <f t="shared" si="1"/>
        <v>65131.364314285711</v>
      </c>
      <c r="R74" s="502">
        <f t="shared" si="1"/>
        <v>63281.553557142855</v>
      </c>
      <c r="S74" s="502">
        <f t="shared" si="1"/>
        <v>30412.7376</v>
      </c>
      <c r="T74" s="502">
        <f t="shared" si="1"/>
        <v>90838.793085714278</v>
      </c>
      <c r="U74" s="502">
        <f t="shared" si="1"/>
        <v>82343.076171428576</v>
      </c>
      <c r="V74" s="502">
        <f t="shared" si="1"/>
        <v>61883.537685714276</v>
      </c>
      <c r="W74" s="502">
        <f t="shared" si="1"/>
        <v>99670.670899999997</v>
      </c>
      <c r="X74" s="502">
        <f t="shared" si="1"/>
        <v>85834.511014285716</v>
      </c>
      <c r="Y74" s="502">
        <f t="shared" si="1"/>
        <v>52773.827014285707</v>
      </c>
      <c r="Z74" s="502">
        <f t="shared" si="1"/>
        <v>49089.081557142854</v>
      </c>
      <c r="AA74" s="502">
        <f t="shared" si="1"/>
        <v>124930.09785714287</v>
      </c>
      <c r="AB74" s="502">
        <f t="shared" si="1"/>
        <v>46020.586714285717</v>
      </c>
      <c r="AC74" s="502">
        <f t="shared" si="1"/>
        <v>126636.538</v>
      </c>
      <c r="AD74" s="502">
        <f t="shared" si="1"/>
        <v>54671.243828571423</v>
      </c>
      <c r="AE74" s="502">
        <f t="shared" si="1"/>
        <v>445026.4154</v>
      </c>
      <c r="AF74" s="502">
        <f t="shared" si="1"/>
        <v>55922.591442857149</v>
      </c>
      <c r="AG74" s="502">
        <f t="shared" si="1"/>
        <v>51370.831371428569</v>
      </c>
      <c r="AH74" s="502">
        <f t="shared" si="1"/>
        <v>47769.687142857139</v>
      </c>
      <c r="AI74" s="502">
        <f t="shared" si="1"/>
        <v>46046.871857142862</v>
      </c>
      <c r="AJ74" s="502">
        <f t="shared" si="1"/>
        <v>28348.91657142857</v>
      </c>
      <c r="AK74" s="502">
        <f t="shared" si="1"/>
        <v>26073.448971428574</v>
      </c>
      <c r="AL74" s="502">
        <f t="shared" si="1"/>
        <v>543019.86939999997</v>
      </c>
      <c r="AM74" s="502">
        <f t="shared" si="1"/>
        <v>87239.366385714282</v>
      </c>
      <c r="AN74" s="502">
        <f t="shared" si="1"/>
        <v>69252.657585714274</v>
      </c>
      <c r="AO74" s="502">
        <f t="shared" si="1"/>
        <v>163387.46057142856</v>
      </c>
      <c r="AP74" s="502">
        <f t="shared" si="1"/>
        <v>45305.821857142859</v>
      </c>
      <c r="AQ74" s="502">
        <f t="shared" si="1"/>
        <v>68289.32065714286</v>
      </c>
      <c r="AR74" s="502">
        <f t="shared" si="1"/>
        <v>70893.442757142853</v>
      </c>
      <c r="AS74" s="502">
        <f t="shared" si="1"/>
        <v>109120.94845714285</v>
      </c>
      <c r="AT74" s="502">
        <f t="shared" si="1"/>
        <v>46792.362257142857</v>
      </c>
      <c r="AU74" s="502">
        <f t="shared" si="1"/>
        <v>62406.171142857143</v>
      </c>
      <c r="AV74" s="502">
        <f t="shared" si="1"/>
        <v>113468.64322857143</v>
      </c>
      <c r="AW74" s="502">
        <f t="shared" si="1"/>
        <v>57768.368257142858</v>
      </c>
      <c r="AX74" s="502">
        <f t="shared" si="1"/>
        <v>37595.544399999999</v>
      </c>
      <c r="AY74" s="502">
        <f t="shared" si="1"/>
        <v>21184.2745</v>
      </c>
      <c r="AZ74" s="502">
        <f t="shared" si="1"/>
        <v>91109.521814285719</v>
      </c>
      <c r="BA74" s="502">
        <f t="shared" si="1"/>
        <v>89787.13557142856</v>
      </c>
      <c r="BB74" s="502">
        <f t="shared" si="1"/>
        <v>77046.994214285703</v>
      </c>
      <c r="BC74" s="502">
        <f t="shared" si="1"/>
        <v>62780.424999999996</v>
      </c>
      <c r="BD74" s="502">
        <f t="shared" si="1"/>
        <v>15106.737142857142</v>
      </c>
      <c r="BE74" s="502">
        <f t="shared" si="1"/>
        <v>17904.395142857142</v>
      </c>
      <c r="BF74" s="502">
        <f>SUM(BF43:BF72)/1000</f>
        <v>94580.448999999993</v>
      </c>
    </row>
    <row r="75" spans="1:58" x14ac:dyDescent="0.2">
      <c r="M75" s="50"/>
      <c r="N75" s="50"/>
      <c r="O75" s="50"/>
    </row>
    <row r="76" spans="1:58" x14ac:dyDescent="0.2">
      <c r="A76" s="1" t="s">
        <v>280</v>
      </c>
      <c r="B76" s="1">
        <v>1</v>
      </c>
      <c r="C76" s="47">
        <f>+IFERROR(HLOOKUP(C8,'סקרי נכסים-יתרות פתיחה'!$2:$76,73,0),0)</f>
        <v>136452761</v>
      </c>
      <c r="D76" s="47">
        <f>+IFERROR(HLOOKUP(D8,'סקרי נכסים-יתרות פתיחה'!$2:$76,73,0),0)</f>
        <v>13475000</v>
      </c>
      <c r="E76" s="47">
        <f>+IFERROR(HLOOKUP(E8,'סקרי נכסים-יתרות פתיחה'!$2:$76,73,0),0)</f>
        <v>128230596</v>
      </c>
      <c r="F76" s="47">
        <f>+IFERROR(HLOOKUP(F8,'סקרי נכסים-יתרות פתיחה'!$2:$76,73,0),0)</f>
        <v>18718642</v>
      </c>
      <c r="G76" s="47">
        <f>+IFERROR(HLOOKUP(G8,'סקרי נכסים-יתרות פתיחה'!$2:$76,73,0),0)</f>
        <v>82392178</v>
      </c>
      <c r="H76" s="47">
        <f>+IFERROR(HLOOKUP(H8,'סקרי נכסים-יתרות פתיחה'!$2:$76,73,0),0)</f>
        <v>480334891</v>
      </c>
      <c r="I76" s="47">
        <f>+IFERROR(HLOOKUP(I8,'סקרי נכסים-יתרות פתיחה'!$2:$76,73,0),0)</f>
        <v>156462403</v>
      </c>
      <c r="J76" s="47">
        <f>+IFERROR(HLOOKUP(J8,'סקרי נכסים-יתרות פתיחה'!$2:$76,73,0),0)</f>
        <v>58288302</v>
      </c>
      <c r="K76" s="47">
        <f>+IFERROR(HLOOKUP(K8,'סקרי נכסים-יתרות פתיחה'!$2:$76,73,0),0)</f>
        <v>30946040</v>
      </c>
      <c r="L76" s="47">
        <f>+IFERROR(HLOOKUP(L8,'סקרי נכסים-יתרות פתיחה'!$2:$76,73,0),0)</f>
        <v>54678649</v>
      </c>
      <c r="M76" s="47">
        <f>+IFERROR(HLOOKUP(M8,'סקרי נכסים-יתרות פתיחה'!$2:$76,73,0),0)</f>
        <v>87816000</v>
      </c>
      <c r="N76" s="47">
        <f>+IFERROR(HLOOKUP(N8,'סקרי נכסים-יתרות פתיחה'!$2:$76,73,0),0)</f>
        <v>102980454</v>
      </c>
      <c r="O76" s="47">
        <f>+IFERROR(HLOOKUP(O8,'סקרי נכסים-יתרות פתיחה'!$2:$76,73,0),0)</f>
        <v>70106355</v>
      </c>
      <c r="P76" s="47">
        <f>+IFERROR(HLOOKUP(P8,'סקרי נכסים-יתרות פתיחה'!$2:$76,73,0),0)</f>
        <v>14763306</v>
      </c>
      <c r="Q76" s="47">
        <f>+IFERROR(HLOOKUP(Q8,'סקרי נכסים-יתרות פתיחה'!$2:$76,73,0),0)</f>
        <v>42979931</v>
      </c>
      <c r="R76" s="47">
        <f>+IFERROR(HLOOKUP(R8,'סקרי נכסים-יתרות פתיחה'!$2:$76,73,0),0)</f>
        <v>34225331</v>
      </c>
      <c r="S76" s="47">
        <f>+IFERROR(HLOOKUP(S8,'סקרי נכסים-יתרות פתיחה'!$2:$76,73,0),0)</f>
        <v>20382365</v>
      </c>
      <c r="T76" s="47">
        <f>+IFERROR(HLOOKUP(T8,'סקרי נכסים-יתרות פתיחה'!$2:$76,73,0),0)</f>
        <v>25983192</v>
      </c>
      <c r="U76" s="47">
        <f>+IFERROR(HLOOKUP(U8,'סקרי נכסים-יתרות פתיחה'!$2:$76,73,0),0)</f>
        <v>62864678</v>
      </c>
      <c r="V76" s="47">
        <f>+IFERROR(HLOOKUP(V8,'סקרי נכסים-יתרות פתיחה'!$2:$76,73,0),0)</f>
        <v>8665798</v>
      </c>
      <c r="W76" s="47">
        <f>+IFERROR(HLOOKUP(W8,'סקרי נכסים-יתרות פתיחה'!$2:$76,73,0),0)</f>
        <v>29893784</v>
      </c>
      <c r="X76" s="47">
        <f>+IFERROR(HLOOKUP(X8,'סקרי נכסים-יתרות פתיחה'!$2:$76,73,0),0)</f>
        <v>36512021</v>
      </c>
      <c r="Y76" s="47">
        <f>+IFERROR(HLOOKUP(Y8,'סקרי נכסים-יתרות פתיחה'!$2:$76,73,0),0)</f>
        <v>20780033</v>
      </c>
      <c r="Z76" s="47">
        <f>+IFERROR(HLOOKUP(Z8,'סקרי נכסים-יתרות פתיחה'!$2:$76,73,0),0)</f>
        <v>36539424</v>
      </c>
      <c r="AA76" s="47">
        <f>+IFERROR(HLOOKUP(AA8,'סקרי נכסים-יתרות פתיחה'!$2:$76,73,0),0)</f>
        <v>85636525</v>
      </c>
      <c r="AB76" s="47">
        <f>+IFERROR(HLOOKUP(AB8,'סקרי נכסים-יתרות פתיחה'!$2:$76,73,0),0)</f>
        <v>35205489</v>
      </c>
      <c r="AC76" s="47">
        <f>+IFERROR(HLOOKUP(AC8,'סקרי נכסים-יתרות פתיחה'!$2:$76,73,0),0)</f>
        <v>68351183</v>
      </c>
      <c r="AD76" s="47">
        <f>+IFERROR(HLOOKUP(AD8,'סקרי נכסים-יתרות פתיחה'!$2:$76,73,0),0)</f>
        <v>28317246</v>
      </c>
      <c r="AE76" s="47">
        <f>+IFERROR(HLOOKUP(AE8,'סקרי נכסים-יתרות פתיחה'!$2:$76,73,0),0)</f>
        <v>214592112</v>
      </c>
      <c r="AF76" s="47">
        <f>+IFERROR(HLOOKUP(AF8,'סקרי נכסים-יתרות פתיחה'!$2:$76,73,0),0)</f>
        <v>11129266</v>
      </c>
      <c r="AG76" s="47">
        <f>+IFERROR(HLOOKUP(AG8,'סקרי נכסים-יתרות פתיחה'!$2:$76,73,0),0)</f>
        <v>36080231</v>
      </c>
      <c r="AH76" s="47">
        <f>+IFERROR(HLOOKUP(AH8,'סקרי נכסים-יתרות פתיחה'!$2:$76,73,0),0)</f>
        <v>35375937</v>
      </c>
      <c r="AI76" s="47">
        <f>+IFERROR(HLOOKUP(AI8,'סקרי נכסים-יתרות פתיחה'!$2:$76,73,0),0)</f>
        <v>34588705</v>
      </c>
      <c r="AJ76" s="47">
        <f>+IFERROR(HLOOKUP(AJ8,'סקרי נכסים-יתרות פתיחה'!$2:$76,73,0),0)</f>
        <v>16452484</v>
      </c>
      <c r="AK76" s="47">
        <f>+IFERROR(HLOOKUP(AK8,'סקרי נכסים-יתרות פתיחה'!$2:$76,73,0),0)</f>
        <v>10808652</v>
      </c>
      <c r="AL76" s="47">
        <f>+IFERROR(HLOOKUP(AL8,'סקרי נכסים-יתרות פתיחה'!$2:$76,73,0),0)</f>
        <v>195693476</v>
      </c>
      <c r="AM76" s="47">
        <f>+IFERROR(HLOOKUP(AM8,'סקרי נכסים-יתרות פתיחה'!$2:$76,73,0),0)</f>
        <v>12571013</v>
      </c>
      <c r="AN76" s="47">
        <f>+IFERROR(HLOOKUP(AN8,'סקרי נכסים-יתרות פתיחה'!$2:$76,73,0),0)</f>
        <v>9631219</v>
      </c>
      <c r="AO76" s="47">
        <f>+IFERROR(HLOOKUP(AO8,'סקרי נכסים-יתרות פתיחה'!$2:$76,73,0),0)</f>
        <v>67732403</v>
      </c>
      <c r="AP76" s="47">
        <f>+IFERROR(HLOOKUP(AP8,'סקרי נכסים-יתרות פתיחה'!$2:$76,73,0),0)</f>
        <v>23560257</v>
      </c>
      <c r="AQ76" s="47">
        <f>+IFERROR(HLOOKUP(AQ8,'סקרי נכסים-יתרות פתיחה'!$2:$76,73,0),0)</f>
        <v>37063227</v>
      </c>
      <c r="AR76" s="47">
        <f>+IFERROR(HLOOKUP(AR8,'סקרי נכסים-יתרות פתיחה'!$2:$76,73,0),0)</f>
        <v>26880556</v>
      </c>
      <c r="AS76" s="47">
        <f>+IFERROR(HLOOKUP(AS8,'סקרי נכסים-יתרות פתיחה'!$2:$76,73,0),0)</f>
        <v>25740957</v>
      </c>
      <c r="AT76" s="47">
        <f>+IFERROR(HLOOKUP(AT8,'סקרי נכסים-יתרות פתיחה'!$2:$76,73,0),0)</f>
        <v>34929398</v>
      </c>
      <c r="AU76" s="47">
        <f>+IFERROR(HLOOKUP(AU8,'סקרי נכסים-יתרות פתיחה'!$2:$76,73,0),0)</f>
        <v>45332274</v>
      </c>
      <c r="AV76" s="47">
        <f>+IFERROR(HLOOKUP(AV8,'סקרי נכסים-יתרות פתיחה'!$2:$76,73,0),0)</f>
        <v>54931390</v>
      </c>
      <c r="AW76" s="47">
        <f>+IFERROR(HLOOKUP(AW8,'סקרי נכסים-יתרות פתיחה'!$2:$76,73,0),0)</f>
        <v>34816701</v>
      </c>
      <c r="AX76" s="47">
        <f>+IFERROR(HLOOKUP(AX8,'סקרי נכסים-יתרות פתיחה'!$2:$76,73,0),0)</f>
        <v>0</v>
      </c>
      <c r="AY76" s="47">
        <f>+IFERROR(HLOOKUP(AY8,'סקרי נכסים-יתרות פתיחה'!$2:$76,73,0),0)</f>
        <v>15354864</v>
      </c>
      <c r="AZ76" s="47">
        <f>+IFERROR(HLOOKUP(AZ8,'סקרי נכסים-יתרות פתיחה'!$2:$76,73,0),0)</f>
        <v>12479448</v>
      </c>
      <c r="BA76" s="47">
        <f>+IFERROR(HLOOKUP(BA8,'סקרי נכסים-יתרות פתיחה'!$2:$76,73,0),0)</f>
        <v>15242107</v>
      </c>
      <c r="BB76" s="47">
        <f>+IFERROR(HLOOKUP(BB8,'סקרי נכסים-יתרות פתיחה'!$2:$76,73,0),0)</f>
        <v>11606713</v>
      </c>
      <c r="BC76" s="47">
        <f>+IFERROR(HLOOKUP(BC8,'סקרי נכסים-יתרות פתיחה'!$2:$76,73,0),0)</f>
        <v>4637085.666666667</v>
      </c>
      <c r="BD76" s="47">
        <f>+IFERROR(HLOOKUP(BD8,'סקרי נכסים-יתרות פתיחה'!$2:$76,73,0),0)</f>
        <v>0</v>
      </c>
      <c r="BE76" s="47">
        <f>+IFERROR(HLOOKUP(BE8,'סקרי נכסים-יתרות פתיחה'!$2:$76,73,0),0)</f>
        <v>9665056</v>
      </c>
      <c r="BF76" s="47">
        <f>+IFERROR(HLOOKUP(BF8,'סקרי נכסים-יתרות פתיחה'!$2:$76,73,0),0)</f>
        <v>40311868</v>
      </c>
    </row>
    <row r="77" spans="1:58" x14ac:dyDescent="0.2">
      <c r="B77" s="1">
        <v>2</v>
      </c>
      <c r="C77" s="47">
        <f>+IFERROR(HLOOKUP(C9,'סקרי נכסים-יתרות פתיחה'!$2:$76,73,0),0)</f>
        <v>15978545</v>
      </c>
      <c r="D77" s="47">
        <f>+IFERROR(HLOOKUP(D9,'סקרי נכסים-יתרות פתיחה'!$2:$76,73,0),0)</f>
        <v>3699559</v>
      </c>
      <c r="E77" s="47">
        <f>+IFERROR(HLOOKUP(E9,'סקרי נכסים-יתרות פתיחה'!$2:$76,73,0),0)</f>
        <v>0</v>
      </c>
      <c r="F77" s="47">
        <f>+IFERROR(HLOOKUP(F9,'סקרי נכסים-יתרות פתיחה'!$2:$76,73,0),0)</f>
        <v>7217546.3333333321</v>
      </c>
      <c r="G77" s="47">
        <f>+IFERROR(HLOOKUP(G9,'סקרי נכסים-יתרות פתיחה'!$2:$76,73,0),0)</f>
        <v>0</v>
      </c>
      <c r="H77" s="47">
        <f>+IFERROR(HLOOKUP(H9,'סקרי נכסים-יתרות פתיחה'!$2:$76,73,0),0)</f>
        <v>3690360</v>
      </c>
      <c r="I77" s="47">
        <f>+IFERROR(HLOOKUP(I9,'סקרי נכסים-יתרות פתיחה'!$2:$76,73,0),0)</f>
        <v>0</v>
      </c>
      <c r="J77" s="47">
        <f>+IFERROR(HLOOKUP(J9,'סקרי נכסים-יתרות פתיחה'!$2:$76,73,0),0)</f>
        <v>0</v>
      </c>
      <c r="K77" s="47">
        <f>+IFERROR(HLOOKUP(K9,'סקרי נכסים-יתרות פתיחה'!$2:$76,73,0),0)</f>
        <v>19849875</v>
      </c>
      <c r="L77" s="47">
        <f>+IFERROR(HLOOKUP(L9,'סקרי נכסים-יתרות פתיחה'!$2:$76,73,0),0)</f>
        <v>5298074</v>
      </c>
      <c r="M77" s="47">
        <f>+IFERROR(HLOOKUP(M9,'סקרי נכסים-יתרות פתיחה'!$2:$76,73,0),0)</f>
        <v>0</v>
      </c>
      <c r="N77" s="47">
        <f>+IFERROR(HLOOKUP(N9,'סקרי נכסים-יתרות פתיחה'!$2:$76,73,0),0)</f>
        <v>11230241</v>
      </c>
      <c r="O77" s="47">
        <f>+IFERROR(HLOOKUP(O9,'סקרי נכסים-יתרות פתיחה'!$2:$76,73,0),0)</f>
        <v>7217614</v>
      </c>
      <c r="P77" s="47">
        <f>+IFERROR(HLOOKUP(P9,'סקרי נכסים-יתרות פתיחה'!$2:$76,73,0),0)</f>
        <v>10236310</v>
      </c>
      <c r="Q77" s="47">
        <f>+IFERROR(HLOOKUP(Q9,'סקרי נכסים-יתרות פתיחה'!$2:$76,73,0),0)</f>
        <v>0</v>
      </c>
      <c r="R77" s="47">
        <f>+IFERROR(HLOOKUP(R9,'סקרי נכסים-יתרות פתיחה'!$2:$76,73,0),0)</f>
        <v>7652676</v>
      </c>
      <c r="S77" s="47">
        <f>+IFERROR(HLOOKUP(S9,'סקרי נכסים-יתרות פתיחה'!$2:$76,73,0),0)</f>
        <v>0</v>
      </c>
      <c r="T77" s="47">
        <f>+IFERROR(HLOOKUP(T9,'סקרי נכסים-יתרות פתיחה'!$2:$76,73,0),0)</f>
        <v>17622201</v>
      </c>
      <c r="U77" s="47">
        <f>+IFERROR(HLOOKUP(U9,'סקרי נכסים-יתרות פתיחה'!$2:$76,73,0),0)</f>
        <v>0</v>
      </c>
      <c r="V77" s="47">
        <f>+IFERROR(HLOOKUP(V9,'סקרי נכסים-יתרות פתיחה'!$2:$76,73,0),0)</f>
        <v>7567791</v>
      </c>
      <c r="W77" s="47">
        <f>+IFERROR(HLOOKUP(W9,'סקרי נכסים-יתרות פתיחה'!$2:$76,73,0),0)</f>
        <v>5073110</v>
      </c>
      <c r="X77" s="47">
        <f>+IFERROR(HLOOKUP(X9,'סקרי נכסים-יתרות פתיחה'!$2:$76,73,0),0)</f>
        <v>10358291</v>
      </c>
      <c r="Y77" s="47">
        <f>+IFERROR(HLOOKUP(Y9,'סקרי נכסים-יתרות פתיחה'!$2:$76,73,0),0)</f>
        <v>6937059</v>
      </c>
      <c r="Z77" s="47">
        <f>+IFERROR(HLOOKUP(Z9,'סקרי נכסים-יתרות פתיחה'!$2:$76,73,0),0)</f>
        <v>0</v>
      </c>
      <c r="AA77" s="47">
        <f>+IFERROR(HLOOKUP(AA9,'סקרי נכסים-יתרות פתיחה'!$2:$76,73,0),0)</f>
        <v>0</v>
      </c>
      <c r="AB77" s="47">
        <f>+IFERROR(HLOOKUP(AB9,'סקרי נכסים-יתרות פתיחה'!$2:$76,73,0),0)</f>
        <v>0</v>
      </c>
      <c r="AC77" s="47">
        <f>+IFERROR(HLOOKUP(AC9,'סקרי נכסים-יתרות פתיחה'!$2:$76,73,0),0)</f>
        <v>0</v>
      </c>
      <c r="AD77" s="47">
        <f>+IFERROR(HLOOKUP(AD9,'סקרי נכסים-יתרות פתיחה'!$2:$76,73,0),0)</f>
        <v>0</v>
      </c>
      <c r="AE77" s="47">
        <f>+IFERROR(HLOOKUP(AE9,'סקרי נכסים-יתרות פתיחה'!$2:$76,73,0),0)</f>
        <v>0</v>
      </c>
      <c r="AF77" s="47">
        <f>+IFERROR(HLOOKUP(AF9,'סקרי נכסים-יתרות פתיחה'!$2:$76,73,0),0)</f>
        <v>23224000</v>
      </c>
      <c r="AG77" s="47">
        <f>+IFERROR(HLOOKUP(AG9,'סקרי נכסים-יתרות פתיחה'!$2:$76,73,0),0)</f>
        <v>0</v>
      </c>
      <c r="AH77" s="47">
        <f>+IFERROR(HLOOKUP(AH9,'סקרי נכסים-יתרות פתיחה'!$2:$76,73,0),0)</f>
        <v>0</v>
      </c>
      <c r="AI77" s="47">
        <f>+IFERROR(HLOOKUP(AI9,'סקרי נכסים-יתרות פתיחה'!$2:$76,73,0),0)</f>
        <v>0</v>
      </c>
      <c r="AJ77" s="47">
        <f>+IFERROR(HLOOKUP(AJ9,'סקרי נכסים-יתרות פתיחה'!$2:$76,73,0),0)</f>
        <v>6029809</v>
      </c>
      <c r="AK77" s="47">
        <f>+IFERROR(HLOOKUP(AK9,'סקרי נכסים-יתרות פתיחה'!$2:$76,73,0),0)</f>
        <v>0</v>
      </c>
      <c r="AL77" s="47">
        <f>+IFERROR(HLOOKUP(AL9,'סקרי נכסים-יתרות פתיחה'!$2:$76,73,0),0)</f>
        <v>0</v>
      </c>
      <c r="AM77" s="47">
        <f>+IFERROR(HLOOKUP(AM9,'סקרי נכסים-יתרות פתיחה'!$2:$76,73,0),0)</f>
        <v>17401427</v>
      </c>
      <c r="AN77" s="47">
        <f>+IFERROR(HLOOKUP(AN9,'סקרי נכסים-יתרות פתיחה'!$2:$76,73,0),0)</f>
        <v>5326839</v>
      </c>
      <c r="AO77" s="47">
        <f>+IFERROR(HLOOKUP(AO9,'סקרי נכסים-יתרות פתיחה'!$2:$76,73,0),0)</f>
        <v>0</v>
      </c>
      <c r="AP77" s="47">
        <f>+IFERROR(HLOOKUP(AP9,'סקרי נכסים-יתרות פתיחה'!$2:$76,73,0),0)</f>
        <v>0</v>
      </c>
      <c r="AQ77" s="47">
        <f>+IFERROR(HLOOKUP(AQ9,'סקרי נכסים-יתרות פתיחה'!$2:$76,73,0),0)</f>
        <v>0</v>
      </c>
      <c r="AR77" s="47">
        <f>+IFERROR(HLOOKUP(AR9,'סקרי נכסים-יתרות פתיחה'!$2:$76,73,0),0)</f>
        <v>14885687</v>
      </c>
      <c r="AS77" s="47">
        <f>+IFERROR(HLOOKUP(AS9,'סקרי נכסים-יתרות פתיחה'!$2:$76,73,0),0)</f>
        <v>7852103</v>
      </c>
      <c r="AT77" s="47">
        <f>+IFERROR(HLOOKUP(AT9,'סקרי נכסים-יתרות פתיחה'!$2:$76,73,0),0)</f>
        <v>0</v>
      </c>
      <c r="AU77" s="47">
        <f>+IFERROR(HLOOKUP(AU9,'סקרי נכסים-יתרות פתיחה'!$2:$76,73,0),0)</f>
        <v>0</v>
      </c>
      <c r="AV77" s="47">
        <f>+IFERROR(HLOOKUP(AV9,'סקרי נכסים-יתרות פתיחה'!$2:$76,73,0),0)</f>
        <v>14652449</v>
      </c>
      <c r="AW77" s="47">
        <f>+IFERROR(HLOOKUP(AW9,'סקרי נכסים-יתרות פתיחה'!$2:$76,73,0),0)</f>
        <v>0</v>
      </c>
      <c r="AX77" s="47">
        <f>+IFERROR(HLOOKUP(AX9,'סקרי נכסים-יתרות פתיחה'!$2:$76,73,0),0)</f>
        <v>5269232</v>
      </c>
      <c r="AY77" s="47">
        <f>+IFERROR(HLOOKUP(AY9,'סקרי נכסים-יתרות פתיחה'!$2:$76,73,0),0)</f>
        <v>0</v>
      </c>
      <c r="AZ77" s="47">
        <f>+IFERROR(HLOOKUP(AZ9,'סקרי נכסים-יתרות פתיחה'!$2:$76,73,0),0)</f>
        <v>17032460</v>
      </c>
      <c r="BA77" s="47">
        <f>+IFERROR(HLOOKUP(BA9,'סקרי נכסים-יתרות פתיחה'!$2:$76,73,0),0)</f>
        <v>10673053</v>
      </c>
      <c r="BB77" s="47">
        <f>+IFERROR(HLOOKUP(BB9,'סקרי נכסים-יתרות פתיחה'!$2:$76,73,0),0)</f>
        <v>12459130</v>
      </c>
      <c r="BC77" s="47">
        <f>+IFERROR(HLOOKUP(BC9,'סקרי נכסים-יתרות פתיחה'!$2:$76,73,0),0)</f>
        <v>5521993</v>
      </c>
      <c r="BD77" s="47">
        <f>+IFERROR(HLOOKUP(BD9,'סקרי נכסים-יתרות פתיחה'!$2:$76,73,0),0)</f>
        <v>5673409</v>
      </c>
      <c r="BE77" s="47">
        <f>+IFERROR(HLOOKUP(BE9,'סקרי נכסים-יתרות פתיחה'!$2:$76,73,0),0)</f>
        <v>0</v>
      </c>
      <c r="BF77" s="47">
        <f>+IFERROR(HLOOKUP(BF9,'סקרי נכסים-יתרות פתיחה'!$2:$76,73,0),0)</f>
        <v>0</v>
      </c>
    </row>
    <row r="78" spans="1:58" x14ac:dyDescent="0.2">
      <c r="B78" s="1">
        <v>3</v>
      </c>
      <c r="C78" s="47">
        <f>+IFERROR(HLOOKUP(C10,'סקרי נכסים-יתרות פתיחה'!$2:$76,73,0),0)</f>
        <v>2737623</v>
      </c>
      <c r="D78" s="47">
        <f>+IFERROR(HLOOKUP(D10,'סקרי נכסים-יתרות פתיחה'!$2:$76,73,0),0)</f>
        <v>7666305</v>
      </c>
      <c r="E78" s="47">
        <f>+IFERROR(HLOOKUP(E10,'סקרי נכסים-יתרות פתיחה'!$2:$76,73,0),0)</f>
        <v>0</v>
      </c>
      <c r="F78" s="47">
        <f>+IFERROR(HLOOKUP(F10,'סקרי נכסים-יתרות פתיחה'!$2:$76,73,0),0)</f>
        <v>0</v>
      </c>
      <c r="G78" s="47">
        <f>+IFERROR(HLOOKUP(G10,'סקרי נכסים-יתרות פתיחה'!$2:$76,73,0),0)</f>
        <v>0</v>
      </c>
      <c r="H78" s="47">
        <f>+IFERROR(HLOOKUP(H10,'סקרי נכסים-יתרות פתיחה'!$2:$76,73,0),0)</f>
        <v>15237268</v>
      </c>
      <c r="I78" s="47">
        <f>+IFERROR(HLOOKUP(I10,'סקרי נכסים-יתרות פתיחה'!$2:$76,73,0),0)</f>
        <v>0</v>
      </c>
      <c r="J78" s="47">
        <f>+IFERROR(HLOOKUP(J10,'סקרי נכסים-יתרות פתיחה'!$2:$76,73,0),0)</f>
        <v>0</v>
      </c>
      <c r="K78" s="47">
        <f>+IFERROR(HLOOKUP(K10,'סקרי נכסים-יתרות פתיחה'!$2:$76,73,0),0)</f>
        <v>22454683</v>
      </c>
      <c r="L78" s="47">
        <f>+IFERROR(HLOOKUP(L10,'סקרי נכסים-יתרות פתיחה'!$2:$76,73,0),0)</f>
        <v>0</v>
      </c>
      <c r="M78" s="47">
        <f>+IFERROR(HLOOKUP(M10,'סקרי נכסים-יתרות פתיחה'!$2:$76,73,0),0)</f>
        <v>0</v>
      </c>
      <c r="N78" s="47">
        <f>+IFERROR(HLOOKUP(N10,'סקרי נכסים-יתרות פתיחה'!$2:$76,73,0),0)</f>
        <v>0</v>
      </c>
      <c r="O78" s="47">
        <f>+IFERROR(HLOOKUP(O10,'סקרי נכסים-יתרות פתיחה'!$2:$76,73,0),0)</f>
        <v>4907143</v>
      </c>
      <c r="P78" s="47">
        <f>+IFERROR(HLOOKUP(P10,'סקרי נכסים-יתרות פתיחה'!$2:$76,73,0),0)</f>
        <v>7061221</v>
      </c>
      <c r="Q78" s="47">
        <f>+IFERROR(HLOOKUP(Q10,'סקרי נכסים-יתרות פתיחה'!$2:$76,73,0),0)</f>
        <v>0</v>
      </c>
      <c r="R78" s="47">
        <f>+IFERROR(HLOOKUP(R10,'סקרי נכסים-יתרות פתיחה'!$2:$76,73,0),0)</f>
        <v>6583550</v>
      </c>
      <c r="S78" s="47">
        <f>+IFERROR(HLOOKUP(S10,'סקרי נכסים-יתרות פתיחה'!$2:$76,73,0),0)</f>
        <v>0</v>
      </c>
      <c r="T78" s="47">
        <f>+IFERROR(HLOOKUP(T10,'סקרי נכסים-יתרות פתיחה'!$2:$76,73,0),0)</f>
        <v>9754236</v>
      </c>
      <c r="U78" s="47">
        <f>+IFERROR(HLOOKUP(U10,'סקרי נכסים-יתרות פתיחה'!$2:$76,73,0),0)</f>
        <v>0</v>
      </c>
      <c r="V78" s="47">
        <f>+IFERROR(HLOOKUP(V10,'סקרי נכסים-יתרות פתיחה'!$2:$76,73,0),0)</f>
        <v>8242194</v>
      </c>
      <c r="W78" s="47">
        <f>+IFERROR(HLOOKUP(W10,'סקרי נכסים-יתרות פתיחה'!$2:$76,73,0),0)</f>
        <v>13627786</v>
      </c>
      <c r="X78" s="47">
        <f>+IFERROR(HLOOKUP(X10,'סקרי נכסים-יתרות פתיחה'!$2:$76,73,0),0)</f>
        <v>12447864</v>
      </c>
      <c r="Y78" s="47">
        <f>+IFERROR(HLOOKUP(Y10,'סקרי נכסים-יתרות פתיחה'!$2:$76,73,0),0)</f>
        <v>6628440</v>
      </c>
      <c r="Z78" s="47">
        <f>+IFERROR(HLOOKUP(Z10,'סקרי נכסים-יתרות פתיחה'!$2:$76,73,0),0)</f>
        <v>0</v>
      </c>
      <c r="AA78" s="47">
        <f>+IFERROR(HLOOKUP(AA10,'סקרי נכסים-יתרות פתיחה'!$2:$76,73,0),0)</f>
        <v>0</v>
      </c>
      <c r="AB78" s="47">
        <f>+IFERROR(HLOOKUP(AB10,'סקרי נכסים-יתרות פתיחה'!$2:$76,73,0),0)</f>
        <v>0</v>
      </c>
      <c r="AC78" s="47">
        <f>+IFERROR(HLOOKUP(AC10,'סקרי נכסים-יתרות פתיחה'!$2:$76,73,0),0)</f>
        <v>0</v>
      </c>
      <c r="AD78" s="47">
        <f>+IFERROR(HLOOKUP(AD10,'סקרי נכסים-יתרות פתיחה'!$2:$76,73,0),0)</f>
        <v>0</v>
      </c>
      <c r="AE78" s="47">
        <f>+IFERROR(HLOOKUP(AE10,'סקרי נכסים-יתרות פתיחה'!$2:$76,73,0),0)</f>
        <v>0</v>
      </c>
      <c r="AF78" s="47">
        <f>+IFERROR(HLOOKUP(AF10,'סקרי נכסים-יתרות פתיחה'!$2:$76,73,0),0)</f>
        <v>0</v>
      </c>
      <c r="AG78" s="47">
        <f>+IFERROR(HLOOKUP(AG10,'סקרי נכסים-יתרות פתיחה'!$2:$76,73,0),0)</f>
        <v>0</v>
      </c>
      <c r="AH78" s="47">
        <f>+IFERROR(HLOOKUP(AH10,'סקרי נכסים-יתרות פתיחה'!$2:$76,73,0),0)</f>
        <v>0</v>
      </c>
      <c r="AI78" s="47">
        <f>+IFERROR(HLOOKUP(AI10,'סקרי נכסים-יתרות פתיחה'!$2:$76,73,0),0)</f>
        <v>0</v>
      </c>
      <c r="AJ78" s="47">
        <f>+IFERROR(HLOOKUP(AJ10,'סקרי נכסים-יתרות פתיחה'!$2:$76,73,0),0)</f>
        <v>0</v>
      </c>
      <c r="AK78" s="47">
        <f>+IFERROR(HLOOKUP(AK10,'סקרי נכסים-יתרות פתיחה'!$2:$76,73,0),0)</f>
        <v>0</v>
      </c>
      <c r="AL78" s="47">
        <f>+IFERROR(HLOOKUP(AL10,'סקרי נכסים-יתרות פתיחה'!$2:$76,73,0),0)</f>
        <v>0</v>
      </c>
      <c r="AM78" s="47">
        <f>+IFERROR(HLOOKUP(AM10,'סקרי נכסים-יתרות פתיחה'!$2:$76,73,0),0)</f>
        <v>6193000</v>
      </c>
      <c r="AN78" s="47">
        <f>+IFERROR(HLOOKUP(AN10,'סקרי נכסים-יתרות פתיחה'!$2:$76,73,0),0)</f>
        <v>2795425</v>
      </c>
      <c r="AO78" s="47">
        <f>+IFERROR(HLOOKUP(AO10,'סקרי נכסים-יתרות פתיחה'!$2:$76,73,0),0)</f>
        <v>0</v>
      </c>
      <c r="AP78" s="47">
        <f>+IFERROR(HLOOKUP(AP10,'סקרי נכסים-יתרות פתיחה'!$2:$76,73,0),0)</f>
        <v>0</v>
      </c>
      <c r="AQ78" s="47">
        <f>+IFERROR(HLOOKUP(AQ10,'סקרי נכסים-יתרות פתיחה'!$2:$76,73,0),0)</f>
        <v>0</v>
      </c>
      <c r="AR78" s="47">
        <f>+IFERROR(HLOOKUP(AR10,'סקרי נכסים-יתרות פתיחה'!$2:$76,73,0),0)</f>
        <v>0</v>
      </c>
      <c r="AS78" s="47">
        <f>+IFERROR(HLOOKUP(AS10,'סקרי נכסים-יתרות פתיחה'!$2:$76,73,0),0)</f>
        <v>2045413</v>
      </c>
      <c r="AT78" s="47">
        <f>+IFERROR(HLOOKUP(AT10,'סקרי נכסים-יתרות פתיחה'!$2:$76,73,0),0)</f>
        <v>0</v>
      </c>
      <c r="AU78" s="47">
        <f>+IFERROR(HLOOKUP(AU10,'סקרי נכסים-יתרות פתיחה'!$2:$76,73,0),0)</f>
        <v>0</v>
      </c>
      <c r="AV78" s="47">
        <f>+IFERROR(HLOOKUP(AV10,'סקרי נכסים-יתרות פתיחה'!$2:$76,73,0),0)</f>
        <v>0</v>
      </c>
      <c r="AW78" s="47">
        <f>+IFERROR(HLOOKUP(AW10,'סקרי נכסים-יתרות פתיחה'!$2:$76,73,0),0)</f>
        <v>0</v>
      </c>
      <c r="AX78" s="47">
        <f>+IFERROR(HLOOKUP(AX10,'סקרי נכסים-יתרות פתיחה'!$2:$76,73,0),0)</f>
        <v>8782813</v>
      </c>
      <c r="AY78" s="47">
        <f>+IFERROR(HLOOKUP(AY10,'סקרי נכסים-יתרות פתיחה'!$2:$76,73,0),0)</f>
        <v>0</v>
      </c>
      <c r="AZ78" s="47">
        <f>+IFERROR(HLOOKUP(AZ10,'סקרי נכסים-יתרות פתיחה'!$2:$76,73,0),0)</f>
        <v>8317673</v>
      </c>
      <c r="BA78" s="47">
        <f>+IFERROR(HLOOKUP(BA10,'סקרי נכסים-יתרות פתיחה'!$2:$76,73,0),0)</f>
        <v>9988104</v>
      </c>
      <c r="BB78" s="47">
        <f>+IFERROR(HLOOKUP(BB10,'סקרי נכסים-יתרות פתיחה'!$2:$76,73,0),0)</f>
        <v>8497888</v>
      </c>
      <c r="BC78" s="47">
        <f>+IFERROR(HLOOKUP(BC10,'סקרי נכסים-יתרות פתיחה'!$2:$76,73,0),0)</f>
        <v>4818502</v>
      </c>
      <c r="BD78" s="47">
        <f>+IFERROR(HLOOKUP(BD10,'סקרי נכסים-יתרות פתיחה'!$2:$76,73,0),0)</f>
        <v>0</v>
      </c>
      <c r="BE78" s="47">
        <f>+IFERROR(HLOOKUP(BE10,'סקרי נכסים-יתרות פתיחה'!$2:$76,73,0),0)</f>
        <v>0</v>
      </c>
      <c r="BF78" s="47">
        <f>+IFERROR(HLOOKUP(BF10,'סקרי נכסים-יתרות פתיחה'!$2:$76,73,0),0)</f>
        <v>0</v>
      </c>
    </row>
    <row r="79" spans="1:58" x14ac:dyDescent="0.2">
      <c r="B79" s="1">
        <v>4</v>
      </c>
      <c r="C79" s="47">
        <f>+IFERROR(HLOOKUP(C11,'סקרי נכסים-יתרות פתיחה'!$2:$76,73,0),0)</f>
        <v>0</v>
      </c>
      <c r="D79" s="47">
        <f>+IFERROR(HLOOKUP(D11,'סקרי נכסים-יתרות פתיחה'!$2:$76,73,0),0)</f>
        <v>4794016</v>
      </c>
      <c r="E79" s="47">
        <f>+IFERROR(HLOOKUP(E11,'סקרי נכסים-יתרות פתיחה'!$2:$76,73,0),0)</f>
        <v>0</v>
      </c>
      <c r="F79" s="47">
        <f>+IFERROR(HLOOKUP(F11,'סקרי נכסים-יתרות פתיחה'!$2:$76,73,0),0)</f>
        <v>0</v>
      </c>
      <c r="G79" s="47">
        <f>+IFERROR(HLOOKUP(G11,'סקרי נכסים-יתרות פתיחה'!$2:$76,73,0),0)</f>
        <v>0</v>
      </c>
      <c r="H79" s="47">
        <f>+IFERROR(HLOOKUP(H11,'סקרי נכסים-יתרות פתיחה'!$2:$76,73,0),0)</f>
        <v>0</v>
      </c>
      <c r="I79" s="47">
        <f>+IFERROR(HLOOKUP(I11,'סקרי נכסים-יתרות פתיחה'!$2:$76,73,0),0)</f>
        <v>0</v>
      </c>
      <c r="J79" s="47">
        <f>+IFERROR(HLOOKUP(J11,'סקרי נכסים-יתרות פתיחה'!$2:$76,73,0),0)</f>
        <v>0</v>
      </c>
      <c r="K79" s="47">
        <f>+IFERROR(HLOOKUP(K11,'סקרי נכסים-יתרות פתיחה'!$2:$76,73,0),0)</f>
        <v>0</v>
      </c>
      <c r="L79" s="47">
        <f>+IFERROR(HLOOKUP(L11,'סקרי נכסים-יתרות פתיחה'!$2:$76,73,0),0)</f>
        <v>3034282</v>
      </c>
      <c r="M79" s="47">
        <f>+IFERROR(HLOOKUP(M11,'סקרי נכסים-יתרות פתיחה'!$2:$76,73,0),0)</f>
        <v>0</v>
      </c>
      <c r="N79" s="47">
        <f>+IFERROR(HLOOKUP(N11,'סקרי נכסים-יתרות פתיחה'!$2:$76,73,0),0)</f>
        <v>0</v>
      </c>
      <c r="O79" s="47">
        <f>+IFERROR(HLOOKUP(O11,'סקרי נכסים-יתרות פתיחה'!$2:$76,73,0),0)</f>
        <v>16682986</v>
      </c>
      <c r="P79" s="47">
        <f>+IFERROR(HLOOKUP(P11,'סקרי נכסים-יתרות פתיחה'!$2:$76,73,0),0)</f>
        <v>1756460</v>
      </c>
      <c r="Q79" s="47">
        <f>+IFERROR(HLOOKUP(Q11,'סקרי נכסים-יתרות פתיחה'!$2:$76,73,0),0)</f>
        <v>0</v>
      </c>
      <c r="R79" s="47">
        <f>+IFERROR(HLOOKUP(R11,'סקרי נכסים-יתרות פתיחה'!$2:$76,73,0),0)</f>
        <v>0</v>
      </c>
      <c r="S79" s="47">
        <f>+IFERROR(HLOOKUP(S11,'סקרי נכסים-יתרות פתיחה'!$2:$76,73,0),0)</f>
        <v>0</v>
      </c>
      <c r="T79" s="47">
        <f>+IFERROR(HLOOKUP(T11,'סקרי נכסים-יתרות פתיחה'!$2:$76,73,0),0)</f>
        <v>3744463</v>
      </c>
      <c r="U79" s="47">
        <f>+IFERROR(HLOOKUP(U11,'סקרי נכסים-יתרות פתיחה'!$2:$76,73,0),0)</f>
        <v>0</v>
      </c>
      <c r="V79" s="47">
        <f>+IFERROR(HLOOKUP(V11,'סקרי נכסים-יתרות פתיחה'!$2:$76,73,0),0)</f>
        <v>7584985</v>
      </c>
      <c r="W79" s="47">
        <f>+IFERROR(HLOOKUP(W11,'סקרי נכסים-יתרות פתיחה'!$2:$76,73,0),0)</f>
        <v>1039496</v>
      </c>
      <c r="X79" s="47">
        <f>+IFERROR(HLOOKUP(X11,'סקרי נכסים-יתרות פתיחה'!$2:$76,73,0),0)</f>
        <v>5399478</v>
      </c>
      <c r="Y79" s="47">
        <f>+IFERROR(HLOOKUP(Y11,'סקרי נכסים-יתרות פתיחה'!$2:$76,73,0),0)</f>
        <v>5727180</v>
      </c>
      <c r="Z79" s="47">
        <f>+IFERROR(HLOOKUP(Z11,'סקרי נכסים-יתרות פתיחה'!$2:$76,73,0),0)</f>
        <v>0</v>
      </c>
      <c r="AA79" s="47">
        <f>+IFERROR(HLOOKUP(AA11,'סקרי נכסים-יתרות פתיחה'!$2:$76,73,0),0)</f>
        <v>0</v>
      </c>
      <c r="AB79" s="47">
        <f>+IFERROR(HLOOKUP(AB11,'סקרי נכסים-יתרות פתיחה'!$2:$76,73,0),0)</f>
        <v>0</v>
      </c>
      <c r="AC79" s="47">
        <f>+IFERROR(HLOOKUP(AC11,'סקרי נכסים-יתרות פתיחה'!$2:$76,73,0),0)</f>
        <v>0</v>
      </c>
      <c r="AD79" s="47">
        <f>+IFERROR(HLOOKUP(AD11,'סקרי נכסים-יתרות פתיחה'!$2:$76,73,0),0)</f>
        <v>0</v>
      </c>
      <c r="AE79" s="47">
        <f>+IFERROR(HLOOKUP(AE11,'סקרי נכסים-יתרות פתיחה'!$2:$76,73,0),0)</f>
        <v>0</v>
      </c>
      <c r="AF79" s="47">
        <f>+IFERROR(HLOOKUP(AF11,'סקרי נכסים-יתרות פתיחה'!$2:$76,73,0),0)</f>
        <v>0</v>
      </c>
      <c r="AG79" s="47">
        <f>+IFERROR(HLOOKUP(AG11,'סקרי נכסים-יתרות פתיחה'!$2:$76,73,0),0)</f>
        <v>0</v>
      </c>
      <c r="AH79" s="47">
        <f>+IFERROR(HLOOKUP(AH11,'סקרי נכסים-יתרות פתיחה'!$2:$76,73,0),0)</f>
        <v>0</v>
      </c>
      <c r="AI79" s="47">
        <f>+IFERROR(HLOOKUP(AI11,'סקרי נכסים-יתרות פתיחה'!$2:$76,73,0),0)</f>
        <v>0</v>
      </c>
      <c r="AJ79" s="47">
        <f>+IFERROR(HLOOKUP(AJ11,'סקרי נכסים-יתרות פתיחה'!$2:$76,73,0),0)</f>
        <v>0</v>
      </c>
      <c r="AK79" s="47">
        <f>+IFERROR(HLOOKUP(AK11,'סקרי נכסים-יתרות פתיחה'!$2:$76,73,0),0)</f>
        <v>0</v>
      </c>
      <c r="AL79" s="47">
        <f>+IFERROR(HLOOKUP(AL11,'סקרי נכסים-יתרות פתיחה'!$2:$76,73,0),0)</f>
        <v>0</v>
      </c>
      <c r="AM79" s="47">
        <f>+IFERROR(HLOOKUP(AM11,'סקרי נכסים-יתרות פתיחה'!$2:$76,73,0),0)</f>
        <v>12864998</v>
      </c>
      <c r="AN79" s="47">
        <f>+IFERROR(HLOOKUP(AN11,'סקרי נכסים-יתרות פתיחה'!$2:$76,73,0),0)</f>
        <v>10157870</v>
      </c>
      <c r="AO79" s="47">
        <f>+IFERROR(HLOOKUP(AO11,'סקרי נכסים-יתרות פתיחה'!$2:$76,73,0),0)</f>
        <v>0</v>
      </c>
      <c r="AP79" s="47">
        <f>+IFERROR(HLOOKUP(AP11,'סקרי נכסים-יתרות פתיחה'!$2:$76,73,0),0)</f>
        <v>0</v>
      </c>
      <c r="AQ79" s="47">
        <f>+IFERROR(HLOOKUP(AQ11,'סקרי נכסים-יתרות פתיחה'!$2:$76,73,0),0)</f>
        <v>0</v>
      </c>
      <c r="AR79" s="47">
        <f>+IFERROR(HLOOKUP(AR11,'סקרי נכסים-יתרות פתיחה'!$2:$76,73,0),0)</f>
        <v>0</v>
      </c>
      <c r="AS79" s="47">
        <f>+IFERROR(HLOOKUP(AS11,'סקרי נכסים-יתרות פתיחה'!$2:$76,73,0),0)</f>
        <v>9551828</v>
      </c>
      <c r="AT79" s="47">
        <f>+IFERROR(HLOOKUP(AT11,'סקרי נכסים-יתרות פתיחה'!$2:$76,73,0),0)</f>
        <v>0</v>
      </c>
      <c r="AU79" s="47">
        <f>+IFERROR(HLOOKUP(AU11,'סקרי נכסים-יתרות פתיחה'!$2:$76,73,0),0)</f>
        <v>0</v>
      </c>
      <c r="AV79" s="47">
        <f>+IFERROR(HLOOKUP(AV11,'סקרי נכסים-יתרות פתיחה'!$2:$76,73,0),0)</f>
        <v>0</v>
      </c>
      <c r="AW79" s="47">
        <f>+IFERROR(HLOOKUP(AW11,'סקרי נכסים-יתרות פתיחה'!$2:$76,73,0),0)</f>
        <v>0</v>
      </c>
      <c r="AX79" s="47">
        <f>+IFERROR(HLOOKUP(AX11,'סקרי נכסים-יתרות פתיחה'!$2:$76,73,0),0)</f>
        <v>13422697</v>
      </c>
      <c r="AY79" s="47">
        <f>+IFERROR(HLOOKUP(AY11,'סקרי נכסים-יתרות פתיחה'!$2:$76,73,0),0)</f>
        <v>0</v>
      </c>
      <c r="AZ79" s="47">
        <f>+IFERROR(HLOOKUP(AZ11,'סקרי נכסים-יתרות פתיחה'!$2:$76,73,0),0)</f>
        <v>21278633</v>
      </c>
      <c r="BA79" s="47">
        <f>+IFERROR(HLOOKUP(BA11,'סקרי נכסים-יתרות פתיחה'!$2:$76,73,0),0)</f>
        <v>5796565</v>
      </c>
      <c r="BB79" s="47">
        <f>+IFERROR(HLOOKUP(BB11,'סקרי נכסים-יתרות פתיחה'!$2:$76,73,0),0)</f>
        <v>8010824</v>
      </c>
      <c r="BC79" s="47">
        <f>+IFERROR(HLOOKUP(BC11,'סקרי נכסים-יתרות פתיחה'!$2:$76,73,0),0)</f>
        <v>12245393</v>
      </c>
      <c r="BD79" s="47">
        <f>+IFERROR(HLOOKUP(BD11,'סקרי נכסים-יתרות פתיחה'!$2:$76,73,0),0)</f>
        <v>0</v>
      </c>
      <c r="BE79" s="47">
        <f>+IFERROR(HLOOKUP(BE11,'סקרי נכסים-יתרות פתיחה'!$2:$76,73,0),0)</f>
        <v>0</v>
      </c>
      <c r="BF79" s="47">
        <f>+IFERROR(HLOOKUP(BF11,'סקרי נכסים-יתרות פתיחה'!$2:$76,73,0),0)</f>
        <v>0</v>
      </c>
    </row>
    <row r="80" spans="1:58" x14ac:dyDescent="0.2">
      <c r="B80" s="1">
        <v>5</v>
      </c>
      <c r="C80" s="47">
        <f>+IFERROR(HLOOKUP(C12,'סקרי נכסים-יתרות פתיחה'!$2:$76,73,0),0)</f>
        <v>0</v>
      </c>
      <c r="D80" s="47">
        <f>+IFERROR(HLOOKUP(D12,'סקרי נכסים-יתרות פתיחה'!$2:$76,73,0),0)</f>
        <v>3658722</v>
      </c>
      <c r="E80" s="47">
        <f>+IFERROR(HLOOKUP(E12,'סקרי נכסים-יתרות פתיחה'!$2:$76,73,0),0)</f>
        <v>0</v>
      </c>
      <c r="F80" s="47">
        <f>+IFERROR(HLOOKUP(F12,'סקרי נכסים-יתרות פתיחה'!$2:$76,73,0),0)</f>
        <v>0</v>
      </c>
      <c r="G80" s="47">
        <f>+IFERROR(HLOOKUP(G12,'סקרי נכסים-יתרות פתיחה'!$2:$76,73,0),0)</f>
        <v>0</v>
      </c>
      <c r="H80" s="47">
        <f>+IFERROR(HLOOKUP(H12,'סקרי נכסים-יתרות פתיחה'!$2:$76,73,0),0)</f>
        <v>0</v>
      </c>
      <c r="I80" s="47">
        <f>+IFERROR(HLOOKUP(I12,'סקרי נכסים-יתרות פתיחה'!$2:$76,73,0),0)</f>
        <v>0</v>
      </c>
      <c r="J80" s="47">
        <f>+IFERROR(HLOOKUP(J12,'סקרי נכסים-יתרות פתיחה'!$2:$76,73,0),0)</f>
        <v>0</v>
      </c>
      <c r="K80" s="47">
        <f>+IFERROR(HLOOKUP(K12,'סקרי נכסים-יתרות פתיחה'!$2:$76,73,0),0)</f>
        <v>0</v>
      </c>
      <c r="L80" s="47">
        <f>+IFERROR(HLOOKUP(L12,'סקרי נכסים-יתרות פתיחה'!$2:$76,73,0),0)</f>
        <v>0</v>
      </c>
      <c r="M80" s="47">
        <f>+IFERROR(HLOOKUP(M12,'סקרי נכסים-יתרות פתיחה'!$2:$76,73,0),0)</f>
        <v>0</v>
      </c>
      <c r="N80" s="47">
        <f>+IFERROR(HLOOKUP(N12,'סקרי נכסים-יתרות פתיחה'!$2:$76,73,0),0)</f>
        <v>0</v>
      </c>
      <c r="O80" s="47">
        <f>+IFERROR(HLOOKUP(O12,'סקרי נכסים-יתרות פתיחה'!$2:$76,73,0),0)</f>
        <v>0</v>
      </c>
      <c r="P80" s="47">
        <f>+IFERROR(HLOOKUP(P12,'סקרי נכסים-יתרות פתיחה'!$2:$76,73,0),0)</f>
        <v>2594946</v>
      </c>
      <c r="Q80" s="47">
        <f>+IFERROR(HLOOKUP(Q12,'סקרי נכסים-יתרות פתיחה'!$2:$76,73,0),0)</f>
        <v>0</v>
      </c>
      <c r="R80" s="47">
        <f>+IFERROR(HLOOKUP(R12,'סקרי נכסים-יתרות פתיחה'!$2:$76,73,0),0)</f>
        <v>0</v>
      </c>
      <c r="S80" s="47">
        <f>+IFERROR(HLOOKUP(S12,'סקרי נכסים-יתרות פתיחה'!$2:$76,73,0),0)</f>
        <v>0</v>
      </c>
      <c r="T80" s="47">
        <f>+IFERROR(HLOOKUP(T12,'סקרי נכסים-יתרות פתיחה'!$2:$76,73,0),0)</f>
        <v>0</v>
      </c>
      <c r="U80" s="47">
        <f>+IFERROR(HLOOKUP(U12,'סקרי נכסים-יתרות פתיחה'!$2:$76,73,0),0)</f>
        <v>0</v>
      </c>
      <c r="V80" s="47">
        <f>+IFERROR(HLOOKUP(V12,'סקרי נכסים-יתרות פתיחה'!$2:$76,73,0),0)</f>
        <v>6093317</v>
      </c>
      <c r="W80" s="47">
        <f>+IFERROR(HLOOKUP(W12,'סקרי נכסים-יתרות פתיחה'!$2:$76,73,0),0)</f>
        <v>0</v>
      </c>
      <c r="X80" s="47">
        <f>+IFERROR(HLOOKUP(X12,'סקרי נכסים-יתרות פתיחה'!$2:$76,73,0),0)</f>
        <v>6711076</v>
      </c>
      <c r="Y80" s="47">
        <f>+IFERROR(HLOOKUP(Y12,'סקרי נכסים-יתרות פתיחה'!$2:$76,73,0),0)</f>
        <v>0</v>
      </c>
      <c r="Z80" s="47">
        <f>+IFERROR(HLOOKUP(Z12,'סקרי נכסים-יתרות פתיחה'!$2:$76,73,0),0)</f>
        <v>0</v>
      </c>
      <c r="AA80" s="47">
        <f>+IFERROR(HLOOKUP(AA12,'סקרי נכסים-יתרות פתיחה'!$2:$76,73,0),0)</f>
        <v>0</v>
      </c>
      <c r="AB80" s="47">
        <f>+IFERROR(HLOOKUP(AB12,'סקרי נכסים-יתרות פתיחה'!$2:$76,73,0),0)</f>
        <v>0</v>
      </c>
      <c r="AC80" s="47">
        <f>+IFERROR(HLOOKUP(AC12,'סקרי נכסים-יתרות פתיחה'!$2:$76,73,0),0)</f>
        <v>0</v>
      </c>
      <c r="AD80" s="47">
        <f>+IFERROR(HLOOKUP(AD12,'סקרי נכסים-יתרות פתיחה'!$2:$76,73,0),0)</f>
        <v>0</v>
      </c>
      <c r="AE80" s="47">
        <f>+IFERROR(HLOOKUP(AE12,'סקרי נכסים-יתרות פתיחה'!$2:$76,73,0),0)</f>
        <v>0</v>
      </c>
      <c r="AF80" s="47">
        <f>+IFERROR(HLOOKUP(AF12,'סקרי נכסים-יתרות פתיחה'!$2:$76,73,0),0)</f>
        <v>0</v>
      </c>
      <c r="AG80" s="47">
        <f>+IFERROR(HLOOKUP(AG12,'סקרי נכסים-יתרות פתיחה'!$2:$76,73,0),0)</f>
        <v>0</v>
      </c>
      <c r="AH80" s="47">
        <f>+IFERROR(HLOOKUP(AH12,'סקרי נכסים-יתרות פתיחה'!$2:$76,73,0),0)</f>
        <v>0</v>
      </c>
      <c r="AI80" s="47">
        <f>+IFERROR(HLOOKUP(AI12,'סקרי נכסים-יתרות פתיחה'!$2:$76,73,0),0)</f>
        <v>0</v>
      </c>
      <c r="AJ80" s="47">
        <f>+IFERROR(HLOOKUP(AJ12,'סקרי נכסים-יתרות פתיחה'!$2:$76,73,0),0)</f>
        <v>0</v>
      </c>
      <c r="AK80" s="47">
        <f>+IFERROR(HLOOKUP(AK12,'סקרי נכסים-יתרות פתיחה'!$2:$76,73,0),0)</f>
        <v>0</v>
      </c>
      <c r="AL80" s="47">
        <f>+IFERROR(HLOOKUP(AL12,'סקרי נכסים-יתרות פתיחה'!$2:$76,73,0),0)</f>
        <v>0</v>
      </c>
      <c r="AM80" s="47">
        <f>+IFERROR(HLOOKUP(AM12,'סקרי נכסים-יתרות פתיחה'!$2:$76,73,0),0)</f>
        <v>10781284</v>
      </c>
      <c r="AN80" s="47">
        <f>+IFERROR(HLOOKUP(AN12,'סקרי נכסים-יתרות פתיחה'!$2:$76,73,0),0)</f>
        <v>12927777</v>
      </c>
      <c r="AO80" s="47">
        <f>+IFERROR(HLOOKUP(AO12,'סקרי נכסים-יתרות פתיחה'!$2:$76,73,0),0)</f>
        <v>0</v>
      </c>
      <c r="AP80" s="47">
        <f>+IFERROR(HLOOKUP(AP12,'סקרי נכסים-יתרות פתיחה'!$2:$76,73,0),0)</f>
        <v>0</v>
      </c>
      <c r="AQ80" s="47">
        <f>+IFERROR(HLOOKUP(AQ12,'סקרי נכסים-יתרות פתיחה'!$2:$76,73,0),0)</f>
        <v>0</v>
      </c>
      <c r="AR80" s="47">
        <f>+IFERROR(HLOOKUP(AR12,'סקרי נכסים-יתרות פתיחה'!$2:$76,73,0),0)</f>
        <v>0</v>
      </c>
      <c r="AS80" s="47">
        <f>+IFERROR(HLOOKUP(AS12,'סקרי נכסים-יתרות פתיחה'!$2:$76,73,0),0)</f>
        <v>13406681</v>
      </c>
      <c r="AT80" s="47">
        <f>+IFERROR(HLOOKUP(AT12,'סקרי נכסים-יתרות פתיחה'!$2:$76,73,0),0)</f>
        <v>0</v>
      </c>
      <c r="AU80" s="47">
        <f>+IFERROR(HLOOKUP(AU12,'סקרי נכסים-יתרות פתיחה'!$2:$76,73,0),0)</f>
        <v>0</v>
      </c>
      <c r="AV80" s="47">
        <f>+IFERROR(HLOOKUP(AV12,'סקרי נכסים-יתרות פתיחה'!$2:$76,73,0),0)</f>
        <v>0</v>
      </c>
      <c r="AW80" s="47">
        <f>+IFERROR(HLOOKUP(AW12,'סקרי נכסים-יתרות פתיחה'!$2:$76,73,0),0)</f>
        <v>0</v>
      </c>
      <c r="AX80" s="47">
        <f>+IFERROR(HLOOKUP(AX12,'סקרי נכסים-יתרות פתיחה'!$2:$76,73,0),0)</f>
        <v>0</v>
      </c>
      <c r="AY80" s="47">
        <f>+IFERROR(HLOOKUP(AY12,'סקרי נכסים-יתרות פתיחה'!$2:$76,73,0),0)</f>
        <v>0</v>
      </c>
      <c r="AZ80" s="47">
        <f>+IFERROR(HLOOKUP(AZ12,'סקרי נכסים-יתרות פתיחה'!$2:$76,73,0),0)</f>
        <v>0</v>
      </c>
      <c r="BA80" s="47">
        <f>+IFERROR(HLOOKUP(BA12,'סקרי נכסים-יתרות פתיחה'!$2:$76,73,0),0)</f>
        <v>0</v>
      </c>
      <c r="BB80" s="47">
        <f>+IFERROR(HLOOKUP(BB12,'סקרי נכסים-יתרות פתיחה'!$2:$76,73,0),0)</f>
        <v>12593750</v>
      </c>
      <c r="BC80" s="47">
        <f>+IFERROR(HLOOKUP(BC12,'סקרי נכסים-יתרות פתיחה'!$2:$76,73,0),0)</f>
        <v>15752036</v>
      </c>
      <c r="BD80" s="47">
        <f>+IFERROR(HLOOKUP(BD12,'סקרי נכסים-יתרות פתיחה'!$2:$76,73,0),0)</f>
        <v>0</v>
      </c>
      <c r="BE80" s="47">
        <f>+IFERROR(HLOOKUP(BE12,'סקרי נכסים-יתרות פתיחה'!$2:$76,73,0),0)</f>
        <v>0</v>
      </c>
      <c r="BF80" s="47">
        <f>+IFERROR(HLOOKUP(BF12,'סקרי נכסים-יתרות פתיחה'!$2:$76,73,0),0)</f>
        <v>0</v>
      </c>
    </row>
    <row r="81" spans="2:58" x14ac:dyDescent="0.2">
      <c r="B81" s="1">
        <v>6</v>
      </c>
      <c r="C81" s="47">
        <f>+IFERROR(HLOOKUP(C13,'סקרי נכסים-יתרות פתיחה'!$2:$76,73,0),0)</f>
        <v>0</v>
      </c>
      <c r="D81" s="47">
        <f>+IFERROR(HLOOKUP(D13,'סקרי נכסים-יתרות פתיחה'!$2:$76,73,0),0)</f>
        <v>3192141</v>
      </c>
      <c r="E81" s="47">
        <f>+IFERROR(HLOOKUP(E13,'סקרי נכסים-יתרות פתיחה'!$2:$76,73,0),0)</f>
        <v>0</v>
      </c>
      <c r="F81" s="47">
        <f>+IFERROR(HLOOKUP(F13,'סקרי נכסים-יתרות פתיחה'!$2:$76,73,0),0)</f>
        <v>0</v>
      </c>
      <c r="G81" s="47">
        <f>+IFERROR(HLOOKUP(G13,'סקרי נכסים-יתרות פתיחה'!$2:$76,73,0),0)</f>
        <v>0</v>
      </c>
      <c r="H81" s="47">
        <f>+IFERROR(HLOOKUP(H13,'סקרי נכסים-יתרות פתיחה'!$2:$76,73,0),0)</f>
        <v>0</v>
      </c>
      <c r="I81" s="47">
        <f>+IFERROR(HLOOKUP(I13,'סקרי נכסים-יתרות פתיחה'!$2:$76,73,0),0)</f>
        <v>0</v>
      </c>
      <c r="J81" s="47">
        <f>+IFERROR(HLOOKUP(J13,'סקרי נכסים-יתרות פתיחה'!$2:$76,73,0),0)</f>
        <v>0</v>
      </c>
      <c r="K81" s="47">
        <f>+IFERROR(HLOOKUP(K13,'סקרי נכסים-יתרות פתיחה'!$2:$76,73,0),0)</f>
        <v>0</v>
      </c>
      <c r="L81" s="47">
        <f>+IFERROR(HLOOKUP(L13,'סקרי נכסים-יתרות פתיחה'!$2:$76,73,0),0)</f>
        <v>0</v>
      </c>
      <c r="M81" s="47">
        <f>+IFERROR(HLOOKUP(M13,'סקרי נכסים-יתרות פתיחה'!$2:$76,73,0),0)</f>
        <v>0</v>
      </c>
      <c r="N81" s="47">
        <f>+IFERROR(HLOOKUP(N13,'סקרי נכסים-יתרות פתיחה'!$2:$76,73,0),0)</f>
        <v>0</v>
      </c>
      <c r="O81" s="47">
        <f>+IFERROR(HLOOKUP(O13,'סקרי נכסים-יתרות פתיחה'!$2:$76,73,0),0)</f>
        <v>0</v>
      </c>
      <c r="P81" s="47">
        <f>+IFERROR(HLOOKUP(P13,'סקרי נכסים-יתרות פתיחה'!$2:$76,73,0),0)</f>
        <v>5441919</v>
      </c>
      <c r="Q81" s="47">
        <f>+IFERROR(HLOOKUP(Q13,'סקרי נכסים-יתרות פתיחה'!$2:$76,73,0),0)</f>
        <v>0</v>
      </c>
      <c r="R81" s="47">
        <f>+IFERROR(HLOOKUP(R13,'סקרי נכסים-יתרות פתיחה'!$2:$76,73,0),0)</f>
        <v>0</v>
      </c>
      <c r="S81" s="47">
        <f>+IFERROR(HLOOKUP(S13,'סקרי נכסים-יתרות פתיחה'!$2:$76,73,0),0)</f>
        <v>0</v>
      </c>
      <c r="T81" s="47">
        <f>+IFERROR(HLOOKUP(T13,'סקרי נכסים-יתרות פתיחה'!$2:$76,73,0),0)</f>
        <v>0</v>
      </c>
      <c r="U81" s="47">
        <f>+IFERROR(HLOOKUP(U13,'סקרי נכסים-יתרות פתיחה'!$2:$76,73,0),0)</f>
        <v>0</v>
      </c>
      <c r="V81" s="47">
        <f>+IFERROR(HLOOKUP(V13,'סקרי נכסים-יתרות פתיחה'!$2:$76,73,0),0)</f>
        <v>4136974</v>
      </c>
      <c r="W81" s="47">
        <f>+IFERROR(HLOOKUP(W13,'סקרי נכסים-יתרות פתיחה'!$2:$76,73,0),0)</f>
        <v>21795702</v>
      </c>
      <c r="X81" s="47">
        <f>+IFERROR(HLOOKUP(X13,'סקרי נכסים-יתרות פתיחה'!$2:$76,73,0),0)</f>
        <v>0</v>
      </c>
      <c r="Y81" s="47">
        <f>+IFERROR(HLOOKUP(Y13,'סקרי נכסים-יתרות פתיחה'!$2:$76,73,0),0)</f>
        <v>0</v>
      </c>
      <c r="Z81" s="47">
        <f>+IFERROR(HLOOKUP(Z13,'סקרי נכסים-יתרות פתיחה'!$2:$76,73,0),0)</f>
        <v>0</v>
      </c>
      <c r="AA81" s="47">
        <f>+IFERROR(HLOOKUP(AA13,'סקרי נכסים-יתרות פתיחה'!$2:$76,73,0),0)</f>
        <v>0</v>
      </c>
      <c r="AB81" s="47">
        <f>+IFERROR(HLOOKUP(AB13,'סקרי נכסים-יתרות פתיחה'!$2:$76,73,0),0)</f>
        <v>0</v>
      </c>
      <c r="AC81" s="47">
        <f>+IFERROR(HLOOKUP(AC13,'סקרי נכסים-יתרות פתיחה'!$2:$76,73,0),0)</f>
        <v>0</v>
      </c>
      <c r="AD81" s="47">
        <f>+IFERROR(HLOOKUP(AD13,'סקרי נכסים-יתרות פתיחה'!$2:$76,73,0),0)</f>
        <v>0</v>
      </c>
      <c r="AE81" s="47">
        <f>+IFERROR(HLOOKUP(AE13,'סקרי נכסים-יתרות פתיחה'!$2:$76,73,0),0)</f>
        <v>0</v>
      </c>
      <c r="AF81" s="47">
        <f>+IFERROR(HLOOKUP(AF13,'סקרי נכסים-יתרות פתיחה'!$2:$76,73,0),0)</f>
        <v>0</v>
      </c>
      <c r="AG81" s="47">
        <f>+IFERROR(HLOOKUP(AG13,'סקרי נכסים-יתרות פתיחה'!$2:$76,73,0),0)</f>
        <v>0</v>
      </c>
      <c r="AH81" s="47">
        <f>+IFERROR(HLOOKUP(AH13,'סקרי נכסים-יתרות פתיחה'!$2:$76,73,0),0)</f>
        <v>0</v>
      </c>
      <c r="AI81" s="47">
        <f>+IFERROR(HLOOKUP(AI13,'סקרי נכסים-יתרות פתיחה'!$2:$76,73,0),0)</f>
        <v>0</v>
      </c>
      <c r="AJ81" s="47">
        <f>+IFERROR(HLOOKUP(AJ13,'סקרי נכסים-יתרות פתיחה'!$2:$76,73,0),0)</f>
        <v>0</v>
      </c>
      <c r="AK81" s="47">
        <f>+IFERROR(HLOOKUP(AK13,'סקרי נכסים-יתרות פתיחה'!$2:$76,73,0),0)</f>
        <v>0</v>
      </c>
      <c r="AL81" s="47">
        <f>+IFERROR(HLOOKUP(AL13,'סקרי נכסים-יתרות פתיחה'!$2:$76,73,0),0)</f>
        <v>0</v>
      </c>
      <c r="AM81" s="47">
        <f>+IFERROR(HLOOKUP(AM13,'סקרי נכסים-יתרות פתיחה'!$2:$76,73,0),0)</f>
        <v>0</v>
      </c>
      <c r="AN81" s="47">
        <f>+IFERROR(HLOOKUP(AN13,'סקרי נכסים-יתרות פתיחה'!$2:$76,73,0),0)</f>
        <v>6007821</v>
      </c>
      <c r="AO81" s="47">
        <f>+IFERROR(HLOOKUP(AO13,'סקרי נכסים-יתרות פתיחה'!$2:$76,73,0),0)</f>
        <v>0</v>
      </c>
      <c r="AP81" s="47">
        <f>+IFERROR(HLOOKUP(AP13,'סקרי נכסים-יתרות פתיחה'!$2:$76,73,0),0)</f>
        <v>0</v>
      </c>
      <c r="AQ81" s="47">
        <f>+IFERROR(HLOOKUP(AQ13,'סקרי נכסים-יתרות פתיחה'!$2:$76,73,0),0)</f>
        <v>0</v>
      </c>
      <c r="AR81" s="47">
        <f>+IFERROR(HLOOKUP(AR13,'סקרי נכסים-יתרות פתיחה'!$2:$76,73,0),0)</f>
        <v>0</v>
      </c>
      <c r="AS81" s="47">
        <f>+IFERROR(HLOOKUP(AS13,'סקרי נכסים-יתרות פתיחה'!$2:$76,73,0),0)</f>
        <v>5953439</v>
      </c>
      <c r="AT81" s="47">
        <f>+IFERROR(HLOOKUP(AT13,'סקרי נכסים-יתרות פתיחה'!$2:$76,73,0),0)</f>
        <v>0</v>
      </c>
      <c r="AU81" s="47">
        <f>+IFERROR(HLOOKUP(AU13,'סקרי נכסים-יתרות פתיחה'!$2:$76,73,0),0)</f>
        <v>0</v>
      </c>
      <c r="AV81" s="47">
        <f>+IFERROR(HLOOKUP(AV13,'סקרי נכסים-יתרות פתיחה'!$2:$76,73,0),0)</f>
        <v>0</v>
      </c>
      <c r="AW81" s="47">
        <f>+IFERROR(HLOOKUP(AW13,'סקרי נכסים-יתרות פתיחה'!$2:$76,73,0),0)</f>
        <v>0</v>
      </c>
      <c r="AX81" s="47">
        <f>+IFERROR(HLOOKUP(AX13,'סקרי נכסים-יתרות פתיחה'!$2:$76,73,0),0)</f>
        <v>0</v>
      </c>
      <c r="AY81" s="47">
        <f>+IFERROR(HLOOKUP(AY13,'סקרי נכסים-יתרות פתיחה'!$2:$76,73,0),0)</f>
        <v>0</v>
      </c>
      <c r="AZ81" s="47">
        <f>+IFERROR(HLOOKUP(AZ13,'סקרי נכסים-יתרות פתיחה'!$2:$76,73,0),0)</f>
        <v>0</v>
      </c>
      <c r="BA81" s="47">
        <f>+IFERROR(HLOOKUP(BA13,'סקרי נכסים-יתרות פתיחה'!$2:$76,73,0),0)</f>
        <v>0</v>
      </c>
      <c r="BB81" s="47">
        <f>+IFERROR(HLOOKUP(BB13,'סקרי נכסים-יתרות פתיחה'!$2:$76,73,0),0)</f>
        <v>1463558</v>
      </c>
      <c r="BC81" s="47">
        <f>+IFERROR(HLOOKUP(BC13,'סקרי נכסים-יתרות פתיחה'!$2:$76,73,0),0)</f>
        <v>4637085.666666667</v>
      </c>
      <c r="BD81" s="47">
        <f>+IFERROR(HLOOKUP(BD13,'סקרי נכסים-יתרות פתיחה'!$2:$76,73,0),0)</f>
        <v>0</v>
      </c>
      <c r="BE81" s="47">
        <f>+IFERROR(HLOOKUP(BE13,'סקרי נכסים-יתרות פתיחה'!$2:$76,73,0),0)</f>
        <v>0</v>
      </c>
      <c r="BF81" s="47">
        <f>+IFERROR(HLOOKUP(BF13,'סקרי נכסים-יתרות פתיחה'!$2:$76,73,0),0)</f>
        <v>0</v>
      </c>
    </row>
    <row r="82" spans="2:58" x14ac:dyDescent="0.2">
      <c r="B82" s="1">
        <v>7</v>
      </c>
      <c r="C82" s="47">
        <f>+IFERROR(HLOOKUP(C14,'סקרי נכסים-יתרות פתיחה'!$2:$76,73,0),0)</f>
        <v>0</v>
      </c>
      <c r="D82" s="47">
        <f>+IFERROR(HLOOKUP(D14,'סקרי נכסים-יתרות פתיחה'!$2:$76,73,0),0)</f>
        <v>5543964</v>
      </c>
      <c r="E82" s="47">
        <f>+IFERROR(HLOOKUP(E14,'סקרי נכסים-יתרות פתיחה'!$2:$76,73,0),0)</f>
        <v>0</v>
      </c>
      <c r="F82" s="47">
        <f>+IFERROR(HLOOKUP(F14,'סקרי נכסים-יתרות פתיחה'!$2:$76,73,0),0)</f>
        <v>0</v>
      </c>
      <c r="G82" s="47">
        <f>+IFERROR(HLOOKUP(G14,'סקרי נכסים-יתרות פתיחה'!$2:$76,73,0),0)</f>
        <v>0</v>
      </c>
      <c r="H82" s="47">
        <f>+IFERROR(HLOOKUP(H14,'סקרי נכסים-יתרות פתיחה'!$2:$76,73,0),0)</f>
        <v>0</v>
      </c>
      <c r="I82" s="47">
        <f>+IFERROR(HLOOKUP(I14,'סקרי נכסים-יתרות פתיחה'!$2:$76,73,0),0)</f>
        <v>0</v>
      </c>
      <c r="J82" s="47">
        <f>+IFERROR(HLOOKUP(J14,'סקרי נכסים-יתרות פתיחה'!$2:$76,73,0),0)</f>
        <v>0</v>
      </c>
      <c r="K82" s="47">
        <f>+IFERROR(HLOOKUP(K14,'סקרי נכסים-יתרות פתיחה'!$2:$76,73,0),0)</f>
        <v>0</v>
      </c>
      <c r="L82" s="47">
        <f>+IFERROR(HLOOKUP(L14,'סקרי נכסים-יתרות פתיחה'!$2:$76,73,0),0)</f>
        <v>0</v>
      </c>
      <c r="M82" s="47">
        <f>+IFERROR(HLOOKUP(M14,'סקרי נכסים-יתרות פתיחה'!$2:$76,73,0),0)</f>
        <v>0</v>
      </c>
      <c r="N82" s="47">
        <f>+IFERROR(HLOOKUP(N14,'סקרי נכסים-יתרות פתיחה'!$2:$76,73,0),0)</f>
        <v>0</v>
      </c>
      <c r="O82" s="47">
        <f>+IFERROR(HLOOKUP(O14,'סקרי נכסים-יתרות פתיחה'!$2:$76,73,0),0)</f>
        <v>0</v>
      </c>
      <c r="P82" s="47">
        <f>+IFERROR(HLOOKUP(P14,'סקרי נכסים-יתרות פתיחה'!$2:$76,73,0),0)</f>
        <v>5668650</v>
      </c>
      <c r="Q82" s="47">
        <f>+IFERROR(HLOOKUP(Q14,'סקרי נכסים-יתרות פתיחה'!$2:$76,73,0),0)</f>
        <v>0</v>
      </c>
      <c r="R82" s="47">
        <f>+IFERROR(HLOOKUP(R14,'סקרי נכסים-יתרות פתיחה'!$2:$76,73,0),0)</f>
        <v>0</v>
      </c>
      <c r="S82" s="47">
        <f>+IFERROR(HLOOKUP(S14,'סקרי נכסים-יתרות פתיחה'!$2:$76,73,0),0)</f>
        <v>0</v>
      </c>
      <c r="T82" s="47">
        <f>+IFERROR(HLOOKUP(T14,'סקרי נכסים-יתרות פתיחה'!$2:$76,73,0),0)</f>
        <v>0</v>
      </c>
      <c r="U82" s="47">
        <f>+IFERROR(HLOOKUP(U14,'סקרי נכסים-יתרות פתיחה'!$2:$76,73,0),0)</f>
        <v>0</v>
      </c>
      <c r="V82" s="47">
        <f>+IFERROR(HLOOKUP(V14,'סקרי נכסים-יתרות פתיחה'!$2:$76,73,0),0)</f>
        <v>6166493</v>
      </c>
      <c r="W82" s="47">
        <f>+IFERROR(HLOOKUP(W14,'סקרי נכסים-יתרות פתיחה'!$2:$76,73,0),0)</f>
        <v>5704575</v>
      </c>
      <c r="X82" s="47">
        <f>+IFERROR(HLOOKUP(X14,'סקרי נכסים-יתרות פתיחה'!$2:$76,73,0),0)</f>
        <v>0</v>
      </c>
      <c r="Y82" s="47">
        <f>+IFERROR(HLOOKUP(Y14,'סקרי נכסים-יתרות פתיחה'!$2:$76,73,0),0)</f>
        <v>0</v>
      </c>
      <c r="Z82" s="47">
        <f>+IFERROR(HLOOKUP(Z14,'סקרי נכסים-יתרות פתיחה'!$2:$76,73,0),0)</f>
        <v>0</v>
      </c>
      <c r="AA82" s="47">
        <f>+IFERROR(HLOOKUP(AA14,'סקרי נכסים-יתרות פתיחה'!$2:$76,73,0),0)</f>
        <v>0</v>
      </c>
      <c r="AB82" s="47">
        <f>+IFERROR(HLOOKUP(AB14,'סקרי נכסים-יתרות פתיחה'!$2:$76,73,0),0)</f>
        <v>0</v>
      </c>
      <c r="AC82" s="47">
        <f>+IFERROR(HLOOKUP(AC14,'סקרי נכסים-יתרות פתיחה'!$2:$76,73,0),0)</f>
        <v>0</v>
      </c>
      <c r="AD82" s="47">
        <f>+IFERROR(HLOOKUP(AD14,'סקרי נכסים-יתרות פתיחה'!$2:$76,73,0),0)</f>
        <v>0</v>
      </c>
      <c r="AE82" s="47">
        <f>+IFERROR(HLOOKUP(AE14,'סקרי נכסים-יתרות פתיחה'!$2:$76,73,0),0)</f>
        <v>0</v>
      </c>
      <c r="AF82" s="47">
        <f>+IFERROR(HLOOKUP(AF14,'סקרי נכסים-יתרות פתיחה'!$2:$76,73,0),0)</f>
        <v>0</v>
      </c>
      <c r="AG82" s="47">
        <f>+IFERROR(HLOOKUP(AG14,'סקרי נכסים-יתרות פתיחה'!$2:$76,73,0),0)</f>
        <v>0</v>
      </c>
      <c r="AH82" s="47">
        <f>+IFERROR(HLOOKUP(AH14,'סקרי נכסים-יתרות פתיחה'!$2:$76,73,0),0)</f>
        <v>0</v>
      </c>
      <c r="AI82" s="47">
        <f>+IFERROR(HLOOKUP(AI14,'סקרי נכסים-יתרות פתיחה'!$2:$76,73,0),0)</f>
        <v>0</v>
      </c>
      <c r="AJ82" s="47">
        <f>+IFERROR(HLOOKUP(AJ14,'סקרי נכסים-יתרות פתיחה'!$2:$76,73,0),0)</f>
        <v>0</v>
      </c>
      <c r="AK82" s="47">
        <f>+IFERROR(HLOOKUP(AK14,'סקרי נכסים-יתרות פתיחה'!$2:$76,73,0),0)</f>
        <v>0</v>
      </c>
      <c r="AL82" s="47">
        <f>+IFERROR(HLOOKUP(AL14,'סקרי נכסים-יתרות פתיחה'!$2:$76,73,0),0)</f>
        <v>0</v>
      </c>
      <c r="AM82" s="47">
        <f>+IFERROR(HLOOKUP(AM14,'סקרי נכסים-יתרות פתיחה'!$2:$76,73,0),0)</f>
        <v>0</v>
      </c>
      <c r="AN82" s="47">
        <f>+IFERROR(HLOOKUP(AN14,'סקרי נכסים-יתרות פתיחה'!$2:$76,73,0),0)</f>
        <v>0</v>
      </c>
      <c r="AO82" s="47">
        <f>+IFERROR(HLOOKUP(AO14,'סקרי נכסים-יתרות פתיחה'!$2:$76,73,0),0)</f>
        <v>0</v>
      </c>
      <c r="AP82" s="47">
        <f>+IFERROR(HLOOKUP(AP14,'סקרי נכסים-יתרות פתיחה'!$2:$76,73,0),0)</f>
        <v>0</v>
      </c>
      <c r="AQ82" s="47">
        <f>+IFERROR(HLOOKUP(AQ14,'סקרי נכסים-יתרות פתיחה'!$2:$76,73,0),0)</f>
        <v>0</v>
      </c>
      <c r="AR82" s="47">
        <f>+IFERROR(HLOOKUP(AR14,'סקרי נכסים-יתרות פתיחה'!$2:$76,73,0),0)</f>
        <v>0</v>
      </c>
      <c r="AS82" s="47">
        <f>+IFERROR(HLOOKUP(AS14,'סקרי נכסים-יתרות פתיחה'!$2:$76,73,0),0)</f>
        <v>2835649</v>
      </c>
      <c r="AT82" s="47">
        <f>+IFERROR(HLOOKUP(AT14,'סקרי נכסים-יתרות פתיחה'!$2:$76,73,0),0)</f>
        <v>0</v>
      </c>
      <c r="AU82" s="47">
        <f>+IFERROR(HLOOKUP(AU14,'סקרי נכסים-יתרות פתיחה'!$2:$76,73,0),0)</f>
        <v>0</v>
      </c>
      <c r="AV82" s="47">
        <f>+IFERROR(HLOOKUP(AV14,'סקרי נכסים-יתרות פתיחה'!$2:$76,73,0),0)</f>
        <v>0</v>
      </c>
      <c r="AW82" s="47">
        <f>+IFERROR(HLOOKUP(AW14,'סקרי נכסים-יתרות פתיחה'!$2:$76,73,0),0)</f>
        <v>0</v>
      </c>
      <c r="AX82" s="47">
        <f>+IFERROR(HLOOKUP(AX14,'סקרי נכסים-יתרות פתיחה'!$2:$76,73,0),0)</f>
        <v>0</v>
      </c>
      <c r="AY82" s="47">
        <f>+IFERROR(HLOOKUP(AY14,'סקרי נכסים-יתרות פתיחה'!$2:$76,73,0),0)</f>
        <v>0</v>
      </c>
      <c r="AZ82" s="47">
        <f>+IFERROR(HLOOKUP(AZ14,'סקרי נכסים-יתרות פתיחה'!$2:$76,73,0),0)</f>
        <v>0</v>
      </c>
      <c r="BA82" s="47">
        <f>+IFERROR(HLOOKUP(BA14,'סקרי נכסים-יתרות פתיחה'!$2:$76,73,0),0)</f>
        <v>0</v>
      </c>
      <c r="BB82" s="47">
        <f>+IFERROR(HLOOKUP(BB14,'סקרי נכסים-יתרות פתיחה'!$2:$76,73,0),0)</f>
        <v>7965844</v>
      </c>
      <c r="BC82" s="47">
        <f>+IFERROR(HLOOKUP(BC14,'סקרי נכסים-יתרות פתיחה'!$2:$76,73,0),0)</f>
        <v>4637085.666666667</v>
      </c>
      <c r="BD82" s="47">
        <f>+IFERROR(HLOOKUP(BD14,'סקרי נכסים-יתרות פתיחה'!$2:$76,73,0),0)</f>
        <v>0</v>
      </c>
      <c r="BE82" s="47">
        <f>+IFERROR(HLOOKUP(BE14,'סקרי נכסים-יתרות פתיחה'!$2:$76,73,0),0)</f>
        <v>0</v>
      </c>
      <c r="BF82" s="47">
        <f>+IFERROR(HLOOKUP(BF14,'סקרי נכסים-יתרות פתיחה'!$2:$76,73,0),0)</f>
        <v>0</v>
      </c>
    </row>
    <row r="83" spans="2:58" x14ac:dyDescent="0.2">
      <c r="B83" s="1">
        <v>8</v>
      </c>
      <c r="C83" s="47">
        <f>+IFERROR(HLOOKUP(C15,'סקרי נכסים-יתרות פתיחה'!$2:$76,73,0),0)</f>
        <v>0</v>
      </c>
      <c r="D83" s="47">
        <f>+IFERROR(HLOOKUP(D15,'סקרי נכסים-יתרות פתיחה'!$2:$76,73,0),0)</f>
        <v>0</v>
      </c>
      <c r="E83" s="47">
        <f>+IFERROR(HLOOKUP(E15,'סקרי נכסים-יתרות פתיחה'!$2:$76,73,0),0)</f>
        <v>0</v>
      </c>
      <c r="F83" s="47">
        <f>+IFERROR(HLOOKUP(F15,'סקרי נכסים-יתרות פתיחה'!$2:$76,73,0),0)</f>
        <v>0</v>
      </c>
      <c r="G83" s="47">
        <f>+IFERROR(HLOOKUP(G15,'סקרי נכסים-יתרות פתיחה'!$2:$76,73,0),0)</f>
        <v>0</v>
      </c>
      <c r="H83" s="47">
        <f>+IFERROR(HLOOKUP(H15,'סקרי נכסים-יתרות פתיחה'!$2:$76,73,0),0)</f>
        <v>0</v>
      </c>
      <c r="I83" s="47">
        <f>+IFERROR(HLOOKUP(I15,'סקרי נכסים-יתרות פתיחה'!$2:$76,73,0),0)</f>
        <v>0</v>
      </c>
      <c r="J83" s="47">
        <f>+IFERROR(HLOOKUP(J15,'סקרי נכסים-יתרות פתיחה'!$2:$76,73,0),0)</f>
        <v>0</v>
      </c>
      <c r="K83" s="47">
        <f>+IFERROR(HLOOKUP(K15,'סקרי נכסים-יתרות פתיחה'!$2:$76,73,0),0)</f>
        <v>0</v>
      </c>
      <c r="L83" s="47">
        <f>+IFERROR(HLOOKUP(L15,'סקרי נכסים-יתרות פתיחה'!$2:$76,73,0),0)</f>
        <v>0</v>
      </c>
      <c r="M83" s="47">
        <f>+IFERROR(HLOOKUP(M15,'סקרי נכסים-יתרות פתיחה'!$2:$76,73,0),0)</f>
        <v>0</v>
      </c>
      <c r="N83" s="47">
        <f>+IFERROR(HLOOKUP(N15,'סקרי נכסים-יתרות פתיחה'!$2:$76,73,0),0)</f>
        <v>0</v>
      </c>
      <c r="O83" s="47">
        <f>+IFERROR(HLOOKUP(O15,'סקרי נכסים-יתרות פתיחה'!$2:$76,73,0),0)</f>
        <v>0</v>
      </c>
      <c r="P83" s="47">
        <f>+IFERROR(HLOOKUP(P15,'סקרי נכסים-יתרות פתיחה'!$2:$76,73,0),0)</f>
        <v>1260295</v>
      </c>
      <c r="Q83" s="47">
        <f>+IFERROR(HLOOKUP(Q15,'סקרי נכסים-יתרות פתיחה'!$2:$76,73,0),0)</f>
        <v>0</v>
      </c>
      <c r="R83" s="47">
        <f>+IFERROR(HLOOKUP(R15,'סקרי נכסים-יתרות פתיחה'!$2:$76,73,0),0)</f>
        <v>0</v>
      </c>
      <c r="S83" s="47">
        <f>+IFERROR(HLOOKUP(S15,'סקרי נכסים-יתרות פתיחה'!$2:$76,73,0),0)</f>
        <v>0</v>
      </c>
      <c r="T83" s="47">
        <f>+IFERROR(HLOOKUP(T15,'סקרי נכסים-יתרות פתיחה'!$2:$76,73,0),0)</f>
        <v>0</v>
      </c>
      <c r="U83" s="47">
        <f>+IFERROR(HLOOKUP(U15,'סקרי נכסים-יתרות פתיחה'!$2:$76,73,0),0)</f>
        <v>0</v>
      </c>
      <c r="V83" s="47">
        <f>+IFERROR(HLOOKUP(V15,'סקרי נכסים-יתרות פתיחה'!$2:$76,73,0),0)</f>
        <v>0</v>
      </c>
      <c r="W83" s="47">
        <f>+IFERROR(HLOOKUP(W15,'סקרי נכסים-יתרות פתיחה'!$2:$76,73,0),0)</f>
        <v>0</v>
      </c>
      <c r="X83" s="47">
        <f>+IFERROR(HLOOKUP(X15,'סקרי נכסים-יתרות פתיחה'!$2:$76,73,0),0)</f>
        <v>0</v>
      </c>
      <c r="Y83" s="47">
        <f>+IFERROR(HLOOKUP(Y15,'סקרי נכסים-יתרות פתיחה'!$2:$76,73,0),0)</f>
        <v>0</v>
      </c>
      <c r="Z83" s="47">
        <f>+IFERROR(HLOOKUP(Z15,'סקרי נכסים-יתרות פתיחה'!$2:$76,73,0),0)</f>
        <v>0</v>
      </c>
      <c r="AA83" s="47">
        <f>+IFERROR(HLOOKUP(AA15,'סקרי נכסים-יתרות פתיחה'!$2:$76,73,0),0)</f>
        <v>0</v>
      </c>
      <c r="AB83" s="47">
        <f>+IFERROR(HLOOKUP(AB15,'סקרי נכסים-יתרות פתיחה'!$2:$76,73,0),0)</f>
        <v>0</v>
      </c>
      <c r="AC83" s="47">
        <f>+IFERROR(HLOOKUP(AC15,'סקרי נכסים-יתרות פתיחה'!$2:$76,73,0),0)</f>
        <v>0</v>
      </c>
      <c r="AD83" s="47">
        <f>+IFERROR(HLOOKUP(AD15,'סקרי נכסים-יתרות פתיחה'!$2:$76,73,0),0)</f>
        <v>0</v>
      </c>
      <c r="AE83" s="47">
        <f>+IFERROR(HLOOKUP(AE15,'סקרי נכסים-יתרות פתיחה'!$2:$76,73,0),0)</f>
        <v>0</v>
      </c>
      <c r="AF83" s="47">
        <f>+IFERROR(HLOOKUP(AF15,'סקרי נכסים-יתרות פתיחה'!$2:$76,73,0),0)</f>
        <v>0</v>
      </c>
      <c r="AG83" s="47">
        <f>+IFERROR(HLOOKUP(AG15,'סקרי נכסים-יתרות פתיחה'!$2:$76,73,0),0)</f>
        <v>0</v>
      </c>
      <c r="AH83" s="47">
        <f>+IFERROR(HLOOKUP(AH15,'סקרי נכסים-יתרות פתיחה'!$2:$76,73,0),0)</f>
        <v>0</v>
      </c>
      <c r="AI83" s="47">
        <f>+IFERROR(HLOOKUP(AI15,'סקרי נכסים-יתרות פתיחה'!$2:$76,73,0),0)</f>
        <v>0</v>
      </c>
      <c r="AJ83" s="47">
        <f>+IFERROR(HLOOKUP(AJ15,'סקרי נכסים-יתרות פתיחה'!$2:$76,73,0),0)</f>
        <v>0</v>
      </c>
      <c r="AK83" s="47">
        <f>+IFERROR(HLOOKUP(AK15,'סקרי נכסים-יתרות פתיחה'!$2:$76,73,0),0)</f>
        <v>0</v>
      </c>
      <c r="AL83" s="47">
        <f>+IFERROR(HLOOKUP(AL15,'סקרי נכסים-יתרות פתיחה'!$2:$76,73,0),0)</f>
        <v>0</v>
      </c>
      <c r="AM83" s="47">
        <f>+IFERROR(HLOOKUP(AM15,'סקרי נכסים-יתרות פתיחה'!$2:$76,73,0),0)</f>
        <v>0</v>
      </c>
      <c r="AN83" s="47">
        <f>+IFERROR(HLOOKUP(AN15,'סקרי נכסים-יתרות פתיחה'!$2:$76,73,0),0)</f>
        <v>0</v>
      </c>
      <c r="AO83" s="47">
        <f>+IFERROR(HLOOKUP(AO15,'סקרי נכסים-יתרות פתיחה'!$2:$76,73,0),0)</f>
        <v>0</v>
      </c>
      <c r="AP83" s="47">
        <f>+IFERROR(HLOOKUP(AP15,'סקרי נכסים-יתרות פתיחה'!$2:$76,73,0),0)</f>
        <v>0</v>
      </c>
      <c r="AQ83" s="47">
        <f>+IFERROR(HLOOKUP(AQ15,'סקרי נכסים-יתרות פתיחה'!$2:$76,73,0),0)</f>
        <v>0</v>
      </c>
      <c r="AR83" s="47">
        <f>+IFERROR(HLOOKUP(AR15,'סקרי נכסים-יתרות פתיחה'!$2:$76,73,0),0)</f>
        <v>0</v>
      </c>
      <c r="AS83" s="47">
        <f>+IFERROR(HLOOKUP(AS15,'סקרי נכסים-יתרות פתיחה'!$2:$76,73,0),0)</f>
        <v>8029545</v>
      </c>
      <c r="AT83" s="47">
        <f>+IFERROR(HLOOKUP(AT15,'סקרי נכסים-יתרות פתיחה'!$2:$76,73,0),0)</f>
        <v>0</v>
      </c>
      <c r="AU83" s="47">
        <f>+IFERROR(HLOOKUP(AU15,'סקרי נכסים-יתרות פתיחה'!$2:$76,73,0),0)</f>
        <v>0</v>
      </c>
      <c r="AV83" s="47">
        <f>+IFERROR(HLOOKUP(AV15,'סקרי נכסים-יתרות פתיחה'!$2:$76,73,0),0)</f>
        <v>0</v>
      </c>
      <c r="AW83" s="47">
        <f>+IFERROR(HLOOKUP(AW15,'סקרי נכסים-יתרות פתיחה'!$2:$76,73,0),0)</f>
        <v>0</v>
      </c>
      <c r="AX83" s="47">
        <f>+IFERROR(HLOOKUP(AX15,'סקרי נכסים-יתרות פתיחה'!$2:$76,73,0),0)</f>
        <v>0</v>
      </c>
      <c r="AY83" s="47">
        <f>+IFERROR(HLOOKUP(AY15,'סקרי נכסים-יתרות פתיחה'!$2:$76,73,0),0)</f>
        <v>0</v>
      </c>
      <c r="AZ83" s="47">
        <f>+IFERROR(HLOOKUP(AZ15,'סקרי נכסים-יתרות פתיחה'!$2:$76,73,0),0)</f>
        <v>0</v>
      </c>
      <c r="BA83" s="47">
        <f>+IFERROR(HLOOKUP(BA15,'סקרי נכסים-יתרות פתיחה'!$2:$76,73,0),0)</f>
        <v>0</v>
      </c>
      <c r="BB83" s="47">
        <f>+IFERROR(HLOOKUP(BB15,'סקרי נכסים-יתרות פתיחה'!$2:$76,73,0),0)</f>
        <v>0</v>
      </c>
      <c r="BC83" s="47">
        <f>+IFERROR(HLOOKUP(BC15,'סקרי נכסים-יתרות פתיחה'!$2:$76,73,0),0)</f>
        <v>0</v>
      </c>
      <c r="BD83" s="47">
        <f>+IFERROR(HLOOKUP(BD15,'סקרי נכסים-יתרות פתיחה'!$2:$76,73,0),0)</f>
        <v>0</v>
      </c>
      <c r="BE83" s="47">
        <f>+IFERROR(HLOOKUP(BE15,'סקרי נכסים-יתרות פתיחה'!$2:$76,73,0),0)</f>
        <v>0</v>
      </c>
      <c r="BF83" s="47">
        <f>+IFERROR(HLOOKUP(BF15,'סקרי נכסים-יתרות פתיחה'!$2:$76,73,0),0)</f>
        <v>0</v>
      </c>
    </row>
    <row r="84" spans="2:58" x14ac:dyDescent="0.2">
      <c r="B84" s="1">
        <v>9</v>
      </c>
      <c r="C84" s="47">
        <f>+IFERROR(HLOOKUP(C16,'סקרי נכסים-יתרות פתיחה'!$2:$76,73,0),0)</f>
        <v>0</v>
      </c>
      <c r="D84" s="47">
        <f>+IFERROR(HLOOKUP(D16,'סקרי נכסים-יתרות פתיחה'!$2:$76,73,0),0)</f>
        <v>0</v>
      </c>
      <c r="E84" s="47">
        <f>+IFERROR(HLOOKUP(E16,'סקרי נכסים-יתרות פתיחה'!$2:$76,73,0),0)</f>
        <v>0</v>
      </c>
      <c r="F84" s="47">
        <f>+IFERROR(HLOOKUP(F16,'סקרי נכסים-יתרות פתיחה'!$2:$76,73,0),0)</f>
        <v>0</v>
      </c>
      <c r="G84" s="47">
        <f>+IFERROR(HLOOKUP(G16,'סקרי נכסים-יתרות פתיחה'!$2:$76,73,0),0)</f>
        <v>0</v>
      </c>
      <c r="H84" s="47">
        <f>+IFERROR(HLOOKUP(H16,'סקרי נכסים-יתרות פתיחה'!$2:$76,73,0),0)</f>
        <v>0</v>
      </c>
      <c r="I84" s="47">
        <f>+IFERROR(HLOOKUP(I16,'סקרי נכסים-יתרות פתיחה'!$2:$76,73,0),0)</f>
        <v>0</v>
      </c>
      <c r="J84" s="47">
        <f>+IFERROR(HLOOKUP(J16,'סקרי נכסים-יתרות פתיחה'!$2:$76,73,0),0)</f>
        <v>0</v>
      </c>
      <c r="K84" s="47">
        <f>+IFERROR(HLOOKUP(K16,'סקרי נכסים-יתרות פתיחה'!$2:$76,73,0),0)</f>
        <v>0</v>
      </c>
      <c r="L84" s="47">
        <f>+IFERROR(HLOOKUP(L16,'סקרי נכסים-יתרות פתיחה'!$2:$76,73,0),0)</f>
        <v>0</v>
      </c>
      <c r="M84" s="47">
        <f>+IFERROR(HLOOKUP(M16,'סקרי נכסים-יתרות פתיחה'!$2:$76,73,0),0)</f>
        <v>0</v>
      </c>
      <c r="N84" s="47">
        <f>+IFERROR(HLOOKUP(N16,'סקרי נכסים-יתרות פתיחה'!$2:$76,73,0),0)</f>
        <v>0</v>
      </c>
      <c r="O84" s="47">
        <f>+IFERROR(HLOOKUP(O16,'סקרי נכסים-יתרות פתיחה'!$2:$76,73,0),0)</f>
        <v>0</v>
      </c>
      <c r="P84" s="47">
        <f>+IFERROR(HLOOKUP(P16,'סקרי נכסים-יתרות פתיחה'!$2:$76,73,0),0)</f>
        <v>10900920</v>
      </c>
      <c r="Q84" s="47">
        <f>+IFERROR(HLOOKUP(Q16,'סקרי נכסים-יתרות פתיחה'!$2:$76,73,0),0)</f>
        <v>0</v>
      </c>
      <c r="R84" s="47">
        <f>+IFERROR(HLOOKUP(R16,'סקרי נכסים-יתרות פתיחה'!$2:$76,73,0),0)</f>
        <v>0</v>
      </c>
      <c r="S84" s="47">
        <f>+IFERROR(HLOOKUP(S16,'סקרי נכסים-יתרות פתיחה'!$2:$76,73,0),0)</f>
        <v>0</v>
      </c>
      <c r="T84" s="47">
        <f>+IFERROR(HLOOKUP(T16,'סקרי נכסים-יתרות פתיחה'!$2:$76,73,0),0)</f>
        <v>0</v>
      </c>
      <c r="U84" s="47">
        <f>+IFERROR(HLOOKUP(U16,'סקרי נכסים-יתרות פתיחה'!$2:$76,73,0),0)</f>
        <v>0</v>
      </c>
      <c r="V84" s="47">
        <f>+IFERROR(HLOOKUP(V16,'סקרי נכסים-יתרות פתיחה'!$2:$76,73,0),0)</f>
        <v>0</v>
      </c>
      <c r="W84" s="47">
        <f>+IFERROR(HLOOKUP(W16,'סקרי נכסים-יתרות פתיחה'!$2:$76,73,0),0)</f>
        <v>0</v>
      </c>
      <c r="X84" s="47">
        <f>+IFERROR(HLOOKUP(X16,'סקרי נכסים-יתרות פתיחה'!$2:$76,73,0),0)</f>
        <v>0</v>
      </c>
      <c r="Y84" s="47">
        <f>+IFERROR(HLOOKUP(Y16,'סקרי נכסים-יתרות פתיחה'!$2:$76,73,0),0)</f>
        <v>0</v>
      </c>
      <c r="Z84" s="47">
        <f>+IFERROR(HLOOKUP(Z16,'סקרי נכסים-יתרות פתיחה'!$2:$76,73,0),0)</f>
        <v>0</v>
      </c>
      <c r="AA84" s="47">
        <f>+IFERROR(HLOOKUP(AA16,'סקרי נכסים-יתרות פתיחה'!$2:$76,73,0),0)</f>
        <v>0</v>
      </c>
      <c r="AB84" s="47">
        <f>+IFERROR(HLOOKUP(AB16,'סקרי נכסים-יתרות פתיחה'!$2:$76,73,0),0)</f>
        <v>0</v>
      </c>
      <c r="AC84" s="47">
        <f>+IFERROR(HLOOKUP(AC16,'סקרי נכסים-יתרות פתיחה'!$2:$76,73,0),0)</f>
        <v>0</v>
      </c>
      <c r="AD84" s="47">
        <f>+IFERROR(HLOOKUP(AD16,'סקרי נכסים-יתרות פתיחה'!$2:$76,73,0),0)</f>
        <v>0</v>
      </c>
      <c r="AE84" s="47">
        <f>+IFERROR(HLOOKUP(AE16,'סקרי נכסים-יתרות פתיחה'!$2:$76,73,0),0)</f>
        <v>0</v>
      </c>
      <c r="AF84" s="47">
        <f>+IFERROR(HLOOKUP(AF16,'סקרי נכסים-יתרות פתיחה'!$2:$76,73,0),0)</f>
        <v>0</v>
      </c>
      <c r="AG84" s="47">
        <f>+IFERROR(HLOOKUP(AG16,'סקרי נכסים-יתרות פתיחה'!$2:$76,73,0),0)</f>
        <v>0</v>
      </c>
      <c r="AH84" s="47">
        <f>+IFERROR(HLOOKUP(AH16,'סקרי נכסים-יתרות פתיחה'!$2:$76,73,0),0)</f>
        <v>0</v>
      </c>
      <c r="AI84" s="47">
        <f>+IFERROR(HLOOKUP(AI16,'סקרי נכסים-יתרות פתיחה'!$2:$76,73,0),0)</f>
        <v>0</v>
      </c>
      <c r="AJ84" s="47">
        <f>+IFERROR(HLOOKUP(AJ16,'סקרי נכסים-יתרות פתיחה'!$2:$76,73,0),0)</f>
        <v>0</v>
      </c>
      <c r="AK84" s="47">
        <f>+IFERROR(HLOOKUP(AK16,'סקרי נכסים-יתרות פתיחה'!$2:$76,73,0),0)</f>
        <v>0</v>
      </c>
      <c r="AL84" s="47">
        <f>+IFERROR(HLOOKUP(AL16,'סקרי נכסים-יתרות פתיחה'!$2:$76,73,0),0)</f>
        <v>0</v>
      </c>
      <c r="AM84" s="47">
        <f>+IFERROR(HLOOKUP(AM16,'סקרי נכסים-יתרות פתיחה'!$2:$76,73,0),0)</f>
        <v>0</v>
      </c>
      <c r="AN84" s="47">
        <f>+IFERROR(HLOOKUP(AN16,'סקרי נכסים-יתרות פתיחה'!$2:$76,73,0),0)</f>
        <v>0</v>
      </c>
      <c r="AO84" s="47">
        <f>+IFERROR(HLOOKUP(AO16,'סקרי נכסים-יתרות פתיחה'!$2:$76,73,0),0)</f>
        <v>0</v>
      </c>
      <c r="AP84" s="47">
        <f>+IFERROR(HLOOKUP(AP16,'סקרי נכסים-יתרות פתיחה'!$2:$76,73,0),0)</f>
        <v>0</v>
      </c>
      <c r="AQ84" s="47">
        <f>+IFERROR(HLOOKUP(AQ16,'סקרי נכסים-יתרות פתיחה'!$2:$76,73,0),0)</f>
        <v>0</v>
      </c>
      <c r="AR84" s="47">
        <f>+IFERROR(HLOOKUP(AR16,'סקרי נכסים-יתרות פתיחה'!$2:$76,73,0),0)</f>
        <v>0</v>
      </c>
      <c r="AS84" s="47">
        <f>+IFERROR(HLOOKUP(AS16,'סקרי נכסים-יתרות פתיחה'!$2:$76,73,0),0)</f>
        <v>4044630</v>
      </c>
      <c r="AT84" s="47">
        <f>+IFERROR(HLOOKUP(AT16,'סקרי נכסים-יתרות פתיחה'!$2:$76,73,0),0)</f>
        <v>0</v>
      </c>
      <c r="AU84" s="47">
        <f>+IFERROR(HLOOKUP(AU16,'סקרי נכסים-יתרות פתיחה'!$2:$76,73,0),0)</f>
        <v>0</v>
      </c>
      <c r="AV84" s="47">
        <f>+IFERROR(HLOOKUP(AV16,'סקרי נכסים-יתרות פתיחה'!$2:$76,73,0),0)</f>
        <v>0</v>
      </c>
      <c r="AW84" s="47">
        <f>+IFERROR(HLOOKUP(AW16,'סקרי נכסים-יתרות פתיחה'!$2:$76,73,0),0)</f>
        <v>0</v>
      </c>
      <c r="AX84" s="47">
        <f>+IFERROR(HLOOKUP(AX16,'סקרי נכסים-יתרות פתיחה'!$2:$76,73,0),0)</f>
        <v>0</v>
      </c>
      <c r="AY84" s="47">
        <f>+IFERROR(HLOOKUP(AY16,'סקרי נכסים-יתרות פתיחה'!$2:$76,73,0),0)</f>
        <v>0</v>
      </c>
      <c r="AZ84" s="47">
        <f>+IFERROR(HLOOKUP(AZ16,'סקרי נכסים-יתרות פתיחה'!$2:$76,73,0),0)</f>
        <v>0</v>
      </c>
      <c r="BA84" s="47">
        <f>+IFERROR(HLOOKUP(BA16,'סקרי נכסים-יתרות פתיחה'!$2:$76,73,0),0)</f>
        <v>0</v>
      </c>
      <c r="BB84" s="47">
        <f>+IFERROR(HLOOKUP(BB16,'סקרי נכסים-יתרות פתיחה'!$2:$76,73,0),0)</f>
        <v>0</v>
      </c>
      <c r="BC84" s="47">
        <f>+IFERROR(HLOOKUP(BC16,'סקרי נכסים-יתרות פתיחה'!$2:$76,73,0),0)</f>
        <v>0</v>
      </c>
      <c r="BD84" s="47">
        <f>+IFERROR(HLOOKUP(BD16,'סקרי נכסים-יתרות פתיחה'!$2:$76,73,0),0)</f>
        <v>0</v>
      </c>
      <c r="BE84" s="47">
        <f>+IFERROR(HLOOKUP(BE16,'סקרי נכסים-יתרות פתיחה'!$2:$76,73,0),0)</f>
        <v>0</v>
      </c>
      <c r="BF84" s="47">
        <f>+IFERROR(HLOOKUP(BF16,'סקרי נכסים-יתרות פתיחה'!$2:$76,73,0),0)</f>
        <v>0</v>
      </c>
    </row>
    <row r="85" spans="2:58" x14ac:dyDescent="0.2">
      <c r="B85" s="1">
        <v>10</v>
      </c>
      <c r="C85" s="47">
        <f>+IFERROR(HLOOKUP(C17,'סקרי נכסים-יתרות פתיחה'!$2:$76,73,0),0)</f>
        <v>0</v>
      </c>
      <c r="D85" s="47">
        <f>+IFERROR(HLOOKUP(D17,'סקרי נכסים-יתרות פתיחה'!$2:$76,73,0),0)</f>
        <v>0</v>
      </c>
      <c r="E85" s="47">
        <f>+IFERROR(HLOOKUP(E17,'סקרי נכסים-יתרות פתיחה'!$2:$76,73,0),0)</f>
        <v>0</v>
      </c>
      <c r="F85" s="47">
        <f>+IFERROR(HLOOKUP(F17,'סקרי נכסים-יתרות פתיחה'!$2:$76,73,0),0)</f>
        <v>0</v>
      </c>
      <c r="G85" s="47">
        <f>+IFERROR(HLOOKUP(G17,'סקרי נכסים-יתרות פתיחה'!$2:$76,73,0),0)</f>
        <v>0</v>
      </c>
      <c r="H85" s="47">
        <f>+IFERROR(HLOOKUP(H17,'סקרי נכסים-יתרות פתיחה'!$2:$76,73,0),0)</f>
        <v>0</v>
      </c>
      <c r="I85" s="47">
        <f>+IFERROR(HLOOKUP(I17,'סקרי נכסים-יתרות פתיחה'!$2:$76,73,0),0)</f>
        <v>0</v>
      </c>
      <c r="J85" s="47">
        <f>+IFERROR(HLOOKUP(J17,'סקרי נכסים-יתרות פתיחה'!$2:$76,73,0),0)</f>
        <v>0</v>
      </c>
      <c r="K85" s="47">
        <f>+IFERROR(HLOOKUP(K17,'סקרי נכסים-יתרות פתיחה'!$2:$76,73,0),0)</f>
        <v>0</v>
      </c>
      <c r="L85" s="47">
        <f>+IFERROR(HLOOKUP(L17,'סקרי נכסים-יתרות פתיחה'!$2:$76,73,0),0)</f>
        <v>0</v>
      </c>
      <c r="M85" s="47">
        <f>+IFERROR(HLOOKUP(M17,'סקרי נכסים-יתרות פתיחה'!$2:$76,73,0),0)</f>
        <v>0</v>
      </c>
      <c r="N85" s="47">
        <f>+IFERROR(HLOOKUP(N17,'סקרי נכסים-יתרות פתיחה'!$2:$76,73,0),0)</f>
        <v>0</v>
      </c>
      <c r="O85" s="47">
        <f>+IFERROR(HLOOKUP(O17,'סקרי נכסים-יתרות פתיחה'!$2:$76,73,0),0)</f>
        <v>0</v>
      </c>
      <c r="P85" s="47">
        <f>+IFERROR(HLOOKUP(P17,'סקרי נכסים-יתרות פתיחה'!$2:$76,73,0),0)</f>
        <v>4733558</v>
      </c>
      <c r="Q85" s="47">
        <f>+IFERROR(HLOOKUP(Q17,'סקרי נכסים-יתרות פתיחה'!$2:$76,73,0),0)</f>
        <v>0</v>
      </c>
      <c r="R85" s="47">
        <f>+IFERROR(HLOOKUP(R17,'סקרי נכסים-יתרות פתיחה'!$2:$76,73,0),0)</f>
        <v>0</v>
      </c>
      <c r="S85" s="47">
        <f>+IFERROR(HLOOKUP(S17,'סקרי נכסים-יתרות פתיחה'!$2:$76,73,0),0)</f>
        <v>0</v>
      </c>
      <c r="T85" s="47">
        <f>+IFERROR(HLOOKUP(T17,'סקרי נכסים-יתרות פתיחה'!$2:$76,73,0),0)</f>
        <v>0</v>
      </c>
      <c r="U85" s="47">
        <f>+IFERROR(HLOOKUP(U17,'סקרי נכסים-יתרות פתיחה'!$2:$76,73,0),0)</f>
        <v>0</v>
      </c>
      <c r="V85" s="47">
        <f>+IFERROR(HLOOKUP(V17,'סקרי נכסים-יתרות פתיחה'!$2:$76,73,0),0)</f>
        <v>0</v>
      </c>
      <c r="W85" s="47">
        <f>+IFERROR(HLOOKUP(W17,'סקרי נכסים-יתרות פתיחה'!$2:$76,73,0),0)</f>
        <v>0</v>
      </c>
      <c r="X85" s="47">
        <f>+IFERROR(HLOOKUP(X17,'סקרי נכסים-יתרות פתיחה'!$2:$76,73,0),0)</f>
        <v>0</v>
      </c>
      <c r="Y85" s="47">
        <f>+IFERROR(HLOOKUP(Y17,'סקרי נכסים-יתרות פתיחה'!$2:$76,73,0),0)</f>
        <v>0</v>
      </c>
      <c r="Z85" s="47">
        <f>+IFERROR(HLOOKUP(Z17,'סקרי נכסים-יתרות פתיחה'!$2:$76,73,0),0)</f>
        <v>0</v>
      </c>
      <c r="AA85" s="47">
        <f>+IFERROR(HLOOKUP(AA17,'סקרי נכסים-יתרות פתיחה'!$2:$76,73,0),0)</f>
        <v>0</v>
      </c>
      <c r="AB85" s="47">
        <f>+IFERROR(HLOOKUP(AB17,'סקרי נכסים-יתרות פתיחה'!$2:$76,73,0),0)</f>
        <v>0</v>
      </c>
      <c r="AC85" s="47">
        <f>+IFERROR(HLOOKUP(AC17,'סקרי נכסים-יתרות פתיחה'!$2:$76,73,0),0)</f>
        <v>0</v>
      </c>
      <c r="AD85" s="47">
        <f>+IFERROR(HLOOKUP(AD17,'סקרי נכסים-יתרות פתיחה'!$2:$76,73,0),0)</f>
        <v>0</v>
      </c>
      <c r="AE85" s="47">
        <f>+IFERROR(HLOOKUP(AE17,'סקרי נכסים-יתרות פתיחה'!$2:$76,73,0),0)</f>
        <v>0</v>
      </c>
      <c r="AF85" s="47">
        <f>+IFERROR(HLOOKUP(AF17,'סקרי נכסים-יתרות פתיחה'!$2:$76,73,0),0)</f>
        <v>0</v>
      </c>
      <c r="AG85" s="47">
        <f>+IFERROR(HLOOKUP(AG17,'סקרי נכסים-יתרות פתיחה'!$2:$76,73,0),0)</f>
        <v>0</v>
      </c>
      <c r="AH85" s="47">
        <f>+IFERROR(HLOOKUP(AH17,'סקרי נכסים-יתרות פתיחה'!$2:$76,73,0),0)</f>
        <v>0</v>
      </c>
      <c r="AI85" s="47">
        <f>+IFERROR(HLOOKUP(AI17,'סקרי נכסים-יתרות פתיחה'!$2:$76,73,0),0)</f>
        <v>0</v>
      </c>
      <c r="AJ85" s="47">
        <f>+IFERROR(HLOOKUP(AJ17,'סקרי נכסים-יתרות פתיחה'!$2:$76,73,0),0)</f>
        <v>0</v>
      </c>
      <c r="AK85" s="47">
        <f>+IFERROR(HLOOKUP(AK17,'סקרי נכסים-יתרות פתיחה'!$2:$76,73,0),0)</f>
        <v>0</v>
      </c>
      <c r="AL85" s="47">
        <f>+IFERROR(HLOOKUP(AL17,'סקרי נכסים-יתרות פתיחה'!$2:$76,73,0),0)</f>
        <v>0</v>
      </c>
      <c r="AM85" s="47">
        <f>+IFERROR(HLOOKUP(AM17,'סקרי נכסים-יתרות פתיחה'!$2:$76,73,0),0)</f>
        <v>0</v>
      </c>
      <c r="AN85" s="47">
        <f>+IFERROR(HLOOKUP(AN17,'סקרי נכסים-יתרות פתיחה'!$2:$76,73,0),0)</f>
        <v>0</v>
      </c>
      <c r="AO85" s="47">
        <f>+IFERROR(HLOOKUP(AO17,'סקרי נכסים-יתרות פתיחה'!$2:$76,73,0),0)</f>
        <v>0</v>
      </c>
      <c r="AP85" s="47">
        <f>+IFERROR(HLOOKUP(AP17,'סקרי נכסים-יתרות פתיחה'!$2:$76,73,0),0)</f>
        <v>0</v>
      </c>
      <c r="AQ85" s="47">
        <f>+IFERROR(HLOOKUP(AQ17,'סקרי נכסים-יתרות פתיחה'!$2:$76,73,0),0)</f>
        <v>0</v>
      </c>
      <c r="AR85" s="47">
        <f>+IFERROR(HLOOKUP(AR17,'סקרי נכסים-יתרות פתיחה'!$2:$76,73,0),0)</f>
        <v>0</v>
      </c>
      <c r="AS85" s="47">
        <f>+IFERROR(HLOOKUP(AS17,'סקרי נכסים-יתרות פתיחה'!$2:$76,73,0),0)</f>
        <v>8225878</v>
      </c>
      <c r="AT85" s="47">
        <f>+IFERROR(HLOOKUP(AT17,'סקרי נכסים-יתרות פתיחה'!$2:$76,73,0),0)</f>
        <v>0</v>
      </c>
      <c r="AU85" s="47">
        <f>+IFERROR(HLOOKUP(AU17,'סקרי נכסים-יתרות פתיחה'!$2:$76,73,0),0)</f>
        <v>0</v>
      </c>
      <c r="AV85" s="47">
        <f>+IFERROR(HLOOKUP(AV17,'סקרי נכסים-יתרות פתיחה'!$2:$76,73,0),0)</f>
        <v>0</v>
      </c>
      <c r="AW85" s="47">
        <f>+IFERROR(HLOOKUP(AW17,'סקרי נכסים-יתרות פתיחה'!$2:$76,73,0),0)</f>
        <v>0</v>
      </c>
      <c r="AX85" s="47">
        <f>+IFERROR(HLOOKUP(AX17,'סקרי נכסים-יתרות פתיחה'!$2:$76,73,0),0)</f>
        <v>0</v>
      </c>
      <c r="AY85" s="47">
        <f>+IFERROR(HLOOKUP(AY17,'סקרי נכסים-יתרות פתיחה'!$2:$76,73,0),0)</f>
        <v>0</v>
      </c>
      <c r="AZ85" s="47">
        <f>+IFERROR(HLOOKUP(AZ17,'סקרי נכסים-יתרות פתיחה'!$2:$76,73,0),0)</f>
        <v>0</v>
      </c>
      <c r="BA85" s="47">
        <f>+IFERROR(HLOOKUP(BA17,'סקרי נכסים-יתרות פתיחה'!$2:$76,73,0),0)</f>
        <v>0</v>
      </c>
      <c r="BB85" s="47">
        <f>+IFERROR(HLOOKUP(BB17,'סקרי נכסים-יתרות פתיחה'!$2:$76,73,0),0)</f>
        <v>0</v>
      </c>
      <c r="BC85" s="47">
        <f>+IFERROR(HLOOKUP(BC17,'סקרי נכסים-יתרות פתיחה'!$2:$76,73,0),0)</f>
        <v>0</v>
      </c>
      <c r="BD85" s="47">
        <f>+IFERROR(HLOOKUP(BD17,'סקרי נכסים-יתרות פתיחה'!$2:$76,73,0),0)</f>
        <v>0</v>
      </c>
      <c r="BE85" s="47">
        <f>+IFERROR(HLOOKUP(BE17,'סקרי נכסים-יתרות פתיחה'!$2:$76,73,0),0)</f>
        <v>0</v>
      </c>
      <c r="BF85" s="47">
        <f>+IFERROR(HLOOKUP(BF17,'סקרי נכסים-יתרות פתיחה'!$2:$76,73,0),0)</f>
        <v>0</v>
      </c>
    </row>
    <row r="86" spans="2:58" x14ac:dyDescent="0.2">
      <c r="B86" s="1">
        <v>11</v>
      </c>
      <c r="C86" s="47">
        <f>+IFERROR(HLOOKUP(C18,'סקרי נכסים-יתרות פתיחה'!$2:$76,73,0),0)</f>
        <v>0</v>
      </c>
      <c r="D86" s="47">
        <f>+IFERROR(HLOOKUP(D18,'סקרי נכסים-יתרות פתיחה'!$2:$76,73,0),0)</f>
        <v>0</v>
      </c>
      <c r="E86" s="47">
        <f>+IFERROR(HLOOKUP(E18,'סקרי נכסים-יתרות פתיחה'!$2:$76,73,0),0)</f>
        <v>0</v>
      </c>
      <c r="F86" s="47">
        <f>+IFERROR(HLOOKUP(F18,'סקרי נכסים-יתרות פתיחה'!$2:$76,73,0),0)</f>
        <v>0</v>
      </c>
      <c r="G86" s="47">
        <f>+IFERROR(HLOOKUP(G18,'סקרי נכסים-יתרות פתיחה'!$2:$76,73,0),0)</f>
        <v>0</v>
      </c>
      <c r="H86" s="47">
        <f>+IFERROR(HLOOKUP(H18,'סקרי נכסים-יתרות פתיחה'!$2:$76,73,0),0)</f>
        <v>0</v>
      </c>
      <c r="I86" s="47">
        <f>+IFERROR(HLOOKUP(I18,'סקרי נכסים-יתרות פתיחה'!$2:$76,73,0),0)</f>
        <v>0</v>
      </c>
      <c r="J86" s="47">
        <f>+IFERROR(HLOOKUP(J18,'סקרי נכסים-יתרות פתיחה'!$2:$76,73,0),0)</f>
        <v>0</v>
      </c>
      <c r="K86" s="47">
        <f>+IFERROR(HLOOKUP(K18,'סקרי נכסים-יתרות פתיחה'!$2:$76,73,0),0)</f>
        <v>0</v>
      </c>
      <c r="L86" s="47">
        <f>+IFERROR(HLOOKUP(L18,'סקרי נכסים-יתרות פתיחה'!$2:$76,73,0),0)</f>
        <v>0</v>
      </c>
      <c r="M86" s="47">
        <f>+IFERROR(HLOOKUP(M18,'סקרי נכסים-יתרות פתיחה'!$2:$76,73,0),0)</f>
        <v>0</v>
      </c>
      <c r="N86" s="47">
        <f>+IFERROR(HLOOKUP(N18,'סקרי נכסים-יתרות פתיחה'!$2:$76,73,0),0)</f>
        <v>0</v>
      </c>
      <c r="O86" s="47">
        <f>+IFERROR(HLOOKUP(O18,'סקרי נכסים-יתרות פתיחה'!$2:$76,73,0),0)</f>
        <v>0</v>
      </c>
      <c r="P86" s="47">
        <f>+IFERROR(HLOOKUP(P18,'סקרי נכסים-יתרות פתיחה'!$2:$76,73,0),0)</f>
        <v>2683925</v>
      </c>
      <c r="Q86" s="47">
        <f>+IFERROR(HLOOKUP(Q18,'סקרי נכסים-יתרות פתיחה'!$2:$76,73,0),0)</f>
        <v>0</v>
      </c>
      <c r="R86" s="47">
        <f>+IFERROR(HLOOKUP(R18,'סקרי נכסים-יתרות פתיחה'!$2:$76,73,0),0)</f>
        <v>0</v>
      </c>
      <c r="S86" s="47">
        <f>+IFERROR(HLOOKUP(S18,'סקרי נכסים-יתרות פתיחה'!$2:$76,73,0),0)</f>
        <v>0</v>
      </c>
      <c r="T86" s="47">
        <f>+IFERROR(HLOOKUP(T18,'סקרי נכסים-יתרות פתיחה'!$2:$76,73,0),0)</f>
        <v>0</v>
      </c>
      <c r="U86" s="47">
        <f>+IFERROR(HLOOKUP(U18,'סקרי נכסים-יתרות פתיחה'!$2:$76,73,0),0)</f>
        <v>0</v>
      </c>
      <c r="V86" s="47">
        <f>+IFERROR(HLOOKUP(V18,'סקרי נכסים-יתרות פתיחה'!$2:$76,73,0),0)</f>
        <v>0</v>
      </c>
      <c r="W86" s="47">
        <f>+IFERROR(HLOOKUP(W18,'סקרי נכסים-יתרות פתיחה'!$2:$76,73,0),0)</f>
        <v>0</v>
      </c>
      <c r="X86" s="47">
        <f>+IFERROR(HLOOKUP(X18,'סקרי נכסים-יתרות פתיחה'!$2:$76,73,0),0)</f>
        <v>0</v>
      </c>
      <c r="Y86" s="47">
        <f>+IFERROR(HLOOKUP(Y18,'סקרי נכסים-יתרות פתיחה'!$2:$76,73,0),0)</f>
        <v>0</v>
      </c>
      <c r="Z86" s="47">
        <f>+IFERROR(HLOOKUP(Z18,'סקרי נכסים-יתרות פתיחה'!$2:$76,73,0),0)</f>
        <v>0</v>
      </c>
      <c r="AA86" s="47">
        <f>+IFERROR(HLOOKUP(AA18,'סקרי נכסים-יתרות פתיחה'!$2:$76,73,0),0)</f>
        <v>0</v>
      </c>
      <c r="AB86" s="47">
        <f>+IFERROR(HLOOKUP(AB18,'סקרי נכסים-יתרות פתיחה'!$2:$76,73,0),0)</f>
        <v>0</v>
      </c>
      <c r="AC86" s="47">
        <f>+IFERROR(HLOOKUP(AC18,'סקרי נכסים-יתרות פתיחה'!$2:$76,73,0),0)</f>
        <v>0</v>
      </c>
      <c r="AD86" s="47">
        <f>+IFERROR(HLOOKUP(AD18,'סקרי נכסים-יתרות פתיחה'!$2:$76,73,0),0)</f>
        <v>0</v>
      </c>
      <c r="AE86" s="47">
        <f>+IFERROR(HLOOKUP(AE18,'סקרי נכסים-יתרות פתיחה'!$2:$76,73,0),0)</f>
        <v>0</v>
      </c>
      <c r="AF86" s="47">
        <f>+IFERROR(HLOOKUP(AF18,'סקרי נכסים-יתרות פתיחה'!$2:$76,73,0),0)</f>
        <v>0</v>
      </c>
      <c r="AG86" s="47">
        <f>+IFERROR(HLOOKUP(AG18,'סקרי נכסים-יתרות פתיחה'!$2:$76,73,0),0)</f>
        <v>0</v>
      </c>
      <c r="AH86" s="47">
        <f>+IFERROR(HLOOKUP(AH18,'סקרי נכסים-יתרות פתיחה'!$2:$76,73,0),0)</f>
        <v>0</v>
      </c>
      <c r="AI86" s="47">
        <f>+IFERROR(HLOOKUP(AI18,'סקרי נכסים-יתרות פתיחה'!$2:$76,73,0),0)</f>
        <v>0</v>
      </c>
      <c r="AJ86" s="47">
        <f>+IFERROR(HLOOKUP(AJ18,'סקרי נכסים-יתרות פתיחה'!$2:$76,73,0),0)</f>
        <v>0</v>
      </c>
      <c r="AK86" s="47">
        <f>+IFERROR(HLOOKUP(AK18,'סקרי נכסים-יתרות פתיחה'!$2:$76,73,0),0)</f>
        <v>0</v>
      </c>
      <c r="AL86" s="47">
        <f>+IFERROR(HLOOKUP(AL18,'סקרי נכסים-יתרות פתיחה'!$2:$76,73,0),0)</f>
        <v>0</v>
      </c>
      <c r="AM86" s="47">
        <f>+IFERROR(HLOOKUP(AM18,'סקרי נכסים-יתרות פתיחה'!$2:$76,73,0),0)</f>
        <v>0</v>
      </c>
      <c r="AN86" s="47">
        <f>+IFERROR(HLOOKUP(AN18,'סקרי נכסים-יתרות פתיחה'!$2:$76,73,0),0)</f>
        <v>0</v>
      </c>
      <c r="AO86" s="47">
        <f>+IFERROR(HLOOKUP(AO18,'סקרי נכסים-יתרות פתיחה'!$2:$76,73,0),0)</f>
        <v>0</v>
      </c>
      <c r="AP86" s="47">
        <f>+IFERROR(HLOOKUP(AP18,'סקרי נכסים-יתרות פתיחה'!$2:$76,73,0),0)</f>
        <v>0</v>
      </c>
      <c r="AQ86" s="47">
        <f>+IFERROR(HLOOKUP(AQ18,'סקרי נכסים-יתרות פתיחה'!$2:$76,73,0),0)</f>
        <v>0</v>
      </c>
      <c r="AR86" s="47">
        <f>+IFERROR(HLOOKUP(AR18,'סקרי נכסים-יתרות פתיחה'!$2:$76,73,0),0)</f>
        <v>0</v>
      </c>
      <c r="AS86" s="47">
        <f>+IFERROR(HLOOKUP(AS18,'סקרי נכסים-יתרות פתיחה'!$2:$76,73,0),0)</f>
        <v>0</v>
      </c>
      <c r="AT86" s="47">
        <f>+IFERROR(HLOOKUP(AT18,'סקרי נכסים-יתרות פתיחה'!$2:$76,73,0),0)</f>
        <v>0</v>
      </c>
      <c r="AU86" s="47">
        <f>+IFERROR(HLOOKUP(AU18,'סקרי נכסים-יתרות פתיחה'!$2:$76,73,0),0)</f>
        <v>0</v>
      </c>
      <c r="AV86" s="47">
        <f>+IFERROR(HLOOKUP(AV18,'סקרי נכסים-יתרות פתיחה'!$2:$76,73,0),0)</f>
        <v>0</v>
      </c>
      <c r="AW86" s="47">
        <f>+IFERROR(HLOOKUP(AW18,'סקרי נכסים-יתרות פתיחה'!$2:$76,73,0),0)</f>
        <v>0</v>
      </c>
      <c r="AX86" s="47">
        <f>+IFERROR(HLOOKUP(AX18,'סקרי נכסים-יתרות פתיחה'!$2:$76,73,0),0)</f>
        <v>0</v>
      </c>
      <c r="AY86" s="47">
        <f>+IFERROR(HLOOKUP(AY18,'סקרי נכסים-יתרות פתיחה'!$2:$76,73,0),0)</f>
        <v>0</v>
      </c>
      <c r="AZ86" s="47">
        <f>+IFERROR(HLOOKUP(AZ18,'סקרי נכסים-יתרות פתיחה'!$2:$76,73,0),0)</f>
        <v>0</v>
      </c>
      <c r="BA86" s="47">
        <f>+IFERROR(HLOOKUP(BA18,'סקרי נכסים-יתרות פתיחה'!$2:$76,73,0),0)</f>
        <v>0</v>
      </c>
      <c r="BB86" s="47">
        <f>+IFERROR(HLOOKUP(BB18,'סקרי נכסים-יתרות פתיחה'!$2:$76,73,0),0)</f>
        <v>0</v>
      </c>
      <c r="BC86" s="47">
        <f>+IFERROR(HLOOKUP(BC18,'סקרי נכסים-יתרות פתיחה'!$2:$76,73,0),0)</f>
        <v>0</v>
      </c>
      <c r="BD86" s="47">
        <f>+IFERROR(HLOOKUP(BD18,'סקרי נכסים-יתרות פתיחה'!$2:$76,73,0),0)</f>
        <v>0</v>
      </c>
      <c r="BE86" s="47">
        <f>+IFERROR(HLOOKUP(BE18,'סקרי נכסים-יתרות פתיחה'!$2:$76,73,0),0)</f>
        <v>0</v>
      </c>
      <c r="BF86" s="47">
        <f>+IFERROR(HLOOKUP(BF18,'סקרי נכסים-יתרות פתיחה'!$2:$76,73,0),0)</f>
        <v>0</v>
      </c>
    </row>
    <row r="87" spans="2:58" x14ac:dyDescent="0.2">
      <c r="B87" s="1">
        <v>12</v>
      </c>
      <c r="C87" s="47">
        <f>+IFERROR(HLOOKUP(C19,'סקרי נכסים-יתרות פתיחה'!$2:$76,73,0),0)</f>
        <v>0</v>
      </c>
      <c r="D87" s="47">
        <f>+IFERROR(HLOOKUP(D19,'סקרי נכסים-יתרות פתיחה'!$2:$76,73,0),0)</f>
        <v>0</v>
      </c>
      <c r="E87" s="47">
        <f>+IFERROR(HLOOKUP(E19,'סקרי נכסים-יתרות פתיחה'!$2:$76,73,0),0)</f>
        <v>0</v>
      </c>
      <c r="F87" s="47">
        <f>+IFERROR(HLOOKUP(F19,'סקרי נכסים-יתרות פתיחה'!$2:$76,73,0),0)</f>
        <v>0</v>
      </c>
      <c r="G87" s="47">
        <f>+IFERROR(HLOOKUP(G19,'סקרי נכסים-יתרות פתיחה'!$2:$76,73,0),0)</f>
        <v>0</v>
      </c>
      <c r="H87" s="47">
        <f>+IFERROR(HLOOKUP(H19,'סקרי נכסים-יתרות פתיחה'!$2:$76,73,0),0)</f>
        <v>0</v>
      </c>
      <c r="I87" s="47">
        <f>+IFERROR(HLOOKUP(I19,'סקרי נכסים-יתרות פתיחה'!$2:$76,73,0),0)</f>
        <v>0</v>
      </c>
      <c r="J87" s="47">
        <f>+IFERROR(HLOOKUP(J19,'סקרי נכסים-יתרות פתיחה'!$2:$76,73,0),0)</f>
        <v>0</v>
      </c>
      <c r="K87" s="47">
        <f>+IFERROR(HLOOKUP(K19,'סקרי נכסים-יתרות פתיחה'!$2:$76,73,0),0)</f>
        <v>0</v>
      </c>
      <c r="L87" s="47">
        <f>+IFERROR(HLOOKUP(L19,'סקרי נכסים-יתרות פתיחה'!$2:$76,73,0),0)</f>
        <v>0</v>
      </c>
      <c r="M87" s="47">
        <f>+IFERROR(HLOOKUP(M19,'סקרי נכסים-יתרות פתיחה'!$2:$76,73,0),0)</f>
        <v>0</v>
      </c>
      <c r="N87" s="47">
        <f>+IFERROR(HLOOKUP(N19,'סקרי נכסים-יתרות פתיחה'!$2:$76,73,0),0)</f>
        <v>0</v>
      </c>
      <c r="O87" s="47">
        <f>+IFERROR(HLOOKUP(O19,'סקרי נכסים-יתרות פתיחה'!$2:$76,73,0),0)</f>
        <v>0</v>
      </c>
      <c r="P87" s="47">
        <f>+IFERROR(HLOOKUP(P19,'סקרי נכסים-יתרות פתיחה'!$2:$76,73,0),0)</f>
        <v>6526653</v>
      </c>
      <c r="Q87" s="47">
        <f>+IFERROR(HLOOKUP(Q19,'סקרי נכסים-יתרות פתיחה'!$2:$76,73,0),0)</f>
        <v>0</v>
      </c>
      <c r="R87" s="47">
        <f>+IFERROR(HLOOKUP(R19,'סקרי נכסים-יתרות פתיחה'!$2:$76,73,0),0)</f>
        <v>0</v>
      </c>
      <c r="S87" s="47">
        <f>+IFERROR(HLOOKUP(S19,'סקרי נכסים-יתרות פתיחה'!$2:$76,73,0),0)</f>
        <v>0</v>
      </c>
      <c r="T87" s="47">
        <f>+IFERROR(HLOOKUP(T19,'סקרי נכסים-יתרות פתיחה'!$2:$76,73,0),0)</f>
        <v>0</v>
      </c>
      <c r="U87" s="47">
        <f>+IFERROR(HLOOKUP(U19,'סקרי נכסים-יתרות פתיחה'!$2:$76,73,0),0)</f>
        <v>0</v>
      </c>
      <c r="V87" s="47">
        <f>+IFERROR(HLOOKUP(V19,'סקרי נכסים-יתרות פתיחה'!$2:$76,73,0),0)</f>
        <v>0</v>
      </c>
      <c r="W87" s="47">
        <f>+IFERROR(HLOOKUP(W19,'סקרי נכסים-יתרות פתיחה'!$2:$76,73,0),0)</f>
        <v>0</v>
      </c>
      <c r="X87" s="47">
        <f>+IFERROR(HLOOKUP(X19,'סקרי נכסים-יתרות פתיחה'!$2:$76,73,0),0)</f>
        <v>0</v>
      </c>
      <c r="Y87" s="47">
        <f>+IFERROR(HLOOKUP(Y19,'סקרי נכסים-יתרות פתיחה'!$2:$76,73,0),0)</f>
        <v>0</v>
      </c>
      <c r="Z87" s="47">
        <f>+IFERROR(HLOOKUP(Z19,'סקרי נכסים-יתרות פתיחה'!$2:$76,73,0),0)</f>
        <v>0</v>
      </c>
      <c r="AA87" s="47">
        <f>+IFERROR(HLOOKUP(AA19,'סקרי נכסים-יתרות פתיחה'!$2:$76,73,0),0)</f>
        <v>0</v>
      </c>
      <c r="AB87" s="47">
        <f>+IFERROR(HLOOKUP(AB19,'סקרי נכסים-יתרות פתיחה'!$2:$76,73,0),0)</f>
        <v>0</v>
      </c>
      <c r="AC87" s="47">
        <f>+IFERROR(HLOOKUP(AC19,'סקרי נכסים-יתרות פתיחה'!$2:$76,73,0),0)</f>
        <v>0</v>
      </c>
      <c r="AD87" s="47">
        <f>+IFERROR(HLOOKUP(AD19,'סקרי נכסים-יתרות פתיחה'!$2:$76,73,0),0)</f>
        <v>0</v>
      </c>
      <c r="AE87" s="47">
        <f>+IFERROR(HLOOKUP(AE19,'סקרי נכסים-יתרות פתיחה'!$2:$76,73,0),0)</f>
        <v>0</v>
      </c>
      <c r="AF87" s="47">
        <f>+IFERROR(HLOOKUP(AF19,'סקרי נכסים-יתרות פתיחה'!$2:$76,73,0),0)</f>
        <v>0</v>
      </c>
      <c r="AG87" s="47">
        <f>+IFERROR(HLOOKUP(AG19,'סקרי נכסים-יתרות פתיחה'!$2:$76,73,0),0)</f>
        <v>0</v>
      </c>
      <c r="AH87" s="47">
        <f>+IFERROR(HLOOKUP(AH19,'סקרי נכסים-יתרות פתיחה'!$2:$76,73,0),0)</f>
        <v>0</v>
      </c>
      <c r="AI87" s="47">
        <f>+IFERROR(HLOOKUP(AI19,'סקרי נכסים-יתרות פתיחה'!$2:$76,73,0),0)</f>
        <v>0</v>
      </c>
      <c r="AJ87" s="47">
        <f>+IFERROR(HLOOKUP(AJ19,'סקרי נכסים-יתרות פתיחה'!$2:$76,73,0),0)</f>
        <v>0</v>
      </c>
      <c r="AK87" s="47">
        <f>+IFERROR(HLOOKUP(AK19,'סקרי נכסים-יתרות פתיחה'!$2:$76,73,0),0)</f>
        <v>0</v>
      </c>
      <c r="AL87" s="47">
        <f>+IFERROR(HLOOKUP(AL19,'סקרי נכסים-יתרות פתיחה'!$2:$76,73,0),0)</f>
        <v>0</v>
      </c>
      <c r="AM87" s="47">
        <f>+IFERROR(HLOOKUP(AM19,'סקרי נכסים-יתרות פתיחה'!$2:$76,73,0),0)</f>
        <v>0</v>
      </c>
      <c r="AN87" s="47">
        <f>+IFERROR(HLOOKUP(AN19,'סקרי נכסים-יתרות פתיחה'!$2:$76,73,0),0)</f>
        <v>0</v>
      </c>
      <c r="AO87" s="47">
        <f>+IFERROR(HLOOKUP(AO19,'סקרי נכסים-יתרות פתיחה'!$2:$76,73,0),0)</f>
        <v>0</v>
      </c>
      <c r="AP87" s="47">
        <f>+IFERROR(HLOOKUP(AP19,'סקרי נכסים-יתרות פתיחה'!$2:$76,73,0),0)</f>
        <v>0</v>
      </c>
      <c r="AQ87" s="47">
        <f>+IFERROR(HLOOKUP(AQ19,'סקרי נכסים-יתרות פתיחה'!$2:$76,73,0),0)</f>
        <v>0</v>
      </c>
      <c r="AR87" s="47">
        <f>+IFERROR(HLOOKUP(AR19,'סקרי נכסים-יתרות פתיחה'!$2:$76,73,0),0)</f>
        <v>0</v>
      </c>
      <c r="AS87" s="47">
        <f>+IFERROR(HLOOKUP(AS19,'סקרי נכסים-יתרות פתיחה'!$2:$76,73,0),0)</f>
        <v>0</v>
      </c>
      <c r="AT87" s="47">
        <f>+IFERROR(HLOOKUP(AT19,'סקרי נכסים-יתרות פתיחה'!$2:$76,73,0),0)</f>
        <v>0</v>
      </c>
      <c r="AU87" s="47">
        <f>+IFERROR(HLOOKUP(AU19,'סקרי נכסים-יתרות פתיחה'!$2:$76,73,0),0)</f>
        <v>0</v>
      </c>
      <c r="AV87" s="47">
        <f>+IFERROR(HLOOKUP(AV19,'סקרי נכסים-יתרות פתיחה'!$2:$76,73,0),0)</f>
        <v>0</v>
      </c>
      <c r="AW87" s="47">
        <f>+IFERROR(HLOOKUP(AW19,'סקרי נכסים-יתרות פתיחה'!$2:$76,73,0),0)</f>
        <v>0</v>
      </c>
      <c r="AX87" s="47">
        <f>+IFERROR(HLOOKUP(AX19,'סקרי נכסים-יתרות פתיחה'!$2:$76,73,0),0)</f>
        <v>0</v>
      </c>
      <c r="AY87" s="47">
        <f>+IFERROR(HLOOKUP(AY19,'סקרי נכסים-יתרות פתיחה'!$2:$76,73,0),0)</f>
        <v>0</v>
      </c>
      <c r="AZ87" s="47">
        <f>+IFERROR(HLOOKUP(AZ19,'סקרי נכסים-יתרות פתיחה'!$2:$76,73,0),0)</f>
        <v>0</v>
      </c>
      <c r="BA87" s="47">
        <f>+IFERROR(HLOOKUP(BA19,'סקרי נכסים-יתרות פתיחה'!$2:$76,73,0),0)</f>
        <v>0</v>
      </c>
      <c r="BB87" s="47">
        <f>+IFERROR(HLOOKUP(BB19,'סקרי נכסים-יתרות פתיחה'!$2:$76,73,0),0)</f>
        <v>0</v>
      </c>
      <c r="BC87" s="47">
        <f>+IFERROR(HLOOKUP(BC19,'סקרי נכסים-יתרות פתיחה'!$2:$76,73,0),0)</f>
        <v>0</v>
      </c>
      <c r="BD87" s="47">
        <f>+IFERROR(HLOOKUP(BD19,'סקרי נכסים-יתרות פתיחה'!$2:$76,73,0),0)</f>
        <v>0</v>
      </c>
      <c r="BE87" s="47">
        <f>+IFERROR(HLOOKUP(BE19,'סקרי נכסים-יתרות פתיחה'!$2:$76,73,0),0)</f>
        <v>0</v>
      </c>
      <c r="BF87" s="47">
        <f>+IFERROR(HLOOKUP(BF19,'סקרי נכסים-יתרות פתיחה'!$2:$76,73,0),0)</f>
        <v>0</v>
      </c>
    </row>
    <row r="88" spans="2:58" x14ac:dyDescent="0.2">
      <c r="B88" s="1">
        <v>13</v>
      </c>
      <c r="C88" s="47">
        <f>+IFERROR(HLOOKUP(C20,'סקרי נכסים-יתרות פתיחה'!$2:$76,73,0),0)</f>
        <v>0</v>
      </c>
      <c r="D88" s="47">
        <f>+IFERROR(HLOOKUP(D20,'סקרי נכסים-יתרות פתיחה'!$2:$76,73,0),0)</f>
        <v>0</v>
      </c>
      <c r="E88" s="47">
        <f>+IFERROR(HLOOKUP(E20,'סקרי נכסים-יתרות פתיחה'!$2:$76,73,0),0)</f>
        <v>0</v>
      </c>
      <c r="F88" s="47">
        <f>+IFERROR(HLOOKUP(F20,'סקרי נכסים-יתרות פתיחה'!$2:$76,73,0),0)</f>
        <v>0</v>
      </c>
      <c r="G88" s="47">
        <f>+IFERROR(HLOOKUP(G20,'סקרי נכסים-יתרות פתיחה'!$2:$76,73,0),0)</f>
        <v>0</v>
      </c>
      <c r="H88" s="47">
        <f>+IFERROR(HLOOKUP(H20,'סקרי נכסים-יתרות פתיחה'!$2:$76,73,0),0)</f>
        <v>0</v>
      </c>
      <c r="I88" s="47">
        <f>+IFERROR(HLOOKUP(I20,'סקרי נכסים-יתרות פתיחה'!$2:$76,73,0),0)</f>
        <v>0</v>
      </c>
      <c r="J88" s="47">
        <f>+IFERROR(HLOOKUP(J20,'סקרי נכסים-יתרות פתיחה'!$2:$76,73,0),0)</f>
        <v>0</v>
      </c>
      <c r="K88" s="47">
        <f>+IFERROR(HLOOKUP(K20,'סקרי נכסים-יתרות פתיחה'!$2:$76,73,0),0)</f>
        <v>0</v>
      </c>
      <c r="L88" s="47">
        <f>+IFERROR(HLOOKUP(L20,'סקרי נכסים-יתרות פתיחה'!$2:$76,73,0),0)</f>
        <v>0</v>
      </c>
      <c r="M88" s="47">
        <f>+IFERROR(HLOOKUP(M20,'סקרי נכסים-יתרות פתיחה'!$2:$76,73,0),0)</f>
        <v>0</v>
      </c>
      <c r="N88" s="47">
        <f>+IFERROR(HLOOKUP(N20,'סקרי נכסים-יתרות פתיחה'!$2:$76,73,0),0)</f>
        <v>0</v>
      </c>
      <c r="O88" s="47">
        <f>+IFERROR(HLOOKUP(O20,'סקרי נכסים-יתרות פתיחה'!$2:$76,73,0),0)</f>
        <v>0</v>
      </c>
      <c r="P88" s="47">
        <f>+IFERROR(HLOOKUP(P20,'סקרי נכסים-יתרות פתיחה'!$2:$76,73,0),0)</f>
        <v>10277000</v>
      </c>
      <c r="Q88" s="47">
        <f>+IFERROR(HLOOKUP(Q20,'סקרי נכסים-יתרות פתיחה'!$2:$76,73,0),0)</f>
        <v>0</v>
      </c>
      <c r="R88" s="47">
        <f>+IFERROR(HLOOKUP(R20,'סקרי נכסים-יתרות פתיחה'!$2:$76,73,0),0)</f>
        <v>0</v>
      </c>
      <c r="S88" s="47">
        <f>+IFERROR(HLOOKUP(S20,'סקרי נכסים-יתרות פתיחה'!$2:$76,73,0),0)</f>
        <v>0</v>
      </c>
      <c r="T88" s="47">
        <f>+IFERROR(HLOOKUP(T20,'סקרי נכסים-יתרות פתיחה'!$2:$76,73,0),0)</f>
        <v>0</v>
      </c>
      <c r="U88" s="47">
        <f>+IFERROR(HLOOKUP(U20,'סקרי נכסים-יתרות פתיחה'!$2:$76,73,0),0)</f>
        <v>0</v>
      </c>
      <c r="V88" s="47">
        <f>+IFERROR(HLOOKUP(V20,'סקרי נכסים-יתרות פתיחה'!$2:$76,73,0),0)</f>
        <v>0</v>
      </c>
      <c r="W88" s="47">
        <f>+IFERROR(HLOOKUP(W20,'סקרי נכסים-יתרות פתיחה'!$2:$76,73,0),0)</f>
        <v>0</v>
      </c>
      <c r="X88" s="47">
        <f>+IFERROR(HLOOKUP(X20,'סקרי נכסים-יתרות פתיחה'!$2:$76,73,0),0)</f>
        <v>0</v>
      </c>
      <c r="Y88" s="47">
        <f>+IFERROR(HLOOKUP(Y20,'סקרי נכסים-יתרות פתיחה'!$2:$76,73,0),0)</f>
        <v>0</v>
      </c>
      <c r="Z88" s="47">
        <f>+IFERROR(HLOOKUP(Z20,'סקרי נכסים-יתרות פתיחה'!$2:$76,73,0),0)</f>
        <v>0</v>
      </c>
      <c r="AA88" s="47">
        <f>+IFERROR(HLOOKUP(AA20,'סקרי נכסים-יתרות פתיחה'!$2:$76,73,0),0)</f>
        <v>0</v>
      </c>
      <c r="AB88" s="47">
        <f>+IFERROR(HLOOKUP(AB20,'סקרי נכסים-יתרות פתיחה'!$2:$76,73,0),0)</f>
        <v>0</v>
      </c>
      <c r="AC88" s="47">
        <f>+IFERROR(HLOOKUP(AC20,'סקרי נכסים-יתרות פתיחה'!$2:$76,73,0),0)</f>
        <v>0</v>
      </c>
      <c r="AD88" s="47">
        <f>+IFERROR(HLOOKUP(AD20,'סקרי נכסים-יתרות פתיחה'!$2:$76,73,0),0)</f>
        <v>0</v>
      </c>
      <c r="AE88" s="47">
        <f>+IFERROR(HLOOKUP(AE20,'סקרי נכסים-יתרות פתיחה'!$2:$76,73,0),0)</f>
        <v>0</v>
      </c>
      <c r="AF88" s="47">
        <f>+IFERROR(HLOOKUP(AF20,'סקרי נכסים-יתרות פתיחה'!$2:$76,73,0),0)</f>
        <v>0</v>
      </c>
      <c r="AG88" s="47">
        <f>+IFERROR(HLOOKUP(AG20,'סקרי נכסים-יתרות פתיחה'!$2:$76,73,0),0)</f>
        <v>0</v>
      </c>
      <c r="AH88" s="47">
        <f>+IFERROR(HLOOKUP(AH20,'סקרי נכסים-יתרות פתיחה'!$2:$76,73,0),0)</f>
        <v>0</v>
      </c>
      <c r="AI88" s="47">
        <f>+IFERROR(HLOOKUP(AI20,'סקרי נכסים-יתרות פתיחה'!$2:$76,73,0),0)</f>
        <v>0</v>
      </c>
      <c r="AJ88" s="47">
        <f>+IFERROR(HLOOKUP(AJ20,'סקרי נכסים-יתרות פתיחה'!$2:$76,73,0),0)</f>
        <v>0</v>
      </c>
      <c r="AK88" s="47">
        <f>+IFERROR(HLOOKUP(AK20,'סקרי נכסים-יתרות פתיחה'!$2:$76,73,0),0)</f>
        <v>0</v>
      </c>
      <c r="AL88" s="47">
        <f>+IFERROR(HLOOKUP(AL20,'סקרי נכסים-יתרות פתיחה'!$2:$76,73,0),0)</f>
        <v>0</v>
      </c>
      <c r="AM88" s="47">
        <f>+IFERROR(HLOOKUP(AM20,'סקרי נכסים-יתרות פתיחה'!$2:$76,73,0),0)</f>
        <v>0</v>
      </c>
      <c r="AN88" s="47">
        <f>+IFERROR(HLOOKUP(AN20,'סקרי נכסים-יתרות פתיחה'!$2:$76,73,0),0)</f>
        <v>0</v>
      </c>
      <c r="AO88" s="47">
        <f>+IFERROR(HLOOKUP(AO20,'סקרי נכסים-יתרות פתיחה'!$2:$76,73,0),0)</f>
        <v>0</v>
      </c>
      <c r="AP88" s="47">
        <f>+IFERROR(HLOOKUP(AP20,'סקרי נכסים-יתרות פתיחה'!$2:$76,73,0),0)</f>
        <v>0</v>
      </c>
      <c r="AQ88" s="47">
        <f>+IFERROR(HLOOKUP(AQ20,'סקרי נכסים-יתרות פתיחה'!$2:$76,73,0),0)</f>
        <v>0</v>
      </c>
      <c r="AR88" s="47">
        <f>+IFERROR(HLOOKUP(AR20,'סקרי נכסים-יתרות פתיחה'!$2:$76,73,0),0)</f>
        <v>0</v>
      </c>
      <c r="AS88" s="47">
        <f>+IFERROR(HLOOKUP(AS20,'סקרי נכסים-יתרות פתיחה'!$2:$76,73,0),0)</f>
        <v>0</v>
      </c>
      <c r="AT88" s="47">
        <f>+IFERROR(HLOOKUP(AT20,'סקרי נכסים-יתרות פתיחה'!$2:$76,73,0),0)</f>
        <v>0</v>
      </c>
      <c r="AU88" s="47">
        <f>+IFERROR(HLOOKUP(AU20,'סקרי נכסים-יתרות פתיחה'!$2:$76,73,0),0)</f>
        <v>0</v>
      </c>
      <c r="AV88" s="47">
        <f>+IFERROR(HLOOKUP(AV20,'סקרי נכסים-יתרות פתיחה'!$2:$76,73,0),0)</f>
        <v>0</v>
      </c>
      <c r="AW88" s="47">
        <f>+IFERROR(HLOOKUP(AW20,'סקרי נכסים-יתרות פתיחה'!$2:$76,73,0),0)</f>
        <v>0</v>
      </c>
      <c r="AX88" s="47">
        <f>+IFERROR(HLOOKUP(AX20,'סקרי נכסים-יתרות פתיחה'!$2:$76,73,0),0)</f>
        <v>0</v>
      </c>
      <c r="AY88" s="47">
        <f>+IFERROR(HLOOKUP(AY20,'סקרי נכסים-יתרות פתיחה'!$2:$76,73,0),0)</f>
        <v>0</v>
      </c>
      <c r="AZ88" s="47">
        <f>+IFERROR(HLOOKUP(AZ20,'סקרי נכסים-יתרות פתיחה'!$2:$76,73,0),0)</f>
        <v>0</v>
      </c>
      <c r="BA88" s="47">
        <f>+IFERROR(HLOOKUP(BA20,'סקרי נכסים-יתרות פתיחה'!$2:$76,73,0),0)</f>
        <v>0</v>
      </c>
      <c r="BB88" s="47">
        <f>+IFERROR(HLOOKUP(BB20,'סקרי נכסים-יתרות פתיחה'!$2:$76,73,0),0)</f>
        <v>0</v>
      </c>
      <c r="BC88" s="47">
        <f>+IFERROR(HLOOKUP(BC20,'סקרי נכסים-יתרות פתיחה'!$2:$76,73,0),0)</f>
        <v>0</v>
      </c>
      <c r="BD88" s="47">
        <f>+IFERROR(HLOOKUP(BD20,'סקרי נכסים-יתרות פתיחה'!$2:$76,73,0),0)</f>
        <v>0</v>
      </c>
      <c r="BE88" s="47">
        <f>+IFERROR(HLOOKUP(BE20,'סקרי נכסים-יתרות פתיחה'!$2:$76,73,0),0)</f>
        <v>0</v>
      </c>
      <c r="BF88" s="47">
        <f>+IFERROR(HLOOKUP(BF20,'סקרי נכסים-יתרות פתיחה'!$2:$76,73,0),0)</f>
        <v>0</v>
      </c>
    </row>
    <row r="89" spans="2:58" x14ac:dyDescent="0.2">
      <c r="B89" s="1">
        <v>14</v>
      </c>
      <c r="C89" s="47">
        <f>+IFERROR(HLOOKUP(C21,'סקרי נכסים-יתרות פתיחה'!$2:$76,73,0),0)</f>
        <v>0</v>
      </c>
      <c r="D89" s="47">
        <f>+IFERROR(HLOOKUP(D21,'סקרי נכסים-יתרות פתיחה'!$2:$76,73,0),0)</f>
        <v>0</v>
      </c>
      <c r="E89" s="47">
        <f>+IFERROR(HLOOKUP(E21,'סקרי נכסים-יתרות פתיחה'!$2:$76,73,0),0)</f>
        <v>0</v>
      </c>
      <c r="F89" s="47">
        <f>+IFERROR(HLOOKUP(F21,'סקרי נכסים-יתרות פתיחה'!$2:$76,73,0),0)</f>
        <v>0</v>
      </c>
      <c r="G89" s="47">
        <f>+IFERROR(HLOOKUP(G21,'סקרי נכסים-יתרות פתיחה'!$2:$76,73,0),0)</f>
        <v>0</v>
      </c>
      <c r="H89" s="47">
        <f>+IFERROR(HLOOKUP(H21,'סקרי נכסים-יתרות פתיחה'!$2:$76,73,0),0)</f>
        <v>0</v>
      </c>
      <c r="I89" s="47">
        <f>+IFERROR(HLOOKUP(I21,'סקרי נכסים-יתרות פתיחה'!$2:$76,73,0),0)</f>
        <v>0</v>
      </c>
      <c r="J89" s="47">
        <f>+IFERROR(HLOOKUP(J21,'סקרי נכסים-יתרות פתיחה'!$2:$76,73,0),0)</f>
        <v>0</v>
      </c>
      <c r="K89" s="47">
        <f>+IFERROR(HLOOKUP(K21,'סקרי נכסים-יתרות פתיחה'!$2:$76,73,0),0)</f>
        <v>0</v>
      </c>
      <c r="L89" s="47">
        <f>+IFERROR(HLOOKUP(L21,'סקרי נכסים-יתרות פתיחה'!$2:$76,73,0),0)</f>
        <v>0</v>
      </c>
      <c r="M89" s="47">
        <f>+IFERROR(HLOOKUP(M21,'סקרי נכסים-יתרות פתיחה'!$2:$76,73,0),0)</f>
        <v>0</v>
      </c>
      <c r="N89" s="47">
        <f>+IFERROR(HLOOKUP(N21,'סקרי נכסים-יתרות פתיחה'!$2:$76,73,0),0)</f>
        <v>0</v>
      </c>
      <c r="O89" s="47">
        <f>+IFERROR(HLOOKUP(O21,'סקרי נכסים-יתרות פתיחה'!$2:$76,73,0),0)</f>
        <v>0</v>
      </c>
      <c r="P89" s="47">
        <f>+IFERROR(HLOOKUP(P21,'סקרי נכסים-יתרות פתיחה'!$2:$76,73,0),0)</f>
        <v>0</v>
      </c>
      <c r="Q89" s="47">
        <f>+IFERROR(HLOOKUP(Q21,'סקרי נכסים-יתרות פתיחה'!$2:$76,73,0),0)</f>
        <v>0</v>
      </c>
      <c r="R89" s="47">
        <f>+IFERROR(HLOOKUP(R21,'סקרי נכסים-יתרות פתיחה'!$2:$76,73,0),0)</f>
        <v>0</v>
      </c>
      <c r="S89" s="47">
        <f>+IFERROR(HLOOKUP(S21,'סקרי נכסים-יתרות פתיחה'!$2:$76,73,0),0)</f>
        <v>0</v>
      </c>
      <c r="T89" s="47">
        <f>+IFERROR(HLOOKUP(T21,'סקרי נכסים-יתרות פתיחה'!$2:$76,73,0),0)</f>
        <v>0</v>
      </c>
      <c r="U89" s="47">
        <f>+IFERROR(HLOOKUP(U21,'סקרי נכסים-יתרות פתיחה'!$2:$76,73,0),0)</f>
        <v>0</v>
      </c>
      <c r="V89" s="47">
        <f>+IFERROR(HLOOKUP(V21,'סקרי נכסים-יתרות פתיחה'!$2:$76,73,0),0)</f>
        <v>0</v>
      </c>
      <c r="W89" s="47">
        <f>+IFERROR(HLOOKUP(W21,'סקרי נכסים-יתרות פתיחה'!$2:$76,73,0),0)</f>
        <v>0</v>
      </c>
      <c r="X89" s="47">
        <f>+IFERROR(HLOOKUP(X21,'סקרי נכסים-יתרות פתיחה'!$2:$76,73,0),0)</f>
        <v>0</v>
      </c>
      <c r="Y89" s="47">
        <f>+IFERROR(HLOOKUP(Y21,'סקרי נכסים-יתרות פתיחה'!$2:$76,73,0),0)</f>
        <v>0</v>
      </c>
      <c r="Z89" s="47">
        <f>+IFERROR(HLOOKUP(Z21,'סקרי נכסים-יתרות פתיחה'!$2:$76,73,0),0)</f>
        <v>0</v>
      </c>
      <c r="AA89" s="47">
        <f>+IFERROR(HLOOKUP(AA21,'סקרי נכסים-יתרות פתיחה'!$2:$76,73,0),0)</f>
        <v>0</v>
      </c>
      <c r="AB89" s="47">
        <f>+IFERROR(HLOOKUP(AB21,'סקרי נכסים-יתרות פתיחה'!$2:$76,73,0),0)</f>
        <v>0</v>
      </c>
      <c r="AC89" s="47">
        <f>+IFERROR(HLOOKUP(AC21,'סקרי נכסים-יתרות פתיחה'!$2:$76,73,0),0)</f>
        <v>0</v>
      </c>
      <c r="AD89" s="47">
        <f>+IFERROR(HLOOKUP(AD21,'סקרי נכסים-יתרות פתיחה'!$2:$76,73,0),0)</f>
        <v>0</v>
      </c>
      <c r="AE89" s="47">
        <f>+IFERROR(HLOOKUP(AE21,'סקרי נכסים-יתרות פתיחה'!$2:$76,73,0),0)</f>
        <v>0</v>
      </c>
      <c r="AF89" s="47">
        <f>+IFERROR(HLOOKUP(AF21,'סקרי נכסים-יתרות פתיחה'!$2:$76,73,0),0)</f>
        <v>0</v>
      </c>
      <c r="AG89" s="47">
        <f>+IFERROR(HLOOKUP(AG21,'סקרי נכסים-יתרות פתיחה'!$2:$76,73,0),0)</f>
        <v>0</v>
      </c>
      <c r="AH89" s="47">
        <f>+IFERROR(HLOOKUP(AH21,'סקרי נכסים-יתרות פתיחה'!$2:$76,73,0),0)</f>
        <v>0</v>
      </c>
      <c r="AI89" s="47">
        <f>+IFERROR(HLOOKUP(AI21,'סקרי נכסים-יתרות פתיחה'!$2:$76,73,0),0)</f>
        <v>0</v>
      </c>
      <c r="AJ89" s="47">
        <f>+IFERROR(HLOOKUP(AJ21,'סקרי נכסים-יתרות פתיחה'!$2:$76,73,0),0)</f>
        <v>0</v>
      </c>
      <c r="AK89" s="47">
        <f>+IFERROR(HLOOKUP(AK21,'סקרי נכסים-יתרות פתיחה'!$2:$76,73,0),0)</f>
        <v>0</v>
      </c>
      <c r="AL89" s="47">
        <f>+IFERROR(HLOOKUP(AL21,'סקרי נכסים-יתרות פתיחה'!$2:$76,73,0),0)</f>
        <v>0</v>
      </c>
      <c r="AM89" s="47">
        <f>+IFERROR(HLOOKUP(AM21,'סקרי נכסים-יתרות פתיחה'!$2:$76,73,0),0)</f>
        <v>0</v>
      </c>
      <c r="AN89" s="47">
        <f>+IFERROR(HLOOKUP(AN21,'סקרי נכסים-יתרות פתיחה'!$2:$76,73,0),0)</f>
        <v>0</v>
      </c>
      <c r="AO89" s="47">
        <f>+IFERROR(HLOOKUP(AO21,'סקרי נכסים-יתרות פתיחה'!$2:$76,73,0),0)</f>
        <v>0</v>
      </c>
      <c r="AP89" s="47">
        <f>+IFERROR(HLOOKUP(AP21,'סקרי נכסים-יתרות פתיחה'!$2:$76,73,0),0)</f>
        <v>0</v>
      </c>
      <c r="AQ89" s="47">
        <f>+IFERROR(HLOOKUP(AQ21,'סקרי נכסים-יתרות פתיחה'!$2:$76,73,0),0)</f>
        <v>0</v>
      </c>
      <c r="AR89" s="47">
        <f>+IFERROR(HLOOKUP(AR21,'סקרי נכסים-יתרות פתיחה'!$2:$76,73,0),0)</f>
        <v>0</v>
      </c>
      <c r="AS89" s="47">
        <f>+IFERROR(HLOOKUP(AS21,'סקרי נכסים-יתרות פתיחה'!$2:$76,73,0),0)</f>
        <v>0</v>
      </c>
      <c r="AT89" s="47">
        <f>+IFERROR(HLOOKUP(AT21,'סקרי נכסים-יתרות פתיחה'!$2:$76,73,0),0)</f>
        <v>0</v>
      </c>
      <c r="AU89" s="47">
        <f>+IFERROR(HLOOKUP(AU21,'סקרי נכסים-יתרות פתיחה'!$2:$76,73,0),0)</f>
        <v>0</v>
      </c>
      <c r="AV89" s="47">
        <f>+IFERROR(HLOOKUP(AV21,'סקרי נכסים-יתרות פתיחה'!$2:$76,73,0),0)</f>
        <v>0</v>
      </c>
      <c r="AW89" s="47">
        <f>+IFERROR(HLOOKUP(AW21,'סקרי נכסים-יתרות פתיחה'!$2:$76,73,0),0)</f>
        <v>0</v>
      </c>
      <c r="AX89" s="47">
        <f>+IFERROR(HLOOKUP(AX21,'סקרי נכסים-יתרות פתיחה'!$2:$76,73,0),0)</f>
        <v>0</v>
      </c>
      <c r="AY89" s="47">
        <f>+IFERROR(HLOOKUP(AY21,'סקרי נכסים-יתרות פתיחה'!$2:$76,73,0),0)</f>
        <v>0</v>
      </c>
      <c r="AZ89" s="47">
        <f>+IFERROR(HLOOKUP(AZ21,'סקרי נכסים-יתרות פתיחה'!$2:$76,73,0),0)</f>
        <v>0</v>
      </c>
      <c r="BA89" s="47">
        <f>+IFERROR(HLOOKUP(BA21,'סקרי נכסים-יתרות פתיחה'!$2:$76,73,0),0)</f>
        <v>0</v>
      </c>
      <c r="BB89" s="47">
        <f>+IFERROR(HLOOKUP(BB21,'סקרי נכסים-יתרות פתיחה'!$2:$76,73,0),0)</f>
        <v>0</v>
      </c>
      <c r="BC89" s="47">
        <f>+IFERROR(HLOOKUP(BC21,'סקרי נכסים-יתרות פתיחה'!$2:$76,73,0),0)</f>
        <v>0</v>
      </c>
      <c r="BD89" s="47">
        <f>+IFERROR(HLOOKUP(BD21,'סקרי נכסים-יתרות פתיחה'!$2:$76,73,0),0)</f>
        <v>0</v>
      </c>
      <c r="BE89" s="47">
        <f>+IFERROR(HLOOKUP(BE21,'סקרי נכסים-יתרות פתיחה'!$2:$76,73,0),0)</f>
        <v>0</v>
      </c>
      <c r="BF89" s="47">
        <f>+IFERROR(HLOOKUP(BF21,'סקרי נכסים-יתרות פתיחה'!$2:$76,73,0),0)</f>
        <v>0</v>
      </c>
    </row>
    <row r="90" spans="2:58" x14ac:dyDescent="0.2">
      <c r="B90" s="1">
        <v>15</v>
      </c>
      <c r="C90" s="47">
        <f>+IFERROR(HLOOKUP(C22,'סקרי נכסים-יתרות פתיחה'!$2:$76,73,0),0)</f>
        <v>0</v>
      </c>
      <c r="D90" s="47">
        <f>+IFERROR(HLOOKUP(D22,'סקרי נכסים-יתרות פתיחה'!$2:$76,73,0),0)</f>
        <v>0</v>
      </c>
      <c r="E90" s="47">
        <f>+IFERROR(HLOOKUP(E22,'סקרי נכסים-יתרות פתיחה'!$2:$76,73,0),0)</f>
        <v>0</v>
      </c>
      <c r="F90" s="47">
        <f>+IFERROR(HLOOKUP(F22,'סקרי נכסים-יתרות פתיחה'!$2:$76,73,0),0)</f>
        <v>0</v>
      </c>
      <c r="G90" s="47">
        <f>+IFERROR(HLOOKUP(G22,'סקרי נכסים-יתרות פתיחה'!$2:$76,73,0),0)</f>
        <v>0</v>
      </c>
      <c r="H90" s="47">
        <f>+IFERROR(HLOOKUP(H22,'סקרי נכסים-יתרות פתיחה'!$2:$76,73,0),0)</f>
        <v>0</v>
      </c>
      <c r="I90" s="47">
        <f>+IFERROR(HLOOKUP(I22,'סקרי נכסים-יתרות פתיחה'!$2:$76,73,0),0)</f>
        <v>0</v>
      </c>
      <c r="J90" s="47">
        <f>+IFERROR(HLOOKUP(J22,'סקרי נכסים-יתרות פתיחה'!$2:$76,73,0),0)</f>
        <v>0</v>
      </c>
      <c r="K90" s="47">
        <f>+IFERROR(HLOOKUP(K22,'סקרי נכסים-יתרות פתיחה'!$2:$76,73,0),0)</f>
        <v>0</v>
      </c>
      <c r="L90" s="47">
        <f>+IFERROR(HLOOKUP(L22,'סקרי נכסים-יתרות פתיחה'!$2:$76,73,0),0)</f>
        <v>0</v>
      </c>
      <c r="M90" s="47">
        <f>+IFERROR(HLOOKUP(M22,'סקרי נכסים-יתרות פתיחה'!$2:$76,73,0),0)</f>
        <v>0</v>
      </c>
      <c r="N90" s="47">
        <f>+IFERROR(HLOOKUP(N22,'סקרי נכסים-יתרות פתיחה'!$2:$76,73,0),0)</f>
        <v>0</v>
      </c>
      <c r="O90" s="47">
        <f>+IFERROR(HLOOKUP(O22,'סקרי נכסים-יתרות פתיחה'!$2:$76,73,0),0)</f>
        <v>0</v>
      </c>
      <c r="P90" s="47">
        <f>+IFERROR(HLOOKUP(P22,'סקרי נכסים-יתרות פתיחה'!$2:$76,73,0),0)</f>
        <v>0</v>
      </c>
      <c r="Q90" s="47">
        <f>+IFERROR(HLOOKUP(Q22,'סקרי נכסים-יתרות פתיחה'!$2:$76,73,0),0)</f>
        <v>0</v>
      </c>
      <c r="R90" s="47">
        <f>+IFERROR(HLOOKUP(R22,'סקרי נכסים-יתרות פתיחה'!$2:$76,73,0),0)</f>
        <v>0</v>
      </c>
      <c r="S90" s="47">
        <f>+IFERROR(HLOOKUP(S22,'סקרי נכסים-יתרות פתיחה'!$2:$76,73,0),0)</f>
        <v>0</v>
      </c>
      <c r="T90" s="47">
        <f>+IFERROR(HLOOKUP(T22,'סקרי נכסים-יתרות פתיחה'!$2:$76,73,0),0)</f>
        <v>0</v>
      </c>
      <c r="U90" s="47">
        <f>+IFERROR(HLOOKUP(U22,'סקרי נכסים-יתרות פתיחה'!$2:$76,73,0),0)</f>
        <v>0</v>
      </c>
      <c r="V90" s="47">
        <f>+IFERROR(HLOOKUP(V22,'סקרי נכסים-יתרות פתיחה'!$2:$76,73,0),0)</f>
        <v>0</v>
      </c>
      <c r="W90" s="47">
        <f>+IFERROR(HLOOKUP(W22,'סקרי נכסים-יתרות פתיחה'!$2:$76,73,0),0)</f>
        <v>0</v>
      </c>
      <c r="X90" s="47">
        <f>+IFERROR(HLOOKUP(X22,'סקרי נכסים-יתרות פתיחה'!$2:$76,73,0),0)</f>
        <v>0</v>
      </c>
      <c r="Y90" s="47">
        <f>+IFERROR(HLOOKUP(Y22,'סקרי נכסים-יתרות פתיחה'!$2:$76,73,0),0)</f>
        <v>0</v>
      </c>
      <c r="Z90" s="47">
        <f>+IFERROR(HLOOKUP(Z22,'סקרי נכסים-יתרות פתיחה'!$2:$76,73,0),0)</f>
        <v>0</v>
      </c>
      <c r="AA90" s="47">
        <f>+IFERROR(HLOOKUP(AA22,'סקרי נכסים-יתרות פתיחה'!$2:$76,73,0),0)</f>
        <v>0</v>
      </c>
      <c r="AB90" s="47">
        <f>+IFERROR(HLOOKUP(AB22,'סקרי נכסים-יתרות פתיחה'!$2:$76,73,0),0)</f>
        <v>0</v>
      </c>
      <c r="AC90" s="47">
        <f>+IFERROR(HLOOKUP(AC22,'סקרי נכסים-יתרות פתיחה'!$2:$76,73,0),0)</f>
        <v>0</v>
      </c>
      <c r="AD90" s="47">
        <f>+IFERROR(HLOOKUP(AD22,'סקרי נכסים-יתרות פתיחה'!$2:$76,73,0),0)</f>
        <v>0</v>
      </c>
      <c r="AE90" s="47">
        <f>+IFERROR(HLOOKUP(AE22,'סקרי נכסים-יתרות פתיחה'!$2:$76,73,0),0)</f>
        <v>0</v>
      </c>
      <c r="AF90" s="47">
        <f>+IFERROR(HLOOKUP(AF22,'סקרי נכסים-יתרות פתיחה'!$2:$76,73,0),0)</f>
        <v>0</v>
      </c>
      <c r="AG90" s="47">
        <f>+IFERROR(HLOOKUP(AG22,'סקרי נכסים-יתרות פתיחה'!$2:$76,73,0),0)</f>
        <v>0</v>
      </c>
      <c r="AH90" s="47">
        <f>+IFERROR(HLOOKUP(AH22,'סקרי נכסים-יתרות פתיחה'!$2:$76,73,0),0)</f>
        <v>0</v>
      </c>
      <c r="AI90" s="47">
        <f>+IFERROR(HLOOKUP(AI22,'סקרי נכסים-יתרות פתיחה'!$2:$76,73,0),0)</f>
        <v>0</v>
      </c>
      <c r="AJ90" s="47">
        <f>+IFERROR(HLOOKUP(AJ22,'סקרי נכסים-יתרות פתיחה'!$2:$76,73,0),0)</f>
        <v>0</v>
      </c>
      <c r="AK90" s="47">
        <f>+IFERROR(HLOOKUP(AK22,'סקרי נכסים-יתרות פתיחה'!$2:$76,73,0),0)</f>
        <v>0</v>
      </c>
      <c r="AL90" s="47">
        <f>+IFERROR(HLOOKUP(AL22,'סקרי נכסים-יתרות פתיחה'!$2:$76,73,0),0)</f>
        <v>0</v>
      </c>
      <c r="AM90" s="47">
        <f>+IFERROR(HLOOKUP(AM22,'סקרי נכסים-יתרות פתיחה'!$2:$76,73,0),0)</f>
        <v>0</v>
      </c>
      <c r="AN90" s="47">
        <f>+IFERROR(HLOOKUP(AN22,'סקרי נכסים-יתרות פתיחה'!$2:$76,73,0),0)</f>
        <v>0</v>
      </c>
      <c r="AO90" s="47">
        <f>+IFERROR(HLOOKUP(AO22,'סקרי נכסים-יתרות פתיחה'!$2:$76,73,0),0)</f>
        <v>0</v>
      </c>
      <c r="AP90" s="47">
        <f>+IFERROR(HLOOKUP(AP22,'סקרי נכסים-יתרות פתיחה'!$2:$76,73,0),0)</f>
        <v>0</v>
      </c>
      <c r="AQ90" s="47">
        <f>+IFERROR(HLOOKUP(AQ22,'סקרי נכסים-יתרות פתיחה'!$2:$76,73,0),0)</f>
        <v>0</v>
      </c>
      <c r="AR90" s="47">
        <f>+IFERROR(HLOOKUP(AR22,'סקרי נכסים-יתרות פתיחה'!$2:$76,73,0),0)</f>
        <v>0</v>
      </c>
      <c r="AS90" s="47">
        <f>+IFERROR(HLOOKUP(AS22,'סקרי נכסים-יתרות פתיחה'!$2:$76,73,0),0)</f>
        <v>0</v>
      </c>
      <c r="AT90" s="47">
        <f>+IFERROR(HLOOKUP(AT22,'סקרי נכסים-יתרות פתיחה'!$2:$76,73,0),0)</f>
        <v>0</v>
      </c>
      <c r="AU90" s="47">
        <f>+IFERROR(HLOOKUP(AU22,'סקרי נכסים-יתרות פתיחה'!$2:$76,73,0),0)</f>
        <v>0</v>
      </c>
      <c r="AV90" s="47">
        <f>+IFERROR(HLOOKUP(AV22,'סקרי נכסים-יתרות פתיחה'!$2:$76,73,0),0)</f>
        <v>0</v>
      </c>
      <c r="AW90" s="47">
        <f>+IFERROR(HLOOKUP(AW22,'סקרי נכסים-יתרות פתיחה'!$2:$76,73,0),0)</f>
        <v>0</v>
      </c>
      <c r="AX90" s="47">
        <f>+IFERROR(HLOOKUP(AX22,'סקרי נכסים-יתרות פתיחה'!$2:$76,73,0),0)</f>
        <v>0</v>
      </c>
      <c r="AY90" s="47">
        <f>+IFERROR(HLOOKUP(AY22,'סקרי נכסים-יתרות פתיחה'!$2:$76,73,0),0)</f>
        <v>0</v>
      </c>
      <c r="AZ90" s="47">
        <f>+IFERROR(HLOOKUP(AZ22,'סקרי נכסים-יתרות פתיחה'!$2:$76,73,0),0)</f>
        <v>0</v>
      </c>
      <c r="BA90" s="47">
        <f>+IFERROR(HLOOKUP(BA22,'סקרי נכסים-יתרות פתיחה'!$2:$76,73,0),0)</f>
        <v>0</v>
      </c>
      <c r="BB90" s="47">
        <f>+IFERROR(HLOOKUP(BB22,'סקרי נכסים-יתרות פתיחה'!$2:$76,73,0),0)</f>
        <v>0</v>
      </c>
      <c r="BC90" s="47">
        <f>+IFERROR(HLOOKUP(BC22,'סקרי נכסים-יתרות פתיחה'!$2:$76,73,0),0)</f>
        <v>0</v>
      </c>
      <c r="BD90" s="47">
        <f>+IFERROR(HLOOKUP(BD22,'סקרי נכסים-יתרות פתיחה'!$2:$76,73,0),0)</f>
        <v>0</v>
      </c>
      <c r="BE90" s="47">
        <f>+IFERROR(HLOOKUP(BE22,'סקרי נכסים-יתרות פתיחה'!$2:$76,73,0),0)</f>
        <v>0</v>
      </c>
      <c r="BF90" s="47">
        <f>+IFERROR(HLOOKUP(BF22,'סקרי נכסים-יתרות פתיחה'!$2:$76,73,0),0)</f>
        <v>0</v>
      </c>
    </row>
    <row r="91" spans="2:58" x14ac:dyDescent="0.2">
      <c r="B91" s="1">
        <v>16</v>
      </c>
      <c r="C91" s="47">
        <f>+IFERROR(HLOOKUP(C23,'סקרי נכסים-יתרות פתיחה'!$2:$76,73,0),0)</f>
        <v>0</v>
      </c>
      <c r="D91" s="47">
        <f>+IFERROR(HLOOKUP(D23,'סקרי נכסים-יתרות פתיחה'!$2:$76,73,0),0)</f>
        <v>0</v>
      </c>
      <c r="E91" s="47">
        <f>+IFERROR(HLOOKUP(E23,'סקרי נכסים-יתרות פתיחה'!$2:$76,73,0),0)</f>
        <v>0</v>
      </c>
      <c r="F91" s="47">
        <f>+IFERROR(HLOOKUP(F23,'סקרי נכסים-יתרות פתיחה'!$2:$76,73,0),0)</f>
        <v>0</v>
      </c>
      <c r="G91" s="47">
        <f>+IFERROR(HLOOKUP(G23,'סקרי נכסים-יתרות פתיחה'!$2:$76,73,0),0)</f>
        <v>0</v>
      </c>
      <c r="H91" s="47">
        <f>+IFERROR(HLOOKUP(H23,'סקרי נכסים-יתרות פתיחה'!$2:$76,73,0),0)</f>
        <v>0</v>
      </c>
      <c r="I91" s="47">
        <f>+IFERROR(HLOOKUP(I23,'סקרי נכסים-יתרות פתיחה'!$2:$76,73,0),0)</f>
        <v>0</v>
      </c>
      <c r="J91" s="47">
        <f>+IFERROR(HLOOKUP(J23,'סקרי נכסים-יתרות פתיחה'!$2:$76,73,0),0)</f>
        <v>0</v>
      </c>
      <c r="K91" s="47">
        <f>+IFERROR(HLOOKUP(K23,'סקרי נכסים-יתרות פתיחה'!$2:$76,73,0),0)</f>
        <v>0</v>
      </c>
      <c r="L91" s="47">
        <f>+IFERROR(HLOOKUP(L23,'סקרי נכסים-יתרות פתיחה'!$2:$76,73,0),0)</f>
        <v>0</v>
      </c>
      <c r="M91" s="47">
        <f>+IFERROR(HLOOKUP(M23,'סקרי נכסים-יתרות פתיחה'!$2:$76,73,0),0)</f>
        <v>0</v>
      </c>
      <c r="N91" s="47">
        <f>+IFERROR(HLOOKUP(N23,'סקרי נכסים-יתרות פתיחה'!$2:$76,73,0),0)</f>
        <v>0</v>
      </c>
      <c r="O91" s="47">
        <f>+IFERROR(HLOOKUP(O23,'סקרי נכסים-יתרות פתיחה'!$2:$76,73,0),0)</f>
        <v>0</v>
      </c>
      <c r="P91" s="47">
        <f>+IFERROR(HLOOKUP(P23,'סקרי נכסים-יתרות פתיחה'!$2:$76,73,0),0)</f>
        <v>0</v>
      </c>
      <c r="Q91" s="47">
        <f>+IFERROR(HLOOKUP(Q23,'סקרי נכסים-יתרות פתיחה'!$2:$76,73,0),0)</f>
        <v>0</v>
      </c>
      <c r="R91" s="47">
        <f>+IFERROR(HLOOKUP(R23,'סקרי נכסים-יתרות פתיחה'!$2:$76,73,0),0)</f>
        <v>0</v>
      </c>
      <c r="S91" s="47">
        <f>+IFERROR(HLOOKUP(S23,'סקרי נכסים-יתרות פתיחה'!$2:$76,73,0),0)</f>
        <v>0</v>
      </c>
      <c r="T91" s="47">
        <f>+IFERROR(HLOOKUP(T23,'סקרי נכסים-יתרות פתיחה'!$2:$76,73,0),0)</f>
        <v>0</v>
      </c>
      <c r="U91" s="47">
        <f>+IFERROR(HLOOKUP(U23,'סקרי נכסים-יתרות פתיחה'!$2:$76,73,0),0)</f>
        <v>0</v>
      </c>
      <c r="V91" s="47">
        <f>+IFERROR(HLOOKUP(V23,'סקרי נכסים-יתרות פתיחה'!$2:$76,73,0),0)</f>
        <v>0</v>
      </c>
      <c r="W91" s="47">
        <f>+IFERROR(HLOOKUP(W23,'סקרי נכסים-יתרות פתיחה'!$2:$76,73,0),0)</f>
        <v>0</v>
      </c>
      <c r="X91" s="47">
        <f>+IFERROR(HLOOKUP(X23,'סקרי נכסים-יתרות פתיחה'!$2:$76,73,0),0)</f>
        <v>0</v>
      </c>
      <c r="Y91" s="47">
        <f>+IFERROR(HLOOKUP(Y23,'סקרי נכסים-יתרות פתיחה'!$2:$76,73,0),0)</f>
        <v>0</v>
      </c>
      <c r="Z91" s="47">
        <f>+IFERROR(HLOOKUP(Z23,'סקרי נכסים-יתרות פתיחה'!$2:$76,73,0),0)</f>
        <v>0</v>
      </c>
      <c r="AA91" s="47">
        <f>+IFERROR(HLOOKUP(AA23,'סקרי נכסים-יתרות פתיחה'!$2:$76,73,0),0)</f>
        <v>0</v>
      </c>
      <c r="AB91" s="47">
        <f>+IFERROR(HLOOKUP(AB23,'סקרי נכסים-יתרות פתיחה'!$2:$76,73,0),0)</f>
        <v>0</v>
      </c>
      <c r="AC91" s="47">
        <f>+IFERROR(HLOOKUP(AC23,'סקרי נכסים-יתרות פתיחה'!$2:$76,73,0),0)</f>
        <v>0</v>
      </c>
      <c r="AD91" s="47">
        <f>+IFERROR(HLOOKUP(AD23,'סקרי נכסים-יתרות פתיחה'!$2:$76,73,0),0)</f>
        <v>0</v>
      </c>
      <c r="AE91" s="47">
        <f>+IFERROR(HLOOKUP(AE23,'סקרי נכסים-יתרות פתיחה'!$2:$76,73,0),0)</f>
        <v>0</v>
      </c>
      <c r="AF91" s="47">
        <f>+IFERROR(HLOOKUP(AF23,'סקרי נכסים-יתרות פתיחה'!$2:$76,73,0),0)</f>
        <v>0</v>
      </c>
      <c r="AG91" s="47">
        <f>+IFERROR(HLOOKUP(AG23,'סקרי נכסים-יתרות פתיחה'!$2:$76,73,0),0)</f>
        <v>0</v>
      </c>
      <c r="AH91" s="47">
        <f>+IFERROR(HLOOKUP(AH23,'סקרי נכסים-יתרות פתיחה'!$2:$76,73,0),0)</f>
        <v>0</v>
      </c>
      <c r="AI91" s="47">
        <f>+IFERROR(HLOOKUP(AI23,'סקרי נכסים-יתרות פתיחה'!$2:$76,73,0),0)</f>
        <v>0</v>
      </c>
      <c r="AJ91" s="47">
        <f>+IFERROR(HLOOKUP(AJ23,'סקרי נכסים-יתרות פתיחה'!$2:$76,73,0),0)</f>
        <v>0</v>
      </c>
      <c r="AK91" s="47">
        <f>+IFERROR(HLOOKUP(AK23,'סקרי נכסים-יתרות פתיחה'!$2:$76,73,0),0)</f>
        <v>0</v>
      </c>
      <c r="AL91" s="47">
        <f>+IFERROR(HLOOKUP(AL23,'סקרי נכסים-יתרות פתיחה'!$2:$76,73,0),0)</f>
        <v>0</v>
      </c>
      <c r="AM91" s="47">
        <f>+IFERROR(HLOOKUP(AM23,'סקרי נכסים-יתרות פתיחה'!$2:$76,73,0),0)</f>
        <v>0</v>
      </c>
      <c r="AN91" s="47">
        <f>+IFERROR(HLOOKUP(AN23,'סקרי נכסים-יתרות פתיחה'!$2:$76,73,0),0)</f>
        <v>0</v>
      </c>
      <c r="AO91" s="47">
        <f>+IFERROR(HLOOKUP(AO23,'סקרי נכסים-יתרות פתיחה'!$2:$76,73,0),0)</f>
        <v>0</v>
      </c>
      <c r="AP91" s="47">
        <f>+IFERROR(HLOOKUP(AP23,'סקרי נכסים-יתרות פתיחה'!$2:$76,73,0),0)</f>
        <v>0</v>
      </c>
      <c r="AQ91" s="47">
        <f>+IFERROR(HLOOKUP(AQ23,'סקרי נכסים-יתרות פתיחה'!$2:$76,73,0),0)</f>
        <v>0</v>
      </c>
      <c r="AR91" s="47">
        <f>+IFERROR(HLOOKUP(AR23,'סקרי נכסים-יתרות פתיחה'!$2:$76,73,0),0)</f>
        <v>0</v>
      </c>
      <c r="AS91" s="47">
        <f>+IFERROR(HLOOKUP(AS23,'סקרי נכסים-יתרות פתיחה'!$2:$76,73,0),0)</f>
        <v>0</v>
      </c>
      <c r="AT91" s="47">
        <f>+IFERROR(HLOOKUP(AT23,'סקרי נכסים-יתרות פתיחה'!$2:$76,73,0),0)</f>
        <v>0</v>
      </c>
      <c r="AU91" s="47">
        <f>+IFERROR(HLOOKUP(AU23,'סקרי נכסים-יתרות פתיחה'!$2:$76,73,0),0)</f>
        <v>0</v>
      </c>
      <c r="AV91" s="47">
        <f>+IFERROR(HLOOKUP(AV23,'סקרי נכסים-יתרות פתיחה'!$2:$76,73,0),0)</f>
        <v>0</v>
      </c>
      <c r="AW91" s="47">
        <f>+IFERROR(HLOOKUP(AW23,'סקרי נכסים-יתרות פתיחה'!$2:$76,73,0),0)</f>
        <v>0</v>
      </c>
      <c r="AX91" s="47">
        <f>+IFERROR(HLOOKUP(AX23,'סקרי נכסים-יתרות פתיחה'!$2:$76,73,0),0)</f>
        <v>0</v>
      </c>
      <c r="AY91" s="47">
        <f>+IFERROR(HLOOKUP(AY23,'סקרי נכסים-יתרות פתיחה'!$2:$76,73,0),0)</f>
        <v>0</v>
      </c>
      <c r="AZ91" s="47">
        <f>+IFERROR(HLOOKUP(AZ23,'סקרי נכסים-יתרות פתיחה'!$2:$76,73,0),0)</f>
        <v>0</v>
      </c>
      <c r="BA91" s="47">
        <f>+IFERROR(HLOOKUP(BA23,'סקרי נכסים-יתרות פתיחה'!$2:$76,73,0),0)</f>
        <v>0</v>
      </c>
      <c r="BB91" s="47">
        <f>+IFERROR(HLOOKUP(BB23,'סקרי נכסים-יתרות פתיחה'!$2:$76,73,0),0)</f>
        <v>0</v>
      </c>
      <c r="BC91" s="47">
        <f>+IFERROR(HLOOKUP(BC23,'סקרי נכסים-יתרות פתיחה'!$2:$76,73,0),0)</f>
        <v>0</v>
      </c>
      <c r="BD91" s="47">
        <f>+IFERROR(HLOOKUP(BD23,'סקרי נכסים-יתרות פתיחה'!$2:$76,73,0),0)</f>
        <v>0</v>
      </c>
      <c r="BE91" s="47">
        <f>+IFERROR(HLOOKUP(BE23,'סקרי נכסים-יתרות פתיחה'!$2:$76,73,0),0)</f>
        <v>0</v>
      </c>
      <c r="BF91" s="47">
        <f>+IFERROR(HLOOKUP(BF23,'סקרי נכסים-יתרות פתיחה'!$2:$76,73,0),0)</f>
        <v>0</v>
      </c>
    </row>
    <row r="92" spans="2:58" x14ac:dyDescent="0.2">
      <c r="B92" s="1">
        <v>17</v>
      </c>
      <c r="C92" s="47">
        <f>+IFERROR(HLOOKUP(C24,'סקרי נכסים-יתרות פתיחה'!$2:$76,73,0),0)</f>
        <v>0</v>
      </c>
      <c r="D92" s="47">
        <f>+IFERROR(HLOOKUP(D24,'סקרי נכסים-יתרות פתיחה'!$2:$76,73,0),0)</f>
        <v>0</v>
      </c>
      <c r="E92" s="47">
        <f>+IFERROR(HLOOKUP(E24,'סקרי נכסים-יתרות פתיחה'!$2:$76,73,0),0)</f>
        <v>0</v>
      </c>
      <c r="F92" s="47">
        <f>+IFERROR(HLOOKUP(F24,'סקרי נכסים-יתרות פתיחה'!$2:$76,73,0),0)</f>
        <v>0</v>
      </c>
      <c r="G92" s="47">
        <f>+IFERROR(HLOOKUP(G24,'סקרי נכסים-יתרות פתיחה'!$2:$76,73,0),0)</f>
        <v>0</v>
      </c>
      <c r="H92" s="47">
        <f>+IFERROR(HLOOKUP(H24,'סקרי נכסים-יתרות פתיחה'!$2:$76,73,0),0)</f>
        <v>0</v>
      </c>
      <c r="I92" s="47">
        <f>+IFERROR(HLOOKUP(I24,'סקרי נכסים-יתרות פתיחה'!$2:$76,73,0),0)</f>
        <v>0</v>
      </c>
      <c r="J92" s="47">
        <f>+IFERROR(HLOOKUP(J24,'סקרי נכסים-יתרות פתיחה'!$2:$76,73,0),0)</f>
        <v>0</v>
      </c>
      <c r="K92" s="47">
        <f>+IFERROR(HLOOKUP(K24,'סקרי נכסים-יתרות פתיחה'!$2:$76,73,0),0)</f>
        <v>0</v>
      </c>
      <c r="L92" s="47">
        <f>+IFERROR(HLOOKUP(L24,'סקרי נכסים-יתרות פתיחה'!$2:$76,73,0),0)</f>
        <v>0</v>
      </c>
      <c r="M92" s="47">
        <f>+IFERROR(HLOOKUP(M24,'סקרי נכסים-יתרות פתיחה'!$2:$76,73,0),0)</f>
        <v>0</v>
      </c>
      <c r="N92" s="47">
        <f>+IFERROR(HLOOKUP(N24,'סקרי נכסים-יתרות פתיחה'!$2:$76,73,0),0)</f>
        <v>0</v>
      </c>
      <c r="O92" s="47">
        <f>+IFERROR(HLOOKUP(O24,'סקרי נכסים-יתרות פתיחה'!$2:$76,73,0),0)</f>
        <v>0</v>
      </c>
      <c r="P92" s="47">
        <f>+IFERROR(HLOOKUP(P24,'סקרי נכסים-יתרות פתיחה'!$2:$76,73,0),0)</f>
        <v>0</v>
      </c>
      <c r="Q92" s="47">
        <f>+IFERROR(HLOOKUP(Q24,'סקרי נכסים-יתרות פתיחה'!$2:$76,73,0),0)</f>
        <v>0</v>
      </c>
      <c r="R92" s="47">
        <f>+IFERROR(HLOOKUP(R24,'סקרי נכסים-יתרות פתיחה'!$2:$76,73,0),0)</f>
        <v>0</v>
      </c>
      <c r="S92" s="47">
        <f>+IFERROR(HLOOKUP(S24,'סקרי נכסים-יתרות פתיחה'!$2:$76,73,0),0)</f>
        <v>0</v>
      </c>
      <c r="T92" s="47">
        <f>+IFERROR(HLOOKUP(T24,'סקרי נכסים-יתרות פתיחה'!$2:$76,73,0),0)</f>
        <v>0</v>
      </c>
      <c r="U92" s="47">
        <f>+IFERROR(HLOOKUP(U24,'סקרי נכסים-יתרות פתיחה'!$2:$76,73,0),0)</f>
        <v>0</v>
      </c>
      <c r="V92" s="47">
        <f>+IFERROR(HLOOKUP(V24,'סקרי נכסים-יתרות פתיחה'!$2:$76,73,0),0)</f>
        <v>0</v>
      </c>
      <c r="W92" s="47">
        <f>+IFERROR(HLOOKUP(W24,'סקרי נכסים-יתרות פתיחה'!$2:$76,73,0),0)</f>
        <v>0</v>
      </c>
      <c r="X92" s="47">
        <f>+IFERROR(HLOOKUP(X24,'סקרי נכסים-יתרות פתיחה'!$2:$76,73,0),0)</f>
        <v>0</v>
      </c>
      <c r="Y92" s="47">
        <f>+IFERROR(HLOOKUP(Y24,'סקרי נכסים-יתרות פתיחה'!$2:$76,73,0),0)</f>
        <v>0</v>
      </c>
      <c r="Z92" s="47">
        <f>+IFERROR(HLOOKUP(Z24,'סקרי נכסים-יתרות פתיחה'!$2:$76,73,0),0)</f>
        <v>0</v>
      </c>
      <c r="AA92" s="47">
        <f>+IFERROR(HLOOKUP(AA24,'סקרי נכסים-יתרות פתיחה'!$2:$76,73,0),0)</f>
        <v>0</v>
      </c>
      <c r="AB92" s="47">
        <f>+IFERROR(HLOOKUP(AB24,'סקרי נכסים-יתרות פתיחה'!$2:$76,73,0),0)</f>
        <v>0</v>
      </c>
      <c r="AC92" s="47">
        <f>+IFERROR(HLOOKUP(AC24,'סקרי נכסים-יתרות פתיחה'!$2:$76,73,0),0)</f>
        <v>0</v>
      </c>
      <c r="AD92" s="47">
        <f>+IFERROR(HLOOKUP(AD24,'סקרי נכסים-יתרות פתיחה'!$2:$76,73,0),0)</f>
        <v>0</v>
      </c>
      <c r="AE92" s="47">
        <f>+IFERROR(HLOOKUP(AE24,'סקרי נכסים-יתרות פתיחה'!$2:$76,73,0),0)</f>
        <v>0</v>
      </c>
      <c r="AF92" s="47">
        <f>+IFERROR(HLOOKUP(AF24,'סקרי נכסים-יתרות פתיחה'!$2:$76,73,0),0)</f>
        <v>0</v>
      </c>
      <c r="AG92" s="47">
        <f>+IFERROR(HLOOKUP(AG24,'סקרי נכסים-יתרות פתיחה'!$2:$76,73,0),0)</f>
        <v>0</v>
      </c>
      <c r="AH92" s="47">
        <f>+IFERROR(HLOOKUP(AH24,'סקרי נכסים-יתרות פתיחה'!$2:$76,73,0),0)</f>
        <v>0</v>
      </c>
      <c r="AI92" s="47">
        <f>+IFERROR(HLOOKUP(AI24,'סקרי נכסים-יתרות פתיחה'!$2:$76,73,0),0)</f>
        <v>0</v>
      </c>
      <c r="AJ92" s="47">
        <f>+IFERROR(HLOOKUP(AJ24,'סקרי נכסים-יתרות פתיחה'!$2:$76,73,0),0)</f>
        <v>0</v>
      </c>
      <c r="AK92" s="47">
        <f>+IFERROR(HLOOKUP(AK24,'סקרי נכסים-יתרות פתיחה'!$2:$76,73,0),0)</f>
        <v>0</v>
      </c>
      <c r="AL92" s="47">
        <f>+IFERROR(HLOOKUP(AL24,'סקרי נכסים-יתרות פתיחה'!$2:$76,73,0),0)</f>
        <v>0</v>
      </c>
      <c r="AM92" s="47">
        <f>+IFERROR(HLOOKUP(AM24,'סקרי נכסים-יתרות פתיחה'!$2:$76,73,0),0)</f>
        <v>0</v>
      </c>
      <c r="AN92" s="47">
        <f>+IFERROR(HLOOKUP(AN24,'סקרי נכסים-יתרות פתיחה'!$2:$76,73,0),0)</f>
        <v>0</v>
      </c>
      <c r="AO92" s="47">
        <f>+IFERROR(HLOOKUP(AO24,'סקרי נכסים-יתרות פתיחה'!$2:$76,73,0),0)</f>
        <v>0</v>
      </c>
      <c r="AP92" s="47">
        <f>+IFERROR(HLOOKUP(AP24,'סקרי נכסים-יתרות פתיחה'!$2:$76,73,0),0)</f>
        <v>0</v>
      </c>
      <c r="AQ92" s="47">
        <f>+IFERROR(HLOOKUP(AQ24,'סקרי נכסים-יתרות פתיחה'!$2:$76,73,0),0)</f>
        <v>0</v>
      </c>
      <c r="AR92" s="47">
        <f>+IFERROR(HLOOKUP(AR24,'סקרי נכסים-יתרות פתיחה'!$2:$76,73,0),0)</f>
        <v>0</v>
      </c>
      <c r="AS92" s="47">
        <f>+IFERROR(HLOOKUP(AS24,'סקרי נכסים-יתרות פתיחה'!$2:$76,73,0),0)</f>
        <v>0</v>
      </c>
      <c r="AT92" s="47">
        <f>+IFERROR(HLOOKUP(AT24,'סקרי נכסים-יתרות פתיחה'!$2:$76,73,0),0)</f>
        <v>0</v>
      </c>
      <c r="AU92" s="47">
        <f>+IFERROR(HLOOKUP(AU24,'סקרי נכסים-יתרות פתיחה'!$2:$76,73,0),0)</f>
        <v>0</v>
      </c>
      <c r="AV92" s="47">
        <f>+IFERROR(HLOOKUP(AV24,'סקרי נכסים-יתרות פתיחה'!$2:$76,73,0),0)</f>
        <v>0</v>
      </c>
      <c r="AW92" s="47">
        <f>+IFERROR(HLOOKUP(AW24,'סקרי נכסים-יתרות פתיחה'!$2:$76,73,0),0)</f>
        <v>0</v>
      </c>
      <c r="AX92" s="47">
        <f>+IFERROR(HLOOKUP(AX24,'סקרי נכסים-יתרות פתיחה'!$2:$76,73,0),0)</f>
        <v>0</v>
      </c>
      <c r="AY92" s="47">
        <f>+IFERROR(HLOOKUP(AY24,'סקרי נכסים-יתרות פתיחה'!$2:$76,73,0),0)</f>
        <v>0</v>
      </c>
      <c r="AZ92" s="47">
        <f>+IFERROR(HLOOKUP(AZ24,'סקרי נכסים-יתרות פתיחה'!$2:$76,73,0),0)</f>
        <v>0</v>
      </c>
      <c r="BA92" s="47">
        <f>+IFERROR(HLOOKUP(BA24,'סקרי נכסים-יתרות פתיחה'!$2:$76,73,0),0)</f>
        <v>0</v>
      </c>
      <c r="BB92" s="47">
        <f>+IFERROR(HLOOKUP(BB24,'סקרי נכסים-יתרות פתיחה'!$2:$76,73,0),0)</f>
        <v>0</v>
      </c>
      <c r="BC92" s="47">
        <f>+IFERROR(HLOOKUP(BC24,'סקרי נכסים-יתרות פתיחה'!$2:$76,73,0),0)</f>
        <v>0</v>
      </c>
      <c r="BD92" s="47">
        <f>+IFERROR(HLOOKUP(BD24,'סקרי נכסים-יתרות פתיחה'!$2:$76,73,0),0)</f>
        <v>0</v>
      </c>
      <c r="BE92" s="47">
        <f>+IFERROR(HLOOKUP(BE24,'סקרי נכסים-יתרות פתיחה'!$2:$76,73,0),0)</f>
        <v>0</v>
      </c>
      <c r="BF92" s="47">
        <f>+IFERROR(HLOOKUP(BF24,'סקרי נכסים-יתרות פתיחה'!$2:$76,73,0),0)</f>
        <v>0</v>
      </c>
    </row>
    <row r="93" spans="2:58" x14ac:dyDescent="0.2">
      <c r="B93" s="1">
        <v>18</v>
      </c>
      <c r="C93" s="47">
        <f>+IFERROR(HLOOKUP(C25,'סקרי נכסים-יתרות פתיחה'!$2:$76,73,0),0)</f>
        <v>0</v>
      </c>
      <c r="D93" s="47">
        <f>+IFERROR(HLOOKUP(D25,'סקרי נכסים-יתרות פתיחה'!$2:$76,73,0),0)</f>
        <v>0</v>
      </c>
      <c r="E93" s="47">
        <f>+IFERROR(HLOOKUP(E25,'סקרי נכסים-יתרות פתיחה'!$2:$76,73,0),0)</f>
        <v>0</v>
      </c>
      <c r="F93" s="47">
        <f>+IFERROR(HLOOKUP(F25,'סקרי נכסים-יתרות פתיחה'!$2:$76,73,0),0)</f>
        <v>0</v>
      </c>
      <c r="G93" s="47">
        <f>+IFERROR(HLOOKUP(G25,'סקרי נכסים-יתרות פתיחה'!$2:$76,73,0),0)</f>
        <v>0</v>
      </c>
      <c r="H93" s="47">
        <f>+IFERROR(HLOOKUP(H25,'סקרי נכסים-יתרות פתיחה'!$2:$76,73,0),0)</f>
        <v>0</v>
      </c>
      <c r="I93" s="47">
        <f>+IFERROR(HLOOKUP(I25,'סקרי נכסים-יתרות פתיחה'!$2:$76,73,0),0)</f>
        <v>0</v>
      </c>
      <c r="J93" s="47">
        <f>+IFERROR(HLOOKUP(J25,'סקרי נכסים-יתרות פתיחה'!$2:$76,73,0),0)</f>
        <v>0</v>
      </c>
      <c r="K93" s="47">
        <f>+IFERROR(HLOOKUP(K25,'סקרי נכסים-יתרות פתיחה'!$2:$76,73,0),0)</f>
        <v>0</v>
      </c>
      <c r="L93" s="47">
        <f>+IFERROR(HLOOKUP(L25,'סקרי נכסים-יתרות פתיחה'!$2:$76,73,0),0)</f>
        <v>0</v>
      </c>
      <c r="M93" s="47">
        <f>+IFERROR(HLOOKUP(M25,'סקרי נכסים-יתרות פתיחה'!$2:$76,73,0),0)</f>
        <v>0</v>
      </c>
      <c r="N93" s="47">
        <f>+IFERROR(HLOOKUP(N25,'סקרי נכסים-יתרות פתיחה'!$2:$76,73,0),0)</f>
        <v>0</v>
      </c>
      <c r="O93" s="47">
        <f>+IFERROR(HLOOKUP(O25,'סקרי נכסים-יתרות פתיחה'!$2:$76,73,0),0)</f>
        <v>0</v>
      </c>
      <c r="P93" s="47">
        <f>+IFERROR(HLOOKUP(P25,'סקרי נכסים-יתרות פתיחה'!$2:$76,73,0),0)</f>
        <v>0</v>
      </c>
      <c r="Q93" s="47">
        <f>+IFERROR(HLOOKUP(Q25,'סקרי נכסים-יתרות פתיחה'!$2:$76,73,0),0)</f>
        <v>0</v>
      </c>
      <c r="R93" s="47">
        <f>+IFERROR(HLOOKUP(R25,'סקרי נכסים-יתרות פתיחה'!$2:$76,73,0),0)</f>
        <v>0</v>
      </c>
      <c r="S93" s="47">
        <f>+IFERROR(HLOOKUP(S25,'סקרי נכסים-יתרות פתיחה'!$2:$76,73,0),0)</f>
        <v>0</v>
      </c>
      <c r="T93" s="47">
        <f>+IFERROR(HLOOKUP(T25,'סקרי נכסים-יתרות פתיחה'!$2:$76,73,0),0)</f>
        <v>0</v>
      </c>
      <c r="U93" s="47">
        <f>+IFERROR(HLOOKUP(U25,'סקרי נכסים-יתרות פתיחה'!$2:$76,73,0),0)</f>
        <v>0</v>
      </c>
      <c r="V93" s="47">
        <f>+IFERROR(HLOOKUP(V25,'סקרי נכסים-יתרות פתיחה'!$2:$76,73,0),0)</f>
        <v>0</v>
      </c>
      <c r="W93" s="47">
        <f>+IFERROR(HLOOKUP(W25,'סקרי נכסים-יתרות פתיחה'!$2:$76,73,0),0)</f>
        <v>0</v>
      </c>
      <c r="X93" s="47">
        <f>+IFERROR(HLOOKUP(X25,'סקרי נכסים-יתרות פתיחה'!$2:$76,73,0),0)</f>
        <v>0</v>
      </c>
      <c r="Y93" s="47">
        <f>+IFERROR(HLOOKUP(Y25,'סקרי נכסים-יתרות פתיחה'!$2:$76,73,0),0)</f>
        <v>0</v>
      </c>
      <c r="Z93" s="47">
        <f>+IFERROR(HLOOKUP(Z25,'סקרי נכסים-יתרות פתיחה'!$2:$76,73,0),0)</f>
        <v>0</v>
      </c>
      <c r="AA93" s="47">
        <f>+IFERROR(HLOOKUP(AA25,'סקרי נכסים-יתרות פתיחה'!$2:$76,73,0),0)</f>
        <v>0</v>
      </c>
      <c r="AB93" s="47">
        <f>+IFERROR(HLOOKUP(AB25,'סקרי נכסים-יתרות פתיחה'!$2:$76,73,0),0)</f>
        <v>0</v>
      </c>
      <c r="AC93" s="47">
        <f>+IFERROR(HLOOKUP(AC25,'סקרי נכסים-יתרות פתיחה'!$2:$76,73,0),0)</f>
        <v>0</v>
      </c>
      <c r="AD93" s="47">
        <f>+IFERROR(HLOOKUP(AD25,'סקרי נכסים-יתרות פתיחה'!$2:$76,73,0),0)</f>
        <v>0</v>
      </c>
      <c r="AE93" s="47">
        <f>+IFERROR(HLOOKUP(AE25,'סקרי נכסים-יתרות פתיחה'!$2:$76,73,0),0)</f>
        <v>0</v>
      </c>
      <c r="AF93" s="47">
        <f>+IFERROR(HLOOKUP(AF25,'סקרי נכסים-יתרות פתיחה'!$2:$76,73,0),0)</f>
        <v>0</v>
      </c>
      <c r="AG93" s="47">
        <f>+IFERROR(HLOOKUP(AG25,'סקרי נכסים-יתרות פתיחה'!$2:$76,73,0),0)</f>
        <v>0</v>
      </c>
      <c r="AH93" s="47">
        <f>+IFERROR(HLOOKUP(AH25,'סקרי נכסים-יתרות פתיחה'!$2:$76,73,0),0)</f>
        <v>0</v>
      </c>
      <c r="AI93" s="47">
        <f>+IFERROR(HLOOKUP(AI25,'סקרי נכסים-יתרות פתיחה'!$2:$76,73,0),0)</f>
        <v>0</v>
      </c>
      <c r="AJ93" s="47">
        <f>+IFERROR(HLOOKUP(AJ25,'סקרי נכסים-יתרות פתיחה'!$2:$76,73,0),0)</f>
        <v>0</v>
      </c>
      <c r="AK93" s="47">
        <f>+IFERROR(HLOOKUP(AK25,'סקרי נכסים-יתרות פתיחה'!$2:$76,73,0),0)</f>
        <v>0</v>
      </c>
      <c r="AL93" s="47">
        <f>+IFERROR(HLOOKUP(AL25,'סקרי נכסים-יתרות פתיחה'!$2:$76,73,0),0)</f>
        <v>0</v>
      </c>
      <c r="AM93" s="47">
        <f>+IFERROR(HLOOKUP(AM25,'סקרי נכסים-יתרות פתיחה'!$2:$76,73,0),0)</f>
        <v>0</v>
      </c>
      <c r="AN93" s="47">
        <f>+IFERROR(HLOOKUP(AN25,'סקרי נכסים-יתרות פתיחה'!$2:$76,73,0),0)</f>
        <v>0</v>
      </c>
      <c r="AO93" s="47">
        <f>+IFERROR(HLOOKUP(AO25,'סקרי נכסים-יתרות פתיחה'!$2:$76,73,0),0)</f>
        <v>0</v>
      </c>
      <c r="AP93" s="47">
        <f>+IFERROR(HLOOKUP(AP25,'סקרי נכסים-יתרות פתיחה'!$2:$76,73,0),0)</f>
        <v>0</v>
      </c>
      <c r="AQ93" s="47">
        <f>+IFERROR(HLOOKUP(AQ25,'סקרי נכסים-יתרות פתיחה'!$2:$76,73,0),0)</f>
        <v>0</v>
      </c>
      <c r="AR93" s="47">
        <f>+IFERROR(HLOOKUP(AR25,'סקרי נכסים-יתרות פתיחה'!$2:$76,73,0),0)</f>
        <v>0</v>
      </c>
      <c r="AS93" s="47">
        <f>+IFERROR(HLOOKUP(AS25,'סקרי נכסים-יתרות פתיחה'!$2:$76,73,0),0)</f>
        <v>0</v>
      </c>
      <c r="AT93" s="47">
        <f>+IFERROR(HLOOKUP(AT25,'סקרי נכסים-יתרות פתיחה'!$2:$76,73,0),0)</f>
        <v>0</v>
      </c>
      <c r="AU93" s="47">
        <f>+IFERROR(HLOOKUP(AU25,'סקרי נכסים-יתרות פתיחה'!$2:$76,73,0),0)</f>
        <v>0</v>
      </c>
      <c r="AV93" s="47">
        <f>+IFERROR(HLOOKUP(AV25,'סקרי נכסים-יתרות פתיחה'!$2:$76,73,0),0)</f>
        <v>0</v>
      </c>
      <c r="AW93" s="47">
        <f>+IFERROR(HLOOKUP(AW25,'סקרי נכסים-יתרות פתיחה'!$2:$76,73,0),0)</f>
        <v>0</v>
      </c>
      <c r="AX93" s="47">
        <f>+IFERROR(HLOOKUP(AX25,'סקרי נכסים-יתרות פתיחה'!$2:$76,73,0),0)</f>
        <v>0</v>
      </c>
      <c r="AY93" s="47">
        <f>+IFERROR(HLOOKUP(AY25,'סקרי נכסים-יתרות פתיחה'!$2:$76,73,0),0)</f>
        <v>0</v>
      </c>
      <c r="AZ93" s="47">
        <f>+IFERROR(HLOOKUP(AZ25,'סקרי נכסים-יתרות פתיחה'!$2:$76,73,0),0)</f>
        <v>0</v>
      </c>
      <c r="BA93" s="47">
        <f>+IFERROR(HLOOKUP(BA25,'סקרי נכסים-יתרות פתיחה'!$2:$76,73,0),0)</f>
        <v>0</v>
      </c>
      <c r="BB93" s="47">
        <f>+IFERROR(HLOOKUP(BB25,'סקרי נכסים-יתרות פתיחה'!$2:$76,73,0),0)</f>
        <v>0</v>
      </c>
      <c r="BC93" s="47">
        <f>+IFERROR(HLOOKUP(BC25,'סקרי נכסים-יתרות פתיחה'!$2:$76,73,0),0)</f>
        <v>0</v>
      </c>
      <c r="BD93" s="47">
        <f>+IFERROR(HLOOKUP(BD25,'סקרי נכסים-יתרות פתיחה'!$2:$76,73,0),0)</f>
        <v>0</v>
      </c>
      <c r="BE93" s="47">
        <f>+IFERROR(HLOOKUP(BE25,'סקרי נכסים-יתרות פתיחה'!$2:$76,73,0),0)</f>
        <v>0</v>
      </c>
      <c r="BF93" s="47">
        <f>+IFERROR(HLOOKUP(BF25,'סקרי נכסים-יתרות פתיחה'!$2:$76,73,0),0)</f>
        <v>0</v>
      </c>
    </row>
    <row r="94" spans="2:58" x14ac:dyDescent="0.2">
      <c r="B94" s="1">
        <v>19</v>
      </c>
      <c r="C94" s="47">
        <f>+IFERROR(HLOOKUP(C26,'סקרי נכסים-יתרות פתיחה'!$2:$76,73,0),0)</f>
        <v>0</v>
      </c>
      <c r="D94" s="47">
        <f>+IFERROR(HLOOKUP(D26,'סקרי נכסים-יתרות פתיחה'!$2:$76,73,0),0)</f>
        <v>0</v>
      </c>
      <c r="E94" s="47">
        <f>+IFERROR(HLOOKUP(E26,'סקרי נכסים-יתרות פתיחה'!$2:$76,73,0),0)</f>
        <v>0</v>
      </c>
      <c r="F94" s="47">
        <f>+IFERROR(HLOOKUP(F26,'סקרי נכסים-יתרות פתיחה'!$2:$76,73,0),0)</f>
        <v>0</v>
      </c>
      <c r="G94" s="47">
        <f>+IFERROR(HLOOKUP(G26,'סקרי נכסים-יתרות פתיחה'!$2:$76,73,0),0)</f>
        <v>0</v>
      </c>
      <c r="H94" s="47">
        <f>+IFERROR(HLOOKUP(H26,'סקרי נכסים-יתרות פתיחה'!$2:$76,73,0),0)</f>
        <v>0</v>
      </c>
      <c r="I94" s="47">
        <f>+IFERROR(HLOOKUP(I26,'סקרי נכסים-יתרות פתיחה'!$2:$76,73,0),0)</f>
        <v>0</v>
      </c>
      <c r="J94" s="47">
        <f>+IFERROR(HLOOKUP(J26,'סקרי נכסים-יתרות פתיחה'!$2:$76,73,0),0)</f>
        <v>0</v>
      </c>
      <c r="K94" s="47">
        <f>+IFERROR(HLOOKUP(K26,'סקרי נכסים-יתרות פתיחה'!$2:$76,73,0),0)</f>
        <v>0</v>
      </c>
      <c r="L94" s="47">
        <f>+IFERROR(HLOOKUP(L26,'סקרי נכסים-יתרות פתיחה'!$2:$76,73,0),0)</f>
        <v>0</v>
      </c>
      <c r="M94" s="47">
        <f>+IFERROR(HLOOKUP(M26,'סקרי נכסים-יתרות פתיחה'!$2:$76,73,0),0)</f>
        <v>0</v>
      </c>
      <c r="N94" s="47">
        <f>+IFERROR(HLOOKUP(N26,'סקרי נכסים-יתרות פתיחה'!$2:$76,73,0),0)</f>
        <v>0</v>
      </c>
      <c r="O94" s="47">
        <f>+IFERROR(HLOOKUP(O26,'סקרי נכסים-יתרות פתיחה'!$2:$76,73,0),0)</f>
        <v>0</v>
      </c>
      <c r="P94" s="47">
        <f>+IFERROR(HLOOKUP(P26,'סקרי נכסים-יתרות פתיחה'!$2:$76,73,0),0)</f>
        <v>0</v>
      </c>
      <c r="Q94" s="47">
        <f>+IFERROR(HLOOKUP(Q26,'סקרי נכסים-יתרות פתיחה'!$2:$76,73,0),0)</f>
        <v>0</v>
      </c>
      <c r="R94" s="47">
        <f>+IFERROR(HLOOKUP(R26,'סקרי נכסים-יתרות פתיחה'!$2:$76,73,0),0)</f>
        <v>0</v>
      </c>
      <c r="S94" s="47">
        <f>+IFERROR(HLOOKUP(S26,'סקרי נכסים-יתרות פתיחה'!$2:$76,73,0),0)</f>
        <v>0</v>
      </c>
      <c r="T94" s="47">
        <f>+IFERROR(HLOOKUP(T26,'סקרי נכסים-יתרות פתיחה'!$2:$76,73,0),0)</f>
        <v>0</v>
      </c>
      <c r="U94" s="47">
        <f>+IFERROR(HLOOKUP(U26,'סקרי נכסים-יתרות פתיחה'!$2:$76,73,0),0)</f>
        <v>0</v>
      </c>
      <c r="V94" s="47">
        <f>+IFERROR(HLOOKUP(V26,'סקרי נכסים-יתרות פתיחה'!$2:$76,73,0),0)</f>
        <v>0</v>
      </c>
      <c r="W94" s="47">
        <f>+IFERROR(HLOOKUP(W26,'סקרי נכסים-יתרות פתיחה'!$2:$76,73,0),0)</f>
        <v>0</v>
      </c>
      <c r="X94" s="47">
        <f>+IFERROR(HLOOKUP(X26,'סקרי נכסים-יתרות פתיחה'!$2:$76,73,0),0)</f>
        <v>0</v>
      </c>
      <c r="Y94" s="47">
        <f>+IFERROR(HLOOKUP(Y26,'סקרי נכסים-יתרות פתיחה'!$2:$76,73,0),0)</f>
        <v>0</v>
      </c>
      <c r="Z94" s="47">
        <f>+IFERROR(HLOOKUP(Z26,'סקרי נכסים-יתרות פתיחה'!$2:$76,73,0),0)</f>
        <v>0</v>
      </c>
      <c r="AA94" s="47">
        <f>+IFERROR(HLOOKUP(AA26,'סקרי נכסים-יתרות פתיחה'!$2:$76,73,0),0)</f>
        <v>0</v>
      </c>
      <c r="AB94" s="47">
        <f>+IFERROR(HLOOKUP(AB26,'סקרי נכסים-יתרות פתיחה'!$2:$76,73,0),0)</f>
        <v>0</v>
      </c>
      <c r="AC94" s="47">
        <f>+IFERROR(HLOOKUP(AC26,'סקרי נכסים-יתרות פתיחה'!$2:$76,73,0),0)</f>
        <v>0</v>
      </c>
      <c r="AD94" s="47">
        <f>+IFERROR(HLOOKUP(AD26,'סקרי נכסים-יתרות פתיחה'!$2:$76,73,0),0)</f>
        <v>0</v>
      </c>
      <c r="AE94" s="47">
        <f>+IFERROR(HLOOKUP(AE26,'סקרי נכסים-יתרות פתיחה'!$2:$76,73,0),0)</f>
        <v>0</v>
      </c>
      <c r="AF94" s="47">
        <f>+IFERROR(HLOOKUP(AF26,'סקרי נכסים-יתרות פתיחה'!$2:$76,73,0),0)</f>
        <v>0</v>
      </c>
      <c r="AG94" s="47">
        <f>+IFERROR(HLOOKUP(AG26,'סקרי נכסים-יתרות פתיחה'!$2:$76,73,0),0)</f>
        <v>0</v>
      </c>
      <c r="AH94" s="47">
        <f>+IFERROR(HLOOKUP(AH26,'סקרי נכסים-יתרות פתיחה'!$2:$76,73,0),0)</f>
        <v>0</v>
      </c>
      <c r="AI94" s="47">
        <f>+IFERROR(HLOOKUP(AI26,'סקרי נכסים-יתרות פתיחה'!$2:$76,73,0),0)</f>
        <v>0</v>
      </c>
      <c r="AJ94" s="47">
        <f>+IFERROR(HLOOKUP(AJ26,'סקרי נכסים-יתרות פתיחה'!$2:$76,73,0),0)</f>
        <v>0</v>
      </c>
      <c r="AK94" s="47">
        <f>+IFERROR(HLOOKUP(AK26,'סקרי נכסים-יתרות פתיחה'!$2:$76,73,0),0)</f>
        <v>0</v>
      </c>
      <c r="AL94" s="47">
        <f>+IFERROR(HLOOKUP(AL26,'סקרי נכסים-יתרות פתיחה'!$2:$76,73,0),0)</f>
        <v>0</v>
      </c>
      <c r="AM94" s="47">
        <f>+IFERROR(HLOOKUP(AM26,'סקרי נכסים-יתרות פתיחה'!$2:$76,73,0),0)</f>
        <v>0</v>
      </c>
      <c r="AN94" s="47">
        <f>+IFERROR(HLOOKUP(AN26,'סקרי נכסים-יתרות פתיחה'!$2:$76,73,0),0)</f>
        <v>0</v>
      </c>
      <c r="AO94" s="47">
        <f>+IFERROR(HLOOKUP(AO26,'סקרי נכסים-יתרות פתיחה'!$2:$76,73,0),0)</f>
        <v>0</v>
      </c>
      <c r="AP94" s="47">
        <f>+IFERROR(HLOOKUP(AP26,'סקרי נכסים-יתרות פתיחה'!$2:$76,73,0),0)</f>
        <v>0</v>
      </c>
      <c r="AQ94" s="47">
        <f>+IFERROR(HLOOKUP(AQ26,'סקרי נכסים-יתרות פתיחה'!$2:$76,73,0),0)</f>
        <v>0</v>
      </c>
      <c r="AR94" s="47">
        <f>+IFERROR(HLOOKUP(AR26,'סקרי נכסים-יתרות פתיחה'!$2:$76,73,0),0)</f>
        <v>0</v>
      </c>
      <c r="AS94" s="47">
        <f>+IFERROR(HLOOKUP(AS26,'סקרי נכסים-יתרות פתיחה'!$2:$76,73,0),0)</f>
        <v>0</v>
      </c>
      <c r="AT94" s="47">
        <f>+IFERROR(HLOOKUP(AT26,'סקרי נכסים-יתרות פתיחה'!$2:$76,73,0),0)</f>
        <v>0</v>
      </c>
      <c r="AU94" s="47">
        <f>+IFERROR(HLOOKUP(AU26,'סקרי נכסים-יתרות פתיחה'!$2:$76,73,0),0)</f>
        <v>0</v>
      </c>
      <c r="AV94" s="47">
        <f>+IFERROR(HLOOKUP(AV26,'סקרי נכסים-יתרות פתיחה'!$2:$76,73,0),0)</f>
        <v>0</v>
      </c>
      <c r="AW94" s="47">
        <f>+IFERROR(HLOOKUP(AW26,'סקרי נכסים-יתרות פתיחה'!$2:$76,73,0),0)</f>
        <v>0</v>
      </c>
      <c r="AX94" s="47">
        <f>+IFERROR(HLOOKUP(AX26,'סקרי נכסים-יתרות פתיחה'!$2:$76,73,0),0)</f>
        <v>0</v>
      </c>
      <c r="AY94" s="47">
        <f>+IFERROR(HLOOKUP(AY26,'סקרי נכסים-יתרות פתיחה'!$2:$76,73,0),0)</f>
        <v>0</v>
      </c>
      <c r="AZ94" s="47">
        <f>+IFERROR(HLOOKUP(AZ26,'סקרי נכסים-יתרות פתיחה'!$2:$76,73,0),0)</f>
        <v>0</v>
      </c>
      <c r="BA94" s="47">
        <f>+IFERROR(HLOOKUP(BA26,'סקרי נכסים-יתרות פתיחה'!$2:$76,73,0),0)</f>
        <v>0</v>
      </c>
      <c r="BB94" s="47">
        <f>+IFERROR(HLOOKUP(BB26,'סקרי נכסים-יתרות פתיחה'!$2:$76,73,0),0)</f>
        <v>0</v>
      </c>
      <c r="BC94" s="47">
        <f>+IFERROR(HLOOKUP(BC26,'סקרי נכסים-יתרות פתיחה'!$2:$76,73,0),0)</f>
        <v>0</v>
      </c>
      <c r="BD94" s="47">
        <f>+IFERROR(HLOOKUP(BD26,'סקרי נכסים-יתרות פתיחה'!$2:$76,73,0),0)</f>
        <v>0</v>
      </c>
      <c r="BE94" s="47">
        <f>+IFERROR(HLOOKUP(BE26,'סקרי נכסים-יתרות פתיחה'!$2:$76,73,0),0)</f>
        <v>0</v>
      </c>
      <c r="BF94" s="47">
        <f>+IFERROR(HLOOKUP(BF26,'סקרי נכסים-יתרות פתיחה'!$2:$76,73,0),0)</f>
        <v>0</v>
      </c>
    </row>
    <row r="95" spans="2:58" x14ac:dyDescent="0.2">
      <c r="B95" s="1">
        <v>20</v>
      </c>
      <c r="C95" s="47">
        <f>+IFERROR(HLOOKUP(C27,'סקרי נכסים-יתרות פתיחה'!$2:$76,73,0),0)</f>
        <v>0</v>
      </c>
      <c r="D95" s="47">
        <f>+IFERROR(HLOOKUP(D27,'סקרי נכסים-יתרות פתיחה'!$2:$76,73,0),0)</f>
        <v>0</v>
      </c>
      <c r="E95" s="47">
        <f>+IFERROR(HLOOKUP(E27,'סקרי נכסים-יתרות פתיחה'!$2:$76,73,0),0)</f>
        <v>0</v>
      </c>
      <c r="F95" s="47">
        <f>+IFERROR(HLOOKUP(F27,'סקרי נכסים-יתרות פתיחה'!$2:$76,73,0),0)</f>
        <v>0</v>
      </c>
      <c r="G95" s="47">
        <f>+IFERROR(HLOOKUP(G27,'סקרי נכסים-יתרות פתיחה'!$2:$76,73,0),0)</f>
        <v>0</v>
      </c>
      <c r="H95" s="47">
        <f>+IFERROR(HLOOKUP(H27,'סקרי נכסים-יתרות פתיחה'!$2:$76,73,0),0)</f>
        <v>0</v>
      </c>
      <c r="I95" s="47">
        <f>+IFERROR(HLOOKUP(I27,'סקרי נכסים-יתרות פתיחה'!$2:$76,73,0),0)</f>
        <v>0</v>
      </c>
      <c r="J95" s="47">
        <f>+IFERROR(HLOOKUP(J27,'סקרי נכסים-יתרות פתיחה'!$2:$76,73,0),0)</f>
        <v>0</v>
      </c>
      <c r="K95" s="47">
        <f>+IFERROR(HLOOKUP(K27,'סקרי נכסים-יתרות פתיחה'!$2:$76,73,0),0)</f>
        <v>0</v>
      </c>
      <c r="L95" s="47">
        <f>+IFERROR(HLOOKUP(L27,'סקרי נכסים-יתרות פתיחה'!$2:$76,73,0),0)</f>
        <v>0</v>
      </c>
      <c r="M95" s="47">
        <f>+IFERROR(HLOOKUP(M27,'סקרי נכסים-יתרות פתיחה'!$2:$76,73,0),0)</f>
        <v>0</v>
      </c>
      <c r="N95" s="47">
        <f>+IFERROR(HLOOKUP(N27,'סקרי נכסים-יתרות פתיחה'!$2:$76,73,0),0)</f>
        <v>0</v>
      </c>
      <c r="O95" s="47">
        <f>+IFERROR(HLOOKUP(O27,'סקרי נכסים-יתרות פתיחה'!$2:$76,73,0),0)</f>
        <v>0</v>
      </c>
      <c r="P95" s="47">
        <f>+IFERROR(HLOOKUP(P27,'סקרי נכסים-יתרות פתיחה'!$2:$76,73,0),0)</f>
        <v>0</v>
      </c>
      <c r="Q95" s="47">
        <f>+IFERROR(HLOOKUP(Q27,'סקרי נכסים-יתרות פתיחה'!$2:$76,73,0),0)</f>
        <v>0</v>
      </c>
      <c r="R95" s="47">
        <f>+IFERROR(HLOOKUP(R27,'סקרי נכסים-יתרות פתיחה'!$2:$76,73,0),0)</f>
        <v>0</v>
      </c>
      <c r="S95" s="47">
        <f>+IFERROR(HLOOKUP(S27,'סקרי נכסים-יתרות פתיחה'!$2:$76,73,0),0)</f>
        <v>0</v>
      </c>
      <c r="T95" s="47">
        <f>+IFERROR(HLOOKUP(T27,'סקרי נכסים-יתרות פתיחה'!$2:$76,73,0),0)</f>
        <v>0</v>
      </c>
      <c r="U95" s="47">
        <f>+IFERROR(HLOOKUP(U27,'סקרי נכסים-יתרות פתיחה'!$2:$76,73,0),0)</f>
        <v>0</v>
      </c>
      <c r="V95" s="47">
        <f>+IFERROR(HLOOKUP(V27,'סקרי נכסים-יתרות פתיחה'!$2:$76,73,0),0)</f>
        <v>0</v>
      </c>
      <c r="W95" s="47">
        <f>+IFERROR(HLOOKUP(W27,'סקרי נכסים-יתרות פתיחה'!$2:$76,73,0),0)</f>
        <v>0</v>
      </c>
      <c r="X95" s="47">
        <f>+IFERROR(HLOOKUP(X27,'סקרי נכסים-יתרות פתיחה'!$2:$76,73,0),0)</f>
        <v>0</v>
      </c>
      <c r="Y95" s="47">
        <f>+IFERROR(HLOOKUP(Y27,'סקרי נכסים-יתרות פתיחה'!$2:$76,73,0),0)</f>
        <v>0</v>
      </c>
      <c r="Z95" s="47">
        <f>+IFERROR(HLOOKUP(Z27,'סקרי נכסים-יתרות פתיחה'!$2:$76,73,0),0)</f>
        <v>0</v>
      </c>
      <c r="AA95" s="47">
        <f>+IFERROR(HLOOKUP(AA27,'סקרי נכסים-יתרות פתיחה'!$2:$76,73,0),0)</f>
        <v>0</v>
      </c>
      <c r="AB95" s="47">
        <f>+IFERROR(HLOOKUP(AB27,'סקרי נכסים-יתרות פתיחה'!$2:$76,73,0),0)</f>
        <v>0</v>
      </c>
      <c r="AC95" s="47">
        <f>+IFERROR(HLOOKUP(AC27,'סקרי נכסים-יתרות פתיחה'!$2:$76,73,0),0)</f>
        <v>0</v>
      </c>
      <c r="AD95" s="47">
        <f>+IFERROR(HLOOKUP(AD27,'סקרי נכסים-יתרות פתיחה'!$2:$76,73,0),0)</f>
        <v>0</v>
      </c>
      <c r="AE95" s="47">
        <f>+IFERROR(HLOOKUP(AE27,'סקרי נכסים-יתרות פתיחה'!$2:$76,73,0),0)</f>
        <v>0</v>
      </c>
      <c r="AF95" s="47">
        <f>+IFERROR(HLOOKUP(AF27,'סקרי נכסים-יתרות פתיחה'!$2:$76,73,0),0)</f>
        <v>0</v>
      </c>
      <c r="AG95" s="47">
        <f>+IFERROR(HLOOKUP(AG27,'סקרי נכסים-יתרות פתיחה'!$2:$76,73,0),0)</f>
        <v>0</v>
      </c>
      <c r="AH95" s="47">
        <f>+IFERROR(HLOOKUP(AH27,'סקרי נכסים-יתרות פתיחה'!$2:$76,73,0),0)</f>
        <v>0</v>
      </c>
      <c r="AI95" s="47">
        <f>+IFERROR(HLOOKUP(AI27,'סקרי נכסים-יתרות פתיחה'!$2:$76,73,0),0)</f>
        <v>0</v>
      </c>
      <c r="AJ95" s="47">
        <f>+IFERROR(HLOOKUP(AJ27,'סקרי נכסים-יתרות פתיחה'!$2:$76,73,0),0)</f>
        <v>0</v>
      </c>
      <c r="AK95" s="47">
        <f>+IFERROR(HLOOKUP(AK27,'סקרי נכסים-יתרות פתיחה'!$2:$76,73,0),0)</f>
        <v>0</v>
      </c>
      <c r="AL95" s="47">
        <f>+IFERROR(HLOOKUP(AL27,'סקרי נכסים-יתרות פתיחה'!$2:$76,73,0),0)</f>
        <v>0</v>
      </c>
      <c r="AM95" s="47">
        <f>+IFERROR(HLOOKUP(AM27,'סקרי נכסים-יתרות פתיחה'!$2:$76,73,0),0)</f>
        <v>0</v>
      </c>
      <c r="AN95" s="47">
        <f>+IFERROR(HLOOKUP(AN27,'סקרי נכסים-יתרות פתיחה'!$2:$76,73,0),0)</f>
        <v>0</v>
      </c>
      <c r="AO95" s="47">
        <f>+IFERROR(HLOOKUP(AO27,'סקרי נכסים-יתרות פתיחה'!$2:$76,73,0),0)</f>
        <v>0</v>
      </c>
      <c r="AP95" s="47">
        <f>+IFERROR(HLOOKUP(AP27,'סקרי נכסים-יתרות פתיחה'!$2:$76,73,0),0)</f>
        <v>0</v>
      </c>
      <c r="AQ95" s="47">
        <f>+IFERROR(HLOOKUP(AQ27,'סקרי נכסים-יתרות פתיחה'!$2:$76,73,0),0)</f>
        <v>0</v>
      </c>
      <c r="AR95" s="47">
        <f>+IFERROR(HLOOKUP(AR27,'סקרי נכסים-יתרות פתיחה'!$2:$76,73,0),0)</f>
        <v>0</v>
      </c>
      <c r="AS95" s="47">
        <f>+IFERROR(HLOOKUP(AS27,'סקרי נכסים-יתרות פתיחה'!$2:$76,73,0),0)</f>
        <v>0</v>
      </c>
      <c r="AT95" s="47">
        <f>+IFERROR(HLOOKUP(AT27,'סקרי נכסים-יתרות פתיחה'!$2:$76,73,0),0)</f>
        <v>0</v>
      </c>
      <c r="AU95" s="47">
        <f>+IFERROR(HLOOKUP(AU27,'סקרי נכסים-יתרות פתיחה'!$2:$76,73,0),0)</f>
        <v>0</v>
      </c>
      <c r="AV95" s="47">
        <f>+IFERROR(HLOOKUP(AV27,'סקרי נכסים-יתרות פתיחה'!$2:$76,73,0),0)</f>
        <v>0</v>
      </c>
      <c r="AW95" s="47">
        <f>+IFERROR(HLOOKUP(AW27,'סקרי נכסים-יתרות פתיחה'!$2:$76,73,0),0)</f>
        <v>0</v>
      </c>
      <c r="AX95" s="47">
        <f>+IFERROR(HLOOKUP(AX27,'סקרי נכסים-יתרות פתיחה'!$2:$76,73,0),0)</f>
        <v>0</v>
      </c>
      <c r="AY95" s="47">
        <f>+IFERROR(HLOOKUP(AY27,'סקרי נכסים-יתרות פתיחה'!$2:$76,73,0),0)</f>
        <v>0</v>
      </c>
      <c r="AZ95" s="47">
        <f>+IFERROR(HLOOKUP(AZ27,'סקרי נכסים-יתרות פתיחה'!$2:$76,73,0),0)</f>
        <v>0</v>
      </c>
      <c r="BA95" s="47">
        <f>+IFERROR(HLOOKUP(BA27,'סקרי נכסים-יתרות פתיחה'!$2:$76,73,0),0)</f>
        <v>0</v>
      </c>
      <c r="BB95" s="47">
        <f>+IFERROR(HLOOKUP(BB27,'סקרי נכסים-יתרות פתיחה'!$2:$76,73,0),0)</f>
        <v>0</v>
      </c>
      <c r="BC95" s="47">
        <f>+IFERROR(HLOOKUP(BC27,'סקרי נכסים-יתרות פתיחה'!$2:$76,73,0),0)</f>
        <v>0</v>
      </c>
      <c r="BD95" s="47">
        <f>+IFERROR(HLOOKUP(BD27,'סקרי נכסים-יתרות פתיחה'!$2:$76,73,0),0)</f>
        <v>0</v>
      </c>
      <c r="BE95" s="47">
        <f>+IFERROR(HLOOKUP(BE27,'סקרי נכסים-יתרות פתיחה'!$2:$76,73,0),0)</f>
        <v>0</v>
      </c>
      <c r="BF95" s="47">
        <f>+IFERROR(HLOOKUP(BF27,'סקרי נכסים-יתרות פתיחה'!$2:$76,73,0),0)</f>
        <v>0</v>
      </c>
    </row>
    <row r="96" spans="2:58" x14ac:dyDescent="0.2">
      <c r="B96" s="1">
        <v>21</v>
      </c>
      <c r="C96" s="47">
        <f>+IFERROR(HLOOKUP(C28,'סקרי נכסים-יתרות פתיחה'!$2:$76,73,0),0)</f>
        <v>0</v>
      </c>
      <c r="D96" s="47">
        <f>+IFERROR(HLOOKUP(D28,'סקרי נכסים-יתרות פתיחה'!$2:$76,73,0),0)</f>
        <v>0</v>
      </c>
      <c r="E96" s="47">
        <f>+IFERROR(HLOOKUP(E28,'סקרי נכסים-יתרות פתיחה'!$2:$76,73,0),0)</f>
        <v>0</v>
      </c>
      <c r="F96" s="47">
        <f>+IFERROR(HLOOKUP(F28,'סקרי נכסים-יתרות פתיחה'!$2:$76,73,0),0)</f>
        <v>0</v>
      </c>
      <c r="G96" s="47">
        <f>+IFERROR(HLOOKUP(G28,'סקרי נכסים-יתרות פתיחה'!$2:$76,73,0),0)</f>
        <v>0</v>
      </c>
      <c r="H96" s="47">
        <f>+IFERROR(HLOOKUP(H28,'סקרי נכסים-יתרות פתיחה'!$2:$76,73,0),0)</f>
        <v>0</v>
      </c>
      <c r="I96" s="47">
        <f>+IFERROR(HLOOKUP(I28,'סקרי נכסים-יתרות פתיחה'!$2:$76,73,0),0)</f>
        <v>0</v>
      </c>
      <c r="J96" s="47">
        <f>+IFERROR(HLOOKUP(J28,'סקרי נכסים-יתרות פתיחה'!$2:$76,73,0),0)</f>
        <v>0</v>
      </c>
      <c r="K96" s="47">
        <f>+IFERROR(HLOOKUP(K28,'סקרי נכסים-יתרות פתיחה'!$2:$76,73,0),0)</f>
        <v>0</v>
      </c>
      <c r="L96" s="47">
        <f>+IFERROR(HLOOKUP(L28,'סקרי נכסים-יתרות פתיחה'!$2:$76,73,0),0)</f>
        <v>0</v>
      </c>
      <c r="M96" s="47">
        <f>+IFERROR(HLOOKUP(M28,'סקרי נכסים-יתרות פתיחה'!$2:$76,73,0),0)</f>
        <v>0</v>
      </c>
      <c r="N96" s="47">
        <f>+IFERROR(HLOOKUP(N28,'סקרי נכסים-יתרות פתיחה'!$2:$76,73,0),0)</f>
        <v>0</v>
      </c>
      <c r="O96" s="47">
        <f>+IFERROR(HLOOKUP(O28,'סקרי נכסים-יתרות פתיחה'!$2:$76,73,0),0)</f>
        <v>0</v>
      </c>
      <c r="P96" s="47">
        <f>+IFERROR(HLOOKUP(P28,'סקרי נכסים-יתרות פתיחה'!$2:$76,73,0),0)</f>
        <v>0</v>
      </c>
      <c r="Q96" s="47">
        <f>+IFERROR(HLOOKUP(Q28,'סקרי נכסים-יתרות פתיחה'!$2:$76,73,0),0)</f>
        <v>0</v>
      </c>
      <c r="R96" s="47">
        <f>+IFERROR(HLOOKUP(R28,'סקרי נכסים-יתרות פתיחה'!$2:$76,73,0),0)</f>
        <v>0</v>
      </c>
      <c r="S96" s="47">
        <f>+IFERROR(HLOOKUP(S28,'סקרי נכסים-יתרות פתיחה'!$2:$76,73,0),0)</f>
        <v>0</v>
      </c>
      <c r="T96" s="47">
        <f>+IFERROR(HLOOKUP(T28,'סקרי נכסים-יתרות פתיחה'!$2:$76,73,0),0)</f>
        <v>0</v>
      </c>
      <c r="U96" s="47">
        <f>+IFERROR(HLOOKUP(U28,'סקרי נכסים-יתרות פתיחה'!$2:$76,73,0),0)</f>
        <v>0</v>
      </c>
      <c r="V96" s="47">
        <f>+IFERROR(HLOOKUP(V28,'סקרי נכסים-יתרות פתיחה'!$2:$76,73,0),0)</f>
        <v>0</v>
      </c>
      <c r="W96" s="47">
        <f>+IFERROR(HLOOKUP(W28,'סקרי נכסים-יתרות פתיחה'!$2:$76,73,0),0)</f>
        <v>0</v>
      </c>
      <c r="X96" s="47">
        <f>+IFERROR(HLOOKUP(X28,'סקרי נכסים-יתרות פתיחה'!$2:$76,73,0),0)</f>
        <v>0</v>
      </c>
      <c r="Y96" s="47">
        <f>+IFERROR(HLOOKUP(Y28,'סקרי נכסים-יתרות פתיחה'!$2:$76,73,0),0)</f>
        <v>0</v>
      </c>
      <c r="Z96" s="47">
        <f>+IFERROR(HLOOKUP(Z28,'סקרי נכסים-יתרות פתיחה'!$2:$76,73,0),0)</f>
        <v>0</v>
      </c>
      <c r="AA96" s="47">
        <f>+IFERROR(HLOOKUP(AA28,'סקרי נכסים-יתרות פתיחה'!$2:$76,73,0),0)</f>
        <v>0</v>
      </c>
      <c r="AB96" s="47">
        <f>+IFERROR(HLOOKUP(AB28,'סקרי נכסים-יתרות פתיחה'!$2:$76,73,0),0)</f>
        <v>0</v>
      </c>
      <c r="AC96" s="47">
        <f>+IFERROR(HLOOKUP(AC28,'סקרי נכסים-יתרות פתיחה'!$2:$76,73,0),0)</f>
        <v>0</v>
      </c>
      <c r="AD96" s="47">
        <f>+IFERROR(HLOOKUP(AD28,'סקרי נכסים-יתרות פתיחה'!$2:$76,73,0),0)</f>
        <v>0</v>
      </c>
      <c r="AE96" s="47">
        <f>+IFERROR(HLOOKUP(AE28,'סקרי נכסים-יתרות פתיחה'!$2:$76,73,0),0)</f>
        <v>0</v>
      </c>
      <c r="AF96" s="47">
        <f>+IFERROR(HLOOKUP(AF28,'סקרי נכסים-יתרות פתיחה'!$2:$76,73,0),0)</f>
        <v>0</v>
      </c>
      <c r="AG96" s="47">
        <f>+IFERROR(HLOOKUP(AG28,'סקרי נכסים-יתרות פתיחה'!$2:$76,73,0),0)</f>
        <v>0</v>
      </c>
      <c r="AH96" s="47">
        <f>+IFERROR(HLOOKUP(AH28,'סקרי נכסים-יתרות פתיחה'!$2:$76,73,0),0)</f>
        <v>0</v>
      </c>
      <c r="AI96" s="47">
        <f>+IFERROR(HLOOKUP(AI28,'סקרי נכסים-יתרות פתיחה'!$2:$76,73,0),0)</f>
        <v>0</v>
      </c>
      <c r="AJ96" s="47">
        <f>+IFERROR(HLOOKUP(AJ28,'סקרי נכסים-יתרות פתיחה'!$2:$76,73,0),0)</f>
        <v>0</v>
      </c>
      <c r="AK96" s="47">
        <f>+IFERROR(HLOOKUP(AK28,'סקרי נכסים-יתרות פתיחה'!$2:$76,73,0),0)</f>
        <v>0</v>
      </c>
      <c r="AL96" s="47">
        <f>+IFERROR(HLOOKUP(AL28,'סקרי נכסים-יתרות פתיחה'!$2:$76,73,0),0)</f>
        <v>0</v>
      </c>
      <c r="AM96" s="47">
        <f>+IFERROR(HLOOKUP(AM28,'סקרי נכסים-יתרות פתיחה'!$2:$76,73,0),0)</f>
        <v>0</v>
      </c>
      <c r="AN96" s="47">
        <f>+IFERROR(HLOOKUP(AN28,'סקרי נכסים-יתרות פתיחה'!$2:$76,73,0),0)</f>
        <v>0</v>
      </c>
      <c r="AO96" s="47">
        <f>+IFERROR(HLOOKUP(AO28,'סקרי נכסים-יתרות פתיחה'!$2:$76,73,0),0)</f>
        <v>0</v>
      </c>
      <c r="AP96" s="47">
        <f>+IFERROR(HLOOKUP(AP28,'סקרי נכסים-יתרות פתיחה'!$2:$76,73,0),0)</f>
        <v>0</v>
      </c>
      <c r="AQ96" s="47">
        <f>+IFERROR(HLOOKUP(AQ28,'סקרי נכסים-יתרות פתיחה'!$2:$76,73,0),0)</f>
        <v>0</v>
      </c>
      <c r="AR96" s="47">
        <f>+IFERROR(HLOOKUP(AR28,'סקרי נכסים-יתרות פתיחה'!$2:$76,73,0),0)</f>
        <v>0</v>
      </c>
      <c r="AS96" s="47">
        <f>+IFERROR(HLOOKUP(AS28,'סקרי נכסים-יתרות פתיחה'!$2:$76,73,0),0)</f>
        <v>0</v>
      </c>
      <c r="AT96" s="47">
        <f>+IFERROR(HLOOKUP(AT28,'סקרי נכסים-יתרות פתיחה'!$2:$76,73,0),0)</f>
        <v>0</v>
      </c>
      <c r="AU96" s="47">
        <f>+IFERROR(HLOOKUP(AU28,'סקרי נכסים-יתרות פתיחה'!$2:$76,73,0),0)</f>
        <v>0</v>
      </c>
      <c r="AV96" s="47">
        <f>+IFERROR(HLOOKUP(AV28,'סקרי נכסים-יתרות פתיחה'!$2:$76,73,0),0)</f>
        <v>0</v>
      </c>
      <c r="AW96" s="47">
        <f>+IFERROR(HLOOKUP(AW28,'סקרי נכסים-יתרות פתיחה'!$2:$76,73,0),0)</f>
        <v>0</v>
      </c>
      <c r="AX96" s="47">
        <f>+IFERROR(HLOOKUP(AX28,'סקרי נכסים-יתרות פתיחה'!$2:$76,73,0),0)</f>
        <v>0</v>
      </c>
      <c r="AY96" s="47">
        <f>+IFERROR(HLOOKUP(AY28,'סקרי נכסים-יתרות פתיחה'!$2:$76,73,0),0)</f>
        <v>0</v>
      </c>
      <c r="AZ96" s="47">
        <f>+IFERROR(HLOOKUP(AZ28,'סקרי נכסים-יתרות פתיחה'!$2:$76,73,0),0)</f>
        <v>0</v>
      </c>
      <c r="BA96" s="47">
        <f>+IFERROR(HLOOKUP(BA28,'סקרי נכסים-יתרות פתיחה'!$2:$76,73,0),0)</f>
        <v>0</v>
      </c>
      <c r="BB96" s="47">
        <f>+IFERROR(HLOOKUP(BB28,'סקרי נכסים-יתרות פתיחה'!$2:$76,73,0),0)</f>
        <v>0</v>
      </c>
      <c r="BC96" s="47">
        <f>+IFERROR(HLOOKUP(BC28,'סקרי נכסים-יתרות פתיחה'!$2:$76,73,0),0)</f>
        <v>0</v>
      </c>
      <c r="BD96" s="47">
        <f>+IFERROR(HLOOKUP(BD28,'סקרי נכסים-יתרות פתיחה'!$2:$76,73,0),0)</f>
        <v>0</v>
      </c>
      <c r="BE96" s="47">
        <f>+IFERROR(HLOOKUP(BE28,'סקרי נכסים-יתרות פתיחה'!$2:$76,73,0),0)</f>
        <v>0</v>
      </c>
      <c r="BF96" s="47">
        <f>+IFERROR(HLOOKUP(BF28,'סקרי נכסים-יתרות פתיחה'!$2:$76,73,0),0)</f>
        <v>0</v>
      </c>
    </row>
    <row r="97" spans="1:58" x14ac:dyDescent="0.2">
      <c r="B97" s="1">
        <v>22</v>
      </c>
      <c r="C97" s="47">
        <f>+IFERROR(HLOOKUP(C29,'סקרי נכסים-יתרות פתיחה'!$2:$76,73,0),0)</f>
        <v>0</v>
      </c>
      <c r="D97" s="47">
        <f>+IFERROR(HLOOKUP(D29,'סקרי נכסים-יתרות פתיחה'!$2:$76,73,0),0)</f>
        <v>0</v>
      </c>
      <c r="E97" s="47">
        <f>+IFERROR(HLOOKUP(E29,'סקרי נכסים-יתרות פתיחה'!$2:$76,73,0),0)</f>
        <v>0</v>
      </c>
      <c r="F97" s="47">
        <f>+IFERROR(HLOOKUP(F29,'סקרי נכסים-יתרות פתיחה'!$2:$76,73,0),0)</f>
        <v>0</v>
      </c>
      <c r="G97" s="47">
        <f>+IFERROR(HLOOKUP(G29,'סקרי נכסים-יתרות פתיחה'!$2:$76,73,0),0)</f>
        <v>0</v>
      </c>
      <c r="H97" s="47">
        <f>+IFERROR(HLOOKUP(H29,'סקרי נכסים-יתרות פתיחה'!$2:$76,73,0),0)</f>
        <v>0</v>
      </c>
      <c r="I97" s="47">
        <f>+IFERROR(HLOOKUP(I29,'סקרי נכסים-יתרות פתיחה'!$2:$76,73,0),0)</f>
        <v>0</v>
      </c>
      <c r="J97" s="47">
        <f>+IFERROR(HLOOKUP(J29,'סקרי נכסים-יתרות פתיחה'!$2:$76,73,0),0)</f>
        <v>0</v>
      </c>
      <c r="K97" s="47">
        <f>+IFERROR(HLOOKUP(K29,'סקרי נכסים-יתרות פתיחה'!$2:$76,73,0),0)</f>
        <v>0</v>
      </c>
      <c r="L97" s="47">
        <f>+IFERROR(HLOOKUP(L29,'סקרי נכסים-יתרות פתיחה'!$2:$76,73,0),0)</f>
        <v>0</v>
      </c>
      <c r="M97" s="47">
        <f>+IFERROR(HLOOKUP(M29,'סקרי נכסים-יתרות פתיחה'!$2:$76,73,0),0)</f>
        <v>0</v>
      </c>
      <c r="N97" s="47">
        <f>+IFERROR(HLOOKUP(N29,'סקרי נכסים-יתרות פתיחה'!$2:$76,73,0),0)</f>
        <v>0</v>
      </c>
      <c r="O97" s="47">
        <f>+IFERROR(HLOOKUP(O29,'סקרי נכסים-יתרות פתיחה'!$2:$76,73,0),0)</f>
        <v>0</v>
      </c>
      <c r="P97" s="47">
        <f>+IFERROR(HLOOKUP(P29,'סקרי נכסים-יתרות פתיחה'!$2:$76,73,0),0)</f>
        <v>0</v>
      </c>
      <c r="Q97" s="47">
        <f>+IFERROR(HLOOKUP(Q29,'סקרי נכסים-יתרות פתיחה'!$2:$76,73,0),0)</f>
        <v>0</v>
      </c>
      <c r="R97" s="47">
        <f>+IFERROR(HLOOKUP(R29,'סקרי נכסים-יתרות פתיחה'!$2:$76,73,0),0)</f>
        <v>0</v>
      </c>
      <c r="S97" s="47">
        <f>+IFERROR(HLOOKUP(S29,'סקרי נכסים-יתרות פתיחה'!$2:$76,73,0),0)</f>
        <v>0</v>
      </c>
      <c r="T97" s="47">
        <f>+IFERROR(HLOOKUP(T29,'סקרי נכסים-יתרות פתיחה'!$2:$76,73,0),0)</f>
        <v>0</v>
      </c>
      <c r="U97" s="47">
        <f>+IFERROR(HLOOKUP(U29,'סקרי נכסים-יתרות פתיחה'!$2:$76,73,0),0)</f>
        <v>0</v>
      </c>
      <c r="V97" s="47">
        <f>+IFERROR(HLOOKUP(V29,'סקרי נכסים-יתרות פתיחה'!$2:$76,73,0),0)</f>
        <v>0</v>
      </c>
      <c r="W97" s="47">
        <f>+IFERROR(HLOOKUP(W29,'סקרי נכסים-יתרות פתיחה'!$2:$76,73,0),0)</f>
        <v>0</v>
      </c>
      <c r="X97" s="47">
        <f>+IFERROR(HLOOKUP(X29,'סקרי נכסים-יתרות פתיחה'!$2:$76,73,0),0)</f>
        <v>0</v>
      </c>
      <c r="Y97" s="47">
        <f>+IFERROR(HLOOKUP(Y29,'סקרי נכסים-יתרות פתיחה'!$2:$76,73,0),0)</f>
        <v>0</v>
      </c>
      <c r="Z97" s="47">
        <f>+IFERROR(HLOOKUP(Z29,'סקרי נכסים-יתרות פתיחה'!$2:$76,73,0),0)</f>
        <v>0</v>
      </c>
      <c r="AA97" s="47">
        <f>+IFERROR(HLOOKUP(AA29,'סקרי נכסים-יתרות פתיחה'!$2:$76,73,0),0)</f>
        <v>0</v>
      </c>
      <c r="AB97" s="47">
        <f>+IFERROR(HLOOKUP(AB29,'סקרי נכסים-יתרות פתיחה'!$2:$76,73,0),0)</f>
        <v>0</v>
      </c>
      <c r="AC97" s="47">
        <f>+IFERROR(HLOOKUP(AC29,'סקרי נכסים-יתרות פתיחה'!$2:$76,73,0),0)</f>
        <v>0</v>
      </c>
      <c r="AD97" s="47">
        <f>+IFERROR(HLOOKUP(AD29,'סקרי נכסים-יתרות פתיחה'!$2:$76,73,0),0)</f>
        <v>0</v>
      </c>
      <c r="AE97" s="47">
        <f>+IFERROR(HLOOKUP(AE29,'סקרי נכסים-יתרות פתיחה'!$2:$76,73,0),0)</f>
        <v>0</v>
      </c>
      <c r="AF97" s="47">
        <f>+IFERROR(HLOOKUP(AF29,'סקרי נכסים-יתרות פתיחה'!$2:$76,73,0),0)</f>
        <v>0</v>
      </c>
      <c r="AG97" s="47">
        <f>+IFERROR(HLOOKUP(AG29,'סקרי נכסים-יתרות פתיחה'!$2:$76,73,0),0)</f>
        <v>0</v>
      </c>
      <c r="AH97" s="47">
        <f>+IFERROR(HLOOKUP(AH29,'סקרי נכסים-יתרות פתיחה'!$2:$76,73,0),0)</f>
        <v>0</v>
      </c>
      <c r="AI97" s="47">
        <f>+IFERROR(HLOOKUP(AI29,'סקרי נכסים-יתרות פתיחה'!$2:$76,73,0),0)</f>
        <v>0</v>
      </c>
      <c r="AJ97" s="47">
        <f>+IFERROR(HLOOKUP(AJ29,'סקרי נכסים-יתרות פתיחה'!$2:$76,73,0),0)</f>
        <v>0</v>
      </c>
      <c r="AK97" s="47">
        <f>+IFERROR(HLOOKUP(AK29,'סקרי נכסים-יתרות פתיחה'!$2:$76,73,0),0)</f>
        <v>0</v>
      </c>
      <c r="AL97" s="47">
        <f>+IFERROR(HLOOKUP(AL29,'סקרי נכסים-יתרות פתיחה'!$2:$76,73,0),0)</f>
        <v>0</v>
      </c>
      <c r="AM97" s="47">
        <f>+IFERROR(HLOOKUP(AM29,'סקרי נכסים-יתרות פתיחה'!$2:$76,73,0),0)</f>
        <v>0</v>
      </c>
      <c r="AN97" s="47">
        <f>+IFERROR(HLOOKUP(AN29,'סקרי נכסים-יתרות פתיחה'!$2:$76,73,0),0)</f>
        <v>0</v>
      </c>
      <c r="AO97" s="47">
        <f>+IFERROR(HLOOKUP(AO29,'סקרי נכסים-יתרות פתיחה'!$2:$76,73,0),0)</f>
        <v>0</v>
      </c>
      <c r="AP97" s="47">
        <f>+IFERROR(HLOOKUP(AP29,'סקרי נכסים-יתרות פתיחה'!$2:$76,73,0),0)</f>
        <v>0</v>
      </c>
      <c r="AQ97" s="47">
        <f>+IFERROR(HLOOKUP(AQ29,'סקרי נכסים-יתרות פתיחה'!$2:$76,73,0),0)</f>
        <v>0</v>
      </c>
      <c r="AR97" s="47">
        <f>+IFERROR(HLOOKUP(AR29,'סקרי נכסים-יתרות פתיחה'!$2:$76,73,0),0)</f>
        <v>0</v>
      </c>
      <c r="AS97" s="47">
        <f>+IFERROR(HLOOKUP(AS29,'סקרי נכסים-יתרות פתיחה'!$2:$76,73,0),0)</f>
        <v>0</v>
      </c>
      <c r="AT97" s="47">
        <f>+IFERROR(HLOOKUP(AT29,'סקרי נכסים-יתרות פתיחה'!$2:$76,73,0),0)</f>
        <v>0</v>
      </c>
      <c r="AU97" s="47">
        <f>+IFERROR(HLOOKUP(AU29,'סקרי נכסים-יתרות פתיחה'!$2:$76,73,0),0)</f>
        <v>0</v>
      </c>
      <c r="AV97" s="47">
        <f>+IFERROR(HLOOKUP(AV29,'סקרי נכסים-יתרות פתיחה'!$2:$76,73,0),0)</f>
        <v>0</v>
      </c>
      <c r="AW97" s="47">
        <f>+IFERROR(HLOOKUP(AW29,'סקרי נכסים-יתרות פתיחה'!$2:$76,73,0),0)</f>
        <v>0</v>
      </c>
      <c r="AX97" s="47">
        <f>+IFERROR(HLOOKUP(AX29,'סקרי נכסים-יתרות פתיחה'!$2:$76,73,0),0)</f>
        <v>0</v>
      </c>
      <c r="AY97" s="47">
        <f>+IFERROR(HLOOKUP(AY29,'סקרי נכסים-יתרות פתיחה'!$2:$76,73,0),0)</f>
        <v>0</v>
      </c>
      <c r="AZ97" s="47">
        <f>+IFERROR(HLOOKUP(AZ29,'סקרי נכסים-יתרות פתיחה'!$2:$76,73,0),0)</f>
        <v>0</v>
      </c>
      <c r="BA97" s="47">
        <f>+IFERROR(HLOOKUP(BA29,'סקרי נכסים-יתרות פתיחה'!$2:$76,73,0),0)</f>
        <v>0</v>
      </c>
      <c r="BB97" s="47">
        <f>+IFERROR(HLOOKUP(BB29,'סקרי נכסים-יתרות פתיחה'!$2:$76,73,0),0)</f>
        <v>0</v>
      </c>
      <c r="BC97" s="47">
        <f>+IFERROR(HLOOKUP(BC29,'סקרי נכסים-יתרות פתיחה'!$2:$76,73,0),0)</f>
        <v>0</v>
      </c>
      <c r="BD97" s="47">
        <f>+IFERROR(HLOOKUP(BD29,'סקרי נכסים-יתרות פתיחה'!$2:$76,73,0),0)</f>
        <v>0</v>
      </c>
      <c r="BE97" s="47">
        <f>+IFERROR(HLOOKUP(BE29,'סקרי נכסים-יתרות פתיחה'!$2:$76,73,0),0)</f>
        <v>0</v>
      </c>
      <c r="BF97" s="47">
        <f>+IFERROR(HLOOKUP(BF29,'סקרי נכסים-יתרות פתיחה'!$2:$76,73,0),0)</f>
        <v>0</v>
      </c>
    </row>
    <row r="98" spans="1:58" x14ac:dyDescent="0.2">
      <c r="B98" s="1">
        <v>23</v>
      </c>
      <c r="C98" s="47">
        <f>+IFERROR(HLOOKUP(C30,'סקרי נכסים-יתרות פתיחה'!$2:$76,73,0),0)</f>
        <v>0</v>
      </c>
      <c r="D98" s="47">
        <f>+IFERROR(HLOOKUP(D30,'סקרי נכסים-יתרות פתיחה'!$2:$76,73,0),0)</f>
        <v>0</v>
      </c>
      <c r="E98" s="47">
        <f>+IFERROR(HLOOKUP(E30,'סקרי נכסים-יתרות פתיחה'!$2:$76,73,0),0)</f>
        <v>0</v>
      </c>
      <c r="F98" s="47">
        <f>+IFERROR(HLOOKUP(F30,'סקרי נכסים-יתרות פתיחה'!$2:$76,73,0),0)</f>
        <v>0</v>
      </c>
      <c r="G98" s="47">
        <f>+IFERROR(HLOOKUP(G30,'סקרי נכסים-יתרות פתיחה'!$2:$76,73,0),0)</f>
        <v>0</v>
      </c>
      <c r="H98" s="47">
        <f>+IFERROR(HLOOKUP(H30,'סקרי נכסים-יתרות פתיחה'!$2:$76,73,0),0)</f>
        <v>0</v>
      </c>
      <c r="I98" s="47">
        <f>+IFERROR(HLOOKUP(I30,'סקרי נכסים-יתרות פתיחה'!$2:$76,73,0),0)</f>
        <v>0</v>
      </c>
      <c r="J98" s="47">
        <f>+IFERROR(HLOOKUP(J30,'סקרי נכסים-יתרות פתיחה'!$2:$76,73,0),0)</f>
        <v>0</v>
      </c>
      <c r="K98" s="47">
        <f>+IFERROR(HLOOKUP(K30,'סקרי נכסים-יתרות פתיחה'!$2:$76,73,0),0)</f>
        <v>0</v>
      </c>
      <c r="L98" s="47">
        <f>+IFERROR(HLOOKUP(L30,'סקרי נכסים-יתרות פתיחה'!$2:$76,73,0),0)</f>
        <v>0</v>
      </c>
      <c r="M98" s="47">
        <f>+IFERROR(HLOOKUP(M30,'סקרי נכסים-יתרות פתיחה'!$2:$76,73,0),0)</f>
        <v>0</v>
      </c>
      <c r="N98" s="47">
        <f>+IFERROR(HLOOKUP(N30,'סקרי נכסים-יתרות פתיחה'!$2:$76,73,0),0)</f>
        <v>0</v>
      </c>
      <c r="O98" s="47">
        <f>+IFERROR(HLOOKUP(O30,'סקרי נכסים-יתרות פתיחה'!$2:$76,73,0),0)</f>
        <v>0</v>
      </c>
      <c r="P98" s="47">
        <f>+IFERROR(HLOOKUP(P30,'סקרי נכסים-יתרות פתיחה'!$2:$76,73,0),0)</f>
        <v>0</v>
      </c>
      <c r="Q98" s="47">
        <f>+IFERROR(HLOOKUP(Q30,'סקרי נכסים-יתרות פתיחה'!$2:$76,73,0),0)</f>
        <v>0</v>
      </c>
      <c r="R98" s="47">
        <f>+IFERROR(HLOOKUP(R30,'סקרי נכסים-יתרות פתיחה'!$2:$76,73,0),0)</f>
        <v>0</v>
      </c>
      <c r="S98" s="47">
        <f>+IFERROR(HLOOKUP(S30,'סקרי נכסים-יתרות פתיחה'!$2:$76,73,0),0)</f>
        <v>0</v>
      </c>
      <c r="T98" s="47">
        <f>+IFERROR(HLOOKUP(T30,'סקרי נכסים-יתרות פתיחה'!$2:$76,73,0),0)</f>
        <v>0</v>
      </c>
      <c r="U98" s="47">
        <f>+IFERROR(HLOOKUP(U30,'סקרי נכסים-יתרות פתיחה'!$2:$76,73,0),0)</f>
        <v>0</v>
      </c>
      <c r="V98" s="47">
        <f>+IFERROR(HLOOKUP(V30,'סקרי נכסים-יתרות פתיחה'!$2:$76,73,0),0)</f>
        <v>0</v>
      </c>
      <c r="W98" s="47">
        <f>+IFERROR(HLOOKUP(W30,'סקרי נכסים-יתרות פתיחה'!$2:$76,73,0),0)</f>
        <v>0</v>
      </c>
      <c r="X98" s="47">
        <f>+IFERROR(HLOOKUP(X30,'סקרי נכסים-יתרות פתיחה'!$2:$76,73,0),0)</f>
        <v>0</v>
      </c>
      <c r="Y98" s="47">
        <f>+IFERROR(HLOOKUP(Y30,'סקרי נכסים-יתרות פתיחה'!$2:$76,73,0),0)</f>
        <v>0</v>
      </c>
      <c r="Z98" s="47">
        <f>+IFERROR(HLOOKUP(Z30,'סקרי נכסים-יתרות פתיחה'!$2:$76,73,0),0)</f>
        <v>0</v>
      </c>
      <c r="AA98" s="47">
        <f>+IFERROR(HLOOKUP(AA30,'סקרי נכסים-יתרות פתיחה'!$2:$76,73,0),0)</f>
        <v>0</v>
      </c>
      <c r="AB98" s="47">
        <f>+IFERROR(HLOOKUP(AB30,'סקרי נכסים-יתרות פתיחה'!$2:$76,73,0),0)</f>
        <v>0</v>
      </c>
      <c r="AC98" s="47">
        <f>+IFERROR(HLOOKUP(AC30,'סקרי נכסים-יתרות פתיחה'!$2:$76,73,0),0)</f>
        <v>0</v>
      </c>
      <c r="AD98" s="47">
        <f>+IFERROR(HLOOKUP(AD30,'סקרי נכסים-יתרות פתיחה'!$2:$76,73,0),0)</f>
        <v>0</v>
      </c>
      <c r="AE98" s="47">
        <f>+IFERROR(HLOOKUP(AE30,'סקרי נכסים-יתרות פתיחה'!$2:$76,73,0),0)</f>
        <v>0</v>
      </c>
      <c r="AF98" s="47">
        <f>+IFERROR(HLOOKUP(AF30,'סקרי נכסים-יתרות פתיחה'!$2:$76,73,0),0)</f>
        <v>0</v>
      </c>
      <c r="AG98" s="47">
        <f>+IFERROR(HLOOKUP(AG30,'סקרי נכסים-יתרות פתיחה'!$2:$76,73,0),0)</f>
        <v>0</v>
      </c>
      <c r="AH98" s="47">
        <f>+IFERROR(HLOOKUP(AH30,'סקרי נכסים-יתרות פתיחה'!$2:$76,73,0),0)</f>
        <v>0</v>
      </c>
      <c r="AI98" s="47">
        <f>+IFERROR(HLOOKUP(AI30,'סקרי נכסים-יתרות פתיחה'!$2:$76,73,0),0)</f>
        <v>0</v>
      </c>
      <c r="AJ98" s="47">
        <f>+IFERROR(HLOOKUP(AJ30,'סקרי נכסים-יתרות פתיחה'!$2:$76,73,0),0)</f>
        <v>0</v>
      </c>
      <c r="AK98" s="47">
        <f>+IFERROR(HLOOKUP(AK30,'סקרי נכסים-יתרות פתיחה'!$2:$76,73,0),0)</f>
        <v>0</v>
      </c>
      <c r="AL98" s="47">
        <f>+IFERROR(HLOOKUP(AL30,'סקרי נכסים-יתרות פתיחה'!$2:$76,73,0),0)</f>
        <v>0</v>
      </c>
      <c r="AM98" s="47">
        <f>+IFERROR(HLOOKUP(AM30,'סקרי נכסים-יתרות פתיחה'!$2:$76,73,0),0)</f>
        <v>0</v>
      </c>
      <c r="AN98" s="47">
        <f>+IFERROR(HLOOKUP(AN30,'סקרי נכסים-יתרות פתיחה'!$2:$76,73,0),0)</f>
        <v>0</v>
      </c>
      <c r="AO98" s="47">
        <f>+IFERROR(HLOOKUP(AO30,'סקרי נכסים-יתרות פתיחה'!$2:$76,73,0),0)</f>
        <v>0</v>
      </c>
      <c r="AP98" s="47">
        <f>+IFERROR(HLOOKUP(AP30,'סקרי נכסים-יתרות פתיחה'!$2:$76,73,0),0)</f>
        <v>0</v>
      </c>
      <c r="AQ98" s="47">
        <f>+IFERROR(HLOOKUP(AQ30,'סקרי נכסים-יתרות פתיחה'!$2:$76,73,0),0)</f>
        <v>0</v>
      </c>
      <c r="AR98" s="47">
        <f>+IFERROR(HLOOKUP(AR30,'סקרי נכסים-יתרות פתיחה'!$2:$76,73,0),0)</f>
        <v>0</v>
      </c>
      <c r="AS98" s="47">
        <f>+IFERROR(HLOOKUP(AS30,'סקרי נכסים-יתרות פתיחה'!$2:$76,73,0),0)</f>
        <v>0</v>
      </c>
      <c r="AT98" s="47">
        <f>+IFERROR(HLOOKUP(AT30,'סקרי נכסים-יתרות פתיחה'!$2:$76,73,0),0)</f>
        <v>0</v>
      </c>
      <c r="AU98" s="47">
        <f>+IFERROR(HLOOKUP(AU30,'סקרי נכסים-יתרות פתיחה'!$2:$76,73,0),0)</f>
        <v>0</v>
      </c>
      <c r="AV98" s="47">
        <f>+IFERROR(HLOOKUP(AV30,'סקרי נכסים-יתרות פתיחה'!$2:$76,73,0),0)</f>
        <v>0</v>
      </c>
      <c r="AW98" s="47">
        <f>+IFERROR(HLOOKUP(AW30,'סקרי נכסים-יתרות פתיחה'!$2:$76,73,0),0)</f>
        <v>0</v>
      </c>
      <c r="AX98" s="47">
        <f>+IFERROR(HLOOKUP(AX30,'סקרי נכסים-יתרות פתיחה'!$2:$76,73,0),0)</f>
        <v>0</v>
      </c>
      <c r="AY98" s="47">
        <f>+IFERROR(HLOOKUP(AY30,'סקרי נכסים-יתרות פתיחה'!$2:$76,73,0),0)</f>
        <v>0</v>
      </c>
      <c r="AZ98" s="47">
        <f>+IFERROR(HLOOKUP(AZ30,'סקרי נכסים-יתרות פתיחה'!$2:$76,73,0),0)</f>
        <v>0</v>
      </c>
      <c r="BA98" s="47">
        <f>+IFERROR(HLOOKUP(BA30,'סקרי נכסים-יתרות פתיחה'!$2:$76,73,0),0)</f>
        <v>0</v>
      </c>
      <c r="BB98" s="47">
        <f>+IFERROR(HLOOKUP(BB30,'סקרי נכסים-יתרות פתיחה'!$2:$76,73,0),0)</f>
        <v>0</v>
      </c>
      <c r="BC98" s="47">
        <f>+IFERROR(HLOOKUP(BC30,'סקרי נכסים-יתרות פתיחה'!$2:$76,73,0),0)</f>
        <v>0</v>
      </c>
      <c r="BD98" s="47">
        <f>+IFERROR(HLOOKUP(BD30,'סקרי נכסים-יתרות פתיחה'!$2:$76,73,0),0)</f>
        <v>0</v>
      </c>
      <c r="BE98" s="47">
        <f>+IFERROR(HLOOKUP(BE30,'סקרי נכסים-יתרות פתיחה'!$2:$76,73,0),0)</f>
        <v>0</v>
      </c>
      <c r="BF98" s="47">
        <f>+IFERROR(HLOOKUP(BF30,'סקרי נכסים-יתרות פתיחה'!$2:$76,73,0),0)</f>
        <v>0</v>
      </c>
    </row>
    <row r="99" spans="1:58" x14ac:dyDescent="0.2">
      <c r="B99" s="1">
        <v>24</v>
      </c>
      <c r="C99" s="47">
        <f>+IFERROR(HLOOKUP(C31,'סקרי נכסים-יתרות פתיחה'!$2:$76,73,0),0)</f>
        <v>0</v>
      </c>
      <c r="D99" s="47">
        <f>+IFERROR(HLOOKUP(D31,'סקרי נכסים-יתרות פתיחה'!$2:$76,73,0),0)</f>
        <v>0</v>
      </c>
      <c r="E99" s="47">
        <f>+IFERROR(HLOOKUP(E31,'סקרי נכסים-יתרות פתיחה'!$2:$76,73,0),0)</f>
        <v>0</v>
      </c>
      <c r="F99" s="47">
        <f>+IFERROR(HLOOKUP(F31,'סקרי נכסים-יתרות פתיחה'!$2:$76,73,0),0)</f>
        <v>0</v>
      </c>
      <c r="G99" s="47">
        <f>+IFERROR(HLOOKUP(G31,'סקרי נכסים-יתרות פתיחה'!$2:$76,73,0),0)</f>
        <v>0</v>
      </c>
      <c r="H99" s="47">
        <f>+IFERROR(HLOOKUP(H31,'סקרי נכסים-יתרות פתיחה'!$2:$76,73,0),0)</f>
        <v>0</v>
      </c>
      <c r="I99" s="47">
        <f>+IFERROR(HLOOKUP(I31,'סקרי נכסים-יתרות פתיחה'!$2:$76,73,0),0)</f>
        <v>0</v>
      </c>
      <c r="J99" s="47">
        <f>+IFERROR(HLOOKUP(J31,'סקרי נכסים-יתרות פתיחה'!$2:$76,73,0),0)</f>
        <v>0</v>
      </c>
      <c r="K99" s="47">
        <f>+IFERROR(HLOOKUP(K31,'סקרי נכסים-יתרות פתיחה'!$2:$76,73,0),0)</f>
        <v>0</v>
      </c>
      <c r="L99" s="47">
        <f>+IFERROR(HLOOKUP(L31,'סקרי נכסים-יתרות פתיחה'!$2:$76,73,0),0)</f>
        <v>0</v>
      </c>
      <c r="M99" s="47">
        <f>+IFERROR(HLOOKUP(M31,'סקרי נכסים-יתרות פתיחה'!$2:$76,73,0),0)</f>
        <v>0</v>
      </c>
      <c r="N99" s="47">
        <f>+IFERROR(HLOOKUP(N31,'סקרי נכסים-יתרות פתיחה'!$2:$76,73,0),0)</f>
        <v>0</v>
      </c>
      <c r="O99" s="47">
        <f>+IFERROR(HLOOKUP(O31,'סקרי נכסים-יתרות פתיחה'!$2:$76,73,0),0)</f>
        <v>0</v>
      </c>
      <c r="P99" s="47">
        <f>+IFERROR(HLOOKUP(P31,'סקרי נכסים-יתרות פתיחה'!$2:$76,73,0),0)</f>
        <v>0</v>
      </c>
      <c r="Q99" s="47">
        <f>+IFERROR(HLOOKUP(Q31,'סקרי נכסים-יתרות פתיחה'!$2:$76,73,0),0)</f>
        <v>0</v>
      </c>
      <c r="R99" s="47">
        <f>+IFERROR(HLOOKUP(R31,'סקרי נכסים-יתרות פתיחה'!$2:$76,73,0),0)</f>
        <v>0</v>
      </c>
      <c r="S99" s="47">
        <f>+IFERROR(HLOOKUP(S31,'סקרי נכסים-יתרות פתיחה'!$2:$76,73,0),0)</f>
        <v>0</v>
      </c>
      <c r="T99" s="47">
        <f>+IFERROR(HLOOKUP(T31,'סקרי נכסים-יתרות פתיחה'!$2:$76,73,0),0)</f>
        <v>0</v>
      </c>
      <c r="U99" s="47">
        <f>+IFERROR(HLOOKUP(U31,'סקרי נכסים-יתרות פתיחה'!$2:$76,73,0),0)</f>
        <v>0</v>
      </c>
      <c r="V99" s="47">
        <f>+IFERROR(HLOOKUP(V31,'סקרי נכסים-יתרות פתיחה'!$2:$76,73,0),0)</f>
        <v>0</v>
      </c>
      <c r="W99" s="47">
        <f>+IFERROR(HLOOKUP(W31,'סקרי נכסים-יתרות פתיחה'!$2:$76,73,0),0)</f>
        <v>0</v>
      </c>
      <c r="X99" s="47">
        <f>+IFERROR(HLOOKUP(X31,'סקרי נכסים-יתרות פתיחה'!$2:$76,73,0),0)</f>
        <v>0</v>
      </c>
      <c r="Y99" s="47">
        <f>+IFERROR(HLOOKUP(Y31,'סקרי נכסים-יתרות פתיחה'!$2:$76,73,0),0)</f>
        <v>0</v>
      </c>
      <c r="Z99" s="47">
        <f>+IFERROR(HLOOKUP(Z31,'סקרי נכסים-יתרות פתיחה'!$2:$76,73,0),0)</f>
        <v>0</v>
      </c>
      <c r="AA99" s="47">
        <f>+IFERROR(HLOOKUP(AA31,'סקרי נכסים-יתרות פתיחה'!$2:$76,73,0),0)</f>
        <v>0</v>
      </c>
      <c r="AB99" s="47">
        <f>+IFERROR(HLOOKUP(AB31,'סקרי נכסים-יתרות פתיחה'!$2:$76,73,0),0)</f>
        <v>0</v>
      </c>
      <c r="AC99" s="47">
        <f>+IFERROR(HLOOKUP(AC31,'סקרי נכסים-יתרות פתיחה'!$2:$76,73,0),0)</f>
        <v>0</v>
      </c>
      <c r="AD99" s="47">
        <f>+IFERROR(HLOOKUP(AD31,'סקרי נכסים-יתרות פתיחה'!$2:$76,73,0),0)</f>
        <v>0</v>
      </c>
      <c r="AE99" s="47">
        <f>+IFERROR(HLOOKUP(AE31,'סקרי נכסים-יתרות פתיחה'!$2:$76,73,0),0)</f>
        <v>0</v>
      </c>
      <c r="AF99" s="47">
        <f>+IFERROR(HLOOKUP(AF31,'סקרי נכסים-יתרות פתיחה'!$2:$76,73,0),0)</f>
        <v>0</v>
      </c>
      <c r="AG99" s="47">
        <f>+IFERROR(HLOOKUP(AG31,'סקרי נכסים-יתרות פתיחה'!$2:$76,73,0),0)</f>
        <v>0</v>
      </c>
      <c r="AH99" s="47">
        <f>+IFERROR(HLOOKUP(AH31,'סקרי נכסים-יתרות פתיחה'!$2:$76,73,0),0)</f>
        <v>0</v>
      </c>
      <c r="AI99" s="47">
        <f>+IFERROR(HLOOKUP(AI31,'סקרי נכסים-יתרות פתיחה'!$2:$76,73,0),0)</f>
        <v>0</v>
      </c>
      <c r="AJ99" s="47">
        <f>+IFERROR(HLOOKUP(AJ31,'סקרי נכסים-יתרות פתיחה'!$2:$76,73,0),0)</f>
        <v>0</v>
      </c>
      <c r="AK99" s="47">
        <f>+IFERROR(HLOOKUP(AK31,'סקרי נכסים-יתרות פתיחה'!$2:$76,73,0),0)</f>
        <v>0</v>
      </c>
      <c r="AL99" s="47">
        <f>+IFERROR(HLOOKUP(AL31,'סקרי נכסים-יתרות פתיחה'!$2:$76,73,0),0)</f>
        <v>0</v>
      </c>
      <c r="AM99" s="47">
        <f>+IFERROR(HLOOKUP(AM31,'סקרי נכסים-יתרות פתיחה'!$2:$76,73,0),0)</f>
        <v>0</v>
      </c>
      <c r="AN99" s="47">
        <f>+IFERROR(HLOOKUP(AN31,'סקרי נכסים-יתרות פתיחה'!$2:$76,73,0),0)</f>
        <v>0</v>
      </c>
      <c r="AO99" s="47">
        <f>+IFERROR(HLOOKUP(AO31,'סקרי נכסים-יתרות פתיחה'!$2:$76,73,0),0)</f>
        <v>0</v>
      </c>
      <c r="AP99" s="47">
        <f>+IFERROR(HLOOKUP(AP31,'סקרי נכסים-יתרות פתיחה'!$2:$76,73,0),0)</f>
        <v>0</v>
      </c>
      <c r="AQ99" s="47">
        <f>+IFERROR(HLOOKUP(AQ31,'סקרי נכסים-יתרות פתיחה'!$2:$76,73,0),0)</f>
        <v>0</v>
      </c>
      <c r="AR99" s="47">
        <f>+IFERROR(HLOOKUP(AR31,'סקרי נכסים-יתרות פתיחה'!$2:$76,73,0),0)</f>
        <v>0</v>
      </c>
      <c r="AS99" s="47">
        <f>+IFERROR(HLOOKUP(AS31,'סקרי נכסים-יתרות פתיחה'!$2:$76,73,0),0)</f>
        <v>0</v>
      </c>
      <c r="AT99" s="47">
        <f>+IFERROR(HLOOKUP(AT31,'סקרי נכסים-יתרות פתיחה'!$2:$76,73,0),0)</f>
        <v>0</v>
      </c>
      <c r="AU99" s="47">
        <f>+IFERROR(HLOOKUP(AU31,'סקרי נכסים-יתרות פתיחה'!$2:$76,73,0),0)</f>
        <v>0</v>
      </c>
      <c r="AV99" s="47">
        <f>+IFERROR(HLOOKUP(AV31,'סקרי נכסים-יתרות פתיחה'!$2:$76,73,0),0)</f>
        <v>0</v>
      </c>
      <c r="AW99" s="47">
        <f>+IFERROR(HLOOKUP(AW31,'סקרי נכסים-יתרות פתיחה'!$2:$76,73,0),0)</f>
        <v>0</v>
      </c>
      <c r="AX99" s="47">
        <f>+IFERROR(HLOOKUP(AX31,'סקרי נכסים-יתרות פתיחה'!$2:$76,73,0),0)</f>
        <v>0</v>
      </c>
      <c r="AY99" s="47">
        <f>+IFERROR(HLOOKUP(AY31,'סקרי נכסים-יתרות פתיחה'!$2:$76,73,0),0)</f>
        <v>0</v>
      </c>
      <c r="AZ99" s="47">
        <f>+IFERROR(HLOOKUP(AZ31,'סקרי נכסים-יתרות פתיחה'!$2:$76,73,0),0)</f>
        <v>0</v>
      </c>
      <c r="BA99" s="47">
        <f>+IFERROR(HLOOKUP(BA31,'סקרי נכסים-יתרות פתיחה'!$2:$76,73,0),0)</f>
        <v>0</v>
      </c>
      <c r="BB99" s="47">
        <f>+IFERROR(HLOOKUP(BB31,'סקרי נכסים-יתרות פתיחה'!$2:$76,73,0),0)</f>
        <v>0</v>
      </c>
      <c r="BC99" s="47">
        <f>+IFERROR(HLOOKUP(BC31,'סקרי נכסים-יתרות פתיחה'!$2:$76,73,0),0)</f>
        <v>0</v>
      </c>
      <c r="BD99" s="47">
        <f>+IFERROR(HLOOKUP(BD31,'סקרי נכסים-יתרות פתיחה'!$2:$76,73,0),0)</f>
        <v>0</v>
      </c>
      <c r="BE99" s="47">
        <f>+IFERROR(HLOOKUP(BE31,'סקרי נכסים-יתרות פתיחה'!$2:$76,73,0),0)</f>
        <v>0</v>
      </c>
      <c r="BF99" s="47">
        <f>+IFERROR(HLOOKUP(BF31,'סקרי נכסים-יתרות פתיחה'!$2:$76,73,0),0)</f>
        <v>0</v>
      </c>
    </row>
    <row r="100" spans="1:58" x14ac:dyDescent="0.2">
      <c r="B100" s="1">
        <v>25</v>
      </c>
      <c r="C100" s="47">
        <f>+IFERROR(HLOOKUP(C32,'סקרי נכסים-יתרות פתיחה'!$2:$76,73,0),0)</f>
        <v>0</v>
      </c>
      <c r="D100" s="47">
        <f>+IFERROR(HLOOKUP(D32,'סקרי נכסים-יתרות פתיחה'!$2:$76,73,0),0)</f>
        <v>0</v>
      </c>
      <c r="E100" s="47">
        <f>+IFERROR(HLOOKUP(E32,'סקרי נכסים-יתרות פתיחה'!$2:$76,73,0),0)</f>
        <v>0</v>
      </c>
      <c r="F100" s="47">
        <f>+IFERROR(HLOOKUP(F32,'סקרי נכסים-יתרות פתיחה'!$2:$76,73,0),0)</f>
        <v>0</v>
      </c>
      <c r="G100" s="47">
        <f>+IFERROR(HLOOKUP(G32,'סקרי נכסים-יתרות פתיחה'!$2:$76,73,0),0)</f>
        <v>0</v>
      </c>
      <c r="H100" s="47">
        <f>+IFERROR(HLOOKUP(H32,'סקרי נכסים-יתרות פתיחה'!$2:$76,73,0),0)</f>
        <v>0</v>
      </c>
      <c r="I100" s="47">
        <f>+IFERROR(HLOOKUP(I32,'סקרי נכסים-יתרות פתיחה'!$2:$76,73,0),0)</f>
        <v>0</v>
      </c>
      <c r="J100" s="47">
        <f>+IFERROR(HLOOKUP(J32,'סקרי נכסים-יתרות פתיחה'!$2:$76,73,0),0)</f>
        <v>0</v>
      </c>
      <c r="K100" s="47">
        <f>+IFERROR(HLOOKUP(K32,'סקרי נכסים-יתרות פתיחה'!$2:$76,73,0),0)</f>
        <v>0</v>
      </c>
      <c r="L100" s="47">
        <f>+IFERROR(HLOOKUP(L32,'סקרי נכסים-יתרות פתיחה'!$2:$76,73,0),0)</f>
        <v>0</v>
      </c>
      <c r="M100" s="47">
        <f>+IFERROR(HLOOKUP(M32,'סקרי נכסים-יתרות פתיחה'!$2:$76,73,0),0)</f>
        <v>0</v>
      </c>
      <c r="N100" s="47">
        <f>+IFERROR(HLOOKUP(N32,'סקרי נכסים-יתרות פתיחה'!$2:$76,73,0),0)</f>
        <v>0</v>
      </c>
      <c r="O100" s="47">
        <f>+IFERROR(HLOOKUP(O32,'סקרי נכסים-יתרות פתיחה'!$2:$76,73,0),0)</f>
        <v>0</v>
      </c>
      <c r="P100" s="47">
        <f>+IFERROR(HLOOKUP(P32,'סקרי נכסים-יתרות פתיחה'!$2:$76,73,0),0)</f>
        <v>0</v>
      </c>
      <c r="Q100" s="47">
        <f>+IFERROR(HLOOKUP(Q32,'סקרי נכסים-יתרות פתיחה'!$2:$76,73,0),0)</f>
        <v>0</v>
      </c>
      <c r="R100" s="47">
        <f>+IFERROR(HLOOKUP(R32,'סקרי נכסים-יתרות פתיחה'!$2:$76,73,0),0)</f>
        <v>0</v>
      </c>
      <c r="S100" s="47">
        <f>+IFERROR(HLOOKUP(S32,'סקרי נכסים-יתרות פתיחה'!$2:$76,73,0),0)</f>
        <v>0</v>
      </c>
      <c r="T100" s="47">
        <f>+IFERROR(HLOOKUP(T32,'סקרי נכסים-יתרות פתיחה'!$2:$76,73,0),0)</f>
        <v>0</v>
      </c>
      <c r="U100" s="47">
        <f>+IFERROR(HLOOKUP(U32,'סקרי נכסים-יתרות פתיחה'!$2:$76,73,0),0)</f>
        <v>0</v>
      </c>
      <c r="V100" s="47">
        <f>+IFERROR(HLOOKUP(V32,'סקרי נכסים-יתרות פתיחה'!$2:$76,73,0),0)</f>
        <v>0</v>
      </c>
      <c r="W100" s="47">
        <f>+IFERROR(HLOOKUP(W32,'סקרי נכסים-יתרות פתיחה'!$2:$76,73,0),0)</f>
        <v>0</v>
      </c>
      <c r="X100" s="47">
        <f>+IFERROR(HLOOKUP(X32,'סקרי נכסים-יתרות פתיחה'!$2:$76,73,0),0)</f>
        <v>0</v>
      </c>
      <c r="Y100" s="47">
        <f>+IFERROR(HLOOKUP(Y32,'סקרי נכסים-יתרות פתיחה'!$2:$76,73,0),0)</f>
        <v>0</v>
      </c>
      <c r="Z100" s="47">
        <f>+IFERROR(HLOOKUP(Z32,'סקרי נכסים-יתרות פתיחה'!$2:$76,73,0),0)</f>
        <v>0</v>
      </c>
      <c r="AA100" s="47">
        <f>+IFERROR(HLOOKUP(AA32,'סקרי נכסים-יתרות פתיחה'!$2:$76,73,0),0)</f>
        <v>0</v>
      </c>
      <c r="AB100" s="47">
        <f>+IFERROR(HLOOKUP(AB32,'סקרי נכסים-יתרות פתיחה'!$2:$76,73,0),0)</f>
        <v>0</v>
      </c>
      <c r="AC100" s="47">
        <f>+IFERROR(HLOOKUP(AC32,'סקרי נכסים-יתרות פתיחה'!$2:$76,73,0),0)</f>
        <v>0</v>
      </c>
      <c r="AD100" s="47">
        <f>+IFERROR(HLOOKUP(AD32,'סקרי נכסים-יתרות פתיחה'!$2:$76,73,0),0)</f>
        <v>0</v>
      </c>
      <c r="AE100" s="47">
        <f>+IFERROR(HLOOKUP(AE32,'סקרי נכסים-יתרות פתיחה'!$2:$76,73,0),0)</f>
        <v>0</v>
      </c>
      <c r="AF100" s="47">
        <f>+IFERROR(HLOOKUP(AF32,'סקרי נכסים-יתרות פתיחה'!$2:$76,73,0),0)</f>
        <v>0</v>
      </c>
      <c r="AG100" s="47">
        <f>+IFERROR(HLOOKUP(AG32,'סקרי נכסים-יתרות פתיחה'!$2:$76,73,0),0)</f>
        <v>0</v>
      </c>
      <c r="AH100" s="47">
        <f>+IFERROR(HLOOKUP(AH32,'סקרי נכסים-יתרות פתיחה'!$2:$76,73,0),0)</f>
        <v>0</v>
      </c>
      <c r="AI100" s="47">
        <f>+IFERROR(HLOOKUP(AI32,'סקרי נכסים-יתרות פתיחה'!$2:$76,73,0),0)</f>
        <v>0</v>
      </c>
      <c r="AJ100" s="47">
        <f>+IFERROR(HLOOKUP(AJ32,'סקרי נכסים-יתרות פתיחה'!$2:$76,73,0),0)</f>
        <v>0</v>
      </c>
      <c r="AK100" s="47">
        <f>+IFERROR(HLOOKUP(AK32,'סקרי נכסים-יתרות פתיחה'!$2:$76,73,0),0)</f>
        <v>0</v>
      </c>
      <c r="AL100" s="47">
        <f>+IFERROR(HLOOKUP(AL32,'סקרי נכסים-יתרות פתיחה'!$2:$76,73,0),0)</f>
        <v>0</v>
      </c>
      <c r="AM100" s="47">
        <f>+IFERROR(HLOOKUP(AM32,'סקרי נכסים-יתרות פתיחה'!$2:$76,73,0),0)</f>
        <v>0</v>
      </c>
      <c r="AN100" s="47">
        <f>+IFERROR(HLOOKUP(AN32,'סקרי נכסים-יתרות פתיחה'!$2:$76,73,0),0)</f>
        <v>0</v>
      </c>
      <c r="AO100" s="47">
        <f>+IFERROR(HLOOKUP(AO32,'סקרי נכסים-יתרות פתיחה'!$2:$76,73,0),0)</f>
        <v>0</v>
      </c>
      <c r="AP100" s="47">
        <f>+IFERROR(HLOOKUP(AP32,'סקרי נכסים-יתרות פתיחה'!$2:$76,73,0),0)</f>
        <v>0</v>
      </c>
      <c r="AQ100" s="47">
        <f>+IFERROR(HLOOKUP(AQ32,'סקרי נכסים-יתרות פתיחה'!$2:$76,73,0),0)</f>
        <v>0</v>
      </c>
      <c r="AR100" s="47">
        <f>+IFERROR(HLOOKUP(AR32,'סקרי נכסים-יתרות פתיחה'!$2:$76,73,0),0)</f>
        <v>0</v>
      </c>
      <c r="AS100" s="47">
        <f>+IFERROR(HLOOKUP(AS32,'סקרי נכסים-יתרות פתיחה'!$2:$76,73,0),0)</f>
        <v>0</v>
      </c>
      <c r="AT100" s="47">
        <f>+IFERROR(HLOOKUP(AT32,'סקרי נכסים-יתרות פתיחה'!$2:$76,73,0),0)</f>
        <v>0</v>
      </c>
      <c r="AU100" s="47">
        <f>+IFERROR(HLOOKUP(AU32,'סקרי נכסים-יתרות פתיחה'!$2:$76,73,0),0)</f>
        <v>0</v>
      </c>
      <c r="AV100" s="47">
        <f>+IFERROR(HLOOKUP(AV32,'סקרי נכסים-יתרות פתיחה'!$2:$76,73,0),0)</f>
        <v>0</v>
      </c>
      <c r="AW100" s="47">
        <f>+IFERROR(HLOOKUP(AW32,'סקרי נכסים-יתרות פתיחה'!$2:$76,73,0),0)</f>
        <v>0</v>
      </c>
      <c r="AX100" s="47">
        <f>+IFERROR(HLOOKUP(AX32,'סקרי נכסים-יתרות פתיחה'!$2:$76,73,0),0)</f>
        <v>0</v>
      </c>
      <c r="AY100" s="47">
        <f>+IFERROR(HLOOKUP(AY32,'סקרי נכסים-יתרות פתיחה'!$2:$76,73,0),0)</f>
        <v>0</v>
      </c>
      <c r="AZ100" s="47">
        <f>+IFERROR(HLOOKUP(AZ32,'סקרי נכסים-יתרות פתיחה'!$2:$76,73,0),0)</f>
        <v>0</v>
      </c>
      <c r="BA100" s="47">
        <f>+IFERROR(HLOOKUP(BA32,'סקרי נכסים-יתרות פתיחה'!$2:$76,73,0),0)</f>
        <v>0</v>
      </c>
      <c r="BB100" s="47">
        <f>+IFERROR(HLOOKUP(BB32,'סקרי נכסים-יתרות פתיחה'!$2:$76,73,0),0)</f>
        <v>0</v>
      </c>
      <c r="BC100" s="47">
        <f>+IFERROR(HLOOKUP(BC32,'סקרי נכסים-יתרות פתיחה'!$2:$76,73,0),0)</f>
        <v>0</v>
      </c>
      <c r="BD100" s="47">
        <f>+IFERROR(HLOOKUP(BD32,'סקרי נכסים-יתרות פתיחה'!$2:$76,73,0),0)</f>
        <v>0</v>
      </c>
      <c r="BE100" s="47">
        <f>+IFERROR(HLOOKUP(BE32,'סקרי נכסים-יתרות פתיחה'!$2:$76,73,0),0)</f>
        <v>0</v>
      </c>
      <c r="BF100" s="47">
        <f>+IFERROR(HLOOKUP(BF32,'סקרי נכסים-יתרות פתיחה'!$2:$76,73,0),0)</f>
        <v>0</v>
      </c>
    </row>
    <row r="101" spans="1:58" x14ac:dyDescent="0.2">
      <c r="B101" s="1">
        <v>26</v>
      </c>
      <c r="C101" s="47">
        <f>+IFERROR(HLOOKUP(C33,'סקרי נכסים-יתרות פתיחה'!$2:$76,73,0),0)</f>
        <v>0</v>
      </c>
      <c r="D101" s="47">
        <f>+IFERROR(HLOOKUP(D33,'סקרי נכסים-יתרות פתיחה'!$2:$76,73,0),0)</f>
        <v>0</v>
      </c>
      <c r="E101" s="47">
        <f>+IFERROR(HLOOKUP(E33,'סקרי נכסים-יתרות פתיחה'!$2:$76,73,0),0)</f>
        <v>0</v>
      </c>
      <c r="F101" s="47">
        <f>+IFERROR(HLOOKUP(F33,'סקרי נכסים-יתרות פתיחה'!$2:$76,73,0),0)</f>
        <v>0</v>
      </c>
      <c r="G101" s="47">
        <f>+IFERROR(HLOOKUP(G33,'סקרי נכסים-יתרות פתיחה'!$2:$76,73,0),0)</f>
        <v>0</v>
      </c>
      <c r="H101" s="47">
        <f>+IFERROR(HLOOKUP(H33,'סקרי נכסים-יתרות פתיחה'!$2:$76,73,0),0)</f>
        <v>0</v>
      </c>
      <c r="I101" s="47">
        <f>+IFERROR(HLOOKUP(I33,'סקרי נכסים-יתרות פתיחה'!$2:$76,73,0),0)</f>
        <v>0</v>
      </c>
      <c r="J101" s="47">
        <f>+IFERROR(HLOOKUP(J33,'סקרי נכסים-יתרות פתיחה'!$2:$76,73,0),0)</f>
        <v>0</v>
      </c>
      <c r="K101" s="47">
        <f>+IFERROR(HLOOKUP(K33,'סקרי נכסים-יתרות פתיחה'!$2:$76,73,0),0)</f>
        <v>0</v>
      </c>
      <c r="L101" s="47">
        <f>+IFERROR(HLOOKUP(L33,'סקרי נכסים-יתרות פתיחה'!$2:$76,73,0),0)</f>
        <v>0</v>
      </c>
      <c r="M101" s="47">
        <f>+IFERROR(HLOOKUP(M33,'סקרי נכסים-יתרות פתיחה'!$2:$76,73,0),0)</f>
        <v>0</v>
      </c>
      <c r="N101" s="47">
        <f>+IFERROR(HLOOKUP(N33,'סקרי נכסים-יתרות פתיחה'!$2:$76,73,0),0)</f>
        <v>0</v>
      </c>
      <c r="O101" s="47">
        <f>+IFERROR(HLOOKUP(O33,'סקרי נכסים-יתרות פתיחה'!$2:$76,73,0),0)</f>
        <v>0</v>
      </c>
      <c r="P101" s="47">
        <f>+IFERROR(HLOOKUP(P33,'סקרי נכסים-יתרות פתיחה'!$2:$76,73,0),0)</f>
        <v>0</v>
      </c>
      <c r="Q101" s="47">
        <f>+IFERROR(HLOOKUP(Q33,'סקרי נכסים-יתרות פתיחה'!$2:$76,73,0),0)</f>
        <v>0</v>
      </c>
      <c r="R101" s="47">
        <f>+IFERROR(HLOOKUP(R33,'סקרי נכסים-יתרות פתיחה'!$2:$76,73,0),0)</f>
        <v>0</v>
      </c>
      <c r="S101" s="47">
        <f>+IFERROR(HLOOKUP(S33,'סקרי נכסים-יתרות פתיחה'!$2:$76,73,0),0)</f>
        <v>0</v>
      </c>
      <c r="T101" s="47">
        <f>+IFERROR(HLOOKUP(T33,'סקרי נכסים-יתרות פתיחה'!$2:$76,73,0),0)</f>
        <v>0</v>
      </c>
      <c r="U101" s="47">
        <f>+IFERROR(HLOOKUP(U33,'סקרי נכסים-יתרות פתיחה'!$2:$76,73,0),0)</f>
        <v>0</v>
      </c>
      <c r="V101" s="47">
        <f>+IFERROR(HLOOKUP(V33,'סקרי נכסים-יתרות פתיחה'!$2:$76,73,0),0)</f>
        <v>0</v>
      </c>
      <c r="W101" s="47">
        <f>+IFERROR(HLOOKUP(W33,'סקרי נכסים-יתרות פתיחה'!$2:$76,73,0),0)</f>
        <v>0</v>
      </c>
      <c r="X101" s="47">
        <f>+IFERROR(HLOOKUP(X33,'סקרי נכסים-יתרות פתיחה'!$2:$76,73,0),0)</f>
        <v>0</v>
      </c>
      <c r="Y101" s="47">
        <f>+IFERROR(HLOOKUP(Y33,'סקרי נכסים-יתרות פתיחה'!$2:$76,73,0),0)</f>
        <v>0</v>
      </c>
      <c r="Z101" s="47">
        <f>+IFERROR(HLOOKUP(Z33,'סקרי נכסים-יתרות פתיחה'!$2:$76,73,0),0)</f>
        <v>0</v>
      </c>
      <c r="AA101" s="47">
        <f>+IFERROR(HLOOKUP(AA33,'סקרי נכסים-יתרות פתיחה'!$2:$76,73,0),0)</f>
        <v>0</v>
      </c>
      <c r="AB101" s="47">
        <f>+IFERROR(HLOOKUP(AB33,'סקרי נכסים-יתרות פתיחה'!$2:$76,73,0),0)</f>
        <v>0</v>
      </c>
      <c r="AC101" s="47">
        <f>+IFERROR(HLOOKUP(AC33,'סקרי נכסים-יתרות פתיחה'!$2:$76,73,0),0)</f>
        <v>0</v>
      </c>
      <c r="AD101" s="47">
        <f>+IFERROR(HLOOKUP(AD33,'סקרי נכסים-יתרות פתיחה'!$2:$76,73,0),0)</f>
        <v>0</v>
      </c>
      <c r="AE101" s="47">
        <f>+IFERROR(HLOOKUP(AE33,'סקרי נכסים-יתרות פתיחה'!$2:$76,73,0),0)</f>
        <v>0</v>
      </c>
      <c r="AF101" s="47">
        <f>+IFERROR(HLOOKUP(AF33,'סקרי נכסים-יתרות פתיחה'!$2:$76,73,0),0)</f>
        <v>0</v>
      </c>
      <c r="AG101" s="47">
        <f>+IFERROR(HLOOKUP(AG33,'סקרי נכסים-יתרות פתיחה'!$2:$76,73,0),0)</f>
        <v>0</v>
      </c>
      <c r="AH101" s="47">
        <f>+IFERROR(HLOOKUP(AH33,'סקרי נכסים-יתרות פתיחה'!$2:$76,73,0),0)</f>
        <v>0</v>
      </c>
      <c r="AI101" s="47">
        <f>+IFERROR(HLOOKUP(AI33,'סקרי נכסים-יתרות פתיחה'!$2:$76,73,0),0)</f>
        <v>0</v>
      </c>
      <c r="AJ101" s="47">
        <f>+IFERROR(HLOOKUP(AJ33,'סקרי נכסים-יתרות פתיחה'!$2:$76,73,0),0)</f>
        <v>0</v>
      </c>
      <c r="AK101" s="47">
        <f>+IFERROR(HLOOKUP(AK33,'סקרי נכסים-יתרות פתיחה'!$2:$76,73,0),0)</f>
        <v>0</v>
      </c>
      <c r="AL101" s="47">
        <f>+IFERROR(HLOOKUP(AL33,'סקרי נכסים-יתרות פתיחה'!$2:$76,73,0),0)</f>
        <v>0</v>
      </c>
      <c r="AM101" s="47">
        <f>+IFERROR(HLOOKUP(AM33,'סקרי נכסים-יתרות פתיחה'!$2:$76,73,0),0)</f>
        <v>0</v>
      </c>
      <c r="AN101" s="47">
        <f>+IFERROR(HLOOKUP(AN33,'סקרי נכסים-יתרות פתיחה'!$2:$76,73,0),0)</f>
        <v>0</v>
      </c>
      <c r="AO101" s="47">
        <f>+IFERROR(HLOOKUP(AO33,'סקרי נכסים-יתרות פתיחה'!$2:$76,73,0),0)</f>
        <v>0</v>
      </c>
      <c r="AP101" s="47">
        <f>+IFERROR(HLOOKUP(AP33,'סקרי נכסים-יתרות פתיחה'!$2:$76,73,0),0)</f>
        <v>0</v>
      </c>
      <c r="AQ101" s="47">
        <f>+IFERROR(HLOOKUP(AQ33,'סקרי נכסים-יתרות פתיחה'!$2:$76,73,0),0)</f>
        <v>0</v>
      </c>
      <c r="AR101" s="47">
        <f>+IFERROR(HLOOKUP(AR33,'סקרי נכסים-יתרות פתיחה'!$2:$76,73,0),0)</f>
        <v>0</v>
      </c>
      <c r="AS101" s="47">
        <f>+IFERROR(HLOOKUP(AS33,'סקרי נכסים-יתרות פתיחה'!$2:$76,73,0),0)</f>
        <v>0</v>
      </c>
      <c r="AT101" s="47">
        <f>+IFERROR(HLOOKUP(AT33,'סקרי נכסים-יתרות פתיחה'!$2:$76,73,0),0)</f>
        <v>0</v>
      </c>
      <c r="AU101" s="47">
        <f>+IFERROR(HLOOKUP(AU33,'סקרי נכסים-יתרות פתיחה'!$2:$76,73,0),0)</f>
        <v>0</v>
      </c>
      <c r="AV101" s="47">
        <f>+IFERROR(HLOOKUP(AV33,'סקרי נכסים-יתרות פתיחה'!$2:$76,73,0),0)</f>
        <v>0</v>
      </c>
      <c r="AW101" s="47">
        <f>+IFERROR(HLOOKUP(AW33,'סקרי נכסים-יתרות פתיחה'!$2:$76,73,0),0)</f>
        <v>0</v>
      </c>
      <c r="AX101" s="47">
        <f>+IFERROR(HLOOKUP(AX33,'סקרי נכסים-יתרות פתיחה'!$2:$76,73,0),0)</f>
        <v>0</v>
      </c>
      <c r="AY101" s="47">
        <f>+IFERROR(HLOOKUP(AY33,'סקרי נכסים-יתרות פתיחה'!$2:$76,73,0),0)</f>
        <v>0</v>
      </c>
      <c r="AZ101" s="47">
        <f>+IFERROR(HLOOKUP(AZ33,'סקרי נכסים-יתרות פתיחה'!$2:$76,73,0),0)</f>
        <v>0</v>
      </c>
      <c r="BA101" s="47">
        <f>+IFERROR(HLOOKUP(BA33,'סקרי נכסים-יתרות פתיחה'!$2:$76,73,0),0)</f>
        <v>0</v>
      </c>
      <c r="BB101" s="47">
        <f>+IFERROR(HLOOKUP(BB33,'סקרי נכסים-יתרות פתיחה'!$2:$76,73,0),0)</f>
        <v>0</v>
      </c>
      <c r="BC101" s="47">
        <f>+IFERROR(HLOOKUP(BC33,'סקרי נכסים-יתרות פתיחה'!$2:$76,73,0),0)</f>
        <v>0</v>
      </c>
      <c r="BD101" s="47">
        <f>+IFERROR(HLOOKUP(BD33,'סקרי נכסים-יתרות פתיחה'!$2:$76,73,0),0)</f>
        <v>0</v>
      </c>
      <c r="BE101" s="47">
        <f>+IFERROR(HLOOKUP(BE33,'סקרי נכסים-יתרות פתיחה'!$2:$76,73,0),0)</f>
        <v>0</v>
      </c>
      <c r="BF101" s="47">
        <f>+IFERROR(HLOOKUP(BF33,'סקרי נכסים-יתרות פתיחה'!$2:$76,73,0),0)</f>
        <v>0</v>
      </c>
    </row>
    <row r="102" spans="1:58" x14ac:dyDescent="0.2">
      <c r="B102" s="1">
        <v>27</v>
      </c>
      <c r="C102" s="47">
        <f>+IFERROR(HLOOKUP(C34,'סקרי נכסים-יתרות פתיחה'!$2:$76,73,0),0)</f>
        <v>0</v>
      </c>
      <c r="D102" s="47">
        <f>+IFERROR(HLOOKUP(D34,'סקרי נכסים-יתרות פתיחה'!$2:$76,73,0),0)</f>
        <v>0</v>
      </c>
      <c r="E102" s="47">
        <f>+IFERROR(HLOOKUP(E34,'סקרי נכסים-יתרות פתיחה'!$2:$76,73,0),0)</f>
        <v>0</v>
      </c>
      <c r="F102" s="47">
        <f>+IFERROR(HLOOKUP(F34,'סקרי נכסים-יתרות פתיחה'!$2:$76,73,0),0)</f>
        <v>0</v>
      </c>
      <c r="G102" s="47">
        <f>+IFERROR(HLOOKUP(G34,'סקרי נכסים-יתרות פתיחה'!$2:$76,73,0),0)</f>
        <v>0</v>
      </c>
      <c r="H102" s="47">
        <f>+IFERROR(HLOOKUP(H34,'סקרי נכסים-יתרות פתיחה'!$2:$76,73,0),0)</f>
        <v>0</v>
      </c>
      <c r="I102" s="47">
        <f>+IFERROR(HLOOKUP(I34,'סקרי נכסים-יתרות פתיחה'!$2:$76,73,0),0)</f>
        <v>0</v>
      </c>
      <c r="J102" s="47">
        <f>+IFERROR(HLOOKUP(J34,'סקרי נכסים-יתרות פתיחה'!$2:$76,73,0),0)</f>
        <v>0</v>
      </c>
      <c r="K102" s="47">
        <f>+IFERROR(HLOOKUP(K34,'סקרי נכסים-יתרות פתיחה'!$2:$76,73,0),0)</f>
        <v>0</v>
      </c>
      <c r="L102" s="47">
        <f>+IFERROR(HLOOKUP(L34,'סקרי נכסים-יתרות פתיחה'!$2:$76,73,0),0)</f>
        <v>0</v>
      </c>
      <c r="M102" s="47">
        <f>+IFERROR(HLOOKUP(M34,'סקרי נכסים-יתרות פתיחה'!$2:$76,73,0),0)</f>
        <v>0</v>
      </c>
      <c r="N102" s="47">
        <f>+IFERROR(HLOOKUP(N34,'סקרי נכסים-יתרות פתיחה'!$2:$76,73,0),0)</f>
        <v>0</v>
      </c>
      <c r="O102" s="47">
        <f>+IFERROR(HLOOKUP(O34,'סקרי נכסים-יתרות פתיחה'!$2:$76,73,0),0)</f>
        <v>0</v>
      </c>
      <c r="P102" s="47">
        <f>+IFERROR(HLOOKUP(P34,'סקרי נכסים-יתרות פתיחה'!$2:$76,73,0),0)</f>
        <v>0</v>
      </c>
      <c r="Q102" s="47">
        <f>+IFERROR(HLOOKUP(Q34,'סקרי נכסים-יתרות פתיחה'!$2:$76,73,0),0)</f>
        <v>0</v>
      </c>
      <c r="R102" s="47">
        <f>+IFERROR(HLOOKUP(R34,'סקרי נכסים-יתרות פתיחה'!$2:$76,73,0),0)</f>
        <v>0</v>
      </c>
      <c r="S102" s="47">
        <f>+IFERROR(HLOOKUP(S34,'סקרי נכסים-יתרות פתיחה'!$2:$76,73,0),0)</f>
        <v>0</v>
      </c>
      <c r="T102" s="47">
        <f>+IFERROR(HLOOKUP(T34,'סקרי נכסים-יתרות פתיחה'!$2:$76,73,0),0)</f>
        <v>0</v>
      </c>
      <c r="U102" s="47">
        <f>+IFERROR(HLOOKUP(U34,'סקרי נכסים-יתרות פתיחה'!$2:$76,73,0),0)</f>
        <v>0</v>
      </c>
      <c r="V102" s="47">
        <f>+IFERROR(HLOOKUP(V34,'סקרי נכסים-יתרות פתיחה'!$2:$76,73,0),0)</f>
        <v>0</v>
      </c>
      <c r="W102" s="47">
        <f>+IFERROR(HLOOKUP(W34,'סקרי נכסים-יתרות פתיחה'!$2:$76,73,0),0)</f>
        <v>0</v>
      </c>
      <c r="X102" s="47">
        <f>+IFERROR(HLOOKUP(X34,'סקרי נכסים-יתרות פתיחה'!$2:$76,73,0),0)</f>
        <v>0</v>
      </c>
      <c r="Y102" s="47">
        <f>+IFERROR(HLOOKUP(Y34,'סקרי נכסים-יתרות פתיחה'!$2:$76,73,0),0)</f>
        <v>0</v>
      </c>
      <c r="Z102" s="47">
        <f>+IFERROR(HLOOKUP(Z34,'סקרי נכסים-יתרות פתיחה'!$2:$76,73,0),0)</f>
        <v>0</v>
      </c>
      <c r="AA102" s="47">
        <f>+IFERROR(HLOOKUP(AA34,'סקרי נכסים-יתרות פתיחה'!$2:$76,73,0),0)</f>
        <v>0</v>
      </c>
      <c r="AB102" s="47">
        <f>+IFERROR(HLOOKUP(AB34,'סקרי נכסים-יתרות פתיחה'!$2:$76,73,0),0)</f>
        <v>0</v>
      </c>
      <c r="AC102" s="47">
        <f>+IFERROR(HLOOKUP(AC34,'סקרי נכסים-יתרות פתיחה'!$2:$76,73,0),0)</f>
        <v>0</v>
      </c>
      <c r="AD102" s="47">
        <f>+IFERROR(HLOOKUP(AD34,'סקרי נכסים-יתרות פתיחה'!$2:$76,73,0),0)</f>
        <v>0</v>
      </c>
      <c r="AE102" s="47">
        <f>+IFERROR(HLOOKUP(AE34,'סקרי נכסים-יתרות פתיחה'!$2:$76,73,0),0)</f>
        <v>0</v>
      </c>
      <c r="AF102" s="47">
        <f>+IFERROR(HLOOKUP(AF34,'סקרי נכסים-יתרות פתיחה'!$2:$76,73,0),0)</f>
        <v>0</v>
      </c>
      <c r="AG102" s="47">
        <f>+IFERROR(HLOOKUP(AG34,'סקרי נכסים-יתרות פתיחה'!$2:$76,73,0),0)</f>
        <v>0</v>
      </c>
      <c r="AH102" s="47">
        <f>+IFERROR(HLOOKUP(AH34,'סקרי נכסים-יתרות פתיחה'!$2:$76,73,0),0)</f>
        <v>0</v>
      </c>
      <c r="AI102" s="47">
        <f>+IFERROR(HLOOKUP(AI34,'סקרי נכסים-יתרות פתיחה'!$2:$76,73,0),0)</f>
        <v>0</v>
      </c>
      <c r="AJ102" s="47">
        <f>+IFERROR(HLOOKUP(AJ34,'סקרי נכסים-יתרות פתיחה'!$2:$76,73,0),0)</f>
        <v>0</v>
      </c>
      <c r="AK102" s="47">
        <f>+IFERROR(HLOOKUP(AK34,'סקרי נכסים-יתרות פתיחה'!$2:$76,73,0),0)</f>
        <v>0</v>
      </c>
      <c r="AL102" s="47">
        <f>+IFERROR(HLOOKUP(AL34,'סקרי נכסים-יתרות פתיחה'!$2:$76,73,0),0)</f>
        <v>0</v>
      </c>
      <c r="AM102" s="47">
        <f>+IFERROR(HLOOKUP(AM34,'סקרי נכסים-יתרות פתיחה'!$2:$76,73,0),0)</f>
        <v>0</v>
      </c>
      <c r="AN102" s="47">
        <f>+IFERROR(HLOOKUP(AN34,'סקרי נכסים-יתרות פתיחה'!$2:$76,73,0),0)</f>
        <v>0</v>
      </c>
      <c r="AO102" s="47">
        <f>+IFERROR(HLOOKUP(AO34,'סקרי נכסים-יתרות פתיחה'!$2:$76,73,0),0)</f>
        <v>0</v>
      </c>
      <c r="AP102" s="47">
        <f>+IFERROR(HLOOKUP(AP34,'סקרי נכסים-יתרות פתיחה'!$2:$76,73,0),0)</f>
        <v>0</v>
      </c>
      <c r="AQ102" s="47">
        <f>+IFERROR(HLOOKUP(AQ34,'סקרי נכסים-יתרות פתיחה'!$2:$76,73,0),0)</f>
        <v>0</v>
      </c>
      <c r="AR102" s="47">
        <f>+IFERROR(HLOOKUP(AR34,'סקרי נכסים-יתרות פתיחה'!$2:$76,73,0),0)</f>
        <v>0</v>
      </c>
      <c r="AS102" s="47">
        <f>+IFERROR(HLOOKUP(AS34,'סקרי נכסים-יתרות פתיחה'!$2:$76,73,0),0)</f>
        <v>0</v>
      </c>
      <c r="AT102" s="47">
        <f>+IFERROR(HLOOKUP(AT34,'סקרי נכסים-יתרות פתיחה'!$2:$76,73,0),0)</f>
        <v>0</v>
      </c>
      <c r="AU102" s="47">
        <f>+IFERROR(HLOOKUP(AU34,'סקרי נכסים-יתרות פתיחה'!$2:$76,73,0),0)</f>
        <v>0</v>
      </c>
      <c r="AV102" s="47">
        <f>+IFERROR(HLOOKUP(AV34,'סקרי נכסים-יתרות פתיחה'!$2:$76,73,0),0)</f>
        <v>0</v>
      </c>
      <c r="AW102" s="47">
        <f>+IFERROR(HLOOKUP(AW34,'סקרי נכסים-יתרות פתיחה'!$2:$76,73,0),0)</f>
        <v>0</v>
      </c>
      <c r="AX102" s="47">
        <f>+IFERROR(HLOOKUP(AX34,'סקרי נכסים-יתרות פתיחה'!$2:$76,73,0),0)</f>
        <v>0</v>
      </c>
      <c r="AY102" s="47">
        <f>+IFERROR(HLOOKUP(AY34,'סקרי נכסים-יתרות פתיחה'!$2:$76,73,0),0)</f>
        <v>0</v>
      </c>
      <c r="AZ102" s="47">
        <f>+IFERROR(HLOOKUP(AZ34,'סקרי נכסים-יתרות פתיחה'!$2:$76,73,0),0)</f>
        <v>0</v>
      </c>
      <c r="BA102" s="47">
        <f>+IFERROR(HLOOKUP(BA34,'סקרי נכסים-יתרות פתיחה'!$2:$76,73,0),0)</f>
        <v>0</v>
      </c>
      <c r="BB102" s="47">
        <f>+IFERROR(HLOOKUP(BB34,'סקרי נכסים-יתרות פתיחה'!$2:$76,73,0),0)</f>
        <v>0</v>
      </c>
      <c r="BC102" s="47">
        <f>+IFERROR(HLOOKUP(BC34,'סקרי נכסים-יתרות פתיחה'!$2:$76,73,0),0)</f>
        <v>0</v>
      </c>
      <c r="BD102" s="47">
        <f>+IFERROR(HLOOKUP(BD34,'סקרי נכסים-יתרות פתיחה'!$2:$76,73,0),0)</f>
        <v>0</v>
      </c>
      <c r="BE102" s="47">
        <f>+IFERROR(HLOOKUP(BE34,'סקרי נכסים-יתרות פתיחה'!$2:$76,73,0),0)</f>
        <v>0</v>
      </c>
      <c r="BF102" s="47">
        <f>+IFERROR(HLOOKUP(BF34,'סקרי נכסים-יתרות פתיחה'!$2:$76,73,0),0)</f>
        <v>0</v>
      </c>
    </row>
    <row r="103" spans="1:58" x14ac:dyDescent="0.2">
      <c r="B103" s="1">
        <v>28</v>
      </c>
      <c r="C103" s="47">
        <f>+IFERROR(HLOOKUP(C35,'סקרי נכסים-יתרות פתיחה'!$2:$76,73,0),0)</f>
        <v>0</v>
      </c>
      <c r="D103" s="47">
        <f>+IFERROR(HLOOKUP(D35,'סקרי נכסים-יתרות פתיחה'!$2:$76,73,0),0)</f>
        <v>0</v>
      </c>
      <c r="E103" s="47">
        <f>+IFERROR(HLOOKUP(E35,'סקרי נכסים-יתרות פתיחה'!$2:$76,73,0),0)</f>
        <v>0</v>
      </c>
      <c r="F103" s="47">
        <f>+IFERROR(HLOOKUP(F35,'סקרי נכסים-יתרות פתיחה'!$2:$76,73,0),0)</f>
        <v>0</v>
      </c>
      <c r="G103" s="47">
        <f>+IFERROR(HLOOKUP(G35,'סקרי נכסים-יתרות פתיחה'!$2:$76,73,0),0)</f>
        <v>0</v>
      </c>
      <c r="H103" s="47">
        <f>+IFERROR(HLOOKUP(H35,'סקרי נכסים-יתרות פתיחה'!$2:$76,73,0),0)</f>
        <v>0</v>
      </c>
      <c r="I103" s="47">
        <f>+IFERROR(HLOOKUP(I35,'סקרי נכסים-יתרות פתיחה'!$2:$76,73,0),0)</f>
        <v>0</v>
      </c>
      <c r="J103" s="47">
        <f>+IFERROR(HLOOKUP(J35,'סקרי נכסים-יתרות פתיחה'!$2:$76,73,0),0)</f>
        <v>0</v>
      </c>
      <c r="K103" s="47">
        <f>+IFERROR(HLOOKUP(K35,'סקרי נכסים-יתרות פתיחה'!$2:$76,73,0),0)</f>
        <v>0</v>
      </c>
      <c r="L103" s="47">
        <f>+IFERROR(HLOOKUP(L35,'סקרי נכסים-יתרות פתיחה'!$2:$76,73,0),0)</f>
        <v>0</v>
      </c>
      <c r="M103" s="47">
        <f>+IFERROR(HLOOKUP(M35,'סקרי נכסים-יתרות פתיחה'!$2:$76,73,0),0)</f>
        <v>0</v>
      </c>
      <c r="N103" s="47">
        <f>+IFERROR(HLOOKUP(N35,'סקרי נכסים-יתרות פתיחה'!$2:$76,73,0),0)</f>
        <v>0</v>
      </c>
      <c r="O103" s="47">
        <f>+IFERROR(HLOOKUP(O35,'סקרי נכסים-יתרות פתיחה'!$2:$76,73,0),0)</f>
        <v>0</v>
      </c>
      <c r="P103" s="47">
        <f>+IFERROR(HLOOKUP(P35,'סקרי נכסים-יתרות פתיחה'!$2:$76,73,0),0)</f>
        <v>0</v>
      </c>
      <c r="Q103" s="47">
        <f>+IFERROR(HLOOKUP(Q35,'סקרי נכסים-יתרות פתיחה'!$2:$76,73,0),0)</f>
        <v>0</v>
      </c>
      <c r="R103" s="47">
        <f>+IFERROR(HLOOKUP(R35,'סקרי נכסים-יתרות פתיחה'!$2:$76,73,0),0)</f>
        <v>0</v>
      </c>
      <c r="S103" s="47">
        <f>+IFERROR(HLOOKUP(S35,'סקרי נכסים-יתרות פתיחה'!$2:$76,73,0),0)</f>
        <v>0</v>
      </c>
      <c r="T103" s="47">
        <f>+IFERROR(HLOOKUP(T35,'סקרי נכסים-יתרות פתיחה'!$2:$76,73,0),0)</f>
        <v>0</v>
      </c>
      <c r="U103" s="47">
        <f>+IFERROR(HLOOKUP(U35,'סקרי נכסים-יתרות פתיחה'!$2:$76,73,0),0)</f>
        <v>0</v>
      </c>
      <c r="V103" s="47">
        <f>+IFERROR(HLOOKUP(V35,'סקרי נכסים-יתרות פתיחה'!$2:$76,73,0),0)</f>
        <v>0</v>
      </c>
      <c r="W103" s="47">
        <f>+IFERROR(HLOOKUP(W35,'סקרי נכסים-יתרות פתיחה'!$2:$76,73,0),0)</f>
        <v>0</v>
      </c>
      <c r="X103" s="47">
        <f>+IFERROR(HLOOKUP(X35,'סקרי נכסים-יתרות פתיחה'!$2:$76,73,0),0)</f>
        <v>0</v>
      </c>
      <c r="Y103" s="47">
        <f>+IFERROR(HLOOKUP(Y35,'סקרי נכסים-יתרות פתיחה'!$2:$76,73,0),0)</f>
        <v>0</v>
      </c>
      <c r="Z103" s="47">
        <f>+IFERROR(HLOOKUP(Z35,'סקרי נכסים-יתרות פתיחה'!$2:$76,73,0),0)</f>
        <v>0</v>
      </c>
      <c r="AA103" s="47">
        <f>+IFERROR(HLOOKUP(AA35,'סקרי נכסים-יתרות פתיחה'!$2:$76,73,0),0)</f>
        <v>0</v>
      </c>
      <c r="AB103" s="47">
        <f>+IFERROR(HLOOKUP(AB35,'סקרי נכסים-יתרות פתיחה'!$2:$76,73,0),0)</f>
        <v>0</v>
      </c>
      <c r="AC103" s="47">
        <f>+IFERROR(HLOOKUP(AC35,'סקרי נכסים-יתרות פתיחה'!$2:$76,73,0),0)</f>
        <v>0</v>
      </c>
      <c r="AD103" s="47">
        <f>+IFERROR(HLOOKUP(AD35,'סקרי נכסים-יתרות פתיחה'!$2:$76,73,0),0)</f>
        <v>0</v>
      </c>
      <c r="AE103" s="47">
        <f>+IFERROR(HLOOKUP(AE35,'סקרי נכסים-יתרות פתיחה'!$2:$76,73,0),0)</f>
        <v>0</v>
      </c>
      <c r="AF103" s="47">
        <f>+IFERROR(HLOOKUP(AF35,'סקרי נכסים-יתרות פתיחה'!$2:$76,73,0),0)</f>
        <v>0</v>
      </c>
      <c r="AG103" s="47">
        <f>+IFERROR(HLOOKUP(AG35,'סקרי נכסים-יתרות פתיחה'!$2:$76,73,0),0)</f>
        <v>0</v>
      </c>
      <c r="AH103" s="47">
        <f>+IFERROR(HLOOKUP(AH35,'סקרי נכסים-יתרות פתיחה'!$2:$76,73,0),0)</f>
        <v>0</v>
      </c>
      <c r="AI103" s="47">
        <f>+IFERROR(HLOOKUP(AI35,'סקרי נכסים-יתרות פתיחה'!$2:$76,73,0),0)</f>
        <v>0</v>
      </c>
      <c r="AJ103" s="47">
        <f>+IFERROR(HLOOKUP(AJ35,'סקרי נכסים-יתרות פתיחה'!$2:$76,73,0),0)</f>
        <v>0</v>
      </c>
      <c r="AK103" s="47">
        <f>+IFERROR(HLOOKUP(AK35,'סקרי נכסים-יתרות פתיחה'!$2:$76,73,0),0)</f>
        <v>0</v>
      </c>
      <c r="AL103" s="47">
        <f>+IFERROR(HLOOKUP(AL35,'סקרי נכסים-יתרות פתיחה'!$2:$76,73,0),0)</f>
        <v>0</v>
      </c>
      <c r="AM103" s="47">
        <f>+IFERROR(HLOOKUP(AM35,'סקרי נכסים-יתרות פתיחה'!$2:$76,73,0),0)</f>
        <v>0</v>
      </c>
      <c r="AN103" s="47">
        <f>+IFERROR(HLOOKUP(AN35,'סקרי נכסים-יתרות פתיחה'!$2:$76,73,0),0)</f>
        <v>0</v>
      </c>
      <c r="AO103" s="47">
        <f>+IFERROR(HLOOKUP(AO35,'סקרי נכסים-יתרות פתיחה'!$2:$76,73,0),0)</f>
        <v>0</v>
      </c>
      <c r="AP103" s="47">
        <f>+IFERROR(HLOOKUP(AP35,'סקרי נכסים-יתרות פתיחה'!$2:$76,73,0),0)</f>
        <v>0</v>
      </c>
      <c r="AQ103" s="47">
        <f>+IFERROR(HLOOKUP(AQ35,'סקרי נכסים-יתרות פתיחה'!$2:$76,73,0),0)</f>
        <v>0</v>
      </c>
      <c r="AR103" s="47">
        <f>+IFERROR(HLOOKUP(AR35,'סקרי נכסים-יתרות פתיחה'!$2:$76,73,0),0)</f>
        <v>0</v>
      </c>
      <c r="AS103" s="47">
        <f>+IFERROR(HLOOKUP(AS35,'סקרי נכסים-יתרות פתיחה'!$2:$76,73,0),0)</f>
        <v>0</v>
      </c>
      <c r="AT103" s="47">
        <f>+IFERROR(HLOOKUP(AT35,'סקרי נכסים-יתרות פתיחה'!$2:$76,73,0),0)</f>
        <v>0</v>
      </c>
      <c r="AU103" s="47">
        <f>+IFERROR(HLOOKUP(AU35,'סקרי נכסים-יתרות פתיחה'!$2:$76,73,0),0)</f>
        <v>0</v>
      </c>
      <c r="AV103" s="47">
        <f>+IFERROR(HLOOKUP(AV35,'סקרי נכסים-יתרות פתיחה'!$2:$76,73,0),0)</f>
        <v>0</v>
      </c>
      <c r="AW103" s="47">
        <f>+IFERROR(HLOOKUP(AW35,'סקרי נכסים-יתרות פתיחה'!$2:$76,73,0),0)</f>
        <v>0</v>
      </c>
      <c r="AX103" s="47">
        <f>+IFERROR(HLOOKUP(AX35,'סקרי נכסים-יתרות פתיחה'!$2:$76,73,0),0)</f>
        <v>0</v>
      </c>
      <c r="AY103" s="47">
        <f>+IFERROR(HLOOKUP(AY35,'סקרי נכסים-יתרות פתיחה'!$2:$76,73,0),0)</f>
        <v>0</v>
      </c>
      <c r="AZ103" s="47">
        <f>+IFERROR(HLOOKUP(AZ35,'סקרי נכסים-יתרות פתיחה'!$2:$76,73,0),0)</f>
        <v>0</v>
      </c>
      <c r="BA103" s="47">
        <f>+IFERROR(HLOOKUP(BA35,'סקרי נכסים-יתרות פתיחה'!$2:$76,73,0),0)</f>
        <v>0</v>
      </c>
      <c r="BB103" s="47">
        <f>+IFERROR(HLOOKUP(BB35,'סקרי נכסים-יתרות פתיחה'!$2:$76,73,0),0)</f>
        <v>0</v>
      </c>
      <c r="BC103" s="47">
        <f>+IFERROR(HLOOKUP(BC35,'סקרי נכסים-יתרות פתיחה'!$2:$76,73,0),0)</f>
        <v>0</v>
      </c>
      <c r="BD103" s="47">
        <f>+IFERROR(HLOOKUP(BD35,'סקרי נכסים-יתרות פתיחה'!$2:$76,73,0),0)</f>
        <v>0</v>
      </c>
      <c r="BE103" s="47">
        <f>+IFERROR(HLOOKUP(BE35,'סקרי נכסים-יתרות פתיחה'!$2:$76,73,0),0)</f>
        <v>0</v>
      </c>
      <c r="BF103" s="47">
        <f>+IFERROR(HLOOKUP(BF35,'סקרי נכסים-יתרות פתיחה'!$2:$76,73,0),0)</f>
        <v>0</v>
      </c>
    </row>
    <row r="104" spans="1:58" x14ac:dyDescent="0.2">
      <c r="B104" s="1">
        <v>29</v>
      </c>
      <c r="C104" s="47">
        <f>+IFERROR(HLOOKUP(C36,'סקרי נכסים-יתרות פתיחה'!$2:$76,73,0),0)</f>
        <v>0</v>
      </c>
      <c r="D104" s="47">
        <f>+IFERROR(HLOOKUP(D36,'סקרי נכסים-יתרות פתיחה'!$2:$76,73,0),0)</f>
        <v>0</v>
      </c>
      <c r="E104" s="47">
        <f>+IFERROR(HLOOKUP(E36,'סקרי נכסים-יתרות פתיחה'!$2:$76,73,0),0)</f>
        <v>0</v>
      </c>
      <c r="F104" s="47">
        <f>+IFERROR(HLOOKUP(F36,'סקרי נכסים-יתרות פתיחה'!$2:$76,73,0),0)</f>
        <v>0</v>
      </c>
      <c r="G104" s="47">
        <f>+IFERROR(HLOOKUP(G36,'סקרי נכסים-יתרות פתיחה'!$2:$76,73,0),0)</f>
        <v>0</v>
      </c>
      <c r="H104" s="47">
        <f>+IFERROR(HLOOKUP(H36,'סקרי נכסים-יתרות פתיחה'!$2:$76,73,0),0)</f>
        <v>0</v>
      </c>
      <c r="I104" s="47">
        <f>+IFERROR(HLOOKUP(I36,'סקרי נכסים-יתרות פתיחה'!$2:$76,73,0),0)</f>
        <v>0</v>
      </c>
      <c r="J104" s="47">
        <f>+IFERROR(HLOOKUP(J36,'סקרי נכסים-יתרות פתיחה'!$2:$76,73,0),0)</f>
        <v>0</v>
      </c>
      <c r="K104" s="47">
        <f>+IFERROR(HLOOKUP(K36,'סקרי נכסים-יתרות פתיחה'!$2:$76,73,0),0)</f>
        <v>0</v>
      </c>
      <c r="L104" s="47">
        <f>+IFERROR(HLOOKUP(L36,'סקרי נכסים-יתרות פתיחה'!$2:$76,73,0),0)</f>
        <v>0</v>
      </c>
      <c r="M104" s="47">
        <f>+IFERROR(HLOOKUP(M36,'סקרי נכסים-יתרות פתיחה'!$2:$76,73,0),0)</f>
        <v>0</v>
      </c>
      <c r="N104" s="47">
        <f>+IFERROR(HLOOKUP(N36,'סקרי נכסים-יתרות פתיחה'!$2:$76,73,0),0)</f>
        <v>0</v>
      </c>
      <c r="O104" s="47">
        <f>+IFERROR(HLOOKUP(O36,'סקרי נכסים-יתרות פתיחה'!$2:$76,73,0),0)</f>
        <v>0</v>
      </c>
      <c r="P104" s="47">
        <f>+IFERROR(HLOOKUP(P36,'סקרי נכסים-יתרות פתיחה'!$2:$76,73,0),0)</f>
        <v>0</v>
      </c>
      <c r="Q104" s="47">
        <f>+IFERROR(HLOOKUP(Q36,'סקרי נכסים-יתרות פתיחה'!$2:$76,73,0),0)</f>
        <v>0</v>
      </c>
      <c r="R104" s="47">
        <f>+IFERROR(HLOOKUP(R36,'סקרי נכסים-יתרות פתיחה'!$2:$76,73,0),0)</f>
        <v>0</v>
      </c>
      <c r="S104" s="47">
        <f>+IFERROR(HLOOKUP(S36,'סקרי נכסים-יתרות פתיחה'!$2:$76,73,0),0)</f>
        <v>0</v>
      </c>
      <c r="T104" s="47">
        <f>+IFERROR(HLOOKUP(T36,'סקרי נכסים-יתרות פתיחה'!$2:$76,73,0),0)</f>
        <v>0</v>
      </c>
      <c r="U104" s="47">
        <f>+IFERROR(HLOOKUP(U36,'סקרי נכסים-יתרות פתיחה'!$2:$76,73,0),0)</f>
        <v>0</v>
      </c>
      <c r="V104" s="47">
        <f>+IFERROR(HLOOKUP(V36,'סקרי נכסים-יתרות פתיחה'!$2:$76,73,0),0)</f>
        <v>0</v>
      </c>
      <c r="W104" s="47">
        <f>+IFERROR(HLOOKUP(W36,'סקרי נכסים-יתרות פתיחה'!$2:$76,73,0),0)</f>
        <v>0</v>
      </c>
      <c r="X104" s="47">
        <f>+IFERROR(HLOOKUP(X36,'סקרי נכסים-יתרות פתיחה'!$2:$76,73,0),0)</f>
        <v>0</v>
      </c>
      <c r="Y104" s="47">
        <f>+IFERROR(HLOOKUP(Y36,'סקרי נכסים-יתרות פתיחה'!$2:$76,73,0),0)</f>
        <v>0</v>
      </c>
      <c r="Z104" s="47">
        <f>+IFERROR(HLOOKUP(Z36,'סקרי נכסים-יתרות פתיחה'!$2:$76,73,0),0)</f>
        <v>0</v>
      </c>
      <c r="AA104" s="47">
        <f>+IFERROR(HLOOKUP(AA36,'סקרי נכסים-יתרות פתיחה'!$2:$76,73,0),0)</f>
        <v>0</v>
      </c>
      <c r="AB104" s="47">
        <f>+IFERROR(HLOOKUP(AB36,'סקרי נכסים-יתרות פתיחה'!$2:$76,73,0),0)</f>
        <v>0</v>
      </c>
      <c r="AC104" s="47">
        <f>+IFERROR(HLOOKUP(AC36,'סקרי נכסים-יתרות פתיחה'!$2:$76,73,0),0)</f>
        <v>0</v>
      </c>
      <c r="AD104" s="47">
        <f>+IFERROR(HLOOKUP(AD36,'סקרי נכסים-יתרות פתיחה'!$2:$76,73,0),0)</f>
        <v>0</v>
      </c>
      <c r="AE104" s="47">
        <f>+IFERROR(HLOOKUP(AE36,'סקרי נכסים-יתרות פתיחה'!$2:$76,73,0),0)</f>
        <v>0</v>
      </c>
      <c r="AF104" s="47">
        <f>+IFERROR(HLOOKUP(AF36,'סקרי נכסים-יתרות פתיחה'!$2:$76,73,0),0)</f>
        <v>0</v>
      </c>
      <c r="AG104" s="47">
        <f>+IFERROR(HLOOKUP(AG36,'סקרי נכסים-יתרות פתיחה'!$2:$76,73,0),0)</f>
        <v>0</v>
      </c>
      <c r="AH104" s="47">
        <f>+IFERROR(HLOOKUP(AH36,'סקרי נכסים-יתרות פתיחה'!$2:$76,73,0),0)</f>
        <v>0</v>
      </c>
      <c r="AI104" s="47">
        <f>+IFERROR(HLOOKUP(AI36,'סקרי נכסים-יתרות פתיחה'!$2:$76,73,0),0)</f>
        <v>0</v>
      </c>
      <c r="AJ104" s="47">
        <f>+IFERROR(HLOOKUP(AJ36,'סקרי נכסים-יתרות פתיחה'!$2:$76,73,0),0)</f>
        <v>0</v>
      </c>
      <c r="AK104" s="47">
        <f>+IFERROR(HLOOKUP(AK36,'סקרי נכסים-יתרות פתיחה'!$2:$76,73,0),0)</f>
        <v>0</v>
      </c>
      <c r="AL104" s="47">
        <f>+IFERROR(HLOOKUP(AL36,'סקרי נכסים-יתרות פתיחה'!$2:$76,73,0),0)</f>
        <v>0</v>
      </c>
      <c r="AM104" s="47">
        <f>+IFERROR(HLOOKUP(AM36,'סקרי נכסים-יתרות פתיחה'!$2:$76,73,0),0)</f>
        <v>0</v>
      </c>
      <c r="AN104" s="47">
        <f>+IFERROR(HLOOKUP(AN36,'סקרי נכסים-יתרות פתיחה'!$2:$76,73,0),0)</f>
        <v>0</v>
      </c>
      <c r="AO104" s="47">
        <f>+IFERROR(HLOOKUP(AO36,'סקרי נכסים-יתרות פתיחה'!$2:$76,73,0),0)</f>
        <v>0</v>
      </c>
      <c r="AP104" s="47">
        <f>+IFERROR(HLOOKUP(AP36,'סקרי נכסים-יתרות פתיחה'!$2:$76,73,0),0)</f>
        <v>0</v>
      </c>
      <c r="AQ104" s="47">
        <f>+IFERROR(HLOOKUP(AQ36,'סקרי נכסים-יתרות פתיחה'!$2:$76,73,0),0)</f>
        <v>0</v>
      </c>
      <c r="AR104" s="47">
        <f>+IFERROR(HLOOKUP(AR36,'סקרי נכסים-יתרות פתיחה'!$2:$76,73,0),0)</f>
        <v>0</v>
      </c>
      <c r="AS104" s="47">
        <f>+IFERROR(HLOOKUP(AS36,'סקרי נכסים-יתרות פתיחה'!$2:$76,73,0),0)</f>
        <v>0</v>
      </c>
      <c r="AT104" s="47">
        <f>+IFERROR(HLOOKUP(AT36,'סקרי נכסים-יתרות פתיחה'!$2:$76,73,0),0)</f>
        <v>0</v>
      </c>
      <c r="AU104" s="47">
        <f>+IFERROR(HLOOKUP(AU36,'סקרי נכסים-יתרות פתיחה'!$2:$76,73,0),0)</f>
        <v>0</v>
      </c>
      <c r="AV104" s="47">
        <f>+IFERROR(HLOOKUP(AV36,'סקרי נכסים-יתרות פתיחה'!$2:$76,73,0),0)</f>
        <v>0</v>
      </c>
      <c r="AW104" s="47">
        <f>+IFERROR(HLOOKUP(AW36,'סקרי נכסים-יתרות פתיחה'!$2:$76,73,0),0)</f>
        <v>0</v>
      </c>
      <c r="AX104" s="47">
        <f>+IFERROR(HLOOKUP(AX36,'סקרי נכסים-יתרות פתיחה'!$2:$76,73,0),0)</f>
        <v>0</v>
      </c>
      <c r="AY104" s="47">
        <f>+IFERROR(HLOOKUP(AY36,'סקרי נכסים-יתרות פתיחה'!$2:$76,73,0),0)</f>
        <v>0</v>
      </c>
      <c r="AZ104" s="47">
        <f>+IFERROR(HLOOKUP(AZ36,'סקרי נכסים-יתרות פתיחה'!$2:$76,73,0),0)</f>
        <v>0</v>
      </c>
      <c r="BA104" s="47">
        <f>+IFERROR(HLOOKUP(BA36,'סקרי נכסים-יתרות פתיחה'!$2:$76,73,0),0)</f>
        <v>0</v>
      </c>
      <c r="BB104" s="47">
        <f>+IFERROR(HLOOKUP(BB36,'סקרי נכסים-יתרות פתיחה'!$2:$76,73,0),0)</f>
        <v>0</v>
      </c>
      <c r="BC104" s="47">
        <f>+IFERROR(HLOOKUP(BC36,'סקרי נכסים-יתרות פתיחה'!$2:$76,73,0),0)</f>
        <v>0</v>
      </c>
      <c r="BD104" s="47">
        <f>+IFERROR(HLOOKUP(BD36,'סקרי נכסים-יתרות פתיחה'!$2:$76,73,0),0)</f>
        <v>0</v>
      </c>
      <c r="BE104" s="47">
        <f>+IFERROR(HLOOKUP(BE36,'סקרי נכסים-יתרות פתיחה'!$2:$76,73,0),0)</f>
        <v>0</v>
      </c>
      <c r="BF104" s="47">
        <f>+IFERROR(HLOOKUP(BF36,'סקרי נכסים-יתרות פתיחה'!$2:$76,73,0),0)</f>
        <v>0</v>
      </c>
    </row>
    <row r="105" spans="1:58" x14ac:dyDescent="0.2">
      <c r="B105" s="1">
        <v>30</v>
      </c>
      <c r="C105" s="47">
        <f>+IFERROR(HLOOKUP(C37,'סקרי נכסים-יתרות פתיחה'!$2:$76,73,0),0)</f>
        <v>0</v>
      </c>
      <c r="D105" s="47">
        <f>+IFERROR(HLOOKUP(D37,'סקרי נכסים-יתרות פתיחה'!$2:$76,73,0),0)</f>
        <v>0</v>
      </c>
      <c r="E105" s="47">
        <f>+IFERROR(HLOOKUP(E37,'סקרי נכסים-יתרות פתיחה'!$2:$76,73,0),0)</f>
        <v>0</v>
      </c>
      <c r="F105" s="47">
        <f>+IFERROR(HLOOKUP(F37,'סקרי נכסים-יתרות פתיחה'!$2:$76,73,0),0)</f>
        <v>0</v>
      </c>
      <c r="G105" s="47">
        <f>+IFERROR(HLOOKUP(G37,'סקרי נכסים-יתרות פתיחה'!$2:$76,73,0),0)</f>
        <v>0</v>
      </c>
      <c r="H105" s="47">
        <f>+IFERROR(HLOOKUP(H37,'סקרי נכסים-יתרות פתיחה'!$2:$76,73,0),0)</f>
        <v>0</v>
      </c>
      <c r="I105" s="47">
        <f>+IFERROR(HLOOKUP(I37,'סקרי נכסים-יתרות פתיחה'!$2:$76,73,0),0)</f>
        <v>0</v>
      </c>
      <c r="J105" s="47">
        <f>+IFERROR(HLOOKUP(J37,'סקרי נכסים-יתרות פתיחה'!$2:$76,73,0),0)</f>
        <v>0</v>
      </c>
      <c r="K105" s="47">
        <f>+IFERROR(HLOOKUP(K37,'סקרי נכסים-יתרות פתיחה'!$2:$76,73,0),0)</f>
        <v>0</v>
      </c>
      <c r="L105" s="47">
        <f>+IFERROR(HLOOKUP(L37,'סקרי נכסים-יתרות פתיחה'!$2:$76,73,0),0)</f>
        <v>0</v>
      </c>
      <c r="M105" s="47">
        <f>+IFERROR(HLOOKUP(M37,'סקרי נכסים-יתרות פתיחה'!$2:$76,73,0),0)</f>
        <v>0</v>
      </c>
      <c r="N105" s="47">
        <f>+IFERROR(HLOOKUP(N37,'סקרי נכסים-יתרות פתיחה'!$2:$76,73,0),0)</f>
        <v>0</v>
      </c>
      <c r="O105" s="47">
        <f>+IFERROR(HLOOKUP(O37,'סקרי נכסים-יתרות פתיחה'!$2:$76,73,0),0)</f>
        <v>0</v>
      </c>
      <c r="P105" s="47">
        <f>+IFERROR(HLOOKUP(P37,'סקרי נכסים-יתרות פתיחה'!$2:$76,73,0),0)</f>
        <v>0</v>
      </c>
      <c r="Q105" s="47">
        <f>+IFERROR(HLOOKUP(Q37,'סקרי נכסים-יתרות פתיחה'!$2:$76,73,0),0)</f>
        <v>0</v>
      </c>
      <c r="R105" s="47">
        <f>+IFERROR(HLOOKUP(R37,'סקרי נכסים-יתרות פתיחה'!$2:$76,73,0),0)</f>
        <v>0</v>
      </c>
      <c r="S105" s="47">
        <f>+IFERROR(HLOOKUP(S37,'סקרי נכסים-יתרות פתיחה'!$2:$76,73,0),0)</f>
        <v>0</v>
      </c>
      <c r="T105" s="47">
        <f>+IFERROR(HLOOKUP(T37,'סקרי נכסים-יתרות פתיחה'!$2:$76,73,0),0)</f>
        <v>0</v>
      </c>
      <c r="U105" s="47">
        <f>+IFERROR(HLOOKUP(U37,'סקרי נכסים-יתרות פתיחה'!$2:$76,73,0),0)</f>
        <v>0</v>
      </c>
      <c r="V105" s="47">
        <f>+IFERROR(HLOOKUP(V37,'סקרי נכסים-יתרות פתיחה'!$2:$76,73,0),0)</f>
        <v>0</v>
      </c>
      <c r="W105" s="47">
        <f>+IFERROR(HLOOKUP(W37,'סקרי נכסים-יתרות פתיחה'!$2:$76,73,0),0)</f>
        <v>0</v>
      </c>
      <c r="X105" s="47">
        <f>+IFERROR(HLOOKUP(X37,'סקרי נכסים-יתרות פתיחה'!$2:$76,73,0),0)</f>
        <v>0</v>
      </c>
      <c r="Y105" s="47">
        <f>+IFERROR(HLOOKUP(Y37,'סקרי נכסים-יתרות פתיחה'!$2:$76,73,0),0)</f>
        <v>0</v>
      </c>
      <c r="Z105" s="47">
        <f>+IFERROR(HLOOKUP(Z37,'סקרי נכסים-יתרות פתיחה'!$2:$76,73,0),0)</f>
        <v>0</v>
      </c>
      <c r="AA105" s="47">
        <f>+IFERROR(HLOOKUP(AA37,'סקרי נכסים-יתרות פתיחה'!$2:$76,73,0),0)</f>
        <v>0</v>
      </c>
      <c r="AB105" s="47">
        <f>+IFERROR(HLOOKUP(AB37,'סקרי נכסים-יתרות פתיחה'!$2:$76,73,0),0)</f>
        <v>0</v>
      </c>
      <c r="AC105" s="47">
        <f>+IFERROR(HLOOKUP(AC37,'סקרי נכסים-יתרות פתיחה'!$2:$76,73,0),0)</f>
        <v>0</v>
      </c>
      <c r="AD105" s="47">
        <f>+IFERROR(HLOOKUP(AD37,'סקרי נכסים-יתרות פתיחה'!$2:$76,73,0),0)</f>
        <v>0</v>
      </c>
      <c r="AE105" s="47">
        <f>+IFERROR(HLOOKUP(AE37,'סקרי נכסים-יתרות פתיחה'!$2:$76,73,0),0)</f>
        <v>0</v>
      </c>
      <c r="AF105" s="47">
        <f>+IFERROR(HLOOKUP(AF37,'סקרי נכסים-יתרות פתיחה'!$2:$76,73,0),0)</f>
        <v>0</v>
      </c>
      <c r="AG105" s="47">
        <f>+IFERROR(HLOOKUP(AG37,'סקרי נכסים-יתרות פתיחה'!$2:$76,73,0),0)</f>
        <v>0</v>
      </c>
      <c r="AH105" s="47">
        <f>+IFERROR(HLOOKUP(AH37,'סקרי נכסים-יתרות פתיחה'!$2:$76,73,0),0)</f>
        <v>0</v>
      </c>
      <c r="AI105" s="47">
        <f>+IFERROR(HLOOKUP(AI37,'סקרי נכסים-יתרות פתיחה'!$2:$76,73,0),0)</f>
        <v>0</v>
      </c>
      <c r="AJ105" s="47">
        <f>+IFERROR(HLOOKUP(AJ37,'סקרי נכסים-יתרות פתיחה'!$2:$76,73,0),0)</f>
        <v>0</v>
      </c>
      <c r="AK105" s="47">
        <f>+IFERROR(HLOOKUP(AK37,'סקרי נכסים-יתרות פתיחה'!$2:$76,73,0),0)</f>
        <v>0</v>
      </c>
      <c r="AL105" s="47">
        <f>+IFERROR(HLOOKUP(AL37,'סקרי נכסים-יתרות פתיחה'!$2:$76,73,0),0)</f>
        <v>0</v>
      </c>
      <c r="AM105" s="47">
        <f>+IFERROR(HLOOKUP(AM37,'סקרי נכסים-יתרות פתיחה'!$2:$76,73,0),0)</f>
        <v>0</v>
      </c>
      <c r="AN105" s="47">
        <f>+IFERROR(HLOOKUP(AN37,'סקרי נכסים-יתרות פתיחה'!$2:$76,73,0),0)</f>
        <v>0</v>
      </c>
      <c r="AO105" s="47">
        <f>+IFERROR(HLOOKUP(AO37,'סקרי נכסים-יתרות פתיחה'!$2:$76,73,0),0)</f>
        <v>0</v>
      </c>
      <c r="AP105" s="47">
        <f>+IFERROR(HLOOKUP(AP37,'סקרי נכסים-יתרות פתיחה'!$2:$76,73,0),0)</f>
        <v>0</v>
      </c>
      <c r="AQ105" s="47">
        <f>+IFERROR(HLOOKUP(AQ37,'סקרי נכסים-יתרות פתיחה'!$2:$76,73,0),0)</f>
        <v>0</v>
      </c>
      <c r="AR105" s="47">
        <f>+IFERROR(HLOOKUP(AR37,'סקרי נכסים-יתרות פתיחה'!$2:$76,73,0),0)</f>
        <v>0</v>
      </c>
      <c r="AS105" s="47">
        <f>+IFERROR(HLOOKUP(AS37,'סקרי נכסים-יתרות פתיחה'!$2:$76,73,0),0)</f>
        <v>0</v>
      </c>
      <c r="AT105" s="47">
        <f>+IFERROR(HLOOKUP(AT37,'סקרי נכסים-יתרות פתיחה'!$2:$76,73,0),0)</f>
        <v>0</v>
      </c>
      <c r="AU105" s="47">
        <f>+IFERROR(HLOOKUP(AU37,'סקרי נכסים-יתרות פתיחה'!$2:$76,73,0),0)</f>
        <v>0</v>
      </c>
      <c r="AV105" s="47">
        <f>+IFERROR(HLOOKUP(AV37,'סקרי נכסים-יתרות פתיחה'!$2:$76,73,0),0)</f>
        <v>0</v>
      </c>
      <c r="AW105" s="47">
        <f>+IFERROR(HLOOKUP(AW37,'סקרי נכסים-יתרות פתיחה'!$2:$76,73,0),0)</f>
        <v>0</v>
      </c>
      <c r="AX105" s="47">
        <f>+IFERROR(HLOOKUP(AX37,'סקרי נכסים-יתרות פתיחה'!$2:$76,73,0),0)</f>
        <v>0</v>
      </c>
      <c r="AY105" s="47">
        <f>+IFERROR(HLOOKUP(AY37,'סקרי נכסים-יתרות פתיחה'!$2:$76,73,0),0)</f>
        <v>0</v>
      </c>
      <c r="AZ105" s="47">
        <f>+IFERROR(HLOOKUP(AZ37,'סקרי נכסים-יתרות פתיחה'!$2:$76,73,0),0)</f>
        <v>0</v>
      </c>
      <c r="BA105" s="47">
        <f>+IFERROR(HLOOKUP(BA37,'סקרי נכסים-יתרות פתיחה'!$2:$76,73,0),0)</f>
        <v>0</v>
      </c>
      <c r="BB105" s="47">
        <f>+IFERROR(HLOOKUP(BB37,'סקרי נכסים-יתרות פתיחה'!$2:$76,73,0),0)</f>
        <v>0</v>
      </c>
      <c r="BC105" s="47">
        <f>+IFERROR(HLOOKUP(BC37,'סקרי נכסים-יתרות פתיחה'!$2:$76,73,0),0)</f>
        <v>0</v>
      </c>
      <c r="BD105" s="47">
        <f>+IFERROR(HLOOKUP(BD37,'סקרי נכסים-יתרות פתיחה'!$2:$76,73,0),0)</f>
        <v>0</v>
      </c>
      <c r="BE105" s="47">
        <f>+IFERROR(HLOOKUP(BE37,'סקרי נכסים-יתרות פתיחה'!$2:$76,73,0),0)</f>
        <v>0</v>
      </c>
      <c r="BF105" s="47">
        <f>+IFERROR(HLOOKUP(BF37,'סקרי נכסים-יתרות פתיחה'!$2:$76,73,0),0)</f>
        <v>0</v>
      </c>
    </row>
    <row r="106" spans="1:58" x14ac:dyDescent="0.2">
      <c r="C106" s="47"/>
      <c r="D106" s="47"/>
      <c r="E106" s="47"/>
      <c r="F106" s="47"/>
      <c r="G106" s="47"/>
      <c r="H106" s="47"/>
      <c r="I106" s="47"/>
      <c r="J106" s="47"/>
      <c r="K106" s="47"/>
      <c r="L106" s="47"/>
      <c r="M106" s="47"/>
      <c r="N106" s="47"/>
      <c r="O106" s="47"/>
      <c r="P106" s="47"/>
      <c r="Q106" s="5"/>
      <c r="R106" s="47"/>
      <c r="S106" s="5"/>
      <c r="T106" s="47"/>
      <c r="U106" s="5"/>
      <c r="V106" s="47"/>
      <c r="W106" s="47"/>
      <c r="X106" s="47"/>
      <c r="Y106" s="5"/>
      <c r="Z106" s="47"/>
      <c r="AA106" s="47"/>
      <c r="AB106" s="47"/>
      <c r="AC106" s="5"/>
      <c r="AD106" s="5"/>
      <c r="AE106" s="5"/>
      <c r="AF106" s="5"/>
      <c r="AG106" s="47"/>
      <c r="AH106" s="5"/>
      <c r="AI106" s="47"/>
      <c r="AJ106" s="5"/>
      <c r="AK106" s="47"/>
      <c r="AL106" s="47"/>
      <c r="AM106" s="47"/>
      <c r="AN106" s="5"/>
      <c r="AO106" s="5"/>
      <c r="AP106" s="5"/>
      <c r="AQ106" s="5"/>
      <c r="AR106" s="5"/>
      <c r="AS106" s="47"/>
      <c r="AT106" s="47"/>
      <c r="AU106" s="5"/>
      <c r="AV106" s="5"/>
      <c r="AW106" s="47"/>
      <c r="AX106" s="47"/>
      <c r="AY106" s="47"/>
      <c r="AZ106" s="5"/>
      <c r="BA106" s="47"/>
      <c r="BB106" s="5"/>
      <c r="BC106" s="5"/>
      <c r="BD106" s="47"/>
      <c r="BE106" s="47"/>
      <c r="BF106" s="47"/>
    </row>
    <row r="107" spans="1:58" x14ac:dyDescent="0.2">
      <c r="A107" s="1" t="s">
        <v>164</v>
      </c>
      <c r="C107" s="351">
        <f t="shared" ref="C107:BE107" si="2">SUM(C76:C103)/1000</f>
        <v>155168.929</v>
      </c>
      <c r="D107" s="351">
        <f t="shared" si="2"/>
        <v>42029.707000000002</v>
      </c>
      <c r="E107" s="351">
        <f t="shared" si="2"/>
        <v>128230.59600000001</v>
      </c>
      <c r="F107" s="351">
        <f t="shared" si="2"/>
        <v>25936.188333333332</v>
      </c>
      <c r="G107" s="351">
        <f t="shared" si="2"/>
        <v>82392.178</v>
      </c>
      <c r="H107" s="351">
        <f t="shared" si="2"/>
        <v>499262.51899999997</v>
      </c>
      <c r="I107" s="351">
        <f t="shared" si="2"/>
        <v>156462.40299999999</v>
      </c>
      <c r="J107" s="351">
        <f t="shared" si="2"/>
        <v>58288.302000000003</v>
      </c>
      <c r="K107" s="351">
        <f t="shared" si="2"/>
        <v>73250.597999999998</v>
      </c>
      <c r="L107" s="351">
        <f t="shared" si="2"/>
        <v>63011.004999999997</v>
      </c>
      <c r="M107" s="351">
        <f t="shared" si="2"/>
        <v>87816</v>
      </c>
      <c r="N107" s="351">
        <f t="shared" si="2"/>
        <v>114210.69500000001</v>
      </c>
      <c r="O107" s="351">
        <f t="shared" si="2"/>
        <v>98914.097999999998</v>
      </c>
      <c r="P107" s="351">
        <f t="shared" si="2"/>
        <v>83905.163</v>
      </c>
      <c r="Q107" s="351">
        <f t="shared" si="2"/>
        <v>42979.930999999997</v>
      </c>
      <c r="R107" s="351">
        <f t="shared" si="2"/>
        <v>48461.557000000001</v>
      </c>
      <c r="S107" s="351">
        <f t="shared" si="2"/>
        <v>20382.365000000002</v>
      </c>
      <c r="T107" s="351">
        <f t="shared" si="2"/>
        <v>57104.091999999997</v>
      </c>
      <c r="U107" s="351">
        <f t="shared" si="2"/>
        <v>62864.678</v>
      </c>
      <c r="V107" s="351">
        <f t="shared" si="2"/>
        <v>48457.552000000003</v>
      </c>
      <c r="W107" s="351">
        <f t="shared" si="2"/>
        <v>77134.452999999994</v>
      </c>
      <c r="X107" s="351">
        <f t="shared" si="2"/>
        <v>71428.73</v>
      </c>
      <c r="Y107" s="351">
        <f t="shared" si="2"/>
        <v>40072.712</v>
      </c>
      <c r="Z107" s="351">
        <f t="shared" si="2"/>
        <v>36539.423999999999</v>
      </c>
      <c r="AA107" s="351">
        <f t="shared" si="2"/>
        <v>85636.524999999994</v>
      </c>
      <c r="AB107" s="351">
        <f t="shared" si="2"/>
        <v>35205.489000000001</v>
      </c>
      <c r="AC107" s="351">
        <f t="shared" si="2"/>
        <v>68351.183000000005</v>
      </c>
      <c r="AD107" s="351">
        <f t="shared" si="2"/>
        <v>28317.245999999999</v>
      </c>
      <c r="AE107" s="351">
        <f t="shared" si="2"/>
        <v>214592.11199999999</v>
      </c>
      <c r="AF107" s="351">
        <f t="shared" si="2"/>
        <v>34353.266000000003</v>
      </c>
      <c r="AG107" s="351">
        <f t="shared" si="2"/>
        <v>36080.231</v>
      </c>
      <c r="AH107" s="351">
        <f t="shared" si="2"/>
        <v>35375.936999999998</v>
      </c>
      <c r="AI107" s="351">
        <f t="shared" si="2"/>
        <v>34588.705000000002</v>
      </c>
      <c r="AJ107" s="351">
        <f t="shared" si="2"/>
        <v>22482.293000000001</v>
      </c>
      <c r="AK107" s="351">
        <f t="shared" si="2"/>
        <v>10808.652</v>
      </c>
      <c r="AL107" s="351">
        <f t="shared" si="2"/>
        <v>195693.476</v>
      </c>
      <c r="AM107" s="351">
        <f t="shared" si="2"/>
        <v>59811.722000000002</v>
      </c>
      <c r="AN107" s="351">
        <f t="shared" si="2"/>
        <v>46846.951000000001</v>
      </c>
      <c r="AO107" s="351">
        <f t="shared" si="2"/>
        <v>67732.403000000006</v>
      </c>
      <c r="AP107" s="351">
        <f t="shared" si="2"/>
        <v>23560.257000000001</v>
      </c>
      <c r="AQ107" s="351">
        <f t="shared" si="2"/>
        <v>37063.226999999999</v>
      </c>
      <c r="AR107" s="351">
        <f t="shared" si="2"/>
        <v>41766.243000000002</v>
      </c>
      <c r="AS107" s="351">
        <f t="shared" si="2"/>
        <v>87686.123000000007</v>
      </c>
      <c r="AT107" s="351">
        <f t="shared" si="2"/>
        <v>34929.398000000001</v>
      </c>
      <c r="AU107" s="351">
        <f t="shared" si="2"/>
        <v>45332.273999999998</v>
      </c>
      <c r="AV107" s="351">
        <f t="shared" si="2"/>
        <v>69583.839000000007</v>
      </c>
      <c r="AW107" s="351">
        <f>SUM(AW76:AW103)/1000</f>
        <v>34816.701000000001</v>
      </c>
      <c r="AX107" s="351">
        <f t="shared" si="2"/>
        <v>27474.741999999998</v>
      </c>
      <c r="AY107" s="351">
        <f t="shared" si="2"/>
        <v>15354.864</v>
      </c>
      <c r="AZ107" s="351">
        <f t="shared" si="2"/>
        <v>59108.214</v>
      </c>
      <c r="BA107" s="351">
        <f t="shared" si="2"/>
        <v>41699.828999999998</v>
      </c>
      <c r="BB107" s="351">
        <f t="shared" si="2"/>
        <v>62597.707000000002</v>
      </c>
      <c r="BC107" s="351">
        <f t="shared" si="2"/>
        <v>52249.180999999997</v>
      </c>
      <c r="BD107" s="351">
        <f t="shared" si="2"/>
        <v>5673.4089999999997</v>
      </c>
      <c r="BE107" s="351">
        <f t="shared" si="2"/>
        <v>9665.0560000000005</v>
      </c>
      <c r="BF107" s="351">
        <f>SUM(BF76:BF103)/1000</f>
        <v>40311.868000000002</v>
      </c>
    </row>
    <row r="109" spans="1:58" x14ac:dyDescent="0.2">
      <c r="A109" s="1" t="s">
        <v>279</v>
      </c>
      <c r="B109" s="1">
        <v>1</v>
      </c>
      <c r="C109" s="47">
        <f>+IFERROR(HLOOKUP(C8,'סקרי נכסים-יתרות פתיחה'!$2:$76,74,0),0)-IFERROR(HLOOKUP(C8,'סקרי נכסים-יתרות פתיחה'!$2:$90,88,0),0)</f>
        <v>178109072.57142857</v>
      </c>
      <c r="D109" s="47">
        <f>+IFERROR(HLOOKUP(D8,'סקרי נכסים-יתרות פתיחה'!$2:$76,74,0),0)-IFERROR(HLOOKUP(D8,'סקרי נכסים-יתרות פתיחה'!$2:$90,88,0),0)</f>
        <v>23580900</v>
      </c>
      <c r="E109" s="47">
        <f>+IFERROR(HLOOKUP(E8,'סקרי נכסים-יתרות פתיחה'!$2:$76,74,0),0)-IFERROR(HLOOKUP(E8,'סקרי נכסים-יתרות פתיחה'!$2:$90,88,0),0)</f>
        <v>205458663.55714285</v>
      </c>
      <c r="F109" s="47">
        <f>+IFERROR(HLOOKUP(F8,'סקרי נכסים-יתרות פתיחה'!$2:$76,74,0),0)-IFERROR(HLOOKUP(F8,'סקרי נכסים-יתרות פתיחה'!$2:$90,88,0),0)</f>
        <v>24209463.428571429</v>
      </c>
      <c r="G109" s="47">
        <f>+IFERROR(HLOOKUP(G8,'סקרי נכסים-יתרות פתיחה'!$2:$76,74,0),0)-IFERROR(HLOOKUP(G8,'סקרי נכסים-יתרות פתיחה'!$2:$90,88,0),0)</f>
        <v>102216099.3</v>
      </c>
      <c r="H109" s="47">
        <f>+IFERROR(HLOOKUP(H8,'סקרי נכסים-יתרות פתיחה'!$2:$76,74,0),0)-IFERROR(HLOOKUP(H8,'סקרי נכסים-יתרות פתיחה'!$2:$90,88,0),0)</f>
        <v>673145003.87142861</v>
      </c>
      <c r="I109" s="47">
        <f>+IFERROR(HLOOKUP(I8,'סקרי נכסים-יתרות פתיחה'!$2:$76,74,0),0)-IFERROR(HLOOKUP(I8,'סקרי נכסים-יתרות פתיחה'!$2:$90,88,0),0)</f>
        <v>220888072.54285714</v>
      </c>
      <c r="J109" s="47">
        <f>+IFERROR(HLOOKUP(J8,'סקרי נכסים-יתרות פתיחה'!$2:$76,74,0),0)-IFERROR(HLOOKUP(J8,'סקרי נכסים-יתרות פתיחה'!$2:$90,88,0),0)</f>
        <v>100999651.71428572</v>
      </c>
      <c r="K109" s="47">
        <f>+IFERROR(HLOOKUP(K8,'סקרי נכסים-יתרות פתיחה'!$2:$76,74,0),0)-IFERROR(HLOOKUP(K8,'סקרי נכסים-יתרות פתיחה'!$2:$90,88,0),0)</f>
        <v>37446869.828571424</v>
      </c>
      <c r="L109" s="47">
        <f>+IFERROR(HLOOKUP(L8,'סקרי נכסים-יתרות פתיחה'!$2:$76,74,0),0)-IFERROR(HLOOKUP(L8,'סקרי נכסים-יתרות פתיחה'!$2:$90,88,0),0)</f>
        <v>59799327</v>
      </c>
      <c r="M109" s="47">
        <f>+IFERROR(HLOOKUP(M8,'סקרי נכסים-יתרות פתיחה'!$2:$76,74,0),0)-IFERROR(HLOOKUP(M8,'סקרי נכסים-יתרות פתיחה'!$2:$90,88,0),0)</f>
        <v>165457971.42857143</v>
      </c>
      <c r="N109" s="47">
        <f>+IFERROR(HLOOKUP(N8,'סקרי נכסים-יתרות פתיחה'!$2:$76,74,0),0)-IFERROR(HLOOKUP(N8,'סקרי נכסים-יתרות פתיחה'!$2:$90,88,0),0)</f>
        <v>293730834.94285715</v>
      </c>
      <c r="O109" s="47">
        <f>+IFERROR(HLOOKUP(O8,'סקרי נכסים-יתרות פתיחה'!$2:$76,74,0),0)-IFERROR(HLOOKUP(O8,'סקרי נכסים-יתרות פתיחה'!$2:$90,88,0),0)</f>
        <v>111652652.87142858</v>
      </c>
      <c r="P109" s="47">
        <f>+IFERROR(HLOOKUP(P8,'סקרי נכסים-יתרות פתיחה'!$2:$76,74,0),0)-IFERROR(HLOOKUP(P8,'סקרי נכסים-יתרות פתיחה'!$2:$90,88,0),0)</f>
        <v>22409102.142857142</v>
      </c>
      <c r="Q109" s="47">
        <f>+IFERROR(HLOOKUP(Q8,'סקרי נכסים-יתרות פתיחה'!$2:$76,74,0),0)-IFERROR(HLOOKUP(Q8,'סקרי נכסים-יתרות פתיחה'!$2:$90,88,0),0)</f>
        <v>70391874.77142857</v>
      </c>
      <c r="R109" s="47">
        <f>+IFERROR(HLOOKUP(R8,'סקרי נכסים-יתרות פתיחה'!$2:$76,74,0),0)-IFERROR(HLOOKUP(R8,'סקרי נכסים-יתרות פתיחה'!$2:$90,88,0),0)</f>
        <v>39634626.72857143</v>
      </c>
      <c r="S109" s="47">
        <f>+IFERROR(HLOOKUP(S8,'סקרי נכסים-יתרות פתיחה'!$2:$76,74,0),0)-IFERROR(HLOOKUP(S8,'סקרי נכסים-יתרות פתיחה'!$2:$90,88,0),0)</f>
        <v>45330140.014285713</v>
      </c>
      <c r="T109" s="47">
        <f>+IFERROR(HLOOKUP(T8,'סקרי נכסים-יתרות פתיחה'!$2:$76,74,0),0)-IFERROR(HLOOKUP(T8,'סקרי נכסים-יתרות פתיחה'!$2:$90,88,0),0)</f>
        <v>46361036.31428571</v>
      </c>
      <c r="U109" s="47">
        <f>+IFERROR(HLOOKUP(U8,'סקרי נכסים-יתרות פתיחה'!$2:$76,74,0),0)-IFERROR(HLOOKUP(U8,'סקרי נכסים-יתרות פתיחה'!$2:$90,88,0),0)</f>
        <v>74317593.428571433</v>
      </c>
      <c r="V109" s="47">
        <f>+IFERROR(HLOOKUP(V8,'סקרי נכסים-יתרות פתיחה'!$2:$76,74,0),0)-IFERROR(HLOOKUP(V8,'סקרי נכסים-יתרות פתיחה'!$2:$90,88,0),0)</f>
        <v>44745491.014285713</v>
      </c>
      <c r="W109" s="47">
        <f>+IFERROR(HLOOKUP(W8,'סקרי נכסים-יתרות פתיחה'!$2:$76,74,0),0)-IFERROR(HLOOKUP(W8,'סקרי נכסים-יתרות פתיחה'!$2:$90,88,0),0)</f>
        <v>38283220.242857143</v>
      </c>
      <c r="X109" s="47">
        <f>+IFERROR(HLOOKUP(X8,'סקרי נכסים-יתרות פתיחה'!$2:$76,74,0),0)-IFERROR(HLOOKUP(X8,'סקרי נכסים-יתרות פתיחה'!$2:$90,88,0),0)</f>
        <v>49368888.857142858</v>
      </c>
      <c r="Y109" s="47">
        <f>+IFERROR(HLOOKUP(Y8,'סקרי נכסים-יתרות פתיחה'!$2:$76,74,0),0)-IFERROR(HLOOKUP(Y8,'סקרי נכסים-יתרות פתיחה'!$2:$90,88,0),0)</f>
        <v>34275791.27142857</v>
      </c>
      <c r="Z109" s="47">
        <f>+IFERROR(HLOOKUP(Z8,'סקרי נכסים-יתרות פתיחה'!$2:$76,74,0),0)-IFERROR(HLOOKUP(Z8,'סקרי נכסים-יתרות פתיחה'!$2:$90,88,0),0)</f>
        <v>63136331.742857143</v>
      </c>
      <c r="AA109" s="47">
        <f>+IFERROR(HLOOKUP(AA8,'סקרי נכסים-יתרות פתיחה'!$2:$76,74,0),0)-IFERROR(HLOOKUP(AA8,'סקרי נכסים-יתרות פתיחה'!$2:$90,88,0),0)</f>
        <v>99839589.285714284</v>
      </c>
      <c r="AB109" s="47">
        <f>+IFERROR(HLOOKUP(AB8,'סקרי נכסים-יתרות פתיחה'!$2:$76,74,0),0)-IFERROR(HLOOKUP(AB8,'סקרי נכסים-יתרות פתיחה'!$2:$90,88,0),0)</f>
        <v>47550356.785714284</v>
      </c>
      <c r="AC109" s="47">
        <f>+IFERROR(HLOOKUP(AC8,'סקרי נכסים-יתרות פתיחה'!$2:$76,74,0),0)-IFERROR(HLOOKUP(AC8,'סקרי נכסים-יתרות פתיחה'!$2:$90,88,0),0)</f>
        <v>116555970.78571428</v>
      </c>
      <c r="AD109" s="47">
        <f>+IFERROR(HLOOKUP(AD8,'סקרי נכסים-יתרות פתיחה'!$2:$76,74,0),0)-IFERROR(HLOOKUP(AD8,'סקרי נכסים-יתרות פתיחה'!$2:$90,88,0),0)</f>
        <v>46825537.45714286</v>
      </c>
      <c r="AE109" s="47">
        <f>+IFERROR(HLOOKUP(AE8,'סקרי נכסים-יתרות פתיחה'!$2:$76,74,0),0)-IFERROR(HLOOKUP(AE8,'סקרי נכסים-יתרות פתיחה'!$2:$90,88,0),0)</f>
        <v>462715137.97142857</v>
      </c>
      <c r="AF109" s="47">
        <f>+IFERROR(HLOOKUP(AF8,'סקרי נכסים-יתרות פתיחה'!$2:$76,74,0),0)-IFERROR(HLOOKUP(AF8,'סקרי נכסים-יתרות פתיחה'!$2:$90,88,0),0)</f>
        <v>39061245</v>
      </c>
      <c r="AG109" s="47">
        <f>+IFERROR(HLOOKUP(AG8,'סקרי נכסים-יתרות פתיחה'!$2:$76,74,0),0)-IFERROR(HLOOKUP(AG8,'סקרי נכסים-יתרות פתיחה'!$2:$90,88,0),0)</f>
        <v>36082686.471428573</v>
      </c>
      <c r="AH109" s="47">
        <f>+IFERROR(HLOOKUP(AH8,'סקרי נכסים-יתרות פתיחה'!$2:$76,74,0),0)-IFERROR(HLOOKUP(AH8,'סקרי נכסים-יתרות פתיחה'!$2:$90,88,0),0)</f>
        <v>45991541.77142857</v>
      </c>
      <c r="AI109" s="47">
        <f>+IFERROR(HLOOKUP(AI8,'סקרי נכסים-יתרות פתיחה'!$2:$76,74,0),0)-IFERROR(HLOOKUP(AI8,'סקרי נכסים-יתרות פתיחה'!$2:$90,88,0),0)</f>
        <v>60904068.428571425</v>
      </c>
      <c r="AJ109" s="47">
        <f>+IFERROR(HLOOKUP(AJ8,'סקרי נכסים-יתרות פתיחה'!$2:$76,74,0),0)-IFERROR(HLOOKUP(AJ8,'סקרי נכסים-יתרות פתיחה'!$2:$90,88,0),0)</f>
        <v>34408063.028571427</v>
      </c>
      <c r="AK109" s="47">
        <f>+IFERROR(HLOOKUP(AK8,'סקרי נכסים-יתרות פתיחה'!$2:$76,74,0),0)-IFERROR(HLOOKUP(AK8,'סקרי נכסים-יתרות פתיחה'!$2:$90,88,0),0)</f>
        <v>35132450.571428575</v>
      </c>
      <c r="AL109" s="47">
        <f>+IFERROR(HLOOKUP(AL8,'סקרי נכסים-יתרות פתיחה'!$2:$76,74,0),0)-IFERROR(HLOOKUP(AL8,'סקרי נכסים-יתרות פתיחה'!$2:$90,88,0),0)</f>
        <v>520358119.42857146</v>
      </c>
      <c r="AM109" s="47">
        <f>+IFERROR(HLOOKUP(AM8,'סקרי נכסים-יתרות פתיחה'!$2:$76,74,0),0)-IFERROR(HLOOKUP(AM8,'סקרי נכסים-יתרות פתיחה'!$2:$90,88,0),0)</f>
        <v>21361506.285714287</v>
      </c>
      <c r="AN109" s="47">
        <f>+IFERROR(HLOOKUP(AN8,'סקרי נכסים-יתרות פתיחה'!$2:$76,74,0),0)-IFERROR(HLOOKUP(AN8,'סקרי נכסים-יתרות פתיחה'!$2:$90,88,0),0)</f>
        <v>19233634.628571428</v>
      </c>
      <c r="AO109" s="47">
        <f>+IFERROR(HLOOKUP(AO8,'סקרי נכסים-יתרות פתיחה'!$2:$76,74,0),0)-IFERROR(HLOOKUP(AO8,'סקרי נכסים-יתרות פתיחה'!$2:$90,88,0),0)</f>
        <v>152128796.34285715</v>
      </c>
      <c r="AP109" s="47">
        <f>+IFERROR(HLOOKUP(AP8,'סקרי נכסים-יתרות פתיחה'!$2:$76,74,0),0)-IFERROR(HLOOKUP(AP8,'סקרי נכסים-יתרות פתיחה'!$2:$90,88,0),0)</f>
        <v>38696814.642857142</v>
      </c>
      <c r="AQ109" s="47">
        <f>+IFERROR(HLOOKUP(AQ8,'סקרי נכסים-יתרות פתיחה'!$2:$76,74,0),0)-IFERROR(HLOOKUP(AQ8,'סקרי נכסים-יתרות פתיחה'!$2:$90,88,0),0)</f>
        <v>64361034.557142854</v>
      </c>
      <c r="AR109" s="47">
        <f>+IFERROR(HLOOKUP(AR8,'סקרי נכסים-יתרות פתיחה'!$2:$76,74,0),0)-IFERROR(HLOOKUP(AR8,'סקרי נכסים-יתרות פתיחה'!$2:$90,88,0),0)</f>
        <v>28918502.742857143</v>
      </c>
      <c r="AS109" s="47">
        <f>+IFERROR(HLOOKUP(AS8,'סקרי נכסים-יתרות פתיחה'!$2:$76,74,0),0)-IFERROR(HLOOKUP(AS8,'סקרי נכסים-יתרות פתיחה'!$2:$90,88,0),0)</f>
        <v>43448359.928571433</v>
      </c>
      <c r="AT109" s="47">
        <f>+IFERROR(HLOOKUP(AT8,'סקרי נכסים-יתרות פתיחה'!$2:$76,74,0),0)-IFERROR(HLOOKUP(AT8,'סקרי נכסים-יתרות פתיחה'!$2:$90,88,0),0)</f>
        <v>43189512.928571433</v>
      </c>
      <c r="AU109" s="47">
        <f>+IFERROR(HLOOKUP(AU8,'סקרי נכסים-יתרות פתיחה'!$2:$76,74,0),0)-IFERROR(HLOOKUP(AU8,'סקרי נכסים-יתרות פתיחה'!$2:$90,88,0),0)</f>
        <v>67746901.714285716</v>
      </c>
      <c r="AV109" s="47">
        <f>+IFERROR(HLOOKUP(AV8,'סקרי נכסים-יתרות פתיחה'!$2:$76,74,0),0)-IFERROR(HLOOKUP(AV8,'סקרי נכסים-יתרות פתיחה'!$2:$90,88,0),0)</f>
        <v>100147550.74285714</v>
      </c>
      <c r="AW109" s="47">
        <f>+IFERROR(HLOOKUP(AW8,'סקרי נכסים-יתרות פתיחה'!$2:$76,74,0),0)-IFERROR(HLOOKUP(AW8,'סקרי נכסים-יתרות פתיחה'!$2:$90,88,0),0)</f>
        <v>59658233.5</v>
      </c>
      <c r="AX109" s="47">
        <f>+IFERROR(HLOOKUP(AX8,'סקרי נכסים-יתרות פתיחה'!$2:$76,74,0),0)-IFERROR(HLOOKUP(AX8,'סקרי נכסים-יתרות פתיחה'!$2:$90,88,0),0)</f>
        <v>0</v>
      </c>
      <c r="AY109" s="47">
        <f>+IFERROR(HLOOKUP(AY8,'סקרי נכסים-יתרות פתיחה'!$2:$76,74,0),0)-IFERROR(HLOOKUP(AY8,'סקרי נכסים-יתרות פתיחה'!$2:$90,88,0),0)</f>
        <v>27634630.714285716</v>
      </c>
      <c r="AZ109" s="47">
        <f>+IFERROR(HLOOKUP(AZ8,'סקרי נכסים-יתרות פתיחה'!$2:$76,74,0),0)-IFERROR(HLOOKUP(AZ8,'סקרי נכסים-יתרות פתיחה'!$2:$90,88,0),0)</f>
        <v>37578091.200000003</v>
      </c>
      <c r="BA109" s="47">
        <f>+IFERROR(HLOOKUP(BA8,'סקרי נכסים-יתרות פתיחה'!$2:$76,74,0),0)-IFERROR(HLOOKUP(BA8,'סקרי נכסים-יתרות פתיחה'!$2:$90,88,0),0)</f>
        <v>30838499.285714284</v>
      </c>
      <c r="BB109" s="47">
        <f>+IFERROR(HLOOKUP(BB8,'סקרי נכסים-יתרות פתיחה'!$2:$76,74,0),0)-IFERROR(HLOOKUP(BB8,'סקרי נכסים-יתרות פתיחה'!$2:$90,88,0),0)</f>
        <v>34251017.985714287</v>
      </c>
      <c r="BC109" s="47">
        <f>+IFERROR(HLOOKUP(BC8,'סקרי נכסים-יתרות פתיחה'!$2:$76,74,0),0)-IFERROR(HLOOKUP(BC8,'סקרי נכסים-יתרות פתיחה'!$2:$90,88,0),0)</f>
        <v>9589547.0190476179</v>
      </c>
      <c r="BD109" s="47">
        <f>+IFERROR(HLOOKUP(BD8,'סקרי נכסים-יתרות פתיחה'!$2:$76,74,0),0)-IFERROR(HLOOKUP(BD8,'סקרי נכסים-יתרות פתיחה'!$2:$90,88,0),0)</f>
        <v>102444104.98571429</v>
      </c>
      <c r="BE109" s="47">
        <f>+IFERROR(HLOOKUP(BE8,'סקרי נכסים-יתרות פתיחה'!$2:$76,74,0),0)-IFERROR(HLOOKUP(BE8,'סקרי נכסים-יתרות פתיחה'!$2:$90,88,0),0)</f>
        <v>16770535.885714285</v>
      </c>
      <c r="BF109" s="47">
        <f>+IFERROR(HLOOKUP(BF8,'סקרי נכסים-יתרות פתיחה'!$2:$76,74,0),0)-IFERROR(HLOOKUP(BF8,'סקרי נכסים-יתרות פתיחה'!$2:$90,88,0),0)</f>
        <v>139366431</v>
      </c>
    </row>
    <row r="110" spans="1:58" x14ac:dyDescent="0.2">
      <c r="B110" s="1">
        <v>2</v>
      </c>
      <c r="C110" s="47">
        <f>+IFERROR(HLOOKUP(C9,'סקרי נכסים-יתרות פתיחה'!$2:$76,74,0),0)-IFERROR(HLOOKUP(C9,'סקרי נכסים-יתרות פתיחה'!$2:$90,88,0),0)</f>
        <v>12256230.142857142</v>
      </c>
      <c r="D110" s="47">
        <f>+IFERROR(HLOOKUP(D9,'סקרי נכסים-יתרות פתיחה'!$2:$76,74,0),0)-IFERROR(HLOOKUP(D9,'סקרי נכסים-יתרות פתיחה'!$2:$90,88,0),0)</f>
        <v>12888453.214285715</v>
      </c>
      <c r="E110" s="47">
        <f>+IFERROR(HLOOKUP(E9,'סקרי נכסים-יתרות פתיחה'!$2:$76,74,0),0)-IFERROR(HLOOKUP(E9,'סקרי נכסים-יתרות פתיחה'!$2:$90,88,0),0)</f>
        <v>0</v>
      </c>
      <c r="F110" s="47">
        <f>+IFERROR(HLOOKUP(F9,'סקרי נכסים-יתרות פתיחה'!$2:$76,74,0),0)-IFERROR(HLOOKUP(F9,'סקרי נכסים-יתרות פתיחה'!$2:$90,88,0),0)</f>
        <v>18119013.428571429</v>
      </c>
      <c r="G110" s="47">
        <f>+IFERROR(HLOOKUP(G9,'סקרי נכסים-יתרות פתיחה'!$2:$76,74,0),0)-IFERROR(HLOOKUP(G9,'סקרי נכסים-יתרות פתיחה'!$2:$90,88,0),0)</f>
        <v>0</v>
      </c>
      <c r="H110" s="47">
        <f>+IFERROR(HLOOKUP(H9,'סקרי נכסים-יתרות פתיחה'!$2:$76,74,0),0)-IFERROR(HLOOKUP(H9,'סקרי נכסים-יתרות פתיחה'!$2:$90,88,0),0)</f>
        <v>6563505.5714285709</v>
      </c>
      <c r="I110" s="47">
        <f>+IFERROR(HLOOKUP(I9,'סקרי נכסים-יתרות פתיחה'!$2:$76,74,0),0)-IFERROR(HLOOKUP(I9,'סקרי נכסים-יתרות פתיחה'!$2:$90,88,0),0)</f>
        <v>0</v>
      </c>
      <c r="J110" s="47">
        <f>+IFERROR(HLOOKUP(J9,'סקרי נכסים-יתרות פתיחה'!$2:$76,74,0),0)-IFERROR(HLOOKUP(J9,'סקרי נכסים-יתרות פתיחה'!$2:$90,88,0),0)</f>
        <v>0</v>
      </c>
      <c r="K110" s="47">
        <f>+IFERROR(HLOOKUP(K9,'סקרי נכסים-יתרות פתיחה'!$2:$76,74,0),0)-IFERROR(HLOOKUP(K9,'סקרי נכסים-יתרות פתיחה'!$2:$90,88,0),0)</f>
        <v>33218052.857142858</v>
      </c>
      <c r="L110" s="47">
        <f>+IFERROR(HLOOKUP(L9,'סקרי נכסים-יתרות פתיחה'!$2:$76,74,0),0)-IFERROR(HLOOKUP(L9,'סקרי נכסים-יתרות פתיחה'!$2:$90,88,0),0)</f>
        <v>3936169.2</v>
      </c>
      <c r="M110" s="47">
        <f>+IFERROR(HLOOKUP(M9,'סקרי נכסים-יתרות פתיחה'!$2:$76,74,0),0)-IFERROR(HLOOKUP(M9,'סקרי נכסים-יתרות פתיחה'!$2:$90,88,0),0)</f>
        <v>0</v>
      </c>
      <c r="N110" s="47">
        <f>+IFERROR(HLOOKUP(N9,'סקרי נכסים-יתרות פתיחה'!$2:$76,74,0),0)-IFERROR(HLOOKUP(N9,'סקרי נכסים-יתרות פתיחה'!$2:$90,88,0),0)</f>
        <v>35378064.642857142</v>
      </c>
      <c r="O110" s="47">
        <f>+IFERROR(HLOOKUP(O9,'סקרי נכסים-יתרות פתיחה'!$2:$76,74,0),0)-IFERROR(HLOOKUP(O9,'סקרי נכסים-יתרות פתיחה'!$2:$90,88,0),0)</f>
        <v>7898595.8571428573</v>
      </c>
      <c r="P110" s="47">
        <f>+IFERROR(HLOOKUP(P9,'סקרי נכסים-יתרות פתיחה'!$2:$76,74,0),0)-IFERROR(HLOOKUP(P9,'סקרי נכסים-יתרות פתיחה'!$2:$90,88,0),0)</f>
        <v>12438173.571428571</v>
      </c>
      <c r="Q110" s="47">
        <f>+IFERROR(HLOOKUP(Q9,'סקרי נכסים-יתרות פתיחה'!$2:$76,74,0),0)-IFERROR(HLOOKUP(Q9,'סקרי נכסים-יתרות פתיחה'!$2:$90,88,0),0)</f>
        <v>0</v>
      </c>
      <c r="R110" s="47">
        <f>+IFERROR(HLOOKUP(R9,'סקרי נכסים-יתרות פתיחה'!$2:$76,74,0),0)-IFERROR(HLOOKUP(R9,'סקרי נכסים-יתרות פתיחה'!$2:$90,88,0),0)</f>
        <v>13311021.428571429</v>
      </c>
      <c r="S110" s="47">
        <f>+IFERROR(HLOOKUP(S9,'סקרי נכסים-יתרות פתיחה'!$2:$76,74,0),0)-IFERROR(HLOOKUP(S9,'סקרי נכסים-יתרות פתיחה'!$2:$90,88,0),0)</f>
        <v>0</v>
      </c>
      <c r="T110" s="47">
        <f>+IFERROR(HLOOKUP(T9,'סקרי נכסים-יתרות פתיחה'!$2:$76,74,0),0)-IFERROR(HLOOKUP(T9,'סקרי נכסים-יתרות פתיחה'!$2:$90,88,0),0)</f>
        <v>31299855</v>
      </c>
      <c r="U110" s="47">
        <f>+IFERROR(HLOOKUP(U9,'סקרי נכסים-יתרות פתיחה'!$2:$76,74,0),0)-IFERROR(HLOOKUP(U9,'סקרי נכסים-יתרות פתיחה'!$2:$90,88,0),0)</f>
        <v>0</v>
      </c>
      <c r="V110" s="47">
        <f>+IFERROR(HLOOKUP(V9,'סקרי נכסים-יתרות פתיחה'!$2:$76,74,0),0)-IFERROR(HLOOKUP(V9,'סקרי נכסים-יתרות פתיחה'!$2:$90,88,0),0)</f>
        <v>16631135.1</v>
      </c>
      <c r="W110" s="47">
        <f>+IFERROR(HLOOKUP(W9,'סקרי נכסים-יתרות פתיחה'!$2:$76,74,0),0)-IFERROR(HLOOKUP(W9,'סקרי נכסים-יתרות פתיחה'!$2:$90,88,0),0)</f>
        <v>7587703.4285714291</v>
      </c>
      <c r="X110" s="47">
        <f>+IFERROR(HLOOKUP(X9,'סקרי נכסים-יתרות פתיחה'!$2:$76,74,0),0)-IFERROR(HLOOKUP(X9,'סקרי נכסים-יתרות פתיחה'!$2:$90,88,0),0)</f>
        <v>10897992.857142858</v>
      </c>
      <c r="Y110" s="47">
        <f>+IFERROR(HLOOKUP(Y9,'סקרי נכסים-יתרות פתיחה'!$2:$76,74,0),0)-IFERROR(HLOOKUP(Y9,'סקרי נכסים-יתרות פתיחה'!$2:$90,88,0),0)</f>
        <v>12334624.928571429</v>
      </c>
      <c r="Z110" s="47">
        <f>+IFERROR(HLOOKUP(Z9,'סקרי נכסים-יתרות פתיחה'!$2:$76,74,0),0)-IFERROR(HLOOKUP(Z9,'סקרי נכסים-יתרות פתיחה'!$2:$90,88,0),0)</f>
        <v>0</v>
      </c>
      <c r="AA110" s="47">
        <f>+IFERROR(HLOOKUP(AA9,'סקרי נכסים-יתרות פתיחה'!$2:$76,74,0),0)-IFERROR(HLOOKUP(AA9,'סקרי נכסים-יתרות פתיחה'!$2:$90,88,0),0)</f>
        <v>0</v>
      </c>
      <c r="AB110" s="47">
        <f>+IFERROR(HLOOKUP(AB9,'סקרי נכסים-יתרות פתיחה'!$2:$76,74,0),0)-IFERROR(HLOOKUP(AB9,'סקרי נכסים-יתרות פתיחה'!$2:$90,88,0),0)</f>
        <v>0</v>
      </c>
      <c r="AC110" s="47">
        <f>+IFERROR(HLOOKUP(AC9,'סקרי נכסים-יתרות פתיחה'!$2:$76,74,0),0)-IFERROR(HLOOKUP(AC9,'סקרי נכסים-יתרות פתיחה'!$2:$90,88,0),0)</f>
        <v>0</v>
      </c>
      <c r="AD110" s="47">
        <f>+IFERROR(HLOOKUP(AD9,'סקרי נכסים-יתרות פתיחה'!$2:$76,74,0),0)-IFERROR(HLOOKUP(AD9,'סקרי נכסים-יתרות פתיחה'!$2:$90,88,0),0)</f>
        <v>0</v>
      </c>
      <c r="AE110" s="47">
        <f>+IFERROR(HLOOKUP(AE9,'סקרי נכסים-יתרות פתיחה'!$2:$76,74,0),0)-IFERROR(HLOOKUP(AE9,'סקרי נכסים-יתרות פתיחה'!$2:$90,88,0),0)</f>
        <v>0</v>
      </c>
      <c r="AF110" s="47">
        <f>+IFERROR(HLOOKUP(AF9,'סקרי נכסים-יתרות פתיחה'!$2:$76,74,0),0)-IFERROR(HLOOKUP(AF9,'סקרי נכסים-יתרות פתיחה'!$2:$90,88,0),0)</f>
        <v>27577442.857142858</v>
      </c>
      <c r="AG110" s="47">
        <f>+IFERROR(HLOOKUP(AG9,'סקרי נכסים-יתרות פתיחה'!$2:$76,74,0),0)-IFERROR(HLOOKUP(AG9,'סקרי נכסים-יתרות פתיחה'!$2:$90,88,0),0)</f>
        <v>0</v>
      </c>
      <c r="AH110" s="47">
        <f>+IFERROR(HLOOKUP(AH9,'סקרי נכסים-יתרות פתיחה'!$2:$76,74,0),0)-IFERROR(HLOOKUP(AH9,'סקרי נכסים-יתרות פתיחה'!$2:$90,88,0),0)</f>
        <v>0</v>
      </c>
      <c r="AI110" s="47">
        <f>+IFERROR(HLOOKUP(AI9,'סקרי נכסים-יתרות פתיחה'!$2:$76,74,0),0)-IFERROR(HLOOKUP(AI9,'סקרי נכסים-יתרות פתיחה'!$2:$90,88,0),0)</f>
        <v>0</v>
      </c>
      <c r="AJ110" s="47">
        <f>+IFERROR(HLOOKUP(AJ9,'סקרי נכסים-יתרות פתיחה'!$2:$76,74,0),0)-IFERROR(HLOOKUP(AJ9,'סקרי נכסים-יתרות פתיחה'!$2:$90,88,0),0)</f>
        <v>15593463.6</v>
      </c>
      <c r="AK110" s="47">
        <f>+IFERROR(HLOOKUP(AK9,'סקרי נכסים-יתרות פתיחה'!$2:$76,74,0),0)-IFERROR(HLOOKUP(AK9,'סקרי נכסים-יתרות פתיחה'!$2:$90,88,0),0)</f>
        <v>0</v>
      </c>
      <c r="AL110" s="47">
        <f>+IFERROR(HLOOKUP(AL9,'סקרי נכסים-יתרות פתיחה'!$2:$76,74,0),0)-IFERROR(HLOOKUP(AL9,'סקרי נכסים-יתרות פתיחה'!$2:$90,88,0),0)</f>
        <v>0</v>
      </c>
      <c r="AM110" s="47">
        <f>+IFERROR(HLOOKUP(AM9,'סקרי נכסים-יתרות פתיחה'!$2:$76,74,0),0)-IFERROR(HLOOKUP(AM9,'סקרי נכסים-יתרות פתיחה'!$2:$90,88,0),0)</f>
        <v>25891071.142857142</v>
      </c>
      <c r="AN110" s="47">
        <f>+IFERROR(HLOOKUP(AN9,'סקרי נכסים-יתרות פתיחה'!$2:$76,74,0),0)-IFERROR(HLOOKUP(AN9,'סקרי נכסים-יתרות פתיחה'!$2:$90,88,0),0)</f>
        <v>21895801.857142858</v>
      </c>
      <c r="AO110" s="47">
        <f>+IFERROR(HLOOKUP(AO9,'סקרי נכסים-יתרות פתיחה'!$2:$76,74,0),0)-IFERROR(HLOOKUP(AO9,'סקרי נכסים-יתרות פתיחה'!$2:$90,88,0),0)</f>
        <v>0</v>
      </c>
      <c r="AP110" s="47">
        <f>+IFERROR(HLOOKUP(AP9,'סקרי נכסים-יתרות פתיחה'!$2:$76,74,0),0)-IFERROR(HLOOKUP(AP9,'סקרי נכסים-יתרות פתיחה'!$2:$90,88,0),0)</f>
        <v>0</v>
      </c>
      <c r="AQ110" s="47">
        <f>+IFERROR(HLOOKUP(AQ9,'סקרי נכסים-יתרות פתיחה'!$2:$76,74,0),0)-IFERROR(HLOOKUP(AQ9,'סקרי נכסים-יתרות פתיחה'!$2:$90,88,0),0)</f>
        <v>0</v>
      </c>
      <c r="AR110" s="47">
        <f>+IFERROR(HLOOKUP(AR9,'סקרי נכסים-יתרות פתיחה'!$2:$76,74,0),0)-IFERROR(HLOOKUP(AR9,'סקרי נכסים-יתרות פתיחה'!$2:$90,88,0),0)</f>
        <v>33649150</v>
      </c>
      <c r="AS110" s="47">
        <f>+IFERROR(HLOOKUP(AS9,'סקרי נכסים-יתרות פתיחה'!$2:$76,74,0),0)-IFERROR(HLOOKUP(AS9,'סקרי נכסים-יתרות פתיחה'!$2:$90,88,0),0)</f>
        <v>12301636.585714286</v>
      </c>
      <c r="AT110" s="47">
        <f>+IFERROR(HLOOKUP(AT9,'סקרי נכסים-יתרות פתיחה'!$2:$76,74,0),0)-IFERROR(HLOOKUP(AT9,'סקרי נכסים-יתרות פתיחה'!$2:$90,88,0),0)</f>
        <v>0</v>
      </c>
      <c r="AU110" s="47">
        <f>+IFERROR(HLOOKUP(AU9,'סקרי נכסים-יתרות פתיחה'!$2:$76,74,0),0)-IFERROR(HLOOKUP(AU9,'סקרי נכסים-יתרות פתיחה'!$2:$90,88,0),0)</f>
        <v>0</v>
      </c>
      <c r="AV110" s="47">
        <f>+IFERROR(HLOOKUP(AV9,'סקרי נכסים-יתרות פתיחה'!$2:$76,74,0),0)-IFERROR(HLOOKUP(AV9,'סקרי נכסים-יתרות פתיחה'!$2:$90,88,0),0)</f>
        <v>31676262.199999999</v>
      </c>
      <c r="AW110" s="47">
        <f>+IFERROR(HLOOKUP(AW9,'סקרי נכסים-יתרות פתיחה'!$2:$76,74,0),0)-IFERROR(HLOOKUP(AW9,'סקרי נכסים-יתרות פתיחה'!$2:$90,88,0),0)</f>
        <v>0</v>
      </c>
      <c r="AX110" s="47">
        <f>+IFERROR(HLOOKUP(AX9,'סקרי נכסים-יתרות פתיחה'!$2:$76,74,0),0)-IFERROR(HLOOKUP(AX9,'סקרי נכסים-יתרות פתיחה'!$2:$90,88,0),0)</f>
        <v>7817563.9285714282</v>
      </c>
      <c r="AY110" s="47">
        <f>+IFERROR(HLOOKUP(AY9,'סקרי נכסים-יתרות פתיחה'!$2:$76,74,0),0)-IFERROR(HLOOKUP(AY9,'סקרי נכסים-יתרות פתיחה'!$2:$90,88,0),0)</f>
        <v>0</v>
      </c>
      <c r="AZ110" s="47">
        <f>+IFERROR(HLOOKUP(AZ9,'סקרי נכסים-יתרות פתיחה'!$2:$76,74,0),0)-IFERROR(HLOOKUP(AZ9,'סקרי נכסים-יתרות פתיחה'!$2:$90,88,0),0)</f>
        <v>28075160.114285715</v>
      </c>
      <c r="BA110" s="47">
        <f>+IFERROR(HLOOKUP(BA9,'סקרי נכסים-יתרות פתיחה'!$2:$76,74,0),0)-IFERROR(HLOOKUP(BA9,'סקרי נכסים-יתרות פתיחה'!$2:$90,88,0),0)</f>
        <v>46486777.657142855</v>
      </c>
      <c r="BB110" s="47">
        <f>+IFERROR(HLOOKUP(BB9,'סקרי נכסים-יתרות פתיחה'!$2:$76,74,0),0)-IFERROR(HLOOKUP(BB9,'סקרי נכסים-יתרות פתיחה'!$2:$90,88,0),0)</f>
        <v>14202315.642857142</v>
      </c>
      <c r="BC110" s="47">
        <f>+IFERROR(HLOOKUP(BC9,'סקרי נכסים-יתרות פתיחה'!$2:$76,74,0),0)-IFERROR(HLOOKUP(BC9,'סקרי נכסים-יתרות פתיחה'!$2:$90,88,0),0)</f>
        <v>19043337.285714287</v>
      </c>
      <c r="BD110" s="47">
        <f>+IFERROR(HLOOKUP(BD9,'סקרי נכסים-יתרות פתיחה'!$2:$76,74,0),0)-IFERROR(HLOOKUP(BD9,'סקרי נכסים-יתרות פתיחה'!$2:$90,88,0),0)</f>
        <v>24580503.357142858</v>
      </c>
      <c r="BE110" s="47">
        <f>+IFERROR(HLOOKUP(BE9,'סקרי נכסים-יתרות פתיחה'!$2:$76,74,0),0)-IFERROR(HLOOKUP(BE9,'סקרי נכסים-יתרות פתיחה'!$2:$90,88,0),0)</f>
        <v>0</v>
      </c>
      <c r="BF110" s="47">
        <f>+IFERROR(HLOOKUP(BF9,'סקרי נכסים-יתרות פתיחה'!$2:$76,74,0),0)-IFERROR(HLOOKUP(BF9,'סקרי נכסים-יתרות פתיחה'!$2:$90,88,0),0)</f>
        <v>0</v>
      </c>
    </row>
    <row r="111" spans="1:58" x14ac:dyDescent="0.2">
      <c r="B111" s="1">
        <v>3</v>
      </c>
      <c r="C111" s="47">
        <f>+IFERROR(HLOOKUP(C10,'סקרי נכסים-יתרות פתיחה'!$2:$76,74,0),0)-IFERROR(HLOOKUP(C10,'סקרי נכסים-יתרות פתיחה'!$2:$90,88,0),0)</f>
        <v>3676880</v>
      </c>
      <c r="D111" s="47">
        <f>+IFERROR(HLOOKUP(D10,'סקרי נכסים-יתרות פתיחה'!$2:$76,74,0),0)-IFERROR(HLOOKUP(D10,'סקרי נכסים-יתרות פתיחה'!$2:$90,88,0),0)</f>
        <v>10309255.328571428</v>
      </c>
      <c r="E111" s="47">
        <f>+IFERROR(HLOOKUP(E10,'סקרי נכסים-יתרות פתיחה'!$2:$76,74,0),0)-IFERROR(HLOOKUP(E10,'סקרי נכסים-יתרות פתיחה'!$2:$90,88,0),0)</f>
        <v>0</v>
      </c>
      <c r="F111" s="47">
        <f>+IFERROR(HLOOKUP(F10,'סקרי נכסים-יתרות פתיחה'!$2:$76,74,0),0)-IFERROR(HLOOKUP(F10,'סקרי נכסים-יתרות פתיחה'!$2:$90,88,0),0)</f>
        <v>0</v>
      </c>
      <c r="G111" s="47">
        <f>+IFERROR(HLOOKUP(G10,'סקרי נכסים-יתרות פתיחה'!$2:$76,74,0),0)-IFERROR(HLOOKUP(G10,'סקרי נכסים-יתרות פתיחה'!$2:$90,88,0),0)</f>
        <v>0</v>
      </c>
      <c r="H111" s="47">
        <f>+IFERROR(HLOOKUP(H10,'סקרי נכסים-יתרות פתיחה'!$2:$76,74,0),0)-IFERROR(HLOOKUP(H10,'סקרי נכסים-יתרות פתיחה'!$2:$90,88,0),0)</f>
        <v>31325208</v>
      </c>
      <c r="I111" s="47">
        <f>+IFERROR(HLOOKUP(I10,'סקרי נכסים-יתרות פתיחה'!$2:$76,74,0),0)-IFERROR(HLOOKUP(I10,'סקרי נכסים-יתרות פתיחה'!$2:$90,88,0),0)</f>
        <v>0</v>
      </c>
      <c r="J111" s="47">
        <f>+IFERROR(HLOOKUP(J10,'סקרי נכסים-יתרות פתיחה'!$2:$76,74,0),0)-IFERROR(HLOOKUP(J10,'סקרי נכסים-יתרות פתיחה'!$2:$90,88,0),0)</f>
        <v>0</v>
      </c>
      <c r="K111" s="47">
        <f>+IFERROR(HLOOKUP(K10,'סקרי נכסים-יתרות פתיחה'!$2:$76,74,0),0)-IFERROR(HLOOKUP(K10,'סקרי נכסים-יתרות פתיחה'!$2:$90,88,0),0)</f>
        <v>60775392.857142858</v>
      </c>
      <c r="L111" s="47">
        <f>+IFERROR(HLOOKUP(L10,'סקרי נכסים-יתרות פתיחה'!$2:$76,74,0),0)-IFERROR(HLOOKUP(L10,'סקרי נכסים-יתרות פתיחה'!$2:$90,88,0),0)</f>
        <v>9323897.1428571418</v>
      </c>
      <c r="M111" s="47">
        <f>+IFERROR(HLOOKUP(M10,'סקרי נכסים-יתרות פתיחה'!$2:$76,74,0),0)-IFERROR(HLOOKUP(M10,'סקרי נכסים-יתרות פתיחה'!$2:$90,88,0),0)</f>
        <v>0</v>
      </c>
      <c r="N111" s="47">
        <f>+IFERROR(HLOOKUP(N10,'סקרי נכסים-יתרות פתיחה'!$2:$76,74,0),0)-IFERROR(HLOOKUP(N10,'סקרי נכסים-יתרות פתיחה'!$2:$90,88,0),0)</f>
        <v>0</v>
      </c>
      <c r="O111" s="47">
        <f>+IFERROR(HLOOKUP(O10,'סקרי נכסים-יתרות פתיחה'!$2:$76,74,0),0)-IFERROR(HLOOKUP(O10,'סקרי נכסים-יתרות פתיחה'!$2:$90,88,0),0)</f>
        <v>7256368.2857142854</v>
      </c>
      <c r="P111" s="47">
        <f>+IFERROR(HLOOKUP(P10,'סקרי נכסים-יתרות פתיחה'!$2:$76,74,0),0)-IFERROR(HLOOKUP(P10,'סקרי נכסים-יתרות פתיחה'!$2:$90,88,0),0)</f>
        <v>9916900.7142857146</v>
      </c>
      <c r="Q111" s="47">
        <f>+IFERROR(HLOOKUP(Q10,'סקרי נכסים-יתרות פתיחה'!$2:$76,74,0),0)-IFERROR(HLOOKUP(Q10,'סקרי נכסים-יתרות פתיחה'!$2:$90,88,0),0)</f>
        <v>0</v>
      </c>
      <c r="R111" s="47">
        <f>+IFERROR(HLOOKUP(R10,'סקרי נכסים-יתרות פתיחה'!$2:$76,74,0),0)-IFERROR(HLOOKUP(R10,'סקרי נכסים-יתרות פתיחה'!$2:$90,88,0),0)</f>
        <v>15019950</v>
      </c>
      <c r="S111" s="47">
        <f>+IFERROR(HLOOKUP(S10,'סקרי נכסים-יתרות פתיחה'!$2:$76,74,0),0)-IFERROR(HLOOKUP(S10,'סקרי נכסים-יתרות פתיחה'!$2:$90,88,0),0)</f>
        <v>0</v>
      </c>
      <c r="T111" s="47">
        <f>+IFERROR(HLOOKUP(T10,'סקרי נכסים-יתרות פתיחה'!$2:$76,74,0),0)-IFERROR(HLOOKUP(T10,'סקרי נכסים-יתרות פתיחה'!$2:$90,88,0),0)</f>
        <v>19229574</v>
      </c>
      <c r="U111" s="47">
        <f>+IFERROR(HLOOKUP(U11,'סקרי נכסים-יתרות פתיחה'!$2:$76,74,0),0)-IFERROR(HLOOKUP(U11,'סקרי נכסים-יתרות פתיחה'!$2:$90,88,0),0)</f>
        <v>0</v>
      </c>
      <c r="V111" s="47">
        <f>+IFERROR(HLOOKUP(V10,'סקרי נכסים-יתרות פתיחה'!$2:$76,74,0),0)-IFERROR(HLOOKUP(V10,'סקרי נכסים-יתרות פתיחה'!$2:$90,88,0),0)</f>
        <v>18517861.971428573</v>
      </c>
      <c r="W111" s="47">
        <f>+IFERROR(HLOOKUP(W10,'סקרי נכסים-יתרות פתיחה'!$2:$76,74,0),0)-IFERROR(HLOOKUP(W10,'סקרי נכסים-יתרות פתיחה'!$2:$90,88,0),0)</f>
        <v>11959787.228571428</v>
      </c>
      <c r="X111" s="47">
        <f>+IFERROR(HLOOKUP(X10,'סקרי נכסים-יתרות פתיחה'!$2:$76,74,0),0)-IFERROR(HLOOKUP(X10,'סקרי נכסים-יתרות פתיחה'!$2:$90,88,0),0)</f>
        <v>16685588.828571428</v>
      </c>
      <c r="Y111" s="47">
        <f>+IFERROR(HLOOKUP(Y10,'סקרי נכסים-יתרות פתיחה'!$2:$76,74,0),0)-IFERROR(HLOOKUP(Y10,'סקרי נכסים-יתרות פתיחה'!$2:$90,88,0),0)</f>
        <v>20546043.300000001</v>
      </c>
      <c r="Z111" s="47">
        <f>+IFERROR(HLOOKUP(Z10,'סקרי נכסים-יתרות פתיחה'!$2:$76,74,0),0)-IFERROR(HLOOKUP(Z10,'סקרי נכסים-יתרות פתיחה'!$2:$90,88,0),0)</f>
        <v>0</v>
      </c>
      <c r="AA111" s="47">
        <f>+IFERROR(HLOOKUP(AA10,'סקרי נכסים-יתרות פתיחה'!$2:$76,74,0),0)-IFERROR(HLOOKUP(AA10,'סקרי נכסים-יתרות פתיחה'!$2:$90,88,0),0)</f>
        <v>0</v>
      </c>
      <c r="AB111" s="47">
        <f>+IFERROR(HLOOKUP(AB10,'סקרי נכסים-יתרות פתיחה'!$2:$76,74,0),0)-IFERROR(HLOOKUP(AB10,'סקרי נכסים-יתרות פתיחה'!$2:$90,88,0),0)</f>
        <v>0</v>
      </c>
      <c r="AC111" s="47">
        <f>+IFERROR(HLOOKUP(AC10,'סקרי נכסים-יתרות פתיחה'!$2:$76,74,0),0)-IFERROR(HLOOKUP(AC10,'סקרי נכסים-יתרות פתיחה'!$2:$90,88,0),0)</f>
        <v>0</v>
      </c>
      <c r="AD111" s="47">
        <f>+IFERROR(HLOOKUP(AD10,'סקרי נכסים-יתרות פתיחה'!$2:$76,74,0),0)-IFERROR(HLOOKUP(AD10,'סקרי נכסים-יתרות פתיחה'!$2:$90,88,0),0)</f>
        <v>0</v>
      </c>
      <c r="AE111" s="47">
        <f>+IFERROR(HLOOKUP(AE10,'סקרי נכסים-יתרות פתיחה'!$2:$76,74,0),0)-IFERROR(HLOOKUP(AE10,'סקרי נכסים-יתרות פתיחה'!$2:$90,88,0),0)</f>
        <v>0</v>
      </c>
      <c r="AF111" s="47">
        <f>+IFERROR(HLOOKUP(AF10,'סקרי נכסים-יתרות פתיחה'!$2:$76,74,0),0)-IFERROR(HLOOKUP(AF10,'סקרי נכסים-יתרות פתיחה'!$2:$90,88,0),0)</f>
        <v>0</v>
      </c>
      <c r="AG111" s="47">
        <f>+IFERROR(HLOOKUP(AG10,'סקרי נכסים-יתרות פתיחה'!$2:$76,74,0),0)-IFERROR(HLOOKUP(AG10,'סקרי נכסים-יתרות פתיחה'!$2:$90,88,0),0)</f>
        <v>0</v>
      </c>
      <c r="AH111" s="47">
        <f>+IFERROR(HLOOKUP(AH10,'סקרי נכסים-יתרות פתיחה'!$2:$76,74,0),0)-IFERROR(HLOOKUP(AH10,'סקרי נכסים-יתרות פתיחה'!$2:$90,88,0),0)</f>
        <v>0</v>
      </c>
      <c r="AI111" s="47">
        <f>+IFERROR(HLOOKUP(AI10,'סקרי נכסים-יתרות פתיחה'!$2:$76,74,0),0)-IFERROR(HLOOKUP(AI10,'סקרי נכסים-יתרות פתיחה'!$2:$90,88,0),0)</f>
        <v>0</v>
      </c>
      <c r="AJ111" s="47">
        <f>+IFERROR(HLOOKUP(AJ10,'סקרי נכסים-יתרות פתיחה'!$2:$76,74,0),0)-IFERROR(HLOOKUP(AJ10,'סקרי נכסים-יתרות פתיחה'!$2:$90,88,0),0)</f>
        <v>0</v>
      </c>
      <c r="AK111" s="47">
        <f>+IFERROR(HLOOKUP(AK10,'סקרי נכסים-יתרות פתיחה'!$2:$76,74,0),0)-IFERROR(HLOOKUP(AK10,'סקרי נכסים-יתרות פתיחה'!$2:$90,88,0),0)</f>
        <v>0</v>
      </c>
      <c r="AL111" s="47">
        <f>+IFERROR(HLOOKUP(AL10,'סקרי נכסים-יתרות פתיחה'!$2:$76,74,0),0)-IFERROR(HLOOKUP(AL10,'סקרי נכסים-יתרות פתיחה'!$2:$90,88,0),0)</f>
        <v>0</v>
      </c>
      <c r="AM111" s="47">
        <f>+IFERROR(HLOOKUP(AM10,'סקרי נכסים-יתרות פתיחה'!$2:$76,74,0),0)-IFERROR(HLOOKUP(AM10,'סקרי נכסים-יתרות פתיחה'!$2:$90,88,0),0)</f>
        <v>11426614.285714285</v>
      </c>
      <c r="AN111" s="47">
        <f>+IFERROR(HLOOKUP(AN10,'סקרי נכסים-יתרות פתיחה'!$2:$76,74,0),0)-IFERROR(HLOOKUP(AN10,'סקרי נכסים-יתרות פתיחה'!$2:$90,88,0),0)</f>
        <v>18212639.285714284</v>
      </c>
      <c r="AO111" s="47">
        <f>+IFERROR(HLOOKUP(AO10,'סקרי נכסים-יתרות פתיחה'!$2:$76,74,0),0)-IFERROR(HLOOKUP(AO10,'סקרי נכסים-יתרות פתיחה'!$2:$90,88,0),0)</f>
        <v>0</v>
      </c>
      <c r="AP111" s="47">
        <f>+IFERROR(HLOOKUP(AP10,'סקרי נכסים-יתרות פתיחה'!$2:$76,74,0),0)-IFERROR(HLOOKUP(AP10,'סקרי נכסים-יתרות פתיחה'!$2:$90,88,0),0)</f>
        <v>0</v>
      </c>
      <c r="AQ111" s="47">
        <f>+IFERROR(HLOOKUP(AQ10,'סקרי נכסים-יתרות פתיחה'!$2:$76,74,0),0)-IFERROR(HLOOKUP(AQ10,'סקרי נכסים-יתרות פתיחה'!$2:$90,88,0),0)</f>
        <v>0</v>
      </c>
      <c r="AR111" s="47">
        <f>+IFERROR(HLOOKUP(AR10,'סקרי נכסים-יתרות פתיחה'!$2:$76,74,0),0)-IFERROR(HLOOKUP(AR10,'סקרי נכסים-יתרות פתיחה'!$2:$90,88,0),0)</f>
        <v>0</v>
      </c>
      <c r="AS111" s="47">
        <f>+IFERROR(HLOOKUP(AS10,'סקרי נכסים-יתרות פתיחה'!$2:$76,74,0),0)-IFERROR(HLOOKUP(AS10,'סקרי נכסים-יתרות פתיחה'!$2:$90,88,0),0)</f>
        <v>9233044.8428571429</v>
      </c>
      <c r="AT111" s="47">
        <f>+IFERROR(HLOOKUP(AT10,'סקרי נכסים-יתרות פתיחה'!$2:$76,74,0),0)-IFERROR(HLOOKUP(AT10,'סקרי נכסים-יתרות פתיחה'!$2:$90,88,0),0)</f>
        <v>0</v>
      </c>
      <c r="AU111" s="47">
        <f>+IFERROR(HLOOKUP(AU10,'סקרי נכסים-יתרות פתיחה'!$2:$76,74,0),0)-IFERROR(HLOOKUP(AU10,'סקרי נכסים-יתרות פתיחה'!$2:$90,88,0),0)</f>
        <v>0</v>
      </c>
      <c r="AV111" s="47">
        <f>+IFERROR(HLOOKUP(AV10,'סקרי נכסים-יתרות פתיחה'!$2:$76,74,0),0)-IFERROR(HLOOKUP(AV10,'סקרי נכסים-יתרות פתיחה'!$2:$90,88,0),0)</f>
        <v>0</v>
      </c>
      <c r="AW111" s="47">
        <f>+IFERROR(HLOOKUP(AW10,'סקרי נכסים-יתרות פתיחה'!$2:$76,74,0),0)-IFERROR(HLOOKUP(AW10,'סקרי נכסים-יתרות פתיחה'!$2:$90,88,0),0)</f>
        <v>0</v>
      </c>
      <c r="AX111" s="47">
        <f>+IFERROR(HLOOKUP(AX10,'סקרי נכסים-יתרות פתיחה'!$2:$76,74,0),0)-IFERROR(HLOOKUP(AX10,'סקרי נכסים-יתרות פתיחה'!$2:$90,88,0),0)</f>
        <v>20357973.557142857</v>
      </c>
      <c r="AY111" s="47">
        <f>+IFERROR(HLOOKUP(AY10,'סקרי נכסים-יתרות פתיחה'!$2:$76,74,0),0)-IFERROR(HLOOKUP(AY10,'סקרי נכסים-יתרות פתיחה'!$2:$90,88,0),0)</f>
        <v>0</v>
      </c>
      <c r="AZ111" s="47">
        <f>+IFERROR(HLOOKUP(AZ10,'סקרי נכסים-יתרות פתיחה'!$2:$76,74,0),0)-IFERROR(HLOOKUP(AZ10,'סקרי נכסים-יתרות פתיחה'!$2:$90,88,0),0)</f>
        <v>13538764.557142857</v>
      </c>
      <c r="BA111" s="47">
        <f>+IFERROR(HLOOKUP(BA10,'סקרי נכסים-יתרות פתיחה'!$2:$76,74,0),0)-IFERROR(HLOOKUP(BA10,'סקרי נכסים-יתרות פתיחה'!$2:$90,88,0),0)</f>
        <v>20217423.800000001</v>
      </c>
      <c r="BB111" s="47">
        <f>+IFERROR(HLOOKUP(BB10,'סקרי נכסים-יתרות פתיחה'!$2:$76,74,0),0)-IFERROR(HLOOKUP(BB10,'סקרי נכסים-יתרות פתיחה'!$2:$90,88,0),0)</f>
        <v>12721408.9</v>
      </c>
      <c r="BC111" s="47">
        <f>+IFERROR(HLOOKUP(BC10,'סקרי נכסים-יתרות פתיחה'!$2:$76,74,0),0)-IFERROR(HLOOKUP(BC10,'סקרי נכסים-יתרות פתיחה'!$2:$90,88,0),0)</f>
        <v>13319646.985714287</v>
      </c>
      <c r="BD111" s="47">
        <f>+IFERROR(HLOOKUP(BD10,'סקרי נכסים-יתרות פתיחה'!$2:$76,74,0),0)-IFERROR(HLOOKUP(BD10,'סקרי נכסים-יתרות פתיחה'!$2:$90,88,0),0)</f>
        <v>0</v>
      </c>
      <c r="BE111" s="47">
        <f>+IFERROR(HLOOKUP(BE10,'סקרי נכסים-יתרות פתיחה'!$2:$76,74,0),0)-IFERROR(HLOOKUP(BE10,'סקרי נכסים-יתרות פתיחה'!$2:$90,88,0),0)</f>
        <v>0</v>
      </c>
      <c r="BF111" s="47">
        <f>+IFERROR(HLOOKUP(BF10,'סקרי נכסים-יתרות פתיחה'!$2:$76,74,0),0)-IFERROR(HLOOKUP(BF10,'סקרי נכסים-יתרות פתיחה'!$2:$90,88,0),0)</f>
        <v>0</v>
      </c>
    </row>
    <row r="112" spans="1:58" x14ac:dyDescent="0.2">
      <c r="B112" s="1">
        <v>4</v>
      </c>
      <c r="C112" s="47">
        <f>+IFERROR(HLOOKUP(C11,'סקרי נכסים-יתרות פתיחה'!$2:$76,74,0),0)-IFERROR(HLOOKUP(C11,'סקרי נכסים-יתרות פתיחה'!$2:$90,88,0),0)</f>
        <v>0</v>
      </c>
      <c r="D112" s="47">
        <f>+IFERROR(HLOOKUP(D11,'סקרי נכסים-יתרות פתיחה'!$2:$76,74,0),0)-IFERROR(HLOOKUP(D11,'סקרי נכסים-יתרות פתיחה'!$2:$90,88,0),0)</f>
        <v>12571020</v>
      </c>
      <c r="E112" s="47">
        <f>+IFERROR(HLOOKUP(E11,'סקרי נכסים-יתרות פתיחה'!$2:$76,74,0),0)-IFERROR(HLOOKUP(E11,'סקרי נכסים-יתרות פתיחה'!$2:$90,88,0),0)</f>
        <v>0</v>
      </c>
      <c r="F112" s="47">
        <f>+IFERROR(HLOOKUP(F11,'סקרי נכסים-יתרות פתיחה'!$2:$76,74,0),0)-IFERROR(HLOOKUP(F11,'סקרי נכסים-יתרות פתיחה'!$2:$90,88,0),0)</f>
        <v>0</v>
      </c>
      <c r="G112" s="47">
        <f>+IFERROR(HLOOKUP(G11,'סקרי נכסים-יתרות פתיחה'!$2:$76,74,0),0)-IFERROR(HLOOKUP(G11,'סקרי נכסים-יתרות פתיחה'!$2:$90,88,0),0)</f>
        <v>0</v>
      </c>
      <c r="H112" s="47">
        <f>+IFERROR(HLOOKUP(H11,'סקרי נכסים-יתרות פתיחה'!$2:$76,74,0),0)-IFERROR(HLOOKUP(H11,'סקרי נכסים-יתרות פתיחה'!$2:$90,88,0),0)</f>
        <v>0</v>
      </c>
      <c r="I112" s="47">
        <f>+IFERROR(HLOOKUP(I11,'סקרי נכסים-יתרות פתיחה'!$2:$76,74,0),0)-IFERROR(HLOOKUP(I11,'סקרי נכסים-יתרות פתיחה'!$2:$90,88,0),0)</f>
        <v>0</v>
      </c>
      <c r="J112" s="47">
        <f>+IFERROR(HLOOKUP(J11,'סקרי נכסים-יתרות פתיחה'!$2:$76,74,0),0)-IFERROR(HLOOKUP(J11,'סקרי נכסים-יתרות פתיחה'!$2:$90,88,0),0)</f>
        <v>0</v>
      </c>
      <c r="K112" s="47">
        <f>+IFERROR(HLOOKUP(K11,'סקרי נכסים-יתרות פתיחה'!$2:$76,74,0),0)-IFERROR(HLOOKUP(K11,'סקרי נכסים-יתרות פתיחה'!$2:$90,88,0),0)</f>
        <v>0</v>
      </c>
      <c r="L112" s="47">
        <f>+IFERROR(HLOOKUP(L11,'סקרי נכסים-יתרות פתיחה'!$2:$76,74,0),0)-IFERROR(HLOOKUP(L11,'סקרי נכסים-יתרות פתיחה'!$2:$90,88,0),0)</f>
        <v>6707786.7000000002</v>
      </c>
      <c r="M112" s="47">
        <f>+IFERROR(HLOOKUP(M11,'סקרי נכסים-יתרות פתיחה'!$2:$76,74,0),0)-IFERROR(HLOOKUP(M11,'סקרי נכסים-יתרות פתיחה'!$2:$90,88,0),0)</f>
        <v>0</v>
      </c>
      <c r="N112" s="47">
        <f>+IFERROR(HLOOKUP(N11,'סקרי נכסים-יתרות פתיחה'!$2:$76,74,0),0)-IFERROR(HLOOKUP(N11,'סקרי נכסים-יתרות פתיחה'!$2:$90,88,0),0)</f>
        <v>0</v>
      </c>
      <c r="O112" s="47">
        <f>+IFERROR(HLOOKUP(O11,'סקרי נכסים-יתרות פתיחה'!$2:$76,74,0),0)-IFERROR(HLOOKUP(O11,'סקרי נכסים-יתרות פתיחה'!$2:$90,88,0),0)</f>
        <v>23641412.142857142</v>
      </c>
      <c r="P112" s="47">
        <f>+IFERROR(HLOOKUP(P11,'סקרי נכסים-יתרות פתיחה'!$2:$76,74,0),0)-IFERROR(HLOOKUP(P11,'סקרי נכסים-יתרות פתיחה'!$2:$90,88,0),0)</f>
        <v>4262613.0857142862</v>
      </c>
      <c r="Q112" s="47">
        <f>+IFERROR(HLOOKUP(Q11,'סקרי נכסים-יתרות פתיחה'!$2:$76,74,0),0)-IFERROR(HLOOKUP(Q11,'סקרי נכסים-יתרות פתיחה'!$2:$90,88,0),0)</f>
        <v>0</v>
      </c>
      <c r="R112" s="47">
        <f>+IFERROR(HLOOKUP(R11,'סקרי נכסים-יתרות פתיחה'!$2:$76,74,0),0)-IFERROR(HLOOKUP(R11,'סקרי נכסים-יתרות פתיחה'!$2:$90,88,0),0)</f>
        <v>0</v>
      </c>
      <c r="S112" s="47">
        <f>+IFERROR(HLOOKUP(S11,'סקרי נכסים-יתרות פתיחה'!$2:$76,74,0),0)-IFERROR(HLOOKUP(S11,'סקרי נכסים-יתרות פתיחה'!$2:$90,88,0),0)</f>
        <v>0</v>
      </c>
      <c r="T112" s="47">
        <f>+IFERROR(HLOOKUP(T11,'סקרי נכסים-יתרות פתיחה'!$2:$76,74,0),0)-IFERROR(HLOOKUP(T11,'סקרי נכסים-יתרות פתיחה'!$2:$90,88,0),0)</f>
        <v>7613760</v>
      </c>
      <c r="U112" s="47">
        <f>+IFERROR(HLOOKUP(#REF!,'סקרי נכסים-יתרות פתיחה'!$2:$76,74,0),0)-IFERROR(HLOOKUP(#REF!,'סקרי נכסים-יתרות פתיחה'!$2:$90,88,0),0)</f>
        <v>0</v>
      </c>
      <c r="V112" s="47">
        <f>+IFERROR(HLOOKUP(V11,'סקרי נכסים-יתרות פתיחה'!$2:$76,74,0),0)-IFERROR(HLOOKUP(V11,'סקרי נכסים-יתרות פתיחה'!$2:$90,88,0),0)</f>
        <v>9877037.3571428582</v>
      </c>
      <c r="W112" s="47">
        <f>+IFERROR(HLOOKUP(W11,'סקרי נכסים-יתרות פתיחה'!$2:$76,74,0),0)-IFERROR(HLOOKUP(W11,'סקרי נכסים-יתרות פתיחה'!$2:$90,88,0),0)</f>
        <v>6895886.1714285715</v>
      </c>
      <c r="X112" s="47">
        <f>+IFERROR(HLOOKUP(X11,'סקרי נכסים-יתרות פתיחה'!$2:$76,74,0),0)-IFERROR(HLOOKUP(X11,'סקרי נכסים-יתרות פתיחה'!$2:$90,88,0),0)</f>
        <v>7760584.2000000002</v>
      </c>
      <c r="Y112" s="47">
        <f>+IFERROR(HLOOKUP(Y11,'סקרי נכסים-יתרות פתיחה'!$2:$76,74,0),0)-IFERROR(HLOOKUP(Y11,'סקרי נכסים-יתרות פתיחה'!$2:$90,88,0),0)</f>
        <v>16818072.300000001</v>
      </c>
      <c r="Z112" s="47">
        <f>+IFERROR(HLOOKUP(Z11,'סקרי נכסים-יתרות פתיחה'!$2:$76,74,0),0)-IFERROR(HLOOKUP(Z11,'סקרי נכסים-יתרות פתיחה'!$2:$90,88,0),0)</f>
        <v>0</v>
      </c>
      <c r="AA112" s="47">
        <f>+IFERROR(HLOOKUP(AA11,'סקרי נכסים-יתרות פתיחה'!$2:$76,74,0),0)-IFERROR(HLOOKUP(AA11,'סקרי נכסים-יתרות פתיחה'!$2:$90,88,0),0)</f>
        <v>0</v>
      </c>
      <c r="AB112" s="47">
        <f>+IFERROR(HLOOKUP(AB11,'סקרי נכסים-יתרות פתיחה'!$2:$76,74,0),0)-IFERROR(HLOOKUP(AB11,'סקרי נכסים-יתרות פתיחה'!$2:$90,88,0),0)</f>
        <v>0</v>
      </c>
      <c r="AC112" s="47">
        <f>+IFERROR(HLOOKUP(AC11,'סקרי נכסים-יתרות פתיחה'!$2:$76,74,0),0)-IFERROR(HLOOKUP(AC11,'סקרי נכסים-יתרות פתיחה'!$2:$90,88,0),0)</f>
        <v>0</v>
      </c>
      <c r="AD112" s="47">
        <f>+IFERROR(HLOOKUP(AD11,'סקרי נכסים-יתרות פתיחה'!$2:$76,74,0),0)-IFERROR(HLOOKUP(AD11,'סקרי נכסים-יתרות פתיחה'!$2:$90,88,0),0)</f>
        <v>0</v>
      </c>
      <c r="AE112" s="47">
        <f>+IFERROR(HLOOKUP(AE11,'סקרי נכסים-יתרות פתיחה'!$2:$76,74,0),0)-IFERROR(HLOOKUP(AE11,'סקרי נכסים-יתרות פתיחה'!$2:$90,88,0),0)</f>
        <v>0</v>
      </c>
      <c r="AF112" s="47">
        <f>+IFERROR(HLOOKUP(AF11,'סקרי נכסים-יתרות פתיחה'!$2:$76,74,0),0)-IFERROR(HLOOKUP(AF11,'סקרי נכסים-יתרות פתיחה'!$2:$90,88,0),0)</f>
        <v>0</v>
      </c>
      <c r="AG112" s="47">
        <f>+IFERROR(HLOOKUP(AG11,'סקרי נכסים-יתרות פתיחה'!$2:$76,74,0),0)-IFERROR(HLOOKUP(AG11,'סקרי נכסים-יתרות פתיחה'!$2:$90,88,0),0)</f>
        <v>0</v>
      </c>
      <c r="AH112" s="47">
        <f>+IFERROR(HLOOKUP(AH11,'סקרי נכסים-יתרות פתיחה'!$2:$76,74,0),0)-IFERROR(HLOOKUP(AH11,'סקרי נכסים-יתרות פתיחה'!$2:$90,88,0),0)</f>
        <v>0</v>
      </c>
      <c r="AI112" s="47">
        <f>+IFERROR(HLOOKUP(AI11,'סקרי נכסים-יתרות פתיחה'!$2:$76,74,0),0)-IFERROR(HLOOKUP(AI11,'סקרי נכסים-יתרות פתיחה'!$2:$90,88,0),0)</f>
        <v>0</v>
      </c>
      <c r="AJ112" s="47">
        <f>+IFERROR(HLOOKUP(AJ11,'סקרי נכסים-יתרות פתיחה'!$2:$76,74,0),0)-IFERROR(HLOOKUP(AJ11,'סקרי נכסים-יתרות פתיחה'!$2:$90,88,0),0)</f>
        <v>0</v>
      </c>
      <c r="AK112" s="47">
        <f>+IFERROR(HLOOKUP(AK11,'סקרי נכסים-יתרות פתיחה'!$2:$76,74,0),0)-IFERROR(HLOOKUP(AK11,'סקרי נכסים-יתרות פתיחה'!$2:$90,88,0),0)</f>
        <v>0</v>
      </c>
      <c r="AL112" s="47">
        <f>+IFERROR(HLOOKUP(AL11,'סקרי נכסים-יתרות פתיחה'!$2:$76,74,0),0)-IFERROR(HLOOKUP(AL11,'סקרי נכסים-יתרות פתיחה'!$2:$90,88,0),0)</f>
        <v>0</v>
      </c>
      <c r="AM112" s="47">
        <f>+IFERROR(HLOOKUP(AM11,'סקרי נכסים-יתרות פתיחה'!$2:$76,74,0),0)-IFERROR(HLOOKUP(AM11,'סקרי נכסים-יתרות פתיחה'!$2:$90,88,0),0)</f>
        <v>22393712.128571428</v>
      </c>
      <c r="AN112" s="47">
        <f>+IFERROR(HLOOKUP(AN11,'סקרי נכסים-יתרות פתיחה'!$2:$76,74,0),0)-IFERROR(HLOOKUP(AN11,'סקרי נכסים-יתרות פתיחה'!$2:$90,88,0),0)</f>
        <v>13952486.428571429</v>
      </c>
      <c r="AO112" s="47">
        <f>+IFERROR(HLOOKUP(AO11,'סקרי נכסים-יתרות פתיחה'!$2:$76,74,0),0)-IFERROR(HLOOKUP(AO11,'סקרי נכסים-יתרות פתיחה'!$2:$90,88,0),0)</f>
        <v>0</v>
      </c>
      <c r="AP112" s="47">
        <f>+IFERROR(HLOOKUP(AP11,'סקרי נכסים-יתרות פתיחה'!$2:$76,74,0),0)-IFERROR(HLOOKUP(AP11,'סקרי נכסים-יתרות פתיחה'!$2:$90,88,0),0)</f>
        <v>0</v>
      </c>
      <c r="AQ112" s="47">
        <f>+IFERROR(HLOOKUP(AQ11,'סקרי נכסים-יתרות פתיחה'!$2:$76,74,0),0)-IFERROR(HLOOKUP(AQ11,'סקרי נכסים-יתרות פתיחה'!$2:$90,88,0),0)</f>
        <v>0</v>
      </c>
      <c r="AR112" s="47">
        <f>+IFERROR(HLOOKUP(AR11,'סקרי נכסים-יתרות פתיחה'!$2:$76,74,0),0)-IFERROR(HLOOKUP(AR11,'סקרי נכסים-יתרות פתיחה'!$2:$90,88,0),0)</f>
        <v>0</v>
      </c>
      <c r="AS112" s="47">
        <f>+IFERROR(HLOOKUP(AS11,'סקרי נכסים-יתרות פתיחה'!$2:$76,74,0),0)-IFERROR(HLOOKUP(AS11,'סקרי נכסים-יתרות פתיחה'!$2:$90,88,0),0)</f>
        <v>9797655.9000000004</v>
      </c>
      <c r="AT112" s="47">
        <f>+IFERROR(HLOOKUP(AT11,'סקרי נכסים-יתרות פתיחה'!$2:$76,74,0),0)-IFERROR(HLOOKUP(AT11,'סקרי נכסים-יתרות פתיחה'!$2:$90,88,0),0)</f>
        <v>0</v>
      </c>
      <c r="AU112" s="47">
        <f>+IFERROR(HLOOKUP(AU11,'סקרי נכסים-יתרות פתיחה'!$2:$76,74,0),0)-IFERROR(HLOOKUP(AU11,'סקרי נכסים-יתרות פתיחה'!$2:$90,88,0),0)</f>
        <v>0</v>
      </c>
      <c r="AV112" s="47">
        <f>+IFERROR(HLOOKUP(AV11,'סקרי נכסים-יתרות פתיחה'!$2:$76,74,0),0)-IFERROR(HLOOKUP(AV11,'סקרי נכסים-יתרות פתיחה'!$2:$90,88,0),0)</f>
        <v>0</v>
      </c>
      <c r="AW112" s="47">
        <f>+IFERROR(HLOOKUP(AW11,'סקרי נכסים-יתרות פתיחה'!$2:$76,74,0),0)-IFERROR(HLOOKUP(AW11,'סקרי נכסים-יתרות פתיחה'!$2:$90,88,0),0)</f>
        <v>0</v>
      </c>
      <c r="AX112" s="47">
        <f>+IFERROR(HLOOKUP(AX11,'סקרי נכסים-יתרות פתיחה'!$2:$76,74,0),0)-IFERROR(HLOOKUP(AX11,'סקרי נכסים-יתרות פתיחה'!$2:$90,88,0),0)</f>
        <v>24623913.571428571</v>
      </c>
      <c r="AY112" s="47">
        <f>+IFERROR(HLOOKUP(AY11,'סקרי נכסים-יתרות פתיחה'!$2:$76,74,0),0)-IFERROR(HLOOKUP(AY11,'סקרי נכסים-יתרות פתיחה'!$2:$90,88,0),0)</f>
        <v>0</v>
      </c>
      <c r="AZ112" s="47">
        <f>+IFERROR(HLOOKUP(AZ11,'סקרי נכסים-יתרות פתיחה'!$2:$76,74,0),0)-IFERROR(HLOOKUP(AZ11,'סקרי נכסים-יתרות פתיחה'!$2:$90,88,0),0)</f>
        <v>46345430</v>
      </c>
      <c r="BA112" s="47">
        <f>+IFERROR(HLOOKUP(BA11,'סקרי נכסים-יתרות פתיחה'!$2:$76,74,0),0)-IFERROR(HLOOKUP(BA11,'סקרי נכסים-יתרות פתיחה'!$2:$90,88,0),0)</f>
        <v>19976344.742857143</v>
      </c>
      <c r="BB112" s="47">
        <f>+IFERROR(HLOOKUP(BB11,'סקרי נכסים-יתרות פתיחה'!$2:$76,74,0),0)-IFERROR(HLOOKUP(BB11,'סקרי נכסים-יתרות פתיחה'!$2:$90,88,0),0)</f>
        <v>9424012.6857142858</v>
      </c>
      <c r="BC112" s="47">
        <f>+IFERROR(HLOOKUP(BC11,'סקרי נכסים-יתרות פתיחה'!$2:$76,74,0),0)-IFERROR(HLOOKUP(BC11,'סקרי נכסים-יתרות פתיחה'!$2:$90,88,0),0)</f>
        <v>17841644.671428572</v>
      </c>
      <c r="BD112" s="47">
        <f>+IFERROR(HLOOKUP(BD11,'סקרי נכסים-יתרות פתיחה'!$2:$76,74,0),0)-IFERROR(HLOOKUP(BD11,'סקרי נכסים-יתרות פתיחה'!$2:$90,88,0),0)</f>
        <v>0</v>
      </c>
      <c r="BE112" s="47">
        <f>+IFERROR(HLOOKUP(BE11,'סקרי נכסים-יתרות פתיחה'!$2:$76,74,0),0)-IFERROR(HLOOKUP(BE11,'סקרי נכסים-יתרות פתיחה'!$2:$90,88,0),0)</f>
        <v>0</v>
      </c>
      <c r="BF112" s="47">
        <f>+IFERROR(HLOOKUP(BF11,'סקרי נכסים-יתרות פתיחה'!$2:$76,74,0),0)-IFERROR(HLOOKUP(BF11,'סקרי נכסים-יתרות פתיחה'!$2:$90,88,0),0)</f>
        <v>0</v>
      </c>
    </row>
    <row r="113" spans="2:58" x14ac:dyDescent="0.2">
      <c r="B113" s="1">
        <v>5</v>
      </c>
      <c r="C113" s="47">
        <f>+IFERROR(HLOOKUP(C12,'סקרי נכסים-יתרות פתיחה'!$2:$76,74,0),0)-IFERROR(HLOOKUP(C12,'סקרי נכסים-יתרות פתיחה'!$2:$90,88,0),0)</f>
        <v>0</v>
      </c>
      <c r="D113" s="47">
        <f>+IFERROR(HLOOKUP(D12,'סקרי נכסים-יתרות פתיחה'!$2:$76,74,0),0)-IFERROR(HLOOKUP(D12,'סקרי נכסים-יתרות פתיחה'!$2:$90,88,0),0)</f>
        <v>6652937</v>
      </c>
      <c r="E113" s="47">
        <f>+IFERROR(HLOOKUP(E12,'סקרי נכסים-יתרות פתיחה'!$2:$76,74,0),0)-IFERROR(HLOOKUP(E12,'סקרי נכסים-יתרות פתיחה'!$2:$90,88,0),0)</f>
        <v>0</v>
      </c>
      <c r="F113" s="47">
        <f>+IFERROR(HLOOKUP(F12,'סקרי נכסים-יתרות פתיחה'!$2:$76,74,0),0)-IFERROR(HLOOKUP(F12,'סקרי נכסים-יתרות פתיחה'!$2:$90,88,0),0)</f>
        <v>0</v>
      </c>
      <c r="G113" s="47">
        <f>+IFERROR(HLOOKUP(G12,'סקרי נכסים-יתרות פתיחה'!$2:$76,74,0),0)-IFERROR(HLOOKUP(G12,'סקרי נכסים-יתרות פתיחה'!$2:$90,88,0),0)</f>
        <v>0</v>
      </c>
      <c r="H113" s="47">
        <f>+IFERROR(HLOOKUP(H12,'סקרי נכסים-יתרות פתיחה'!$2:$76,74,0),0)-IFERROR(HLOOKUP(H12,'סקרי נכסים-יתרות פתיחה'!$2:$90,88,0),0)</f>
        <v>0</v>
      </c>
      <c r="I113" s="47">
        <f>+IFERROR(HLOOKUP(I12,'סקרי נכסים-יתרות פתיחה'!$2:$76,74,0),0)-IFERROR(HLOOKUP(I12,'סקרי נכסים-יתרות פתיחה'!$2:$90,88,0),0)</f>
        <v>0</v>
      </c>
      <c r="J113" s="47">
        <f>+IFERROR(HLOOKUP(J12,'סקרי נכסים-יתרות פתיחה'!$2:$76,74,0),0)-IFERROR(HLOOKUP(J12,'סקרי נכסים-יתרות פתיחה'!$2:$90,88,0),0)</f>
        <v>0</v>
      </c>
      <c r="K113" s="47">
        <f>+IFERROR(HLOOKUP(K12,'סקרי נכסים-יתרות פתיחה'!$2:$76,74,0),0)-IFERROR(HLOOKUP(K12,'סקרי נכסים-יתרות פתיחה'!$2:$90,88,0),0)</f>
        <v>0</v>
      </c>
      <c r="L113" s="47">
        <f>+IFERROR(HLOOKUP(L12,'סקרי נכסים-יתרות פתיחה'!$2:$76,74,0),0)-IFERROR(HLOOKUP(L12,'סקרי נכסים-יתרות פתיחה'!$2:$90,88,0),0)</f>
        <v>0</v>
      </c>
      <c r="M113" s="47">
        <f>+IFERROR(HLOOKUP(M12,'סקרי נכסים-יתרות פתיחה'!$2:$76,74,0),0)-IFERROR(HLOOKUP(M12,'סקרי נכסים-יתרות פתיחה'!$2:$90,88,0),0)</f>
        <v>0</v>
      </c>
      <c r="N113" s="47">
        <f>+IFERROR(HLOOKUP(N12,'סקרי נכסים-יתרות פתיחה'!$2:$76,74,0),0)-IFERROR(HLOOKUP(N12,'סקרי נכסים-יתרות פתיחה'!$2:$90,88,0),0)</f>
        <v>0</v>
      </c>
      <c r="O113" s="47">
        <f>+IFERROR(HLOOKUP(O12,'סקרי נכסים-יתרות פתיחה'!$2:$76,74,0),0)-IFERROR(HLOOKUP(O12,'סקרי נכסים-יתרות פתיחה'!$2:$90,88,0),0)</f>
        <v>0</v>
      </c>
      <c r="P113" s="47">
        <f>+IFERROR(HLOOKUP(P12,'סקרי נכסים-יתרות פתיחה'!$2:$76,74,0),0)-IFERROR(HLOOKUP(P12,'סקרי נכסים-יתרות פתיחה'!$2:$90,88,0),0)</f>
        <v>5694589.0714285709</v>
      </c>
      <c r="Q113" s="47">
        <f>+IFERROR(HLOOKUP(Q12,'סקרי נכסים-יתרות פתיחה'!$2:$76,74,0),0)-IFERROR(HLOOKUP(Q12,'סקרי נכסים-יתרות פתיחה'!$2:$90,88,0),0)</f>
        <v>0</v>
      </c>
      <c r="R113" s="47">
        <f>+IFERROR(HLOOKUP(R12,'סקרי נכסים-יתרות פתיחה'!$2:$76,74,0),0)-IFERROR(HLOOKUP(R12,'סקרי נכסים-יתרות פתיחה'!$2:$90,88,0),0)</f>
        <v>0</v>
      </c>
      <c r="S113" s="47">
        <f>+IFERROR(HLOOKUP(S12,'סקרי נכסים-יתרות פתיחה'!$2:$76,74,0),0)-IFERROR(HLOOKUP(S12,'סקרי נכסים-יתרות פתיחה'!$2:$90,88,0),0)</f>
        <v>0</v>
      </c>
      <c r="T113" s="47">
        <f>+IFERROR(HLOOKUP(T12,'סקרי נכסים-יתרות פתיחה'!$2:$76,74,0),0)-IFERROR(HLOOKUP(T12,'סקרי נכסים-יתרות פתיחה'!$2:$90,88,0),0)</f>
        <v>0</v>
      </c>
      <c r="U113" s="47">
        <f>+IFERROR(HLOOKUP(U12,'סקרי נכסים-יתרות פתיחה'!$2:$76,74,0),0)-IFERROR(HLOOKUP(U12,'סקרי נכסים-יתרות פתיחה'!$2:$90,88,0),0)</f>
        <v>0</v>
      </c>
      <c r="V113" s="47">
        <f>+IFERROR(HLOOKUP(V12,'סקרי נכסים-יתרות פתיחה'!$2:$76,74,0),0)-IFERROR(HLOOKUP(V12,'סקרי נכסים-יתרות פתיחה'!$2:$90,88,0),0)</f>
        <v>10810199.142857144</v>
      </c>
      <c r="W113" s="47">
        <f>+IFERROR(HLOOKUP(W12,'סקרי נכסים-יתרות פתיחה'!$2:$76,74,0),0)-IFERROR(HLOOKUP(W12,'סקרי נכסים-יתרות פתיחה'!$2:$90,88,0),0)</f>
        <v>3415733.1428571427</v>
      </c>
      <c r="X113" s="47">
        <f>+IFERROR(HLOOKUP(X12,'סקרי נכסים-יתרות פתיחה'!$2:$76,74,0),0)-IFERROR(HLOOKUP(X12,'סקרי נכסים-יתרות פתיחה'!$2:$90,88,0),0)</f>
        <v>9927918.8142857142</v>
      </c>
      <c r="Y113" s="47">
        <f>+IFERROR(HLOOKUP(Y12,'סקרי נכסים-יתרות פתיחה'!$2:$76,74,0),0)-IFERROR(HLOOKUP(Y12,'סקרי נכסים-יתרות פתיחה'!$2:$90,88,0),0)</f>
        <v>0</v>
      </c>
      <c r="Z113" s="47">
        <f>+IFERROR(HLOOKUP(Z12,'סקרי נכסים-יתרות פתיחה'!$2:$76,74,0),0)-IFERROR(HLOOKUP(Z12,'סקרי נכסים-יתרות פתיחה'!$2:$90,88,0),0)</f>
        <v>0</v>
      </c>
      <c r="AA113" s="47">
        <f>+IFERROR(HLOOKUP(AA12,'סקרי נכסים-יתרות פתיחה'!$2:$76,74,0),0)-IFERROR(HLOOKUP(AA12,'סקרי נכסים-יתרות פתיחה'!$2:$90,88,0),0)</f>
        <v>0</v>
      </c>
      <c r="AB113" s="47">
        <f>+IFERROR(HLOOKUP(AB12,'סקרי נכסים-יתרות פתיחה'!$2:$76,74,0),0)-IFERROR(HLOOKUP(AB12,'סקרי נכסים-יתרות פתיחה'!$2:$90,88,0),0)</f>
        <v>0</v>
      </c>
      <c r="AC113" s="47">
        <f>+IFERROR(HLOOKUP(AC12,'סקרי נכסים-יתרות פתיחה'!$2:$76,74,0),0)-IFERROR(HLOOKUP(AC12,'סקרי נכסים-יתרות פתיחה'!$2:$90,88,0),0)</f>
        <v>0</v>
      </c>
      <c r="AD113" s="47">
        <f>+IFERROR(HLOOKUP(AD12,'סקרי נכסים-יתרות פתיחה'!$2:$76,74,0),0)-IFERROR(HLOOKUP(AD12,'סקרי נכסים-יתרות פתיחה'!$2:$90,88,0),0)</f>
        <v>0</v>
      </c>
      <c r="AE113" s="47">
        <f>+IFERROR(HLOOKUP(AE12,'סקרי נכסים-יתרות פתיחה'!$2:$76,74,0),0)-IFERROR(HLOOKUP(AE12,'סקרי נכסים-יתרות פתיחה'!$2:$90,88,0),0)</f>
        <v>0</v>
      </c>
      <c r="AF113" s="47">
        <f>+IFERROR(HLOOKUP(AF12,'סקרי נכסים-יתרות פתיחה'!$2:$76,74,0),0)-IFERROR(HLOOKUP(AF12,'סקרי נכסים-יתרות פתיחה'!$2:$90,88,0),0)</f>
        <v>0</v>
      </c>
      <c r="AG113" s="47">
        <f>+IFERROR(HLOOKUP(AG12,'סקרי נכסים-יתרות פתיחה'!$2:$76,74,0),0)-IFERROR(HLOOKUP(AG12,'סקרי נכסים-יתרות פתיחה'!$2:$90,88,0),0)</f>
        <v>0</v>
      </c>
      <c r="AH113" s="47">
        <f>+IFERROR(HLOOKUP(AH12,'סקרי נכסים-יתרות פתיחה'!$2:$76,74,0),0)-IFERROR(HLOOKUP(AH12,'סקרי נכסים-יתרות פתיחה'!$2:$90,88,0),0)</f>
        <v>0</v>
      </c>
      <c r="AI113" s="47">
        <f>+IFERROR(HLOOKUP(AI12,'סקרי נכסים-יתרות פתיחה'!$2:$76,74,0),0)-IFERROR(HLOOKUP(AI12,'סקרי נכסים-יתרות פתיחה'!$2:$90,88,0),0)</f>
        <v>0</v>
      </c>
      <c r="AJ113" s="47">
        <f>+IFERROR(HLOOKUP(AJ12,'סקרי נכסים-יתרות פתיחה'!$2:$76,74,0),0)-IFERROR(HLOOKUP(AJ12,'סקרי נכסים-יתרות פתיחה'!$2:$90,88,0),0)</f>
        <v>0</v>
      </c>
      <c r="AK113" s="47">
        <f>+IFERROR(HLOOKUP(AK12,'סקרי נכסים-יתרות פתיחה'!$2:$76,74,0),0)-IFERROR(HLOOKUP(AK12,'סקרי נכסים-יתרות פתיחה'!$2:$90,88,0),0)</f>
        <v>0</v>
      </c>
      <c r="AL113" s="47">
        <f>+IFERROR(HLOOKUP(AL12,'סקרי נכסים-יתרות פתיחה'!$2:$76,74,0),0)-IFERROR(HLOOKUP(AL12,'סקרי נכסים-יתרות פתיחה'!$2:$90,88,0),0)</f>
        <v>0</v>
      </c>
      <c r="AM113" s="47">
        <f>+IFERROR(HLOOKUP(AM12,'סקרי נכסים-יתרות פתיחה'!$2:$76,74,0),0)-IFERROR(HLOOKUP(AM12,'סקרי נכסים-יתרות פתיחה'!$2:$90,88,0),0)</f>
        <v>15356747.571428571</v>
      </c>
      <c r="AN113" s="47">
        <f>+IFERROR(HLOOKUP(AN12,'סקרי נכסים-יתרות פתיחה'!$2:$76,74,0),0)-IFERROR(HLOOKUP(AN12,'סקרי נכסים-יתרות פתיחה'!$2:$90,88,0),0)</f>
        <v>23347401.428571429</v>
      </c>
      <c r="AO113" s="47">
        <f>+IFERROR(HLOOKUP(AO12,'סקרי נכסים-יתרות פתיחה'!$2:$76,74,0),0)-IFERROR(HLOOKUP(AO12,'סקרי נכסים-יתרות פתיחה'!$2:$90,88,0),0)</f>
        <v>0</v>
      </c>
      <c r="AP113" s="47">
        <f>+IFERROR(HLOOKUP(AP12,'סקרי נכסים-יתרות פתיחה'!$2:$76,74,0),0)-IFERROR(HLOOKUP(AP12,'סקרי נכסים-יתרות פתיחה'!$2:$90,88,0),0)</f>
        <v>0</v>
      </c>
      <c r="AQ113" s="47">
        <f>+IFERROR(HLOOKUP(AQ12,'סקרי נכסים-יתרות פתיחה'!$2:$76,74,0),0)-IFERROR(HLOOKUP(AQ12,'סקרי נכסים-יתרות פתיחה'!$2:$90,88,0),0)</f>
        <v>0</v>
      </c>
      <c r="AR113" s="47">
        <f>+IFERROR(HLOOKUP(AR12,'סקרי נכסים-יתרות פתיחה'!$2:$76,74,0),0)-IFERROR(HLOOKUP(AR12,'סקרי נכסים-יתרות פתיחה'!$2:$90,88,0),0)</f>
        <v>0</v>
      </c>
      <c r="AS113" s="47">
        <f>+IFERROR(HLOOKUP(AS12,'סקרי נכסים-יתרות פתיחה'!$2:$76,74,0),0)-IFERROR(HLOOKUP(AS12,'סקרי נכסים-יתרות פתיחה'!$2:$90,88,0),0)</f>
        <v>25275944.014285713</v>
      </c>
      <c r="AT113" s="47">
        <f>+IFERROR(HLOOKUP(AT12,'סקרי נכסים-יתרות פתיחה'!$2:$76,74,0),0)-IFERROR(HLOOKUP(AT12,'סקרי נכסים-יתרות פתיחה'!$2:$90,88,0),0)</f>
        <v>0</v>
      </c>
      <c r="AU113" s="47">
        <f>+IFERROR(HLOOKUP(AU12,'סקרי נכסים-יתרות פתיחה'!$2:$76,74,0),0)-IFERROR(HLOOKUP(AU12,'סקרי נכסים-יתרות פתיחה'!$2:$90,88,0),0)</f>
        <v>0</v>
      </c>
      <c r="AV113" s="47">
        <f>+IFERROR(HLOOKUP(AV12,'סקרי נכסים-יתרות פתיחה'!$2:$76,74,0),0)-IFERROR(HLOOKUP(AV12,'סקרי נכסים-יתרות פתיחה'!$2:$90,88,0),0)</f>
        <v>0</v>
      </c>
      <c r="AW113" s="47">
        <f>+IFERROR(HLOOKUP(AW12,'סקרי נכסים-יתרות פתיחה'!$2:$76,74,0),0)-IFERROR(HLOOKUP(AW12,'סקרי נכסים-יתרות פתיחה'!$2:$90,88,0),0)</f>
        <v>0</v>
      </c>
      <c r="AX113" s="47">
        <f>+IFERROR(HLOOKUP(AX12,'סקרי נכסים-יתרות פתיחה'!$2:$76,74,0),0)-IFERROR(HLOOKUP(AX12,'סקרי נכסים-יתרות פתיחה'!$2:$90,88,0),0)</f>
        <v>0</v>
      </c>
      <c r="AY113" s="47">
        <f>+IFERROR(HLOOKUP(AY12,'סקרי נכסים-יתרות פתיחה'!$2:$76,74,0),0)-IFERROR(HLOOKUP(AY12,'סקרי נכסים-יתרות פתיחה'!$2:$90,88,0),0)</f>
        <v>0</v>
      </c>
      <c r="AZ113" s="47">
        <f>+IFERROR(HLOOKUP(AZ12,'סקרי נכסים-יתרות פתיחה'!$2:$76,74,0),0)-IFERROR(HLOOKUP(AZ12,'סקרי נכסים-יתרות פתיחה'!$2:$90,88,0),0)</f>
        <v>0</v>
      </c>
      <c r="BA113" s="47">
        <f>+IFERROR(HLOOKUP(BA12,'סקרי נכסים-יתרות פתיחה'!$2:$76,74,0),0)-IFERROR(HLOOKUP(BA12,'סקרי נכסים-יתרות פתיחה'!$2:$90,88,0),0)</f>
        <v>0</v>
      </c>
      <c r="BB113" s="47">
        <f>+IFERROR(HLOOKUP(BB12,'סקרי נכסים-יתרות פתיחה'!$2:$76,74,0),0)-IFERROR(HLOOKUP(BB12,'סקרי נכסים-יתרות פתיחה'!$2:$90,88,0),0)</f>
        <v>26797861.528571427</v>
      </c>
      <c r="BC113" s="47">
        <f>+IFERROR(HLOOKUP(BC12,'סקרי נכסים-יתרות פתיחה'!$2:$76,74,0),0)-IFERROR(HLOOKUP(BC12,'סקרי נכסים-יתרות פתיחה'!$2:$90,88,0),0)</f>
        <v>27314437.714285716</v>
      </c>
      <c r="BD113" s="47">
        <f>+IFERROR(HLOOKUP(BD12,'סקרי נכסים-יתרות פתיחה'!$2:$76,74,0),0)-IFERROR(HLOOKUP(BD12,'סקרי נכסים-יתרות פתיחה'!$2:$90,88,0),0)</f>
        <v>0</v>
      </c>
      <c r="BE113" s="47">
        <f>+IFERROR(HLOOKUP(BE12,'סקרי נכסים-יתרות פתיחה'!$2:$76,74,0),0)-IFERROR(HLOOKUP(BE12,'סקרי נכסים-יתרות פתיחה'!$2:$90,88,0),0)</f>
        <v>0</v>
      </c>
      <c r="BF113" s="47">
        <f>+IFERROR(HLOOKUP(BF12,'סקרי נכסים-יתרות פתיחה'!$2:$76,74,0),0)-IFERROR(HLOOKUP(BF12,'סקרי נכסים-יתרות פתיחה'!$2:$90,88,0),0)</f>
        <v>0</v>
      </c>
    </row>
    <row r="114" spans="2:58" x14ac:dyDescent="0.2">
      <c r="B114" s="1">
        <v>6</v>
      </c>
      <c r="C114" s="47">
        <f>+IFERROR(HLOOKUP(C13,'סקרי נכסים-יתרות פתיחה'!$2:$76,74,0),0)-IFERROR(HLOOKUP(C13,'סקרי נכסים-יתרות פתיחה'!$2:$90,88,0),0)</f>
        <v>0</v>
      </c>
      <c r="D114" s="47">
        <f>+IFERROR(HLOOKUP(D13,'סקרי נכסים-יתרות פתיחה'!$2:$76,74,0),0)-IFERROR(HLOOKUP(D13,'סקרי נכסים-יתרות פתיחה'!$2:$90,88,0),0)</f>
        <v>9493918</v>
      </c>
      <c r="E114" s="47">
        <f>+IFERROR(HLOOKUP(E13,'סקרי נכסים-יתרות פתיחה'!$2:$76,74,0),0)-IFERROR(HLOOKUP(E13,'סקרי נכסים-יתרות פתיחה'!$2:$90,88,0),0)</f>
        <v>0</v>
      </c>
      <c r="F114" s="47">
        <f>+IFERROR(HLOOKUP(F13,'סקרי נכסים-יתרות פתיחה'!$2:$76,74,0),0)-IFERROR(HLOOKUP(F13,'סקרי נכסים-יתרות פתיחה'!$2:$90,88,0),0)</f>
        <v>0</v>
      </c>
      <c r="G114" s="47">
        <f>+IFERROR(HLOOKUP(G13,'סקרי נכסים-יתרות פתיחה'!$2:$76,74,0),0)-IFERROR(HLOOKUP(G13,'סקרי נכסים-יתרות פתיחה'!$2:$90,88,0),0)</f>
        <v>0</v>
      </c>
      <c r="H114" s="47">
        <f>+IFERROR(HLOOKUP(H13,'סקרי נכסים-יתרות פתיחה'!$2:$76,74,0),0)-IFERROR(HLOOKUP(H13,'סקרי נכסים-יתרות פתיחה'!$2:$90,88,0),0)</f>
        <v>0</v>
      </c>
      <c r="I114" s="47">
        <f>+IFERROR(HLOOKUP(I13,'סקרי נכסים-יתרות פתיחה'!$2:$76,74,0),0)-IFERROR(HLOOKUP(I13,'סקרי נכסים-יתרות פתיחה'!$2:$90,88,0),0)</f>
        <v>0</v>
      </c>
      <c r="J114" s="47">
        <f>+IFERROR(HLOOKUP(J13,'סקרי נכסים-יתרות פתיחה'!$2:$76,74,0),0)-IFERROR(HLOOKUP(J13,'סקרי נכסים-יתרות פתיחה'!$2:$90,88,0),0)</f>
        <v>0</v>
      </c>
      <c r="K114" s="47">
        <f>+IFERROR(HLOOKUP(K13,'סקרי נכסים-יתרות פתיחה'!$2:$76,74,0),0)-IFERROR(HLOOKUP(K13,'סקרי נכסים-יתרות פתיחה'!$2:$90,88,0),0)</f>
        <v>0</v>
      </c>
      <c r="L114" s="47">
        <f>+IFERROR(HLOOKUP(L13,'סקרי נכסים-יתרות פתיחה'!$2:$76,74,0),0)-IFERROR(HLOOKUP(L13,'סקרי נכסים-יתרות פתיחה'!$2:$90,88,0),0)</f>
        <v>0</v>
      </c>
      <c r="M114" s="47">
        <f>+IFERROR(HLOOKUP(M13,'סקרי נכסים-יתרות פתיחה'!$2:$76,74,0),0)-IFERROR(HLOOKUP(M13,'סקרי נכסים-יתרות פתיחה'!$2:$90,88,0),0)</f>
        <v>0</v>
      </c>
      <c r="N114" s="47">
        <f>+IFERROR(HLOOKUP(N13,'סקרי נכסים-יתרות פתיחה'!$2:$76,74,0),0)-IFERROR(HLOOKUP(N13,'סקרי נכסים-יתרות פתיחה'!$2:$90,88,0),0)</f>
        <v>0</v>
      </c>
      <c r="O114" s="47">
        <f>+IFERROR(HLOOKUP(O13,'סקרי נכסים-יתרות פתיחה'!$2:$76,74,0),0)-IFERROR(HLOOKUP(O13,'סקרי נכסים-יתרות פתיחה'!$2:$90,88,0),0)</f>
        <v>0</v>
      </c>
      <c r="P114" s="47">
        <f>+IFERROR(HLOOKUP(P13,'סקרי נכסים-יתרות פתיחה'!$2:$76,74,0),0)-IFERROR(HLOOKUP(P13,'סקרי נכסים-יתרות פתיחה'!$2:$90,88,0),0)</f>
        <v>11962174.071428571</v>
      </c>
      <c r="Q114" s="47">
        <f>+IFERROR(HLOOKUP(Q13,'סקרי נכסים-יתרות פתיחה'!$2:$76,74,0),0)-IFERROR(HLOOKUP(Q13,'סקרי נכסים-יתרות פתיחה'!$2:$90,88,0),0)</f>
        <v>0</v>
      </c>
      <c r="R114" s="47">
        <f>+IFERROR(HLOOKUP(R13,'סקרי נכסים-יתרות פתיחה'!$2:$76,74,0),0)-IFERROR(HLOOKUP(R13,'סקרי נכסים-יתרות פתיחה'!$2:$90,88,0),0)</f>
        <v>0</v>
      </c>
      <c r="S114" s="47">
        <f>+IFERROR(HLOOKUP(S13,'סקרי נכסים-יתרות פתיחה'!$2:$76,74,0),0)-IFERROR(HLOOKUP(S13,'סקרי נכסים-יתרות פתיחה'!$2:$90,88,0),0)</f>
        <v>0</v>
      </c>
      <c r="T114" s="47">
        <f>+IFERROR(HLOOKUP(T13,'סקרי נכסים-יתרות פתיחה'!$2:$76,74,0),0)-IFERROR(HLOOKUP(T13,'סקרי נכסים-יתרות פתיחה'!$2:$90,88,0),0)</f>
        <v>0</v>
      </c>
      <c r="U114" s="47">
        <f>+IFERROR(HLOOKUP(U13,'סקרי נכסים-יתרות פתיחה'!$2:$76,74,0),0)-IFERROR(HLOOKUP(U13,'סקרי נכסים-יתרות פתיחה'!$2:$90,88,0),0)</f>
        <v>0</v>
      </c>
      <c r="V114" s="47">
        <f>+IFERROR(HLOOKUP(V13,'סקרי נכסים-יתרות פתיחה'!$2:$76,74,0),0)-IFERROR(HLOOKUP(V13,'סקרי נכסים-יתרות פתיחה'!$2:$90,88,0),0)</f>
        <v>5763579.4285714291</v>
      </c>
      <c r="W114" s="47">
        <f>+IFERROR(HLOOKUP(W13,'סקרי נכסים-יתרות פתיחה'!$2:$76,74,0),0)-IFERROR(HLOOKUP(W13,'סקרי נכסים-יתרות פתיחה'!$2:$90,88,0),0)</f>
        <v>20614058.057142857</v>
      </c>
      <c r="X114" s="47">
        <f>+IFERROR(HLOOKUP(X13,'סקרי נכסים-יתרות פתיחה'!$2:$76,74,0),0)-IFERROR(HLOOKUP(X13,'סקרי נכסים-יתרות פתיחה'!$2:$90,88,0),0)</f>
        <v>0</v>
      </c>
      <c r="Y114" s="47">
        <f>+IFERROR(HLOOKUP(Y13,'סקרי נכסים-יתרות פתיחה'!$2:$76,74,0),0)-IFERROR(HLOOKUP(Y13,'סקרי נכסים-יתרות פתיחה'!$2:$90,88,0),0)</f>
        <v>0</v>
      </c>
      <c r="Z114" s="47">
        <f>+IFERROR(HLOOKUP(Z13,'סקרי נכסים-יתרות פתיחה'!$2:$76,74,0),0)-IFERROR(HLOOKUP(Z13,'סקרי נכסים-יתרות פתיחה'!$2:$90,88,0),0)</f>
        <v>0</v>
      </c>
      <c r="AA114" s="47">
        <f>+IFERROR(HLOOKUP(AA13,'סקרי נכסים-יתרות פתיחה'!$2:$76,74,0),0)-IFERROR(HLOOKUP(AA13,'סקרי נכסים-יתרות פתיחה'!$2:$90,88,0),0)</f>
        <v>0</v>
      </c>
      <c r="AB114" s="47">
        <f>+IFERROR(HLOOKUP(AB13,'סקרי נכסים-יתרות פתיחה'!$2:$76,74,0),0)-IFERROR(HLOOKUP(AB13,'סקרי נכסים-יתרות פתיחה'!$2:$90,88,0),0)</f>
        <v>0</v>
      </c>
      <c r="AC114" s="47">
        <f>+IFERROR(HLOOKUP(AC13,'סקרי נכסים-יתרות פתיחה'!$2:$76,74,0),0)-IFERROR(HLOOKUP(AC13,'סקרי נכסים-יתרות פתיחה'!$2:$90,88,0),0)</f>
        <v>0</v>
      </c>
      <c r="AD114" s="47">
        <f>+IFERROR(HLOOKUP(AD13,'סקרי נכסים-יתרות פתיחה'!$2:$76,74,0),0)-IFERROR(HLOOKUP(AD13,'סקרי נכסים-יתרות פתיחה'!$2:$90,88,0),0)</f>
        <v>0</v>
      </c>
      <c r="AE114" s="47">
        <f>+IFERROR(HLOOKUP(AE13,'סקרי נכסים-יתרות פתיחה'!$2:$76,74,0),0)-IFERROR(HLOOKUP(AE13,'סקרי נכסים-יתרות פתיחה'!$2:$90,88,0),0)</f>
        <v>0</v>
      </c>
      <c r="AF114" s="47">
        <f>+IFERROR(HLOOKUP(AF13,'סקרי נכסים-יתרות פתיחה'!$2:$76,74,0),0)-IFERROR(HLOOKUP(AF13,'סקרי נכסים-יתרות פתיחה'!$2:$90,88,0),0)</f>
        <v>0</v>
      </c>
      <c r="AG114" s="47">
        <f>+IFERROR(HLOOKUP(AG13,'סקרי נכסים-יתרות פתיחה'!$2:$76,74,0),0)-IFERROR(HLOOKUP(AG13,'סקרי נכסים-יתרות פתיחה'!$2:$90,88,0),0)</f>
        <v>0</v>
      </c>
      <c r="AH114" s="47">
        <f>+IFERROR(HLOOKUP(AH13,'סקרי נכסים-יתרות פתיחה'!$2:$76,74,0),0)-IFERROR(HLOOKUP(AH13,'סקרי נכסים-יתרות פתיחה'!$2:$90,88,0),0)</f>
        <v>0</v>
      </c>
      <c r="AI114" s="47">
        <f>+IFERROR(HLOOKUP(AI13,'סקרי נכסים-יתרות פתיחה'!$2:$76,74,0),0)-IFERROR(HLOOKUP(AI13,'סקרי נכסים-יתרות פתיחה'!$2:$90,88,0),0)</f>
        <v>0</v>
      </c>
      <c r="AJ114" s="47">
        <f>+IFERROR(HLOOKUP(AJ13,'סקרי נכסים-יתרות פתיחה'!$2:$76,74,0),0)-IFERROR(HLOOKUP(AJ13,'סקרי נכסים-יתרות פתיחה'!$2:$90,88,0),0)</f>
        <v>0</v>
      </c>
      <c r="AK114" s="47">
        <f>+IFERROR(HLOOKUP(AK13,'סקרי נכסים-יתרות פתיחה'!$2:$76,74,0),0)-IFERROR(HLOOKUP(AK13,'סקרי נכסים-יתרות פתיחה'!$2:$90,88,0),0)</f>
        <v>0</v>
      </c>
      <c r="AL114" s="47">
        <f>+IFERROR(HLOOKUP(AL13,'סקרי נכסים-יתרות פתיחה'!$2:$76,74,0),0)-IFERROR(HLOOKUP(AL13,'סקרי נכסים-יתרות פתיחה'!$2:$90,88,0),0)</f>
        <v>0</v>
      </c>
      <c r="AM114" s="47">
        <f>+IFERROR(HLOOKUP(AM13,'סקרי נכסים-יתרות פתיחה'!$2:$76,74,0),0)-IFERROR(HLOOKUP(AM13,'סקרי נכסים-יתרות פתיחה'!$2:$90,88,0),0)</f>
        <v>0</v>
      </c>
      <c r="AN114" s="47">
        <f>+IFERROR(HLOOKUP(AN13,'סקרי נכסים-יתרות פתיחה'!$2:$76,74,0),0)-IFERROR(HLOOKUP(AN13,'סקרי נכסים-יתרות פתיחה'!$2:$90,88,0),0)</f>
        <v>17139419.428571429</v>
      </c>
      <c r="AO114" s="47">
        <f>+IFERROR(HLOOKUP(AO13,'סקרי נכסים-יתרות פתיחה'!$2:$76,74,0),0)-IFERROR(HLOOKUP(AO13,'סקרי נכסים-יתרות פתיחה'!$2:$90,88,0),0)</f>
        <v>0</v>
      </c>
      <c r="AP114" s="47">
        <f>+IFERROR(HLOOKUP(AP13,'סקרי נכסים-יתרות פתיחה'!$2:$76,74,0),0)-IFERROR(HLOOKUP(AP13,'סקרי נכסים-יתרות פתיחה'!$2:$90,88,0),0)</f>
        <v>0</v>
      </c>
      <c r="AQ114" s="47">
        <f>+IFERROR(HLOOKUP(AQ13,'סקרי נכסים-יתרות פתיחה'!$2:$76,74,0),0)-IFERROR(HLOOKUP(AQ13,'סקרי נכסים-יתרות פתיחה'!$2:$90,88,0),0)</f>
        <v>0</v>
      </c>
      <c r="AR114" s="47">
        <f>+IFERROR(HLOOKUP(AR13,'סקרי נכסים-יתרות פתיחה'!$2:$76,74,0),0)-IFERROR(HLOOKUP(AR13,'סקרי נכסים-יתרות פתיחה'!$2:$90,88,0),0)</f>
        <v>0</v>
      </c>
      <c r="AS114" s="47">
        <f>+IFERROR(HLOOKUP(AS13,'סקרי נכסים-יתרות פתיחה'!$2:$76,74,0),0)-IFERROR(HLOOKUP(AS13,'סקרי נכסים-יתרות פתיחה'!$2:$90,88,0),0)</f>
        <v>7936207.7142857146</v>
      </c>
      <c r="AT114" s="47">
        <f>+IFERROR(HLOOKUP(AT13,'סקרי נכסים-יתרות פתיחה'!$2:$76,74,0),0)-IFERROR(HLOOKUP(AT13,'סקרי נכסים-יתרות פתיחה'!$2:$90,88,0),0)</f>
        <v>0</v>
      </c>
      <c r="AU114" s="47">
        <f>+IFERROR(HLOOKUP(AU13,'סקרי נכסים-יתרות פתיחה'!$2:$76,74,0),0)-IFERROR(HLOOKUP(AU13,'סקרי נכסים-יתרות פתיחה'!$2:$90,88,0),0)</f>
        <v>0</v>
      </c>
      <c r="AV114" s="47">
        <f>+IFERROR(HLOOKUP(AV13,'סקרי נכסים-יתרות פתיחה'!$2:$76,74,0),0)-IFERROR(HLOOKUP(AV13,'סקרי נכסים-יתרות פתיחה'!$2:$90,88,0),0)</f>
        <v>0</v>
      </c>
      <c r="AW114" s="47">
        <f>+IFERROR(HLOOKUP(AW13,'סקרי נכסים-יתרות פתיחה'!$2:$76,74,0),0)-IFERROR(HLOOKUP(AW13,'סקרי נכסים-יתרות פתיחה'!$2:$90,88,0),0)</f>
        <v>0</v>
      </c>
      <c r="AX114" s="47">
        <f>+IFERROR(HLOOKUP(AX13,'סקרי נכסים-יתרות פתיחה'!$2:$76,74,0),0)-IFERROR(HLOOKUP(AX13,'סקרי נכסים-יתרות פתיחה'!$2:$90,88,0),0)</f>
        <v>0</v>
      </c>
      <c r="AY114" s="47">
        <f>+IFERROR(HLOOKUP(AY13,'סקרי נכסים-יתרות פתיחה'!$2:$76,74,0),0)-IFERROR(HLOOKUP(AY13,'סקרי נכסים-יתרות פתיחה'!$2:$90,88,0),0)</f>
        <v>0</v>
      </c>
      <c r="AZ114" s="47">
        <f>+IFERROR(HLOOKUP(AZ13,'סקרי נכסים-יתרות פתיחה'!$2:$76,74,0),0)-IFERROR(HLOOKUP(AZ13,'סקרי נכסים-יתרות פתיחה'!$2:$90,88,0),0)</f>
        <v>0</v>
      </c>
      <c r="BA114" s="47">
        <f>+IFERROR(HLOOKUP(BA13,'סקרי נכסים-יתרות פתיחה'!$2:$76,74,0),0)-IFERROR(HLOOKUP(BA13,'סקרי נכסים-יתרות פתיחה'!$2:$90,88,0),0)</f>
        <v>0</v>
      </c>
      <c r="BB114" s="47">
        <f>+IFERROR(HLOOKUP(BB13,'סקרי נכסים-יתרות פתיחה'!$2:$76,74,0),0)-IFERROR(HLOOKUP(BB13,'סקרי נכסים-יתרות פתיחה'!$2:$90,88,0),0)</f>
        <v>3111328.7571428572</v>
      </c>
      <c r="BC114" s="47">
        <f>+IFERROR(HLOOKUP(BC13,'סקרי נכסים-יתרות פתיחה'!$2:$76,74,0),0)-IFERROR(HLOOKUP(BC13,'סקרי נכסים-יתרות פתיחה'!$2:$90,88,0),0)</f>
        <v>9589547.0190476179</v>
      </c>
      <c r="BD114" s="47">
        <f>+IFERROR(HLOOKUP(BD13,'סקרי נכסים-יתרות פתיחה'!$2:$76,74,0),0)-IFERROR(HLOOKUP(BD13,'סקרי נכסים-יתרות פתיחה'!$2:$90,88,0),0)</f>
        <v>0</v>
      </c>
      <c r="BE114" s="47">
        <f>+IFERROR(HLOOKUP(BE13,'סקרי נכסים-יתרות פתיחה'!$2:$76,74,0),0)-IFERROR(HLOOKUP(BE13,'סקרי נכסים-יתרות פתיחה'!$2:$90,88,0),0)</f>
        <v>0</v>
      </c>
      <c r="BF114" s="47">
        <f>+IFERROR(HLOOKUP(BF13,'סקרי נכסים-יתרות פתיחה'!$2:$76,74,0),0)-IFERROR(HLOOKUP(BF13,'סקרי נכסים-יתרות פתיחה'!$2:$90,88,0),0)</f>
        <v>0</v>
      </c>
    </row>
    <row r="115" spans="2:58" x14ac:dyDescent="0.2">
      <c r="B115" s="1">
        <v>7</v>
      </c>
      <c r="C115" s="47">
        <f>+IFERROR(HLOOKUP(C14,'סקרי נכסים-יתרות פתיחה'!$2:$76,74,0),0)-IFERROR(HLOOKUP(C14,'סקרי נכסים-יתרות פתיחה'!$2:$90,88,0),0)</f>
        <v>0</v>
      </c>
      <c r="D115" s="47">
        <f>+IFERROR(HLOOKUP(D14,'סקרי נכסים-יתרות פתיחה'!$2:$76,74,0),0)-IFERROR(HLOOKUP(D14,'סקרי נכסים-יתרות פתיחה'!$2:$90,88,0),0)</f>
        <v>7755990</v>
      </c>
      <c r="E115" s="47">
        <f>+IFERROR(HLOOKUP(E14,'סקרי נכסים-יתרות פתיחה'!$2:$76,74,0),0)-IFERROR(HLOOKUP(E14,'סקרי נכסים-יתרות פתיחה'!$2:$90,88,0),0)</f>
        <v>0</v>
      </c>
      <c r="F115" s="47">
        <f>+IFERROR(HLOOKUP(F14,'סקרי נכסים-יתרות פתיחה'!$2:$76,74,0),0)-IFERROR(HLOOKUP(F14,'סקרי נכסים-יתרות פתיחה'!$2:$90,88,0),0)</f>
        <v>0</v>
      </c>
      <c r="G115" s="47">
        <f>+IFERROR(HLOOKUP(G14,'סקרי נכסים-יתרות פתיחה'!$2:$76,74,0),0)-IFERROR(HLOOKUP(G14,'סקרי נכסים-יתרות פתיחה'!$2:$90,88,0),0)</f>
        <v>0</v>
      </c>
      <c r="H115" s="47">
        <f>+IFERROR(HLOOKUP(H14,'סקרי נכסים-יתרות פתיחה'!$2:$76,74,0),0)-IFERROR(HLOOKUP(H14,'סקרי נכסים-יתרות פתיחה'!$2:$90,88,0),0)</f>
        <v>0</v>
      </c>
      <c r="I115" s="47">
        <f>+IFERROR(HLOOKUP(I14,'סקרי נכסים-יתרות פתיחה'!$2:$76,74,0),0)-IFERROR(HLOOKUP(I14,'סקרי נכסים-יתרות פתיחה'!$2:$90,88,0),0)</f>
        <v>0</v>
      </c>
      <c r="J115" s="47">
        <f>+IFERROR(HLOOKUP(J14,'סקרי נכסים-יתרות פתיחה'!$2:$76,74,0),0)-IFERROR(HLOOKUP(J14,'סקרי נכסים-יתרות פתיחה'!$2:$90,88,0),0)</f>
        <v>0</v>
      </c>
      <c r="K115" s="47">
        <f>+IFERROR(HLOOKUP(K14,'סקרי נכסים-יתרות פתיחה'!$2:$76,74,0),0)-IFERROR(HLOOKUP(K14,'סקרי נכסים-יתרות פתיחה'!$2:$90,88,0),0)</f>
        <v>0</v>
      </c>
      <c r="L115" s="47">
        <f>+IFERROR(HLOOKUP(L14,'סקרי נכסים-יתרות פתיחה'!$2:$76,74,0),0)-IFERROR(HLOOKUP(L14,'סקרי נכסים-יתרות פתיחה'!$2:$90,88,0),0)</f>
        <v>0</v>
      </c>
      <c r="M115" s="47">
        <f>+IFERROR(HLOOKUP(M14,'סקרי נכסים-יתרות פתיחה'!$2:$76,74,0),0)-IFERROR(HLOOKUP(M14,'סקרי נכסים-יתרות פתיחה'!$2:$90,88,0),0)</f>
        <v>0</v>
      </c>
      <c r="N115" s="47">
        <f>+IFERROR(HLOOKUP(N14,'סקרי נכסים-יתרות פתיחה'!$2:$76,74,0),0)-IFERROR(HLOOKUP(N14,'סקרי נכסים-יתרות פתיחה'!$2:$90,88,0),0)</f>
        <v>0</v>
      </c>
      <c r="O115" s="47">
        <f>+IFERROR(HLOOKUP(O14,'סקרי נכסים-יתרות פתיחה'!$2:$76,74,0),0)-IFERROR(HLOOKUP(O14,'סקרי נכסים-יתרות פתיחה'!$2:$90,88,0),0)</f>
        <v>0</v>
      </c>
      <c r="P115" s="47">
        <f>+IFERROR(HLOOKUP(P14,'סקרי נכסים-יתרות פתיחה'!$2:$76,74,0),0)-IFERROR(HLOOKUP(P14,'סקרי נכסים-יתרות פתיחה'!$2:$90,88,0),0)</f>
        <v>12237165.557142857</v>
      </c>
      <c r="Q115" s="47">
        <f>+IFERROR(HLOOKUP(Q14,'סקרי נכסים-יתרות פתיחה'!$2:$76,74,0),0)-IFERROR(HLOOKUP(Q14,'סקרי נכסים-יתרות פתיחה'!$2:$90,88,0),0)</f>
        <v>0</v>
      </c>
      <c r="R115" s="47">
        <f>+IFERROR(HLOOKUP(R14,'סקרי נכסים-יתרות פתיחה'!$2:$76,74,0),0)-IFERROR(HLOOKUP(R14,'סקרי נכסים-יתרות פתיחה'!$2:$90,88,0),0)</f>
        <v>0</v>
      </c>
      <c r="S115" s="47">
        <f>+IFERROR(HLOOKUP(S14,'סקרי נכסים-יתרות פתיחה'!$2:$76,74,0),0)-IFERROR(HLOOKUP(S14,'סקרי נכסים-יתרות פתיחה'!$2:$90,88,0),0)</f>
        <v>0</v>
      </c>
      <c r="T115" s="47">
        <f>+IFERROR(HLOOKUP(T14,'סקרי נכסים-יתרות פתיחה'!$2:$76,74,0),0)-IFERROR(HLOOKUP(T14,'סקרי נכסים-יתרות פתיחה'!$2:$90,88,0),0)</f>
        <v>0</v>
      </c>
      <c r="U115" s="47">
        <f>+IFERROR(HLOOKUP(U14,'סקרי נכסים-יתרות פתיחה'!$2:$76,74,0),0)-IFERROR(HLOOKUP(U14,'סקרי נכסים-יתרות פתיחה'!$2:$90,88,0),0)</f>
        <v>0</v>
      </c>
      <c r="V115" s="47">
        <f>+IFERROR(HLOOKUP(V14,'סקרי נכסים-יתרות פתיחה'!$2:$76,74,0),0)-IFERROR(HLOOKUP(V14,'סקרי נכסים-יתרות פתיחה'!$2:$90,88,0),0)</f>
        <v>9377699.4428571425</v>
      </c>
      <c r="W115" s="47">
        <f>+IFERROR(HLOOKUP(W14,'סקרי נכסים-יתרות פתיחה'!$2:$76,74,0),0)-IFERROR(HLOOKUP(W14,'סקרי נכסים-יתרות פתיחה'!$2:$90,88,0),0)</f>
        <v>0</v>
      </c>
      <c r="X115" s="47">
        <f>+IFERROR(HLOOKUP(X14,'סקרי נכסים-יתרות פתיחה'!$2:$76,74,0),0)-IFERROR(HLOOKUP(X14,'סקרי נכסים-יתרות פתיחה'!$2:$90,88,0),0)</f>
        <v>0</v>
      </c>
      <c r="Y115" s="47">
        <f>+IFERROR(HLOOKUP(Y14,'סקרי נכסים-יתרות פתיחה'!$2:$76,74,0),0)-IFERROR(HLOOKUP(Y14,'סקרי נכסים-יתרות פתיחה'!$2:$90,88,0),0)</f>
        <v>0</v>
      </c>
      <c r="Z115" s="47">
        <f>+IFERROR(HLOOKUP(Z14,'סקרי נכסים-יתרות פתיחה'!$2:$76,74,0),0)-IFERROR(HLOOKUP(Z14,'סקרי נכסים-יתרות פתיחה'!$2:$90,88,0),0)</f>
        <v>0</v>
      </c>
      <c r="AA115" s="47">
        <f>+IFERROR(HLOOKUP(AA14,'סקרי נכסים-יתרות פתיחה'!$2:$76,74,0),0)-IFERROR(HLOOKUP(AA14,'סקרי נכסים-יתרות פתיחה'!$2:$90,88,0),0)</f>
        <v>0</v>
      </c>
      <c r="AB115" s="47">
        <f>+IFERROR(HLOOKUP(AB14,'סקרי נכסים-יתרות פתיחה'!$2:$76,74,0),0)-IFERROR(HLOOKUP(AB14,'סקרי נכסים-יתרות פתיחה'!$2:$90,88,0),0)</f>
        <v>0</v>
      </c>
      <c r="AC115" s="47">
        <f>+IFERROR(HLOOKUP(AC14,'סקרי נכסים-יתרות פתיחה'!$2:$76,74,0),0)-IFERROR(HLOOKUP(AC14,'סקרי נכסים-יתרות פתיחה'!$2:$90,88,0),0)</f>
        <v>0</v>
      </c>
      <c r="AD115" s="47">
        <f>+IFERROR(HLOOKUP(AD14,'סקרי נכסים-יתרות פתיחה'!$2:$76,74,0),0)-IFERROR(HLOOKUP(AD14,'סקרי נכסים-יתרות פתיחה'!$2:$90,88,0),0)</f>
        <v>0</v>
      </c>
      <c r="AE115" s="47">
        <f>+IFERROR(HLOOKUP(AE14,'סקרי נכסים-יתרות פתיחה'!$2:$76,74,0),0)-IFERROR(HLOOKUP(AE14,'סקרי נכסים-יתרות פתיחה'!$2:$90,88,0),0)</f>
        <v>0</v>
      </c>
      <c r="AF115" s="47">
        <f>+IFERROR(HLOOKUP(AF14,'סקרי נכסים-יתרות פתיחה'!$2:$76,74,0),0)-IFERROR(HLOOKUP(AF14,'סקרי נכסים-יתרות פתיחה'!$2:$90,88,0),0)</f>
        <v>0</v>
      </c>
      <c r="AG115" s="47">
        <f>+IFERROR(HLOOKUP(AG14,'סקרי נכסים-יתרות פתיחה'!$2:$76,74,0),0)-IFERROR(HLOOKUP(AG14,'סקרי נכסים-יתרות פתיחה'!$2:$90,88,0),0)</f>
        <v>0</v>
      </c>
      <c r="AH115" s="47">
        <f>+IFERROR(HLOOKUP(AH14,'סקרי נכסים-יתרות פתיחה'!$2:$76,74,0),0)-IFERROR(HLOOKUP(AH14,'סקרי נכסים-יתרות פתיחה'!$2:$90,88,0),0)</f>
        <v>0</v>
      </c>
      <c r="AI115" s="47">
        <f>+IFERROR(HLOOKUP(AI14,'סקרי נכסים-יתרות פתיחה'!$2:$76,74,0),0)-IFERROR(HLOOKUP(AI14,'סקרי נכסים-יתרות פתיחה'!$2:$90,88,0),0)</f>
        <v>0</v>
      </c>
      <c r="AJ115" s="47">
        <f>+IFERROR(HLOOKUP(AJ14,'סקרי נכסים-יתרות פתיחה'!$2:$76,74,0),0)-IFERROR(HLOOKUP(AJ14,'סקרי נכסים-יתרות פתיחה'!$2:$90,88,0),0)</f>
        <v>0</v>
      </c>
      <c r="AK115" s="47">
        <f>+IFERROR(HLOOKUP(AK14,'סקרי נכסים-יתרות פתיחה'!$2:$76,74,0),0)-IFERROR(HLOOKUP(AK14,'סקרי נכסים-יתרות פתיחה'!$2:$90,88,0),0)</f>
        <v>0</v>
      </c>
      <c r="AL115" s="47">
        <f>+IFERROR(HLOOKUP(AL14,'סקרי נכסים-יתרות פתיחה'!$2:$76,74,0),0)-IFERROR(HLOOKUP(AL14,'סקרי נכסים-יתרות פתיחה'!$2:$90,88,0),0)</f>
        <v>0</v>
      </c>
      <c r="AM115" s="47">
        <f>+IFERROR(HLOOKUP(AM14,'סקרי נכסים-יתרות פתיחה'!$2:$76,74,0),0)-IFERROR(HLOOKUP(AM14,'סקרי נכסים-יתרות פתיחה'!$2:$90,88,0),0)</f>
        <v>0</v>
      </c>
      <c r="AN115" s="47">
        <f>+IFERROR(HLOOKUP(AN14,'סקרי נכסים-יתרות פתיחה'!$2:$76,74,0),0)-IFERROR(HLOOKUP(AN14,'סקרי נכסים-יתרות פתיחה'!$2:$90,88,0),0)</f>
        <v>0</v>
      </c>
      <c r="AO115" s="47">
        <f>+IFERROR(HLOOKUP(AO14,'סקרי נכסים-יתרות פתיחה'!$2:$76,74,0),0)-IFERROR(HLOOKUP(AO14,'סקרי נכסים-יתרות פתיחה'!$2:$90,88,0),0)</f>
        <v>0</v>
      </c>
      <c r="AP115" s="47">
        <f>+IFERROR(HLOOKUP(AP14,'סקרי נכסים-יתרות פתיחה'!$2:$76,74,0),0)-IFERROR(HLOOKUP(AP14,'סקרי נכסים-יתרות פתיחה'!$2:$90,88,0),0)</f>
        <v>0</v>
      </c>
      <c r="AQ115" s="47">
        <f>+IFERROR(HLOOKUP(AQ14,'סקרי נכסים-יתרות פתיחה'!$2:$76,74,0),0)-IFERROR(HLOOKUP(AQ14,'סקרי נכסים-יתרות פתיחה'!$2:$90,88,0),0)</f>
        <v>0</v>
      </c>
      <c r="AR115" s="47">
        <f>+IFERROR(HLOOKUP(AR14,'סקרי נכסים-יתרות פתיחה'!$2:$76,74,0),0)-IFERROR(HLOOKUP(AR14,'סקרי נכסים-יתרות פתיחה'!$2:$90,88,0),0)</f>
        <v>0</v>
      </c>
      <c r="AS115" s="47">
        <f>+IFERROR(HLOOKUP(AS14,'סקרי נכסים-יתרות פתיחה'!$2:$76,74,0),0)-IFERROR(HLOOKUP(AS14,'סקרי נכסים-יתרות פתיחה'!$2:$90,88,0),0)</f>
        <v>6031221.2999999998</v>
      </c>
      <c r="AT115" s="47">
        <f>+IFERROR(HLOOKUP(AT14,'סקרי נכסים-יתרות פתיחה'!$2:$76,74,0),0)-IFERROR(HLOOKUP(AT14,'סקרי נכסים-יתרות פתיחה'!$2:$90,88,0),0)</f>
        <v>0</v>
      </c>
      <c r="AU115" s="47">
        <f>+IFERROR(HLOOKUP(AU14,'סקרי נכסים-יתרות פתיחה'!$2:$76,74,0),0)-IFERROR(HLOOKUP(AU14,'סקרי נכסים-יתרות פתיחה'!$2:$90,88,0),0)</f>
        <v>0</v>
      </c>
      <c r="AV115" s="47">
        <f>+IFERROR(HLOOKUP(AV14,'סקרי נכסים-יתרות פתיחה'!$2:$76,74,0),0)-IFERROR(HLOOKUP(AV14,'סקרי נכסים-יתרות פתיחה'!$2:$90,88,0),0)</f>
        <v>0</v>
      </c>
      <c r="AW115" s="47">
        <f>+IFERROR(HLOOKUP(AW14,'סקרי נכסים-יתרות פתיחה'!$2:$76,74,0),0)-IFERROR(HLOOKUP(AW14,'סקרי נכסים-יתרות פתיחה'!$2:$90,88,0),0)</f>
        <v>0</v>
      </c>
      <c r="AX115" s="47">
        <f>+IFERROR(HLOOKUP(AX14,'סקרי נכסים-יתרות פתיחה'!$2:$76,74,0),0)-IFERROR(HLOOKUP(AX14,'סקרי נכסים-יתרות פתיחה'!$2:$90,88,0),0)</f>
        <v>0</v>
      </c>
      <c r="AY115" s="47">
        <f>+IFERROR(HLOOKUP(AY14,'סקרי נכסים-יתרות פתיחה'!$2:$76,74,0),0)-IFERROR(HLOOKUP(AY14,'סקרי נכסים-יתרות פתיחה'!$2:$90,88,0),0)</f>
        <v>0</v>
      </c>
      <c r="AZ115" s="47">
        <f>+IFERROR(HLOOKUP(AZ14,'סקרי נכסים-יתרות פתיחה'!$2:$76,74,0),0)-IFERROR(HLOOKUP(AZ14,'סקרי נכסים-יתרות פתיחה'!$2:$90,88,0),0)</f>
        <v>0</v>
      </c>
      <c r="BA115" s="47">
        <f>+IFERROR(HLOOKUP(BA14,'סקרי נכסים-יתרות פתיחה'!$2:$76,74,0),0)-IFERROR(HLOOKUP(BA14,'סקרי נכסים-יתרות פתיחה'!$2:$90,88,0),0)</f>
        <v>0</v>
      </c>
      <c r="BB115" s="47">
        <f>+IFERROR(HLOOKUP(BB14,'סקרי נכסים-יתרות פתיחה'!$2:$76,74,0),0)-IFERROR(HLOOKUP(BB14,'סקרי נכסים-יתרות פתיחה'!$2:$90,88,0),0)</f>
        <v>15849105.4</v>
      </c>
      <c r="BC115" s="47">
        <f>+IFERROR(HLOOKUP(BC14,'סקרי נכסים-יתרות פתיחה'!$2:$76,74,0),0)-IFERROR(HLOOKUP(BC14,'סקרי נכסים-יתרות פתיחה'!$2:$90,88,0),0)</f>
        <v>9589547.0190476179</v>
      </c>
      <c r="BD115" s="47">
        <f>+IFERROR(HLOOKUP(BD14,'סקרי נכסים-יתרות פתיחה'!$2:$76,74,0),0)-IFERROR(HLOOKUP(BD14,'סקרי נכסים-יתרות פתיחה'!$2:$90,88,0),0)</f>
        <v>0</v>
      </c>
      <c r="BE115" s="47">
        <f>+IFERROR(HLOOKUP(BE14,'סקרי נכסים-יתרות פתיחה'!$2:$76,74,0),0)-IFERROR(HLOOKUP(BE14,'סקרי נכסים-יתרות פתיחה'!$2:$90,88,0),0)</f>
        <v>0</v>
      </c>
      <c r="BF115" s="47">
        <f>+IFERROR(HLOOKUP(BF14,'סקרי נכסים-יתרות פתיחה'!$2:$76,74,0),0)-IFERROR(HLOOKUP(BF14,'סקרי נכסים-יתרות פתיחה'!$2:$90,88,0),0)</f>
        <v>0</v>
      </c>
    </row>
    <row r="116" spans="2:58" x14ac:dyDescent="0.2">
      <c r="B116" s="1">
        <v>8</v>
      </c>
      <c r="C116" s="47">
        <f>+IFERROR(HLOOKUP(C15,'סקרי נכסים-יתרות פתיחה'!$2:$76,74,0),0)-IFERROR(HLOOKUP(C15,'סקרי נכסים-יתרות פתיחה'!$2:$90,88,0),0)</f>
        <v>0</v>
      </c>
      <c r="D116" s="47">
        <f>+IFERROR(HLOOKUP(D15,'סקרי נכסים-יתרות פתיחה'!$2:$76,74,0),0)-IFERROR(HLOOKUP(D15,'סקרי נכסים-יתרות פתיחה'!$2:$90,88,0),0)</f>
        <v>0</v>
      </c>
      <c r="E116" s="47">
        <f>+IFERROR(HLOOKUP(E15,'סקרי נכסים-יתרות פתיחה'!$2:$76,74,0),0)-IFERROR(HLOOKUP(E15,'סקרי נכסים-יתרות פתיחה'!$2:$90,88,0),0)</f>
        <v>0</v>
      </c>
      <c r="F116" s="47">
        <f>+IFERROR(HLOOKUP(F15,'סקרי נכסים-יתרות פתיחה'!$2:$76,74,0),0)-IFERROR(HLOOKUP(F15,'סקרי נכסים-יתרות פתיחה'!$2:$90,88,0),0)</f>
        <v>0</v>
      </c>
      <c r="G116" s="47">
        <f>+IFERROR(HLOOKUP(G15,'סקרי נכסים-יתרות פתיחה'!$2:$76,74,0),0)-IFERROR(HLOOKUP(G15,'סקרי נכסים-יתרות פתיחה'!$2:$90,88,0),0)</f>
        <v>0</v>
      </c>
      <c r="H116" s="47">
        <f>+IFERROR(HLOOKUP(H15,'סקרי נכסים-יתרות פתיחה'!$2:$76,74,0),0)-IFERROR(HLOOKUP(H15,'סקרי נכסים-יתרות פתיחה'!$2:$90,88,0),0)</f>
        <v>0</v>
      </c>
      <c r="I116" s="47">
        <f>+IFERROR(HLOOKUP(I15,'סקרי נכסים-יתרות פתיחה'!$2:$76,74,0),0)-IFERROR(HLOOKUP(I15,'סקרי נכסים-יתרות פתיחה'!$2:$90,88,0),0)</f>
        <v>0</v>
      </c>
      <c r="J116" s="47">
        <f>+IFERROR(HLOOKUP(J15,'סקרי נכסים-יתרות פתיחה'!$2:$76,74,0),0)-IFERROR(HLOOKUP(J15,'סקרי נכסים-יתרות פתיחה'!$2:$90,88,0),0)</f>
        <v>0</v>
      </c>
      <c r="K116" s="47">
        <f>+IFERROR(HLOOKUP(K15,'סקרי נכסים-יתרות פתיחה'!$2:$76,74,0),0)-IFERROR(HLOOKUP(K15,'סקרי נכסים-יתרות פתיחה'!$2:$90,88,0),0)</f>
        <v>0</v>
      </c>
      <c r="L116" s="47">
        <f>+IFERROR(HLOOKUP(L15,'סקרי נכסים-יתרות פתיחה'!$2:$76,74,0),0)-IFERROR(HLOOKUP(L15,'סקרי נכסים-יתרות פתיחה'!$2:$90,88,0),0)</f>
        <v>0</v>
      </c>
      <c r="M116" s="47">
        <f>+IFERROR(HLOOKUP(M15,'סקרי נכסים-יתרות פתיחה'!$2:$76,74,0),0)-IFERROR(HLOOKUP(M15,'סקרי נכסים-יתרות פתיחה'!$2:$90,88,0),0)</f>
        <v>0</v>
      </c>
      <c r="N116" s="47">
        <f>+IFERROR(HLOOKUP(N15,'סקרי נכסים-יתרות פתיחה'!$2:$76,74,0),0)-IFERROR(HLOOKUP(N15,'סקרי נכסים-יתרות פתיחה'!$2:$90,88,0),0)</f>
        <v>0</v>
      </c>
      <c r="O116" s="47">
        <f>+IFERROR(HLOOKUP(O15,'סקרי נכסים-יתרות פתיחה'!$2:$76,74,0),0)-IFERROR(HLOOKUP(O15,'סקרי נכסים-יתרות פתיחה'!$2:$90,88,0),0)</f>
        <v>0</v>
      </c>
      <c r="P116" s="47">
        <f>+IFERROR(HLOOKUP(P15,'סקרי נכסים-יתרות פתיחה'!$2:$76,74,0),0)-IFERROR(HLOOKUP(P15,'סקרי נכסים-יתרות פתיחה'!$2:$90,88,0),0)</f>
        <v>8356162.5571428575</v>
      </c>
      <c r="Q116" s="47">
        <f>+IFERROR(HLOOKUP(Q15,'סקרי נכסים-יתרות פתיחה'!$2:$76,74,0),0)-IFERROR(HLOOKUP(Q15,'סקרי נכסים-יתרות פתיחה'!$2:$90,88,0),0)</f>
        <v>0</v>
      </c>
      <c r="R116" s="47">
        <f>+IFERROR(HLOOKUP(R15,'סקרי נכסים-יתרות פתיחה'!$2:$76,74,0),0)-IFERROR(HLOOKUP(R15,'סקרי נכסים-יתרות פתיחה'!$2:$90,88,0),0)</f>
        <v>0</v>
      </c>
      <c r="S116" s="47">
        <f>+IFERROR(HLOOKUP(S15,'סקרי נכסים-יתרות פתיחה'!$2:$76,74,0),0)-IFERROR(HLOOKUP(S15,'סקרי נכסים-יתרות פתיחה'!$2:$90,88,0),0)</f>
        <v>0</v>
      </c>
      <c r="T116" s="47">
        <f>+IFERROR(HLOOKUP(T15,'סקרי נכסים-יתרות פתיחה'!$2:$76,74,0),0)-IFERROR(HLOOKUP(T15,'סקרי נכסים-יתרות פתיחה'!$2:$90,88,0),0)</f>
        <v>0</v>
      </c>
      <c r="U116" s="47">
        <f>+IFERROR(HLOOKUP(U15,'סקרי נכסים-יתרות פתיחה'!$2:$76,74,0),0)-IFERROR(HLOOKUP(U15,'סקרי נכסים-יתרות פתיחה'!$2:$90,88,0),0)</f>
        <v>0</v>
      </c>
      <c r="V116" s="47">
        <f>+IFERROR(HLOOKUP(V15,'סקרי נכסים-יתרות פתיחה'!$2:$76,74,0),0)-IFERROR(HLOOKUP(V15,'סקרי נכסים-יתרות פתיחה'!$2:$90,88,0),0)</f>
        <v>0</v>
      </c>
      <c r="W116" s="47">
        <f>+IFERROR(HLOOKUP(W15,'סקרי נכסים-יתרות פתיחה'!$2:$76,74,0),0)-IFERROR(HLOOKUP(W15,'סקרי נכסים-יתרות פתיחה'!$2:$90,88,0),0)</f>
        <v>0</v>
      </c>
      <c r="X116" s="47">
        <f>+IFERROR(HLOOKUP(X15,'סקרי נכסים-יתרות פתיחה'!$2:$76,74,0),0)-IFERROR(HLOOKUP(X15,'סקרי נכסים-יתרות פתיחה'!$2:$90,88,0),0)</f>
        <v>0</v>
      </c>
      <c r="Y116" s="47">
        <f>+IFERROR(HLOOKUP(Y15,'סקרי נכסים-יתרות פתיחה'!$2:$76,74,0),0)-IFERROR(HLOOKUP(Y15,'סקרי נכסים-יתרות פתיחה'!$2:$90,88,0),0)</f>
        <v>0</v>
      </c>
      <c r="Z116" s="47">
        <f>+IFERROR(HLOOKUP(Z15,'סקרי נכסים-יתרות פתיחה'!$2:$76,74,0),0)-IFERROR(HLOOKUP(Z15,'סקרי נכסים-יתרות פתיחה'!$2:$90,88,0),0)</f>
        <v>0</v>
      </c>
      <c r="AA116" s="47">
        <f>+IFERROR(HLOOKUP(AA15,'סקרי נכסים-יתרות פתיחה'!$2:$76,74,0),0)-IFERROR(HLOOKUP(AA15,'סקרי נכסים-יתרות פתיחה'!$2:$90,88,0),0)</f>
        <v>0</v>
      </c>
      <c r="AB116" s="47">
        <f>+IFERROR(HLOOKUP(AB15,'סקרי נכסים-יתרות פתיחה'!$2:$76,74,0),0)-IFERROR(HLOOKUP(AB15,'סקרי נכסים-יתרות פתיחה'!$2:$90,88,0),0)</f>
        <v>0</v>
      </c>
      <c r="AC116" s="47">
        <f>+IFERROR(HLOOKUP(AC15,'סקרי נכסים-יתרות פתיחה'!$2:$76,74,0),0)-IFERROR(HLOOKUP(AC15,'סקרי נכסים-יתרות פתיחה'!$2:$90,88,0),0)</f>
        <v>0</v>
      </c>
      <c r="AD116" s="47">
        <f>+IFERROR(HLOOKUP(AD15,'סקרי נכסים-יתרות פתיחה'!$2:$76,74,0),0)-IFERROR(HLOOKUP(AD15,'סקרי נכסים-יתרות פתיחה'!$2:$90,88,0),0)</f>
        <v>0</v>
      </c>
      <c r="AE116" s="47">
        <f>+IFERROR(HLOOKUP(AE15,'סקרי נכסים-יתרות פתיחה'!$2:$76,74,0),0)-IFERROR(HLOOKUP(AE15,'סקרי נכסים-יתרות פתיחה'!$2:$90,88,0),0)</f>
        <v>0</v>
      </c>
      <c r="AF116" s="47">
        <f>+IFERROR(HLOOKUP(AF15,'סקרי נכסים-יתרות פתיחה'!$2:$76,74,0),0)-IFERROR(HLOOKUP(AF15,'סקרי נכסים-יתרות פתיחה'!$2:$90,88,0),0)</f>
        <v>0</v>
      </c>
      <c r="AG116" s="47">
        <f>+IFERROR(HLOOKUP(AG15,'סקרי נכסים-יתרות פתיחה'!$2:$76,74,0),0)-IFERROR(HLOOKUP(AG15,'סקרי נכסים-יתרות פתיחה'!$2:$90,88,0),0)</f>
        <v>0</v>
      </c>
      <c r="AH116" s="47">
        <f>+IFERROR(HLOOKUP(AH15,'סקרי נכסים-יתרות פתיחה'!$2:$76,74,0),0)-IFERROR(HLOOKUP(AH15,'סקרי נכסים-יתרות פתיחה'!$2:$90,88,0),0)</f>
        <v>0</v>
      </c>
      <c r="AI116" s="47">
        <f>+IFERROR(HLOOKUP(AI15,'סקרי נכסים-יתרות פתיחה'!$2:$76,74,0),0)-IFERROR(HLOOKUP(AI15,'סקרי נכסים-יתרות פתיחה'!$2:$90,88,0),0)</f>
        <v>0</v>
      </c>
      <c r="AJ116" s="47">
        <f>+IFERROR(HLOOKUP(AJ15,'סקרי נכסים-יתרות פתיחה'!$2:$76,74,0),0)-IFERROR(HLOOKUP(AJ15,'סקרי נכסים-יתרות פתיחה'!$2:$90,88,0),0)</f>
        <v>0</v>
      </c>
      <c r="AK116" s="47">
        <f>+IFERROR(HLOOKUP(AK15,'סקרי נכסים-יתרות פתיחה'!$2:$76,74,0),0)-IFERROR(HLOOKUP(AK15,'סקרי נכסים-יתרות פתיחה'!$2:$90,88,0),0)</f>
        <v>0</v>
      </c>
      <c r="AL116" s="47">
        <f>+IFERROR(HLOOKUP(AL15,'סקרי נכסים-יתרות פתיחה'!$2:$76,74,0),0)-IFERROR(HLOOKUP(AL15,'סקרי נכסים-יתרות פתיחה'!$2:$90,88,0),0)</f>
        <v>0</v>
      </c>
      <c r="AM116" s="47">
        <f>+IFERROR(HLOOKUP(AM15,'סקרי נכסים-יתרות פתיחה'!$2:$76,74,0),0)-IFERROR(HLOOKUP(AM15,'סקרי נכסים-יתרות פתיחה'!$2:$90,88,0),0)</f>
        <v>0</v>
      </c>
      <c r="AN116" s="47">
        <f>+IFERROR(HLOOKUP(AN15,'סקרי נכסים-יתרות פתיחה'!$2:$76,74,0),0)-IFERROR(HLOOKUP(AN15,'סקרי נכסים-יתרות פתיחה'!$2:$90,88,0),0)</f>
        <v>0</v>
      </c>
      <c r="AO116" s="47">
        <f>+IFERROR(HLOOKUP(AO15,'סקרי נכסים-יתרות פתיחה'!$2:$76,74,0),0)-IFERROR(HLOOKUP(AO15,'סקרי נכסים-יתרות פתיחה'!$2:$90,88,0),0)</f>
        <v>0</v>
      </c>
      <c r="AP116" s="47">
        <f>+IFERROR(HLOOKUP(AP15,'סקרי נכסים-יתרות פתיחה'!$2:$76,74,0),0)-IFERROR(HLOOKUP(AP15,'סקרי נכסים-יתרות פתיחה'!$2:$90,88,0),0)</f>
        <v>0</v>
      </c>
      <c r="AQ116" s="47">
        <f>+IFERROR(HLOOKUP(AQ15,'סקרי נכסים-יתרות פתיחה'!$2:$76,74,0),0)-IFERROR(HLOOKUP(AQ15,'סקרי נכסים-יתרות פתיחה'!$2:$90,88,0),0)</f>
        <v>0</v>
      </c>
      <c r="AR116" s="47">
        <f>+IFERROR(HLOOKUP(AR15,'סקרי נכסים-יתרות פתיחה'!$2:$76,74,0),0)-IFERROR(HLOOKUP(AR15,'סקרי נכסים-יתרות פתיחה'!$2:$90,88,0),0)</f>
        <v>0</v>
      </c>
      <c r="AS116" s="47">
        <f>+IFERROR(HLOOKUP(AS15,'סקרי נכסים-יתרות פתיחה'!$2:$76,74,0),0)-IFERROR(HLOOKUP(AS15,'סקרי נכסים-יתרות פתיחה'!$2:$90,88,0),0)</f>
        <v>16168488.085714286</v>
      </c>
      <c r="AT116" s="47">
        <f>+IFERROR(HLOOKUP(AT15,'סקרי נכסים-יתרות פתיחה'!$2:$76,74,0),0)-IFERROR(HLOOKUP(AT15,'סקרי נכסים-יתרות פתיחה'!$2:$90,88,0),0)</f>
        <v>0</v>
      </c>
      <c r="AU116" s="47">
        <f>+IFERROR(HLOOKUP(AU15,'סקרי נכסים-יתרות פתיחה'!$2:$76,74,0),0)-IFERROR(HLOOKUP(AU15,'סקרי נכסים-יתרות פתיחה'!$2:$90,88,0),0)</f>
        <v>0</v>
      </c>
      <c r="AV116" s="47">
        <f>+IFERROR(HLOOKUP(AV15,'סקרי נכסים-יתרות פתיחה'!$2:$76,74,0),0)-IFERROR(HLOOKUP(AV15,'סקרי נכסים-יתרות פתיחה'!$2:$90,88,0),0)</f>
        <v>0</v>
      </c>
      <c r="AW116" s="47">
        <f>+IFERROR(HLOOKUP(AW15,'סקרי נכסים-יתרות פתיחה'!$2:$76,74,0),0)-IFERROR(HLOOKUP(AW15,'סקרי נכסים-יתרות פתיחה'!$2:$90,88,0),0)</f>
        <v>0</v>
      </c>
      <c r="AX116" s="47">
        <f>+IFERROR(HLOOKUP(AX15,'סקרי נכסים-יתרות פתיחה'!$2:$76,74,0),0)-IFERROR(HLOOKUP(AX15,'סקרי נכסים-יתרות פתיחה'!$2:$90,88,0),0)</f>
        <v>0</v>
      </c>
      <c r="AY116" s="47">
        <f>+IFERROR(HLOOKUP(AY15,'סקרי נכסים-יתרות פתיחה'!$2:$76,74,0),0)-IFERROR(HLOOKUP(AY15,'סקרי נכסים-יתרות פתיחה'!$2:$90,88,0),0)</f>
        <v>0</v>
      </c>
      <c r="AZ116" s="47">
        <f>+IFERROR(HLOOKUP(AZ15,'סקרי נכסים-יתרות פתיחה'!$2:$76,74,0),0)-IFERROR(HLOOKUP(AZ15,'סקרי נכסים-יתרות פתיחה'!$2:$90,88,0),0)</f>
        <v>0</v>
      </c>
      <c r="BA116" s="47">
        <f>+IFERROR(HLOOKUP(BA15,'סקרי נכסים-יתרות פתיחה'!$2:$76,74,0),0)-IFERROR(HLOOKUP(BA15,'סקרי נכסים-יתרות פתיחה'!$2:$90,88,0),0)</f>
        <v>0</v>
      </c>
      <c r="BB116" s="47">
        <f>+IFERROR(HLOOKUP(BB15,'סקרי נכסים-יתרות פתיחה'!$2:$76,74,0),0)-IFERROR(HLOOKUP(BB15,'סקרי נכסים-יתרות פתיחה'!$2:$90,88,0),0)</f>
        <v>0</v>
      </c>
      <c r="BC116" s="47">
        <f>+IFERROR(HLOOKUP(BC15,'סקרי נכסים-יתרות פתיחה'!$2:$76,74,0),0)-IFERROR(HLOOKUP(BC15,'סקרי נכסים-יתרות פתיחה'!$2:$90,88,0),0)</f>
        <v>0</v>
      </c>
      <c r="BD116" s="47">
        <f>+IFERROR(HLOOKUP(BD15,'סקרי נכסים-יתרות פתיחה'!$2:$76,74,0),0)-IFERROR(HLOOKUP(BD15,'סקרי נכסים-יתרות פתיחה'!$2:$90,88,0),0)</f>
        <v>0</v>
      </c>
      <c r="BE116" s="47">
        <f>+IFERROR(HLOOKUP(BE15,'סקרי נכסים-יתרות פתיחה'!$2:$76,74,0),0)-IFERROR(HLOOKUP(BE15,'סקרי נכסים-יתרות פתיחה'!$2:$90,88,0),0)</f>
        <v>0</v>
      </c>
      <c r="BF116" s="47">
        <f>+IFERROR(HLOOKUP(BF15,'סקרי נכסים-יתרות פתיחה'!$2:$76,74,0),0)-IFERROR(HLOOKUP(BF15,'סקרי נכסים-יתרות פתיחה'!$2:$90,88,0),0)</f>
        <v>0</v>
      </c>
    </row>
    <row r="117" spans="2:58" x14ac:dyDescent="0.2">
      <c r="B117" s="1">
        <v>9</v>
      </c>
      <c r="C117" s="47">
        <f>+IFERROR(HLOOKUP(C16,'סקרי נכסים-יתרות פתיחה'!$2:$76,74,0),0)-IFERROR(HLOOKUP(C16,'סקרי נכסים-יתרות פתיחה'!$2:$90,88,0),0)</f>
        <v>0</v>
      </c>
      <c r="D117" s="47">
        <f>+IFERROR(HLOOKUP(D16,'סקרי נכסים-יתרות פתיחה'!$2:$76,74,0),0)-IFERROR(HLOOKUP(D16,'סקרי נכסים-יתרות פתיחה'!$2:$90,88,0),0)</f>
        <v>0</v>
      </c>
      <c r="E117" s="47">
        <f>+IFERROR(HLOOKUP(E16,'סקרי נכסים-יתרות פתיחה'!$2:$76,74,0),0)-IFERROR(HLOOKUP(E16,'סקרי נכסים-יתרות פתיחה'!$2:$90,88,0),0)</f>
        <v>0</v>
      </c>
      <c r="F117" s="47">
        <f>+IFERROR(HLOOKUP(F16,'סקרי נכסים-יתרות פתיחה'!$2:$76,74,0),0)-IFERROR(HLOOKUP(F16,'סקרי נכסים-יתרות פתיחה'!$2:$90,88,0),0)</f>
        <v>0</v>
      </c>
      <c r="G117" s="47">
        <f>+IFERROR(HLOOKUP(G16,'סקרי נכסים-יתרות פתיחה'!$2:$76,74,0),0)-IFERROR(HLOOKUP(G16,'סקרי נכסים-יתרות פתיחה'!$2:$90,88,0),0)</f>
        <v>0</v>
      </c>
      <c r="H117" s="47">
        <f>+IFERROR(HLOOKUP(H16,'סקרי נכסים-יתרות פתיחה'!$2:$76,74,0),0)-IFERROR(HLOOKUP(H16,'סקרי נכסים-יתרות פתיחה'!$2:$90,88,0),0)</f>
        <v>0</v>
      </c>
      <c r="I117" s="47">
        <f>+IFERROR(HLOOKUP(I16,'סקרי נכסים-יתרות פתיחה'!$2:$76,74,0),0)-IFERROR(HLOOKUP(I16,'סקרי נכסים-יתרות פתיחה'!$2:$90,88,0),0)</f>
        <v>0</v>
      </c>
      <c r="J117" s="47">
        <f>+IFERROR(HLOOKUP(J16,'סקרי נכסים-יתרות פתיחה'!$2:$76,74,0),0)-IFERROR(HLOOKUP(J16,'סקרי נכסים-יתרות פתיחה'!$2:$90,88,0),0)</f>
        <v>0</v>
      </c>
      <c r="K117" s="47">
        <f>+IFERROR(HLOOKUP(K16,'סקרי נכסים-יתרות פתיחה'!$2:$76,74,0),0)-IFERROR(HLOOKUP(K16,'סקרי נכסים-יתרות פתיחה'!$2:$90,88,0),0)</f>
        <v>0</v>
      </c>
      <c r="L117" s="47">
        <f>+IFERROR(HLOOKUP(L16,'סקרי נכסים-יתרות פתיחה'!$2:$76,74,0),0)-IFERROR(HLOOKUP(L16,'סקרי נכסים-יתרות פתיחה'!$2:$90,88,0),0)</f>
        <v>0</v>
      </c>
      <c r="M117" s="47">
        <f>+IFERROR(HLOOKUP(M16,'סקרי נכסים-יתרות פתיחה'!$2:$76,74,0),0)-IFERROR(HLOOKUP(M16,'סקרי נכסים-יתרות פתיחה'!$2:$90,88,0),0)</f>
        <v>0</v>
      </c>
      <c r="N117" s="47">
        <f>+IFERROR(HLOOKUP(N16,'סקרי נכסים-יתרות פתיחה'!$2:$76,74,0),0)-IFERROR(HLOOKUP(N16,'סקרי נכסים-יתרות פתיחה'!$2:$90,88,0),0)</f>
        <v>0</v>
      </c>
      <c r="O117" s="47">
        <f>+IFERROR(HLOOKUP(O16,'סקרי נכסים-יתרות פתיחה'!$2:$76,74,0),0)-IFERROR(HLOOKUP(O16,'סקרי נכסים-יתרות פתיחה'!$2:$90,88,0),0)</f>
        <v>0</v>
      </c>
      <c r="P117" s="47">
        <f>+IFERROR(HLOOKUP(P16,'סקרי נכסים-יתרות פתיחה'!$2:$76,74,0),0)-IFERROR(HLOOKUP(P16,'סקרי נכסים-יתרות פתיחה'!$2:$90,88,0),0)</f>
        <v>18385832.857142858</v>
      </c>
      <c r="Q117" s="47">
        <f>+IFERROR(HLOOKUP(Q16,'סקרי נכסים-יתרות פתיחה'!$2:$76,74,0),0)-IFERROR(HLOOKUP(Q16,'סקרי נכסים-יתרות פתיחה'!$2:$90,88,0),0)</f>
        <v>0</v>
      </c>
      <c r="R117" s="47">
        <f>+IFERROR(HLOOKUP(R16,'סקרי נכסים-יתרות פתיחה'!$2:$76,74,0),0)-IFERROR(HLOOKUP(R16,'סקרי נכסים-יתרות פתיחה'!$2:$90,88,0),0)</f>
        <v>0</v>
      </c>
      <c r="S117" s="47">
        <f>+IFERROR(HLOOKUP(S16,'סקרי נכסים-יתרות פתיחה'!$2:$76,74,0),0)-IFERROR(HLOOKUP(S16,'סקרי נכסים-יתרות פתיחה'!$2:$90,88,0),0)</f>
        <v>0</v>
      </c>
      <c r="T117" s="47">
        <f>+IFERROR(HLOOKUP(T16,'סקרי נכסים-יתרות פתיחה'!$2:$76,74,0),0)-IFERROR(HLOOKUP(T16,'סקרי נכסים-יתרות פתיחה'!$2:$90,88,0),0)</f>
        <v>0</v>
      </c>
      <c r="U117" s="47">
        <f>+IFERROR(HLOOKUP(U16,'סקרי נכסים-יתרות פתיחה'!$2:$76,74,0),0)-IFERROR(HLOOKUP(U16,'סקרי נכסים-יתרות פתיחה'!$2:$90,88,0),0)</f>
        <v>0</v>
      </c>
      <c r="V117" s="47">
        <f>+IFERROR(HLOOKUP(V16,'סקרי נכסים-יתרות פתיחה'!$2:$76,74,0),0)-IFERROR(HLOOKUP(V16,'סקרי נכסים-יתרות פתיחה'!$2:$90,88,0),0)</f>
        <v>0</v>
      </c>
      <c r="W117" s="47">
        <f>+IFERROR(HLOOKUP(W16,'סקרי נכסים-יתרות פתיחה'!$2:$76,74,0),0)-IFERROR(HLOOKUP(W16,'סקרי נכסים-יתרות פתיחה'!$2:$90,88,0),0)</f>
        <v>0</v>
      </c>
      <c r="X117" s="47">
        <f>+IFERROR(HLOOKUP(X16,'סקרי נכסים-יתרות פתיחה'!$2:$76,74,0),0)-IFERROR(HLOOKUP(X16,'סקרי נכסים-יתרות פתיחה'!$2:$90,88,0),0)</f>
        <v>0</v>
      </c>
      <c r="Y117" s="47">
        <f>+IFERROR(HLOOKUP(Y16,'סקרי נכסים-יתרות פתיחה'!$2:$76,74,0),0)-IFERROR(HLOOKUP(Y16,'סקרי נכסים-יתרות פתיחה'!$2:$90,88,0),0)</f>
        <v>0</v>
      </c>
      <c r="Z117" s="47">
        <f>+IFERROR(HLOOKUP(Z16,'סקרי נכסים-יתרות פתיחה'!$2:$76,74,0),0)-IFERROR(HLOOKUP(Z16,'סקרי נכסים-יתרות פתיחה'!$2:$90,88,0),0)</f>
        <v>0</v>
      </c>
      <c r="AA117" s="47">
        <f>+IFERROR(HLOOKUP(AA16,'סקרי נכסים-יתרות פתיחה'!$2:$76,74,0),0)-IFERROR(HLOOKUP(AA16,'סקרי נכסים-יתרות פתיחה'!$2:$90,88,0),0)</f>
        <v>0</v>
      </c>
      <c r="AB117" s="47">
        <f>+IFERROR(HLOOKUP(AB16,'סקרי נכסים-יתרות פתיחה'!$2:$76,74,0),0)-IFERROR(HLOOKUP(AB16,'סקרי נכסים-יתרות פתיחה'!$2:$90,88,0),0)</f>
        <v>0</v>
      </c>
      <c r="AC117" s="47">
        <f>+IFERROR(HLOOKUP(AC16,'סקרי נכסים-יתרות פתיחה'!$2:$76,74,0),0)-IFERROR(HLOOKUP(AC16,'סקרי נכסים-יתרות פתיחה'!$2:$90,88,0),0)</f>
        <v>0</v>
      </c>
      <c r="AD117" s="47">
        <f>+IFERROR(HLOOKUP(AD16,'סקרי נכסים-יתרות פתיחה'!$2:$76,74,0),0)-IFERROR(HLOOKUP(AD16,'סקרי נכסים-יתרות פתיחה'!$2:$90,88,0),0)</f>
        <v>0</v>
      </c>
      <c r="AE117" s="47">
        <f>+IFERROR(HLOOKUP(AE16,'סקרי נכסים-יתרות פתיחה'!$2:$76,74,0),0)-IFERROR(HLOOKUP(AE16,'סקרי נכסים-יתרות פתיחה'!$2:$90,88,0),0)</f>
        <v>0</v>
      </c>
      <c r="AF117" s="47">
        <f>+IFERROR(HLOOKUP(AF16,'סקרי נכסים-יתרות פתיחה'!$2:$76,74,0),0)-IFERROR(HLOOKUP(AF16,'סקרי נכסים-יתרות פתיחה'!$2:$90,88,0),0)</f>
        <v>0</v>
      </c>
      <c r="AG117" s="47">
        <f>+IFERROR(HLOOKUP(AG16,'סקרי נכסים-יתרות פתיחה'!$2:$76,74,0),0)-IFERROR(HLOOKUP(AG16,'סקרי נכסים-יתרות פתיחה'!$2:$90,88,0),0)</f>
        <v>0</v>
      </c>
      <c r="AH117" s="47">
        <f>+IFERROR(HLOOKUP(AH16,'סקרי נכסים-יתרות פתיחה'!$2:$76,74,0),0)-IFERROR(HLOOKUP(AH16,'סקרי נכסים-יתרות פתיחה'!$2:$90,88,0),0)</f>
        <v>0</v>
      </c>
      <c r="AI117" s="47">
        <f>+IFERROR(HLOOKUP(AI16,'סקרי נכסים-יתרות פתיחה'!$2:$76,74,0),0)-IFERROR(HLOOKUP(AI16,'סקרי נכסים-יתרות פתיחה'!$2:$90,88,0),0)</f>
        <v>0</v>
      </c>
      <c r="AJ117" s="47">
        <f>+IFERROR(HLOOKUP(AJ16,'סקרי נכסים-יתרות פתיחה'!$2:$76,74,0),0)-IFERROR(HLOOKUP(AJ16,'סקרי נכסים-יתרות פתיחה'!$2:$90,88,0),0)</f>
        <v>0</v>
      </c>
      <c r="AK117" s="47">
        <f>+IFERROR(HLOOKUP(AK16,'סקרי נכסים-יתרות פתיחה'!$2:$76,74,0),0)-IFERROR(HLOOKUP(AK16,'סקרי נכסים-יתרות פתיחה'!$2:$90,88,0),0)</f>
        <v>0</v>
      </c>
      <c r="AL117" s="47">
        <f>+IFERROR(HLOOKUP(AL16,'סקרי נכסים-יתרות פתיחה'!$2:$76,74,0),0)-IFERROR(HLOOKUP(AL16,'סקרי נכסים-יתרות פתיחה'!$2:$90,88,0),0)</f>
        <v>0</v>
      </c>
      <c r="AM117" s="47">
        <f>+IFERROR(HLOOKUP(AM16,'סקרי נכסים-יתרות פתיחה'!$2:$76,74,0),0)-IFERROR(HLOOKUP(AM16,'סקרי נכסים-יתרות פתיחה'!$2:$90,88,0),0)</f>
        <v>0</v>
      </c>
      <c r="AN117" s="47">
        <f>+IFERROR(HLOOKUP(AN16,'סקרי נכסים-יתרות פתיחה'!$2:$76,74,0),0)-IFERROR(HLOOKUP(AN16,'סקרי נכסים-יתרות פתיחה'!$2:$90,88,0),0)</f>
        <v>0</v>
      </c>
      <c r="AO117" s="47">
        <f>+IFERROR(HLOOKUP(AO16,'סקרי נכסים-יתרות פתיחה'!$2:$76,74,0),0)-IFERROR(HLOOKUP(AO16,'סקרי נכסים-יתרות פתיחה'!$2:$90,88,0),0)</f>
        <v>0</v>
      </c>
      <c r="AP117" s="47">
        <f>+IFERROR(HLOOKUP(AP16,'סקרי נכסים-יתרות פתיחה'!$2:$76,74,0),0)-IFERROR(HLOOKUP(AP16,'סקרי נכסים-יתרות פתיחה'!$2:$90,88,0),0)</f>
        <v>0</v>
      </c>
      <c r="AQ117" s="47">
        <f>+IFERROR(HLOOKUP(AQ16,'סקרי נכסים-יתרות פתיחה'!$2:$76,74,0),0)-IFERROR(HLOOKUP(AQ16,'סקרי נכסים-יתרות פתיחה'!$2:$90,88,0),0)</f>
        <v>0</v>
      </c>
      <c r="AR117" s="47">
        <f>+IFERROR(HLOOKUP(AR16,'סקרי נכסים-יתרות פתיחה'!$2:$76,74,0),0)-IFERROR(HLOOKUP(AR16,'סקרי נכסים-יתרות פתיחה'!$2:$90,88,0),0)</f>
        <v>0</v>
      </c>
      <c r="AS117" s="47">
        <f>+IFERROR(HLOOKUP(AS16,'סקרי נכסים-יתרות פתיחה'!$2:$76,74,0),0)-IFERROR(HLOOKUP(AS16,'סקרי נכסים-יתרות פתיחה'!$2:$90,88,0),0)</f>
        <v>9530120.8142857142</v>
      </c>
      <c r="AT117" s="47">
        <f>+IFERROR(HLOOKUP(AT16,'סקרי נכסים-יתרות פתיחה'!$2:$76,74,0),0)-IFERROR(HLOOKUP(AT16,'סקרי נכסים-יתרות פתיחה'!$2:$90,88,0),0)</f>
        <v>0</v>
      </c>
      <c r="AU117" s="47">
        <f>+IFERROR(HLOOKUP(AU16,'סקרי נכסים-יתרות פתיחה'!$2:$76,74,0),0)-IFERROR(HLOOKUP(AU16,'סקרי נכסים-יתרות פתיחה'!$2:$90,88,0),0)</f>
        <v>0</v>
      </c>
      <c r="AV117" s="47">
        <f>+IFERROR(HLOOKUP(AV16,'סקרי נכסים-יתרות פתיחה'!$2:$76,74,0),0)-IFERROR(HLOOKUP(AV16,'סקרי נכסים-יתרות פתיחה'!$2:$90,88,0),0)</f>
        <v>0</v>
      </c>
      <c r="AW117" s="47">
        <f>+IFERROR(HLOOKUP(AW16,'סקרי נכסים-יתרות פתיחה'!$2:$76,74,0),0)-IFERROR(HLOOKUP(AW16,'סקרי נכסים-יתרות פתיחה'!$2:$90,88,0),0)</f>
        <v>0</v>
      </c>
      <c r="AX117" s="47">
        <f>+IFERROR(HLOOKUP(AX16,'סקרי נכסים-יתרות פתיחה'!$2:$76,74,0),0)-IFERROR(HLOOKUP(AX16,'סקרי נכסים-יתרות פתיחה'!$2:$90,88,0),0)</f>
        <v>0</v>
      </c>
      <c r="AY117" s="47">
        <f>+IFERROR(HLOOKUP(AY16,'סקרי נכסים-יתרות פתיחה'!$2:$76,74,0),0)-IFERROR(HLOOKUP(AY16,'סקרי נכסים-יתרות פתיחה'!$2:$90,88,0),0)</f>
        <v>0</v>
      </c>
      <c r="AZ117" s="47">
        <f>+IFERROR(HLOOKUP(AZ16,'סקרי נכסים-יתרות פתיחה'!$2:$76,74,0),0)-IFERROR(HLOOKUP(AZ16,'סקרי נכסים-יתרות פתיחה'!$2:$90,88,0),0)</f>
        <v>0</v>
      </c>
      <c r="BA117" s="47">
        <f>+IFERROR(HLOOKUP(BA16,'סקרי נכסים-יתרות פתיחה'!$2:$76,74,0),0)-IFERROR(HLOOKUP(BA16,'סקרי נכסים-יתרות פתיחה'!$2:$90,88,0),0)</f>
        <v>0</v>
      </c>
      <c r="BB117" s="47">
        <f>+IFERROR(HLOOKUP(BB16,'סקרי נכסים-יתרות פתיחה'!$2:$76,74,0),0)-IFERROR(HLOOKUP(BB16,'סקרי נכסים-יתרות פתיחה'!$2:$90,88,0),0)</f>
        <v>0</v>
      </c>
      <c r="BC117" s="47">
        <f>+IFERROR(HLOOKUP(BC16,'סקרי נכסים-יתרות פתיחה'!$2:$76,74,0),0)-IFERROR(HLOOKUP(BC16,'סקרי נכסים-יתרות פתיחה'!$2:$90,88,0),0)</f>
        <v>0</v>
      </c>
      <c r="BD117" s="47">
        <f>+IFERROR(HLOOKUP(BD16,'סקרי נכסים-יתרות פתיחה'!$2:$76,74,0),0)-IFERROR(HLOOKUP(BD16,'סקרי נכסים-יתרות פתיחה'!$2:$90,88,0),0)</f>
        <v>0</v>
      </c>
      <c r="BE117" s="47">
        <f>+IFERROR(HLOOKUP(BE16,'סקרי נכסים-יתרות פתיחה'!$2:$76,74,0),0)-IFERROR(HLOOKUP(BE16,'סקרי נכסים-יתרות פתיחה'!$2:$90,88,0),0)</f>
        <v>0</v>
      </c>
      <c r="BF117" s="47">
        <f>+IFERROR(HLOOKUP(BF16,'סקרי נכסים-יתרות פתיחה'!$2:$76,74,0),0)-IFERROR(HLOOKUP(BF16,'סקרי נכסים-יתרות פתיחה'!$2:$90,88,0),0)</f>
        <v>0</v>
      </c>
    </row>
    <row r="118" spans="2:58" x14ac:dyDescent="0.2">
      <c r="B118" s="1">
        <v>10</v>
      </c>
      <c r="C118" s="47">
        <f>+IFERROR(HLOOKUP(C17,'סקרי נכסים-יתרות פתיחה'!$2:$76,74,0),0)-IFERROR(HLOOKUP(C17,'סקרי נכסים-יתרות פתיחה'!$2:$90,88,0),0)</f>
        <v>0</v>
      </c>
      <c r="D118" s="47">
        <f>+IFERROR(HLOOKUP(D17,'סקרי נכסים-יתרות פתיחה'!$2:$76,74,0),0)-IFERROR(HLOOKUP(D17,'סקרי נכסים-יתרות פתיחה'!$2:$90,88,0),0)</f>
        <v>0</v>
      </c>
      <c r="E118" s="47">
        <f>+IFERROR(HLOOKUP(E17,'סקרי נכסים-יתרות פתיחה'!$2:$76,74,0),0)-IFERROR(HLOOKUP(E17,'סקרי נכסים-יתרות פתיחה'!$2:$90,88,0),0)</f>
        <v>0</v>
      </c>
      <c r="F118" s="47">
        <f>+IFERROR(HLOOKUP(F17,'סקרי נכסים-יתרות פתיחה'!$2:$76,74,0),0)-IFERROR(HLOOKUP(F17,'סקרי נכסים-יתרות פתיחה'!$2:$90,88,0),0)</f>
        <v>0</v>
      </c>
      <c r="G118" s="47">
        <f>+IFERROR(HLOOKUP(G17,'סקרי נכסים-יתרות פתיחה'!$2:$76,74,0),0)-IFERROR(HLOOKUP(G17,'סקרי נכסים-יתרות פתיחה'!$2:$90,88,0),0)</f>
        <v>0</v>
      </c>
      <c r="H118" s="47">
        <f>+IFERROR(HLOOKUP(H17,'סקרי נכסים-יתרות פתיחה'!$2:$76,74,0),0)-IFERROR(HLOOKUP(H17,'סקרי נכסים-יתרות פתיחה'!$2:$90,88,0),0)</f>
        <v>0</v>
      </c>
      <c r="I118" s="47">
        <f>+IFERROR(HLOOKUP(I17,'סקרי נכסים-יתרות פתיחה'!$2:$76,74,0),0)-IFERROR(HLOOKUP(I17,'סקרי נכסים-יתרות פתיחה'!$2:$90,88,0),0)</f>
        <v>0</v>
      </c>
      <c r="J118" s="47">
        <f>+IFERROR(HLOOKUP(J17,'סקרי נכסים-יתרות פתיחה'!$2:$76,74,0),0)-IFERROR(HLOOKUP(J17,'סקרי נכסים-יתרות פתיחה'!$2:$90,88,0),0)</f>
        <v>0</v>
      </c>
      <c r="K118" s="47">
        <f>+IFERROR(HLOOKUP(K17,'סקרי נכסים-יתרות פתיחה'!$2:$76,74,0),0)-IFERROR(HLOOKUP(K17,'סקרי נכסים-יתרות פתיחה'!$2:$90,88,0),0)</f>
        <v>0</v>
      </c>
      <c r="L118" s="47">
        <f>+IFERROR(HLOOKUP(L17,'סקרי נכסים-יתרות פתיחה'!$2:$76,74,0),0)-IFERROR(HLOOKUP(L17,'סקרי נכסים-יתרות פתיחה'!$2:$90,88,0),0)</f>
        <v>0</v>
      </c>
      <c r="M118" s="47">
        <f>+IFERROR(HLOOKUP(M17,'סקרי נכסים-יתרות פתיחה'!$2:$76,74,0),0)-IFERROR(HLOOKUP(M17,'סקרי נכסים-יתרות פתיחה'!$2:$90,88,0),0)</f>
        <v>0</v>
      </c>
      <c r="N118" s="47">
        <f>+IFERROR(HLOOKUP(N17,'סקרי נכסים-יתרות פתיחה'!$2:$76,74,0),0)-IFERROR(HLOOKUP(N17,'סקרי נכסים-יתרות פתיחה'!$2:$90,88,0),0)</f>
        <v>0</v>
      </c>
      <c r="O118" s="47">
        <f>+IFERROR(HLOOKUP(O17,'סקרי נכסים-יתרות פתיחה'!$2:$76,74,0),0)-IFERROR(HLOOKUP(O17,'סקרי נכסים-יתרות פתיחה'!$2:$90,88,0),0)</f>
        <v>0</v>
      </c>
      <c r="P118" s="47">
        <f>+IFERROR(HLOOKUP(P17,'סקרי נכסים-יתרות פתיחה'!$2:$76,74,0),0)-IFERROR(HLOOKUP(P17,'סקרי נכסים-יתרות פתיחה'!$2:$90,88,0),0)</f>
        <v>11597951.971428571</v>
      </c>
      <c r="Q118" s="47">
        <f>+IFERROR(HLOOKUP(Q17,'סקרי נכסים-יתרות פתיחה'!$2:$76,74,0),0)-IFERROR(HLOOKUP(Q17,'סקרי נכסים-יתרות פתיחה'!$2:$90,88,0),0)</f>
        <v>0</v>
      </c>
      <c r="R118" s="47">
        <f>+IFERROR(HLOOKUP(R17,'סקרי נכסים-יתרות פתיחה'!$2:$76,74,0),0)-IFERROR(HLOOKUP(R17,'סקרי נכסים-יתרות פתיחה'!$2:$90,88,0),0)</f>
        <v>0</v>
      </c>
      <c r="S118" s="47">
        <f>+IFERROR(HLOOKUP(S17,'סקרי נכסים-יתרות פתיחה'!$2:$76,74,0),0)-IFERROR(HLOOKUP(S17,'סקרי נכסים-יתרות פתיחה'!$2:$90,88,0),0)</f>
        <v>0</v>
      </c>
      <c r="T118" s="47">
        <f>+IFERROR(HLOOKUP(T17,'סקרי נכסים-יתרות פתיחה'!$2:$76,74,0),0)-IFERROR(HLOOKUP(T17,'סקרי נכסים-יתרות פתיחה'!$2:$90,88,0),0)</f>
        <v>0</v>
      </c>
      <c r="U118" s="47">
        <f>+IFERROR(HLOOKUP(U17,'סקרי נכסים-יתרות פתיחה'!$2:$76,74,0),0)-IFERROR(HLOOKUP(U17,'סקרי נכסים-יתרות פתיחה'!$2:$90,88,0),0)</f>
        <v>0</v>
      </c>
      <c r="V118" s="47">
        <f>+IFERROR(HLOOKUP(V17,'סקרי נכסים-יתרות פתיחה'!$2:$76,74,0),0)-IFERROR(HLOOKUP(V17,'סקרי נכסים-יתרות פתיחה'!$2:$90,88,0),0)</f>
        <v>0</v>
      </c>
      <c r="W118" s="47">
        <f>+IFERROR(HLOOKUP(W17,'סקרי נכסים-יתרות פתיחה'!$2:$76,74,0),0)-IFERROR(HLOOKUP(W17,'סקרי נכסים-יתרות פתיחה'!$2:$90,88,0),0)</f>
        <v>0</v>
      </c>
      <c r="X118" s="47">
        <f>+IFERROR(HLOOKUP(X17,'סקרי נכסים-יתרות פתיחה'!$2:$76,74,0),0)-IFERROR(HLOOKUP(X17,'סקרי נכסים-יתרות פתיחה'!$2:$90,88,0),0)</f>
        <v>0</v>
      </c>
      <c r="Y118" s="47">
        <f>+IFERROR(HLOOKUP(Y17,'סקרי נכסים-יתרות פתיחה'!$2:$76,74,0),0)-IFERROR(HLOOKUP(Y17,'סקרי נכסים-יתרות פתיחה'!$2:$90,88,0),0)</f>
        <v>0</v>
      </c>
      <c r="Z118" s="47">
        <f>+IFERROR(HLOOKUP(Z17,'סקרי נכסים-יתרות פתיחה'!$2:$76,74,0),0)-IFERROR(HLOOKUP(Z17,'סקרי נכסים-יתרות פתיחה'!$2:$90,88,0),0)</f>
        <v>0</v>
      </c>
      <c r="AA118" s="47">
        <f>+IFERROR(HLOOKUP(AA17,'סקרי נכסים-יתרות פתיחה'!$2:$76,74,0),0)-IFERROR(HLOOKUP(AA17,'סקרי נכסים-יתרות פתיחה'!$2:$90,88,0),0)</f>
        <v>0</v>
      </c>
      <c r="AB118" s="47">
        <f>+IFERROR(HLOOKUP(AB17,'סקרי נכסים-יתרות פתיחה'!$2:$76,74,0),0)-IFERROR(HLOOKUP(AB17,'סקרי נכסים-יתרות פתיחה'!$2:$90,88,0),0)</f>
        <v>0</v>
      </c>
      <c r="AC118" s="47">
        <f>+IFERROR(HLOOKUP(AC17,'סקרי נכסים-יתרות פתיחה'!$2:$76,74,0),0)-IFERROR(HLOOKUP(AC17,'סקרי נכסים-יתרות פתיחה'!$2:$90,88,0),0)</f>
        <v>0</v>
      </c>
      <c r="AD118" s="47">
        <f>+IFERROR(HLOOKUP(AD17,'סקרי נכסים-יתרות פתיחה'!$2:$76,74,0),0)-IFERROR(HLOOKUP(AD17,'סקרי נכסים-יתרות פתיחה'!$2:$90,88,0),0)</f>
        <v>0</v>
      </c>
      <c r="AE118" s="47">
        <f>+IFERROR(HLOOKUP(AE17,'סקרי נכסים-יתרות פתיחה'!$2:$76,74,0),0)-IFERROR(HLOOKUP(AE17,'סקרי נכסים-יתרות פתיחה'!$2:$90,88,0),0)</f>
        <v>0</v>
      </c>
      <c r="AF118" s="47">
        <f>+IFERROR(HLOOKUP(AF17,'סקרי נכסים-יתרות פתיחה'!$2:$76,74,0),0)-IFERROR(HLOOKUP(AF17,'סקרי נכסים-יתרות פתיחה'!$2:$90,88,0),0)</f>
        <v>0</v>
      </c>
      <c r="AG118" s="47">
        <f>+IFERROR(HLOOKUP(AG17,'סקרי נכסים-יתרות פתיחה'!$2:$76,74,0),0)-IFERROR(HLOOKUP(AG17,'סקרי נכסים-יתרות פתיחה'!$2:$90,88,0),0)</f>
        <v>0</v>
      </c>
      <c r="AH118" s="47">
        <f>+IFERROR(HLOOKUP(AH17,'סקרי נכסים-יתרות פתיחה'!$2:$76,74,0),0)-IFERROR(HLOOKUP(AH17,'סקרי נכסים-יתרות פתיחה'!$2:$90,88,0),0)</f>
        <v>0</v>
      </c>
      <c r="AI118" s="47">
        <f>+IFERROR(HLOOKUP(AI17,'סקרי נכסים-יתרות פתיחה'!$2:$76,74,0),0)-IFERROR(HLOOKUP(AI17,'סקרי נכסים-יתרות פתיחה'!$2:$90,88,0),0)</f>
        <v>0</v>
      </c>
      <c r="AJ118" s="47">
        <f>+IFERROR(HLOOKUP(AJ17,'סקרי נכסים-יתרות פתיחה'!$2:$76,74,0),0)-IFERROR(HLOOKUP(AJ17,'סקרי נכסים-יתרות פתיחה'!$2:$90,88,0),0)</f>
        <v>0</v>
      </c>
      <c r="AK118" s="47">
        <f>+IFERROR(HLOOKUP(AK17,'סקרי נכסים-יתרות פתיחה'!$2:$76,74,0),0)-IFERROR(HLOOKUP(AK17,'סקרי נכסים-יתרות פתיחה'!$2:$90,88,0),0)</f>
        <v>0</v>
      </c>
      <c r="AL118" s="47">
        <f>+IFERROR(HLOOKUP(AL17,'סקרי נכסים-יתרות פתיחה'!$2:$76,74,0),0)-IFERROR(HLOOKUP(AL17,'סקרי נכסים-יתרות פתיחה'!$2:$90,88,0),0)</f>
        <v>0</v>
      </c>
      <c r="AM118" s="47">
        <f>+IFERROR(HLOOKUP(AM17,'סקרי נכסים-יתרות פתיחה'!$2:$76,74,0),0)-IFERROR(HLOOKUP(AM17,'סקרי נכסים-יתרות פתיחה'!$2:$90,88,0),0)</f>
        <v>0</v>
      </c>
      <c r="AN118" s="47">
        <f>+IFERROR(HLOOKUP(AN17,'סקרי נכסים-יתרות פתיחה'!$2:$76,74,0),0)-IFERROR(HLOOKUP(AN17,'סקרי נכסים-יתרות פתיחה'!$2:$90,88,0),0)</f>
        <v>0</v>
      </c>
      <c r="AO118" s="47">
        <f>+IFERROR(HLOOKUP(AO17,'סקרי נכסים-יתרות פתיחה'!$2:$76,74,0),0)-IFERROR(HLOOKUP(AO17,'סקרי נכסים-יתרות פתיחה'!$2:$90,88,0),0)</f>
        <v>0</v>
      </c>
      <c r="AP118" s="47">
        <f>+IFERROR(HLOOKUP(AP17,'סקרי נכסים-יתרות פתיחה'!$2:$76,74,0),0)-IFERROR(HLOOKUP(AP17,'סקרי נכסים-יתרות פתיחה'!$2:$90,88,0),0)</f>
        <v>0</v>
      </c>
      <c r="AQ118" s="47">
        <f>+IFERROR(HLOOKUP(AQ17,'סקרי נכסים-יתרות פתיחה'!$2:$76,74,0),0)-IFERROR(HLOOKUP(AQ17,'סקרי נכסים-יתרות פתיחה'!$2:$90,88,0),0)</f>
        <v>0</v>
      </c>
      <c r="AR118" s="47">
        <f>+IFERROR(HLOOKUP(AR17,'סקרי נכסים-יתרות פתיחה'!$2:$76,74,0),0)-IFERROR(HLOOKUP(AR17,'סקרי נכסים-יתרות פתיחה'!$2:$90,88,0),0)</f>
        <v>0</v>
      </c>
      <c r="AS118" s="47">
        <f>+IFERROR(HLOOKUP(AS17,'סקרי נכסים-יתרות פתיחה'!$2:$76,74,0),0)-IFERROR(HLOOKUP(AS17,'סקרי נכסים-יתרות פתיחה'!$2:$90,88,0),0)</f>
        <v>9934967.8571428582</v>
      </c>
      <c r="AT118" s="47">
        <f>+IFERROR(HLOOKUP(AT17,'סקרי נכסים-יתרות פתיחה'!$2:$76,74,0),0)-IFERROR(HLOOKUP(AT17,'סקרי נכסים-יתרות פתיחה'!$2:$90,88,0),0)</f>
        <v>0</v>
      </c>
      <c r="AU118" s="47">
        <f>+IFERROR(HLOOKUP(AU17,'סקרי נכסים-יתרות פתיחה'!$2:$76,74,0),0)-IFERROR(HLOOKUP(AU17,'סקרי נכסים-יתרות פתיחה'!$2:$90,88,0),0)</f>
        <v>0</v>
      </c>
      <c r="AV118" s="47">
        <f>+IFERROR(HLOOKUP(AV17,'סקרי נכסים-יתרות פתיחה'!$2:$76,74,0),0)-IFERROR(HLOOKUP(AV17,'סקרי נכסים-יתרות פתיחה'!$2:$90,88,0),0)</f>
        <v>0</v>
      </c>
      <c r="AW118" s="47">
        <f>+IFERROR(HLOOKUP(AW17,'סקרי נכסים-יתרות פתיחה'!$2:$76,74,0),0)-IFERROR(HLOOKUP(AW17,'סקרי נכסים-יתרות פתיחה'!$2:$90,88,0),0)</f>
        <v>0</v>
      </c>
      <c r="AX118" s="47">
        <f>+IFERROR(HLOOKUP(AX17,'סקרי נכסים-יתרות פתיחה'!$2:$76,74,0),0)-IFERROR(HLOOKUP(AX17,'סקרי נכסים-יתרות פתיחה'!$2:$90,88,0),0)</f>
        <v>0</v>
      </c>
      <c r="AY118" s="47">
        <f>+IFERROR(HLOOKUP(AY17,'סקרי נכסים-יתרות פתיחה'!$2:$76,74,0),0)-IFERROR(HLOOKUP(AY17,'סקרי נכסים-יתרות פתיחה'!$2:$90,88,0),0)</f>
        <v>0</v>
      </c>
      <c r="AZ118" s="47">
        <f>+IFERROR(HLOOKUP(AZ17,'סקרי נכסים-יתרות פתיחה'!$2:$76,74,0),0)-IFERROR(HLOOKUP(AZ17,'סקרי נכסים-יתרות פתיחה'!$2:$90,88,0),0)</f>
        <v>0</v>
      </c>
      <c r="BA118" s="47">
        <f>+IFERROR(HLOOKUP(BA17,'סקרי נכסים-יתרות פתיחה'!$2:$76,74,0),0)-IFERROR(HLOOKUP(BA17,'סקרי נכסים-יתרות פתיחה'!$2:$90,88,0),0)</f>
        <v>0</v>
      </c>
      <c r="BB118" s="47">
        <f>+IFERROR(HLOOKUP(BB17,'סקרי נכסים-יתרות פתיחה'!$2:$76,74,0),0)-IFERROR(HLOOKUP(BB17,'סקרי נכסים-יתרות פתיחה'!$2:$90,88,0),0)</f>
        <v>0</v>
      </c>
      <c r="BC118" s="47">
        <f>+IFERROR(HLOOKUP(BC17,'סקרי נכסים-יתרות פתיחה'!$2:$76,74,0),0)-IFERROR(HLOOKUP(BC17,'סקרי נכסים-יתרות פתיחה'!$2:$90,88,0),0)</f>
        <v>0</v>
      </c>
      <c r="BD118" s="47">
        <f>+IFERROR(HLOOKUP(BD17,'סקרי נכסים-יתרות פתיחה'!$2:$76,74,0),0)-IFERROR(HLOOKUP(BD17,'סקרי נכסים-יתרות פתיחה'!$2:$90,88,0),0)</f>
        <v>0</v>
      </c>
      <c r="BE118" s="47">
        <f>+IFERROR(HLOOKUP(BE17,'סקרי נכסים-יתרות פתיחה'!$2:$76,74,0),0)-IFERROR(HLOOKUP(BE17,'סקרי נכסים-יתרות פתיחה'!$2:$90,88,0),0)</f>
        <v>0</v>
      </c>
      <c r="BF118" s="47">
        <f>+IFERROR(HLOOKUP(BF17,'סקרי נכסים-יתרות פתיחה'!$2:$76,74,0),0)-IFERROR(HLOOKUP(BF17,'סקרי נכסים-יתרות פתיחה'!$2:$90,88,0),0)</f>
        <v>0</v>
      </c>
    </row>
    <row r="119" spans="2:58" x14ac:dyDescent="0.2">
      <c r="B119" s="1">
        <v>11</v>
      </c>
      <c r="C119" s="47">
        <f>+IFERROR(HLOOKUP(C18,'סקרי נכסים-יתרות פתיחה'!$2:$76,74,0),0)-IFERROR(HLOOKUP(C18,'סקרי נכסים-יתרות פתיחה'!$2:$90,88,0),0)</f>
        <v>0</v>
      </c>
      <c r="D119" s="47">
        <f>+IFERROR(HLOOKUP(D18,'סקרי נכסים-יתרות פתיחה'!$2:$76,74,0),0)-IFERROR(HLOOKUP(D18,'סקרי נכסים-יתרות פתיחה'!$2:$90,88,0),0)</f>
        <v>0</v>
      </c>
      <c r="E119" s="47">
        <f>+IFERROR(HLOOKUP(E18,'סקרי נכסים-יתרות פתיחה'!$2:$76,74,0),0)-IFERROR(HLOOKUP(E18,'סקרי נכסים-יתרות פתיחה'!$2:$90,88,0),0)</f>
        <v>0</v>
      </c>
      <c r="F119" s="47">
        <f>+IFERROR(HLOOKUP(F18,'סקרי נכסים-יתרות פתיחה'!$2:$76,74,0),0)-IFERROR(HLOOKUP(F18,'סקרי נכסים-יתרות פתיחה'!$2:$90,88,0),0)</f>
        <v>0</v>
      </c>
      <c r="G119" s="47">
        <f>+IFERROR(HLOOKUP(G18,'סקרי נכסים-יתרות פתיחה'!$2:$76,74,0),0)-IFERROR(HLOOKUP(G18,'סקרי נכסים-יתרות פתיחה'!$2:$90,88,0),0)</f>
        <v>0</v>
      </c>
      <c r="H119" s="47">
        <f>+IFERROR(HLOOKUP(H18,'סקרי נכסים-יתרות פתיחה'!$2:$76,74,0),0)-IFERROR(HLOOKUP(H18,'סקרי נכסים-יתרות פתיחה'!$2:$90,88,0),0)</f>
        <v>0</v>
      </c>
      <c r="I119" s="47">
        <f>+IFERROR(HLOOKUP(I18,'סקרי נכסים-יתרות פתיחה'!$2:$76,74,0),0)-IFERROR(HLOOKUP(I18,'סקרי נכסים-יתרות פתיחה'!$2:$90,88,0),0)</f>
        <v>0</v>
      </c>
      <c r="J119" s="47">
        <f>+IFERROR(HLOOKUP(J18,'סקרי נכסים-יתרות פתיחה'!$2:$76,74,0),0)-IFERROR(HLOOKUP(J18,'סקרי נכסים-יתרות פתיחה'!$2:$90,88,0),0)</f>
        <v>0</v>
      </c>
      <c r="K119" s="47">
        <f>+IFERROR(HLOOKUP(K18,'סקרי נכסים-יתרות פתיחה'!$2:$76,74,0),0)-IFERROR(HLOOKUP(K18,'סקרי נכסים-יתרות פתיחה'!$2:$90,88,0),0)</f>
        <v>0</v>
      </c>
      <c r="L119" s="47">
        <f>+IFERROR(HLOOKUP(L18,'סקרי נכסים-יתרות פתיחה'!$2:$76,74,0),0)-IFERROR(HLOOKUP(L18,'סקרי נכסים-יתרות פתיחה'!$2:$90,88,0),0)</f>
        <v>0</v>
      </c>
      <c r="M119" s="47">
        <f>+IFERROR(HLOOKUP(M18,'סקרי נכסים-יתרות פתיחה'!$2:$76,74,0),0)-IFERROR(HLOOKUP(M18,'סקרי נכסים-יתרות פתיחה'!$2:$90,88,0),0)</f>
        <v>0</v>
      </c>
      <c r="N119" s="47">
        <f>+IFERROR(HLOOKUP(N18,'סקרי נכסים-יתרות פתיחה'!$2:$76,74,0),0)-IFERROR(HLOOKUP(N18,'סקרי נכסים-יתרות פתיחה'!$2:$90,88,0),0)</f>
        <v>0</v>
      </c>
      <c r="O119" s="47">
        <f>+IFERROR(HLOOKUP(O18,'סקרי נכסים-יתרות פתיחה'!$2:$76,74,0),0)-IFERROR(HLOOKUP(O18,'סקרי נכסים-יתרות פתיחה'!$2:$90,88,0),0)</f>
        <v>0</v>
      </c>
      <c r="P119" s="47">
        <f>+IFERROR(HLOOKUP(P18,'סקרי נכסים-יתרות פתיחה'!$2:$76,74,0),0)-IFERROR(HLOOKUP(P18,'סקרי נכסים-יתרות פתיחה'!$2:$90,88,0),0)</f>
        <v>10042007.357142856</v>
      </c>
      <c r="Q119" s="47">
        <f>+IFERROR(HLOOKUP(Q18,'סקרי נכסים-יתרות פתיחה'!$2:$76,74,0),0)-IFERROR(HLOOKUP(Q18,'סקרי נכסים-יתרות פתיחה'!$2:$90,88,0),0)</f>
        <v>0</v>
      </c>
      <c r="R119" s="47">
        <f>+IFERROR(HLOOKUP(R18,'סקרי נכסים-יתרות פתיחה'!$2:$76,74,0),0)-IFERROR(HLOOKUP(R18,'סקרי נכסים-יתרות פתיחה'!$2:$90,88,0),0)</f>
        <v>0</v>
      </c>
      <c r="S119" s="47">
        <f>+IFERROR(HLOOKUP(S18,'סקרי נכסים-יתרות פתיחה'!$2:$76,74,0),0)-IFERROR(HLOOKUP(S18,'סקרי נכסים-יתרות פתיחה'!$2:$90,88,0),0)</f>
        <v>0</v>
      </c>
      <c r="T119" s="47">
        <f>+IFERROR(HLOOKUP(T18,'סקרי נכסים-יתרות פתיחה'!$2:$76,74,0),0)-IFERROR(HLOOKUP(T18,'סקרי נכסים-יתרות פתיחה'!$2:$90,88,0),0)</f>
        <v>0</v>
      </c>
      <c r="U119" s="47">
        <f>+IFERROR(HLOOKUP(U18,'סקרי נכסים-יתרות פתיחה'!$2:$76,74,0),0)-IFERROR(HLOOKUP(U18,'סקרי נכסים-יתרות פתיחה'!$2:$90,88,0),0)</f>
        <v>0</v>
      </c>
      <c r="V119" s="47">
        <f>+IFERROR(HLOOKUP(V18,'סקרי נכסים-יתרות פתיחה'!$2:$76,74,0),0)-IFERROR(HLOOKUP(V18,'סקרי נכסים-יתרות פתיחה'!$2:$90,88,0),0)</f>
        <v>0</v>
      </c>
      <c r="W119" s="47">
        <f>+IFERROR(HLOOKUP(W18,'סקרי נכסים-יתרות פתיחה'!$2:$76,74,0),0)-IFERROR(HLOOKUP(W18,'סקרי נכסים-יתרות פתיחה'!$2:$90,88,0),0)</f>
        <v>0</v>
      </c>
      <c r="X119" s="47">
        <f>+IFERROR(HLOOKUP(X18,'סקרי נכסים-יתרות פתיחה'!$2:$76,74,0),0)-IFERROR(HLOOKUP(X18,'סקרי נכסים-יתרות פתיחה'!$2:$90,88,0),0)</f>
        <v>0</v>
      </c>
      <c r="Y119" s="47">
        <f>+IFERROR(HLOOKUP(Y18,'סקרי נכסים-יתרות פתיחה'!$2:$76,74,0),0)-IFERROR(HLOOKUP(Y18,'סקרי נכסים-יתרות פתיחה'!$2:$90,88,0),0)</f>
        <v>0</v>
      </c>
      <c r="Z119" s="47">
        <f>+IFERROR(HLOOKUP(Z18,'סקרי נכסים-יתרות פתיחה'!$2:$76,74,0),0)-IFERROR(HLOOKUP(Z18,'סקרי נכסים-יתרות פתיחה'!$2:$90,88,0),0)</f>
        <v>0</v>
      </c>
      <c r="AA119" s="47">
        <f>+IFERROR(HLOOKUP(AA18,'סקרי נכסים-יתרות פתיחה'!$2:$76,74,0),0)-IFERROR(HLOOKUP(AA18,'סקרי נכסים-יתרות פתיחה'!$2:$90,88,0),0)</f>
        <v>0</v>
      </c>
      <c r="AB119" s="47">
        <f>+IFERROR(HLOOKUP(AB18,'סקרי נכסים-יתרות פתיחה'!$2:$76,74,0),0)-IFERROR(HLOOKUP(AB18,'סקרי נכסים-יתרות פתיחה'!$2:$90,88,0),0)</f>
        <v>0</v>
      </c>
      <c r="AC119" s="47">
        <f>+IFERROR(HLOOKUP(AC18,'סקרי נכסים-יתרות פתיחה'!$2:$76,74,0),0)-IFERROR(HLOOKUP(AC18,'סקרי נכסים-יתרות פתיחה'!$2:$90,88,0),0)</f>
        <v>0</v>
      </c>
      <c r="AD119" s="47">
        <f>+IFERROR(HLOOKUP(AD18,'סקרי נכסים-יתרות פתיחה'!$2:$76,74,0),0)-IFERROR(HLOOKUP(AD18,'סקרי נכסים-יתרות פתיחה'!$2:$90,88,0),0)</f>
        <v>0</v>
      </c>
      <c r="AE119" s="47">
        <f>+IFERROR(HLOOKUP(AE18,'סקרי נכסים-יתרות פתיחה'!$2:$76,74,0),0)-IFERROR(HLOOKUP(AE18,'סקרי נכסים-יתרות פתיחה'!$2:$90,88,0),0)</f>
        <v>0</v>
      </c>
      <c r="AF119" s="47">
        <f>+IFERROR(HLOOKUP(AF18,'סקרי נכסים-יתרות פתיחה'!$2:$76,74,0),0)-IFERROR(HLOOKUP(AF18,'סקרי נכסים-יתרות פתיחה'!$2:$90,88,0),0)</f>
        <v>0</v>
      </c>
      <c r="AG119" s="47">
        <f>+IFERROR(HLOOKUP(AG18,'סקרי נכסים-יתרות פתיחה'!$2:$76,74,0),0)-IFERROR(HLOOKUP(AG18,'סקרי נכסים-יתרות פתיחה'!$2:$90,88,0),0)</f>
        <v>0</v>
      </c>
      <c r="AH119" s="47">
        <f>+IFERROR(HLOOKUP(AH18,'סקרי נכסים-יתרות פתיחה'!$2:$76,74,0),0)-IFERROR(HLOOKUP(AH18,'סקרי נכסים-יתרות פתיחה'!$2:$90,88,0),0)</f>
        <v>0</v>
      </c>
      <c r="AI119" s="47">
        <f>+IFERROR(HLOOKUP(AI18,'סקרי נכסים-יתרות פתיחה'!$2:$76,74,0),0)-IFERROR(HLOOKUP(AI18,'סקרי נכסים-יתרות פתיחה'!$2:$90,88,0),0)</f>
        <v>0</v>
      </c>
      <c r="AJ119" s="47">
        <f>+IFERROR(HLOOKUP(AJ18,'סקרי נכסים-יתרות פתיחה'!$2:$76,74,0),0)-IFERROR(HLOOKUP(AJ18,'סקרי נכסים-יתרות פתיחה'!$2:$90,88,0),0)</f>
        <v>0</v>
      </c>
      <c r="AK119" s="47">
        <f>+IFERROR(HLOOKUP(AK18,'סקרי נכסים-יתרות פתיחה'!$2:$76,74,0),0)-IFERROR(HLOOKUP(AK18,'סקרי נכסים-יתרות פתיחה'!$2:$90,88,0),0)</f>
        <v>0</v>
      </c>
      <c r="AL119" s="47">
        <f>+IFERROR(HLOOKUP(AL18,'סקרי נכסים-יתרות פתיחה'!$2:$76,74,0),0)-IFERROR(HLOOKUP(AL18,'סקרי נכסים-יתרות פתיחה'!$2:$90,88,0),0)</f>
        <v>0</v>
      </c>
      <c r="AM119" s="47">
        <f>+IFERROR(HLOOKUP(AM18,'סקרי נכסים-יתרות פתיחה'!$2:$76,74,0),0)-IFERROR(HLOOKUP(AM18,'סקרי נכסים-יתרות פתיחה'!$2:$90,88,0),0)</f>
        <v>0</v>
      </c>
      <c r="AN119" s="47">
        <f>+IFERROR(HLOOKUP(AN18,'סקרי נכסים-יתרות פתיחה'!$2:$76,74,0),0)-IFERROR(HLOOKUP(AN18,'סקרי נכסים-יתרות פתיחה'!$2:$90,88,0),0)</f>
        <v>0</v>
      </c>
      <c r="AO119" s="47">
        <f>+IFERROR(HLOOKUP(AO18,'סקרי נכסים-יתרות פתיחה'!$2:$76,74,0),0)-IFERROR(HLOOKUP(AO18,'סקרי נכסים-יתרות פתיחה'!$2:$90,88,0),0)</f>
        <v>0</v>
      </c>
      <c r="AP119" s="47">
        <f>+IFERROR(HLOOKUP(AP18,'סקרי נכסים-יתרות פתיחה'!$2:$76,74,0),0)-IFERROR(HLOOKUP(AP18,'סקרי נכסים-יתרות פתיחה'!$2:$90,88,0),0)</f>
        <v>0</v>
      </c>
      <c r="AQ119" s="47">
        <f>+IFERROR(HLOOKUP(AQ18,'סקרי נכסים-יתרות פתיחה'!$2:$76,74,0),0)-IFERROR(HLOOKUP(AQ18,'סקרי נכסים-יתרות פתיחה'!$2:$90,88,0),0)</f>
        <v>0</v>
      </c>
      <c r="AR119" s="47">
        <f>+IFERROR(HLOOKUP(AR18,'סקרי נכסים-יתרות פתיחה'!$2:$76,74,0),0)-IFERROR(HLOOKUP(AR18,'סקרי נכסים-יתרות פתיחה'!$2:$90,88,0),0)</f>
        <v>0</v>
      </c>
      <c r="AS119" s="47">
        <f>+IFERROR(HLOOKUP(AS18,'סקרי נכסים-יתרות פתיחה'!$2:$76,74,0),0)-IFERROR(HLOOKUP(AS18,'סקרי נכסים-יתרות פתיחה'!$2:$90,88,0),0)</f>
        <v>5184530</v>
      </c>
      <c r="AT119" s="47">
        <f>+IFERROR(HLOOKUP(AT18,'סקרי נכסים-יתרות פתיחה'!$2:$76,74,0),0)-IFERROR(HLOOKUP(AT18,'סקרי נכסים-יתרות פתיחה'!$2:$90,88,0),0)</f>
        <v>0</v>
      </c>
      <c r="AU119" s="47">
        <f>+IFERROR(HLOOKUP(AU18,'סקרי נכסים-יתרות פתיחה'!$2:$76,74,0),0)-IFERROR(HLOOKUP(AU18,'סקרי נכסים-יתרות פתיחה'!$2:$90,88,0),0)</f>
        <v>0</v>
      </c>
      <c r="AV119" s="47">
        <f>+IFERROR(HLOOKUP(AV18,'סקרי נכסים-יתרות פתיחה'!$2:$76,74,0),0)-IFERROR(HLOOKUP(AV18,'סקרי נכסים-יתרות פתיחה'!$2:$90,88,0),0)</f>
        <v>0</v>
      </c>
      <c r="AW119" s="47">
        <f>+IFERROR(HLOOKUP(AW18,'סקרי נכסים-יתרות פתיחה'!$2:$76,74,0),0)-IFERROR(HLOOKUP(AW18,'סקרי נכסים-יתרות פתיחה'!$2:$90,88,0),0)</f>
        <v>0</v>
      </c>
      <c r="AX119" s="47">
        <f>+IFERROR(HLOOKUP(AX18,'סקרי נכסים-יתרות פתיחה'!$2:$76,74,0),0)-IFERROR(HLOOKUP(AX18,'סקרי נכסים-יתרות פתיחה'!$2:$90,88,0),0)</f>
        <v>0</v>
      </c>
      <c r="AY119" s="47">
        <f>+IFERROR(HLOOKUP(AY18,'סקרי נכסים-יתרות פתיחה'!$2:$76,74,0),0)-IFERROR(HLOOKUP(AY18,'סקרי נכסים-יתרות פתיחה'!$2:$90,88,0),0)</f>
        <v>0</v>
      </c>
      <c r="AZ119" s="47">
        <f>+IFERROR(HLOOKUP(AZ18,'סקרי נכסים-יתרות פתיחה'!$2:$76,74,0),0)-IFERROR(HLOOKUP(AZ18,'סקרי נכסים-יתרות פתיחה'!$2:$90,88,0),0)</f>
        <v>0</v>
      </c>
      <c r="BA119" s="47">
        <f>+IFERROR(HLOOKUP(BA18,'סקרי נכסים-יתרות פתיחה'!$2:$76,74,0),0)-IFERROR(HLOOKUP(BA18,'סקרי נכסים-יתרות פתיחה'!$2:$90,88,0),0)</f>
        <v>0</v>
      </c>
      <c r="BB119" s="47">
        <f>+IFERROR(HLOOKUP(BB18,'סקרי נכסים-יתרות פתיחה'!$2:$76,74,0),0)-IFERROR(HLOOKUP(BB18,'סקרי נכסים-יתרות פתיחה'!$2:$90,88,0),0)</f>
        <v>0</v>
      </c>
      <c r="BC119" s="47">
        <f>+IFERROR(HLOOKUP(BC18,'סקרי נכסים-יתרות פתיחה'!$2:$76,74,0),0)-IFERROR(HLOOKUP(BC18,'סקרי נכסים-יתרות פתיחה'!$2:$90,88,0),0)</f>
        <v>0</v>
      </c>
      <c r="BD119" s="47">
        <f>+IFERROR(HLOOKUP(BD18,'סקרי נכסים-יתרות פתיחה'!$2:$76,74,0),0)-IFERROR(HLOOKUP(BD18,'סקרי נכסים-יתרות פתיחה'!$2:$90,88,0),0)</f>
        <v>0</v>
      </c>
      <c r="BE119" s="47">
        <f>+IFERROR(HLOOKUP(BE18,'סקרי נכסים-יתרות פתיחה'!$2:$76,74,0),0)-IFERROR(HLOOKUP(BE18,'סקרי נכסים-יתרות פתיחה'!$2:$90,88,0),0)</f>
        <v>0</v>
      </c>
      <c r="BF119" s="47">
        <f>+IFERROR(HLOOKUP(BF18,'סקרי נכסים-יתרות פתיחה'!$2:$76,74,0),0)-IFERROR(HLOOKUP(BF18,'סקרי נכסים-יתרות פתיחה'!$2:$90,88,0),0)</f>
        <v>0</v>
      </c>
    </row>
    <row r="120" spans="2:58" x14ac:dyDescent="0.2">
      <c r="B120" s="1">
        <v>12</v>
      </c>
      <c r="C120" s="47">
        <f>+IFERROR(HLOOKUP(C19,'סקרי נכסים-יתרות פתיחה'!$2:$76,74,0),0)-IFERROR(HLOOKUP(C19,'סקרי נכסים-יתרות פתיחה'!$2:$90,88,0),0)</f>
        <v>0</v>
      </c>
      <c r="D120" s="47">
        <f>+IFERROR(HLOOKUP(D19,'סקרי נכסים-יתרות פתיחה'!$2:$76,74,0),0)-IFERROR(HLOOKUP(D19,'סקרי נכסים-יתרות פתיחה'!$2:$90,88,0),0)</f>
        <v>0</v>
      </c>
      <c r="E120" s="47">
        <f>+IFERROR(HLOOKUP(E19,'סקרי נכסים-יתרות פתיחה'!$2:$76,74,0),0)-IFERROR(HLOOKUP(E19,'סקרי נכסים-יתרות פתיחה'!$2:$90,88,0),0)</f>
        <v>0</v>
      </c>
      <c r="F120" s="47">
        <f>+IFERROR(HLOOKUP(F19,'סקרי נכסים-יתרות פתיחה'!$2:$76,74,0),0)-IFERROR(HLOOKUP(F19,'סקרי נכסים-יתרות פתיחה'!$2:$90,88,0),0)</f>
        <v>0</v>
      </c>
      <c r="G120" s="47">
        <f>+IFERROR(HLOOKUP(G19,'סקרי נכסים-יתרות פתיחה'!$2:$76,74,0),0)-IFERROR(HLOOKUP(G19,'סקרי נכסים-יתרות פתיחה'!$2:$90,88,0),0)</f>
        <v>0</v>
      </c>
      <c r="H120" s="47">
        <f>+IFERROR(HLOOKUP(H19,'סקרי נכסים-יתרות פתיחה'!$2:$76,74,0),0)-IFERROR(HLOOKUP(H19,'סקרי נכסים-יתרות פתיחה'!$2:$90,88,0),0)</f>
        <v>0</v>
      </c>
      <c r="I120" s="47">
        <f>+IFERROR(HLOOKUP(I19,'סקרי נכסים-יתרות פתיחה'!$2:$76,74,0),0)-IFERROR(HLOOKUP(I19,'סקרי נכסים-יתרות פתיחה'!$2:$90,88,0),0)</f>
        <v>0</v>
      </c>
      <c r="J120" s="47">
        <f>+IFERROR(HLOOKUP(J19,'סקרי נכסים-יתרות פתיחה'!$2:$76,74,0),0)-IFERROR(HLOOKUP(J19,'סקרי נכסים-יתרות פתיחה'!$2:$90,88,0),0)</f>
        <v>0</v>
      </c>
      <c r="K120" s="47">
        <f>+IFERROR(HLOOKUP(K19,'סקרי נכסים-יתרות פתיחה'!$2:$76,74,0),0)-IFERROR(HLOOKUP(K19,'סקרי נכסים-יתרות פתיחה'!$2:$90,88,0),0)</f>
        <v>0</v>
      </c>
      <c r="L120" s="47">
        <f>+IFERROR(HLOOKUP(L19,'סקרי נכסים-יתרות פתיחה'!$2:$76,74,0),0)-IFERROR(HLOOKUP(L19,'סקרי נכסים-יתרות פתיחה'!$2:$90,88,0),0)</f>
        <v>0</v>
      </c>
      <c r="M120" s="47">
        <f>+IFERROR(HLOOKUP(M19,'סקרי נכסים-יתרות פתיחה'!$2:$76,74,0),0)-IFERROR(HLOOKUP(M19,'סקרי נכסים-יתרות פתיחה'!$2:$90,88,0),0)</f>
        <v>0</v>
      </c>
      <c r="N120" s="47">
        <f>+IFERROR(HLOOKUP(N19,'סקרי נכסים-יתרות פתיחה'!$2:$76,74,0),0)-IFERROR(HLOOKUP(N19,'סקרי נכסים-יתרות פתיחה'!$2:$90,88,0),0)</f>
        <v>0</v>
      </c>
      <c r="O120" s="47">
        <f>+IFERROR(HLOOKUP(O19,'סקרי נכסים-יתרות פתיחה'!$2:$76,74,0),0)-IFERROR(HLOOKUP(O19,'סקרי נכסים-יתרות פתיחה'!$2:$90,88,0),0)</f>
        <v>0</v>
      </c>
      <c r="P120" s="47">
        <f>+IFERROR(HLOOKUP(P19,'סקרי נכסים-יתרות פתיחה'!$2:$76,74,0),0)-IFERROR(HLOOKUP(P19,'סקרי נכסים-יתרות פתיחה'!$2:$90,88,0),0)</f>
        <v>11077721.128571428</v>
      </c>
      <c r="Q120" s="47">
        <f>+IFERROR(HLOOKUP(Q19,'סקרי נכסים-יתרות פתיחה'!$2:$76,74,0),0)-IFERROR(HLOOKUP(Q19,'סקרי נכסים-יתרות פתיחה'!$2:$90,88,0),0)</f>
        <v>0</v>
      </c>
      <c r="R120" s="47">
        <f>+IFERROR(HLOOKUP(R19,'סקרי נכסים-יתרות פתיחה'!$2:$76,74,0),0)-IFERROR(HLOOKUP(R19,'סקרי נכסים-יתרות פתיחה'!$2:$90,88,0),0)</f>
        <v>0</v>
      </c>
      <c r="S120" s="47">
        <f>+IFERROR(HLOOKUP(S19,'סקרי נכסים-יתרות פתיחה'!$2:$76,74,0),0)-IFERROR(HLOOKUP(S19,'סקרי נכסים-יתרות פתיחה'!$2:$90,88,0),0)</f>
        <v>0</v>
      </c>
      <c r="T120" s="47">
        <f>+IFERROR(HLOOKUP(T19,'סקרי נכסים-יתרות פתיחה'!$2:$76,74,0),0)-IFERROR(HLOOKUP(T19,'סקרי נכסים-יתרות פתיחה'!$2:$90,88,0),0)</f>
        <v>0</v>
      </c>
      <c r="U120" s="47">
        <f>+IFERROR(HLOOKUP(U19,'סקרי נכסים-יתרות פתיחה'!$2:$76,74,0),0)-IFERROR(HLOOKUP(U19,'סקרי נכסים-יתרות פתיחה'!$2:$90,88,0),0)</f>
        <v>0</v>
      </c>
      <c r="V120" s="47">
        <f>+IFERROR(HLOOKUP(V19,'סקרי נכסים-יתרות פתיחה'!$2:$76,74,0),0)-IFERROR(HLOOKUP(V19,'סקרי נכסים-יתרות פתיחה'!$2:$90,88,0),0)</f>
        <v>0</v>
      </c>
      <c r="W120" s="47">
        <f>+IFERROR(HLOOKUP(W19,'סקרי נכסים-יתרות פתיחה'!$2:$76,74,0),0)-IFERROR(HLOOKUP(W19,'סקרי נכסים-יתרות פתיחה'!$2:$90,88,0),0)</f>
        <v>0</v>
      </c>
      <c r="X120" s="47">
        <f>+IFERROR(HLOOKUP(X19,'סקרי נכסים-יתרות פתיחה'!$2:$76,74,0),0)-IFERROR(HLOOKUP(X19,'סקרי נכסים-יתרות פתיחה'!$2:$90,88,0),0)</f>
        <v>0</v>
      </c>
      <c r="Y120" s="47">
        <f>+IFERROR(HLOOKUP(Y19,'סקרי נכסים-יתרות פתיחה'!$2:$76,74,0),0)-IFERROR(HLOOKUP(Y19,'סקרי נכסים-יתרות פתיחה'!$2:$90,88,0),0)</f>
        <v>0</v>
      </c>
      <c r="Z120" s="47">
        <f>+IFERROR(HLOOKUP(Z19,'סקרי נכסים-יתרות פתיחה'!$2:$76,74,0),0)-IFERROR(HLOOKUP(Z19,'סקרי נכסים-יתרות פתיחה'!$2:$90,88,0),0)</f>
        <v>0</v>
      </c>
      <c r="AA120" s="47">
        <f>+IFERROR(HLOOKUP(AA19,'סקרי נכסים-יתרות פתיחה'!$2:$76,74,0),0)-IFERROR(HLOOKUP(AA19,'סקרי נכסים-יתרות פתיחה'!$2:$90,88,0),0)</f>
        <v>0</v>
      </c>
      <c r="AB120" s="47">
        <f>+IFERROR(HLOOKUP(AB19,'סקרי נכסים-יתרות פתיחה'!$2:$76,74,0),0)-IFERROR(HLOOKUP(AB19,'סקרי נכסים-יתרות פתיחה'!$2:$90,88,0),0)</f>
        <v>0</v>
      </c>
      <c r="AC120" s="47">
        <f>+IFERROR(HLOOKUP(AC19,'סקרי נכסים-יתרות פתיחה'!$2:$76,74,0),0)-IFERROR(HLOOKUP(AC19,'סקרי נכסים-יתרות פתיחה'!$2:$90,88,0),0)</f>
        <v>0</v>
      </c>
      <c r="AD120" s="47">
        <f>+IFERROR(HLOOKUP(AD19,'סקרי נכסים-יתרות פתיחה'!$2:$76,74,0),0)-IFERROR(HLOOKUP(AD19,'סקרי נכסים-יתרות פתיחה'!$2:$90,88,0),0)</f>
        <v>0</v>
      </c>
      <c r="AE120" s="47">
        <f>+IFERROR(HLOOKUP(AE19,'סקרי נכסים-יתרות פתיחה'!$2:$76,74,0),0)-IFERROR(HLOOKUP(AE19,'סקרי נכסים-יתרות פתיחה'!$2:$90,88,0),0)</f>
        <v>0</v>
      </c>
      <c r="AF120" s="47">
        <f>+IFERROR(HLOOKUP(AF19,'סקרי נכסים-יתרות פתיחה'!$2:$76,74,0),0)-IFERROR(HLOOKUP(AF19,'סקרי נכסים-יתרות פתיחה'!$2:$90,88,0),0)</f>
        <v>0</v>
      </c>
      <c r="AG120" s="47">
        <f>+IFERROR(HLOOKUP(AG19,'סקרי נכסים-יתרות פתיחה'!$2:$76,74,0),0)-IFERROR(HLOOKUP(AG19,'סקרי נכסים-יתרות פתיחה'!$2:$90,88,0),0)</f>
        <v>0</v>
      </c>
      <c r="AH120" s="47">
        <f>+IFERROR(HLOOKUP(AH19,'סקרי נכסים-יתרות פתיחה'!$2:$76,74,0),0)-IFERROR(HLOOKUP(AH19,'סקרי נכסים-יתרות פתיחה'!$2:$90,88,0),0)</f>
        <v>0</v>
      </c>
      <c r="AI120" s="47">
        <f>+IFERROR(HLOOKUP(AI19,'סקרי נכסים-יתרות פתיחה'!$2:$76,74,0),0)-IFERROR(HLOOKUP(AI19,'סקרי נכסים-יתרות פתיחה'!$2:$90,88,0),0)</f>
        <v>0</v>
      </c>
      <c r="AJ120" s="47">
        <f>+IFERROR(HLOOKUP(AJ19,'סקרי נכסים-יתרות פתיחה'!$2:$76,74,0),0)-IFERROR(HLOOKUP(AJ19,'סקרי נכסים-יתרות פתיחה'!$2:$90,88,0),0)</f>
        <v>0</v>
      </c>
      <c r="AK120" s="47">
        <f>+IFERROR(HLOOKUP(AK19,'סקרי נכסים-יתרות פתיחה'!$2:$76,74,0),0)-IFERROR(HLOOKUP(AK19,'סקרי נכסים-יתרות פתיחה'!$2:$90,88,0),0)</f>
        <v>0</v>
      </c>
      <c r="AL120" s="47">
        <f>+IFERROR(HLOOKUP(AL19,'סקרי נכסים-יתרות פתיחה'!$2:$76,74,0),0)-IFERROR(HLOOKUP(AL19,'סקרי נכסים-יתרות פתיחה'!$2:$90,88,0),0)</f>
        <v>0</v>
      </c>
      <c r="AM120" s="47">
        <f>+IFERROR(HLOOKUP(AM19,'סקרי נכסים-יתרות פתיחה'!$2:$76,74,0),0)-IFERROR(HLOOKUP(AM19,'סקרי נכסים-יתרות פתיחה'!$2:$90,88,0),0)</f>
        <v>0</v>
      </c>
      <c r="AN120" s="47">
        <f>+IFERROR(HLOOKUP(AN19,'סקרי נכסים-יתרות פתיחה'!$2:$76,74,0),0)-IFERROR(HLOOKUP(AN19,'סקרי נכסים-יתרות פתיחה'!$2:$90,88,0),0)</f>
        <v>0</v>
      </c>
      <c r="AO120" s="47">
        <f>+IFERROR(HLOOKUP(AO19,'סקרי נכסים-יתרות פתיחה'!$2:$76,74,0),0)-IFERROR(HLOOKUP(AO19,'סקרי נכסים-יתרות פתיחה'!$2:$90,88,0),0)</f>
        <v>0</v>
      </c>
      <c r="AP120" s="47">
        <f>+IFERROR(HLOOKUP(AP19,'סקרי נכסים-יתרות פתיחה'!$2:$76,74,0),0)-IFERROR(HLOOKUP(AP19,'סקרי נכסים-יתרות פתיחה'!$2:$90,88,0),0)</f>
        <v>0</v>
      </c>
      <c r="AQ120" s="47">
        <f>+IFERROR(HLOOKUP(AQ19,'סקרי נכסים-יתרות פתיחה'!$2:$76,74,0),0)-IFERROR(HLOOKUP(AQ19,'סקרי נכסים-יתרות פתיחה'!$2:$90,88,0),0)</f>
        <v>0</v>
      </c>
      <c r="AR120" s="47">
        <f>+IFERROR(HLOOKUP(AR19,'סקרי נכסים-יתרות פתיחה'!$2:$76,74,0),0)-IFERROR(HLOOKUP(AR19,'סקרי נכסים-יתרות פתיחה'!$2:$90,88,0),0)</f>
        <v>0</v>
      </c>
      <c r="AS120" s="47">
        <f>+IFERROR(HLOOKUP(AS19,'סקרי נכסים-יתרות פתיחה'!$2:$76,74,0),0)-IFERROR(HLOOKUP(AS19,'סקרי נכסים-יתרות פתיחה'!$2:$90,88,0),0)</f>
        <v>0</v>
      </c>
      <c r="AT120" s="47">
        <f>+IFERROR(HLOOKUP(AT19,'סקרי נכסים-יתרות פתיחה'!$2:$76,74,0),0)-IFERROR(HLOOKUP(AT19,'סקרי נכסים-יתרות פתיחה'!$2:$90,88,0),0)</f>
        <v>0</v>
      </c>
      <c r="AU120" s="47">
        <f>+IFERROR(HLOOKUP(AU19,'סקרי נכסים-יתרות פתיחה'!$2:$76,74,0),0)-IFERROR(HLOOKUP(AU19,'סקרי נכסים-יתרות פתיחה'!$2:$90,88,0),0)</f>
        <v>0</v>
      </c>
      <c r="AV120" s="47">
        <f>+IFERROR(HLOOKUP(AV19,'סקרי נכסים-יתרות פתיחה'!$2:$76,74,0),0)-IFERROR(HLOOKUP(AV19,'סקרי נכסים-יתרות פתיחה'!$2:$90,88,0),0)</f>
        <v>0</v>
      </c>
      <c r="AW120" s="47">
        <f>+IFERROR(HLOOKUP(AW19,'סקרי נכסים-יתרות פתיחה'!$2:$76,74,0),0)-IFERROR(HLOOKUP(AW19,'סקרי נכסים-יתרות פתיחה'!$2:$90,88,0),0)</f>
        <v>0</v>
      </c>
      <c r="AX120" s="47">
        <f>+IFERROR(HLOOKUP(AX19,'סקרי נכסים-יתרות פתיחה'!$2:$76,74,0),0)-IFERROR(HLOOKUP(AX19,'סקרי נכסים-יתרות פתיחה'!$2:$90,88,0),0)</f>
        <v>0</v>
      </c>
      <c r="AY120" s="47">
        <f>+IFERROR(HLOOKUP(AY19,'סקרי נכסים-יתרות פתיחה'!$2:$76,74,0),0)-IFERROR(HLOOKUP(AY19,'סקרי נכסים-יתרות פתיחה'!$2:$90,88,0),0)</f>
        <v>0</v>
      </c>
      <c r="AZ120" s="47">
        <f>+IFERROR(HLOOKUP(AZ19,'סקרי נכסים-יתרות פתיחה'!$2:$76,74,0),0)-IFERROR(HLOOKUP(AZ19,'סקרי נכסים-יתרות פתיחה'!$2:$90,88,0),0)</f>
        <v>0</v>
      </c>
      <c r="BA120" s="47">
        <f>+IFERROR(HLOOKUP(BA19,'סקרי נכסים-יתרות פתיחה'!$2:$76,74,0),0)-IFERROR(HLOOKUP(BA19,'סקרי נכסים-יתרות פתיחה'!$2:$90,88,0),0)</f>
        <v>0</v>
      </c>
      <c r="BB120" s="47">
        <f>+IFERROR(HLOOKUP(BB19,'סקרי נכסים-יתרות פתיחה'!$2:$76,74,0),0)-IFERROR(HLOOKUP(BB19,'סקרי נכסים-יתרות פתיחה'!$2:$90,88,0),0)</f>
        <v>0</v>
      </c>
      <c r="BC120" s="47">
        <f>+IFERROR(HLOOKUP(BC19,'סקרי נכסים-יתרות פתיחה'!$2:$76,74,0),0)-IFERROR(HLOOKUP(BC19,'סקרי נכסים-יתרות פתיחה'!$2:$90,88,0),0)</f>
        <v>0</v>
      </c>
      <c r="BD120" s="47">
        <f>+IFERROR(HLOOKUP(BD19,'סקרי נכסים-יתרות פתיחה'!$2:$76,74,0),0)-IFERROR(HLOOKUP(BD19,'סקרי נכסים-יתרות פתיחה'!$2:$90,88,0),0)</f>
        <v>0</v>
      </c>
      <c r="BE120" s="47">
        <f>+IFERROR(HLOOKUP(BE19,'סקרי נכסים-יתרות פתיחה'!$2:$76,74,0),0)-IFERROR(HLOOKUP(BE19,'סקרי נכסים-יתרות פתיחה'!$2:$90,88,0),0)</f>
        <v>0</v>
      </c>
      <c r="BF120" s="47">
        <f>+IFERROR(HLOOKUP(BF19,'סקרי נכסים-יתרות פתיחה'!$2:$76,74,0),0)-IFERROR(HLOOKUP(BF19,'סקרי נכסים-יתרות פתיחה'!$2:$90,88,0),0)</f>
        <v>0</v>
      </c>
    </row>
    <row r="121" spans="2:58" x14ac:dyDescent="0.2">
      <c r="B121" s="1">
        <v>13</v>
      </c>
      <c r="C121" s="47">
        <f>+IFERROR(HLOOKUP(C20,'סקרי נכסים-יתרות פתיחה'!$2:$76,74,0),0)-IFERROR(HLOOKUP(C20,'סקרי נכסים-יתרות פתיחה'!$2:$90,88,0),0)</f>
        <v>0</v>
      </c>
      <c r="D121" s="47">
        <f>+IFERROR(HLOOKUP(D20,'סקרי נכסים-יתרות פתיחה'!$2:$76,74,0),0)-IFERROR(HLOOKUP(D20,'סקרי נכסים-יתרות פתיחה'!$2:$90,88,0),0)</f>
        <v>0</v>
      </c>
      <c r="E121" s="47">
        <f>+IFERROR(HLOOKUP(E20,'סקרי נכסים-יתרות פתיחה'!$2:$76,74,0),0)-IFERROR(HLOOKUP(E20,'סקרי נכסים-יתרות פתיחה'!$2:$90,88,0),0)</f>
        <v>0</v>
      </c>
      <c r="F121" s="47">
        <f>+IFERROR(HLOOKUP(F20,'סקרי נכסים-יתרות פתיחה'!$2:$76,74,0),0)-IFERROR(HLOOKUP(F20,'סקרי נכסים-יתרות פתיחה'!$2:$90,88,0),0)</f>
        <v>0</v>
      </c>
      <c r="G121" s="47">
        <f>+IFERROR(HLOOKUP(G20,'סקרי נכסים-יתרות פתיחה'!$2:$76,74,0),0)-IFERROR(HLOOKUP(G20,'סקרי נכסים-יתרות פתיחה'!$2:$90,88,0),0)</f>
        <v>0</v>
      </c>
      <c r="H121" s="47">
        <f>+IFERROR(HLOOKUP(H20,'סקרי נכסים-יתרות פתיחה'!$2:$76,74,0),0)-IFERROR(HLOOKUP(H20,'סקרי נכסים-יתרות פתיחה'!$2:$90,88,0),0)</f>
        <v>0</v>
      </c>
      <c r="I121" s="47">
        <f>+IFERROR(HLOOKUP(I20,'סקרי נכסים-יתרות פתיחה'!$2:$76,74,0),0)-IFERROR(HLOOKUP(I20,'סקרי נכסים-יתרות פתיחה'!$2:$90,88,0),0)</f>
        <v>0</v>
      </c>
      <c r="J121" s="47">
        <f>+IFERROR(HLOOKUP(J20,'סקרי נכסים-יתרות פתיחה'!$2:$76,74,0),0)-IFERROR(HLOOKUP(J20,'סקרי נכסים-יתרות פתיחה'!$2:$90,88,0),0)</f>
        <v>0</v>
      </c>
      <c r="K121" s="47">
        <f>+IFERROR(HLOOKUP(K20,'סקרי נכסים-יתרות פתיחה'!$2:$76,74,0),0)-IFERROR(HLOOKUP(K20,'סקרי נכסים-יתרות פתיחה'!$2:$90,88,0),0)</f>
        <v>0</v>
      </c>
      <c r="L121" s="47">
        <f>+IFERROR(HLOOKUP(L20,'סקרי נכסים-יתרות פתיחה'!$2:$76,74,0),0)-IFERROR(HLOOKUP(L20,'סקרי נכסים-יתרות פתיחה'!$2:$90,88,0),0)</f>
        <v>0</v>
      </c>
      <c r="M121" s="47">
        <f>+IFERROR(HLOOKUP(M20,'סקרי נכסים-יתרות פתיחה'!$2:$76,74,0),0)-IFERROR(HLOOKUP(M20,'סקרי נכסים-יתרות פתיחה'!$2:$90,88,0),0)</f>
        <v>0</v>
      </c>
      <c r="N121" s="47">
        <f>+IFERROR(HLOOKUP(N20,'סקרי נכסים-יתרות פתיחה'!$2:$76,74,0),0)-IFERROR(HLOOKUP(N20,'סקרי נכסים-יתרות פתיחה'!$2:$90,88,0),0)</f>
        <v>0</v>
      </c>
      <c r="O121" s="47">
        <f>+IFERROR(HLOOKUP(O20,'סקרי נכסים-יתרות פתיחה'!$2:$76,74,0),0)-IFERROR(HLOOKUP(O20,'סקרי נכסים-יתרות פתיחה'!$2:$90,88,0),0)</f>
        <v>0</v>
      </c>
      <c r="P121" s="47">
        <f>+IFERROR(HLOOKUP(P20,'סקרי נכסים-יתרות פתיחה'!$2:$76,74,0),0)-IFERROR(HLOOKUP(P20,'סקרי נכסים-יתרות פתיחה'!$2:$90,88,0),0)</f>
        <v>14999028.571428571</v>
      </c>
      <c r="Q121" s="47">
        <f>+IFERROR(HLOOKUP(Q20,'סקרי נכסים-יתרות פתיחה'!$2:$76,74,0),0)-IFERROR(HLOOKUP(Q20,'סקרי נכסים-יתרות פתיחה'!$2:$90,88,0),0)</f>
        <v>0</v>
      </c>
      <c r="R121" s="47">
        <f>+IFERROR(HLOOKUP(R20,'סקרי נכסים-יתרות פתיחה'!$2:$76,74,0),0)-IFERROR(HLOOKUP(R20,'סקרי נכסים-יתרות פתיחה'!$2:$90,88,0),0)</f>
        <v>0</v>
      </c>
      <c r="S121" s="47">
        <f>+IFERROR(HLOOKUP(S20,'סקרי נכסים-יתרות פתיחה'!$2:$76,74,0),0)-IFERROR(HLOOKUP(S20,'סקרי נכסים-יתרות פתיחה'!$2:$90,88,0),0)</f>
        <v>0</v>
      </c>
      <c r="T121" s="47">
        <f>+IFERROR(HLOOKUP(T20,'סקרי נכסים-יתרות פתיחה'!$2:$76,74,0),0)-IFERROR(HLOOKUP(T20,'סקרי נכסים-יתרות פתיחה'!$2:$90,88,0),0)</f>
        <v>0</v>
      </c>
      <c r="U121" s="47">
        <f>+IFERROR(HLOOKUP(U20,'סקרי נכסים-יתרות פתיחה'!$2:$76,74,0),0)-IFERROR(HLOOKUP(U20,'סקרי נכסים-יתרות פתיחה'!$2:$90,88,0),0)</f>
        <v>0</v>
      </c>
      <c r="V121" s="47">
        <f>+IFERROR(HLOOKUP(V20,'סקרי נכסים-יתרות פתיחה'!$2:$76,74,0),0)-IFERROR(HLOOKUP(V20,'סקרי נכסים-יתרות פתיחה'!$2:$90,88,0),0)</f>
        <v>0</v>
      </c>
      <c r="W121" s="47">
        <f>+IFERROR(HLOOKUP(W20,'סקרי נכסים-יתרות פתיחה'!$2:$76,74,0),0)-IFERROR(HLOOKUP(W20,'סקרי נכסים-יתרות פתיחה'!$2:$90,88,0),0)</f>
        <v>0</v>
      </c>
      <c r="X121" s="47">
        <f>+IFERROR(HLOOKUP(X20,'סקרי נכסים-יתרות פתיחה'!$2:$76,74,0),0)-IFERROR(HLOOKUP(X20,'סקרי נכסים-יתרות פתיחה'!$2:$90,88,0),0)</f>
        <v>0</v>
      </c>
      <c r="Y121" s="47">
        <f>+IFERROR(HLOOKUP(Y20,'סקרי נכסים-יתרות פתיחה'!$2:$76,74,0),0)-IFERROR(HLOOKUP(Y20,'סקרי נכסים-יתרות פתיחה'!$2:$90,88,0),0)</f>
        <v>0</v>
      </c>
      <c r="Z121" s="47">
        <f>+IFERROR(HLOOKUP(Z20,'סקרי נכסים-יתרות פתיחה'!$2:$76,74,0),0)-IFERROR(HLOOKUP(Z20,'סקרי נכסים-יתרות פתיחה'!$2:$90,88,0),0)</f>
        <v>0</v>
      </c>
      <c r="AA121" s="47">
        <f>+IFERROR(HLOOKUP(AA20,'סקרי נכסים-יתרות פתיחה'!$2:$76,74,0),0)-IFERROR(HLOOKUP(AA20,'סקרי נכסים-יתרות פתיחה'!$2:$90,88,0),0)</f>
        <v>0</v>
      </c>
      <c r="AB121" s="47">
        <f>+IFERROR(HLOOKUP(AB20,'סקרי נכסים-יתרות פתיחה'!$2:$76,74,0),0)-IFERROR(HLOOKUP(AB20,'סקרי נכסים-יתרות פתיחה'!$2:$90,88,0),0)</f>
        <v>0</v>
      </c>
      <c r="AC121" s="47">
        <f>+IFERROR(HLOOKUP(AC20,'סקרי נכסים-יתרות פתיחה'!$2:$76,74,0),0)-IFERROR(HLOOKUP(AC20,'סקרי נכסים-יתרות פתיחה'!$2:$90,88,0),0)</f>
        <v>0</v>
      </c>
      <c r="AD121" s="47">
        <f>+IFERROR(HLOOKUP(AD20,'סקרי נכסים-יתרות פתיחה'!$2:$76,74,0),0)-IFERROR(HLOOKUP(AD20,'סקרי נכסים-יתרות פתיחה'!$2:$90,88,0),0)</f>
        <v>0</v>
      </c>
      <c r="AE121" s="47">
        <f>+IFERROR(HLOOKUP(AE20,'סקרי נכסים-יתרות פתיחה'!$2:$76,74,0),0)-IFERROR(HLOOKUP(AE20,'סקרי נכסים-יתרות פתיחה'!$2:$90,88,0),0)</f>
        <v>0</v>
      </c>
      <c r="AF121" s="47">
        <f>+IFERROR(HLOOKUP(AF20,'סקרי נכסים-יתרות פתיחה'!$2:$76,74,0),0)-IFERROR(HLOOKUP(AF20,'סקרי נכסים-יתרות פתיחה'!$2:$90,88,0),0)</f>
        <v>0</v>
      </c>
      <c r="AG121" s="47">
        <f>+IFERROR(HLOOKUP(AG20,'סקרי נכסים-יתרות פתיחה'!$2:$76,74,0),0)-IFERROR(HLOOKUP(AG20,'סקרי נכסים-יתרות פתיחה'!$2:$90,88,0),0)</f>
        <v>0</v>
      </c>
      <c r="AH121" s="47">
        <f>+IFERROR(HLOOKUP(AH20,'סקרי נכסים-יתרות פתיחה'!$2:$76,74,0),0)-IFERROR(HLOOKUP(AH20,'סקרי נכסים-יתרות פתיחה'!$2:$90,88,0),0)</f>
        <v>0</v>
      </c>
      <c r="AI121" s="47">
        <f>+IFERROR(HLOOKUP(AI20,'סקרי נכסים-יתרות פתיחה'!$2:$76,74,0),0)-IFERROR(HLOOKUP(AI20,'סקרי נכסים-יתרות פתיחה'!$2:$90,88,0),0)</f>
        <v>0</v>
      </c>
      <c r="AJ121" s="47">
        <f>+IFERROR(HLOOKUP(AJ20,'סקרי נכסים-יתרות פתיחה'!$2:$76,74,0),0)-IFERROR(HLOOKUP(AJ20,'סקרי נכסים-יתרות פתיחה'!$2:$90,88,0),0)</f>
        <v>0</v>
      </c>
      <c r="AK121" s="47">
        <f>+IFERROR(HLOOKUP(AK20,'סקרי נכסים-יתרות פתיחה'!$2:$76,74,0),0)-IFERROR(HLOOKUP(AK20,'סקרי נכסים-יתרות פתיחה'!$2:$90,88,0),0)</f>
        <v>0</v>
      </c>
      <c r="AL121" s="47">
        <f>+IFERROR(HLOOKUP(AL20,'סקרי נכסים-יתרות פתיחה'!$2:$76,74,0),0)-IFERROR(HLOOKUP(AL20,'סקרי נכסים-יתרות פתיחה'!$2:$90,88,0),0)</f>
        <v>0</v>
      </c>
      <c r="AM121" s="47">
        <f>+IFERROR(HLOOKUP(AM20,'סקרי נכסים-יתרות פתיחה'!$2:$76,74,0),0)-IFERROR(HLOOKUP(AM20,'סקרי נכסים-יתרות פתיחה'!$2:$90,88,0),0)</f>
        <v>0</v>
      </c>
      <c r="AN121" s="47">
        <f>+IFERROR(HLOOKUP(AN20,'סקרי נכסים-יתרות פתיחה'!$2:$76,74,0),0)-IFERROR(HLOOKUP(AN20,'סקרי נכסים-יתרות פתיחה'!$2:$90,88,0),0)</f>
        <v>0</v>
      </c>
      <c r="AO121" s="47">
        <f>+IFERROR(HLOOKUP(AO20,'סקרי נכסים-יתרות פתיחה'!$2:$76,74,0),0)-IFERROR(HLOOKUP(AO20,'סקרי נכסים-יתרות פתיחה'!$2:$90,88,0),0)</f>
        <v>0</v>
      </c>
      <c r="AP121" s="47">
        <f>+IFERROR(HLOOKUP(AP20,'סקרי נכסים-יתרות פתיחה'!$2:$76,74,0),0)-IFERROR(HLOOKUP(AP20,'סקרי נכסים-יתרות פתיחה'!$2:$90,88,0),0)</f>
        <v>0</v>
      </c>
      <c r="AQ121" s="47">
        <f>+IFERROR(HLOOKUP(AQ20,'סקרי נכסים-יתרות פתיחה'!$2:$76,74,0),0)-IFERROR(HLOOKUP(AQ20,'סקרי נכסים-יתרות פתיחה'!$2:$90,88,0),0)</f>
        <v>0</v>
      </c>
      <c r="AR121" s="47">
        <f>+IFERROR(HLOOKUP(AR20,'סקרי נכסים-יתרות פתיחה'!$2:$76,74,0),0)-IFERROR(HLOOKUP(AR20,'סקרי נכסים-יתרות פתיחה'!$2:$90,88,0),0)</f>
        <v>0</v>
      </c>
      <c r="AS121" s="47">
        <f>+IFERROR(HLOOKUP(AS20,'סקרי נכסים-יתרות פתיחה'!$2:$76,74,0),0)-IFERROR(HLOOKUP(AS20,'סקרי נכסים-יתרות פתיחה'!$2:$90,88,0),0)</f>
        <v>0</v>
      </c>
      <c r="AT121" s="47">
        <f>+IFERROR(HLOOKUP(AT20,'סקרי נכסים-יתרות פתיחה'!$2:$76,74,0),0)-IFERROR(HLOOKUP(AT20,'סקרי נכסים-יתרות פתיחה'!$2:$90,88,0),0)</f>
        <v>0</v>
      </c>
      <c r="AU121" s="47">
        <f>+IFERROR(HLOOKUP(AU20,'סקרי נכסים-יתרות פתיחה'!$2:$76,74,0),0)-IFERROR(HLOOKUP(AU20,'סקרי נכסים-יתרות פתיחה'!$2:$90,88,0),0)</f>
        <v>0</v>
      </c>
      <c r="AV121" s="47">
        <f>+IFERROR(HLOOKUP(AV20,'סקרי נכסים-יתרות פתיחה'!$2:$76,74,0),0)-IFERROR(HLOOKUP(AV20,'סקרי נכסים-יתרות פתיחה'!$2:$90,88,0),0)</f>
        <v>0</v>
      </c>
      <c r="AW121" s="47">
        <f>+IFERROR(HLOOKUP(AW20,'סקרי נכסים-יתרות פתיחה'!$2:$76,74,0),0)-IFERROR(HLOOKUP(AW20,'סקרי נכסים-יתרות פתיחה'!$2:$90,88,0),0)</f>
        <v>0</v>
      </c>
      <c r="AX121" s="47">
        <f>+IFERROR(HLOOKUP(AX20,'סקרי נכסים-יתרות פתיחה'!$2:$76,74,0),0)-IFERROR(HLOOKUP(AX20,'סקרי נכסים-יתרות פתיחה'!$2:$90,88,0),0)</f>
        <v>0</v>
      </c>
      <c r="AY121" s="47">
        <f>+IFERROR(HLOOKUP(AY20,'סקרי נכסים-יתרות פתיחה'!$2:$76,74,0),0)-IFERROR(HLOOKUP(AY20,'סקרי נכסים-יתרות פתיחה'!$2:$90,88,0),0)</f>
        <v>0</v>
      </c>
      <c r="AZ121" s="47">
        <f>+IFERROR(HLOOKUP(AZ20,'סקרי נכסים-יתרות פתיחה'!$2:$76,74,0),0)-IFERROR(HLOOKUP(AZ20,'סקרי נכסים-יתרות פתיחה'!$2:$90,88,0),0)</f>
        <v>0</v>
      </c>
      <c r="BA121" s="47">
        <f>+IFERROR(HLOOKUP(BA20,'סקרי נכסים-יתרות פתיחה'!$2:$76,74,0),0)-IFERROR(HLOOKUP(BA20,'סקרי נכסים-יתרות פתיחה'!$2:$90,88,0),0)</f>
        <v>0</v>
      </c>
      <c r="BB121" s="47">
        <f>+IFERROR(HLOOKUP(BB20,'סקרי נכסים-יתרות פתיחה'!$2:$76,74,0),0)-IFERROR(HLOOKUP(BB20,'סקרי נכסים-יתרות פתיחה'!$2:$90,88,0),0)</f>
        <v>0</v>
      </c>
      <c r="BC121" s="47">
        <f>+IFERROR(HLOOKUP(BC20,'סקרי נכסים-יתרות פתיחה'!$2:$76,74,0),0)-IFERROR(HLOOKUP(BC20,'סקרי נכסים-יתרות פתיחה'!$2:$90,88,0),0)</f>
        <v>0</v>
      </c>
      <c r="BD121" s="47">
        <f>+IFERROR(HLOOKUP(BD20,'סקרי נכסים-יתרות פתיחה'!$2:$76,74,0),0)-IFERROR(HLOOKUP(BD20,'סקרי נכסים-יתרות פתיחה'!$2:$90,88,0),0)</f>
        <v>0</v>
      </c>
      <c r="BE121" s="47">
        <f>+IFERROR(HLOOKUP(BE20,'סקרי נכסים-יתרות פתיחה'!$2:$76,74,0),0)-IFERROR(HLOOKUP(BE20,'סקרי נכסים-יתרות פתיחה'!$2:$90,88,0),0)</f>
        <v>0</v>
      </c>
      <c r="BF121" s="47">
        <f>+IFERROR(HLOOKUP(BF20,'סקרי נכסים-יתרות פתיחה'!$2:$76,74,0),0)-IFERROR(HLOOKUP(BF20,'סקרי נכסים-יתרות פתיחה'!$2:$90,88,0),0)</f>
        <v>0</v>
      </c>
    </row>
    <row r="122" spans="2:58" x14ac:dyDescent="0.2">
      <c r="B122" s="1">
        <v>14</v>
      </c>
      <c r="C122" s="47">
        <f>+IFERROR(HLOOKUP(C21,'סקרי נכסים-יתרות פתיחה'!$2:$76,74,0),0)-IFERROR(HLOOKUP(C21,'סקרי נכסים-יתרות פתיחה'!$2:$90,88,0),0)</f>
        <v>0</v>
      </c>
      <c r="D122" s="47">
        <f>+IFERROR(HLOOKUP(D21,'סקרי נכסים-יתרות פתיחה'!$2:$76,74,0),0)-IFERROR(HLOOKUP(D21,'סקרי נכסים-יתרות פתיחה'!$2:$90,88,0),0)</f>
        <v>0</v>
      </c>
      <c r="E122" s="47">
        <f>+IFERROR(HLOOKUP(E21,'סקרי נכסים-יתרות פתיחה'!$2:$76,74,0),0)-IFERROR(HLOOKUP(E21,'סקרי נכסים-יתרות פתיחה'!$2:$90,88,0),0)</f>
        <v>0</v>
      </c>
      <c r="F122" s="47">
        <f>+IFERROR(HLOOKUP(F21,'סקרי נכסים-יתרות פתיחה'!$2:$76,74,0),0)-IFERROR(HLOOKUP(F21,'סקרי נכסים-יתרות פתיחה'!$2:$90,88,0),0)</f>
        <v>0</v>
      </c>
      <c r="G122" s="47">
        <f>+IFERROR(HLOOKUP(G21,'סקרי נכסים-יתרות פתיחה'!$2:$76,74,0),0)-IFERROR(HLOOKUP(G21,'סקרי נכסים-יתרות פתיחה'!$2:$90,88,0),0)</f>
        <v>0</v>
      </c>
      <c r="H122" s="47">
        <f>+IFERROR(HLOOKUP(H21,'סקרי נכסים-יתרות פתיחה'!$2:$76,74,0),0)-IFERROR(HLOOKUP(H21,'סקרי נכסים-יתרות פתיחה'!$2:$90,88,0),0)</f>
        <v>0</v>
      </c>
      <c r="I122" s="47">
        <f>+IFERROR(HLOOKUP(I21,'סקרי נכסים-יתרות פתיחה'!$2:$76,74,0),0)-IFERROR(HLOOKUP(I21,'סקרי נכסים-יתרות פתיחה'!$2:$90,88,0),0)</f>
        <v>0</v>
      </c>
      <c r="J122" s="47">
        <f>+IFERROR(HLOOKUP(J21,'סקרי נכסים-יתרות פתיחה'!$2:$76,74,0),0)-IFERROR(HLOOKUP(J21,'סקרי נכסים-יתרות פתיחה'!$2:$90,88,0),0)</f>
        <v>0</v>
      </c>
      <c r="K122" s="47">
        <f>+IFERROR(HLOOKUP(K21,'סקרי נכסים-יתרות פתיחה'!$2:$76,74,0),0)-IFERROR(HLOOKUP(K21,'סקרי נכסים-יתרות פתיחה'!$2:$90,88,0),0)</f>
        <v>0</v>
      </c>
      <c r="L122" s="47">
        <f>+IFERROR(HLOOKUP(L21,'סקרי נכסים-יתרות פתיחה'!$2:$76,74,0),0)-IFERROR(HLOOKUP(L21,'סקרי נכסים-יתרות פתיחה'!$2:$90,88,0),0)</f>
        <v>0</v>
      </c>
      <c r="M122" s="47">
        <f>+IFERROR(HLOOKUP(M21,'סקרי נכסים-יתרות פתיחה'!$2:$76,74,0),0)-IFERROR(HLOOKUP(M21,'סקרי נכסים-יתרות פתיחה'!$2:$90,88,0),0)</f>
        <v>0</v>
      </c>
      <c r="N122" s="47">
        <f>+IFERROR(HLOOKUP(N21,'סקרי נכסים-יתרות פתיחה'!$2:$76,74,0),0)-IFERROR(HLOOKUP(N21,'סקרי נכסים-יתרות פתיחה'!$2:$90,88,0),0)</f>
        <v>0</v>
      </c>
      <c r="O122" s="47">
        <f>+IFERROR(HLOOKUP(O21,'סקרי נכסים-יתרות פתיחה'!$2:$76,74,0),0)-IFERROR(HLOOKUP(O21,'סקרי נכסים-יתרות פתיחה'!$2:$90,88,0),0)</f>
        <v>0</v>
      </c>
      <c r="P122" s="47">
        <f>+IFERROR(HLOOKUP(P21,'סקרי נכסים-יתרות פתיחה'!$2:$76,74,0),0)-IFERROR(HLOOKUP(P21,'סקרי נכסים-יתרות פתיחה'!$2:$90,88,0),0)</f>
        <v>0</v>
      </c>
      <c r="Q122" s="47">
        <f>+IFERROR(HLOOKUP(Q21,'סקרי נכסים-יתרות פתיחה'!$2:$76,74,0),0)-IFERROR(HLOOKUP(Q21,'סקרי נכסים-יתרות פתיחה'!$2:$90,88,0),0)</f>
        <v>0</v>
      </c>
      <c r="R122" s="47">
        <f>+IFERROR(HLOOKUP(R21,'סקרי נכסים-יתרות פתיחה'!$2:$76,74,0),0)-IFERROR(HLOOKUP(R21,'סקרי נכסים-יתרות פתיחה'!$2:$90,88,0),0)</f>
        <v>0</v>
      </c>
      <c r="S122" s="47">
        <f>+IFERROR(HLOOKUP(S21,'סקרי נכסים-יתרות פתיחה'!$2:$76,74,0),0)-IFERROR(HLOOKUP(S21,'סקרי נכסים-יתרות פתיחה'!$2:$90,88,0),0)</f>
        <v>0</v>
      </c>
      <c r="T122" s="47">
        <f>+IFERROR(HLOOKUP(T21,'סקרי נכסים-יתרות פתיחה'!$2:$76,74,0),0)-IFERROR(HLOOKUP(T21,'סקרי נכסים-יתרות פתיחה'!$2:$90,88,0),0)</f>
        <v>0</v>
      </c>
      <c r="U122" s="47">
        <f>+IFERROR(HLOOKUP(U21,'סקרי נכסים-יתרות פתיחה'!$2:$76,74,0),0)-IFERROR(HLOOKUP(U21,'סקרי נכסים-יתרות פתיחה'!$2:$90,88,0),0)</f>
        <v>0</v>
      </c>
      <c r="V122" s="47">
        <f>+IFERROR(HLOOKUP(V21,'סקרי נכסים-יתרות פתיחה'!$2:$76,74,0),0)-IFERROR(HLOOKUP(V21,'סקרי נכסים-יתרות פתיחה'!$2:$90,88,0),0)</f>
        <v>0</v>
      </c>
      <c r="W122" s="47">
        <f>+IFERROR(HLOOKUP(W21,'סקרי נכסים-יתרות פתיחה'!$2:$76,74,0),0)-IFERROR(HLOOKUP(W21,'סקרי נכסים-יתרות פתיחה'!$2:$90,88,0),0)</f>
        <v>0</v>
      </c>
      <c r="X122" s="47">
        <f>+IFERROR(HLOOKUP(X21,'סקרי נכסים-יתרות פתיחה'!$2:$76,74,0),0)-IFERROR(HLOOKUP(X21,'סקרי נכסים-יתרות פתיחה'!$2:$90,88,0),0)</f>
        <v>0</v>
      </c>
      <c r="Y122" s="47">
        <f>+IFERROR(HLOOKUP(Y21,'סקרי נכסים-יתרות פתיחה'!$2:$76,74,0),0)-IFERROR(HLOOKUP(Y21,'סקרי נכסים-יתרות פתיחה'!$2:$90,88,0),0)</f>
        <v>0</v>
      </c>
      <c r="Z122" s="47">
        <f>+IFERROR(HLOOKUP(Z21,'סקרי נכסים-יתרות פתיחה'!$2:$76,74,0),0)-IFERROR(HLOOKUP(Z21,'סקרי נכסים-יתרות פתיחה'!$2:$90,88,0),0)</f>
        <v>0</v>
      </c>
      <c r="AA122" s="47">
        <f>+IFERROR(HLOOKUP(AA21,'סקרי נכסים-יתרות פתיחה'!$2:$76,74,0),0)-IFERROR(HLOOKUP(AA21,'סקרי נכסים-יתרות פתיחה'!$2:$90,88,0),0)</f>
        <v>0</v>
      </c>
      <c r="AB122" s="47">
        <f>+IFERROR(HLOOKUP(AB21,'סקרי נכסים-יתרות פתיחה'!$2:$76,74,0),0)-IFERROR(HLOOKUP(AB21,'סקרי נכסים-יתרות פתיחה'!$2:$90,88,0),0)</f>
        <v>0</v>
      </c>
      <c r="AC122" s="47">
        <f>+IFERROR(HLOOKUP(AC21,'סקרי נכסים-יתרות פתיחה'!$2:$76,74,0),0)-IFERROR(HLOOKUP(AC21,'סקרי נכסים-יתרות פתיחה'!$2:$90,88,0),0)</f>
        <v>0</v>
      </c>
      <c r="AD122" s="47">
        <f>+IFERROR(HLOOKUP(AD21,'סקרי נכסים-יתרות פתיחה'!$2:$76,74,0),0)-IFERROR(HLOOKUP(AD21,'סקרי נכסים-יתרות פתיחה'!$2:$90,88,0),0)</f>
        <v>0</v>
      </c>
      <c r="AE122" s="47">
        <f>+IFERROR(HLOOKUP(AE21,'סקרי נכסים-יתרות פתיחה'!$2:$76,74,0),0)-IFERROR(HLOOKUP(AE21,'סקרי נכסים-יתרות פתיחה'!$2:$90,88,0),0)</f>
        <v>0</v>
      </c>
      <c r="AF122" s="47">
        <f>+IFERROR(HLOOKUP(AF21,'סקרי נכסים-יתרות פתיחה'!$2:$76,74,0),0)-IFERROR(HLOOKUP(AF21,'סקרי נכסים-יתרות פתיחה'!$2:$90,88,0),0)</f>
        <v>0</v>
      </c>
      <c r="AG122" s="47">
        <f>+IFERROR(HLOOKUP(AG21,'סקרי נכסים-יתרות פתיחה'!$2:$76,74,0),0)-IFERROR(HLOOKUP(AG21,'סקרי נכסים-יתרות פתיחה'!$2:$90,88,0),0)</f>
        <v>0</v>
      </c>
      <c r="AH122" s="47">
        <f>+IFERROR(HLOOKUP(AH21,'סקרי נכסים-יתרות פתיחה'!$2:$76,74,0),0)-IFERROR(HLOOKUP(AH21,'סקרי נכסים-יתרות פתיחה'!$2:$90,88,0),0)</f>
        <v>0</v>
      </c>
      <c r="AI122" s="47">
        <f>+IFERROR(HLOOKUP(AI21,'סקרי נכסים-יתרות פתיחה'!$2:$76,74,0),0)-IFERROR(HLOOKUP(AI21,'סקרי נכסים-יתרות פתיחה'!$2:$90,88,0),0)</f>
        <v>0</v>
      </c>
      <c r="AJ122" s="47">
        <f>+IFERROR(HLOOKUP(AJ21,'סקרי נכסים-יתרות פתיחה'!$2:$76,74,0),0)-IFERROR(HLOOKUP(AJ21,'סקרי נכסים-יתרות פתיחה'!$2:$90,88,0),0)</f>
        <v>0</v>
      </c>
      <c r="AK122" s="47">
        <f>+IFERROR(HLOOKUP(AK21,'סקרי נכסים-יתרות פתיחה'!$2:$76,74,0),0)-IFERROR(HLOOKUP(AK21,'סקרי נכסים-יתרות פתיחה'!$2:$90,88,0),0)</f>
        <v>0</v>
      </c>
      <c r="AL122" s="47">
        <f>+IFERROR(HLOOKUP(AL21,'סקרי נכסים-יתרות פתיחה'!$2:$76,74,0),0)-IFERROR(HLOOKUP(AL21,'סקרי נכסים-יתרות פתיחה'!$2:$90,88,0),0)</f>
        <v>0</v>
      </c>
      <c r="AM122" s="47">
        <f>+IFERROR(HLOOKUP(AM21,'סקרי נכסים-יתרות פתיחה'!$2:$76,74,0),0)-IFERROR(HLOOKUP(AM21,'סקרי נכסים-יתרות פתיחה'!$2:$90,88,0),0)</f>
        <v>0</v>
      </c>
      <c r="AN122" s="47">
        <f>+IFERROR(HLOOKUP(AN21,'סקרי נכסים-יתרות פתיחה'!$2:$76,74,0),0)-IFERROR(HLOOKUP(AN21,'סקרי נכסים-יתרות פתיחה'!$2:$90,88,0),0)</f>
        <v>0</v>
      </c>
      <c r="AO122" s="47">
        <f>+IFERROR(HLOOKUP(AO21,'סקרי נכסים-יתרות פתיחה'!$2:$76,74,0),0)-IFERROR(HLOOKUP(AO21,'סקרי נכסים-יתרות פתיחה'!$2:$90,88,0),0)</f>
        <v>0</v>
      </c>
      <c r="AP122" s="47">
        <f>+IFERROR(HLOOKUP(AP21,'סקרי נכסים-יתרות פתיחה'!$2:$76,74,0),0)-IFERROR(HLOOKUP(AP21,'סקרי נכסים-יתרות פתיחה'!$2:$90,88,0),0)</f>
        <v>0</v>
      </c>
      <c r="AQ122" s="47">
        <f>+IFERROR(HLOOKUP(AQ21,'סקרי נכסים-יתרות פתיחה'!$2:$76,74,0),0)-IFERROR(HLOOKUP(AQ21,'סקרי נכסים-יתרות פתיחה'!$2:$90,88,0),0)</f>
        <v>0</v>
      </c>
      <c r="AR122" s="47">
        <f>+IFERROR(HLOOKUP(AR21,'סקרי נכסים-יתרות פתיחה'!$2:$76,74,0),0)-IFERROR(HLOOKUP(AR21,'סקרי נכסים-יתרות פתיחה'!$2:$90,88,0),0)</f>
        <v>0</v>
      </c>
      <c r="AS122" s="47">
        <f>+IFERROR(HLOOKUP(AS21,'סקרי נכסים-יתרות פתיחה'!$2:$76,74,0),0)-IFERROR(HLOOKUP(AS21,'סקרי נכסים-יתרות פתיחה'!$2:$90,88,0),0)</f>
        <v>0</v>
      </c>
      <c r="AT122" s="47">
        <f>+IFERROR(HLOOKUP(AT21,'סקרי נכסים-יתרות פתיחה'!$2:$76,74,0),0)-IFERROR(HLOOKUP(AT21,'סקרי נכסים-יתרות פתיחה'!$2:$90,88,0),0)</f>
        <v>0</v>
      </c>
      <c r="AU122" s="47">
        <f>+IFERROR(HLOOKUP(AU21,'סקרי נכסים-יתרות פתיחה'!$2:$76,74,0),0)-IFERROR(HLOOKUP(AU21,'סקרי נכסים-יתרות פתיחה'!$2:$90,88,0),0)</f>
        <v>0</v>
      </c>
      <c r="AV122" s="47">
        <f>+IFERROR(HLOOKUP(AV21,'סקרי נכסים-יתרות פתיחה'!$2:$76,74,0),0)-IFERROR(HLOOKUP(AV21,'סקרי נכסים-יתרות פתיחה'!$2:$90,88,0),0)</f>
        <v>0</v>
      </c>
      <c r="AW122" s="47">
        <f>+IFERROR(HLOOKUP(AW21,'סקרי נכסים-יתרות פתיחה'!$2:$76,74,0),0)-IFERROR(HLOOKUP(AW21,'סקרי נכסים-יתרות פתיחה'!$2:$90,88,0),0)</f>
        <v>0</v>
      </c>
      <c r="AX122" s="47">
        <f>+IFERROR(HLOOKUP(AX21,'סקרי נכסים-יתרות פתיחה'!$2:$76,74,0),0)-IFERROR(HLOOKUP(AX21,'סקרי נכסים-יתרות פתיחה'!$2:$90,88,0),0)</f>
        <v>0</v>
      </c>
      <c r="AY122" s="47">
        <f>+IFERROR(HLOOKUP(AY21,'סקרי נכסים-יתרות פתיחה'!$2:$76,74,0),0)-IFERROR(HLOOKUP(AY21,'סקרי נכסים-יתרות פתיחה'!$2:$90,88,0),0)</f>
        <v>0</v>
      </c>
      <c r="AZ122" s="47">
        <f>+IFERROR(HLOOKUP(AZ21,'סקרי נכסים-יתרות פתיחה'!$2:$76,74,0),0)-IFERROR(HLOOKUP(AZ21,'סקרי נכסים-יתרות פתיחה'!$2:$90,88,0),0)</f>
        <v>0</v>
      </c>
      <c r="BA122" s="47">
        <f>+IFERROR(HLOOKUP(BA21,'סקרי נכסים-יתרות פתיחה'!$2:$76,74,0),0)-IFERROR(HLOOKUP(BA21,'סקרי נכסים-יתרות פתיחה'!$2:$90,88,0),0)</f>
        <v>0</v>
      </c>
      <c r="BB122" s="47">
        <f>+IFERROR(HLOOKUP(BB21,'סקרי נכסים-יתרות פתיחה'!$2:$76,74,0),0)-IFERROR(HLOOKUP(BB21,'סקרי נכסים-יתרות פתיחה'!$2:$90,88,0),0)</f>
        <v>0</v>
      </c>
      <c r="BC122" s="47">
        <f>+IFERROR(HLOOKUP(BC21,'סקרי נכסים-יתרות פתיחה'!$2:$76,74,0),0)-IFERROR(HLOOKUP(BC21,'סקרי נכסים-יתרות פתיחה'!$2:$90,88,0),0)</f>
        <v>0</v>
      </c>
      <c r="BD122" s="47">
        <f>+IFERROR(HLOOKUP(BD21,'סקרי נכסים-יתרות פתיחה'!$2:$76,74,0),0)-IFERROR(HLOOKUP(BD21,'סקרי נכסים-יתרות פתיחה'!$2:$90,88,0),0)</f>
        <v>0</v>
      </c>
      <c r="BE122" s="47">
        <f>+IFERROR(HLOOKUP(BE21,'סקרי נכסים-יתרות פתיחה'!$2:$76,74,0),0)-IFERROR(HLOOKUP(BE21,'סקרי נכסים-יתרות פתיחה'!$2:$90,88,0),0)</f>
        <v>0</v>
      </c>
      <c r="BF122" s="47">
        <f>+IFERROR(HLOOKUP(BF21,'סקרי נכסים-יתרות פתיחה'!$2:$76,74,0),0)-IFERROR(HLOOKUP(BF21,'סקרי נכסים-יתרות פתיחה'!$2:$90,88,0),0)</f>
        <v>0</v>
      </c>
    </row>
    <row r="123" spans="2:58" x14ac:dyDescent="0.2">
      <c r="B123" s="1">
        <v>15</v>
      </c>
      <c r="C123" s="47">
        <f>+IFERROR(HLOOKUP(C22,'סקרי נכסים-יתרות פתיחה'!$2:$76,74,0),0)-IFERROR(HLOOKUP(C22,'סקרי נכסים-יתרות פתיחה'!$2:$90,88,0),0)</f>
        <v>0</v>
      </c>
      <c r="D123" s="47">
        <f>+IFERROR(HLOOKUP(D22,'סקרי נכסים-יתרות פתיחה'!$2:$76,74,0),0)-IFERROR(HLOOKUP(D22,'סקרי נכסים-יתרות פתיחה'!$2:$90,88,0),0)</f>
        <v>0</v>
      </c>
      <c r="E123" s="47">
        <f>+IFERROR(HLOOKUP(E22,'סקרי נכסים-יתרות פתיחה'!$2:$76,74,0),0)-IFERROR(HLOOKUP(E22,'סקרי נכסים-יתרות פתיחה'!$2:$90,88,0),0)</f>
        <v>0</v>
      </c>
      <c r="F123" s="47">
        <f>+IFERROR(HLOOKUP(F22,'סקרי נכסים-יתרות פתיחה'!$2:$76,74,0),0)-IFERROR(HLOOKUP(F22,'סקרי נכסים-יתרות פתיחה'!$2:$90,88,0),0)</f>
        <v>0</v>
      </c>
      <c r="G123" s="47">
        <f>+IFERROR(HLOOKUP(G22,'סקרי נכסים-יתרות פתיחה'!$2:$76,74,0),0)-IFERROR(HLOOKUP(G22,'סקרי נכסים-יתרות פתיחה'!$2:$90,88,0),0)</f>
        <v>0</v>
      </c>
      <c r="H123" s="47">
        <f>+IFERROR(HLOOKUP(H22,'סקרי נכסים-יתרות פתיחה'!$2:$76,74,0),0)-IFERROR(HLOOKUP(H22,'סקרי נכסים-יתרות פתיחה'!$2:$90,88,0),0)</f>
        <v>0</v>
      </c>
      <c r="I123" s="47">
        <f>+IFERROR(HLOOKUP(I22,'סקרי נכסים-יתרות פתיחה'!$2:$76,74,0),0)-IFERROR(HLOOKUP(I22,'סקרי נכסים-יתרות פתיחה'!$2:$90,88,0),0)</f>
        <v>0</v>
      </c>
      <c r="J123" s="47">
        <f>+IFERROR(HLOOKUP(J22,'סקרי נכסים-יתרות פתיחה'!$2:$76,74,0),0)-IFERROR(HLOOKUP(J22,'סקרי נכסים-יתרות פתיחה'!$2:$90,88,0),0)</f>
        <v>0</v>
      </c>
      <c r="K123" s="47">
        <f>+IFERROR(HLOOKUP(K22,'סקרי נכסים-יתרות פתיחה'!$2:$76,74,0),0)-IFERROR(HLOOKUP(K22,'סקרי נכסים-יתרות פתיחה'!$2:$90,88,0),0)</f>
        <v>0</v>
      </c>
      <c r="L123" s="47">
        <f>+IFERROR(HLOOKUP(L22,'סקרי נכסים-יתרות פתיחה'!$2:$76,74,0),0)-IFERROR(HLOOKUP(L22,'סקרי נכסים-יתרות פתיחה'!$2:$90,88,0),0)</f>
        <v>0</v>
      </c>
      <c r="M123" s="47">
        <f>+IFERROR(HLOOKUP(M22,'סקרי נכסים-יתרות פתיחה'!$2:$76,74,0),0)-IFERROR(HLOOKUP(M22,'סקרי נכסים-יתרות פתיחה'!$2:$90,88,0),0)</f>
        <v>0</v>
      </c>
      <c r="N123" s="47">
        <f>+IFERROR(HLOOKUP(N22,'סקרי נכסים-יתרות פתיחה'!$2:$76,74,0),0)-IFERROR(HLOOKUP(N22,'סקרי נכסים-יתרות פתיחה'!$2:$90,88,0),0)</f>
        <v>0</v>
      </c>
      <c r="O123" s="47">
        <f>+IFERROR(HLOOKUP(O22,'סקרי נכסים-יתרות פתיחה'!$2:$76,74,0),0)-IFERROR(HLOOKUP(O22,'סקרי נכסים-יתרות פתיחה'!$2:$90,88,0),0)</f>
        <v>0</v>
      </c>
      <c r="P123" s="47">
        <f>+IFERROR(HLOOKUP(P22,'סקרי נכסים-יתרות פתיחה'!$2:$76,74,0),0)-IFERROR(HLOOKUP(P22,'סקרי נכסים-יתרות פתיחה'!$2:$90,88,0),0)</f>
        <v>0</v>
      </c>
      <c r="Q123" s="47">
        <f>+IFERROR(HLOOKUP(Q22,'סקרי נכסים-יתרות פתיחה'!$2:$76,74,0),0)-IFERROR(HLOOKUP(Q22,'סקרי נכסים-יתרות פתיחה'!$2:$90,88,0),0)</f>
        <v>0</v>
      </c>
      <c r="R123" s="47">
        <f>+IFERROR(HLOOKUP(R22,'סקרי נכסים-יתרות פתיחה'!$2:$76,74,0),0)-IFERROR(HLOOKUP(R22,'סקרי נכסים-יתרות פתיחה'!$2:$90,88,0),0)</f>
        <v>0</v>
      </c>
      <c r="S123" s="47">
        <f>+IFERROR(HLOOKUP(S22,'סקרי נכסים-יתרות פתיחה'!$2:$76,74,0),0)-IFERROR(HLOOKUP(S22,'סקרי נכסים-יתרות פתיחה'!$2:$90,88,0),0)</f>
        <v>0</v>
      </c>
      <c r="T123" s="47">
        <f>+IFERROR(HLOOKUP(T22,'סקרי נכסים-יתרות פתיחה'!$2:$76,74,0),0)-IFERROR(HLOOKUP(T22,'סקרי נכסים-יתרות פתיחה'!$2:$90,88,0),0)</f>
        <v>0</v>
      </c>
      <c r="U123" s="47">
        <f>+IFERROR(HLOOKUP(U22,'סקרי נכסים-יתרות פתיחה'!$2:$76,74,0),0)-IFERROR(HLOOKUP(U22,'סקרי נכסים-יתרות פתיחה'!$2:$90,88,0),0)</f>
        <v>0</v>
      </c>
      <c r="V123" s="47">
        <f>+IFERROR(HLOOKUP(V22,'סקרי נכסים-יתרות פתיחה'!$2:$76,74,0),0)-IFERROR(HLOOKUP(V22,'סקרי נכסים-יתרות פתיחה'!$2:$90,88,0),0)</f>
        <v>0</v>
      </c>
      <c r="W123" s="47">
        <f>+IFERROR(HLOOKUP(W22,'סקרי נכסים-יתרות פתיחה'!$2:$76,74,0),0)-IFERROR(HLOOKUP(W22,'סקרי נכסים-יתרות פתיחה'!$2:$90,88,0),0)</f>
        <v>0</v>
      </c>
      <c r="X123" s="47">
        <f>+IFERROR(HLOOKUP(X22,'סקרי נכסים-יתרות פתיחה'!$2:$76,74,0),0)-IFERROR(HLOOKUP(X22,'סקרי נכסים-יתרות פתיחה'!$2:$90,88,0),0)</f>
        <v>0</v>
      </c>
      <c r="Y123" s="47">
        <f>+IFERROR(HLOOKUP(Y22,'סקרי נכסים-יתרות פתיחה'!$2:$76,74,0),0)-IFERROR(HLOOKUP(Y22,'סקרי נכסים-יתרות פתיחה'!$2:$90,88,0),0)</f>
        <v>0</v>
      </c>
      <c r="Z123" s="47">
        <f>+IFERROR(HLOOKUP(Z22,'סקרי נכסים-יתרות פתיחה'!$2:$76,74,0),0)-IFERROR(HLOOKUP(Z22,'סקרי נכסים-יתרות פתיחה'!$2:$90,88,0),0)</f>
        <v>0</v>
      </c>
      <c r="AA123" s="47">
        <f>+IFERROR(HLOOKUP(AA22,'סקרי נכסים-יתרות פתיחה'!$2:$76,74,0),0)-IFERROR(HLOOKUP(AA22,'סקרי נכסים-יתרות פתיחה'!$2:$90,88,0),0)</f>
        <v>0</v>
      </c>
      <c r="AB123" s="47">
        <f>+IFERROR(HLOOKUP(AB22,'סקרי נכסים-יתרות פתיחה'!$2:$76,74,0),0)-IFERROR(HLOOKUP(AB22,'סקרי נכסים-יתרות פתיחה'!$2:$90,88,0),0)</f>
        <v>0</v>
      </c>
      <c r="AC123" s="47">
        <f>+IFERROR(HLOOKUP(AC22,'סקרי נכסים-יתרות פתיחה'!$2:$76,74,0),0)-IFERROR(HLOOKUP(AC22,'סקרי נכסים-יתרות פתיחה'!$2:$90,88,0),0)</f>
        <v>0</v>
      </c>
      <c r="AD123" s="47">
        <f>+IFERROR(HLOOKUP(AD22,'סקרי נכסים-יתרות פתיחה'!$2:$76,74,0),0)-IFERROR(HLOOKUP(AD22,'סקרי נכסים-יתרות פתיחה'!$2:$90,88,0),0)</f>
        <v>0</v>
      </c>
      <c r="AE123" s="47">
        <f>+IFERROR(HLOOKUP(AE22,'סקרי נכסים-יתרות פתיחה'!$2:$76,74,0),0)-IFERROR(HLOOKUP(AE22,'סקרי נכסים-יתרות פתיחה'!$2:$90,88,0),0)</f>
        <v>0</v>
      </c>
      <c r="AF123" s="47">
        <f>+IFERROR(HLOOKUP(AF22,'סקרי נכסים-יתרות פתיחה'!$2:$76,74,0),0)-IFERROR(HLOOKUP(AF22,'סקרי נכסים-יתרות פתיחה'!$2:$90,88,0),0)</f>
        <v>0</v>
      </c>
      <c r="AG123" s="47">
        <f>+IFERROR(HLOOKUP(AG22,'סקרי נכסים-יתרות פתיחה'!$2:$76,74,0),0)-IFERROR(HLOOKUP(AG22,'סקרי נכסים-יתרות פתיחה'!$2:$90,88,0),0)</f>
        <v>0</v>
      </c>
      <c r="AH123" s="47">
        <f>+IFERROR(HLOOKUP(AH22,'סקרי נכסים-יתרות פתיחה'!$2:$76,74,0),0)-IFERROR(HLOOKUP(AH22,'סקרי נכסים-יתרות פתיחה'!$2:$90,88,0),0)</f>
        <v>0</v>
      </c>
      <c r="AI123" s="47">
        <f>+IFERROR(HLOOKUP(AI22,'סקרי נכסים-יתרות פתיחה'!$2:$76,74,0),0)-IFERROR(HLOOKUP(AI22,'סקרי נכסים-יתרות פתיחה'!$2:$90,88,0),0)</f>
        <v>0</v>
      </c>
      <c r="AJ123" s="47">
        <f>+IFERROR(HLOOKUP(AJ22,'סקרי נכסים-יתרות פתיחה'!$2:$76,74,0),0)-IFERROR(HLOOKUP(AJ22,'סקרי נכסים-יתרות פתיחה'!$2:$90,88,0),0)</f>
        <v>0</v>
      </c>
      <c r="AK123" s="47">
        <f>+IFERROR(HLOOKUP(AK22,'סקרי נכסים-יתרות פתיחה'!$2:$76,74,0),0)-IFERROR(HLOOKUP(AK22,'סקרי נכסים-יתרות פתיחה'!$2:$90,88,0),0)</f>
        <v>0</v>
      </c>
      <c r="AL123" s="47">
        <f>+IFERROR(HLOOKUP(AL22,'סקרי נכסים-יתרות פתיחה'!$2:$76,74,0),0)-IFERROR(HLOOKUP(AL22,'סקרי נכסים-יתרות פתיחה'!$2:$90,88,0),0)</f>
        <v>0</v>
      </c>
      <c r="AM123" s="47">
        <f>+IFERROR(HLOOKUP(AM22,'סקרי נכסים-יתרות פתיחה'!$2:$76,74,0),0)-IFERROR(HLOOKUP(AM22,'סקרי נכסים-יתרות פתיחה'!$2:$90,88,0),0)</f>
        <v>0</v>
      </c>
      <c r="AN123" s="47">
        <f>+IFERROR(HLOOKUP(AN22,'סקרי נכסים-יתרות פתיחה'!$2:$76,74,0),0)-IFERROR(HLOOKUP(AN22,'סקרי נכסים-יתרות פתיחה'!$2:$90,88,0),0)</f>
        <v>0</v>
      </c>
      <c r="AO123" s="47">
        <f>+IFERROR(HLOOKUP(AO22,'סקרי נכסים-יתרות פתיחה'!$2:$76,74,0),0)-IFERROR(HLOOKUP(AO22,'סקרי נכסים-יתרות פתיחה'!$2:$90,88,0),0)</f>
        <v>0</v>
      </c>
      <c r="AP123" s="47">
        <f>+IFERROR(HLOOKUP(AP22,'סקרי נכסים-יתרות פתיחה'!$2:$76,74,0),0)-IFERROR(HLOOKUP(AP22,'סקרי נכסים-יתרות פתיחה'!$2:$90,88,0),0)</f>
        <v>0</v>
      </c>
      <c r="AQ123" s="47">
        <f>+IFERROR(HLOOKUP(AQ22,'סקרי נכסים-יתרות פתיחה'!$2:$76,74,0),0)-IFERROR(HLOOKUP(AQ22,'סקרי נכסים-יתרות פתיחה'!$2:$90,88,0),0)</f>
        <v>0</v>
      </c>
      <c r="AR123" s="47">
        <f>+IFERROR(HLOOKUP(AR22,'סקרי נכסים-יתרות פתיחה'!$2:$76,74,0),0)-IFERROR(HLOOKUP(AR22,'סקרי נכסים-יתרות פתיחה'!$2:$90,88,0),0)</f>
        <v>0</v>
      </c>
      <c r="AS123" s="47">
        <f>+IFERROR(HLOOKUP(AS22,'סקרי נכסים-יתרות פתיחה'!$2:$76,74,0),0)-IFERROR(HLOOKUP(AS22,'סקרי נכסים-יתרות פתיחה'!$2:$90,88,0),0)</f>
        <v>0</v>
      </c>
      <c r="AT123" s="47">
        <f>+IFERROR(HLOOKUP(AT22,'סקרי נכסים-יתרות פתיחה'!$2:$76,74,0),0)-IFERROR(HLOOKUP(AT22,'סקרי נכסים-יתרות פתיחה'!$2:$90,88,0),0)</f>
        <v>0</v>
      </c>
      <c r="AU123" s="47">
        <f>+IFERROR(HLOOKUP(AU22,'סקרי נכסים-יתרות פתיחה'!$2:$76,74,0),0)-IFERROR(HLOOKUP(AU22,'סקרי נכסים-יתרות פתיחה'!$2:$90,88,0),0)</f>
        <v>0</v>
      </c>
      <c r="AV123" s="47">
        <f>+IFERROR(HLOOKUP(AV22,'סקרי נכסים-יתרות פתיחה'!$2:$76,74,0),0)-IFERROR(HLOOKUP(AV22,'סקרי נכסים-יתרות פתיחה'!$2:$90,88,0),0)</f>
        <v>0</v>
      </c>
      <c r="AW123" s="47">
        <f>+IFERROR(HLOOKUP(AW22,'סקרי נכסים-יתרות פתיחה'!$2:$76,74,0),0)-IFERROR(HLOOKUP(AW22,'סקרי נכסים-יתרות פתיחה'!$2:$90,88,0),0)</f>
        <v>0</v>
      </c>
      <c r="AX123" s="47">
        <f>+IFERROR(HLOOKUP(AX22,'סקרי נכסים-יתרות פתיחה'!$2:$76,74,0),0)-IFERROR(HLOOKUP(AX22,'סקרי נכסים-יתרות פתיחה'!$2:$90,88,0),0)</f>
        <v>0</v>
      </c>
      <c r="AY123" s="47">
        <f>+IFERROR(HLOOKUP(AY22,'סקרי נכסים-יתרות פתיחה'!$2:$76,74,0),0)-IFERROR(HLOOKUP(AY22,'סקרי נכסים-יתרות פתיחה'!$2:$90,88,0),0)</f>
        <v>0</v>
      </c>
      <c r="AZ123" s="47">
        <f>+IFERROR(HLOOKUP(AZ22,'סקרי נכסים-יתרות פתיחה'!$2:$76,74,0),0)-IFERROR(HLOOKUP(AZ22,'סקרי נכסים-יתרות פתיחה'!$2:$90,88,0),0)</f>
        <v>0</v>
      </c>
      <c r="BA123" s="47">
        <f>+IFERROR(HLOOKUP(BA22,'סקרי נכסים-יתרות פתיחה'!$2:$76,74,0),0)-IFERROR(HLOOKUP(BA22,'סקרי נכסים-יתרות פתיחה'!$2:$90,88,0),0)</f>
        <v>0</v>
      </c>
      <c r="BB123" s="47">
        <f>+IFERROR(HLOOKUP(BB22,'סקרי נכסים-יתרות פתיחה'!$2:$76,74,0),0)-IFERROR(HLOOKUP(BB22,'סקרי נכסים-יתרות פתיחה'!$2:$90,88,0),0)</f>
        <v>0</v>
      </c>
      <c r="BC123" s="47">
        <f>+IFERROR(HLOOKUP(BC22,'סקרי נכסים-יתרות פתיחה'!$2:$76,74,0),0)-IFERROR(HLOOKUP(BC22,'סקרי נכסים-יתרות פתיחה'!$2:$90,88,0),0)</f>
        <v>0</v>
      </c>
      <c r="BD123" s="47">
        <f>+IFERROR(HLOOKUP(BD22,'סקרי נכסים-יתרות פתיחה'!$2:$76,74,0),0)-IFERROR(HLOOKUP(BD22,'סקרי נכסים-יתרות פתיחה'!$2:$90,88,0),0)</f>
        <v>0</v>
      </c>
      <c r="BE123" s="47">
        <f>+IFERROR(HLOOKUP(BE22,'סקרי נכסים-יתרות פתיחה'!$2:$76,74,0),0)-IFERROR(HLOOKUP(BE22,'סקרי נכסים-יתרות פתיחה'!$2:$90,88,0),0)</f>
        <v>0</v>
      </c>
      <c r="BF123" s="47">
        <f>+IFERROR(HLOOKUP(BF22,'סקרי נכסים-יתרות פתיחה'!$2:$76,74,0),0)-IFERROR(HLOOKUP(BF22,'סקרי נכסים-יתרות פתיחה'!$2:$90,88,0),0)</f>
        <v>0</v>
      </c>
    </row>
    <row r="124" spans="2:58" x14ac:dyDescent="0.2">
      <c r="B124" s="1">
        <v>16</v>
      </c>
      <c r="C124" s="47">
        <f>+IFERROR(HLOOKUP(C23,'סקרי נכסים-יתרות פתיחה'!$2:$76,74,0),0)-IFERROR(HLOOKUP(C23,'סקרי נכסים-יתרות פתיחה'!$2:$90,88,0),0)</f>
        <v>0</v>
      </c>
      <c r="D124" s="47">
        <f>+IFERROR(HLOOKUP(D23,'סקרי נכסים-יתרות פתיחה'!$2:$76,74,0),0)-IFERROR(HLOOKUP(D23,'סקרי נכסים-יתרות פתיחה'!$2:$90,88,0),0)</f>
        <v>0</v>
      </c>
      <c r="E124" s="47">
        <f>+IFERROR(HLOOKUP(E23,'סקרי נכסים-יתרות פתיחה'!$2:$76,74,0),0)-IFERROR(HLOOKUP(E23,'סקרי נכסים-יתרות פתיחה'!$2:$90,88,0),0)</f>
        <v>0</v>
      </c>
      <c r="F124" s="47">
        <f>+IFERROR(HLOOKUP(F23,'סקרי נכסים-יתרות פתיחה'!$2:$76,74,0),0)-IFERROR(HLOOKUP(F23,'סקרי נכסים-יתרות פתיחה'!$2:$90,88,0),0)</f>
        <v>0</v>
      </c>
      <c r="G124" s="47">
        <f>+IFERROR(HLOOKUP(G23,'סקרי נכסים-יתרות פתיחה'!$2:$76,74,0),0)-IFERROR(HLOOKUP(G23,'סקרי נכסים-יתרות פתיחה'!$2:$90,88,0),0)</f>
        <v>0</v>
      </c>
      <c r="H124" s="47">
        <f>+IFERROR(HLOOKUP(H23,'סקרי נכסים-יתרות פתיחה'!$2:$76,74,0),0)-IFERROR(HLOOKUP(H23,'סקרי נכסים-יתרות פתיחה'!$2:$90,88,0),0)</f>
        <v>0</v>
      </c>
      <c r="I124" s="47">
        <f>+IFERROR(HLOOKUP(I23,'סקרי נכסים-יתרות פתיחה'!$2:$76,74,0),0)-IFERROR(HLOOKUP(I23,'סקרי נכסים-יתרות פתיחה'!$2:$90,88,0),0)</f>
        <v>0</v>
      </c>
      <c r="J124" s="47">
        <f>+IFERROR(HLOOKUP(J23,'סקרי נכסים-יתרות פתיחה'!$2:$76,74,0),0)-IFERROR(HLOOKUP(J23,'סקרי נכסים-יתרות פתיחה'!$2:$90,88,0),0)</f>
        <v>0</v>
      </c>
      <c r="K124" s="47">
        <f>+IFERROR(HLOOKUP(K23,'סקרי נכסים-יתרות פתיחה'!$2:$76,74,0),0)-IFERROR(HLOOKUP(K23,'סקרי נכסים-יתרות פתיחה'!$2:$90,88,0),0)</f>
        <v>0</v>
      </c>
      <c r="L124" s="47">
        <f>+IFERROR(HLOOKUP(L23,'סקרי נכסים-יתרות פתיחה'!$2:$76,74,0),0)-IFERROR(HLOOKUP(L23,'סקרי נכסים-יתרות פתיחה'!$2:$90,88,0),0)</f>
        <v>0</v>
      </c>
      <c r="M124" s="47">
        <f>+IFERROR(HLOOKUP(M23,'סקרי נכסים-יתרות פתיחה'!$2:$76,74,0),0)-IFERROR(HLOOKUP(M23,'סקרי נכסים-יתרות פתיחה'!$2:$90,88,0),0)</f>
        <v>0</v>
      </c>
      <c r="N124" s="47">
        <f>+IFERROR(HLOOKUP(N23,'סקרי נכסים-יתרות פתיחה'!$2:$76,74,0),0)-IFERROR(HLOOKUP(N23,'סקרי נכסים-יתרות פתיחה'!$2:$90,88,0),0)</f>
        <v>0</v>
      </c>
      <c r="O124" s="47">
        <f>+IFERROR(HLOOKUP(O23,'סקרי נכסים-יתרות פתיחה'!$2:$76,74,0),0)-IFERROR(HLOOKUP(O23,'סקרי נכסים-יתרות פתיחה'!$2:$90,88,0),0)</f>
        <v>0</v>
      </c>
      <c r="P124" s="47">
        <f>+IFERROR(HLOOKUP(P23,'סקרי נכסים-יתרות פתיחה'!$2:$76,74,0),0)-IFERROR(HLOOKUP(P23,'סקרי נכסים-יתרות פתיחה'!$2:$90,88,0),0)</f>
        <v>0</v>
      </c>
      <c r="Q124" s="47">
        <f>+IFERROR(HLOOKUP(Q23,'סקרי נכסים-יתרות פתיחה'!$2:$76,74,0),0)-IFERROR(HLOOKUP(Q23,'סקרי נכסים-יתרות פתיחה'!$2:$90,88,0),0)</f>
        <v>0</v>
      </c>
      <c r="R124" s="47">
        <f>+IFERROR(HLOOKUP(R23,'סקרי נכסים-יתרות פתיחה'!$2:$76,74,0),0)-IFERROR(HLOOKUP(R23,'סקרי נכסים-יתרות פתיחה'!$2:$90,88,0),0)</f>
        <v>0</v>
      </c>
      <c r="S124" s="47">
        <f>+IFERROR(HLOOKUP(S23,'סקרי נכסים-יתרות פתיחה'!$2:$76,74,0),0)-IFERROR(HLOOKUP(S23,'סקרי נכסים-יתרות פתיחה'!$2:$90,88,0),0)</f>
        <v>0</v>
      </c>
      <c r="T124" s="47">
        <f>+IFERROR(HLOOKUP(T23,'סקרי נכסים-יתרות פתיחה'!$2:$76,74,0),0)-IFERROR(HLOOKUP(T23,'סקרי נכסים-יתרות פתיחה'!$2:$90,88,0),0)</f>
        <v>0</v>
      </c>
      <c r="U124" s="47">
        <f>+IFERROR(HLOOKUP(U23,'סקרי נכסים-יתרות פתיחה'!$2:$76,74,0),0)-IFERROR(HLOOKUP(U23,'סקרי נכסים-יתרות פתיחה'!$2:$90,88,0),0)</f>
        <v>0</v>
      </c>
      <c r="V124" s="47">
        <f>+IFERROR(HLOOKUP(V23,'סקרי נכסים-יתרות פתיחה'!$2:$76,74,0),0)-IFERROR(HLOOKUP(V23,'סקרי נכסים-יתרות פתיחה'!$2:$90,88,0),0)</f>
        <v>0</v>
      </c>
      <c r="W124" s="47">
        <f>+IFERROR(HLOOKUP(W23,'סקרי נכסים-יתרות פתיחה'!$2:$76,74,0),0)-IFERROR(HLOOKUP(W23,'סקרי נכסים-יתרות פתיחה'!$2:$90,88,0),0)</f>
        <v>0</v>
      </c>
      <c r="X124" s="47">
        <f>+IFERROR(HLOOKUP(X23,'סקרי נכסים-יתרות פתיחה'!$2:$76,74,0),0)-IFERROR(HLOOKUP(X23,'סקרי נכסים-יתרות פתיחה'!$2:$90,88,0),0)</f>
        <v>0</v>
      </c>
      <c r="Y124" s="47">
        <f>+IFERROR(HLOOKUP(Y23,'סקרי נכסים-יתרות פתיחה'!$2:$76,74,0),0)-IFERROR(HLOOKUP(Y23,'סקרי נכסים-יתרות פתיחה'!$2:$90,88,0),0)</f>
        <v>0</v>
      </c>
      <c r="Z124" s="47">
        <f>+IFERROR(HLOOKUP(Z23,'סקרי נכסים-יתרות פתיחה'!$2:$76,74,0),0)-IFERROR(HLOOKUP(Z23,'סקרי נכסים-יתרות פתיחה'!$2:$90,88,0),0)</f>
        <v>0</v>
      </c>
      <c r="AA124" s="47">
        <f>+IFERROR(HLOOKUP(AA23,'סקרי נכסים-יתרות פתיחה'!$2:$76,74,0),0)-IFERROR(HLOOKUP(AA23,'סקרי נכסים-יתרות פתיחה'!$2:$90,88,0),0)</f>
        <v>0</v>
      </c>
      <c r="AB124" s="47">
        <f>+IFERROR(HLOOKUP(AB23,'סקרי נכסים-יתרות פתיחה'!$2:$76,74,0),0)-IFERROR(HLOOKUP(AB23,'סקרי נכסים-יתרות פתיחה'!$2:$90,88,0),0)</f>
        <v>0</v>
      </c>
      <c r="AC124" s="47">
        <f>+IFERROR(HLOOKUP(AC23,'סקרי נכסים-יתרות פתיחה'!$2:$76,74,0),0)-IFERROR(HLOOKUP(AC23,'סקרי נכסים-יתרות פתיחה'!$2:$90,88,0),0)</f>
        <v>0</v>
      </c>
      <c r="AD124" s="47">
        <f>+IFERROR(HLOOKUP(AD23,'סקרי נכסים-יתרות פתיחה'!$2:$76,74,0),0)-IFERROR(HLOOKUP(AD23,'סקרי נכסים-יתרות פתיחה'!$2:$90,88,0),0)</f>
        <v>0</v>
      </c>
      <c r="AE124" s="47">
        <f>+IFERROR(HLOOKUP(AE23,'סקרי נכסים-יתרות פתיחה'!$2:$76,74,0),0)-IFERROR(HLOOKUP(AE23,'סקרי נכסים-יתרות פתיחה'!$2:$90,88,0),0)</f>
        <v>0</v>
      </c>
      <c r="AF124" s="47">
        <f>+IFERROR(HLOOKUP(AF23,'סקרי נכסים-יתרות פתיחה'!$2:$76,74,0),0)-IFERROR(HLOOKUP(AF23,'סקרי נכסים-יתרות פתיחה'!$2:$90,88,0),0)</f>
        <v>0</v>
      </c>
      <c r="AG124" s="47">
        <f>+IFERROR(HLOOKUP(AG23,'סקרי נכסים-יתרות פתיחה'!$2:$76,74,0),0)-IFERROR(HLOOKUP(AG23,'סקרי נכסים-יתרות פתיחה'!$2:$90,88,0),0)</f>
        <v>0</v>
      </c>
      <c r="AH124" s="47">
        <f>+IFERROR(HLOOKUP(AH23,'סקרי נכסים-יתרות פתיחה'!$2:$76,74,0),0)-IFERROR(HLOOKUP(AH23,'סקרי נכסים-יתרות פתיחה'!$2:$90,88,0),0)</f>
        <v>0</v>
      </c>
      <c r="AI124" s="47">
        <f>+IFERROR(HLOOKUP(AI23,'סקרי נכסים-יתרות פתיחה'!$2:$76,74,0),0)-IFERROR(HLOOKUP(AI23,'סקרי נכסים-יתרות פתיחה'!$2:$90,88,0),0)</f>
        <v>0</v>
      </c>
      <c r="AJ124" s="47">
        <f>+IFERROR(HLOOKUP(AJ23,'סקרי נכסים-יתרות פתיחה'!$2:$76,74,0),0)-IFERROR(HLOOKUP(AJ23,'סקרי נכסים-יתרות פתיחה'!$2:$90,88,0),0)</f>
        <v>0</v>
      </c>
      <c r="AK124" s="47">
        <f>+IFERROR(HLOOKUP(AK23,'סקרי נכסים-יתרות פתיחה'!$2:$76,74,0),0)-IFERROR(HLOOKUP(AK23,'סקרי נכסים-יתרות פתיחה'!$2:$90,88,0),0)</f>
        <v>0</v>
      </c>
      <c r="AL124" s="47">
        <f>+IFERROR(HLOOKUP(AL23,'סקרי נכסים-יתרות פתיחה'!$2:$76,74,0),0)-IFERROR(HLOOKUP(AL23,'סקרי נכסים-יתרות פתיחה'!$2:$90,88,0),0)</f>
        <v>0</v>
      </c>
      <c r="AM124" s="47">
        <f>+IFERROR(HLOOKUP(AM23,'סקרי נכסים-יתרות פתיחה'!$2:$76,74,0),0)-IFERROR(HLOOKUP(AM23,'סקרי נכסים-יתרות פתיחה'!$2:$90,88,0),0)</f>
        <v>0</v>
      </c>
      <c r="AN124" s="47">
        <f>+IFERROR(HLOOKUP(AN23,'סקרי נכסים-יתרות פתיחה'!$2:$76,74,0),0)-IFERROR(HLOOKUP(AN23,'סקרי נכסים-יתרות פתיחה'!$2:$90,88,0),0)</f>
        <v>0</v>
      </c>
      <c r="AO124" s="47">
        <f>+IFERROR(HLOOKUP(AO23,'סקרי נכסים-יתרות פתיחה'!$2:$76,74,0),0)-IFERROR(HLOOKUP(AO23,'סקרי נכסים-יתרות פתיחה'!$2:$90,88,0),0)</f>
        <v>0</v>
      </c>
      <c r="AP124" s="47">
        <f>+IFERROR(HLOOKUP(AP23,'סקרי נכסים-יתרות פתיחה'!$2:$76,74,0),0)-IFERROR(HLOOKUP(AP23,'סקרי נכסים-יתרות פתיחה'!$2:$90,88,0),0)</f>
        <v>0</v>
      </c>
      <c r="AQ124" s="47">
        <f>+IFERROR(HLOOKUP(AQ23,'סקרי נכסים-יתרות פתיחה'!$2:$76,74,0),0)-IFERROR(HLOOKUP(AQ23,'סקרי נכסים-יתרות פתיחה'!$2:$90,88,0),0)</f>
        <v>0</v>
      </c>
      <c r="AR124" s="47">
        <f>+IFERROR(HLOOKUP(AR23,'סקרי נכסים-יתרות פתיחה'!$2:$76,74,0),0)-IFERROR(HLOOKUP(AR23,'סקרי נכסים-יתרות פתיחה'!$2:$90,88,0),0)</f>
        <v>0</v>
      </c>
      <c r="AS124" s="47">
        <f>+IFERROR(HLOOKUP(AS23,'סקרי נכסים-יתרות פתיחה'!$2:$76,74,0),0)-IFERROR(HLOOKUP(AS23,'סקרי נכסים-יתרות פתיחה'!$2:$90,88,0),0)</f>
        <v>0</v>
      </c>
      <c r="AT124" s="47">
        <f>+IFERROR(HLOOKUP(AT23,'סקרי נכסים-יתרות פתיחה'!$2:$76,74,0),0)-IFERROR(HLOOKUP(AT23,'סקרי נכסים-יתרות פתיחה'!$2:$90,88,0),0)</f>
        <v>0</v>
      </c>
      <c r="AU124" s="47">
        <f>+IFERROR(HLOOKUP(AU23,'סקרי נכסים-יתרות פתיחה'!$2:$76,74,0),0)-IFERROR(HLOOKUP(AU23,'סקרי נכסים-יתרות פתיחה'!$2:$90,88,0),0)</f>
        <v>0</v>
      </c>
      <c r="AV124" s="47">
        <f>+IFERROR(HLOOKUP(AV23,'סקרי נכסים-יתרות פתיחה'!$2:$76,74,0),0)-IFERROR(HLOOKUP(AV23,'סקרי נכסים-יתרות פתיחה'!$2:$90,88,0),0)</f>
        <v>0</v>
      </c>
      <c r="AW124" s="47">
        <f>+IFERROR(HLOOKUP(AW23,'סקרי נכסים-יתרות פתיחה'!$2:$76,74,0),0)-IFERROR(HLOOKUP(AW23,'סקרי נכסים-יתרות פתיחה'!$2:$90,88,0),0)</f>
        <v>0</v>
      </c>
      <c r="AX124" s="47">
        <f>+IFERROR(HLOOKUP(AX23,'סקרי נכסים-יתרות פתיחה'!$2:$76,74,0),0)-IFERROR(HLOOKUP(AX23,'סקרי נכסים-יתרות פתיחה'!$2:$90,88,0),0)</f>
        <v>0</v>
      </c>
      <c r="AY124" s="47">
        <f>+IFERROR(HLOOKUP(AY23,'סקרי נכסים-יתרות פתיחה'!$2:$76,74,0),0)-IFERROR(HLOOKUP(AY23,'סקרי נכסים-יתרות פתיחה'!$2:$90,88,0),0)</f>
        <v>0</v>
      </c>
      <c r="AZ124" s="47">
        <f>+IFERROR(HLOOKUP(AZ23,'סקרי נכסים-יתרות פתיחה'!$2:$76,74,0),0)-IFERROR(HLOOKUP(AZ23,'סקרי נכסים-יתרות פתיחה'!$2:$90,88,0),0)</f>
        <v>0</v>
      </c>
      <c r="BA124" s="47">
        <f>+IFERROR(HLOOKUP(BA23,'סקרי נכסים-יתרות פתיחה'!$2:$76,74,0),0)-IFERROR(HLOOKUP(BA23,'סקרי נכסים-יתרות פתיחה'!$2:$90,88,0),0)</f>
        <v>0</v>
      </c>
      <c r="BB124" s="47">
        <f>+IFERROR(HLOOKUP(BB23,'סקרי נכסים-יתרות פתיחה'!$2:$76,74,0),0)-IFERROR(HLOOKUP(BB23,'סקרי נכסים-יתרות פתיחה'!$2:$90,88,0),0)</f>
        <v>0</v>
      </c>
      <c r="BC124" s="47">
        <f>+IFERROR(HLOOKUP(BC23,'סקרי נכסים-יתרות פתיחה'!$2:$76,74,0),0)-IFERROR(HLOOKUP(BC23,'סקרי נכסים-יתרות פתיחה'!$2:$90,88,0),0)</f>
        <v>0</v>
      </c>
      <c r="BD124" s="47">
        <f>+IFERROR(HLOOKUP(BD23,'סקרי נכסים-יתרות פתיחה'!$2:$76,74,0),0)-IFERROR(HLOOKUP(BD23,'סקרי נכסים-יתרות פתיחה'!$2:$90,88,0),0)</f>
        <v>0</v>
      </c>
      <c r="BE124" s="47">
        <f>+IFERROR(HLOOKUP(BE23,'סקרי נכסים-יתרות פתיחה'!$2:$76,74,0),0)-IFERROR(HLOOKUP(BE23,'סקרי נכסים-יתרות פתיחה'!$2:$90,88,0),0)</f>
        <v>0</v>
      </c>
      <c r="BF124" s="47">
        <f>+IFERROR(HLOOKUP(BF23,'סקרי נכסים-יתרות פתיחה'!$2:$76,74,0),0)-IFERROR(HLOOKUP(BF23,'סקרי נכסים-יתרות פתיחה'!$2:$90,88,0),0)</f>
        <v>0</v>
      </c>
    </row>
    <row r="125" spans="2:58" x14ac:dyDescent="0.2">
      <c r="B125" s="1">
        <v>17</v>
      </c>
      <c r="C125" s="47">
        <f>+IFERROR(HLOOKUP(C24,'סקרי נכסים-יתרות פתיחה'!$2:$76,74,0),0)-IFERROR(HLOOKUP(C24,'סקרי נכסים-יתרות פתיחה'!$2:$90,88,0),0)</f>
        <v>0</v>
      </c>
      <c r="D125" s="47">
        <f>+IFERROR(HLOOKUP(D24,'סקרי נכסים-יתרות פתיחה'!$2:$76,74,0),0)-IFERROR(HLOOKUP(D24,'סקרי נכסים-יתרות פתיחה'!$2:$90,88,0),0)</f>
        <v>0</v>
      </c>
      <c r="E125" s="47">
        <f>+IFERROR(HLOOKUP(E24,'סקרי נכסים-יתרות פתיחה'!$2:$76,74,0),0)-IFERROR(HLOOKUP(E24,'סקרי נכסים-יתרות פתיחה'!$2:$90,88,0),0)</f>
        <v>0</v>
      </c>
      <c r="F125" s="47">
        <f>+IFERROR(HLOOKUP(F24,'סקרי נכסים-יתרות פתיחה'!$2:$76,74,0),0)-IFERROR(HLOOKUP(F24,'סקרי נכסים-יתרות פתיחה'!$2:$90,88,0),0)</f>
        <v>0</v>
      </c>
      <c r="G125" s="47">
        <f>+IFERROR(HLOOKUP(G24,'סקרי נכסים-יתרות פתיחה'!$2:$76,74,0),0)-IFERROR(HLOOKUP(G24,'סקרי נכסים-יתרות פתיחה'!$2:$90,88,0),0)</f>
        <v>0</v>
      </c>
      <c r="H125" s="47">
        <f>+IFERROR(HLOOKUP(H24,'סקרי נכסים-יתרות פתיחה'!$2:$76,74,0),0)-IFERROR(HLOOKUP(H24,'סקרי נכסים-יתרות פתיחה'!$2:$90,88,0),0)</f>
        <v>0</v>
      </c>
      <c r="I125" s="47">
        <f>+IFERROR(HLOOKUP(I24,'סקרי נכסים-יתרות פתיחה'!$2:$76,74,0),0)-IFERROR(HLOOKUP(I24,'סקרי נכסים-יתרות פתיחה'!$2:$90,88,0),0)</f>
        <v>0</v>
      </c>
      <c r="J125" s="47">
        <f>+IFERROR(HLOOKUP(J24,'סקרי נכסים-יתרות פתיחה'!$2:$76,74,0),0)-IFERROR(HLOOKUP(J24,'סקרי נכסים-יתרות פתיחה'!$2:$90,88,0),0)</f>
        <v>0</v>
      </c>
      <c r="K125" s="47">
        <f>+IFERROR(HLOOKUP(K24,'סקרי נכסים-יתרות פתיחה'!$2:$76,74,0),0)-IFERROR(HLOOKUP(K24,'סקרי נכסים-יתרות פתיחה'!$2:$90,88,0),0)</f>
        <v>0</v>
      </c>
      <c r="L125" s="47">
        <f>+IFERROR(HLOOKUP(L24,'סקרי נכסים-יתרות פתיחה'!$2:$76,74,0),0)-IFERROR(HLOOKUP(L24,'סקרי נכסים-יתרות פתיחה'!$2:$90,88,0),0)</f>
        <v>0</v>
      </c>
      <c r="M125" s="47">
        <f>+IFERROR(HLOOKUP(M24,'סקרי נכסים-יתרות פתיחה'!$2:$76,74,0),0)-IFERROR(HLOOKUP(M24,'סקרי נכסים-יתרות פתיחה'!$2:$90,88,0),0)</f>
        <v>0</v>
      </c>
      <c r="N125" s="47">
        <f>+IFERROR(HLOOKUP(N24,'סקרי נכסים-יתרות פתיחה'!$2:$76,74,0),0)-IFERROR(HLOOKUP(N24,'סקרי נכסים-יתרות פתיחה'!$2:$90,88,0),0)</f>
        <v>0</v>
      </c>
      <c r="O125" s="47">
        <f>+IFERROR(HLOOKUP(O24,'סקרי נכסים-יתרות פתיחה'!$2:$76,74,0),0)-IFERROR(HLOOKUP(O24,'סקרי נכסים-יתרות פתיחה'!$2:$90,88,0),0)</f>
        <v>0</v>
      </c>
      <c r="P125" s="47">
        <f>+IFERROR(HLOOKUP(P24,'סקרי נכסים-יתרות פתיחה'!$2:$76,74,0),0)-IFERROR(HLOOKUP(P24,'סקרי נכסים-יתרות פתיחה'!$2:$90,88,0),0)</f>
        <v>0</v>
      </c>
      <c r="Q125" s="47">
        <f>+IFERROR(HLOOKUP(Q24,'סקרי נכסים-יתרות פתיחה'!$2:$76,74,0),0)-IFERROR(HLOOKUP(Q24,'סקרי נכסים-יתרות פתיחה'!$2:$90,88,0),0)</f>
        <v>0</v>
      </c>
      <c r="R125" s="47">
        <f>+IFERROR(HLOOKUP(R24,'סקרי נכסים-יתרות פתיחה'!$2:$76,74,0),0)-IFERROR(HLOOKUP(R24,'סקרי נכסים-יתרות פתיחה'!$2:$90,88,0),0)</f>
        <v>0</v>
      </c>
      <c r="S125" s="47">
        <f>+IFERROR(HLOOKUP(S24,'סקרי נכסים-יתרות פתיחה'!$2:$76,74,0),0)-IFERROR(HLOOKUP(S24,'סקרי נכסים-יתרות פתיחה'!$2:$90,88,0),0)</f>
        <v>0</v>
      </c>
      <c r="T125" s="47">
        <f>+IFERROR(HLOOKUP(T24,'סקרי נכסים-יתרות פתיחה'!$2:$76,74,0),0)-IFERROR(HLOOKUP(T24,'סקרי נכסים-יתרות פתיחה'!$2:$90,88,0),0)</f>
        <v>0</v>
      </c>
      <c r="U125" s="47">
        <f>+IFERROR(HLOOKUP(U24,'סקרי נכסים-יתרות פתיחה'!$2:$76,74,0),0)-IFERROR(HLOOKUP(U24,'סקרי נכסים-יתרות פתיחה'!$2:$90,88,0),0)</f>
        <v>0</v>
      </c>
      <c r="V125" s="47">
        <f>+IFERROR(HLOOKUP(V24,'סקרי נכסים-יתרות פתיחה'!$2:$76,74,0),0)-IFERROR(HLOOKUP(V24,'סקרי נכסים-יתרות פתיחה'!$2:$90,88,0),0)</f>
        <v>0</v>
      </c>
      <c r="W125" s="47">
        <f>+IFERROR(HLOOKUP(W24,'סקרי נכסים-יתרות פתיחה'!$2:$76,74,0),0)-IFERROR(HLOOKUP(W24,'סקרי נכסים-יתרות פתיחה'!$2:$90,88,0),0)</f>
        <v>0</v>
      </c>
      <c r="X125" s="47">
        <f>+IFERROR(HLOOKUP(X24,'סקרי נכסים-יתרות פתיחה'!$2:$76,74,0),0)-IFERROR(HLOOKUP(X24,'סקרי נכסים-יתרות פתיחה'!$2:$90,88,0),0)</f>
        <v>0</v>
      </c>
      <c r="Y125" s="47">
        <f>+IFERROR(HLOOKUP(Y24,'סקרי נכסים-יתרות פתיחה'!$2:$76,74,0),0)-IFERROR(HLOOKUP(Y24,'סקרי נכסים-יתרות פתיחה'!$2:$90,88,0),0)</f>
        <v>0</v>
      </c>
      <c r="Z125" s="47">
        <f>+IFERROR(HLOOKUP(Z24,'סקרי נכסים-יתרות פתיחה'!$2:$76,74,0),0)-IFERROR(HLOOKUP(Z24,'סקרי נכסים-יתרות פתיחה'!$2:$90,88,0),0)</f>
        <v>0</v>
      </c>
      <c r="AA125" s="47">
        <f>+IFERROR(HLOOKUP(AA24,'סקרי נכסים-יתרות פתיחה'!$2:$76,74,0),0)-IFERROR(HLOOKUP(AA24,'סקרי נכסים-יתרות פתיחה'!$2:$90,88,0),0)</f>
        <v>0</v>
      </c>
      <c r="AB125" s="47">
        <f>+IFERROR(HLOOKUP(AB24,'סקרי נכסים-יתרות פתיחה'!$2:$76,74,0),0)-IFERROR(HLOOKUP(AB24,'סקרי נכסים-יתרות פתיחה'!$2:$90,88,0),0)</f>
        <v>0</v>
      </c>
      <c r="AC125" s="47">
        <f>+IFERROR(HLOOKUP(AC24,'סקרי נכסים-יתרות פתיחה'!$2:$76,74,0),0)-IFERROR(HLOOKUP(AC24,'סקרי נכסים-יתרות פתיחה'!$2:$90,88,0),0)</f>
        <v>0</v>
      </c>
      <c r="AD125" s="47">
        <f>+IFERROR(HLOOKUP(AD24,'סקרי נכסים-יתרות פתיחה'!$2:$76,74,0),0)-IFERROR(HLOOKUP(AD24,'סקרי נכסים-יתרות פתיחה'!$2:$90,88,0),0)</f>
        <v>0</v>
      </c>
      <c r="AE125" s="47">
        <f>+IFERROR(HLOOKUP(AE24,'סקרי נכסים-יתרות פתיחה'!$2:$76,74,0),0)-IFERROR(HLOOKUP(AE24,'סקרי נכסים-יתרות פתיחה'!$2:$90,88,0),0)</f>
        <v>0</v>
      </c>
      <c r="AF125" s="47">
        <f>+IFERROR(HLOOKUP(AF24,'סקרי נכסים-יתרות פתיחה'!$2:$76,74,0),0)-IFERROR(HLOOKUP(AF24,'סקרי נכסים-יתרות פתיחה'!$2:$90,88,0),0)</f>
        <v>0</v>
      </c>
      <c r="AG125" s="47">
        <f>+IFERROR(HLOOKUP(AG24,'סקרי נכסים-יתרות פתיחה'!$2:$76,74,0),0)-IFERROR(HLOOKUP(AG24,'סקרי נכסים-יתרות פתיחה'!$2:$90,88,0),0)</f>
        <v>0</v>
      </c>
      <c r="AH125" s="47">
        <f>+IFERROR(HLOOKUP(AH24,'סקרי נכסים-יתרות פתיחה'!$2:$76,74,0),0)-IFERROR(HLOOKUP(AH24,'סקרי נכסים-יתרות פתיחה'!$2:$90,88,0),0)</f>
        <v>0</v>
      </c>
      <c r="AI125" s="47">
        <f>+IFERROR(HLOOKUP(AI24,'סקרי נכסים-יתרות פתיחה'!$2:$76,74,0),0)-IFERROR(HLOOKUP(AI24,'סקרי נכסים-יתרות פתיחה'!$2:$90,88,0),0)</f>
        <v>0</v>
      </c>
      <c r="AJ125" s="47">
        <f>+IFERROR(HLOOKUP(AJ24,'סקרי נכסים-יתרות פתיחה'!$2:$76,74,0),0)-IFERROR(HLOOKUP(AJ24,'סקרי נכסים-יתרות פתיחה'!$2:$90,88,0),0)</f>
        <v>0</v>
      </c>
      <c r="AK125" s="47">
        <f>+IFERROR(HLOOKUP(AK24,'סקרי נכסים-יתרות פתיחה'!$2:$76,74,0),0)-IFERROR(HLOOKUP(AK24,'סקרי נכסים-יתרות פתיחה'!$2:$90,88,0),0)</f>
        <v>0</v>
      </c>
      <c r="AL125" s="47">
        <f>+IFERROR(HLOOKUP(AL24,'סקרי נכסים-יתרות פתיחה'!$2:$76,74,0),0)-IFERROR(HLOOKUP(AL24,'סקרי נכסים-יתרות פתיחה'!$2:$90,88,0),0)</f>
        <v>0</v>
      </c>
      <c r="AM125" s="47">
        <f>+IFERROR(HLOOKUP(AM24,'סקרי נכסים-יתרות פתיחה'!$2:$76,74,0),0)-IFERROR(HLOOKUP(AM24,'סקרי נכסים-יתרות פתיחה'!$2:$90,88,0),0)</f>
        <v>0</v>
      </c>
      <c r="AN125" s="47">
        <f>+IFERROR(HLOOKUP(AN24,'סקרי נכסים-יתרות פתיחה'!$2:$76,74,0),0)-IFERROR(HLOOKUP(AN24,'סקרי נכסים-יתרות פתיחה'!$2:$90,88,0),0)</f>
        <v>0</v>
      </c>
      <c r="AO125" s="47">
        <f>+IFERROR(HLOOKUP(AO24,'סקרי נכסים-יתרות פתיחה'!$2:$76,74,0),0)-IFERROR(HLOOKUP(AO24,'סקרי נכסים-יתרות פתיחה'!$2:$90,88,0),0)</f>
        <v>0</v>
      </c>
      <c r="AP125" s="47">
        <f>+IFERROR(HLOOKUP(AP24,'סקרי נכסים-יתרות פתיחה'!$2:$76,74,0),0)-IFERROR(HLOOKUP(AP24,'סקרי נכסים-יתרות פתיחה'!$2:$90,88,0),0)</f>
        <v>0</v>
      </c>
      <c r="AQ125" s="47">
        <f>+IFERROR(HLOOKUP(AQ24,'סקרי נכסים-יתרות פתיחה'!$2:$76,74,0),0)-IFERROR(HLOOKUP(AQ24,'סקרי נכסים-יתרות פתיחה'!$2:$90,88,0),0)</f>
        <v>0</v>
      </c>
      <c r="AR125" s="47">
        <f>+IFERROR(HLOOKUP(AR24,'סקרי נכסים-יתרות פתיחה'!$2:$76,74,0),0)-IFERROR(HLOOKUP(AR24,'סקרי נכסים-יתרות פתיחה'!$2:$90,88,0),0)</f>
        <v>0</v>
      </c>
      <c r="AS125" s="47">
        <f>+IFERROR(HLOOKUP(AS24,'סקרי נכסים-יתרות פתיחה'!$2:$76,74,0),0)-IFERROR(HLOOKUP(AS24,'סקרי נכסים-יתרות פתיחה'!$2:$90,88,0),0)</f>
        <v>0</v>
      </c>
      <c r="AT125" s="47">
        <f>+IFERROR(HLOOKUP(AT24,'סקרי נכסים-יתרות פתיחה'!$2:$76,74,0),0)-IFERROR(HLOOKUP(AT24,'סקרי נכסים-יתרות פתיחה'!$2:$90,88,0),0)</f>
        <v>0</v>
      </c>
      <c r="AU125" s="47">
        <f>+IFERROR(HLOOKUP(AU24,'סקרי נכסים-יתרות פתיחה'!$2:$76,74,0),0)-IFERROR(HLOOKUP(AU24,'סקרי נכסים-יתרות פתיחה'!$2:$90,88,0),0)</f>
        <v>0</v>
      </c>
      <c r="AV125" s="47">
        <f>+IFERROR(HLOOKUP(AV24,'סקרי נכסים-יתרות פתיחה'!$2:$76,74,0),0)-IFERROR(HLOOKUP(AV24,'סקרי נכסים-יתרות פתיחה'!$2:$90,88,0),0)</f>
        <v>0</v>
      </c>
      <c r="AW125" s="47">
        <f>+IFERROR(HLOOKUP(AW24,'סקרי נכסים-יתרות פתיחה'!$2:$76,74,0),0)-IFERROR(HLOOKUP(AW24,'סקרי נכסים-יתרות פתיחה'!$2:$90,88,0),0)</f>
        <v>0</v>
      </c>
      <c r="AX125" s="47">
        <f>+IFERROR(HLOOKUP(AX24,'סקרי נכסים-יתרות פתיחה'!$2:$76,74,0),0)-IFERROR(HLOOKUP(AX24,'סקרי נכסים-יתרות פתיחה'!$2:$90,88,0),0)</f>
        <v>0</v>
      </c>
      <c r="AY125" s="47">
        <f>+IFERROR(HLOOKUP(AY24,'סקרי נכסים-יתרות פתיחה'!$2:$76,74,0),0)-IFERROR(HLOOKUP(AY24,'סקרי נכסים-יתרות פתיחה'!$2:$90,88,0),0)</f>
        <v>0</v>
      </c>
      <c r="AZ125" s="47">
        <f>+IFERROR(HLOOKUP(AZ24,'סקרי נכסים-יתרות פתיחה'!$2:$76,74,0),0)-IFERROR(HLOOKUP(AZ24,'סקרי נכסים-יתרות פתיחה'!$2:$90,88,0),0)</f>
        <v>0</v>
      </c>
      <c r="BA125" s="47">
        <f>+IFERROR(HLOOKUP(BA24,'סקרי נכסים-יתרות פתיחה'!$2:$76,74,0),0)-IFERROR(HLOOKUP(BA24,'סקרי נכסים-יתרות פתיחה'!$2:$90,88,0),0)</f>
        <v>0</v>
      </c>
      <c r="BB125" s="47">
        <f>+IFERROR(HLOOKUP(BB24,'סקרי נכסים-יתרות פתיחה'!$2:$76,74,0),0)-IFERROR(HLOOKUP(BB24,'סקרי נכסים-יתרות פתיחה'!$2:$90,88,0),0)</f>
        <v>0</v>
      </c>
      <c r="BC125" s="47">
        <f>+IFERROR(HLOOKUP(BC24,'סקרי נכסים-יתרות פתיחה'!$2:$76,74,0),0)-IFERROR(HLOOKUP(BC24,'סקרי נכסים-יתרות פתיחה'!$2:$90,88,0),0)</f>
        <v>0</v>
      </c>
      <c r="BD125" s="47">
        <f>+IFERROR(HLOOKUP(BD24,'סקרי נכסים-יתרות פתיחה'!$2:$76,74,0),0)-IFERROR(HLOOKUP(BD24,'סקרי נכסים-יתרות פתיחה'!$2:$90,88,0),0)</f>
        <v>0</v>
      </c>
      <c r="BE125" s="47">
        <f>+IFERROR(HLOOKUP(BE24,'סקרי נכסים-יתרות פתיחה'!$2:$76,74,0),0)-IFERROR(HLOOKUP(BE24,'סקרי נכסים-יתרות פתיחה'!$2:$90,88,0),0)</f>
        <v>0</v>
      </c>
      <c r="BF125" s="47">
        <f>+IFERROR(HLOOKUP(BF24,'סקרי נכסים-יתרות פתיחה'!$2:$76,74,0),0)-IFERROR(HLOOKUP(BF24,'סקרי נכסים-יתרות פתיחה'!$2:$90,88,0),0)</f>
        <v>0</v>
      </c>
    </row>
    <row r="126" spans="2:58" x14ac:dyDescent="0.2">
      <c r="B126" s="1">
        <v>18</v>
      </c>
      <c r="C126" s="47">
        <f>+IFERROR(HLOOKUP(C25,'סקרי נכסים-יתרות פתיחה'!$2:$76,74,0),0)-IFERROR(HLOOKUP(C25,'סקרי נכסים-יתרות פתיחה'!$2:$90,88,0),0)</f>
        <v>0</v>
      </c>
      <c r="D126" s="47">
        <f>+IFERROR(HLOOKUP(D25,'סקרי נכסים-יתרות פתיחה'!$2:$76,74,0),0)-IFERROR(HLOOKUP(D25,'סקרי נכסים-יתרות פתיחה'!$2:$90,88,0),0)</f>
        <v>0</v>
      </c>
      <c r="E126" s="47">
        <f>+IFERROR(HLOOKUP(E25,'סקרי נכסים-יתרות פתיחה'!$2:$76,74,0),0)-IFERROR(HLOOKUP(E25,'סקרי נכסים-יתרות פתיחה'!$2:$90,88,0),0)</f>
        <v>0</v>
      </c>
      <c r="F126" s="47">
        <f>+IFERROR(HLOOKUP(F25,'סקרי נכסים-יתרות פתיחה'!$2:$76,74,0),0)-IFERROR(HLOOKUP(F25,'סקרי נכסים-יתרות פתיחה'!$2:$90,88,0),0)</f>
        <v>0</v>
      </c>
      <c r="G126" s="47">
        <f>+IFERROR(HLOOKUP(G25,'סקרי נכסים-יתרות פתיחה'!$2:$76,74,0),0)-IFERROR(HLOOKUP(G25,'סקרי נכסים-יתרות פתיחה'!$2:$90,88,0),0)</f>
        <v>0</v>
      </c>
      <c r="H126" s="47">
        <f>+IFERROR(HLOOKUP(H25,'סקרי נכסים-יתרות פתיחה'!$2:$76,74,0),0)-IFERROR(HLOOKUP(H25,'סקרי נכסים-יתרות פתיחה'!$2:$90,88,0),0)</f>
        <v>0</v>
      </c>
      <c r="I126" s="47">
        <f>+IFERROR(HLOOKUP(I25,'סקרי נכסים-יתרות פתיחה'!$2:$76,74,0),0)-IFERROR(HLOOKUP(I25,'סקרי נכסים-יתרות פתיחה'!$2:$90,88,0),0)</f>
        <v>0</v>
      </c>
      <c r="J126" s="47">
        <f>+IFERROR(HLOOKUP(J25,'סקרי נכסים-יתרות פתיחה'!$2:$76,74,0),0)-IFERROR(HLOOKUP(J25,'סקרי נכסים-יתרות פתיחה'!$2:$90,88,0),0)</f>
        <v>0</v>
      </c>
      <c r="K126" s="47">
        <f>+IFERROR(HLOOKUP(K25,'סקרי נכסים-יתרות פתיחה'!$2:$76,74,0),0)-IFERROR(HLOOKUP(K25,'סקרי נכסים-יתרות פתיחה'!$2:$90,88,0),0)</f>
        <v>0</v>
      </c>
      <c r="L126" s="47">
        <f>+IFERROR(HLOOKUP(L25,'סקרי נכסים-יתרות פתיחה'!$2:$76,74,0),0)-IFERROR(HLOOKUP(L25,'סקרי נכסים-יתרות פתיחה'!$2:$90,88,0),0)</f>
        <v>0</v>
      </c>
      <c r="M126" s="47">
        <f>+IFERROR(HLOOKUP(M25,'סקרי נכסים-יתרות פתיחה'!$2:$76,74,0),0)-IFERROR(HLOOKUP(M25,'סקרי נכסים-יתרות פתיחה'!$2:$90,88,0),0)</f>
        <v>0</v>
      </c>
      <c r="N126" s="47">
        <f>+IFERROR(HLOOKUP(N25,'סקרי נכסים-יתרות פתיחה'!$2:$76,74,0),0)-IFERROR(HLOOKUP(N25,'סקרי נכסים-יתרות פתיחה'!$2:$90,88,0),0)</f>
        <v>0</v>
      </c>
      <c r="O126" s="47">
        <f>+IFERROR(HLOOKUP(O25,'סקרי נכסים-יתרות פתיחה'!$2:$76,74,0),0)-IFERROR(HLOOKUP(O25,'סקרי נכסים-יתרות פתיחה'!$2:$90,88,0),0)</f>
        <v>0</v>
      </c>
      <c r="P126" s="47">
        <f>+IFERROR(HLOOKUP(P25,'סקרי נכסים-יתרות פתיחה'!$2:$76,74,0),0)-IFERROR(HLOOKUP(P25,'סקרי נכסים-יתרות פתיחה'!$2:$90,88,0),0)</f>
        <v>0</v>
      </c>
      <c r="Q126" s="47">
        <f>+IFERROR(HLOOKUP(Q25,'סקרי נכסים-יתרות פתיחה'!$2:$76,74,0),0)-IFERROR(HLOOKUP(Q25,'סקרי נכסים-יתרות פתיחה'!$2:$90,88,0),0)</f>
        <v>0</v>
      </c>
      <c r="R126" s="47">
        <f>+IFERROR(HLOOKUP(R25,'סקרי נכסים-יתרות פתיחה'!$2:$76,74,0),0)-IFERROR(HLOOKUP(R25,'סקרי נכסים-יתרות פתיחה'!$2:$90,88,0),0)</f>
        <v>0</v>
      </c>
      <c r="S126" s="47">
        <f>+IFERROR(HLOOKUP(S25,'סקרי נכסים-יתרות פתיחה'!$2:$76,74,0),0)-IFERROR(HLOOKUP(S25,'סקרי נכסים-יתרות פתיחה'!$2:$90,88,0),0)</f>
        <v>0</v>
      </c>
      <c r="T126" s="47">
        <f>+IFERROR(HLOOKUP(T25,'סקרי נכסים-יתרות פתיחה'!$2:$76,74,0),0)-IFERROR(HLOOKUP(T25,'סקרי נכסים-יתרות פתיחה'!$2:$90,88,0),0)</f>
        <v>0</v>
      </c>
      <c r="U126" s="47">
        <f>+IFERROR(HLOOKUP(U25,'סקרי נכסים-יתרות פתיחה'!$2:$76,74,0),0)-IFERROR(HLOOKUP(U25,'סקרי נכסים-יתרות פתיחה'!$2:$90,88,0),0)</f>
        <v>0</v>
      </c>
      <c r="V126" s="47">
        <f>+IFERROR(HLOOKUP(V25,'סקרי נכסים-יתרות פתיחה'!$2:$76,74,0),0)-IFERROR(HLOOKUP(V25,'סקרי נכסים-יתרות פתיחה'!$2:$90,88,0),0)</f>
        <v>0</v>
      </c>
      <c r="W126" s="47">
        <f>+IFERROR(HLOOKUP(W25,'סקרי נכסים-יתרות פתיחה'!$2:$76,74,0),0)-IFERROR(HLOOKUP(W25,'סקרי נכסים-יתרות פתיחה'!$2:$90,88,0),0)</f>
        <v>0</v>
      </c>
      <c r="X126" s="47">
        <f>+IFERROR(HLOOKUP(X25,'סקרי נכסים-יתרות פתיחה'!$2:$76,74,0),0)-IFERROR(HLOOKUP(X25,'סקרי נכסים-יתרות פתיחה'!$2:$90,88,0),0)</f>
        <v>0</v>
      </c>
      <c r="Y126" s="47">
        <f>+IFERROR(HLOOKUP(Y25,'סקרי נכסים-יתרות פתיחה'!$2:$76,74,0),0)-IFERROR(HLOOKUP(Y25,'סקרי נכסים-יתרות פתיחה'!$2:$90,88,0),0)</f>
        <v>0</v>
      </c>
      <c r="Z126" s="47">
        <f>+IFERROR(HLOOKUP(Z25,'סקרי נכסים-יתרות פתיחה'!$2:$76,74,0),0)-IFERROR(HLOOKUP(Z25,'סקרי נכסים-יתרות פתיחה'!$2:$90,88,0),0)</f>
        <v>0</v>
      </c>
      <c r="AA126" s="47">
        <f>+IFERROR(HLOOKUP(AA25,'סקרי נכסים-יתרות פתיחה'!$2:$76,74,0),0)-IFERROR(HLOOKUP(AA25,'סקרי נכסים-יתרות פתיחה'!$2:$90,88,0),0)</f>
        <v>0</v>
      </c>
      <c r="AB126" s="47">
        <f>+IFERROR(HLOOKUP(AB25,'סקרי נכסים-יתרות פתיחה'!$2:$76,74,0),0)-IFERROR(HLOOKUP(AB25,'סקרי נכסים-יתרות פתיחה'!$2:$90,88,0),0)</f>
        <v>0</v>
      </c>
      <c r="AC126" s="47">
        <f>+IFERROR(HLOOKUP(AC25,'סקרי נכסים-יתרות פתיחה'!$2:$76,74,0),0)-IFERROR(HLOOKUP(AC25,'סקרי נכסים-יתרות פתיחה'!$2:$90,88,0),0)</f>
        <v>0</v>
      </c>
      <c r="AD126" s="47">
        <f>+IFERROR(HLOOKUP(AD25,'סקרי נכסים-יתרות פתיחה'!$2:$76,74,0),0)-IFERROR(HLOOKUP(AD25,'סקרי נכסים-יתרות פתיחה'!$2:$90,88,0),0)</f>
        <v>0</v>
      </c>
      <c r="AE126" s="47">
        <f>+IFERROR(HLOOKUP(AE25,'סקרי נכסים-יתרות פתיחה'!$2:$76,74,0),0)-IFERROR(HLOOKUP(AE25,'סקרי נכסים-יתרות פתיחה'!$2:$90,88,0),0)</f>
        <v>0</v>
      </c>
      <c r="AF126" s="47">
        <f>+IFERROR(HLOOKUP(AF25,'סקרי נכסים-יתרות פתיחה'!$2:$76,74,0),0)-IFERROR(HLOOKUP(AF25,'סקרי נכסים-יתרות פתיחה'!$2:$90,88,0),0)</f>
        <v>0</v>
      </c>
      <c r="AG126" s="47">
        <f>+IFERROR(HLOOKUP(AG25,'סקרי נכסים-יתרות פתיחה'!$2:$76,74,0),0)-IFERROR(HLOOKUP(AG25,'סקרי נכסים-יתרות פתיחה'!$2:$90,88,0),0)</f>
        <v>0</v>
      </c>
      <c r="AH126" s="47">
        <f>+IFERROR(HLOOKUP(AH25,'סקרי נכסים-יתרות פתיחה'!$2:$76,74,0),0)-IFERROR(HLOOKUP(AH25,'סקרי נכסים-יתרות פתיחה'!$2:$90,88,0),0)</f>
        <v>0</v>
      </c>
      <c r="AI126" s="47">
        <f>+IFERROR(HLOOKUP(AI25,'סקרי נכסים-יתרות פתיחה'!$2:$76,74,0),0)-IFERROR(HLOOKUP(AI25,'סקרי נכסים-יתרות פתיחה'!$2:$90,88,0),0)</f>
        <v>0</v>
      </c>
      <c r="AJ126" s="47">
        <f>+IFERROR(HLOOKUP(AJ25,'סקרי נכסים-יתרות פתיחה'!$2:$76,74,0),0)-IFERROR(HLOOKUP(AJ25,'סקרי נכסים-יתרות פתיחה'!$2:$90,88,0),0)</f>
        <v>0</v>
      </c>
      <c r="AK126" s="47">
        <f>+IFERROR(HLOOKUP(AK25,'סקרי נכסים-יתרות פתיחה'!$2:$76,74,0),0)-IFERROR(HLOOKUP(AK25,'סקרי נכסים-יתרות פתיחה'!$2:$90,88,0),0)</f>
        <v>0</v>
      </c>
      <c r="AL126" s="47">
        <f>+IFERROR(HLOOKUP(AL25,'סקרי נכסים-יתרות פתיחה'!$2:$76,74,0),0)-IFERROR(HLOOKUP(AL25,'סקרי נכסים-יתרות פתיחה'!$2:$90,88,0),0)</f>
        <v>0</v>
      </c>
      <c r="AM126" s="47">
        <f>+IFERROR(HLOOKUP(AM25,'סקרי נכסים-יתרות פתיחה'!$2:$76,74,0),0)-IFERROR(HLOOKUP(AM25,'סקרי נכסים-יתרות פתיחה'!$2:$90,88,0),0)</f>
        <v>0</v>
      </c>
      <c r="AN126" s="47">
        <f>+IFERROR(HLOOKUP(AN25,'סקרי נכסים-יתרות פתיחה'!$2:$76,74,0),0)-IFERROR(HLOOKUP(AN25,'סקרי נכסים-יתרות פתיחה'!$2:$90,88,0),0)</f>
        <v>0</v>
      </c>
      <c r="AO126" s="47">
        <f>+IFERROR(HLOOKUP(AO25,'סקרי נכסים-יתרות פתיחה'!$2:$76,74,0),0)-IFERROR(HLOOKUP(AO25,'סקרי נכסים-יתרות פתיחה'!$2:$90,88,0),0)</f>
        <v>0</v>
      </c>
      <c r="AP126" s="47">
        <f>+IFERROR(HLOOKUP(AP25,'סקרי נכסים-יתרות פתיחה'!$2:$76,74,0),0)-IFERROR(HLOOKUP(AP25,'סקרי נכסים-יתרות פתיחה'!$2:$90,88,0),0)</f>
        <v>0</v>
      </c>
      <c r="AQ126" s="47">
        <f>+IFERROR(HLOOKUP(AQ25,'סקרי נכסים-יתרות פתיחה'!$2:$76,74,0),0)-IFERROR(HLOOKUP(AQ25,'סקרי נכסים-יתרות פתיחה'!$2:$90,88,0),0)</f>
        <v>0</v>
      </c>
      <c r="AR126" s="47">
        <f>+IFERROR(HLOOKUP(AR25,'סקרי נכסים-יתרות פתיחה'!$2:$76,74,0),0)-IFERROR(HLOOKUP(AR25,'סקרי נכסים-יתרות פתיחה'!$2:$90,88,0),0)</f>
        <v>0</v>
      </c>
      <c r="AS126" s="47">
        <f>+IFERROR(HLOOKUP(AS25,'סקרי נכסים-יתרות פתיחה'!$2:$76,74,0),0)-IFERROR(HLOOKUP(AS25,'סקרי נכסים-יתרות פתיחה'!$2:$90,88,0),0)</f>
        <v>0</v>
      </c>
      <c r="AT126" s="47">
        <f>+IFERROR(HLOOKUP(AT25,'סקרי נכסים-יתרות פתיחה'!$2:$76,74,0),0)-IFERROR(HLOOKUP(AT25,'סקרי נכסים-יתרות פתיחה'!$2:$90,88,0),0)</f>
        <v>0</v>
      </c>
      <c r="AU126" s="47">
        <f>+IFERROR(HLOOKUP(AU25,'סקרי נכסים-יתרות פתיחה'!$2:$76,74,0),0)-IFERROR(HLOOKUP(AU25,'סקרי נכסים-יתרות פתיחה'!$2:$90,88,0),0)</f>
        <v>0</v>
      </c>
      <c r="AV126" s="47">
        <f>+IFERROR(HLOOKUP(AV25,'סקרי נכסים-יתרות פתיחה'!$2:$76,74,0),0)-IFERROR(HLOOKUP(AV25,'סקרי נכסים-יתרות פתיחה'!$2:$90,88,0),0)</f>
        <v>0</v>
      </c>
      <c r="AW126" s="47">
        <f>+IFERROR(HLOOKUP(AW25,'סקרי נכסים-יתרות פתיחה'!$2:$76,74,0),0)-IFERROR(HLOOKUP(AW25,'סקרי נכסים-יתרות פתיחה'!$2:$90,88,0),0)</f>
        <v>0</v>
      </c>
      <c r="AX126" s="47">
        <f>+IFERROR(HLOOKUP(AX25,'סקרי נכסים-יתרות פתיחה'!$2:$76,74,0),0)-IFERROR(HLOOKUP(AX25,'סקרי נכסים-יתרות פתיחה'!$2:$90,88,0),0)</f>
        <v>0</v>
      </c>
      <c r="AY126" s="47">
        <f>+IFERROR(HLOOKUP(AY25,'סקרי נכסים-יתרות פתיחה'!$2:$76,74,0),0)-IFERROR(HLOOKUP(AY25,'סקרי נכסים-יתרות פתיחה'!$2:$90,88,0),0)</f>
        <v>0</v>
      </c>
      <c r="AZ126" s="47">
        <f>+IFERROR(HLOOKUP(AZ25,'סקרי נכסים-יתרות פתיחה'!$2:$76,74,0),0)-IFERROR(HLOOKUP(AZ25,'סקרי נכסים-יתרות פתיחה'!$2:$90,88,0),0)</f>
        <v>0</v>
      </c>
      <c r="BA126" s="47">
        <f>+IFERROR(HLOOKUP(BA25,'סקרי נכסים-יתרות פתיחה'!$2:$76,74,0),0)-IFERROR(HLOOKUP(BA25,'סקרי נכסים-יתרות פתיחה'!$2:$90,88,0),0)</f>
        <v>0</v>
      </c>
      <c r="BB126" s="47">
        <f>+IFERROR(HLOOKUP(BB25,'סקרי נכסים-יתרות פתיחה'!$2:$76,74,0),0)-IFERROR(HLOOKUP(BB25,'סקרי נכסים-יתרות פתיחה'!$2:$90,88,0),0)</f>
        <v>0</v>
      </c>
      <c r="BC126" s="47">
        <f>+IFERROR(HLOOKUP(BC25,'סקרי נכסים-יתרות פתיחה'!$2:$76,74,0),0)-IFERROR(HLOOKUP(BC25,'סקרי נכסים-יתרות פתיחה'!$2:$90,88,0),0)</f>
        <v>0</v>
      </c>
      <c r="BD126" s="47">
        <f>+IFERROR(HLOOKUP(BD25,'סקרי נכסים-יתרות פתיחה'!$2:$76,74,0),0)-IFERROR(HLOOKUP(BD25,'סקרי נכסים-יתרות פתיחה'!$2:$90,88,0),0)</f>
        <v>0</v>
      </c>
      <c r="BE126" s="47">
        <f>+IFERROR(HLOOKUP(BE25,'סקרי נכסים-יתרות פתיחה'!$2:$76,74,0),0)-IFERROR(HLOOKUP(BE25,'סקרי נכסים-יתרות פתיחה'!$2:$90,88,0),0)</f>
        <v>0</v>
      </c>
      <c r="BF126" s="47">
        <f>+IFERROR(HLOOKUP(BF25,'סקרי נכסים-יתרות פתיחה'!$2:$76,74,0),0)-IFERROR(HLOOKUP(BF25,'סקרי נכסים-יתרות פתיחה'!$2:$90,88,0),0)</f>
        <v>0</v>
      </c>
    </row>
    <row r="127" spans="2:58" x14ac:dyDescent="0.2">
      <c r="B127" s="1">
        <v>19</v>
      </c>
      <c r="C127" s="47">
        <f>+IFERROR(HLOOKUP(C26,'סקרי נכסים-יתרות פתיחה'!$2:$76,74,0),0)-IFERROR(HLOOKUP(C26,'סקרי נכסים-יתרות פתיחה'!$2:$90,88,0),0)</f>
        <v>0</v>
      </c>
      <c r="D127" s="47">
        <f>+IFERROR(HLOOKUP(D26,'סקרי נכסים-יתרות פתיחה'!$2:$76,74,0),0)-IFERROR(HLOOKUP(D26,'סקרי נכסים-יתרות פתיחה'!$2:$90,88,0),0)</f>
        <v>0</v>
      </c>
      <c r="E127" s="47">
        <f>+IFERROR(HLOOKUP(E26,'סקרי נכסים-יתרות פתיחה'!$2:$76,74,0),0)-IFERROR(HLOOKUP(E26,'סקרי נכסים-יתרות פתיחה'!$2:$90,88,0),0)</f>
        <v>0</v>
      </c>
      <c r="F127" s="47">
        <f>+IFERROR(HLOOKUP(F26,'סקרי נכסים-יתרות פתיחה'!$2:$76,74,0),0)-IFERROR(HLOOKUP(F26,'סקרי נכסים-יתרות פתיחה'!$2:$90,88,0),0)</f>
        <v>0</v>
      </c>
      <c r="G127" s="47">
        <f>+IFERROR(HLOOKUP(G26,'סקרי נכסים-יתרות פתיחה'!$2:$76,74,0),0)-IFERROR(HLOOKUP(G26,'סקרי נכסים-יתרות פתיחה'!$2:$90,88,0),0)</f>
        <v>0</v>
      </c>
      <c r="H127" s="47">
        <f>+IFERROR(HLOOKUP(H26,'סקרי נכסים-יתרות פתיחה'!$2:$76,74,0),0)-IFERROR(HLOOKUP(H26,'סקרי נכסים-יתרות פתיחה'!$2:$90,88,0),0)</f>
        <v>0</v>
      </c>
      <c r="I127" s="47">
        <f>+IFERROR(HLOOKUP(I26,'סקרי נכסים-יתרות פתיחה'!$2:$76,74,0),0)-IFERROR(HLOOKUP(I26,'סקרי נכסים-יתרות פתיחה'!$2:$90,88,0),0)</f>
        <v>0</v>
      </c>
      <c r="J127" s="47">
        <f>+IFERROR(HLOOKUP(J26,'סקרי נכסים-יתרות פתיחה'!$2:$76,74,0),0)-IFERROR(HLOOKUP(J26,'סקרי נכסים-יתרות פתיחה'!$2:$90,88,0),0)</f>
        <v>0</v>
      </c>
      <c r="K127" s="47">
        <f>+IFERROR(HLOOKUP(K26,'סקרי נכסים-יתרות פתיחה'!$2:$76,74,0),0)-IFERROR(HLOOKUP(K26,'סקרי נכסים-יתרות פתיחה'!$2:$90,88,0),0)</f>
        <v>0</v>
      </c>
      <c r="L127" s="47">
        <f>+IFERROR(HLOOKUP(L26,'סקרי נכסים-יתרות פתיחה'!$2:$76,74,0),0)-IFERROR(HLOOKUP(L26,'סקרי נכסים-יתרות פתיחה'!$2:$90,88,0),0)</f>
        <v>0</v>
      </c>
      <c r="M127" s="47">
        <f>+IFERROR(HLOOKUP(M26,'סקרי נכסים-יתרות פתיחה'!$2:$76,74,0),0)-IFERROR(HLOOKUP(M26,'סקרי נכסים-יתרות פתיחה'!$2:$90,88,0),0)</f>
        <v>0</v>
      </c>
      <c r="N127" s="47">
        <f>+IFERROR(HLOOKUP(N26,'סקרי נכסים-יתרות פתיחה'!$2:$76,74,0),0)-IFERROR(HLOOKUP(N26,'סקרי נכסים-יתרות פתיחה'!$2:$90,88,0),0)</f>
        <v>0</v>
      </c>
      <c r="O127" s="47">
        <f>+IFERROR(HLOOKUP(O26,'סקרי נכסים-יתרות פתיחה'!$2:$76,74,0),0)-IFERROR(HLOOKUP(O26,'סקרי נכסים-יתרות פתיחה'!$2:$90,88,0),0)</f>
        <v>0</v>
      </c>
      <c r="P127" s="47">
        <f>+IFERROR(HLOOKUP(P26,'סקרי נכסים-יתרות פתיחה'!$2:$76,74,0),0)-IFERROR(HLOOKUP(P26,'סקרי נכסים-יתרות פתיחה'!$2:$90,88,0),0)</f>
        <v>0</v>
      </c>
      <c r="Q127" s="47">
        <f>+IFERROR(HLOOKUP(Q26,'סקרי נכסים-יתרות פתיחה'!$2:$76,74,0),0)-IFERROR(HLOOKUP(Q26,'סקרי נכסים-יתרות פתיחה'!$2:$90,88,0),0)</f>
        <v>0</v>
      </c>
      <c r="R127" s="47">
        <f>+IFERROR(HLOOKUP(R26,'סקרי נכסים-יתרות פתיחה'!$2:$76,74,0),0)-IFERROR(HLOOKUP(R26,'סקרי נכסים-יתרות פתיחה'!$2:$90,88,0),0)</f>
        <v>0</v>
      </c>
      <c r="S127" s="47">
        <f>+IFERROR(HLOOKUP(S26,'סקרי נכסים-יתרות פתיחה'!$2:$76,74,0),0)-IFERROR(HLOOKUP(S26,'סקרי נכסים-יתרות פתיחה'!$2:$90,88,0),0)</f>
        <v>0</v>
      </c>
      <c r="T127" s="47">
        <f>+IFERROR(HLOOKUP(T26,'סקרי נכסים-יתרות פתיחה'!$2:$76,74,0),0)-IFERROR(HLOOKUP(T26,'סקרי נכסים-יתרות פתיחה'!$2:$90,88,0),0)</f>
        <v>0</v>
      </c>
      <c r="U127" s="47">
        <f>+IFERROR(HLOOKUP(U26,'סקרי נכסים-יתרות פתיחה'!$2:$76,74,0),0)-IFERROR(HLOOKUP(U26,'סקרי נכסים-יתרות פתיחה'!$2:$90,88,0),0)</f>
        <v>0</v>
      </c>
      <c r="V127" s="47">
        <f>+IFERROR(HLOOKUP(V26,'סקרי נכסים-יתרות פתיחה'!$2:$76,74,0),0)-IFERROR(HLOOKUP(V26,'סקרי נכסים-יתרות פתיחה'!$2:$90,88,0),0)</f>
        <v>0</v>
      </c>
      <c r="W127" s="47">
        <f>+IFERROR(HLOOKUP(W26,'סקרי נכסים-יתרות פתיחה'!$2:$76,74,0),0)-IFERROR(HLOOKUP(W26,'סקרי נכסים-יתרות פתיחה'!$2:$90,88,0),0)</f>
        <v>0</v>
      </c>
      <c r="X127" s="47">
        <f>+IFERROR(HLOOKUP(X26,'סקרי נכסים-יתרות פתיחה'!$2:$76,74,0),0)-IFERROR(HLOOKUP(X26,'סקרי נכסים-יתרות פתיחה'!$2:$90,88,0),0)</f>
        <v>0</v>
      </c>
      <c r="Y127" s="47">
        <f>+IFERROR(HLOOKUP(Y26,'סקרי נכסים-יתרות פתיחה'!$2:$76,74,0),0)-IFERROR(HLOOKUP(Y26,'סקרי נכסים-יתרות פתיחה'!$2:$90,88,0),0)</f>
        <v>0</v>
      </c>
      <c r="Z127" s="47">
        <f>+IFERROR(HLOOKUP(Z26,'סקרי נכסים-יתרות פתיחה'!$2:$76,74,0),0)-IFERROR(HLOOKUP(Z26,'סקרי נכסים-יתרות פתיחה'!$2:$90,88,0),0)</f>
        <v>0</v>
      </c>
      <c r="AA127" s="47">
        <f>+IFERROR(HLOOKUP(AA26,'סקרי נכסים-יתרות פתיחה'!$2:$76,74,0),0)-IFERROR(HLOOKUP(AA26,'סקרי נכסים-יתרות פתיחה'!$2:$90,88,0),0)</f>
        <v>0</v>
      </c>
      <c r="AB127" s="47">
        <f>+IFERROR(HLOOKUP(AB26,'סקרי נכסים-יתרות פתיחה'!$2:$76,74,0),0)-IFERROR(HLOOKUP(AB26,'סקרי נכסים-יתרות פתיחה'!$2:$90,88,0),0)</f>
        <v>0</v>
      </c>
      <c r="AC127" s="47">
        <f>+IFERROR(HLOOKUP(AC26,'סקרי נכסים-יתרות פתיחה'!$2:$76,74,0),0)-IFERROR(HLOOKUP(AC26,'סקרי נכסים-יתרות פתיחה'!$2:$90,88,0),0)</f>
        <v>0</v>
      </c>
      <c r="AD127" s="47">
        <f>+IFERROR(HLOOKUP(AD26,'סקרי נכסים-יתרות פתיחה'!$2:$76,74,0),0)-IFERROR(HLOOKUP(AD26,'סקרי נכסים-יתרות פתיחה'!$2:$90,88,0),0)</f>
        <v>0</v>
      </c>
      <c r="AE127" s="47">
        <f>+IFERROR(HLOOKUP(AE26,'סקרי נכסים-יתרות פתיחה'!$2:$76,74,0),0)-IFERROR(HLOOKUP(AE26,'סקרי נכסים-יתרות פתיחה'!$2:$90,88,0),0)</f>
        <v>0</v>
      </c>
      <c r="AF127" s="47">
        <f>+IFERROR(HLOOKUP(AF26,'סקרי נכסים-יתרות פתיחה'!$2:$76,74,0),0)-IFERROR(HLOOKUP(AF26,'סקרי נכסים-יתרות פתיחה'!$2:$90,88,0),0)</f>
        <v>0</v>
      </c>
      <c r="AG127" s="47">
        <f>+IFERROR(HLOOKUP(AG26,'סקרי נכסים-יתרות פתיחה'!$2:$76,74,0),0)-IFERROR(HLOOKUP(AG26,'סקרי נכסים-יתרות פתיחה'!$2:$90,88,0),0)</f>
        <v>0</v>
      </c>
      <c r="AH127" s="47">
        <f>+IFERROR(HLOOKUP(AH26,'סקרי נכסים-יתרות פתיחה'!$2:$76,74,0),0)-IFERROR(HLOOKUP(AH26,'סקרי נכסים-יתרות פתיחה'!$2:$90,88,0),0)</f>
        <v>0</v>
      </c>
      <c r="AI127" s="47">
        <f>+IFERROR(HLOOKUP(AI26,'סקרי נכסים-יתרות פתיחה'!$2:$76,74,0),0)-IFERROR(HLOOKUP(AI26,'סקרי נכסים-יתרות פתיחה'!$2:$90,88,0),0)</f>
        <v>0</v>
      </c>
      <c r="AJ127" s="47">
        <f>+IFERROR(HLOOKUP(AJ26,'סקרי נכסים-יתרות פתיחה'!$2:$76,74,0),0)-IFERROR(HLOOKUP(AJ26,'סקרי נכסים-יתרות פתיחה'!$2:$90,88,0),0)</f>
        <v>0</v>
      </c>
      <c r="AK127" s="47">
        <f>+IFERROR(HLOOKUP(AK26,'סקרי נכסים-יתרות פתיחה'!$2:$76,74,0),0)-IFERROR(HLOOKUP(AK26,'סקרי נכסים-יתרות פתיחה'!$2:$90,88,0),0)</f>
        <v>0</v>
      </c>
      <c r="AL127" s="47">
        <f>+IFERROR(HLOOKUP(AL26,'סקרי נכסים-יתרות פתיחה'!$2:$76,74,0),0)-IFERROR(HLOOKUP(AL26,'סקרי נכסים-יתרות פתיחה'!$2:$90,88,0),0)</f>
        <v>0</v>
      </c>
      <c r="AM127" s="47">
        <f>+IFERROR(HLOOKUP(AM26,'סקרי נכסים-יתרות פתיחה'!$2:$76,74,0),0)-IFERROR(HLOOKUP(AM26,'סקרי נכסים-יתרות פתיחה'!$2:$90,88,0),0)</f>
        <v>0</v>
      </c>
      <c r="AN127" s="47">
        <f>+IFERROR(HLOOKUP(AN26,'סקרי נכסים-יתרות פתיחה'!$2:$76,74,0),0)-IFERROR(HLOOKUP(AN26,'סקרי נכסים-יתרות פתיחה'!$2:$90,88,0),0)</f>
        <v>0</v>
      </c>
      <c r="AO127" s="47">
        <f>+IFERROR(HLOOKUP(AO26,'סקרי נכסים-יתרות פתיחה'!$2:$76,74,0),0)-IFERROR(HLOOKUP(AO26,'סקרי נכסים-יתרות פתיחה'!$2:$90,88,0),0)</f>
        <v>0</v>
      </c>
      <c r="AP127" s="47">
        <f>+IFERROR(HLOOKUP(AP26,'סקרי נכסים-יתרות פתיחה'!$2:$76,74,0),0)-IFERROR(HLOOKUP(AP26,'סקרי נכסים-יתרות פתיחה'!$2:$90,88,0),0)</f>
        <v>0</v>
      </c>
      <c r="AQ127" s="47">
        <f>+IFERROR(HLOOKUP(AQ26,'סקרי נכסים-יתרות פתיחה'!$2:$76,74,0),0)-IFERROR(HLOOKUP(AQ26,'סקרי נכסים-יתרות פתיחה'!$2:$90,88,0),0)</f>
        <v>0</v>
      </c>
      <c r="AR127" s="47">
        <f>+IFERROR(HLOOKUP(AR26,'סקרי נכסים-יתרות פתיחה'!$2:$76,74,0),0)-IFERROR(HLOOKUP(AR26,'סקרי נכסים-יתרות פתיחה'!$2:$90,88,0),0)</f>
        <v>0</v>
      </c>
      <c r="AS127" s="47">
        <f>+IFERROR(HLOOKUP(AS26,'סקרי נכסים-יתרות פתיחה'!$2:$76,74,0),0)-IFERROR(HLOOKUP(AS26,'סקרי נכסים-יתרות פתיחה'!$2:$90,88,0),0)</f>
        <v>0</v>
      </c>
      <c r="AT127" s="47">
        <f>+IFERROR(HLOOKUP(AT26,'סקרי נכסים-יתרות פתיחה'!$2:$76,74,0),0)-IFERROR(HLOOKUP(AT26,'סקרי נכסים-יתרות פתיחה'!$2:$90,88,0),0)</f>
        <v>0</v>
      </c>
      <c r="AU127" s="47">
        <f>+IFERROR(HLOOKUP(AU26,'סקרי נכסים-יתרות פתיחה'!$2:$76,74,0),0)-IFERROR(HLOOKUP(AU26,'סקרי נכסים-יתרות פתיחה'!$2:$90,88,0),0)</f>
        <v>0</v>
      </c>
      <c r="AV127" s="47">
        <f>+IFERROR(HLOOKUP(AV26,'סקרי נכסים-יתרות פתיחה'!$2:$76,74,0),0)-IFERROR(HLOOKUP(AV26,'סקרי נכסים-יתרות פתיחה'!$2:$90,88,0),0)</f>
        <v>0</v>
      </c>
      <c r="AW127" s="47">
        <f>+IFERROR(HLOOKUP(AW26,'סקרי נכסים-יתרות פתיחה'!$2:$76,74,0),0)-IFERROR(HLOOKUP(AW26,'סקרי נכסים-יתרות פתיחה'!$2:$90,88,0),0)</f>
        <v>0</v>
      </c>
      <c r="AX127" s="47">
        <f>+IFERROR(HLOOKUP(AX26,'סקרי נכסים-יתרות פתיחה'!$2:$76,74,0),0)-IFERROR(HLOOKUP(AX26,'סקרי נכסים-יתרות פתיחה'!$2:$90,88,0),0)</f>
        <v>0</v>
      </c>
      <c r="AY127" s="47">
        <f>+IFERROR(HLOOKUP(AY26,'סקרי נכסים-יתרות פתיחה'!$2:$76,74,0),0)-IFERROR(HLOOKUP(AY26,'סקרי נכסים-יתרות פתיחה'!$2:$90,88,0),0)</f>
        <v>0</v>
      </c>
      <c r="AZ127" s="47">
        <f>+IFERROR(HLOOKUP(AZ26,'סקרי נכסים-יתרות פתיחה'!$2:$76,74,0),0)-IFERROR(HLOOKUP(AZ26,'סקרי נכסים-יתרות פתיחה'!$2:$90,88,0),0)</f>
        <v>0</v>
      </c>
      <c r="BA127" s="47">
        <f>+IFERROR(HLOOKUP(BA26,'סקרי נכסים-יתרות פתיחה'!$2:$76,74,0),0)-IFERROR(HLOOKUP(BA26,'סקרי נכסים-יתרות פתיחה'!$2:$90,88,0),0)</f>
        <v>0</v>
      </c>
      <c r="BB127" s="47">
        <f>+IFERROR(HLOOKUP(BB26,'סקרי נכסים-יתרות פתיחה'!$2:$76,74,0),0)-IFERROR(HLOOKUP(BB26,'סקרי נכסים-יתרות פתיחה'!$2:$90,88,0),0)</f>
        <v>0</v>
      </c>
      <c r="BC127" s="47">
        <f>+IFERROR(HLOOKUP(BC26,'סקרי נכסים-יתרות פתיחה'!$2:$76,74,0),0)-IFERROR(HLOOKUP(BC26,'סקרי נכסים-יתרות פתיחה'!$2:$90,88,0),0)</f>
        <v>0</v>
      </c>
      <c r="BD127" s="47">
        <f>+IFERROR(HLOOKUP(BD26,'סקרי נכסים-יתרות פתיחה'!$2:$76,74,0),0)-IFERROR(HLOOKUP(BD26,'סקרי נכסים-יתרות פתיחה'!$2:$90,88,0),0)</f>
        <v>0</v>
      </c>
      <c r="BE127" s="47">
        <f>+IFERROR(HLOOKUP(BE26,'סקרי נכסים-יתרות פתיחה'!$2:$76,74,0),0)-IFERROR(HLOOKUP(BE26,'סקרי נכסים-יתרות פתיחה'!$2:$90,88,0),0)</f>
        <v>0</v>
      </c>
      <c r="BF127" s="47">
        <f>+IFERROR(HLOOKUP(BF26,'סקרי נכסים-יתרות פתיחה'!$2:$76,74,0),0)-IFERROR(HLOOKUP(BF26,'סקרי נכסים-יתרות פתיחה'!$2:$90,88,0),0)</f>
        <v>0</v>
      </c>
    </row>
    <row r="128" spans="2:58" x14ac:dyDescent="0.2">
      <c r="B128" s="1">
        <v>20</v>
      </c>
      <c r="C128" s="47">
        <f>+IFERROR(HLOOKUP(C27,'סקרי נכסים-יתרות פתיחה'!$2:$76,74,0),0)-IFERROR(HLOOKUP(C27,'סקרי נכסים-יתרות פתיחה'!$2:$90,88,0),0)</f>
        <v>0</v>
      </c>
      <c r="D128" s="47">
        <f>+IFERROR(HLOOKUP(D27,'סקרי נכסים-יתרות פתיחה'!$2:$76,74,0),0)-IFERROR(HLOOKUP(D27,'סקרי נכסים-יתרות פתיחה'!$2:$90,88,0),0)</f>
        <v>0</v>
      </c>
      <c r="E128" s="47">
        <f>+IFERROR(HLOOKUP(E27,'סקרי נכסים-יתרות פתיחה'!$2:$76,74,0),0)-IFERROR(HLOOKUP(E27,'סקרי נכסים-יתרות פתיחה'!$2:$90,88,0),0)</f>
        <v>0</v>
      </c>
      <c r="F128" s="47">
        <f>+IFERROR(HLOOKUP(F27,'סקרי נכסים-יתרות פתיחה'!$2:$76,74,0),0)-IFERROR(HLOOKUP(F27,'סקרי נכסים-יתרות פתיחה'!$2:$90,88,0),0)</f>
        <v>0</v>
      </c>
      <c r="G128" s="47">
        <f>+IFERROR(HLOOKUP(G27,'סקרי נכסים-יתרות פתיחה'!$2:$76,74,0),0)-IFERROR(HLOOKUP(G27,'סקרי נכסים-יתרות פתיחה'!$2:$90,88,0),0)</f>
        <v>0</v>
      </c>
      <c r="H128" s="47">
        <f>+IFERROR(HLOOKUP(H27,'סקרי נכסים-יתרות פתיחה'!$2:$76,74,0),0)-IFERROR(HLOOKUP(H27,'סקרי נכסים-יתרות פתיחה'!$2:$90,88,0),0)</f>
        <v>0</v>
      </c>
      <c r="I128" s="47">
        <f>+IFERROR(HLOOKUP(I27,'סקרי נכסים-יתרות פתיחה'!$2:$76,74,0),0)-IFERROR(HLOOKUP(I27,'סקרי נכסים-יתרות פתיחה'!$2:$90,88,0),0)</f>
        <v>0</v>
      </c>
      <c r="J128" s="47">
        <f>+IFERROR(HLOOKUP(J27,'סקרי נכסים-יתרות פתיחה'!$2:$76,74,0),0)-IFERROR(HLOOKUP(J27,'סקרי נכסים-יתרות פתיחה'!$2:$90,88,0),0)</f>
        <v>0</v>
      </c>
      <c r="K128" s="47">
        <f>+IFERROR(HLOOKUP(K27,'סקרי נכסים-יתרות פתיחה'!$2:$76,74,0),0)-IFERROR(HLOOKUP(K27,'סקרי נכסים-יתרות פתיחה'!$2:$90,88,0),0)</f>
        <v>0</v>
      </c>
      <c r="L128" s="47">
        <f>+IFERROR(HLOOKUP(L27,'סקרי נכסים-יתרות פתיחה'!$2:$76,74,0),0)-IFERROR(HLOOKUP(L27,'סקרי נכסים-יתרות פתיחה'!$2:$90,88,0),0)</f>
        <v>0</v>
      </c>
      <c r="M128" s="47">
        <f>+IFERROR(HLOOKUP(M27,'סקרי נכסים-יתרות פתיחה'!$2:$76,74,0),0)-IFERROR(HLOOKUP(M27,'סקרי נכסים-יתרות פתיחה'!$2:$90,88,0),0)</f>
        <v>0</v>
      </c>
      <c r="N128" s="47">
        <f>+IFERROR(HLOOKUP(N27,'סקרי נכסים-יתרות פתיחה'!$2:$76,74,0),0)-IFERROR(HLOOKUP(N27,'סקרי נכסים-יתרות פתיחה'!$2:$90,88,0),0)</f>
        <v>0</v>
      </c>
      <c r="O128" s="47">
        <f>+IFERROR(HLOOKUP(O27,'סקרי נכסים-יתרות פתיחה'!$2:$76,74,0),0)-IFERROR(HLOOKUP(O27,'סקרי נכסים-יתרות פתיחה'!$2:$90,88,0),0)</f>
        <v>0</v>
      </c>
      <c r="P128" s="47">
        <f>+IFERROR(HLOOKUP(P27,'סקרי נכסים-יתרות פתיחה'!$2:$76,74,0),0)-IFERROR(HLOOKUP(P27,'סקרי נכסים-יתרות פתיחה'!$2:$90,88,0),0)</f>
        <v>0</v>
      </c>
      <c r="Q128" s="47">
        <f>+IFERROR(HLOOKUP(Q27,'סקרי נכסים-יתרות פתיחה'!$2:$76,74,0),0)-IFERROR(HLOOKUP(Q27,'סקרי נכסים-יתרות פתיחה'!$2:$90,88,0),0)</f>
        <v>0</v>
      </c>
      <c r="R128" s="47">
        <f>+IFERROR(HLOOKUP(R27,'סקרי נכסים-יתרות פתיחה'!$2:$76,74,0),0)-IFERROR(HLOOKUP(R27,'סקרי נכסים-יתרות פתיחה'!$2:$90,88,0),0)</f>
        <v>0</v>
      </c>
      <c r="S128" s="47">
        <f>+IFERROR(HLOOKUP(S27,'סקרי נכסים-יתרות פתיחה'!$2:$76,74,0),0)-IFERROR(HLOOKUP(S27,'סקרי נכסים-יתרות פתיחה'!$2:$90,88,0),0)</f>
        <v>0</v>
      </c>
      <c r="T128" s="47">
        <f>+IFERROR(HLOOKUP(T27,'סקרי נכסים-יתרות פתיחה'!$2:$76,74,0),0)-IFERROR(HLOOKUP(T27,'סקרי נכסים-יתרות פתיחה'!$2:$90,88,0),0)</f>
        <v>0</v>
      </c>
      <c r="U128" s="47">
        <f>+IFERROR(HLOOKUP(U27,'סקרי נכסים-יתרות פתיחה'!$2:$76,74,0),0)-IFERROR(HLOOKUP(U27,'סקרי נכסים-יתרות פתיחה'!$2:$90,88,0),0)</f>
        <v>0</v>
      </c>
      <c r="V128" s="47">
        <f>+IFERROR(HLOOKUP(V27,'סקרי נכסים-יתרות פתיחה'!$2:$76,74,0),0)-IFERROR(HLOOKUP(V27,'סקרי נכסים-יתרות פתיחה'!$2:$90,88,0),0)</f>
        <v>0</v>
      </c>
      <c r="W128" s="47">
        <f>+IFERROR(HLOOKUP(W27,'סקרי נכסים-יתרות פתיחה'!$2:$76,74,0),0)-IFERROR(HLOOKUP(W27,'סקרי נכסים-יתרות פתיחה'!$2:$90,88,0),0)</f>
        <v>0</v>
      </c>
      <c r="X128" s="47">
        <f>+IFERROR(HLOOKUP(X27,'סקרי נכסים-יתרות פתיחה'!$2:$76,74,0),0)-IFERROR(HLOOKUP(X27,'סקרי נכסים-יתרות פתיחה'!$2:$90,88,0),0)</f>
        <v>0</v>
      </c>
      <c r="Y128" s="47">
        <f>+IFERROR(HLOOKUP(Y27,'סקרי נכסים-יתרות פתיחה'!$2:$76,74,0),0)-IFERROR(HLOOKUP(Y27,'סקרי נכסים-יתרות פתיחה'!$2:$90,88,0),0)</f>
        <v>0</v>
      </c>
      <c r="Z128" s="47">
        <f>+IFERROR(HLOOKUP(Z27,'סקרי נכסים-יתרות פתיחה'!$2:$76,74,0),0)-IFERROR(HLOOKUP(Z27,'סקרי נכסים-יתרות פתיחה'!$2:$90,88,0),0)</f>
        <v>0</v>
      </c>
      <c r="AA128" s="47">
        <f>+IFERROR(HLOOKUP(AA27,'סקרי נכסים-יתרות פתיחה'!$2:$76,74,0),0)-IFERROR(HLOOKUP(AA27,'סקרי נכסים-יתרות פתיחה'!$2:$90,88,0),0)</f>
        <v>0</v>
      </c>
      <c r="AB128" s="47">
        <f>+IFERROR(HLOOKUP(AB27,'סקרי נכסים-יתרות פתיחה'!$2:$76,74,0),0)-IFERROR(HLOOKUP(AB27,'סקרי נכסים-יתרות פתיחה'!$2:$90,88,0),0)</f>
        <v>0</v>
      </c>
      <c r="AC128" s="47">
        <f>+IFERROR(HLOOKUP(AC27,'סקרי נכסים-יתרות פתיחה'!$2:$76,74,0),0)-IFERROR(HLOOKUP(AC27,'סקרי נכסים-יתרות פתיחה'!$2:$90,88,0),0)</f>
        <v>0</v>
      </c>
      <c r="AD128" s="47">
        <f>+IFERROR(HLOOKUP(AD27,'סקרי נכסים-יתרות פתיחה'!$2:$76,74,0),0)-IFERROR(HLOOKUP(AD27,'סקרי נכסים-יתרות פתיחה'!$2:$90,88,0),0)</f>
        <v>0</v>
      </c>
      <c r="AE128" s="47">
        <f>+IFERROR(HLOOKUP(AE27,'סקרי נכסים-יתרות פתיחה'!$2:$76,74,0),0)-IFERROR(HLOOKUP(AE27,'סקרי נכסים-יתרות פתיחה'!$2:$90,88,0),0)</f>
        <v>0</v>
      </c>
      <c r="AF128" s="47">
        <f>+IFERROR(HLOOKUP(AF27,'סקרי נכסים-יתרות פתיחה'!$2:$76,74,0),0)-IFERROR(HLOOKUP(AF27,'סקרי נכסים-יתרות פתיחה'!$2:$90,88,0),0)</f>
        <v>0</v>
      </c>
      <c r="AG128" s="47">
        <f>+IFERROR(HLOOKUP(AG27,'סקרי נכסים-יתרות פתיחה'!$2:$76,74,0),0)-IFERROR(HLOOKUP(AG27,'סקרי נכסים-יתרות פתיחה'!$2:$90,88,0),0)</f>
        <v>0</v>
      </c>
      <c r="AH128" s="47">
        <f>+IFERROR(HLOOKUP(AH27,'סקרי נכסים-יתרות פתיחה'!$2:$76,74,0),0)-IFERROR(HLOOKUP(AH27,'סקרי נכסים-יתרות פתיחה'!$2:$90,88,0),0)</f>
        <v>0</v>
      </c>
      <c r="AI128" s="47">
        <f>+IFERROR(HLOOKUP(AI27,'סקרי נכסים-יתרות פתיחה'!$2:$76,74,0),0)-IFERROR(HLOOKUP(AI27,'סקרי נכסים-יתרות פתיחה'!$2:$90,88,0),0)</f>
        <v>0</v>
      </c>
      <c r="AJ128" s="47">
        <f>+IFERROR(HLOOKUP(AJ27,'סקרי נכסים-יתרות פתיחה'!$2:$76,74,0),0)-IFERROR(HLOOKUP(AJ27,'סקרי נכסים-יתרות פתיחה'!$2:$90,88,0),0)</f>
        <v>0</v>
      </c>
      <c r="AK128" s="47">
        <f>+IFERROR(HLOOKUP(AK27,'סקרי נכסים-יתרות פתיחה'!$2:$76,74,0),0)-IFERROR(HLOOKUP(AK27,'סקרי נכסים-יתרות פתיחה'!$2:$90,88,0),0)</f>
        <v>0</v>
      </c>
      <c r="AL128" s="47">
        <f>+IFERROR(HLOOKUP(AL27,'סקרי נכסים-יתרות פתיחה'!$2:$76,74,0),0)-IFERROR(HLOOKUP(AL27,'סקרי נכסים-יתרות פתיחה'!$2:$90,88,0),0)</f>
        <v>0</v>
      </c>
      <c r="AM128" s="47">
        <f>+IFERROR(HLOOKUP(AM27,'סקרי נכסים-יתרות פתיחה'!$2:$76,74,0),0)-IFERROR(HLOOKUP(AM27,'סקרי נכסים-יתרות פתיחה'!$2:$90,88,0),0)</f>
        <v>0</v>
      </c>
      <c r="AN128" s="47">
        <f>+IFERROR(HLOOKUP(AN27,'סקרי נכסים-יתרות פתיחה'!$2:$76,74,0),0)-IFERROR(HLOOKUP(AN27,'סקרי נכסים-יתרות פתיחה'!$2:$90,88,0),0)</f>
        <v>0</v>
      </c>
      <c r="AO128" s="47">
        <f>+IFERROR(HLOOKUP(AO27,'סקרי נכסים-יתרות פתיחה'!$2:$76,74,0),0)-IFERROR(HLOOKUP(AO27,'סקרי נכסים-יתרות פתיחה'!$2:$90,88,0),0)</f>
        <v>0</v>
      </c>
      <c r="AP128" s="47">
        <f>+IFERROR(HLOOKUP(AP27,'סקרי נכסים-יתרות פתיחה'!$2:$76,74,0),0)-IFERROR(HLOOKUP(AP27,'סקרי נכסים-יתרות פתיחה'!$2:$90,88,0),0)</f>
        <v>0</v>
      </c>
      <c r="AQ128" s="47">
        <f>+IFERROR(HLOOKUP(AQ27,'סקרי נכסים-יתרות פתיחה'!$2:$76,74,0),0)-IFERROR(HLOOKUP(AQ27,'סקרי נכסים-יתרות פתיחה'!$2:$90,88,0),0)</f>
        <v>0</v>
      </c>
      <c r="AR128" s="47">
        <f>+IFERROR(HLOOKUP(AR27,'סקרי נכסים-יתרות פתיחה'!$2:$76,74,0),0)-IFERROR(HLOOKUP(AR27,'סקרי נכסים-יתרות פתיחה'!$2:$90,88,0),0)</f>
        <v>0</v>
      </c>
      <c r="AS128" s="47">
        <f>+IFERROR(HLOOKUP(AS27,'סקרי נכסים-יתרות פתיחה'!$2:$76,74,0),0)-IFERROR(HLOOKUP(AS27,'סקרי נכסים-יתרות פתיחה'!$2:$90,88,0),0)</f>
        <v>0</v>
      </c>
      <c r="AT128" s="47">
        <f>+IFERROR(HLOOKUP(AT27,'סקרי נכסים-יתרות פתיחה'!$2:$76,74,0),0)-IFERROR(HLOOKUP(AT27,'סקרי נכסים-יתרות פתיחה'!$2:$90,88,0),0)</f>
        <v>0</v>
      </c>
      <c r="AU128" s="47">
        <f>+IFERROR(HLOOKUP(AU27,'סקרי נכסים-יתרות פתיחה'!$2:$76,74,0),0)-IFERROR(HLOOKUP(AU27,'סקרי נכסים-יתרות פתיחה'!$2:$90,88,0),0)</f>
        <v>0</v>
      </c>
      <c r="AV128" s="47">
        <f>+IFERROR(HLOOKUP(AV27,'סקרי נכסים-יתרות פתיחה'!$2:$76,74,0),0)-IFERROR(HLOOKUP(AV27,'סקרי נכסים-יתרות פתיחה'!$2:$90,88,0),0)</f>
        <v>0</v>
      </c>
      <c r="AW128" s="47">
        <f>+IFERROR(HLOOKUP(AW27,'סקרי נכסים-יתרות פתיחה'!$2:$76,74,0),0)-IFERROR(HLOOKUP(AW27,'סקרי נכסים-יתרות פתיחה'!$2:$90,88,0),0)</f>
        <v>0</v>
      </c>
      <c r="AX128" s="47">
        <f>+IFERROR(HLOOKUP(AX27,'סקרי נכסים-יתרות פתיחה'!$2:$76,74,0),0)-IFERROR(HLOOKUP(AX27,'סקרי נכסים-יתרות פתיחה'!$2:$90,88,0),0)</f>
        <v>0</v>
      </c>
      <c r="AY128" s="47">
        <f>+IFERROR(HLOOKUP(AY27,'סקרי נכסים-יתרות פתיחה'!$2:$76,74,0),0)-IFERROR(HLOOKUP(AY27,'סקרי נכסים-יתרות פתיחה'!$2:$90,88,0),0)</f>
        <v>0</v>
      </c>
      <c r="AZ128" s="47">
        <f>+IFERROR(HLOOKUP(AZ27,'סקרי נכסים-יתרות פתיחה'!$2:$76,74,0),0)-IFERROR(HLOOKUP(AZ27,'סקרי נכסים-יתרות פתיחה'!$2:$90,88,0),0)</f>
        <v>0</v>
      </c>
      <c r="BA128" s="47">
        <f>+IFERROR(HLOOKUP(BA27,'סקרי נכסים-יתרות פתיחה'!$2:$76,74,0),0)-IFERROR(HLOOKUP(BA27,'סקרי נכסים-יתרות פתיחה'!$2:$90,88,0),0)</f>
        <v>0</v>
      </c>
      <c r="BB128" s="47">
        <f>+IFERROR(HLOOKUP(BB27,'סקרי נכסים-יתרות פתיחה'!$2:$76,74,0),0)-IFERROR(HLOOKUP(BB27,'סקרי נכסים-יתרות פתיחה'!$2:$90,88,0),0)</f>
        <v>0</v>
      </c>
      <c r="BC128" s="47">
        <f>+IFERROR(HLOOKUP(BC27,'סקרי נכסים-יתרות פתיחה'!$2:$76,74,0),0)-IFERROR(HLOOKUP(BC27,'סקרי נכסים-יתרות פתיחה'!$2:$90,88,0),0)</f>
        <v>0</v>
      </c>
      <c r="BD128" s="47">
        <f>+IFERROR(HLOOKUP(BD27,'סקרי נכסים-יתרות פתיחה'!$2:$76,74,0),0)-IFERROR(HLOOKUP(BD27,'סקרי נכסים-יתרות פתיחה'!$2:$90,88,0),0)</f>
        <v>0</v>
      </c>
      <c r="BE128" s="47">
        <f>+IFERROR(HLOOKUP(BE27,'סקרי נכסים-יתרות פתיחה'!$2:$76,74,0),0)-IFERROR(HLOOKUP(BE27,'סקרי נכסים-יתרות פתיחה'!$2:$90,88,0),0)</f>
        <v>0</v>
      </c>
      <c r="BF128" s="47">
        <f>+IFERROR(HLOOKUP(BF27,'סקרי נכסים-יתרות פתיחה'!$2:$76,74,0),0)-IFERROR(HLOOKUP(BF27,'סקרי נכסים-יתרות פתיחה'!$2:$90,88,0),0)</f>
        <v>0</v>
      </c>
    </row>
    <row r="129" spans="1:58" x14ac:dyDescent="0.2">
      <c r="B129" s="1">
        <v>21</v>
      </c>
      <c r="C129" s="47">
        <f>+IFERROR(HLOOKUP(C28,'סקרי נכסים-יתרות פתיחה'!$2:$76,74,0),0)-IFERROR(HLOOKUP(C28,'סקרי נכסים-יתרות פתיחה'!$2:$90,88,0),0)</f>
        <v>0</v>
      </c>
      <c r="D129" s="47">
        <f>+IFERROR(HLOOKUP(D28,'סקרי נכסים-יתרות פתיחה'!$2:$76,74,0),0)-IFERROR(HLOOKUP(D28,'סקרי נכסים-יתרות פתיחה'!$2:$90,88,0),0)</f>
        <v>0</v>
      </c>
      <c r="E129" s="47">
        <f>+IFERROR(HLOOKUP(E28,'סקרי נכסים-יתרות פתיחה'!$2:$76,74,0),0)-IFERROR(HLOOKUP(E28,'סקרי נכסים-יתרות פתיחה'!$2:$90,88,0),0)</f>
        <v>0</v>
      </c>
      <c r="F129" s="47">
        <f>+IFERROR(HLOOKUP(F28,'סקרי נכסים-יתרות פתיחה'!$2:$76,74,0),0)-IFERROR(HLOOKUP(F28,'סקרי נכסים-יתרות פתיחה'!$2:$90,88,0),0)</f>
        <v>0</v>
      </c>
      <c r="G129" s="47">
        <f>+IFERROR(HLOOKUP(G28,'סקרי נכסים-יתרות פתיחה'!$2:$76,74,0),0)-IFERROR(HLOOKUP(G28,'סקרי נכסים-יתרות פתיחה'!$2:$90,88,0),0)</f>
        <v>0</v>
      </c>
      <c r="H129" s="47">
        <f>+IFERROR(HLOOKUP(H28,'סקרי נכסים-יתרות פתיחה'!$2:$76,74,0),0)-IFERROR(HLOOKUP(H28,'סקרי נכסים-יתרות פתיחה'!$2:$90,88,0),0)</f>
        <v>0</v>
      </c>
      <c r="I129" s="47">
        <f>+IFERROR(HLOOKUP(I28,'סקרי נכסים-יתרות פתיחה'!$2:$76,74,0),0)-IFERROR(HLOOKUP(I28,'סקרי נכסים-יתרות פתיחה'!$2:$90,88,0),0)</f>
        <v>0</v>
      </c>
      <c r="J129" s="47">
        <f>+IFERROR(HLOOKUP(J28,'סקרי נכסים-יתרות פתיחה'!$2:$76,74,0),0)-IFERROR(HLOOKUP(J28,'סקרי נכסים-יתרות פתיחה'!$2:$90,88,0),0)</f>
        <v>0</v>
      </c>
      <c r="K129" s="47">
        <f>+IFERROR(HLOOKUP(K28,'סקרי נכסים-יתרות פתיחה'!$2:$76,74,0),0)-IFERROR(HLOOKUP(K28,'סקרי נכסים-יתרות פתיחה'!$2:$90,88,0),0)</f>
        <v>0</v>
      </c>
      <c r="L129" s="47">
        <f>+IFERROR(HLOOKUP(L28,'סקרי נכסים-יתרות פתיחה'!$2:$76,74,0),0)-IFERROR(HLOOKUP(L28,'סקרי נכסים-יתרות פתיחה'!$2:$90,88,0),0)</f>
        <v>0</v>
      </c>
      <c r="M129" s="47">
        <f>+IFERROR(HLOOKUP(M28,'סקרי נכסים-יתרות פתיחה'!$2:$76,74,0),0)-IFERROR(HLOOKUP(M28,'סקרי נכסים-יתרות פתיחה'!$2:$90,88,0),0)</f>
        <v>0</v>
      </c>
      <c r="N129" s="47">
        <f>+IFERROR(HLOOKUP(N28,'סקרי נכסים-יתרות פתיחה'!$2:$76,74,0),0)-IFERROR(HLOOKUP(N28,'סקרי נכסים-יתרות פתיחה'!$2:$90,88,0),0)</f>
        <v>0</v>
      </c>
      <c r="O129" s="47">
        <f>+IFERROR(HLOOKUP(O28,'סקרי נכסים-יתרות פתיחה'!$2:$76,74,0),0)-IFERROR(HLOOKUP(O28,'סקרי נכסים-יתרות פתיחה'!$2:$90,88,0),0)</f>
        <v>0</v>
      </c>
      <c r="P129" s="47">
        <f>+IFERROR(HLOOKUP(P28,'סקרי נכסים-יתרות פתיחה'!$2:$76,74,0),0)-IFERROR(HLOOKUP(P28,'סקרי נכסים-יתרות פתיחה'!$2:$90,88,0),0)</f>
        <v>0</v>
      </c>
      <c r="Q129" s="47">
        <f>+IFERROR(HLOOKUP(Q28,'סקרי נכסים-יתרות פתיחה'!$2:$76,74,0),0)-IFERROR(HLOOKUP(Q28,'סקרי נכסים-יתרות פתיחה'!$2:$90,88,0),0)</f>
        <v>0</v>
      </c>
      <c r="R129" s="47">
        <f>+IFERROR(HLOOKUP(R28,'סקרי נכסים-יתרות פתיחה'!$2:$76,74,0),0)-IFERROR(HLOOKUP(R28,'סקרי נכסים-יתרות פתיחה'!$2:$90,88,0),0)</f>
        <v>0</v>
      </c>
      <c r="S129" s="47">
        <f>+IFERROR(HLOOKUP(S28,'סקרי נכסים-יתרות פתיחה'!$2:$76,74,0),0)-IFERROR(HLOOKUP(S28,'סקרי נכסים-יתרות פתיחה'!$2:$90,88,0),0)</f>
        <v>0</v>
      </c>
      <c r="T129" s="47">
        <f>+IFERROR(HLOOKUP(T28,'סקרי נכסים-יתרות פתיחה'!$2:$76,74,0),0)-IFERROR(HLOOKUP(T28,'סקרי נכסים-יתרות פתיחה'!$2:$90,88,0),0)</f>
        <v>0</v>
      </c>
      <c r="U129" s="47">
        <f>+IFERROR(HLOOKUP(U28,'סקרי נכסים-יתרות פתיחה'!$2:$76,74,0),0)-IFERROR(HLOOKUP(U28,'סקרי נכסים-יתרות פתיחה'!$2:$90,88,0),0)</f>
        <v>0</v>
      </c>
      <c r="V129" s="47">
        <f>+IFERROR(HLOOKUP(V28,'סקרי נכסים-יתרות פתיחה'!$2:$76,74,0),0)-IFERROR(HLOOKUP(V28,'סקרי נכסים-יתרות פתיחה'!$2:$90,88,0),0)</f>
        <v>0</v>
      </c>
      <c r="W129" s="47">
        <f>+IFERROR(HLOOKUP(W28,'סקרי נכסים-יתרות פתיחה'!$2:$76,74,0),0)-IFERROR(HLOOKUP(W28,'סקרי נכסים-יתרות פתיחה'!$2:$90,88,0),0)</f>
        <v>0</v>
      </c>
      <c r="X129" s="47">
        <f>+IFERROR(HLOOKUP(X28,'סקרי נכסים-יתרות פתיחה'!$2:$76,74,0),0)-IFERROR(HLOOKUP(X28,'סקרי נכסים-יתרות פתיחה'!$2:$90,88,0),0)</f>
        <v>0</v>
      </c>
      <c r="Y129" s="47">
        <f>+IFERROR(HLOOKUP(Y28,'סקרי נכסים-יתרות פתיחה'!$2:$76,74,0),0)-IFERROR(HLOOKUP(Y28,'סקרי נכסים-יתרות פתיחה'!$2:$90,88,0),0)</f>
        <v>0</v>
      </c>
      <c r="Z129" s="47">
        <f>+IFERROR(HLOOKUP(Z28,'סקרי נכסים-יתרות פתיחה'!$2:$76,74,0),0)-IFERROR(HLOOKUP(Z28,'סקרי נכסים-יתרות פתיחה'!$2:$90,88,0),0)</f>
        <v>0</v>
      </c>
      <c r="AA129" s="47">
        <f>+IFERROR(HLOOKUP(AA28,'סקרי נכסים-יתרות פתיחה'!$2:$76,74,0),0)-IFERROR(HLOOKUP(AA28,'סקרי נכסים-יתרות פתיחה'!$2:$90,88,0),0)</f>
        <v>0</v>
      </c>
      <c r="AB129" s="47">
        <f>+IFERROR(HLOOKUP(AB28,'סקרי נכסים-יתרות פתיחה'!$2:$76,74,0),0)-IFERROR(HLOOKUP(AB28,'סקרי נכסים-יתרות פתיחה'!$2:$90,88,0),0)</f>
        <v>0</v>
      </c>
      <c r="AC129" s="47">
        <f>+IFERROR(HLOOKUP(AC28,'סקרי נכסים-יתרות פתיחה'!$2:$76,74,0),0)-IFERROR(HLOOKUP(AC28,'סקרי נכסים-יתרות פתיחה'!$2:$90,88,0),0)</f>
        <v>0</v>
      </c>
      <c r="AD129" s="47">
        <f>+IFERROR(HLOOKUP(AD28,'סקרי נכסים-יתרות פתיחה'!$2:$76,74,0),0)-IFERROR(HLOOKUP(AD28,'סקרי נכסים-יתרות פתיחה'!$2:$90,88,0),0)</f>
        <v>0</v>
      </c>
      <c r="AE129" s="47">
        <f>+IFERROR(HLOOKUP(AE28,'סקרי נכסים-יתרות פתיחה'!$2:$76,74,0),0)-IFERROR(HLOOKUP(AE28,'סקרי נכסים-יתרות פתיחה'!$2:$90,88,0),0)</f>
        <v>0</v>
      </c>
      <c r="AF129" s="47">
        <f>+IFERROR(HLOOKUP(AF28,'סקרי נכסים-יתרות פתיחה'!$2:$76,74,0),0)-IFERROR(HLOOKUP(AF28,'סקרי נכסים-יתרות פתיחה'!$2:$90,88,0),0)</f>
        <v>0</v>
      </c>
      <c r="AG129" s="47">
        <f>+IFERROR(HLOOKUP(AG28,'סקרי נכסים-יתרות פתיחה'!$2:$76,74,0),0)-IFERROR(HLOOKUP(AG28,'סקרי נכסים-יתרות פתיחה'!$2:$90,88,0),0)</f>
        <v>0</v>
      </c>
      <c r="AH129" s="47">
        <f>+IFERROR(HLOOKUP(AH28,'סקרי נכסים-יתרות פתיחה'!$2:$76,74,0),0)-IFERROR(HLOOKUP(AH28,'סקרי נכסים-יתרות פתיחה'!$2:$90,88,0),0)</f>
        <v>0</v>
      </c>
      <c r="AI129" s="47">
        <f>+IFERROR(HLOOKUP(AI28,'סקרי נכסים-יתרות פתיחה'!$2:$76,74,0),0)-IFERROR(HLOOKUP(AI28,'סקרי נכסים-יתרות פתיחה'!$2:$90,88,0),0)</f>
        <v>0</v>
      </c>
      <c r="AJ129" s="47">
        <f>+IFERROR(HLOOKUP(AJ28,'סקרי נכסים-יתרות פתיחה'!$2:$76,74,0),0)-IFERROR(HLOOKUP(AJ28,'סקרי נכסים-יתרות פתיחה'!$2:$90,88,0),0)</f>
        <v>0</v>
      </c>
      <c r="AK129" s="47">
        <f>+IFERROR(HLOOKUP(AK28,'סקרי נכסים-יתרות פתיחה'!$2:$76,74,0),0)-IFERROR(HLOOKUP(AK28,'סקרי נכסים-יתרות פתיחה'!$2:$90,88,0),0)</f>
        <v>0</v>
      </c>
      <c r="AL129" s="47">
        <f>+IFERROR(HLOOKUP(AL28,'סקרי נכסים-יתרות פתיחה'!$2:$76,74,0),0)-IFERROR(HLOOKUP(AL28,'סקרי נכסים-יתרות פתיחה'!$2:$90,88,0),0)</f>
        <v>0</v>
      </c>
      <c r="AM129" s="47">
        <f>+IFERROR(HLOOKUP(AM28,'סקרי נכסים-יתרות פתיחה'!$2:$76,74,0),0)-IFERROR(HLOOKUP(AM28,'סקרי נכסים-יתרות פתיחה'!$2:$90,88,0),0)</f>
        <v>0</v>
      </c>
      <c r="AN129" s="47">
        <f>+IFERROR(HLOOKUP(AN28,'סקרי נכסים-יתרות פתיחה'!$2:$76,74,0),0)-IFERROR(HLOOKUP(AN28,'סקרי נכסים-יתרות פתיחה'!$2:$90,88,0),0)</f>
        <v>0</v>
      </c>
      <c r="AO129" s="47">
        <f>+IFERROR(HLOOKUP(AO28,'סקרי נכסים-יתרות פתיחה'!$2:$76,74,0),0)-IFERROR(HLOOKUP(AO28,'סקרי נכסים-יתרות פתיחה'!$2:$90,88,0),0)</f>
        <v>0</v>
      </c>
      <c r="AP129" s="47">
        <f>+IFERROR(HLOOKUP(AP28,'סקרי נכסים-יתרות פתיחה'!$2:$76,74,0),0)-IFERROR(HLOOKUP(AP28,'סקרי נכסים-יתרות פתיחה'!$2:$90,88,0),0)</f>
        <v>0</v>
      </c>
      <c r="AQ129" s="47">
        <f>+IFERROR(HLOOKUP(AQ28,'סקרי נכסים-יתרות פתיחה'!$2:$76,74,0),0)-IFERROR(HLOOKUP(AQ28,'סקרי נכסים-יתרות פתיחה'!$2:$90,88,0),0)</f>
        <v>0</v>
      </c>
      <c r="AR129" s="47">
        <f>+IFERROR(HLOOKUP(AR28,'סקרי נכסים-יתרות פתיחה'!$2:$76,74,0),0)-IFERROR(HLOOKUP(AR28,'סקרי נכסים-יתרות פתיחה'!$2:$90,88,0),0)</f>
        <v>0</v>
      </c>
      <c r="AS129" s="47">
        <f>+IFERROR(HLOOKUP(AS28,'סקרי נכסים-יתרות פתיחה'!$2:$76,74,0),0)-IFERROR(HLOOKUP(AS28,'סקרי נכסים-יתרות פתיחה'!$2:$90,88,0),0)</f>
        <v>0</v>
      </c>
      <c r="AT129" s="47">
        <f>+IFERROR(HLOOKUP(AT28,'סקרי נכסים-יתרות פתיחה'!$2:$76,74,0),0)-IFERROR(HLOOKUP(AT28,'סקרי נכסים-יתרות פתיחה'!$2:$90,88,0),0)</f>
        <v>0</v>
      </c>
      <c r="AU129" s="47">
        <f>+IFERROR(HLOOKUP(AU28,'סקרי נכסים-יתרות פתיחה'!$2:$76,74,0),0)-IFERROR(HLOOKUP(AU28,'סקרי נכסים-יתרות פתיחה'!$2:$90,88,0),0)</f>
        <v>0</v>
      </c>
      <c r="AV129" s="47">
        <f>+IFERROR(HLOOKUP(AV28,'סקרי נכסים-יתרות פתיחה'!$2:$76,74,0),0)-IFERROR(HLOOKUP(AV28,'סקרי נכסים-יתרות פתיחה'!$2:$90,88,0),0)</f>
        <v>0</v>
      </c>
      <c r="AW129" s="47">
        <f>+IFERROR(HLOOKUP(AW28,'סקרי נכסים-יתרות פתיחה'!$2:$76,74,0),0)-IFERROR(HLOOKUP(AW28,'סקרי נכסים-יתרות פתיחה'!$2:$90,88,0),0)</f>
        <v>0</v>
      </c>
      <c r="AX129" s="47">
        <f>+IFERROR(HLOOKUP(AX28,'סקרי נכסים-יתרות פתיחה'!$2:$76,74,0),0)-IFERROR(HLOOKUP(AX28,'סקרי נכסים-יתרות פתיחה'!$2:$90,88,0),0)</f>
        <v>0</v>
      </c>
      <c r="AY129" s="47">
        <f>+IFERROR(HLOOKUP(AY28,'סקרי נכסים-יתרות פתיחה'!$2:$76,74,0),0)-IFERROR(HLOOKUP(AY28,'סקרי נכסים-יתרות פתיחה'!$2:$90,88,0),0)</f>
        <v>0</v>
      </c>
      <c r="AZ129" s="47">
        <f>+IFERROR(HLOOKUP(AZ28,'סקרי נכסים-יתרות פתיחה'!$2:$76,74,0),0)-IFERROR(HLOOKUP(AZ28,'סקרי נכסים-יתרות פתיחה'!$2:$90,88,0),0)</f>
        <v>0</v>
      </c>
      <c r="BA129" s="47">
        <f>+IFERROR(HLOOKUP(BA28,'סקרי נכסים-יתרות פתיחה'!$2:$76,74,0),0)-IFERROR(HLOOKUP(BA28,'סקרי נכסים-יתרות פתיחה'!$2:$90,88,0),0)</f>
        <v>0</v>
      </c>
      <c r="BB129" s="47">
        <f>+IFERROR(HLOOKUP(BB28,'סקרי נכסים-יתרות פתיחה'!$2:$76,74,0),0)-IFERROR(HLOOKUP(BB28,'סקרי נכסים-יתרות פתיחה'!$2:$90,88,0),0)</f>
        <v>0</v>
      </c>
      <c r="BC129" s="47">
        <f>+IFERROR(HLOOKUP(BC28,'סקרי נכסים-יתרות פתיחה'!$2:$76,74,0),0)-IFERROR(HLOOKUP(BC28,'סקרי נכסים-יתרות פתיחה'!$2:$90,88,0),0)</f>
        <v>0</v>
      </c>
      <c r="BD129" s="47">
        <f>+IFERROR(HLOOKUP(BD28,'סקרי נכסים-יתרות פתיחה'!$2:$76,74,0),0)-IFERROR(HLOOKUP(BD28,'סקרי נכסים-יתרות פתיחה'!$2:$90,88,0),0)</f>
        <v>0</v>
      </c>
      <c r="BE129" s="47">
        <f>+IFERROR(HLOOKUP(BE28,'סקרי נכסים-יתרות פתיחה'!$2:$76,74,0),0)-IFERROR(HLOOKUP(BE28,'סקרי נכסים-יתרות פתיחה'!$2:$90,88,0),0)</f>
        <v>0</v>
      </c>
      <c r="BF129" s="47">
        <f>+IFERROR(HLOOKUP(BF28,'סקרי נכסים-יתרות פתיחה'!$2:$76,74,0),0)-IFERROR(HLOOKUP(BF28,'סקרי נכסים-יתרות פתיחה'!$2:$90,88,0),0)</f>
        <v>0</v>
      </c>
    </row>
    <row r="130" spans="1:58" x14ac:dyDescent="0.2">
      <c r="B130" s="1">
        <v>22</v>
      </c>
      <c r="C130" s="47">
        <f>+IFERROR(HLOOKUP(C29,'סקרי נכסים-יתרות פתיחה'!$2:$76,74,0),0)-IFERROR(HLOOKUP(C29,'סקרי נכסים-יתרות פתיחה'!$2:$90,88,0),0)</f>
        <v>0</v>
      </c>
      <c r="D130" s="47">
        <f>+IFERROR(HLOOKUP(D29,'סקרי נכסים-יתרות פתיחה'!$2:$76,74,0),0)-IFERROR(HLOOKUP(D29,'סקרי נכסים-יתרות פתיחה'!$2:$90,88,0),0)</f>
        <v>0</v>
      </c>
      <c r="E130" s="47">
        <f>+IFERROR(HLOOKUP(E29,'סקרי נכסים-יתרות פתיחה'!$2:$76,74,0),0)-IFERROR(HLOOKUP(E29,'סקרי נכסים-יתרות פתיחה'!$2:$90,88,0),0)</f>
        <v>0</v>
      </c>
      <c r="F130" s="47">
        <f>+IFERROR(HLOOKUP(F29,'סקרי נכסים-יתרות פתיחה'!$2:$76,74,0),0)-IFERROR(HLOOKUP(F29,'סקרי נכסים-יתרות פתיחה'!$2:$90,88,0),0)</f>
        <v>0</v>
      </c>
      <c r="G130" s="47">
        <f>+IFERROR(HLOOKUP(G29,'סקרי נכסים-יתרות פתיחה'!$2:$76,74,0),0)-IFERROR(HLOOKUP(G29,'סקרי נכסים-יתרות פתיחה'!$2:$90,88,0),0)</f>
        <v>0</v>
      </c>
      <c r="H130" s="47">
        <f>+IFERROR(HLOOKUP(H29,'סקרי נכסים-יתרות פתיחה'!$2:$76,74,0),0)-IFERROR(HLOOKUP(H29,'סקרי נכסים-יתרות פתיחה'!$2:$90,88,0),0)</f>
        <v>0</v>
      </c>
      <c r="I130" s="47">
        <f>+IFERROR(HLOOKUP(I29,'סקרי נכסים-יתרות פתיחה'!$2:$76,74,0),0)-IFERROR(HLOOKUP(I29,'סקרי נכסים-יתרות פתיחה'!$2:$90,88,0),0)</f>
        <v>0</v>
      </c>
      <c r="J130" s="47">
        <f>+IFERROR(HLOOKUP(J29,'סקרי נכסים-יתרות פתיחה'!$2:$76,74,0),0)-IFERROR(HLOOKUP(J29,'סקרי נכסים-יתרות פתיחה'!$2:$90,88,0),0)</f>
        <v>0</v>
      </c>
      <c r="K130" s="47">
        <f>+IFERROR(HLOOKUP(K29,'סקרי נכסים-יתרות פתיחה'!$2:$76,74,0),0)-IFERROR(HLOOKUP(K29,'סקרי נכסים-יתרות פתיחה'!$2:$90,88,0),0)</f>
        <v>0</v>
      </c>
      <c r="L130" s="47">
        <f>+IFERROR(HLOOKUP(L29,'סקרי נכסים-יתרות פתיחה'!$2:$76,74,0),0)-IFERROR(HLOOKUP(L29,'סקרי נכסים-יתרות פתיחה'!$2:$90,88,0),0)</f>
        <v>0</v>
      </c>
      <c r="M130" s="47">
        <f>+IFERROR(HLOOKUP(M29,'סקרי נכסים-יתרות פתיחה'!$2:$76,74,0),0)-IFERROR(HLOOKUP(M29,'סקרי נכסים-יתרות פתיחה'!$2:$90,88,0),0)</f>
        <v>0</v>
      </c>
      <c r="N130" s="47">
        <f>+IFERROR(HLOOKUP(N29,'סקרי נכסים-יתרות פתיחה'!$2:$76,74,0),0)-IFERROR(HLOOKUP(N29,'סקרי נכסים-יתרות פתיחה'!$2:$90,88,0),0)</f>
        <v>0</v>
      </c>
      <c r="O130" s="47">
        <f>+IFERROR(HLOOKUP(O29,'סקרי נכסים-יתרות פתיחה'!$2:$76,74,0),0)-IFERROR(HLOOKUP(O29,'סקרי נכסים-יתרות פתיחה'!$2:$90,88,0),0)</f>
        <v>0</v>
      </c>
      <c r="P130" s="47">
        <f>+IFERROR(HLOOKUP(P29,'סקרי נכסים-יתרות פתיחה'!$2:$76,74,0),0)-IFERROR(HLOOKUP(P29,'סקרי נכסים-יתרות פתיחה'!$2:$90,88,0),0)</f>
        <v>0</v>
      </c>
      <c r="Q130" s="47">
        <f>+IFERROR(HLOOKUP(Q29,'סקרי נכסים-יתרות פתיחה'!$2:$76,74,0),0)-IFERROR(HLOOKUP(Q29,'סקרי נכסים-יתרות פתיחה'!$2:$90,88,0),0)</f>
        <v>0</v>
      </c>
      <c r="R130" s="47">
        <f>+IFERROR(HLOOKUP(R29,'סקרי נכסים-יתרות פתיחה'!$2:$76,74,0),0)-IFERROR(HLOOKUP(R29,'סקרי נכסים-יתרות פתיחה'!$2:$90,88,0),0)</f>
        <v>0</v>
      </c>
      <c r="S130" s="47">
        <f>+IFERROR(HLOOKUP(S29,'סקרי נכסים-יתרות פתיחה'!$2:$76,74,0),0)-IFERROR(HLOOKUP(S29,'סקרי נכסים-יתרות פתיחה'!$2:$90,88,0),0)</f>
        <v>0</v>
      </c>
      <c r="T130" s="47">
        <f>+IFERROR(HLOOKUP(T29,'סקרי נכסים-יתרות פתיחה'!$2:$76,74,0),0)-IFERROR(HLOOKUP(T29,'סקרי נכסים-יתרות פתיחה'!$2:$90,88,0),0)</f>
        <v>0</v>
      </c>
      <c r="U130" s="47">
        <f>+IFERROR(HLOOKUP(U29,'סקרי נכסים-יתרות פתיחה'!$2:$76,74,0),0)-IFERROR(HLOOKUP(U29,'סקרי נכסים-יתרות פתיחה'!$2:$90,88,0),0)</f>
        <v>0</v>
      </c>
      <c r="V130" s="47">
        <f>+IFERROR(HLOOKUP(V29,'סקרי נכסים-יתרות פתיחה'!$2:$76,74,0),0)-IFERROR(HLOOKUP(V29,'סקרי נכסים-יתרות פתיחה'!$2:$90,88,0),0)</f>
        <v>0</v>
      </c>
      <c r="W130" s="47">
        <f>+IFERROR(HLOOKUP(W29,'סקרי נכסים-יתרות פתיחה'!$2:$76,74,0),0)-IFERROR(HLOOKUP(W29,'סקרי נכסים-יתרות פתיחה'!$2:$90,88,0),0)</f>
        <v>0</v>
      </c>
      <c r="X130" s="47">
        <f>+IFERROR(HLOOKUP(X29,'סקרי נכסים-יתרות פתיחה'!$2:$76,74,0),0)-IFERROR(HLOOKUP(X29,'סקרי נכסים-יתרות פתיחה'!$2:$90,88,0),0)</f>
        <v>0</v>
      </c>
      <c r="Y130" s="47">
        <f>+IFERROR(HLOOKUP(Y29,'סקרי נכסים-יתרות פתיחה'!$2:$76,74,0),0)-IFERROR(HLOOKUP(Y29,'סקרי נכסים-יתרות פתיחה'!$2:$90,88,0),0)</f>
        <v>0</v>
      </c>
      <c r="Z130" s="47">
        <f>+IFERROR(HLOOKUP(Z29,'סקרי נכסים-יתרות פתיחה'!$2:$76,74,0),0)-IFERROR(HLOOKUP(Z29,'סקרי נכסים-יתרות פתיחה'!$2:$90,88,0),0)</f>
        <v>0</v>
      </c>
      <c r="AA130" s="47">
        <f>+IFERROR(HLOOKUP(AA29,'סקרי נכסים-יתרות פתיחה'!$2:$76,74,0),0)-IFERROR(HLOOKUP(AA29,'סקרי נכסים-יתרות פתיחה'!$2:$90,88,0),0)</f>
        <v>0</v>
      </c>
      <c r="AB130" s="47">
        <f>+IFERROR(HLOOKUP(AB29,'סקרי נכסים-יתרות פתיחה'!$2:$76,74,0),0)-IFERROR(HLOOKUP(AB29,'סקרי נכסים-יתרות פתיחה'!$2:$90,88,0),0)</f>
        <v>0</v>
      </c>
      <c r="AC130" s="47">
        <f>+IFERROR(HLOOKUP(AC29,'סקרי נכסים-יתרות פתיחה'!$2:$76,74,0),0)-IFERROR(HLOOKUP(AC29,'סקרי נכסים-יתרות פתיחה'!$2:$90,88,0),0)</f>
        <v>0</v>
      </c>
      <c r="AD130" s="47">
        <f>+IFERROR(HLOOKUP(AD29,'סקרי נכסים-יתרות פתיחה'!$2:$76,74,0),0)-IFERROR(HLOOKUP(AD29,'סקרי נכסים-יתרות פתיחה'!$2:$90,88,0),0)</f>
        <v>0</v>
      </c>
      <c r="AE130" s="47">
        <f>+IFERROR(HLOOKUP(AE29,'סקרי נכסים-יתרות פתיחה'!$2:$76,74,0),0)-IFERROR(HLOOKUP(AE29,'סקרי נכסים-יתרות פתיחה'!$2:$90,88,0),0)</f>
        <v>0</v>
      </c>
      <c r="AF130" s="47">
        <f>+IFERROR(HLOOKUP(AF29,'סקרי נכסים-יתרות פתיחה'!$2:$76,74,0),0)-IFERROR(HLOOKUP(AF29,'סקרי נכסים-יתרות פתיחה'!$2:$90,88,0),0)</f>
        <v>0</v>
      </c>
      <c r="AG130" s="47">
        <f>+IFERROR(HLOOKUP(AG29,'סקרי נכסים-יתרות פתיחה'!$2:$76,74,0),0)-IFERROR(HLOOKUP(AG29,'סקרי נכסים-יתרות פתיחה'!$2:$90,88,0),0)</f>
        <v>0</v>
      </c>
      <c r="AH130" s="47">
        <f>+IFERROR(HLOOKUP(AH29,'סקרי נכסים-יתרות פתיחה'!$2:$76,74,0),0)-IFERROR(HLOOKUP(AH29,'סקרי נכסים-יתרות פתיחה'!$2:$90,88,0),0)</f>
        <v>0</v>
      </c>
      <c r="AI130" s="47">
        <f>+IFERROR(HLOOKUP(AI29,'סקרי נכסים-יתרות פתיחה'!$2:$76,74,0),0)-IFERROR(HLOOKUP(AI29,'סקרי נכסים-יתרות פתיחה'!$2:$90,88,0),0)</f>
        <v>0</v>
      </c>
      <c r="AJ130" s="47">
        <f>+IFERROR(HLOOKUP(AJ29,'סקרי נכסים-יתרות פתיחה'!$2:$76,74,0),0)-IFERROR(HLOOKUP(AJ29,'סקרי נכסים-יתרות פתיחה'!$2:$90,88,0),0)</f>
        <v>0</v>
      </c>
      <c r="AK130" s="47">
        <f>+IFERROR(HLOOKUP(AK29,'סקרי נכסים-יתרות פתיחה'!$2:$76,74,0),0)-IFERROR(HLOOKUP(AK29,'סקרי נכסים-יתרות פתיחה'!$2:$90,88,0),0)</f>
        <v>0</v>
      </c>
      <c r="AL130" s="47">
        <f>+IFERROR(HLOOKUP(AL29,'סקרי נכסים-יתרות פתיחה'!$2:$76,74,0),0)-IFERROR(HLOOKUP(AL29,'סקרי נכסים-יתרות פתיחה'!$2:$90,88,0),0)</f>
        <v>0</v>
      </c>
      <c r="AM130" s="47">
        <f>+IFERROR(HLOOKUP(AM29,'סקרי נכסים-יתרות פתיחה'!$2:$76,74,0),0)-IFERROR(HLOOKUP(AM29,'סקרי נכסים-יתרות פתיחה'!$2:$90,88,0),0)</f>
        <v>0</v>
      </c>
      <c r="AN130" s="47">
        <f>+IFERROR(HLOOKUP(AN29,'סקרי נכסים-יתרות פתיחה'!$2:$76,74,0),0)-IFERROR(HLOOKUP(AN29,'סקרי נכסים-יתרות פתיחה'!$2:$90,88,0),0)</f>
        <v>0</v>
      </c>
      <c r="AO130" s="47">
        <f>+IFERROR(HLOOKUP(AO29,'סקרי נכסים-יתרות פתיחה'!$2:$76,74,0),0)-IFERROR(HLOOKUP(AO29,'סקרי נכסים-יתרות פתיחה'!$2:$90,88,0),0)</f>
        <v>0</v>
      </c>
      <c r="AP130" s="47">
        <f>+IFERROR(HLOOKUP(AP29,'סקרי נכסים-יתרות פתיחה'!$2:$76,74,0),0)-IFERROR(HLOOKUP(AP29,'סקרי נכסים-יתרות פתיחה'!$2:$90,88,0),0)</f>
        <v>0</v>
      </c>
      <c r="AQ130" s="47">
        <f>+IFERROR(HLOOKUP(AQ29,'סקרי נכסים-יתרות פתיחה'!$2:$76,74,0),0)-IFERROR(HLOOKUP(AQ29,'סקרי נכסים-יתרות פתיחה'!$2:$90,88,0),0)</f>
        <v>0</v>
      </c>
      <c r="AR130" s="47">
        <f>+IFERROR(HLOOKUP(AR29,'סקרי נכסים-יתרות פתיחה'!$2:$76,74,0),0)-IFERROR(HLOOKUP(AR29,'סקרי נכסים-יתרות פתיחה'!$2:$90,88,0),0)</f>
        <v>0</v>
      </c>
      <c r="AS130" s="47">
        <f>+IFERROR(HLOOKUP(AS29,'סקרי נכסים-יתרות פתיחה'!$2:$76,74,0),0)-IFERROR(HLOOKUP(AS29,'סקרי נכסים-יתרות פתיחה'!$2:$90,88,0),0)</f>
        <v>0</v>
      </c>
      <c r="AT130" s="47">
        <f>+IFERROR(HLOOKUP(AT29,'סקרי נכסים-יתרות פתיחה'!$2:$76,74,0),0)-IFERROR(HLOOKUP(AT29,'סקרי נכסים-יתרות פתיחה'!$2:$90,88,0),0)</f>
        <v>0</v>
      </c>
      <c r="AU130" s="47">
        <f>+IFERROR(HLOOKUP(AU29,'סקרי נכסים-יתרות פתיחה'!$2:$76,74,0),0)-IFERROR(HLOOKUP(AU29,'סקרי נכסים-יתרות פתיחה'!$2:$90,88,0),0)</f>
        <v>0</v>
      </c>
      <c r="AV130" s="47">
        <f>+IFERROR(HLOOKUP(AV29,'סקרי נכסים-יתרות פתיחה'!$2:$76,74,0),0)-IFERROR(HLOOKUP(AV29,'סקרי נכסים-יתרות פתיחה'!$2:$90,88,0),0)</f>
        <v>0</v>
      </c>
      <c r="AW130" s="47">
        <f>+IFERROR(HLOOKUP(AW29,'סקרי נכסים-יתרות פתיחה'!$2:$76,74,0),0)-IFERROR(HLOOKUP(AW29,'סקרי נכסים-יתרות פתיחה'!$2:$90,88,0),0)</f>
        <v>0</v>
      </c>
      <c r="AX130" s="47">
        <f>+IFERROR(HLOOKUP(AX29,'סקרי נכסים-יתרות פתיחה'!$2:$76,74,0),0)-IFERROR(HLOOKUP(AX29,'סקרי נכסים-יתרות פתיחה'!$2:$90,88,0),0)</f>
        <v>0</v>
      </c>
      <c r="AY130" s="47">
        <f>+IFERROR(HLOOKUP(AY29,'סקרי נכסים-יתרות פתיחה'!$2:$76,74,0),0)-IFERROR(HLOOKUP(AY29,'סקרי נכסים-יתרות פתיחה'!$2:$90,88,0),0)</f>
        <v>0</v>
      </c>
      <c r="AZ130" s="47">
        <f>+IFERROR(HLOOKUP(AZ29,'סקרי נכסים-יתרות פתיחה'!$2:$76,74,0),0)-IFERROR(HLOOKUP(AZ29,'סקרי נכסים-יתרות פתיחה'!$2:$90,88,0),0)</f>
        <v>0</v>
      </c>
      <c r="BA130" s="47">
        <f>+IFERROR(HLOOKUP(BA29,'סקרי נכסים-יתרות פתיחה'!$2:$76,74,0),0)-IFERROR(HLOOKUP(BA29,'סקרי נכסים-יתרות פתיחה'!$2:$90,88,0),0)</f>
        <v>0</v>
      </c>
      <c r="BB130" s="47">
        <f>+IFERROR(HLOOKUP(BB29,'סקרי נכסים-יתרות פתיחה'!$2:$76,74,0),0)-IFERROR(HLOOKUP(BB29,'סקרי נכסים-יתרות פתיחה'!$2:$90,88,0),0)</f>
        <v>0</v>
      </c>
      <c r="BC130" s="47">
        <f>+IFERROR(HLOOKUP(BC29,'סקרי נכסים-יתרות פתיחה'!$2:$76,74,0),0)-IFERROR(HLOOKUP(BC29,'סקרי נכסים-יתרות פתיחה'!$2:$90,88,0),0)</f>
        <v>0</v>
      </c>
      <c r="BD130" s="47">
        <f>+IFERROR(HLOOKUP(BD29,'סקרי נכסים-יתרות פתיחה'!$2:$76,74,0),0)-IFERROR(HLOOKUP(BD29,'סקרי נכסים-יתרות פתיחה'!$2:$90,88,0),0)</f>
        <v>0</v>
      </c>
      <c r="BE130" s="47">
        <f>+IFERROR(HLOOKUP(BE29,'סקרי נכסים-יתרות פתיחה'!$2:$76,74,0),0)-IFERROR(HLOOKUP(BE29,'סקרי נכסים-יתרות פתיחה'!$2:$90,88,0),0)</f>
        <v>0</v>
      </c>
      <c r="BF130" s="47">
        <f>+IFERROR(HLOOKUP(BF29,'סקרי נכסים-יתרות פתיחה'!$2:$76,74,0),0)-IFERROR(HLOOKUP(BF29,'סקרי נכסים-יתרות פתיחה'!$2:$90,88,0),0)</f>
        <v>0</v>
      </c>
    </row>
    <row r="131" spans="1:58" x14ac:dyDescent="0.2">
      <c r="B131" s="1">
        <v>23</v>
      </c>
      <c r="C131" s="47">
        <f>+IFERROR(HLOOKUP(C30,'סקרי נכסים-יתרות פתיחה'!$2:$76,74,0),0)-IFERROR(HLOOKUP(C30,'סקרי נכסים-יתרות פתיחה'!$2:$90,88,0),0)</f>
        <v>0</v>
      </c>
      <c r="D131" s="47">
        <f>+IFERROR(HLOOKUP(D30,'סקרי נכסים-יתרות פתיחה'!$2:$76,74,0),0)-IFERROR(HLOOKUP(D30,'סקרי נכסים-יתרות פתיחה'!$2:$90,88,0),0)</f>
        <v>0</v>
      </c>
      <c r="E131" s="47">
        <f>+IFERROR(HLOOKUP(E30,'סקרי נכסים-יתרות פתיחה'!$2:$76,74,0),0)-IFERROR(HLOOKUP(E30,'סקרי נכסים-יתרות פתיחה'!$2:$90,88,0),0)</f>
        <v>0</v>
      </c>
      <c r="F131" s="47">
        <f>+IFERROR(HLOOKUP(F30,'סקרי נכסים-יתרות פתיחה'!$2:$76,74,0),0)-IFERROR(HLOOKUP(F30,'סקרי נכסים-יתרות פתיחה'!$2:$90,88,0),0)</f>
        <v>0</v>
      </c>
      <c r="G131" s="47">
        <f>+IFERROR(HLOOKUP(G30,'סקרי נכסים-יתרות פתיחה'!$2:$76,74,0),0)-IFERROR(HLOOKUP(G30,'סקרי נכסים-יתרות פתיחה'!$2:$90,88,0),0)</f>
        <v>0</v>
      </c>
      <c r="H131" s="47">
        <f>+IFERROR(HLOOKUP(H30,'סקרי נכסים-יתרות פתיחה'!$2:$76,74,0),0)-IFERROR(HLOOKUP(H30,'סקרי נכסים-יתרות פתיחה'!$2:$90,88,0),0)</f>
        <v>0</v>
      </c>
      <c r="I131" s="47">
        <f>+IFERROR(HLOOKUP(I30,'סקרי נכסים-יתרות פתיחה'!$2:$76,74,0),0)-IFERROR(HLOOKUP(I30,'סקרי נכסים-יתרות פתיחה'!$2:$90,88,0),0)</f>
        <v>0</v>
      </c>
      <c r="J131" s="47">
        <f>+IFERROR(HLOOKUP(J30,'סקרי נכסים-יתרות פתיחה'!$2:$76,74,0),0)-IFERROR(HLOOKUP(J30,'סקרי נכסים-יתרות פתיחה'!$2:$90,88,0),0)</f>
        <v>0</v>
      </c>
      <c r="K131" s="47">
        <f>+IFERROR(HLOOKUP(K30,'סקרי נכסים-יתרות פתיחה'!$2:$76,74,0),0)-IFERROR(HLOOKUP(K30,'סקרי נכסים-יתרות פתיחה'!$2:$90,88,0),0)</f>
        <v>0</v>
      </c>
      <c r="L131" s="47">
        <f>+IFERROR(HLOOKUP(L30,'סקרי נכסים-יתרות פתיחה'!$2:$76,74,0),0)-IFERROR(HLOOKUP(L30,'סקרי נכסים-יתרות פתיחה'!$2:$90,88,0),0)</f>
        <v>0</v>
      </c>
      <c r="M131" s="47">
        <f>+IFERROR(HLOOKUP(M30,'סקרי נכסים-יתרות פתיחה'!$2:$76,74,0),0)-IFERROR(HLOOKUP(M30,'סקרי נכסים-יתרות פתיחה'!$2:$90,88,0),0)</f>
        <v>0</v>
      </c>
      <c r="N131" s="47">
        <f>+IFERROR(HLOOKUP(N30,'סקרי נכסים-יתרות פתיחה'!$2:$76,74,0),0)-IFERROR(HLOOKUP(N30,'סקרי נכסים-יתרות פתיחה'!$2:$90,88,0),0)</f>
        <v>0</v>
      </c>
      <c r="O131" s="47">
        <f>+IFERROR(HLOOKUP(O30,'סקרי נכסים-יתרות פתיחה'!$2:$76,74,0),0)-IFERROR(HLOOKUP(O30,'סקרי נכסים-יתרות פתיחה'!$2:$90,88,0),0)</f>
        <v>0</v>
      </c>
      <c r="P131" s="47">
        <f>+IFERROR(HLOOKUP(P30,'סקרי נכסים-יתרות פתיחה'!$2:$76,74,0),0)-IFERROR(HLOOKUP(P30,'סקרי נכסים-יתרות פתיחה'!$2:$90,88,0),0)</f>
        <v>0</v>
      </c>
      <c r="Q131" s="47">
        <f>+IFERROR(HLOOKUP(Q30,'סקרי נכסים-יתרות פתיחה'!$2:$76,74,0),0)-IFERROR(HLOOKUP(Q30,'סקרי נכסים-יתרות פתיחה'!$2:$90,88,0),0)</f>
        <v>0</v>
      </c>
      <c r="R131" s="47">
        <f>+IFERROR(HLOOKUP(R30,'סקרי נכסים-יתרות פתיחה'!$2:$76,74,0),0)-IFERROR(HLOOKUP(R30,'סקרי נכסים-יתרות פתיחה'!$2:$90,88,0),0)</f>
        <v>0</v>
      </c>
      <c r="S131" s="47">
        <f>+IFERROR(HLOOKUP(S30,'סקרי נכסים-יתרות פתיחה'!$2:$76,74,0),0)-IFERROR(HLOOKUP(S30,'סקרי נכסים-יתרות פתיחה'!$2:$90,88,0),0)</f>
        <v>0</v>
      </c>
      <c r="T131" s="47">
        <f>+IFERROR(HLOOKUP(T30,'סקרי נכסים-יתרות פתיחה'!$2:$76,74,0),0)-IFERROR(HLOOKUP(T30,'סקרי נכסים-יתרות פתיחה'!$2:$90,88,0),0)</f>
        <v>0</v>
      </c>
      <c r="U131" s="47">
        <f>+IFERROR(HLOOKUP(U30,'סקרי נכסים-יתרות פתיחה'!$2:$76,74,0),0)-IFERROR(HLOOKUP(U30,'סקרי נכסים-יתרות פתיחה'!$2:$90,88,0),0)</f>
        <v>0</v>
      </c>
      <c r="V131" s="47">
        <f>+IFERROR(HLOOKUP(V30,'סקרי נכסים-יתרות פתיחה'!$2:$76,74,0),0)-IFERROR(HLOOKUP(V30,'סקרי נכסים-יתרות פתיחה'!$2:$90,88,0),0)</f>
        <v>0</v>
      </c>
      <c r="W131" s="47">
        <f>+IFERROR(HLOOKUP(W30,'סקרי נכסים-יתרות פתיחה'!$2:$76,74,0),0)-IFERROR(HLOOKUP(W30,'סקרי נכסים-יתרות פתיחה'!$2:$90,88,0),0)</f>
        <v>0</v>
      </c>
      <c r="X131" s="47">
        <f>+IFERROR(HLOOKUP(X30,'סקרי נכסים-יתרות פתיחה'!$2:$76,74,0),0)-IFERROR(HLOOKUP(X30,'סקרי נכסים-יתרות פתיחה'!$2:$90,88,0),0)</f>
        <v>0</v>
      </c>
      <c r="Y131" s="47">
        <f>+IFERROR(HLOOKUP(Y30,'סקרי נכסים-יתרות פתיחה'!$2:$76,74,0),0)-IFERROR(HLOOKUP(Y30,'סקרי נכסים-יתרות פתיחה'!$2:$90,88,0),0)</f>
        <v>0</v>
      </c>
      <c r="Z131" s="47">
        <f>+IFERROR(HLOOKUP(Z30,'סקרי נכסים-יתרות פתיחה'!$2:$76,74,0),0)-IFERROR(HLOOKUP(Z30,'סקרי נכסים-יתרות פתיחה'!$2:$90,88,0),0)</f>
        <v>0</v>
      </c>
      <c r="AA131" s="47">
        <f>+IFERROR(HLOOKUP(AA30,'סקרי נכסים-יתרות פתיחה'!$2:$76,74,0),0)-IFERROR(HLOOKUP(AA30,'סקרי נכסים-יתרות פתיחה'!$2:$90,88,0),0)</f>
        <v>0</v>
      </c>
      <c r="AB131" s="47">
        <f>+IFERROR(HLOOKUP(AB30,'סקרי נכסים-יתרות פתיחה'!$2:$76,74,0),0)-IFERROR(HLOOKUP(AB30,'סקרי נכסים-יתרות פתיחה'!$2:$90,88,0),0)</f>
        <v>0</v>
      </c>
      <c r="AC131" s="47">
        <f>+IFERROR(HLOOKUP(AC30,'סקרי נכסים-יתרות פתיחה'!$2:$76,74,0),0)-IFERROR(HLOOKUP(AC30,'סקרי נכסים-יתרות פתיחה'!$2:$90,88,0),0)</f>
        <v>0</v>
      </c>
      <c r="AD131" s="47">
        <f>+IFERROR(HLOOKUP(AD30,'סקרי נכסים-יתרות פתיחה'!$2:$76,74,0),0)-IFERROR(HLOOKUP(AD30,'סקרי נכסים-יתרות פתיחה'!$2:$90,88,0),0)</f>
        <v>0</v>
      </c>
      <c r="AE131" s="47">
        <f>+IFERROR(HLOOKUP(AE30,'סקרי נכסים-יתרות פתיחה'!$2:$76,74,0),0)-IFERROR(HLOOKUP(AE30,'סקרי נכסים-יתרות פתיחה'!$2:$90,88,0),0)</f>
        <v>0</v>
      </c>
      <c r="AF131" s="47">
        <f>+IFERROR(HLOOKUP(AF30,'סקרי נכסים-יתרות פתיחה'!$2:$76,74,0),0)-IFERROR(HLOOKUP(AF30,'סקרי נכסים-יתרות פתיחה'!$2:$90,88,0),0)</f>
        <v>0</v>
      </c>
      <c r="AG131" s="47">
        <f>+IFERROR(HLOOKUP(AG30,'סקרי נכסים-יתרות פתיחה'!$2:$76,74,0),0)-IFERROR(HLOOKUP(AG30,'סקרי נכסים-יתרות פתיחה'!$2:$90,88,0),0)</f>
        <v>0</v>
      </c>
      <c r="AH131" s="47">
        <f>+IFERROR(HLOOKUP(AH30,'סקרי נכסים-יתרות פתיחה'!$2:$76,74,0),0)-IFERROR(HLOOKUP(AH30,'סקרי נכסים-יתרות פתיחה'!$2:$90,88,0),0)</f>
        <v>0</v>
      </c>
      <c r="AI131" s="47">
        <f>+IFERROR(HLOOKUP(AI30,'סקרי נכסים-יתרות פתיחה'!$2:$76,74,0),0)-IFERROR(HLOOKUP(AI30,'סקרי נכסים-יתרות פתיחה'!$2:$90,88,0),0)</f>
        <v>0</v>
      </c>
      <c r="AJ131" s="47">
        <f>+IFERROR(HLOOKUP(AJ30,'סקרי נכסים-יתרות פתיחה'!$2:$76,74,0),0)-IFERROR(HLOOKUP(AJ30,'סקרי נכסים-יתרות פתיחה'!$2:$90,88,0),0)</f>
        <v>0</v>
      </c>
      <c r="AK131" s="47">
        <f>+IFERROR(HLOOKUP(AK30,'סקרי נכסים-יתרות פתיחה'!$2:$76,74,0),0)-IFERROR(HLOOKUP(AK30,'סקרי נכסים-יתרות פתיחה'!$2:$90,88,0),0)</f>
        <v>0</v>
      </c>
      <c r="AL131" s="47">
        <f>+IFERROR(HLOOKUP(AL30,'סקרי נכסים-יתרות פתיחה'!$2:$76,74,0),0)-IFERROR(HLOOKUP(AL30,'סקרי נכסים-יתרות פתיחה'!$2:$90,88,0),0)</f>
        <v>0</v>
      </c>
      <c r="AM131" s="47">
        <f>+IFERROR(HLOOKUP(AM30,'סקרי נכסים-יתרות פתיחה'!$2:$76,74,0),0)-IFERROR(HLOOKUP(AM30,'סקרי נכסים-יתרות פתיחה'!$2:$90,88,0),0)</f>
        <v>0</v>
      </c>
      <c r="AN131" s="47">
        <f>+IFERROR(HLOOKUP(AN30,'סקרי נכסים-יתרות פתיחה'!$2:$76,74,0),0)-IFERROR(HLOOKUP(AN30,'סקרי נכסים-יתרות פתיחה'!$2:$90,88,0),0)</f>
        <v>0</v>
      </c>
      <c r="AO131" s="47">
        <f>+IFERROR(HLOOKUP(AO30,'סקרי נכסים-יתרות פתיחה'!$2:$76,74,0),0)-IFERROR(HLOOKUP(AO30,'סקרי נכסים-יתרות פתיחה'!$2:$90,88,0),0)</f>
        <v>0</v>
      </c>
      <c r="AP131" s="47">
        <f>+IFERROR(HLOOKUP(AP30,'סקרי נכסים-יתרות פתיחה'!$2:$76,74,0),0)-IFERROR(HLOOKUP(AP30,'סקרי נכסים-יתרות פתיחה'!$2:$90,88,0),0)</f>
        <v>0</v>
      </c>
      <c r="AQ131" s="47">
        <f>+IFERROR(HLOOKUP(AQ30,'סקרי נכסים-יתרות פתיחה'!$2:$76,74,0),0)-IFERROR(HLOOKUP(AQ30,'סקרי נכסים-יתרות פתיחה'!$2:$90,88,0),0)</f>
        <v>0</v>
      </c>
      <c r="AR131" s="47">
        <f>+IFERROR(HLOOKUP(AR30,'סקרי נכסים-יתרות פתיחה'!$2:$76,74,0),0)-IFERROR(HLOOKUP(AR30,'סקרי נכסים-יתרות פתיחה'!$2:$90,88,0),0)</f>
        <v>0</v>
      </c>
      <c r="AS131" s="47">
        <f>+IFERROR(HLOOKUP(AS30,'סקרי נכסים-יתרות פתיחה'!$2:$76,74,0),0)-IFERROR(HLOOKUP(AS30,'סקרי נכסים-יתרות פתיחה'!$2:$90,88,0),0)</f>
        <v>0</v>
      </c>
      <c r="AT131" s="47">
        <f>+IFERROR(HLOOKUP(AT30,'סקרי נכסים-יתרות פתיחה'!$2:$76,74,0),0)-IFERROR(HLOOKUP(AT30,'סקרי נכסים-יתרות פתיחה'!$2:$90,88,0),0)</f>
        <v>0</v>
      </c>
      <c r="AU131" s="47">
        <f>+IFERROR(HLOOKUP(AU30,'סקרי נכסים-יתרות פתיחה'!$2:$76,74,0),0)-IFERROR(HLOOKUP(AU30,'סקרי נכסים-יתרות פתיחה'!$2:$90,88,0),0)</f>
        <v>0</v>
      </c>
      <c r="AV131" s="47">
        <f>+IFERROR(HLOOKUP(AV30,'סקרי נכסים-יתרות פתיחה'!$2:$76,74,0),0)-IFERROR(HLOOKUP(AV30,'סקרי נכסים-יתרות פתיחה'!$2:$90,88,0),0)</f>
        <v>0</v>
      </c>
      <c r="AW131" s="47">
        <f>+IFERROR(HLOOKUP(AW30,'סקרי נכסים-יתרות פתיחה'!$2:$76,74,0),0)-IFERROR(HLOOKUP(AW30,'סקרי נכסים-יתרות פתיחה'!$2:$90,88,0),0)</f>
        <v>0</v>
      </c>
      <c r="AX131" s="47">
        <f>+IFERROR(HLOOKUP(AX30,'סקרי נכסים-יתרות פתיחה'!$2:$76,74,0),0)-IFERROR(HLOOKUP(AX30,'סקרי נכסים-יתרות פתיחה'!$2:$90,88,0),0)</f>
        <v>0</v>
      </c>
      <c r="AY131" s="47">
        <f>+IFERROR(HLOOKUP(AY30,'סקרי נכסים-יתרות פתיחה'!$2:$76,74,0),0)-IFERROR(HLOOKUP(AY30,'סקרי נכסים-יתרות פתיחה'!$2:$90,88,0),0)</f>
        <v>0</v>
      </c>
      <c r="AZ131" s="47">
        <f>+IFERROR(HLOOKUP(AZ30,'סקרי נכסים-יתרות פתיחה'!$2:$76,74,0),0)-IFERROR(HLOOKUP(AZ30,'סקרי נכסים-יתרות פתיחה'!$2:$90,88,0),0)</f>
        <v>0</v>
      </c>
      <c r="BA131" s="47">
        <f>+IFERROR(HLOOKUP(BA30,'סקרי נכסים-יתרות פתיחה'!$2:$76,74,0),0)-IFERROR(HLOOKUP(BA30,'סקרי נכסים-יתרות פתיחה'!$2:$90,88,0),0)</f>
        <v>0</v>
      </c>
      <c r="BB131" s="47">
        <f>+IFERROR(HLOOKUP(BB30,'סקרי נכסים-יתרות פתיחה'!$2:$76,74,0),0)-IFERROR(HLOOKUP(BB30,'סקרי נכסים-יתרות פתיחה'!$2:$90,88,0),0)</f>
        <v>0</v>
      </c>
      <c r="BC131" s="47">
        <f>+IFERROR(HLOOKUP(BC30,'סקרי נכסים-יתרות פתיחה'!$2:$76,74,0),0)-IFERROR(HLOOKUP(BC30,'סקרי נכסים-יתרות פתיחה'!$2:$90,88,0),0)</f>
        <v>0</v>
      </c>
      <c r="BD131" s="47">
        <f>+IFERROR(HLOOKUP(BD30,'סקרי נכסים-יתרות פתיחה'!$2:$76,74,0),0)-IFERROR(HLOOKUP(BD30,'סקרי נכסים-יתרות פתיחה'!$2:$90,88,0),0)</f>
        <v>0</v>
      </c>
      <c r="BE131" s="47">
        <f>+IFERROR(HLOOKUP(BE30,'סקרי נכסים-יתרות פתיחה'!$2:$76,74,0),0)-IFERROR(HLOOKUP(BE30,'סקרי נכסים-יתרות פתיחה'!$2:$90,88,0),0)</f>
        <v>0</v>
      </c>
      <c r="BF131" s="47">
        <f>+IFERROR(HLOOKUP(BF30,'סקרי נכסים-יתרות פתיחה'!$2:$76,74,0),0)-IFERROR(HLOOKUP(BF30,'סקרי נכסים-יתרות פתיחה'!$2:$90,88,0),0)</f>
        <v>0</v>
      </c>
    </row>
    <row r="132" spans="1:58" x14ac:dyDescent="0.2">
      <c r="B132" s="1">
        <v>24</v>
      </c>
      <c r="C132" s="47">
        <f>+IFERROR(HLOOKUP(C31,'סקרי נכסים-יתרות פתיחה'!$2:$76,74,0),0)-IFERROR(HLOOKUP(C31,'סקרי נכסים-יתרות פתיחה'!$2:$90,88,0),0)</f>
        <v>0</v>
      </c>
      <c r="D132" s="47">
        <f>+IFERROR(HLOOKUP(D31,'סקרי נכסים-יתרות פתיחה'!$2:$76,74,0),0)-IFERROR(HLOOKUP(D31,'סקרי נכסים-יתרות פתיחה'!$2:$90,88,0),0)</f>
        <v>0</v>
      </c>
      <c r="E132" s="47">
        <f>+IFERROR(HLOOKUP(E31,'סקרי נכסים-יתרות פתיחה'!$2:$76,74,0),0)-IFERROR(HLOOKUP(E31,'סקרי נכסים-יתרות פתיחה'!$2:$90,88,0),0)</f>
        <v>0</v>
      </c>
      <c r="F132" s="47">
        <f>+IFERROR(HLOOKUP(F31,'סקרי נכסים-יתרות פתיחה'!$2:$76,74,0),0)-IFERROR(HLOOKUP(F31,'סקרי נכסים-יתרות פתיחה'!$2:$90,88,0),0)</f>
        <v>0</v>
      </c>
      <c r="G132" s="47">
        <f>+IFERROR(HLOOKUP(G31,'סקרי נכסים-יתרות פתיחה'!$2:$76,74,0),0)-IFERROR(HLOOKUP(G31,'סקרי נכסים-יתרות פתיחה'!$2:$90,88,0),0)</f>
        <v>0</v>
      </c>
      <c r="H132" s="47">
        <f>+IFERROR(HLOOKUP(H31,'סקרי נכסים-יתרות פתיחה'!$2:$76,74,0),0)-IFERROR(HLOOKUP(H31,'סקרי נכסים-יתרות פתיחה'!$2:$90,88,0),0)</f>
        <v>0</v>
      </c>
      <c r="I132" s="47">
        <f>+IFERROR(HLOOKUP(I31,'סקרי נכסים-יתרות פתיחה'!$2:$76,74,0),0)-IFERROR(HLOOKUP(I31,'סקרי נכסים-יתרות פתיחה'!$2:$90,88,0),0)</f>
        <v>0</v>
      </c>
      <c r="J132" s="47">
        <f>+IFERROR(HLOOKUP(J31,'סקרי נכסים-יתרות פתיחה'!$2:$76,74,0),0)-IFERROR(HLOOKUP(J31,'סקרי נכסים-יתרות פתיחה'!$2:$90,88,0),0)</f>
        <v>0</v>
      </c>
      <c r="K132" s="47">
        <f>+IFERROR(HLOOKUP(K31,'סקרי נכסים-יתרות פתיחה'!$2:$76,74,0),0)-IFERROR(HLOOKUP(K31,'סקרי נכסים-יתרות פתיחה'!$2:$90,88,0),0)</f>
        <v>0</v>
      </c>
      <c r="L132" s="47">
        <f>+IFERROR(HLOOKUP(L31,'סקרי נכסים-יתרות פתיחה'!$2:$76,74,0),0)-IFERROR(HLOOKUP(L31,'סקרי נכסים-יתרות פתיחה'!$2:$90,88,0),0)</f>
        <v>0</v>
      </c>
      <c r="M132" s="47">
        <f>+IFERROR(HLOOKUP(M31,'סקרי נכסים-יתרות פתיחה'!$2:$76,74,0),0)-IFERROR(HLOOKUP(M31,'סקרי נכסים-יתרות פתיחה'!$2:$90,88,0),0)</f>
        <v>0</v>
      </c>
      <c r="N132" s="47">
        <f>+IFERROR(HLOOKUP(N31,'סקרי נכסים-יתרות פתיחה'!$2:$76,74,0),0)-IFERROR(HLOOKUP(N31,'סקרי נכסים-יתרות פתיחה'!$2:$90,88,0),0)</f>
        <v>0</v>
      </c>
      <c r="O132" s="47">
        <f>+IFERROR(HLOOKUP(O31,'סקרי נכסים-יתרות פתיחה'!$2:$76,74,0),0)-IFERROR(HLOOKUP(O31,'סקרי נכסים-יתרות פתיחה'!$2:$90,88,0),0)</f>
        <v>0</v>
      </c>
      <c r="P132" s="47">
        <f>+IFERROR(HLOOKUP(P31,'סקרי נכסים-יתרות פתיחה'!$2:$76,74,0),0)-IFERROR(HLOOKUP(P31,'סקרי נכסים-יתרות פתיחה'!$2:$90,88,0),0)</f>
        <v>0</v>
      </c>
      <c r="Q132" s="47">
        <f>+IFERROR(HLOOKUP(Q31,'סקרי נכסים-יתרות פתיחה'!$2:$76,74,0),0)-IFERROR(HLOOKUP(Q31,'סקרי נכסים-יתרות פתיחה'!$2:$90,88,0),0)</f>
        <v>0</v>
      </c>
      <c r="R132" s="47">
        <f>+IFERROR(HLOOKUP(R31,'סקרי נכסים-יתרות פתיחה'!$2:$76,74,0),0)-IFERROR(HLOOKUP(R31,'סקרי נכסים-יתרות פתיחה'!$2:$90,88,0),0)</f>
        <v>0</v>
      </c>
      <c r="S132" s="47">
        <f>+IFERROR(HLOOKUP(S31,'סקרי נכסים-יתרות פתיחה'!$2:$76,74,0),0)-IFERROR(HLOOKUP(S31,'סקרי נכסים-יתרות פתיחה'!$2:$90,88,0),0)</f>
        <v>0</v>
      </c>
      <c r="T132" s="47">
        <f>+IFERROR(HLOOKUP(T31,'סקרי נכסים-יתרות פתיחה'!$2:$76,74,0),0)-IFERROR(HLOOKUP(T31,'סקרי נכסים-יתרות פתיחה'!$2:$90,88,0),0)</f>
        <v>0</v>
      </c>
      <c r="U132" s="47">
        <f>+IFERROR(HLOOKUP(U31,'סקרי נכסים-יתרות פתיחה'!$2:$76,74,0),0)-IFERROR(HLOOKUP(U31,'סקרי נכסים-יתרות פתיחה'!$2:$90,88,0),0)</f>
        <v>0</v>
      </c>
      <c r="V132" s="47">
        <f>+IFERROR(HLOOKUP(V31,'סקרי נכסים-יתרות פתיחה'!$2:$76,74,0),0)-IFERROR(HLOOKUP(V31,'סקרי נכסים-יתרות פתיחה'!$2:$90,88,0),0)</f>
        <v>0</v>
      </c>
      <c r="W132" s="47">
        <f>+IFERROR(HLOOKUP(W31,'סקרי נכסים-יתרות פתיחה'!$2:$76,74,0),0)-IFERROR(HLOOKUP(W31,'סקרי נכסים-יתרות פתיחה'!$2:$90,88,0),0)</f>
        <v>0</v>
      </c>
      <c r="X132" s="47">
        <f>+IFERROR(HLOOKUP(X31,'סקרי נכסים-יתרות פתיחה'!$2:$76,74,0),0)-IFERROR(HLOOKUP(X31,'סקרי נכסים-יתרות פתיחה'!$2:$90,88,0),0)</f>
        <v>0</v>
      </c>
      <c r="Y132" s="47">
        <f>+IFERROR(HLOOKUP(Y31,'סקרי נכסים-יתרות פתיחה'!$2:$76,74,0),0)-IFERROR(HLOOKUP(Y31,'סקרי נכסים-יתרות פתיחה'!$2:$90,88,0),0)</f>
        <v>0</v>
      </c>
      <c r="Z132" s="47">
        <f>+IFERROR(HLOOKUP(Z31,'סקרי נכסים-יתרות פתיחה'!$2:$76,74,0),0)-IFERROR(HLOOKUP(Z31,'סקרי נכסים-יתרות פתיחה'!$2:$90,88,0),0)</f>
        <v>0</v>
      </c>
      <c r="AA132" s="47">
        <f>+IFERROR(HLOOKUP(AA31,'סקרי נכסים-יתרות פתיחה'!$2:$76,74,0),0)-IFERROR(HLOOKUP(AA31,'סקרי נכסים-יתרות פתיחה'!$2:$90,88,0),0)</f>
        <v>0</v>
      </c>
      <c r="AB132" s="47">
        <f>+IFERROR(HLOOKUP(AB31,'סקרי נכסים-יתרות פתיחה'!$2:$76,74,0),0)-IFERROR(HLOOKUP(AB31,'סקרי נכסים-יתרות פתיחה'!$2:$90,88,0),0)</f>
        <v>0</v>
      </c>
      <c r="AC132" s="47">
        <f>+IFERROR(HLOOKUP(AC31,'סקרי נכסים-יתרות פתיחה'!$2:$76,74,0),0)-IFERROR(HLOOKUP(AC31,'סקרי נכסים-יתרות פתיחה'!$2:$90,88,0),0)</f>
        <v>0</v>
      </c>
      <c r="AD132" s="47">
        <f>+IFERROR(HLOOKUP(AD31,'סקרי נכסים-יתרות פתיחה'!$2:$76,74,0),0)-IFERROR(HLOOKUP(AD31,'סקרי נכסים-יתרות פתיחה'!$2:$90,88,0),0)</f>
        <v>0</v>
      </c>
      <c r="AE132" s="47">
        <f>+IFERROR(HLOOKUP(AE31,'סקרי נכסים-יתרות פתיחה'!$2:$76,74,0),0)-IFERROR(HLOOKUP(AE31,'סקרי נכסים-יתרות פתיחה'!$2:$90,88,0),0)</f>
        <v>0</v>
      </c>
      <c r="AF132" s="47">
        <f>+IFERROR(HLOOKUP(AF31,'סקרי נכסים-יתרות פתיחה'!$2:$76,74,0),0)-IFERROR(HLOOKUP(AF31,'סקרי נכסים-יתרות פתיחה'!$2:$90,88,0),0)</f>
        <v>0</v>
      </c>
      <c r="AG132" s="47">
        <f>+IFERROR(HLOOKUP(AG31,'סקרי נכסים-יתרות פתיחה'!$2:$76,74,0),0)-IFERROR(HLOOKUP(AG31,'סקרי נכסים-יתרות פתיחה'!$2:$90,88,0),0)</f>
        <v>0</v>
      </c>
      <c r="AH132" s="47">
        <f>+IFERROR(HLOOKUP(AH31,'סקרי נכסים-יתרות פתיחה'!$2:$76,74,0),0)-IFERROR(HLOOKUP(AH31,'סקרי נכסים-יתרות פתיחה'!$2:$90,88,0),0)</f>
        <v>0</v>
      </c>
      <c r="AI132" s="47">
        <f>+IFERROR(HLOOKUP(AI31,'סקרי נכסים-יתרות פתיחה'!$2:$76,74,0),0)-IFERROR(HLOOKUP(AI31,'סקרי נכסים-יתרות פתיחה'!$2:$90,88,0),0)</f>
        <v>0</v>
      </c>
      <c r="AJ132" s="47">
        <f>+IFERROR(HLOOKUP(AJ31,'סקרי נכסים-יתרות פתיחה'!$2:$76,74,0),0)-IFERROR(HLOOKUP(AJ31,'סקרי נכסים-יתרות פתיחה'!$2:$90,88,0),0)</f>
        <v>0</v>
      </c>
      <c r="AK132" s="47">
        <f>+IFERROR(HLOOKUP(AK31,'סקרי נכסים-יתרות פתיחה'!$2:$76,74,0),0)-IFERROR(HLOOKUP(AK31,'סקרי נכסים-יתרות פתיחה'!$2:$90,88,0),0)</f>
        <v>0</v>
      </c>
      <c r="AL132" s="47">
        <f>+IFERROR(HLOOKUP(AL31,'סקרי נכסים-יתרות פתיחה'!$2:$76,74,0),0)-IFERROR(HLOOKUP(AL31,'סקרי נכסים-יתרות פתיחה'!$2:$90,88,0),0)</f>
        <v>0</v>
      </c>
      <c r="AM132" s="47">
        <f>+IFERROR(HLOOKUP(AM31,'סקרי נכסים-יתרות פתיחה'!$2:$76,74,0),0)-IFERROR(HLOOKUP(AM31,'סקרי נכסים-יתרות פתיחה'!$2:$90,88,0),0)</f>
        <v>0</v>
      </c>
      <c r="AN132" s="47">
        <f>+IFERROR(HLOOKUP(AN31,'סקרי נכסים-יתרות פתיחה'!$2:$76,74,0),0)-IFERROR(HLOOKUP(AN31,'סקרי נכסים-יתרות פתיחה'!$2:$90,88,0),0)</f>
        <v>0</v>
      </c>
      <c r="AO132" s="47">
        <f>+IFERROR(HLOOKUP(AO31,'סקרי נכסים-יתרות פתיחה'!$2:$76,74,0),0)-IFERROR(HLOOKUP(AO31,'סקרי נכסים-יתרות פתיחה'!$2:$90,88,0),0)</f>
        <v>0</v>
      </c>
      <c r="AP132" s="47">
        <f>+IFERROR(HLOOKUP(AP31,'סקרי נכסים-יתרות פתיחה'!$2:$76,74,0),0)-IFERROR(HLOOKUP(AP31,'סקרי נכסים-יתרות פתיחה'!$2:$90,88,0),0)</f>
        <v>0</v>
      </c>
      <c r="AQ132" s="47">
        <f>+IFERROR(HLOOKUP(AQ31,'סקרי נכסים-יתרות פתיחה'!$2:$76,74,0),0)-IFERROR(HLOOKUP(AQ31,'סקרי נכסים-יתרות פתיחה'!$2:$90,88,0),0)</f>
        <v>0</v>
      </c>
      <c r="AR132" s="47">
        <f>+IFERROR(HLOOKUP(AR31,'סקרי נכסים-יתרות פתיחה'!$2:$76,74,0),0)-IFERROR(HLOOKUP(AR31,'סקרי נכסים-יתרות פתיחה'!$2:$90,88,0),0)</f>
        <v>0</v>
      </c>
      <c r="AS132" s="47">
        <f>+IFERROR(HLOOKUP(AS31,'סקרי נכסים-יתרות פתיחה'!$2:$76,74,0),0)-IFERROR(HLOOKUP(AS31,'סקרי נכסים-יתרות פתיחה'!$2:$90,88,0),0)</f>
        <v>0</v>
      </c>
      <c r="AT132" s="47">
        <f>+IFERROR(HLOOKUP(AT31,'סקרי נכסים-יתרות פתיחה'!$2:$76,74,0),0)-IFERROR(HLOOKUP(AT31,'סקרי נכסים-יתרות פתיחה'!$2:$90,88,0),0)</f>
        <v>0</v>
      </c>
      <c r="AU132" s="47">
        <f>+IFERROR(HLOOKUP(AU31,'סקרי נכסים-יתרות פתיחה'!$2:$76,74,0),0)-IFERROR(HLOOKUP(AU31,'סקרי נכסים-יתרות פתיחה'!$2:$90,88,0),0)</f>
        <v>0</v>
      </c>
      <c r="AV132" s="47">
        <f>+IFERROR(HLOOKUP(AV31,'סקרי נכסים-יתרות פתיחה'!$2:$76,74,0),0)-IFERROR(HLOOKUP(AV31,'סקרי נכסים-יתרות פתיחה'!$2:$90,88,0),0)</f>
        <v>0</v>
      </c>
      <c r="AW132" s="47">
        <f>+IFERROR(HLOOKUP(AW31,'סקרי נכסים-יתרות פתיחה'!$2:$76,74,0),0)-IFERROR(HLOOKUP(AW31,'סקרי נכסים-יתרות פתיחה'!$2:$90,88,0),0)</f>
        <v>0</v>
      </c>
      <c r="AX132" s="47">
        <f>+IFERROR(HLOOKUP(AX31,'סקרי נכסים-יתרות פתיחה'!$2:$76,74,0),0)-IFERROR(HLOOKUP(AX31,'סקרי נכסים-יתרות פתיחה'!$2:$90,88,0),0)</f>
        <v>0</v>
      </c>
      <c r="AY132" s="47">
        <f>+IFERROR(HLOOKUP(AY31,'סקרי נכסים-יתרות פתיחה'!$2:$76,74,0),0)-IFERROR(HLOOKUP(AY31,'סקרי נכסים-יתרות פתיחה'!$2:$90,88,0),0)</f>
        <v>0</v>
      </c>
      <c r="AZ132" s="47">
        <f>+IFERROR(HLOOKUP(AZ31,'סקרי נכסים-יתרות פתיחה'!$2:$76,74,0),0)-IFERROR(HLOOKUP(AZ31,'סקרי נכסים-יתרות פתיחה'!$2:$90,88,0),0)</f>
        <v>0</v>
      </c>
      <c r="BA132" s="47">
        <f>+IFERROR(HLOOKUP(BA31,'סקרי נכסים-יתרות פתיחה'!$2:$76,74,0),0)-IFERROR(HLOOKUP(BA31,'סקרי נכסים-יתרות פתיחה'!$2:$90,88,0),0)</f>
        <v>0</v>
      </c>
      <c r="BB132" s="47">
        <f>+IFERROR(HLOOKUP(BB31,'סקרי נכסים-יתרות פתיחה'!$2:$76,74,0),0)-IFERROR(HLOOKUP(BB31,'סקרי נכסים-יתרות פתיחה'!$2:$90,88,0),0)</f>
        <v>0</v>
      </c>
      <c r="BC132" s="47">
        <f>+IFERROR(HLOOKUP(BC31,'סקרי נכסים-יתרות פתיחה'!$2:$76,74,0),0)-IFERROR(HLOOKUP(BC31,'סקרי נכסים-יתרות פתיחה'!$2:$90,88,0),0)</f>
        <v>0</v>
      </c>
      <c r="BD132" s="47">
        <f>+IFERROR(HLOOKUP(BD31,'סקרי נכסים-יתרות פתיחה'!$2:$76,74,0),0)-IFERROR(HLOOKUP(BD31,'סקרי נכסים-יתרות פתיחה'!$2:$90,88,0),0)</f>
        <v>0</v>
      </c>
      <c r="BE132" s="47">
        <f>+IFERROR(HLOOKUP(BE31,'סקרי נכסים-יתרות פתיחה'!$2:$76,74,0),0)-IFERROR(HLOOKUP(BE31,'סקרי נכסים-יתרות פתיחה'!$2:$90,88,0),0)</f>
        <v>0</v>
      </c>
      <c r="BF132" s="47">
        <f>+IFERROR(HLOOKUP(BF31,'סקרי נכסים-יתרות פתיחה'!$2:$76,74,0),0)-IFERROR(HLOOKUP(BF31,'סקרי נכסים-יתרות פתיחה'!$2:$90,88,0),0)</f>
        <v>0</v>
      </c>
    </row>
    <row r="133" spans="1:58" x14ac:dyDescent="0.2">
      <c r="B133" s="1">
        <v>25</v>
      </c>
      <c r="C133" s="47">
        <f>+IFERROR(HLOOKUP(C32,'סקרי נכסים-יתרות פתיחה'!$2:$76,74,0),0)-IFERROR(HLOOKUP(C32,'סקרי נכסים-יתרות פתיחה'!$2:$90,88,0),0)</f>
        <v>0</v>
      </c>
      <c r="D133" s="47">
        <f>+IFERROR(HLOOKUP(D32,'סקרי נכסים-יתרות פתיחה'!$2:$76,74,0),0)-IFERROR(HLOOKUP(D32,'סקרי נכסים-יתרות פתיחה'!$2:$90,88,0),0)</f>
        <v>0</v>
      </c>
      <c r="E133" s="47">
        <f>+IFERROR(HLOOKUP(E32,'סקרי נכסים-יתרות פתיחה'!$2:$76,74,0),0)-IFERROR(HLOOKUP(E32,'סקרי נכסים-יתרות פתיחה'!$2:$90,88,0),0)</f>
        <v>0</v>
      </c>
      <c r="F133" s="47">
        <f>+IFERROR(HLOOKUP(F32,'סקרי נכסים-יתרות פתיחה'!$2:$76,74,0),0)-IFERROR(HLOOKUP(F32,'סקרי נכסים-יתרות פתיחה'!$2:$90,88,0),0)</f>
        <v>0</v>
      </c>
      <c r="G133" s="47">
        <f>+IFERROR(HLOOKUP(G32,'סקרי נכסים-יתרות פתיחה'!$2:$76,74,0),0)-IFERROR(HLOOKUP(G32,'סקרי נכסים-יתרות פתיחה'!$2:$90,88,0),0)</f>
        <v>0</v>
      </c>
      <c r="H133" s="47">
        <f>+IFERROR(HLOOKUP(H32,'סקרי נכסים-יתרות פתיחה'!$2:$76,74,0),0)-IFERROR(HLOOKUP(H32,'סקרי נכסים-יתרות פתיחה'!$2:$90,88,0),0)</f>
        <v>0</v>
      </c>
      <c r="I133" s="47">
        <f>+IFERROR(HLOOKUP(I32,'סקרי נכסים-יתרות פתיחה'!$2:$76,74,0),0)-IFERROR(HLOOKUP(I32,'סקרי נכסים-יתרות פתיחה'!$2:$90,88,0),0)</f>
        <v>0</v>
      </c>
      <c r="J133" s="47">
        <f>+IFERROR(HLOOKUP(J32,'סקרי נכסים-יתרות פתיחה'!$2:$76,74,0),0)-IFERROR(HLOOKUP(J32,'סקרי נכסים-יתרות פתיחה'!$2:$90,88,0),0)</f>
        <v>0</v>
      </c>
      <c r="K133" s="47">
        <f>+IFERROR(HLOOKUP(K32,'סקרי נכסים-יתרות פתיחה'!$2:$76,74,0),0)-IFERROR(HLOOKUP(K32,'סקרי נכסים-יתרות פתיחה'!$2:$90,88,0),0)</f>
        <v>0</v>
      </c>
      <c r="L133" s="47">
        <f>+IFERROR(HLOOKUP(L32,'סקרי נכסים-יתרות פתיחה'!$2:$76,74,0),0)-IFERROR(HLOOKUP(L32,'סקרי נכסים-יתרות פתיחה'!$2:$90,88,0),0)</f>
        <v>0</v>
      </c>
      <c r="M133" s="47">
        <f>+IFERROR(HLOOKUP(M32,'סקרי נכסים-יתרות פתיחה'!$2:$76,74,0),0)-IFERROR(HLOOKUP(M32,'סקרי נכסים-יתרות פתיחה'!$2:$90,88,0),0)</f>
        <v>0</v>
      </c>
      <c r="N133" s="47">
        <f>+IFERROR(HLOOKUP(N32,'סקרי נכסים-יתרות פתיחה'!$2:$76,74,0),0)-IFERROR(HLOOKUP(N32,'סקרי נכסים-יתרות פתיחה'!$2:$90,88,0),0)</f>
        <v>0</v>
      </c>
      <c r="O133" s="47">
        <f>+IFERROR(HLOOKUP(O32,'סקרי נכסים-יתרות פתיחה'!$2:$76,74,0),0)-IFERROR(HLOOKUP(O32,'סקרי נכסים-יתרות פתיחה'!$2:$90,88,0),0)</f>
        <v>0</v>
      </c>
      <c r="P133" s="47">
        <f>+IFERROR(HLOOKUP(P32,'סקרי נכסים-יתרות פתיחה'!$2:$76,74,0),0)-IFERROR(HLOOKUP(P32,'סקרי נכסים-יתרות פתיחה'!$2:$90,88,0),0)</f>
        <v>0</v>
      </c>
      <c r="Q133" s="47">
        <f>+IFERROR(HLOOKUP(Q32,'סקרי נכסים-יתרות פתיחה'!$2:$76,74,0),0)-IFERROR(HLOOKUP(Q32,'סקרי נכסים-יתרות פתיחה'!$2:$90,88,0),0)</f>
        <v>0</v>
      </c>
      <c r="R133" s="47">
        <f>+IFERROR(HLOOKUP(R32,'סקרי נכסים-יתרות פתיחה'!$2:$76,74,0),0)-IFERROR(HLOOKUP(R32,'סקרי נכסים-יתרות פתיחה'!$2:$90,88,0),0)</f>
        <v>0</v>
      </c>
      <c r="S133" s="47">
        <f>+IFERROR(HLOOKUP(S32,'סקרי נכסים-יתרות פתיחה'!$2:$76,74,0),0)-IFERROR(HLOOKUP(S32,'סקרי נכסים-יתרות פתיחה'!$2:$90,88,0),0)</f>
        <v>0</v>
      </c>
      <c r="T133" s="47">
        <f>+IFERROR(HLOOKUP(T32,'סקרי נכסים-יתרות פתיחה'!$2:$76,74,0),0)-IFERROR(HLOOKUP(T32,'סקרי נכסים-יתרות פתיחה'!$2:$90,88,0),0)</f>
        <v>0</v>
      </c>
      <c r="U133" s="47">
        <f>+IFERROR(HLOOKUP(U32,'סקרי נכסים-יתרות פתיחה'!$2:$76,74,0),0)-IFERROR(HLOOKUP(U32,'סקרי נכסים-יתרות פתיחה'!$2:$90,88,0),0)</f>
        <v>0</v>
      </c>
      <c r="V133" s="47">
        <f>+IFERROR(HLOOKUP(V32,'סקרי נכסים-יתרות פתיחה'!$2:$76,74,0),0)-IFERROR(HLOOKUP(V32,'סקרי נכסים-יתרות פתיחה'!$2:$90,88,0),0)</f>
        <v>0</v>
      </c>
      <c r="W133" s="47">
        <f>+IFERROR(HLOOKUP(W32,'סקרי נכסים-יתרות פתיחה'!$2:$76,74,0),0)-IFERROR(HLOOKUP(W32,'סקרי נכסים-יתרות פתיחה'!$2:$90,88,0),0)</f>
        <v>0</v>
      </c>
      <c r="X133" s="47">
        <f>+IFERROR(HLOOKUP(X32,'סקרי נכסים-יתרות פתיחה'!$2:$76,74,0),0)-IFERROR(HLOOKUP(X32,'סקרי נכסים-יתרות פתיחה'!$2:$90,88,0),0)</f>
        <v>0</v>
      </c>
      <c r="Y133" s="47">
        <f>+IFERROR(HLOOKUP(Y32,'סקרי נכסים-יתרות פתיחה'!$2:$76,74,0),0)-IFERROR(HLOOKUP(Y32,'סקרי נכסים-יתרות פתיחה'!$2:$90,88,0),0)</f>
        <v>0</v>
      </c>
      <c r="Z133" s="47">
        <f>+IFERROR(HLOOKUP(Z32,'סקרי נכסים-יתרות פתיחה'!$2:$76,74,0),0)-IFERROR(HLOOKUP(Z32,'סקרי נכסים-יתרות פתיחה'!$2:$90,88,0),0)</f>
        <v>0</v>
      </c>
      <c r="AA133" s="47">
        <f>+IFERROR(HLOOKUP(AA32,'סקרי נכסים-יתרות פתיחה'!$2:$76,74,0),0)-IFERROR(HLOOKUP(AA32,'סקרי נכסים-יתרות פתיחה'!$2:$90,88,0),0)</f>
        <v>0</v>
      </c>
      <c r="AB133" s="47">
        <f>+IFERROR(HLOOKUP(AB32,'סקרי נכסים-יתרות פתיחה'!$2:$76,74,0),0)-IFERROR(HLOOKUP(AB32,'סקרי נכסים-יתרות פתיחה'!$2:$90,88,0),0)</f>
        <v>0</v>
      </c>
      <c r="AC133" s="47">
        <f>+IFERROR(HLOOKUP(AC32,'סקרי נכסים-יתרות פתיחה'!$2:$76,74,0),0)-IFERROR(HLOOKUP(AC32,'סקרי נכסים-יתרות פתיחה'!$2:$90,88,0),0)</f>
        <v>0</v>
      </c>
      <c r="AD133" s="47">
        <f>+IFERROR(HLOOKUP(AD32,'סקרי נכסים-יתרות פתיחה'!$2:$76,74,0),0)-IFERROR(HLOOKUP(AD32,'סקרי נכסים-יתרות פתיחה'!$2:$90,88,0),0)</f>
        <v>0</v>
      </c>
      <c r="AE133" s="47">
        <f>+IFERROR(HLOOKUP(AE32,'סקרי נכסים-יתרות פתיחה'!$2:$76,74,0),0)-IFERROR(HLOOKUP(AE32,'סקרי נכסים-יתרות פתיחה'!$2:$90,88,0),0)</f>
        <v>0</v>
      </c>
      <c r="AF133" s="47">
        <f>+IFERROR(HLOOKUP(AF32,'סקרי נכסים-יתרות פתיחה'!$2:$76,74,0),0)-IFERROR(HLOOKUP(AF32,'סקרי נכסים-יתרות פתיחה'!$2:$90,88,0),0)</f>
        <v>0</v>
      </c>
      <c r="AG133" s="47">
        <f>+IFERROR(HLOOKUP(AG32,'סקרי נכסים-יתרות פתיחה'!$2:$76,74,0),0)-IFERROR(HLOOKUP(AG32,'סקרי נכסים-יתרות פתיחה'!$2:$90,88,0),0)</f>
        <v>0</v>
      </c>
      <c r="AH133" s="47">
        <f>+IFERROR(HLOOKUP(AH32,'סקרי נכסים-יתרות פתיחה'!$2:$76,74,0),0)-IFERROR(HLOOKUP(AH32,'סקרי נכסים-יתרות פתיחה'!$2:$90,88,0),0)</f>
        <v>0</v>
      </c>
      <c r="AI133" s="47">
        <f>+IFERROR(HLOOKUP(AI32,'סקרי נכסים-יתרות פתיחה'!$2:$76,74,0),0)-IFERROR(HLOOKUP(AI32,'סקרי נכסים-יתרות פתיחה'!$2:$90,88,0),0)</f>
        <v>0</v>
      </c>
      <c r="AJ133" s="47">
        <f>+IFERROR(HLOOKUP(AJ32,'סקרי נכסים-יתרות פתיחה'!$2:$76,74,0),0)-IFERROR(HLOOKUP(AJ32,'סקרי נכסים-יתרות פתיחה'!$2:$90,88,0),0)</f>
        <v>0</v>
      </c>
      <c r="AK133" s="47">
        <f>+IFERROR(HLOOKUP(AK32,'סקרי נכסים-יתרות פתיחה'!$2:$76,74,0),0)-IFERROR(HLOOKUP(AK32,'סקרי נכסים-יתרות פתיחה'!$2:$90,88,0),0)</f>
        <v>0</v>
      </c>
      <c r="AL133" s="47">
        <f>+IFERROR(HLOOKUP(AL32,'סקרי נכסים-יתרות פתיחה'!$2:$76,74,0),0)-IFERROR(HLOOKUP(AL32,'סקרי נכסים-יתרות פתיחה'!$2:$90,88,0),0)</f>
        <v>0</v>
      </c>
      <c r="AM133" s="47">
        <f>+IFERROR(HLOOKUP(AM32,'סקרי נכסים-יתרות פתיחה'!$2:$76,74,0),0)-IFERROR(HLOOKUP(AM32,'סקרי נכסים-יתרות פתיחה'!$2:$90,88,0),0)</f>
        <v>0</v>
      </c>
      <c r="AN133" s="47">
        <f>+IFERROR(HLOOKUP(AN32,'סקרי נכסים-יתרות פתיחה'!$2:$76,74,0),0)-IFERROR(HLOOKUP(AN32,'סקרי נכסים-יתרות פתיחה'!$2:$90,88,0),0)</f>
        <v>0</v>
      </c>
      <c r="AO133" s="47">
        <f>+IFERROR(HLOOKUP(AO32,'סקרי נכסים-יתרות פתיחה'!$2:$76,74,0),0)-IFERROR(HLOOKUP(AO32,'סקרי נכסים-יתרות פתיחה'!$2:$90,88,0),0)</f>
        <v>0</v>
      </c>
      <c r="AP133" s="47">
        <f>+IFERROR(HLOOKUP(AP32,'סקרי נכסים-יתרות פתיחה'!$2:$76,74,0),0)-IFERROR(HLOOKUP(AP32,'סקרי נכסים-יתרות פתיחה'!$2:$90,88,0),0)</f>
        <v>0</v>
      </c>
      <c r="AQ133" s="47">
        <f>+IFERROR(HLOOKUP(AQ32,'סקרי נכסים-יתרות פתיחה'!$2:$76,74,0),0)-IFERROR(HLOOKUP(AQ32,'סקרי נכסים-יתרות פתיחה'!$2:$90,88,0),0)</f>
        <v>0</v>
      </c>
      <c r="AR133" s="47">
        <f>+IFERROR(HLOOKUP(AR32,'סקרי נכסים-יתרות פתיחה'!$2:$76,74,0),0)-IFERROR(HLOOKUP(AR32,'סקרי נכסים-יתרות פתיחה'!$2:$90,88,0),0)</f>
        <v>0</v>
      </c>
      <c r="AS133" s="47">
        <f>+IFERROR(HLOOKUP(AS32,'סקרי נכסים-יתרות פתיחה'!$2:$76,74,0),0)-IFERROR(HLOOKUP(AS32,'סקרי נכסים-יתרות פתיחה'!$2:$90,88,0),0)</f>
        <v>0</v>
      </c>
      <c r="AT133" s="47">
        <f>+IFERROR(HLOOKUP(AT32,'סקרי נכסים-יתרות פתיחה'!$2:$76,74,0),0)-IFERROR(HLOOKUP(AT32,'סקרי נכסים-יתרות פתיחה'!$2:$90,88,0),0)</f>
        <v>0</v>
      </c>
      <c r="AU133" s="47">
        <f>+IFERROR(HLOOKUP(AU32,'סקרי נכסים-יתרות פתיחה'!$2:$76,74,0),0)-IFERROR(HLOOKUP(AU32,'סקרי נכסים-יתרות פתיחה'!$2:$90,88,0),0)</f>
        <v>0</v>
      </c>
      <c r="AV133" s="47">
        <f>+IFERROR(HLOOKUP(AV32,'סקרי נכסים-יתרות פתיחה'!$2:$76,74,0),0)-IFERROR(HLOOKUP(AV32,'סקרי נכסים-יתרות פתיחה'!$2:$90,88,0),0)</f>
        <v>0</v>
      </c>
      <c r="AW133" s="47">
        <f>+IFERROR(HLOOKUP(AW32,'סקרי נכסים-יתרות פתיחה'!$2:$76,74,0),0)-IFERROR(HLOOKUP(AW32,'סקרי נכסים-יתרות פתיחה'!$2:$90,88,0),0)</f>
        <v>0</v>
      </c>
      <c r="AX133" s="47">
        <f>+IFERROR(HLOOKUP(AX32,'סקרי נכסים-יתרות פתיחה'!$2:$76,74,0),0)-IFERROR(HLOOKUP(AX32,'סקרי נכסים-יתרות פתיחה'!$2:$90,88,0),0)</f>
        <v>0</v>
      </c>
      <c r="AY133" s="47">
        <f>+IFERROR(HLOOKUP(AY32,'סקרי נכסים-יתרות פתיחה'!$2:$76,74,0),0)-IFERROR(HLOOKUP(AY32,'סקרי נכסים-יתרות פתיחה'!$2:$90,88,0),0)</f>
        <v>0</v>
      </c>
      <c r="AZ133" s="47">
        <f>+IFERROR(HLOOKUP(AZ32,'סקרי נכסים-יתרות פתיחה'!$2:$76,74,0),0)-IFERROR(HLOOKUP(AZ32,'סקרי נכסים-יתרות פתיחה'!$2:$90,88,0),0)</f>
        <v>0</v>
      </c>
      <c r="BA133" s="47">
        <f>+IFERROR(HLOOKUP(BA32,'סקרי נכסים-יתרות פתיחה'!$2:$76,74,0),0)-IFERROR(HLOOKUP(BA32,'סקרי נכסים-יתרות פתיחה'!$2:$90,88,0),0)</f>
        <v>0</v>
      </c>
      <c r="BB133" s="47">
        <f>+IFERROR(HLOOKUP(BB32,'סקרי נכסים-יתרות פתיחה'!$2:$76,74,0),0)-IFERROR(HLOOKUP(BB32,'סקרי נכסים-יתרות פתיחה'!$2:$90,88,0),0)</f>
        <v>0</v>
      </c>
      <c r="BC133" s="47">
        <f>+IFERROR(HLOOKUP(BC32,'סקרי נכסים-יתרות פתיחה'!$2:$76,74,0),0)-IFERROR(HLOOKUP(BC32,'סקרי נכסים-יתרות פתיחה'!$2:$90,88,0),0)</f>
        <v>0</v>
      </c>
      <c r="BD133" s="47">
        <f>+IFERROR(HLOOKUP(BD32,'סקרי נכסים-יתרות פתיחה'!$2:$76,74,0),0)-IFERROR(HLOOKUP(BD32,'סקרי נכסים-יתרות פתיחה'!$2:$90,88,0),0)</f>
        <v>0</v>
      </c>
      <c r="BE133" s="47">
        <f>+IFERROR(HLOOKUP(BE32,'סקרי נכסים-יתרות פתיחה'!$2:$76,74,0),0)-IFERROR(HLOOKUP(BE32,'סקרי נכסים-יתרות פתיחה'!$2:$90,88,0),0)</f>
        <v>0</v>
      </c>
      <c r="BF133" s="47">
        <f>+IFERROR(HLOOKUP(BF32,'סקרי נכסים-יתרות פתיחה'!$2:$76,74,0),0)-IFERROR(HLOOKUP(BF32,'סקרי נכסים-יתרות פתיחה'!$2:$90,88,0),0)</f>
        <v>0</v>
      </c>
    </row>
    <row r="134" spans="1:58" x14ac:dyDescent="0.2">
      <c r="B134" s="1">
        <v>26</v>
      </c>
      <c r="C134" s="47">
        <f>+IFERROR(HLOOKUP(C33,'סקרי נכסים-יתרות פתיחה'!$2:$76,74,0),0)-IFERROR(HLOOKUP(C33,'סקרי נכסים-יתרות פתיחה'!$2:$90,88,0),0)</f>
        <v>0</v>
      </c>
      <c r="D134" s="47">
        <f>+IFERROR(HLOOKUP(D33,'סקרי נכסים-יתרות פתיחה'!$2:$76,74,0),0)-IFERROR(HLOOKUP(D33,'סקרי נכסים-יתרות פתיחה'!$2:$90,88,0),0)</f>
        <v>0</v>
      </c>
      <c r="E134" s="47">
        <f>+IFERROR(HLOOKUP(E33,'סקרי נכסים-יתרות פתיחה'!$2:$76,74,0),0)-IFERROR(HLOOKUP(E33,'סקרי נכסים-יתרות פתיחה'!$2:$90,88,0),0)</f>
        <v>0</v>
      </c>
      <c r="F134" s="47">
        <f>+IFERROR(HLOOKUP(F33,'סקרי נכסים-יתרות פתיחה'!$2:$76,74,0),0)-IFERROR(HLOOKUP(F33,'סקרי נכסים-יתרות פתיחה'!$2:$90,88,0),0)</f>
        <v>0</v>
      </c>
      <c r="G134" s="47">
        <f>+IFERROR(HLOOKUP(G33,'סקרי נכסים-יתרות פתיחה'!$2:$76,74,0),0)-IFERROR(HLOOKUP(G33,'סקרי נכסים-יתרות פתיחה'!$2:$90,88,0),0)</f>
        <v>0</v>
      </c>
      <c r="H134" s="47">
        <f>+IFERROR(HLOOKUP(H33,'סקרי נכסים-יתרות פתיחה'!$2:$76,74,0),0)-IFERROR(HLOOKUP(H33,'סקרי נכסים-יתרות פתיחה'!$2:$90,88,0),0)</f>
        <v>0</v>
      </c>
      <c r="I134" s="47">
        <f>+IFERROR(HLOOKUP(I33,'סקרי נכסים-יתרות פתיחה'!$2:$76,74,0),0)-IFERROR(HLOOKUP(I33,'סקרי נכסים-יתרות פתיחה'!$2:$90,88,0),0)</f>
        <v>0</v>
      </c>
      <c r="J134" s="47">
        <f>+IFERROR(HLOOKUP(J33,'סקרי נכסים-יתרות פתיחה'!$2:$76,74,0),0)-IFERROR(HLOOKUP(J33,'סקרי נכסים-יתרות פתיחה'!$2:$90,88,0),0)</f>
        <v>0</v>
      </c>
      <c r="K134" s="47">
        <f>+IFERROR(HLOOKUP(K33,'סקרי נכסים-יתרות פתיחה'!$2:$76,74,0),0)-IFERROR(HLOOKUP(K33,'סקרי נכסים-יתרות פתיחה'!$2:$90,88,0),0)</f>
        <v>0</v>
      </c>
      <c r="L134" s="47">
        <f>+IFERROR(HLOOKUP(L33,'סקרי נכסים-יתרות פתיחה'!$2:$76,74,0),0)-IFERROR(HLOOKUP(L33,'סקרי נכסים-יתרות פתיחה'!$2:$90,88,0),0)</f>
        <v>0</v>
      </c>
      <c r="M134" s="47">
        <f>+IFERROR(HLOOKUP(M33,'סקרי נכסים-יתרות פתיחה'!$2:$76,74,0),0)-IFERROR(HLOOKUP(M33,'סקרי נכסים-יתרות פתיחה'!$2:$90,88,0),0)</f>
        <v>0</v>
      </c>
      <c r="N134" s="47">
        <f>+IFERROR(HLOOKUP(N33,'סקרי נכסים-יתרות פתיחה'!$2:$76,74,0),0)-IFERROR(HLOOKUP(N33,'סקרי נכסים-יתרות פתיחה'!$2:$90,88,0),0)</f>
        <v>0</v>
      </c>
      <c r="O134" s="47">
        <f>+IFERROR(HLOOKUP(O33,'סקרי נכסים-יתרות פתיחה'!$2:$76,74,0),0)-IFERROR(HLOOKUP(O33,'סקרי נכסים-יתרות פתיחה'!$2:$90,88,0),0)</f>
        <v>0</v>
      </c>
      <c r="P134" s="47">
        <f>+IFERROR(HLOOKUP(P33,'סקרי נכסים-יתרות פתיחה'!$2:$76,74,0),0)-IFERROR(HLOOKUP(P33,'סקרי נכסים-יתרות פתיחה'!$2:$90,88,0),0)</f>
        <v>0</v>
      </c>
      <c r="Q134" s="47">
        <f>+IFERROR(HLOOKUP(Q33,'סקרי נכסים-יתרות פתיחה'!$2:$76,74,0),0)-IFERROR(HLOOKUP(Q33,'סקרי נכסים-יתרות פתיחה'!$2:$90,88,0),0)</f>
        <v>0</v>
      </c>
      <c r="R134" s="47">
        <f>+IFERROR(HLOOKUP(R33,'סקרי נכסים-יתרות פתיחה'!$2:$76,74,0),0)-IFERROR(HLOOKUP(R33,'סקרי נכסים-יתרות פתיחה'!$2:$90,88,0),0)</f>
        <v>0</v>
      </c>
      <c r="S134" s="47">
        <f>+IFERROR(HLOOKUP(S33,'סקרי נכסים-יתרות פתיחה'!$2:$76,74,0),0)-IFERROR(HLOOKUP(S33,'סקרי נכסים-יתרות פתיחה'!$2:$90,88,0),0)</f>
        <v>0</v>
      </c>
      <c r="T134" s="47">
        <f>+IFERROR(HLOOKUP(T33,'סקרי נכסים-יתרות פתיחה'!$2:$76,74,0),0)-IFERROR(HLOOKUP(T33,'סקרי נכסים-יתרות פתיחה'!$2:$90,88,0),0)</f>
        <v>0</v>
      </c>
      <c r="U134" s="47">
        <f>+IFERROR(HLOOKUP(U33,'סקרי נכסים-יתרות פתיחה'!$2:$76,74,0),0)-IFERROR(HLOOKUP(U33,'סקרי נכסים-יתרות פתיחה'!$2:$90,88,0),0)</f>
        <v>0</v>
      </c>
      <c r="V134" s="47">
        <f>+IFERROR(HLOOKUP(V33,'סקרי נכסים-יתרות פתיחה'!$2:$76,74,0),0)-IFERROR(HLOOKUP(V33,'סקרי נכסים-יתרות פתיחה'!$2:$90,88,0),0)</f>
        <v>0</v>
      </c>
      <c r="W134" s="47">
        <f>+IFERROR(HLOOKUP(W33,'סקרי נכסים-יתרות פתיחה'!$2:$76,74,0),0)-IFERROR(HLOOKUP(W33,'סקרי נכסים-יתרות פתיחה'!$2:$90,88,0),0)</f>
        <v>0</v>
      </c>
      <c r="X134" s="47">
        <f>+IFERROR(HLOOKUP(X33,'סקרי נכסים-יתרות פתיחה'!$2:$76,74,0),0)-IFERROR(HLOOKUP(X33,'סקרי נכסים-יתרות פתיחה'!$2:$90,88,0),0)</f>
        <v>0</v>
      </c>
      <c r="Y134" s="47">
        <f>+IFERROR(HLOOKUP(Y33,'סקרי נכסים-יתרות פתיחה'!$2:$76,74,0),0)-IFERROR(HLOOKUP(Y33,'סקרי נכסים-יתרות פתיחה'!$2:$90,88,0),0)</f>
        <v>0</v>
      </c>
      <c r="Z134" s="47">
        <f>+IFERROR(HLOOKUP(Z33,'סקרי נכסים-יתרות פתיחה'!$2:$76,74,0),0)-IFERROR(HLOOKUP(Z33,'סקרי נכסים-יתרות פתיחה'!$2:$90,88,0),0)</f>
        <v>0</v>
      </c>
      <c r="AA134" s="47">
        <f>+IFERROR(HLOOKUP(AA33,'סקרי נכסים-יתרות פתיחה'!$2:$76,74,0),0)-IFERROR(HLOOKUP(AA33,'סקרי נכסים-יתרות פתיחה'!$2:$90,88,0),0)</f>
        <v>0</v>
      </c>
      <c r="AB134" s="47">
        <f>+IFERROR(HLOOKUP(AB33,'סקרי נכסים-יתרות פתיחה'!$2:$76,74,0),0)-IFERROR(HLOOKUP(AB33,'סקרי נכסים-יתרות פתיחה'!$2:$90,88,0),0)</f>
        <v>0</v>
      </c>
      <c r="AC134" s="47">
        <f>+IFERROR(HLOOKUP(AC33,'סקרי נכסים-יתרות פתיחה'!$2:$76,74,0),0)-IFERROR(HLOOKUP(AC33,'סקרי נכסים-יתרות פתיחה'!$2:$90,88,0),0)</f>
        <v>0</v>
      </c>
      <c r="AD134" s="47">
        <f>+IFERROR(HLOOKUP(AD33,'סקרי נכסים-יתרות פתיחה'!$2:$76,74,0),0)-IFERROR(HLOOKUP(AD33,'סקרי נכסים-יתרות פתיחה'!$2:$90,88,0),0)</f>
        <v>0</v>
      </c>
      <c r="AE134" s="47">
        <f>+IFERROR(HLOOKUP(AE33,'סקרי נכסים-יתרות פתיחה'!$2:$76,74,0),0)-IFERROR(HLOOKUP(AE33,'סקרי נכסים-יתרות פתיחה'!$2:$90,88,0),0)</f>
        <v>0</v>
      </c>
      <c r="AF134" s="47">
        <f>+IFERROR(HLOOKUP(AF33,'סקרי נכסים-יתרות פתיחה'!$2:$76,74,0),0)-IFERROR(HLOOKUP(AF33,'סקרי נכסים-יתרות פתיחה'!$2:$90,88,0),0)</f>
        <v>0</v>
      </c>
      <c r="AG134" s="47">
        <f>+IFERROR(HLOOKUP(AG33,'סקרי נכסים-יתרות פתיחה'!$2:$76,74,0),0)-IFERROR(HLOOKUP(AG33,'סקרי נכסים-יתרות פתיחה'!$2:$90,88,0),0)</f>
        <v>0</v>
      </c>
      <c r="AH134" s="47">
        <f>+IFERROR(HLOOKUP(AH33,'סקרי נכסים-יתרות פתיחה'!$2:$76,74,0),0)-IFERROR(HLOOKUP(AH33,'סקרי נכסים-יתרות פתיחה'!$2:$90,88,0),0)</f>
        <v>0</v>
      </c>
      <c r="AI134" s="47">
        <f>+IFERROR(HLOOKUP(AI33,'סקרי נכסים-יתרות פתיחה'!$2:$76,74,0),0)-IFERROR(HLOOKUP(AI33,'סקרי נכסים-יתרות פתיחה'!$2:$90,88,0),0)</f>
        <v>0</v>
      </c>
      <c r="AJ134" s="47">
        <f>+IFERROR(HLOOKUP(AJ33,'סקרי נכסים-יתרות פתיחה'!$2:$76,74,0),0)-IFERROR(HLOOKUP(AJ33,'סקרי נכסים-יתרות פתיחה'!$2:$90,88,0),0)</f>
        <v>0</v>
      </c>
      <c r="AK134" s="47">
        <f>+IFERROR(HLOOKUP(AK33,'סקרי נכסים-יתרות פתיחה'!$2:$76,74,0),0)-IFERROR(HLOOKUP(AK33,'סקרי נכסים-יתרות פתיחה'!$2:$90,88,0),0)</f>
        <v>0</v>
      </c>
      <c r="AL134" s="47">
        <f>+IFERROR(HLOOKUP(AL33,'סקרי נכסים-יתרות פתיחה'!$2:$76,74,0),0)-IFERROR(HLOOKUP(AL33,'סקרי נכסים-יתרות פתיחה'!$2:$90,88,0),0)</f>
        <v>0</v>
      </c>
      <c r="AM134" s="47">
        <f>+IFERROR(HLOOKUP(AM33,'סקרי נכסים-יתרות פתיחה'!$2:$76,74,0),0)-IFERROR(HLOOKUP(AM33,'סקרי נכסים-יתרות פתיחה'!$2:$90,88,0),0)</f>
        <v>0</v>
      </c>
      <c r="AN134" s="47">
        <f>+IFERROR(HLOOKUP(AN33,'סקרי נכסים-יתרות פתיחה'!$2:$76,74,0),0)-IFERROR(HLOOKUP(AN33,'סקרי נכסים-יתרות פתיחה'!$2:$90,88,0),0)</f>
        <v>0</v>
      </c>
      <c r="AO134" s="47">
        <f>+IFERROR(HLOOKUP(AO33,'סקרי נכסים-יתרות פתיחה'!$2:$76,74,0),0)-IFERROR(HLOOKUP(AO33,'סקרי נכסים-יתרות פתיחה'!$2:$90,88,0),0)</f>
        <v>0</v>
      </c>
      <c r="AP134" s="47">
        <f>+IFERROR(HLOOKUP(AP33,'סקרי נכסים-יתרות פתיחה'!$2:$76,74,0),0)-IFERROR(HLOOKUP(AP33,'סקרי נכסים-יתרות פתיחה'!$2:$90,88,0),0)</f>
        <v>0</v>
      </c>
      <c r="AQ134" s="47">
        <f>+IFERROR(HLOOKUP(AQ33,'סקרי נכסים-יתרות פתיחה'!$2:$76,74,0),0)-IFERROR(HLOOKUP(AQ33,'סקרי נכסים-יתרות פתיחה'!$2:$90,88,0),0)</f>
        <v>0</v>
      </c>
      <c r="AR134" s="47">
        <f>+IFERROR(HLOOKUP(AR33,'סקרי נכסים-יתרות פתיחה'!$2:$76,74,0),0)-IFERROR(HLOOKUP(AR33,'סקרי נכסים-יתרות פתיחה'!$2:$90,88,0),0)</f>
        <v>0</v>
      </c>
      <c r="AS134" s="47">
        <f>+IFERROR(HLOOKUP(AS33,'סקרי נכסים-יתרות פתיחה'!$2:$76,74,0),0)-IFERROR(HLOOKUP(AS33,'סקרי נכסים-יתרות פתיחה'!$2:$90,88,0),0)</f>
        <v>0</v>
      </c>
      <c r="AT134" s="47">
        <f>+IFERROR(HLOOKUP(AT33,'סקרי נכסים-יתרות פתיחה'!$2:$76,74,0),0)-IFERROR(HLOOKUP(AT33,'סקרי נכסים-יתרות פתיחה'!$2:$90,88,0),0)</f>
        <v>0</v>
      </c>
      <c r="AU134" s="47">
        <f>+IFERROR(HLOOKUP(AU33,'סקרי נכסים-יתרות פתיחה'!$2:$76,74,0),0)-IFERROR(HLOOKUP(AU33,'סקרי נכסים-יתרות פתיחה'!$2:$90,88,0),0)</f>
        <v>0</v>
      </c>
      <c r="AV134" s="47">
        <f>+IFERROR(HLOOKUP(AV33,'סקרי נכסים-יתרות פתיחה'!$2:$76,74,0),0)-IFERROR(HLOOKUP(AV33,'סקרי נכסים-יתרות פתיחה'!$2:$90,88,0),0)</f>
        <v>0</v>
      </c>
      <c r="AW134" s="47">
        <f>+IFERROR(HLOOKUP(AW33,'סקרי נכסים-יתרות פתיחה'!$2:$76,74,0),0)-IFERROR(HLOOKUP(AW33,'סקרי נכסים-יתרות פתיחה'!$2:$90,88,0),0)</f>
        <v>0</v>
      </c>
      <c r="AX134" s="47">
        <f>+IFERROR(HLOOKUP(AX33,'סקרי נכסים-יתרות פתיחה'!$2:$76,74,0),0)-IFERROR(HLOOKUP(AX33,'סקרי נכסים-יתרות פתיחה'!$2:$90,88,0),0)</f>
        <v>0</v>
      </c>
      <c r="AY134" s="47">
        <f>+IFERROR(HLOOKUP(AY33,'סקרי נכסים-יתרות פתיחה'!$2:$76,74,0),0)-IFERROR(HLOOKUP(AY33,'סקרי נכסים-יתרות פתיחה'!$2:$90,88,0),0)</f>
        <v>0</v>
      </c>
      <c r="AZ134" s="47">
        <f>+IFERROR(HLOOKUP(AZ33,'סקרי נכסים-יתרות פתיחה'!$2:$76,74,0),0)-IFERROR(HLOOKUP(AZ33,'סקרי נכסים-יתרות פתיחה'!$2:$90,88,0),0)</f>
        <v>0</v>
      </c>
      <c r="BA134" s="47">
        <f>+IFERROR(HLOOKUP(BA33,'סקרי נכסים-יתרות פתיחה'!$2:$76,74,0),0)-IFERROR(HLOOKUP(BA33,'סקרי נכסים-יתרות פתיחה'!$2:$90,88,0),0)</f>
        <v>0</v>
      </c>
      <c r="BB134" s="47">
        <f>+IFERROR(HLOOKUP(BB33,'סקרי נכסים-יתרות פתיחה'!$2:$76,74,0),0)-IFERROR(HLOOKUP(BB33,'סקרי נכסים-יתרות פתיחה'!$2:$90,88,0),0)</f>
        <v>0</v>
      </c>
      <c r="BC134" s="47">
        <f>+IFERROR(HLOOKUP(BC33,'סקרי נכסים-יתרות פתיחה'!$2:$76,74,0),0)-IFERROR(HLOOKUP(BC33,'סקרי נכסים-יתרות פתיחה'!$2:$90,88,0),0)</f>
        <v>0</v>
      </c>
      <c r="BD134" s="47">
        <f>+IFERROR(HLOOKUP(BD33,'סקרי נכסים-יתרות פתיחה'!$2:$76,74,0),0)-IFERROR(HLOOKUP(BD33,'סקרי נכסים-יתרות פתיחה'!$2:$90,88,0),0)</f>
        <v>0</v>
      </c>
      <c r="BE134" s="47">
        <f>+IFERROR(HLOOKUP(BE33,'סקרי נכסים-יתרות פתיחה'!$2:$76,74,0),0)-IFERROR(HLOOKUP(BE33,'סקרי נכסים-יתרות פתיחה'!$2:$90,88,0),0)</f>
        <v>0</v>
      </c>
      <c r="BF134" s="47">
        <f>+IFERROR(HLOOKUP(BF33,'סקרי נכסים-יתרות פתיחה'!$2:$76,74,0),0)-IFERROR(HLOOKUP(BF33,'סקרי נכסים-יתרות פתיחה'!$2:$90,88,0),0)</f>
        <v>0</v>
      </c>
    </row>
    <row r="135" spans="1:58" x14ac:dyDescent="0.2">
      <c r="B135" s="1">
        <v>27</v>
      </c>
      <c r="C135" s="47">
        <f>+IFERROR(HLOOKUP(C34,'סקרי נכסים-יתרות פתיחה'!$2:$76,74,0),0)-IFERROR(HLOOKUP(C34,'סקרי נכסים-יתרות פתיחה'!$2:$90,88,0),0)</f>
        <v>0</v>
      </c>
      <c r="D135" s="47">
        <f>+IFERROR(HLOOKUP(D34,'סקרי נכסים-יתרות פתיחה'!$2:$76,74,0),0)-IFERROR(HLOOKUP(D34,'סקרי נכסים-יתרות פתיחה'!$2:$90,88,0),0)</f>
        <v>0</v>
      </c>
      <c r="E135" s="47">
        <f>+IFERROR(HLOOKUP(E34,'סקרי נכסים-יתרות פתיחה'!$2:$76,74,0),0)-IFERROR(HLOOKUP(E34,'סקרי נכסים-יתרות פתיחה'!$2:$90,88,0),0)</f>
        <v>0</v>
      </c>
      <c r="F135" s="47">
        <f>+IFERROR(HLOOKUP(F34,'סקרי נכסים-יתרות פתיחה'!$2:$76,74,0),0)-IFERROR(HLOOKUP(F34,'סקרי נכסים-יתרות פתיחה'!$2:$90,88,0),0)</f>
        <v>0</v>
      </c>
      <c r="G135" s="47">
        <f>+IFERROR(HLOOKUP(G34,'סקרי נכסים-יתרות פתיחה'!$2:$76,74,0),0)-IFERROR(HLOOKUP(G34,'סקרי נכסים-יתרות פתיחה'!$2:$90,88,0),0)</f>
        <v>0</v>
      </c>
      <c r="H135" s="47">
        <f>+IFERROR(HLOOKUP(H34,'סקרי נכסים-יתרות פתיחה'!$2:$76,74,0),0)-IFERROR(HLOOKUP(H34,'סקרי נכסים-יתרות פתיחה'!$2:$90,88,0),0)</f>
        <v>0</v>
      </c>
      <c r="I135" s="47">
        <f>+IFERROR(HLOOKUP(I34,'סקרי נכסים-יתרות פתיחה'!$2:$76,74,0),0)-IFERROR(HLOOKUP(I34,'סקרי נכסים-יתרות פתיחה'!$2:$90,88,0),0)</f>
        <v>0</v>
      </c>
      <c r="J135" s="47">
        <f>+IFERROR(HLOOKUP(J34,'סקרי נכסים-יתרות פתיחה'!$2:$76,74,0),0)-IFERROR(HLOOKUP(J34,'סקרי נכסים-יתרות פתיחה'!$2:$90,88,0),0)</f>
        <v>0</v>
      </c>
      <c r="K135" s="47">
        <f>+IFERROR(HLOOKUP(K34,'סקרי נכסים-יתרות פתיחה'!$2:$76,74,0),0)-IFERROR(HLOOKUP(K34,'סקרי נכסים-יתרות פתיחה'!$2:$90,88,0),0)</f>
        <v>0</v>
      </c>
      <c r="L135" s="47">
        <f>+IFERROR(HLOOKUP(L34,'סקרי נכסים-יתרות פתיחה'!$2:$76,74,0),0)-IFERROR(HLOOKUP(L34,'סקרי נכסים-יתרות פתיחה'!$2:$90,88,0),0)</f>
        <v>0</v>
      </c>
      <c r="M135" s="47">
        <f>+IFERROR(HLOOKUP(M34,'סקרי נכסים-יתרות פתיחה'!$2:$76,74,0),0)-IFERROR(HLOOKUP(M34,'סקרי נכסים-יתרות פתיחה'!$2:$90,88,0),0)</f>
        <v>0</v>
      </c>
      <c r="N135" s="47">
        <f>+IFERROR(HLOOKUP(N34,'סקרי נכסים-יתרות פתיחה'!$2:$76,74,0),0)-IFERROR(HLOOKUP(N34,'סקרי נכסים-יתרות פתיחה'!$2:$90,88,0),0)</f>
        <v>0</v>
      </c>
      <c r="O135" s="47">
        <f>+IFERROR(HLOOKUP(O34,'סקרי נכסים-יתרות פתיחה'!$2:$76,74,0),0)-IFERROR(HLOOKUP(O34,'סקרי נכסים-יתרות פתיחה'!$2:$90,88,0),0)</f>
        <v>0</v>
      </c>
      <c r="P135" s="47">
        <f>+IFERROR(HLOOKUP(P34,'סקרי נכסים-יתרות פתיחה'!$2:$76,74,0),0)-IFERROR(HLOOKUP(P34,'סקרי נכסים-יתרות פתיחה'!$2:$90,88,0),0)</f>
        <v>0</v>
      </c>
      <c r="Q135" s="47">
        <f>+IFERROR(HLOOKUP(Q34,'סקרי נכסים-יתרות פתיחה'!$2:$76,74,0),0)-IFERROR(HLOOKUP(Q34,'סקרי נכסים-יתרות פתיחה'!$2:$90,88,0),0)</f>
        <v>0</v>
      </c>
      <c r="R135" s="47">
        <f>+IFERROR(HLOOKUP(R34,'סקרי נכסים-יתרות פתיחה'!$2:$76,74,0),0)-IFERROR(HLOOKUP(R34,'סקרי נכסים-יתרות פתיחה'!$2:$90,88,0),0)</f>
        <v>0</v>
      </c>
      <c r="S135" s="47">
        <f>+IFERROR(HLOOKUP(S34,'סקרי נכסים-יתרות פתיחה'!$2:$76,74,0),0)-IFERROR(HLOOKUP(S34,'סקרי נכסים-יתרות פתיחה'!$2:$90,88,0),0)</f>
        <v>0</v>
      </c>
      <c r="T135" s="47">
        <f>+IFERROR(HLOOKUP(T34,'סקרי נכסים-יתרות פתיחה'!$2:$76,74,0),0)-IFERROR(HLOOKUP(T34,'סקרי נכסים-יתרות פתיחה'!$2:$90,88,0),0)</f>
        <v>0</v>
      </c>
      <c r="U135" s="47">
        <f>+IFERROR(HLOOKUP(U34,'סקרי נכסים-יתרות פתיחה'!$2:$76,74,0),0)-IFERROR(HLOOKUP(U34,'סקרי נכסים-יתרות פתיחה'!$2:$90,88,0),0)</f>
        <v>0</v>
      </c>
      <c r="V135" s="47">
        <f>+IFERROR(HLOOKUP(V34,'סקרי נכסים-יתרות פתיחה'!$2:$76,74,0),0)-IFERROR(HLOOKUP(V34,'סקרי נכסים-יתרות פתיחה'!$2:$90,88,0),0)</f>
        <v>0</v>
      </c>
      <c r="W135" s="47">
        <f>+IFERROR(HLOOKUP(W34,'סקרי נכסים-יתרות פתיחה'!$2:$76,74,0),0)-IFERROR(HLOOKUP(W34,'סקרי נכסים-יתרות פתיחה'!$2:$90,88,0),0)</f>
        <v>0</v>
      </c>
      <c r="X135" s="47">
        <f>+IFERROR(HLOOKUP(X34,'סקרי נכסים-יתרות פתיחה'!$2:$76,74,0),0)-IFERROR(HLOOKUP(X34,'סקרי נכסים-יתרות פתיחה'!$2:$90,88,0),0)</f>
        <v>0</v>
      </c>
      <c r="Y135" s="47">
        <f>+IFERROR(HLOOKUP(Y34,'סקרי נכסים-יתרות פתיחה'!$2:$76,74,0),0)-IFERROR(HLOOKUP(Y34,'סקרי נכסים-יתרות פתיחה'!$2:$90,88,0),0)</f>
        <v>0</v>
      </c>
      <c r="Z135" s="47">
        <f>+IFERROR(HLOOKUP(Z34,'סקרי נכסים-יתרות פתיחה'!$2:$76,74,0),0)-IFERROR(HLOOKUP(Z34,'סקרי נכסים-יתרות פתיחה'!$2:$90,88,0),0)</f>
        <v>0</v>
      </c>
      <c r="AA135" s="47">
        <f>+IFERROR(HLOOKUP(AA34,'סקרי נכסים-יתרות פתיחה'!$2:$76,74,0),0)-IFERROR(HLOOKUP(AA34,'סקרי נכסים-יתרות פתיחה'!$2:$90,88,0),0)</f>
        <v>0</v>
      </c>
      <c r="AB135" s="47">
        <f>+IFERROR(HLOOKUP(AB34,'סקרי נכסים-יתרות פתיחה'!$2:$76,74,0),0)-IFERROR(HLOOKUP(AB34,'סקרי נכסים-יתרות פתיחה'!$2:$90,88,0),0)</f>
        <v>0</v>
      </c>
      <c r="AC135" s="47">
        <f>+IFERROR(HLOOKUP(AC34,'סקרי נכסים-יתרות פתיחה'!$2:$76,74,0),0)-IFERROR(HLOOKUP(AC34,'סקרי נכסים-יתרות פתיחה'!$2:$90,88,0),0)</f>
        <v>0</v>
      </c>
      <c r="AD135" s="47">
        <f>+IFERROR(HLOOKUP(AD34,'סקרי נכסים-יתרות פתיחה'!$2:$76,74,0),0)-IFERROR(HLOOKUP(AD34,'סקרי נכסים-יתרות פתיחה'!$2:$90,88,0),0)</f>
        <v>0</v>
      </c>
      <c r="AE135" s="47">
        <f>+IFERROR(HLOOKUP(AE34,'סקרי נכסים-יתרות פתיחה'!$2:$76,74,0),0)-IFERROR(HLOOKUP(AE34,'סקרי נכסים-יתרות פתיחה'!$2:$90,88,0),0)</f>
        <v>0</v>
      </c>
      <c r="AF135" s="47">
        <f>+IFERROR(HLOOKUP(AF34,'סקרי נכסים-יתרות פתיחה'!$2:$76,74,0),0)-IFERROR(HLOOKUP(AF34,'סקרי נכסים-יתרות פתיחה'!$2:$90,88,0),0)</f>
        <v>0</v>
      </c>
      <c r="AG135" s="47">
        <f>+IFERROR(HLOOKUP(AG34,'סקרי נכסים-יתרות פתיחה'!$2:$76,74,0),0)-IFERROR(HLOOKUP(AG34,'סקרי נכסים-יתרות פתיחה'!$2:$90,88,0),0)</f>
        <v>0</v>
      </c>
      <c r="AH135" s="47">
        <f>+IFERROR(HLOOKUP(AH34,'סקרי נכסים-יתרות פתיחה'!$2:$76,74,0),0)-IFERROR(HLOOKUP(AH34,'סקרי נכסים-יתרות פתיחה'!$2:$90,88,0),0)</f>
        <v>0</v>
      </c>
      <c r="AI135" s="47">
        <f>+IFERROR(HLOOKUP(AI34,'סקרי נכסים-יתרות פתיחה'!$2:$76,74,0),0)-IFERROR(HLOOKUP(AI34,'סקרי נכסים-יתרות פתיחה'!$2:$90,88,0),0)</f>
        <v>0</v>
      </c>
      <c r="AJ135" s="47">
        <f>+IFERROR(HLOOKUP(AJ34,'סקרי נכסים-יתרות פתיחה'!$2:$76,74,0),0)-IFERROR(HLOOKUP(AJ34,'סקרי נכסים-יתרות פתיחה'!$2:$90,88,0),0)</f>
        <v>0</v>
      </c>
      <c r="AK135" s="47">
        <f>+IFERROR(HLOOKUP(AK34,'סקרי נכסים-יתרות פתיחה'!$2:$76,74,0),0)-IFERROR(HLOOKUP(AK34,'סקרי נכסים-יתרות פתיחה'!$2:$90,88,0),0)</f>
        <v>0</v>
      </c>
      <c r="AL135" s="47">
        <f>+IFERROR(HLOOKUP(AL34,'סקרי נכסים-יתרות פתיחה'!$2:$76,74,0),0)-IFERROR(HLOOKUP(AL34,'סקרי נכסים-יתרות פתיחה'!$2:$90,88,0),0)</f>
        <v>0</v>
      </c>
      <c r="AM135" s="47">
        <f>+IFERROR(HLOOKUP(AM34,'סקרי נכסים-יתרות פתיחה'!$2:$76,74,0),0)-IFERROR(HLOOKUP(AM34,'סקרי נכסים-יתרות פתיחה'!$2:$90,88,0),0)</f>
        <v>0</v>
      </c>
      <c r="AN135" s="47">
        <f>+IFERROR(HLOOKUP(AN34,'סקרי נכסים-יתרות פתיחה'!$2:$76,74,0),0)-IFERROR(HLOOKUP(AN34,'סקרי נכסים-יתרות פתיחה'!$2:$90,88,0),0)</f>
        <v>0</v>
      </c>
      <c r="AO135" s="47">
        <f>+IFERROR(HLOOKUP(AO34,'סקרי נכסים-יתרות פתיחה'!$2:$76,74,0),0)-IFERROR(HLOOKUP(AO34,'סקרי נכסים-יתרות פתיחה'!$2:$90,88,0),0)</f>
        <v>0</v>
      </c>
      <c r="AP135" s="47">
        <f>+IFERROR(HLOOKUP(AP34,'סקרי נכסים-יתרות פתיחה'!$2:$76,74,0),0)-IFERROR(HLOOKUP(AP34,'סקרי נכסים-יתרות פתיחה'!$2:$90,88,0),0)</f>
        <v>0</v>
      </c>
      <c r="AQ135" s="47">
        <f>+IFERROR(HLOOKUP(AQ34,'סקרי נכסים-יתרות פתיחה'!$2:$76,74,0),0)-IFERROR(HLOOKUP(AQ34,'סקרי נכסים-יתרות פתיחה'!$2:$90,88,0),0)</f>
        <v>0</v>
      </c>
      <c r="AR135" s="47">
        <f>+IFERROR(HLOOKUP(AR34,'סקרי נכסים-יתרות פתיחה'!$2:$76,74,0),0)-IFERROR(HLOOKUP(AR34,'סקרי נכסים-יתרות פתיחה'!$2:$90,88,0),0)</f>
        <v>0</v>
      </c>
      <c r="AS135" s="47">
        <f>+IFERROR(HLOOKUP(AS34,'סקרי נכסים-יתרות פתיחה'!$2:$76,74,0),0)-IFERROR(HLOOKUP(AS34,'סקרי נכסים-יתרות פתיחה'!$2:$90,88,0),0)</f>
        <v>0</v>
      </c>
      <c r="AT135" s="47">
        <f>+IFERROR(HLOOKUP(AT34,'סקרי נכסים-יתרות פתיחה'!$2:$76,74,0),0)-IFERROR(HLOOKUP(AT34,'סקרי נכסים-יתרות פתיחה'!$2:$90,88,0),0)</f>
        <v>0</v>
      </c>
      <c r="AU135" s="47">
        <f>+IFERROR(HLOOKUP(AU34,'סקרי נכסים-יתרות פתיחה'!$2:$76,74,0),0)-IFERROR(HLOOKUP(AU34,'סקרי נכסים-יתרות פתיחה'!$2:$90,88,0),0)</f>
        <v>0</v>
      </c>
      <c r="AV135" s="47">
        <f>+IFERROR(HLOOKUP(AV34,'סקרי נכסים-יתרות פתיחה'!$2:$76,74,0),0)-IFERROR(HLOOKUP(AV34,'סקרי נכסים-יתרות פתיחה'!$2:$90,88,0),0)</f>
        <v>0</v>
      </c>
      <c r="AW135" s="47">
        <f>+IFERROR(HLOOKUP(AW34,'סקרי נכסים-יתרות פתיחה'!$2:$76,74,0),0)-IFERROR(HLOOKUP(AW34,'סקרי נכסים-יתרות פתיחה'!$2:$90,88,0),0)</f>
        <v>0</v>
      </c>
      <c r="AX135" s="47">
        <f>+IFERROR(HLOOKUP(AX34,'סקרי נכסים-יתרות פתיחה'!$2:$76,74,0),0)-IFERROR(HLOOKUP(AX34,'סקרי נכסים-יתרות פתיחה'!$2:$90,88,0),0)</f>
        <v>0</v>
      </c>
      <c r="AY135" s="47">
        <f>+IFERROR(HLOOKUP(AY34,'סקרי נכסים-יתרות פתיחה'!$2:$76,74,0),0)-IFERROR(HLOOKUP(AY34,'סקרי נכסים-יתרות פתיחה'!$2:$90,88,0),0)</f>
        <v>0</v>
      </c>
      <c r="AZ135" s="47">
        <f>+IFERROR(HLOOKUP(AZ34,'סקרי נכסים-יתרות פתיחה'!$2:$76,74,0),0)-IFERROR(HLOOKUP(AZ34,'סקרי נכסים-יתרות פתיחה'!$2:$90,88,0),0)</f>
        <v>0</v>
      </c>
      <c r="BA135" s="47">
        <f>+IFERROR(HLOOKUP(BA34,'סקרי נכסים-יתרות פתיחה'!$2:$76,74,0),0)-IFERROR(HLOOKUP(BA34,'סקרי נכסים-יתרות פתיחה'!$2:$90,88,0),0)</f>
        <v>0</v>
      </c>
      <c r="BB135" s="47">
        <f>+IFERROR(HLOOKUP(BB34,'סקרי נכסים-יתרות פתיחה'!$2:$76,74,0),0)-IFERROR(HLOOKUP(BB34,'סקרי נכסים-יתרות פתיחה'!$2:$90,88,0),0)</f>
        <v>0</v>
      </c>
      <c r="BC135" s="47">
        <f>+IFERROR(HLOOKUP(BC34,'סקרי נכסים-יתרות פתיחה'!$2:$76,74,0),0)-IFERROR(HLOOKUP(BC34,'סקרי נכסים-יתרות פתיחה'!$2:$90,88,0),0)</f>
        <v>0</v>
      </c>
      <c r="BD135" s="47">
        <f>+IFERROR(HLOOKUP(BD34,'סקרי נכסים-יתרות פתיחה'!$2:$76,74,0),0)-IFERROR(HLOOKUP(BD34,'סקרי נכסים-יתרות פתיחה'!$2:$90,88,0),0)</f>
        <v>0</v>
      </c>
      <c r="BE135" s="47">
        <f>+IFERROR(HLOOKUP(BE34,'סקרי נכסים-יתרות פתיחה'!$2:$76,74,0),0)-IFERROR(HLOOKUP(BE34,'סקרי נכסים-יתרות פתיחה'!$2:$90,88,0),0)</f>
        <v>0</v>
      </c>
      <c r="BF135" s="47">
        <f>+IFERROR(HLOOKUP(BF34,'סקרי נכסים-יתרות פתיחה'!$2:$76,74,0),0)-IFERROR(HLOOKUP(BF34,'סקרי נכסים-יתרות פתיחה'!$2:$90,88,0),0)</f>
        <v>0</v>
      </c>
    </row>
    <row r="136" spans="1:58" x14ac:dyDescent="0.2">
      <c r="B136" s="1">
        <v>28</v>
      </c>
      <c r="C136" s="47">
        <f>+IFERROR(HLOOKUP(C35,'סקרי נכסים-יתרות פתיחה'!$2:$76,74,0),0)-IFERROR(HLOOKUP(C35,'סקרי נכסים-יתרות פתיחה'!$2:$90,88,0),0)</f>
        <v>0</v>
      </c>
      <c r="D136" s="47">
        <f>+IFERROR(HLOOKUP(D35,'סקרי נכסים-יתרות פתיחה'!$2:$76,74,0),0)-IFERROR(HLOOKUP(D35,'סקרי נכסים-יתרות פתיחה'!$2:$90,88,0),0)</f>
        <v>0</v>
      </c>
      <c r="E136" s="47">
        <f>+IFERROR(HLOOKUP(E35,'סקרי נכסים-יתרות פתיחה'!$2:$76,74,0),0)-IFERROR(HLOOKUP(E35,'סקרי נכסים-יתרות פתיחה'!$2:$90,88,0),0)</f>
        <v>0</v>
      </c>
      <c r="F136" s="47">
        <f>+IFERROR(HLOOKUP(F35,'סקרי נכסים-יתרות פתיחה'!$2:$76,74,0),0)-IFERROR(HLOOKUP(F35,'סקרי נכסים-יתרות פתיחה'!$2:$90,88,0),0)</f>
        <v>0</v>
      </c>
      <c r="G136" s="47">
        <f>+IFERROR(HLOOKUP(G35,'סקרי נכסים-יתרות פתיחה'!$2:$76,74,0),0)-IFERROR(HLOOKUP(G35,'סקרי נכסים-יתרות פתיחה'!$2:$90,88,0),0)</f>
        <v>0</v>
      </c>
      <c r="H136" s="47">
        <f>+IFERROR(HLOOKUP(H35,'סקרי נכסים-יתרות פתיחה'!$2:$76,74,0),0)-IFERROR(HLOOKUP(H35,'סקרי נכסים-יתרות פתיחה'!$2:$90,88,0),0)</f>
        <v>0</v>
      </c>
      <c r="I136" s="47">
        <f>+IFERROR(HLOOKUP(I35,'סקרי נכסים-יתרות פתיחה'!$2:$76,74,0),0)-IFERROR(HLOOKUP(I35,'סקרי נכסים-יתרות פתיחה'!$2:$90,88,0),0)</f>
        <v>0</v>
      </c>
      <c r="J136" s="47">
        <f>+IFERROR(HLOOKUP(J35,'סקרי נכסים-יתרות פתיחה'!$2:$76,74,0),0)-IFERROR(HLOOKUP(J35,'סקרי נכסים-יתרות פתיחה'!$2:$90,88,0),0)</f>
        <v>0</v>
      </c>
      <c r="K136" s="47">
        <f>+IFERROR(HLOOKUP(K35,'סקרי נכסים-יתרות פתיחה'!$2:$76,74,0),0)-IFERROR(HLOOKUP(K35,'סקרי נכסים-יתרות פתיחה'!$2:$90,88,0),0)</f>
        <v>0</v>
      </c>
      <c r="L136" s="47">
        <f>+IFERROR(HLOOKUP(L35,'סקרי נכסים-יתרות פתיחה'!$2:$76,74,0),0)-IFERROR(HLOOKUP(L35,'סקרי נכסים-יתרות פתיחה'!$2:$90,88,0),0)</f>
        <v>0</v>
      </c>
      <c r="M136" s="47">
        <f>+IFERROR(HLOOKUP(M35,'סקרי נכסים-יתרות פתיחה'!$2:$76,74,0),0)-IFERROR(HLOOKUP(M35,'סקרי נכסים-יתרות פתיחה'!$2:$90,88,0),0)</f>
        <v>0</v>
      </c>
      <c r="N136" s="47">
        <f>+IFERROR(HLOOKUP(N35,'סקרי נכסים-יתרות פתיחה'!$2:$76,74,0),0)-IFERROR(HLOOKUP(N35,'סקרי נכסים-יתרות פתיחה'!$2:$90,88,0),0)</f>
        <v>0</v>
      </c>
      <c r="O136" s="47">
        <f>+IFERROR(HLOOKUP(O35,'סקרי נכסים-יתרות פתיחה'!$2:$76,74,0),0)-IFERROR(HLOOKUP(O35,'סקרי נכסים-יתרות פתיחה'!$2:$90,88,0),0)</f>
        <v>0</v>
      </c>
      <c r="P136" s="47">
        <f>+IFERROR(HLOOKUP(P35,'סקרי נכסים-יתרות פתיחה'!$2:$76,74,0),0)-IFERROR(HLOOKUP(P35,'סקרי נכסים-יתרות פתיחה'!$2:$90,88,0),0)</f>
        <v>0</v>
      </c>
      <c r="Q136" s="47">
        <f>+IFERROR(HLOOKUP(Q35,'סקרי נכסים-יתרות פתיחה'!$2:$76,74,0),0)-IFERROR(HLOOKUP(Q35,'סקרי נכסים-יתרות פתיחה'!$2:$90,88,0),0)</f>
        <v>0</v>
      </c>
      <c r="R136" s="47">
        <f>+IFERROR(HLOOKUP(R35,'סקרי נכסים-יתרות פתיחה'!$2:$76,74,0),0)-IFERROR(HLOOKUP(R35,'סקרי נכסים-יתרות פתיחה'!$2:$90,88,0),0)</f>
        <v>0</v>
      </c>
      <c r="S136" s="47">
        <f>+IFERROR(HLOOKUP(S35,'סקרי נכסים-יתרות פתיחה'!$2:$76,74,0),0)-IFERROR(HLOOKUP(S35,'סקרי נכסים-יתרות פתיחה'!$2:$90,88,0),0)</f>
        <v>0</v>
      </c>
      <c r="T136" s="47">
        <f>+IFERROR(HLOOKUP(T35,'סקרי נכסים-יתרות פתיחה'!$2:$76,74,0),0)-IFERROR(HLOOKUP(T35,'סקרי נכסים-יתרות פתיחה'!$2:$90,88,0),0)</f>
        <v>0</v>
      </c>
      <c r="U136" s="47">
        <f>+IFERROR(HLOOKUP(U35,'סקרי נכסים-יתרות פתיחה'!$2:$76,74,0),0)-IFERROR(HLOOKUP(U35,'סקרי נכסים-יתרות פתיחה'!$2:$90,88,0),0)</f>
        <v>0</v>
      </c>
      <c r="V136" s="47">
        <f>+IFERROR(HLOOKUP(V35,'סקרי נכסים-יתרות פתיחה'!$2:$76,74,0),0)-IFERROR(HLOOKUP(V35,'סקרי נכסים-יתרות פתיחה'!$2:$90,88,0),0)</f>
        <v>0</v>
      </c>
      <c r="W136" s="47">
        <f>+IFERROR(HLOOKUP(W35,'סקרי נכסים-יתרות פתיחה'!$2:$76,74,0),0)-IFERROR(HLOOKUP(W35,'סקרי נכסים-יתרות פתיחה'!$2:$90,88,0),0)</f>
        <v>0</v>
      </c>
      <c r="X136" s="47">
        <f>+IFERROR(HLOOKUP(X35,'סקרי נכסים-יתרות פתיחה'!$2:$76,74,0),0)-IFERROR(HLOOKUP(X35,'סקרי נכסים-יתרות פתיחה'!$2:$90,88,0),0)</f>
        <v>0</v>
      </c>
      <c r="Y136" s="47">
        <f>+IFERROR(HLOOKUP(Y35,'סקרי נכסים-יתרות פתיחה'!$2:$76,74,0),0)-IFERROR(HLOOKUP(Y35,'סקרי נכסים-יתרות פתיחה'!$2:$90,88,0),0)</f>
        <v>0</v>
      </c>
      <c r="Z136" s="47">
        <f>+IFERROR(HLOOKUP(Z35,'סקרי נכסים-יתרות פתיחה'!$2:$76,74,0),0)-IFERROR(HLOOKUP(Z35,'סקרי נכסים-יתרות פתיחה'!$2:$90,88,0),0)</f>
        <v>0</v>
      </c>
      <c r="AA136" s="47">
        <f>+IFERROR(HLOOKUP(AA35,'סקרי נכסים-יתרות פתיחה'!$2:$76,74,0),0)-IFERROR(HLOOKUP(AA35,'סקרי נכסים-יתרות פתיחה'!$2:$90,88,0),0)</f>
        <v>0</v>
      </c>
      <c r="AB136" s="47">
        <f>+IFERROR(HLOOKUP(AB35,'סקרי נכסים-יתרות פתיחה'!$2:$76,74,0),0)-IFERROR(HLOOKUP(AB35,'סקרי נכסים-יתרות פתיחה'!$2:$90,88,0),0)</f>
        <v>0</v>
      </c>
      <c r="AC136" s="47">
        <f>+IFERROR(HLOOKUP(AC35,'סקרי נכסים-יתרות פתיחה'!$2:$76,74,0),0)-IFERROR(HLOOKUP(AC35,'סקרי נכסים-יתרות פתיחה'!$2:$90,88,0),0)</f>
        <v>0</v>
      </c>
      <c r="AD136" s="47">
        <f>+IFERROR(HLOOKUP(AD35,'סקרי נכסים-יתרות פתיחה'!$2:$76,74,0),0)-IFERROR(HLOOKUP(AD35,'סקרי נכסים-יתרות פתיחה'!$2:$90,88,0),0)</f>
        <v>0</v>
      </c>
      <c r="AE136" s="47">
        <f>+IFERROR(HLOOKUP(AE35,'סקרי נכסים-יתרות פתיחה'!$2:$76,74,0),0)-IFERROR(HLOOKUP(AE35,'סקרי נכסים-יתרות פתיחה'!$2:$90,88,0),0)</f>
        <v>0</v>
      </c>
      <c r="AF136" s="47">
        <f>+IFERROR(HLOOKUP(AF35,'סקרי נכסים-יתרות פתיחה'!$2:$76,74,0),0)-IFERROR(HLOOKUP(AF35,'סקרי נכסים-יתרות פתיחה'!$2:$90,88,0),0)</f>
        <v>0</v>
      </c>
      <c r="AG136" s="47">
        <f>+IFERROR(HLOOKUP(AG35,'סקרי נכסים-יתרות פתיחה'!$2:$76,74,0),0)-IFERROR(HLOOKUP(AG35,'סקרי נכסים-יתרות פתיחה'!$2:$90,88,0),0)</f>
        <v>0</v>
      </c>
      <c r="AH136" s="47">
        <f>+IFERROR(HLOOKUP(AH35,'סקרי נכסים-יתרות פתיחה'!$2:$76,74,0),0)-IFERROR(HLOOKUP(AH35,'סקרי נכסים-יתרות פתיחה'!$2:$90,88,0),0)</f>
        <v>0</v>
      </c>
      <c r="AI136" s="47">
        <f>+IFERROR(HLOOKUP(AI35,'סקרי נכסים-יתרות פתיחה'!$2:$76,74,0),0)-IFERROR(HLOOKUP(AI35,'סקרי נכסים-יתרות פתיחה'!$2:$90,88,0),0)</f>
        <v>0</v>
      </c>
      <c r="AJ136" s="47">
        <f>+IFERROR(HLOOKUP(AJ35,'סקרי נכסים-יתרות פתיחה'!$2:$76,74,0),0)-IFERROR(HLOOKUP(AJ35,'סקרי נכסים-יתרות פתיחה'!$2:$90,88,0),0)</f>
        <v>0</v>
      </c>
      <c r="AK136" s="47">
        <f>+IFERROR(HLOOKUP(AK35,'סקרי נכסים-יתרות פתיחה'!$2:$76,74,0),0)-IFERROR(HLOOKUP(AK35,'סקרי נכסים-יתרות פתיחה'!$2:$90,88,0),0)</f>
        <v>0</v>
      </c>
      <c r="AL136" s="47">
        <f>+IFERROR(HLOOKUP(AL35,'סקרי נכסים-יתרות פתיחה'!$2:$76,74,0),0)-IFERROR(HLOOKUP(AL35,'סקרי נכסים-יתרות פתיחה'!$2:$90,88,0),0)</f>
        <v>0</v>
      </c>
      <c r="AM136" s="47">
        <f>+IFERROR(HLOOKUP(AM35,'סקרי נכסים-יתרות פתיחה'!$2:$76,74,0),0)-IFERROR(HLOOKUP(AM35,'סקרי נכסים-יתרות פתיחה'!$2:$90,88,0),0)</f>
        <v>0</v>
      </c>
      <c r="AN136" s="47">
        <f>+IFERROR(HLOOKUP(AN35,'סקרי נכסים-יתרות פתיחה'!$2:$76,74,0),0)-IFERROR(HLOOKUP(AN35,'סקרי נכסים-יתרות פתיחה'!$2:$90,88,0),0)</f>
        <v>0</v>
      </c>
      <c r="AO136" s="47">
        <f>+IFERROR(HLOOKUP(AO35,'סקרי נכסים-יתרות פתיחה'!$2:$76,74,0),0)-IFERROR(HLOOKUP(AO35,'סקרי נכסים-יתרות פתיחה'!$2:$90,88,0),0)</f>
        <v>0</v>
      </c>
      <c r="AP136" s="47">
        <f>+IFERROR(HLOOKUP(AP35,'סקרי נכסים-יתרות פתיחה'!$2:$76,74,0),0)-IFERROR(HLOOKUP(AP35,'סקרי נכסים-יתרות פתיחה'!$2:$90,88,0),0)</f>
        <v>0</v>
      </c>
      <c r="AQ136" s="47">
        <f>+IFERROR(HLOOKUP(AQ35,'סקרי נכסים-יתרות פתיחה'!$2:$76,74,0),0)-IFERROR(HLOOKUP(AQ35,'סקרי נכסים-יתרות פתיחה'!$2:$90,88,0),0)</f>
        <v>0</v>
      </c>
      <c r="AR136" s="47">
        <f>+IFERROR(HLOOKUP(AR35,'סקרי נכסים-יתרות פתיחה'!$2:$76,74,0),0)-IFERROR(HLOOKUP(AR35,'סקרי נכסים-יתרות פתיחה'!$2:$90,88,0),0)</f>
        <v>0</v>
      </c>
      <c r="AS136" s="47">
        <f>+IFERROR(HLOOKUP(AS35,'סקרי נכסים-יתרות פתיחה'!$2:$76,74,0),0)-IFERROR(HLOOKUP(AS35,'סקרי נכסים-יתרות פתיחה'!$2:$90,88,0),0)</f>
        <v>0</v>
      </c>
      <c r="AT136" s="47">
        <f>+IFERROR(HLOOKUP(AT35,'סקרי נכסים-יתרות פתיחה'!$2:$76,74,0),0)-IFERROR(HLOOKUP(AT35,'סקרי נכסים-יתרות פתיחה'!$2:$90,88,0),0)</f>
        <v>0</v>
      </c>
      <c r="AU136" s="47">
        <f>+IFERROR(HLOOKUP(AU35,'סקרי נכסים-יתרות פתיחה'!$2:$76,74,0),0)-IFERROR(HLOOKUP(AU35,'סקרי נכסים-יתרות פתיחה'!$2:$90,88,0),0)</f>
        <v>0</v>
      </c>
      <c r="AV136" s="47">
        <f>+IFERROR(HLOOKUP(AV35,'סקרי נכסים-יתרות פתיחה'!$2:$76,74,0),0)-IFERROR(HLOOKUP(AV35,'סקרי נכסים-יתרות פתיחה'!$2:$90,88,0),0)</f>
        <v>0</v>
      </c>
      <c r="AW136" s="47">
        <f>+IFERROR(HLOOKUP(AW35,'סקרי נכסים-יתרות פתיחה'!$2:$76,74,0),0)-IFERROR(HLOOKUP(AW35,'סקרי נכסים-יתרות פתיחה'!$2:$90,88,0),0)</f>
        <v>0</v>
      </c>
      <c r="AX136" s="47">
        <f>+IFERROR(HLOOKUP(AX35,'סקרי נכסים-יתרות פתיחה'!$2:$76,74,0),0)-IFERROR(HLOOKUP(AX35,'סקרי נכסים-יתרות פתיחה'!$2:$90,88,0),0)</f>
        <v>0</v>
      </c>
      <c r="AY136" s="47">
        <f>+IFERROR(HLOOKUP(AY35,'סקרי נכסים-יתרות פתיחה'!$2:$76,74,0),0)-IFERROR(HLOOKUP(AY35,'סקרי נכסים-יתרות פתיחה'!$2:$90,88,0),0)</f>
        <v>0</v>
      </c>
      <c r="AZ136" s="47">
        <f>+IFERROR(HLOOKUP(AZ35,'סקרי נכסים-יתרות פתיחה'!$2:$76,74,0),0)-IFERROR(HLOOKUP(AZ35,'סקרי נכסים-יתרות פתיחה'!$2:$90,88,0),0)</f>
        <v>0</v>
      </c>
      <c r="BA136" s="47">
        <f>+IFERROR(HLOOKUP(BA35,'סקרי נכסים-יתרות פתיחה'!$2:$76,74,0),0)-IFERROR(HLOOKUP(BA35,'סקרי נכסים-יתרות פתיחה'!$2:$90,88,0),0)</f>
        <v>0</v>
      </c>
      <c r="BB136" s="47">
        <f>+IFERROR(HLOOKUP(BB35,'סקרי נכסים-יתרות פתיחה'!$2:$76,74,0),0)-IFERROR(HLOOKUP(BB35,'סקרי נכסים-יתרות פתיחה'!$2:$90,88,0),0)</f>
        <v>0</v>
      </c>
      <c r="BC136" s="47">
        <f>+IFERROR(HLOOKUP(BC35,'סקרי נכסים-יתרות פתיחה'!$2:$76,74,0),0)-IFERROR(HLOOKUP(BC35,'סקרי נכסים-יתרות פתיחה'!$2:$90,88,0),0)</f>
        <v>0</v>
      </c>
      <c r="BD136" s="47">
        <f>+IFERROR(HLOOKUP(BD35,'סקרי נכסים-יתרות פתיחה'!$2:$76,74,0),0)-IFERROR(HLOOKUP(BD35,'סקרי נכסים-יתרות פתיחה'!$2:$90,88,0),0)</f>
        <v>0</v>
      </c>
      <c r="BE136" s="47">
        <f>+IFERROR(HLOOKUP(BE35,'סקרי נכסים-יתרות פתיחה'!$2:$76,74,0),0)-IFERROR(HLOOKUP(BE35,'סקרי נכסים-יתרות פתיחה'!$2:$90,88,0),0)</f>
        <v>0</v>
      </c>
      <c r="BF136" s="47">
        <f>+IFERROR(HLOOKUP(BF35,'סקרי נכסים-יתרות פתיחה'!$2:$76,74,0),0)-IFERROR(HLOOKUP(BF35,'סקרי נכסים-יתרות פתיחה'!$2:$90,88,0),0)</f>
        <v>0</v>
      </c>
    </row>
    <row r="137" spans="1:58" x14ac:dyDescent="0.2">
      <c r="B137" s="1">
        <v>29</v>
      </c>
      <c r="C137" s="47">
        <f>+IFERROR(HLOOKUP(C36,'סקרי נכסים-יתרות פתיחה'!$2:$76,74,0),0)-IFERROR(HLOOKUP(C36,'סקרי נכסים-יתרות פתיחה'!$2:$90,88,0),0)</f>
        <v>0</v>
      </c>
      <c r="D137" s="47">
        <f>+IFERROR(HLOOKUP(D36,'סקרי נכסים-יתרות פתיחה'!$2:$76,74,0),0)-IFERROR(HLOOKUP(D36,'סקרי נכסים-יתרות פתיחה'!$2:$90,88,0),0)</f>
        <v>0</v>
      </c>
      <c r="E137" s="47">
        <f>+IFERROR(HLOOKUP(E36,'סקרי נכסים-יתרות פתיחה'!$2:$76,74,0),0)-IFERROR(HLOOKUP(E36,'סקרי נכסים-יתרות פתיחה'!$2:$90,88,0),0)</f>
        <v>0</v>
      </c>
      <c r="F137" s="47">
        <f>+IFERROR(HLOOKUP(F36,'סקרי נכסים-יתרות פתיחה'!$2:$76,74,0),0)-IFERROR(HLOOKUP(F36,'סקרי נכסים-יתרות פתיחה'!$2:$90,88,0),0)</f>
        <v>0</v>
      </c>
      <c r="G137" s="47">
        <f>+IFERROR(HLOOKUP(G36,'סקרי נכסים-יתרות פתיחה'!$2:$76,74,0),0)-IFERROR(HLOOKUP(G36,'סקרי נכסים-יתרות פתיחה'!$2:$90,88,0),0)</f>
        <v>0</v>
      </c>
      <c r="H137" s="47">
        <f>+IFERROR(HLOOKUP(H36,'סקרי נכסים-יתרות פתיחה'!$2:$76,74,0),0)-IFERROR(HLOOKUP(H36,'סקרי נכסים-יתרות פתיחה'!$2:$90,88,0),0)</f>
        <v>0</v>
      </c>
      <c r="I137" s="47">
        <f>+IFERROR(HLOOKUP(I36,'סקרי נכסים-יתרות פתיחה'!$2:$76,74,0),0)-IFERROR(HLOOKUP(I36,'סקרי נכסים-יתרות פתיחה'!$2:$90,88,0),0)</f>
        <v>0</v>
      </c>
      <c r="J137" s="47">
        <f>+IFERROR(HLOOKUP(J36,'סקרי נכסים-יתרות פתיחה'!$2:$76,74,0),0)-IFERROR(HLOOKUP(J36,'סקרי נכסים-יתרות פתיחה'!$2:$90,88,0),0)</f>
        <v>0</v>
      </c>
      <c r="K137" s="47">
        <f>+IFERROR(HLOOKUP(K36,'סקרי נכסים-יתרות פתיחה'!$2:$76,74,0),0)-IFERROR(HLOOKUP(K36,'סקרי נכסים-יתרות פתיחה'!$2:$90,88,0),0)</f>
        <v>0</v>
      </c>
      <c r="L137" s="47">
        <f>+IFERROR(HLOOKUP(L36,'סקרי נכסים-יתרות פתיחה'!$2:$76,74,0),0)-IFERROR(HLOOKUP(L36,'סקרי נכסים-יתרות פתיחה'!$2:$90,88,0),0)</f>
        <v>0</v>
      </c>
      <c r="M137" s="47">
        <f>+IFERROR(HLOOKUP(M36,'סקרי נכסים-יתרות פתיחה'!$2:$76,74,0),0)-IFERROR(HLOOKUP(M36,'סקרי נכסים-יתרות פתיחה'!$2:$90,88,0),0)</f>
        <v>0</v>
      </c>
      <c r="N137" s="47">
        <f>+IFERROR(HLOOKUP(N36,'סקרי נכסים-יתרות פתיחה'!$2:$76,74,0),0)-IFERROR(HLOOKUP(N36,'סקרי נכסים-יתרות פתיחה'!$2:$90,88,0),0)</f>
        <v>0</v>
      </c>
      <c r="O137" s="47">
        <f>+IFERROR(HLOOKUP(O36,'סקרי נכסים-יתרות פתיחה'!$2:$76,74,0),0)-IFERROR(HLOOKUP(O36,'סקרי נכסים-יתרות פתיחה'!$2:$90,88,0),0)</f>
        <v>0</v>
      </c>
      <c r="P137" s="47">
        <f>+IFERROR(HLOOKUP(P36,'סקרי נכסים-יתרות פתיחה'!$2:$76,74,0),0)-IFERROR(HLOOKUP(P36,'סקרי נכסים-יתרות פתיחה'!$2:$90,88,0),0)</f>
        <v>0</v>
      </c>
      <c r="Q137" s="47">
        <f>+IFERROR(HLOOKUP(Q36,'סקרי נכסים-יתרות פתיחה'!$2:$76,74,0),0)-IFERROR(HLOOKUP(Q36,'סקרי נכסים-יתרות פתיחה'!$2:$90,88,0),0)</f>
        <v>0</v>
      </c>
      <c r="R137" s="47">
        <f>+IFERROR(HLOOKUP(R36,'סקרי נכסים-יתרות פתיחה'!$2:$76,74,0),0)-IFERROR(HLOOKUP(R36,'סקרי נכסים-יתרות פתיחה'!$2:$90,88,0),0)</f>
        <v>0</v>
      </c>
      <c r="S137" s="47">
        <f>+IFERROR(HLOOKUP(S36,'סקרי נכסים-יתרות פתיחה'!$2:$76,74,0),0)-IFERROR(HLOOKUP(S36,'סקרי נכסים-יתרות פתיחה'!$2:$90,88,0),0)</f>
        <v>0</v>
      </c>
      <c r="T137" s="47">
        <f>+IFERROR(HLOOKUP(T36,'סקרי נכסים-יתרות פתיחה'!$2:$76,74,0),0)-IFERROR(HLOOKUP(T36,'סקרי נכסים-יתרות פתיחה'!$2:$90,88,0),0)</f>
        <v>0</v>
      </c>
      <c r="U137" s="47">
        <f>+IFERROR(HLOOKUP(U36,'סקרי נכסים-יתרות פתיחה'!$2:$76,74,0),0)-IFERROR(HLOOKUP(U36,'סקרי נכסים-יתרות פתיחה'!$2:$90,88,0),0)</f>
        <v>0</v>
      </c>
      <c r="V137" s="47">
        <f>+IFERROR(HLOOKUP(V36,'סקרי נכסים-יתרות פתיחה'!$2:$76,74,0),0)-IFERROR(HLOOKUP(V36,'סקרי נכסים-יתרות פתיחה'!$2:$90,88,0),0)</f>
        <v>0</v>
      </c>
      <c r="W137" s="47">
        <f>+IFERROR(HLOOKUP(W36,'סקרי נכסים-יתרות פתיחה'!$2:$76,74,0),0)-IFERROR(HLOOKUP(W36,'סקרי נכסים-יתרות פתיחה'!$2:$90,88,0),0)</f>
        <v>0</v>
      </c>
      <c r="X137" s="47">
        <f>+IFERROR(HLOOKUP(X36,'סקרי נכסים-יתרות פתיחה'!$2:$76,74,0),0)-IFERROR(HLOOKUP(X36,'סקרי נכסים-יתרות פתיחה'!$2:$90,88,0),0)</f>
        <v>0</v>
      </c>
      <c r="Y137" s="47">
        <f>+IFERROR(HLOOKUP(Y36,'סקרי נכסים-יתרות פתיחה'!$2:$76,74,0),0)-IFERROR(HLOOKUP(Y36,'סקרי נכסים-יתרות פתיחה'!$2:$90,88,0),0)</f>
        <v>0</v>
      </c>
      <c r="Z137" s="47">
        <f>+IFERROR(HLOOKUP(Z36,'סקרי נכסים-יתרות פתיחה'!$2:$76,74,0),0)-IFERROR(HLOOKUP(Z36,'סקרי נכסים-יתרות פתיחה'!$2:$90,88,0),0)</f>
        <v>0</v>
      </c>
      <c r="AA137" s="47">
        <f>+IFERROR(HLOOKUP(AA36,'סקרי נכסים-יתרות פתיחה'!$2:$76,74,0),0)-IFERROR(HLOOKUP(AA36,'סקרי נכסים-יתרות פתיחה'!$2:$90,88,0),0)</f>
        <v>0</v>
      </c>
      <c r="AB137" s="47">
        <f>+IFERROR(HLOOKUP(AB36,'סקרי נכסים-יתרות פתיחה'!$2:$76,74,0),0)-IFERROR(HLOOKUP(AB36,'סקרי נכסים-יתרות פתיחה'!$2:$90,88,0),0)</f>
        <v>0</v>
      </c>
      <c r="AC137" s="47">
        <f>+IFERROR(HLOOKUP(AC36,'סקרי נכסים-יתרות פתיחה'!$2:$76,74,0),0)-IFERROR(HLOOKUP(AC36,'סקרי נכסים-יתרות פתיחה'!$2:$90,88,0),0)</f>
        <v>0</v>
      </c>
      <c r="AD137" s="47">
        <f>+IFERROR(HLOOKUP(AD36,'סקרי נכסים-יתרות פתיחה'!$2:$76,74,0),0)-IFERROR(HLOOKUP(AD36,'סקרי נכסים-יתרות פתיחה'!$2:$90,88,0),0)</f>
        <v>0</v>
      </c>
      <c r="AE137" s="47">
        <f>+IFERROR(HLOOKUP(AE36,'סקרי נכסים-יתרות פתיחה'!$2:$76,74,0),0)-IFERROR(HLOOKUP(AE36,'סקרי נכסים-יתרות פתיחה'!$2:$90,88,0),0)</f>
        <v>0</v>
      </c>
      <c r="AF137" s="47">
        <f>+IFERROR(HLOOKUP(AF36,'סקרי נכסים-יתרות פתיחה'!$2:$76,74,0),0)-IFERROR(HLOOKUP(AF36,'סקרי נכסים-יתרות פתיחה'!$2:$90,88,0),0)</f>
        <v>0</v>
      </c>
      <c r="AG137" s="47">
        <f>+IFERROR(HLOOKUP(AG36,'סקרי נכסים-יתרות פתיחה'!$2:$76,74,0),0)-IFERROR(HLOOKUP(AG36,'סקרי נכסים-יתרות פתיחה'!$2:$90,88,0),0)</f>
        <v>0</v>
      </c>
      <c r="AH137" s="47">
        <f>+IFERROR(HLOOKUP(AH36,'סקרי נכסים-יתרות פתיחה'!$2:$76,74,0),0)-IFERROR(HLOOKUP(AH36,'סקרי נכסים-יתרות פתיחה'!$2:$90,88,0),0)</f>
        <v>0</v>
      </c>
      <c r="AI137" s="47">
        <f>+IFERROR(HLOOKUP(AI36,'סקרי נכסים-יתרות פתיחה'!$2:$76,74,0),0)-IFERROR(HLOOKUP(AI36,'סקרי נכסים-יתרות פתיחה'!$2:$90,88,0),0)</f>
        <v>0</v>
      </c>
      <c r="AJ137" s="47">
        <f>+IFERROR(HLOOKUP(AJ36,'סקרי נכסים-יתרות פתיחה'!$2:$76,74,0),0)-IFERROR(HLOOKUP(AJ36,'סקרי נכסים-יתרות פתיחה'!$2:$90,88,0),0)</f>
        <v>0</v>
      </c>
      <c r="AK137" s="47">
        <f>+IFERROR(HLOOKUP(AK36,'סקרי נכסים-יתרות פתיחה'!$2:$76,74,0),0)-IFERROR(HLOOKUP(AK36,'סקרי נכסים-יתרות פתיחה'!$2:$90,88,0),0)</f>
        <v>0</v>
      </c>
      <c r="AL137" s="47">
        <f>+IFERROR(HLOOKUP(AL36,'סקרי נכסים-יתרות פתיחה'!$2:$76,74,0),0)-IFERROR(HLOOKUP(AL36,'סקרי נכסים-יתרות פתיחה'!$2:$90,88,0),0)</f>
        <v>0</v>
      </c>
      <c r="AM137" s="47">
        <f>+IFERROR(HLOOKUP(AM36,'סקרי נכסים-יתרות פתיחה'!$2:$76,74,0),0)-IFERROR(HLOOKUP(AM36,'סקרי נכסים-יתרות פתיחה'!$2:$90,88,0),0)</f>
        <v>0</v>
      </c>
      <c r="AN137" s="47">
        <f>+IFERROR(HLOOKUP(AN36,'סקרי נכסים-יתרות פתיחה'!$2:$76,74,0),0)-IFERROR(HLOOKUP(AN36,'סקרי נכסים-יתרות פתיחה'!$2:$90,88,0),0)</f>
        <v>0</v>
      </c>
      <c r="AO137" s="47">
        <f>+IFERROR(HLOOKUP(AO36,'סקרי נכסים-יתרות פתיחה'!$2:$76,74,0),0)-IFERROR(HLOOKUP(AO36,'סקרי נכסים-יתרות פתיחה'!$2:$90,88,0),0)</f>
        <v>0</v>
      </c>
      <c r="AP137" s="47">
        <f>+IFERROR(HLOOKUP(AP36,'סקרי נכסים-יתרות פתיחה'!$2:$76,74,0),0)-IFERROR(HLOOKUP(AP36,'סקרי נכסים-יתרות פתיחה'!$2:$90,88,0),0)</f>
        <v>0</v>
      </c>
      <c r="AQ137" s="47">
        <f>+IFERROR(HLOOKUP(AQ36,'סקרי נכסים-יתרות פתיחה'!$2:$76,74,0),0)-IFERROR(HLOOKUP(AQ36,'סקרי נכסים-יתרות פתיחה'!$2:$90,88,0),0)</f>
        <v>0</v>
      </c>
      <c r="AR137" s="47">
        <f>+IFERROR(HLOOKUP(AR36,'סקרי נכסים-יתרות פתיחה'!$2:$76,74,0),0)-IFERROR(HLOOKUP(AR36,'סקרי נכסים-יתרות פתיחה'!$2:$90,88,0),0)</f>
        <v>0</v>
      </c>
      <c r="AS137" s="47">
        <f>+IFERROR(HLOOKUP(AS36,'סקרי נכסים-יתרות פתיחה'!$2:$76,74,0),0)-IFERROR(HLOOKUP(AS36,'סקרי נכסים-יתרות פתיחה'!$2:$90,88,0),0)</f>
        <v>0</v>
      </c>
      <c r="AT137" s="47">
        <f>+IFERROR(HLOOKUP(AT36,'סקרי נכסים-יתרות פתיחה'!$2:$76,74,0),0)-IFERROR(HLOOKUP(AT36,'סקרי נכסים-יתרות פתיחה'!$2:$90,88,0),0)</f>
        <v>0</v>
      </c>
      <c r="AU137" s="47">
        <f>+IFERROR(HLOOKUP(AU36,'סקרי נכסים-יתרות פתיחה'!$2:$76,74,0),0)-IFERROR(HLOOKUP(AU36,'סקרי נכסים-יתרות פתיחה'!$2:$90,88,0),0)</f>
        <v>0</v>
      </c>
      <c r="AV137" s="47">
        <f>+IFERROR(HLOOKUP(AV36,'סקרי נכסים-יתרות פתיחה'!$2:$76,74,0),0)-IFERROR(HLOOKUP(AV36,'סקרי נכסים-יתרות פתיחה'!$2:$90,88,0),0)</f>
        <v>0</v>
      </c>
      <c r="AW137" s="47">
        <f>+IFERROR(HLOOKUP(AW36,'סקרי נכסים-יתרות פתיחה'!$2:$76,74,0),0)-IFERROR(HLOOKUP(AW36,'סקרי נכסים-יתרות פתיחה'!$2:$90,88,0),0)</f>
        <v>0</v>
      </c>
      <c r="AX137" s="47">
        <f>+IFERROR(HLOOKUP(AX36,'סקרי נכסים-יתרות פתיחה'!$2:$76,74,0),0)-IFERROR(HLOOKUP(AX36,'סקרי נכסים-יתרות פתיחה'!$2:$90,88,0),0)</f>
        <v>0</v>
      </c>
      <c r="AY137" s="47">
        <f>+IFERROR(HLOOKUP(AY36,'סקרי נכסים-יתרות פתיחה'!$2:$76,74,0),0)-IFERROR(HLOOKUP(AY36,'סקרי נכסים-יתרות פתיחה'!$2:$90,88,0),0)</f>
        <v>0</v>
      </c>
      <c r="AZ137" s="47">
        <f>+IFERROR(HLOOKUP(AZ36,'סקרי נכסים-יתרות פתיחה'!$2:$76,74,0),0)-IFERROR(HLOOKUP(AZ36,'סקרי נכסים-יתרות פתיחה'!$2:$90,88,0),0)</f>
        <v>0</v>
      </c>
      <c r="BA137" s="47">
        <f>+IFERROR(HLOOKUP(BA36,'סקרי נכסים-יתרות פתיחה'!$2:$76,74,0),0)-IFERROR(HLOOKUP(BA36,'סקרי נכסים-יתרות פתיחה'!$2:$90,88,0),0)</f>
        <v>0</v>
      </c>
      <c r="BB137" s="47">
        <f>+IFERROR(HLOOKUP(BB36,'סקרי נכסים-יתרות פתיחה'!$2:$76,74,0),0)-IFERROR(HLOOKUP(BB36,'סקרי נכסים-יתרות פתיחה'!$2:$90,88,0),0)</f>
        <v>0</v>
      </c>
      <c r="BC137" s="47">
        <f>+IFERROR(HLOOKUP(BC36,'סקרי נכסים-יתרות פתיחה'!$2:$76,74,0),0)-IFERROR(HLOOKUP(BC36,'סקרי נכסים-יתרות פתיחה'!$2:$90,88,0),0)</f>
        <v>0</v>
      </c>
      <c r="BD137" s="47">
        <f>+IFERROR(HLOOKUP(BD36,'סקרי נכסים-יתרות פתיחה'!$2:$76,74,0),0)-IFERROR(HLOOKUP(BD36,'סקרי נכסים-יתרות פתיחה'!$2:$90,88,0),0)</f>
        <v>0</v>
      </c>
      <c r="BE137" s="47">
        <f>+IFERROR(HLOOKUP(BE36,'סקרי נכסים-יתרות פתיחה'!$2:$76,74,0),0)-IFERROR(HLOOKUP(BE36,'סקרי נכסים-יתרות פתיחה'!$2:$90,88,0),0)</f>
        <v>0</v>
      </c>
      <c r="BF137" s="47">
        <f>+IFERROR(HLOOKUP(BF36,'סקרי נכסים-יתרות פתיחה'!$2:$76,74,0),0)-IFERROR(HLOOKUP(BF36,'סקרי נכסים-יתרות פתיחה'!$2:$90,88,0),0)</f>
        <v>0</v>
      </c>
    </row>
    <row r="138" spans="1:58" x14ac:dyDescent="0.2">
      <c r="B138" s="1">
        <v>30</v>
      </c>
      <c r="C138" s="47">
        <f>+IFERROR(HLOOKUP(C37,'סקרי נכסים-יתרות פתיחה'!$2:$76,74,0),0)-IFERROR(HLOOKUP(C37,'סקרי נכסים-יתרות פתיחה'!$2:$90,88,0),0)</f>
        <v>0</v>
      </c>
      <c r="D138" s="47">
        <f>+IFERROR(HLOOKUP(D37,'סקרי נכסים-יתרות פתיחה'!$2:$76,74,0),0)-IFERROR(HLOOKUP(D37,'סקרי נכסים-יתרות פתיחה'!$2:$90,88,0),0)</f>
        <v>0</v>
      </c>
      <c r="E138" s="47">
        <f>+IFERROR(HLOOKUP(E37,'סקרי נכסים-יתרות פתיחה'!$2:$76,74,0),0)-IFERROR(HLOOKUP(E37,'סקרי נכסים-יתרות פתיחה'!$2:$90,88,0),0)</f>
        <v>0</v>
      </c>
      <c r="F138" s="47">
        <f>+IFERROR(HLOOKUP(F37,'סקרי נכסים-יתרות פתיחה'!$2:$76,74,0),0)-IFERROR(HLOOKUP(F37,'סקרי נכסים-יתרות פתיחה'!$2:$90,88,0),0)</f>
        <v>0</v>
      </c>
      <c r="G138" s="47">
        <f>+IFERROR(HLOOKUP(G37,'סקרי נכסים-יתרות פתיחה'!$2:$76,74,0),0)-IFERROR(HLOOKUP(G37,'סקרי נכסים-יתרות פתיחה'!$2:$90,88,0),0)</f>
        <v>0</v>
      </c>
      <c r="H138" s="47">
        <f>+IFERROR(HLOOKUP(H37,'סקרי נכסים-יתרות פתיחה'!$2:$76,74,0),0)-IFERROR(HLOOKUP(H37,'סקרי נכסים-יתרות פתיחה'!$2:$90,88,0),0)</f>
        <v>0</v>
      </c>
      <c r="I138" s="47">
        <f>+IFERROR(HLOOKUP(I37,'סקרי נכסים-יתרות פתיחה'!$2:$76,74,0),0)-IFERROR(HLOOKUP(I37,'סקרי נכסים-יתרות פתיחה'!$2:$90,88,0),0)</f>
        <v>0</v>
      </c>
      <c r="J138" s="47">
        <f>+IFERROR(HLOOKUP(J37,'סקרי נכסים-יתרות פתיחה'!$2:$76,74,0),0)-IFERROR(HLOOKUP(J37,'סקרי נכסים-יתרות פתיחה'!$2:$90,88,0),0)</f>
        <v>0</v>
      </c>
      <c r="K138" s="47">
        <f>+IFERROR(HLOOKUP(K37,'סקרי נכסים-יתרות פתיחה'!$2:$76,74,0),0)-IFERROR(HLOOKUP(K37,'סקרי נכסים-יתרות פתיחה'!$2:$90,88,0),0)</f>
        <v>0</v>
      </c>
      <c r="L138" s="47">
        <f>+IFERROR(HLOOKUP(L37,'סקרי נכסים-יתרות פתיחה'!$2:$76,74,0),0)-IFERROR(HLOOKUP(L37,'סקרי נכסים-יתרות פתיחה'!$2:$90,88,0),0)</f>
        <v>0</v>
      </c>
      <c r="M138" s="47">
        <f>+IFERROR(HLOOKUP(M37,'סקרי נכסים-יתרות פתיחה'!$2:$76,74,0),0)-IFERROR(HLOOKUP(M37,'סקרי נכסים-יתרות פתיחה'!$2:$90,88,0),0)</f>
        <v>0</v>
      </c>
      <c r="N138" s="47">
        <f>+IFERROR(HLOOKUP(N37,'סקרי נכסים-יתרות פתיחה'!$2:$76,74,0),0)-IFERROR(HLOOKUP(N37,'סקרי נכסים-יתרות פתיחה'!$2:$90,88,0),0)</f>
        <v>0</v>
      </c>
      <c r="O138" s="47">
        <f>+IFERROR(HLOOKUP(O37,'סקרי נכסים-יתרות פתיחה'!$2:$76,74,0),0)-IFERROR(HLOOKUP(O37,'סקרי נכסים-יתרות פתיחה'!$2:$90,88,0),0)</f>
        <v>0</v>
      </c>
      <c r="P138" s="47">
        <f>+IFERROR(HLOOKUP(P37,'סקרי נכסים-יתרות פתיחה'!$2:$76,74,0),0)-IFERROR(HLOOKUP(P37,'סקרי נכסים-יתרות פתיחה'!$2:$90,88,0),0)</f>
        <v>0</v>
      </c>
      <c r="Q138" s="47">
        <f>+IFERROR(HLOOKUP(Q37,'סקרי נכסים-יתרות פתיחה'!$2:$76,74,0),0)-IFERROR(HLOOKUP(Q37,'סקרי נכסים-יתרות פתיחה'!$2:$90,88,0),0)</f>
        <v>0</v>
      </c>
      <c r="R138" s="47">
        <f>+IFERROR(HLOOKUP(R37,'סקרי נכסים-יתרות פתיחה'!$2:$76,74,0),0)-IFERROR(HLOOKUP(R37,'סקרי נכסים-יתרות פתיחה'!$2:$90,88,0),0)</f>
        <v>0</v>
      </c>
      <c r="S138" s="47">
        <f>+IFERROR(HLOOKUP(S37,'סקרי נכסים-יתרות פתיחה'!$2:$76,74,0),0)-IFERROR(HLOOKUP(S37,'סקרי נכסים-יתרות פתיחה'!$2:$90,88,0),0)</f>
        <v>0</v>
      </c>
      <c r="T138" s="47">
        <f>+IFERROR(HLOOKUP(T37,'סקרי נכסים-יתרות פתיחה'!$2:$76,74,0),0)-IFERROR(HLOOKUP(T37,'סקרי נכסים-יתרות פתיחה'!$2:$90,88,0),0)</f>
        <v>0</v>
      </c>
      <c r="U138" s="47">
        <f>+IFERROR(HLOOKUP(U37,'סקרי נכסים-יתרות פתיחה'!$2:$76,74,0),0)-IFERROR(HLOOKUP(U37,'סקרי נכסים-יתרות פתיחה'!$2:$90,88,0),0)</f>
        <v>0</v>
      </c>
      <c r="V138" s="47">
        <f>+IFERROR(HLOOKUP(V37,'סקרי נכסים-יתרות פתיחה'!$2:$76,74,0),0)-IFERROR(HLOOKUP(V37,'סקרי נכסים-יתרות פתיחה'!$2:$90,88,0),0)</f>
        <v>0</v>
      </c>
      <c r="W138" s="47">
        <f>+IFERROR(HLOOKUP(W37,'סקרי נכסים-יתרות פתיחה'!$2:$76,74,0),0)-IFERROR(HLOOKUP(W37,'סקרי נכסים-יתרות פתיחה'!$2:$90,88,0),0)</f>
        <v>0</v>
      </c>
      <c r="X138" s="47">
        <f>+IFERROR(HLOOKUP(X37,'סקרי נכסים-יתרות פתיחה'!$2:$76,74,0),0)-IFERROR(HLOOKUP(X37,'סקרי נכסים-יתרות פתיחה'!$2:$90,88,0),0)</f>
        <v>0</v>
      </c>
      <c r="Y138" s="47">
        <f>+IFERROR(HLOOKUP(Y37,'סקרי נכסים-יתרות פתיחה'!$2:$76,74,0),0)-IFERROR(HLOOKUP(Y37,'סקרי נכסים-יתרות פתיחה'!$2:$90,88,0),0)</f>
        <v>0</v>
      </c>
      <c r="Z138" s="47">
        <f>+IFERROR(HLOOKUP(Z37,'סקרי נכסים-יתרות פתיחה'!$2:$76,74,0),0)-IFERROR(HLOOKUP(Z37,'סקרי נכסים-יתרות פתיחה'!$2:$90,88,0),0)</f>
        <v>0</v>
      </c>
      <c r="AA138" s="47">
        <f>+IFERROR(HLOOKUP(AA37,'סקרי נכסים-יתרות פתיחה'!$2:$76,74,0),0)-IFERROR(HLOOKUP(AA37,'סקרי נכסים-יתרות פתיחה'!$2:$90,88,0),0)</f>
        <v>0</v>
      </c>
      <c r="AB138" s="47">
        <f>+IFERROR(HLOOKUP(AB37,'סקרי נכסים-יתרות פתיחה'!$2:$76,74,0),0)-IFERROR(HLOOKUP(AB37,'סקרי נכסים-יתרות פתיחה'!$2:$90,88,0),0)</f>
        <v>0</v>
      </c>
      <c r="AC138" s="47">
        <f>+IFERROR(HLOOKUP(AC37,'סקרי נכסים-יתרות פתיחה'!$2:$76,74,0),0)-IFERROR(HLOOKUP(AC37,'סקרי נכסים-יתרות פתיחה'!$2:$90,88,0),0)</f>
        <v>0</v>
      </c>
      <c r="AD138" s="47">
        <f>+IFERROR(HLOOKUP(AD37,'סקרי נכסים-יתרות פתיחה'!$2:$76,74,0),0)-IFERROR(HLOOKUP(AD37,'סקרי נכסים-יתרות פתיחה'!$2:$90,88,0),0)</f>
        <v>0</v>
      </c>
      <c r="AE138" s="47">
        <f>+IFERROR(HLOOKUP(AE37,'סקרי נכסים-יתרות פתיחה'!$2:$76,74,0),0)-IFERROR(HLOOKUP(AE37,'סקרי נכסים-יתרות פתיחה'!$2:$90,88,0),0)</f>
        <v>0</v>
      </c>
      <c r="AF138" s="47">
        <f>+IFERROR(HLOOKUP(AF37,'סקרי נכסים-יתרות פתיחה'!$2:$76,74,0),0)-IFERROR(HLOOKUP(AF37,'סקרי נכסים-יתרות פתיחה'!$2:$90,88,0),0)</f>
        <v>0</v>
      </c>
      <c r="AG138" s="47">
        <f>+IFERROR(HLOOKUP(AG37,'סקרי נכסים-יתרות פתיחה'!$2:$76,74,0),0)-IFERROR(HLOOKUP(AG37,'סקרי נכסים-יתרות פתיחה'!$2:$90,88,0),0)</f>
        <v>0</v>
      </c>
      <c r="AH138" s="47">
        <f>+IFERROR(HLOOKUP(AH37,'סקרי נכסים-יתרות פתיחה'!$2:$76,74,0),0)-IFERROR(HLOOKUP(AH37,'סקרי נכסים-יתרות פתיחה'!$2:$90,88,0),0)</f>
        <v>0</v>
      </c>
      <c r="AI138" s="47">
        <f>+IFERROR(HLOOKUP(AI37,'סקרי נכסים-יתרות פתיחה'!$2:$76,74,0),0)-IFERROR(HLOOKUP(AI37,'סקרי נכסים-יתרות פתיחה'!$2:$90,88,0),0)</f>
        <v>0</v>
      </c>
      <c r="AJ138" s="47">
        <f>+IFERROR(HLOOKUP(AJ37,'סקרי נכסים-יתרות פתיחה'!$2:$76,74,0),0)-IFERROR(HLOOKUP(AJ37,'סקרי נכסים-יתרות פתיחה'!$2:$90,88,0),0)</f>
        <v>0</v>
      </c>
      <c r="AK138" s="47">
        <f>+IFERROR(HLOOKUP(AK37,'סקרי נכסים-יתרות פתיחה'!$2:$76,74,0),0)-IFERROR(HLOOKUP(AK37,'סקרי נכסים-יתרות פתיחה'!$2:$90,88,0),0)</f>
        <v>0</v>
      </c>
      <c r="AL138" s="47">
        <f>+IFERROR(HLOOKUP(AL37,'סקרי נכסים-יתרות פתיחה'!$2:$76,74,0),0)-IFERROR(HLOOKUP(AL37,'סקרי נכסים-יתרות פתיחה'!$2:$90,88,0),0)</f>
        <v>0</v>
      </c>
      <c r="AM138" s="47">
        <f>+IFERROR(HLOOKUP(AM37,'סקרי נכסים-יתרות פתיחה'!$2:$76,74,0),0)-IFERROR(HLOOKUP(AM37,'סקרי נכסים-יתרות פתיחה'!$2:$90,88,0),0)</f>
        <v>0</v>
      </c>
      <c r="AN138" s="47">
        <f>+IFERROR(HLOOKUP(AN37,'סקרי נכסים-יתרות פתיחה'!$2:$76,74,0),0)-IFERROR(HLOOKUP(AN37,'סקרי נכסים-יתרות פתיחה'!$2:$90,88,0),0)</f>
        <v>0</v>
      </c>
      <c r="AO138" s="47">
        <f>+IFERROR(HLOOKUP(AO37,'סקרי נכסים-יתרות פתיחה'!$2:$76,74,0),0)-IFERROR(HLOOKUP(AO37,'סקרי נכסים-יתרות פתיחה'!$2:$90,88,0),0)</f>
        <v>0</v>
      </c>
      <c r="AP138" s="47">
        <f>+IFERROR(HLOOKUP(AP37,'סקרי נכסים-יתרות פתיחה'!$2:$76,74,0),0)-IFERROR(HLOOKUP(AP37,'סקרי נכסים-יתרות פתיחה'!$2:$90,88,0),0)</f>
        <v>0</v>
      </c>
      <c r="AQ138" s="47">
        <f>+IFERROR(HLOOKUP(AQ37,'סקרי נכסים-יתרות פתיחה'!$2:$76,74,0),0)-IFERROR(HLOOKUP(AQ37,'סקרי נכסים-יתרות פתיחה'!$2:$90,88,0),0)</f>
        <v>0</v>
      </c>
      <c r="AR138" s="47">
        <f>+IFERROR(HLOOKUP(AR37,'סקרי נכסים-יתרות פתיחה'!$2:$76,74,0),0)-IFERROR(HLOOKUP(AR37,'סקרי נכסים-יתרות פתיחה'!$2:$90,88,0),0)</f>
        <v>0</v>
      </c>
      <c r="AS138" s="47">
        <f>+IFERROR(HLOOKUP(AS37,'סקרי נכסים-יתרות פתיחה'!$2:$76,74,0),0)-IFERROR(HLOOKUP(AS37,'סקרי נכסים-יתרות פתיחה'!$2:$90,88,0),0)</f>
        <v>0</v>
      </c>
      <c r="AT138" s="47">
        <f>+IFERROR(HLOOKUP(AT37,'סקרי נכסים-יתרות פתיחה'!$2:$76,74,0),0)-IFERROR(HLOOKUP(AT37,'סקרי נכסים-יתרות פתיחה'!$2:$90,88,0),0)</f>
        <v>0</v>
      </c>
      <c r="AU138" s="47">
        <f>+IFERROR(HLOOKUP(AU37,'סקרי נכסים-יתרות פתיחה'!$2:$76,74,0),0)-IFERROR(HLOOKUP(AU37,'סקרי נכסים-יתרות פתיחה'!$2:$90,88,0),0)</f>
        <v>0</v>
      </c>
      <c r="AV138" s="47">
        <f>+IFERROR(HLOOKUP(AV37,'סקרי נכסים-יתרות פתיחה'!$2:$76,74,0),0)-IFERROR(HLOOKUP(AV37,'סקרי נכסים-יתרות פתיחה'!$2:$90,88,0),0)</f>
        <v>0</v>
      </c>
      <c r="AW138" s="47">
        <f>+IFERROR(HLOOKUP(AW37,'סקרי נכסים-יתרות פתיחה'!$2:$76,74,0),0)-IFERROR(HLOOKUP(AW37,'סקרי נכסים-יתרות פתיחה'!$2:$90,88,0),0)</f>
        <v>0</v>
      </c>
      <c r="AX138" s="47">
        <f>+IFERROR(HLOOKUP(AX37,'סקרי נכסים-יתרות פתיחה'!$2:$76,74,0),0)-IFERROR(HLOOKUP(AX37,'סקרי נכסים-יתרות פתיחה'!$2:$90,88,0),0)</f>
        <v>0</v>
      </c>
      <c r="AY138" s="47">
        <f>+IFERROR(HLOOKUP(AY37,'סקרי נכסים-יתרות פתיחה'!$2:$76,74,0),0)-IFERROR(HLOOKUP(AY37,'סקרי נכסים-יתרות פתיחה'!$2:$90,88,0),0)</f>
        <v>0</v>
      </c>
      <c r="AZ138" s="47">
        <f>+IFERROR(HLOOKUP(AZ37,'סקרי נכסים-יתרות פתיחה'!$2:$76,74,0),0)-IFERROR(HLOOKUP(AZ37,'סקרי נכסים-יתרות פתיחה'!$2:$90,88,0),0)</f>
        <v>0</v>
      </c>
      <c r="BA138" s="47">
        <f>+IFERROR(HLOOKUP(BA37,'סקרי נכסים-יתרות פתיחה'!$2:$76,74,0),0)-IFERROR(HLOOKUP(BA37,'סקרי נכסים-יתרות פתיחה'!$2:$90,88,0),0)</f>
        <v>0</v>
      </c>
      <c r="BB138" s="47">
        <f>+IFERROR(HLOOKUP(BB37,'סקרי נכסים-יתרות פתיחה'!$2:$76,74,0),0)-IFERROR(HLOOKUP(BB37,'סקרי נכסים-יתרות פתיחה'!$2:$90,88,0),0)</f>
        <v>0</v>
      </c>
      <c r="BC138" s="47">
        <f>+IFERROR(HLOOKUP(BC37,'סקרי נכסים-יתרות פתיחה'!$2:$76,74,0),0)-IFERROR(HLOOKUP(BC37,'סקרי נכסים-יתרות פתיחה'!$2:$90,88,0),0)</f>
        <v>0</v>
      </c>
      <c r="BD138" s="47">
        <f>+IFERROR(HLOOKUP(BD37,'סקרי נכסים-יתרות פתיחה'!$2:$76,74,0),0)-IFERROR(HLOOKUP(BD37,'סקרי נכסים-יתרות פתיחה'!$2:$90,88,0),0)</f>
        <v>0</v>
      </c>
      <c r="BE138" s="47">
        <f>+IFERROR(HLOOKUP(BE37,'סקרי נכסים-יתרות פתיחה'!$2:$76,74,0),0)-IFERROR(HLOOKUP(BE37,'סקרי נכסים-יתרות פתיחה'!$2:$90,88,0),0)</f>
        <v>0</v>
      </c>
      <c r="BF138" s="47">
        <f>+IFERROR(HLOOKUP(BF37,'סקרי נכסים-יתרות פתיחה'!$2:$76,74,0),0)-IFERROR(HLOOKUP(BF37,'סקרי נכסים-יתרות פתיחה'!$2:$90,88,0),0)</f>
        <v>0</v>
      </c>
    </row>
    <row r="139" spans="1:58" x14ac:dyDescent="0.2">
      <c r="C139" s="47"/>
      <c r="D139" s="47"/>
      <c r="E139" s="47"/>
      <c r="F139" s="47"/>
      <c r="G139" s="47"/>
      <c r="H139" s="47"/>
      <c r="I139" s="47"/>
      <c r="J139" s="47"/>
      <c r="K139" s="47"/>
      <c r="L139" s="47"/>
      <c r="M139" s="47"/>
      <c r="N139" s="47"/>
      <c r="O139" s="47"/>
      <c r="P139" s="47"/>
      <c r="Q139" s="47"/>
      <c r="R139" s="47"/>
      <c r="S139" s="47"/>
      <c r="T139" s="47"/>
      <c r="U139" s="47"/>
      <c r="V139" s="47"/>
      <c r="W139" s="47"/>
      <c r="X139" s="47"/>
      <c r="Y139" s="47"/>
      <c r="Z139" s="47"/>
      <c r="AA139" s="47"/>
      <c r="AB139" s="47"/>
      <c r="AC139" s="47"/>
      <c r="AD139" s="47"/>
      <c r="AE139" s="47"/>
      <c r="AF139" s="47"/>
      <c r="AG139" s="47"/>
      <c r="AH139" s="47"/>
      <c r="AI139" s="47"/>
      <c r="AJ139" s="47"/>
      <c r="AK139" s="47"/>
      <c r="AL139" s="47"/>
      <c r="AM139" s="47"/>
      <c r="AN139" s="47"/>
      <c r="AO139" s="47"/>
      <c r="AP139" s="47"/>
      <c r="AQ139" s="47"/>
      <c r="AR139" s="47"/>
      <c r="AS139" s="47"/>
      <c r="AT139" s="47"/>
      <c r="AU139" s="47"/>
      <c r="AV139" s="47"/>
      <c r="AW139" s="47"/>
      <c r="AX139" s="47"/>
      <c r="AY139" s="47"/>
      <c r="AZ139" s="47"/>
      <c r="BA139" s="47"/>
      <c r="BB139" s="47"/>
      <c r="BC139" s="47"/>
      <c r="BD139" s="47"/>
      <c r="BE139" s="47"/>
      <c r="BF139" s="47"/>
    </row>
    <row r="140" spans="1:58" x14ac:dyDescent="0.2">
      <c r="A140" s="1" t="s">
        <v>164</v>
      </c>
      <c r="C140" s="351">
        <f>SUM(C109:C139)/1000</f>
        <v>194042.18271428571</v>
      </c>
      <c r="D140" s="351">
        <f t="shared" ref="D140:AI140" si="3">SUM(D109:D138)/1000</f>
        <v>83252.473542857144</v>
      </c>
      <c r="E140" s="351">
        <f t="shared" si="3"/>
        <v>205458.66355714286</v>
      </c>
      <c r="F140" s="351">
        <f t="shared" si="3"/>
        <v>42328.476857142858</v>
      </c>
      <c r="G140" s="351">
        <f t="shared" si="3"/>
        <v>102216.0993</v>
      </c>
      <c r="H140" s="351">
        <f t="shared" si="3"/>
        <v>711033.7174428571</v>
      </c>
      <c r="I140" s="351">
        <f t="shared" si="3"/>
        <v>220888.07254285715</v>
      </c>
      <c r="J140" s="351">
        <f t="shared" si="3"/>
        <v>100999.65171428572</v>
      </c>
      <c r="K140" s="351">
        <f t="shared" si="3"/>
        <v>131440.31554285713</v>
      </c>
      <c r="L140" s="351">
        <f t="shared" si="3"/>
        <v>79767.180042857159</v>
      </c>
      <c r="M140" s="351">
        <f t="shared" si="3"/>
        <v>165457.97142857144</v>
      </c>
      <c r="N140" s="351">
        <f t="shared" si="3"/>
        <v>329108.89958571427</v>
      </c>
      <c r="O140" s="351">
        <f t="shared" si="3"/>
        <v>150449.02915714285</v>
      </c>
      <c r="P140" s="351">
        <f t="shared" si="3"/>
        <v>153379.42265714286</v>
      </c>
      <c r="Q140" s="351">
        <f t="shared" si="3"/>
        <v>70391.874771428571</v>
      </c>
      <c r="R140" s="351">
        <f t="shared" si="3"/>
        <v>67965.598157142857</v>
      </c>
      <c r="S140" s="351">
        <f t="shared" si="3"/>
        <v>45330.140014285716</v>
      </c>
      <c r="T140" s="351">
        <f t="shared" si="3"/>
        <v>104504.22531428571</v>
      </c>
      <c r="U140" s="351">
        <f t="shared" si="3"/>
        <v>74317.593428571432</v>
      </c>
      <c r="V140" s="351">
        <f t="shared" si="3"/>
        <v>115723.00345714287</v>
      </c>
      <c r="W140" s="351">
        <f t="shared" si="3"/>
        <v>88756.388271428572</v>
      </c>
      <c r="X140" s="351">
        <f t="shared" si="3"/>
        <v>94640.973557142861</v>
      </c>
      <c r="Y140" s="351">
        <f t="shared" si="3"/>
        <v>83974.531799999997</v>
      </c>
      <c r="Z140" s="351">
        <f t="shared" si="3"/>
        <v>63136.331742857146</v>
      </c>
      <c r="AA140" s="351">
        <f t="shared" si="3"/>
        <v>99839.58928571429</v>
      </c>
      <c r="AB140" s="351">
        <f t="shared" si="3"/>
        <v>47550.356785714284</v>
      </c>
      <c r="AC140" s="351">
        <f t="shared" si="3"/>
        <v>116555.97078571428</v>
      </c>
      <c r="AD140" s="351">
        <f t="shared" si="3"/>
        <v>46825.537457142862</v>
      </c>
      <c r="AE140" s="351">
        <f t="shared" si="3"/>
        <v>462715.13797142857</v>
      </c>
      <c r="AF140" s="351">
        <f t="shared" si="3"/>
        <v>66638.687857142853</v>
      </c>
      <c r="AG140" s="351">
        <f t="shared" si="3"/>
        <v>36082.686471428577</v>
      </c>
      <c r="AH140" s="351">
        <f t="shared" si="3"/>
        <v>45991.541771428572</v>
      </c>
      <c r="AI140" s="351">
        <f t="shared" si="3"/>
        <v>60904.068428571423</v>
      </c>
      <c r="AJ140" s="351">
        <f t="shared" ref="AJ140:BE140" si="4">SUM(AJ109:AJ138)/1000</f>
        <v>50001.526628571432</v>
      </c>
      <c r="AK140" s="351">
        <f t="shared" si="4"/>
        <v>35132.450571428577</v>
      </c>
      <c r="AL140" s="351">
        <f t="shared" si="4"/>
        <v>520358.11942857149</v>
      </c>
      <c r="AM140" s="351">
        <f t="shared" si="4"/>
        <v>96429.65141428572</v>
      </c>
      <c r="AN140" s="351">
        <f t="shared" si="4"/>
        <v>113781.38305714287</v>
      </c>
      <c r="AO140" s="351">
        <f t="shared" si="4"/>
        <v>152128.79634285715</v>
      </c>
      <c r="AP140" s="351">
        <f t="shared" si="4"/>
        <v>38696.814642857142</v>
      </c>
      <c r="AQ140" s="351">
        <f t="shared" si="4"/>
        <v>64361.034557142855</v>
      </c>
      <c r="AR140" s="351">
        <f t="shared" si="4"/>
        <v>62567.652742857143</v>
      </c>
      <c r="AS140" s="351">
        <f t="shared" si="4"/>
        <v>154842.17704285716</v>
      </c>
      <c r="AT140" s="351">
        <f t="shared" si="4"/>
        <v>43189.512928571436</v>
      </c>
      <c r="AU140" s="351">
        <f t="shared" si="4"/>
        <v>67746.901714285719</v>
      </c>
      <c r="AV140" s="351">
        <f t="shared" si="4"/>
        <v>131823.81294285716</v>
      </c>
      <c r="AW140" s="351">
        <f t="shared" si="4"/>
        <v>59658.233500000002</v>
      </c>
      <c r="AX140" s="351">
        <f t="shared" si="4"/>
        <v>52799.451057142855</v>
      </c>
      <c r="AY140" s="351">
        <f t="shared" si="4"/>
        <v>27634.630714285715</v>
      </c>
      <c r="AZ140" s="351">
        <f t="shared" si="4"/>
        <v>125537.44587142857</v>
      </c>
      <c r="BA140" s="351">
        <f t="shared" si="4"/>
        <v>117519.04548571429</v>
      </c>
      <c r="BB140" s="351">
        <f t="shared" si="4"/>
        <v>116357.0509</v>
      </c>
      <c r="BC140" s="351">
        <f t="shared" si="4"/>
        <v>106287.70771428572</v>
      </c>
      <c r="BD140" s="351">
        <f t="shared" si="4"/>
        <v>127024.60834285716</v>
      </c>
      <c r="BE140" s="351">
        <f t="shared" si="4"/>
        <v>16770.535885714286</v>
      </c>
      <c r="BF140" s="351">
        <f>SUM(BF109:BF138)/1000</f>
        <v>139366.43100000001</v>
      </c>
    </row>
    <row r="142" spans="1:58" x14ac:dyDescent="0.2">
      <c r="A142" s="1" t="s">
        <v>278</v>
      </c>
      <c r="B142" s="1">
        <v>1</v>
      </c>
      <c r="C142" s="47">
        <f>+IFERROR(HLOOKUP(C8,'סקרי נכסים-יתרות פתיחה'!$2:$76,75,0),0)</f>
        <v>64226209</v>
      </c>
      <c r="D142" s="47">
        <f>+IFERROR(HLOOKUP(D8,'סקרי נכסים-יתרות פתיחה'!$2:$76,75,0),0)</f>
        <v>15231000</v>
      </c>
      <c r="E142" s="47">
        <f>+IFERROR(HLOOKUP(E8,'סקרי נכסים-יתרות פתיחה'!$2:$76,75,0),0)</f>
        <v>134563843</v>
      </c>
      <c r="F142" s="47">
        <f>+IFERROR(HLOOKUP(F8,'סקרי נכסים-יתרות פתיחה'!$2:$76,75,0),0)</f>
        <v>14501367</v>
      </c>
      <c r="G142" s="47">
        <f>+IFERROR(HLOOKUP(G8,'סקרי נכסים-יתרות פתיחה'!$2:$76,75,0),0)</f>
        <v>83146260</v>
      </c>
      <c r="H142" s="47">
        <f>+IFERROR(HLOOKUP(H8,'סקרי נכסים-יתרות פתיחה'!$2:$76,75,0),0)</f>
        <v>343136605</v>
      </c>
      <c r="I142" s="47">
        <f>+IFERROR(HLOOKUP(I8,'סקרי נכסים-יתרות פתיחה'!$2:$76,75,0),0)</f>
        <v>147487683</v>
      </c>
      <c r="J142" s="47">
        <f>+IFERROR(HLOOKUP(J8,'סקרי נכסים-יתרות פתיחה'!$2:$76,75,0),0)</f>
        <v>47257507</v>
      </c>
      <c r="K142" s="47">
        <f>+IFERROR(HLOOKUP(K8,'סקרי נכסים-יתרות פתיחה'!$2:$76,75,0),0)</f>
        <v>17454553</v>
      </c>
      <c r="L142" s="47">
        <f>+IFERROR(HLOOKUP(L8,'סקרי נכסים-יתרות פתיחה'!$2:$76,75,0),0)</f>
        <v>25942187</v>
      </c>
      <c r="M142" s="47">
        <f>+IFERROR(HLOOKUP(M8,'סקרי נכסים-יתרות פתיחה'!$2:$76,75,0),0)</f>
        <v>82342000</v>
      </c>
      <c r="N142" s="47">
        <f>+IFERROR(HLOOKUP(N8,'סקרי נכסים-יתרות פתיחה'!$2:$76,75,0),0)</f>
        <v>146123249</v>
      </c>
      <c r="O142" s="47">
        <f>+IFERROR(HLOOKUP(O8,'סקרי נכסים-יתרות פתיחה'!$2:$76,75,0),0)</f>
        <v>36469910</v>
      </c>
      <c r="P142" s="47">
        <f>+IFERROR(HLOOKUP(P8,'סקרי נכסים-יתרות פתיחה'!$2:$76,75,0),0)</f>
        <v>10492252</v>
      </c>
      <c r="Q142" s="47">
        <f>+IFERROR(HLOOKUP(Q8,'סקרי נכסים-יתרות פתיחה'!$2:$76,75,0),0)</f>
        <v>6102764</v>
      </c>
      <c r="R142" s="47">
        <f>+IFERROR(HLOOKUP(R8,'סקרי נכסים-יתרות פתיחה'!$2:$76,75,0),0)</f>
        <v>31166227</v>
      </c>
      <c r="S142" s="47">
        <f>+IFERROR(HLOOKUP(S8,'סקרי נכסים-יתרות פתיחה'!$2:$76,75,0),0)</f>
        <v>27211389</v>
      </c>
      <c r="T142" s="47">
        <f>+IFERROR(HLOOKUP(T8,'סקרי נכסים-יתרות פתיחה'!$2:$76,75,0),0)</f>
        <v>22027467</v>
      </c>
      <c r="U142" s="47">
        <f>+IFERROR(HLOOKUP(U8,'סקרי נכסים-יתרות פתיחה'!$2:$76,75,0),0)</f>
        <v>36293538</v>
      </c>
      <c r="V142" s="47">
        <f>+IFERROR(HLOOKUP(V8,'סקרי נכסים-יתרות פתיחה'!$2:$76,75,0),0)</f>
        <v>35598019</v>
      </c>
      <c r="W142" s="47">
        <f>+IFERROR(HLOOKUP(W8,'סקרי נכסים-יתרות פתיחה'!$2:$76,75,0),0)</f>
        <v>35333415</v>
      </c>
      <c r="X142" s="47">
        <f>+IFERROR(HLOOKUP(X8,'סקרי נכסים-יתרות פתיחה'!$2:$76,75,0),0)</f>
        <v>27914917</v>
      </c>
      <c r="Y142" s="47">
        <f>+IFERROR(HLOOKUP(Y8,'סקרי נכסים-יתרות פתיחה'!$2:$76,75,0),0)</f>
        <v>24707150</v>
      </c>
      <c r="Z142" s="47">
        <f>+IFERROR(HLOOKUP(Z8,'סקרי נכסים-יתרות פתיחה'!$2:$76,75,0),0)</f>
        <v>30555173</v>
      </c>
      <c r="AA142" s="47">
        <f>+IFERROR(HLOOKUP(AA8,'סקרי נכסים-יתרות פתיחה'!$2:$76,75,0),0)</f>
        <v>42980559</v>
      </c>
      <c r="AB142" s="47">
        <f>+IFERROR(HLOOKUP(AB8,'סקרי נכסים-יתרות פתיחה'!$2:$76,75,0),0)</f>
        <v>28159125</v>
      </c>
      <c r="AC142" s="47">
        <f>+IFERROR(HLOOKUP(AC8,'סקרי נכסים-יתרות פתיחה'!$2:$76,75,0),0)</f>
        <v>55224295</v>
      </c>
      <c r="AD142" s="47">
        <f>+IFERROR(HLOOKUP(AD8,'סקרי נכסים-יתרות פתיחה'!$2:$76,75,0),0)</f>
        <v>23392981</v>
      </c>
      <c r="AE142" s="47">
        <f>+IFERROR(HLOOKUP(AE8,'סקרי נכסים-יתרות פתיחה'!$2:$76,75,0),0)</f>
        <v>147519829</v>
      </c>
      <c r="AF142" s="47">
        <f>+IFERROR(HLOOKUP(AF8,'סקרי נכסים-יתרות פתיחה'!$2:$76,75,0),0)</f>
        <v>12943739</v>
      </c>
      <c r="AG142" s="47">
        <f>+IFERROR(HLOOKUP(AG8,'סקרי נכסים-יתרות פתיחה'!$2:$76,75,0),0)</f>
        <v>17120713</v>
      </c>
      <c r="AH142" s="47">
        <f>+IFERROR(HLOOKUP(AH8,'סקרי נכסים-יתרות פתיחה'!$2:$76,75,0),0)</f>
        <v>42084208</v>
      </c>
      <c r="AI142" s="47">
        <f>+IFERROR(HLOOKUP(AI8,'סקרי נכסים-יתרות פתיחה'!$2:$76,75,0),0)</f>
        <v>37136537</v>
      </c>
      <c r="AJ142" s="47">
        <f>+IFERROR(HLOOKUP(AJ8,'סקרי נכסים-יתרות פתיחה'!$2:$76,75,0),0)</f>
        <v>9001581</v>
      </c>
      <c r="AK142" s="47">
        <f>+IFERROR(HLOOKUP(AK8,'סקרי נכסים-יתרות פתיחה'!$2:$76,75,0),0)</f>
        <v>7505799</v>
      </c>
      <c r="AL142" s="47">
        <f>+IFERROR(HLOOKUP(AL8,'סקרי נכסים-יתרות פתיחה'!$2:$76,75,0),0)</f>
        <v>175531370</v>
      </c>
      <c r="AM142" s="47">
        <f>+IFERROR(HLOOKUP(AM8,'סקרי נכסים-יתרות פתיחה'!$2:$76,75,0),0)</f>
        <v>16220117</v>
      </c>
      <c r="AN142" s="47">
        <f>+IFERROR(HLOOKUP(AN8,'סקרי נכסים-יתרות פתיחה'!$2:$76,75,0),0)</f>
        <v>19386198</v>
      </c>
      <c r="AO142" s="47">
        <f>+IFERROR(HLOOKUP(AO8,'סקרי נכסים-יתרות פתיחה'!$2:$76,75,0),0)</f>
        <v>7135457</v>
      </c>
      <c r="AP142" s="47">
        <f>+IFERROR(HLOOKUP(AP8,'סקרי נכסים-יתרות פתיחה'!$2:$76,75,0),0)</f>
        <v>2328894</v>
      </c>
      <c r="AQ142" s="47">
        <f>+IFERROR(HLOOKUP(AQ8,'סקרי נכסים-יתרות פתיחה'!$2:$76,75,0),0)</f>
        <v>21448785</v>
      </c>
      <c r="AR142" s="47">
        <f>+IFERROR(HLOOKUP(AR8,'סקרי נכסים-יתרות פתיחה'!$2:$76,75,0),0)</f>
        <v>9811474</v>
      </c>
      <c r="AS142" s="47">
        <f>+IFERROR(HLOOKUP(AS8,'סקרי נכסים-יתרות פתיחה'!$2:$76,75,0),0)</f>
        <v>31311779</v>
      </c>
      <c r="AT142" s="47">
        <f>+IFERROR(HLOOKUP(AT8,'סקרי נכסים-יתרות פתיחה'!$2:$76,75,0),0)</f>
        <v>27289264</v>
      </c>
      <c r="AU142" s="47">
        <f>+IFERROR(HLOOKUP(AU8,'סקרי נכסים-יתרות פתיחה'!$2:$76,75,0),0)</f>
        <v>38501901</v>
      </c>
      <c r="AV142" s="47">
        <f>+IFERROR(HLOOKUP(AV8,'סקרי נכסים-יתרות פתיחה'!$2:$76,75,0),0)</f>
        <v>63513775</v>
      </c>
      <c r="AW142" s="47">
        <f>+IFERROR(HLOOKUP(AW8,'סקרי נכסים-יתרות פתיחה'!$2:$76,75,0),0)</f>
        <v>32214217</v>
      </c>
      <c r="AX142" s="47">
        <f>+IFERROR(HLOOKUP(AX8,'סקרי נכסים-יתרות פתיחה'!$2:$76,75,0),0)</f>
        <v>0</v>
      </c>
      <c r="AY142" s="47">
        <f>+IFERROR(HLOOKUP(AY8,'סקרי נכסים-יתרות פתיחה'!$2:$76,75,0),0)</f>
        <v>7134115</v>
      </c>
      <c r="AZ142" s="47">
        <f>+IFERROR(HLOOKUP(AZ8,'סקרי נכסים-יתרות פתיחה'!$2:$76,75,0),0)</f>
        <v>17862008</v>
      </c>
      <c r="BA142" s="47">
        <f>+IFERROR(HLOOKUP(BA8,'סקרי נכסים-יתרות פתיחה'!$2:$76,75,0),0)</f>
        <v>8982050</v>
      </c>
      <c r="BB142" s="47">
        <f>+IFERROR(HLOOKUP(BB8,'סקרי נכסים-יתרות פתיחה'!$2:$76,75,0),0)</f>
        <v>31519586</v>
      </c>
      <c r="BC142" s="47">
        <f>+IFERROR(HLOOKUP(BC8,'סקרי נכסים-יתרות פתיחה'!$2:$76,75,0),0)</f>
        <v>7705345.333333333</v>
      </c>
      <c r="BD142" s="47">
        <f>+IFERROR(HLOOKUP(BD8,'סקרי נכסים-יתרות פתיחה'!$2:$76,75,0),0)</f>
        <v>48181685</v>
      </c>
      <c r="BE142" s="47">
        <f>+IFERROR(HLOOKUP(BE8,'סקרי נכסים-יתרות פתיחה'!$2:$76,75,0),0)</f>
        <v>10505340</v>
      </c>
      <c r="BF142" s="47">
        <f>+IFERROR(HLOOKUP(BF8,'סקרי נכסים-יתרות פתיחה'!$2:$76,75,0),0)</f>
        <v>62407263</v>
      </c>
    </row>
    <row r="143" spans="1:58" x14ac:dyDescent="0.2">
      <c r="B143" s="1">
        <v>2</v>
      </c>
      <c r="C143" s="47">
        <f>+IFERROR(HLOOKUP(C9,'סקרי נכסים-יתרות פתיחה'!$2:$76,75,0),0)</f>
        <v>12786007</v>
      </c>
      <c r="D143" s="47">
        <f>+IFERROR(HLOOKUP(D9,'סקרי נכסים-יתרות פתיחה'!$2:$76,75,0),0)</f>
        <v>8149842</v>
      </c>
      <c r="E143" s="47">
        <f>+IFERROR(HLOOKUP(E9,'סקרי נכסים-יתרות פתיחה'!$2:$76,75,0),0)</f>
        <v>0</v>
      </c>
      <c r="F143" s="47">
        <f>+IFERROR(HLOOKUP(F9,'סקרי נכסים-יתרות פתיחה'!$2:$76,75,0),0)</f>
        <v>14276882</v>
      </c>
      <c r="G143" s="47">
        <f>+IFERROR(HLOOKUP(G9,'סקרי נכסים-יתרות פתיחה'!$2:$76,75,0),0)</f>
        <v>0</v>
      </c>
      <c r="H143" s="47">
        <f>+IFERROR(HLOOKUP(H9,'סקרי נכסים-יתרות פתיחה'!$2:$76,75,0),0)</f>
        <v>6256714</v>
      </c>
      <c r="I143" s="47">
        <f>+IFERROR(HLOOKUP(I9,'סקרי נכסים-יתרות פתיחה'!$2:$76,75,0),0)</f>
        <v>0</v>
      </c>
      <c r="J143" s="47">
        <f>+IFERROR(HLOOKUP(J9,'סקרי נכסים-יתרות פתיחה'!$2:$76,75,0),0)</f>
        <v>0</v>
      </c>
      <c r="K143" s="47">
        <f>+IFERROR(HLOOKUP(K9,'סקרי נכסים-יתרות פתיחה'!$2:$76,75,0),0)</f>
        <v>13435219</v>
      </c>
      <c r="L143" s="47">
        <f>+IFERROR(HLOOKUP(L9,'סקרי נכסים-יתרות פתיחה'!$2:$76,75,0),0)</f>
        <v>2801687</v>
      </c>
      <c r="M143" s="47">
        <f>+IFERROR(HLOOKUP(M9,'סקרי נכסים-יתרות פתיחה'!$2:$76,75,0),0)</f>
        <v>0</v>
      </c>
      <c r="N143" s="47">
        <f>+IFERROR(HLOOKUP(N9,'סקרי נכסים-יתרות פתיחה'!$2:$76,75,0),0)</f>
        <v>24517307</v>
      </c>
      <c r="O143" s="47">
        <f>+IFERROR(HLOOKUP(O9,'סקרי נכסים-יתרות פתיחה'!$2:$76,75,0),0)</f>
        <v>1801370</v>
      </c>
      <c r="P143" s="47">
        <f>+IFERROR(HLOOKUP(P9,'סקרי נכסים-יתרות פתיחה'!$2:$76,75,0),0)</f>
        <v>5643500</v>
      </c>
      <c r="Q143" s="47">
        <f>+IFERROR(HLOOKUP(Q9,'סקרי נכסים-יתרות פתיחה'!$2:$76,75,0),0)</f>
        <v>0</v>
      </c>
      <c r="R143" s="47">
        <f>+IFERROR(HLOOKUP(R9,'סקרי נכסים-יתרות פתיחה'!$2:$76,75,0),0)</f>
        <v>6950758</v>
      </c>
      <c r="S143" s="47">
        <f>+IFERROR(HLOOKUP(S9,'סקרי נכסים-יתרות פתיחה'!$2:$76,75,0),0)</f>
        <v>0</v>
      </c>
      <c r="T143" s="47">
        <f>+IFERROR(HLOOKUP(T9,'סקרי נכסים-יתרות פתיחה'!$2:$76,75,0),0)</f>
        <v>19984954</v>
      </c>
      <c r="U143" s="47">
        <f>+IFERROR(HLOOKUP(U9,'סקרי נכסים-יתרות פתיחה'!$2:$76,75,0),0)</f>
        <v>0</v>
      </c>
      <c r="V143" s="47">
        <f>+IFERROR(HLOOKUP(V9,'סקרי נכסים-יתרות פתיחה'!$2:$76,75,0),0)</f>
        <v>15134780</v>
      </c>
      <c r="W143" s="47">
        <f>+IFERROR(HLOOKUP(W9,'סקרי נכסים-יתרות פתיחה'!$2:$76,75,0),0)</f>
        <v>7493900</v>
      </c>
      <c r="X143" s="47">
        <f>+IFERROR(HLOOKUP(X9,'סקרי נכסים-יתרות פתיחה'!$2:$76,75,0),0)</f>
        <v>9255633</v>
      </c>
      <c r="Y143" s="47">
        <f>+IFERROR(HLOOKUP(Y9,'סקרי נכסים-יתרות פתיחה'!$2:$76,75,0),0)</f>
        <v>10442362</v>
      </c>
      <c r="Z143" s="47">
        <f>+IFERROR(HLOOKUP(Z9,'סקרי נכסים-יתרות פתיחה'!$2:$76,75,0),0)</f>
        <v>0</v>
      </c>
      <c r="AA143" s="47">
        <f>+IFERROR(HLOOKUP(AA9,'סקרי נכסים-יתרות פתיחה'!$2:$76,75,0),0)</f>
        <v>0</v>
      </c>
      <c r="AB143" s="47">
        <f>+IFERROR(HLOOKUP(AB9,'סקרי נכסים-יתרות פתיחה'!$2:$76,75,0),0)</f>
        <v>0</v>
      </c>
      <c r="AC143" s="47">
        <f>+IFERROR(HLOOKUP(AC9,'סקרי נכסים-יתרות פתיחה'!$2:$76,75,0),0)</f>
        <v>0</v>
      </c>
      <c r="AD143" s="47">
        <f>+IFERROR(HLOOKUP(AD9,'סקרי נכסים-יתרות פתיחה'!$2:$76,75,0),0)</f>
        <v>0</v>
      </c>
      <c r="AE143" s="47">
        <f>+IFERROR(HLOOKUP(AE9,'סקרי נכסים-יתרות פתיחה'!$2:$76,75,0),0)</f>
        <v>0</v>
      </c>
      <c r="AF143" s="47">
        <f>+IFERROR(HLOOKUP(AF9,'סקרי נכסים-יתרות פתיחה'!$2:$76,75,0),0)</f>
        <v>21770000</v>
      </c>
      <c r="AG143" s="47">
        <f>+IFERROR(HLOOKUP(AG9,'סקרי נכסים-יתרות פתיחה'!$2:$76,75,0),0)</f>
        <v>0</v>
      </c>
      <c r="AH143" s="47">
        <f>+IFERROR(HLOOKUP(AH9,'סקרי נכסים-יתרות פתיחה'!$2:$76,75,0),0)</f>
        <v>0</v>
      </c>
      <c r="AI143" s="47">
        <f>+IFERROR(HLOOKUP(AI9,'סקרי נכסים-יתרות פתיחה'!$2:$76,75,0),0)</f>
        <v>0</v>
      </c>
      <c r="AJ143" s="47">
        <f>+IFERROR(HLOOKUP(AJ9,'סקרי נכסים-יתרות פתיחה'!$2:$76,75,0),0)</f>
        <v>6946130</v>
      </c>
      <c r="AK143" s="47">
        <f>+IFERROR(HLOOKUP(AK9,'סקרי נכסים-יתרות פתיחה'!$2:$76,75,0),0)</f>
        <v>0</v>
      </c>
      <c r="AL143" s="47">
        <f>+IFERROR(HLOOKUP(AL9,'סקרי נכסים-יתרות פתיחה'!$2:$76,75,0),0)</f>
        <v>0</v>
      </c>
      <c r="AM143" s="47">
        <f>+IFERROR(HLOOKUP(AM9,'סקרי נכסים-יתרות פתיחה'!$2:$76,75,0),0)</f>
        <v>19712031</v>
      </c>
      <c r="AN143" s="47">
        <f>+IFERROR(HLOOKUP(AN9,'סקרי נכסים-יתרות פתיחה'!$2:$76,75,0),0)</f>
        <v>20044823</v>
      </c>
      <c r="AO143" s="47">
        <f>+IFERROR(HLOOKUP(AO9,'סקרי נכסים-יתרות פתיחה'!$2:$76,75,0),0)</f>
        <v>0</v>
      </c>
      <c r="AP143" s="47">
        <f>+IFERROR(HLOOKUP(AP9,'סקרי נכסים-יתרות פתיחה'!$2:$76,75,0),0)</f>
        <v>0</v>
      </c>
      <c r="AQ143" s="47">
        <f>+IFERROR(HLOOKUP(AQ9,'סקרי נכסים-יתרות פתיחה'!$2:$76,75,0),0)</f>
        <v>0</v>
      </c>
      <c r="AR143" s="47">
        <f>+IFERROR(HLOOKUP(AR9,'סקרי נכסים-יתרות פתיחה'!$2:$76,75,0),0)</f>
        <v>15266472</v>
      </c>
      <c r="AS143" s="47">
        <f>+IFERROR(HLOOKUP(AS9,'סקרי נכסים-יתרות פתיחה'!$2:$76,75,0),0)</f>
        <v>10186085</v>
      </c>
      <c r="AT143" s="47">
        <f>+IFERROR(HLOOKUP(AT9,'סקרי נכסים-יתרות פתיחה'!$2:$76,75,0),0)</f>
        <v>0</v>
      </c>
      <c r="AU143" s="47">
        <f>+IFERROR(HLOOKUP(AU9,'סקרי נכסים-יתרות פתיחה'!$2:$76,75,0),0)</f>
        <v>0</v>
      </c>
      <c r="AV143" s="47">
        <f>+IFERROR(HLOOKUP(AV9,'סקרי נכסים-יתרות פתיחה'!$2:$76,75,0),0)</f>
        <v>17398688</v>
      </c>
      <c r="AW143" s="47">
        <f>+IFERROR(HLOOKUP(AW9,'סקרי נכסים-יתרות פתיחה'!$2:$76,75,0),0)</f>
        <v>0</v>
      </c>
      <c r="AX143" s="47">
        <f>+IFERROR(HLOOKUP(AX9,'סקרי נכסים-יתרות פתיחה'!$2:$76,75,0),0)</f>
        <v>6551468</v>
      </c>
      <c r="AY143" s="47">
        <f>+IFERROR(HLOOKUP(AY9,'סקרי נכסים-יתרות פתיחה'!$2:$76,75,0),0)</f>
        <v>0</v>
      </c>
      <c r="AZ143" s="47">
        <f>+IFERROR(HLOOKUP(AZ9,'סקרי נכסים-יתרות פתיחה'!$2:$76,75,0),0)</f>
        <v>18888873</v>
      </c>
      <c r="BA143" s="47">
        <f>+IFERROR(HLOOKUP(BA9,'סקרי נכסים-יתרות פתיחה'!$2:$76,75,0),0)</f>
        <v>13193245</v>
      </c>
      <c r="BB143" s="47">
        <f>+IFERROR(HLOOKUP(BB9,'סקרי נכסים-יתרות פתיחה'!$2:$76,75,0),0)</f>
        <v>11499080</v>
      </c>
      <c r="BC143" s="47">
        <f>+IFERROR(HLOOKUP(BC9,'סקרי נכסים-יתרות פתיחה'!$2:$76,75,0),0)</f>
        <v>17092896</v>
      </c>
      <c r="BD143" s="47">
        <f>+IFERROR(HLOOKUP(BD9,'סקרי נכסים-יתרות פתיחה'!$2:$76,75,0),0)</f>
        <v>8735303</v>
      </c>
      <c r="BE143" s="47">
        <f>+IFERROR(HLOOKUP(BE9,'סקרי נכסים-יתרות פתיחה'!$2:$76,75,0),0)</f>
        <v>0</v>
      </c>
      <c r="BF143" s="47">
        <f>+IFERROR(HLOOKUP(BF9,'סקרי נכסים-יתרות פתיחה'!$2:$76,75,0),0)</f>
        <v>0</v>
      </c>
    </row>
    <row r="144" spans="1:58" x14ac:dyDescent="0.2">
      <c r="B144" s="1">
        <v>3</v>
      </c>
      <c r="C144" s="47">
        <f>+IFERROR(HLOOKUP(C10,'סקרי נכסים-יתרות פתיחה'!$2:$76,75,0),0)</f>
        <v>2203039</v>
      </c>
      <c r="D144" s="47">
        <f>+IFERROR(HLOOKUP(D10,'סקרי נכסים-יתרות פתיחה'!$2:$76,75,0),0)</f>
        <v>8012441</v>
      </c>
      <c r="E144" s="47">
        <f>+IFERROR(HLOOKUP(E10,'סקרי נכסים-יתרות פתיחה'!$2:$76,75,0),0)</f>
        <v>0</v>
      </c>
      <c r="F144" s="47">
        <f>+IFERROR(HLOOKUP(F10,'סקרי נכסים-יתרות פתיחה'!$2:$76,75,0),0)</f>
        <v>0</v>
      </c>
      <c r="G144" s="47">
        <f>+IFERROR(HLOOKUP(G10,'סקרי נכסים-יתרות פתיחה'!$2:$76,75,0),0)</f>
        <v>0</v>
      </c>
      <c r="H144" s="47">
        <f>+IFERROR(HLOOKUP(H10,'סקרי נכסים-יתרות פתיחה'!$2:$76,75,0),0)</f>
        <v>11909442</v>
      </c>
      <c r="I144" s="47">
        <f>+IFERROR(HLOOKUP(I10,'סקרי נכסים-יתרות פתיחה'!$2:$76,75,0),0)</f>
        <v>0</v>
      </c>
      <c r="J144" s="47">
        <f>+IFERROR(HLOOKUP(J10,'סקרי נכסים-יתרות פתיחה'!$2:$76,75,0),0)</f>
        <v>0</v>
      </c>
      <c r="K144" s="47">
        <f>+IFERROR(HLOOKUP(K10,'סקרי נכסים-יתרות פתיחה'!$2:$76,75,0),0)</f>
        <v>26595342</v>
      </c>
      <c r="L144" s="47">
        <f>+IFERROR(HLOOKUP(L10,'סקרי נכסים-יתרות פתיחה'!$2:$76,75,0),0)</f>
        <v>6841071</v>
      </c>
      <c r="M144" s="47">
        <f>+IFERROR(HLOOKUP(M10,'סקרי נכסים-יתרות פתיחה'!$2:$76,75,0),0)</f>
        <v>0</v>
      </c>
      <c r="N144" s="47">
        <f>+IFERROR(HLOOKUP(N10,'סקרי נכסים-יתרות פתיחה'!$2:$76,75,0),0)</f>
        <v>0</v>
      </c>
      <c r="O144" s="47">
        <f>+IFERROR(HLOOKUP(O10,'סקרי נכסים-יתרות פתיחה'!$2:$76,75,0),0)</f>
        <v>4450672</v>
      </c>
      <c r="P144" s="47">
        <f>+IFERROR(HLOOKUP(P10,'סקרי נכסים-יתרות פתיחה'!$2:$76,75,0),0)</f>
        <v>10279228</v>
      </c>
      <c r="Q144" s="47">
        <f>+IFERROR(HLOOKUP(Q10,'סקרי נכסים-יתרות פתיחה'!$2:$76,75,0),0)</f>
        <v>0</v>
      </c>
      <c r="R144" s="47">
        <f>+IFERROR(HLOOKUP(R10,'סקרי נכסים-יתרות פתיחה'!$2:$76,75,0),0)</f>
        <v>11246433</v>
      </c>
      <c r="S144" s="47">
        <f>+IFERROR(HLOOKUP(S10,'סקרי נכסים-יתרות פתיחה'!$2:$76,75,0),0)</f>
        <v>0</v>
      </c>
      <c r="T144" s="47">
        <f>+IFERROR(HLOOKUP(T10,'סקרי נכסים-יתרות פתיחה'!$2:$76,75,0),0)</f>
        <v>6797674</v>
      </c>
      <c r="U144" s="47">
        <f>+IFERROR(HLOOKUP(U10,'סקרי נכסים-יתרות פתיחה'!$2:$76,75,0),0)</f>
        <v>0</v>
      </c>
      <c r="V144" s="47">
        <f>+IFERROR(HLOOKUP(V10,'סקרי נכסים-יתרות פתיחה'!$2:$76,75,0),0)</f>
        <v>15263077</v>
      </c>
      <c r="W144" s="47">
        <f>+IFERROR(HLOOKUP(W10,'סקרי נכסים-יתרות פתיחה'!$2:$76,75,0),0)</f>
        <v>11513869</v>
      </c>
      <c r="X144" s="47">
        <f>+IFERROR(HLOOKUP(X10,'סקרי נכסים-יתרות פתיחה'!$2:$76,75,0),0)</f>
        <v>12320026</v>
      </c>
      <c r="Y144" s="47">
        <f>+IFERROR(HLOOKUP(Y10,'סקרי נכסים-יתרות פתיחה'!$2:$76,75,0),0)</f>
        <v>16073213</v>
      </c>
      <c r="Z144" s="47">
        <f>+IFERROR(HLOOKUP(Z10,'סקרי נכסים-יתרות פתיחה'!$2:$76,75,0),0)</f>
        <v>0</v>
      </c>
      <c r="AA144" s="47">
        <f>+IFERROR(HLOOKUP(AA10,'סקרי נכסים-יתרות פתיחה'!$2:$76,75,0),0)</f>
        <v>0</v>
      </c>
      <c r="AB144" s="47">
        <f>+IFERROR(HLOOKUP(AB10,'סקרי נכסים-יתרות פתיחה'!$2:$76,75,0),0)</f>
        <v>0</v>
      </c>
      <c r="AC144" s="47">
        <f>+IFERROR(HLOOKUP(AC10,'סקרי נכסים-יתרות פתיחה'!$2:$76,75,0),0)</f>
        <v>0</v>
      </c>
      <c r="AD144" s="47">
        <f>+IFERROR(HLOOKUP(AD10,'סקרי נכסים-יתרות פתיחה'!$2:$76,75,0),0)</f>
        <v>0</v>
      </c>
      <c r="AE144" s="47">
        <f>+IFERROR(HLOOKUP(AE10,'סקרי נכסים-יתרות פתיחה'!$2:$76,75,0),0)</f>
        <v>0</v>
      </c>
      <c r="AF144" s="47">
        <f>+IFERROR(HLOOKUP(AF10,'סקרי נכסים-יתרות פתיחה'!$2:$76,75,0),0)</f>
        <v>0</v>
      </c>
      <c r="AG144" s="47">
        <f>+IFERROR(HLOOKUP(AG10,'סקרי נכסים-יתרות פתיחה'!$2:$76,75,0),0)</f>
        <v>0</v>
      </c>
      <c r="AH144" s="47">
        <f>+IFERROR(HLOOKUP(AH10,'סקרי נכסים-יתרות פתיחה'!$2:$76,75,0),0)</f>
        <v>0</v>
      </c>
      <c r="AI144" s="47">
        <f>+IFERROR(HLOOKUP(AI10,'סקרי נכסים-יתרות פתיחה'!$2:$76,75,0),0)</f>
        <v>0</v>
      </c>
      <c r="AJ144" s="47">
        <f>+IFERROR(HLOOKUP(AJ10,'סקרי נכסים-יתרות פתיחה'!$2:$76,75,0),0)</f>
        <v>0</v>
      </c>
      <c r="AK144" s="47">
        <f>+IFERROR(HLOOKUP(AK10,'סקרי נכסים-יתרות פתיחה'!$2:$76,75,0),0)</f>
        <v>0</v>
      </c>
      <c r="AL144" s="47">
        <f>+IFERROR(HLOOKUP(AL10,'סקרי נכסים-יתרות פתיחה'!$2:$76,75,0),0)</f>
        <v>0</v>
      </c>
      <c r="AM144" s="47">
        <f>+IFERROR(HLOOKUP(AM10,'סקרי נכסים-יתרות פתיחה'!$2:$76,75,0),0)</f>
        <v>10280000</v>
      </c>
      <c r="AN144" s="47">
        <f>+IFERROR(HLOOKUP(AN10,'סקרי נכסים-יתרות פתיחה'!$2:$76,75,0),0)</f>
        <v>14530855</v>
      </c>
      <c r="AO144" s="47">
        <f>+IFERROR(HLOOKUP(AO10,'סקרי נכסים-יתרות פתיחה'!$2:$76,75,0),0)</f>
        <v>0</v>
      </c>
      <c r="AP144" s="47">
        <f>+IFERROR(HLOOKUP(AP10,'סקרי נכסים-יתרות פתיחה'!$2:$76,75,0),0)</f>
        <v>0</v>
      </c>
      <c r="AQ144" s="47">
        <f>+IFERROR(HLOOKUP(AQ10,'סקרי נכסים-יתרות פתיחה'!$2:$76,75,0),0)</f>
        <v>0</v>
      </c>
      <c r="AR144" s="47">
        <f>+IFERROR(HLOOKUP(AR10,'סקרי נכסים-יתרות פתיחה'!$2:$76,75,0),0)</f>
        <v>0</v>
      </c>
      <c r="AS144" s="47">
        <f>+IFERROR(HLOOKUP(AS10,'סקרי נכסים-יתרות פתיחה'!$2:$76,75,0),0)</f>
        <v>9350463</v>
      </c>
      <c r="AT144" s="47">
        <f>+IFERROR(HLOOKUP(AT10,'סקרי נכסים-יתרות פתיחה'!$2:$76,75,0),0)</f>
        <v>0</v>
      </c>
      <c r="AU144" s="47">
        <f>+IFERROR(HLOOKUP(AU10,'סקרי נכסים-יתרות פתיחה'!$2:$76,75,0),0)</f>
        <v>0</v>
      </c>
      <c r="AV144" s="47">
        <f>+IFERROR(HLOOKUP(AV10,'סקרי נכסים-יתרות פתיחה'!$2:$76,75,0),0)</f>
        <v>0</v>
      </c>
      <c r="AW144" s="47">
        <f>+IFERROR(HLOOKUP(AW10,'סקרי נכסים-יתרות פתיחה'!$2:$76,75,0),0)</f>
        <v>0</v>
      </c>
      <c r="AX144" s="47">
        <f>+IFERROR(HLOOKUP(AX10,'סקרי נכסים-יתרות פתיחה'!$2:$76,75,0),0)</f>
        <v>18422144</v>
      </c>
      <c r="AY144" s="47">
        <f>+IFERROR(HLOOKUP(AY10,'סקרי נכסים-יתרות פתיחה'!$2:$76,75,0),0)</f>
        <v>0</v>
      </c>
      <c r="AZ144" s="47">
        <f>+IFERROR(HLOOKUP(AZ10,'סקרי נכסים-יתרות פתיחה'!$2:$76,75,0),0)</f>
        <v>10240178</v>
      </c>
      <c r="BA144" s="47">
        <f>+IFERROR(HLOOKUP(BA10,'סקרי נכסים-יתרות פתיחה'!$2:$76,75,0),0)</f>
        <v>11585912</v>
      </c>
      <c r="BB144" s="47">
        <f>+IFERROR(HLOOKUP(BB10,'סקרי נכסים-יתרות פתיחה'!$2:$76,75,0),0)</f>
        <v>10950306</v>
      </c>
      <c r="BC144" s="47">
        <f>+IFERROR(HLOOKUP(BC10,'סקרי נכסים-יתרות פתיחה'!$2:$76,75,0),0)</f>
        <v>11236802</v>
      </c>
      <c r="BD144" s="47">
        <f>+IFERROR(HLOOKUP(BD10,'סקרי נכסים-יתרות פתיחה'!$2:$76,75,0),0)</f>
        <v>0</v>
      </c>
      <c r="BE144" s="47">
        <f>+IFERROR(HLOOKUP(BE10,'סקרי נכסים-יתרות פתיחה'!$2:$76,75,0),0)</f>
        <v>0</v>
      </c>
      <c r="BF144" s="47">
        <f>+IFERROR(HLOOKUP(BF10,'סקרי נכסים-יתרות פתיחה'!$2:$76,75,0),0)</f>
        <v>0</v>
      </c>
    </row>
    <row r="145" spans="2:58" x14ac:dyDescent="0.2">
      <c r="B145" s="1">
        <v>4</v>
      </c>
      <c r="C145" s="47">
        <f>+IFERROR(HLOOKUP(C11,'סקרי נכסים-יתרות פתיחה'!$2:$76,75,0),0)</f>
        <v>0</v>
      </c>
      <c r="D145" s="47">
        <f>+IFERROR(HLOOKUP(D11,'סקרי נכסים-יתרות פתיחה'!$2:$76,75,0),0)</f>
        <v>8132067</v>
      </c>
      <c r="E145" s="47">
        <f>+IFERROR(HLOOKUP(E11,'סקרי נכסים-יתרות פתיחה'!$2:$76,75,0),0)</f>
        <v>0</v>
      </c>
      <c r="F145" s="47">
        <f>+IFERROR(HLOOKUP(F11,'סקרי נכסים-יתרות פתיחה'!$2:$76,75,0),0)</f>
        <v>0</v>
      </c>
      <c r="G145" s="47">
        <f>+IFERROR(HLOOKUP(G11,'סקרי נכסים-יתרות פתיחה'!$2:$76,75,0),0)</f>
        <v>0</v>
      </c>
      <c r="H145" s="47">
        <f>+IFERROR(HLOOKUP(H11,'סקרי נכסים-יתרות פתיחה'!$2:$76,75,0),0)</f>
        <v>0</v>
      </c>
      <c r="I145" s="47">
        <f>+IFERROR(HLOOKUP(I11,'סקרי נכסים-יתרות פתיחה'!$2:$76,75,0),0)</f>
        <v>0</v>
      </c>
      <c r="J145" s="47">
        <f>+IFERROR(HLOOKUP(J11,'סקרי נכסים-יתרות פתיחה'!$2:$76,75,0),0)</f>
        <v>0</v>
      </c>
      <c r="K145" s="47">
        <f>+IFERROR(HLOOKUP(K11,'סקרי נכסים-יתרות פתיחה'!$2:$76,75,0),0)</f>
        <v>0</v>
      </c>
      <c r="L145" s="47">
        <f>+IFERROR(HLOOKUP(L11,'סקרי נכסים-יתרות פתיחה'!$2:$76,75,0),0)</f>
        <v>4842797</v>
      </c>
      <c r="M145" s="47">
        <f>+IFERROR(HLOOKUP(M11,'סקרי נכסים-יתרות פתיחה'!$2:$76,75,0),0)</f>
        <v>0</v>
      </c>
      <c r="N145" s="47">
        <f>+IFERROR(HLOOKUP(N11,'סקרי נכסים-יתרות פתיחה'!$2:$76,75,0),0)</f>
        <v>0</v>
      </c>
      <c r="O145" s="47">
        <f>+IFERROR(HLOOKUP(O11,'סקרי נכסים-יתרות פתיחה'!$2:$76,75,0),0)</f>
        <v>5592416</v>
      </c>
      <c r="P145" s="47">
        <f>+IFERROR(HLOOKUP(P11,'סקרי נכסים-יתרות פתיחה'!$2:$76,75,0),0)</f>
        <v>2440776</v>
      </c>
      <c r="Q145" s="47">
        <f>+IFERROR(HLOOKUP(Q11,'סקרי נכסים-יתרות פתיחה'!$2:$76,75,0),0)</f>
        <v>0</v>
      </c>
      <c r="R145" s="47">
        <f>+IFERROR(HLOOKUP(R11,'סקרי נכסים-יתרות פתיחה'!$2:$76,75,0),0)</f>
        <v>0</v>
      </c>
      <c r="S145" s="47">
        <f>+IFERROR(HLOOKUP(S11,'סקרי נכסים-יתרות פתיחה'!$2:$76,75,0),0)</f>
        <v>0</v>
      </c>
      <c r="T145" s="47">
        <f>+IFERROR(HLOOKUP(T11,'סקרי נכסים-יתרות פתיחה'!$2:$76,75,0),0)</f>
        <v>4801218</v>
      </c>
      <c r="U145" s="47">
        <f>+IFERROR(HLOOKUP(U11,'סקרי נכסים-יתרות פתיחה'!$2:$76,75,0),0)</f>
        <v>0</v>
      </c>
      <c r="V145" s="47">
        <f>+IFERROR(HLOOKUP(V11,'סקרי נכסים-יתרות פתיחה'!$2:$76,75,0),0)</f>
        <v>7601723</v>
      </c>
      <c r="W145" s="47">
        <f>+IFERROR(HLOOKUP(W11,'סקרי נכסים-יתרות פתיחה'!$2:$76,75,0),0)</f>
        <v>7368301</v>
      </c>
      <c r="X145" s="47">
        <f>+IFERROR(HLOOKUP(X11,'סקרי נכסים-יתרות פתיחה'!$2:$76,75,0),0)</f>
        <v>7356367</v>
      </c>
      <c r="Y145" s="47">
        <f>+IFERROR(HLOOKUP(Y11,'סקרי נכסים-יתרות פתיחה'!$2:$76,75,0),0)</f>
        <v>15140079</v>
      </c>
      <c r="Z145" s="47">
        <f>+IFERROR(HLOOKUP(Z11,'סקרי נכסים-יתרות פתיחה'!$2:$76,75,0),0)</f>
        <v>0</v>
      </c>
      <c r="AA145" s="47">
        <f>+IFERROR(HLOOKUP(AA11,'סקרי נכסים-יתרות פתיחה'!$2:$76,75,0),0)</f>
        <v>0</v>
      </c>
      <c r="AB145" s="47">
        <f>+IFERROR(HLOOKUP(AB11,'סקרי נכסים-יתרות פתיחה'!$2:$76,75,0),0)</f>
        <v>0</v>
      </c>
      <c r="AC145" s="47">
        <f>+IFERROR(HLOOKUP(AC11,'סקרי נכסים-יתרות פתיחה'!$2:$76,75,0),0)</f>
        <v>0</v>
      </c>
      <c r="AD145" s="47">
        <f>+IFERROR(HLOOKUP(AD11,'סקרי נכסים-יתרות פתיחה'!$2:$76,75,0),0)</f>
        <v>0</v>
      </c>
      <c r="AE145" s="47">
        <f>+IFERROR(HLOOKUP(AE11,'סקרי נכסים-יתרות פתיחה'!$2:$76,75,0),0)</f>
        <v>0</v>
      </c>
      <c r="AF145" s="47">
        <f>+IFERROR(HLOOKUP(AF11,'סקרי נכסים-יתרות פתיחה'!$2:$76,75,0),0)</f>
        <v>0</v>
      </c>
      <c r="AG145" s="47">
        <f>+IFERROR(HLOOKUP(AG11,'סקרי נכסים-יתרות פתיחה'!$2:$76,75,0),0)</f>
        <v>0</v>
      </c>
      <c r="AH145" s="47">
        <f>+IFERROR(HLOOKUP(AH11,'סקרי נכסים-יתרות פתיחה'!$2:$76,75,0),0)</f>
        <v>0</v>
      </c>
      <c r="AI145" s="47">
        <f>+IFERROR(HLOOKUP(AI11,'סקרי נכסים-יתרות פתיחה'!$2:$76,75,0),0)</f>
        <v>0</v>
      </c>
      <c r="AJ145" s="47">
        <f>+IFERROR(HLOOKUP(AJ11,'סקרי נכסים-יתרות פתיחה'!$2:$76,75,0),0)</f>
        <v>0</v>
      </c>
      <c r="AK145" s="47">
        <f>+IFERROR(HLOOKUP(AK11,'סקרי נכסים-יתרות פתיחה'!$2:$76,75,0),0)</f>
        <v>0</v>
      </c>
      <c r="AL145" s="47">
        <f>+IFERROR(HLOOKUP(AL11,'סקרי נכסים-יתרות פתיחה'!$2:$76,75,0),0)</f>
        <v>0</v>
      </c>
      <c r="AM145" s="47">
        <f>+IFERROR(HLOOKUP(AM11,'סקרי נכסים-יתרות פתיחה'!$2:$76,75,0),0)</f>
        <v>18898209</v>
      </c>
      <c r="AN145" s="47">
        <f>+IFERROR(HLOOKUP(AN11,'סקרי נכסים-יתרות פתיחה'!$2:$76,75,0),0)</f>
        <v>14280221</v>
      </c>
      <c r="AO145" s="47">
        <f>+IFERROR(HLOOKUP(AO11,'סקרי נכסים-יתרות פתיחה'!$2:$76,75,0),0)</f>
        <v>0</v>
      </c>
      <c r="AP145" s="47">
        <f>+IFERROR(HLOOKUP(AP11,'סקרי נכסים-יתרות פתיחה'!$2:$76,75,0),0)</f>
        <v>0</v>
      </c>
      <c r="AQ145" s="47">
        <f>+IFERROR(HLOOKUP(AQ11,'סקרי נכסים-יתרות פתיחה'!$2:$76,75,0),0)</f>
        <v>0</v>
      </c>
      <c r="AR145" s="47">
        <f>+IFERROR(HLOOKUP(AR11,'סקרי נכסים-יתרות פתיחה'!$2:$76,75,0),0)</f>
        <v>0</v>
      </c>
      <c r="AS145" s="47">
        <f>+IFERROR(HLOOKUP(AS11,'סקרי נכסים-יתרות פתיחה'!$2:$76,75,0),0)</f>
        <v>10320106</v>
      </c>
      <c r="AT145" s="47">
        <f>+IFERROR(HLOOKUP(AT11,'סקרי נכסים-יתרות פתיחה'!$2:$76,75,0),0)</f>
        <v>0</v>
      </c>
      <c r="AU145" s="47">
        <f>+IFERROR(HLOOKUP(AU11,'סקרי נכסים-יתרות פתיחה'!$2:$76,75,0),0)</f>
        <v>0</v>
      </c>
      <c r="AV145" s="47">
        <f>+IFERROR(HLOOKUP(AV11,'סקרי נכסים-יתרות פתיחה'!$2:$76,75,0),0)</f>
        <v>0</v>
      </c>
      <c r="AW145" s="47">
        <f>+IFERROR(HLOOKUP(AW11,'סקרי נכסים-יתרות פתיחה'!$2:$76,75,0),0)</f>
        <v>0</v>
      </c>
      <c r="AX145" s="47">
        <f>+IFERROR(HLOOKUP(AX11,'סקרי נכסים-יתרות פתיחה'!$2:$76,75,0),0)</f>
        <v>17340252</v>
      </c>
      <c r="AY145" s="47">
        <f>+IFERROR(HLOOKUP(AY11,'סקרי נכסים-יתרות פתיחה'!$2:$76,75,0),0)</f>
        <v>0</v>
      </c>
      <c r="AZ145" s="47">
        <f>+IFERROR(HLOOKUP(AZ11,'סקרי נכסים-יתרות פתיחה'!$2:$76,75,0),0)</f>
        <v>19844548</v>
      </c>
      <c r="BA145" s="47">
        <f>+IFERROR(HLOOKUP(BA11,'סקרי נכסים-יתרות פתיחה'!$2:$76,75,0),0)</f>
        <v>7724272</v>
      </c>
      <c r="BB145" s="47">
        <f>+IFERROR(HLOOKUP(BB11,'סקרי נכסים-יתרות פתיחה'!$2:$76,75,0),0)</f>
        <v>7173559</v>
      </c>
      <c r="BC145" s="47">
        <f>+IFERROR(HLOOKUP(BC11,'סקרי נכסים-יתרות פתיחה'!$2:$76,75,0),0)</f>
        <v>15216528</v>
      </c>
      <c r="BD145" s="47">
        <f>+IFERROR(HLOOKUP(BD11,'סקרי נכסים-יתרות פתיחה'!$2:$76,75,0),0)</f>
        <v>0</v>
      </c>
      <c r="BE145" s="47">
        <f>+IFERROR(HLOOKUP(BE11,'סקרי נכסים-יתרות פתיחה'!$2:$76,75,0),0)</f>
        <v>0</v>
      </c>
      <c r="BF145" s="47">
        <f>+IFERROR(HLOOKUP(BF11,'סקרי נכסים-יתרות פתיחה'!$2:$76,75,0),0)</f>
        <v>0</v>
      </c>
    </row>
    <row r="146" spans="2:58" x14ac:dyDescent="0.2">
      <c r="B146" s="1">
        <v>5</v>
      </c>
      <c r="C146" s="47">
        <f>+IFERROR(HLOOKUP(C12,'סקרי נכסים-יתרות פתיחה'!$2:$76,75,0),0)</f>
        <v>0</v>
      </c>
      <c r="D146" s="47">
        <f>+IFERROR(HLOOKUP(D12,'סקרי נכסים-יתרות פתיחה'!$2:$76,75,0),0)</f>
        <v>5350032</v>
      </c>
      <c r="E146" s="47">
        <f>+IFERROR(HLOOKUP(E12,'סקרי נכסים-יתרות פתיחה'!$2:$76,75,0),0)</f>
        <v>0</v>
      </c>
      <c r="F146" s="47">
        <f>+IFERROR(HLOOKUP(F12,'סקרי נכסים-יתרות פתיחה'!$2:$76,75,0),0)</f>
        <v>0</v>
      </c>
      <c r="G146" s="47">
        <f>+IFERROR(HLOOKUP(G12,'סקרי נכסים-יתרות פתיחה'!$2:$76,75,0),0)</f>
        <v>0</v>
      </c>
      <c r="H146" s="47">
        <f>+IFERROR(HLOOKUP(H12,'סקרי נכסים-יתרות פתיחה'!$2:$76,75,0),0)</f>
        <v>0</v>
      </c>
      <c r="I146" s="47">
        <f>+IFERROR(HLOOKUP(I12,'סקרי נכסים-יתרות פתיחה'!$2:$76,75,0),0)</f>
        <v>0</v>
      </c>
      <c r="J146" s="47">
        <f>+IFERROR(HLOOKUP(J12,'סקרי נכסים-יתרות פתיחה'!$2:$76,75,0),0)</f>
        <v>0</v>
      </c>
      <c r="K146" s="47">
        <f>+IFERROR(HLOOKUP(K12,'סקרי נכסים-יתרות פתיחה'!$2:$76,75,0),0)</f>
        <v>0</v>
      </c>
      <c r="L146" s="47">
        <f>+IFERROR(HLOOKUP(L12,'סקרי נכסים-יתרות פתיחה'!$2:$76,75,0),0)</f>
        <v>0</v>
      </c>
      <c r="M146" s="47">
        <f>+IFERROR(HLOOKUP(M12,'סקרי נכסים-יתרות פתיחה'!$2:$76,75,0),0)</f>
        <v>0</v>
      </c>
      <c r="N146" s="47">
        <f>+IFERROR(HLOOKUP(N12,'סקרי נכסים-יתרות פתיחה'!$2:$76,75,0),0)</f>
        <v>0</v>
      </c>
      <c r="O146" s="47">
        <f>+IFERROR(HLOOKUP(O12,'סקרי נכסים-יתרות פתיחה'!$2:$76,75,0),0)</f>
        <v>0</v>
      </c>
      <c r="P146" s="47">
        <f>+IFERROR(HLOOKUP(P12,'סקרי נכסים-יתרות פתיחה'!$2:$76,75,0),0)</f>
        <v>4848431</v>
      </c>
      <c r="Q146" s="47">
        <f>+IFERROR(HLOOKUP(Q12,'סקרי נכסים-יתרות פתיחה'!$2:$76,75,0),0)</f>
        <v>0</v>
      </c>
      <c r="R146" s="47">
        <f>+IFERROR(HLOOKUP(R12,'סקרי נכסים-יתרות פתיחה'!$2:$76,75,0),0)</f>
        <v>0</v>
      </c>
      <c r="S146" s="47">
        <f>+IFERROR(HLOOKUP(S12,'סקרי נכסים-יתרות פתיחה'!$2:$76,75,0),0)</f>
        <v>0</v>
      </c>
      <c r="T146" s="47">
        <f>+IFERROR(HLOOKUP(T12,'סקרי נכסים-יתרות פתיחה'!$2:$76,75,0),0)</f>
        <v>0</v>
      </c>
      <c r="U146" s="47">
        <f>+IFERROR(HLOOKUP(U12,'סקרי נכסים-יתרות פתיחה'!$2:$76,75,0),0)</f>
        <v>0</v>
      </c>
      <c r="V146" s="47">
        <f>+IFERROR(HLOOKUP(V12,'סקרי נכסים-יתרות פתיחה'!$2:$76,75,0),0)</f>
        <v>5921207</v>
      </c>
      <c r="W146" s="47">
        <f>+IFERROR(HLOOKUP(W12,'סקרי נכסים-יתרות פתיחה'!$2:$76,75,0),0)</f>
        <v>4046775</v>
      </c>
      <c r="X146" s="47">
        <f>+IFERROR(HLOOKUP(X12,'סקרי נכסים-יתרות פתיחה'!$2:$76,75,0),0)</f>
        <v>8428517</v>
      </c>
      <c r="Y146" s="47">
        <f>+IFERROR(HLOOKUP(Y12,'סקרי נכסים-יתרות פתיחה'!$2:$76,75,0),0)</f>
        <v>0</v>
      </c>
      <c r="Z146" s="47">
        <f>+IFERROR(HLOOKUP(Z12,'סקרי נכסים-יתרות פתיחה'!$2:$76,75,0),0)</f>
        <v>0</v>
      </c>
      <c r="AA146" s="47">
        <f>+IFERROR(HLOOKUP(AA12,'סקרי נכסים-יתרות פתיחה'!$2:$76,75,0),0)</f>
        <v>0</v>
      </c>
      <c r="AB146" s="47">
        <f>+IFERROR(HLOOKUP(AB12,'סקרי נכסים-יתרות פתיחה'!$2:$76,75,0),0)</f>
        <v>0</v>
      </c>
      <c r="AC146" s="47">
        <f>+IFERROR(HLOOKUP(AC12,'סקרי נכסים-יתרות פתיחה'!$2:$76,75,0),0)</f>
        <v>0</v>
      </c>
      <c r="AD146" s="47">
        <f>+IFERROR(HLOOKUP(AD12,'סקרי נכסים-יתרות פתיחה'!$2:$76,75,0),0)</f>
        <v>0</v>
      </c>
      <c r="AE146" s="47">
        <f>+IFERROR(HLOOKUP(AE12,'סקרי נכסים-יתרות פתיחה'!$2:$76,75,0),0)</f>
        <v>0</v>
      </c>
      <c r="AF146" s="47">
        <f>+IFERROR(HLOOKUP(AF12,'סקרי נכסים-יתרות פתיחה'!$2:$76,75,0),0)</f>
        <v>0</v>
      </c>
      <c r="AG146" s="47">
        <f>+IFERROR(HLOOKUP(AG12,'סקרי נכסים-יתרות פתיחה'!$2:$76,75,0),0)</f>
        <v>0</v>
      </c>
      <c r="AH146" s="47">
        <f>+IFERROR(HLOOKUP(AH12,'סקרי נכסים-יתרות פתיחה'!$2:$76,75,0),0)</f>
        <v>0</v>
      </c>
      <c r="AI146" s="47">
        <f>+IFERROR(HLOOKUP(AI12,'סקרי נכסים-יתרות פתיחה'!$2:$76,75,0),0)</f>
        <v>0</v>
      </c>
      <c r="AJ146" s="47">
        <f>+IFERROR(HLOOKUP(AJ12,'סקרי נכסים-יתרות פתיחה'!$2:$76,75,0),0)</f>
        <v>0</v>
      </c>
      <c r="AK146" s="47">
        <f>+IFERROR(HLOOKUP(AK12,'סקרי נכסים-יתרות פתיחה'!$2:$76,75,0),0)</f>
        <v>0</v>
      </c>
      <c r="AL146" s="47">
        <f>+IFERROR(HLOOKUP(AL12,'סקרי נכסים-יתרות פתיחה'!$2:$76,75,0),0)</f>
        <v>0</v>
      </c>
      <c r="AM146" s="47">
        <f>+IFERROR(HLOOKUP(AM12,'סקרי נכסים-יתרות פתיחה'!$2:$76,75,0),0)</f>
        <v>11244442</v>
      </c>
      <c r="AN146" s="47">
        <f>+IFERROR(HLOOKUP(AN12,'סקרי נכסים-יתרות פתיחה'!$2:$76,75,0),0)</f>
        <v>19240644</v>
      </c>
      <c r="AO146" s="47">
        <f>+IFERROR(HLOOKUP(AO12,'סקרי נכסים-יתרות פתיחה'!$2:$76,75,0),0)</f>
        <v>0</v>
      </c>
      <c r="AP146" s="47">
        <f>+IFERROR(HLOOKUP(AP12,'סקרי נכסים-יתרות פתיחה'!$2:$76,75,0),0)</f>
        <v>0</v>
      </c>
      <c r="AQ146" s="47">
        <f>+IFERROR(HLOOKUP(AQ12,'סקרי נכסים-יתרות פתיחה'!$2:$76,75,0),0)</f>
        <v>0</v>
      </c>
      <c r="AR146" s="47">
        <f>+IFERROR(HLOOKUP(AR12,'סקרי נכסים-יתרות פתיחה'!$2:$76,75,0),0)</f>
        <v>0</v>
      </c>
      <c r="AS146" s="47">
        <f>+IFERROR(HLOOKUP(AS12,'סקרי נכסים-יתרות פתיחה'!$2:$76,75,0),0)</f>
        <v>26818282</v>
      </c>
      <c r="AT146" s="47">
        <f>+IFERROR(HLOOKUP(AT12,'סקרי נכסים-יתרות פתיחה'!$2:$76,75,0),0)</f>
        <v>0</v>
      </c>
      <c r="AU146" s="47">
        <f>+IFERROR(HLOOKUP(AU12,'סקרי נכסים-יתרות פתיחה'!$2:$76,75,0),0)</f>
        <v>0</v>
      </c>
      <c r="AV146" s="47">
        <f>+IFERROR(HLOOKUP(AV12,'סקרי נכסים-יתרות פתיחה'!$2:$76,75,0),0)</f>
        <v>0</v>
      </c>
      <c r="AW146" s="47">
        <f>+IFERROR(HLOOKUP(AW12,'סקרי נכסים-יתרות פתיחה'!$2:$76,75,0),0)</f>
        <v>0</v>
      </c>
      <c r="AX146" s="47">
        <f>+IFERROR(HLOOKUP(AX12,'סקרי נכסים-יתרות פתיחה'!$2:$76,75,0),0)</f>
        <v>0</v>
      </c>
      <c r="AY146" s="47">
        <f>+IFERROR(HLOOKUP(AY12,'סקרי נכסים-יתרות פתיחה'!$2:$76,75,0),0)</f>
        <v>0</v>
      </c>
      <c r="AZ146" s="47">
        <f>+IFERROR(HLOOKUP(AZ12,'סקרי נכסים-יתרות פתיחה'!$2:$76,75,0),0)</f>
        <v>0</v>
      </c>
      <c r="BA146" s="47">
        <f>+IFERROR(HLOOKUP(BA12,'סקרי נכסים-יתרות פתיחה'!$2:$76,75,0),0)</f>
        <v>0</v>
      </c>
      <c r="BB146" s="47">
        <f>+IFERROR(HLOOKUP(BB12,'סקרי נכסים-יתרות פתיחה'!$2:$76,75,0),0)</f>
        <v>23750544</v>
      </c>
      <c r="BC146" s="47">
        <f>+IFERROR(HLOOKUP(BC12,'סקרי נכסים-יתרות פתיחה'!$2:$76,75,0),0)</f>
        <v>24656681</v>
      </c>
      <c r="BD146" s="47">
        <f>+IFERROR(HLOOKUP(BD12,'סקרי נכסים-יתרות פתיחה'!$2:$76,75,0),0)</f>
        <v>0</v>
      </c>
      <c r="BE146" s="47">
        <f>+IFERROR(HLOOKUP(BE12,'סקרי נכסים-יתרות פתיחה'!$2:$76,75,0),0)</f>
        <v>0</v>
      </c>
      <c r="BF146" s="47">
        <f>+IFERROR(HLOOKUP(BF12,'סקרי נכסים-יתרות פתיחה'!$2:$76,75,0),0)</f>
        <v>0</v>
      </c>
    </row>
    <row r="147" spans="2:58" x14ac:dyDescent="0.2">
      <c r="B147" s="1">
        <v>6</v>
      </c>
      <c r="C147" s="47">
        <f>+IFERROR(HLOOKUP(C13,'סקרי נכסים-יתרות פתיחה'!$2:$76,75,0),0)</f>
        <v>0</v>
      </c>
      <c r="D147" s="47">
        <f>+IFERROR(HLOOKUP(D13,'סקרי נכסים-יתרות פתיחה'!$2:$76,75,0),0)</f>
        <v>6627387</v>
      </c>
      <c r="E147" s="47">
        <f>+IFERROR(HLOOKUP(E13,'סקרי נכסים-יתרות פתיחה'!$2:$76,75,0),0)</f>
        <v>0</v>
      </c>
      <c r="F147" s="47">
        <f>+IFERROR(HLOOKUP(F13,'סקרי נכסים-יתרות פתיחה'!$2:$76,75,0),0)</f>
        <v>0</v>
      </c>
      <c r="G147" s="47">
        <f>+IFERROR(HLOOKUP(G13,'סקרי נכסים-יתרות פתיחה'!$2:$76,75,0),0)</f>
        <v>0</v>
      </c>
      <c r="H147" s="47">
        <f>+IFERROR(HLOOKUP(H13,'סקרי נכסים-יתרות פתיחה'!$2:$76,75,0),0)</f>
        <v>0</v>
      </c>
      <c r="I147" s="47">
        <f>+IFERROR(HLOOKUP(I13,'סקרי נכסים-יתרות פתיחה'!$2:$76,75,0),0)</f>
        <v>0</v>
      </c>
      <c r="J147" s="47">
        <f>+IFERROR(HLOOKUP(J13,'סקרי נכסים-יתרות פתיחה'!$2:$76,75,0),0)</f>
        <v>0</v>
      </c>
      <c r="K147" s="47">
        <f>+IFERROR(HLOOKUP(K13,'סקרי נכסים-יתרות פתיחה'!$2:$76,75,0),0)</f>
        <v>0</v>
      </c>
      <c r="L147" s="47">
        <f>+IFERROR(HLOOKUP(L13,'סקרי נכסים-יתרות פתיחה'!$2:$76,75,0),0)</f>
        <v>0</v>
      </c>
      <c r="M147" s="47">
        <f>+IFERROR(HLOOKUP(M13,'סקרי נכסים-יתרות פתיחה'!$2:$76,75,0),0)</f>
        <v>0</v>
      </c>
      <c r="N147" s="47">
        <f>+IFERROR(HLOOKUP(N13,'סקרי נכסים-יתרות פתיחה'!$2:$76,75,0),0)</f>
        <v>0</v>
      </c>
      <c r="O147" s="47">
        <f>+IFERROR(HLOOKUP(O13,'סקרי נכסים-יתרות פתיחה'!$2:$76,75,0),0)</f>
        <v>0</v>
      </c>
      <c r="P147" s="47">
        <f>+IFERROR(HLOOKUP(P13,'סקרי נכסים-יתרות פתיחה'!$2:$76,75,0),0)</f>
        <v>9935389</v>
      </c>
      <c r="Q147" s="47">
        <f>+IFERROR(HLOOKUP(Q13,'סקרי נכסים-יתרות פתיחה'!$2:$76,75,0),0)</f>
        <v>0</v>
      </c>
      <c r="R147" s="47">
        <f>+IFERROR(HLOOKUP(R13,'סקרי נכסים-יתרות פתיחה'!$2:$76,75,0),0)</f>
        <v>0</v>
      </c>
      <c r="S147" s="47">
        <f>+IFERROR(HLOOKUP(S13,'סקרי נכסים-יתרות פתיחה'!$2:$76,75,0),0)</f>
        <v>0</v>
      </c>
      <c r="T147" s="47">
        <f>+IFERROR(HLOOKUP(T13,'סקרי נכסים-יתרות פתיחה'!$2:$76,75,0),0)</f>
        <v>0</v>
      </c>
      <c r="U147" s="47">
        <f>+IFERROR(HLOOKUP(U13,'סקרי נכסים-יתרות פתיחה'!$2:$76,75,0),0)</f>
        <v>0</v>
      </c>
      <c r="V147" s="47">
        <f>+IFERROR(HLOOKUP(V13,'סקרי נכסים-יתרות פתיחה'!$2:$76,75,0),0)</f>
        <v>5454625</v>
      </c>
      <c r="W147" s="47">
        <f>+IFERROR(HLOOKUP(W13,'סקרי נכסים-יתרות פתיחה'!$2:$76,75,0),0)</f>
        <v>18467241</v>
      </c>
      <c r="X147" s="47">
        <f>+IFERROR(HLOOKUP(X13,'סקרי נכסים-יתרות פתיחה'!$2:$76,75,0),0)</f>
        <v>0</v>
      </c>
      <c r="Y147" s="47">
        <f>+IFERROR(HLOOKUP(Y13,'סקרי נכסים-יתרות פתיחה'!$2:$76,75,0),0)</f>
        <v>0</v>
      </c>
      <c r="Z147" s="47">
        <f>+IFERROR(HLOOKUP(Z13,'סקרי נכסים-יתרות פתיחה'!$2:$76,75,0),0)</f>
        <v>0</v>
      </c>
      <c r="AA147" s="47">
        <f>+IFERROR(HLOOKUP(AA13,'סקרי נכסים-יתרות פתיחה'!$2:$76,75,0),0)</f>
        <v>0</v>
      </c>
      <c r="AB147" s="47">
        <f>+IFERROR(HLOOKUP(AB13,'סקרי נכסים-יתרות פתיחה'!$2:$76,75,0),0)</f>
        <v>0</v>
      </c>
      <c r="AC147" s="47">
        <f>+IFERROR(HLOOKUP(AC13,'סקרי נכסים-יתרות פתיחה'!$2:$76,75,0),0)</f>
        <v>0</v>
      </c>
      <c r="AD147" s="47">
        <f>+IFERROR(HLOOKUP(AD13,'סקרי נכסים-יתרות פתיחה'!$2:$76,75,0),0)</f>
        <v>0</v>
      </c>
      <c r="AE147" s="47">
        <f>+IFERROR(HLOOKUP(AE13,'סקרי נכסים-יתרות פתיחה'!$2:$76,75,0),0)</f>
        <v>0</v>
      </c>
      <c r="AF147" s="47">
        <f>+IFERROR(HLOOKUP(AF13,'סקרי נכסים-יתרות פתיחה'!$2:$76,75,0),0)</f>
        <v>0</v>
      </c>
      <c r="AG147" s="47">
        <f>+IFERROR(HLOOKUP(AG13,'סקרי נכסים-יתרות פתיחה'!$2:$76,75,0),0)</f>
        <v>0</v>
      </c>
      <c r="AH147" s="47">
        <f>+IFERROR(HLOOKUP(AH13,'סקרי נכסים-יתרות פתיחה'!$2:$76,75,0),0)</f>
        <v>0</v>
      </c>
      <c r="AI147" s="47">
        <f>+IFERROR(HLOOKUP(AI13,'סקרי נכסים-יתרות פתיחה'!$2:$76,75,0),0)</f>
        <v>0</v>
      </c>
      <c r="AJ147" s="47">
        <f>+IFERROR(HLOOKUP(AJ13,'סקרי נכסים-יתרות פתיחה'!$2:$76,75,0),0)</f>
        <v>0</v>
      </c>
      <c r="AK147" s="47">
        <f>+IFERROR(HLOOKUP(AK13,'סקרי נכסים-יתרות פתיחה'!$2:$76,75,0),0)</f>
        <v>0</v>
      </c>
      <c r="AL147" s="47">
        <f>+IFERROR(HLOOKUP(AL13,'סקרי נכסים-יתרות פתיחה'!$2:$76,75,0),0)</f>
        <v>0</v>
      </c>
      <c r="AM147" s="47">
        <f>+IFERROR(HLOOKUP(AM13,'סקרי נכסים-יתרות פתיחה'!$2:$76,75,0),0)</f>
        <v>0</v>
      </c>
      <c r="AN147" s="47">
        <f>+IFERROR(HLOOKUP(AN13,'סקרי נכסים-יתרות פתיחה'!$2:$76,75,0),0)</f>
        <v>14556657</v>
      </c>
      <c r="AO147" s="47">
        <f>+IFERROR(HLOOKUP(AO13,'סקרי נכסים-יתרות פתיחה'!$2:$76,75,0),0)</f>
        <v>0</v>
      </c>
      <c r="AP147" s="47">
        <f>+IFERROR(HLOOKUP(AP13,'סקרי נכסים-יתרות פתיחה'!$2:$76,75,0),0)</f>
        <v>0</v>
      </c>
      <c r="AQ147" s="47">
        <f>+IFERROR(HLOOKUP(AQ13,'סקרי נכסים-יתרות פתיחה'!$2:$76,75,0),0)</f>
        <v>0</v>
      </c>
      <c r="AR147" s="47">
        <f>+IFERROR(HLOOKUP(AR13,'סקרי נכסים-יתרות פתיחה'!$2:$76,75,0),0)</f>
        <v>0</v>
      </c>
      <c r="AS147" s="47">
        <f>+IFERROR(HLOOKUP(AS13,'סקרי נכסים-יתרות פתיחה'!$2:$76,75,0),0)</f>
        <v>8914534</v>
      </c>
      <c r="AT147" s="47">
        <f>+IFERROR(HLOOKUP(AT13,'סקרי נכסים-יתרות פתיחה'!$2:$76,75,0),0)</f>
        <v>0</v>
      </c>
      <c r="AU147" s="47">
        <f>+IFERROR(HLOOKUP(AU13,'סקרי נכסים-יתרות פתיחה'!$2:$76,75,0),0)</f>
        <v>0</v>
      </c>
      <c r="AV147" s="47">
        <f>+IFERROR(HLOOKUP(AV13,'סקרי נכסים-יתרות פתיחה'!$2:$76,75,0),0)</f>
        <v>0</v>
      </c>
      <c r="AW147" s="47">
        <f>+IFERROR(HLOOKUP(AW13,'סקרי נכסים-יתרות פתיחה'!$2:$76,75,0),0)</f>
        <v>0</v>
      </c>
      <c r="AX147" s="47">
        <f>+IFERROR(HLOOKUP(AX13,'סקרי נכסים-יתרות פתיחה'!$2:$76,75,0),0)</f>
        <v>0</v>
      </c>
      <c r="AY147" s="47">
        <f>+IFERROR(HLOOKUP(AY13,'סקרי נכסים-יתרות פתיחה'!$2:$76,75,0),0)</f>
        <v>0</v>
      </c>
      <c r="AZ147" s="47">
        <f>+IFERROR(HLOOKUP(AZ13,'סקרי נכסים-יתרות פתיחה'!$2:$76,75,0),0)</f>
        <v>0</v>
      </c>
      <c r="BA147" s="47">
        <f>+IFERROR(HLOOKUP(BA13,'סקרי נכסים-יתרות פתיחה'!$2:$76,75,0),0)</f>
        <v>0</v>
      </c>
      <c r="BB147" s="47">
        <f>+IFERROR(HLOOKUP(BB13,'סקרי נכסים-יתרות פתיחה'!$2:$76,75,0),0)</f>
        <v>2873579</v>
      </c>
      <c r="BC147" s="47">
        <f>+IFERROR(HLOOKUP(BC13,'סקרי נכסים-יתרות פתיחה'!$2:$76,75,0),0)</f>
        <v>7705345.333333333</v>
      </c>
      <c r="BD147" s="47">
        <f>+IFERROR(HLOOKUP(BD13,'סקרי נכסים-יתרות פתיחה'!$2:$76,75,0),0)</f>
        <v>0</v>
      </c>
      <c r="BE147" s="47">
        <f>+IFERROR(HLOOKUP(BE13,'סקרי נכסים-יתרות פתיחה'!$2:$76,75,0),0)</f>
        <v>0</v>
      </c>
      <c r="BF147" s="47">
        <f>+IFERROR(HLOOKUP(BF13,'סקרי נכסים-יתרות פתיחה'!$2:$76,75,0),0)</f>
        <v>0</v>
      </c>
    </row>
    <row r="148" spans="2:58" x14ac:dyDescent="0.2">
      <c r="B148" s="1">
        <v>7</v>
      </c>
      <c r="C148" s="47">
        <f>+IFERROR(HLOOKUP(C14,'סקרי נכסים-יתרות פתיחה'!$2:$76,75,0),0)</f>
        <v>0</v>
      </c>
      <c r="D148" s="47">
        <f>+IFERROR(HLOOKUP(D14,'סקרי נכסים-יתרות פתיחה'!$2:$76,75,0),0)</f>
        <v>6313298</v>
      </c>
      <c r="E148" s="47">
        <f>+IFERROR(HLOOKUP(E14,'סקרי נכסים-יתרות פתיחה'!$2:$76,75,0),0)</f>
        <v>0</v>
      </c>
      <c r="F148" s="47">
        <f>+IFERROR(HLOOKUP(F14,'סקרי נכסים-יתרות פתיחה'!$2:$76,75,0),0)</f>
        <v>0</v>
      </c>
      <c r="G148" s="47">
        <f>+IFERROR(HLOOKUP(G14,'סקרי נכסים-יתרות פתיחה'!$2:$76,75,0),0)</f>
        <v>0</v>
      </c>
      <c r="H148" s="47">
        <f>+IFERROR(HLOOKUP(H14,'סקרי נכסים-יתרות פתיחה'!$2:$76,75,0),0)</f>
        <v>0</v>
      </c>
      <c r="I148" s="47">
        <f>+IFERROR(HLOOKUP(I14,'סקרי נכסים-יתרות פתיחה'!$2:$76,75,0),0)</f>
        <v>0</v>
      </c>
      <c r="J148" s="47">
        <f>+IFERROR(HLOOKUP(J14,'סקרי נכסים-יתרות פתיחה'!$2:$76,75,0),0)</f>
        <v>0</v>
      </c>
      <c r="K148" s="47">
        <f>+IFERROR(HLOOKUP(K14,'סקרי נכסים-יתרות פתיחה'!$2:$76,75,0),0)</f>
        <v>0</v>
      </c>
      <c r="L148" s="47">
        <f>+IFERROR(HLOOKUP(L14,'סקרי נכסים-יתרות פתיחה'!$2:$76,75,0),0)</f>
        <v>0</v>
      </c>
      <c r="M148" s="47">
        <f>+IFERROR(HLOOKUP(M14,'סקרי נכסים-יתרות פתיחה'!$2:$76,75,0),0)</f>
        <v>0</v>
      </c>
      <c r="N148" s="47">
        <f>+IFERROR(HLOOKUP(N14,'סקרי נכסים-יתרות פתיחה'!$2:$76,75,0),0)</f>
        <v>0</v>
      </c>
      <c r="O148" s="47">
        <f>+IFERROR(HLOOKUP(O14,'סקרי נכסים-יתרות פתיחה'!$2:$76,75,0),0)</f>
        <v>0</v>
      </c>
      <c r="P148" s="47">
        <f>+IFERROR(HLOOKUP(P14,'סקרי נכסים-יתרות פתיחה'!$2:$76,75,0),0)</f>
        <v>8742223</v>
      </c>
      <c r="Q148" s="47">
        <f>+IFERROR(HLOOKUP(Q14,'סקרי נכסים-יתרות פתיחה'!$2:$76,75,0),0)</f>
        <v>0</v>
      </c>
      <c r="R148" s="47">
        <f>+IFERROR(HLOOKUP(R14,'סקרי נכסים-יתרות פתיחה'!$2:$76,75,0),0)</f>
        <v>0</v>
      </c>
      <c r="S148" s="47">
        <f>+IFERROR(HLOOKUP(S14,'סקרי נכסים-יתרות פתיחה'!$2:$76,75,0),0)</f>
        <v>0</v>
      </c>
      <c r="T148" s="47">
        <f>+IFERROR(HLOOKUP(T14,'סקרי נכסים-יתרות פתיחה'!$2:$76,75,0),0)</f>
        <v>0</v>
      </c>
      <c r="U148" s="47">
        <f>+IFERROR(HLOOKUP(U14,'סקרי נכסים-יתרות פתיחה'!$2:$76,75,0),0)</f>
        <v>0</v>
      </c>
      <c r="V148" s="47">
        <f>+IFERROR(HLOOKUP(V14,'סקרי נכסים-יתרות פתיחה'!$2:$76,75,0),0)</f>
        <v>8169959</v>
      </c>
      <c r="W148" s="47">
        <f>+IFERROR(HLOOKUP(W14,'סקרי נכסים-יתרות פתיחה'!$2:$76,75,0),0)</f>
        <v>0</v>
      </c>
      <c r="X148" s="47">
        <f>+IFERROR(HLOOKUP(X14,'סקרי נכסים-יתרות פתיחה'!$2:$76,75,0),0)</f>
        <v>0</v>
      </c>
      <c r="Y148" s="47">
        <f>+IFERROR(HLOOKUP(Y14,'סקרי נכסים-יתרות פתיחה'!$2:$76,75,0),0)</f>
        <v>0</v>
      </c>
      <c r="Z148" s="47">
        <f>+IFERROR(HLOOKUP(Z14,'סקרי נכסים-יתרות פתיחה'!$2:$76,75,0),0)</f>
        <v>0</v>
      </c>
      <c r="AA148" s="47">
        <f>+IFERROR(HLOOKUP(AA14,'סקרי נכסים-יתרות פתיחה'!$2:$76,75,0),0)</f>
        <v>0</v>
      </c>
      <c r="AB148" s="47">
        <f>+IFERROR(HLOOKUP(AB14,'סקרי נכסים-יתרות פתיחה'!$2:$76,75,0),0)</f>
        <v>0</v>
      </c>
      <c r="AC148" s="47">
        <f>+IFERROR(HLOOKUP(AC14,'סקרי נכסים-יתרות פתיחה'!$2:$76,75,0),0)</f>
        <v>0</v>
      </c>
      <c r="AD148" s="47">
        <f>+IFERROR(HLOOKUP(AD14,'סקרי נכסים-יתרות פתיחה'!$2:$76,75,0),0)</f>
        <v>0</v>
      </c>
      <c r="AE148" s="47">
        <f>+IFERROR(HLOOKUP(AE14,'סקרי נכסים-יתרות פתיחה'!$2:$76,75,0),0)</f>
        <v>0</v>
      </c>
      <c r="AF148" s="47">
        <f>+IFERROR(HLOOKUP(AF14,'סקרי נכסים-יתרות פתיחה'!$2:$76,75,0),0)</f>
        <v>0</v>
      </c>
      <c r="AG148" s="47">
        <f>+IFERROR(HLOOKUP(AG14,'סקרי נכסים-יתרות פתיחה'!$2:$76,75,0),0)</f>
        <v>0</v>
      </c>
      <c r="AH148" s="47">
        <f>+IFERROR(HLOOKUP(AH14,'סקרי נכסים-יתרות פתיחה'!$2:$76,75,0),0)</f>
        <v>0</v>
      </c>
      <c r="AI148" s="47">
        <f>+IFERROR(HLOOKUP(AI14,'סקרי נכסים-יתרות פתיחה'!$2:$76,75,0),0)</f>
        <v>0</v>
      </c>
      <c r="AJ148" s="47">
        <f>+IFERROR(HLOOKUP(AJ14,'סקרי נכסים-יתרות פתיחה'!$2:$76,75,0),0)</f>
        <v>0</v>
      </c>
      <c r="AK148" s="47">
        <f>+IFERROR(HLOOKUP(AK14,'סקרי נכסים-יתרות פתיחה'!$2:$76,75,0),0)</f>
        <v>0</v>
      </c>
      <c r="AL148" s="47">
        <f>+IFERROR(HLOOKUP(AL14,'סקרי נכסים-יתרות פתיחה'!$2:$76,75,0),0)</f>
        <v>0</v>
      </c>
      <c r="AM148" s="47">
        <f>+IFERROR(HLOOKUP(AM14,'סקרי נכסים-יתרות פתיחה'!$2:$76,75,0),0)</f>
        <v>0</v>
      </c>
      <c r="AN148" s="47">
        <f>+IFERROR(HLOOKUP(AN14,'סקרי נכסים-יתרות פתיחה'!$2:$76,75,0),0)</f>
        <v>0</v>
      </c>
      <c r="AO148" s="47">
        <f>+IFERROR(HLOOKUP(AO14,'סקרי נכסים-יתרות פתיחה'!$2:$76,75,0),0)</f>
        <v>0</v>
      </c>
      <c r="AP148" s="47">
        <f>+IFERROR(HLOOKUP(AP14,'סקרי נכסים-יתרות פתיחה'!$2:$76,75,0),0)</f>
        <v>0</v>
      </c>
      <c r="AQ148" s="47">
        <f>+IFERROR(HLOOKUP(AQ14,'סקרי נכסים-יתרות פתיחה'!$2:$76,75,0),0)</f>
        <v>0</v>
      </c>
      <c r="AR148" s="47">
        <f>+IFERROR(HLOOKUP(AR14,'סקרי נכסים-יתרות פתיחה'!$2:$76,75,0),0)</f>
        <v>0</v>
      </c>
      <c r="AS148" s="47">
        <f>+IFERROR(HLOOKUP(AS14,'סקרי נכסים-יתרות פתיחה'!$2:$76,75,0),0)</f>
        <v>6809931</v>
      </c>
      <c r="AT148" s="47">
        <f>+IFERROR(HLOOKUP(AT14,'סקרי נכסים-יתרות פתיחה'!$2:$76,75,0),0)</f>
        <v>0</v>
      </c>
      <c r="AU148" s="47">
        <f>+IFERROR(HLOOKUP(AU14,'סקרי נכסים-יתרות פתיחה'!$2:$76,75,0),0)</f>
        <v>0</v>
      </c>
      <c r="AV148" s="47">
        <f>+IFERROR(HLOOKUP(AV14,'סקרי נכסים-יתרות פתיחה'!$2:$76,75,0),0)</f>
        <v>0</v>
      </c>
      <c r="AW148" s="47">
        <f>+IFERROR(HLOOKUP(AW14,'סקרי נכסים-יתרות פתיחה'!$2:$76,75,0),0)</f>
        <v>0</v>
      </c>
      <c r="AX148" s="47">
        <f>+IFERROR(HLOOKUP(AX14,'סקרי נכסים-יתרות פתיחה'!$2:$76,75,0),0)</f>
        <v>0</v>
      </c>
      <c r="AY148" s="47">
        <f>+IFERROR(HLOOKUP(AY14,'סקרי נכסים-יתרות פתיחה'!$2:$76,75,0),0)</f>
        <v>0</v>
      </c>
      <c r="AZ148" s="47">
        <f>+IFERROR(HLOOKUP(AZ14,'סקרי נכסים-יתרות פתיחה'!$2:$76,75,0),0)</f>
        <v>0</v>
      </c>
      <c r="BA148" s="47">
        <f>+IFERROR(HLOOKUP(BA14,'סקרי נכסים-יתרות פתיחה'!$2:$76,75,0),0)</f>
        <v>0</v>
      </c>
      <c r="BB148" s="47">
        <f>+IFERROR(HLOOKUP(BB14,'סקרי נכסים-יתרות פתיחה'!$2:$76,75,0),0)</f>
        <v>11956466</v>
      </c>
      <c r="BC148" s="47">
        <f>+IFERROR(HLOOKUP(BC14,'סקרי נכסים-יתרות פתיחה'!$2:$76,75,0),0)</f>
        <v>7705345.333333333</v>
      </c>
      <c r="BD148" s="47">
        <f>+IFERROR(HLOOKUP(BD14,'סקרי נכסים-יתרות פתיחה'!$2:$76,75,0),0)</f>
        <v>0</v>
      </c>
      <c r="BE148" s="47">
        <f>+IFERROR(HLOOKUP(BE14,'סקרי נכסים-יתרות פתיחה'!$2:$76,75,0),0)</f>
        <v>0</v>
      </c>
      <c r="BF148" s="47">
        <f>+IFERROR(HLOOKUP(BF14,'סקרי נכסים-יתרות פתיחה'!$2:$76,75,0),0)</f>
        <v>0</v>
      </c>
    </row>
    <row r="149" spans="2:58" x14ac:dyDescent="0.2">
      <c r="B149" s="1">
        <v>8</v>
      </c>
      <c r="C149" s="47">
        <f>+IFERROR(HLOOKUP(C15,'סקרי נכסים-יתרות פתיחה'!$2:$76,75,0),0)</f>
        <v>0</v>
      </c>
      <c r="D149" s="47">
        <f>+IFERROR(HLOOKUP(D15,'סקרי נכסים-יתרות פתיחה'!$2:$76,75,0),0)</f>
        <v>0</v>
      </c>
      <c r="E149" s="47">
        <f>+IFERROR(HLOOKUP(E15,'סקרי נכסים-יתרות פתיחה'!$2:$76,75,0),0)</f>
        <v>0</v>
      </c>
      <c r="F149" s="47">
        <f>+IFERROR(HLOOKUP(F15,'סקרי נכסים-יתרות פתיחה'!$2:$76,75,0),0)</f>
        <v>0</v>
      </c>
      <c r="G149" s="47">
        <f>+IFERROR(HLOOKUP(G15,'סקרי נכסים-יתרות פתיחה'!$2:$76,75,0),0)</f>
        <v>0</v>
      </c>
      <c r="H149" s="47">
        <f>+IFERROR(HLOOKUP(H15,'סקרי נכסים-יתרות פתיחה'!$2:$76,75,0),0)</f>
        <v>0</v>
      </c>
      <c r="I149" s="47">
        <f>+IFERROR(HLOOKUP(I15,'סקרי נכסים-יתרות פתיחה'!$2:$76,75,0),0)</f>
        <v>0</v>
      </c>
      <c r="J149" s="47">
        <f>+IFERROR(HLOOKUP(J15,'סקרי נכסים-יתרות פתיחה'!$2:$76,75,0),0)</f>
        <v>0</v>
      </c>
      <c r="K149" s="47">
        <f>+IFERROR(HLOOKUP(K15,'סקרי נכסים-יתרות פתיחה'!$2:$76,75,0),0)</f>
        <v>0</v>
      </c>
      <c r="L149" s="47">
        <f>+IFERROR(HLOOKUP(L15,'סקרי נכסים-יתרות פתיחה'!$2:$76,75,0),0)</f>
        <v>0</v>
      </c>
      <c r="M149" s="47">
        <f>+IFERROR(HLOOKUP(M15,'סקרי נכסים-יתרות פתיחה'!$2:$76,75,0),0)</f>
        <v>0</v>
      </c>
      <c r="N149" s="47">
        <f>+IFERROR(HLOOKUP(N15,'סקרי נכסים-יתרות פתיחה'!$2:$76,75,0),0)</f>
        <v>0</v>
      </c>
      <c r="O149" s="47">
        <f>+IFERROR(HLOOKUP(O15,'סקרי נכסים-יתרות פתיחה'!$2:$76,75,0),0)</f>
        <v>0</v>
      </c>
      <c r="P149" s="47">
        <f>+IFERROR(HLOOKUP(P15,'סקרי נכסים-יתרות פתיחה'!$2:$76,75,0),0)</f>
        <v>6196140</v>
      </c>
      <c r="Q149" s="47">
        <f>+IFERROR(HLOOKUP(Q15,'סקרי נכסים-יתרות פתיחה'!$2:$76,75,0),0)</f>
        <v>0</v>
      </c>
      <c r="R149" s="47">
        <f>+IFERROR(HLOOKUP(R15,'סקרי נכסים-יתרות פתיחה'!$2:$76,75,0),0)</f>
        <v>0</v>
      </c>
      <c r="S149" s="47">
        <f>+IFERROR(HLOOKUP(S15,'סקרי נכסים-יתרות פתיחה'!$2:$76,75,0),0)</f>
        <v>0</v>
      </c>
      <c r="T149" s="47">
        <f>+IFERROR(HLOOKUP(T15,'סקרי נכסים-יתרות פתיחה'!$2:$76,75,0),0)</f>
        <v>0</v>
      </c>
      <c r="U149" s="47">
        <f>+IFERROR(HLOOKUP(U15,'סקרי נכסים-יתרות פתיחה'!$2:$76,75,0),0)</f>
        <v>0</v>
      </c>
      <c r="V149" s="47">
        <f>+IFERROR(HLOOKUP(V15,'סקרי נכסים-יתרות פתיחה'!$2:$76,75,0),0)</f>
        <v>0</v>
      </c>
      <c r="W149" s="47">
        <f>+IFERROR(HLOOKUP(W15,'סקרי נכסים-יתרות פתיחה'!$2:$76,75,0),0)</f>
        <v>0</v>
      </c>
      <c r="X149" s="47">
        <f>+IFERROR(HLOOKUP(X15,'סקרי נכסים-יתרות פתיחה'!$2:$76,75,0),0)</f>
        <v>0</v>
      </c>
      <c r="Y149" s="47">
        <f>+IFERROR(HLOOKUP(Y15,'סקרי נכסים-יתרות פתיחה'!$2:$76,75,0),0)</f>
        <v>0</v>
      </c>
      <c r="Z149" s="47">
        <f>+IFERROR(HLOOKUP(Z15,'סקרי נכסים-יתרות פתיחה'!$2:$76,75,0),0)</f>
        <v>0</v>
      </c>
      <c r="AA149" s="47">
        <f>+IFERROR(HLOOKUP(AA15,'סקרי נכסים-יתרות פתיחה'!$2:$76,75,0),0)</f>
        <v>0</v>
      </c>
      <c r="AB149" s="47">
        <f>+IFERROR(HLOOKUP(AB15,'סקרי נכסים-יתרות פתיחה'!$2:$76,75,0),0)</f>
        <v>0</v>
      </c>
      <c r="AC149" s="47">
        <f>+IFERROR(HLOOKUP(AC15,'סקרי נכסים-יתרות פתיחה'!$2:$76,75,0),0)</f>
        <v>0</v>
      </c>
      <c r="AD149" s="47">
        <f>+IFERROR(HLOOKUP(AD15,'סקרי נכסים-יתרות פתיחה'!$2:$76,75,0),0)</f>
        <v>0</v>
      </c>
      <c r="AE149" s="47">
        <f>+IFERROR(HLOOKUP(AE15,'סקרי נכסים-יתרות פתיחה'!$2:$76,75,0),0)</f>
        <v>0</v>
      </c>
      <c r="AF149" s="47">
        <f>+IFERROR(HLOOKUP(AF15,'סקרי נכסים-יתרות פתיחה'!$2:$76,75,0),0)</f>
        <v>0</v>
      </c>
      <c r="AG149" s="47">
        <f>+IFERROR(HLOOKUP(AG15,'סקרי נכסים-יתרות פתיחה'!$2:$76,75,0),0)</f>
        <v>0</v>
      </c>
      <c r="AH149" s="47">
        <f>+IFERROR(HLOOKUP(AH15,'סקרי נכסים-יתרות פתיחה'!$2:$76,75,0),0)</f>
        <v>0</v>
      </c>
      <c r="AI149" s="47">
        <f>+IFERROR(HLOOKUP(AI15,'סקרי נכסים-יתרות פתיחה'!$2:$76,75,0),0)</f>
        <v>0</v>
      </c>
      <c r="AJ149" s="47">
        <f>+IFERROR(HLOOKUP(AJ15,'סקרי נכסים-יתרות פתיחה'!$2:$76,75,0),0)</f>
        <v>0</v>
      </c>
      <c r="AK149" s="47">
        <f>+IFERROR(HLOOKUP(AK15,'סקרי נכסים-יתרות פתיחה'!$2:$76,75,0),0)</f>
        <v>0</v>
      </c>
      <c r="AL149" s="47">
        <f>+IFERROR(HLOOKUP(AL15,'סקרי נכסים-יתרות פתיחה'!$2:$76,75,0),0)</f>
        <v>0</v>
      </c>
      <c r="AM149" s="47">
        <f>+IFERROR(HLOOKUP(AM15,'סקרי נכסים-יתרות פתיחה'!$2:$76,75,0),0)</f>
        <v>0</v>
      </c>
      <c r="AN149" s="47">
        <f>+IFERROR(HLOOKUP(AN15,'סקרי נכסים-יתרות פתיחה'!$2:$76,75,0),0)</f>
        <v>0</v>
      </c>
      <c r="AO149" s="47">
        <f>+IFERROR(HLOOKUP(AO15,'סקרי נכסים-יתרות פתיחה'!$2:$76,75,0),0)</f>
        <v>0</v>
      </c>
      <c r="AP149" s="47">
        <f>+IFERROR(HLOOKUP(AP15,'סקרי נכסים-יתרות פתיחה'!$2:$76,75,0),0)</f>
        <v>0</v>
      </c>
      <c r="AQ149" s="47">
        <f>+IFERROR(HLOOKUP(AQ15,'סקרי נכסים-יתרות פתיחה'!$2:$76,75,0),0)</f>
        <v>0</v>
      </c>
      <c r="AR149" s="47">
        <f>+IFERROR(HLOOKUP(AR15,'סקרי נכסים-יתרות פתיחה'!$2:$76,75,0),0)</f>
        <v>0</v>
      </c>
      <c r="AS149" s="47">
        <f>+IFERROR(HLOOKUP(AS15,'סקרי נכסים-יתרות פתיחה'!$2:$76,75,0),0)</f>
        <v>15254004</v>
      </c>
      <c r="AT149" s="47">
        <f>+IFERROR(HLOOKUP(AT15,'סקרי נכסים-יתרות פתיחה'!$2:$76,75,0),0)</f>
        <v>0</v>
      </c>
      <c r="AU149" s="47">
        <f>+IFERROR(HLOOKUP(AU15,'סקרי נכסים-יתרות פתיחה'!$2:$76,75,0),0)</f>
        <v>0</v>
      </c>
      <c r="AV149" s="47">
        <f>+IFERROR(HLOOKUP(AV15,'סקרי נכסים-יתרות פתיחה'!$2:$76,75,0),0)</f>
        <v>0</v>
      </c>
      <c r="AW149" s="47">
        <f>+IFERROR(HLOOKUP(AW15,'סקרי נכסים-יתרות פתיחה'!$2:$76,75,0),0)</f>
        <v>0</v>
      </c>
      <c r="AX149" s="47">
        <f>+IFERROR(HLOOKUP(AX15,'סקרי נכסים-יתרות פתיחה'!$2:$76,75,0),0)</f>
        <v>0</v>
      </c>
      <c r="AY149" s="47">
        <f>+IFERROR(HLOOKUP(AY15,'סקרי נכסים-יתרות פתיחה'!$2:$76,75,0),0)</f>
        <v>0</v>
      </c>
      <c r="AZ149" s="47">
        <f>+IFERROR(HLOOKUP(AZ15,'סקרי נכסים-יתרות פתיחה'!$2:$76,75,0),0)</f>
        <v>0</v>
      </c>
      <c r="BA149" s="47">
        <f>+IFERROR(HLOOKUP(BA15,'סקרי נכסים-יתרות פתיחה'!$2:$76,75,0),0)</f>
        <v>0</v>
      </c>
      <c r="BB149" s="47">
        <f>+IFERROR(HLOOKUP(BB15,'סקרי נכסים-יתרות פתיחה'!$2:$76,75,0),0)</f>
        <v>0</v>
      </c>
      <c r="BC149" s="47">
        <f>+IFERROR(HLOOKUP(BC15,'סקרי נכסים-יתרות פתיחה'!$2:$76,75,0),0)</f>
        <v>0</v>
      </c>
      <c r="BD149" s="47">
        <f>+IFERROR(HLOOKUP(BD15,'סקרי נכסים-יתרות פתיחה'!$2:$76,75,0),0)</f>
        <v>0</v>
      </c>
      <c r="BE149" s="47">
        <f>+IFERROR(HLOOKUP(BE15,'סקרי נכסים-יתרות פתיחה'!$2:$76,75,0),0)</f>
        <v>0</v>
      </c>
      <c r="BF149" s="47">
        <f>+IFERROR(HLOOKUP(BF15,'סקרי נכסים-יתרות פתיחה'!$2:$76,75,0),0)</f>
        <v>0</v>
      </c>
    </row>
    <row r="150" spans="2:58" x14ac:dyDescent="0.2">
      <c r="B150" s="1">
        <v>9</v>
      </c>
      <c r="C150" s="47">
        <f>+IFERROR(HLOOKUP(C16,'סקרי נכסים-יתרות פתיחה'!$2:$76,75,0),0)</f>
        <v>0</v>
      </c>
      <c r="D150" s="47">
        <f>+IFERROR(HLOOKUP(D16,'סקרי נכסים-יתרות פתיחה'!$2:$76,75,0),0)</f>
        <v>0</v>
      </c>
      <c r="E150" s="47">
        <f>+IFERROR(HLOOKUP(E16,'סקרי נכסים-יתרות פתיחה'!$2:$76,75,0),0)</f>
        <v>0</v>
      </c>
      <c r="F150" s="47">
        <f>+IFERROR(HLOOKUP(F16,'סקרי נכסים-יתרות פתיחה'!$2:$76,75,0),0)</f>
        <v>0</v>
      </c>
      <c r="G150" s="47">
        <f>+IFERROR(HLOOKUP(G16,'סקרי נכסים-יתרות פתיחה'!$2:$76,75,0),0)</f>
        <v>0</v>
      </c>
      <c r="H150" s="47">
        <f>+IFERROR(HLOOKUP(H16,'סקרי נכסים-יתרות פתיחה'!$2:$76,75,0),0)</f>
        <v>0</v>
      </c>
      <c r="I150" s="47">
        <f>+IFERROR(HLOOKUP(I16,'סקרי נכסים-יתרות פתיחה'!$2:$76,75,0),0)</f>
        <v>0</v>
      </c>
      <c r="J150" s="47">
        <f>+IFERROR(HLOOKUP(J16,'סקרי נכסים-יתרות פתיחה'!$2:$76,75,0),0)</f>
        <v>0</v>
      </c>
      <c r="K150" s="47">
        <f>+IFERROR(HLOOKUP(K16,'סקרי נכסים-יתרות פתיחה'!$2:$76,75,0),0)</f>
        <v>0</v>
      </c>
      <c r="L150" s="47">
        <f>+IFERROR(HLOOKUP(L16,'סקרי נכסים-יתרות פתיחה'!$2:$76,75,0),0)</f>
        <v>0</v>
      </c>
      <c r="M150" s="47">
        <f>+IFERROR(HLOOKUP(M16,'סקרי נכסים-יתרות פתיחה'!$2:$76,75,0),0)</f>
        <v>0</v>
      </c>
      <c r="N150" s="47">
        <f>+IFERROR(HLOOKUP(N16,'סקרי נכסים-יתרות פתיחה'!$2:$76,75,0),0)</f>
        <v>0</v>
      </c>
      <c r="O150" s="47">
        <f>+IFERROR(HLOOKUP(O16,'סקרי נכסים-יתרות פתיחה'!$2:$76,75,0),0)</f>
        <v>0</v>
      </c>
      <c r="P150" s="47">
        <f>+IFERROR(HLOOKUP(P16,'סקרי נכסים-יתרות פתיחה'!$2:$76,75,0),0)</f>
        <v>14574136</v>
      </c>
      <c r="Q150" s="47">
        <f>+IFERROR(HLOOKUP(Q16,'סקרי נכסים-יתרות פתיחה'!$2:$76,75,0),0)</f>
        <v>0</v>
      </c>
      <c r="R150" s="47">
        <f>+IFERROR(HLOOKUP(R16,'סקרי נכסים-יתרות פתיחה'!$2:$76,75,0),0)</f>
        <v>0</v>
      </c>
      <c r="S150" s="47">
        <f>+IFERROR(HLOOKUP(S16,'סקרי נכסים-יתרות פתיחה'!$2:$76,75,0),0)</f>
        <v>0</v>
      </c>
      <c r="T150" s="47">
        <f>+IFERROR(HLOOKUP(T16,'סקרי נכסים-יתרות פתיחה'!$2:$76,75,0),0)</f>
        <v>0</v>
      </c>
      <c r="U150" s="47">
        <f>+IFERROR(HLOOKUP(U16,'סקרי נכסים-יתרות פתיחה'!$2:$76,75,0),0)</f>
        <v>0</v>
      </c>
      <c r="V150" s="47">
        <f>+IFERROR(HLOOKUP(V16,'סקרי נכסים-יתרות פתיחה'!$2:$76,75,0),0)</f>
        <v>0</v>
      </c>
      <c r="W150" s="47">
        <f>+IFERROR(HLOOKUP(W16,'סקרי נכסים-יתרות פתיחה'!$2:$76,75,0),0)</f>
        <v>0</v>
      </c>
      <c r="X150" s="47">
        <f>+IFERROR(HLOOKUP(X16,'סקרי נכסים-יתרות פתיחה'!$2:$76,75,0),0)</f>
        <v>0</v>
      </c>
      <c r="Y150" s="47">
        <f>+IFERROR(HLOOKUP(Y16,'סקרי נכסים-יתרות פתיחה'!$2:$76,75,0),0)</f>
        <v>0</v>
      </c>
      <c r="Z150" s="47">
        <f>+IFERROR(HLOOKUP(Z16,'סקרי נכסים-יתרות פתיחה'!$2:$76,75,0),0)</f>
        <v>0</v>
      </c>
      <c r="AA150" s="47">
        <f>+IFERROR(HLOOKUP(AA16,'סקרי נכסים-יתרות פתיחה'!$2:$76,75,0),0)</f>
        <v>0</v>
      </c>
      <c r="AB150" s="47">
        <f>+IFERROR(HLOOKUP(AB16,'סקרי נכסים-יתרות פתיחה'!$2:$76,75,0),0)</f>
        <v>0</v>
      </c>
      <c r="AC150" s="47">
        <f>+IFERROR(HLOOKUP(AC16,'סקרי נכסים-יתרות פתיחה'!$2:$76,75,0),0)</f>
        <v>0</v>
      </c>
      <c r="AD150" s="47">
        <f>+IFERROR(HLOOKUP(AD16,'סקרי נכסים-יתרות פתיחה'!$2:$76,75,0),0)</f>
        <v>0</v>
      </c>
      <c r="AE150" s="47">
        <f>+IFERROR(HLOOKUP(AE16,'סקרי נכסים-יתרות פתיחה'!$2:$76,75,0),0)</f>
        <v>0</v>
      </c>
      <c r="AF150" s="47">
        <f>+IFERROR(HLOOKUP(AF16,'סקרי נכסים-יתרות פתיחה'!$2:$76,75,0),0)</f>
        <v>0</v>
      </c>
      <c r="AG150" s="47">
        <f>+IFERROR(HLOOKUP(AG16,'סקרי נכסים-יתרות פתיחה'!$2:$76,75,0),0)</f>
        <v>0</v>
      </c>
      <c r="AH150" s="47">
        <f>+IFERROR(HLOOKUP(AH16,'סקרי נכסים-יתרות פתיחה'!$2:$76,75,0),0)</f>
        <v>0</v>
      </c>
      <c r="AI150" s="47">
        <f>+IFERROR(HLOOKUP(AI16,'סקרי נכסים-יתרות פתיחה'!$2:$76,75,0),0)</f>
        <v>0</v>
      </c>
      <c r="AJ150" s="47">
        <f>+IFERROR(HLOOKUP(AJ16,'סקרי נכסים-יתרות פתיחה'!$2:$76,75,0),0)</f>
        <v>0</v>
      </c>
      <c r="AK150" s="47">
        <f>+IFERROR(HLOOKUP(AK16,'סקרי נכסים-יתרות פתיחה'!$2:$76,75,0),0)</f>
        <v>0</v>
      </c>
      <c r="AL150" s="47">
        <f>+IFERROR(HLOOKUP(AL16,'סקרי נכסים-יתרות פתיחה'!$2:$76,75,0),0)</f>
        <v>0</v>
      </c>
      <c r="AM150" s="47">
        <f>+IFERROR(HLOOKUP(AM16,'סקרי נכסים-יתרות פתיחה'!$2:$76,75,0),0)</f>
        <v>0</v>
      </c>
      <c r="AN150" s="47">
        <f>+IFERROR(HLOOKUP(AN16,'סקרי נכסים-יתרות פתיחה'!$2:$76,75,0),0)</f>
        <v>0</v>
      </c>
      <c r="AO150" s="47">
        <f>+IFERROR(HLOOKUP(AO16,'סקרי נכסים-יתרות פתיחה'!$2:$76,75,0),0)</f>
        <v>0</v>
      </c>
      <c r="AP150" s="47">
        <f>+IFERROR(HLOOKUP(AP16,'סקרי נכסים-יתרות פתיחה'!$2:$76,75,0),0)</f>
        <v>0</v>
      </c>
      <c r="AQ150" s="47">
        <f>+IFERROR(HLOOKUP(AQ16,'סקרי נכסים-יתרות פתיחה'!$2:$76,75,0),0)</f>
        <v>0</v>
      </c>
      <c r="AR150" s="47">
        <f>+IFERROR(HLOOKUP(AR16,'סקרי נכסים-יתרות פתיחה'!$2:$76,75,0),0)</f>
        <v>0</v>
      </c>
      <c r="AS150" s="47">
        <f>+IFERROR(HLOOKUP(AS16,'סקרי נכסים-יתרות פתיחה'!$2:$76,75,0),0)</f>
        <v>8434097</v>
      </c>
      <c r="AT150" s="47">
        <f>+IFERROR(HLOOKUP(AT16,'סקרי נכסים-יתרות פתיחה'!$2:$76,75,0),0)</f>
        <v>0</v>
      </c>
      <c r="AU150" s="47">
        <f>+IFERROR(HLOOKUP(AU16,'סקרי נכסים-יתרות פתיחה'!$2:$76,75,0),0)</f>
        <v>0</v>
      </c>
      <c r="AV150" s="47">
        <f>+IFERROR(HLOOKUP(AV16,'סקרי נכסים-יתרות פתיחה'!$2:$76,75,0),0)</f>
        <v>0</v>
      </c>
      <c r="AW150" s="47">
        <f>+IFERROR(HLOOKUP(AW16,'סקרי נכסים-יתרות פתיחה'!$2:$76,75,0),0)</f>
        <v>0</v>
      </c>
      <c r="AX150" s="47">
        <f>+IFERROR(HLOOKUP(AX16,'סקרי נכסים-יתרות פתיחה'!$2:$76,75,0),0)</f>
        <v>0</v>
      </c>
      <c r="AY150" s="47">
        <f>+IFERROR(HLOOKUP(AY16,'סקרי נכסים-יתרות פתיחה'!$2:$76,75,0),0)</f>
        <v>0</v>
      </c>
      <c r="AZ150" s="47">
        <f>+IFERROR(HLOOKUP(AZ16,'סקרי נכסים-יתרות פתיחה'!$2:$76,75,0),0)</f>
        <v>0</v>
      </c>
      <c r="BA150" s="47">
        <f>+IFERROR(HLOOKUP(BA16,'סקרי נכסים-יתרות פתיחה'!$2:$76,75,0),0)</f>
        <v>0</v>
      </c>
      <c r="BB150" s="47">
        <f>+IFERROR(HLOOKUP(BB16,'סקרי נכסים-יתרות פתיחה'!$2:$76,75,0),0)</f>
        <v>0</v>
      </c>
      <c r="BC150" s="47">
        <f>+IFERROR(HLOOKUP(BC16,'סקרי נכסים-יתרות פתיחה'!$2:$76,75,0),0)</f>
        <v>0</v>
      </c>
      <c r="BD150" s="47">
        <f>+IFERROR(HLOOKUP(BD16,'סקרי נכסים-יתרות פתיחה'!$2:$76,75,0),0)</f>
        <v>0</v>
      </c>
      <c r="BE150" s="47">
        <f>+IFERROR(HLOOKUP(BE16,'סקרי נכסים-יתרות פתיחה'!$2:$76,75,0),0)</f>
        <v>0</v>
      </c>
      <c r="BF150" s="47">
        <f>+IFERROR(HLOOKUP(BF16,'סקרי נכסים-יתרות פתיחה'!$2:$76,75,0),0)</f>
        <v>0</v>
      </c>
    </row>
    <row r="151" spans="2:58" x14ac:dyDescent="0.2">
      <c r="B151" s="1">
        <v>10</v>
      </c>
      <c r="C151" s="47">
        <f>+IFERROR(HLOOKUP(C17,'סקרי נכסים-יתרות פתיחה'!$2:$76,75,0),0)</f>
        <v>0</v>
      </c>
      <c r="D151" s="47">
        <f>+IFERROR(HLOOKUP(D17,'סקרי נכסים-יתרות פתיחה'!$2:$76,75,0),0)</f>
        <v>0</v>
      </c>
      <c r="E151" s="47">
        <f>+IFERROR(HLOOKUP(E17,'סקרי נכסים-יתרות פתיחה'!$2:$76,75,0),0)</f>
        <v>0</v>
      </c>
      <c r="F151" s="47">
        <f>+IFERROR(HLOOKUP(F17,'סקרי נכסים-יתרות פתיחה'!$2:$76,75,0),0)</f>
        <v>0</v>
      </c>
      <c r="G151" s="47">
        <f>+IFERROR(HLOOKUP(G17,'סקרי נכסים-יתרות פתיחה'!$2:$76,75,0),0)</f>
        <v>0</v>
      </c>
      <c r="H151" s="47">
        <f>+IFERROR(HLOOKUP(H17,'סקרי נכסים-יתרות פתיחה'!$2:$76,75,0),0)</f>
        <v>0</v>
      </c>
      <c r="I151" s="47">
        <f>+IFERROR(HLOOKUP(I17,'סקרי נכסים-יתרות פתיחה'!$2:$76,75,0),0)</f>
        <v>0</v>
      </c>
      <c r="J151" s="47">
        <f>+IFERROR(HLOOKUP(J17,'סקרי נכסים-יתרות פתיחה'!$2:$76,75,0),0)</f>
        <v>0</v>
      </c>
      <c r="K151" s="47">
        <f>+IFERROR(HLOOKUP(K17,'סקרי נכסים-יתרות פתיחה'!$2:$76,75,0),0)</f>
        <v>0</v>
      </c>
      <c r="L151" s="47">
        <f>+IFERROR(HLOOKUP(L17,'סקרי נכסים-יתרות פתיחה'!$2:$76,75,0),0)</f>
        <v>0</v>
      </c>
      <c r="M151" s="47">
        <f>+IFERROR(HLOOKUP(M17,'סקרי נכסים-יתרות פתיחה'!$2:$76,75,0),0)</f>
        <v>0</v>
      </c>
      <c r="N151" s="47">
        <f>+IFERROR(HLOOKUP(N17,'סקרי נכסים-יתרות פתיחה'!$2:$76,75,0),0)</f>
        <v>0</v>
      </c>
      <c r="O151" s="47">
        <f>+IFERROR(HLOOKUP(O17,'סקרי נכסים-יתרות פתיחה'!$2:$76,75,0),0)</f>
        <v>0</v>
      </c>
      <c r="P151" s="47">
        <f>+IFERROR(HLOOKUP(P17,'סקרי נכסים-יתרות פתיחה'!$2:$76,75,0),0)</f>
        <v>10413019</v>
      </c>
      <c r="Q151" s="47">
        <f>+IFERROR(HLOOKUP(Q17,'סקרי נכסים-יתרות פתיחה'!$2:$76,75,0),0)</f>
        <v>0</v>
      </c>
      <c r="R151" s="47">
        <f>+IFERROR(HLOOKUP(R17,'סקרי נכסים-יתרות פתיחה'!$2:$76,75,0),0)</f>
        <v>0</v>
      </c>
      <c r="S151" s="47">
        <f>+IFERROR(HLOOKUP(S17,'סקרי נכסים-יתרות פתיחה'!$2:$76,75,0),0)</f>
        <v>0</v>
      </c>
      <c r="T151" s="47">
        <f>+IFERROR(HLOOKUP(T17,'סקרי נכסים-יתרות פתיחה'!$2:$76,75,0),0)</f>
        <v>0</v>
      </c>
      <c r="U151" s="47">
        <f>+IFERROR(HLOOKUP(U17,'סקרי נכסים-יתרות פתיחה'!$2:$76,75,0),0)</f>
        <v>0</v>
      </c>
      <c r="V151" s="47">
        <f>+IFERROR(HLOOKUP(V17,'סקרי נכסים-יתרות פתיחה'!$2:$76,75,0),0)</f>
        <v>0</v>
      </c>
      <c r="W151" s="47">
        <f>+IFERROR(HLOOKUP(W17,'סקרי נכסים-יתרות פתיחה'!$2:$76,75,0),0)</f>
        <v>0</v>
      </c>
      <c r="X151" s="47">
        <f>+IFERROR(HLOOKUP(X17,'סקרי נכסים-יתרות פתיחה'!$2:$76,75,0),0)</f>
        <v>0</v>
      </c>
      <c r="Y151" s="47">
        <f>+IFERROR(HLOOKUP(Y17,'סקרי נכסים-יתרות פתיחה'!$2:$76,75,0),0)</f>
        <v>0</v>
      </c>
      <c r="Z151" s="47">
        <f>+IFERROR(HLOOKUP(Z17,'סקרי נכסים-יתרות פתיחה'!$2:$76,75,0),0)</f>
        <v>0</v>
      </c>
      <c r="AA151" s="47">
        <f>+IFERROR(HLOOKUP(AA17,'סקרי נכסים-יתרות פתיחה'!$2:$76,75,0),0)</f>
        <v>0</v>
      </c>
      <c r="AB151" s="47">
        <f>+IFERROR(HLOOKUP(AB17,'סקרי נכסים-יתרות פתיחה'!$2:$76,75,0),0)</f>
        <v>0</v>
      </c>
      <c r="AC151" s="47">
        <f>+IFERROR(HLOOKUP(AC17,'סקרי נכסים-יתרות פתיחה'!$2:$76,75,0),0)</f>
        <v>0</v>
      </c>
      <c r="AD151" s="47">
        <f>+IFERROR(HLOOKUP(AD17,'סקרי נכסים-יתרות פתיחה'!$2:$76,75,0),0)</f>
        <v>0</v>
      </c>
      <c r="AE151" s="47">
        <f>+IFERROR(HLOOKUP(AE17,'סקרי נכסים-יתרות פתיחה'!$2:$76,75,0),0)</f>
        <v>0</v>
      </c>
      <c r="AF151" s="47">
        <f>+IFERROR(HLOOKUP(AF17,'סקרי נכסים-יתרות פתיחה'!$2:$76,75,0),0)</f>
        <v>0</v>
      </c>
      <c r="AG151" s="47">
        <f>+IFERROR(HLOOKUP(AG17,'סקרי נכסים-יתרות פתיחה'!$2:$76,75,0),0)</f>
        <v>0</v>
      </c>
      <c r="AH151" s="47">
        <f>+IFERROR(HLOOKUP(AH17,'סקרי נכסים-יתרות פתיחה'!$2:$76,75,0),0)</f>
        <v>0</v>
      </c>
      <c r="AI151" s="47">
        <f>+IFERROR(HLOOKUP(AI17,'סקרי נכסים-יתרות פתיחה'!$2:$76,75,0),0)</f>
        <v>0</v>
      </c>
      <c r="AJ151" s="47">
        <f>+IFERROR(HLOOKUP(AJ17,'סקרי נכסים-יתרות פתיחה'!$2:$76,75,0),0)</f>
        <v>0</v>
      </c>
      <c r="AK151" s="47">
        <f>+IFERROR(HLOOKUP(AK17,'סקרי נכסים-יתרות פתיחה'!$2:$76,75,0),0)</f>
        <v>0</v>
      </c>
      <c r="AL151" s="47">
        <f>+IFERROR(HLOOKUP(AL17,'סקרי נכסים-יתרות פתיחה'!$2:$76,75,0),0)</f>
        <v>0</v>
      </c>
      <c r="AM151" s="47">
        <f>+IFERROR(HLOOKUP(AM17,'סקרי נכסים-יתרות פתיחה'!$2:$76,75,0),0)</f>
        <v>0</v>
      </c>
      <c r="AN151" s="47">
        <f>+IFERROR(HLOOKUP(AN17,'סקרי נכסים-יתרות פתיחה'!$2:$76,75,0),0)</f>
        <v>0</v>
      </c>
      <c r="AO151" s="47">
        <f>+IFERROR(HLOOKUP(AO17,'סקרי נכסים-יתרות פתיחה'!$2:$76,75,0),0)</f>
        <v>0</v>
      </c>
      <c r="AP151" s="47">
        <f>+IFERROR(HLOOKUP(AP17,'סקרי נכסים-יתרות פתיחה'!$2:$76,75,0),0)</f>
        <v>0</v>
      </c>
      <c r="AQ151" s="47">
        <f>+IFERROR(HLOOKUP(AQ17,'סקרי נכסים-יתרות פתיחה'!$2:$76,75,0),0)</f>
        <v>0</v>
      </c>
      <c r="AR151" s="47">
        <f>+IFERROR(HLOOKUP(AR17,'סקרי נכסים-יתרות פתיחה'!$2:$76,75,0),0)</f>
        <v>0</v>
      </c>
      <c r="AS151" s="47">
        <f>+IFERROR(HLOOKUP(AS17,'סקרי נכסים-יתרות פתיחה'!$2:$76,75,0),0)</f>
        <v>9597147</v>
      </c>
      <c r="AT151" s="47">
        <f>+IFERROR(HLOOKUP(AT17,'סקרי נכסים-יתרות פתיחה'!$2:$76,75,0),0)</f>
        <v>0</v>
      </c>
      <c r="AU151" s="47">
        <f>+IFERROR(HLOOKUP(AU17,'סקרי נכסים-יתרות פתיחה'!$2:$76,75,0),0)</f>
        <v>0</v>
      </c>
      <c r="AV151" s="47">
        <f>+IFERROR(HLOOKUP(AV17,'סקרי נכסים-יתרות פתיחה'!$2:$76,75,0),0)</f>
        <v>0</v>
      </c>
      <c r="AW151" s="47">
        <f>+IFERROR(HLOOKUP(AW17,'סקרי נכסים-יתרות פתיחה'!$2:$76,75,0),0)</f>
        <v>0</v>
      </c>
      <c r="AX151" s="47">
        <f>+IFERROR(HLOOKUP(AX17,'סקרי נכסים-יתרות פתיחה'!$2:$76,75,0),0)</f>
        <v>0</v>
      </c>
      <c r="AY151" s="47">
        <f>+IFERROR(HLOOKUP(AY17,'סקרי נכסים-יתרות פתיחה'!$2:$76,75,0),0)</f>
        <v>0</v>
      </c>
      <c r="AZ151" s="47">
        <f>+IFERROR(HLOOKUP(AZ17,'סקרי נכסים-יתרות פתיחה'!$2:$76,75,0),0)</f>
        <v>0</v>
      </c>
      <c r="BA151" s="47">
        <f>+IFERROR(HLOOKUP(BA17,'סקרי נכסים-יתרות פתיחה'!$2:$76,75,0),0)</f>
        <v>0</v>
      </c>
      <c r="BB151" s="47">
        <f>+IFERROR(HLOOKUP(BB17,'סקרי נכסים-יתרות פתיחה'!$2:$76,75,0),0)</f>
        <v>0</v>
      </c>
      <c r="BC151" s="47">
        <f>+IFERROR(HLOOKUP(BC17,'סקרי נכסים-יתרות פתיחה'!$2:$76,75,0),0)</f>
        <v>0</v>
      </c>
      <c r="BD151" s="47">
        <f>+IFERROR(HLOOKUP(BD17,'סקרי נכסים-יתרות פתיחה'!$2:$76,75,0),0)</f>
        <v>0</v>
      </c>
      <c r="BE151" s="47">
        <f>+IFERROR(HLOOKUP(BE17,'סקרי נכסים-יתרות פתיחה'!$2:$76,75,0),0)</f>
        <v>0</v>
      </c>
      <c r="BF151" s="47">
        <f>+IFERROR(HLOOKUP(BF17,'סקרי נכסים-יתרות פתיחה'!$2:$76,75,0),0)</f>
        <v>0</v>
      </c>
    </row>
    <row r="152" spans="2:58" x14ac:dyDescent="0.2">
      <c r="B152" s="1">
        <v>11</v>
      </c>
      <c r="C152" s="47">
        <f>+IFERROR(HLOOKUP(C18,'סקרי נכסים-יתרות פתיחה'!$2:$76,75,0),0)</f>
        <v>0</v>
      </c>
      <c r="D152" s="47">
        <f>+IFERROR(HLOOKUP(D18,'סקרי נכסים-יתרות פתיחה'!$2:$76,75,0),0)</f>
        <v>0</v>
      </c>
      <c r="E152" s="47">
        <f>+IFERROR(HLOOKUP(E18,'סקרי נכסים-יתרות פתיחה'!$2:$76,75,0),0)</f>
        <v>0</v>
      </c>
      <c r="F152" s="47">
        <f>+IFERROR(HLOOKUP(F18,'סקרי נכסים-יתרות פתיחה'!$2:$76,75,0),0)</f>
        <v>0</v>
      </c>
      <c r="G152" s="47">
        <f>+IFERROR(HLOOKUP(G18,'סקרי נכסים-יתרות פתיחה'!$2:$76,75,0),0)</f>
        <v>0</v>
      </c>
      <c r="H152" s="47">
        <f>+IFERROR(HLOOKUP(H18,'סקרי נכסים-יתרות פתיחה'!$2:$76,75,0),0)</f>
        <v>0</v>
      </c>
      <c r="I152" s="47">
        <f>+IFERROR(HLOOKUP(I18,'סקרי נכסים-יתרות פתיחה'!$2:$76,75,0),0)</f>
        <v>0</v>
      </c>
      <c r="J152" s="47">
        <f>+IFERROR(HLOOKUP(J18,'סקרי נכסים-יתרות פתיחה'!$2:$76,75,0),0)</f>
        <v>0</v>
      </c>
      <c r="K152" s="47">
        <f>+IFERROR(HLOOKUP(K18,'סקרי נכסים-יתרות פתיחה'!$2:$76,75,0),0)</f>
        <v>0</v>
      </c>
      <c r="L152" s="47">
        <f>+IFERROR(HLOOKUP(L18,'סקרי נכסים-יתרות פתיחה'!$2:$76,75,0),0)</f>
        <v>0</v>
      </c>
      <c r="M152" s="47">
        <f>+IFERROR(HLOOKUP(M18,'סקרי נכסים-יתרות פתיחה'!$2:$76,75,0),0)</f>
        <v>0</v>
      </c>
      <c r="N152" s="47">
        <f>+IFERROR(HLOOKUP(N18,'סקרי נכסים-יתרות פתיחה'!$2:$76,75,0),0)</f>
        <v>0</v>
      </c>
      <c r="O152" s="47">
        <f>+IFERROR(HLOOKUP(O18,'סקרי נכסים-יתרות פתיחה'!$2:$76,75,0),0)</f>
        <v>0</v>
      </c>
      <c r="P152" s="47">
        <f>+IFERROR(HLOOKUP(P18,'סקרי נכסים-יתרות פתיחה'!$2:$76,75,0),0)</f>
        <v>8805250</v>
      </c>
      <c r="Q152" s="47">
        <f>+IFERROR(HLOOKUP(Q18,'סקרי נכסים-יתרות פתיחה'!$2:$76,75,0),0)</f>
        <v>0</v>
      </c>
      <c r="R152" s="47">
        <f>+IFERROR(HLOOKUP(R18,'סקרי נכסים-יתרות פתיחה'!$2:$76,75,0),0)</f>
        <v>0</v>
      </c>
      <c r="S152" s="47">
        <f>+IFERROR(HLOOKUP(S18,'סקרי נכסים-יתרות פתיחה'!$2:$76,75,0),0)</f>
        <v>0</v>
      </c>
      <c r="T152" s="47">
        <f>+IFERROR(HLOOKUP(T18,'סקרי נכסים-יתרות פתיחה'!$2:$76,75,0),0)</f>
        <v>0</v>
      </c>
      <c r="U152" s="47">
        <f>+IFERROR(HLOOKUP(U18,'סקרי נכסים-יתרות פתיחה'!$2:$76,75,0),0)</f>
        <v>0</v>
      </c>
      <c r="V152" s="47">
        <f>+IFERROR(HLOOKUP(V18,'סקרי נכסים-יתרות פתיחה'!$2:$76,75,0),0)</f>
        <v>0</v>
      </c>
      <c r="W152" s="47">
        <f>+IFERROR(HLOOKUP(W18,'סקרי נכסים-יתרות פתיחה'!$2:$76,75,0),0)</f>
        <v>0</v>
      </c>
      <c r="X152" s="47">
        <f>+IFERROR(HLOOKUP(X18,'סקרי נכסים-יתרות פתיחה'!$2:$76,75,0),0)</f>
        <v>0</v>
      </c>
      <c r="Y152" s="47">
        <f>+IFERROR(HLOOKUP(Y18,'סקרי נכסים-יתרות פתיחה'!$2:$76,75,0),0)</f>
        <v>0</v>
      </c>
      <c r="Z152" s="47">
        <f>+IFERROR(HLOOKUP(Z18,'סקרי נכסים-יתרות פתיחה'!$2:$76,75,0),0)</f>
        <v>0</v>
      </c>
      <c r="AA152" s="47">
        <f>+IFERROR(HLOOKUP(AA18,'סקרי נכסים-יתרות פתיחה'!$2:$76,75,0),0)</f>
        <v>0</v>
      </c>
      <c r="AB152" s="47">
        <f>+IFERROR(HLOOKUP(AB18,'סקרי נכסים-יתרות פתיחה'!$2:$76,75,0),0)</f>
        <v>0</v>
      </c>
      <c r="AC152" s="47">
        <f>+IFERROR(HLOOKUP(AC18,'סקרי נכסים-יתרות פתיחה'!$2:$76,75,0),0)</f>
        <v>0</v>
      </c>
      <c r="AD152" s="47">
        <f>+IFERROR(HLOOKUP(AD18,'סקרי נכסים-יתרות פתיחה'!$2:$76,75,0),0)</f>
        <v>0</v>
      </c>
      <c r="AE152" s="47">
        <f>+IFERROR(HLOOKUP(AE18,'סקרי נכסים-יתרות פתיחה'!$2:$76,75,0),0)</f>
        <v>0</v>
      </c>
      <c r="AF152" s="47">
        <f>+IFERROR(HLOOKUP(AF18,'סקרי נכסים-יתרות פתיחה'!$2:$76,75,0),0)</f>
        <v>0</v>
      </c>
      <c r="AG152" s="47">
        <f>+IFERROR(HLOOKUP(AG18,'סקרי נכסים-יתרות פתיחה'!$2:$76,75,0),0)</f>
        <v>0</v>
      </c>
      <c r="AH152" s="47">
        <f>+IFERROR(HLOOKUP(AH18,'סקרי נכסים-יתרות פתיחה'!$2:$76,75,0),0)</f>
        <v>0</v>
      </c>
      <c r="AI152" s="47">
        <f>+IFERROR(HLOOKUP(AI18,'סקרי נכסים-יתרות פתיחה'!$2:$76,75,0),0)</f>
        <v>0</v>
      </c>
      <c r="AJ152" s="47">
        <f>+IFERROR(HLOOKUP(AJ18,'סקרי נכסים-יתרות פתיחה'!$2:$76,75,0),0)</f>
        <v>0</v>
      </c>
      <c r="AK152" s="47">
        <f>+IFERROR(HLOOKUP(AK18,'סקרי נכסים-יתרות פתיחה'!$2:$76,75,0),0)</f>
        <v>0</v>
      </c>
      <c r="AL152" s="47">
        <f>+IFERROR(HLOOKUP(AL18,'סקרי נכסים-יתרות פתיחה'!$2:$76,75,0),0)</f>
        <v>0</v>
      </c>
      <c r="AM152" s="47">
        <f>+IFERROR(HLOOKUP(AM18,'סקרי נכסים-יתרות פתיחה'!$2:$76,75,0),0)</f>
        <v>0</v>
      </c>
      <c r="AN152" s="47">
        <f>+IFERROR(HLOOKUP(AN18,'סקרי נכסים-יתרות פתיחה'!$2:$76,75,0),0)</f>
        <v>0</v>
      </c>
      <c r="AO152" s="47">
        <f>+IFERROR(HLOOKUP(AO18,'סקרי נכסים-יתרות פתיחה'!$2:$76,75,0),0)</f>
        <v>0</v>
      </c>
      <c r="AP152" s="47">
        <f>+IFERROR(HLOOKUP(AP18,'סקרי נכסים-יתרות פתיחה'!$2:$76,75,0),0)</f>
        <v>0</v>
      </c>
      <c r="AQ152" s="47">
        <f>+IFERROR(HLOOKUP(AQ18,'סקרי נכסים-יתרות פתיחה'!$2:$76,75,0),0)</f>
        <v>0</v>
      </c>
      <c r="AR152" s="47">
        <f>+IFERROR(HLOOKUP(AR18,'סקרי נכסים-יתרות פתיחה'!$2:$76,75,0),0)</f>
        <v>0</v>
      </c>
      <c r="AS152" s="47">
        <f>+IFERROR(HLOOKUP(AS18,'סקרי נכסים-יתרות פתיחה'!$2:$76,75,0),0)</f>
        <v>4846361</v>
      </c>
      <c r="AT152" s="47">
        <f>+IFERROR(HLOOKUP(AT18,'סקרי נכסים-יתרות פתיחה'!$2:$76,75,0),0)</f>
        <v>0</v>
      </c>
      <c r="AU152" s="47">
        <f>+IFERROR(HLOOKUP(AU18,'סקרי נכסים-יתרות פתיחה'!$2:$76,75,0),0)</f>
        <v>0</v>
      </c>
      <c r="AV152" s="47">
        <f>+IFERROR(HLOOKUP(AV18,'סקרי נכסים-יתרות פתיחה'!$2:$76,75,0),0)</f>
        <v>0</v>
      </c>
      <c r="AW152" s="47">
        <f>+IFERROR(HLOOKUP(AW18,'סקרי נכסים-יתרות פתיחה'!$2:$76,75,0),0)</f>
        <v>0</v>
      </c>
      <c r="AX152" s="47">
        <f>+IFERROR(HLOOKUP(AX18,'סקרי נכסים-יתרות פתיחה'!$2:$76,75,0),0)</f>
        <v>0</v>
      </c>
      <c r="AY152" s="47">
        <f>+IFERROR(HLOOKUP(AY18,'סקרי נכסים-יתרות פתיחה'!$2:$76,75,0),0)</f>
        <v>0</v>
      </c>
      <c r="AZ152" s="47">
        <f>+IFERROR(HLOOKUP(AZ18,'סקרי נכסים-יתרות פתיחה'!$2:$76,75,0),0)</f>
        <v>0</v>
      </c>
      <c r="BA152" s="47">
        <f>+IFERROR(HLOOKUP(BA18,'סקרי נכסים-יתרות פתיחה'!$2:$76,75,0),0)</f>
        <v>0</v>
      </c>
      <c r="BB152" s="47">
        <f>+IFERROR(HLOOKUP(BB18,'סקרי נכסים-יתרות פתיחה'!$2:$76,75,0),0)</f>
        <v>0</v>
      </c>
      <c r="BC152" s="47">
        <f>+IFERROR(HLOOKUP(BC18,'סקרי נכסים-יתרות פתיחה'!$2:$76,75,0),0)</f>
        <v>0</v>
      </c>
      <c r="BD152" s="47">
        <f>+IFERROR(HLOOKUP(BD18,'סקרי נכסים-יתרות פתיחה'!$2:$76,75,0),0)</f>
        <v>0</v>
      </c>
      <c r="BE152" s="47">
        <f>+IFERROR(HLOOKUP(BE18,'סקרי נכסים-יתרות פתיחה'!$2:$76,75,0),0)</f>
        <v>0</v>
      </c>
      <c r="BF152" s="47">
        <f>+IFERROR(HLOOKUP(BF18,'סקרי נכסים-יתרות פתיחה'!$2:$76,75,0),0)</f>
        <v>0</v>
      </c>
    </row>
    <row r="153" spans="2:58" x14ac:dyDescent="0.2">
      <c r="B153" s="1">
        <v>12</v>
      </c>
      <c r="C153" s="47">
        <f>+IFERROR(HLOOKUP(C19,'סקרי נכסים-יתרות פתיחה'!$2:$76,75,0),0)</f>
        <v>0</v>
      </c>
      <c r="D153" s="47">
        <f>+IFERROR(HLOOKUP(D19,'סקרי נכסים-יתרות פתיחה'!$2:$76,75,0),0)</f>
        <v>0</v>
      </c>
      <c r="E153" s="47">
        <f>+IFERROR(HLOOKUP(E19,'סקרי נכסים-יתרות פתיחה'!$2:$76,75,0),0)</f>
        <v>0</v>
      </c>
      <c r="F153" s="47">
        <f>+IFERROR(HLOOKUP(F19,'סקרי נכסים-יתרות פתיחה'!$2:$76,75,0),0)</f>
        <v>0</v>
      </c>
      <c r="G153" s="47">
        <f>+IFERROR(HLOOKUP(G19,'סקרי נכסים-יתרות פתיחה'!$2:$76,75,0),0)</f>
        <v>0</v>
      </c>
      <c r="H153" s="47">
        <f>+IFERROR(HLOOKUP(H19,'סקרי נכסים-יתרות פתיחה'!$2:$76,75,0),0)</f>
        <v>0</v>
      </c>
      <c r="I153" s="47">
        <f>+IFERROR(HLOOKUP(I19,'סקרי נכסים-יתרות פתיחה'!$2:$76,75,0),0)</f>
        <v>0</v>
      </c>
      <c r="J153" s="47">
        <f>+IFERROR(HLOOKUP(J19,'סקרי נכסים-יתרות פתיחה'!$2:$76,75,0),0)</f>
        <v>0</v>
      </c>
      <c r="K153" s="47">
        <f>+IFERROR(HLOOKUP(K19,'סקרי נכסים-יתרות פתיחה'!$2:$76,75,0),0)</f>
        <v>0</v>
      </c>
      <c r="L153" s="47">
        <f>+IFERROR(HLOOKUP(L19,'סקרי נכסים-יתרות פתיחה'!$2:$76,75,0),0)</f>
        <v>0</v>
      </c>
      <c r="M153" s="47">
        <f>+IFERROR(HLOOKUP(M19,'סקרי נכסים-יתרות פתיחה'!$2:$76,75,0),0)</f>
        <v>0</v>
      </c>
      <c r="N153" s="47">
        <f>+IFERROR(HLOOKUP(N19,'סקרי נכסים-יתרות פתיחה'!$2:$76,75,0),0)</f>
        <v>0</v>
      </c>
      <c r="O153" s="47">
        <f>+IFERROR(HLOOKUP(O19,'סקרי נכסים-יתרות פתיחה'!$2:$76,75,0),0)</f>
        <v>0</v>
      </c>
      <c r="P153" s="47">
        <f>+IFERROR(HLOOKUP(P19,'סקרי נכסים-יתרות פתיחה'!$2:$76,75,0),0)</f>
        <v>10093637</v>
      </c>
      <c r="Q153" s="47">
        <f>+IFERROR(HLOOKUP(Q19,'סקרי נכסים-יתרות פתיחה'!$2:$76,75,0),0)</f>
        <v>0</v>
      </c>
      <c r="R153" s="47">
        <f>+IFERROR(HLOOKUP(R19,'סקרי נכסים-יתרות פתיחה'!$2:$76,75,0),0)</f>
        <v>0</v>
      </c>
      <c r="S153" s="47">
        <f>+IFERROR(HLOOKUP(S19,'סקרי נכסים-יתרות פתיחה'!$2:$76,75,0),0)</f>
        <v>0</v>
      </c>
      <c r="T153" s="47">
        <f>+IFERROR(HLOOKUP(T19,'סקרי נכסים-יתרות פתיחה'!$2:$76,75,0),0)</f>
        <v>0</v>
      </c>
      <c r="U153" s="47">
        <f>+IFERROR(HLOOKUP(U19,'סקרי נכסים-יתרות פתיחה'!$2:$76,75,0),0)</f>
        <v>0</v>
      </c>
      <c r="V153" s="47">
        <f>+IFERROR(HLOOKUP(V19,'סקרי נכסים-יתרות פתיחה'!$2:$76,75,0),0)</f>
        <v>0</v>
      </c>
      <c r="W153" s="47">
        <f>+IFERROR(HLOOKUP(W19,'סקרי נכסים-יתרות פתיחה'!$2:$76,75,0),0)</f>
        <v>0</v>
      </c>
      <c r="X153" s="47">
        <f>+IFERROR(HLOOKUP(X19,'סקרי נכסים-יתרות פתיחה'!$2:$76,75,0),0)</f>
        <v>0</v>
      </c>
      <c r="Y153" s="47">
        <f>+IFERROR(HLOOKUP(Y19,'סקרי נכסים-יתרות פתיחה'!$2:$76,75,0),0)</f>
        <v>0</v>
      </c>
      <c r="Z153" s="47">
        <f>+IFERROR(HLOOKUP(Z19,'סקרי נכסים-יתרות פתיחה'!$2:$76,75,0),0)</f>
        <v>0</v>
      </c>
      <c r="AA153" s="47">
        <f>+IFERROR(HLOOKUP(AA19,'סקרי נכסים-יתרות פתיחה'!$2:$76,75,0),0)</f>
        <v>0</v>
      </c>
      <c r="AB153" s="47">
        <f>+IFERROR(HLOOKUP(AB19,'סקרי נכסים-יתרות פתיחה'!$2:$76,75,0),0)</f>
        <v>0</v>
      </c>
      <c r="AC153" s="47">
        <f>+IFERROR(HLOOKUP(AC19,'סקרי נכסים-יתרות פתיחה'!$2:$76,75,0),0)</f>
        <v>0</v>
      </c>
      <c r="AD153" s="47">
        <f>+IFERROR(HLOOKUP(AD19,'סקרי נכסים-יתרות פתיחה'!$2:$76,75,0),0)</f>
        <v>0</v>
      </c>
      <c r="AE153" s="47">
        <f>+IFERROR(HLOOKUP(AE19,'סקרי נכסים-יתרות פתיחה'!$2:$76,75,0),0)</f>
        <v>0</v>
      </c>
      <c r="AF153" s="47">
        <f>+IFERROR(HLOOKUP(AF19,'סקרי נכסים-יתרות פתיחה'!$2:$76,75,0),0)</f>
        <v>0</v>
      </c>
      <c r="AG153" s="47">
        <f>+IFERROR(HLOOKUP(AG19,'סקרי נכסים-יתרות פתיחה'!$2:$76,75,0),0)</f>
        <v>0</v>
      </c>
      <c r="AH153" s="47">
        <f>+IFERROR(HLOOKUP(AH19,'סקרי נכסים-יתרות פתיחה'!$2:$76,75,0),0)</f>
        <v>0</v>
      </c>
      <c r="AI153" s="47">
        <f>+IFERROR(HLOOKUP(AI19,'סקרי נכסים-יתרות פתיחה'!$2:$76,75,0),0)</f>
        <v>0</v>
      </c>
      <c r="AJ153" s="47">
        <f>+IFERROR(HLOOKUP(AJ19,'סקרי נכסים-יתרות פתיחה'!$2:$76,75,0),0)</f>
        <v>0</v>
      </c>
      <c r="AK153" s="47">
        <f>+IFERROR(HLOOKUP(AK19,'סקרי נכסים-יתרות פתיחה'!$2:$76,75,0),0)</f>
        <v>0</v>
      </c>
      <c r="AL153" s="47">
        <f>+IFERROR(HLOOKUP(AL19,'סקרי נכסים-יתרות פתיחה'!$2:$76,75,0),0)</f>
        <v>0</v>
      </c>
      <c r="AM153" s="47">
        <f>+IFERROR(HLOOKUP(AM19,'סקרי נכסים-יתרות פתיחה'!$2:$76,75,0),0)</f>
        <v>0</v>
      </c>
      <c r="AN153" s="47">
        <f>+IFERROR(HLOOKUP(AN19,'סקרי נכסים-יתרות פתיחה'!$2:$76,75,0),0)</f>
        <v>0</v>
      </c>
      <c r="AO153" s="47">
        <f>+IFERROR(HLOOKUP(AO19,'סקרי נכסים-יתרות פתיחה'!$2:$76,75,0),0)</f>
        <v>0</v>
      </c>
      <c r="AP153" s="47">
        <f>+IFERROR(HLOOKUP(AP19,'סקרי נכסים-יתרות פתיחה'!$2:$76,75,0),0)</f>
        <v>0</v>
      </c>
      <c r="AQ153" s="47">
        <f>+IFERROR(HLOOKUP(AQ19,'סקרי נכסים-יתרות פתיחה'!$2:$76,75,0),0)</f>
        <v>0</v>
      </c>
      <c r="AR153" s="47">
        <f>+IFERROR(HLOOKUP(AR19,'סקרי נכסים-יתרות פתיחה'!$2:$76,75,0),0)</f>
        <v>0</v>
      </c>
      <c r="AS153" s="47">
        <f>+IFERROR(HLOOKUP(AS19,'סקרי נכסים-יתרות פתיחה'!$2:$76,75,0),0)</f>
        <v>0</v>
      </c>
      <c r="AT153" s="47">
        <f>+IFERROR(HLOOKUP(AT19,'סקרי נכסים-יתרות פתיחה'!$2:$76,75,0),0)</f>
        <v>0</v>
      </c>
      <c r="AU153" s="47">
        <f>+IFERROR(HLOOKUP(AU19,'סקרי נכסים-יתרות פתיחה'!$2:$76,75,0),0)</f>
        <v>0</v>
      </c>
      <c r="AV153" s="47">
        <f>+IFERROR(HLOOKUP(AV19,'סקרי נכסים-יתרות פתיחה'!$2:$76,75,0),0)</f>
        <v>0</v>
      </c>
      <c r="AW153" s="47">
        <f>+IFERROR(HLOOKUP(AW19,'סקרי נכסים-יתרות פתיחה'!$2:$76,75,0),0)</f>
        <v>0</v>
      </c>
      <c r="AX153" s="47">
        <f>+IFERROR(HLOOKUP(AX19,'סקרי נכסים-יתרות פתיחה'!$2:$76,75,0),0)</f>
        <v>0</v>
      </c>
      <c r="AY153" s="47">
        <f>+IFERROR(HLOOKUP(AY19,'סקרי נכסים-יתרות פתיחה'!$2:$76,75,0),0)</f>
        <v>0</v>
      </c>
      <c r="AZ153" s="47">
        <f>+IFERROR(HLOOKUP(AZ19,'סקרי נכסים-יתרות פתיחה'!$2:$76,75,0),0)</f>
        <v>0</v>
      </c>
      <c r="BA153" s="47">
        <f>+IFERROR(HLOOKUP(BA19,'סקרי נכסים-יתרות פתיחה'!$2:$76,75,0),0)</f>
        <v>0</v>
      </c>
      <c r="BB153" s="47">
        <f>+IFERROR(HLOOKUP(BB19,'סקרי נכסים-יתרות פתיחה'!$2:$76,75,0),0)</f>
        <v>0</v>
      </c>
      <c r="BC153" s="47">
        <f>+IFERROR(HLOOKUP(BC19,'סקרי נכסים-יתרות פתיחה'!$2:$76,75,0),0)</f>
        <v>0</v>
      </c>
      <c r="BD153" s="47">
        <f>+IFERROR(HLOOKUP(BD19,'סקרי נכסים-יתרות פתיחה'!$2:$76,75,0),0)</f>
        <v>0</v>
      </c>
      <c r="BE153" s="47">
        <f>+IFERROR(HLOOKUP(BE19,'סקרי נכסים-יתרות פתיחה'!$2:$76,75,0),0)</f>
        <v>0</v>
      </c>
      <c r="BF153" s="47">
        <f>+IFERROR(HLOOKUP(BF19,'סקרי נכסים-יתרות פתיחה'!$2:$76,75,0),0)</f>
        <v>0</v>
      </c>
    </row>
    <row r="154" spans="2:58" x14ac:dyDescent="0.2">
      <c r="B154" s="1">
        <v>13</v>
      </c>
      <c r="C154" s="47">
        <f>+IFERROR(HLOOKUP(C20,'סקרי נכסים-יתרות פתיחה'!$2:$76,75,0),0)</f>
        <v>0</v>
      </c>
      <c r="D154" s="47">
        <f>+IFERROR(HLOOKUP(D20,'סקרי נכסים-יתרות פתיחה'!$2:$76,75,0),0)</f>
        <v>0</v>
      </c>
      <c r="E154" s="47">
        <f>+IFERROR(HLOOKUP(E20,'סקרי נכסים-יתרות פתיחה'!$2:$76,75,0),0)</f>
        <v>0</v>
      </c>
      <c r="F154" s="47">
        <f>+IFERROR(HLOOKUP(F20,'סקרי נכסים-יתרות פתיחה'!$2:$76,75,0),0)</f>
        <v>0</v>
      </c>
      <c r="G154" s="47">
        <f>+IFERROR(HLOOKUP(G20,'סקרי נכסים-יתרות פתיחה'!$2:$76,75,0),0)</f>
        <v>0</v>
      </c>
      <c r="H154" s="47">
        <f>+IFERROR(HLOOKUP(H20,'סקרי נכסים-יתרות פתיחה'!$2:$76,75,0),0)</f>
        <v>0</v>
      </c>
      <c r="I154" s="47">
        <f>+IFERROR(HLOOKUP(I20,'סקרי נכסים-יתרות פתיחה'!$2:$76,75,0),0)</f>
        <v>0</v>
      </c>
      <c r="J154" s="47">
        <f>+IFERROR(HLOOKUP(J20,'סקרי נכסים-יתרות פתיחה'!$2:$76,75,0),0)</f>
        <v>0</v>
      </c>
      <c r="K154" s="47">
        <f>+IFERROR(HLOOKUP(K20,'סקרי נכסים-יתרות פתיחה'!$2:$76,75,0),0)</f>
        <v>0</v>
      </c>
      <c r="L154" s="47">
        <f>+IFERROR(HLOOKUP(L20,'סקרי נכסים-יתרות פתיחה'!$2:$76,75,0),0)</f>
        <v>0</v>
      </c>
      <c r="M154" s="47">
        <f>+IFERROR(HLOOKUP(M20,'סקרי נכסים-יתרות פתיחה'!$2:$76,75,0),0)</f>
        <v>0</v>
      </c>
      <c r="N154" s="47">
        <f>+IFERROR(HLOOKUP(N20,'סקרי נכסים-יתרות פתיחה'!$2:$76,75,0),0)</f>
        <v>0</v>
      </c>
      <c r="O154" s="47">
        <f>+IFERROR(HLOOKUP(O20,'סקרי נכסים-יתרות פתיחה'!$2:$76,75,0),0)</f>
        <v>0</v>
      </c>
      <c r="P154" s="47">
        <f>+IFERROR(HLOOKUP(P20,'סקרי נכסים-יתרות פתיחה'!$2:$76,75,0),0)</f>
        <v>10951000</v>
      </c>
      <c r="Q154" s="47">
        <f>+IFERROR(HLOOKUP(Q20,'סקרי נכסים-יתרות פתיחה'!$2:$76,75,0),0)</f>
        <v>0</v>
      </c>
      <c r="R154" s="47">
        <f>+IFERROR(HLOOKUP(R20,'סקרי נכסים-יתרות פתיחה'!$2:$76,75,0),0)</f>
        <v>0</v>
      </c>
      <c r="S154" s="47">
        <f>+IFERROR(HLOOKUP(S20,'סקרי נכסים-יתרות פתיחה'!$2:$76,75,0),0)</f>
        <v>0</v>
      </c>
      <c r="T154" s="47">
        <f>+IFERROR(HLOOKUP(T20,'סקרי נכסים-יתרות פתיחה'!$2:$76,75,0),0)</f>
        <v>0</v>
      </c>
      <c r="U154" s="47">
        <f>+IFERROR(HLOOKUP(U20,'סקרי נכסים-יתרות פתיחה'!$2:$76,75,0),0)</f>
        <v>0</v>
      </c>
      <c r="V154" s="47">
        <f>+IFERROR(HLOOKUP(V20,'סקרי נכסים-יתרות פתיחה'!$2:$76,75,0),0)</f>
        <v>0</v>
      </c>
      <c r="W154" s="47">
        <f>+IFERROR(HLOOKUP(W20,'סקרי נכסים-יתרות פתיחה'!$2:$76,75,0),0)</f>
        <v>0</v>
      </c>
      <c r="X154" s="47">
        <f>+IFERROR(HLOOKUP(X20,'סקרי נכסים-יתרות פתיחה'!$2:$76,75,0),0)</f>
        <v>0</v>
      </c>
      <c r="Y154" s="47">
        <f>+IFERROR(HLOOKUP(Y20,'סקרי נכסים-יתרות פתיחה'!$2:$76,75,0),0)</f>
        <v>0</v>
      </c>
      <c r="Z154" s="47">
        <f>+IFERROR(HLOOKUP(Z20,'סקרי נכסים-יתרות פתיחה'!$2:$76,75,0),0)</f>
        <v>0</v>
      </c>
      <c r="AA154" s="47">
        <f>+IFERROR(HLOOKUP(AA20,'סקרי נכסים-יתרות פתיחה'!$2:$76,75,0),0)</f>
        <v>0</v>
      </c>
      <c r="AB154" s="47">
        <f>+IFERROR(HLOOKUP(AB20,'סקרי נכסים-יתרות פתיחה'!$2:$76,75,0),0)</f>
        <v>0</v>
      </c>
      <c r="AC154" s="47">
        <f>+IFERROR(HLOOKUP(AC20,'סקרי נכסים-יתרות פתיחה'!$2:$76,75,0),0)</f>
        <v>0</v>
      </c>
      <c r="AD154" s="47">
        <f>+IFERROR(HLOOKUP(AD20,'סקרי נכסים-יתרות פתיחה'!$2:$76,75,0),0)</f>
        <v>0</v>
      </c>
      <c r="AE154" s="47">
        <f>+IFERROR(HLOOKUP(AE20,'סקרי נכסים-יתרות פתיחה'!$2:$76,75,0),0)</f>
        <v>0</v>
      </c>
      <c r="AF154" s="47">
        <f>+IFERROR(HLOOKUP(AF20,'סקרי נכסים-יתרות פתיחה'!$2:$76,75,0),0)</f>
        <v>0</v>
      </c>
      <c r="AG154" s="47">
        <f>+IFERROR(HLOOKUP(AG20,'סקרי נכסים-יתרות פתיחה'!$2:$76,75,0),0)</f>
        <v>0</v>
      </c>
      <c r="AH154" s="47">
        <f>+IFERROR(HLOOKUP(AH20,'סקרי נכסים-יתרות פתיחה'!$2:$76,75,0),0)</f>
        <v>0</v>
      </c>
      <c r="AI154" s="47">
        <f>+IFERROR(HLOOKUP(AI20,'סקרי נכסים-יתרות פתיחה'!$2:$76,75,0),0)</f>
        <v>0</v>
      </c>
      <c r="AJ154" s="47">
        <f>+IFERROR(HLOOKUP(AJ20,'סקרי נכסים-יתרות פתיחה'!$2:$76,75,0),0)</f>
        <v>0</v>
      </c>
      <c r="AK154" s="47">
        <f>+IFERROR(HLOOKUP(AK20,'סקרי נכסים-יתרות פתיחה'!$2:$76,75,0),0)</f>
        <v>0</v>
      </c>
      <c r="AL154" s="47">
        <f>+IFERROR(HLOOKUP(AL20,'סקרי נכסים-יתרות פתיחה'!$2:$76,75,0),0)</f>
        <v>0</v>
      </c>
      <c r="AM154" s="47">
        <f>+IFERROR(HLOOKUP(AM20,'סקרי נכסים-יתרות פתיחה'!$2:$76,75,0),0)</f>
        <v>0</v>
      </c>
      <c r="AN154" s="47">
        <f>+IFERROR(HLOOKUP(AN20,'סקרי נכסים-יתרות פתיחה'!$2:$76,75,0),0)</f>
        <v>0</v>
      </c>
      <c r="AO154" s="47">
        <f>+IFERROR(HLOOKUP(AO20,'סקרי נכסים-יתרות פתיחה'!$2:$76,75,0),0)</f>
        <v>0</v>
      </c>
      <c r="AP154" s="47">
        <f>+IFERROR(HLOOKUP(AP20,'סקרי נכסים-יתרות פתיחה'!$2:$76,75,0),0)</f>
        <v>0</v>
      </c>
      <c r="AQ154" s="47">
        <f>+IFERROR(HLOOKUP(AQ20,'סקרי נכסים-יתרות פתיחה'!$2:$76,75,0),0)</f>
        <v>0</v>
      </c>
      <c r="AR154" s="47">
        <f>+IFERROR(HLOOKUP(AR20,'סקרי נכסים-יתרות פתיחה'!$2:$76,75,0),0)</f>
        <v>0</v>
      </c>
      <c r="AS154" s="47">
        <f>+IFERROR(HLOOKUP(AS20,'סקרי נכסים-יתרות פתיחה'!$2:$76,75,0),0)</f>
        <v>0</v>
      </c>
      <c r="AT154" s="47">
        <f>+IFERROR(HLOOKUP(AT20,'סקרי נכסים-יתרות פתיחה'!$2:$76,75,0),0)</f>
        <v>0</v>
      </c>
      <c r="AU154" s="47">
        <f>+IFERROR(HLOOKUP(AU20,'סקרי נכסים-יתרות פתיחה'!$2:$76,75,0),0)</f>
        <v>0</v>
      </c>
      <c r="AV154" s="47">
        <f>+IFERROR(HLOOKUP(AV20,'סקרי נכסים-יתרות פתיחה'!$2:$76,75,0),0)</f>
        <v>0</v>
      </c>
      <c r="AW154" s="47">
        <f>+IFERROR(HLOOKUP(AW20,'סקרי נכסים-יתרות פתיחה'!$2:$76,75,0),0)</f>
        <v>0</v>
      </c>
      <c r="AX154" s="47">
        <f>+IFERROR(HLOOKUP(AX20,'סקרי נכסים-יתרות פתיחה'!$2:$76,75,0),0)</f>
        <v>0</v>
      </c>
      <c r="AY154" s="47">
        <f>+IFERROR(HLOOKUP(AY20,'סקרי נכסים-יתרות פתיחה'!$2:$76,75,0),0)</f>
        <v>0</v>
      </c>
      <c r="AZ154" s="47">
        <f>+IFERROR(HLOOKUP(AZ20,'סקרי נכסים-יתרות פתיחה'!$2:$76,75,0),0)</f>
        <v>0</v>
      </c>
      <c r="BA154" s="47">
        <f>+IFERROR(HLOOKUP(BA20,'סקרי נכסים-יתרות פתיחה'!$2:$76,75,0),0)</f>
        <v>0</v>
      </c>
      <c r="BB154" s="47">
        <f>+IFERROR(HLOOKUP(BB20,'סקרי נכסים-יתרות פתיחה'!$2:$76,75,0),0)</f>
        <v>0</v>
      </c>
      <c r="BC154" s="47">
        <f>+IFERROR(HLOOKUP(BC20,'סקרי נכסים-יתרות פתיחה'!$2:$76,75,0),0)</f>
        <v>0</v>
      </c>
      <c r="BD154" s="47">
        <f>+IFERROR(HLOOKUP(BD20,'סקרי נכסים-יתרות פתיחה'!$2:$76,75,0),0)</f>
        <v>0</v>
      </c>
      <c r="BE154" s="47">
        <f>+IFERROR(HLOOKUP(BE20,'סקרי נכסים-יתרות פתיחה'!$2:$76,75,0),0)</f>
        <v>0</v>
      </c>
      <c r="BF154" s="47">
        <f>+IFERROR(HLOOKUP(BF20,'סקרי נכסים-יתרות פתיחה'!$2:$76,75,0),0)</f>
        <v>0</v>
      </c>
    </row>
    <row r="155" spans="2:58" x14ac:dyDescent="0.2">
      <c r="B155" s="1">
        <v>14</v>
      </c>
      <c r="C155" s="47">
        <f>+IFERROR(HLOOKUP(C21,'סקרי נכסים-יתרות פתיחה'!$2:$76,75,0),0)</f>
        <v>0</v>
      </c>
      <c r="D155" s="47">
        <f>+IFERROR(HLOOKUP(D21,'סקרי נכסים-יתרות פתיחה'!$2:$76,75,0),0)</f>
        <v>0</v>
      </c>
      <c r="E155" s="47">
        <f>+IFERROR(HLOOKUP(E21,'סקרי נכסים-יתרות פתיחה'!$2:$76,75,0),0)</f>
        <v>0</v>
      </c>
      <c r="F155" s="47">
        <f>+IFERROR(HLOOKUP(F21,'סקרי נכסים-יתרות פתיחה'!$2:$76,75,0),0)</f>
        <v>0</v>
      </c>
      <c r="G155" s="47">
        <f>+IFERROR(HLOOKUP(G21,'סקרי נכסים-יתרות פתיחה'!$2:$76,75,0),0)</f>
        <v>0</v>
      </c>
      <c r="H155" s="47">
        <f>+IFERROR(HLOOKUP(H21,'סקרי נכסים-יתרות פתיחה'!$2:$76,75,0),0)</f>
        <v>0</v>
      </c>
      <c r="I155" s="47">
        <f>+IFERROR(HLOOKUP(I21,'סקרי נכסים-יתרות פתיחה'!$2:$76,75,0),0)</f>
        <v>0</v>
      </c>
      <c r="J155" s="47">
        <f>+IFERROR(HLOOKUP(J21,'סקרי נכסים-יתרות פתיחה'!$2:$76,75,0),0)</f>
        <v>0</v>
      </c>
      <c r="K155" s="47">
        <f>+IFERROR(HLOOKUP(K21,'סקרי נכסים-יתרות פתיחה'!$2:$76,75,0),0)</f>
        <v>0</v>
      </c>
      <c r="L155" s="47">
        <f>+IFERROR(HLOOKUP(L21,'סקרי נכסים-יתרות פתיחה'!$2:$76,75,0),0)</f>
        <v>0</v>
      </c>
      <c r="M155" s="47">
        <f>+IFERROR(HLOOKUP(M21,'סקרי נכסים-יתרות פתיחה'!$2:$76,75,0),0)</f>
        <v>0</v>
      </c>
      <c r="N155" s="47">
        <f>+IFERROR(HLOOKUP(N21,'סקרי נכסים-יתרות פתיחה'!$2:$76,75,0),0)</f>
        <v>0</v>
      </c>
      <c r="O155" s="47">
        <f>+IFERROR(HLOOKUP(O21,'סקרי נכסים-יתרות פתיחה'!$2:$76,75,0),0)</f>
        <v>0</v>
      </c>
      <c r="P155" s="47">
        <f>+IFERROR(HLOOKUP(P21,'סקרי נכסים-יתרות פתיחה'!$2:$76,75,0),0)</f>
        <v>0</v>
      </c>
      <c r="Q155" s="47">
        <f>+IFERROR(HLOOKUP(Q21,'סקרי נכסים-יתרות פתיחה'!$2:$76,75,0),0)</f>
        <v>0</v>
      </c>
      <c r="R155" s="47">
        <f>+IFERROR(HLOOKUP(R21,'סקרי נכסים-יתרות פתיחה'!$2:$76,75,0),0)</f>
        <v>0</v>
      </c>
      <c r="S155" s="47">
        <f>+IFERROR(HLOOKUP(S21,'סקרי נכסים-יתרות פתיחה'!$2:$76,75,0),0)</f>
        <v>0</v>
      </c>
      <c r="T155" s="47">
        <f>+IFERROR(HLOOKUP(T21,'סקרי נכסים-יתרות פתיחה'!$2:$76,75,0),0)</f>
        <v>0</v>
      </c>
      <c r="U155" s="47">
        <f>+IFERROR(HLOOKUP(U21,'סקרי נכסים-יתרות פתיחה'!$2:$76,75,0),0)</f>
        <v>0</v>
      </c>
      <c r="V155" s="47">
        <f>+IFERROR(HLOOKUP(V21,'סקרי נכסים-יתרות פתיחה'!$2:$76,75,0),0)</f>
        <v>0</v>
      </c>
      <c r="W155" s="47">
        <f>+IFERROR(HLOOKUP(W21,'סקרי נכסים-יתרות פתיחה'!$2:$76,75,0),0)</f>
        <v>0</v>
      </c>
      <c r="X155" s="47">
        <f>+IFERROR(HLOOKUP(X21,'סקרי נכסים-יתרות פתיחה'!$2:$76,75,0),0)</f>
        <v>0</v>
      </c>
      <c r="Y155" s="47">
        <f>+IFERROR(HLOOKUP(Y21,'סקרי נכסים-יתרות פתיחה'!$2:$76,75,0),0)</f>
        <v>0</v>
      </c>
      <c r="Z155" s="47">
        <f>+IFERROR(HLOOKUP(Z21,'סקרי נכסים-יתרות פתיחה'!$2:$76,75,0),0)</f>
        <v>0</v>
      </c>
      <c r="AA155" s="47">
        <f>+IFERROR(HLOOKUP(AA21,'סקרי נכסים-יתרות פתיחה'!$2:$76,75,0),0)</f>
        <v>0</v>
      </c>
      <c r="AB155" s="47">
        <f>+IFERROR(HLOOKUP(AB21,'סקרי נכסים-יתרות פתיחה'!$2:$76,75,0),0)</f>
        <v>0</v>
      </c>
      <c r="AC155" s="47">
        <f>+IFERROR(HLOOKUP(AC21,'סקרי נכסים-יתרות פתיחה'!$2:$76,75,0),0)</f>
        <v>0</v>
      </c>
      <c r="AD155" s="47">
        <f>+IFERROR(HLOOKUP(AD21,'סקרי נכסים-יתרות פתיחה'!$2:$76,75,0),0)</f>
        <v>0</v>
      </c>
      <c r="AE155" s="47">
        <f>+IFERROR(HLOOKUP(AE21,'סקרי נכסים-יתרות פתיחה'!$2:$76,75,0),0)</f>
        <v>0</v>
      </c>
      <c r="AF155" s="47">
        <f>+IFERROR(HLOOKUP(AF21,'סקרי נכסים-יתרות פתיחה'!$2:$76,75,0),0)</f>
        <v>0</v>
      </c>
      <c r="AG155" s="47">
        <f>+IFERROR(HLOOKUP(AG21,'סקרי נכסים-יתרות פתיחה'!$2:$76,75,0),0)</f>
        <v>0</v>
      </c>
      <c r="AH155" s="47">
        <f>+IFERROR(HLOOKUP(AH21,'סקרי נכסים-יתרות פתיחה'!$2:$76,75,0),0)</f>
        <v>0</v>
      </c>
      <c r="AI155" s="47">
        <f>+IFERROR(HLOOKUP(AI21,'סקרי נכסים-יתרות פתיחה'!$2:$76,75,0),0)</f>
        <v>0</v>
      </c>
      <c r="AJ155" s="47">
        <f>+IFERROR(HLOOKUP(AJ21,'סקרי נכסים-יתרות פתיחה'!$2:$76,75,0),0)</f>
        <v>0</v>
      </c>
      <c r="AK155" s="47">
        <f>+IFERROR(HLOOKUP(AK21,'סקרי נכסים-יתרות פתיחה'!$2:$76,75,0),0)</f>
        <v>0</v>
      </c>
      <c r="AL155" s="47">
        <f>+IFERROR(HLOOKUP(AL21,'סקרי נכסים-יתרות פתיחה'!$2:$76,75,0),0)</f>
        <v>0</v>
      </c>
      <c r="AM155" s="47">
        <f>+IFERROR(HLOOKUP(AM21,'סקרי נכסים-יתרות פתיחה'!$2:$76,75,0),0)</f>
        <v>0</v>
      </c>
      <c r="AN155" s="47">
        <f>+IFERROR(HLOOKUP(AN21,'סקרי נכסים-יתרות פתיחה'!$2:$76,75,0),0)</f>
        <v>0</v>
      </c>
      <c r="AO155" s="47">
        <f>+IFERROR(HLOOKUP(AO21,'סקרי נכסים-יתרות פתיחה'!$2:$76,75,0),0)</f>
        <v>0</v>
      </c>
      <c r="AP155" s="47">
        <f>+IFERROR(HLOOKUP(AP21,'סקרי נכסים-יתרות פתיחה'!$2:$76,75,0),0)</f>
        <v>0</v>
      </c>
      <c r="AQ155" s="47">
        <f>+IFERROR(HLOOKUP(AQ21,'סקרי נכסים-יתרות פתיחה'!$2:$76,75,0),0)</f>
        <v>0</v>
      </c>
      <c r="AR155" s="47">
        <f>+IFERROR(HLOOKUP(AR21,'סקרי נכסים-יתרות פתיחה'!$2:$76,75,0),0)</f>
        <v>0</v>
      </c>
      <c r="AS155" s="47">
        <f>+IFERROR(HLOOKUP(AS21,'סקרי נכסים-יתרות פתיחה'!$2:$76,75,0),0)</f>
        <v>0</v>
      </c>
      <c r="AT155" s="47">
        <f>+IFERROR(HLOOKUP(AT21,'סקרי נכסים-יתרות פתיחה'!$2:$76,75,0),0)</f>
        <v>0</v>
      </c>
      <c r="AU155" s="47">
        <f>+IFERROR(HLOOKUP(AU21,'סקרי נכסים-יתרות פתיחה'!$2:$76,75,0),0)</f>
        <v>0</v>
      </c>
      <c r="AV155" s="47">
        <f>+IFERROR(HLOOKUP(AV21,'סקרי נכסים-יתרות פתיחה'!$2:$76,75,0),0)</f>
        <v>0</v>
      </c>
      <c r="AW155" s="47">
        <f>+IFERROR(HLOOKUP(AW21,'סקרי נכסים-יתרות פתיחה'!$2:$76,75,0),0)</f>
        <v>0</v>
      </c>
      <c r="AX155" s="47">
        <f>+IFERROR(HLOOKUP(AX21,'סקרי נכסים-יתרות פתיחה'!$2:$76,75,0),0)</f>
        <v>0</v>
      </c>
      <c r="AY155" s="47">
        <f>+IFERROR(HLOOKUP(AY21,'סקרי נכסים-יתרות פתיחה'!$2:$76,75,0),0)</f>
        <v>0</v>
      </c>
      <c r="AZ155" s="47">
        <f>+IFERROR(HLOOKUP(AZ21,'סקרי נכסים-יתרות פתיחה'!$2:$76,75,0),0)</f>
        <v>0</v>
      </c>
      <c r="BA155" s="47">
        <f>+IFERROR(HLOOKUP(BA21,'סקרי נכסים-יתרות פתיחה'!$2:$76,75,0),0)</f>
        <v>0</v>
      </c>
      <c r="BB155" s="47">
        <f>+IFERROR(HLOOKUP(BB21,'סקרי נכסים-יתרות פתיחה'!$2:$76,75,0),0)</f>
        <v>0</v>
      </c>
      <c r="BC155" s="47">
        <f>+IFERROR(HLOOKUP(BC21,'סקרי נכסים-יתרות פתיחה'!$2:$76,75,0),0)</f>
        <v>0</v>
      </c>
      <c r="BD155" s="47">
        <f>+IFERROR(HLOOKUP(BD21,'סקרי נכסים-יתרות פתיחה'!$2:$76,75,0),0)</f>
        <v>0</v>
      </c>
      <c r="BE155" s="47">
        <f>+IFERROR(HLOOKUP(BE21,'סקרי נכסים-יתרות פתיחה'!$2:$76,75,0),0)</f>
        <v>0</v>
      </c>
      <c r="BF155" s="47">
        <f>+IFERROR(HLOOKUP(BF21,'סקרי נכסים-יתרות פתיחה'!$2:$76,75,0),0)</f>
        <v>0</v>
      </c>
    </row>
    <row r="156" spans="2:58" x14ac:dyDescent="0.2">
      <c r="B156" s="1">
        <v>15</v>
      </c>
      <c r="C156" s="47">
        <f>+IFERROR(HLOOKUP(C22,'סקרי נכסים-יתרות פתיחה'!$2:$76,75,0),0)</f>
        <v>0</v>
      </c>
      <c r="D156" s="47">
        <f>+IFERROR(HLOOKUP(D22,'סקרי נכסים-יתרות פתיחה'!$2:$76,75,0),0)</f>
        <v>0</v>
      </c>
      <c r="E156" s="47">
        <f>+IFERROR(HLOOKUP(E22,'סקרי נכסים-יתרות פתיחה'!$2:$76,75,0),0)</f>
        <v>0</v>
      </c>
      <c r="F156" s="47">
        <f>+IFERROR(HLOOKUP(F22,'סקרי נכסים-יתרות פתיחה'!$2:$76,75,0),0)</f>
        <v>0</v>
      </c>
      <c r="G156" s="47">
        <f>+IFERROR(HLOOKUP(G22,'סקרי נכסים-יתרות פתיחה'!$2:$76,75,0),0)</f>
        <v>0</v>
      </c>
      <c r="H156" s="47">
        <f>+IFERROR(HLOOKUP(H22,'סקרי נכסים-יתרות פתיחה'!$2:$76,75,0),0)</f>
        <v>0</v>
      </c>
      <c r="I156" s="47">
        <f>+IFERROR(HLOOKUP(I22,'סקרי נכסים-יתרות פתיחה'!$2:$76,75,0),0)</f>
        <v>0</v>
      </c>
      <c r="J156" s="47">
        <f>+IFERROR(HLOOKUP(J22,'סקרי נכסים-יתרות פתיחה'!$2:$76,75,0),0)</f>
        <v>0</v>
      </c>
      <c r="K156" s="47">
        <f>+IFERROR(HLOOKUP(K22,'סקרי נכסים-יתרות פתיחה'!$2:$76,75,0),0)</f>
        <v>0</v>
      </c>
      <c r="L156" s="47">
        <f>+IFERROR(HLOOKUP(L22,'סקרי נכסים-יתרות פתיחה'!$2:$76,75,0),0)</f>
        <v>0</v>
      </c>
      <c r="M156" s="47">
        <f>+IFERROR(HLOOKUP(M22,'סקרי נכסים-יתרות פתיחה'!$2:$76,75,0),0)</f>
        <v>0</v>
      </c>
      <c r="N156" s="47">
        <f>+IFERROR(HLOOKUP(N22,'סקרי נכסים-יתרות פתיחה'!$2:$76,75,0),0)</f>
        <v>0</v>
      </c>
      <c r="O156" s="47">
        <f>+IFERROR(HLOOKUP(O22,'סקרי נכסים-יתרות פתיחה'!$2:$76,75,0),0)</f>
        <v>0</v>
      </c>
      <c r="P156" s="47">
        <f>+IFERROR(HLOOKUP(P22,'סקרי נכסים-יתרות פתיחה'!$2:$76,75,0),0)</f>
        <v>0</v>
      </c>
      <c r="Q156" s="47">
        <f>+IFERROR(HLOOKUP(Q22,'סקרי נכסים-יתרות פתיחה'!$2:$76,75,0),0)</f>
        <v>0</v>
      </c>
      <c r="R156" s="47">
        <f>+IFERROR(HLOOKUP(R22,'סקרי נכסים-יתרות פתיחה'!$2:$76,75,0),0)</f>
        <v>0</v>
      </c>
      <c r="S156" s="47">
        <f>+IFERROR(HLOOKUP(S22,'סקרי נכסים-יתרות פתיחה'!$2:$76,75,0),0)</f>
        <v>0</v>
      </c>
      <c r="T156" s="47">
        <f>+IFERROR(HLOOKUP(T22,'סקרי נכסים-יתרות פתיחה'!$2:$76,75,0),0)</f>
        <v>0</v>
      </c>
      <c r="U156" s="47">
        <f>+IFERROR(HLOOKUP(U22,'סקרי נכסים-יתרות פתיחה'!$2:$76,75,0),0)</f>
        <v>0</v>
      </c>
      <c r="V156" s="47">
        <f>+IFERROR(HLOOKUP(V22,'סקרי נכסים-יתרות פתיחה'!$2:$76,75,0),0)</f>
        <v>0</v>
      </c>
      <c r="W156" s="47">
        <f>+IFERROR(HLOOKUP(W22,'סקרי נכסים-יתרות פתיחה'!$2:$76,75,0),0)</f>
        <v>0</v>
      </c>
      <c r="X156" s="47">
        <f>+IFERROR(HLOOKUP(X22,'סקרי נכסים-יתרות פתיחה'!$2:$76,75,0),0)</f>
        <v>0</v>
      </c>
      <c r="Y156" s="47">
        <f>+IFERROR(HLOOKUP(Y22,'סקרי נכסים-יתרות פתיחה'!$2:$76,75,0),0)</f>
        <v>0</v>
      </c>
      <c r="Z156" s="47">
        <f>+IFERROR(HLOOKUP(Z22,'סקרי נכסים-יתרות פתיחה'!$2:$76,75,0),0)</f>
        <v>0</v>
      </c>
      <c r="AA156" s="47">
        <f>+IFERROR(HLOOKUP(AA22,'סקרי נכסים-יתרות פתיחה'!$2:$76,75,0),0)</f>
        <v>0</v>
      </c>
      <c r="AB156" s="47">
        <f>+IFERROR(HLOOKUP(AB22,'סקרי נכסים-יתרות פתיחה'!$2:$76,75,0),0)</f>
        <v>0</v>
      </c>
      <c r="AC156" s="47">
        <f>+IFERROR(HLOOKUP(AC22,'סקרי נכסים-יתרות פתיחה'!$2:$76,75,0),0)</f>
        <v>0</v>
      </c>
      <c r="AD156" s="47">
        <f>+IFERROR(HLOOKUP(AD22,'סקרי נכסים-יתרות פתיחה'!$2:$76,75,0),0)</f>
        <v>0</v>
      </c>
      <c r="AE156" s="47">
        <f>+IFERROR(HLOOKUP(AE22,'סקרי נכסים-יתרות פתיחה'!$2:$76,75,0),0)</f>
        <v>0</v>
      </c>
      <c r="AF156" s="47">
        <f>+IFERROR(HLOOKUP(AF22,'סקרי נכסים-יתרות פתיחה'!$2:$76,75,0),0)</f>
        <v>0</v>
      </c>
      <c r="AG156" s="47">
        <f>+IFERROR(HLOOKUP(AG22,'סקרי נכסים-יתרות פתיחה'!$2:$76,75,0),0)</f>
        <v>0</v>
      </c>
      <c r="AH156" s="47">
        <f>+IFERROR(HLOOKUP(AH22,'סקרי נכסים-יתרות פתיחה'!$2:$76,75,0),0)</f>
        <v>0</v>
      </c>
      <c r="AI156" s="47">
        <f>+IFERROR(HLOOKUP(AI22,'סקרי נכסים-יתרות פתיחה'!$2:$76,75,0),0)</f>
        <v>0</v>
      </c>
      <c r="AJ156" s="47">
        <f>+IFERROR(HLOOKUP(AJ22,'סקרי נכסים-יתרות פתיחה'!$2:$76,75,0),0)</f>
        <v>0</v>
      </c>
      <c r="AK156" s="47">
        <f>+IFERROR(HLOOKUP(AK22,'סקרי נכסים-יתרות פתיחה'!$2:$76,75,0),0)</f>
        <v>0</v>
      </c>
      <c r="AL156" s="47">
        <f>+IFERROR(HLOOKUP(AL22,'סקרי נכסים-יתרות פתיחה'!$2:$76,75,0),0)</f>
        <v>0</v>
      </c>
      <c r="AM156" s="47">
        <f>+IFERROR(HLOOKUP(AM22,'סקרי נכסים-יתרות פתיחה'!$2:$76,75,0),0)</f>
        <v>0</v>
      </c>
      <c r="AN156" s="47">
        <f>+IFERROR(HLOOKUP(AN22,'סקרי נכסים-יתרות פתיחה'!$2:$76,75,0),0)</f>
        <v>0</v>
      </c>
      <c r="AO156" s="47">
        <f>+IFERROR(HLOOKUP(AO22,'סקרי נכסים-יתרות פתיחה'!$2:$76,75,0),0)</f>
        <v>0</v>
      </c>
      <c r="AP156" s="47">
        <f>+IFERROR(HLOOKUP(AP22,'סקרי נכסים-יתרות פתיחה'!$2:$76,75,0),0)</f>
        <v>0</v>
      </c>
      <c r="AQ156" s="47">
        <f>+IFERROR(HLOOKUP(AQ22,'סקרי נכסים-יתרות פתיחה'!$2:$76,75,0),0)</f>
        <v>0</v>
      </c>
      <c r="AR156" s="47">
        <f>+IFERROR(HLOOKUP(AR22,'סקרי נכסים-יתרות פתיחה'!$2:$76,75,0),0)</f>
        <v>0</v>
      </c>
      <c r="AS156" s="47">
        <f>+IFERROR(HLOOKUP(AS22,'סקרי נכסים-יתרות פתיחה'!$2:$76,75,0),0)</f>
        <v>0</v>
      </c>
      <c r="AT156" s="47">
        <f>+IFERROR(HLOOKUP(AT22,'סקרי נכסים-יתרות פתיחה'!$2:$76,75,0),0)</f>
        <v>0</v>
      </c>
      <c r="AU156" s="47">
        <f>+IFERROR(HLOOKUP(AU22,'סקרי נכסים-יתרות פתיחה'!$2:$76,75,0),0)</f>
        <v>0</v>
      </c>
      <c r="AV156" s="47">
        <f>+IFERROR(HLOOKUP(AV22,'סקרי נכסים-יתרות פתיחה'!$2:$76,75,0),0)</f>
        <v>0</v>
      </c>
      <c r="AW156" s="47">
        <f>+IFERROR(HLOOKUP(AW22,'סקרי נכסים-יתרות פתיחה'!$2:$76,75,0),0)</f>
        <v>0</v>
      </c>
      <c r="AX156" s="47">
        <f>+IFERROR(HLOOKUP(AX22,'סקרי נכסים-יתרות פתיחה'!$2:$76,75,0),0)</f>
        <v>0</v>
      </c>
      <c r="AY156" s="47">
        <f>+IFERROR(HLOOKUP(AY22,'סקרי נכסים-יתרות פתיחה'!$2:$76,75,0),0)</f>
        <v>0</v>
      </c>
      <c r="AZ156" s="47">
        <f>+IFERROR(HLOOKUP(AZ22,'סקרי נכסים-יתרות פתיחה'!$2:$76,75,0),0)</f>
        <v>0</v>
      </c>
      <c r="BA156" s="47">
        <f>+IFERROR(HLOOKUP(BA22,'סקרי נכסים-יתרות פתיחה'!$2:$76,75,0),0)</f>
        <v>0</v>
      </c>
      <c r="BB156" s="47">
        <f>+IFERROR(HLOOKUP(BB22,'סקרי נכסים-יתרות פתיחה'!$2:$76,75,0),0)</f>
        <v>0</v>
      </c>
      <c r="BC156" s="47">
        <f>+IFERROR(HLOOKUP(BC22,'סקרי נכסים-יתרות פתיחה'!$2:$76,75,0),0)</f>
        <v>0</v>
      </c>
      <c r="BD156" s="47">
        <f>+IFERROR(HLOOKUP(BD22,'סקרי נכסים-יתרות פתיחה'!$2:$76,75,0),0)</f>
        <v>0</v>
      </c>
      <c r="BE156" s="47">
        <f>+IFERROR(HLOOKUP(BE22,'סקרי נכסים-יתרות פתיחה'!$2:$76,75,0),0)</f>
        <v>0</v>
      </c>
      <c r="BF156" s="47">
        <f>+IFERROR(HLOOKUP(BF22,'סקרי נכסים-יתרות פתיחה'!$2:$76,75,0),0)</f>
        <v>0</v>
      </c>
    </row>
    <row r="157" spans="2:58" x14ac:dyDescent="0.2">
      <c r="B157" s="1">
        <v>16</v>
      </c>
      <c r="C157" s="47">
        <f>+IFERROR(HLOOKUP(C23,'סקרי נכסים-יתרות פתיחה'!$2:$76,75,0),0)</f>
        <v>0</v>
      </c>
      <c r="D157" s="47">
        <f>+IFERROR(HLOOKUP(D23,'סקרי נכסים-יתרות פתיחה'!$2:$76,75,0),0)</f>
        <v>0</v>
      </c>
      <c r="E157" s="47">
        <f>+IFERROR(HLOOKUP(E23,'סקרי נכסים-יתרות פתיחה'!$2:$76,75,0),0)</f>
        <v>0</v>
      </c>
      <c r="F157" s="47">
        <f>+IFERROR(HLOOKUP(F23,'סקרי נכסים-יתרות פתיחה'!$2:$76,75,0),0)</f>
        <v>0</v>
      </c>
      <c r="G157" s="47">
        <f>+IFERROR(HLOOKUP(G23,'סקרי נכסים-יתרות פתיחה'!$2:$76,75,0),0)</f>
        <v>0</v>
      </c>
      <c r="H157" s="47">
        <f>+IFERROR(HLOOKUP(H23,'סקרי נכסים-יתרות פתיחה'!$2:$76,75,0),0)</f>
        <v>0</v>
      </c>
      <c r="I157" s="47">
        <f>+IFERROR(HLOOKUP(I23,'סקרי נכסים-יתרות פתיחה'!$2:$76,75,0),0)</f>
        <v>0</v>
      </c>
      <c r="J157" s="47">
        <f>+IFERROR(HLOOKUP(J23,'סקרי נכסים-יתרות פתיחה'!$2:$76,75,0),0)</f>
        <v>0</v>
      </c>
      <c r="K157" s="47">
        <f>+IFERROR(HLOOKUP(K23,'סקרי נכסים-יתרות פתיחה'!$2:$76,75,0),0)</f>
        <v>0</v>
      </c>
      <c r="L157" s="47">
        <f>+IFERROR(HLOOKUP(L23,'סקרי נכסים-יתרות פתיחה'!$2:$76,75,0),0)</f>
        <v>0</v>
      </c>
      <c r="M157" s="47">
        <f>+IFERROR(HLOOKUP(M23,'סקרי נכסים-יתרות פתיחה'!$2:$76,75,0),0)</f>
        <v>0</v>
      </c>
      <c r="N157" s="47">
        <f>+IFERROR(HLOOKUP(N23,'סקרי נכסים-יתרות פתיחה'!$2:$76,75,0),0)</f>
        <v>0</v>
      </c>
      <c r="O157" s="47">
        <f>+IFERROR(HLOOKUP(O23,'סקרי נכסים-יתרות פתיחה'!$2:$76,75,0),0)</f>
        <v>0</v>
      </c>
      <c r="P157" s="47">
        <f>+IFERROR(HLOOKUP(P23,'סקרי נכסים-יתרות פתיחה'!$2:$76,75,0),0)</f>
        <v>0</v>
      </c>
      <c r="Q157" s="47">
        <f>+IFERROR(HLOOKUP(Q23,'סקרי נכסים-יתרות פתיחה'!$2:$76,75,0),0)</f>
        <v>0</v>
      </c>
      <c r="R157" s="47">
        <f>+IFERROR(HLOOKUP(R23,'סקרי נכסים-יתרות פתיחה'!$2:$76,75,0),0)</f>
        <v>0</v>
      </c>
      <c r="S157" s="47">
        <f>+IFERROR(HLOOKUP(S23,'סקרי נכסים-יתרות פתיחה'!$2:$76,75,0),0)</f>
        <v>0</v>
      </c>
      <c r="T157" s="47">
        <f>+IFERROR(HLOOKUP(T23,'סקרי נכסים-יתרות פתיחה'!$2:$76,75,0),0)</f>
        <v>0</v>
      </c>
      <c r="U157" s="47">
        <f>+IFERROR(HLOOKUP(U23,'סקרי נכסים-יתרות פתיחה'!$2:$76,75,0),0)</f>
        <v>0</v>
      </c>
      <c r="V157" s="47">
        <f>+IFERROR(HLOOKUP(V23,'סקרי נכסים-יתרות פתיחה'!$2:$76,75,0),0)</f>
        <v>0</v>
      </c>
      <c r="W157" s="47">
        <f>+IFERROR(HLOOKUP(W23,'סקרי נכסים-יתרות פתיחה'!$2:$76,75,0),0)</f>
        <v>0</v>
      </c>
      <c r="X157" s="47">
        <f>+IFERROR(HLOOKUP(X23,'סקרי נכסים-יתרות פתיחה'!$2:$76,75,0),0)</f>
        <v>0</v>
      </c>
      <c r="Y157" s="47">
        <f>+IFERROR(HLOOKUP(Y23,'סקרי נכסים-יתרות פתיחה'!$2:$76,75,0),0)</f>
        <v>0</v>
      </c>
      <c r="Z157" s="47">
        <f>+IFERROR(HLOOKUP(Z23,'סקרי נכסים-יתרות פתיחה'!$2:$76,75,0),0)</f>
        <v>0</v>
      </c>
      <c r="AA157" s="47">
        <f>+IFERROR(HLOOKUP(AA23,'סקרי נכסים-יתרות פתיחה'!$2:$76,75,0),0)</f>
        <v>0</v>
      </c>
      <c r="AB157" s="47">
        <f>+IFERROR(HLOOKUP(AB23,'סקרי נכסים-יתרות פתיחה'!$2:$76,75,0),0)</f>
        <v>0</v>
      </c>
      <c r="AC157" s="47">
        <f>+IFERROR(HLOOKUP(AC23,'סקרי נכסים-יתרות פתיחה'!$2:$76,75,0),0)</f>
        <v>0</v>
      </c>
      <c r="AD157" s="47">
        <f>+IFERROR(HLOOKUP(AD23,'סקרי נכסים-יתרות פתיחה'!$2:$76,75,0),0)</f>
        <v>0</v>
      </c>
      <c r="AE157" s="47">
        <f>+IFERROR(HLOOKUP(AE23,'סקרי נכסים-יתרות פתיחה'!$2:$76,75,0),0)</f>
        <v>0</v>
      </c>
      <c r="AF157" s="47">
        <f>+IFERROR(HLOOKUP(AF23,'סקרי נכסים-יתרות פתיחה'!$2:$76,75,0),0)</f>
        <v>0</v>
      </c>
      <c r="AG157" s="47">
        <f>+IFERROR(HLOOKUP(AG23,'סקרי נכסים-יתרות פתיחה'!$2:$76,75,0),0)</f>
        <v>0</v>
      </c>
      <c r="AH157" s="47">
        <f>+IFERROR(HLOOKUP(AH23,'סקרי נכסים-יתרות פתיחה'!$2:$76,75,0),0)</f>
        <v>0</v>
      </c>
      <c r="AI157" s="47">
        <f>+IFERROR(HLOOKUP(AI23,'סקרי נכסים-יתרות פתיחה'!$2:$76,75,0),0)</f>
        <v>0</v>
      </c>
      <c r="AJ157" s="47">
        <f>+IFERROR(HLOOKUP(AJ23,'סקרי נכסים-יתרות פתיחה'!$2:$76,75,0),0)</f>
        <v>0</v>
      </c>
      <c r="AK157" s="47">
        <f>+IFERROR(HLOOKUP(AK23,'סקרי נכסים-יתרות פתיחה'!$2:$76,75,0),0)</f>
        <v>0</v>
      </c>
      <c r="AL157" s="47">
        <f>+IFERROR(HLOOKUP(AL23,'סקרי נכסים-יתרות פתיחה'!$2:$76,75,0),0)</f>
        <v>0</v>
      </c>
      <c r="AM157" s="47">
        <f>+IFERROR(HLOOKUP(AM23,'סקרי נכסים-יתרות פתיחה'!$2:$76,75,0),0)</f>
        <v>0</v>
      </c>
      <c r="AN157" s="47">
        <f>+IFERROR(HLOOKUP(AN23,'סקרי נכסים-יתרות פתיחה'!$2:$76,75,0),0)</f>
        <v>0</v>
      </c>
      <c r="AO157" s="47">
        <f>+IFERROR(HLOOKUP(AO23,'סקרי נכסים-יתרות פתיחה'!$2:$76,75,0),0)</f>
        <v>0</v>
      </c>
      <c r="AP157" s="47">
        <f>+IFERROR(HLOOKUP(AP23,'סקרי נכסים-יתרות פתיחה'!$2:$76,75,0),0)</f>
        <v>0</v>
      </c>
      <c r="AQ157" s="47">
        <f>+IFERROR(HLOOKUP(AQ23,'סקרי נכסים-יתרות פתיחה'!$2:$76,75,0),0)</f>
        <v>0</v>
      </c>
      <c r="AR157" s="47">
        <f>+IFERROR(HLOOKUP(AR23,'סקרי נכסים-יתרות פתיחה'!$2:$76,75,0),0)</f>
        <v>0</v>
      </c>
      <c r="AS157" s="47">
        <f>+IFERROR(HLOOKUP(AS23,'סקרי נכסים-יתרות פתיחה'!$2:$76,75,0),0)</f>
        <v>0</v>
      </c>
      <c r="AT157" s="47">
        <f>+IFERROR(HLOOKUP(AT23,'סקרי נכסים-יתרות פתיחה'!$2:$76,75,0),0)</f>
        <v>0</v>
      </c>
      <c r="AU157" s="47">
        <f>+IFERROR(HLOOKUP(AU23,'סקרי נכסים-יתרות פתיחה'!$2:$76,75,0),0)</f>
        <v>0</v>
      </c>
      <c r="AV157" s="47">
        <f>+IFERROR(HLOOKUP(AV23,'סקרי נכסים-יתרות פתיחה'!$2:$76,75,0),0)</f>
        <v>0</v>
      </c>
      <c r="AW157" s="47">
        <f>+IFERROR(HLOOKUP(AW23,'סקרי נכסים-יתרות פתיחה'!$2:$76,75,0),0)</f>
        <v>0</v>
      </c>
      <c r="AX157" s="47">
        <f>+IFERROR(HLOOKUP(AX23,'סקרי נכסים-יתרות פתיחה'!$2:$76,75,0),0)</f>
        <v>0</v>
      </c>
      <c r="AY157" s="47">
        <f>+IFERROR(HLOOKUP(AY23,'סקרי נכסים-יתרות פתיחה'!$2:$76,75,0),0)</f>
        <v>0</v>
      </c>
      <c r="AZ157" s="47">
        <f>+IFERROR(HLOOKUP(AZ23,'סקרי נכסים-יתרות פתיחה'!$2:$76,75,0),0)</f>
        <v>0</v>
      </c>
      <c r="BA157" s="47">
        <f>+IFERROR(HLOOKUP(BA23,'סקרי נכסים-יתרות פתיחה'!$2:$76,75,0),0)</f>
        <v>0</v>
      </c>
      <c r="BB157" s="47">
        <f>+IFERROR(HLOOKUP(BB23,'סקרי נכסים-יתרות פתיחה'!$2:$76,75,0),0)</f>
        <v>0</v>
      </c>
      <c r="BC157" s="47">
        <f>+IFERROR(HLOOKUP(BC23,'סקרי נכסים-יתרות פתיחה'!$2:$76,75,0),0)</f>
        <v>0</v>
      </c>
      <c r="BD157" s="47">
        <f>+IFERROR(HLOOKUP(BD23,'סקרי נכסים-יתרות פתיחה'!$2:$76,75,0),0)</f>
        <v>0</v>
      </c>
      <c r="BE157" s="47">
        <f>+IFERROR(HLOOKUP(BE23,'סקרי נכסים-יתרות פתיחה'!$2:$76,75,0),0)</f>
        <v>0</v>
      </c>
      <c r="BF157" s="47">
        <f>+IFERROR(HLOOKUP(BF23,'סקרי נכסים-יתרות פתיחה'!$2:$76,75,0),0)</f>
        <v>0</v>
      </c>
    </row>
    <row r="158" spans="2:58" x14ac:dyDescent="0.2">
      <c r="B158" s="1">
        <v>17</v>
      </c>
      <c r="C158" s="47">
        <f>+IFERROR(HLOOKUP(C24,'סקרי נכסים-יתרות פתיחה'!$2:$76,75,0),0)</f>
        <v>0</v>
      </c>
      <c r="D158" s="47">
        <f>+IFERROR(HLOOKUP(D24,'סקרי נכסים-יתרות פתיחה'!$2:$76,75,0),0)</f>
        <v>0</v>
      </c>
      <c r="E158" s="47">
        <f>+IFERROR(HLOOKUP(E24,'סקרי נכסים-יתרות פתיחה'!$2:$76,75,0),0)</f>
        <v>0</v>
      </c>
      <c r="F158" s="47">
        <f>+IFERROR(HLOOKUP(F24,'סקרי נכסים-יתרות פתיחה'!$2:$76,75,0),0)</f>
        <v>0</v>
      </c>
      <c r="G158" s="47">
        <f>+IFERROR(HLOOKUP(G24,'סקרי נכסים-יתרות פתיחה'!$2:$76,75,0),0)</f>
        <v>0</v>
      </c>
      <c r="H158" s="47">
        <f>+IFERROR(HLOOKUP(H24,'סקרי נכסים-יתרות פתיחה'!$2:$76,75,0),0)</f>
        <v>0</v>
      </c>
      <c r="I158" s="47">
        <f>+IFERROR(HLOOKUP(I24,'סקרי נכסים-יתרות פתיחה'!$2:$76,75,0),0)</f>
        <v>0</v>
      </c>
      <c r="J158" s="47">
        <f>+IFERROR(HLOOKUP(J24,'סקרי נכסים-יתרות פתיחה'!$2:$76,75,0),0)</f>
        <v>0</v>
      </c>
      <c r="K158" s="47">
        <f>+IFERROR(HLOOKUP(K24,'סקרי נכסים-יתרות פתיחה'!$2:$76,75,0),0)</f>
        <v>0</v>
      </c>
      <c r="L158" s="47">
        <f>+IFERROR(HLOOKUP(L24,'סקרי נכסים-יתרות פתיחה'!$2:$76,75,0),0)</f>
        <v>0</v>
      </c>
      <c r="M158" s="47">
        <f>+IFERROR(HLOOKUP(M24,'סקרי נכסים-יתרות פתיחה'!$2:$76,75,0),0)</f>
        <v>0</v>
      </c>
      <c r="N158" s="47">
        <f>+IFERROR(HLOOKUP(N24,'סקרי נכסים-יתרות פתיחה'!$2:$76,75,0),0)</f>
        <v>0</v>
      </c>
      <c r="O158" s="47">
        <f>+IFERROR(HLOOKUP(O24,'סקרי נכסים-יתרות פתיחה'!$2:$76,75,0),0)</f>
        <v>0</v>
      </c>
      <c r="P158" s="47">
        <f>+IFERROR(HLOOKUP(P24,'סקרי נכסים-יתרות פתיחה'!$2:$76,75,0),0)</f>
        <v>0</v>
      </c>
      <c r="Q158" s="47">
        <f>+IFERROR(HLOOKUP(Q24,'סקרי נכסים-יתרות פתיחה'!$2:$76,75,0),0)</f>
        <v>0</v>
      </c>
      <c r="R158" s="47">
        <f>+IFERROR(HLOOKUP(R24,'סקרי נכסים-יתרות פתיחה'!$2:$76,75,0),0)</f>
        <v>0</v>
      </c>
      <c r="S158" s="47">
        <f>+IFERROR(HLOOKUP(S24,'סקרי נכסים-יתרות פתיחה'!$2:$76,75,0),0)</f>
        <v>0</v>
      </c>
      <c r="T158" s="47">
        <f>+IFERROR(HLOOKUP(T24,'סקרי נכסים-יתרות פתיחה'!$2:$76,75,0),0)</f>
        <v>0</v>
      </c>
      <c r="U158" s="47">
        <f>+IFERROR(HLOOKUP(U24,'סקרי נכסים-יתרות פתיחה'!$2:$76,75,0),0)</f>
        <v>0</v>
      </c>
      <c r="V158" s="47">
        <f>+IFERROR(HLOOKUP(V24,'סקרי נכסים-יתרות פתיחה'!$2:$76,75,0),0)</f>
        <v>0</v>
      </c>
      <c r="W158" s="47">
        <f>+IFERROR(HLOOKUP(W24,'סקרי נכסים-יתרות פתיחה'!$2:$76,75,0),0)</f>
        <v>0</v>
      </c>
      <c r="X158" s="47">
        <f>+IFERROR(HLOOKUP(X24,'סקרי נכסים-יתרות פתיחה'!$2:$76,75,0),0)</f>
        <v>0</v>
      </c>
      <c r="Y158" s="47">
        <f>+IFERROR(HLOOKUP(Y24,'סקרי נכסים-יתרות פתיחה'!$2:$76,75,0),0)</f>
        <v>0</v>
      </c>
      <c r="Z158" s="47">
        <f>+IFERROR(HLOOKUP(Z24,'סקרי נכסים-יתרות פתיחה'!$2:$76,75,0),0)</f>
        <v>0</v>
      </c>
      <c r="AA158" s="47">
        <f>+IFERROR(HLOOKUP(AA24,'סקרי נכסים-יתרות פתיחה'!$2:$76,75,0),0)</f>
        <v>0</v>
      </c>
      <c r="AB158" s="47">
        <f>+IFERROR(HLOOKUP(AB24,'סקרי נכסים-יתרות פתיחה'!$2:$76,75,0),0)</f>
        <v>0</v>
      </c>
      <c r="AC158" s="47">
        <f>+IFERROR(HLOOKUP(AC24,'סקרי נכסים-יתרות פתיחה'!$2:$76,75,0),0)</f>
        <v>0</v>
      </c>
      <c r="AD158" s="47">
        <f>+IFERROR(HLOOKUP(AD24,'סקרי נכסים-יתרות פתיחה'!$2:$76,75,0),0)</f>
        <v>0</v>
      </c>
      <c r="AE158" s="47">
        <f>+IFERROR(HLOOKUP(AE24,'סקרי נכסים-יתרות פתיחה'!$2:$76,75,0),0)</f>
        <v>0</v>
      </c>
      <c r="AF158" s="47">
        <f>+IFERROR(HLOOKUP(AF24,'סקרי נכסים-יתרות פתיחה'!$2:$76,75,0),0)</f>
        <v>0</v>
      </c>
      <c r="AG158" s="47">
        <f>+IFERROR(HLOOKUP(AG24,'סקרי נכסים-יתרות פתיחה'!$2:$76,75,0),0)</f>
        <v>0</v>
      </c>
      <c r="AH158" s="47">
        <f>+IFERROR(HLOOKUP(AH24,'סקרי נכסים-יתרות פתיחה'!$2:$76,75,0),0)</f>
        <v>0</v>
      </c>
      <c r="AI158" s="47">
        <f>+IFERROR(HLOOKUP(AI24,'סקרי נכסים-יתרות פתיחה'!$2:$76,75,0),0)</f>
        <v>0</v>
      </c>
      <c r="AJ158" s="47">
        <f>+IFERROR(HLOOKUP(AJ24,'סקרי נכסים-יתרות פתיחה'!$2:$76,75,0),0)</f>
        <v>0</v>
      </c>
      <c r="AK158" s="47">
        <f>+IFERROR(HLOOKUP(AK24,'סקרי נכסים-יתרות פתיחה'!$2:$76,75,0),0)</f>
        <v>0</v>
      </c>
      <c r="AL158" s="47">
        <f>+IFERROR(HLOOKUP(AL24,'סקרי נכסים-יתרות פתיחה'!$2:$76,75,0),0)</f>
        <v>0</v>
      </c>
      <c r="AM158" s="47">
        <f>+IFERROR(HLOOKUP(AM24,'סקרי נכסים-יתרות פתיחה'!$2:$76,75,0),0)</f>
        <v>0</v>
      </c>
      <c r="AN158" s="47">
        <f>+IFERROR(HLOOKUP(AN24,'סקרי נכסים-יתרות פתיחה'!$2:$76,75,0),0)</f>
        <v>0</v>
      </c>
      <c r="AO158" s="47">
        <f>+IFERROR(HLOOKUP(AO24,'סקרי נכסים-יתרות פתיחה'!$2:$76,75,0),0)</f>
        <v>0</v>
      </c>
      <c r="AP158" s="47">
        <f>+IFERROR(HLOOKUP(AP24,'סקרי נכסים-יתרות פתיחה'!$2:$76,75,0),0)</f>
        <v>0</v>
      </c>
      <c r="AQ158" s="47">
        <f>+IFERROR(HLOOKUP(AQ24,'סקרי נכסים-יתרות פתיחה'!$2:$76,75,0),0)</f>
        <v>0</v>
      </c>
      <c r="AR158" s="47">
        <f>+IFERROR(HLOOKUP(AR24,'סקרי נכסים-יתרות פתיחה'!$2:$76,75,0),0)</f>
        <v>0</v>
      </c>
      <c r="AS158" s="47">
        <f>+IFERROR(HLOOKUP(AS24,'סקרי נכסים-יתרות פתיחה'!$2:$76,75,0),0)</f>
        <v>0</v>
      </c>
      <c r="AT158" s="47">
        <f>+IFERROR(HLOOKUP(AT24,'סקרי נכסים-יתרות פתיחה'!$2:$76,75,0),0)</f>
        <v>0</v>
      </c>
      <c r="AU158" s="47">
        <f>+IFERROR(HLOOKUP(AU24,'סקרי נכסים-יתרות פתיחה'!$2:$76,75,0),0)</f>
        <v>0</v>
      </c>
      <c r="AV158" s="47">
        <f>+IFERROR(HLOOKUP(AV24,'סקרי נכסים-יתרות פתיחה'!$2:$76,75,0),0)</f>
        <v>0</v>
      </c>
      <c r="AW158" s="47">
        <f>+IFERROR(HLOOKUP(AW24,'סקרי נכסים-יתרות פתיחה'!$2:$76,75,0),0)</f>
        <v>0</v>
      </c>
      <c r="AX158" s="47">
        <f>+IFERROR(HLOOKUP(AX24,'סקרי נכסים-יתרות פתיחה'!$2:$76,75,0),0)</f>
        <v>0</v>
      </c>
      <c r="AY158" s="47">
        <f>+IFERROR(HLOOKUP(AY24,'סקרי נכסים-יתרות פתיחה'!$2:$76,75,0),0)</f>
        <v>0</v>
      </c>
      <c r="AZ158" s="47">
        <f>+IFERROR(HLOOKUP(AZ24,'סקרי נכסים-יתרות פתיחה'!$2:$76,75,0),0)</f>
        <v>0</v>
      </c>
      <c r="BA158" s="47">
        <f>+IFERROR(HLOOKUP(BA24,'סקרי נכסים-יתרות פתיחה'!$2:$76,75,0),0)</f>
        <v>0</v>
      </c>
      <c r="BB158" s="47">
        <f>+IFERROR(HLOOKUP(BB24,'סקרי נכסים-יתרות פתיחה'!$2:$76,75,0),0)</f>
        <v>0</v>
      </c>
      <c r="BC158" s="47">
        <f>+IFERROR(HLOOKUP(BC24,'סקרי נכסים-יתרות פתיחה'!$2:$76,75,0),0)</f>
        <v>0</v>
      </c>
      <c r="BD158" s="47">
        <f>+IFERROR(HLOOKUP(BD24,'סקרי נכסים-יתרות פתיחה'!$2:$76,75,0),0)</f>
        <v>0</v>
      </c>
      <c r="BE158" s="47">
        <f>+IFERROR(HLOOKUP(BE24,'סקרי נכסים-יתרות פתיחה'!$2:$76,75,0),0)</f>
        <v>0</v>
      </c>
      <c r="BF158" s="47">
        <f>+IFERROR(HLOOKUP(BF24,'סקרי נכסים-יתרות פתיחה'!$2:$76,75,0),0)</f>
        <v>0</v>
      </c>
    </row>
    <row r="159" spans="2:58" x14ac:dyDescent="0.2">
      <c r="B159" s="1">
        <v>18</v>
      </c>
      <c r="C159" s="47">
        <f>+IFERROR(HLOOKUP(C25,'סקרי נכסים-יתרות פתיחה'!$2:$76,75,0),0)</f>
        <v>0</v>
      </c>
      <c r="D159" s="47">
        <f>+IFERROR(HLOOKUP(D25,'סקרי נכסים-יתרות פתיחה'!$2:$76,75,0),0)</f>
        <v>0</v>
      </c>
      <c r="E159" s="47">
        <f>+IFERROR(HLOOKUP(E25,'סקרי נכסים-יתרות פתיחה'!$2:$76,75,0),0)</f>
        <v>0</v>
      </c>
      <c r="F159" s="47">
        <f>+IFERROR(HLOOKUP(F25,'סקרי נכסים-יתרות פתיחה'!$2:$76,75,0),0)</f>
        <v>0</v>
      </c>
      <c r="G159" s="47">
        <f>+IFERROR(HLOOKUP(G25,'סקרי נכסים-יתרות פתיחה'!$2:$76,75,0),0)</f>
        <v>0</v>
      </c>
      <c r="H159" s="47">
        <f>+IFERROR(HLOOKUP(H25,'סקרי נכסים-יתרות פתיחה'!$2:$76,75,0),0)</f>
        <v>0</v>
      </c>
      <c r="I159" s="47">
        <f>+IFERROR(HLOOKUP(I25,'סקרי נכסים-יתרות פתיחה'!$2:$76,75,0),0)</f>
        <v>0</v>
      </c>
      <c r="J159" s="47">
        <f>+IFERROR(HLOOKUP(J25,'סקרי נכסים-יתרות פתיחה'!$2:$76,75,0),0)</f>
        <v>0</v>
      </c>
      <c r="K159" s="47">
        <f>+IFERROR(HLOOKUP(K25,'סקרי נכסים-יתרות פתיחה'!$2:$76,75,0),0)</f>
        <v>0</v>
      </c>
      <c r="L159" s="47">
        <f>+IFERROR(HLOOKUP(L25,'סקרי נכסים-יתרות פתיחה'!$2:$76,75,0),0)</f>
        <v>0</v>
      </c>
      <c r="M159" s="47">
        <f>+IFERROR(HLOOKUP(M25,'סקרי נכסים-יתרות פתיחה'!$2:$76,75,0),0)</f>
        <v>0</v>
      </c>
      <c r="N159" s="47">
        <f>+IFERROR(HLOOKUP(N25,'סקרי נכסים-יתרות פתיחה'!$2:$76,75,0),0)</f>
        <v>0</v>
      </c>
      <c r="O159" s="47">
        <f>+IFERROR(HLOOKUP(O25,'סקרי נכסים-יתרות פתיחה'!$2:$76,75,0),0)</f>
        <v>0</v>
      </c>
      <c r="P159" s="47">
        <f>+IFERROR(HLOOKUP(P25,'סקרי נכסים-יתרות פתיחה'!$2:$76,75,0),0)</f>
        <v>0</v>
      </c>
      <c r="Q159" s="47">
        <f>+IFERROR(HLOOKUP(Q25,'סקרי נכסים-יתרות פתיחה'!$2:$76,75,0),0)</f>
        <v>0</v>
      </c>
      <c r="R159" s="47">
        <f>+IFERROR(HLOOKUP(R25,'סקרי נכסים-יתרות פתיחה'!$2:$76,75,0),0)</f>
        <v>0</v>
      </c>
      <c r="S159" s="47">
        <f>+IFERROR(HLOOKUP(S25,'סקרי נכסים-יתרות פתיחה'!$2:$76,75,0),0)</f>
        <v>0</v>
      </c>
      <c r="T159" s="47">
        <f>+IFERROR(HLOOKUP(T25,'סקרי נכסים-יתרות פתיחה'!$2:$76,75,0),0)</f>
        <v>0</v>
      </c>
      <c r="U159" s="47">
        <f>+IFERROR(HLOOKUP(U25,'סקרי נכסים-יתרות פתיחה'!$2:$76,75,0),0)</f>
        <v>0</v>
      </c>
      <c r="V159" s="47">
        <f>+IFERROR(HLOOKUP(V25,'סקרי נכסים-יתרות פתיחה'!$2:$76,75,0),0)</f>
        <v>0</v>
      </c>
      <c r="W159" s="47">
        <f>+IFERROR(HLOOKUP(W25,'סקרי נכסים-יתרות פתיחה'!$2:$76,75,0),0)</f>
        <v>0</v>
      </c>
      <c r="X159" s="47">
        <f>+IFERROR(HLOOKUP(X25,'סקרי נכסים-יתרות פתיחה'!$2:$76,75,0),0)</f>
        <v>0</v>
      </c>
      <c r="Y159" s="47">
        <f>+IFERROR(HLOOKUP(Y25,'סקרי נכסים-יתרות פתיחה'!$2:$76,75,0),0)</f>
        <v>0</v>
      </c>
      <c r="Z159" s="47">
        <f>+IFERROR(HLOOKUP(Z25,'סקרי נכסים-יתרות פתיחה'!$2:$76,75,0),0)</f>
        <v>0</v>
      </c>
      <c r="AA159" s="47">
        <f>+IFERROR(HLOOKUP(AA25,'סקרי נכסים-יתרות פתיחה'!$2:$76,75,0),0)</f>
        <v>0</v>
      </c>
      <c r="AB159" s="47">
        <f>+IFERROR(HLOOKUP(AB25,'סקרי נכסים-יתרות פתיחה'!$2:$76,75,0),0)</f>
        <v>0</v>
      </c>
      <c r="AC159" s="47">
        <f>+IFERROR(HLOOKUP(AC25,'סקרי נכסים-יתרות פתיחה'!$2:$76,75,0),0)</f>
        <v>0</v>
      </c>
      <c r="AD159" s="47">
        <f>+IFERROR(HLOOKUP(AD25,'סקרי נכסים-יתרות פתיחה'!$2:$76,75,0),0)</f>
        <v>0</v>
      </c>
      <c r="AE159" s="47">
        <f>+IFERROR(HLOOKUP(AE25,'סקרי נכסים-יתרות פתיחה'!$2:$76,75,0),0)</f>
        <v>0</v>
      </c>
      <c r="AF159" s="47">
        <f>+IFERROR(HLOOKUP(AF25,'סקרי נכסים-יתרות פתיחה'!$2:$76,75,0),0)</f>
        <v>0</v>
      </c>
      <c r="AG159" s="47">
        <f>+IFERROR(HLOOKUP(AG25,'סקרי נכסים-יתרות פתיחה'!$2:$76,75,0),0)</f>
        <v>0</v>
      </c>
      <c r="AH159" s="47">
        <f>+IFERROR(HLOOKUP(AH25,'סקרי נכסים-יתרות פתיחה'!$2:$76,75,0),0)</f>
        <v>0</v>
      </c>
      <c r="AI159" s="47">
        <f>+IFERROR(HLOOKUP(AI25,'סקרי נכסים-יתרות פתיחה'!$2:$76,75,0),0)</f>
        <v>0</v>
      </c>
      <c r="AJ159" s="47">
        <f>+IFERROR(HLOOKUP(AJ25,'סקרי נכסים-יתרות פתיחה'!$2:$76,75,0),0)</f>
        <v>0</v>
      </c>
      <c r="AK159" s="47">
        <f>+IFERROR(HLOOKUP(AK25,'סקרי נכסים-יתרות פתיחה'!$2:$76,75,0),0)</f>
        <v>0</v>
      </c>
      <c r="AL159" s="47">
        <f>+IFERROR(HLOOKUP(AL25,'סקרי נכסים-יתרות פתיחה'!$2:$76,75,0),0)</f>
        <v>0</v>
      </c>
      <c r="AM159" s="47">
        <f>+IFERROR(HLOOKUP(AM25,'סקרי נכסים-יתרות פתיחה'!$2:$76,75,0),0)</f>
        <v>0</v>
      </c>
      <c r="AN159" s="47">
        <f>+IFERROR(HLOOKUP(AN25,'סקרי נכסים-יתרות פתיחה'!$2:$76,75,0),0)</f>
        <v>0</v>
      </c>
      <c r="AO159" s="47">
        <f>+IFERROR(HLOOKUP(AO25,'סקרי נכסים-יתרות פתיחה'!$2:$76,75,0),0)</f>
        <v>0</v>
      </c>
      <c r="AP159" s="47">
        <f>+IFERROR(HLOOKUP(AP25,'סקרי נכסים-יתרות פתיחה'!$2:$76,75,0),0)</f>
        <v>0</v>
      </c>
      <c r="AQ159" s="47">
        <f>+IFERROR(HLOOKUP(AQ25,'סקרי נכסים-יתרות פתיחה'!$2:$76,75,0),0)</f>
        <v>0</v>
      </c>
      <c r="AR159" s="47">
        <f>+IFERROR(HLOOKUP(AR25,'סקרי נכסים-יתרות פתיחה'!$2:$76,75,0),0)</f>
        <v>0</v>
      </c>
      <c r="AS159" s="47">
        <f>+IFERROR(HLOOKUP(AS25,'סקרי נכסים-יתרות פתיחה'!$2:$76,75,0),0)</f>
        <v>0</v>
      </c>
      <c r="AT159" s="47">
        <f>+IFERROR(HLOOKUP(AT25,'סקרי נכסים-יתרות פתיחה'!$2:$76,75,0),0)</f>
        <v>0</v>
      </c>
      <c r="AU159" s="47">
        <f>+IFERROR(HLOOKUP(AU25,'סקרי נכסים-יתרות פתיחה'!$2:$76,75,0),0)</f>
        <v>0</v>
      </c>
      <c r="AV159" s="47">
        <f>+IFERROR(HLOOKUP(AV25,'סקרי נכסים-יתרות פתיחה'!$2:$76,75,0),0)</f>
        <v>0</v>
      </c>
      <c r="AW159" s="47">
        <f>+IFERROR(HLOOKUP(AW25,'סקרי נכסים-יתרות פתיחה'!$2:$76,75,0),0)</f>
        <v>0</v>
      </c>
      <c r="AX159" s="47">
        <f>+IFERROR(HLOOKUP(AX25,'סקרי נכסים-יתרות פתיחה'!$2:$76,75,0),0)</f>
        <v>0</v>
      </c>
      <c r="AY159" s="47">
        <f>+IFERROR(HLOOKUP(AY25,'סקרי נכסים-יתרות פתיחה'!$2:$76,75,0),0)</f>
        <v>0</v>
      </c>
      <c r="AZ159" s="47">
        <f>+IFERROR(HLOOKUP(AZ25,'סקרי נכסים-יתרות פתיחה'!$2:$76,75,0),0)</f>
        <v>0</v>
      </c>
      <c r="BA159" s="47">
        <f>+IFERROR(HLOOKUP(BA25,'סקרי נכסים-יתרות פתיחה'!$2:$76,75,0),0)</f>
        <v>0</v>
      </c>
      <c r="BB159" s="47">
        <f>+IFERROR(HLOOKUP(BB25,'סקרי נכסים-יתרות פתיחה'!$2:$76,75,0),0)</f>
        <v>0</v>
      </c>
      <c r="BC159" s="47">
        <f>+IFERROR(HLOOKUP(BC25,'סקרי נכסים-יתרות פתיחה'!$2:$76,75,0),0)</f>
        <v>0</v>
      </c>
      <c r="BD159" s="47">
        <f>+IFERROR(HLOOKUP(BD25,'סקרי נכסים-יתרות פתיחה'!$2:$76,75,0),0)</f>
        <v>0</v>
      </c>
      <c r="BE159" s="47">
        <f>+IFERROR(HLOOKUP(BE25,'סקרי נכסים-יתרות פתיחה'!$2:$76,75,0),0)</f>
        <v>0</v>
      </c>
      <c r="BF159" s="47">
        <f>+IFERROR(HLOOKUP(BF25,'סקרי נכסים-יתרות פתיחה'!$2:$76,75,0),0)</f>
        <v>0</v>
      </c>
    </row>
    <row r="160" spans="2:58" x14ac:dyDescent="0.2">
      <c r="B160" s="1">
        <v>19</v>
      </c>
      <c r="C160" s="47">
        <f>+IFERROR(HLOOKUP(C26,'סקרי נכסים-יתרות פתיחה'!$2:$76,75,0),0)</f>
        <v>0</v>
      </c>
      <c r="D160" s="47">
        <f>+IFERROR(HLOOKUP(D26,'סקרי נכסים-יתרות פתיחה'!$2:$76,75,0),0)</f>
        <v>0</v>
      </c>
      <c r="E160" s="47">
        <f>+IFERROR(HLOOKUP(E26,'סקרי נכסים-יתרות פתיחה'!$2:$76,75,0),0)</f>
        <v>0</v>
      </c>
      <c r="F160" s="47">
        <f>+IFERROR(HLOOKUP(F26,'סקרי נכסים-יתרות פתיחה'!$2:$76,75,0),0)</f>
        <v>0</v>
      </c>
      <c r="G160" s="47">
        <f>+IFERROR(HLOOKUP(G26,'סקרי נכסים-יתרות פתיחה'!$2:$76,75,0),0)</f>
        <v>0</v>
      </c>
      <c r="H160" s="47">
        <f>+IFERROR(HLOOKUP(H26,'סקרי נכסים-יתרות פתיחה'!$2:$76,75,0),0)</f>
        <v>0</v>
      </c>
      <c r="I160" s="47">
        <f>+IFERROR(HLOOKUP(I26,'סקרי נכסים-יתרות פתיחה'!$2:$76,75,0),0)</f>
        <v>0</v>
      </c>
      <c r="J160" s="47">
        <f>+IFERROR(HLOOKUP(J26,'סקרי נכסים-יתרות פתיחה'!$2:$76,75,0),0)</f>
        <v>0</v>
      </c>
      <c r="K160" s="47">
        <f>+IFERROR(HLOOKUP(K26,'סקרי נכסים-יתרות פתיחה'!$2:$76,75,0),0)</f>
        <v>0</v>
      </c>
      <c r="L160" s="47">
        <f>+IFERROR(HLOOKUP(L26,'סקרי נכסים-יתרות פתיחה'!$2:$76,75,0),0)</f>
        <v>0</v>
      </c>
      <c r="M160" s="47">
        <f>+IFERROR(HLOOKUP(M26,'סקרי נכסים-יתרות פתיחה'!$2:$76,75,0),0)</f>
        <v>0</v>
      </c>
      <c r="N160" s="47">
        <f>+IFERROR(HLOOKUP(N26,'סקרי נכסים-יתרות פתיחה'!$2:$76,75,0),0)</f>
        <v>0</v>
      </c>
      <c r="O160" s="47">
        <f>+IFERROR(HLOOKUP(O26,'סקרי נכסים-יתרות פתיחה'!$2:$76,75,0),0)</f>
        <v>0</v>
      </c>
      <c r="P160" s="47">
        <f>+IFERROR(HLOOKUP(P26,'סקרי נכסים-יתרות פתיחה'!$2:$76,75,0),0)</f>
        <v>0</v>
      </c>
      <c r="Q160" s="47">
        <f>+IFERROR(HLOOKUP(Q26,'סקרי נכסים-יתרות פתיחה'!$2:$76,75,0),0)</f>
        <v>0</v>
      </c>
      <c r="R160" s="47">
        <f>+IFERROR(HLOOKUP(R26,'סקרי נכסים-יתרות פתיחה'!$2:$76,75,0),0)</f>
        <v>0</v>
      </c>
      <c r="S160" s="47">
        <f>+IFERROR(HLOOKUP(S26,'סקרי נכסים-יתרות פתיחה'!$2:$76,75,0),0)</f>
        <v>0</v>
      </c>
      <c r="T160" s="47">
        <f>+IFERROR(HLOOKUP(T26,'סקרי נכסים-יתרות פתיחה'!$2:$76,75,0),0)</f>
        <v>0</v>
      </c>
      <c r="U160" s="47">
        <f>+IFERROR(HLOOKUP(U26,'סקרי נכסים-יתרות פתיחה'!$2:$76,75,0),0)</f>
        <v>0</v>
      </c>
      <c r="V160" s="47">
        <f>+IFERROR(HLOOKUP(V26,'סקרי נכסים-יתרות פתיחה'!$2:$76,75,0),0)</f>
        <v>0</v>
      </c>
      <c r="W160" s="47">
        <f>+IFERROR(HLOOKUP(W26,'סקרי נכסים-יתרות פתיחה'!$2:$76,75,0),0)</f>
        <v>0</v>
      </c>
      <c r="X160" s="47">
        <f>+IFERROR(HLOOKUP(X26,'סקרי נכסים-יתרות פתיחה'!$2:$76,75,0),0)</f>
        <v>0</v>
      </c>
      <c r="Y160" s="47">
        <f>+IFERROR(HLOOKUP(Y26,'סקרי נכסים-יתרות פתיחה'!$2:$76,75,0),0)</f>
        <v>0</v>
      </c>
      <c r="Z160" s="47">
        <f>+IFERROR(HLOOKUP(Z26,'סקרי נכסים-יתרות פתיחה'!$2:$76,75,0),0)</f>
        <v>0</v>
      </c>
      <c r="AA160" s="47">
        <f>+IFERROR(HLOOKUP(AA26,'סקרי נכסים-יתרות פתיחה'!$2:$76,75,0),0)</f>
        <v>0</v>
      </c>
      <c r="AB160" s="47">
        <f>+IFERROR(HLOOKUP(AB26,'סקרי נכסים-יתרות פתיחה'!$2:$76,75,0),0)</f>
        <v>0</v>
      </c>
      <c r="AC160" s="47">
        <f>+IFERROR(HLOOKUP(AC26,'סקרי נכסים-יתרות פתיחה'!$2:$76,75,0),0)</f>
        <v>0</v>
      </c>
      <c r="AD160" s="47">
        <f>+IFERROR(HLOOKUP(AD26,'סקרי נכסים-יתרות פתיחה'!$2:$76,75,0),0)</f>
        <v>0</v>
      </c>
      <c r="AE160" s="47">
        <f>+IFERROR(HLOOKUP(AE26,'סקרי נכסים-יתרות פתיחה'!$2:$76,75,0),0)</f>
        <v>0</v>
      </c>
      <c r="AF160" s="47">
        <f>+IFERROR(HLOOKUP(AF26,'סקרי נכסים-יתרות פתיחה'!$2:$76,75,0),0)</f>
        <v>0</v>
      </c>
      <c r="AG160" s="47">
        <f>+IFERROR(HLOOKUP(AG26,'סקרי נכסים-יתרות פתיחה'!$2:$76,75,0),0)</f>
        <v>0</v>
      </c>
      <c r="AH160" s="47">
        <f>+IFERROR(HLOOKUP(AH26,'סקרי נכסים-יתרות פתיחה'!$2:$76,75,0),0)</f>
        <v>0</v>
      </c>
      <c r="AI160" s="47">
        <f>+IFERROR(HLOOKUP(AI26,'סקרי נכסים-יתרות פתיחה'!$2:$76,75,0),0)</f>
        <v>0</v>
      </c>
      <c r="AJ160" s="47">
        <f>+IFERROR(HLOOKUP(AJ26,'סקרי נכסים-יתרות פתיחה'!$2:$76,75,0),0)</f>
        <v>0</v>
      </c>
      <c r="AK160" s="47">
        <f>+IFERROR(HLOOKUP(AK26,'סקרי נכסים-יתרות פתיחה'!$2:$76,75,0),0)</f>
        <v>0</v>
      </c>
      <c r="AL160" s="47">
        <f>+IFERROR(HLOOKUP(AL26,'סקרי נכסים-יתרות פתיחה'!$2:$76,75,0),0)</f>
        <v>0</v>
      </c>
      <c r="AM160" s="47">
        <f>+IFERROR(HLOOKUP(AM26,'סקרי נכסים-יתרות פתיחה'!$2:$76,75,0),0)</f>
        <v>0</v>
      </c>
      <c r="AN160" s="47">
        <f>+IFERROR(HLOOKUP(AN26,'סקרי נכסים-יתרות פתיחה'!$2:$76,75,0),0)</f>
        <v>0</v>
      </c>
      <c r="AO160" s="47">
        <f>+IFERROR(HLOOKUP(AO26,'סקרי נכסים-יתרות פתיחה'!$2:$76,75,0),0)</f>
        <v>0</v>
      </c>
      <c r="AP160" s="47">
        <f>+IFERROR(HLOOKUP(AP26,'סקרי נכסים-יתרות פתיחה'!$2:$76,75,0),0)</f>
        <v>0</v>
      </c>
      <c r="AQ160" s="47">
        <f>+IFERROR(HLOOKUP(AQ26,'סקרי נכסים-יתרות פתיחה'!$2:$76,75,0),0)</f>
        <v>0</v>
      </c>
      <c r="AR160" s="47">
        <f>+IFERROR(HLOOKUP(AR26,'סקרי נכסים-יתרות פתיחה'!$2:$76,75,0),0)</f>
        <v>0</v>
      </c>
      <c r="AS160" s="47">
        <f>+IFERROR(HLOOKUP(AS26,'סקרי נכסים-יתרות פתיחה'!$2:$76,75,0),0)</f>
        <v>0</v>
      </c>
      <c r="AT160" s="47">
        <f>+IFERROR(HLOOKUP(AT26,'סקרי נכסים-יתרות פתיחה'!$2:$76,75,0),0)</f>
        <v>0</v>
      </c>
      <c r="AU160" s="47">
        <f>+IFERROR(HLOOKUP(AU26,'סקרי נכסים-יתרות פתיחה'!$2:$76,75,0),0)</f>
        <v>0</v>
      </c>
      <c r="AV160" s="47">
        <f>+IFERROR(HLOOKUP(AV26,'סקרי נכסים-יתרות פתיחה'!$2:$76,75,0),0)</f>
        <v>0</v>
      </c>
      <c r="AW160" s="47">
        <f>+IFERROR(HLOOKUP(AW26,'סקרי נכסים-יתרות פתיחה'!$2:$76,75,0),0)</f>
        <v>0</v>
      </c>
      <c r="AX160" s="47">
        <f>+IFERROR(HLOOKUP(AX26,'סקרי נכסים-יתרות פתיחה'!$2:$76,75,0),0)</f>
        <v>0</v>
      </c>
      <c r="AY160" s="47">
        <f>+IFERROR(HLOOKUP(AY26,'סקרי נכסים-יתרות פתיחה'!$2:$76,75,0),0)</f>
        <v>0</v>
      </c>
      <c r="AZ160" s="47">
        <f>+IFERROR(HLOOKUP(AZ26,'סקרי נכסים-יתרות פתיחה'!$2:$76,75,0),0)</f>
        <v>0</v>
      </c>
      <c r="BA160" s="47">
        <f>+IFERROR(HLOOKUP(BA26,'סקרי נכסים-יתרות פתיחה'!$2:$76,75,0),0)</f>
        <v>0</v>
      </c>
      <c r="BB160" s="47">
        <f>+IFERROR(HLOOKUP(BB26,'סקרי נכסים-יתרות פתיחה'!$2:$76,75,0),0)</f>
        <v>0</v>
      </c>
      <c r="BC160" s="47">
        <f>+IFERROR(HLOOKUP(BC26,'סקרי נכסים-יתרות פתיחה'!$2:$76,75,0),0)</f>
        <v>0</v>
      </c>
      <c r="BD160" s="47">
        <f>+IFERROR(HLOOKUP(BD26,'סקרי נכסים-יתרות פתיחה'!$2:$76,75,0),0)</f>
        <v>0</v>
      </c>
      <c r="BE160" s="47">
        <f>+IFERROR(HLOOKUP(BE26,'סקרי נכסים-יתרות פתיחה'!$2:$76,75,0),0)</f>
        <v>0</v>
      </c>
      <c r="BF160" s="47">
        <f>+IFERROR(HLOOKUP(BF26,'סקרי נכסים-יתרות פתיחה'!$2:$76,75,0),0)</f>
        <v>0</v>
      </c>
    </row>
    <row r="161" spans="1:58" x14ac:dyDescent="0.2">
      <c r="B161" s="1">
        <v>20</v>
      </c>
      <c r="C161" s="47">
        <f>+IFERROR(HLOOKUP(C27,'סקרי נכסים-יתרות פתיחה'!$2:$76,75,0),0)</f>
        <v>0</v>
      </c>
      <c r="D161" s="47">
        <f>+IFERROR(HLOOKUP(D27,'סקרי נכסים-יתרות פתיחה'!$2:$76,75,0),0)</f>
        <v>0</v>
      </c>
      <c r="E161" s="47">
        <f>+IFERROR(HLOOKUP(E27,'סקרי נכסים-יתרות פתיחה'!$2:$76,75,0),0)</f>
        <v>0</v>
      </c>
      <c r="F161" s="47">
        <f>+IFERROR(HLOOKUP(F27,'סקרי נכסים-יתרות פתיחה'!$2:$76,75,0),0)</f>
        <v>0</v>
      </c>
      <c r="G161" s="47">
        <f>+IFERROR(HLOOKUP(G27,'סקרי נכסים-יתרות פתיחה'!$2:$76,75,0),0)</f>
        <v>0</v>
      </c>
      <c r="H161" s="47">
        <f>+IFERROR(HLOOKUP(H27,'סקרי נכסים-יתרות פתיחה'!$2:$76,75,0),0)</f>
        <v>0</v>
      </c>
      <c r="I161" s="47">
        <f>+IFERROR(HLOOKUP(I27,'סקרי נכסים-יתרות פתיחה'!$2:$76,75,0),0)</f>
        <v>0</v>
      </c>
      <c r="J161" s="47">
        <f>+IFERROR(HLOOKUP(J27,'סקרי נכסים-יתרות פתיחה'!$2:$76,75,0),0)</f>
        <v>0</v>
      </c>
      <c r="K161" s="47">
        <f>+IFERROR(HLOOKUP(K27,'סקרי נכסים-יתרות פתיחה'!$2:$76,75,0),0)</f>
        <v>0</v>
      </c>
      <c r="L161" s="47">
        <f>+IFERROR(HLOOKUP(L27,'סקרי נכסים-יתרות פתיחה'!$2:$76,75,0),0)</f>
        <v>0</v>
      </c>
      <c r="M161" s="47">
        <f>+IFERROR(HLOOKUP(M27,'סקרי נכסים-יתרות פתיחה'!$2:$76,75,0),0)</f>
        <v>0</v>
      </c>
      <c r="N161" s="47">
        <f>+IFERROR(HLOOKUP(N27,'סקרי נכסים-יתרות פתיחה'!$2:$76,75,0),0)</f>
        <v>0</v>
      </c>
      <c r="O161" s="47">
        <f>+IFERROR(HLOOKUP(O27,'סקרי נכסים-יתרות פתיחה'!$2:$76,75,0),0)</f>
        <v>0</v>
      </c>
      <c r="P161" s="47">
        <f>+IFERROR(HLOOKUP(P27,'סקרי נכסים-יתרות פתיחה'!$2:$76,75,0),0)</f>
        <v>0</v>
      </c>
      <c r="Q161" s="47">
        <f>+IFERROR(HLOOKUP(Q27,'סקרי נכסים-יתרות פתיחה'!$2:$76,75,0),0)</f>
        <v>0</v>
      </c>
      <c r="R161" s="47">
        <f>+IFERROR(HLOOKUP(R27,'סקרי נכסים-יתרות פתיחה'!$2:$76,75,0),0)</f>
        <v>0</v>
      </c>
      <c r="S161" s="47">
        <f>+IFERROR(HLOOKUP(S27,'סקרי נכסים-יתרות פתיחה'!$2:$76,75,0),0)</f>
        <v>0</v>
      </c>
      <c r="T161" s="47">
        <f>+IFERROR(HLOOKUP(T27,'סקרי נכסים-יתרות פתיחה'!$2:$76,75,0),0)</f>
        <v>0</v>
      </c>
      <c r="U161" s="47">
        <f>+IFERROR(HLOOKUP(U27,'סקרי נכסים-יתרות פתיחה'!$2:$76,75,0),0)</f>
        <v>0</v>
      </c>
      <c r="V161" s="47">
        <f>+IFERROR(HLOOKUP(V27,'סקרי נכסים-יתרות פתיחה'!$2:$76,75,0),0)</f>
        <v>0</v>
      </c>
      <c r="W161" s="47">
        <f>+IFERROR(HLOOKUP(W27,'סקרי נכסים-יתרות פתיחה'!$2:$76,75,0),0)</f>
        <v>0</v>
      </c>
      <c r="X161" s="47">
        <f>+IFERROR(HLOOKUP(X27,'סקרי נכסים-יתרות פתיחה'!$2:$76,75,0),0)</f>
        <v>0</v>
      </c>
      <c r="Y161" s="47">
        <f>+IFERROR(HLOOKUP(Y27,'סקרי נכסים-יתרות פתיחה'!$2:$76,75,0),0)</f>
        <v>0</v>
      </c>
      <c r="Z161" s="47">
        <f>+IFERROR(HLOOKUP(Z27,'סקרי נכסים-יתרות פתיחה'!$2:$76,75,0),0)</f>
        <v>0</v>
      </c>
      <c r="AA161" s="47">
        <f>+IFERROR(HLOOKUP(AA27,'סקרי נכסים-יתרות פתיחה'!$2:$76,75,0),0)</f>
        <v>0</v>
      </c>
      <c r="AB161" s="47">
        <f>+IFERROR(HLOOKUP(AB27,'סקרי נכסים-יתרות פתיחה'!$2:$76,75,0),0)</f>
        <v>0</v>
      </c>
      <c r="AC161" s="47">
        <f>+IFERROR(HLOOKUP(AC27,'סקרי נכסים-יתרות פתיחה'!$2:$76,75,0),0)</f>
        <v>0</v>
      </c>
      <c r="AD161" s="47">
        <f>+IFERROR(HLOOKUP(AD27,'סקרי נכסים-יתרות פתיחה'!$2:$76,75,0),0)</f>
        <v>0</v>
      </c>
      <c r="AE161" s="47">
        <f>+IFERROR(HLOOKUP(AE27,'סקרי נכסים-יתרות פתיחה'!$2:$76,75,0),0)</f>
        <v>0</v>
      </c>
      <c r="AF161" s="47">
        <f>+IFERROR(HLOOKUP(AF27,'סקרי נכסים-יתרות פתיחה'!$2:$76,75,0),0)</f>
        <v>0</v>
      </c>
      <c r="AG161" s="47">
        <f>+IFERROR(HLOOKUP(AG27,'סקרי נכסים-יתרות פתיחה'!$2:$76,75,0),0)</f>
        <v>0</v>
      </c>
      <c r="AH161" s="47">
        <f>+IFERROR(HLOOKUP(AH27,'סקרי נכסים-יתרות פתיחה'!$2:$76,75,0),0)</f>
        <v>0</v>
      </c>
      <c r="AI161" s="47">
        <f>+IFERROR(HLOOKUP(AI27,'סקרי נכסים-יתרות פתיחה'!$2:$76,75,0),0)</f>
        <v>0</v>
      </c>
      <c r="AJ161" s="47">
        <f>+IFERROR(HLOOKUP(AJ27,'סקרי נכסים-יתרות פתיחה'!$2:$76,75,0),0)</f>
        <v>0</v>
      </c>
      <c r="AK161" s="47">
        <f>+IFERROR(HLOOKUP(AK27,'סקרי נכסים-יתרות פתיחה'!$2:$76,75,0),0)</f>
        <v>0</v>
      </c>
      <c r="AL161" s="47">
        <f>+IFERROR(HLOOKUP(AL27,'סקרי נכסים-יתרות פתיחה'!$2:$76,75,0),0)</f>
        <v>0</v>
      </c>
      <c r="AM161" s="47">
        <f>+IFERROR(HLOOKUP(AM27,'סקרי נכסים-יתרות פתיחה'!$2:$76,75,0),0)</f>
        <v>0</v>
      </c>
      <c r="AN161" s="47">
        <f>+IFERROR(HLOOKUP(AN27,'סקרי נכסים-יתרות פתיחה'!$2:$76,75,0),0)</f>
        <v>0</v>
      </c>
      <c r="AO161" s="47">
        <f>+IFERROR(HLOOKUP(AO27,'סקרי נכסים-יתרות פתיחה'!$2:$76,75,0),0)</f>
        <v>0</v>
      </c>
      <c r="AP161" s="47">
        <f>+IFERROR(HLOOKUP(AP27,'סקרי נכסים-יתרות פתיחה'!$2:$76,75,0),0)</f>
        <v>0</v>
      </c>
      <c r="AQ161" s="47">
        <f>+IFERROR(HLOOKUP(AQ27,'סקרי נכסים-יתרות פתיחה'!$2:$76,75,0),0)</f>
        <v>0</v>
      </c>
      <c r="AR161" s="47">
        <f>+IFERROR(HLOOKUP(AR27,'סקרי נכסים-יתרות פתיחה'!$2:$76,75,0),0)</f>
        <v>0</v>
      </c>
      <c r="AS161" s="47">
        <f>+IFERROR(HLOOKUP(AS27,'סקרי נכסים-יתרות פתיחה'!$2:$76,75,0),0)</f>
        <v>0</v>
      </c>
      <c r="AT161" s="47">
        <f>+IFERROR(HLOOKUP(AT27,'סקרי נכסים-יתרות פתיחה'!$2:$76,75,0),0)</f>
        <v>0</v>
      </c>
      <c r="AU161" s="47">
        <f>+IFERROR(HLOOKUP(AU27,'סקרי נכסים-יתרות פתיחה'!$2:$76,75,0),0)</f>
        <v>0</v>
      </c>
      <c r="AV161" s="47">
        <f>+IFERROR(HLOOKUP(AV27,'סקרי נכסים-יתרות פתיחה'!$2:$76,75,0),0)</f>
        <v>0</v>
      </c>
      <c r="AW161" s="47">
        <f>+IFERROR(HLOOKUP(AW27,'סקרי נכסים-יתרות פתיחה'!$2:$76,75,0),0)</f>
        <v>0</v>
      </c>
      <c r="AX161" s="47">
        <f>+IFERROR(HLOOKUP(AX27,'סקרי נכסים-יתרות פתיחה'!$2:$76,75,0),0)</f>
        <v>0</v>
      </c>
      <c r="AY161" s="47">
        <f>+IFERROR(HLOOKUP(AY27,'סקרי נכסים-יתרות פתיחה'!$2:$76,75,0),0)</f>
        <v>0</v>
      </c>
      <c r="AZ161" s="47">
        <f>+IFERROR(HLOOKUP(AZ27,'סקרי נכסים-יתרות פתיחה'!$2:$76,75,0),0)</f>
        <v>0</v>
      </c>
      <c r="BA161" s="47">
        <f>+IFERROR(HLOOKUP(BA27,'סקרי נכסים-יתרות פתיחה'!$2:$76,75,0),0)</f>
        <v>0</v>
      </c>
      <c r="BB161" s="47">
        <f>+IFERROR(HLOOKUP(BB27,'סקרי נכסים-יתרות פתיחה'!$2:$76,75,0),0)</f>
        <v>0</v>
      </c>
      <c r="BC161" s="47">
        <f>+IFERROR(HLOOKUP(BC27,'סקרי נכסים-יתרות פתיחה'!$2:$76,75,0),0)</f>
        <v>0</v>
      </c>
      <c r="BD161" s="47">
        <f>+IFERROR(HLOOKUP(BD27,'סקרי נכסים-יתרות פתיחה'!$2:$76,75,0),0)</f>
        <v>0</v>
      </c>
      <c r="BE161" s="47">
        <f>+IFERROR(HLOOKUP(BE27,'סקרי נכסים-יתרות פתיחה'!$2:$76,75,0),0)</f>
        <v>0</v>
      </c>
      <c r="BF161" s="47">
        <f>+IFERROR(HLOOKUP(BF27,'סקרי נכסים-יתרות פתיחה'!$2:$76,75,0),0)</f>
        <v>0</v>
      </c>
    </row>
    <row r="162" spans="1:58" x14ac:dyDescent="0.2">
      <c r="B162" s="1">
        <v>21</v>
      </c>
      <c r="C162" s="47">
        <f>+IFERROR(HLOOKUP(C28,'סקרי נכסים-יתרות פתיחה'!$2:$76,75,0),0)</f>
        <v>0</v>
      </c>
      <c r="D162" s="47">
        <f>+IFERROR(HLOOKUP(D28,'סקרי נכסים-יתרות פתיחה'!$2:$76,75,0),0)</f>
        <v>0</v>
      </c>
      <c r="E162" s="47">
        <f>+IFERROR(HLOOKUP(E28,'סקרי נכסים-יתרות פתיחה'!$2:$76,75,0),0)</f>
        <v>0</v>
      </c>
      <c r="F162" s="47">
        <f>+IFERROR(HLOOKUP(F28,'סקרי נכסים-יתרות פתיחה'!$2:$76,75,0),0)</f>
        <v>0</v>
      </c>
      <c r="G162" s="47">
        <f>+IFERROR(HLOOKUP(G28,'סקרי נכסים-יתרות פתיחה'!$2:$76,75,0),0)</f>
        <v>0</v>
      </c>
      <c r="H162" s="47">
        <f>+IFERROR(HLOOKUP(H28,'סקרי נכסים-יתרות פתיחה'!$2:$76,75,0),0)</f>
        <v>0</v>
      </c>
      <c r="I162" s="47">
        <f>+IFERROR(HLOOKUP(I28,'סקרי נכסים-יתרות פתיחה'!$2:$76,75,0),0)</f>
        <v>0</v>
      </c>
      <c r="J162" s="47">
        <f>+IFERROR(HLOOKUP(J28,'סקרי נכסים-יתרות פתיחה'!$2:$76,75,0),0)</f>
        <v>0</v>
      </c>
      <c r="K162" s="47">
        <f>+IFERROR(HLOOKUP(K28,'סקרי נכסים-יתרות פתיחה'!$2:$76,75,0),0)</f>
        <v>0</v>
      </c>
      <c r="L162" s="47">
        <f>+IFERROR(HLOOKUP(L28,'סקרי נכסים-יתרות פתיחה'!$2:$76,75,0),0)</f>
        <v>0</v>
      </c>
      <c r="M162" s="47">
        <f>+IFERROR(HLOOKUP(M28,'סקרי נכסים-יתרות פתיחה'!$2:$76,75,0),0)</f>
        <v>0</v>
      </c>
      <c r="N162" s="47">
        <f>+IFERROR(HLOOKUP(N28,'סקרי נכסים-יתרות פתיחה'!$2:$76,75,0),0)</f>
        <v>0</v>
      </c>
      <c r="O162" s="47">
        <f>+IFERROR(HLOOKUP(O28,'סקרי נכסים-יתרות פתיחה'!$2:$76,75,0),0)</f>
        <v>0</v>
      </c>
      <c r="P162" s="47">
        <f>+IFERROR(HLOOKUP(P28,'סקרי נכסים-יתרות פתיחה'!$2:$76,75,0),0)</f>
        <v>0</v>
      </c>
      <c r="Q162" s="47">
        <f>+IFERROR(HLOOKUP(Q28,'סקרי נכסים-יתרות פתיחה'!$2:$76,75,0),0)</f>
        <v>0</v>
      </c>
      <c r="R162" s="47">
        <f>+IFERROR(HLOOKUP(R28,'סקרי נכסים-יתרות פתיחה'!$2:$76,75,0),0)</f>
        <v>0</v>
      </c>
      <c r="S162" s="47">
        <f>+IFERROR(HLOOKUP(S28,'סקרי נכסים-יתרות פתיחה'!$2:$76,75,0),0)</f>
        <v>0</v>
      </c>
      <c r="T162" s="47">
        <f>+IFERROR(HLOOKUP(T28,'סקרי נכסים-יתרות פתיחה'!$2:$76,75,0),0)</f>
        <v>0</v>
      </c>
      <c r="U162" s="47">
        <f>+IFERROR(HLOOKUP(U28,'סקרי נכסים-יתרות פתיחה'!$2:$76,75,0),0)</f>
        <v>0</v>
      </c>
      <c r="V162" s="47">
        <f>+IFERROR(HLOOKUP(V28,'סקרי נכסים-יתרות פתיחה'!$2:$76,75,0),0)</f>
        <v>0</v>
      </c>
      <c r="W162" s="47">
        <f>+IFERROR(HLOOKUP(W28,'סקרי נכסים-יתרות פתיחה'!$2:$76,75,0),0)</f>
        <v>0</v>
      </c>
      <c r="X162" s="47">
        <f>+IFERROR(HLOOKUP(X28,'סקרי נכסים-יתרות פתיחה'!$2:$76,75,0),0)</f>
        <v>0</v>
      </c>
      <c r="Y162" s="47">
        <f>+IFERROR(HLOOKUP(Y28,'סקרי נכסים-יתרות פתיחה'!$2:$76,75,0),0)</f>
        <v>0</v>
      </c>
      <c r="Z162" s="47">
        <f>+IFERROR(HLOOKUP(Z28,'סקרי נכסים-יתרות פתיחה'!$2:$76,75,0),0)</f>
        <v>0</v>
      </c>
      <c r="AA162" s="47">
        <f>+IFERROR(HLOOKUP(AA28,'סקרי נכסים-יתרות פתיחה'!$2:$76,75,0),0)</f>
        <v>0</v>
      </c>
      <c r="AB162" s="47">
        <f>+IFERROR(HLOOKUP(AB28,'סקרי נכסים-יתרות פתיחה'!$2:$76,75,0),0)</f>
        <v>0</v>
      </c>
      <c r="AC162" s="47">
        <f>+IFERROR(HLOOKUP(AC28,'סקרי נכסים-יתרות פתיחה'!$2:$76,75,0),0)</f>
        <v>0</v>
      </c>
      <c r="AD162" s="47">
        <f>+IFERROR(HLOOKUP(AD28,'סקרי נכסים-יתרות פתיחה'!$2:$76,75,0),0)</f>
        <v>0</v>
      </c>
      <c r="AE162" s="47">
        <f>+IFERROR(HLOOKUP(AE28,'סקרי נכסים-יתרות פתיחה'!$2:$76,75,0),0)</f>
        <v>0</v>
      </c>
      <c r="AF162" s="47">
        <f>+IFERROR(HLOOKUP(AF28,'סקרי נכסים-יתרות פתיחה'!$2:$76,75,0),0)</f>
        <v>0</v>
      </c>
      <c r="AG162" s="47">
        <f>+IFERROR(HLOOKUP(AG28,'סקרי נכסים-יתרות פתיחה'!$2:$76,75,0),0)</f>
        <v>0</v>
      </c>
      <c r="AH162" s="47">
        <f>+IFERROR(HLOOKUP(AH28,'סקרי נכסים-יתרות פתיחה'!$2:$76,75,0),0)</f>
        <v>0</v>
      </c>
      <c r="AI162" s="47">
        <f>+IFERROR(HLOOKUP(AI28,'סקרי נכסים-יתרות פתיחה'!$2:$76,75,0),0)</f>
        <v>0</v>
      </c>
      <c r="AJ162" s="47">
        <f>+IFERROR(HLOOKUP(AJ28,'סקרי נכסים-יתרות פתיחה'!$2:$76,75,0),0)</f>
        <v>0</v>
      </c>
      <c r="AK162" s="47">
        <f>+IFERROR(HLOOKUP(AK28,'סקרי נכסים-יתרות פתיחה'!$2:$76,75,0),0)</f>
        <v>0</v>
      </c>
      <c r="AL162" s="47">
        <f>+IFERROR(HLOOKUP(AL28,'סקרי נכסים-יתרות פתיחה'!$2:$76,75,0),0)</f>
        <v>0</v>
      </c>
      <c r="AM162" s="47">
        <f>+IFERROR(HLOOKUP(AM28,'סקרי נכסים-יתרות פתיחה'!$2:$76,75,0),0)</f>
        <v>0</v>
      </c>
      <c r="AN162" s="47">
        <f>+IFERROR(HLOOKUP(AN28,'סקרי נכסים-יתרות פתיחה'!$2:$76,75,0),0)</f>
        <v>0</v>
      </c>
      <c r="AO162" s="47">
        <f>+IFERROR(HLOOKUP(AO28,'סקרי נכסים-יתרות פתיחה'!$2:$76,75,0),0)</f>
        <v>0</v>
      </c>
      <c r="AP162" s="47">
        <f>+IFERROR(HLOOKUP(AP28,'סקרי נכסים-יתרות פתיחה'!$2:$76,75,0),0)</f>
        <v>0</v>
      </c>
      <c r="AQ162" s="47">
        <f>+IFERROR(HLOOKUP(AQ28,'סקרי נכסים-יתרות פתיחה'!$2:$76,75,0),0)</f>
        <v>0</v>
      </c>
      <c r="AR162" s="47">
        <f>+IFERROR(HLOOKUP(AR28,'סקרי נכסים-יתרות פתיחה'!$2:$76,75,0),0)</f>
        <v>0</v>
      </c>
      <c r="AS162" s="47">
        <f>+IFERROR(HLOOKUP(AS28,'סקרי נכסים-יתרות פתיחה'!$2:$76,75,0),0)</f>
        <v>0</v>
      </c>
      <c r="AT162" s="47">
        <f>+IFERROR(HLOOKUP(AT28,'סקרי נכסים-יתרות פתיחה'!$2:$76,75,0),0)</f>
        <v>0</v>
      </c>
      <c r="AU162" s="47">
        <f>+IFERROR(HLOOKUP(AU28,'סקרי נכסים-יתרות פתיחה'!$2:$76,75,0),0)</f>
        <v>0</v>
      </c>
      <c r="AV162" s="47">
        <f>+IFERROR(HLOOKUP(AV28,'סקרי נכסים-יתרות פתיחה'!$2:$76,75,0),0)</f>
        <v>0</v>
      </c>
      <c r="AW162" s="47">
        <f>+IFERROR(HLOOKUP(AW28,'סקרי נכסים-יתרות פתיחה'!$2:$76,75,0),0)</f>
        <v>0</v>
      </c>
      <c r="AX162" s="47">
        <f>+IFERROR(HLOOKUP(AX28,'סקרי נכסים-יתרות פתיחה'!$2:$76,75,0),0)</f>
        <v>0</v>
      </c>
      <c r="AY162" s="47">
        <f>+IFERROR(HLOOKUP(AY28,'סקרי נכסים-יתרות פתיחה'!$2:$76,75,0),0)</f>
        <v>0</v>
      </c>
      <c r="AZ162" s="47">
        <f>+IFERROR(HLOOKUP(AZ28,'סקרי נכסים-יתרות פתיחה'!$2:$76,75,0),0)</f>
        <v>0</v>
      </c>
      <c r="BA162" s="47">
        <f>+IFERROR(HLOOKUP(BA28,'סקרי נכסים-יתרות פתיחה'!$2:$76,75,0),0)</f>
        <v>0</v>
      </c>
      <c r="BB162" s="47">
        <f>+IFERROR(HLOOKUP(BB28,'סקרי נכסים-יתרות פתיחה'!$2:$76,75,0),0)</f>
        <v>0</v>
      </c>
      <c r="BC162" s="47">
        <f>+IFERROR(HLOOKUP(BC28,'סקרי נכסים-יתרות פתיחה'!$2:$76,75,0),0)</f>
        <v>0</v>
      </c>
      <c r="BD162" s="47">
        <f>+IFERROR(HLOOKUP(BD28,'סקרי נכסים-יתרות פתיחה'!$2:$76,75,0),0)</f>
        <v>0</v>
      </c>
      <c r="BE162" s="47">
        <f>+IFERROR(HLOOKUP(BE28,'סקרי נכסים-יתרות פתיחה'!$2:$76,75,0),0)</f>
        <v>0</v>
      </c>
      <c r="BF162" s="47">
        <f>+IFERROR(HLOOKUP(BF28,'סקרי נכסים-יתרות פתיחה'!$2:$76,75,0),0)</f>
        <v>0</v>
      </c>
    </row>
    <row r="163" spans="1:58" x14ac:dyDescent="0.2">
      <c r="B163" s="1">
        <v>22</v>
      </c>
      <c r="C163" s="47">
        <f>+IFERROR(HLOOKUP(C29,'סקרי נכסים-יתרות פתיחה'!$2:$76,75,0),0)</f>
        <v>0</v>
      </c>
      <c r="D163" s="47">
        <f>+IFERROR(HLOOKUP(D29,'סקרי נכסים-יתרות פתיחה'!$2:$76,75,0),0)</f>
        <v>0</v>
      </c>
      <c r="E163" s="47">
        <f>+IFERROR(HLOOKUP(E29,'סקרי נכסים-יתרות פתיחה'!$2:$76,75,0),0)</f>
        <v>0</v>
      </c>
      <c r="F163" s="47">
        <f>+IFERROR(HLOOKUP(F29,'סקרי נכסים-יתרות פתיחה'!$2:$76,75,0),0)</f>
        <v>0</v>
      </c>
      <c r="G163" s="47">
        <f>+IFERROR(HLOOKUP(G29,'סקרי נכסים-יתרות פתיחה'!$2:$76,75,0),0)</f>
        <v>0</v>
      </c>
      <c r="H163" s="47">
        <f>+IFERROR(HLOOKUP(H29,'סקרי נכסים-יתרות פתיחה'!$2:$76,75,0),0)</f>
        <v>0</v>
      </c>
      <c r="I163" s="47">
        <f>+IFERROR(HLOOKUP(I29,'סקרי נכסים-יתרות פתיחה'!$2:$76,75,0),0)</f>
        <v>0</v>
      </c>
      <c r="J163" s="47">
        <f>+IFERROR(HLOOKUP(J29,'סקרי נכסים-יתרות פתיחה'!$2:$76,75,0),0)</f>
        <v>0</v>
      </c>
      <c r="K163" s="47">
        <f>+IFERROR(HLOOKUP(K29,'סקרי נכסים-יתרות פתיחה'!$2:$76,75,0),0)</f>
        <v>0</v>
      </c>
      <c r="L163" s="47">
        <f>+IFERROR(HLOOKUP(L29,'סקרי נכסים-יתרות פתיחה'!$2:$76,75,0),0)</f>
        <v>0</v>
      </c>
      <c r="M163" s="47">
        <f>+IFERROR(HLOOKUP(M29,'סקרי נכסים-יתרות פתיחה'!$2:$76,75,0),0)</f>
        <v>0</v>
      </c>
      <c r="N163" s="47">
        <f>+IFERROR(HLOOKUP(N29,'סקרי נכסים-יתרות פתיחה'!$2:$76,75,0),0)</f>
        <v>0</v>
      </c>
      <c r="O163" s="47">
        <f>+IFERROR(HLOOKUP(O29,'סקרי נכסים-יתרות פתיחה'!$2:$76,75,0),0)</f>
        <v>0</v>
      </c>
      <c r="P163" s="47">
        <f>+IFERROR(HLOOKUP(P29,'סקרי נכסים-יתרות פתיחה'!$2:$76,75,0),0)</f>
        <v>0</v>
      </c>
      <c r="Q163" s="47">
        <f>+IFERROR(HLOOKUP(Q29,'סקרי נכסים-יתרות פתיחה'!$2:$76,75,0),0)</f>
        <v>0</v>
      </c>
      <c r="R163" s="47">
        <f>+IFERROR(HLOOKUP(R29,'סקרי נכסים-יתרות פתיחה'!$2:$76,75,0),0)</f>
        <v>0</v>
      </c>
      <c r="S163" s="47">
        <f>+IFERROR(HLOOKUP(S29,'סקרי נכסים-יתרות פתיחה'!$2:$76,75,0),0)</f>
        <v>0</v>
      </c>
      <c r="T163" s="47">
        <f>+IFERROR(HLOOKUP(T29,'סקרי נכסים-יתרות פתיחה'!$2:$76,75,0),0)</f>
        <v>0</v>
      </c>
      <c r="U163" s="47">
        <f>+IFERROR(HLOOKUP(U29,'סקרי נכסים-יתרות פתיחה'!$2:$76,75,0),0)</f>
        <v>0</v>
      </c>
      <c r="V163" s="47">
        <f>+IFERROR(HLOOKUP(V29,'סקרי נכסים-יתרות פתיחה'!$2:$76,75,0),0)</f>
        <v>0</v>
      </c>
      <c r="W163" s="47">
        <f>+IFERROR(HLOOKUP(W29,'סקרי נכסים-יתרות פתיחה'!$2:$76,75,0),0)</f>
        <v>0</v>
      </c>
      <c r="X163" s="47">
        <f>+IFERROR(HLOOKUP(X29,'סקרי נכסים-יתרות פתיחה'!$2:$76,75,0),0)</f>
        <v>0</v>
      </c>
      <c r="Y163" s="47">
        <f>+IFERROR(HLOOKUP(Y29,'סקרי נכסים-יתרות פתיחה'!$2:$76,75,0),0)</f>
        <v>0</v>
      </c>
      <c r="Z163" s="47">
        <f>+IFERROR(HLOOKUP(Z29,'סקרי נכסים-יתרות פתיחה'!$2:$76,75,0),0)</f>
        <v>0</v>
      </c>
      <c r="AA163" s="47">
        <f>+IFERROR(HLOOKUP(AA29,'סקרי נכסים-יתרות פתיחה'!$2:$76,75,0),0)</f>
        <v>0</v>
      </c>
      <c r="AB163" s="47">
        <f>+IFERROR(HLOOKUP(AB29,'סקרי נכסים-יתרות פתיחה'!$2:$76,75,0),0)</f>
        <v>0</v>
      </c>
      <c r="AC163" s="47">
        <f>+IFERROR(HLOOKUP(AC29,'סקרי נכסים-יתרות פתיחה'!$2:$76,75,0),0)</f>
        <v>0</v>
      </c>
      <c r="AD163" s="47">
        <f>+IFERROR(HLOOKUP(AD29,'סקרי נכסים-יתרות פתיחה'!$2:$76,75,0),0)</f>
        <v>0</v>
      </c>
      <c r="AE163" s="47">
        <f>+IFERROR(HLOOKUP(AE29,'סקרי נכסים-יתרות פתיחה'!$2:$76,75,0),0)</f>
        <v>0</v>
      </c>
      <c r="AF163" s="47">
        <f>+IFERROR(HLOOKUP(AF29,'סקרי נכסים-יתרות פתיחה'!$2:$76,75,0),0)</f>
        <v>0</v>
      </c>
      <c r="AG163" s="47">
        <f>+IFERROR(HLOOKUP(AG29,'סקרי נכסים-יתרות פתיחה'!$2:$76,75,0),0)</f>
        <v>0</v>
      </c>
      <c r="AH163" s="47">
        <f>+IFERROR(HLOOKUP(AH29,'סקרי נכסים-יתרות פתיחה'!$2:$76,75,0),0)</f>
        <v>0</v>
      </c>
      <c r="AI163" s="47">
        <f>+IFERROR(HLOOKUP(AI29,'סקרי נכסים-יתרות פתיחה'!$2:$76,75,0),0)</f>
        <v>0</v>
      </c>
      <c r="AJ163" s="47">
        <f>+IFERROR(HLOOKUP(AJ29,'סקרי נכסים-יתרות פתיחה'!$2:$76,75,0),0)</f>
        <v>0</v>
      </c>
      <c r="AK163" s="47">
        <f>+IFERROR(HLOOKUP(AK29,'סקרי נכסים-יתרות פתיחה'!$2:$76,75,0),0)</f>
        <v>0</v>
      </c>
      <c r="AL163" s="47">
        <f>+IFERROR(HLOOKUP(AL29,'סקרי נכסים-יתרות פתיחה'!$2:$76,75,0),0)</f>
        <v>0</v>
      </c>
      <c r="AM163" s="47">
        <f>+IFERROR(HLOOKUP(AM29,'סקרי נכסים-יתרות פתיחה'!$2:$76,75,0),0)</f>
        <v>0</v>
      </c>
      <c r="AN163" s="47">
        <f>+IFERROR(HLOOKUP(AN29,'סקרי נכסים-יתרות פתיחה'!$2:$76,75,0),0)</f>
        <v>0</v>
      </c>
      <c r="AO163" s="47">
        <f>+IFERROR(HLOOKUP(AO29,'סקרי נכסים-יתרות פתיחה'!$2:$76,75,0),0)</f>
        <v>0</v>
      </c>
      <c r="AP163" s="47">
        <f>+IFERROR(HLOOKUP(AP29,'סקרי נכסים-יתרות פתיחה'!$2:$76,75,0),0)</f>
        <v>0</v>
      </c>
      <c r="AQ163" s="47">
        <f>+IFERROR(HLOOKUP(AQ29,'סקרי נכסים-יתרות פתיחה'!$2:$76,75,0),0)</f>
        <v>0</v>
      </c>
      <c r="AR163" s="47">
        <f>+IFERROR(HLOOKUP(AR29,'סקרי נכסים-יתרות פתיחה'!$2:$76,75,0),0)</f>
        <v>0</v>
      </c>
      <c r="AS163" s="47">
        <f>+IFERROR(HLOOKUP(AS29,'סקרי נכסים-יתרות פתיחה'!$2:$76,75,0),0)</f>
        <v>0</v>
      </c>
      <c r="AT163" s="47">
        <f>+IFERROR(HLOOKUP(AT29,'סקרי נכסים-יתרות פתיחה'!$2:$76,75,0),0)</f>
        <v>0</v>
      </c>
      <c r="AU163" s="47">
        <f>+IFERROR(HLOOKUP(AU29,'סקרי נכסים-יתרות פתיחה'!$2:$76,75,0),0)</f>
        <v>0</v>
      </c>
      <c r="AV163" s="47">
        <f>+IFERROR(HLOOKUP(AV29,'סקרי נכסים-יתרות פתיחה'!$2:$76,75,0),0)</f>
        <v>0</v>
      </c>
      <c r="AW163" s="47">
        <f>+IFERROR(HLOOKUP(AW29,'סקרי נכסים-יתרות פתיחה'!$2:$76,75,0),0)</f>
        <v>0</v>
      </c>
      <c r="AX163" s="47">
        <f>+IFERROR(HLOOKUP(AX29,'סקרי נכסים-יתרות פתיחה'!$2:$76,75,0),0)</f>
        <v>0</v>
      </c>
      <c r="AY163" s="47">
        <f>+IFERROR(HLOOKUP(AY29,'סקרי נכסים-יתרות פתיחה'!$2:$76,75,0),0)</f>
        <v>0</v>
      </c>
      <c r="AZ163" s="47">
        <f>+IFERROR(HLOOKUP(AZ29,'סקרי נכסים-יתרות פתיחה'!$2:$76,75,0),0)</f>
        <v>0</v>
      </c>
      <c r="BA163" s="47">
        <f>+IFERROR(HLOOKUP(BA29,'סקרי נכסים-יתרות פתיחה'!$2:$76,75,0),0)</f>
        <v>0</v>
      </c>
      <c r="BB163" s="47">
        <f>+IFERROR(HLOOKUP(BB29,'סקרי נכסים-יתרות פתיחה'!$2:$76,75,0),0)</f>
        <v>0</v>
      </c>
      <c r="BC163" s="47">
        <f>+IFERROR(HLOOKUP(BC29,'סקרי נכסים-יתרות פתיחה'!$2:$76,75,0),0)</f>
        <v>0</v>
      </c>
      <c r="BD163" s="47">
        <f>+IFERROR(HLOOKUP(BD29,'סקרי נכסים-יתרות פתיחה'!$2:$76,75,0),0)</f>
        <v>0</v>
      </c>
      <c r="BE163" s="47">
        <f>+IFERROR(HLOOKUP(BE29,'סקרי נכסים-יתרות פתיחה'!$2:$76,75,0),0)</f>
        <v>0</v>
      </c>
      <c r="BF163" s="47">
        <f>+IFERROR(HLOOKUP(BF29,'סקרי נכסים-יתרות פתיחה'!$2:$76,75,0),0)</f>
        <v>0</v>
      </c>
    </row>
    <row r="164" spans="1:58" x14ac:dyDescent="0.2">
      <c r="B164" s="1">
        <v>23</v>
      </c>
      <c r="C164" s="47">
        <f>+IFERROR(HLOOKUP(C30,'סקרי נכסים-יתרות פתיחה'!$2:$76,75,0),0)</f>
        <v>0</v>
      </c>
      <c r="D164" s="47">
        <f>+IFERROR(HLOOKUP(D30,'סקרי נכסים-יתרות פתיחה'!$2:$76,75,0),0)</f>
        <v>0</v>
      </c>
      <c r="E164" s="47">
        <f>+IFERROR(HLOOKUP(E30,'סקרי נכסים-יתרות פתיחה'!$2:$76,75,0),0)</f>
        <v>0</v>
      </c>
      <c r="F164" s="47">
        <f>+IFERROR(HLOOKUP(F30,'סקרי נכסים-יתרות פתיחה'!$2:$76,75,0),0)</f>
        <v>0</v>
      </c>
      <c r="G164" s="47">
        <f>+IFERROR(HLOOKUP(G30,'סקרי נכסים-יתרות פתיחה'!$2:$76,75,0),0)</f>
        <v>0</v>
      </c>
      <c r="H164" s="47">
        <f>+IFERROR(HLOOKUP(H30,'סקרי נכסים-יתרות פתיחה'!$2:$76,75,0),0)</f>
        <v>0</v>
      </c>
      <c r="I164" s="47">
        <f>+IFERROR(HLOOKUP(I30,'סקרי נכסים-יתרות פתיחה'!$2:$76,75,0),0)</f>
        <v>0</v>
      </c>
      <c r="J164" s="47">
        <f>+IFERROR(HLOOKUP(J30,'סקרי נכסים-יתרות פתיחה'!$2:$76,75,0),0)</f>
        <v>0</v>
      </c>
      <c r="K164" s="47">
        <f>+IFERROR(HLOOKUP(K30,'סקרי נכסים-יתרות פתיחה'!$2:$76,75,0),0)</f>
        <v>0</v>
      </c>
      <c r="L164" s="47">
        <f>+IFERROR(HLOOKUP(L30,'סקרי נכסים-יתרות פתיחה'!$2:$76,75,0),0)</f>
        <v>0</v>
      </c>
      <c r="M164" s="47">
        <f>+IFERROR(HLOOKUP(M30,'סקרי נכסים-יתרות פתיחה'!$2:$76,75,0),0)</f>
        <v>0</v>
      </c>
      <c r="N164" s="47">
        <f>+IFERROR(HLOOKUP(N30,'סקרי נכסים-יתרות פתיחה'!$2:$76,75,0),0)</f>
        <v>0</v>
      </c>
      <c r="O164" s="47">
        <f>+IFERROR(HLOOKUP(O30,'סקרי נכסים-יתרות פתיחה'!$2:$76,75,0),0)</f>
        <v>0</v>
      </c>
      <c r="P164" s="47">
        <f>+IFERROR(HLOOKUP(P30,'סקרי נכסים-יתרות פתיחה'!$2:$76,75,0),0)</f>
        <v>0</v>
      </c>
      <c r="Q164" s="47">
        <f>+IFERROR(HLOOKUP(Q30,'סקרי נכסים-יתרות פתיחה'!$2:$76,75,0),0)</f>
        <v>0</v>
      </c>
      <c r="R164" s="47">
        <f>+IFERROR(HLOOKUP(R30,'סקרי נכסים-יתרות פתיחה'!$2:$76,75,0),0)</f>
        <v>0</v>
      </c>
      <c r="S164" s="47">
        <f>+IFERROR(HLOOKUP(S30,'סקרי נכסים-יתרות פתיחה'!$2:$76,75,0),0)</f>
        <v>0</v>
      </c>
      <c r="T164" s="47">
        <f>+IFERROR(HLOOKUP(T30,'סקרי נכסים-יתרות פתיחה'!$2:$76,75,0),0)</f>
        <v>0</v>
      </c>
      <c r="U164" s="47">
        <f>+IFERROR(HLOOKUP(U30,'סקרי נכסים-יתרות פתיחה'!$2:$76,75,0),0)</f>
        <v>0</v>
      </c>
      <c r="V164" s="47">
        <f>+IFERROR(HLOOKUP(V30,'סקרי נכסים-יתרות פתיחה'!$2:$76,75,0),0)</f>
        <v>0</v>
      </c>
      <c r="W164" s="47">
        <f>+IFERROR(HLOOKUP(W30,'סקרי נכסים-יתרות פתיחה'!$2:$76,75,0),0)</f>
        <v>0</v>
      </c>
      <c r="X164" s="47">
        <f>+IFERROR(HLOOKUP(X30,'סקרי נכסים-יתרות פתיחה'!$2:$76,75,0),0)</f>
        <v>0</v>
      </c>
      <c r="Y164" s="47">
        <f>+IFERROR(HLOOKUP(Y30,'סקרי נכסים-יתרות פתיחה'!$2:$76,75,0),0)</f>
        <v>0</v>
      </c>
      <c r="Z164" s="47">
        <f>+IFERROR(HLOOKUP(Z30,'סקרי נכסים-יתרות פתיחה'!$2:$76,75,0),0)</f>
        <v>0</v>
      </c>
      <c r="AA164" s="47">
        <f>+IFERROR(HLOOKUP(AA30,'סקרי נכסים-יתרות פתיחה'!$2:$76,75,0),0)</f>
        <v>0</v>
      </c>
      <c r="AB164" s="47">
        <f>+IFERROR(HLOOKUP(AB30,'סקרי נכסים-יתרות פתיחה'!$2:$76,75,0),0)</f>
        <v>0</v>
      </c>
      <c r="AC164" s="47">
        <f>+IFERROR(HLOOKUP(AC30,'סקרי נכסים-יתרות פתיחה'!$2:$76,75,0),0)</f>
        <v>0</v>
      </c>
      <c r="AD164" s="47">
        <f>+IFERROR(HLOOKUP(AD30,'סקרי נכסים-יתרות פתיחה'!$2:$76,75,0),0)</f>
        <v>0</v>
      </c>
      <c r="AE164" s="47">
        <f>+IFERROR(HLOOKUP(AE30,'סקרי נכסים-יתרות פתיחה'!$2:$76,75,0),0)</f>
        <v>0</v>
      </c>
      <c r="AF164" s="47">
        <f>+IFERROR(HLOOKUP(AF30,'סקרי נכסים-יתרות פתיחה'!$2:$76,75,0),0)</f>
        <v>0</v>
      </c>
      <c r="AG164" s="47">
        <f>+IFERROR(HLOOKUP(AG30,'סקרי נכסים-יתרות פתיחה'!$2:$76,75,0),0)</f>
        <v>0</v>
      </c>
      <c r="AH164" s="47">
        <f>+IFERROR(HLOOKUP(AH30,'סקרי נכסים-יתרות פתיחה'!$2:$76,75,0),0)</f>
        <v>0</v>
      </c>
      <c r="AI164" s="47">
        <f>+IFERROR(HLOOKUP(AI30,'סקרי נכסים-יתרות פתיחה'!$2:$76,75,0),0)</f>
        <v>0</v>
      </c>
      <c r="AJ164" s="47">
        <f>+IFERROR(HLOOKUP(AJ30,'סקרי נכסים-יתרות פתיחה'!$2:$76,75,0),0)</f>
        <v>0</v>
      </c>
      <c r="AK164" s="47">
        <f>+IFERROR(HLOOKUP(AK30,'סקרי נכסים-יתרות פתיחה'!$2:$76,75,0),0)</f>
        <v>0</v>
      </c>
      <c r="AL164" s="47">
        <f>+IFERROR(HLOOKUP(AL30,'סקרי נכסים-יתרות פתיחה'!$2:$76,75,0),0)</f>
        <v>0</v>
      </c>
      <c r="AM164" s="47">
        <f>+IFERROR(HLOOKUP(AM30,'סקרי נכסים-יתרות פתיחה'!$2:$76,75,0),0)</f>
        <v>0</v>
      </c>
      <c r="AN164" s="47">
        <f>+IFERROR(HLOOKUP(AN30,'סקרי נכסים-יתרות פתיחה'!$2:$76,75,0),0)</f>
        <v>0</v>
      </c>
      <c r="AO164" s="47">
        <f>+IFERROR(HLOOKUP(AO30,'סקרי נכסים-יתרות פתיחה'!$2:$76,75,0),0)</f>
        <v>0</v>
      </c>
      <c r="AP164" s="47">
        <f>+IFERROR(HLOOKUP(AP30,'סקרי נכסים-יתרות פתיחה'!$2:$76,75,0),0)</f>
        <v>0</v>
      </c>
      <c r="AQ164" s="47">
        <f>+IFERROR(HLOOKUP(AQ30,'סקרי נכסים-יתרות פתיחה'!$2:$76,75,0),0)</f>
        <v>0</v>
      </c>
      <c r="AR164" s="47">
        <f>+IFERROR(HLOOKUP(AR30,'סקרי נכסים-יתרות פתיחה'!$2:$76,75,0),0)</f>
        <v>0</v>
      </c>
      <c r="AS164" s="47">
        <f>+IFERROR(HLOOKUP(AS30,'סקרי נכסים-יתרות פתיחה'!$2:$76,75,0),0)</f>
        <v>0</v>
      </c>
      <c r="AT164" s="47">
        <f>+IFERROR(HLOOKUP(AT30,'סקרי נכסים-יתרות פתיחה'!$2:$76,75,0),0)</f>
        <v>0</v>
      </c>
      <c r="AU164" s="47">
        <f>+IFERROR(HLOOKUP(AU30,'סקרי נכסים-יתרות פתיחה'!$2:$76,75,0),0)</f>
        <v>0</v>
      </c>
      <c r="AV164" s="47">
        <f>+IFERROR(HLOOKUP(AV30,'סקרי נכסים-יתרות פתיחה'!$2:$76,75,0),0)</f>
        <v>0</v>
      </c>
      <c r="AW164" s="47">
        <f>+IFERROR(HLOOKUP(AW30,'סקרי נכסים-יתרות פתיחה'!$2:$76,75,0),0)</f>
        <v>0</v>
      </c>
      <c r="AX164" s="47">
        <f>+IFERROR(HLOOKUP(AX30,'סקרי נכסים-יתרות פתיחה'!$2:$76,75,0),0)</f>
        <v>0</v>
      </c>
      <c r="AY164" s="47">
        <f>+IFERROR(HLOOKUP(AY30,'סקרי נכסים-יתרות פתיחה'!$2:$76,75,0),0)</f>
        <v>0</v>
      </c>
      <c r="AZ164" s="47">
        <f>+IFERROR(HLOOKUP(AZ30,'סקרי נכסים-יתרות פתיחה'!$2:$76,75,0),0)</f>
        <v>0</v>
      </c>
      <c r="BA164" s="47">
        <f>+IFERROR(HLOOKUP(BA30,'סקרי נכסים-יתרות פתיחה'!$2:$76,75,0),0)</f>
        <v>0</v>
      </c>
      <c r="BB164" s="47">
        <f>+IFERROR(HLOOKUP(BB30,'סקרי נכסים-יתרות פתיחה'!$2:$76,75,0),0)</f>
        <v>0</v>
      </c>
      <c r="BC164" s="47">
        <f>+IFERROR(HLOOKUP(BC30,'סקרי נכסים-יתרות פתיחה'!$2:$76,75,0),0)</f>
        <v>0</v>
      </c>
      <c r="BD164" s="47">
        <f>+IFERROR(HLOOKUP(BD30,'סקרי נכסים-יתרות פתיחה'!$2:$76,75,0),0)</f>
        <v>0</v>
      </c>
      <c r="BE164" s="47">
        <f>+IFERROR(HLOOKUP(BE30,'סקרי נכסים-יתרות פתיחה'!$2:$76,75,0),0)</f>
        <v>0</v>
      </c>
      <c r="BF164" s="47">
        <f>+IFERROR(HLOOKUP(BF30,'סקרי נכסים-יתרות פתיחה'!$2:$76,75,0),0)</f>
        <v>0</v>
      </c>
    </row>
    <row r="165" spans="1:58" x14ac:dyDescent="0.2">
      <c r="B165" s="1">
        <v>24</v>
      </c>
      <c r="C165" s="47">
        <f>+IFERROR(HLOOKUP(C31,'סקרי נכסים-יתרות פתיחה'!$2:$76,75,0),0)</f>
        <v>0</v>
      </c>
      <c r="D165" s="47">
        <f>+IFERROR(HLOOKUP(D31,'סקרי נכסים-יתרות פתיחה'!$2:$76,75,0),0)</f>
        <v>0</v>
      </c>
      <c r="E165" s="47">
        <f>+IFERROR(HLOOKUP(E31,'סקרי נכסים-יתרות פתיחה'!$2:$76,75,0),0)</f>
        <v>0</v>
      </c>
      <c r="F165" s="47">
        <f>+IFERROR(HLOOKUP(F31,'סקרי נכסים-יתרות פתיחה'!$2:$76,75,0),0)</f>
        <v>0</v>
      </c>
      <c r="G165" s="47">
        <f>+IFERROR(HLOOKUP(G31,'סקרי נכסים-יתרות פתיחה'!$2:$76,75,0),0)</f>
        <v>0</v>
      </c>
      <c r="H165" s="47">
        <f>+IFERROR(HLOOKUP(H31,'סקרי נכסים-יתרות פתיחה'!$2:$76,75,0),0)</f>
        <v>0</v>
      </c>
      <c r="I165" s="47">
        <f>+IFERROR(HLOOKUP(I31,'סקרי נכסים-יתרות פתיחה'!$2:$76,75,0),0)</f>
        <v>0</v>
      </c>
      <c r="J165" s="47">
        <f>+IFERROR(HLOOKUP(J31,'סקרי נכסים-יתרות פתיחה'!$2:$76,75,0),0)</f>
        <v>0</v>
      </c>
      <c r="K165" s="47">
        <f>+IFERROR(HLOOKUP(K31,'סקרי נכסים-יתרות פתיחה'!$2:$76,75,0),0)</f>
        <v>0</v>
      </c>
      <c r="L165" s="47">
        <f>+IFERROR(HLOOKUP(L31,'סקרי נכסים-יתרות פתיחה'!$2:$76,75,0),0)</f>
        <v>0</v>
      </c>
      <c r="M165" s="47">
        <f>+IFERROR(HLOOKUP(M31,'סקרי נכסים-יתרות פתיחה'!$2:$76,75,0),0)</f>
        <v>0</v>
      </c>
      <c r="N165" s="47">
        <f>+IFERROR(HLOOKUP(N31,'סקרי נכסים-יתרות פתיחה'!$2:$76,75,0),0)</f>
        <v>0</v>
      </c>
      <c r="O165" s="47">
        <f>+IFERROR(HLOOKUP(O31,'סקרי נכסים-יתרות פתיחה'!$2:$76,75,0),0)</f>
        <v>0</v>
      </c>
      <c r="P165" s="47">
        <f>+IFERROR(HLOOKUP(P31,'סקרי נכסים-יתרות פתיחה'!$2:$76,75,0),0)</f>
        <v>0</v>
      </c>
      <c r="Q165" s="47">
        <f>+IFERROR(HLOOKUP(Q31,'סקרי נכסים-יתרות פתיחה'!$2:$76,75,0),0)</f>
        <v>0</v>
      </c>
      <c r="R165" s="47">
        <f>+IFERROR(HLOOKUP(R31,'סקרי נכסים-יתרות פתיחה'!$2:$76,75,0),0)</f>
        <v>0</v>
      </c>
      <c r="S165" s="47">
        <f>+IFERROR(HLOOKUP(S31,'סקרי נכסים-יתרות פתיחה'!$2:$76,75,0),0)</f>
        <v>0</v>
      </c>
      <c r="T165" s="47">
        <f>+IFERROR(HLOOKUP(T31,'סקרי נכסים-יתרות פתיחה'!$2:$76,75,0),0)</f>
        <v>0</v>
      </c>
      <c r="U165" s="47">
        <f>+IFERROR(HLOOKUP(U31,'סקרי נכסים-יתרות פתיחה'!$2:$76,75,0),0)</f>
        <v>0</v>
      </c>
      <c r="V165" s="47">
        <f>+IFERROR(HLOOKUP(V31,'סקרי נכסים-יתרות פתיחה'!$2:$76,75,0),0)</f>
        <v>0</v>
      </c>
      <c r="W165" s="47">
        <f>+IFERROR(HLOOKUP(W31,'סקרי נכסים-יתרות פתיחה'!$2:$76,75,0),0)</f>
        <v>0</v>
      </c>
      <c r="X165" s="47">
        <f>+IFERROR(HLOOKUP(X31,'סקרי נכסים-יתרות פתיחה'!$2:$76,75,0),0)</f>
        <v>0</v>
      </c>
      <c r="Y165" s="47">
        <f>+IFERROR(HLOOKUP(Y31,'סקרי נכסים-יתרות פתיחה'!$2:$76,75,0),0)</f>
        <v>0</v>
      </c>
      <c r="Z165" s="47">
        <f>+IFERROR(HLOOKUP(Z31,'סקרי נכסים-יתרות פתיחה'!$2:$76,75,0),0)</f>
        <v>0</v>
      </c>
      <c r="AA165" s="47">
        <f>+IFERROR(HLOOKUP(AA31,'סקרי נכסים-יתרות פתיחה'!$2:$76,75,0),0)</f>
        <v>0</v>
      </c>
      <c r="AB165" s="47">
        <f>+IFERROR(HLOOKUP(AB31,'סקרי נכסים-יתרות פתיחה'!$2:$76,75,0),0)</f>
        <v>0</v>
      </c>
      <c r="AC165" s="47">
        <f>+IFERROR(HLOOKUP(AC31,'סקרי נכסים-יתרות פתיחה'!$2:$76,75,0),0)</f>
        <v>0</v>
      </c>
      <c r="AD165" s="47">
        <f>+IFERROR(HLOOKUP(AD31,'סקרי נכסים-יתרות פתיחה'!$2:$76,75,0),0)</f>
        <v>0</v>
      </c>
      <c r="AE165" s="47">
        <f>+IFERROR(HLOOKUP(AE31,'סקרי נכסים-יתרות פתיחה'!$2:$76,75,0),0)</f>
        <v>0</v>
      </c>
      <c r="AF165" s="47">
        <f>+IFERROR(HLOOKUP(AF31,'סקרי נכסים-יתרות פתיחה'!$2:$76,75,0),0)</f>
        <v>0</v>
      </c>
      <c r="AG165" s="47">
        <f>+IFERROR(HLOOKUP(AG31,'סקרי נכסים-יתרות פתיחה'!$2:$76,75,0),0)</f>
        <v>0</v>
      </c>
      <c r="AH165" s="47">
        <f>+IFERROR(HLOOKUP(AH31,'סקרי נכסים-יתרות פתיחה'!$2:$76,75,0),0)</f>
        <v>0</v>
      </c>
      <c r="AI165" s="47">
        <f>+IFERROR(HLOOKUP(AI31,'סקרי נכסים-יתרות פתיחה'!$2:$76,75,0),0)</f>
        <v>0</v>
      </c>
      <c r="AJ165" s="47">
        <f>+IFERROR(HLOOKUP(AJ31,'סקרי נכסים-יתרות פתיחה'!$2:$76,75,0),0)</f>
        <v>0</v>
      </c>
      <c r="AK165" s="47">
        <f>+IFERROR(HLOOKUP(AK31,'סקרי נכסים-יתרות פתיחה'!$2:$76,75,0),0)</f>
        <v>0</v>
      </c>
      <c r="AL165" s="47">
        <f>+IFERROR(HLOOKUP(AL31,'סקרי נכסים-יתרות פתיחה'!$2:$76,75,0),0)</f>
        <v>0</v>
      </c>
      <c r="AM165" s="47">
        <f>+IFERROR(HLOOKUP(AM31,'סקרי נכסים-יתרות פתיחה'!$2:$76,75,0),0)</f>
        <v>0</v>
      </c>
      <c r="AN165" s="47">
        <f>+IFERROR(HLOOKUP(AN31,'סקרי נכסים-יתרות פתיחה'!$2:$76,75,0),0)</f>
        <v>0</v>
      </c>
      <c r="AO165" s="47">
        <f>+IFERROR(HLOOKUP(AO31,'סקרי נכסים-יתרות פתיחה'!$2:$76,75,0),0)</f>
        <v>0</v>
      </c>
      <c r="AP165" s="47">
        <f>+IFERROR(HLOOKUP(AP31,'סקרי נכסים-יתרות פתיחה'!$2:$76,75,0),0)</f>
        <v>0</v>
      </c>
      <c r="AQ165" s="47">
        <f>+IFERROR(HLOOKUP(AQ31,'סקרי נכסים-יתרות פתיחה'!$2:$76,75,0),0)</f>
        <v>0</v>
      </c>
      <c r="AR165" s="47">
        <f>+IFERROR(HLOOKUP(AR31,'סקרי נכסים-יתרות פתיחה'!$2:$76,75,0),0)</f>
        <v>0</v>
      </c>
      <c r="AS165" s="47">
        <f>+IFERROR(HLOOKUP(AS31,'סקרי נכסים-יתרות פתיחה'!$2:$76,75,0),0)</f>
        <v>0</v>
      </c>
      <c r="AT165" s="47">
        <f>+IFERROR(HLOOKUP(AT31,'סקרי נכסים-יתרות פתיחה'!$2:$76,75,0),0)</f>
        <v>0</v>
      </c>
      <c r="AU165" s="47">
        <f>+IFERROR(HLOOKUP(AU31,'סקרי נכסים-יתרות פתיחה'!$2:$76,75,0),0)</f>
        <v>0</v>
      </c>
      <c r="AV165" s="47">
        <f>+IFERROR(HLOOKUP(AV31,'סקרי נכסים-יתרות פתיחה'!$2:$76,75,0),0)</f>
        <v>0</v>
      </c>
      <c r="AW165" s="47">
        <f>+IFERROR(HLOOKUP(AW31,'סקרי נכסים-יתרות פתיחה'!$2:$76,75,0),0)</f>
        <v>0</v>
      </c>
      <c r="AX165" s="47">
        <f>+IFERROR(HLOOKUP(AX31,'סקרי נכסים-יתרות פתיחה'!$2:$76,75,0),0)</f>
        <v>0</v>
      </c>
      <c r="AY165" s="47">
        <f>+IFERROR(HLOOKUP(AY31,'סקרי נכסים-יתרות פתיחה'!$2:$76,75,0),0)</f>
        <v>0</v>
      </c>
      <c r="AZ165" s="47">
        <f>+IFERROR(HLOOKUP(AZ31,'סקרי נכסים-יתרות פתיחה'!$2:$76,75,0),0)</f>
        <v>0</v>
      </c>
      <c r="BA165" s="47">
        <f>+IFERROR(HLOOKUP(BA31,'סקרי נכסים-יתרות פתיחה'!$2:$76,75,0),0)</f>
        <v>0</v>
      </c>
      <c r="BB165" s="47">
        <f>+IFERROR(HLOOKUP(BB31,'סקרי נכסים-יתרות פתיחה'!$2:$76,75,0),0)</f>
        <v>0</v>
      </c>
      <c r="BC165" s="47">
        <f>+IFERROR(HLOOKUP(BC31,'סקרי נכסים-יתרות פתיחה'!$2:$76,75,0),0)</f>
        <v>0</v>
      </c>
      <c r="BD165" s="47">
        <f>+IFERROR(HLOOKUP(BD31,'סקרי נכסים-יתרות פתיחה'!$2:$76,75,0),0)</f>
        <v>0</v>
      </c>
      <c r="BE165" s="47">
        <f>+IFERROR(HLOOKUP(BE31,'סקרי נכסים-יתרות פתיחה'!$2:$76,75,0),0)</f>
        <v>0</v>
      </c>
      <c r="BF165" s="47">
        <f>+IFERROR(HLOOKUP(BF31,'סקרי נכסים-יתרות פתיחה'!$2:$76,75,0),0)</f>
        <v>0</v>
      </c>
    </row>
    <row r="166" spans="1:58" x14ac:dyDescent="0.2">
      <c r="B166" s="1">
        <v>25</v>
      </c>
      <c r="C166" s="47">
        <f>+IFERROR(HLOOKUP(C32,'סקרי נכסים-יתרות פתיחה'!$2:$76,75,0),0)</f>
        <v>0</v>
      </c>
      <c r="D166" s="47">
        <f>+IFERROR(HLOOKUP(D32,'סקרי נכסים-יתרות פתיחה'!$2:$76,75,0),0)</f>
        <v>0</v>
      </c>
      <c r="E166" s="47">
        <f>+IFERROR(HLOOKUP(E32,'סקרי נכסים-יתרות פתיחה'!$2:$76,75,0),0)</f>
        <v>0</v>
      </c>
      <c r="F166" s="47">
        <f>+IFERROR(HLOOKUP(F32,'סקרי נכסים-יתרות פתיחה'!$2:$76,75,0),0)</f>
        <v>0</v>
      </c>
      <c r="G166" s="47">
        <f>+IFERROR(HLOOKUP(G32,'סקרי נכסים-יתרות פתיחה'!$2:$76,75,0),0)</f>
        <v>0</v>
      </c>
      <c r="H166" s="47">
        <f>+IFERROR(HLOOKUP(H32,'סקרי נכסים-יתרות פתיחה'!$2:$76,75,0),0)</f>
        <v>0</v>
      </c>
      <c r="I166" s="47">
        <f>+IFERROR(HLOOKUP(I32,'סקרי נכסים-יתרות פתיחה'!$2:$76,75,0),0)</f>
        <v>0</v>
      </c>
      <c r="J166" s="47">
        <f>+IFERROR(HLOOKUP(J32,'סקרי נכסים-יתרות פתיחה'!$2:$76,75,0),0)</f>
        <v>0</v>
      </c>
      <c r="K166" s="47">
        <f>+IFERROR(HLOOKUP(K32,'סקרי נכסים-יתרות פתיחה'!$2:$76,75,0),0)</f>
        <v>0</v>
      </c>
      <c r="L166" s="47">
        <f>+IFERROR(HLOOKUP(L32,'סקרי נכסים-יתרות פתיחה'!$2:$76,75,0),0)</f>
        <v>0</v>
      </c>
      <c r="M166" s="47">
        <f>+IFERROR(HLOOKUP(M32,'סקרי נכסים-יתרות פתיחה'!$2:$76,75,0),0)</f>
        <v>0</v>
      </c>
      <c r="N166" s="47">
        <f>+IFERROR(HLOOKUP(N32,'סקרי נכסים-יתרות פתיחה'!$2:$76,75,0),0)</f>
        <v>0</v>
      </c>
      <c r="O166" s="47">
        <f>+IFERROR(HLOOKUP(O32,'סקרי נכסים-יתרות פתיחה'!$2:$76,75,0),0)</f>
        <v>0</v>
      </c>
      <c r="P166" s="47">
        <f>+IFERROR(HLOOKUP(P32,'סקרי נכסים-יתרות פתיחה'!$2:$76,75,0),0)</f>
        <v>0</v>
      </c>
      <c r="Q166" s="47">
        <f>+IFERROR(HLOOKUP(Q32,'סקרי נכסים-יתרות פתיחה'!$2:$76,75,0),0)</f>
        <v>0</v>
      </c>
      <c r="R166" s="47">
        <f>+IFERROR(HLOOKUP(R32,'סקרי נכסים-יתרות פתיחה'!$2:$76,75,0),0)</f>
        <v>0</v>
      </c>
      <c r="S166" s="47">
        <f>+IFERROR(HLOOKUP(S32,'סקרי נכסים-יתרות פתיחה'!$2:$76,75,0),0)</f>
        <v>0</v>
      </c>
      <c r="T166" s="47">
        <f>+IFERROR(HLOOKUP(T32,'סקרי נכסים-יתרות פתיחה'!$2:$76,75,0),0)</f>
        <v>0</v>
      </c>
      <c r="U166" s="47">
        <f>+IFERROR(HLOOKUP(U32,'סקרי נכסים-יתרות פתיחה'!$2:$76,75,0),0)</f>
        <v>0</v>
      </c>
      <c r="V166" s="47">
        <f>+IFERROR(HLOOKUP(V32,'סקרי נכסים-יתרות פתיחה'!$2:$76,75,0),0)</f>
        <v>0</v>
      </c>
      <c r="W166" s="47">
        <f>+IFERROR(HLOOKUP(W32,'סקרי נכסים-יתרות פתיחה'!$2:$76,75,0),0)</f>
        <v>0</v>
      </c>
      <c r="X166" s="47">
        <f>+IFERROR(HLOOKUP(X32,'סקרי נכסים-יתרות פתיחה'!$2:$76,75,0),0)</f>
        <v>0</v>
      </c>
      <c r="Y166" s="47">
        <f>+IFERROR(HLOOKUP(Y32,'סקרי נכסים-יתרות פתיחה'!$2:$76,75,0),0)</f>
        <v>0</v>
      </c>
      <c r="Z166" s="47">
        <f>+IFERROR(HLOOKUP(Z32,'סקרי נכסים-יתרות פתיחה'!$2:$76,75,0),0)</f>
        <v>0</v>
      </c>
      <c r="AA166" s="47">
        <f>+IFERROR(HLOOKUP(AA32,'סקרי נכסים-יתרות פתיחה'!$2:$76,75,0),0)</f>
        <v>0</v>
      </c>
      <c r="AB166" s="47">
        <f>+IFERROR(HLOOKUP(AB32,'סקרי נכסים-יתרות פתיחה'!$2:$76,75,0),0)</f>
        <v>0</v>
      </c>
      <c r="AC166" s="47">
        <f>+IFERROR(HLOOKUP(AC32,'סקרי נכסים-יתרות פתיחה'!$2:$76,75,0),0)</f>
        <v>0</v>
      </c>
      <c r="AD166" s="47">
        <f>+IFERROR(HLOOKUP(AD32,'סקרי נכסים-יתרות פתיחה'!$2:$76,75,0),0)</f>
        <v>0</v>
      </c>
      <c r="AE166" s="47">
        <f>+IFERROR(HLOOKUP(AE32,'סקרי נכסים-יתרות פתיחה'!$2:$76,75,0),0)</f>
        <v>0</v>
      </c>
      <c r="AF166" s="47">
        <f>+IFERROR(HLOOKUP(AF32,'סקרי נכסים-יתרות פתיחה'!$2:$76,75,0),0)</f>
        <v>0</v>
      </c>
      <c r="AG166" s="47">
        <f>+IFERROR(HLOOKUP(AG32,'סקרי נכסים-יתרות פתיחה'!$2:$76,75,0),0)</f>
        <v>0</v>
      </c>
      <c r="AH166" s="47">
        <f>+IFERROR(HLOOKUP(AH32,'סקרי נכסים-יתרות פתיחה'!$2:$76,75,0),0)</f>
        <v>0</v>
      </c>
      <c r="AI166" s="47">
        <f>+IFERROR(HLOOKUP(AI32,'סקרי נכסים-יתרות פתיחה'!$2:$76,75,0),0)</f>
        <v>0</v>
      </c>
      <c r="AJ166" s="47">
        <f>+IFERROR(HLOOKUP(AJ32,'סקרי נכסים-יתרות פתיחה'!$2:$76,75,0),0)</f>
        <v>0</v>
      </c>
      <c r="AK166" s="47">
        <f>+IFERROR(HLOOKUP(AK32,'סקרי נכסים-יתרות פתיחה'!$2:$76,75,0),0)</f>
        <v>0</v>
      </c>
      <c r="AL166" s="47">
        <f>+IFERROR(HLOOKUP(AL32,'סקרי נכסים-יתרות פתיחה'!$2:$76,75,0),0)</f>
        <v>0</v>
      </c>
      <c r="AM166" s="47">
        <f>+IFERROR(HLOOKUP(AM32,'סקרי נכסים-יתרות פתיחה'!$2:$76,75,0),0)</f>
        <v>0</v>
      </c>
      <c r="AN166" s="47">
        <f>+IFERROR(HLOOKUP(AN32,'סקרי נכסים-יתרות פתיחה'!$2:$76,75,0),0)</f>
        <v>0</v>
      </c>
      <c r="AO166" s="47">
        <f>+IFERROR(HLOOKUP(AO32,'סקרי נכסים-יתרות פתיחה'!$2:$76,75,0),0)</f>
        <v>0</v>
      </c>
      <c r="AP166" s="47">
        <f>+IFERROR(HLOOKUP(AP32,'סקרי נכסים-יתרות פתיחה'!$2:$76,75,0),0)</f>
        <v>0</v>
      </c>
      <c r="AQ166" s="47">
        <f>+IFERROR(HLOOKUP(AQ32,'סקרי נכסים-יתרות פתיחה'!$2:$76,75,0),0)</f>
        <v>0</v>
      </c>
      <c r="AR166" s="47">
        <f>+IFERROR(HLOOKUP(AR32,'סקרי נכסים-יתרות פתיחה'!$2:$76,75,0),0)</f>
        <v>0</v>
      </c>
      <c r="AS166" s="47">
        <f>+IFERROR(HLOOKUP(AS32,'סקרי נכסים-יתרות פתיחה'!$2:$76,75,0),0)</f>
        <v>0</v>
      </c>
      <c r="AT166" s="47">
        <f>+IFERROR(HLOOKUP(AT32,'סקרי נכסים-יתרות פתיחה'!$2:$76,75,0),0)</f>
        <v>0</v>
      </c>
      <c r="AU166" s="47">
        <f>+IFERROR(HLOOKUP(AU32,'סקרי נכסים-יתרות פתיחה'!$2:$76,75,0),0)</f>
        <v>0</v>
      </c>
      <c r="AV166" s="47">
        <f>+IFERROR(HLOOKUP(AV32,'סקרי נכסים-יתרות פתיחה'!$2:$76,75,0),0)</f>
        <v>0</v>
      </c>
      <c r="AW166" s="47">
        <f>+IFERROR(HLOOKUP(AW32,'סקרי נכסים-יתרות פתיחה'!$2:$76,75,0),0)</f>
        <v>0</v>
      </c>
      <c r="AX166" s="47">
        <f>+IFERROR(HLOOKUP(AX32,'סקרי נכסים-יתרות פתיחה'!$2:$76,75,0),0)</f>
        <v>0</v>
      </c>
      <c r="AY166" s="47">
        <f>+IFERROR(HLOOKUP(AY32,'סקרי נכסים-יתרות פתיחה'!$2:$76,75,0),0)</f>
        <v>0</v>
      </c>
      <c r="AZ166" s="47">
        <f>+IFERROR(HLOOKUP(AZ32,'סקרי נכסים-יתרות פתיחה'!$2:$76,75,0),0)</f>
        <v>0</v>
      </c>
      <c r="BA166" s="47">
        <f>+IFERROR(HLOOKUP(BA32,'סקרי נכסים-יתרות פתיחה'!$2:$76,75,0),0)</f>
        <v>0</v>
      </c>
      <c r="BB166" s="47">
        <f>+IFERROR(HLOOKUP(BB32,'סקרי נכסים-יתרות פתיחה'!$2:$76,75,0),0)</f>
        <v>0</v>
      </c>
      <c r="BC166" s="47">
        <f>+IFERROR(HLOOKUP(BC32,'סקרי נכסים-יתרות פתיחה'!$2:$76,75,0),0)</f>
        <v>0</v>
      </c>
      <c r="BD166" s="47">
        <f>+IFERROR(HLOOKUP(BD32,'סקרי נכסים-יתרות פתיחה'!$2:$76,75,0),0)</f>
        <v>0</v>
      </c>
      <c r="BE166" s="47">
        <f>+IFERROR(HLOOKUP(BE32,'סקרי נכסים-יתרות פתיחה'!$2:$76,75,0),0)</f>
        <v>0</v>
      </c>
      <c r="BF166" s="47">
        <f>+IFERROR(HLOOKUP(BF32,'סקרי נכסים-יתרות פתיחה'!$2:$76,75,0),0)</f>
        <v>0</v>
      </c>
    </row>
    <row r="167" spans="1:58" x14ac:dyDescent="0.2">
      <c r="B167" s="1">
        <v>26</v>
      </c>
      <c r="C167" s="47">
        <f>+IFERROR(HLOOKUP(C33,'סקרי נכסים-יתרות פתיחה'!$2:$76,75,0),0)</f>
        <v>0</v>
      </c>
      <c r="D167" s="47">
        <f>+IFERROR(HLOOKUP(D33,'סקרי נכסים-יתרות פתיחה'!$2:$76,75,0),0)</f>
        <v>0</v>
      </c>
      <c r="E167" s="47">
        <f>+IFERROR(HLOOKUP(E33,'סקרי נכסים-יתרות פתיחה'!$2:$76,75,0),0)</f>
        <v>0</v>
      </c>
      <c r="F167" s="47">
        <f>+IFERROR(HLOOKUP(F33,'סקרי נכסים-יתרות פתיחה'!$2:$76,75,0),0)</f>
        <v>0</v>
      </c>
      <c r="G167" s="47">
        <f>+IFERROR(HLOOKUP(G33,'סקרי נכסים-יתרות פתיחה'!$2:$76,75,0),0)</f>
        <v>0</v>
      </c>
      <c r="H167" s="47">
        <f>+IFERROR(HLOOKUP(H33,'סקרי נכסים-יתרות פתיחה'!$2:$76,75,0),0)</f>
        <v>0</v>
      </c>
      <c r="I167" s="47">
        <f>+IFERROR(HLOOKUP(I33,'סקרי נכסים-יתרות פתיחה'!$2:$76,75,0),0)</f>
        <v>0</v>
      </c>
      <c r="J167" s="47">
        <f>+IFERROR(HLOOKUP(J33,'סקרי נכסים-יתרות פתיחה'!$2:$76,75,0),0)</f>
        <v>0</v>
      </c>
      <c r="K167" s="47">
        <f>+IFERROR(HLOOKUP(K33,'סקרי נכסים-יתרות פתיחה'!$2:$76,75,0),0)</f>
        <v>0</v>
      </c>
      <c r="L167" s="47">
        <f>+IFERROR(HLOOKUP(L33,'סקרי נכסים-יתרות פתיחה'!$2:$76,75,0),0)</f>
        <v>0</v>
      </c>
      <c r="M167" s="47">
        <f>+IFERROR(HLOOKUP(M33,'סקרי נכסים-יתרות פתיחה'!$2:$76,75,0),0)</f>
        <v>0</v>
      </c>
      <c r="N167" s="47">
        <f>+IFERROR(HLOOKUP(N33,'סקרי נכסים-יתרות פתיחה'!$2:$76,75,0),0)</f>
        <v>0</v>
      </c>
      <c r="O167" s="47">
        <f>+IFERROR(HLOOKUP(O33,'סקרי נכסים-יתרות פתיחה'!$2:$76,75,0),0)</f>
        <v>0</v>
      </c>
      <c r="P167" s="47">
        <f>+IFERROR(HLOOKUP(P33,'סקרי נכסים-יתרות פתיחה'!$2:$76,75,0),0)</f>
        <v>0</v>
      </c>
      <c r="Q167" s="47">
        <f>+IFERROR(HLOOKUP(Q33,'סקרי נכסים-יתרות פתיחה'!$2:$76,75,0),0)</f>
        <v>0</v>
      </c>
      <c r="R167" s="47">
        <f>+IFERROR(HLOOKUP(R33,'סקרי נכסים-יתרות פתיחה'!$2:$76,75,0),0)</f>
        <v>0</v>
      </c>
      <c r="S167" s="47">
        <f>+IFERROR(HLOOKUP(S33,'סקרי נכסים-יתרות פתיחה'!$2:$76,75,0),0)</f>
        <v>0</v>
      </c>
      <c r="T167" s="47">
        <f>+IFERROR(HLOOKUP(T33,'סקרי נכסים-יתרות פתיחה'!$2:$76,75,0),0)</f>
        <v>0</v>
      </c>
      <c r="U167" s="47">
        <f>+IFERROR(HLOOKUP(U33,'סקרי נכסים-יתרות פתיחה'!$2:$76,75,0),0)</f>
        <v>0</v>
      </c>
      <c r="V167" s="47">
        <f>+IFERROR(HLOOKUP(V33,'סקרי נכסים-יתרות פתיחה'!$2:$76,75,0),0)</f>
        <v>0</v>
      </c>
      <c r="W167" s="47">
        <f>+IFERROR(HLOOKUP(W33,'סקרי נכסים-יתרות פתיחה'!$2:$76,75,0),0)</f>
        <v>0</v>
      </c>
      <c r="X167" s="47">
        <f>+IFERROR(HLOOKUP(X33,'סקרי נכסים-יתרות פתיחה'!$2:$76,75,0),0)</f>
        <v>0</v>
      </c>
      <c r="Y167" s="47">
        <f>+IFERROR(HLOOKUP(Y33,'סקרי נכסים-יתרות פתיחה'!$2:$76,75,0),0)</f>
        <v>0</v>
      </c>
      <c r="Z167" s="47">
        <f>+IFERROR(HLOOKUP(Z33,'סקרי נכסים-יתרות פתיחה'!$2:$76,75,0),0)</f>
        <v>0</v>
      </c>
      <c r="AA167" s="47">
        <f>+IFERROR(HLOOKUP(AA33,'סקרי נכסים-יתרות פתיחה'!$2:$76,75,0),0)</f>
        <v>0</v>
      </c>
      <c r="AB167" s="47">
        <f>+IFERROR(HLOOKUP(AB33,'סקרי נכסים-יתרות פתיחה'!$2:$76,75,0),0)</f>
        <v>0</v>
      </c>
      <c r="AC167" s="47">
        <f>+IFERROR(HLOOKUP(AC33,'סקרי נכסים-יתרות פתיחה'!$2:$76,75,0),0)</f>
        <v>0</v>
      </c>
      <c r="AD167" s="47">
        <f>+IFERROR(HLOOKUP(AD33,'סקרי נכסים-יתרות פתיחה'!$2:$76,75,0),0)</f>
        <v>0</v>
      </c>
      <c r="AE167" s="47">
        <f>+IFERROR(HLOOKUP(AE33,'סקרי נכסים-יתרות פתיחה'!$2:$76,75,0),0)</f>
        <v>0</v>
      </c>
      <c r="AF167" s="47">
        <f>+IFERROR(HLOOKUP(AF33,'סקרי נכסים-יתרות פתיחה'!$2:$76,75,0),0)</f>
        <v>0</v>
      </c>
      <c r="AG167" s="47">
        <f>+IFERROR(HLOOKUP(AG33,'סקרי נכסים-יתרות פתיחה'!$2:$76,75,0),0)</f>
        <v>0</v>
      </c>
      <c r="AH167" s="47">
        <f>+IFERROR(HLOOKUP(AH33,'סקרי נכסים-יתרות פתיחה'!$2:$76,75,0),0)</f>
        <v>0</v>
      </c>
      <c r="AI167" s="47">
        <f>+IFERROR(HLOOKUP(AI33,'סקרי נכסים-יתרות פתיחה'!$2:$76,75,0),0)</f>
        <v>0</v>
      </c>
      <c r="AJ167" s="47">
        <f>+IFERROR(HLOOKUP(AJ33,'סקרי נכסים-יתרות פתיחה'!$2:$76,75,0),0)</f>
        <v>0</v>
      </c>
      <c r="AK167" s="47">
        <f>+IFERROR(HLOOKUP(AK33,'סקרי נכסים-יתרות פתיחה'!$2:$76,75,0),0)</f>
        <v>0</v>
      </c>
      <c r="AL167" s="47">
        <f>+IFERROR(HLOOKUP(AL33,'סקרי נכסים-יתרות פתיחה'!$2:$76,75,0),0)</f>
        <v>0</v>
      </c>
      <c r="AM167" s="47">
        <f>+IFERROR(HLOOKUP(AM33,'סקרי נכסים-יתרות פתיחה'!$2:$76,75,0),0)</f>
        <v>0</v>
      </c>
      <c r="AN167" s="47">
        <f>+IFERROR(HLOOKUP(AN33,'סקרי נכסים-יתרות פתיחה'!$2:$76,75,0),0)</f>
        <v>0</v>
      </c>
      <c r="AO167" s="47">
        <f>+IFERROR(HLOOKUP(AO33,'סקרי נכסים-יתרות פתיחה'!$2:$76,75,0),0)</f>
        <v>0</v>
      </c>
      <c r="AP167" s="47">
        <f>+IFERROR(HLOOKUP(AP33,'סקרי נכסים-יתרות פתיחה'!$2:$76,75,0),0)</f>
        <v>0</v>
      </c>
      <c r="AQ167" s="47">
        <f>+IFERROR(HLOOKUP(AQ33,'סקרי נכסים-יתרות פתיחה'!$2:$76,75,0),0)</f>
        <v>0</v>
      </c>
      <c r="AR167" s="47">
        <f>+IFERROR(HLOOKUP(AR33,'סקרי נכסים-יתרות פתיחה'!$2:$76,75,0),0)</f>
        <v>0</v>
      </c>
      <c r="AS167" s="47">
        <f>+IFERROR(HLOOKUP(AS33,'סקרי נכסים-יתרות פתיחה'!$2:$76,75,0),0)</f>
        <v>0</v>
      </c>
      <c r="AT167" s="47">
        <f>+IFERROR(HLOOKUP(AT33,'סקרי נכסים-יתרות פתיחה'!$2:$76,75,0),0)</f>
        <v>0</v>
      </c>
      <c r="AU167" s="47">
        <f>+IFERROR(HLOOKUP(AU33,'סקרי נכסים-יתרות פתיחה'!$2:$76,75,0),0)</f>
        <v>0</v>
      </c>
      <c r="AV167" s="47">
        <f>+IFERROR(HLOOKUP(AV33,'סקרי נכסים-יתרות פתיחה'!$2:$76,75,0),0)</f>
        <v>0</v>
      </c>
      <c r="AW167" s="47">
        <f>+IFERROR(HLOOKUP(AW33,'סקרי נכסים-יתרות פתיחה'!$2:$76,75,0),0)</f>
        <v>0</v>
      </c>
      <c r="AX167" s="47">
        <f>+IFERROR(HLOOKUP(AX33,'סקרי נכסים-יתרות פתיחה'!$2:$76,75,0),0)</f>
        <v>0</v>
      </c>
      <c r="AY167" s="47">
        <f>+IFERROR(HLOOKUP(AY33,'סקרי נכסים-יתרות פתיחה'!$2:$76,75,0),0)</f>
        <v>0</v>
      </c>
      <c r="AZ167" s="47">
        <f>+IFERROR(HLOOKUP(AZ33,'סקרי נכסים-יתרות פתיחה'!$2:$76,75,0),0)</f>
        <v>0</v>
      </c>
      <c r="BA167" s="47">
        <f>+IFERROR(HLOOKUP(BA33,'סקרי נכסים-יתרות פתיחה'!$2:$76,75,0),0)</f>
        <v>0</v>
      </c>
      <c r="BB167" s="47">
        <f>+IFERROR(HLOOKUP(BB33,'סקרי נכסים-יתרות פתיחה'!$2:$76,75,0),0)</f>
        <v>0</v>
      </c>
      <c r="BC167" s="47">
        <f>+IFERROR(HLOOKUP(BC33,'סקרי נכסים-יתרות פתיחה'!$2:$76,75,0),0)</f>
        <v>0</v>
      </c>
      <c r="BD167" s="47">
        <f>+IFERROR(HLOOKUP(BD33,'סקרי נכסים-יתרות פתיחה'!$2:$76,75,0),0)</f>
        <v>0</v>
      </c>
      <c r="BE167" s="47">
        <f>+IFERROR(HLOOKUP(BE33,'סקרי נכסים-יתרות פתיחה'!$2:$76,75,0),0)</f>
        <v>0</v>
      </c>
      <c r="BF167" s="47">
        <f>+IFERROR(HLOOKUP(BF33,'סקרי נכסים-יתרות פתיחה'!$2:$76,75,0),0)</f>
        <v>0</v>
      </c>
    </row>
    <row r="168" spans="1:58" x14ac:dyDescent="0.2">
      <c r="B168" s="1">
        <v>27</v>
      </c>
      <c r="C168" s="47">
        <f>+IFERROR(HLOOKUP(C34,'סקרי נכסים-יתרות פתיחה'!$2:$76,75,0),0)</f>
        <v>0</v>
      </c>
      <c r="D168" s="47">
        <f>+IFERROR(HLOOKUP(D34,'סקרי נכסים-יתרות פתיחה'!$2:$76,75,0),0)</f>
        <v>0</v>
      </c>
      <c r="E168" s="47">
        <f>+IFERROR(HLOOKUP(E34,'סקרי נכסים-יתרות פתיחה'!$2:$76,75,0),0)</f>
        <v>0</v>
      </c>
      <c r="F168" s="47">
        <f>+IFERROR(HLOOKUP(F34,'סקרי נכסים-יתרות פתיחה'!$2:$76,75,0),0)</f>
        <v>0</v>
      </c>
      <c r="G168" s="47">
        <f>+IFERROR(HLOOKUP(G34,'סקרי נכסים-יתרות פתיחה'!$2:$76,75,0),0)</f>
        <v>0</v>
      </c>
      <c r="H168" s="47">
        <f>+IFERROR(HLOOKUP(H34,'סקרי נכסים-יתרות פתיחה'!$2:$76,75,0),0)</f>
        <v>0</v>
      </c>
      <c r="I168" s="47">
        <f>+IFERROR(HLOOKUP(I34,'סקרי נכסים-יתרות פתיחה'!$2:$76,75,0),0)</f>
        <v>0</v>
      </c>
      <c r="J168" s="47">
        <f>+IFERROR(HLOOKUP(J34,'סקרי נכסים-יתרות פתיחה'!$2:$76,75,0),0)</f>
        <v>0</v>
      </c>
      <c r="K168" s="47">
        <f>+IFERROR(HLOOKUP(K34,'סקרי נכסים-יתרות פתיחה'!$2:$76,75,0),0)</f>
        <v>0</v>
      </c>
      <c r="L168" s="47">
        <f>+IFERROR(HLOOKUP(L34,'סקרי נכסים-יתרות פתיחה'!$2:$76,75,0),0)</f>
        <v>0</v>
      </c>
      <c r="M168" s="47">
        <f>+IFERROR(HLOOKUP(M34,'סקרי נכסים-יתרות פתיחה'!$2:$76,75,0),0)</f>
        <v>0</v>
      </c>
      <c r="N168" s="47">
        <f>+IFERROR(HLOOKUP(N34,'סקרי נכסים-יתרות פתיחה'!$2:$76,75,0),0)</f>
        <v>0</v>
      </c>
      <c r="O168" s="47">
        <f>+IFERROR(HLOOKUP(O34,'סקרי נכסים-יתרות פתיחה'!$2:$76,75,0),0)</f>
        <v>0</v>
      </c>
      <c r="P168" s="47">
        <f>+IFERROR(HLOOKUP(P34,'סקרי נכסים-יתרות פתיחה'!$2:$76,75,0),0)</f>
        <v>0</v>
      </c>
      <c r="Q168" s="47">
        <f>+IFERROR(HLOOKUP(Q34,'סקרי נכסים-יתרות פתיחה'!$2:$76,75,0),0)</f>
        <v>0</v>
      </c>
      <c r="R168" s="47">
        <f>+IFERROR(HLOOKUP(R34,'סקרי נכסים-יתרות פתיחה'!$2:$76,75,0),0)</f>
        <v>0</v>
      </c>
      <c r="S168" s="47">
        <f>+IFERROR(HLOOKUP(S34,'סקרי נכסים-יתרות פתיחה'!$2:$76,75,0),0)</f>
        <v>0</v>
      </c>
      <c r="T168" s="47">
        <f>+IFERROR(HLOOKUP(T34,'סקרי נכסים-יתרות פתיחה'!$2:$76,75,0),0)</f>
        <v>0</v>
      </c>
      <c r="U168" s="47">
        <f>+IFERROR(HLOOKUP(U34,'סקרי נכסים-יתרות פתיחה'!$2:$76,75,0),0)</f>
        <v>0</v>
      </c>
      <c r="V168" s="47">
        <f>+IFERROR(HLOOKUP(V34,'סקרי נכסים-יתרות פתיחה'!$2:$76,75,0),0)</f>
        <v>0</v>
      </c>
      <c r="W168" s="47">
        <f>+IFERROR(HLOOKUP(W34,'סקרי נכסים-יתרות פתיחה'!$2:$76,75,0),0)</f>
        <v>0</v>
      </c>
      <c r="X168" s="47">
        <f>+IFERROR(HLOOKUP(X34,'סקרי נכסים-יתרות פתיחה'!$2:$76,75,0),0)</f>
        <v>0</v>
      </c>
      <c r="Y168" s="47">
        <f>+IFERROR(HLOOKUP(Y34,'סקרי נכסים-יתרות פתיחה'!$2:$76,75,0),0)</f>
        <v>0</v>
      </c>
      <c r="Z168" s="47">
        <f>+IFERROR(HLOOKUP(Z34,'סקרי נכסים-יתרות פתיחה'!$2:$76,75,0),0)</f>
        <v>0</v>
      </c>
      <c r="AA168" s="47">
        <f>+IFERROR(HLOOKUP(AA34,'סקרי נכסים-יתרות פתיחה'!$2:$76,75,0),0)</f>
        <v>0</v>
      </c>
      <c r="AB168" s="47">
        <f>+IFERROR(HLOOKUP(AB34,'סקרי נכסים-יתרות פתיחה'!$2:$76,75,0),0)</f>
        <v>0</v>
      </c>
      <c r="AC168" s="47">
        <f>+IFERROR(HLOOKUP(AC34,'סקרי נכסים-יתרות פתיחה'!$2:$76,75,0),0)</f>
        <v>0</v>
      </c>
      <c r="AD168" s="47">
        <f>+IFERROR(HLOOKUP(AD34,'סקרי נכסים-יתרות פתיחה'!$2:$76,75,0),0)</f>
        <v>0</v>
      </c>
      <c r="AE168" s="47">
        <f>+IFERROR(HLOOKUP(AE34,'סקרי נכסים-יתרות פתיחה'!$2:$76,75,0),0)</f>
        <v>0</v>
      </c>
      <c r="AF168" s="47">
        <f>+IFERROR(HLOOKUP(AF34,'סקרי נכסים-יתרות פתיחה'!$2:$76,75,0),0)</f>
        <v>0</v>
      </c>
      <c r="AG168" s="47">
        <f>+IFERROR(HLOOKUP(AG34,'סקרי נכסים-יתרות פתיחה'!$2:$76,75,0),0)</f>
        <v>0</v>
      </c>
      <c r="AH168" s="47">
        <f>+IFERROR(HLOOKUP(AH34,'סקרי נכסים-יתרות פתיחה'!$2:$76,75,0),0)</f>
        <v>0</v>
      </c>
      <c r="AI168" s="47">
        <f>+IFERROR(HLOOKUP(AI34,'סקרי נכסים-יתרות פתיחה'!$2:$76,75,0),0)</f>
        <v>0</v>
      </c>
      <c r="AJ168" s="47">
        <f>+IFERROR(HLOOKUP(AJ34,'סקרי נכסים-יתרות פתיחה'!$2:$76,75,0),0)</f>
        <v>0</v>
      </c>
      <c r="AK168" s="47">
        <f>+IFERROR(HLOOKUP(AK34,'סקרי נכסים-יתרות פתיחה'!$2:$76,75,0),0)</f>
        <v>0</v>
      </c>
      <c r="AL168" s="47">
        <f>+IFERROR(HLOOKUP(AL34,'סקרי נכסים-יתרות פתיחה'!$2:$76,75,0),0)</f>
        <v>0</v>
      </c>
      <c r="AM168" s="47">
        <f>+IFERROR(HLOOKUP(AM34,'סקרי נכסים-יתרות פתיחה'!$2:$76,75,0),0)</f>
        <v>0</v>
      </c>
      <c r="AN168" s="47">
        <f>+IFERROR(HLOOKUP(AN34,'סקרי נכסים-יתרות פתיחה'!$2:$76,75,0),0)</f>
        <v>0</v>
      </c>
      <c r="AO168" s="47">
        <f>+IFERROR(HLOOKUP(AO34,'סקרי נכסים-יתרות פתיחה'!$2:$76,75,0),0)</f>
        <v>0</v>
      </c>
      <c r="AP168" s="47">
        <f>+IFERROR(HLOOKUP(AP34,'סקרי נכסים-יתרות פתיחה'!$2:$76,75,0),0)</f>
        <v>0</v>
      </c>
      <c r="AQ168" s="47">
        <f>+IFERROR(HLOOKUP(AQ34,'סקרי נכסים-יתרות פתיחה'!$2:$76,75,0),0)</f>
        <v>0</v>
      </c>
      <c r="AR168" s="47">
        <f>+IFERROR(HLOOKUP(AR34,'סקרי נכסים-יתרות פתיחה'!$2:$76,75,0),0)</f>
        <v>0</v>
      </c>
      <c r="AS168" s="47">
        <f>+IFERROR(HLOOKUP(AS34,'סקרי נכסים-יתרות פתיחה'!$2:$76,75,0),0)</f>
        <v>0</v>
      </c>
      <c r="AT168" s="47">
        <f>+IFERROR(HLOOKUP(AT34,'סקרי נכסים-יתרות פתיחה'!$2:$76,75,0),0)</f>
        <v>0</v>
      </c>
      <c r="AU168" s="47">
        <f>+IFERROR(HLOOKUP(AU34,'סקרי נכסים-יתרות פתיחה'!$2:$76,75,0),0)</f>
        <v>0</v>
      </c>
      <c r="AV168" s="47">
        <f>+IFERROR(HLOOKUP(AV34,'סקרי נכסים-יתרות פתיחה'!$2:$76,75,0),0)</f>
        <v>0</v>
      </c>
      <c r="AW168" s="47">
        <f>+IFERROR(HLOOKUP(AW34,'סקרי נכסים-יתרות פתיחה'!$2:$76,75,0),0)</f>
        <v>0</v>
      </c>
      <c r="AX168" s="47">
        <f>+IFERROR(HLOOKUP(AX34,'סקרי נכסים-יתרות פתיחה'!$2:$76,75,0),0)</f>
        <v>0</v>
      </c>
      <c r="AY168" s="47">
        <f>+IFERROR(HLOOKUP(AY34,'סקרי נכסים-יתרות פתיחה'!$2:$76,75,0),0)</f>
        <v>0</v>
      </c>
      <c r="AZ168" s="47">
        <f>+IFERROR(HLOOKUP(AZ34,'סקרי נכסים-יתרות פתיחה'!$2:$76,75,0),0)</f>
        <v>0</v>
      </c>
      <c r="BA168" s="47">
        <f>+IFERROR(HLOOKUP(BA34,'סקרי נכסים-יתרות פתיחה'!$2:$76,75,0),0)</f>
        <v>0</v>
      </c>
      <c r="BB168" s="47">
        <f>+IFERROR(HLOOKUP(BB34,'סקרי נכסים-יתרות פתיחה'!$2:$76,75,0),0)</f>
        <v>0</v>
      </c>
      <c r="BC168" s="47">
        <f>+IFERROR(HLOOKUP(BC34,'סקרי נכסים-יתרות פתיחה'!$2:$76,75,0),0)</f>
        <v>0</v>
      </c>
      <c r="BD168" s="47">
        <f>+IFERROR(HLOOKUP(BD34,'סקרי נכסים-יתרות פתיחה'!$2:$76,75,0),0)</f>
        <v>0</v>
      </c>
      <c r="BE168" s="47">
        <f>+IFERROR(HLOOKUP(BE34,'סקרי נכסים-יתרות פתיחה'!$2:$76,75,0),0)</f>
        <v>0</v>
      </c>
      <c r="BF168" s="47">
        <f>+IFERROR(HLOOKUP(BF34,'סקרי נכסים-יתרות פתיחה'!$2:$76,75,0),0)</f>
        <v>0</v>
      </c>
    </row>
    <row r="169" spans="1:58" x14ac:dyDescent="0.2">
      <c r="B169" s="1">
        <v>28</v>
      </c>
      <c r="C169" s="47">
        <f>+IFERROR(HLOOKUP(C35,'סקרי נכסים-יתרות פתיחה'!$2:$76,75,0),0)</f>
        <v>0</v>
      </c>
      <c r="D169" s="47">
        <f>+IFERROR(HLOOKUP(D35,'סקרי נכסים-יתרות פתיחה'!$2:$76,75,0),0)</f>
        <v>0</v>
      </c>
      <c r="E169" s="47">
        <f>+IFERROR(HLOOKUP(E35,'סקרי נכסים-יתרות פתיחה'!$2:$76,75,0),0)</f>
        <v>0</v>
      </c>
      <c r="F169" s="47">
        <f>+IFERROR(HLOOKUP(F35,'סקרי נכסים-יתרות פתיחה'!$2:$76,75,0),0)</f>
        <v>0</v>
      </c>
      <c r="G169" s="47">
        <f>+IFERROR(HLOOKUP(G35,'סקרי נכסים-יתרות פתיחה'!$2:$76,75,0),0)</f>
        <v>0</v>
      </c>
      <c r="H169" s="47">
        <f>+IFERROR(HLOOKUP(H35,'סקרי נכסים-יתרות פתיחה'!$2:$76,75,0),0)</f>
        <v>0</v>
      </c>
      <c r="I169" s="47">
        <f>+IFERROR(HLOOKUP(I35,'סקרי נכסים-יתרות פתיחה'!$2:$76,75,0),0)</f>
        <v>0</v>
      </c>
      <c r="J169" s="47">
        <f>+IFERROR(HLOOKUP(J35,'סקרי נכסים-יתרות פתיחה'!$2:$76,75,0),0)</f>
        <v>0</v>
      </c>
      <c r="K169" s="47">
        <f>+IFERROR(HLOOKUP(K35,'סקרי נכסים-יתרות פתיחה'!$2:$76,75,0),0)</f>
        <v>0</v>
      </c>
      <c r="L169" s="47">
        <f>+IFERROR(HLOOKUP(L35,'סקרי נכסים-יתרות פתיחה'!$2:$76,75,0),0)</f>
        <v>0</v>
      </c>
      <c r="M169" s="47">
        <f>+IFERROR(HLOOKUP(M35,'סקרי נכסים-יתרות פתיחה'!$2:$76,75,0),0)</f>
        <v>0</v>
      </c>
      <c r="N169" s="47">
        <f>+IFERROR(HLOOKUP(N35,'סקרי נכסים-יתרות פתיחה'!$2:$76,75,0),0)</f>
        <v>0</v>
      </c>
      <c r="O169" s="47">
        <f>+IFERROR(HLOOKUP(O35,'סקרי נכסים-יתרות פתיחה'!$2:$76,75,0),0)</f>
        <v>0</v>
      </c>
      <c r="P169" s="47">
        <f>+IFERROR(HLOOKUP(P35,'סקרי נכסים-יתרות פתיחה'!$2:$76,75,0),0)</f>
        <v>0</v>
      </c>
      <c r="Q169" s="47">
        <f>+IFERROR(HLOOKUP(Q35,'סקרי נכסים-יתרות פתיחה'!$2:$76,75,0),0)</f>
        <v>0</v>
      </c>
      <c r="R169" s="47">
        <f>+IFERROR(HLOOKUP(R35,'סקרי נכסים-יתרות פתיחה'!$2:$76,75,0),0)</f>
        <v>0</v>
      </c>
      <c r="S169" s="47">
        <f>+IFERROR(HLOOKUP(S35,'סקרי נכסים-יתרות פתיחה'!$2:$76,75,0),0)</f>
        <v>0</v>
      </c>
      <c r="T169" s="47">
        <f>+IFERROR(HLOOKUP(T35,'סקרי נכסים-יתרות פתיחה'!$2:$76,75,0),0)</f>
        <v>0</v>
      </c>
      <c r="U169" s="47">
        <f>+IFERROR(HLOOKUP(U35,'סקרי נכסים-יתרות פתיחה'!$2:$76,75,0),0)</f>
        <v>0</v>
      </c>
      <c r="V169" s="47">
        <f>+IFERROR(HLOOKUP(V35,'סקרי נכסים-יתרות פתיחה'!$2:$76,75,0),0)</f>
        <v>0</v>
      </c>
      <c r="W169" s="47">
        <f>+IFERROR(HLOOKUP(W35,'סקרי נכסים-יתרות פתיחה'!$2:$76,75,0),0)</f>
        <v>0</v>
      </c>
      <c r="X169" s="47">
        <f>+IFERROR(HLOOKUP(X35,'סקרי נכסים-יתרות פתיחה'!$2:$76,75,0),0)</f>
        <v>0</v>
      </c>
      <c r="Y169" s="47">
        <f>+IFERROR(HLOOKUP(Y35,'סקרי נכסים-יתרות פתיחה'!$2:$76,75,0),0)</f>
        <v>0</v>
      </c>
      <c r="Z169" s="47">
        <f>+IFERROR(HLOOKUP(Z35,'סקרי נכסים-יתרות פתיחה'!$2:$76,75,0),0)</f>
        <v>0</v>
      </c>
      <c r="AA169" s="47">
        <f>+IFERROR(HLOOKUP(AA35,'סקרי נכסים-יתרות פתיחה'!$2:$76,75,0),0)</f>
        <v>0</v>
      </c>
      <c r="AB169" s="47">
        <f>+IFERROR(HLOOKUP(AB35,'סקרי נכסים-יתרות פתיחה'!$2:$76,75,0),0)</f>
        <v>0</v>
      </c>
      <c r="AC169" s="47">
        <f>+IFERROR(HLOOKUP(AC35,'סקרי נכסים-יתרות פתיחה'!$2:$76,75,0),0)</f>
        <v>0</v>
      </c>
      <c r="AD169" s="47">
        <f>+IFERROR(HLOOKUP(AD35,'סקרי נכסים-יתרות פתיחה'!$2:$76,75,0),0)</f>
        <v>0</v>
      </c>
      <c r="AE169" s="47">
        <f>+IFERROR(HLOOKUP(AE35,'סקרי נכסים-יתרות פתיחה'!$2:$76,75,0),0)</f>
        <v>0</v>
      </c>
      <c r="AF169" s="47">
        <f>+IFERROR(HLOOKUP(AF35,'סקרי נכסים-יתרות פתיחה'!$2:$76,75,0),0)</f>
        <v>0</v>
      </c>
      <c r="AG169" s="47">
        <f>+IFERROR(HLOOKUP(AG35,'סקרי נכסים-יתרות פתיחה'!$2:$76,75,0),0)</f>
        <v>0</v>
      </c>
      <c r="AH169" s="47">
        <f>+IFERROR(HLOOKUP(AH35,'סקרי נכסים-יתרות פתיחה'!$2:$76,75,0),0)</f>
        <v>0</v>
      </c>
      <c r="AI169" s="47">
        <f>+IFERROR(HLOOKUP(AI35,'סקרי נכסים-יתרות פתיחה'!$2:$76,75,0),0)</f>
        <v>0</v>
      </c>
      <c r="AJ169" s="47">
        <f>+IFERROR(HLOOKUP(AJ35,'סקרי נכסים-יתרות פתיחה'!$2:$76,75,0),0)</f>
        <v>0</v>
      </c>
      <c r="AK169" s="47">
        <f>+IFERROR(HLOOKUP(AK35,'סקרי נכסים-יתרות פתיחה'!$2:$76,75,0),0)</f>
        <v>0</v>
      </c>
      <c r="AL169" s="47">
        <f>+IFERROR(HLOOKUP(AL35,'סקרי נכסים-יתרות פתיחה'!$2:$76,75,0),0)</f>
        <v>0</v>
      </c>
      <c r="AM169" s="47">
        <f>+IFERROR(HLOOKUP(AM35,'סקרי נכסים-יתרות פתיחה'!$2:$76,75,0),0)</f>
        <v>0</v>
      </c>
      <c r="AN169" s="47">
        <f>+IFERROR(HLOOKUP(AN35,'סקרי נכסים-יתרות פתיחה'!$2:$76,75,0),0)</f>
        <v>0</v>
      </c>
      <c r="AO169" s="47">
        <f>+IFERROR(HLOOKUP(AO35,'סקרי נכסים-יתרות פתיחה'!$2:$76,75,0),0)</f>
        <v>0</v>
      </c>
      <c r="AP169" s="47">
        <f>+IFERROR(HLOOKUP(AP35,'סקרי נכסים-יתרות פתיחה'!$2:$76,75,0),0)</f>
        <v>0</v>
      </c>
      <c r="AQ169" s="47">
        <f>+IFERROR(HLOOKUP(AQ35,'סקרי נכסים-יתרות פתיחה'!$2:$76,75,0),0)</f>
        <v>0</v>
      </c>
      <c r="AR169" s="47">
        <f>+IFERROR(HLOOKUP(AR35,'סקרי נכסים-יתרות פתיחה'!$2:$76,75,0),0)</f>
        <v>0</v>
      </c>
      <c r="AS169" s="47">
        <f>+IFERROR(HLOOKUP(AS35,'סקרי נכסים-יתרות פתיחה'!$2:$76,75,0),0)</f>
        <v>0</v>
      </c>
      <c r="AT169" s="47">
        <f>+IFERROR(HLOOKUP(AT35,'סקרי נכסים-יתרות פתיחה'!$2:$76,75,0),0)</f>
        <v>0</v>
      </c>
      <c r="AU169" s="47">
        <f>+IFERROR(HLOOKUP(AU35,'סקרי נכסים-יתרות פתיחה'!$2:$76,75,0),0)</f>
        <v>0</v>
      </c>
      <c r="AV169" s="47">
        <f>+IFERROR(HLOOKUP(AV35,'סקרי נכסים-יתרות פתיחה'!$2:$76,75,0),0)</f>
        <v>0</v>
      </c>
      <c r="AW169" s="47">
        <f>+IFERROR(HLOOKUP(AW35,'סקרי נכסים-יתרות פתיחה'!$2:$76,75,0),0)</f>
        <v>0</v>
      </c>
      <c r="AX169" s="47">
        <f>+IFERROR(HLOOKUP(AX35,'סקרי נכסים-יתרות פתיחה'!$2:$76,75,0),0)</f>
        <v>0</v>
      </c>
      <c r="AY169" s="47">
        <f>+IFERROR(HLOOKUP(AY35,'סקרי נכסים-יתרות פתיחה'!$2:$76,75,0),0)</f>
        <v>0</v>
      </c>
      <c r="AZ169" s="47">
        <f>+IFERROR(HLOOKUP(AZ35,'סקרי נכסים-יתרות פתיחה'!$2:$76,75,0),0)</f>
        <v>0</v>
      </c>
      <c r="BA169" s="47">
        <f>+IFERROR(HLOOKUP(BA35,'סקרי נכסים-יתרות פתיחה'!$2:$76,75,0),0)</f>
        <v>0</v>
      </c>
      <c r="BB169" s="47">
        <f>+IFERROR(HLOOKUP(BB35,'סקרי נכסים-יתרות פתיחה'!$2:$76,75,0),0)</f>
        <v>0</v>
      </c>
      <c r="BC169" s="47">
        <f>+IFERROR(HLOOKUP(BC35,'סקרי נכסים-יתרות פתיחה'!$2:$76,75,0),0)</f>
        <v>0</v>
      </c>
      <c r="BD169" s="47">
        <f>+IFERROR(HLOOKUP(BD35,'סקרי נכסים-יתרות פתיחה'!$2:$76,75,0),0)</f>
        <v>0</v>
      </c>
      <c r="BE169" s="47">
        <f>+IFERROR(HLOOKUP(BE35,'סקרי נכסים-יתרות פתיחה'!$2:$76,75,0),0)</f>
        <v>0</v>
      </c>
      <c r="BF169" s="47">
        <f>+IFERROR(HLOOKUP(BF35,'סקרי נכסים-יתרות פתיחה'!$2:$76,75,0),0)</f>
        <v>0</v>
      </c>
    </row>
    <row r="170" spans="1:58" x14ac:dyDescent="0.2">
      <c r="B170" s="1">
        <v>29</v>
      </c>
      <c r="C170" s="47">
        <f>+IFERROR(HLOOKUP(C36,'סקרי נכסים-יתרות פתיחה'!$2:$76,75,0),0)</f>
        <v>0</v>
      </c>
      <c r="D170" s="47">
        <f>+IFERROR(HLOOKUP(D36,'סקרי נכסים-יתרות פתיחה'!$2:$76,75,0),0)</f>
        <v>0</v>
      </c>
      <c r="E170" s="47">
        <f>+IFERROR(HLOOKUP(E36,'סקרי נכסים-יתרות פתיחה'!$2:$76,75,0),0)</f>
        <v>0</v>
      </c>
      <c r="F170" s="47">
        <f>+IFERROR(HLOOKUP(F36,'סקרי נכסים-יתרות פתיחה'!$2:$76,75,0),0)</f>
        <v>0</v>
      </c>
      <c r="G170" s="47">
        <f>+IFERROR(HLOOKUP(G36,'סקרי נכסים-יתרות פתיחה'!$2:$76,75,0),0)</f>
        <v>0</v>
      </c>
      <c r="H170" s="47">
        <f>+IFERROR(HLOOKUP(H36,'סקרי נכסים-יתרות פתיחה'!$2:$76,75,0),0)</f>
        <v>0</v>
      </c>
      <c r="I170" s="47">
        <f>+IFERROR(HLOOKUP(I36,'סקרי נכסים-יתרות פתיחה'!$2:$76,75,0),0)</f>
        <v>0</v>
      </c>
      <c r="J170" s="47">
        <f>+IFERROR(HLOOKUP(J36,'סקרי נכסים-יתרות פתיחה'!$2:$76,75,0),0)</f>
        <v>0</v>
      </c>
      <c r="K170" s="47">
        <f>+IFERROR(HLOOKUP(K36,'סקרי נכסים-יתרות פתיחה'!$2:$76,75,0),0)</f>
        <v>0</v>
      </c>
      <c r="L170" s="47">
        <f>+IFERROR(HLOOKUP(L36,'סקרי נכסים-יתרות פתיחה'!$2:$76,75,0),0)</f>
        <v>0</v>
      </c>
      <c r="M170" s="47">
        <f>+IFERROR(HLOOKUP(M36,'סקרי נכסים-יתרות פתיחה'!$2:$76,75,0),0)</f>
        <v>0</v>
      </c>
      <c r="N170" s="47">
        <f>+IFERROR(HLOOKUP(N36,'סקרי נכסים-יתרות פתיחה'!$2:$76,75,0),0)</f>
        <v>0</v>
      </c>
      <c r="O170" s="47">
        <f>+IFERROR(HLOOKUP(O36,'סקרי נכסים-יתרות פתיחה'!$2:$76,75,0),0)</f>
        <v>0</v>
      </c>
      <c r="P170" s="47">
        <f>+IFERROR(HLOOKUP(P36,'סקרי נכסים-יתרות פתיחה'!$2:$76,75,0),0)</f>
        <v>0</v>
      </c>
      <c r="Q170" s="47">
        <f>+IFERROR(HLOOKUP(Q36,'סקרי נכסים-יתרות פתיחה'!$2:$76,75,0),0)</f>
        <v>0</v>
      </c>
      <c r="R170" s="47">
        <f>+IFERROR(HLOOKUP(R36,'סקרי נכסים-יתרות פתיחה'!$2:$76,75,0),0)</f>
        <v>0</v>
      </c>
      <c r="S170" s="47">
        <f>+IFERROR(HLOOKUP(S36,'סקרי נכסים-יתרות פתיחה'!$2:$76,75,0),0)</f>
        <v>0</v>
      </c>
      <c r="T170" s="47">
        <f>+IFERROR(HLOOKUP(T36,'סקרי נכסים-יתרות פתיחה'!$2:$76,75,0),0)</f>
        <v>0</v>
      </c>
      <c r="U170" s="47">
        <f>+IFERROR(HLOOKUP(U36,'סקרי נכסים-יתרות פתיחה'!$2:$76,75,0),0)</f>
        <v>0</v>
      </c>
      <c r="V170" s="47">
        <f>+IFERROR(HLOOKUP(V36,'סקרי נכסים-יתרות פתיחה'!$2:$76,75,0),0)</f>
        <v>0</v>
      </c>
      <c r="W170" s="47">
        <f>+IFERROR(HLOOKUP(W36,'סקרי נכסים-יתרות פתיחה'!$2:$76,75,0),0)</f>
        <v>0</v>
      </c>
      <c r="X170" s="47">
        <f>+IFERROR(HLOOKUP(X36,'סקרי נכסים-יתרות פתיחה'!$2:$76,75,0),0)</f>
        <v>0</v>
      </c>
      <c r="Y170" s="47">
        <f>+IFERROR(HLOOKUP(Y36,'סקרי נכסים-יתרות פתיחה'!$2:$76,75,0),0)</f>
        <v>0</v>
      </c>
      <c r="Z170" s="47">
        <f>+IFERROR(HLOOKUP(Z36,'סקרי נכסים-יתרות פתיחה'!$2:$76,75,0),0)</f>
        <v>0</v>
      </c>
      <c r="AA170" s="47">
        <f>+IFERROR(HLOOKUP(AA36,'סקרי נכסים-יתרות פתיחה'!$2:$76,75,0),0)</f>
        <v>0</v>
      </c>
      <c r="AB170" s="47">
        <f>+IFERROR(HLOOKUP(AB36,'סקרי נכסים-יתרות פתיחה'!$2:$76,75,0),0)</f>
        <v>0</v>
      </c>
      <c r="AC170" s="47">
        <f>+IFERROR(HLOOKUP(AC36,'סקרי נכסים-יתרות פתיחה'!$2:$76,75,0),0)</f>
        <v>0</v>
      </c>
      <c r="AD170" s="47">
        <f>+IFERROR(HLOOKUP(AD36,'סקרי נכסים-יתרות פתיחה'!$2:$76,75,0),0)</f>
        <v>0</v>
      </c>
      <c r="AE170" s="47">
        <f>+IFERROR(HLOOKUP(AE36,'סקרי נכסים-יתרות פתיחה'!$2:$76,75,0),0)</f>
        <v>0</v>
      </c>
      <c r="AF170" s="47">
        <f>+IFERROR(HLOOKUP(AF36,'סקרי נכסים-יתרות פתיחה'!$2:$76,75,0),0)</f>
        <v>0</v>
      </c>
      <c r="AG170" s="47">
        <f>+IFERROR(HLOOKUP(AG36,'סקרי נכסים-יתרות פתיחה'!$2:$76,75,0),0)</f>
        <v>0</v>
      </c>
      <c r="AH170" s="47">
        <f>+IFERROR(HLOOKUP(AH36,'סקרי נכסים-יתרות פתיחה'!$2:$76,75,0),0)</f>
        <v>0</v>
      </c>
      <c r="AI170" s="47">
        <f>+IFERROR(HLOOKUP(AI36,'סקרי נכסים-יתרות פתיחה'!$2:$76,75,0),0)</f>
        <v>0</v>
      </c>
      <c r="AJ170" s="47">
        <f>+IFERROR(HLOOKUP(AJ36,'סקרי נכסים-יתרות פתיחה'!$2:$76,75,0),0)</f>
        <v>0</v>
      </c>
      <c r="AK170" s="47">
        <f>+IFERROR(HLOOKUP(AK36,'סקרי נכסים-יתרות פתיחה'!$2:$76,75,0),0)</f>
        <v>0</v>
      </c>
      <c r="AL170" s="47">
        <f>+IFERROR(HLOOKUP(AL36,'סקרי נכסים-יתרות פתיחה'!$2:$76,75,0),0)</f>
        <v>0</v>
      </c>
      <c r="AM170" s="47">
        <f>+IFERROR(HLOOKUP(AM36,'סקרי נכסים-יתרות פתיחה'!$2:$76,75,0),0)</f>
        <v>0</v>
      </c>
      <c r="AN170" s="47">
        <f>+IFERROR(HLOOKUP(AN36,'סקרי נכסים-יתרות פתיחה'!$2:$76,75,0),0)</f>
        <v>0</v>
      </c>
      <c r="AO170" s="47">
        <f>+IFERROR(HLOOKUP(AO36,'סקרי נכסים-יתרות פתיחה'!$2:$76,75,0),0)</f>
        <v>0</v>
      </c>
      <c r="AP170" s="47">
        <f>+IFERROR(HLOOKUP(AP36,'סקרי נכסים-יתרות פתיחה'!$2:$76,75,0),0)</f>
        <v>0</v>
      </c>
      <c r="AQ170" s="47">
        <f>+IFERROR(HLOOKUP(AQ36,'סקרי נכסים-יתרות פתיחה'!$2:$76,75,0),0)</f>
        <v>0</v>
      </c>
      <c r="AR170" s="47">
        <f>+IFERROR(HLOOKUP(AR36,'סקרי נכסים-יתרות פתיחה'!$2:$76,75,0),0)</f>
        <v>0</v>
      </c>
      <c r="AS170" s="47">
        <f>+IFERROR(HLOOKUP(AS36,'סקרי נכסים-יתרות פתיחה'!$2:$76,75,0),0)</f>
        <v>0</v>
      </c>
      <c r="AT170" s="47">
        <f>+IFERROR(HLOOKUP(AT36,'סקרי נכסים-יתרות פתיחה'!$2:$76,75,0),0)</f>
        <v>0</v>
      </c>
      <c r="AU170" s="47">
        <f>+IFERROR(HLOOKUP(AU36,'סקרי נכסים-יתרות פתיחה'!$2:$76,75,0),0)</f>
        <v>0</v>
      </c>
      <c r="AV170" s="47">
        <f>+IFERROR(HLOOKUP(AV36,'סקרי נכסים-יתרות פתיחה'!$2:$76,75,0),0)</f>
        <v>0</v>
      </c>
      <c r="AW170" s="47">
        <f>+IFERROR(HLOOKUP(AW36,'סקרי נכסים-יתרות פתיחה'!$2:$76,75,0),0)</f>
        <v>0</v>
      </c>
      <c r="AX170" s="47">
        <f>+IFERROR(HLOOKUP(AX36,'סקרי נכסים-יתרות פתיחה'!$2:$76,75,0),0)</f>
        <v>0</v>
      </c>
      <c r="AY170" s="47">
        <f>+IFERROR(HLOOKUP(AY36,'סקרי נכסים-יתרות פתיחה'!$2:$76,75,0),0)</f>
        <v>0</v>
      </c>
      <c r="AZ170" s="47">
        <f>+IFERROR(HLOOKUP(AZ36,'סקרי נכסים-יתרות פתיחה'!$2:$76,75,0),0)</f>
        <v>0</v>
      </c>
      <c r="BA170" s="47">
        <f>+IFERROR(HLOOKUP(BA36,'סקרי נכסים-יתרות פתיחה'!$2:$76,75,0),0)</f>
        <v>0</v>
      </c>
      <c r="BB170" s="47">
        <f>+IFERROR(HLOOKUP(BB36,'סקרי נכסים-יתרות פתיחה'!$2:$76,75,0),0)</f>
        <v>0</v>
      </c>
      <c r="BC170" s="47">
        <f>+IFERROR(HLOOKUP(BC36,'סקרי נכסים-יתרות פתיחה'!$2:$76,75,0),0)</f>
        <v>0</v>
      </c>
      <c r="BD170" s="47">
        <f>+IFERROR(HLOOKUP(BD36,'סקרי נכסים-יתרות פתיחה'!$2:$76,75,0),0)</f>
        <v>0</v>
      </c>
      <c r="BE170" s="47">
        <f>+IFERROR(HLOOKUP(BE36,'סקרי נכסים-יתרות פתיחה'!$2:$76,75,0),0)</f>
        <v>0</v>
      </c>
      <c r="BF170" s="47">
        <f>+IFERROR(HLOOKUP(BF36,'סקרי נכסים-יתרות פתיחה'!$2:$76,75,0),0)</f>
        <v>0</v>
      </c>
    </row>
    <row r="171" spans="1:58" x14ac:dyDescent="0.2">
      <c r="B171" s="1">
        <v>30</v>
      </c>
      <c r="C171" s="47">
        <f>+IFERROR(HLOOKUP(C37,'סקרי נכסים-יתרות פתיחה'!$2:$76,75,0),0)</f>
        <v>0</v>
      </c>
      <c r="D171" s="47">
        <f>+IFERROR(HLOOKUP(D37,'סקרי נכסים-יתרות פתיחה'!$2:$76,75,0),0)</f>
        <v>0</v>
      </c>
      <c r="E171" s="47">
        <f>+IFERROR(HLOOKUP(E37,'סקרי נכסים-יתרות פתיחה'!$2:$76,75,0),0)</f>
        <v>0</v>
      </c>
      <c r="F171" s="47">
        <f>+IFERROR(HLOOKUP(F37,'סקרי נכסים-יתרות פתיחה'!$2:$76,75,0),0)</f>
        <v>0</v>
      </c>
      <c r="G171" s="47">
        <f>+IFERROR(HLOOKUP(G37,'סקרי נכסים-יתרות פתיחה'!$2:$76,75,0),0)</f>
        <v>0</v>
      </c>
      <c r="H171" s="47">
        <f>+IFERROR(HLOOKUP(H37,'סקרי נכסים-יתרות פתיחה'!$2:$76,75,0),0)</f>
        <v>0</v>
      </c>
      <c r="I171" s="47">
        <f>+IFERROR(HLOOKUP(I37,'סקרי נכסים-יתרות פתיחה'!$2:$76,75,0),0)</f>
        <v>0</v>
      </c>
      <c r="J171" s="47">
        <f>+IFERROR(HLOOKUP(J37,'סקרי נכסים-יתרות פתיחה'!$2:$76,75,0),0)</f>
        <v>0</v>
      </c>
      <c r="K171" s="47">
        <f>+IFERROR(HLOOKUP(K37,'סקרי נכסים-יתרות פתיחה'!$2:$76,75,0),0)</f>
        <v>0</v>
      </c>
      <c r="L171" s="47">
        <f>+IFERROR(HLOOKUP(L37,'סקרי נכסים-יתרות פתיחה'!$2:$76,75,0),0)</f>
        <v>0</v>
      </c>
      <c r="M171" s="47">
        <f>+IFERROR(HLOOKUP(M37,'סקרי נכסים-יתרות פתיחה'!$2:$76,75,0),0)</f>
        <v>0</v>
      </c>
      <c r="N171" s="47">
        <f>+IFERROR(HLOOKUP(N37,'סקרי נכסים-יתרות פתיחה'!$2:$76,75,0),0)</f>
        <v>0</v>
      </c>
      <c r="O171" s="47">
        <f>+IFERROR(HLOOKUP(O37,'סקרי נכסים-יתרות פתיחה'!$2:$76,75,0),0)</f>
        <v>0</v>
      </c>
      <c r="P171" s="47">
        <f>+IFERROR(HLOOKUP(P37,'סקרי נכסים-יתרות פתיחה'!$2:$76,75,0),0)</f>
        <v>0</v>
      </c>
      <c r="Q171" s="47">
        <f>+IFERROR(HLOOKUP(Q37,'סקרי נכסים-יתרות פתיחה'!$2:$76,75,0),0)</f>
        <v>0</v>
      </c>
      <c r="R171" s="47">
        <f>+IFERROR(HLOOKUP(R37,'סקרי נכסים-יתרות פתיחה'!$2:$76,75,0),0)</f>
        <v>0</v>
      </c>
      <c r="S171" s="47">
        <f>+IFERROR(HLOOKUP(S37,'סקרי נכסים-יתרות פתיחה'!$2:$76,75,0),0)</f>
        <v>0</v>
      </c>
      <c r="T171" s="47">
        <f>+IFERROR(HLOOKUP(T37,'סקרי נכסים-יתרות פתיחה'!$2:$76,75,0),0)</f>
        <v>0</v>
      </c>
      <c r="U171" s="47">
        <f>+IFERROR(HLOOKUP(U37,'סקרי נכסים-יתרות פתיחה'!$2:$76,75,0),0)</f>
        <v>0</v>
      </c>
      <c r="V171" s="47">
        <f>+IFERROR(HLOOKUP(V37,'סקרי נכסים-יתרות פתיחה'!$2:$76,75,0),0)</f>
        <v>0</v>
      </c>
      <c r="W171" s="47">
        <f>+IFERROR(HLOOKUP(W37,'סקרי נכסים-יתרות פתיחה'!$2:$76,75,0),0)</f>
        <v>0</v>
      </c>
      <c r="X171" s="47">
        <f>+IFERROR(HLOOKUP(X37,'סקרי נכסים-יתרות פתיחה'!$2:$76,75,0),0)</f>
        <v>0</v>
      </c>
      <c r="Y171" s="47">
        <f>+IFERROR(HLOOKUP(Y37,'סקרי נכסים-יתרות פתיחה'!$2:$76,75,0),0)</f>
        <v>0</v>
      </c>
      <c r="Z171" s="47">
        <f>+IFERROR(HLOOKUP(Z37,'סקרי נכסים-יתרות פתיחה'!$2:$76,75,0),0)</f>
        <v>0</v>
      </c>
      <c r="AA171" s="47">
        <f>+IFERROR(HLOOKUP(AA37,'סקרי נכסים-יתרות פתיחה'!$2:$76,75,0),0)</f>
        <v>0</v>
      </c>
      <c r="AB171" s="47">
        <f>+IFERROR(HLOOKUP(AB37,'סקרי נכסים-יתרות פתיחה'!$2:$76,75,0),0)</f>
        <v>0</v>
      </c>
      <c r="AC171" s="47">
        <f>+IFERROR(HLOOKUP(AC37,'סקרי נכסים-יתרות פתיחה'!$2:$76,75,0),0)</f>
        <v>0</v>
      </c>
      <c r="AD171" s="47">
        <f>+IFERROR(HLOOKUP(AD37,'סקרי נכסים-יתרות פתיחה'!$2:$76,75,0),0)</f>
        <v>0</v>
      </c>
      <c r="AE171" s="47">
        <f>+IFERROR(HLOOKUP(AE37,'סקרי נכסים-יתרות פתיחה'!$2:$76,75,0),0)</f>
        <v>0</v>
      </c>
      <c r="AF171" s="47">
        <f>+IFERROR(HLOOKUP(AF37,'סקרי נכסים-יתרות פתיחה'!$2:$76,75,0),0)</f>
        <v>0</v>
      </c>
      <c r="AG171" s="47">
        <f>+IFERROR(HLOOKUP(AG37,'סקרי נכסים-יתרות פתיחה'!$2:$76,75,0),0)</f>
        <v>0</v>
      </c>
      <c r="AH171" s="47">
        <f>+IFERROR(HLOOKUP(AH37,'סקרי נכסים-יתרות פתיחה'!$2:$76,75,0),0)</f>
        <v>0</v>
      </c>
      <c r="AI171" s="47">
        <f>+IFERROR(HLOOKUP(AI37,'סקרי נכסים-יתרות פתיחה'!$2:$76,75,0),0)</f>
        <v>0</v>
      </c>
      <c r="AJ171" s="47">
        <f>+IFERROR(HLOOKUP(AJ37,'סקרי נכסים-יתרות פתיחה'!$2:$76,75,0),0)</f>
        <v>0</v>
      </c>
      <c r="AK171" s="47">
        <f>+IFERROR(HLOOKUP(AK37,'סקרי נכסים-יתרות פתיחה'!$2:$76,75,0),0)</f>
        <v>0</v>
      </c>
      <c r="AL171" s="47">
        <f>+IFERROR(HLOOKUP(AL37,'סקרי נכסים-יתרות פתיחה'!$2:$76,75,0),0)</f>
        <v>0</v>
      </c>
      <c r="AM171" s="47">
        <f>+IFERROR(HLOOKUP(AM37,'סקרי נכסים-יתרות פתיחה'!$2:$76,75,0),0)</f>
        <v>0</v>
      </c>
      <c r="AN171" s="47">
        <f>+IFERROR(HLOOKUP(AN37,'סקרי נכסים-יתרות פתיחה'!$2:$76,75,0),0)</f>
        <v>0</v>
      </c>
      <c r="AO171" s="47">
        <f>+IFERROR(HLOOKUP(AO37,'סקרי נכסים-יתרות פתיחה'!$2:$76,75,0),0)</f>
        <v>0</v>
      </c>
      <c r="AP171" s="47">
        <f>+IFERROR(HLOOKUP(AP37,'סקרי נכסים-יתרות פתיחה'!$2:$76,75,0),0)</f>
        <v>0</v>
      </c>
      <c r="AQ171" s="47">
        <f>+IFERROR(HLOOKUP(AQ37,'סקרי נכסים-יתרות פתיחה'!$2:$76,75,0),0)</f>
        <v>0</v>
      </c>
      <c r="AR171" s="47">
        <f>+IFERROR(HLOOKUP(AR37,'סקרי נכסים-יתרות פתיחה'!$2:$76,75,0),0)</f>
        <v>0</v>
      </c>
      <c r="AS171" s="47">
        <f>+IFERROR(HLOOKUP(AS37,'סקרי נכסים-יתרות פתיחה'!$2:$76,75,0),0)</f>
        <v>0</v>
      </c>
      <c r="AT171" s="47">
        <f>+IFERROR(HLOOKUP(AT37,'סקרי נכסים-יתרות פתיחה'!$2:$76,75,0),0)</f>
        <v>0</v>
      </c>
      <c r="AU171" s="47">
        <f>+IFERROR(HLOOKUP(AU37,'סקרי נכסים-יתרות פתיחה'!$2:$76,75,0),0)</f>
        <v>0</v>
      </c>
      <c r="AV171" s="47">
        <f>+IFERROR(HLOOKUP(AV37,'סקרי נכסים-יתרות פתיחה'!$2:$76,75,0),0)</f>
        <v>0</v>
      </c>
      <c r="AW171" s="47">
        <f>+IFERROR(HLOOKUP(AW37,'סקרי נכסים-יתרות פתיחה'!$2:$76,75,0),0)</f>
        <v>0</v>
      </c>
      <c r="AX171" s="47">
        <f>+IFERROR(HLOOKUP(AX37,'סקרי נכסים-יתרות פתיחה'!$2:$76,75,0),0)</f>
        <v>0</v>
      </c>
      <c r="AY171" s="47">
        <f>+IFERROR(HLOOKUP(AY37,'סקרי נכסים-יתרות פתיחה'!$2:$76,75,0),0)</f>
        <v>0</v>
      </c>
      <c r="AZ171" s="47">
        <f>+IFERROR(HLOOKUP(AZ37,'סקרי נכסים-יתרות פתיחה'!$2:$76,75,0),0)</f>
        <v>0</v>
      </c>
      <c r="BA171" s="47">
        <f>+IFERROR(HLOOKUP(BA37,'סקרי נכסים-יתרות פתיחה'!$2:$76,75,0),0)</f>
        <v>0</v>
      </c>
      <c r="BB171" s="47">
        <f>+IFERROR(HLOOKUP(BB37,'סקרי נכסים-יתרות פתיחה'!$2:$76,75,0),0)</f>
        <v>0</v>
      </c>
      <c r="BC171" s="47">
        <f>+IFERROR(HLOOKUP(BC37,'סקרי נכסים-יתרות פתיחה'!$2:$76,75,0),0)</f>
        <v>0</v>
      </c>
      <c r="BD171" s="47">
        <f>+IFERROR(HLOOKUP(BD37,'סקרי נכסים-יתרות פתיחה'!$2:$76,75,0),0)</f>
        <v>0</v>
      </c>
      <c r="BE171" s="47">
        <f>+IFERROR(HLOOKUP(BE37,'סקרי נכסים-יתרות פתיחה'!$2:$76,75,0),0)</f>
        <v>0</v>
      </c>
      <c r="BF171" s="47">
        <f>+IFERROR(HLOOKUP(BF37,'סקרי נכסים-יתרות פתיחה'!$2:$76,75,0),0)</f>
        <v>0</v>
      </c>
    </row>
    <row r="172" spans="1:58" x14ac:dyDescent="0.2">
      <c r="C172" s="47"/>
      <c r="D172" s="47"/>
      <c r="E172" s="47"/>
      <c r="F172" s="47"/>
      <c r="G172" s="47"/>
      <c r="H172" s="47"/>
      <c r="I172" s="47"/>
      <c r="J172" s="47"/>
      <c r="K172" s="47"/>
      <c r="L172" s="47"/>
      <c r="M172" s="47"/>
      <c r="N172" s="47"/>
      <c r="O172" s="47"/>
      <c r="P172" s="47"/>
      <c r="Q172" s="47"/>
      <c r="R172" s="47"/>
      <c r="S172" s="47"/>
      <c r="T172" s="47"/>
      <c r="U172" s="47"/>
      <c r="V172" s="47"/>
      <c r="W172" s="47"/>
      <c r="X172" s="47"/>
      <c r="Y172" s="47"/>
      <c r="Z172" s="47"/>
      <c r="AA172" s="47"/>
      <c r="AB172" s="47"/>
      <c r="AC172" s="47"/>
      <c r="AD172" s="47"/>
      <c r="AE172" s="47"/>
      <c r="AF172" s="47"/>
      <c r="AG172" s="47"/>
      <c r="AH172" s="47"/>
      <c r="AI172" s="47"/>
      <c r="AJ172" s="47"/>
      <c r="AK172" s="47"/>
      <c r="AL172" s="47"/>
      <c r="AM172" s="47"/>
      <c r="AN172" s="47"/>
      <c r="AO172" s="47"/>
      <c r="AP172" s="47"/>
      <c r="AQ172" s="47"/>
      <c r="AR172" s="47"/>
      <c r="AS172" s="47"/>
      <c r="AT172" s="47"/>
      <c r="AU172" s="47"/>
      <c r="AV172" s="47"/>
      <c r="AW172" s="47"/>
      <c r="AX172" s="47"/>
      <c r="AY172" s="47"/>
      <c r="AZ172" s="47"/>
      <c r="BA172" s="47"/>
      <c r="BB172" s="47"/>
      <c r="BC172" s="47"/>
      <c r="BD172" s="47"/>
      <c r="BE172" s="47"/>
      <c r="BF172" s="47"/>
    </row>
    <row r="173" spans="1:58" x14ac:dyDescent="0.2">
      <c r="A173" s="1" t="s">
        <v>164</v>
      </c>
      <c r="C173" s="50">
        <f>SUM(C142:C167)/1000</f>
        <v>79215.255000000005</v>
      </c>
      <c r="D173" s="50">
        <f t="shared" ref="D173:BE173" si="5">SUM(D142:D167)/1000</f>
        <v>57816.067000000003</v>
      </c>
      <c r="E173" s="50">
        <f t="shared" si="5"/>
        <v>134563.84299999999</v>
      </c>
      <c r="F173" s="50">
        <f t="shared" si="5"/>
        <v>28778.249</v>
      </c>
      <c r="G173" s="50">
        <f t="shared" si="5"/>
        <v>83146.259999999995</v>
      </c>
      <c r="H173" s="50">
        <f t="shared" si="5"/>
        <v>361302.761</v>
      </c>
      <c r="I173" s="50">
        <f t="shared" si="5"/>
        <v>147487.68299999999</v>
      </c>
      <c r="J173" s="50">
        <f t="shared" si="5"/>
        <v>47257.506999999998</v>
      </c>
      <c r="K173" s="50">
        <f t="shared" si="5"/>
        <v>57485.114000000001</v>
      </c>
      <c r="L173" s="50">
        <f t="shared" si="5"/>
        <v>40427.741999999998</v>
      </c>
      <c r="M173" s="50">
        <f t="shared" si="5"/>
        <v>82342</v>
      </c>
      <c r="N173" s="50">
        <f t="shared" si="5"/>
        <v>170640.55600000001</v>
      </c>
      <c r="O173" s="50">
        <f t="shared" si="5"/>
        <v>48314.368000000002</v>
      </c>
      <c r="P173" s="50">
        <f t="shared" si="5"/>
        <v>113414.981</v>
      </c>
      <c r="Q173" s="50">
        <f t="shared" si="5"/>
        <v>6102.7640000000001</v>
      </c>
      <c r="R173" s="50">
        <f t="shared" si="5"/>
        <v>49363.417999999998</v>
      </c>
      <c r="S173" s="50">
        <f t="shared" si="5"/>
        <v>27211.388999999999</v>
      </c>
      <c r="T173" s="50">
        <f t="shared" si="5"/>
        <v>53611.313000000002</v>
      </c>
      <c r="U173" s="50">
        <f t="shared" si="5"/>
        <v>36293.538</v>
      </c>
      <c r="V173" s="50">
        <f t="shared" si="5"/>
        <v>93143.39</v>
      </c>
      <c r="W173" s="50">
        <f t="shared" si="5"/>
        <v>84223.501000000004</v>
      </c>
      <c r="X173" s="50">
        <f t="shared" si="5"/>
        <v>65275.46</v>
      </c>
      <c r="Y173" s="50">
        <f t="shared" si="5"/>
        <v>66362.804000000004</v>
      </c>
      <c r="Z173" s="50">
        <f t="shared" si="5"/>
        <v>30555.172999999999</v>
      </c>
      <c r="AA173" s="50">
        <f t="shared" si="5"/>
        <v>42980.559000000001</v>
      </c>
      <c r="AB173" s="50">
        <f t="shared" si="5"/>
        <v>28159.125</v>
      </c>
      <c r="AC173" s="50">
        <f t="shared" si="5"/>
        <v>55224.294999999998</v>
      </c>
      <c r="AD173" s="50">
        <f t="shared" si="5"/>
        <v>23392.981</v>
      </c>
      <c r="AE173" s="50">
        <f t="shared" si="5"/>
        <v>147519.829</v>
      </c>
      <c r="AF173" s="50">
        <f t="shared" si="5"/>
        <v>34713.739000000001</v>
      </c>
      <c r="AG173" s="50">
        <f t="shared" si="5"/>
        <v>17120.713</v>
      </c>
      <c r="AH173" s="50">
        <f t="shared" si="5"/>
        <v>42084.207999999999</v>
      </c>
      <c r="AI173" s="50">
        <f t="shared" si="5"/>
        <v>37136.536999999997</v>
      </c>
      <c r="AJ173" s="50">
        <f t="shared" si="5"/>
        <v>15947.710999999999</v>
      </c>
      <c r="AK173" s="50">
        <f t="shared" si="5"/>
        <v>7505.799</v>
      </c>
      <c r="AL173" s="50">
        <f t="shared" si="5"/>
        <v>175531.37</v>
      </c>
      <c r="AM173" s="50">
        <f t="shared" si="5"/>
        <v>76354.798999999999</v>
      </c>
      <c r="AN173" s="50">
        <f t="shared" si="5"/>
        <v>102039.398</v>
      </c>
      <c r="AO173" s="50">
        <f t="shared" si="5"/>
        <v>7135.4570000000003</v>
      </c>
      <c r="AP173" s="50">
        <f t="shared" si="5"/>
        <v>2328.8939999999998</v>
      </c>
      <c r="AQ173" s="50">
        <f t="shared" si="5"/>
        <v>21448.785</v>
      </c>
      <c r="AR173" s="50">
        <f t="shared" si="5"/>
        <v>25077.946</v>
      </c>
      <c r="AS173" s="50">
        <f t="shared" si="5"/>
        <v>141842.78899999999</v>
      </c>
      <c r="AT173" s="50">
        <f t="shared" si="5"/>
        <v>27289.263999999999</v>
      </c>
      <c r="AU173" s="50">
        <f t="shared" si="5"/>
        <v>38501.900999999998</v>
      </c>
      <c r="AV173" s="50">
        <f t="shared" si="5"/>
        <v>80912.463000000003</v>
      </c>
      <c r="AW173" s="50">
        <f t="shared" si="5"/>
        <v>32214.217000000001</v>
      </c>
      <c r="AX173" s="50">
        <f t="shared" si="5"/>
        <v>42313.864000000001</v>
      </c>
      <c r="AY173" s="50">
        <f t="shared" si="5"/>
        <v>7134.1149999999998</v>
      </c>
      <c r="AZ173" s="50">
        <f t="shared" si="5"/>
        <v>66835.607000000004</v>
      </c>
      <c r="BA173" s="50">
        <f t="shared" si="5"/>
        <v>41485.478999999999</v>
      </c>
      <c r="BB173" s="50">
        <f t="shared" si="5"/>
        <v>99723.12</v>
      </c>
      <c r="BC173" s="50">
        <f t="shared" si="5"/>
        <v>91318.942999999985</v>
      </c>
      <c r="BD173" s="50">
        <f t="shared" si="5"/>
        <v>56916.987999999998</v>
      </c>
      <c r="BE173" s="50">
        <f t="shared" si="5"/>
        <v>10505.34</v>
      </c>
      <c r="BF173" s="50">
        <f>SUM(BF142:BF167)/1000</f>
        <v>62407.262999999999</v>
      </c>
    </row>
    <row r="175" spans="1:58" x14ac:dyDescent="0.2">
      <c r="A175" s="1" t="s">
        <v>161</v>
      </c>
      <c r="B175" s="1">
        <v>1</v>
      </c>
      <c r="C175" s="47">
        <f>+IFERROR(HLOOKUP(C8,'סקרי נכסים-יתרות פתיחה'!$2:$76,13,0),0)</f>
        <v>23206646</v>
      </c>
      <c r="D175" s="47">
        <f>+IFERROR(HLOOKUP(D8,'סקרי נכסים-יתרות פתיחה'!$2:$76,13,0),0)</f>
        <v>6237000</v>
      </c>
      <c r="E175" s="47">
        <f>+IFERROR(HLOOKUP(E8,'סקרי נכסים-יתרות פתיחה'!$2:$76,13,0),0)</f>
        <v>16885000</v>
      </c>
      <c r="F175" s="47">
        <f>+IFERROR(HLOOKUP(F8,'סקרי נכסים-יתרות פתיחה'!$2:$76,13,0),0)</f>
        <v>0</v>
      </c>
      <c r="G175" s="47">
        <f>+IFERROR(HLOOKUP(G8,'סקרי נכסים-יתרות פתיחה'!$2:$76,13,0),0)</f>
        <v>15517846</v>
      </c>
      <c r="H175" s="47">
        <f>+IFERROR(HLOOKUP(H8,'סקרי נכסים-יתרות פתיחה'!$2:$76,13,0),0)</f>
        <v>179680738</v>
      </c>
      <c r="I175" s="47">
        <f>+IFERROR(HLOOKUP(I8,'סקרי נכסים-יתרות פתיחה'!$2:$76,13,0),0)</f>
        <v>24083142</v>
      </c>
      <c r="J175" s="47">
        <f>+IFERROR(HLOOKUP(J8,'סקרי נכסים-יתרות פתיחה'!$2:$76,13,0),0)</f>
        <v>17756685</v>
      </c>
      <c r="K175" s="47">
        <f>+IFERROR(HLOOKUP(K8,'סקרי נכסים-יתרות פתיחה'!$2:$76,13,0),0)</f>
        <v>15077655</v>
      </c>
      <c r="L175" s="47">
        <f>+IFERROR(HLOOKUP(L8,'סקרי נכסים-יתרות פתיחה'!$2:$76,13,0),0)</f>
        <v>0</v>
      </c>
      <c r="M175" s="47">
        <f>+IFERROR(HLOOKUP(M8,'סקרי נכסים-יתרות פתיחה'!$2:$76,13,0),0)</f>
        <v>49855000</v>
      </c>
      <c r="N175" s="47">
        <f>+IFERROR(HLOOKUP(N8,'סקרי נכסים-יתרות פתיחה'!$2:$76,13,0),0)</f>
        <v>35386964</v>
      </c>
      <c r="O175" s="47">
        <f>+IFERROR(HLOOKUP(O8,'סקרי נכסים-יתרות פתיחה'!$2:$76,13,0),0)</f>
        <v>52390850</v>
      </c>
      <c r="P175" s="47">
        <f>+IFERROR(HLOOKUP(P8,'סקרי נכסים-יתרות פתיחה'!$2:$76,13,0),0)</f>
        <v>5208014</v>
      </c>
      <c r="Q175" s="47">
        <f>+IFERROR(HLOOKUP(Q8,'סקרי נכסים-יתרות פתיחה'!$2:$76,13,0),0)</f>
        <v>14179218</v>
      </c>
      <c r="R175" s="47">
        <f>+IFERROR(HLOOKUP(R8,'סקרי נכסים-יתרות פתיחה'!$2:$76,13,0),0)</f>
        <v>0</v>
      </c>
      <c r="S175" s="47">
        <f>+IFERROR(HLOOKUP(S8,'סקרי נכסים-יתרות פתיחה'!$2:$76,13,0),0)</f>
        <v>11086181</v>
      </c>
      <c r="T175" s="47">
        <f>+IFERROR(HLOOKUP(T8,'סקרי נכסים-יתרות פתיחה'!$2:$76,13,0),0)</f>
        <v>12954300</v>
      </c>
      <c r="U175" s="47">
        <f>+IFERROR(HLOOKUP(U8,'סקרי נכסים-יתרות פתיחה'!$2:$76,13,0),0)</f>
        <v>5569509</v>
      </c>
      <c r="V175" s="47">
        <f>+IFERROR(HLOOKUP(V8,'סקרי נכסים-יתרות פתיחה'!$2:$76,13,0),0)</f>
        <v>633880</v>
      </c>
      <c r="W175" s="47">
        <f>+IFERROR(HLOOKUP(W8,'סקרי נכסים-יתרות פתיחה'!$2:$76,13,0),0)</f>
        <v>1626941</v>
      </c>
      <c r="X175" s="47">
        <f>+IFERROR(HLOOKUP(X8,'סקרי נכסים-יתרות פתיחה'!$2:$76,13,0),0)</f>
        <v>7972237</v>
      </c>
      <c r="Y175" s="47">
        <f>+IFERROR(HLOOKUP(Y8,'סקרי נכסים-יתרות פתיחה'!$2:$76,13,0),0)</f>
        <v>5969444</v>
      </c>
      <c r="Z175" s="47">
        <f>+IFERROR(HLOOKUP(Z8,'סקרי נכסים-יתרות פתיחה'!$2:$76,13,0),0)</f>
        <v>8509688</v>
      </c>
      <c r="AA175" s="47">
        <f>+IFERROR(HLOOKUP(AA8,'סקרי נכסים-יתרות פתיחה'!$2:$76,13,0),0)</f>
        <v>0</v>
      </c>
      <c r="AB175" s="47">
        <f>+IFERROR(HLOOKUP(AB8,'סקרי נכסים-יתרות פתיחה'!$2:$76,13,0),0)</f>
        <v>12980660</v>
      </c>
      <c r="AC175" s="47">
        <f>+IFERROR(HLOOKUP(AC8,'סקרי נכסים-יתרות פתיחה'!$2:$76,13,0),0)</f>
        <v>7224950</v>
      </c>
      <c r="AD175" s="47">
        <f>+IFERROR(HLOOKUP(AD8,'סקרי נכסים-יתרות פתיחה'!$2:$76,13,0),0)</f>
        <v>19136000</v>
      </c>
      <c r="AE175" s="47">
        <f>+IFERROR(HLOOKUP(AE8,'סקרי נכסים-יתרות פתיחה'!$2:$76,13,0),0)</f>
        <v>74480000</v>
      </c>
      <c r="AF175" s="47">
        <f>+IFERROR(HLOOKUP(AF8,'סקרי נכסים-יתרות פתיחה'!$2:$76,13,0),0)</f>
        <v>8788767</v>
      </c>
      <c r="AG175" s="47">
        <f>+IFERROR(HLOOKUP(AG8,'סקרי נכסים-יתרות פתיחה'!$2:$76,13,0),0)</f>
        <v>16834659</v>
      </c>
      <c r="AH175" s="47">
        <f>+IFERROR(HLOOKUP(AH8,'סקרי נכסים-יתרות פתיחה'!$2:$76,13,0),0)</f>
        <v>4058776</v>
      </c>
      <c r="AI175" s="47">
        <f>+IFERROR(HLOOKUP(AI8,'סקרי נכסים-יתרות פתיחה'!$2:$76,13,0),0)</f>
        <v>3789810</v>
      </c>
      <c r="AJ175" s="47">
        <f>+IFERROR(HLOOKUP(AJ8,'סקרי נכסים-יתרות פתיחה'!$2:$76,13,0),0)</f>
        <v>6256662</v>
      </c>
      <c r="AK175" s="47">
        <f>+IFERROR(HLOOKUP(AK8,'סקרי נכסים-יתרות פתיחה'!$2:$76,13,0),0)</f>
        <v>7288568</v>
      </c>
      <c r="AL175" s="47">
        <f>+IFERROR(HLOOKUP(AL8,'סקרי נכסים-יתרות פתיחה'!$2:$76,13,0),0)</f>
        <v>132397000</v>
      </c>
      <c r="AM175" s="47">
        <f>+IFERROR(HLOOKUP(AM8,'סקרי נכסים-יתרות פתיחה'!$2:$76,13,0),0)</f>
        <v>3684665</v>
      </c>
      <c r="AN175" s="47">
        <f>+IFERROR(HLOOKUP(AN8,'סקרי נכסים-יתרות פתיחה'!$2:$76,13,0),0)</f>
        <v>1517969</v>
      </c>
      <c r="AO175" s="47">
        <f>+IFERROR(HLOOKUP(AO8,'סקרי נכסים-יתרות פתיחה'!$2:$76,13,0),0)</f>
        <v>16492635</v>
      </c>
      <c r="AP175" s="47">
        <f>+IFERROR(HLOOKUP(AP8,'סקרי נכסים-יתרות פתיחה'!$2:$76,13,0),0)</f>
        <v>9000000</v>
      </c>
      <c r="AQ175" s="47">
        <f>+IFERROR(HLOOKUP(AQ8,'סקרי נכסים-יתרות פתיחה'!$2:$76,13,0),0)</f>
        <v>0</v>
      </c>
      <c r="AR175" s="47">
        <f>+IFERROR(HLOOKUP(AR8,'סקרי נכסים-יתרות פתיחה'!$2:$76,13,0),0)</f>
        <v>240000</v>
      </c>
      <c r="AS175" s="47">
        <f>+IFERROR(HLOOKUP(AS8,'סקרי נכסים-יתרות פתיחה'!$2:$76,13,0),0)</f>
        <v>3870555</v>
      </c>
      <c r="AT175" s="47">
        <f>+IFERROR(HLOOKUP(AT8,'סקרי נכסים-יתרות פתיחה'!$2:$76,13,0),0)</f>
        <v>8248265</v>
      </c>
      <c r="AU175" s="47">
        <f>+IFERROR(HLOOKUP(AU8,'סקרי נכסים-יתרות פתיחה'!$2:$76,13,0),0)</f>
        <v>0</v>
      </c>
      <c r="AV175" s="47">
        <f>+IFERROR(HLOOKUP(AV8,'סקרי נכסים-יתרות פתיחה'!$2:$76,13,0),0)</f>
        <v>29000712</v>
      </c>
      <c r="AW175" s="47">
        <f>+IFERROR(HLOOKUP(AW8,'סקרי נכסים-יתרות פתיחה'!$2:$76,13,0),0)</f>
        <v>13124655</v>
      </c>
      <c r="AX175" s="47">
        <f>+IFERROR(HLOOKUP(AX8,'סקרי נכסים-יתרות פתיחה'!$2:$76,13,0),0)</f>
        <v>0</v>
      </c>
      <c r="AY175" s="47">
        <f>+IFERROR(HLOOKUP(AY8,'סקרי נכסים-יתרות פתיחה'!$2:$76,13,0),0)</f>
        <v>7233380</v>
      </c>
      <c r="AZ175" s="47">
        <f>+IFERROR(HLOOKUP(AZ8,'סקרי נכסים-יתרות פתיחה'!$2:$76,13,0),0)</f>
        <v>0</v>
      </c>
      <c r="BA175" s="47">
        <f>+IFERROR(HLOOKUP(BA8,'סקרי נכסים-יתרות פתיחה'!$2:$76,13,0),0)</f>
        <v>11751292</v>
      </c>
      <c r="BB175" s="47">
        <f>+IFERROR(HLOOKUP(BB8,'סקרי נכסים-יתרות פתיחה'!$2:$76,13,0),0)</f>
        <v>1541675</v>
      </c>
      <c r="BC175" s="47">
        <f>+IFERROR(HLOOKUP(BC8,'סקרי נכסים-יתרות פתיחה'!$2:$76,13,0),0)</f>
        <v>494975.33333333331</v>
      </c>
      <c r="BD175" s="47">
        <f>+IFERROR(HLOOKUP(BD8,'סקרי נכסים-יתרות פתיחה'!$2:$76,13,0),0)</f>
        <v>0</v>
      </c>
      <c r="BE175" s="47">
        <f>+IFERROR(HLOOKUP(BE8,'סקרי נכסים-יתרות פתיחה'!$2:$76,13,0),0)</f>
        <v>2772000</v>
      </c>
      <c r="BF175" s="47">
        <f>+IFERROR(HLOOKUP(BF8,'סקרי נכסים-יתרות פתיחה'!$2:$76,13,0),0)</f>
        <v>6898507</v>
      </c>
    </row>
    <row r="176" spans="1:58" s="53" customFormat="1" x14ac:dyDescent="0.2">
      <c r="B176" s="53">
        <v>2</v>
      </c>
      <c r="C176" s="1045">
        <f>+IFERROR(HLOOKUP(C9,'סקרי נכסים-יתרות פתיחה'!$2:$76,13,0),0)</f>
        <v>2925829</v>
      </c>
      <c r="D176" s="1045">
        <f>+IFERROR(HLOOKUP(D9,'סקרי נכסים-יתרות פתיחה'!$2:$76,13,0),0)</f>
        <v>965423</v>
      </c>
      <c r="E176" s="1045">
        <f>+IFERROR(HLOOKUP(E9,'סקרי נכסים-יתרות פתיחה'!$2:$76,13,0),0)</f>
        <v>0</v>
      </c>
      <c r="F176" s="1045">
        <f>+IFERROR(HLOOKUP(F9,'סקרי נכסים-יתרות פתיחה'!$2:$76,13,0),0)</f>
        <v>0</v>
      </c>
      <c r="G176" s="1045">
        <f>+IFERROR(HLOOKUP(G9,'סקרי נכסים-יתרות פתיחה'!$2:$76,13,0),0)</f>
        <v>0</v>
      </c>
      <c r="H176" s="1045">
        <f>+IFERROR(HLOOKUP(H9,'סקרי נכסים-יתרות פתיחה'!$2:$76,13,0),0)</f>
        <v>314745</v>
      </c>
      <c r="I176" s="1045">
        <f>+IFERROR(HLOOKUP(I9,'סקרי נכסים-יתרות פתיחה'!$2:$76,13,0),0)</f>
        <v>0</v>
      </c>
      <c r="J176" s="1045">
        <f>+IFERROR(HLOOKUP(J9,'סקרי נכסים-יתרות פתיחה'!$2:$76,13,0),0)</f>
        <v>0</v>
      </c>
      <c r="K176" s="1045">
        <f>+IFERROR(HLOOKUP(K9,'סקרי נכסים-יתרות פתיחה'!$2:$76,13,0),0)</f>
        <v>7784166</v>
      </c>
      <c r="L176" s="1045">
        <f>+IFERROR(HLOOKUP(L9,'סקרי נכסים-יתרות פתיחה'!$2:$76,13,0),0)</f>
        <v>305049</v>
      </c>
      <c r="M176" s="1045">
        <f>+IFERROR(HLOOKUP(M9,'סקרי נכסים-יתרות פתיחה'!$2:$76,13,0),0)</f>
        <v>0</v>
      </c>
      <c r="N176" s="1045">
        <f>+IFERROR(HLOOKUP(N9,'סקרי נכסים-יתרות פתיחה'!$2:$76,13,0),0)</f>
        <v>7311973</v>
      </c>
      <c r="O176" s="1045">
        <f>+IFERROR(HLOOKUP(O9,'סקרי נכסים-יתרות פתיחה'!$2:$76,13,0),0)</f>
        <v>2603125</v>
      </c>
      <c r="P176" s="1045">
        <f>+IFERROR(HLOOKUP(P9,'סקרי נכסים-יתרות פתיחה'!$2:$76,13,0),0)</f>
        <v>3341670</v>
      </c>
      <c r="Q176" s="1045">
        <f>+IFERROR(HLOOKUP(Q9,'סקרי נכסים-יתרות פתיחה'!$2:$76,13,0),0)</f>
        <v>0</v>
      </c>
      <c r="R176" s="1045">
        <f>+IFERROR(HLOOKUP(R9,'סקרי נכסים-יתרות פתיחה'!$2:$76,13,0),0)</f>
        <v>1266000</v>
      </c>
      <c r="S176" s="1045">
        <f>+IFERROR(HLOOKUP(S9,'סקרי נכסים-יתרות פתיחה'!$2:$76,13,0),0)</f>
        <v>0</v>
      </c>
      <c r="T176" s="1045">
        <f>+IFERROR(HLOOKUP(T9,'סקרי נכסים-יתרות פתיחה'!$2:$76,13,0),0)</f>
        <v>868450</v>
      </c>
      <c r="U176" s="1045">
        <f>+IFERROR(HLOOKUP(U9,'סקרי נכסים-יתרות פתיחה'!$2:$76,13,0),0)</f>
        <v>0</v>
      </c>
      <c r="V176" s="1045">
        <f>+IFERROR(HLOOKUP(V9,'סקרי נכסים-יתרות פתיחה'!$2:$76,13,0),0)</f>
        <v>1002663</v>
      </c>
      <c r="W176" s="1045">
        <f>+IFERROR(HLOOKUP(W9,'סקרי נכסים-יתרות פתיחה'!$2:$76,13,0),0)</f>
        <v>0</v>
      </c>
      <c r="X176" s="1045">
        <f>+IFERROR(HLOOKUP(X9,'סקרי נכסים-יתרות פתיחה'!$2:$76,13,0),0)</f>
        <v>564776</v>
      </c>
      <c r="Y176" s="1045">
        <f>+IFERROR(HLOOKUP(Y9,'סקרי נכסים-יתרות פתיחה'!$2:$76,13,0),0)</f>
        <v>2024230</v>
      </c>
      <c r="Z176" s="1045">
        <f>+IFERROR(HLOOKUP(Z9,'סקרי נכסים-יתרות פתיחה'!$2:$76,13,0),0)</f>
        <v>0</v>
      </c>
      <c r="AA176" s="1045">
        <f>+IFERROR(HLOOKUP(AA9,'סקרי נכסים-יתרות פתיחה'!$2:$76,13,0),0)</f>
        <v>0</v>
      </c>
      <c r="AB176" s="1045">
        <f>+IFERROR(HLOOKUP(AB9,'סקרי נכסים-יתרות פתיחה'!$2:$76,13,0),0)</f>
        <v>0</v>
      </c>
      <c r="AC176" s="1045">
        <f>+IFERROR(HLOOKUP(AC9,'סקרי נכסים-יתרות פתיחה'!$2:$76,13,0),0)</f>
        <v>0</v>
      </c>
      <c r="AD176" s="1045">
        <f>+IFERROR(HLOOKUP(AD9,'סקרי נכסים-יתרות פתיחה'!$2:$76,13,0),0)</f>
        <v>0</v>
      </c>
      <c r="AE176" s="1045">
        <f>+IFERROR(HLOOKUP(AE9,'סקרי נכסים-יתרות פתיחה'!$2:$76,13,0),0)</f>
        <v>0</v>
      </c>
      <c r="AF176" s="1045">
        <f>+IFERROR(HLOOKUP(AF9,'סקרי נכסים-יתרות פתיחה'!$2:$76,13,0),0)</f>
        <v>0</v>
      </c>
      <c r="AG176" s="1045">
        <f>+IFERROR(HLOOKUP(AG9,'סקרי נכסים-יתרות פתיחה'!$2:$76,13,0),0)</f>
        <v>0</v>
      </c>
      <c r="AH176" s="1045">
        <f>+IFERROR(HLOOKUP(AH9,'סקרי נכסים-יתרות פתיחה'!$2:$76,13,0),0)</f>
        <v>0</v>
      </c>
      <c r="AI176" s="1045">
        <f>+IFERROR(HLOOKUP(AI9,'סקרי נכסים-יתרות פתיחה'!$2:$76,13,0),0)</f>
        <v>0</v>
      </c>
      <c r="AJ176" s="1045">
        <f>+IFERROR(HLOOKUP(AJ9,'סקרי נכסים-יתרות פתיחה'!$2:$76,13,0),0)</f>
        <v>1437502</v>
      </c>
      <c r="AK176" s="1045">
        <f>+IFERROR(HLOOKUP(AK9,'סקרי נכסים-יתרות פתיחה'!$2:$76,13,0),0)</f>
        <v>0</v>
      </c>
      <c r="AL176" s="1045">
        <f>+IFERROR(HLOOKUP(AL9,'סקרי נכסים-יתרות פתיחה'!$2:$76,13,0),0)</f>
        <v>0</v>
      </c>
      <c r="AM176" s="1045">
        <f>+IFERROR(HLOOKUP(AM9,'סקרי נכסים-יתרות פתיחה'!$2:$76,13,0),0)</f>
        <v>515180</v>
      </c>
      <c r="AN176" s="1045">
        <f>+IFERROR(HLOOKUP(AN9,'סקרי נכסים-יתרות פתיחה'!$2:$76,13,0),0)</f>
        <v>1877792</v>
      </c>
      <c r="AO176" s="1045">
        <f>+IFERROR(HLOOKUP(AO9,'סקרי נכסים-יתרות פתיחה'!$2:$76,13,0),0)</f>
        <v>0</v>
      </c>
      <c r="AP176" s="1045">
        <f>+IFERROR(HLOOKUP(AP9,'סקרי נכסים-יתרות פתיחה'!$2:$76,13,0),0)</f>
        <v>0</v>
      </c>
      <c r="AQ176" s="1045">
        <f>+IFERROR(HLOOKUP(AQ9,'סקרי נכסים-יתרות פתיחה'!$2:$76,13,0),0)</f>
        <v>0</v>
      </c>
      <c r="AR176" s="1045">
        <f>+IFERROR(HLOOKUP(AR9,'סקרי נכסים-יתרות פתיחה'!$2:$76,13,0),0)</f>
        <v>4823335</v>
      </c>
      <c r="AS176" s="1045">
        <f>+IFERROR(HLOOKUP(AS9,'סקרי נכסים-יתרות פתיחה'!$2:$76,13,0),0)</f>
        <v>430780</v>
      </c>
      <c r="AT176" s="1045">
        <f>+IFERROR(HLOOKUP(AT9,'סקרי נכסים-יתרות פתיחה'!$2:$76,13,0),0)</f>
        <v>0</v>
      </c>
      <c r="AU176" s="1045">
        <f>+IFERROR(HLOOKUP(AU9,'סקרי נכסים-יתרות פתיחה'!$2:$76,13,0),0)</f>
        <v>0</v>
      </c>
      <c r="AV176" s="1045">
        <f>+IFERROR(HLOOKUP(AV9,'סקרי נכסים-יתרות פתיחה'!$2:$76,13,0),0)</f>
        <v>7752872</v>
      </c>
      <c r="AW176" s="1045">
        <f>+IFERROR(HLOOKUP(AW9,'סקרי נכסים-יתרות פתיחה'!$2:$76,13,0),0)</f>
        <v>0</v>
      </c>
      <c r="AX176" s="1045">
        <f>+IFERROR(HLOOKUP(AX9,'סקרי נכסים-יתרות פתיחה'!$2:$76,13,0),0)</f>
        <v>0</v>
      </c>
      <c r="AY176" s="1045">
        <f>+IFERROR(HLOOKUP(AY9,'סקרי נכסים-יתרות פתיחה'!$2:$76,13,0),0)</f>
        <v>0</v>
      </c>
      <c r="AZ176" s="1045">
        <f>+IFERROR(HLOOKUP(AZ9,'סקרי נכסים-יתרות פתיחה'!$2:$76,13,0),0)</f>
        <v>3558846</v>
      </c>
      <c r="BA176" s="1045">
        <f>+IFERROR(HLOOKUP(BA9,'סקרי נכסים-יתרות פתיחה'!$2:$76,13,0),0)</f>
        <v>8839932</v>
      </c>
      <c r="BB176" s="1045">
        <f>+IFERROR(HLOOKUP(BB9,'סקרי נכסים-יתרות פתיחה'!$2:$76,13,0),0)</f>
        <v>1810993</v>
      </c>
      <c r="BC176" s="1045">
        <f>+IFERROR(HLOOKUP(BC9,'סקרי נכסים-יתרות פתיחה'!$2:$76,13,0),0)</f>
        <v>378068</v>
      </c>
      <c r="BD176" s="1045">
        <f>+IFERROR(HLOOKUP(BD9,'סקרי נכסים-יתרות פתיחה'!$2:$76,13,0),0)</f>
        <v>2472000</v>
      </c>
      <c r="BE176" s="1045">
        <f>+IFERROR(HLOOKUP(BE9,'סקרי נכסים-יתרות פתיחה'!$2:$76,13,0),0)</f>
        <v>0</v>
      </c>
      <c r="BF176" s="1045">
        <f>+IFERROR(HLOOKUP(BF9,'סקרי נכסים-יתרות פתיחה'!$2:$76,13,0),0)</f>
        <v>0</v>
      </c>
    </row>
    <row r="177" spans="2:58" s="53" customFormat="1" x14ac:dyDescent="0.2">
      <c r="B177" s="53">
        <v>3</v>
      </c>
      <c r="C177" s="1045">
        <f>+IFERROR(HLOOKUP(C10,'סקרי נכסים-יתרות פתיחה'!$2:$76,13,0),0)</f>
        <v>0</v>
      </c>
      <c r="D177" s="1045">
        <f>+IFERROR(HLOOKUP(D10,'סקרי נכסים-יתרות פתיחה'!$2:$76,13,0),0)</f>
        <v>2064988</v>
      </c>
      <c r="E177" s="1045">
        <f>+IFERROR(HLOOKUP(E10,'סקרי נכסים-יתרות פתיחה'!$2:$76,13,0),0)</f>
        <v>0</v>
      </c>
      <c r="F177" s="1045">
        <f>+IFERROR(HLOOKUP(F10,'סקרי נכסים-יתרות פתיחה'!$2:$76,13,0),0)</f>
        <v>0</v>
      </c>
      <c r="G177" s="1045">
        <f>+IFERROR(HLOOKUP(G10,'סקרי נכסים-יתרות פתיחה'!$2:$76,13,0),0)</f>
        <v>0</v>
      </c>
      <c r="H177" s="1045">
        <f>+IFERROR(HLOOKUP(H10,'סקרי נכסים-יתרות פתיחה'!$2:$76,13,0),0)</f>
        <v>3336320</v>
      </c>
      <c r="I177" s="1045">
        <f>+IFERROR(HLOOKUP(I10,'סקרי נכסים-יתרות פתיחה'!$2:$76,13,0),0)</f>
        <v>0</v>
      </c>
      <c r="J177" s="1045">
        <f>+IFERROR(HLOOKUP(J10,'סקרי נכסים-יתרות פתיחה'!$2:$76,13,0),0)</f>
        <v>0</v>
      </c>
      <c r="K177" s="1045">
        <f>+IFERROR(HLOOKUP(K10,'סקרי נכסים-יתרות פתיחה'!$2:$76,13,0),0)</f>
        <v>8924144</v>
      </c>
      <c r="L177" s="1045">
        <f>+IFERROR(HLOOKUP(L10,'סקרי נכסים-יתרות פתיחה'!$2:$76,13,0),0)</f>
        <v>0</v>
      </c>
      <c r="M177" s="1045">
        <f>+IFERROR(HLOOKUP(M10,'סקרי נכסים-יתרות פתיחה'!$2:$76,13,0),0)</f>
        <v>0</v>
      </c>
      <c r="N177" s="1045">
        <f>+IFERROR(HLOOKUP(N10,'סקרי נכסים-יתרות פתיחה'!$2:$76,13,0),0)</f>
        <v>0</v>
      </c>
      <c r="O177" s="1045">
        <f>+IFERROR(HLOOKUP(O10,'סקרי נכסים-יתרות פתיחה'!$2:$76,13,0),0)</f>
        <v>1632000</v>
      </c>
      <c r="P177" s="1045">
        <f>+IFERROR(HLOOKUP(P10,'סקרי נכסים-יתרות פתיחה'!$2:$76,13,0),0)</f>
        <v>491107</v>
      </c>
      <c r="Q177" s="1045">
        <f>+IFERROR(HLOOKUP(Q10,'סקרי נכסים-יתרות פתיחה'!$2:$76,13,0),0)</f>
        <v>0</v>
      </c>
      <c r="R177" s="1045">
        <f>+IFERROR(HLOOKUP(R10,'סקרי נכסים-יתרות פתיחה'!$2:$76,13,0),0)</f>
        <v>733348</v>
      </c>
      <c r="S177" s="1045">
        <f>+IFERROR(HLOOKUP(S10,'סקרי נכסים-יתרות פתיחה'!$2:$76,13,0),0)</f>
        <v>0</v>
      </c>
      <c r="T177" s="1045">
        <f>+IFERROR(HLOOKUP(T10,'סקרי נכסים-יתרות פתיחה'!$2:$76,13,0),0)</f>
        <v>4199100</v>
      </c>
      <c r="U177" s="1045">
        <f>+IFERROR(HLOOKUP(U10,'סקרי נכסים-יתרות פתיחה'!$2:$76,13,0),0)</f>
        <v>0</v>
      </c>
      <c r="V177" s="1045">
        <f>+IFERROR(HLOOKUP(V10,'סקרי נכסים-יתרות פתיחה'!$2:$76,13,0),0)</f>
        <v>0</v>
      </c>
      <c r="W177" s="1045">
        <f>+IFERROR(HLOOKUP(W10,'סקרי נכסים-יתרות פתיחה'!$2:$76,13,0),0)</f>
        <v>2087731</v>
      </c>
      <c r="X177" s="1045">
        <f>+IFERROR(HLOOKUP(X10,'סקרי נכסים-יתרות פתיחה'!$2:$76,13,0),0)</f>
        <v>1345500</v>
      </c>
      <c r="Y177" s="1045">
        <f>+IFERROR(HLOOKUP(Y10,'סקרי נכסים-יתרות פתיחה'!$2:$76,13,0),0)</f>
        <v>753480</v>
      </c>
      <c r="Z177" s="1045">
        <f>+IFERROR(HLOOKUP(Z10,'סקרי נכסים-יתרות פתיחה'!$2:$76,13,0),0)</f>
        <v>0</v>
      </c>
      <c r="AA177" s="1045">
        <f>+IFERROR(HLOOKUP(AA10,'סקרי נכסים-יתרות פתיחה'!$2:$76,13,0),0)</f>
        <v>0</v>
      </c>
      <c r="AB177" s="1045">
        <f>+IFERROR(HLOOKUP(AB10,'סקרי נכסים-יתרות פתיחה'!$2:$76,13,0),0)</f>
        <v>0</v>
      </c>
      <c r="AC177" s="1045">
        <f>+IFERROR(HLOOKUP(AC10,'סקרי נכסים-יתרות פתיחה'!$2:$76,13,0),0)</f>
        <v>0</v>
      </c>
      <c r="AD177" s="1045">
        <f>+IFERROR(HLOOKUP(AD10,'סקרי נכסים-יתרות פתיחה'!$2:$76,13,0),0)</f>
        <v>0</v>
      </c>
      <c r="AE177" s="1045">
        <f>+IFERROR(HLOOKUP(AE10,'סקרי נכסים-יתרות פתיחה'!$2:$76,13,0),0)</f>
        <v>0</v>
      </c>
      <c r="AF177" s="1045">
        <f>+IFERROR(HLOOKUP(AF10,'סקרי נכסים-יתרות פתיחה'!$2:$76,13,0),0)</f>
        <v>0</v>
      </c>
      <c r="AG177" s="1045">
        <f>+IFERROR(HLOOKUP(AG10,'סקרי נכסים-יתרות פתיחה'!$2:$76,13,0),0)</f>
        <v>0</v>
      </c>
      <c r="AH177" s="1045">
        <f>+IFERROR(HLOOKUP(AH10,'סקרי נכסים-יתרות פתיחה'!$2:$76,13,0),0)</f>
        <v>0</v>
      </c>
      <c r="AI177" s="1045">
        <f>+IFERROR(HLOOKUP(AI10,'סקרי נכסים-יתרות פתיחה'!$2:$76,13,0),0)</f>
        <v>0</v>
      </c>
      <c r="AJ177" s="1045">
        <f>+IFERROR(HLOOKUP(AJ10,'סקרי נכסים-יתרות פתיחה'!$2:$76,13,0),0)</f>
        <v>0</v>
      </c>
      <c r="AK177" s="1045">
        <f>+IFERROR(HLOOKUP(AK10,'סקרי נכסים-יתרות פתיחה'!$2:$76,13,0),0)</f>
        <v>0</v>
      </c>
      <c r="AL177" s="1045">
        <f>+IFERROR(HLOOKUP(AL10,'סקרי נכסים-יתרות פתיחה'!$2:$76,13,0),0)</f>
        <v>0</v>
      </c>
      <c r="AM177" s="1045">
        <f>+IFERROR(HLOOKUP(AM10,'סקרי נכסים-יתרות פתיחה'!$2:$76,13,0),0)</f>
        <v>514000</v>
      </c>
      <c r="AN177" s="1045">
        <f>+IFERROR(HLOOKUP(AN10,'סקרי נכסים-יתרות פתיחה'!$2:$76,13,0),0)</f>
        <v>1714513</v>
      </c>
      <c r="AO177" s="1045">
        <f>+IFERROR(HLOOKUP(AO10,'סקרי נכסים-יתרות פתיחה'!$2:$76,13,0),0)</f>
        <v>0</v>
      </c>
      <c r="AP177" s="1045">
        <f>+IFERROR(HLOOKUP(AP10,'סקרי נכסים-יתרות פתיחה'!$2:$76,13,0),0)</f>
        <v>0</v>
      </c>
      <c r="AQ177" s="1045">
        <f>+IFERROR(HLOOKUP(AQ10,'סקרי נכסים-יתרות פתיחה'!$2:$76,13,0),0)</f>
        <v>0</v>
      </c>
      <c r="AR177" s="1045">
        <f>+IFERROR(HLOOKUP(AR10,'סקרי נכסים-יתרות פתיחה'!$2:$76,13,0),0)</f>
        <v>0</v>
      </c>
      <c r="AS177" s="1045">
        <f>+IFERROR(HLOOKUP(AS10,'סקרי נכסים-יתרות פתיחה'!$2:$76,13,0),0)</f>
        <v>36840</v>
      </c>
      <c r="AT177" s="1045">
        <f>+IFERROR(HLOOKUP(AT10,'סקרי נכסים-יתרות פתיחה'!$2:$76,13,0),0)</f>
        <v>0</v>
      </c>
      <c r="AU177" s="1045">
        <f>+IFERROR(HLOOKUP(AU10,'סקרי נכסים-יתרות פתיחה'!$2:$76,13,0),0)</f>
        <v>0</v>
      </c>
      <c r="AV177" s="1045">
        <f>+IFERROR(HLOOKUP(AV10,'סקרי נכסים-יתרות פתיחה'!$2:$76,13,0),0)</f>
        <v>0</v>
      </c>
      <c r="AW177" s="1045">
        <f>+IFERROR(HLOOKUP(AW10,'סקרי נכסים-יתרות פתיחה'!$2:$76,13,0),0)</f>
        <v>0</v>
      </c>
      <c r="AX177" s="1045">
        <f>+IFERROR(HLOOKUP(AX10,'סקרי נכסים-יתרות פתיחה'!$2:$76,13,0),0)</f>
        <v>35124</v>
      </c>
      <c r="AY177" s="1045">
        <f>+IFERROR(HLOOKUP(AY10,'סקרי נכסים-יתרות פתיחה'!$2:$76,13,0),0)</f>
        <v>0</v>
      </c>
      <c r="AZ177" s="1045">
        <f>+IFERROR(HLOOKUP(AZ10,'סקרי נכסים-יתרות פתיחה'!$2:$76,13,0),0)</f>
        <v>1090770</v>
      </c>
      <c r="BA177" s="1045">
        <f>+IFERROR(HLOOKUP(BA10,'סקרי נכסים-יתרות פתיחה'!$2:$76,13,0),0)</f>
        <v>3100173</v>
      </c>
      <c r="BB177" s="1045">
        <f>+IFERROR(HLOOKUP(BB10,'סקרי נכסים-יתרות פתיחה'!$2:$76,13,0),0)</f>
        <v>180555</v>
      </c>
      <c r="BC177" s="1045">
        <f>+IFERROR(HLOOKUP(BC10,'סקרי נכסים-יתרות פתיחה'!$2:$76,13,0),0)</f>
        <v>163127</v>
      </c>
      <c r="BD177" s="1045">
        <f>+IFERROR(HLOOKUP(BD10,'סקרי נכסים-יתרות פתיחה'!$2:$76,13,0),0)</f>
        <v>0</v>
      </c>
      <c r="BE177" s="1045">
        <f>+IFERROR(HLOOKUP(BE10,'סקרי נכסים-יתרות פתיחה'!$2:$76,13,0),0)</f>
        <v>0</v>
      </c>
      <c r="BF177" s="1045">
        <f>+IFERROR(HLOOKUP(BF10,'סקרי נכסים-יתרות פתיחה'!$2:$76,13,0),0)</f>
        <v>0</v>
      </c>
    </row>
    <row r="178" spans="2:58" x14ac:dyDescent="0.2">
      <c r="B178" s="1">
        <v>4</v>
      </c>
      <c r="C178" s="47">
        <f>+IFERROR(HLOOKUP(C11,'סקרי נכסים-יתרות פתיחה'!$2:$76,13,0),0)</f>
        <v>0</v>
      </c>
      <c r="D178" s="47">
        <f>+IFERROR(HLOOKUP(D11,'סקרי נכסים-יתרות פתיחה'!$2:$76,13,0),0)</f>
        <v>297900</v>
      </c>
      <c r="E178" s="47">
        <f>+IFERROR(HLOOKUP(E11,'סקרי נכסים-יתרות פתיחה'!$2:$76,13,0),0)</f>
        <v>0</v>
      </c>
      <c r="F178" s="47">
        <f>+IFERROR(HLOOKUP(F11,'סקרי נכסים-יתרות פתיחה'!$2:$76,13,0),0)</f>
        <v>0</v>
      </c>
      <c r="G178" s="47">
        <f>+IFERROR(HLOOKUP(G11,'סקרי נכסים-יתרות פתיחה'!$2:$76,13,0),0)</f>
        <v>0</v>
      </c>
      <c r="H178" s="47">
        <f>+IFERROR(HLOOKUP(H11,'סקרי נכסים-יתרות פתיחה'!$2:$76,13,0),0)</f>
        <v>0</v>
      </c>
      <c r="I178" s="47">
        <f>+IFERROR(HLOOKUP(I11,'סקרי נכסים-יתרות פתיחה'!$2:$76,13,0),0)</f>
        <v>0</v>
      </c>
      <c r="J178" s="47">
        <f>+IFERROR(HLOOKUP(J11,'סקרי נכסים-יתרות פתיחה'!$2:$76,13,0),0)</f>
        <v>0</v>
      </c>
      <c r="K178" s="47">
        <f>+IFERROR(HLOOKUP(K11,'סקרי נכסים-יתרות פתיחה'!$2:$76,13,0),0)</f>
        <v>0</v>
      </c>
      <c r="L178" s="47">
        <f>+IFERROR(HLOOKUP(L11,'סקרי נכסים-יתרות פתיחה'!$2:$76,13,0),0)</f>
        <v>365598</v>
      </c>
      <c r="M178" s="47">
        <f>+IFERROR(HLOOKUP(M11,'סקרי נכסים-יתרות פתיחה'!$2:$76,13,0),0)</f>
        <v>0</v>
      </c>
      <c r="N178" s="47">
        <f>+IFERROR(HLOOKUP(N11,'סקרי נכסים-יתרות פתיחה'!$2:$76,13,0),0)</f>
        <v>0</v>
      </c>
      <c r="O178" s="47">
        <f>+IFERROR(HLOOKUP(O11,'סקרי נכסים-יתרות פתיחה'!$2:$76,13,0),0)</f>
        <v>5727918</v>
      </c>
      <c r="P178" s="47">
        <f>+IFERROR(HLOOKUP(P11,'סקרי נכסים-יתרות פתיחה'!$2:$76,13,0),0)</f>
        <v>325582</v>
      </c>
      <c r="Q178" s="47">
        <f>+IFERROR(HLOOKUP(Q11,'סקרי נכסים-יתרות פתיחה'!$2:$76,13,0),0)</f>
        <v>0</v>
      </c>
      <c r="R178" s="47">
        <f>+IFERROR(HLOOKUP(R11,'סקרי נכסים-יתרות פתיחה'!$2:$76,13,0),0)</f>
        <v>0</v>
      </c>
      <c r="S178" s="47">
        <f>+IFERROR(HLOOKUP(S11,'סקרי נכסים-יתרות פתיחה'!$2:$76,13,0),0)</f>
        <v>0</v>
      </c>
      <c r="T178" s="47">
        <f>+IFERROR(HLOOKUP(T11,'סקרי נכסים-יתרות פתיחה'!$2:$76,13,0),0)</f>
        <v>818607</v>
      </c>
      <c r="U178" s="47">
        <f>+IFERROR(HLOOKUP(U11,'סקרי נכסים-יתרות פתיחה'!$2:$76,13,0),0)</f>
        <v>0</v>
      </c>
      <c r="V178" s="47">
        <f>+IFERROR(HLOOKUP(V11,'סקרי נכסים-יתרות פתיחה'!$2:$76,13,0),0)</f>
        <v>293000</v>
      </c>
      <c r="W178" s="47">
        <f>+IFERROR(HLOOKUP(W11,'סקרי נכסים-יתרות פתיחה'!$2:$76,13,0),0)</f>
        <v>0</v>
      </c>
      <c r="X178" s="47">
        <f>+IFERROR(HLOOKUP(X11,'סקרי נכסים-יתרות פתיחה'!$2:$76,13,0),0)</f>
        <v>203320</v>
      </c>
      <c r="Y178" s="47">
        <f>+IFERROR(HLOOKUP(Y11,'סקרי נכסים-יתרות פתיחה'!$2:$76,13,0),0)</f>
        <v>374049</v>
      </c>
      <c r="Z178" s="47">
        <f>+IFERROR(HLOOKUP(Z11,'סקרי נכסים-יתרות פתיחה'!$2:$76,13,0),0)</f>
        <v>0</v>
      </c>
      <c r="AA178" s="47">
        <f>+IFERROR(HLOOKUP(AA11,'סקרי נכסים-יתרות פתיחה'!$2:$76,13,0),0)</f>
        <v>0</v>
      </c>
      <c r="AB178" s="47">
        <f>+IFERROR(HLOOKUP(AB11,'סקרי נכסים-יתרות פתיחה'!$2:$76,13,0),0)</f>
        <v>0</v>
      </c>
      <c r="AC178" s="47">
        <f>+IFERROR(HLOOKUP(AC11,'סקרי נכסים-יתרות פתיחה'!$2:$76,13,0),0)</f>
        <v>0</v>
      </c>
      <c r="AD178" s="47">
        <f>+IFERROR(HLOOKUP(AD11,'סקרי נכסים-יתרות פתיחה'!$2:$76,13,0),0)</f>
        <v>0</v>
      </c>
      <c r="AE178" s="47">
        <f>+IFERROR(HLOOKUP(AE11,'סקרי נכסים-יתרות פתיחה'!$2:$76,13,0),0)</f>
        <v>0</v>
      </c>
      <c r="AF178" s="47">
        <f>+IFERROR(HLOOKUP(AF11,'סקרי נכסים-יתרות פתיחה'!$2:$76,13,0),0)</f>
        <v>0</v>
      </c>
      <c r="AG178" s="47">
        <f>+IFERROR(HLOOKUP(AG11,'סקרי נכסים-יתרות פתיחה'!$2:$76,13,0),0)</f>
        <v>0</v>
      </c>
      <c r="AH178" s="47">
        <f>+IFERROR(HLOOKUP(AH11,'סקרי נכסים-יתרות פתיחה'!$2:$76,13,0),0)</f>
        <v>0</v>
      </c>
      <c r="AI178" s="47">
        <f>+IFERROR(HLOOKUP(AI11,'סקרי נכסים-יתרות פתיחה'!$2:$76,13,0),0)</f>
        <v>0</v>
      </c>
      <c r="AJ178" s="47">
        <f>+IFERROR(HLOOKUP(AJ11,'סקרי נכסים-יתרות פתיחה'!$2:$76,13,0),0)</f>
        <v>0</v>
      </c>
      <c r="AK178" s="47">
        <f>+IFERROR(HLOOKUP(AK11,'סקרי נכסים-יתרות פתיחה'!$2:$76,13,0),0)</f>
        <v>0</v>
      </c>
      <c r="AL178" s="47">
        <f>+IFERROR(HLOOKUP(AL11,'סקרי נכסים-יתרות פתיחה'!$2:$76,13,0),0)</f>
        <v>0</v>
      </c>
      <c r="AM178" s="47">
        <f>+IFERROR(HLOOKUP(AM11,'סקרי נכסים-יתרות פתיחה'!$2:$76,13,0),0)</f>
        <v>1751164</v>
      </c>
      <c r="AN178" s="47">
        <f>+IFERROR(HLOOKUP(AN11,'סקרי נכסים-יתרות פתיחה'!$2:$76,13,0),0)</f>
        <v>1578990</v>
      </c>
      <c r="AO178" s="47">
        <f>+IFERROR(HLOOKUP(AO11,'סקרי נכסים-יתרות פתיחה'!$2:$76,13,0),0)</f>
        <v>0</v>
      </c>
      <c r="AP178" s="47">
        <f>+IFERROR(HLOOKUP(AP11,'סקרי נכסים-יתרות פתיחה'!$2:$76,13,0),0)</f>
        <v>0</v>
      </c>
      <c r="AQ178" s="47">
        <f>+IFERROR(HLOOKUP(AQ11,'סקרי נכסים-יתרות פתיחה'!$2:$76,13,0),0)</f>
        <v>0</v>
      </c>
      <c r="AR178" s="47">
        <f>+IFERROR(HLOOKUP(AR11,'סקרי נכסים-יתרות פתיחה'!$2:$76,13,0),0)</f>
        <v>0</v>
      </c>
      <c r="AS178" s="47">
        <f>+IFERROR(HLOOKUP(AS11,'סקרי נכסים-יתרות פתיחה'!$2:$76,13,0),0)</f>
        <v>86266</v>
      </c>
      <c r="AT178" s="47">
        <f>+IFERROR(HLOOKUP(AT11,'סקרי נכסים-יתרות פתיחה'!$2:$76,13,0),0)</f>
        <v>0</v>
      </c>
      <c r="AU178" s="47">
        <f>+IFERROR(HLOOKUP(AU11,'סקרי נכסים-יתרות פתיחה'!$2:$76,13,0),0)</f>
        <v>0</v>
      </c>
      <c r="AV178" s="47">
        <f>+IFERROR(HLOOKUP(AV11,'סקרי נכסים-יתרות פתיחה'!$2:$76,13,0),0)</f>
        <v>0</v>
      </c>
      <c r="AW178" s="47">
        <f>+IFERROR(HLOOKUP(AW11,'סקרי נכסים-יתרות פתיחה'!$2:$76,13,0),0)</f>
        <v>0</v>
      </c>
      <c r="AX178" s="47">
        <f>+IFERROR(HLOOKUP(AX11,'סקרי נכסים-יתרות פתיחה'!$2:$76,13,0),0)</f>
        <v>0</v>
      </c>
      <c r="AY178" s="47">
        <f>+IFERROR(HLOOKUP(AY11,'סקרי נכסים-יתרות פתיחה'!$2:$76,13,0),0)</f>
        <v>0</v>
      </c>
      <c r="AZ178" s="47">
        <f>+IFERROR(HLOOKUP(AZ11,'סקרי נכסים-יתרות פתיחה'!$2:$76,13,0),0)</f>
        <v>2501900</v>
      </c>
      <c r="BA178" s="47">
        <f>+IFERROR(HLOOKUP(BA11,'סקרי נכסים-יתרות פתיחה'!$2:$76,13,0),0)</f>
        <v>1847390</v>
      </c>
      <c r="BB178" s="47">
        <f>+IFERROR(HLOOKUP(BB11,'סקרי נכסים-יתרות פתיחה'!$2:$76,13,0),0)</f>
        <v>405190</v>
      </c>
      <c r="BC178" s="47">
        <f>+IFERROR(HLOOKUP(BC11,'סקרי נכסים-יתרות פתיחה'!$2:$76,13,0),0)</f>
        <v>1166694</v>
      </c>
      <c r="BD178" s="47">
        <f>+IFERROR(HLOOKUP(BD11,'סקרי נכסים-יתרות פתיחה'!$2:$76,13,0),0)</f>
        <v>0</v>
      </c>
      <c r="BE178" s="47">
        <f>+IFERROR(HLOOKUP(BE11,'סקרי נכסים-יתרות פתיחה'!$2:$76,13,0),0)</f>
        <v>0</v>
      </c>
      <c r="BF178" s="47">
        <f>+IFERROR(HLOOKUP(BF11,'סקרי נכסים-יתרות פתיחה'!$2:$76,13,0),0)</f>
        <v>0</v>
      </c>
    </row>
    <row r="179" spans="2:58" x14ac:dyDescent="0.2">
      <c r="B179" s="1">
        <v>5</v>
      </c>
      <c r="C179" s="47">
        <f>+IFERROR(HLOOKUP(C12,'סקרי נכסים-יתרות פתיחה'!$2:$76,13,0),0)</f>
        <v>0</v>
      </c>
      <c r="D179" s="47">
        <f>+IFERROR(HLOOKUP(D12,'סקרי נכסים-יתרות פתיחה'!$2:$76,13,0),0)</f>
        <v>283005</v>
      </c>
      <c r="E179" s="47">
        <f>+IFERROR(HLOOKUP(E12,'סקרי נכסים-יתרות פתיחה'!$2:$76,13,0),0)</f>
        <v>0</v>
      </c>
      <c r="F179" s="47">
        <f>+IFERROR(HLOOKUP(F12,'סקרי נכסים-יתרות פתיחה'!$2:$76,13,0),0)</f>
        <v>0</v>
      </c>
      <c r="G179" s="47">
        <f>+IFERROR(HLOOKUP(G12,'סקרי נכסים-יתרות פתיחה'!$2:$76,13,0),0)</f>
        <v>0</v>
      </c>
      <c r="H179" s="47">
        <f>+IFERROR(HLOOKUP(H12,'סקרי נכסים-יתרות פתיחה'!$2:$76,13,0),0)</f>
        <v>0</v>
      </c>
      <c r="I179" s="47">
        <f>+IFERROR(HLOOKUP(I12,'סקרי נכסים-יתרות פתיחה'!$2:$76,13,0),0)</f>
        <v>0</v>
      </c>
      <c r="J179" s="47">
        <f>+IFERROR(HLOOKUP(J12,'סקרי נכסים-יתרות פתיחה'!$2:$76,13,0),0)</f>
        <v>0</v>
      </c>
      <c r="K179" s="47">
        <f>+IFERROR(HLOOKUP(K12,'סקרי נכסים-יתרות פתיחה'!$2:$76,13,0),0)</f>
        <v>0</v>
      </c>
      <c r="L179" s="47">
        <f>+IFERROR(HLOOKUP(L12,'סקרי נכסים-יתרות פתיחה'!$2:$76,13,0),0)</f>
        <v>0</v>
      </c>
      <c r="M179" s="47">
        <f>+IFERROR(HLOOKUP(M12,'סקרי נכסים-יתרות פתיחה'!$2:$76,13,0),0)</f>
        <v>0</v>
      </c>
      <c r="N179" s="47">
        <f>+IFERROR(HLOOKUP(N12,'סקרי נכסים-יתרות פתיחה'!$2:$76,13,0),0)</f>
        <v>0</v>
      </c>
      <c r="O179" s="47">
        <f>+IFERROR(HLOOKUP(O12,'סקרי נכסים-יתרות פתיחה'!$2:$76,13,0),0)</f>
        <v>0</v>
      </c>
      <c r="P179" s="47">
        <f>+IFERROR(HLOOKUP(P12,'סקרי נכסים-יתרות פתיחה'!$2:$76,13,0),0)</f>
        <v>196700</v>
      </c>
      <c r="Q179" s="47">
        <f>+IFERROR(HLOOKUP(Q12,'סקרי נכסים-יתרות פתיחה'!$2:$76,13,0),0)</f>
        <v>0</v>
      </c>
      <c r="R179" s="47">
        <f>+IFERROR(HLOOKUP(R12,'סקרי נכסים-יתרות פתיחה'!$2:$76,13,0),0)</f>
        <v>0</v>
      </c>
      <c r="S179" s="47">
        <f>+IFERROR(HLOOKUP(S12,'סקרי נכסים-יתרות פתיחה'!$2:$76,13,0),0)</f>
        <v>0</v>
      </c>
      <c r="T179" s="47">
        <f>+IFERROR(HLOOKUP(T12,'סקרי נכסים-יתרות פתיחה'!$2:$76,13,0),0)</f>
        <v>0</v>
      </c>
      <c r="U179" s="47">
        <f>+IFERROR(HLOOKUP(U12,'סקרי נכסים-יתרות פתיחה'!$2:$76,13,0),0)</f>
        <v>0</v>
      </c>
      <c r="V179" s="47">
        <f>+IFERROR(HLOOKUP(V12,'סקרי נכסים-יתרות פתיחה'!$2:$76,13,0),0)</f>
        <v>275190</v>
      </c>
      <c r="W179" s="47">
        <f>+IFERROR(HLOOKUP(W12,'סקרי נכסים-יתרות פתיחה'!$2:$76,13,0),0)</f>
        <v>0</v>
      </c>
      <c r="X179" s="47">
        <f>+IFERROR(HLOOKUP(X12,'סקרי נכסים-יתרות פתיחה'!$2:$76,13,0),0)</f>
        <v>0</v>
      </c>
      <c r="Y179" s="47">
        <f>+IFERROR(HLOOKUP(Y12,'סקרי נכסים-יתרות פתיחה'!$2:$76,13,0),0)</f>
        <v>0</v>
      </c>
      <c r="Z179" s="47">
        <f>+IFERROR(HLOOKUP(Z12,'סקרי נכסים-יתרות פתיחה'!$2:$76,13,0),0)</f>
        <v>0</v>
      </c>
      <c r="AA179" s="47">
        <f>+IFERROR(HLOOKUP(AA12,'סקרי נכסים-יתרות פתיחה'!$2:$76,13,0),0)</f>
        <v>0</v>
      </c>
      <c r="AB179" s="47">
        <f>+IFERROR(HLOOKUP(AB12,'סקרי נכסים-יתרות פתיחה'!$2:$76,13,0),0)</f>
        <v>0</v>
      </c>
      <c r="AC179" s="47">
        <f>+IFERROR(HLOOKUP(AC12,'סקרי נכסים-יתרות פתיחה'!$2:$76,13,0),0)</f>
        <v>0</v>
      </c>
      <c r="AD179" s="47">
        <f>+IFERROR(HLOOKUP(AD12,'סקרי נכסים-יתרות פתיחה'!$2:$76,13,0),0)</f>
        <v>0</v>
      </c>
      <c r="AE179" s="47">
        <f>+IFERROR(HLOOKUP(AE12,'סקרי נכסים-יתרות פתיחה'!$2:$76,13,0),0)</f>
        <v>0</v>
      </c>
      <c r="AF179" s="47">
        <f>+IFERROR(HLOOKUP(AF12,'סקרי נכסים-יתרות פתיחה'!$2:$76,13,0),0)</f>
        <v>0</v>
      </c>
      <c r="AG179" s="47">
        <f>+IFERROR(HLOOKUP(AG12,'סקרי נכסים-יתרות פתיחה'!$2:$76,13,0),0)</f>
        <v>0</v>
      </c>
      <c r="AH179" s="47">
        <f>+IFERROR(HLOOKUP(AH12,'סקרי נכסים-יתרות פתיחה'!$2:$76,13,0),0)</f>
        <v>0</v>
      </c>
      <c r="AI179" s="47">
        <f>+IFERROR(HLOOKUP(AI12,'סקרי נכסים-יתרות פתיחה'!$2:$76,13,0),0)</f>
        <v>0</v>
      </c>
      <c r="AJ179" s="47">
        <f>+IFERROR(HLOOKUP(AJ12,'סקרי נכסים-יתרות פתיחה'!$2:$76,13,0),0)</f>
        <v>0</v>
      </c>
      <c r="AK179" s="47">
        <f>+IFERROR(HLOOKUP(AK12,'סקרי נכסים-יתרות פתיחה'!$2:$76,13,0),0)</f>
        <v>0</v>
      </c>
      <c r="AL179" s="47">
        <f>+IFERROR(HLOOKUP(AL12,'סקרי נכסים-יתרות פתיחה'!$2:$76,13,0),0)</f>
        <v>0</v>
      </c>
      <c r="AM179" s="47">
        <f>+IFERROR(HLOOKUP(AM12,'סקרי נכסים-יתרות פתיחה'!$2:$76,13,0),0)</f>
        <v>982720</v>
      </c>
      <c r="AN179" s="47">
        <f>+IFERROR(HLOOKUP(AN12,'סקרי נכסים-יתרות פתיחה'!$2:$76,13,0),0)</f>
        <v>1472088</v>
      </c>
      <c r="AO179" s="47">
        <f>+IFERROR(HLOOKUP(AO12,'סקרי נכסים-יתרות פתיחה'!$2:$76,13,0),0)</f>
        <v>0</v>
      </c>
      <c r="AP179" s="47">
        <f>+IFERROR(HLOOKUP(AP12,'סקרי נכסים-יתרות פתיחה'!$2:$76,13,0),0)</f>
        <v>0</v>
      </c>
      <c r="AQ179" s="47">
        <f>+IFERROR(HLOOKUP(AQ12,'סקרי נכסים-יתרות פתיחה'!$2:$76,13,0),0)</f>
        <v>0</v>
      </c>
      <c r="AR179" s="47">
        <f>+IFERROR(HLOOKUP(AR12,'סקרי נכסים-יתרות פתיחה'!$2:$76,13,0),0)</f>
        <v>0</v>
      </c>
      <c r="AS179" s="47">
        <f>+IFERROR(HLOOKUP(AS12,'סקרי נכסים-יתרות פתיחה'!$2:$76,13,0),0)</f>
        <v>1611386</v>
      </c>
      <c r="AT179" s="47">
        <f>+IFERROR(HLOOKUP(AT12,'סקרי נכסים-יתרות פתיחה'!$2:$76,13,0),0)</f>
        <v>0</v>
      </c>
      <c r="AU179" s="47">
        <f>+IFERROR(HLOOKUP(AU12,'סקרי נכסים-יתרות פתיחה'!$2:$76,13,0),0)</f>
        <v>0</v>
      </c>
      <c r="AV179" s="47">
        <f>+IFERROR(HLOOKUP(AV12,'סקרי נכסים-יתרות פתיחה'!$2:$76,13,0),0)</f>
        <v>0</v>
      </c>
      <c r="AW179" s="47">
        <f>+IFERROR(HLOOKUP(AW12,'סקרי נכסים-יתרות פתיחה'!$2:$76,13,0),0)</f>
        <v>0</v>
      </c>
      <c r="AX179" s="47">
        <f>+IFERROR(HLOOKUP(AX12,'סקרי נכסים-יתרות פתיחה'!$2:$76,13,0),0)</f>
        <v>0</v>
      </c>
      <c r="AY179" s="47">
        <f>+IFERROR(HLOOKUP(AY12,'סקרי נכסים-יתרות פתיחה'!$2:$76,13,0),0)</f>
        <v>0</v>
      </c>
      <c r="AZ179" s="47">
        <f>+IFERROR(HLOOKUP(AZ12,'סקרי נכסים-יתרות פתיחה'!$2:$76,13,0),0)</f>
        <v>0</v>
      </c>
      <c r="BA179" s="47">
        <f>+IFERROR(HLOOKUP(BA12,'סקרי נכסים-יתרות פתיחה'!$2:$76,13,0),0)</f>
        <v>0</v>
      </c>
      <c r="BB179" s="47">
        <f>+IFERROR(HLOOKUP(BB12,'סקרי נכסים-יתרות פתיחה'!$2:$76,13,0),0)</f>
        <v>2763915</v>
      </c>
      <c r="BC179" s="47">
        <f>+IFERROR(HLOOKUP(BC12,'סקרי נכסים-יתרות פתיחה'!$2:$76,13,0),0)</f>
        <v>943238</v>
      </c>
      <c r="BD179" s="47">
        <f>+IFERROR(HLOOKUP(BD12,'סקרי נכסים-יתרות פתיחה'!$2:$76,13,0),0)</f>
        <v>0</v>
      </c>
      <c r="BE179" s="47">
        <f>+IFERROR(HLOOKUP(BE12,'סקרי נכסים-יתרות פתיחה'!$2:$76,13,0),0)</f>
        <v>0</v>
      </c>
      <c r="BF179" s="47">
        <f>+IFERROR(HLOOKUP(BF12,'סקרי נכסים-יתרות פתיחה'!$2:$76,13,0),0)</f>
        <v>0</v>
      </c>
    </row>
    <row r="180" spans="2:58" x14ac:dyDescent="0.2">
      <c r="B180" s="1">
        <v>6</v>
      </c>
      <c r="C180" s="47">
        <f>+IFERROR(HLOOKUP(C13,'סקרי נכסים-יתרות פתיחה'!$2:$76,13,0),0)</f>
        <v>0</v>
      </c>
      <c r="D180" s="47">
        <f>+IFERROR(HLOOKUP(D13,'סקרי נכסים-יתרות פתיחה'!$2:$76,13,0),0)</f>
        <v>0</v>
      </c>
      <c r="E180" s="47">
        <f>+IFERROR(HLOOKUP(E13,'סקרי נכסים-יתרות פתיחה'!$2:$76,13,0),0)</f>
        <v>0</v>
      </c>
      <c r="F180" s="47">
        <f>+IFERROR(HLOOKUP(F13,'סקרי נכסים-יתרות פתיחה'!$2:$76,13,0),0)</f>
        <v>0</v>
      </c>
      <c r="G180" s="47">
        <f>+IFERROR(HLOOKUP(G13,'סקרי נכסים-יתרות פתיחה'!$2:$76,13,0),0)</f>
        <v>0</v>
      </c>
      <c r="H180" s="47">
        <f>+IFERROR(HLOOKUP(H13,'סקרי נכסים-יתרות פתיחה'!$2:$76,13,0),0)</f>
        <v>0</v>
      </c>
      <c r="I180" s="47">
        <f>+IFERROR(HLOOKUP(I13,'סקרי נכסים-יתרות פתיחה'!$2:$76,13,0),0)</f>
        <v>0</v>
      </c>
      <c r="J180" s="47">
        <f>+IFERROR(HLOOKUP(J13,'סקרי נכסים-יתרות פתיחה'!$2:$76,13,0),0)</f>
        <v>0</v>
      </c>
      <c r="K180" s="47">
        <f>+IFERROR(HLOOKUP(K13,'סקרי נכסים-יתרות פתיחה'!$2:$76,13,0),0)</f>
        <v>0</v>
      </c>
      <c r="L180" s="47">
        <f>+IFERROR(HLOOKUP(L13,'סקרי נכסים-יתרות פתיחה'!$2:$76,13,0),0)</f>
        <v>0</v>
      </c>
      <c r="M180" s="47">
        <f>+IFERROR(HLOOKUP(M13,'סקרי נכסים-יתרות פתיחה'!$2:$76,13,0),0)</f>
        <v>0</v>
      </c>
      <c r="N180" s="47">
        <f>+IFERROR(HLOOKUP(N13,'סקרי נכסים-יתרות פתיחה'!$2:$76,13,0),0)</f>
        <v>0</v>
      </c>
      <c r="O180" s="47">
        <f>+IFERROR(HLOOKUP(O13,'סקרי נכסים-יתרות פתיחה'!$2:$76,13,0),0)</f>
        <v>0</v>
      </c>
      <c r="P180" s="47">
        <f>+IFERROR(HLOOKUP(P13,'סקרי נכסים-יתרות פתיחה'!$2:$76,13,0),0)</f>
        <v>417430</v>
      </c>
      <c r="Q180" s="47">
        <f>+IFERROR(HLOOKUP(Q13,'סקרי נכסים-יתרות פתיחה'!$2:$76,13,0),0)</f>
        <v>0</v>
      </c>
      <c r="R180" s="47">
        <f>+IFERROR(HLOOKUP(R13,'סקרי נכסים-יתרות פתיחה'!$2:$76,13,0),0)</f>
        <v>0</v>
      </c>
      <c r="S180" s="47">
        <f>+IFERROR(HLOOKUP(S13,'סקרי נכסים-יתרות פתיחה'!$2:$76,13,0),0)</f>
        <v>0</v>
      </c>
      <c r="T180" s="47">
        <f>+IFERROR(HLOOKUP(T13,'סקרי נכסים-יתרות פתיחה'!$2:$76,13,0),0)</f>
        <v>0</v>
      </c>
      <c r="U180" s="47">
        <f>+IFERROR(HLOOKUP(U13,'סקרי נכסים-יתרות פתיחה'!$2:$76,13,0),0)</f>
        <v>0</v>
      </c>
      <c r="V180" s="47">
        <f>+IFERROR(HLOOKUP(V13,'סקרי נכסים-יתרות פתיחה'!$2:$76,13,0),0)</f>
        <v>263650</v>
      </c>
      <c r="W180" s="47">
        <f>+IFERROR(HLOOKUP(W13,'סקרי נכסים-יתרות פתיחה'!$2:$76,13,0),0)</f>
        <v>2389500</v>
      </c>
      <c r="X180" s="47">
        <f>+IFERROR(HLOOKUP(X13,'סקרי נכסים-יתרות פתיחה'!$2:$76,13,0),0)</f>
        <v>0</v>
      </c>
      <c r="Y180" s="47">
        <f>+IFERROR(HLOOKUP(Y13,'סקרי נכסים-יתרות פתיחה'!$2:$76,13,0),0)</f>
        <v>0</v>
      </c>
      <c r="Z180" s="47">
        <f>+IFERROR(HLOOKUP(Z13,'סקרי נכסים-יתרות פתיחה'!$2:$76,13,0),0)</f>
        <v>0</v>
      </c>
      <c r="AA180" s="47">
        <f>+IFERROR(HLOOKUP(AA13,'סקרי נכסים-יתרות פתיחה'!$2:$76,13,0),0)</f>
        <v>0</v>
      </c>
      <c r="AB180" s="47">
        <f>+IFERROR(HLOOKUP(AB13,'סקרי נכסים-יתרות פתיחה'!$2:$76,13,0),0)</f>
        <v>0</v>
      </c>
      <c r="AC180" s="47">
        <f>+IFERROR(HLOOKUP(AC13,'סקרי נכסים-יתרות פתיחה'!$2:$76,13,0),0)</f>
        <v>0</v>
      </c>
      <c r="AD180" s="47">
        <f>+IFERROR(HLOOKUP(AD13,'סקרי נכסים-יתרות פתיחה'!$2:$76,13,0),0)</f>
        <v>0</v>
      </c>
      <c r="AE180" s="47">
        <f>+IFERROR(HLOOKUP(AE13,'סקרי נכסים-יתרות פתיחה'!$2:$76,13,0),0)</f>
        <v>0</v>
      </c>
      <c r="AF180" s="47">
        <f>+IFERROR(HLOOKUP(AF13,'סקרי נכסים-יתרות פתיחה'!$2:$76,13,0),0)</f>
        <v>0</v>
      </c>
      <c r="AG180" s="47">
        <f>+IFERROR(HLOOKUP(AG13,'סקרי נכסים-יתרות פתיחה'!$2:$76,13,0),0)</f>
        <v>0</v>
      </c>
      <c r="AH180" s="47">
        <f>+IFERROR(HLOOKUP(AH13,'סקרי נכסים-יתרות פתיחה'!$2:$76,13,0),0)</f>
        <v>0</v>
      </c>
      <c r="AI180" s="47">
        <f>+IFERROR(HLOOKUP(AI13,'סקרי נכסים-יתרות פתיחה'!$2:$76,13,0),0)</f>
        <v>0</v>
      </c>
      <c r="AJ180" s="47">
        <f>+IFERROR(HLOOKUP(AJ13,'סקרי נכסים-יתרות פתיחה'!$2:$76,13,0),0)</f>
        <v>0</v>
      </c>
      <c r="AK180" s="47">
        <f>+IFERROR(HLOOKUP(AK13,'סקרי נכסים-יתרות פתיחה'!$2:$76,13,0),0)</f>
        <v>0</v>
      </c>
      <c r="AL180" s="47">
        <f>+IFERROR(HLOOKUP(AL13,'סקרי נכסים-יתרות פתיחה'!$2:$76,13,0),0)</f>
        <v>0</v>
      </c>
      <c r="AM180" s="47">
        <f>+IFERROR(HLOOKUP(AM13,'סקרי נכסים-יתרות פתיחה'!$2:$76,13,0),0)</f>
        <v>0</v>
      </c>
      <c r="AN180" s="47">
        <f>+IFERROR(HLOOKUP(AN13,'סקרי נכסים-יתרות פתיחה'!$2:$76,13,0),0)</f>
        <v>1074809</v>
      </c>
      <c r="AO180" s="47">
        <f>+IFERROR(HLOOKUP(AO13,'סקרי נכסים-יתרות פתיחה'!$2:$76,13,0),0)</f>
        <v>0</v>
      </c>
      <c r="AP180" s="47">
        <f>+IFERROR(HLOOKUP(AP13,'סקרי נכסים-יתרות פתיחה'!$2:$76,13,0),0)</f>
        <v>0</v>
      </c>
      <c r="AQ180" s="47">
        <f>+IFERROR(HLOOKUP(AQ13,'סקרי נכסים-יתרות פתיחה'!$2:$76,13,0),0)</f>
        <v>0</v>
      </c>
      <c r="AR180" s="47">
        <f>+IFERROR(HLOOKUP(AR13,'סקרי נכסים-יתרות פתיחה'!$2:$76,13,0),0)</f>
        <v>0</v>
      </c>
      <c r="AS180" s="47">
        <f>+IFERROR(HLOOKUP(AS13,'סקרי נכסים-יתרות פתיחה'!$2:$76,13,0),0)</f>
        <v>489500</v>
      </c>
      <c r="AT180" s="47">
        <f>+IFERROR(HLOOKUP(AT13,'סקרי נכסים-יתרות פתיחה'!$2:$76,13,0),0)</f>
        <v>0</v>
      </c>
      <c r="AU180" s="47">
        <f>+IFERROR(HLOOKUP(AU13,'סקרי נכסים-יתרות פתיחה'!$2:$76,13,0),0)</f>
        <v>0</v>
      </c>
      <c r="AV180" s="47">
        <f>+IFERROR(HLOOKUP(AV13,'סקרי נכסים-יתרות פתיחה'!$2:$76,13,0),0)</f>
        <v>0</v>
      </c>
      <c r="AW180" s="47">
        <f>+IFERROR(HLOOKUP(AW13,'סקרי נכסים-יתרות פתיחה'!$2:$76,13,0),0)</f>
        <v>0</v>
      </c>
      <c r="AX180" s="47">
        <f>+IFERROR(HLOOKUP(AX13,'סקרי נכסים-יתרות פתיחה'!$2:$76,13,0),0)</f>
        <v>0</v>
      </c>
      <c r="AY180" s="47">
        <f>+IFERROR(HLOOKUP(AY13,'סקרי נכסים-יתרות פתיחה'!$2:$76,13,0),0)</f>
        <v>0</v>
      </c>
      <c r="AZ180" s="47">
        <f>+IFERROR(HLOOKUP(AZ13,'סקרי נכסים-יתרות פתיחה'!$2:$76,13,0),0)</f>
        <v>0</v>
      </c>
      <c r="BA180" s="47">
        <f>+IFERROR(HLOOKUP(BA13,'סקרי נכסים-יתרות פתיחה'!$2:$76,13,0),0)</f>
        <v>0</v>
      </c>
      <c r="BB180" s="47">
        <f>+IFERROR(HLOOKUP(BB13,'סקרי נכסים-יתרות פתיחה'!$2:$76,13,0),0)</f>
        <v>248321</v>
      </c>
      <c r="BC180" s="47">
        <f>+IFERROR(HLOOKUP(BC13,'סקרי נכסים-יתרות פתיחה'!$2:$76,13,0),0)</f>
        <v>494975.33333333331</v>
      </c>
      <c r="BD180" s="47">
        <f>+IFERROR(HLOOKUP(BD13,'סקרי נכסים-יתרות פתיחה'!$2:$76,13,0),0)</f>
        <v>0</v>
      </c>
      <c r="BE180" s="47">
        <f>+IFERROR(HLOOKUP(BE13,'סקרי נכסים-יתרות פתיחה'!$2:$76,13,0),0)</f>
        <v>0</v>
      </c>
      <c r="BF180" s="47">
        <f>+IFERROR(HLOOKUP(BF13,'סקרי נכסים-יתרות פתיחה'!$2:$76,13,0),0)</f>
        <v>0</v>
      </c>
    </row>
    <row r="181" spans="2:58" x14ac:dyDescent="0.2">
      <c r="B181" s="1">
        <v>7</v>
      </c>
      <c r="C181" s="47">
        <f>+IFERROR(HLOOKUP(C14,'סקרי נכסים-יתרות פתיחה'!$2:$76,13,0),0)</f>
        <v>0</v>
      </c>
      <c r="D181" s="47">
        <f>+IFERROR(HLOOKUP(D14,'סקרי נכסים-יתרות פתיחה'!$2:$76,13,0),0)</f>
        <v>324115</v>
      </c>
      <c r="E181" s="47">
        <f>+IFERROR(HLOOKUP(E14,'סקרי נכסים-יתרות פתיחה'!$2:$76,13,0),0)</f>
        <v>0</v>
      </c>
      <c r="F181" s="47">
        <f>+IFERROR(HLOOKUP(F14,'סקרי נכסים-יתרות פתיחה'!$2:$76,13,0),0)</f>
        <v>0</v>
      </c>
      <c r="G181" s="47">
        <f>+IFERROR(HLOOKUP(G14,'סקרי נכסים-יתרות פתיחה'!$2:$76,13,0),0)</f>
        <v>0</v>
      </c>
      <c r="H181" s="47">
        <f>+IFERROR(HLOOKUP(H14,'סקרי נכסים-יתרות פתיחה'!$2:$76,13,0),0)</f>
        <v>0</v>
      </c>
      <c r="I181" s="47">
        <f>+IFERROR(HLOOKUP(I14,'סקרי נכסים-יתרות פתיחה'!$2:$76,13,0),0)</f>
        <v>0</v>
      </c>
      <c r="J181" s="47">
        <f>+IFERROR(HLOOKUP(J14,'סקרי נכסים-יתרות פתיחה'!$2:$76,13,0),0)</f>
        <v>0</v>
      </c>
      <c r="K181" s="47">
        <f>+IFERROR(HLOOKUP(K14,'סקרי נכסים-יתרות פתיחה'!$2:$76,13,0),0)</f>
        <v>0</v>
      </c>
      <c r="L181" s="47">
        <f>+IFERROR(HLOOKUP(L14,'סקרי נכסים-יתרות פתיחה'!$2:$76,13,0),0)</f>
        <v>0</v>
      </c>
      <c r="M181" s="47">
        <f>+IFERROR(HLOOKUP(M14,'סקרי נכסים-יתרות פתיחה'!$2:$76,13,0),0)</f>
        <v>0</v>
      </c>
      <c r="N181" s="47">
        <f>+IFERROR(HLOOKUP(N14,'סקרי נכסים-יתרות פתיחה'!$2:$76,13,0),0)</f>
        <v>0</v>
      </c>
      <c r="O181" s="47">
        <f>+IFERROR(HLOOKUP(O14,'סקרי נכסים-יתרות פתיחה'!$2:$76,13,0),0)</f>
        <v>0</v>
      </c>
      <c r="P181" s="47">
        <f>+IFERROR(HLOOKUP(P14,'סקרי נכסים-יתרות פתיחה'!$2:$76,13,0),0)</f>
        <v>173400</v>
      </c>
      <c r="Q181" s="47">
        <f>+IFERROR(HLOOKUP(Q14,'סקרי נכסים-יתרות פתיחה'!$2:$76,13,0),0)</f>
        <v>0</v>
      </c>
      <c r="R181" s="47">
        <f>+IFERROR(HLOOKUP(R14,'סקרי נכסים-יתרות פתיחה'!$2:$76,13,0),0)</f>
        <v>0</v>
      </c>
      <c r="S181" s="47">
        <f>+IFERROR(HLOOKUP(S14,'סקרי נכסים-יתרות פתיחה'!$2:$76,13,0),0)</f>
        <v>0</v>
      </c>
      <c r="T181" s="47">
        <f>+IFERROR(HLOOKUP(T14,'סקרי נכסים-יתרות פתיחה'!$2:$76,13,0),0)</f>
        <v>0</v>
      </c>
      <c r="U181" s="47">
        <f>+IFERROR(HLOOKUP(U14,'סקרי נכסים-יתרות פתיחה'!$2:$76,13,0),0)</f>
        <v>0</v>
      </c>
      <c r="V181" s="47">
        <f>+IFERROR(HLOOKUP(V14,'סקרי נכסים-יתרות פתיחה'!$2:$76,13,0),0)</f>
        <v>221426</v>
      </c>
      <c r="W181" s="47">
        <f>+IFERROR(HLOOKUP(W14,'סקרי נכסים-יתרות פתיחה'!$2:$76,13,0),0)</f>
        <v>33660</v>
      </c>
      <c r="X181" s="47">
        <f>+IFERROR(HLOOKUP(X14,'סקרי נכסים-יתרות פתיחה'!$2:$76,13,0),0)</f>
        <v>0</v>
      </c>
      <c r="Y181" s="47">
        <f>+IFERROR(HLOOKUP(Y14,'סקרי נכסים-יתרות פתיחה'!$2:$76,13,0),0)</f>
        <v>0</v>
      </c>
      <c r="Z181" s="47">
        <f>+IFERROR(HLOOKUP(Z14,'סקרי נכסים-יתרות פתיחה'!$2:$76,13,0),0)</f>
        <v>0</v>
      </c>
      <c r="AA181" s="47">
        <f>+IFERROR(HLOOKUP(AA14,'סקרי נכסים-יתרות פתיחה'!$2:$76,13,0),0)</f>
        <v>0</v>
      </c>
      <c r="AB181" s="47">
        <f>+IFERROR(HLOOKUP(AB14,'סקרי נכסים-יתרות פתיחה'!$2:$76,13,0),0)</f>
        <v>0</v>
      </c>
      <c r="AC181" s="47">
        <f>+IFERROR(HLOOKUP(AC14,'סקרי נכסים-יתרות פתיחה'!$2:$76,13,0),0)</f>
        <v>0</v>
      </c>
      <c r="AD181" s="47">
        <f>+IFERROR(HLOOKUP(AD14,'סקרי נכסים-יתרות פתיחה'!$2:$76,13,0),0)</f>
        <v>0</v>
      </c>
      <c r="AE181" s="47">
        <f>+IFERROR(HLOOKUP(AE14,'סקרי נכסים-יתרות פתיחה'!$2:$76,13,0),0)</f>
        <v>0</v>
      </c>
      <c r="AF181" s="47">
        <f>+IFERROR(HLOOKUP(AF14,'סקרי נכסים-יתרות פתיחה'!$2:$76,13,0),0)</f>
        <v>0</v>
      </c>
      <c r="AG181" s="47">
        <f>+IFERROR(HLOOKUP(AG14,'סקרי נכסים-יתרות פתיחה'!$2:$76,13,0),0)</f>
        <v>0</v>
      </c>
      <c r="AH181" s="47">
        <f>+IFERROR(HLOOKUP(AH14,'סקרי נכסים-יתרות פתיחה'!$2:$76,13,0),0)</f>
        <v>0</v>
      </c>
      <c r="AI181" s="47">
        <f>+IFERROR(HLOOKUP(AI14,'סקרי נכסים-יתרות פתיחה'!$2:$76,13,0),0)</f>
        <v>0</v>
      </c>
      <c r="AJ181" s="47">
        <f>+IFERROR(HLOOKUP(AJ14,'סקרי נכסים-יתרות פתיחה'!$2:$76,13,0),0)</f>
        <v>0</v>
      </c>
      <c r="AK181" s="47">
        <f>+IFERROR(HLOOKUP(AK14,'סקרי נכסים-יתרות פתיחה'!$2:$76,13,0),0)</f>
        <v>0</v>
      </c>
      <c r="AL181" s="47">
        <f>+IFERROR(HLOOKUP(AL14,'סקרי נכסים-יתרות פתיחה'!$2:$76,13,0),0)</f>
        <v>0</v>
      </c>
      <c r="AM181" s="47">
        <f>+IFERROR(HLOOKUP(AM14,'סקרי נכסים-יתרות פתיחה'!$2:$76,13,0),0)</f>
        <v>0</v>
      </c>
      <c r="AN181" s="47">
        <f>+IFERROR(HLOOKUP(AN14,'סקרי נכסים-יתרות פתיחה'!$2:$76,13,0),0)</f>
        <v>0</v>
      </c>
      <c r="AO181" s="47">
        <f>+IFERROR(HLOOKUP(AO14,'סקרי נכסים-יתרות פתיחה'!$2:$76,13,0),0)</f>
        <v>0</v>
      </c>
      <c r="AP181" s="47">
        <f>+IFERROR(HLOOKUP(AP14,'סקרי נכסים-יתרות פתיחה'!$2:$76,13,0),0)</f>
        <v>0</v>
      </c>
      <c r="AQ181" s="47">
        <f>+IFERROR(HLOOKUP(AQ14,'סקרי נכסים-יתרות פתיחה'!$2:$76,13,0),0)</f>
        <v>0</v>
      </c>
      <c r="AR181" s="47">
        <f>+IFERROR(HLOOKUP(AR14,'סקרי נכסים-יתרות פתיחה'!$2:$76,13,0),0)</f>
        <v>0</v>
      </c>
      <c r="AS181" s="47">
        <f>+IFERROR(HLOOKUP(AS14,'סקרי נכסים-יתרות פתיחה'!$2:$76,13,0),0)</f>
        <v>102829</v>
      </c>
      <c r="AT181" s="47">
        <f>+IFERROR(HLOOKUP(AT14,'סקרי נכסים-יתרות פתיחה'!$2:$76,13,0),0)</f>
        <v>0</v>
      </c>
      <c r="AU181" s="47">
        <f>+IFERROR(HLOOKUP(AU14,'סקרי נכסים-יתרות פתיחה'!$2:$76,13,0),0)</f>
        <v>0</v>
      </c>
      <c r="AV181" s="47">
        <f>+IFERROR(HLOOKUP(AV14,'סקרי נכסים-יתרות פתיחה'!$2:$76,13,0),0)</f>
        <v>0</v>
      </c>
      <c r="AW181" s="47">
        <f>+IFERROR(HLOOKUP(AW14,'סקרי נכסים-יתרות פתיחה'!$2:$76,13,0),0)</f>
        <v>0</v>
      </c>
      <c r="AX181" s="47">
        <f>+IFERROR(HLOOKUP(AX14,'סקרי נכסים-יתרות פתיחה'!$2:$76,13,0),0)</f>
        <v>0</v>
      </c>
      <c r="AY181" s="47">
        <f>+IFERROR(HLOOKUP(AY14,'סקרי נכסים-יתרות פתיחה'!$2:$76,13,0),0)</f>
        <v>0</v>
      </c>
      <c r="AZ181" s="47">
        <f>+IFERROR(HLOOKUP(AZ14,'סקרי נכסים-יתרות פתיחה'!$2:$76,13,0),0)</f>
        <v>0</v>
      </c>
      <c r="BA181" s="47">
        <f>+IFERROR(HLOOKUP(BA14,'סקרי נכסים-יתרות פתיחה'!$2:$76,13,0),0)</f>
        <v>0</v>
      </c>
      <c r="BB181" s="47">
        <f>+IFERROR(HLOOKUP(BB14,'סקרי נכסים-יתרות פתיחה'!$2:$76,13,0),0)</f>
        <v>427323</v>
      </c>
      <c r="BC181" s="47">
        <f>+IFERROR(HLOOKUP(BC14,'סקרי נכסים-יתרות פתיחה'!$2:$76,13,0),0)</f>
        <v>494975.33333333331</v>
      </c>
      <c r="BD181" s="47">
        <f>+IFERROR(HLOOKUP(BD14,'סקרי נכסים-יתרות פתיחה'!$2:$76,13,0),0)</f>
        <v>0</v>
      </c>
      <c r="BE181" s="47">
        <f>+IFERROR(HLOOKUP(BE14,'סקרי נכסים-יתרות פתיחה'!$2:$76,13,0),0)</f>
        <v>0</v>
      </c>
      <c r="BF181" s="47">
        <f>+IFERROR(HLOOKUP(BF14,'סקרי נכסים-יתרות פתיחה'!$2:$76,13,0),0)</f>
        <v>0</v>
      </c>
    </row>
    <row r="182" spans="2:58" x14ac:dyDescent="0.2">
      <c r="B182" s="1">
        <v>8</v>
      </c>
      <c r="C182" s="47">
        <f>+IFERROR(HLOOKUP(C15,'סקרי נכסים-יתרות פתיחה'!$2:$76,13,0),0)</f>
        <v>0</v>
      </c>
      <c r="D182" s="47">
        <f>+IFERROR(HLOOKUP(D15,'סקרי נכסים-יתרות פתיחה'!$2:$76,13,0),0)</f>
        <v>0</v>
      </c>
      <c r="E182" s="47">
        <f>+IFERROR(HLOOKUP(E15,'סקרי נכסים-יתרות פתיחה'!$2:$76,13,0),0)</f>
        <v>0</v>
      </c>
      <c r="F182" s="47">
        <f>+IFERROR(HLOOKUP(F15,'סקרי נכסים-יתרות פתיחה'!$2:$76,13,0),0)</f>
        <v>0</v>
      </c>
      <c r="G182" s="47">
        <f>+IFERROR(HLOOKUP(G15,'סקרי נכסים-יתרות פתיחה'!$2:$76,13,0),0)</f>
        <v>0</v>
      </c>
      <c r="H182" s="47">
        <f>+IFERROR(HLOOKUP(H15,'סקרי נכסים-יתרות פתיחה'!$2:$76,13,0),0)</f>
        <v>0</v>
      </c>
      <c r="I182" s="47">
        <f>+IFERROR(HLOOKUP(I15,'סקרי נכסים-יתרות פתיחה'!$2:$76,13,0),0)</f>
        <v>0</v>
      </c>
      <c r="J182" s="47">
        <f>+IFERROR(HLOOKUP(J15,'סקרי נכסים-יתרות פתיחה'!$2:$76,13,0),0)</f>
        <v>0</v>
      </c>
      <c r="K182" s="47">
        <f>+IFERROR(HLOOKUP(K15,'סקרי נכסים-יתרות פתיחה'!$2:$76,13,0),0)</f>
        <v>0</v>
      </c>
      <c r="L182" s="47">
        <f>+IFERROR(HLOOKUP(L15,'סקרי נכסים-יתרות פתיחה'!$2:$76,13,0),0)</f>
        <v>0</v>
      </c>
      <c r="M182" s="47">
        <f>+IFERROR(HLOOKUP(M15,'סקרי נכסים-יתרות פתיחה'!$2:$76,13,0),0)</f>
        <v>0</v>
      </c>
      <c r="N182" s="47">
        <f>+IFERROR(HLOOKUP(N15,'סקרי נכסים-יתרות פתיחה'!$2:$76,13,0),0)</f>
        <v>0</v>
      </c>
      <c r="O182" s="47">
        <f>+IFERROR(HLOOKUP(O15,'סקרי נכסים-יתרות פתיחה'!$2:$76,13,0),0)</f>
        <v>0</v>
      </c>
      <c r="P182" s="47">
        <f>+IFERROR(HLOOKUP(P15,'סקרי נכסים-יתרות פתיחה'!$2:$76,13,0),0)</f>
        <v>0</v>
      </c>
      <c r="Q182" s="47">
        <f>+IFERROR(HLOOKUP(Q15,'סקרי נכסים-יתרות פתיחה'!$2:$76,13,0),0)</f>
        <v>0</v>
      </c>
      <c r="R182" s="47">
        <f>+IFERROR(HLOOKUP(R15,'סקרי נכסים-יתרות פתיחה'!$2:$76,13,0),0)</f>
        <v>0</v>
      </c>
      <c r="S182" s="47">
        <f>+IFERROR(HLOOKUP(S15,'סקרי נכסים-יתרות פתיחה'!$2:$76,13,0),0)</f>
        <v>0</v>
      </c>
      <c r="T182" s="47">
        <f>+IFERROR(HLOOKUP(T15,'סקרי נכסים-יתרות פתיחה'!$2:$76,13,0),0)</f>
        <v>0</v>
      </c>
      <c r="U182" s="47">
        <f>+IFERROR(HLOOKUP(U15,'סקרי נכסים-יתרות פתיחה'!$2:$76,13,0),0)</f>
        <v>0</v>
      </c>
      <c r="V182" s="47">
        <f>+IFERROR(HLOOKUP(V15,'סקרי נכסים-יתרות פתיחה'!$2:$76,13,0),0)</f>
        <v>0</v>
      </c>
      <c r="W182" s="47">
        <f>+IFERROR(HLOOKUP(W15,'סקרי נכסים-יתרות פתיחה'!$2:$76,13,0),0)</f>
        <v>0</v>
      </c>
      <c r="X182" s="47">
        <f>+IFERROR(HLOOKUP(X15,'סקרי נכסים-יתרות פתיחה'!$2:$76,13,0),0)</f>
        <v>0</v>
      </c>
      <c r="Y182" s="47">
        <f>+IFERROR(HLOOKUP(Y15,'סקרי נכסים-יתרות פתיחה'!$2:$76,13,0),0)</f>
        <v>0</v>
      </c>
      <c r="Z182" s="47">
        <f>+IFERROR(HLOOKUP(Z15,'סקרי נכסים-יתרות פתיחה'!$2:$76,13,0),0)</f>
        <v>0</v>
      </c>
      <c r="AA182" s="47">
        <f>+IFERROR(HLOOKUP(AA15,'סקרי נכסים-יתרות פתיחה'!$2:$76,13,0),0)</f>
        <v>0</v>
      </c>
      <c r="AB182" s="47">
        <f>+IFERROR(HLOOKUP(AB15,'סקרי נכסים-יתרות פתיחה'!$2:$76,13,0),0)</f>
        <v>0</v>
      </c>
      <c r="AC182" s="47">
        <f>+IFERROR(HLOOKUP(AC15,'סקרי נכסים-יתרות פתיחה'!$2:$76,13,0),0)</f>
        <v>0</v>
      </c>
      <c r="AD182" s="47">
        <f>+IFERROR(HLOOKUP(AD15,'סקרי נכסים-יתרות פתיחה'!$2:$76,13,0),0)</f>
        <v>0</v>
      </c>
      <c r="AE182" s="47">
        <f>+IFERROR(HLOOKUP(AE15,'סקרי נכסים-יתרות פתיחה'!$2:$76,13,0),0)</f>
        <v>0</v>
      </c>
      <c r="AF182" s="47">
        <f>+IFERROR(HLOOKUP(AF15,'סקרי נכסים-יתרות פתיחה'!$2:$76,13,0),0)</f>
        <v>0</v>
      </c>
      <c r="AG182" s="47">
        <f>+IFERROR(HLOOKUP(AG15,'סקרי נכסים-יתרות פתיחה'!$2:$76,13,0),0)</f>
        <v>0</v>
      </c>
      <c r="AH182" s="47">
        <f>+IFERROR(HLOOKUP(AH15,'סקרי נכסים-יתרות פתיחה'!$2:$76,13,0),0)</f>
        <v>0</v>
      </c>
      <c r="AI182" s="47">
        <f>+IFERROR(HLOOKUP(AI15,'סקרי נכסים-יתרות פתיחה'!$2:$76,13,0),0)</f>
        <v>0</v>
      </c>
      <c r="AJ182" s="47">
        <f>+IFERROR(HLOOKUP(AJ15,'סקרי נכסים-יתרות פתיחה'!$2:$76,13,0),0)</f>
        <v>0</v>
      </c>
      <c r="AK182" s="47">
        <f>+IFERROR(HLOOKUP(AK15,'סקרי נכסים-יתרות פתיחה'!$2:$76,13,0),0)</f>
        <v>0</v>
      </c>
      <c r="AL182" s="47">
        <f>+IFERROR(HLOOKUP(AL15,'סקרי נכסים-יתרות פתיחה'!$2:$76,13,0),0)</f>
        <v>0</v>
      </c>
      <c r="AM182" s="47">
        <f>+IFERROR(HLOOKUP(AM15,'סקרי נכסים-יתרות פתיחה'!$2:$76,13,0),0)</f>
        <v>0</v>
      </c>
      <c r="AN182" s="47">
        <f>+IFERROR(HLOOKUP(AN15,'סקרי נכסים-יתרות פתיחה'!$2:$76,13,0),0)</f>
        <v>0</v>
      </c>
      <c r="AO182" s="47">
        <f>+IFERROR(HLOOKUP(AO15,'סקרי נכסים-יתרות פתיחה'!$2:$76,13,0),0)</f>
        <v>0</v>
      </c>
      <c r="AP182" s="47">
        <f>+IFERROR(HLOOKUP(AP15,'סקרי נכסים-יתרות פתיחה'!$2:$76,13,0),0)</f>
        <v>0</v>
      </c>
      <c r="AQ182" s="47">
        <f>+IFERROR(HLOOKUP(AQ15,'סקרי נכסים-יתרות פתיחה'!$2:$76,13,0),0)</f>
        <v>0</v>
      </c>
      <c r="AR182" s="47">
        <f>+IFERROR(HLOOKUP(AR15,'סקרי נכסים-יתרות פתיחה'!$2:$76,13,0),0)</f>
        <v>0</v>
      </c>
      <c r="AS182" s="47">
        <f>+IFERROR(HLOOKUP(AS15,'סקרי נכסים-יתרות פתיחה'!$2:$76,13,0),0)</f>
        <v>1201888</v>
      </c>
      <c r="AT182" s="47">
        <f>+IFERROR(HLOOKUP(AT15,'סקרי נכסים-יתרות פתיחה'!$2:$76,13,0),0)</f>
        <v>0</v>
      </c>
      <c r="AU182" s="47">
        <f>+IFERROR(HLOOKUP(AU15,'סקרי נכסים-יתרות פתיחה'!$2:$76,13,0),0)</f>
        <v>0</v>
      </c>
      <c r="AV182" s="47">
        <f>+IFERROR(HLOOKUP(AV15,'סקרי נכסים-יתרות פתיחה'!$2:$76,13,0),0)</f>
        <v>0</v>
      </c>
      <c r="AW182" s="47">
        <f>+IFERROR(HLOOKUP(AW15,'סקרי נכסים-יתרות פתיחה'!$2:$76,13,0),0)</f>
        <v>0</v>
      </c>
      <c r="AX182" s="47">
        <f>+IFERROR(HLOOKUP(AX15,'סקרי נכסים-יתרות פתיחה'!$2:$76,13,0),0)</f>
        <v>0</v>
      </c>
      <c r="AY182" s="47">
        <f>+IFERROR(HLOOKUP(AY15,'סקרי נכסים-יתרות פתיחה'!$2:$76,13,0),0)</f>
        <v>0</v>
      </c>
      <c r="AZ182" s="47">
        <f>+IFERROR(HLOOKUP(AZ15,'סקרי נכסים-יתרות פתיחה'!$2:$76,13,0),0)</f>
        <v>0</v>
      </c>
      <c r="BA182" s="47">
        <f>+IFERROR(HLOOKUP(BA15,'סקרי נכסים-יתרות פתיחה'!$2:$76,13,0),0)</f>
        <v>0</v>
      </c>
      <c r="BB182" s="47">
        <f>+IFERROR(HLOOKUP(BB15,'סקרי נכסים-יתרות פתיחה'!$2:$76,13,0),0)</f>
        <v>0</v>
      </c>
      <c r="BC182" s="47">
        <f>+IFERROR(HLOOKUP(BC15,'סקרי נכסים-יתרות פתיחה'!$2:$76,13,0),0)</f>
        <v>0</v>
      </c>
      <c r="BD182" s="47">
        <f>+IFERROR(HLOOKUP(BD15,'סקרי נכסים-יתרות פתיחה'!$2:$76,13,0),0)</f>
        <v>0</v>
      </c>
      <c r="BE182" s="47">
        <f>+IFERROR(HLOOKUP(BE15,'סקרי נכסים-יתרות פתיחה'!$2:$76,13,0),0)</f>
        <v>0</v>
      </c>
      <c r="BF182" s="47">
        <f>+IFERROR(HLOOKUP(BF15,'סקרי נכסים-יתרות פתיחה'!$2:$76,13,0),0)</f>
        <v>0</v>
      </c>
    </row>
    <row r="183" spans="2:58" x14ac:dyDescent="0.2">
      <c r="B183" s="1">
        <v>9</v>
      </c>
      <c r="C183" s="47">
        <f>+IFERROR(HLOOKUP(C16,'סקרי נכסים-יתרות פתיחה'!$2:$76,13,0),0)</f>
        <v>0</v>
      </c>
      <c r="D183" s="47">
        <f>+IFERROR(HLOOKUP(D16,'סקרי נכסים-יתרות פתיחה'!$2:$76,13,0),0)</f>
        <v>0</v>
      </c>
      <c r="E183" s="47">
        <f>+IFERROR(HLOOKUP(E16,'סקרי נכסים-יתרות פתיחה'!$2:$76,13,0),0)</f>
        <v>0</v>
      </c>
      <c r="F183" s="47">
        <f>+IFERROR(HLOOKUP(F16,'סקרי נכסים-יתרות פתיחה'!$2:$76,13,0),0)</f>
        <v>0</v>
      </c>
      <c r="G183" s="47">
        <f>+IFERROR(HLOOKUP(G16,'סקרי נכסים-יתרות פתיחה'!$2:$76,13,0),0)</f>
        <v>0</v>
      </c>
      <c r="H183" s="47">
        <f>+IFERROR(HLOOKUP(H16,'סקרי נכסים-יתרות פתיחה'!$2:$76,13,0),0)</f>
        <v>0</v>
      </c>
      <c r="I183" s="47">
        <f>+IFERROR(HLOOKUP(I16,'סקרי נכסים-יתרות פתיחה'!$2:$76,13,0),0)</f>
        <v>0</v>
      </c>
      <c r="J183" s="47">
        <f>+IFERROR(HLOOKUP(J16,'סקרי נכסים-יתרות פתיחה'!$2:$76,13,0),0)</f>
        <v>0</v>
      </c>
      <c r="K183" s="47">
        <f>+IFERROR(HLOOKUP(K16,'סקרי נכסים-יתרות פתיחה'!$2:$76,13,0),0)</f>
        <v>0</v>
      </c>
      <c r="L183" s="47">
        <f>+IFERROR(HLOOKUP(L16,'סקרי נכסים-יתרות פתיחה'!$2:$76,13,0),0)</f>
        <v>0</v>
      </c>
      <c r="M183" s="47">
        <f>+IFERROR(HLOOKUP(M16,'סקרי נכסים-יתרות פתיחה'!$2:$76,13,0),0)</f>
        <v>0</v>
      </c>
      <c r="N183" s="47">
        <f>+IFERROR(HLOOKUP(N16,'סקרי נכסים-יתרות פתיחה'!$2:$76,13,0),0)</f>
        <v>0</v>
      </c>
      <c r="O183" s="47">
        <f>+IFERROR(HLOOKUP(O16,'סקרי נכסים-יתרות פתיחה'!$2:$76,13,0),0)</f>
        <v>0</v>
      </c>
      <c r="P183" s="47">
        <f>+IFERROR(HLOOKUP(P16,'סקרי נכסים-יתרות פתיחה'!$2:$76,13,0),0)</f>
        <v>2079830</v>
      </c>
      <c r="Q183" s="47">
        <f>+IFERROR(HLOOKUP(Q16,'סקרי נכסים-יתרות פתיחה'!$2:$76,13,0),0)</f>
        <v>0</v>
      </c>
      <c r="R183" s="47">
        <f>+IFERROR(HLOOKUP(R16,'סקרי נכסים-יתרות פתיחה'!$2:$76,13,0),0)</f>
        <v>0</v>
      </c>
      <c r="S183" s="47">
        <f>+IFERROR(HLOOKUP(S16,'סקרי נכסים-יתרות פתיחה'!$2:$76,13,0),0)</f>
        <v>0</v>
      </c>
      <c r="T183" s="47">
        <f>+IFERROR(HLOOKUP(T16,'סקרי נכסים-יתרות פתיחה'!$2:$76,13,0),0)</f>
        <v>0</v>
      </c>
      <c r="U183" s="47">
        <f>+IFERROR(HLOOKUP(U16,'סקרי נכסים-יתרות פתיחה'!$2:$76,13,0),0)</f>
        <v>0</v>
      </c>
      <c r="V183" s="47">
        <f>+IFERROR(HLOOKUP(V16,'סקרי נכסים-יתרות פתיחה'!$2:$76,13,0),0)</f>
        <v>0</v>
      </c>
      <c r="W183" s="47">
        <f>+IFERROR(HLOOKUP(W16,'סקרי נכסים-יתרות פתיחה'!$2:$76,13,0),0)</f>
        <v>0</v>
      </c>
      <c r="X183" s="47">
        <f>+IFERROR(HLOOKUP(X16,'סקרי נכסים-יתרות פתיחה'!$2:$76,13,0),0)</f>
        <v>0</v>
      </c>
      <c r="Y183" s="47">
        <f>+IFERROR(HLOOKUP(Y16,'סקרי נכסים-יתרות פתיחה'!$2:$76,13,0),0)</f>
        <v>0</v>
      </c>
      <c r="Z183" s="47">
        <f>+IFERROR(HLOOKUP(Z16,'סקרי נכסים-יתרות פתיחה'!$2:$76,13,0),0)</f>
        <v>0</v>
      </c>
      <c r="AA183" s="47">
        <f>+IFERROR(HLOOKUP(AA16,'סקרי נכסים-יתרות פתיחה'!$2:$76,13,0),0)</f>
        <v>0</v>
      </c>
      <c r="AB183" s="47">
        <f>+IFERROR(HLOOKUP(AB16,'סקרי נכסים-יתרות פתיחה'!$2:$76,13,0),0)</f>
        <v>0</v>
      </c>
      <c r="AC183" s="47">
        <f>+IFERROR(HLOOKUP(AC16,'סקרי נכסים-יתרות פתיחה'!$2:$76,13,0),0)</f>
        <v>0</v>
      </c>
      <c r="AD183" s="47">
        <f>+IFERROR(HLOOKUP(AD16,'סקרי נכסים-יתרות פתיחה'!$2:$76,13,0),0)</f>
        <v>0</v>
      </c>
      <c r="AE183" s="47">
        <f>+IFERROR(HLOOKUP(AE16,'סקרי נכסים-יתרות פתיחה'!$2:$76,13,0),0)</f>
        <v>0</v>
      </c>
      <c r="AF183" s="47">
        <f>+IFERROR(HLOOKUP(AF16,'סקרי נכסים-יתרות פתיחה'!$2:$76,13,0),0)</f>
        <v>0</v>
      </c>
      <c r="AG183" s="47">
        <f>+IFERROR(HLOOKUP(AG16,'סקרי נכסים-יתרות פתיחה'!$2:$76,13,0),0)</f>
        <v>0</v>
      </c>
      <c r="AH183" s="47">
        <f>+IFERROR(HLOOKUP(AH16,'סקרי נכסים-יתרות פתיחה'!$2:$76,13,0),0)</f>
        <v>0</v>
      </c>
      <c r="AI183" s="47">
        <f>+IFERROR(HLOOKUP(AI16,'סקרי נכסים-יתרות פתיחה'!$2:$76,13,0),0)</f>
        <v>0</v>
      </c>
      <c r="AJ183" s="47">
        <f>+IFERROR(HLOOKUP(AJ16,'סקרי נכסים-יתרות פתיחה'!$2:$76,13,0),0)</f>
        <v>0</v>
      </c>
      <c r="AK183" s="47">
        <f>+IFERROR(HLOOKUP(AK16,'סקרי נכסים-יתרות פתיחה'!$2:$76,13,0),0)</f>
        <v>0</v>
      </c>
      <c r="AL183" s="47">
        <f>+IFERROR(HLOOKUP(AL16,'סקרי נכסים-יתרות פתיחה'!$2:$76,13,0),0)</f>
        <v>0</v>
      </c>
      <c r="AM183" s="47">
        <f>+IFERROR(HLOOKUP(AM16,'סקרי נכסים-יתרות פתיחה'!$2:$76,13,0),0)</f>
        <v>0</v>
      </c>
      <c r="AN183" s="47">
        <f>+IFERROR(HLOOKUP(AN16,'סקרי נכסים-יתרות פתיחה'!$2:$76,13,0),0)</f>
        <v>0</v>
      </c>
      <c r="AO183" s="47">
        <f>+IFERROR(HLOOKUP(AO16,'סקרי נכסים-יתרות פתיחה'!$2:$76,13,0),0)</f>
        <v>0</v>
      </c>
      <c r="AP183" s="47">
        <f>+IFERROR(HLOOKUP(AP16,'סקרי נכסים-יתרות פתיחה'!$2:$76,13,0),0)</f>
        <v>0</v>
      </c>
      <c r="AQ183" s="47">
        <f>+IFERROR(HLOOKUP(AQ16,'סקרי נכסים-יתרות פתיחה'!$2:$76,13,0),0)</f>
        <v>0</v>
      </c>
      <c r="AR183" s="47">
        <f>+IFERROR(HLOOKUP(AR16,'סקרי נכסים-יתרות פתיחה'!$2:$76,13,0),0)</f>
        <v>0</v>
      </c>
      <c r="AS183" s="47">
        <f>+IFERROR(HLOOKUP(AS16,'סקרי נכסים-יתרות פתיחה'!$2:$76,13,0),0)</f>
        <v>146565</v>
      </c>
      <c r="AT183" s="47">
        <f>+IFERROR(HLOOKUP(AT16,'סקרי נכסים-יתרות פתיחה'!$2:$76,13,0),0)</f>
        <v>0</v>
      </c>
      <c r="AU183" s="47">
        <f>+IFERROR(HLOOKUP(AU16,'סקרי נכסים-יתרות פתיחה'!$2:$76,13,0),0)</f>
        <v>0</v>
      </c>
      <c r="AV183" s="47">
        <f>+IFERROR(HLOOKUP(AV16,'סקרי נכסים-יתרות פתיחה'!$2:$76,13,0),0)</f>
        <v>0</v>
      </c>
      <c r="AW183" s="47">
        <f>+IFERROR(HLOOKUP(AW16,'סקרי נכסים-יתרות פתיחה'!$2:$76,13,0),0)</f>
        <v>0</v>
      </c>
      <c r="AX183" s="47">
        <f>+IFERROR(HLOOKUP(AX16,'סקרי נכסים-יתרות פתיחה'!$2:$76,13,0),0)</f>
        <v>0</v>
      </c>
      <c r="AY183" s="47">
        <f>+IFERROR(HLOOKUP(AY16,'סקרי נכסים-יתרות פתיחה'!$2:$76,13,0),0)</f>
        <v>0</v>
      </c>
      <c r="AZ183" s="47">
        <f>+IFERROR(HLOOKUP(AZ16,'סקרי נכסים-יתרות פתיחה'!$2:$76,13,0),0)</f>
        <v>0</v>
      </c>
      <c r="BA183" s="47">
        <f>+IFERROR(HLOOKUP(BA16,'סקרי נכסים-יתרות פתיחה'!$2:$76,13,0),0)</f>
        <v>0</v>
      </c>
      <c r="BB183" s="47">
        <f>+IFERROR(HLOOKUP(BB16,'סקרי נכסים-יתרות פתיחה'!$2:$76,13,0),0)</f>
        <v>0</v>
      </c>
      <c r="BC183" s="47">
        <f>+IFERROR(HLOOKUP(BC16,'סקרי נכסים-יתרות פתיחה'!$2:$76,13,0),0)</f>
        <v>0</v>
      </c>
      <c r="BD183" s="47">
        <f>+IFERROR(HLOOKUP(BD16,'סקרי נכסים-יתרות פתיחה'!$2:$76,13,0),0)</f>
        <v>0</v>
      </c>
      <c r="BE183" s="47">
        <f>+IFERROR(HLOOKUP(BE16,'סקרי נכסים-יתרות פתיחה'!$2:$76,13,0),0)</f>
        <v>0</v>
      </c>
      <c r="BF183" s="47">
        <f>+IFERROR(HLOOKUP(BF16,'סקרי נכסים-יתרות פתיחה'!$2:$76,13,0),0)</f>
        <v>0</v>
      </c>
    </row>
    <row r="184" spans="2:58" x14ac:dyDescent="0.2">
      <c r="B184" s="1">
        <v>10</v>
      </c>
      <c r="C184" s="47">
        <f>+IFERROR(HLOOKUP(C17,'סקרי נכסים-יתרות פתיחה'!$2:$76,13,0),0)</f>
        <v>0</v>
      </c>
      <c r="D184" s="47">
        <f>+IFERROR(HLOOKUP(D17,'סקרי נכסים-יתרות פתיחה'!$2:$76,13,0),0)</f>
        <v>0</v>
      </c>
      <c r="E184" s="47">
        <f>+IFERROR(HLOOKUP(E17,'סקרי נכסים-יתרות פתיחה'!$2:$76,13,0),0)</f>
        <v>0</v>
      </c>
      <c r="F184" s="47">
        <f>+IFERROR(HLOOKUP(F17,'סקרי נכסים-יתרות פתיחה'!$2:$76,13,0),0)</f>
        <v>0</v>
      </c>
      <c r="G184" s="47">
        <f>+IFERROR(HLOOKUP(G17,'סקרי נכסים-יתרות פתיחה'!$2:$76,13,0),0)</f>
        <v>0</v>
      </c>
      <c r="H184" s="47">
        <f>+IFERROR(HLOOKUP(H17,'סקרי נכסים-יתרות פתיחה'!$2:$76,13,0),0)</f>
        <v>0</v>
      </c>
      <c r="I184" s="47">
        <f>+IFERROR(HLOOKUP(I17,'סקרי נכסים-יתרות פתיחה'!$2:$76,13,0),0)</f>
        <v>0</v>
      </c>
      <c r="J184" s="47">
        <f>+IFERROR(HLOOKUP(J17,'סקרי נכסים-יתרות פתיחה'!$2:$76,13,0),0)</f>
        <v>0</v>
      </c>
      <c r="K184" s="47">
        <f>+IFERROR(HLOOKUP(K17,'סקרי נכסים-יתרות פתיחה'!$2:$76,13,0),0)</f>
        <v>0</v>
      </c>
      <c r="L184" s="47">
        <f>+IFERROR(HLOOKUP(L17,'סקרי נכסים-יתרות פתיחה'!$2:$76,13,0),0)</f>
        <v>0</v>
      </c>
      <c r="M184" s="47">
        <f>+IFERROR(HLOOKUP(M17,'סקרי נכסים-יתרות פתיחה'!$2:$76,13,0),0)</f>
        <v>0</v>
      </c>
      <c r="N184" s="47">
        <f>+IFERROR(HLOOKUP(N17,'סקרי נכסים-יתרות פתיחה'!$2:$76,13,0),0)</f>
        <v>0</v>
      </c>
      <c r="O184" s="47">
        <f>+IFERROR(HLOOKUP(O17,'סקרי נכסים-יתרות פתיחה'!$2:$76,13,0),0)</f>
        <v>0</v>
      </c>
      <c r="P184" s="47">
        <f>+IFERROR(HLOOKUP(P17,'סקרי נכסים-יתרות פתיחה'!$2:$76,13,0),0)</f>
        <v>445594</v>
      </c>
      <c r="Q184" s="47">
        <f>+IFERROR(HLOOKUP(Q17,'סקרי נכסים-יתרות פתיחה'!$2:$76,13,0),0)</f>
        <v>0</v>
      </c>
      <c r="R184" s="47">
        <f>+IFERROR(HLOOKUP(R17,'סקרי נכסים-יתרות פתיחה'!$2:$76,13,0),0)</f>
        <v>0</v>
      </c>
      <c r="S184" s="47">
        <f>+IFERROR(HLOOKUP(S17,'סקרי נכסים-יתרות פתיחה'!$2:$76,13,0),0)</f>
        <v>0</v>
      </c>
      <c r="T184" s="47">
        <f>+IFERROR(HLOOKUP(T17,'סקרי נכסים-יתרות פתיחה'!$2:$76,13,0),0)</f>
        <v>0</v>
      </c>
      <c r="U184" s="47">
        <f>+IFERROR(HLOOKUP(U17,'סקרי נכסים-יתרות פתיחה'!$2:$76,13,0),0)</f>
        <v>0</v>
      </c>
      <c r="V184" s="47">
        <f>+IFERROR(HLOOKUP(V17,'סקרי נכסים-יתרות פתיחה'!$2:$76,13,0),0)</f>
        <v>0</v>
      </c>
      <c r="W184" s="47">
        <f>+IFERROR(HLOOKUP(W17,'סקרי נכסים-יתרות פתיחה'!$2:$76,13,0),0)</f>
        <v>0</v>
      </c>
      <c r="X184" s="47">
        <f>+IFERROR(HLOOKUP(X17,'סקרי נכסים-יתרות פתיחה'!$2:$76,13,0),0)</f>
        <v>0</v>
      </c>
      <c r="Y184" s="47">
        <f>+IFERROR(HLOOKUP(Y17,'סקרי נכסים-יתרות פתיחה'!$2:$76,13,0),0)</f>
        <v>0</v>
      </c>
      <c r="Z184" s="47">
        <f>+IFERROR(HLOOKUP(Z17,'סקרי נכסים-יתרות פתיחה'!$2:$76,13,0),0)</f>
        <v>0</v>
      </c>
      <c r="AA184" s="47">
        <f>+IFERROR(HLOOKUP(AA17,'סקרי נכסים-יתרות פתיחה'!$2:$76,13,0),0)</f>
        <v>0</v>
      </c>
      <c r="AB184" s="47">
        <f>+IFERROR(HLOOKUP(AB17,'סקרי נכסים-יתרות פתיחה'!$2:$76,13,0),0)</f>
        <v>0</v>
      </c>
      <c r="AC184" s="47">
        <f>+IFERROR(HLOOKUP(AC17,'סקרי נכסים-יתרות פתיחה'!$2:$76,13,0),0)</f>
        <v>0</v>
      </c>
      <c r="AD184" s="47">
        <f>+IFERROR(HLOOKUP(AD17,'סקרי נכסים-יתרות פתיחה'!$2:$76,13,0),0)</f>
        <v>0</v>
      </c>
      <c r="AE184" s="47">
        <f>+IFERROR(HLOOKUP(AE17,'סקרי נכסים-יתרות פתיחה'!$2:$76,13,0),0)</f>
        <v>0</v>
      </c>
      <c r="AF184" s="47">
        <f>+IFERROR(HLOOKUP(AF17,'סקרי נכסים-יתרות פתיחה'!$2:$76,13,0),0)</f>
        <v>0</v>
      </c>
      <c r="AG184" s="47">
        <f>+IFERROR(HLOOKUP(AG17,'סקרי נכסים-יתרות פתיחה'!$2:$76,13,0),0)</f>
        <v>0</v>
      </c>
      <c r="AH184" s="47">
        <f>+IFERROR(HLOOKUP(AH17,'סקרי נכסים-יתרות פתיחה'!$2:$76,13,0),0)</f>
        <v>0</v>
      </c>
      <c r="AI184" s="47">
        <f>+IFERROR(HLOOKUP(AI17,'סקרי נכסים-יתרות פתיחה'!$2:$76,13,0),0)</f>
        <v>0</v>
      </c>
      <c r="AJ184" s="47">
        <f>+IFERROR(HLOOKUP(AJ17,'סקרי נכסים-יתרות פתיחה'!$2:$76,13,0),0)</f>
        <v>0</v>
      </c>
      <c r="AK184" s="47">
        <f>+IFERROR(HLOOKUP(AK17,'סקרי נכסים-יתרות פתיחה'!$2:$76,13,0),0)</f>
        <v>0</v>
      </c>
      <c r="AL184" s="47">
        <f>+IFERROR(HLOOKUP(AL17,'סקרי נכסים-יתרות פתיחה'!$2:$76,13,0),0)</f>
        <v>0</v>
      </c>
      <c r="AM184" s="47">
        <f>+IFERROR(HLOOKUP(AM17,'סקרי נכסים-יתרות פתיחה'!$2:$76,13,0),0)</f>
        <v>0</v>
      </c>
      <c r="AN184" s="47">
        <f>+IFERROR(HLOOKUP(AN17,'סקרי נכסים-יתרות פתיחה'!$2:$76,13,0),0)</f>
        <v>0</v>
      </c>
      <c r="AO184" s="47">
        <f>+IFERROR(HLOOKUP(AO17,'סקרי נכסים-יתרות פתיחה'!$2:$76,13,0),0)</f>
        <v>0</v>
      </c>
      <c r="AP184" s="47">
        <f>+IFERROR(HLOOKUP(AP17,'סקרי נכסים-יתרות פתיחה'!$2:$76,13,0),0)</f>
        <v>0</v>
      </c>
      <c r="AQ184" s="47">
        <f>+IFERROR(HLOOKUP(AQ17,'סקרי נכסים-יתרות פתיחה'!$2:$76,13,0),0)</f>
        <v>0</v>
      </c>
      <c r="AR184" s="47">
        <f>+IFERROR(HLOOKUP(AR17,'סקרי נכסים-יתרות פתיחה'!$2:$76,13,0),0)</f>
        <v>0</v>
      </c>
      <c r="AS184" s="47">
        <f>+IFERROR(HLOOKUP(AS17,'סקרי נכסים-יתרות פתיחה'!$2:$76,13,0),0)</f>
        <v>493182</v>
      </c>
      <c r="AT184" s="47">
        <f>+IFERROR(HLOOKUP(AT17,'סקרי נכסים-יתרות פתיחה'!$2:$76,13,0),0)</f>
        <v>0</v>
      </c>
      <c r="AU184" s="47">
        <f>+IFERROR(HLOOKUP(AU17,'סקרי נכסים-יתרות פתיחה'!$2:$76,13,0),0)</f>
        <v>0</v>
      </c>
      <c r="AV184" s="47">
        <f>+IFERROR(HLOOKUP(AV17,'סקרי נכסים-יתרות פתיחה'!$2:$76,13,0),0)</f>
        <v>0</v>
      </c>
      <c r="AW184" s="47">
        <f>+IFERROR(HLOOKUP(AW17,'סקרי נכסים-יתרות פתיחה'!$2:$76,13,0),0)</f>
        <v>0</v>
      </c>
      <c r="AX184" s="47">
        <f>+IFERROR(HLOOKUP(AX17,'סקרי נכסים-יתרות פתיחה'!$2:$76,13,0),0)</f>
        <v>0</v>
      </c>
      <c r="AY184" s="47">
        <f>+IFERROR(HLOOKUP(AY17,'סקרי נכסים-יתרות פתיחה'!$2:$76,13,0),0)</f>
        <v>0</v>
      </c>
      <c r="AZ184" s="47">
        <f>+IFERROR(HLOOKUP(AZ17,'סקרי נכסים-יתרות פתיחה'!$2:$76,13,0),0)</f>
        <v>0</v>
      </c>
      <c r="BA184" s="47">
        <f>+IFERROR(HLOOKUP(BA17,'סקרי נכסים-יתרות פתיחה'!$2:$76,13,0),0)</f>
        <v>0</v>
      </c>
      <c r="BB184" s="47">
        <f>+IFERROR(HLOOKUP(BB17,'סקרי נכסים-יתרות פתיחה'!$2:$76,13,0),0)</f>
        <v>0</v>
      </c>
      <c r="BC184" s="47">
        <f>+IFERROR(HLOOKUP(BC17,'סקרי נכסים-יתרות פתיחה'!$2:$76,13,0),0)</f>
        <v>0</v>
      </c>
      <c r="BD184" s="47">
        <f>+IFERROR(HLOOKUP(BD17,'סקרי נכסים-יתרות פתיחה'!$2:$76,13,0),0)</f>
        <v>0</v>
      </c>
      <c r="BE184" s="47">
        <f>+IFERROR(HLOOKUP(BE17,'סקרי נכסים-יתרות פתיחה'!$2:$76,13,0),0)</f>
        <v>0</v>
      </c>
      <c r="BF184" s="47">
        <f>+IFERROR(HLOOKUP(BF17,'סקרי נכסים-יתרות פתיחה'!$2:$76,13,0),0)</f>
        <v>0</v>
      </c>
    </row>
    <row r="185" spans="2:58" x14ac:dyDescent="0.2">
      <c r="B185" s="1">
        <v>11</v>
      </c>
      <c r="C185" s="47">
        <f>+IFERROR(HLOOKUP(C18,'סקרי נכסים-יתרות פתיחה'!$2:$76,13,0),0)</f>
        <v>0</v>
      </c>
      <c r="D185" s="47">
        <f>+IFERROR(HLOOKUP(D18,'סקרי נכסים-יתרות פתיחה'!$2:$76,13,0),0)</f>
        <v>0</v>
      </c>
      <c r="E185" s="47">
        <f>+IFERROR(HLOOKUP(E18,'סקרי נכסים-יתרות פתיחה'!$2:$76,13,0),0)</f>
        <v>0</v>
      </c>
      <c r="F185" s="47">
        <f>+IFERROR(HLOOKUP(F18,'סקרי נכסים-יתרות פתיחה'!$2:$76,13,0),0)</f>
        <v>0</v>
      </c>
      <c r="G185" s="47">
        <f>+IFERROR(HLOOKUP(G18,'סקרי נכסים-יתרות פתיחה'!$2:$76,13,0),0)</f>
        <v>0</v>
      </c>
      <c r="H185" s="47">
        <f>+IFERROR(HLOOKUP(H18,'סקרי נכסים-יתרות פתיחה'!$2:$76,13,0),0)</f>
        <v>0</v>
      </c>
      <c r="I185" s="47">
        <f>+IFERROR(HLOOKUP(I18,'סקרי נכסים-יתרות פתיחה'!$2:$76,13,0),0)</f>
        <v>0</v>
      </c>
      <c r="J185" s="47">
        <f>+IFERROR(HLOOKUP(J18,'סקרי נכסים-יתרות פתיחה'!$2:$76,13,0),0)</f>
        <v>0</v>
      </c>
      <c r="K185" s="47">
        <f>+IFERROR(HLOOKUP(K18,'סקרי נכסים-יתרות פתיחה'!$2:$76,13,0),0)</f>
        <v>0</v>
      </c>
      <c r="L185" s="47">
        <f>+IFERROR(HLOOKUP(L18,'סקרי נכסים-יתרות פתיחה'!$2:$76,13,0),0)</f>
        <v>0</v>
      </c>
      <c r="M185" s="47">
        <f>+IFERROR(HLOOKUP(M18,'סקרי נכסים-יתרות פתיחה'!$2:$76,13,0),0)</f>
        <v>0</v>
      </c>
      <c r="N185" s="47">
        <f>+IFERROR(HLOOKUP(N18,'סקרי נכסים-יתרות פתיחה'!$2:$76,13,0),0)</f>
        <v>0</v>
      </c>
      <c r="O185" s="47">
        <f>+IFERROR(HLOOKUP(O18,'סקרי נכסים-יתרות פתיחה'!$2:$76,13,0),0)</f>
        <v>0</v>
      </c>
      <c r="P185" s="47">
        <f>+IFERROR(HLOOKUP(P18,'סקרי נכסים-יתרות פתיחה'!$2:$76,13,0),0)</f>
        <v>321395</v>
      </c>
      <c r="Q185" s="47">
        <f>+IFERROR(HLOOKUP(Q18,'סקרי נכסים-יתרות פתיחה'!$2:$76,13,0),0)</f>
        <v>0</v>
      </c>
      <c r="R185" s="47">
        <f>+IFERROR(HLOOKUP(R18,'סקרי נכסים-יתרות פתיחה'!$2:$76,13,0),0)</f>
        <v>0</v>
      </c>
      <c r="S185" s="47">
        <f>+IFERROR(HLOOKUP(S18,'סקרי נכסים-יתרות פתיחה'!$2:$76,13,0),0)</f>
        <v>0</v>
      </c>
      <c r="T185" s="47">
        <f>+IFERROR(HLOOKUP(T18,'סקרי נכסים-יתרות פתיחה'!$2:$76,13,0),0)</f>
        <v>0</v>
      </c>
      <c r="U185" s="47">
        <f>+IFERROR(HLOOKUP(U18,'סקרי נכסים-יתרות פתיחה'!$2:$76,13,0),0)</f>
        <v>0</v>
      </c>
      <c r="V185" s="47">
        <f>+IFERROR(HLOOKUP(V18,'סקרי נכסים-יתרות פתיחה'!$2:$76,13,0),0)</f>
        <v>0</v>
      </c>
      <c r="W185" s="47">
        <f>+IFERROR(HLOOKUP(W18,'סקרי נכסים-יתרות פתיחה'!$2:$76,13,0),0)</f>
        <v>0</v>
      </c>
      <c r="X185" s="47">
        <f>+IFERROR(HLOOKUP(X18,'סקרי נכסים-יתרות פתיחה'!$2:$76,13,0),0)</f>
        <v>0</v>
      </c>
      <c r="Y185" s="47">
        <f>+IFERROR(HLOOKUP(Y18,'סקרי נכסים-יתרות פתיחה'!$2:$76,13,0),0)</f>
        <v>0</v>
      </c>
      <c r="Z185" s="47">
        <f>+IFERROR(HLOOKUP(Z18,'סקרי נכסים-יתרות פתיחה'!$2:$76,13,0),0)</f>
        <v>0</v>
      </c>
      <c r="AA185" s="47">
        <f>+IFERROR(HLOOKUP(AA18,'סקרי נכסים-יתרות פתיחה'!$2:$76,13,0),0)</f>
        <v>0</v>
      </c>
      <c r="AB185" s="47">
        <f>+IFERROR(HLOOKUP(AB18,'סקרי נכסים-יתרות פתיחה'!$2:$76,13,0),0)</f>
        <v>0</v>
      </c>
      <c r="AC185" s="47">
        <f>+IFERROR(HLOOKUP(AC18,'סקרי נכסים-יתרות פתיחה'!$2:$76,13,0),0)</f>
        <v>0</v>
      </c>
      <c r="AD185" s="47">
        <f>+IFERROR(HLOOKUP(AD18,'סקרי נכסים-יתרות פתיחה'!$2:$76,13,0),0)</f>
        <v>0</v>
      </c>
      <c r="AE185" s="47">
        <f>+IFERROR(HLOOKUP(AE18,'סקרי נכסים-יתרות פתיחה'!$2:$76,13,0),0)</f>
        <v>0</v>
      </c>
      <c r="AF185" s="47">
        <f>+IFERROR(HLOOKUP(AF18,'סקרי נכסים-יתרות פתיחה'!$2:$76,13,0),0)</f>
        <v>0</v>
      </c>
      <c r="AG185" s="47">
        <f>+IFERROR(HLOOKUP(AG18,'סקרי נכסים-יתרות פתיחה'!$2:$76,13,0),0)</f>
        <v>0</v>
      </c>
      <c r="AH185" s="47">
        <f>+IFERROR(HLOOKUP(AH18,'סקרי נכסים-יתרות פתיחה'!$2:$76,13,0),0)</f>
        <v>0</v>
      </c>
      <c r="AI185" s="47">
        <f>+IFERROR(HLOOKUP(AI18,'סקרי נכסים-יתרות פתיחה'!$2:$76,13,0),0)</f>
        <v>0</v>
      </c>
      <c r="AJ185" s="47">
        <f>+IFERROR(HLOOKUP(AJ18,'סקרי נכסים-יתרות פתיחה'!$2:$76,13,0),0)</f>
        <v>0</v>
      </c>
      <c r="AK185" s="47">
        <f>+IFERROR(HLOOKUP(AK18,'סקרי נכסים-יתרות פתיחה'!$2:$76,13,0),0)</f>
        <v>0</v>
      </c>
      <c r="AL185" s="47">
        <f>+IFERROR(HLOOKUP(AL18,'סקרי נכסים-יתרות פתיחה'!$2:$76,13,0),0)</f>
        <v>0</v>
      </c>
      <c r="AM185" s="47">
        <f>+IFERROR(HLOOKUP(AM18,'סקרי נכסים-יתרות פתיחה'!$2:$76,13,0),0)</f>
        <v>0</v>
      </c>
      <c r="AN185" s="47">
        <f>+IFERROR(HLOOKUP(AN18,'סקרי נכסים-יתרות פתיחה'!$2:$76,13,0),0)</f>
        <v>0</v>
      </c>
      <c r="AO185" s="47">
        <f>+IFERROR(HLOOKUP(AO18,'סקרי נכסים-יתרות פתיחה'!$2:$76,13,0),0)</f>
        <v>0</v>
      </c>
      <c r="AP185" s="47">
        <f>+IFERROR(HLOOKUP(AP18,'סקרי נכסים-יתרות פתיחה'!$2:$76,13,0),0)</f>
        <v>0</v>
      </c>
      <c r="AQ185" s="47">
        <f>+IFERROR(HLOOKUP(AQ18,'סקרי נכסים-יתרות פתיחה'!$2:$76,13,0),0)</f>
        <v>0</v>
      </c>
      <c r="AR185" s="47">
        <f>+IFERROR(HLOOKUP(AR18,'סקרי נכסים-יתרות פתיחה'!$2:$76,13,0),0)</f>
        <v>0</v>
      </c>
      <c r="AS185" s="47">
        <f>+IFERROR(HLOOKUP(AS18,'סקרי נכסים-יתרות פתיחה'!$2:$76,13,0),0)</f>
        <v>0</v>
      </c>
      <c r="AT185" s="47">
        <f>+IFERROR(HLOOKUP(AT18,'סקרי נכסים-יתרות פתיחה'!$2:$76,13,0),0)</f>
        <v>0</v>
      </c>
      <c r="AU185" s="47">
        <f>+IFERROR(HLOOKUP(AU18,'סקרי נכסים-יתרות פתיחה'!$2:$76,13,0),0)</f>
        <v>0</v>
      </c>
      <c r="AV185" s="47">
        <f>+IFERROR(HLOOKUP(AV18,'סקרי נכסים-יתרות פתיחה'!$2:$76,13,0),0)</f>
        <v>0</v>
      </c>
      <c r="AW185" s="47">
        <f>+IFERROR(HLOOKUP(AW18,'סקרי נכסים-יתרות פתיחה'!$2:$76,13,0),0)</f>
        <v>0</v>
      </c>
      <c r="AX185" s="47">
        <f>+IFERROR(HLOOKUP(AX18,'סקרי נכסים-יתרות פתיחה'!$2:$76,13,0),0)</f>
        <v>0</v>
      </c>
      <c r="AY185" s="47">
        <f>+IFERROR(HLOOKUP(AY18,'סקרי נכסים-יתרות פתיחה'!$2:$76,13,0),0)</f>
        <v>0</v>
      </c>
      <c r="AZ185" s="47">
        <f>+IFERROR(HLOOKUP(AZ18,'סקרי נכסים-יתרות פתיחה'!$2:$76,13,0),0)</f>
        <v>0</v>
      </c>
      <c r="BA185" s="47">
        <f>+IFERROR(HLOOKUP(BA18,'סקרי נכסים-יתרות פתיחה'!$2:$76,13,0),0)</f>
        <v>0</v>
      </c>
      <c r="BB185" s="47">
        <f>+IFERROR(HLOOKUP(BB18,'סקרי נכסים-יתרות פתיחה'!$2:$76,13,0),0)</f>
        <v>0</v>
      </c>
      <c r="BC185" s="47">
        <f>+IFERROR(HLOOKUP(BC18,'סקרי נכסים-יתרות פתיחה'!$2:$76,13,0),0)</f>
        <v>0</v>
      </c>
      <c r="BD185" s="47">
        <f>+IFERROR(HLOOKUP(BD18,'סקרי נכסים-יתרות פתיחה'!$2:$76,13,0),0)</f>
        <v>0</v>
      </c>
      <c r="BE185" s="47">
        <f>+IFERROR(HLOOKUP(BE18,'סקרי נכסים-יתרות פתיחה'!$2:$76,13,0),0)</f>
        <v>0</v>
      </c>
      <c r="BF185" s="47">
        <f>+IFERROR(HLOOKUP(BF18,'סקרי נכסים-יתרות פתיחה'!$2:$76,13,0),0)</f>
        <v>0</v>
      </c>
    </row>
    <row r="186" spans="2:58" x14ac:dyDescent="0.2">
      <c r="B186" s="1">
        <v>12</v>
      </c>
      <c r="C186" s="47">
        <f>+IFERROR(HLOOKUP(C19,'סקרי נכסים-יתרות פתיחה'!$2:$76,13,0),0)</f>
        <v>0</v>
      </c>
      <c r="D186" s="47">
        <f>+IFERROR(HLOOKUP(D19,'סקרי נכסים-יתרות פתיחה'!$2:$76,13,0),0)</f>
        <v>0</v>
      </c>
      <c r="E186" s="47">
        <f>+IFERROR(HLOOKUP(E19,'סקרי נכסים-יתרות פתיחה'!$2:$76,13,0),0)</f>
        <v>0</v>
      </c>
      <c r="F186" s="47">
        <f>+IFERROR(HLOOKUP(F19,'סקרי נכסים-יתרות פתיחה'!$2:$76,13,0),0)</f>
        <v>0</v>
      </c>
      <c r="G186" s="47">
        <f>+IFERROR(HLOOKUP(G19,'סקרי נכסים-יתרות פתיחה'!$2:$76,13,0),0)</f>
        <v>0</v>
      </c>
      <c r="H186" s="47">
        <f>+IFERROR(HLOOKUP(H19,'סקרי נכסים-יתרות פתיחה'!$2:$76,13,0),0)</f>
        <v>0</v>
      </c>
      <c r="I186" s="47">
        <f>+IFERROR(HLOOKUP(I19,'סקרי נכסים-יתרות פתיחה'!$2:$76,13,0),0)</f>
        <v>0</v>
      </c>
      <c r="J186" s="47">
        <f>+IFERROR(HLOOKUP(J19,'סקרי נכסים-יתרות פתיחה'!$2:$76,13,0),0)</f>
        <v>0</v>
      </c>
      <c r="K186" s="47">
        <f>+IFERROR(HLOOKUP(K19,'סקרי נכסים-יתרות פתיחה'!$2:$76,13,0),0)</f>
        <v>0</v>
      </c>
      <c r="L186" s="47">
        <f>+IFERROR(HLOOKUP(L19,'סקרי נכסים-יתרות פתיחה'!$2:$76,13,0),0)</f>
        <v>0</v>
      </c>
      <c r="M186" s="47">
        <f>+IFERROR(HLOOKUP(M19,'סקרי נכסים-יתרות פתיחה'!$2:$76,13,0),0)</f>
        <v>0</v>
      </c>
      <c r="N186" s="47">
        <f>+IFERROR(HLOOKUP(N19,'סקרי נכסים-יתרות פתיחה'!$2:$76,13,0),0)</f>
        <v>0</v>
      </c>
      <c r="O186" s="47">
        <f>+IFERROR(HLOOKUP(O19,'סקרי נכסים-יתרות פתיחה'!$2:$76,13,0),0)</f>
        <v>0</v>
      </c>
      <c r="P186" s="47">
        <f>+IFERROR(HLOOKUP(P19,'סקרי נכסים-יתרות פתיחה'!$2:$76,13,0),0)</f>
        <v>538568</v>
      </c>
      <c r="Q186" s="47">
        <f>+IFERROR(HLOOKUP(Q19,'סקרי נכסים-יתרות פתיחה'!$2:$76,13,0),0)</f>
        <v>0</v>
      </c>
      <c r="R186" s="47">
        <f>+IFERROR(HLOOKUP(R19,'סקרי נכסים-יתרות פתיחה'!$2:$76,13,0),0)</f>
        <v>0</v>
      </c>
      <c r="S186" s="47">
        <f>+IFERROR(HLOOKUP(S19,'סקרי נכסים-יתרות פתיחה'!$2:$76,13,0),0)</f>
        <v>0</v>
      </c>
      <c r="T186" s="47">
        <f>+IFERROR(HLOOKUP(T19,'סקרי נכסים-יתרות פתיחה'!$2:$76,13,0),0)</f>
        <v>0</v>
      </c>
      <c r="U186" s="47">
        <f>+IFERROR(HLOOKUP(U19,'סקרי נכסים-יתרות פתיחה'!$2:$76,13,0),0)</f>
        <v>0</v>
      </c>
      <c r="V186" s="47">
        <f>+IFERROR(HLOOKUP(V19,'סקרי נכסים-יתרות פתיחה'!$2:$76,13,0),0)</f>
        <v>0</v>
      </c>
      <c r="W186" s="47">
        <f>+IFERROR(HLOOKUP(W19,'סקרי נכסים-יתרות פתיחה'!$2:$76,13,0),0)</f>
        <v>0</v>
      </c>
      <c r="X186" s="47">
        <f>+IFERROR(HLOOKUP(X19,'סקרי נכסים-יתרות פתיחה'!$2:$76,13,0),0)</f>
        <v>0</v>
      </c>
      <c r="Y186" s="47">
        <f>+IFERROR(HLOOKUP(Y19,'סקרי נכסים-יתרות פתיחה'!$2:$76,13,0),0)</f>
        <v>0</v>
      </c>
      <c r="Z186" s="47">
        <f>+IFERROR(HLOOKUP(Z19,'סקרי נכסים-יתרות פתיחה'!$2:$76,13,0),0)</f>
        <v>0</v>
      </c>
      <c r="AA186" s="47">
        <f>+IFERROR(HLOOKUP(AA19,'סקרי נכסים-יתרות פתיחה'!$2:$76,13,0),0)</f>
        <v>0</v>
      </c>
      <c r="AB186" s="47">
        <f>+IFERROR(HLOOKUP(AB19,'סקרי נכסים-יתרות פתיחה'!$2:$76,13,0),0)</f>
        <v>0</v>
      </c>
      <c r="AC186" s="47">
        <f>+IFERROR(HLOOKUP(AC19,'סקרי נכסים-יתרות פתיחה'!$2:$76,13,0),0)</f>
        <v>0</v>
      </c>
      <c r="AD186" s="47">
        <f>+IFERROR(HLOOKUP(AD19,'סקרי נכסים-יתרות פתיחה'!$2:$76,13,0),0)</f>
        <v>0</v>
      </c>
      <c r="AE186" s="47">
        <f>+IFERROR(HLOOKUP(AE19,'סקרי נכסים-יתרות פתיחה'!$2:$76,13,0),0)</f>
        <v>0</v>
      </c>
      <c r="AF186" s="47">
        <f>+IFERROR(HLOOKUP(AF19,'סקרי נכסים-יתרות פתיחה'!$2:$76,13,0),0)</f>
        <v>0</v>
      </c>
      <c r="AG186" s="47">
        <f>+IFERROR(HLOOKUP(AG19,'סקרי נכסים-יתרות פתיחה'!$2:$76,13,0),0)</f>
        <v>0</v>
      </c>
      <c r="AH186" s="47">
        <f>+IFERROR(HLOOKUP(AH19,'סקרי נכסים-יתרות פתיחה'!$2:$76,13,0),0)</f>
        <v>0</v>
      </c>
      <c r="AI186" s="47">
        <f>+IFERROR(HLOOKUP(AI19,'סקרי נכסים-יתרות פתיחה'!$2:$76,13,0),0)</f>
        <v>0</v>
      </c>
      <c r="AJ186" s="47">
        <f>+IFERROR(HLOOKUP(AJ19,'סקרי נכסים-יתרות פתיחה'!$2:$76,13,0),0)</f>
        <v>0</v>
      </c>
      <c r="AK186" s="47">
        <f>+IFERROR(HLOOKUP(AK19,'סקרי נכסים-יתרות פתיחה'!$2:$76,13,0),0)</f>
        <v>0</v>
      </c>
      <c r="AL186" s="47">
        <f>+IFERROR(HLOOKUP(AL19,'סקרי נכסים-יתרות פתיחה'!$2:$76,13,0),0)</f>
        <v>0</v>
      </c>
      <c r="AM186" s="47">
        <f>+IFERROR(HLOOKUP(AM19,'סקרי נכסים-יתרות פתיחה'!$2:$76,13,0),0)</f>
        <v>0</v>
      </c>
      <c r="AN186" s="47">
        <f>+IFERROR(HLOOKUP(AN19,'סקרי נכסים-יתרות פתיחה'!$2:$76,13,0),0)</f>
        <v>0</v>
      </c>
      <c r="AO186" s="47">
        <f>+IFERROR(HLOOKUP(AO19,'סקרי נכסים-יתרות פתיחה'!$2:$76,13,0),0)</f>
        <v>0</v>
      </c>
      <c r="AP186" s="47">
        <f>+IFERROR(HLOOKUP(AP19,'סקרי נכסים-יתרות פתיחה'!$2:$76,13,0),0)</f>
        <v>0</v>
      </c>
      <c r="AQ186" s="47">
        <f>+IFERROR(HLOOKUP(AQ19,'סקרי נכסים-יתרות פתיחה'!$2:$76,13,0),0)</f>
        <v>0</v>
      </c>
      <c r="AR186" s="47">
        <f>+IFERROR(HLOOKUP(AR19,'סקרי נכסים-יתרות פתיחה'!$2:$76,13,0),0)</f>
        <v>0</v>
      </c>
      <c r="AS186" s="47">
        <f>+IFERROR(HLOOKUP(AS19,'סקרי נכסים-יתרות פתיחה'!$2:$76,13,0),0)</f>
        <v>0</v>
      </c>
      <c r="AT186" s="47">
        <f>+IFERROR(HLOOKUP(AT19,'סקרי נכסים-יתרות פתיחה'!$2:$76,13,0),0)</f>
        <v>0</v>
      </c>
      <c r="AU186" s="47">
        <f>+IFERROR(HLOOKUP(AU19,'סקרי נכסים-יתרות פתיחה'!$2:$76,13,0),0)</f>
        <v>0</v>
      </c>
      <c r="AV186" s="47">
        <f>+IFERROR(HLOOKUP(AV19,'סקרי נכסים-יתרות פתיחה'!$2:$76,13,0),0)</f>
        <v>0</v>
      </c>
      <c r="AW186" s="47">
        <f>+IFERROR(HLOOKUP(AW19,'סקרי נכסים-יתרות פתיחה'!$2:$76,13,0),0)</f>
        <v>0</v>
      </c>
      <c r="AX186" s="47">
        <f>+IFERROR(HLOOKUP(AX19,'סקרי נכסים-יתרות פתיחה'!$2:$76,13,0),0)</f>
        <v>0</v>
      </c>
      <c r="AY186" s="47">
        <f>+IFERROR(HLOOKUP(AY19,'סקרי נכסים-יתרות פתיחה'!$2:$76,13,0),0)</f>
        <v>0</v>
      </c>
      <c r="AZ186" s="47">
        <f>+IFERROR(HLOOKUP(AZ19,'סקרי נכסים-יתרות פתיחה'!$2:$76,13,0),0)</f>
        <v>0</v>
      </c>
      <c r="BA186" s="47">
        <f>+IFERROR(HLOOKUP(BA19,'סקרי נכסים-יתרות פתיחה'!$2:$76,13,0),0)</f>
        <v>0</v>
      </c>
      <c r="BB186" s="47">
        <f>+IFERROR(HLOOKUP(BB19,'סקרי נכסים-יתרות פתיחה'!$2:$76,13,0),0)</f>
        <v>0</v>
      </c>
      <c r="BC186" s="47">
        <f>+IFERROR(HLOOKUP(BC19,'סקרי נכסים-יתרות פתיחה'!$2:$76,13,0),0)</f>
        <v>0</v>
      </c>
      <c r="BD186" s="47">
        <f>+IFERROR(HLOOKUP(BD19,'סקרי נכסים-יתרות פתיחה'!$2:$76,13,0),0)</f>
        <v>0</v>
      </c>
      <c r="BE186" s="47">
        <f>+IFERROR(HLOOKUP(BE19,'סקרי נכסים-יתרות פתיחה'!$2:$76,13,0),0)</f>
        <v>0</v>
      </c>
      <c r="BF186" s="47">
        <f>+IFERROR(HLOOKUP(BF19,'סקרי נכסים-יתרות פתיחה'!$2:$76,13,0),0)</f>
        <v>0</v>
      </c>
    </row>
    <row r="187" spans="2:58" x14ac:dyDescent="0.2">
      <c r="B187" s="1">
        <v>13</v>
      </c>
      <c r="C187" s="47">
        <f>+IFERROR(HLOOKUP(C20,'סקרי נכסים-יתרות פתיחה'!$2:$76,13,0),0)</f>
        <v>0</v>
      </c>
      <c r="D187" s="47">
        <f>+IFERROR(HLOOKUP(D20,'סקרי נכסים-יתרות פתיחה'!$2:$76,13,0),0)</f>
        <v>0</v>
      </c>
      <c r="E187" s="47">
        <f>+IFERROR(HLOOKUP(E20,'סקרי נכסים-יתרות פתיחה'!$2:$76,13,0),0)</f>
        <v>0</v>
      </c>
      <c r="F187" s="47">
        <f>+IFERROR(HLOOKUP(F20,'סקרי נכסים-יתרות פתיחה'!$2:$76,13,0),0)</f>
        <v>0</v>
      </c>
      <c r="G187" s="47">
        <f>+IFERROR(HLOOKUP(G20,'סקרי נכסים-יתרות פתיחה'!$2:$76,13,0),0)</f>
        <v>0</v>
      </c>
      <c r="H187" s="47">
        <f>+IFERROR(HLOOKUP(H20,'סקרי נכסים-יתרות פתיחה'!$2:$76,13,0),0)</f>
        <v>0</v>
      </c>
      <c r="I187" s="47">
        <f>+IFERROR(HLOOKUP(I20,'סקרי נכסים-יתרות פתיחה'!$2:$76,13,0),0)</f>
        <v>0</v>
      </c>
      <c r="J187" s="47">
        <f>+IFERROR(HLOOKUP(J20,'סקרי נכסים-יתרות פתיחה'!$2:$76,13,0),0)</f>
        <v>0</v>
      </c>
      <c r="K187" s="47">
        <f>+IFERROR(HLOOKUP(K20,'סקרי נכסים-יתרות פתיחה'!$2:$76,13,0),0)</f>
        <v>0</v>
      </c>
      <c r="L187" s="47">
        <f>+IFERROR(HLOOKUP(L20,'סקרי נכסים-יתרות פתיחה'!$2:$76,13,0),0)</f>
        <v>0</v>
      </c>
      <c r="M187" s="47">
        <f>+IFERROR(HLOOKUP(M20,'סקרי נכסים-יתרות פתיחה'!$2:$76,13,0),0)</f>
        <v>0</v>
      </c>
      <c r="N187" s="47">
        <f>+IFERROR(HLOOKUP(N20,'סקרי נכסים-יתרות פתיחה'!$2:$76,13,0),0)</f>
        <v>0</v>
      </c>
      <c r="O187" s="47">
        <f>+IFERROR(HLOOKUP(O20,'סקרי נכסים-יתרות פתיחה'!$2:$76,13,0),0)</f>
        <v>0</v>
      </c>
      <c r="P187" s="47">
        <f>+IFERROR(HLOOKUP(P20,'סקרי נכסים-יתרות פתיחה'!$2:$76,13,0),0)</f>
        <v>0</v>
      </c>
      <c r="Q187" s="47">
        <f>+IFERROR(HLOOKUP(Q20,'סקרי נכסים-יתרות פתיחה'!$2:$76,13,0),0)</f>
        <v>0</v>
      </c>
      <c r="R187" s="47">
        <f>+IFERROR(HLOOKUP(R20,'סקרי נכסים-יתרות פתיחה'!$2:$76,13,0),0)</f>
        <v>0</v>
      </c>
      <c r="S187" s="47">
        <f>+IFERROR(HLOOKUP(S20,'סקרי נכסים-יתרות פתיחה'!$2:$76,13,0),0)</f>
        <v>0</v>
      </c>
      <c r="T187" s="47">
        <f>+IFERROR(HLOOKUP(T20,'סקרי נכסים-יתרות פתיחה'!$2:$76,13,0),0)</f>
        <v>0</v>
      </c>
      <c r="U187" s="47">
        <f>+IFERROR(HLOOKUP(U20,'סקרי נכסים-יתרות פתיחה'!$2:$76,13,0),0)</f>
        <v>0</v>
      </c>
      <c r="V187" s="47">
        <f>+IFERROR(HLOOKUP(V20,'סקרי נכסים-יתרות פתיחה'!$2:$76,13,0),0)</f>
        <v>0</v>
      </c>
      <c r="W187" s="47">
        <f>+IFERROR(HLOOKUP(W20,'סקרי נכסים-יתרות פתיחה'!$2:$76,13,0),0)</f>
        <v>0</v>
      </c>
      <c r="X187" s="47">
        <f>+IFERROR(HLOOKUP(X20,'סקרי נכסים-יתרות פתיחה'!$2:$76,13,0),0)</f>
        <v>0</v>
      </c>
      <c r="Y187" s="47">
        <f>+IFERROR(HLOOKUP(Y20,'סקרי נכסים-יתרות פתיחה'!$2:$76,13,0),0)</f>
        <v>0</v>
      </c>
      <c r="Z187" s="47">
        <f>+IFERROR(HLOOKUP(Z20,'סקרי נכסים-יתרות פתיחה'!$2:$76,13,0),0)</f>
        <v>0</v>
      </c>
      <c r="AA187" s="47">
        <f>+IFERROR(HLOOKUP(AA20,'סקרי נכסים-יתרות פתיחה'!$2:$76,13,0),0)</f>
        <v>0</v>
      </c>
      <c r="AB187" s="47">
        <f>+IFERROR(HLOOKUP(AB20,'סקרי נכסים-יתרות פתיחה'!$2:$76,13,0),0)</f>
        <v>0</v>
      </c>
      <c r="AC187" s="47">
        <f>+IFERROR(HLOOKUP(AC20,'סקרי נכסים-יתרות פתיחה'!$2:$76,13,0),0)</f>
        <v>0</v>
      </c>
      <c r="AD187" s="47">
        <f>+IFERROR(HLOOKUP(AD20,'סקרי נכסים-יתרות פתיחה'!$2:$76,13,0),0)</f>
        <v>0</v>
      </c>
      <c r="AE187" s="47">
        <f>+IFERROR(HLOOKUP(AE20,'סקרי נכסים-יתרות פתיחה'!$2:$76,13,0),0)</f>
        <v>0</v>
      </c>
      <c r="AF187" s="47">
        <f>+IFERROR(HLOOKUP(AF20,'סקרי נכסים-יתרות פתיחה'!$2:$76,13,0),0)</f>
        <v>0</v>
      </c>
      <c r="AG187" s="47">
        <f>+IFERROR(HLOOKUP(AG20,'סקרי נכסים-יתרות פתיחה'!$2:$76,13,0),0)</f>
        <v>0</v>
      </c>
      <c r="AH187" s="47">
        <f>+IFERROR(HLOOKUP(AH20,'סקרי נכסים-יתרות פתיחה'!$2:$76,13,0),0)</f>
        <v>0</v>
      </c>
      <c r="AI187" s="47">
        <f>+IFERROR(HLOOKUP(AI20,'סקרי נכסים-יתרות פתיחה'!$2:$76,13,0),0)</f>
        <v>0</v>
      </c>
      <c r="AJ187" s="47">
        <f>+IFERROR(HLOOKUP(AJ20,'סקרי נכסים-יתרות פתיחה'!$2:$76,13,0),0)</f>
        <v>0</v>
      </c>
      <c r="AK187" s="47">
        <f>+IFERROR(HLOOKUP(AK20,'סקרי נכסים-יתרות פתיחה'!$2:$76,13,0),0)</f>
        <v>0</v>
      </c>
      <c r="AL187" s="47">
        <f>+IFERROR(HLOOKUP(AL20,'סקרי נכסים-יתרות פתיחה'!$2:$76,13,0),0)</f>
        <v>0</v>
      </c>
      <c r="AM187" s="47">
        <f>+IFERROR(HLOOKUP(AM20,'סקרי נכסים-יתרות פתיחה'!$2:$76,13,0),0)</f>
        <v>0</v>
      </c>
      <c r="AN187" s="47">
        <f>+IFERROR(HLOOKUP(AN20,'סקרי נכסים-יתרות פתיחה'!$2:$76,13,0),0)</f>
        <v>0</v>
      </c>
      <c r="AO187" s="47">
        <f>+IFERROR(HLOOKUP(AO20,'סקרי נכסים-יתרות פתיחה'!$2:$76,13,0),0)</f>
        <v>0</v>
      </c>
      <c r="AP187" s="47">
        <f>+IFERROR(HLOOKUP(AP20,'סקרי נכסים-יתרות פתיחה'!$2:$76,13,0),0)</f>
        <v>0</v>
      </c>
      <c r="AQ187" s="47">
        <f>+IFERROR(HLOOKUP(AQ20,'סקרי נכסים-יתרות פתיחה'!$2:$76,13,0),0)</f>
        <v>0</v>
      </c>
      <c r="AR187" s="47">
        <f>+IFERROR(HLOOKUP(AR20,'סקרי נכסים-יתרות פתיחה'!$2:$76,13,0),0)</f>
        <v>0</v>
      </c>
      <c r="AS187" s="47">
        <f>+IFERROR(HLOOKUP(AS20,'סקרי נכסים-יתרות פתיחה'!$2:$76,13,0),0)</f>
        <v>0</v>
      </c>
      <c r="AT187" s="47">
        <f>+IFERROR(HLOOKUP(AT20,'סקרי נכסים-יתרות פתיחה'!$2:$76,13,0),0)</f>
        <v>0</v>
      </c>
      <c r="AU187" s="47">
        <f>+IFERROR(HLOOKUP(AU20,'סקרי נכסים-יתרות פתיחה'!$2:$76,13,0),0)</f>
        <v>0</v>
      </c>
      <c r="AV187" s="47">
        <f>+IFERROR(HLOOKUP(AV20,'סקרי נכסים-יתרות פתיחה'!$2:$76,13,0),0)</f>
        <v>0</v>
      </c>
      <c r="AW187" s="47">
        <f>+IFERROR(HLOOKUP(AW20,'סקרי נכסים-יתרות פתיחה'!$2:$76,13,0),0)</f>
        <v>0</v>
      </c>
      <c r="AX187" s="47">
        <f>+IFERROR(HLOOKUP(AX20,'סקרי נכסים-יתרות פתיחה'!$2:$76,13,0),0)</f>
        <v>0</v>
      </c>
      <c r="AY187" s="47">
        <f>+IFERROR(HLOOKUP(AY20,'סקרי נכסים-יתרות פתיחה'!$2:$76,13,0),0)</f>
        <v>0</v>
      </c>
      <c r="AZ187" s="47">
        <f>+IFERROR(HLOOKUP(AZ20,'סקרי נכסים-יתרות פתיחה'!$2:$76,13,0),0)</f>
        <v>0</v>
      </c>
      <c r="BA187" s="47">
        <f>+IFERROR(HLOOKUP(BA20,'סקרי נכסים-יתרות פתיחה'!$2:$76,13,0),0)</f>
        <v>0</v>
      </c>
      <c r="BB187" s="47">
        <f>+IFERROR(HLOOKUP(BB20,'סקרי נכסים-יתרות פתיחה'!$2:$76,13,0),0)</f>
        <v>0</v>
      </c>
      <c r="BC187" s="47">
        <f>+IFERROR(HLOOKUP(BC20,'סקרי נכסים-יתרות פתיחה'!$2:$76,13,0),0)</f>
        <v>0</v>
      </c>
      <c r="BD187" s="47">
        <f>+IFERROR(HLOOKUP(BD20,'סקרי נכסים-יתרות פתיחה'!$2:$76,13,0),0)</f>
        <v>0</v>
      </c>
      <c r="BE187" s="47">
        <f>+IFERROR(HLOOKUP(BE20,'סקרי נכסים-יתרות פתיחה'!$2:$76,13,0),0)</f>
        <v>0</v>
      </c>
      <c r="BF187" s="47">
        <f>+IFERROR(HLOOKUP(BF20,'סקרי נכסים-יתרות פתיחה'!$2:$76,13,0),0)</f>
        <v>0</v>
      </c>
    </row>
    <row r="188" spans="2:58" x14ac:dyDescent="0.2">
      <c r="B188" s="1">
        <v>14</v>
      </c>
      <c r="C188" s="47">
        <f>+IFERROR(HLOOKUP(C21,'סקרי נכסים-יתרות פתיחה'!$2:$76,13,0),0)</f>
        <v>0</v>
      </c>
      <c r="D188" s="47">
        <f>+IFERROR(HLOOKUP(D21,'סקרי נכסים-יתרות פתיחה'!$2:$76,13,0),0)</f>
        <v>0</v>
      </c>
      <c r="E188" s="47">
        <f>+IFERROR(HLOOKUP(E21,'סקרי נכסים-יתרות פתיחה'!$2:$76,13,0),0)</f>
        <v>0</v>
      </c>
      <c r="F188" s="47">
        <f>+IFERROR(HLOOKUP(F21,'סקרי נכסים-יתרות פתיחה'!$2:$76,13,0),0)</f>
        <v>0</v>
      </c>
      <c r="G188" s="47">
        <f>+IFERROR(HLOOKUP(G21,'סקרי נכסים-יתרות פתיחה'!$2:$76,13,0),0)</f>
        <v>0</v>
      </c>
      <c r="H188" s="47">
        <f>+IFERROR(HLOOKUP(H21,'סקרי נכסים-יתרות פתיחה'!$2:$76,13,0),0)</f>
        <v>0</v>
      </c>
      <c r="I188" s="47">
        <f>+IFERROR(HLOOKUP(I21,'סקרי נכסים-יתרות פתיחה'!$2:$76,13,0),0)</f>
        <v>0</v>
      </c>
      <c r="J188" s="47">
        <f>+IFERROR(HLOOKUP(J21,'סקרי נכסים-יתרות פתיחה'!$2:$76,13,0),0)</f>
        <v>0</v>
      </c>
      <c r="K188" s="47">
        <f>+IFERROR(HLOOKUP(K21,'סקרי נכסים-יתרות פתיחה'!$2:$76,13,0),0)</f>
        <v>0</v>
      </c>
      <c r="L188" s="47">
        <f>+IFERROR(HLOOKUP(L21,'סקרי נכסים-יתרות פתיחה'!$2:$76,13,0),0)</f>
        <v>0</v>
      </c>
      <c r="M188" s="47">
        <f>+IFERROR(HLOOKUP(M21,'סקרי נכסים-יתרות פתיחה'!$2:$76,13,0),0)</f>
        <v>0</v>
      </c>
      <c r="N188" s="47">
        <f>+IFERROR(HLOOKUP(N21,'סקרי נכסים-יתרות פתיחה'!$2:$76,13,0),0)</f>
        <v>0</v>
      </c>
      <c r="O188" s="47">
        <f>+IFERROR(HLOOKUP(O21,'סקרי נכסים-יתרות פתיחה'!$2:$76,13,0),0)</f>
        <v>0</v>
      </c>
      <c r="P188" s="47">
        <f>+IFERROR(HLOOKUP(P21,'סקרי נכסים-יתרות פתיחה'!$2:$76,13,0),0)</f>
        <v>0</v>
      </c>
      <c r="Q188" s="47">
        <f>+IFERROR(HLOOKUP(Q21,'סקרי נכסים-יתרות פתיחה'!$2:$76,13,0),0)</f>
        <v>0</v>
      </c>
      <c r="R188" s="47">
        <f>+IFERROR(HLOOKUP(R21,'סקרי נכסים-יתרות פתיחה'!$2:$76,13,0),0)</f>
        <v>0</v>
      </c>
      <c r="S188" s="47">
        <f>+IFERROR(HLOOKUP(S21,'סקרי נכסים-יתרות פתיחה'!$2:$76,13,0),0)</f>
        <v>0</v>
      </c>
      <c r="T188" s="47">
        <f>+IFERROR(HLOOKUP(T21,'סקרי נכסים-יתרות פתיחה'!$2:$76,13,0),0)</f>
        <v>0</v>
      </c>
      <c r="U188" s="47">
        <f>+IFERROR(HLOOKUP(U21,'סקרי נכסים-יתרות פתיחה'!$2:$76,13,0),0)</f>
        <v>0</v>
      </c>
      <c r="V188" s="47">
        <f>+IFERROR(HLOOKUP(V21,'סקרי נכסים-יתרות פתיחה'!$2:$76,13,0),0)</f>
        <v>0</v>
      </c>
      <c r="W188" s="47">
        <f>+IFERROR(HLOOKUP(W21,'סקרי נכסים-יתרות פתיחה'!$2:$76,13,0),0)</f>
        <v>0</v>
      </c>
      <c r="X188" s="47">
        <f>+IFERROR(HLOOKUP(X21,'סקרי נכסים-יתרות פתיחה'!$2:$76,13,0),0)</f>
        <v>0</v>
      </c>
      <c r="Y188" s="47">
        <f>+IFERROR(HLOOKUP(Y21,'סקרי נכסים-יתרות פתיחה'!$2:$76,13,0),0)</f>
        <v>0</v>
      </c>
      <c r="Z188" s="47">
        <f>+IFERROR(HLOOKUP(Z21,'סקרי נכסים-יתרות פתיחה'!$2:$76,13,0),0)</f>
        <v>0</v>
      </c>
      <c r="AA188" s="47">
        <f>+IFERROR(HLOOKUP(AA21,'סקרי נכסים-יתרות פתיחה'!$2:$76,13,0),0)</f>
        <v>0</v>
      </c>
      <c r="AB188" s="47">
        <f>+IFERROR(HLOOKUP(AB21,'סקרי נכסים-יתרות פתיחה'!$2:$76,13,0),0)</f>
        <v>0</v>
      </c>
      <c r="AC188" s="47">
        <f>+IFERROR(HLOOKUP(AC21,'סקרי נכסים-יתרות פתיחה'!$2:$76,13,0),0)</f>
        <v>0</v>
      </c>
      <c r="AD188" s="47">
        <f>+IFERROR(HLOOKUP(AD21,'סקרי נכסים-יתרות פתיחה'!$2:$76,13,0),0)</f>
        <v>0</v>
      </c>
      <c r="AE188" s="47">
        <f>+IFERROR(HLOOKUP(AE21,'סקרי נכסים-יתרות פתיחה'!$2:$76,13,0),0)</f>
        <v>0</v>
      </c>
      <c r="AF188" s="47">
        <f>+IFERROR(HLOOKUP(AF21,'סקרי נכסים-יתרות פתיחה'!$2:$76,13,0),0)</f>
        <v>0</v>
      </c>
      <c r="AG188" s="47">
        <f>+IFERROR(HLOOKUP(AG21,'סקרי נכסים-יתרות פתיחה'!$2:$76,13,0),0)</f>
        <v>0</v>
      </c>
      <c r="AH188" s="47">
        <f>+IFERROR(HLOOKUP(AH21,'סקרי נכסים-יתרות פתיחה'!$2:$76,13,0),0)</f>
        <v>0</v>
      </c>
      <c r="AI188" s="47">
        <f>+IFERROR(HLOOKUP(AI21,'סקרי נכסים-יתרות פתיחה'!$2:$76,13,0),0)</f>
        <v>0</v>
      </c>
      <c r="AJ188" s="47">
        <f>+IFERROR(HLOOKUP(AJ21,'סקרי נכסים-יתרות פתיחה'!$2:$76,13,0),0)</f>
        <v>0</v>
      </c>
      <c r="AK188" s="47">
        <f>+IFERROR(HLOOKUP(AK21,'סקרי נכסים-יתרות פתיחה'!$2:$76,13,0),0)</f>
        <v>0</v>
      </c>
      <c r="AL188" s="47">
        <f>+IFERROR(HLOOKUP(AL21,'סקרי נכסים-יתרות פתיחה'!$2:$76,13,0),0)</f>
        <v>0</v>
      </c>
      <c r="AM188" s="47">
        <f>+IFERROR(HLOOKUP(AM21,'סקרי נכסים-יתרות פתיחה'!$2:$76,13,0),0)</f>
        <v>0</v>
      </c>
      <c r="AN188" s="47">
        <f>+IFERROR(HLOOKUP(AN21,'סקרי נכסים-יתרות פתיחה'!$2:$76,13,0),0)</f>
        <v>0</v>
      </c>
      <c r="AO188" s="47">
        <f>+IFERROR(HLOOKUP(AO21,'סקרי נכסים-יתרות פתיחה'!$2:$76,13,0),0)</f>
        <v>0</v>
      </c>
      <c r="AP188" s="47">
        <f>+IFERROR(HLOOKUP(AP21,'סקרי נכסים-יתרות פתיחה'!$2:$76,13,0),0)</f>
        <v>0</v>
      </c>
      <c r="AQ188" s="47">
        <f>+IFERROR(HLOOKUP(AQ21,'סקרי נכסים-יתרות פתיחה'!$2:$76,13,0),0)</f>
        <v>0</v>
      </c>
      <c r="AR188" s="47">
        <f>+IFERROR(HLOOKUP(AR21,'סקרי נכסים-יתרות פתיחה'!$2:$76,13,0),0)</f>
        <v>0</v>
      </c>
      <c r="AS188" s="47">
        <f>+IFERROR(HLOOKUP(AS21,'סקרי נכסים-יתרות פתיחה'!$2:$76,13,0),0)</f>
        <v>0</v>
      </c>
      <c r="AT188" s="47">
        <f>+IFERROR(HLOOKUP(AT21,'סקרי נכסים-יתרות פתיחה'!$2:$76,13,0),0)</f>
        <v>0</v>
      </c>
      <c r="AU188" s="47">
        <f>+IFERROR(HLOOKUP(AU21,'סקרי נכסים-יתרות פתיחה'!$2:$76,13,0),0)</f>
        <v>0</v>
      </c>
      <c r="AV188" s="47">
        <f>+IFERROR(HLOOKUP(AV21,'סקרי נכסים-יתרות פתיחה'!$2:$76,13,0),0)</f>
        <v>0</v>
      </c>
      <c r="AW188" s="47">
        <f>+IFERROR(HLOOKUP(AW21,'סקרי נכסים-יתרות פתיחה'!$2:$76,13,0),0)</f>
        <v>0</v>
      </c>
      <c r="AX188" s="47">
        <f>+IFERROR(HLOOKUP(AX21,'סקרי נכסים-יתרות פתיחה'!$2:$76,13,0),0)</f>
        <v>0</v>
      </c>
      <c r="AY188" s="47">
        <f>+IFERROR(HLOOKUP(AY21,'סקרי נכסים-יתרות פתיחה'!$2:$76,13,0),0)</f>
        <v>0</v>
      </c>
      <c r="AZ188" s="47">
        <f>+IFERROR(HLOOKUP(AZ21,'סקרי נכסים-יתרות פתיחה'!$2:$76,13,0),0)</f>
        <v>0</v>
      </c>
      <c r="BA188" s="47">
        <f>+IFERROR(HLOOKUP(BA21,'סקרי נכסים-יתרות פתיחה'!$2:$76,13,0),0)</f>
        <v>0</v>
      </c>
      <c r="BB188" s="47">
        <f>+IFERROR(HLOOKUP(BB21,'סקרי נכסים-יתרות פתיחה'!$2:$76,13,0),0)</f>
        <v>0</v>
      </c>
      <c r="BC188" s="47">
        <f>+IFERROR(HLOOKUP(BC21,'סקרי נכסים-יתרות פתיחה'!$2:$76,13,0),0)</f>
        <v>0</v>
      </c>
      <c r="BD188" s="47">
        <f>+IFERROR(HLOOKUP(BD21,'סקרי נכסים-יתרות פתיחה'!$2:$76,13,0),0)</f>
        <v>0</v>
      </c>
      <c r="BE188" s="47">
        <f>+IFERROR(HLOOKUP(BE21,'סקרי נכסים-יתרות פתיחה'!$2:$76,13,0),0)</f>
        <v>0</v>
      </c>
      <c r="BF188" s="47">
        <f>+IFERROR(HLOOKUP(BF21,'סקרי נכסים-יתרות פתיחה'!$2:$76,13,0),0)</f>
        <v>0</v>
      </c>
    </row>
    <row r="189" spans="2:58" x14ac:dyDescent="0.2">
      <c r="B189" s="1">
        <v>15</v>
      </c>
      <c r="C189" s="47">
        <f>+IFERROR(HLOOKUP(C22,'סקרי נכסים-יתרות פתיחה'!$2:$76,13,0),0)</f>
        <v>0</v>
      </c>
      <c r="D189" s="47">
        <f>+IFERROR(HLOOKUP(D22,'סקרי נכסים-יתרות פתיחה'!$2:$76,13,0),0)</f>
        <v>0</v>
      </c>
      <c r="E189" s="47">
        <f>+IFERROR(HLOOKUP(E22,'סקרי נכסים-יתרות פתיחה'!$2:$76,13,0),0)</f>
        <v>0</v>
      </c>
      <c r="F189" s="47">
        <f>+IFERROR(HLOOKUP(F22,'סקרי נכסים-יתרות פתיחה'!$2:$76,13,0),0)</f>
        <v>0</v>
      </c>
      <c r="G189" s="47">
        <f>+IFERROR(HLOOKUP(G22,'סקרי נכסים-יתרות פתיחה'!$2:$76,13,0),0)</f>
        <v>0</v>
      </c>
      <c r="H189" s="47">
        <f>+IFERROR(HLOOKUP(H22,'סקרי נכסים-יתרות פתיחה'!$2:$76,13,0),0)</f>
        <v>0</v>
      </c>
      <c r="I189" s="47">
        <f>+IFERROR(HLOOKUP(I22,'סקרי נכסים-יתרות פתיחה'!$2:$76,13,0),0)</f>
        <v>0</v>
      </c>
      <c r="J189" s="47">
        <f>+IFERROR(HLOOKUP(J22,'סקרי נכסים-יתרות פתיחה'!$2:$76,13,0),0)</f>
        <v>0</v>
      </c>
      <c r="K189" s="47">
        <f>+IFERROR(HLOOKUP(K22,'סקרי נכסים-יתרות פתיחה'!$2:$76,13,0),0)</f>
        <v>0</v>
      </c>
      <c r="L189" s="47">
        <f>+IFERROR(HLOOKUP(L22,'סקרי נכסים-יתרות פתיחה'!$2:$76,13,0),0)</f>
        <v>0</v>
      </c>
      <c r="M189" s="47">
        <f>+IFERROR(HLOOKUP(M22,'סקרי נכסים-יתרות פתיחה'!$2:$76,13,0),0)</f>
        <v>0</v>
      </c>
      <c r="N189" s="47">
        <f>+IFERROR(HLOOKUP(N22,'סקרי נכסים-יתרות פתיחה'!$2:$76,13,0),0)</f>
        <v>0</v>
      </c>
      <c r="O189" s="47">
        <f>+IFERROR(HLOOKUP(O22,'סקרי נכסים-יתרות פתיחה'!$2:$76,13,0),0)</f>
        <v>0</v>
      </c>
      <c r="P189" s="47">
        <f>+IFERROR(HLOOKUP(P22,'סקרי נכסים-יתרות פתיחה'!$2:$76,13,0),0)</f>
        <v>0</v>
      </c>
      <c r="Q189" s="47">
        <f>+IFERROR(HLOOKUP(Q22,'סקרי נכסים-יתרות פתיחה'!$2:$76,13,0),0)</f>
        <v>0</v>
      </c>
      <c r="R189" s="47">
        <f>+IFERROR(HLOOKUP(R22,'סקרי נכסים-יתרות פתיחה'!$2:$76,13,0),0)</f>
        <v>0</v>
      </c>
      <c r="S189" s="47">
        <f>+IFERROR(HLOOKUP(S22,'סקרי נכסים-יתרות פתיחה'!$2:$76,13,0),0)</f>
        <v>0</v>
      </c>
      <c r="T189" s="47">
        <f>+IFERROR(HLOOKUP(T22,'סקרי נכסים-יתרות פתיחה'!$2:$76,13,0),0)</f>
        <v>0</v>
      </c>
      <c r="U189" s="47">
        <f>+IFERROR(HLOOKUP(U22,'סקרי נכסים-יתרות פתיחה'!$2:$76,13,0),0)</f>
        <v>0</v>
      </c>
      <c r="V189" s="47">
        <f>+IFERROR(HLOOKUP(V22,'סקרי נכסים-יתרות פתיחה'!$2:$76,13,0),0)</f>
        <v>0</v>
      </c>
      <c r="W189" s="47">
        <f>+IFERROR(HLOOKUP(W22,'סקרי נכסים-יתרות פתיחה'!$2:$76,13,0),0)</f>
        <v>0</v>
      </c>
      <c r="X189" s="47">
        <f>+IFERROR(HLOOKUP(X22,'סקרי נכסים-יתרות פתיחה'!$2:$76,13,0),0)</f>
        <v>0</v>
      </c>
      <c r="Y189" s="47">
        <f>+IFERROR(HLOOKUP(Y22,'סקרי נכסים-יתרות פתיחה'!$2:$76,13,0),0)</f>
        <v>0</v>
      </c>
      <c r="Z189" s="47">
        <f>+IFERROR(HLOOKUP(Z22,'סקרי נכסים-יתרות פתיחה'!$2:$76,13,0),0)</f>
        <v>0</v>
      </c>
      <c r="AA189" s="47">
        <f>+IFERROR(HLOOKUP(AA22,'סקרי נכסים-יתרות פתיחה'!$2:$76,13,0),0)</f>
        <v>0</v>
      </c>
      <c r="AB189" s="47">
        <f>+IFERROR(HLOOKUP(AB22,'סקרי נכסים-יתרות פתיחה'!$2:$76,13,0),0)</f>
        <v>0</v>
      </c>
      <c r="AC189" s="47">
        <f>+IFERROR(HLOOKUP(AC22,'סקרי נכסים-יתרות פתיחה'!$2:$76,13,0),0)</f>
        <v>0</v>
      </c>
      <c r="AD189" s="47">
        <f>+IFERROR(HLOOKUP(AD22,'סקרי נכסים-יתרות פתיחה'!$2:$76,13,0),0)</f>
        <v>0</v>
      </c>
      <c r="AE189" s="47">
        <f>+IFERROR(HLOOKUP(AE22,'סקרי נכסים-יתרות פתיחה'!$2:$76,13,0),0)</f>
        <v>0</v>
      </c>
      <c r="AF189" s="47">
        <f>+IFERROR(HLOOKUP(AF22,'סקרי נכסים-יתרות פתיחה'!$2:$76,13,0),0)</f>
        <v>0</v>
      </c>
      <c r="AG189" s="47">
        <f>+IFERROR(HLOOKUP(AG22,'סקרי נכסים-יתרות פתיחה'!$2:$76,13,0),0)</f>
        <v>0</v>
      </c>
      <c r="AH189" s="47">
        <f>+IFERROR(HLOOKUP(AH22,'סקרי נכסים-יתרות פתיחה'!$2:$76,13,0),0)</f>
        <v>0</v>
      </c>
      <c r="AI189" s="47">
        <f>+IFERROR(HLOOKUP(AI22,'סקרי נכסים-יתרות פתיחה'!$2:$76,13,0),0)</f>
        <v>0</v>
      </c>
      <c r="AJ189" s="47">
        <f>+IFERROR(HLOOKUP(AJ22,'סקרי נכסים-יתרות פתיחה'!$2:$76,13,0),0)</f>
        <v>0</v>
      </c>
      <c r="AK189" s="47">
        <f>+IFERROR(HLOOKUP(AK22,'סקרי נכסים-יתרות פתיחה'!$2:$76,13,0),0)</f>
        <v>0</v>
      </c>
      <c r="AL189" s="47">
        <f>+IFERROR(HLOOKUP(AL22,'סקרי נכסים-יתרות פתיחה'!$2:$76,13,0),0)</f>
        <v>0</v>
      </c>
      <c r="AM189" s="47">
        <f>+IFERROR(HLOOKUP(AM22,'סקרי נכסים-יתרות פתיחה'!$2:$76,13,0),0)</f>
        <v>0</v>
      </c>
      <c r="AN189" s="47">
        <f>+IFERROR(HLOOKUP(AN22,'סקרי נכסים-יתרות פתיחה'!$2:$76,13,0),0)</f>
        <v>0</v>
      </c>
      <c r="AO189" s="47">
        <f>+IFERROR(HLOOKUP(AO22,'סקרי נכסים-יתרות פתיחה'!$2:$76,13,0),0)</f>
        <v>0</v>
      </c>
      <c r="AP189" s="47">
        <f>+IFERROR(HLOOKUP(AP22,'סקרי נכסים-יתרות פתיחה'!$2:$76,13,0),0)</f>
        <v>0</v>
      </c>
      <c r="AQ189" s="47">
        <f>+IFERROR(HLOOKUP(AQ22,'סקרי נכסים-יתרות פתיחה'!$2:$76,13,0),0)</f>
        <v>0</v>
      </c>
      <c r="AR189" s="47">
        <f>+IFERROR(HLOOKUP(AR22,'סקרי נכסים-יתרות פתיחה'!$2:$76,13,0),0)</f>
        <v>0</v>
      </c>
      <c r="AS189" s="47">
        <f>+IFERROR(HLOOKUP(AS22,'סקרי נכסים-יתרות פתיחה'!$2:$76,13,0),0)</f>
        <v>0</v>
      </c>
      <c r="AT189" s="47">
        <f>+IFERROR(HLOOKUP(AT22,'סקרי נכסים-יתרות פתיחה'!$2:$76,13,0),0)</f>
        <v>0</v>
      </c>
      <c r="AU189" s="47">
        <f>+IFERROR(HLOOKUP(AU22,'סקרי נכסים-יתרות פתיחה'!$2:$76,13,0),0)</f>
        <v>0</v>
      </c>
      <c r="AV189" s="47">
        <f>+IFERROR(HLOOKUP(AV22,'סקרי נכסים-יתרות פתיחה'!$2:$76,13,0),0)</f>
        <v>0</v>
      </c>
      <c r="AW189" s="47">
        <f>+IFERROR(HLOOKUP(AW22,'סקרי נכסים-יתרות פתיחה'!$2:$76,13,0),0)</f>
        <v>0</v>
      </c>
      <c r="AX189" s="47">
        <f>+IFERROR(HLOOKUP(AX22,'סקרי נכסים-יתרות פתיחה'!$2:$76,13,0),0)</f>
        <v>0</v>
      </c>
      <c r="AY189" s="47">
        <f>+IFERROR(HLOOKUP(AY22,'סקרי נכסים-יתרות פתיחה'!$2:$76,13,0),0)</f>
        <v>0</v>
      </c>
      <c r="AZ189" s="47">
        <f>+IFERROR(HLOOKUP(AZ22,'סקרי נכסים-יתרות פתיחה'!$2:$76,13,0),0)</f>
        <v>0</v>
      </c>
      <c r="BA189" s="47">
        <f>+IFERROR(HLOOKUP(BA22,'סקרי נכסים-יתרות פתיחה'!$2:$76,13,0),0)</f>
        <v>0</v>
      </c>
      <c r="BB189" s="47">
        <f>+IFERROR(HLOOKUP(BB22,'סקרי נכסים-יתרות פתיחה'!$2:$76,13,0),0)</f>
        <v>0</v>
      </c>
      <c r="BC189" s="47">
        <f>+IFERROR(HLOOKUP(BC22,'סקרי נכסים-יתרות פתיחה'!$2:$76,13,0),0)</f>
        <v>0</v>
      </c>
      <c r="BD189" s="47">
        <f>+IFERROR(HLOOKUP(BD22,'סקרי נכסים-יתרות פתיחה'!$2:$76,13,0),0)</f>
        <v>0</v>
      </c>
      <c r="BE189" s="47">
        <f>+IFERROR(HLOOKUP(BE22,'סקרי נכסים-יתרות פתיחה'!$2:$76,13,0),0)</f>
        <v>0</v>
      </c>
      <c r="BF189" s="47">
        <f>+IFERROR(HLOOKUP(BF22,'סקרי נכסים-יתרות פתיחה'!$2:$76,13,0),0)</f>
        <v>0</v>
      </c>
    </row>
    <row r="190" spans="2:58" x14ac:dyDescent="0.2">
      <c r="B190" s="1">
        <v>16</v>
      </c>
      <c r="C190" s="47">
        <f>+IFERROR(HLOOKUP(C23,'סקרי נכסים-יתרות פתיחה'!$2:$76,13,0),0)</f>
        <v>0</v>
      </c>
      <c r="D190" s="47">
        <f>+IFERROR(HLOOKUP(D23,'סקרי נכסים-יתרות פתיחה'!$2:$76,13,0),0)</f>
        <v>0</v>
      </c>
      <c r="E190" s="47">
        <f>+IFERROR(HLOOKUP(E23,'סקרי נכסים-יתרות פתיחה'!$2:$76,13,0),0)</f>
        <v>0</v>
      </c>
      <c r="F190" s="47">
        <f>+IFERROR(HLOOKUP(F23,'סקרי נכסים-יתרות פתיחה'!$2:$76,13,0),0)</f>
        <v>0</v>
      </c>
      <c r="G190" s="47">
        <f>+IFERROR(HLOOKUP(G23,'סקרי נכסים-יתרות פתיחה'!$2:$76,13,0),0)</f>
        <v>0</v>
      </c>
      <c r="H190" s="47">
        <f>+IFERROR(HLOOKUP(H23,'סקרי נכסים-יתרות פתיחה'!$2:$76,13,0),0)</f>
        <v>0</v>
      </c>
      <c r="I190" s="47">
        <f>+IFERROR(HLOOKUP(I23,'סקרי נכסים-יתרות פתיחה'!$2:$76,13,0),0)</f>
        <v>0</v>
      </c>
      <c r="J190" s="47">
        <f>+IFERROR(HLOOKUP(J23,'סקרי נכסים-יתרות פתיחה'!$2:$76,13,0),0)</f>
        <v>0</v>
      </c>
      <c r="K190" s="47">
        <f>+IFERROR(HLOOKUP(K23,'סקרי נכסים-יתרות פתיחה'!$2:$76,13,0),0)</f>
        <v>0</v>
      </c>
      <c r="L190" s="47">
        <f>+IFERROR(HLOOKUP(L23,'סקרי נכסים-יתרות פתיחה'!$2:$76,13,0),0)</f>
        <v>0</v>
      </c>
      <c r="M190" s="47">
        <f>+IFERROR(HLOOKUP(M23,'סקרי נכסים-יתרות פתיחה'!$2:$76,13,0),0)</f>
        <v>0</v>
      </c>
      <c r="N190" s="47">
        <f>+IFERROR(HLOOKUP(N23,'סקרי נכסים-יתרות פתיחה'!$2:$76,13,0),0)</f>
        <v>0</v>
      </c>
      <c r="O190" s="47">
        <f>+IFERROR(HLOOKUP(O23,'סקרי נכסים-יתרות פתיחה'!$2:$76,13,0),0)</f>
        <v>0</v>
      </c>
      <c r="P190" s="47">
        <f>+IFERROR(HLOOKUP(P23,'סקרי נכסים-יתרות פתיחה'!$2:$76,13,0),0)</f>
        <v>0</v>
      </c>
      <c r="Q190" s="47">
        <f>+IFERROR(HLOOKUP(Q23,'סקרי נכסים-יתרות פתיחה'!$2:$76,13,0),0)</f>
        <v>0</v>
      </c>
      <c r="R190" s="47">
        <f>+IFERROR(HLOOKUP(R23,'סקרי נכסים-יתרות פתיחה'!$2:$76,13,0),0)</f>
        <v>0</v>
      </c>
      <c r="S190" s="47">
        <f>+IFERROR(HLOOKUP(S23,'סקרי נכסים-יתרות פתיחה'!$2:$76,13,0),0)</f>
        <v>0</v>
      </c>
      <c r="T190" s="47">
        <f>+IFERROR(HLOOKUP(T23,'סקרי נכסים-יתרות פתיחה'!$2:$76,13,0),0)</f>
        <v>0</v>
      </c>
      <c r="U190" s="47">
        <f>+IFERROR(HLOOKUP(U23,'סקרי נכסים-יתרות פתיחה'!$2:$76,13,0),0)</f>
        <v>0</v>
      </c>
      <c r="V190" s="47">
        <f>+IFERROR(HLOOKUP(V23,'סקרי נכסים-יתרות פתיחה'!$2:$76,13,0),0)</f>
        <v>0</v>
      </c>
      <c r="W190" s="47">
        <f>+IFERROR(HLOOKUP(W23,'סקרי נכסים-יתרות פתיחה'!$2:$76,13,0),0)</f>
        <v>0</v>
      </c>
      <c r="X190" s="47">
        <f>+IFERROR(HLOOKUP(X23,'סקרי נכסים-יתרות פתיחה'!$2:$76,13,0),0)</f>
        <v>0</v>
      </c>
      <c r="Y190" s="47">
        <f>+IFERROR(HLOOKUP(Y23,'סקרי נכסים-יתרות פתיחה'!$2:$76,13,0),0)</f>
        <v>0</v>
      </c>
      <c r="Z190" s="47">
        <f>+IFERROR(HLOOKUP(Z23,'סקרי נכסים-יתרות פתיחה'!$2:$76,13,0),0)</f>
        <v>0</v>
      </c>
      <c r="AA190" s="47">
        <f>+IFERROR(HLOOKUP(AA23,'סקרי נכסים-יתרות פתיחה'!$2:$76,13,0),0)</f>
        <v>0</v>
      </c>
      <c r="AB190" s="47">
        <f>+IFERROR(HLOOKUP(AB23,'סקרי נכסים-יתרות פתיחה'!$2:$76,13,0),0)</f>
        <v>0</v>
      </c>
      <c r="AC190" s="47">
        <f>+IFERROR(HLOOKUP(AC23,'סקרי נכסים-יתרות פתיחה'!$2:$76,13,0),0)</f>
        <v>0</v>
      </c>
      <c r="AD190" s="47">
        <f>+IFERROR(HLOOKUP(AD23,'סקרי נכסים-יתרות פתיחה'!$2:$76,13,0),0)</f>
        <v>0</v>
      </c>
      <c r="AE190" s="47">
        <f>+IFERROR(HLOOKUP(AE23,'סקרי נכסים-יתרות פתיחה'!$2:$76,13,0),0)</f>
        <v>0</v>
      </c>
      <c r="AF190" s="47">
        <f>+IFERROR(HLOOKUP(AF23,'סקרי נכסים-יתרות פתיחה'!$2:$76,13,0),0)</f>
        <v>0</v>
      </c>
      <c r="AG190" s="47">
        <f>+IFERROR(HLOOKUP(AG23,'סקרי נכסים-יתרות פתיחה'!$2:$76,13,0),0)</f>
        <v>0</v>
      </c>
      <c r="AH190" s="47">
        <f>+IFERROR(HLOOKUP(AH23,'סקרי נכסים-יתרות פתיחה'!$2:$76,13,0),0)</f>
        <v>0</v>
      </c>
      <c r="AI190" s="47">
        <f>+IFERROR(HLOOKUP(AI23,'סקרי נכסים-יתרות פתיחה'!$2:$76,13,0),0)</f>
        <v>0</v>
      </c>
      <c r="AJ190" s="47">
        <f>+IFERROR(HLOOKUP(AJ23,'סקרי נכסים-יתרות פתיחה'!$2:$76,13,0),0)</f>
        <v>0</v>
      </c>
      <c r="AK190" s="47">
        <f>+IFERROR(HLOOKUP(AK23,'סקרי נכסים-יתרות פתיחה'!$2:$76,13,0),0)</f>
        <v>0</v>
      </c>
      <c r="AL190" s="47">
        <f>+IFERROR(HLOOKUP(AL23,'סקרי נכסים-יתרות פתיחה'!$2:$76,13,0),0)</f>
        <v>0</v>
      </c>
      <c r="AM190" s="47">
        <f>+IFERROR(HLOOKUP(AM23,'סקרי נכסים-יתרות פתיחה'!$2:$76,13,0),0)</f>
        <v>0</v>
      </c>
      <c r="AN190" s="47">
        <f>+IFERROR(HLOOKUP(AN23,'סקרי נכסים-יתרות פתיחה'!$2:$76,13,0),0)</f>
        <v>0</v>
      </c>
      <c r="AO190" s="47">
        <f>+IFERROR(HLOOKUP(AO23,'סקרי נכסים-יתרות פתיחה'!$2:$76,13,0),0)</f>
        <v>0</v>
      </c>
      <c r="AP190" s="47">
        <f>+IFERROR(HLOOKUP(AP23,'סקרי נכסים-יתרות פתיחה'!$2:$76,13,0),0)</f>
        <v>0</v>
      </c>
      <c r="AQ190" s="47">
        <f>+IFERROR(HLOOKUP(AQ23,'סקרי נכסים-יתרות פתיחה'!$2:$76,13,0),0)</f>
        <v>0</v>
      </c>
      <c r="AR190" s="47">
        <f>+IFERROR(HLOOKUP(AR23,'סקרי נכסים-יתרות פתיחה'!$2:$76,13,0),0)</f>
        <v>0</v>
      </c>
      <c r="AS190" s="47">
        <f>+IFERROR(HLOOKUP(AS23,'סקרי נכסים-יתרות פתיחה'!$2:$76,13,0),0)</f>
        <v>0</v>
      </c>
      <c r="AT190" s="47">
        <f>+IFERROR(HLOOKUP(AT23,'סקרי נכסים-יתרות פתיחה'!$2:$76,13,0),0)</f>
        <v>0</v>
      </c>
      <c r="AU190" s="47">
        <f>+IFERROR(HLOOKUP(AU23,'סקרי נכסים-יתרות פתיחה'!$2:$76,13,0),0)</f>
        <v>0</v>
      </c>
      <c r="AV190" s="47">
        <f>+IFERROR(HLOOKUP(AV23,'סקרי נכסים-יתרות פתיחה'!$2:$76,13,0),0)</f>
        <v>0</v>
      </c>
      <c r="AW190" s="47">
        <f>+IFERROR(HLOOKUP(AW23,'סקרי נכסים-יתרות פתיחה'!$2:$76,13,0),0)</f>
        <v>0</v>
      </c>
      <c r="AX190" s="47">
        <f>+IFERROR(HLOOKUP(AX23,'סקרי נכסים-יתרות פתיחה'!$2:$76,13,0),0)</f>
        <v>0</v>
      </c>
      <c r="AY190" s="47">
        <f>+IFERROR(HLOOKUP(AY23,'סקרי נכסים-יתרות פתיחה'!$2:$76,13,0),0)</f>
        <v>0</v>
      </c>
      <c r="AZ190" s="47">
        <f>+IFERROR(HLOOKUP(AZ23,'סקרי נכסים-יתרות פתיחה'!$2:$76,13,0),0)</f>
        <v>0</v>
      </c>
      <c r="BA190" s="47">
        <f>+IFERROR(HLOOKUP(BA23,'סקרי נכסים-יתרות פתיחה'!$2:$76,13,0),0)</f>
        <v>0</v>
      </c>
      <c r="BB190" s="47">
        <f>+IFERROR(HLOOKUP(BB23,'סקרי נכסים-יתרות פתיחה'!$2:$76,13,0),0)</f>
        <v>0</v>
      </c>
      <c r="BC190" s="47">
        <f>+IFERROR(HLOOKUP(BC23,'סקרי נכסים-יתרות פתיחה'!$2:$76,13,0),0)</f>
        <v>0</v>
      </c>
      <c r="BD190" s="47">
        <f>+IFERROR(HLOOKUP(BD23,'סקרי נכסים-יתרות פתיחה'!$2:$76,13,0),0)</f>
        <v>0</v>
      </c>
      <c r="BE190" s="47">
        <f>+IFERROR(HLOOKUP(BE23,'סקרי נכסים-יתרות פתיחה'!$2:$76,13,0),0)</f>
        <v>0</v>
      </c>
      <c r="BF190" s="47">
        <f>+IFERROR(HLOOKUP(BF23,'סקרי נכסים-יתרות פתיחה'!$2:$76,13,0),0)</f>
        <v>0</v>
      </c>
    </row>
    <row r="191" spans="2:58" x14ac:dyDescent="0.2">
      <c r="B191" s="1">
        <v>17</v>
      </c>
      <c r="C191" s="47">
        <f>+IFERROR(HLOOKUP(C24,'סקרי נכסים-יתרות פתיחה'!$2:$76,13,0),0)</f>
        <v>0</v>
      </c>
      <c r="D191" s="47">
        <f>+IFERROR(HLOOKUP(D24,'סקרי נכסים-יתרות פתיחה'!$2:$76,13,0),0)</f>
        <v>0</v>
      </c>
      <c r="E191" s="47">
        <f>+IFERROR(HLOOKUP(E24,'סקרי נכסים-יתרות פתיחה'!$2:$76,13,0),0)</f>
        <v>0</v>
      </c>
      <c r="F191" s="47">
        <f>+IFERROR(HLOOKUP(F24,'סקרי נכסים-יתרות פתיחה'!$2:$76,13,0),0)</f>
        <v>0</v>
      </c>
      <c r="G191" s="47">
        <f>+IFERROR(HLOOKUP(G24,'סקרי נכסים-יתרות פתיחה'!$2:$76,13,0),0)</f>
        <v>0</v>
      </c>
      <c r="H191" s="47">
        <f>+IFERROR(HLOOKUP(H24,'סקרי נכסים-יתרות פתיחה'!$2:$76,13,0),0)</f>
        <v>0</v>
      </c>
      <c r="I191" s="47">
        <f>+IFERROR(HLOOKUP(I24,'סקרי נכסים-יתרות פתיחה'!$2:$76,13,0),0)</f>
        <v>0</v>
      </c>
      <c r="J191" s="47">
        <f>+IFERROR(HLOOKUP(J24,'סקרי נכסים-יתרות פתיחה'!$2:$76,13,0),0)</f>
        <v>0</v>
      </c>
      <c r="K191" s="47">
        <f>+IFERROR(HLOOKUP(K24,'סקרי נכסים-יתרות פתיחה'!$2:$76,13,0),0)</f>
        <v>0</v>
      </c>
      <c r="L191" s="47">
        <f>+IFERROR(HLOOKUP(L24,'סקרי נכסים-יתרות פתיחה'!$2:$76,13,0),0)</f>
        <v>0</v>
      </c>
      <c r="M191" s="47">
        <f>+IFERROR(HLOOKUP(M24,'סקרי נכסים-יתרות פתיחה'!$2:$76,13,0),0)</f>
        <v>0</v>
      </c>
      <c r="N191" s="47">
        <f>+IFERROR(HLOOKUP(N24,'סקרי נכסים-יתרות פתיחה'!$2:$76,13,0),0)</f>
        <v>0</v>
      </c>
      <c r="O191" s="47">
        <f>+IFERROR(HLOOKUP(O24,'סקרי נכסים-יתרות פתיחה'!$2:$76,13,0),0)</f>
        <v>0</v>
      </c>
      <c r="P191" s="47">
        <f>+IFERROR(HLOOKUP(P24,'סקרי נכסים-יתרות פתיחה'!$2:$76,13,0),0)</f>
        <v>0</v>
      </c>
      <c r="Q191" s="47">
        <f>+IFERROR(HLOOKUP(Q24,'סקרי נכסים-יתרות פתיחה'!$2:$76,13,0),0)</f>
        <v>0</v>
      </c>
      <c r="R191" s="47">
        <f>+IFERROR(HLOOKUP(R24,'סקרי נכסים-יתרות פתיחה'!$2:$76,13,0),0)</f>
        <v>0</v>
      </c>
      <c r="S191" s="47">
        <f>+IFERROR(HLOOKUP(S24,'סקרי נכסים-יתרות פתיחה'!$2:$76,13,0),0)</f>
        <v>0</v>
      </c>
      <c r="T191" s="47">
        <f>+IFERROR(HLOOKUP(T24,'סקרי נכסים-יתרות פתיחה'!$2:$76,13,0),0)</f>
        <v>0</v>
      </c>
      <c r="U191" s="47">
        <f>+IFERROR(HLOOKUP(U24,'סקרי נכסים-יתרות פתיחה'!$2:$76,13,0),0)</f>
        <v>0</v>
      </c>
      <c r="V191" s="47">
        <f>+IFERROR(HLOOKUP(V24,'סקרי נכסים-יתרות פתיחה'!$2:$76,13,0),0)</f>
        <v>0</v>
      </c>
      <c r="W191" s="47">
        <f>+IFERROR(HLOOKUP(W24,'סקרי נכסים-יתרות פתיחה'!$2:$76,13,0),0)</f>
        <v>0</v>
      </c>
      <c r="X191" s="47">
        <f>+IFERROR(HLOOKUP(X24,'סקרי נכסים-יתרות פתיחה'!$2:$76,13,0),0)</f>
        <v>0</v>
      </c>
      <c r="Y191" s="47">
        <f>+IFERROR(HLOOKUP(Y24,'סקרי נכסים-יתרות פתיחה'!$2:$76,13,0),0)</f>
        <v>0</v>
      </c>
      <c r="Z191" s="47">
        <f>+IFERROR(HLOOKUP(Z24,'סקרי נכסים-יתרות פתיחה'!$2:$76,13,0),0)</f>
        <v>0</v>
      </c>
      <c r="AA191" s="47">
        <f>+IFERROR(HLOOKUP(AA24,'סקרי נכסים-יתרות פתיחה'!$2:$76,13,0),0)</f>
        <v>0</v>
      </c>
      <c r="AB191" s="47">
        <f>+IFERROR(HLOOKUP(AB24,'סקרי נכסים-יתרות פתיחה'!$2:$76,13,0),0)</f>
        <v>0</v>
      </c>
      <c r="AC191" s="47">
        <f>+IFERROR(HLOOKUP(AC24,'סקרי נכסים-יתרות פתיחה'!$2:$76,13,0),0)</f>
        <v>0</v>
      </c>
      <c r="AD191" s="47">
        <f>+IFERROR(HLOOKUP(AD24,'סקרי נכסים-יתרות פתיחה'!$2:$76,13,0),0)</f>
        <v>0</v>
      </c>
      <c r="AE191" s="47">
        <f>+IFERROR(HLOOKUP(AE24,'סקרי נכסים-יתרות פתיחה'!$2:$76,13,0),0)</f>
        <v>0</v>
      </c>
      <c r="AF191" s="47">
        <f>+IFERROR(HLOOKUP(AF24,'סקרי נכסים-יתרות פתיחה'!$2:$76,13,0),0)</f>
        <v>0</v>
      </c>
      <c r="AG191" s="47">
        <f>+IFERROR(HLOOKUP(AG24,'סקרי נכסים-יתרות פתיחה'!$2:$76,13,0),0)</f>
        <v>0</v>
      </c>
      <c r="AH191" s="47">
        <f>+IFERROR(HLOOKUP(AH24,'סקרי נכסים-יתרות פתיחה'!$2:$76,13,0),0)</f>
        <v>0</v>
      </c>
      <c r="AI191" s="47">
        <f>+IFERROR(HLOOKUP(AI24,'סקרי נכסים-יתרות פתיחה'!$2:$76,13,0),0)</f>
        <v>0</v>
      </c>
      <c r="AJ191" s="47">
        <f>+IFERROR(HLOOKUP(AJ24,'סקרי נכסים-יתרות פתיחה'!$2:$76,13,0),0)</f>
        <v>0</v>
      </c>
      <c r="AK191" s="47">
        <f>+IFERROR(HLOOKUP(AK24,'סקרי נכסים-יתרות פתיחה'!$2:$76,13,0),0)</f>
        <v>0</v>
      </c>
      <c r="AL191" s="47">
        <f>+IFERROR(HLOOKUP(AL24,'סקרי נכסים-יתרות פתיחה'!$2:$76,13,0),0)</f>
        <v>0</v>
      </c>
      <c r="AM191" s="47">
        <f>+IFERROR(HLOOKUP(AM24,'סקרי נכסים-יתרות פתיחה'!$2:$76,13,0),0)</f>
        <v>0</v>
      </c>
      <c r="AN191" s="47">
        <f>+IFERROR(HLOOKUP(AN24,'סקרי נכסים-יתרות פתיחה'!$2:$76,13,0),0)</f>
        <v>0</v>
      </c>
      <c r="AO191" s="47">
        <f>+IFERROR(HLOOKUP(AO24,'סקרי נכסים-יתרות פתיחה'!$2:$76,13,0),0)</f>
        <v>0</v>
      </c>
      <c r="AP191" s="47">
        <f>+IFERROR(HLOOKUP(AP24,'סקרי נכסים-יתרות פתיחה'!$2:$76,13,0),0)</f>
        <v>0</v>
      </c>
      <c r="AQ191" s="47">
        <f>+IFERROR(HLOOKUP(AQ24,'סקרי נכסים-יתרות פתיחה'!$2:$76,13,0),0)</f>
        <v>0</v>
      </c>
      <c r="AR191" s="47">
        <f>+IFERROR(HLOOKUP(AR24,'סקרי נכסים-יתרות פתיחה'!$2:$76,13,0),0)</f>
        <v>0</v>
      </c>
      <c r="AS191" s="47">
        <f>+IFERROR(HLOOKUP(AS24,'סקרי נכסים-יתרות פתיחה'!$2:$76,13,0),0)</f>
        <v>0</v>
      </c>
      <c r="AT191" s="47">
        <f>+IFERROR(HLOOKUP(AT24,'סקרי נכסים-יתרות פתיחה'!$2:$76,13,0),0)</f>
        <v>0</v>
      </c>
      <c r="AU191" s="47">
        <f>+IFERROR(HLOOKUP(AU24,'סקרי נכסים-יתרות פתיחה'!$2:$76,13,0),0)</f>
        <v>0</v>
      </c>
      <c r="AV191" s="47">
        <f>+IFERROR(HLOOKUP(AV24,'סקרי נכסים-יתרות פתיחה'!$2:$76,13,0),0)</f>
        <v>0</v>
      </c>
      <c r="AW191" s="47">
        <f>+IFERROR(HLOOKUP(AW24,'סקרי נכסים-יתרות פתיחה'!$2:$76,13,0),0)</f>
        <v>0</v>
      </c>
      <c r="AX191" s="47">
        <f>+IFERROR(HLOOKUP(AX24,'סקרי נכסים-יתרות פתיחה'!$2:$76,13,0),0)</f>
        <v>0</v>
      </c>
      <c r="AY191" s="47">
        <f>+IFERROR(HLOOKUP(AY24,'סקרי נכסים-יתרות פתיחה'!$2:$76,13,0),0)</f>
        <v>0</v>
      </c>
      <c r="AZ191" s="47">
        <f>+IFERROR(HLOOKUP(AZ24,'סקרי נכסים-יתרות פתיחה'!$2:$76,13,0),0)</f>
        <v>0</v>
      </c>
      <c r="BA191" s="47">
        <f>+IFERROR(HLOOKUP(BA24,'סקרי נכסים-יתרות פתיחה'!$2:$76,13,0),0)</f>
        <v>0</v>
      </c>
      <c r="BB191" s="47">
        <f>+IFERROR(HLOOKUP(BB24,'סקרי נכסים-יתרות פתיחה'!$2:$76,13,0),0)</f>
        <v>0</v>
      </c>
      <c r="BC191" s="47">
        <f>+IFERROR(HLOOKUP(BC24,'סקרי נכסים-יתרות פתיחה'!$2:$76,13,0),0)</f>
        <v>0</v>
      </c>
      <c r="BD191" s="47">
        <f>+IFERROR(HLOOKUP(BD24,'סקרי נכסים-יתרות פתיחה'!$2:$76,13,0),0)</f>
        <v>0</v>
      </c>
      <c r="BE191" s="47">
        <f>+IFERROR(HLOOKUP(BE24,'סקרי נכסים-יתרות פתיחה'!$2:$76,13,0),0)</f>
        <v>0</v>
      </c>
      <c r="BF191" s="47">
        <f>+IFERROR(HLOOKUP(BF24,'סקרי נכסים-יתרות פתיחה'!$2:$76,13,0),0)</f>
        <v>0</v>
      </c>
    </row>
    <row r="192" spans="2:58" x14ac:dyDescent="0.2">
      <c r="B192" s="1">
        <v>18</v>
      </c>
      <c r="C192" s="47">
        <f>+IFERROR(HLOOKUP(C25,'סקרי נכסים-יתרות פתיחה'!$2:$76,13,0),0)</f>
        <v>0</v>
      </c>
      <c r="D192" s="47">
        <f>+IFERROR(HLOOKUP(D25,'סקרי נכסים-יתרות פתיחה'!$2:$76,13,0),0)</f>
        <v>0</v>
      </c>
      <c r="E192" s="47">
        <f>+IFERROR(HLOOKUP(E25,'סקרי נכסים-יתרות פתיחה'!$2:$76,13,0),0)</f>
        <v>0</v>
      </c>
      <c r="F192" s="47">
        <f>+IFERROR(HLOOKUP(F25,'סקרי נכסים-יתרות פתיחה'!$2:$76,13,0),0)</f>
        <v>0</v>
      </c>
      <c r="G192" s="47">
        <f>+IFERROR(HLOOKUP(G25,'סקרי נכסים-יתרות פתיחה'!$2:$76,13,0),0)</f>
        <v>0</v>
      </c>
      <c r="H192" s="47">
        <f>+IFERROR(HLOOKUP(H25,'סקרי נכסים-יתרות פתיחה'!$2:$76,13,0),0)</f>
        <v>0</v>
      </c>
      <c r="I192" s="47">
        <f>+IFERROR(HLOOKUP(I25,'סקרי נכסים-יתרות פתיחה'!$2:$76,13,0),0)</f>
        <v>0</v>
      </c>
      <c r="J192" s="47">
        <f>+IFERROR(HLOOKUP(J25,'סקרי נכסים-יתרות פתיחה'!$2:$76,13,0),0)</f>
        <v>0</v>
      </c>
      <c r="K192" s="47">
        <f>+IFERROR(HLOOKUP(K25,'סקרי נכסים-יתרות פתיחה'!$2:$76,13,0),0)</f>
        <v>0</v>
      </c>
      <c r="L192" s="47">
        <f>+IFERROR(HLOOKUP(L25,'סקרי נכסים-יתרות פתיחה'!$2:$76,13,0),0)</f>
        <v>0</v>
      </c>
      <c r="M192" s="47">
        <f>+IFERROR(HLOOKUP(M25,'סקרי נכסים-יתרות פתיחה'!$2:$76,13,0),0)</f>
        <v>0</v>
      </c>
      <c r="N192" s="47">
        <f>+IFERROR(HLOOKUP(N25,'סקרי נכסים-יתרות פתיחה'!$2:$76,13,0),0)</f>
        <v>0</v>
      </c>
      <c r="O192" s="47">
        <f>+IFERROR(HLOOKUP(O25,'סקרי נכסים-יתרות פתיחה'!$2:$76,13,0),0)</f>
        <v>0</v>
      </c>
      <c r="P192" s="47">
        <f>+IFERROR(HLOOKUP(P25,'סקרי נכסים-יתרות פתיחה'!$2:$76,13,0),0)</f>
        <v>0</v>
      </c>
      <c r="Q192" s="47">
        <f>+IFERROR(HLOOKUP(Q25,'סקרי נכסים-יתרות פתיחה'!$2:$76,13,0),0)</f>
        <v>0</v>
      </c>
      <c r="R192" s="47">
        <f>+IFERROR(HLOOKUP(R25,'סקרי נכסים-יתרות פתיחה'!$2:$76,13,0),0)</f>
        <v>0</v>
      </c>
      <c r="S192" s="47">
        <f>+IFERROR(HLOOKUP(S25,'סקרי נכסים-יתרות פתיחה'!$2:$76,13,0),0)</f>
        <v>0</v>
      </c>
      <c r="T192" s="47">
        <f>+IFERROR(HLOOKUP(T25,'סקרי נכסים-יתרות פתיחה'!$2:$76,13,0),0)</f>
        <v>0</v>
      </c>
      <c r="U192" s="47">
        <f>+IFERROR(HLOOKUP(U25,'סקרי נכסים-יתרות פתיחה'!$2:$76,13,0),0)</f>
        <v>0</v>
      </c>
      <c r="V192" s="47">
        <f>+IFERROR(HLOOKUP(V25,'סקרי נכסים-יתרות פתיחה'!$2:$76,13,0),0)</f>
        <v>0</v>
      </c>
      <c r="W192" s="47">
        <f>+IFERROR(HLOOKUP(W25,'סקרי נכסים-יתרות פתיחה'!$2:$76,13,0),0)</f>
        <v>0</v>
      </c>
      <c r="X192" s="47">
        <f>+IFERROR(HLOOKUP(X25,'סקרי נכסים-יתרות פתיחה'!$2:$76,13,0),0)</f>
        <v>0</v>
      </c>
      <c r="Y192" s="47">
        <f>+IFERROR(HLOOKUP(Y25,'סקרי נכסים-יתרות פתיחה'!$2:$76,13,0),0)</f>
        <v>0</v>
      </c>
      <c r="Z192" s="47">
        <f>+IFERROR(HLOOKUP(Z25,'סקרי נכסים-יתרות פתיחה'!$2:$76,13,0),0)</f>
        <v>0</v>
      </c>
      <c r="AA192" s="47">
        <f>+IFERROR(HLOOKUP(AA25,'סקרי נכסים-יתרות פתיחה'!$2:$76,13,0),0)</f>
        <v>0</v>
      </c>
      <c r="AB192" s="47">
        <f>+IFERROR(HLOOKUP(AB25,'סקרי נכסים-יתרות פתיחה'!$2:$76,13,0),0)</f>
        <v>0</v>
      </c>
      <c r="AC192" s="47">
        <f>+IFERROR(HLOOKUP(AC25,'סקרי נכסים-יתרות פתיחה'!$2:$76,13,0),0)</f>
        <v>0</v>
      </c>
      <c r="AD192" s="47">
        <f>+IFERROR(HLOOKUP(AD25,'סקרי נכסים-יתרות פתיחה'!$2:$76,13,0),0)</f>
        <v>0</v>
      </c>
      <c r="AE192" s="47">
        <f>+IFERROR(HLOOKUP(AE25,'סקרי נכסים-יתרות פתיחה'!$2:$76,13,0),0)</f>
        <v>0</v>
      </c>
      <c r="AF192" s="47">
        <f>+IFERROR(HLOOKUP(AF25,'סקרי נכסים-יתרות פתיחה'!$2:$76,13,0),0)</f>
        <v>0</v>
      </c>
      <c r="AG192" s="47">
        <f>+IFERROR(HLOOKUP(AG25,'סקרי נכסים-יתרות פתיחה'!$2:$76,13,0),0)</f>
        <v>0</v>
      </c>
      <c r="AH192" s="47">
        <f>+IFERROR(HLOOKUP(AH25,'סקרי נכסים-יתרות פתיחה'!$2:$76,13,0),0)</f>
        <v>0</v>
      </c>
      <c r="AI192" s="47">
        <f>+IFERROR(HLOOKUP(AI25,'סקרי נכסים-יתרות פתיחה'!$2:$76,13,0),0)</f>
        <v>0</v>
      </c>
      <c r="AJ192" s="47">
        <f>+IFERROR(HLOOKUP(AJ25,'סקרי נכסים-יתרות פתיחה'!$2:$76,13,0),0)</f>
        <v>0</v>
      </c>
      <c r="AK192" s="47">
        <f>+IFERROR(HLOOKUP(AK25,'סקרי נכסים-יתרות פתיחה'!$2:$76,13,0),0)</f>
        <v>0</v>
      </c>
      <c r="AL192" s="47">
        <f>+IFERROR(HLOOKUP(AL25,'סקרי נכסים-יתרות פתיחה'!$2:$76,13,0),0)</f>
        <v>0</v>
      </c>
      <c r="AM192" s="47">
        <f>+IFERROR(HLOOKUP(AM25,'סקרי נכסים-יתרות פתיחה'!$2:$76,13,0),0)</f>
        <v>0</v>
      </c>
      <c r="AN192" s="47">
        <f>+IFERROR(HLOOKUP(AN25,'סקרי נכסים-יתרות פתיחה'!$2:$76,13,0),0)</f>
        <v>0</v>
      </c>
      <c r="AO192" s="47">
        <f>+IFERROR(HLOOKUP(AO25,'סקרי נכסים-יתרות פתיחה'!$2:$76,13,0),0)</f>
        <v>0</v>
      </c>
      <c r="AP192" s="47">
        <f>+IFERROR(HLOOKUP(AP25,'סקרי נכסים-יתרות פתיחה'!$2:$76,13,0),0)</f>
        <v>0</v>
      </c>
      <c r="AQ192" s="47">
        <f>+IFERROR(HLOOKUP(AQ25,'סקרי נכסים-יתרות פתיחה'!$2:$76,13,0),0)</f>
        <v>0</v>
      </c>
      <c r="AR192" s="47">
        <f>+IFERROR(HLOOKUP(AR25,'סקרי נכסים-יתרות פתיחה'!$2:$76,13,0),0)</f>
        <v>0</v>
      </c>
      <c r="AS192" s="47">
        <f>+IFERROR(HLOOKUP(AS25,'סקרי נכסים-יתרות פתיחה'!$2:$76,13,0),0)</f>
        <v>0</v>
      </c>
      <c r="AT192" s="47">
        <f>+IFERROR(HLOOKUP(AT25,'סקרי נכסים-יתרות פתיחה'!$2:$76,13,0),0)</f>
        <v>0</v>
      </c>
      <c r="AU192" s="47">
        <f>+IFERROR(HLOOKUP(AU25,'סקרי נכסים-יתרות פתיחה'!$2:$76,13,0),0)</f>
        <v>0</v>
      </c>
      <c r="AV192" s="47">
        <f>+IFERROR(HLOOKUP(AV25,'סקרי נכסים-יתרות פתיחה'!$2:$76,13,0),0)</f>
        <v>0</v>
      </c>
      <c r="AW192" s="47">
        <f>+IFERROR(HLOOKUP(AW25,'סקרי נכסים-יתרות פתיחה'!$2:$76,13,0),0)</f>
        <v>0</v>
      </c>
      <c r="AX192" s="47">
        <f>+IFERROR(HLOOKUP(AX25,'סקרי נכסים-יתרות פתיחה'!$2:$76,13,0),0)</f>
        <v>0</v>
      </c>
      <c r="AY192" s="47">
        <f>+IFERROR(HLOOKUP(AY25,'סקרי נכסים-יתרות פתיחה'!$2:$76,13,0),0)</f>
        <v>0</v>
      </c>
      <c r="AZ192" s="47">
        <f>+IFERROR(HLOOKUP(AZ25,'סקרי נכסים-יתרות פתיחה'!$2:$76,13,0),0)</f>
        <v>0</v>
      </c>
      <c r="BA192" s="47">
        <f>+IFERROR(HLOOKUP(BA25,'סקרי נכסים-יתרות פתיחה'!$2:$76,13,0),0)</f>
        <v>0</v>
      </c>
      <c r="BB192" s="47">
        <f>+IFERROR(HLOOKUP(BB25,'סקרי נכסים-יתרות פתיחה'!$2:$76,13,0),0)</f>
        <v>0</v>
      </c>
      <c r="BC192" s="47">
        <f>+IFERROR(HLOOKUP(BC25,'סקרי נכסים-יתרות פתיחה'!$2:$76,13,0),0)</f>
        <v>0</v>
      </c>
      <c r="BD192" s="47">
        <f>+IFERROR(HLOOKUP(BD25,'סקרי נכסים-יתרות פתיחה'!$2:$76,13,0),0)</f>
        <v>0</v>
      </c>
      <c r="BE192" s="47">
        <f>+IFERROR(HLOOKUP(BE25,'סקרי נכסים-יתרות פתיחה'!$2:$76,13,0),0)</f>
        <v>0</v>
      </c>
      <c r="BF192" s="47">
        <f>+IFERROR(HLOOKUP(BF25,'סקרי נכסים-יתרות פתיחה'!$2:$76,13,0),0)</f>
        <v>0</v>
      </c>
    </row>
    <row r="193" spans="1:58" x14ac:dyDescent="0.2">
      <c r="B193" s="1">
        <v>19</v>
      </c>
      <c r="C193" s="47">
        <f>+IFERROR(HLOOKUP(C26,'סקרי נכסים-יתרות פתיחה'!$2:$76,13,0),0)</f>
        <v>0</v>
      </c>
      <c r="D193" s="47">
        <f>+IFERROR(HLOOKUP(D26,'סקרי נכסים-יתרות פתיחה'!$2:$76,13,0),0)</f>
        <v>0</v>
      </c>
      <c r="E193" s="47">
        <f>+IFERROR(HLOOKUP(E26,'סקרי נכסים-יתרות פתיחה'!$2:$76,13,0),0)</f>
        <v>0</v>
      </c>
      <c r="F193" s="47">
        <f>+IFERROR(HLOOKUP(F26,'סקרי נכסים-יתרות פתיחה'!$2:$76,13,0),0)</f>
        <v>0</v>
      </c>
      <c r="G193" s="47">
        <f>+IFERROR(HLOOKUP(G26,'סקרי נכסים-יתרות פתיחה'!$2:$76,13,0),0)</f>
        <v>0</v>
      </c>
      <c r="H193" s="47">
        <f>+IFERROR(HLOOKUP(H26,'סקרי נכסים-יתרות פתיחה'!$2:$76,13,0),0)</f>
        <v>0</v>
      </c>
      <c r="I193" s="47">
        <f>+IFERROR(HLOOKUP(I26,'סקרי נכסים-יתרות פתיחה'!$2:$76,13,0),0)</f>
        <v>0</v>
      </c>
      <c r="J193" s="47">
        <f>+IFERROR(HLOOKUP(J26,'סקרי נכסים-יתרות פתיחה'!$2:$76,13,0),0)</f>
        <v>0</v>
      </c>
      <c r="K193" s="47">
        <f>+IFERROR(HLOOKUP(K26,'סקרי נכסים-יתרות פתיחה'!$2:$76,13,0),0)</f>
        <v>0</v>
      </c>
      <c r="L193" s="47">
        <f>+IFERROR(HLOOKUP(L26,'סקרי נכסים-יתרות פתיחה'!$2:$76,13,0),0)</f>
        <v>0</v>
      </c>
      <c r="M193" s="47">
        <f>+IFERROR(HLOOKUP(M26,'סקרי נכסים-יתרות פתיחה'!$2:$76,13,0),0)</f>
        <v>0</v>
      </c>
      <c r="N193" s="47">
        <f>+IFERROR(HLOOKUP(N26,'סקרי נכסים-יתרות פתיחה'!$2:$76,13,0),0)</f>
        <v>0</v>
      </c>
      <c r="O193" s="47">
        <f>+IFERROR(HLOOKUP(O26,'סקרי נכסים-יתרות פתיחה'!$2:$76,13,0),0)</f>
        <v>0</v>
      </c>
      <c r="P193" s="47">
        <f>+IFERROR(HLOOKUP(P26,'סקרי נכסים-יתרות פתיחה'!$2:$76,13,0),0)</f>
        <v>0</v>
      </c>
      <c r="Q193" s="47">
        <f>+IFERROR(HLOOKUP(Q26,'סקרי נכסים-יתרות פתיחה'!$2:$76,13,0),0)</f>
        <v>0</v>
      </c>
      <c r="R193" s="47">
        <f>+IFERROR(HLOOKUP(R26,'סקרי נכסים-יתרות פתיחה'!$2:$76,13,0),0)</f>
        <v>0</v>
      </c>
      <c r="S193" s="47">
        <f>+IFERROR(HLOOKUP(S26,'סקרי נכסים-יתרות פתיחה'!$2:$76,13,0),0)</f>
        <v>0</v>
      </c>
      <c r="T193" s="47">
        <f>+IFERROR(HLOOKUP(T26,'סקרי נכסים-יתרות פתיחה'!$2:$76,13,0),0)</f>
        <v>0</v>
      </c>
      <c r="U193" s="47">
        <f>+IFERROR(HLOOKUP(U26,'סקרי נכסים-יתרות פתיחה'!$2:$76,13,0),0)</f>
        <v>0</v>
      </c>
      <c r="V193" s="47">
        <f>+IFERROR(HLOOKUP(V26,'סקרי נכסים-יתרות פתיחה'!$2:$76,13,0),0)</f>
        <v>0</v>
      </c>
      <c r="W193" s="47">
        <f>+IFERROR(HLOOKUP(W26,'סקרי נכסים-יתרות פתיחה'!$2:$76,13,0),0)</f>
        <v>0</v>
      </c>
      <c r="X193" s="47">
        <f>+IFERROR(HLOOKUP(X26,'סקרי נכסים-יתרות פתיחה'!$2:$76,13,0),0)</f>
        <v>0</v>
      </c>
      <c r="Y193" s="47">
        <f>+IFERROR(HLOOKUP(Y26,'סקרי נכסים-יתרות פתיחה'!$2:$76,13,0),0)</f>
        <v>0</v>
      </c>
      <c r="Z193" s="47">
        <f>+IFERROR(HLOOKUP(Z26,'סקרי נכסים-יתרות פתיחה'!$2:$76,13,0),0)</f>
        <v>0</v>
      </c>
      <c r="AA193" s="47">
        <f>+IFERROR(HLOOKUP(AA26,'סקרי נכסים-יתרות פתיחה'!$2:$76,13,0),0)</f>
        <v>0</v>
      </c>
      <c r="AB193" s="47">
        <f>+IFERROR(HLOOKUP(AB26,'סקרי נכסים-יתרות פתיחה'!$2:$76,13,0),0)</f>
        <v>0</v>
      </c>
      <c r="AC193" s="47">
        <f>+IFERROR(HLOOKUP(AC26,'סקרי נכסים-יתרות פתיחה'!$2:$76,13,0),0)</f>
        <v>0</v>
      </c>
      <c r="AD193" s="47">
        <f>+IFERROR(HLOOKUP(AD26,'סקרי נכסים-יתרות פתיחה'!$2:$76,13,0),0)</f>
        <v>0</v>
      </c>
      <c r="AE193" s="47">
        <f>+IFERROR(HLOOKUP(AE26,'סקרי נכסים-יתרות פתיחה'!$2:$76,13,0),0)</f>
        <v>0</v>
      </c>
      <c r="AF193" s="47">
        <f>+IFERROR(HLOOKUP(AF26,'סקרי נכסים-יתרות פתיחה'!$2:$76,13,0),0)</f>
        <v>0</v>
      </c>
      <c r="AG193" s="47">
        <f>+IFERROR(HLOOKUP(AG26,'סקרי נכסים-יתרות פתיחה'!$2:$76,13,0),0)</f>
        <v>0</v>
      </c>
      <c r="AH193" s="47">
        <f>+IFERROR(HLOOKUP(AH26,'סקרי נכסים-יתרות פתיחה'!$2:$76,13,0),0)</f>
        <v>0</v>
      </c>
      <c r="AI193" s="47">
        <f>+IFERROR(HLOOKUP(AI26,'סקרי נכסים-יתרות פתיחה'!$2:$76,13,0),0)</f>
        <v>0</v>
      </c>
      <c r="AJ193" s="47">
        <f>+IFERROR(HLOOKUP(AJ26,'סקרי נכסים-יתרות פתיחה'!$2:$76,13,0),0)</f>
        <v>0</v>
      </c>
      <c r="AK193" s="47">
        <f>+IFERROR(HLOOKUP(AK26,'סקרי נכסים-יתרות פתיחה'!$2:$76,13,0),0)</f>
        <v>0</v>
      </c>
      <c r="AL193" s="47">
        <f>+IFERROR(HLOOKUP(AL26,'סקרי נכסים-יתרות פתיחה'!$2:$76,13,0),0)</f>
        <v>0</v>
      </c>
      <c r="AM193" s="47">
        <f>+IFERROR(HLOOKUP(AM26,'סקרי נכסים-יתרות פתיחה'!$2:$76,13,0),0)</f>
        <v>0</v>
      </c>
      <c r="AN193" s="47">
        <f>+IFERROR(HLOOKUP(AN26,'סקרי נכסים-יתרות פתיחה'!$2:$76,13,0),0)</f>
        <v>0</v>
      </c>
      <c r="AO193" s="47">
        <f>+IFERROR(HLOOKUP(AO26,'סקרי נכסים-יתרות פתיחה'!$2:$76,13,0),0)</f>
        <v>0</v>
      </c>
      <c r="AP193" s="47">
        <f>+IFERROR(HLOOKUP(AP26,'סקרי נכסים-יתרות פתיחה'!$2:$76,13,0),0)</f>
        <v>0</v>
      </c>
      <c r="AQ193" s="47">
        <f>+IFERROR(HLOOKUP(AQ26,'סקרי נכסים-יתרות פתיחה'!$2:$76,13,0),0)</f>
        <v>0</v>
      </c>
      <c r="AR193" s="47">
        <f>+IFERROR(HLOOKUP(AR26,'סקרי נכסים-יתרות פתיחה'!$2:$76,13,0),0)</f>
        <v>0</v>
      </c>
      <c r="AS193" s="47">
        <f>+IFERROR(HLOOKUP(AS26,'סקרי נכסים-יתרות פתיחה'!$2:$76,13,0),0)</f>
        <v>0</v>
      </c>
      <c r="AT193" s="47">
        <f>+IFERROR(HLOOKUP(AT26,'סקרי נכסים-יתרות פתיחה'!$2:$76,13,0),0)</f>
        <v>0</v>
      </c>
      <c r="AU193" s="47">
        <f>+IFERROR(HLOOKUP(AU26,'סקרי נכסים-יתרות פתיחה'!$2:$76,13,0),0)</f>
        <v>0</v>
      </c>
      <c r="AV193" s="47">
        <f>+IFERROR(HLOOKUP(AV26,'סקרי נכסים-יתרות פתיחה'!$2:$76,13,0),0)</f>
        <v>0</v>
      </c>
      <c r="AW193" s="47">
        <f>+IFERROR(HLOOKUP(AW26,'סקרי נכסים-יתרות פתיחה'!$2:$76,13,0),0)</f>
        <v>0</v>
      </c>
      <c r="AX193" s="47">
        <f>+IFERROR(HLOOKUP(AX26,'סקרי נכסים-יתרות פתיחה'!$2:$76,13,0),0)</f>
        <v>0</v>
      </c>
      <c r="AY193" s="47">
        <f>+IFERROR(HLOOKUP(AY26,'סקרי נכסים-יתרות פתיחה'!$2:$76,13,0),0)</f>
        <v>0</v>
      </c>
      <c r="AZ193" s="47">
        <f>+IFERROR(HLOOKUP(AZ26,'סקרי נכסים-יתרות פתיחה'!$2:$76,13,0),0)</f>
        <v>0</v>
      </c>
      <c r="BA193" s="47">
        <f>+IFERROR(HLOOKUP(BA26,'סקרי נכסים-יתרות פתיחה'!$2:$76,13,0),0)</f>
        <v>0</v>
      </c>
      <c r="BB193" s="47">
        <f>+IFERROR(HLOOKUP(BB26,'סקרי נכסים-יתרות פתיחה'!$2:$76,13,0),0)</f>
        <v>0</v>
      </c>
      <c r="BC193" s="47">
        <f>+IFERROR(HLOOKUP(BC26,'סקרי נכסים-יתרות פתיחה'!$2:$76,13,0),0)</f>
        <v>0</v>
      </c>
      <c r="BD193" s="47">
        <f>+IFERROR(HLOOKUP(BD26,'סקרי נכסים-יתרות פתיחה'!$2:$76,13,0),0)</f>
        <v>0</v>
      </c>
      <c r="BE193" s="47">
        <f>+IFERROR(HLOOKUP(BE26,'סקרי נכסים-יתרות פתיחה'!$2:$76,13,0),0)</f>
        <v>0</v>
      </c>
      <c r="BF193" s="47">
        <f>+IFERROR(HLOOKUP(BF26,'סקרי נכסים-יתרות פתיחה'!$2:$76,13,0),0)</f>
        <v>0</v>
      </c>
    </row>
    <row r="194" spans="1:58" x14ac:dyDescent="0.2">
      <c r="B194" s="1">
        <v>20</v>
      </c>
      <c r="C194" s="47">
        <f>+IFERROR(HLOOKUP(C27,'סקרי נכסים-יתרות פתיחה'!$2:$76,13,0),0)</f>
        <v>0</v>
      </c>
      <c r="D194" s="47">
        <f>+IFERROR(HLOOKUP(D27,'סקרי נכסים-יתרות פתיחה'!$2:$76,13,0),0)</f>
        <v>0</v>
      </c>
      <c r="E194" s="47">
        <f>+IFERROR(HLOOKUP(E27,'סקרי נכסים-יתרות פתיחה'!$2:$76,13,0),0)</f>
        <v>0</v>
      </c>
      <c r="F194" s="47">
        <f>+IFERROR(HLOOKUP(F27,'סקרי נכסים-יתרות פתיחה'!$2:$76,13,0),0)</f>
        <v>0</v>
      </c>
      <c r="G194" s="47">
        <f>+IFERROR(HLOOKUP(G27,'סקרי נכסים-יתרות פתיחה'!$2:$76,13,0),0)</f>
        <v>0</v>
      </c>
      <c r="H194" s="47">
        <f>+IFERROR(HLOOKUP(H27,'סקרי נכסים-יתרות פתיחה'!$2:$76,13,0),0)</f>
        <v>0</v>
      </c>
      <c r="I194" s="47">
        <f>+IFERROR(HLOOKUP(I27,'סקרי נכסים-יתרות פתיחה'!$2:$76,13,0),0)</f>
        <v>0</v>
      </c>
      <c r="J194" s="47">
        <f>+IFERROR(HLOOKUP(J27,'סקרי נכסים-יתרות פתיחה'!$2:$76,13,0),0)</f>
        <v>0</v>
      </c>
      <c r="K194" s="47">
        <f>+IFERROR(HLOOKUP(K27,'סקרי נכסים-יתרות פתיחה'!$2:$76,13,0),0)</f>
        <v>0</v>
      </c>
      <c r="L194" s="47">
        <f>+IFERROR(HLOOKUP(L27,'סקרי נכסים-יתרות פתיחה'!$2:$76,13,0),0)</f>
        <v>0</v>
      </c>
      <c r="M194" s="47">
        <f>+IFERROR(HLOOKUP(M27,'סקרי נכסים-יתרות פתיחה'!$2:$76,13,0),0)</f>
        <v>0</v>
      </c>
      <c r="N194" s="47">
        <f>+IFERROR(HLOOKUP(N27,'סקרי נכסים-יתרות פתיחה'!$2:$76,13,0),0)</f>
        <v>0</v>
      </c>
      <c r="O194" s="47">
        <f>+IFERROR(HLOOKUP(O27,'סקרי נכסים-יתרות פתיחה'!$2:$76,13,0),0)</f>
        <v>0</v>
      </c>
      <c r="P194" s="47">
        <f>+IFERROR(HLOOKUP(P27,'סקרי נכסים-יתרות פתיחה'!$2:$76,13,0),0)</f>
        <v>0</v>
      </c>
      <c r="Q194" s="47">
        <f>+IFERROR(HLOOKUP(Q27,'סקרי נכסים-יתרות פתיחה'!$2:$76,13,0),0)</f>
        <v>0</v>
      </c>
      <c r="R194" s="47">
        <f>+IFERROR(HLOOKUP(R27,'סקרי נכסים-יתרות פתיחה'!$2:$76,13,0),0)</f>
        <v>0</v>
      </c>
      <c r="S194" s="47">
        <f>+IFERROR(HLOOKUP(S27,'סקרי נכסים-יתרות פתיחה'!$2:$76,13,0),0)</f>
        <v>0</v>
      </c>
      <c r="T194" s="47">
        <f>+IFERROR(HLOOKUP(T27,'סקרי נכסים-יתרות פתיחה'!$2:$76,13,0),0)</f>
        <v>0</v>
      </c>
      <c r="U194" s="47">
        <f>+IFERROR(HLOOKUP(U27,'סקרי נכסים-יתרות פתיחה'!$2:$76,13,0),0)</f>
        <v>0</v>
      </c>
      <c r="V194" s="47">
        <f>+IFERROR(HLOOKUP(V27,'סקרי נכסים-יתרות פתיחה'!$2:$76,13,0),0)</f>
        <v>0</v>
      </c>
      <c r="W194" s="47">
        <f>+IFERROR(HLOOKUP(W27,'סקרי נכסים-יתרות פתיחה'!$2:$76,13,0),0)</f>
        <v>0</v>
      </c>
      <c r="X194" s="47">
        <f>+IFERROR(HLOOKUP(X27,'סקרי נכסים-יתרות פתיחה'!$2:$76,13,0),0)</f>
        <v>0</v>
      </c>
      <c r="Y194" s="47">
        <f>+IFERROR(HLOOKUP(Y27,'סקרי נכסים-יתרות פתיחה'!$2:$76,13,0),0)</f>
        <v>0</v>
      </c>
      <c r="Z194" s="47">
        <f>+IFERROR(HLOOKUP(Z27,'סקרי נכסים-יתרות פתיחה'!$2:$76,13,0),0)</f>
        <v>0</v>
      </c>
      <c r="AA194" s="47">
        <f>+IFERROR(HLOOKUP(AA27,'סקרי נכסים-יתרות פתיחה'!$2:$76,13,0),0)</f>
        <v>0</v>
      </c>
      <c r="AB194" s="47">
        <f>+IFERROR(HLOOKUP(AB27,'סקרי נכסים-יתרות פתיחה'!$2:$76,13,0),0)</f>
        <v>0</v>
      </c>
      <c r="AC194" s="47">
        <f>+IFERROR(HLOOKUP(AC27,'סקרי נכסים-יתרות פתיחה'!$2:$76,13,0),0)</f>
        <v>0</v>
      </c>
      <c r="AD194" s="47">
        <f>+IFERROR(HLOOKUP(AD27,'סקרי נכסים-יתרות פתיחה'!$2:$76,13,0),0)</f>
        <v>0</v>
      </c>
      <c r="AE194" s="47">
        <f>+IFERROR(HLOOKUP(AE27,'סקרי נכסים-יתרות פתיחה'!$2:$76,13,0),0)</f>
        <v>0</v>
      </c>
      <c r="AF194" s="47">
        <f>+IFERROR(HLOOKUP(AF27,'סקרי נכסים-יתרות פתיחה'!$2:$76,13,0),0)</f>
        <v>0</v>
      </c>
      <c r="AG194" s="47">
        <f>+IFERROR(HLOOKUP(AG27,'סקרי נכסים-יתרות פתיחה'!$2:$76,13,0),0)</f>
        <v>0</v>
      </c>
      <c r="AH194" s="47">
        <f>+IFERROR(HLOOKUP(AH27,'סקרי נכסים-יתרות פתיחה'!$2:$76,13,0),0)</f>
        <v>0</v>
      </c>
      <c r="AI194" s="47">
        <f>+IFERROR(HLOOKUP(AI27,'סקרי נכסים-יתרות פתיחה'!$2:$76,13,0),0)</f>
        <v>0</v>
      </c>
      <c r="AJ194" s="47">
        <f>+IFERROR(HLOOKUP(AJ27,'סקרי נכסים-יתרות פתיחה'!$2:$76,13,0),0)</f>
        <v>0</v>
      </c>
      <c r="AK194" s="47">
        <f>+IFERROR(HLOOKUP(AK27,'סקרי נכסים-יתרות פתיחה'!$2:$76,13,0),0)</f>
        <v>0</v>
      </c>
      <c r="AL194" s="47">
        <f>+IFERROR(HLOOKUP(AL27,'סקרי נכסים-יתרות פתיחה'!$2:$76,13,0),0)</f>
        <v>0</v>
      </c>
      <c r="AM194" s="47">
        <f>+IFERROR(HLOOKUP(AM27,'סקרי נכסים-יתרות פתיחה'!$2:$76,13,0),0)</f>
        <v>0</v>
      </c>
      <c r="AN194" s="47">
        <f>+IFERROR(HLOOKUP(AN27,'סקרי נכסים-יתרות פתיחה'!$2:$76,13,0),0)</f>
        <v>0</v>
      </c>
      <c r="AO194" s="47">
        <f>+IFERROR(HLOOKUP(AO27,'סקרי נכסים-יתרות פתיחה'!$2:$76,13,0),0)</f>
        <v>0</v>
      </c>
      <c r="AP194" s="47">
        <f>+IFERROR(HLOOKUP(AP27,'סקרי נכסים-יתרות פתיחה'!$2:$76,13,0),0)</f>
        <v>0</v>
      </c>
      <c r="AQ194" s="47">
        <f>+IFERROR(HLOOKUP(AQ27,'סקרי נכסים-יתרות פתיחה'!$2:$76,13,0),0)</f>
        <v>0</v>
      </c>
      <c r="AR194" s="47">
        <f>+IFERROR(HLOOKUP(AR27,'סקרי נכסים-יתרות פתיחה'!$2:$76,13,0),0)</f>
        <v>0</v>
      </c>
      <c r="AS194" s="47">
        <f>+IFERROR(HLOOKUP(AS27,'סקרי נכסים-יתרות פתיחה'!$2:$76,13,0),0)</f>
        <v>0</v>
      </c>
      <c r="AT194" s="47">
        <f>+IFERROR(HLOOKUP(AT27,'סקרי נכסים-יתרות פתיחה'!$2:$76,13,0),0)</f>
        <v>0</v>
      </c>
      <c r="AU194" s="47">
        <f>+IFERROR(HLOOKUP(AU27,'סקרי נכסים-יתרות פתיחה'!$2:$76,13,0),0)</f>
        <v>0</v>
      </c>
      <c r="AV194" s="47">
        <f>+IFERROR(HLOOKUP(AV27,'סקרי נכסים-יתרות פתיחה'!$2:$76,13,0),0)</f>
        <v>0</v>
      </c>
      <c r="AW194" s="47">
        <f>+IFERROR(HLOOKUP(AW27,'סקרי נכסים-יתרות פתיחה'!$2:$76,13,0),0)</f>
        <v>0</v>
      </c>
      <c r="AX194" s="47">
        <f>+IFERROR(HLOOKUP(AX27,'סקרי נכסים-יתרות פתיחה'!$2:$76,13,0),0)</f>
        <v>0</v>
      </c>
      <c r="AY194" s="47">
        <f>+IFERROR(HLOOKUP(AY27,'סקרי נכסים-יתרות פתיחה'!$2:$76,13,0),0)</f>
        <v>0</v>
      </c>
      <c r="AZ194" s="47">
        <f>+IFERROR(HLOOKUP(AZ27,'סקרי נכסים-יתרות פתיחה'!$2:$76,13,0),0)</f>
        <v>0</v>
      </c>
      <c r="BA194" s="47">
        <f>+IFERROR(HLOOKUP(BA27,'סקרי נכסים-יתרות פתיחה'!$2:$76,13,0),0)</f>
        <v>0</v>
      </c>
      <c r="BB194" s="47">
        <f>+IFERROR(HLOOKUP(BB27,'סקרי נכסים-יתרות פתיחה'!$2:$76,13,0),0)</f>
        <v>0</v>
      </c>
      <c r="BC194" s="47">
        <f>+IFERROR(HLOOKUP(BC27,'סקרי נכסים-יתרות פתיחה'!$2:$76,13,0),0)</f>
        <v>0</v>
      </c>
      <c r="BD194" s="47">
        <f>+IFERROR(HLOOKUP(BD27,'סקרי נכסים-יתרות פתיחה'!$2:$76,13,0),0)</f>
        <v>0</v>
      </c>
      <c r="BE194" s="47">
        <f>+IFERROR(HLOOKUP(BE27,'סקרי נכסים-יתרות פתיחה'!$2:$76,13,0),0)</f>
        <v>0</v>
      </c>
      <c r="BF194" s="47">
        <f>+IFERROR(HLOOKUP(BF27,'סקרי נכסים-יתרות פתיחה'!$2:$76,13,0),0)</f>
        <v>0</v>
      </c>
    </row>
    <row r="195" spans="1:58" x14ac:dyDescent="0.2">
      <c r="B195" s="1">
        <v>21</v>
      </c>
      <c r="C195" s="47">
        <f>+IFERROR(HLOOKUP(C28,'סקרי נכסים-יתרות פתיחה'!$2:$76,13,0),0)</f>
        <v>0</v>
      </c>
      <c r="D195" s="47">
        <f>+IFERROR(HLOOKUP(D28,'סקרי נכסים-יתרות פתיחה'!$2:$76,13,0),0)</f>
        <v>0</v>
      </c>
      <c r="E195" s="47">
        <f>+IFERROR(HLOOKUP(E28,'סקרי נכסים-יתרות פתיחה'!$2:$76,13,0),0)</f>
        <v>0</v>
      </c>
      <c r="F195" s="47">
        <f>+IFERROR(HLOOKUP(F28,'סקרי נכסים-יתרות פתיחה'!$2:$76,13,0),0)</f>
        <v>0</v>
      </c>
      <c r="G195" s="47">
        <f>+IFERROR(HLOOKUP(G28,'סקרי נכסים-יתרות פתיחה'!$2:$76,13,0),0)</f>
        <v>0</v>
      </c>
      <c r="H195" s="47">
        <f>+IFERROR(HLOOKUP(H28,'סקרי נכסים-יתרות פתיחה'!$2:$76,13,0),0)</f>
        <v>0</v>
      </c>
      <c r="I195" s="47">
        <f>+IFERROR(HLOOKUP(I28,'סקרי נכסים-יתרות פתיחה'!$2:$76,13,0),0)</f>
        <v>0</v>
      </c>
      <c r="J195" s="47">
        <f>+IFERROR(HLOOKUP(J28,'סקרי נכסים-יתרות פתיחה'!$2:$76,13,0),0)</f>
        <v>0</v>
      </c>
      <c r="K195" s="47">
        <f>+IFERROR(HLOOKUP(K28,'סקרי נכסים-יתרות פתיחה'!$2:$76,13,0),0)</f>
        <v>0</v>
      </c>
      <c r="L195" s="47">
        <f>+IFERROR(HLOOKUP(L28,'סקרי נכסים-יתרות פתיחה'!$2:$76,13,0),0)</f>
        <v>0</v>
      </c>
      <c r="M195" s="47">
        <f>+IFERROR(HLOOKUP(M28,'סקרי נכסים-יתרות פתיחה'!$2:$76,13,0),0)</f>
        <v>0</v>
      </c>
      <c r="N195" s="47">
        <f>+IFERROR(HLOOKUP(N28,'סקרי נכסים-יתרות פתיחה'!$2:$76,13,0),0)</f>
        <v>0</v>
      </c>
      <c r="O195" s="47">
        <f>+IFERROR(HLOOKUP(O28,'סקרי נכסים-יתרות פתיחה'!$2:$76,13,0),0)</f>
        <v>0</v>
      </c>
      <c r="P195" s="47">
        <f>+IFERROR(HLOOKUP(P28,'סקרי נכסים-יתרות פתיחה'!$2:$76,13,0),0)</f>
        <v>0</v>
      </c>
      <c r="Q195" s="47">
        <f>+IFERROR(HLOOKUP(Q28,'סקרי נכסים-יתרות פתיחה'!$2:$76,13,0),0)</f>
        <v>0</v>
      </c>
      <c r="R195" s="47">
        <f>+IFERROR(HLOOKUP(R28,'סקרי נכסים-יתרות פתיחה'!$2:$76,13,0),0)</f>
        <v>0</v>
      </c>
      <c r="S195" s="47">
        <f>+IFERROR(HLOOKUP(S28,'סקרי נכסים-יתרות פתיחה'!$2:$76,13,0),0)</f>
        <v>0</v>
      </c>
      <c r="T195" s="47">
        <f>+IFERROR(HLOOKUP(T28,'סקרי נכסים-יתרות פתיחה'!$2:$76,13,0),0)</f>
        <v>0</v>
      </c>
      <c r="U195" s="47">
        <f>+IFERROR(HLOOKUP(U28,'סקרי נכסים-יתרות פתיחה'!$2:$76,13,0),0)</f>
        <v>0</v>
      </c>
      <c r="V195" s="47">
        <f>+IFERROR(HLOOKUP(V28,'סקרי נכסים-יתרות פתיחה'!$2:$76,13,0),0)</f>
        <v>0</v>
      </c>
      <c r="W195" s="47">
        <f>+IFERROR(HLOOKUP(W28,'סקרי נכסים-יתרות פתיחה'!$2:$76,13,0),0)</f>
        <v>0</v>
      </c>
      <c r="X195" s="47">
        <f>+IFERROR(HLOOKUP(X28,'סקרי נכסים-יתרות פתיחה'!$2:$76,13,0),0)</f>
        <v>0</v>
      </c>
      <c r="Y195" s="47">
        <f>+IFERROR(HLOOKUP(Y28,'סקרי נכסים-יתרות פתיחה'!$2:$76,13,0),0)</f>
        <v>0</v>
      </c>
      <c r="Z195" s="47">
        <f>+IFERROR(HLOOKUP(Z28,'סקרי נכסים-יתרות פתיחה'!$2:$76,13,0),0)</f>
        <v>0</v>
      </c>
      <c r="AA195" s="47">
        <f>+IFERROR(HLOOKUP(AA28,'סקרי נכסים-יתרות פתיחה'!$2:$76,13,0),0)</f>
        <v>0</v>
      </c>
      <c r="AB195" s="47">
        <f>+IFERROR(HLOOKUP(AB28,'סקרי נכסים-יתרות פתיחה'!$2:$76,13,0),0)</f>
        <v>0</v>
      </c>
      <c r="AC195" s="47">
        <f>+IFERROR(HLOOKUP(AC28,'סקרי נכסים-יתרות פתיחה'!$2:$76,13,0),0)</f>
        <v>0</v>
      </c>
      <c r="AD195" s="47">
        <f>+IFERROR(HLOOKUP(AD28,'סקרי נכסים-יתרות פתיחה'!$2:$76,13,0),0)</f>
        <v>0</v>
      </c>
      <c r="AE195" s="47">
        <f>+IFERROR(HLOOKUP(AE28,'סקרי נכסים-יתרות פתיחה'!$2:$76,13,0),0)</f>
        <v>0</v>
      </c>
      <c r="AF195" s="47">
        <f>+IFERROR(HLOOKUP(AF28,'סקרי נכסים-יתרות פתיחה'!$2:$76,13,0),0)</f>
        <v>0</v>
      </c>
      <c r="AG195" s="47">
        <f>+IFERROR(HLOOKUP(AG28,'סקרי נכסים-יתרות פתיחה'!$2:$76,13,0),0)</f>
        <v>0</v>
      </c>
      <c r="AH195" s="47">
        <f>+IFERROR(HLOOKUP(AH28,'סקרי נכסים-יתרות פתיחה'!$2:$76,13,0),0)</f>
        <v>0</v>
      </c>
      <c r="AI195" s="47">
        <f>+IFERROR(HLOOKUP(AI28,'סקרי נכסים-יתרות פתיחה'!$2:$76,13,0),0)</f>
        <v>0</v>
      </c>
      <c r="AJ195" s="47">
        <f>+IFERROR(HLOOKUP(AJ28,'סקרי נכסים-יתרות פתיחה'!$2:$76,13,0),0)</f>
        <v>0</v>
      </c>
      <c r="AK195" s="47">
        <f>+IFERROR(HLOOKUP(AK28,'סקרי נכסים-יתרות פתיחה'!$2:$76,13,0),0)</f>
        <v>0</v>
      </c>
      <c r="AL195" s="47">
        <f>+IFERROR(HLOOKUP(AL28,'סקרי נכסים-יתרות פתיחה'!$2:$76,13,0),0)</f>
        <v>0</v>
      </c>
      <c r="AM195" s="47">
        <f>+IFERROR(HLOOKUP(AM28,'סקרי נכסים-יתרות פתיחה'!$2:$76,13,0),0)</f>
        <v>0</v>
      </c>
      <c r="AN195" s="47">
        <f>+IFERROR(HLOOKUP(AN28,'סקרי נכסים-יתרות פתיחה'!$2:$76,13,0),0)</f>
        <v>0</v>
      </c>
      <c r="AO195" s="47">
        <f>+IFERROR(HLOOKUP(AO28,'סקרי נכסים-יתרות פתיחה'!$2:$76,13,0),0)</f>
        <v>0</v>
      </c>
      <c r="AP195" s="47">
        <f>+IFERROR(HLOOKUP(AP28,'סקרי נכסים-יתרות פתיחה'!$2:$76,13,0),0)</f>
        <v>0</v>
      </c>
      <c r="AQ195" s="47">
        <f>+IFERROR(HLOOKUP(AQ28,'סקרי נכסים-יתרות פתיחה'!$2:$76,13,0),0)</f>
        <v>0</v>
      </c>
      <c r="AR195" s="47">
        <f>+IFERROR(HLOOKUP(AR28,'סקרי נכסים-יתרות פתיחה'!$2:$76,13,0),0)</f>
        <v>0</v>
      </c>
      <c r="AS195" s="47">
        <f>+IFERROR(HLOOKUP(AS28,'סקרי נכסים-יתרות פתיחה'!$2:$76,13,0),0)</f>
        <v>0</v>
      </c>
      <c r="AT195" s="47">
        <f>+IFERROR(HLOOKUP(AT28,'סקרי נכסים-יתרות פתיחה'!$2:$76,13,0),0)</f>
        <v>0</v>
      </c>
      <c r="AU195" s="47">
        <f>+IFERROR(HLOOKUP(AU28,'סקרי נכסים-יתרות פתיחה'!$2:$76,13,0),0)</f>
        <v>0</v>
      </c>
      <c r="AV195" s="47">
        <f>+IFERROR(HLOOKUP(AV28,'סקרי נכסים-יתרות פתיחה'!$2:$76,13,0),0)</f>
        <v>0</v>
      </c>
      <c r="AW195" s="47">
        <f>+IFERROR(HLOOKUP(AW28,'סקרי נכסים-יתרות פתיחה'!$2:$76,13,0),0)</f>
        <v>0</v>
      </c>
      <c r="AX195" s="47">
        <f>+IFERROR(HLOOKUP(AX28,'סקרי נכסים-יתרות פתיחה'!$2:$76,13,0),0)</f>
        <v>0</v>
      </c>
      <c r="AY195" s="47">
        <f>+IFERROR(HLOOKUP(AY28,'סקרי נכסים-יתרות פתיחה'!$2:$76,13,0),0)</f>
        <v>0</v>
      </c>
      <c r="AZ195" s="47">
        <f>+IFERROR(HLOOKUP(AZ28,'סקרי נכסים-יתרות פתיחה'!$2:$76,13,0),0)</f>
        <v>0</v>
      </c>
      <c r="BA195" s="47">
        <f>+IFERROR(HLOOKUP(BA28,'סקרי נכסים-יתרות פתיחה'!$2:$76,13,0),0)</f>
        <v>0</v>
      </c>
      <c r="BB195" s="47">
        <f>+IFERROR(HLOOKUP(BB28,'סקרי נכסים-יתרות פתיחה'!$2:$76,13,0),0)</f>
        <v>0</v>
      </c>
      <c r="BC195" s="47">
        <f>+IFERROR(HLOOKUP(BC28,'סקרי נכסים-יתרות פתיחה'!$2:$76,13,0),0)</f>
        <v>0</v>
      </c>
      <c r="BD195" s="47">
        <f>+IFERROR(HLOOKUP(BD28,'סקרי נכסים-יתרות פתיחה'!$2:$76,13,0),0)</f>
        <v>0</v>
      </c>
      <c r="BE195" s="47">
        <f>+IFERROR(HLOOKUP(BE28,'סקרי נכסים-יתרות פתיחה'!$2:$76,13,0),0)</f>
        <v>0</v>
      </c>
      <c r="BF195" s="47">
        <f>+IFERROR(HLOOKUP(BF28,'סקרי נכסים-יתרות פתיחה'!$2:$76,13,0),0)</f>
        <v>0</v>
      </c>
    </row>
    <row r="196" spans="1:58" x14ac:dyDescent="0.2">
      <c r="B196" s="1">
        <v>22</v>
      </c>
      <c r="C196" s="47">
        <f>+IFERROR(HLOOKUP(C29,'סקרי נכסים-יתרות פתיחה'!$2:$76,13,0),0)</f>
        <v>0</v>
      </c>
      <c r="D196" s="47">
        <f>+IFERROR(HLOOKUP(D29,'סקרי נכסים-יתרות פתיחה'!$2:$76,13,0),0)</f>
        <v>0</v>
      </c>
      <c r="E196" s="47">
        <f>+IFERROR(HLOOKUP(E29,'סקרי נכסים-יתרות פתיחה'!$2:$76,13,0),0)</f>
        <v>0</v>
      </c>
      <c r="F196" s="47">
        <f>+IFERROR(HLOOKUP(F29,'סקרי נכסים-יתרות פתיחה'!$2:$76,13,0),0)</f>
        <v>0</v>
      </c>
      <c r="G196" s="47">
        <f>+IFERROR(HLOOKUP(G29,'סקרי נכסים-יתרות פתיחה'!$2:$76,13,0),0)</f>
        <v>0</v>
      </c>
      <c r="H196" s="47">
        <f>+IFERROR(HLOOKUP(H29,'סקרי נכסים-יתרות פתיחה'!$2:$76,13,0),0)</f>
        <v>0</v>
      </c>
      <c r="I196" s="47">
        <f>+IFERROR(HLOOKUP(I29,'סקרי נכסים-יתרות פתיחה'!$2:$76,13,0),0)</f>
        <v>0</v>
      </c>
      <c r="J196" s="47">
        <f>+IFERROR(HLOOKUP(J29,'סקרי נכסים-יתרות פתיחה'!$2:$76,13,0),0)</f>
        <v>0</v>
      </c>
      <c r="K196" s="47">
        <f>+IFERROR(HLOOKUP(K29,'סקרי נכסים-יתרות פתיחה'!$2:$76,13,0),0)</f>
        <v>0</v>
      </c>
      <c r="L196" s="47">
        <f>+IFERROR(HLOOKUP(L29,'סקרי נכסים-יתרות פתיחה'!$2:$76,13,0),0)</f>
        <v>0</v>
      </c>
      <c r="M196" s="47">
        <f>+IFERROR(HLOOKUP(M29,'סקרי נכסים-יתרות פתיחה'!$2:$76,13,0),0)</f>
        <v>0</v>
      </c>
      <c r="N196" s="47">
        <f>+IFERROR(HLOOKUP(N29,'סקרי נכסים-יתרות פתיחה'!$2:$76,13,0),0)</f>
        <v>0</v>
      </c>
      <c r="O196" s="47">
        <f>+IFERROR(HLOOKUP(O29,'סקרי נכסים-יתרות פתיחה'!$2:$76,13,0),0)</f>
        <v>0</v>
      </c>
      <c r="P196" s="47">
        <f>+IFERROR(HLOOKUP(P29,'סקרי נכסים-יתרות פתיחה'!$2:$76,13,0),0)</f>
        <v>0</v>
      </c>
      <c r="Q196" s="47">
        <f>+IFERROR(HLOOKUP(Q29,'סקרי נכסים-יתרות פתיחה'!$2:$76,13,0),0)</f>
        <v>0</v>
      </c>
      <c r="R196" s="47">
        <f>+IFERROR(HLOOKUP(R29,'סקרי נכסים-יתרות פתיחה'!$2:$76,13,0),0)</f>
        <v>0</v>
      </c>
      <c r="S196" s="47">
        <f>+IFERROR(HLOOKUP(S29,'סקרי נכסים-יתרות פתיחה'!$2:$76,13,0),0)</f>
        <v>0</v>
      </c>
      <c r="T196" s="47">
        <f>+IFERROR(HLOOKUP(T29,'סקרי נכסים-יתרות פתיחה'!$2:$76,13,0),0)</f>
        <v>0</v>
      </c>
      <c r="U196" s="47">
        <f>+IFERROR(HLOOKUP(U29,'סקרי נכסים-יתרות פתיחה'!$2:$76,13,0),0)</f>
        <v>0</v>
      </c>
      <c r="V196" s="47">
        <f>+IFERROR(HLOOKUP(V29,'סקרי נכסים-יתרות פתיחה'!$2:$76,13,0),0)</f>
        <v>0</v>
      </c>
      <c r="W196" s="47">
        <f>+IFERROR(HLOOKUP(W29,'סקרי נכסים-יתרות פתיחה'!$2:$76,13,0),0)</f>
        <v>0</v>
      </c>
      <c r="X196" s="47">
        <f>+IFERROR(HLOOKUP(X29,'סקרי נכסים-יתרות פתיחה'!$2:$76,13,0),0)</f>
        <v>0</v>
      </c>
      <c r="Y196" s="47">
        <f>+IFERROR(HLOOKUP(Y29,'סקרי נכסים-יתרות פתיחה'!$2:$76,13,0),0)</f>
        <v>0</v>
      </c>
      <c r="Z196" s="47">
        <f>+IFERROR(HLOOKUP(Z29,'סקרי נכסים-יתרות פתיחה'!$2:$76,13,0),0)</f>
        <v>0</v>
      </c>
      <c r="AA196" s="47">
        <f>+IFERROR(HLOOKUP(AA29,'סקרי נכסים-יתרות פתיחה'!$2:$76,13,0),0)</f>
        <v>0</v>
      </c>
      <c r="AB196" s="47">
        <f>+IFERROR(HLOOKUP(AB29,'סקרי נכסים-יתרות פתיחה'!$2:$76,13,0),0)</f>
        <v>0</v>
      </c>
      <c r="AC196" s="47">
        <f>+IFERROR(HLOOKUP(AC29,'סקרי נכסים-יתרות פתיחה'!$2:$76,13,0),0)</f>
        <v>0</v>
      </c>
      <c r="AD196" s="47">
        <f>+IFERROR(HLOOKUP(AD29,'סקרי נכסים-יתרות פתיחה'!$2:$76,13,0),0)</f>
        <v>0</v>
      </c>
      <c r="AE196" s="47">
        <f>+IFERROR(HLOOKUP(AE29,'סקרי נכסים-יתרות פתיחה'!$2:$76,13,0),0)</f>
        <v>0</v>
      </c>
      <c r="AF196" s="47">
        <f>+IFERROR(HLOOKUP(AF29,'סקרי נכסים-יתרות פתיחה'!$2:$76,13,0),0)</f>
        <v>0</v>
      </c>
      <c r="AG196" s="47">
        <f>+IFERROR(HLOOKUP(AG29,'סקרי נכסים-יתרות פתיחה'!$2:$76,13,0),0)</f>
        <v>0</v>
      </c>
      <c r="AH196" s="47">
        <f>+IFERROR(HLOOKUP(AH29,'סקרי נכסים-יתרות פתיחה'!$2:$76,13,0),0)</f>
        <v>0</v>
      </c>
      <c r="AI196" s="47">
        <f>+IFERROR(HLOOKUP(AI29,'סקרי נכסים-יתרות פתיחה'!$2:$76,13,0),0)</f>
        <v>0</v>
      </c>
      <c r="AJ196" s="47">
        <f>+IFERROR(HLOOKUP(AJ29,'סקרי נכסים-יתרות פתיחה'!$2:$76,13,0),0)</f>
        <v>0</v>
      </c>
      <c r="AK196" s="47">
        <f>+IFERROR(HLOOKUP(AK29,'סקרי נכסים-יתרות פתיחה'!$2:$76,13,0),0)</f>
        <v>0</v>
      </c>
      <c r="AL196" s="47">
        <f>+IFERROR(HLOOKUP(AL29,'סקרי נכסים-יתרות פתיחה'!$2:$76,13,0),0)</f>
        <v>0</v>
      </c>
      <c r="AM196" s="47">
        <f>+IFERROR(HLOOKUP(AM29,'סקרי נכסים-יתרות פתיחה'!$2:$76,13,0),0)</f>
        <v>0</v>
      </c>
      <c r="AN196" s="47">
        <f>+IFERROR(HLOOKUP(AN29,'סקרי נכסים-יתרות פתיחה'!$2:$76,13,0),0)</f>
        <v>0</v>
      </c>
      <c r="AO196" s="47">
        <f>+IFERROR(HLOOKUP(AO29,'סקרי נכסים-יתרות פתיחה'!$2:$76,13,0),0)</f>
        <v>0</v>
      </c>
      <c r="AP196" s="47">
        <f>+IFERROR(HLOOKUP(AP29,'סקרי נכסים-יתרות פתיחה'!$2:$76,13,0),0)</f>
        <v>0</v>
      </c>
      <c r="AQ196" s="47">
        <f>+IFERROR(HLOOKUP(AQ29,'סקרי נכסים-יתרות פתיחה'!$2:$76,13,0),0)</f>
        <v>0</v>
      </c>
      <c r="AR196" s="47">
        <f>+IFERROR(HLOOKUP(AR29,'סקרי נכסים-יתרות פתיחה'!$2:$76,13,0),0)</f>
        <v>0</v>
      </c>
      <c r="AS196" s="47">
        <f>+IFERROR(HLOOKUP(AS29,'סקרי נכסים-יתרות פתיחה'!$2:$76,13,0),0)</f>
        <v>0</v>
      </c>
      <c r="AT196" s="47">
        <f>+IFERROR(HLOOKUP(AT29,'סקרי נכסים-יתרות פתיחה'!$2:$76,13,0),0)</f>
        <v>0</v>
      </c>
      <c r="AU196" s="47">
        <f>+IFERROR(HLOOKUP(AU29,'סקרי נכסים-יתרות פתיחה'!$2:$76,13,0),0)</f>
        <v>0</v>
      </c>
      <c r="AV196" s="47">
        <f>+IFERROR(HLOOKUP(AV29,'סקרי נכסים-יתרות פתיחה'!$2:$76,13,0),0)</f>
        <v>0</v>
      </c>
      <c r="AW196" s="47">
        <f>+IFERROR(HLOOKUP(AW29,'סקרי נכסים-יתרות פתיחה'!$2:$76,13,0),0)</f>
        <v>0</v>
      </c>
      <c r="AX196" s="47">
        <f>+IFERROR(HLOOKUP(AX29,'סקרי נכסים-יתרות פתיחה'!$2:$76,13,0),0)</f>
        <v>0</v>
      </c>
      <c r="AY196" s="47">
        <f>+IFERROR(HLOOKUP(AY29,'סקרי נכסים-יתרות פתיחה'!$2:$76,13,0),0)</f>
        <v>0</v>
      </c>
      <c r="AZ196" s="47">
        <f>+IFERROR(HLOOKUP(AZ29,'סקרי נכסים-יתרות פתיחה'!$2:$76,13,0),0)</f>
        <v>0</v>
      </c>
      <c r="BA196" s="47">
        <f>+IFERROR(HLOOKUP(BA29,'סקרי נכסים-יתרות פתיחה'!$2:$76,13,0),0)</f>
        <v>0</v>
      </c>
      <c r="BB196" s="47">
        <f>+IFERROR(HLOOKUP(BB29,'סקרי נכסים-יתרות פתיחה'!$2:$76,13,0),0)</f>
        <v>0</v>
      </c>
      <c r="BC196" s="47">
        <f>+IFERROR(HLOOKUP(BC29,'סקרי נכסים-יתרות פתיחה'!$2:$76,13,0),0)</f>
        <v>0</v>
      </c>
      <c r="BD196" s="47">
        <f>+IFERROR(HLOOKUP(BD29,'סקרי נכסים-יתרות פתיחה'!$2:$76,13,0),0)</f>
        <v>0</v>
      </c>
      <c r="BE196" s="47">
        <f>+IFERROR(HLOOKUP(BE29,'סקרי נכסים-יתרות פתיחה'!$2:$76,13,0),0)</f>
        <v>0</v>
      </c>
      <c r="BF196" s="47">
        <f>+IFERROR(HLOOKUP(BF29,'סקרי נכסים-יתרות פתיחה'!$2:$76,13,0),0)</f>
        <v>0</v>
      </c>
    </row>
    <row r="197" spans="1:58" x14ac:dyDescent="0.2">
      <c r="B197" s="1">
        <v>23</v>
      </c>
      <c r="C197" s="47">
        <f>+IFERROR(HLOOKUP(C30,'סקרי נכסים-יתרות פתיחה'!$2:$76,13,0),0)</f>
        <v>0</v>
      </c>
      <c r="D197" s="47">
        <f>+IFERROR(HLOOKUP(D30,'סקרי נכסים-יתרות פתיחה'!$2:$76,13,0),0)</f>
        <v>0</v>
      </c>
      <c r="E197" s="47">
        <f>+IFERROR(HLOOKUP(E30,'סקרי נכסים-יתרות פתיחה'!$2:$76,13,0),0)</f>
        <v>0</v>
      </c>
      <c r="F197" s="47">
        <f>+IFERROR(HLOOKUP(F30,'סקרי נכסים-יתרות פתיחה'!$2:$76,13,0),0)</f>
        <v>0</v>
      </c>
      <c r="G197" s="47">
        <f>+IFERROR(HLOOKUP(G30,'סקרי נכסים-יתרות פתיחה'!$2:$76,13,0),0)</f>
        <v>0</v>
      </c>
      <c r="H197" s="47">
        <f>+IFERROR(HLOOKUP(H30,'סקרי נכסים-יתרות פתיחה'!$2:$76,13,0),0)</f>
        <v>0</v>
      </c>
      <c r="I197" s="47">
        <f>+IFERROR(HLOOKUP(I30,'סקרי נכסים-יתרות פתיחה'!$2:$76,13,0),0)</f>
        <v>0</v>
      </c>
      <c r="J197" s="47">
        <f>+IFERROR(HLOOKUP(J30,'סקרי נכסים-יתרות פתיחה'!$2:$76,13,0),0)</f>
        <v>0</v>
      </c>
      <c r="K197" s="47">
        <f>+IFERROR(HLOOKUP(K30,'סקרי נכסים-יתרות פתיחה'!$2:$76,13,0),0)</f>
        <v>0</v>
      </c>
      <c r="L197" s="47">
        <f>+IFERROR(HLOOKUP(L30,'סקרי נכסים-יתרות פתיחה'!$2:$76,13,0),0)</f>
        <v>0</v>
      </c>
      <c r="M197" s="47">
        <f>+IFERROR(HLOOKUP(M30,'סקרי נכסים-יתרות פתיחה'!$2:$76,13,0),0)</f>
        <v>0</v>
      </c>
      <c r="N197" s="47">
        <f>+IFERROR(HLOOKUP(N30,'סקרי נכסים-יתרות פתיחה'!$2:$76,13,0),0)</f>
        <v>0</v>
      </c>
      <c r="O197" s="47">
        <f>+IFERROR(HLOOKUP(O30,'סקרי נכסים-יתרות פתיחה'!$2:$76,13,0),0)</f>
        <v>0</v>
      </c>
      <c r="P197" s="47">
        <f>+IFERROR(HLOOKUP(P30,'סקרי נכסים-יתרות פתיחה'!$2:$76,13,0),0)</f>
        <v>0</v>
      </c>
      <c r="Q197" s="47">
        <f>+IFERROR(HLOOKUP(Q30,'סקרי נכסים-יתרות פתיחה'!$2:$76,13,0),0)</f>
        <v>0</v>
      </c>
      <c r="R197" s="47">
        <f>+IFERROR(HLOOKUP(R30,'סקרי נכסים-יתרות פתיחה'!$2:$76,13,0),0)</f>
        <v>0</v>
      </c>
      <c r="S197" s="47">
        <f>+IFERROR(HLOOKUP(S30,'סקרי נכסים-יתרות פתיחה'!$2:$76,13,0),0)</f>
        <v>0</v>
      </c>
      <c r="T197" s="47">
        <f>+IFERROR(HLOOKUP(T30,'סקרי נכסים-יתרות פתיחה'!$2:$76,13,0),0)</f>
        <v>0</v>
      </c>
      <c r="U197" s="47">
        <f>+IFERROR(HLOOKUP(U30,'סקרי נכסים-יתרות פתיחה'!$2:$76,13,0),0)</f>
        <v>0</v>
      </c>
      <c r="V197" s="47">
        <f>+IFERROR(HLOOKUP(V30,'סקרי נכסים-יתרות פתיחה'!$2:$76,13,0),0)</f>
        <v>0</v>
      </c>
      <c r="W197" s="47">
        <f>+IFERROR(HLOOKUP(W30,'סקרי נכסים-יתרות פתיחה'!$2:$76,13,0),0)</f>
        <v>0</v>
      </c>
      <c r="X197" s="47">
        <f>+IFERROR(HLOOKUP(X30,'סקרי נכסים-יתרות פתיחה'!$2:$76,13,0),0)</f>
        <v>0</v>
      </c>
      <c r="Y197" s="47">
        <f>+IFERROR(HLOOKUP(Y30,'סקרי נכסים-יתרות פתיחה'!$2:$76,13,0),0)</f>
        <v>0</v>
      </c>
      <c r="Z197" s="47">
        <f>+IFERROR(HLOOKUP(Z30,'סקרי נכסים-יתרות פתיחה'!$2:$76,13,0),0)</f>
        <v>0</v>
      </c>
      <c r="AA197" s="47">
        <f>+IFERROR(HLOOKUP(AA30,'סקרי נכסים-יתרות פתיחה'!$2:$76,13,0),0)</f>
        <v>0</v>
      </c>
      <c r="AB197" s="47">
        <f>+IFERROR(HLOOKUP(AB30,'סקרי נכסים-יתרות פתיחה'!$2:$76,13,0),0)</f>
        <v>0</v>
      </c>
      <c r="AC197" s="47">
        <f>+IFERROR(HLOOKUP(AC30,'סקרי נכסים-יתרות פתיחה'!$2:$76,13,0),0)</f>
        <v>0</v>
      </c>
      <c r="AD197" s="47">
        <f>+IFERROR(HLOOKUP(AD30,'סקרי נכסים-יתרות פתיחה'!$2:$76,13,0),0)</f>
        <v>0</v>
      </c>
      <c r="AE197" s="47">
        <f>+IFERROR(HLOOKUP(AE30,'סקרי נכסים-יתרות פתיחה'!$2:$76,13,0),0)</f>
        <v>0</v>
      </c>
      <c r="AF197" s="47">
        <f>+IFERROR(HLOOKUP(AF30,'סקרי נכסים-יתרות פתיחה'!$2:$76,13,0),0)</f>
        <v>0</v>
      </c>
      <c r="AG197" s="47">
        <f>+IFERROR(HLOOKUP(AG30,'סקרי נכסים-יתרות פתיחה'!$2:$76,13,0),0)</f>
        <v>0</v>
      </c>
      <c r="AH197" s="47">
        <f>+IFERROR(HLOOKUP(AH30,'סקרי נכסים-יתרות פתיחה'!$2:$76,13,0),0)</f>
        <v>0</v>
      </c>
      <c r="AI197" s="47">
        <f>+IFERROR(HLOOKUP(AI30,'סקרי נכסים-יתרות פתיחה'!$2:$76,13,0),0)</f>
        <v>0</v>
      </c>
      <c r="AJ197" s="47">
        <f>+IFERROR(HLOOKUP(AJ30,'סקרי נכסים-יתרות פתיחה'!$2:$76,13,0),0)</f>
        <v>0</v>
      </c>
      <c r="AK197" s="47">
        <f>+IFERROR(HLOOKUP(AK30,'סקרי נכסים-יתרות פתיחה'!$2:$76,13,0),0)</f>
        <v>0</v>
      </c>
      <c r="AL197" s="47">
        <f>+IFERROR(HLOOKUP(AL30,'סקרי נכסים-יתרות פתיחה'!$2:$76,13,0),0)</f>
        <v>0</v>
      </c>
      <c r="AM197" s="47">
        <f>+IFERROR(HLOOKUP(AM30,'סקרי נכסים-יתרות פתיחה'!$2:$76,13,0),0)</f>
        <v>0</v>
      </c>
      <c r="AN197" s="47">
        <f>+IFERROR(HLOOKUP(AN30,'סקרי נכסים-יתרות פתיחה'!$2:$76,13,0),0)</f>
        <v>0</v>
      </c>
      <c r="AO197" s="47">
        <f>+IFERROR(HLOOKUP(AO30,'סקרי נכסים-יתרות פתיחה'!$2:$76,13,0),0)</f>
        <v>0</v>
      </c>
      <c r="AP197" s="47">
        <f>+IFERROR(HLOOKUP(AP30,'סקרי נכסים-יתרות פתיחה'!$2:$76,13,0),0)</f>
        <v>0</v>
      </c>
      <c r="AQ197" s="47">
        <f>+IFERROR(HLOOKUP(AQ30,'סקרי נכסים-יתרות פתיחה'!$2:$76,13,0),0)</f>
        <v>0</v>
      </c>
      <c r="AR197" s="47">
        <f>+IFERROR(HLOOKUP(AR30,'סקרי נכסים-יתרות פתיחה'!$2:$76,13,0),0)</f>
        <v>0</v>
      </c>
      <c r="AS197" s="47">
        <f>+IFERROR(HLOOKUP(AS30,'סקרי נכסים-יתרות פתיחה'!$2:$76,13,0),0)</f>
        <v>0</v>
      </c>
      <c r="AT197" s="47">
        <f>+IFERROR(HLOOKUP(AT30,'סקרי נכסים-יתרות פתיחה'!$2:$76,13,0),0)</f>
        <v>0</v>
      </c>
      <c r="AU197" s="47">
        <f>+IFERROR(HLOOKUP(AU30,'סקרי נכסים-יתרות פתיחה'!$2:$76,13,0),0)</f>
        <v>0</v>
      </c>
      <c r="AV197" s="47">
        <f>+IFERROR(HLOOKUP(AV30,'סקרי נכסים-יתרות פתיחה'!$2:$76,13,0),0)</f>
        <v>0</v>
      </c>
      <c r="AW197" s="47">
        <f>+IFERROR(HLOOKUP(AW30,'סקרי נכסים-יתרות פתיחה'!$2:$76,13,0),0)</f>
        <v>0</v>
      </c>
      <c r="AX197" s="47">
        <f>+IFERROR(HLOOKUP(AX30,'סקרי נכסים-יתרות פתיחה'!$2:$76,13,0),0)</f>
        <v>0</v>
      </c>
      <c r="AY197" s="47">
        <f>+IFERROR(HLOOKUP(AY30,'סקרי נכסים-יתרות פתיחה'!$2:$76,13,0),0)</f>
        <v>0</v>
      </c>
      <c r="AZ197" s="47">
        <f>+IFERROR(HLOOKUP(AZ30,'סקרי נכסים-יתרות פתיחה'!$2:$76,13,0),0)</f>
        <v>0</v>
      </c>
      <c r="BA197" s="47">
        <f>+IFERROR(HLOOKUP(BA30,'סקרי נכסים-יתרות פתיחה'!$2:$76,13,0),0)</f>
        <v>0</v>
      </c>
      <c r="BB197" s="47">
        <f>+IFERROR(HLOOKUP(BB30,'סקרי נכסים-יתרות פתיחה'!$2:$76,13,0),0)</f>
        <v>0</v>
      </c>
      <c r="BC197" s="47">
        <f>+IFERROR(HLOOKUP(BC30,'סקרי נכסים-יתרות פתיחה'!$2:$76,13,0),0)</f>
        <v>0</v>
      </c>
      <c r="BD197" s="47">
        <f>+IFERROR(HLOOKUP(BD30,'סקרי נכסים-יתרות פתיחה'!$2:$76,13,0),0)</f>
        <v>0</v>
      </c>
      <c r="BE197" s="47">
        <f>+IFERROR(HLOOKUP(BE30,'סקרי נכסים-יתרות פתיחה'!$2:$76,13,0),0)</f>
        <v>0</v>
      </c>
      <c r="BF197" s="47">
        <f>+IFERROR(HLOOKUP(BF30,'סקרי נכסים-יתרות פתיחה'!$2:$76,13,0),0)</f>
        <v>0</v>
      </c>
    </row>
    <row r="198" spans="1:58" x14ac:dyDescent="0.2">
      <c r="B198" s="1">
        <v>24</v>
      </c>
      <c r="C198" s="47">
        <f>+IFERROR(HLOOKUP(C31,'סקרי נכסים-יתרות פתיחה'!$2:$76,13,0),0)</f>
        <v>0</v>
      </c>
      <c r="D198" s="47">
        <f>+IFERROR(HLOOKUP(D31,'סקרי נכסים-יתרות פתיחה'!$2:$76,13,0),0)</f>
        <v>0</v>
      </c>
      <c r="E198" s="47">
        <f>+IFERROR(HLOOKUP(E31,'סקרי נכסים-יתרות פתיחה'!$2:$76,13,0),0)</f>
        <v>0</v>
      </c>
      <c r="F198" s="47">
        <f>+IFERROR(HLOOKUP(F31,'סקרי נכסים-יתרות פתיחה'!$2:$76,13,0),0)</f>
        <v>0</v>
      </c>
      <c r="G198" s="47">
        <f>+IFERROR(HLOOKUP(G31,'סקרי נכסים-יתרות פתיחה'!$2:$76,13,0),0)</f>
        <v>0</v>
      </c>
      <c r="H198" s="47">
        <f>+IFERROR(HLOOKUP(H31,'סקרי נכסים-יתרות פתיחה'!$2:$76,13,0),0)</f>
        <v>0</v>
      </c>
      <c r="I198" s="47">
        <f>+IFERROR(HLOOKUP(I31,'סקרי נכסים-יתרות פתיחה'!$2:$76,13,0),0)</f>
        <v>0</v>
      </c>
      <c r="J198" s="47">
        <f>+IFERROR(HLOOKUP(J31,'סקרי נכסים-יתרות פתיחה'!$2:$76,13,0),0)</f>
        <v>0</v>
      </c>
      <c r="K198" s="47">
        <f>+IFERROR(HLOOKUP(K31,'סקרי נכסים-יתרות פתיחה'!$2:$76,13,0),0)</f>
        <v>0</v>
      </c>
      <c r="L198" s="47">
        <f>+IFERROR(HLOOKUP(L31,'סקרי נכסים-יתרות פתיחה'!$2:$76,13,0),0)</f>
        <v>0</v>
      </c>
      <c r="M198" s="47">
        <f>+IFERROR(HLOOKUP(M31,'סקרי נכסים-יתרות פתיחה'!$2:$76,13,0),0)</f>
        <v>0</v>
      </c>
      <c r="N198" s="47">
        <f>+IFERROR(HLOOKUP(N31,'סקרי נכסים-יתרות פתיחה'!$2:$76,13,0),0)</f>
        <v>0</v>
      </c>
      <c r="O198" s="47">
        <f>+IFERROR(HLOOKUP(O31,'סקרי נכסים-יתרות פתיחה'!$2:$76,13,0),0)</f>
        <v>0</v>
      </c>
      <c r="P198" s="47">
        <f>+IFERROR(HLOOKUP(P31,'סקרי נכסים-יתרות פתיחה'!$2:$76,13,0),0)</f>
        <v>0</v>
      </c>
      <c r="Q198" s="47">
        <f>+IFERROR(HLOOKUP(Q31,'סקרי נכסים-יתרות פתיחה'!$2:$76,13,0),0)</f>
        <v>0</v>
      </c>
      <c r="R198" s="47">
        <f>+IFERROR(HLOOKUP(R31,'סקרי נכסים-יתרות פתיחה'!$2:$76,13,0),0)</f>
        <v>0</v>
      </c>
      <c r="S198" s="47">
        <f>+IFERROR(HLOOKUP(S31,'סקרי נכסים-יתרות פתיחה'!$2:$76,13,0),0)</f>
        <v>0</v>
      </c>
      <c r="T198" s="47">
        <f>+IFERROR(HLOOKUP(T31,'סקרי נכסים-יתרות פתיחה'!$2:$76,13,0),0)</f>
        <v>0</v>
      </c>
      <c r="U198" s="47">
        <f>+IFERROR(HLOOKUP(U31,'סקרי נכסים-יתרות פתיחה'!$2:$76,13,0),0)</f>
        <v>0</v>
      </c>
      <c r="V198" s="47">
        <f>+IFERROR(HLOOKUP(V31,'סקרי נכסים-יתרות פתיחה'!$2:$76,13,0),0)</f>
        <v>0</v>
      </c>
      <c r="W198" s="47">
        <f>+IFERROR(HLOOKUP(W31,'סקרי נכסים-יתרות פתיחה'!$2:$76,13,0),0)</f>
        <v>0</v>
      </c>
      <c r="X198" s="47">
        <f>+IFERROR(HLOOKUP(X31,'סקרי נכסים-יתרות פתיחה'!$2:$76,13,0),0)</f>
        <v>0</v>
      </c>
      <c r="Y198" s="47">
        <f>+IFERROR(HLOOKUP(Y31,'סקרי נכסים-יתרות פתיחה'!$2:$76,13,0),0)</f>
        <v>0</v>
      </c>
      <c r="Z198" s="47">
        <f>+IFERROR(HLOOKUP(Z31,'סקרי נכסים-יתרות פתיחה'!$2:$76,13,0),0)</f>
        <v>0</v>
      </c>
      <c r="AA198" s="47">
        <f>+IFERROR(HLOOKUP(AA31,'סקרי נכסים-יתרות פתיחה'!$2:$76,13,0),0)</f>
        <v>0</v>
      </c>
      <c r="AB198" s="47">
        <f>+IFERROR(HLOOKUP(AB31,'סקרי נכסים-יתרות פתיחה'!$2:$76,13,0),0)</f>
        <v>0</v>
      </c>
      <c r="AC198" s="47">
        <f>+IFERROR(HLOOKUP(AC31,'סקרי נכסים-יתרות פתיחה'!$2:$76,13,0),0)</f>
        <v>0</v>
      </c>
      <c r="AD198" s="47">
        <f>+IFERROR(HLOOKUP(AD31,'סקרי נכסים-יתרות פתיחה'!$2:$76,13,0),0)</f>
        <v>0</v>
      </c>
      <c r="AE198" s="47">
        <f>+IFERROR(HLOOKUP(AE31,'סקרי נכסים-יתרות פתיחה'!$2:$76,13,0),0)</f>
        <v>0</v>
      </c>
      <c r="AF198" s="47">
        <f>+IFERROR(HLOOKUP(AF31,'סקרי נכסים-יתרות פתיחה'!$2:$76,13,0),0)</f>
        <v>0</v>
      </c>
      <c r="AG198" s="47">
        <f>+IFERROR(HLOOKUP(AG31,'סקרי נכסים-יתרות פתיחה'!$2:$76,13,0),0)</f>
        <v>0</v>
      </c>
      <c r="AH198" s="47">
        <f>+IFERROR(HLOOKUP(AH31,'סקרי נכסים-יתרות פתיחה'!$2:$76,13,0),0)</f>
        <v>0</v>
      </c>
      <c r="AI198" s="47">
        <f>+IFERROR(HLOOKUP(AI31,'סקרי נכסים-יתרות פתיחה'!$2:$76,13,0),0)</f>
        <v>0</v>
      </c>
      <c r="AJ198" s="47">
        <f>+IFERROR(HLOOKUP(AJ31,'סקרי נכסים-יתרות פתיחה'!$2:$76,13,0),0)</f>
        <v>0</v>
      </c>
      <c r="AK198" s="47">
        <f>+IFERROR(HLOOKUP(AK31,'סקרי נכסים-יתרות פתיחה'!$2:$76,13,0),0)</f>
        <v>0</v>
      </c>
      <c r="AL198" s="47">
        <f>+IFERROR(HLOOKUP(AL31,'סקרי נכסים-יתרות פתיחה'!$2:$76,13,0),0)</f>
        <v>0</v>
      </c>
      <c r="AM198" s="47">
        <f>+IFERROR(HLOOKUP(AM31,'סקרי נכסים-יתרות פתיחה'!$2:$76,13,0),0)</f>
        <v>0</v>
      </c>
      <c r="AN198" s="47">
        <f>+IFERROR(HLOOKUP(AN31,'סקרי נכסים-יתרות פתיחה'!$2:$76,13,0),0)</f>
        <v>0</v>
      </c>
      <c r="AO198" s="47">
        <f>+IFERROR(HLOOKUP(AO31,'סקרי נכסים-יתרות פתיחה'!$2:$76,13,0),0)</f>
        <v>0</v>
      </c>
      <c r="AP198" s="47">
        <f>+IFERROR(HLOOKUP(AP31,'סקרי נכסים-יתרות פתיחה'!$2:$76,13,0),0)</f>
        <v>0</v>
      </c>
      <c r="AQ198" s="47">
        <f>+IFERROR(HLOOKUP(AQ31,'סקרי נכסים-יתרות פתיחה'!$2:$76,13,0),0)</f>
        <v>0</v>
      </c>
      <c r="AR198" s="47">
        <f>+IFERROR(HLOOKUP(AR31,'סקרי נכסים-יתרות פתיחה'!$2:$76,13,0),0)</f>
        <v>0</v>
      </c>
      <c r="AS198" s="47">
        <f>+IFERROR(HLOOKUP(AS31,'סקרי נכסים-יתרות פתיחה'!$2:$76,13,0),0)</f>
        <v>0</v>
      </c>
      <c r="AT198" s="47">
        <f>+IFERROR(HLOOKUP(AT31,'סקרי נכסים-יתרות פתיחה'!$2:$76,13,0),0)</f>
        <v>0</v>
      </c>
      <c r="AU198" s="47">
        <f>+IFERROR(HLOOKUP(AU31,'סקרי נכסים-יתרות פתיחה'!$2:$76,13,0),0)</f>
        <v>0</v>
      </c>
      <c r="AV198" s="47">
        <f>+IFERROR(HLOOKUP(AV31,'סקרי נכסים-יתרות פתיחה'!$2:$76,13,0),0)</f>
        <v>0</v>
      </c>
      <c r="AW198" s="47">
        <f>+IFERROR(HLOOKUP(AW31,'סקרי נכסים-יתרות פתיחה'!$2:$76,13,0),0)</f>
        <v>0</v>
      </c>
      <c r="AX198" s="47">
        <f>+IFERROR(HLOOKUP(AX31,'סקרי נכסים-יתרות פתיחה'!$2:$76,13,0),0)</f>
        <v>0</v>
      </c>
      <c r="AY198" s="47">
        <f>+IFERROR(HLOOKUP(AY31,'סקרי נכסים-יתרות פתיחה'!$2:$76,13,0),0)</f>
        <v>0</v>
      </c>
      <c r="AZ198" s="47">
        <f>+IFERROR(HLOOKUP(AZ31,'סקרי נכסים-יתרות פתיחה'!$2:$76,13,0),0)</f>
        <v>0</v>
      </c>
      <c r="BA198" s="47">
        <f>+IFERROR(HLOOKUP(BA31,'סקרי נכסים-יתרות פתיחה'!$2:$76,13,0),0)</f>
        <v>0</v>
      </c>
      <c r="BB198" s="47">
        <f>+IFERROR(HLOOKUP(BB31,'סקרי נכסים-יתרות פתיחה'!$2:$76,13,0),0)</f>
        <v>0</v>
      </c>
      <c r="BC198" s="47">
        <f>+IFERROR(HLOOKUP(BC31,'סקרי נכסים-יתרות פתיחה'!$2:$76,13,0),0)</f>
        <v>0</v>
      </c>
      <c r="BD198" s="47">
        <f>+IFERROR(HLOOKUP(BD31,'סקרי נכסים-יתרות פתיחה'!$2:$76,13,0),0)</f>
        <v>0</v>
      </c>
      <c r="BE198" s="47">
        <f>+IFERROR(HLOOKUP(BE31,'סקרי נכסים-יתרות פתיחה'!$2:$76,13,0),0)</f>
        <v>0</v>
      </c>
      <c r="BF198" s="47">
        <f>+IFERROR(HLOOKUP(BF31,'סקרי נכסים-יתרות פתיחה'!$2:$76,13,0),0)</f>
        <v>0</v>
      </c>
    </row>
    <row r="199" spans="1:58" x14ac:dyDescent="0.2">
      <c r="B199" s="1">
        <v>25</v>
      </c>
      <c r="C199" s="47">
        <f>+IFERROR(HLOOKUP(C32,'סקרי נכסים-יתרות פתיחה'!$2:$76,13,0),0)</f>
        <v>0</v>
      </c>
      <c r="D199" s="47">
        <f>+IFERROR(HLOOKUP(D32,'סקרי נכסים-יתרות פתיחה'!$2:$76,13,0),0)</f>
        <v>0</v>
      </c>
      <c r="E199" s="47">
        <f>+IFERROR(HLOOKUP(E32,'סקרי נכסים-יתרות פתיחה'!$2:$76,13,0),0)</f>
        <v>0</v>
      </c>
      <c r="F199" s="47">
        <f>+IFERROR(HLOOKUP(F32,'סקרי נכסים-יתרות פתיחה'!$2:$76,13,0),0)</f>
        <v>0</v>
      </c>
      <c r="G199" s="47">
        <f>+IFERROR(HLOOKUP(G32,'סקרי נכסים-יתרות פתיחה'!$2:$76,13,0),0)</f>
        <v>0</v>
      </c>
      <c r="H199" s="47">
        <f>+IFERROR(HLOOKUP(H32,'סקרי נכסים-יתרות פתיחה'!$2:$76,13,0),0)</f>
        <v>0</v>
      </c>
      <c r="I199" s="47">
        <f>+IFERROR(HLOOKUP(I32,'סקרי נכסים-יתרות פתיחה'!$2:$76,13,0),0)</f>
        <v>0</v>
      </c>
      <c r="J199" s="47">
        <f>+IFERROR(HLOOKUP(J32,'סקרי נכסים-יתרות פתיחה'!$2:$76,13,0),0)</f>
        <v>0</v>
      </c>
      <c r="K199" s="47">
        <f>+IFERROR(HLOOKUP(K32,'סקרי נכסים-יתרות פתיחה'!$2:$76,13,0),0)</f>
        <v>0</v>
      </c>
      <c r="L199" s="47">
        <f>+IFERROR(HLOOKUP(L32,'סקרי נכסים-יתרות פתיחה'!$2:$76,13,0),0)</f>
        <v>0</v>
      </c>
      <c r="M199" s="47">
        <f>+IFERROR(HLOOKUP(M32,'סקרי נכסים-יתרות פתיחה'!$2:$76,13,0),0)</f>
        <v>0</v>
      </c>
      <c r="N199" s="47">
        <f>+IFERROR(HLOOKUP(N32,'סקרי נכסים-יתרות פתיחה'!$2:$76,13,0),0)</f>
        <v>0</v>
      </c>
      <c r="O199" s="47">
        <f>+IFERROR(HLOOKUP(O32,'סקרי נכסים-יתרות פתיחה'!$2:$76,13,0),0)</f>
        <v>0</v>
      </c>
      <c r="P199" s="47">
        <f>+IFERROR(HLOOKUP(P32,'סקרי נכסים-יתרות פתיחה'!$2:$76,13,0),0)</f>
        <v>0</v>
      </c>
      <c r="Q199" s="47">
        <f>+IFERROR(HLOOKUP(Q32,'סקרי נכסים-יתרות פתיחה'!$2:$76,13,0),0)</f>
        <v>0</v>
      </c>
      <c r="R199" s="47">
        <f>+IFERROR(HLOOKUP(R32,'סקרי נכסים-יתרות פתיחה'!$2:$76,13,0),0)</f>
        <v>0</v>
      </c>
      <c r="S199" s="47">
        <f>+IFERROR(HLOOKUP(S32,'סקרי נכסים-יתרות פתיחה'!$2:$76,13,0),0)</f>
        <v>0</v>
      </c>
      <c r="T199" s="47">
        <f>+IFERROR(HLOOKUP(T32,'סקרי נכסים-יתרות פתיחה'!$2:$76,13,0),0)</f>
        <v>0</v>
      </c>
      <c r="U199" s="47">
        <f>+IFERROR(HLOOKUP(U32,'סקרי נכסים-יתרות פתיחה'!$2:$76,13,0),0)</f>
        <v>0</v>
      </c>
      <c r="V199" s="47">
        <f>+IFERROR(HLOOKUP(V32,'סקרי נכסים-יתרות פתיחה'!$2:$76,13,0),0)</f>
        <v>0</v>
      </c>
      <c r="W199" s="47">
        <f>+IFERROR(HLOOKUP(W32,'סקרי נכסים-יתרות פתיחה'!$2:$76,13,0),0)</f>
        <v>0</v>
      </c>
      <c r="X199" s="47">
        <f>+IFERROR(HLOOKUP(X32,'סקרי נכסים-יתרות פתיחה'!$2:$76,13,0),0)</f>
        <v>0</v>
      </c>
      <c r="Y199" s="47">
        <f>+IFERROR(HLOOKUP(Y32,'סקרי נכסים-יתרות פתיחה'!$2:$76,13,0),0)</f>
        <v>0</v>
      </c>
      <c r="Z199" s="47">
        <f>+IFERROR(HLOOKUP(Z32,'סקרי נכסים-יתרות פתיחה'!$2:$76,13,0),0)</f>
        <v>0</v>
      </c>
      <c r="AA199" s="47">
        <f>+IFERROR(HLOOKUP(AA32,'סקרי נכסים-יתרות פתיחה'!$2:$76,13,0),0)</f>
        <v>0</v>
      </c>
      <c r="AB199" s="47">
        <f>+IFERROR(HLOOKUP(AB32,'סקרי נכסים-יתרות פתיחה'!$2:$76,13,0),0)</f>
        <v>0</v>
      </c>
      <c r="AC199" s="47">
        <f>+IFERROR(HLOOKUP(AC32,'סקרי נכסים-יתרות פתיחה'!$2:$76,13,0),0)</f>
        <v>0</v>
      </c>
      <c r="AD199" s="47">
        <f>+IFERROR(HLOOKUP(AD32,'סקרי נכסים-יתרות פתיחה'!$2:$76,13,0),0)</f>
        <v>0</v>
      </c>
      <c r="AE199" s="47">
        <f>+IFERROR(HLOOKUP(AE32,'סקרי נכסים-יתרות פתיחה'!$2:$76,13,0),0)</f>
        <v>0</v>
      </c>
      <c r="AF199" s="47">
        <f>+IFERROR(HLOOKUP(AF32,'סקרי נכסים-יתרות פתיחה'!$2:$76,13,0),0)</f>
        <v>0</v>
      </c>
      <c r="AG199" s="47">
        <f>+IFERROR(HLOOKUP(AG32,'סקרי נכסים-יתרות פתיחה'!$2:$76,13,0),0)</f>
        <v>0</v>
      </c>
      <c r="AH199" s="47">
        <f>+IFERROR(HLOOKUP(AH32,'סקרי נכסים-יתרות פתיחה'!$2:$76,13,0),0)</f>
        <v>0</v>
      </c>
      <c r="AI199" s="47">
        <f>+IFERROR(HLOOKUP(AI32,'סקרי נכסים-יתרות פתיחה'!$2:$76,13,0),0)</f>
        <v>0</v>
      </c>
      <c r="AJ199" s="47">
        <f>+IFERROR(HLOOKUP(AJ32,'סקרי נכסים-יתרות פתיחה'!$2:$76,13,0),0)</f>
        <v>0</v>
      </c>
      <c r="AK199" s="47">
        <f>+IFERROR(HLOOKUP(AK32,'סקרי נכסים-יתרות פתיחה'!$2:$76,13,0),0)</f>
        <v>0</v>
      </c>
      <c r="AL199" s="47">
        <f>+IFERROR(HLOOKUP(AL32,'סקרי נכסים-יתרות פתיחה'!$2:$76,13,0),0)</f>
        <v>0</v>
      </c>
      <c r="AM199" s="47">
        <f>+IFERROR(HLOOKUP(AM32,'סקרי נכסים-יתרות פתיחה'!$2:$76,13,0),0)</f>
        <v>0</v>
      </c>
      <c r="AN199" s="47">
        <f>+IFERROR(HLOOKUP(AN32,'סקרי נכסים-יתרות פתיחה'!$2:$76,13,0),0)</f>
        <v>0</v>
      </c>
      <c r="AO199" s="47">
        <f>+IFERROR(HLOOKUP(AO32,'סקרי נכסים-יתרות פתיחה'!$2:$76,13,0),0)</f>
        <v>0</v>
      </c>
      <c r="AP199" s="47">
        <f>+IFERROR(HLOOKUP(AP32,'סקרי נכסים-יתרות פתיחה'!$2:$76,13,0),0)</f>
        <v>0</v>
      </c>
      <c r="AQ199" s="47">
        <f>+IFERROR(HLOOKUP(AQ32,'סקרי נכסים-יתרות פתיחה'!$2:$76,13,0),0)</f>
        <v>0</v>
      </c>
      <c r="AR199" s="47">
        <f>+IFERROR(HLOOKUP(AR32,'סקרי נכסים-יתרות פתיחה'!$2:$76,13,0),0)</f>
        <v>0</v>
      </c>
      <c r="AS199" s="47">
        <f>+IFERROR(HLOOKUP(AS32,'סקרי נכסים-יתרות פתיחה'!$2:$76,13,0),0)</f>
        <v>0</v>
      </c>
      <c r="AT199" s="47">
        <f>+IFERROR(HLOOKUP(AT32,'סקרי נכסים-יתרות פתיחה'!$2:$76,13,0),0)</f>
        <v>0</v>
      </c>
      <c r="AU199" s="47">
        <f>+IFERROR(HLOOKUP(AU32,'סקרי נכסים-יתרות פתיחה'!$2:$76,13,0),0)</f>
        <v>0</v>
      </c>
      <c r="AV199" s="47">
        <f>+IFERROR(HLOOKUP(AV32,'סקרי נכסים-יתרות פתיחה'!$2:$76,13,0),0)</f>
        <v>0</v>
      </c>
      <c r="AW199" s="47">
        <f>+IFERROR(HLOOKUP(AW32,'סקרי נכסים-יתרות פתיחה'!$2:$76,13,0),0)</f>
        <v>0</v>
      </c>
      <c r="AX199" s="47">
        <f>+IFERROR(HLOOKUP(AX32,'סקרי נכסים-יתרות פתיחה'!$2:$76,13,0),0)</f>
        <v>0</v>
      </c>
      <c r="AY199" s="47">
        <f>+IFERROR(HLOOKUP(AY32,'סקרי נכסים-יתרות פתיחה'!$2:$76,13,0),0)</f>
        <v>0</v>
      </c>
      <c r="AZ199" s="47">
        <f>+IFERROR(HLOOKUP(AZ32,'סקרי נכסים-יתרות פתיחה'!$2:$76,13,0),0)</f>
        <v>0</v>
      </c>
      <c r="BA199" s="47">
        <f>+IFERROR(HLOOKUP(BA32,'סקרי נכסים-יתרות פתיחה'!$2:$76,13,0),0)</f>
        <v>0</v>
      </c>
      <c r="BB199" s="47">
        <f>+IFERROR(HLOOKUP(BB32,'סקרי נכסים-יתרות פתיחה'!$2:$76,13,0),0)</f>
        <v>0</v>
      </c>
      <c r="BC199" s="47">
        <f>+IFERROR(HLOOKUP(BC32,'סקרי נכסים-יתרות פתיחה'!$2:$76,13,0),0)</f>
        <v>0</v>
      </c>
      <c r="BD199" s="47">
        <f>+IFERROR(HLOOKUP(BD32,'סקרי נכסים-יתרות פתיחה'!$2:$76,13,0),0)</f>
        <v>0</v>
      </c>
      <c r="BE199" s="47">
        <f>+IFERROR(HLOOKUP(BE32,'סקרי נכסים-יתרות פתיחה'!$2:$76,13,0),0)</f>
        <v>0</v>
      </c>
      <c r="BF199" s="47">
        <f>+IFERROR(HLOOKUP(BF32,'סקרי נכסים-יתרות פתיחה'!$2:$76,13,0),0)</f>
        <v>0</v>
      </c>
    </row>
    <row r="200" spans="1:58" x14ac:dyDescent="0.2">
      <c r="B200" s="1">
        <v>26</v>
      </c>
      <c r="C200" s="47">
        <f>+IFERROR(HLOOKUP(C33,'סקרי נכסים-יתרות פתיחה'!$2:$76,13,0),0)</f>
        <v>0</v>
      </c>
      <c r="D200" s="47">
        <f>+IFERROR(HLOOKUP(D33,'סקרי נכסים-יתרות פתיחה'!$2:$76,13,0),0)</f>
        <v>0</v>
      </c>
      <c r="E200" s="47">
        <f>+IFERROR(HLOOKUP(E33,'סקרי נכסים-יתרות פתיחה'!$2:$76,13,0),0)</f>
        <v>0</v>
      </c>
      <c r="F200" s="47">
        <f>+IFERROR(HLOOKUP(F33,'סקרי נכסים-יתרות פתיחה'!$2:$76,13,0),0)</f>
        <v>0</v>
      </c>
      <c r="G200" s="47">
        <f>+IFERROR(HLOOKUP(G33,'סקרי נכסים-יתרות פתיחה'!$2:$76,13,0),0)</f>
        <v>0</v>
      </c>
      <c r="H200" s="47">
        <f>+IFERROR(HLOOKUP(H33,'סקרי נכסים-יתרות פתיחה'!$2:$76,13,0),0)</f>
        <v>0</v>
      </c>
      <c r="I200" s="47">
        <f>+IFERROR(HLOOKUP(I33,'סקרי נכסים-יתרות פתיחה'!$2:$76,13,0),0)</f>
        <v>0</v>
      </c>
      <c r="J200" s="47">
        <f>+IFERROR(HLOOKUP(J33,'סקרי נכסים-יתרות פתיחה'!$2:$76,13,0),0)</f>
        <v>0</v>
      </c>
      <c r="K200" s="47">
        <f>+IFERROR(HLOOKUP(K33,'סקרי נכסים-יתרות פתיחה'!$2:$76,13,0),0)</f>
        <v>0</v>
      </c>
      <c r="L200" s="47">
        <f>+IFERROR(HLOOKUP(L33,'סקרי נכסים-יתרות פתיחה'!$2:$76,13,0),0)</f>
        <v>0</v>
      </c>
      <c r="M200" s="47">
        <f>+IFERROR(HLOOKUP(M33,'סקרי נכסים-יתרות פתיחה'!$2:$76,13,0),0)</f>
        <v>0</v>
      </c>
      <c r="N200" s="47">
        <f>+IFERROR(HLOOKUP(N33,'סקרי נכסים-יתרות פתיחה'!$2:$76,13,0),0)</f>
        <v>0</v>
      </c>
      <c r="O200" s="47">
        <f>+IFERROR(HLOOKUP(O33,'סקרי נכסים-יתרות פתיחה'!$2:$76,13,0),0)</f>
        <v>0</v>
      </c>
      <c r="P200" s="47">
        <f>+IFERROR(HLOOKUP(P33,'סקרי נכסים-יתרות פתיחה'!$2:$76,13,0),0)</f>
        <v>0</v>
      </c>
      <c r="Q200" s="47">
        <f>+IFERROR(HLOOKUP(Q33,'סקרי נכסים-יתרות פתיחה'!$2:$76,13,0),0)</f>
        <v>0</v>
      </c>
      <c r="R200" s="47">
        <f>+IFERROR(HLOOKUP(R33,'סקרי נכסים-יתרות פתיחה'!$2:$76,13,0),0)</f>
        <v>0</v>
      </c>
      <c r="S200" s="47">
        <f>+IFERROR(HLOOKUP(S33,'סקרי נכסים-יתרות פתיחה'!$2:$76,13,0),0)</f>
        <v>0</v>
      </c>
      <c r="T200" s="47">
        <f>+IFERROR(HLOOKUP(T33,'סקרי נכסים-יתרות פתיחה'!$2:$76,13,0),0)</f>
        <v>0</v>
      </c>
      <c r="U200" s="47">
        <f>+IFERROR(HLOOKUP(U33,'סקרי נכסים-יתרות פתיחה'!$2:$76,13,0),0)</f>
        <v>0</v>
      </c>
      <c r="V200" s="47">
        <f>+IFERROR(HLOOKUP(V33,'סקרי נכסים-יתרות פתיחה'!$2:$76,13,0),0)</f>
        <v>0</v>
      </c>
      <c r="W200" s="47">
        <f>+IFERROR(HLOOKUP(W33,'סקרי נכסים-יתרות פתיחה'!$2:$76,13,0),0)</f>
        <v>0</v>
      </c>
      <c r="X200" s="47">
        <f>+IFERROR(HLOOKUP(X33,'סקרי נכסים-יתרות פתיחה'!$2:$76,13,0),0)</f>
        <v>0</v>
      </c>
      <c r="Y200" s="47">
        <f>+IFERROR(HLOOKUP(Y33,'סקרי נכסים-יתרות פתיחה'!$2:$76,13,0),0)</f>
        <v>0</v>
      </c>
      <c r="Z200" s="47">
        <f>+IFERROR(HLOOKUP(Z33,'סקרי נכסים-יתרות פתיחה'!$2:$76,13,0),0)</f>
        <v>0</v>
      </c>
      <c r="AA200" s="47">
        <f>+IFERROR(HLOOKUP(AA33,'סקרי נכסים-יתרות פתיחה'!$2:$76,13,0),0)</f>
        <v>0</v>
      </c>
      <c r="AB200" s="47">
        <f>+IFERROR(HLOOKUP(AB33,'סקרי נכסים-יתרות פתיחה'!$2:$76,13,0),0)</f>
        <v>0</v>
      </c>
      <c r="AC200" s="47">
        <f>+IFERROR(HLOOKUP(AC33,'סקרי נכסים-יתרות פתיחה'!$2:$76,13,0),0)</f>
        <v>0</v>
      </c>
      <c r="AD200" s="47">
        <f>+IFERROR(HLOOKUP(AD33,'סקרי נכסים-יתרות פתיחה'!$2:$76,13,0),0)</f>
        <v>0</v>
      </c>
      <c r="AE200" s="47">
        <f>+IFERROR(HLOOKUP(AE33,'סקרי נכסים-יתרות פתיחה'!$2:$76,13,0),0)</f>
        <v>0</v>
      </c>
      <c r="AF200" s="47">
        <f>+IFERROR(HLOOKUP(AF33,'סקרי נכסים-יתרות פתיחה'!$2:$76,13,0),0)</f>
        <v>0</v>
      </c>
      <c r="AG200" s="47">
        <f>+IFERROR(HLOOKUP(AG33,'סקרי נכסים-יתרות פתיחה'!$2:$76,13,0),0)</f>
        <v>0</v>
      </c>
      <c r="AH200" s="47">
        <f>+IFERROR(HLOOKUP(AH33,'סקרי נכסים-יתרות פתיחה'!$2:$76,13,0),0)</f>
        <v>0</v>
      </c>
      <c r="AI200" s="47">
        <f>+IFERROR(HLOOKUP(AI33,'סקרי נכסים-יתרות פתיחה'!$2:$76,13,0),0)</f>
        <v>0</v>
      </c>
      <c r="AJ200" s="47">
        <f>+IFERROR(HLOOKUP(AJ33,'סקרי נכסים-יתרות פתיחה'!$2:$76,13,0),0)</f>
        <v>0</v>
      </c>
      <c r="AK200" s="47">
        <f>+IFERROR(HLOOKUP(AK33,'סקרי נכסים-יתרות פתיחה'!$2:$76,13,0),0)</f>
        <v>0</v>
      </c>
      <c r="AL200" s="47">
        <f>+IFERROR(HLOOKUP(AL33,'סקרי נכסים-יתרות פתיחה'!$2:$76,13,0),0)</f>
        <v>0</v>
      </c>
      <c r="AM200" s="47">
        <f>+IFERROR(HLOOKUP(AM33,'סקרי נכסים-יתרות פתיחה'!$2:$76,13,0),0)</f>
        <v>0</v>
      </c>
      <c r="AN200" s="47">
        <f>+IFERROR(HLOOKUP(AN33,'סקרי נכסים-יתרות פתיחה'!$2:$76,13,0),0)</f>
        <v>0</v>
      </c>
      <c r="AO200" s="47">
        <f>+IFERROR(HLOOKUP(AO33,'סקרי נכסים-יתרות פתיחה'!$2:$76,13,0),0)</f>
        <v>0</v>
      </c>
      <c r="AP200" s="47">
        <f>+IFERROR(HLOOKUP(AP33,'סקרי נכסים-יתרות פתיחה'!$2:$76,13,0),0)</f>
        <v>0</v>
      </c>
      <c r="AQ200" s="47">
        <f>+IFERROR(HLOOKUP(AQ33,'סקרי נכסים-יתרות פתיחה'!$2:$76,13,0),0)</f>
        <v>0</v>
      </c>
      <c r="AR200" s="47">
        <f>+IFERROR(HLOOKUP(AR33,'סקרי נכסים-יתרות פתיחה'!$2:$76,13,0),0)</f>
        <v>0</v>
      </c>
      <c r="AS200" s="47">
        <f>+IFERROR(HLOOKUP(AS33,'סקרי נכסים-יתרות פתיחה'!$2:$76,13,0),0)</f>
        <v>0</v>
      </c>
      <c r="AT200" s="47">
        <f>+IFERROR(HLOOKUP(AT33,'סקרי נכסים-יתרות פתיחה'!$2:$76,13,0),0)</f>
        <v>0</v>
      </c>
      <c r="AU200" s="47">
        <f>+IFERROR(HLOOKUP(AU33,'סקרי נכסים-יתרות פתיחה'!$2:$76,13,0),0)</f>
        <v>0</v>
      </c>
      <c r="AV200" s="47">
        <f>+IFERROR(HLOOKUP(AV33,'סקרי נכסים-יתרות פתיחה'!$2:$76,13,0),0)</f>
        <v>0</v>
      </c>
      <c r="AW200" s="47">
        <f>+IFERROR(HLOOKUP(AW33,'סקרי נכסים-יתרות פתיחה'!$2:$76,13,0),0)</f>
        <v>0</v>
      </c>
      <c r="AX200" s="47">
        <f>+IFERROR(HLOOKUP(AX33,'סקרי נכסים-יתרות פתיחה'!$2:$76,13,0),0)</f>
        <v>0</v>
      </c>
      <c r="AY200" s="47">
        <f>+IFERROR(HLOOKUP(AY33,'סקרי נכסים-יתרות פתיחה'!$2:$76,13,0),0)</f>
        <v>0</v>
      </c>
      <c r="AZ200" s="47">
        <f>+IFERROR(HLOOKUP(AZ33,'סקרי נכסים-יתרות פתיחה'!$2:$76,13,0),0)</f>
        <v>0</v>
      </c>
      <c r="BA200" s="47">
        <f>+IFERROR(HLOOKUP(BA33,'סקרי נכסים-יתרות פתיחה'!$2:$76,13,0),0)</f>
        <v>0</v>
      </c>
      <c r="BB200" s="47">
        <f>+IFERROR(HLOOKUP(BB33,'סקרי נכסים-יתרות פתיחה'!$2:$76,13,0),0)</f>
        <v>0</v>
      </c>
      <c r="BC200" s="47">
        <f>+IFERROR(HLOOKUP(BC33,'סקרי נכסים-יתרות פתיחה'!$2:$76,13,0),0)</f>
        <v>0</v>
      </c>
      <c r="BD200" s="47">
        <f>+IFERROR(HLOOKUP(BD33,'סקרי נכסים-יתרות פתיחה'!$2:$76,13,0),0)</f>
        <v>0</v>
      </c>
      <c r="BE200" s="47">
        <f>+IFERROR(HLOOKUP(BE33,'סקרי נכסים-יתרות פתיחה'!$2:$76,13,0),0)</f>
        <v>0</v>
      </c>
      <c r="BF200" s="47">
        <f>+IFERROR(HLOOKUP(BF33,'סקרי נכסים-יתרות פתיחה'!$2:$76,13,0),0)</f>
        <v>0</v>
      </c>
    </row>
    <row r="201" spans="1:58" x14ac:dyDescent="0.2">
      <c r="B201" s="1">
        <v>27</v>
      </c>
      <c r="C201" s="47">
        <f>+IFERROR(HLOOKUP(C34,'סקרי נכסים-יתרות פתיחה'!$2:$76,13,0),0)</f>
        <v>0</v>
      </c>
      <c r="D201" s="47">
        <f>+IFERROR(HLOOKUP(D34,'סקרי נכסים-יתרות פתיחה'!$2:$76,13,0),0)</f>
        <v>0</v>
      </c>
      <c r="E201" s="47">
        <f>+IFERROR(HLOOKUP(E34,'סקרי נכסים-יתרות פתיחה'!$2:$76,13,0),0)</f>
        <v>0</v>
      </c>
      <c r="F201" s="47">
        <f>+IFERROR(HLOOKUP(F34,'סקרי נכסים-יתרות פתיחה'!$2:$76,13,0),0)</f>
        <v>0</v>
      </c>
      <c r="G201" s="47">
        <f>+IFERROR(HLOOKUP(G34,'סקרי נכסים-יתרות פתיחה'!$2:$76,13,0),0)</f>
        <v>0</v>
      </c>
      <c r="H201" s="47">
        <f>+IFERROR(HLOOKUP(H34,'סקרי נכסים-יתרות פתיחה'!$2:$76,13,0),0)</f>
        <v>0</v>
      </c>
      <c r="I201" s="47">
        <f>+IFERROR(HLOOKUP(I34,'סקרי נכסים-יתרות פתיחה'!$2:$76,13,0),0)</f>
        <v>0</v>
      </c>
      <c r="J201" s="47">
        <f>+IFERROR(HLOOKUP(J34,'סקרי נכסים-יתרות פתיחה'!$2:$76,13,0),0)</f>
        <v>0</v>
      </c>
      <c r="K201" s="47">
        <f>+IFERROR(HLOOKUP(K34,'סקרי נכסים-יתרות פתיחה'!$2:$76,13,0),0)</f>
        <v>0</v>
      </c>
      <c r="L201" s="47">
        <f>+IFERROR(HLOOKUP(L34,'סקרי נכסים-יתרות פתיחה'!$2:$76,13,0),0)</f>
        <v>0</v>
      </c>
      <c r="M201" s="47">
        <f>+IFERROR(HLOOKUP(M34,'סקרי נכסים-יתרות פתיחה'!$2:$76,13,0),0)</f>
        <v>0</v>
      </c>
      <c r="N201" s="47">
        <f>+IFERROR(HLOOKUP(N34,'סקרי נכסים-יתרות פתיחה'!$2:$76,13,0),0)</f>
        <v>0</v>
      </c>
      <c r="O201" s="47">
        <f>+IFERROR(HLOOKUP(O34,'סקרי נכסים-יתרות פתיחה'!$2:$76,13,0),0)</f>
        <v>0</v>
      </c>
      <c r="P201" s="47">
        <f>+IFERROR(HLOOKUP(P34,'סקרי נכסים-יתרות פתיחה'!$2:$76,13,0),0)</f>
        <v>0</v>
      </c>
      <c r="Q201" s="47">
        <f>+IFERROR(HLOOKUP(Q34,'סקרי נכסים-יתרות פתיחה'!$2:$76,13,0),0)</f>
        <v>0</v>
      </c>
      <c r="R201" s="47">
        <f>+IFERROR(HLOOKUP(R34,'סקרי נכסים-יתרות פתיחה'!$2:$76,13,0),0)</f>
        <v>0</v>
      </c>
      <c r="S201" s="47">
        <f>+IFERROR(HLOOKUP(S34,'סקרי נכסים-יתרות פתיחה'!$2:$76,13,0),0)</f>
        <v>0</v>
      </c>
      <c r="T201" s="47">
        <f>+IFERROR(HLOOKUP(T34,'סקרי נכסים-יתרות פתיחה'!$2:$76,13,0),0)</f>
        <v>0</v>
      </c>
      <c r="U201" s="47">
        <f>+IFERROR(HLOOKUP(U34,'סקרי נכסים-יתרות פתיחה'!$2:$76,13,0),0)</f>
        <v>0</v>
      </c>
      <c r="V201" s="47">
        <f>+IFERROR(HLOOKUP(V34,'סקרי נכסים-יתרות פתיחה'!$2:$76,13,0),0)</f>
        <v>0</v>
      </c>
      <c r="W201" s="47">
        <f>+IFERROR(HLOOKUP(W34,'סקרי נכסים-יתרות פתיחה'!$2:$76,13,0),0)</f>
        <v>0</v>
      </c>
      <c r="X201" s="47">
        <f>+IFERROR(HLOOKUP(X34,'סקרי נכסים-יתרות פתיחה'!$2:$76,13,0),0)</f>
        <v>0</v>
      </c>
      <c r="Y201" s="47">
        <f>+IFERROR(HLOOKUP(Y34,'סקרי נכסים-יתרות פתיחה'!$2:$76,13,0),0)</f>
        <v>0</v>
      </c>
      <c r="Z201" s="47">
        <f>+IFERROR(HLOOKUP(Z34,'סקרי נכסים-יתרות פתיחה'!$2:$76,13,0),0)</f>
        <v>0</v>
      </c>
      <c r="AA201" s="47">
        <f>+IFERROR(HLOOKUP(AA34,'סקרי נכסים-יתרות פתיחה'!$2:$76,13,0),0)</f>
        <v>0</v>
      </c>
      <c r="AB201" s="47">
        <f>+IFERROR(HLOOKUP(AB34,'סקרי נכסים-יתרות פתיחה'!$2:$76,13,0),0)</f>
        <v>0</v>
      </c>
      <c r="AC201" s="47">
        <f>+IFERROR(HLOOKUP(AC34,'סקרי נכסים-יתרות פתיחה'!$2:$76,13,0),0)</f>
        <v>0</v>
      </c>
      <c r="AD201" s="47">
        <f>+IFERROR(HLOOKUP(AD34,'סקרי נכסים-יתרות פתיחה'!$2:$76,13,0),0)</f>
        <v>0</v>
      </c>
      <c r="AE201" s="47">
        <f>+IFERROR(HLOOKUP(AE34,'סקרי נכסים-יתרות פתיחה'!$2:$76,13,0),0)</f>
        <v>0</v>
      </c>
      <c r="AF201" s="47">
        <f>+IFERROR(HLOOKUP(AF34,'סקרי נכסים-יתרות פתיחה'!$2:$76,13,0),0)</f>
        <v>0</v>
      </c>
      <c r="AG201" s="47">
        <f>+IFERROR(HLOOKUP(AG34,'סקרי נכסים-יתרות פתיחה'!$2:$76,13,0),0)</f>
        <v>0</v>
      </c>
      <c r="AH201" s="47">
        <f>+IFERROR(HLOOKUP(AH34,'סקרי נכסים-יתרות פתיחה'!$2:$76,13,0),0)</f>
        <v>0</v>
      </c>
      <c r="AI201" s="47">
        <f>+IFERROR(HLOOKUP(AI34,'סקרי נכסים-יתרות פתיחה'!$2:$76,13,0),0)</f>
        <v>0</v>
      </c>
      <c r="AJ201" s="47">
        <f>+IFERROR(HLOOKUP(AJ34,'סקרי נכסים-יתרות פתיחה'!$2:$76,13,0),0)</f>
        <v>0</v>
      </c>
      <c r="AK201" s="47">
        <f>+IFERROR(HLOOKUP(AK34,'סקרי נכסים-יתרות פתיחה'!$2:$76,13,0),0)</f>
        <v>0</v>
      </c>
      <c r="AL201" s="47">
        <f>+IFERROR(HLOOKUP(AL34,'סקרי נכסים-יתרות פתיחה'!$2:$76,13,0),0)</f>
        <v>0</v>
      </c>
      <c r="AM201" s="47">
        <f>+IFERROR(HLOOKUP(AM34,'סקרי נכסים-יתרות פתיחה'!$2:$76,13,0),0)</f>
        <v>0</v>
      </c>
      <c r="AN201" s="47">
        <f>+IFERROR(HLOOKUP(AN34,'סקרי נכסים-יתרות פתיחה'!$2:$76,13,0),0)</f>
        <v>0</v>
      </c>
      <c r="AO201" s="47">
        <f>+IFERROR(HLOOKUP(AO34,'סקרי נכסים-יתרות פתיחה'!$2:$76,13,0),0)</f>
        <v>0</v>
      </c>
      <c r="AP201" s="47">
        <f>+IFERROR(HLOOKUP(AP34,'סקרי נכסים-יתרות פתיחה'!$2:$76,13,0),0)</f>
        <v>0</v>
      </c>
      <c r="AQ201" s="47">
        <f>+IFERROR(HLOOKUP(AQ34,'סקרי נכסים-יתרות פתיחה'!$2:$76,13,0),0)</f>
        <v>0</v>
      </c>
      <c r="AR201" s="47">
        <f>+IFERROR(HLOOKUP(AR34,'סקרי נכסים-יתרות פתיחה'!$2:$76,13,0),0)</f>
        <v>0</v>
      </c>
      <c r="AS201" s="47">
        <f>+IFERROR(HLOOKUP(AS34,'סקרי נכסים-יתרות פתיחה'!$2:$76,13,0),0)</f>
        <v>0</v>
      </c>
      <c r="AT201" s="47">
        <f>+IFERROR(HLOOKUP(AT34,'סקרי נכסים-יתרות פתיחה'!$2:$76,13,0),0)</f>
        <v>0</v>
      </c>
      <c r="AU201" s="47">
        <f>+IFERROR(HLOOKUP(AU34,'סקרי נכסים-יתרות פתיחה'!$2:$76,13,0),0)</f>
        <v>0</v>
      </c>
      <c r="AV201" s="47">
        <f>+IFERROR(HLOOKUP(AV34,'סקרי נכסים-יתרות פתיחה'!$2:$76,13,0),0)</f>
        <v>0</v>
      </c>
      <c r="AW201" s="47">
        <f>+IFERROR(HLOOKUP(AW34,'סקרי נכסים-יתרות פתיחה'!$2:$76,13,0),0)</f>
        <v>0</v>
      </c>
      <c r="AX201" s="47">
        <f>+IFERROR(HLOOKUP(AX34,'סקרי נכסים-יתרות פתיחה'!$2:$76,13,0),0)</f>
        <v>0</v>
      </c>
      <c r="AY201" s="47">
        <f>+IFERROR(HLOOKUP(AY34,'סקרי נכסים-יתרות פתיחה'!$2:$76,13,0),0)</f>
        <v>0</v>
      </c>
      <c r="AZ201" s="47">
        <f>+IFERROR(HLOOKUP(AZ34,'סקרי נכסים-יתרות פתיחה'!$2:$76,13,0),0)</f>
        <v>0</v>
      </c>
      <c r="BA201" s="47">
        <f>+IFERROR(HLOOKUP(BA34,'סקרי נכסים-יתרות פתיחה'!$2:$76,13,0),0)</f>
        <v>0</v>
      </c>
      <c r="BB201" s="47">
        <f>+IFERROR(HLOOKUP(BB34,'סקרי נכסים-יתרות פתיחה'!$2:$76,13,0),0)</f>
        <v>0</v>
      </c>
      <c r="BC201" s="47">
        <f>+IFERROR(HLOOKUP(BC34,'סקרי נכסים-יתרות פתיחה'!$2:$76,13,0),0)</f>
        <v>0</v>
      </c>
      <c r="BD201" s="47">
        <f>+IFERROR(HLOOKUP(BD34,'סקרי נכסים-יתרות פתיחה'!$2:$76,13,0),0)</f>
        <v>0</v>
      </c>
      <c r="BE201" s="47">
        <f>+IFERROR(HLOOKUP(BE34,'סקרי נכסים-יתרות פתיחה'!$2:$76,13,0),0)</f>
        <v>0</v>
      </c>
      <c r="BF201" s="47">
        <f>+IFERROR(HLOOKUP(BF34,'סקרי נכסים-יתרות פתיחה'!$2:$76,13,0),0)</f>
        <v>0</v>
      </c>
    </row>
    <row r="202" spans="1:58" x14ac:dyDescent="0.2">
      <c r="B202" s="1">
        <v>28</v>
      </c>
      <c r="C202" s="47">
        <f>+IFERROR(HLOOKUP(C35,'סקרי נכסים-יתרות פתיחה'!$2:$76,13,0),0)</f>
        <v>0</v>
      </c>
      <c r="D202" s="47">
        <f>+IFERROR(HLOOKUP(D35,'סקרי נכסים-יתרות פתיחה'!$2:$76,13,0),0)</f>
        <v>0</v>
      </c>
      <c r="E202" s="47">
        <f>+IFERROR(HLOOKUP(E35,'סקרי נכסים-יתרות פתיחה'!$2:$76,13,0),0)</f>
        <v>0</v>
      </c>
      <c r="F202" s="47">
        <f>+IFERROR(HLOOKUP(F35,'סקרי נכסים-יתרות פתיחה'!$2:$76,13,0),0)</f>
        <v>0</v>
      </c>
      <c r="G202" s="47">
        <f>+IFERROR(HLOOKUP(G35,'סקרי נכסים-יתרות פתיחה'!$2:$76,13,0),0)</f>
        <v>0</v>
      </c>
      <c r="H202" s="47">
        <f>+IFERROR(HLOOKUP(H35,'סקרי נכסים-יתרות פתיחה'!$2:$76,13,0),0)</f>
        <v>0</v>
      </c>
      <c r="I202" s="47">
        <f>+IFERROR(HLOOKUP(I35,'סקרי נכסים-יתרות פתיחה'!$2:$76,13,0),0)</f>
        <v>0</v>
      </c>
      <c r="J202" s="47">
        <f>+IFERROR(HLOOKUP(J35,'סקרי נכסים-יתרות פתיחה'!$2:$76,13,0),0)</f>
        <v>0</v>
      </c>
      <c r="K202" s="47">
        <f>+IFERROR(HLOOKUP(K35,'סקרי נכסים-יתרות פתיחה'!$2:$76,13,0),0)</f>
        <v>0</v>
      </c>
      <c r="L202" s="47">
        <f>+IFERROR(HLOOKUP(L35,'סקרי נכסים-יתרות פתיחה'!$2:$76,13,0),0)</f>
        <v>0</v>
      </c>
      <c r="M202" s="47">
        <f>+IFERROR(HLOOKUP(M35,'סקרי נכסים-יתרות פתיחה'!$2:$76,13,0),0)</f>
        <v>0</v>
      </c>
      <c r="N202" s="47">
        <f>+IFERROR(HLOOKUP(N35,'סקרי נכסים-יתרות פתיחה'!$2:$76,13,0),0)</f>
        <v>0</v>
      </c>
      <c r="O202" s="47">
        <f>+IFERROR(HLOOKUP(O35,'סקרי נכסים-יתרות פתיחה'!$2:$76,13,0),0)</f>
        <v>0</v>
      </c>
      <c r="P202" s="47">
        <f>+IFERROR(HLOOKUP(P35,'סקרי נכסים-יתרות פתיחה'!$2:$76,13,0),0)</f>
        <v>0</v>
      </c>
      <c r="Q202" s="47">
        <f>+IFERROR(HLOOKUP(Q35,'סקרי נכסים-יתרות פתיחה'!$2:$76,13,0),0)</f>
        <v>0</v>
      </c>
      <c r="R202" s="47">
        <f>+IFERROR(HLOOKUP(R35,'סקרי נכסים-יתרות פתיחה'!$2:$76,13,0),0)</f>
        <v>0</v>
      </c>
      <c r="S202" s="47">
        <f>+IFERROR(HLOOKUP(S35,'סקרי נכסים-יתרות פתיחה'!$2:$76,13,0),0)</f>
        <v>0</v>
      </c>
      <c r="T202" s="47">
        <f>+IFERROR(HLOOKUP(T35,'סקרי נכסים-יתרות פתיחה'!$2:$76,13,0),0)</f>
        <v>0</v>
      </c>
      <c r="U202" s="47">
        <f>+IFERROR(HLOOKUP(U35,'סקרי נכסים-יתרות פתיחה'!$2:$76,13,0),0)</f>
        <v>0</v>
      </c>
      <c r="V202" s="47">
        <f>+IFERROR(HLOOKUP(V35,'סקרי נכסים-יתרות פתיחה'!$2:$76,13,0),0)</f>
        <v>0</v>
      </c>
      <c r="W202" s="47">
        <f>+IFERROR(HLOOKUP(W35,'סקרי נכסים-יתרות פתיחה'!$2:$76,13,0),0)</f>
        <v>0</v>
      </c>
      <c r="X202" s="47">
        <f>+IFERROR(HLOOKUP(X35,'סקרי נכסים-יתרות פתיחה'!$2:$76,13,0),0)</f>
        <v>0</v>
      </c>
      <c r="Y202" s="47">
        <f>+IFERROR(HLOOKUP(Y35,'סקרי נכסים-יתרות פתיחה'!$2:$76,13,0),0)</f>
        <v>0</v>
      </c>
      <c r="Z202" s="47">
        <f>+IFERROR(HLOOKUP(Z35,'סקרי נכסים-יתרות פתיחה'!$2:$76,13,0),0)</f>
        <v>0</v>
      </c>
      <c r="AA202" s="47">
        <f>+IFERROR(HLOOKUP(AA35,'סקרי נכסים-יתרות פתיחה'!$2:$76,13,0),0)</f>
        <v>0</v>
      </c>
      <c r="AB202" s="47">
        <f>+IFERROR(HLOOKUP(AB35,'סקרי נכסים-יתרות פתיחה'!$2:$76,13,0),0)</f>
        <v>0</v>
      </c>
      <c r="AC202" s="47">
        <f>+IFERROR(HLOOKUP(AC35,'סקרי נכסים-יתרות פתיחה'!$2:$76,13,0),0)</f>
        <v>0</v>
      </c>
      <c r="AD202" s="47">
        <f>+IFERROR(HLOOKUP(AD35,'סקרי נכסים-יתרות פתיחה'!$2:$76,13,0),0)</f>
        <v>0</v>
      </c>
      <c r="AE202" s="47">
        <f>+IFERROR(HLOOKUP(AE35,'סקרי נכסים-יתרות פתיחה'!$2:$76,13,0),0)</f>
        <v>0</v>
      </c>
      <c r="AF202" s="47">
        <f>+IFERROR(HLOOKUP(AF35,'סקרי נכסים-יתרות פתיחה'!$2:$76,13,0),0)</f>
        <v>0</v>
      </c>
      <c r="AG202" s="47">
        <f>+IFERROR(HLOOKUP(AG35,'סקרי נכסים-יתרות פתיחה'!$2:$76,13,0),0)</f>
        <v>0</v>
      </c>
      <c r="AH202" s="47">
        <f>+IFERROR(HLOOKUP(AH35,'סקרי נכסים-יתרות פתיחה'!$2:$76,13,0),0)</f>
        <v>0</v>
      </c>
      <c r="AI202" s="47">
        <f>+IFERROR(HLOOKUP(AI35,'סקרי נכסים-יתרות פתיחה'!$2:$76,13,0),0)</f>
        <v>0</v>
      </c>
      <c r="AJ202" s="47">
        <f>+IFERROR(HLOOKUP(AJ35,'סקרי נכסים-יתרות פתיחה'!$2:$76,13,0),0)</f>
        <v>0</v>
      </c>
      <c r="AK202" s="47">
        <f>+IFERROR(HLOOKUP(AK35,'סקרי נכסים-יתרות פתיחה'!$2:$76,13,0),0)</f>
        <v>0</v>
      </c>
      <c r="AL202" s="47">
        <f>+IFERROR(HLOOKUP(AL35,'סקרי נכסים-יתרות פתיחה'!$2:$76,13,0),0)</f>
        <v>0</v>
      </c>
      <c r="AM202" s="47">
        <f>+IFERROR(HLOOKUP(AM35,'סקרי נכסים-יתרות פתיחה'!$2:$76,13,0),0)</f>
        <v>0</v>
      </c>
      <c r="AN202" s="47">
        <f>+IFERROR(HLOOKUP(AN35,'סקרי נכסים-יתרות פתיחה'!$2:$76,13,0),0)</f>
        <v>0</v>
      </c>
      <c r="AO202" s="47">
        <f>+IFERROR(HLOOKUP(AO35,'סקרי נכסים-יתרות פתיחה'!$2:$76,13,0),0)</f>
        <v>0</v>
      </c>
      <c r="AP202" s="47">
        <f>+IFERROR(HLOOKUP(AP35,'סקרי נכסים-יתרות פתיחה'!$2:$76,13,0),0)</f>
        <v>0</v>
      </c>
      <c r="AQ202" s="47">
        <f>+IFERROR(HLOOKUP(AQ35,'סקרי נכסים-יתרות פתיחה'!$2:$76,13,0),0)</f>
        <v>0</v>
      </c>
      <c r="AR202" s="47">
        <f>+IFERROR(HLOOKUP(AR35,'סקרי נכסים-יתרות פתיחה'!$2:$76,13,0),0)</f>
        <v>0</v>
      </c>
      <c r="AS202" s="47">
        <f>+IFERROR(HLOOKUP(AS35,'סקרי נכסים-יתרות פתיחה'!$2:$76,13,0),0)</f>
        <v>0</v>
      </c>
      <c r="AT202" s="47">
        <f>+IFERROR(HLOOKUP(AT35,'סקרי נכסים-יתרות פתיחה'!$2:$76,13,0),0)</f>
        <v>0</v>
      </c>
      <c r="AU202" s="47">
        <f>+IFERROR(HLOOKUP(AU35,'סקרי נכסים-יתרות פתיחה'!$2:$76,13,0),0)</f>
        <v>0</v>
      </c>
      <c r="AV202" s="47">
        <f>+IFERROR(HLOOKUP(AV35,'סקרי נכסים-יתרות פתיחה'!$2:$76,13,0),0)</f>
        <v>0</v>
      </c>
      <c r="AW202" s="47">
        <f>+IFERROR(HLOOKUP(AW35,'סקרי נכסים-יתרות פתיחה'!$2:$76,13,0),0)</f>
        <v>0</v>
      </c>
      <c r="AX202" s="47">
        <f>+IFERROR(HLOOKUP(AX35,'סקרי נכסים-יתרות פתיחה'!$2:$76,13,0),0)</f>
        <v>0</v>
      </c>
      <c r="AY202" s="47">
        <f>+IFERROR(HLOOKUP(AY35,'סקרי נכסים-יתרות פתיחה'!$2:$76,13,0),0)</f>
        <v>0</v>
      </c>
      <c r="AZ202" s="47">
        <f>+IFERROR(HLOOKUP(AZ35,'סקרי נכסים-יתרות פתיחה'!$2:$76,13,0),0)</f>
        <v>0</v>
      </c>
      <c r="BA202" s="47">
        <f>+IFERROR(HLOOKUP(BA35,'סקרי נכסים-יתרות פתיחה'!$2:$76,13,0),0)</f>
        <v>0</v>
      </c>
      <c r="BB202" s="47">
        <f>+IFERROR(HLOOKUP(BB35,'סקרי נכסים-יתרות פתיחה'!$2:$76,13,0),0)</f>
        <v>0</v>
      </c>
      <c r="BC202" s="47">
        <f>+IFERROR(HLOOKUP(BC35,'סקרי נכסים-יתרות פתיחה'!$2:$76,13,0),0)</f>
        <v>0</v>
      </c>
      <c r="BD202" s="47">
        <f>+IFERROR(HLOOKUP(BD35,'סקרי נכסים-יתרות פתיחה'!$2:$76,13,0),0)</f>
        <v>0</v>
      </c>
      <c r="BE202" s="47">
        <f>+IFERROR(HLOOKUP(BE35,'סקרי נכסים-יתרות פתיחה'!$2:$76,13,0),0)</f>
        <v>0</v>
      </c>
      <c r="BF202" s="47">
        <f>+IFERROR(HLOOKUP(BF35,'סקרי נכסים-יתרות פתיחה'!$2:$76,13,0),0)</f>
        <v>0</v>
      </c>
    </row>
    <row r="203" spans="1:58" x14ac:dyDescent="0.2">
      <c r="B203" s="1">
        <v>29</v>
      </c>
      <c r="C203" s="47">
        <f>+IFERROR(HLOOKUP(C36,'סקרי נכסים-יתרות פתיחה'!$2:$76,13,0),0)</f>
        <v>0</v>
      </c>
      <c r="D203" s="47">
        <f>+IFERROR(HLOOKUP(D36,'סקרי נכסים-יתרות פתיחה'!$2:$76,13,0),0)</f>
        <v>0</v>
      </c>
      <c r="E203" s="47">
        <f>+IFERROR(HLOOKUP(E36,'סקרי נכסים-יתרות פתיחה'!$2:$76,13,0),0)</f>
        <v>0</v>
      </c>
      <c r="F203" s="47">
        <f>+IFERROR(HLOOKUP(F36,'סקרי נכסים-יתרות פתיחה'!$2:$76,13,0),0)</f>
        <v>0</v>
      </c>
      <c r="G203" s="47">
        <f>+IFERROR(HLOOKUP(G36,'סקרי נכסים-יתרות פתיחה'!$2:$76,13,0),0)</f>
        <v>0</v>
      </c>
      <c r="H203" s="47">
        <f>+IFERROR(HLOOKUP(H36,'סקרי נכסים-יתרות פתיחה'!$2:$76,13,0),0)</f>
        <v>0</v>
      </c>
      <c r="I203" s="47">
        <f>+IFERROR(HLOOKUP(I36,'סקרי נכסים-יתרות פתיחה'!$2:$76,13,0),0)</f>
        <v>0</v>
      </c>
      <c r="J203" s="47">
        <f>+IFERROR(HLOOKUP(J36,'סקרי נכסים-יתרות פתיחה'!$2:$76,13,0),0)</f>
        <v>0</v>
      </c>
      <c r="K203" s="47">
        <f>+IFERROR(HLOOKUP(K36,'סקרי נכסים-יתרות פתיחה'!$2:$76,13,0),0)</f>
        <v>0</v>
      </c>
      <c r="L203" s="47">
        <f>+IFERROR(HLOOKUP(L36,'סקרי נכסים-יתרות פתיחה'!$2:$76,13,0),0)</f>
        <v>0</v>
      </c>
      <c r="M203" s="47">
        <f>+IFERROR(HLOOKUP(M36,'סקרי נכסים-יתרות פתיחה'!$2:$76,13,0),0)</f>
        <v>0</v>
      </c>
      <c r="N203" s="47">
        <f>+IFERROR(HLOOKUP(N36,'סקרי נכסים-יתרות פתיחה'!$2:$76,13,0),0)</f>
        <v>0</v>
      </c>
      <c r="O203" s="47">
        <f>+IFERROR(HLOOKUP(O36,'סקרי נכסים-יתרות פתיחה'!$2:$76,13,0),0)</f>
        <v>0</v>
      </c>
      <c r="P203" s="47">
        <f>+IFERROR(HLOOKUP(P36,'סקרי נכסים-יתרות פתיחה'!$2:$76,13,0),0)</f>
        <v>0</v>
      </c>
      <c r="Q203" s="47">
        <f>+IFERROR(HLOOKUP(Q36,'סקרי נכסים-יתרות פתיחה'!$2:$76,13,0),0)</f>
        <v>0</v>
      </c>
      <c r="R203" s="47">
        <f>+IFERROR(HLOOKUP(R36,'סקרי נכסים-יתרות פתיחה'!$2:$76,13,0),0)</f>
        <v>0</v>
      </c>
      <c r="S203" s="47">
        <f>+IFERROR(HLOOKUP(S36,'סקרי נכסים-יתרות פתיחה'!$2:$76,13,0),0)</f>
        <v>0</v>
      </c>
      <c r="T203" s="47">
        <f>+IFERROR(HLOOKUP(T36,'סקרי נכסים-יתרות פתיחה'!$2:$76,13,0),0)</f>
        <v>0</v>
      </c>
      <c r="U203" s="47">
        <f>+IFERROR(HLOOKUP(U36,'סקרי נכסים-יתרות פתיחה'!$2:$76,13,0),0)</f>
        <v>0</v>
      </c>
      <c r="V203" s="47">
        <f>+IFERROR(HLOOKUP(V36,'סקרי נכסים-יתרות פתיחה'!$2:$76,13,0),0)</f>
        <v>0</v>
      </c>
      <c r="W203" s="47">
        <f>+IFERROR(HLOOKUP(W36,'סקרי נכסים-יתרות פתיחה'!$2:$76,13,0),0)</f>
        <v>0</v>
      </c>
      <c r="X203" s="47">
        <f>+IFERROR(HLOOKUP(X36,'סקרי נכסים-יתרות פתיחה'!$2:$76,13,0),0)</f>
        <v>0</v>
      </c>
      <c r="Y203" s="47">
        <f>+IFERROR(HLOOKUP(Y36,'סקרי נכסים-יתרות פתיחה'!$2:$76,13,0),0)</f>
        <v>0</v>
      </c>
      <c r="Z203" s="47">
        <f>+IFERROR(HLOOKUP(Z36,'סקרי נכסים-יתרות פתיחה'!$2:$76,13,0),0)</f>
        <v>0</v>
      </c>
      <c r="AA203" s="47">
        <f>+IFERROR(HLOOKUP(AA36,'סקרי נכסים-יתרות פתיחה'!$2:$76,13,0),0)</f>
        <v>0</v>
      </c>
      <c r="AB203" s="47">
        <f>+IFERROR(HLOOKUP(AB36,'סקרי נכסים-יתרות פתיחה'!$2:$76,13,0),0)</f>
        <v>0</v>
      </c>
      <c r="AC203" s="47">
        <f>+IFERROR(HLOOKUP(AC36,'סקרי נכסים-יתרות פתיחה'!$2:$76,13,0),0)</f>
        <v>0</v>
      </c>
      <c r="AD203" s="47">
        <f>+IFERROR(HLOOKUP(AD36,'סקרי נכסים-יתרות פתיחה'!$2:$76,13,0),0)</f>
        <v>0</v>
      </c>
      <c r="AE203" s="47">
        <f>+IFERROR(HLOOKUP(AE36,'סקרי נכסים-יתרות פתיחה'!$2:$76,13,0),0)</f>
        <v>0</v>
      </c>
      <c r="AF203" s="47">
        <f>+IFERROR(HLOOKUP(AF36,'סקרי נכסים-יתרות פתיחה'!$2:$76,13,0),0)</f>
        <v>0</v>
      </c>
      <c r="AG203" s="47">
        <f>+IFERROR(HLOOKUP(AG36,'סקרי נכסים-יתרות פתיחה'!$2:$76,13,0),0)</f>
        <v>0</v>
      </c>
      <c r="AH203" s="47">
        <f>+IFERROR(HLOOKUP(AH36,'סקרי נכסים-יתרות פתיחה'!$2:$76,13,0),0)</f>
        <v>0</v>
      </c>
      <c r="AI203" s="47">
        <f>+IFERROR(HLOOKUP(AI36,'סקרי נכסים-יתרות פתיחה'!$2:$76,13,0),0)</f>
        <v>0</v>
      </c>
      <c r="AJ203" s="47">
        <f>+IFERROR(HLOOKUP(AJ36,'סקרי נכסים-יתרות פתיחה'!$2:$76,13,0),0)</f>
        <v>0</v>
      </c>
      <c r="AK203" s="47">
        <f>+IFERROR(HLOOKUP(AK36,'סקרי נכסים-יתרות פתיחה'!$2:$76,13,0),0)</f>
        <v>0</v>
      </c>
      <c r="AL203" s="47">
        <f>+IFERROR(HLOOKUP(AL36,'סקרי נכסים-יתרות פתיחה'!$2:$76,13,0),0)</f>
        <v>0</v>
      </c>
      <c r="AM203" s="47">
        <f>+IFERROR(HLOOKUP(AM36,'סקרי נכסים-יתרות פתיחה'!$2:$76,13,0),0)</f>
        <v>0</v>
      </c>
      <c r="AN203" s="47">
        <f>+IFERROR(HLOOKUP(AN36,'סקרי נכסים-יתרות פתיחה'!$2:$76,13,0),0)</f>
        <v>0</v>
      </c>
      <c r="AO203" s="47">
        <f>+IFERROR(HLOOKUP(AO36,'סקרי נכסים-יתרות פתיחה'!$2:$76,13,0),0)</f>
        <v>0</v>
      </c>
      <c r="AP203" s="47">
        <f>+IFERROR(HLOOKUP(AP36,'סקרי נכסים-יתרות פתיחה'!$2:$76,13,0),0)</f>
        <v>0</v>
      </c>
      <c r="AQ203" s="47">
        <f>+IFERROR(HLOOKUP(AQ36,'סקרי נכסים-יתרות פתיחה'!$2:$76,13,0),0)</f>
        <v>0</v>
      </c>
      <c r="AR203" s="47">
        <f>+IFERROR(HLOOKUP(AR36,'סקרי נכסים-יתרות פתיחה'!$2:$76,13,0),0)</f>
        <v>0</v>
      </c>
      <c r="AS203" s="47">
        <f>+IFERROR(HLOOKUP(AS36,'סקרי נכסים-יתרות פתיחה'!$2:$76,13,0),0)</f>
        <v>0</v>
      </c>
      <c r="AT203" s="47">
        <f>+IFERROR(HLOOKUP(AT36,'סקרי נכסים-יתרות פתיחה'!$2:$76,13,0),0)</f>
        <v>0</v>
      </c>
      <c r="AU203" s="47">
        <f>+IFERROR(HLOOKUP(AU36,'סקרי נכסים-יתרות פתיחה'!$2:$76,13,0),0)</f>
        <v>0</v>
      </c>
      <c r="AV203" s="47">
        <f>+IFERROR(HLOOKUP(AV36,'סקרי נכסים-יתרות פתיחה'!$2:$76,13,0),0)</f>
        <v>0</v>
      </c>
      <c r="AW203" s="47">
        <f>+IFERROR(HLOOKUP(AW36,'סקרי נכסים-יתרות פתיחה'!$2:$76,13,0),0)</f>
        <v>0</v>
      </c>
      <c r="AX203" s="47">
        <f>+IFERROR(HLOOKUP(AX36,'סקרי נכסים-יתרות פתיחה'!$2:$76,13,0),0)</f>
        <v>0</v>
      </c>
      <c r="AY203" s="47">
        <f>+IFERROR(HLOOKUP(AY36,'סקרי נכסים-יתרות פתיחה'!$2:$76,13,0),0)</f>
        <v>0</v>
      </c>
      <c r="AZ203" s="47">
        <f>+IFERROR(HLOOKUP(AZ36,'סקרי נכסים-יתרות פתיחה'!$2:$76,13,0),0)</f>
        <v>0</v>
      </c>
      <c r="BA203" s="47">
        <f>+IFERROR(HLOOKUP(BA36,'סקרי נכסים-יתרות פתיחה'!$2:$76,13,0),0)</f>
        <v>0</v>
      </c>
      <c r="BB203" s="47">
        <f>+IFERROR(HLOOKUP(BB36,'סקרי נכסים-יתרות פתיחה'!$2:$76,13,0),0)</f>
        <v>0</v>
      </c>
      <c r="BC203" s="47">
        <f>+IFERROR(HLOOKUP(BC36,'סקרי נכסים-יתרות פתיחה'!$2:$76,13,0),0)</f>
        <v>0</v>
      </c>
      <c r="BD203" s="47">
        <f>+IFERROR(HLOOKUP(BD36,'סקרי נכסים-יתרות פתיחה'!$2:$76,13,0),0)</f>
        <v>0</v>
      </c>
      <c r="BE203" s="47">
        <f>+IFERROR(HLOOKUP(BE36,'סקרי נכסים-יתרות פתיחה'!$2:$76,13,0),0)</f>
        <v>0</v>
      </c>
      <c r="BF203" s="47">
        <f>+IFERROR(HLOOKUP(BF36,'סקרי נכסים-יתרות פתיחה'!$2:$76,13,0),0)</f>
        <v>0</v>
      </c>
    </row>
    <row r="204" spans="1:58" x14ac:dyDescent="0.2">
      <c r="B204" s="1">
        <v>30</v>
      </c>
      <c r="C204" s="47">
        <f>+IFERROR(HLOOKUP(C37,'סקרי נכסים-יתרות פתיחה'!$2:$76,13,0),0)</f>
        <v>0</v>
      </c>
      <c r="D204" s="47">
        <f>+IFERROR(HLOOKUP(D37,'סקרי נכסים-יתרות פתיחה'!$2:$76,13,0),0)</f>
        <v>0</v>
      </c>
      <c r="E204" s="47">
        <f>+IFERROR(HLOOKUP(E37,'סקרי נכסים-יתרות פתיחה'!$2:$76,13,0),0)</f>
        <v>0</v>
      </c>
      <c r="F204" s="47">
        <f>+IFERROR(HLOOKUP(F37,'סקרי נכסים-יתרות פתיחה'!$2:$76,13,0),0)</f>
        <v>0</v>
      </c>
      <c r="G204" s="47">
        <f>+IFERROR(HLOOKUP(G37,'סקרי נכסים-יתרות פתיחה'!$2:$76,13,0),0)</f>
        <v>0</v>
      </c>
      <c r="H204" s="47">
        <f>+IFERROR(HLOOKUP(H37,'סקרי נכסים-יתרות פתיחה'!$2:$76,13,0),0)</f>
        <v>0</v>
      </c>
      <c r="I204" s="47">
        <f>+IFERROR(HLOOKUP(I37,'סקרי נכסים-יתרות פתיחה'!$2:$76,13,0),0)</f>
        <v>0</v>
      </c>
      <c r="J204" s="47">
        <f>+IFERROR(HLOOKUP(J37,'סקרי נכסים-יתרות פתיחה'!$2:$76,13,0),0)</f>
        <v>0</v>
      </c>
      <c r="K204" s="47">
        <f>+IFERROR(HLOOKUP(K37,'סקרי נכסים-יתרות פתיחה'!$2:$76,13,0),0)</f>
        <v>0</v>
      </c>
      <c r="L204" s="47">
        <f>+IFERROR(HLOOKUP(L37,'סקרי נכסים-יתרות פתיחה'!$2:$76,13,0),0)</f>
        <v>0</v>
      </c>
      <c r="M204" s="47">
        <f>+IFERROR(HLOOKUP(M37,'סקרי נכסים-יתרות פתיחה'!$2:$76,13,0),0)</f>
        <v>0</v>
      </c>
      <c r="N204" s="47">
        <f>+IFERROR(HLOOKUP(N37,'סקרי נכסים-יתרות פתיחה'!$2:$76,13,0),0)</f>
        <v>0</v>
      </c>
      <c r="O204" s="47">
        <f>+IFERROR(HLOOKUP(O37,'סקרי נכסים-יתרות פתיחה'!$2:$76,13,0),0)</f>
        <v>0</v>
      </c>
      <c r="P204" s="47">
        <f>+IFERROR(HLOOKUP(P37,'סקרי נכסים-יתרות פתיחה'!$2:$76,13,0),0)</f>
        <v>0</v>
      </c>
      <c r="Q204" s="47">
        <f>+IFERROR(HLOOKUP(Q37,'סקרי נכסים-יתרות פתיחה'!$2:$76,13,0),0)</f>
        <v>0</v>
      </c>
      <c r="R204" s="47">
        <f>+IFERROR(HLOOKUP(R37,'סקרי נכסים-יתרות פתיחה'!$2:$76,13,0),0)</f>
        <v>0</v>
      </c>
      <c r="S204" s="47">
        <f>+IFERROR(HLOOKUP(S37,'סקרי נכסים-יתרות פתיחה'!$2:$76,13,0),0)</f>
        <v>0</v>
      </c>
      <c r="T204" s="47">
        <f>+IFERROR(HLOOKUP(T37,'סקרי נכסים-יתרות פתיחה'!$2:$76,13,0),0)</f>
        <v>0</v>
      </c>
      <c r="U204" s="47">
        <f>+IFERROR(HLOOKUP(U37,'סקרי נכסים-יתרות פתיחה'!$2:$76,13,0),0)</f>
        <v>0</v>
      </c>
      <c r="V204" s="47">
        <f>+IFERROR(HLOOKUP(V37,'סקרי נכסים-יתרות פתיחה'!$2:$76,13,0),0)</f>
        <v>0</v>
      </c>
      <c r="W204" s="47">
        <f>+IFERROR(HLOOKUP(W37,'סקרי נכסים-יתרות פתיחה'!$2:$76,13,0),0)</f>
        <v>0</v>
      </c>
      <c r="X204" s="47">
        <f>+IFERROR(HLOOKUP(X37,'סקרי נכסים-יתרות פתיחה'!$2:$76,13,0),0)</f>
        <v>0</v>
      </c>
      <c r="Y204" s="47">
        <f>+IFERROR(HLOOKUP(Y37,'סקרי נכסים-יתרות פתיחה'!$2:$76,13,0),0)</f>
        <v>0</v>
      </c>
      <c r="Z204" s="47">
        <f>+IFERROR(HLOOKUP(Z37,'סקרי נכסים-יתרות פתיחה'!$2:$76,13,0),0)</f>
        <v>0</v>
      </c>
      <c r="AA204" s="47">
        <f>+IFERROR(HLOOKUP(AA37,'סקרי נכסים-יתרות פתיחה'!$2:$76,13,0),0)</f>
        <v>0</v>
      </c>
      <c r="AB204" s="47">
        <f>+IFERROR(HLOOKUP(AB37,'סקרי נכסים-יתרות פתיחה'!$2:$76,13,0),0)</f>
        <v>0</v>
      </c>
      <c r="AC204" s="47">
        <f>+IFERROR(HLOOKUP(AC37,'סקרי נכסים-יתרות פתיחה'!$2:$76,13,0),0)</f>
        <v>0</v>
      </c>
      <c r="AD204" s="47">
        <f>+IFERROR(HLOOKUP(AD37,'סקרי נכסים-יתרות פתיחה'!$2:$76,13,0),0)</f>
        <v>0</v>
      </c>
      <c r="AE204" s="47">
        <f>+IFERROR(HLOOKUP(AE37,'סקרי נכסים-יתרות פתיחה'!$2:$76,13,0),0)</f>
        <v>0</v>
      </c>
      <c r="AF204" s="47">
        <f>+IFERROR(HLOOKUP(AF37,'סקרי נכסים-יתרות פתיחה'!$2:$76,13,0),0)</f>
        <v>0</v>
      </c>
      <c r="AG204" s="47">
        <f>+IFERROR(HLOOKUP(AG37,'סקרי נכסים-יתרות פתיחה'!$2:$76,13,0),0)</f>
        <v>0</v>
      </c>
      <c r="AH204" s="47">
        <f>+IFERROR(HLOOKUP(AH37,'סקרי נכסים-יתרות פתיחה'!$2:$76,13,0),0)</f>
        <v>0</v>
      </c>
      <c r="AI204" s="47">
        <f>+IFERROR(HLOOKUP(AI37,'סקרי נכסים-יתרות פתיחה'!$2:$76,13,0),0)</f>
        <v>0</v>
      </c>
      <c r="AJ204" s="47">
        <f>+IFERROR(HLOOKUP(AJ37,'סקרי נכסים-יתרות פתיחה'!$2:$76,13,0),0)</f>
        <v>0</v>
      </c>
      <c r="AK204" s="47">
        <f>+IFERROR(HLOOKUP(AK37,'סקרי נכסים-יתרות פתיחה'!$2:$76,13,0),0)</f>
        <v>0</v>
      </c>
      <c r="AL204" s="47">
        <f>+IFERROR(HLOOKUP(AL37,'סקרי נכסים-יתרות פתיחה'!$2:$76,13,0),0)</f>
        <v>0</v>
      </c>
      <c r="AM204" s="47">
        <f>+IFERROR(HLOOKUP(AM37,'סקרי נכסים-יתרות פתיחה'!$2:$76,13,0),0)</f>
        <v>0</v>
      </c>
      <c r="AN204" s="47">
        <f>+IFERROR(HLOOKUP(AN37,'סקרי נכסים-יתרות פתיחה'!$2:$76,13,0),0)</f>
        <v>0</v>
      </c>
      <c r="AO204" s="47">
        <f>+IFERROR(HLOOKUP(AO37,'סקרי נכסים-יתרות פתיחה'!$2:$76,13,0),0)</f>
        <v>0</v>
      </c>
      <c r="AP204" s="47">
        <f>+IFERROR(HLOOKUP(AP37,'סקרי נכסים-יתרות פתיחה'!$2:$76,13,0),0)</f>
        <v>0</v>
      </c>
      <c r="AQ204" s="47">
        <f>+IFERROR(HLOOKUP(AQ37,'סקרי נכסים-יתרות פתיחה'!$2:$76,13,0),0)</f>
        <v>0</v>
      </c>
      <c r="AR204" s="47">
        <f>+IFERROR(HLOOKUP(AR37,'סקרי נכסים-יתרות פתיחה'!$2:$76,13,0),0)</f>
        <v>0</v>
      </c>
      <c r="AS204" s="47">
        <f>+IFERROR(HLOOKUP(AS37,'סקרי נכסים-יתרות פתיחה'!$2:$76,13,0),0)</f>
        <v>0</v>
      </c>
      <c r="AT204" s="47">
        <f>+IFERROR(HLOOKUP(AT37,'סקרי נכסים-יתרות פתיחה'!$2:$76,13,0),0)</f>
        <v>0</v>
      </c>
      <c r="AU204" s="47">
        <f>+IFERROR(HLOOKUP(AU37,'סקרי נכסים-יתרות פתיחה'!$2:$76,13,0),0)</f>
        <v>0</v>
      </c>
      <c r="AV204" s="47">
        <f>+IFERROR(HLOOKUP(AV37,'סקרי נכסים-יתרות פתיחה'!$2:$76,13,0),0)</f>
        <v>0</v>
      </c>
      <c r="AW204" s="47">
        <f>+IFERROR(HLOOKUP(AW37,'סקרי נכסים-יתרות פתיחה'!$2:$76,13,0),0)</f>
        <v>0</v>
      </c>
      <c r="AX204" s="47">
        <f>+IFERROR(HLOOKUP(AX37,'סקרי נכסים-יתרות פתיחה'!$2:$76,13,0),0)</f>
        <v>0</v>
      </c>
      <c r="AY204" s="47">
        <f>+IFERROR(HLOOKUP(AY37,'סקרי נכסים-יתרות פתיחה'!$2:$76,13,0),0)</f>
        <v>0</v>
      </c>
      <c r="AZ204" s="47">
        <f>+IFERROR(HLOOKUP(AZ37,'סקרי נכסים-יתרות פתיחה'!$2:$76,13,0),0)</f>
        <v>0</v>
      </c>
      <c r="BA204" s="47">
        <f>+IFERROR(HLOOKUP(BA37,'סקרי נכסים-יתרות פתיחה'!$2:$76,13,0),0)</f>
        <v>0</v>
      </c>
      <c r="BB204" s="47">
        <f>+IFERROR(HLOOKUP(BB37,'סקרי נכסים-יתרות פתיחה'!$2:$76,13,0),0)</f>
        <v>0</v>
      </c>
      <c r="BC204" s="47">
        <f>+IFERROR(HLOOKUP(BC37,'סקרי נכסים-יתרות פתיחה'!$2:$76,13,0),0)</f>
        <v>0</v>
      </c>
      <c r="BD204" s="47">
        <f>+IFERROR(HLOOKUP(BD37,'סקרי נכסים-יתרות פתיחה'!$2:$76,13,0),0)</f>
        <v>0</v>
      </c>
      <c r="BE204" s="47">
        <f>+IFERROR(HLOOKUP(BE37,'סקרי נכסים-יתרות פתיחה'!$2:$76,13,0),0)</f>
        <v>0</v>
      </c>
      <c r="BF204" s="47">
        <f>+IFERROR(HLOOKUP(BF37,'סקרי נכסים-יתרות פתיחה'!$2:$76,13,0),0)</f>
        <v>0</v>
      </c>
    </row>
    <row r="205" spans="1:58" x14ac:dyDescent="0.2">
      <c r="C205" s="47"/>
      <c r="D205" s="47"/>
      <c r="E205" s="47"/>
      <c r="F205" s="47"/>
      <c r="G205" s="47"/>
      <c r="H205" s="47"/>
      <c r="I205" s="47"/>
      <c r="J205" s="47"/>
      <c r="K205" s="47"/>
      <c r="L205" s="47"/>
      <c r="M205" s="47"/>
      <c r="N205" s="47"/>
      <c r="O205" s="47"/>
      <c r="P205" s="47"/>
      <c r="Q205" s="5"/>
      <c r="R205" s="47"/>
      <c r="S205" s="5"/>
      <c r="T205" s="47"/>
      <c r="U205" s="5"/>
      <c r="V205" s="47"/>
      <c r="W205" s="47"/>
      <c r="X205" s="47"/>
      <c r="Y205" s="5"/>
      <c r="Z205" s="47"/>
      <c r="AA205" s="47"/>
      <c r="AB205" s="47"/>
      <c r="AC205" s="5"/>
      <c r="AD205" s="5"/>
      <c r="AE205" s="5"/>
      <c r="AF205" s="5"/>
      <c r="AG205" s="47"/>
      <c r="AH205" s="5"/>
      <c r="AI205" s="47"/>
      <c r="AJ205" s="5"/>
      <c r="AK205" s="47"/>
      <c r="AL205" s="47"/>
      <c r="AM205" s="47"/>
      <c r="AN205" s="5"/>
      <c r="AO205" s="5"/>
      <c r="AP205" s="5"/>
      <c r="AQ205" s="5"/>
      <c r="AR205" s="5"/>
      <c r="AS205" s="47"/>
      <c r="AT205" s="47"/>
      <c r="AU205" s="5"/>
      <c r="AV205" s="5"/>
      <c r="AW205" s="47"/>
      <c r="AX205" s="47"/>
      <c r="AY205" s="47"/>
      <c r="AZ205" s="5"/>
      <c r="BA205" s="47"/>
      <c r="BB205" s="5"/>
      <c r="BC205" s="5"/>
      <c r="BD205" s="47"/>
      <c r="BE205" s="47"/>
      <c r="BF205" s="47"/>
    </row>
    <row r="206" spans="1:58" x14ac:dyDescent="0.2">
      <c r="A206" s="1" t="s">
        <v>164</v>
      </c>
      <c r="C206" s="50">
        <f>SUM(C175:C202)/1000</f>
        <v>26132.474999999999</v>
      </c>
      <c r="D206" s="50">
        <f>SUM(D175:D202)/1000</f>
        <v>10172.431</v>
      </c>
      <c r="E206" s="50">
        <f t="shared" ref="E206:BE206" si="6">SUM(E175:E202)/1000</f>
        <v>16885</v>
      </c>
      <c r="F206" s="50">
        <f t="shared" si="6"/>
        <v>0</v>
      </c>
      <c r="G206" s="50">
        <f t="shared" si="6"/>
        <v>15517.846</v>
      </c>
      <c r="H206" s="50">
        <f t="shared" si="6"/>
        <v>183331.80300000001</v>
      </c>
      <c r="I206" s="50">
        <f t="shared" si="6"/>
        <v>24083.142</v>
      </c>
      <c r="J206" s="50">
        <f t="shared" si="6"/>
        <v>17756.685000000001</v>
      </c>
      <c r="K206" s="50">
        <f t="shared" si="6"/>
        <v>31785.965</v>
      </c>
      <c r="L206" s="50">
        <f t="shared" si="6"/>
        <v>670.64700000000005</v>
      </c>
      <c r="M206" s="50">
        <f t="shared" si="6"/>
        <v>49855</v>
      </c>
      <c r="N206" s="50">
        <f t="shared" si="6"/>
        <v>42698.936999999998</v>
      </c>
      <c r="O206" s="50">
        <f t="shared" si="6"/>
        <v>62353.892999999996</v>
      </c>
      <c r="P206" s="50">
        <f t="shared" si="6"/>
        <v>13539.29</v>
      </c>
      <c r="Q206" s="50">
        <f t="shared" si="6"/>
        <v>14179.218000000001</v>
      </c>
      <c r="R206" s="50">
        <f t="shared" si="6"/>
        <v>1999.348</v>
      </c>
      <c r="S206" s="50">
        <f t="shared" si="6"/>
        <v>11086.181</v>
      </c>
      <c r="T206" s="50">
        <f t="shared" si="6"/>
        <v>18840.456999999999</v>
      </c>
      <c r="U206" s="50">
        <f t="shared" si="6"/>
        <v>5569.509</v>
      </c>
      <c r="V206" s="50">
        <f t="shared" si="6"/>
        <v>2689.8090000000002</v>
      </c>
      <c r="W206" s="50">
        <f t="shared" si="6"/>
        <v>6137.8320000000003</v>
      </c>
      <c r="X206" s="50">
        <f t="shared" si="6"/>
        <v>10085.833000000001</v>
      </c>
      <c r="Y206" s="50">
        <f t="shared" si="6"/>
        <v>9121.2029999999995</v>
      </c>
      <c r="Z206" s="50">
        <f t="shared" si="6"/>
        <v>8509.6880000000001</v>
      </c>
      <c r="AA206" s="50">
        <f t="shared" si="6"/>
        <v>0</v>
      </c>
      <c r="AB206" s="50">
        <f t="shared" si="6"/>
        <v>12980.66</v>
      </c>
      <c r="AC206" s="50">
        <f t="shared" si="6"/>
        <v>7224.95</v>
      </c>
      <c r="AD206" s="50">
        <f t="shared" si="6"/>
        <v>19136</v>
      </c>
      <c r="AE206" s="50">
        <f t="shared" si="6"/>
        <v>74480</v>
      </c>
      <c r="AF206" s="50">
        <f t="shared" si="6"/>
        <v>8788.7669999999998</v>
      </c>
      <c r="AG206" s="50">
        <f t="shared" si="6"/>
        <v>16834.659</v>
      </c>
      <c r="AH206" s="50">
        <f t="shared" si="6"/>
        <v>4058.7759999999998</v>
      </c>
      <c r="AI206" s="50">
        <f t="shared" si="6"/>
        <v>3789.81</v>
      </c>
      <c r="AJ206" s="50">
        <f t="shared" si="6"/>
        <v>7694.1639999999998</v>
      </c>
      <c r="AK206" s="50">
        <f t="shared" si="6"/>
        <v>7288.5680000000002</v>
      </c>
      <c r="AL206" s="50">
        <f t="shared" si="6"/>
        <v>132397</v>
      </c>
      <c r="AM206" s="50">
        <f t="shared" si="6"/>
        <v>7447.7290000000003</v>
      </c>
      <c r="AN206" s="50">
        <f t="shared" si="6"/>
        <v>9236.1610000000001</v>
      </c>
      <c r="AO206" s="50">
        <f t="shared" si="6"/>
        <v>16492.634999999998</v>
      </c>
      <c r="AP206" s="50">
        <f t="shared" si="6"/>
        <v>9000</v>
      </c>
      <c r="AQ206" s="50">
        <f t="shared" si="6"/>
        <v>0</v>
      </c>
      <c r="AR206" s="50">
        <f t="shared" si="6"/>
        <v>5063.335</v>
      </c>
      <c r="AS206" s="50">
        <f t="shared" si="6"/>
        <v>8469.7909999999993</v>
      </c>
      <c r="AT206" s="50">
        <f t="shared" si="6"/>
        <v>8248.2649999999994</v>
      </c>
      <c r="AU206" s="50">
        <f t="shared" si="6"/>
        <v>0</v>
      </c>
      <c r="AV206" s="50">
        <f t="shared" si="6"/>
        <v>36753.584000000003</v>
      </c>
      <c r="AW206" s="50">
        <f t="shared" si="6"/>
        <v>13124.655000000001</v>
      </c>
      <c r="AX206" s="50">
        <f t="shared" si="6"/>
        <v>35.124000000000002</v>
      </c>
      <c r="AY206" s="50">
        <f t="shared" si="6"/>
        <v>7233.38</v>
      </c>
      <c r="AZ206" s="50">
        <f t="shared" si="6"/>
        <v>7151.5159999999996</v>
      </c>
      <c r="BA206" s="50">
        <f t="shared" si="6"/>
        <v>25538.787</v>
      </c>
      <c r="BB206" s="50">
        <f t="shared" si="6"/>
        <v>7377.9719999999998</v>
      </c>
      <c r="BC206" s="50">
        <f t="shared" si="6"/>
        <v>4136.0529999999999</v>
      </c>
      <c r="BD206" s="50">
        <f t="shared" si="6"/>
        <v>2472</v>
      </c>
      <c r="BE206" s="50">
        <f t="shared" si="6"/>
        <v>2772</v>
      </c>
      <c r="BF206" s="50">
        <f>SUM(BF175:BF202)/1000</f>
        <v>6898.5069999999996</v>
      </c>
    </row>
    <row r="207" spans="1:58" x14ac:dyDescent="0.2">
      <c r="A207" s="78"/>
    </row>
    <row r="208" spans="1:58" x14ac:dyDescent="0.2">
      <c r="C208" s="47"/>
      <c r="D208" s="47"/>
      <c r="E208" s="47"/>
      <c r="F208" s="47"/>
      <c r="G208" s="47"/>
      <c r="H208" s="47"/>
      <c r="I208" s="47"/>
      <c r="J208" s="47"/>
      <c r="K208" s="47"/>
      <c r="L208" s="47"/>
      <c r="M208" s="47"/>
      <c r="N208" s="503"/>
      <c r="O208" s="47"/>
      <c r="P208" s="47"/>
      <c r="Q208" s="5"/>
      <c r="R208" s="47"/>
      <c r="S208" s="5"/>
      <c r="T208" s="47"/>
      <c r="U208" s="5"/>
      <c r="V208" s="47"/>
      <c r="W208" s="47"/>
      <c r="X208" s="47"/>
      <c r="Y208" s="5"/>
      <c r="Z208" s="47"/>
      <c r="AA208" s="47"/>
      <c r="AB208" s="47"/>
      <c r="AC208" s="5"/>
      <c r="AD208" s="5"/>
      <c r="AE208" s="5"/>
      <c r="AF208" s="5"/>
      <c r="AG208" s="47"/>
      <c r="AH208" s="5"/>
      <c r="AI208" s="47"/>
      <c r="AJ208" s="5"/>
      <c r="AK208" s="47"/>
      <c r="AL208" s="47"/>
      <c r="AM208" s="47"/>
      <c r="AN208" s="5"/>
      <c r="AO208" s="5"/>
      <c r="AP208" s="5"/>
      <c r="AQ208" s="5"/>
      <c r="AR208" s="5"/>
      <c r="AS208" s="47"/>
      <c r="AT208" s="47"/>
      <c r="AU208" s="5"/>
      <c r="AV208" s="5"/>
      <c r="AW208" s="47"/>
      <c r="AX208" s="47"/>
      <c r="AY208" s="47"/>
      <c r="AZ208" s="5"/>
      <c r="BA208" s="47"/>
      <c r="BB208" s="5"/>
      <c r="BC208" s="5"/>
      <c r="BD208" s="47"/>
      <c r="BE208" s="47"/>
      <c r="BF208" s="47"/>
    </row>
    <row r="209" spans="1:64" x14ac:dyDescent="0.2">
      <c r="A209" s="46" t="s">
        <v>583</v>
      </c>
      <c r="C209" s="47">
        <f t="shared" ref="C209:AH209" si="7">+C74</f>
        <v>258419.94735714287</v>
      </c>
      <c r="D209" s="47">
        <f t="shared" si="7"/>
        <v>61142.98521428572</v>
      </c>
      <c r="E209" s="47">
        <f t="shared" si="7"/>
        <v>192682.12902857142</v>
      </c>
      <c r="F209" s="47">
        <f t="shared" si="7"/>
        <v>37258.681885714286</v>
      </c>
      <c r="G209" s="47">
        <f t="shared" si="7"/>
        <v>93114.313242857141</v>
      </c>
      <c r="H209" s="47">
        <f t="shared" si="7"/>
        <v>907315.41881428566</v>
      </c>
      <c r="I209" s="47">
        <f t="shared" si="7"/>
        <v>293958.41721428576</v>
      </c>
      <c r="J209" s="47">
        <f t="shared" si="7"/>
        <v>69389.52</v>
      </c>
      <c r="K209" s="47">
        <f t="shared" si="7"/>
        <v>116776.0508142857</v>
      </c>
      <c r="L209" s="47">
        <f t="shared" si="7"/>
        <v>112199.12365714285</v>
      </c>
      <c r="M209" s="47">
        <f t="shared" si="7"/>
        <v>130406.22857142857</v>
      </c>
      <c r="N209" s="47">
        <f t="shared" si="7"/>
        <v>237066.83378571426</v>
      </c>
      <c r="O209" s="47">
        <f t="shared" si="7"/>
        <v>143213.74815714287</v>
      </c>
      <c r="P209" s="47">
        <f t="shared" si="7"/>
        <v>123923.6975142857</v>
      </c>
      <c r="Q209" s="5">
        <f t="shared" si="7"/>
        <v>65131.364314285711</v>
      </c>
      <c r="R209" s="47">
        <f t="shared" si="7"/>
        <v>63281.553557142855</v>
      </c>
      <c r="S209" s="5">
        <f t="shared" si="7"/>
        <v>30412.7376</v>
      </c>
      <c r="T209" s="47">
        <f t="shared" si="7"/>
        <v>90838.793085714278</v>
      </c>
      <c r="U209" s="5">
        <f t="shared" si="7"/>
        <v>82343.076171428576</v>
      </c>
      <c r="V209" s="47">
        <f t="shared" si="7"/>
        <v>61883.537685714276</v>
      </c>
      <c r="W209" s="47">
        <f t="shared" si="7"/>
        <v>99670.670899999997</v>
      </c>
      <c r="X209" s="47">
        <f t="shared" si="7"/>
        <v>85834.511014285716</v>
      </c>
      <c r="Y209" s="5">
        <f t="shared" si="7"/>
        <v>52773.827014285707</v>
      </c>
      <c r="Z209" s="47">
        <f t="shared" si="7"/>
        <v>49089.081557142854</v>
      </c>
      <c r="AA209" s="47">
        <f t="shared" si="7"/>
        <v>124930.09785714287</v>
      </c>
      <c r="AB209" s="47">
        <f t="shared" si="7"/>
        <v>46020.586714285717</v>
      </c>
      <c r="AC209" s="5">
        <f t="shared" si="7"/>
        <v>126636.538</v>
      </c>
      <c r="AD209" s="5">
        <f t="shared" si="7"/>
        <v>54671.243828571423</v>
      </c>
      <c r="AE209" s="5">
        <f t="shared" si="7"/>
        <v>445026.4154</v>
      </c>
      <c r="AF209" s="5">
        <f t="shared" si="7"/>
        <v>55922.591442857149</v>
      </c>
      <c r="AG209" s="47">
        <f t="shared" si="7"/>
        <v>51370.831371428569</v>
      </c>
      <c r="AH209" s="5">
        <f t="shared" si="7"/>
        <v>47769.687142857139</v>
      </c>
      <c r="AI209" s="47">
        <f t="shared" ref="AI209:BE209" si="8">+AI74</f>
        <v>46046.871857142862</v>
      </c>
      <c r="AJ209" s="5">
        <f t="shared" si="8"/>
        <v>28348.91657142857</v>
      </c>
      <c r="AK209" s="47">
        <f t="shared" si="8"/>
        <v>26073.448971428574</v>
      </c>
      <c r="AL209" s="47">
        <f t="shared" si="8"/>
        <v>543019.86939999997</v>
      </c>
      <c r="AM209" s="47">
        <f t="shared" si="8"/>
        <v>87239.366385714282</v>
      </c>
      <c r="AN209" s="5">
        <f t="shared" si="8"/>
        <v>69252.657585714274</v>
      </c>
      <c r="AO209" s="5">
        <f t="shared" si="8"/>
        <v>163387.46057142856</v>
      </c>
      <c r="AP209" s="5">
        <f t="shared" si="8"/>
        <v>45305.821857142859</v>
      </c>
      <c r="AQ209" s="5">
        <f t="shared" si="8"/>
        <v>68289.32065714286</v>
      </c>
      <c r="AR209" s="5">
        <f t="shared" si="8"/>
        <v>70893.442757142853</v>
      </c>
      <c r="AS209" s="47">
        <f t="shared" si="8"/>
        <v>109120.94845714285</v>
      </c>
      <c r="AT209" s="47">
        <f t="shared" si="8"/>
        <v>46792.362257142857</v>
      </c>
      <c r="AU209" s="5">
        <f t="shared" si="8"/>
        <v>62406.171142857143</v>
      </c>
      <c r="AV209" s="5">
        <f t="shared" si="8"/>
        <v>113468.64322857143</v>
      </c>
      <c r="AW209" s="47">
        <f t="shared" si="8"/>
        <v>57768.368257142858</v>
      </c>
      <c r="AX209" s="47">
        <f t="shared" si="8"/>
        <v>37595.544399999999</v>
      </c>
      <c r="AY209" s="351">
        <f t="shared" si="8"/>
        <v>21184.2745</v>
      </c>
      <c r="AZ209" s="5">
        <f t="shared" si="8"/>
        <v>91109.521814285719</v>
      </c>
      <c r="BA209" s="47">
        <f t="shared" si="8"/>
        <v>89787.13557142856</v>
      </c>
      <c r="BB209" s="5">
        <f t="shared" si="8"/>
        <v>77046.994214285703</v>
      </c>
      <c r="BC209" s="5">
        <f t="shared" si="8"/>
        <v>62780.424999999996</v>
      </c>
      <c r="BD209" s="47">
        <f t="shared" si="8"/>
        <v>15106.737142857142</v>
      </c>
      <c r="BE209" s="47">
        <f t="shared" si="8"/>
        <v>17904.395142857142</v>
      </c>
      <c r="BF209" s="47">
        <f>+BF74</f>
        <v>94580.448999999993</v>
      </c>
      <c r="BK209" s="78">
        <f>SUM(C209:BJ209)</f>
        <v>6454983.3866571439</v>
      </c>
      <c r="BL209" s="5">
        <f>+'[12]נתוני תאגידים'!$BG$209</f>
        <v>6899859.0945000025</v>
      </c>
    </row>
    <row r="210" spans="1:64" x14ac:dyDescent="0.2">
      <c r="A210" s="46"/>
      <c r="C210" s="47"/>
      <c r="D210" s="47"/>
      <c r="E210" s="47"/>
      <c r="F210" s="47"/>
      <c r="G210" s="47"/>
      <c r="H210" s="47"/>
      <c r="I210" s="47"/>
      <c r="J210" s="47"/>
      <c r="K210" s="47"/>
      <c r="L210" s="47"/>
      <c r="M210" s="47"/>
      <c r="N210" s="47"/>
      <c r="O210" s="47"/>
      <c r="P210" s="47"/>
      <c r="Q210" s="5"/>
      <c r="R210" s="47"/>
      <c r="S210" s="5"/>
      <c r="T210" s="47"/>
      <c r="U210" s="5"/>
      <c r="V210" s="47"/>
      <c r="W210" s="47"/>
      <c r="X210" s="47"/>
      <c r="Y210" s="5"/>
      <c r="Z210" s="47"/>
      <c r="AA210" s="47"/>
      <c r="AB210" s="47"/>
      <c r="AC210" s="5"/>
      <c r="AD210" s="5"/>
      <c r="AE210" s="5"/>
      <c r="AF210" s="5"/>
      <c r="AG210" s="47"/>
      <c r="AH210" s="5"/>
      <c r="AI210" s="47"/>
      <c r="AJ210" s="5"/>
      <c r="AK210" s="47"/>
      <c r="AL210" s="47"/>
      <c r="AM210" s="47"/>
      <c r="AN210" s="5"/>
      <c r="AO210" s="5"/>
      <c r="AP210" s="5"/>
      <c r="AQ210" s="5"/>
      <c r="AR210" s="5"/>
      <c r="AS210" s="47"/>
      <c r="AT210" s="47"/>
      <c r="AU210" s="5"/>
      <c r="AV210" s="5"/>
      <c r="AW210" s="47"/>
      <c r="AX210" s="47"/>
      <c r="AY210" s="47"/>
      <c r="AZ210" s="5"/>
      <c r="BA210" s="47"/>
      <c r="BB210" s="5"/>
      <c r="BC210" s="5"/>
      <c r="BD210" s="47"/>
      <c r="BE210" s="47"/>
      <c r="BF210" s="47"/>
    </row>
    <row r="211" spans="1:64" x14ac:dyDescent="0.2">
      <c r="A211" s="46" t="s">
        <v>584</v>
      </c>
      <c r="C211" s="47">
        <v>15110</v>
      </c>
      <c r="D211" s="47">
        <v>4008</v>
      </c>
      <c r="E211" s="47">
        <v>4618</v>
      </c>
      <c r="F211" s="47">
        <v>647</v>
      </c>
      <c r="G211" s="47">
        <v>840</v>
      </c>
      <c r="H211" s="47">
        <v>32417</v>
      </c>
      <c r="I211" s="47">
        <v>15244</v>
      </c>
      <c r="J211" s="47">
        <f>10120+36</f>
        <v>10156</v>
      </c>
      <c r="K211" s="47"/>
      <c r="L211" s="47">
        <f>173+2263</f>
        <v>2436</v>
      </c>
      <c r="M211" s="47">
        <v>3616</v>
      </c>
      <c r="N211" s="47">
        <v>7990</v>
      </c>
      <c r="O211" s="47">
        <v>3334</v>
      </c>
      <c r="P211" s="47">
        <v>4422</v>
      </c>
      <c r="Q211" s="5">
        <v>0</v>
      </c>
      <c r="R211" s="47">
        <v>212</v>
      </c>
      <c r="S211" s="5">
        <v>0</v>
      </c>
      <c r="T211" s="47">
        <v>266</v>
      </c>
      <c r="U211" s="5">
        <v>856</v>
      </c>
      <c r="V211" s="47">
        <v>0</v>
      </c>
      <c r="W211" s="47"/>
      <c r="X211" s="47"/>
      <c r="Y211" s="5"/>
      <c r="Z211" s="47">
        <f>438237/1000</f>
        <v>438.23700000000002</v>
      </c>
      <c r="AA211" s="47">
        <v>0</v>
      </c>
      <c r="AB211" s="47">
        <v>0</v>
      </c>
      <c r="AC211" s="5">
        <v>0</v>
      </c>
      <c r="AD211" s="5">
        <v>299</v>
      </c>
      <c r="AE211" s="5"/>
      <c r="AF211" s="5">
        <v>0</v>
      </c>
      <c r="AG211" s="47">
        <v>0</v>
      </c>
      <c r="AH211" s="5"/>
      <c r="AI211" s="47"/>
      <c r="AJ211" s="5"/>
      <c r="AK211" s="47">
        <v>0</v>
      </c>
      <c r="AL211" s="47">
        <v>0</v>
      </c>
      <c r="AM211" s="47"/>
      <c r="AN211" s="5">
        <v>0</v>
      </c>
      <c r="AO211" s="5">
        <v>1</v>
      </c>
      <c r="AP211" s="5">
        <v>0</v>
      </c>
      <c r="AQ211" s="5"/>
      <c r="AR211" s="5">
        <v>0</v>
      </c>
      <c r="AS211" s="47"/>
      <c r="AT211" s="47">
        <v>0</v>
      </c>
      <c r="AU211" s="5"/>
      <c r="AV211" s="5"/>
      <c r="AW211" s="47"/>
      <c r="AX211" s="47">
        <v>0</v>
      </c>
      <c r="AY211" s="47"/>
      <c r="AZ211" s="5"/>
      <c r="BA211" s="47">
        <v>0</v>
      </c>
      <c r="BB211" s="5">
        <v>0</v>
      </c>
      <c r="BC211" s="5">
        <v>0</v>
      </c>
      <c r="BD211" s="47">
        <v>0</v>
      </c>
      <c r="BE211" s="47">
        <v>0</v>
      </c>
      <c r="BF211" s="47">
        <v>0</v>
      </c>
      <c r="BK211" s="78">
        <f>+BK209-BL209</f>
        <v>-444875.70784285851</v>
      </c>
    </row>
    <row r="212" spans="1:64" x14ac:dyDescent="0.2">
      <c r="A212" s="46"/>
      <c r="C212" s="47"/>
      <c r="D212" s="47"/>
      <c r="E212" s="47"/>
      <c r="F212" s="47"/>
      <c r="G212" s="47"/>
      <c r="H212" s="47"/>
      <c r="I212" s="47"/>
      <c r="J212" s="47"/>
      <c r="K212" s="47"/>
      <c r="L212" s="47"/>
      <c r="M212" s="47"/>
      <c r="N212" s="47"/>
      <c r="O212" s="47"/>
      <c r="P212" s="47"/>
      <c r="Q212" s="5"/>
      <c r="R212" s="47"/>
      <c r="S212" s="5"/>
      <c r="T212" s="47"/>
      <c r="U212" s="5"/>
      <c r="V212" s="47"/>
      <c r="W212" s="47"/>
      <c r="X212" s="47"/>
      <c r="Y212" s="5"/>
      <c r="Z212" s="47"/>
      <c r="AA212" s="47"/>
      <c r="AB212" s="47"/>
      <c r="AC212" s="5"/>
      <c r="AD212" s="5"/>
      <c r="AE212" s="5"/>
      <c r="AF212" s="5"/>
      <c r="AG212" s="47"/>
      <c r="AH212" s="5"/>
      <c r="AI212" s="47"/>
      <c r="AJ212" s="5"/>
      <c r="AK212" s="47"/>
      <c r="AL212" s="47"/>
      <c r="AM212" s="47"/>
      <c r="AN212" s="5"/>
      <c r="AO212" s="5"/>
      <c r="AP212" s="5"/>
      <c r="AQ212" s="5"/>
      <c r="AR212" s="5"/>
      <c r="AS212" s="47"/>
      <c r="AT212" s="47"/>
      <c r="AU212" s="5"/>
      <c r="AV212" s="5"/>
      <c r="AW212" s="47"/>
      <c r="AX212" s="47"/>
      <c r="AY212" s="47"/>
      <c r="AZ212" s="5"/>
      <c r="BA212" s="47"/>
      <c r="BB212" s="5"/>
      <c r="BC212" s="5"/>
      <c r="BD212" s="47"/>
      <c r="BE212" s="47"/>
      <c r="BF212" s="47"/>
    </row>
    <row r="213" spans="1:64" x14ac:dyDescent="0.2">
      <c r="A213" s="46" t="s">
        <v>585</v>
      </c>
      <c r="C213" s="47">
        <v>36799</v>
      </c>
      <c r="D213" s="47">
        <v>4148</v>
      </c>
      <c r="E213" s="47">
        <v>4512</v>
      </c>
      <c r="F213" s="47">
        <v>101</v>
      </c>
      <c r="G213" s="47">
        <v>313</v>
      </c>
      <c r="H213" s="47">
        <v>22087</v>
      </c>
      <c r="I213" s="47">
        <v>12967</v>
      </c>
      <c r="J213" s="47">
        <v>3011</v>
      </c>
      <c r="K213" s="47">
        <f>962+1113</f>
        <v>2075</v>
      </c>
      <c r="L213" s="47">
        <f>940+12238</f>
        <v>13178</v>
      </c>
      <c r="M213" s="47">
        <v>2286</v>
      </c>
      <c r="N213" s="47">
        <v>1387</v>
      </c>
      <c r="O213" s="47">
        <v>12717</v>
      </c>
      <c r="P213" s="47">
        <v>9365</v>
      </c>
      <c r="Q213" s="5">
        <v>4894</v>
      </c>
      <c r="R213" s="47">
        <v>1708</v>
      </c>
      <c r="S213" s="5">
        <v>260</v>
      </c>
      <c r="T213" s="47">
        <v>3032</v>
      </c>
      <c r="U213" s="5">
        <v>1218</v>
      </c>
      <c r="V213" s="47">
        <v>994</v>
      </c>
      <c r="W213" s="47">
        <v>9232</v>
      </c>
      <c r="X213" s="47">
        <v>1802</v>
      </c>
      <c r="Y213" s="5">
        <v>376</v>
      </c>
      <c r="Z213" s="47">
        <f>1547699/1000</f>
        <v>1547.6990000000001</v>
      </c>
      <c r="AA213" s="47">
        <v>1887</v>
      </c>
      <c r="AB213" s="47">
        <v>772</v>
      </c>
      <c r="AC213" s="5">
        <v>376</v>
      </c>
      <c r="AD213" s="5">
        <v>1150</v>
      </c>
      <c r="AE213" s="5">
        <v>4058</v>
      </c>
      <c r="AF213" s="5">
        <v>11734</v>
      </c>
      <c r="AG213" s="47">
        <v>8</v>
      </c>
      <c r="AH213" s="5">
        <v>85</v>
      </c>
      <c r="AI213" s="47">
        <v>131</v>
      </c>
      <c r="AJ213" s="5"/>
      <c r="AK213" s="47">
        <v>0</v>
      </c>
      <c r="AL213" s="47">
        <v>0</v>
      </c>
      <c r="AM213" s="5">
        <v>10000</v>
      </c>
      <c r="AN213" s="5">
        <v>0</v>
      </c>
      <c r="AO213" s="5">
        <v>1</v>
      </c>
      <c r="AP213" s="5">
        <v>34</v>
      </c>
      <c r="AQ213" s="5">
        <f>3344645/1000</f>
        <v>3344.645</v>
      </c>
      <c r="AR213" s="5">
        <v>0</v>
      </c>
      <c r="AS213" s="47">
        <v>13194</v>
      </c>
      <c r="AT213" s="47">
        <v>0</v>
      </c>
      <c r="AU213" s="5">
        <v>150</v>
      </c>
      <c r="AV213" s="5">
        <v>439</v>
      </c>
      <c r="AW213" s="47">
        <v>136</v>
      </c>
      <c r="AX213" s="47">
        <v>0</v>
      </c>
      <c r="AY213" s="47">
        <v>0</v>
      </c>
      <c r="AZ213" s="5">
        <v>150</v>
      </c>
      <c r="BA213" s="47">
        <v>0</v>
      </c>
      <c r="BB213" s="5">
        <v>0</v>
      </c>
      <c r="BC213" s="5">
        <v>2536</v>
      </c>
      <c r="BD213" s="47">
        <v>0</v>
      </c>
      <c r="BE213" s="47">
        <v>0</v>
      </c>
      <c r="BF213" s="47">
        <v>0</v>
      </c>
    </row>
    <row r="214" spans="1:64" x14ac:dyDescent="0.2">
      <c r="A214" s="46"/>
      <c r="C214" s="47"/>
      <c r="D214" s="47"/>
      <c r="E214" s="47"/>
      <c r="F214" s="47"/>
      <c r="G214" s="47"/>
      <c r="H214" s="47"/>
      <c r="I214" s="47"/>
      <c r="J214" s="47"/>
      <c r="K214" s="47"/>
      <c r="L214" s="47"/>
      <c r="M214" s="47"/>
      <c r="N214" s="47"/>
      <c r="O214" s="47"/>
      <c r="P214" s="47"/>
      <c r="Q214" s="5"/>
      <c r="R214" s="47"/>
      <c r="S214" s="5"/>
      <c r="T214" s="47"/>
      <c r="U214" s="5"/>
      <c r="V214" s="47"/>
      <c r="W214" s="47"/>
      <c r="X214" s="47"/>
      <c r="Y214" s="5"/>
      <c r="Z214" s="47"/>
      <c r="AA214" s="47"/>
      <c r="AB214" s="47"/>
      <c r="AC214" s="5"/>
      <c r="AD214" s="5"/>
      <c r="AE214" s="5"/>
      <c r="AF214" s="5"/>
      <c r="AG214" s="47"/>
      <c r="AH214" s="5"/>
      <c r="AI214" s="47"/>
      <c r="AJ214" s="5"/>
      <c r="AK214" s="47"/>
      <c r="AL214" s="47"/>
      <c r="AM214" s="47"/>
      <c r="AN214" s="5"/>
      <c r="AO214" s="5"/>
      <c r="AP214" s="5"/>
      <c r="AQ214" s="5"/>
      <c r="AR214" s="5"/>
      <c r="AS214" s="47"/>
      <c r="AT214" s="47"/>
      <c r="AU214" s="5"/>
      <c r="AV214" s="5"/>
      <c r="AW214" s="47"/>
      <c r="AX214" s="47"/>
      <c r="AY214" s="47"/>
      <c r="AZ214" s="5"/>
      <c r="BA214" s="47"/>
      <c r="BB214" s="5"/>
      <c r="BC214" s="5"/>
      <c r="BD214" s="47"/>
      <c r="BE214" s="47"/>
      <c r="BF214" s="47"/>
      <c r="BL214" s="78">
        <f>+BK211+BL221+BK225+BK237+BK239+BK241+BK223-BL223</f>
        <v>-1191209.2432228583</v>
      </c>
    </row>
    <row r="215" spans="1:64" x14ac:dyDescent="0.2">
      <c r="A215" s="46" t="s">
        <v>586</v>
      </c>
      <c r="C215" s="47">
        <f>927+14850</f>
        <v>15777</v>
      </c>
      <c r="D215" s="47">
        <f>1883-201-145-340</f>
        <v>1197</v>
      </c>
      <c r="E215" s="47">
        <f>2065+230</f>
        <v>2295</v>
      </c>
      <c r="F215" s="47">
        <v>1671</v>
      </c>
      <c r="G215" s="47">
        <f>2975+109</f>
        <v>3084</v>
      </c>
      <c r="H215" s="47">
        <v>13259</v>
      </c>
      <c r="I215" s="47">
        <v>21202</v>
      </c>
      <c r="J215" s="47">
        <f>5+1020</f>
        <v>1025</v>
      </c>
      <c r="K215" s="47">
        <f>7+214+1047</f>
        <v>1268</v>
      </c>
      <c r="L215" s="47">
        <v>4073</v>
      </c>
      <c r="M215" s="47">
        <v>3030</v>
      </c>
      <c r="N215" s="47">
        <v>6555</v>
      </c>
      <c r="O215" s="47">
        <v>9494</v>
      </c>
      <c r="P215" s="47">
        <v>13451</v>
      </c>
      <c r="Q215" s="5">
        <f>4772+278</f>
        <v>5050</v>
      </c>
      <c r="R215" s="47">
        <f>2030680/1000</f>
        <v>2030.68</v>
      </c>
      <c r="S215" s="5">
        <v>8862</v>
      </c>
      <c r="T215" s="47">
        <f>120+949+34</f>
        <v>1103</v>
      </c>
      <c r="U215" s="5">
        <f>3216+132</f>
        <v>3348</v>
      </c>
      <c r="V215" s="47">
        <f>47+3447</f>
        <v>3494</v>
      </c>
      <c r="W215" s="47">
        <v>7721</v>
      </c>
      <c r="X215" s="47">
        <f>+(2911504+5324757)/1000</f>
        <v>8236.2610000000004</v>
      </c>
      <c r="Y215" s="5">
        <v>1072</v>
      </c>
      <c r="Z215" s="47">
        <f>1568933/1000</f>
        <v>1568.933</v>
      </c>
      <c r="AA215" s="47">
        <v>2511</v>
      </c>
      <c r="AB215" s="47">
        <v>0</v>
      </c>
      <c r="AC215" s="5">
        <f>+(4753468+398874)/1000</f>
        <v>5152.3419999999996</v>
      </c>
      <c r="AD215" s="5">
        <f>3155+81+102</f>
        <v>3338</v>
      </c>
      <c r="AE215" s="5">
        <v>12038</v>
      </c>
      <c r="AF215" s="5">
        <v>9618</v>
      </c>
      <c r="AG215" s="47">
        <f>23+15</f>
        <v>38</v>
      </c>
      <c r="AH215" s="5">
        <v>0</v>
      </c>
      <c r="AI215" s="47">
        <f>68+413</f>
        <v>481</v>
      </c>
      <c r="AJ215" s="5">
        <v>1</v>
      </c>
      <c r="AK215" s="47">
        <v>0</v>
      </c>
      <c r="AL215" s="47">
        <v>5621</v>
      </c>
      <c r="AM215" s="47">
        <f>769+35</f>
        <v>804</v>
      </c>
      <c r="AN215" s="5">
        <v>0</v>
      </c>
      <c r="AO215" s="5">
        <v>1</v>
      </c>
      <c r="AP215" s="5">
        <f>259064/1000</f>
        <v>259.06400000000002</v>
      </c>
      <c r="AQ215" s="5">
        <v>4579</v>
      </c>
      <c r="AR215" s="5">
        <v>130</v>
      </c>
      <c r="AS215" s="47">
        <v>0</v>
      </c>
      <c r="AT215" s="47">
        <f>57+118</f>
        <v>175</v>
      </c>
      <c r="AU215" s="5">
        <v>2400</v>
      </c>
      <c r="AV215" s="5">
        <v>3484</v>
      </c>
      <c r="AW215" s="47">
        <f>1630+15</f>
        <v>1645</v>
      </c>
      <c r="AX215" s="47">
        <v>0</v>
      </c>
      <c r="AY215" s="47">
        <v>591</v>
      </c>
      <c r="AZ215" s="5">
        <f>12+86</f>
        <v>98</v>
      </c>
      <c r="BA215" s="47">
        <v>324</v>
      </c>
      <c r="BB215" s="5">
        <v>6324</v>
      </c>
      <c r="BC215" s="5">
        <v>3195</v>
      </c>
      <c r="BD215" s="47">
        <v>0</v>
      </c>
      <c r="BE215" s="47">
        <v>0</v>
      </c>
      <c r="BF215" s="47">
        <v>0</v>
      </c>
    </row>
    <row r="216" spans="1:64" x14ac:dyDescent="0.2">
      <c r="C216" s="47"/>
      <c r="D216" s="47"/>
      <c r="E216" s="47"/>
      <c r="F216" s="47"/>
      <c r="G216" s="47"/>
      <c r="H216" s="47"/>
      <c r="I216" s="47"/>
      <c r="J216" s="47"/>
      <c r="K216" s="47"/>
      <c r="L216" s="47"/>
      <c r="M216" s="47"/>
      <c r="N216" s="47"/>
      <c r="O216" s="47"/>
      <c r="P216" s="47"/>
      <c r="Q216" s="5"/>
      <c r="R216" s="47"/>
      <c r="S216" s="5"/>
      <c r="T216" s="47"/>
      <c r="U216" s="5"/>
      <c r="V216" s="47"/>
      <c r="W216" s="47"/>
      <c r="X216" s="47"/>
      <c r="Y216" s="5"/>
      <c r="Z216" s="47"/>
      <c r="AA216" s="47"/>
      <c r="AB216" s="47"/>
      <c r="AC216" s="5"/>
      <c r="AD216" s="5"/>
      <c r="AE216" s="5"/>
      <c r="AF216" s="5"/>
      <c r="AG216" s="47"/>
      <c r="AH216" s="5"/>
      <c r="AI216" s="47"/>
      <c r="AJ216" s="5"/>
      <c r="AK216" s="47"/>
      <c r="AL216" s="47"/>
      <c r="AM216" s="47"/>
      <c r="AN216" s="5"/>
      <c r="AO216" s="5"/>
      <c r="AP216" s="5"/>
      <c r="AQ216" s="5"/>
      <c r="AR216" s="5"/>
      <c r="AS216" s="47"/>
      <c r="AT216" s="47"/>
      <c r="AU216" s="5"/>
      <c r="AV216" s="5"/>
      <c r="AW216" s="47"/>
      <c r="AX216" s="47"/>
      <c r="AY216" s="47"/>
      <c r="AZ216" s="5"/>
      <c r="BA216" s="47"/>
      <c r="BB216" s="5"/>
      <c r="BC216" s="5"/>
      <c r="BD216" s="47"/>
      <c r="BE216" s="47"/>
      <c r="BF216" s="47"/>
    </row>
    <row r="217" spans="1:64" x14ac:dyDescent="0.2">
      <c r="A217" s="46" t="s">
        <v>1506</v>
      </c>
      <c r="C217" s="5">
        <f>+HLOOKUP(C1,'השקעות 2012-2014'!$1:$103,86,0)</f>
        <v>8383</v>
      </c>
      <c r="D217" s="5">
        <f>+HLOOKUP(D1,'השקעות 2012-2014'!$1:$103,86,0)</f>
        <v>2293</v>
      </c>
      <c r="E217" s="5">
        <f>+HLOOKUP(E1,'השקעות 2012-2014'!$1:$103,86,0)</f>
        <v>8285</v>
      </c>
      <c r="F217" s="5">
        <f>+HLOOKUP(F1,'השקעות 2012-2014'!$1:$103,86,0)</f>
        <v>393</v>
      </c>
      <c r="G217" s="5">
        <f>+HLOOKUP(G1,'השקעות 2012-2014'!$1:$103,86,0)</f>
        <v>1062</v>
      </c>
      <c r="H217" s="5">
        <f>+HLOOKUP(H1,'השקעות 2012-2014'!$1:$103,86,0)</f>
        <v>25439</v>
      </c>
      <c r="I217" s="5">
        <f>+HLOOKUP(I1,'השקעות 2012-2014'!$1:$103,86,0)</f>
        <v>16143</v>
      </c>
      <c r="J217" s="5">
        <f>+HLOOKUP(J1,'השקעות 2012-2014'!$1:$103,86,0)</f>
        <v>2244</v>
      </c>
      <c r="K217" s="5">
        <f>+HLOOKUP(K1,'השקעות 2012-2014'!$1:$103,86,0)</f>
        <v>160</v>
      </c>
      <c r="L217" s="5">
        <f>+HLOOKUP(L1,'השקעות 2012-2014'!$1:$103,86,0)</f>
        <v>8698</v>
      </c>
      <c r="M217" s="5">
        <f>+HLOOKUP(M1,'השקעות 2012-2014'!$1:$103,86,0)</f>
        <v>2287</v>
      </c>
      <c r="N217" s="5">
        <f>+HLOOKUP(N1,'השקעות 2012-2014'!$1:$103,86,0)</f>
        <v>2994</v>
      </c>
      <c r="O217" s="5">
        <f>+HLOOKUP(O1,'השקעות 2012-2014'!$1:$103,86,0)</f>
        <v>10804</v>
      </c>
      <c r="P217" s="5">
        <f>+HLOOKUP(P1,'השקעות 2012-2014'!$1:$103,86,0)</f>
        <v>7578</v>
      </c>
      <c r="Q217" s="5">
        <f>+HLOOKUP(Q1,'השקעות 2012-2014'!$1:$103,86,0)</f>
        <v>7262</v>
      </c>
      <c r="R217" s="5">
        <f>+HLOOKUP(R1,'השקעות 2012-2014'!$1:$103,86,0)</f>
        <v>4208.6750000000002</v>
      </c>
      <c r="S217" s="5">
        <f>+HLOOKUP(S1,'השקעות 2012-2014'!$1:$103,86,0)</f>
        <v>6009</v>
      </c>
      <c r="T217" s="5">
        <f>+HLOOKUP(T1,'השקעות 2012-2014'!$1:$103,86,0)</f>
        <v>1857</v>
      </c>
      <c r="U217" s="5">
        <f>+HLOOKUP(U1,'השקעות 2012-2014'!$1:$103,86,0)</f>
        <v>6824</v>
      </c>
      <c r="V217" s="5">
        <f>+HLOOKUP(V1,'השקעות 2012-2014'!$1:$103,86,0)</f>
        <v>4893</v>
      </c>
      <c r="W217" s="5">
        <f>+HLOOKUP(W1,'השקעות 2012-2014'!$1:$103,86,0)</f>
        <v>2209</v>
      </c>
      <c r="X217" s="5">
        <f>+HLOOKUP(X1,'השקעות 2012-2014'!$1:$103,86,0)</f>
        <v>8586</v>
      </c>
      <c r="Y217" s="5">
        <f>+HLOOKUP(Y1,'השקעות 2012-2014'!$1:$103,86,0)</f>
        <v>904</v>
      </c>
      <c r="Z217" s="5">
        <f>+HLOOKUP(Z1,'השקעות 2012-2014'!$1:$103,86,0)</f>
        <v>1008</v>
      </c>
      <c r="AA217" s="5">
        <f>+HLOOKUP(AA1,'השקעות 2012-2014'!$1:$103,86,0)</f>
        <v>715</v>
      </c>
      <c r="AB217" s="5">
        <f>+HLOOKUP(AB1,'השקעות 2012-2014'!$1:$103,86,0)</f>
        <v>1571</v>
      </c>
      <c r="AC217" s="5">
        <f>+HLOOKUP(AC1,'השקעות 2012-2014'!$1:$103,86,0)</f>
        <v>5101</v>
      </c>
      <c r="AD217" s="5">
        <f>+HLOOKUP(AD1,'השקעות 2012-2014'!$1:$103,86,0)</f>
        <v>1465</v>
      </c>
      <c r="AE217" s="5">
        <f>+HLOOKUP(AE1,'השקעות 2012-2014'!$1:$103,86,0)</f>
        <v>18778</v>
      </c>
      <c r="AF217" s="5">
        <f>+HLOOKUP(AF1,'השקעות 2012-2014'!$1:$103,86,0)</f>
        <v>4707</v>
      </c>
      <c r="AG217" s="5">
        <f>+HLOOKUP(AG1,'השקעות 2012-2014'!$1:$103,86,0)</f>
        <v>1874</v>
      </c>
      <c r="AH217" s="5">
        <f>+HLOOKUP(AH1,'השקעות 2012-2014'!$1:$103,86,0)</f>
        <v>0</v>
      </c>
      <c r="AI217" s="5">
        <f>+HLOOKUP(AI1,'השקעות 2012-2014'!$1:$103,86,0)</f>
        <v>1542</v>
      </c>
      <c r="AJ217" s="5">
        <f>+HLOOKUP(AJ1,'השקעות 2012-2014'!$1:$103,86,0)</f>
        <v>140</v>
      </c>
      <c r="AK217" s="5">
        <f>+HLOOKUP(AK1,'השקעות 2012-2014'!$1:$103,86,0)</f>
        <v>0</v>
      </c>
      <c r="AL217" s="5">
        <f>+HLOOKUP(AL1,'השקעות 2012-2014'!$1:$103,86,0)</f>
        <v>13800</v>
      </c>
      <c r="AM217" s="5">
        <f>+HLOOKUP(AM1,'השקעות 2012-2014'!$1:$103,86,0)</f>
        <v>733</v>
      </c>
      <c r="AN217" s="5">
        <f>+HLOOKUP(AN1,'השקעות 2012-2014'!$1:$103,86,0)</f>
        <v>3237</v>
      </c>
      <c r="AO217" s="5">
        <f>+HLOOKUP(AO1,'השקעות 2012-2014'!$1:$103,86,0)</f>
        <v>280</v>
      </c>
      <c r="AP217" s="5">
        <f>+HLOOKUP(AP1,'השקעות 2012-2014'!$1:$103,86,0)</f>
        <v>2665.4189999999999</v>
      </c>
      <c r="AQ217" s="5">
        <f>+HLOOKUP(AQ1,'השקעות 2012-2014'!$1:$103,86,0)</f>
        <v>7211</v>
      </c>
      <c r="AR217" s="5">
        <f>+HLOOKUP(AR1,'השקעות 2012-2014'!$1:$103,86,0)</f>
        <v>6553</v>
      </c>
      <c r="AS217" s="5">
        <f>+HLOOKUP(AS1,'השקעות 2012-2014'!$1:$103,86,0)</f>
        <v>16094</v>
      </c>
      <c r="AT217" s="5">
        <f>+HLOOKUP(AT1,'השקעות 2012-2014'!$1:$103,86,0)</f>
        <v>1593</v>
      </c>
      <c r="AU217" s="5">
        <f>+HLOOKUP(AU1,'השקעות 2012-2014'!$1:$103,86,0)</f>
        <v>7536</v>
      </c>
      <c r="AV217" s="5">
        <f>+HLOOKUP(AV1,'השקעות 2012-2014'!$1:$103,86,0)</f>
        <v>7997</v>
      </c>
      <c r="AW217" s="5">
        <f>+HLOOKUP(AW1,'השקעות 2012-2014'!$1:$103,86,0)</f>
        <v>2432</v>
      </c>
      <c r="AX217" s="5">
        <f>+HLOOKUP(AX1,'השקעות 2012-2014'!$1:$103,86,0)</f>
        <v>198</v>
      </c>
      <c r="AY217" s="5">
        <f>+HLOOKUP(AY1,'השקעות 2012-2014'!$1:$103,86,0)</f>
        <v>222</v>
      </c>
      <c r="AZ217" s="5">
        <f>+HLOOKUP(AZ1,'השקעות 2012-2014'!$1:$103,86,0)</f>
        <v>2450</v>
      </c>
      <c r="BA217" s="5">
        <f>+HLOOKUP(BA1,'השקעות 2012-2014'!$1:$103,86,0)</f>
        <v>1732</v>
      </c>
      <c r="BB217" s="5">
        <f>+HLOOKUP(BB1,'השקעות 2012-2014'!$1:$103,86,0)</f>
        <v>5971.4</v>
      </c>
      <c r="BC217" s="5">
        <f>+HLOOKUP(BC1,'השקעות 2012-2014'!$1:$103,86,0)</f>
        <v>20173</v>
      </c>
      <c r="BD217" s="5">
        <f>+HLOOKUP(BD1,'השקעות 2012-2014'!$1:$103,86,0)</f>
        <v>102</v>
      </c>
      <c r="BE217" s="5">
        <f>+HLOOKUP(BE1,'השקעות 2012-2014'!$1:$103,86,0)</f>
        <v>0</v>
      </c>
      <c r="BF217" s="5">
        <f>+HLOOKUP(BF1,'השקעות 2012-2014'!$1:$103,86,0)</f>
        <v>0</v>
      </c>
      <c r="BK217" s="78">
        <f>SUM(C217:BE217)</f>
        <v>277396.49399999995</v>
      </c>
    </row>
    <row r="218" spans="1:64" x14ac:dyDescent="0.2">
      <c r="A218" s="46"/>
      <c r="C218" s="47"/>
      <c r="D218" s="47"/>
      <c r="E218" s="47"/>
      <c r="F218" s="47"/>
      <c r="G218" s="47"/>
      <c r="H218" s="47"/>
      <c r="I218" s="47"/>
      <c r="J218" s="47"/>
      <c r="K218" s="47"/>
      <c r="L218" s="47"/>
      <c r="M218" s="47"/>
      <c r="N218" s="47"/>
      <c r="O218" s="47"/>
      <c r="P218" s="47"/>
      <c r="Q218" s="47"/>
      <c r="R218" s="47"/>
      <c r="S218" s="47"/>
      <c r="T218" s="47"/>
      <c r="U218" s="47"/>
      <c r="V218" s="47"/>
      <c r="W218" s="47"/>
      <c r="X218" s="47"/>
      <c r="Y218" s="47"/>
      <c r="Z218" s="47"/>
      <c r="AA218" s="47"/>
      <c r="AB218" s="47"/>
      <c r="AC218" s="47"/>
      <c r="AD218" s="47"/>
      <c r="AE218" s="47"/>
      <c r="AF218" s="47"/>
      <c r="AG218" s="47"/>
      <c r="AH218" s="47"/>
      <c r="AI218" s="47"/>
      <c r="AJ218" s="47"/>
      <c r="AK218" s="47"/>
      <c r="AL218" s="47"/>
      <c r="AM218" s="47"/>
      <c r="AN218" s="47"/>
      <c r="AO218" s="47"/>
      <c r="AP218" s="47"/>
      <c r="AQ218" s="47"/>
      <c r="AR218" s="47"/>
      <c r="AS218" s="47"/>
      <c r="AT218" s="47"/>
      <c r="AU218" s="47"/>
      <c r="AV218" s="47"/>
      <c r="AW218" s="47"/>
      <c r="AX218" s="47"/>
      <c r="AY218" s="47"/>
      <c r="AZ218" s="47"/>
      <c r="BA218" s="47"/>
      <c r="BB218" s="47"/>
      <c r="BC218" s="47"/>
      <c r="BD218" s="47"/>
      <c r="BE218" s="47"/>
      <c r="BF218" s="47"/>
      <c r="BK218" s="78"/>
    </row>
    <row r="219" spans="1:64" x14ac:dyDescent="0.2">
      <c r="A219" s="46" t="s">
        <v>1507</v>
      </c>
      <c r="C219" s="47">
        <f>+HLOOKUP(C1,'השקעות 2012-2014'!$1:$103,90,0)</f>
        <v>12436</v>
      </c>
      <c r="D219" s="47">
        <f>+HLOOKUP(D1,'השקעות 2012-2014'!$1:$103,90,0)</f>
        <v>2879</v>
      </c>
      <c r="E219" s="47">
        <f>+HLOOKUP(E1,'השקעות 2012-2014'!$1:$103,90,0)</f>
        <v>2428</v>
      </c>
      <c r="F219" s="47">
        <f>+HLOOKUP(F1,'השקעות 2012-2014'!$1:$103,90,0)</f>
        <v>1243</v>
      </c>
      <c r="G219" s="47">
        <f>+HLOOKUP(G1,'השקעות 2012-2014'!$1:$103,90,0)</f>
        <v>2338</v>
      </c>
      <c r="H219" s="47">
        <f>+HLOOKUP(H1,'השקעות 2012-2014'!$1:$103,90,0)</f>
        <v>55821</v>
      </c>
      <c r="I219" s="47">
        <f>+HLOOKUP(I1,'השקעות 2012-2014'!$1:$103,90,0)</f>
        <v>16594</v>
      </c>
      <c r="J219" s="47">
        <f>+HLOOKUP(J1,'השקעות 2012-2014'!$1:$103,90,0)</f>
        <v>3971</v>
      </c>
      <c r="K219" s="47">
        <f>+HLOOKUP(K1,'השקעות 2012-2014'!$1:$103,90,0)</f>
        <v>2579</v>
      </c>
      <c r="L219" s="47">
        <f>+HLOOKUP(L1,'השקעות 2012-2014'!$1:$103,90,0)</f>
        <v>3537</v>
      </c>
      <c r="M219" s="47">
        <f>+HLOOKUP(M1,'השקעות 2012-2014'!$1:$103,90,0)</f>
        <v>3097</v>
      </c>
      <c r="N219" s="47">
        <f>+HLOOKUP(N1,'השקעות 2012-2014'!$1:$103,90,0)</f>
        <v>3546</v>
      </c>
      <c r="O219" s="47">
        <f>+HLOOKUP(O1,'השקעות 2012-2014'!$1:$103,90,0)</f>
        <v>11982</v>
      </c>
      <c r="P219" s="47">
        <f>+HLOOKUP(P1,'השקעות 2012-2014'!$1:$103,90,0)</f>
        <v>22189</v>
      </c>
      <c r="Q219" s="47">
        <f>+HLOOKUP(Q1,'השקעות 2012-2014'!$1:$103,90,0)</f>
        <v>2896</v>
      </c>
      <c r="R219" s="47">
        <f>+HLOOKUP(R1,'השקעות 2012-2014'!$1:$103,90,0)</f>
        <v>9070.8469999999998</v>
      </c>
      <c r="S219" s="47">
        <f>+HLOOKUP(S1,'השקעות 2012-2014'!$1:$103,90,0)</f>
        <v>2402</v>
      </c>
      <c r="T219" s="47">
        <f>+HLOOKUP(T1,'השקעות 2012-2014'!$1:$103,90,0)</f>
        <v>4090</v>
      </c>
      <c r="U219" s="47">
        <f>+HLOOKUP(U1,'השקעות 2012-2014'!$1:$103,90,0)</f>
        <v>4800</v>
      </c>
      <c r="V219" s="47">
        <f>+HLOOKUP(V1,'השקעות 2012-2014'!$1:$103,90,0)</f>
        <v>4300</v>
      </c>
      <c r="W219" s="47">
        <f>+HLOOKUP(W1,'השקעות 2012-2014'!$1:$103,90,0)</f>
        <v>6216.1540000000005</v>
      </c>
      <c r="X219" s="47">
        <f>+HLOOKUP(X1,'השקעות 2012-2014'!$1:$103,90,0)</f>
        <v>13022</v>
      </c>
      <c r="Y219" s="47">
        <f>+HLOOKUP(Y1,'השקעות 2012-2014'!$1:$103,90,0)</f>
        <v>1497</v>
      </c>
      <c r="Z219" s="47">
        <f>+HLOOKUP(Z1,'השקעות 2012-2014'!$1:$103,90,0)</f>
        <v>7819</v>
      </c>
      <c r="AA219" s="47">
        <f>+HLOOKUP(AA1,'השקעות 2012-2014'!$1:$103,90,0)</f>
        <v>3513</v>
      </c>
      <c r="AB219" s="47">
        <f>+HLOOKUP(AB1,'השקעות 2012-2014'!$1:$103,90,0)</f>
        <v>5373</v>
      </c>
      <c r="AC219" s="47">
        <f>+HLOOKUP(AC1,'השקעות 2012-2014'!$1:$103,90,0)</f>
        <v>5368</v>
      </c>
      <c r="AD219" s="47">
        <f>+HLOOKUP(AD1,'השקעות 2012-2014'!$1:$103,90,0)</f>
        <v>11245</v>
      </c>
      <c r="AE219" s="47">
        <f>+HLOOKUP(AE1,'השקעות 2012-2014'!$1:$103,90,0)</f>
        <v>8218</v>
      </c>
      <c r="AF219" s="47">
        <f>+HLOOKUP(AF1,'השקעות 2012-2014'!$1:$103,90,0)</f>
        <v>4466</v>
      </c>
      <c r="AG219" s="47">
        <f>+HLOOKUP(AG1,'השקעות 2012-2014'!$1:$103,90,0)</f>
        <v>1393</v>
      </c>
      <c r="AH219" s="47">
        <f>+HLOOKUP(AH1,'השקעות 2012-2014'!$1:$103,90,0)</f>
        <v>214</v>
      </c>
      <c r="AI219" s="47">
        <f>+HLOOKUP(AI1,'השקעות 2012-2014'!$1:$103,90,0)</f>
        <v>576</v>
      </c>
      <c r="AJ219" s="47">
        <f>+HLOOKUP(AJ1,'השקעות 2012-2014'!$1:$103,90,0)</f>
        <v>696</v>
      </c>
      <c r="AK219" s="47">
        <f>+HLOOKUP(AK1,'השקעות 2012-2014'!$1:$103,90,0)</f>
        <v>718</v>
      </c>
      <c r="AL219" s="47">
        <f>+HLOOKUP(AL1,'השקעות 2012-2014'!$1:$103,90,0)</f>
        <v>18639</v>
      </c>
      <c r="AM219" s="47">
        <f>+HLOOKUP(AM1,'השקעות 2012-2014'!$1:$103,90,0)</f>
        <v>6255</v>
      </c>
      <c r="AN219" s="47">
        <f>+HLOOKUP(AN1,'השקעות 2012-2014'!$1:$103,90,0)</f>
        <v>8447</v>
      </c>
      <c r="AO219" s="47">
        <f>+HLOOKUP(AO1,'השקעות 2012-2014'!$1:$103,90,0)</f>
        <v>4203</v>
      </c>
      <c r="AP219" s="47">
        <f>+HLOOKUP(AP1,'השקעות 2012-2014'!$1:$103,90,0)</f>
        <v>7517</v>
      </c>
      <c r="AQ219" s="47">
        <f>+HLOOKUP(AQ1,'השקעות 2012-2014'!$1:$103,90,0)</f>
        <v>18650</v>
      </c>
      <c r="AR219" s="47">
        <f>+HLOOKUP(AR1,'השקעות 2012-2014'!$1:$103,90,0)</f>
        <v>3300</v>
      </c>
      <c r="AS219" s="47">
        <f>+HLOOKUP(AS1,'השקעות 2012-2014'!$1:$103,90,0)</f>
        <v>13508</v>
      </c>
      <c r="AT219" s="47">
        <f>+HLOOKUP(AT1,'השקעות 2012-2014'!$1:$103,90,0)</f>
        <v>1584.146</v>
      </c>
      <c r="AU219" s="47">
        <f>+HLOOKUP(AU1,'השקעות 2012-2014'!$1:$103,90,0)</f>
        <v>14253</v>
      </c>
      <c r="AV219" s="47">
        <f>+HLOOKUP(AV1,'השקעות 2012-2014'!$1:$103,90,0)</f>
        <v>10705</v>
      </c>
      <c r="AW219" s="47">
        <f>+HLOOKUP(AW1,'השקעות 2012-2014'!$1:$103,90,0)</f>
        <v>317</v>
      </c>
      <c r="AX219" s="47">
        <f>+HLOOKUP(AX1,'השקעות 2012-2014'!$1:$103,90,0)</f>
        <v>4191.8950000000004</v>
      </c>
      <c r="AY219" s="47">
        <f>+HLOOKUP(AY1,'השקעות 2012-2014'!$1:$103,90,0)</f>
        <v>71</v>
      </c>
      <c r="AZ219" s="47">
        <f>+HLOOKUP(AZ1,'השקעות 2012-2014'!$1:$103,90,0)</f>
        <v>8230</v>
      </c>
      <c r="BA219" s="47">
        <f>+HLOOKUP(BA1,'השקעות 2012-2014'!$1:$103,90,0)</f>
        <v>6882</v>
      </c>
      <c r="BB219" s="47">
        <f>+HLOOKUP(BB1,'השקעות 2012-2014'!$1:$103,90,0)</f>
        <v>4878.3999999999996</v>
      </c>
      <c r="BC219" s="47">
        <f>+HLOOKUP(BC1,'השקעות 2012-2014'!$1:$103,90,0)</f>
        <v>7556</v>
      </c>
      <c r="BD219" s="47">
        <f>+HLOOKUP(BD1,'השקעות 2012-2014'!$1:$103,90,0)</f>
        <v>4200</v>
      </c>
      <c r="BE219" s="47">
        <f>+HLOOKUP(BE1,'השקעות 2012-2014'!$1:$103,90,0)</f>
        <v>1969</v>
      </c>
      <c r="BF219" s="47">
        <f>+HLOOKUP(BF1,'השקעות 2012-2014'!$1:$103,90,0)</f>
        <v>0</v>
      </c>
      <c r="BK219" s="78">
        <f>SUM(C219:BE219)</f>
        <v>387889.4420000001</v>
      </c>
    </row>
    <row r="220" spans="1:64" x14ac:dyDescent="0.2">
      <c r="C220" s="47"/>
      <c r="D220" s="47"/>
      <c r="E220" s="47"/>
      <c r="F220" s="47"/>
      <c r="G220" s="47"/>
      <c r="H220" s="47"/>
      <c r="I220" s="47"/>
      <c r="J220" s="47"/>
      <c r="K220" s="47"/>
      <c r="L220" s="47"/>
      <c r="M220" s="47"/>
      <c r="N220" s="47"/>
      <c r="O220" s="47"/>
      <c r="P220" s="47"/>
      <c r="Q220" s="47"/>
      <c r="R220" s="47"/>
      <c r="S220" s="47"/>
      <c r="T220" s="47"/>
      <c r="U220" s="47"/>
      <c r="V220" s="47"/>
      <c r="W220" s="47"/>
      <c r="X220" s="47"/>
      <c r="Y220" s="47"/>
      <c r="Z220" s="47"/>
      <c r="AA220" s="47"/>
      <c r="AB220" s="47"/>
      <c r="AC220" s="47"/>
      <c r="AD220" s="47"/>
      <c r="AE220" s="47"/>
      <c r="AF220" s="47"/>
      <c r="AG220" s="47"/>
      <c r="AH220" s="47"/>
      <c r="AI220" s="47"/>
      <c r="AJ220" s="47"/>
      <c r="AK220" s="47"/>
      <c r="AL220" s="47"/>
      <c r="AM220" s="47"/>
      <c r="AN220" s="47"/>
      <c r="AO220" s="47"/>
      <c r="AP220" s="47"/>
      <c r="AQ220" s="47"/>
      <c r="AR220" s="47"/>
      <c r="AS220" s="47"/>
      <c r="AT220" s="47"/>
      <c r="AU220" s="47"/>
      <c r="AV220" s="47"/>
      <c r="AW220" s="47"/>
      <c r="AX220" s="47"/>
      <c r="AY220" s="47"/>
      <c r="AZ220" s="47"/>
      <c r="BA220" s="47"/>
      <c r="BB220" s="47"/>
      <c r="BC220" s="47"/>
      <c r="BD220" s="47"/>
      <c r="BE220" s="47"/>
      <c r="BF220" s="47"/>
      <c r="BK220" s="78"/>
    </row>
    <row r="221" spans="1:64" x14ac:dyDescent="0.2">
      <c r="A221" s="46" t="s">
        <v>1508</v>
      </c>
      <c r="C221" s="47">
        <f>+HLOOKUP(C1,'השקעות 2012-2014'!$1:$103,94,0)</f>
        <v>12736</v>
      </c>
      <c r="D221" s="47">
        <f>+HLOOKUP(D1,'השקעות 2012-2014'!$1:$103,94,0)</f>
        <v>7325</v>
      </c>
      <c r="E221" s="47">
        <f>+HLOOKUP(E1,'השקעות 2012-2014'!$1:$103,94,0)</f>
        <v>10795</v>
      </c>
      <c r="F221" s="47">
        <f>+HLOOKUP(F1,'השקעות 2012-2014'!$1:$103,94,0)</f>
        <v>2336</v>
      </c>
      <c r="G221" s="47">
        <f>+HLOOKUP(G1,'השקעות 2012-2014'!$1:$103,94,0)</f>
        <v>5034</v>
      </c>
      <c r="H221" s="47">
        <f>+HLOOKUP(H1,'השקעות 2012-2014'!$1:$103,94,0)</f>
        <v>40155</v>
      </c>
      <c r="I221" s="47">
        <f>+HLOOKUP(I1,'השקעות 2012-2014'!$1:$103,94,0)</f>
        <v>35933</v>
      </c>
      <c r="J221" s="47">
        <f>+HLOOKUP(J1,'השקעות 2012-2014'!$1:$103,94,0)</f>
        <v>784</v>
      </c>
      <c r="K221" s="47">
        <f>+HLOOKUP(K1,'השקעות 2012-2014'!$1:$103,94,0)</f>
        <v>5000</v>
      </c>
      <c r="L221" s="47">
        <f>+HLOOKUP(L1,'השקעות 2012-2014'!$1:$103,94,0)</f>
        <v>1765</v>
      </c>
      <c r="M221" s="47">
        <f>+HLOOKUP(M1,'השקעות 2012-2014'!$1:$103,94,0)</f>
        <v>26044</v>
      </c>
      <c r="N221" s="47">
        <f>+HLOOKUP(N1,'השקעות 2012-2014'!$1:$103,94,0)</f>
        <v>25361</v>
      </c>
      <c r="O221" s="47">
        <f>+HLOOKUP(O1,'השקעות 2012-2014'!$1:$103,94,0)</f>
        <v>22638</v>
      </c>
      <c r="P221" s="47">
        <f>+HLOOKUP(P1,'השקעות 2012-2014'!$1:$103,94,0)</f>
        <v>4649</v>
      </c>
      <c r="Q221" s="47">
        <f>+HLOOKUP(Q1,'השקעות 2012-2014'!$1:$103,94,0)</f>
        <v>6999</v>
      </c>
      <c r="R221" s="47">
        <f>+HLOOKUP(R1,'השקעות 2012-2014'!$1:$103,94,0)</f>
        <v>6693</v>
      </c>
      <c r="S221" s="47">
        <f>+HLOOKUP(S1,'השקעות 2012-2014'!$1:$103,94,0)</f>
        <v>2645</v>
      </c>
      <c r="T221" s="47">
        <f>+HLOOKUP(T1,'השקעות 2012-2014'!$1:$103,94,0)</f>
        <v>1792</v>
      </c>
      <c r="U221" s="47">
        <f>+HLOOKUP(U1,'השקעות 2012-2014'!$1:$103,94,0)</f>
        <v>5530</v>
      </c>
      <c r="V221" s="47">
        <f>+HLOOKUP(V1,'השקעות 2012-2014'!$1:$103,94,0)</f>
        <v>10124</v>
      </c>
      <c r="W221" s="47">
        <f>+HLOOKUP(W1,'השקעות 2012-2014'!$1:$103,94,0)</f>
        <v>7874</v>
      </c>
      <c r="X221" s="47">
        <f>+HLOOKUP(X1,'השקעות 2012-2014'!$1:$103,94,0)</f>
        <v>16734</v>
      </c>
      <c r="Y221" s="47">
        <f>+HLOOKUP(Y1,'השקעות 2012-2014'!$1:$103,94,0)</f>
        <v>3220</v>
      </c>
      <c r="Z221" s="47">
        <f>+HLOOKUP(Z1,'השקעות 2012-2014'!$1:$103,94,0)</f>
        <v>10800</v>
      </c>
      <c r="AA221" s="47">
        <f>+HLOOKUP(AA1,'השקעות 2012-2014'!$1:$103,94,0)</f>
        <v>1643</v>
      </c>
      <c r="AB221" s="47">
        <f>+HLOOKUP(AB1,'השקעות 2012-2014'!$1:$103,94,0)</f>
        <v>3751</v>
      </c>
      <c r="AC221" s="47">
        <f>+HLOOKUP(AC1,'השקעות 2012-2014'!$1:$103,94,0)</f>
        <v>8502</v>
      </c>
      <c r="AD221" s="47">
        <f>+HLOOKUP(AD1,'השקעות 2012-2014'!$1:$103,94,0)</f>
        <v>7283</v>
      </c>
      <c r="AE221" s="47">
        <f>+HLOOKUP(AE1,'השקעות 2012-2014'!$1:$103,94,0)</f>
        <v>26021</v>
      </c>
      <c r="AF221" s="47">
        <f>+HLOOKUP(AF1,'השקעות 2012-2014'!$1:$103,94,0)</f>
        <v>13426</v>
      </c>
      <c r="AG221" s="47">
        <f>+HLOOKUP(AG1,'השקעות 2012-2014'!$1:$103,94,0)</f>
        <v>3733</v>
      </c>
      <c r="AH221" s="47">
        <f>+HLOOKUP(AH1,'השקעות 2012-2014'!$1:$103,94,0)</f>
        <v>0</v>
      </c>
      <c r="AI221" s="47">
        <f>+HLOOKUP(AI1,'השקעות 2012-2014'!$1:$103,94,0)</f>
        <v>3810</v>
      </c>
      <c r="AJ221" s="47">
        <f>+HLOOKUP(AJ1,'השקעות 2012-2014'!$1:$103,94,0)</f>
        <v>691</v>
      </c>
      <c r="AK221" s="47">
        <f>+HLOOKUP(AK1,'השקעות 2012-2014'!$1:$103,94,0)</f>
        <v>448</v>
      </c>
      <c r="AL221" s="47">
        <f>+HLOOKUP(AL1,'השקעות 2012-2014'!$1:$103,94,0)</f>
        <v>13847</v>
      </c>
      <c r="AM221" s="47">
        <f>+HLOOKUP(AM1,'השקעות 2012-2014'!$1:$103,94,0)</f>
        <v>2187</v>
      </c>
      <c r="AN221" s="47">
        <f>+HLOOKUP(AN1,'השקעות 2012-2014'!$1:$103,94,0)</f>
        <v>1956</v>
      </c>
      <c r="AO221" s="47">
        <f>+HLOOKUP(AO1,'השקעות 2012-2014'!$1:$103,94,0)</f>
        <v>7806</v>
      </c>
      <c r="AP221" s="47">
        <f>+HLOOKUP(AP1,'השקעות 2012-2014'!$1:$103,94,0)</f>
        <v>1380</v>
      </c>
      <c r="AQ221" s="47">
        <f>+HLOOKUP(AQ1,'השקעות 2012-2014'!$1:$103,94,0)</f>
        <v>8423</v>
      </c>
      <c r="AR221" s="47">
        <f>+HLOOKUP(AR1,'השקעות 2012-2014'!$1:$103,94,0)</f>
        <v>2763</v>
      </c>
      <c r="AS221" s="47">
        <f>+HLOOKUP(AS1,'השקעות 2012-2014'!$1:$103,94,0)</f>
        <v>17463</v>
      </c>
      <c r="AT221" s="47">
        <f>+HLOOKUP(AT1,'השקעות 2012-2014'!$1:$103,94,0)</f>
        <v>6731</v>
      </c>
      <c r="AU221" s="47">
        <f>+HLOOKUP(AU1,'השקעות 2012-2014'!$1:$103,94,0)</f>
        <v>8042</v>
      </c>
      <c r="AV221" s="47">
        <f>+HLOOKUP(AV1,'השקעות 2012-2014'!$1:$103,94,0)</f>
        <v>7464</v>
      </c>
      <c r="AW221" s="47">
        <f>+HLOOKUP(AW1,'השקעות 2012-2014'!$1:$103,94,0)</f>
        <v>8545</v>
      </c>
      <c r="AX221" s="47">
        <f>+HLOOKUP(AX1,'השקעות 2012-2014'!$1:$103,94,0)</f>
        <v>3355</v>
      </c>
      <c r="AY221" s="47">
        <f>+HLOOKUP(AY1,'השקעות 2012-2014'!$1:$103,94,0)</f>
        <v>373</v>
      </c>
      <c r="AZ221" s="47">
        <f>+HLOOKUP(AZ1,'השקעות 2012-2014'!$1:$103,94,0)</f>
        <v>7214</v>
      </c>
      <c r="BA221" s="47">
        <f>+HLOOKUP(BA1,'השקעות 2012-2014'!$1:$103,94,0)</f>
        <v>848</v>
      </c>
      <c r="BB221" s="47">
        <f>+HLOOKUP(BB1,'השקעות 2012-2014'!$1:$103,94,0)</f>
        <v>4889</v>
      </c>
      <c r="BC221" s="47">
        <f>+HLOOKUP(BC1,'השקעות 2012-2014'!$1:$103,94,0)</f>
        <v>13846</v>
      </c>
      <c r="BD221" s="47">
        <f>+HLOOKUP(BD1,'השקעות 2012-2014'!$1:$103,94,0)</f>
        <v>4347</v>
      </c>
      <c r="BE221" s="47">
        <f>+HLOOKUP(BE1,'השקעות 2012-2014'!$1:$103,94,0)</f>
        <v>638</v>
      </c>
      <c r="BF221" s="47">
        <f>+HLOOKUP(BF1,'השקעות 2012-2014'!$1:$103,94,0)</f>
        <v>0</v>
      </c>
      <c r="BK221" s="78">
        <f>SUM(C221:BE221)</f>
        <v>464391</v>
      </c>
      <c r="BL221" s="78">
        <f>+BK221+BK219+BK217</f>
        <v>1129676.936</v>
      </c>
    </row>
    <row r="222" spans="1:64" x14ac:dyDescent="0.2">
      <c r="A222" s="46"/>
      <c r="C222" s="47"/>
      <c r="D222" s="47"/>
      <c r="E222" s="47"/>
      <c r="F222" s="47"/>
      <c r="G222" s="47"/>
      <c r="H222" s="47"/>
      <c r="I222" s="47"/>
      <c r="J222" s="47"/>
      <c r="K222" s="47"/>
      <c r="L222" s="47"/>
      <c r="M222" s="47"/>
      <c r="N222" s="47"/>
      <c r="O222" s="47"/>
      <c r="P222" s="47"/>
      <c r="Q222" s="47"/>
      <c r="R222" s="47"/>
      <c r="S222" s="47"/>
      <c r="T222" s="47"/>
      <c r="U222" s="47"/>
      <c r="V222" s="47"/>
      <c r="W222" s="47"/>
      <c r="X222" s="47"/>
      <c r="Y222" s="47"/>
      <c r="Z222" s="47"/>
      <c r="AA222" s="47"/>
      <c r="AB222" s="47"/>
      <c r="AC222" s="47"/>
      <c r="AD222" s="47"/>
      <c r="AE222" s="47"/>
      <c r="AF222" s="47"/>
      <c r="AG222" s="47"/>
      <c r="AH222" s="47"/>
      <c r="AI222" s="47"/>
      <c r="AJ222" s="47"/>
      <c r="AK222" s="47"/>
      <c r="AL222" s="47"/>
      <c r="AM222" s="47"/>
      <c r="AN222" s="47"/>
      <c r="AO222" s="47"/>
      <c r="AP222" s="47"/>
      <c r="AQ222" s="47"/>
      <c r="AR222" s="47"/>
      <c r="AS222" s="47"/>
      <c r="AT222" s="47"/>
      <c r="AU222" s="47"/>
      <c r="AV222" s="47"/>
      <c r="AW222" s="47"/>
      <c r="AX222" s="47"/>
      <c r="AY222" s="47"/>
      <c r="AZ222" s="47"/>
      <c r="BA222" s="47"/>
      <c r="BB222" s="47"/>
      <c r="BC222" s="47"/>
      <c r="BD222" s="47"/>
      <c r="BE222" s="47"/>
      <c r="BF222" s="47"/>
      <c r="BK222" s="78"/>
      <c r="BL222" s="78"/>
    </row>
    <row r="223" spans="1:64" x14ac:dyDescent="0.2">
      <c r="A223" s="46" t="s">
        <v>1528</v>
      </c>
      <c r="C223" s="47">
        <v>21434</v>
      </c>
      <c r="D223" s="47">
        <v>1998</v>
      </c>
      <c r="E223" s="47">
        <f>72+22836</f>
        <v>22908</v>
      </c>
      <c r="F223" s="47">
        <v>1745</v>
      </c>
      <c r="G223" s="47">
        <v>6279</v>
      </c>
      <c r="H223" s="47">
        <v>92763</v>
      </c>
      <c r="I223" s="47">
        <v>42655</v>
      </c>
      <c r="J223" s="47">
        <v>4678</v>
      </c>
      <c r="K223" s="47">
        <v>24</v>
      </c>
      <c r="L223" s="47">
        <f>996+6982+1165</f>
        <v>9143</v>
      </c>
      <c r="M223" s="47">
        <v>779</v>
      </c>
      <c r="N223" s="47">
        <v>6721</v>
      </c>
      <c r="O223" s="47">
        <v>13624</v>
      </c>
      <c r="P223" s="47">
        <v>0</v>
      </c>
      <c r="Q223" s="5">
        <f>10934+2679</f>
        <v>13613</v>
      </c>
      <c r="R223" s="47">
        <v>834</v>
      </c>
      <c r="S223" s="5">
        <v>1199</v>
      </c>
      <c r="T223" s="47">
        <f>235+1544</f>
        <v>1779</v>
      </c>
      <c r="U223" s="5">
        <v>4800</v>
      </c>
      <c r="V223" s="47">
        <v>8062</v>
      </c>
      <c r="W223" s="47">
        <v>0</v>
      </c>
      <c r="X223" s="47">
        <v>9615</v>
      </c>
      <c r="Y223" s="5">
        <v>0</v>
      </c>
      <c r="Z223" s="47">
        <v>372</v>
      </c>
      <c r="AA223" s="47">
        <v>10046</v>
      </c>
      <c r="AB223" s="47">
        <v>1159</v>
      </c>
      <c r="AC223" s="5">
        <v>8767</v>
      </c>
      <c r="AD223" s="5">
        <v>1098</v>
      </c>
      <c r="AE223" s="5">
        <v>34631</v>
      </c>
      <c r="AF223" s="5">
        <v>0</v>
      </c>
      <c r="AG223" s="47">
        <v>375</v>
      </c>
      <c r="AH223" s="5">
        <v>4759</v>
      </c>
      <c r="AI223" s="47">
        <v>2782</v>
      </c>
      <c r="AJ223" s="5">
        <v>74</v>
      </c>
      <c r="AK223" s="47">
        <v>0</v>
      </c>
      <c r="AL223" s="47">
        <v>96100</v>
      </c>
      <c r="AM223" s="47">
        <v>848</v>
      </c>
      <c r="AN223" s="5">
        <v>0</v>
      </c>
      <c r="AO223" s="5">
        <v>5026</v>
      </c>
      <c r="AP223" s="5">
        <v>13166</v>
      </c>
      <c r="AQ223" s="5">
        <v>1411</v>
      </c>
      <c r="AR223" s="5">
        <v>1099</v>
      </c>
      <c r="AS223" s="47">
        <v>0</v>
      </c>
      <c r="AT223" s="47">
        <v>3135</v>
      </c>
      <c r="AU223" s="5">
        <v>668</v>
      </c>
      <c r="AV223" s="5">
        <v>0</v>
      </c>
      <c r="AW223" s="47">
        <v>4048</v>
      </c>
      <c r="AX223" s="47">
        <v>8547</v>
      </c>
      <c r="AY223" s="47">
        <v>6</v>
      </c>
      <c r="AZ223" s="5">
        <v>0</v>
      </c>
      <c r="BA223" s="47">
        <v>7784</v>
      </c>
      <c r="BB223" s="5">
        <v>201</v>
      </c>
      <c r="BC223" s="5">
        <v>6853</v>
      </c>
      <c r="BD223" s="47">
        <v>2507</v>
      </c>
      <c r="BE223" s="47">
        <v>13</v>
      </c>
      <c r="BF223" s="47">
        <v>0</v>
      </c>
      <c r="BK223" s="78">
        <f>SUM(C223:BE223)</f>
        <v>480128</v>
      </c>
      <c r="BL223" s="5">
        <f>+'[12]נתוני תאגידים'!$BG$217</f>
        <v>299780</v>
      </c>
    </row>
    <row r="224" spans="1:64" x14ac:dyDescent="0.2">
      <c r="A224" s="46"/>
      <c r="C224" s="47"/>
      <c r="D224" s="47"/>
      <c r="E224" s="47"/>
      <c r="F224" s="47"/>
      <c r="G224" s="47"/>
      <c r="H224" s="47"/>
      <c r="I224" s="47"/>
      <c r="J224" s="47"/>
      <c r="K224" s="47"/>
      <c r="L224" s="47"/>
      <c r="M224" s="47"/>
      <c r="N224" s="47"/>
      <c r="O224" s="47"/>
      <c r="P224" s="47"/>
      <c r="Q224" s="5"/>
      <c r="R224" s="47"/>
      <c r="S224" s="5"/>
      <c r="T224" s="47"/>
      <c r="U224" s="5"/>
      <c r="V224" s="47"/>
      <c r="W224" s="47"/>
      <c r="X224" s="47"/>
      <c r="Y224" s="5"/>
      <c r="Z224" s="47"/>
      <c r="AA224" s="47"/>
      <c r="AB224" s="47"/>
      <c r="AC224" s="5"/>
      <c r="AD224" s="5"/>
      <c r="AE224" s="5"/>
      <c r="AF224" s="5"/>
      <c r="AG224" s="47"/>
      <c r="AH224" s="5"/>
      <c r="AI224" s="47"/>
      <c r="AJ224" s="5"/>
      <c r="AK224" s="47"/>
      <c r="AL224" s="47"/>
      <c r="AM224" s="47"/>
      <c r="AN224" s="5"/>
      <c r="AO224" s="5"/>
      <c r="AP224" s="5"/>
      <c r="AQ224" s="5"/>
      <c r="AR224" s="5"/>
      <c r="AS224" s="47"/>
      <c r="AT224" s="47"/>
      <c r="AU224" s="5"/>
      <c r="AV224" s="5"/>
      <c r="AW224" s="47"/>
      <c r="AX224" s="47"/>
      <c r="AY224" s="47"/>
      <c r="AZ224" s="5"/>
      <c r="BA224" s="47"/>
      <c r="BB224" s="5"/>
      <c r="BC224" s="5"/>
      <c r="BD224" s="47"/>
      <c r="BE224" s="47"/>
      <c r="BF224" s="47"/>
    </row>
    <row r="225" spans="1:63" x14ac:dyDescent="0.2">
      <c r="A225" s="46" t="s">
        <v>1539</v>
      </c>
      <c r="C225" s="47">
        <f>-SUM(C211:C215)*1/30*3</f>
        <v>-6768.5999999999995</v>
      </c>
      <c r="D225" s="47">
        <f t="shared" ref="D225:BE225" si="9">-SUM(D211:D215)*1/30*3</f>
        <v>-935.3</v>
      </c>
      <c r="E225" s="47">
        <f t="shared" si="9"/>
        <v>-1142.5</v>
      </c>
      <c r="F225" s="47">
        <f t="shared" si="9"/>
        <v>-241.90000000000003</v>
      </c>
      <c r="G225" s="47">
        <f t="shared" si="9"/>
        <v>-423.69999999999993</v>
      </c>
      <c r="H225" s="47">
        <f t="shared" si="9"/>
        <v>-6776.3000000000011</v>
      </c>
      <c r="I225" s="47">
        <f t="shared" si="9"/>
        <v>-4941.2999999999993</v>
      </c>
      <c r="J225" s="47">
        <f t="shared" si="9"/>
        <v>-1419.2</v>
      </c>
      <c r="K225" s="47">
        <f t="shared" si="9"/>
        <v>-334.3</v>
      </c>
      <c r="L225" s="47">
        <f t="shared" si="9"/>
        <v>-1968.7</v>
      </c>
      <c r="M225" s="47">
        <f t="shared" si="9"/>
        <v>-893.2</v>
      </c>
      <c r="N225" s="47">
        <f t="shared" si="9"/>
        <v>-1593.2000000000003</v>
      </c>
      <c r="O225" s="47">
        <f t="shared" si="9"/>
        <v>-2554.5</v>
      </c>
      <c r="P225" s="47">
        <f t="shared" si="9"/>
        <v>-2723.7999999999997</v>
      </c>
      <c r="Q225" s="47">
        <f t="shared" si="9"/>
        <v>-994.39999999999986</v>
      </c>
      <c r="R225" s="47">
        <f t="shared" si="9"/>
        <v>-395.06799999999998</v>
      </c>
      <c r="S225" s="47">
        <f t="shared" si="9"/>
        <v>-912.2</v>
      </c>
      <c r="T225" s="47">
        <f t="shared" si="9"/>
        <v>-440.09999999999997</v>
      </c>
      <c r="U225" s="47">
        <f t="shared" si="9"/>
        <v>-542.19999999999993</v>
      </c>
      <c r="V225" s="47">
        <f t="shared" si="9"/>
        <v>-448.79999999999995</v>
      </c>
      <c r="W225" s="47">
        <f t="shared" si="9"/>
        <v>-1695.3000000000002</v>
      </c>
      <c r="X225" s="47">
        <f t="shared" si="9"/>
        <v>-1003.8261</v>
      </c>
      <c r="Y225" s="47">
        <f t="shared" si="9"/>
        <v>-144.80000000000001</v>
      </c>
      <c r="Z225" s="47">
        <f t="shared" si="9"/>
        <v>-355.48690000000005</v>
      </c>
      <c r="AA225" s="47">
        <f t="shared" si="9"/>
        <v>-439.79999999999995</v>
      </c>
      <c r="AB225" s="47">
        <f t="shared" si="9"/>
        <v>-77.2</v>
      </c>
      <c r="AC225" s="47">
        <f t="shared" si="9"/>
        <v>-552.83420000000001</v>
      </c>
      <c r="AD225" s="47">
        <f t="shared" si="9"/>
        <v>-478.7</v>
      </c>
      <c r="AE225" s="47">
        <f t="shared" si="9"/>
        <v>-1609.6</v>
      </c>
      <c r="AF225" s="47">
        <f t="shared" si="9"/>
        <v>-2135.1999999999998</v>
      </c>
      <c r="AG225" s="47">
        <f t="shared" si="9"/>
        <v>-4.6000000000000005</v>
      </c>
      <c r="AH225" s="47">
        <f t="shared" si="9"/>
        <v>-8.5</v>
      </c>
      <c r="AI225" s="47">
        <f t="shared" si="9"/>
        <v>-61.199999999999996</v>
      </c>
      <c r="AJ225" s="47">
        <f t="shared" si="9"/>
        <v>-0.1</v>
      </c>
      <c r="AK225" s="47">
        <f t="shared" si="9"/>
        <v>0</v>
      </c>
      <c r="AL225" s="47">
        <f t="shared" si="9"/>
        <v>-562.1</v>
      </c>
      <c r="AM225" s="47">
        <f t="shared" si="9"/>
        <v>-1080.4000000000001</v>
      </c>
      <c r="AN225" s="47">
        <f t="shared" si="9"/>
        <v>0</v>
      </c>
      <c r="AO225" s="47">
        <f t="shared" si="9"/>
        <v>-0.30000000000000004</v>
      </c>
      <c r="AP225" s="47">
        <f t="shared" si="9"/>
        <v>-29.306400000000004</v>
      </c>
      <c r="AQ225" s="47">
        <f t="shared" si="9"/>
        <v>-792.36450000000013</v>
      </c>
      <c r="AR225" s="47">
        <f t="shared" si="9"/>
        <v>-13</v>
      </c>
      <c r="AS225" s="47">
        <f t="shared" si="9"/>
        <v>-1319.4</v>
      </c>
      <c r="AT225" s="47">
        <f t="shared" si="9"/>
        <v>-17.5</v>
      </c>
      <c r="AU225" s="47">
        <f t="shared" si="9"/>
        <v>-255</v>
      </c>
      <c r="AV225" s="47">
        <f t="shared" si="9"/>
        <v>-392.30000000000007</v>
      </c>
      <c r="AW225" s="47">
        <f t="shared" si="9"/>
        <v>-178.1</v>
      </c>
      <c r="AX225" s="47">
        <f t="shared" si="9"/>
        <v>0</v>
      </c>
      <c r="AY225" s="47">
        <f t="shared" si="9"/>
        <v>-59.099999999999994</v>
      </c>
      <c r="AZ225" s="47">
        <f t="shared" si="9"/>
        <v>-24.800000000000004</v>
      </c>
      <c r="BA225" s="47">
        <f t="shared" si="9"/>
        <v>-32.400000000000006</v>
      </c>
      <c r="BB225" s="47">
        <f t="shared" si="9"/>
        <v>-632.40000000000009</v>
      </c>
      <c r="BC225" s="47">
        <f t="shared" si="9"/>
        <v>-573.1</v>
      </c>
      <c r="BD225" s="47">
        <f t="shared" si="9"/>
        <v>0</v>
      </c>
      <c r="BE225" s="47">
        <f t="shared" si="9"/>
        <v>0</v>
      </c>
      <c r="BF225" s="47">
        <f>-SUM(BF211:BF215)*1/30*3</f>
        <v>0</v>
      </c>
      <c r="BK225" s="78">
        <f>SUM(C225:BE225)</f>
        <v>-50977.986100000002</v>
      </c>
    </row>
    <row r="226" spans="1:63" x14ac:dyDescent="0.2">
      <c r="C226" s="1081"/>
      <c r="D226" s="1081"/>
      <c r="E226" s="1081"/>
      <c r="F226" s="1081"/>
      <c r="G226" s="1081"/>
      <c r="H226" s="1081"/>
      <c r="I226" s="1081"/>
      <c r="J226" s="1081"/>
      <c r="K226" s="1081"/>
      <c r="L226" s="1081"/>
      <c r="M226" s="1081"/>
      <c r="N226" s="1081"/>
      <c r="O226" s="1081"/>
      <c r="P226" s="1081"/>
      <c r="Q226" s="5"/>
      <c r="R226" s="1082"/>
      <c r="S226" s="5"/>
      <c r="T226" s="47"/>
      <c r="U226" s="5"/>
      <c r="V226" s="47"/>
      <c r="W226" s="1081"/>
      <c r="X226" s="47"/>
      <c r="Y226" s="5"/>
      <c r="Z226" s="47"/>
      <c r="AA226" s="47"/>
      <c r="AB226" s="47"/>
      <c r="AC226" s="5"/>
      <c r="AD226" s="5"/>
      <c r="AE226" s="5"/>
      <c r="AF226" s="5"/>
      <c r="AG226" s="1082"/>
      <c r="AH226" s="5"/>
      <c r="AI226" s="5"/>
      <c r="AJ226" s="47"/>
      <c r="AK226" s="5"/>
      <c r="AL226" s="1083"/>
      <c r="AM226" s="1081"/>
      <c r="AN226" s="47"/>
      <c r="AO226" s="5"/>
      <c r="AP226" s="5"/>
      <c r="AQ226" s="5"/>
      <c r="AR226" s="5"/>
      <c r="AS226" s="5"/>
      <c r="AT226" s="47"/>
      <c r="AU226" s="47"/>
      <c r="AV226" s="5"/>
      <c r="AW226" s="5"/>
      <c r="AX226" s="1081"/>
      <c r="AY226" s="47"/>
      <c r="AZ226" s="807"/>
      <c r="BA226" s="5"/>
      <c r="BB226" s="47"/>
      <c r="BC226" s="5"/>
      <c r="BD226" s="5"/>
      <c r="BE226" s="47"/>
      <c r="BF226" s="47"/>
      <c r="BG226" s="47"/>
      <c r="BH226" s="78"/>
    </row>
    <row r="227" spans="1:63" x14ac:dyDescent="0.2">
      <c r="A227" s="46"/>
      <c r="C227" s="1081"/>
      <c r="D227" s="1081"/>
      <c r="E227" s="1081"/>
      <c r="F227" s="1081"/>
      <c r="G227" s="1081"/>
      <c r="H227" s="1081"/>
      <c r="I227" s="1081"/>
      <c r="J227" s="1081"/>
      <c r="K227" s="1081"/>
      <c r="L227" s="1081"/>
      <c r="M227" s="1081"/>
      <c r="N227" s="1081"/>
      <c r="O227" s="1081"/>
      <c r="P227" s="1081"/>
      <c r="Q227" s="5"/>
      <c r="R227" s="1082"/>
      <c r="S227" s="5"/>
      <c r="T227" s="47"/>
      <c r="U227" s="5"/>
      <c r="V227" s="47"/>
      <c r="W227" s="1081"/>
      <c r="X227" s="47"/>
      <c r="Y227" s="5"/>
      <c r="Z227" s="47"/>
      <c r="AA227" s="47"/>
      <c r="AB227" s="47"/>
      <c r="AC227" s="5"/>
      <c r="AD227" s="5"/>
      <c r="AE227" s="5"/>
      <c r="AF227" s="5"/>
      <c r="AG227" s="1082"/>
      <c r="AH227" s="5"/>
      <c r="AI227" s="5"/>
      <c r="AJ227" s="47"/>
      <c r="AK227" s="5"/>
      <c r="AL227" s="1083"/>
      <c r="AM227" s="1081"/>
      <c r="AN227" s="47"/>
      <c r="AO227" s="5"/>
      <c r="AP227" s="5"/>
      <c r="AQ227" s="5"/>
      <c r="AR227" s="5"/>
      <c r="AS227" s="5"/>
      <c r="AT227" s="47"/>
      <c r="AU227" s="47"/>
      <c r="AV227" s="5"/>
      <c r="AW227" s="5"/>
      <c r="AX227" s="1081"/>
      <c r="AY227" s="47"/>
      <c r="AZ227" s="807"/>
      <c r="BA227" s="5"/>
      <c r="BB227" s="47"/>
      <c r="BC227" s="5"/>
      <c r="BD227" s="5"/>
      <c r="BE227" s="47"/>
      <c r="BF227" s="47"/>
      <c r="BG227" s="47"/>
    </row>
    <row r="228" spans="1:63" x14ac:dyDescent="0.2">
      <c r="A228" s="46"/>
      <c r="C228" s="1081"/>
      <c r="D228" s="1081"/>
      <c r="E228" s="1081"/>
      <c r="F228" s="1081"/>
      <c r="G228" s="1081"/>
      <c r="H228" s="1081"/>
      <c r="I228" s="1081"/>
      <c r="J228" s="1081"/>
      <c r="K228" s="1081"/>
      <c r="L228" s="1081"/>
      <c r="M228" s="1081"/>
      <c r="N228" s="1081"/>
      <c r="O228" s="1081"/>
      <c r="P228" s="1081"/>
      <c r="Q228" s="5"/>
      <c r="R228" s="1082"/>
      <c r="S228" s="5"/>
      <c r="T228" s="47"/>
      <c r="U228" s="5"/>
      <c r="V228" s="47"/>
      <c r="W228" s="1081"/>
      <c r="X228" s="47"/>
      <c r="Y228" s="5"/>
      <c r="Z228" s="47"/>
      <c r="AA228" s="47"/>
      <c r="AB228" s="47"/>
      <c r="AC228" s="5"/>
      <c r="AD228" s="5"/>
      <c r="AE228" s="5"/>
      <c r="AF228" s="5"/>
      <c r="AG228" s="1082"/>
      <c r="AH228" s="5"/>
      <c r="AI228" s="5"/>
      <c r="AJ228" s="47"/>
      <c r="AK228" s="5"/>
      <c r="AL228" s="1083"/>
      <c r="AM228" s="1081"/>
      <c r="AN228" s="47"/>
      <c r="AO228" s="5"/>
      <c r="AP228" s="5"/>
      <c r="AQ228" s="5"/>
      <c r="AR228" s="5"/>
      <c r="AS228" s="5"/>
      <c r="AT228" s="47"/>
      <c r="AU228" s="47"/>
      <c r="AV228" s="5"/>
      <c r="AW228" s="5"/>
      <c r="AX228" s="1081"/>
      <c r="AY228" s="47"/>
      <c r="AZ228" s="807"/>
      <c r="BA228" s="5"/>
      <c r="BB228" s="47"/>
      <c r="BC228" s="5"/>
      <c r="BD228" s="5"/>
      <c r="BE228" s="47"/>
      <c r="BF228" s="47"/>
      <c r="BG228" s="47"/>
    </row>
    <row r="229" spans="1:63" x14ac:dyDescent="0.2">
      <c r="A229" s="46"/>
      <c r="C229" s="1081"/>
      <c r="D229" s="1081"/>
      <c r="E229" s="1081"/>
      <c r="F229" s="1081"/>
      <c r="G229" s="1081"/>
      <c r="H229" s="1081"/>
      <c r="I229" s="1081"/>
      <c r="J229" s="1081"/>
      <c r="K229" s="1081"/>
      <c r="L229" s="1081"/>
      <c r="M229" s="1081"/>
      <c r="N229" s="1081"/>
      <c r="O229" s="1081"/>
      <c r="P229" s="1081"/>
      <c r="Q229" s="5"/>
      <c r="R229" s="1082"/>
      <c r="S229" s="5"/>
      <c r="T229" s="47"/>
      <c r="U229" s="5"/>
      <c r="V229" s="47"/>
      <c r="W229" s="1081"/>
      <c r="X229" s="47"/>
      <c r="Y229" s="5"/>
      <c r="Z229" s="47"/>
      <c r="AA229" s="47"/>
      <c r="AB229" s="47"/>
      <c r="AC229" s="5"/>
      <c r="AD229" s="5"/>
      <c r="AE229" s="5"/>
      <c r="AF229" s="5"/>
      <c r="AG229" s="1082"/>
      <c r="AH229" s="5"/>
      <c r="AI229" s="5"/>
      <c r="AJ229" s="47"/>
      <c r="AK229" s="5"/>
      <c r="AL229" s="1083"/>
      <c r="AM229" s="1081"/>
      <c r="AN229" s="47"/>
      <c r="AO229" s="5"/>
      <c r="AP229" s="5"/>
      <c r="AQ229" s="5"/>
      <c r="AR229" s="5"/>
      <c r="AS229" s="5"/>
      <c r="AT229" s="47"/>
      <c r="AU229" s="47"/>
      <c r="AV229" s="5"/>
      <c r="AW229" s="5"/>
      <c r="AX229" s="1081"/>
      <c r="AY229" s="47"/>
      <c r="AZ229" s="807"/>
      <c r="BA229" s="5"/>
      <c r="BB229" s="47"/>
      <c r="BC229" s="5"/>
      <c r="BD229" s="5"/>
      <c r="BE229" s="47"/>
      <c r="BF229" s="47"/>
      <c r="BG229" s="47"/>
    </row>
    <row r="230" spans="1:63" x14ac:dyDescent="0.2">
      <c r="A230" s="46"/>
      <c r="C230" s="47"/>
      <c r="D230" s="47"/>
      <c r="E230" s="47"/>
      <c r="F230" s="47"/>
      <c r="G230" s="47"/>
      <c r="H230" s="47"/>
      <c r="I230" s="47"/>
      <c r="J230" s="47"/>
      <c r="K230" s="47"/>
      <c r="L230" s="47"/>
      <c r="M230" s="47"/>
      <c r="N230" s="47"/>
      <c r="O230" s="47"/>
      <c r="P230" s="47"/>
      <c r="Q230" s="5"/>
      <c r="R230" s="47"/>
      <c r="S230" s="5"/>
      <c r="T230" s="47"/>
      <c r="U230" s="5"/>
      <c r="V230" s="47"/>
      <c r="W230" s="47"/>
      <c r="X230" s="47"/>
      <c r="Y230" s="5"/>
      <c r="Z230" s="47"/>
      <c r="AA230" s="47"/>
      <c r="AB230" s="47"/>
      <c r="AC230" s="5"/>
      <c r="AD230" s="5"/>
      <c r="AE230" s="5"/>
      <c r="AF230" s="5"/>
      <c r="AG230" s="47"/>
      <c r="AH230" s="5"/>
      <c r="AI230" s="47"/>
      <c r="AJ230" s="5"/>
      <c r="AK230" s="47"/>
      <c r="AL230" s="47"/>
      <c r="AM230" s="47"/>
      <c r="AN230" s="5"/>
      <c r="AO230" s="5"/>
      <c r="AP230" s="5"/>
      <c r="AQ230" s="5"/>
      <c r="AR230" s="5"/>
      <c r="AS230" s="47"/>
      <c r="AT230" s="47"/>
      <c r="AU230" s="5"/>
      <c r="AV230" s="5"/>
      <c r="AW230" s="47"/>
      <c r="AX230" s="47"/>
      <c r="AY230" s="47"/>
      <c r="AZ230" s="5"/>
      <c r="BA230" s="47"/>
      <c r="BB230" s="5"/>
      <c r="BC230" s="5"/>
      <c r="BD230" s="47"/>
      <c r="BE230" s="47"/>
      <c r="BF230" s="47"/>
    </row>
    <row r="231" spans="1:63" x14ac:dyDescent="0.2">
      <c r="A231" s="46" t="s">
        <v>588</v>
      </c>
      <c r="C231" s="47"/>
      <c r="D231" s="47">
        <f>-3638-2045</f>
        <v>-5683</v>
      </c>
      <c r="E231" s="47"/>
      <c r="F231" s="47">
        <v>-1757</v>
      </c>
      <c r="G231" s="47"/>
      <c r="H231" s="47"/>
      <c r="I231" s="47">
        <v>-3041</v>
      </c>
      <c r="J231" s="47"/>
      <c r="K231" s="47"/>
      <c r="L231" s="47">
        <v>-1229</v>
      </c>
      <c r="M231" s="47"/>
      <c r="N231" s="47"/>
      <c r="O231" s="47"/>
      <c r="P231" s="47"/>
      <c r="Q231" s="5"/>
      <c r="R231" s="47"/>
      <c r="S231" s="5"/>
      <c r="T231" s="47"/>
      <c r="U231" s="5"/>
      <c r="V231" s="47"/>
      <c r="W231" s="47"/>
      <c r="X231" s="47"/>
      <c r="Y231" s="5"/>
      <c r="Z231" s="47"/>
      <c r="AA231" s="47"/>
      <c r="AB231" s="47"/>
      <c r="AC231" s="5"/>
      <c r="AD231" s="5"/>
      <c r="AE231" s="5"/>
      <c r="AF231" s="5"/>
      <c r="AG231" s="47"/>
      <c r="AH231" s="5"/>
      <c r="AI231" s="47"/>
      <c r="AJ231" s="5"/>
      <c r="AK231" s="47"/>
      <c r="AL231" s="47"/>
      <c r="AM231" s="47"/>
      <c r="AN231" s="5"/>
      <c r="AO231" s="5"/>
      <c r="AP231" s="5"/>
      <c r="AQ231" s="5">
        <v>-151</v>
      </c>
      <c r="AR231" s="5"/>
      <c r="AS231" s="47"/>
      <c r="AT231" s="47"/>
      <c r="AU231" s="5"/>
      <c r="AV231" s="5"/>
      <c r="AW231" s="47"/>
      <c r="AX231" s="47"/>
      <c r="AY231" s="47"/>
      <c r="AZ231" s="5"/>
      <c r="BA231" s="47"/>
      <c r="BB231" s="5"/>
      <c r="BC231" s="5"/>
      <c r="BD231" s="47"/>
      <c r="BE231" s="47"/>
      <c r="BF231" s="47"/>
    </row>
    <row r="232" spans="1:63" x14ac:dyDescent="0.2">
      <c r="C232" s="47"/>
      <c r="D232" s="47"/>
      <c r="E232" s="47"/>
      <c r="F232" s="47"/>
      <c r="G232" s="47"/>
      <c r="H232" s="47"/>
      <c r="I232" s="47"/>
      <c r="J232" s="47"/>
      <c r="K232" s="47"/>
      <c r="L232" s="47"/>
      <c r="M232" s="47"/>
      <c r="N232" s="47"/>
      <c r="O232" s="47"/>
      <c r="P232" s="47"/>
      <c r="Q232" s="5"/>
      <c r="R232" s="47"/>
      <c r="S232" s="5"/>
      <c r="T232" s="47"/>
      <c r="U232" s="5"/>
      <c r="V232" s="47"/>
      <c r="W232" s="47"/>
      <c r="X232" s="47"/>
      <c r="Y232" s="5"/>
      <c r="Z232" s="47"/>
      <c r="AA232" s="47"/>
      <c r="AB232" s="47"/>
      <c r="AC232" s="5"/>
      <c r="AD232" s="5"/>
      <c r="AE232" s="5"/>
      <c r="AF232" s="5"/>
      <c r="AG232" s="47"/>
      <c r="AH232" s="5"/>
      <c r="AI232" s="47"/>
      <c r="AJ232" s="5"/>
      <c r="AK232" s="47"/>
      <c r="AL232" s="47"/>
      <c r="AM232" s="47"/>
      <c r="AN232" s="5"/>
      <c r="AO232" s="5"/>
      <c r="AP232" s="5"/>
      <c r="AQ232" s="5"/>
      <c r="AR232" s="5"/>
      <c r="AS232" s="47"/>
      <c r="AT232" s="47"/>
      <c r="AU232" s="5"/>
      <c r="AV232" s="5"/>
      <c r="AW232" s="47"/>
      <c r="AX232" s="47"/>
      <c r="AY232" s="47"/>
      <c r="AZ232" s="5"/>
      <c r="BA232" s="47"/>
      <c r="BB232" s="5"/>
      <c r="BC232" s="5"/>
      <c r="BD232" s="47"/>
      <c r="BE232" s="47"/>
      <c r="BF232" s="47"/>
    </row>
    <row r="233" spans="1:63" x14ac:dyDescent="0.2">
      <c r="A233" s="46" t="s">
        <v>589</v>
      </c>
      <c r="C233" s="351">
        <f>-27501*'הנחות עבודה'!$D$25</f>
        <v>-22000.800000000003</v>
      </c>
      <c r="D233" s="351">
        <f>-602*'הנחות עבודה'!$D$25</f>
        <v>-481.6</v>
      </c>
      <c r="E233" s="351">
        <f>-5354*'הנחות עבודה'!$D$25</f>
        <v>-4283.2</v>
      </c>
      <c r="F233" s="351">
        <f>-367*'הנחות עבודה'!$D$25</f>
        <v>-293.60000000000002</v>
      </c>
      <c r="G233" s="351">
        <v>0</v>
      </c>
      <c r="H233" s="47">
        <f>-24472*'הנחות עבודה'!$D$25</f>
        <v>-19577.600000000002</v>
      </c>
      <c r="I233" s="351">
        <f>-5419*'הנחות עבודה'!$D$25</f>
        <v>-4335.2</v>
      </c>
      <c r="J233" s="351">
        <f>-2718*'הנחות עבודה'!$D$25</f>
        <v>-2174.4</v>
      </c>
      <c r="K233" s="351">
        <f>-492*'הנחות עבודה'!$D$25</f>
        <v>-393.6</v>
      </c>
      <c r="L233" s="351">
        <v>0</v>
      </c>
      <c r="M233" s="351">
        <f>-6513*'הנחות עבודה'!$D$25</f>
        <v>-5210.4000000000005</v>
      </c>
      <c r="N233" s="47">
        <f>-2849*'הנחות עבודה'!$D$25</f>
        <v>-2279.2000000000003</v>
      </c>
      <c r="O233" s="47">
        <f>-9343*'הנחות עבודה'!$D$25</f>
        <v>-7474.4000000000005</v>
      </c>
      <c r="P233" s="351">
        <v>0</v>
      </c>
      <c r="Q233" s="83">
        <v>0</v>
      </c>
      <c r="R233" s="351">
        <v>0</v>
      </c>
      <c r="S233" s="83">
        <f>-2225*'הנחות עבודה'!$D$25</f>
        <v>-1780</v>
      </c>
      <c r="T233" s="351">
        <f>-3198*'הנחות עבודה'!$D$25</f>
        <v>-2558.4</v>
      </c>
      <c r="U233" s="83">
        <f>-2561*'הנחות עבודה'!$D$25</f>
        <v>-2048.8000000000002</v>
      </c>
      <c r="V233" s="351">
        <v>0</v>
      </c>
      <c r="W233" s="351">
        <v>0</v>
      </c>
      <c r="X233" s="351">
        <f>-5030*'הנחות עבודה'!$D$25</f>
        <v>-4024</v>
      </c>
      <c r="Y233" s="83">
        <v>0</v>
      </c>
      <c r="Z233" s="351">
        <f>-1721748*'הנחות עבודה'!$D$25/1000</f>
        <v>-1377.3984</v>
      </c>
      <c r="AA233" s="351">
        <f>-489*'הנחות עבודה'!$D$25</f>
        <v>-391.20000000000005</v>
      </c>
      <c r="AB233" s="351">
        <f>-297*'הנחות עבודה'!$D$25</f>
        <v>-237.60000000000002</v>
      </c>
      <c r="AC233" s="83">
        <f>-37*'הנחות עבודה'!$D$25</f>
        <v>-29.6</v>
      </c>
      <c r="AD233" s="83">
        <f>-1715*'הנחות עבודה'!$D$25</f>
        <v>-1372</v>
      </c>
      <c r="AE233" s="83">
        <v>0</v>
      </c>
      <c r="AF233" s="83">
        <v>0</v>
      </c>
      <c r="AG233" s="351">
        <v>0</v>
      </c>
      <c r="AH233" s="83"/>
      <c r="AI233" s="351">
        <f>-183*'הנחות עבודה'!$D$25</f>
        <v>-146.4</v>
      </c>
      <c r="AJ233" s="83"/>
      <c r="AK233" s="351">
        <v>0</v>
      </c>
      <c r="AL233" s="351">
        <v>0</v>
      </c>
      <c r="AM233" s="351">
        <v>0</v>
      </c>
      <c r="AN233" s="83">
        <v>0</v>
      </c>
      <c r="AO233" s="83">
        <f>-1*'הנחות עבודה'!$D$25</f>
        <v>-0.8</v>
      </c>
      <c r="AP233" s="83">
        <v>0</v>
      </c>
      <c r="AQ233" s="83">
        <f>-1208696*'הנחות עבודה'!$D$25/1000</f>
        <v>-966.95680000000004</v>
      </c>
      <c r="AR233" s="83"/>
      <c r="AS233" s="351">
        <f>-243*'הנחות עבודה'!$D$25</f>
        <v>-194.4</v>
      </c>
      <c r="AT233" s="351">
        <v>0</v>
      </c>
      <c r="AU233" s="83">
        <v>0</v>
      </c>
      <c r="AV233" s="83"/>
      <c r="AW233" s="351">
        <v>0</v>
      </c>
      <c r="AX233" s="351">
        <v>0</v>
      </c>
      <c r="AY233" s="351">
        <v>0</v>
      </c>
      <c r="AZ233" s="83">
        <v>0</v>
      </c>
      <c r="BA233" s="351">
        <v>0</v>
      </c>
      <c r="BB233" s="83">
        <v>0</v>
      </c>
      <c r="BC233" s="83">
        <v>0</v>
      </c>
      <c r="BD233" s="351">
        <v>0</v>
      </c>
      <c r="BE233" s="351">
        <v>0</v>
      </c>
      <c r="BF233" s="351">
        <v>0</v>
      </c>
    </row>
    <row r="234" spans="1:63" x14ac:dyDescent="0.2">
      <c r="C234" s="47"/>
      <c r="D234" s="47"/>
      <c r="E234" s="47"/>
      <c r="F234" s="47"/>
      <c r="G234" s="47"/>
      <c r="H234" s="47"/>
      <c r="I234" s="47"/>
      <c r="J234" s="47"/>
      <c r="K234" s="47"/>
      <c r="L234" s="47"/>
      <c r="M234" s="47"/>
      <c r="N234" s="47"/>
      <c r="O234" s="47"/>
      <c r="P234" s="47"/>
      <c r="Q234" s="5"/>
      <c r="R234" s="47"/>
      <c r="S234" s="5"/>
      <c r="T234" s="47"/>
      <c r="U234" s="5"/>
      <c r="V234" s="47"/>
      <c r="W234" s="47"/>
      <c r="X234" s="47"/>
      <c r="Y234" s="5"/>
      <c r="Z234" s="47"/>
      <c r="AA234" s="47"/>
      <c r="AB234" s="47"/>
      <c r="AC234" s="5"/>
      <c r="AD234" s="5"/>
      <c r="AE234" s="5"/>
      <c r="AF234" s="5"/>
      <c r="AG234" s="47"/>
      <c r="AH234" s="5"/>
      <c r="AI234" s="47"/>
      <c r="AJ234" s="5"/>
      <c r="AK234" s="47"/>
      <c r="AL234" s="47"/>
      <c r="AM234" s="47"/>
      <c r="AN234" s="5"/>
      <c r="AO234" s="5"/>
      <c r="AP234" s="5"/>
      <c r="AQ234" s="5"/>
      <c r="AR234" s="5"/>
      <c r="AS234" s="47"/>
      <c r="AT234" s="47"/>
      <c r="AU234" s="5"/>
      <c r="AV234" s="5"/>
      <c r="AW234" s="47"/>
      <c r="AX234" s="47"/>
      <c r="AY234" s="47"/>
      <c r="AZ234" s="5"/>
      <c r="BA234" s="47"/>
      <c r="BB234" s="5"/>
      <c r="BC234" s="5"/>
      <c r="BD234" s="47"/>
      <c r="BE234" s="47"/>
      <c r="BF234" s="47"/>
    </row>
    <row r="235" spans="1:63" x14ac:dyDescent="0.2">
      <c r="A235" s="46" t="s">
        <v>590</v>
      </c>
      <c r="C235" s="351">
        <f>-42755*'הנחות עבודה'!$D$25</f>
        <v>-34204</v>
      </c>
      <c r="D235" s="351">
        <f>-669*'הנחות עבודה'!$D$25</f>
        <v>-535.20000000000005</v>
      </c>
      <c r="E235" s="351">
        <f>-8126*'הנחות עבודה'!$D$25</f>
        <v>-6500.8</v>
      </c>
      <c r="F235" s="351">
        <f>-745*'הנחות עבודה'!$D$25</f>
        <v>-596</v>
      </c>
      <c r="G235" s="351">
        <v>0</v>
      </c>
      <c r="H235" s="47">
        <f>-40115*'הנחות עבודה'!$D$25</f>
        <v>-32092</v>
      </c>
      <c r="I235" s="351">
        <f>-12288*'הנחות עבודה'!$D$25</f>
        <v>-9830.4000000000015</v>
      </c>
      <c r="J235" s="351">
        <f>-4016*'הנחות עבודה'!$D$25</f>
        <v>-3212.8</v>
      </c>
      <c r="K235" s="351">
        <f>-1742*'הנחות עבודה'!$D$25</f>
        <v>-1393.6000000000001</v>
      </c>
      <c r="L235" s="1246">
        <f>-1291*'הנחות עבודה'!$D$25</f>
        <v>-1032.8</v>
      </c>
      <c r="M235" s="351">
        <f>-8258*'הנחות עבודה'!$D$25</f>
        <v>-6606.4000000000005</v>
      </c>
      <c r="N235" s="47">
        <f>-10643*'הנחות עבודה'!$D$25</f>
        <v>-8514.4</v>
      </c>
      <c r="O235" s="47">
        <f>-10565*'הנחות עבודה'!$D$25</f>
        <v>-8452</v>
      </c>
      <c r="P235" s="351">
        <f>-1375*'הנחות עבודה'!$D$25</f>
        <v>-1100</v>
      </c>
      <c r="Q235" s="83">
        <v>0</v>
      </c>
      <c r="R235" s="351">
        <f>-2576*'הנחות עבודה'!$D$25</f>
        <v>-2060.8000000000002</v>
      </c>
      <c r="S235" s="83">
        <f>-1685*'הנחות עבודה'!$D$25</f>
        <v>-1348</v>
      </c>
      <c r="T235" s="351">
        <f>-1947*'הנחות עבודה'!$D$25</f>
        <v>-1557.6000000000001</v>
      </c>
      <c r="U235" s="83">
        <f>-4924*'הנחות עבודה'!$D$25</f>
        <v>-3939.2000000000003</v>
      </c>
      <c r="V235" s="351">
        <f>-2044*'הנחות עבודה'!$D$25</f>
        <v>-1635.2</v>
      </c>
      <c r="W235" s="351">
        <f>-1911*'הנחות עבודה'!$D$25</f>
        <v>-1528.8000000000002</v>
      </c>
      <c r="X235" s="351">
        <f>-8755*'הנחות עבודה'!$D$25</f>
        <v>-7004</v>
      </c>
      <c r="Y235" s="83">
        <v>0</v>
      </c>
      <c r="Z235" s="1">
        <f>-4440625*'הנחות עבודה'!$D$25/1000</f>
        <v>-3552.5</v>
      </c>
      <c r="AA235" s="351">
        <f>-1955*'הנחות עבודה'!$D$25</f>
        <v>-1564</v>
      </c>
      <c r="AB235" s="351">
        <f>-4122*'הנחות עבודה'!$D$25</f>
        <v>-3297.6000000000004</v>
      </c>
      <c r="AC235" s="83">
        <f>-11407*'הנחות עבודה'!$D$25</f>
        <v>-9125.6</v>
      </c>
      <c r="AD235" s="83">
        <f>-3423*'הנחות עבודה'!$D$25</f>
        <v>-2738.4</v>
      </c>
      <c r="AE235" s="83">
        <f>-13428*'הנחות עבודה'!$D$25</f>
        <v>-10742.400000000001</v>
      </c>
      <c r="AF235" s="5">
        <f>-3356*'הנחות עבודה'!$D$25</f>
        <v>-2684.8</v>
      </c>
      <c r="AG235" s="351">
        <v>0</v>
      </c>
      <c r="AH235" s="83"/>
      <c r="AI235" s="351">
        <f>-689*'הנחות עבודה'!$D$25</f>
        <v>-551.20000000000005</v>
      </c>
      <c r="AJ235" s="83">
        <f>-1605*'הנחות עבודה'!$D$25</f>
        <v>-1284</v>
      </c>
      <c r="AK235" s="351">
        <v>0</v>
      </c>
      <c r="AL235" s="47">
        <f>-51696*'הנחות עבודה'!$D$25</f>
        <v>-41356.800000000003</v>
      </c>
      <c r="AM235" s="351">
        <f>-1861*'הנחות עבודה'!$D$25</f>
        <v>-1488.8000000000002</v>
      </c>
      <c r="AN235" s="83">
        <v>0</v>
      </c>
      <c r="AO235" s="83">
        <f>-1*'הנחות עבודה'!$D$25</f>
        <v>-0.8</v>
      </c>
      <c r="AP235" s="83">
        <f>-2949*'הנחות עבודה'!$D$25</f>
        <v>-2359.2000000000003</v>
      </c>
      <c r="AQ235" s="83">
        <f>-1222291*'הנחות עבודה'!$D$25/1000</f>
        <v>-977.83280000000002</v>
      </c>
      <c r="AR235" s="83">
        <f>-1090*'הנחות עבודה'!$D$25</f>
        <v>-872</v>
      </c>
      <c r="AS235" s="351">
        <f>-2352*'הנחות עבודה'!$D$25</f>
        <v>-1881.6000000000001</v>
      </c>
      <c r="AT235" s="351">
        <f>-17*'הנחות עבודה'!$D$25</f>
        <v>-13.600000000000001</v>
      </c>
      <c r="AU235" s="83">
        <f>-10982*'הנחות עבודה'!$D$25</f>
        <v>-8785.6</v>
      </c>
      <c r="AV235" s="83">
        <f>-9676*'הנחות עבודה'!$D$25</f>
        <v>-7740.8</v>
      </c>
      <c r="AW235" s="351">
        <v>0</v>
      </c>
      <c r="AX235" s="351">
        <v>0</v>
      </c>
      <c r="AY235" s="351">
        <v>0</v>
      </c>
      <c r="AZ235" s="83">
        <f>-1208*'הנחות עבודה'!$D$25</f>
        <v>-966.40000000000009</v>
      </c>
      <c r="BA235" s="351">
        <v>0</v>
      </c>
      <c r="BB235" s="83">
        <v>0</v>
      </c>
      <c r="BC235" s="83">
        <f>-677*'הנחות עבודה'!$D$25</f>
        <v>-541.6</v>
      </c>
      <c r="BD235" s="351">
        <v>0</v>
      </c>
      <c r="BE235" s="351">
        <v>0</v>
      </c>
      <c r="BF235" s="351">
        <v>0</v>
      </c>
    </row>
    <row r="236" spans="1:63" x14ac:dyDescent="0.2">
      <c r="A236" s="46"/>
      <c r="C236" s="351"/>
      <c r="D236" s="351"/>
      <c r="E236" s="351"/>
      <c r="F236" s="351"/>
      <c r="G236" s="351"/>
      <c r="H236" s="351"/>
      <c r="I236" s="351"/>
      <c r="J236" s="351"/>
      <c r="K236" s="351"/>
      <c r="L236" s="1246"/>
      <c r="M236" s="351"/>
      <c r="N236" s="351"/>
      <c r="O236" s="351"/>
      <c r="P236" s="351"/>
      <c r="Q236" s="83"/>
      <c r="R236" s="351"/>
      <c r="S236" s="83"/>
      <c r="T236" s="351"/>
      <c r="U236" s="83"/>
      <c r="V236" s="351"/>
      <c r="X236" s="351"/>
      <c r="Y236" s="83"/>
      <c r="Z236" s="351"/>
      <c r="AA236" s="351"/>
      <c r="AB236" s="351"/>
      <c r="AC236" s="83"/>
      <c r="AD236" s="83"/>
      <c r="AE236" s="83"/>
      <c r="AF236" s="83"/>
      <c r="AG236" s="351"/>
      <c r="AH236" s="83"/>
      <c r="AI236" s="351"/>
      <c r="AJ236" s="83"/>
      <c r="AK236" s="351"/>
      <c r="AL236" s="351"/>
      <c r="AM236" s="351"/>
      <c r="AN236" s="83"/>
      <c r="AO236" s="83"/>
      <c r="AP236" s="83"/>
      <c r="AQ236" s="83"/>
      <c r="AR236" s="83"/>
      <c r="AS236" s="351"/>
      <c r="AT236" s="351"/>
      <c r="AU236" s="83"/>
      <c r="AV236" s="83"/>
      <c r="AW236" s="351"/>
      <c r="AX236" s="351"/>
      <c r="AY236" s="351"/>
      <c r="AZ236" s="83"/>
      <c r="BA236" s="351"/>
      <c r="BB236" s="83"/>
      <c r="BC236" s="83"/>
      <c r="BD236" s="351"/>
      <c r="BE236" s="351"/>
      <c r="BF236" s="351"/>
    </row>
    <row r="237" spans="1:63" x14ac:dyDescent="0.2">
      <c r="A237" s="46" t="s">
        <v>591</v>
      </c>
      <c r="C237" s="351">
        <f>-27708*'הנחות עבודה'!$D$25</f>
        <v>-22166.400000000001</v>
      </c>
      <c r="D237" s="351">
        <f>-444*'הנחות עבודה'!$D$25</f>
        <v>-355.20000000000005</v>
      </c>
      <c r="E237" s="351">
        <f>-9224*'הנחות עבודה'!$D$25</f>
        <v>-7379.2000000000007</v>
      </c>
      <c r="F237" s="351">
        <f>-571*'הנחות עבודה'!$D$25</f>
        <v>-456.8</v>
      </c>
      <c r="G237" s="351">
        <v>0</v>
      </c>
      <c r="H237" s="47">
        <f>-36031*'הנחות עבודה'!$D$25</f>
        <v>-28824.800000000003</v>
      </c>
      <c r="I237" s="351">
        <f>-10001*'הנחות עבודה'!$D$25</f>
        <v>-8000.8</v>
      </c>
      <c r="J237" s="351">
        <f>-3098*'הנחות עבודה'!$D$25</f>
        <v>-2478.4</v>
      </c>
      <c r="K237" s="351">
        <f>-1799*'הנחות עבודה'!$D$25</f>
        <v>-1439.2</v>
      </c>
      <c r="L237" s="1246">
        <f>-1696*'הנחות עבודה'!$D$25</f>
        <v>-1356.8000000000002</v>
      </c>
      <c r="M237" s="351">
        <f>-19501*'הנחות עבודה'!$D$25</f>
        <v>-15600.800000000001</v>
      </c>
      <c r="N237" s="351">
        <f>-9662*'הנחות עבודה'!$D$25</f>
        <v>-7729.6</v>
      </c>
      <c r="O237" s="351">
        <f>-17185*'הנחות עבודה'!$D$25</f>
        <v>-13748</v>
      </c>
      <c r="P237" s="351">
        <f>-1755*'הנחות עבודה'!$D$25</f>
        <v>-1404</v>
      </c>
      <c r="Q237" s="83">
        <f>-6510*'הנחות עבודה'!$D$25</f>
        <v>-5208</v>
      </c>
      <c r="R237" s="351">
        <f>-3712*'הנחות עבודה'!$D$25</f>
        <v>-2969.6000000000004</v>
      </c>
      <c r="S237" s="83">
        <f>-3496*'הנחות עבודה'!$D$25</f>
        <v>-2796.8</v>
      </c>
      <c r="T237" s="351">
        <f>-1345*'הנחות עבודה'!$D$25</f>
        <v>-1076</v>
      </c>
      <c r="U237" s="83">
        <f>-6828*'הנחות עבודה'!$D$25</f>
        <v>-5462.4000000000005</v>
      </c>
      <c r="V237" s="351">
        <f>-2550*'הנחות עבודה'!$D$25</f>
        <v>-2040</v>
      </c>
      <c r="W237" s="351">
        <f>-1525*'הנחות עבודה'!$D$25</f>
        <v>-1220</v>
      </c>
      <c r="X237" s="351">
        <f>-11811*'הנחות עבודה'!$D$25</f>
        <v>-9448.8000000000011</v>
      </c>
      <c r="Y237" s="83">
        <v>0</v>
      </c>
      <c r="Z237" s="351">
        <f>-3885337*'הנחות עבודה'!$D$25/1000</f>
        <v>-3108.2696000000001</v>
      </c>
      <c r="AA237" s="351">
        <f>-3276*'הנחות עבודה'!$D$25</f>
        <v>-2620.8000000000002</v>
      </c>
      <c r="AB237" s="351">
        <f>-7043*'הנחות עבודה'!$D$25</f>
        <v>-5634.4000000000005</v>
      </c>
      <c r="AC237" s="83">
        <f>-21881*'הנחות עבודה'!$D$25</f>
        <v>-17504.8</v>
      </c>
      <c r="AD237" s="83">
        <f>-1359*'הנחות עבודה'!$D$25</f>
        <v>-1087.2</v>
      </c>
      <c r="AE237" s="83">
        <f>-19066*'הנחות עבודה'!$D$25</f>
        <v>-15252.800000000001</v>
      </c>
      <c r="AF237" s="83">
        <f>-378*'הנחות עבודה'!$D$25</f>
        <v>-302.40000000000003</v>
      </c>
      <c r="AG237" s="351">
        <v>0</v>
      </c>
      <c r="AH237" s="83">
        <v>0</v>
      </c>
      <c r="AI237" s="351">
        <f>-586*'הנחות עבודה'!$D$25</f>
        <v>-468.8</v>
      </c>
      <c r="AJ237" s="83">
        <f>-1*'הנחות עבודה'!$D$25</f>
        <v>-0.8</v>
      </c>
      <c r="AK237" s="351">
        <v>0</v>
      </c>
      <c r="AL237" s="47">
        <f>-58130*'הנחות עבודה'!$D$25</f>
        <v>-46504</v>
      </c>
      <c r="AM237" s="351">
        <f>-3687*'הנחות עבודה'!$D$25</f>
        <v>-2949.6000000000004</v>
      </c>
      <c r="AN237" s="83">
        <v>0</v>
      </c>
      <c r="AO237" s="83">
        <f>-1*'הנחות עבודה'!$D$25</f>
        <v>-0.8</v>
      </c>
      <c r="AP237" s="83">
        <f>-1730*'הנחות עבודה'!$D$25</f>
        <v>-1384</v>
      </c>
      <c r="AQ237" s="83">
        <f>-13886*'הנחות עבודה'!$D$25</f>
        <v>-11108.800000000001</v>
      </c>
      <c r="AR237" s="83">
        <f>-4470*'הנחות עבודה'!$D$25</f>
        <v>-3576</v>
      </c>
      <c r="AS237" s="351">
        <f>-4519*'הנחות עבודה'!$D$25</f>
        <v>-3615.2000000000003</v>
      </c>
      <c r="AT237" s="351">
        <f>-2140*'הנחות עבודה'!$D$25</f>
        <v>-1712</v>
      </c>
      <c r="AU237" s="83">
        <f>-24402*'הנחות עבודה'!$D$25</f>
        <v>-19521.600000000002</v>
      </c>
      <c r="AV237" s="83">
        <f>-17878*'הנחות עבודה'!$D$25</f>
        <v>-14302.400000000001</v>
      </c>
      <c r="AW237" s="351">
        <f>-1081*'הנחות עבודה'!$D$25</f>
        <v>-864.80000000000007</v>
      </c>
      <c r="AX237" s="351">
        <v>0</v>
      </c>
      <c r="AY237" s="351">
        <f>-735*'הנחות עבודה'!$D$25</f>
        <v>-588</v>
      </c>
      <c r="AZ237" s="83">
        <f>-3134*'הנחות עבודה'!$D$25</f>
        <v>-2507.2000000000003</v>
      </c>
      <c r="BA237" s="351">
        <v>0</v>
      </c>
      <c r="BB237" s="83">
        <v>-909</v>
      </c>
      <c r="BC237" s="83">
        <f>-2755*'הנחות עבודה'!$D$25</f>
        <v>-2204</v>
      </c>
      <c r="BD237" s="351">
        <v>0</v>
      </c>
      <c r="BE237" s="351">
        <v>0</v>
      </c>
      <c r="BF237" s="351">
        <v>0</v>
      </c>
      <c r="BG237" s="50">
        <f t="shared" ref="BG237:BG242" si="10">SUM(C237:BE237)</f>
        <v>-298889.26959999994</v>
      </c>
      <c r="BK237" s="5">
        <f>SUM(C237:BG237)*0.9</f>
        <v>-538000.68527999986</v>
      </c>
    </row>
    <row r="238" spans="1:63" x14ac:dyDescent="0.2">
      <c r="A238" s="46"/>
      <c r="C238" s="351"/>
      <c r="D238" s="351"/>
      <c r="E238" s="351"/>
      <c r="F238" s="351"/>
      <c r="G238" s="351"/>
      <c r="H238" s="47"/>
      <c r="I238" s="351"/>
      <c r="J238" s="351"/>
      <c r="K238" s="351"/>
      <c r="L238" s="1246"/>
      <c r="M238" s="351"/>
      <c r="N238" s="351"/>
      <c r="O238" s="351"/>
      <c r="P238" s="351"/>
      <c r="Q238" s="83"/>
      <c r="R238" s="351"/>
      <c r="S238" s="83"/>
      <c r="T238" s="351"/>
      <c r="U238" s="83"/>
      <c r="V238" s="351"/>
      <c r="W238" s="351"/>
      <c r="X238" s="351"/>
      <c r="Y238" s="83"/>
      <c r="Z238" s="351"/>
      <c r="AA238" s="351"/>
      <c r="AB238" s="351"/>
      <c r="AC238" s="83"/>
      <c r="AD238" s="83"/>
      <c r="AE238" s="83"/>
      <c r="AF238" s="83"/>
      <c r="AG238" s="351"/>
      <c r="AH238" s="83"/>
      <c r="AI238" s="351"/>
      <c r="AJ238" s="83"/>
      <c r="AK238" s="351"/>
      <c r="AL238" s="47"/>
      <c r="AM238" s="351"/>
      <c r="AN238" s="83"/>
      <c r="AO238" s="83"/>
      <c r="AP238" s="83"/>
      <c r="AQ238" s="83"/>
      <c r="AR238" s="83"/>
      <c r="AS238" s="351"/>
      <c r="AT238" s="351"/>
      <c r="AU238" s="83"/>
      <c r="AV238" s="83"/>
      <c r="AW238" s="351"/>
      <c r="AX238" s="351"/>
      <c r="AY238" s="351"/>
      <c r="AZ238" s="83"/>
      <c r="BA238" s="351"/>
      <c r="BB238" s="83"/>
      <c r="BC238" s="83"/>
      <c r="BD238" s="351"/>
      <c r="BE238" s="351"/>
      <c r="BF238" s="351"/>
      <c r="BG238" s="50">
        <f t="shared" si="10"/>
        <v>0</v>
      </c>
      <c r="BK238" s="5">
        <f>SUM(C238:BG238)</f>
        <v>0</v>
      </c>
    </row>
    <row r="239" spans="1:63" x14ac:dyDescent="0.2">
      <c r="A239" s="46" t="s">
        <v>1518</v>
      </c>
      <c r="C239" s="47">
        <v>-18658</v>
      </c>
      <c r="D239" s="47">
        <v>-986</v>
      </c>
      <c r="E239" s="47">
        <v>-4742</v>
      </c>
      <c r="F239" s="47">
        <v>-344</v>
      </c>
      <c r="G239" s="47">
        <v>0</v>
      </c>
      <c r="H239" s="47">
        <v>-63251</v>
      </c>
      <c r="I239" s="47">
        <v>-11422</v>
      </c>
      <c r="J239" s="47">
        <v>-2799</v>
      </c>
      <c r="K239" s="47">
        <v>-3498</v>
      </c>
      <c r="L239" s="1240">
        <f>-1445</f>
        <v>-1445</v>
      </c>
      <c r="M239" s="47">
        <v>-15621</v>
      </c>
      <c r="N239" s="47">
        <v>-7428</v>
      </c>
      <c r="O239" s="47">
        <v>-21257</v>
      </c>
      <c r="P239" s="47">
        <v>-4475</v>
      </c>
      <c r="Q239" s="47">
        <v>-3344</v>
      </c>
      <c r="R239" s="47">
        <v>-1251</v>
      </c>
      <c r="S239" s="47">
        <f>-10012+6780</f>
        <v>-3232</v>
      </c>
      <c r="T239" s="47">
        <v>-4113</v>
      </c>
      <c r="U239" s="47">
        <v>-6472</v>
      </c>
      <c r="V239" s="47">
        <v>-4427</v>
      </c>
      <c r="W239" s="47">
        <v>-1952</v>
      </c>
      <c r="X239" s="47">
        <v>-10011</v>
      </c>
      <c r="Y239" s="47">
        <v>-2137</v>
      </c>
      <c r="Z239" s="47">
        <v>-4062</v>
      </c>
      <c r="AA239" s="47">
        <v>-4781</v>
      </c>
      <c r="AB239" s="47">
        <v>-586</v>
      </c>
      <c r="AC239" s="47">
        <v>-11198</v>
      </c>
      <c r="AD239" s="47">
        <v>-2160</v>
      </c>
      <c r="AE239" s="47">
        <v>-20069</v>
      </c>
      <c r="AF239" s="47">
        <v>-736</v>
      </c>
      <c r="AG239" s="47">
        <v>0</v>
      </c>
      <c r="AH239" s="47">
        <v>0</v>
      </c>
      <c r="AI239" s="47">
        <v>-903</v>
      </c>
      <c r="AJ239" s="47">
        <v>-1124</v>
      </c>
      <c r="AK239" s="47">
        <v>0</v>
      </c>
      <c r="AL239" s="47">
        <v>-95502</v>
      </c>
      <c r="AM239" s="47">
        <v>-1440</v>
      </c>
      <c r="AN239" s="47">
        <v>0</v>
      </c>
      <c r="AO239" s="47">
        <v>-8100</v>
      </c>
      <c r="AP239" s="47">
        <v>-4236</v>
      </c>
      <c r="AQ239" s="47">
        <v>0</v>
      </c>
      <c r="AR239" s="47">
        <v>-344</v>
      </c>
      <c r="AS239" s="47">
        <v>-4411</v>
      </c>
      <c r="AT239" s="47">
        <v>-4569</v>
      </c>
      <c r="AU239" s="47">
        <v>-10612</v>
      </c>
      <c r="AV239" s="47">
        <v>-22589</v>
      </c>
      <c r="AW239" s="47">
        <v>-1932</v>
      </c>
      <c r="AX239" s="47">
        <v>-639</v>
      </c>
      <c r="AY239" s="47">
        <v>-243</v>
      </c>
      <c r="AZ239" s="47">
        <v>0</v>
      </c>
      <c r="BA239" s="47">
        <v>0</v>
      </c>
      <c r="BB239" s="47">
        <v>-1022</v>
      </c>
      <c r="BC239" s="47">
        <v>-3134</v>
      </c>
      <c r="BD239" s="47">
        <v>0</v>
      </c>
      <c r="BE239" s="47">
        <v>0</v>
      </c>
      <c r="BF239" s="47">
        <v>0</v>
      </c>
      <c r="BG239" s="50">
        <f t="shared" si="10"/>
        <v>-397257</v>
      </c>
      <c r="BK239" s="5">
        <f>SUM(C239:BG239)*0.9</f>
        <v>-715062.6</v>
      </c>
    </row>
    <row r="240" spans="1:63" x14ac:dyDescent="0.2">
      <c r="C240" s="47"/>
      <c r="D240" s="47"/>
      <c r="E240" s="47"/>
      <c r="F240" s="47"/>
      <c r="G240" s="47"/>
      <c r="H240" s="47"/>
      <c r="I240" s="47"/>
      <c r="J240" s="47"/>
      <c r="K240" s="47"/>
      <c r="L240" s="1240"/>
      <c r="M240" s="47"/>
      <c r="N240" s="47"/>
      <c r="O240" s="47"/>
      <c r="P240" s="47"/>
      <c r="Q240" s="5"/>
      <c r="R240" s="47"/>
      <c r="S240" s="5"/>
      <c r="T240" s="47"/>
      <c r="U240" s="5"/>
      <c r="V240" s="47"/>
      <c r="W240" s="47"/>
      <c r="X240" s="47"/>
      <c r="Y240" s="5"/>
      <c r="Z240" s="47"/>
      <c r="AA240" s="47"/>
      <c r="AB240" s="47"/>
      <c r="AC240" s="5"/>
      <c r="AD240" s="5"/>
      <c r="AE240" s="5"/>
      <c r="AF240" s="5"/>
      <c r="AG240" s="47"/>
      <c r="AH240" s="5"/>
      <c r="AI240" s="47"/>
      <c r="AJ240" s="5"/>
      <c r="AK240" s="47"/>
      <c r="AL240" s="47"/>
      <c r="AM240" s="47"/>
      <c r="AN240" s="5"/>
      <c r="AO240" s="5"/>
      <c r="AP240" s="5"/>
      <c r="AQ240" s="5"/>
      <c r="AR240" s="5"/>
      <c r="AS240" s="47"/>
      <c r="AT240" s="47"/>
      <c r="AU240" s="5"/>
      <c r="AV240" s="5"/>
      <c r="AW240" s="47"/>
      <c r="AX240" s="47"/>
      <c r="AY240" s="47"/>
      <c r="AZ240" s="5"/>
      <c r="BA240" s="47"/>
      <c r="BB240" s="5"/>
      <c r="BC240" s="5"/>
      <c r="BD240" s="47"/>
      <c r="BE240" s="47"/>
      <c r="BF240" s="47"/>
      <c r="BG240" s="50">
        <f t="shared" si="10"/>
        <v>0</v>
      </c>
      <c r="BK240" s="5">
        <f>SUM(C240:BG240)</f>
        <v>0</v>
      </c>
    </row>
    <row r="241" spans="1:63" x14ac:dyDescent="0.2">
      <c r="A241" s="46" t="s">
        <v>1519</v>
      </c>
      <c r="C241" s="351">
        <v>-18613</v>
      </c>
      <c r="D241" s="351">
        <v>-1792</v>
      </c>
      <c r="E241" s="351">
        <v>-4184</v>
      </c>
      <c r="F241" s="351">
        <v>-941</v>
      </c>
      <c r="G241" s="351">
        <v>0</v>
      </c>
      <c r="H241" s="47">
        <v>-47065</v>
      </c>
      <c r="I241" s="351">
        <v>-14006</v>
      </c>
      <c r="J241" s="351">
        <v>-2499</v>
      </c>
      <c r="K241" s="351">
        <v>-3852</v>
      </c>
      <c r="L241" s="1246">
        <f>-1602</f>
        <v>-1602</v>
      </c>
      <c r="M241" s="351">
        <v>-10337</v>
      </c>
      <c r="N241" s="47">
        <v>-6292</v>
      </c>
      <c r="O241" s="47">
        <v>-15846</v>
      </c>
      <c r="P241" s="351">
        <v>-8913</v>
      </c>
      <c r="Q241" s="83">
        <v>-3645</v>
      </c>
      <c r="R241" s="351">
        <v>-2765</v>
      </c>
      <c r="S241" s="83">
        <v>-1989</v>
      </c>
      <c r="T241" s="351">
        <v>-2592</v>
      </c>
      <c r="U241" s="83">
        <v>-9045</v>
      </c>
      <c r="V241" s="351">
        <v>-2711</v>
      </c>
      <c r="W241" s="351">
        <v>0</v>
      </c>
      <c r="X241" s="351">
        <v>-4037</v>
      </c>
      <c r="Y241" s="83">
        <v>-2107</v>
      </c>
      <c r="Z241" s="351">
        <v>-4192</v>
      </c>
      <c r="AA241" s="351">
        <v>-7286</v>
      </c>
      <c r="AB241" s="351">
        <v>-2078</v>
      </c>
      <c r="AC241" s="83">
        <v>-14145</v>
      </c>
      <c r="AD241" s="83">
        <v>-2363</v>
      </c>
      <c r="AE241" s="83">
        <v>-12857</v>
      </c>
      <c r="AF241" s="5">
        <v>-2108</v>
      </c>
      <c r="AG241" s="351">
        <v>0</v>
      </c>
      <c r="AH241" s="83">
        <v>0</v>
      </c>
      <c r="AI241" s="351">
        <v>-651</v>
      </c>
      <c r="AJ241" s="83">
        <v>-1694</v>
      </c>
      <c r="AK241" s="351">
        <v>-650</v>
      </c>
      <c r="AL241" s="47">
        <v>-88048</v>
      </c>
      <c r="AM241" s="351">
        <f>-4610+3000</f>
        <v>-1610</v>
      </c>
      <c r="AN241" s="83">
        <v>0</v>
      </c>
      <c r="AO241" s="83">
        <v>-35402</v>
      </c>
      <c r="AP241" s="83">
        <v>-13809</v>
      </c>
      <c r="AQ241" s="83">
        <v>0</v>
      </c>
      <c r="AR241" s="83">
        <v>-3154</v>
      </c>
      <c r="AS241" s="351">
        <v>-6145</v>
      </c>
      <c r="AT241" s="351">
        <v>-2843</v>
      </c>
      <c r="AU241" s="83">
        <v>-8766</v>
      </c>
      <c r="AV241" s="83">
        <v>-18335</v>
      </c>
      <c r="AW241" s="351">
        <v>-7321</v>
      </c>
      <c r="AX241" s="351">
        <v>-1597</v>
      </c>
      <c r="AY241" s="351">
        <v>-226</v>
      </c>
      <c r="AZ241" s="83">
        <v>-2042</v>
      </c>
      <c r="BA241" s="351">
        <v>-4244</v>
      </c>
      <c r="BB241" s="83">
        <v>-2192</v>
      </c>
      <c r="BC241" s="83">
        <v>-6993</v>
      </c>
      <c r="BD241" s="351">
        <v>0</v>
      </c>
      <c r="BE241" s="351">
        <v>-2370</v>
      </c>
      <c r="BF241" s="351">
        <v>0</v>
      </c>
      <c r="BG241" s="50">
        <f t="shared" si="10"/>
        <v>-417954</v>
      </c>
      <c r="BK241" s="5">
        <f>SUM(C241:BG241)*0.9</f>
        <v>-752317.20000000007</v>
      </c>
    </row>
    <row r="242" spans="1:63" x14ac:dyDescent="0.2">
      <c r="A242" s="46" t="s">
        <v>1543</v>
      </c>
      <c r="C242" s="351">
        <v>-20803</v>
      </c>
      <c r="D242" s="351"/>
      <c r="E242" s="351">
        <v>-11214</v>
      </c>
      <c r="F242" s="351">
        <v>-554</v>
      </c>
      <c r="G242" s="351">
        <v>0</v>
      </c>
      <c r="H242" s="47">
        <v>-64371</v>
      </c>
      <c r="I242" s="351">
        <v>-19481</v>
      </c>
      <c r="J242" s="351"/>
      <c r="K242" s="351"/>
      <c r="L242" s="351">
        <v>-3352</v>
      </c>
      <c r="M242" s="351">
        <v>-33635</v>
      </c>
      <c r="N242" s="351">
        <v>-21113</v>
      </c>
      <c r="O242" s="351">
        <v>-19696</v>
      </c>
      <c r="P242" s="351">
        <v>-6505</v>
      </c>
      <c r="Q242" s="83">
        <v>-3168</v>
      </c>
      <c r="R242" s="351">
        <v>-4451</v>
      </c>
      <c r="S242" s="83">
        <f>-258-6780</f>
        <v>-7038</v>
      </c>
      <c r="T242" s="351">
        <v>-5290</v>
      </c>
      <c r="U242" s="83">
        <v>-7673</v>
      </c>
      <c r="V242" s="351">
        <v>-2710</v>
      </c>
      <c r="W242" s="351">
        <v>0</v>
      </c>
      <c r="X242" s="351"/>
      <c r="Y242" s="83">
        <v>-752</v>
      </c>
      <c r="Z242" s="351">
        <v>-2914</v>
      </c>
      <c r="AA242" s="351">
        <v>-11241</v>
      </c>
      <c r="AB242" s="351">
        <v>-3402</v>
      </c>
      <c r="AC242" s="83">
        <v>-10185</v>
      </c>
      <c r="AD242" s="83">
        <v>-6094</v>
      </c>
      <c r="AE242" s="83">
        <v>-34307</v>
      </c>
      <c r="AF242" s="83"/>
      <c r="AG242" s="351">
        <v>0</v>
      </c>
      <c r="AH242" s="83"/>
      <c r="AI242" s="351">
        <v>-26649</v>
      </c>
      <c r="AJ242" s="83">
        <v>-1937</v>
      </c>
      <c r="AK242" s="351">
        <v>-1377</v>
      </c>
      <c r="AL242" s="47">
        <v>-78811</v>
      </c>
      <c r="AM242" s="351">
        <f>-1506-3000</f>
        <v>-4506</v>
      </c>
      <c r="AN242" s="83"/>
      <c r="AO242" s="83">
        <v>-34742</v>
      </c>
      <c r="AP242" s="83">
        <v>-4358</v>
      </c>
      <c r="AQ242" s="83"/>
      <c r="AR242" s="83">
        <v>-3366</v>
      </c>
      <c r="AS242" s="351">
        <v>-8643</v>
      </c>
      <c r="AT242" s="351">
        <v>-3994</v>
      </c>
      <c r="AU242" s="83">
        <v>-5880</v>
      </c>
      <c r="AV242" s="83">
        <v>-18540</v>
      </c>
      <c r="AW242" s="351">
        <v>-3255</v>
      </c>
      <c r="AX242" s="351">
        <v>-1555</v>
      </c>
      <c r="AY242" s="351"/>
      <c r="AZ242" s="83"/>
      <c r="BA242" s="351">
        <v>-6407</v>
      </c>
      <c r="BB242" s="83">
        <v>-11996</v>
      </c>
      <c r="BC242" s="83">
        <v>-4620</v>
      </c>
      <c r="BD242" s="351">
        <v>0</v>
      </c>
      <c r="BE242" s="351">
        <v>-2840</v>
      </c>
      <c r="BF242" s="351">
        <v>0</v>
      </c>
      <c r="BG242" s="50">
        <f t="shared" si="10"/>
        <v>-523425</v>
      </c>
    </row>
    <row r="243" spans="1:63" x14ac:dyDescent="0.2">
      <c r="A243" s="46"/>
      <c r="C243" s="47"/>
      <c r="D243" s="47"/>
      <c r="E243" s="47"/>
      <c r="F243" s="47"/>
      <c r="G243" s="47"/>
      <c r="H243" s="47"/>
      <c r="I243" s="47"/>
      <c r="J243" s="47"/>
      <c r="K243" s="47"/>
      <c r="L243" s="47"/>
      <c r="M243" s="47"/>
      <c r="N243" s="47"/>
      <c r="O243" s="47"/>
      <c r="P243" s="47"/>
      <c r="Q243" s="5"/>
      <c r="R243" s="47"/>
      <c r="S243" s="5"/>
      <c r="T243" s="47"/>
      <c r="U243" s="5"/>
      <c r="V243" s="47"/>
      <c r="W243" s="47"/>
      <c r="X243" s="47"/>
      <c r="Y243" s="5"/>
      <c r="Z243" s="47"/>
      <c r="AA243" s="47"/>
      <c r="AB243" s="47"/>
      <c r="AC243" s="5"/>
      <c r="AD243" s="5"/>
      <c r="AE243" s="5"/>
      <c r="AF243" s="5"/>
      <c r="AG243" s="47"/>
      <c r="AH243" s="5"/>
      <c r="AI243" s="47"/>
      <c r="AJ243" s="5"/>
      <c r="AK243" s="47"/>
      <c r="AL243" s="47"/>
      <c r="AM243" s="47"/>
      <c r="AN243" s="5"/>
      <c r="AO243" s="5"/>
      <c r="AP243" s="5"/>
      <c r="AQ243" s="5"/>
      <c r="AR243" s="5"/>
      <c r="AS243" s="47"/>
      <c r="AT243" s="47"/>
      <c r="AU243" s="5"/>
      <c r="AV243" s="5"/>
      <c r="AW243" s="47"/>
      <c r="AX243" s="47"/>
      <c r="AY243" s="47"/>
      <c r="AZ243" s="5"/>
      <c r="BA243" s="47"/>
      <c r="BB243" s="5"/>
      <c r="BC243" s="5"/>
      <c r="BD243" s="47"/>
      <c r="BE243" s="47"/>
      <c r="BF243" s="47"/>
      <c r="BH243" s="5">
        <f>SUM(C243:BG243)</f>
        <v>0</v>
      </c>
    </row>
    <row r="244" spans="1:63" s="648" customFormat="1" x14ac:dyDescent="0.2">
      <c r="A244" s="646" t="s">
        <v>592</v>
      </c>
      <c r="B244" s="647"/>
      <c r="C244" s="646">
        <f>+SUM(C209:C225,C231:C235)+C517+C237+SUM(C239:C241)*'הנחות עבודה'!$D$26</f>
        <v>248205.94735714287</v>
      </c>
      <c r="D244" s="646">
        <f>+SUM(D209:D225,D231:D235)+D517+D237+SUM(D239:D241)*'הנחות עבודה'!$D$26</f>
        <v>73887.085214285733</v>
      </c>
      <c r="E244" s="646">
        <f>+SUM(E209:E225,E231:E235)+E517+E237+SUM(E239:E241)*'הנחות עבודה'!$D$26</f>
        <v>218053.42902857141</v>
      </c>
      <c r="F244" s="646">
        <f>+SUM(F209:F225,F231:F235)+F517+F237+SUM(F239:F241)*'הנחות עבודה'!$D$26</f>
        <v>40504.981885714282</v>
      </c>
      <c r="G244" s="646">
        <f>+SUM(G209:G225,G231:G235)+G517+G237+SUM(G239:G241)*'הנחות עבודה'!$D$26</f>
        <v>111640.61324285714</v>
      </c>
      <c r="H244" s="646">
        <f>+SUM(H209:H225,H231:H235)+H517+H237+SUM(H239:H241)*'הנחות עבודה'!$D$26</f>
        <v>1013432.9548142855</v>
      </c>
      <c r="I244" s="646">
        <f>+SUM(I209:I225,I231:I235)+I517+I237+SUM(I239:I241)*'הנחות עבודה'!$D$26</f>
        <v>393843.71721428575</v>
      </c>
      <c r="J244" s="646">
        <f>+SUM(J209:J225,J231:J235)+J517+J237+SUM(J239:J241)*'הנחות עבודה'!$D$26</f>
        <v>77260.120000000024</v>
      </c>
      <c r="K244" s="646">
        <f>+SUM(K209:K225,K231:K235)+K517+K237+SUM(K239:K241)*'הנחות עבודה'!$D$26</f>
        <v>118441.35081428569</v>
      </c>
      <c r="L244" s="646">
        <f>+SUM(L209:L225,L231:L235)+L517+L237+SUM(L239:L241)*'הנחות עבודה'!$D$26</f>
        <v>147004.22365714287</v>
      </c>
      <c r="M244" s="646">
        <f>+SUM(M209:M225,M231:M235)+M517+M237+SUM(M239:M241)*'הנחות עבודה'!$D$26</f>
        <v>118312.02857142859</v>
      </c>
      <c r="N244" s="646">
        <f>+SUM(N209:N225,N231:N235)+N517+N237+SUM(N239:N241)*'הנחות עבודה'!$D$26</f>
        <v>257328.43378571421</v>
      </c>
      <c r="O244" s="646">
        <f>+SUM(O209:O225,O231:O235)+O517+O237+SUM(O239:O241)*'הנחות עבודה'!$D$26</f>
        <v>158331.44815714288</v>
      </c>
      <c r="P244" s="646">
        <f>+SUM(P209:P225,P231:P235)+P517+P237+SUM(P239:P241)*'הנחות עבודה'!$D$26</f>
        <v>169639.4975142857</v>
      </c>
      <c r="Q244" s="646">
        <f>+SUM(Q209:Q225,Q231:Q235)+Q517+Q237+SUM(Q239:Q241)*'הנחות עבודה'!$D$26</f>
        <v>94051.764314285727</v>
      </c>
      <c r="R244" s="646">
        <f>+SUM(R209:R225,R231:R235)+R517+R237+SUM(R239:R241)*'הנחות עבודה'!$D$26</f>
        <v>79400.487557142842</v>
      </c>
      <c r="S244" s="646">
        <f>+SUM(S209:S225,S231:S235)+S517+S237+SUM(S239:S241)*'הנחות עבודה'!$D$26</f>
        <v>40775.937599999997</v>
      </c>
      <c r="T244" s="646">
        <f>+SUM(T209:T225,T231:T235)+T517+T237+SUM(T239:T241)*'הנחות עבודה'!$D$26</f>
        <v>93761.693085714272</v>
      </c>
      <c r="U244" s="646">
        <f>+SUM(U209:U225,U231:U235)+U517+U237+SUM(U239:U241)*'הנחות עבודה'!$D$26</f>
        <v>85312.876171428579</v>
      </c>
      <c r="V244" s="646">
        <f>+SUM(V209:V225,V231:V235)+V517+V237+SUM(V239:V241)*'הנחות עבודה'!$D$26</f>
        <v>83916.13768571429</v>
      </c>
      <c r="W244" s="646">
        <f>+SUM(W209:W225,W231:W235)+W517+W237+SUM(W239:W241)*'הנחות עבודה'!$D$26</f>
        <v>126917.12490000001</v>
      </c>
      <c r="X244" s="646">
        <f>+SUM(X209:X225,X231:X235)+X517+X237+SUM(X239:X241)*'הנחות עבודה'!$D$26</f>
        <v>111110.74591428571</v>
      </c>
      <c r="Y244" s="646">
        <f>+SUM(Y209:Y225,Y231:Y235)+Y517+Y237+SUM(Y239:Y241)*'הנחות עבודה'!$D$26</f>
        <v>56302.827014285707</v>
      </c>
      <c r="Z244" s="646">
        <f>+SUM(Z209:Z225,Z231:Z235)+Z517+Z237+SUM(Z239:Z241)*'הנחות עבודה'!$D$26</f>
        <v>57646.09565714284</v>
      </c>
      <c r="AA244" s="646">
        <f>+SUM(AA209:AA225,AA231:AA235)+AA517+AA237+SUM(AA239:AA241)*'הנחות עבודה'!$D$26</f>
        <v>130575.69785714286</v>
      </c>
      <c r="AB244" s="646">
        <f>+SUM(AB209:AB225,AB231:AB235)+AB517+AB237+SUM(AB239:AB241)*'הנחות עבודה'!$D$26</f>
        <v>47268.586714285724</v>
      </c>
      <c r="AC244" s="646">
        <f>+SUM(AC209:AC225,AC231:AC235)+AC517+AC237+SUM(AC239:AC241)*'הנחות עבודה'!$D$26</f>
        <v>112415.6458</v>
      </c>
      <c r="AD244" s="646">
        <f>+SUM(AD209:AD225,AD231:AD235)+AD517+AD237+SUM(AD239:AD241)*'הנחות עבודה'!$D$26</f>
        <v>71254.543828571448</v>
      </c>
      <c r="AE244" s="646">
        <f>+SUM(AE209:AE225,AE231:AE235)+AE517+AE237+SUM(AE239:AE241)*'הנחות עבודה'!$D$26</f>
        <v>494824.81540000008</v>
      </c>
      <c r="AF244" s="646">
        <f>+SUM(AF209:AF225,AF231:AF235)+AF517+AF237+SUM(AF239:AF241)*'הנחות עבודה'!$D$26</f>
        <v>92475.99144285715</v>
      </c>
      <c r="AG244" s="646">
        <f>+SUM(AG209:AG225,AG231:AG235)+AG517+AG237+SUM(AG239:AG241)*'הנחות עבודה'!$D$26</f>
        <v>58787.23137142857</v>
      </c>
      <c r="AH244" s="646">
        <f>+SUM(AH209:AH225,AH231:AH235)+AH517+AH237+SUM(AH239:AH241)*'הנחות עבודה'!$D$26</f>
        <v>52819.187142857139</v>
      </c>
      <c r="AI244" s="646">
        <f>+SUM(AI209:AI225,AI231:AI235)+AI517+AI237+SUM(AI239:AI241)*'הנחות עבודה'!$D$26</f>
        <v>52898.071857142866</v>
      </c>
      <c r="AJ244" s="646">
        <f>+SUM(AJ209:AJ225,AJ231:AJ235)+AJ517+AJ237+SUM(AJ239:AJ241)*'הנחות עבודה'!$D$26</f>
        <v>26411.616571428571</v>
      </c>
      <c r="AK244" s="646">
        <f>+SUM(AK209:AK225,AK231:AK235)+AK517+AK237+SUM(AK239:AK241)*'הנחות עבודה'!$D$26</f>
        <v>26719.448971428574</v>
      </c>
      <c r="AL244" s="646">
        <f>+SUM(AL209:AL225,AL231:AL235)+AL517+AL237+SUM(AL239:AL241)*'הנחות עבודה'!$D$26</f>
        <v>455763.96939999994</v>
      </c>
      <c r="AM244" s="646">
        <f>+SUM(AM209:AM225,AM231:AM235)+AM517+AM237+SUM(AM239:AM241)*'הנחות עבודה'!$D$26</f>
        <v>100107.56638571428</v>
      </c>
      <c r="AN244" s="646">
        <f>+SUM(AN209:AN225,AN231:AN235)+AN517+AN237+SUM(AN239:AN241)*'הנחות עבודה'!$D$26</f>
        <v>82892.657585714274</v>
      </c>
      <c r="AO244" s="646">
        <f>+SUM(AO209:AO225,AO231:AO235)+AO517+AO237+SUM(AO239:AO241)*'הנחות עבודה'!$D$26</f>
        <v>145901.1605714286</v>
      </c>
      <c r="AP244" s="646">
        <f>+SUM(AP209:AP225,AP231:AP235)+AP517+AP237+SUM(AP239:AP241)*'הנחות עבודה'!$D$26</f>
        <v>52118.798457142853</v>
      </c>
      <c r="AQ244" s="646">
        <f>+SUM(AQ209:AQ225,AQ231:AQ235)+AQ517+AQ237+SUM(AQ239:AQ241)*'הנחות עבודה'!$D$26</f>
        <v>97911.011557142861</v>
      </c>
      <c r="AR244" s="646">
        <f>+SUM(AR209:AR225,AR231:AR235)+AR517+AR237+SUM(AR239:AR241)*'הנחות עבודה'!$D$26</f>
        <v>77479.042757142859</v>
      </c>
      <c r="AS244" s="646">
        <f>+SUM(AS209:AS225,AS231:AS235)+AS517+AS237+SUM(AS239:AS241)*'הנחות עבודה'!$D$26</f>
        <v>153924.54845714287</v>
      </c>
      <c r="AT244" s="646">
        <f>+SUM(AT209:AT225,AT231:AT235)+AT517+AT237+SUM(AT239:AT241)*'הנחות עבודה'!$D$26</f>
        <v>52337.80825714286</v>
      </c>
      <c r="AU244" s="646">
        <f>+SUM(AU209:AU225,AU231:AU235)+AU517+AU237+SUM(AU239:AU241)*'הנחות עבודה'!$D$26</f>
        <v>51390.57114285713</v>
      </c>
      <c r="AV244" s="646">
        <f>+SUM(AV209:AV225,AV231:AV235)+AV517+AV237+SUM(AV239:AV241)*'הנחות עבודה'!$D$26</f>
        <v>88382.943228571457</v>
      </c>
      <c r="AW244" s="646">
        <f>+SUM(AW209:AW225,AW231:AW235)+AW517+AW237+SUM(AW239:AW241)*'הנחות עבודה'!$D$26</f>
        <v>66446.068257142862</v>
      </c>
      <c r="AX244" s="646">
        <f>+SUM(AX209:AX225,AX231:AX235)+AX517+AX237+SUM(AX239:AX241)*'הנחות עבודה'!$D$26</f>
        <v>52098.6394</v>
      </c>
      <c r="AY244" s="646">
        <f>+SUM(AY209:AY225,AY231:AY235)+AY517+AY237+SUM(AY239:AY241)*'הנחות עבודה'!$D$26</f>
        <v>21424.9745</v>
      </c>
      <c r="AZ244" s="646">
        <f>+SUM(AZ209:AZ225,AZ231:AZ235)+AZ517+AZ237+SUM(AZ239:AZ241)*'הנחות עבודה'!$D$26</f>
        <v>104119.52181428572</v>
      </c>
      <c r="BA244" s="646">
        <f>+SUM(BA209:BA225,BA231:BA235)+BA517+BA237+SUM(BA239:BA241)*'הנחות עבודה'!$D$26</f>
        <v>103929.53557142857</v>
      </c>
      <c r="BB244" s="646">
        <f>+SUM(BB209:BB225,BB231:BB235)+BB517+BB237+SUM(BB239:BB241)*'הנחות עבודה'!$D$26</f>
        <v>95198.194214285701</v>
      </c>
      <c r="BC244" s="646">
        <f>+SUM(BC209:BC225,BC231:BC235)+BC517+BC237+SUM(BC239:BC241)*'הנחות עבודה'!$D$26</f>
        <v>105519.12499999997</v>
      </c>
      <c r="BD244" s="646">
        <f>+SUM(BD209:BD225,BD231:BD235)+BD517+BD237+SUM(BD239:BD241)*'הנחות עבודה'!$D$26</f>
        <v>26262.737142857142</v>
      </c>
      <c r="BE244" s="646">
        <f>+SUM(BE209:BE225,BE231:BE235)+BE517+BE237+SUM(BE239:BE241)*'הנחות עבודה'!$D$26</f>
        <v>18628.395142857142</v>
      </c>
      <c r="BF244" s="646">
        <f>+SUM(BF209:BF225,BF231:BF235)+BF517+BF237+SUM(BF239:BF241)*'הנחות עבודה'!$D$26</f>
        <v>94580.448999999993</v>
      </c>
      <c r="BH244" s="648">
        <f>SUM(C244:BG244)</f>
        <v>7187950.0759571437</v>
      </c>
      <c r="BK244" s="648">
        <f>+'[13]נתוני תאגידים'!$BG$233</f>
        <v>0</v>
      </c>
    </row>
    <row r="245" spans="1:63" x14ac:dyDescent="0.2">
      <c r="A245" s="750"/>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c r="AA245" s="47"/>
      <c r="AB245" s="47"/>
      <c r="AC245" s="47"/>
      <c r="AD245" s="47"/>
      <c r="AE245" s="47"/>
      <c r="AF245" s="47"/>
      <c r="AG245" s="47"/>
      <c r="AH245" s="47"/>
      <c r="AI245" s="47"/>
      <c r="AJ245" s="47"/>
      <c r="AK245" s="47"/>
      <c r="AL245" s="47"/>
      <c r="AM245" s="47"/>
      <c r="AN245" s="47"/>
      <c r="AO245" s="47"/>
      <c r="AP245" s="47"/>
      <c r="AQ245" s="47"/>
      <c r="AR245" s="47"/>
      <c r="AS245" s="47"/>
      <c r="AT245" s="47"/>
      <c r="AU245" s="47"/>
      <c r="AV245" s="47"/>
      <c r="AW245" s="47"/>
      <c r="AX245" s="47"/>
      <c r="AY245" s="47"/>
      <c r="AZ245" s="47"/>
      <c r="BA245" s="47"/>
      <c r="BB245" s="47"/>
      <c r="BC245" s="47"/>
      <c r="BD245" s="47"/>
      <c r="BE245" s="47"/>
      <c r="BF245" s="47"/>
    </row>
    <row r="246" spans="1:63" x14ac:dyDescent="0.2">
      <c r="A246" s="46" t="s">
        <v>593</v>
      </c>
      <c r="C246" s="47">
        <f t="shared" ref="C246:AH246" si="11">+C140</f>
        <v>194042.18271428571</v>
      </c>
      <c r="D246" s="47">
        <f t="shared" si="11"/>
        <v>83252.473542857144</v>
      </c>
      <c r="E246" s="47">
        <f t="shared" si="11"/>
        <v>205458.66355714286</v>
      </c>
      <c r="F246" s="47">
        <f t="shared" si="11"/>
        <v>42328.476857142858</v>
      </c>
      <c r="G246" s="47">
        <f t="shared" si="11"/>
        <v>102216.0993</v>
      </c>
      <c r="H246" s="47">
        <f t="shared" si="11"/>
        <v>711033.7174428571</v>
      </c>
      <c r="I246" s="47">
        <f t="shared" si="11"/>
        <v>220888.07254285715</v>
      </c>
      <c r="J246" s="47">
        <f t="shared" si="11"/>
        <v>100999.65171428572</v>
      </c>
      <c r="K246" s="47">
        <f t="shared" si="11"/>
        <v>131440.31554285713</v>
      </c>
      <c r="L246" s="47">
        <f t="shared" si="11"/>
        <v>79767.180042857159</v>
      </c>
      <c r="M246" s="47">
        <f t="shared" si="11"/>
        <v>165457.97142857144</v>
      </c>
      <c r="N246" s="47">
        <f t="shared" si="11"/>
        <v>329108.89958571427</v>
      </c>
      <c r="O246" s="47">
        <f t="shared" si="11"/>
        <v>150449.02915714285</v>
      </c>
      <c r="P246" s="47">
        <f t="shared" si="11"/>
        <v>153379.42265714286</v>
      </c>
      <c r="Q246" s="5">
        <f t="shared" si="11"/>
        <v>70391.874771428571</v>
      </c>
      <c r="R246" s="47">
        <f t="shared" si="11"/>
        <v>67965.598157142857</v>
      </c>
      <c r="S246" s="5">
        <f t="shared" si="11"/>
        <v>45330.140014285716</v>
      </c>
      <c r="T246" s="47">
        <f t="shared" si="11"/>
        <v>104504.22531428571</v>
      </c>
      <c r="U246" s="5">
        <f t="shared" si="11"/>
        <v>74317.593428571432</v>
      </c>
      <c r="V246" s="47">
        <f t="shared" si="11"/>
        <v>115723.00345714287</v>
      </c>
      <c r="W246" s="47">
        <f t="shared" si="11"/>
        <v>88756.388271428572</v>
      </c>
      <c r="X246" s="47">
        <f t="shared" si="11"/>
        <v>94640.973557142861</v>
      </c>
      <c r="Y246" s="5">
        <f t="shared" si="11"/>
        <v>83974.531799999997</v>
      </c>
      <c r="Z246" s="47">
        <f t="shared" si="11"/>
        <v>63136.331742857146</v>
      </c>
      <c r="AA246" s="47">
        <f t="shared" si="11"/>
        <v>99839.58928571429</v>
      </c>
      <c r="AB246" s="47">
        <f t="shared" si="11"/>
        <v>47550.356785714284</v>
      </c>
      <c r="AC246" s="5">
        <f t="shared" si="11"/>
        <v>116555.97078571428</v>
      </c>
      <c r="AD246" s="5">
        <f t="shared" si="11"/>
        <v>46825.537457142862</v>
      </c>
      <c r="AE246" s="5">
        <f t="shared" si="11"/>
        <v>462715.13797142857</v>
      </c>
      <c r="AF246" s="5">
        <f t="shared" si="11"/>
        <v>66638.687857142853</v>
      </c>
      <c r="AG246" s="47">
        <f t="shared" si="11"/>
        <v>36082.686471428577</v>
      </c>
      <c r="AH246" s="5">
        <f t="shared" si="11"/>
        <v>45991.541771428572</v>
      </c>
      <c r="AI246" s="47">
        <f t="shared" ref="AI246:BE246" si="12">+AI140</f>
        <v>60904.068428571423</v>
      </c>
      <c r="AJ246" s="5">
        <f t="shared" si="12"/>
        <v>50001.526628571432</v>
      </c>
      <c r="AK246" s="47">
        <f t="shared" si="12"/>
        <v>35132.450571428577</v>
      </c>
      <c r="AL246" s="47">
        <f t="shared" si="12"/>
        <v>520358.11942857149</v>
      </c>
      <c r="AM246" s="47">
        <f t="shared" si="12"/>
        <v>96429.65141428572</v>
      </c>
      <c r="AN246" s="5">
        <f t="shared" si="12"/>
        <v>113781.38305714287</v>
      </c>
      <c r="AO246" s="5">
        <f t="shared" si="12"/>
        <v>152128.79634285715</v>
      </c>
      <c r="AP246" s="5">
        <f t="shared" si="12"/>
        <v>38696.814642857142</v>
      </c>
      <c r="AQ246" s="5">
        <f t="shared" si="12"/>
        <v>64361.034557142855</v>
      </c>
      <c r="AR246" s="5">
        <f t="shared" si="12"/>
        <v>62567.652742857143</v>
      </c>
      <c r="AS246" s="47">
        <f t="shared" si="12"/>
        <v>154842.17704285716</v>
      </c>
      <c r="AT246" s="47">
        <f t="shared" si="12"/>
        <v>43189.512928571436</v>
      </c>
      <c r="AU246" s="5">
        <f t="shared" si="12"/>
        <v>67746.901714285719</v>
      </c>
      <c r="AV246" s="5">
        <f t="shared" si="12"/>
        <v>131823.81294285716</v>
      </c>
      <c r="AW246" s="47">
        <f t="shared" si="12"/>
        <v>59658.233500000002</v>
      </c>
      <c r="AX246" s="47">
        <f t="shared" si="12"/>
        <v>52799.451057142855</v>
      </c>
      <c r="AY246" s="351">
        <f t="shared" si="12"/>
        <v>27634.630714285715</v>
      </c>
      <c r="AZ246" s="5">
        <f t="shared" si="12"/>
        <v>125537.44587142857</v>
      </c>
      <c r="BA246" s="47">
        <f t="shared" si="12"/>
        <v>117519.04548571429</v>
      </c>
      <c r="BB246" s="5">
        <f t="shared" si="12"/>
        <v>116357.0509</v>
      </c>
      <c r="BC246" s="5">
        <f t="shared" si="12"/>
        <v>106287.70771428572</v>
      </c>
      <c r="BD246" s="47">
        <f t="shared" si="12"/>
        <v>127024.60834285716</v>
      </c>
      <c r="BE246" s="47">
        <f t="shared" si="12"/>
        <v>16770.535885714286</v>
      </c>
      <c r="BF246" s="47">
        <f>+BF140</f>
        <v>139366.43100000001</v>
      </c>
      <c r="BK246" s="78">
        <f>+BH244-BK244</f>
        <v>7187950.0759571437</v>
      </c>
    </row>
    <row r="247" spans="1:63" x14ac:dyDescent="0.2">
      <c r="A247" s="46"/>
      <c r="C247" s="47"/>
      <c r="D247" s="47"/>
      <c r="E247" s="47"/>
      <c r="F247" s="47"/>
      <c r="G247" s="47"/>
      <c r="H247" s="47"/>
      <c r="I247" s="47"/>
      <c r="J247" s="47"/>
      <c r="K247" s="47"/>
      <c r="L247" s="47"/>
      <c r="M247" s="47"/>
      <c r="N247" s="47"/>
      <c r="O247" s="47"/>
      <c r="P247" s="47"/>
      <c r="Q247" s="5"/>
      <c r="R247" s="47"/>
      <c r="S247" s="5"/>
      <c r="T247" s="47"/>
      <c r="U247" s="5"/>
      <c r="V247" s="47"/>
      <c r="W247" s="47"/>
      <c r="X247" s="47"/>
      <c r="Y247" s="5"/>
      <c r="Z247" s="47"/>
      <c r="AA247" s="47"/>
      <c r="AB247" s="47"/>
      <c r="AC247" s="5"/>
      <c r="AD247" s="5"/>
      <c r="AE247" s="5"/>
      <c r="AF247" s="5"/>
      <c r="AG247" s="47"/>
      <c r="AH247" s="5"/>
      <c r="AI247" s="47"/>
      <c r="AJ247" s="5"/>
      <c r="AK247" s="47"/>
      <c r="AL247" s="47"/>
      <c r="AM247" s="47"/>
      <c r="AN247" s="5"/>
      <c r="AO247" s="5"/>
      <c r="AP247" s="5"/>
      <c r="AQ247" s="5"/>
      <c r="AR247" s="5"/>
      <c r="AS247" s="47"/>
      <c r="AT247" s="47"/>
      <c r="AU247" s="5"/>
      <c r="AV247" s="5"/>
      <c r="AW247" s="47"/>
      <c r="AX247" s="47"/>
      <c r="AY247" s="47"/>
      <c r="AZ247" s="5"/>
      <c r="BA247" s="47"/>
      <c r="BB247" s="5"/>
      <c r="BC247" s="5"/>
      <c r="BD247" s="47"/>
      <c r="BE247" s="47"/>
      <c r="BF247" s="47"/>
    </row>
    <row r="248" spans="1:63" x14ac:dyDescent="0.2">
      <c r="A248" s="46" t="s">
        <v>594</v>
      </c>
      <c r="C248" s="47">
        <v>5632</v>
      </c>
      <c r="D248" s="47">
        <v>3279</v>
      </c>
      <c r="E248" s="47">
        <v>17047</v>
      </c>
      <c r="F248" s="47">
        <v>5</v>
      </c>
      <c r="G248" s="47">
        <v>216</v>
      </c>
      <c r="H248" s="47">
        <v>19502</v>
      </c>
      <c r="I248" s="47">
        <v>15244</v>
      </c>
      <c r="J248" s="47">
        <v>9239</v>
      </c>
      <c r="K248" s="47"/>
      <c r="L248" s="47">
        <f>225+9508</f>
        <v>9733</v>
      </c>
      <c r="M248" s="47">
        <v>2976</v>
      </c>
      <c r="N248" s="47">
        <v>5914</v>
      </c>
      <c r="O248" s="47">
        <v>1963</v>
      </c>
      <c r="P248" s="47">
        <v>1263</v>
      </c>
      <c r="Q248" s="5">
        <v>0</v>
      </c>
      <c r="R248" s="47">
        <f>+R250</f>
        <v>135</v>
      </c>
      <c r="S248" s="5">
        <v>285</v>
      </c>
      <c r="T248" s="47">
        <v>79</v>
      </c>
      <c r="U248" s="5">
        <v>177</v>
      </c>
      <c r="V248" s="47">
        <v>0</v>
      </c>
      <c r="W248" s="47"/>
      <c r="X248" s="47">
        <f>+X250</f>
        <v>362</v>
      </c>
      <c r="Y248" s="5"/>
      <c r="Z248" s="47">
        <f>3270057/1000</f>
        <v>3270.0569999999998</v>
      </c>
      <c r="AA248" s="47"/>
      <c r="AB248" s="47">
        <v>0</v>
      </c>
      <c r="AC248" s="5"/>
      <c r="AD248" s="5">
        <v>315</v>
      </c>
      <c r="AE248" s="5">
        <v>0</v>
      </c>
      <c r="AF248" s="5">
        <v>0</v>
      </c>
      <c r="AG248" s="47">
        <v>0</v>
      </c>
      <c r="AH248" s="5"/>
      <c r="AI248" s="47">
        <v>0</v>
      </c>
      <c r="AJ248" s="5"/>
      <c r="AK248" s="47">
        <v>0</v>
      </c>
      <c r="AL248" s="47">
        <v>0</v>
      </c>
      <c r="AM248" s="47"/>
      <c r="AN248" s="5">
        <v>0</v>
      </c>
      <c r="AO248" s="5">
        <v>1</v>
      </c>
      <c r="AP248" s="5">
        <v>0</v>
      </c>
      <c r="AQ248" s="5">
        <v>0</v>
      </c>
      <c r="AR248" s="5"/>
      <c r="AS248" s="47">
        <v>0</v>
      </c>
      <c r="AT248" s="47">
        <v>0</v>
      </c>
      <c r="AU248" s="5">
        <v>0</v>
      </c>
      <c r="AV248" s="5"/>
      <c r="AW248" s="47">
        <v>0</v>
      </c>
      <c r="AX248" s="47">
        <v>0</v>
      </c>
      <c r="AY248" s="47">
        <v>0</v>
      </c>
      <c r="AZ248" s="5">
        <v>0</v>
      </c>
      <c r="BA248" s="47">
        <v>0</v>
      </c>
      <c r="BB248" s="5">
        <v>0</v>
      </c>
      <c r="BC248" s="5"/>
      <c r="BD248" s="47">
        <v>0</v>
      </c>
      <c r="BE248" s="47">
        <v>0</v>
      </c>
      <c r="BF248" s="47">
        <v>0</v>
      </c>
    </row>
    <row r="249" spans="1:63" x14ac:dyDescent="0.2">
      <c r="A249" s="46"/>
      <c r="C249" s="47"/>
      <c r="D249" s="47"/>
      <c r="E249" s="47"/>
      <c r="F249" s="47"/>
      <c r="G249" s="47"/>
      <c r="H249" s="47"/>
      <c r="I249" s="47"/>
      <c r="J249" s="47"/>
      <c r="K249" s="47"/>
      <c r="L249" s="47"/>
      <c r="M249" s="47"/>
      <c r="N249" s="47"/>
      <c r="O249" s="47"/>
      <c r="P249" s="47"/>
      <c r="Q249" s="5"/>
      <c r="R249" s="47"/>
      <c r="S249" s="5"/>
      <c r="T249" s="47"/>
      <c r="U249" s="5"/>
      <c r="V249" s="47"/>
      <c r="W249" s="47"/>
      <c r="X249" s="47"/>
      <c r="Y249" s="5"/>
      <c r="Z249" s="47"/>
      <c r="AA249" s="47"/>
      <c r="AB249" s="47"/>
      <c r="AC249" s="5"/>
      <c r="AD249" s="5"/>
      <c r="AE249" s="5"/>
      <c r="AF249" s="5"/>
      <c r="AG249" s="47"/>
      <c r="AH249" s="5"/>
      <c r="AI249" s="47"/>
      <c r="AJ249" s="5"/>
      <c r="AK249" s="47"/>
      <c r="AL249" s="47"/>
      <c r="AM249" s="47"/>
      <c r="AN249" s="5"/>
      <c r="AO249" s="5"/>
      <c r="AP249" s="5"/>
      <c r="AQ249" s="5"/>
      <c r="AR249" s="5"/>
      <c r="AS249" s="47"/>
      <c r="AT249" s="47"/>
      <c r="AU249" s="5"/>
      <c r="AV249" s="5"/>
      <c r="AW249" s="47"/>
      <c r="AX249" s="47"/>
      <c r="AY249" s="47"/>
      <c r="AZ249" s="5"/>
      <c r="BA249" s="47"/>
      <c r="BB249" s="5"/>
      <c r="BC249" s="5"/>
      <c r="BD249" s="47"/>
      <c r="BE249" s="47"/>
      <c r="BF249" s="47"/>
    </row>
    <row r="250" spans="1:63" x14ac:dyDescent="0.2">
      <c r="A250" s="46" t="s">
        <v>595</v>
      </c>
      <c r="C250" s="47">
        <f>37439+'הנחות עבודה'!H79</f>
        <v>42577.874364800002</v>
      </c>
      <c r="D250" s="47">
        <v>878</v>
      </c>
      <c r="E250" s="47">
        <v>1709</v>
      </c>
      <c r="F250" s="47">
        <v>1449</v>
      </c>
      <c r="G250" s="47">
        <v>217</v>
      </c>
      <c r="H250" s="47">
        <v>14302</v>
      </c>
      <c r="I250" s="47">
        <v>25369</v>
      </c>
      <c r="J250" s="47">
        <v>10491</v>
      </c>
      <c r="K250" s="47">
        <v>161</v>
      </c>
      <c r="L250" s="47">
        <f>2059+6749</f>
        <v>8808</v>
      </c>
      <c r="M250" s="47">
        <v>2056</v>
      </c>
      <c r="N250" s="47">
        <v>2522</v>
      </c>
      <c r="O250" s="47">
        <v>6182</v>
      </c>
      <c r="P250" s="47">
        <v>1658</v>
      </c>
      <c r="Q250" s="5">
        <v>0</v>
      </c>
      <c r="R250" s="47">
        <v>135</v>
      </c>
      <c r="S250" s="5">
        <v>3268</v>
      </c>
      <c r="T250" s="47">
        <v>1986</v>
      </c>
      <c r="U250" s="5">
        <v>1885</v>
      </c>
      <c r="V250" s="47">
        <v>265</v>
      </c>
      <c r="W250" s="47">
        <f>39866366/1000</f>
        <v>39866.366000000002</v>
      </c>
      <c r="X250" s="47">
        <v>362</v>
      </c>
      <c r="Y250" s="5">
        <v>231</v>
      </c>
      <c r="Z250" s="47">
        <f>7707808/1000</f>
        <v>7707.808</v>
      </c>
      <c r="AA250" s="47">
        <v>0</v>
      </c>
      <c r="AB250" s="47">
        <v>608</v>
      </c>
      <c r="AC250" s="5">
        <v>207</v>
      </c>
      <c r="AD250" s="5">
        <v>538</v>
      </c>
      <c r="AE250" s="5">
        <v>3113</v>
      </c>
      <c r="AF250" s="5">
        <v>5885</v>
      </c>
      <c r="AG250" s="47">
        <v>0</v>
      </c>
      <c r="AH250" s="5">
        <v>0</v>
      </c>
      <c r="AI250" s="47">
        <v>248</v>
      </c>
      <c r="AJ250" s="5"/>
      <c r="AK250" s="47">
        <v>0</v>
      </c>
      <c r="AL250" s="47">
        <f>+'הנחות עבודה'!H77</f>
        <v>11643.320330399998</v>
      </c>
      <c r="AM250" s="47">
        <v>0</v>
      </c>
      <c r="AN250" s="5">
        <v>0</v>
      </c>
      <c r="AO250" s="5">
        <v>1</v>
      </c>
      <c r="AP250" s="5">
        <f>+'הנחות עבודה'!H81</f>
        <v>982.67497679999974</v>
      </c>
      <c r="AQ250" s="5">
        <f>771032/1000+'הנחות עבודה'!H82</f>
        <v>3108.3352055999994</v>
      </c>
      <c r="AR250" s="5">
        <v>1120</v>
      </c>
      <c r="AS250" s="47">
        <v>19305</v>
      </c>
      <c r="AT250" s="47">
        <v>0</v>
      </c>
      <c r="AU250" s="5">
        <v>84</v>
      </c>
      <c r="AV250" s="5">
        <v>320</v>
      </c>
      <c r="AW250" s="47">
        <v>89</v>
      </c>
      <c r="AX250" s="47">
        <v>0</v>
      </c>
      <c r="AY250" s="47">
        <f>+AW250</f>
        <v>89</v>
      </c>
      <c r="AZ250" s="5">
        <v>123</v>
      </c>
      <c r="BA250" s="47">
        <v>0</v>
      </c>
      <c r="BB250" s="5">
        <v>0</v>
      </c>
      <c r="BC250" s="5">
        <v>239</v>
      </c>
      <c r="BD250" s="47">
        <v>0</v>
      </c>
      <c r="BE250" s="47">
        <v>0</v>
      </c>
      <c r="BF250" s="47">
        <v>0</v>
      </c>
    </row>
    <row r="251" spans="1:63" x14ac:dyDescent="0.2">
      <c r="A251" s="46"/>
      <c r="C251" s="47"/>
      <c r="D251" s="47"/>
      <c r="E251" s="47"/>
      <c r="F251" s="47"/>
      <c r="G251" s="47"/>
      <c r="H251" s="47"/>
      <c r="I251" s="47"/>
      <c r="J251" s="47"/>
      <c r="K251" s="47"/>
      <c r="L251" s="47"/>
      <c r="M251" s="47"/>
      <c r="N251" s="47"/>
      <c r="O251" s="47"/>
      <c r="P251" s="47"/>
      <c r="Q251" s="5"/>
      <c r="R251" s="47"/>
      <c r="S251" s="5"/>
      <c r="T251" s="47"/>
      <c r="U251" s="5"/>
      <c r="V251" s="47"/>
      <c r="W251" s="47"/>
      <c r="X251" s="47"/>
      <c r="Y251" s="5"/>
      <c r="Z251" s="47"/>
      <c r="AA251" s="47"/>
      <c r="AB251" s="47"/>
      <c r="AC251" s="5"/>
      <c r="AD251" s="5"/>
      <c r="AE251" s="5"/>
      <c r="AF251" s="5"/>
      <c r="AG251" s="47"/>
      <c r="AH251" s="5"/>
      <c r="AI251" s="47"/>
      <c r="AJ251" s="5"/>
      <c r="AK251" s="47"/>
      <c r="AL251" s="47"/>
      <c r="AM251" s="47"/>
      <c r="AN251" s="5"/>
      <c r="AO251" s="5"/>
      <c r="AP251" s="5"/>
      <c r="AQ251" s="5"/>
      <c r="AR251" s="5"/>
      <c r="AS251" s="47"/>
      <c r="AT251" s="47"/>
      <c r="AU251" s="5"/>
      <c r="AV251" s="5"/>
      <c r="AW251" s="47"/>
      <c r="AX251" s="47"/>
      <c r="AY251" s="47"/>
      <c r="AZ251" s="5"/>
      <c r="BA251" s="47"/>
      <c r="BB251" s="5"/>
      <c r="BC251" s="5"/>
      <c r="BD251" s="47"/>
      <c r="BE251" s="47"/>
      <c r="BF251" s="47"/>
    </row>
    <row r="252" spans="1:63" x14ac:dyDescent="0.2">
      <c r="A252" s="46" t="s">
        <v>596</v>
      </c>
      <c r="C252" s="47">
        <f>17640+'הנחות עבודה'!H88</f>
        <v>27157.384169707493</v>
      </c>
      <c r="D252" s="47">
        <v>1250</v>
      </c>
      <c r="E252" s="47">
        <v>5606</v>
      </c>
      <c r="F252" s="47">
        <f>172+341</f>
        <v>513</v>
      </c>
      <c r="G252" s="47">
        <v>261</v>
      </c>
      <c r="H252" s="47">
        <v>11876</v>
      </c>
      <c r="I252" s="47">
        <v>26222</v>
      </c>
      <c r="J252" s="47">
        <f>20778+674</f>
        <v>21452</v>
      </c>
      <c r="K252" s="47">
        <f>1530+594</f>
        <v>2124</v>
      </c>
      <c r="L252" s="47">
        <f>12+3477</f>
        <v>3489</v>
      </c>
      <c r="M252" s="47">
        <v>3007</v>
      </c>
      <c r="N252" s="47">
        <v>3162</v>
      </c>
      <c r="O252" s="47">
        <v>8699</v>
      </c>
      <c r="P252" s="47">
        <v>4515</v>
      </c>
      <c r="Q252" s="5">
        <v>1033</v>
      </c>
      <c r="R252" s="47">
        <f>1345189/1000</f>
        <v>1345.1890000000001</v>
      </c>
      <c r="S252" s="5">
        <v>7362</v>
      </c>
      <c r="T252" s="47">
        <f>1608+41</f>
        <v>1649</v>
      </c>
      <c r="U252" s="5">
        <f>1904+22</f>
        <v>1926</v>
      </c>
      <c r="V252" s="47">
        <f>1329+1190</f>
        <v>2519</v>
      </c>
      <c r="W252" s="47">
        <v>3378</v>
      </c>
      <c r="X252" s="47">
        <f>899596/1000</f>
        <v>899.596</v>
      </c>
      <c r="Y252" s="5">
        <v>530</v>
      </c>
      <c r="Z252" s="47">
        <f>2233154/1000</f>
        <v>2233.154</v>
      </c>
      <c r="AA252" s="47">
        <v>358</v>
      </c>
      <c r="AB252" s="47">
        <v>1</v>
      </c>
      <c r="AC252" s="5">
        <v>8082</v>
      </c>
      <c r="AD252" s="5">
        <f>3719+527</f>
        <v>4246</v>
      </c>
      <c r="AE252" s="5">
        <v>7001</v>
      </c>
      <c r="AF252" s="5">
        <v>1830</v>
      </c>
      <c r="AG252" s="47">
        <f>10+61</f>
        <v>71</v>
      </c>
      <c r="AH252" s="5">
        <v>0</v>
      </c>
      <c r="AI252" s="47">
        <v>1280</v>
      </c>
      <c r="AJ252" s="5">
        <v>1</v>
      </c>
      <c r="AK252" s="47">
        <v>0</v>
      </c>
      <c r="AL252" s="47">
        <f>16378+'הנחות עבודה'!H86</f>
        <v>37941.857126850613</v>
      </c>
      <c r="AM252" s="47">
        <v>279</v>
      </c>
      <c r="AN252" s="5">
        <v>0</v>
      </c>
      <c r="AO252" s="5">
        <v>1</v>
      </c>
      <c r="AP252" s="5">
        <f>+'הנחות עבודה'!H90</f>
        <v>1761.8692919193736</v>
      </c>
      <c r="AQ252" s="5">
        <f>2069+'הנחות עבודה'!H91</f>
        <v>6315.9151742168715</v>
      </c>
      <c r="AR252" s="5">
        <v>2132</v>
      </c>
      <c r="AS252" s="47">
        <v>0</v>
      </c>
      <c r="AT252" s="47">
        <v>1174</v>
      </c>
      <c r="AU252" s="5">
        <v>2029</v>
      </c>
      <c r="AV252" s="5">
        <f>317+473</f>
        <v>790</v>
      </c>
      <c r="AW252" s="47">
        <f>91+917</f>
        <v>1008</v>
      </c>
      <c r="AX252" s="47">
        <v>0</v>
      </c>
      <c r="AY252" s="47">
        <v>0</v>
      </c>
      <c r="AZ252" s="5">
        <f>146+199</f>
        <v>345</v>
      </c>
      <c r="BA252" s="47">
        <v>777</v>
      </c>
      <c r="BB252" s="5">
        <v>0</v>
      </c>
      <c r="BC252" s="5">
        <f>1007+847</f>
        <v>1854</v>
      </c>
      <c r="BD252" s="47">
        <v>114</v>
      </c>
      <c r="BE252" s="47">
        <v>0</v>
      </c>
      <c r="BF252" s="47">
        <v>0</v>
      </c>
    </row>
    <row r="253" spans="1:63" x14ac:dyDescent="0.2">
      <c r="A253" s="46"/>
      <c r="C253" s="47"/>
      <c r="D253" s="47"/>
      <c r="E253" s="47"/>
      <c r="F253" s="47"/>
      <c r="G253" s="47"/>
      <c r="H253" s="47"/>
      <c r="I253" s="47"/>
      <c r="J253" s="47"/>
      <c r="K253" s="47"/>
      <c r="L253" s="47"/>
      <c r="M253" s="47"/>
      <c r="N253" s="47"/>
      <c r="O253" s="47"/>
      <c r="P253" s="47"/>
      <c r="Q253" s="5"/>
      <c r="R253" s="47"/>
      <c r="S253" s="5"/>
      <c r="T253" s="47"/>
      <c r="U253" s="5"/>
      <c r="V253" s="47"/>
      <c r="W253" s="47"/>
      <c r="X253" s="47"/>
      <c r="Y253" s="5"/>
      <c r="Z253" s="47"/>
      <c r="AA253" s="47"/>
      <c r="AB253" s="47"/>
      <c r="AC253" s="5"/>
      <c r="AD253" s="5"/>
      <c r="AE253" s="5"/>
      <c r="AF253" s="5"/>
      <c r="AG253" s="47"/>
      <c r="AH253" s="5"/>
      <c r="AI253" s="47"/>
      <c r="AJ253" s="5"/>
      <c r="AK253" s="47"/>
      <c r="AL253" s="47"/>
      <c r="AM253" s="47"/>
      <c r="AN253" s="5"/>
      <c r="AO253" s="5"/>
      <c r="AP253" s="5"/>
      <c r="AQ253" s="5"/>
      <c r="AR253" s="5"/>
      <c r="AS253" s="47"/>
      <c r="AT253" s="47"/>
      <c r="AU253" s="5"/>
      <c r="AV253" s="5"/>
      <c r="AW253" s="47"/>
      <c r="AX253" s="47"/>
      <c r="AY253" s="47"/>
      <c r="AZ253" s="5"/>
      <c r="BA253" s="47"/>
      <c r="BB253" s="5"/>
      <c r="BC253" s="5"/>
      <c r="BD253" s="47"/>
      <c r="BE253" s="47"/>
      <c r="BF253" s="47"/>
    </row>
    <row r="254" spans="1:63" x14ac:dyDescent="0.2">
      <c r="A254" s="46" t="s">
        <v>1513</v>
      </c>
      <c r="C254" s="47">
        <f>+HLOOKUP(C1,'השקעות 2012-2014'!$1:$103,88,0)</f>
        <v>18466</v>
      </c>
      <c r="D254" s="47">
        <f>+HLOOKUP(D1,'השקעות 2012-2014'!$1:$103,88,0)</f>
        <v>699</v>
      </c>
      <c r="E254" s="47">
        <f>+HLOOKUP(E1,'השקעות 2012-2014'!$1:$103,88,0)</f>
        <v>13806</v>
      </c>
      <c r="F254" s="47">
        <f>+HLOOKUP(F1,'השקעות 2012-2014'!$1:$103,88,0)</f>
        <v>112</v>
      </c>
      <c r="G254" s="47">
        <f>+HLOOKUP(G1,'השקעות 2012-2014'!$1:$103,88,0)</f>
        <v>82</v>
      </c>
      <c r="H254" s="47">
        <f>+HLOOKUP(H1,'השקעות 2012-2014'!$1:$103,88,0)</f>
        <v>14481</v>
      </c>
      <c r="I254" s="47">
        <f>+HLOOKUP(I1,'השקעות 2012-2014'!$1:$103,88,0)</f>
        <v>27626</v>
      </c>
      <c r="J254" s="47">
        <f>+HLOOKUP(J1,'השקעות 2012-2014'!$1:$103,88,0)</f>
        <v>6247</v>
      </c>
      <c r="K254" s="47">
        <f>+HLOOKUP(K1,'השקעות 2012-2014'!$1:$103,88,0)</f>
        <v>1940</v>
      </c>
      <c r="L254" s="47">
        <f>+HLOOKUP(L1,'השקעות 2012-2014'!$1:$103,88,0)</f>
        <v>1103</v>
      </c>
      <c r="M254" s="47">
        <f>+HLOOKUP(M1,'השקעות 2012-2014'!$1:$103,88,0)</f>
        <v>3481</v>
      </c>
      <c r="N254" s="47">
        <f>+HLOOKUP(N1,'השקעות 2012-2014'!$1:$103,88,0)</f>
        <v>6062</v>
      </c>
      <c r="O254" s="47">
        <f>+HLOOKUP(O1,'השקעות 2012-2014'!$1:$103,88,0)</f>
        <v>7249</v>
      </c>
      <c r="P254" s="47">
        <f>+HLOOKUP(P1,'השקעות 2012-2014'!$1:$103,88,0)</f>
        <v>23272</v>
      </c>
      <c r="Q254" s="47">
        <f>+HLOOKUP(Q1,'השקעות 2012-2014'!$1:$103,88,0)</f>
        <v>4824</v>
      </c>
      <c r="R254" s="47">
        <f>+HLOOKUP(R1,'השקעות 2012-2014'!$1:$103,88,0)</f>
        <v>3069</v>
      </c>
      <c r="S254" s="47">
        <f>+HLOOKUP(S1,'השקעות 2012-2014'!$1:$103,88,0)</f>
        <v>22106</v>
      </c>
      <c r="T254" s="47">
        <f>+HLOOKUP(T1,'השקעות 2012-2014'!$1:$103,88,0)</f>
        <v>1370</v>
      </c>
      <c r="U254" s="47">
        <f>+HLOOKUP(U1,'השקעות 2012-2014'!$1:$103,88,0)</f>
        <v>2683</v>
      </c>
      <c r="V254" s="47">
        <f>+HLOOKUP(V1,'השקעות 2012-2014'!$1:$103,88,0)</f>
        <v>7923</v>
      </c>
      <c r="W254" s="47">
        <f>+HLOOKUP(W1,'השקעות 2012-2014'!$1:$103,88,0)</f>
        <v>16620</v>
      </c>
      <c r="X254" s="47">
        <f>+HLOOKUP(X1,'השקעות 2012-2014'!$1:$103,88,0)</f>
        <v>1389</v>
      </c>
      <c r="Y254" s="47">
        <f>+HLOOKUP(Y1,'השקעות 2012-2014'!$1:$103,88,0)</f>
        <v>2742</v>
      </c>
      <c r="Z254" s="47">
        <f>+HLOOKUP(Z1,'השקעות 2012-2014'!$1:$103,88,0)</f>
        <v>1075.0909999999999</v>
      </c>
      <c r="AA254" s="47">
        <f>+HLOOKUP(AA1,'השקעות 2012-2014'!$1:$103,88,0)</f>
        <v>1098</v>
      </c>
      <c r="AB254" s="47">
        <f>+HLOOKUP(AB1,'השקעות 2012-2014'!$1:$103,88,0)</f>
        <v>3272</v>
      </c>
      <c r="AC254" s="47">
        <f>+HLOOKUP(AC1,'השקעות 2012-2014'!$1:$103,88,0)</f>
        <v>7752</v>
      </c>
      <c r="AD254" s="47">
        <f>+HLOOKUP(AD1,'השקעות 2012-2014'!$1:$103,88,0)</f>
        <v>1734</v>
      </c>
      <c r="AE254" s="47">
        <f>+HLOOKUP(AE1,'השקעות 2012-2014'!$1:$103,88,0)</f>
        <v>7636</v>
      </c>
      <c r="AF254" s="47">
        <f>+HLOOKUP(AF1,'השקעות 2012-2014'!$1:$103,88,0)</f>
        <v>1455</v>
      </c>
      <c r="AG254" s="47">
        <f>+HLOOKUP(AG1,'השקעות 2012-2014'!$1:$103,88,0)</f>
        <v>0</v>
      </c>
      <c r="AH254" s="47">
        <f>+HLOOKUP(AH1,'השקעות 2012-2014'!$1:$103,88,0)</f>
        <v>0</v>
      </c>
      <c r="AI254" s="47">
        <f>+HLOOKUP(AI1,'השקעות 2012-2014'!$1:$103,88,0)</f>
        <v>88</v>
      </c>
      <c r="AJ254" s="47">
        <f>+HLOOKUP(AJ1,'השקעות 2012-2014'!$1:$103,88,0)</f>
        <v>195</v>
      </c>
      <c r="AK254" s="47">
        <f>+HLOOKUP(AK1,'השקעות 2012-2014'!$1:$103,88,0)</f>
        <v>0</v>
      </c>
      <c r="AL254" s="47">
        <f>+HLOOKUP(AL1,'השקעות 2012-2014'!$1:$103,88,0)</f>
        <v>22231</v>
      </c>
      <c r="AM254" s="47">
        <f>+HLOOKUP(AM1,'השקעות 2012-2014'!$1:$103,88,0)</f>
        <v>455</v>
      </c>
      <c r="AN254" s="47">
        <f>+HLOOKUP(AN1,'השקעות 2012-2014'!$1:$103,88,0)</f>
        <v>2731</v>
      </c>
      <c r="AO254" s="47">
        <f>+HLOOKUP(AO1,'השקעות 2012-2014'!$1:$103,88,0)</f>
        <v>0</v>
      </c>
      <c r="AP254" s="47">
        <f>+HLOOKUP(AP1,'השקעות 2012-2014'!$1:$103,88,0)</f>
        <v>5746.0370000000003</v>
      </c>
      <c r="AQ254" s="47">
        <f>+HLOOKUP(AQ1,'השקעות 2012-2014'!$1:$103,88,0)</f>
        <v>1665</v>
      </c>
      <c r="AR254" s="47">
        <f>+HLOOKUP(AR1,'השקעות 2012-2014'!$1:$103,88,0)</f>
        <v>3619</v>
      </c>
      <c r="AS254" s="47">
        <f>+HLOOKUP(AS1,'השקעות 2012-2014'!$1:$103,88,0)</f>
        <v>16190</v>
      </c>
      <c r="AT254" s="47">
        <f>+HLOOKUP(AT1,'השקעות 2012-2014'!$1:$103,88,0)</f>
        <v>1962</v>
      </c>
      <c r="AU254" s="47">
        <f>+HLOOKUP(AU1,'השקעות 2012-2014'!$1:$103,88,0)</f>
        <v>3169</v>
      </c>
      <c r="AV254" s="47">
        <f>+HLOOKUP(AV1,'השקעות 2012-2014'!$1:$103,88,0)</f>
        <v>7809</v>
      </c>
      <c r="AW254" s="47">
        <f>+HLOOKUP(AW1,'השקעות 2012-2014'!$1:$103,88,0)</f>
        <v>1957</v>
      </c>
      <c r="AX254" s="47">
        <f>+HLOOKUP(AX1,'השקעות 2012-2014'!$1:$103,88,0)</f>
        <v>0</v>
      </c>
      <c r="AY254" s="47">
        <f>+HLOOKUP(AY1,'השקעות 2012-2014'!$1:$103,88,0)</f>
        <v>45</v>
      </c>
      <c r="AZ254" s="47">
        <f>+HLOOKUP(AZ1,'השקעות 2012-2014'!$1:$103,88,0)</f>
        <v>1748</v>
      </c>
      <c r="BA254" s="47">
        <f>+HLOOKUP(BA1,'השקעות 2012-2014'!$1:$103,88,0)</f>
        <v>1563</v>
      </c>
      <c r="BB254" s="47">
        <f>+HLOOKUP(BB1,'השקעות 2012-2014'!$1:$103,88,0)</f>
        <v>2004</v>
      </c>
      <c r="BC254" s="47">
        <f>+HLOOKUP(BC1,'השקעות 2012-2014'!$1:$103,88,0)</f>
        <v>1048</v>
      </c>
      <c r="BD254" s="47">
        <f>+HLOOKUP(BD1,'השקעות 2012-2014'!$1:$103,88,0)</f>
        <v>6247</v>
      </c>
      <c r="BE254" s="47">
        <f>+HLOOKUP(BE1,'השקעות 2012-2014'!$1:$103,88,0)</f>
        <v>0</v>
      </c>
      <c r="BF254" s="47">
        <f>+HLOOKUP(BF1,'השקעות 2012-2014'!$1:$103,88,0)</f>
        <v>0</v>
      </c>
      <c r="BK254" s="78">
        <f>SUM(C254:BE254)</f>
        <v>291846.12800000003</v>
      </c>
    </row>
    <row r="255" spans="1:63" x14ac:dyDescent="0.2">
      <c r="A255" s="46"/>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c r="AA255" s="47"/>
      <c r="AB255" s="47"/>
      <c r="AC255" s="47"/>
      <c r="AD255" s="47"/>
      <c r="AE255" s="47"/>
      <c r="AF255" s="47"/>
      <c r="AG255" s="47"/>
      <c r="AH255" s="47"/>
      <c r="AI255" s="47"/>
      <c r="AJ255" s="47"/>
      <c r="AK255" s="47"/>
      <c r="AL255" s="47"/>
      <c r="AM255" s="47"/>
      <c r="AN255" s="47"/>
      <c r="AO255" s="47"/>
      <c r="AP255" s="47"/>
      <c r="AQ255" s="47"/>
      <c r="AR255" s="47"/>
      <c r="AS255" s="47"/>
      <c r="AT255" s="47"/>
      <c r="AU255" s="47"/>
      <c r="AV255" s="47"/>
      <c r="AW255" s="47"/>
      <c r="AX255" s="47"/>
      <c r="AY255" s="47"/>
      <c r="AZ255" s="47"/>
      <c r="BA255" s="47"/>
      <c r="BB255" s="47"/>
      <c r="BC255" s="47"/>
      <c r="BD255" s="47"/>
      <c r="BE255" s="47"/>
      <c r="BF255" s="47"/>
      <c r="BK255" s="78"/>
    </row>
    <row r="256" spans="1:63" x14ac:dyDescent="0.2">
      <c r="A256" s="46" t="s">
        <v>1514</v>
      </c>
      <c r="C256" s="47">
        <f>+HLOOKUP(C1,'השקעות 2012-2014'!$1:$103,92,0)</f>
        <v>15873</v>
      </c>
      <c r="D256" s="47">
        <f>+HLOOKUP(D1,'השקעות 2012-2014'!$1:$103,92,0)</f>
        <v>1301</v>
      </c>
      <c r="E256" s="47">
        <f>+HLOOKUP(E1,'השקעות 2012-2014'!$1:$103,92,0)</f>
        <v>6383</v>
      </c>
      <c r="F256" s="47">
        <f>+HLOOKUP(F1,'השקעות 2012-2014'!$1:$103,92,0)</f>
        <v>1047</v>
      </c>
      <c r="G256" s="47">
        <f>+HLOOKUP(G1,'השקעות 2012-2014'!$1:$103,92,0)</f>
        <v>397</v>
      </c>
      <c r="H256" s="47">
        <f>+HLOOKUP(H1,'השקעות 2012-2014'!$1:$103,92,0)</f>
        <v>12097</v>
      </c>
      <c r="I256" s="47">
        <f>+HLOOKUP(I1,'השקעות 2012-2014'!$1:$103,92,0)</f>
        <v>22522</v>
      </c>
      <c r="J256" s="47">
        <f>+HLOOKUP(J1,'השקעות 2012-2014'!$1:$103,92,0)</f>
        <v>5440</v>
      </c>
      <c r="K256" s="47">
        <f>+HLOOKUP(K1,'השקעות 2012-2014'!$1:$103,92,0)</f>
        <v>6397</v>
      </c>
      <c r="L256" s="47">
        <f>+HLOOKUP(L1,'השקעות 2012-2014'!$1:$103,92,0)</f>
        <v>14081</v>
      </c>
      <c r="M256" s="47">
        <f>+HLOOKUP(M1,'השקעות 2012-2014'!$1:$103,92,0)</f>
        <v>6409</v>
      </c>
      <c r="N256" s="47">
        <f>+HLOOKUP(N1,'השקעות 2012-2014'!$1:$103,92,0)</f>
        <v>5652</v>
      </c>
      <c r="O256" s="47">
        <f>+HLOOKUP(O1,'השקעות 2012-2014'!$1:$103,92,0)</f>
        <v>6619</v>
      </c>
      <c r="P256" s="47">
        <f>+HLOOKUP(P1,'השקעות 2012-2014'!$1:$103,92,0)</f>
        <v>12766</v>
      </c>
      <c r="Q256" s="47">
        <f>+HLOOKUP(Q1,'השקעות 2012-2014'!$1:$103,92,0)</f>
        <v>3752</v>
      </c>
      <c r="R256" s="47">
        <f>+HLOOKUP(R1,'השקעות 2012-2014'!$1:$103,92,0)</f>
        <v>3026.319</v>
      </c>
      <c r="S256" s="47">
        <f>+HLOOKUP(S1,'השקעות 2012-2014'!$1:$103,92,0)</f>
        <v>5800</v>
      </c>
      <c r="T256" s="47">
        <f>+HLOOKUP(T1,'השקעות 2012-2014'!$1:$103,92,0)</f>
        <v>3170</v>
      </c>
      <c r="U256" s="47">
        <f>+HLOOKUP(U1,'השקעות 2012-2014'!$1:$103,92,0)</f>
        <v>5732</v>
      </c>
      <c r="V256" s="47">
        <f>+HLOOKUP(V1,'השקעות 2012-2014'!$1:$103,92,0)</f>
        <v>4533</v>
      </c>
      <c r="W256" s="47">
        <f>+HLOOKUP(W1,'השקעות 2012-2014'!$1:$103,92,0)</f>
        <v>33315.18</v>
      </c>
      <c r="X256" s="47">
        <f>+HLOOKUP(X1,'השקעות 2012-2014'!$1:$103,92,0)</f>
        <v>2656</v>
      </c>
      <c r="Y256" s="47">
        <f>+HLOOKUP(Y1,'השקעות 2012-2014'!$1:$103,92,0)</f>
        <v>3485</v>
      </c>
      <c r="Z256" s="47">
        <f>+HLOOKUP(Z1,'השקעות 2012-2014'!$1:$103,92,0)</f>
        <v>8234</v>
      </c>
      <c r="AA256" s="47">
        <f>+HLOOKUP(AA1,'השקעות 2012-2014'!$1:$103,92,0)</f>
        <v>333</v>
      </c>
      <c r="AB256" s="47">
        <f>+HLOOKUP(AB1,'השקעות 2012-2014'!$1:$103,92,0)</f>
        <v>5532</v>
      </c>
      <c r="AC256" s="47">
        <f>+HLOOKUP(AC1,'השקעות 2012-2014'!$1:$103,92,0)</f>
        <v>2078</v>
      </c>
      <c r="AD256" s="47">
        <f>+HLOOKUP(AD1,'השקעות 2012-2014'!$1:$103,92,0)</f>
        <v>7623</v>
      </c>
      <c r="AE256" s="47">
        <f>+HLOOKUP(AE1,'השקעות 2012-2014'!$1:$103,92,0)</f>
        <v>8033</v>
      </c>
      <c r="AF256" s="47">
        <f>+HLOOKUP(AF1,'השקעות 2012-2014'!$1:$103,92,0)</f>
        <v>2837</v>
      </c>
      <c r="AG256" s="47">
        <f>+HLOOKUP(AG1,'השקעות 2012-2014'!$1:$103,92,0)</f>
        <v>8784</v>
      </c>
      <c r="AH256" s="47">
        <f>+HLOOKUP(AH1,'השקעות 2012-2014'!$1:$103,92,0)</f>
        <v>214</v>
      </c>
      <c r="AI256" s="47">
        <f>+HLOOKUP(AI1,'השקעות 2012-2014'!$1:$103,92,0)</f>
        <v>908</v>
      </c>
      <c r="AJ256" s="47">
        <f>+HLOOKUP(AJ1,'השקעות 2012-2014'!$1:$103,92,0)</f>
        <v>1774</v>
      </c>
      <c r="AK256" s="47">
        <f>+HLOOKUP(AK1,'השקעות 2012-2014'!$1:$103,92,0)</f>
        <v>992</v>
      </c>
      <c r="AL256" s="47">
        <f>+HLOOKUP(AL1,'השקעות 2012-2014'!$1:$103,92,0)</f>
        <v>33898</v>
      </c>
      <c r="AM256" s="47">
        <f>+HLOOKUP(AM1,'השקעות 2012-2014'!$1:$103,92,0)</f>
        <v>3933</v>
      </c>
      <c r="AN256" s="47">
        <f>+HLOOKUP(AN1,'השקעות 2012-2014'!$1:$103,92,0)</f>
        <v>14405</v>
      </c>
      <c r="AO256" s="47">
        <f>+HLOOKUP(AO1,'השקעות 2012-2014'!$1:$103,92,0)</f>
        <v>5907</v>
      </c>
      <c r="AP256" s="47">
        <f>+HLOOKUP(AP1,'השקעות 2012-2014'!$1:$103,92,0)</f>
        <v>7228</v>
      </c>
      <c r="AQ256" s="47">
        <f>+HLOOKUP(AQ1,'השקעות 2012-2014'!$1:$103,92,0)</f>
        <v>2911</v>
      </c>
      <c r="AR256" s="47">
        <f>+HLOOKUP(AR1,'השקעות 2012-2014'!$1:$103,92,0)</f>
        <v>2491</v>
      </c>
      <c r="AS256" s="47">
        <f>+HLOOKUP(AS1,'השקעות 2012-2014'!$1:$103,92,0)</f>
        <v>3696</v>
      </c>
      <c r="AT256" s="47">
        <f>+HLOOKUP(AT1,'השקעות 2012-2014'!$1:$103,92,0)</f>
        <v>1197.8889999999999</v>
      </c>
      <c r="AU256" s="47">
        <f>+HLOOKUP(AU1,'השקעות 2012-2014'!$1:$103,92,0)</f>
        <v>15457</v>
      </c>
      <c r="AV256" s="47">
        <f>+HLOOKUP(AV1,'השקעות 2012-2014'!$1:$103,92,0)</f>
        <v>7240</v>
      </c>
      <c r="AW256" s="47">
        <f>+HLOOKUP(AW1,'השקעות 2012-2014'!$1:$103,92,0)</f>
        <v>1883</v>
      </c>
      <c r="AX256" s="47">
        <f>+HLOOKUP(AX1,'השקעות 2012-2014'!$1:$103,92,0)</f>
        <v>1950.7550000000001</v>
      </c>
      <c r="AY256" s="47">
        <f>+HLOOKUP(AY1,'השקעות 2012-2014'!$1:$103,92,0)</f>
        <v>1</v>
      </c>
      <c r="AZ256" s="47">
        <f>+HLOOKUP(AZ1,'השקעות 2012-2014'!$1:$103,92,0)</f>
        <v>10748</v>
      </c>
      <c r="BA256" s="47">
        <f>+HLOOKUP(BA1,'השקעות 2012-2014'!$1:$103,92,0)</f>
        <v>1048</v>
      </c>
      <c r="BB256" s="47">
        <f>+HLOOKUP(BB1,'השקעות 2012-2014'!$1:$103,92,0)</f>
        <v>4584</v>
      </c>
      <c r="BC256" s="47">
        <f>+HLOOKUP(BC1,'השקעות 2012-2014'!$1:$103,92,0)</f>
        <v>5379</v>
      </c>
      <c r="BD256" s="47">
        <f>+HLOOKUP(BD1,'השקעות 2012-2014'!$1:$103,92,0)</f>
        <v>1282</v>
      </c>
      <c r="BE256" s="47">
        <f>+HLOOKUP(BE1,'השקעות 2012-2014'!$1:$103,92,0)</f>
        <v>92</v>
      </c>
      <c r="BF256" s="47">
        <f>+HLOOKUP(BF1,'השקעות 2012-2014'!$1:$103,92,0)</f>
        <v>0</v>
      </c>
      <c r="BK256" s="78">
        <f>SUM(C256:BE256)</f>
        <v>355127.14300000004</v>
      </c>
    </row>
    <row r="257" spans="1:63" x14ac:dyDescent="0.2">
      <c r="A257" s="46"/>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c r="AA257" s="47"/>
      <c r="AB257" s="47"/>
      <c r="AC257" s="47"/>
      <c r="AD257" s="47"/>
      <c r="AE257" s="47"/>
      <c r="AF257" s="47"/>
      <c r="AG257" s="47"/>
      <c r="AH257" s="47"/>
      <c r="AI257" s="47"/>
      <c r="AJ257" s="47"/>
      <c r="AK257" s="47"/>
      <c r="AL257" s="47"/>
      <c r="AM257" s="47"/>
      <c r="AN257" s="47"/>
      <c r="AO257" s="47"/>
      <c r="AP257" s="47"/>
      <c r="AQ257" s="47"/>
      <c r="AR257" s="47"/>
      <c r="AS257" s="47"/>
      <c r="AT257" s="47"/>
      <c r="AU257" s="47"/>
      <c r="AV257" s="47"/>
      <c r="AW257" s="47"/>
      <c r="AX257" s="47"/>
      <c r="AY257" s="47"/>
      <c r="AZ257" s="47"/>
      <c r="BA257" s="47"/>
      <c r="BB257" s="47"/>
      <c r="BC257" s="47"/>
      <c r="BD257" s="47"/>
      <c r="BE257" s="47"/>
      <c r="BF257" s="47"/>
      <c r="BK257" s="78"/>
    </row>
    <row r="258" spans="1:63" x14ac:dyDescent="0.2">
      <c r="A258" s="46" t="s">
        <v>1515</v>
      </c>
      <c r="C258" s="47">
        <f>+HLOOKUP(C1,'השקעות 2012-2014'!$1:$103,96,0)</f>
        <v>17799</v>
      </c>
      <c r="D258" s="47">
        <f>+HLOOKUP(D1,'השקעות 2012-2014'!$1:$103,96,0)</f>
        <v>5128</v>
      </c>
      <c r="E258" s="47">
        <f>+HLOOKUP(E1,'השקעות 2012-2014'!$1:$103,96,0)</f>
        <v>28140</v>
      </c>
      <c r="F258" s="47">
        <f>+HLOOKUP(F1,'השקעות 2012-2014'!$1:$103,96,0)</f>
        <v>871</v>
      </c>
      <c r="G258" s="47">
        <f>+HLOOKUP(G1,'השקעות 2012-2014'!$1:$103,96,0)</f>
        <v>65</v>
      </c>
      <c r="H258" s="47">
        <f>+HLOOKUP(H1,'השקעות 2012-2014'!$1:$103,96,0)</f>
        <v>33479</v>
      </c>
      <c r="I258" s="47">
        <f>+HLOOKUP(I1,'השקעות 2012-2014'!$1:$103,96,0)</f>
        <v>36518</v>
      </c>
      <c r="J258" s="47">
        <f>+HLOOKUP(J1,'השקעות 2012-2014'!$1:$103,96,0)</f>
        <v>10178</v>
      </c>
      <c r="K258" s="47">
        <f>+HLOOKUP(K1,'השקעות 2012-2014'!$1:$103,96,0)</f>
        <v>11301</v>
      </c>
      <c r="L258" s="47">
        <f>+HLOOKUP(L1,'השקעות 2012-2014'!$1:$103,96,0)</f>
        <v>1459</v>
      </c>
      <c r="M258" s="47">
        <f>+HLOOKUP(M1,'השקעות 2012-2014'!$1:$103,96,0)</f>
        <v>22879</v>
      </c>
      <c r="N258" s="47">
        <f>+HLOOKUP(N1,'השקעות 2012-2014'!$1:$103,96,0)</f>
        <v>39846</v>
      </c>
      <c r="O258" s="47">
        <f>+HLOOKUP(O1,'השקעות 2012-2014'!$1:$103,96,0)</f>
        <v>47204</v>
      </c>
      <c r="P258" s="47">
        <f>+HLOOKUP(P1,'השקעות 2012-2014'!$1:$103,96,0)</f>
        <v>12081</v>
      </c>
      <c r="Q258" s="47">
        <f>+HLOOKUP(Q1,'השקעות 2012-2014'!$1:$103,96,0)</f>
        <v>2857</v>
      </c>
      <c r="R258" s="47">
        <f>+HLOOKUP(R1,'השקעות 2012-2014'!$1:$103,96,0)</f>
        <v>4500</v>
      </c>
      <c r="S258" s="47">
        <f>+HLOOKUP(S1,'השקעות 2012-2014'!$1:$103,96,0)</f>
        <v>9944</v>
      </c>
      <c r="T258" s="47">
        <f>+HLOOKUP(T1,'השקעות 2012-2014'!$1:$103,96,0)</f>
        <v>2815</v>
      </c>
      <c r="U258" s="47">
        <f>+HLOOKUP(U1,'השקעות 2012-2014'!$1:$103,96,0)</f>
        <v>5711</v>
      </c>
      <c r="V258" s="47">
        <f>+HLOOKUP(V1,'השקעות 2012-2014'!$1:$103,96,0)</f>
        <v>6246</v>
      </c>
      <c r="W258" s="47">
        <f>+HLOOKUP(W1,'השקעות 2012-2014'!$1:$103,96,0)</f>
        <v>34366</v>
      </c>
      <c r="X258" s="47">
        <f>+HLOOKUP(X1,'השקעות 2012-2014'!$1:$103,96,0)</f>
        <v>7568</v>
      </c>
      <c r="Y258" s="47">
        <f>+HLOOKUP(Y1,'השקעות 2012-2014'!$1:$103,96,0)</f>
        <v>5902</v>
      </c>
      <c r="Z258" s="47">
        <f>+HLOOKUP(Z1,'השקעות 2012-2014'!$1:$103,96,0)</f>
        <v>16235</v>
      </c>
      <c r="AA258" s="47">
        <f>+HLOOKUP(AA1,'השקעות 2012-2014'!$1:$103,96,0)</f>
        <v>19259</v>
      </c>
      <c r="AB258" s="47">
        <f>+HLOOKUP(AB1,'השקעות 2012-2014'!$1:$103,96,0)</f>
        <v>4491</v>
      </c>
      <c r="AC258" s="47">
        <f>+HLOOKUP(AC1,'השקעות 2012-2014'!$1:$103,96,0)</f>
        <v>9621</v>
      </c>
      <c r="AD258" s="47">
        <f>+HLOOKUP(AD1,'השקעות 2012-2014'!$1:$103,96,0)</f>
        <v>14592</v>
      </c>
      <c r="AE258" s="47">
        <f>+HLOOKUP(AE1,'השקעות 2012-2014'!$1:$103,96,0)</f>
        <v>48377</v>
      </c>
      <c r="AF258" s="47">
        <f>+HLOOKUP(AF1,'השקעות 2012-2014'!$1:$103,96,0)</f>
        <v>10446</v>
      </c>
      <c r="AG258" s="47">
        <f>+HLOOKUP(AG1,'השקעות 2012-2014'!$1:$103,96,0)</f>
        <v>4995</v>
      </c>
      <c r="AH258" s="47">
        <f>+HLOOKUP(AH1,'השקעות 2012-2014'!$1:$103,96,0)</f>
        <v>0</v>
      </c>
      <c r="AI258" s="47">
        <f>+HLOOKUP(AI1,'השקעות 2012-2014'!$1:$103,96,0)</f>
        <v>1925</v>
      </c>
      <c r="AJ258" s="47">
        <f>+HLOOKUP(AJ1,'השקעות 2012-2014'!$1:$103,96,0)</f>
        <v>15307</v>
      </c>
      <c r="AK258" s="47">
        <f>+HLOOKUP(AK1,'השקעות 2012-2014'!$1:$103,96,0)</f>
        <v>750</v>
      </c>
      <c r="AL258" s="47">
        <f>+HLOOKUP(AL1,'השקעות 2012-2014'!$1:$103,96,0)</f>
        <v>28163</v>
      </c>
      <c r="AM258" s="47">
        <f>+HLOOKUP(AM1,'השקעות 2012-2014'!$1:$103,96,0)</f>
        <v>957</v>
      </c>
      <c r="AN258" s="47">
        <f>+HLOOKUP(AN1,'השקעות 2012-2014'!$1:$103,96,0)</f>
        <v>6559</v>
      </c>
      <c r="AO258" s="47">
        <f>+HLOOKUP(AO1,'השקעות 2012-2014'!$1:$103,96,0)</f>
        <v>16075</v>
      </c>
      <c r="AP258" s="47">
        <f>+HLOOKUP(AP1,'השקעות 2012-2014'!$1:$103,96,0)</f>
        <v>2263</v>
      </c>
      <c r="AQ258" s="47">
        <f>+HLOOKUP(AQ1,'השקעות 2012-2014'!$1:$103,96,0)</f>
        <v>1879</v>
      </c>
      <c r="AR258" s="47">
        <f>+HLOOKUP(AR1,'השקעות 2012-2014'!$1:$103,96,0)</f>
        <v>1909</v>
      </c>
      <c r="AS258" s="47">
        <f>+HLOOKUP(AS1,'השקעות 2012-2014'!$1:$103,96,0)</f>
        <v>31932</v>
      </c>
      <c r="AT258" s="47">
        <f>+HLOOKUP(AT1,'השקעות 2012-2014'!$1:$103,96,0)</f>
        <v>1301</v>
      </c>
      <c r="AU258" s="47">
        <f>+HLOOKUP(AU1,'השקעות 2012-2014'!$1:$103,96,0)</f>
        <v>10491</v>
      </c>
      <c r="AV258" s="47">
        <f>+HLOOKUP(AV1,'השקעות 2012-2014'!$1:$103,96,0)</f>
        <v>11164</v>
      </c>
      <c r="AW258" s="47">
        <f>+HLOOKUP(AW1,'השקעות 2012-2014'!$1:$103,96,0)</f>
        <v>4448</v>
      </c>
      <c r="AX258" s="47">
        <f>+HLOOKUP(AX1,'השקעות 2012-2014'!$1:$103,96,0)</f>
        <v>19865</v>
      </c>
      <c r="AY258" s="47">
        <f>+HLOOKUP(AY1,'השקעות 2012-2014'!$1:$103,96,0)</f>
        <v>10957</v>
      </c>
      <c r="AZ258" s="47">
        <f>+HLOOKUP(AZ1,'השקעות 2012-2014'!$1:$103,96,0)</f>
        <v>5230</v>
      </c>
      <c r="BA258" s="47">
        <f>+HLOOKUP(BA1,'השקעות 2012-2014'!$1:$103,96,0)</f>
        <v>3702</v>
      </c>
      <c r="BB258" s="47">
        <f>+HLOOKUP(BB1,'השקעות 2012-2014'!$1:$103,96,0)</f>
        <v>4584</v>
      </c>
      <c r="BC258" s="47">
        <f>+HLOOKUP(BC1,'השקעות 2012-2014'!$1:$103,96,0)</f>
        <v>3332</v>
      </c>
      <c r="BD258" s="47">
        <f>+HLOOKUP(BD1,'השקעות 2012-2014'!$1:$103,96,0)</f>
        <v>10585</v>
      </c>
      <c r="BE258" s="47">
        <f>+HLOOKUP(BE1,'השקעות 2012-2014'!$1:$103,96,0)</f>
        <v>788</v>
      </c>
      <c r="BF258" s="47">
        <f>+HLOOKUP(BF1,'השקעות 2012-2014'!$1:$103,96,0)</f>
        <v>0</v>
      </c>
      <c r="BK258" s="78">
        <f>SUM(C258:BE258)</f>
        <v>669039</v>
      </c>
    </row>
    <row r="259" spans="1:63" x14ac:dyDescent="0.2">
      <c r="A259" s="46"/>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c r="AA259" s="47"/>
      <c r="AB259" s="47"/>
      <c r="AC259" s="47"/>
      <c r="AD259" s="47"/>
      <c r="AE259" s="47"/>
      <c r="AF259" s="47"/>
      <c r="AG259" s="47"/>
      <c r="AH259" s="47"/>
      <c r="AI259" s="47"/>
      <c r="AJ259" s="47"/>
      <c r="AK259" s="47"/>
      <c r="AL259" s="47"/>
      <c r="AM259" s="47"/>
      <c r="AN259" s="47"/>
      <c r="AO259" s="47"/>
      <c r="AP259" s="47"/>
      <c r="AQ259" s="47"/>
      <c r="AR259" s="47"/>
      <c r="AS259" s="47"/>
      <c r="AT259" s="47"/>
      <c r="AU259" s="47"/>
      <c r="AV259" s="47"/>
      <c r="AW259" s="47"/>
      <c r="AX259" s="47"/>
      <c r="AY259" s="47"/>
      <c r="AZ259" s="47"/>
      <c r="BA259" s="47"/>
      <c r="BB259" s="47"/>
      <c r="BC259" s="47"/>
      <c r="BD259" s="47"/>
      <c r="BE259" s="47"/>
      <c r="BF259" s="47"/>
    </row>
    <row r="260" spans="1:63" x14ac:dyDescent="0.2">
      <c r="A260" s="1228" t="s">
        <v>1528</v>
      </c>
      <c r="C260" s="1240">
        <v>25303</v>
      </c>
      <c r="D260" s="1240">
        <v>471</v>
      </c>
      <c r="E260" s="1240">
        <f>891+23705</f>
        <v>24596</v>
      </c>
      <c r="F260" s="1240">
        <v>2797</v>
      </c>
      <c r="G260" s="1240">
        <v>4037</v>
      </c>
      <c r="H260" s="1240">
        <v>102510</v>
      </c>
      <c r="I260" s="1240">
        <v>16127</v>
      </c>
      <c r="J260" s="1240">
        <v>4490</v>
      </c>
      <c r="K260" s="1240">
        <f>1376+1074</f>
        <v>2450</v>
      </c>
      <c r="L260" s="1240">
        <f>14723+5375+21</f>
        <v>20119</v>
      </c>
      <c r="M260" s="1240">
        <v>4763</v>
      </c>
      <c r="N260" s="1240">
        <v>3194</v>
      </c>
      <c r="O260" s="49">
        <v>9084</v>
      </c>
      <c r="P260" s="1240">
        <v>0</v>
      </c>
      <c r="Q260" s="5">
        <v>9223</v>
      </c>
      <c r="R260" s="1240">
        <v>1245</v>
      </c>
      <c r="S260" s="5">
        <v>1179</v>
      </c>
      <c r="T260" s="1240">
        <v>1586</v>
      </c>
      <c r="U260" s="5">
        <v>5732</v>
      </c>
      <c r="V260" s="1240">
        <v>15207</v>
      </c>
      <c r="W260" s="1240">
        <v>0</v>
      </c>
      <c r="X260" s="1240">
        <v>18662</v>
      </c>
      <c r="Y260" s="5">
        <v>0</v>
      </c>
      <c r="Z260" s="1240">
        <v>883</v>
      </c>
      <c r="AA260" s="1240">
        <v>4320</v>
      </c>
      <c r="AB260" s="1240">
        <v>156</v>
      </c>
      <c r="AC260" s="5">
        <v>25851</v>
      </c>
      <c r="AD260" s="5">
        <v>732</v>
      </c>
      <c r="AE260" s="5">
        <v>18465</v>
      </c>
      <c r="AF260" s="5">
        <v>40</v>
      </c>
      <c r="AG260" s="1240">
        <v>230</v>
      </c>
      <c r="AH260" s="5">
        <v>7539</v>
      </c>
      <c r="AI260" s="1240">
        <v>7296</v>
      </c>
      <c r="AJ260" s="5">
        <v>329</v>
      </c>
      <c r="AK260" s="1240">
        <v>5618</v>
      </c>
      <c r="AL260" s="1240">
        <v>112405</v>
      </c>
      <c r="AM260" s="1240">
        <v>721</v>
      </c>
      <c r="AN260" s="5">
        <v>0</v>
      </c>
      <c r="AO260" s="5">
        <v>8113</v>
      </c>
      <c r="AP260" s="5">
        <v>6666</v>
      </c>
      <c r="AQ260" s="5">
        <v>1186</v>
      </c>
      <c r="AR260" s="5">
        <v>727</v>
      </c>
      <c r="AS260" s="1240">
        <v>0</v>
      </c>
      <c r="AT260" s="1240">
        <v>6472</v>
      </c>
      <c r="AU260" s="5">
        <v>394</v>
      </c>
      <c r="AV260" s="5">
        <v>0</v>
      </c>
      <c r="AW260" s="1240">
        <v>376</v>
      </c>
      <c r="AX260" s="1240">
        <v>18408</v>
      </c>
      <c r="AY260" s="1240">
        <v>28</v>
      </c>
      <c r="AZ260" s="5">
        <v>0</v>
      </c>
      <c r="BA260" s="1240">
        <v>8528</v>
      </c>
      <c r="BB260" s="5">
        <v>0</v>
      </c>
      <c r="BC260" s="5">
        <v>36197</v>
      </c>
      <c r="BD260" s="1240">
        <v>4723</v>
      </c>
      <c r="BE260" s="1240">
        <v>475</v>
      </c>
      <c r="BF260" s="1240">
        <v>0</v>
      </c>
      <c r="BK260" s="78">
        <f>SUM(BK254:BK258)</f>
        <v>1316012.2710000002</v>
      </c>
    </row>
    <row r="261" spans="1:63" x14ac:dyDescent="0.2">
      <c r="A261" s="46"/>
      <c r="C261" s="47"/>
      <c r="D261" s="47"/>
      <c r="E261" s="47"/>
      <c r="F261" s="47"/>
      <c r="G261" s="47"/>
      <c r="H261" s="47"/>
      <c r="I261" s="47"/>
      <c r="J261" s="47"/>
      <c r="K261" s="47"/>
      <c r="L261" s="47"/>
      <c r="M261" s="47"/>
      <c r="N261" s="47"/>
      <c r="O261" s="49"/>
      <c r="P261" s="47"/>
      <c r="Q261" s="5"/>
      <c r="R261" s="47"/>
      <c r="S261" s="5"/>
      <c r="T261" s="47"/>
      <c r="U261" s="5"/>
      <c r="V261" s="47"/>
      <c r="W261" s="47"/>
      <c r="X261" s="47"/>
      <c r="Y261" s="5"/>
      <c r="Z261" s="47"/>
      <c r="AA261" s="47"/>
      <c r="AB261" s="47"/>
      <c r="AC261" s="5"/>
      <c r="AD261" s="5"/>
      <c r="AE261" s="5"/>
      <c r="AF261" s="5"/>
      <c r="AG261" s="47"/>
      <c r="AH261" s="5"/>
      <c r="AI261" s="47"/>
      <c r="AJ261" s="5"/>
      <c r="AK261" s="47"/>
      <c r="AL261" s="47"/>
      <c r="AM261" s="47"/>
      <c r="AN261" s="5"/>
      <c r="AO261" s="5"/>
      <c r="AP261" s="5"/>
      <c r="AQ261" s="5"/>
      <c r="AR261" s="5"/>
      <c r="AS261" s="47"/>
      <c r="AT261" s="47"/>
      <c r="AU261" s="5"/>
      <c r="AV261" s="5"/>
      <c r="AW261" s="47"/>
      <c r="AX261" s="47"/>
      <c r="AY261" s="47"/>
      <c r="AZ261" s="5"/>
      <c r="BA261" s="47"/>
      <c r="BB261" s="5"/>
      <c r="BC261" s="5"/>
      <c r="BD261" s="47"/>
      <c r="BE261" s="47"/>
      <c r="BF261" s="47"/>
    </row>
    <row r="262" spans="1:63" x14ac:dyDescent="0.2">
      <c r="A262" s="46" t="s">
        <v>1539</v>
      </c>
      <c r="C262" s="47">
        <f>-SUM(C248:C252)*1/30*3</f>
        <v>-7536.7258534507491</v>
      </c>
      <c r="D262" s="47">
        <f t="shared" ref="D262:BE262" si="13">-SUM(D248:D252)*1/30*3</f>
        <v>-540.69999999999993</v>
      </c>
      <c r="E262" s="47">
        <f t="shared" si="13"/>
        <v>-2436.2000000000003</v>
      </c>
      <c r="F262" s="47">
        <f t="shared" si="13"/>
        <v>-196.7</v>
      </c>
      <c r="G262" s="47">
        <f t="shared" si="13"/>
        <v>-69.400000000000006</v>
      </c>
      <c r="H262" s="47">
        <f t="shared" si="13"/>
        <v>-4568</v>
      </c>
      <c r="I262" s="47">
        <f t="shared" si="13"/>
        <v>-6683.5</v>
      </c>
      <c r="J262" s="47">
        <f t="shared" si="13"/>
        <v>-4118.2</v>
      </c>
      <c r="K262" s="47">
        <f t="shared" si="13"/>
        <v>-228.5</v>
      </c>
      <c r="L262" s="47">
        <f t="shared" si="13"/>
        <v>-2203</v>
      </c>
      <c r="M262" s="47">
        <f t="shared" si="13"/>
        <v>-803.89999999999986</v>
      </c>
      <c r="N262" s="47">
        <f t="shared" si="13"/>
        <v>-1159.8000000000002</v>
      </c>
      <c r="O262" s="49">
        <f t="shared" si="13"/>
        <v>-1684.4</v>
      </c>
      <c r="P262" s="47">
        <f t="shared" si="13"/>
        <v>-743.6</v>
      </c>
      <c r="Q262" s="5">
        <f t="shared" si="13"/>
        <v>-103.29999999999998</v>
      </c>
      <c r="R262" s="47">
        <f t="shared" si="13"/>
        <v>-161.51890000000003</v>
      </c>
      <c r="S262" s="5">
        <f t="shared" si="13"/>
        <v>-1091.5</v>
      </c>
      <c r="T262" s="47">
        <f t="shared" si="13"/>
        <v>-371.4</v>
      </c>
      <c r="U262" s="5">
        <f t="shared" si="13"/>
        <v>-398.8</v>
      </c>
      <c r="V262" s="47">
        <f t="shared" si="13"/>
        <v>-278.39999999999998</v>
      </c>
      <c r="W262" s="47">
        <f t="shared" si="13"/>
        <v>-4324.4366000000009</v>
      </c>
      <c r="X262" s="47">
        <f t="shared" si="13"/>
        <v>-162.3596</v>
      </c>
      <c r="Y262" s="5">
        <f t="shared" si="13"/>
        <v>-76.099999999999994</v>
      </c>
      <c r="Z262" s="47">
        <f t="shared" si="13"/>
        <v>-1321.1019000000001</v>
      </c>
      <c r="AA262" s="47">
        <f t="shared" si="13"/>
        <v>-35.799999999999997</v>
      </c>
      <c r="AB262" s="47">
        <f t="shared" si="13"/>
        <v>-60.900000000000006</v>
      </c>
      <c r="AC262" s="5">
        <f t="shared" si="13"/>
        <v>-828.90000000000009</v>
      </c>
      <c r="AD262" s="5">
        <f t="shared" si="13"/>
        <v>-509.9</v>
      </c>
      <c r="AE262" s="5">
        <f t="shared" si="13"/>
        <v>-1011.4</v>
      </c>
      <c r="AF262" s="5">
        <f t="shared" si="13"/>
        <v>-771.5</v>
      </c>
      <c r="AG262" s="47">
        <f t="shared" si="13"/>
        <v>-7.1</v>
      </c>
      <c r="AH262" s="5">
        <f t="shared" si="13"/>
        <v>0</v>
      </c>
      <c r="AI262" s="47">
        <f t="shared" si="13"/>
        <v>-152.79999999999998</v>
      </c>
      <c r="AJ262" s="5">
        <f t="shared" si="13"/>
        <v>-0.1</v>
      </c>
      <c r="AK262" s="47">
        <f t="shared" si="13"/>
        <v>0</v>
      </c>
      <c r="AL262" s="47">
        <f t="shared" si="13"/>
        <v>-4958.5177457250611</v>
      </c>
      <c r="AM262" s="47">
        <f t="shared" si="13"/>
        <v>-27.900000000000002</v>
      </c>
      <c r="AN262" s="5">
        <f t="shared" si="13"/>
        <v>0</v>
      </c>
      <c r="AO262" s="5">
        <f t="shared" si="13"/>
        <v>-0.30000000000000004</v>
      </c>
      <c r="AP262" s="5">
        <f t="shared" si="13"/>
        <v>-274.45442687193736</v>
      </c>
      <c r="AQ262" s="5">
        <f t="shared" si="13"/>
        <v>-942.42503798168718</v>
      </c>
      <c r="AR262" s="5">
        <f t="shared" si="13"/>
        <v>-325.20000000000005</v>
      </c>
      <c r="AS262" s="47">
        <f t="shared" si="13"/>
        <v>-1930.5</v>
      </c>
      <c r="AT262" s="47">
        <f t="shared" si="13"/>
        <v>-117.4</v>
      </c>
      <c r="AU262" s="5">
        <f t="shared" si="13"/>
        <v>-211.3</v>
      </c>
      <c r="AV262" s="5">
        <f t="shared" si="13"/>
        <v>-111</v>
      </c>
      <c r="AW262" s="47">
        <f t="shared" si="13"/>
        <v>-109.70000000000002</v>
      </c>
      <c r="AX262" s="47">
        <f t="shared" si="13"/>
        <v>0</v>
      </c>
      <c r="AY262" s="47">
        <f t="shared" si="13"/>
        <v>-8.9</v>
      </c>
      <c r="AZ262" s="5">
        <f t="shared" si="13"/>
        <v>-46.8</v>
      </c>
      <c r="BA262" s="47">
        <f t="shared" si="13"/>
        <v>-77.699999999999989</v>
      </c>
      <c r="BB262" s="5">
        <f t="shared" si="13"/>
        <v>0</v>
      </c>
      <c r="BC262" s="5">
        <f t="shared" si="13"/>
        <v>-209.3</v>
      </c>
      <c r="BD262" s="47">
        <f t="shared" si="13"/>
        <v>-11.399999999999999</v>
      </c>
      <c r="BE262" s="47">
        <f t="shared" si="13"/>
        <v>0</v>
      </c>
      <c r="BF262" s="47">
        <f>-SUM(BF248:BF252)*1/30*3</f>
        <v>0</v>
      </c>
    </row>
    <row r="263" spans="1:63" x14ac:dyDescent="0.2">
      <c r="C263" s="1081"/>
      <c r="D263" s="1081"/>
      <c r="E263" s="1081"/>
      <c r="F263" s="1081"/>
      <c r="G263" s="1081"/>
      <c r="H263" s="1081"/>
      <c r="I263" s="1081"/>
      <c r="J263" s="1081"/>
      <c r="K263" s="1081"/>
      <c r="L263" s="1081"/>
      <c r="M263" s="1081"/>
      <c r="N263" s="1081"/>
      <c r="O263" s="1081"/>
      <c r="P263" s="1081"/>
      <c r="Q263" s="5"/>
      <c r="R263" s="1082"/>
      <c r="S263" s="5"/>
      <c r="T263" s="47"/>
      <c r="U263" s="5"/>
      <c r="V263" s="47"/>
      <c r="W263" s="1081"/>
      <c r="X263" s="47"/>
      <c r="Y263" s="5"/>
      <c r="Z263" s="47"/>
      <c r="AA263" s="47"/>
      <c r="AB263" s="47"/>
      <c r="AC263" s="5"/>
      <c r="AD263" s="5"/>
      <c r="AE263" s="5"/>
      <c r="AF263" s="5"/>
      <c r="AG263" s="1082"/>
      <c r="AH263" s="5"/>
      <c r="AI263" s="5"/>
      <c r="AJ263" s="47"/>
      <c r="AK263" s="5"/>
      <c r="AL263" s="1083"/>
      <c r="AM263" s="1081"/>
      <c r="AN263" s="47"/>
      <c r="AO263" s="5"/>
      <c r="AP263" s="5"/>
      <c r="AQ263" s="5"/>
      <c r="AR263" s="5"/>
      <c r="AS263" s="5"/>
      <c r="AT263" s="47"/>
      <c r="AU263" s="47"/>
      <c r="AV263" s="5"/>
      <c r="AW263" s="5"/>
      <c r="AX263" s="1081"/>
      <c r="AY263" s="47"/>
      <c r="AZ263" s="807"/>
      <c r="BA263" s="5"/>
      <c r="BB263" s="47"/>
      <c r="BC263" s="5"/>
      <c r="BD263" s="5"/>
      <c r="BE263" s="47"/>
      <c r="BF263" s="47"/>
      <c r="BG263" s="47"/>
    </row>
    <row r="264" spans="1:63" x14ac:dyDescent="0.2">
      <c r="A264" s="46"/>
      <c r="C264" s="1081"/>
      <c r="D264" s="1081"/>
      <c r="E264" s="1081"/>
      <c r="F264" s="1081"/>
      <c r="G264" s="1081"/>
      <c r="H264" s="1081"/>
      <c r="I264" s="1081"/>
      <c r="J264" s="1081"/>
      <c r="K264" s="1081"/>
      <c r="L264" s="1081"/>
      <c r="M264" s="1081"/>
      <c r="N264" s="1081"/>
      <c r="O264" s="1081"/>
      <c r="P264" s="1081"/>
      <c r="Q264" s="5"/>
      <c r="R264" s="1082"/>
      <c r="S264" s="5"/>
      <c r="T264" s="47"/>
      <c r="U264" s="5"/>
      <c r="V264" s="47"/>
      <c r="W264" s="1081"/>
      <c r="X264" s="47"/>
      <c r="Y264" s="5"/>
      <c r="Z264" s="47"/>
      <c r="AA264" s="47"/>
      <c r="AB264" s="47"/>
      <c r="AC264" s="5"/>
      <c r="AD264" s="5"/>
      <c r="AE264" s="5"/>
      <c r="AF264" s="5"/>
      <c r="AG264" s="1082"/>
      <c r="AH264" s="5"/>
      <c r="AI264" s="5"/>
      <c r="AJ264" s="47"/>
      <c r="AK264" s="5"/>
      <c r="AL264" s="1083"/>
      <c r="AM264" s="1081"/>
      <c r="AN264" s="47"/>
      <c r="AO264" s="5"/>
      <c r="AP264" s="5"/>
      <c r="AQ264" s="5"/>
      <c r="AR264" s="5"/>
      <c r="AS264" s="5"/>
      <c r="AT264" s="47"/>
      <c r="AU264" s="47"/>
      <c r="AV264" s="5"/>
      <c r="AW264" s="5"/>
      <c r="AX264" s="1081"/>
      <c r="AY264" s="47"/>
      <c r="AZ264" s="807"/>
      <c r="BA264" s="5"/>
      <c r="BB264" s="47"/>
      <c r="BC264" s="5"/>
      <c r="BD264" s="5"/>
      <c r="BE264" s="47"/>
      <c r="BF264" s="47"/>
      <c r="BG264" s="47"/>
    </row>
    <row r="265" spans="1:63" x14ac:dyDescent="0.2">
      <c r="A265" s="46"/>
      <c r="C265" s="1081"/>
      <c r="D265" s="1081"/>
      <c r="E265" s="1081"/>
      <c r="F265" s="1081"/>
      <c r="G265" s="1081"/>
      <c r="H265" s="1081"/>
      <c r="I265" s="1081"/>
      <c r="J265" s="1081"/>
      <c r="K265" s="1081"/>
      <c r="L265" s="1081"/>
      <c r="M265" s="1081"/>
      <c r="N265" s="1081"/>
      <c r="O265" s="1081"/>
      <c r="P265" s="1081"/>
      <c r="Q265" s="5"/>
      <c r="R265" s="1082"/>
      <c r="S265" s="5"/>
      <c r="T265" s="47"/>
      <c r="U265" s="5"/>
      <c r="V265" s="47"/>
      <c r="W265" s="1081"/>
      <c r="X265" s="47"/>
      <c r="Y265" s="5"/>
      <c r="Z265" s="47"/>
      <c r="AA265" s="47"/>
      <c r="AB265" s="47"/>
      <c r="AC265" s="5"/>
      <c r="AD265" s="5"/>
      <c r="AE265" s="5"/>
      <c r="AF265" s="5"/>
      <c r="AG265" s="1082"/>
      <c r="AH265" s="5"/>
      <c r="AI265" s="5"/>
      <c r="AJ265" s="47"/>
      <c r="AK265" s="5"/>
      <c r="AL265" s="1083"/>
      <c r="AM265" s="1081"/>
      <c r="AN265" s="47"/>
      <c r="AO265" s="5"/>
      <c r="AP265" s="5"/>
      <c r="AQ265" s="5"/>
      <c r="AR265" s="5"/>
      <c r="AS265" s="5"/>
      <c r="AT265" s="47"/>
      <c r="AU265" s="47"/>
      <c r="AV265" s="5"/>
      <c r="AW265" s="5"/>
      <c r="AX265" s="1081"/>
      <c r="AY265" s="47"/>
      <c r="AZ265" s="807"/>
      <c r="BA265" s="5"/>
      <c r="BB265" s="47"/>
      <c r="BC265" s="5"/>
      <c r="BD265" s="5"/>
      <c r="BE265" s="47"/>
      <c r="BF265" s="47"/>
      <c r="BG265" s="47"/>
    </row>
    <row r="266" spans="1:63" x14ac:dyDescent="0.2">
      <c r="A266" s="46"/>
      <c r="C266" s="1081"/>
      <c r="D266" s="1081"/>
      <c r="E266" s="1081"/>
      <c r="F266" s="1081"/>
      <c r="G266" s="1081"/>
      <c r="H266" s="1081"/>
      <c r="I266" s="1081"/>
      <c r="J266" s="1081"/>
      <c r="K266" s="1081"/>
      <c r="L266" s="1081"/>
      <c r="M266" s="1081"/>
      <c r="N266" s="1081"/>
      <c r="O266" s="1081"/>
      <c r="P266" s="1081"/>
      <c r="Q266" s="5"/>
      <c r="R266" s="1082"/>
      <c r="S266" s="5"/>
      <c r="T266" s="47"/>
      <c r="U266" s="5"/>
      <c r="V266" s="47"/>
      <c r="W266" s="1081"/>
      <c r="X266" s="47"/>
      <c r="Y266" s="5"/>
      <c r="Z266" s="47"/>
      <c r="AA266" s="47"/>
      <c r="AB266" s="47"/>
      <c r="AC266" s="5"/>
      <c r="AD266" s="5"/>
      <c r="AE266" s="5"/>
      <c r="AF266" s="5"/>
      <c r="AG266" s="1082"/>
      <c r="AH266" s="5"/>
      <c r="AI266" s="5"/>
      <c r="AJ266" s="47"/>
      <c r="AK266" s="5"/>
      <c r="AL266" s="1083"/>
      <c r="AM266" s="1081"/>
      <c r="AN266" s="47"/>
      <c r="AO266" s="5"/>
      <c r="AP266" s="5"/>
      <c r="AQ266" s="5"/>
      <c r="AR266" s="5"/>
      <c r="AS266" s="5"/>
      <c r="AT266" s="47"/>
      <c r="AU266" s="47"/>
      <c r="AV266" s="5"/>
      <c r="AW266" s="5"/>
      <c r="AX266" s="1081"/>
      <c r="AY266" s="47"/>
      <c r="AZ266" s="807"/>
      <c r="BA266" s="5"/>
      <c r="BB266" s="47"/>
      <c r="BC266" s="5"/>
      <c r="BD266" s="5"/>
      <c r="BE266" s="47"/>
      <c r="BF266" s="47"/>
      <c r="BG266" s="47"/>
    </row>
    <row r="267" spans="1:63" x14ac:dyDescent="0.2">
      <c r="A267" s="46"/>
      <c r="C267" s="47"/>
      <c r="D267" s="47"/>
      <c r="E267" s="47"/>
      <c r="F267" s="47"/>
      <c r="G267" s="47"/>
      <c r="H267" s="47"/>
      <c r="I267" s="47"/>
      <c r="J267" s="47"/>
      <c r="K267" s="47"/>
      <c r="L267" s="47"/>
      <c r="M267" s="47"/>
      <c r="N267" s="47"/>
      <c r="O267" s="47"/>
      <c r="P267" s="47"/>
      <c r="Q267" s="5"/>
      <c r="R267" s="47"/>
      <c r="S267" s="5"/>
      <c r="T267" s="47"/>
      <c r="U267" s="5"/>
      <c r="V267" s="47"/>
      <c r="W267" s="47"/>
      <c r="X267" s="47"/>
      <c r="Y267" s="5"/>
      <c r="Z267" s="47"/>
      <c r="AA267" s="47"/>
      <c r="AB267" s="47"/>
      <c r="AC267" s="5"/>
      <c r="AD267" s="5"/>
      <c r="AE267" s="5"/>
      <c r="AF267" s="5"/>
      <c r="AG267" s="47"/>
      <c r="AH267" s="5"/>
      <c r="AI267" s="47"/>
      <c r="AJ267" s="5"/>
      <c r="AK267" s="47"/>
      <c r="AL267" s="47"/>
      <c r="AM267" s="47"/>
      <c r="AN267" s="5"/>
      <c r="AO267" s="5"/>
      <c r="AP267" s="5"/>
      <c r="AQ267" s="5"/>
      <c r="AR267" s="5"/>
      <c r="AS267" s="47"/>
      <c r="AT267" s="47"/>
      <c r="AU267" s="5"/>
      <c r="AV267" s="5"/>
      <c r="AW267" s="47"/>
      <c r="AX267" s="47"/>
      <c r="AY267" s="47"/>
      <c r="AZ267" s="5"/>
      <c r="BA267" s="47"/>
      <c r="BB267" s="5"/>
      <c r="BC267" s="5"/>
      <c r="BD267" s="47"/>
      <c r="BE267" s="47"/>
      <c r="BF267" s="47"/>
    </row>
    <row r="268" spans="1:63" x14ac:dyDescent="0.2">
      <c r="A268" s="46" t="s">
        <v>588</v>
      </c>
      <c r="C268" s="47"/>
      <c r="D268" s="47">
        <v>-323</v>
      </c>
      <c r="E268" s="47"/>
      <c r="F268" s="47"/>
      <c r="G268" s="47"/>
      <c r="H268" s="47"/>
      <c r="I268" s="47">
        <v>-3041</v>
      </c>
      <c r="K268" s="47"/>
      <c r="L268" s="47"/>
      <c r="M268" s="47"/>
      <c r="N268" s="47"/>
      <c r="O268" s="47"/>
      <c r="P268" s="47"/>
      <c r="Q268" s="5"/>
      <c r="R268" s="47"/>
      <c r="S268" s="5"/>
      <c r="T268" s="47"/>
      <c r="U268" s="5"/>
      <c r="V268" s="47"/>
      <c r="W268" s="47"/>
      <c r="X268" s="47"/>
      <c r="Y268" s="5"/>
      <c r="Z268" s="47"/>
      <c r="AA268" s="47"/>
      <c r="AB268" s="47"/>
      <c r="AC268" s="5"/>
      <c r="AD268" s="5"/>
      <c r="AE268" s="5"/>
      <c r="AF268" s="5"/>
      <c r="AG268" s="47"/>
      <c r="AH268" s="5"/>
      <c r="AI268" s="47"/>
      <c r="AJ268" s="5"/>
      <c r="AK268" s="47"/>
      <c r="AL268" s="47"/>
      <c r="AM268" s="47"/>
      <c r="AN268" s="5"/>
      <c r="AO268" s="5"/>
      <c r="AP268" s="5"/>
      <c r="AQ268" s="5"/>
      <c r="AR268" s="5"/>
      <c r="AS268" s="47"/>
      <c r="AT268" s="47"/>
      <c r="AU268" s="5"/>
      <c r="AV268" s="5"/>
      <c r="AW268" s="47"/>
      <c r="AX268" s="47"/>
      <c r="AY268" s="47"/>
      <c r="AZ268" s="5"/>
      <c r="BA268" s="47"/>
      <c r="BB268" s="5"/>
      <c r="BC268" s="5"/>
      <c r="BD268" s="47"/>
      <c r="BE268" s="47"/>
      <c r="BF268" s="47"/>
    </row>
    <row r="269" spans="1:63" x14ac:dyDescent="0.2">
      <c r="C269" s="47"/>
      <c r="D269" s="47"/>
      <c r="E269" s="47"/>
      <c r="F269" s="47"/>
      <c r="G269" s="47"/>
      <c r="H269" s="47"/>
      <c r="I269" s="47"/>
      <c r="J269" s="47"/>
      <c r="K269" s="47"/>
      <c r="L269" s="47"/>
      <c r="M269" s="47"/>
      <c r="N269" s="47"/>
      <c r="O269" s="47"/>
      <c r="P269" s="47"/>
      <c r="Q269" s="5"/>
      <c r="R269" s="47"/>
      <c r="S269" s="5"/>
      <c r="T269" s="47"/>
      <c r="U269" s="5"/>
      <c r="V269" s="47"/>
      <c r="W269" s="47"/>
      <c r="X269" s="47"/>
      <c r="Y269" s="5"/>
      <c r="Z269" s="47"/>
      <c r="AA269" s="47"/>
      <c r="AB269" s="47"/>
      <c r="AC269" s="5"/>
      <c r="AD269" s="5"/>
      <c r="AE269" s="5"/>
      <c r="AF269" s="5"/>
      <c r="AG269" s="47"/>
      <c r="AH269" s="5"/>
      <c r="AI269" s="47"/>
      <c r="AJ269" s="5"/>
      <c r="AK269" s="47"/>
      <c r="AL269" s="47"/>
      <c r="AM269" s="47"/>
      <c r="AN269" s="5"/>
      <c r="AO269" s="5"/>
      <c r="AP269" s="5"/>
      <c r="AQ269" s="5"/>
      <c r="AR269" s="5"/>
      <c r="AS269" s="47"/>
      <c r="AT269" s="47"/>
      <c r="AU269" s="5"/>
      <c r="AV269" s="5"/>
      <c r="AW269" s="47"/>
      <c r="AX269" s="47"/>
      <c r="AY269" s="47"/>
      <c r="AZ269" s="5"/>
      <c r="BA269" s="47"/>
      <c r="BB269" s="5"/>
      <c r="BC269" s="5"/>
      <c r="BD269" s="47"/>
      <c r="BE269" s="47"/>
      <c r="BF269" s="47"/>
    </row>
    <row r="270" spans="1:63" x14ac:dyDescent="0.2">
      <c r="A270" s="46" t="s">
        <v>597</v>
      </c>
      <c r="C270" s="351">
        <f>-21276*'הנחות עבודה'!$D$25</f>
        <v>-17020.8</v>
      </c>
      <c r="D270" s="351">
        <f>-307*'הנחות עבודה'!$D$25</f>
        <v>-245.60000000000002</v>
      </c>
      <c r="E270" s="351">
        <f>-4984*'הנחות עבודה'!$D$25</f>
        <v>-3987.2000000000003</v>
      </c>
      <c r="F270" s="351">
        <v>0</v>
      </c>
      <c r="G270" s="351">
        <v>0</v>
      </c>
      <c r="H270" s="47">
        <f>-12372*'הנחות עבודה'!$D$25</f>
        <v>-9897.6</v>
      </c>
      <c r="I270" s="351">
        <f>-10790*'הנחות עבודה'!$D$25</f>
        <v>-8632</v>
      </c>
      <c r="J270" s="351">
        <f>-1282*'הנחות עבודה'!$D$25</f>
        <v>-1025.6000000000001</v>
      </c>
      <c r="K270" s="351"/>
      <c r="L270" s="351">
        <v>0</v>
      </c>
      <c r="M270" s="351">
        <f>-6790*'הנחות עבודה'!$D$25</f>
        <v>-5432</v>
      </c>
      <c r="N270" s="47">
        <f>-2465*'הנחות עבודה'!$D$25</f>
        <v>-1972</v>
      </c>
      <c r="O270" s="47">
        <f>-8038*'הנחות עבודה'!$D$25</f>
        <v>-6430.4000000000005</v>
      </c>
      <c r="P270" s="351">
        <v>0</v>
      </c>
      <c r="Q270" s="83">
        <v>0</v>
      </c>
      <c r="R270" s="351">
        <v>0</v>
      </c>
      <c r="S270" s="83">
        <f>-2728*'הנחות עבודה'!$D$25</f>
        <v>-2182.4</v>
      </c>
      <c r="T270" s="351">
        <f>-2562*'הנחות עבודה'!$D$25</f>
        <v>-2049.6</v>
      </c>
      <c r="U270" s="83">
        <f>-1757*'הנחות עבודה'!$D$25</f>
        <v>-1405.6000000000001</v>
      </c>
      <c r="V270" s="351">
        <v>0</v>
      </c>
      <c r="W270" s="351">
        <v>0</v>
      </c>
      <c r="X270" s="351">
        <v>0</v>
      </c>
      <c r="Y270" s="83">
        <v>0</v>
      </c>
      <c r="Z270" s="351">
        <f>-1898622*'הנחות עבודה'!$D$25/1000</f>
        <v>-1518.8976</v>
      </c>
      <c r="AA270" s="351">
        <f>-976*'הנחות עבודה'!$D$25</f>
        <v>-780.80000000000007</v>
      </c>
      <c r="AB270" s="351">
        <f>-1082*'הנחות עבודה'!$D$25</f>
        <v>-865.6</v>
      </c>
      <c r="AC270" s="83">
        <v>0</v>
      </c>
      <c r="AD270" s="83">
        <f>-4740*'הנחות עבודה'!$D$25</f>
        <v>-3792</v>
      </c>
      <c r="AE270" s="83">
        <v>0</v>
      </c>
      <c r="AF270" s="83">
        <v>0</v>
      </c>
      <c r="AG270" s="351">
        <v>0</v>
      </c>
      <c r="AH270" s="83">
        <v>0</v>
      </c>
      <c r="AI270" s="351">
        <f>-69*'הנחות עבודה'!$D$25</f>
        <v>-55.2</v>
      </c>
      <c r="AJ270" s="83">
        <v>0</v>
      </c>
      <c r="AK270" s="351">
        <v>0</v>
      </c>
      <c r="AL270" s="351">
        <v>0</v>
      </c>
      <c r="AM270" s="351">
        <v>0</v>
      </c>
      <c r="AN270" s="83">
        <v>0</v>
      </c>
      <c r="AO270" s="83">
        <f>-1*'הנחות עבודה'!$D$25</f>
        <v>-0.8</v>
      </c>
      <c r="AP270" s="83">
        <v>0</v>
      </c>
      <c r="AQ270" s="83">
        <v>0</v>
      </c>
      <c r="AR270" s="83"/>
      <c r="AS270" s="351">
        <f>-300*'הנחות עבודה'!$D$25</f>
        <v>-240</v>
      </c>
      <c r="AT270" s="351">
        <v>0</v>
      </c>
      <c r="AU270" s="83">
        <v>0</v>
      </c>
      <c r="AV270" s="83"/>
      <c r="AW270" s="351">
        <v>0</v>
      </c>
      <c r="AX270" s="351">
        <v>0</v>
      </c>
      <c r="AY270" s="351">
        <v>0</v>
      </c>
      <c r="AZ270" s="83">
        <v>0</v>
      </c>
      <c r="BA270" s="351">
        <v>0</v>
      </c>
      <c r="BB270" s="83">
        <v>0</v>
      </c>
      <c r="BC270" s="83">
        <v>0</v>
      </c>
      <c r="BD270" s="351">
        <v>0</v>
      </c>
      <c r="BE270" s="351">
        <v>0</v>
      </c>
      <c r="BF270" s="351">
        <v>0</v>
      </c>
    </row>
    <row r="271" spans="1:63" x14ac:dyDescent="0.2">
      <c r="C271" s="47"/>
      <c r="D271" s="47"/>
      <c r="E271" s="47"/>
      <c r="F271" s="47"/>
      <c r="G271" s="47"/>
      <c r="H271" s="47"/>
      <c r="I271" s="47"/>
      <c r="J271" s="47"/>
      <c r="K271" s="47"/>
      <c r="L271" s="47"/>
      <c r="M271" s="47"/>
      <c r="N271" s="47"/>
      <c r="O271" s="47"/>
      <c r="P271" s="47"/>
      <c r="Q271" s="5"/>
      <c r="R271" s="47"/>
      <c r="S271" s="5"/>
      <c r="T271" s="47"/>
      <c r="U271" s="5"/>
      <c r="V271" s="47"/>
      <c r="W271" s="47"/>
      <c r="X271" s="47"/>
      <c r="Y271" s="5"/>
      <c r="Z271" s="47"/>
      <c r="AA271" s="47"/>
      <c r="AB271" s="47"/>
      <c r="AC271" s="5"/>
      <c r="AD271" s="5"/>
      <c r="AE271" s="5"/>
      <c r="AF271" s="5"/>
      <c r="AG271" s="47"/>
      <c r="AH271" s="5"/>
      <c r="AI271" s="47"/>
      <c r="AJ271" s="5"/>
      <c r="AK271" s="47"/>
      <c r="AL271" s="47"/>
      <c r="AM271" s="47"/>
      <c r="AN271" s="5"/>
      <c r="AO271" s="5"/>
      <c r="AP271" s="5"/>
      <c r="AQ271" s="5"/>
      <c r="AR271" s="5"/>
      <c r="AS271" s="47"/>
      <c r="AT271" s="47"/>
      <c r="AU271" s="5"/>
      <c r="AV271" s="5"/>
      <c r="AW271" s="47"/>
      <c r="AX271" s="47"/>
      <c r="AY271" s="47"/>
      <c r="AZ271" s="5"/>
      <c r="BA271" s="47"/>
      <c r="BB271" s="5"/>
      <c r="BC271" s="5"/>
      <c r="BD271" s="47"/>
      <c r="BE271" s="47"/>
      <c r="BF271" s="47"/>
    </row>
    <row r="272" spans="1:63" x14ac:dyDescent="0.2">
      <c r="A272" s="46" t="s">
        <v>598</v>
      </c>
      <c r="C272" s="351">
        <f>-31204*'הנחות עבודה'!$D$25</f>
        <v>-24963.200000000001</v>
      </c>
      <c r="D272" s="351">
        <f>-367*'הנחות עבודה'!$D$25</f>
        <v>-293.60000000000002</v>
      </c>
      <c r="E272" s="351">
        <f>-6243*'הנחות עבודה'!$D$25</f>
        <v>-4994.4000000000005</v>
      </c>
      <c r="F272" s="351">
        <v>0</v>
      </c>
      <c r="G272" s="351">
        <v>0</v>
      </c>
      <c r="H272" s="47">
        <f>-19825*'הנחות עבודה'!$D$25</f>
        <v>-15860</v>
      </c>
      <c r="I272" s="351">
        <f>-10978*'הנחות עבודה'!$D$25</f>
        <v>-8782.4</v>
      </c>
      <c r="J272" s="351">
        <f>-2027*'הנחות עבודה'!$D$25</f>
        <v>-1621.6000000000001</v>
      </c>
      <c r="K272" s="351">
        <f>-2509*'הנחות עבודה'!$D$25</f>
        <v>-2007.2</v>
      </c>
      <c r="L272" s="1246">
        <f>-3470*'הנחות עבודה'!$D$25</f>
        <v>-2776</v>
      </c>
      <c r="M272" s="351">
        <f>-10963*'הנחות עבודה'!$D$25</f>
        <v>-8770.4</v>
      </c>
      <c r="N272" s="47">
        <f>-9519*'הנחות עבודה'!$D$25</f>
        <v>-7615.2000000000007</v>
      </c>
      <c r="O272" s="47">
        <f>-7677*'הנחות עבודה'!$D$25</f>
        <v>-6141.6</v>
      </c>
      <c r="P272" s="351">
        <f>-2746*'הנחות עבודה'!$D$25</f>
        <v>-2196.8000000000002</v>
      </c>
      <c r="Q272" s="83">
        <v>0</v>
      </c>
      <c r="R272" s="351">
        <f>-2576*'הנחות עבודה'!$D$25</f>
        <v>-2060.8000000000002</v>
      </c>
      <c r="S272" s="83">
        <f>-2275*'הנחות עבודה'!$D$25</f>
        <v>-1820</v>
      </c>
      <c r="T272" s="351">
        <f>-2742*'הנחות עבודה'!$D$25</f>
        <v>-2193.6</v>
      </c>
      <c r="U272" s="83">
        <f>-4748*'הנחות עבודה'!$D$25</f>
        <v>-3798.4</v>
      </c>
      <c r="V272" s="351">
        <f>-2590*'הנחות עבודה'!$D$25</f>
        <v>-2072</v>
      </c>
      <c r="W272" s="351">
        <f>-2732*'הנחות עבודה'!$D$25</f>
        <v>-2185.6</v>
      </c>
      <c r="X272" s="351">
        <v>0</v>
      </c>
      <c r="Y272" s="83">
        <v>0</v>
      </c>
      <c r="Z272" s="351">
        <f>-5858490*'הנחות עבודה'!$D$25/1000</f>
        <v>-4686.7920000000004</v>
      </c>
      <c r="AA272" s="351">
        <f>-3133*'הנחות עבודה'!$D$25</f>
        <v>-2506.4</v>
      </c>
      <c r="AB272" s="351">
        <f>-3236*'הנחות עבודה'!$D$25</f>
        <v>-2588.8000000000002</v>
      </c>
      <c r="AC272" s="83">
        <f>-8311*'הנחות עבודה'!$D$25</f>
        <v>-6648.8</v>
      </c>
      <c r="AD272" s="83">
        <f>-10576*'הנחות עבודה'!$D$25</f>
        <v>-8460.8000000000011</v>
      </c>
      <c r="AE272" s="83">
        <f>-8210*'הנחות עבודה'!$D$25</f>
        <v>-6568</v>
      </c>
      <c r="AF272" s="5">
        <f>-265*'הנחות עבודה'!$D$25</f>
        <v>-212</v>
      </c>
      <c r="AG272" s="351">
        <v>0</v>
      </c>
      <c r="AH272" s="83">
        <v>0</v>
      </c>
      <c r="AI272" s="351">
        <f>-262*'הנחות עבודה'!$D$25</f>
        <v>-209.60000000000002</v>
      </c>
      <c r="AJ272" s="83">
        <v>0</v>
      </c>
      <c r="AK272" s="351">
        <v>0</v>
      </c>
      <c r="AL272" s="47">
        <f>-28619*'הנחות עבודה'!$D$25</f>
        <v>-22895.200000000001</v>
      </c>
      <c r="AM272" s="351">
        <f>-4643*'הנחות עבודה'!$D$25</f>
        <v>-3714.4</v>
      </c>
      <c r="AN272" s="83">
        <v>0</v>
      </c>
      <c r="AO272" s="83">
        <f>-1*'הנחות עבודה'!$D$25</f>
        <v>-0.8</v>
      </c>
      <c r="AP272" s="83">
        <f>-2366*'הנחות עבודה'!$D$25</f>
        <v>-1892.8000000000002</v>
      </c>
      <c r="AQ272" s="83">
        <v>0</v>
      </c>
      <c r="AR272" s="83">
        <f>-1165*'הנחות עבודה'!$D$25</f>
        <v>-932</v>
      </c>
      <c r="AS272" s="351">
        <f>-3477*'הנחות עבודה'!$D$25</f>
        <v>-2781.6000000000004</v>
      </c>
      <c r="AT272" s="351">
        <f>-107*'הנחות עבודה'!$D$25</f>
        <v>-85.600000000000009</v>
      </c>
      <c r="AU272" s="83">
        <v>0</v>
      </c>
      <c r="AV272" s="83"/>
      <c r="AW272" s="351">
        <v>0</v>
      </c>
      <c r="AX272" s="351">
        <v>0</v>
      </c>
      <c r="AY272" s="351">
        <v>0</v>
      </c>
      <c r="AZ272" s="83">
        <f>-585*'הנחות עבודה'!$D$25</f>
        <v>-468</v>
      </c>
      <c r="BA272" s="351">
        <f>-1354*'הנחות עבודה'!$D$25</f>
        <v>-1083.2</v>
      </c>
      <c r="BB272" s="83">
        <v>0</v>
      </c>
      <c r="BC272" s="83">
        <f>-504*'הנחות עבודה'!$D$25</f>
        <v>-403.20000000000005</v>
      </c>
      <c r="BD272" s="351">
        <v>0</v>
      </c>
      <c r="BE272" s="351">
        <v>0</v>
      </c>
      <c r="BF272" s="351">
        <v>0</v>
      </c>
    </row>
    <row r="273" spans="1:63" x14ac:dyDescent="0.2">
      <c r="A273" s="46"/>
      <c r="C273" s="351"/>
      <c r="D273" s="351"/>
      <c r="E273" s="351"/>
      <c r="F273" s="351"/>
      <c r="G273" s="351"/>
      <c r="H273" s="351"/>
      <c r="I273" s="351"/>
      <c r="J273" s="351"/>
      <c r="K273" s="351"/>
      <c r="L273" s="1246"/>
      <c r="M273" s="351"/>
      <c r="N273" s="351"/>
      <c r="O273" s="351"/>
      <c r="P273" s="351"/>
      <c r="Q273" s="83"/>
      <c r="R273" s="351"/>
      <c r="S273" s="83"/>
      <c r="T273" s="351"/>
      <c r="U273" s="83"/>
      <c r="V273" s="351"/>
      <c r="W273" s="351"/>
      <c r="X273" s="351"/>
      <c r="Y273" s="83"/>
      <c r="Z273" s="351"/>
      <c r="AA273" s="351"/>
      <c r="AB273" s="351"/>
      <c r="AC273" s="83"/>
      <c r="AD273" s="83"/>
      <c r="AE273" s="83"/>
      <c r="AF273" s="83"/>
      <c r="AG273" s="351"/>
      <c r="AH273" s="83"/>
      <c r="AI273" s="351"/>
      <c r="AJ273" s="83"/>
      <c r="AK273" s="351"/>
      <c r="AL273" s="351"/>
      <c r="AM273" s="351"/>
      <c r="AN273" s="83"/>
      <c r="AO273" s="83"/>
      <c r="AP273" s="83"/>
      <c r="AQ273" s="83"/>
      <c r="AR273" s="83"/>
      <c r="AS273" s="351"/>
      <c r="AT273" s="351"/>
      <c r="AU273" s="83"/>
      <c r="AV273" s="83"/>
      <c r="AW273" s="351"/>
      <c r="AX273" s="351"/>
      <c r="AY273" s="351"/>
      <c r="AZ273" s="83"/>
      <c r="BA273" s="351"/>
      <c r="BB273" s="83"/>
      <c r="BC273" s="83"/>
      <c r="BD273" s="351"/>
      <c r="BE273" s="351"/>
      <c r="BF273" s="351"/>
    </row>
    <row r="274" spans="1:63" x14ac:dyDescent="0.2">
      <c r="A274" s="46" t="s">
        <v>599</v>
      </c>
      <c r="C274" s="351">
        <v>-28955</v>
      </c>
      <c r="D274" s="351">
        <v>-892</v>
      </c>
      <c r="E274" s="351">
        <v>-8285</v>
      </c>
      <c r="F274" s="351">
        <v>0</v>
      </c>
      <c r="G274" s="351">
        <v>0</v>
      </c>
      <c r="H274" s="47">
        <v>-26101</v>
      </c>
      <c r="I274" s="351">
        <v>-15647</v>
      </c>
      <c r="J274" s="351">
        <v>-2763</v>
      </c>
      <c r="K274" s="351">
        <v>-3043</v>
      </c>
      <c r="L274" s="1246">
        <v>-6344</v>
      </c>
      <c r="M274" s="351">
        <v>-21017</v>
      </c>
      <c r="N274" s="351">
        <v>-9340</v>
      </c>
      <c r="O274" s="351">
        <v>-11351</v>
      </c>
      <c r="P274" s="351">
        <v>-2207</v>
      </c>
      <c r="Q274" s="83">
        <v>-8853</v>
      </c>
      <c r="R274" s="351">
        <v>-3705</v>
      </c>
      <c r="S274" s="83">
        <v>-4842</v>
      </c>
      <c r="T274" s="351">
        <v>-3033</v>
      </c>
      <c r="U274" s="83">
        <v>-7227</v>
      </c>
      <c r="V274" s="351">
        <v>-3229</v>
      </c>
      <c r="W274" s="351">
        <v>-5708</v>
      </c>
      <c r="X274" s="351">
        <v>0</v>
      </c>
      <c r="Y274" s="83">
        <v>0</v>
      </c>
      <c r="Z274" s="351">
        <v>-5016.6790000000001</v>
      </c>
      <c r="AA274" s="351">
        <v>-6080</v>
      </c>
      <c r="AB274" s="351">
        <v>-5686</v>
      </c>
      <c r="AC274" s="83">
        <v>-15913</v>
      </c>
      <c r="AD274" s="83">
        <v>-4923</v>
      </c>
      <c r="AE274" s="83">
        <v>-33135</v>
      </c>
      <c r="AF274" s="83">
        <v>-2864</v>
      </c>
      <c r="AG274" s="351">
        <v>0</v>
      </c>
      <c r="AH274" s="83">
        <v>0</v>
      </c>
      <c r="AI274" s="351">
        <v>-261</v>
      </c>
      <c r="AJ274" s="83">
        <v>-1</v>
      </c>
      <c r="AK274" s="351">
        <v>0</v>
      </c>
      <c r="AL274" s="47">
        <v>-28953</v>
      </c>
      <c r="AM274" s="351">
        <v>-5548</v>
      </c>
      <c r="AN274" s="83">
        <v>0</v>
      </c>
      <c r="AO274" s="83">
        <v>-1</v>
      </c>
      <c r="AP274" s="83">
        <v>-2175</v>
      </c>
      <c r="AQ274" s="83">
        <v>0</v>
      </c>
      <c r="AR274" s="83">
        <v>-5525</v>
      </c>
      <c r="AS274" s="351">
        <v>-4682</v>
      </c>
      <c r="AT274" s="351">
        <v>-12909</v>
      </c>
      <c r="AU274" s="83">
        <v>0</v>
      </c>
      <c r="AV274" s="83">
        <v>0</v>
      </c>
      <c r="AW274" s="351">
        <v>-636</v>
      </c>
      <c r="AX274" s="351">
        <v>0</v>
      </c>
      <c r="AY274" s="351">
        <v>0</v>
      </c>
      <c r="AZ274" s="83">
        <v>-3227</v>
      </c>
      <c r="BA274" s="351">
        <v>-1705</v>
      </c>
      <c r="BB274" s="83">
        <v>-2902</v>
      </c>
      <c r="BC274" s="83">
        <v>-2486</v>
      </c>
      <c r="BD274" s="351">
        <v>-13836</v>
      </c>
      <c r="BE274" s="351">
        <v>0</v>
      </c>
      <c r="BF274" s="351">
        <v>0</v>
      </c>
      <c r="BG274" s="50">
        <f>SUM(C274:BE274)</f>
        <v>-331006.679</v>
      </c>
    </row>
    <row r="275" spans="1:63" x14ac:dyDescent="0.2">
      <c r="A275" s="46"/>
      <c r="C275" s="351"/>
      <c r="D275" s="351"/>
      <c r="E275" s="351"/>
      <c r="F275" s="351"/>
      <c r="G275" s="351"/>
      <c r="H275" s="47"/>
      <c r="I275" s="351"/>
      <c r="J275" s="351"/>
      <c r="K275" s="351"/>
      <c r="L275" s="1246"/>
      <c r="M275" s="351"/>
      <c r="N275" s="351"/>
      <c r="O275" s="351"/>
      <c r="P275" s="351"/>
      <c r="Q275" s="83"/>
      <c r="R275" s="351"/>
      <c r="S275" s="83"/>
      <c r="T275" s="351"/>
      <c r="U275" s="83"/>
      <c r="V275" s="351"/>
      <c r="W275" s="351"/>
      <c r="X275" s="351"/>
      <c r="Y275" s="83"/>
      <c r="Z275" s="351"/>
      <c r="AA275" s="351"/>
      <c r="AB275" s="351"/>
      <c r="AC275" s="83"/>
      <c r="AD275" s="83"/>
      <c r="AE275" s="83"/>
      <c r="AF275" s="83"/>
      <c r="AG275" s="351"/>
      <c r="AH275" s="83"/>
      <c r="AI275" s="351"/>
      <c r="AJ275" s="83"/>
      <c r="AK275" s="351"/>
      <c r="AL275" s="47"/>
      <c r="AM275" s="351"/>
      <c r="AN275" s="83"/>
      <c r="AO275" s="83"/>
      <c r="AP275" s="83"/>
      <c r="AQ275" s="83"/>
      <c r="AR275" s="83"/>
      <c r="AS275" s="351"/>
      <c r="AT275" s="351"/>
      <c r="AU275" s="83"/>
      <c r="AV275" s="83"/>
      <c r="AW275" s="351"/>
      <c r="AX275" s="351"/>
      <c r="AY275" s="351"/>
      <c r="AZ275" s="83"/>
      <c r="BA275" s="351"/>
      <c r="BB275" s="83"/>
      <c r="BC275" s="83"/>
      <c r="BD275" s="351"/>
      <c r="BE275" s="351"/>
      <c r="BF275" s="351"/>
      <c r="BG275" s="50"/>
    </row>
    <row r="276" spans="1:63" x14ac:dyDescent="0.2">
      <c r="A276" s="46" t="s">
        <v>1520</v>
      </c>
      <c r="C276" s="351">
        <v>-19262</v>
      </c>
      <c r="D276" s="351">
        <v>-937</v>
      </c>
      <c r="E276" s="351">
        <v>-5517</v>
      </c>
      <c r="F276" s="351">
        <v>-362</v>
      </c>
      <c r="G276" s="351">
        <v>0</v>
      </c>
      <c r="H276" s="351">
        <v>-29809</v>
      </c>
      <c r="I276" s="351">
        <v>-17039</v>
      </c>
      <c r="J276" s="351">
        <v>-1961</v>
      </c>
      <c r="K276" s="351">
        <v>-5585</v>
      </c>
      <c r="L276" s="1246">
        <f>-5318</f>
        <v>-5318</v>
      </c>
      <c r="M276" s="351">
        <v>-20612</v>
      </c>
      <c r="N276" s="351">
        <v>-6481</v>
      </c>
      <c r="O276" s="351">
        <v>-17513</v>
      </c>
      <c r="P276" s="351">
        <v>0</v>
      </c>
      <c r="Q276" s="351">
        <v>-2831</v>
      </c>
      <c r="R276" s="351">
        <v>-4304</v>
      </c>
      <c r="S276" s="351"/>
      <c r="T276" s="351">
        <v>-5962</v>
      </c>
      <c r="U276" s="351">
        <v>-6730</v>
      </c>
      <c r="V276" s="351">
        <v>-7090</v>
      </c>
      <c r="W276" s="351">
        <v>-3898</v>
      </c>
      <c r="X276" s="351">
        <v>0</v>
      </c>
      <c r="Y276" s="351">
        <v>-1424</v>
      </c>
      <c r="Z276" s="351">
        <v>-3580</v>
      </c>
      <c r="AA276" s="351">
        <v>-8481</v>
      </c>
      <c r="AB276" s="351">
        <v>-1216</v>
      </c>
      <c r="AC276" s="351">
        <v>-8751</v>
      </c>
      <c r="AD276" s="351">
        <v>-8606</v>
      </c>
      <c r="AE276" s="351">
        <v>-17100</v>
      </c>
      <c r="AF276" s="351">
        <v>-6880</v>
      </c>
      <c r="AG276" s="351">
        <v>0</v>
      </c>
      <c r="AH276" s="351">
        <v>0</v>
      </c>
      <c r="AI276" s="351">
        <v>-477</v>
      </c>
      <c r="AJ276" s="351">
        <v>-1835</v>
      </c>
      <c r="AK276" s="351">
        <v>0</v>
      </c>
      <c r="AL276" s="351">
        <v>-55703</v>
      </c>
      <c r="AM276" s="351">
        <v>-4408</v>
      </c>
      <c r="AN276" s="351">
        <v>0</v>
      </c>
      <c r="AO276" s="351">
        <v>-3260</v>
      </c>
      <c r="AP276" s="351">
        <v>-5328</v>
      </c>
      <c r="AQ276" s="351">
        <v>-4154</v>
      </c>
      <c r="AR276" s="351">
        <v>-362</v>
      </c>
      <c r="AS276" s="351">
        <v>-8122</v>
      </c>
      <c r="AT276" s="351">
        <v>-11207</v>
      </c>
      <c r="AU276" s="351">
        <v>-17015</v>
      </c>
      <c r="AV276" s="351">
        <v>0</v>
      </c>
      <c r="AW276" s="351">
        <v>-5268</v>
      </c>
      <c r="AX276" s="351">
        <v>-319</v>
      </c>
      <c r="AY276" s="351">
        <v>-428</v>
      </c>
      <c r="AZ276" s="351">
        <v>-1566</v>
      </c>
      <c r="BA276" s="351">
        <v>-1714</v>
      </c>
      <c r="BB276" s="351">
        <v>-2131</v>
      </c>
      <c r="BC276" s="351">
        <v>-3299</v>
      </c>
      <c r="BD276" s="351">
        <v>-9332</v>
      </c>
      <c r="BE276" s="351">
        <v>0</v>
      </c>
      <c r="BF276" s="351">
        <v>0</v>
      </c>
      <c r="BG276" s="50">
        <f>SUM(C276:BE276)</f>
        <v>-353177</v>
      </c>
    </row>
    <row r="277" spans="1:63" x14ac:dyDescent="0.2">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c r="AA277" s="47"/>
      <c r="AB277" s="47"/>
      <c r="AC277" s="47"/>
      <c r="AD277" s="47"/>
      <c r="AE277" s="47"/>
      <c r="AF277" s="47"/>
      <c r="AG277" s="47"/>
      <c r="AH277" s="47"/>
      <c r="AI277" s="47"/>
      <c r="AJ277" s="47"/>
      <c r="AK277" s="47"/>
      <c r="AL277" s="47"/>
      <c r="AM277" s="47"/>
      <c r="AN277" s="47"/>
      <c r="AO277" s="47"/>
      <c r="AP277" s="47"/>
      <c r="AQ277" s="47"/>
      <c r="AR277" s="47"/>
      <c r="AS277" s="47"/>
      <c r="AT277" s="47"/>
      <c r="AU277" s="47"/>
      <c r="AV277" s="47"/>
      <c r="AW277" s="47"/>
      <c r="AX277" s="47"/>
      <c r="AY277" s="47"/>
      <c r="AZ277" s="47"/>
      <c r="BA277" s="47"/>
      <c r="BB277" s="47"/>
      <c r="BC277" s="47"/>
      <c r="BD277" s="47"/>
      <c r="BE277" s="47"/>
      <c r="BF277" s="47"/>
      <c r="BG277" s="50"/>
    </row>
    <row r="278" spans="1:63" x14ac:dyDescent="0.2">
      <c r="A278" s="46" t="s">
        <v>1521</v>
      </c>
      <c r="C278" s="351">
        <v>-21103</v>
      </c>
      <c r="D278" s="351">
        <v>-2674</v>
      </c>
      <c r="E278" s="351">
        <v>-3288</v>
      </c>
      <c r="F278" s="351">
        <v>-999</v>
      </c>
      <c r="G278" s="351">
        <v>0</v>
      </c>
      <c r="H278" s="351">
        <v>-32706</v>
      </c>
      <c r="I278" s="351">
        <v>-18402</v>
      </c>
      <c r="J278" s="351">
        <v>-1921</v>
      </c>
      <c r="K278" s="351">
        <v>-9112</v>
      </c>
      <c r="L278" s="351">
        <v>-7730</v>
      </c>
      <c r="M278" s="351">
        <v>-15926</v>
      </c>
      <c r="N278" s="351">
        <v>-5359</v>
      </c>
      <c r="O278" s="351">
        <v>-11512</v>
      </c>
      <c r="P278" s="351">
        <v>0</v>
      </c>
      <c r="Q278" s="351">
        <v>-4948</v>
      </c>
      <c r="R278" s="351">
        <v>-6660</v>
      </c>
      <c r="S278" s="351"/>
      <c r="T278" s="351">
        <v>-5612</v>
      </c>
      <c r="U278" s="351">
        <v>-8549</v>
      </c>
      <c r="V278" s="351">
        <v>-7074</v>
      </c>
      <c r="W278" s="351">
        <v>0</v>
      </c>
      <c r="X278" s="351">
        <v>0</v>
      </c>
      <c r="Y278" s="351">
        <v>-1404</v>
      </c>
      <c r="Z278" s="351">
        <v>-4371</v>
      </c>
      <c r="AA278" s="351">
        <v>-15015</v>
      </c>
      <c r="AB278" s="351">
        <v>-4127</v>
      </c>
      <c r="AC278" s="351">
        <v>-16274</v>
      </c>
      <c r="AD278" s="351">
        <v>-6015</v>
      </c>
      <c r="AE278" s="351">
        <v>-19880</v>
      </c>
      <c r="AF278" s="351">
        <v>-2457</v>
      </c>
      <c r="AG278" s="351">
        <v>0</v>
      </c>
      <c r="AH278" s="351">
        <v>0</v>
      </c>
      <c r="AI278" s="351">
        <v>-1907</v>
      </c>
      <c r="AJ278" s="351">
        <v>-2763</v>
      </c>
      <c r="AK278" s="351">
        <v>-792</v>
      </c>
      <c r="AL278" s="351">
        <v>-57737</v>
      </c>
      <c r="AM278" s="351">
        <v>-6697</v>
      </c>
      <c r="AN278" s="351">
        <v>0</v>
      </c>
      <c r="AO278" s="351">
        <v>-10939</v>
      </c>
      <c r="AP278" s="351">
        <v>-14958</v>
      </c>
      <c r="AQ278" s="351">
        <v>-18662</v>
      </c>
      <c r="AR278" s="351">
        <v>-4458</v>
      </c>
      <c r="AS278" s="351">
        <v>-12959</v>
      </c>
      <c r="AT278" s="351">
        <v>-7135</v>
      </c>
      <c r="AU278" s="351">
        <v>-12431</v>
      </c>
      <c r="AV278" s="351">
        <v>0</v>
      </c>
      <c r="AW278" s="351">
        <v>0</v>
      </c>
      <c r="AX278" s="351">
        <v>-1400</v>
      </c>
      <c r="AY278" s="351">
        <v>-400</v>
      </c>
      <c r="AZ278" s="351">
        <v>-2451</v>
      </c>
      <c r="BA278" s="351">
        <v>0</v>
      </c>
      <c r="BB278" s="351">
        <v>-3405</v>
      </c>
      <c r="BC278" s="351">
        <v>-5654</v>
      </c>
      <c r="BD278" s="351">
        <v>-8940</v>
      </c>
      <c r="BE278" s="351">
        <v>-4265</v>
      </c>
      <c r="BF278" s="351">
        <v>0</v>
      </c>
      <c r="BG278" s="50">
        <f>SUM(C278:BE278)</f>
        <v>-411071</v>
      </c>
    </row>
    <row r="279" spans="1:63" x14ac:dyDescent="0.2">
      <c r="A279" s="46" t="s">
        <v>1544</v>
      </c>
      <c r="C279" s="47">
        <v>-21457</v>
      </c>
      <c r="D279" s="47"/>
      <c r="E279" s="47">
        <v>-9655</v>
      </c>
      <c r="F279" s="47">
        <v>-549</v>
      </c>
      <c r="G279" s="47">
        <v>0</v>
      </c>
      <c r="H279" s="47">
        <v>-44732</v>
      </c>
      <c r="I279" s="47">
        <v>-26559</v>
      </c>
      <c r="J279" s="47"/>
      <c r="K279" s="47"/>
      <c r="L279" s="47">
        <v>-10389</v>
      </c>
      <c r="M279" s="47">
        <v>-38337</v>
      </c>
      <c r="N279" s="47">
        <v>-14494</v>
      </c>
      <c r="O279" s="47">
        <v>-15141</v>
      </c>
      <c r="P279" s="47">
        <v>0</v>
      </c>
      <c r="Q279" s="5">
        <v>-3671</v>
      </c>
      <c r="R279" s="47">
        <v>-5381</v>
      </c>
      <c r="S279" s="5">
        <f>-414-3178-15042</f>
        <v>-18634</v>
      </c>
      <c r="T279" s="47">
        <v>-5395</v>
      </c>
      <c r="U279" s="5">
        <v>-8824</v>
      </c>
      <c r="V279" s="47">
        <v>-5050</v>
      </c>
      <c r="W279" s="47">
        <v>0</v>
      </c>
      <c r="X279" s="47"/>
      <c r="Y279" s="5">
        <v>-285</v>
      </c>
      <c r="Z279" s="47">
        <v>-3315</v>
      </c>
      <c r="AA279" s="47">
        <v>-24151</v>
      </c>
      <c r="AB279" s="47">
        <v>-5104</v>
      </c>
      <c r="AC279" s="5">
        <v>-10092</v>
      </c>
      <c r="AD279" s="5">
        <v>-27682</v>
      </c>
      <c r="AE279" s="5">
        <v>-37950</v>
      </c>
      <c r="AF279" s="5"/>
      <c r="AG279" s="47">
        <v>0</v>
      </c>
      <c r="AH279" s="5"/>
      <c r="AI279" s="47">
        <v>0</v>
      </c>
      <c r="AJ279" s="5">
        <v>-1576</v>
      </c>
      <c r="AK279" s="47">
        <v>-1016</v>
      </c>
      <c r="AL279" s="47">
        <v>-48799</v>
      </c>
      <c r="AM279" s="47">
        <v>-4592</v>
      </c>
      <c r="AN279" s="5"/>
      <c r="AO279" s="5">
        <v>-12107</v>
      </c>
      <c r="AP279" s="5">
        <v>-5765</v>
      </c>
      <c r="AQ279" s="5"/>
      <c r="AR279" s="5">
        <v>-3366</v>
      </c>
      <c r="AS279" s="47">
        <v>-8333</v>
      </c>
      <c r="AT279" s="47">
        <v>-7817</v>
      </c>
      <c r="AU279" s="5">
        <v>-9176</v>
      </c>
      <c r="AV279" s="5">
        <v>0</v>
      </c>
      <c r="AW279" s="47">
        <v>-2763</v>
      </c>
      <c r="AX279" s="47">
        <v>-2020</v>
      </c>
      <c r="AY279" s="47"/>
      <c r="AZ279" s="5"/>
      <c r="BA279" s="47">
        <v>0</v>
      </c>
      <c r="BB279" s="5">
        <v>0</v>
      </c>
      <c r="BC279" s="5">
        <v>-5225</v>
      </c>
      <c r="BD279" s="47">
        <v>-10330</v>
      </c>
      <c r="BE279" s="47">
        <v>-5672</v>
      </c>
      <c r="BF279" s="47">
        <v>0</v>
      </c>
    </row>
    <row r="280" spans="1:63" s="648" customFormat="1" x14ac:dyDescent="0.2">
      <c r="A280" s="646" t="s">
        <v>600</v>
      </c>
      <c r="B280" s="647"/>
      <c r="C280" s="646">
        <f>+SUM(C246:C262,C268:C272)+C525+C541+SUM(C274:C278)*'הנחות עבודה'!$D$26</f>
        <v>223941.31539534242</v>
      </c>
      <c r="D280" s="646">
        <f>+SUM(D246:D262,D268:D272)+D525+D541+SUM(D274:D278)*'הנחות עבודה'!$D$26</f>
        <v>90361.973542857144</v>
      </c>
      <c r="E280" s="646">
        <f>+SUM(E246:E262,E268:E272)+E525+E541+SUM(E274:E278)*'הנחות עבודה'!$D$26</f>
        <v>273911.0635571428</v>
      </c>
      <c r="F280" s="646">
        <f>+SUM(F246:F262,F268:F272)+F525+F541+SUM(F274:F278)*'הנחות עבודה'!$D$26</f>
        <v>47320.576857142856</v>
      </c>
      <c r="G280" s="646">
        <f>+SUM(G246:G262,G268:G272)+G525+G541+SUM(G274:G278)*'הנחות עבודה'!$D$26</f>
        <v>107421.69930000001</v>
      </c>
      <c r="H280" s="646">
        <f>+SUM(H246:H262,H268:H272)+H525+H541+SUM(H274:H278)*'הנחות עבודה'!$D$26</f>
        <v>817762.35344285704</v>
      </c>
      <c r="I280" s="646">
        <f>+SUM(I246:I262,I268:I272)+I525+I541+SUM(I274:I278)*'הנחות עבודה'!$D$26</f>
        <v>312145.17254285712</v>
      </c>
      <c r="J280" s="646">
        <f>+SUM(J246:J262,J268:J272)+J525+J541+SUM(J274:J278)*'הנחות עבודה'!$D$26</f>
        <v>154282.45171428571</v>
      </c>
      <c r="K280" s="646">
        <f>+SUM(K246:K262,K268:K272)+K525+K541+SUM(K274:K278)*'הנחות עבודה'!$D$26</f>
        <v>139385.61554285712</v>
      </c>
      <c r="L280" s="646">
        <f>+SUM(L246:L262,L268:L272)+L525+L541+SUM(L274:L278)*'הנחות עבודה'!$D$26</f>
        <v>118066.58004285715</v>
      </c>
      <c r="M280" s="646">
        <f>+SUM(M246:M262,M268:M272)+M525+M541+SUM(M274:M278)*'הנחות עבודה'!$D$26</f>
        <v>144341.87142857147</v>
      </c>
      <c r="N280" s="646">
        <f>+SUM(N246:N262,N268:N272)+N525+N541+SUM(N274:N278)*'הנחות עבודה'!$D$26</f>
        <v>364597.09958571428</v>
      </c>
      <c r="O280" s="646">
        <f>+SUM(O246:O262,O268:O272)+O525+O541+SUM(O274:O278)*'הנחות עבודה'!$D$26</f>
        <v>186985.42915714288</v>
      </c>
      <c r="P280" s="646">
        <f>+SUM(P246:P262,P268:P272)+P525+P541+SUM(P274:P278)*'הנחות עבודה'!$D$26</f>
        <v>204228.42265714286</v>
      </c>
      <c r="Q280" s="646">
        <f>+SUM(Q246:Q262,Q268:Q272)+Q525+Q541+SUM(Q274:Q278)*'הנחות עבודה'!$D$26</f>
        <v>78671.974771428562</v>
      </c>
      <c r="R280" s="646">
        <f>+SUM(R246:R262,R268:R272)+R525+R541+SUM(R274:R278)*'הנחות עבודה'!$D$26</f>
        <v>67463.587257142863</v>
      </c>
      <c r="S280" s="646">
        <f>+SUM(S246:S262,S268:S272)+S525+S541+SUM(S274:S278)*'הנחות עבודה'!$D$26</f>
        <v>86306.640014285716</v>
      </c>
      <c r="T280" s="646">
        <f>+SUM(T246:T262,T268:T272)+T525+T541+SUM(T274:T278)*'הנחות עבודה'!$D$26</f>
        <v>100859.0253142857</v>
      </c>
      <c r="U280" s="646">
        <f>+SUM(U246:U262,U268:U272)+U525+U541+SUM(U274:U278)*'הנחות עבודה'!$D$26</f>
        <v>74555.993428571426</v>
      </c>
      <c r="V280" s="646">
        <f>+SUM(V246:V262,V268:V272)+V525+V541+SUM(V274:V278)*'הנחות עבודה'!$D$26</f>
        <v>136151.20345714287</v>
      </c>
      <c r="W280" s="646">
        <f>+SUM(W246:W262,W268:W272)+W525+W541+SUM(W274:W278)*'הנחות עבודה'!$D$26</f>
        <v>202107.09767142855</v>
      </c>
      <c r="X280" s="646">
        <f>+SUM(X246:X262,X268:X272)+X525+X541+SUM(X274:X278)*'הנחות עבודה'!$D$26</f>
        <v>126377.20995714287</v>
      </c>
      <c r="Y280" s="646">
        <f>+SUM(Y246:Y262,Y268:Y272)+Y525+Y541+SUM(Y274:Y278)*'הנחות עבודה'!$D$26</f>
        <v>94526.031799999997</v>
      </c>
      <c r="Z280" s="646">
        <f>+SUM(Z246:Z262,Z268:Z272)+Z525+Z541+SUM(Z274:Z278)*'הנחות עבודה'!$D$26</f>
        <v>89124.914042857155</v>
      </c>
      <c r="AA280" s="646">
        <f>+SUM(AA246:AA262,AA268:AA272)+AA525+AA541+SUM(AA274:AA278)*'הנחות עבודה'!$D$26</f>
        <v>98223.789285714287</v>
      </c>
      <c r="AB280" s="646">
        <f>+SUM(AB246:AB262,AB268:AB272)+AB525+AB541+SUM(AB274:AB278)*'הנחות עבודה'!$D$26</f>
        <v>49271.856785714277</v>
      </c>
      <c r="AC280" s="646">
        <f>+SUM(AC246:AC262,AC268:AC272)+AC525+AC541+SUM(AC274:AC278)*'הנחות עבודה'!$D$26</f>
        <v>129918.8707857143</v>
      </c>
      <c r="AD280" s="646">
        <f>+SUM(AD246:AD262,AD268:AD272)+AD525+AD541+SUM(AD274:AD278)*'הנחות עבודה'!$D$26</f>
        <v>48207.637457142875</v>
      </c>
      <c r="AE280" s="646">
        <f>+SUM(AE246:AE262,AE268:AE272)+AE525+AE541+SUM(AE274:AE278)*'הנחות עבודה'!$D$26</f>
        <v>522931.73797142855</v>
      </c>
      <c r="AF280" s="646">
        <f>+SUM(AF246:AF262,AF268:AF272)+AF525+AF541+SUM(AF274:AF278)*'הנחות עבודה'!$D$26</f>
        <v>78387.38785714285</v>
      </c>
      <c r="AG280" s="646">
        <f>+SUM(AG246:AG262,AG268:AG272)+AG525+AG541+SUM(AG274:AG278)*'הנחות עבודה'!$D$26</f>
        <v>50155.586471428578</v>
      </c>
      <c r="AH280" s="646">
        <f>+SUM(AH246:AH262,AH268:AH272)+AH525+AH541+SUM(AH274:AH278)*'הנחות עבודה'!$D$26</f>
        <v>53744.541771428572</v>
      </c>
      <c r="AI280" s="646">
        <f>+SUM(AI246:AI262,AI268:AI272)+AI525+AI541+SUM(AI274:AI278)*'הנחות עבודה'!$D$26</f>
        <v>70115.468428571417</v>
      </c>
      <c r="AJ280" s="646">
        <f>+SUM(AJ246:AJ262,AJ268:AJ272)+AJ525+AJ541+SUM(AJ274:AJ278)*'הנחות עבודה'!$D$26</f>
        <v>70893.98462857143</v>
      </c>
      <c r="AK280" s="646">
        <f>+SUM(AK246:AK262,AK268:AK272)+AK525+AK541+SUM(AK274:AK278)*'הנחות עבודה'!$D$26</f>
        <v>44909.259571428578</v>
      </c>
      <c r="AL280" s="646">
        <f>+SUM(AL246:AL262,AL268:AL272)+AL525+AL541+SUM(AL274:AL278)*'הנחות עבודה'!$D$26</f>
        <v>624872.179140097</v>
      </c>
      <c r="AM280" s="646">
        <f>+SUM(AM246:AM262,AM268:AM272)+AM525+AM541+SUM(AM274:AM278)*'הנחות עבודה'!$D$26</f>
        <v>85709.951414285722</v>
      </c>
      <c r="AN280" s="646">
        <f>+SUM(AN246:AN262,AN268:AN272)+AN525+AN541+SUM(AN274:AN278)*'הנחות עבודה'!$D$26</f>
        <v>137476.38305714287</v>
      </c>
      <c r="AO280" s="646">
        <f>+SUM(AO246:AO262,AO268:AO272)+AO525+AO541+SUM(AO274:AO278)*'הנחות עבודה'!$D$26</f>
        <v>170864.89634285719</v>
      </c>
      <c r="AP280" s="646">
        <f>+SUM(AP246:AP262,AP268:AP272)+AP525+AP541+SUM(AP274:AP278)*'הנחות עבודה'!$D$26</f>
        <v>43208.341484704579</v>
      </c>
      <c r="AQ280" s="646">
        <f>+SUM(AQ246:AQ262,AQ268:AQ272)+AQ525+AQ541+SUM(AQ274:AQ278)*'הנחות עבודה'!$D$26</f>
        <v>62231.059898978041</v>
      </c>
      <c r="AR280" s="646">
        <f>+SUM(AR246:AR262,AR268:AR272)+AR525+AR541+SUM(AR274:AR278)*'הנחות עבודה'!$D$26</f>
        <v>65032.452742857145</v>
      </c>
      <c r="AS280" s="646">
        <f>+SUM(AS246:AS262,AS268:AS272)+AS525+AS541+SUM(AS274:AS278)*'הנחות עבודה'!$D$26</f>
        <v>202122.67704285716</v>
      </c>
      <c r="AT280" s="646">
        <f>+SUM(AT246:AT262,AT268:AT272)+AT525+AT541+SUM(AT274:AT278)*'הנחות עבודה'!$D$26</f>
        <v>30092.601928571436</v>
      </c>
      <c r="AU280" s="646">
        <f>+SUM(AU246:AU262,AU268:AU272)+AU525+AU541+SUM(AU274:AU278)*'הנחות עבודה'!$D$26</f>
        <v>75602.801714285713</v>
      </c>
      <c r="AV280" s="646">
        <f>+SUM(AV246:AV262,AV268:AV272)+AV525+AV541+SUM(AV274:AV278)*'הנחות עבודה'!$D$26</f>
        <v>159035.81294285716</v>
      </c>
      <c r="AW280" s="646">
        <f>+SUM(AW246:AW262,AW268:AW272)+AW525+AW541+SUM(AW274:AW278)*'הנחות עבודה'!$D$26</f>
        <v>64586.333500000008</v>
      </c>
      <c r="AX280" s="646">
        <f>+SUM(AX246:AX262,AX268:AX272)+AX525+AX541+SUM(AX274:AX278)*'הנחות עבודה'!$D$26</f>
        <v>91648.006057142848</v>
      </c>
      <c r="AY280" s="646">
        <f>+SUM(AY246:AY262,AY268:AY272)+AY525+AY541+SUM(AY274:AY278)*'הנחות עבודה'!$D$26</f>
        <v>44656.596714285704</v>
      </c>
      <c r="AZ280" s="646">
        <f>+SUM(AZ246:AZ262,AZ268:AZ272)+AZ525+AZ541+SUM(AZ274:AZ278)*'הנחות עבודה'!$D$26</f>
        <v>137421.44587142859</v>
      </c>
      <c r="BA280" s="646">
        <f>+SUM(BA246:BA262,BA268:BA272)+BA525+BA541+SUM(BA274:BA278)*'הנחות עבודה'!$D$26</f>
        <v>129240.94548571426</v>
      </c>
      <c r="BB280" s="646">
        <f>+SUM(BB246:BB262,BB268:BB272)+BB525+BB541+SUM(BB274:BB278)*'הנחות עבודה'!$D$26</f>
        <v>120778.65090000001</v>
      </c>
      <c r="BC280" s="646">
        <f>+SUM(BC246:BC262,BC268:BC272)+BC525+BC541+SUM(BC274:BC278)*'הנחות עבודה'!$D$26</f>
        <v>144573.00771428569</v>
      </c>
      <c r="BD280" s="646">
        <f>+SUM(BD246:BD262,BD268:BD272)+BD525+BD541+SUM(BD274:BD278)*'הנחות עבודה'!$D$26</f>
        <v>124277.80834285717</v>
      </c>
      <c r="BE280" s="646">
        <f>+SUM(BE246:BE262,BE268:BE272)+BE525+BE541+SUM(BE274:BE278)*'הנחות עבודה'!$D$26</f>
        <v>14713.535885714286</v>
      </c>
      <c r="BF280" s="646">
        <f>+SUM(BF246:BF262,BF268:BF272)+BF525+BF541+SUM(BF274:BF278)*'הנחות עבודה'!$D$26</f>
        <v>139366.43100000001</v>
      </c>
      <c r="BH280" s="648">
        <f>SUM(C280:BG280)</f>
        <v>8125167.3426762633</v>
      </c>
      <c r="BK280" s="648" t="e">
        <f>+BH280-'[12]נתוני תאגידים'!$BG$259</f>
        <v>#REF!</v>
      </c>
    </row>
    <row r="281" spans="1:63" x14ac:dyDescent="0.2">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c r="AA281" s="47"/>
      <c r="AB281" s="47"/>
      <c r="AC281" s="47"/>
      <c r="AD281" s="47"/>
      <c r="AE281" s="47"/>
      <c r="AF281" s="47"/>
      <c r="AG281" s="47"/>
      <c r="AH281" s="47"/>
      <c r="AI281" s="47"/>
      <c r="AJ281" s="47"/>
      <c r="AK281" s="47"/>
      <c r="AL281" s="47"/>
      <c r="AM281" s="47"/>
      <c r="AN281" s="47"/>
      <c r="AO281" s="47"/>
      <c r="AP281" s="47"/>
      <c r="AQ281" s="47"/>
      <c r="AR281" s="47"/>
      <c r="AS281" s="47"/>
      <c r="AT281" s="47"/>
      <c r="AU281" s="47"/>
      <c r="AV281" s="47"/>
      <c r="AW281" s="47"/>
      <c r="AX281" s="47"/>
      <c r="AY281" s="47"/>
      <c r="AZ281" s="47"/>
      <c r="BA281" s="47"/>
      <c r="BB281" s="47"/>
      <c r="BC281" s="47"/>
      <c r="BD281" s="47"/>
      <c r="BE281" s="47"/>
      <c r="BF281" s="47"/>
      <c r="BK281" s="1">
        <f>-'[12]נתוני תאגידים'!$BG$259</f>
        <v>0</v>
      </c>
    </row>
    <row r="282" spans="1:63" x14ac:dyDescent="0.2">
      <c r="C282" s="750"/>
      <c r="D282" s="750"/>
      <c r="E282" s="750"/>
      <c r="F282" s="750"/>
      <c r="G282" s="750"/>
      <c r="H282" s="750"/>
      <c r="I282" s="750"/>
      <c r="J282" s="750"/>
      <c r="K282" s="750"/>
      <c r="L282" s="750"/>
      <c r="M282" s="750"/>
      <c r="N282" s="750"/>
      <c r="O282" s="750"/>
      <c r="P282" s="750"/>
      <c r="Q282" s="750"/>
      <c r="R282" s="750"/>
      <c r="S282" s="750"/>
      <c r="T282" s="750"/>
      <c r="U282" s="750"/>
      <c r="V282" s="750"/>
      <c r="W282" s="750"/>
      <c r="X282" s="750"/>
      <c r="Y282" s="750"/>
      <c r="Z282" s="750"/>
      <c r="AA282" s="750"/>
      <c r="AB282" s="750"/>
      <c r="AC282" s="750"/>
      <c r="AD282" s="750"/>
      <c r="AE282" s="750"/>
      <c r="AF282" s="750"/>
      <c r="AG282" s="750"/>
      <c r="AH282" s="750"/>
      <c r="AI282" s="750"/>
      <c r="AJ282" s="750"/>
      <c r="AK282" s="750"/>
      <c r="AL282" s="750"/>
      <c r="AM282" s="750"/>
      <c r="AN282" s="750"/>
      <c r="AO282" s="750"/>
      <c r="AP282" s="750"/>
      <c r="AQ282" s="750"/>
      <c r="AR282" s="750"/>
      <c r="AS282" s="750"/>
      <c r="AT282" s="750"/>
      <c r="AU282" s="750"/>
      <c r="AV282" s="750"/>
      <c r="AW282" s="750"/>
      <c r="AX282" s="750"/>
      <c r="AY282" s="750"/>
      <c r="AZ282" s="750"/>
      <c r="BA282" s="750"/>
      <c r="BB282" s="750"/>
      <c r="BC282" s="750"/>
      <c r="BD282" s="750"/>
      <c r="BE282" s="750"/>
      <c r="BF282" s="750"/>
    </row>
    <row r="283" spans="1:63" x14ac:dyDescent="0.2">
      <c r="A283" s="46" t="s">
        <v>601</v>
      </c>
      <c r="C283" s="47">
        <f t="shared" ref="C283:AH283" si="14">+C107</f>
        <v>155168.929</v>
      </c>
      <c r="D283" s="47">
        <f t="shared" si="14"/>
        <v>42029.707000000002</v>
      </c>
      <c r="E283" s="47">
        <f t="shared" si="14"/>
        <v>128230.59600000001</v>
      </c>
      <c r="F283" s="47">
        <f t="shared" si="14"/>
        <v>25936.188333333332</v>
      </c>
      <c r="G283" s="47">
        <f t="shared" si="14"/>
        <v>82392.178</v>
      </c>
      <c r="H283" s="47">
        <f t="shared" si="14"/>
        <v>499262.51899999997</v>
      </c>
      <c r="I283" s="47">
        <f t="shared" si="14"/>
        <v>156462.40299999999</v>
      </c>
      <c r="J283" s="47">
        <f t="shared" si="14"/>
        <v>58288.302000000003</v>
      </c>
      <c r="K283" s="47">
        <f t="shared" si="14"/>
        <v>73250.597999999998</v>
      </c>
      <c r="L283" s="47">
        <f t="shared" si="14"/>
        <v>63011.004999999997</v>
      </c>
      <c r="M283" s="47">
        <f t="shared" si="14"/>
        <v>87816</v>
      </c>
      <c r="N283" s="47">
        <f t="shared" si="14"/>
        <v>114210.69500000001</v>
      </c>
      <c r="O283" s="47">
        <f t="shared" si="14"/>
        <v>98914.097999999998</v>
      </c>
      <c r="P283" s="47">
        <f t="shared" si="14"/>
        <v>83905.163</v>
      </c>
      <c r="Q283" s="5">
        <f t="shared" si="14"/>
        <v>42979.930999999997</v>
      </c>
      <c r="R283" s="47">
        <f t="shared" si="14"/>
        <v>48461.557000000001</v>
      </c>
      <c r="S283" s="5">
        <f t="shared" si="14"/>
        <v>20382.365000000002</v>
      </c>
      <c r="T283" s="47">
        <f t="shared" si="14"/>
        <v>57104.091999999997</v>
      </c>
      <c r="U283" s="5">
        <f t="shared" si="14"/>
        <v>62864.678</v>
      </c>
      <c r="V283" s="47">
        <f t="shared" si="14"/>
        <v>48457.552000000003</v>
      </c>
      <c r="W283" s="47">
        <f t="shared" si="14"/>
        <v>77134.452999999994</v>
      </c>
      <c r="X283" s="47">
        <f t="shared" si="14"/>
        <v>71428.73</v>
      </c>
      <c r="Y283" s="5">
        <f t="shared" si="14"/>
        <v>40072.712</v>
      </c>
      <c r="Z283" s="47">
        <f t="shared" si="14"/>
        <v>36539.423999999999</v>
      </c>
      <c r="AA283" s="47">
        <f t="shared" si="14"/>
        <v>85636.524999999994</v>
      </c>
      <c r="AB283" s="47">
        <f t="shared" si="14"/>
        <v>35205.489000000001</v>
      </c>
      <c r="AC283" s="5">
        <f t="shared" si="14"/>
        <v>68351.183000000005</v>
      </c>
      <c r="AD283" s="5">
        <f t="shared" si="14"/>
        <v>28317.245999999999</v>
      </c>
      <c r="AE283" s="5">
        <f t="shared" si="14"/>
        <v>214592.11199999999</v>
      </c>
      <c r="AF283" s="5">
        <f t="shared" si="14"/>
        <v>34353.266000000003</v>
      </c>
      <c r="AG283" s="47">
        <f t="shared" si="14"/>
        <v>36080.231</v>
      </c>
      <c r="AH283" s="5">
        <f t="shared" si="14"/>
        <v>35375.936999999998</v>
      </c>
      <c r="AI283" s="47">
        <f t="shared" ref="AI283:BE283" si="15">+AI107</f>
        <v>34588.705000000002</v>
      </c>
      <c r="AJ283" s="5">
        <f t="shared" si="15"/>
        <v>22482.293000000001</v>
      </c>
      <c r="AK283" s="47">
        <f t="shared" si="15"/>
        <v>10808.652</v>
      </c>
      <c r="AL283" s="47">
        <f t="shared" si="15"/>
        <v>195693.476</v>
      </c>
      <c r="AM283" s="47">
        <f t="shared" si="15"/>
        <v>59811.722000000002</v>
      </c>
      <c r="AN283" s="5">
        <f t="shared" si="15"/>
        <v>46846.951000000001</v>
      </c>
      <c r="AO283" s="5">
        <f t="shared" si="15"/>
        <v>67732.403000000006</v>
      </c>
      <c r="AP283" s="5">
        <f t="shared" si="15"/>
        <v>23560.257000000001</v>
      </c>
      <c r="AQ283" s="5">
        <f t="shared" si="15"/>
        <v>37063.226999999999</v>
      </c>
      <c r="AR283" s="5">
        <f t="shared" si="15"/>
        <v>41766.243000000002</v>
      </c>
      <c r="AS283" s="47">
        <f t="shared" si="15"/>
        <v>87686.123000000007</v>
      </c>
      <c r="AT283" s="47">
        <f t="shared" si="15"/>
        <v>34929.398000000001</v>
      </c>
      <c r="AU283" s="5">
        <f t="shared" si="15"/>
        <v>45332.273999999998</v>
      </c>
      <c r="AV283" s="5">
        <f t="shared" si="15"/>
        <v>69583.839000000007</v>
      </c>
      <c r="AW283" s="47">
        <f t="shared" si="15"/>
        <v>34816.701000000001</v>
      </c>
      <c r="AX283" s="47">
        <f t="shared" si="15"/>
        <v>27474.741999999998</v>
      </c>
      <c r="AY283" s="351">
        <f t="shared" si="15"/>
        <v>15354.864</v>
      </c>
      <c r="AZ283" s="5">
        <f t="shared" si="15"/>
        <v>59108.214</v>
      </c>
      <c r="BA283" s="47">
        <f t="shared" si="15"/>
        <v>41699.828999999998</v>
      </c>
      <c r="BB283" s="5">
        <f t="shared" si="15"/>
        <v>62597.707000000002</v>
      </c>
      <c r="BC283" s="5">
        <f t="shared" si="15"/>
        <v>52249.180999999997</v>
      </c>
      <c r="BD283" s="47">
        <f t="shared" si="15"/>
        <v>5673.4089999999997</v>
      </c>
      <c r="BE283" s="47">
        <f t="shared" si="15"/>
        <v>9665.0560000000005</v>
      </c>
      <c r="BF283" s="47">
        <f>+BF107</f>
        <v>40311.868000000002</v>
      </c>
    </row>
    <row r="284" spans="1:63" s="43" customFormat="1" x14ac:dyDescent="0.2">
      <c r="C284" s="49"/>
      <c r="D284" s="49"/>
      <c r="E284" s="49"/>
      <c r="F284" s="49"/>
      <c r="G284" s="49"/>
      <c r="H284" s="49"/>
      <c r="I284" s="49"/>
      <c r="J284" s="49"/>
      <c r="K284" s="49"/>
      <c r="L284" s="49"/>
      <c r="M284" s="49"/>
      <c r="N284" s="49"/>
      <c r="O284" s="49"/>
      <c r="P284" s="49"/>
      <c r="Q284" s="49"/>
      <c r="R284" s="49"/>
      <c r="S284" s="49"/>
      <c r="T284" s="49"/>
      <c r="U284" s="49"/>
      <c r="V284" s="49"/>
      <c r="W284" s="49"/>
      <c r="X284" s="49"/>
      <c r="Y284" s="49"/>
      <c r="Z284" s="49"/>
      <c r="AA284" s="49"/>
      <c r="AB284" s="49"/>
      <c r="AC284" s="49"/>
      <c r="AD284" s="49"/>
      <c r="AE284" s="49"/>
      <c r="AF284" s="49"/>
      <c r="AG284" s="49"/>
      <c r="AH284" s="49"/>
      <c r="AI284" s="49"/>
      <c r="AJ284" s="49"/>
      <c r="AK284" s="49"/>
      <c r="AL284" s="49"/>
      <c r="AM284" s="49"/>
      <c r="AN284" s="49"/>
      <c r="AO284" s="49"/>
      <c r="AP284" s="49"/>
      <c r="AQ284" s="49"/>
      <c r="AR284" s="49"/>
      <c r="AS284" s="49"/>
      <c r="AT284" s="49"/>
      <c r="AU284" s="49"/>
      <c r="AV284" s="49"/>
      <c r="AW284" s="49"/>
      <c r="AX284" s="49"/>
      <c r="AY284" s="49"/>
      <c r="AZ284" s="49"/>
      <c r="BA284" s="49"/>
      <c r="BB284" s="49"/>
      <c r="BC284" s="49"/>
      <c r="BD284" s="49"/>
      <c r="BE284" s="49"/>
      <c r="BF284" s="49"/>
    </row>
    <row r="285" spans="1:63" x14ac:dyDescent="0.2">
      <c r="A285" s="46" t="s">
        <v>602</v>
      </c>
      <c r="C285" s="78">
        <f t="shared" ref="C285:U285" si="16">+C211</f>
        <v>15110</v>
      </c>
      <c r="D285" s="78">
        <f t="shared" si="16"/>
        <v>4008</v>
      </c>
      <c r="E285" s="78">
        <f t="shared" si="16"/>
        <v>4618</v>
      </c>
      <c r="F285" s="78">
        <f t="shared" si="16"/>
        <v>647</v>
      </c>
      <c r="G285" s="78">
        <f t="shared" si="16"/>
        <v>840</v>
      </c>
      <c r="H285" s="78">
        <f t="shared" si="16"/>
        <v>32417</v>
      </c>
      <c r="I285" s="78">
        <f t="shared" si="16"/>
        <v>15244</v>
      </c>
      <c r="J285" s="78">
        <f t="shared" si="16"/>
        <v>10156</v>
      </c>
      <c r="K285" s="78">
        <f t="shared" si="16"/>
        <v>0</v>
      </c>
      <c r="L285" s="78">
        <f t="shared" si="16"/>
        <v>2436</v>
      </c>
      <c r="M285" s="78">
        <f t="shared" si="16"/>
        <v>3616</v>
      </c>
      <c r="N285" s="78">
        <f t="shared" si="16"/>
        <v>7990</v>
      </c>
      <c r="O285" s="78">
        <f t="shared" si="16"/>
        <v>3334</v>
      </c>
      <c r="P285" s="78">
        <f t="shared" si="16"/>
        <v>4422</v>
      </c>
      <c r="Q285" s="78">
        <f t="shared" si="16"/>
        <v>0</v>
      </c>
      <c r="R285" s="78">
        <f t="shared" si="16"/>
        <v>212</v>
      </c>
      <c r="S285" s="78">
        <f t="shared" si="16"/>
        <v>0</v>
      </c>
      <c r="T285" s="78">
        <f t="shared" si="16"/>
        <v>266</v>
      </c>
      <c r="U285" s="78">
        <f t="shared" si="16"/>
        <v>856</v>
      </c>
      <c r="V285" s="78">
        <v>0</v>
      </c>
      <c r="W285" s="78">
        <f t="shared" ref="W285:BA285" si="17">+W211</f>
        <v>0</v>
      </c>
      <c r="X285" s="78">
        <f t="shared" si="17"/>
        <v>0</v>
      </c>
      <c r="Y285" s="78">
        <f t="shared" si="17"/>
        <v>0</v>
      </c>
      <c r="Z285" s="78">
        <f t="shared" si="17"/>
        <v>438.23700000000002</v>
      </c>
      <c r="AA285" s="78">
        <f t="shared" si="17"/>
        <v>0</v>
      </c>
      <c r="AB285" s="78">
        <f t="shared" si="17"/>
        <v>0</v>
      </c>
      <c r="AC285" s="78">
        <f t="shared" si="17"/>
        <v>0</v>
      </c>
      <c r="AD285" s="78">
        <f t="shared" si="17"/>
        <v>299</v>
      </c>
      <c r="AE285" s="78">
        <f t="shared" si="17"/>
        <v>0</v>
      </c>
      <c r="AF285" s="78">
        <f t="shared" si="17"/>
        <v>0</v>
      </c>
      <c r="AG285" s="78">
        <f t="shared" si="17"/>
        <v>0</v>
      </c>
      <c r="AH285" s="78">
        <f t="shared" si="17"/>
        <v>0</v>
      </c>
      <c r="AI285" s="78">
        <f t="shared" si="17"/>
        <v>0</v>
      </c>
      <c r="AJ285" s="78">
        <f t="shared" si="17"/>
        <v>0</v>
      </c>
      <c r="AK285" s="78">
        <f t="shared" si="17"/>
        <v>0</v>
      </c>
      <c r="AL285" s="78">
        <f t="shared" si="17"/>
        <v>0</v>
      </c>
      <c r="AM285" s="78">
        <f t="shared" si="17"/>
        <v>0</v>
      </c>
      <c r="AN285" s="78">
        <f t="shared" si="17"/>
        <v>0</v>
      </c>
      <c r="AO285" s="78">
        <f t="shared" si="17"/>
        <v>1</v>
      </c>
      <c r="AP285" s="78">
        <f t="shared" si="17"/>
        <v>0</v>
      </c>
      <c r="AQ285" s="78">
        <f t="shared" si="17"/>
        <v>0</v>
      </c>
      <c r="AR285" s="78">
        <f t="shared" si="17"/>
        <v>0</v>
      </c>
      <c r="AS285" s="78">
        <f t="shared" si="17"/>
        <v>0</v>
      </c>
      <c r="AT285" s="78">
        <f t="shared" si="17"/>
        <v>0</v>
      </c>
      <c r="AU285" s="78">
        <f t="shared" si="17"/>
        <v>0</v>
      </c>
      <c r="AV285" s="78">
        <f t="shared" si="17"/>
        <v>0</v>
      </c>
      <c r="AW285" s="78">
        <f t="shared" si="17"/>
        <v>0</v>
      </c>
      <c r="AX285" s="78">
        <f t="shared" si="17"/>
        <v>0</v>
      </c>
      <c r="AY285" s="78">
        <f t="shared" si="17"/>
        <v>0</v>
      </c>
      <c r="AZ285" s="78">
        <f t="shared" si="17"/>
        <v>0</v>
      </c>
      <c r="BA285" s="78">
        <f t="shared" si="17"/>
        <v>0</v>
      </c>
      <c r="BB285" s="78">
        <v>0</v>
      </c>
      <c r="BC285" s="78">
        <f>+BC211</f>
        <v>0</v>
      </c>
      <c r="BD285" s="78">
        <f>+BD211</f>
        <v>0</v>
      </c>
      <c r="BE285" s="78">
        <f>+BE211</f>
        <v>0</v>
      </c>
      <c r="BF285" s="78">
        <f>+BF211</f>
        <v>0</v>
      </c>
    </row>
    <row r="287" spans="1:63" x14ac:dyDescent="0.2">
      <c r="A287" s="46" t="s">
        <v>603</v>
      </c>
      <c r="C287" s="78">
        <f t="shared" ref="C287:AH287" si="18">+C213</f>
        <v>36799</v>
      </c>
      <c r="D287" s="78">
        <f t="shared" si="18"/>
        <v>4148</v>
      </c>
      <c r="E287" s="78">
        <f t="shared" si="18"/>
        <v>4512</v>
      </c>
      <c r="F287" s="78">
        <f t="shared" si="18"/>
        <v>101</v>
      </c>
      <c r="G287" s="78">
        <f t="shared" si="18"/>
        <v>313</v>
      </c>
      <c r="H287" s="78">
        <f t="shared" si="18"/>
        <v>22087</v>
      </c>
      <c r="I287" s="78">
        <f t="shared" si="18"/>
        <v>12967</v>
      </c>
      <c r="J287" s="78">
        <f t="shared" si="18"/>
        <v>3011</v>
      </c>
      <c r="K287" s="78">
        <f t="shared" si="18"/>
        <v>2075</v>
      </c>
      <c r="L287" s="78">
        <f t="shared" si="18"/>
        <v>13178</v>
      </c>
      <c r="M287" s="78">
        <f t="shared" si="18"/>
        <v>2286</v>
      </c>
      <c r="N287" s="78">
        <f t="shared" si="18"/>
        <v>1387</v>
      </c>
      <c r="O287" s="78">
        <f t="shared" si="18"/>
        <v>12717</v>
      </c>
      <c r="P287" s="78">
        <f t="shared" si="18"/>
        <v>9365</v>
      </c>
      <c r="Q287" s="78">
        <f t="shared" si="18"/>
        <v>4894</v>
      </c>
      <c r="R287" s="78">
        <f t="shared" si="18"/>
        <v>1708</v>
      </c>
      <c r="S287" s="78">
        <f t="shared" si="18"/>
        <v>260</v>
      </c>
      <c r="T287" s="78">
        <f t="shared" si="18"/>
        <v>3032</v>
      </c>
      <c r="U287" s="78">
        <f t="shared" si="18"/>
        <v>1218</v>
      </c>
      <c r="V287" s="78">
        <f t="shared" si="18"/>
        <v>994</v>
      </c>
      <c r="W287" s="78">
        <f t="shared" si="18"/>
        <v>9232</v>
      </c>
      <c r="X287" s="78">
        <f t="shared" si="18"/>
        <v>1802</v>
      </c>
      <c r="Y287" s="78">
        <f t="shared" si="18"/>
        <v>376</v>
      </c>
      <c r="Z287" s="78">
        <f t="shared" si="18"/>
        <v>1547.6990000000001</v>
      </c>
      <c r="AA287" s="78">
        <f t="shared" si="18"/>
        <v>1887</v>
      </c>
      <c r="AB287" s="78">
        <f t="shared" si="18"/>
        <v>772</v>
      </c>
      <c r="AC287" s="78">
        <f t="shared" si="18"/>
        <v>376</v>
      </c>
      <c r="AD287" s="78">
        <f t="shared" si="18"/>
        <v>1150</v>
      </c>
      <c r="AE287" s="78">
        <f t="shared" si="18"/>
        <v>4058</v>
      </c>
      <c r="AF287" s="78">
        <f t="shared" si="18"/>
        <v>11734</v>
      </c>
      <c r="AG287" s="78">
        <f t="shared" si="18"/>
        <v>8</v>
      </c>
      <c r="AH287" s="78">
        <f t="shared" si="18"/>
        <v>85</v>
      </c>
      <c r="AI287" s="78">
        <f t="shared" ref="AI287:BA287" si="19">+AI213</f>
        <v>131</v>
      </c>
      <c r="AJ287" s="78">
        <f t="shared" si="19"/>
        <v>0</v>
      </c>
      <c r="AK287" s="78">
        <f t="shared" si="19"/>
        <v>0</v>
      </c>
      <c r="AL287" s="78">
        <f t="shared" si="19"/>
        <v>0</v>
      </c>
      <c r="AM287" s="78">
        <f t="shared" si="19"/>
        <v>10000</v>
      </c>
      <c r="AN287" s="78">
        <f t="shared" si="19"/>
        <v>0</v>
      </c>
      <c r="AO287" s="78">
        <f t="shared" si="19"/>
        <v>1</v>
      </c>
      <c r="AP287" s="78">
        <f t="shared" si="19"/>
        <v>34</v>
      </c>
      <c r="AQ287" s="78">
        <f t="shared" si="19"/>
        <v>3344.645</v>
      </c>
      <c r="AR287" s="78">
        <f t="shared" si="19"/>
        <v>0</v>
      </c>
      <c r="AS287" s="78">
        <f t="shared" si="19"/>
        <v>13194</v>
      </c>
      <c r="AT287" s="78">
        <f t="shared" si="19"/>
        <v>0</v>
      </c>
      <c r="AU287" s="78">
        <f t="shared" si="19"/>
        <v>150</v>
      </c>
      <c r="AV287" s="78">
        <f t="shared" si="19"/>
        <v>439</v>
      </c>
      <c r="AW287" s="78">
        <f t="shared" si="19"/>
        <v>136</v>
      </c>
      <c r="AX287" s="78">
        <f t="shared" si="19"/>
        <v>0</v>
      </c>
      <c r="AY287" s="78">
        <f t="shared" si="19"/>
        <v>0</v>
      </c>
      <c r="AZ287" s="78">
        <f t="shared" si="19"/>
        <v>150</v>
      </c>
      <c r="BA287" s="78">
        <f t="shared" si="19"/>
        <v>0</v>
      </c>
      <c r="BB287" s="78">
        <v>0</v>
      </c>
      <c r="BC287" s="78">
        <f>+BC213</f>
        <v>2536</v>
      </c>
      <c r="BD287" s="78">
        <f>+BD213</f>
        <v>0</v>
      </c>
      <c r="BE287" s="78">
        <f>+BE213</f>
        <v>0</v>
      </c>
      <c r="BF287" s="78">
        <f>+BF213</f>
        <v>0</v>
      </c>
    </row>
    <row r="288" spans="1:63" x14ac:dyDescent="0.2">
      <c r="A288" s="46"/>
    </row>
    <row r="289" spans="1:58" x14ac:dyDescent="0.2">
      <c r="A289" s="46" t="s">
        <v>604</v>
      </c>
      <c r="C289" s="78">
        <f t="shared" ref="C289:AX289" si="20">+C215</f>
        <v>15777</v>
      </c>
      <c r="D289" s="78">
        <f t="shared" si="20"/>
        <v>1197</v>
      </c>
      <c r="E289" s="78">
        <f t="shared" si="20"/>
        <v>2295</v>
      </c>
      <c r="F289" s="78">
        <f t="shared" si="20"/>
        <v>1671</v>
      </c>
      <c r="G289" s="78">
        <f t="shared" si="20"/>
        <v>3084</v>
      </c>
      <c r="H289" s="78">
        <f t="shared" si="20"/>
        <v>13259</v>
      </c>
      <c r="I289" s="78">
        <f t="shared" si="20"/>
        <v>21202</v>
      </c>
      <c r="J289" s="78">
        <f t="shared" si="20"/>
        <v>1025</v>
      </c>
      <c r="K289" s="78">
        <f t="shared" si="20"/>
        <v>1268</v>
      </c>
      <c r="L289" s="78">
        <f t="shared" si="20"/>
        <v>4073</v>
      </c>
      <c r="M289" s="78">
        <f t="shared" si="20"/>
        <v>3030</v>
      </c>
      <c r="N289" s="78">
        <f t="shared" si="20"/>
        <v>6555</v>
      </c>
      <c r="O289" s="78">
        <f t="shared" si="20"/>
        <v>9494</v>
      </c>
      <c r="P289" s="78">
        <f t="shared" si="20"/>
        <v>13451</v>
      </c>
      <c r="Q289" s="78">
        <f t="shared" si="20"/>
        <v>5050</v>
      </c>
      <c r="R289" s="78">
        <f t="shared" si="20"/>
        <v>2030.68</v>
      </c>
      <c r="S289" s="78">
        <f t="shared" si="20"/>
        <v>8862</v>
      </c>
      <c r="T289" s="78">
        <f t="shared" si="20"/>
        <v>1103</v>
      </c>
      <c r="U289" s="78">
        <f t="shared" si="20"/>
        <v>3348</v>
      </c>
      <c r="V289" s="78">
        <f t="shared" si="20"/>
        <v>3494</v>
      </c>
      <c r="W289" s="78">
        <f t="shared" si="20"/>
        <v>7721</v>
      </c>
      <c r="X289" s="78">
        <f t="shared" si="20"/>
        <v>8236.2610000000004</v>
      </c>
      <c r="Y289" s="78">
        <f t="shared" si="20"/>
        <v>1072</v>
      </c>
      <c r="Z289" s="78">
        <f t="shared" si="20"/>
        <v>1568.933</v>
      </c>
      <c r="AA289" s="78">
        <f t="shared" si="20"/>
        <v>2511</v>
      </c>
      <c r="AB289" s="78">
        <f t="shared" si="20"/>
        <v>0</v>
      </c>
      <c r="AC289" s="78">
        <f t="shared" si="20"/>
        <v>5152.3419999999996</v>
      </c>
      <c r="AD289" s="78">
        <f t="shared" si="20"/>
        <v>3338</v>
      </c>
      <c r="AE289" s="78">
        <f t="shared" si="20"/>
        <v>12038</v>
      </c>
      <c r="AF289" s="78">
        <f t="shared" si="20"/>
        <v>9618</v>
      </c>
      <c r="AG289" s="78">
        <f t="shared" si="20"/>
        <v>38</v>
      </c>
      <c r="AH289" s="78">
        <f t="shared" si="20"/>
        <v>0</v>
      </c>
      <c r="AI289" s="78">
        <f t="shared" si="20"/>
        <v>481</v>
      </c>
      <c r="AJ289" s="78">
        <f t="shared" si="20"/>
        <v>1</v>
      </c>
      <c r="AK289" s="78">
        <f t="shared" si="20"/>
        <v>0</v>
      </c>
      <c r="AL289" s="78">
        <f t="shared" si="20"/>
        <v>5621</v>
      </c>
      <c r="AM289" s="78">
        <f t="shared" si="20"/>
        <v>804</v>
      </c>
      <c r="AN289" s="78">
        <f t="shared" si="20"/>
        <v>0</v>
      </c>
      <c r="AO289" s="78">
        <f t="shared" si="20"/>
        <v>1</v>
      </c>
      <c r="AP289" s="78">
        <f t="shared" si="20"/>
        <v>259.06400000000002</v>
      </c>
      <c r="AQ289" s="78">
        <f t="shared" si="20"/>
        <v>4579</v>
      </c>
      <c r="AR289" s="78">
        <f t="shared" si="20"/>
        <v>130</v>
      </c>
      <c r="AS289" s="78">
        <f t="shared" si="20"/>
        <v>0</v>
      </c>
      <c r="AT289" s="78">
        <f t="shared" si="20"/>
        <v>175</v>
      </c>
      <c r="AU289" s="78">
        <f t="shared" si="20"/>
        <v>2400</v>
      </c>
      <c r="AV289" s="78">
        <f t="shared" si="20"/>
        <v>3484</v>
      </c>
      <c r="AW289" s="78">
        <f t="shared" si="20"/>
        <v>1645</v>
      </c>
      <c r="AX289" s="78">
        <f t="shared" si="20"/>
        <v>0</v>
      </c>
      <c r="AY289" s="78">
        <v>0</v>
      </c>
      <c r="AZ289" s="78">
        <f t="shared" ref="AZ289:BE289" si="21">+AZ215</f>
        <v>98</v>
      </c>
      <c r="BA289" s="78">
        <f t="shared" si="21"/>
        <v>324</v>
      </c>
      <c r="BB289" s="78">
        <f t="shared" si="21"/>
        <v>6324</v>
      </c>
      <c r="BC289" s="78">
        <f t="shared" si="21"/>
        <v>3195</v>
      </c>
      <c r="BD289" s="78">
        <f t="shared" si="21"/>
        <v>0</v>
      </c>
      <c r="BE289" s="78">
        <f t="shared" si="21"/>
        <v>0</v>
      </c>
      <c r="BF289" s="78">
        <f>+BF215</f>
        <v>0</v>
      </c>
    </row>
    <row r="291" spans="1:58" x14ac:dyDescent="0.2">
      <c r="A291" s="46" t="s">
        <v>587</v>
      </c>
      <c r="C291" s="78">
        <f t="shared" ref="C291:AH291" si="22">+C223</f>
        <v>21434</v>
      </c>
      <c r="D291" s="78">
        <f t="shared" si="22"/>
        <v>1998</v>
      </c>
      <c r="E291" s="78">
        <f t="shared" si="22"/>
        <v>22908</v>
      </c>
      <c r="F291" s="78">
        <f t="shared" si="22"/>
        <v>1745</v>
      </c>
      <c r="G291" s="78">
        <f t="shared" si="22"/>
        <v>6279</v>
      </c>
      <c r="H291" s="78">
        <f t="shared" si="22"/>
        <v>92763</v>
      </c>
      <c r="I291" s="78">
        <f t="shared" si="22"/>
        <v>42655</v>
      </c>
      <c r="J291" s="78">
        <f t="shared" si="22"/>
        <v>4678</v>
      </c>
      <c r="K291" s="78">
        <f t="shared" si="22"/>
        <v>24</v>
      </c>
      <c r="L291" s="78">
        <f t="shared" si="22"/>
        <v>9143</v>
      </c>
      <c r="M291" s="78">
        <f t="shared" si="22"/>
        <v>779</v>
      </c>
      <c r="N291" s="78">
        <f t="shared" si="22"/>
        <v>6721</v>
      </c>
      <c r="O291" s="78">
        <f t="shared" si="22"/>
        <v>13624</v>
      </c>
      <c r="P291" s="78">
        <f t="shared" si="22"/>
        <v>0</v>
      </c>
      <c r="Q291" s="78">
        <f t="shared" si="22"/>
        <v>13613</v>
      </c>
      <c r="R291" s="78">
        <f t="shared" si="22"/>
        <v>834</v>
      </c>
      <c r="S291" s="78">
        <f t="shared" si="22"/>
        <v>1199</v>
      </c>
      <c r="T291" s="78">
        <f t="shared" si="22"/>
        <v>1779</v>
      </c>
      <c r="U291" s="78">
        <f t="shared" si="22"/>
        <v>4800</v>
      </c>
      <c r="V291" s="78">
        <f t="shared" si="22"/>
        <v>8062</v>
      </c>
      <c r="W291" s="78">
        <f t="shared" si="22"/>
        <v>0</v>
      </c>
      <c r="X291" s="78">
        <f t="shared" si="22"/>
        <v>9615</v>
      </c>
      <c r="Y291" s="78">
        <f t="shared" si="22"/>
        <v>0</v>
      </c>
      <c r="Z291" s="78">
        <f t="shared" si="22"/>
        <v>372</v>
      </c>
      <c r="AA291" s="78">
        <f t="shared" si="22"/>
        <v>10046</v>
      </c>
      <c r="AB291" s="78">
        <f t="shared" si="22"/>
        <v>1159</v>
      </c>
      <c r="AC291" s="78">
        <f t="shared" si="22"/>
        <v>8767</v>
      </c>
      <c r="AD291" s="78">
        <f t="shared" si="22"/>
        <v>1098</v>
      </c>
      <c r="AE291" s="78">
        <f t="shared" si="22"/>
        <v>34631</v>
      </c>
      <c r="AF291" s="78">
        <f t="shared" si="22"/>
        <v>0</v>
      </c>
      <c r="AG291" s="78">
        <f t="shared" si="22"/>
        <v>375</v>
      </c>
      <c r="AH291" s="78">
        <f t="shared" si="22"/>
        <v>4759</v>
      </c>
      <c r="AI291" s="78">
        <f t="shared" ref="AI291:BA291" si="23">+AI223</f>
        <v>2782</v>
      </c>
      <c r="AJ291" s="78">
        <f t="shared" si="23"/>
        <v>74</v>
      </c>
      <c r="AK291" s="78">
        <f t="shared" si="23"/>
        <v>0</v>
      </c>
      <c r="AL291" s="78">
        <f t="shared" si="23"/>
        <v>96100</v>
      </c>
      <c r="AM291" s="78">
        <f t="shared" si="23"/>
        <v>848</v>
      </c>
      <c r="AN291" s="78">
        <f t="shared" si="23"/>
        <v>0</v>
      </c>
      <c r="AO291" s="78">
        <f t="shared" si="23"/>
        <v>5026</v>
      </c>
      <c r="AP291" s="78">
        <f t="shared" si="23"/>
        <v>13166</v>
      </c>
      <c r="AQ291" s="78">
        <f t="shared" si="23"/>
        <v>1411</v>
      </c>
      <c r="AR291" s="78">
        <f t="shared" si="23"/>
        <v>1099</v>
      </c>
      <c r="AS291" s="78">
        <f t="shared" si="23"/>
        <v>0</v>
      </c>
      <c r="AT291" s="78">
        <f t="shared" si="23"/>
        <v>3135</v>
      </c>
      <c r="AU291" s="78">
        <f t="shared" si="23"/>
        <v>668</v>
      </c>
      <c r="AV291" s="78">
        <f t="shared" si="23"/>
        <v>0</v>
      </c>
      <c r="AW291" s="78">
        <f t="shared" si="23"/>
        <v>4048</v>
      </c>
      <c r="AX291" s="78">
        <f t="shared" si="23"/>
        <v>8547</v>
      </c>
      <c r="AY291" s="78">
        <f t="shared" si="23"/>
        <v>6</v>
      </c>
      <c r="AZ291" s="78">
        <f t="shared" si="23"/>
        <v>0</v>
      </c>
      <c r="BA291" s="78">
        <f t="shared" si="23"/>
        <v>7784</v>
      </c>
      <c r="BB291" s="78">
        <v>199</v>
      </c>
      <c r="BC291" s="78">
        <f>+BC223</f>
        <v>6853</v>
      </c>
      <c r="BD291" s="78">
        <f>+BD223</f>
        <v>2507</v>
      </c>
      <c r="BE291" s="78">
        <f>+BE223</f>
        <v>13</v>
      </c>
      <c r="BF291" s="78">
        <f>+BF223</f>
        <v>0</v>
      </c>
    </row>
    <row r="293" spans="1:58" x14ac:dyDescent="0.2">
      <c r="A293" s="46" t="s">
        <v>1540</v>
      </c>
      <c r="C293" s="78">
        <f>+C217</f>
        <v>8383</v>
      </c>
      <c r="D293" s="78">
        <f t="shared" ref="D293:BE293" si="24">+D217</f>
        <v>2293</v>
      </c>
      <c r="E293" s="78">
        <f t="shared" si="24"/>
        <v>8285</v>
      </c>
      <c r="F293" s="78">
        <f t="shared" si="24"/>
        <v>393</v>
      </c>
      <c r="G293" s="78">
        <f t="shared" si="24"/>
        <v>1062</v>
      </c>
      <c r="H293" s="78">
        <f t="shared" si="24"/>
        <v>25439</v>
      </c>
      <c r="I293" s="78">
        <f t="shared" si="24"/>
        <v>16143</v>
      </c>
      <c r="J293" s="78">
        <f t="shared" si="24"/>
        <v>2244</v>
      </c>
      <c r="K293" s="78">
        <f t="shared" si="24"/>
        <v>160</v>
      </c>
      <c r="L293" s="78">
        <f t="shared" si="24"/>
        <v>8698</v>
      </c>
      <c r="M293" s="78">
        <f t="shared" si="24"/>
        <v>2287</v>
      </c>
      <c r="N293" s="78">
        <f t="shared" si="24"/>
        <v>2994</v>
      </c>
      <c r="O293" s="78">
        <f t="shared" si="24"/>
        <v>10804</v>
      </c>
      <c r="P293" s="78">
        <f t="shared" si="24"/>
        <v>7578</v>
      </c>
      <c r="Q293" s="78">
        <f t="shared" si="24"/>
        <v>7262</v>
      </c>
      <c r="R293" s="78">
        <f t="shared" si="24"/>
        <v>4208.6750000000002</v>
      </c>
      <c r="S293" s="78">
        <f t="shared" si="24"/>
        <v>6009</v>
      </c>
      <c r="T293" s="78">
        <f t="shared" si="24"/>
        <v>1857</v>
      </c>
      <c r="U293" s="78">
        <f t="shared" si="24"/>
        <v>6824</v>
      </c>
      <c r="V293" s="78">
        <f t="shared" si="24"/>
        <v>4893</v>
      </c>
      <c r="W293" s="78">
        <f t="shared" si="24"/>
        <v>2209</v>
      </c>
      <c r="X293" s="78">
        <f t="shared" si="24"/>
        <v>8586</v>
      </c>
      <c r="Y293" s="78">
        <f t="shared" si="24"/>
        <v>904</v>
      </c>
      <c r="Z293" s="78">
        <f t="shared" si="24"/>
        <v>1008</v>
      </c>
      <c r="AA293" s="78">
        <f t="shared" si="24"/>
        <v>715</v>
      </c>
      <c r="AB293" s="78">
        <f t="shared" si="24"/>
        <v>1571</v>
      </c>
      <c r="AC293" s="78">
        <f t="shared" si="24"/>
        <v>5101</v>
      </c>
      <c r="AD293" s="78">
        <f t="shared" si="24"/>
        <v>1465</v>
      </c>
      <c r="AE293" s="78">
        <f t="shared" si="24"/>
        <v>18778</v>
      </c>
      <c r="AF293" s="78">
        <f t="shared" si="24"/>
        <v>4707</v>
      </c>
      <c r="AG293" s="78">
        <f t="shared" si="24"/>
        <v>1874</v>
      </c>
      <c r="AH293" s="78">
        <f t="shared" si="24"/>
        <v>0</v>
      </c>
      <c r="AI293" s="78">
        <f t="shared" si="24"/>
        <v>1542</v>
      </c>
      <c r="AJ293" s="78">
        <f t="shared" si="24"/>
        <v>140</v>
      </c>
      <c r="AK293" s="78">
        <f t="shared" si="24"/>
        <v>0</v>
      </c>
      <c r="AL293" s="78">
        <f t="shared" si="24"/>
        <v>13800</v>
      </c>
      <c r="AM293" s="78">
        <f t="shared" si="24"/>
        <v>733</v>
      </c>
      <c r="AN293" s="78">
        <f t="shared" si="24"/>
        <v>3237</v>
      </c>
      <c r="AO293" s="78">
        <f t="shared" si="24"/>
        <v>280</v>
      </c>
      <c r="AP293" s="78">
        <f t="shared" si="24"/>
        <v>2665.4189999999999</v>
      </c>
      <c r="AQ293" s="78">
        <f t="shared" si="24"/>
        <v>7211</v>
      </c>
      <c r="AR293" s="78">
        <f t="shared" si="24"/>
        <v>6553</v>
      </c>
      <c r="AS293" s="78">
        <f t="shared" si="24"/>
        <v>16094</v>
      </c>
      <c r="AT293" s="78">
        <f t="shared" si="24"/>
        <v>1593</v>
      </c>
      <c r="AU293" s="78">
        <f t="shared" si="24"/>
        <v>7536</v>
      </c>
      <c r="AV293" s="78">
        <f t="shared" si="24"/>
        <v>7997</v>
      </c>
      <c r="AW293" s="78">
        <f t="shared" si="24"/>
        <v>2432</v>
      </c>
      <c r="AX293" s="78">
        <f t="shared" si="24"/>
        <v>198</v>
      </c>
      <c r="AY293" s="78">
        <f t="shared" si="24"/>
        <v>222</v>
      </c>
      <c r="AZ293" s="78">
        <f t="shared" si="24"/>
        <v>2450</v>
      </c>
      <c r="BA293" s="78">
        <f t="shared" si="24"/>
        <v>1732</v>
      </c>
      <c r="BB293" s="78">
        <f t="shared" si="24"/>
        <v>5971.4</v>
      </c>
      <c r="BC293" s="78">
        <f t="shared" si="24"/>
        <v>20173</v>
      </c>
      <c r="BD293" s="78">
        <f t="shared" si="24"/>
        <v>102</v>
      </c>
      <c r="BE293" s="78">
        <f t="shared" si="24"/>
        <v>0</v>
      </c>
      <c r="BF293" s="78">
        <f>+BF217</f>
        <v>0</v>
      </c>
    </row>
    <row r="295" spans="1:58" x14ac:dyDescent="0.2">
      <c r="A295" s="46" t="s">
        <v>1541</v>
      </c>
      <c r="C295" s="78">
        <f>+C219</f>
        <v>12436</v>
      </c>
      <c r="D295" s="78">
        <f t="shared" ref="D295:BE295" si="25">+D219</f>
        <v>2879</v>
      </c>
      <c r="E295" s="78">
        <f t="shared" si="25"/>
        <v>2428</v>
      </c>
      <c r="F295" s="78">
        <f t="shared" si="25"/>
        <v>1243</v>
      </c>
      <c r="G295" s="78">
        <f t="shared" si="25"/>
        <v>2338</v>
      </c>
      <c r="H295" s="78">
        <f t="shared" si="25"/>
        <v>55821</v>
      </c>
      <c r="I295" s="78">
        <f t="shared" si="25"/>
        <v>16594</v>
      </c>
      <c r="J295" s="78">
        <f t="shared" si="25"/>
        <v>3971</v>
      </c>
      <c r="K295" s="78">
        <f t="shared" si="25"/>
        <v>2579</v>
      </c>
      <c r="L295" s="78">
        <f t="shared" si="25"/>
        <v>3537</v>
      </c>
      <c r="M295" s="78">
        <f t="shared" si="25"/>
        <v>3097</v>
      </c>
      <c r="N295" s="78">
        <f t="shared" si="25"/>
        <v>3546</v>
      </c>
      <c r="O295" s="78">
        <f t="shared" si="25"/>
        <v>11982</v>
      </c>
      <c r="P295" s="78">
        <f t="shared" si="25"/>
        <v>22189</v>
      </c>
      <c r="Q295" s="78">
        <f t="shared" si="25"/>
        <v>2896</v>
      </c>
      <c r="R295" s="78">
        <f t="shared" si="25"/>
        <v>9070.8469999999998</v>
      </c>
      <c r="S295" s="78">
        <f t="shared" si="25"/>
        <v>2402</v>
      </c>
      <c r="T295" s="78">
        <f t="shared" si="25"/>
        <v>4090</v>
      </c>
      <c r="U295" s="78">
        <f t="shared" si="25"/>
        <v>4800</v>
      </c>
      <c r="V295" s="78">
        <f t="shared" si="25"/>
        <v>4300</v>
      </c>
      <c r="W295" s="78">
        <f t="shared" si="25"/>
        <v>6216.1540000000005</v>
      </c>
      <c r="X295" s="78">
        <f t="shared" si="25"/>
        <v>13022</v>
      </c>
      <c r="Y295" s="78">
        <f t="shared" si="25"/>
        <v>1497</v>
      </c>
      <c r="Z295" s="78">
        <f t="shared" si="25"/>
        <v>7819</v>
      </c>
      <c r="AA295" s="78">
        <f t="shared" si="25"/>
        <v>3513</v>
      </c>
      <c r="AB295" s="78">
        <f t="shared" si="25"/>
        <v>5373</v>
      </c>
      <c r="AC295" s="78">
        <f t="shared" si="25"/>
        <v>5368</v>
      </c>
      <c r="AD295" s="78">
        <f t="shared" si="25"/>
        <v>11245</v>
      </c>
      <c r="AE295" s="78">
        <f t="shared" si="25"/>
        <v>8218</v>
      </c>
      <c r="AF295" s="78">
        <f t="shared" si="25"/>
        <v>4466</v>
      </c>
      <c r="AG295" s="78">
        <f t="shared" si="25"/>
        <v>1393</v>
      </c>
      <c r="AH295" s="78">
        <f t="shared" si="25"/>
        <v>214</v>
      </c>
      <c r="AI295" s="78">
        <f t="shared" si="25"/>
        <v>576</v>
      </c>
      <c r="AJ295" s="78">
        <f t="shared" si="25"/>
        <v>696</v>
      </c>
      <c r="AK295" s="78">
        <f t="shared" si="25"/>
        <v>718</v>
      </c>
      <c r="AL295" s="78">
        <f t="shared" si="25"/>
        <v>18639</v>
      </c>
      <c r="AM295" s="78">
        <f t="shared" si="25"/>
        <v>6255</v>
      </c>
      <c r="AN295" s="78">
        <f t="shared" si="25"/>
        <v>8447</v>
      </c>
      <c r="AO295" s="78">
        <f t="shared" si="25"/>
        <v>4203</v>
      </c>
      <c r="AP295" s="78">
        <f t="shared" si="25"/>
        <v>7517</v>
      </c>
      <c r="AQ295" s="78">
        <f t="shared" si="25"/>
        <v>18650</v>
      </c>
      <c r="AR295" s="78">
        <f t="shared" si="25"/>
        <v>3300</v>
      </c>
      <c r="AS295" s="78">
        <f t="shared" si="25"/>
        <v>13508</v>
      </c>
      <c r="AT295" s="78">
        <f t="shared" si="25"/>
        <v>1584.146</v>
      </c>
      <c r="AU295" s="78">
        <f t="shared" si="25"/>
        <v>14253</v>
      </c>
      <c r="AV295" s="78">
        <f t="shared" si="25"/>
        <v>10705</v>
      </c>
      <c r="AW295" s="78">
        <f t="shared" si="25"/>
        <v>317</v>
      </c>
      <c r="AX295" s="78">
        <f t="shared" si="25"/>
        <v>4191.8950000000004</v>
      </c>
      <c r="AY295" s="78">
        <f t="shared" si="25"/>
        <v>71</v>
      </c>
      <c r="AZ295" s="78">
        <f t="shared" si="25"/>
        <v>8230</v>
      </c>
      <c r="BA295" s="78">
        <f t="shared" si="25"/>
        <v>6882</v>
      </c>
      <c r="BB295" s="78">
        <f t="shared" si="25"/>
        <v>4878.3999999999996</v>
      </c>
      <c r="BC295" s="78">
        <f t="shared" si="25"/>
        <v>7556</v>
      </c>
      <c r="BD295" s="78">
        <f t="shared" si="25"/>
        <v>4200</v>
      </c>
      <c r="BE295" s="78">
        <f t="shared" si="25"/>
        <v>1969</v>
      </c>
      <c r="BF295" s="78">
        <f>+BF219</f>
        <v>0</v>
      </c>
    </row>
    <row r="296" spans="1:58" x14ac:dyDescent="0.2">
      <c r="A296" s="46"/>
    </row>
    <row r="297" spans="1:58" x14ac:dyDescent="0.2">
      <c r="A297" s="46" t="s">
        <v>1542</v>
      </c>
      <c r="C297" s="78">
        <f>+C221</f>
        <v>12736</v>
      </c>
      <c r="D297" s="78">
        <f t="shared" ref="D297:BE297" si="26">+D221</f>
        <v>7325</v>
      </c>
      <c r="E297" s="78">
        <f t="shared" si="26"/>
        <v>10795</v>
      </c>
      <c r="F297" s="78">
        <f t="shared" si="26"/>
        <v>2336</v>
      </c>
      <c r="G297" s="78">
        <f t="shared" si="26"/>
        <v>5034</v>
      </c>
      <c r="H297" s="78">
        <f t="shared" si="26"/>
        <v>40155</v>
      </c>
      <c r="I297" s="78">
        <f t="shared" si="26"/>
        <v>35933</v>
      </c>
      <c r="J297" s="78">
        <f t="shared" si="26"/>
        <v>784</v>
      </c>
      <c r="K297" s="78">
        <f t="shared" si="26"/>
        <v>5000</v>
      </c>
      <c r="L297" s="78">
        <f t="shared" si="26"/>
        <v>1765</v>
      </c>
      <c r="M297" s="78">
        <f t="shared" si="26"/>
        <v>26044</v>
      </c>
      <c r="N297" s="78">
        <f t="shared" si="26"/>
        <v>25361</v>
      </c>
      <c r="O297" s="78">
        <f t="shared" si="26"/>
        <v>22638</v>
      </c>
      <c r="P297" s="78">
        <f t="shared" si="26"/>
        <v>4649</v>
      </c>
      <c r="Q297" s="78">
        <f t="shared" si="26"/>
        <v>6999</v>
      </c>
      <c r="R297" s="78">
        <f t="shared" si="26"/>
        <v>6693</v>
      </c>
      <c r="S297" s="78">
        <f t="shared" si="26"/>
        <v>2645</v>
      </c>
      <c r="T297" s="78">
        <f t="shared" si="26"/>
        <v>1792</v>
      </c>
      <c r="U297" s="78">
        <f t="shared" si="26"/>
        <v>5530</v>
      </c>
      <c r="V297" s="78">
        <f t="shared" si="26"/>
        <v>10124</v>
      </c>
      <c r="W297" s="78">
        <f t="shared" si="26"/>
        <v>7874</v>
      </c>
      <c r="X297" s="78">
        <f t="shared" si="26"/>
        <v>16734</v>
      </c>
      <c r="Y297" s="78">
        <f t="shared" si="26"/>
        <v>3220</v>
      </c>
      <c r="Z297" s="78">
        <f t="shared" si="26"/>
        <v>10800</v>
      </c>
      <c r="AA297" s="78">
        <f t="shared" si="26"/>
        <v>1643</v>
      </c>
      <c r="AB297" s="78">
        <f t="shared" si="26"/>
        <v>3751</v>
      </c>
      <c r="AC297" s="78">
        <f t="shared" si="26"/>
        <v>8502</v>
      </c>
      <c r="AD297" s="78">
        <f t="shared" si="26"/>
        <v>7283</v>
      </c>
      <c r="AE297" s="78">
        <f t="shared" si="26"/>
        <v>26021</v>
      </c>
      <c r="AF297" s="78">
        <f t="shared" si="26"/>
        <v>13426</v>
      </c>
      <c r="AG297" s="78">
        <f t="shared" si="26"/>
        <v>3733</v>
      </c>
      <c r="AH297" s="78">
        <f t="shared" si="26"/>
        <v>0</v>
      </c>
      <c r="AI297" s="78">
        <f t="shared" si="26"/>
        <v>3810</v>
      </c>
      <c r="AJ297" s="78">
        <f t="shared" si="26"/>
        <v>691</v>
      </c>
      <c r="AK297" s="78">
        <f t="shared" si="26"/>
        <v>448</v>
      </c>
      <c r="AL297" s="78">
        <f t="shared" si="26"/>
        <v>13847</v>
      </c>
      <c r="AM297" s="78">
        <f t="shared" si="26"/>
        <v>2187</v>
      </c>
      <c r="AN297" s="78">
        <f t="shared" si="26"/>
        <v>1956</v>
      </c>
      <c r="AO297" s="78">
        <f t="shared" si="26"/>
        <v>7806</v>
      </c>
      <c r="AP297" s="78">
        <f t="shared" si="26"/>
        <v>1380</v>
      </c>
      <c r="AQ297" s="78">
        <f t="shared" si="26"/>
        <v>8423</v>
      </c>
      <c r="AR297" s="78">
        <f t="shared" si="26"/>
        <v>2763</v>
      </c>
      <c r="AS297" s="78">
        <f t="shared" si="26"/>
        <v>17463</v>
      </c>
      <c r="AT297" s="78">
        <f t="shared" si="26"/>
        <v>6731</v>
      </c>
      <c r="AU297" s="78">
        <f t="shared" si="26"/>
        <v>8042</v>
      </c>
      <c r="AV297" s="78">
        <f t="shared" si="26"/>
        <v>7464</v>
      </c>
      <c r="AW297" s="78">
        <f t="shared" si="26"/>
        <v>8545</v>
      </c>
      <c r="AX297" s="78">
        <f t="shared" si="26"/>
        <v>3355</v>
      </c>
      <c r="AY297" s="78">
        <f t="shared" si="26"/>
        <v>373</v>
      </c>
      <c r="AZ297" s="78">
        <f t="shared" si="26"/>
        <v>7214</v>
      </c>
      <c r="BA297" s="78">
        <f t="shared" si="26"/>
        <v>848</v>
      </c>
      <c r="BB297" s="78">
        <f t="shared" si="26"/>
        <v>4889</v>
      </c>
      <c r="BC297" s="78">
        <f t="shared" si="26"/>
        <v>13846</v>
      </c>
      <c r="BD297" s="78">
        <f t="shared" si="26"/>
        <v>4347</v>
      </c>
      <c r="BE297" s="78">
        <f t="shared" si="26"/>
        <v>638</v>
      </c>
      <c r="BF297" s="78">
        <f>+BF221</f>
        <v>0</v>
      </c>
    </row>
    <row r="298" spans="1:58" x14ac:dyDescent="0.2">
      <c r="A298" s="46"/>
      <c r="C298" s="47"/>
      <c r="D298" s="47"/>
      <c r="E298" s="47"/>
      <c r="F298" s="47"/>
      <c r="G298" s="47"/>
      <c r="H298" s="47"/>
      <c r="I298" s="47"/>
      <c r="J298" s="47"/>
      <c r="K298" s="47"/>
      <c r="L298" s="47"/>
      <c r="M298" s="47"/>
      <c r="N298" s="47"/>
      <c r="O298" s="47"/>
      <c r="P298" s="47"/>
      <c r="Q298" s="5"/>
      <c r="R298" s="47"/>
      <c r="S298" s="5"/>
      <c r="T298" s="47"/>
      <c r="U298" s="5"/>
      <c r="V298" s="47"/>
      <c r="W298" s="47"/>
      <c r="X298" s="47"/>
      <c r="Y298" s="5"/>
      <c r="Z298" s="47"/>
      <c r="AA298" s="47"/>
      <c r="AB298" s="47"/>
      <c r="AC298" s="5"/>
      <c r="AD298" s="5"/>
      <c r="AE298" s="5"/>
      <c r="AF298" s="5"/>
      <c r="AG298" s="47"/>
      <c r="AH298" s="5"/>
      <c r="AI298" s="47"/>
      <c r="AJ298" s="5"/>
      <c r="AK298" s="47"/>
      <c r="AL298" s="47"/>
      <c r="AM298" s="47"/>
      <c r="AN298" s="5"/>
      <c r="AO298" s="5"/>
      <c r="AP298" s="5"/>
      <c r="AQ298" s="5"/>
      <c r="AR298" s="5"/>
      <c r="AS298" s="47"/>
      <c r="AT298" s="47"/>
      <c r="AU298" s="5"/>
      <c r="AV298" s="5"/>
      <c r="AW298" s="47"/>
      <c r="AX298" s="47"/>
      <c r="AY298" s="47"/>
      <c r="AZ298" s="5"/>
      <c r="BA298" s="47"/>
      <c r="BB298" s="5"/>
      <c r="BC298" s="5"/>
      <c r="BD298" s="47"/>
      <c r="BE298" s="47"/>
      <c r="BF298" s="47"/>
    </row>
    <row r="299" spans="1:58" ht="12" customHeight="1" x14ac:dyDescent="0.2">
      <c r="A299" s="46" t="s">
        <v>605</v>
      </c>
      <c r="C299" s="50">
        <f>-8644*C537</f>
        <v>-12670.339755456429</v>
      </c>
      <c r="D299" s="1">
        <v>-2108</v>
      </c>
      <c r="E299" s="1">
        <v>-2504</v>
      </c>
      <c r="F299" s="1">
        <v>-1002</v>
      </c>
      <c r="G299" s="50">
        <f>-1835*G537</f>
        <v>-2475.0813338448138</v>
      </c>
      <c r="H299" s="1">
        <v>-31657</v>
      </c>
      <c r="I299" s="50">
        <f>-7911*I537</f>
        <v>-9068.3469891133846</v>
      </c>
      <c r="J299" s="1">
        <v>-2387</v>
      </c>
      <c r="K299" s="50">
        <f>-1289*K537</f>
        <v>-1289</v>
      </c>
      <c r="L299" s="1">
        <f>-842-299-2316</f>
        <v>-3457</v>
      </c>
      <c r="M299" s="1">
        <v>-6633</v>
      </c>
      <c r="N299" s="1">
        <v>-8906</v>
      </c>
      <c r="O299" s="1">
        <v>-5815</v>
      </c>
      <c r="P299" s="1">
        <v>-2143</v>
      </c>
      <c r="Q299" s="1">
        <v>-1884</v>
      </c>
      <c r="R299" s="1">
        <f>+R301</f>
        <v>-2591</v>
      </c>
      <c r="S299" s="1">
        <v>-1173</v>
      </c>
      <c r="T299" s="1">
        <v>-2603</v>
      </c>
      <c r="U299" s="1">
        <v>-3246</v>
      </c>
      <c r="V299" s="1">
        <f>+V301</f>
        <v>-2194.3139999999999</v>
      </c>
      <c r="W299" s="1">
        <v>-1337</v>
      </c>
      <c r="Y299" s="1">
        <v>-1170</v>
      </c>
      <c r="Z299" s="1">
        <f>-3265039/1000</f>
        <v>-3265.0390000000002</v>
      </c>
      <c r="AA299" s="1">
        <v>-1381</v>
      </c>
      <c r="AB299" s="1">
        <v>-2791</v>
      </c>
      <c r="AC299" s="1">
        <v>-1263</v>
      </c>
      <c r="AD299" s="1">
        <v>-1832</v>
      </c>
      <c r="AE299" s="1">
        <v>0</v>
      </c>
      <c r="AF299" s="1">
        <v>-453</v>
      </c>
      <c r="AG299" s="1">
        <v>-505</v>
      </c>
      <c r="AH299" s="1">
        <v>0</v>
      </c>
      <c r="AI299" s="1">
        <v>-873</v>
      </c>
      <c r="AJ299" s="1">
        <v>-410</v>
      </c>
      <c r="AK299" s="1">
        <v>0</v>
      </c>
      <c r="AL299" s="1">
        <v>0</v>
      </c>
      <c r="AN299" s="1">
        <v>0</v>
      </c>
      <c r="AO299" s="1">
        <v>-1</v>
      </c>
      <c r="AP299" s="1">
        <v>0</v>
      </c>
      <c r="AQ299" s="1">
        <f>-2090459/1000</f>
        <v>-2090.4589999999998</v>
      </c>
      <c r="AS299" s="1">
        <v>-1081</v>
      </c>
      <c r="AT299" s="1">
        <v>0</v>
      </c>
      <c r="AU299" s="1">
        <v>0</v>
      </c>
      <c r="AW299" s="1">
        <v>0</v>
      </c>
      <c r="AX299" s="1">
        <v>0</v>
      </c>
      <c r="AY299" s="1">
        <v>0</v>
      </c>
      <c r="AZ299" s="1">
        <v>0</v>
      </c>
      <c r="BA299" s="1">
        <v>0</v>
      </c>
      <c r="BB299" s="1">
        <v>0</v>
      </c>
      <c r="BC299" s="1">
        <v>0</v>
      </c>
      <c r="BD299" s="1">
        <v>0</v>
      </c>
      <c r="BE299" s="1">
        <v>0</v>
      </c>
      <c r="BF299" s="1">
        <v>0</v>
      </c>
    </row>
    <row r="301" spans="1:58" x14ac:dyDescent="0.2">
      <c r="A301" s="46" t="s">
        <v>606</v>
      </c>
      <c r="C301" s="50">
        <f>-10361*C537</f>
        <v>-15187.111314933371</v>
      </c>
      <c r="D301" s="1">
        <v>-1876</v>
      </c>
      <c r="E301" s="1">
        <v>-4762</v>
      </c>
      <c r="F301" s="1">
        <v>-1146</v>
      </c>
      <c r="G301" s="50">
        <f>-2257*G537</f>
        <v>-3044.2825997208415</v>
      </c>
      <c r="H301" s="1">
        <v>-32355</v>
      </c>
      <c r="I301" s="50">
        <f>-9911*I537</f>
        <v>-11360.938820516085</v>
      </c>
      <c r="J301" s="1">
        <v>-2778</v>
      </c>
      <c r="K301" s="50">
        <f>-3955*K537</f>
        <v>-3955</v>
      </c>
      <c r="L301" s="1">
        <f>-395-2542</f>
        <v>-2937</v>
      </c>
      <c r="M301" s="1">
        <v>-6614</v>
      </c>
      <c r="N301" s="1">
        <v>-7438</v>
      </c>
      <c r="O301" s="1">
        <v>-3924</v>
      </c>
      <c r="P301" s="1">
        <v>-2917</v>
      </c>
      <c r="Q301" s="1">
        <v>-1919</v>
      </c>
      <c r="R301" s="1">
        <v>-2591</v>
      </c>
      <c r="S301" s="1">
        <v>-1455</v>
      </c>
      <c r="T301" s="1">
        <v>-1800</v>
      </c>
      <c r="U301" s="1">
        <v>-2972</v>
      </c>
      <c r="V301" s="1">
        <f>-2194314/1000</f>
        <v>-2194.3139999999999</v>
      </c>
      <c r="W301" s="1">
        <v>-1539</v>
      </c>
      <c r="X301" s="1">
        <v>-3205</v>
      </c>
      <c r="Y301" s="1">
        <v>-2372</v>
      </c>
      <c r="Z301" s="1">
        <f>-3464490/1000</f>
        <v>-3464.49</v>
      </c>
      <c r="AA301" s="1">
        <v>-4137</v>
      </c>
      <c r="AB301" s="1">
        <v>-1962</v>
      </c>
      <c r="AC301" s="1">
        <v>-3560</v>
      </c>
      <c r="AD301" s="1">
        <v>-1988</v>
      </c>
      <c r="AE301" s="1">
        <v>-13615</v>
      </c>
      <c r="AF301" s="1">
        <v>-1595</v>
      </c>
      <c r="AG301" s="1">
        <v>-2021</v>
      </c>
      <c r="AH301" s="1">
        <v>-1351</v>
      </c>
      <c r="AI301" s="1">
        <v>-1823</v>
      </c>
      <c r="AJ301" s="1">
        <v>-940</v>
      </c>
      <c r="AK301" s="1">
        <v>0</v>
      </c>
      <c r="AL301" s="1">
        <v>-13615</v>
      </c>
      <c r="AM301" s="1">
        <v>-3140</v>
      </c>
      <c r="AN301" s="1">
        <v>0</v>
      </c>
      <c r="AO301" s="1">
        <v>-1</v>
      </c>
      <c r="AP301" s="1">
        <v>-2731</v>
      </c>
      <c r="AQ301" s="1">
        <f>-3207032/1000</f>
        <v>-3207.0320000000002</v>
      </c>
      <c r="AR301" s="1">
        <v>-1060</v>
      </c>
      <c r="AS301" s="1">
        <v>-2774</v>
      </c>
      <c r="AT301" s="1">
        <v>-1373</v>
      </c>
      <c r="AU301" s="1">
        <v>-2190</v>
      </c>
      <c r="AV301" s="1">
        <v>-2762</v>
      </c>
      <c r="AW301" s="1">
        <v>-2392</v>
      </c>
      <c r="AX301" s="1">
        <v>0</v>
      </c>
      <c r="AY301" s="1">
        <f>-534</f>
        <v>-534</v>
      </c>
      <c r="AZ301" s="1">
        <v>-2295</v>
      </c>
      <c r="BA301" s="1">
        <v>-1977</v>
      </c>
      <c r="BB301" s="1">
        <v>-3255</v>
      </c>
      <c r="BC301" s="1">
        <v>-5547</v>
      </c>
      <c r="BD301" s="1">
        <v>0</v>
      </c>
      <c r="BE301" s="1">
        <v>0</v>
      </c>
      <c r="BF301" s="1">
        <v>0</v>
      </c>
    </row>
    <row r="303" spans="1:58" x14ac:dyDescent="0.2">
      <c r="A303" s="46" t="s">
        <v>607</v>
      </c>
      <c r="C303" s="50">
        <f>(-943-61-4795)*C537</f>
        <v>-8500.1504213202024</v>
      </c>
      <c r="D303" s="1">
        <v>-1821</v>
      </c>
      <c r="E303" s="1">
        <f>-29-400-5958</f>
        <v>-6387</v>
      </c>
      <c r="F303" s="1">
        <v>-1157</v>
      </c>
      <c r="G303" s="50">
        <f>-1588*G537</f>
        <v>-2141.9232469458116</v>
      </c>
      <c r="H303" s="1">
        <v>-33193</v>
      </c>
      <c r="I303" s="50">
        <f>-8849*I537</f>
        <v>-10143.572558041251</v>
      </c>
      <c r="J303" s="1">
        <f>-46-176-1621</f>
        <v>-1843</v>
      </c>
      <c r="K303" s="50">
        <f>-3303*K537</f>
        <v>-3303</v>
      </c>
      <c r="L303" s="1">
        <f>-2497-404</f>
        <v>-2901</v>
      </c>
      <c r="M303" s="1">
        <v>-6614</v>
      </c>
      <c r="N303" s="1">
        <v>-8589</v>
      </c>
      <c r="O303" s="1">
        <v>-7954</v>
      </c>
      <c r="P303" s="1">
        <v>-4793</v>
      </c>
      <c r="Q303" s="1">
        <v>-1995</v>
      </c>
      <c r="R303" s="47">
        <f>-1334699/1000-53716/1000</f>
        <v>-1388.415</v>
      </c>
      <c r="S303" s="1">
        <v>-960</v>
      </c>
      <c r="T303" s="1">
        <v>-1510</v>
      </c>
      <c r="U303" s="1">
        <v>-2715</v>
      </c>
      <c r="V303" s="1">
        <f>-1907-145</f>
        <v>-2052</v>
      </c>
      <c r="W303" s="1">
        <v>-1603</v>
      </c>
      <c r="X303" s="1">
        <v>-3260</v>
      </c>
      <c r="Y303" s="1">
        <v>-2441</v>
      </c>
      <c r="Z303" s="1">
        <f>-3121037/1000</f>
        <v>-3121.0369999999998</v>
      </c>
      <c r="AA303" s="1">
        <v>-3710</v>
      </c>
      <c r="AB303" s="1">
        <v>-2076</v>
      </c>
      <c r="AC303" s="1">
        <v>-3403</v>
      </c>
      <c r="AD303" s="1">
        <v>-1256</v>
      </c>
      <c r="AE303" s="1">
        <v>-13000</v>
      </c>
      <c r="AF303" s="1">
        <v>-1579</v>
      </c>
      <c r="AG303" s="1">
        <f>-105-1531</f>
        <v>-1636</v>
      </c>
      <c r="AH303" s="1">
        <v>-1573</v>
      </c>
      <c r="AI303" s="1">
        <v>-1868</v>
      </c>
      <c r="AJ303" s="1">
        <v>-1</v>
      </c>
      <c r="AK303" s="1">
        <v>0</v>
      </c>
      <c r="AL303" s="47">
        <f>-142-22-10236</f>
        <v>-10400</v>
      </c>
      <c r="AM303" s="1">
        <v>-3572</v>
      </c>
      <c r="AN303" s="1">
        <v>-2232</v>
      </c>
      <c r="AO303" s="1">
        <v>-1</v>
      </c>
      <c r="AP303" s="1">
        <v>-1964</v>
      </c>
      <c r="AQ303" s="1">
        <v>-2725</v>
      </c>
      <c r="AR303" s="1">
        <v>-1700</v>
      </c>
      <c r="AS303" s="1">
        <v>-7353</v>
      </c>
      <c r="AT303" s="1">
        <v>-1389</v>
      </c>
      <c r="AU303" s="1">
        <v>-2141</v>
      </c>
      <c r="AV303" s="1">
        <v>-5476</v>
      </c>
      <c r="AW303" s="1">
        <v>-1828</v>
      </c>
      <c r="AX303" s="1">
        <v>0</v>
      </c>
      <c r="AY303" s="1">
        <v>-739</v>
      </c>
      <c r="AZ303" s="1">
        <v>-2762</v>
      </c>
      <c r="BA303" s="1">
        <f>-47-257-1956</f>
        <v>-2260</v>
      </c>
      <c r="BB303" s="1">
        <v>-3280</v>
      </c>
      <c r="BC303" s="1">
        <v>-5113</v>
      </c>
      <c r="BD303" s="1">
        <v>-592</v>
      </c>
      <c r="BE303" s="1">
        <v>0</v>
      </c>
      <c r="BF303" s="1">
        <v>0</v>
      </c>
    </row>
    <row r="305" spans="1:63" x14ac:dyDescent="0.2">
      <c r="A305" s="1228" t="s">
        <v>1522</v>
      </c>
      <c r="C305" s="1246">
        <f>-942-69-5126</f>
        <v>-6137</v>
      </c>
      <c r="D305" s="1246">
        <f>-18-225-1131</f>
        <v>-1374</v>
      </c>
      <c r="E305" s="1246">
        <f>-33-404-6269</f>
        <v>-6706</v>
      </c>
      <c r="F305" s="1246">
        <f>-203-75-446</f>
        <v>-724</v>
      </c>
      <c r="G305" s="1246">
        <f>-2-34-1828</f>
        <v>-1864</v>
      </c>
      <c r="H305" s="1240">
        <v>-38532</v>
      </c>
      <c r="I305" s="1246">
        <f>-279-313-7468</f>
        <v>-8060</v>
      </c>
      <c r="J305" s="1246">
        <f>-66-176-5-1692</f>
        <v>-1939</v>
      </c>
      <c r="K305" s="1298">
        <f>-165-400-1997</f>
        <v>-2562</v>
      </c>
      <c r="L305" s="1246">
        <f>-332-404-3153</f>
        <v>-3889</v>
      </c>
      <c r="M305" s="1246">
        <f>-903-3117</f>
        <v>-4020</v>
      </c>
      <c r="N305" s="1240">
        <f>-662-436-5375</f>
        <v>-6473</v>
      </c>
      <c r="O305" s="1240">
        <f>-99-3906-5469</f>
        <v>-9474</v>
      </c>
      <c r="P305" s="1246">
        <v>-4793</v>
      </c>
      <c r="Q305" s="83">
        <f>-98-155-2027</f>
        <v>-2280</v>
      </c>
      <c r="R305" s="1246">
        <f>-241-1440</f>
        <v>-1681</v>
      </c>
      <c r="S305" s="83">
        <f>-21-18-910</f>
        <v>-949</v>
      </c>
      <c r="T305" s="1246">
        <f>-367-83-906</f>
        <v>-1356</v>
      </c>
      <c r="U305" s="83">
        <f>-178-197-2340</f>
        <v>-2715</v>
      </c>
      <c r="V305" s="1246">
        <f>-169-2100</f>
        <v>-2269</v>
      </c>
      <c r="W305" s="1246">
        <v>-235</v>
      </c>
      <c r="X305" s="1246">
        <f>-56-129-3295</f>
        <v>-3480</v>
      </c>
      <c r="Y305" s="83">
        <v>-2526</v>
      </c>
      <c r="Z305" s="1246">
        <f>-50-120-1495</f>
        <v>-1665</v>
      </c>
      <c r="AA305" s="1246">
        <f>-408-594-2590</f>
        <v>-3592</v>
      </c>
      <c r="AB305" s="1246">
        <f>-200-2218</f>
        <v>-2418</v>
      </c>
      <c r="AC305" s="83">
        <f>-331-572-2560</f>
        <v>-3463</v>
      </c>
      <c r="AD305" s="83">
        <f>-36-313-867</f>
        <v>-1216</v>
      </c>
      <c r="AE305" s="83">
        <f>-1135-1041-9929</f>
        <v>-12105</v>
      </c>
      <c r="AF305" s="5">
        <f>-76-1599</f>
        <v>-1675</v>
      </c>
      <c r="AG305" s="1246">
        <f>-186-1531</f>
        <v>-1717</v>
      </c>
      <c r="AH305" s="1298">
        <v>-1544</v>
      </c>
      <c r="AI305" s="1246">
        <f>-19-250-1434</f>
        <v>-1703</v>
      </c>
      <c r="AJ305" s="83">
        <f>-183-657</f>
        <v>-840</v>
      </c>
      <c r="AK305" s="1246">
        <v>0</v>
      </c>
      <c r="AL305" s="1246">
        <f>-141-23-9869</f>
        <v>-10033</v>
      </c>
      <c r="AM305" s="1246">
        <f>-239-400-3116</f>
        <v>-3755</v>
      </c>
      <c r="AN305" s="1298">
        <f>-20-25-25-2226</f>
        <v>-2296</v>
      </c>
      <c r="AO305" s="83">
        <f>-165-157-1981</f>
        <v>-2303</v>
      </c>
      <c r="AP305" s="83">
        <v>-2002</v>
      </c>
      <c r="AQ305" s="83">
        <v>-1280</v>
      </c>
      <c r="AR305" s="83">
        <f>-125-727</f>
        <v>-852</v>
      </c>
      <c r="AS305" s="1246">
        <v>-2322</v>
      </c>
      <c r="AT305" s="1246">
        <f>-275-149-1389</f>
        <v>-1813</v>
      </c>
      <c r="AU305" s="83">
        <f>-240-103-1393</f>
        <v>-1736</v>
      </c>
      <c r="AV305" s="83">
        <f>-228-4290</f>
        <v>-4518</v>
      </c>
      <c r="AW305" s="1246">
        <f>-7-1883</f>
        <v>-1890</v>
      </c>
      <c r="AX305" s="1246">
        <v>-1033</v>
      </c>
      <c r="AY305" s="1246">
        <v>-603</v>
      </c>
      <c r="AZ305" s="83">
        <f>-222-46-1672</f>
        <v>-1940</v>
      </c>
      <c r="BA305" s="1246">
        <f>-47-182-2024</f>
        <v>-2253</v>
      </c>
      <c r="BB305" s="1298">
        <f>-241-356-2616</f>
        <v>-3213</v>
      </c>
      <c r="BC305" s="5">
        <v>-6548</v>
      </c>
      <c r="BD305" s="1240">
        <f>-12-563</f>
        <v>-575</v>
      </c>
      <c r="BE305" s="1246"/>
      <c r="BF305" s="1246"/>
    </row>
    <row r="306" spans="1:63" x14ac:dyDescent="0.2">
      <c r="C306" s="1240"/>
      <c r="D306" s="1240"/>
      <c r="E306" s="1240"/>
      <c r="F306" s="1240"/>
      <c r="G306" s="1240"/>
      <c r="H306" s="1240"/>
      <c r="I306" s="1240"/>
      <c r="J306" s="1240"/>
      <c r="K306" s="1243"/>
      <c r="L306" s="1240"/>
      <c r="M306" s="1240"/>
      <c r="N306" s="1240"/>
      <c r="O306" s="1240"/>
      <c r="P306" s="1240"/>
      <c r="Q306" s="5"/>
      <c r="R306" s="1240"/>
      <c r="S306" s="5"/>
      <c r="T306" s="1240"/>
      <c r="U306" s="5"/>
      <c r="V306" s="1240"/>
      <c r="W306" s="1240"/>
      <c r="X306" s="1240"/>
      <c r="Y306" s="5"/>
      <c r="Z306" s="1240"/>
      <c r="AA306" s="1240"/>
      <c r="AB306" s="1240"/>
      <c r="AC306" s="5"/>
      <c r="AD306" s="5"/>
      <c r="AE306" s="5"/>
      <c r="AF306" s="5"/>
      <c r="AG306" s="1240"/>
      <c r="AH306" s="5"/>
      <c r="AI306" s="1240"/>
      <c r="AJ306" s="5"/>
      <c r="AK306" s="1240"/>
      <c r="AL306" s="1240"/>
      <c r="AM306" s="1240"/>
      <c r="AN306" s="1243"/>
      <c r="AO306" s="5"/>
      <c r="AP306" s="5"/>
      <c r="AQ306" s="5"/>
      <c r="AR306" s="5"/>
      <c r="AS306" s="1240"/>
      <c r="AT306" s="1240"/>
      <c r="AU306" s="5"/>
      <c r="AV306" s="5"/>
      <c r="AW306" s="1240"/>
      <c r="AX306" s="1240"/>
      <c r="AY306" s="1240"/>
      <c r="AZ306" s="5"/>
      <c r="BA306" s="1240"/>
      <c r="BB306" s="1243"/>
      <c r="BC306" s="5"/>
      <c r="BD306" s="1240"/>
      <c r="BE306" s="1240"/>
      <c r="BF306" s="1240"/>
    </row>
    <row r="307" spans="1:63" x14ac:dyDescent="0.2">
      <c r="A307" s="1228" t="s">
        <v>1523</v>
      </c>
      <c r="C307" s="1246">
        <f>-942-68-5377</f>
        <v>-6387</v>
      </c>
      <c r="D307" s="1246">
        <f>-49-51-1606</f>
        <v>-1706</v>
      </c>
      <c r="E307" s="1246">
        <f>-33-410-5870</f>
        <v>-6313</v>
      </c>
      <c r="F307" s="1246">
        <f>-203-75-547</f>
        <v>-825</v>
      </c>
      <c r="G307" s="1246">
        <f>-3-34-1824</f>
        <v>-1861</v>
      </c>
      <c r="H307" s="1240">
        <v>-42220</v>
      </c>
      <c r="I307" s="1246">
        <f>-279-313-9021</f>
        <v>-9613</v>
      </c>
      <c r="J307" s="1246">
        <f>-47-176-5-1750</f>
        <v>-1978</v>
      </c>
      <c r="K307" s="1298">
        <f>-232-673-3034</f>
        <v>-3939</v>
      </c>
      <c r="L307" s="1246">
        <f>-370-2826</f>
        <v>-3196</v>
      </c>
      <c r="M307" s="1246">
        <f>-813-3150</f>
        <v>-3963</v>
      </c>
      <c r="N307" s="1240">
        <f>-662-436-5926</f>
        <v>-7024</v>
      </c>
      <c r="O307" s="1240">
        <f>-104-50-8001</f>
        <v>-8155</v>
      </c>
      <c r="P307" s="1246">
        <f>-122-5463</f>
        <v>-5585</v>
      </c>
      <c r="Q307" s="83">
        <f>-98-155-2303</f>
        <v>-2556</v>
      </c>
      <c r="R307" s="1246">
        <f>-(56949+2345169)/1000</f>
        <v>-2402.1179999999999</v>
      </c>
      <c r="S307" s="83">
        <f>-21-18-952</f>
        <v>-991</v>
      </c>
      <c r="T307" s="1246">
        <f>-315-77-1122</f>
        <v>-1514</v>
      </c>
      <c r="U307" s="83">
        <f>-178-197-2343</f>
        <v>-2718</v>
      </c>
      <c r="V307" s="1246">
        <f>-147-183-2145</f>
        <v>-2475</v>
      </c>
      <c r="W307" s="1246">
        <f>(-119526-208161-2056042)/1000</f>
        <v>-2383.7289999999998</v>
      </c>
      <c r="X307" s="1246">
        <f>-51-129-3949</f>
        <v>-4129</v>
      </c>
      <c r="Y307" s="83">
        <f>-190-1712</f>
        <v>-1902</v>
      </c>
      <c r="Z307" s="1">
        <f>-18-120-2053</f>
        <v>-2191</v>
      </c>
      <c r="AA307" s="1246">
        <f>-408-594-2016</f>
        <v>-3018</v>
      </c>
      <c r="AB307" s="1298">
        <f>-534-1522</f>
        <v>-2056</v>
      </c>
      <c r="AC307" s="83">
        <f>-331-572-3023</f>
        <v>-3926</v>
      </c>
      <c r="AD307" s="83">
        <f>-36-313-863</f>
        <v>-1212</v>
      </c>
      <c r="AE307" s="83">
        <f>-1135-1041-9388</f>
        <v>-11564</v>
      </c>
      <c r="AF307" s="5">
        <f>-298-76-1671</f>
        <v>-2045</v>
      </c>
      <c r="AG307" s="1246">
        <f>-185-1530</f>
        <v>-1715</v>
      </c>
      <c r="AH307" s="1298">
        <v>-1551</v>
      </c>
      <c r="AI307" s="1246">
        <f>-9-230-1335</f>
        <v>-1574</v>
      </c>
      <c r="AJ307" s="83">
        <f>-11-828</f>
        <v>-839</v>
      </c>
      <c r="AK307" s="1246">
        <v>-1157</v>
      </c>
      <c r="AL307" s="1240">
        <f>-144-25-9720</f>
        <v>-9889</v>
      </c>
      <c r="AM307" s="1246">
        <f>-259-400-3131</f>
        <v>-3790</v>
      </c>
      <c r="AN307" s="1246">
        <f>-20-25-28-2195</f>
        <v>-2268</v>
      </c>
      <c r="AO307" s="83">
        <f>-330-357-3796</f>
        <v>-4483</v>
      </c>
      <c r="AP307" s="83">
        <v>-1329</v>
      </c>
      <c r="AQ307" s="83">
        <v>-1329</v>
      </c>
      <c r="AR307" s="83">
        <f>-259-182-871</f>
        <v>-1312</v>
      </c>
      <c r="AS307" s="1246">
        <v>-1779</v>
      </c>
      <c r="AT307" s="1246">
        <f>-(275336+155795+1378351)/1000</f>
        <v>-1809.482</v>
      </c>
      <c r="AU307" s="83">
        <f>-240-103-1372</f>
        <v>-1715</v>
      </c>
      <c r="AV307" s="83">
        <f>-14-229-4541</f>
        <v>-4784</v>
      </c>
      <c r="AW307" s="1246">
        <f>-8-1927</f>
        <v>-1935</v>
      </c>
      <c r="AX307" s="1246">
        <f>-1079676/1000</f>
        <v>-1079.6759999999999</v>
      </c>
      <c r="AY307" s="1246">
        <v>-580</v>
      </c>
      <c r="AZ307" s="83">
        <f>-226-46-1752</f>
        <v>-2024</v>
      </c>
      <c r="BA307" s="1298">
        <f>-22-517-2072</f>
        <v>-2611</v>
      </c>
      <c r="BB307" s="1298">
        <f>-111-355-3102</f>
        <v>-3568</v>
      </c>
      <c r="BC307" s="83">
        <f>-46-356-5526</f>
        <v>-5928</v>
      </c>
      <c r="BD307" s="1246">
        <f>-12-403</f>
        <v>-415</v>
      </c>
      <c r="BE307" s="1246">
        <f>-150-192-217</f>
        <v>-559</v>
      </c>
      <c r="BF307" s="1246">
        <v>0</v>
      </c>
      <c r="BH307" s="648">
        <f>SUM(C307:BG307)</f>
        <v>-209871.005</v>
      </c>
    </row>
    <row r="308" spans="1:63" x14ac:dyDescent="0.2">
      <c r="K308" s="719"/>
    </row>
    <row r="309" spans="1:63" s="5" customFormat="1" x14ac:dyDescent="0.2">
      <c r="A309" s="1228" t="s">
        <v>1529</v>
      </c>
      <c r="C309" s="1">
        <v>-6813</v>
      </c>
      <c r="D309" s="1">
        <v>-1840</v>
      </c>
      <c r="E309" s="1">
        <v>-6472</v>
      </c>
      <c r="F309" s="1">
        <f>-79-75-756</f>
        <v>-910</v>
      </c>
      <c r="G309" s="1">
        <f>-4-133-1834</f>
        <v>-1971</v>
      </c>
      <c r="H309" s="1">
        <v>-44124</v>
      </c>
      <c r="I309" s="5">
        <f>-1128-398-5846</f>
        <v>-7372</v>
      </c>
      <c r="J309" s="1">
        <v>-2095</v>
      </c>
      <c r="K309" s="719">
        <f>-220-674-3172</f>
        <v>-4066</v>
      </c>
      <c r="L309" s="1">
        <v>-3254</v>
      </c>
      <c r="M309" s="1">
        <v>-6439</v>
      </c>
      <c r="N309" s="5">
        <f>-881-470-6496</f>
        <v>-7847</v>
      </c>
      <c r="O309" s="5">
        <f>-99-50-6567</f>
        <v>-6716</v>
      </c>
      <c r="P309" s="1243">
        <v>-5380</v>
      </c>
      <c r="Q309" s="1">
        <f>-89-155-2379</f>
        <v>-2623</v>
      </c>
      <c r="R309" s="1">
        <f>-2047-54-145</f>
        <v>-2246</v>
      </c>
      <c r="S309" s="1">
        <f>-38-19-1341</f>
        <v>-1398</v>
      </c>
      <c r="T309" s="1">
        <v>-1354</v>
      </c>
      <c r="U309" s="1">
        <f>-178-197-2941</f>
        <v>-3316</v>
      </c>
      <c r="V309" s="1">
        <v>-2437</v>
      </c>
      <c r="W309" s="1">
        <v>-2560</v>
      </c>
      <c r="X309" s="1243">
        <f>-4331-63</f>
        <v>-4394</v>
      </c>
      <c r="Y309" s="1">
        <v>-1949</v>
      </c>
      <c r="Z309" s="1">
        <v>-2592</v>
      </c>
      <c r="AA309" s="5">
        <f>-505-3978</f>
        <v>-4483</v>
      </c>
      <c r="AB309" s="1">
        <f>-276-1941</f>
        <v>-2217</v>
      </c>
      <c r="AC309" s="1">
        <f>-425-572-2772</f>
        <v>-3769</v>
      </c>
      <c r="AD309" s="5">
        <f>-58-883-1273</f>
        <v>-2214</v>
      </c>
      <c r="AE309" s="5">
        <f>-981-951-9999</f>
        <v>-11931</v>
      </c>
      <c r="AF309" s="1">
        <v>-2179</v>
      </c>
      <c r="AG309" s="1">
        <v>-1721</v>
      </c>
      <c r="AH309" s="1">
        <v>-1551</v>
      </c>
      <c r="AI309" s="1">
        <v>-1653</v>
      </c>
      <c r="AJ309" s="719">
        <f>-11-930</f>
        <v>-941</v>
      </c>
      <c r="AK309" s="1243">
        <v>-1167</v>
      </c>
      <c r="AL309" s="1243">
        <f>-144-25-10230</f>
        <v>-10399</v>
      </c>
      <c r="AM309" s="1">
        <v>-3962</v>
      </c>
      <c r="AN309" s="1">
        <f>-20-25-28-2102</f>
        <v>-2175</v>
      </c>
      <c r="AO309" s="5">
        <f>-358-313-4211</f>
        <v>-4882</v>
      </c>
      <c r="AP309" s="1">
        <v>-1915</v>
      </c>
      <c r="AQ309" s="83">
        <v>-1705</v>
      </c>
      <c r="AR309" s="1">
        <v>-1372</v>
      </c>
      <c r="AS309" s="719">
        <v>-5455</v>
      </c>
      <c r="AT309" s="1">
        <v>-1752</v>
      </c>
      <c r="AU309" s="1">
        <v>-2960</v>
      </c>
      <c r="AV309" s="1">
        <v>-4890</v>
      </c>
      <c r="AW309" s="1">
        <v>-2004</v>
      </c>
      <c r="AX309" s="1246">
        <f>-17-17-1066</f>
        <v>-1100</v>
      </c>
      <c r="AY309" s="1">
        <v>-596</v>
      </c>
      <c r="AZ309" s="5">
        <f>-223-46-1919</f>
        <v>-2188</v>
      </c>
      <c r="BA309" s="1">
        <f>-13-157-2225</f>
        <v>-2395</v>
      </c>
      <c r="BB309" s="1">
        <v>-3568</v>
      </c>
      <c r="BC309" s="5">
        <v>-8097</v>
      </c>
      <c r="BD309" s="1">
        <v>-217</v>
      </c>
      <c r="BE309" s="1">
        <f>-150-192-291</f>
        <v>-633</v>
      </c>
      <c r="BF309" s="1">
        <v>0</v>
      </c>
      <c r="BH309" s="648">
        <f>SUM(C309:BG309)</f>
        <v>-226259</v>
      </c>
    </row>
    <row r="311" spans="1:63" x14ac:dyDescent="0.2">
      <c r="A311" s="46" t="s">
        <v>608</v>
      </c>
      <c r="C311" s="47">
        <f>+IFERROR(HLOOKUP(C1,'תחשיב להיטל מופחת'!$E$2:$BG$25,17,0),0)</f>
        <v>-110016.53600000001</v>
      </c>
      <c r="D311" s="47">
        <f>+IFERROR(HLOOKUP(D1,'תחשיב להיטל מופחת'!$E$2:$BG$25,17,0),0)</f>
        <v>-4016.4000000000005</v>
      </c>
      <c r="E311" s="47">
        <f>+IFERROR(HLOOKUP(E1,'תחשיב להיטל מופחת'!$E$2:$BG$25,17,0),0)</f>
        <v>-25728.528000000002</v>
      </c>
      <c r="F311" s="47">
        <f>+IFERROR(HLOOKUP(F1,'תחשיב להיטל מופחת'!$E$2:$BG$25,17,0),0)</f>
        <v>-2563.6559999999999</v>
      </c>
      <c r="G311" s="47">
        <f>+IFERROR(HLOOKUP(G1,'תחשיב להיטל מופחת'!$E$2:$BG$25,17,0),0)</f>
        <v>0</v>
      </c>
      <c r="H311" s="47">
        <f>+IFERROR(HLOOKUP(H1,'תחשיב להיטל מופחת'!$E$2:$BG$25,17,0),0)</f>
        <v>-154292.75592000003</v>
      </c>
      <c r="I311" s="47">
        <f>+IFERROR(HLOOKUP(I1,'תחשיב להיטל מופחת'!$E$2:$BG$25,17,0),0)</f>
        <v>-46861.824000000008</v>
      </c>
      <c r="J311" s="47">
        <f>+IFERROR(HLOOKUP(J1,'תחשיב להיטל מופחת'!$E$2:$BG$25,17,0),0)</f>
        <v>-14331.296</v>
      </c>
      <c r="K311" s="47">
        <f>+IFERROR(HLOOKUP(K1,'תחשיב להיטל מופחת'!$E$2:$BG$25,17,0),0)</f>
        <v>-8466.9920000000002</v>
      </c>
      <c r="L311" s="47">
        <f>+IFERROR(HLOOKUP(L1,'תחשיב להיטל מופחת'!$E$2:$BG$25,17,0),0)</f>
        <v>-4451.9360000000006</v>
      </c>
      <c r="M311" s="47">
        <f>+IFERROR(HLOOKUP(M1,'תחשיב להיטל מופחת'!$E$2:$BG$25,17,0),0)</f>
        <v>-47087.631999999998</v>
      </c>
      <c r="N311" s="47">
        <f>+IFERROR(HLOOKUP(N1,'תחשיב להיטל מופחת'!$E$2:$BG$25,17,0),0)</f>
        <v>-29162.752</v>
      </c>
      <c r="O311" s="47">
        <f>+IFERROR(HLOOKUP(O1,'תחשיב להיטל מופחת'!$E$2:$BG$25,17,0),0)</f>
        <v>-60079.376000000011</v>
      </c>
      <c r="P311" s="47">
        <f>+IFERROR(HLOOKUP(P1,'תחשיב להיטל מופחת'!$E$2:$BG$25,17,0),0)</f>
        <v>-12562.592000000001</v>
      </c>
      <c r="Q311" s="47">
        <f>+IFERROR(HLOOKUP(Q1,'תחשיב להיטל מופחת'!$E$2:$BG$25,17,0),0)</f>
        <v>-10059.567999999999</v>
      </c>
      <c r="R311" s="47">
        <f>+IFERROR(HLOOKUP(R1,'תחשיב להיטל מופחת'!$E$2:$BG$25,17,0),0)</f>
        <v>-7553.4400000000005</v>
      </c>
      <c r="S311" s="47">
        <f>+IFERROR(HLOOKUP(S1,'תחשיב להיטל מופחת'!$E$2:$BG$25,17,0),0)</f>
        <v>-9125.84</v>
      </c>
      <c r="T311" s="47">
        <f>+IFERROR(HLOOKUP(T1,'תחשיב להיטל מופחת'!$E$2:$BG$25,17,0),0)</f>
        <v>-9530.9280000000017</v>
      </c>
      <c r="U311" s="47">
        <f>+IFERROR(HLOOKUP(U1,'תחשיב להיטל מופחת'!$E$2:$BG$25,17,0),0)</f>
        <v>-21942.112000000001</v>
      </c>
      <c r="V311" s="47">
        <f>+IFERROR(HLOOKUP(V1,'תחשיב להיטל מופחת'!$E$2:$BG$25,17,0),0)</f>
        <v>-8696.8000000000011</v>
      </c>
      <c r="W311" s="47">
        <f>+IFERROR(HLOOKUP(W1,'תחשיב להיטל מופחת'!$E$2:$BG$25,17,0),0)</f>
        <v>-3880.6720000000005</v>
      </c>
      <c r="X311" s="47">
        <f>+IFERROR(HLOOKUP(X1,'תחשיב להיטל מופחת'!$E$2:$BG$25,17,0),0)</f>
        <v>-28520.320000000003</v>
      </c>
      <c r="Y311" s="47">
        <f>+IFERROR(HLOOKUP(Y1,'תחשיב להיטל מופחת'!$E$2:$BG$25,17,0),0)</f>
        <v>-3258.9120000000003</v>
      </c>
      <c r="Z311" s="47">
        <f>+IFERROR(HLOOKUP(Z1,'תחשיב להיטל מופחת'!$E$2:$BG$25,17,0),0)</f>
        <v>-13323.211328000001</v>
      </c>
      <c r="AA311" s="47">
        <f>+IFERROR(HLOOKUP(AA1,'תחשיב להיטל מופחת'!$E$2:$BG$25,17,0),0)</f>
        <v>-13332.080000000002</v>
      </c>
      <c r="AB311" s="47">
        <f>+IFERROR(HLOOKUP(AB1,'תחשיב להיטל מופחת'!$E$2:$BG$25,17,0),0)</f>
        <v>-10171.552000000001</v>
      </c>
      <c r="AC311" s="47">
        <f>+IFERROR(HLOOKUP(AC1,'תחשיב להיטל מופחת'!$E$2:$BG$25,17,0),0)</f>
        <v>-43137.184000000001</v>
      </c>
      <c r="AD311" s="47">
        <f>+IFERROR(HLOOKUP(AD1,'תחשיב להיטל מופחת'!$E$2:$BG$25,17,0),0)</f>
        <v>-7935.4559999999992</v>
      </c>
      <c r="AE311" s="47">
        <f>+IFERROR(HLOOKUP(AE1,'תחשיב להיטל מופחת'!$E$2:$BG$25,17,0),0)</f>
        <v>-48137.760000000002</v>
      </c>
      <c r="AF311" s="47">
        <f>+IFERROR(HLOOKUP(AF1,'תחשיב להיטל מופחת'!$E$2:$BG$25,17,0),0)</f>
        <v>-4787.2320000000009</v>
      </c>
      <c r="AG311" s="47">
        <f>+IFERROR(HLOOKUP(AG1,'תחשיב להיטל מופחת'!$E$2:$BG$25,17,0),0)</f>
        <v>0</v>
      </c>
      <c r="AH311" s="47">
        <f>+IFERROR(HLOOKUP(AH1,'תחשיב להיטל מופחת'!$E$2:$BG$25,17,0),0)</f>
        <v>0</v>
      </c>
      <c r="AI311" s="47">
        <f>+IFERROR(HLOOKUP(AI1,'תחשיב להיטל מופחת'!$E$2:$BG$25,17,0),0)</f>
        <v>-2205.44</v>
      </c>
      <c r="AJ311" s="47">
        <f>+IFERROR(HLOOKUP(AJ1,'תחשיב להיטל מופחת'!$E$2:$BG$25,17,0),0)</f>
        <v>-3278.3040000000001</v>
      </c>
      <c r="AK311" s="47">
        <f>+IFERROR(HLOOKUP(AK1,'תחשיב להיטל מופחת'!$E$2:$BG$25,17,0),0)</f>
        <v>-509.6</v>
      </c>
      <c r="AL311" s="47">
        <f>+IFERROR(HLOOKUP(AL1,'תחשיב להיטל מופחת'!$E$2:$BG$25,17,0),0)</f>
        <v>-218267.58399999997</v>
      </c>
      <c r="AM311" s="47">
        <f>+IFERROR(HLOOKUP(AM1,'תחשיב להיטל מופחת'!$E$2:$BG$25,17,0),0)</f>
        <v>-6280.1280000000006</v>
      </c>
      <c r="AN311" s="47">
        <f>+IFERROR(HLOOKUP(AN1,'תחשיב להיטל מופחת'!$E$2:$BG$25,17,0),0)</f>
        <v>0</v>
      </c>
      <c r="AO311" s="47">
        <f>+IFERROR(HLOOKUP(AO1,'תחשיב להיטל מופחת'!$E$2:$BG$25,17,0),0)</f>
        <v>-33848.432000000001</v>
      </c>
      <c r="AP311" s="47">
        <f>+IFERROR(HLOOKUP(AP1,'תחשיב להיטל מופחת'!$E$2:$BG$25,17,0),0)</f>
        <v>-17286.240000000002</v>
      </c>
      <c r="AQ311" s="47">
        <f>+IFERROR(HLOOKUP(AQ1,'תחשיב להיטל מופחת'!$E$2:$BG$25,17,0),0)</f>
        <v>-11631.760784000002</v>
      </c>
      <c r="AR311" s="47">
        <f>+IFERROR(HLOOKUP(AR1,'תחשיב להיטל מופחת'!$E$2:$BG$25,17,0),0)</f>
        <v>-6699.7440000000006</v>
      </c>
      <c r="AS311" s="47">
        <f>+IFERROR(HLOOKUP(AS1,'תחשיב להיטל מופחת'!$E$2:$BG$25,17,0),0)</f>
        <v>-13166.016</v>
      </c>
      <c r="AT311" s="47">
        <f>+IFERROR(HLOOKUP(AT1,'תחשיב להיטל מופחת'!$E$2:$BG$25,17,0),0)</f>
        <v>-7217.2960000000003</v>
      </c>
      <c r="AU311" s="47">
        <f>+IFERROR(HLOOKUP(AU1,'תחשיב להיטל מופחת'!$E$2:$BG$25,17,0),0)</f>
        <v>-39977.824000000008</v>
      </c>
      <c r="AV311" s="47">
        <f>+IFERROR(HLOOKUP(AV1,'תחשיב להיטל מופחת'!$E$2:$BG$25,17,0),0)</f>
        <v>-50890.816000000006</v>
      </c>
      <c r="AW311" s="47">
        <f>+IFERROR(HLOOKUP(AW1,'תחשיב להיטל מופחת'!$E$2:$BG$25,17,0),0)</f>
        <v>-7970.8480000000009</v>
      </c>
      <c r="AX311" s="47">
        <f>+IFERROR(HLOOKUP(AX1,'תחשיב להיטל מופחת'!$E$2:$BG$25,17,0),0)</f>
        <v>-1732.576</v>
      </c>
      <c r="AY311" s="47">
        <f>+IFERROR(HLOOKUP(AY1,'תחשיב להיטל מופחת'!$E$2:$BG$25,17,0),0)</f>
        <v>-889.12</v>
      </c>
      <c r="AZ311" s="47">
        <f>+IFERROR(HLOOKUP(AZ1,'תחשיב להיטל מופחת'!$E$2:$BG$25,17,0),0)</f>
        <v>-4688.5120000000006</v>
      </c>
      <c r="BA311" s="47">
        <f>+IFERROR(HLOOKUP(BA1,'תחשיב להיטל מופחת'!$E$2:$BG$25,17,0),0)</f>
        <v>-3327.2960000000003</v>
      </c>
      <c r="BB311" s="47">
        <f>+IFERROR(HLOOKUP(BB1,'תחשיב להיטל מופחת'!$E$2:$BG$25,17,0),0)</f>
        <v>-3305.172</v>
      </c>
      <c r="BC311" s="47">
        <f>+IFERROR(HLOOKUP(BC1,'תחשיב להיטל מופחת'!$E$2:$BG$25,17,0),0)</f>
        <v>-10288.656000000001</v>
      </c>
      <c r="BD311" s="47">
        <f>+IFERROR(HLOOKUP(BD1,'תחשיב להיטל מופחת'!$E$2:$BG$25,17,0),0)</f>
        <v>0</v>
      </c>
      <c r="BE311" s="47">
        <f>+IFERROR(HLOOKUP(BE1,'תחשיב להיטל מופחת'!$E$2:$BG$25,17,0),0)</f>
        <v>-1858.08</v>
      </c>
      <c r="BF311" s="47">
        <f>+IFERROR(HLOOKUP(BF1,'תחשיב להיטל מופחת'!$E$2:$BG$25,17,0),0)</f>
        <v>0</v>
      </c>
    </row>
    <row r="313" spans="1:63" s="648" customFormat="1" x14ac:dyDescent="0.2">
      <c r="A313" s="646" t="s">
        <v>609</v>
      </c>
      <c r="B313" s="647"/>
      <c r="C313" s="646">
        <f t="shared" ref="C313:AH313" si="27">SUM(C283:C311)</f>
        <v>112132.79150829</v>
      </c>
      <c r="D313" s="646">
        <f t="shared" si="27"/>
        <v>51136.306999999993</v>
      </c>
      <c r="E313" s="646">
        <f t="shared" si="27"/>
        <v>125199.06800000001</v>
      </c>
      <c r="F313" s="646">
        <f t="shared" si="27"/>
        <v>25744.532333333333</v>
      </c>
      <c r="G313" s="646">
        <f t="shared" si="27"/>
        <v>87984.89081948853</v>
      </c>
      <c r="H313" s="646">
        <f t="shared" si="27"/>
        <v>404829.76307999995</v>
      </c>
      <c r="I313" s="646">
        <f t="shared" si="27"/>
        <v>214720.72063232923</v>
      </c>
      <c r="J313" s="646">
        <f t="shared" si="27"/>
        <v>56806.005999999994</v>
      </c>
      <c r="K313" s="646">
        <f t="shared" si="27"/>
        <v>56775.606</v>
      </c>
      <c r="L313" s="646">
        <f t="shared" si="27"/>
        <v>81755.069000000003</v>
      </c>
      <c r="M313" s="646">
        <f t="shared" si="27"/>
        <v>47584.368000000002</v>
      </c>
      <c r="N313" s="646">
        <f t="shared" si="27"/>
        <v>93324.942999999999</v>
      </c>
      <c r="O313" s="646">
        <f t="shared" si="27"/>
        <v>81389.72199999998</v>
      </c>
      <c r="P313" s="646">
        <f t="shared" si="27"/>
        <v>107385.571</v>
      </c>
      <c r="Q313" s="646">
        <f t="shared" si="27"/>
        <v>60377.362999999998</v>
      </c>
      <c r="R313" s="646">
        <f t="shared" si="27"/>
        <v>52765.786000000007</v>
      </c>
      <c r="S313" s="646">
        <f t="shared" si="27"/>
        <v>25707.525000000005</v>
      </c>
      <c r="T313" s="646">
        <f t="shared" si="27"/>
        <v>51355.164000000004</v>
      </c>
      <c r="U313" s="646">
        <f t="shared" si="27"/>
        <v>50616.565999999999</v>
      </c>
      <c r="V313" s="646">
        <f t="shared" si="27"/>
        <v>58006.123999999996</v>
      </c>
      <c r="W313" s="646">
        <f t="shared" si="27"/>
        <v>96848.205999999976</v>
      </c>
      <c r="X313" s="646">
        <f t="shared" si="27"/>
        <v>82435.670999999988</v>
      </c>
      <c r="Y313" s="646">
        <f t="shared" si="27"/>
        <v>31522.799999999999</v>
      </c>
      <c r="Z313" s="646">
        <f t="shared" si="27"/>
        <v>30471.515672000005</v>
      </c>
      <c r="AA313" s="646">
        <f t="shared" si="27"/>
        <v>72298.444999999992</v>
      </c>
      <c r="AB313" s="646">
        <f t="shared" si="27"/>
        <v>24139.936999999998</v>
      </c>
      <c r="AC313" s="646">
        <f t="shared" si="27"/>
        <v>39096.341000000008</v>
      </c>
      <c r="AD313" s="646">
        <f t="shared" si="27"/>
        <v>36541.79</v>
      </c>
      <c r="AE313" s="646">
        <f t="shared" si="27"/>
        <v>207983.35199999996</v>
      </c>
      <c r="AF313" s="646">
        <f t="shared" si="27"/>
        <v>63991.034</v>
      </c>
      <c r="AG313" s="646">
        <f t="shared" si="27"/>
        <v>34186.231</v>
      </c>
      <c r="AH313" s="646">
        <f t="shared" si="27"/>
        <v>32863.936999999998</v>
      </c>
      <c r="AI313" s="646">
        <f t="shared" ref="AI313:BE313" si="28">SUM(AI283:AI311)</f>
        <v>32211.265000000003</v>
      </c>
      <c r="AJ313" s="646">
        <f t="shared" si="28"/>
        <v>16834.989000000001</v>
      </c>
      <c r="AK313" s="646">
        <f t="shared" si="28"/>
        <v>9141.0519999999997</v>
      </c>
      <c r="AL313" s="646">
        <f t="shared" si="28"/>
        <v>71096.892000000051</v>
      </c>
      <c r="AM313" s="646">
        <f t="shared" si="28"/>
        <v>56139.594000000012</v>
      </c>
      <c r="AN313" s="646">
        <f t="shared" si="28"/>
        <v>51515.951000000001</v>
      </c>
      <c r="AO313" s="646">
        <f t="shared" si="28"/>
        <v>39530.971000000005</v>
      </c>
      <c r="AP313" s="646">
        <f t="shared" si="28"/>
        <v>21354.499999999996</v>
      </c>
      <c r="AQ313" s="646">
        <f t="shared" si="28"/>
        <v>56713.620215999996</v>
      </c>
      <c r="AR313" s="646">
        <f t="shared" si="28"/>
        <v>42615.499000000003</v>
      </c>
      <c r="AS313" s="646">
        <f t="shared" si="28"/>
        <v>114015.10700000002</v>
      </c>
      <c r="AT313" s="646">
        <f t="shared" si="28"/>
        <v>32793.766000000003</v>
      </c>
      <c r="AU313" s="646">
        <f t="shared" si="28"/>
        <v>27661.449999999997</v>
      </c>
      <c r="AV313" s="646">
        <f t="shared" si="28"/>
        <v>26352.023000000001</v>
      </c>
      <c r="AW313" s="646">
        <f t="shared" si="28"/>
        <v>33919.853000000003</v>
      </c>
      <c r="AX313" s="646">
        <f t="shared" si="28"/>
        <v>38821.385000000002</v>
      </c>
      <c r="AY313" s="646">
        <f t="shared" si="28"/>
        <v>12085.743999999999</v>
      </c>
      <c r="AZ313" s="646">
        <f t="shared" si="28"/>
        <v>61352.702000000005</v>
      </c>
      <c r="BA313" s="646">
        <f t="shared" si="28"/>
        <v>44446.532999999996</v>
      </c>
      <c r="BB313" s="646">
        <f t="shared" si="28"/>
        <v>64670.334999999985</v>
      </c>
      <c r="BC313" s="646">
        <f t="shared" si="28"/>
        <v>64886.524999999994</v>
      </c>
      <c r="BD313" s="646">
        <f t="shared" si="28"/>
        <v>15030.409</v>
      </c>
      <c r="BE313" s="646">
        <f t="shared" si="28"/>
        <v>9234.9760000000006</v>
      </c>
      <c r="BF313" s="646">
        <f>SUM(BF283:BF311)</f>
        <v>40311.868000000002</v>
      </c>
      <c r="BH313" s="648">
        <f>SUM(C313:BG313)</f>
        <v>3580714.1552614397</v>
      </c>
      <c r="BK313" s="648" t="e">
        <f>+BH313-'[12]נתוני תאגידים'!$BG$288</f>
        <v>#REF!</v>
      </c>
    </row>
    <row r="316" spans="1:63" x14ac:dyDescent="0.2">
      <c r="A316" s="46" t="s">
        <v>610</v>
      </c>
      <c r="C316" s="78">
        <f t="shared" ref="C316:AH316" si="29">+C173</f>
        <v>79215.255000000005</v>
      </c>
      <c r="D316" s="78">
        <f t="shared" si="29"/>
        <v>57816.067000000003</v>
      </c>
      <c r="E316" s="78">
        <f t="shared" si="29"/>
        <v>134563.84299999999</v>
      </c>
      <c r="F316" s="78">
        <f t="shared" si="29"/>
        <v>28778.249</v>
      </c>
      <c r="G316" s="78">
        <f t="shared" si="29"/>
        <v>83146.259999999995</v>
      </c>
      <c r="H316" s="78">
        <f t="shared" si="29"/>
        <v>361302.761</v>
      </c>
      <c r="I316" s="78">
        <f t="shared" si="29"/>
        <v>147487.68299999999</v>
      </c>
      <c r="J316" s="78">
        <f t="shared" si="29"/>
        <v>47257.506999999998</v>
      </c>
      <c r="K316" s="78">
        <f t="shared" si="29"/>
        <v>57485.114000000001</v>
      </c>
      <c r="L316" s="78">
        <f t="shared" si="29"/>
        <v>40427.741999999998</v>
      </c>
      <c r="M316" s="78">
        <f t="shared" si="29"/>
        <v>82342</v>
      </c>
      <c r="N316" s="78">
        <f t="shared" si="29"/>
        <v>170640.55600000001</v>
      </c>
      <c r="O316" s="78">
        <f t="shared" si="29"/>
        <v>48314.368000000002</v>
      </c>
      <c r="P316" s="78">
        <f t="shared" si="29"/>
        <v>113414.981</v>
      </c>
      <c r="Q316" s="78">
        <f t="shared" si="29"/>
        <v>6102.7640000000001</v>
      </c>
      <c r="R316" s="78">
        <f t="shared" si="29"/>
        <v>49363.417999999998</v>
      </c>
      <c r="S316" s="78">
        <f t="shared" si="29"/>
        <v>27211.388999999999</v>
      </c>
      <c r="T316" s="78">
        <f t="shared" si="29"/>
        <v>53611.313000000002</v>
      </c>
      <c r="U316" s="78">
        <f t="shared" si="29"/>
        <v>36293.538</v>
      </c>
      <c r="V316" s="78">
        <f t="shared" si="29"/>
        <v>93143.39</v>
      </c>
      <c r="W316" s="78">
        <f t="shared" si="29"/>
        <v>84223.501000000004</v>
      </c>
      <c r="X316" s="78">
        <f t="shared" si="29"/>
        <v>65275.46</v>
      </c>
      <c r="Y316" s="78">
        <f t="shared" si="29"/>
        <v>66362.804000000004</v>
      </c>
      <c r="Z316" s="78">
        <f t="shared" si="29"/>
        <v>30555.172999999999</v>
      </c>
      <c r="AA316" s="78">
        <f t="shared" si="29"/>
        <v>42980.559000000001</v>
      </c>
      <c r="AB316" s="78">
        <f t="shared" si="29"/>
        <v>28159.125</v>
      </c>
      <c r="AC316" s="78">
        <f t="shared" si="29"/>
        <v>55224.294999999998</v>
      </c>
      <c r="AD316" s="78">
        <f t="shared" si="29"/>
        <v>23392.981</v>
      </c>
      <c r="AE316" s="78">
        <f t="shared" si="29"/>
        <v>147519.829</v>
      </c>
      <c r="AF316" s="78">
        <f t="shared" si="29"/>
        <v>34713.739000000001</v>
      </c>
      <c r="AG316" s="78">
        <f t="shared" si="29"/>
        <v>17120.713</v>
      </c>
      <c r="AH316" s="78">
        <f t="shared" si="29"/>
        <v>42084.207999999999</v>
      </c>
      <c r="AI316" s="78">
        <f t="shared" ref="AI316:BE316" si="30">+AI173</f>
        <v>37136.536999999997</v>
      </c>
      <c r="AJ316" s="78">
        <f t="shared" si="30"/>
        <v>15947.710999999999</v>
      </c>
      <c r="AK316" s="78">
        <f t="shared" si="30"/>
        <v>7505.799</v>
      </c>
      <c r="AL316" s="78">
        <f t="shared" si="30"/>
        <v>175531.37</v>
      </c>
      <c r="AM316" s="78">
        <f t="shared" si="30"/>
        <v>76354.798999999999</v>
      </c>
      <c r="AN316" s="78">
        <f t="shared" si="30"/>
        <v>102039.398</v>
      </c>
      <c r="AO316" s="78">
        <f t="shared" si="30"/>
        <v>7135.4570000000003</v>
      </c>
      <c r="AP316" s="78">
        <f t="shared" si="30"/>
        <v>2328.8939999999998</v>
      </c>
      <c r="AQ316" s="78">
        <f t="shared" si="30"/>
        <v>21448.785</v>
      </c>
      <c r="AR316" s="78">
        <f t="shared" si="30"/>
        <v>25077.946</v>
      </c>
      <c r="AS316" s="78">
        <f t="shared" si="30"/>
        <v>141842.78899999999</v>
      </c>
      <c r="AT316" s="78">
        <f t="shared" si="30"/>
        <v>27289.263999999999</v>
      </c>
      <c r="AU316" s="78">
        <f t="shared" si="30"/>
        <v>38501.900999999998</v>
      </c>
      <c r="AV316" s="78">
        <f t="shared" si="30"/>
        <v>80912.463000000003</v>
      </c>
      <c r="AW316" s="78">
        <f t="shared" si="30"/>
        <v>32214.217000000001</v>
      </c>
      <c r="AX316" s="78">
        <f t="shared" si="30"/>
        <v>42313.864000000001</v>
      </c>
      <c r="AY316" s="50">
        <f t="shared" si="30"/>
        <v>7134.1149999999998</v>
      </c>
      <c r="AZ316" s="78">
        <f t="shared" si="30"/>
        <v>66835.607000000004</v>
      </c>
      <c r="BA316" s="78">
        <f t="shared" si="30"/>
        <v>41485.478999999999</v>
      </c>
      <c r="BB316" s="78">
        <f t="shared" si="30"/>
        <v>99723.12</v>
      </c>
      <c r="BC316" s="78">
        <f t="shared" si="30"/>
        <v>91318.942999999985</v>
      </c>
      <c r="BD316" s="78">
        <f t="shared" si="30"/>
        <v>56916.987999999998</v>
      </c>
      <c r="BE316" s="78">
        <f t="shared" si="30"/>
        <v>10505.34</v>
      </c>
      <c r="BF316" s="78">
        <f>+BF173</f>
        <v>62407.262999999999</v>
      </c>
    </row>
    <row r="317" spans="1:63" x14ac:dyDescent="0.2">
      <c r="A317" s="43"/>
    </row>
    <row r="318" spans="1:63" x14ac:dyDescent="0.2">
      <c r="A318" s="46" t="s">
        <v>611</v>
      </c>
      <c r="C318" s="78">
        <f t="shared" ref="C318:AH318" si="31">+C248</f>
        <v>5632</v>
      </c>
      <c r="D318" s="78">
        <f t="shared" si="31"/>
        <v>3279</v>
      </c>
      <c r="E318" s="78">
        <f t="shared" si="31"/>
        <v>17047</v>
      </c>
      <c r="F318" s="78">
        <f t="shared" si="31"/>
        <v>5</v>
      </c>
      <c r="G318" s="78">
        <f t="shared" si="31"/>
        <v>216</v>
      </c>
      <c r="H318" s="78">
        <f t="shared" si="31"/>
        <v>19502</v>
      </c>
      <c r="I318" s="78">
        <f t="shared" si="31"/>
        <v>15244</v>
      </c>
      <c r="J318" s="78">
        <f t="shared" si="31"/>
        <v>9239</v>
      </c>
      <c r="K318" s="78">
        <f t="shared" si="31"/>
        <v>0</v>
      </c>
      <c r="L318" s="78">
        <f t="shared" si="31"/>
        <v>9733</v>
      </c>
      <c r="M318" s="78">
        <f t="shared" si="31"/>
        <v>2976</v>
      </c>
      <c r="N318" s="78">
        <f t="shared" si="31"/>
        <v>5914</v>
      </c>
      <c r="O318" s="78">
        <f t="shared" si="31"/>
        <v>1963</v>
      </c>
      <c r="P318" s="78">
        <f t="shared" si="31"/>
        <v>1263</v>
      </c>
      <c r="Q318" s="78">
        <f t="shared" si="31"/>
        <v>0</v>
      </c>
      <c r="R318" s="78">
        <f t="shared" si="31"/>
        <v>135</v>
      </c>
      <c r="S318" s="78">
        <f t="shared" si="31"/>
        <v>285</v>
      </c>
      <c r="T318" s="78">
        <f t="shared" si="31"/>
        <v>79</v>
      </c>
      <c r="U318" s="78">
        <f t="shared" si="31"/>
        <v>177</v>
      </c>
      <c r="V318" s="78">
        <f t="shared" si="31"/>
        <v>0</v>
      </c>
      <c r="W318" s="78">
        <f t="shared" si="31"/>
        <v>0</v>
      </c>
      <c r="X318" s="78">
        <f t="shared" si="31"/>
        <v>362</v>
      </c>
      <c r="Y318" s="78">
        <f t="shared" si="31"/>
        <v>0</v>
      </c>
      <c r="Z318" s="78">
        <f t="shared" si="31"/>
        <v>3270.0569999999998</v>
      </c>
      <c r="AA318" s="78">
        <f t="shared" si="31"/>
        <v>0</v>
      </c>
      <c r="AB318" s="78">
        <f t="shared" si="31"/>
        <v>0</v>
      </c>
      <c r="AC318" s="78">
        <f t="shared" si="31"/>
        <v>0</v>
      </c>
      <c r="AD318" s="78">
        <f t="shared" si="31"/>
        <v>315</v>
      </c>
      <c r="AE318" s="78">
        <f t="shared" si="31"/>
        <v>0</v>
      </c>
      <c r="AF318" s="78">
        <f t="shared" si="31"/>
        <v>0</v>
      </c>
      <c r="AG318" s="78">
        <f t="shared" si="31"/>
        <v>0</v>
      </c>
      <c r="AH318" s="78">
        <f t="shared" si="31"/>
        <v>0</v>
      </c>
      <c r="AI318" s="78">
        <f t="shared" ref="AI318:BE318" si="32">+AI248</f>
        <v>0</v>
      </c>
      <c r="AJ318" s="78">
        <f t="shared" si="32"/>
        <v>0</v>
      </c>
      <c r="AK318" s="78">
        <f t="shared" si="32"/>
        <v>0</v>
      </c>
      <c r="AL318" s="78">
        <f t="shared" si="32"/>
        <v>0</v>
      </c>
      <c r="AM318" s="78">
        <f t="shared" si="32"/>
        <v>0</v>
      </c>
      <c r="AN318" s="78">
        <f t="shared" si="32"/>
        <v>0</v>
      </c>
      <c r="AO318" s="78">
        <f t="shared" si="32"/>
        <v>1</v>
      </c>
      <c r="AP318" s="78">
        <f t="shared" si="32"/>
        <v>0</v>
      </c>
      <c r="AQ318" s="78">
        <f t="shared" si="32"/>
        <v>0</v>
      </c>
      <c r="AR318" s="78">
        <f t="shared" si="32"/>
        <v>0</v>
      </c>
      <c r="AS318" s="78">
        <f t="shared" si="32"/>
        <v>0</v>
      </c>
      <c r="AT318" s="78">
        <f t="shared" si="32"/>
        <v>0</v>
      </c>
      <c r="AU318" s="78">
        <f t="shared" si="32"/>
        <v>0</v>
      </c>
      <c r="AV318" s="78">
        <f t="shared" si="32"/>
        <v>0</v>
      </c>
      <c r="AW318" s="78">
        <f t="shared" si="32"/>
        <v>0</v>
      </c>
      <c r="AX318" s="78">
        <f t="shared" si="32"/>
        <v>0</v>
      </c>
      <c r="AY318" s="78">
        <f t="shared" si="32"/>
        <v>0</v>
      </c>
      <c r="AZ318" s="78">
        <f t="shared" si="32"/>
        <v>0</v>
      </c>
      <c r="BA318" s="78">
        <f t="shared" si="32"/>
        <v>0</v>
      </c>
      <c r="BB318" s="78">
        <f t="shared" si="32"/>
        <v>0</v>
      </c>
      <c r="BC318" s="78">
        <f t="shared" si="32"/>
        <v>0</v>
      </c>
      <c r="BD318" s="78">
        <f t="shared" si="32"/>
        <v>0</v>
      </c>
      <c r="BE318" s="78">
        <f t="shared" si="32"/>
        <v>0</v>
      </c>
      <c r="BF318" s="78">
        <f>+BF248</f>
        <v>0</v>
      </c>
    </row>
    <row r="320" spans="1:63" x14ac:dyDescent="0.2">
      <c r="A320" s="46" t="s">
        <v>612</v>
      </c>
      <c r="C320" s="78">
        <f t="shared" ref="C320:AH320" si="33">+C250</f>
        <v>42577.874364800002</v>
      </c>
      <c r="D320" s="78">
        <f t="shared" si="33"/>
        <v>878</v>
      </c>
      <c r="E320" s="78">
        <f t="shared" si="33"/>
        <v>1709</v>
      </c>
      <c r="F320" s="78">
        <f t="shared" si="33"/>
        <v>1449</v>
      </c>
      <c r="G320" s="78">
        <f t="shared" si="33"/>
        <v>217</v>
      </c>
      <c r="H320" s="78">
        <f t="shared" si="33"/>
        <v>14302</v>
      </c>
      <c r="I320" s="78">
        <f t="shared" si="33"/>
        <v>25369</v>
      </c>
      <c r="J320" s="78">
        <f t="shared" si="33"/>
        <v>10491</v>
      </c>
      <c r="K320" s="78">
        <f t="shared" si="33"/>
        <v>161</v>
      </c>
      <c r="L320" s="78">
        <f t="shared" si="33"/>
        <v>8808</v>
      </c>
      <c r="M320" s="78">
        <f t="shared" si="33"/>
        <v>2056</v>
      </c>
      <c r="N320" s="78">
        <f t="shared" si="33"/>
        <v>2522</v>
      </c>
      <c r="O320" s="78">
        <f t="shared" si="33"/>
        <v>6182</v>
      </c>
      <c r="P320" s="78">
        <f t="shared" si="33"/>
        <v>1658</v>
      </c>
      <c r="Q320" s="78">
        <f t="shared" si="33"/>
        <v>0</v>
      </c>
      <c r="R320" s="78">
        <f t="shared" si="33"/>
        <v>135</v>
      </c>
      <c r="S320" s="78">
        <f t="shared" si="33"/>
        <v>3268</v>
      </c>
      <c r="T320" s="78">
        <f t="shared" si="33"/>
        <v>1986</v>
      </c>
      <c r="U320" s="78">
        <f t="shared" si="33"/>
        <v>1885</v>
      </c>
      <c r="V320" s="78">
        <f t="shared" si="33"/>
        <v>265</v>
      </c>
      <c r="W320" s="78">
        <f t="shared" si="33"/>
        <v>39866.366000000002</v>
      </c>
      <c r="X320" s="78">
        <f t="shared" si="33"/>
        <v>362</v>
      </c>
      <c r="Y320" s="78">
        <f t="shared" si="33"/>
        <v>231</v>
      </c>
      <c r="Z320" s="78">
        <f t="shared" si="33"/>
        <v>7707.808</v>
      </c>
      <c r="AA320" s="78">
        <f t="shared" si="33"/>
        <v>0</v>
      </c>
      <c r="AB320" s="78">
        <f t="shared" si="33"/>
        <v>608</v>
      </c>
      <c r="AC320" s="78">
        <f t="shared" si="33"/>
        <v>207</v>
      </c>
      <c r="AD320" s="78">
        <f t="shared" si="33"/>
        <v>538</v>
      </c>
      <c r="AE320" s="78">
        <f t="shared" si="33"/>
        <v>3113</v>
      </c>
      <c r="AF320" s="78">
        <f t="shared" si="33"/>
        <v>5885</v>
      </c>
      <c r="AG320" s="78">
        <f t="shared" si="33"/>
        <v>0</v>
      </c>
      <c r="AH320" s="78">
        <f t="shared" si="33"/>
        <v>0</v>
      </c>
      <c r="AI320" s="78">
        <f t="shared" ref="AI320:BE320" si="34">+AI250</f>
        <v>248</v>
      </c>
      <c r="AJ320" s="78">
        <f t="shared" si="34"/>
        <v>0</v>
      </c>
      <c r="AK320" s="78">
        <f t="shared" si="34"/>
        <v>0</v>
      </c>
      <c r="AL320" s="78">
        <f t="shared" si="34"/>
        <v>11643.320330399998</v>
      </c>
      <c r="AM320" s="78">
        <f t="shared" si="34"/>
        <v>0</v>
      </c>
      <c r="AN320" s="78">
        <f t="shared" si="34"/>
        <v>0</v>
      </c>
      <c r="AO320" s="78">
        <f t="shared" si="34"/>
        <v>1</v>
      </c>
      <c r="AP320" s="78">
        <f t="shared" si="34"/>
        <v>982.67497679999974</v>
      </c>
      <c r="AQ320" s="78">
        <f t="shared" si="34"/>
        <v>3108.3352055999994</v>
      </c>
      <c r="AR320" s="78">
        <f t="shared" si="34"/>
        <v>1120</v>
      </c>
      <c r="AS320" s="78">
        <f t="shared" si="34"/>
        <v>19305</v>
      </c>
      <c r="AT320" s="78">
        <f t="shared" si="34"/>
        <v>0</v>
      </c>
      <c r="AU320" s="78">
        <f t="shared" si="34"/>
        <v>84</v>
      </c>
      <c r="AV320" s="78">
        <f t="shared" si="34"/>
        <v>320</v>
      </c>
      <c r="AW320" s="78">
        <f t="shared" si="34"/>
        <v>89</v>
      </c>
      <c r="AX320" s="78">
        <f t="shared" si="34"/>
        <v>0</v>
      </c>
      <c r="AY320" s="78">
        <f t="shared" si="34"/>
        <v>89</v>
      </c>
      <c r="AZ320" s="78">
        <f t="shared" si="34"/>
        <v>123</v>
      </c>
      <c r="BA320" s="78">
        <f t="shared" si="34"/>
        <v>0</v>
      </c>
      <c r="BB320" s="78">
        <f t="shared" si="34"/>
        <v>0</v>
      </c>
      <c r="BC320" s="78">
        <f t="shared" si="34"/>
        <v>239</v>
      </c>
      <c r="BD320" s="78">
        <f t="shared" si="34"/>
        <v>0</v>
      </c>
      <c r="BE320" s="78">
        <f t="shared" si="34"/>
        <v>0</v>
      </c>
      <c r="BF320" s="78">
        <f>+BF250</f>
        <v>0</v>
      </c>
    </row>
    <row r="321" spans="1:58" x14ac:dyDescent="0.2">
      <c r="A321" s="46"/>
      <c r="C321" s="78"/>
      <c r="D321" s="78"/>
      <c r="E321" s="78"/>
      <c r="F321" s="78"/>
      <c r="G321" s="78"/>
      <c r="H321" s="78"/>
      <c r="I321" s="78"/>
      <c r="J321" s="78"/>
      <c r="K321" s="78"/>
      <c r="L321" s="78"/>
      <c r="M321" s="78"/>
      <c r="N321" s="78"/>
      <c r="O321" s="78"/>
      <c r="P321" s="78"/>
      <c r="Q321" s="78"/>
      <c r="R321" s="78"/>
      <c r="S321" s="78"/>
      <c r="T321" s="78"/>
      <c r="U321" s="78"/>
      <c r="V321" s="78"/>
      <c r="W321" s="78"/>
      <c r="X321" s="78"/>
      <c r="Y321" s="78"/>
      <c r="Z321" s="78"/>
      <c r="AA321" s="78"/>
      <c r="AB321" s="78"/>
      <c r="AC321" s="78"/>
      <c r="AD321" s="78"/>
      <c r="AE321" s="78"/>
      <c r="AF321" s="78"/>
      <c r="AG321" s="78"/>
      <c r="AH321" s="78"/>
      <c r="AI321" s="78"/>
      <c r="AJ321" s="78"/>
      <c r="AK321" s="78"/>
      <c r="AL321" s="78"/>
      <c r="AM321" s="78"/>
      <c r="AN321" s="78"/>
      <c r="AO321" s="78"/>
      <c r="AP321" s="78"/>
      <c r="AQ321" s="78"/>
      <c r="AR321" s="78"/>
      <c r="AS321" s="78"/>
      <c r="AT321" s="78"/>
      <c r="AU321" s="78"/>
      <c r="AV321" s="78"/>
      <c r="AW321" s="78"/>
      <c r="AX321" s="78"/>
      <c r="AY321" s="78"/>
      <c r="AZ321" s="78"/>
      <c r="BA321" s="78"/>
      <c r="BB321" s="78"/>
      <c r="BC321" s="78"/>
      <c r="BD321" s="78"/>
      <c r="BE321" s="78"/>
      <c r="BF321" s="78"/>
    </row>
    <row r="322" spans="1:58" x14ac:dyDescent="0.2">
      <c r="A322" s="46" t="s">
        <v>613</v>
      </c>
      <c r="C322" s="78">
        <f t="shared" ref="C322:AH322" si="35">+C252</f>
        <v>27157.384169707493</v>
      </c>
      <c r="D322" s="78">
        <f t="shared" si="35"/>
        <v>1250</v>
      </c>
      <c r="E322" s="78">
        <f t="shared" si="35"/>
        <v>5606</v>
      </c>
      <c r="F322" s="78">
        <f t="shared" si="35"/>
        <v>513</v>
      </c>
      <c r="G322" s="78">
        <f t="shared" si="35"/>
        <v>261</v>
      </c>
      <c r="H322" s="78">
        <f t="shared" si="35"/>
        <v>11876</v>
      </c>
      <c r="I322" s="78">
        <f t="shared" si="35"/>
        <v>26222</v>
      </c>
      <c r="J322" s="78">
        <f t="shared" si="35"/>
        <v>21452</v>
      </c>
      <c r="K322" s="78">
        <f t="shared" si="35"/>
        <v>2124</v>
      </c>
      <c r="L322" s="78">
        <f t="shared" si="35"/>
        <v>3489</v>
      </c>
      <c r="M322" s="78">
        <f t="shared" si="35"/>
        <v>3007</v>
      </c>
      <c r="N322" s="78">
        <f t="shared" si="35"/>
        <v>3162</v>
      </c>
      <c r="O322" s="78">
        <f t="shared" si="35"/>
        <v>8699</v>
      </c>
      <c r="P322" s="78">
        <f t="shared" si="35"/>
        <v>4515</v>
      </c>
      <c r="Q322" s="78">
        <f t="shared" si="35"/>
        <v>1033</v>
      </c>
      <c r="R322" s="78">
        <f t="shared" si="35"/>
        <v>1345.1890000000001</v>
      </c>
      <c r="S322" s="78">
        <f t="shared" si="35"/>
        <v>7362</v>
      </c>
      <c r="T322" s="78">
        <f t="shared" si="35"/>
        <v>1649</v>
      </c>
      <c r="U322" s="78">
        <f t="shared" si="35"/>
        <v>1926</v>
      </c>
      <c r="V322" s="78">
        <f t="shared" si="35"/>
        <v>2519</v>
      </c>
      <c r="W322" s="78">
        <f t="shared" si="35"/>
        <v>3378</v>
      </c>
      <c r="X322" s="78">
        <f t="shared" si="35"/>
        <v>899.596</v>
      </c>
      <c r="Y322" s="78">
        <f t="shared" si="35"/>
        <v>530</v>
      </c>
      <c r="Z322" s="78">
        <f t="shared" si="35"/>
        <v>2233.154</v>
      </c>
      <c r="AA322" s="78">
        <f t="shared" si="35"/>
        <v>358</v>
      </c>
      <c r="AB322" s="78">
        <f t="shared" si="35"/>
        <v>1</v>
      </c>
      <c r="AC322" s="78">
        <f t="shared" si="35"/>
        <v>8082</v>
      </c>
      <c r="AD322" s="78">
        <f t="shared" si="35"/>
        <v>4246</v>
      </c>
      <c r="AE322" s="78">
        <f t="shared" si="35"/>
        <v>7001</v>
      </c>
      <c r="AF322" s="78">
        <f t="shared" si="35"/>
        <v>1830</v>
      </c>
      <c r="AG322" s="78">
        <f t="shared" si="35"/>
        <v>71</v>
      </c>
      <c r="AH322" s="78">
        <f t="shared" si="35"/>
        <v>0</v>
      </c>
      <c r="AI322" s="78">
        <f t="shared" ref="AI322:BE322" si="36">+AI252</f>
        <v>1280</v>
      </c>
      <c r="AJ322" s="78">
        <f t="shared" si="36"/>
        <v>1</v>
      </c>
      <c r="AK322" s="78">
        <f t="shared" si="36"/>
        <v>0</v>
      </c>
      <c r="AL322" s="78">
        <f t="shared" si="36"/>
        <v>37941.857126850613</v>
      </c>
      <c r="AM322" s="78">
        <f t="shared" si="36"/>
        <v>279</v>
      </c>
      <c r="AN322" s="78">
        <f t="shared" si="36"/>
        <v>0</v>
      </c>
      <c r="AO322" s="78">
        <f t="shared" si="36"/>
        <v>1</v>
      </c>
      <c r="AP322" s="78">
        <f t="shared" si="36"/>
        <v>1761.8692919193736</v>
      </c>
      <c r="AQ322" s="78">
        <f t="shared" si="36"/>
        <v>6315.9151742168715</v>
      </c>
      <c r="AR322" s="78">
        <f t="shared" si="36"/>
        <v>2132</v>
      </c>
      <c r="AS322" s="78">
        <f t="shared" si="36"/>
        <v>0</v>
      </c>
      <c r="AT322" s="78">
        <f t="shared" si="36"/>
        <v>1174</v>
      </c>
      <c r="AU322" s="78">
        <f t="shared" si="36"/>
        <v>2029</v>
      </c>
      <c r="AV322" s="78">
        <f t="shared" si="36"/>
        <v>790</v>
      </c>
      <c r="AW322" s="78">
        <f t="shared" si="36"/>
        <v>1008</v>
      </c>
      <c r="AX322" s="78">
        <f t="shared" si="36"/>
        <v>0</v>
      </c>
      <c r="AY322" s="78">
        <f t="shared" si="36"/>
        <v>0</v>
      </c>
      <c r="AZ322" s="78">
        <f t="shared" si="36"/>
        <v>345</v>
      </c>
      <c r="BA322" s="78">
        <f t="shared" si="36"/>
        <v>777</v>
      </c>
      <c r="BB322" s="78">
        <f t="shared" si="36"/>
        <v>0</v>
      </c>
      <c r="BC322" s="78">
        <f t="shared" si="36"/>
        <v>1854</v>
      </c>
      <c r="BD322" s="78">
        <f t="shared" si="36"/>
        <v>114</v>
      </c>
      <c r="BE322" s="78">
        <f t="shared" si="36"/>
        <v>0</v>
      </c>
      <c r="BF322" s="78">
        <f>+BF252</f>
        <v>0</v>
      </c>
    </row>
    <row r="323" spans="1:58" x14ac:dyDescent="0.2">
      <c r="A323" s="46"/>
      <c r="C323" s="78"/>
      <c r="D323" s="78"/>
      <c r="E323" s="78"/>
      <c r="F323" s="78"/>
      <c r="G323" s="78"/>
      <c r="H323" s="78"/>
      <c r="I323" s="78"/>
      <c r="J323" s="78"/>
      <c r="K323" s="78"/>
      <c r="L323" s="78"/>
      <c r="M323" s="78"/>
      <c r="N323" s="78"/>
      <c r="O323" s="78"/>
      <c r="P323" s="78"/>
      <c r="Q323" s="78"/>
      <c r="R323" s="78"/>
      <c r="S323" s="78"/>
      <c r="T323" s="78"/>
      <c r="U323" s="78"/>
      <c r="V323" s="78"/>
      <c r="W323" s="78"/>
      <c r="X323" s="78"/>
      <c r="Y323" s="78"/>
      <c r="Z323" s="78"/>
      <c r="AA323" s="78"/>
      <c r="AB323" s="78"/>
      <c r="AC323" s="78"/>
      <c r="AD323" s="78"/>
      <c r="AE323" s="78"/>
      <c r="AF323" s="78"/>
      <c r="AG323" s="78"/>
      <c r="AH323" s="78"/>
      <c r="AI323" s="78"/>
      <c r="AJ323" s="78"/>
      <c r="AK323" s="78"/>
      <c r="AL323" s="78"/>
      <c r="AM323" s="78"/>
      <c r="AN323" s="78"/>
      <c r="AO323" s="78"/>
      <c r="AP323" s="78"/>
      <c r="AQ323" s="78"/>
      <c r="AR323" s="78"/>
      <c r="AS323" s="78"/>
      <c r="AT323" s="78"/>
      <c r="AU323" s="78"/>
      <c r="AV323" s="78"/>
      <c r="AW323" s="78"/>
      <c r="AX323" s="78"/>
      <c r="AY323" s="78"/>
      <c r="AZ323" s="78"/>
      <c r="BA323" s="78"/>
      <c r="BB323" s="78"/>
      <c r="BC323" s="78"/>
      <c r="BD323" s="78"/>
      <c r="BE323" s="78"/>
      <c r="BF323" s="78"/>
    </row>
    <row r="324" spans="1:58" x14ac:dyDescent="0.2">
      <c r="A324" s="46" t="s">
        <v>1540</v>
      </c>
      <c r="C324" s="78">
        <f>+C254</f>
        <v>18466</v>
      </c>
      <c r="D324" s="78">
        <f t="shared" ref="D324:BE324" si="37">+D254</f>
        <v>699</v>
      </c>
      <c r="E324" s="78">
        <f t="shared" si="37"/>
        <v>13806</v>
      </c>
      <c r="F324" s="78">
        <f t="shared" si="37"/>
        <v>112</v>
      </c>
      <c r="G324" s="78">
        <f t="shared" si="37"/>
        <v>82</v>
      </c>
      <c r="H324" s="78">
        <f t="shared" si="37"/>
        <v>14481</v>
      </c>
      <c r="I324" s="78">
        <f t="shared" si="37"/>
        <v>27626</v>
      </c>
      <c r="J324" s="78">
        <f t="shared" si="37"/>
        <v>6247</v>
      </c>
      <c r="K324" s="78">
        <f t="shared" si="37"/>
        <v>1940</v>
      </c>
      <c r="L324" s="78">
        <f t="shared" si="37"/>
        <v>1103</v>
      </c>
      <c r="M324" s="78">
        <f t="shared" si="37"/>
        <v>3481</v>
      </c>
      <c r="N324" s="78">
        <f t="shared" si="37"/>
        <v>6062</v>
      </c>
      <c r="O324" s="78">
        <f t="shared" si="37"/>
        <v>7249</v>
      </c>
      <c r="P324" s="78">
        <f t="shared" si="37"/>
        <v>23272</v>
      </c>
      <c r="Q324" s="78">
        <f t="shared" si="37"/>
        <v>4824</v>
      </c>
      <c r="R324" s="78">
        <f t="shared" si="37"/>
        <v>3069</v>
      </c>
      <c r="S324" s="78">
        <f t="shared" si="37"/>
        <v>22106</v>
      </c>
      <c r="T324" s="78">
        <f t="shared" si="37"/>
        <v>1370</v>
      </c>
      <c r="U324" s="78">
        <f t="shared" si="37"/>
        <v>2683</v>
      </c>
      <c r="V324" s="78">
        <f t="shared" si="37"/>
        <v>7923</v>
      </c>
      <c r="W324" s="78">
        <f t="shared" si="37"/>
        <v>16620</v>
      </c>
      <c r="X324" s="78">
        <f t="shared" si="37"/>
        <v>1389</v>
      </c>
      <c r="Y324" s="78">
        <f t="shared" si="37"/>
        <v>2742</v>
      </c>
      <c r="Z324" s="78">
        <f t="shared" si="37"/>
        <v>1075.0909999999999</v>
      </c>
      <c r="AA324" s="78">
        <f t="shared" si="37"/>
        <v>1098</v>
      </c>
      <c r="AB324" s="78">
        <f t="shared" si="37"/>
        <v>3272</v>
      </c>
      <c r="AC324" s="78">
        <f t="shared" si="37"/>
        <v>7752</v>
      </c>
      <c r="AD324" s="78">
        <f t="shared" si="37"/>
        <v>1734</v>
      </c>
      <c r="AE324" s="78">
        <f t="shared" si="37"/>
        <v>7636</v>
      </c>
      <c r="AF324" s="78">
        <f t="shared" si="37"/>
        <v>1455</v>
      </c>
      <c r="AG324" s="78">
        <f t="shared" si="37"/>
        <v>0</v>
      </c>
      <c r="AH324" s="78">
        <f t="shared" si="37"/>
        <v>0</v>
      </c>
      <c r="AI324" s="78">
        <f t="shared" si="37"/>
        <v>88</v>
      </c>
      <c r="AJ324" s="78">
        <f t="shared" si="37"/>
        <v>195</v>
      </c>
      <c r="AK324" s="78">
        <f t="shared" si="37"/>
        <v>0</v>
      </c>
      <c r="AL324" s="78">
        <f t="shared" si="37"/>
        <v>22231</v>
      </c>
      <c r="AM324" s="78">
        <f t="shared" si="37"/>
        <v>455</v>
      </c>
      <c r="AN324" s="78">
        <f t="shared" si="37"/>
        <v>2731</v>
      </c>
      <c r="AO324" s="78">
        <f t="shared" si="37"/>
        <v>0</v>
      </c>
      <c r="AP324" s="78">
        <f t="shared" si="37"/>
        <v>5746.0370000000003</v>
      </c>
      <c r="AQ324" s="78">
        <f t="shared" si="37"/>
        <v>1665</v>
      </c>
      <c r="AR324" s="78">
        <f t="shared" si="37"/>
        <v>3619</v>
      </c>
      <c r="AS324" s="78">
        <f t="shared" si="37"/>
        <v>16190</v>
      </c>
      <c r="AT324" s="78">
        <f t="shared" si="37"/>
        <v>1962</v>
      </c>
      <c r="AU324" s="78">
        <f t="shared" si="37"/>
        <v>3169</v>
      </c>
      <c r="AV324" s="78">
        <f t="shared" si="37"/>
        <v>7809</v>
      </c>
      <c r="AW324" s="78">
        <f t="shared" si="37"/>
        <v>1957</v>
      </c>
      <c r="AX324" s="78">
        <f t="shared" si="37"/>
        <v>0</v>
      </c>
      <c r="AY324" s="78">
        <f t="shared" si="37"/>
        <v>45</v>
      </c>
      <c r="AZ324" s="78">
        <f t="shared" si="37"/>
        <v>1748</v>
      </c>
      <c r="BA324" s="78">
        <f t="shared" si="37"/>
        <v>1563</v>
      </c>
      <c r="BB324" s="78">
        <f t="shared" si="37"/>
        <v>2004</v>
      </c>
      <c r="BC324" s="78">
        <f t="shared" si="37"/>
        <v>1048</v>
      </c>
      <c r="BD324" s="78">
        <f t="shared" si="37"/>
        <v>6247</v>
      </c>
      <c r="BE324" s="78">
        <f t="shared" si="37"/>
        <v>0</v>
      </c>
      <c r="BF324" s="78">
        <f>+BF254</f>
        <v>0</v>
      </c>
    </row>
    <row r="326" spans="1:58" x14ac:dyDescent="0.2">
      <c r="A326" s="46" t="s">
        <v>1541</v>
      </c>
      <c r="C326" s="78">
        <f>+C256</f>
        <v>15873</v>
      </c>
      <c r="D326" s="78">
        <f t="shared" ref="D326:BE326" si="38">+D256</f>
        <v>1301</v>
      </c>
      <c r="E326" s="78">
        <f t="shared" si="38"/>
        <v>6383</v>
      </c>
      <c r="F326" s="78">
        <f t="shared" si="38"/>
        <v>1047</v>
      </c>
      <c r="G326" s="78">
        <f t="shared" si="38"/>
        <v>397</v>
      </c>
      <c r="H326" s="78">
        <f t="shared" si="38"/>
        <v>12097</v>
      </c>
      <c r="I326" s="78">
        <f t="shared" si="38"/>
        <v>22522</v>
      </c>
      <c r="J326" s="78">
        <f t="shared" si="38"/>
        <v>5440</v>
      </c>
      <c r="K326" s="78">
        <f t="shared" si="38"/>
        <v>6397</v>
      </c>
      <c r="L326" s="78">
        <f t="shared" si="38"/>
        <v>14081</v>
      </c>
      <c r="M326" s="78">
        <f t="shared" si="38"/>
        <v>6409</v>
      </c>
      <c r="N326" s="78">
        <f t="shared" si="38"/>
        <v>5652</v>
      </c>
      <c r="O326" s="78">
        <f t="shared" si="38"/>
        <v>6619</v>
      </c>
      <c r="P326" s="78">
        <f t="shared" si="38"/>
        <v>12766</v>
      </c>
      <c r="Q326" s="78">
        <f t="shared" si="38"/>
        <v>3752</v>
      </c>
      <c r="R326" s="78">
        <f t="shared" si="38"/>
        <v>3026.319</v>
      </c>
      <c r="S326" s="78">
        <f t="shared" si="38"/>
        <v>5800</v>
      </c>
      <c r="T326" s="78">
        <f t="shared" si="38"/>
        <v>3170</v>
      </c>
      <c r="U326" s="78">
        <f t="shared" si="38"/>
        <v>5732</v>
      </c>
      <c r="V326" s="78">
        <f t="shared" si="38"/>
        <v>4533</v>
      </c>
      <c r="W326" s="78">
        <f t="shared" si="38"/>
        <v>33315.18</v>
      </c>
      <c r="X326" s="78">
        <f t="shared" si="38"/>
        <v>2656</v>
      </c>
      <c r="Y326" s="78">
        <f t="shared" si="38"/>
        <v>3485</v>
      </c>
      <c r="Z326" s="78">
        <f t="shared" si="38"/>
        <v>8234</v>
      </c>
      <c r="AA326" s="78">
        <f t="shared" si="38"/>
        <v>333</v>
      </c>
      <c r="AB326" s="78">
        <f t="shared" si="38"/>
        <v>5532</v>
      </c>
      <c r="AC326" s="78">
        <f t="shared" si="38"/>
        <v>2078</v>
      </c>
      <c r="AD326" s="78">
        <f t="shared" si="38"/>
        <v>7623</v>
      </c>
      <c r="AE326" s="78">
        <f t="shared" si="38"/>
        <v>8033</v>
      </c>
      <c r="AF326" s="78">
        <f t="shared" si="38"/>
        <v>2837</v>
      </c>
      <c r="AG326" s="78">
        <f t="shared" si="38"/>
        <v>8784</v>
      </c>
      <c r="AH326" s="78">
        <f t="shared" si="38"/>
        <v>214</v>
      </c>
      <c r="AI326" s="78">
        <f t="shared" si="38"/>
        <v>908</v>
      </c>
      <c r="AJ326" s="78">
        <f t="shared" si="38"/>
        <v>1774</v>
      </c>
      <c r="AK326" s="78">
        <f t="shared" si="38"/>
        <v>992</v>
      </c>
      <c r="AL326" s="78">
        <f t="shared" si="38"/>
        <v>33898</v>
      </c>
      <c r="AM326" s="78">
        <f t="shared" si="38"/>
        <v>3933</v>
      </c>
      <c r="AN326" s="78">
        <f t="shared" si="38"/>
        <v>14405</v>
      </c>
      <c r="AO326" s="78">
        <f t="shared" si="38"/>
        <v>5907</v>
      </c>
      <c r="AP326" s="78">
        <f t="shared" si="38"/>
        <v>7228</v>
      </c>
      <c r="AQ326" s="78">
        <f t="shared" si="38"/>
        <v>2911</v>
      </c>
      <c r="AR326" s="78">
        <f t="shared" si="38"/>
        <v>2491</v>
      </c>
      <c r="AS326" s="78">
        <f t="shared" si="38"/>
        <v>3696</v>
      </c>
      <c r="AT326" s="78">
        <f t="shared" si="38"/>
        <v>1197.8889999999999</v>
      </c>
      <c r="AU326" s="78">
        <f t="shared" si="38"/>
        <v>15457</v>
      </c>
      <c r="AV326" s="78">
        <f t="shared" si="38"/>
        <v>7240</v>
      </c>
      <c r="AW326" s="78">
        <f t="shared" si="38"/>
        <v>1883</v>
      </c>
      <c r="AX326" s="78">
        <f t="shared" si="38"/>
        <v>1950.7550000000001</v>
      </c>
      <c r="AY326" s="78">
        <f t="shared" si="38"/>
        <v>1</v>
      </c>
      <c r="AZ326" s="78">
        <f t="shared" si="38"/>
        <v>10748</v>
      </c>
      <c r="BA326" s="78">
        <f t="shared" si="38"/>
        <v>1048</v>
      </c>
      <c r="BB326" s="78">
        <f t="shared" si="38"/>
        <v>4584</v>
      </c>
      <c r="BC326" s="78">
        <f t="shared" si="38"/>
        <v>5379</v>
      </c>
      <c r="BD326" s="78">
        <f t="shared" si="38"/>
        <v>1282</v>
      </c>
      <c r="BE326" s="78">
        <f t="shared" si="38"/>
        <v>92</v>
      </c>
      <c r="BF326" s="78">
        <f>+BF256</f>
        <v>0</v>
      </c>
    </row>
    <row r="327" spans="1:58" x14ac:dyDescent="0.2">
      <c r="A327" s="46"/>
    </row>
    <row r="328" spans="1:58" x14ac:dyDescent="0.2">
      <c r="A328" s="46" t="s">
        <v>1542</v>
      </c>
      <c r="C328" s="78">
        <f>+C258</f>
        <v>17799</v>
      </c>
      <c r="D328" s="78">
        <f t="shared" ref="D328:BE328" si="39">+D258</f>
        <v>5128</v>
      </c>
      <c r="E328" s="78">
        <f t="shared" si="39"/>
        <v>28140</v>
      </c>
      <c r="F328" s="78">
        <f t="shared" si="39"/>
        <v>871</v>
      </c>
      <c r="G328" s="78">
        <f t="shared" si="39"/>
        <v>65</v>
      </c>
      <c r="H328" s="78">
        <f t="shared" si="39"/>
        <v>33479</v>
      </c>
      <c r="I328" s="78">
        <f t="shared" si="39"/>
        <v>36518</v>
      </c>
      <c r="J328" s="78">
        <f t="shared" si="39"/>
        <v>10178</v>
      </c>
      <c r="K328" s="78">
        <f t="shared" si="39"/>
        <v>11301</v>
      </c>
      <c r="L328" s="78">
        <f t="shared" si="39"/>
        <v>1459</v>
      </c>
      <c r="M328" s="78">
        <f t="shared" si="39"/>
        <v>22879</v>
      </c>
      <c r="N328" s="78">
        <f t="shared" si="39"/>
        <v>39846</v>
      </c>
      <c r="O328" s="78">
        <f t="shared" si="39"/>
        <v>47204</v>
      </c>
      <c r="P328" s="78">
        <f t="shared" si="39"/>
        <v>12081</v>
      </c>
      <c r="Q328" s="78">
        <f t="shared" si="39"/>
        <v>2857</v>
      </c>
      <c r="R328" s="78">
        <f t="shared" si="39"/>
        <v>4500</v>
      </c>
      <c r="S328" s="78">
        <f t="shared" si="39"/>
        <v>9944</v>
      </c>
      <c r="T328" s="78">
        <f t="shared" si="39"/>
        <v>2815</v>
      </c>
      <c r="U328" s="78">
        <f t="shared" si="39"/>
        <v>5711</v>
      </c>
      <c r="V328" s="78">
        <f t="shared" si="39"/>
        <v>6246</v>
      </c>
      <c r="W328" s="78">
        <f t="shared" si="39"/>
        <v>34366</v>
      </c>
      <c r="X328" s="78">
        <f t="shared" si="39"/>
        <v>7568</v>
      </c>
      <c r="Y328" s="78">
        <f t="shared" si="39"/>
        <v>5902</v>
      </c>
      <c r="Z328" s="78">
        <f t="shared" si="39"/>
        <v>16235</v>
      </c>
      <c r="AA328" s="78">
        <f t="shared" si="39"/>
        <v>19259</v>
      </c>
      <c r="AB328" s="78">
        <f t="shared" si="39"/>
        <v>4491</v>
      </c>
      <c r="AC328" s="78">
        <f t="shared" si="39"/>
        <v>9621</v>
      </c>
      <c r="AD328" s="78">
        <f t="shared" si="39"/>
        <v>14592</v>
      </c>
      <c r="AE328" s="78">
        <f t="shared" si="39"/>
        <v>48377</v>
      </c>
      <c r="AF328" s="78">
        <f t="shared" si="39"/>
        <v>10446</v>
      </c>
      <c r="AG328" s="78">
        <f t="shared" si="39"/>
        <v>4995</v>
      </c>
      <c r="AH328" s="78">
        <f t="shared" si="39"/>
        <v>0</v>
      </c>
      <c r="AI328" s="78">
        <f t="shared" si="39"/>
        <v>1925</v>
      </c>
      <c r="AJ328" s="78">
        <f t="shared" si="39"/>
        <v>15307</v>
      </c>
      <c r="AK328" s="78">
        <f t="shared" si="39"/>
        <v>750</v>
      </c>
      <c r="AL328" s="78">
        <f t="shared" si="39"/>
        <v>28163</v>
      </c>
      <c r="AM328" s="78">
        <f t="shared" si="39"/>
        <v>957</v>
      </c>
      <c r="AN328" s="78">
        <f t="shared" si="39"/>
        <v>6559</v>
      </c>
      <c r="AO328" s="78">
        <f t="shared" si="39"/>
        <v>16075</v>
      </c>
      <c r="AP328" s="78">
        <f t="shared" si="39"/>
        <v>2263</v>
      </c>
      <c r="AQ328" s="78">
        <f t="shared" si="39"/>
        <v>1879</v>
      </c>
      <c r="AR328" s="78">
        <f t="shared" si="39"/>
        <v>1909</v>
      </c>
      <c r="AS328" s="78">
        <f t="shared" si="39"/>
        <v>31932</v>
      </c>
      <c r="AT328" s="78">
        <f t="shared" si="39"/>
        <v>1301</v>
      </c>
      <c r="AU328" s="78">
        <f t="shared" si="39"/>
        <v>10491</v>
      </c>
      <c r="AV328" s="78">
        <f t="shared" si="39"/>
        <v>11164</v>
      </c>
      <c r="AW328" s="78">
        <f t="shared" si="39"/>
        <v>4448</v>
      </c>
      <c r="AX328" s="78">
        <f t="shared" si="39"/>
        <v>19865</v>
      </c>
      <c r="AY328" s="78">
        <f t="shared" si="39"/>
        <v>10957</v>
      </c>
      <c r="AZ328" s="78">
        <f t="shared" si="39"/>
        <v>5230</v>
      </c>
      <c r="BA328" s="78">
        <f t="shared" si="39"/>
        <v>3702</v>
      </c>
      <c r="BB328" s="78">
        <f t="shared" si="39"/>
        <v>4584</v>
      </c>
      <c r="BC328" s="78">
        <f t="shared" si="39"/>
        <v>3332</v>
      </c>
      <c r="BD328" s="78">
        <f t="shared" si="39"/>
        <v>10585</v>
      </c>
      <c r="BE328" s="78">
        <f t="shared" si="39"/>
        <v>788</v>
      </c>
      <c r="BF328" s="78">
        <f>+BF258</f>
        <v>0</v>
      </c>
    </row>
    <row r="330" spans="1:58" x14ac:dyDescent="0.2">
      <c r="A330" s="46" t="s">
        <v>587</v>
      </c>
      <c r="C330" s="78">
        <f>+C260</f>
        <v>25303</v>
      </c>
      <c r="D330" s="78">
        <v>0</v>
      </c>
      <c r="E330" s="78">
        <f t="shared" ref="E330:AJ330" si="40">+E260</f>
        <v>24596</v>
      </c>
      <c r="F330" s="78">
        <f t="shared" si="40"/>
        <v>2797</v>
      </c>
      <c r="G330" s="78">
        <f t="shared" si="40"/>
        <v>4037</v>
      </c>
      <c r="H330" s="78">
        <f t="shared" si="40"/>
        <v>102510</v>
      </c>
      <c r="I330" s="78">
        <f t="shared" si="40"/>
        <v>16127</v>
      </c>
      <c r="J330" s="78">
        <f t="shared" si="40"/>
        <v>4490</v>
      </c>
      <c r="K330" s="78">
        <f t="shared" si="40"/>
        <v>2450</v>
      </c>
      <c r="L330" s="78">
        <f t="shared" si="40"/>
        <v>20119</v>
      </c>
      <c r="M330" s="78">
        <f t="shared" si="40"/>
        <v>4763</v>
      </c>
      <c r="N330" s="78">
        <f t="shared" si="40"/>
        <v>3194</v>
      </c>
      <c r="O330" s="78">
        <f t="shared" si="40"/>
        <v>9084</v>
      </c>
      <c r="P330" s="78">
        <f t="shared" si="40"/>
        <v>0</v>
      </c>
      <c r="Q330" s="78">
        <f t="shared" si="40"/>
        <v>9223</v>
      </c>
      <c r="R330" s="78">
        <f t="shared" si="40"/>
        <v>1245</v>
      </c>
      <c r="S330" s="78">
        <f t="shared" si="40"/>
        <v>1179</v>
      </c>
      <c r="T330" s="78">
        <f t="shared" si="40"/>
        <v>1586</v>
      </c>
      <c r="U330" s="78">
        <f t="shared" si="40"/>
        <v>5732</v>
      </c>
      <c r="V330" s="78">
        <f t="shared" si="40"/>
        <v>15207</v>
      </c>
      <c r="W330" s="78">
        <f t="shared" si="40"/>
        <v>0</v>
      </c>
      <c r="X330" s="78">
        <f t="shared" si="40"/>
        <v>18662</v>
      </c>
      <c r="Y330" s="78">
        <f t="shared" si="40"/>
        <v>0</v>
      </c>
      <c r="Z330" s="78">
        <f t="shared" si="40"/>
        <v>883</v>
      </c>
      <c r="AA330" s="78">
        <f t="shared" si="40"/>
        <v>4320</v>
      </c>
      <c r="AB330" s="78">
        <f t="shared" si="40"/>
        <v>156</v>
      </c>
      <c r="AC330" s="78">
        <f t="shared" si="40"/>
        <v>25851</v>
      </c>
      <c r="AD330" s="78">
        <f t="shared" si="40"/>
        <v>732</v>
      </c>
      <c r="AE330" s="78">
        <f t="shared" si="40"/>
        <v>18465</v>
      </c>
      <c r="AF330" s="78">
        <f t="shared" si="40"/>
        <v>40</v>
      </c>
      <c r="AG330" s="78">
        <f t="shared" si="40"/>
        <v>230</v>
      </c>
      <c r="AH330" s="78">
        <f t="shared" si="40"/>
        <v>7539</v>
      </c>
      <c r="AI330" s="78">
        <f t="shared" si="40"/>
        <v>7296</v>
      </c>
      <c r="AJ330" s="78">
        <f t="shared" si="40"/>
        <v>329</v>
      </c>
      <c r="AK330" s="78">
        <f t="shared" ref="AK330:BA330" si="41">+AK260</f>
        <v>5618</v>
      </c>
      <c r="AL330" s="78">
        <f t="shared" si="41"/>
        <v>112405</v>
      </c>
      <c r="AM330" s="78">
        <f t="shared" si="41"/>
        <v>721</v>
      </c>
      <c r="AN330" s="78">
        <f t="shared" si="41"/>
        <v>0</v>
      </c>
      <c r="AO330" s="78">
        <f t="shared" si="41"/>
        <v>8113</v>
      </c>
      <c r="AP330" s="78">
        <f t="shared" si="41"/>
        <v>6666</v>
      </c>
      <c r="AQ330" s="78">
        <f t="shared" si="41"/>
        <v>1186</v>
      </c>
      <c r="AR330" s="78">
        <f t="shared" si="41"/>
        <v>727</v>
      </c>
      <c r="AS330" s="78">
        <f t="shared" si="41"/>
        <v>0</v>
      </c>
      <c r="AT330" s="78">
        <f t="shared" si="41"/>
        <v>6472</v>
      </c>
      <c r="AU330" s="78">
        <f t="shared" si="41"/>
        <v>394</v>
      </c>
      <c r="AV330" s="78">
        <f t="shared" si="41"/>
        <v>0</v>
      </c>
      <c r="AW330" s="78">
        <f t="shared" si="41"/>
        <v>376</v>
      </c>
      <c r="AX330" s="78">
        <f t="shared" si="41"/>
        <v>18408</v>
      </c>
      <c r="AY330" s="78">
        <f t="shared" si="41"/>
        <v>28</v>
      </c>
      <c r="AZ330" s="78">
        <f t="shared" si="41"/>
        <v>0</v>
      </c>
      <c r="BA330" s="78">
        <f t="shared" si="41"/>
        <v>8528</v>
      </c>
      <c r="BB330" s="78">
        <v>5448</v>
      </c>
      <c r="BC330" s="78">
        <f>+BC260</f>
        <v>36197</v>
      </c>
      <c r="BD330" s="78">
        <f>+BD260</f>
        <v>4723</v>
      </c>
      <c r="BE330" s="78">
        <f>+BE260</f>
        <v>475</v>
      </c>
      <c r="BF330" s="78">
        <f>+BF260</f>
        <v>0</v>
      </c>
    </row>
    <row r="332" spans="1:58" x14ac:dyDescent="0.2">
      <c r="A332" s="46" t="s">
        <v>605</v>
      </c>
      <c r="C332" s="50">
        <f>-2919*C539</f>
        <v>-6724.5309107794201</v>
      </c>
      <c r="D332" s="1">
        <v>-1292</v>
      </c>
      <c r="E332" s="1">
        <v>-4115</v>
      </c>
      <c r="F332" s="1">
        <v>-696</v>
      </c>
      <c r="G332" s="1">
        <v>-2398</v>
      </c>
      <c r="H332" s="47">
        <v>-33898</v>
      </c>
      <c r="I332" s="50">
        <f>-7911*I539</f>
        <v>-6556.4530711666266</v>
      </c>
      <c r="J332" s="1">
        <v>-4153</v>
      </c>
      <c r="K332" s="50">
        <f>-1056*K539</f>
        <v>-1056</v>
      </c>
      <c r="L332" s="1">
        <f>-271-1295</f>
        <v>-1566</v>
      </c>
      <c r="M332" s="1">
        <v>-5141</v>
      </c>
      <c r="N332" s="1">
        <v>-7090</v>
      </c>
      <c r="O332" s="1">
        <v>-1875</v>
      </c>
      <c r="P332" s="1">
        <v>-1298</v>
      </c>
      <c r="Q332" s="1">
        <v>-349</v>
      </c>
      <c r="R332" s="1">
        <f>+R334</f>
        <v>-1146</v>
      </c>
      <c r="S332" s="1">
        <v>-1576</v>
      </c>
      <c r="T332" s="1">
        <v>-2634</v>
      </c>
      <c r="U332" s="1">
        <v>-2133</v>
      </c>
      <c r="V332" s="1">
        <f>+V334</f>
        <v>-3134.9279999999999</v>
      </c>
      <c r="W332" s="1">
        <v>-2343</v>
      </c>
      <c r="Y332" s="1">
        <v>-1536</v>
      </c>
      <c r="Z332" s="1">
        <f>-765100/1000</f>
        <v>-765.1</v>
      </c>
      <c r="AA332" s="1">
        <v>-1401</v>
      </c>
      <c r="AB332" s="1">
        <v>-2636</v>
      </c>
      <c r="AC332" s="1">
        <v>-1197</v>
      </c>
      <c r="AD332" s="1">
        <v>-815</v>
      </c>
      <c r="AE332" s="1">
        <v>0</v>
      </c>
      <c r="AF332" s="1">
        <v>-646</v>
      </c>
      <c r="AG332" s="1">
        <v>-284</v>
      </c>
      <c r="AH332" s="1">
        <v>0</v>
      </c>
      <c r="AI332" s="1">
        <v>-772</v>
      </c>
      <c r="AJ332" s="1">
        <v>-585</v>
      </c>
      <c r="AK332" s="1">
        <v>0</v>
      </c>
      <c r="AL332" s="1">
        <v>0</v>
      </c>
      <c r="AM332" s="1">
        <v>0</v>
      </c>
      <c r="AN332" s="1">
        <v>0</v>
      </c>
      <c r="AO332" s="1">
        <v>-1</v>
      </c>
      <c r="AP332" s="1">
        <v>0</v>
      </c>
      <c r="AQ332" s="1">
        <f>-886649/1000</f>
        <v>-886.649</v>
      </c>
      <c r="AR332" s="1">
        <v>0</v>
      </c>
      <c r="AS332" s="1">
        <v>-2196</v>
      </c>
      <c r="AT332" s="1">
        <v>0</v>
      </c>
      <c r="AU332" s="1">
        <v>0</v>
      </c>
      <c r="AV332" s="1">
        <v>0</v>
      </c>
      <c r="AW332" s="1">
        <v>0</v>
      </c>
      <c r="AX332" s="1">
        <v>0</v>
      </c>
      <c r="AY332" s="1">
        <v>0</v>
      </c>
      <c r="AZ332" s="1">
        <v>0</v>
      </c>
      <c r="BA332" s="1">
        <v>0</v>
      </c>
      <c r="BC332" s="1">
        <v>0</v>
      </c>
      <c r="BD332" s="1">
        <v>0</v>
      </c>
      <c r="BE332" s="1">
        <v>0</v>
      </c>
      <c r="BF332" s="1">
        <v>0</v>
      </c>
    </row>
    <row r="333" spans="1:58" x14ac:dyDescent="0.2">
      <c r="H333" s="47"/>
    </row>
    <row r="334" spans="1:58" x14ac:dyDescent="0.2">
      <c r="A334" s="46" t="s">
        <v>606</v>
      </c>
      <c r="C334" s="50">
        <f>-3828*C539</f>
        <v>-8818.6037432215198</v>
      </c>
      <c r="D334" s="1">
        <v>-1150</v>
      </c>
      <c r="E334" s="1">
        <v>-10898</v>
      </c>
      <c r="F334" s="1">
        <v>-836</v>
      </c>
      <c r="G334" s="1">
        <v>-2390</v>
      </c>
      <c r="H334" s="47">
        <v>-34359</v>
      </c>
      <c r="I334" s="50">
        <f>-7266*I539</f>
        <v>-6021.8920509539512</v>
      </c>
      <c r="J334" s="1">
        <v>-4368</v>
      </c>
      <c r="K334" s="50">
        <f>-4225*K539</f>
        <v>-4225</v>
      </c>
      <c r="L334" s="1">
        <f>-315-1817</f>
        <v>-2132</v>
      </c>
      <c r="M334" s="1">
        <v>-5239</v>
      </c>
      <c r="N334" s="1">
        <v>-7531</v>
      </c>
      <c r="O334" s="1">
        <v>-1825</v>
      </c>
      <c r="P334" s="1">
        <v>-2061</v>
      </c>
      <c r="Q334" s="1">
        <v>-348</v>
      </c>
      <c r="R334" s="1">
        <v>-1146</v>
      </c>
      <c r="S334" s="1">
        <v>-1334</v>
      </c>
      <c r="T334" s="1">
        <v>-1182</v>
      </c>
      <c r="U334" s="1">
        <v>-1868</v>
      </c>
      <c r="V334" s="1">
        <f>-3134928/1000</f>
        <v>-3134.9279999999999</v>
      </c>
      <c r="W334" s="1">
        <v>-2968</v>
      </c>
      <c r="X334" s="1">
        <v>-3195</v>
      </c>
      <c r="Y334" s="1">
        <v>-3061</v>
      </c>
      <c r="Z334" s="1">
        <f>-997111/1000</f>
        <v>-997.11099999999999</v>
      </c>
      <c r="AA334" s="1">
        <v>-4223</v>
      </c>
      <c r="AB334" s="1">
        <v>-1249</v>
      </c>
      <c r="AC334" s="1">
        <v>-3621</v>
      </c>
      <c r="AD334" s="1">
        <v>-1259</v>
      </c>
      <c r="AE334" s="1">
        <v>-9807</v>
      </c>
      <c r="AF334" s="1">
        <v>-1815</v>
      </c>
      <c r="AG334" s="1">
        <v>-1132</v>
      </c>
      <c r="AH334" s="1">
        <v>-1477</v>
      </c>
      <c r="AI334" s="1">
        <v>-1646</v>
      </c>
      <c r="AJ334" s="1">
        <v>-972</v>
      </c>
      <c r="AK334" s="1">
        <v>0</v>
      </c>
      <c r="AL334" s="1">
        <v>-7169</v>
      </c>
      <c r="AM334" s="1">
        <v>-3959</v>
      </c>
      <c r="AN334" s="1">
        <v>0</v>
      </c>
      <c r="AO334" s="1">
        <v>-1</v>
      </c>
      <c r="AP334" s="1">
        <v>-60</v>
      </c>
      <c r="AQ334" s="1">
        <f>-1364206/1000</f>
        <v>-1364.2059999999999</v>
      </c>
      <c r="AR334" s="1">
        <v>-309</v>
      </c>
      <c r="AS334" s="1">
        <v>-5509</v>
      </c>
      <c r="AT334" s="1">
        <v>-842</v>
      </c>
      <c r="AU334" s="1">
        <v>-1594</v>
      </c>
      <c r="AV334" s="1">
        <v>-2604</v>
      </c>
      <c r="AW334" s="1">
        <v>-2742</v>
      </c>
      <c r="AX334" s="1">
        <v>0</v>
      </c>
      <c r="AY334" s="1">
        <f>-218</f>
        <v>-218</v>
      </c>
      <c r="AZ334" s="1">
        <v>-2631</v>
      </c>
      <c r="BA334" s="1">
        <v>-2047</v>
      </c>
      <c r="BB334" s="1">
        <v>-3695</v>
      </c>
      <c r="BC334" s="1">
        <v>-3231</v>
      </c>
      <c r="BD334" s="1">
        <v>0</v>
      </c>
      <c r="BE334" s="1">
        <v>0</v>
      </c>
      <c r="BF334" s="1">
        <v>0</v>
      </c>
    </row>
    <row r="336" spans="1:58" x14ac:dyDescent="0.2">
      <c r="A336" s="46" t="s">
        <v>607</v>
      </c>
      <c r="C336" s="50">
        <f>-4617*C539</f>
        <v>-10636.231317255424</v>
      </c>
      <c r="D336" s="1">
        <v>-1167</v>
      </c>
      <c r="E336" s="1">
        <f>-1845-3397</f>
        <v>-5242</v>
      </c>
      <c r="F336" s="1">
        <v>-1</v>
      </c>
      <c r="G336" s="1">
        <v>-2421</v>
      </c>
      <c r="H336" s="1">
        <v>-34653</v>
      </c>
      <c r="I336" s="50">
        <f>-6437*I539</f>
        <v>-5334.8361040449472</v>
      </c>
      <c r="J336" s="1">
        <f>-966-3186</f>
        <v>-4152</v>
      </c>
      <c r="K336" s="50">
        <f>-2281*K539</f>
        <v>-2281</v>
      </c>
      <c r="L336" s="1">
        <f>-360-1959</f>
        <v>-2319</v>
      </c>
      <c r="M336" s="1">
        <v>-5239</v>
      </c>
      <c r="N336" s="1">
        <v>-8408</v>
      </c>
      <c r="O336" s="1">
        <v>-1946</v>
      </c>
      <c r="P336" s="1">
        <v>-5181</v>
      </c>
      <c r="Q336" s="1">
        <v>-455</v>
      </c>
      <c r="R336" s="47">
        <f>-1092769/1000-221479/1000</f>
        <v>-1314.248</v>
      </c>
      <c r="S336" s="1">
        <v>-1223</v>
      </c>
      <c r="T336" s="1">
        <v>-1537</v>
      </c>
      <c r="U336" s="1">
        <v>-1903</v>
      </c>
      <c r="V336" s="1">
        <f>-297-3027</f>
        <v>-3324</v>
      </c>
      <c r="W336" s="1">
        <v>-3257</v>
      </c>
      <c r="X336" s="1">
        <v>-3136</v>
      </c>
      <c r="Y336" s="1">
        <v>-3094</v>
      </c>
      <c r="Z336" s="1">
        <f>-1184124/1000</f>
        <v>-1184.124</v>
      </c>
      <c r="AA336" s="1">
        <v>-4655</v>
      </c>
      <c r="AB336" s="1">
        <v>-1183</v>
      </c>
      <c r="AC336" s="1">
        <v>-3479</v>
      </c>
      <c r="AD336" s="1">
        <v>-1200</v>
      </c>
      <c r="AE336" s="1">
        <v>-10791</v>
      </c>
      <c r="AF336" s="1">
        <v>-2419</v>
      </c>
      <c r="AG336" s="1">
        <f>-47-986</f>
        <v>-1033</v>
      </c>
      <c r="AH336" s="1">
        <v>-1776</v>
      </c>
      <c r="AI336" s="1">
        <v>-1888</v>
      </c>
      <c r="AJ336" s="1">
        <v>-1</v>
      </c>
      <c r="AK336" s="1">
        <v>0</v>
      </c>
      <c r="AL336" s="1">
        <v>-7349</v>
      </c>
      <c r="AM336" s="1">
        <v>-3194</v>
      </c>
      <c r="AN336" s="1">
        <v>-3323</v>
      </c>
      <c r="AO336" s="1">
        <v>-1</v>
      </c>
      <c r="AP336" s="1">
        <v>-71</v>
      </c>
      <c r="AQ336" s="1">
        <v>-846</v>
      </c>
      <c r="AR336" s="1">
        <v>-478</v>
      </c>
      <c r="AS336" s="1">
        <v>-9662</v>
      </c>
      <c r="AT336" s="1">
        <v>-1430</v>
      </c>
      <c r="AU336" s="1">
        <v>-1560</v>
      </c>
      <c r="AV336" s="1">
        <v>-5249</v>
      </c>
      <c r="AW336" s="1">
        <f>-1438-1137</f>
        <v>-2575</v>
      </c>
      <c r="AX336" s="1">
        <v>0</v>
      </c>
      <c r="AY336" s="1">
        <v>-436</v>
      </c>
      <c r="AZ336" s="1">
        <v>-3166</v>
      </c>
      <c r="BA336" s="1">
        <f>-520-2215</f>
        <v>-2735</v>
      </c>
      <c r="BB336" s="1">
        <v>-3584</v>
      </c>
      <c r="BC336" s="1">
        <v>-3258</v>
      </c>
      <c r="BD336" s="1">
        <v>-2885</v>
      </c>
      <c r="BE336" s="1">
        <v>0</v>
      </c>
      <c r="BF336" s="1">
        <v>0</v>
      </c>
    </row>
    <row r="337" spans="1:63" x14ac:dyDescent="0.2">
      <c r="A337" s="46"/>
      <c r="C337" s="50"/>
      <c r="I337" s="50"/>
      <c r="K337" s="50"/>
      <c r="R337" s="47"/>
    </row>
    <row r="338" spans="1:63" x14ac:dyDescent="0.2">
      <c r="A338" s="1228" t="s">
        <v>1524</v>
      </c>
      <c r="C338" s="1246">
        <v>-4663</v>
      </c>
      <c r="D338" s="1240">
        <f>-28-1158</f>
        <v>-1186</v>
      </c>
      <c r="E338" s="1246">
        <f>-1921-3807</f>
        <v>-5728</v>
      </c>
      <c r="F338" s="1246">
        <v>-796</v>
      </c>
      <c r="G338" s="1246">
        <v>-2392</v>
      </c>
      <c r="H338" s="1246">
        <v>-31695</v>
      </c>
      <c r="I338" s="1246">
        <f>-1463-6200</f>
        <v>-7663</v>
      </c>
      <c r="J338" s="1246">
        <f>-808-3624</f>
        <v>-4432</v>
      </c>
      <c r="K338" s="1246">
        <f>-300-1744</f>
        <v>-2044</v>
      </c>
      <c r="L338" s="1246">
        <f>-1-1460</f>
        <v>-1461</v>
      </c>
      <c r="M338" s="1246">
        <f>-1497-3009</f>
        <v>-4506</v>
      </c>
      <c r="N338" s="1246">
        <v>-8239</v>
      </c>
      <c r="O338" s="1246">
        <v>-2181</v>
      </c>
      <c r="P338" s="1246">
        <v>-5181</v>
      </c>
      <c r="Q338" s="1246">
        <v>-427</v>
      </c>
      <c r="R338" s="1246">
        <v>0</v>
      </c>
      <c r="S338" s="1246">
        <f>-272-1026</f>
        <v>-1298</v>
      </c>
      <c r="T338" s="1246">
        <f>-308-1623</f>
        <v>-1931</v>
      </c>
      <c r="U338" s="1246">
        <f>-402-1541</f>
        <v>-1943</v>
      </c>
      <c r="V338" s="1246">
        <f>-464-3159</f>
        <v>-3623</v>
      </c>
      <c r="W338" s="1246">
        <v>-357</v>
      </c>
      <c r="X338" s="1240">
        <f>-195-3008</f>
        <v>-3203</v>
      </c>
      <c r="Y338" s="1246">
        <v>-3171</v>
      </c>
      <c r="Z338" s="1246">
        <f>-46-1123</f>
        <v>-1169</v>
      </c>
      <c r="AA338" s="1246">
        <v>-4069</v>
      </c>
      <c r="AB338" s="1246">
        <v>-840</v>
      </c>
      <c r="AC338" s="1246">
        <v>-3615</v>
      </c>
      <c r="AD338" s="1246">
        <v>-1407</v>
      </c>
      <c r="AE338" s="1246">
        <f>-1234-9220</f>
        <v>-10454</v>
      </c>
      <c r="AF338" s="1246">
        <f>-575-1616</f>
        <v>-2191</v>
      </c>
      <c r="AG338" s="1246">
        <f>-47-988</f>
        <v>-1035</v>
      </c>
      <c r="AH338" s="1246">
        <v>-1772</v>
      </c>
      <c r="AI338" s="1246">
        <v>-1462</v>
      </c>
      <c r="AJ338" s="1246">
        <f>-464-295</f>
        <v>-759</v>
      </c>
      <c r="AK338" s="1246">
        <v>0</v>
      </c>
      <c r="AL338" s="1246">
        <f>-466-7045</f>
        <v>-7511</v>
      </c>
      <c r="AM338" s="1246">
        <f>-375-2768</f>
        <v>-3143</v>
      </c>
      <c r="AN338" s="1246">
        <f>-529-3137</f>
        <v>-3666</v>
      </c>
      <c r="AO338" s="1246">
        <f>-168-442</f>
        <v>-610</v>
      </c>
      <c r="AP338" s="1246">
        <v>-105</v>
      </c>
      <c r="AQ338" s="1246">
        <v>-105</v>
      </c>
      <c r="AR338" s="1246">
        <f>-30-295</f>
        <v>-325</v>
      </c>
      <c r="AS338" s="1246">
        <v>-4801</v>
      </c>
      <c r="AT338" s="1246">
        <f>-111-1347</f>
        <v>-1458</v>
      </c>
      <c r="AU338" s="1246">
        <v>-1594</v>
      </c>
      <c r="AV338" s="1246">
        <f>-394-4894</f>
        <v>-5288</v>
      </c>
      <c r="AW338" s="1246">
        <f>-1456-783</f>
        <v>-2239</v>
      </c>
      <c r="AX338" s="1246">
        <v>-1280</v>
      </c>
      <c r="AY338" s="1246">
        <v>-419</v>
      </c>
      <c r="AZ338" s="1246">
        <f>-514-2574</f>
        <v>-3088</v>
      </c>
      <c r="BA338" s="1246">
        <f>-521-2068</f>
        <v>-2589</v>
      </c>
      <c r="BB338" s="1246">
        <f>-164-3677</f>
        <v>-3841</v>
      </c>
      <c r="BC338" s="1240">
        <v>-3291</v>
      </c>
      <c r="BD338" s="1240">
        <f>-624-2570</f>
        <v>-3194</v>
      </c>
      <c r="BE338" s="1246">
        <v>0</v>
      </c>
      <c r="BF338" s="1246">
        <v>0</v>
      </c>
    </row>
    <row r="339" spans="1:63" x14ac:dyDescent="0.2">
      <c r="C339" s="1240"/>
      <c r="D339" s="1240"/>
      <c r="E339" s="1240"/>
      <c r="F339" s="1240"/>
      <c r="G339" s="1240"/>
      <c r="H339" s="1240"/>
      <c r="I339" s="1240"/>
      <c r="J339" s="1240"/>
      <c r="K339" s="1240"/>
      <c r="L339" s="1240"/>
      <c r="M339" s="1240"/>
      <c r="N339" s="1240"/>
      <c r="O339" s="1240"/>
      <c r="P339" s="1240"/>
      <c r="Q339" s="1240"/>
      <c r="R339" s="1240"/>
      <c r="S339" s="1240"/>
      <c r="T339" s="1240"/>
      <c r="U339" s="1240"/>
      <c r="V339" s="1240"/>
      <c r="W339" s="1240"/>
      <c r="X339" s="1240"/>
      <c r="Y339" s="1240"/>
      <c r="Z339" s="1240"/>
      <c r="AA339" s="1240"/>
      <c r="AB339" s="1240"/>
      <c r="AC339" s="1240"/>
      <c r="AD339" s="1240"/>
      <c r="AE339" s="1240"/>
      <c r="AF339" s="1240"/>
      <c r="AG339" s="1240"/>
      <c r="AH339" s="1240"/>
      <c r="AI339" s="1240"/>
      <c r="AJ339" s="1240"/>
      <c r="AK339" s="1240"/>
      <c r="AL339" s="1240"/>
      <c r="AM339" s="1240"/>
      <c r="AN339" s="1240"/>
      <c r="AO339" s="1240"/>
      <c r="AP339" s="1240"/>
      <c r="AQ339" s="1240"/>
      <c r="AR339" s="1240"/>
      <c r="AS339" s="1240"/>
      <c r="AT339" s="1240"/>
      <c r="AU339" s="1240"/>
      <c r="AV339" s="1240"/>
      <c r="AW339" s="1240"/>
      <c r="AX339" s="1240"/>
      <c r="AY339" s="1240"/>
      <c r="AZ339" s="1240"/>
      <c r="BA339" s="1240"/>
      <c r="BB339" s="1240"/>
      <c r="BC339" s="1240"/>
      <c r="BD339" s="1240"/>
      <c r="BE339" s="1240"/>
      <c r="BF339" s="1240"/>
    </row>
    <row r="340" spans="1:63" x14ac:dyDescent="0.2">
      <c r="A340" s="1228" t="s">
        <v>1525</v>
      </c>
      <c r="C340" s="1246">
        <v>-5046</v>
      </c>
      <c r="D340" s="1246">
        <f>-187-920</f>
        <v>-1107</v>
      </c>
      <c r="E340" s="1246">
        <f>-2002-4025</f>
        <v>-6027</v>
      </c>
      <c r="F340" s="1246">
        <v>-747</v>
      </c>
      <c r="G340" s="1246">
        <v>-2411</v>
      </c>
      <c r="H340" s="1246">
        <v>-31933</v>
      </c>
      <c r="I340" s="1246">
        <f>-1463-6477</f>
        <v>-7940</v>
      </c>
      <c r="J340" s="1246">
        <f>-862-3731</f>
        <v>-4593</v>
      </c>
      <c r="K340" s="1246">
        <f>-703-3234</f>
        <v>-3937</v>
      </c>
      <c r="L340" s="1246">
        <f>-953-2055</f>
        <v>-3008</v>
      </c>
      <c r="M340" s="1246">
        <f>-1405-3070</f>
        <v>-4475</v>
      </c>
      <c r="N340" s="1246">
        <v>-8547</v>
      </c>
      <c r="O340" s="1246">
        <v>-2571</v>
      </c>
      <c r="P340" s="1246">
        <f>-428-7369</f>
        <v>-7797</v>
      </c>
      <c r="Q340" s="1246">
        <v>-572</v>
      </c>
      <c r="R340" s="1246">
        <f>-(269972+2135441)/1000</f>
        <v>-2405.413</v>
      </c>
      <c r="S340" s="1246">
        <f>-282-904</f>
        <v>-1186</v>
      </c>
      <c r="T340" s="1246">
        <f>-309-1457</f>
        <v>-1766</v>
      </c>
      <c r="U340" s="1246">
        <f>-402-1661</f>
        <v>-2063</v>
      </c>
      <c r="V340" s="1246">
        <f>-486-3292</f>
        <v>-3778</v>
      </c>
      <c r="W340" s="1246">
        <f>-(40011+4667346)/1000</f>
        <v>-4707.357</v>
      </c>
      <c r="X340" s="1240">
        <f>-2979-216</f>
        <v>-3195</v>
      </c>
      <c r="Y340" s="1246"/>
      <c r="Z340" s="1246">
        <f>-46-1175</f>
        <v>-1221</v>
      </c>
      <c r="AA340" s="1246">
        <v>-4040</v>
      </c>
      <c r="AB340" s="1246">
        <v>-1874</v>
      </c>
      <c r="AC340" s="1246">
        <v>-3154</v>
      </c>
      <c r="AD340" s="1246">
        <v>-1477</v>
      </c>
      <c r="AE340" s="1246">
        <f>-1234-9207</f>
        <v>-10441</v>
      </c>
      <c r="AF340" s="1246">
        <f>-580-1668</f>
        <v>-2248</v>
      </c>
      <c r="AG340" s="1246">
        <f>-47-988</f>
        <v>-1035</v>
      </c>
      <c r="AH340" s="1246">
        <v>-1772</v>
      </c>
      <c r="AI340" s="1246">
        <v>-1579</v>
      </c>
      <c r="AJ340" s="1246">
        <f>-356-789</f>
        <v>-1145</v>
      </c>
      <c r="AK340" s="1246">
        <v>-649</v>
      </c>
      <c r="AL340" s="1246">
        <f>-478-7454</f>
        <v>-7932</v>
      </c>
      <c r="AM340" s="1246">
        <f>-363-2675</f>
        <v>-3038</v>
      </c>
      <c r="AN340" s="1246">
        <f>-529-3137</f>
        <v>-3666</v>
      </c>
      <c r="AO340" s="1246">
        <f>-345-876</f>
        <v>-1221</v>
      </c>
      <c r="AP340" s="1246">
        <v>-264</v>
      </c>
      <c r="AQ340" s="1246">
        <v>-264</v>
      </c>
      <c r="AR340" s="1246">
        <f>-30-411</f>
        <v>-441</v>
      </c>
      <c r="AS340" s="1246">
        <v>-4481</v>
      </c>
      <c r="AT340" s="1246">
        <f>-(48860+1389873)/1000</f>
        <v>-1438.7329999999999</v>
      </c>
      <c r="AU340" s="1246">
        <v>-2070</v>
      </c>
      <c r="AV340" s="1246">
        <f>-462-4066</f>
        <v>-4528</v>
      </c>
      <c r="AW340" s="1246">
        <f>-1458-827</f>
        <v>-2285</v>
      </c>
      <c r="AX340" s="1246">
        <f>-1192801/1000</f>
        <v>-1192.8009999999999</v>
      </c>
      <c r="AY340" s="1246">
        <v>-374</v>
      </c>
      <c r="AZ340" s="1246">
        <f>-465-2099</f>
        <v>-2564</v>
      </c>
      <c r="BA340" s="1246">
        <f>-525-1712</f>
        <v>-2237</v>
      </c>
      <c r="BB340" s="1246">
        <f>-164-3758</f>
        <v>-3922</v>
      </c>
      <c r="BC340" s="1246">
        <f>-105-3225</f>
        <v>-3330</v>
      </c>
      <c r="BD340" s="1246">
        <v>-3194</v>
      </c>
      <c r="BE340" s="1246">
        <v>-537</v>
      </c>
      <c r="BF340" s="1246">
        <v>0</v>
      </c>
    </row>
    <row r="342" spans="1:63" x14ac:dyDescent="0.2">
      <c r="A342" s="1228" t="s">
        <v>1530</v>
      </c>
      <c r="C342" s="1">
        <v>-5526</v>
      </c>
      <c r="D342" s="1">
        <v>-1945</v>
      </c>
      <c r="E342" s="1">
        <v>-6348</v>
      </c>
      <c r="F342" s="1">
        <v>-766</v>
      </c>
      <c r="G342" s="1">
        <v>-2210</v>
      </c>
      <c r="H342" s="1">
        <v>-33360</v>
      </c>
      <c r="I342" s="5">
        <f>-1824-6164</f>
        <v>-7988</v>
      </c>
      <c r="J342" s="1">
        <v>-4893</v>
      </c>
      <c r="K342" s="1">
        <f>-504-3464</f>
        <v>-3968</v>
      </c>
      <c r="L342" s="1">
        <v>-3070</v>
      </c>
      <c r="M342" s="1">
        <v>-5291</v>
      </c>
      <c r="N342" s="5">
        <v>-9394</v>
      </c>
      <c r="O342" s="5">
        <v>-2672</v>
      </c>
      <c r="P342" s="1">
        <v>-6876</v>
      </c>
      <c r="Q342" s="1">
        <v>-698</v>
      </c>
      <c r="R342" s="1">
        <v>-2269</v>
      </c>
      <c r="S342" s="1">
        <v>-1370</v>
      </c>
      <c r="T342" s="1">
        <v>-1963</v>
      </c>
      <c r="U342" s="1">
        <f>-405-1657</f>
        <v>-2062</v>
      </c>
      <c r="V342" s="1">
        <v>-3970</v>
      </c>
      <c r="W342" s="1">
        <v>-5437</v>
      </c>
      <c r="X342" s="5">
        <f>-3215-170</f>
        <v>-3385</v>
      </c>
      <c r="Y342" s="1">
        <v>-2786</v>
      </c>
      <c r="Z342" s="1">
        <v>-1609</v>
      </c>
      <c r="AA342" s="5">
        <v>-3856</v>
      </c>
      <c r="AB342" s="1">
        <f>-104-1948</f>
        <v>-2052</v>
      </c>
      <c r="AC342" s="1">
        <v>-3690</v>
      </c>
      <c r="AD342" s="5">
        <v>-1710</v>
      </c>
      <c r="AE342" s="5">
        <v>-8296</v>
      </c>
      <c r="AF342" s="1">
        <v>-2213</v>
      </c>
      <c r="AG342" s="1">
        <v>-1247</v>
      </c>
      <c r="AH342" s="1">
        <v>-1762</v>
      </c>
      <c r="AI342" s="1">
        <v>-1608</v>
      </c>
      <c r="AJ342" s="1">
        <f>-526-823</f>
        <v>-1349</v>
      </c>
      <c r="AK342" s="1">
        <v>-627.43399999999997</v>
      </c>
      <c r="AL342" s="1">
        <f>478+8345</f>
        <v>8823</v>
      </c>
      <c r="AM342" s="1">
        <v>-3104</v>
      </c>
      <c r="AN342" s="5">
        <f>-533-3137</f>
        <v>-3670</v>
      </c>
      <c r="AO342" s="5">
        <f>-333-988</f>
        <v>-1321</v>
      </c>
      <c r="AP342" s="1">
        <v>-457</v>
      </c>
      <c r="AQ342" s="1">
        <v>-457</v>
      </c>
      <c r="AR342" s="1">
        <v>-498</v>
      </c>
      <c r="AS342" s="1">
        <v>-8111</v>
      </c>
      <c r="AT342" s="1">
        <v>-1432</v>
      </c>
      <c r="AU342" s="1">
        <v>-2168</v>
      </c>
      <c r="AV342" s="1">
        <v>-4674</v>
      </c>
      <c r="AW342" s="1">
        <v>-1495</v>
      </c>
      <c r="AX342" s="1240">
        <f>-253-1181</f>
        <v>-1434</v>
      </c>
      <c r="AY342" s="1">
        <v>-407</v>
      </c>
      <c r="AZ342" s="5">
        <f>-404-2015</f>
        <v>-2419</v>
      </c>
      <c r="BA342" s="1">
        <f>-517-1805</f>
        <v>-2322</v>
      </c>
      <c r="BB342" s="1">
        <v>-3922</v>
      </c>
      <c r="BC342" s="1">
        <v>-3670</v>
      </c>
      <c r="BD342" s="1">
        <v>-3440</v>
      </c>
      <c r="BE342" s="5">
        <v>-413</v>
      </c>
      <c r="BF342" s="5">
        <v>0</v>
      </c>
    </row>
    <row r="344" spans="1:63" x14ac:dyDescent="0.2">
      <c r="A344" s="46" t="s">
        <v>608</v>
      </c>
      <c r="C344" s="47">
        <f>+IFERROR(HLOOKUP(C1,'תחשיב להיטל מופחת'!$E$2:$BG$25,23,0),0)</f>
        <v>-101290.05600000001</v>
      </c>
      <c r="D344" s="47">
        <f>+IFERROR(HLOOKUP(D1,'תחשיב להיטל מופחת'!$E$2:$BG$25,23,0),0)</f>
        <v>-4592.3040000000001</v>
      </c>
      <c r="E344" s="47">
        <f>+IFERROR(HLOOKUP(E1,'תחשיב להיטל מופחת'!$E$2:$BG$25,23,0),0)</f>
        <v>-23177.408000000003</v>
      </c>
      <c r="F344" s="47">
        <f>+IFERROR(HLOOKUP(F1,'תחשיב להיטל מופחת'!$E$2:$BG$25,23,0),0)</f>
        <v>-1458.232</v>
      </c>
      <c r="G344" s="47">
        <f>+IFERROR(HLOOKUP(G1,'תחשיב להיטל מופחת'!$E$2:$BG$25,23,0),0)</f>
        <v>0</v>
      </c>
      <c r="H344" s="47">
        <f>+IFERROR(HLOOKUP(H1,'תחשיב להיטל מופחת'!$E$2:$BG$25,23,0),0)</f>
        <v>-88840.195919999998</v>
      </c>
      <c r="I344" s="47">
        <f>+IFERROR(HLOOKUP(I1,'תחשיב להיטל מופחת'!$E$2:$BG$25,23,0),0)</f>
        <v>-61219.487999999998</v>
      </c>
      <c r="J344" s="47">
        <f>+IFERROR(HLOOKUP(J1,'תחשיב להיטל מופחת'!$E$2:$BG$25,23,0),0)</f>
        <v>-8900.4480000000003</v>
      </c>
      <c r="K344" s="47">
        <f>+IFERROR(HLOOKUP(K1,'תחשיב להיטל מופחת'!$E$2:$BG$25,23,0),0)</f>
        <v>-15260.880000000001</v>
      </c>
      <c r="L344" s="47">
        <f>+IFERROR(HLOOKUP(L1,'תחשיב להיטל מופחת'!$E$2:$BG$25,23,0),0)</f>
        <v>-17014.495999999999</v>
      </c>
      <c r="M344" s="47">
        <f>+IFERROR(HLOOKUP(M1,'תחשיב להיטל מופחת'!$E$2:$BG$25,23,0),0)</f>
        <v>-59511.936000000002</v>
      </c>
      <c r="N344" s="47">
        <f>+IFERROR(HLOOKUP(N1,'תחשיב להיטל מופחת'!$E$2:$BG$25,23,0),0)</f>
        <v>-26440.864000000001</v>
      </c>
      <c r="O344" s="47">
        <f>+IFERROR(HLOOKUP(O1,'תחשיב להיטל מופחת'!$E$2:$BG$25,23,0),0)</f>
        <v>-43969.600000000006</v>
      </c>
      <c r="P344" s="47">
        <f>+IFERROR(HLOOKUP(P1,'תחשיב להיטל מופחת'!$E$2:$BG$25,23,0),0)</f>
        <v>-3478.2880000000005</v>
      </c>
      <c r="Q344" s="47">
        <f>+IFERROR(HLOOKUP(Q1,'תחשיב להיטל מופחת'!$E$2:$BG$25,23,0),0)</f>
        <v>-12382.304</v>
      </c>
      <c r="R344" s="47">
        <f>+IFERROR(HLOOKUP(R1,'תחשיב להיטל מופחת'!$E$2:$BG$25,23,0),0)</f>
        <v>-12897.936000000002</v>
      </c>
      <c r="S344" s="47">
        <f>+IFERROR(HLOOKUP(S1,'תחשיב להיטל מופחת'!$E$2:$BG$25,23,0),0)</f>
        <v>-6841.0079999999998</v>
      </c>
      <c r="T344" s="47">
        <f>+IFERROR(HLOOKUP(T1,'תחשיב להיטל מופחת'!$E$2:$BG$25,23,0),0)</f>
        <v>-14634.16</v>
      </c>
      <c r="U344" s="47">
        <f>+IFERROR(HLOOKUP(U1,'תחשיב להיטל מופחת'!$E$2:$BG$25,23,0),0)</f>
        <v>-21386.032000000003</v>
      </c>
      <c r="V344" s="47">
        <f>+IFERROR(HLOOKUP(V1,'תחשיב להיטל מופחת'!$E$2:$BG$25,23,0),0)</f>
        <v>-14984.495999999999</v>
      </c>
      <c r="W344" s="47">
        <f>+IFERROR(HLOOKUP(W1,'תחשיב להיטל מופחת'!$E$2:$BG$25,23,0),0)</f>
        <v>-8920.6720000000005</v>
      </c>
      <c r="X344" s="47">
        <f>+IFERROR(HLOOKUP(X1,'תחשיב להיטל מופחת'!$E$2:$BG$25,23,0),0)</f>
        <v>0</v>
      </c>
      <c r="Y344" s="47">
        <f>+IFERROR(HLOOKUP(Y1,'תחשיב להיטל מופחת'!$E$2:$BG$25,23,0),0)</f>
        <v>-2171.5839999999998</v>
      </c>
      <c r="Z344" s="47">
        <f>+IFERROR(HLOOKUP(Z1,'תחשיב להיטל מופחת'!$E$2:$BG$25,23,0),0)</f>
        <v>-15007.170032</v>
      </c>
      <c r="AA344" s="47">
        <f>+IFERROR(HLOOKUP(AA1,'תחשיב להיטל מופחת'!$E$2:$BG$25,23,0),0)</f>
        <v>-25322.832000000002</v>
      </c>
      <c r="AB344" s="47">
        <f>+IFERROR(HLOOKUP(AB1,'תחשיב להיטל מופחת'!$E$2:$BG$25,23,0),0)</f>
        <v>-11180.08</v>
      </c>
      <c r="AC344" s="47">
        <f>+IFERROR(HLOOKUP(AC1,'תחשיב להיטל מופחת'!$E$2:$BG$25,23,0),0)</f>
        <v>-36514.896000000001</v>
      </c>
      <c r="AD344" s="47">
        <f>+IFERROR(HLOOKUP(AD1,'תחשיב להיטל מופחת'!$E$2:$BG$25,23,0),0)</f>
        <v>-25117.760000000002</v>
      </c>
      <c r="AE344" s="47">
        <f>+IFERROR(HLOOKUP(AE1,'תחשיב להיטל מופחת'!$E$2:$BG$25,23,0),0)</f>
        <v>-57950.8</v>
      </c>
      <c r="AF344" s="47">
        <f>+IFERROR(HLOOKUP(AF1,'תחשיב להיטל מופחת'!$E$2:$BG$25,23,0),0)</f>
        <v>-9344.4480000000003</v>
      </c>
      <c r="AG344" s="47">
        <f>+IFERROR(HLOOKUP(AG1,'תחשיב להיטל מופחת'!$E$2:$BG$25,23,0),0)</f>
        <v>0</v>
      </c>
      <c r="AH344" s="47">
        <f>+IFERROR(HLOOKUP(AH1,'תחשיב להיטל מופחת'!$E$2:$BG$25,23,0),0)</f>
        <v>0</v>
      </c>
      <c r="AI344" s="47">
        <f>+IFERROR(HLOOKUP(AI1,'תחשיב להיטל מופחת'!$E$2:$BG$25,23,0),0)</f>
        <v>-2267.232</v>
      </c>
      <c r="AJ344" s="47">
        <f>+IFERROR(HLOOKUP(AJ1,'תחשיב להיטל מופחת'!$E$2:$BG$25,23,0),0)</f>
        <v>-3546.8320000000003</v>
      </c>
      <c r="AK344" s="47">
        <f>+IFERROR(HLOOKUP(AK1,'תחשיב להיטל מופחת'!$E$2:$BG$25,23,0),0)</f>
        <v>-620.928</v>
      </c>
      <c r="AL344" s="47">
        <f>+IFERROR(HLOOKUP(AL1,'תחשיב להיטל מופחת'!$E$2:$BG$25,23,0),0)</f>
        <v>-127690.49600000001</v>
      </c>
      <c r="AM344" s="47">
        <f>+IFERROR(HLOOKUP(AM1,'תחשיב להיטל מופחת'!$E$2:$BG$25,23,0),0)</f>
        <v>-15754.208000000001</v>
      </c>
      <c r="AN344" s="47">
        <f>+IFERROR(HLOOKUP(AN1,'תחשיב להיטל מופחת'!$E$2:$BG$25,23,0),0)</f>
        <v>0</v>
      </c>
      <c r="AO344" s="47">
        <f>+IFERROR(HLOOKUP(AO1,'תחשיב להיטל מופחת'!$E$2:$BG$25,23,0),0)</f>
        <v>-11029.759999999998</v>
      </c>
      <c r="AP344" s="47">
        <f>+IFERROR(HLOOKUP(AP1,'תחשיב להיטל מופחת'!$E$2:$BG$25,23,0),0)</f>
        <v>-18927.536</v>
      </c>
      <c r="AQ344" s="47">
        <f>+IFERROR(HLOOKUP(AQ1,'תחשיב להיטל מופחת'!$E$2:$BG$25,23,0),0)</f>
        <v>-17754.815999999999</v>
      </c>
      <c r="AR344" s="47">
        <f>+IFERROR(HLOOKUP(AR1,'תחשיב להיטל מופחת'!$E$2:$BG$25,23,0),0)</f>
        <v>-8546.8160000000007</v>
      </c>
      <c r="AS344" s="47">
        <f>+IFERROR(HLOOKUP(AS1,'תחשיב להיטל מופחת'!$E$2:$BG$25,23,0),0)</f>
        <v>-22227.616000000002</v>
      </c>
      <c r="AT344" s="47">
        <f>+IFERROR(HLOOKUP(AT1,'תחשיב להיטל מופחת'!$E$2:$BG$25,23,0),0)</f>
        <v>-23389.600000000002</v>
      </c>
      <c r="AU344" s="47">
        <f>+IFERROR(HLOOKUP(AU1,'תחשיב להיטל מופחת'!$E$2:$BG$25,23,0),0)</f>
        <v>-22541.184000000001</v>
      </c>
      <c r="AV344" s="47">
        <f>+IFERROR(HLOOKUP(AV1,'תחשיב להיטל מופחת'!$E$2:$BG$25,23,0),0)</f>
        <v>0</v>
      </c>
      <c r="AW344" s="47">
        <f>+IFERROR(HLOOKUP(AW1,'תחשיב להיטל מופחת'!$E$2:$BG$25,23,0),0)</f>
        <v>-4419.4560000000001</v>
      </c>
      <c r="AX344" s="47">
        <f>+IFERROR(HLOOKUP(AX1,'תחשיב להיטל מופחת'!$E$2:$BG$25,23,0),0)</f>
        <v>-1337.4880000000003</v>
      </c>
      <c r="AY344" s="47">
        <f>+IFERROR(HLOOKUP(AY1,'תחשיב להיטל מופחת'!$E$2:$BG$25,23,0),0)</f>
        <v>-635.45600000000002</v>
      </c>
      <c r="AZ344" s="47">
        <f>+IFERROR(HLOOKUP(AZ1,'תחשיב להיטל מופחת'!$E$2:$BG$25,23,0),0)</f>
        <v>-5825.1360000000004</v>
      </c>
      <c r="BA344" s="47">
        <f>+IFERROR(HLOOKUP(BA1,'תחשיב להיטל מופחת'!$E$2:$BG$25,23,0),0)</f>
        <v>-3448.08</v>
      </c>
      <c r="BB344" s="47">
        <f>+IFERROR(HLOOKUP(BB1,'תחשיב להיטל מופחת'!$E$2:$BG$25,23,0),0)</f>
        <v>-6361.4720000000007</v>
      </c>
      <c r="BC344" s="47">
        <f>+IFERROR(HLOOKUP(BC1,'תחשיב להיטל מופחת'!$E$2:$BG$25,23,0),0)</f>
        <v>-9050.2560000000012</v>
      </c>
      <c r="BD344" s="47">
        <f>+IFERROR(HLOOKUP(BD1,'תחשיב להיטל מופחת'!$E$2:$BG$25,23,0),0)</f>
        <v>-23988.544000000002</v>
      </c>
      <c r="BE344" s="47">
        <f>+IFERROR(HLOOKUP(BE1,'תחשיב להיטל מופחת'!$E$2:$BG$25,23,0),0)</f>
        <v>-3343.76</v>
      </c>
      <c r="BF344" s="47">
        <f>+IFERROR(HLOOKUP(BF1,'תחשיב להיטל מופחת'!$E$2:$BG$25,23,0),0)</f>
        <v>0</v>
      </c>
    </row>
    <row r="345" spans="1:63" x14ac:dyDescent="0.2">
      <c r="BI345" s="1" t="str">
        <f>+'תחשיב להיטל מופחת'!$E$2</f>
        <v>מי שבע תאגיד המים והביוב לבאר שבע בע"מ</v>
      </c>
    </row>
    <row r="346" spans="1:63" s="648" customFormat="1" x14ac:dyDescent="0.2">
      <c r="A346" s="646" t="s">
        <v>614</v>
      </c>
      <c r="B346" s="647"/>
      <c r="C346" s="646">
        <f t="shared" ref="C346:AH346" si="42">SUM(C316:C344)+C541</f>
        <v>89319.091563251102</v>
      </c>
      <c r="D346" s="646">
        <f t="shared" si="42"/>
        <v>57911.763000000006</v>
      </c>
      <c r="E346" s="646">
        <f t="shared" si="42"/>
        <v>170315.435</v>
      </c>
      <c r="F346" s="646">
        <f t="shared" si="42"/>
        <v>30272.016999999996</v>
      </c>
      <c r="G346" s="646">
        <f t="shared" si="42"/>
        <v>74199.259999999995</v>
      </c>
      <c r="H346" s="646">
        <f t="shared" si="42"/>
        <v>280811.56507999997</v>
      </c>
      <c r="I346" s="646">
        <f t="shared" si="42"/>
        <v>214392.01377383445</v>
      </c>
      <c r="J346" s="646">
        <f t="shared" si="42"/>
        <v>79303.058999999994</v>
      </c>
      <c r="K346" s="646">
        <f t="shared" si="42"/>
        <v>49086.233999999997</v>
      </c>
      <c r="L346" s="646">
        <f t="shared" si="42"/>
        <v>68649.245999999999</v>
      </c>
      <c r="M346" s="646">
        <f t="shared" si="42"/>
        <v>38510.063999999998</v>
      </c>
      <c r="N346" s="646">
        <f t="shared" si="42"/>
        <v>161342.69200000001</v>
      </c>
      <c r="O346" s="646">
        <f t="shared" si="42"/>
        <v>78274.768000000011</v>
      </c>
      <c r="P346" s="646">
        <f t="shared" si="42"/>
        <v>137097.693</v>
      </c>
      <c r="Q346" s="646">
        <f t="shared" si="42"/>
        <v>12560.46</v>
      </c>
      <c r="R346" s="646">
        <f t="shared" si="42"/>
        <v>41640.328999999998</v>
      </c>
      <c r="S346" s="646">
        <f t="shared" si="42"/>
        <v>62327.380999999994</v>
      </c>
      <c r="T346" s="646">
        <f t="shared" si="42"/>
        <v>40619.152999999991</v>
      </c>
      <c r="U346" s="646">
        <f t="shared" si="42"/>
        <v>26781.505999999998</v>
      </c>
      <c r="V346" s="646">
        <f t="shared" si="42"/>
        <v>93887.038</v>
      </c>
      <c r="W346" s="646">
        <f t="shared" si="42"/>
        <v>183779.01800000001</v>
      </c>
      <c r="X346" s="646">
        <f t="shared" si="42"/>
        <v>81060.055999999997</v>
      </c>
      <c r="Y346" s="646">
        <f t="shared" si="42"/>
        <v>63433.22</v>
      </c>
      <c r="Z346" s="646">
        <f t="shared" si="42"/>
        <v>52492.184967999987</v>
      </c>
      <c r="AA346" s="646">
        <f t="shared" si="42"/>
        <v>20781.727000000006</v>
      </c>
      <c r="AB346" s="646">
        <f t="shared" si="42"/>
        <v>21205.044999999998</v>
      </c>
      <c r="AC346" s="646">
        <f t="shared" si="42"/>
        <v>53544.398999999998</v>
      </c>
      <c r="AD346" s="646">
        <f t="shared" si="42"/>
        <v>20187.220999999998</v>
      </c>
      <c r="AE346" s="646">
        <f t="shared" si="42"/>
        <v>163668.02899999998</v>
      </c>
      <c r="AF346" s="646">
        <f t="shared" si="42"/>
        <v>36330.290999999997</v>
      </c>
      <c r="AG346" s="646">
        <f t="shared" si="42"/>
        <v>25434.713</v>
      </c>
      <c r="AH346" s="646">
        <f t="shared" si="42"/>
        <v>41278.207999999999</v>
      </c>
      <c r="AI346" s="646">
        <f t="shared" ref="AI346:BE346" si="43">SUM(AI316:AI344)+AI541</f>
        <v>37659.304999999993</v>
      </c>
      <c r="AJ346" s="646">
        <f t="shared" si="43"/>
        <v>32161.636999999995</v>
      </c>
      <c r="AK346" s="646">
        <f t="shared" si="43"/>
        <v>16018.846</v>
      </c>
      <c r="AL346" s="646">
        <f t="shared" si="43"/>
        <v>272985.05145725061</v>
      </c>
      <c r="AM346" s="646">
        <f t="shared" si="43"/>
        <v>50507.591</v>
      </c>
      <c r="AN346" s="646">
        <f t="shared" si="43"/>
        <v>111409.398</v>
      </c>
      <c r="AO346" s="646">
        <f t="shared" si="43"/>
        <v>23048.697000000004</v>
      </c>
      <c r="AP346" s="646">
        <f t="shared" si="43"/>
        <v>7091.9392687193722</v>
      </c>
      <c r="AQ346" s="646">
        <f t="shared" si="43"/>
        <v>16836.364379816878</v>
      </c>
      <c r="AR346" s="646">
        <f t="shared" si="43"/>
        <v>26478.129999999997</v>
      </c>
      <c r="AS346" s="646">
        <f t="shared" si="43"/>
        <v>157698.17299999998</v>
      </c>
      <c r="AT346" s="646">
        <f t="shared" si="43"/>
        <v>9405.8199999999961</v>
      </c>
      <c r="AU346" s="646">
        <f t="shared" si="43"/>
        <v>38598.716999999997</v>
      </c>
      <c r="AV346" s="646">
        <f t="shared" si="43"/>
        <v>85892.463000000003</v>
      </c>
      <c r="AW346" s="646">
        <f t="shared" si="43"/>
        <v>26219.761000000006</v>
      </c>
      <c r="AX346" s="646">
        <f t="shared" si="43"/>
        <v>77293.33</v>
      </c>
      <c r="AY346" s="646">
        <f t="shared" si="43"/>
        <v>22337.924999999996</v>
      </c>
      <c r="AZ346" s="646">
        <f t="shared" si="43"/>
        <v>65336.471000000005</v>
      </c>
      <c r="BA346" s="646">
        <f t="shared" si="43"/>
        <v>41725.398999999998</v>
      </c>
      <c r="BB346" s="646">
        <f t="shared" si="43"/>
        <v>91017.648000000001</v>
      </c>
      <c r="BC346" s="646">
        <f t="shared" si="43"/>
        <v>113537.68699999998</v>
      </c>
      <c r="BD346" s="646">
        <f t="shared" si="43"/>
        <v>43166.443999999996</v>
      </c>
      <c r="BE346" s="646">
        <f t="shared" si="43"/>
        <v>7566.58</v>
      </c>
      <c r="BF346" s="646">
        <f>SUM(BF316:BF344)+BF541</f>
        <v>62407.262999999999</v>
      </c>
      <c r="BH346" s="648">
        <f>SUM(C346:BG346)</f>
        <v>4006895.5204908722</v>
      </c>
      <c r="BK346" s="648" t="e">
        <f>+BH346-'[12]נתוני תאגידים'!$BG$317</f>
        <v>#REF!</v>
      </c>
    </row>
    <row r="347" spans="1:63" x14ac:dyDescent="0.2">
      <c r="A347" s="78"/>
    </row>
    <row r="348" spans="1:63" x14ac:dyDescent="0.2">
      <c r="A348" s="46" t="s">
        <v>840</v>
      </c>
      <c r="C348" s="42">
        <f>+HLOOKUP(C1,'תחשיב עלות תפעול לשנת 2016'!$4:$150,139,0)+HLOOKUP(C1,'תחשיב עלות תפעול לשנת 2016'!$4:$150,143,0)/2+HLOOKUP(C1,'תחשיב עלות תפעול לשנת 2016'!$4:$150,145,0)/2+'הנחות עבודה'!$D$41</f>
        <v>1.0576867065461308</v>
      </c>
      <c r="D348" s="42">
        <f>+HLOOKUP(D1,'תחשיב עלות תפעול לשנת 2016'!$4:$150,139,0)+HLOOKUP(D1,'תחשיב עלות תפעול לשנת 2016'!$4:$150,143,0)/2+HLOOKUP(D1,'תחשיב עלות תפעול לשנת 2016'!$4:$150,145,0)/2+'הנחות עבודה'!$D$41</f>
        <v>1.3102538214293855</v>
      </c>
      <c r="E348" s="42">
        <f>+HLOOKUP(E1,'תחשיב עלות תפעול לשנת 2016'!$4:$150,139,0)+HLOOKUP(E1,'תחשיב עלות תפעול לשנת 2016'!$4:$150,143,0)/2+HLOOKUP(E1,'תחשיב עלות תפעול לשנת 2016'!$4:$150,145,0)/2+'הנחות עבודה'!$D$41</f>
        <v>0.89192204332429226</v>
      </c>
      <c r="F348" s="42">
        <f>+HLOOKUP(F1,'תחשיב עלות תפעול לשנת 2016'!$4:$150,139,0)+HLOOKUP(F1,'תחשיב עלות תפעול לשנת 2016'!$4:$150,143,0)/2+HLOOKUP(F1,'תחשיב עלות תפעול לשנת 2016'!$4:$150,145,0)/2+'הנחות עבודה'!$D$41</f>
        <v>1.5513121965433985</v>
      </c>
      <c r="G348" s="42">
        <f>+HLOOKUP(G1,'תחשיב עלות תפעול לשנת 2016'!$4:$150,139,0)+HLOOKUP(G1,'תחשיב עלות תפעול לשנת 2016'!$4:$150,143,0)/2+HLOOKUP(G1,'תחשיב עלות תפעול לשנת 2016'!$4:$150,145,0)/2+'הנחות עבודה'!$D$41</f>
        <v>0.97330984392863584</v>
      </c>
      <c r="H348" s="42">
        <f>+HLOOKUP(H1,'תחשיב עלות תפעול לשנת 2016'!$4:$150,139,0)+HLOOKUP(H1,'תחשיב עלות תפעול לשנת 2016'!$4:$150,143,0)/2+HLOOKUP(H1,'תחשיב עלות תפעול לשנת 2016'!$4:$150,145,0)/2+'הנחות עבודה'!$D$41</f>
        <v>0.94198675453817904</v>
      </c>
      <c r="I348" s="42">
        <f>+HLOOKUP(I1,'תחשיב עלות תפעול לשנת 2016'!$4:$150,139,0)+HLOOKUP(I1,'תחשיב עלות תפעול לשנת 2016'!$4:$150,143,0)/2+HLOOKUP(I1,'תחשיב עלות תפעול לשנת 2016'!$4:$150,145,0)/2+'הנחות עבודה'!$D$41</f>
        <v>1.0613958758652093</v>
      </c>
      <c r="J348" s="42">
        <f>+HLOOKUP(J1,'תחשיב עלות תפעול לשנת 2016'!$4:$150,139,0)+HLOOKUP(J1,'תחשיב עלות תפעול לשנת 2016'!$4:$150,143,0)/2+HLOOKUP(J1,'תחשיב עלות תפעול לשנת 2016'!$4:$150,145,0)/2+'הנחות עבודה'!$D$41</f>
        <v>0.99527439419529184</v>
      </c>
      <c r="K348" s="42">
        <f>+HLOOKUP(K1,'תחשיב עלות תפעול לשנת 2016'!$4:$150,139,0)+HLOOKUP(K1,'תחשיב עלות תפעול לשנת 2016'!$4:$150,143,0)/2+HLOOKUP(K1,'תחשיב עלות תפעול לשנת 2016'!$4:$150,145,0)/2+'הנחות עבודה'!$D$41</f>
        <v>1.0370858470456399</v>
      </c>
      <c r="L348" s="42">
        <f>+HLOOKUP(L1,'תחשיב עלות תפעול לשנת 2016'!$4:$150,139,0)+HLOOKUP(L1,'תחשיב עלות תפעול לשנת 2016'!$4:$150,143,0)/2+HLOOKUP(L1,'תחשיב עלות תפעול לשנת 2016'!$4:$150,145,0)/2+'הנחות עבודה'!$D$41</f>
        <v>1.7935416825166186</v>
      </c>
      <c r="M348" s="42">
        <f>+HLOOKUP(M1,'תחשיב עלות תפעול לשנת 2016'!$4:$150,139,0)+HLOOKUP(M1,'תחשיב עלות תפעול לשנת 2016'!$4:$150,143,0)/2+HLOOKUP(M1,'תחשיב עלות תפעול לשנת 2016'!$4:$150,145,0)/2+'הנחות עבודה'!$D$41</f>
        <v>0.90132993558260543</v>
      </c>
      <c r="N348" s="42">
        <f>+HLOOKUP(N1,'תחשיב עלות תפעול לשנת 2016'!$4:$150,139,0)+HLOOKUP(N1,'תחשיב עלות תפעול לשנת 2016'!$4:$150,143,0)/2+HLOOKUP(N1,'תחשיב עלות תפעול לשנת 2016'!$4:$150,145,0)/2+'הנחות עבודה'!$D$41</f>
        <v>0.97011999736811438</v>
      </c>
      <c r="O348" s="42">
        <f>+HLOOKUP(O1,'תחשיב עלות תפעול לשנת 2016'!$4:$150,139,0)+HLOOKUP(O1,'תחשיב עלות תפעול לשנת 2016'!$4:$150,143,0)/2+HLOOKUP(O1,'תחשיב עלות תפעול לשנת 2016'!$4:$150,145,0)/2+'הנחות עבודה'!$D$41</f>
        <v>0.87812069464833775</v>
      </c>
      <c r="P348" s="42">
        <f>+HLOOKUP(P1,'תחשיב עלות תפעול לשנת 2016'!$4:$150,139,0)+HLOOKUP(P1,'תחשיב עלות תפעול לשנת 2016'!$4:$150,143,0)/2+HLOOKUP(P1,'תחשיב עלות תפעול לשנת 2016'!$4:$150,145,0)/2+'הנחות עבודה'!$D$41</f>
        <v>1.3970567301433916</v>
      </c>
      <c r="Q348" s="42">
        <f>+HLOOKUP(Q1,'תחשיב עלות תפעול לשנת 2016'!$4:$150,139,0)+HLOOKUP(Q1,'תחשיב עלות תפעול לשנת 2016'!$4:$150,143,0)/2+HLOOKUP(Q1,'תחשיב עלות תפעול לשנת 2016'!$4:$150,145,0)/2+'הנחות עבודה'!$D$41</f>
        <v>0.82959339342491123</v>
      </c>
      <c r="R348" s="42">
        <f>+HLOOKUP(R1,'תחשיב עלות תפעול לשנת 2016'!$4:$150,139,0)+HLOOKUP(R1,'תחשיב עלות תפעול לשנת 2016'!$4:$150,143,0)/2+HLOOKUP(R1,'תחשיב עלות תפעול לשנת 2016'!$4:$150,145,0)/2+'הנחות עבודה'!$D$41</f>
        <v>0.88318122771197882</v>
      </c>
      <c r="S348" s="42">
        <f>+HLOOKUP(S1,'תחשיב עלות תפעול לשנת 2016'!$4:$150,139,0)+HLOOKUP(S1,'תחשיב עלות תפעול לשנת 2016'!$4:$150,143,0)/2+HLOOKUP(S1,'תחשיב עלות תפעול לשנת 2016'!$4:$150,145,0)/2+'הנחות עבודה'!$D$41</f>
        <v>0.76816380404826201</v>
      </c>
      <c r="T348" s="42">
        <f>+HLOOKUP(T1,'תחשיב עלות תפעול לשנת 2016'!$4:$150,139,0)+HLOOKUP(T1,'תחשיב עלות תפעול לשנת 2016'!$4:$150,143,0)/2+HLOOKUP(T1,'תחשיב עלות תפעול לשנת 2016'!$4:$150,145,0)/2+'הנחות עבודה'!$D$41</f>
        <v>1.0443836307496257</v>
      </c>
      <c r="U348" s="42">
        <f>+HLOOKUP(U1,'תחשיב עלות תפעול לשנת 2016'!$4:$150,139,0)+HLOOKUP(U1,'תחשיב עלות תפעול לשנת 2016'!$4:$150,143,0)/2+HLOOKUP(U1,'תחשיב עלות תפעול לשנת 2016'!$4:$150,145,0)/2+'הנחות עבודה'!$D$41</f>
        <v>0.91215595409376216</v>
      </c>
      <c r="V348" s="42">
        <f>+HLOOKUP(V1,'תחשיב עלות תפעול לשנת 2016'!$4:$150,139,0)+HLOOKUP(V1,'תחשיב עלות תפעול לשנת 2016'!$4:$150,143,0)/2+HLOOKUP(V1,'תחשיב עלות תפעול לשנת 2016'!$4:$150,145,0)/2+'הנחות עבודה'!$D$41</f>
        <v>1.1469837602513031</v>
      </c>
      <c r="W348" s="42">
        <f>+HLOOKUP(W1,'תחשיב עלות תפעול לשנת 2016'!$4:$150,139,0)+HLOOKUP(W1,'תחשיב עלות תפעול לשנת 2016'!$4:$150,143,0)/2+HLOOKUP(W1,'תחשיב עלות תפעול לשנת 2016'!$4:$150,145,0)/2+'הנחות עבודה'!$D$41</f>
        <v>0.9566603232513784</v>
      </c>
      <c r="X348" s="42">
        <f>+HLOOKUP(X1,'תחשיב עלות תפעול לשנת 2016'!$4:$150,139,0)+HLOOKUP(X1,'תחשיב עלות תפעול לשנת 2016'!$4:$150,143,0)/2+HLOOKUP(X1,'תחשיב עלות תפעול לשנת 2016'!$4:$150,145,0)/2+'הנחות עבודה'!$D$41</f>
        <v>0.87925043311538165</v>
      </c>
      <c r="Y348" s="42">
        <f>+HLOOKUP(Y1,'תחשיב עלות תפעול לשנת 2016'!$4:$150,139,0)+HLOOKUP(Y1,'תחשיב עלות תפעול לשנת 2016'!$4:$150,143,0)/2+HLOOKUP(Y1,'תחשיב עלות תפעול לשנת 2016'!$4:$150,145,0)/2+'הנחות עבודה'!$D$41</f>
        <v>1.1668821261712043</v>
      </c>
      <c r="Z348" s="42">
        <f>+HLOOKUP(Z1,'תחשיב עלות תפעול לשנת 2016'!$4:$150,139,0)+HLOOKUP(Z1,'תחשיב עלות תפעול לשנת 2016'!$4:$150,143,0)/2+HLOOKUP(Z1,'תחשיב עלות תפעול לשנת 2016'!$4:$150,145,0)/2+'הנחות עבודה'!$D$41</f>
        <v>1.0401043347423786</v>
      </c>
      <c r="AA348" s="42">
        <f>+HLOOKUP(AA1,'תחשיב עלות תפעול לשנת 2016'!$4:$150,139,0)+HLOOKUP(AA1,'תחשיב עלות תפעול לשנת 2016'!$4:$150,143,0)/2+HLOOKUP(AA1,'תחשיב עלות תפעול לשנת 2016'!$4:$150,145,0)/2+'הנחות עבודה'!$D$41</f>
        <v>1.0947622583633063</v>
      </c>
      <c r="AB348" s="42">
        <f>+HLOOKUP(AB1,'תחשיב עלות תפעול לשנת 2016'!$4:$150,139,0)+HLOOKUP(AB1,'תחשיב עלות תפעול לשנת 2016'!$4:$150,143,0)/2+HLOOKUP(AB1,'תחשיב עלות תפעול לשנת 2016'!$4:$150,145,0)/2+'הנחות עבודה'!$D$41</f>
        <v>1.3377085689184576</v>
      </c>
      <c r="AC348" s="42">
        <f>+HLOOKUP(AC1,'תחשיב עלות תפעול לשנת 2016'!$4:$150,139,0)+HLOOKUP(AC1,'תחשיב עלות תפעול לשנת 2016'!$4:$150,143,0)/2+HLOOKUP(AC1,'תחשיב עלות תפעול לשנת 2016'!$4:$150,145,0)/2+'הנחות עבודה'!$D$41</f>
        <v>0.86086545724429231</v>
      </c>
      <c r="AD348" s="42">
        <f>+HLOOKUP(AD1,'תחשיב עלות תפעול לשנת 2016'!$4:$150,139,0)+HLOOKUP(AD1,'תחשיב עלות תפעול לשנת 2016'!$4:$150,143,0)/2+HLOOKUP(AD1,'תחשיב עלות תפעול לשנת 2016'!$4:$150,145,0)/2+'הנחות עבודה'!$D$41</f>
        <v>1.0929388858555207</v>
      </c>
      <c r="AE348" s="42">
        <f>+HLOOKUP(AE1,'תחשיב עלות תפעול לשנת 2016'!$4:$150,139,0)+HLOOKUP(AE1,'תחשיב עלות תפעול לשנת 2016'!$4:$150,143,0)/2+HLOOKUP(AE1,'תחשיב עלות תפעול לשנת 2016'!$4:$150,145,0)/2+'הנחות עבודה'!$D$41</f>
        <v>1.4020788844106891</v>
      </c>
      <c r="AF348" s="42">
        <f>+HLOOKUP(AF1,'תחשיב עלות תפעול לשנת 2016'!$4:$150,139,0)+HLOOKUP(AF1,'תחשיב עלות תפעול לשנת 2016'!$4:$150,143,0)/2+HLOOKUP(AF1,'תחשיב עלות תפעול לשנת 2016'!$4:$150,145,0)/2+'הנחות עבודה'!$D$41</f>
        <v>0.94266821749467744</v>
      </c>
      <c r="AG348" s="42">
        <f>+HLOOKUP(AG1,'תחשיב עלות תפעול לשנת 2016'!$4:$150,139,0)+HLOOKUP(AG1,'תחשיב עלות תפעול לשנת 2016'!$4:$150,143,0)/2+HLOOKUP(AG1,'תחשיב עלות תפעול לשנת 2016'!$4:$150,145,0)/2+'הנחות עבודה'!$D$41</f>
        <v>1.0488201237339325</v>
      </c>
      <c r="AH348" s="42">
        <f>+HLOOKUP(AH1,'תחשיב עלות תפעול לשנת 2016'!$4:$150,139,0)+HLOOKUP(AH1,'תחשיב עלות תפעול לשנת 2016'!$4:$150,143,0)/2+HLOOKUP(AH1,'תחשיב עלות תפעול לשנת 2016'!$4:$150,145,0)/2+'הנחות עבודה'!$D$41</f>
        <v>0.95623563703692249</v>
      </c>
      <c r="AI348" s="42">
        <f>+HLOOKUP(AI1,'תחשיב עלות תפעול לשנת 2016'!$4:$150,139,0)+HLOOKUP(AI1,'תחשיב עלות תפעול לשנת 2016'!$4:$150,143,0)/2+HLOOKUP(AI1,'תחשיב עלות תפעול לשנת 2016'!$4:$150,145,0)/2+'הנחות עבודה'!$D$41</f>
        <v>0.99716003288285215</v>
      </c>
      <c r="AJ348" s="42">
        <f>+HLOOKUP(AJ1,'תחשיב עלות תפעול לשנת 2016'!$4:$150,139,0)+HLOOKUP(AJ1,'תחשיב עלות תפעול לשנת 2016'!$4:$150,143,0)/2+HLOOKUP(AJ1,'תחשיב עלות תפעול לשנת 2016'!$4:$150,145,0)/2+'הנחות עבודה'!$D$41</f>
        <v>0.84007427302292992</v>
      </c>
      <c r="AK348" s="42">
        <f>+HLOOKUP(AK1,'תחשיב עלות תפעול לשנת 2016'!$4:$150,139,0)+HLOOKUP(AK1,'תחשיב עלות תפעול לשנת 2016'!$4:$150,143,0)/2+HLOOKUP(AK1,'תחשיב עלות תפעול לשנת 2016'!$4:$150,145,0)/2+'הנחות עבודה'!$D$41</f>
        <v>0.83766634115146643</v>
      </c>
      <c r="AL348" s="42">
        <f>+HLOOKUP(AL1,'תחשיב עלות תפעול לשנת 2016'!$4:$150,139,0)+HLOOKUP(AL1,'תחשיב עלות תפעול לשנת 2016'!$4:$150,143,0)/2+HLOOKUP(AL1,'תחשיב עלות תפעול לשנת 2016'!$4:$150,145,0)/2+'הנחות עבודה'!$D$41</f>
        <v>0.86509348899979255</v>
      </c>
      <c r="AM348" s="42">
        <f>+HLOOKUP(AM1,'תחשיב עלות תפעול לשנת 2016'!$4:$150,139,0)+HLOOKUP(AM1,'תחשיב עלות תפעול לשנת 2016'!$4:$150,143,0)/2+HLOOKUP(AM1,'תחשיב עלות תפעול לשנת 2016'!$4:$150,145,0)/2+'הנחות עבודה'!$D$41</f>
        <v>0.99536398007409843</v>
      </c>
      <c r="AN348" s="42">
        <f>+HLOOKUP(AN1,'תחשיב עלות תפעול לשנת 2016'!$4:$150,139,0)+HLOOKUP(AN1,'תחשיב עלות תפעול לשנת 2016'!$4:$150,143,0)/2+HLOOKUP(AN1,'תחשיב עלות תפעול לשנת 2016'!$4:$150,145,0)/2+'הנחות עבודה'!$D$41</f>
        <v>0.78687957423908339</v>
      </c>
      <c r="AO348" s="42">
        <f>+HLOOKUP(AO1,'תחשיב עלות תפעול לשנת 2016'!$4:$150,139,0)+HLOOKUP(AO1,'תחשיב עלות תפעול לשנת 2016'!$4:$150,143,0)/2+HLOOKUP(AO1,'תחשיב עלות תפעול לשנת 2016'!$4:$150,145,0)/2+'הנחות עבודה'!$D$41</f>
        <v>0.96038127750781088</v>
      </c>
      <c r="AP348" s="42">
        <f>+HLOOKUP(AP1,'תחשיב עלות תפעול לשנת 2016'!$4:$150,139,0)+HLOOKUP(AP1,'תחשיב עלות תפעול לשנת 2016'!$4:$150,143,0)/2+HLOOKUP(AP1,'תחשיב עלות תפעול לשנת 2016'!$4:$150,145,0)/2+'הנחות עבודה'!$D$41</f>
        <v>1.0014268725744129</v>
      </c>
      <c r="AQ348" s="42">
        <f>+HLOOKUP(AQ1,'תחשיב עלות תפעול לשנת 2016'!$4:$150,139,0)+HLOOKUP(AQ1,'תחשיב עלות תפעול לשנת 2016'!$4:$150,143,0)/2+HLOOKUP(AQ1,'תחשיב עלות תפעול לשנת 2016'!$4:$150,145,0)/2+'הנחות עבודה'!$D$41</f>
        <v>0.89271706243688276</v>
      </c>
      <c r="AR348" s="42">
        <f>+HLOOKUP(AR1,'תחשיב עלות תפעול לשנת 2016'!$4:$150,139,0)+HLOOKUP(AR1,'תחשיב עלות תפעול לשנת 2016'!$4:$150,143,0)/2+HLOOKUP(AR1,'תחשיב עלות תפעול לשנת 2016'!$4:$150,145,0)/2+'הנחות עבודה'!$D$41</f>
        <v>1.0253942260361577</v>
      </c>
      <c r="AS348" s="42">
        <f>+HLOOKUP(AS1,'תחשיב עלות תפעול לשנת 2016'!$4:$150,139,0)+HLOOKUP(AS1,'תחשיב עלות תפעול לשנת 2016'!$4:$150,143,0)/2+HLOOKUP(AS1,'תחשיב עלות תפעול לשנת 2016'!$4:$150,145,0)/2+'הנחות עבודה'!$D$41</f>
        <v>1.2692955326636544</v>
      </c>
      <c r="AT348" s="42">
        <f>+HLOOKUP(AT1,'תחשיב עלות תפעול לשנת 2016'!$4:$150,139,0)+HLOOKUP(AT1,'תחשיב עלות תפעול לשנת 2016'!$4:$150,143,0)/2+HLOOKUP(AT1,'תחשיב עלות תפעול לשנת 2016'!$4:$150,145,0)/2+'הנחות עבודה'!$D$41</f>
        <v>0.82338736441748028</v>
      </c>
      <c r="AU348" s="42">
        <f>+HLOOKUP(AU1,'תחשיב עלות תפעול לשנת 2016'!$4:$150,139,0)+HLOOKUP(AU1,'תחשיב עלות תפעול לשנת 2016'!$4:$150,143,0)/2+HLOOKUP(AU1,'תחשיב עלות תפעול לשנת 2016'!$4:$150,145,0)/2+'הנחות עבודה'!$D$41</f>
        <v>1.0825682362968012</v>
      </c>
      <c r="AV348" s="42">
        <f>+HLOOKUP(AV1,'תחשיב עלות תפעול לשנת 2016'!$4:$150,139,0)+HLOOKUP(AV1,'תחשיב עלות תפעול לשנת 2016'!$4:$150,143,0)/2+HLOOKUP(AV1,'תחשיב עלות תפעול לשנת 2016'!$4:$150,145,0)/2+'הנחות עבודה'!$D$41</f>
        <v>0.8100950782697427</v>
      </c>
      <c r="AW348" s="42">
        <f>+HLOOKUP(AW1,'תחשיב עלות תפעול לשנת 2016'!$4:$150,139,0)+HLOOKUP(AW1,'תחשיב עלות תפעול לשנת 2016'!$4:$150,143,0)/2+HLOOKUP(AW1,'תחשיב עלות תפעול לשנת 2016'!$4:$150,145,0)/2+'הנחות עבודה'!$D$41</f>
        <v>1.1034516806279042</v>
      </c>
      <c r="AX348" s="42">
        <f>+HLOOKUP(AX1,'תחשיב עלות תפעול לשנת 2016'!$4:$150,139,0)+HLOOKUP(AX1,'תחשיב עלות תפעול לשנת 2016'!$4:$150,143,0)/2+HLOOKUP(AX1,'תחשיב עלות תפעול לשנת 2016'!$4:$150,145,0)/2+'הנחות עבודה'!$D$41</f>
        <v>0.78831305040583766</v>
      </c>
      <c r="AY348" s="42">
        <f>+HLOOKUP(AY1,'תחשיב עלות תפעול לשנת 2016'!$4:$150,139,0)+HLOOKUP(AY1,'תחשיב עלות תפעול לשנת 2016'!$4:$150,143,0)/2+HLOOKUP(AY1,'תחשיב עלות תפעול לשנת 2016'!$4:$150,145,0)/2+'הנחות עבודה'!$D$41</f>
        <v>0.7639195944579471</v>
      </c>
      <c r="AZ348" s="42">
        <f>+HLOOKUP(AZ1,'תחשיב עלות תפעול לשנת 2016'!$4:$150,139,0)+HLOOKUP(AZ1,'תחשיב עלות תפעול לשנת 2016'!$4:$150,143,0)/2+HLOOKUP(AZ1,'תחשיב עלות תפעול לשנת 2016'!$4:$150,145,0)/2+'הנחות עבודה'!$D$41</f>
        <v>1.0731593975779739</v>
      </c>
      <c r="BA348" s="42">
        <f>+HLOOKUP(BA1,'תחשיב עלות תפעול לשנת 2016'!$4:$150,139,0)+HLOOKUP(BA1,'תחשיב עלות תפעול לשנת 2016'!$4:$150,143,0)/2+HLOOKUP(BA1,'תחשיב עלות תפעול לשנת 2016'!$4:$150,145,0)/2+'הנחות עבודה'!$D$41</f>
        <v>0.95699405408750537</v>
      </c>
      <c r="BB348" s="42">
        <f>+HLOOKUP(BB1,'תחשיב עלות תפעול לשנת 2016'!$4:$150,139,0)+HLOOKUP(BB1,'תחשיב עלות תפעול לשנת 2016'!$4:$150,143,0)/2+HLOOKUP(BB1,'תחשיב עלות תפעול לשנת 2016'!$4:$150,145,0)/2+'הנחות עבודה'!$D$41</f>
        <v>1.1612529986269122</v>
      </c>
      <c r="BC348" s="42">
        <f>+HLOOKUP(BC1,'תחשיב עלות תפעול לשנת 2016'!$4:$150,139,0)+HLOOKUP(BC1,'תחשיב עלות תפעול לשנת 2016'!$4:$150,143,0)/2+HLOOKUP(BC1,'תחשיב עלות תפעול לשנת 2016'!$4:$150,145,0)/2+'הנחות עבודה'!$D$41</f>
        <v>1.0520951939000078</v>
      </c>
      <c r="BD348" s="42">
        <f>+HLOOKUP(BD1,'תחשיב עלות תפעול לשנת 2016'!$4:$150,139,0)+HLOOKUP(BD1,'תחשיב עלות תפעול לשנת 2016'!$4:$150,143,0)/2+HLOOKUP(BD1,'תחשיב עלות תפעול לשנת 2016'!$4:$150,145,0)/2+'הנחות עבודה'!$D$41</f>
        <v>1.1183424579718848</v>
      </c>
      <c r="BE348" s="42">
        <f>+HLOOKUP(BE1,'תחשיב עלות תפעול לשנת 2016'!$4:$150,139,0)+HLOOKUP(BE1,'תחשיב עלות תפעול לשנת 2016'!$4:$150,143,0)/2+HLOOKUP(BE1,'תחשיב עלות תפעול לשנת 2016'!$4:$150,145,0)/2+'הנחות עבודה'!$D$41</f>
        <v>1.0648414079015758</v>
      </c>
      <c r="BF348" s="42">
        <f>+HLOOKUP(BF1,'תחשיב עלות תפעול לשנת 2016'!$4:$150,139,0)+HLOOKUP(BF1,'תחשיב עלות תפעול לשנת 2016'!$4:$150,143,0)/2+HLOOKUP(BF1,'תחשיב עלות תפעול לשנת 2016'!$4:$150,145,0)/2+'הנחות עבודה'!$D$41</f>
        <v>0.73550936366055253</v>
      </c>
    </row>
    <row r="350" spans="1:63" x14ac:dyDescent="0.2">
      <c r="A350" s="46" t="s">
        <v>841</v>
      </c>
      <c r="C350" s="42">
        <f>+HLOOKUP(C1,'תחשיב עלות תפעול לשנת 2016'!$4:$150,141,0)+HLOOKUP(C1,'תחשיב עלות תפעול לשנת 2016'!$4:$150,143,0)/2+HLOOKUP(C1,'תחשיב עלות תפעול לשנת 2016'!$4:$150,145,0)/2+'הנחות עבודה'!$D$42</f>
        <v>0.60118982112118236</v>
      </c>
      <c r="D350" s="42">
        <f>+HLOOKUP(D1,'תחשיב עלות תפעול לשנת 2016'!$4:$150,141,0)+HLOOKUP(D1,'תחשיב עלות תפעול לשנת 2016'!$4:$150,143,0)/2+HLOOKUP(D1,'תחשיב עלות תפעול לשנת 2016'!$4:$150,145,0)/2+'הנחות עבודה'!$D$42</f>
        <v>1.0613629926338635</v>
      </c>
      <c r="E350" s="42">
        <f>+HLOOKUP(E1,'תחשיב עלות תפעול לשנת 2016'!$4:$150,141,0)+HLOOKUP(E1,'תחשיב עלות תפעול לשנת 2016'!$4:$150,143,0)/2+HLOOKUP(E1,'תחשיב עלות תפעול לשנת 2016'!$4:$150,145,0)/2+'הנחות עבודה'!$D$42</f>
        <v>0.78798327749745056</v>
      </c>
      <c r="F350" s="42">
        <f>+HLOOKUP(F1,'תחשיב עלות תפעול לשנת 2016'!$4:$150,141,0)+HLOOKUP(F1,'תחשיב עלות תפעול לשנת 2016'!$4:$150,143,0)/2+HLOOKUP(F1,'תחשיב עלות תפעול לשנת 2016'!$4:$150,145,0)/2+'הנחות עבודה'!$D$42</f>
        <v>1.5197354602089994</v>
      </c>
      <c r="G350" s="42">
        <f>+HLOOKUP(G1,'תחשיב עלות תפעול לשנת 2016'!$4:$150,141,0)+HLOOKUP(G1,'תחשיב עלות תפעול לשנת 2016'!$4:$150,143,0)/2+HLOOKUP(G1,'תחשיב עלות תפעול לשנת 2016'!$4:$150,145,0)/2+'הנחות עבודה'!$D$42</f>
        <v>0.67090939121263105</v>
      </c>
      <c r="H350" s="42">
        <f>+HLOOKUP(H1,'תחשיב עלות תפעול לשנת 2016'!$4:$150,141,0)+HLOOKUP(H1,'תחשיב עלות תפעול לשנת 2016'!$4:$150,143,0)/2+HLOOKUP(H1,'תחשיב עלות תפעול לשנת 2016'!$4:$150,145,0)/2+'הנחות עבודה'!$D$42</f>
        <v>0.59551463883707489</v>
      </c>
      <c r="I350" s="42">
        <f>+HLOOKUP(I1,'תחשיב עלות תפעול לשנת 2016'!$4:$150,141,0)+HLOOKUP(I1,'תחשיב עלות תפעול לשנת 2016'!$4:$150,143,0)/2+HLOOKUP(I1,'תחשיב עלות תפעול לשנת 2016'!$4:$150,145,0)/2+'הנחות עבודה'!$D$42</f>
        <v>0.76252522382143739</v>
      </c>
      <c r="J350" s="42">
        <f>+HLOOKUP(J1,'תחשיב עלות תפעול לשנת 2016'!$4:$150,141,0)+HLOOKUP(J1,'תחשיב עלות תפעול לשנת 2016'!$4:$150,143,0)/2+HLOOKUP(J1,'תחשיב עלות תפעול לשנת 2016'!$4:$150,145,0)/2+'הנחות עבודה'!$D$42</f>
        <v>1.1053573842945861</v>
      </c>
      <c r="K350" s="42">
        <f>+HLOOKUP(K1,'תחשיב עלות תפעול לשנת 2016'!$4:$150,141,0)+HLOOKUP(K1,'תחשיב עלות תפעול לשנת 2016'!$4:$150,143,0)/2+HLOOKUP(K1,'תחשיב עלות תפעול לשנת 2016'!$4:$150,145,0)/2+'הנחות עבודה'!$D$42</f>
        <v>0.84141915923751787</v>
      </c>
      <c r="L350" s="42">
        <f>+HLOOKUP(L1,'תחשיב עלות תפעול לשנת 2016'!$4:$150,141,0)+HLOOKUP(L1,'תחשיב עלות תפעול לשנת 2016'!$4:$150,143,0)/2+HLOOKUP(L1,'תחשיב עלות תפעול לשנת 2016'!$4:$150,145,0)/2+'הנחות עבודה'!$D$42</f>
        <v>1.2226629432089999</v>
      </c>
      <c r="M350" s="42">
        <f>+HLOOKUP(M1,'תחשיב עלות תפעול לשנת 2016'!$4:$150,141,0)+HLOOKUP(M1,'תחשיב עלות תפעול לשנת 2016'!$4:$150,143,0)/2+HLOOKUP(M1,'תחשיב עלות תפעול לשנת 2016'!$4:$150,145,0)/2+'הנחות עבודה'!$D$42</f>
        <v>0.80853509566933834</v>
      </c>
      <c r="N350" s="42">
        <f>+HLOOKUP(N1,'תחשיב עלות תפעול לשנת 2016'!$4:$150,141,0)+HLOOKUP(N1,'תחשיב עלות תפעול לשנת 2016'!$4:$150,143,0)/2+HLOOKUP(N1,'תחשיב עלות תפעול לשנת 2016'!$4:$150,145,0)/2+'הנחות עבודה'!$D$42</f>
        <v>0.75659977851994265</v>
      </c>
      <c r="O350" s="42">
        <f>+HLOOKUP(O1,'תחשיב עלות תפעול לשנת 2016'!$4:$150,141,0)+HLOOKUP(O1,'תחשיב עלות תפעול לשנת 2016'!$4:$150,143,0)/2+HLOOKUP(O1,'תחשיב עלות תפעול לשנת 2016'!$4:$150,145,0)/2+'הנחות עבודה'!$D$42</f>
        <v>0.63983918407638007</v>
      </c>
      <c r="P350" s="42">
        <f>+HLOOKUP(P1,'תחשיב עלות תפעול לשנת 2016'!$4:$150,141,0)+HLOOKUP(P1,'תחשיב עלות תפעול לשנת 2016'!$4:$150,143,0)/2+HLOOKUP(P1,'תחשיב עלות תפעול לשנת 2016'!$4:$150,145,0)/2+'הנחות עבודה'!$D$42</f>
        <v>1.2408294946889877</v>
      </c>
      <c r="Q350" s="42">
        <f>+HLOOKUP(Q1,'תחשיב עלות תפעול לשנת 2016'!$4:$150,141,0)+HLOOKUP(Q1,'תחשיב עלות תפעול לשנת 2016'!$4:$150,143,0)/2+HLOOKUP(Q1,'תחשיב עלות תפעול לשנת 2016'!$4:$150,145,0)/2+'הנחות עבודה'!$D$42</f>
        <v>0.50083268694830618</v>
      </c>
      <c r="R350" s="42">
        <f>+HLOOKUP(R1,'תחשיב עלות תפעול לשנת 2016'!$4:$150,141,0)+HLOOKUP(R1,'תחשיב עלות תפעול לשנת 2016'!$4:$150,143,0)/2+HLOOKUP(R1,'תחשיב עלות תפעול לשנת 2016'!$4:$150,145,0)/2+'הנחות עבודה'!$D$42</f>
        <v>0.79686816804433047</v>
      </c>
      <c r="S350" s="42">
        <f>+HLOOKUP(S1,'תחשיב עלות תפעול לשנת 2016'!$4:$150,141,0)+HLOOKUP(S1,'תחשיב עלות תפעול לשנת 2016'!$4:$150,143,0)/2+HLOOKUP(S1,'תחשיב עלות תפעול לשנת 2016'!$4:$150,145,0)/2+'הנחות עבודה'!$D$42</f>
        <v>0.99157632850551836</v>
      </c>
      <c r="T350" s="42">
        <f>+HLOOKUP(T1,'תחשיב עלות תפעול לשנת 2016'!$4:$150,141,0)+HLOOKUP(T1,'תחשיב עלות תפעול לשנת 2016'!$4:$150,143,0)/2+HLOOKUP(T1,'תחשיב עלות תפעול לשנת 2016'!$4:$150,145,0)/2+'הנחות עבודה'!$D$42</f>
        <v>0.69404265121073838</v>
      </c>
      <c r="U350" s="42">
        <f>+HLOOKUP(U1,'תחשיב עלות תפעול לשנת 2016'!$4:$150,141,0)+HLOOKUP(U1,'תחשיב עלות תפעול לשנת 2016'!$4:$150,143,0)/2+HLOOKUP(U1,'תחשיב עלות תפעול לשנת 2016'!$4:$150,145,0)/2+'הנחות עבודה'!$D$42</f>
        <v>0.64717959158320926</v>
      </c>
      <c r="V350" s="42">
        <f>+HLOOKUP(V1,'תחשיב עלות תפעול לשנת 2016'!$4:$150,141,0)+HLOOKUP(V1,'תחשיב עלות תפעול לשנת 2016'!$4:$150,143,0)/2+HLOOKUP(V1,'תחשיב עלות תפעול לשנת 2016'!$4:$150,145,0)/2+'הנחות עבודה'!$D$42</f>
        <v>1.1154881959889316</v>
      </c>
      <c r="W350" s="42">
        <f>+HLOOKUP(W1,'תחשיב עלות תפעול לשנת 2016'!$4:$150,141,0)+HLOOKUP(W1,'תחשיב עלות תפעול לשנת 2016'!$4:$150,143,0)/2+HLOOKUP(W1,'תחשיב עלות תפעול לשנת 2016'!$4:$150,145,0)/2+'הנחות עבודה'!$D$42</f>
        <v>0.98138936438331892</v>
      </c>
      <c r="X350" s="42">
        <f>+HLOOKUP(X1,'תחשיב עלות תפעול לשנת 2016'!$4:$150,141,0)+HLOOKUP(X1,'תחשיב עלות תפעול לשנת 2016'!$4:$150,143,0)/2+HLOOKUP(X1,'תחשיב עלות תפעול לשנת 2016'!$4:$150,145,0)/2+'הנחות עבודה'!$D$42</f>
        <v>0.57517474084971976</v>
      </c>
      <c r="Y350" s="42">
        <f>+HLOOKUP(Y1,'תחשיב עלות תפעול לשנת 2016'!$4:$150,141,0)+HLOOKUP(Y1,'תחשיב עלות תפעול לשנת 2016'!$4:$150,143,0)/2+HLOOKUP(Y1,'תחשיב עלות תפעול לשנת 2016'!$4:$150,145,0)/2+'הנחות עבודה'!$D$42</f>
        <v>1.4218421863440425</v>
      </c>
      <c r="Z350" s="42">
        <f>+HLOOKUP(Z1,'תחשיב עלות תפעול לשנת 2016'!$4:$150,141,0)+HLOOKUP(Z1,'תחשיב עלות תפעול לשנת 2016'!$4:$150,143,0)/2+HLOOKUP(Z1,'תחשיב עלות תפעול לשנת 2016'!$4:$150,145,0)/2+'הנחות עבודה'!$D$42</f>
        <v>0.9075356826488401</v>
      </c>
      <c r="AA350" s="42">
        <f>+HLOOKUP(AA1,'תחשיב עלות תפעול לשנת 2016'!$4:$150,141,0)+HLOOKUP(AA1,'תחשיב עלות תפעול לשנת 2016'!$4:$150,143,0)/2+HLOOKUP(AA1,'תחשיב עלות תפעול לשנת 2016'!$4:$150,145,0)/2+'הנחות עבודה'!$D$42</f>
        <v>0.86138667352383957</v>
      </c>
      <c r="AB350" s="42">
        <f>+HLOOKUP(AB1,'תחשיב עלות תפעול לשנת 2016'!$4:$150,141,0)+HLOOKUP(AB1,'תחשיב עלות תפעול לשנת 2016'!$4:$150,143,0)/2+HLOOKUP(AB1,'תחשיב עלות תפעול לשנת 2016'!$4:$150,145,0)/2+'הנחות עבודה'!$D$42</f>
        <v>1.1760232521184224</v>
      </c>
      <c r="AC350" s="42">
        <f>+HLOOKUP(AC1,'תחשיב עלות תפעול לשנת 2016'!$4:$150,141,0)+HLOOKUP(AC1,'תחשיב עלות תפעול לשנת 2016'!$4:$150,143,0)/2+HLOOKUP(AC1,'תחשיב עלות תפעול לשנת 2016'!$4:$150,145,0)/2+'הנחות עבודה'!$D$42</f>
        <v>0.7309972494163357</v>
      </c>
      <c r="AD350" s="42">
        <f>+HLOOKUP(AD1,'תחשיב עלות תפעול לשנת 2016'!$4:$150,141,0)+HLOOKUP(AD1,'תחשיב עלות תפעול לשנת 2016'!$4:$150,143,0)/2+HLOOKUP(AD1,'תחשיב עלות תפעול לשנת 2016'!$4:$150,145,0)/2+'הנחות עבודה'!$D$42</f>
        <v>0.80072676169441848</v>
      </c>
      <c r="AE350" s="42">
        <f>+HLOOKUP(AE1,'תחשיב עלות תפעול לשנת 2016'!$4:$150,141,0)+HLOOKUP(AE1,'תחשיב עלות תפעול לשנת 2016'!$4:$150,143,0)/2+HLOOKUP(AE1,'תחשיב עלות תפעול לשנת 2016'!$4:$150,145,0)/2+'הנחות עבודה'!$D$42</f>
        <v>0.92047495690906789</v>
      </c>
      <c r="AF350" s="42">
        <f>+HLOOKUP(AF1,'תחשיב עלות תפעול לשנת 2016'!$4:$150,141,0)+HLOOKUP(AF1,'תחשיב עלות תפעול לשנת 2016'!$4:$150,143,0)/2+HLOOKUP(AF1,'תחשיב עלות תפעול לשנת 2016'!$4:$150,145,0)/2+'הנחות עבודה'!$D$42</f>
        <v>0.8923599077956389</v>
      </c>
      <c r="AG350" s="42">
        <f>+HLOOKUP(AG1,'תחשיב עלות תפעול לשנת 2016'!$4:$150,141,0)+HLOOKUP(AG1,'תחשיב עלות תפעול לשנת 2016'!$4:$150,143,0)/2+HLOOKUP(AG1,'תחשיב עלות תפעול לשנת 2016'!$4:$150,145,0)/2+'הנחות עבודה'!$D$42</f>
        <v>0.76022401994168143</v>
      </c>
      <c r="AH350" s="42">
        <f>+HLOOKUP(AH1,'תחשיב עלות תפעול לשנת 2016'!$4:$150,141,0)+HLOOKUP(AH1,'תחשיב עלות תפעול לשנת 2016'!$4:$150,143,0)/2+HLOOKUP(AH1,'תחשיב עלות תפעול לשנת 2016'!$4:$150,145,0)/2+'הנחות עבודה'!$D$42</f>
        <v>0.62660425361741379</v>
      </c>
      <c r="AI350" s="42">
        <f>+HLOOKUP(AI1,'תחשיב עלות תפעול לשנת 2016'!$4:$150,141,0)+HLOOKUP(AI1,'תחשיב עלות תפעול לשנת 2016'!$4:$150,143,0)/2+HLOOKUP(AI1,'תחשיב עלות תפעול לשנת 2016'!$4:$150,145,0)/2+'הנחות עבודה'!$D$42</f>
        <v>1.1566995355860981</v>
      </c>
      <c r="AJ350" s="42">
        <f>+HLOOKUP(AJ1,'תחשיב עלות תפעול לשנת 2016'!$4:$150,141,0)+HLOOKUP(AJ1,'תחשיב עלות תפעול לשנת 2016'!$4:$150,143,0)/2+HLOOKUP(AJ1,'תחשיב עלות תפעול לשנת 2016'!$4:$150,145,0)/2+'הנחות עבודה'!$D$42</f>
        <v>1.0163693226558601</v>
      </c>
      <c r="AK350" s="42">
        <f>+HLOOKUP(AK1,'תחשיב עלות תפעול לשנת 2016'!$4:$150,141,0)+HLOOKUP(AK1,'תחשיב עלות תפעול לשנת 2016'!$4:$150,143,0)/2+HLOOKUP(AK1,'תחשיב עלות תפעול לשנת 2016'!$4:$150,145,0)/2+'הנחות עבודה'!$D$42</f>
        <v>0.6821362593030057</v>
      </c>
      <c r="AL350" s="42">
        <f>+HLOOKUP(AL1,'תחשיב עלות תפעול לשנת 2016'!$4:$150,141,0)+HLOOKUP(AL1,'תחשיב עלות תפעול לשנת 2016'!$4:$150,143,0)/2+HLOOKUP(AL1,'תחשיב עלות תפעול לשנת 2016'!$4:$150,145,0)/2+'הנחות עבודה'!$D$42</f>
        <v>0.63186599589529635</v>
      </c>
      <c r="AM350" s="42">
        <f>+HLOOKUP(AM1,'תחשיב עלות תפעול לשנת 2016'!$4:$150,141,0)+HLOOKUP(AM1,'תחשיב עלות תפעול לשנת 2016'!$4:$150,143,0)/2+HLOOKUP(AM1,'תחשיב עלות תפעול לשנת 2016'!$4:$150,145,0)/2+'הנחות עבודה'!$D$42</f>
        <v>0.87652313768538648</v>
      </c>
      <c r="AN350" s="42">
        <f>+HLOOKUP(AN1,'תחשיב עלות תפעול לשנת 2016'!$4:$150,141,0)+HLOOKUP(AN1,'תחשיב עלות תפעול לשנת 2016'!$4:$150,143,0)/2+HLOOKUP(AN1,'תחשיב עלות תפעול לשנת 2016'!$4:$150,145,0)/2+'הנחות עבודה'!$D$42</f>
        <v>1.4837669733605532</v>
      </c>
      <c r="AO350" s="42">
        <f>+HLOOKUP(AO1,'תחשיב עלות תפעול לשנת 2016'!$4:$150,141,0)+HLOOKUP(AO1,'תחשיב עלות תפעול לשנת 2016'!$4:$150,143,0)/2+HLOOKUP(AO1,'תחשיב עלות תפעול לשנת 2016'!$4:$150,145,0)/2+'הנחות עבודה'!$D$42</f>
        <v>0.60698860079879879</v>
      </c>
      <c r="AP350" s="42">
        <f>+HLOOKUP(AP1,'תחשיב עלות תפעול לשנת 2016'!$4:$150,141,0)+HLOOKUP(AP1,'תחשיב עלות תפעול לשנת 2016'!$4:$150,143,0)/2+HLOOKUP(AP1,'תחשיב עלות תפעול לשנת 2016'!$4:$150,145,0)/2+'הנחות עבודה'!$D$42</f>
        <v>0.64046674292516714</v>
      </c>
      <c r="AQ350" s="42">
        <f>+HLOOKUP(AQ1,'תחשיב עלות תפעול לשנת 2016'!$4:$150,141,0)+HLOOKUP(AQ1,'תחשיב עלות תפעול לשנת 2016'!$4:$150,143,0)/2+HLOOKUP(AQ1,'תחשיב עלות תפעול לשנת 2016'!$4:$150,145,0)/2+'הנחות עבודה'!$D$42</f>
        <v>0.63327634839068703</v>
      </c>
      <c r="AR350" s="42">
        <f>+HLOOKUP(AR1,'תחשיב עלות תפעול לשנת 2016'!$4:$150,141,0)+HLOOKUP(AR1,'תחשיב עלות תפעול לשנת 2016'!$4:$150,143,0)/2+HLOOKUP(AR1,'תחשיב עלות תפעול לשנת 2016'!$4:$150,145,0)/2+'הנחות עבודה'!$D$42</f>
        <v>0.59531476414462858</v>
      </c>
      <c r="AS350" s="42">
        <f>+HLOOKUP(AS1,'תחשיב עלות תפעול לשנת 2016'!$4:$150,141,0)+HLOOKUP(AS1,'תחשיב עלות תפעול לשנת 2016'!$4:$150,143,0)/2+HLOOKUP(AS1,'תחשיב עלות תפעול לשנת 2016'!$4:$150,145,0)/2+'הנחות עבודה'!$D$42</f>
        <v>1.1179206488194489</v>
      </c>
      <c r="AT350" s="42">
        <f>+HLOOKUP(AT1,'תחשיב עלות תפעול לשנת 2016'!$4:$150,141,0)+HLOOKUP(AT1,'תחשיב עלות תפעול לשנת 2016'!$4:$150,143,0)/2+HLOOKUP(AT1,'תחשיב עלות תפעול לשנת 2016'!$4:$150,145,0)/2+'הנחות עבודה'!$D$42</f>
        <v>0.63297225930250822</v>
      </c>
      <c r="AU350" s="42">
        <f>+HLOOKUP(AU1,'תחשיב עלות תפעול לשנת 2016'!$4:$150,141,0)+HLOOKUP(AU1,'תחשיב עלות תפעול לשנת 2016'!$4:$150,143,0)/2+HLOOKUP(AU1,'תחשיב עלות תפעול לשנת 2016'!$4:$150,145,0)/2+'הנחות עבודה'!$D$42</f>
        <v>0.80007186456391777</v>
      </c>
      <c r="AV350" s="42">
        <f>+HLOOKUP(AV1,'תחשיב עלות תפעול לשנת 2016'!$4:$150,141,0)+HLOOKUP(AV1,'תחשיב עלות תפעול לשנת 2016'!$4:$150,143,0)/2+HLOOKUP(AV1,'תחשיב עלות תפעול לשנת 2016'!$4:$150,145,0)/2+'הנחות עבודה'!$D$42</f>
        <v>0.68312986022976629</v>
      </c>
      <c r="AW350" s="42">
        <f>+HLOOKUP(AW1,'תחשיב עלות תפעול לשנת 2016'!$4:$150,141,0)+HLOOKUP(AW1,'תחשיב עלות תפעול לשנת 2016'!$4:$150,143,0)/2+HLOOKUP(AW1,'תחשיב עלות תפעול לשנת 2016'!$4:$150,145,0)/2+'הנחות עבודה'!$D$42</f>
        <v>1.0610906553192689</v>
      </c>
      <c r="AX350" s="42">
        <f>+HLOOKUP(AX1,'תחשיב עלות תפעול לשנת 2016'!$4:$150,141,0)+HLOOKUP(AX1,'תחשיב עלות תפעול לשנת 2016'!$4:$150,143,0)/2+HLOOKUP(AX1,'תחשיב עלות תפעול לשנת 2016'!$4:$150,145,0)/2+'הנחות עבודה'!$D$42</f>
        <v>0.87674167084774357</v>
      </c>
      <c r="AY350" s="42">
        <f>+HLOOKUP(AY1,'תחשיב עלות תפעול לשנת 2016'!$4:$150,141,0)+HLOOKUP(AY1,'תחשיב עלות תפעול לשנת 2016'!$4:$150,143,0)/2+HLOOKUP(AY1,'תחשיב עלות תפעול לשנת 2016'!$4:$150,145,0)/2+'הנחות עבודה'!$D$42</f>
        <v>0.80681367345264288</v>
      </c>
      <c r="AZ350" s="42">
        <f>+HLOOKUP(AZ1,'תחשיב עלות תפעול לשנת 2016'!$4:$150,141,0)+HLOOKUP(AZ1,'תחשיב עלות תפעול לשנת 2016'!$4:$150,143,0)/2+HLOOKUP(AZ1,'תחשיב עלות תפעול לשנת 2016'!$4:$150,145,0)/2+'הנחות עבודה'!$D$42</f>
        <v>0.88720650581876159</v>
      </c>
      <c r="BA350" s="42">
        <f>+HLOOKUP(BA1,'תחשיב עלות תפעול לשנת 2016'!$4:$150,141,0)+HLOOKUP(BA1,'תחשיב עלות תפעול לשנת 2016'!$4:$150,143,0)/2+HLOOKUP(BA1,'תחשיב עלות תפעול לשנת 2016'!$4:$150,145,0)/2+'הנחות עבודה'!$D$42</f>
        <v>0.90989735254323745</v>
      </c>
      <c r="BB350" s="42">
        <f>+HLOOKUP(BB1,'תחשיב עלות תפעול לשנת 2016'!$4:$150,141,0)+HLOOKUP(BB1,'תחשיב עלות תפעול לשנת 2016'!$4:$150,143,0)/2+HLOOKUP(BB1,'תחשיב עלות תפעול לשנת 2016'!$4:$150,145,0)/2+'הנחות עבודה'!$D$42</f>
        <v>0.84084488765494347</v>
      </c>
      <c r="BC350" s="42">
        <f>+HLOOKUP(BC1,'תחשיב עלות תפעול לשנת 2016'!$4:$150,141,0)+HLOOKUP(BC1,'תחשיב עלות תפעול לשנת 2016'!$4:$150,143,0)/2+HLOOKUP(BC1,'תחשיב עלות תפעול לשנת 2016'!$4:$150,145,0)/2+'הנחות עבודה'!$D$42</f>
        <v>0.79444573273206687</v>
      </c>
      <c r="BD350" s="42">
        <f>+HLOOKUP(BD1,'תחשיב עלות תפעול לשנת 2016'!$4:$150,141,0)+HLOOKUP(BD1,'תחשיב עלות תפעול לשנת 2016'!$4:$150,143,0)/2+HLOOKUP(BD1,'תחשיב עלות תפעול לשנת 2016'!$4:$150,145,0)/2+'הנחות עבודה'!$D$42</f>
        <v>0.84144086072493818</v>
      </c>
      <c r="BE350" s="42">
        <f>+HLOOKUP(BE1,'תחשיב עלות תפעול לשנת 2016'!$4:$150,141,0)+HLOOKUP(BE1,'תחשיב עלות תפעול לשנת 2016'!$4:$150,143,0)/2+HLOOKUP(BE1,'תחשיב עלות תפעול לשנת 2016'!$4:$150,145,0)/2+'הנחות עבודה'!$D$42</f>
        <v>0.80108161073222983</v>
      </c>
      <c r="BF350" s="42">
        <f>+HLOOKUP(BF1,'תחשיב עלות תפעול לשנת 2016'!$4:$150,141,0)+HLOOKUP(BF1,'תחשיב עלות תפעול לשנת 2016'!$4:$150,143,0)/2+HLOOKUP(BF1,'תחשיב עלות תפעול לשנת 2016'!$4:$150,145,0)/2+'הנחות עבודה'!$D$42</f>
        <v>0.94906739819095798</v>
      </c>
    </row>
    <row r="351" spans="1:63" x14ac:dyDescent="0.2">
      <c r="A351" s="46"/>
      <c r="C351" s="42"/>
      <c r="D351" s="42"/>
      <c r="E351" s="42"/>
      <c r="F351" s="42"/>
      <c r="G351" s="42"/>
      <c r="H351" s="42"/>
      <c r="I351" s="42"/>
      <c r="J351" s="42"/>
      <c r="K351" s="42"/>
      <c r="L351" s="42"/>
      <c r="M351" s="42"/>
      <c r="N351" s="42"/>
      <c r="O351" s="42"/>
      <c r="P351" s="42"/>
      <c r="Q351" s="42"/>
      <c r="R351" s="42"/>
      <c r="S351" s="42"/>
      <c r="T351" s="42"/>
      <c r="U351" s="42"/>
      <c r="V351" s="42"/>
      <c r="W351" s="42"/>
      <c r="X351" s="42"/>
      <c r="Y351" s="42"/>
      <c r="Z351" s="42"/>
      <c r="AA351" s="42"/>
      <c r="AB351" s="42"/>
      <c r="AC351" s="42"/>
      <c r="AD351" s="42"/>
      <c r="AE351" s="42"/>
      <c r="AF351" s="42"/>
      <c r="AG351" s="42"/>
      <c r="AH351" s="42"/>
      <c r="AI351" s="42"/>
      <c r="AJ351" s="42"/>
      <c r="AK351" s="42"/>
      <c r="AL351" s="42"/>
      <c r="AM351" s="42"/>
      <c r="AN351" s="42"/>
      <c r="AO351" s="42"/>
      <c r="AP351" s="42"/>
      <c r="AQ351" s="42"/>
      <c r="AR351" s="42"/>
      <c r="AS351" s="42"/>
      <c r="AT351" s="42"/>
      <c r="AU351" s="42"/>
      <c r="AV351" s="42"/>
      <c r="AW351" s="42"/>
      <c r="AX351" s="42"/>
      <c r="AY351" s="42"/>
      <c r="AZ351" s="42"/>
      <c r="BA351" s="42"/>
      <c r="BB351" s="42"/>
      <c r="BC351" s="42"/>
      <c r="BD351" s="42"/>
      <c r="BE351" s="42"/>
      <c r="BF351" s="42"/>
    </row>
    <row r="352" spans="1:63" x14ac:dyDescent="0.2">
      <c r="A352" s="46"/>
      <c r="C352" s="42"/>
      <c r="D352" s="42"/>
      <c r="E352" s="42"/>
      <c r="F352" s="42"/>
      <c r="G352" s="42"/>
      <c r="H352" s="42"/>
      <c r="I352" s="42"/>
      <c r="J352" s="42"/>
      <c r="K352" s="42"/>
      <c r="L352" s="42">
        <f>+'הנחות עבודה'!$D$42</f>
        <v>1.9735460208999453E-2</v>
      </c>
      <c r="M352" s="42"/>
      <c r="N352" s="42"/>
      <c r="O352" s="42"/>
      <c r="P352" s="42"/>
      <c r="Q352" s="42"/>
      <c r="R352" s="42"/>
      <c r="S352" s="42"/>
      <c r="T352" s="42"/>
      <c r="U352" s="42"/>
      <c r="V352" s="42"/>
      <c r="W352" s="42"/>
      <c r="X352" s="42"/>
      <c r="Y352" s="42"/>
      <c r="Z352" s="42"/>
      <c r="AA352" s="42"/>
      <c r="AB352" s="42"/>
      <c r="AC352" s="42"/>
      <c r="AD352" s="42"/>
      <c r="AE352" s="42"/>
      <c r="AF352" s="42"/>
      <c r="AG352" s="42"/>
      <c r="AH352" s="42"/>
      <c r="AI352" s="42"/>
      <c r="AJ352" s="42"/>
      <c r="AK352" s="42"/>
      <c r="AL352" s="42"/>
      <c r="AM352" s="42"/>
      <c r="AN352" s="42"/>
      <c r="AO352" s="42"/>
      <c r="AP352" s="42"/>
      <c r="AQ352" s="42"/>
      <c r="AR352" s="42"/>
      <c r="AS352" s="42"/>
      <c r="AT352" s="42"/>
      <c r="AU352" s="42"/>
      <c r="AV352" s="42"/>
      <c r="AW352" s="42"/>
      <c r="AX352" s="42"/>
      <c r="AY352" s="42"/>
      <c r="AZ352" s="42"/>
      <c r="BA352" s="42"/>
      <c r="BB352" s="42"/>
      <c r="BC352" s="42"/>
      <c r="BD352" s="42"/>
      <c r="BE352" s="42"/>
      <c r="BF352" s="42"/>
    </row>
    <row r="354" spans="1:59" x14ac:dyDescent="0.2">
      <c r="A354" s="1228" t="s">
        <v>1556</v>
      </c>
      <c r="C354" s="47">
        <f>+C713</f>
        <v>19665.205999999998</v>
      </c>
      <c r="D354" s="47">
        <f t="shared" ref="D354:BE354" si="44">+D713</f>
        <v>4262.473</v>
      </c>
      <c r="E354" s="47">
        <f t="shared" si="44"/>
        <v>16724.746999999999</v>
      </c>
      <c r="F354" s="47">
        <f t="shared" si="44"/>
        <v>2004.4870000000001</v>
      </c>
      <c r="G354" s="47">
        <f t="shared" si="44"/>
        <v>6495.7709999999997</v>
      </c>
      <c r="H354" s="47">
        <f t="shared" si="44"/>
        <v>54306.558000000005</v>
      </c>
      <c r="I354" s="47">
        <f t="shared" si="44"/>
        <v>19849.735000000001</v>
      </c>
      <c r="J354" s="47">
        <f t="shared" si="44"/>
        <v>11081.690999999999</v>
      </c>
      <c r="K354" s="47">
        <f t="shared" si="44"/>
        <v>9928.9809999999998</v>
      </c>
      <c r="L354" s="47">
        <f t="shared" si="44"/>
        <v>4715.7889999999998</v>
      </c>
      <c r="M354" s="47">
        <f t="shared" si="44"/>
        <v>17049.447</v>
      </c>
      <c r="N354" s="47">
        <f t="shared" si="44"/>
        <v>20929.161</v>
      </c>
      <c r="O354" s="47">
        <f t="shared" si="44"/>
        <v>18659.955999999998</v>
      </c>
      <c r="P354" s="47">
        <f t="shared" si="44"/>
        <v>8586.9550000000017</v>
      </c>
      <c r="Q354" s="47">
        <f t="shared" si="44"/>
        <v>10780.42</v>
      </c>
      <c r="R354" s="47">
        <f t="shared" si="44"/>
        <v>5681.5389999999998</v>
      </c>
      <c r="S354" s="47">
        <f t="shared" si="44"/>
        <v>5391.3759999999993</v>
      </c>
      <c r="T354" s="47">
        <f t="shared" si="44"/>
        <v>8741.3060000000005</v>
      </c>
      <c r="U354" s="47">
        <f t="shared" si="44"/>
        <v>7271.4120000000003</v>
      </c>
      <c r="V354" s="47">
        <f t="shared" si="44"/>
        <v>4334.6769999999997</v>
      </c>
      <c r="W354" s="47">
        <f t="shared" si="44"/>
        <v>9228.0609999999997</v>
      </c>
      <c r="X354" s="47">
        <f t="shared" si="44"/>
        <v>9340.4369999999999</v>
      </c>
      <c r="Y354" s="47">
        <f t="shared" si="44"/>
        <v>3201.0769999999998</v>
      </c>
      <c r="Z354" s="47">
        <f t="shared" si="44"/>
        <v>3917.029</v>
      </c>
      <c r="AA354" s="47">
        <f t="shared" si="44"/>
        <v>6640.0940000000001</v>
      </c>
      <c r="AB354" s="47">
        <f t="shared" si="44"/>
        <v>6789.9260000000004</v>
      </c>
      <c r="AC354" s="47">
        <f t="shared" si="44"/>
        <v>10469.824999999999</v>
      </c>
      <c r="AD354" s="47">
        <f t="shared" si="44"/>
        <v>4708.6639999999998</v>
      </c>
      <c r="AE354" s="47">
        <f t="shared" si="44"/>
        <v>23115.748</v>
      </c>
      <c r="AF354" s="47">
        <f t="shared" si="44"/>
        <v>5412.576</v>
      </c>
      <c r="AG354" s="47">
        <f t="shared" si="44"/>
        <v>3747.5639999999999</v>
      </c>
      <c r="AH354" s="47">
        <f t="shared" si="44"/>
        <v>3174.326</v>
      </c>
      <c r="AI354" s="47">
        <f t="shared" si="44"/>
        <v>3853.471</v>
      </c>
      <c r="AJ354" s="47">
        <f t="shared" si="44"/>
        <v>3276.6880000000001</v>
      </c>
      <c r="AK354" s="47">
        <f t="shared" si="44"/>
        <v>2922.759</v>
      </c>
      <c r="AL354" s="47">
        <f t="shared" si="44"/>
        <v>46124.361000000004</v>
      </c>
      <c r="AM354" s="47">
        <f t="shared" si="44"/>
        <v>5738.3119999999999</v>
      </c>
      <c r="AN354" s="47">
        <f t="shared" si="44"/>
        <v>6044.5029999999997</v>
      </c>
      <c r="AO354" s="47">
        <f t="shared" si="44"/>
        <v>12026.431</v>
      </c>
      <c r="AP354" s="47">
        <f t="shared" si="44"/>
        <v>3748.2510000000002</v>
      </c>
      <c r="AQ354" s="47">
        <f t="shared" si="44"/>
        <v>9026.4089999999997</v>
      </c>
      <c r="AR354" s="47">
        <f t="shared" si="44"/>
        <v>5354.7740000000003</v>
      </c>
      <c r="AS354" s="47">
        <f t="shared" si="44"/>
        <v>10326.152000000002</v>
      </c>
      <c r="AT354" s="47">
        <f t="shared" si="44"/>
        <v>5761.5990000000002</v>
      </c>
      <c r="AU354" s="47">
        <f t="shared" si="44"/>
        <v>4710.6399999999994</v>
      </c>
      <c r="AV354" s="47">
        <f t="shared" si="44"/>
        <v>14360.366</v>
      </c>
      <c r="AW354" s="47">
        <f t="shared" si="44"/>
        <v>3423.1089999999999</v>
      </c>
      <c r="AX354" s="47">
        <f t="shared" si="44"/>
        <v>4786.3330000000005</v>
      </c>
      <c r="AY354" s="47">
        <f t="shared" si="44"/>
        <v>2910.1680000000001</v>
      </c>
      <c r="AZ354" s="47">
        <f t="shared" si="44"/>
        <v>5883.2190000000001</v>
      </c>
      <c r="BA354" s="47">
        <f t="shared" si="44"/>
        <v>6640.4369999999999</v>
      </c>
      <c r="BB354" s="47">
        <f t="shared" si="44"/>
        <v>5711.9690000000001</v>
      </c>
      <c r="BC354" s="47">
        <f t="shared" si="44"/>
        <v>7207.7849999999999</v>
      </c>
      <c r="BD354" s="47">
        <f t="shared" si="44"/>
        <v>975.60500000000002</v>
      </c>
      <c r="BE354" s="47">
        <f t="shared" si="44"/>
        <v>1173.269</v>
      </c>
      <c r="BF354" s="47">
        <f>+BF713</f>
        <v>10422.161</v>
      </c>
      <c r="BG354" s="78">
        <f>SUM(C354:BE354)</f>
        <v>518193.62399999984</v>
      </c>
    </row>
    <row r="355" spans="1:59" x14ac:dyDescent="0.2">
      <c r="BG355" s="1209" t="e">
        <f>+BG354/'[12]נתוני תאגידים'!$BF$325-1</f>
        <v>#REF!</v>
      </c>
    </row>
    <row r="356" spans="1:59" x14ac:dyDescent="0.2">
      <c r="A356" s="46" t="s">
        <v>502</v>
      </c>
      <c r="C356" s="47">
        <f>+C924</f>
        <v>827.69</v>
      </c>
      <c r="D356" s="47">
        <f t="shared" ref="D356:BF356" si="45">+D924</f>
        <v>232.27900000000002</v>
      </c>
      <c r="E356" s="47">
        <f t="shared" si="45"/>
        <v>1086.79</v>
      </c>
      <c r="F356" s="47">
        <f t="shared" si="45"/>
        <v>216.30900000000003</v>
      </c>
      <c r="G356" s="47">
        <f t="shared" si="45"/>
        <v>662.77300000000002</v>
      </c>
      <c r="H356" s="47">
        <f t="shared" si="45"/>
        <v>1586.2819999999999</v>
      </c>
      <c r="I356" s="47">
        <f t="shared" si="45"/>
        <v>1376.9939999999999</v>
      </c>
      <c r="J356" s="47">
        <f t="shared" si="45"/>
        <v>1297.3019999999999</v>
      </c>
      <c r="K356" s="47">
        <f t="shared" si="45"/>
        <v>305.81700000000001</v>
      </c>
      <c r="L356" s="47">
        <f t="shared" si="45"/>
        <v>176.43600000000001</v>
      </c>
      <c r="M356" s="47">
        <f t="shared" si="45"/>
        <v>1044.114</v>
      </c>
      <c r="N356" s="47">
        <f t="shared" si="45"/>
        <v>1474.9649999999999</v>
      </c>
      <c r="O356" s="47">
        <f t="shared" si="45"/>
        <v>968.44299999999998</v>
      </c>
      <c r="P356" s="47">
        <f t="shared" si="45"/>
        <v>141.19199999999998</v>
      </c>
      <c r="Q356" s="47">
        <f t="shared" si="45"/>
        <v>92.564999999999998</v>
      </c>
      <c r="R356" s="47">
        <f t="shared" si="45"/>
        <v>398.815</v>
      </c>
      <c r="S356" s="47">
        <f t="shared" si="45"/>
        <v>204.05699999999999</v>
      </c>
      <c r="T356" s="47">
        <f t="shared" si="45"/>
        <v>500.80500000000001</v>
      </c>
      <c r="U356" s="47">
        <f t="shared" si="45"/>
        <v>361.63200000000001</v>
      </c>
      <c r="V356" s="47">
        <f t="shared" si="45"/>
        <v>25.058999999999997</v>
      </c>
      <c r="W356" s="47">
        <f t="shared" si="45"/>
        <v>60.266000000000005</v>
      </c>
      <c r="X356" s="47">
        <f t="shared" si="45"/>
        <v>285.15699999999998</v>
      </c>
      <c r="Y356" s="47">
        <f t="shared" si="45"/>
        <v>248.11499999999998</v>
      </c>
      <c r="Z356" s="47">
        <f t="shared" si="45"/>
        <v>472.08600000000001</v>
      </c>
      <c r="AA356" s="47">
        <f t="shared" si="45"/>
        <v>637.78800000000001</v>
      </c>
      <c r="AB356" s="47">
        <f t="shared" si="45"/>
        <v>296.70699999999999</v>
      </c>
      <c r="AC356" s="47">
        <f t="shared" si="45"/>
        <v>737.82500000000005</v>
      </c>
      <c r="AD356" s="47">
        <f t="shared" si="45"/>
        <v>345.56299999999999</v>
      </c>
      <c r="AE356" s="47">
        <f t="shared" si="45"/>
        <v>1004.064</v>
      </c>
      <c r="AF356" s="47">
        <f t="shared" si="45"/>
        <v>426.83500000000004</v>
      </c>
      <c r="AG356" s="47">
        <f t="shared" si="45"/>
        <v>487.988</v>
      </c>
      <c r="AH356" s="47">
        <f t="shared" si="45"/>
        <v>45.677999999999997</v>
      </c>
      <c r="AI356" s="47">
        <f t="shared" si="45"/>
        <v>406.613</v>
      </c>
      <c r="AJ356" s="47">
        <f t="shared" si="45"/>
        <v>220.41299999999998</v>
      </c>
      <c r="AK356" s="47">
        <f t="shared" si="45"/>
        <v>236.36799999999999</v>
      </c>
      <c r="AL356" s="47">
        <f t="shared" si="45"/>
        <v>3443.5680000000002</v>
      </c>
      <c r="AM356" s="47">
        <f t="shared" si="45"/>
        <v>415.10500000000002</v>
      </c>
      <c r="AN356" s="47">
        <f t="shared" si="45"/>
        <v>31.469000000000001</v>
      </c>
      <c r="AO356" s="47">
        <f t="shared" si="45"/>
        <v>805.48599999999999</v>
      </c>
      <c r="AP356" s="47">
        <f t="shared" si="45"/>
        <v>146.07</v>
      </c>
      <c r="AQ356" s="47">
        <f t="shared" si="45"/>
        <v>458.58199999999999</v>
      </c>
      <c r="AR356" s="47">
        <f t="shared" si="45"/>
        <v>302.81600000000003</v>
      </c>
      <c r="AS356" s="47">
        <f t="shared" si="45"/>
        <v>236.09700000000001</v>
      </c>
      <c r="AT356" s="47">
        <f t="shared" si="45"/>
        <v>212.76599999999999</v>
      </c>
      <c r="AU356" s="47">
        <f t="shared" si="45"/>
        <v>456.81799999999998</v>
      </c>
      <c r="AV356" s="47">
        <f t="shared" si="45"/>
        <v>807.18799999999999</v>
      </c>
      <c r="AW356" s="47">
        <f t="shared" si="45"/>
        <v>253.14400000000001</v>
      </c>
      <c r="AX356" s="47">
        <f t="shared" si="45"/>
        <v>25.544000000000004</v>
      </c>
      <c r="AY356" s="47">
        <f t="shared" si="45"/>
        <v>347.35199999999998</v>
      </c>
      <c r="AZ356" s="47">
        <f t="shared" si="45"/>
        <v>371.15899999999999</v>
      </c>
      <c r="BA356" s="47">
        <f t="shared" si="45"/>
        <v>835.14599999999996</v>
      </c>
      <c r="BB356" s="47">
        <f t="shared" si="45"/>
        <v>2.6399999999999997</v>
      </c>
      <c r="BC356" s="47">
        <f t="shared" si="45"/>
        <v>8.0170000000000012</v>
      </c>
      <c r="BD356" s="47">
        <f t="shared" si="45"/>
        <v>58.918999999999997</v>
      </c>
      <c r="BE356" s="47">
        <f t="shared" si="45"/>
        <v>111.572</v>
      </c>
      <c r="BF356" s="47">
        <f t="shared" si="45"/>
        <v>870.52700000000004</v>
      </c>
    </row>
    <row r="358" spans="1:59" x14ac:dyDescent="0.2">
      <c r="A358" s="1" t="s">
        <v>657</v>
      </c>
      <c r="C358" s="47">
        <f>+C890</f>
        <v>272.25700000000001</v>
      </c>
      <c r="D358" s="47">
        <f t="shared" ref="D358:BF358" si="46">+D890</f>
        <v>53.586000000000006</v>
      </c>
      <c r="E358" s="47">
        <f t="shared" si="46"/>
        <v>202.428</v>
      </c>
      <c r="F358" s="47">
        <f t="shared" si="46"/>
        <v>25.040999999999997</v>
      </c>
      <c r="G358" s="47">
        <f t="shared" si="46"/>
        <v>86.97</v>
      </c>
      <c r="H358" s="47">
        <f t="shared" si="46"/>
        <v>880.83199999999999</v>
      </c>
      <c r="I358" s="47">
        <f t="shared" si="46"/>
        <v>240.666</v>
      </c>
      <c r="J358" s="47">
        <f t="shared" si="46"/>
        <v>48.945999999999998</v>
      </c>
      <c r="K358" s="47">
        <f t="shared" si="46"/>
        <v>108.91</v>
      </c>
      <c r="L358" s="47">
        <f t="shared" si="46"/>
        <v>47.243000000000002</v>
      </c>
      <c r="M358" s="47">
        <f t="shared" si="46"/>
        <v>217.959</v>
      </c>
      <c r="N358" s="47">
        <f t="shared" si="46"/>
        <v>226.38100000000003</v>
      </c>
      <c r="O358" s="47">
        <f t="shared" si="46"/>
        <v>242.26600000000002</v>
      </c>
      <c r="P358" s="47">
        <f t="shared" si="46"/>
        <v>116.361</v>
      </c>
      <c r="Q358" s="47">
        <f t="shared" si="46"/>
        <v>178.28800000000001</v>
      </c>
      <c r="R358" s="47">
        <f t="shared" si="46"/>
        <v>68.34</v>
      </c>
      <c r="S358" s="47">
        <f t="shared" si="46"/>
        <v>72.155000000000001</v>
      </c>
      <c r="T358" s="47">
        <f t="shared" si="46"/>
        <v>126.40500000000002</v>
      </c>
      <c r="U358" s="47">
        <f t="shared" si="46"/>
        <v>86.774000000000001</v>
      </c>
      <c r="V358" s="47">
        <f t="shared" si="46"/>
        <v>77.95</v>
      </c>
      <c r="W358" s="47">
        <f t="shared" si="46"/>
        <v>126.61199999999999</v>
      </c>
      <c r="X358" s="47">
        <f t="shared" si="46"/>
        <v>131.52599999999998</v>
      </c>
      <c r="Y358" s="47">
        <f t="shared" si="46"/>
        <v>40.904999999999994</v>
      </c>
      <c r="Z358" s="47">
        <f t="shared" si="46"/>
        <v>54.326999999999998</v>
      </c>
      <c r="AA358" s="47">
        <f t="shared" si="46"/>
        <v>70.206000000000003</v>
      </c>
      <c r="AB358" s="47">
        <f t="shared" si="46"/>
        <v>50.57</v>
      </c>
      <c r="AC358" s="47">
        <f t="shared" si="46"/>
        <v>90.733000000000004</v>
      </c>
      <c r="AD358" s="47">
        <f t="shared" si="46"/>
        <v>44.05</v>
      </c>
      <c r="AE358" s="47">
        <f t="shared" si="46"/>
        <v>277.08199999999999</v>
      </c>
      <c r="AF358" s="47">
        <f t="shared" si="46"/>
        <v>61.442</v>
      </c>
      <c r="AG358" s="47">
        <f t="shared" si="46"/>
        <v>44.633000000000003</v>
      </c>
      <c r="AH358" s="47">
        <f t="shared" si="46"/>
        <v>60.426000000000002</v>
      </c>
      <c r="AI358" s="47">
        <f t="shared" si="46"/>
        <v>42.164999999999999</v>
      </c>
      <c r="AJ358" s="47">
        <f t="shared" si="46"/>
        <v>49.892000000000003</v>
      </c>
      <c r="AK358" s="47">
        <f t="shared" si="46"/>
        <v>39.031999999999996</v>
      </c>
      <c r="AL358" s="47">
        <f t="shared" si="46"/>
        <v>426.13799999999998</v>
      </c>
      <c r="AM358" s="47">
        <f t="shared" si="46"/>
        <v>70.906000000000006</v>
      </c>
      <c r="AN358" s="47">
        <f t="shared" si="46"/>
        <v>90.76</v>
      </c>
      <c r="AO358" s="47">
        <f t="shared" si="46"/>
        <v>150.917</v>
      </c>
      <c r="AP358" s="47">
        <f t="shared" si="46"/>
        <v>56.848999999999997</v>
      </c>
      <c r="AQ358" s="47">
        <f t="shared" si="46"/>
        <v>128.49799999999999</v>
      </c>
      <c r="AR358" s="47">
        <f t="shared" si="46"/>
        <v>65.078999999999994</v>
      </c>
      <c r="AS358" s="47">
        <f t="shared" si="46"/>
        <v>147.19499999999999</v>
      </c>
      <c r="AT358" s="47">
        <f t="shared" si="46"/>
        <v>98.084000000000003</v>
      </c>
      <c r="AU358" s="47">
        <f t="shared" si="46"/>
        <v>54.134</v>
      </c>
      <c r="AV358" s="47">
        <f t="shared" si="46"/>
        <v>157.119</v>
      </c>
      <c r="AW358" s="47">
        <f t="shared" si="46"/>
        <v>47.463999999999999</v>
      </c>
      <c r="AX358" s="47">
        <f t="shared" si="46"/>
        <v>55.003999999999998</v>
      </c>
      <c r="AY358" s="47">
        <f t="shared" si="46"/>
        <v>38.945</v>
      </c>
      <c r="AZ358" s="47">
        <f t="shared" si="46"/>
        <v>68.152999999999992</v>
      </c>
      <c r="BA358" s="47">
        <f t="shared" si="46"/>
        <v>71.39</v>
      </c>
      <c r="BB358" s="47">
        <f t="shared" si="46"/>
        <v>74.117000000000004</v>
      </c>
      <c r="BC358" s="47">
        <f t="shared" si="46"/>
        <v>107.274</v>
      </c>
      <c r="BD358" s="47">
        <f t="shared" si="46"/>
        <v>9.1120000000000001</v>
      </c>
      <c r="BE358" s="47">
        <f t="shared" si="46"/>
        <v>15.606</v>
      </c>
      <c r="BF358" s="47">
        <f t="shared" si="46"/>
        <v>128.892</v>
      </c>
    </row>
    <row r="359" spans="1:59" x14ac:dyDescent="0.2">
      <c r="C359" s="47"/>
    </row>
    <row r="360" spans="1:59" x14ac:dyDescent="0.2">
      <c r="G360" s="78"/>
    </row>
    <row r="361" spans="1:59" x14ac:dyDescent="0.2">
      <c r="A361" s="1" t="s">
        <v>438</v>
      </c>
      <c r="B361" s="1">
        <v>1</v>
      </c>
      <c r="C361" s="1">
        <f>+IFERROR(VLOOKUP(C8,'אשכול חברתי מעודכן'!$A:$B,2,0),0)</f>
        <v>6</v>
      </c>
      <c r="D361" s="1">
        <f>+IFERROR(VLOOKUP(D8,'אשכול חברתי מעודכן'!$A:$B,2,0),0)</f>
        <v>5</v>
      </c>
      <c r="E361" s="1">
        <f>+IFERROR(VLOOKUP(E8,'אשכול חברתי מעודכן'!$A:$B,2,0),0)</f>
        <v>5</v>
      </c>
      <c r="F361" s="1">
        <f>+IFERROR(VLOOKUP(F8,'אשכול חברתי מעודכן'!$A:$B,2,0),0)</f>
        <v>5</v>
      </c>
      <c r="G361" s="1">
        <f>+IFERROR(VLOOKUP(G8,'אשכול חברתי מעודכן'!$A:$B,2,0),0)</f>
        <v>8</v>
      </c>
      <c r="H361" s="1">
        <f>+IFERROR(VLOOKUP(H8,'אשכול חברתי מעודכן'!$A:$B,2,0),0)</f>
        <v>5</v>
      </c>
      <c r="I361" s="1">
        <f>+IFERROR(VLOOKUP(I8,'אשכול חברתי מעודכן'!$A:$B,2,0),0)</f>
        <v>6</v>
      </c>
      <c r="J361" s="1">
        <f>+IFERROR(VLOOKUP(J8,'אשכול חברתי מעודכן'!$A:$B,2,0),0)</f>
        <v>5</v>
      </c>
      <c r="K361" s="1">
        <f>+IFERROR(VLOOKUP(K8,'אשכול חברתי מעודכן'!$A:$B,2,0),0)</f>
        <v>5</v>
      </c>
      <c r="L361" s="1">
        <f>+IFERROR(VLOOKUP(L8,'אשכול חברתי מעודכן'!$A:$B,2,0),0)</f>
        <v>4</v>
      </c>
      <c r="M361" s="1">
        <f>+IFERROR(VLOOKUP(M8,'אשכול חברתי מעודכן'!$A:$B,2,0),0)</f>
        <v>5</v>
      </c>
      <c r="N361" s="1">
        <f>+IFERROR(VLOOKUP(N8,'אשכול חברתי מעודכן'!$A:$B,2,0),0)</f>
        <v>5</v>
      </c>
      <c r="O361" s="1">
        <f>+IFERROR(VLOOKUP(O8,'אשכול חברתי מעודכן'!$A:$B,2,0),0)</f>
        <v>5</v>
      </c>
      <c r="P361" s="1">
        <f>+IFERROR(VLOOKUP(P8,'אשכול חברתי מעודכן'!$A:$B,2,0),0)</f>
        <v>4</v>
      </c>
      <c r="Q361" s="1">
        <f>+IFERROR(VLOOKUP(Q8,'אשכול חברתי מעודכן'!$A:$B,2,0),0)</f>
        <v>3</v>
      </c>
      <c r="R361" s="1">
        <f>+IFERROR(VLOOKUP(R8,'אשכול חברתי מעודכן'!$A:$B,2,0),0)</f>
        <v>7</v>
      </c>
      <c r="S361" s="1">
        <f>+IFERROR(VLOOKUP(S8,'אשכול חברתי מעודכן'!$A:$B,2,0),0)</f>
        <v>4</v>
      </c>
      <c r="T361" s="1">
        <f>+IFERROR(VLOOKUP(T8,'אשכול חברתי מעודכן'!$A:$B,2,0),0)</f>
        <v>4</v>
      </c>
      <c r="U361" s="1">
        <f>+IFERROR(VLOOKUP(U8,'אשכול חברתי מעודכן'!$A:$B,2,0),0)</f>
        <v>5</v>
      </c>
      <c r="V361" s="1">
        <f>+IFERROR(VLOOKUP(V8,'אשכול חברתי מעודכן'!$A:$B,2,0),0)</f>
        <v>2</v>
      </c>
      <c r="W361" s="1">
        <f>+IFERROR(VLOOKUP(W8,'אשכול חברתי מעודכן'!$A:$B,2,0),0)</f>
        <v>2</v>
      </c>
      <c r="X361" s="1">
        <f>+IFERROR(VLOOKUP(X8,'אשכול חברתי מעודכן'!$A:$B,2,0),0)</f>
        <v>3</v>
      </c>
      <c r="Y361" s="1">
        <f>+IFERROR(VLOOKUP(Y8,'אשכול חברתי מעודכן'!$A:$B,2,0),0)</f>
        <v>5</v>
      </c>
      <c r="Z361" s="1">
        <f>+IFERROR(VLOOKUP(Z8,'אשכול חברתי מעודכן'!$A:$B,2,0),0)</f>
        <v>5</v>
      </c>
      <c r="AA361" s="1">
        <f>+IFERROR(VLOOKUP(AA8,'אשכול חברתי מעודכן'!$A:$B,2,0),0)</f>
        <v>8</v>
      </c>
      <c r="AB361" s="1">
        <f>+IFERROR(VLOOKUP(AB8,'אשכול חברתי מעודכן'!$A:$B,2,0),0)</f>
        <v>4</v>
      </c>
      <c r="AC361" s="1">
        <f>+IFERROR(VLOOKUP(AC8,'אשכול חברתי מעודכן'!$A:$B,2,0),0)</f>
        <v>8</v>
      </c>
      <c r="AD361" s="1">
        <f>+IFERROR(VLOOKUP(AD8,'אשכול חברתי מעודכן'!$A:$B,2,0),0)</f>
        <v>9</v>
      </c>
      <c r="AE361" s="1">
        <f>+IFERROR(VLOOKUP(AE8,'אשכול חברתי מעודכן'!$A:$B,2,0),0)</f>
        <v>7</v>
      </c>
      <c r="AF361" s="1">
        <f>+IFERROR(VLOOKUP(AF8,'אשכול חברתי מעודכן'!$A:$B,2,0),0)</f>
        <v>5</v>
      </c>
      <c r="AG361" s="1">
        <f>+IFERROR(VLOOKUP(AG8,'אשכול חברתי מעודכן'!$A:$B,2,0),0)</f>
        <v>5</v>
      </c>
      <c r="AH361" s="1">
        <f>+IFERROR(VLOOKUP(AH8,'אשכול חברתי מעודכן'!$A:$B,2,0),0)</f>
        <v>2</v>
      </c>
      <c r="AI361" s="1">
        <f>+IFERROR(VLOOKUP(AI8,'אשכול חברתי מעודכן'!$A:$B,2,0),0)</f>
        <v>6</v>
      </c>
      <c r="AJ361" s="1">
        <f>+IFERROR(VLOOKUP(AJ8,'אשכול חברתי מעודכן'!$A:$B,2,0),0)</f>
        <v>6</v>
      </c>
      <c r="AK361" s="1">
        <f>+IFERROR(VLOOKUP(AK8,'אשכול חברתי מעודכן'!$A:$B,2,0),0)</f>
        <v>6</v>
      </c>
      <c r="AL361" s="1">
        <f>+IFERROR(VLOOKUP(AL8,'אשכול חברתי מעודכן'!$A:$B,2,0),0)</f>
        <v>8</v>
      </c>
      <c r="AM361" s="1">
        <f>+IFERROR(VLOOKUP(AM8,'אשכול חברתי מעודכן'!$A:$B,2,0),0)</f>
        <v>8</v>
      </c>
      <c r="AN361" s="1">
        <f>+IFERROR(VLOOKUP(AN8,'אשכול חברתי מעודכן'!$A:$B,2,0),0)</f>
        <v>1</v>
      </c>
      <c r="AO361" s="1">
        <f>+IFERROR(VLOOKUP(AO8,'אשכול חברתי מעודכן'!$A:$B,2,0),0)</f>
        <v>7</v>
      </c>
      <c r="AP361" s="1">
        <f>+IFERROR(VLOOKUP(AP8,'אשכול חברתי מעודכן'!$A:$B,2,0),0)</f>
        <v>8</v>
      </c>
      <c r="AQ361" s="1">
        <f>+IFERROR(VLOOKUP(AQ8,'אשכול חברתי מעודכן'!$A:$B,2,0),0)</f>
        <v>5</v>
      </c>
      <c r="AR361" s="1">
        <f>+IFERROR(VLOOKUP(AR8,'אשכול חברתי מעודכן'!$A:$B,2,0),0)</f>
        <v>8</v>
      </c>
      <c r="AS361" s="1">
        <f>+IFERROR(VLOOKUP(AS8,'אשכול חברתי מעודכן'!$A:$B,2,0),0)</f>
        <v>3</v>
      </c>
      <c r="AT361" s="1">
        <f>+IFERROR(VLOOKUP(AT8,'אשכול חברתי מעודכן'!$A:$B,2,0),0)</f>
        <v>3</v>
      </c>
      <c r="AU361" s="1">
        <f>+IFERROR(VLOOKUP(AU8,'אשכול חברתי מעודכן'!$A:$B,2,0),0)</f>
        <v>8</v>
      </c>
      <c r="AV361" s="1">
        <f>+IFERROR(VLOOKUP(AV8,'אשכול חברתי מעודכן'!$A:$B,2,0),0)</f>
        <v>5</v>
      </c>
      <c r="AW361" s="1">
        <f>+IFERROR(VLOOKUP(AW8,'אשכול חברתי מעודכן'!$A:$B,2,0),0)</f>
        <v>4</v>
      </c>
      <c r="AX361" s="1">
        <f>+IFERROR(VLOOKUP(AX8,'אשכול חברתי מעודכן'!$A:$B,2,0),0)</f>
        <v>0</v>
      </c>
      <c r="AY361" s="1">
        <f>+IFERROR(VLOOKUP(AY8,'אשכול חברתי מעודכן'!$A:$B,2,0),0)</f>
        <v>5</v>
      </c>
      <c r="AZ361" s="1">
        <f>+IFERROR(VLOOKUP(AZ8,'אשכול חברתי מעודכן'!$A:$B,2,0),0)</f>
        <v>8</v>
      </c>
      <c r="BA361" s="1">
        <f>+IFERROR(VLOOKUP(BA8,'אשכול חברתי מעודכן'!$A:$B,2,0),0)</f>
        <v>4</v>
      </c>
      <c r="BB361" s="1">
        <f>+IFERROR(VLOOKUP(BB8,'אשכול חברתי מעודכן'!$A:$B,2,0),0)</f>
        <v>3</v>
      </c>
      <c r="BC361" s="1">
        <f>+IFERROR(VLOOKUP(BC8,'אשכול חברתי מעודכן'!$A:$B,2,0),0)</f>
        <v>2</v>
      </c>
      <c r="BD361" s="1">
        <f>+IFERROR(VLOOKUP(BD8,'אשכול חברתי מעודכן'!$A:$B,2,0),0)</f>
        <v>8</v>
      </c>
      <c r="BE361" s="1">
        <f>+IFERROR(VLOOKUP(BE8,'אשכול חברתי מעודכן'!$A:$B,2,0),0)</f>
        <v>8</v>
      </c>
      <c r="BF361" s="1">
        <f>+IFERROR(VLOOKUP(BF8,'אשכול חברתי מעודכן'!$A:$B,2,0),0)</f>
        <v>6</v>
      </c>
    </row>
    <row r="362" spans="1:59" x14ac:dyDescent="0.2">
      <c r="B362" s="1">
        <v>2</v>
      </c>
      <c r="C362" s="1">
        <f>+IFERROR(VLOOKUP(C9,'אשכול חברתי מעודכן'!$A:$B,2,0),0)</f>
        <v>2</v>
      </c>
      <c r="D362" s="1">
        <f>+IFERROR(VLOOKUP(D9,'אשכול חברתי מעודכן'!$A:$B,2,0),0)</f>
        <v>7</v>
      </c>
      <c r="E362" s="1">
        <f>+IFERROR(VLOOKUP(E9,'אשכול חברתי מעודכן'!$A:$B,2,0),0)</f>
        <v>0</v>
      </c>
      <c r="F362" s="1">
        <f>+IFERROR(VLOOKUP(F9,'אשכול חברתי מעודכן'!$A:$B,2,0),0)</f>
        <v>6</v>
      </c>
      <c r="G362" s="1">
        <f>+IFERROR(VLOOKUP(G9,'אשכול חברתי מעודכן'!$A:$B,2,0),0)</f>
        <v>0</v>
      </c>
      <c r="H362" s="1">
        <f>+IFERROR(VLOOKUP(H9,'אשכול חברתי מעודכן'!$A:$B,2,0),0)</f>
        <v>3</v>
      </c>
      <c r="I362" s="1">
        <f>+IFERROR(VLOOKUP(I9,'אשכול חברתי מעודכן'!$A:$B,2,0),0)</f>
        <v>0</v>
      </c>
      <c r="J362" s="1">
        <f>+IFERROR(VLOOKUP(J9,'אשכול חברתי מעודכן'!$A:$B,2,0),0)</f>
        <v>0</v>
      </c>
      <c r="K362" s="1">
        <f>+IFERROR(VLOOKUP(K9,'אשכול חברתי מעודכן'!$A:$B,2,0),0)</f>
        <v>5</v>
      </c>
      <c r="L362" s="1">
        <f>+IFERROR(VLOOKUP(L9,'אשכול חברתי מעודכן'!$A:$B,2,0),0)</f>
        <v>5</v>
      </c>
      <c r="M362" s="1">
        <f>+IFERROR(VLOOKUP(M9,'אשכול חברתי מעודכן'!$A:$B,2,0),0)</f>
        <v>0</v>
      </c>
      <c r="N362" s="1">
        <f>+IFERROR(VLOOKUP(N9,'אשכול חברתי מעודכן'!$A:$B,2,0),0)</f>
        <v>3</v>
      </c>
      <c r="O362" s="1">
        <f>+IFERROR(VLOOKUP(O9,'אשכול חברתי מעודכן'!$A:$B,2,0),0)</f>
        <v>6</v>
      </c>
      <c r="P362" s="1">
        <f>+IFERROR(VLOOKUP(P9,'אשכול חברתי מעודכן'!$A:$B,2,0),0)</f>
        <v>3</v>
      </c>
      <c r="Q362" s="1">
        <f>+IFERROR(VLOOKUP(Q9,'אשכול חברתי מעודכן'!$A:$B,2,0),0)</f>
        <v>0</v>
      </c>
      <c r="R362" s="1">
        <f>+IFERROR(VLOOKUP(R9,'אשכול חברתי מעודכן'!$A:$B,2,0),0)</f>
        <v>5</v>
      </c>
      <c r="S362" s="1">
        <f>+IFERROR(VLOOKUP(S9,'אשכול חברתי מעודכן'!$A:$B,2,0),0)</f>
        <v>0</v>
      </c>
      <c r="T362" s="1">
        <f>+IFERROR(VLOOKUP(T9,'אשכול חברתי מעודכן'!$A:$B,2,0),0)</f>
        <v>6</v>
      </c>
      <c r="U362" s="1">
        <f>+IFERROR(VLOOKUP(U9,'אשכול חברתי מעודכן'!$A:$B,2,0),0)</f>
        <v>0</v>
      </c>
      <c r="V362" s="1">
        <f>+IFERROR(VLOOKUP(V9,'אשכול חברתי מעודכן'!$A:$B,2,0),0)</f>
        <v>3</v>
      </c>
      <c r="W362" s="1">
        <f>+IFERROR(VLOOKUP(W9,'אשכול חברתי מעודכן'!$A:$B,2,0),0)</f>
        <v>2</v>
      </c>
      <c r="X362" s="1">
        <f>+IFERROR(VLOOKUP(X9,'אשכול חברתי מעודכן'!$A:$B,2,0),0)</f>
        <v>3</v>
      </c>
      <c r="Y362" s="1">
        <f>+IFERROR(VLOOKUP(Y9,'אשכול חברתי מעודכן'!$A:$B,2,0),0)</f>
        <v>5</v>
      </c>
      <c r="Z362" s="1">
        <f>+IFERROR(VLOOKUP(Z9,'אשכול חברתי מעודכן'!$A:$B,2,0),0)</f>
        <v>0</v>
      </c>
      <c r="AA362" s="1">
        <f>+IFERROR(VLOOKUP(AA9,'אשכול חברתי מעודכן'!$A:$B,2,0),0)</f>
        <v>0</v>
      </c>
      <c r="AB362" s="1">
        <f>+IFERROR(VLOOKUP(AB9,'אשכול חברתי מעודכן'!$A:$B,2,0),0)</f>
        <v>0</v>
      </c>
      <c r="AC362" s="1">
        <f>+IFERROR(VLOOKUP(AC9,'אשכול חברתי מעודכן'!$A:$B,2,0),0)</f>
        <v>0</v>
      </c>
      <c r="AD362" s="1">
        <f>+IFERROR(VLOOKUP(AD9,'אשכול חברתי מעודכן'!$A:$B,2,0),0)</f>
        <v>0</v>
      </c>
      <c r="AE362" s="1">
        <f>+IFERROR(VLOOKUP(AE9,'אשכול חברתי מעודכן'!$A:$B,2,0),0)</f>
        <v>0</v>
      </c>
      <c r="AF362" s="1">
        <f>+IFERROR(VLOOKUP(AF9,'אשכול חברתי מעודכן'!$A:$B,2,0),0)</f>
        <v>6</v>
      </c>
      <c r="AG362" s="1">
        <f>+IFERROR(VLOOKUP(AG9,'אשכול חברתי מעודכן'!$A:$B,2,0),0)</f>
        <v>0</v>
      </c>
      <c r="AH362" s="1">
        <f>+IFERROR(VLOOKUP(AH9,'אשכול חברתי מעודכן'!$A:$B,2,0),0)</f>
        <v>0</v>
      </c>
      <c r="AI362" s="1">
        <f>+IFERROR(VLOOKUP(AI9,'אשכול חברתי מעודכן'!$A:$B,2,0),0)</f>
        <v>0</v>
      </c>
      <c r="AJ362" s="1">
        <f>+IFERROR(VLOOKUP(AJ9,'אשכול חברתי מעודכן'!$A:$B,2,0),0)</f>
        <v>2</v>
      </c>
      <c r="AK362" s="1">
        <f>+IFERROR(VLOOKUP(AK9,'אשכול חברתי מעודכן'!$A:$B,2,0),0)</f>
        <v>0</v>
      </c>
      <c r="AL362" s="1">
        <f>+IFERROR(VLOOKUP(AL9,'אשכול חברתי מעודכן'!$A:$B,2,0),0)</f>
        <v>0</v>
      </c>
      <c r="AM362" s="1">
        <f>+IFERROR(VLOOKUP(AM9,'אשכול חברתי מעודכן'!$A:$B,2,0),0)</f>
        <v>7</v>
      </c>
      <c r="AN362" s="1">
        <f>+IFERROR(VLOOKUP(AN9,'אשכול חברתי מעודכן'!$A:$B,2,0),0)</f>
        <v>2</v>
      </c>
      <c r="AO362" s="1">
        <f>+IFERROR(VLOOKUP(AO9,'אשכול חברתי מעודכן'!$A:$B,2,0),0)</f>
        <v>0</v>
      </c>
      <c r="AP362" s="1">
        <f>+IFERROR(VLOOKUP(AP9,'אשכול חברתי מעודכן'!$A:$B,2,0),0)</f>
        <v>0</v>
      </c>
      <c r="AQ362" s="1">
        <f>+IFERROR(VLOOKUP(AQ9,'אשכול חברתי מעודכן'!$A:$B,2,0),0)</f>
        <v>0</v>
      </c>
      <c r="AR362" s="1">
        <f>+IFERROR(VLOOKUP(AR9,'אשכול חברתי מעודכן'!$A:$B,2,0),0)</f>
        <v>7</v>
      </c>
      <c r="AS362" s="1">
        <f>+IFERROR(VLOOKUP(AS9,'אשכול חברתי מעודכן'!$A:$B,2,0),0)</f>
        <v>2</v>
      </c>
      <c r="AT362" s="1">
        <f>+IFERROR(VLOOKUP(AT9,'אשכול חברתי מעודכן'!$A:$B,2,0),0)</f>
        <v>0</v>
      </c>
      <c r="AU362" s="1">
        <f>+IFERROR(VLOOKUP(AU9,'אשכול חברתי מעודכן'!$A:$B,2,0),0)</f>
        <v>0</v>
      </c>
      <c r="AV362" s="1">
        <f>+IFERROR(VLOOKUP(AV9,'אשכול חברתי מעודכן'!$A:$B,2,0),0)</f>
        <v>3</v>
      </c>
      <c r="AW362" s="1">
        <f>+IFERROR(VLOOKUP(AW9,'אשכול חברתי מעודכן'!$A:$B,2,0),0)</f>
        <v>0</v>
      </c>
      <c r="AX362" s="1">
        <f>+IFERROR(VLOOKUP(AX9,'אשכול חברתי מעודכן'!$A:$B,2,0),0)</f>
        <v>2</v>
      </c>
      <c r="AY362" s="1">
        <f>+IFERROR(VLOOKUP(AY9,'אשכול חברתי מעודכן'!$A:$B,2,0),0)</f>
        <v>0</v>
      </c>
      <c r="AZ362" s="1">
        <f>+IFERROR(VLOOKUP(AZ9,'אשכול חברתי מעודכן'!$A:$B,2,0),0)</f>
        <v>6</v>
      </c>
      <c r="BA362" s="1">
        <f>+IFERROR(VLOOKUP(BA9,'אשכול חברתי מעודכן'!$A:$B,2,0),0)</f>
        <v>5</v>
      </c>
      <c r="BB362" s="1">
        <f>+IFERROR(VLOOKUP(BB9,'אשכול חברתי מעודכן'!$A:$B,2,0),0)</f>
        <v>2</v>
      </c>
      <c r="BC362" s="1">
        <f>+IFERROR(VLOOKUP(BC9,'אשכול חברתי מעודכן'!$A:$B,2,0),0)</f>
        <v>3</v>
      </c>
      <c r="BD362" s="1">
        <f>+IFERROR(VLOOKUP(BD9,'אשכול חברתי מעודכן'!$A:$B,2,0),0)</f>
        <v>9</v>
      </c>
      <c r="BE362" s="1">
        <f>+IFERROR(VLOOKUP(BE9,'אשכול חברתי מעודכן'!$A:$B,2,0),0)</f>
        <v>0</v>
      </c>
      <c r="BF362" s="1">
        <f>+IFERROR(VLOOKUP(BF9,'אשכול חברתי מעודכן'!$A:$B,2,0),0)</f>
        <v>0</v>
      </c>
    </row>
    <row r="363" spans="1:59" x14ac:dyDescent="0.2">
      <c r="B363" s="1">
        <v>3</v>
      </c>
      <c r="C363" s="1">
        <f>+IFERROR(VLOOKUP(C10,'אשכול חברתי מעודכן'!$A:$B,2,0),0)</f>
        <v>3</v>
      </c>
      <c r="D363" s="1">
        <f>+IFERROR(VLOOKUP(D10,'אשכול חברתי מעודכן'!$A:$B,2,0),0)</f>
        <v>5</v>
      </c>
      <c r="E363" s="1">
        <f>+IFERROR(VLOOKUP(E10,'אשכול חברתי מעודכן'!$A:$B,2,0),0)</f>
        <v>0</v>
      </c>
      <c r="F363" s="1">
        <f>+IFERROR(VLOOKUP(F10,'אשכול חברתי מעודכן'!$A:$B,2,0),0)</f>
        <v>0</v>
      </c>
      <c r="G363" s="1">
        <f>+IFERROR(VLOOKUP(G10,'אשכול חברתי מעודכן'!$A:$B,2,0),0)</f>
        <v>0</v>
      </c>
      <c r="H363" s="1">
        <f>+IFERROR(VLOOKUP(H10,'אשכול חברתי מעודכן'!$A:$B,2,0),0)</f>
        <v>8</v>
      </c>
      <c r="I363" s="1">
        <f>+IFERROR(VLOOKUP(I10,'אשכול חברתי מעודכן'!$A:$B,2,0),0)</f>
        <v>0</v>
      </c>
      <c r="J363" s="1">
        <f>+IFERROR(VLOOKUP(J10,'אשכול חברתי מעודכן'!$A:$B,2,0),0)</f>
        <v>0</v>
      </c>
      <c r="K363" s="1">
        <f>+IFERROR(VLOOKUP(K10,'אשכול חברתי מעודכן'!$A:$B,2,0),0)</f>
        <v>5</v>
      </c>
      <c r="L363" s="1">
        <f>+IFERROR(VLOOKUP(L10,'אשכול חברתי מעודכן'!$A:$B,2,0),0)</f>
        <v>4</v>
      </c>
      <c r="M363" s="1">
        <f>+IFERROR(VLOOKUP(M10,'אשכול חברתי מעודכן'!$A:$B,2,0),0)</f>
        <v>0</v>
      </c>
      <c r="N363" s="1">
        <f>+IFERROR(VLOOKUP(N10,'אשכול חברתי מעודכן'!$A:$B,2,0),0)</f>
        <v>0</v>
      </c>
      <c r="O363" s="1">
        <f>+IFERROR(VLOOKUP(O10,'אשכול חברתי מעודכן'!$A:$B,2,0),0)</f>
        <v>7</v>
      </c>
      <c r="P363" s="1">
        <f>+IFERROR(VLOOKUP(P10,'אשכול חברתי מעודכן'!$A:$B,2,0),0)</f>
        <v>2</v>
      </c>
      <c r="Q363" s="1">
        <f>+IFERROR(VLOOKUP(Q10,'אשכול חברתי מעודכן'!$A:$B,2,0),0)</f>
        <v>0</v>
      </c>
      <c r="R363" s="1">
        <f>+IFERROR(VLOOKUP(R10,'אשכול חברתי מעודכן'!$A:$B,2,0),0)</f>
        <v>8</v>
      </c>
      <c r="S363" s="1">
        <f>+IFERROR(VLOOKUP(S10,'אשכול חברתי מעודכן'!$A:$B,2,0),0)</f>
        <v>0</v>
      </c>
      <c r="T363" s="1">
        <f>+IFERROR(VLOOKUP(T10,'אשכול חברתי מעודכן'!$A:$B,2,0),0)</f>
        <v>4</v>
      </c>
      <c r="U363" s="1">
        <f>+IFERROR(VLOOKUP(U10,'אשכול חברתי מעודכן'!$A:$B,2,0),0)</f>
        <v>0</v>
      </c>
      <c r="V363" s="1">
        <f>+IFERROR(VLOOKUP(V10,'אשכול חברתי מעודכן'!$A:$B,2,0),0)</f>
        <v>2</v>
      </c>
      <c r="W363" s="1">
        <f>+IFERROR(VLOOKUP(W10,'אשכול חברתי מעודכן'!$A:$B,2,0),0)</f>
        <v>4</v>
      </c>
      <c r="X363" s="1">
        <f>+IFERROR(VLOOKUP(X10,'אשכול חברתי מעודכן'!$A:$B,2,0),0)</f>
        <v>3</v>
      </c>
      <c r="Y363" s="1">
        <f>+IFERROR(VLOOKUP(Y10,'אשכול חברתי מעודכן'!$A:$B,2,0),0)</f>
        <v>9</v>
      </c>
      <c r="Z363" s="1">
        <f>+IFERROR(VLOOKUP(Z10,'אשכול חברתי מעודכן'!$A:$B,2,0),0)</f>
        <v>0</v>
      </c>
      <c r="AA363" s="1">
        <f>+IFERROR(VLOOKUP(AA10,'אשכול חברתי מעודכן'!$A:$B,2,0),0)</f>
        <v>0</v>
      </c>
      <c r="AB363" s="1">
        <f>+IFERROR(VLOOKUP(AB10,'אשכול חברתי מעודכן'!$A:$B,2,0),0)</f>
        <v>0</v>
      </c>
      <c r="AC363" s="1">
        <f>+IFERROR(VLOOKUP(AC10,'אשכול חברתי מעודכן'!$A:$B,2,0),0)</f>
        <v>0</v>
      </c>
      <c r="AD363" s="1">
        <f>+IFERROR(VLOOKUP(AD10,'אשכול חברתי מעודכן'!$A:$B,2,0),0)</f>
        <v>0</v>
      </c>
      <c r="AE363" s="1">
        <f>+IFERROR(VLOOKUP(AE10,'אשכול חברתי מעודכן'!$A:$B,2,0),0)</f>
        <v>0</v>
      </c>
      <c r="AF363" s="1">
        <f>+IFERROR(VLOOKUP(AF10,'אשכול חברתי מעודכן'!$A:$B,2,0),0)</f>
        <v>0</v>
      </c>
      <c r="AG363" s="1">
        <f>+IFERROR(VLOOKUP(AG10,'אשכול חברתי מעודכן'!$A:$B,2,0),0)</f>
        <v>0</v>
      </c>
      <c r="AH363" s="1">
        <f>+IFERROR(VLOOKUP(AH10,'אשכול חברתי מעודכן'!$A:$B,2,0),0)</f>
        <v>0</v>
      </c>
      <c r="AI363" s="1">
        <f>+IFERROR(VLOOKUP(AI10,'אשכול חברתי מעודכן'!$A:$B,2,0),0)</f>
        <v>0</v>
      </c>
      <c r="AJ363" s="1">
        <f>+IFERROR(VLOOKUP(AJ10,'אשכול חברתי מעודכן'!$A:$B,2,0),0)</f>
        <v>0</v>
      </c>
      <c r="AK363" s="1">
        <f>+IFERROR(VLOOKUP(AK10,'אשכול חברתי מעודכן'!$A:$B,2,0),0)</f>
        <v>0</v>
      </c>
      <c r="AL363" s="1">
        <f>+IFERROR(VLOOKUP(AL10,'אשכול חברתי מעודכן'!$A:$B,2,0),0)</f>
        <v>0</v>
      </c>
      <c r="AM363" s="1">
        <f>+IFERROR(VLOOKUP(AM10,'אשכול חברתי מעודכן'!$A:$B,2,0),0)</f>
        <v>6</v>
      </c>
      <c r="AN363" s="1">
        <f>+IFERROR(VLOOKUP(AN10,'אשכול חברתי מעודכן'!$A:$B,2,0),0)</f>
        <v>2</v>
      </c>
      <c r="AO363" s="1">
        <f>+IFERROR(VLOOKUP(AO10,'אשכול חברתי מעודכן'!$A:$B,2,0),0)</f>
        <v>0</v>
      </c>
      <c r="AP363" s="1">
        <f>+IFERROR(VLOOKUP(AP10,'אשכול חברתי מעודכן'!$A:$B,2,0),0)</f>
        <v>0</v>
      </c>
      <c r="AQ363" s="1">
        <f>+IFERROR(VLOOKUP(AQ10,'אשכול חברתי מעודכן'!$A:$B,2,0),0)</f>
        <v>0</v>
      </c>
      <c r="AR363" s="1">
        <f>+IFERROR(VLOOKUP(AR10,'אשכול חברתי מעודכן'!$A:$B,2,0),0)</f>
        <v>0</v>
      </c>
      <c r="AS363" s="1">
        <f>+IFERROR(VLOOKUP(AS10,'אשכול חברתי מעודכן'!$A:$B,2,0),0)</f>
        <v>2</v>
      </c>
      <c r="AT363" s="1">
        <f>+IFERROR(VLOOKUP(AT10,'אשכול חברתי מעודכן'!$A:$B,2,0),0)</f>
        <v>0</v>
      </c>
      <c r="AU363" s="1">
        <f>+IFERROR(VLOOKUP(AU10,'אשכול חברתי מעודכן'!$A:$B,2,0),0)</f>
        <v>0</v>
      </c>
      <c r="AV363" s="1">
        <f>+IFERROR(VLOOKUP(AV10,'אשכול חברתי מעודכן'!$A:$B,2,0),0)</f>
        <v>0</v>
      </c>
      <c r="AW363" s="1">
        <f>+IFERROR(VLOOKUP(AW10,'אשכול חברתי מעודכן'!$A:$B,2,0),0)</f>
        <v>0</v>
      </c>
      <c r="AX363" s="1">
        <f>+IFERROR(VLOOKUP(AX10,'אשכול חברתי מעודכן'!$A:$B,2,0),0)</f>
        <v>3</v>
      </c>
      <c r="AY363" s="1">
        <f>+IFERROR(VLOOKUP(AY10,'אשכול חברתי מעודכן'!$A:$B,2,0),0)</f>
        <v>0</v>
      </c>
      <c r="AZ363" s="1">
        <f>+IFERROR(VLOOKUP(AZ10,'אשכול חברתי מעודכן'!$A:$B,2,0),0)</f>
        <v>8</v>
      </c>
      <c r="BA363" s="1">
        <f>+IFERROR(VLOOKUP(BA10,'אשכול חברתי מעודכן'!$A:$B,2,0),0)</f>
        <v>4</v>
      </c>
      <c r="BB363" s="1">
        <f>+IFERROR(VLOOKUP(BB10,'אשכול חברתי מעודכן'!$A:$B,2,0),0)</f>
        <v>3</v>
      </c>
      <c r="BC363" s="1">
        <f>+IFERROR(VLOOKUP(BC10,'אשכול חברתי מעודכן'!$A:$B,2,0),0)</f>
        <v>2</v>
      </c>
      <c r="BD363" s="1">
        <f>+IFERROR(VLOOKUP(BD10,'אשכול חברתי מעודכן'!$A:$B,2,0),0)</f>
        <v>0</v>
      </c>
      <c r="BE363" s="1">
        <f>+IFERROR(VLOOKUP(BE10,'אשכול חברתי מעודכן'!$A:$B,2,0),0)</f>
        <v>0</v>
      </c>
      <c r="BF363" s="1">
        <f>+IFERROR(VLOOKUP(BF10,'אשכול חברתי מעודכן'!$A:$B,2,0),0)</f>
        <v>0</v>
      </c>
    </row>
    <row r="364" spans="1:59" x14ac:dyDescent="0.2">
      <c r="B364" s="1">
        <v>4</v>
      </c>
      <c r="C364" s="1">
        <f>+IFERROR(VLOOKUP(C11,'אשכול חברתי מעודכן'!$A:$B,2,0),0)</f>
        <v>0</v>
      </c>
      <c r="D364" s="1">
        <f>+IFERROR(VLOOKUP(D11,'אשכול חברתי מעודכן'!$A:$B,2,0),0)</f>
        <v>2</v>
      </c>
      <c r="E364" s="1">
        <f>+IFERROR(VLOOKUP(E11,'אשכול חברתי מעודכן'!$A:$B,2,0),0)</f>
        <v>0</v>
      </c>
      <c r="F364" s="1">
        <f>+IFERROR(VLOOKUP(F11,'אשכול חברתי מעודכן'!$A:$B,2,0),0)</f>
        <v>0</v>
      </c>
      <c r="G364" s="1">
        <f>+IFERROR(VLOOKUP(G11,'אשכול חברתי מעודכן'!$A:$B,2,0),0)</f>
        <v>0</v>
      </c>
      <c r="H364" s="1">
        <f>+IFERROR(VLOOKUP(H11,'אשכול חברתי מעודכן'!$A:$B,2,0),0)</f>
        <v>0</v>
      </c>
      <c r="I364" s="1">
        <f>+IFERROR(VLOOKUP(I11,'אשכול חברתי מעודכן'!$A:$B,2,0),0)</f>
        <v>0</v>
      </c>
      <c r="J364" s="1">
        <f>+IFERROR(VLOOKUP(J11,'אשכול חברתי מעודכן'!$A:$B,2,0),0)</f>
        <v>0</v>
      </c>
      <c r="K364" s="1">
        <f>+IFERROR(VLOOKUP(K11,'אשכול חברתי מעודכן'!$A:$B,2,0),0)</f>
        <v>0</v>
      </c>
      <c r="L364" s="1">
        <f>+IFERROR(VLOOKUP(L11,'אשכול חברתי מעודכן'!$A:$B,2,0),0)</f>
        <v>4</v>
      </c>
      <c r="M364" s="1">
        <f>+IFERROR(VLOOKUP(M11,'אשכול חברתי מעודכן'!$A:$B,2,0),0)</f>
        <v>0</v>
      </c>
      <c r="N364" s="1">
        <f>+IFERROR(VLOOKUP(N11,'אשכול חברתי מעודכן'!$A:$B,2,0),0)</f>
        <v>0</v>
      </c>
      <c r="O364" s="1">
        <f>+IFERROR(VLOOKUP(O11,'אשכול חברתי מעודכן'!$A:$B,2,0),0)</f>
        <v>5</v>
      </c>
      <c r="P364" s="1">
        <f>+IFERROR(VLOOKUP(P11,'אשכול חברתי מעודכן'!$A:$B,2,0),0)</f>
        <v>5</v>
      </c>
      <c r="Q364" s="1">
        <f>+IFERROR(VLOOKUP(Q11,'אשכול חברתי מעודכן'!$A:$B,2,0),0)</f>
        <v>0</v>
      </c>
      <c r="R364" s="1">
        <f>+IFERROR(VLOOKUP(R11,'אשכול חברתי מעודכן'!$A:$B,2,0),0)</f>
        <v>0</v>
      </c>
      <c r="S364" s="1">
        <f>+IFERROR(VLOOKUP(S11,'אשכול חברתי מעודכן'!$A:$B,2,0),0)</f>
        <v>0</v>
      </c>
      <c r="T364" s="1">
        <f>+IFERROR(VLOOKUP(T11,'אשכול חברתי מעודכן'!$A:$B,2,0),0)</f>
        <v>5</v>
      </c>
      <c r="U364" s="1">
        <f>+IFERROR(VLOOKUP(U11,'אשכול חברתי מעודכן'!$A:$B,2,0),0)</f>
        <v>0</v>
      </c>
      <c r="V364" s="1">
        <f>+IFERROR(VLOOKUP(V11,'אשכול חברתי מעודכן'!$A:$B,2,0),0)</f>
        <v>2</v>
      </c>
      <c r="W364" s="1">
        <f>+IFERROR(VLOOKUP(W11,'אשכול חברתי מעודכן'!$A:$B,2,0),0)</f>
        <v>2</v>
      </c>
      <c r="X364" s="1">
        <f>+IFERROR(VLOOKUP(X11,'אשכול חברתי מעודכן'!$A:$B,2,0),0)</f>
        <v>2</v>
      </c>
      <c r="Y364" s="1">
        <f>+IFERROR(VLOOKUP(Y11,'אשכול חברתי מעודכן'!$A:$B,2,0),0)</f>
        <v>2</v>
      </c>
      <c r="Z364" s="1">
        <f>+IFERROR(VLOOKUP(Z11,'אשכול חברתי מעודכן'!$A:$B,2,0),0)</f>
        <v>0</v>
      </c>
      <c r="AA364" s="1">
        <f>+IFERROR(VLOOKUP(AA11,'אשכול חברתי מעודכן'!$A:$B,2,0),0)</f>
        <v>0</v>
      </c>
      <c r="AB364" s="1">
        <f>+IFERROR(VLOOKUP(AB11,'אשכול חברתי מעודכן'!$A:$B,2,0),0)</f>
        <v>0</v>
      </c>
      <c r="AC364" s="1">
        <f>+IFERROR(VLOOKUP(AC11,'אשכול חברתי מעודכן'!$A:$B,2,0),0)</f>
        <v>0</v>
      </c>
      <c r="AD364" s="1">
        <f>+IFERROR(VLOOKUP(AD11,'אשכול חברתי מעודכן'!$A:$B,2,0),0)</f>
        <v>0</v>
      </c>
      <c r="AE364" s="1">
        <f>+IFERROR(VLOOKUP(AE11,'אשכול חברתי מעודכן'!$A:$B,2,0),0)</f>
        <v>0</v>
      </c>
      <c r="AF364" s="1">
        <f>+IFERROR(VLOOKUP(AF11,'אשכול חברתי מעודכן'!$A:$B,2,0),0)</f>
        <v>0</v>
      </c>
      <c r="AG364" s="1">
        <f>+IFERROR(VLOOKUP(AG11,'אשכול חברתי מעודכן'!$A:$B,2,0),0)</f>
        <v>0</v>
      </c>
      <c r="AH364" s="1">
        <f>+IFERROR(VLOOKUP(AH11,'אשכול חברתי מעודכן'!$A:$B,2,0),0)</f>
        <v>0</v>
      </c>
      <c r="AI364" s="1">
        <f>+IFERROR(VLOOKUP(AI11,'אשכול חברתי מעודכן'!$A:$B,2,0),0)</f>
        <v>0</v>
      </c>
      <c r="AJ364" s="1">
        <f>+IFERROR(VLOOKUP(AJ11,'אשכול חברתי מעודכן'!$A:$B,2,0),0)</f>
        <v>0</v>
      </c>
      <c r="AK364" s="1">
        <f>+IFERROR(VLOOKUP(AK11,'אשכול חברתי מעודכן'!$A:$B,2,0),0)</f>
        <v>0</v>
      </c>
      <c r="AL364" s="1">
        <f>+IFERROR(VLOOKUP(AL11,'אשכול חברתי מעודכן'!$A:$B,2,0),0)</f>
        <v>0</v>
      </c>
      <c r="AM364" s="1">
        <f>+IFERROR(VLOOKUP(AM11,'אשכול חברתי מעודכן'!$A:$B,2,0),0)</f>
        <v>7</v>
      </c>
      <c r="AN364" s="1">
        <f>+IFERROR(VLOOKUP(AN11,'אשכול חברתי מעודכן'!$A:$B,2,0),0)</f>
        <v>1</v>
      </c>
      <c r="AO364" s="1">
        <f>+IFERROR(VLOOKUP(AO11,'אשכול חברתי מעודכן'!$A:$B,2,0),0)</f>
        <v>0</v>
      </c>
      <c r="AP364" s="1">
        <f>+IFERROR(VLOOKUP(AP11,'אשכול חברתי מעודכן'!$A:$B,2,0),0)</f>
        <v>0</v>
      </c>
      <c r="AQ364" s="1">
        <f>+IFERROR(VLOOKUP(AQ11,'אשכול חברתי מעודכן'!$A:$B,2,0),0)</f>
        <v>0</v>
      </c>
      <c r="AR364" s="1">
        <f>+IFERROR(VLOOKUP(AR11,'אשכול חברתי מעודכן'!$A:$B,2,0),0)</f>
        <v>0</v>
      </c>
      <c r="AS364" s="1">
        <f>+IFERROR(VLOOKUP(AS11,'אשכול חברתי מעודכן'!$A:$B,2,0),0)</f>
        <v>2</v>
      </c>
      <c r="AT364" s="1">
        <f>+IFERROR(VLOOKUP(AT11,'אשכול חברתי מעודכן'!$A:$B,2,0),0)</f>
        <v>0</v>
      </c>
      <c r="AU364" s="1">
        <f>+IFERROR(VLOOKUP(AU11,'אשכול חברתי מעודכן'!$A:$B,2,0),0)</f>
        <v>0</v>
      </c>
      <c r="AV364" s="1">
        <f>+IFERROR(VLOOKUP(AV11,'אשכול חברתי מעודכן'!$A:$B,2,0),0)</f>
        <v>0</v>
      </c>
      <c r="AW364" s="1">
        <f>+IFERROR(VLOOKUP(AW11,'אשכול חברתי מעודכן'!$A:$B,2,0),0)</f>
        <v>0</v>
      </c>
      <c r="AX364" s="1">
        <f>+IFERROR(VLOOKUP(AX11,'אשכול חברתי מעודכן'!$A:$B,2,0),0)</f>
        <v>3</v>
      </c>
      <c r="AY364" s="1">
        <f>+IFERROR(VLOOKUP(AY11,'אשכול חברתי מעודכן'!$A:$B,2,0),0)</f>
        <v>0</v>
      </c>
      <c r="AZ364" s="1">
        <f>+IFERROR(VLOOKUP(AZ11,'אשכול חברתי מעודכן'!$A:$B,2,0),0)</f>
        <v>8</v>
      </c>
      <c r="BA364" s="1">
        <f>+IFERROR(VLOOKUP(BA11,'אשכול חברתי מעודכן'!$A:$B,2,0),0)</f>
        <v>4</v>
      </c>
      <c r="BB364" s="1">
        <f>+IFERROR(VLOOKUP(BB11,'אשכול חברתי מעודכן'!$A:$B,2,0),0)</f>
        <v>4</v>
      </c>
      <c r="BC364" s="1">
        <f>+IFERROR(VLOOKUP(BC11,'אשכול חברתי מעודכן'!$A:$B,2,0),0)</f>
        <v>2</v>
      </c>
      <c r="BD364" s="1">
        <f>+IFERROR(VLOOKUP(BD11,'אשכול חברתי מעודכן'!$A:$B,2,0),0)</f>
        <v>0</v>
      </c>
      <c r="BE364" s="1">
        <f>+IFERROR(VLOOKUP(BE11,'אשכול חברתי מעודכן'!$A:$B,2,0),0)</f>
        <v>0</v>
      </c>
      <c r="BF364" s="1">
        <f>+IFERROR(VLOOKUP(BF11,'אשכול חברתי מעודכן'!$A:$B,2,0),0)</f>
        <v>0</v>
      </c>
    </row>
    <row r="365" spans="1:59" x14ac:dyDescent="0.2">
      <c r="B365" s="1">
        <v>5</v>
      </c>
      <c r="C365" s="1">
        <f>+IFERROR(VLOOKUP(C12,'אשכול חברתי מעודכן'!$A:$B,2,0),0)</f>
        <v>0</v>
      </c>
      <c r="D365" s="1">
        <f>+IFERROR(VLOOKUP(D12,'אשכול חברתי מעודכן'!$A:$B,2,0),0)</f>
        <v>2</v>
      </c>
      <c r="E365" s="1">
        <f>+IFERROR(VLOOKUP(E12,'אשכול חברתי מעודכן'!$A:$B,2,0),0)</f>
        <v>0</v>
      </c>
      <c r="F365" s="1">
        <f>+IFERROR(VLOOKUP(F12,'אשכול חברתי מעודכן'!$A:$B,2,0),0)</f>
        <v>0</v>
      </c>
      <c r="G365" s="1">
        <f>+IFERROR(VLOOKUP(G12,'אשכול חברתי מעודכן'!$A:$B,2,0),0)</f>
        <v>0</v>
      </c>
      <c r="H365" s="1">
        <f>+IFERROR(VLOOKUP(H12,'אשכול חברתי מעודכן'!$A:$B,2,0),0)</f>
        <v>0</v>
      </c>
      <c r="I365" s="1">
        <f>+IFERROR(VLOOKUP(I12,'אשכול חברתי מעודכן'!$A:$B,2,0),0)</f>
        <v>0</v>
      </c>
      <c r="J365" s="1">
        <f>+IFERROR(VLOOKUP(J12,'אשכול חברתי מעודכן'!$A:$B,2,0),0)</f>
        <v>0</v>
      </c>
      <c r="K365" s="1">
        <f>+IFERROR(VLOOKUP(K12,'אשכול חברתי מעודכן'!$A:$B,2,0),0)</f>
        <v>0</v>
      </c>
      <c r="L365" s="1">
        <f>+IFERROR(VLOOKUP(L12,'אשכול חברתי מעודכן'!$A:$B,2,0),0)</f>
        <v>0</v>
      </c>
      <c r="M365" s="1">
        <f>+IFERROR(VLOOKUP(M12,'אשכול חברתי מעודכן'!$A:$B,2,0),0)</f>
        <v>0</v>
      </c>
      <c r="N365" s="1">
        <f>+IFERROR(VLOOKUP(N12,'אשכול חברתי מעודכן'!$A:$B,2,0),0)</f>
        <v>0</v>
      </c>
      <c r="O365" s="1">
        <f>+IFERROR(VLOOKUP(O12,'אשכול חברתי מעודכן'!$A:$B,2,0),0)</f>
        <v>0</v>
      </c>
      <c r="P365" s="1">
        <f>+IFERROR(VLOOKUP(P12,'אשכול חברתי מעודכן'!$A:$B,2,0),0)</f>
        <v>8</v>
      </c>
      <c r="Q365" s="1">
        <f>+IFERROR(VLOOKUP(Q12,'אשכול חברתי מעודכן'!$A:$B,2,0),0)</f>
        <v>0</v>
      </c>
      <c r="R365" s="1">
        <f>+IFERROR(VLOOKUP(R12,'אשכול חברתי מעודכן'!$A:$B,2,0),0)</f>
        <v>0</v>
      </c>
      <c r="S365" s="1">
        <f>+IFERROR(VLOOKUP(S12,'אשכול חברתי מעודכן'!$A:$B,2,0),0)</f>
        <v>0</v>
      </c>
      <c r="T365" s="1">
        <f>+IFERROR(VLOOKUP(T12,'אשכול חברתי מעודכן'!$A:$B,2,0),0)</f>
        <v>0</v>
      </c>
      <c r="U365" s="1">
        <f>+IFERROR(VLOOKUP(U12,'אשכול חברתי מעודכן'!$A:$B,2,0),0)</f>
        <v>0</v>
      </c>
      <c r="V365" s="1">
        <f>+IFERROR(VLOOKUP(V12,'אשכול חברתי מעודכן'!$A:$B,2,0),0)</f>
        <v>2</v>
      </c>
      <c r="W365" s="1">
        <f>+IFERROR(VLOOKUP(W12,'אשכול חברתי מעודכן'!$A:$B,2,0),0)</f>
        <v>2</v>
      </c>
      <c r="X365" s="1">
        <f>+IFERROR(VLOOKUP(X12,'אשכול חברתי מעודכן'!$A:$B,2,0),0)</f>
        <v>2</v>
      </c>
      <c r="Y365" s="1">
        <f>+IFERROR(VLOOKUP(Y12,'אשכול חברתי מעודכן'!$A:$B,2,0),0)</f>
        <v>0</v>
      </c>
      <c r="Z365" s="1">
        <f>+IFERROR(VLOOKUP(Z12,'אשכול חברתי מעודכן'!$A:$B,2,0),0)</f>
        <v>0</v>
      </c>
      <c r="AA365" s="1">
        <f>+IFERROR(VLOOKUP(AA12,'אשכול חברתי מעודכן'!$A:$B,2,0),0)</f>
        <v>0</v>
      </c>
      <c r="AB365" s="1">
        <f>+IFERROR(VLOOKUP(AB12,'אשכול חברתי מעודכן'!$A:$B,2,0),0)</f>
        <v>0</v>
      </c>
      <c r="AC365" s="1">
        <f>+IFERROR(VLOOKUP(AC12,'אשכול חברתי מעודכן'!$A:$B,2,0),0)</f>
        <v>0</v>
      </c>
      <c r="AD365" s="1">
        <f>+IFERROR(VLOOKUP(AD12,'אשכול חברתי מעודכן'!$A:$B,2,0),0)</f>
        <v>0</v>
      </c>
      <c r="AE365" s="1">
        <f>+IFERROR(VLOOKUP(AE12,'אשכול חברתי מעודכן'!$A:$B,2,0),0)</f>
        <v>0</v>
      </c>
      <c r="AF365" s="1">
        <f>+IFERROR(VLOOKUP(AF12,'אשכול חברתי מעודכן'!$A:$B,2,0),0)</f>
        <v>0</v>
      </c>
      <c r="AG365" s="1">
        <f>+IFERROR(VLOOKUP(AG12,'אשכול חברתי מעודכן'!$A:$B,2,0),0)</f>
        <v>0</v>
      </c>
      <c r="AH365" s="1">
        <f>+IFERROR(VLOOKUP(AH12,'אשכול חברתי מעודכן'!$A:$B,2,0),0)</f>
        <v>0</v>
      </c>
      <c r="AI365" s="1">
        <f>+IFERROR(VLOOKUP(AI12,'אשכול חברתי מעודכן'!$A:$B,2,0),0)</f>
        <v>0</v>
      </c>
      <c r="AJ365" s="1">
        <f>+IFERROR(VLOOKUP(AJ12,'אשכול חברתי מעודכן'!$A:$B,2,0),0)</f>
        <v>0</v>
      </c>
      <c r="AK365" s="1">
        <f>+IFERROR(VLOOKUP(AK12,'אשכול חברתי מעודכן'!$A:$B,2,0),0)</f>
        <v>0</v>
      </c>
      <c r="AL365" s="1">
        <f>+IFERROR(VLOOKUP(AL12,'אשכול חברתי מעודכן'!$A:$B,2,0),0)</f>
        <v>0</v>
      </c>
      <c r="AM365" s="1">
        <f>+IFERROR(VLOOKUP(AM12,'אשכול חברתי מעודכן'!$A:$B,2,0),0)</f>
        <v>9</v>
      </c>
      <c r="AN365" s="1">
        <f>+IFERROR(VLOOKUP(AN12,'אשכול חברתי מעודכן'!$A:$B,2,0),0)</f>
        <v>2</v>
      </c>
      <c r="AO365" s="1">
        <f>+IFERROR(VLOOKUP(AO12,'אשכול חברתי מעודכן'!$A:$B,2,0),0)</f>
        <v>0</v>
      </c>
      <c r="AP365" s="1">
        <f>+IFERROR(VLOOKUP(AP12,'אשכול חברתי מעודכן'!$A:$B,2,0),0)</f>
        <v>0</v>
      </c>
      <c r="AQ365" s="1">
        <f>+IFERROR(VLOOKUP(AQ12,'אשכול חברתי מעודכן'!$A:$B,2,0),0)</f>
        <v>0</v>
      </c>
      <c r="AR365" s="1">
        <f>+IFERROR(VLOOKUP(AR12,'אשכול חברתי מעודכן'!$A:$B,2,0),0)</f>
        <v>0</v>
      </c>
      <c r="AS365" s="1">
        <f>+IFERROR(VLOOKUP(AS12,'אשכול חברתי מעודכן'!$A:$B,2,0),0)</f>
        <v>3</v>
      </c>
      <c r="AT365" s="1">
        <f>+IFERROR(VLOOKUP(AT12,'אשכול חברתי מעודכן'!$A:$B,2,0),0)</f>
        <v>0</v>
      </c>
      <c r="AU365" s="1">
        <f>+IFERROR(VLOOKUP(AU12,'אשכול חברתי מעודכן'!$A:$B,2,0),0)</f>
        <v>0</v>
      </c>
      <c r="AV365" s="1">
        <f>+IFERROR(VLOOKUP(AV12,'אשכול חברתי מעודכן'!$A:$B,2,0),0)</f>
        <v>0</v>
      </c>
      <c r="AW365" s="1">
        <f>+IFERROR(VLOOKUP(AW12,'אשכול חברתי מעודכן'!$A:$B,2,0),0)</f>
        <v>0</v>
      </c>
      <c r="AX365" s="1">
        <f>+IFERROR(VLOOKUP(AX12,'אשכול חברתי מעודכן'!$A:$B,2,0),0)</f>
        <v>0</v>
      </c>
      <c r="AY365" s="1">
        <f>+IFERROR(VLOOKUP(AY12,'אשכול חברתי מעודכן'!$A:$B,2,0),0)</f>
        <v>0</v>
      </c>
      <c r="AZ365" s="1">
        <f>+IFERROR(VLOOKUP(AZ12,'אשכול חברתי מעודכן'!$A:$B,2,0),0)</f>
        <v>0</v>
      </c>
      <c r="BA365" s="1">
        <f>+IFERROR(VLOOKUP(BA12,'אשכול חברתי מעודכן'!$A:$B,2,0),0)</f>
        <v>0</v>
      </c>
      <c r="BB365" s="1">
        <f>+IFERROR(VLOOKUP(BB12,'אשכול חברתי מעודכן'!$A:$B,2,0),0)</f>
        <v>2</v>
      </c>
      <c r="BC365" s="1">
        <f>+IFERROR(VLOOKUP(BC12,'אשכול חברתי מעודכן'!$A:$B,2,0),0)</f>
        <v>2</v>
      </c>
      <c r="BD365" s="1">
        <f>+IFERROR(VLOOKUP(BD12,'אשכול חברתי מעודכן'!$A:$B,2,0),0)</f>
        <v>0</v>
      </c>
      <c r="BE365" s="1">
        <f>+IFERROR(VLOOKUP(BE12,'אשכול חברתי מעודכן'!$A:$B,2,0),0)</f>
        <v>0</v>
      </c>
      <c r="BF365" s="1">
        <f>+IFERROR(VLOOKUP(BF12,'אשכול חברתי מעודכן'!$A:$B,2,0),0)</f>
        <v>0</v>
      </c>
    </row>
    <row r="366" spans="1:59" x14ac:dyDescent="0.2">
      <c r="B366" s="1">
        <v>6</v>
      </c>
      <c r="C366" s="1">
        <f>+IFERROR(VLOOKUP(C13,'אשכול חברתי מעודכן'!$A:$B,2,0),0)</f>
        <v>0</v>
      </c>
      <c r="D366" s="1">
        <f>+IFERROR(VLOOKUP(D13,'אשכול חברתי מעודכן'!$A:$B,2,0),0)</f>
        <v>2</v>
      </c>
      <c r="E366" s="1">
        <f>+IFERROR(VLOOKUP(E13,'אשכול חברתי מעודכן'!$A:$B,2,0),0)</f>
        <v>0</v>
      </c>
      <c r="F366" s="1">
        <f>+IFERROR(VLOOKUP(F13,'אשכול חברתי מעודכן'!$A:$B,2,0),0)</f>
        <v>0</v>
      </c>
      <c r="G366" s="1">
        <f>+IFERROR(VLOOKUP(G13,'אשכול חברתי מעודכן'!$A:$B,2,0),0)</f>
        <v>0</v>
      </c>
      <c r="H366" s="1">
        <f>+IFERROR(VLOOKUP(H13,'אשכול חברתי מעודכן'!$A:$B,2,0),0)</f>
        <v>0</v>
      </c>
      <c r="I366" s="1">
        <f>+IFERROR(VLOOKUP(I13,'אשכול חברתי מעודכן'!$A:$B,2,0),0)</f>
        <v>0</v>
      </c>
      <c r="J366" s="1">
        <f>+IFERROR(VLOOKUP(J13,'אשכול חברתי מעודכן'!$A:$B,2,0),0)</f>
        <v>0</v>
      </c>
      <c r="K366" s="1">
        <f>+IFERROR(VLOOKUP(K13,'אשכול חברתי מעודכן'!$A:$B,2,0),0)</f>
        <v>0</v>
      </c>
      <c r="L366" s="1">
        <f>+IFERROR(VLOOKUP(L13,'אשכול חברתי מעודכן'!$A:$B,2,0),0)</f>
        <v>0</v>
      </c>
      <c r="M366" s="1">
        <f>+IFERROR(VLOOKUP(M13,'אשכול חברתי מעודכן'!$A:$B,2,0),0)</f>
        <v>0</v>
      </c>
      <c r="N366" s="1">
        <f>+IFERROR(VLOOKUP(N13,'אשכול חברתי מעודכן'!$A:$B,2,0),0)</f>
        <v>0</v>
      </c>
      <c r="O366" s="1">
        <f>+IFERROR(VLOOKUP(O13,'אשכול חברתי מעודכן'!$A:$B,2,0),0)</f>
        <v>0</v>
      </c>
      <c r="P366" s="1">
        <f>+IFERROR(VLOOKUP(P13,'אשכול חברתי מעודכן'!$A:$B,2,0),0)</f>
        <v>4</v>
      </c>
      <c r="Q366" s="1">
        <f>+IFERROR(VLOOKUP(Q13,'אשכול חברתי מעודכן'!$A:$B,2,0),0)</f>
        <v>0</v>
      </c>
      <c r="R366" s="1">
        <f>+IFERROR(VLOOKUP(R13,'אשכול חברתי מעודכן'!$A:$B,2,0),0)</f>
        <v>0</v>
      </c>
      <c r="S366" s="1">
        <f>+IFERROR(VLOOKUP(S13,'אשכול חברתי מעודכן'!$A:$B,2,0),0)</f>
        <v>0</v>
      </c>
      <c r="T366" s="1">
        <f>+IFERROR(VLOOKUP(T13,'אשכול חברתי מעודכן'!$A:$B,2,0),0)</f>
        <v>0</v>
      </c>
      <c r="U366" s="1">
        <f>+IFERROR(VLOOKUP(U13,'אשכול חברתי מעודכן'!$A:$B,2,0),0)</f>
        <v>0</v>
      </c>
      <c r="V366" s="1">
        <f>+IFERROR(VLOOKUP(V13,'אשכול חברתי מעודכן'!$A:$B,2,0),0)</f>
        <v>2</v>
      </c>
      <c r="W366" s="1">
        <f>+IFERROR(VLOOKUP(W13,'אשכול חברתי מעודכן'!$A:$B,2,0),0)</f>
        <v>3</v>
      </c>
      <c r="X366" s="1">
        <f>+IFERROR(VLOOKUP(X13,'אשכול חברתי מעודכן'!$A:$B,2,0),0)</f>
        <v>0</v>
      </c>
      <c r="Y366" s="1">
        <f>+IFERROR(VLOOKUP(Y13,'אשכול חברתי מעודכן'!$A:$B,2,0),0)</f>
        <v>0</v>
      </c>
      <c r="Z366" s="1">
        <f>+IFERROR(VLOOKUP(Z13,'אשכול חברתי מעודכן'!$A:$B,2,0),0)</f>
        <v>0</v>
      </c>
      <c r="AA366" s="1">
        <f>+IFERROR(VLOOKUP(AA13,'אשכול חברתי מעודכן'!$A:$B,2,0),0)</f>
        <v>0</v>
      </c>
      <c r="AB366" s="1">
        <f>+IFERROR(VLOOKUP(AB13,'אשכול חברתי מעודכן'!$A:$B,2,0),0)</f>
        <v>0</v>
      </c>
      <c r="AC366" s="1">
        <f>+IFERROR(VLOOKUP(AC13,'אשכול חברתי מעודכן'!$A:$B,2,0),0)</f>
        <v>0</v>
      </c>
      <c r="AD366" s="1">
        <f>+IFERROR(VLOOKUP(AD13,'אשכול חברתי מעודכן'!$A:$B,2,0),0)</f>
        <v>0</v>
      </c>
      <c r="AE366" s="1">
        <f>+IFERROR(VLOOKUP(AE13,'אשכול חברתי מעודכן'!$A:$B,2,0),0)</f>
        <v>0</v>
      </c>
      <c r="AF366" s="1">
        <f>+IFERROR(VLOOKUP(AF13,'אשכול חברתי מעודכן'!$A:$B,2,0),0)</f>
        <v>0</v>
      </c>
      <c r="AG366" s="1">
        <f>+IFERROR(VLOOKUP(AG13,'אשכול חברתי מעודכן'!$A:$B,2,0),0)</f>
        <v>0</v>
      </c>
      <c r="AH366" s="1">
        <f>+IFERROR(VLOOKUP(AH13,'אשכול חברתי מעודכן'!$A:$B,2,0),0)</f>
        <v>0</v>
      </c>
      <c r="AI366" s="1">
        <f>+IFERROR(VLOOKUP(AI13,'אשכול חברתי מעודכן'!$A:$B,2,0),0)</f>
        <v>0</v>
      </c>
      <c r="AJ366" s="1">
        <f>+IFERROR(VLOOKUP(AJ13,'אשכול חברתי מעודכן'!$A:$B,2,0),0)</f>
        <v>0</v>
      </c>
      <c r="AK366" s="1">
        <f>+IFERROR(VLOOKUP(AK13,'אשכול חברתי מעודכן'!$A:$B,2,0),0)</f>
        <v>0</v>
      </c>
      <c r="AL366" s="1">
        <f>+IFERROR(VLOOKUP(AL13,'אשכול חברתי מעודכן'!$A:$B,2,0),0)</f>
        <v>0</v>
      </c>
      <c r="AM366" s="1">
        <f>+IFERROR(VLOOKUP(AM13,'אשכול חברתי מעודכן'!$A:$B,2,0),0)</f>
        <v>0</v>
      </c>
      <c r="AN366" s="1">
        <f>+IFERROR(VLOOKUP(AN13,'אשכול חברתי מעודכן'!$A:$B,2,0),0)</f>
        <v>2</v>
      </c>
      <c r="AO366" s="1">
        <f>+IFERROR(VLOOKUP(AO13,'אשכול חברתי מעודכן'!$A:$B,2,0),0)</f>
        <v>0</v>
      </c>
      <c r="AP366" s="1">
        <f>+IFERROR(VLOOKUP(AP13,'אשכול חברתי מעודכן'!$A:$B,2,0),0)</f>
        <v>0</v>
      </c>
      <c r="AQ366" s="1">
        <f>+IFERROR(VLOOKUP(AQ13,'אשכול חברתי מעודכן'!$A:$B,2,0),0)</f>
        <v>0</v>
      </c>
      <c r="AR366" s="1">
        <f>+IFERROR(VLOOKUP(AR13,'אשכול חברתי מעודכן'!$A:$B,2,0),0)</f>
        <v>0</v>
      </c>
      <c r="AS366" s="1">
        <f>+IFERROR(VLOOKUP(AS13,'אשכול חברתי מעודכן'!$A:$B,2,0),0)</f>
        <v>2</v>
      </c>
      <c r="AT366" s="1">
        <f>+IFERROR(VLOOKUP(AT13,'אשכול חברתי מעודכן'!$A:$B,2,0),0)</f>
        <v>0</v>
      </c>
      <c r="AU366" s="1">
        <f>+IFERROR(VLOOKUP(AU13,'אשכול חברתי מעודכן'!$A:$B,2,0),0)</f>
        <v>0</v>
      </c>
      <c r="AV366" s="1">
        <f>+IFERROR(VLOOKUP(AV13,'אשכול חברתי מעודכן'!$A:$B,2,0),0)</f>
        <v>0</v>
      </c>
      <c r="AW366" s="1">
        <f>+IFERROR(VLOOKUP(AW13,'אשכול חברתי מעודכן'!$A:$B,2,0),0)</f>
        <v>0</v>
      </c>
      <c r="AX366" s="1">
        <f>+IFERROR(VLOOKUP(AX13,'אשכול חברתי מעודכן'!$A:$B,2,0),0)</f>
        <v>0</v>
      </c>
      <c r="AY366" s="1">
        <f>+IFERROR(VLOOKUP(AY13,'אשכול חברתי מעודכן'!$A:$B,2,0),0)</f>
        <v>0</v>
      </c>
      <c r="AZ366" s="1">
        <f>+IFERROR(VLOOKUP(AZ13,'אשכול חברתי מעודכן'!$A:$B,2,0),0)</f>
        <v>0</v>
      </c>
      <c r="BA366" s="1">
        <f>+IFERROR(VLOOKUP(BA13,'אשכול חברתי מעודכן'!$A:$B,2,0),0)</f>
        <v>0</v>
      </c>
      <c r="BB366" s="1">
        <f>+IFERROR(VLOOKUP(BB13,'אשכול חברתי מעודכן'!$A:$B,2,0),0)</f>
        <v>2</v>
      </c>
      <c r="BC366" s="1">
        <f>+IFERROR(VLOOKUP(BC13,'אשכול חברתי מעודכן'!$A:$B,2,0),0)</f>
        <v>2</v>
      </c>
      <c r="BD366" s="1">
        <f>+IFERROR(VLOOKUP(BD13,'אשכול חברתי מעודכן'!$A:$B,2,0),0)</f>
        <v>0</v>
      </c>
      <c r="BE366" s="1">
        <f>+IFERROR(VLOOKUP(BE13,'אשכול חברתי מעודכן'!$A:$B,2,0),0)</f>
        <v>0</v>
      </c>
      <c r="BF366" s="1">
        <f>+IFERROR(VLOOKUP(BF13,'אשכול חברתי מעודכן'!$A:$B,2,0),0)</f>
        <v>0</v>
      </c>
    </row>
    <row r="367" spans="1:59" x14ac:dyDescent="0.2">
      <c r="B367" s="1">
        <v>7</v>
      </c>
      <c r="C367" s="1">
        <f>+IFERROR(VLOOKUP(C14,'אשכול חברתי מעודכן'!$A:$B,2,0),0)</f>
        <v>0</v>
      </c>
      <c r="D367" s="1">
        <f>+IFERROR(VLOOKUP(D14,'אשכול חברתי מעודכן'!$A:$B,2,0),0)</f>
        <v>2</v>
      </c>
      <c r="E367" s="1">
        <f>+IFERROR(VLOOKUP(E14,'אשכול חברתי מעודכן'!$A:$B,2,0),0)</f>
        <v>0</v>
      </c>
      <c r="F367" s="1">
        <f>+IFERROR(VLOOKUP(F14,'אשכול חברתי מעודכן'!$A:$B,2,0),0)</f>
        <v>0</v>
      </c>
      <c r="G367" s="1">
        <f>+IFERROR(VLOOKUP(G14,'אשכול חברתי מעודכן'!$A:$B,2,0),0)</f>
        <v>0</v>
      </c>
      <c r="H367" s="1">
        <f>+IFERROR(VLOOKUP(H14,'אשכול חברתי מעודכן'!$A:$B,2,0),0)</f>
        <v>0</v>
      </c>
      <c r="I367" s="1">
        <f>+IFERROR(VLOOKUP(I14,'אשכול חברתי מעודכן'!$A:$B,2,0),0)</f>
        <v>0</v>
      </c>
      <c r="J367" s="1">
        <f>+IFERROR(VLOOKUP(J14,'אשכול חברתי מעודכן'!$A:$B,2,0),0)</f>
        <v>0</v>
      </c>
      <c r="K367" s="1">
        <f>+IFERROR(VLOOKUP(K14,'אשכול חברתי מעודכן'!$A:$B,2,0),0)</f>
        <v>0</v>
      </c>
      <c r="L367" s="1">
        <f>+IFERROR(VLOOKUP(L14,'אשכול חברתי מעודכן'!$A:$B,2,0),0)</f>
        <v>0</v>
      </c>
      <c r="M367" s="1">
        <f>+IFERROR(VLOOKUP(M14,'אשכול חברתי מעודכן'!$A:$B,2,0),0)</f>
        <v>0</v>
      </c>
      <c r="N367" s="1">
        <f>+IFERROR(VLOOKUP(N14,'אשכול חברתי מעודכן'!$A:$B,2,0),0)</f>
        <v>0</v>
      </c>
      <c r="O367" s="1">
        <f>+IFERROR(VLOOKUP(O14,'אשכול חברתי מעודכן'!$A:$B,2,0),0)</f>
        <v>0</v>
      </c>
      <c r="P367" s="1">
        <f>+IFERROR(VLOOKUP(P14,'אשכול חברתי מעודכן'!$A:$B,2,0),0)</f>
        <v>3</v>
      </c>
      <c r="Q367" s="1">
        <f>+IFERROR(VLOOKUP(Q14,'אשכול חברתי מעודכן'!$A:$B,2,0),0)</f>
        <v>0</v>
      </c>
      <c r="R367" s="1">
        <f>+IFERROR(VLOOKUP(R14,'אשכול חברתי מעודכן'!$A:$B,2,0),0)</f>
        <v>0</v>
      </c>
      <c r="S367" s="1">
        <f>+IFERROR(VLOOKUP(S14,'אשכול חברתי מעודכן'!$A:$B,2,0),0)</f>
        <v>0</v>
      </c>
      <c r="T367" s="1">
        <f>+IFERROR(VLOOKUP(T14,'אשכול חברתי מעודכן'!$A:$B,2,0),0)</f>
        <v>0</v>
      </c>
      <c r="U367" s="1">
        <f>+IFERROR(VLOOKUP(U14,'אשכול חברתי מעודכן'!$A:$B,2,0),0)</f>
        <v>0</v>
      </c>
      <c r="V367" s="1">
        <f>+IFERROR(VLOOKUP(V14,'אשכול חברתי מעודכן'!$A:$B,2,0),0)</f>
        <v>2</v>
      </c>
      <c r="W367" s="1">
        <f>+IFERROR(VLOOKUP(W14,'אשכול חברתי מעודכן'!$A:$B,2,0),0)</f>
        <v>3</v>
      </c>
      <c r="X367" s="1">
        <f>+IFERROR(VLOOKUP(X14,'אשכול חברתי מעודכן'!$A:$B,2,0),0)</f>
        <v>0</v>
      </c>
      <c r="Y367" s="1">
        <f>+IFERROR(VLOOKUP(Y14,'אשכול חברתי מעודכן'!$A:$B,2,0),0)</f>
        <v>0</v>
      </c>
      <c r="Z367" s="1">
        <f>+IFERROR(VLOOKUP(Z14,'אשכול חברתי מעודכן'!$A:$B,2,0),0)</f>
        <v>0</v>
      </c>
      <c r="AA367" s="1">
        <f>+IFERROR(VLOOKUP(AA14,'אשכול חברתי מעודכן'!$A:$B,2,0),0)</f>
        <v>0</v>
      </c>
      <c r="AB367" s="1">
        <f>+IFERROR(VLOOKUP(AB14,'אשכול חברתי מעודכן'!$A:$B,2,0),0)</f>
        <v>0</v>
      </c>
      <c r="AC367" s="1">
        <f>+IFERROR(VLOOKUP(AC14,'אשכול חברתי מעודכן'!$A:$B,2,0),0)</f>
        <v>0</v>
      </c>
      <c r="AD367" s="1">
        <f>+IFERROR(VLOOKUP(AD14,'אשכול חברתי מעודכן'!$A:$B,2,0),0)</f>
        <v>0</v>
      </c>
      <c r="AE367" s="1">
        <f>+IFERROR(VLOOKUP(AE14,'אשכול חברתי מעודכן'!$A:$B,2,0),0)</f>
        <v>0</v>
      </c>
      <c r="AF367" s="1">
        <f>+IFERROR(VLOOKUP(AF14,'אשכול חברתי מעודכן'!$A:$B,2,0),0)</f>
        <v>0</v>
      </c>
      <c r="AG367" s="1">
        <f>+IFERROR(VLOOKUP(AG14,'אשכול חברתי מעודכן'!$A:$B,2,0),0)</f>
        <v>0</v>
      </c>
      <c r="AH367" s="1">
        <f>+IFERROR(VLOOKUP(AH14,'אשכול חברתי מעודכן'!$A:$B,2,0),0)</f>
        <v>0</v>
      </c>
      <c r="AI367" s="1">
        <f>+IFERROR(VLOOKUP(AI14,'אשכול חברתי מעודכן'!$A:$B,2,0),0)</f>
        <v>0</v>
      </c>
      <c r="AJ367" s="1">
        <f>+IFERROR(VLOOKUP(AJ14,'אשכול חברתי מעודכן'!$A:$B,2,0),0)</f>
        <v>0</v>
      </c>
      <c r="AK367" s="1">
        <f>+IFERROR(VLOOKUP(AK14,'אשכול חברתי מעודכן'!$A:$B,2,0),0)</f>
        <v>0</v>
      </c>
      <c r="AL367" s="1">
        <f>+IFERROR(VLOOKUP(AL14,'אשכול חברתי מעודכן'!$A:$B,2,0),0)</f>
        <v>0</v>
      </c>
      <c r="AM367" s="1">
        <f>+IFERROR(VLOOKUP(AM14,'אשכול חברתי מעודכן'!$A:$B,2,0),0)</f>
        <v>0</v>
      </c>
      <c r="AN367" s="1">
        <f>+IFERROR(VLOOKUP(AN14,'אשכול חברתי מעודכן'!$A:$B,2,0),0)</f>
        <v>0</v>
      </c>
      <c r="AO367" s="1">
        <f>+IFERROR(VLOOKUP(AO14,'אשכול חברתי מעודכן'!$A:$B,2,0),0)</f>
        <v>0</v>
      </c>
      <c r="AP367" s="1">
        <f>+IFERROR(VLOOKUP(AP14,'אשכול חברתי מעודכן'!$A:$B,2,0),0)</f>
        <v>0</v>
      </c>
      <c r="AQ367" s="1">
        <f>+IFERROR(VLOOKUP(AQ14,'אשכול חברתי מעודכן'!$A:$B,2,0),0)</f>
        <v>0</v>
      </c>
      <c r="AR367" s="1">
        <f>+IFERROR(VLOOKUP(AR14,'אשכול חברתי מעודכן'!$A:$B,2,0),0)</f>
        <v>0</v>
      </c>
      <c r="AS367" s="1">
        <f>+IFERROR(VLOOKUP(AS14,'אשכול חברתי מעודכן'!$A:$B,2,0),0)</f>
        <v>2</v>
      </c>
      <c r="AT367" s="1">
        <f>+IFERROR(VLOOKUP(AT14,'אשכול חברתי מעודכן'!$A:$B,2,0),0)</f>
        <v>0</v>
      </c>
      <c r="AU367" s="1">
        <f>+IFERROR(VLOOKUP(AU14,'אשכול חברתי מעודכן'!$A:$B,2,0),0)</f>
        <v>0</v>
      </c>
      <c r="AV367" s="1">
        <f>+IFERROR(VLOOKUP(AV14,'אשכול חברתי מעודכן'!$A:$B,2,0),0)</f>
        <v>0</v>
      </c>
      <c r="AW367" s="1">
        <f>+IFERROR(VLOOKUP(AW14,'אשכול חברתי מעודכן'!$A:$B,2,0),0)</f>
        <v>0</v>
      </c>
      <c r="AX367" s="1">
        <f>+IFERROR(VLOOKUP(AX14,'אשכול חברתי מעודכן'!$A:$B,2,0),0)</f>
        <v>0</v>
      </c>
      <c r="AY367" s="1">
        <f>+IFERROR(VLOOKUP(AY14,'אשכול חברתי מעודכן'!$A:$B,2,0),0)</f>
        <v>0</v>
      </c>
      <c r="AZ367" s="1">
        <f>+IFERROR(VLOOKUP(AZ14,'אשכול חברתי מעודכן'!$A:$B,2,0),0)</f>
        <v>0</v>
      </c>
      <c r="BA367" s="1">
        <f>+IFERROR(VLOOKUP(BA14,'אשכול חברתי מעודכן'!$A:$B,2,0),0)</f>
        <v>0</v>
      </c>
      <c r="BB367" s="1">
        <f>+IFERROR(VLOOKUP(BB14,'אשכול חברתי מעודכן'!$A:$B,2,0),0)</f>
        <v>3</v>
      </c>
      <c r="BC367" s="1">
        <f>+IFERROR(VLOOKUP(BC14,'אשכול חברתי מעודכן'!$A:$B,2,0),0)</f>
        <v>2</v>
      </c>
      <c r="BD367" s="1">
        <f>+IFERROR(VLOOKUP(BD14,'אשכול חברתי מעודכן'!$A:$B,2,0),0)</f>
        <v>0</v>
      </c>
      <c r="BE367" s="1">
        <f>+IFERROR(VLOOKUP(BE14,'אשכול חברתי מעודכן'!$A:$B,2,0),0)</f>
        <v>0</v>
      </c>
      <c r="BF367" s="1">
        <f>+IFERROR(VLOOKUP(BF14,'אשכול חברתי מעודכן'!$A:$B,2,0),0)</f>
        <v>0</v>
      </c>
    </row>
    <row r="368" spans="1:59" x14ac:dyDescent="0.2">
      <c r="B368" s="1">
        <v>8</v>
      </c>
      <c r="C368" s="1">
        <f>+IFERROR(VLOOKUP(C15,'אשכול חברתי מעודכן'!$A:$B,2,0),0)</f>
        <v>0</v>
      </c>
      <c r="D368" s="1">
        <f>+IFERROR(VLOOKUP(D15,'אשכול חברתי מעודכן'!$A:$B,2,0),0)</f>
        <v>0</v>
      </c>
      <c r="E368" s="1">
        <f>+IFERROR(VLOOKUP(E15,'אשכול חברתי מעודכן'!$A:$B,2,0),0)</f>
        <v>0</v>
      </c>
      <c r="F368" s="1">
        <f>+IFERROR(VLOOKUP(F15,'אשכול חברתי מעודכן'!$A:$B,2,0),0)</f>
        <v>0</v>
      </c>
      <c r="G368" s="1">
        <f>+IFERROR(VLOOKUP(G15,'אשכול חברתי מעודכן'!$A:$B,2,0),0)</f>
        <v>0</v>
      </c>
      <c r="H368" s="1">
        <f>+IFERROR(VLOOKUP(H15,'אשכול חברתי מעודכן'!$A:$B,2,0),0)</f>
        <v>0</v>
      </c>
      <c r="I368" s="1">
        <f>+IFERROR(VLOOKUP(I15,'אשכול חברתי מעודכן'!$A:$B,2,0),0)</f>
        <v>0</v>
      </c>
      <c r="J368" s="1">
        <f>+IFERROR(VLOOKUP(J15,'אשכול חברתי מעודכן'!$A:$B,2,0),0)</f>
        <v>0</v>
      </c>
      <c r="K368" s="1">
        <f>+IFERROR(VLOOKUP(K15,'אשכול חברתי מעודכן'!$A:$B,2,0),0)</f>
        <v>0</v>
      </c>
      <c r="L368" s="1">
        <f>+IFERROR(VLOOKUP(L15,'אשכול חברתי מעודכן'!$A:$B,2,0),0)</f>
        <v>0</v>
      </c>
      <c r="M368" s="1">
        <f>+IFERROR(VLOOKUP(M15,'אשכול חברתי מעודכן'!$A:$B,2,0),0)</f>
        <v>0</v>
      </c>
      <c r="N368" s="1">
        <f>+IFERROR(VLOOKUP(N15,'אשכול חברתי מעודכן'!$A:$B,2,0),0)</f>
        <v>0</v>
      </c>
      <c r="O368" s="1">
        <f>+IFERROR(VLOOKUP(O15,'אשכול חברתי מעודכן'!$A:$B,2,0),0)</f>
        <v>0</v>
      </c>
      <c r="P368" s="1">
        <f>+IFERROR(VLOOKUP(P15,'אשכול חברתי מעודכן'!$A:$B,2,0),0)</f>
        <v>4</v>
      </c>
      <c r="Q368" s="1">
        <f>+IFERROR(VLOOKUP(Q15,'אשכול חברתי מעודכן'!$A:$B,2,0),0)</f>
        <v>0</v>
      </c>
      <c r="R368" s="1">
        <f>+IFERROR(VLOOKUP(R15,'אשכול חברתי מעודכן'!$A:$B,2,0),0)</f>
        <v>0</v>
      </c>
      <c r="S368" s="1">
        <f>+IFERROR(VLOOKUP(S15,'אשכול חברתי מעודכן'!$A:$B,2,0),0)</f>
        <v>0</v>
      </c>
      <c r="T368" s="1">
        <f>+IFERROR(VLOOKUP(T15,'אשכול חברתי מעודכן'!$A:$B,2,0),0)</f>
        <v>0</v>
      </c>
      <c r="U368" s="1">
        <f>+IFERROR(VLOOKUP(U15,'אשכול חברתי מעודכן'!$A:$B,2,0),0)</f>
        <v>0</v>
      </c>
      <c r="V368" s="1">
        <f>+IFERROR(VLOOKUP(V15,'אשכול חברתי מעודכן'!$A:$B,2,0),0)</f>
        <v>0</v>
      </c>
      <c r="W368" s="1">
        <f>+IFERROR(VLOOKUP(W15,'אשכול חברתי מעודכן'!$A:$B,2,0),0)</f>
        <v>0</v>
      </c>
      <c r="X368" s="1">
        <f>+IFERROR(VLOOKUP(X15,'אשכול חברתי מעודכן'!$A:$B,2,0),0)</f>
        <v>0</v>
      </c>
      <c r="Y368" s="1">
        <f>+IFERROR(VLOOKUP(Y15,'אשכול חברתי מעודכן'!$A:$B,2,0),0)</f>
        <v>0</v>
      </c>
      <c r="Z368" s="1">
        <f>+IFERROR(VLOOKUP(Z15,'אשכול חברתי מעודכן'!$A:$B,2,0),0)</f>
        <v>0</v>
      </c>
      <c r="AA368" s="1">
        <f>+IFERROR(VLOOKUP(AA15,'אשכול חברתי מעודכן'!$A:$B,2,0),0)</f>
        <v>0</v>
      </c>
      <c r="AB368" s="1">
        <f>+IFERROR(VLOOKUP(AB15,'אשכול חברתי מעודכן'!$A:$B,2,0),0)</f>
        <v>0</v>
      </c>
      <c r="AC368" s="1">
        <f>+IFERROR(VLOOKUP(AC15,'אשכול חברתי מעודכן'!$A:$B,2,0),0)</f>
        <v>0</v>
      </c>
      <c r="AD368" s="1">
        <f>+IFERROR(VLOOKUP(AD15,'אשכול חברתי מעודכן'!$A:$B,2,0),0)</f>
        <v>0</v>
      </c>
      <c r="AE368" s="1">
        <f>+IFERROR(VLOOKUP(AE15,'אשכול חברתי מעודכן'!$A:$B,2,0),0)</f>
        <v>0</v>
      </c>
      <c r="AF368" s="1">
        <f>+IFERROR(VLOOKUP(AF15,'אשכול חברתי מעודכן'!$A:$B,2,0),0)</f>
        <v>0</v>
      </c>
      <c r="AG368" s="1">
        <f>+IFERROR(VLOOKUP(AG15,'אשכול חברתי מעודכן'!$A:$B,2,0),0)</f>
        <v>0</v>
      </c>
      <c r="AH368" s="1">
        <f>+IFERROR(VLOOKUP(AH15,'אשכול חברתי מעודכן'!$A:$B,2,0),0)</f>
        <v>0</v>
      </c>
      <c r="AI368" s="1">
        <f>+IFERROR(VLOOKUP(AI15,'אשכול חברתי מעודכן'!$A:$B,2,0),0)</f>
        <v>0</v>
      </c>
      <c r="AJ368" s="1">
        <f>+IFERROR(VLOOKUP(AJ15,'אשכול חברתי מעודכן'!$A:$B,2,0),0)</f>
        <v>0</v>
      </c>
      <c r="AK368" s="1">
        <f>+IFERROR(VLOOKUP(AK15,'אשכול חברתי מעודכן'!$A:$B,2,0),0)</f>
        <v>0</v>
      </c>
      <c r="AL368" s="1">
        <f>+IFERROR(VLOOKUP(AL15,'אשכול חברתי מעודכן'!$A:$B,2,0),0)</f>
        <v>0</v>
      </c>
      <c r="AM368" s="1">
        <f>+IFERROR(VLOOKUP(AM15,'אשכול חברתי מעודכן'!$A:$B,2,0),0)</f>
        <v>0</v>
      </c>
      <c r="AN368" s="1">
        <f>+IFERROR(VLOOKUP(AN15,'אשכול חברתי מעודכן'!$A:$B,2,0),0)</f>
        <v>0</v>
      </c>
      <c r="AO368" s="1">
        <f>+IFERROR(VLOOKUP(AO15,'אשכול חברתי מעודכן'!$A:$B,2,0),0)</f>
        <v>0</v>
      </c>
      <c r="AP368" s="1">
        <f>+IFERROR(VLOOKUP(AP15,'אשכול חברתי מעודכן'!$A:$B,2,0),0)</f>
        <v>0</v>
      </c>
      <c r="AQ368" s="1">
        <f>+IFERROR(VLOOKUP(AQ15,'אשכול חברתי מעודכן'!$A:$B,2,0),0)</f>
        <v>0</v>
      </c>
      <c r="AR368" s="1">
        <f>+IFERROR(VLOOKUP(AR15,'אשכול חברתי מעודכן'!$A:$B,2,0),0)</f>
        <v>0</v>
      </c>
      <c r="AS368" s="1">
        <f>+IFERROR(VLOOKUP(AS15,'אשכול חברתי מעודכן'!$A:$B,2,0),0)</f>
        <v>3</v>
      </c>
      <c r="AT368" s="1">
        <f>+IFERROR(VLOOKUP(AT15,'אשכול חברתי מעודכן'!$A:$B,2,0),0)</f>
        <v>0</v>
      </c>
      <c r="AU368" s="1">
        <f>+IFERROR(VLOOKUP(AU15,'אשכול חברתי מעודכן'!$A:$B,2,0),0)</f>
        <v>0</v>
      </c>
      <c r="AV368" s="1">
        <f>+IFERROR(VLOOKUP(AV15,'אשכול חברתי מעודכן'!$A:$B,2,0),0)</f>
        <v>0</v>
      </c>
      <c r="AW368" s="1">
        <f>+IFERROR(VLOOKUP(AW15,'אשכול חברתי מעודכן'!$A:$B,2,0),0)</f>
        <v>0</v>
      </c>
      <c r="AX368" s="1">
        <f>+IFERROR(VLOOKUP(AX15,'אשכול חברתי מעודכן'!$A:$B,2,0),0)</f>
        <v>0</v>
      </c>
      <c r="AY368" s="1">
        <f>+IFERROR(VLOOKUP(AY15,'אשכול חברתי מעודכן'!$A:$B,2,0),0)</f>
        <v>0</v>
      </c>
      <c r="AZ368" s="1">
        <f>+IFERROR(VLOOKUP(AZ15,'אשכול חברתי מעודכן'!$A:$B,2,0),0)</f>
        <v>0</v>
      </c>
      <c r="BA368" s="1">
        <f>+IFERROR(VLOOKUP(BA15,'אשכול חברתי מעודכן'!$A:$B,2,0),0)</f>
        <v>0</v>
      </c>
      <c r="BB368" s="1">
        <f>+IFERROR(VLOOKUP(BB15,'אשכול חברתי מעודכן'!$A:$B,2,0),0)</f>
        <v>0</v>
      </c>
      <c r="BC368" s="1">
        <f>+IFERROR(VLOOKUP(BC15,'אשכול חברתי מעודכן'!$A:$B,2,0),0)</f>
        <v>0</v>
      </c>
      <c r="BD368" s="1">
        <f>+IFERROR(VLOOKUP(BD15,'אשכול חברתי מעודכן'!$A:$B,2,0),0)</f>
        <v>0</v>
      </c>
      <c r="BE368" s="1">
        <f>+IFERROR(VLOOKUP(BE15,'אשכול חברתי מעודכן'!$A:$B,2,0),0)</f>
        <v>0</v>
      </c>
      <c r="BF368" s="1">
        <f>+IFERROR(VLOOKUP(BF15,'אשכול חברתי מעודכן'!$A:$B,2,0),0)</f>
        <v>0</v>
      </c>
    </row>
    <row r="369" spans="2:58" x14ac:dyDescent="0.2">
      <c r="B369" s="1">
        <v>9</v>
      </c>
      <c r="C369" s="1">
        <f>+IFERROR(VLOOKUP(C16,'אשכול חברתי מעודכן'!$A:$B,2,0),0)</f>
        <v>0</v>
      </c>
      <c r="D369" s="1">
        <f>+IFERROR(VLOOKUP(D16,'אשכול חברתי מעודכן'!$A:$B,2,0),0)</f>
        <v>0</v>
      </c>
      <c r="E369" s="1">
        <f>+IFERROR(VLOOKUP(E16,'אשכול חברתי מעודכן'!$A:$B,2,0),0)</f>
        <v>0</v>
      </c>
      <c r="F369" s="1">
        <f>+IFERROR(VLOOKUP(F16,'אשכול חברתי מעודכן'!$A:$B,2,0),0)</f>
        <v>0</v>
      </c>
      <c r="G369" s="1">
        <f>+IFERROR(VLOOKUP(G16,'אשכול חברתי מעודכן'!$A:$B,2,0),0)</f>
        <v>0</v>
      </c>
      <c r="H369" s="1">
        <f>+IFERROR(VLOOKUP(H16,'אשכול חברתי מעודכן'!$A:$B,2,0),0)</f>
        <v>0</v>
      </c>
      <c r="I369" s="1">
        <f>+IFERROR(VLOOKUP(I16,'אשכול חברתי מעודכן'!$A:$B,2,0),0)</f>
        <v>0</v>
      </c>
      <c r="J369" s="1">
        <f>+IFERROR(VLOOKUP(J16,'אשכול חברתי מעודכן'!$A:$B,2,0),0)</f>
        <v>0</v>
      </c>
      <c r="K369" s="1">
        <f>+IFERROR(VLOOKUP(K16,'אשכול חברתי מעודכן'!$A:$B,2,0),0)</f>
        <v>0</v>
      </c>
      <c r="L369" s="1">
        <f>+IFERROR(VLOOKUP(L16,'אשכול חברתי מעודכן'!$A:$B,2,0),0)</f>
        <v>0</v>
      </c>
      <c r="M369" s="1">
        <f>+IFERROR(VLOOKUP(M16,'אשכול חברתי מעודכן'!$A:$B,2,0),0)</f>
        <v>0</v>
      </c>
      <c r="N369" s="1">
        <f>+IFERROR(VLOOKUP(N16,'אשכול חברתי מעודכן'!$A:$B,2,0),0)</f>
        <v>0</v>
      </c>
      <c r="O369" s="1">
        <f>+IFERROR(VLOOKUP(O16,'אשכול חברתי מעודכן'!$A:$B,2,0),0)</f>
        <v>0</v>
      </c>
      <c r="P369" s="1">
        <f>+IFERROR(VLOOKUP(P16,'אשכול חברתי מעודכן'!$A:$B,2,0),0)</f>
        <v>2</v>
      </c>
      <c r="Q369" s="1">
        <f>+IFERROR(VLOOKUP(Q16,'אשכול חברתי מעודכן'!$A:$B,2,0),0)</f>
        <v>0</v>
      </c>
      <c r="R369" s="1">
        <f>+IFERROR(VLOOKUP(R16,'אשכול חברתי מעודכן'!$A:$B,2,0),0)</f>
        <v>0</v>
      </c>
      <c r="S369" s="1">
        <f>+IFERROR(VLOOKUP(S16,'אשכול חברתי מעודכן'!$A:$B,2,0),0)</f>
        <v>0</v>
      </c>
      <c r="T369" s="1">
        <f>+IFERROR(VLOOKUP(T16,'אשכול חברתי מעודכן'!$A:$B,2,0),0)</f>
        <v>0</v>
      </c>
      <c r="U369" s="1">
        <f>+IFERROR(VLOOKUP(U16,'אשכול חברתי מעודכן'!$A:$B,2,0),0)</f>
        <v>0</v>
      </c>
      <c r="V369" s="1">
        <f>+IFERROR(VLOOKUP(V16,'אשכול חברתי מעודכן'!$A:$B,2,0),0)</f>
        <v>0</v>
      </c>
      <c r="W369" s="1">
        <f>+IFERROR(VLOOKUP(W16,'אשכול חברתי מעודכן'!$A:$B,2,0),0)</f>
        <v>0</v>
      </c>
      <c r="X369" s="1">
        <f>+IFERROR(VLOOKUP(X16,'אשכול חברתי מעודכן'!$A:$B,2,0),0)</f>
        <v>0</v>
      </c>
      <c r="Y369" s="1">
        <f>+IFERROR(VLOOKUP(Y16,'אשכול חברתי מעודכן'!$A:$B,2,0),0)</f>
        <v>0</v>
      </c>
      <c r="Z369" s="1">
        <f>+IFERROR(VLOOKUP(Z16,'אשכול חברתי מעודכן'!$A:$B,2,0),0)</f>
        <v>0</v>
      </c>
      <c r="AA369" s="1">
        <f>+IFERROR(VLOOKUP(AA16,'אשכול חברתי מעודכן'!$A:$B,2,0),0)</f>
        <v>0</v>
      </c>
      <c r="AB369" s="1">
        <f>+IFERROR(VLOOKUP(AB16,'אשכול חברתי מעודכן'!$A:$B,2,0),0)</f>
        <v>0</v>
      </c>
      <c r="AC369" s="1">
        <f>+IFERROR(VLOOKUP(AC16,'אשכול חברתי מעודכן'!$A:$B,2,0),0)</f>
        <v>0</v>
      </c>
      <c r="AD369" s="1">
        <f>+IFERROR(VLOOKUP(AD16,'אשכול חברתי מעודכן'!$A:$B,2,0),0)</f>
        <v>0</v>
      </c>
      <c r="AE369" s="1">
        <f>+IFERROR(VLOOKUP(AE16,'אשכול חברתי מעודכן'!$A:$B,2,0),0)</f>
        <v>0</v>
      </c>
      <c r="AF369" s="1">
        <f>+IFERROR(VLOOKUP(AF16,'אשכול חברתי מעודכן'!$A:$B,2,0),0)</f>
        <v>0</v>
      </c>
      <c r="AG369" s="1">
        <f>+IFERROR(VLOOKUP(AG16,'אשכול חברתי מעודכן'!$A:$B,2,0),0)</f>
        <v>0</v>
      </c>
      <c r="AH369" s="1">
        <f>+IFERROR(VLOOKUP(AH16,'אשכול חברתי מעודכן'!$A:$B,2,0),0)</f>
        <v>0</v>
      </c>
      <c r="AI369" s="1">
        <f>+IFERROR(VLOOKUP(AI16,'אשכול חברתי מעודכן'!$A:$B,2,0),0)</f>
        <v>0</v>
      </c>
      <c r="AJ369" s="1">
        <f>+IFERROR(VLOOKUP(AJ16,'אשכול חברתי מעודכן'!$A:$B,2,0),0)</f>
        <v>0</v>
      </c>
      <c r="AK369" s="1">
        <f>+IFERROR(VLOOKUP(AK16,'אשכול חברתי מעודכן'!$A:$B,2,0),0)</f>
        <v>0</v>
      </c>
      <c r="AL369" s="1">
        <f>+IFERROR(VLOOKUP(AL16,'אשכול חברתי מעודכן'!$A:$B,2,0),0)</f>
        <v>0</v>
      </c>
      <c r="AM369" s="1">
        <f>+IFERROR(VLOOKUP(AM16,'אשכול חברתי מעודכן'!$A:$B,2,0),0)</f>
        <v>0</v>
      </c>
      <c r="AN369" s="1">
        <f>+IFERROR(VLOOKUP(AN16,'אשכול חברתי מעודכן'!$A:$B,2,0),0)</f>
        <v>0</v>
      </c>
      <c r="AO369" s="1">
        <f>+IFERROR(VLOOKUP(AO16,'אשכול חברתי מעודכן'!$A:$B,2,0),0)</f>
        <v>0</v>
      </c>
      <c r="AP369" s="1">
        <f>+IFERROR(VLOOKUP(AP16,'אשכול חברתי מעודכן'!$A:$B,2,0),0)</f>
        <v>0</v>
      </c>
      <c r="AQ369" s="1">
        <f>+IFERROR(VLOOKUP(AQ16,'אשכול חברתי מעודכן'!$A:$B,2,0),0)</f>
        <v>0</v>
      </c>
      <c r="AR369" s="1">
        <f>+IFERROR(VLOOKUP(AR16,'אשכול חברתי מעודכן'!$A:$B,2,0),0)</f>
        <v>0</v>
      </c>
      <c r="AS369" s="1">
        <f>+IFERROR(VLOOKUP(AS16,'אשכול חברתי מעודכן'!$A:$B,2,0),0)</f>
        <v>2</v>
      </c>
      <c r="AT369" s="1">
        <f>+IFERROR(VLOOKUP(AT16,'אשכול חברתי מעודכן'!$A:$B,2,0),0)</f>
        <v>0</v>
      </c>
      <c r="AU369" s="1">
        <f>+IFERROR(VLOOKUP(AU16,'אשכול חברתי מעודכן'!$A:$B,2,0),0)</f>
        <v>0</v>
      </c>
      <c r="AV369" s="1">
        <f>+IFERROR(VLOOKUP(AV16,'אשכול חברתי מעודכן'!$A:$B,2,0),0)</f>
        <v>0</v>
      </c>
      <c r="AW369" s="1">
        <f>+IFERROR(VLOOKUP(AW16,'אשכול חברתי מעודכן'!$A:$B,2,0),0)</f>
        <v>0</v>
      </c>
      <c r="AX369" s="1">
        <f>+IFERROR(VLOOKUP(AX16,'אשכול חברתי מעודכן'!$A:$B,2,0),0)</f>
        <v>0</v>
      </c>
      <c r="AY369" s="1">
        <f>+IFERROR(VLOOKUP(AY16,'אשכול חברתי מעודכן'!$A:$B,2,0),0)</f>
        <v>0</v>
      </c>
      <c r="AZ369" s="1">
        <f>+IFERROR(VLOOKUP(AZ16,'אשכול חברתי מעודכן'!$A:$B,2,0),0)</f>
        <v>0</v>
      </c>
      <c r="BA369" s="1">
        <f>+IFERROR(VLOOKUP(BA16,'אשכול חברתי מעודכן'!$A:$B,2,0),0)</f>
        <v>0</v>
      </c>
      <c r="BB369" s="1">
        <f>+IFERROR(VLOOKUP(BB16,'אשכול חברתי מעודכן'!$A:$B,2,0),0)</f>
        <v>0</v>
      </c>
      <c r="BC369" s="1">
        <f>+IFERROR(VLOOKUP(BC16,'אשכול חברתי מעודכן'!$A:$B,2,0),0)</f>
        <v>0</v>
      </c>
      <c r="BD369" s="1">
        <f>+IFERROR(VLOOKUP(BD16,'אשכול חברתי מעודכן'!$A:$B,2,0),0)</f>
        <v>0</v>
      </c>
      <c r="BE369" s="1">
        <f>+IFERROR(VLOOKUP(BE16,'אשכול חברתי מעודכן'!$A:$B,2,0),0)</f>
        <v>0</v>
      </c>
      <c r="BF369" s="1">
        <f>+IFERROR(VLOOKUP(BF16,'אשכול חברתי מעודכן'!$A:$B,2,0),0)</f>
        <v>0</v>
      </c>
    </row>
    <row r="370" spans="2:58" x14ac:dyDescent="0.2">
      <c r="B370" s="1">
        <v>10</v>
      </c>
      <c r="C370" s="1">
        <f>+IFERROR(VLOOKUP(C17,'אשכול חברתי מעודכן'!$A:$B,2,0),0)</f>
        <v>0</v>
      </c>
      <c r="D370" s="1">
        <f>+IFERROR(VLOOKUP(D17,'אשכול חברתי מעודכן'!$A:$B,2,0),0)</f>
        <v>0</v>
      </c>
      <c r="E370" s="1">
        <f>+IFERROR(VLOOKUP(E17,'אשכול חברתי מעודכן'!$A:$B,2,0),0)</f>
        <v>0</v>
      </c>
      <c r="F370" s="1">
        <f>+IFERROR(VLOOKUP(F17,'אשכול חברתי מעודכן'!$A:$B,2,0),0)</f>
        <v>0</v>
      </c>
      <c r="G370" s="1">
        <f>+IFERROR(VLOOKUP(G17,'אשכול חברתי מעודכן'!$A:$B,2,0),0)</f>
        <v>0</v>
      </c>
      <c r="H370" s="1">
        <f>+IFERROR(VLOOKUP(H17,'אשכול חברתי מעודכן'!$A:$B,2,0),0)</f>
        <v>0</v>
      </c>
      <c r="I370" s="1">
        <f>+IFERROR(VLOOKUP(I17,'אשכול חברתי מעודכן'!$A:$B,2,0),0)</f>
        <v>0</v>
      </c>
      <c r="J370" s="1">
        <f>+IFERROR(VLOOKUP(J17,'אשכול חברתי מעודכן'!$A:$B,2,0),0)</f>
        <v>0</v>
      </c>
      <c r="K370" s="1">
        <f>+IFERROR(VLOOKUP(K17,'אשכול חברתי מעודכן'!$A:$B,2,0),0)</f>
        <v>0</v>
      </c>
      <c r="L370" s="1">
        <f>+IFERROR(VLOOKUP(L17,'אשכול חברתי מעודכן'!$A:$B,2,0),0)</f>
        <v>0</v>
      </c>
      <c r="M370" s="1">
        <f>+IFERROR(VLOOKUP(M17,'אשכול חברתי מעודכן'!$A:$B,2,0),0)</f>
        <v>0</v>
      </c>
      <c r="N370" s="1">
        <f>+IFERROR(VLOOKUP(N17,'אשכול חברתי מעודכן'!$A:$B,2,0),0)</f>
        <v>0</v>
      </c>
      <c r="O370" s="1">
        <f>+IFERROR(VLOOKUP(O17,'אשכול חברתי מעודכן'!$A:$B,2,0),0)</f>
        <v>0</v>
      </c>
      <c r="P370" s="1">
        <f>+IFERROR(VLOOKUP(P17,'אשכול חברתי מעודכן'!$A:$B,2,0),0)</f>
        <v>4</v>
      </c>
      <c r="Q370" s="1">
        <f>+IFERROR(VLOOKUP(Q17,'אשכול חברתי מעודכן'!$A:$B,2,0),0)</f>
        <v>0</v>
      </c>
      <c r="R370" s="1">
        <f>+IFERROR(VLOOKUP(R17,'אשכול חברתי מעודכן'!$A:$B,2,0),0)</f>
        <v>0</v>
      </c>
      <c r="S370" s="1">
        <f>+IFERROR(VLOOKUP(S17,'אשכול חברתי מעודכן'!$A:$B,2,0),0)</f>
        <v>0</v>
      </c>
      <c r="T370" s="1">
        <f>+IFERROR(VLOOKUP(T17,'אשכול חברתי מעודכן'!$A:$B,2,0),0)</f>
        <v>0</v>
      </c>
      <c r="U370" s="1">
        <f>+IFERROR(VLOOKUP(U17,'אשכול חברתי מעודכן'!$A:$B,2,0),0)</f>
        <v>0</v>
      </c>
      <c r="V370" s="1">
        <f>+IFERROR(VLOOKUP(V17,'אשכול חברתי מעודכן'!$A:$B,2,0),0)</f>
        <v>0</v>
      </c>
      <c r="W370" s="1">
        <f>+IFERROR(VLOOKUP(W17,'אשכול חברתי מעודכן'!$A:$B,2,0),0)</f>
        <v>0</v>
      </c>
      <c r="X370" s="1">
        <f>+IFERROR(VLOOKUP(X17,'אשכול חברתי מעודכן'!$A:$B,2,0),0)</f>
        <v>0</v>
      </c>
      <c r="Y370" s="1">
        <f>+IFERROR(VLOOKUP(Y17,'אשכול חברתי מעודכן'!$A:$B,2,0),0)</f>
        <v>0</v>
      </c>
      <c r="Z370" s="1">
        <f>+IFERROR(VLOOKUP(Z17,'אשכול חברתי מעודכן'!$A:$B,2,0),0)</f>
        <v>0</v>
      </c>
      <c r="AA370" s="1">
        <f>+IFERROR(VLOOKUP(AA17,'אשכול חברתי מעודכן'!$A:$B,2,0),0)</f>
        <v>0</v>
      </c>
      <c r="AB370" s="1">
        <f>+IFERROR(VLOOKUP(AB17,'אשכול חברתי מעודכן'!$A:$B,2,0),0)</f>
        <v>0</v>
      </c>
      <c r="AC370" s="1">
        <f>+IFERROR(VLOOKUP(AC17,'אשכול חברתי מעודכן'!$A:$B,2,0),0)</f>
        <v>0</v>
      </c>
      <c r="AD370" s="1">
        <f>+IFERROR(VLOOKUP(AD17,'אשכול חברתי מעודכן'!$A:$B,2,0),0)</f>
        <v>0</v>
      </c>
      <c r="AE370" s="1">
        <f>+IFERROR(VLOOKUP(AE17,'אשכול חברתי מעודכן'!$A:$B,2,0),0)</f>
        <v>0</v>
      </c>
      <c r="AF370" s="1">
        <f>+IFERROR(VLOOKUP(AF17,'אשכול חברתי מעודכן'!$A:$B,2,0),0)</f>
        <v>0</v>
      </c>
      <c r="AG370" s="1">
        <f>+IFERROR(VLOOKUP(AG17,'אשכול חברתי מעודכן'!$A:$B,2,0),0)</f>
        <v>0</v>
      </c>
      <c r="AH370" s="1">
        <f>+IFERROR(VLOOKUP(AH17,'אשכול חברתי מעודכן'!$A:$B,2,0),0)</f>
        <v>0</v>
      </c>
      <c r="AI370" s="1">
        <f>+IFERROR(VLOOKUP(AI17,'אשכול חברתי מעודכן'!$A:$B,2,0),0)</f>
        <v>0</v>
      </c>
      <c r="AJ370" s="1">
        <f>+IFERROR(VLOOKUP(AJ17,'אשכול חברתי מעודכן'!$A:$B,2,0),0)</f>
        <v>0</v>
      </c>
      <c r="AK370" s="1">
        <f>+IFERROR(VLOOKUP(AK17,'אשכול חברתי מעודכן'!$A:$B,2,0),0)</f>
        <v>0</v>
      </c>
      <c r="AL370" s="1">
        <f>+IFERROR(VLOOKUP(AL17,'אשכול חברתי מעודכן'!$A:$B,2,0),0)</f>
        <v>0</v>
      </c>
      <c r="AM370" s="1">
        <f>+IFERROR(VLOOKUP(AM17,'אשכול חברתי מעודכן'!$A:$B,2,0),0)</f>
        <v>0</v>
      </c>
      <c r="AN370" s="1">
        <f>+IFERROR(VLOOKUP(AN17,'אשכול חברתי מעודכן'!$A:$B,2,0),0)</f>
        <v>0</v>
      </c>
      <c r="AO370" s="1">
        <f>+IFERROR(VLOOKUP(AO17,'אשכול חברתי מעודכן'!$A:$B,2,0),0)</f>
        <v>0</v>
      </c>
      <c r="AP370" s="1">
        <f>+IFERROR(VLOOKUP(AP17,'אשכול חברתי מעודכן'!$A:$B,2,0),0)</f>
        <v>0</v>
      </c>
      <c r="AQ370" s="1">
        <f>+IFERROR(VLOOKUP(AQ17,'אשכול חברתי מעודכן'!$A:$B,2,0),0)</f>
        <v>0</v>
      </c>
      <c r="AR370" s="1">
        <f>+IFERROR(VLOOKUP(AR17,'אשכול חברתי מעודכן'!$A:$B,2,0),0)</f>
        <v>0</v>
      </c>
      <c r="AS370" s="1">
        <f>+IFERROR(VLOOKUP(AS17,'אשכול חברתי מעודכן'!$A:$B,2,0),0)</f>
        <v>2</v>
      </c>
      <c r="AT370" s="1">
        <f>+IFERROR(VLOOKUP(AT17,'אשכול חברתי מעודכן'!$A:$B,2,0),0)</f>
        <v>0</v>
      </c>
      <c r="AU370" s="1">
        <f>+IFERROR(VLOOKUP(AU17,'אשכול חברתי מעודכן'!$A:$B,2,0),0)</f>
        <v>0</v>
      </c>
      <c r="AV370" s="1">
        <f>+IFERROR(VLOOKUP(AV17,'אשכול חברתי מעודכן'!$A:$B,2,0),0)</f>
        <v>0</v>
      </c>
      <c r="AW370" s="1">
        <f>+IFERROR(VLOOKUP(AW17,'אשכול חברתי מעודכן'!$A:$B,2,0),0)</f>
        <v>0</v>
      </c>
      <c r="AX370" s="1">
        <f>+IFERROR(VLOOKUP(AX17,'אשכול חברתי מעודכן'!$A:$B,2,0),0)</f>
        <v>0</v>
      </c>
      <c r="AY370" s="1">
        <f>+IFERROR(VLOOKUP(AY17,'אשכול חברתי מעודכן'!$A:$B,2,0),0)</f>
        <v>0</v>
      </c>
      <c r="AZ370" s="1">
        <f>+IFERROR(VLOOKUP(AZ17,'אשכול חברתי מעודכן'!$A:$B,2,0),0)</f>
        <v>0</v>
      </c>
      <c r="BA370" s="1">
        <f>+IFERROR(VLOOKUP(BA17,'אשכול חברתי מעודכן'!$A:$B,2,0),0)</f>
        <v>0</v>
      </c>
      <c r="BB370" s="1">
        <f>+IFERROR(VLOOKUP(BB17,'אשכול חברתי מעודכן'!$A:$B,2,0),0)</f>
        <v>0</v>
      </c>
      <c r="BC370" s="1">
        <f>+IFERROR(VLOOKUP(BC17,'אשכול חברתי מעודכן'!$A:$B,2,0),0)</f>
        <v>0</v>
      </c>
      <c r="BD370" s="1">
        <f>+IFERROR(VLOOKUP(BD17,'אשכול חברתי מעודכן'!$A:$B,2,0),0)</f>
        <v>0</v>
      </c>
      <c r="BE370" s="1">
        <f>+IFERROR(VLOOKUP(BE17,'אשכול חברתי מעודכן'!$A:$B,2,0),0)</f>
        <v>0</v>
      </c>
      <c r="BF370" s="1">
        <f>+IFERROR(VLOOKUP(BF17,'אשכול חברתי מעודכן'!$A:$B,2,0),0)</f>
        <v>0</v>
      </c>
    </row>
    <row r="371" spans="2:58" x14ac:dyDescent="0.2">
      <c r="B371" s="1">
        <v>11</v>
      </c>
      <c r="C371" s="1">
        <f>+IFERROR(VLOOKUP(C18,'אשכול חברתי מעודכן'!$A:$B,2,0),0)</f>
        <v>0</v>
      </c>
      <c r="D371" s="1">
        <f>+IFERROR(VLOOKUP(D18,'אשכול חברתי מעודכן'!$A:$B,2,0),0)</f>
        <v>0</v>
      </c>
      <c r="E371" s="1">
        <f>+IFERROR(VLOOKUP(E18,'אשכול חברתי מעודכן'!$A:$B,2,0),0)</f>
        <v>0</v>
      </c>
      <c r="F371" s="1">
        <f>+IFERROR(VLOOKUP(F18,'אשכול חברתי מעודכן'!$A:$B,2,0),0)</f>
        <v>0</v>
      </c>
      <c r="G371" s="1">
        <f>+IFERROR(VLOOKUP(G18,'אשכול חברתי מעודכן'!$A:$B,2,0),0)</f>
        <v>0</v>
      </c>
      <c r="H371" s="1">
        <f>+IFERROR(VLOOKUP(H18,'אשכול חברתי מעודכן'!$A:$B,2,0),0)</f>
        <v>0</v>
      </c>
      <c r="I371" s="1">
        <f>+IFERROR(VLOOKUP(I18,'אשכול חברתי מעודכן'!$A:$B,2,0),0)</f>
        <v>0</v>
      </c>
      <c r="J371" s="1">
        <f>+IFERROR(VLOOKUP(J18,'אשכול חברתי מעודכן'!$A:$B,2,0),0)</f>
        <v>0</v>
      </c>
      <c r="K371" s="1">
        <f>+IFERROR(VLOOKUP(K18,'אשכול חברתי מעודכן'!$A:$B,2,0),0)</f>
        <v>0</v>
      </c>
      <c r="L371" s="1">
        <f>+IFERROR(VLOOKUP(L18,'אשכול חברתי מעודכן'!$A:$B,2,0),0)</f>
        <v>0</v>
      </c>
      <c r="M371" s="1">
        <f>+IFERROR(VLOOKUP(M18,'אשכול חברתי מעודכן'!$A:$B,2,0),0)</f>
        <v>0</v>
      </c>
      <c r="N371" s="1">
        <f>+IFERROR(VLOOKUP(N18,'אשכול חברתי מעודכן'!$A:$B,2,0),0)</f>
        <v>0</v>
      </c>
      <c r="O371" s="1">
        <f>+IFERROR(VLOOKUP(O18,'אשכול חברתי מעודכן'!$A:$B,2,0),0)</f>
        <v>0</v>
      </c>
      <c r="P371" s="1">
        <f>+IFERROR(VLOOKUP(P18,'אשכול חברתי מעודכן'!$A:$B,2,0),0)</f>
        <v>3</v>
      </c>
      <c r="Q371" s="1">
        <f>+IFERROR(VLOOKUP(Q18,'אשכול חברתי מעודכן'!$A:$B,2,0),0)</f>
        <v>0</v>
      </c>
      <c r="R371" s="1">
        <f>+IFERROR(VLOOKUP(R18,'אשכול חברתי מעודכן'!$A:$B,2,0),0)</f>
        <v>0</v>
      </c>
      <c r="S371" s="1">
        <f>+IFERROR(VLOOKUP(S18,'אשכול חברתי מעודכן'!$A:$B,2,0),0)</f>
        <v>0</v>
      </c>
      <c r="T371" s="1">
        <f>+IFERROR(VLOOKUP(T18,'אשכול חברתי מעודכן'!$A:$B,2,0),0)</f>
        <v>0</v>
      </c>
      <c r="U371" s="1">
        <f>+IFERROR(VLOOKUP(U18,'אשכול חברתי מעודכן'!$A:$B,2,0),0)</f>
        <v>0</v>
      </c>
      <c r="V371" s="1">
        <f>+IFERROR(VLOOKUP(V18,'אשכול חברתי מעודכן'!$A:$B,2,0),0)</f>
        <v>0</v>
      </c>
      <c r="W371" s="1">
        <f>+IFERROR(VLOOKUP(W18,'אשכול חברתי מעודכן'!$A:$B,2,0),0)</f>
        <v>0</v>
      </c>
      <c r="X371" s="1">
        <f>+IFERROR(VLOOKUP(X18,'אשכול חברתי מעודכן'!$A:$B,2,0),0)</f>
        <v>0</v>
      </c>
      <c r="Y371" s="1">
        <f>+IFERROR(VLOOKUP(Y18,'אשכול חברתי מעודכן'!$A:$B,2,0),0)</f>
        <v>0</v>
      </c>
      <c r="Z371" s="1">
        <f>+IFERROR(VLOOKUP(Z18,'אשכול חברתי מעודכן'!$A:$B,2,0),0)</f>
        <v>0</v>
      </c>
      <c r="AA371" s="1">
        <f>+IFERROR(VLOOKUP(AA18,'אשכול חברתי מעודכן'!$A:$B,2,0),0)</f>
        <v>0</v>
      </c>
      <c r="AB371" s="1">
        <f>+IFERROR(VLOOKUP(AB18,'אשכול חברתי מעודכן'!$A:$B,2,0),0)</f>
        <v>0</v>
      </c>
      <c r="AC371" s="1">
        <f>+IFERROR(VLOOKUP(AC18,'אשכול חברתי מעודכן'!$A:$B,2,0),0)</f>
        <v>0</v>
      </c>
      <c r="AD371" s="1">
        <f>+IFERROR(VLOOKUP(AD18,'אשכול חברתי מעודכן'!$A:$B,2,0),0)</f>
        <v>0</v>
      </c>
      <c r="AE371" s="1">
        <f>+IFERROR(VLOOKUP(AE18,'אשכול חברתי מעודכן'!$A:$B,2,0),0)</f>
        <v>0</v>
      </c>
      <c r="AF371" s="1">
        <f>+IFERROR(VLOOKUP(AF18,'אשכול חברתי מעודכן'!$A:$B,2,0),0)</f>
        <v>0</v>
      </c>
      <c r="AG371" s="1">
        <f>+IFERROR(VLOOKUP(AG18,'אשכול חברתי מעודכן'!$A:$B,2,0),0)</f>
        <v>0</v>
      </c>
      <c r="AH371" s="1">
        <f>+IFERROR(VLOOKUP(AH18,'אשכול חברתי מעודכן'!$A:$B,2,0),0)</f>
        <v>0</v>
      </c>
      <c r="AI371" s="1">
        <f>+IFERROR(VLOOKUP(AI18,'אשכול חברתי מעודכן'!$A:$B,2,0),0)</f>
        <v>0</v>
      </c>
      <c r="AJ371" s="1">
        <f>+IFERROR(VLOOKUP(AJ18,'אשכול חברתי מעודכן'!$A:$B,2,0),0)</f>
        <v>0</v>
      </c>
      <c r="AK371" s="1">
        <f>+IFERROR(VLOOKUP(AK18,'אשכול חברתי מעודכן'!$A:$B,2,0),0)</f>
        <v>0</v>
      </c>
      <c r="AL371" s="1">
        <f>+IFERROR(VLOOKUP(AL18,'אשכול חברתי מעודכן'!$A:$B,2,0),0)</f>
        <v>0</v>
      </c>
      <c r="AM371" s="1">
        <f>+IFERROR(VLOOKUP(AM18,'אשכול חברתי מעודכן'!$A:$B,2,0),0)</f>
        <v>0</v>
      </c>
      <c r="AN371" s="1">
        <f>+IFERROR(VLOOKUP(AN18,'אשכול חברתי מעודכן'!$A:$B,2,0),0)</f>
        <v>0</v>
      </c>
      <c r="AO371" s="1">
        <f>+IFERROR(VLOOKUP(AO18,'אשכול חברתי מעודכן'!$A:$B,2,0),0)</f>
        <v>0</v>
      </c>
      <c r="AP371" s="1">
        <f>+IFERROR(VLOOKUP(AP18,'אשכול חברתי מעודכן'!$A:$B,2,0),0)</f>
        <v>0</v>
      </c>
      <c r="AQ371" s="1">
        <f>+IFERROR(VLOOKUP(AQ18,'אשכול חברתי מעודכן'!$A:$B,2,0),0)</f>
        <v>0</v>
      </c>
      <c r="AR371" s="1">
        <f>+IFERROR(VLOOKUP(AR18,'אשכול חברתי מעודכן'!$A:$B,2,0),0)</f>
        <v>0</v>
      </c>
      <c r="AS371" s="1">
        <f>+IFERROR(VLOOKUP(AS18,'אשכול חברתי מעודכן'!$A:$B,2,0),0)</f>
        <v>3</v>
      </c>
      <c r="AT371" s="1">
        <f>+IFERROR(VLOOKUP(AT18,'אשכול חברתי מעודכן'!$A:$B,2,0),0)</f>
        <v>0</v>
      </c>
      <c r="AU371" s="1">
        <f>+IFERROR(VLOOKUP(AU18,'אשכול חברתי מעודכן'!$A:$B,2,0),0)</f>
        <v>0</v>
      </c>
      <c r="AV371" s="1">
        <f>+IFERROR(VLOOKUP(AV18,'אשכול חברתי מעודכן'!$A:$B,2,0),0)</f>
        <v>0</v>
      </c>
      <c r="AW371" s="1">
        <f>+IFERROR(VLOOKUP(AW18,'אשכול חברתי מעודכן'!$A:$B,2,0),0)</f>
        <v>0</v>
      </c>
      <c r="AX371" s="1">
        <f>+IFERROR(VLOOKUP(AX18,'אשכול חברתי מעודכן'!$A:$B,2,0),0)</f>
        <v>0</v>
      </c>
      <c r="AY371" s="1">
        <f>+IFERROR(VLOOKUP(AY18,'אשכול חברתי מעודכן'!$A:$B,2,0),0)</f>
        <v>0</v>
      </c>
      <c r="AZ371" s="1">
        <f>+IFERROR(VLOOKUP(AZ18,'אשכול חברתי מעודכן'!$A:$B,2,0),0)</f>
        <v>0</v>
      </c>
      <c r="BA371" s="1">
        <f>+IFERROR(VLOOKUP(BA18,'אשכול חברתי מעודכן'!$A:$B,2,0),0)</f>
        <v>0</v>
      </c>
      <c r="BB371" s="1">
        <f>+IFERROR(VLOOKUP(BB18,'אשכול חברתי מעודכן'!$A:$B,2,0),0)</f>
        <v>0</v>
      </c>
      <c r="BC371" s="1">
        <f>+IFERROR(VLOOKUP(BC18,'אשכול חברתי מעודכן'!$A:$B,2,0),0)</f>
        <v>0</v>
      </c>
      <c r="BD371" s="1">
        <f>+IFERROR(VLOOKUP(BD18,'אשכול חברתי מעודכן'!$A:$B,2,0),0)</f>
        <v>0</v>
      </c>
      <c r="BE371" s="1">
        <f>+IFERROR(VLOOKUP(BE18,'אשכול חברתי מעודכן'!$A:$B,2,0),0)</f>
        <v>0</v>
      </c>
      <c r="BF371" s="1">
        <f>+IFERROR(VLOOKUP(BF18,'אשכול חברתי מעודכן'!$A:$B,2,0),0)</f>
        <v>0</v>
      </c>
    </row>
    <row r="372" spans="2:58" x14ac:dyDescent="0.2">
      <c r="B372" s="1">
        <v>12</v>
      </c>
      <c r="C372" s="1">
        <f>+IFERROR(VLOOKUP(C19,'אשכול חברתי מעודכן'!$A:$B,2,0),0)</f>
        <v>0</v>
      </c>
      <c r="D372" s="1">
        <f>+IFERROR(VLOOKUP(D19,'אשכול חברתי מעודכן'!$A:$B,2,0),0)</f>
        <v>0</v>
      </c>
      <c r="E372" s="1">
        <f>+IFERROR(VLOOKUP(E19,'אשכול חברתי מעודכן'!$A:$B,2,0),0)</f>
        <v>0</v>
      </c>
      <c r="F372" s="1">
        <f>+IFERROR(VLOOKUP(F19,'אשכול חברתי מעודכן'!$A:$B,2,0),0)</f>
        <v>0</v>
      </c>
      <c r="G372" s="1">
        <f>+IFERROR(VLOOKUP(G19,'אשכול חברתי מעודכן'!$A:$B,2,0),0)</f>
        <v>0</v>
      </c>
      <c r="H372" s="1">
        <f>+IFERROR(VLOOKUP(H19,'אשכול חברתי מעודכן'!$A:$B,2,0),0)</f>
        <v>0</v>
      </c>
      <c r="I372" s="1">
        <f>+IFERROR(VLOOKUP(I19,'אשכול חברתי מעודכן'!$A:$B,2,0),0)</f>
        <v>0</v>
      </c>
      <c r="J372" s="1">
        <f>+IFERROR(VLOOKUP(J19,'אשכול חברתי מעודכן'!$A:$B,2,0),0)</f>
        <v>0</v>
      </c>
      <c r="K372" s="1">
        <f>+IFERROR(VLOOKUP(K19,'אשכול חברתי מעודכן'!$A:$B,2,0),0)</f>
        <v>0</v>
      </c>
      <c r="L372" s="1">
        <f>+IFERROR(VLOOKUP(L19,'אשכול חברתי מעודכן'!$A:$B,2,0),0)</f>
        <v>0</v>
      </c>
      <c r="M372" s="1">
        <f>+IFERROR(VLOOKUP(M19,'אשכול חברתי מעודכן'!$A:$B,2,0),0)</f>
        <v>0</v>
      </c>
      <c r="N372" s="1">
        <f>+IFERROR(VLOOKUP(N19,'אשכול חברתי מעודכן'!$A:$B,2,0),0)</f>
        <v>0</v>
      </c>
      <c r="O372" s="1">
        <f>+IFERROR(VLOOKUP(O19,'אשכול חברתי מעודכן'!$A:$B,2,0),0)</f>
        <v>0</v>
      </c>
      <c r="P372" s="1">
        <f>+IFERROR(VLOOKUP(P19,'אשכול חברתי מעודכן'!$A:$B,2,0),0)</f>
        <v>4</v>
      </c>
      <c r="Q372" s="1">
        <f>+IFERROR(VLOOKUP(Q19,'אשכול חברתי מעודכן'!$A:$B,2,0),0)</f>
        <v>0</v>
      </c>
      <c r="R372" s="1">
        <f>+IFERROR(VLOOKUP(R19,'אשכול חברתי מעודכן'!$A:$B,2,0),0)</f>
        <v>0</v>
      </c>
      <c r="S372" s="1">
        <f>+IFERROR(VLOOKUP(S19,'אשכול חברתי מעודכן'!$A:$B,2,0),0)</f>
        <v>0</v>
      </c>
      <c r="T372" s="1">
        <f>+IFERROR(VLOOKUP(T19,'אשכול חברתי מעודכן'!$A:$B,2,0),0)</f>
        <v>0</v>
      </c>
      <c r="U372" s="1">
        <f>+IFERROR(VLOOKUP(U19,'אשכול חברתי מעודכן'!$A:$B,2,0),0)</f>
        <v>0</v>
      </c>
      <c r="V372" s="1">
        <f>+IFERROR(VLOOKUP(V19,'אשכול חברתי מעודכן'!$A:$B,2,0),0)</f>
        <v>0</v>
      </c>
      <c r="W372" s="1">
        <f>+IFERROR(VLOOKUP(W19,'אשכול חברתי מעודכן'!$A:$B,2,0),0)</f>
        <v>0</v>
      </c>
      <c r="X372" s="1">
        <f>+IFERROR(VLOOKUP(X19,'אשכול חברתי מעודכן'!$A:$B,2,0),0)</f>
        <v>0</v>
      </c>
      <c r="Y372" s="1">
        <f>+IFERROR(VLOOKUP(Y19,'אשכול חברתי מעודכן'!$A:$B,2,0),0)</f>
        <v>0</v>
      </c>
      <c r="Z372" s="1">
        <f>+IFERROR(VLOOKUP(Z19,'אשכול חברתי מעודכן'!$A:$B,2,0),0)</f>
        <v>0</v>
      </c>
      <c r="AA372" s="1">
        <f>+IFERROR(VLOOKUP(AA19,'אשכול חברתי מעודכן'!$A:$B,2,0),0)</f>
        <v>0</v>
      </c>
      <c r="AB372" s="1">
        <f>+IFERROR(VLOOKUP(AB19,'אשכול חברתי מעודכן'!$A:$B,2,0),0)</f>
        <v>0</v>
      </c>
      <c r="AC372" s="1">
        <f>+IFERROR(VLOOKUP(AC19,'אשכול חברתי מעודכן'!$A:$B,2,0),0)</f>
        <v>0</v>
      </c>
      <c r="AD372" s="1">
        <f>+IFERROR(VLOOKUP(AD19,'אשכול חברתי מעודכן'!$A:$B,2,0),0)</f>
        <v>0</v>
      </c>
      <c r="AE372" s="1">
        <f>+IFERROR(VLOOKUP(AE19,'אשכול חברתי מעודכן'!$A:$B,2,0),0)</f>
        <v>0</v>
      </c>
      <c r="AF372" s="1">
        <f>+IFERROR(VLOOKUP(AF19,'אשכול חברתי מעודכן'!$A:$B,2,0),0)</f>
        <v>0</v>
      </c>
      <c r="AG372" s="1">
        <f>+IFERROR(VLOOKUP(AG19,'אשכול חברתי מעודכן'!$A:$B,2,0),0)</f>
        <v>0</v>
      </c>
      <c r="AH372" s="1">
        <f>+IFERROR(VLOOKUP(AH19,'אשכול חברתי מעודכן'!$A:$B,2,0),0)</f>
        <v>0</v>
      </c>
      <c r="AI372" s="1">
        <f>+IFERROR(VLOOKUP(AI19,'אשכול חברתי מעודכן'!$A:$B,2,0),0)</f>
        <v>0</v>
      </c>
      <c r="AJ372" s="1">
        <f>+IFERROR(VLOOKUP(AJ19,'אשכול חברתי מעודכן'!$A:$B,2,0),0)</f>
        <v>0</v>
      </c>
      <c r="AK372" s="1">
        <f>+IFERROR(VLOOKUP(AK19,'אשכול חברתי מעודכן'!$A:$B,2,0),0)</f>
        <v>0</v>
      </c>
      <c r="AL372" s="1">
        <f>+IFERROR(VLOOKUP(AL19,'אשכול חברתי מעודכן'!$A:$B,2,0),0)</f>
        <v>0</v>
      </c>
      <c r="AM372" s="1">
        <f>+IFERROR(VLOOKUP(AM19,'אשכול חברתי מעודכן'!$A:$B,2,0),0)</f>
        <v>0</v>
      </c>
      <c r="AN372" s="1">
        <f>+IFERROR(VLOOKUP(AN19,'אשכול חברתי מעודכן'!$A:$B,2,0),0)</f>
        <v>0</v>
      </c>
      <c r="AO372" s="1">
        <f>+IFERROR(VLOOKUP(AO19,'אשכול חברתי מעודכן'!$A:$B,2,0),0)</f>
        <v>0</v>
      </c>
      <c r="AP372" s="1">
        <f>+IFERROR(VLOOKUP(AP19,'אשכול חברתי מעודכן'!$A:$B,2,0),0)</f>
        <v>0</v>
      </c>
      <c r="AQ372" s="1">
        <f>+IFERROR(VLOOKUP(AQ19,'אשכול חברתי מעודכן'!$A:$B,2,0),0)</f>
        <v>0</v>
      </c>
      <c r="AR372" s="1">
        <f>+IFERROR(VLOOKUP(AR19,'אשכול חברתי מעודכן'!$A:$B,2,0),0)</f>
        <v>0</v>
      </c>
      <c r="AS372" s="1">
        <f>+IFERROR(VLOOKUP(AS19,'אשכול חברתי מעודכן'!$A:$B,2,0),0)</f>
        <v>0</v>
      </c>
      <c r="AT372" s="1">
        <f>+IFERROR(VLOOKUP(AT19,'אשכול חברתי מעודכן'!$A:$B,2,0),0)</f>
        <v>0</v>
      </c>
      <c r="AU372" s="1">
        <f>+IFERROR(VLOOKUP(AU19,'אשכול חברתי מעודכן'!$A:$B,2,0),0)</f>
        <v>0</v>
      </c>
      <c r="AV372" s="1">
        <f>+IFERROR(VLOOKUP(AV19,'אשכול חברתי מעודכן'!$A:$B,2,0),0)</f>
        <v>0</v>
      </c>
      <c r="AW372" s="1">
        <f>+IFERROR(VLOOKUP(AW19,'אשכול חברתי מעודכן'!$A:$B,2,0),0)</f>
        <v>0</v>
      </c>
      <c r="AX372" s="1">
        <f>+IFERROR(VLOOKUP(AX19,'אשכול חברתי מעודכן'!$A:$B,2,0),0)</f>
        <v>0</v>
      </c>
      <c r="AY372" s="1">
        <f>+IFERROR(VLOOKUP(AY19,'אשכול חברתי מעודכן'!$A:$B,2,0),0)</f>
        <v>0</v>
      </c>
      <c r="AZ372" s="1">
        <f>+IFERROR(VLOOKUP(AZ19,'אשכול חברתי מעודכן'!$A:$B,2,0),0)</f>
        <v>0</v>
      </c>
      <c r="BA372" s="1">
        <f>+IFERROR(VLOOKUP(BA19,'אשכול חברתי מעודכן'!$A:$B,2,0),0)</f>
        <v>0</v>
      </c>
      <c r="BB372" s="1">
        <f>+IFERROR(VLOOKUP(BB19,'אשכול חברתי מעודכן'!$A:$B,2,0),0)</f>
        <v>0</v>
      </c>
      <c r="BC372" s="1">
        <f>+IFERROR(VLOOKUP(BC19,'אשכול חברתי מעודכן'!$A:$B,2,0),0)</f>
        <v>0</v>
      </c>
      <c r="BD372" s="1">
        <f>+IFERROR(VLOOKUP(BD19,'אשכול חברתי מעודכן'!$A:$B,2,0),0)</f>
        <v>0</v>
      </c>
      <c r="BE372" s="1">
        <f>+IFERROR(VLOOKUP(BE19,'אשכול חברתי מעודכן'!$A:$B,2,0),0)</f>
        <v>0</v>
      </c>
      <c r="BF372" s="1">
        <f>+IFERROR(VLOOKUP(BF19,'אשכול חברתי מעודכן'!$A:$B,2,0),0)</f>
        <v>0</v>
      </c>
    </row>
    <row r="373" spans="2:58" x14ac:dyDescent="0.2">
      <c r="B373" s="1">
        <v>13</v>
      </c>
      <c r="C373" s="1">
        <f>+IFERROR(VLOOKUP(C20,'אשכול חברתי מעודכן'!$A:$B,2,0),0)</f>
        <v>0</v>
      </c>
      <c r="D373" s="1">
        <f>+IFERROR(VLOOKUP(D20,'אשכול חברתי מעודכן'!$A:$B,2,0),0)</f>
        <v>0</v>
      </c>
      <c r="E373" s="1">
        <f>+IFERROR(VLOOKUP(E20,'אשכול חברתי מעודכן'!$A:$B,2,0),0)</f>
        <v>0</v>
      </c>
      <c r="F373" s="1">
        <f>+IFERROR(VLOOKUP(F20,'אשכול חברתי מעודכן'!$A:$B,2,0),0)</f>
        <v>0</v>
      </c>
      <c r="G373" s="1">
        <f>+IFERROR(VLOOKUP(G20,'אשכול חברתי מעודכן'!$A:$B,2,0),0)</f>
        <v>0</v>
      </c>
      <c r="H373" s="1">
        <f>+IFERROR(VLOOKUP(H20,'אשכול חברתי מעודכן'!$A:$B,2,0),0)</f>
        <v>0</v>
      </c>
      <c r="I373" s="1">
        <f>+IFERROR(VLOOKUP(I20,'אשכול חברתי מעודכן'!$A:$B,2,0),0)</f>
        <v>0</v>
      </c>
      <c r="J373" s="1">
        <f>+IFERROR(VLOOKUP(J20,'אשכול חברתי מעודכן'!$A:$B,2,0),0)</f>
        <v>0</v>
      </c>
      <c r="K373" s="1">
        <f>+IFERROR(VLOOKUP(K20,'אשכול חברתי מעודכן'!$A:$B,2,0),0)</f>
        <v>0</v>
      </c>
      <c r="L373" s="1">
        <f>+IFERROR(VLOOKUP(L20,'אשכול חברתי מעודכן'!$A:$B,2,0),0)</f>
        <v>0</v>
      </c>
      <c r="M373" s="1">
        <f>+IFERROR(VLOOKUP(M20,'אשכול חברתי מעודכן'!$A:$B,2,0),0)</f>
        <v>0</v>
      </c>
      <c r="N373" s="1">
        <f>+IFERROR(VLOOKUP(N20,'אשכול חברתי מעודכן'!$A:$B,2,0),0)</f>
        <v>0</v>
      </c>
      <c r="O373" s="1">
        <f>+IFERROR(VLOOKUP(O20,'אשכול חברתי מעודכן'!$A:$B,2,0),0)</f>
        <v>0</v>
      </c>
      <c r="P373" s="1">
        <f>+IFERROR(VLOOKUP(P20,'אשכול חברתי מעודכן'!$A:$B,2,0),0)</f>
        <v>2</v>
      </c>
      <c r="Q373" s="1">
        <f>+IFERROR(VLOOKUP(Q20,'אשכול חברתי מעודכן'!$A:$B,2,0),0)</f>
        <v>0</v>
      </c>
      <c r="R373" s="1">
        <f>+IFERROR(VLOOKUP(R20,'אשכול חברתי מעודכן'!$A:$B,2,0),0)</f>
        <v>0</v>
      </c>
      <c r="S373" s="1">
        <f>+IFERROR(VLOOKUP(S20,'אשכול חברתי מעודכן'!$A:$B,2,0),0)</f>
        <v>0</v>
      </c>
      <c r="T373" s="1">
        <f>+IFERROR(VLOOKUP(T20,'אשכול חברתי מעודכן'!$A:$B,2,0),0)</f>
        <v>0</v>
      </c>
      <c r="U373" s="1">
        <f>+IFERROR(VLOOKUP(U20,'אשכול חברתי מעודכן'!$A:$B,2,0),0)</f>
        <v>0</v>
      </c>
      <c r="V373" s="1">
        <f>+IFERROR(VLOOKUP(V20,'אשכול חברתי מעודכן'!$A:$B,2,0),0)</f>
        <v>0</v>
      </c>
      <c r="W373" s="1">
        <f>+IFERROR(VLOOKUP(W20,'אשכול חברתי מעודכן'!$A:$B,2,0),0)</f>
        <v>0</v>
      </c>
      <c r="X373" s="1">
        <f>+IFERROR(VLOOKUP(X20,'אשכול חברתי מעודכן'!$A:$B,2,0),0)</f>
        <v>0</v>
      </c>
      <c r="Y373" s="1">
        <f>+IFERROR(VLOOKUP(Y20,'אשכול חברתי מעודכן'!$A:$B,2,0),0)</f>
        <v>0</v>
      </c>
      <c r="Z373" s="1">
        <f>+IFERROR(VLOOKUP(Z20,'אשכול חברתי מעודכן'!$A:$B,2,0),0)</f>
        <v>0</v>
      </c>
      <c r="AA373" s="1">
        <f>+IFERROR(VLOOKUP(AA20,'אשכול חברתי מעודכן'!$A:$B,2,0),0)</f>
        <v>0</v>
      </c>
      <c r="AB373" s="1">
        <f>+IFERROR(VLOOKUP(AB20,'אשכול חברתי מעודכן'!$A:$B,2,0),0)</f>
        <v>0</v>
      </c>
      <c r="AC373" s="1">
        <f>+IFERROR(VLOOKUP(AC20,'אשכול חברתי מעודכן'!$A:$B,2,0),0)</f>
        <v>0</v>
      </c>
      <c r="AD373" s="1">
        <f>+IFERROR(VLOOKUP(AD20,'אשכול חברתי מעודכן'!$A:$B,2,0),0)</f>
        <v>0</v>
      </c>
      <c r="AE373" s="1">
        <f>+IFERROR(VLOOKUP(AE20,'אשכול חברתי מעודכן'!$A:$B,2,0),0)</f>
        <v>0</v>
      </c>
      <c r="AF373" s="1">
        <f>+IFERROR(VLOOKUP(AF20,'אשכול חברתי מעודכן'!$A:$B,2,0),0)</f>
        <v>0</v>
      </c>
      <c r="AG373" s="1">
        <f>+IFERROR(VLOOKUP(AG20,'אשכול חברתי מעודכן'!$A:$B,2,0),0)</f>
        <v>0</v>
      </c>
      <c r="AH373" s="1">
        <f>+IFERROR(VLOOKUP(AH20,'אשכול חברתי מעודכן'!$A:$B,2,0),0)</f>
        <v>0</v>
      </c>
      <c r="AI373" s="1">
        <f>+IFERROR(VLOOKUP(AI20,'אשכול חברתי מעודכן'!$A:$B,2,0),0)</f>
        <v>0</v>
      </c>
      <c r="AJ373" s="1">
        <f>+IFERROR(VLOOKUP(AJ20,'אשכול חברתי מעודכן'!$A:$B,2,0),0)</f>
        <v>0</v>
      </c>
      <c r="AK373" s="1">
        <f>+IFERROR(VLOOKUP(AK20,'אשכול חברתי מעודכן'!$A:$B,2,0),0)</f>
        <v>0</v>
      </c>
      <c r="AL373" s="1">
        <f>+IFERROR(VLOOKUP(AL20,'אשכול חברתי מעודכן'!$A:$B,2,0),0)</f>
        <v>0</v>
      </c>
      <c r="AM373" s="1">
        <f>+IFERROR(VLOOKUP(AM20,'אשכול חברתי מעודכן'!$A:$B,2,0),0)</f>
        <v>0</v>
      </c>
      <c r="AN373" s="1">
        <f>+IFERROR(VLOOKUP(AN20,'אשכול חברתי מעודכן'!$A:$B,2,0),0)</f>
        <v>0</v>
      </c>
      <c r="AO373" s="1">
        <f>+IFERROR(VLOOKUP(AO20,'אשכול חברתי מעודכן'!$A:$B,2,0),0)</f>
        <v>0</v>
      </c>
      <c r="AP373" s="1">
        <f>+IFERROR(VLOOKUP(AP20,'אשכול חברתי מעודכן'!$A:$B,2,0),0)</f>
        <v>0</v>
      </c>
      <c r="AQ373" s="1">
        <f>+IFERROR(VLOOKUP(AQ20,'אשכול חברתי מעודכן'!$A:$B,2,0),0)</f>
        <v>0</v>
      </c>
      <c r="AR373" s="1">
        <f>+IFERROR(VLOOKUP(AR20,'אשכול חברתי מעודכן'!$A:$B,2,0),0)</f>
        <v>0</v>
      </c>
      <c r="AS373" s="1">
        <f>+IFERROR(VLOOKUP(AS20,'אשכול חברתי מעודכן'!$A:$B,2,0),0)</f>
        <v>0</v>
      </c>
      <c r="AT373" s="1">
        <f>+IFERROR(VLOOKUP(AT20,'אשכול חברתי מעודכן'!$A:$B,2,0),0)</f>
        <v>0</v>
      </c>
      <c r="AU373" s="1">
        <f>+IFERROR(VLOOKUP(AU20,'אשכול חברתי מעודכן'!$A:$B,2,0),0)</f>
        <v>0</v>
      </c>
      <c r="AV373" s="1">
        <f>+IFERROR(VLOOKUP(AV20,'אשכול חברתי מעודכן'!$A:$B,2,0),0)</f>
        <v>0</v>
      </c>
      <c r="AW373" s="1">
        <f>+IFERROR(VLOOKUP(AW20,'אשכול חברתי מעודכן'!$A:$B,2,0),0)</f>
        <v>0</v>
      </c>
      <c r="AX373" s="1">
        <f>+IFERROR(VLOOKUP(AX20,'אשכול חברתי מעודכן'!$A:$B,2,0),0)</f>
        <v>0</v>
      </c>
      <c r="AY373" s="1">
        <f>+IFERROR(VLOOKUP(AY20,'אשכול חברתי מעודכן'!$A:$B,2,0),0)</f>
        <v>0</v>
      </c>
      <c r="AZ373" s="1">
        <f>+IFERROR(VLOOKUP(AZ20,'אשכול חברתי מעודכן'!$A:$B,2,0),0)</f>
        <v>0</v>
      </c>
      <c r="BA373" s="1">
        <f>+IFERROR(VLOOKUP(BA20,'אשכול חברתי מעודכן'!$A:$B,2,0),0)</f>
        <v>0</v>
      </c>
      <c r="BB373" s="1">
        <f>+IFERROR(VLOOKUP(BB20,'אשכול חברתי מעודכן'!$A:$B,2,0),0)</f>
        <v>0</v>
      </c>
      <c r="BC373" s="1">
        <f>+IFERROR(VLOOKUP(BC20,'אשכול חברתי מעודכן'!$A:$B,2,0),0)</f>
        <v>0</v>
      </c>
      <c r="BD373" s="1">
        <f>+IFERROR(VLOOKUP(BD20,'אשכול חברתי מעודכן'!$A:$B,2,0),0)</f>
        <v>0</v>
      </c>
      <c r="BE373" s="1">
        <f>+IFERROR(VLOOKUP(BE20,'אשכול חברתי מעודכן'!$A:$B,2,0),0)</f>
        <v>0</v>
      </c>
      <c r="BF373" s="1">
        <f>+IFERROR(VLOOKUP(BF20,'אשכול חברתי מעודכן'!$A:$B,2,0),0)</f>
        <v>0</v>
      </c>
    </row>
    <row r="374" spans="2:58" x14ac:dyDescent="0.2">
      <c r="B374" s="1">
        <v>14</v>
      </c>
      <c r="C374" s="1">
        <f>+IFERROR(VLOOKUP(C21,'אשכול חברתי מעודכן'!$A:$B,2,0),0)</f>
        <v>0</v>
      </c>
      <c r="D374" s="1">
        <f>+IFERROR(VLOOKUP(D21,'אשכול חברתי מעודכן'!$A:$B,2,0),0)</f>
        <v>0</v>
      </c>
      <c r="E374" s="1">
        <f>+IFERROR(VLOOKUP(E21,'אשכול חברתי מעודכן'!$A:$B,2,0),0)</f>
        <v>0</v>
      </c>
      <c r="F374" s="1">
        <f>+IFERROR(VLOOKUP(F21,'אשכול חברתי מעודכן'!$A:$B,2,0),0)</f>
        <v>0</v>
      </c>
      <c r="G374" s="1">
        <f>+IFERROR(VLOOKUP(G21,'אשכול חברתי מעודכן'!$A:$B,2,0),0)</f>
        <v>0</v>
      </c>
      <c r="H374" s="1">
        <f>+IFERROR(VLOOKUP(H21,'אשכול חברתי מעודכן'!$A:$B,2,0),0)</f>
        <v>0</v>
      </c>
      <c r="I374" s="1">
        <f>+IFERROR(VLOOKUP(I21,'אשכול חברתי מעודכן'!$A:$B,2,0),0)</f>
        <v>0</v>
      </c>
      <c r="J374" s="1">
        <f>+IFERROR(VLOOKUP(J21,'אשכול חברתי מעודכן'!$A:$B,2,0),0)</f>
        <v>0</v>
      </c>
      <c r="K374" s="1">
        <f>+IFERROR(VLOOKUP(K21,'אשכול חברתי מעודכן'!$A:$B,2,0),0)</f>
        <v>0</v>
      </c>
      <c r="L374" s="1">
        <f>+IFERROR(VLOOKUP(L21,'אשכול חברתי מעודכן'!$A:$B,2,0),0)</f>
        <v>0</v>
      </c>
      <c r="M374" s="1">
        <f>+IFERROR(VLOOKUP(M21,'אשכול חברתי מעודכן'!$A:$B,2,0),0)</f>
        <v>0</v>
      </c>
      <c r="N374" s="1">
        <f>+IFERROR(VLOOKUP(N21,'אשכול חברתי מעודכן'!$A:$B,2,0),0)</f>
        <v>0</v>
      </c>
      <c r="O374" s="1">
        <f>+IFERROR(VLOOKUP(O21,'אשכול חברתי מעודכן'!$A:$B,2,0),0)</f>
        <v>0</v>
      </c>
      <c r="P374" s="1">
        <f>+IFERROR(VLOOKUP(P21,'אשכול חברתי מעודכן'!$A:$B,2,0),0)</f>
        <v>0</v>
      </c>
      <c r="Q374" s="1">
        <f>+IFERROR(VLOOKUP(Q21,'אשכול חברתי מעודכן'!$A:$B,2,0),0)</f>
        <v>0</v>
      </c>
      <c r="R374" s="1">
        <f>+IFERROR(VLOOKUP(R21,'אשכול חברתי מעודכן'!$A:$B,2,0),0)</f>
        <v>0</v>
      </c>
      <c r="S374" s="1">
        <f>+IFERROR(VLOOKUP(S21,'אשכול חברתי מעודכן'!$A:$B,2,0),0)</f>
        <v>0</v>
      </c>
      <c r="T374" s="1">
        <f>+IFERROR(VLOOKUP(T21,'אשכול חברתי מעודכן'!$A:$B,2,0),0)</f>
        <v>0</v>
      </c>
      <c r="U374" s="1">
        <f>+IFERROR(VLOOKUP(U21,'אשכול חברתי מעודכן'!$A:$B,2,0),0)</f>
        <v>0</v>
      </c>
      <c r="V374" s="1">
        <f>+IFERROR(VLOOKUP(V21,'אשכול חברתי מעודכן'!$A:$B,2,0),0)</f>
        <v>0</v>
      </c>
      <c r="W374" s="1">
        <f>+IFERROR(VLOOKUP(W21,'אשכול חברתי מעודכן'!$A:$B,2,0),0)</f>
        <v>0</v>
      </c>
      <c r="X374" s="1">
        <f>+IFERROR(VLOOKUP(X21,'אשכול חברתי מעודכן'!$A:$B,2,0),0)</f>
        <v>0</v>
      </c>
      <c r="Y374" s="1">
        <f>+IFERROR(VLOOKUP(Y21,'אשכול חברתי מעודכן'!$A:$B,2,0),0)</f>
        <v>0</v>
      </c>
      <c r="Z374" s="1">
        <f>+IFERROR(VLOOKUP(Z21,'אשכול חברתי מעודכן'!$A:$B,2,0),0)</f>
        <v>0</v>
      </c>
      <c r="AA374" s="1">
        <f>+IFERROR(VLOOKUP(AA21,'אשכול חברתי מעודכן'!$A:$B,2,0),0)</f>
        <v>0</v>
      </c>
      <c r="AB374" s="1">
        <f>+IFERROR(VLOOKUP(AB21,'אשכול חברתי מעודכן'!$A:$B,2,0),0)</f>
        <v>0</v>
      </c>
      <c r="AC374" s="1">
        <f>+IFERROR(VLOOKUP(AC21,'אשכול חברתי מעודכן'!$A:$B,2,0),0)</f>
        <v>0</v>
      </c>
      <c r="AD374" s="1">
        <f>+IFERROR(VLOOKUP(AD21,'אשכול חברתי מעודכן'!$A:$B,2,0),0)</f>
        <v>0</v>
      </c>
      <c r="AE374" s="1">
        <f>+IFERROR(VLOOKUP(AE21,'אשכול חברתי מעודכן'!$A:$B,2,0),0)</f>
        <v>0</v>
      </c>
      <c r="AF374" s="1">
        <f>+IFERROR(VLOOKUP(AF21,'אשכול חברתי מעודכן'!$A:$B,2,0),0)</f>
        <v>0</v>
      </c>
      <c r="AG374" s="1">
        <f>+IFERROR(VLOOKUP(AG21,'אשכול חברתי מעודכן'!$A:$B,2,0),0)</f>
        <v>0</v>
      </c>
      <c r="AH374" s="1">
        <f>+IFERROR(VLOOKUP(AH21,'אשכול חברתי מעודכן'!$A:$B,2,0),0)</f>
        <v>0</v>
      </c>
      <c r="AI374" s="1">
        <f>+IFERROR(VLOOKUP(AI21,'אשכול חברתי מעודכן'!$A:$B,2,0),0)</f>
        <v>0</v>
      </c>
      <c r="AJ374" s="1">
        <f>+IFERROR(VLOOKUP(AJ21,'אשכול חברתי מעודכן'!$A:$B,2,0),0)</f>
        <v>0</v>
      </c>
      <c r="AK374" s="1">
        <f>+IFERROR(VLOOKUP(AK21,'אשכול חברתי מעודכן'!$A:$B,2,0),0)</f>
        <v>0</v>
      </c>
      <c r="AL374" s="1">
        <f>+IFERROR(VLOOKUP(AL21,'אשכול חברתי מעודכן'!$A:$B,2,0),0)</f>
        <v>0</v>
      </c>
      <c r="AM374" s="1">
        <f>+IFERROR(VLOOKUP(AM21,'אשכול חברתי מעודכן'!$A:$B,2,0),0)</f>
        <v>0</v>
      </c>
      <c r="AN374" s="1">
        <f>+IFERROR(VLOOKUP(AN21,'אשכול חברתי מעודכן'!$A:$B,2,0),0)</f>
        <v>0</v>
      </c>
      <c r="AO374" s="1">
        <f>+IFERROR(VLOOKUP(AO21,'אשכול חברתי מעודכן'!$A:$B,2,0),0)</f>
        <v>0</v>
      </c>
      <c r="AP374" s="1">
        <f>+IFERROR(VLOOKUP(AP21,'אשכול חברתי מעודכן'!$A:$B,2,0),0)</f>
        <v>0</v>
      </c>
      <c r="AQ374" s="1">
        <f>+IFERROR(VLOOKUP(AQ21,'אשכול חברתי מעודכן'!$A:$B,2,0),0)</f>
        <v>0</v>
      </c>
      <c r="AR374" s="1">
        <f>+IFERROR(VLOOKUP(AR21,'אשכול חברתי מעודכן'!$A:$B,2,0),0)</f>
        <v>0</v>
      </c>
      <c r="AS374" s="1">
        <f>+IFERROR(VLOOKUP(AS21,'אשכול חברתי מעודכן'!$A:$B,2,0),0)</f>
        <v>0</v>
      </c>
      <c r="AT374" s="1">
        <f>+IFERROR(VLOOKUP(AT21,'אשכול חברתי מעודכן'!$A:$B,2,0),0)</f>
        <v>0</v>
      </c>
      <c r="AU374" s="1">
        <f>+IFERROR(VLOOKUP(AU21,'אשכול חברתי מעודכן'!$A:$B,2,0),0)</f>
        <v>0</v>
      </c>
      <c r="AV374" s="1">
        <f>+IFERROR(VLOOKUP(AV21,'אשכול חברתי מעודכן'!$A:$B,2,0),0)</f>
        <v>0</v>
      </c>
      <c r="AW374" s="1">
        <f>+IFERROR(VLOOKUP(AW21,'אשכול חברתי מעודכן'!$A:$B,2,0),0)</f>
        <v>0</v>
      </c>
      <c r="AX374" s="1">
        <f>+IFERROR(VLOOKUP(AX21,'אשכול חברתי מעודכן'!$A:$B,2,0),0)</f>
        <v>0</v>
      </c>
      <c r="AY374" s="1">
        <f>+IFERROR(VLOOKUP(AY21,'אשכול חברתי מעודכן'!$A:$B,2,0),0)</f>
        <v>0</v>
      </c>
      <c r="AZ374" s="1">
        <f>+IFERROR(VLOOKUP(AZ21,'אשכול חברתי מעודכן'!$A:$B,2,0),0)</f>
        <v>0</v>
      </c>
      <c r="BA374" s="1">
        <f>+IFERROR(VLOOKUP(BA21,'אשכול חברתי מעודכן'!$A:$B,2,0),0)</f>
        <v>0</v>
      </c>
      <c r="BB374" s="1">
        <f>+IFERROR(VLOOKUP(BB21,'אשכול חברתי מעודכן'!$A:$B,2,0),0)</f>
        <v>0</v>
      </c>
      <c r="BC374" s="1">
        <f>+IFERROR(VLOOKUP(BC21,'אשכול חברתי מעודכן'!$A:$B,2,0),0)</f>
        <v>0</v>
      </c>
      <c r="BD374" s="1">
        <f>+IFERROR(VLOOKUP(BD21,'אשכול חברתי מעודכן'!$A:$B,2,0),0)</f>
        <v>0</v>
      </c>
      <c r="BE374" s="1">
        <f>+IFERROR(VLOOKUP(BE21,'אשכול חברתי מעודכן'!$A:$B,2,0),0)</f>
        <v>0</v>
      </c>
      <c r="BF374" s="1">
        <f>+IFERROR(VLOOKUP(BF21,'אשכול חברתי מעודכן'!$A:$B,2,0),0)</f>
        <v>0</v>
      </c>
    </row>
    <row r="375" spans="2:58" x14ac:dyDescent="0.2">
      <c r="B375" s="1">
        <v>15</v>
      </c>
      <c r="C375" s="1">
        <f>+IFERROR(VLOOKUP(C22,'אשכול חברתי מעודכן'!$A:$B,2,0),0)</f>
        <v>0</v>
      </c>
      <c r="D375" s="1">
        <f>+IFERROR(VLOOKUP(D22,'אשכול חברתי מעודכן'!$A:$B,2,0),0)</f>
        <v>0</v>
      </c>
      <c r="E375" s="1">
        <f>+IFERROR(VLOOKUP(E22,'אשכול חברתי מעודכן'!$A:$B,2,0),0)</f>
        <v>0</v>
      </c>
      <c r="F375" s="1">
        <f>+IFERROR(VLOOKUP(F22,'אשכול חברתי מעודכן'!$A:$B,2,0),0)</f>
        <v>0</v>
      </c>
      <c r="G375" s="1">
        <f>+IFERROR(VLOOKUP(G22,'אשכול חברתי מעודכן'!$A:$B,2,0),0)</f>
        <v>0</v>
      </c>
      <c r="H375" s="1">
        <f>+IFERROR(VLOOKUP(H22,'אשכול חברתי מעודכן'!$A:$B,2,0),0)</f>
        <v>0</v>
      </c>
      <c r="I375" s="1">
        <f>+IFERROR(VLOOKUP(I22,'אשכול חברתי מעודכן'!$A:$B,2,0),0)</f>
        <v>0</v>
      </c>
      <c r="J375" s="1">
        <f>+IFERROR(VLOOKUP(J22,'אשכול חברתי מעודכן'!$A:$B,2,0),0)</f>
        <v>0</v>
      </c>
      <c r="K375" s="1">
        <f>+IFERROR(VLOOKUP(K22,'אשכול חברתי מעודכן'!$A:$B,2,0),0)</f>
        <v>0</v>
      </c>
      <c r="L375" s="1">
        <f>+IFERROR(VLOOKUP(L22,'אשכול חברתי מעודכן'!$A:$B,2,0),0)</f>
        <v>0</v>
      </c>
      <c r="M375" s="1">
        <f>+IFERROR(VLOOKUP(M22,'אשכול חברתי מעודכן'!$A:$B,2,0),0)</f>
        <v>0</v>
      </c>
      <c r="N375" s="1">
        <f>+IFERROR(VLOOKUP(N22,'אשכול חברתי מעודכן'!$A:$B,2,0),0)</f>
        <v>0</v>
      </c>
      <c r="O375" s="1">
        <f>+IFERROR(VLOOKUP(O22,'אשכול חברתי מעודכן'!$A:$B,2,0),0)</f>
        <v>0</v>
      </c>
      <c r="P375" s="1">
        <f>+IFERROR(VLOOKUP(P22,'אשכול חברתי מעודכן'!$A:$B,2,0),0)</f>
        <v>0</v>
      </c>
      <c r="Q375" s="1">
        <f>+IFERROR(VLOOKUP(Q22,'אשכול חברתי מעודכן'!$A:$B,2,0),0)</f>
        <v>0</v>
      </c>
      <c r="R375" s="1">
        <f>+IFERROR(VLOOKUP(R22,'אשכול חברתי מעודכן'!$A:$B,2,0),0)</f>
        <v>0</v>
      </c>
      <c r="S375" s="1">
        <f>+IFERROR(VLOOKUP(S22,'אשכול חברתי מעודכן'!$A:$B,2,0),0)</f>
        <v>0</v>
      </c>
      <c r="T375" s="1">
        <f>+IFERROR(VLOOKUP(T22,'אשכול חברתי מעודכן'!$A:$B,2,0),0)</f>
        <v>0</v>
      </c>
      <c r="U375" s="1">
        <f>+IFERROR(VLOOKUP(U22,'אשכול חברתי מעודכן'!$A:$B,2,0),0)</f>
        <v>0</v>
      </c>
      <c r="V375" s="1">
        <f>+IFERROR(VLOOKUP(V22,'אשכול חברתי מעודכן'!$A:$B,2,0),0)</f>
        <v>0</v>
      </c>
      <c r="W375" s="1">
        <f>+IFERROR(VLOOKUP(W22,'אשכול חברתי מעודכן'!$A:$B,2,0),0)</f>
        <v>0</v>
      </c>
      <c r="X375" s="1">
        <f>+IFERROR(VLOOKUP(X22,'אשכול חברתי מעודכן'!$A:$B,2,0),0)</f>
        <v>0</v>
      </c>
      <c r="Y375" s="1">
        <f>+IFERROR(VLOOKUP(Y22,'אשכול חברתי מעודכן'!$A:$B,2,0),0)</f>
        <v>0</v>
      </c>
      <c r="Z375" s="1">
        <f>+IFERROR(VLOOKUP(Z22,'אשכול חברתי מעודכן'!$A:$B,2,0),0)</f>
        <v>0</v>
      </c>
      <c r="AA375" s="1">
        <f>+IFERROR(VLOOKUP(AA22,'אשכול חברתי מעודכן'!$A:$B,2,0),0)</f>
        <v>0</v>
      </c>
      <c r="AB375" s="1">
        <f>+IFERROR(VLOOKUP(AB22,'אשכול חברתי מעודכן'!$A:$B,2,0),0)</f>
        <v>0</v>
      </c>
      <c r="AC375" s="1">
        <f>+IFERROR(VLOOKUP(AC22,'אשכול חברתי מעודכן'!$A:$B,2,0),0)</f>
        <v>0</v>
      </c>
      <c r="AD375" s="1">
        <f>+IFERROR(VLOOKUP(AD22,'אשכול חברתי מעודכן'!$A:$B,2,0),0)</f>
        <v>0</v>
      </c>
      <c r="AE375" s="1">
        <f>+IFERROR(VLOOKUP(AE22,'אשכול חברתי מעודכן'!$A:$B,2,0),0)</f>
        <v>0</v>
      </c>
      <c r="AF375" s="1">
        <f>+IFERROR(VLOOKUP(AF22,'אשכול חברתי מעודכן'!$A:$B,2,0),0)</f>
        <v>0</v>
      </c>
      <c r="AG375" s="1">
        <f>+IFERROR(VLOOKUP(AG22,'אשכול חברתי מעודכן'!$A:$B,2,0),0)</f>
        <v>0</v>
      </c>
      <c r="AH375" s="1">
        <f>+IFERROR(VLOOKUP(AH22,'אשכול חברתי מעודכן'!$A:$B,2,0),0)</f>
        <v>0</v>
      </c>
      <c r="AI375" s="1">
        <f>+IFERROR(VLOOKUP(AI22,'אשכול חברתי מעודכן'!$A:$B,2,0),0)</f>
        <v>0</v>
      </c>
      <c r="AJ375" s="1">
        <f>+IFERROR(VLOOKUP(AJ22,'אשכול חברתי מעודכן'!$A:$B,2,0),0)</f>
        <v>0</v>
      </c>
      <c r="AK375" s="1">
        <f>+IFERROR(VLOOKUP(AK22,'אשכול חברתי מעודכן'!$A:$B,2,0),0)</f>
        <v>0</v>
      </c>
      <c r="AL375" s="1">
        <f>+IFERROR(VLOOKUP(AL22,'אשכול חברתי מעודכן'!$A:$B,2,0),0)</f>
        <v>0</v>
      </c>
      <c r="AM375" s="1">
        <f>+IFERROR(VLOOKUP(AM22,'אשכול חברתי מעודכן'!$A:$B,2,0),0)</f>
        <v>0</v>
      </c>
      <c r="AN375" s="1">
        <f>+IFERROR(VLOOKUP(AN22,'אשכול חברתי מעודכן'!$A:$B,2,0),0)</f>
        <v>0</v>
      </c>
      <c r="AO375" s="1">
        <f>+IFERROR(VLOOKUP(AO22,'אשכול חברתי מעודכן'!$A:$B,2,0),0)</f>
        <v>0</v>
      </c>
      <c r="AP375" s="1">
        <f>+IFERROR(VLOOKUP(AP22,'אשכול חברתי מעודכן'!$A:$B,2,0),0)</f>
        <v>0</v>
      </c>
      <c r="AQ375" s="1">
        <f>+IFERROR(VLOOKUP(AQ22,'אשכול חברתי מעודכן'!$A:$B,2,0),0)</f>
        <v>0</v>
      </c>
      <c r="AR375" s="1">
        <f>+IFERROR(VLOOKUP(AR22,'אשכול חברתי מעודכן'!$A:$B,2,0),0)</f>
        <v>0</v>
      </c>
      <c r="AS375" s="1">
        <f>+IFERROR(VLOOKUP(AS22,'אשכול חברתי מעודכן'!$A:$B,2,0),0)</f>
        <v>0</v>
      </c>
      <c r="AT375" s="1">
        <f>+IFERROR(VLOOKUP(AT22,'אשכול חברתי מעודכן'!$A:$B,2,0),0)</f>
        <v>0</v>
      </c>
      <c r="AU375" s="1">
        <f>+IFERROR(VLOOKUP(AU22,'אשכול חברתי מעודכן'!$A:$B,2,0),0)</f>
        <v>0</v>
      </c>
      <c r="AV375" s="1">
        <f>+IFERROR(VLOOKUP(AV22,'אשכול חברתי מעודכן'!$A:$B,2,0),0)</f>
        <v>0</v>
      </c>
      <c r="AW375" s="1">
        <f>+IFERROR(VLOOKUP(AW22,'אשכול חברתי מעודכן'!$A:$B,2,0),0)</f>
        <v>0</v>
      </c>
      <c r="AX375" s="1">
        <f>+IFERROR(VLOOKUP(AX22,'אשכול חברתי מעודכן'!$A:$B,2,0),0)</f>
        <v>0</v>
      </c>
      <c r="AY375" s="1">
        <f>+IFERROR(VLOOKUP(AY22,'אשכול חברתי מעודכן'!$A:$B,2,0),0)</f>
        <v>0</v>
      </c>
      <c r="AZ375" s="1">
        <f>+IFERROR(VLOOKUP(AZ22,'אשכול חברתי מעודכן'!$A:$B,2,0),0)</f>
        <v>0</v>
      </c>
      <c r="BA375" s="1">
        <f>+IFERROR(VLOOKUP(BA22,'אשכול חברתי מעודכן'!$A:$B,2,0),0)</f>
        <v>0</v>
      </c>
      <c r="BB375" s="1">
        <f>+IFERROR(VLOOKUP(BB22,'אשכול חברתי מעודכן'!$A:$B,2,0),0)</f>
        <v>0</v>
      </c>
      <c r="BC375" s="1">
        <f>+IFERROR(VLOOKUP(BC22,'אשכול חברתי מעודכן'!$A:$B,2,0),0)</f>
        <v>0</v>
      </c>
      <c r="BD375" s="1">
        <f>+IFERROR(VLOOKUP(BD22,'אשכול חברתי מעודכן'!$A:$B,2,0),0)</f>
        <v>0</v>
      </c>
      <c r="BE375" s="1">
        <f>+IFERROR(VLOOKUP(BE22,'אשכול חברתי מעודכן'!$A:$B,2,0),0)</f>
        <v>0</v>
      </c>
      <c r="BF375" s="1">
        <f>+IFERROR(VLOOKUP(BF22,'אשכול חברתי מעודכן'!$A:$B,2,0),0)</f>
        <v>0</v>
      </c>
    </row>
    <row r="376" spans="2:58" x14ac:dyDescent="0.2">
      <c r="B376" s="1">
        <v>16</v>
      </c>
      <c r="C376" s="1">
        <f>+IFERROR(VLOOKUP(C23,'אשכול חברתי מעודכן'!$A:$B,2,0),0)</f>
        <v>0</v>
      </c>
      <c r="D376" s="1">
        <f>+IFERROR(VLOOKUP(D23,'אשכול חברתי מעודכן'!$A:$B,2,0),0)</f>
        <v>0</v>
      </c>
      <c r="E376" s="1">
        <f>+IFERROR(VLOOKUP(E23,'אשכול חברתי מעודכן'!$A:$B,2,0),0)</f>
        <v>0</v>
      </c>
      <c r="F376" s="1">
        <f>+IFERROR(VLOOKUP(F23,'אשכול חברתי מעודכן'!$A:$B,2,0),0)</f>
        <v>0</v>
      </c>
      <c r="G376" s="1">
        <f>+IFERROR(VLOOKUP(G23,'אשכול חברתי מעודכן'!$A:$B,2,0),0)</f>
        <v>0</v>
      </c>
      <c r="H376" s="1">
        <f>+IFERROR(VLOOKUP(H23,'אשכול חברתי מעודכן'!$A:$B,2,0),0)</f>
        <v>0</v>
      </c>
      <c r="I376" s="1">
        <f>+IFERROR(VLOOKUP(I23,'אשכול חברתי מעודכן'!$A:$B,2,0),0)</f>
        <v>0</v>
      </c>
      <c r="J376" s="1">
        <f>+IFERROR(VLOOKUP(J23,'אשכול חברתי מעודכן'!$A:$B,2,0),0)</f>
        <v>0</v>
      </c>
      <c r="K376" s="1">
        <f>+IFERROR(VLOOKUP(K23,'אשכול חברתי מעודכן'!$A:$B,2,0),0)</f>
        <v>0</v>
      </c>
      <c r="L376" s="1">
        <f>+IFERROR(VLOOKUP(L23,'אשכול חברתי מעודכן'!$A:$B,2,0),0)</f>
        <v>0</v>
      </c>
      <c r="M376" s="1">
        <f>+IFERROR(VLOOKUP(M23,'אשכול חברתי מעודכן'!$A:$B,2,0),0)</f>
        <v>0</v>
      </c>
      <c r="N376" s="1">
        <f>+IFERROR(VLOOKUP(N23,'אשכול חברתי מעודכן'!$A:$B,2,0),0)</f>
        <v>0</v>
      </c>
      <c r="O376" s="1">
        <f>+IFERROR(VLOOKUP(O23,'אשכול חברתי מעודכן'!$A:$B,2,0),0)</f>
        <v>0</v>
      </c>
      <c r="P376" s="1">
        <f>+IFERROR(VLOOKUP(P23,'אשכול חברתי מעודכן'!$A:$B,2,0),0)</f>
        <v>0</v>
      </c>
      <c r="Q376" s="1">
        <f>+IFERROR(VLOOKUP(Q23,'אשכול חברתי מעודכן'!$A:$B,2,0),0)</f>
        <v>0</v>
      </c>
      <c r="R376" s="1">
        <f>+IFERROR(VLOOKUP(R23,'אשכול חברתי מעודכן'!$A:$B,2,0),0)</f>
        <v>0</v>
      </c>
      <c r="S376" s="1">
        <f>+IFERROR(VLOOKUP(S23,'אשכול חברתי מעודכן'!$A:$B,2,0),0)</f>
        <v>0</v>
      </c>
      <c r="T376" s="1">
        <f>+IFERROR(VLOOKUP(T23,'אשכול חברתי מעודכן'!$A:$B,2,0),0)</f>
        <v>0</v>
      </c>
      <c r="U376" s="1">
        <f>+IFERROR(VLOOKUP(U23,'אשכול חברתי מעודכן'!$A:$B,2,0),0)</f>
        <v>0</v>
      </c>
      <c r="V376" s="1">
        <f>+IFERROR(VLOOKUP(V23,'אשכול חברתי מעודכן'!$A:$B,2,0),0)</f>
        <v>0</v>
      </c>
      <c r="W376" s="1">
        <f>+IFERROR(VLOOKUP(W23,'אשכול חברתי מעודכן'!$A:$B,2,0),0)</f>
        <v>0</v>
      </c>
      <c r="X376" s="1">
        <f>+IFERROR(VLOOKUP(X23,'אשכול חברתי מעודכן'!$A:$B,2,0),0)</f>
        <v>0</v>
      </c>
      <c r="Y376" s="1">
        <f>+IFERROR(VLOOKUP(Y23,'אשכול חברתי מעודכן'!$A:$B,2,0),0)</f>
        <v>0</v>
      </c>
      <c r="Z376" s="1">
        <f>+IFERROR(VLOOKUP(Z23,'אשכול חברתי מעודכן'!$A:$B,2,0),0)</f>
        <v>0</v>
      </c>
      <c r="AA376" s="1">
        <f>+IFERROR(VLOOKUP(AA23,'אשכול חברתי מעודכן'!$A:$B,2,0),0)</f>
        <v>0</v>
      </c>
      <c r="AB376" s="1">
        <f>+IFERROR(VLOOKUP(AB23,'אשכול חברתי מעודכן'!$A:$B,2,0),0)</f>
        <v>0</v>
      </c>
      <c r="AC376" s="1">
        <f>+IFERROR(VLOOKUP(AC23,'אשכול חברתי מעודכן'!$A:$B,2,0),0)</f>
        <v>0</v>
      </c>
      <c r="AD376" s="1">
        <f>+IFERROR(VLOOKUP(AD23,'אשכול חברתי מעודכן'!$A:$B,2,0),0)</f>
        <v>0</v>
      </c>
      <c r="AE376" s="1">
        <f>+IFERROR(VLOOKUP(AE23,'אשכול חברתי מעודכן'!$A:$B,2,0),0)</f>
        <v>0</v>
      </c>
      <c r="AF376" s="1">
        <f>+IFERROR(VLOOKUP(AF23,'אשכול חברתי מעודכן'!$A:$B,2,0),0)</f>
        <v>0</v>
      </c>
      <c r="AG376" s="1">
        <f>+IFERROR(VLOOKUP(AG23,'אשכול חברתי מעודכן'!$A:$B,2,0),0)</f>
        <v>0</v>
      </c>
      <c r="AH376" s="1">
        <f>+IFERROR(VLOOKUP(AH23,'אשכול חברתי מעודכן'!$A:$B,2,0),0)</f>
        <v>0</v>
      </c>
      <c r="AI376" s="1">
        <f>+IFERROR(VLOOKUP(AI23,'אשכול חברתי מעודכן'!$A:$B,2,0),0)</f>
        <v>0</v>
      </c>
      <c r="AJ376" s="1">
        <f>+IFERROR(VLOOKUP(AJ23,'אשכול חברתי מעודכן'!$A:$B,2,0),0)</f>
        <v>0</v>
      </c>
      <c r="AK376" s="1">
        <f>+IFERROR(VLOOKUP(AK23,'אשכול חברתי מעודכן'!$A:$B,2,0),0)</f>
        <v>0</v>
      </c>
      <c r="AL376" s="1">
        <f>+IFERROR(VLOOKUP(AL23,'אשכול חברתי מעודכן'!$A:$B,2,0),0)</f>
        <v>0</v>
      </c>
      <c r="AM376" s="1">
        <f>+IFERROR(VLOOKUP(AM23,'אשכול חברתי מעודכן'!$A:$B,2,0),0)</f>
        <v>0</v>
      </c>
      <c r="AN376" s="1">
        <f>+IFERROR(VLOOKUP(AN23,'אשכול חברתי מעודכן'!$A:$B,2,0),0)</f>
        <v>0</v>
      </c>
      <c r="AO376" s="1">
        <f>+IFERROR(VLOOKUP(AO23,'אשכול חברתי מעודכן'!$A:$B,2,0),0)</f>
        <v>0</v>
      </c>
      <c r="AP376" s="1">
        <f>+IFERROR(VLOOKUP(AP23,'אשכול חברתי מעודכן'!$A:$B,2,0),0)</f>
        <v>0</v>
      </c>
      <c r="AQ376" s="1">
        <f>+IFERROR(VLOOKUP(AQ23,'אשכול חברתי מעודכן'!$A:$B,2,0),0)</f>
        <v>0</v>
      </c>
      <c r="AR376" s="1">
        <f>+IFERROR(VLOOKUP(AR23,'אשכול חברתי מעודכן'!$A:$B,2,0),0)</f>
        <v>0</v>
      </c>
      <c r="AS376" s="1">
        <f>+IFERROR(VLOOKUP(AS23,'אשכול חברתי מעודכן'!$A:$B,2,0),0)</f>
        <v>0</v>
      </c>
      <c r="AT376" s="1">
        <f>+IFERROR(VLOOKUP(AT23,'אשכול חברתי מעודכן'!$A:$B,2,0),0)</f>
        <v>0</v>
      </c>
      <c r="AU376" s="1">
        <f>+IFERROR(VLOOKUP(AU23,'אשכול חברתי מעודכן'!$A:$B,2,0),0)</f>
        <v>0</v>
      </c>
      <c r="AV376" s="1">
        <f>+IFERROR(VLOOKUP(AV23,'אשכול חברתי מעודכן'!$A:$B,2,0),0)</f>
        <v>0</v>
      </c>
      <c r="AW376" s="1">
        <f>+IFERROR(VLOOKUP(AW23,'אשכול חברתי מעודכן'!$A:$B,2,0),0)</f>
        <v>0</v>
      </c>
      <c r="AX376" s="1">
        <f>+IFERROR(VLOOKUP(AX23,'אשכול חברתי מעודכן'!$A:$B,2,0),0)</f>
        <v>0</v>
      </c>
      <c r="AY376" s="1">
        <f>+IFERROR(VLOOKUP(AY23,'אשכול חברתי מעודכן'!$A:$B,2,0),0)</f>
        <v>0</v>
      </c>
      <c r="AZ376" s="1">
        <f>+IFERROR(VLOOKUP(AZ23,'אשכול חברתי מעודכן'!$A:$B,2,0),0)</f>
        <v>0</v>
      </c>
      <c r="BA376" s="1">
        <f>+IFERROR(VLOOKUP(BA23,'אשכול חברתי מעודכן'!$A:$B,2,0),0)</f>
        <v>0</v>
      </c>
      <c r="BB376" s="1">
        <f>+IFERROR(VLOOKUP(BB23,'אשכול חברתי מעודכן'!$A:$B,2,0),0)</f>
        <v>0</v>
      </c>
      <c r="BC376" s="1">
        <f>+IFERROR(VLOOKUP(BC23,'אשכול חברתי מעודכן'!$A:$B,2,0),0)</f>
        <v>0</v>
      </c>
      <c r="BD376" s="1">
        <f>+IFERROR(VLOOKUP(BD23,'אשכול חברתי מעודכן'!$A:$B,2,0),0)</f>
        <v>0</v>
      </c>
      <c r="BE376" s="1">
        <f>+IFERROR(VLOOKUP(BE23,'אשכול חברתי מעודכן'!$A:$B,2,0),0)</f>
        <v>0</v>
      </c>
      <c r="BF376" s="1">
        <f>+IFERROR(VLOOKUP(BF23,'אשכול חברתי מעודכן'!$A:$B,2,0),0)</f>
        <v>0</v>
      </c>
    </row>
    <row r="377" spans="2:58" x14ac:dyDescent="0.2">
      <c r="B377" s="1">
        <v>17</v>
      </c>
      <c r="C377" s="1">
        <f>+IFERROR(VLOOKUP(C24,'אשכול חברתי מעודכן'!$A:$B,2,0),0)</f>
        <v>0</v>
      </c>
      <c r="D377" s="1">
        <f>+IFERROR(VLOOKUP(D24,'אשכול חברתי מעודכן'!$A:$B,2,0),0)</f>
        <v>0</v>
      </c>
      <c r="E377" s="1">
        <f>+IFERROR(VLOOKUP(E24,'אשכול חברתי מעודכן'!$A:$B,2,0),0)</f>
        <v>0</v>
      </c>
      <c r="F377" s="1">
        <f>+IFERROR(VLOOKUP(F24,'אשכול חברתי מעודכן'!$A:$B,2,0),0)</f>
        <v>0</v>
      </c>
      <c r="G377" s="1">
        <f>+IFERROR(VLOOKUP(G24,'אשכול חברתי מעודכן'!$A:$B,2,0),0)</f>
        <v>0</v>
      </c>
      <c r="H377" s="1">
        <f>+IFERROR(VLOOKUP(H24,'אשכול חברתי מעודכן'!$A:$B,2,0),0)</f>
        <v>0</v>
      </c>
      <c r="I377" s="1">
        <f>+IFERROR(VLOOKUP(I24,'אשכול חברתי מעודכן'!$A:$B,2,0),0)</f>
        <v>0</v>
      </c>
      <c r="J377" s="1">
        <f>+IFERROR(VLOOKUP(J24,'אשכול חברתי מעודכן'!$A:$B,2,0),0)</f>
        <v>0</v>
      </c>
      <c r="K377" s="1">
        <f>+IFERROR(VLOOKUP(K24,'אשכול חברתי מעודכן'!$A:$B,2,0),0)</f>
        <v>0</v>
      </c>
      <c r="L377" s="1">
        <f>+IFERROR(VLOOKUP(L24,'אשכול חברתי מעודכן'!$A:$B,2,0),0)</f>
        <v>0</v>
      </c>
      <c r="M377" s="1">
        <f>+IFERROR(VLOOKUP(M24,'אשכול חברתי מעודכן'!$A:$B,2,0),0)</f>
        <v>0</v>
      </c>
      <c r="N377" s="1">
        <f>+IFERROR(VLOOKUP(N24,'אשכול חברתי מעודכן'!$A:$B,2,0),0)</f>
        <v>0</v>
      </c>
      <c r="O377" s="1">
        <f>+IFERROR(VLOOKUP(O24,'אשכול חברתי מעודכן'!$A:$B,2,0),0)</f>
        <v>0</v>
      </c>
      <c r="P377" s="1">
        <f>+IFERROR(VLOOKUP(P24,'אשכול חברתי מעודכן'!$A:$B,2,0),0)</f>
        <v>0</v>
      </c>
      <c r="Q377" s="1">
        <f>+IFERROR(VLOOKUP(Q24,'אשכול חברתי מעודכן'!$A:$B,2,0),0)</f>
        <v>0</v>
      </c>
      <c r="R377" s="1">
        <f>+IFERROR(VLOOKUP(R24,'אשכול חברתי מעודכן'!$A:$B,2,0),0)</f>
        <v>0</v>
      </c>
      <c r="S377" s="1">
        <f>+IFERROR(VLOOKUP(S24,'אשכול חברתי מעודכן'!$A:$B,2,0),0)</f>
        <v>0</v>
      </c>
      <c r="T377" s="1">
        <f>+IFERROR(VLOOKUP(T24,'אשכול חברתי מעודכן'!$A:$B,2,0),0)</f>
        <v>0</v>
      </c>
      <c r="U377" s="1">
        <f>+IFERROR(VLOOKUP(U24,'אשכול חברתי מעודכן'!$A:$B,2,0),0)</f>
        <v>0</v>
      </c>
      <c r="V377" s="1">
        <f>+IFERROR(VLOOKUP(V24,'אשכול חברתי מעודכן'!$A:$B,2,0),0)</f>
        <v>0</v>
      </c>
      <c r="W377" s="1">
        <f>+IFERROR(VLOOKUP(W24,'אשכול חברתי מעודכן'!$A:$B,2,0),0)</f>
        <v>0</v>
      </c>
      <c r="X377" s="1">
        <f>+IFERROR(VLOOKUP(X24,'אשכול חברתי מעודכן'!$A:$B,2,0),0)</f>
        <v>0</v>
      </c>
      <c r="Y377" s="1">
        <f>+IFERROR(VLOOKUP(Y24,'אשכול חברתי מעודכן'!$A:$B,2,0),0)</f>
        <v>0</v>
      </c>
      <c r="Z377" s="1">
        <f>+IFERROR(VLOOKUP(Z24,'אשכול חברתי מעודכן'!$A:$B,2,0),0)</f>
        <v>0</v>
      </c>
      <c r="AA377" s="1">
        <f>+IFERROR(VLOOKUP(AA24,'אשכול חברתי מעודכן'!$A:$B,2,0),0)</f>
        <v>0</v>
      </c>
      <c r="AB377" s="1">
        <f>+IFERROR(VLOOKUP(AB24,'אשכול חברתי מעודכן'!$A:$B,2,0),0)</f>
        <v>0</v>
      </c>
      <c r="AC377" s="1">
        <f>+IFERROR(VLOOKUP(AC24,'אשכול חברתי מעודכן'!$A:$B,2,0),0)</f>
        <v>0</v>
      </c>
      <c r="AD377" s="1">
        <f>+IFERROR(VLOOKUP(AD24,'אשכול חברתי מעודכן'!$A:$B,2,0),0)</f>
        <v>0</v>
      </c>
      <c r="AE377" s="1">
        <f>+IFERROR(VLOOKUP(AE24,'אשכול חברתי מעודכן'!$A:$B,2,0),0)</f>
        <v>0</v>
      </c>
      <c r="AF377" s="1">
        <f>+IFERROR(VLOOKUP(AF24,'אשכול חברתי מעודכן'!$A:$B,2,0),0)</f>
        <v>0</v>
      </c>
      <c r="AG377" s="1">
        <f>+IFERROR(VLOOKUP(AG24,'אשכול חברתי מעודכן'!$A:$B,2,0),0)</f>
        <v>0</v>
      </c>
      <c r="AH377" s="1">
        <f>+IFERROR(VLOOKUP(AH24,'אשכול חברתי מעודכן'!$A:$B,2,0),0)</f>
        <v>0</v>
      </c>
      <c r="AI377" s="1">
        <f>+IFERROR(VLOOKUP(AI24,'אשכול חברתי מעודכן'!$A:$B,2,0),0)</f>
        <v>0</v>
      </c>
      <c r="AJ377" s="1">
        <f>+IFERROR(VLOOKUP(AJ24,'אשכול חברתי מעודכן'!$A:$B,2,0),0)</f>
        <v>0</v>
      </c>
      <c r="AK377" s="1">
        <f>+IFERROR(VLOOKUP(AK24,'אשכול חברתי מעודכן'!$A:$B,2,0),0)</f>
        <v>0</v>
      </c>
      <c r="AL377" s="1">
        <f>+IFERROR(VLOOKUP(AL24,'אשכול חברתי מעודכן'!$A:$B,2,0),0)</f>
        <v>0</v>
      </c>
      <c r="AM377" s="1">
        <f>+IFERROR(VLOOKUP(AM24,'אשכול חברתי מעודכן'!$A:$B,2,0),0)</f>
        <v>0</v>
      </c>
      <c r="AN377" s="1">
        <f>+IFERROR(VLOOKUP(AN24,'אשכול חברתי מעודכן'!$A:$B,2,0),0)</f>
        <v>0</v>
      </c>
      <c r="AO377" s="1">
        <f>+IFERROR(VLOOKUP(AO24,'אשכול חברתי מעודכן'!$A:$B,2,0),0)</f>
        <v>0</v>
      </c>
      <c r="AP377" s="1">
        <f>+IFERROR(VLOOKUP(AP24,'אשכול חברתי מעודכן'!$A:$B,2,0),0)</f>
        <v>0</v>
      </c>
      <c r="AQ377" s="1">
        <f>+IFERROR(VLOOKUP(AQ24,'אשכול חברתי מעודכן'!$A:$B,2,0),0)</f>
        <v>0</v>
      </c>
      <c r="AR377" s="1">
        <f>+IFERROR(VLOOKUP(AR24,'אשכול חברתי מעודכן'!$A:$B,2,0),0)</f>
        <v>0</v>
      </c>
      <c r="AS377" s="1">
        <f>+IFERROR(VLOOKUP(AS24,'אשכול חברתי מעודכן'!$A:$B,2,0),0)</f>
        <v>0</v>
      </c>
      <c r="AT377" s="1">
        <f>+IFERROR(VLOOKUP(AT24,'אשכול חברתי מעודכן'!$A:$B,2,0),0)</f>
        <v>0</v>
      </c>
      <c r="AU377" s="1">
        <f>+IFERROR(VLOOKUP(AU24,'אשכול חברתי מעודכן'!$A:$B,2,0),0)</f>
        <v>0</v>
      </c>
      <c r="AV377" s="1">
        <f>+IFERROR(VLOOKUP(AV24,'אשכול חברתי מעודכן'!$A:$B,2,0),0)</f>
        <v>0</v>
      </c>
      <c r="AW377" s="1">
        <f>+IFERROR(VLOOKUP(AW24,'אשכול חברתי מעודכן'!$A:$B,2,0),0)</f>
        <v>0</v>
      </c>
      <c r="AX377" s="1">
        <f>+IFERROR(VLOOKUP(AX24,'אשכול חברתי מעודכן'!$A:$B,2,0),0)</f>
        <v>0</v>
      </c>
      <c r="AY377" s="1">
        <f>+IFERROR(VLOOKUP(AY24,'אשכול חברתי מעודכן'!$A:$B,2,0),0)</f>
        <v>0</v>
      </c>
      <c r="AZ377" s="1">
        <f>+IFERROR(VLOOKUP(AZ24,'אשכול חברתי מעודכן'!$A:$B,2,0),0)</f>
        <v>0</v>
      </c>
      <c r="BA377" s="1">
        <f>+IFERROR(VLOOKUP(BA24,'אשכול חברתי מעודכן'!$A:$B,2,0),0)</f>
        <v>0</v>
      </c>
      <c r="BB377" s="1">
        <f>+IFERROR(VLOOKUP(BB24,'אשכול חברתי מעודכן'!$A:$B,2,0),0)</f>
        <v>0</v>
      </c>
      <c r="BC377" s="1">
        <f>+IFERROR(VLOOKUP(BC24,'אשכול חברתי מעודכן'!$A:$B,2,0),0)</f>
        <v>0</v>
      </c>
      <c r="BD377" s="1">
        <f>+IFERROR(VLOOKUP(BD24,'אשכול חברתי מעודכן'!$A:$B,2,0),0)</f>
        <v>0</v>
      </c>
      <c r="BE377" s="1">
        <f>+IFERROR(VLOOKUP(BE24,'אשכול חברתי מעודכן'!$A:$B,2,0),0)</f>
        <v>0</v>
      </c>
      <c r="BF377" s="1">
        <f>+IFERROR(VLOOKUP(BF24,'אשכול חברתי מעודכן'!$A:$B,2,0),0)</f>
        <v>0</v>
      </c>
    </row>
    <row r="378" spans="2:58" x14ac:dyDescent="0.2">
      <c r="B378" s="1">
        <v>18</v>
      </c>
      <c r="C378" s="1">
        <f>+IFERROR(VLOOKUP(C25,'אשכול חברתי מעודכן'!$A:$B,2,0),0)</f>
        <v>0</v>
      </c>
      <c r="D378" s="1">
        <f>+IFERROR(VLOOKUP(D25,'אשכול חברתי מעודכן'!$A:$B,2,0),0)</f>
        <v>0</v>
      </c>
      <c r="E378" s="1">
        <f>+IFERROR(VLOOKUP(E25,'אשכול חברתי מעודכן'!$A:$B,2,0),0)</f>
        <v>0</v>
      </c>
      <c r="F378" s="1">
        <f>+IFERROR(VLOOKUP(F25,'אשכול חברתי מעודכן'!$A:$B,2,0),0)</f>
        <v>0</v>
      </c>
      <c r="G378" s="1">
        <f>+IFERROR(VLOOKUP(G25,'אשכול חברתי מעודכן'!$A:$B,2,0),0)</f>
        <v>0</v>
      </c>
      <c r="H378" s="1">
        <f>+IFERROR(VLOOKUP(H25,'אשכול חברתי מעודכן'!$A:$B,2,0),0)</f>
        <v>0</v>
      </c>
      <c r="I378" s="1">
        <f>+IFERROR(VLOOKUP(I25,'אשכול חברתי מעודכן'!$A:$B,2,0),0)</f>
        <v>0</v>
      </c>
      <c r="J378" s="1">
        <f>+IFERROR(VLOOKUP(J25,'אשכול חברתי מעודכן'!$A:$B,2,0),0)</f>
        <v>0</v>
      </c>
      <c r="K378" s="1">
        <f>+IFERROR(VLOOKUP(K25,'אשכול חברתי מעודכן'!$A:$B,2,0),0)</f>
        <v>0</v>
      </c>
      <c r="L378" s="1">
        <f>+IFERROR(VLOOKUP(L25,'אשכול חברתי מעודכן'!$A:$B,2,0),0)</f>
        <v>0</v>
      </c>
      <c r="M378" s="1">
        <f>+IFERROR(VLOOKUP(M25,'אשכול חברתי מעודכן'!$A:$B,2,0),0)</f>
        <v>0</v>
      </c>
      <c r="N378" s="1">
        <f>+IFERROR(VLOOKUP(N25,'אשכול חברתי מעודכן'!$A:$B,2,0),0)</f>
        <v>0</v>
      </c>
      <c r="O378" s="1">
        <f>+IFERROR(VLOOKUP(O25,'אשכול חברתי מעודכן'!$A:$B,2,0),0)</f>
        <v>0</v>
      </c>
      <c r="P378" s="1">
        <f>+IFERROR(VLOOKUP(P25,'אשכול חברתי מעודכן'!$A:$B,2,0),0)</f>
        <v>0</v>
      </c>
      <c r="Q378" s="1">
        <f>+IFERROR(VLOOKUP(Q25,'אשכול חברתי מעודכן'!$A:$B,2,0),0)</f>
        <v>0</v>
      </c>
      <c r="R378" s="1">
        <f>+IFERROR(VLOOKUP(R25,'אשכול חברתי מעודכן'!$A:$B,2,0),0)</f>
        <v>0</v>
      </c>
      <c r="S378" s="1">
        <f>+IFERROR(VLOOKUP(S25,'אשכול חברתי מעודכן'!$A:$B,2,0),0)</f>
        <v>0</v>
      </c>
      <c r="T378" s="1">
        <f>+IFERROR(VLOOKUP(T25,'אשכול חברתי מעודכן'!$A:$B,2,0),0)</f>
        <v>0</v>
      </c>
      <c r="U378" s="1">
        <f>+IFERROR(VLOOKUP(U25,'אשכול חברתי מעודכן'!$A:$B,2,0),0)</f>
        <v>0</v>
      </c>
      <c r="V378" s="1">
        <f>+IFERROR(VLOOKUP(V25,'אשכול חברתי מעודכן'!$A:$B,2,0),0)</f>
        <v>0</v>
      </c>
      <c r="W378" s="1">
        <f>+IFERROR(VLOOKUP(W25,'אשכול חברתי מעודכן'!$A:$B,2,0),0)</f>
        <v>0</v>
      </c>
      <c r="X378" s="1">
        <f>+IFERROR(VLOOKUP(X25,'אשכול חברתי מעודכן'!$A:$B,2,0),0)</f>
        <v>0</v>
      </c>
      <c r="Y378" s="1">
        <f>+IFERROR(VLOOKUP(Y25,'אשכול חברתי מעודכן'!$A:$B,2,0),0)</f>
        <v>0</v>
      </c>
      <c r="Z378" s="1">
        <f>+IFERROR(VLOOKUP(Z25,'אשכול חברתי מעודכן'!$A:$B,2,0),0)</f>
        <v>0</v>
      </c>
      <c r="AA378" s="1">
        <f>+IFERROR(VLOOKUP(AA25,'אשכול חברתי מעודכן'!$A:$B,2,0),0)</f>
        <v>0</v>
      </c>
      <c r="AB378" s="1">
        <f>+IFERROR(VLOOKUP(AB25,'אשכול חברתי מעודכן'!$A:$B,2,0),0)</f>
        <v>0</v>
      </c>
      <c r="AC378" s="1">
        <f>+IFERROR(VLOOKUP(AC25,'אשכול חברתי מעודכן'!$A:$B,2,0),0)</f>
        <v>0</v>
      </c>
      <c r="AD378" s="1">
        <f>+IFERROR(VLOOKUP(AD25,'אשכול חברתי מעודכן'!$A:$B,2,0),0)</f>
        <v>0</v>
      </c>
      <c r="AE378" s="1">
        <f>+IFERROR(VLOOKUP(AE25,'אשכול חברתי מעודכן'!$A:$B,2,0),0)</f>
        <v>0</v>
      </c>
      <c r="AF378" s="1">
        <f>+IFERROR(VLOOKUP(AF25,'אשכול חברתי מעודכן'!$A:$B,2,0),0)</f>
        <v>0</v>
      </c>
      <c r="AG378" s="1">
        <f>+IFERROR(VLOOKUP(AG25,'אשכול חברתי מעודכן'!$A:$B,2,0),0)</f>
        <v>0</v>
      </c>
      <c r="AH378" s="1">
        <f>+IFERROR(VLOOKUP(AH25,'אשכול חברתי מעודכן'!$A:$B,2,0),0)</f>
        <v>0</v>
      </c>
      <c r="AI378" s="1">
        <f>+IFERROR(VLOOKUP(AI25,'אשכול חברתי מעודכן'!$A:$B,2,0),0)</f>
        <v>0</v>
      </c>
      <c r="AJ378" s="1">
        <f>+IFERROR(VLOOKUP(AJ25,'אשכול חברתי מעודכן'!$A:$B,2,0),0)</f>
        <v>0</v>
      </c>
      <c r="AK378" s="1">
        <f>+IFERROR(VLOOKUP(AK25,'אשכול חברתי מעודכן'!$A:$B,2,0),0)</f>
        <v>0</v>
      </c>
      <c r="AL378" s="1">
        <f>+IFERROR(VLOOKUP(AL25,'אשכול חברתי מעודכן'!$A:$B,2,0),0)</f>
        <v>0</v>
      </c>
      <c r="AM378" s="1">
        <f>+IFERROR(VLOOKUP(AM25,'אשכול חברתי מעודכן'!$A:$B,2,0),0)</f>
        <v>0</v>
      </c>
      <c r="AN378" s="1">
        <f>+IFERROR(VLOOKUP(AN25,'אשכול חברתי מעודכן'!$A:$B,2,0),0)</f>
        <v>0</v>
      </c>
      <c r="AO378" s="1">
        <f>+IFERROR(VLOOKUP(AO25,'אשכול חברתי מעודכן'!$A:$B,2,0),0)</f>
        <v>0</v>
      </c>
      <c r="AP378" s="1">
        <f>+IFERROR(VLOOKUP(AP25,'אשכול חברתי מעודכן'!$A:$B,2,0),0)</f>
        <v>0</v>
      </c>
      <c r="AQ378" s="1">
        <f>+IFERROR(VLOOKUP(AQ25,'אשכול חברתי מעודכן'!$A:$B,2,0),0)</f>
        <v>0</v>
      </c>
      <c r="AR378" s="1">
        <f>+IFERROR(VLOOKUP(AR25,'אשכול חברתי מעודכן'!$A:$B,2,0),0)</f>
        <v>0</v>
      </c>
      <c r="AS378" s="1">
        <f>+IFERROR(VLOOKUP(AS25,'אשכול חברתי מעודכן'!$A:$B,2,0),0)</f>
        <v>0</v>
      </c>
      <c r="AT378" s="1">
        <f>+IFERROR(VLOOKUP(AT25,'אשכול חברתי מעודכן'!$A:$B,2,0),0)</f>
        <v>0</v>
      </c>
      <c r="AU378" s="1">
        <f>+IFERROR(VLOOKUP(AU25,'אשכול חברתי מעודכן'!$A:$B,2,0),0)</f>
        <v>0</v>
      </c>
      <c r="AV378" s="1">
        <f>+IFERROR(VLOOKUP(AV25,'אשכול חברתי מעודכן'!$A:$B,2,0),0)</f>
        <v>0</v>
      </c>
      <c r="AW378" s="1">
        <f>+IFERROR(VLOOKUP(AW25,'אשכול חברתי מעודכן'!$A:$B,2,0),0)</f>
        <v>0</v>
      </c>
      <c r="AX378" s="1">
        <f>+IFERROR(VLOOKUP(AX25,'אשכול חברתי מעודכן'!$A:$B,2,0),0)</f>
        <v>0</v>
      </c>
      <c r="AY378" s="1">
        <f>+IFERROR(VLOOKUP(AY25,'אשכול חברתי מעודכן'!$A:$B,2,0),0)</f>
        <v>0</v>
      </c>
      <c r="AZ378" s="1">
        <f>+IFERROR(VLOOKUP(AZ25,'אשכול חברתי מעודכן'!$A:$B,2,0),0)</f>
        <v>0</v>
      </c>
      <c r="BA378" s="1">
        <f>+IFERROR(VLOOKUP(BA25,'אשכול חברתי מעודכן'!$A:$B,2,0),0)</f>
        <v>0</v>
      </c>
      <c r="BB378" s="1">
        <f>+IFERROR(VLOOKUP(BB25,'אשכול חברתי מעודכן'!$A:$B,2,0),0)</f>
        <v>0</v>
      </c>
      <c r="BC378" s="1">
        <f>+IFERROR(VLOOKUP(BC25,'אשכול חברתי מעודכן'!$A:$B,2,0),0)</f>
        <v>0</v>
      </c>
      <c r="BD378" s="1">
        <f>+IFERROR(VLOOKUP(BD25,'אשכול חברתי מעודכן'!$A:$B,2,0),0)</f>
        <v>0</v>
      </c>
      <c r="BE378" s="1">
        <f>+IFERROR(VLOOKUP(BE25,'אשכול חברתי מעודכן'!$A:$B,2,0),0)</f>
        <v>0</v>
      </c>
      <c r="BF378" s="1">
        <f>+IFERROR(VLOOKUP(BF25,'אשכול חברתי מעודכן'!$A:$B,2,0),0)</f>
        <v>0</v>
      </c>
    </row>
    <row r="379" spans="2:58" x14ac:dyDescent="0.2">
      <c r="B379" s="1">
        <v>19</v>
      </c>
      <c r="C379" s="1">
        <f>+IFERROR(VLOOKUP(C26,'אשכול חברתי מעודכן'!$A:$B,2,0),0)</f>
        <v>0</v>
      </c>
      <c r="D379" s="1">
        <f>+IFERROR(VLOOKUP(D26,'אשכול חברתי מעודכן'!$A:$B,2,0),0)</f>
        <v>0</v>
      </c>
      <c r="E379" s="1">
        <f>+IFERROR(VLOOKUP(E26,'אשכול חברתי מעודכן'!$A:$B,2,0),0)</f>
        <v>0</v>
      </c>
      <c r="F379" s="1">
        <f>+IFERROR(VLOOKUP(F26,'אשכול חברתי מעודכן'!$A:$B,2,0),0)</f>
        <v>0</v>
      </c>
      <c r="G379" s="1">
        <f>+IFERROR(VLOOKUP(G26,'אשכול חברתי מעודכן'!$A:$B,2,0),0)</f>
        <v>0</v>
      </c>
      <c r="H379" s="1">
        <f>+IFERROR(VLOOKUP(H26,'אשכול חברתי מעודכן'!$A:$B,2,0),0)</f>
        <v>0</v>
      </c>
      <c r="I379" s="1">
        <f>+IFERROR(VLOOKUP(I26,'אשכול חברתי מעודכן'!$A:$B,2,0),0)</f>
        <v>0</v>
      </c>
      <c r="J379" s="1">
        <f>+IFERROR(VLOOKUP(J26,'אשכול חברתי מעודכן'!$A:$B,2,0),0)</f>
        <v>0</v>
      </c>
      <c r="K379" s="1">
        <f>+IFERROR(VLOOKUP(K26,'אשכול חברתי מעודכן'!$A:$B,2,0),0)</f>
        <v>0</v>
      </c>
      <c r="L379" s="1">
        <f>+IFERROR(VLOOKUP(L26,'אשכול חברתי מעודכן'!$A:$B,2,0),0)</f>
        <v>0</v>
      </c>
      <c r="M379" s="1">
        <f>+IFERROR(VLOOKUP(M26,'אשכול חברתי מעודכן'!$A:$B,2,0),0)</f>
        <v>0</v>
      </c>
      <c r="N379" s="1">
        <f>+IFERROR(VLOOKUP(N26,'אשכול חברתי מעודכן'!$A:$B,2,0),0)</f>
        <v>0</v>
      </c>
      <c r="O379" s="1">
        <f>+IFERROR(VLOOKUP(O26,'אשכול חברתי מעודכן'!$A:$B,2,0),0)</f>
        <v>0</v>
      </c>
      <c r="P379" s="1">
        <f>+IFERROR(VLOOKUP(P26,'אשכול חברתי מעודכן'!$A:$B,2,0),0)</f>
        <v>0</v>
      </c>
      <c r="Q379" s="1">
        <f>+IFERROR(VLOOKUP(Q26,'אשכול חברתי מעודכן'!$A:$B,2,0),0)</f>
        <v>0</v>
      </c>
      <c r="R379" s="1">
        <f>+IFERROR(VLOOKUP(R26,'אשכול חברתי מעודכן'!$A:$B,2,0),0)</f>
        <v>0</v>
      </c>
      <c r="S379" s="1">
        <f>+IFERROR(VLOOKUP(S26,'אשכול חברתי מעודכן'!$A:$B,2,0),0)</f>
        <v>0</v>
      </c>
      <c r="T379" s="1">
        <f>+IFERROR(VLOOKUP(T26,'אשכול חברתי מעודכן'!$A:$B,2,0),0)</f>
        <v>0</v>
      </c>
      <c r="U379" s="1">
        <f>+IFERROR(VLOOKUP(U26,'אשכול חברתי מעודכן'!$A:$B,2,0),0)</f>
        <v>0</v>
      </c>
      <c r="V379" s="1">
        <f>+IFERROR(VLOOKUP(V26,'אשכול חברתי מעודכן'!$A:$B,2,0),0)</f>
        <v>0</v>
      </c>
      <c r="W379" s="1">
        <f>+IFERROR(VLOOKUP(W26,'אשכול חברתי מעודכן'!$A:$B,2,0),0)</f>
        <v>0</v>
      </c>
      <c r="X379" s="1">
        <f>+IFERROR(VLOOKUP(X26,'אשכול חברתי מעודכן'!$A:$B,2,0),0)</f>
        <v>0</v>
      </c>
      <c r="Y379" s="1">
        <f>+IFERROR(VLOOKUP(Y26,'אשכול חברתי מעודכן'!$A:$B,2,0),0)</f>
        <v>0</v>
      </c>
      <c r="Z379" s="1">
        <f>+IFERROR(VLOOKUP(Z26,'אשכול חברתי מעודכן'!$A:$B,2,0),0)</f>
        <v>0</v>
      </c>
      <c r="AA379" s="1">
        <f>+IFERROR(VLOOKUP(AA26,'אשכול חברתי מעודכן'!$A:$B,2,0),0)</f>
        <v>0</v>
      </c>
      <c r="AB379" s="1">
        <f>+IFERROR(VLOOKUP(AB26,'אשכול חברתי מעודכן'!$A:$B,2,0),0)</f>
        <v>0</v>
      </c>
      <c r="AC379" s="1">
        <f>+IFERROR(VLOOKUP(AC26,'אשכול חברתי מעודכן'!$A:$B,2,0),0)</f>
        <v>0</v>
      </c>
      <c r="AD379" s="1">
        <f>+IFERROR(VLOOKUP(AD26,'אשכול חברתי מעודכן'!$A:$B,2,0),0)</f>
        <v>0</v>
      </c>
      <c r="AE379" s="1">
        <f>+IFERROR(VLOOKUP(AE26,'אשכול חברתי מעודכן'!$A:$B,2,0),0)</f>
        <v>0</v>
      </c>
      <c r="AF379" s="1">
        <f>+IFERROR(VLOOKUP(AF26,'אשכול חברתי מעודכן'!$A:$B,2,0),0)</f>
        <v>0</v>
      </c>
      <c r="AG379" s="1">
        <f>+IFERROR(VLOOKUP(AG26,'אשכול חברתי מעודכן'!$A:$B,2,0),0)</f>
        <v>0</v>
      </c>
      <c r="AH379" s="1">
        <f>+IFERROR(VLOOKUP(AH26,'אשכול חברתי מעודכן'!$A:$B,2,0),0)</f>
        <v>0</v>
      </c>
      <c r="AI379" s="1">
        <f>+IFERROR(VLOOKUP(AI26,'אשכול חברתי מעודכן'!$A:$B,2,0),0)</f>
        <v>0</v>
      </c>
      <c r="AJ379" s="1">
        <f>+IFERROR(VLOOKUP(AJ26,'אשכול חברתי מעודכן'!$A:$B,2,0),0)</f>
        <v>0</v>
      </c>
      <c r="AK379" s="1">
        <f>+IFERROR(VLOOKUP(AK26,'אשכול חברתי מעודכן'!$A:$B,2,0),0)</f>
        <v>0</v>
      </c>
      <c r="AL379" s="1">
        <f>+IFERROR(VLOOKUP(AL26,'אשכול חברתי מעודכן'!$A:$B,2,0),0)</f>
        <v>0</v>
      </c>
      <c r="AM379" s="1">
        <f>+IFERROR(VLOOKUP(AM26,'אשכול חברתי מעודכן'!$A:$B,2,0),0)</f>
        <v>0</v>
      </c>
      <c r="AN379" s="1">
        <f>+IFERROR(VLOOKUP(AN26,'אשכול חברתי מעודכן'!$A:$B,2,0),0)</f>
        <v>0</v>
      </c>
      <c r="AO379" s="1">
        <f>+IFERROR(VLOOKUP(AO26,'אשכול חברתי מעודכן'!$A:$B,2,0),0)</f>
        <v>0</v>
      </c>
      <c r="AP379" s="1">
        <f>+IFERROR(VLOOKUP(AP26,'אשכול חברתי מעודכן'!$A:$B,2,0),0)</f>
        <v>0</v>
      </c>
      <c r="AQ379" s="1">
        <f>+IFERROR(VLOOKUP(AQ26,'אשכול חברתי מעודכן'!$A:$B,2,0),0)</f>
        <v>0</v>
      </c>
      <c r="AR379" s="1">
        <f>+IFERROR(VLOOKUP(AR26,'אשכול חברתי מעודכן'!$A:$B,2,0),0)</f>
        <v>0</v>
      </c>
      <c r="AS379" s="1">
        <f>+IFERROR(VLOOKUP(AS26,'אשכול חברתי מעודכן'!$A:$B,2,0),0)</f>
        <v>0</v>
      </c>
      <c r="AT379" s="1">
        <f>+IFERROR(VLOOKUP(AT26,'אשכול חברתי מעודכן'!$A:$B,2,0),0)</f>
        <v>0</v>
      </c>
      <c r="AU379" s="1">
        <f>+IFERROR(VLOOKUP(AU26,'אשכול חברתי מעודכן'!$A:$B,2,0),0)</f>
        <v>0</v>
      </c>
      <c r="AV379" s="1">
        <f>+IFERROR(VLOOKUP(AV26,'אשכול חברתי מעודכן'!$A:$B,2,0),0)</f>
        <v>0</v>
      </c>
      <c r="AW379" s="1">
        <f>+IFERROR(VLOOKUP(AW26,'אשכול חברתי מעודכן'!$A:$B,2,0),0)</f>
        <v>0</v>
      </c>
      <c r="AX379" s="1">
        <f>+IFERROR(VLOOKUP(AX26,'אשכול חברתי מעודכן'!$A:$B,2,0),0)</f>
        <v>0</v>
      </c>
      <c r="AY379" s="1">
        <f>+IFERROR(VLOOKUP(AY26,'אשכול חברתי מעודכן'!$A:$B,2,0),0)</f>
        <v>0</v>
      </c>
      <c r="AZ379" s="1">
        <f>+IFERROR(VLOOKUP(AZ26,'אשכול חברתי מעודכן'!$A:$B,2,0),0)</f>
        <v>0</v>
      </c>
      <c r="BA379" s="1">
        <f>+IFERROR(VLOOKUP(BA26,'אשכול חברתי מעודכן'!$A:$B,2,0),0)</f>
        <v>0</v>
      </c>
      <c r="BB379" s="1">
        <f>+IFERROR(VLOOKUP(BB26,'אשכול חברתי מעודכן'!$A:$B,2,0),0)</f>
        <v>0</v>
      </c>
      <c r="BC379" s="1">
        <f>+IFERROR(VLOOKUP(BC26,'אשכול חברתי מעודכן'!$A:$B,2,0),0)</f>
        <v>0</v>
      </c>
      <c r="BD379" s="1">
        <f>+IFERROR(VLOOKUP(BD26,'אשכול חברתי מעודכן'!$A:$B,2,0),0)</f>
        <v>0</v>
      </c>
      <c r="BE379" s="1">
        <f>+IFERROR(VLOOKUP(BE26,'אשכול חברתי מעודכן'!$A:$B,2,0),0)</f>
        <v>0</v>
      </c>
      <c r="BF379" s="1">
        <f>+IFERROR(VLOOKUP(BF26,'אשכול חברתי מעודכן'!$A:$B,2,0),0)</f>
        <v>0</v>
      </c>
    </row>
    <row r="380" spans="2:58" x14ac:dyDescent="0.2">
      <c r="B380" s="1">
        <v>20</v>
      </c>
      <c r="C380" s="1">
        <f>+IFERROR(VLOOKUP(C27,'אשכול חברתי מעודכן'!$A:$B,2,0),0)</f>
        <v>0</v>
      </c>
      <c r="D380" s="1">
        <f>+IFERROR(VLOOKUP(D27,'אשכול חברתי מעודכן'!$A:$B,2,0),0)</f>
        <v>0</v>
      </c>
      <c r="E380" s="1">
        <f>+IFERROR(VLOOKUP(E27,'אשכול חברתי מעודכן'!$A:$B,2,0),0)</f>
        <v>0</v>
      </c>
      <c r="F380" s="1">
        <f>+IFERROR(VLOOKUP(F27,'אשכול חברתי מעודכן'!$A:$B,2,0),0)</f>
        <v>0</v>
      </c>
      <c r="G380" s="1">
        <f>+IFERROR(VLOOKUP(G27,'אשכול חברתי מעודכן'!$A:$B,2,0),0)</f>
        <v>0</v>
      </c>
      <c r="H380" s="1">
        <f>+IFERROR(VLOOKUP(H27,'אשכול חברתי מעודכן'!$A:$B,2,0),0)</f>
        <v>0</v>
      </c>
      <c r="I380" s="1">
        <f>+IFERROR(VLOOKUP(I27,'אשכול חברתי מעודכן'!$A:$B,2,0),0)</f>
        <v>0</v>
      </c>
      <c r="J380" s="1">
        <f>+IFERROR(VLOOKUP(J27,'אשכול חברתי מעודכן'!$A:$B,2,0),0)</f>
        <v>0</v>
      </c>
      <c r="K380" s="1">
        <f>+IFERROR(VLOOKUP(K27,'אשכול חברתי מעודכן'!$A:$B,2,0),0)</f>
        <v>0</v>
      </c>
      <c r="L380" s="1">
        <f>+IFERROR(VLOOKUP(L27,'אשכול חברתי מעודכן'!$A:$B,2,0),0)</f>
        <v>0</v>
      </c>
      <c r="M380" s="1">
        <f>+IFERROR(VLOOKUP(M27,'אשכול חברתי מעודכן'!$A:$B,2,0),0)</f>
        <v>0</v>
      </c>
      <c r="N380" s="1">
        <f>+IFERROR(VLOOKUP(N27,'אשכול חברתי מעודכן'!$A:$B,2,0),0)</f>
        <v>0</v>
      </c>
      <c r="O380" s="1">
        <f>+IFERROR(VLOOKUP(O27,'אשכול חברתי מעודכן'!$A:$B,2,0),0)</f>
        <v>0</v>
      </c>
      <c r="P380" s="1">
        <f>+IFERROR(VLOOKUP(P27,'אשכול חברתי מעודכן'!$A:$B,2,0),0)</f>
        <v>0</v>
      </c>
      <c r="Q380" s="1">
        <f>+IFERROR(VLOOKUP(Q27,'אשכול חברתי מעודכן'!$A:$B,2,0),0)</f>
        <v>0</v>
      </c>
      <c r="R380" s="1">
        <f>+IFERROR(VLOOKUP(R27,'אשכול חברתי מעודכן'!$A:$B,2,0),0)</f>
        <v>0</v>
      </c>
      <c r="S380" s="1">
        <f>+IFERROR(VLOOKUP(S27,'אשכול חברתי מעודכן'!$A:$B,2,0),0)</f>
        <v>0</v>
      </c>
      <c r="T380" s="1">
        <f>+IFERROR(VLOOKUP(T27,'אשכול חברתי מעודכן'!$A:$B,2,0),0)</f>
        <v>0</v>
      </c>
      <c r="U380" s="1">
        <f>+IFERROR(VLOOKUP(U27,'אשכול חברתי מעודכן'!$A:$B,2,0),0)</f>
        <v>0</v>
      </c>
      <c r="V380" s="1">
        <f>+IFERROR(VLOOKUP(V27,'אשכול חברתי מעודכן'!$A:$B,2,0),0)</f>
        <v>0</v>
      </c>
      <c r="W380" s="1">
        <f>+IFERROR(VLOOKUP(W27,'אשכול חברתי מעודכן'!$A:$B,2,0),0)</f>
        <v>0</v>
      </c>
      <c r="X380" s="1">
        <f>+IFERROR(VLOOKUP(X27,'אשכול חברתי מעודכן'!$A:$B,2,0),0)</f>
        <v>0</v>
      </c>
      <c r="Y380" s="1">
        <f>+IFERROR(VLOOKUP(Y27,'אשכול חברתי מעודכן'!$A:$B,2,0),0)</f>
        <v>0</v>
      </c>
      <c r="Z380" s="1">
        <f>+IFERROR(VLOOKUP(Z27,'אשכול חברתי מעודכן'!$A:$B,2,0),0)</f>
        <v>0</v>
      </c>
      <c r="AA380" s="1">
        <f>+IFERROR(VLOOKUP(AA27,'אשכול חברתי מעודכן'!$A:$B,2,0),0)</f>
        <v>0</v>
      </c>
      <c r="AB380" s="1">
        <f>+IFERROR(VLOOKUP(AB27,'אשכול חברתי מעודכן'!$A:$B,2,0),0)</f>
        <v>0</v>
      </c>
      <c r="AC380" s="1">
        <f>+IFERROR(VLOOKUP(AC27,'אשכול חברתי מעודכן'!$A:$B,2,0),0)</f>
        <v>0</v>
      </c>
      <c r="AD380" s="1">
        <f>+IFERROR(VLOOKUP(AD27,'אשכול חברתי מעודכן'!$A:$B,2,0),0)</f>
        <v>0</v>
      </c>
      <c r="AE380" s="1">
        <f>+IFERROR(VLOOKUP(AE27,'אשכול חברתי מעודכן'!$A:$B,2,0),0)</f>
        <v>0</v>
      </c>
      <c r="AF380" s="1">
        <f>+IFERROR(VLOOKUP(AF27,'אשכול חברתי מעודכן'!$A:$B,2,0),0)</f>
        <v>0</v>
      </c>
      <c r="AG380" s="1">
        <f>+IFERROR(VLOOKUP(AG27,'אשכול חברתי מעודכן'!$A:$B,2,0),0)</f>
        <v>0</v>
      </c>
      <c r="AH380" s="1">
        <f>+IFERROR(VLOOKUP(AH27,'אשכול חברתי מעודכן'!$A:$B,2,0),0)</f>
        <v>0</v>
      </c>
      <c r="AI380" s="1">
        <f>+IFERROR(VLOOKUP(AI27,'אשכול חברתי מעודכן'!$A:$B,2,0),0)</f>
        <v>0</v>
      </c>
      <c r="AJ380" s="1">
        <f>+IFERROR(VLOOKUP(AJ27,'אשכול חברתי מעודכן'!$A:$B,2,0),0)</f>
        <v>0</v>
      </c>
      <c r="AK380" s="1">
        <f>+IFERROR(VLOOKUP(AK27,'אשכול חברתי מעודכן'!$A:$B,2,0),0)</f>
        <v>0</v>
      </c>
      <c r="AL380" s="1">
        <f>+IFERROR(VLOOKUP(AL27,'אשכול חברתי מעודכן'!$A:$B,2,0),0)</f>
        <v>0</v>
      </c>
      <c r="AM380" s="1">
        <f>+IFERROR(VLOOKUP(AM27,'אשכול חברתי מעודכן'!$A:$B,2,0),0)</f>
        <v>0</v>
      </c>
      <c r="AN380" s="1">
        <f>+IFERROR(VLOOKUP(AN27,'אשכול חברתי מעודכן'!$A:$B,2,0),0)</f>
        <v>0</v>
      </c>
      <c r="AO380" s="1">
        <f>+IFERROR(VLOOKUP(AO27,'אשכול חברתי מעודכן'!$A:$B,2,0),0)</f>
        <v>0</v>
      </c>
      <c r="AP380" s="1">
        <f>+IFERROR(VLOOKUP(AP27,'אשכול חברתי מעודכן'!$A:$B,2,0),0)</f>
        <v>0</v>
      </c>
      <c r="AQ380" s="1">
        <f>+IFERROR(VLOOKUP(AQ27,'אשכול חברתי מעודכן'!$A:$B,2,0),0)</f>
        <v>0</v>
      </c>
      <c r="AR380" s="1">
        <f>+IFERROR(VLOOKUP(AR27,'אשכול חברתי מעודכן'!$A:$B,2,0),0)</f>
        <v>0</v>
      </c>
      <c r="AS380" s="1">
        <f>+IFERROR(VLOOKUP(AS27,'אשכול חברתי מעודכן'!$A:$B,2,0),0)</f>
        <v>0</v>
      </c>
      <c r="AT380" s="1">
        <f>+IFERROR(VLOOKUP(AT27,'אשכול חברתי מעודכן'!$A:$B,2,0),0)</f>
        <v>0</v>
      </c>
      <c r="AU380" s="1">
        <f>+IFERROR(VLOOKUP(AU27,'אשכול חברתי מעודכן'!$A:$B,2,0),0)</f>
        <v>0</v>
      </c>
      <c r="AV380" s="1">
        <f>+IFERROR(VLOOKUP(AV27,'אשכול חברתי מעודכן'!$A:$B,2,0),0)</f>
        <v>0</v>
      </c>
      <c r="AW380" s="1">
        <f>+IFERROR(VLOOKUP(AW27,'אשכול חברתי מעודכן'!$A:$B,2,0),0)</f>
        <v>0</v>
      </c>
      <c r="AX380" s="1">
        <f>+IFERROR(VLOOKUP(AX27,'אשכול חברתי מעודכן'!$A:$B,2,0),0)</f>
        <v>0</v>
      </c>
      <c r="AY380" s="1">
        <f>+IFERROR(VLOOKUP(AY27,'אשכול חברתי מעודכן'!$A:$B,2,0),0)</f>
        <v>0</v>
      </c>
      <c r="AZ380" s="1">
        <f>+IFERROR(VLOOKUP(AZ27,'אשכול חברתי מעודכן'!$A:$B,2,0),0)</f>
        <v>0</v>
      </c>
      <c r="BA380" s="1">
        <f>+IFERROR(VLOOKUP(BA27,'אשכול חברתי מעודכן'!$A:$B,2,0),0)</f>
        <v>0</v>
      </c>
      <c r="BB380" s="1">
        <f>+IFERROR(VLOOKUP(BB27,'אשכול חברתי מעודכן'!$A:$B,2,0),0)</f>
        <v>0</v>
      </c>
      <c r="BC380" s="1">
        <f>+IFERROR(VLOOKUP(BC27,'אשכול חברתי מעודכן'!$A:$B,2,0),0)</f>
        <v>0</v>
      </c>
      <c r="BD380" s="1">
        <f>+IFERROR(VLOOKUP(BD27,'אשכול חברתי מעודכן'!$A:$B,2,0),0)</f>
        <v>0</v>
      </c>
      <c r="BE380" s="1">
        <f>+IFERROR(VLOOKUP(BE27,'אשכול חברתי מעודכן'!$A:$B,2,0),0)</f>
        <v>0</v>
      </c>
      <c r="BF380" s="1">
        <f>+IFERROR(VLOOKUP(BF27,'אשכול חברתי מעודכן'!$A:$B,2,0),0)</f>
        <v>0</v>
      </c>
    </row>
    <row r="381" spans="2:58" x14ac:dyDescent="0.2">
      <c r="B381" s="1">
        <v>21</v>
      </c>
      <c r="C381" s="1">
        <f>+IFERROR(VLOOKUP(C28,'אשכול חברתי מעודכן'!$A:$B,2,0),0)</f>
        <v>0</v>
      </c>
      <c r="D381" s="1">
        <f>+IFERROR(VLOOKUP(D28,'אשכול חברתי מעודכן'!$A:$B,2,0),0)</f>
        <v>0</v>
      </c>
      <c r="E381" s="1">
        <f>+IFERROR(VLOOKUP(E28,'אשכול חברתי מעודכן'!$A:$B,2,0),0)</f>
        <v>0</v>
      </c>
      <c r="F381" s="1">
        <f>+IFERROR(VLOOKUP(F28,'אשכול חברתי מעודכן'!$A:$B,2,0),0)</f>
        <v>0</v>
      </c>
      <c r="G381" s="1">
        <f>+IFERROR(VLOOKUP(G28,'אשכול חברתי מעודכן'!$A:$B,2,0),0)</f>
        <v>0</v>
      </c>
      <c r="H381" s="1">
        <f>+IFERROR(VLOOKUP(H28,'אשכול חברתי מעודכן'!$A:$B,2,0),0)</f>
        <v>0</v>
      </c>
      <c r="I381" s="1">
        <f>+IFERROR(VLOOKUP(I28,'אשכול חברתי מעודכן'!$A:$B,2,0),0)</f>
        <v>0</v>
      </c>
      <c r="J381" s="1">
        <f>+IFERROR(VLOOKUP(J28,'אשכול חברתי מעודכן'!$A:$B,2,0),0)</f>
        <v>0</v>
      </c>
      <c r="K381" s="1">
        <f>+IFERROR(VLOOKUP(K28,'אשכול חברתי מעודכן'!$A:$B,2,0),0)</f>
        <v>0</v>
      </c>
      <c r="L381" s="1">
        <f>+IFERROR(VLOOKUP(L28,'אשכול חברתי מעודכן'!$A:$B,2,0),0)</f>
        <v>0</v>
      </c>
      <c r="M381" s="1">
        <f>+IFERROR(VLOOKUP(M28,'אשכול חברתי מעודכן'!$A:$B,2,0),0)</f>
        <v>0</v>
      </c>
      <c r="N381" s="1">
        <f>+IFERROR(VLOOKUP(N28,'אשכול חברתי מעודכן'!$A:$B,2,0),0)</f>
        <v>0</v>
      </c>
      <c r="O381" s="1">
        <f>+IFERROR(VLOOKUP(O28,'אשכול חברתי מעודכן'!$A:$B,2,0),0)</f>
        <v>0</v>
      </c>
      <c r="P381" s="1">
        <f>+IFERROR(VLOOKUP(P28,'אשכול חברתי מעודכן'!$A:$B,2,0),0)</f>
        <v>0</v>
      </c>
      <c r="Q381" s="1">
        <f>+IFERROR(VLOOKUP(Q28,'אשכול חברתי מעודכן'!$A:$B,2,0),0)</f>
        <v>0</v>
      </c>
      <c r="R381" s="1">
        <f>+IFERROR(VLOOKUP(R28,'אשכול חברתי מעודכן'!$A:$B,2,0),0)</f>
        <v>0</v>
      </c>
      <c r="S381" s="1">
        <f>+IFERROR(VLOOKUP(S28,'אשכול חברתי מעודכן'!$A:$B,2,0),0)</f>
        <v>0</v>
      </c>
      <c r="T381" s="1">
        <f>+IFERROR(VLOOKUP(T28,'אשכול חברתי מעודכן'!$A:$B,2,0),0)</f>
        <v>0</v>
      </c>
      <c r="U381" s="1">
        <f>+IFERROR(VLOOKUP(U28,'אשכול חברתי מעודכן'!$A:$B,2,0),0)</f>
        <v>0</v>
      </c>
      <c r="V381" s="1">
        <f>+IFERROR(VLOOKUP(V28,'אשכול חברתי מעודכן'!$A:$B,2,0),0)</f>
        <v>0</v>
      </c>
      <c r="W381" s="1">
        <f>+IFERROR(VLOOKUP(W28,'אשכול חברתי מעודכן'!$A:$B,2,0),0)</f>
        <v>0</v>
      </c>
      <c r="X381" s="1">
        <f>+IFERROR(VLOOKUP(X28,'אשכול חברתי מעודכן'!$A:$B,2,0),0)</f>
        <v>0</v>
      </c>
      <c r="Y381" s="1">
        <f>+IFERROR(VLOOKUP(Y28,'אשכול חברתי מעודכן'!$A:$B,2,0),0)</f>
        <v>0</v>
      </c>
      <c r="Z381" s="1">
        <f>+IFERROR(VLOOKUP(Z28,'אשכול חברתי מעודכן'!$A:$B,2,0),0)</f>
        <v>0</v>
      </c>
      <c r="AA381" s="1">
        <f>+IFERROR(VLOOKUP(AA28,'אשכול חברתי מעודכן'!$A:$B,2,0),0)</f>
        <v>0</v>
      </c>
      <c r="AB381" s="1">
        <f>+IFERROR(VLOOKUP(AB28,'אשכול חברתי מעודכן'!$A:$B,2,0),0)</f>
        <v>0</v>
      </c>
      <c r="AC381" s="1">
        <f>+IFERROR(VLOOKUP(AC28,'אשכול חברתי מעודכן'!$A:$B,2,0),0)</f>
        <v>0</v>
      </c>
      <c r="AD381" s="1">
        <f>+IFERROR(VLOOKUP(AD28,'אשכול חברתי מעודכן'!$A:$B,2,0),0)</f>
        <v>0</v>
      </c>
      <c r="AE381" s="1">
        <f>+IFERROR(VLOOKUP(AE28,'אשכול חברתי מעודכן'!$A:$B,2,0),0)</f>
        <v>0</v>
      </c>
      <c r="AF381" s="1">
        <f>+IFERROR(VLOOKUP(AF28,'אשכול חברתי מעודכן'!$A:$B,2,0),0)</f>
        <v>0</v>
      </c>
      <c r="AG381" s="1">
        <f>+IFERROR(VLOOKUP(AG28,'אשכול חברתי מעודכן'!$A:$B,2,0),0)</f>
        <v>0</v>
      </c>
      <c r="AH381" s="1">
        <f>+IFERROR(VLOOKUP(AH28,'אשכול חברתי מעודכן'!$A:$B,2,0),0)</f>
        <v>0</v>
      </c>
      <c r="AI381" s="1">
        <f>+IFERROR(VLOOKUP(AI28,'אשכול חברתי מעודכן'!$A:$B,2,0),0)</f>
        <v>0</v>
      </c>
      <c r="AJ381" s="1">
        <f>+IFERROR(VLOOKUP(AJ28,'אשכול חברתי מעודכן'!$A:$B,2,0),0)</f>
        <v>0</v>
      </c>
      <c r="AK381" s="1">
        <f>+IFERROR(VLOOKUP(AK28,'אשכול חברתי מעודכן'!$A:$B,2,0),0)</f>
        <v>0</v>
      </c>
      <c r="AL381" s="1">
        <f>+IFERROR(VLOOKUP(AL28,'אשכול חברתי מעודכן'!$A:$B,2,0),0)</f>
        <v>0</v>
      </c>
      <c r="AM381" s="1">
        <f>+IFERROR(VLOOKUP(AM28,'אשכול חברתי מעודכן'!$A:$B,2,0),0)</f>
        <v>0</v>
      </c>
      <c r="AN381" s="1">
        <f>+IFERROR(VLOOKUP(AN28,'אשכול חברתי מעודכן'!$A:$B,2,0),0)</f>
        <v>0</v>
      </c>
      <c r="AO381" s="1">
        <f>+IFERROR(VLOOKUP(AO28,'אשכול חברתי מעודכן'!$A:$B,2,0),0)</f>
        <v>0</v>
      </c>
      <c r="AP381" s="1">
        <f>+IFERROR(VLOOKUP(AP28,'אשכול חברתי מעודכן'!$A:$B,2,0),0)</f>
        <v>0</v>
      </c>
      <c r="AQ381" s="1">
        <f>+IFERROR(VLOOKUP(AQ28,'אשכול חברתי מעודכן'!$A:$B,2,0),0)</f>
        <v>0</v>
      </c>
      <c r="AR381" s="1">
        <f>+IFERROR(VLOOKUP(AR28,'אשכול חברתי מעודכן'!$A:$B,2,0),0)</f>
        <v>0</v>
      </c>
      <c r="AS381" s="1">
        <f>+IFERROR(VLOOKUP(AS28,'אשכול חברתי מעודכן'!$A:$B,2,0),0)</f>
        <v>0</v>
      </c>
      <c r="AT381" s="1">
        <f>+IFERROR(VLOOKUP(AT28,'אשכול חברתי מעודכן'!$A:$B,2,0),0)</f>
        <v>0</v>
      </c>
      <c r="AU381" s="1">
        <f>+IFERROR(VLOOKUP(AU28,'אשכול חברתי מעודכן'!$A:$B,2,0),0)</f>
        <v>0</v>
      </c>
      <c r="AV381" s="1">
        <f>+IFERROR(VLOOKUP(AV28,'אשכול חברתי מעודכן'!$A:$B,2,0),0)</f>
        <v>0</v>
      </c>
      <c r="AW381" s="1">
        <f>+IFERROR(VLOOKUP(AW28,'אשכול חברתי מעודכן'!$A:$B,2,0),0)</f>
        <v>0</v>
      </c>
      <c r="AX381" s="1">
        <f>+IFERROR(VLOOKUP(AX28,'אשכול חברתי מעודכן'!$A:$B,2,0),0)</f>
        <v>0</v>
      </c>
      <c r="AY381" s="1">
        <f>+IFERROR(VLOOKUP(AY28,'אשכול חברתי מעודכן'!$A:$B,2,0),0)</f>
        <v>0</v>
      </c>
      <c r="AZ381" s="1">
        <f>+IFERROR(VLOOKUP(AZ28,'אשכול חברתי מעודכן'!$A:$B,2,0),0)</f>
        <v>0</v>
      </c>
      <c r="BA381" s="1">
        <f>+IFERROR(VLOOKUP(BA28,'אשכול חברתי מעודכן'!$A:$B,2,0),0)</f>
        <v>0</v>
      </c>
      <c r="BB381" s="1">
        <f>+IFERROR(VLOOKUP(BB28,'אשכול חברתי מעודכן'!$A:$B,2,0),0)</f>
        <v>0</v>
      </c>
      <c r="BC381" s="1">
        <f>+IFERROR(VLOOKUP(BC28,'אשכול חברתי מעודכן'!$A:$B,2,0),0)</f>
        <v>0</v>
      </c>
      <c r="BD381" s="1">
        <f>+IFERROR(VLOOKUP(BD28,'אשכול חברתי מעודכן'!$A:$B,2,0),0)</f>
        <v>0</v>
      </c>
      <c r="BE381" s="1">
        <f>+IFERROR(VLOOKUP(BE28,'אשכול חברתי מעודכן'!$A:$B,2,0),0)</f>
        <v>0</v>
      </c>
      <c r="BF381" s="1">
        <f>+IFERROR(VLOOKUP(BF28,'אשכול חברתי מעודכן'!$A:$B,2,0),0)</f>
        <v>0</v>
      </c>
    </row>
    <row r="382" spans="2:58" x14ac:dyDescent="0.2">
      <c r="B382" s="1">
        <v>22</v>
      </c>
      <c r="C382" s="1">
        <f>+IFERROR(VLOOKUP(C29,'אשכול חברתי מעודכן'!$A:$B,2,0),0)</f>
        <v>0</v>
      </c>
      <c r="D382" s="1">
        <f>+IFERROR(VLOOKUP(D29,'אשכול חברתי מעודכן'!$A:$B,2,0),0)</f>
        <v>0</v>
      </c>
      <c r="E382" s="1">
        <f>+IFERROR(VLOOKUP(E29,'אשכול חברתי מעודכן'!$A:$B,2,0),0)</f>
        <v>0</v>
      </c>
      <c r="F382" s="1">
        <f>+IFERROR(VLOOKUP(F29,'אשכול חברתי מעודכן'!$A:$B,2,0),0)</f>
        <v>0</v>
      </c>
      <c r="G382" s="1">
        <f>+IFERROR(VLOOKUP(G29,'אשכול חברתי מעודכן'!$A:$B,2,0),0)</f>
        <v>0</v>
      </c>
      <c r="H382" s="1">
        <f>+IFERROR(VLOOKUP(H29,'אשכול חברתי מעודכן'!$A:$B,2,0),0)</f>
        <v>0</v>
      </c>
      <c r="I382" s="1">
        <f>+IFERROR(VLOOKUP(I29,'אשכול חברתי מעודכן'!$A:$B,2,0),0)</f>
        <v>0</v>
      </c>
      <c r="J382" s="1">
        <f>+IFERROR(VLOOKUP(J29,'אשכול חברתי מעודכן'!$A:$B,2,0),0)</f>
        <v>0</v>
      </c>
      <c r="K382" s="1">
        <f>+IFERROR(VLOOKUP(K29,'אשכול חברתי מעודכן'!$A:$B,2,0),0)</f>
        <v>0</v>
      </c>
      <c r="L382" s="1">
        <f>+IFERROR(VLOOKUP(L29,'אשכול חברתי מעודכן'!$A:$B,2,0),0)</f>
        <v>0</v>
      </c>
      <c r="M382" s="1">
        <f>+IFERROR(VLOOKUP(M29,'אשכול חברתי מעודכן'!$A:$B,2,0),0)</f>
        <v>0</v>
      </c>
      <c r="N382" s="1">
        <f>+IFERROR(VLOOKUP(N29,'אשכול חברתי מעודכן'!$A:$B,2,0),0)</f>
        <v>0</v>
      </c>
      <c r="O382" s="1">
        <f>+IFERROR(VLOOKUP(O29,'אשכול חברתי מעודכן'!$A:$B,2,0),0)</f>
        <v>0</v>
      </c>
      <c r="P382" s="1">
        <f>+IFERROR(VLOOKUP(P29,'אשכול חברתי מעודכן'!$A:$B,2,0),0)</f>
        <v>0</v>
      </c>
      <c r="Q382" s="1">
        <f>+IFERROR(VLOOKUP(Q29,'אשכול חברתי מעודכן'!$A:$B,2,0),0)</f>
        <v>0</v>
      </c>
      <c r="R382" s="1">
        <f>+IFERROR(VLOOKUP(R29,'אשכול חברתי מעודכן'!$A:$B,2,0),0)</f>
        <v>0</v>
      </c>
      <c r="S382" s="1">
        <f>+IFERROR(VLOOKUP(S29,'אשכול חברתי מעודכן'!$A:$B,2,0),0)</f>
        <v>0</v>
      </c>
      <c r="T382" s="1">
        <f>+IFERROR(VLOOKUP(T29,'אשכול חברתי מעודכן'!$A:$B,2,0),0)</f>
        <v>0</v>
      </c>
      <c r="U382" s="1">
        <f>+IFERROR(VLOOKUP(U29,'אשכול חברתי מעודכן'!$A:$B,2,0),0)</f>
        <v>0</v>
      </c>
      <c r="V382" s="1">
        <f>+IFERROR(VLOOKUP(V29,'אשכול חברתי מעודכן'!$A:$B,2,0),0)</f>
        <v>0</v>
      </c>
      <c r="W382" s="1">
        <f>+IFERROR(VLOOKUP(W29,'אשכול חברתי מעודכן'!$A:$B,2,0),0)</f>
        <v>0</v>
      </c>
      <c r="X382" s="1">
        <f>+IFERROR(VLOOKUP(X29,'אשכול חברתי מעודכן'!$A:$B,2,0),0)</f>
        <v>0</v>
      </c>
      <c r="Y382" s="1">
        <f>+IFERROR(VLOOKUP(Y29,'אשכול חברתי מעודכן'!$A:$B,2,0),0)</f>
        <v>0</v>
      </c>
      <c r="Z382" s="1">
        <f>+IFERROR(VLOOKUP(Z29,'אשכול חברתי מעודכן'!$A:$B,2,0),0)</f>
        <v>0</v>
      </c>
      <c r="AA382" s="1">
        <f>+IFERROR(VLOOKUP(AA29,'אשכול חברתי מעודכן'!$A:$B,2,0),0)</f>
        <v>0</v>
      </c>
      <c r="AB382" s="1">
        <f>+IFERROR(VLOOKUP(AB29,'אשכול חברתי מעודכן'!$A:$B,2,0),0)</f>
        <v>0</v>
      </c>
      <c r="AC382" s="1">
        <f>+IFERROR(VLOOKUP(AC29,'אשכול חברתי מעודכן'!$A:$B,2,0),0)</f>
        <v>0</v>
      </c>
      <c r="AD382" s="1">
        <f>+IFERROR(VLOOKUP(AD29,'אשכול חברתי מעודכן'!$A:$B,2,0),0)</f>
        <v>0</v>
      </c>
      <c r="AE382" s="1">
        <f>+IFERROR(VLOOKUP(AE29,'אשכול חברתי מעודכן'!$A:$B,2,0),0)</f>
        <v>0</v>
      </c>
      <c r="AF382" s="1">
        <f>+IFERROR(VLOOKUP(AF29,'אשכול חברתי מעודכן'!$A:$B,2,0),0)</f>
        <v>0</v>
      </c>
      <c r="AG382" s="1">
        <f>+IFERROR(VLOOKUP(AG29,'אשכול חברתי מעודכן'!$A:$B,2,0),0)</f>
        <v>0</v>
      </c>
      <c r="AH382" s="1">
        <f>+IFERROR(VLOOKUP(AH29,'אשכול חברתי מעודכן'!$A:$B,2,0),0)</f>
        <v>0</v>
      </c>
      <c r="AI382" s="1">
        <f>+IFERROR(VLOOKUP(AI29,'אשכול חברתי מעודכן'!$A:$B,2,0),0)</f>
        <v>0</v>
      </c>
      <c r="AJ382" s="1">
        <f>+IFERROR(VLOOKUP(AJ29,'אשכול חברתי מעודכן'!$A:$B,2,0),0)</f>
        <v>0</v>
      </c>
      <c r="AK382" s="1">
        <f>+IFERROR(VLOOKUP(AK29,'אשכול חברתי מעודכן'!$A:$B,2,0),0)</f>
        <v>0</v>
      </c>
      <c r="AL382" s="1">
        <f>+IFERROR(VLOOKUP(AL29,'אשכול חברתי מעודכן'!$A:$B,2,0),0)</f>
        <v>0</v>
      </c>
      <c r="AM382" s="1">
        <f>+IFERROR(VLOOKUP(AM29,'אשכול חברתי מעודכן'!$A:$B,2,0),0)</f>
        <v>0</v>
      </c>
      <c r="AN382" s="1">
        <f>+IFERROR(VLOOKUP(AN29,'אשכול חברתי מעודכן'!$A:$B,2,0),0)</f>
        <v>0</v>
      </c>
      <c r="AO382" s="1">
        <f>+IFERROR(VLOOKUP(AO29,'אשכול חברתי מעודכן'!$A:$B,2,0),0)</f>
        <v>0</v>
      </c>
      <c r="AP382" s="1">
        <f>+IFERROR(VLOOKUP(AP29,'אשכול חברתי מעודכן'!$A:$B,2,0),0)</f>
        <v>0</v>
      </c>
      <c r="AQ382" s="1">
        <f>+IFERROR(VLOOKUP(AQ29,'אשכול חברתי מעודכן'!$A:$B,2,0),0)</f>
        <v>0</v>
      </c>
      <c r="AR382" s="1">
        <f>+IFERROR(VLOOKUP(AR29,'אשכול חברתי מעודכן'!$A:$B,2,0),0)</f>
        <v>0</v>
      </c>
      <c r="AS382" s="1">
        <f>+IFERROR(VLOOKUP(AS29,'אשכול חברתי מעודכן'!$A:$B,2,0),0)</f>
        <v>0</v>
      </c>
      <c r="AT382" s="1">
        <f>+IFERROR(VLOOKUP(AT29,'אשכול חברתי מעודכן'!$A:$B,2,0),0)</f>
        <v>0</v>
      </c>
      <c r="AU382" s="1">
        <f>+IFERROR(VLOOKUP(AU29,'אשכול חברתי מעודכן'!$A:$B,2,0),0)</f>
        <v>0</v>
      </c>
      <c r="AV382" s="1">
        <f>+IFERROR(VLOOKUP(AV29,'אשכול חברתי מעודכן'!$A:$B,2,0),0)</f>
        <v>0</v>
      </c>
      <c r="AW382" s="1">
        <f>+IFERROR(VLOOKUP(AW29,'אשכול חברתי מעודכן'!$A:$B,2,0),0)</f>
        <v>0</v>
      </c>
      <c r="AX382" s="1">
        <f>+IFERROR(VLOOKUP(AX29,'אשכול חברתי מעודכן'!$A:$B,2,0),0)</f>
        <v>0</v>
      </c>
      <c r="AY382" s="1">
        <f>+IFERROR(VLOOKUP(AY29,'אשכול חברתי מעודכן'!$A:$B,2,0),0)</f>
        <v>0</v>
      </c>
      <c r="AZ382" s="1">
        <f>+IFERROR(VLOOKUP(AZ29,'אשכול חברתי מעודכן'!$A:$B,2,0),0)</f>
        <v>0</v>
      </c>
      <c r="BA382" s="1">
        <f>+IFERROR(VLOOKUP(BA29,'אשכול חברתי מעודכן'!$A:$B,2,0),0)</f>
        <v>0</v>
      </c>
      <c r="BB382" s="1">
        <f>+IFERROR(VLOOKUP(BB29,'אשכול חברתי מעודכן'!$A:$B,2,0),0)</f>
        <v>0</v>
      </c>
      <c r="BC382" s="1">
        <f>+IFERROR(VLOOKUP(BC29,'אשכול חברתי מעודכן'!$A:$B,2,0),0)</f>
        <v>0</v>
      </c>
      <c r="BD382" s="1">
        <f>+IFERROR(VLOOKUP(BD29,'אשכול חברתי מעודכן'!$A:$B,2,0),0)</f>
        <v>0</v>
      </c>
      <c r="BE382" s="1">
        <f>+IFERROR(VLOOKUP(BE29,'אשכול חברתי מעודכן'!$A:$B,2,0),0)</f>
        <v>0</v>
      </c>
      <c r="BF382" s="1">
        <f>+IFERROR(VLOOKUP(BF29,'אשכול חברתי מעודכן'!$A:$B,2,0),0)</f>
        <v>0</v>
      </c>
    </row>
    <row r="383" spans="2:58" x14ac:dyDescent="0.2">
      <c r="B383" s="1">
        <v>23</v>
      </c>
      <c r="C383" s="1">
        <f>+IFERROR(VLOOKUP(C30,'אשכול חברתי מעודכן'!$A:$B,2,0),0)</f>
        <v>0</v>
      </c>
      <c r="D383" s="1">
        <f>+IFERROR(VLOOKUP(D30,'אשכול חברתי מעודכן'!$A:$B,2,0),0)</f>
        <v>0</v>
      </c>
      <c r="E383" s="1">
        <f>+IFERROR(VLOOKUP(E30,'אשכול חברתי מעודכן'!$A:$B,2,0),0)</f>
        <v>0</v>
      </c>
      <c r="F383" s="1">
        <f>+IFERROR(VLOOKUP(F30,'אשכול חברתי מעודכן'!$A:$B,2,0),0)</f>
        <v>0</v>
      </c>
      <c r="G383" s="1">
        <f>+IFERROR(VLOOKUP(G30,'אשכול חברתי מעודכן'!$A:$B,2,0),0)</f>
        <v>0</v>
      </c>
      <c r="H383" s="1">
        <f>+IFERROR(VLOOKUP(H30,'אשכול חברתי מעודכן'!$A:$B,2,0),0)</f>
        <v>0</v>
      </c>
      <c r="I383" s="1">
        <f>+IFERROR(VLOOKUP(I30,'אשכול חברתי מעודכן'!$A:$B,2,0),0)</f>
        <v>0</v>
      </c>
      <c r="J383" s="1">
        <f>+IFERROR(VLOOKUP(J30,'אשכול חברתי מעודכן'!$A:$B,2,0),0)</f>
        <v>0</v>
      </c>
      <c r="K383" s="1">
        <f>+IFERROR(VLOOKUP(K30,'אשכול חברתי מעודכן'!$A:$B,2,0),0)</f>
        <v>0</v>
      </c>
      <c r="L383" s="1">
        <f>+IFERROR(VLOOKUP(L30,'אשכול חברתי מעודכן'!$A:$B,2,0),0)</f>
        <v>0</v>
      </c>
      <c r="M383" s="1">
        <f>+IFERROR(VLOOKUP(M30,'אשכול חברתי מעודכן'!$A:$B,2,0),0)</f>
        <v>0</v>
      </c>
      <c r="N383" s="1">
        <f>+IFERROR(VLOOKUP(N30,'אשכול חברתי מעודכן'!$A:$B,2,0),0)</f>
        <v>0</v>
      </c>
      <c r="O383" s="1">
        <f>+IFERROR(VLOOKUP(O30,'אשכול חברתי מעודכן'!$A:$B,2,0),0)</f>
        <v>0</v>
      </c>
      <c r="P383" s="1">
        <f>+IFERROR(VLOOKUP(P30,'אשכול חברתי מעודכן'!$A:$B,2,0),0)</f>
        <v>0</v>
      </c>
      <c r="Q383" s="1">
        <f>+IFERROR(VLOOKUP(Q30,'אשכול חברתי מעודכן'!$A:$B,2,0),0)</f>
        <v>0</v>
      </c>
      <c r="R383" s="1">
        <f>+IFERROR(VLOOKUP(R30,'אשכול חברתי מעודכן'!$A:$B,2,0),0)</f>
        <v>0</v>
      </c>
      <c r="S383" s="1">
        <f>+IFERROR(VLOOKUP(S30,'אשכול חברתי מעודכן'!$A:$B,2,0),0)</f>
        <v>0</v>
      </c>
      <c r="T383" s="1">
        <f>+IFERROR(VLOOKUP(T30,'אשכול חברתי מעודכן'!$A:$B,2,0),0)</f>
        <v>0</v>
      </c>
      <c r="U383" s="1">
        <f>+IFERROR(VLOOKUP(U30,'אשכול חברתי מעודכן'!$A:$B,2,0),0)</f>
        <v>0</v>
      </c>
      <c r="V383" s="1">
        <f>+IFERROR(VLOOKUP(V30,'אשכול חברתי מעודכן'!$A:$B,2,0),0)</f>
        <v>0</v>
      </c>
      <c r="W383" s="1">
        <f>+IFERROR(VLOOKUP(W30,'אשכול חברתי מעודכן'!$A:$B,2,0),0)</f>
        <v>0</v>
      </c>
      <c r="X383" s="1">
        <f>+IFERROR(VLOOKUP(X30,'אשכול חברתי מעודכן'!$A:$B,2,0),0)</f>
        <v>0</v>
      </c>
      <c r="Y383" s="1">
        <f>+IFERROR(VLOOKUP(Y30,'אשכול חברתי מעודכן'!$A:$B,2,0),0)</f>
        <v>0</v>
      </c>
      <c r="Z383" s="1">
        <f>+IFERROR(VLOOKUP(Z30,'אשכול חברתי מעודכן'!$A:$B,2,0),0)</f>
        <v>0</v>
      </c>
      <c r="AA383" s="1">
        <f>+IFERROR(VLOOKUP(AA30,'אשכול חברתי מעודכן'!$A:$B,2,0),0)</f>
        <v>0</v>
      </c>
      <c r="AB383" s="1">
        <f>+IFERROR(VLOOKUP(AB30,'אשכול חברתי מעודכן'!$A:$B,2,0),0)</f>
        <v>0</v>
      </c>
      <c r="AC383" s="1">
        <f>+IFERROR(VLOOKUP(AC30,'אשכול חברתי מעודכן'!$A:$B,2,0),0)</f>
        <v>0</v>
      </c>
      <c r="AD383" s="1">
        <f>+IFERROR(VLOOKUP(AD30,'אשכול חברתי מעודכן'!$A:$B,2,0),0)</f>
        <v>0</v>
      </c>
      <c r="AE383" s="1">
        <f>+IFERROR(VLOOKUP(AE30,'אשכול חברתי מעודכן'!$A:$B,2,0),0)</f>
        <v>0</v>
      </c>
      <c r="AF383" s="1">
        <f>+IFERROR(VLOOKUP(AF30,'אשכול חברתי מעודכן'!$A:$B,2,0),0)</f>
        <v>0</v>
      </c>
      <c r="AG383" s="1">
        <f>+IFERROR(VLOOKUP(AG30,'אשכול חברתי מעודכן'!$A:$B,2,0),0)</f>
        <v>0</v>
      </c>
      <c r="AH383" s="1">
        <f>+IFERROR(VLOOKUP(AH30,'אשכול חברתי מעודכן'!$A:$B,2,0),0)</f>
        <v>0</v>
      </c>
      <c r="AI383" s="1">
        <f>+IFERROR(VLOOKUP(AI30,'אשכול חברתי מעודכן'!$A:$B,2,0),0)</f>
        <v>0</v>
      </c>
      <c r="AJ383" s="1">
        <f>+IFERROR(VLOOKUP(AJ30,'אשכול חברתי מעודכן'!$A:$B,2,0),0)</f>
        <v>0</v>
      </c>
      <c r="AK383" s="1">
        <f>+IFERROR(VLOOKUP(AK30,'אשכול חברתי מעודכן'!$A:$B,2,0),0)</f>
        <v>0</v>
      </c>
      <c r="AL383" s="1">
        <f>+IFERROR(VLOOKUP(AL30,'אשכול חברתי מעודכן'!$A:$B,2,0),0)</f>
        <v>0</v>
      </c>
      <c r="AM383" s="1">
        <f>+IFERROR(VLOOKUP(AM30,'אשכול חברתי מעודכן'!$A:$B,2,0),0)</f>
        <v>0</v>
      </c>
      <c r="AN383" s="1">
        <f>+IFERROR(VLOOKUP(AN30,'אשכול חברתי מעודכן'!$A:$B,2,0),0)</f>
        <v>0</v>
      </c>
      <c r="AO383" s="1">
        <f>+IFERROR(VLOOKUP(AO30,'אשכול חברתי מעודכן'!$A:$B,2,0),0)</f>
        <v>0</v>
      </c>
      <c r="AP383" s="1">
        <f>+IFERROR(VLOOKUP(AP30,'אשכול חברתי מעודכן'!$A:$B,2,0),0)</f>
        <v>0</v>
      </c>
      <c r="AQ383" s="1">
        <f>+IFERROR(VLOOKUP(AQ30,'אשכול חברתי מעודכן'!$A:$B,2,0),0)</f>
        <v>0</v>
      </c>
      <c r="AR383" s="1">
        <f>+IFERROR(VLOOKUP(AR30,'אשכול חברתי מעודכן'!$A:$B,2,0),0)</f>
        <v>0</v>
      </c>
      <c r="AS383" s="1">
        <f>+IFERROR(VLOOKUP(AS30,'אשכול חברתי מעודכן'!$A:$B,2,0),0)</f>
        <v>0</v>
      </c>
      <c r="AT383" s="1">
        <f>+IFERROR(VLOOKUP(AT30,'אשכול חברתי מעודכן'!$A:$B,2,0),0)</f>
        <v>0</v>
      </c>
      <c r="AU383" s="1">
        <f>+IFERROR(VLOOKUP(AU30,'אשכול חברתי מעודכן'!$A:$B,2,0),0)</f>
        <v>0</v>
      </c>
      <c r="AV383" s="1">
        <f>+IFERROR(VLOOKUP(AV30,'אשכול חברתי מעודכן'!$A:$B,2,0),0)</f>
        <v>0</v>
      </c>
      <c r="AW383" s="1">
        <f>+IFERROR(VLOOKUP(AW30,'אשכול חברתי מעודכן'!$A:$B,2,0),0)</f>
        <v>0</v>
      </c>
      <c r="AX383" s="1">
        <f>+IFERROR(VLOOKUP(AX30,'אשכול חברתי מעודכן'!$A:$B,2,0),0)</f>
        <v>0</v>
      </c>
      <c r="AY383" s="1">
        <f>+IFERROR(VLOOKUP(AY30,'אשכול חברתי מעודכן'!$A:$B,2,0),0)</f>
        <v>0</v>
      </c>
      <c r="AZ383" s="1">
        <f>+IFERROR(VLOOKUP(AZ30,'אשכול חברתי מעודכן'!$A:$B,2,0),0)</f>
        <v>0</v>
      </c>
      <c r="BA383" s="1">
        <f>+IFERROR(VLOOKUP(BA30,'אשכול חברתי מעודכן'!$A:$B,2,0),0)</f>
        <v>0</v>
      </c>
      <c r="BB383" s="1">
        <f>+IFERROR(VLOOKUP(BB30,'אשכול חברתי מעודכן'!$A:$B,2,0),0)</f>
        <v>0</v>
      </c>
      <c r="BC383" s="1">
        <f>+IFERROR(VLOOKUP(BC30,'אשכול חברתי מעודכן'!$A:$B,2,0),0)</f>
        <v>0</v>
      </c>
      <c r="BD383" s="1">
        <f>+IFERROR(VLOOKUP(BD30,'אשכול חברתי מעודכן'!$A:$B,2,0),0)</f>
        <v>0</v>
      </c>
      <c r="BE383" s="1">
        <f>+IFERROR(VLOOKUP(BE30,'אשכול חברתי מעודכן'!$A:$B,2,0),0)</f>
        <v>0</v>
      </c>
      <c r="BF383" s="1">
        <f>+IFERROR(VLOOKUP(BF30,'אשכול חברתי מעודכן'!$A:$B,2,0),0)</f>
        <v>0</v>
      </c>
    </row>
    <row r="384" spans="2:58" x14ac:dyDescent="0.2">
      <c r="B384" s="1">
        <v>24</v>
      </c>
      <c r="C384" s="1">
        <f>+IFERROR(VLOOKUP(C31,'אשכול חברתי מעודכן'!$A:$B,2,0),0)</f>
        <v>0</v>
      </c>
      <c r="D384" s="1">
        <f>+IFERROR(VLOOKUP(D31,'אשכול חברתי מעודכן'!$A:$B,2,0),0)</f>
        <v>0</v>
      </c>
      <c r="E384" s="1">
        <f>+IFERROR(VLOOKUP(E31,'אשכול חברתי מעודכן'!$A:$B,2,0),0)</f>
        <v>0</v>
      </c>
      <c r="F384" s="1">
        <f>+IFERROR(VLOOKUP(F31,'אשכול חברתי מעודכן'!$A:$B,2,0),0)</f>
        <v>0</v>
      </c>
      <c r="G384" s="1">
        <f>+IFERROR(VLOOKUP(G31,'אשכול חברתי מעודכן'!$A:$B,2,0),0)</f>
        <v>0</v>
      </c>
      <c r="H384" s="1">
        <f>+IFERROR(VLOOKUP(H31,'אשכול חברתי מעודכן'!$A:$B,2,0),0)</f>
        <v>0</v>
      </c>
      <c r="I384" s="1">
        <f>+IFERROR(VLOOKUP(I31,'אשכול חברתי מעודכן'!$A:$B,2,0),0)</f>
        <v>0</v>
      </c>
      <c r="J384" s="1">
        <f>+IFERROR(VLOOKUP(J31,'אשכול חברתי מעודכן'!$A:$B,2,0),0)</f>
        <v>0</v>
      </c>
      <c r="K384" s="1">
        <f>+IFERROR(VLOOKUP(K31,'אשכול חברתי מעודכן'!$A:$B,2,0),0)</f>
        <v>0</v>
      </c>
      <c r="L384" s="1">
        <f>+IFERROR(VLOOKUP(L31,'אשכול חברתי מעודכן'!$A:$B,2,0),0)</f>
        <v>0</v>
      </c>
      <c r="M384" s="1">
        <f>+IFERROR(VLOOKUP(M31,'אשכול חברתי מעודכן'!$A:$B,2,0),0)</f>
        <v>0</v>
      </c>
      <c r="N384" s="1">
        <f>+IFERROR(VLOOKUP(N31,'אשכול חברתי מעודכן'!$A:$B,2,0),0)</f>
        <v>0</v>
      </c>
      <c r="O384" s="1">
        <f>+IFERROR(VLOOKUP(O31,'אשכול חברתי מעודכן'!$A:$B,2,0),0)</f>
        <v>0</v>
      </c>
      <c r="P384" s="1">
        <f>+IFERROR(VLOOKUP(P31,'אשכול חברתי מעודכן'!$A:$B,2,0),0)</f>
        <v>0</v>
      </c>
      <c r="Q384" s="1">
        <f>+IFERROR(VLOOKUP(Q31,'אשכול חברתי מעודכן'!$A:$B,2,0),0)</f>
        <v>0</v>
      </c>
      <c r="R384" s="1">
        <f>+IFERROR(VLOOKUP(R31,'אשכול חברתי מעודכן'!$A:$B,2,0),0)</f>
        <v>0</v>
      </c>
      <c r="S384" s="1">
        <f>+IFERROR(VLOOKUP(S31,'אשכול חברתי מעודכן'!$A:$B,2,0),0)</f>
        <v>0</v>
      </c>
      <c r="T384" s="1">
        <f>+IFERROR(VLOOKUP(T31,'אשכול חברתי מעודכן'!$A:$B,2,0),0)</f>
        <v>0</v>
      </c>
      <c r="U384" s="1">
        <f>+IFERROR(VLOOKUP(U31,'אשכול חברתי מעודכן'!$A:$B,2,0),0)</f>
        <v>0</v>
      </c>
      <c r="V384" s="1">
        <f>+IFERROR(VLOOKUP(V31,'אשכול חברתי מעודכן'!$A:$B,2,0),0)</f>
        <v>0</v>
      </c>
      <c r="W384" s="1">
        <f>+IFERROR(VLOOKUP(W31,'אשכול חברתי מעודכן'!$A:$B,2,0),0)</f>
        <v>0</v>
      </c>
      <c r="X384" s="1">
        <f>+IFERROR(VLOOKUP(X31,'אשכול חברתי מעודכן'!$A:$B,2,0),0)</f>
        <v>0</v>
      </c>
      <c r="Y384" s="1">
        <f>+IFERROR(VLOOKUP(Y31,'אשכול חברתי מעודכן'!$A:$B,2,0),0)</f>
        <v>0</v>
      </c>
      <c r="Z384" s="1">
        <f>+IFERROR(VLOOKUP(Z31,'אשכול חברתי מעודכן'!$A:$B,2,0),0)</f>
        <v>0</v>
      </c>
      <c r="AA384" s="1">
        <f>+IFERROR(VLOOKUP(AA31,'אשכול חברתי מעודכן'!$A:$B,2,0),0)</f>
        <v>0</v>
      </c>
      <c r="AB384" s="1">
        <f>+IFERROR(VLOOKUP(AB31,'אשכול חברתי מעודכן'!$A:$B,2,0),0)</f>
        <v>0</v>
      </c>
      <c r="AC384" s="1">
        <f>+IFERROR(VLOOKUP(AC31,'אשכול חברתי מעודכן'!$A:$B,2,0),0)</f>
        <v>0</v>
      </c>
      <c r="AD384" s="1">
        <f>+IFERROR(VLOOKUP(AD31,'אשכול חברתי מעודכן'!$A:$B,2,0),0)</f>
        <v>0</v>
      </c>
      <c r="AE384" s="1">
        <f>+IFERROR(VLOOKUP(AE31,'אשכול חברתי מעודכן'!$A:$B,2,0),0)</f>
        <v>0</v>
      </c>
      <c r="AF384" s="1">
        <f>+IFERROR(VLOOKUP(AF31,'אשכול חברתי מעודכן'!$A:$B,2,0),0)</f>
        <v>0</v>
      </c>
      <c r="AG384" s="1">
        <f>+IFERROR(VLOOKUP(AG31,'אשכול חברתי מעודכן'!$A:$B,2,0),0)</f>
        <v>0</v>
      </c>
      <c r="AH384" s="1">
        <f>+IFERROR(VLOOKUP(AH31,'אשכול חברתי מעודכן'!$A:$B,2,0),0)</f>
        <v>0</v>
      </c>
      <c r="AI384" s="1">
        <f>+IFERROR(VLOOKUP(AI31,'אשכול חברתי מעודכן'!$A:$B,2,0),0)</f>
        <v>0</v>
      </c>
      <c r="AJ384" s="1">
        <f>+IFERROR(VLOOKUP(AJ31,'אשכול חברתי מעודכן'!$A:$B,2,0),0)</f>
        <v>0</v>
      </c>
      <c r="AK384" s="1">
        <f>+IFERROR(VLOOKUP(AK31,'אשכול חברתי מעודכן'!$A:$B,2,0),0)</f>
        <v>0</v>
      </c>
      <c r="AL384" s="1">
        <f>+IFERROR(VLOOKUP(AL31,'אשכול חברתי מעודכן'!$A:$B,2,0),0)</f>
        <v>0</v>
      </c>
      <c r="AM384" s="1">
        <f>+IFERROR(VLOOKUP(AM31,'אשכול חברתי מעודכן'!$A:$B,2,0),0)</f>
        <v>0</v>
      </c>
      <c r="AN384" s="1">
        <f>+IFERROR(VLOOKUP(AN31,'אשכול חברתי מעודכן'!$A:$B,2,0),0)</f>
        <v>0</v>
      </c>
      <c r="AO384" s="1">
        <f>+IFERROR(VLOOKUP(AO31,'אשכול חברתי מעודכן'!$A:$B,2,0),0)</f>
        <v>0</v>
      </c>
      <c r="AP384" s="1">
        <f>+IFERROR(VLOOKUP(AP31,'אשכול חברתי מעודכן'!$A:$B,2,0),0)</f>
        <v>0</v>
      </c>
      <c r="AQ384" s="1">
        <f>+IFERROR(VLOOKUP(AQ31,'אשכול חברתי מעודכן'!$A:$B,2,0),0)</f>
        <v>0</v>
      </c>
      <c r="AR384" s="1">
        <f>+IFERROR(VLOOKUP(AR31,'אשכול חברתי מעודכן'!$A:$B,2,0),0)</f>
        <v>0</v>
      </c>
      <c r="AS384" s="1">
        <f>+IFERROR(VLOOKUP(AS31,'אשכול חברתי מעודכן'!$A:$B,2,0),0)</f>
        <v>0</v>
      </c>
      <c r="AT384" s="1">
        <f>+IFERROR(VLOOKUP(AT31,'אשכול חברתי מעודכן'!$A:$B,2,0),0)</f>
        <v>0</v>
      </c>
      <c r="AU384" s="1">
        <f>+IFERROR(VLOOKUP(AU31,'אשכול חברתי מעודכן'!$A:$B,2,0),0)</f>
        <v>0</v>
      </c>
      <c r="AV384" s="1">
        <f>+IFERROR(VLOOKUP(AV31,'אשכול חברתי מעודכן'!$A:$B,2,0),0)</f>
        <v>0</v>
      </c>
      <c r="AW384" s="1">
        <f>+IFERROR(VLOOKUP(AW31,'אשכול חברתי מעודכן'!$A:$B,2,0),0)</f>
        <v>0</v>
      </c>
      <c r="AX384" s="1">
        <f>+IFERROR(VLOOKUP(AX31,'אשכול חברתי מעודכן'!$A:$B,2,0),0)</f>
        <v>0</v>
      </c>
      <c r="AY384" s="1">
        <f>+IFERROR(VLOOKUP(AY31,'אשכול חברתי מעודכן'!$A:$B,2,0),0)</f>
        <v>0</v>
      </c>
      <c r="AZ384" s="1">
        <f>+IFERROR(VLOOKUP(AZ31,'אשכול חברתי מעודכן'!$A:$B,2,0),0)</f>
        <v>0</v>
      </c>
      <c r="BA384" s="1">
        <f>+IFERROR(VLOOKUP(BA31,'אשכול חברתי מעודכן'!$A:$B,2,0),0)</f>
        <v>0</v>
      </c>
      <c r="BB384" s="1">
        <f>+IFERROR(VLOOKUP(BB31,'אשכול חברתי מעודכן'!$A:$B,2,0),0)</f>
        <v>0</v>
      </c>
      <c r="BC384" s="1">
        <f>+IFERROR(VLOOKUP(BC31,'אשכול חברתי מעודכן'!$A:$B,2,0),0)</f>
        <v>0</v>
      </c>
      <c r="BD384" s="1">
        <f>+IFERROR(VLOOKUP(BD31,'אשכול חברתי מעודכן'!$A:$B,2,0),0)</f>
        <v>0</v>
      </c>
      <c r="BE384" s="1">
        <f>+IFERROR(VLOOKUP(BE31,'אשכול חברתי מעודכן'!$A:$B,2,0),0)</f>
        <v>0</v>
      </c>
      <c r="BF384" s="1">
        <f>+IFERROR(VLOOKUP(BF31,'אשכול חברתי מעודכן'!$A:$B,2,0),0)</f>
        <v>0</v>
      </c>
    </row>
    <row r="385" spans="1:58" x14ac:dyDescent="0.2">
      <c r="B385" s="1">
        <v>25</v>
      </c>
      <c r="C385" s="1">
        <f>+IFERROR(VLOOKUP(C32,'אשכול חברתי מעודכן'!$A:$B,2,0),0)</f>
        <v>0</v>
      </c>
      <c r="D385" s="1">
        <f>+IFERROR(VLOOKUP(D32,'אשכול חברתי מעודכן'!$A:$B,2,0),0)</f>
        <v>0</v>
      </c>
      <c r="E385" s="1">
        <f>+IFERROR(VLOOKUP(E32,'אשכול חברתי מעודכן'!$A:$B,2,0),0)</f>
        <v>0</v>
      </c>
      <c r="F385" s="1">
        <f>+IFERROR(VLOOKUP(F32,'אשכול חברתי מעודכן'!$A:$B,2,0),0)</f>
        <v>0</v>
      </c>
      <c r="G385" s="1">
        <f>+IFERROR(VLOOKUP(G32,'אשכול חברתי מעודכן'!$A:$B,2,0),0)</f>
        <v>0</v>
      </c>
      <c r="H385" s="1">
        <f>+IFERROR(VLOOKUP(H32,'אשכול חברתי מעודכן'!$A:$B,2,0),0)</f>
        <v>0</v>
      </c>
      <c r="I385" s="1">
        <f>+IFERROR(VLOOKUP(I32,'אשכול חברתי מעודכן'!$A:$B,2,0),0)</f>
        <v>0</v>
      </c>
      <c r="J385" s="1">
        <f>+IFERROR(VLOOKUP(J32,'אשכול חברתי מעודכן'!$A:$B,2,0),0)</f>
        <v>0</v>
      </c>
      <c r="K385" s="1">
        <f>+IFERROR(VLOOKUP(K32,'אשכול חברתי מעודכן'!$A:$B,2,0),0)</f>
        <v>0</v>
      </c>
      <c r="L385" s="1">
        <f>+IFERROR(VLOOKUP(L32,'אשכול חברתי מעודכן'!$A:$B,2,0),0)</f>
        <v>0</v>
      </c>
      <c r="M385" s="1">
        <f>+IFERROR(VLOOKUP(M32,'אשכול חברתי מעודכן'!$A:$B,2,0),0)</f>
        <v>0</v>
      </c>
      <c r="N385" s="1">
        <f>+IFERROR(VLOOKUP(N32,'אשכול חברתי מעודכן'!$A:$B,2,0),0)</f>
        <v>0</v>
      </c>
      <c r="O385" s="1">
        <f>+IFERROR(VLOOKUP(O32,'אשכול חברתי מעודכן'!$A:$B,2,0),0)</f>
        <v>0</v>
      </c>
      <c r="P385" s="1">
        <f>+IFERROR(VLOOKUP(P32,'אשכול חברתי מעודכן'!$A:$B,2,0),0)</f>
        <v>0</v>
      </c>
      <c r="Q385" s="1">
        <f>+IFERROR(VLOOKUP(Q32,'אשכול חברתי מעודכן'!$A:$B,2,0),0)</f>
        <v>0</v>
      </c>
      <c r="R385" s="1">
        <f>+IFERROR(VLOOKUP(R32,'אשכול חברתי מעודכן'!$A:$B,2,0),0)</f>
        <v>0</v>
      </c>
      <c r="S385" s="1">
        <f>+IFERROR(VLOOKUP(S32,'אשכול חברתי מעודכן'!$A:$B,2,0),0)</f>
        <v>0</v>
      </c>
      <c r="T385" s="1">
        <f>+IFERROR(VLOOKUP(T32,'אשכול חברתי מעודכן'!$A:$B,2,0),0)</f>
        <v>0</v>
      </c>
      <c r="U385" s="1">
        <f>+IFERROR(VLOOKUP(U32,'אשכול חברתי מעודכן'!$A:$B,2,0),0)</f>
        <v>0</v>
      </c>
      <c r="V385" s="1">
        <f>+IFERROR(VLOOKUP(V32,'אשכול חברתי מעודכן'!$A:$B,2,0),0)</f>
        <v>0</v>
      </c>
      <c r="W385" s="1">
        <f>+IFERROR(VLOOKUP(W32,'אשכול חברתי מעודכן'!$A:$B,2,0),0)</f>
        <v>0</v>
      </c>
      <c r="X385" s="1">
        <f>+IFERROR(VLOOKUP(X32,'אשכול חברתי מעודכן'!$A:$B,2,0),0)</f>
        <v>0</v>
      </c>
      <c r="Y385" s="1">
        <f>+IFERROR(VLOOKUP(Y32,'אשכול חברתי מעודכן'!$A:$B,2,0),0)</f>
        <v>0</v>
      </c>
      <c r="Z385" s="1">
        <f>+IFERROR(VLOOKUP(Z32,'אשכול חברתי מעודכן'!$A:$B,2,0),0)</f>
        <v>0</v>
      </c>
      <c r="AA385" s="1">
        <f>+IFERROR(VLOOKUP(AA32,'אשכול חברתי מעודכן'!$A:$B,2,0),0)</f>
        <v>0</v>
      </c>
      <c r="AB385" s="1">
        <f>+IFERROR(VLOOKUP(AB32,'אשכול חברתי מעודכן'!$A:$B,2,0),0)</f>
        <v>0</v>
      </c>
      <c r="AC385" s="1">
        <f>+IFERROR(VLOOKUP(AC32,'אשכול חברתי מעודכן'!$A:$B,2,0),0)</f>
        <v>0</v>
      </c>
      <c r="AD385" s="1">
        <f>+IFERROR(VLOOKUP(AD32,'אשכול חברתי מעודכן'!$A:$B,2,0),0)</f>
        <v>0</v>
      </c>
      <c r="AE385" s="1">
        <f>+IFERROR(VLOOKUP(AE32,'אשכול חברתי מעודכן'!$A:$B,2,0),0)</f>
        <v>0</v>
      </c>
      <c r="AF385" s="1">
        <f>+IFERROR(VLOOKUP(AF32,'אשכול חברתי מעודכן'!$A:$B,2,0),0)</f>
        <v>0</v>
      </c>
      <c r="AG385" s="1">
        <f>+IFERROR(VLOOKUP(AG32,'אשכול חברתי מעודכן'!$A:$B,2,0),0)</f>
        <v>0</v>
      </c>
      <c r="AH385" s="1">
        <f>+IFERROR(VLOOKUP(AH32,'אשכול חברתי מעודכן'!$A:$B,2,0),0)</f>
        <v>0</v>
      </c>
      <c r="AI385" s="1">
        <f>+IFERROR(VLOOKUP(AI32,'אשכול חברתי מעודכן'!$A:$B,2,0),0)</f>
        <v>0</v>
      </c>
      <c r="AJ385" s="1">
        <f>+IFERROR(VLOOKUP(AJ32,'אשכול חברתי מעודכן'!$A:$B,2,0),0)</f>
        <v>0</v>
      </c>
      <c r="AK385" s="1">
        <f>+IFERROR(VLOOKUP(AK32,'אשכול חברתי מעודכן'!$A:$B,2,0),0)</f>
        <v>0</v>
      </c>
      <c r="AL385" s="1">
        <f>+IFERROR(VLOOKUP(AL32,'אשכול חברתי מעודכן'!$A:$B,2,0),0)</f>
        <v>0</v>
      </c>
      <c r="AM385" s="1">
        <f>+IFERROR(VLOOKUP(AM32,'אשכול חברתי מעודכן'!$A:$B,2,0),0)</f>
        <v>0</v>
      </c>
      <c r="AN385" s="1">
        <f>+IFERROR(VLOOKUP(AN32,'אשכול חברתי מעודכן'!$A:$B,2,0),0)</f>
        <v>0</v>
      </c>
      <c r="AO385" s="1">
        <f>+IFERROR(VLOOKUP(AO32,'אשכול חברתי מעודכן'!$A:$B,2,0),0)</f>
        <v>0</v>
      </c>
      <c r="AP385" s="1">
        <f>+IFERROR(VLOOKUP(AP32,'אשכול חברתי מעודכן'!$A:$B,2,0),0)</f>
        <v>0</v>
      </c>
      <c r="AQ385" s="1">
        <f>+IFERROR(VLOOKUP(AQ32,'אשכול חברתי מעודכן'!$A:$B,2,0),0)</f>
        <v>0</v>
      </c>
      <c r="AR385" s="1">
        <f>+IFERROR(VLOOKUP(AR32,'אשכול חברתי מעודכן'!$A:$B,2,0),0)</f>
        <v>0</v>
      </c>
      <c r="AS385" s="1">
        <f>+IFERROR(VLOOKUP(AS32,'אשכול חברתי מעודכן'!$A:$B,2,0),0)</f>
        <v>0</v>
      </c>
      <c r="AT385" s="1">
        <f>+IFERROR(VLOOKUP(AT32,'אשכול חברתי מעודכן'!$A:$B,2,0),0)</f>
        <v>0</v>
      </c>
      <c r="AU385" s="1">
        <f>+IFERROR(VLOOKUP(AU32,'אשכול חברתי מעודכן'!$A:$B,2,0),0)</f>
        <v>0</v>
      </c>
      <c r="AV385" s="1">
        <f>+IFERROR(VLOOKUP(AV32,'אשכול חברתי מעודכן'!$A:$B,2,0),0)</f>
        <v>0</v>
      </c>
      <c r="AW385" s="1">
        <f>+IFERROR(VLOOKUP(AW32,'אשכול חברתי מעודכן'!$A:$B,2,0),0)</f>
        <v>0</v>
      </c>
      <c r="AX385" s="1">
        <f>+IFERROR(VLOOKUP(AX32,'אשכול חברתי מעודכן'!$A:$B,2,0),0)</f>
        <v>0</v>
      </c>
      <c r="AY385" s="1">
        <f>+IFERROR(VLOOKUP(AY32,'אשכול חברתי מעודכן'!$A:$B,2,0),0)</f>
        <v>0</v>
      </c>
      <c r="AZ385" s="1">
        <f>+IFERROR(VLOOKUP(AZ32,'אשכול חברתי מעודכן'!$A:$B,2,0),0)</f>
        <v>0</v>
      </c>
      <c r="BA385" s="1">
        <f>+IFERROR(VLOOKUP(BA32,'אשכול חברתי מעודכן'!$A:$B,2,0),0)</f>
        <v>0</v>
      </c>
      <c r="BB385" s="1">
        <f>+IFERROR(VLOOKUP(BB32,'אשכול חברתי מעודכן'!$A:$B,2,0),0)</f>
        <v>0</v>
      </c>
      <c r="BC385" s="1">
        <f>+IFERROR(VLOOKUP(BC32,'אשכול חברתי מעודכן'!$A:$B,2,0),0)</f>
        <v>0</v>
      </c>
      <c r="BD385" s="1">
        <f>+IFERROR(VLOOKUP(BD32,'אשכול חברתי מעודכן'!$A:$B,2,0),0)</f>
        <v>0</v>
      </c>
      <c r="BE385" s="1">
        <f>+IFERROR(VLOOKUP(BE32,'אשכול חברתי מעודכן'!$A:$B,2,0),0)</f>
        <v>0</v>
      </c>
      <c r="BF385" s="1">
        <f>+IFERROR(VLOOKUP(BF32,'אשכול חברתי מעודכן'!$A:$B,2,0),0)</f>
        <v>0</v>
      </c>
    </row>
    <row r="386" spans="1:58" x14ac:dyDescent="0.2">
      <c r="B386" s="1">
        <v>26</v>
      </c>
      <c r="C386" s="1">
        <f>+IFERROR(VLOOKUP(C33,'אשכול חברתי מעודכן'!$A:$B,2,0),0)</f>
        <v>0</v>
      </c>
      <c r="D386" s="1">
        <f>+IFERROR(VLOOKUP(D33,'אשכול חברתי מעודכן'!$A:$B,2,0),0)</f>
        <v>0</v>
      </c>
      <c r="E386" s="1">
        <f>+IFERROR(VLOOKUP(E33,'אשכול חברתי מעודכן'!$A:$B,2,0),0)</f>
        <v>0</v>
      </c>
      <c r="F386" s="1">
        <f>+IFERROR(VLOOKUP(F33,'אשכול חברתי מעודכן'!$A:$B,2,0),0)</f>
        <v>0</v>
      </c>
      <c r="G386" s="1">
        <f>+IFERROR(VLOOKUP(G33,'אשכול חברתי מעודכן'!$A:$B,2,0),0)</f>
        <v>0</v>
      </c>
      <c r="H386" s="1">
        <f>+IFERROR(VLOOKUP(H33,'אשכול חברתי מעודכן'!$A:$B,2,0),0)</f>
        <v>0</v>
      </c>
      <c r="I386" s="1">
        <f>+IFERROR(VLOOKUP(I33,'אשכול חברתי מעודכן'!$A:$B,2,0),0)</f>
        <v>0</v>
      </c>
      <c r="J386" s="1">
        <f>+IFERROR(VLOOKUP(J33,'אשכול חברתי מעודכן'!$A:$B,2,0),0)</f>
        <v>0</v>
      </c>
      <c r="K386" s="1">
        <f>+IFERROR(VLOOKUP(K33,'אשכול חברתי מעודכן'!$A:$B,2,0),0)</f>
        <v>0</v>
      </c>
      <c r="L386" s="1">
        <f>+IFERROR(VLOOKUP(L33,'אשכול חברתי מעודכן'!$A:$B,2,0),0)</f>
        <v>0</v>
      </c>
      <c r="M386" s="1">
        <f>+IFERROR(VLOOKUP(M33,'אשכול חברתי מעודכן'!$A:$B,2,0),0)</f>
        <v>0</v>
      </c>
      <c r="N386" s="1">
        <f>+IFERROR(VLOOKUP(N33,'אשכול חברתי מעודכן'!$A:$B,2,0),0)</f>
        <v>0</v>
      </c>
      <c r="O386" s="1">
        <f>+IFERROR(VLOOKUP(O33,'אשכול חברתי מעודכן'!$A:$B,2,0),0)</f>
        <v>0</v>
      </c>
      <c r="P386" s="1">
        <f>+IFERROR(VLOOKUP(P33,'אשכול חברתי מעודכן'!$A:$B,2,0),0)</f>
        <v>0</v>
      </c>
      <c r="Q386" s="1">
        <f>+IFERROR(VLOOKUP(Q33,'אשכול חברתי מעודכן'!$A:$B,2,0),0)</f>
        <v>0</v>
      </c>
      <c r="R386" s="1">
        <f>+IFERROR(VLOOKUP(R33,'אשכול חברתי מעודכן'!$A:$B,2,0),0)</f>
        <v>0</v>
      </c>
      <c r="S386" s="1">
        <f>+IFERROR(VLOOKUP(S33,'אשכול חברתי מעודכן'!$A:$B,2,0),0)</f>
        <v>0</v>
      </c>
      <c r="T386" s="1">
        <f>+IFERROR(VLOOKUP(T33,'אשכול חברתי מעודכן'!$A:$B,2,0),0)</f>
        <v>0</v>
      </c>
      <c r="U386" s="1">
        <f>+IFERROR(VLOOKUP(U33,'אשכול חברתי מעודכן'!$A:$B,2,0),0)</f>
        <v>0</v>
      </c>
      <c r="V386" s="1">
        <f>+IFERROR(VLOOKUP(V33,'אשכול חברתי מעודכן'!$A:$B,2,0),0)</f>
        <v>0</v>
      </c>
      <c r="W386" s="1">
        <f>+IFERROR(VLOOKUP(W33,'אשכול חברתי מעודכן'!$A:$B,2,0),0)</f>
        <v>0</v>
      </c>
      <c r="X386" s="1">
        <f>+IFERROR(VLOOKUP(X33,'אשכול חברתי מעודכן'!$A:$B,2,0),0)</f>
        <v>0</v>
      </c>
      <c r="Y386" s="1">
        <f>+IFERROR(VLOOKUP(Y33,'אשכול חברתי מעודכן'!$A:$B,2,0),0)</f>
        <v>0</v>
      </c>
      <c r="Z386" s="1">
        <f>+IFERROR(VLOOKUP(Z33,'אשכול חברתי מעודכן'!$A:$B,2,0),0)</f>
        <v>0</v>
      </c>
      <c r="AA386" s="1">
        <f>+IFERROR(VLOOKUP(AA33,'אשכול חברתי מעודכן'!$A:$B,2,0),0)</f>
        <v>0</v>
      </c>
      <c r="AB386" s="1">
        <f>+IFERROR(VLOOKUP(AB33,'אשכול חברתי מעודכן'!$A:$B,2,0),0)</f>
        <v>0</v>
      </c>
      <c r="AC386" s="1">
        <f>+IFERROR(VLOOKUP(AC33,'אשכול חברתי מעודכן'!$A:$B,2,0),0)</f>
        <v>0</v>
      </c>
      <c r="AD386" s="1">
        <f>+IFERROR(VLOOKUP(AD33,'אשכול חברתי מעודכן'!$A:$B,2,0),0)</f>
        <v>0</v>
      </c>
      <c r="AE386" s="1">
        <f>+IFERROR(VLOOKUP(AE33,'אשכול חברתי מעודכן'!$A:$B,2,0),0)</f>
        <v>0</v>
      </c>
      <c r="AF386" s="1">
        <f>+IFERROR(VLOOKUP(AF33,'אשכול חברתי מעודכן'!$A:$B,2,0),0)</f>
        <v>0</v>
      </c>
      <c r="AG386" s="1">
        <f>+IFERROR(VLOOKUP(AG33,'אשכול חברתי מעודכן'!$A:$B,2,0),0)</f>
        <v>0</v>
      </c>
      <c r="AH386" s="1">
        <f>+IFERROR(VLOOKUP(AH33,'אשכול חברתי מעודכן'!$A:$B,2,0),0)</f>
        <v>0</v>
      </c>
      <c r="AI386" s="1">
        <f>+IFERROR(VLOOKUP(AI33,'אשכול חברתי מעודכן'!$A:$B,2,0),0)</f>
        <v>0</v>
      </c>
      <c r="AJ386" s="1">
        <f>+IFERROR(VLOOKUP(AJ33,'אשכול חברתי מעודכן'!$A:$B,2,0),0)</f>
        <v>0</v>
      </c>
      <c r="AK386" s="1">
        <f>+IFERROR(VLOOKUP(AK33,'אשכול חברתי מעודכן'!$A:$B,2,0),0)</f>
        <v>0</v>
      </c>
      <c r="AL386" s="1">
        <f>+IFERROR(VLOOKUP(AL33,'אשכול חברתי מעודכן'!$A:$B,2,0),0)</f>
        <v>0</v>
      </c>
      <c r="AM386" s="1">
        <f>+IFERROR(VLOOKUP(AM33,'אשכול חברתי מעודכן'!$A:$B,2,0),0)</f>
        <v>0</v>
      </c>
      <c r="AN386" s="1">
        <f>+IFERROR(VLOOKUP(AN33,'אשכול חברתי מעודכן'!$A:$B,2,0),0)</f>
        <v>0</v>
      </c>
      <c r="AO386" s="1">
        <f>+IFERROR(VLOOKUP(AO33,'אשכול חברתי מעודכן'!$A:$B,2,0),0)</f>
        <v>0</v>
      </c>
      <c r="AP386" s="1">
        <f>+IFERROR(VLOOKUP(AP33,'אשכול חברתי מעודכן'!$A:$B,2,0),0)</f>
        <v>0</v>
      </c>
      <c r="AQ386" s="1">
        <f>+IFERROR(VLOOKUP(AQ33,'אשכול חברתי מעודכן'!$A:$B,2,0),0)</f>
        <v>0</v>
      </c>
      <c r="AR386" s="1">
        <f>+IFERROR(VLOOKUP(AR33,'אשכול חברתי מעודכן'!$A:$B,2,0),0)</f>
        <v>0</v>
      </c>
      <c r="AS386" s="1">
        <f>+IFERROR(VLOOKUP(AS33,'אשכול חברתי מעודכן'!$A:$B,2,0),0)</f>
        <v>0</v>
      </c>
      <c r="AT386" s="1">
        <f>+IFERROR(VLOOKUP(AT33,'אשכול חברתי מעודכן'!$A:$B,2,0),0)</f>
        <v>0</v>
      </c>
      <c r="AU386" s="1">
        <f>+IFERROR(VLOOKUP(AU33,'אשכול חברתי מעודכן'!$A:$B,2,0),0)</f>
        <v>0</v>
      </c>
      <c r="AV386" s="1">
        <f>+IFERROR(VLOOKUP(AV33,'אשכול חברתי מעודכן'!$A:$B,2,0),0)</f>
        <v>0</v>
      </c>
      <c r="AW386" s="1">
        <f>+IFERROR(VLOOKUP(AW33,'אשכול חברתי מעודכן'!$A:$B,2,0),0)</f>
        <v>0</v>
      </c>
      <c r="AX386" s="1">
        <f>+IFERROR(VLOOKUP(AX33,'אשכול חברתי מעודכן'!$A:$B,2,0),0)</f>
        <v>0</v>
      </c>
      <c r="AY386" s="1">
        <f>+IFERROR(VLOOKUP(AY33,'אשכול חברתי מעודכן'!$A:$B,2,0),0)</f>
        <v>0</v>
      </c>
      <c r="AZ386" s="1">
        <f>+IFERROR(VLOOKUP(AZ33,'אשכול חברתי מעודכן'!$A:$B,2,0),0)</f>
        <v>0</v>
      </c>
      <c r="BA386" s="1">
        <f>+IFERROR(VLOOKUP(BA33,'אשכול חברתי מעודכן'!$A:$B,2,0),0)</f>
        <v>0</v>
      </c>
      <c r="BB386" s="1">
        <f>+IFERROR(VLOOKUP(BB33,'אשכול חברתי מעודכן'!$A:$B,2,0),0)</f>
        <v>0</v>
      </c>
      <c r="BC386" s="1">
        <f>+IFERROR(VLOOKUP(BC33,'אשכול חברתי מעודכן'!$A:$B,2,0),0)</f>
        <v>0</v>
      </c>
      <c r="BD386" s="1">
        <f>+IFERROR(VLOOKUP(BD33,'אשכול חברתי מעודכן'!$A:$B,2,0),0)</f>
        <v>0</v>
      </c>
      <c r="BE386" s="1">
        <f>+IFERROR(VLOOKUP(BE33,'אשכול חברתי מעודכן'!$A:$B,2,0),0)</f>
        <v>0</v>
      </c>
      <c r="BF386" s="1">
        <f>+IFERROR(VLOOKUP(BF33,'אשכול חברתי מעודכן'!$A:$B,2,0),0)</f>
        <v>0</v>
      </c>
    </row>
    <row r="387" spans="1:58" x14ac:dyDescent="0.2">
      <c r="B387" s="1">
        <v>27</v>
      </c>
      <c r="C387" s="1">
        <f>+IFERROR(VLOOKUP(C34,'אשכול חברתי מעודכן'!$A:$B,2,0),0)</f>
        <v>0</v>
      </c>
      <c r="D387" s="1">
        <f>+IFERROR(VLOOKUP(D34,'אשכול חברתי מעודכן'!$A:$B,2,0),0)</f>
        <v>0</v>
      </c>
      <c r="E387" s="1">
        <f>+IFERROR(VLOOKUP(E34,'אשכול חברתי מעודכן'!$A:$B,2,0),0)</f>
        <v>0</v>
      </c>
      <c r="F387" s="1">
        <f>+IFERROR(VLOOKUP(F34,'אשכול חברתי מעודכן'!$A:$B,2,0),0)</f>
        <v>0</v>
      </c>
      <c r="G387" s="1">
        <f>+IFERROR(VLOOKUP(G34,'אשכול חברתי מעודכן'!$A:$B,2,0),0)</f>
        <v>0</v>
      </c>
      <c r="H387" s="1">
        <f>+IFERROR(VLOOKUP(H34,'אשכול חברתי מעודכן'!$A:$B,2,0),0)</f>
        <v>0</v>
      </c>
      <c r="I387" s="1">
        <f>+IFERROR(VLOOKUP(I34,'אשכול חברתי מעודכן'!$A:$B,2,0),0)</f>
        <v>0</v>
      </c>
      <c r="J387" s="1">
        <f>+IFERROR(VLOOKUP(J34,'אשכול חברתי מעודכן'!$A:$B,2,0),0)</f>
        <v>0</v>
      </c>
      <c r="K387" s="1">
        <f>+IFERROR(VLOOKUP(K34,'אשכול חברתי מעודכן'!$A:$B,2,0),0)</f>
        <v>0</v>
      </c>
      <c r="L387" s="1">
        <f>+IFERROR(VLOOKUP(L34,'אשכול חברתי מעודכן'!$A:$B,2,0),0)</f>
        <v>0</v>
      </c>
      <c r="M387" s="1">
        <f>+IFERROR(VLOOKUP(M34,'אשכול חברתי מעודכן'!$A:$B,2,0),0)</f>
        <v>0</v>
      </c>
      <c r="N387" s="1">
        <f>+IFERROR(VLOOKUP(N34,'אשכול חברתי מעודכן'!$A:$B,2,0),0)</f>
        <v>0</v>
      </c>
      <c r="O387" s="1">
        <f>+IFERROR(VLOOKUP(O34,'אשכול חברתי מעודכן'!$A:$B,2,0),0)</f>
        <v>0</v>
      </c>
      <c r="P387" s="1">
        <f>+IFERROR(VLOOKUP(P34,'אשכול חברתי מעודכן'!$A:$B,2,0),0)</f>
        <v>0</v>
      </c>
      <c r="Q387" s="1">
        <f>+IFERROR(VLOOKUP(Q34,'אשכול חברתי מעודכן'!$A:$B,2,0),0)</f>
        <v>0</v>
      </c>
      <c r="R387" s="1">
        <f>+IFERROR(VLOOKUP(R34,'אשכול חברתי מעודכן'!$A:$B,2,0),0)</f>
        <v>0</v>
      </c>
      <c r="S387" s="1">
        <f>+IFERROR(VLOOKUP(S34,'אשכול חברתי מעודכן'!$A:$B,2,0),0)</f>
        <v>0</v>
      </c>
      <c r="T387" s="1">
        <f>+IFERROR(VLOOKUP(T34,'אשכול חברתי מעודכן'!$A:$B,2,0),0)</f>
        <v>0</v>
      </c>
      <c r="U387" s="1">
        <f>+IFERROR(VLOOKUP(U34,'אשכול חברתי מעודכן'!$A:$B,2,0),0)</f>
        <v>0</v>
      </c>
      <c r="V387" s="1">
        <f>+IFERROR(VLOOKUP(V34,'אשכול חברתי מעודכן'!$A:$B,2,0),0)</f>
        <v>0</v>
      </c>
      <c r="W387" s="1">
        <f>+IFERROR(VLOOKUP(W34,'אשכול חברתי מעודכן'!$A:$B,2,0),0)</f>
        <v>0</v>
      </c>
      <c r="X387" s="1">
        <f>+IFERROR(VLOOKUP(X34,'אשכול חברתי מעודכן'!$A:$B,2,0),0)</f>
        <v>0</v>
      </c>
      <c r="Y387" s="1">
        <f>+IFERROR(VLOOKUP(Y34,'אשכול חברתי מעודכן'!$A:$B,2,0),0)</f>
        <v>0</v>
      </c>
      <c r="Z387" s="1">
        <f>+IFERROR(VLOOKUP(Z34,'אשכול חברתי מעודכן'!$A:$B,2,0),0)</f>
        <v>0</v>
      </c>
      <c r="AA387" s="1">
        <f>+IFERROR(VLOOKUP(AA34,'אשכול חברתי מעודכן'!$A:$B,2,0),0)</f>
        <v>0</v>
      </c>
      <c r="AB387" s="1">
        <f>+IFERROR(VLOOKUP(AB34,'אשכול חברתי מעודכן'!$A:$B,2,0),0)</f>
        <v>0</v>
      </c>
      <c r="AC387" s="1">
        <f>+IFERROR(VLOOKUP(AC34,'אשכול חברתי מעודכן'!$A:$B,2,0),0)</f>
        <v>0</v>
      </c>
      <c r="AD387" s="1">
        <f>+IFERROR(VLOOKUP(AD34,'אשכול חברתי מעודכן'!$A:$B,2,0),0)</f>
        <v>0</v>
      </c>
      <c r="AE387" s="1">
        <f>+IFERROR(VLOOKUP(AE34,'אשכול חברתי מעודכן'!$A:$B,2,0),0)</f>
        <v>0</v>
      </c>
      <c r="AF387" s="1">
        <f>+IFERROR(VLOOKUP(AF34,'אשכול חברתי מעודכן'!$A:$B,2,0),0)</f>
        <v>0</v>
      </c>
      <c r="AG387" s="1">
        <f>+IFERROR(VLOOKUP(AG34,'אשכול חברתי מעודכן'!$A:$B,2,0),0)</f>
        <v>0</v>
      </c>
      <c r="AH387" s="1">
        <f>+IFERROR(VLOOKUP(AH34,'אשכול חברתי מעודכן'!$A:$B,2,0),0)</f>
        <v>0</v>
      </c>
      <c r="AI387" s="1">
        <f>+IFERROR(VLOOKUP(AI34,'אשכול חברתי מעודכן'!$A:$B,2,0),0)</f>
        <v>0</v>
      </c>
      <c r="AJ387" s="1">
        <f>+IFERROR(VLOOKUP(AJ34,'אשכול חברתי מעודכן'!$A:$B,2,0),0)</f>
        <v>0</v>
      </c>
      <c r="AK387" s="1">
        <f>+IFERROR(VLOOKUP(AK34,'אשכול חברתי מעודכן'!$A:$B,2,0),0)</f>
        <v>0</v>
      </c>
      <c r="AL387" s="1">
        <f>+IFERROR(VLOOKUP(AL34,'אשכול חברתי מעודכן'!$A:$B,2,0),0)</f>
        <v>0</v>
      </c>
      <c r="AM387" s="1">
        <f>+IFERROR(VLOOKUP(AM34,'אשכול חברתי מעודכן'!$A:$B,2,0),0)</f>
        <v>0</v>
      </c>
      <c r="AN387" s="1">
        <f>+IFERROR(VLOOKUP(AN34,'אשכול חברתי מעודכן'!$A:$B,2,0),0)</f>
        <v>0</v>
      </c>
      <c r="AO387" s="1">
        <f>+IFERROR(VLOOKUP(AO34,'אשכול חברתי מעודכן'!$A:$B,2,0),0)</f>
        <v>0</v>
      </c>
      <c r="AP387" s="1">
        <f>+IFERROR(VLOOKUP(AP34,'אשכול חברתי מעודכן'!$A:$B,2,0),0)</f>
        <v>0</v>
      </c>
      <c r="AQ387" s="1">
        <f>+IFERROR(VLOOKUP(AQ34,'אשכול חברתי מעודכן'!$A:$B,2,0),0)</f>
        <v>0</v>
      </c>
      <c r="AR387" s="1">
        <f>+IFERROR(VLOOKUP(AR34,'אשכול חברתי מעודכן'!$A:$B,2,0),0)</f>
        <v>0</v>
      </c>
      <c r="AS387" s="1">
        <f>+IFERROR(VLOOKUP(AS34,'אשכול חברתי מעודכן'!$A:$B,2,0),0)</f>
        <v>0</v>
      </c>
      <c r="AT387" s="1">
        <f>+IFERROR(VLOOKUP(AT34,'אשכול חברתי מעודכן'!$A:$B,2,0),0)</f>
        <v>0</v>
      </c>
      <c r="AU387" s="1">
        <f>+IFERROR(VLOOKUP(AU34,'אשכול חברתי מעודכן'!$A:$B,2,0),0)</f>
        <v>0</v>
      </c>
      <c r="AV387" s="1">
        <f>+IFERROR(VLOOKUP(AV34,'אשכול חברתי מעודכן'!$A:$B,2,0),0)</f>
        <v>0</v>
      </c>
      <c r="AW387" s="1">
        <f>+IFERROR(VLOOKUP(AW34,'אשכול חברתי מעודכן'!$A:$B,2,0),0)</f>
        <v>0</v>
      </c>
      <c r="AX387" s="1">
        <f>+IFERROR(VLOOKUP(AX34,'אשכול חברתי מעודכן'!$A:$B,2,0),0)</f>
        <v>0</v>
      </c>
      <c r="AY387" s="1">
        <f>+IFERROR(VLOOKUP(AY34,'אשכול חברתי מעודכן'!$A:$B,2,0),0)</f>
        <v>0</v>
      </c>
      <c r="AZ387" s="1">
        <f>+IFERROR(VLOOKUP(AZ34,'אשכול חברתי מעודכן'!$A:$B,2,0),0)</f>
        <v>0</v>
      </c>
      <c r="BA387" s="1">
        <f>+IFERROR(VLOOKUP(BA34,'אשכול חברתי מעודכן'!$A:$B,2,0),0)</f>
        <v>0</v>
      </c>
      <c r="BB387" s="1">
        <f>+IFERROR(VLOOKUP(BB34,'אשכול חברתי מעודכן'!$A:$B,2,0),0)</f>
        <v>0</v>
      </c>
      <c r="BC387" s="1">
        <f>+IFERROR(VLOOKUP(BC34,'אשכול חברתי מעודכן'!$A:$B,2,0),0)</f>
        <v>0</v>
      </c>
      <c r="BD387" s="1">
        <f>+IFERROR(VLOOKUP(BD34,'אשכול חברתי מעודכן'!$A:$B,2,0),0)</f>
        <v>0</v>
      </c>
      <c r="BE387" s="1">
        <f>+IFERROR(VLOOKUP(BE34,'אשכול חברתי מעודכן'!$A:$B,2,0),0)</f>
        <v>0</v>
      </c>
      <c r="BF387" s="1">
        <f>+IFERROR(VLOOKUP(BF34,'אשכול חברתי מעודכן'!$A:$B,2,0),0)</f>
        <v>0</v>
      </c>
    </row>
    <row r="388" spans="1:58" x14ac:dyDescent="0.2">
      <c r="B388" s="1">
        <v>28</v>
      </c>
      <c r="C388" s="1">
        <f>+IFERROR(VLOOKUP(C35,'אשכול חברתי מעודכן'!$A:$B,2,0),0)</f>
        <v>0</v>
      </c>
      <c r="D388" s="1">
        <f>+IFERROR(VLOOKUP(D35,'אשכול חברתי מעודכן'!$A:$B,2,0),0)</f>
        <v>0</v>
      </c>
      <c r="E388" s="1">
        <f>+IFERROR(VLOOKUP(E35,'אשכול חברתי מעודכן'!$A:$B,2,0),0)</f>
        <v>0</v>
      </c>
      <c r="F388" s="1">
        <f>+IFERROR(VLOOKUP(F35,'אשכול חברתי מעודכן'!$A:$B,2,0),0)</f>
        <v>0</v>
      </c>
      <c r="G388" s="1">
        <f>+IFERROR(VLOOKUP(G35,'אשכול חברתי מעודכן'!$A:$B,2,0),0)</f>
        <v>0</v>
      </c>
      <c r="H388" s="1">
        <f>+IFERROR(VLOOKUP(H35,'אשכול חברתי מעודכן'!$A:$B,2,0),0)</f>
        <v>0</v>
      </c>
      <c r="I388" s="1">
        <f>+IFERROR(VLOOKUP(I35,'אשכול חברתי מעודכן'!$A:$B,2,0),0)</f>
        <v>0</v>
      </c>
      <c r="J388" s="1">
        <f>+IFERROR(VLOOKUP(J35,'אשכול חברתי מעודכן'!$A:$B,2,0),0)</f>
        <v>0</v>
      </c>
      <c r="K388" s="1">
        <f>+IFERROR(VLOOKUP(K35,'אשכול חברתי מעודכן'!$A:$B,2,0),0)</f>
        <v>0</v>
      </c>
      <c r="L388" s="1">
        <f>+IFERROR(VLOOKUP(L35,'אשכול חברתי מעודכן'!$A:$B,2,0),0)</f>
        <v>0</v>
      </c>
      <c r="M388" s="1">
        <f>+IFERROR(VLOOKUP(M35,'אשכול חברתי מעודכן'!$A:$B,2,0),0)</f>
        <v>0</v>
      </c>
      <c r="N388" s="1">
        <f>+IFERROR(VLOOKUP(N35,'אשכול חברתי מעודכן'!$A:$B,2,0),0)</f>
        <v>0</v>
      </c>
      <c r="O388" s="1">
        <f>+IFERROR(VLOOKUP(O35,'אשכול חברתי מעודכן'!$A:$B,2,0),0)</f>
        <v>0</v>
      </c>
      <c r="P388" s="1">
        <f>+IFERROR(VLOOKUP(P35,'אשכול חברתי מעודכן'!$A:$B,2,0),0)</f>
        <v>0</v>
      </c>
      <c r="Q388" s="1">
        <f>+IFERROR(VLOOKUP(Q35,'אשכול חברתי מעודכן'!$A:$B,2,0),0)</f>
        <v>0</v>
      </c>
      <c r="R388" s="1">
        <f>+IFERROR(VLOOKUP(R35,'אשכול חברתי מעודכן'!$A:$B,2,0),0)</f>
        <v>0</v>
      </c>
      <c r="S388" s="1">
        <f>+IFERROR(VLOOKUP(S35,'אשכול חברתי מעודכן'!$A:$B,2,0),0)</f>
        <v>0</v>
      </c>
      <c r="T388" s="1">
        <f>+IFERROR(VLOOKUP(T35,'אשכול חברתי מעודכן'!$A:$B,2,0),0)</f>
        <v>0</v>
      </c>
      <c r="U388" s="1">
        <f>+IFERROR(VLOOKUP(U35,'אשכול חברתי מעודכן'!$A:$B,2,0),0)</f>
        <v>0</v>
      </c>
      <c r="V388" s="1">
        <f>+IFERROR(VLOOKUP(V35,'אשכול חברתי מעודכן'!$A:$B,2,0),0)</f>
        <v>0</v>
      </c>
      <c r="W388" s="1">
        <f>+IFERROR(VLOOKUP(W35,'אשכול חברתי מעודכן'!$A:$B,2,0),0)</f>
        <v>0</v>
      </c>
      <c r="X388" s="1">
        <f>+IFERROR(VLOOKUP(X35,'אשכול חברתי מעודכן'!$A:$B,2,0),0)</f>
        <v>0</v>
      </c>
      <c r="Y388" s="1">
        <f>+IFERROR(VLOOKUP(Y35,'אשכול חברתי מעודכן'!$A:$B,2,0),0)</f>
        <v>0</v>
      </c>
      <c r="Z388" s="1">
        <f>+IFERROR(VLOOKUP(Z35,'אשכול חברתי מעודכן'!$A:$B,2,0),0)</f>
        <v>0</v>
      </c>
      <c r="AA388" s="1">
        <f>+IFERROR(VLOOKUP(AA35,'אשכול חברתי מעודכן'!$A:$B,2,0),0)</f>
        <v>0</v>
      </c>
      <c r="AB388" s="1">
        <f>+IFERROR(VLOOKUP(AB35,'אשכול חברתי מעודכן'!$A:$B,2,0),0)</f>
        <v>0</v>
      </c>
      <c r="AC388" s="1">
        <f>+IFERROR(VLOOKUP(AC35,'אשכול חברתי מעודכן'!$A:$B,2,0),0)</f>
        <v>0</v>
      </c>
      <c r="AD388" s="1">
        <f>+IFERROR(VLOOKUP(AD35,'אשכול חברתי מעודכן'!$A:$B,2,0),0)</f>
        <v>0</v>
      </c>
      <c r="AE388" s="1">
        <f>+IFERROR(VLOOKUP(AE35,'אשכול חברתי מעודכן'!$A:$B,2,0),0)</f>
        <v>0</v>
      </c>
      <c r="AF388" s="1">
        <f>+IFERROR(VLOOKUP(AF35,'אשכול חברתי מעודכן'!$A:$B,2,0),0)</f>
        <v>0</v>
      </c>
      <c r="AG388" s="1">
        <f>+IFERROR(VLOOKUP(AG35,'אשכול חברתי מעודכן'!$A:$B,2,0),0)</f>
        <v>0</v>
      </c>
      <c r="AH388" s="1">
        <f>+IFERROR(VLOOKUP(AH35,'אשכול חברתי מעודכן'!$A:$B,2,0),0)</f>
        <v>0</v>
      </c>
      <c r="AI388" s="1">
        <f>+IFERROR(VLOOKUP(AI35,'אשכול חברתי מעודכן'!$A:$B,2,0),0)</f>
        <v>0</v>
      </c>
      <c r="AJ388" s="1">
        <f>+IFERROR(VLOOKUP(AJ35,'אשכול חברתי מעודכן'!$A:$B,2,0),0)</f>
        <v>0</v>
      </c>
      <c r="AK388" s="1">
        <f>+IFERROR(VLOOKUP(AK35,'אשכול חברתי מעודכן'!$A:$B,2,0),0)</f>
        <v>0</v>
      </c>
      <c r="AL388" s="1">
        <f>+IFERROR(VLOOKUP(AL35,'אשכול חברתי מעודכן'!$A:$B,2,0),0)</f>
        <v>0</v>
      </c>
      <c r="AM388" s="1">
        <f>+IFERROR(VLOOKUP(AM35,'אשכול חברתי מעודכן'!$A:$B,2,0),0)</f>
        <v>0</v>
      </c>
      <c r="AN388" s="1">
        <f>+IFERROR(VLOOKUP(AN35,'אשכול חברתי מעודכן'!$A:$B,2,0),0)</f>
        <v>0</v>
      </c>
      <c r="AO388" s="1">
        <f>+IFERROR(VLOOKUP(AO35,'אשכול חברתי מעודכן'!$A:$B,2,0),0)</f>
        <v>0</v>
      </c>
      <c r="AP388" s="1">
        <f>+IFERROR(VLOOKUP(AP35,'אשכול חברתי מעודכן'!$A:$B,2,0),0)</f>
        <v>0</v>
      </c>
      <c r="AQ388" s="1">
        <f>+IFERROR(VLOOKUP(AQ35,'אשכול חברתי מעודכן'!$A:$B,2,0),0)</f>
        <v>0</v>
      </c>
      <c r="AR388" s="1">
        <f>+IFERROR(VLOOKUP(AR35,'אשכול חברתי מעודכן'!$A:$B,2,0),0)</f>
        <v>0</v>
      </c>
      <c r="AS388" s="1">
        <f>+IFERROR(VLOOKUP(AS35,'אשכול חברתי מעודכן'!$A:$B,2,0),0)</f>
        <v>0</v>
      </c>
      <c r="AT388" s="1">
        <f>+IFERROR(VLOOKUP(AT35,'אשכול חברתי מעודכן'!$A:$B,2,0),0)</f>
        <v>0</v>
      </c>
      <c r="AU388" s="1">
        <f>+IFERROR(VLOOKUP(AU35,'אשכול חברתי מעודכן'!$A:$B,2,0),0)</f>
        <v>0</v>
      </c>
      <c r="AV388" s="1">
        <f>+IFERROR(VLOOKUP(AV35,'אשכול חברתי מעודכן'!$A:$B,2,0),0)</f>
        <v>0</v>
      </c>
      <c r="AW388" s="1">
        <f>+IFERROR(VLOOKUP(AW35,'אשכול חברתי מעודכן'!$A:$B,2,0),0)</f>
        <v>0</v>
      </c>
      <c r="AX388" s="1">
        <f>+IFERROR(VLOOKUP(AX35,'אשכול חברתי מעודכן'!$A:$B,2,0),0)</f>
        <v>0</v>
      </c>
      <c r="AY388" s="1">
        <f>+IFERROR(VLOOKUP(AY35,'אשכול חברתי מעודכן'!$A:$B,2,0),0)</f>
        <v>0</v>
      </c>
      <c r="AZ388" s="1">
        <f>+IFERROR(VLOOKUP(AZ35,'אשכול חברתי מעודכן'!$A:$B,2,0),0)</f>
        <v>0</v>
      </c>
      <c r="BA388" s="1">
        <f>+IFERROR(VLOOKUP(BA35,'אשכול חברתי מעודכן'!$A:$B,2,0),0)</f>
        <v>0</v>
      </c>
      <c r="BB388" s="1">
        <f>+IFERROR(VLOOKUP(BB35,'אשכול חברתי מעודכן'!$A:$B,2,0),0)</f>
        <v>0</v>
      </c>
      <c r="BC388" s="1">
        <f>+IFERROR(VLOOKUP(BC35,'אשכול חברתי מעודכן'!$A:$B,2,0),0)</f>
        <v>0</v>
      </c>
      <c r="BD388" s="1">
        <f>+IFERROR(VLOOKUP(BD35,'אשכול חברתי מעודכן'!$A:$B,2,0),0)</f>
        <v>0</v>
      </c>
      <c r="BE388" s="1">
        <f>+IFERROR(VLOOKUP(BE35,'אשכול חברתי מעודכן'!$A:$B,2,0),0)</f>
        <v>0</v>
      </c>
      <c r="BF388" s="1">
        <f>+IFERROR(VLOOKUP(BF35,'אשכול חברתי מעודכן'!$A:$B,2,0),0)</f>
        <v>0</v>
      </c>
    </row>
    <row r="389" spans="1:58" x14ac:dyDescent="0.2">
      <c r="B389" s="1">
        <v>29</v>
      </c>
      <c r="C389" s="1">
        <f>+IFERROR(VLOOKUP(C36,'אשכול חברתי מעודכן'!$A:$B,2,0),0)</f>
        <v>0</v>
      </c>
      <c r="D389" s="1">
        <f>+IFERROR(VLOOKUP(D36,'אשכול חברתי מעודכן'!$A:$B,2,0),0)</f>
        <v>0</v>
      </c>
      <c r="E389" s="1">
        <f>+IFERROR(VLOOKUP(E36,'אשכול חברתי מעודכן'!$A:$B,2,0),0)</f>
        <v>0</v>
      </c>
      <c r="F389" s="1">
        <f>+IFERROR(VLOOKUP(F36,'אשכול חברתי מעודכן'!$A:$B,2,0),0)</f>
        <v>0</v>
      </c>
      <c r="G389" s="1">
        <f>+IFERROR(VLOOKUP(G36,'אשכול חברתי מעודכן'!$A:$B,2,0),0)</f>
        <v>0</v>
      </c>
      <c r="H389" s="1">
        <f>+IFERROR(VLOOKUP(H36,'אשכול חברתי מעודכן'!$A:$B,2,0),0)</f>
        <v>0</v>
      </c>
      <c r="I389" s="1">
        <f>+IFERROR(VLOOKUP(I36,'אשכול חברתי מעודכן'!$A:$B,2,0),0)</f>
        <v>0</v>
      </c>
      <c r="J389" s="1">
        <f>+IFERROR(VLOOKUP(J36,'אשכול חברתי מעודכן'!$A:$B,2,0),0)</f>
        <v>0</v>
      </c>
      <c r="K389" s="1">
        <f>+IFERROR(VLOOKUP(K36,'אשכול חברתי מעודכן'!$A:$B,2,0),0)</f>
        <v>0</v>
      </c>
      <c r="L389" s="1">
        <f>+IFERROR(VLOOKUP(L36,'אשכול חברתי מעודכן'!$A:$B,2,0),0)</f>
        <v>0</v>
      </c>
      <c r="M389" s="1">
        <f>+IFERROR(VLOOKUP(M36,'אשכול חברתי מעודכן'!$A:$B,2,0),0)</f>
        <v>0</v>
      </c>
      <c r="N389" s="1">
        <f>+IFERROR(VLOOKUP(N36,'אשכול חברתי מעודכן'!$A:$B,2,0),0)</f>
        <v>0</v>
      </c>
      <c r="O389" s="1">
        <f>+IFERROR(VLOOKUP(O36,'אשכול חברתי מעודכן'!$A:$B,2,0),0)</f>
        <v>0</v>
      </c>
      <c r="P389" s="1">
        <f>+IFERROR(VLOOKUP(P36,'אשכול חברתי מעודכן'!$A:$B,2,0),0)</f>
        <v>0</v>
      </c>
      <c r="Q389" s="1">
        <f>+IFERROR(VLOOKUP(Q36,'אשכול חברתי מעודכן'!$A:$B,2,0),0)</f>
        <v>0</v>
      </c>
      <c r="R389" s="1">
        <f>+IFERROR(VLOOKUP(R36,'אשכול חברתי מעודכן'!$A:$B,2,0),0)</f>
        <v>0</v>
      </c>
      <c r="S389" s="1">
        <f>+IFERROR(VLOOKUP(S36,'אשכול חברתי מעודכן'!$A:$B,2,0),0)</f>
        <v>0</v>
      </c>
      <c r="T389" s="1">
        <f>+IFERROR(VLOOKUP(T36,'אשכול חברתי מעודכן'!$A:$B,2,0),0)</f>
        <v>0</v>
      </c>
      <c r="U389" s="1">
        <f>+IFERROR(VLOOKUP(U36,'אשכול חברתי מעודכן'!$A:$B,2,0),0)</f>
        <v>0</v>
      </c>
      <c r="V389" s="1">
        <f>+IFERROR(VLOOKUP(V36,'אשכול חברתי מעודכן'!$A:$B,2,0),0)</f>
        <v>0</v>
      </c>
      <c r="W389" s="1">
        <f>+IFERROR(VLOOKUP(W36,'אשכול חברתי מעודכן'!$A:$B,2,0),0)</f>
        <v>0</v>
      </c>
      <c r="X389" s="1">
        <f>+IFERROR(VLOOKUP(X36,'אשכול חברתי מעודכן'!$A:$B,2,0),0)</f>
        <v>0</v>
      </c>
      <c r="Y389" s="1">
        <f>+IFERROR(VLOOKUP(Y36,'אשכול חברתי מעודכן'!$A:$B,2,0),0)</f>
        <v>0</v>
      </c>
      <c r="Z389" s="1">
        <f>+IFERROR(VLOOKUP(Z36,'אשכול חברתי מעודכן'!$A:$B,2,0),0)</f>
        <v>0</v>
      </c>
      <c r="AA389" s="1">
        <f>+IFERROR(VLOOKUP(AA36,'אשכול חברתי מעודכן'!$A:$B,2,0),0)</f>
        <v>0</v>
      </c>
      <c r="AB389" s="1">
        <f>+IFERROR(VLOOKUP(AB36,'אשכול חברתי מעודכן'!$A:$B,2,0),0)</f>
        <v>0</v>
      </c>
      <c r="AC389" s="1">
        <f>+IFERROR(VLOOKUP(AC36,'אשכול חברתי מעודכן'!$A:$B,2,0),0)</f>
        <v>0</v>
      </c>
      <c r="AD389" s="1">
        <f>+IFERROR(VLOOKUP(AD36,'אשכול חברתי מעודכן'!$A:$B,2,0),0)</f>
        <v>0</v>
      </c>
      <c r="AE389" s="1">
        <f>+IFERROR(VLOOKUP(AE36,'אשכול חברתי מעודכן'!$A:$B,2,0),0)</f>
        <v>0</v>
      </c>
      <c r="AF389" s="1">
        <f>+IFERROR(VLOOKUP(AF36,'אשכול חברתי מעודכן'!$A:$B,2,0),0)</f>
        <v>0</v>
      </c>
      <c r="AG389" s="1">
        <f>+IFERROR(VLOOKUP(AG36,'אשכול חברתי מעודכן'!$A:$B,2,0),0)</f>
        <v>0</v>
      </c>
      <c r="AH389" s="1">
        <f>+IFERROR(VLOOKUP(AH36,'אשכול חברתי מעודכן'!$A:$B,2,0),0)</f>
        <v>0</v>
      </c>
      <c r="AI389" s="1">
        <f>+IFERROR(VLOOKUP(AI36,'אשכול חברתי מעודכן'!$A:$B,2,0),0)</f>
        <v>0</v>
      </c>
      <c r="AJ389" s="1">
        <f>+IFERROR(VLOOKUP(AJ36,'אשכול חברתי מעודכן'!$A:$B,2,0),0)</f>
        <v>0</v>
      </c>
      <c r="AK389" s="1">
        <f>+IFERROR(VLOOKUP(AK36,'אשכול חברתי מעודכן'!$A:$B,2,0),0)</f>
        <v>0</v>
      </c>
      <c r="AL389" s="1">
        <f>+IFERROR(VLOOKUP(AL36,'אשכול חברתי מעודכן'!$A:$B,2,0),0)</f>
        <v>0</v>
      </c>
      <c r="AM389" s="1">
        <f>+IFERROR(VLOOKUP(AM36,'אשכול חברתי מעודכן'!$A:$B,2,0),0)</f>
        <v>0</v>
      </c>
      <c r="AN389" s="1">
        <f>+IFERROR(VLOOKUP(AN36,'אשכול חברתי מעודכן'!$A:$B,2,0),0)</f>
        <v>0</v>
      </c>
      <c r="AO389" s="1">
        <f>+IFERROR(VLOOKUP(AO36,'אשכול חברתי מעודכן'!$A:$B,2,0),0)</f>
        <v>0</v>
      </c>
      <c r="AP389" s="1">
        <f>+IFERROR(VLOOKUP(AP36,'אשכול חברתי מעודכן'!$A:$B,2,0),0)</f>
        <v>0</v>
      </c>
      <c r="AQ389" s="1">
        <f>+IFERROR(VLOOKUP(AQ36,'אשכול חברתי מעודכן'!$A:$B,2,0),0)</f>
        <v>0</v>
      </c>
      <c r="AR389" s="1">
        <f>+IFERROR(VLOOKUP(AR36,'אשכול חברתי מעודכן'!$A:$B,2,0),0)</f>
        <v>0</v>
      </c>
      <c r="AS389" s="1">
        <f>+IFERROR(VLOOKUP(AS36,'אשכול חברתי מעודכן'!$A:$B,2,0),0)</f>
        <v>0</v>
      </c>
      <c r="AT389" s="1">
        <f>+IFERROR(VLOOKUP(AT36,'אשכול חברתי מעודכן'!$A:$B,2,0),0)</f>
        <v>0</v>
      </c>
      <c r="AU389" s="1">
        <f>+IFERROR(VLOOKUP(AU36,'אשכול חברתי מעודכן'!$A:$B,2,0),0)</f>
        <v>0</v>
      </c>
      <c r="AV389" s="1">
        <f>+IFERROR(VLOOKUP(AV36,'אשכול חברתי מעודכן'!$A:$B,2,0),0)</f>
        <v>0</v>
      </c>
      <c r="AW389" s="1">
        <f>+IFERROR(VLOOKUP(AW36,'אשכול חברתי מעודכן'!$A:$B,2,0),0)</f>
        <v>0</v>
      </c>
      <c r="AX389" s="1">
        <f>+IFERROR(VLOOKUP(AX36,'אשכול חברתי מעודכן'!$A:$B,2,0),0)</f>
        <v>0</v>
      </c>
      <c r="AY389" s="1">
        <f>+IFERROR(VLOOKUP(AY36,'אשכול חברתי מעודכן'!$A:$B,2,0),0)</f>
        <v>0</v>
      </c>
      <c r="AZ389" s="1">
        <f>+IFERROR(VLOOKUP(AZ36,'אשכול חברתי מעודכן'!$A:$B,2,0),0)</f>
        <v>0</v>
      </c>
      <c r="BA389" s="1">
        <f>+IFERROR(VLOOKUP(BA36,'אשכול חברתי מעודכן'!$A:$B,2,0),0)</f>
        <v>0</v>
      </c>
      <c r="BB389" s="1">
        <f>+IFERROR(VLOOKUP(BB36,'אשכול חברתי מעודכן'!$A:$B,2,0),0)</f>
        <v>0</v>
      </c>
      <c r="BC389" s="1">
        <f>+IFERROR(VLOOKUP(BC36,'אשכול חברתי מעודכן'!$A:$B,2,0),0)</f>
        <v>0</v>
      </c>
      <c r="BD389" s="1">
        <f>+IFERROR(VLOOKUP(BD36,'אשכול חברתי מעודכן'!$A:$B,2,0),0)</f>
        <v>0</v>
      </c>
      <c r="BE389" s="1">
        <f>+IFERROR(VLOOKUP(BE36,'אשכול חברתי מעודכן'!$A:$B,2,0),0)</f>
        <v>0</v>
      </c>
      <c r="BF389" s="1">
        <f>+IFERROR(VLOOKUP(BF36,'אשכול חברתי מעודכן'!$A:$B,2,0),0)</f>
        <v>0</v>
      </c>
    </row>
    <row r="390" spans="1:58" x14ac:dyDescent="0.2">
      <c r="B390" s="1">
        <v>30</v>
      </c>
      <c r="C390" s="1">
        <f>+IFERROR(VLOOKUP(C37,'אשכול חברתי מעודכן'!$A:$B,2,0),0)</f>
        <v>0</v>
      </c>
      <c r="D390" s="1">
        <f>+IFERROR(VLOOKUP(D37,'אשכול חברתי מעודכן'!$A:$B,2,0),0)</f>
        <v>0</v>
      </c>
      <c r="E390" s="1">
        <f>+IFERROR(VLOOKUP(E37,'אשכול חברתי מעודכן'!$A:$B,2,0),0)</f>
        <v>0</v>
      </c>
      <c r="F390" s="1">
        <f>+IFERROR(VLOOKUP(F37,'אשכול חברתי מעודכן'!$A:$B,2,0),0)</f>
        <v>0</v>
      </c>
      <c r="G390" s="1">
        <f>+IFERROR(VLOOKUP(G37,'אשכול חברתי מעודכן'!$A:$B,2,0),0)</f>
        <v>0</v>
      </c>
      <c r="H390" s="1">
        <f>+IFERROR(VLOOKUP(H37,'אשכול חברתי מעודכן'!$A:$B,2,0),0)</f>
        <v>0</v>
      </c>
      <c r="I390" s="1">
        <f>+IFERROR(VLOOKUP(I37,'אשכול חברתי מעודכן'!$A:$B,2,0),0)</f>
        <v>0</v>
      </c>
      <c r="J390" s="1">
        <f>+IFERROR(VLOOKUP(J37,'אשכול חברתי מעודכן'!$A:$B,2,0),0)</f>
        <v>0</v>
      </c>
      <c r="K390" s="1">
        <f>+IFERROR(VLOOKUP(K37,'אשכול חברתי מעודכן'!$A:$B,2,0),0)</f>
        <v>0</v>
      </c>
      <c r="L390" s="1">
        <f>+IFERROR(VLOOKUP(L37,'אשכול חברתי מעודכן'!$A:$B,2,0),0)</f>
        <v>0</v>
      </c>
      <c r="M390" s="1">
        <f>+IFERROR(VLOOKUP(M37,'אשכול חברתי מעודכן'!$A:$B,2,0),0)</f>
        <v>0</v>
      </c>
      <c r="N390" s="1">
        <f>+IFERROR(VLOOKUP(N37,'אשכול חברתי מעודכן'!$A:$B,2,0),0)</f>
        <v>0</v>
      </c>
      <c r="O390" s="1">
        <f>+IFERROR(VLOOKUP(O37,'אשכול חברתי מעודכן'!$A:$B,2,0),0)</f>
        <v>0</v>
      </c>
      <c r="P390" s="1">
        <f>+IFERROR(VLOOKUP(P37,'אשכול חברתי מעודכן'!$A:$B,2,0),0)</f>
        <v>0</v>
      </c>
      <c r="Q390" s="1">
        <f>+IFERROR(VLOOKUP(Q37,'אשכול חברתי מעודכן'!$A:$B,2,0),0)</f>
        <v>0</v>
      </c>
      <c r="R390" s="1">
        <f>+IFERROR(VLOOKUP(R37,'אשכול חברתי מעודכן'!$A:$B,2,0),0)</f>
        <v>0</v>
      </c>
      <c r="S390" s="1">
        <f>+IFERROR(VLOOKUP(S37,'אשכול חברתי מעודכן'!$A:$B,2,0),0)</f>
        <v>0</v>
      </c>
      <c r="T390" s="1">
        <f>+IFERROR(VLOOKUP(T37,'אשכול חברתי מעודכן'!$A:$B,2,0),0)</f>
        <v>0</v>
      </c>
      <c r="U390" s="1">
        <f>+IFERROR(VLOOKUP(U37,'אשכול חברתי מעודכן'!$A:$B,2,0),0)</f>
        <v>0</v>
      </c>
      <c r="V390" s="1">
        <f>+IFERROR(VLOOKUP(V37,'אשכול חברתי מעודכן'!$A:$B,2,0),0)</f>
        <v>0</v>
      </c>
      <c r="W390" s="1">
        <f>+IFERROR(VLOOKUP(W37,'אשכול חברתי מעודכן'!$A:$B,2,0),0)</f>
        <v>0</v>
      </c>
      <c r="X390" s="1">
        <f>+IFERROR(VLOOKUP(X37,'אשכול חברתי מעודכן'!$A:$B,2,0),0)</f>
        <v>0</v>
      </c>
      <c r="Y390" s="1">
        <f>+IFERROR(VLOOKUP(Y37,'אשכול חברתי מעודכן'!$A:$B,2,0),0)</f>
        <v>0</v>
      </c>
      <c r="Z390" s="1">
        <f>+IFERROR(VLOOKUP(Z37,'אשכול חברתי מעודכן'!$A:$B,2,0),0)</f>
        <v>0</v>
      </c>
      <c r="AA390" s="1">
        <f>+IFERROR(VLOOKUP(AA37,'אשכול חברתי מעודכן'!$A:$B,2,0),0)</f>
        <v>0</v>
      </c>
      <c r="AB390" s="1">
        <f>+IFERROR(VLOOKUP(AB37,'אשכול חברתי מעודכן'!$A:$B,2,0),0)</f>
        <v>0</v>
      </c>
      <c r="AC390" s="1">
        <f>+IFERROR(VLOOKUP(AC37,'אשכול חברתי מעודכן'!$A:$B,2,0),0)</f>
        <v>0</v>
      </c>
      <c r="AD390" s="1">
        <f>+IFERROR(VLOOKUP(AD37,'אשכול חברתי מעודכן'!$A:$B,2,0),0)</f>
        <v>0</v>
      </c>
      <c r="AE390" s="1">
        <f>+IFERROR(VLOOKUP(AE37,'אשכול חברתי מעודכן'!$A:$B,2,0),0)</f>
        <v>0</v>
      </c>
      <c r="AF390" s="1">
        <f>+IFERROR(VLOOKUP(AF37,'אשכול חברתי מעודכן'!$A:$B,2,0),0)</f>
        <v>0</v>
      </c>
      <c r="AG390" s="1">
        <f>+IFERROR(VLOOKUP(AG37,'אשכול חברתי מעודכן'!$A:$B,2,0),0)</f>
        <v>0</v>
      </c>
      <c r="AH390" s="1">
        <f>+IFERROR(VLOOKUP(AH37,'אשכול חברתי מעודכן'!$A:$B,2,0),0)</f>
        <v>0</v>
      </c>
      <c r="AI390" s="1">
        <f>+IFERROR(VLOOKUP(AI37,'אשכול חברתי מעודכן'!$A:$B,2,0),0)</f>
        <v>0</v>
      </c>
      <c r="AJ390" s="1">
        <f>+IFERROR(VLOOKUP(AJ37,'אשכול חברתי מעודכן'!$A:$B,2,0),0)</f>
        <v>0</v>
      </c>
      <c r="AK390" s="1">
        <f>+IFERROR(VLOOKUP(AK37,'אשכול חברתי מעודכן'!$A:$B,2,0),0)</f>
        <v>0</v>
      </c>
      <c r="AL390" s="1">
        <f>+IFERROR(VLOOKUP(AL37,'אשכול חברתי מעודכן'!$A:$B,2,0),0)</f>
        <v>0</v>
      </c>
      <c r="AM390" s="1">
        <f>+IFERROR(VLOOKUP(AM37,'אשכול חברתי מעודכן'!$A:$B,2,0),0)</f>
        <v>0</v>
      </c>
      <c r="AN390" s="1">
        <f>+IFERROR(VLOOKUP(AN37,'אשכול חברתי מעודכן'!$A:$B,2,0),0)</f>
        <v>0</v>
      </c>
      <c r="AO390" s="1">
        <f>+IFERROR(VLOOKUP(AO37,'אשכול חברתי מעודכן'!$A:$B,2,0),0)</f>
        <v>0</v>
      </c>
      <c r="AP390" s="1">
        <f>+IFERROR(VLOOKUP(AP37,'אשכול חברתי מעודכן'!$A:$B,2,0),0)</f>
        <v>0</v>
      </c>
      <c r="AQ390" s="1">
        <f>+IFERROR(VLOOKUP(AQ37,'אשכול חברתי מעודכן'!$A:$B,2,0),0)</f>
        <v>0</v>
      </c>
      <c r="AR390" s="1">
        <f>+IFERROR(VLOOKUP(AR37,'אשכול חברתי מעודכן'!$A:$B,2,0),0)</f>
        <v>0</v>
      </c>
      <c r="AS390" s="1">
        <f>+IFERROR(VLOOKUP(AS37,'אשכול חברתי מעודכן'!$A:$B,2,0),0)</f>
        <v>0</v>
      </c>
      <c r="AT390" s="1">
        <f>+IFERROR(VLOOKUP(AT37,'אשכול חברתי מעודכן'!$A:$B,2,0),0)</f>
        <v>0</v>
      </c>
      <c r="AU390" s="1">
        <f>+IFERROR(VLOOKUP(AU37,'אשכול חברתי מעודכן'!$A:$B,2,0),0)</f>
        <v>0</v>
      </c>
      <c r="AV390" s="1">
        <f>+IFERROR(VLOOKUP(AV37,'אשכול חברתי מעודכן'!$A:$B,2,0),0)</f>
        <v>0</v>
      </c>
      <c r="AW390" s="1">
        <f>+IFERROR(VLOOKUP(AW37,'אשכול חברתי מעודכן'!$A:$B,2,0),0)</f>
        <v>0</v>
      </c>
      <c r="AX390" s="1">
        <f>+IFERROR(VLOOKUP(AX37,'אשכול חברתי מעודכן'!$A:$B,2,0),0)</f>
        <v>0</v>
      </c>
      <c r="AY390" s="1">
        <f>+IFERROR(VLOOKUP(AY37,'אשכול חברתי מעודכן'!$A:$B,2,0),0)</f>
        <v>0</v>
      </c>
      <c r="AZ390" s="1">
        <f>+IFERROR(VLOOKUP(AZ37,'אשכול חברתי מעודכן'!$A:$B,2,0),0)</f>
        <v>0</v>
      </c>
      <c r="BA390" s="1">
        <f>+IFERROR(VLOOKUP(BA37,'אשכול חברתי מעודכן'!$A:$B,2,0),0)</f>
        <v>0</v>
      </c>
      <c r="BB390" s="1">
        <f>+IFERROR(VLOOKUP(BB37,'אשכול חברתי מעודכן'!$A:$B,2,0),0)</f>
        <v>0</v>
      </c>
      <c r="BC390" s="1">
        <f>+IFERROR(VLOOKUP(BC37,'אשכול חברתי מעודכן'!$A:$B,2,0),0)</f>
        <v>0</v>
      </c>
      <c r="BD390" s="1">
        <f>+IFERROR(VLOOKUP(BD37,'אשכול חברתי מעודכן'!$A:$B,2,0),0)</f>
        <v>0</v>
      </c>
      <c r="BE390" s="1">
        <f>+IFERROR(VLOOKUP(BE37,'אשכול חברתי מעודכן'!$A:$B,2,0),0)</f>
        <v>0</v>
      </c>
      <c r="BF390" s="1">
        <f>+IFERROR(VLOOKUP(BF37,'אשכול חברתי מעודכן'!$A:$B,2,0),0)</f>
        <v>0</v>
      </c>
    </row>
    <row r="391" spans="1:58" x14ac:dyDescent="0.2">
      <c r="C391" s="50"/>
    </row>
    <row r="392" spans="1:58" x14ac:dyDescent="0.2">
      <c r="A392" s="1" t="s">
        <v>479</v>
      </c>
      <c r="C392" s="42">
        <f>+SUMPRODUCT(C361:C390,C394:C423)/C425</f>
        <v>5.322955883595279</v>
      </c>
      <c r="D392" s="42">
        <f t="shared" ref="D392:BD392" si="47">+SUMPRODUCT(D361:D390,D394:D423)/D425</f>
        <v>3.8227522113984995</v>
      </c>
      <c r="E392" s="42">
        <f t="shared" si="47"/>
        <v>5</v>
      </c>
      <c r="F392" s="42">
        <f t="shared" si="47"/>
        <v>5.2655644742622103</v>
      </c>
      <c r="G392" s="42">
        <f t="shared" si="47"/>
        <v>8</v>
      </c>
      <c r="H392" s="42">
        <f t="shared" si="47"/>
        <v>5.0671808017874014</v>
      </c>
      <c r="I392" s="42">
        <f t="shared" si="47"/>
        <v>6</v>
      </c>
      <c r="J392" s="42">
        <f t="shared" si="47"/>
        <v>5</v>
      </c>
      <c r="K392" s="42">
        <f t="shared" si="47"/>
        <v>5</v>
      </c>
      <c r="L392" s="42">
        <f t="shared" si="47"/>
        <v>4.0383972228689968</v>
      </c>
      <c r="M392" s="42">
        <f t="shared" si="47"/>
        <v>5</v>
      </c>
      <c r="N392" s="42">
        <f t="shared" si="47"/>
        <v>4.7765271820514972</v>
      </c>
      <c r="O392" s="42">
        <f t="shared" si="47"/>
        <v>5.1078772919022892</v>
      </c>
      <c r="P392" s="42">
        <f t="shared" si="47"/>
        <v>3.2566753465508205</v>
      </c>
      <c r="Q392" s="42">
        <f t="shared" si="47"/>
        <v>3</v>
      </c>
      <c r="R392" s="42">
        <f t="shared" si="47"/>
        <v>6.8603892303189928</v>
      </c>
      <c r="S392" s="42">
        <f t="shared" si="47"/>
        <v>4</v>
      </c>
      <c r="T392" s="42">
        <f t="shared" si="47"/>
        <v>4.4635813456746174</v>
      </c>
      <c r="U392" s="42">
        <f t="shared" si="47"/>
        <v>5</v>
      </c>
      <c r="V392" s="42">
        <f t="shared" si="47"/>
        <v>2.1670429762668375</v>
      </c>
      <c r="W392" s="42">
        <f t="shared" si="47"/>
        <v>2.6278630777493444</v>
      </c>
      <c r="X392" s="42">
        <f t="shared" si="47"/>
        <v>2.8416662865136932</v>
      </c>
      <c r="Y392" s="42">
        <f t="shared" si="47"/>
        <v>4.9481725950372812</v>
      </c>
      <c r="Z392" s="42">
        <f t="shared" si="47"/>
        <v>5</v>
      </c>
      <c r="AA392" s="42">
        <f t="shared" si="47"/>
        <v>8</v>
      </c>
      <c r="AB392" s="42">
        <f t="shared" si="47"/>
        <v>4</v>
      </c>
      <c r="AC392" s="42">
        <f t="shared" si="47"/>
        <v>8</v>
      </c>
      <c r="AD392" s="42">
        <f t="shared" si="47"/>
        <v>9</v>
      </c>
      <c r="AE392" s="42">
        <f t="shared" si="47"/>
        <v>7</v>
      </c>
      <c r="AF392" s="42">
        <f t="shared" si="47"/>
        <v>5.3541876892028251</v>
      </c>
      <c r="AG392" s="42">
        <f t="shared" si="47"/>
        <v>5</v>
      </c>
      <c r="AH392" s="42">
        <f t="shared" si="47"/>
        <v>2</v>
      </c>
      <c r="AI392" s="42">
        <f t="shared" si="47"/>
        <v>6</v>
      </c>
      <c r="AJ392" s="42">
        <f t="shared" si="47"/>
        <v>5.1740559608754912</v>
      </c>
      <c r="AK392" s="42">
        <f t="shared" si="47"/>
        <v>6</v>
      </c>
      <c r="AL392" s="42">
        <f t="shared" si="47"/>
        <v>8</v>
      </c>
      <c r="AM392" s="42">
        <f t="shared" si="47"/>
        <v>7.4356612980565817</v>
      </c>
      <c r="AN392" s="42">
        <f t="shared" si="47"/>
        <v>1.6768179814896431</v>
      </c>
      <c r="AO392" s="42">
        <f t="shared" si="47"/>
        <v>7</v>
      </c>
      <c r="AP392" s="42">
        <f t="shared" si="47"/>
        <v>8</v>
      </c>
      <c r="AQ392" s="42">
        <f t="shared" si="47"/>
        <v>5</v>
      </c>
      <c r="AR392" s="42">
        <f t="shared" si="47"/>
        <v>7.5624241306719524</v>
      </c>
      <c r="AS392" s="42">
        <f t="shared" si="47"/>
        <v>2.5665817453038486</v>
      </c>
      <c r="AT392" s="42">
        <f t="shared" si="47"/>
        <v>3</v>
      </c>
      <c r="AU392" s="42">
        <f t="shared" si="47"/>
        <v>8</v>
      </c>
      <c r="AV392" s="42">
        <f t="shared" si="47"/>
        <v>4.6143050808622768</v>
      </c>
      <c r="AW392" s="42">
        <f t="shared" si="47"/>
        <v>4</v>
      </c>
      <c r="AX392" s="42">
        <f t="shared" si="47"/>
        <v>2.832448549196422</v>
      </c>
      <c r="AY392" s="42">
        <f t="shared" si="47"/>
        <v>5</v>
      </c>
      <c r="AZ392" s="42">
        <f t="shared" si="47"/>
        <v>7.3819787830322952</v>
      </c>
      <c r="BA392" s="42">
        <f t="shared" si="47"/>
        <v>4.3393892702059116</v>
      </c>
      <c r="BB392" s="42">
        <f t="shared" si="47"/>
        <v>2.5951131319400407</v>
      </c>
      <c r="BC392" s="42">
        <f t="shared" si="47"/>
        <v>2.0897141898316463</v>
      </c>
      <c r="BD392" s="42">
        <f t="shared" si="47"/>
        <v>9</v>
      </c>
      <c r="BE392" s="42">
        <f>+SUMPRODUCT(BE361:BE390,BE394:BE423)/BE425</f>
        <v>8</v>
      </c>
      <c r="BF392" s="42">
        <f>+SUMPRODUCT(BF361:BF390,BF394:BF423)/BF425</f>
        <v>6</v>
      </c>
    </row>
    <row r="394" spans="1:58" x14ac:dyDescent="0.2">
      <c r="A394" s="1" t="s">
        <v>662</v>
      </c>
      <c r="B394" s="1">
        <v>1</v>
      </c>
      <c r="C394" s="47">
        <f>+IFERROR(VLOOKUP(C8,'נתוני מים 2014'!$C$2:$L$186,2,0),0)</f>
        <v>225356</v>
      </c>
      <c r="D394" s="47">
        <f>+IFERROR(VLOOKUP(D8,'נתוני מים 2014'!$C$2:$L$186,2,0),0)</f>
        <v>23074</v>
      </c>
      <c r="E394" s="47">
        <f>+IFERROR(VLOOKUP(E8,'נתוני מים 2014'!$C$2:$L$186,2,0),0)</f>
        <v>202428</v>
      </c>
      <c r="F394" s="47">
        <f>+IFERROR(VLOOKUP(F8,'נתוני מים 2014'!$C$2:$L$186,2,0),0)</f>
        <v>18391</v>
      </c>
      <c r="G394" s="47">
        <f>+IFERROR(VLOOKUP(G8,'נתוני מים 2014'!$C$2:$L$186,2,0),0)</f>
        <v>86970</v>
      </c>
      <c r="H394" s="47">
        <f>+IFERROR(VLOOKUP(H8,'נתוני מים 2014'!$C$2:$L$186,2,0),0)</f>
        <v>849782</v>
      </c>
      <c r="I394" s="47">
        <f>+IFERROR(VLOOKUP(I8,'נתוני מים 2014'!$C$2:$L$186,2,0),0)</f>
        <v>240666</v>
      </c>
      <c r="J394" s="47">
        <f>+IFERROR(VLOOKUP(J8,'נתוני מים 2014'!$C$2:$L$186,2,0),0)</f>
        <v>48946</v>
      </c>
      <c r="K394" s="47">
        <f>+IFERROR(VLOOKUP(K8,'נתוני מים 2014'!$C$2:$L$186,2,0),0)</f>
        <v>40312</v>
      </c>
      <c r="L394" s="47">
        <f>+IFERROR(VLOOKUP(L8,'נתוני מים 2014'!$C$2:$L$186,2,0),0)</f>
        <v>42287</v>
      </c>
      <c r="M394" s="47">
        <f>+IFERROR(VLOOKUP(M8,'נתוני מים 2014'!$C$2:$L$186,2,0),0)</f>
        <v>217959</v>
      </c>
      <c r="N394" s="47">
        <f>+IFERROR(VLOOKUP(N8,'נתוני מים 2014'!$C$2:$L$186,2,0),0)</f>
        <v>201086</v>
      </c>
      <c r="O394" s="47">
        <f>+IFERROR(VLOOKUP(O8,'נתוני מים 2014'!$C$2:$L$186,2,0),0)</f>
        <v>187294</v>
      </c>
      <c r="P394" s="47">
        <f>+IFERROR(VLOOKUP(P8,'נתוני מים 2014'!$C$2:$L$186,2,0),0)</f>
        <v>32896</v>
      </c>
      <c r="Q394" s="47">
        <f>+IFERROR(VLOOKUP(Q8,'נתוני מים 2014'!$C$2:$L$186,2,0),0)</f>
        <v>178288</v>
      </c>
      <c r="R394" s="47">
        <f>+IFERROR(VLOOKUP(R8,'נתוני מים 2014'!$C$2:$L$186,2,0),0)</f>
        <v>45784</v>
      </c>
      <c r="S394" s="47">
        <f>+IFERROR(VLOOKUP(S8,'נתוני מים 2014'!$C$2:$L$186,2,0),0)</f>
        <v>72155</v>
      </c>
      <c r="T394" s="47">
        <f>+IFERROR(VLOOKUP(T8,'נתוני מים 2014'!$C$2:$L$186,2,0),0)</f>
        <v>72293</v>
      </c>
      <c r="U394" s="47">
        <f>+IFERROR(VLOOKUP(U8,'נתוני מים 2014'!$C$2:$L$186,2,0),0)</f>
        <v>86774</v>
      </c>
      <c r="V394" s="47">
        <f>+IFERROR(VLOOKUP(V8,'נתוני מים 2014'!$C$2:$L$186,2,0),0)</f>
        <v>20832</v>
      </c>
      <c r="W394" s="47">
        <f>+IFERROR(VLOOKUP(W8,'נתוני מים 2014'!$C$2:$L$186,2,0),0)</f>
        <v>51367</v>
      </c>
      <c r="X394" s="47">
        <f>+IFERROR(VLOOKUP(X8,'נתוני מים 2014'!$C$2:$L$186,2,0),0)</f>
        <v>74619</v>
      </c>
      <c r="Y394" s="47">
        <f>+IFERROR(VLOOKUP(Y8,'נתוני מים 2014'!$C$2:$L$186,2,0),0)</f>
        <v>21153</v>
      </c>
      <c r="Z394" s="47">
        <f>+IFERROR(VLOOKUP(Z8,'נתוני מים 2014'!$C$2:$L$186,2,0),0)</f>
        <v>54327</v>
      </c>
      <c r="AA394" s="47">
        <f>+IFERROR(VLOOKUP(AA8,'נתוני מים 2014'!$C$2:$L$186,2,0),0)</f>
        <v>70206</v>
      </c>
      <c r="AB394" s="47">
        <f>+IFERROR(VLOOKUP(AB8,'נתוני מים 2014'!$C$2:$L$186,2,0),0)</f>
        <v>50570</v>
      </c>
      <c r="AC394" s="47">
        <f>+IFERROR(VLOOKUP(AC8,'נתוני מים 2014'!$C$2:$L$186,2,0),0)</f>
        <v>90733</v>
      </c>
      <c r="AD394" s="47">
        <f>+IFERROR(VLOOKUP(AD8,'נתוני מים 2014'!$C$2:$L$186,2,0),0)</f>
        <v>44050</v>
      </c>
      <c r="AE394" s="47">
        <f>+IFERROR(VLOOKUP(AE8,'נתוני מים 2014'!$C$2:$L$186,2,0),0)</f>
        <v>277082</v>
      </c>
      <c r="AF394" s="47">
        <f>+IFERROR(VLOOKUP(AF8,'נתוני מים 2014'!$C$2:$L$186,2,0),0)</f>
        <v>39680</v>
      </c>
      <c r="AG394" s="47">
        <f>+IFERROR(VLOOKUP(AG8,'נתוני מים 2014'!$C$2:$L$186,2,0),0)</f>
        <v>44633</v>
      </c>
      <c r="AH394" s="47">
        <f>+IFERROR(VLOOKUP(AH8,'נתוני מים 2014'!$C$2:$L$186,2,0),0)</f>
        <v>60426</v>
      </c>
      <c r="AI394" s="47">
        <f>+IFERROR(VLOOKUP(AI8,'נתוני מים 2014'!$C$2:$L$186,2,0),0)</f>
        <v>42165</v>
      </c>
      <c r="AJ394" s="47">
        <f>+IFERROR(VLOOKUP(AJ8,'נתוני מים 2014'!$C$2:$L$186,2,0),0)</f>
        <v>39590</v>
      </c>
      <c r="AK394" s="47">
        <f>+IFERROR(VLOOKUP(AK8,'נתוני מים 2014'!$C$2:$L$186,2,0),0)</f>
        <v>39032</v>
      </c>
      <c r="AL394" s="47">
        <f>+IFERROR(VLOOKUP(AL8,'נתוני מים 2014'!$C$2:$L$186,2,0),0)</f>
        <v>426138</v>
      </c>
      <c r="AM394" s="47">
        <f>+IFERROR(VLOOKUP(AM8,'נתוני מים 2014'!$C$2:$L$186,2,0),0)</f>
        <v>12973</v>
      </c>
      <c r="AN394" s="47">
        <f>+IFERROR(VLOOKUP(AN8,'נתוני מים 2014'!$C$2:$L$186,2,0),0)</f>
        <v>18083</v>
      </c>
      <c r="AO394" s="47">
        <f>+IFERROR(VLOOKUP(AO8,'נתוני מים 2014'!$C$2:$L$186,2,0),0)</f>
        <v>150917</v>
      </c>
      <c r="AP394" s="47">
        <f>+IFERROR(VLOOKUP(AP8,'נתוני מים 2014'!$C$2:$L$186,2,0),0)</f>
        <v>56849</v>
      </c>
      <c r="AQ394" s="47">
        <f>+IFERROR(VLOOKUP(AQ8,'נתוני מים 2014'!$C$2:$L$186,2,0),0)</f>
        <v>128498</v>
      </c>
      <c r="AR394" s="47">
        <f>+IFERROR(VLOOKUP(AR8,'נתוני מים 2014'!$C$2:$L$186,2,0),0)</f>
        <v>36602</v>
      </c>
      <c r="AS394" s="47">
        <f>+IFERROR(VLOOKUP(AS8,'נתוני מים 2014'!$C$2:$L$186,2,0),0)</f>
        <v>39246</v>
      </c>
      <c r="AT394" s="47">
        <f>+IFERROR(VLOOKUP(AT8,'נתוני מים 2014'!$C$2:$L$186,2,0),0)</f>
        <v>98084</v>
      </c>
      <c r="AU394" s="47">
        <f>+IFERROR(VLOOKUP(AU8,'נתוני מים 2014'!$C$2:$L$186,2,0),0)</f>
        <v>54134</v>
      </c>
      <c r="AV394" s="47">
        <f>+IFERROR(VLOOKUP(AV8,'נתוני מים 2014'!$C$2:$L$186,2,0),0)</f>
        <v>126819</v>
      </c>
      <c r="AW394" s="47">
        <f>+IFERROR(VLOOKUP(AW8,'נתוני מים 2014'!$C$2:$L$186,2,0),0)</f>
        <v>47464</v>
      </c>
      <c r="AX394" s="47">
        <f>+IFERROR(VLOOKUP(AX8,'נתוני מים 2014'!$C$2:$L$186,2,0),0)</f>
        <v>0</v>
      </c>
      <c r="AY394" s="47">
        <f>+IFERROR(VLOOKUP(AY8,'נתוני מים 2014'!$C$2:$L$186,2,0),0)</f>
        <v>38945</v>
      </c>
      <c r="AZ394" s="47">
        <f>+IFERROR(VLOOKUP(AZ8,'נתוני מים 2014'!$C$2:$L$186,2,0),0)</f>
        <v>17605</v>
      </c>
      <c r="BA394" s="47">
        <f>+IFERROR(VLOOKUP(BA8,'נתוני מים 2014'!$C$2:$L$186,2,0),0)</f>
        <v>33195</v>
      </c>
      <c r="BB394" s="47">
        <f>+IFERROR(VLOOKUP(BB8,'נתוני מים 2014'!$C$2:$L$186,2,0),0)</f>
        <v>13151</v>
      </c>
      <c r="BC394" s="47">
        <f>+IFERROR(VLOOKUP(BC8,'נתוני מים 2014'!$C$2:$L$186,2,0),0)</f>
        <v>11479</v>
      </c>
      <c r="BD394" s="47">
        <f>+IFERROR(VLOOKUP(BD8,'נתוני מים 2014'!$C$2:$L$186,2,0),0)</f>
        <v>0</v>
      </c>
      <c r="BE394" s="47">
        <f>+IFERROR(VLOOKUP(BE8,'נתוני מים 2014'!$C$2:$L$186,2,0),0)</f>
        <v>15606</v>
      </c>
      <c r="BF394" s="47">
        <f>+IFERROR(VLOOKUP(BF8,'נתוני מים 2014'!$C$2:$L$186,2,0),0)</f>
        <v>128892</v>
      </c>
    </row>
    <row r="395" spans="1:58" x14ac:dyDescent="0.2">
      <c r="B395" s="1">
        <v>2</v>
      </c>
      <c r="C395" s="47">
        <f>+IFERROR(VLOOKUP(C9,'נתוני מים 2014'!$C$2:$L$186,2,0),0)</f>
        <v>43627</v>
      </c>
      <c r="D395" s="47">
        <f>+IFERROR(VLOOKUP(D9,'נתוני מים 2014'!$C$2:$L$186,2,0),0)</f>
        <v>1593</v>
      </c>
      <c r="E395" s="47">
        <f>+IFERROR(VLOOKUP(E9,'נתוני מים 2014'!$C$2:$L$186,2,0),0)</f>
        <v>0</v>
      </c>
      <c r="F395" s="47">
        <f>+IFERROR(VLOOKUP(F9,'נתוני מים 2014'!$C$2:$L$186,2,0),0)</f>
        <v>6650</v>
      </c>
      <c r="G395" s="47">
        <f>+IFERROR(VLOOKUP(G9,'נתוני מים 2014'!$C$2:$L$186,2,0),0)</f>
        <v>0</v>
      </c>
      <c r="H395" s="47">
        <f>+IFERROR(VLOOKUP(H9,'נתוני מים 2014'!$C$2:$L$186,2,0),0)</f>
        <v>6795</v>
      </c>
      <c r="I395" s="47">
        <f>+IFERROR(VLOOKUP(I9,'נתוני מים 2014'!$C$2:$L$186,2,0),0)</f>
        <v>0</v>
      </c>
      <c r="J395" s="47">
        <f>+IFERROR(VLOOKUP(J9,'נתוני מים 2014'!$C$2:$L$186,2,0),0)</f>
        <v>0</v>
      </c>
      <c r="K395" s="47">
        <f>+IFERROR(VLOOKUP(K9,'נתוני מים 2014'!$C$2:$L$186,2,0),0)</f>
        <v>24766</v>
      </c>
      <c r="L395" s="47">
        <f>+IFERROR(VLOOKUP(L9,'נתוני מים 2014'!$C$2:$L$186,2,0),0)</f>
        <v>1814</v>
      </c>
      <c r="M395" s="47">
        <f>+IFERROR(VLOOKUP(M9,'נתוני מים 2014'!$C$2:$L$186,2,0),0)</f>
        <v>0</v>
      </c>
      <c r="N395" s="47">
        <f>+IFERROR(VLOOKUP(N9,'נתוני מים 2014'!$C$2:$L$186,2,0),0)</f>
        <v>25295</v>
      </c>
      <c r="O395" s="47">
        <f>+IFERROR(VLOOKUP(O9,'נתוני מים 2014'!$C$2:$L$186,2,0),0)</f>
        <v>11979</v>
      </c>
      <c r="P395" s="47">
        <f>+IFERROR(VLOOKUP(P9,'נתוני מים 2014'!$C$2:$L$186,2,0),0)</f>
        <v>8839</v>
      </c>
      <c r="Q395" s="47">
        <f>+IFERROR(VLOOKUP(Q9,'נתוני מים 2014'!$C$2:$L$186,2,0),0)</f>
        <v>0</v>
      </c>
      <c r="R395" s="47">
        <f>+IFERROR(VLOOKUP(R9,'נתוני מים 2014'!$C$2:$L$186,2,0),0)</f>
        <v>10699</v>
      </c>
      <c r="S395" s="47">
        <f>+IFERROR(VLOOKUP(S9,'נתוני מים 2014'!$C$2:$L$186,2,0),0)</f>
        <v>0</v>
      </c>
      <c r="T395" s="47">
        <f>+IFERROR(VLOOKUP(T9,'נתוני מים 2014'!$C$2:$L$186,2,0),0)</f>
        <v>25835</v>
      </c>
      <c r="U395" s="47">
        <f>+IFERROR(VLOOKUP(U9,'נתוני מים 2014'!$C$2:$L$186,2,0),0)</f>
        <v>0</v>
      </c>
      <c r="V395" s="47">
        <f>+IFERROR(VLOOKUP(V9,'נתוני מים 2014'!$C$2:$L$186,2,0),0)</f>
        <v>13021</v>
      </c>
      <c r="W395" s="47">
        <f>+IFERROR(VLOOKUP(W9,'נתוני מים 2014'!$C$2:$L$186,2,0),0)</f>
        <v>9000</v>
      </c>
      <c r="X395" s="47">
        <f>+IFERROR(VLOOKUP(X9,'נתוני מים 2014'!$C$2:$L$186,2,0),0)</f>
        <v>18152</v>
      </c>
      <c r="Y395" s="47">
        <f>+IFERROR(VLOOKUP(Y9,'נתוני מים 2014'!$C$2:$L$186,2,0),0)</f>
        <v>6254</v>
      </c>
      <c r="Z395" s="47">
        <f>+IFERROR(VLOOKUP(Z9,'נתוני מים 2014'!$C$2:$L$186,2,0),0)</f>
        <v>0</v>
      </c>
      <c r="AA395" s="47">
        <f>+IFERROR(VLOOKUP(AA9,'נתוני מים 2014'!$C$2:$L$186,2,0),0)</f>
        <v>0</v>
      </c>
      <c r="AB395" s="47">
        <f>+IFERROR(VLOOKUP(AB9,'נתוני מים 2014'!$C$2:$L$186,2,0),0)</f>
        <v>0</v>
      </c>
      <c r="AC395" s="47">
        <f>+IFERROR(VLOOKUP(AC9,'נתוני מים 2014'!$C$2:$L$186,2,0),0)</f>
        <v>0</v>
      </c>
      <c r="AD395" s="47">
        <f>+IFERROR(VLOOKUP(AD9,'נתוני מים 2014'!$C$2:$L$186,2,0),0)</f>
        <v>0</v>
      </c>
      <c r="AE395" s="47">
        <f>+IFERROR(VLOOKUP(AE9,'נתוני מים 2014'!$C$2:$L$186,2,0),0)</f>
        <v>0</v>
      </c>
      <c r="AF395" s="47">
        <f>+IFERROR(VLOOKUP(AF9,'נתוני מים 2014'!$C$2:$L$186,2,0),0)</f>
        <v>21762</v>
      </c>
      <c r="AG395" s="47">
        <f>+IFERROR(VLOOKUP(AG9,'נתוני מים 2014'!$C$2:$L$186,2,0),0)</f>
        <v>0</v>
      </c>
      <c r="AH395" s="47">
        <f>+IFERROR(VLOOKUP(AH9,'נתוני מים 2014'!$C$2:$L$186,2,0),0)</f>
        <v>0</v>
      </c>
      <c r="AI395" s="47">
        <f>+IFERROR(VLOOKUP(AI9,'נתוני מים 2014'!$C$2:$L$186,2,0),0)</f>
        <v>0</v>
      </c>
      <c r="AJ395" s="47">
        <f>+IFERROR(VLOOKUP(AJ9,'נתוני מים 2014'!$C$2:$L$186,2,0),0)</f>
        <v>10302</v>
      </c>
      <c r="AK395" s="47">
        <f>+IFERROR(VLOOKUP(AK9,'נתוני מים 2014'!$C$2:$L$186,2,0),0)</f>
        <v>0</v>
      </c>
      <c r="AL395" s="47">
        <f>+IFERROR(VLOOKUP(AL9,'נתוני מים 2014'!$C$2:$L$186,2,0),0)</f>
        <v>0</v>
      </c>
      <c r="AM395" s="47">
        <f>+IFERROR(VLOOKUP(AM9,'נתוני מים 2014'!$C$2:$L$186,2,0),0)</f>
        <v>21226</v>
      </c>
      <c r="AN395" s="47">
        <f>+IFERROR(VLOOKUP(AN9,'נתוני מים 2014'!$C$2:$L$186,2,0),0)</f>
        <v>18586</v>
      </c>
      <c r="AO395" s="47">
        <f>+IFERROR(VLOOKUP(AO9,'נתוני מים 2014'!$C$2:$L$186,2,0),0)</f>
        <v>0</v>
      </c>
      <c r="AP395" s="47">
        <f>+IFERROR(VLOOKUP(AP9,'נתוני מים 2014'!$C$2:$L$186,2,0),0)</f>
        <v>0</v>
      </c>
      <c r="AQ395" s="47">
        <f>+IFERROR(VLOOKUP(AQ9,'נתוני מים 2014'!$C$2:$L$186,2,0),0)</f>
        <v>0</v>
      </c>
      <c r="AR395" s="47">
        <f>+IFERROR(VLOOKUP(AR9,'נתוני מים 2014'!$C$2:$L$186,2,0),0)</f>
        <v>28477</v>
      </c>
      <c r="AS395" s="47">
        <f>+IFERROR(VLOOKUP(AS9,'נתוני מים 2014'!$C$2:$L$186,2,0),0)</f>
        <v>18053</v>
      </c>
      <c r="AT395" s="47">
        <f>+IFERROR(VLOOKUP(AT9,'נתוני מים 2014'!$C$2:$L$186,2,0),0)</f>
        <v>0</v>
      </c>
      <c r="AU395" s="47">
        <f>+IFERROR(VLOOKUP(AU9,'נתוני מים 2014'!$C$2:$L$186,2,0),0)</f>
        <v>0</v>
      </c>
      <c r="AV395" s="47">
        <f>+IFERROR(VLOOKUP(AV9,'נתוני מים 2014'!$C$2:$L$186,2,0),0)</f>
        <v>30300</v>
      </c>
      <c r="AW395" s="47">
        <f>+IFERROR(VLOOKUP(AW9,'נתוני מים 2014'!$C$2:$L$186,2,0),0)</f>
        <v>0</v>
      </c>
      <c r="AX395" s="47">
        <f>+IFERROR(VLOOKUP(AX9,'נתוני מים 2014'!$C$2:$L$186,2,0),0)</f>
        <v>9216</v>
      </c>
      <c r="AY395" s="47">
        <f>+IFERROR(VLOOKUP(AY9,'נתוני מים 2014'!$C$2:$L$186,2,0),0)</f>
        <v>0</v>
      </c>
      <c r="AZ395" s="47">
        <f>+IFERROR(VLOOKUP(AZ9,'נתוני מים 2014'!$C$2:$L$186,2,0),0)</f>
        <v>21060</v>
      </c>
      <c r="BA395" s="47">
        <f>+IFERROR(VLOOKUP(BA9,'נתוני מים 2014'!$C$2:$L$186,2,0),0)</f>
        <v>24229</v>
      </c>
      <c r="BB395" s="47">
        <f>+IFERROR(VLOOKUP(BB9,'נתוני מים 2014'!$C$2:$L$186,2,0),0)</f>
        <v>19736</v>
      </c>
      <c r="BC395" s="47">
        <f>+IFERROR(VLOOKUP(BC9,'נתוני מים 2014'!$C$2:$L$186,2,0),0)</f>
        <v>9624</v>
      </c>
      <c r="BD395" s="47">
        <f>+IFERROR(VLOOKUP(BD9,'נתוני מים 2014'!$C$2:$L$186,2,0),0)</f>
        <v>9112</v>
      </c>
      <c r="BE395" s="47">
        <f>+IFERROR(VLOOKUP(BE9,'נתוני מים 2014'!$C$2:$L$186,2,0),0)</f>
        <v>0</v>
      </c>
      <c r="BF395" s="47">
        <f>+IFERROR(VLOOKUP(BF9,'נתוני מים 2014'!$C$2:$L$186,2,0),0)</f>
        <v>0</v>
      </c>
    </row>
    <row r="396" spans="1:58" x14ac:dyDescent="0.2">
      <c r="B396" s="1">
        <v>3</v>
      </c>
      <c r="C396" s="47">
        <f>+IFERROR(VLOOKUP(C10,'נתוני מים 2014'!$C$2:$L$186,2,0),0)</f>
        <v>3274</v>
      </c>
      <c r="D396" s="47">
        <f>+IFERROR(VLOOKUP(D10,'נתוני מים 2014'!$C$2:$L$186,2,0),0)</f>
        <v>6829</v>
      </c>
      <c r="E396" s="47">
        <f>+IFERROR(VLOOKUP(E10,'נתוני מים 2014'!$C$2:$L$186,2,0),0)</f>
        <v>0</v>
      </c>
      <c r="F396" s="47">
        <f>+IFERROR(VLOOKUP(F10,'נתוני מים 2014'!$C$2:$L$186,2,0),0)</f>
        <v>0</v>
      </c>
      <c r="G396" s="47">
        <f>+IFERROR(VLOOKUP(G10,'נתוני מים 2014'!$C$2:$L$186,2,0),0)</f>
        <v>0</v>
      </c>
      <c r="H396" s="47">
        <f>+IFERROR(VLOOKUP(H10,'נתוני מים 2014'!$C$2:$L$186,2,0),0)</f>
        <v>24255</v>
      </c>
      <c r="I396" s="47">
        <f>+IFERROR(VLOOKUP(I10,'נתוני מים 2014'!$C$2:$L$186,2,0),0)</f>
        <v>0</v>
      </c>
      <c r="J396" s="47">
        <f>+IFERROR(VLOOKUP(J10,'נתוני מים 2014'!$C$2:$L$186,2,0),0)</f>
        <v>0</v>
      </c>
      <c r="K396" s="47">
        <f>+IFERROR(VLOOKUP(K10,'נתוני מים 2014'!$C$2:$L$186,2,0),0)</f>
        <v>43832</v>
      </c>
      <c r="L396" s="47">
        <f>+IFERROR(VLOOKUP(L10,'נתוני מים 2014'!$C$2:$L$186,2,0),0)</f>
        <v>0</v>
      </c>
      <c r="M396" s="47">
        <f>+IFERROR(VLOOKUP(M10,'נתוני מים 2014'!$C$2:$L$186,2,0),0)</f>
        <v>0</v>
      </c>
      <c r="N396" s="47">
        <f>+IFERROR(VLOOKUP(N10,'נתוני מים 2014'!$C$2:$L$186,2,0),0)</f>
        <v>0</v>
      </c>
      <c r="O396" s="47">
        <f>+IFERROR(VLOOKUP(O10,'נתוני מים 2014'!$C$2:$L$186,2,0),0)</f>
        <v>7078</v>
      </c>
      <c r="P396" s="47">
        <f>+IFERROR(VLOOKUP(P10,'נתוני מים 2014'!$C$2:$L$186,2,0),0)</f>
        <v>6114</v>
      </c>
      <c r="Q396" s="47">
        <f>+IFERROR(VLOOKUP(Q10,'נתוני מים 2014'!$C$2:$L$186,2,0),0)</f>
        <v>0</v>
      </c>
      <c r="R396" s="47">
        <f>+IFERROR(VLOOKUP(R10,'נתוני מים 2014'!$C$2:$L$186,2,0),0)</f>
        <v>11857</v>
      </c>
      <c r="S396" s="47">
        <f>+IFERROR(VLOOKUP(S10,'נתוני מים 2014'!$C$2:$L$186,2,0),0)</f>
        <v>0</v>
      </c>
      <c r="T396" s="47">
        <f>+IFERROR(VLOOKUP(T10,'נתוני מים 2014'!$C$2:$L$186,2,0),0)</f>
        <v>21348</v>
      </c>
      <c r="U396" s="47">
        <f>+IFERROR(VLOOKUP(U10,'נתוני מים 2014'!$C$2:$L$186,2,0),0)</f>
        <v>0</v>
      </c>
      <c r="V396" s="47">
        <f>+IFERROR(VLOOKUP(V10,'נתוני מים 2014'!$C$2:$L$186,2,0),0)</f>
        <v>8896</v>
      </c>
      <c r="W396" s="47">
        <f>+IFERROR(VLOOKUP(W10,'נתוני מים 2014'!$C$2:$L$186,2,0),0)</f>
        <v>17350</v>
      </c>
      <c r="X396" s="47">
        <f>+IFERROR(VLOOKUP(X10,'נתוני מים 2014'!$C$2:$L$186,2,0),0)</f>
        <v>17930</v>
      </c>
      <c r="Y396" s="47">
        <f>+IFERROR(VLOOKUP(Y10,'נתוני מים 2014'!$C$2:$L$186,2,0),0)</f>
        <v>5482</v>
      </c>
      <c r="Z396" s="47">
        <f>+IFERROR(VLOOKUP(Z10,'נתוני מים 2014'!$C$2:$L$186,2,0),0)</f>
        <v>0</v>
      </c>
      <c r="AA396" s="47">
        <f>+IFERROR(VLOOKUP(AA10,'נתוני מים 2014'!$C$2:$L$186,2,0),0)</f>
        <v>0</v>
      </c>
      <c r="AB396" s="47">
        <f>+IFERROR(VLOOKUP(AB10,'נתוני מים 2014'!$C$2:$L$186,2,0),0)</f>
        <v>0</v>
      </c>
      <c r="AC396" s="47">
        <f>+IFERROR(VLOOKUP(AC10,'נתוני מים 2014'!$C$2:$L$186,2,0),0)</f>
        <v>0</v>
      </c>
      <c r="AD396" s="47">
        <f>+IFERROR(VLOOKUP(AD10,'נתוני מים 2014'!$C$2:$L$186,2,0),0)</f>
        <v>0</v>
      </c>
      <c r="AE396" s="47">
        <f>+IFERROR(VLOOKUP(AE10,'נתוני מים 2014'!$C$2:$L$186,2,0),0)</f>
        <v>0</v>
      </c>
      <c r="AF396" s="47">
        <f>+IFERROR(VLOOKUP(AF10,'נתוני מים 2014'!$C$2:$L$186,2,0),0)</f>
        <v>0</v>
      </c>
      <c r="AG396" s="47">
        <f>+IFERROR(VLOOKUP(AG10,'נתוני מים 2014'!$C$2:$L$186,2,0),0)</f>
        <v>0</v>
      </c>
      <c r="AH396" s="47">
        <f>+IFERROR(VLOOKUP(AH10,'נתוני מים 2014'!$C$2:$L$186,2,0),0)</f>
        <v>0</v>
      </c>
      <c r="AI396" s="47">
        <f>+IFERROR(VLOOKUP(AI10,'נתוני מים 2014'!$C$2:$L$186,2,0),0)</f>
        <v>0</v>
      </c>
      <c r="AJ396" s="47">
        <f>+IFERROR(VLOOKUP(AJ10,'נתוני מים 2014'!$C$2:$L$186,2,0),0)</f>
        <v>0</v>
      </c>
      <c r="AK396" s="47">
        <f>+IFERROR(VLOOKUP(AK10,'נתוני מים 2014'!$C$2:$L$186,2,0),0)</f>
        <v>0</v>
      </c>
      <c r="AL396" s="47">
        <f>+IFERROR(VLOOKUP(AL10,'נתוני מים 2014'!$C$2:$L$186,2,0),0)</f>
        <v>0</v>
      </c>
      <c r="AM396" s="47">
        <f>+IFERROR(VLOOKUP(AM10,'נתוני מים 2014'!$C$2:$L$186,2,0),0)</f>
        <v>5430</v>
      </c>
      <c r="AN396" s="47">
        <f>+IFERROR(VLOOKUP(AN10,'נתוני מים 2014'!$C$2:$L$186,2,0),0)</f>
        <v>15298</v>
      </c>
      <c r="AO396" s="47">
        <f>+IFERROR(VLOOKUP(AO10,'נתוני מים 2014'!$C$2:$L$186,2,0),0)</f>
        <v>0</v>
      </c>
      <c r="AP396" s="47">
        <f>+IFERROR(VLOOKUP(AP10,'נתוני מים 2014'!$C$2:$L$186,2,0),0)</f>
        <v>0</v>
      </c>
      <c r="AQ396" s="47">
        <f>+IFERROR(VLOOKUP(AQ10,'נתוני מים 2014'!$C$2:$L$186,2,0),0)</f>
        <v>0</v>
      </c>
      <c r="AR396" s="47">
        <f>+IFERROR(VLOOKUP(AR10,'נתוני מים 2014'!$C$2:$L$186,2,0),0)</f>
        <v>0</v>
      </c>
      <c r="AS396" s="47">
        <f>+IFERROR(VLOOKUP(AS10,'נתוני מים 2014'!$C$2:$L$186,2,0),0)</f>
        <v>7232</v>
      </c>
      <c r="AT396" s="47">
        <f>+IFERROR(VLOOKUP(AT10,'נתוני מים 2014'!$C$2:$L$186,2,0),0)</f>
        <v>0</v>
      </c>
      <c r="AU396" s="47">
        <f>+IFERROR(VLOOKUP(AU10,'נתוני מים 2014'!$C$2:$L$186,2,0),0)</f>
        <v>0</v>
      </c>
      <c r="AV396" s="47">
        <f>+IFERROR(VLOOKUP(AV10,'נתוני מים 2014'!$C$2:$L$186,2,0),0)</f>
        <v>0</v>
      </c>
      <c r="AW396" s="47">
        <f>+IFERROR(VLOOKUP(AW10,'נתוני מים 2014'!$C$2:$L$186,2,0),0)</f>
        <v>0</v>
      </c>
      <c r="AX396" s="47">
        <f>+IFERROR(VLOOKUP(AX10,'נתוני מים 2014'!$C$2:$L$186,2,0),0)</f>
        <v>21361</v>
      </c>
      <c r="AY396" s="47">
        <f>+IFERROR(VLOOKUP(AY10,'נתוני מים 2014'!$C$2:$L$186,2,0),0)</f>
        <v>0</v>
      </c>
      <c r="AZ396" s="47">
        <f>+IFERROR(VLOOKUP(AZ10,'נתוני מים 2014'!$C$2:$L$186,2,0),0)</f>
        <v>7460</v>
      </c>
      <c r="BA396" s="47">
        <f>+IFERROR(VLOOKUP(BA10,'נתוני מים 2014'!$C$2:$L$186,2,0),0)</f>
        <v>8959</v>
      </c>
      <c r="BB396" s="47">
        <f>+IFERROR(VLOOKUP(BB10,'נתוני מים 2014'!$C$2:$L$186,2,0),0)</f>
        <v>6036</v>
      </c>
      <c r="BC396" s="47">
        <f>+IFERROR(VLOOKUP(BC10,'נתוני מים 2014'!$C$2:$L$186,2,0),0)</f>
        <v>11866</v>
      </c>
      <c r="BD396" s="47">
        <f>+IFERROR(VLOOKUP(BD10,'נתוני מים 2014'!$C$2:$L$186,2,0),0)</f>
        <v>0</v>
      </c>
      <c r="BE396" s="47">
        <f>+IFERROR(VLOOKUP(BE10,'נתוני מים 2014'!$C$2:$L$186,2,0),0)</f>
        <v>0</v>
      </c>
      <c r="BF396" s="47">
        <f>+IFERROR(VLOOKUP(BF10,'נתוני מים 2014'!$C$2:$L$186,2,0),0)</f>
        <v>0</v>
      </c>
    </row>
    <row r="397" spans="1:58" x14ac:dyDescent="0.2">
      <c r="B397" s="1">
        <v>4</v>
      </c>
      <c r="C397" s="47">
        <f>+IFERROR(VLOOKUP(C11,'נתוני מים 2014'!$C$2:$L$186,2,0),0)</f>
        <v>0</v>
      </c>
      <c r="D397" s="47">
        <f>+IFERROR(VLOOKUP(D11,'נתוני מים 2014'!$C$2:$L$186,2,0),0)</f>
        <v>10485</v>
      </c>
      <c r="E397" s="47">
        <f>+IFERROR(VLOOKUP(E11,'נתוני מים 2014'!$C$2:$L$186,2,0),0)</f>
        <v>0</v>
      </c>
      <c r="F397" s="47">
        <f>+IFERROR(VLOOKUP(F11,'נתוני מים 2014'!$C$2:$L$186,2,0),0)</f>
        <v>0</v>
      </c>
      <c r="G397" s="47">
        <f>+IFERROR(VLOOKUP(G11,'נתוני מים 2014'!$C$2:$L$186,2,0),0)</f>
        <v>0</v>
      </c>
      <c r="H397" s="47">
        <f>+IFERROR(VLOOKUP(H11,'נתוני מים 2014'!$C$2:$L$186,2,0),0)</f>
        <v>0</v>
      </c>
      <c r="I397" s="47">
        <f>+IFERROR(VLOOKUP(I11,'נתוני מים 2014'!$C$2:$L$186,2,0),0)</f>
        <v>0</v>
      </c>
      <c r="J397" s="47">
        <f>+IFERROR(VLOOKUP(J11,'נתוני מים 2014'!$C$2:$L$186,2,0),0)</f>
        <v>0</v>
      </c>
      <c r="K397" s="47">
        <f>+IFERROR(VLOOKUP(K11,'נתוני מים 2014'!$C$2:$L$186,2,0),0)</f>
        <v>0</v>
      </c>
      <c r="L397" s="47">
        <f>+IFERROR(VLOOKUP(L11,'נתוני מים 2014'!$C$2:$L$186,2,0),0)</f>
        <v>3142</v>
      </c>
      <c r="M397" s="47">
        <f>+IFERROR(VLOOKUP(M11,'נתוני מים 2014'!$C$2:$L$186,2,0),0)</f>
        <v>0</v>
      </c>
      <c r="N397" s="47">
        <f>+IFERROR(VLOOKUP(N11,'נתוני מים 2014'!$C$2:$L$186,2,0),0)</f>
        <v>0</v>
      </c>
      <c r="O397" s="47">
        <f>+IFERROR(VLOOKUP(O11,'נתוני מים 2014'!$C$2:$L$186,2,0),0)</f>
        <v>35915</v>
      </c>
      <c r="P397" s="47">
        <f>+IFERROR(VLOOKUP(P11,'נתוני מים 2014'!$C$2:$L$186,2,0),0)</f>
        <v>3015</v>
      </c>
      <c r="Q397" s="47">
        <f>+IFERROR(VLOOKUP(Q11,'נתוני מים 2014'!$C$2:$L$186,2,0),0)</f>
        <v>0</v>
      </c>
      <c r="R397" s="47">
        <f>+IFERROR(VLOOKUP(R11,'נתוני מים 2014'!$C$2:$L$186,2,0),0)</f>
        <v>0</v>
      </c>
      <c r="S397" s="47">
        <f>+IFERROR(VLOOKUP(S11,'נתוני מים 2014'!$C$2:$L$186,2,0),0)</f>
        <v>0</v>
      </c>
      <c r="T397" s="47">
        <f>+IFERROR(VLOOKUP(T11,'נתוני מים 2014'!$C$2:$L$186,2,0),0)</f>
        <v>6929</v>
      </c>
      <c r="U397" s="47">
        <f>+IFERROR(VLOOKUP(U11,'נתוני מים 2014'!$C$2:$L$186,2,0),0)</f>
        <v>0</v>
      </c>
      <c r="V397" s="47">
        <f>+IFERROR(VLOOKUP(V11,'נתוני מים 2014'!$C$2:$L$186,2,0),0)</f>
        <v>9699</v>
      </c>
      <c r="W397" s="47">
        <f>+IFERROR(VLOOKUP(W11,'נתוני מים 2014'!$C$2:$L$186,2,0),0)</f>
        <v>2100</v>
      </c>
      <c r="X397" s="47">
        <f>+IFERROR(VLOOKUP(X11,'נתוני מים 2014'!$C$2:$L$186,2,0),0)</f>
        <v>7422</v>
      </c>
      <c r="Y397" s="47">
        <f>+IFERROR(VLOOKUP(Y11,'נתוני מים 2014'!$C$2:$L$186,2,0),0)</f>
        <v>8016</v>
      </c>
      <c r="Z397" s="47">
        <f>+IFERROR(VLOOKUP(Z11,'נתוני מים 2014'!$C$2:$L$186,2,0),0)</f>
        <v>0</v>
      </c>
      <c r="AA397" s="47">
        <f>+IFERROR(VLOOKUP(AA11,'נתוני מים 2014'!$C$2:$L$186,2,0),0)</f>
        <v>0</v>
      </c>
      <c r="AB397" s="47">
        <f>+IFERROR(VLOOKUP(AB11,'נתוני מים 2014'!$C$2:$L$186,2,0),0)</f>
        <v>0</v>
      </c>
      <c r="AC397" s="47">
        <f>+IFERROR(VLOOKUP(AC11,'נתוני מים 2014'!$C$2:$L$186,2,0),0)</f>
        <v>0</v>
      </c>
      <c r="AD397" s="47">
        <f>+IFERROR(VLOOKUP(AD11,'נתוני מים 2014'!$C$2:$L$186,2,0),0)</f>
        <v>0</v>
      </c>
      <c r="AE397" s="47">
        <f>+IFERROR(VLOOKUP(AE11,'נתוני מים 2014'!$C$2:$L$186,2,0),0)</f>
        <v>0</v>
      </c>
      <c r="AF397" s="47">
        <f>+IFERROR(VLOOKUP(AF11,'נתוני מים 2014'!$C$2:$L$186,2,0),0)</f>
        <v>0</v>
      </c>
      <c r="AG397" s="47">
        <f>+IFERROR(VLOOKUP(AG11,'נתוני מים 2014'!$C$2:$L$186,2,0),0)</f>
        <v>0</v>
      </c>
      <c r="AH397" s="47">
        <f>+IFERROR(VLOOKUP(AH11,'נתוני מים 2014'!$C$2:$L$186,2,0),0)</f>
        <v>0</v>
      </c>
      <c r="AI397" s="47">
        <f>+IFERROR(VLOOKUP(AI11,'נתוני מים 2014'!$C$2:$L$186,2,0),0)</f>
        <v>0</v>
      </c>
      <c r="AJ397" s="47">
        <f>+IFERROR(VLOOKUP(AJ11,'נתוני מים 2014'!$C$2:$L$186,2,0),0)</f>
        <v>0</v>
      </c>
      <c r="AK397" s="47">
        <f>+IFERROR(VLOOKUP(AK11,'נתוני מים 2014'!$C$2:$L$186,2,0),0)</f>
        <v>0</v>
      </c>
      <c r="AL397" s="47">
        <f>+IFERROR(VLOOKUP(AL11,'נתוני מים 2014'!$C$2:$L$186,2,0),0)</f>
        <v>0</v>
      </c>
      <c r="AM397" s="47">
        <f>+IFERROR(VLOOKUP(AM11,'נתוני מים 2014'!$C$2:$L$186,2,0),0)</f>
        <v>19603</v>
      </c>
      <c r="AN397" s="47">
        <f>+IFERROR(VLOOKUP(AN11,'נתוני מים 2014'!$C$2:$L$186,2,0),0)</f>
        <v>11249</v>
      </c>
      <c r="AO397" s="47">
        <f>+IFERROR(VLOOKUP(AO11,'נתוני מים 2014'!$C$2:$L$186,2,0),0)</f>
        <v>0</v>
      </c>
      <c r="AP397" s="47">
        <f>+IFERROR(VLOOKUP(AP11,'נתוני מים 2014'!$C$2:$L$186,2,0),0)</f>
        <v>0</v>
      </c>
      <c r="AQ397" s="47">
        <f>+IFERROR(VLOOKUP(AQ11,'נתוני מים 2014'!$C$2:$L$186,2,0),0)</f>
        <v>0</v>
      </c>
      <c r="AR397" s="47">
        <f>+IFERROR(VLOOKUP(AR11,'נתוני מים 2014'!$C$2:$L$186,2,0),0)</f>
        <v>0</v>
      </c>
      <c r="AS397" s="47">
        <f>+IFERROR(VLOOKUP(AS11,'נתוני מים 2014'!$C$2:$L$186,2,0),0)</f>
        <v>12985</v>
      </c>
      <c r="AT397" s="47">
        <f>+IFERROR(VLOOKUP(AT11,'נתוני מים 2014'!$C$2:$L$186,2,0),0)</f>
        <v>0</v>
      </c>
      <c r="AU397" s="47">
        <f>+IFERROR(VLOOKUP(AU11,'נתוני מים 2014'!$C$2:$L$186,2,0),0)</f>
        <v>0</v>
      </c>
      <c r="AV397" s="47">
        <f>+IFERROR(VLOOKUP(AV11,'נתוני מים 2014'!$C$2:$L$186,2,0),0)</f>
        <v>0</v>
      </c>
      <c r="AW397" s="47">
        <f>+IFERROR(VLOOKUP(AW11,'נתוני מים 2014'!$C$2:$L$186,2,0),0)</f>
        <v>0</v>
      </c>
      <c r="AX397" s="47">
        <f>+IFERROR(VLOOKUP(AX11,'נתוני מים 2014'!$C$2:$L$186,2,0),0)</f>
        <v>24427</v>
      </c>
      <c r="AY397" s="47">
        <f>+IFERROR(VLOOKUP(AY11,'נתוני מים 2014'!$C$2:$L$186,2,0),0)</f>
        <v>0</v>
      </c>
      <c r="AZ397" s="47">
        <f>+IFERROR(VLOOKUP(AZ11,'נתוני מים 2014'!$C$2:$L$186,2,0),0)</f>
        <v>22028</v>
      </c>
      <c r="BA397" s="47">
        <f>+IFERROR(VLOOKUP(BA11,'נתוני מים 2014'!$C$2:$L$186,2,0),0)</f>
        <v>5007</v>
      </c>
      <c r="BB397" s="47">
        <f>+IFERROR(VLOOKUP(BB11,'נתוני מים 2014'!$C$2:$L$186,2,0),0)</f>
        <v>9371</v>
      </c>
      <c r="BC397" s="47">
        <f>+IFERROR(VLOOKUP(BC11,'נתוני מים 2014'!$C$2:$L$186,2,0),0)</f>
        <v>23493</v>
      </c>
      <c r="BD397" s="47">
        <f>+IFERROR(VLOOKUP(BD11,'נתוני מים 2014'!$C$2:$L$186,2,0),0)</f>
        <v>0</v>
      </c>
      <c r="BE397" s="47">
        <f>+IFERROR(VLOOKUP(BE11,'נתוני מים 2014'!$C$2:$L$186,2,0),0)</f>
        <v>0</v>
      </c>
      <c r="BF397" s="47">
        <f>+IFERROR(VLOOKUP(BF11,'נתוני מים 2014'!$C$2:$L$186,2,0),0)</f>
        <v>0</v>
      </c>
    </row>
    <row r="398" spans="1:58" x14ac:dyDescent="0.2">
      <c r="B398" s="1">
        <v>5</v>
      </c>
      <c r="C398" s="47">
        <f>+IFERROR(VLOOKUP(C12,'נתוני מים 2014'!$C$2:$L$186,2,0),0)</f>
        <v>0</v>
      </c>
      <c r="D398" s="47">
        <f>+IFERROR(VLOOKUP(D12,'נתוני מים 2014'!$C$2:$L$186,2,0),0)</f>
        <v>3447</v>
      </c>
      <c r="E398" s="47">
        <f>+IFERROR(VLOOKUP(E12,'נתוני מים 2014'!$C$2:$L$186,2,0),0)</f>
        <v>0</v>
      </c>
      <c r="F398" s="47">
        <f>+IFERROR(VLOOKUP(F12,'נתוני מים 2014'!$C$2:$L$186,2,0),0)</f>
        <v>0</v>
      </c>
      <c r="G398" s="47">
        <f>+IFERROR(VLOOKUP(G12,'נתוני מים 2014'!$C$2:$L$186,2,0),0)</f>
        <v>0</v>
      </c>
      <c r="H398" s="47">
        <f>+IFERROR(VLOOKUP(H12,'נתוני מים 2014'!$C$2:$L$186,2,0),0)</f>
        <v>0</v>
      </c>
      <c r="I398" s="47">
        <f>+IFERROR(VLOOKUP(I12,'נתוני מים 2014'!$C$2:$L$186,2,0),0)</f>
        <v>0</v>
      </c>
      <c r="J398" s="47">
        <f>+IFERROR(VLOOKUP(J12,'נתוני מים 2014'!$C$2:$L$186,2,0),0)</f>
        <v>0</v>
      </c>
      <c r="K398" s="47">
        <f>+IFERROR(VLOOKUP(K12,'נתוני מים 2014'!$C$2:$L$186,2,0),0)</f>
        <v>0</v>
      </c>
      <c r="L398" s="47">
        <f>+IFERROR(VLOOKUP(L12,'נתוני מים 2014'!$C$2:$L$186,2,0),0)</f>
        <v>0</v>
      </c>
      <c r="M398" s="47">
        <f>+IFERROR(VLOOKUP(M12,'נתוני מים 2014'!$C$2:$L$186,2,0),0)</f>
        <v>0</v>
      </c>
      <c r="N398" s="47">
        <f>+IFERROR(VLOOKUP(N12,'נתוני מים 2014'!$C$2:$L$186,2,0),0)</f>
        <v>0</v>
      </c>
      <c r="O398" s="47">
        <f>+IFERROR(VLOOKUP(O12,'נתוני מים 2014'!$C$2:$L$186,2,0),0)</f>
        <v>0</v>
      </c>
      <c r="P398" s="47">
        <f>+IFERROR(VLOOKUP(P12,'נתוני מים 2014'!$C$2:$L$186,2,0),0)</f>
        <v>1654</v>
      </c>
      <c r="Q398" s="47">
        <f>+IFERROR(VLOOKUP(Q12,'נתוני מים 2014'!$C$2:$L$186,2,0),0)</f>
        <v>0</v>
      </c>
      <c r="R398" s="47">
        <f>+IFERROR(VLOOKUP(R12,'נתוני מים 2014'!$C$2:$L$186,2,0),0)</f>
        <v>0</v>
      </c>
      <c r="S398" s="47">
        <f>+IFERROR(VLOOKUP(S12,'נתוני מים 2014'!$C$2:$L$186,2,0),0)</f>
        <v>0</v>
      </c>
      <c r="T398" s="47">
        <f>+IFERROR(VLOOKUP(T12,'נתוני מים 2014'!$C$2:$L$186,2,0),0)</f>
        <v>0</v>
      </c>
      <c r="U398" s="47">
        <f>+IFERROR(VLOOKUP(U12,'נתוני מים 2014'!$C$2:$L$186,2,0),0)</f>
        <v>0</v>
      </c>
      <c r="V398" s="47">
        <f>+IFERROR(VLOOKUP(V12,'נתוני מים 2014'!$C$2:$L$186,2,0),0)</f>
        <v>12267</v>
      </c>
      <c r="W398" s="47">
        <f>+IFERROR(VLOOKUP(W12,'נתוני מים 2014'!$C$2:$L$186,2,0),0)</f>
        <v>2000</v>
      </c>
      <c r="X398" s="47">
        <f>+IFERROR(VLOOKUP(X12,'נתוני מים 2014'!$C$2:$L$186,2,0),0)</f>
        <v>13403</v>
      </c>
      <c r="Y398" s="47">
        <f>+IFERROR(VLOOKUP(Y12,'נתוני מים 2014'!$C$2:$L$186,2,0),0)</f>
        <v>0</v>
      </c>
      <c r="Z398" s="47">
        <f>+IFERROR(VLOOKUP(Z12,'נתוני מים 2014'!$C$2:$L$186,2,0),0)</f>
        <v>0</v>
      </c>
      <c r="AA398" s="47">
        <f>+IFERROR(VLOOKUP(AA12,'נתוני מים 2014'!$C$2:$L$186,2,0),0)</f>
        <v>0</v>
      </c>
      <c r="AB398" s="47">
        <f>+IFERROR(VLOOKUP(AB12,'נתוני מים 2014'!$C$2:$L$186,2,0),0)</f>
        <v>0</v>
      </c>
      <c r="AC398" s="47">
        <f>+IFERROR(VLOOKUP(AC12,'נתוני מים 2014'!$C$2:$L$186,2,0),0)</f>
        <v>0</v>
      </c>
      <c r="AD398" s="47">
        <f>+IFERROR(VLOOKUP(AD12,'נתוני מים 2014'!$C$2:$L$186,2,0),0)</f>
        <v>0</v>
      </c>
      <c r="AE398" s="47">
        <f>+IFERROR(VLOOKUP(AE12,'נתוני מים 2014'!$C$2:$L$186,2,0),0)</f>
        <v>0</v>
      </c>
      <c r="AF398" s="47">
        <f>+IFERROR(VLOOKUP(AF12,'נתוני מים 2014'!$C$2:$L$186,2,0),0)</f>
        <v>0</v>
      </c>
      <c r="AG398" s="47">
        <f>+IFERROR(VLOOKUP(AG12,'נתוני מים 2014'!$C$2:$L$186,2,0),0)</f>
        <v>0</v>
      </c>
      <c r="AH398" s="47">
        <f>+IFERROR(VLOOKUP(AH12,'נתוני מים 2014'!$C$2:$L$186,2,0),0)</f>
        <v>0</v>
      </c>
      <c r="AI398" s="47">
        <f>+IFERROR(VLOOKUP(AI12,'נתוני מים 2014'!$C$2:$L$186,2,0),0)</f>
        <v>0</v>
      </c>
      <c r="AJ398" s="47">
        <f>+IFERROR(VLOOKUP(AJ12,'נתוני מים 2014'!$C$2:$L$186,2,0),0)</f>
        <v>0</v>
      </c>
      <c r="AK398" s="47">
        <f>+IFERROR(VLOOKUP(AK12,'נתוני מים 2014'!$C$2:$L$186,2,0),0)</f>
        <v>0</v>
      </c>
      <c r="AL398" s="47">
        <f>+IFERROR(VLOOKUP(AL12,'נתוני מים 2014'!$C$2:$L$186,2,0),0)</f>
        <v>0</v>
      </c>
      <c r="AM398" s="47">
        <f>+IFERROR(VLOOKUP(AM12,'נתוני מים 2014'!$C$2:$L$186,2,0),0)</f>
        <v>11674</v>
      </c>
      <c r="AN398" s="47">
        <f>+IFERROR(VLOOKUP(AN12,'נתוני מים 2014'!$C$2:$L$186,2,0),0)</f>
        <v>18790</v>
      </c>
      <c r="AO398" s="47">
        <f>+IFERROR(VLOOKUP(AO12,'נתוני מים 2014'!$C$2:$L$186,2,0),0)</f>
        <v>0</v>
      </c>
      <c r="AP398" s="47">
        <f>+IFERROR(VLOOKUP(AP12,'נתוני מים 2014'!$C$2:$L$186,2,0),0)</f>
        <v>0</v>
      </c>
      <c r="AQ398" s="47">
        <f>+IFERROR(VLOOKUP(AQ12,'נתוני מים 2014'!$C$2:$L$186,2,0),0)</f>
        <v>0</v>
      </c>
      <c r="AR398" s="47">
        <f>+IFERROR(VLOOKUP(AR12,'נתוני מים 2014'!$C$2:$L$186,2,0),0)</f>
        <v>0</v>
      </c>
      <c r="AS398" s="47">
        <f>+IFERROR(VLOOKUP(AS12,'נתוני מים 2014'!$C$2:$L$186,2,0),0)</f>
        <v>31673</v>
      </c>
      <c r="AT398" s="47">
        <f>+IFERROR(VLOOKUP(AT12,'נתוני מים 2014'!$C$2:$L$186,2,0),0)</f>
        <v>0</v>
      </c>
      <c r="AU398" s="47">
        <f>+IFERROR(VLOOKUP(AU12,'נתוני מים 2014'!$C$2:$L$186,2,0),0)</f>
        <v>0</v>
      </c>
      <c r="AV398" s="47">
        <f>+IFERROR(VLOOKUP(AV12,'נתוני מים 2014'!$C$2:$L$186,2,0),0)</f>
        <v>0</v>
      </c>
      <c r="AW398" s="47">
        <f>+IFERROR(VLOOKUP(AW12,'נתוני מים 2014'!$C$2:$L$186,2,0),0)</f>
        <v>0</v>
      </c>
      <c r="AX398" s="47">
        <f>+IFERROR(VLOOKUP(AX12,'נתוני מים 2014'!$C$2:$L$186,2,0),0)</f>
        <v>0</v>
      </c>
      <c r="AY398" s="47">
        <f>+IFERROR(VLOOKUP(AY12,'נתוני מים 2014'!$C$2:$L$186,2,0),0)</f>
        <v>0</v>
      </c>
      <c r="AZ398" s="47">
        <f>+IFERROR(VLOOKUP(AZ12,'נתוני מים 2014'!$C$2:$L$186,2,0),0)</f>
        <v>0</v>
      </c>
      <c r="BA398" s="47">
        <f>+IFERROR(VLOOKUP(BA12,'נתוני מים 2014'!$C$2:$L$186,2,0),0)</f>
        <v>0</v>
      </c>
      <c r="BB398" s="47">
        <f>+IFERROR(VLOOKUP(BB12,'נתוני מים 2014'!$C$2:$L$186,2,0),0)</f>
        <v>16048</v>
      </c>
      <c r="BC398" s="47">
        <f>+IFERROR(VLOOKUP(BC12,'נתוני מים 2014'!$C$2:$L$186,2,0),0)</f>
        <v>28556</v>
      </c>
      <c r="BD398" s="47">
        <f>+IFERROR(VLOOKUP(BD12,'נתוני מים 2014'!$C$2:$L$186,2,0),0)</f>
        <v>0</v>
      </c>
      <c r="BE398" s="47">
        <f>+IFERROR(VLOOKUP(BE12,'נתוני מים 2014'!$C$2:$L$186,2,0),0)</f>
        <v>0</v>
      </c>
      <c r="BF398" s="47">
        <f>+IFERROR(VLOOKUP(BF12,'נתוני מים 2014'!$C$2:$L$186,2,0),0)</f>
        <v>0</v>
      </c>
    </row>
    <row r="399" spans="1:58" x14ac:dyDescent="0.2">
      <c r="B399" s="1">
        <v>6</v>
      </c>
      <c r="C399" s="47">
        <f>+IFERROR(VLOOKUP(C13,'נתוני מים 2014'!$C$2:$L$186,2,0),0)</f>
        <v>0</v>
      </c>
      <c r="D399" s="47">
        <f>+IFERROR(VLOOKUP(D13,'נתוני מים 2014'!$C$2:$L$186,2,0),0)</f>
        <v>1920</v>
      </c>
      <c r="E399" s="47">
        <f>+IFERROR(VLOOKUP(E13,'נתוני מים 2014'!$C$2:$L$186,2,0),0)</f>
        <v>0</v>
      </c>
      <c r="F399" s="47">
        <f>+IFERROR(VLOOKUP(F13,'נתוני מים 2014'!$C$2:$L$186,2,0),0)</f>
        <v>0</v>
      </c>
      <c r="G399" s="47">
        <f>+IFERROR(VLOOKUP(G13,'נתוני מים 2014'!$C$2:$L$186,2,0),0)</f>
        <v>0</v>
      </c>
      <c r="H399" s="47">
        <f>+IFERROR(VLOOKUP(H13,'נתוני מים 2014'!$C$2:$L$186,2,0),0)</f>
        <v>0</v>
      </c>
      <c r="I399" s="47">
        <f>+IFERROR(VLOOKUP(I13,'נתוני מים 2014'!$C$2:$L$186,2,0),0)</f>
        <v>0</v>
      </c>
      <c r="J399" s="47">
        <f>+IFERROR(VLOOKUP(J13,'נתוני מים 2014'!$C$2:$L$186,2,0),0)</f>
        <v>0</v>
      </c>
      <c r="K399" s="47">
        <f>+IFERROR(VLOOKUP(K13,'נתוני מים 2014'!$C$2:$L$186,2,0),0)</f>
        <v>0</v>
      </c>
      <c r="L399" s="47">
        <f>+IFERROR(VLOOKUP(L13,'נתוני מים 2014'!$C$2:$L$186,2,0),0)</f>
        <v>0</v>
      </c>
      <c r="M399" s="47">
        <f>+IFERROR(VLOOKUP(M13,'נתוני מים 2014'!$C$2:$L$186,2,0),0)</f>
        <v>0</v>
      </c>
      <c r="N399" s="47">
        <f>+IFERROR(VLOOKUP(N13,'נתוני מים 2014'!$C$2:$L$186,2,0),0)</f>
        <v>0</v>
      </c>
      <c r="O399" s="47">
        <f>+IFERROR(VLOOKUP(O13,'נתוני מים 2014'!$C$2:$L$186,2,0),0)</f>
        <v>0</v>
      </c>
      <c r="P399" s="47">
        <f>+IFERROR(VLOOKUP(P13,'נתוני מים 2014'!$C$2:$L$186,2,0),0)</f>
        <v>5609</v>
      </c>
      <c r="Q399" s="47">
        <f>+IFERROR(VLOOKUP(Q13,'נתוני מים 2014'!$C$2:$L$186,2,0),0)</f>
        <v>0</v>
      </c>
      <c r="R399" s="47">
        <f>+IFERROR(VLOOKUP(R13,'נתוני מים 2014'!$C$2:$L$186,2,0),0)</f>
        <v>0</v>
      </c>
      <c r="S399" s="47">
        <f>+IFERROR(VLOOKUP(S13,'נתוני מים 2014'!$C$2:$L$186,2,0),0)</f>
        <v>0</v>
      </c>
      <c r="T399" s="47">
        <f>+IFERROR(VLOOKUP(T13,'נתוני מים 2014'!$C$2:$L$186,2,0),0)</f>
        <v>0</v>
      </c>
      <c r="U399" s="47">
        <f>+IFERROR(VLOOKUP(U13,'נתוני מים 2014'!$C$2:$L$186,2,0),0)</f>
        <v>0</v>
      </c>
      <c r="V399" s="47">
        <f>+IFERROR(VLOOKUP(V13,'נתוני מים 2014'!$C$2:$L$186,2,0),0)</f>
        <v>7667</v>
      </c>
      <c r="W399" s="47">
        <f>+IFERROR(VLOOKUP(W13,'נתוני מים 2014'!$C$2:$L$186,2,0),0)</f>
        <v>38420</v>
      </c>
      <c r="X399" s="47">
        <f>+IFERROR(VLOOKUP(X13,'נתוני מים 2014'!$C$2:$L$186,2,0),0)</f>
        <v>0</v>
      </c>
      <c r="Y399" s="47">
        <f>+IFERROR(VLOOKUP(Y13,'נתוני מים 2014'!$C$2:$L$186,2,0),0)</f>
        <v>0</v>
      </c>
      <c r="Z399" s="47">
        <f>+IFERROR(VLOOKUP(Z13,'נתוני מים 2014'!$C$2:$L$186,2,0),0)</f>
        <v>0</v>
      </c>
      <c r="AA399" s="47">
        <f>+IFERROR(VLOOKUP(AA13,'נתוני מים 2014'!$C$2:$L$186,2,0),0)</f>
        <v>0</v>
      </c>
      <c r="AB399" s="47">
        <f>+IFERROR(VLOOKUP(AB13,'נתוני מים 2014'!$C$2:$L$186,2,0),0)</f>
        <v>0</v>
      </c>
      <c r="AC399" s="47">
        <f>+IFERROR(VLOOKUP(AC13,'נתוני מים 2014'!$C$2:$L$186,2,0),0)</f>
        <v>0</v>
      </c>
      <c r="AD399" s="47">
        <f>+IFERROR(VLOOKUP(AD13,'נתוני מים 2014'!$C$2:$L$186,2,0),0)</f>
        <v>0</v>
      </c>
      <c r="AE399" s="47">
        <f>+IFERROR(VLOOKUP(AE13,'נתוני מים 2014'!$C$2:$L$186,2,0),0)</f>
        <v>0</v>
      </c>
      <c r="AF399" s="47">
        <f>+IFERROR(VLOOKUP(AF13,'נתוני מים 2014'!$C$2:$L$186,2,0),0)</f>
        <v>0</v>
      </c>
      <c r="AG399" s="47">
        <f>+IFERROR(VLOOKUP(AG13,'נתוני מים 2014'!$C$2:$L$186,2,0),0)</f>
        <v>0</v>
      </c>
      <c r="AH399" s="47">
        <f>+IFERROR(VLOOKUP(AH13,'נתוני מים 2014'!$C$2:$L$186,2,0),0)</f>
        <v>0</v>
      </c>
      <c r="AI399" s="47">
        <f>+IFERROR(VLOOKUP(AI13,'נתוני מים 2014'!$C$2:$L$186,2,0),0)</f>
        <v>0</v>
      </c>
      <c r="AJ399" s="47">
        <f>+IFERROR(VLOOKUP(AJ13,'נתוני מים 2014'!$C$2:$L$186,2,0),0)</f>
        <v>0</v>
      </c>
      <c r="AK399" s="47">
        <f>+IFERROR(VLOOKUP(AK13,'נתוני מים 2014'!$C$2:$L$186,2,0),0)</f>
        <v>0</v>
      </c>
      <c r="AL399" s="47">
        <f>+IFERROR(VLOOKUP(AL13,'נתוני מים 2014'!$C$2:$L$186,2,0),0)</f>
        <v>0</v>
      </c>
      <c r="AM399" s="47">
        <f>+IFERROR(VLOOKUP(AM13,'נתוני מים 2014'!$C$2:$L$186,2,0),0)</f>
        <v>0</v>
      </c>
      <c r="AN399" s="47">
        <f>+IFERROR(VLOOKUP(AN13,'נתוני מים 2014'!$C$2:$L$186,2,0),0)</f>
        <v>8754</v>
      </c>
      <c r="AO399" s="47">
        <f>+IFERROR(VLOOKUP(AO13,'נתוני מים 2014'!$C$2:$L$186,2,0),0)</f>
        <v>0</v>
      </c>
      <c r="AP399" s="47">
        <f>+IFERROR(VLOOKUP(AP13,'נתוני מים 2014'!$C$2:$L$186,2,0),0)</f>
        <v>0</v>
      </c>
      <c r="AQ399" s="47">
        <f>+IFERROR(VLOOKUP(AQ13,'נתוני מים 2014'!$C$2:$L$186,2,0),0)</f>
        <v>0</v>
      </c>
      <c r="AR399" s="47">
        <f>+IFERROR(VLOOKUP(AR13,'נתוני מים 2014'!$C$2:$L$186,2,0),0)</f>
        <v>0</v>
      </c>
      <c r="AS399" s="47">
        <f>+IFERROR(VLOOKUP(AS13,'נתוני מים 2014'!$C$2:$L$186,2,0),0)</f>
        <v>7321</v>
      </c>
      <c r="AT399" s="47">
        <f>+IFERROR(VLOOKUP(AT13,'נתוני מים 2014'!$C$2:$L$186,2,0),0)</f>
        <v>0</v>
      </c>
      <c r="AU399" s="47">
        <f>+IFERROR(VLOOKUP(AU13,'נתוני מים 2014'!$C$2:$L$186,2,0),0)</f>
        <v>0</v>
      </c>
      <c r="AV399" s="47">
        <f>+IFERROR(VLOOKUP(AV13,'נתוני מים 2014'!$C$2:$L$186,2,0),0)</f>
        <v>0</v>
      </c>
      <c r="AW399" s="47">
        <f>+IFERROR(VLOOKUP(AW13,'נתוני מים 2014'!$C$2:$L$186,2,0),0)</f>
        <v>0</v>
      </c>
      <c r="AX399" s="47">
        <f>+IFERROR(VLOOKUP(AX13,'נתוני מים 2014'!$C$2:$L$186,2,0),0)</f>
        <v>0</v>
      </c>
      <c r="AY399" s="47">
        <f>+IFERROR(VLOOKUP(AY13,'נתוני מים 2014'!$C$2:$L$186,2,0),0)</f>
        <v>0</v>
      </c>
      <c r="AZ399" s="47">
        <f>+IFERROR(VLOOKUP(AZ13,'נתוני מים 2014'!$C$2:$L$186,2,0),0)</f>
        <v>0</v>
      </c>
      <c r="BA399" s="47">
        <f>+IFERROR(VLOOKUP(BA13,'נתוני מים 2014'!$C$2:$L$186,2,0),0)</f>
        <v>0</v>
      </c>
      <c r="BB399" s="47">
        <f>+IFERROR(VLOOKUP(BB13,'נתוני מים 2014'!$C$2:$L$186,2,0),0)</f>
        <v>3596</v>
      </c>
      <c r="BC399" s="47">
        <f>+IFERROR(VLOOKUP(BC13,'נתוני מים 2014'!$C$2:$L$186,2,0),0)</f>
        <v>7751</v>
      </c>
      <c r="BD399" s="47">
        <f>+IFERROR(VLOOKUP(BD13,'נתוני מים 2014'!$C$2:$L$186,2,0),0)</f>
        <v>0</v>
      </c>
      <c r="BE399" s="47">
        <f>+IFERROR(VLOOKUP(BE13,'נתוני מים 2014'!$C$2:$L$186,2,0),0)</f>
        <v>0</v>
      </c>
      <c r="BF399" s="47">
        <f>+IFERROR(VLOOKUP(BF13,'נתוני מים 2014'!$C$2:$L$186,2,0),0)</f>
        <v>0</v>
      </c>
    </row>
    <row r="400" spans="1:58" x14ac:dyDescent="0.2">
      <c r="B400" s="1">
        <v>7</v>
      </c>
      <c r="C400" s="47">
        <f>+IFERROR(VLOOKUP(C14,'נתוני מים 2014'!$C$2:$L$186,2,0),0)</f>
        <v>0</v>
      </c>
      <c r="D400" s="47">
        <f>+IFERROR(VLOOKUP(D14,'נתוני מים 2014'!$C$2:$L$186,2,0),0)</f>
        <v>6238</v>
      </c>
      <c r="E400" s="47">
        <f>+IFERROR(VLOOKUP(E14,'נתוני מים 2014'!$C$2:$L$186,2,0),0)</f>
        <v>0</v>
      </c>
      <c r="F400" s="47">
        <f>+IFERROR(VLOOKUP(F14,'נתוני מים 2014'!$C$2:$L$186,2,0),0)</f>
        <v>0</v>
      </c>
      <c r="G400" s="47">
        <f>+IFERROR(VLOOKUP(G14,'נתוני מים 2014'!$C$2:$L$186,2,0),0)</f>
        <v>0</v>
      </c>
      <c r="H400" s="47">
        <f>+IFERROR(VLOOKUP(H14,'נתוני מים 2014'!$C$2:$L$186,2,0),0)</f>
        <v>0</v>
      </c>
      <c r="I400" s="47">
        <f>+IFERROR(VLOOKUP(I14,'נתוני מים 2014'!$C$2:$L$186,2,0),0)</f>
        <v>0</v>
      </c>
      <c r="J400" s="47">
        <f>+IFERROR(VLOOKUP(J14,'נתוני מים 2014'!$C$2:$L$186,2,0),0)</f>
        <v>0</v>
      </c>
      <c r="K400" s="47">
        <f>+IFERROR(VLOOKUP(K14,'נתוני מים 2014'!$C$2:$L$186,2,0),0)</f>
        <v>0</v>
      </c>
      <c r="L400" s="47">
        <f>+IFERROR(VLOOKUP(L14,'נתוני מים 2014'!$C$2:$L$186,2,0),0)</f>
        <v>0</v>
      </c>
      <c r="M400" s="47">
        <f>+IFERROR(VLOOKUP(M14,'נתוני מים 2014'!$C$2:$L$186,2,0),0)</f>
        <v>0</v>
      </c>
      <c r="N400" s="47">
        <f>+IFERROR(VLOOKUP(N14,'נתוני מים 2014'!$C$2:$L$186,2,0),0)</f>
        <v>0</v>
      </c>
      <c r="O400" s="47">
        <f>+IFERROR(VLOOKUP(O14,'נתוני מים 2014'!$C$2:$L$186,2,0),0)</f>
        <v>0</v>
      </c>
      <c r="P400" s="47">
        <f>+IFERROR(VLOOKUP(P14,'נתוני מים 2014'!$C$2:$L$186,2,0),0)</f>
        <v>5960</v>
      </c>
      <c r="Q400" s="47">
        <f>+IFERROR(VLOOKUP(Q14,'נתוני מים 2014'!$C$2:$L$186,2,0),0)</f>
        <v>0</v>
      </c>
      <c r="R400" s="47">
        <f>+IFERROR(VLOOKUP(R14,'נתוני מים 2014'!$C$2:$L$186,2,0),0)</f>
        <v>0</v>
      </c>
      <c r="S400" s="47">
        <f>+IFERROR(VLOOKUP(S14,'נתוני מים 2014'!$C$2:$L$186,2,0),0)</f>
        <v>0</v>
      </c>
      <c r="T400" s="47">
        <f>+IFERROR(VLOOKUP(T14,'נתוני מים 2014'!$C$2:$L$186,2,0),0)</f>
        <v>0</v>
      </c>
      <c r="U400" s="47">
        <f>+IFERROR(VLOOKUP(U14,'נתוני מים 2014'!$C$2:$L$186,2,0),0)</f>
        <v>0</v>
      </c>
      <c r="V400" s="47">
        <f>+IFERROR(VLOOKUP(V14,'נתוני מים 2014'!$C$2:$L$186,2,0),0)</f>
        <v>5568</v>
      </c>
      <c r="W400" s="47">
        <f>+IFERROR(VLOOKUP(W14,'נתוני מים 2014'!$C$2:$L$186,2,0),0)</f>
        <v>6375</v>
      </c>
      <c r="X400" s="47">
        <f>+IFERROR(VLOOKUP(X14,'נתוני מים 2014'!$C$2:$L$186,2,0),0)</f>
        <v>0</v>
      </c>
      <c r="Y400" s="47">
        <f>+IFERROR(VLOOKUP(Y14,'נתוני מים 2014'!$C$2:$L$186,2,0),0)</f>
        <v>0</v>
      </c>
      <c r="Z400" s="47">
        <f>+IFERROR(VLOOKUP(Z14,'נתוני מים 2014'!$C$2:$L$186,2,0),0)</f>
        <v>0</v>
      </c>
      <c r="AA400" s="47">
        <f>+IFERROR(VLOOKUP(AA14,'נתוני מים 2014'!$C$2:$L$186,2,0),0)</f>
        <v>0</v>
      </c>
      <c r="AB400" s="47">
        <f>+IFERROR(VLOOKUP(AB14,'נתוני מים 2014'!$C$2:$L$186,2,0),0)</f>
        <v>0</v>
      </c>
      <c r="AC400" s="47">
        <f>+IFERROR(VLOOKUP(AC14,'נתוני מים 2014'!$C$2:$L$186,2,0),0)</f>
        <v>0</v>
      </c>
      <c r="AD400" s="47">
        <f>+IFERROR(VLOOKUP(AD14,'נתוני מים 2014'!$C$2:$L$186,2,0),0)</f>
        <v>0</v>
      </c>
      <c r="AE400" s="47">
        <f>+IFERROR(VLOOKUP(AE14,'נתוני מים 2014'!$C$2:$L$186,2,0),0)</f>
        <v>0</v>
      </c>
      <c r="AF400" s="47">
        <f>+IFERROR(VLOOKUP(AF14,'נתוני מים 2014'!$C$2:$L$186,2,0),0)</f>
        <v>0</v>
      </c>
      <c r="AG400" s="47">
        <f>+IFERROR(VLOOKUP(AG14,'נתוני מים 2014'!$C$2:$L$186,2,0),0)</f>
        <v>0</v>
      </c>
      <c r="AH400" s="47">
        <f>+IFERROR(VLOOKUP(AH14,'נתוני מים 2014'!$C$2:$L$186,2,0),0)</f>
        <v>0</v>
      </c>
      <c r="AI400" s="47">
        <f>+IFERROR(VLOOKUP(AI14,'נתוני מים 2014'!$C$2:$L$186,2,0),0)</f>
        <v>0</v>
      </c>
      <c r="AJ400" s="47">
        <f>+IFERROR(VLOOKUP(AJ14,'נתוני מים 2014'!$C$2:$L$186,2,0),0)</f>
        <v>0</v>
      </c>
      <c r="AK400" s="47">
        <f>+IFERROR(VLOOKUP(AK14,'נתוני מים 2014'!$C$2:$L$186,2,0),0)</f>
        <v>0</v>
      </c>
      <c r="AL400" s="47">
        <f>+IFERROR(VLOOKUP(AL14,'נתוני מים 2014'!$C$2:$L$186,2,0),0)</f>
        <v>0</v>
      </c>
      <c r="AM400" s="47">
        <f>+IFERROR(VLOOKUP(AM14,'נתוני מים 2014'!$C$2:$L$186,2,0),0)</f>
        <v>0</v>
      </c>
      <c r="AN400" s="47">
        <f>+IFERROR(VLOOKUP(AN14,'נתוני מים 2014'!$C$2:$L$186,2,0),0)</f>
        <v>0</v>
      </c>
      <c r="AO400" s="47">
        <f>+IFERROR(VLOOKUP(AO14,'נתוני מים 2014'!$C$2:$L$186,2,0),0)</f>
        <v>0</v>
      </c>
      <c r="AP400" s="47">
        <f>+IFERROR(VLOOKUP(AP14,'נתוני מים 2014'!$C$2:$L$186,2,0),0)</f>
        <v>0</v>
      </c>
      <c r="AQ400" s="47">
        <f>+IFERROR(VLOOKUP(AQ14,'נתוני מים 2014'!$C$2:$L$186,2,0),0)</f>
        <v>0</v>
      </c>
      <c r="AR400" s="47">
        <f>+IFERROR(VLOOKUP(AR14,'נתוני מים 2014'!$C$2:$L$186,2,0),0)</f>
        <v>0</v>
      </c>
      <c r="AS400" s="47">
        <f>+IFERROR(VLOOKUP(AS14,'נתוני מים 2014'!$C$2:$L$186,2,0),0)</f>
        <v>6480</v>
      </c>
      <c r="AT400" s="47">
        <f>+IFERROR(VLOOKUP(AT14,'נתוני מים 2014'!$C$2:$L$186,2,0),0)</f>
        <v>0</v>
      </c>
      <c r="AU400" s="47">
        <f>+IFERROR(VLOOKUP(AU14,'נתוני מים 2014'!$C$2:$L$186,2,0),0)</f>
        <v>0</v>
      </c>
      <c r="AV400" s="47">
        <f>+IFERROR(VLOOKUP(AV14,'נתוני מים 2014'!$C$2:$L$186,2,0),0)</f>
        <v>0</v>
      </c>
      <c r="AW400" s="47">
        <f>+IFERROR(VLOOKUP(AW14,'נתוני מים 2014'!$C$2:$L$186,2,0),0)</f>
        <v>0</v>
      </c>
      <c r="AX400" s="47">
        <f>+IFERROR(VLOOKUP(AX14,'נתוני מים 2014'!$C$2:$L$186,2,0),0)</f>
        <v>0</v>
      </c>
      <c r="AY400" s="47">
        <f>+IFERROR(VLOOKUP(AY14,'נתוני מים 2014'!$C$2:$L$186,2,0),0)</f>
        <v>0</v>
      </c>
      <c r="AZ400" s="47">
        <f>+IFERROR(VLOOKUP(AZ14,'נתוני מים 2014'!$C$2:$L$186,2,0),0)</f>
        <v>0</v>
      </c>
      <c r="BA400" s="47">
        <f>+IFERROR(VLOOKUP(BA14,'נתוני מים 2014'!$C$2:$L$186,2,0),0)</f>
        <v>0</v>
      </c>
      <c r="BB400" s="47">
        <f>+IFERROR(VLOOKUP(BB14,'נתוני מים 2014'!$C$2:$L$186,2,0),0)</f>
        <v>6179</v>
      </c>
      <c r="BC400" s="47">
        <f>+IFERROR(VLOOKUP(BC14,'נתוני מים 2014'!$C$2:$L$186,2,0),0)</f>
        <v>14505</v>
      </c>
      <c r="BD400" s="47">
        <f>+IFERROR(VLOOKUP(BD14,'נתוני מים 2014'!$C$2:$L$186,2,0),0)</f>
        <v>0</v>
      </c>
      <c r="BE400" s="47">
        <f>+IFERROR(VLOOKUP(BE14,'נתוני מים 2014'!$C$2:$L$186,2,0),0)</f>
        <v>0</v>
      </c>
      <c r="BF400" s="47">
        <f>+IFERROR(VLOOKUP(BF14,'נתוני מים 2014'!$C$2:$L$186,2,0),0)</f>
        <v>0</v>
      </c>
    </row>
    <row r="401" spans="2:58" x14ac:dyDescent="0.2">
      <c r="B401" s="1">
        <v>8</v>
      </c>
      <c r="C401" s="47">
        <f>+IFERROR(VLOOKUP(C15,'נתוני מים 2014'!$C$2:$L$186,2,0),0)</f>
        <v>0</v>
      </c>
      <c r="D401" s="47">
        <f>+IFERROR(VLOOKUP(D15,'נתוני מים 2014'!$C$2:$L$186,2,0),0)</f>
        <v>0</v>
      </c>
      <c r="E401" s="47">
        <f>+IFERROR(VLOOKUP(E15,'נתוני מים 2014'!$C$2:$L$186,2,0),0)</f>
        <v>0</v>
      </c>
      <c r="F401" s="47">
        <f>+IFERROR(VLOOKUP(F15,'נתוני מים 2014'!$C$2:$L$186,2,0),0)</f>
        <v>0</v>
      </c>
      <c r="G401" s="47">
        <f>+IFERROR(VLOOKUP(G15,'נתוני מים 2014'!$C$2:$L$186,2,0),0)</f>
        <v>0</v>
      </c>
      <c r="H401" s="47">
        <f>+IFERROR(VLOOKUP(H15,'נתוני מים 2014'!$C$2:$L$186,2,0),0)</f>
        <v>0</v>
      </c>
      <c r="I401" s="47">
        <f>+IFERROR(VLOOKUP(I15,'נתוני מים 2014'!$C$2:$L$186,2,0),0)</f>
        <v>0</v>
      </c>
      <c r="J401" s="47">
        <f>+IFERROR(VLOOKUP(J15,'נתוני מים 2014'!$C$2:$L$186,2,0),0)</f>
        <v>0</v>
      </c>
      <c r="K401" s="47">
        <f>+IFERROR(VLOOKUP(K15,'נתוני מים 2014'!$C$2:$L$186,2,0),0)</f>
        <v>0</v>
      </c>
      <c r="L401" s="47">
        <f>+IFERROR(VLOOKUP(L15,'נתוני מים 2014'!$C$2:$L$186,2,0),0)</f>
        <v>0</v>
      </c>
      <c r="M401" s="47">
        <f>+IFERROR(VLOOKUP(M15,'נתוני מים 2014'!$C$2:$L$186,2,0),0)</f>
        <v>0</v>
      </c>
      <c r="N401" s="47">
        <f>+IFERROR(VLOOKUP(N15,'נתוני מים 2014'!$C$2:$L$186,2,0),0)</f>
        <v>0</v>
      </c>
      <c r="O401" s="47">
        <f>+IFERROR(VLOOKUP(O15,'נתוני מים 2014'!$C$2:$L$186,2,0),0)</f>
        <v>0</v>
      </c>
      <c r="P401" s="47">
        <f>+IFERROR(VLOOKUP(P15,'נתוני מים 2014'!$C$2:$L$186,2,0),0)</f>
        <v>2977</v>
      </c>
      <c r="Q401" s="47">
        <f>+IFERROR(VLOOKUP(Q15,'נתוני מים 2014'!$C$2:$L$186,2,0),0)</f>
        <v>0</v>
      </c>
      <c r="R401" s="47">
        <f>+IFERROR(VLOOKUP(R15,'נתוני מים 2014'!$C$2:$L$186,2,0),0)</f>
        <v>0</v>
      </c>
      <c r="S401" s="47">
        <f>+IFERROR(VLOOKUP(S15,'נתוני מים 2014'!$C$2:$L$186,2,0),0)</f>
        <v>0</v>
      </c>
      <c r="T401" s="47">
        <f>+IFERROR(VLOOKUP(T15,'נתוני מים 2014'!$C$2:$L$186,2,0),0)</f>
        <v>0</v>
      </c>
      <c r="U401" s="47">
        <f>+IFERROR(VLOOKUP(U15,'נתוני מים 2014'!$C$2:$L$186,2,0),0)</f>
        <v>0</v>
      </c>
      <c r="V401" s="47">
        <f>+IFERROR(VLOOKUP(V15,'נתוני מים 2014'!$C$2:$L$186,2,0),0)</f>
        <v>0</v>
      </c>
      <c r="W401" s="47">
        <f>+IFERROR(VLOOKUP(W15,'נתוני מים 2014'!$C$2:$L$186,2,0),0)</f>
        <v>0</v>
      </c>
      <c r="X401" s="47">
        <f>+IFERROR(VLOOKUP(X15,'נתוני מים 2014'!$C$2:$L$186,2,0),0)</f>
        <v>0</v>
      </c>
      <c r="Y401" s="47">
        <f>+IFERROR(VLOOKUP(Y15,'נתוני מים 2014'!$C$2:$L$186,2,0),0)</f>
        <v>0</v>
      </c>
      <c r="Z401" s="47">
        <f>+IFERROR(VLOOKUP(Z15,'נתוני מים 2014'!$C$2:$L$186,2,0),0)</f>
        <v>0</v>
      </c>
      <c r="AA401" s="47">
        <f>+IFERROR(VLOOKUP(AA15,'נתוני מים 2014'!$C$2:$L$186,2,0),0)</f>
        <v>0</v>
      </c>
      <c r="AB401" s="47">
        <f>+IFERROR(VLOOKUP(AB15,'נתוני מים 2014'!$C$2:$L$186,2,0),0)</f>
        <v>0</v>
      </c>
      <c r="AC401" s="47">
        <f>+IFERROR(VLOOKUP(AC15,'נתוני מים 2014'!$C$2:$L$186,2,0),0)</f>
        <v>0</v>
      </c>
      <c r="AD401" s="47">
        <f>+IFERROR(VLOOKUP(AD15,'נתוני מים 2014'!$C$2:$L$186,2,0),0)</f>
        <v>0</v>
      </c>
      <c r="AE401" s="47">
        <f>+IFERROR(VLOOKUP(AE15,'נתוני מים 2014'!$C$2:$L$186,2,0),0)</f>
        <v>0</v>
      </c>
      <c r="AF401" s="47">
        <f>+IFERROR(VLOOKUP(AF15,'נתוני מים 2014'!$C$2:$L$186,2,0),0)</f>
        <v>0</v>
      </c>
      <c r="AG401" s="47">
        <f>+IFERROR(VLOOKUP(AG15,'נתוני מים 2014'!$C$2:$L$186,2,0),0)</f>
        <v>0</v>
      </c>
      <c r="AH401" s="47">
        <f>+IFERROR(VLOOKUP(AH15,'נתוני מים 2014'!$C$2:$L$186,2,0),0)</f>
        <v>0</v>
      </c>
      <c r="AI401" s="47">
        <f>+IFERROR(VLOOKUP(AI15,'נתוני מים 2014'!$C$2:$L$186,2,0),0)</f>
        <v>0</v>
      </c>
      <c r="AJ401" s="47">
        <f>+IFERROR(VLOOKUP(AJ15,'נתוני מים 2014'!$C$2:$L$186,2,0),0)</f>
        <v>0</v>
      </c>
      <c r="AK401" s="47">
        <f>+IFERROR(VLOOKUP(AK15,'נתוני מים 2014'!$C$2:$L$186,2,0),0)</f>
        <v>0</v>
      </c>
      <c r="AL401" s="47">
        <f>+IFERROR(VLOOKUP(AL15,'נתוני מים 2014'!$C$2:$L$186,2,0),0)</f>
        <v>0</v>
      </c>
      <c r="AM401" s="47">
        <f>+IFERROR(VLOOKUP(AM15,'נתוני מים 2014'!$C$2:$L$186,2,0),0)</f>
        <v>0</v>
      </c>
      <c r="AN401" s="47">
        <f>+IFERROR(VLOOKUP(AN15,'נתוני מים 2014'!$C$2:$L$186,2,0),0)</f>
        <v>0</v>
      </c>
      <c r="AO401" s="47">
        <f>+IFERROR(VLOOKUP(AO15,'נתוני מים 2014'!$C$2:$L$186,2,0),0)</f>
        <v>0</v>
      </c>
      <c r="AP401" s="47">
        <f>+IFERROR(VLOOKUP(AP15,'נתוני מים 2014'!$C$2:$L$186,2,0),0)</f>
        <v>0</v>
      </c>
      <c r="AQ401" s="47">
        <f>+IFERROR(VLOOKUP(AQ15,'נתוני מים 2014'!$C$2:$L$186,2,0),0)</f>
        <v>0</v>
      </c>
      <c r="AR401" s="47">
        <f>+IFERROR(VLOOKUP(AR15,'נתוני מים 2014'!$C$2:$L$186,2,0),0)</f>
        <v>0</v>
      </c>
      <c r="AS401" s="47">
        <f>+IFERROR(VLOOKUP(AS15,'נתוני מים 2014'!$C$2:$L$186,2,0),0)</f>
        <v>12479</v>
      </c>
      <c r="AT401" s="47">
        <f>+IFERROR(VLOOKUP(AT15,'נתוני מים 2014'!$C$2:$L$186,2,0),0)</f>
        <v>0</v>
      </c>
      <c r="AU401" s="47">
        <f>+IFERROR(VLOOKUP(AU15,'נתוני מים 2014'!$C$2:$L$186,2,0),0)</f>
        <v>0</v>
      </c>
      <c r="AV401" s="47">
        <f>+IFERROR(VLOOKUP(AV15,'נתוני מים 2014'!$C$2:$L$186,2,0),0)</f>
        <v>0</v>
      </c>
      <c r="AW401" s="47">
        <f>+IFERROR(VLOOKUP(AW15,'נתוני מים 2014'!$C$2:$L$186,2,0),0)</f>
        <v>0</v>
      </c>
      <c r="AX401" s="47">
        <f>+IFERROR(VLOOKUP(AX15,'נתוני מים 2014'!$C$2:$L$186,2,0),0)</f>
        <v>0</v>
      </c>
      <c r="AY401" s="47">
        <f>+IFERROR(VLOOKUP(AY15,'נתוני מים 2014'!$C$2:$L$186,2,0),0)</f>
        <v>0</v>
      </c>
      <c r="AZ401" s="47">
        <f>+IFERROR(VLOOKUP(AZ15,'נתוני מים 2014'!$C$2:$L$186,2,0),0)</f>
        <v>0</v>
      </c>
      <c r="BA401" s="47">
        <f>+IFERROR(VLOOKUP(BA15,'נתוני מים 2014'!$C$2:$L$186,2,0),0)</f>
        <v>0</v>
      </c>
      <c r="BB401" s="47">
        <f>+IFERROR(VLOOKUP(BB15,'נתוני מים 2014'!$C$2:$L$186,2,0),0)</f>
        <v>0</v>
      </c>
      <c r="BC401" s="47">
        <f>+IFERROR(VLOOKUP(BC15,'נתוני מים 2014'!$C$2:$L$186,2,0),0)</f>
        <v>0</v>
      </c>
      <c r="BD401" s="47">
        <f>+IFERROR(VLOOKUP(BD15,'נתוני מים 2014'!$C$2:$L$186,2,0),0)</f>
        <v>0</v>
      </c>
      <c r="BE401" s="47">
        <f>+IFERROR(VLOOKUP(BE15,'נתוני מים 2014'!$C$2:$L$186,2,0),0)</f>
        <v>0</v>
      </c>
      <c r="BF401" s="47">
        <f>+IFERROR(VLOOKUP(BF15,'נתוני מים 2014'!$C$2:$L$186,2,0),0)</f>
        <v>0</v>
      </c>
    </row>
    <row r="402" spans="2:58" x14ac:dyDescent="0.2">
      <c r="B402" s="1">
        <v>9</v>
      </c>
      <c r="C402" s="47">
        <f>+IFERROR(VLOOKUP(C16,'נתוני מים 2014'!$C$2:$L$186,2,0),0)</f>
        <v>0</v>
      </c>
      <c r="D402" s="47">
        <f>+IFERROR(VLOOKUP(D16,'נתוני מים 2014'!$C$2:$L$186,2,0),0)</f>
        <v>0</v>
      </c>
      <c r="E402" s="47">
        <f>+IFERROR(VLOOKUP(E16,'נתוני מים 2014'!$C$2:$L$186,2,0),0)</f>
        <v>0</v>
      </c>
      <c r="F402" s="47">
        <f>+IFERROR(VLOOKUP(F16,'נתוני מים 2014'!$C$2:$L$186,2,0),0)</f>
        <v>0</v>
      </c>
      <c r="G402" s="47">
        <f>+IFERROR(VLOOKUP(G16,'נתוני מים 2014'!$C$2:$L$186,2,0),0)</f>
        <v>0</v>
      </c>
      <c r="H402" s="47">
        <f>+IFERROR(VLOOKUP(H16,'נתוני מים 2014'!$C$2:$L$186,2,0),0)</f>
        <v>0</v>
      </c>
      <c r="I402" s="47">
        <f>+IFERROR(VLOOKUP(I16,'נתוני מים 2014'!$C$2:$L$186,2,0),0)</f>
        <v>0</v>
      </c>
      <c r="J402" s="47">
        <f>+IFERROR(VLOOKUP(J16,'נתוני מים 2014'!$C$2:$L$186,2,0),0)</f>
        <v>0</v>
      </c>
      <c r="K402" s="47">
        <f>+IFERROR(VLOOKUP(K16,'נתוני מים 2014'!$C$2:$L$186,2,0),0)</f>
        <v>0</v>
      </c>
      <c r="L402" s="47">
        <f>+IFERROR(VLOOKUP(L16,'נתוני מים 2014'!$C$2:$L$186,2,0),0)</f>
        <v>0</v>
      </c>
      <c r="M402" s="47">
        <f>+IFERROR(VLOOKUP(M16,'נתוני מים 2014'!$C$2:$L$186,2,0),0)</f>
        <v>0</v>
      </c>
      <c r="N402" s="47">
        <f>+IFERROR(VLOOKUP(N16,'נתוני מים 2014'!$C$2:$L$186,2,0),0)</f>
        <v>0</v>
      </c>
      <c r="O402" s="47">
        <f>+IFERROR(VLOOKUP(O16,'נתוני מים 2014'!$C$2:$L$186,2,0),0)</f>
        <v>0</v>
      </c>
      <c r="P402" s="47">
        <f>+IFERROR(VLOOKUP(P16,'נתוני מים 2014'!$C$2:$L$186,2,0),0)</f>
        <v>21312</v>
      </c>
      <c r="Q402" s="47">
        <f>+IFERROR(VLOOKUP(Q16,'נתוני מים 2014'!$C$2:$L$186,2,0),0)</f>
        <v>0</v>
      </c>
      <c r="R402" s="47">
        <f>+IFERROR(VLOOKUP(R16,'נתוני מים 2014'!$C$2:$L$186,2,0),0)</f>
        <v>0</v>
      </c>
      <c r="S402" s="47">
        <f>+IFERROR(VLOOKUP(S16,'נתוני מים 2014'!$C$2:$L$186,2,0),0)</f>
        <v>0</v>
      </c>
      <c r="T402" s="47">
        <f>+IFERROR(VLOOKUP(T16,'נתוני מים 2014'!$C$2:$L$186,2,0),0)</f>
        <v>0</v>
      </c>
      <c r="U402" s="47">
        <f>+IFERROR(VLOOKUP(U16,'נתוני מים 2014'!$C$2:$L$186,2,0),0)</f>
        <v>0</v>
      </c>
      <c r="V402" s="47">
        <f>+IFERROR(VLOOKUP(V16,'נתוני מים 2014'!$C$2:$L$186,2,0),0)</f>
        <v>0</v>
      </c>
      <c r="W402" s="47">
        <f>+IFERROR(VLOOKUP(W16,'נתוני מים 2014'!$C$2:$L$186,2,0),0)</f>
        <v>0</v>
      </c>
      <c r="X402" s="47">
        <f>+IFERROR(VLOOKUP(X16,'נתוני מים 2014'!$C$2:$L$186,2,0),0)</f>
        <v>0</v>
      </c>
      <c r="Y402" s="47">
        <f>+IFERROR(VLOOKUP(Y16,'נתוני מים 2014'!$C$2:$L$186,2,0),0)</f>
        <v>0</v>
      </c>
      <c r="Z402" s="47">
        <f>+IFERROR(VLOOKUP(Z16,'נתוני מים 2014'!$C$2:$L$186,2,0),0)</f>
        <v>0</v>
      </c>
      <c r="AA402" s="47">
        <f>+IFERROR(VLOOKUP(AA16,'נתוני מים 2014'!$C$2:$L$186,2,0),0)</f>
        <v>0</v>
      </c>
      <c r="AB402" s="47">
        <f>+IFERROR(VLOOKUP(AB16,'נתוני מים 2014'!$C$2:$L$186,2,0),0)</f>
        <v>0</v>
      </c>
      <c r="AC402" s="47">
        <f>+IFERROR(VLOOKUP(AC16,'נתוני מים 2014'!$C$2:$L$186,2,0),0)</f>
        <v>0</v>
      </c>
      <c r="AD402" s="47">
        <f>+IFERROR(VLOOKUP(AD16,'נתוני מים 2014'!$C$2:$L$186,2,0),0)</f>
        <v>0</v>
      </c>
      <c r="AE402" s="47">
        <f>+IFERROR(VLOOKUP(AE16,'נתוני מים 2014'!$C$2:$L$186,2,0),0)</f>
        <v>0</v>
      </c>
      <c r="AF402" s="47">
        <f>+IFERROR(VLOOKUP(AF16,'נתוני מים 2014'!$C$2:$L$186,2,0),0)</f>
        <v>0</v>
      </c>
      <c r="AG402" s="47">
        <f>+IFERROR(VLOOKUP(AG16,'נתוני מים 2014'!$C$2:$L$186,2,0),0)</f>
        <v>0</v>
      </c>
      <c r="AH402" s="47">
        <f>+IFERROR(VLOOKUP(AH16,'נתוני מים 2014'!$C$2:$L$186,2,0),0)</f>
        <v>0</v>
      </c>
      <c r="AI402" s="47">
        <f>+IFERROR(VLOOKUP(AI16,'נתוני מים 2014'!$C$2:$L$186,2,0),0)</f>
        <v>0</v>
      </c>
      <c r="AJ402" s="47">
        <f>+IFERROR(VLOOKUP(AJ16,'נתוני מים 2014'!$C$2:$L$186,2,0),0)</f>
        <v>0</v>
      </c>
      <c r="AK402" s="47">
        <f>+IFERROR(VLOOKUP(AK16,'נתוני מים 2014'!$C$2:$L$186,2,0),0)</f>
        <v>0</v>
      </c>
      <c r="AL402" s="47">
        <f>+IFERROR(VLOOKUP(AL16,'נתוני מים 2014'!$C$2:$L$186,2,0),0)</f>
        <v>0</v>
      </c>
      <c r="AM402" s="47">
        <f>+IFERROR(VLOOKUP(AM16,'נתוני מים 2014'!$C$2:$L$186,2,0),0)</f>
        <v>0</v>
      </c>
      <c r="AN402" s="47">
        <f>+IFERROR(VLOOKUP(AN16,'נתוני מים 2014'!$C$2:$L$186,2,0),0)</f>
        <v>0</v>
      </c>
      <c r="AO402" s="47">
        <f>+IFERROR(VLOOKUP(AO16,'נתוני מים 2014'!$C$2:$L$186,2,0),0)</f>
        <v>0</v>
      </c>
      <c r="AP402" s="47">
        <f>+IFERROR(VLOOKUP(AP16,'נתוני מים 2014'!$C$2:$L$186,2,0),0)</f>
        <v>0</v>
      </c>
      <c r="AQ402" s="47">
        <f>+IFERROR(VLOOKUP(AQ16,'נתוני מים 2014'!$C$2:$L$186,2,0),0)</f>
        <v>0</v>
      </c>
      <c r="AR402" s="47">
        <f>+IFERROR(VLOOKUP(AR16,'נתוני מים 2014'!$C$2:$L$186,2,0),0)</f>
        <v>0</v>
      </c>
      <c r="AS402" s="47">
        <f>+IFERROR(VLOOKUP(AS16,'נתוני מים 2014'!$C$2:$L$186,2,0),0)</f>
        <v>3237</v>
      </c>
      <c r="AT402" s="47">
        <f>+IFERROR(VLOOKUP(AT16,'נתוני מים 2014'!$C$2:$L$186,2,0),0)</f>
        <v>0</v>
      </c>
      <c r="AU402" s="47">
        <f>+IFERROR(VLOOKUP(AU16,'נתוני מים 2014'!$C$2:$L$186,2,0),0)</f>
        <v>0</v>
      </c>
      <c r="AV402" s="47">
        <f>+IFERROR(VLOOKUP(AV16,'נתוני מים 2014'!$C$2:$L$186,2,0),0)</f>
        <v>0</v>
      </c>
      <c r="AW402" s="47">
        <f>+IFERROR(VLOOKUP(AW16,'נתוני מים 2014'!$C$2:$L$186,2,0),0)</f>
        <v>0</v>
      </c>
      <c r="AX402" s="47">
        <f>+IFERROR(VLOOKUP(AX16,'נתוני מים 2014'!$C$2:$L$186,2,0),0)</f>
        <v>0</v>
      </c>
      <c r="AY402" s="47">
        <f>+IFERROR(VLOOKUP(AY16,'נתוני מים 2014'!$C$2:$L$186,2,0),0)</f>
        <v>0</v>
      </c>
      <c r="AZ402" s="47">
        <f>+IFERROR(VLOOKUP(AZ16,'נתוני מים 2014'!$C$2:$L$186,2,0),0)</f>
        <v>0</v>
      </c>
      <c r="BA402" s="47">
        <f>+IFERROR(VLOOKUP(BA16,'נתוני מים 2014'!$C$2:$L$186,2,0),0)</f>
        <v>0</v>
      </c>
      <c r="BB402" s="47">
        <f>+IFERROR(VLOOKUP(BB16,'נתוני מים 2014'!$C$2:$L$186,2,0),0)</f>
        <v>0</v>
      </c>
      <c r="BC402" s="47">
        <f>+IFERROR(VLOOKUP(BC16,'נתוני מים 2014'!$C$2:$L$186,2,0),0)</f>
        <v>0</v>
      </c>
      <c r="BD402" s="47">
        <f>+IFERROR(VLOOKUP(BD16,'נתוני מים 2014'!$C$2:$L$186,2,0),0)</f>
        <v>0</v>
      </c>
      <c r="BE402" s="47">
        <f>+IFERROR(VLOOKUP(BE16,'נתוני מים 2014'!$C$2:$L$186,2,0),0)</f>
        <v>0</v>
      </c>
      <c r="BF402" s="47">
        <f>+IFERROR(VLOOKUP(BF16,'נתוני מים 2014'!$C$2:$L$186,2,0),0)</f>
        <v>0</v>
      </c>
    </row>
    <row r="403" spans="2:58" x14ac:dyDescent="0.2">
      <c r="B403" s="1">
        <v>10</v>
      </c>
      <c r="C403" s="47">
        <f>+IFERROR(VLOOKUP(C17,'נתוני מים 2014'!$C$2:$L$186,2,0),0)</f>
        <v>0</v>
      </c>
      <c r="D403" s="47">
        <f>+IFERROR(VLOOKUP(D17,'נתוני מים 2014'!$C$2:$L$186,2,0),0)</f>
        <v>0</v>
      </c>
      <c r="E403" s="47">
        <f>+IFERROR(VLOOKUP(E17,'נתוני מים 2014'!$C$2:$L$186,2,0),0)</f>
        <v>0</v>
      </c>
      <c r="F403" s="47">
        <f>+IFERROR(VLOOKUP(F17,'נתוני מים 2014'!$C$2:$L$186,2,0),0)</f>
        <v>0</v>
      </c>
      <c r="G403" s="47">
        <f>+IFERROR(VLOOKUP(G17,'נתוני מים 2014'!$C$2:$L$186,2,0),0)</f>
        <v>0</v>
      </c>
      <c r="H403" s="47">
        <f>+IFERROR(VLOOKUP(H17,'נתוני מים 2014'!$C$2:$L$186,2,0),0)</f>
        <v>0</v>
      </c>
      <c r="I403" s="47">
        <f>+IFERROR(VLOOKUP(I17,'נתוני מים 2014'!$C$2:$L$186,2,0),0)</f>
        <v>0</v>
      </c>
      <c r="J403" s="47">
        <f>+IFERROR(VLOOKUP(J17,'נתוני מים 2014'!$C$2:$L$186,2,0),0)</f>
        <v>0</v>
      </c>
      <c r="K403" s="47">
        <f>+IFERROR(VLOOKUP(K17,'נתוני מים 2014'!$C$2:$L$186,2,0),0)</f>
        <v>0</v>
      </c>
      <c r="L403" s="47">
        <f>+IFERROR(VLOOKUP(L17,'נתוני מים 2014'!$C$2:$L$186,2,0),0)</f>
        <v>0</v>
      </c>
      <c r="M403" s="47">
        <f>+IFERROR(VLOOKUP(M17,'נתוני מים 2014'!$C$2:$L$186,2,0),0)</f>
        <v>0</v>
      </c>
      <c r="N403" s="47">
        <f>+IFERROR(VLOOKUP(N17,'נתוני מים 2014'!$C$2:$L$186,2,0),0)</f>
        <v>0</v>
      </c>
      <c r="O403" s="47">
        <f>+IFERROR(VLOOKUP(O17,'נתוני מים 2014'!$C$2:$L$186,2,0),0)</f>
        <v>0</v>
      </c>
      <c r="P403" s="47">
        <f>+IFERROR(VLOOKUP(P17,'נתוני מים 2014'!$C$2:$L$186,2,0),0)</f>
        <v>7341</v>
      </c>
      <c r="Q403" s="47">
        <f>+IFERROR(VLOOKUP(Q17,'נתוני מים 2014'!$C$2:$L$186,2,0),0)</f>
        <v>0</v>
      </c>
      <c r="R403" s="47">
        <f>+IFERROR(VLOOKUP(R17,'נתוני מים 2014'!$C$2:$L$186,2,0),0)</f>
        <v>0</v>
      </c>
      <c r="S403" s="47">
        <f>+IFERROR(VLOOKUP(S17,'נתוני מים 2014'!$C$2:$L$186,2,0),0)</f>
        <v>0</v>
      </c>
      <c r="T403" s="47">
        <f>+IFERROR(VLOOKUP(T17,'נתוני מים 2014'!$C$2:$L$186,2,0),0)</f>
        <v>0</v>
      </c>
      <c r="U403" s="47">
        <f>+IFERROR(VLOOKUP(U17,'נתוני מים 2014'!$C$2:$L$186,2,0),0)</f>
        <v>0</v>
      </c>
      <c r="V403" s="47">
        <f>+IFERROR(VLOOKUP(V17,'נתוני מים 2014'!$C$2:$L$186,2,0),0)</f>
        <v>0</v>
      </c>
      <c r="W403" s="47">
        <f>+IFERROR(VLOOKUP(W17,'נתוני מים 2014'!$C$2:$L$186,2,0),0)</f>
        <v>0</v>
      </c>
      <c r="X403" s="47">
        <f>+IFERROR(VLOOKUP(X17,'נתוני מים 2014'!$C$2:$L$186,2,0),0)</f>
        <v>0</v>
      </c>
      <c r="Y403" s="47">
        <f>+IFERROR(VLOOKUP(Y17,'נתוני מים 2014'!$C$2:$L$186,2,0),0)</f>
        <v>0</v>
      </c>
      <c r="Z403" s="47">
        <f>+IFERROR(VLOOKUP(Z17,'נתוני מים 2014'!$C$2:$L$186,2,0),0)</f>
        <v>0</v>
      </c>
      <c r="AA403" s="47">
        <f>+IFERROR(VLOOKUP(AA17,'נתוני מים 2014'!$C$2:$L$186,2,0),0)</f>
        <v>0</v>
      </c>
      <c r="AB403" s="47">
        <f>+IFERROR(VLOOKUP(AB17,'נתוני מים 2014'!$C$2:$L$186,2,0),0)</f>
        <v>0</v>
      </c>
      <c r="AC403" s="47">
        <f>+IFERROR(VLOOKUP(AC17,'נתוני מים 2014'!$C$2:$L$186,2,0),0)</f>
        <v>0</v>
      </c>
      <c r="AD403" s="47">
        <f>+IFERROR(VLOOKUP(AD17,'נתוני מים 2014'!$C$2:$L$186,2,0),0)</f>
        <v>0</v>
      </c>
      <c r="AE403" s="47">
        <f>+IFERROR(VLOOKUP(AE17,'נתוני מים 2014'!$C$2:$L$186,2,0),0)</f>
        <v>0</v>
      </c>
      <c r="AF403" s="47">
        <f>+IFERROR(VLOOKUP(AF17,'נתוני מים 2014'!$C$2:$L$186,2,0),0)</f>
        <v>0</v>
      </c>
      <c r="AG403" s="47">
        <f>+IFERROR(VLOOKUP(AG17,'נתוני מים 2014'!$C$2:$L$186,2,0),0)</f>
        <v>0</v>
      </c>
      <c r="AH403" s="47">
        <f>+IFERROR(VLOOKUP(AH17,'נתוני מים 2014'!$C$2:$L$186,2,0),0)</f>
        <v>0</v>
      </c>
      <c r="AI403" s="47">
        <f>+IFERROR(VLOOKUP(AI17,'נתוני מים 2014'!$C$2:$L$186,2,0),0)</f>
        <v>0</v>
      </c>
      <c r="AJ403" s="47">
        <f>+IFERROR(VLOOKUP(AJ17,'נתוני מים 2014'!$C$2:$L$186,2,0),0)</f>
        <v>0</v>
      </c>
      <c r="AK403" s="47">
        <f>+IFERROR(VLOOKUP(AK17,'נתוני מים 2014'!$C$2:$L$186,2,0),0)</f>
        <v>0</v>
      </c>
      <c r="AL403" s="47">
        <f>+IFERROR(VLOOKUP(AL17,'נתוני מים 2014'!$C$2:$L$186,2,0),0)</f>
        <v>0</v>
      </c>
      <c r="AM403" s="47">
        <f>+IFERROR(VLOOKUP(AM17,'נתוני מים 2014'!$C$2:$L$186,2,0),0)</f>
        <v>0</v>
      </c>
      <c r="AN403" s="47">
        <f>+IFERROR(VLOOKUP(AN17,'נתוני מים 2014'!$C$2:$L$186,2,0),0)</f>
        <v>0</v>
      </c>
      <c r="AO403" s="47">
        <f>+IFERROR(VLOOKUP(AO17,'נתוני מים 2014'!$C$2:$L$186,2,0),0)</f>
        <v>0</v>
      </c>
      <c r="AP403" s="47">
        <f>+IFERROR(VLOOKUP(AP17,'נתוני מים 2014'!$C$2:$L$186,2,0),0)</f>
        <v>0</v>
      </c>
      <c r="AQ403" s="47">
        <f>+IFERROR(VLOOKUP(AQ17,'נתוני מים 2014'!$C$2:$L$186,2,0),0)</f>
        <v>0</v>
      </c>
      <c r="AR403" s="47">
        <f>+IFERROR(VLOOKUP(AR17,'נתוני מים 2014'!$C$2:$L$186,2,0),0)</f>
        <v>0</v>
      </c>
      <c r="AS403" s="47">
        <f>+IFERROR(VLOOKUP(AS17,'נתוני מים 2014'!$C$2:$L$186,2,0),0)</f>
        <v>8489</v>
      </c>
      <c r="AT403" s="47">
        <f>+IFERROR(VLOOKUP(AT17,'נתוני מים 2014'!$C$2:$L$186,2,0),0)</f>
        <v>0</v>
      </c>
      <c r="AU403" s="47">
        <f>+IFERROR(VLOOKUP(AU17,'נתוני מים 2014'!$C$2:$L$186,2,0),0)</f>
        <v>0</v>
      </c>
      <c r="AV403" s="47">
        <f>+IFERROR(VLOOKUP(AV17,'נתוני מים 2014'!$C$2:$L$186,2,0),0)</f>
        <v>0</v>
      </c>
      <c r="AW403" s="47">
        <f>+IFERROR(VLOOKUP(AW17,'נתוני מים 2014'!$C$2:$L$186,2,0),0)</f>
        <v>0</v>
      </c>
      <c r="AX403" s="47">
        <f>+IFERROR(VLOOKUP(AX17,'נתוני מים 2014'!$C$2:$L$186,2,0),0)</f>
        <v>0</v>
      </c>
      <c r="AY403" s="47">
        <f>+IFERROR(VLOOKUP(AY17,'נתוני מים 2014'!$C$2:$L$186,2,0),0)</f>
        <v>0</v>
      </c>
      <c r="AZ403" s="47">
        <f>+IFERROR(VLOOKUP(AZ17,'נתוני מים 2014'!$C$2:$L$186,2,0),0)</f>
        <v>0</v>
      </c>
      <c r="BA403" s="47">
        <f>+IFERROR(VLOOKUP(BA17,'נתוני מים 2014'!$C$2:$L$186,2,0),0)</f>
        <v>0</v>
      </c>
      <c r="BB403" s="47">
        <f>+IFERROR(VLOOKUP(BB17,'נתוני מים 2014'!$C$2:$L$186,2,0),0)</f>
        <v>0</v>
      </c>
      <c r="BC403" s="47">
        <f>+IFERROR(VLOOKUP(BC17,'נתוני מים 2014'!$C$2:$L$186,2,0),0)</f>
        <v>0</v>
      </c>
      <c r="BD403" s="47">
        <f>+IFERROR(VLOOKUP(BD17,'נתוני מים 2014'!$C$2:$L$186,2,0),0)</f>
        <v>0</v>
      </c>
      <c r="BE403" s="47">
        <f>+IFERROR(VLOOKUP(BE17,'נתוני מים 2014'!$C$2:$L$186,2,0),0)</f>
        <v>0</v>
      </c>
      <c r="BF403" s="47">
        <f>+IFERROR(VLOOKUP(BF17,'נתוני מים 2014'!$C$2:$L$186,2,0),0)</f>
        <v>0</v>
      </c>
    </row>
    <row r="404" spans="2:58" x14ac:dyDescent="0.2">
      <c r="B404" s="1">
        <v>11</v>
      </c>
      <c r="C404" s="47">
        <f>+IFERROR(VLOOKUP(C18,'נתוני מים 2014'!$C$2:$L$186,2,0),0)</f>
        <v>0</v>
      </c>
      <c r="D404" s="47">
        <f>+IFERROR(VLOOKUP(D18,'נתוני מים 2014'!$C$2:$L$186,2,0),0)</f>
        <v>0</v>
      </c>
      <c r="E404" s="47">
        <f>+IFERROR(VLOOKUP(E18,'נתוני מים 2014'!$C$2:$L$186,2,0),0)</f>
        <v>0</v>
      </c>
      <c r="F404" s="47">
        <f>+IFERROR(VLOOKUP(F18,'נתוני מים 2014'!$C$2:$L$186,2,0),0)</f>
        <v>0</v>
      </c>
      <c r="G404" s="47">
        <f>+IFERROR(VLOOKUP(G18,'נתוני מים 2014'!$C$2:$L$186,2,0),0)</f>
        <v>0</v>
      </c>
      <c r="H404" s="47">
        <f>+IFERROR(VLOOKUP(H18,'נתוני מים 2014'!$C$2:$L$186,2,0),0)</f>
        <v>0</v>
      </c>
      <c r="I404" s="47">
        <f>+IFERROR(VLOOKUP(I18,'נתוני מים 2014'!$C$2:$L$186,2,0),0)</f>
        <v>0</v>
      </c>
      <c r="J404" s="47">
        <f>+IFERROR(VLOOKUP(J18,'נתוני מים 2014'!$C$2:$L$186,2,0),0)</f>
        <v>0</v>
      </c>
      <c r="K404" s="47">
        <f>+IFERROR(VLOOKUP(K18,'נתוני מים 2014'!$C$2:$L$186,2,0),0)</f>
        <v>0</v>
      </c>
      <c r="L404" s="47">
        <f>+IFERROR(VLOOKUP(L18,'נתוני מים 2014'!$C$2:$L$186,2,0),0)</f>
        <v>0</v>
      </c>
      <c r="M404" s="47">
        <f>+IFERROR(VLOOKUP(M18,'נתוני מים 2014'!$C$2:$L$186,2,0),0)</f>
        <v>0</v>
      </c>
      <c r="N404" s="47">
        <f>+IFERROR(VLOOKUP(N18,'נתוני מים 2014'!$C$2:$L$186,2,0),0)</f>
        <v>0</v>
      </c>
      <c r="O404" s="47">
        <f>+IFERROR(VLOOKUP(O18,'נתוני מים 2014'!$C$2:$L$186,2,0),0)</f>
        <v>0</v>
      </c>
      <c r="P404" s="47">
        <f>+IFERROR(VLOOKUP(P18,'נתוני מים 2014'!$C$2:$L$186,2,0),0)</f>
        <v>3968</v>
      </c>
      <c r="Q404" s="47">
        <f>+IFERROR(VLOOKUP(Q18,'נתוני מים 2014'!$C$2:$L$186,2,0),0)</f>
        <v>0</v>
      </c>
      <c r="R404" s="47">
        <f>+IFERROR(VLOOKUP(R18,'נתוני מים 2014'!$C$2:$L$186,2,0),0)</f>
        <v>0</v>
      </c>
      <c r="S404" s="47">
        <f>+IFERROR(VLOOKUP(S18,'נתוני מים 2014'!$C$2:$L$186,2,0),0)</f>
        <v>0</v>
      </c>
      <c r="T404" s="47">
        <f>+IFERROR(VLOOKUP(T18,'נתוני מים 2014'!$C$2:$L$186,2,0),0)</f>
        <v>0</v>
      </c>
      <c r="U404" s="47">
        <f>+IFERROR(VLOOKUP(U18,'נתוני מים 2014'!$C$2:$L$186,2,0),0)</f>
        <v>0</v>
      </c>
      <c r="V404" s="47">
        <f>+IFERROR(VLOOKUP(V18,'נתוני מים 2014'!$C$2:$L$186,2,0),0)</f>
        <v>0</v>
      </c>
      <c r="W404" s="47">
        <f>+IFERROR(VLOOKUP(W18,'נתוני מים 2014'!$C$2:$L$186,2,0),0)</f>
        <v>0</v>
      </c>
      <c r="X404" s="47">
        <f>+IFERROR(VLOOKUP(X18,'נתוני מים 2014'!$C$2:$L$186,2,0),0)</f>
        <v>0</v>
      </c>
      <c r="Y404" s="47">
        <f>+IFERROR(VLOOKUP(Y18,'נתוני מים 2014'!$C$2:$L$186,2,0),0)</f>
        <v>0</v>
      </c>
      <c r="Z404" s="47">
        <f>+IFERROR(VLOOKUP(Z18,'נתוני מים 2014'!$C$2:$L$186,2,0),0)</f>
        <v>0</v>
      </c>
      <c r="AA404" s="47">
        <f>+IFERROR(VLOOKUP(AA18,'נתוני מים 2014'!$C$2:$L$186,2,0),0)</f>
        <v>0</v>
      </c>
      <c r="AB404" s="47">
        <f>+IFERROR(VLOOKUP(AB18,'נתוני מים 2014'!$C$2:$L$186,2,0),0)</f>
        <v>0</v>
      </c>
      <c r="AC404" s="47">
        <f>+IFERROR(VLOOKUP(AC18,'נתוני מים 2014'!$C$2:$L$186,2,0),0)</f>
        <v>0</v>
      </c>
      <c r="AD404" s="47">
        <f>+IFERROR(VLOOKUP(AD18,'נתוני מים 2014'!$C$2:$L$186,2,0),0)</f>
        <v>0</v>
      </c>
      <c r="AE404" s="47">
        <f>+IFERROR(VLOOKUP(AE18,'נתוני מים 2014'!$C$2:$L$186,2,0),0)</f>
        <v>0</v>
      </c>
      <c r="AF404" s="47">
        <f>+IFERROR(VLOOKUP(AF18,'נתוני מים 2014'!$C$2:$L$186,2,0),0)</f>
        <v>0</v>
      </c>
      <c r="AG404" s="47">
        <f>+IFERROR(VLOOKUP(AG18,'נתוני מים 2014'!$C$2:$L$186,2,0),0)</f>
        <v>0</v>
      </c>
      <c r="AH404" s="47">
        <f>+IFERROR(VLOOKUP(AH18,'נתוני מים 2014'!$C$2:$L$186,2,0),0)</f>
        <v>0</v>
      </c>
      <c r="AI404" s="47">
        <f>+IFERROR(VLOOKUP(AI18,'נתוני מים 2014'!$C$2:$L$186,2,0),0)</f>
        <v>0</v>
      </c>
      <c r="AJ404" s="47">
        <f>+IFERROR(VLOOKUP(AJ18,'נתוני מים 2014'!$C$2:$L$186,2,0),0)</f>
        <v>0</v>
      </c>
      <c r="AK404" s="47">
        <f>+IFERROR(VLOOKUP(AK18,'נתוני מים 2014'!$C$2:$L$186,2,0),0)</f>
        <v>0</v>
      </c>
      <c r="AL404" s="47">
        <f>+IFERROR(VLOOKUP(AL18,'נתוני מים 2014'!$C$2:$L$186,2,0),0)</f>
        <v>0</v>
      </c>
      <c r="AM404" s="47">
        <f>+IFERROR(VLOOKUP(AM18,'נתוני מים 2014'!$C$2:$L$186,2,0),0)</f>
        <v>0</v>
      </c>
      <c r="AN404" s="47">
        <f>+IFERROR(VLOOKUP(AN18,'נתוני מים 2014'!$C$2:$L$186,2,0),0)</f>
        <v>0</v>
      </c>
      <c r="AO404" s="47">
        <f>+IFERROR(VLOOKUP(AO18,'נתוני מים 2014'!$C$2:$L$186,2,0),0)</f>
        <v>0</v>
      </c>
      <c r="AP404" s="47">
        <f>+IFERROR(VLOOKUP(AP18,'נתוני מים 2014'!$C$2:$L$186,2,0),0)</f>
        <v>0</v>
      </c>
      <c r="AQ404" s="47">
        <f>+IFERROR(VLOOKUP(AQ18,'נתוני מים 2014'!$C$2:$L$186,2,0),0)</f>
        <v>0</v>
      </c>
      <c r="AR404" s="47">
        <f>+IFERROR(VLOOKUP(AR18,'נתוני מים 2014'!$C$2:$L$186,2,0),0)</f>
        <v>0</v>
      </c>
      <c r="AS404" s="47">
        <f>+IFERROR(VLOOKUP(AS18,'נתוני מים 2014'!$C$2:$L$186,2,0),0)</f>
        <v>0</v>
      </c>
      <c r="AT404" s="47">
        <f>+IFERROR(VLOOKUP(AT18,'נתוני מים 2014'!$C$2:$L$186,2,0),0)</f>
        <v>0</v>
      </c>
      <c r="AU404" s="47">
        <f>+IFERROR(VLOOKUP(AU18,'נתוני מים 2014'!$C$2:$L$186,2,0),0)</f>
        <v>0</v>
      </c>
      <c r="AV404" s="47">
        <f>+IFERROR(VLOOKUP(AV18,'נתוני מים 2014'!$C$2:$L$186,2,0),0)</f>
        <v>0</v>
      </c>
      <c r="AW404" s="47">
        <f>+IFERROR(VLOOKUP(AW18,'נתוני מים 2014'!$C$2:$L$186,2,0),0)</f>
        <v>0</v>
      </c>
      <c r="AX404" s="47">
        <f>+IFERROR(VLOOKUP(AX18,'נתוני מים 2014'!$C$2:$L$186,2,0),0)</f>
        <v>0</v>
      </c>
      <c r="AY404" s="47">
        <f>+IFERROR(VLOOKUP(AY18,'נתוני מים 2014'!$C$2:$L$186,2,0),0)</f>
        <v>0</v>
      </c>
      <c r="AZ404" s="47">
        <f>+IFERROR(VLOOKUP(AZ18,'נתוני מים 2014'!$C$2:$L$186,2,0),0)</f>
        <v>0</v>
      </c>
      <c r="BA404" s="47">
        <f>+IFERROR(VLOOKUP(BA18,'נתוני מים 2014'!$C$2:$L$186,2,0),0)</f>
        <v>0</v>
      </c>
      <c r="BB404" s="47">
        <f>+IFERROR(VLOOKUP(BB18,'נתוני מים 2014'!$C$2:$L$186,2,0),0)</f>
        <v>0</v>
      </c>
      <c r="BC404" s="47">
        <f>+IFERROR(VLOOKUP(BC18,'נתוני מים 2014'!$C$2:$L$186,2,0),0)</f>
        <v>0</v>
      </c>
      <c r="BD404" s="47">
        <f>+IFERROR(VLOOKUP(BD18,'נתוני מים 2014'!$C$2:$L$186,2,0),0)</f>
        <v>0</v>
      </c>
      <c r="BE404" s="47">
        <f>+IFERROR(VLOOKUP(BE18,'נתוני מים 2014'!$C$2:$L$186,2,0),0)</f>
        <v>0</v>
      </c>
      <c r="BF404" s="47">
        <f>+IFERROR(VLOOKUP(BF18,'נתוני מים 2014'!$C$2:$L$186,2,0),0)</f>
        <v>0</v>
      </c>
    </row>
    <row r="405" spans="2:58" x14ac:dyDescent="0.2">
      <c r="B405" s="1">
        <v>12</v>
      </c>
      <c r="C405" s="47">
        <f>+IFERROR(VLOOKUP(C19,'נתוני מים 2014'!$C$2:$L$186,2,0),0)</f>
        <v>0</v>
      </c>
      <c r="D405" s="47">
        <f>+IFERROR(VLOOKUP(D19,'נתוני מים 2014'!$C$2:$L$186,2,0),0)</f>
        <v>0</v>
      </c>
      <c r="E405" s="47">
        <f>+IFERROR(VLOOKUP(E19,'נתוני מים 2014'!$C$2:$L$186,2,0),0)</f>
        <v>0</v>
      </c>
      <c r="F405" s="47">
        <f>+IFERROR(VLOOKUP(F19,'נתוני מים 2014'!$C$2:$L$186,2,0),0)</f>
        <v>0</v>
      </c>
      <c r="G405" s="47">
        <f>+IFERROR(VLOOKUP(G19,'נתוני מים 2014'!$C$2:$L$186,2,0),0)</f>
        <v>0</v>
      </c>
      <c r="H405" s="47">
        <f>+IFERROR(VLOOKUP(H19,'נתוני מים 2014'!$C$2:$L$186,2,0),0)</f>
        <v>0</v>
      </c>
      <c r="I405" s="47">
        <f>+IFERROR(VLOOKUP(I19,'נתוני מים 2014'!$C$2:$L$186,2,0),0)</f>
        <v>0</v>
      </c>
      <c r="J405" s="47">
        <f>+IFERROR(VLOOKUP(J19,'נתוני מים 2014'!$C$2:$L$186,2,0),0)</f>
        <v>0</v>
      </c>
      <c r="K405" s="47">
        <f>+IFERROR(VLOOKUP(K19,'נתוני מים 2014'!$C$2:$L$186,2,0),0)</f>
        <v>0</v>
      </c>
      <c r="L405" s="47">
        <f>+IFERROR(VLOOKUP(L19,'נתוני מים 2014'!$C$2:$L$186,2,0),0)</f>
        <v>0</v>
      </c>
      <c r="M405" s="47">
        <f>+IFERROR(VLOOKUP(M19,'נתוני מים 2014'!$C$2:$L$186,2,0),0)</f>
        <v>0</v>
      </c>
      <c r="N405" s="47">
        <f>+IFERROR(VLOOKUP(N19,'נתוני מים 2014'!$C$2:$L$186,2,0),0)</f>
        <v>0</v>
      </c>
      <c r="O405" s="47">
        <f>+IFERROR(VLOOKUP(O19,'נתוני מים 2014'!$C$2:$L$186,2,0),0)</f>
        <v>0</v>
      </c>
      <c r="P405" s="47">
        <f>+IFERROR(VLOOKUP(P19,'נתוני מים 2014'!$C$2:$L$186,2,0),0)</f>
        <v>5423</v>
      </c>
      <c r="Q405" s="47">
        <f>+IFERROR(VLOOKUP(Q19,'נתוני מים 2014'!$C$2:$L$186,2,0),0)</f>
        <v>0</v>
      </c>
      <c r="R405" s="47">
        <f>+IFERROR(VLOOKUP(R19,'נתוני מים 2014'!$C$2:$L$186,2,0),0)</f>
        <v>0</v>
      </c>
      <c r="S405" s="47">
        <f>+IFERROR(VLOOKUP(S19,'נתוני מים 2014'!$C$2:$L$186,2,0),0)</f>
        <v>0</v>
      </c>
      <c r="T405" s="47">
        <f>+IFERROR(VLOOKUP(T19,'נתוני מים 2014'!$C$2:$L$186,2,0),0)</f>
        <v>0</v>
      </c>
      <c r="U405" s="47">
        <f>+IFERROR(VLOOKUP(U19,'נתוני מים 2014'!$C$2:$L$186,2,0),0)</f>
        <v>0</v>
      </c>
      <c r="V405" s="47">
        <f>+IFERROR(VLOOKUP(V19,'נתוני מים 2014'!$C$2:$L$186,2,0),0)</f>
        <v>0</v>
      </c>
      <c r="W405" s="47">
        <f>+IFERROR(VLOOKUP(W19,'נתוני מים 2014'!$C$2:$L$186,2,0),0)</f>
        <v>0</v>
      </c>
      <c r="X405" s="47">
        <f>+IFERROR(VLOOKUP(X19,'נתוני מים 2014'!$C$2:$L$186,2,0),0)</f>
        <v>0</v>
      </c>
      <c r="Y405" s="47">
        <f>+IFERROR(VLOOKUP(Y19,'נתוני מים 2014'!$C$2:$L$186,2,0),0)</f>
        <v>0</v>
      </c>
      <c r="Z405" s="47">
        <f>+IFERROR(VLOOKUP(Z19,'נתוני מים 2014'!$C$2:$L$186,2,0),0)</f>
        <v>0</v>
      </c>
      <c r="AA405" s="47">
        <f>+IFERROR(VLOOKUP(AA19,'נתוני מים 2014'!$C$2:$L$186,2,0),0)</f>
        <v>0</v>
      </c>
      <c r="AB405" s="47">
        <f>+IFERROR(VLOOKUP(AB19,'נתוני מים 2014'!$C$2:$L$186,2,0),0)</f>
        <v>0</v>
      </c>
      <c r="AC405" s="47">
        <f>+IFERROR(VLOOKUP(AC19,'נתוני מים 2014'!$C$2:$L$186,2,0),0)</f>
        <v>0</v>
      </c>
      <c r="AD405" s="47">
        <f>+IFERROR(VLOOKUP(AD19,'נתוני מים 2014'!$C$2:$L$186,2,0),0)</f>
        <v>0</v>
      </c>
      <c r="AE405" s="47">
        <f>+IFERROR(VLOOKUP(AE19,'נתוני מים 2014'!$C$2:$L$186,2,0),0)</f>
        <v>0</v>
      </c>
      <c r="AF405" s="47">
        <f>+IFERROR(VLOOKUP(AF19,'נתוני מים 2014'!$C$2:$L$186,2,0),0)</f>
        <v>0</v>
      </c>
      <c r="AG405" s="47">
        <f>+IFERROR(VLOOKUP(AG19,'נתוני מים 2014'!$C$2:$L$186,2,0),0)</f>
        <v>0</v>
      </c>
      <c r="AH405" s="47">
        <f>+IFERROR(VLOOKUP(AH19,'נתוני מים 2014'!$C$2:$L$186,2,0),0)</f>
        <v>0</v>
      </c>
      <c r="AI405" s="47">
        <f>+IFERROR(VLOOKUP(AI19,'נתוני מים 2014'!$C$2:$L$186,2,0),0)</f>
        <v>0</v>
      </c>
      <c r="AJ405" s="47">
        <f>+IFERROR(VLOOKUP(AJ19,'נתוני מים 2014'!$C$2:$L$186,2,0),0)</f>
        <v>0</v>
      </c>
      <c r="AK405" s="47">
        <f>+IFERROR(VLOOKUP(AK19,'נתוני מים 2014'!$C$2:$L$186,2,0),0)</f>
        <v>0</v>
      </c>
      <c r="AL405" s="47">
        <f>+IFERROR(VLOOKUP(AL19,'נתוני מים 2014'!$C$2:$L$186,2,0),0)</f>
        <v>0</v>
      </c>
      <c r="AM405" s="47">
        <f>+IFERROR(VLOOKUP(AM19,'נתוני מים 2014'!$C$2:$L$186,2,0),0)</f>
        <v>0</v>
      </c>
      <c r="AN405" s="47">
        <f>+IFERROR(VLOOKUP(AN19,'נתוני מים 2014'!$C$2:$L$186,2,0),0)</f>
        <v>0</v>
      </c>
      <c r="AO405" s="47">
        <f>+IFERROR(VLOOKUP(AO19,'נתוני מים 2014'!$C$2:$L$186,2,0),0)</f>
        <v>0</v>
      </c>
      <c r="AP405" s="47">
        <f>+IFERROR(VLOOKUP(AP19,'נתוני מים 2014'!$C$2:$L$186,2,0),0)</f>
        <v>0</v>
      </c>
      <c r="AQ405" s="47">
        <f>+IFERROR(VLOOKUP(AQ19,'נתוני מים 2014'!$C$2:$L$186,2,0),0)</f>
        <v>0</v>
      </c>
      <c r="AR405" s="47">
        <f>+IFERROR(VLOOKUP(AR19,'נתוני מים 2014'!$C$2:$L$186,2,0),0)</f>
        <v>0</v>
      </c>
      <c r="AS405" s="47">
        <f>+IFERROR(VLOOKUP(AS19,'נתוני מים 2014'!$C$2:$L$186,2,0),0)</f>
        <v>0</v>
      </c>
      <c r="AT405" s="47">
        <f>+IFERROR(VLOOKUP(AT19,'נתוני מים 2014'!$C$2:$L$186,2,0),0)</f>
        <v>0</v>
      </c>
      <c r="AU405" s="47">
        <f>+IFERROR(VLOOKUP(AU19,'נתוני מים 2014'!$C$2:$L$186,2,0),0)</f>
        <v>0</v>
      </c>
      <c r="AV405" s="47">
        <f>+IFERROR(VLOOKUP(AV19,'נתוני מים 2014'!$C$2:$L$186,2,0),0)</f>
        <v>0</v>
      </c>
      <c r="AW405" s="47">
        <f>+IFERROR(VLOOKUP(AW19,'נתוני מים 2014'!$C$2:$L$186,2,0),0)</f>
        <v>0</v>
      </c>
      <c r="AX405" s="47">
        <f>+IFERROR(VLOOKUP(AX19,'נתוני מים 2014'!$C$2:$L$186,2,0),0)</f>
        <v>0</v>
      </c>
      <c r="AY405" s="47">
        <f>+IFERROR(VLOOKUP(AY19,'נתוני מים 2014'!$C$2:$L$186,2,0),0)</f>
        <v>0</v>
      </c>
      <c r="AZ405" s="47">
        <f>+IFERROR(VLOOKUP(AZ19,'נתוני מים 2014'!$C$2:$L$186,2,0),0)</f>
        <v>0</v>
      </c>
      <c r="BA405" s="47">
        <f>+IFERROR(VLOOKUP(BA19,'נתוני מים 2014'!$C$2:$L$186,2,0),0)</f>
        <v>0</v>
      </c>
      <c r="BB405" s="47">
        <f>+IFERROR(VLOOKUP(BB19,'נתוני מים 2014'!$C$2:$L$186,2,0),0)</f>
        <v>0</v>
      </c>
      <c r="BC405" s="47">
        <f>+IFERROR(VLOOKUP(BC19,'נתוני מים 2014'!$C$2:$L$186,2,0),0)</f>
        <v>0</v>
      </c>
      <c r="BD405" s="47">
        <f>+IFERROR(VLOOKUP(BD19,'נתוני מים 2014'!$C$2:$L$186,2,0),0)</f>
        <v>0</v>
      </c>
      <c r="BE405" s="47">
        <f>+IFERROR(VLOOKUP(BE19,'נתוני מים 2014'!$C$2:$L$186,2,0),0)</f>
        <v>0</v>
      </c>
      <c r="BF405" s="47">
        <f>+IFERROR(VLOOKUP(BF19,'נתוני מים 2014'!$C$2:$L$186,2,0),0)</f>
        <v>0</v>
      </c>
    </row>
    <row r="406" spans="2:58" x14ac:dyDescent="0.2">
      <c r="B406" s="1">
        <v>13</v>
      </c>
      <c r="C406" s="47">
        <f>+IFERROR(VLOOKUP(C20,'נתוני מים 2014'!$C$2:$L$186,2,0),0)</f>
        <v>0</v>
      </c>
      <c r="D406" s="47">
        <f>+IFERROR(VLOOKUP(D20,'נתוני מים 2014'!$C$2:$L$186,2,0),0)</f>
        <v>0</v>
      </c>
      <c r="E406" s="47">
        <f>+IFERROR(VLOOKUP(E20,'נתוני מים 2014'!$C$2:$L$186,2,0),0)</f>
        <v>0</v>
      </c>
      <c r="F406" s="47">
        <f>+IFERROR(VLOOKUP(F20,'נתוני מים 2014'!$C$2:$L$186,2,0),0)</f>
        <v>0</v>
      </c>
      <c r="G406" s="47">
        <f>+IFERROR(VLOOKUP(G20,'נתוני מים 2014'!$C$2:$L$186,2,0),0)</f>
        <v>0</v>
      </c>
      <c r="H406" s="47">
        <f>+IFERROR(VLOOKUP(H20,'נתוני מים 2014'!$C$2:$L$186,2,0),0)</f>
        <v>0</v>
      </c>
      <c r="I406" s="47">
        <f>+IFERROR(VLOOKUP(I20,'נתוני מים 2014'!$C$2:$L$186,2,0),0)</f>
        <v>0</v>
      </c>
      <c r="J406" s="47">
        <f>+IFERROR(VLOOKUP(J20,'נתוני מים 2014'!$C$2:$L$186,2,0),0)</f>
        <v>0</v>
      </c>
      <c r="K406" s="47">
        <f>+IFERROR(VLOOKUP(K20,'נתוני מים 2014'!$C$2:$L$186,2,0),0)</f>
        <v>0</v>
      </c>
      <c r="L406" s="47">
        <f>+IFERROR(VLOOKUP(L20,'נתוני מים 2014'!$C$2:$L$186,2,0),0)</f>
        <v>0</v>
      </c>
      <c r="M406" s="47">
        <f>+IFERROR(VLOOKUP(M20,'נתוני מים 2014'!$C$2:$L$186,2,0),0)</f>
        <v>0</v>
      </c>
      <c r="N406" s="47">
        <f>+IFERROR(VLOOKUP(N20,'נתוני מים 2014'!$C$2:$L$186,2,0),0)</f>
        <v>0</v>
      </c>
      <c r="O406" s="47">
        <f>+IFERROR(VLOOKUP(O20,'נתוני מים 2014'!$C$2:$L$186,2,0),0)</f>
        <v>0</v>
      </c>
      <c r="P406" s="47">
        <f>+IFERROR(VLOOKUP(P20,'נתוני מים 2014'!$C$2:$L$186,2,0),0)</f>
        <v>11253</v>
      </c>
      <c r="Q406" s="47">
        <f>+IFERROR(VLOOKUP(Q20,'נתוני מים 2014'!$C$2:$L$186,2,0),0)</f>
        <v>0</v>
      </c>
      <c r="R406" s="47">
        <f>+IFERROR(VLOOKUP(R20,'נתוני מים 2014'!$C$2:$L$186,2,0),0)</f>
        <v>0</v>
      </c>
      <c r="S406" s="47">
        <f>+IFERROR(VLOOKUP(S20,'נתוני מים 2014'!$C$2:$L$186,2,0),0)</f>
        <v>0</v>
      </c>
      <c r="T406" s="47">
        <f>+IFERROR(VLOOKUP(T20,'נתוני מים 2014'!$C$2:$L$186,2,0),0)</f>
        <v>0</v>
      </c>
      <c r="U406" s="47">
        <f>+IFERROR(VLOOKUP(U20,'נתוני מים 2014'!$C$2:$L$186,2,0),0)</f>
        <v>0</v>
      </c>
      <c r="V406" s="47">
        <f>+IFERROR(VLOOKUP(V20,'נתוני מים 2014'!$C$2:$L$186,2,0),0)</f>
        <v>0</v>
      </c>
      <c r="W406" s="47">
        <f>+IFERROR(VLOOKUP(W20,'נתוני מים 2014'!$C$2:$L$186,2,0),0)</f>
        <v>0</v>
      </c>
      <c r="X406" s="47">
        <f>+IFERROR(VLOOKUP(X20,'נתוני מים 2014'!$C$2:$L$186,2,0),0)</f>
        <v>0</v>
      </c>
      <c r="Y406" s="47">
        <f>+IFERROR(VLOOKUP(Y20,'נתוני מים 2014'!$C$2:$L$186,2,0),0)</f>
        <v>0</v>
      </c>
      <c r="Z406" s="47">
        <f>+IFERROR(VLOOKUP(Z20,'נתוני מים 2014'!$C$2:$L$186,2,0),0)</f>
        <v>0</v>
      </c>
      <c r="AA406" s="47">
        <f>+IFERROR(VLOOKUP(AA20,'נתוני מים 2014'!$C$2:$L$186,2,0),0)</f>
        <v>0</v>
      </c>
      <c r="AB406" s="47">
        <f>+IFERROR(VLOOKUP(AB20,'נתוני מים 2014'!$C$2:$L$186,2,0),0)</f>
        <v>0</v>
      </c>
      <c r="AC406" s="47">
        <f>+IFERROR(VLOOKUP(AC20,'נתוני מים 2014'!$C$2:$L$186,2,0),0)</f>
        <v>0</v>
      </c>
      <c r="AD406" s="47">
        <f>+IFERROR(VLOOKUP(AD20,'נתוני מים 2014'!$C$2:$L$186,2,0),0)</f>
        <v>0</v>
      </c>
      <c r="AE406" s="47">
        <f>+IFERROR(VLOOKUP(AE20,'נתוני מים 2014'!$C$2:$L$186,2,0),0)</f>
        <v>0</v>
      </c>
      <c r="AF406" s="47">
        <f>+IFERROR(VLOOKUP(AF20,'נתוני מים 2014'!$C$2:$L$186,2,0),0)</f>
        <v>0</v>
      </c>
      <c r="AG406" s="47">
        <f>+IFERROR(VLOOKUP(AG20,'נתוני מים 2014'!$C$2:$L$186,2,0),0)</f>
        <v>0</v>
      </c>
      <c r="AH406" s="47">
        <f>+IFERROR(VLOOKUP(AH20,'נתוני מים 2014'!$C$2:$L$186,2,0),0)</f>
        <v>0</v>
      </c>
      <c r="AI406" s="47">
        <f>+IFERROR(VLOOKUP(AI20,'נתוני מים 2014'!$C$2:$L$186,2,0),0)</f>
        <v>0</v>
      </c>
      <c r="AJ406" s="47">
        <f>+IFERROR(VLOOKUP(AJ20,'נתוני מים 2014'!$C$2:$L$186,2,0),0)</f>
        <v>0</v>
      </c>
      <c r="AK406" s="47">
        <f>+IFERROR(VLOOKUP(AK20,'נתוני מים 2014'!$C$2:$L$186,2,0),0)</f>
        <v>0</v>
      </c>
      <c r="AL406" s="47">
        <f>+IFERROR(VLOOKUP(AL20,'נתוני מים 2014'!$C$2:$L$186,2,0),0)</f>
        <v>0</v>
      </c>
      <c r="AM406" s="47">
        <f>+IFERROR(VLOOKUP(AM20,'נתוני מים 2014'!$C$2:$L$186,2,0),0)</f>
        <v>0</v>
      </c>
      <c r="AN406" s="47">
        <f>+IFERROR(VLOOKUP(AN20,'נתוני מים 2014'!$C$2:$L$186,2,0),0)</f>
        <v>0</v>
      </c>
      <c r="AO406" s="47">
        <f>+IFERROR(VLOOKUP(AO20,'נתוני מים 2014'!$C$2:$L$186,2,0),0)</f>
        <v>0</v>
      </c>
      <c r="AP406" s="47">
        <f>+IFERROR(VLOOKUP(AP20,'נתוני מים 2014'!$C$2:$L$186,2,0),0)</f>
        <v>0</v>
      </c>
      <c r="AQ406" s="47">
        <f>+IFERROR(VLOOKUP(AQ20,'נתוני מים 2014'!$C$2:$L$186,2,0),0)</f>
        <v>0</v>
      </c>
      <c r="AR406" s="47">
        <f>+IFERROR(VLOOKUP(AR20,'נתוני מים 2014'!$C$2:$L$186,2,0),0)</f>
        <v>0</v>
      </c>
      <c r="AS406" s="47">
        <f>+IFERROR(VLOOKUP(AS20,'נתוני מים 2014'!$C$2:$L$186,2,0),0)</f>
        <v>0</v>
      </c>
      <c r="AT406" s="47">
        <f>+IFERROR(VLOOKUP(AT20,'נתוני מים 2014'!$C$2:$L$186,2,0),0)</f>
        <v>0</v>
      </c>
      <c r="AU406" s="47">
        <f>+IFERROR(VLOOKUP(AU20,'נתוני מים 2014'!$C$2:$L$186,2,0),0)</f>
        <v>0</v>
      </c>
      <c r="AV406" s="47">
        <f>+IFERROR(VLOOKUP(AV20,'נתוני מים 2014'!$C$2:$L$186,2,0),0)</f>
        <v>0</v>
      </c>
      <c r="AW406" s="47">
        <f>+IFERROR(VLOOKUP(AW20,'נתוני מים 2014'!$C$2:$L$186,2,0),0)</f>
        <v>0</v>
      </c>
      <c r="AX406" s="47">
        <f>+IFERROR(VLOOKUP(AX20,'נתוני מים 2014'!$C$2:$L$186,2,0),0)</f>
        <v>0</v>
      </c>
      <c r="AY406" s="47">
        <f>+IFERROR(VLOOKUP(AY20,'נתוני מים 2014'!$C$2:$L$186,2,0),0)</f>
        <v>0</v>
      </c>
      <c r="AZ406" s="47">
        <f>+IFERROR(VLOOKUP(AZ20,'נתוני מים 2014'!$C$2:$L$186,2,0),0)</f>
        <v>0</v>
      </c>
      <c r="BA406" s="47">
        <f>+IFERROR(VLOOKUP(BA20,'נתוני מים 2014'!$C$2:$L$186,2,0),0)</f>
        <v>0</v>
      </c>
      <c r="BB406" s="47">
        <f>+IFERROR(VLOOKUP(BB20,'נתוני מים 2014'!$C$2:$L$186,2,0),0)</f>
        <v>0</v>
      </c>
      <c r="BC406" s="47">
        <f>+IFERROR(VLOOKUP(BC20,'נתוני מים 2014'!$C$2:$L$186,2,0),0)</f>
        <v>0</v>
      </c>
      <c r="BD406" s="47">
        <f>+IFERROR(VLOOKUP(BD20,'נתוני מים 2014'!$C$2:$L$186,2,0),0)</f>
        <v>0</v>
      </c>
      <c r="BE406" s="47">
        <f>+IFERROR(VLOOKUP(BE20,'נתוני מים 2014'!$C$2:$L$186,2,0),0)</f>
        <v>0</v>
      </c>
      <c r="BF406" s="47">
        <f>+IFERROR(VLOOKUP(BF20,'נתוני מים 2014'!$C$2:$L$186,2,0),0)</f>
        <v>0</v>
      </c>
    </row>
    <row r="407" spans="2:58" x14ac:dyDescent="0.2">
      <c r="B407" s="1">
        <v>14</v>
      </c>
      <c r="C407" s="47">
        <f>+IFERROR(VLOOKUP(C21,'נתוני מים 2014'!$C$2:$L$186,2,0),0)</f>
        <v>0</v>
      </c>
      <c r="D407" s="47">
        <f>+IFERROR(VLOOKUP(D21,'נתוני מים 2014'!$C$2:$L$186,2,0),0)</f>
        <v>0</v>
      </c>
      <c r="E407" s="47">
        <f>+IFERROR(VLOOKUP(E21,'נתוני מים 2014'!$C$2:$L$186,2,0),0)</f>
        <v>0</v>
      </c>
      <c r="F407" s="47">
        <f>+IFERROR(VLOOKUP(F21,'נתוני מים 2014'!$C$2:$L$186,2,0),0)</f>
        <v>0</v>
      </c>
      <c r="G407" s="47">
        <f>+IFERROR(VLOOKUP(G21,'נתוני מים 2014'!$C$2:$L$186,2,0),0)</f>
        <v>0</v>
      </c>
      <c r="H407" s="47">
        <f>+IFERROR(VLOOKUP(H21,'נתוני מים 2014'!$C$2:$L$186,2,0),0)</f>
        <v>0</v>
      </c>
      <c r="I407" s="47">
        <f>+IFERROR(VLOOKUP(I21,'נתוני מים 2014'!$C$2:$L$186,2,0),0)</f>
        <v>0</v>
      </c>
      <c r="J407" s="47">
        <f>+IFERROR(VLOOKUP(J21,'נתוני מים 2014'!$C$2:$L$186,2,0),0)</f>
        <v>0</v>
      </c>
      <c r="K407" s="47">
        <f>+IFERROR(VLOOKUP(K21,'נתוני מים 2014'!$C$2:$L$186,2,0),0)</f>
        <v>0</v>
      </c>
      <c r="L407" s="47">
        <f>+IFERROR(VLOOKUP(L21,'נתוני מים 2014'!$C$2:$L$186,2,0),0)</f>
        <v>0</v>
      </c>
      <c r="M407" s="47">
        <f>+IFERROR(VLOOKUP(M21,'נתוני מים 2014'!$C$2:$L$186,2,0),0)</f>
        <v>0</v>
      </c>
      <c r="N407" s="47">
        <f>+IFERROR(VLOOKUP(N21,'נתוני מים 2014'!$C$2:$L$186,2,0),0)</f>
        <v>0</v>
      </c>
      <c r="O407" s="47">
        <f>+IFERROR(VLOOKUP(O21,'נתוני מים 2014'!$C$2:$L$186,2,0),0)</f>
        <v>0</v>
      </c>
      <c r="P407" s="47">
        <f>+IFERROR(VLOOKUP(P21,'נתוני מים 2014'!$C$2:$L$186,2,0),0)</f>
        <v>0</v>
      </c>
      <c r="Q407" s="47">
        <f>+IFERROR(VLOOKUP(Q21,'נתוני מים 2014'!$C$2:$L$186,2,0),0)</f>
        <v>0</v>
      </c>
      <c r="R407" s="47">
        <f>+IFERROR(VLOOKUP(R21,'נתוני מים 2014'!$C$2:$L$186,2,0),0)</f>
        <v>0</v>
      </c>
      <c r="S407" s="47">
        <f>+IFERROR(VLOOKUP(S21,'נתוני מים 2014'!$C$2:$L$186,2,0),0)</f>
        <v>0</v>
      </c>
      <c r="T407" s="47">
        <f>+IFERROR(VLOOKUP(T21,'נתוני מים 2014'!$C$2:$L$186,2,0),0)</f>
        <v>0</v>
      </c>
      <c r="U407" s="47">
        <f>+IFERROR(VLOOKUP(U21,'נתוני מים 2014'!$C$2:$L$186,2,0),0)</f>
        <v>0</v>
      </c>
      <c r="V407" s="47">
        <f>+IFERROR(VLOOKUP(V21,'נתוני מים 2014'!$C$2:$L$186,2,0),0)</f>
        <v>0</v>
      </c>
      <c r="W407" s="47">
        <f>+IFERROR(VLOOKUP(W21,'נתוני מים 2014'!$C$2:$L$186,2,0),0)</f>
        <v>0</v>
      </c>
      <c r="X407" s="47">
        <f>+IFERROR(VLOOKUP(X21,'נתוני מים 2014'!$C$2:$L$186,2,0),0)</f>
        <v>0</v>
      </c>
      <c r="Y407" s="47">
        <f>+IFERROR(VLOOKUP(Y21,'נתוני מים 2014'!$C$2:$L$186,2,0),0)</f>
        <v>0</v>
      </c>
      <c r="Z407" s="47">
        <f>+IFERROR(VLOOKUP(Z21,'נתוני מים 2014'!$C$2:$L$186,2,0),0)</f>
        <v>0</v>
      </c>
      <c r="AA407" s="47">
        <f>+IFERROR(VLOOKUP(AA21,'נתוני מים 2014'!$C$2:$L$186,2,0),0)</f>
        <v>0</v>
      </c>
      <c r="AB407" s="47">
        <f>+IFERROR(VLOOKUP(AB21,'נתוני מים 2014'!$C$2:$L$186,2,0),0)</f>
        <v>0</v>
      </c>
      <c r="AC407" s="47">
        <f>+IFERROR(VLOOKUP(AC21,'נתוני מים 2014'!$C$2:$L$186,2,0),0)</f>
        <v>0</v>
      </c>
      <c r="AD407" s="47">
        <f>+IFERROR(VLOOKUP(AD21,'נתוני מים 2014'!$C$2:$L$186,2,0),0)</f>
        <v>0</v>
      </c>
      <c r="AE407" s="47">
        <f>+IFERROR(VLOOKUP(AE21,'נתוני מים 2014'!$C$2:$L$186,2,0),0)</f>
        <v>0</v>
      </c>
      <c r="AF407" s="47">
        <f>+IFERROR(VLOOKUP(AF21,'נתוני מים 2014'!$C$2:$L$186,2,0),0)</f>
        <v>0</v>
      </c>
      <c r="AG407" s="47">
        <f>+IFERROR(VLOOKUP(AG21,'נתוני מים 2014'!$C$2:$L$186,2,0),0)</f>
        <v>0</v>
      </c>
      <c r="AH407" s="47">
        <f>+IFERROR(VLOOKUP(AH21,'נתוני מים 2014'!$C$2:$L$186,2,0),0)</f>
        <v>0</v>
      </c>
      <c r="AI407" s="47">
        <f>+IFERROR(VLOOKUP(AI21,'נתוני מים 2014'!$C$2:$L$186,2,0),0)</f>
        <v>0</v>
      </c>
      <c r="AJ407" s="47">
        <f>+IFERROR(VLOOKUP(AJ21,'נתוני מים 2014'!$C$2:$L$186,2,0),0)</f>
        <v>0</v>
      </c>
      <c r="AK407" s="47">
        <f>+IFERROR(VLOOKUP(AK21,'נתוני מים 2014'!$C$2:$L$186,2,0),0)</f>
        <v>0</v>
      </c>
      <c r="AL407" s="47">
        <f>+IFERROR(VLOOKUP(AL21,'נתוני מים 2014'!$C$2:$L$186,2,0),0)</f>
        <v>0</v>
      </c>
      <c r="AM407" s="47">
        <f>+IFERROR(VLOOKUP(AM21,'נתוני מים 2014'!$C$2:$L$186,2,0),0)</f>
        <v>0</v>
      </c>
      <c r="AN407" s="47">
        <f>+IFERROR(VLOOKUP(AN21,'נתוני מים 2014'!$C$2:$L$186,2,0),0)</f>
        <v>0</v>
      </c>
      <c r="AO407" s="47">
        <f>+IFERROR(VLOOKUP(AO21,'נתוני מים 2014'!$C$2:$L$186,2,0),0)</f>
        <v>0</v>
      </c>
      <c r="AP407" s="47">
        <f>+IFERROR(VLOOKUP(AP21,'נתוני מים 2014'!$C$2:$L$186,2,0),0)</f>
        <v>0</v>
      </c>
      <c r="AQ407" s="47">
        <f>+IFERROR(VLOOKUP(AQ21,'נתוני מים 2014'!$C$2:$L$186,2,0),0)</f>
        <v>0</v>
      </c>
      <c r="AR407" s="47">
        <f>+IFERROR(VLOOKUP(AR21,'נתוני מים 2014'!$C$2:$L$186,2,0),0)</f>
        <v>0</v>
      </c>
      <c r="AS407" s="47">
        <f>+IFERROR(VLOOKUP(AS21,'נתוני מים 2014'!$C$2:$L$186,2,0),0)</f>
        <v>0</v>
      </c>
      <c r="AT407" s="47">
        <f>+IFERROR(VLOOKUP(AT21,'נתוני מים 2014'!$C$2:$L$186,2,0),0)</f>
        <v>0</v>
      </c>
      <c r="AU407" s="47">
        <f>+IFERROR(VLOOKUP(AU21,'נתוני מים 2014'!$C$2:$L$186,2,0),0)</f>
        <v>0</v>
      </c>
      <c r="AV407" s="47">
        <f>+IFERROR(VLOOKUP(AV21,'נתוני מים 2014'!$C$2:$L$186,2,0),0)</f>
        <v>0</v>
      </c>
      <c r="AW407" s="47">
        <f>+IFERROR(VLOOKUP(AW21,'נתוני מים 2014'!$C$2:$L$186,2,0),0)</f>
        <v>0</v>
      </c>
      <c r="AX407" s="47">
        <f>+IFERROR(VLOOKUP(AX21,'נתוני מים 2014'!$C$2:$L$186,2,0),0)</f>
        <v>0</v>
      </c>
      <c r="AY407" s="47">
        <f>+IFERROR(VLOOKUP(AY21,'נתוני מים 2014'!$C$2:$L$186,2,0),0)</f>
        <v>0</v>
      </c>
      <c r="AZ407" s="47">
        <f>+IFERROR(VLOOKUP(AZ21,'נתוני מים 2014'!$C$2:$L$186,2,0),0)</f>
        <v>0</v>
      </c>
      <c r="BA407" s="47">
        <f>+IFERROR(VLOOKUP(BA21,'נתוני מים 2014'!$C$2:$L$186,2,0),0)</f>
        <v>0</v>
      </c>
      <c r="BB407" s="47">
        <f>+IFERROR(VLOOKUP(BB21,'נתוני מים 2014'!$C$2:$L$186,2,0),0)</f>
        <v>0</v>
      </c>
      <c r="BC407" s="47">
        <f>+IFERROR(VLOOKUP(BC21,'נתוני מים 2014'!$C$2:$L$186,2,0),0)</f>
        <v>0</v>
      </c>
      <c r="BD407" s="47">
        <f>+IFERROR(VLOOKUP(BD21,'נתוני מים 2014'!$C$2:$L$186,2,0),0)</f>
        <v>0</v>
      </c>
      <c r="BE407" s="47">
        <f>+IFERROR(VLOOKUP(BE21,'נתוני מים 2014'!$C$2:$L$186,2,0),0)</f>
        <v>0</v>
      </c>
      <c r="BF407" s="47">
        <f>+IFERROR(VLOOKUP(BF21,'נתוני מים 2014'!$C$2:$L$186,2,0),0)</f>
        <v>0</v>
      </c>
    </row>
    <row r="408" spans="2:58" x14ac:dyDescent="0.2">
      <c r="B408" s="1">
        <v>15</v>
      </c>
      <c r="C408" s="47">
        <f>+IFERROR(VLOOKUP(C22,'נתוני מים 2014'!$C$2:$L$186,2,0),0)</f>
        <v>0</v>
      </c>
      <c r="D408" s="47">
        <f>+IFERROR(VLOOKUP(D22,'נתוני מים 2014'!$C$2:$L$186,2,0),0)</f>
        <v>0</v>
      </c>
      <c r="E408" s="47">
        <f>+IFERROR(VLOOKUP(E22,'נתוני מים 2014'!$C$2:$L$186,2,0),0)</f>
        <v>0</v>
      </c>
      <c r="F408" s="47">
        <f>+IFERROR(VLOOKUP(F22,'נתוני מים 2014'!$C$2:$L$186,2,0),0)</f>
        <v>0</v>
      </c>
      <c r="G408" s="47">
        <f>+IFERROR(VLOOKUP(G22,'נתוני מים 2014'!$C$2:$L$186,2,0),0)</f>
        <v>0</v>
      </c>
      <c r="H408" s="47">
        <f>+IFERROR(VLOOKUP(H22,'נתוני מים 2014'!$C$2:$L$186,2,0),0)</f>
        <v>0</v>
      </c>
      <c r="I408" s="47">
        <f>+IFERROR(VLOOKUP(I22,'נתוני מים 2014'!$C$2:$L$186,2,0),0)</f>
        <v>0</v>
      </c>
      <c r="J408" s="47">
        <f>+IFERROR(VLOOKUP(J22,'נתוני מים 2014'!$C$2:$L$186,2,0),0)</f>
        <v>0</v>
      </c>
      <c r="K408" s="47">
        <f>+IFERROR(VLOOKUP(K22,'נתוני מים 2014'!$C$2:$L$186,2,0),0)</f>
        <v>0</v>
      </c>
      <c r="L408" s="47">
        <f>+IFERROR(VLOOKUP(L22,'נתוני מים 2014'!$C$2:$L$186,2,0),0)</f>
        <v>0</v>
      </c>
      <c r="M408" s="47">
        <f>+IFERROR(VLOOKUP(M22,'נתוני מים 2014'!$C$2:$L$186,2,0),0)</f>
        <v>0</v>
      </c>
      <c r="N408" s="47">
        <f>+IFERROR(VLOOKUP(N22,'נתוני מים 2014'!$C$2:$L$186,2,0),0)</f>
        <v>0</v>
      </c>
      <c r="O408" s="47">
        <f>+IFERROR(VLOOKUP(O22,'נתוני מים 2014'!$C$2:$L$186,2,0),0)</f>
        <v>0</v>
      </c>
      <c r="P408" s="47">
        <f>+IFERROR(VLOOKUP(P22,'נתוני מים 2014'!$C$2:$L$186,2,0),0)</f>
        <v>0</v>
      </c>
      <c r="Q408" s="47">
        <f>+IFERROR(VLOOKUP(Q22,'נתוני מים 2014'!$C$2:$L$186,2,0),0)</f>
        <v>0</v>
      </c>
      <c r="R408" s="47">
        <f>+IFERROR(VLOOKUP(R22,'נתוני מים 2014'!$C$2:$L$186,2,0),0)</f>
        <v>0</v>
      </c>
      <c r="S408" s="47">
        <f>+IFERROR(VLOOKUP(S22,'נתוני מים 2014'!$C$2:$L$186,2,0),0)</f>
        <v>0</v>
      </c>
      <c r="T408" s="47">
        <f>+IFERROR(VLOOKUP(T22,'נתוני מים 2014'!$C$2:$L$186,2,0),0)</f>
        <v>0</v>
      </c>
      <c r="U408" s="47">
        <f>+IFERROR(VLOOKUP(U22,'נתוני מים 2014'!$C$2:$L$186,2,0),0)</f>
        <v>0</v>
      </c>
      <c r="V408" s="47">
        <f>+IFERROR(VLOOKUP(V22,'נתוני מים 2014'!$C$2:$L$186,2,0),0)</f>
        <v>0</v>
      </c>
      <c r="W408" s="47">
        <f>+IFERROR(VLOOKUP(W22,'נתוני מים 2014'!$C$2:$L$186,2,0),0)</f>
        <v>0</v>
      </c>
      <c r="X408" s="47">
        <f>+IFERROR(VLOOKUP(X22,'נתוני מים 2014'!$C$2:$L$186,2,0),0)</f>
        <v>0</v>
      </c>
      <c r="Y408" s="47">
        <f>+IFERROR(VLOOKUP(Y22,'נתוני מים 2014'!$C$2:$L$186,2,0),0)</f>
        <v>0</v>
      </c>
      <c r="Z408" s="47">
        <f>+IFERROR(VLOOKUP(Z22,'נתוני מים 2014'!$C$2:$L$186,2,0),0)</f>
        <v>0</v>
      </c>
      <c r="AA408" s="47">
        <f>+IFERROR(VLOOKUP(AA22,'נתוני מים 2014'!$C$2:$L$186,2,0),0)</f>
        <v>0</v>
      </c>
      <c r="AB408" s="47">
        <f>+IFERROR(VLOOKUP(AB22,'נתוני מים 2014'!$C$2:$L$186,2,0),0)</f>
        <v>0</v>
      </c>
      <c r="AC408" s="47">
        <f>+IFERROR(VLOOKUP(AC22,'נתוני מים 2014'!$C$2:$L$186,2,0),0)</f>
        <v>0</v>
      </c>
      <c r="AD408" s="47">
        <f>+IFERROR(VLOOKUP(AD22,'נתוני מים 2014'!$C$2:$L$186,2,0),0)</f>
        <v>0</v>
      </c>
      <c r="AE408" s="47">
        <f>+IFERROR(VLOOKUP(AE22,'נתוני מים 2014'!$C$2:$L$186,2,0),0)</f>
        <v>0</v>
      </c>
      <c r="AF408" s="47">
        <f>+IFERROR(VLOOKUP(AF22,'נתוני מים 2014'!$C$2:$L$186,2,0),0)</f>
        <v>0</v>
      </c>
      <c r="AG408" s="47">
        <f>+IFERROR(VLOOKUP(AG22,'נתוני מים 2014'!$C$2:$L$186,2,0),0)</f>
        <v>0</v>
      </c>
      <c r="AH408" s="47">
        <f>+IFERROR(VLOOKUP(AH22,'נתוני מים 2014'!$C$2:$L$186,2,0),0)</f>
        <v>0</v>
      </c>
      <c r="AI408" s="47">
        <f>+IFERROR(VLOOKUP(AI22,'נתוני מים 2014'!$C$2:$L$186,2,0),0)</f>
        <v>0</v>
      </c>
      <c r="AJ408" s="47">
        <f>+IFERROR(VLOOKUP(AJ22,'נתוני מים 2014'!$C$2:$L$186,2,0),0)</f>
        <v>0</v>
      </c>
      <c r="AK408" s="47">
        <f>+IFERROR(VLOOKUP(AK22,'נתוני מים 2014'!$C$2:$L$186,2,0),0)</f>
        <v>0</v>
      </c>
      <c r="AL408" s="47">
        <f>+IFERROR(VLOOKUP(AL22,'נתוני מים 2014'!$C$2:$L$186,2,0),0)</f>
        <v>0</v>
      </c>
      <c r="AM408" s="47">
        <f>+IFERROR(VLOOKUP(AM22,'נתוני מים 2014'!$C$2:$L$186,2,0),0)</f>
        <v>0</v>
      </c>
      <c r="AN408" s="47">
        <f>+IFERROR(VLOOKUP(AN22,'נתוני מים 2014'!$C$2:$L$186,2,0),0)</f>
        <v>0</v>
      </c>
      <c r="AO408" s="47">
        <f>+IFERROR(VLOOKUP(AO22,'נתוני מים 2014'!$C$2:$L$186,2,0),0)</f>
        <v>0</v>
      </c>
      <c r="AP408" s="47">
        <f>+IFERROR(VLOOKUP(AP22,'נתוני מים 2014'!$C$2:$L$186,2,0),0)</f>
        <v>0</v>
      </c>
      <c r="AQ408" s="47">
        <f>+IFERROR(VLOOKUP(AQ22,'נתוני מים 2014'!$C$2:$L$186,2,0),0)</f>
        <v>0</v>
      </c>
      <c r="AR408" s="47">
        <f>+IFERROR(VLOOKUP(AR22,'נתוני מים 2014'!$C$2:$L$186,2,0),0)</f>
        <v>0</v>
      </c>
      <c r="AS408" s="47">
        <f>+IFERROR(VLOOKUP(AS22,'נתוני מים 2014'!$C$2:$L$186,2,0),0)</f>
        <v>0</v>
      </c>
      <c r="AT408" s="47">
        <f>+IFERROR(VLOOKUP(AT22,'נתוני מים 2014'!$C$2:$L$186,2,0),0)</f>
        <v>0</v>
      </c>
      <c r="AU408" s="47">
        <f>+IFERROR(VLOOKUP(AU22,'נתוני מים 2014'!$C$2:$L$186,2,0),0)</f>
        <v>0</v>
      </c>
      <c r="AV408" s="47">
        <f>+IFERROR(VLOOKUP(AV22,'נתוני מים 2014'!$C$2:$L$186,2,0),0)</f>
        <v>0</v>
      </c>
      <c r="AW408" s="47">
        <f>+IFERROR(VLOOKUP(AW22,'נתוני מים 2014'!$C$2:$L$186,2,0),0)</f>
        <v>0</v>
      </c>
      <c r="AX408" s="47">
        <f>+IFERROR(VLOOKUP(AX22,'נתוני מים 2014'!$C$2:$L$186,2,0),0)</f>
        <v>0</v>
      </c>
      <c r="AY408" s="47">
        <f>+IFERROR(VLOOKUP(AY22,'נתוני מים 2014'!$C$2:$L$186,2,0),0)</f>
        <v>0</v>
      </c>
      <c r="AZ408" s="47">
        <f>+IFERROR(VLOOKUP(AZ22,'נתוני מים 2014'!$C$2:$L$186,2,0),0)</f>
        <v>0</v>
      </c>
      <c r="BA408" s="47">
        <f>+IFERROR(VLOOKUP(BA22,'נתוני מים 2014'!$C$2:$L$186,2,0),0)</f>
        <v>0</v>
      </c>
      <c r="BB408" s="47">
        <f>+IFERROR(VLOOKUP(BB22,'נתוני מים 2014'!$C$2:$L$186,2,0),0)</f>
        <v>0</v>
      </c>
      <c r="BC408" s="47">
        <f>+IFERROR(VLOOKUP(BC22,'נתוני מים 2014'!$C$2:$L$186,2,0),0)</f>
        <v>0</v>
      </c>
      <c r="BD408" s="47">
        <f>+IFERROR(VLOOKUP(BD22,'נתוני מים 2014'!$C$2:$L$186,2,0),0)</f>
        <v>0</v>
      </c>
      <c r="BE408" s="47">
        <f>+IFERROR(VLOOKUP(BE22,'נתוני מים 2014'!$C$2:$L$186,2,0),0)</f>
        <v>0</v>
      </c>
      <c r="BF408" s="47">
        <f>+IFERROR(VLOOKUP(BF22,'נתוני מים 2014'!$C$2:$L$186,2,0),0)</f>
        <v>0</v>
      </c>
    </row>
    <row r="409" spans="2:58" x14ac:dyDescent="0.2">
      <c r="B409" s="1">
        <v>16</v>
      </c>
      <c r="C409" s="47">
        <f>+IFERROR(VLOOKUP(C23,'נתוני מים 2014'!$C$2:$L$186,2,0),0)</f>
        <v>0</v>
      </c>
      <c r="D409" s="47">
        <f>+IFERROR(VLOOKUP(D23,'נתוני מים 2014'!$C$2:$L$186,2,0),0)</f>
        <v>0</v>
      </c>
      <c r="E409" s="47">
        <f>+IFERROR(VLOOKUP(E23,'נתוני מים 2014'!$C$2:$L$186,2,0),0)</f>
        <v>0</v>
      </c>
      <c r="F409" s="47">
        <f>+IFERROR(VLOOKUP(F23,'נתוני מים 2014'!$C$2:$L$186,2,0),0)</f>
        <v>0</v>
      </c>
      <c r="G409" s="47">
        <f>+IFERROR(VLOOKUP(G23,'נתוני מים 2014'!$C$2:$L$186,2,0),0)</f>
        <v>0</v>
      </c>
      <c r="H409" s="47">
        <f>+IFERROR(VLOOKUP(H23,'נתוני מים 2014'!$C$2:$L$186,2,0),0)</f>
        <v>0</v>
      </c>
      <c r="I409" s="47">
        <f>+IFERROR(VLOOKUP(I23,'נתוני מים 2014'!$C$2:$L$186,2,0),0)</f>
        <v>0</v>
      </c>
      <c r="J409" s="47">
        <f>+IFERROR(VLOOKUP(J23,'נתוני מים 2014'!$C$2:$L$186,2,0),0)</f>
        <v>0</v>
      </c>
      <c r="K409" s="47">
        <f>+IFERROR(VLOOKUP(K23,'נתוני מים 2014'!$C$2:$L$186,2,0),0)</f>
        <v>0</v>
      </c>
      <c r="L409" s="47">
        <f>+IFERROR(VLOOKUP(L23,'נתוני מים 2014'!$C$2:$L$186,2,0),0)</f>
        <v>0</v>
      </c>
      <c r="M409" s="47">
        <f>+IFERROR(VLOOKUP(M23,'נתוני מים 2014'!$C$2:$L$186,2,0),0)</f>
        <v>0</v>
      </c>
      <c r="N409" s="47">
        <f>+IFERROR(VLOOKUP(N23,'נתוני מים 2014'!$C$2:$L$186,2,0),0)</f>
        <v>0</v>
      </c>
      <c r="O409" s="47">
        <f>+IFERROR(VLOOKUP(O23,'נתוני מים 2014'!$C$2:$L$186,2,0),0)</f>
        <v>0</v>
      </c>
      <c r="P409" s="47">
        <f>+IFERROR(VLOOKUP(P23,'נתוני מים 2014'!$C$2:$L$186,2,0),0)</f>
        <v>0</v>
      </c>
      <c r="Q409" s="47">
        <f>+IFERROR(VLOOKUP(Q23,'נתוני מים 2014'!$C$2:$L$186,2,0),0)</f>
        <v>0</v>
      </c>
      <c r="R409" s="47">
        <f>+IFERROR(VLOOKUP(R23,'נתוני מים 2014'!$C$2:$L$186,2,0),0)</f>
        <v>0</v>
      </c>
      <c r="S409" s="47">
        <f>+IFERROR(VLOOKUP(S23,'נתוני מים 2014'!$C$2:$L$186,2,0),0)</f>
        <v>0</v>
      </c>
      <c r="T409" s="47">
        <f>+IFERROR(VLOOKUP(T23,'נתוני מים 2014'!$C$2:$L$186,2,0),0)</f>
        <v>0</v>
      </c>
      <c r="U409" s="47">
        <f>+IFERROR(VLOOKUP(U23,'נתוני מים 2014'!$C$2:$L$186,2,0),0)</f>
        <v>0</v>
      </c>
      <c r="V409" s="47">
        <f>+IFERROR(VLOOKUP(V23,'נתוני מים 2014'!$C$2:$L$186,2,0),0)</f>
        <v>0</v>
      </c>
      <c r="W409" s="47">
        <f>+IFERROR(VLOOKUP(W23,'נתוני מים 2014'!$C$2:$L$186,2,0),0)</f>
        <v>0</v>
      </c>
      <c r="X409" s="47">
        <f>+IFERROR(VLOOKUP(X23,'נתוני מים 2014'!$C$2:$L$186,2,0),0)</f>
        <v>0</v>
      </c>
      <c r="Y409" s="47">
        <f>+IFERROR(VLOOKUP(Y23,'נתוני מים 2014'!$C$2:$L$186,2,0),0)</f>
        <v>0</v>
      </c>
      <c r="Z409" s="47">
        <f>+IFERROR(VLOOKUP(Z23,'נתוני מים 2014'!$C$2:$L$186,2,0),0)</f>
        <v>0</v>
      </c>
      <c r="AA409" s="47">
        <f>+IFERROR(VLOOKUP(AA23,'נתוני מים 2014'!$C$2:$L$186,2,0),0)</f>
        <v>0</v>
      </c>
      <c r="AB409" s="47">
        <f>+IFERROR(VLOOKUP(AB23,'נתוני מים 2014'!$C$2:$L$186,2,0),0)</f>
        <v>0</v>
      </c>
      <c r="AC409" s="47">
        <f>+IFERROR(VLOOKUP(AC23,'נתוני מים 2014'!$C$2:$L$186,2,0),0)</f>
        <v>0</v>
      </c>
      <c r="AD409" s="47">
        <f>+IFERROR(VLOOKUP(AD23,'נתוני מים 2014'!$C$2:$L$186,2,0),0)</f>
        <v>0</v>
      </c>
      <c r="AE409" s="47">
        <f>+IFERROR(VLOOKUP(AE23,'נתוני מים 2014'!$C$2:$L$186,2,0),0)</f>
        <v>0</v>
      </c>
      <c r="AF409" s="47">
        <f>+IFERROR(VLOOKUP(AF23,'נתוני מים 2014'!$C$2:$L$186,2,0),0)</f>
        <v>0</v>
      </c>
      <c r="AG409" s="47">
        <f>+IFERROR(VLOOKUP(AG23,'נתוני מים 2014'!$C$2:$L$186,2,0),0)</f>
        <v>0</v>
      </c>
      <c r="AH409" s="47">
        <f>+IFERROR(VLOOKUP(AH23,'נתוני מים 2014'!$C$2:$L$186,2,0),0)</f>
        <v>0</v>
      </c>
      <c r="AI409" s="47">
        <f>+IFERROR(VLOOKUP(AI23,'נתוני מים 2014'!$C$2:$L$186,2,0),0)</f>
        <v>0</v>
      </c>
      <c r="AJ409" s="47">
        <f>+IFERROR(VLOOKUP(AJ23,'נתוני מים 2014'!$C$2:$L$186,2,0),0)</f>
        <v>0</v>
      </c>
      <c r="AK409" s="47">
        <f>+IFERROR(VLOOKUP(AK23,'נתוני מים 2014'!$C$2:$L$186,2,0),0)</f>
        <v>0</v>
      </c>
      <c r="AL409" s="47">
        <f>+IFERROR(VLOOKUP(AL23,'נתוני מים 2014'!$C$2:$L$186,2,0),0)</f>
        <v>0</v>
      </c>
      <c r="AM409" s="47">
        <f>+IFERROR(VLOOKUP(AM23,'נתוני מים 2014'!$C$2:$L$186,2,0),0)</f>
        <v>0</v>
      </c>
      <c r="AN409" s="47">
        <f>+IFERROR(VLOOKUP(AN23,'נתוני מים 2014'!$C$2:$L$186,2,0),0)</f>
        <v>0</v>
      </c>
      <c r="AO409" s="47">
        <f>+IFERROR(VLOOKUP(AO23,'נתוני מים 2014'!$C$2:$L$186,2,0),0)</f>
        <v>0</v>
      </c>
      <c r="AP409" s="47">
        <f>+IFERROR(VLOOKUP(AP23,'נתוני מים 2014'!$C$2:$L$186,2,0),0)</f>
        <v>0</v>
      </c>
      <c r="AQ409" s="47">
        <f>+IFERROR(VLOOKUP(AQ23,'נתוני מים 2014'!$C$2:$L$186,2,0),0)</f>
        <v>0</v>
      </c>
      <c r="AR409" s="47">
        <f>+IFERROR(VLOOKUP(AR23,'נתוני מים 2014'!$C$2:$L$186,2,0),0)</f>
        <v>0</v>
      </c>
      <c r="AS409" s="47">
        <f>+IFERROR(VLOOKUP(AS23,'נתוני מים 2014'!$C$2:$L$186,2,0),0)</f>
        <v>0</v>
      </c>
      <c r="AT409" s="47">
        <f>+IFERROR(VLOOKUP(AT23,'נתוני מים 2014'!$C$2:$L$186,2,0),0)</f>
        <v>0</v>
      </c>
      <c r="AU409" s="47">
        <f>+IFERROR(VLOOKUP(AU23,'נתוני מים 2014'!$C$2:$L$186,2,0),0)</f>
        <v>0</v>
      </c>
      <c r="AV409" s="47">
        <f>+IFERROR(VLOOKUP(AV23,'נתוני מים 2014'!$C$2:$L$186,2,0),0)</f>
        <v>0</v>
      </c>
      <c r="AW409" s="47">
        <f>+IFERROR(VLOOKUP(AW23,'נתוני מים 2014'!$C$2:$L$186,2,0),0)</f>
        <v>0</v>
      </c>
      <c r="AX409" s="47">
        <f>+IFERROR(VLOOKUP(AX23,'נתוני מים 2014'!$C$2:$L$186,2,0),0)</f>
        <v>0</v>
      </c>
      <c r="AY409" s="47">
        <f>+IFERROR(VLOOKUP(AY23,'נתוני מים 2014'!$C$2:$L$186,2,0),0)</f>
        <v>0</v>
      </c>
      <c r="AZ409" s="47">
        <f>+IFERROR(VLOOKUP(AZ23,'נתוני מים 2014'!$C$2:$L$186,2,0),0)</f>
        <v>0</v>
      </c>
      <c r="BA409" s="47">
        <f>+IFERROR(VLOOKUP(BA23,'נתוני מים 2014'!$C$2:$L$186,2,0),0)</f>
        <v>0</v>
      </c>
      <c r="BB409" s="47">
        <f>+IFERROR(VLOOKUP(BB23,'נתוני מים 2014'!$C$2:$L$186,2,0),0)</f>
        <v>0</v>
      </c>
      <c r="BC409" s="47">
        <f>+IFERROR(VLOOKUP(BC23,'נתוני מים 2014'!$C$2:$L$186,2,0),0)</f>
        <v>0</v>
      </c>
      <c r="BD409" s="47">
        <f>+IFERROR(VLOOKUP(BD23,'נתוני מים 2014'!$C$2:$L$186,2,0),0)</f>
        <v>0</v>
      </c>
      <c r="BE409" s="47">
        <f>+IFERROR(VLOOKUP(BE23,'נתוני מים 2014'!$C$2:$L$186,2,0),0)</f>
        <v>0</v>
      </c>
      <c r="BF409" s="47">
        <f>+IFERROR(VLOOKUP(BF23,'נתוני מים 2014'!$C$2:$L$186,2,0),0)</f>
        <v>0</v>
      </c>
    </row>
    <row r="410" spans="2:58" x14ac:dyDescent="0.2">
      <c r="B410" s="1">
        <v>17</v>
      </c>
      <c r="C410" s="47">
        <f>+IFERROR(VLOOKUP(C24,'נתוני מים 2014'!$C$2:$L$186,2,0),0)</f>
        <v>0</v>
      </c>
      <c r="D410" s="47">
        <f>+IFERROR(VLOOKUP(D24,'נתוני מים 2014'!$C$2:$L$186,2,0),0)</f>
        <v>0</v>
      </c>
      <c r="E410" s="47">
        <f>+IFERROR(VLOOKUP(E24,'נתוני מים 2014'!$C$2:$L$186,2,0),0)</f>
        <v>0</v>
      </c>
      <c r="F410" s="47">
        <f>+IFERROR(VLOOKUP(F24,'נתוני מים 2014'!$C$2:$L$186,2,0),0)</f>
        <v>0</v>
      </c>
      <c r="G410" s="47">
        <f>+IFERROR(VLOOKUP(G24,'נתוני מים 2014'!$C$2:$L$186,2,0),0)</f>
        <v>0</v>
      </c>
      <c r="H410" s="47">
        <f>+IFERROR(VLOOKUP(H24,'נתוני מים 2014'!$C$2:$L$186,2,0),0)</f>
        <v>0</v>
      </c>
      <c r="I410" s="47">
        <f>+IFERROR(VLOOKUP(I24,'נתוני מים 2014'!$C$2:$L$186,2,0),0)</f>
        <v>0</v>
      </c>
      <c r="J410" s="47">
        <f>+IFERROR(VLOOKUP(J24,'נתוני מים 2014'!$C$2:$L$186,2,0),0)</f>
        <v>0</v>
      </c>
      <c r="K410" s="47">
        <f>+IFERROR(VLOOKUP(K24,'נתוני מים 2014'!$C$2:$L$186,2,0),0)</f>
        <v>0</v>
      </c>
      <c r="L410" s="47">
        <f>+IFERROR(VLOOKUP(L24,'נתוני מים 2014'!$C$2:$L$186,2,0),0)</f>
        <v>0</v>
      </c>
      <c r="M410" s="47">
        <f>+IFERROR(VLOOKUP(M24,'נתוני מים 2014'!$C$2:$L$186,2,0),0)</f>
        <v>0</v>
      </c>
      <c r="N410" s="47">
        <f>+IFERROR(VLOOKUP(N24,'נתוני מים 2014'!$C$2:$L$186,2,0),0)</f>
        <v>0</v>
      </c>
      <c r="O410" s="47">
        <f>+IFERROR(VLOOKUP(O24,'נתוני מים 2014'!$C$2:$L$186,2,0),0)</f>
        <v>0</v>
      </c>
      <c r="P410" s="47">
        <f>+IFERROR(VLOOKUP(P24,'נתוני מים 2014'!$C$2:$L$186,2,0),0)</f>
        <v>0</v>
      </c>
      <c r="Q410" s="47">
        <f>+IFERROR(VLOOKUP(Q24,'נתוני מים 2014'!$C$2:$L$186,2,0),0)</f>
        <v>0</v>
      </c>
      <c r="R410" s="47">
        <f>+IFERROR(VLOOKUP(R24,'נתוני מים 2014'!$C$2:$L$186,2,0),0)</f>
        <v>0</v>
      </c>
      <c r="S410" s="47">
        <f>+IFERROR(VLOOKUP(S24,'נתוני מים 2014'!$C$2:$L$186,2,0),0)</f>
        <v>0</v>
      </c>
      <c r="T410" s="47">
        <f>+IFERROR(VLOOKUP(T24,'נתוני מים 2014'!$C$2:$L$186,2,0),0)</f>
        <v>0</v>
      </c>
      <c r="U410" s="47">
        <f>+IFERROR(VLOOKUP(U24,'נתוני מים 2014'!$C$2:$L$186,2,0),0)</f>
        <v>0</v>
      </c>
      <c r="V410" s="47">
        <f>+IFERROR(VLOOKUP(V24,'נתוני מים 2014'!$C$2:$L$186,2,0),0)</f>
        <v>0</v>
      </c>
      <c r="W410" s="47">
        <f>+IFERROR(VLOOKUP(W24,'נתוני מים 2014'!$C$2:$L$186,2,0),0)</f>
        <v>0</v>
      </c>
      <c r="X410" s="47">
        <f>+IFERROR(VLOOKUP(X24,'נתוני מים 2014'!$C$2:$L$186,2,0),0)</f>
        <v>0</v>
      </c>
      <c r="Y410" s="47">
        <f>+IFERROR(VLOOKUP(Y24,'נתוני מים 2014'!$C$2:$L$186,2,0),0)</f>
        <v>0</v>
      </c>
      <c r="Z410" s="47">
        <f>+IFERROR(VLOOKUP(Z24,'נתוני מים 2014'!$C$2:$L$186,2,0),0)</f>
        <v>0</v>
      </c>
      <c r="AA410" s="47">
        <f>+IFERROR(VLOOKUP(AA24,'נתוני מים 2014'!$C$2:$L$186,2,0),0)</f>
        <v>0</v>
      </c>
      <c r="AB410" s="47">
        <f>+IFERROR(VLOOKUP(AB24,'נתוני מים 2014'!$C$2:$L$186,2,0),0)</f>
        <v>0</v>
      </c>
      <c r="AC410" s="47">
        <f>+IFERROR(VLOOKUP(AC24,'נתוני מים 2014'!$C$2:$L$186,2,0),0)</f>
        <v>0</v>
      </c>
      <c r="AD410" s="47">
        <f>+IFERROR(VLOOKUP(AD24,'נתוני מים 2014'!$C$2:$L$186,2,0),0)</f>
        <v>0</v>
      </c>
      <c r="AE410" s="47">
        <f>+IFERROR(VLOOKUP(AE24,'נתוני מים 2014'!$C$2:$L$186,2,0),0)</f>
        <v>0</v>
      </c>
      <c r="AF410" s="47">
        <f>+IFERROR(VLOOKUP(AF24,'נתוני מים 2014'!$C$2:$L$186,2,0),0)</f>
        <v>0</v>
      </c>
      <c r="AG410" s="47">
        <f>+IFERROR(VLOOKUP(AG24,'נתוני מים 2014'!$C$2:$L$186,2,0),0)</f>
        <v>0</v>
      </c>
      <c r="AH410" s="47">
        <f>+IFERROR(VLOOKUP(AH24,'נתוני מים 2014'!$C$2:$L$186,2,0),0)</f>
        <v>0</v>
      </c>
      <c r="AI410" s="47">
        <f>+IFERROR(VLOOKUP(AI24,'נתוני מים 2014'!$C$2:$L$186,2,0),0)</f>
        <v>0</v>
      </c>
      <c r="AJ410" s="47">
        <f>+IFERROR(VLOOKUP(AJ24,'נתוני מים 2014'!$C$2:$L$186,2,0),0)</f>
        <v>0</v>
      </c>
      <c r="AK410" s="47">
        <f>+IFERROR(VLOOKUP(AK24,'נתוני מים 2014'!$C$2:$L$186,2,0),0)</f>
        <v>0</v>
      </c>
      <c r="AL410" s="47">
        <f>+IFERROR(VLOOKUP(AL24,'נתוני מים 2014'!$C$2:$L$186,2,0),0)</f>
        <v>0</v>
      </c>
      <c r="AM410" s="47">
        <f>+IFERROR(VLOOKUP(AM24,'נתוני מים 2014'!$C$2:$L$186,2,0),0)</f>
        <v>0</v>
      </c>
      <c r="AN410" s="47">
        <f>+IFERROR(VLOOKUP(AN24,'נתוני מים 2014'!$C$2:$L$186,2,0),0)</f>
        <v>0</v>
      </c>
      <c r="AO410" s="47">
        <f>+IFERROR(VLOOKUP(AO24,'נתוני מים 2014'!$C$2:$L$186,2,0),0)</f>
        <v>0</v>
      </c>
      <c r="AP410" s="47">
        <f>+IFERROR(VLOOKUP(AP24,'נתוני מים 2014'!$C$2:$L$186,2,0),0)</f>
        <v>0</v>
      </c>
      <c r="AQ410" s="47">
        <f>+IFERROR(VLOOKUP(AQ24,'נתוני מים 2014'!$C$2:$L$186,2,0),0)</f>
        <v>0</v>
      </c>
      <c r="AR410" s="47">
        <f>+IFERROR(VLOOKUP(AR24,'נתוני מים 2014'!$C$2:$L$186,2,0),0)</f>
        <v>0</v>
      </c>
      <c r="AS410" s="47">
        <f>+IFERROR(VLOOKUP(AS24,'נתוני מים 2014'!$C$2:$L$186,2,0),0)</f>
        <v>0</v>
      </c>
      <c r="AT410" s="47">
        <f>+IFERROR(VLOOKUP(AT24,'נתוני מים 2014'!$C$2:$L$186,2,0),0)</f>
        <v>0</v>
      </c>
      <c r="AU410" s="47">
        <f>+IFERROR(VLOOKUP(AU24,'נתוני מים 2014'!$C$2:$L$186,2,0),0)</f>
        <v>0</v>
      </c>
      <c r="AV410" s="47">
        <f>+IFERROR(VLOOKUP(AV24,'נתוני מים 2014'!$C$2:$L$186,2,0),0)</f>
        <v>0</v>
      </c>
      <c r="AW410" s="47">
        <f>+IFERROR(VLOOKUP(AW24,'נתוני מים 2014'!$C$2:$L$186,2,0),0)</f>
        <v>0</v>
      </c>
      <c r="AX410" s="47">
        <f>+IFERROR(VLOOKUP(AX24,'נתוני מים 2014'!$C$2:$L$186,2,0),0)</f>
        <v>0</v>
      </c>
      <c r="AY410" s="47">
        <f>+IFERROR(VLOOKUP(AY24,'נתוני מים 2014'!$C$2:$L$186,2,0),0)</f>
        <v>0</v>
      </c>
      <c r="AZ410" s="47">
        <f>+IFERROR(VLOOKUP(AZ24,'נתוני מים 2014'!$C$2:$L$186,2,0),0)</f>
        <v>0</v>
      </c>
      <c r="BA410" s="47">
        <f>+IFERROR(VLOOKUP(BA24,'נתוני מים 2014'!$C$2:$L$186,2,0),0)</f>
        <v>0</v>
      </c>
      <c r="BB410" s="47">
        <f>+IFERROR(VLOOKUP(BB24,'נתוני מים 2014'!$C$2:$L$186,2,0),0)</f>
        <v>0</v>
      </c>
      <c r="BC410" s="47">
        <f>+IFERROR(VLOOKUP(BC24,'נתוני מים 2014'!$C$2:$L$186,2,0),0)</f>
        <v>0</v>
      </c>
      <c r="BD410" s="47">
        <f>+IFERROR(VLOOKUP(BD24,'נתוני מים 2014'!$C$2:$L$186,2,0),0)</f>
        <v>0</v>
      </c>
      <c r="BE410" s="47">
        <f>+IFERROR(VLOOKUP(BE24,'נתוני מים 2014'!$C$2:$L$186,2,0),0)</f>
        <v>0</v>
      </c>
      <c r="BF410" s="47">
        <f>+IFERROR(VLOOKUP(BF24,'נתוני מים 2014'!$C$2:$L$186,2,0),0)</f>
        <v>0</v>
      </c>
    </row>
    <row r="411" spans="2:58" x14ac:dyDescent="0.2">
      <c r="B411" s="1">
        <v>18</v>
      </c>
      <c r="C411" s="47">
        <f>+IFERROR(VLOOKUP(C25,'נתוני מים 2014'!$C$2:$L$186,2,0),0)</f>
        <v>0</v>
      </c>
      <c r="D411" s="47">
        <f>+IFERROR(VLOOKUP(D25,'נתוני מים 2014'!$C$2:$L$186,2,0),0)</f>
        <v>0</v>
      </c>
      <c r="E411" s="47">
        <f>+IFERROR(VLOOKUP(E25,'נתוני מים 2014'!$C$2:$L$186,2,0),0)</f>
        <v>0</v>
      </c>
      <c r="F411" s="47">
        <f>+IFERROR(VLOOKUP(F25,'נתוני מים 2014'!$C$2:$L$186,2,0),0)</f>
        <v>0</v>
      </c>
      <c r="G411" s="47">
        <f>+IFERROR(VLOOKUP(G25,'נתוני מים 2014'!$C$2:$L$186,2,0),0)</f>
        <v>0</v>
      </c>
      <c r="H411" s="47">
        <f>+IFERROR(VLOOKUP(H25,'נתוני מים 2014'!$C$2:$L$186,2,0),0)</f>
        <v>0</v>
      </c>
      <c r="I411" s="47">
        <f>+IFERROR(VLOOKUP(I25,'נתוני מים 2014'!$C$2:$L$186,2,0),0)</f>
        <v>0</v>
      </c>
      <c r="J411" s="47">
        <f>+IFERROR(VLOOKUP(J25,'נתוני מים 2014'!$C$2:$L$186,2,0),0)</f>
        <v>0</v>
      </c>
      <c r="K411" s="47">
        <f>+IFERROR(VLOOKUP(K25,'נתוני מים 2014'!$C$2:$L$186,2,0),0)</f>
        <v>0</v>
      </c>
      <c r="L411" s="47">
        <f>+IFERROR(VLOOKUP(L25,'נתוני מים 2014'!$C$2:$L$186,2,0),0)</f>
        <v>0</v>
      </c>
      <c r="M411" s="47">
        <f>+IFERROR(VLOOKUP(M25,'נתוני מים 2014'!$C$2:$L$186,2,0),0)</f>
        <v>0</v>
      </c>
      <c r="N411" s="47">
        <f>+IFERROR(VLOOKUP(N25,'נתוני מים 2014'!$C$2:$L$186,2,0),0)</f>
        <v>0</v>
      </c>
      <c r="O411" s="47">
        <f>+IFERROR(VLOOKUP(O25,'נתוני מים 2014'!$C$2:$L$186,2,0),0)</f>
        <v>0</v>
      </c>
      <c r="P411" s="47">
        <f>+IFERROR(VLOOKUP(P25,'נתוני מים 2014'!$C$2:$L$186,2,0),0)</f>
        <v>0</v>
      </c>
      <c r="Q411" s="47">
        <f>+IFERROR(VLOOKUP(Q25,'נתוני מים 2014'!$C$2:$L$186,2,0),0)</f>
        <v>0</v>
      </c>
      <c r="R411" s="47">
        <f>+IFERROR(VLOOKUP(R25,'נתוני מים 2014'!$C$2:$L$186,2,0),0)</f>
        <v>0</v>
      </c>
      <c r="S411" s="47">
        <f>+IFERROR(VLOOKUP(S25,'נתוני מים 2014'!$C$2:$L$186,2,0),0)</f>
        <v>0</v>
      </c>
      <c r="T411" s="47">
        <f>+IFERROR(VLOOKUP(T25,'נתוני מים 2014'!$C$2:$L$186,2,0),0)</f>
        <v>0</v>
      </c>
      <c r="U411" s="47">
        <f>+IFERROR(VLOOKUP(U25,'נתוני מים 2014'!$C$2:$L$186,2,0),0)</f>
        <v>0</v>
      </c>
      <c r="V411" s="47">
        <f>+IFERROR(VLOOKUP(V25,'נתוני מים 2014'!$C$2:$L$186,2,0),0)</f>
        <v>0</v>
      </c>
      <c r="W411" s="47">
        <f>+IFERROR(VLOOKUP(W25,'נתוני מים 2014'!$C$2:$L$186,2,0),0)</f>
        <v>0</v>
      </c>
      <c r="X411" s="47">
        <f>+IFERROR(VLOOKUP(X25,'נתוני מים 2014'!$C$2:$L$186,2,0),0)</f>
        <v>0</v>
      </c>
      <c r="Y411" s="47">
        <f>+IFERROR(VLOOKUP(Y25,'נתוני מים 2014'!$C$2:$L$186,2,0),0)</f>
        <v>0</v>
      </c>
      <c r="Z411" s="47">
        <f>+IFERROR(VLOOKUP(Z25,'נתוני מים 2014'!$C$2:$L$186,2,0),0)</f>
        <v>0</v>
      </c>
      <c r="AA411" s="47">
        <f>+IFERROR(VLOOKUP(AA25,'נתוני מים 2014'!$C$2:$L$186,2,0),0)</f>
        <v>0</v>
      </c>
      <c r="AB411" s="47">
        <f>+IFERROR(VLOOKUP(AB25,'נתוני מים 2014'!$C$2:$L$186,2,0),0)</f>
        <v>0</v>
      </c>
      <c r="AC411" s="47">
        <f>+IFERROR(VLOOKUP(AC25,'נתוני מים 2014'!$C$2:$L$186,2,0),0)</f>
        <v>0</v>
      </c>
      <c r="AD411" s="47">
        <f>+IFERROR(VLOOKUP(AD25,'נתוני מים 2014'!$C$2:$L$186,2,0),0)</f>
        <v>0</v>
      </c>
      <c r="AE411" s="47">
        <f>+IFERROR(VLOOKUP(AE25,'נתוני מים 2014'!$C$2:$L$186,2,0),0)</f>
        <v>0</v>
      </c>
      <c r="AF411" s="47">
        <f>+IFERROR(VLOOKUP(AF25,'נתוני מים 2014'!$C$2:$L$186,2,0),0)</f>
        <v>0</v>
      </c>
      <c r="AG411" s="47">
        <f>+IFERROR(VLOOKUP(AG25,'נתוני מים 2014'!$C$2:$L$186,2,0),0)</f>
        <v>0</v>
      </c>
      <c r="AH411" s="47">
        <f>+IFERROR(VLOOKUP(AH25,'נתוני מים 2014'!$C$2:$L$186,2,0),0)</f>
        <v>0</v>
      </c>
      <c r="AI411" s="47">
        <f>+IFERROR(VLOOKUP(AI25,'נתוני מים 2014'!$C$2:$L$186,2,0),0)</f>
        <v>0</v>
      </c>
      <c r="AJ411" s="47">
        <f>+IFERROR(VLOOKUP(AJ25,'נתוני מים 2014'!$C$2:$L$186,2,0),0)</f>
        <v>0</v>
      </c>
      <c r="AK411" s="47">
        <f>+IFERROR(VLOOKUP(AK25,'נתוני מים 2014'!$C$2:$L$186,2,0),0)</f>
        <v>0</v>
      </c>
      <c r="AL411" s="47">
        <f>+IFERROR(VLOOKUP(AL25,'נתוני מים 2014'!$C$2:$L$186,2,0),0)</f>
        <v>0</v>
      </c>
      <c r="AM411" s="47">
        <f>+IFERROR(VLOOKUP(AM25,'נתוני מים 2014'!$C$2:$L$186,2,0),0)</f>
        <v>0</v>
      </c>
      <c r="AN411" s="47">
        <f>+IFERROR(VLOOKUP(AN25,'נתוני מים 2014'!$C$2:$L$186,2,0),0)</f>
        <v>0</v>
      </c>
      <c r="AO411" s="47">
        <f>+IFERROR(VLOOKUP(AO25,'נתוני מים 2014'!$C$2:$L$186,2,0),0)</f>
        <v>0</v>
      </c>
      <c r="AP411" s="47">
        <f>+IFERROR(VLOOKUP(AP25,'נתוני מים 2014'!$C$2:$L$186,2,0),0)</f>
        <v>0</v>
      </c>
      <c r="AQ411" s="47">
        <f>+IFERROR(VLOOKUP(AQ25,'נתוני מים 2014'!$C$2:$L$186,2,0),0)</f>
        <v>0</v>
      </c>
      <c r="AR411" s="47">
        <f>+IFERROR(VLOOKUP(AR25,'נתוני מים 2014'!$C$2:$L$186,2,0),0)</f>
        <v>0</v>
      </c>
      <c r="AS411" s="47">
        <f>+IFERROR(VLOOKUP(AS25,'נתוני מים 2014'!$C$2:$L$186,2,0),0)</f>
        <v>0</v>
      </c>
      <c r="AT411" s="47">
        <f>+IFERROR(VLOOKUP(AT25,'נתוני מים 2014'!$C$2:$L$186,2,0),0)</f>
        <v>0</v>
      </c>
      <c r="AU411" s="47">
        <f>+IFERROR(VLOOKUP(AU25,'נתוני מים 2014'!$C$2:$L$186,2,0),0)</f>
        <v>0</v>
      </c>
      <c r="AV411" s="47">
        <f>+IFERROR(VLOOKUP(AV25,'נתוני מים 2014'!$C$2:$L$186,2,0),0)</f>
        <v>0</v>
      </c>
      <c r="AW411" s="47">
        <f>+IFERROR(VLOOKUP(AW25,'נתוני מים 2014'!$C$2:$L$186,2,0),0)</f>
        <v>0</v>
      </c>
      <c r="AX411" s="47">
        <f>+IFERROR(VLOOKUP(AX25,'נתוני מים 2014'!$C$2:$L$186,2,0),0)</f>
        <v>0</v>
      </c>
      <c r="AY411" s="47">
        <f>+IFERROR(VLOOKUP(AY25,'נתוני מים 2014'!$C$2:$L$186,2,0),0)</f>
        <v>0</v>
      </c>
      <c r="AZ411" s="47">
        <f>+IFERROR(VLOOKUP(AZ25,'נתוני מים 2014'!$C$2:$L$186,2,0),0)</f>
        <v>0</v>
      </c>
      <c r="BA411" s="47">
        <f>+IFERROR(VLOOKUP(BA25,'נתוני מים 2014'!$C$2:$L$186,2,0),0)</f>
        <v>0</v>
      </c>
      <c r="BB411" s="47">
        <f>+IFERROR(VLOOKUP(BB25,'נתוני מים 2014'!$C$2:$L$186,2,0),0)</f>
        <v>0</v>
      </c>
      <c r="BC411" s="47">
        <f>+IFERROR(VLOOKUP(BC25,'נתוני מים 2014'!$C$2:$L$186,2,0),0)</f>
        <v>0</v>
      </c>
      <c r="BD411" s="47">
        <f>+IFERROR(VLOOKUP(BD25,'נתוני מים 2014'!$C$2:$L$186,2,0),0)</f>
        <v>0</v>
      </c>
      <c r="BE411" s="47">
        <f>+IFERROR(VLOOKUP(BE25,'נתוני מים 2014'!$C$2:$L$186,2,0),0)</f>
        <v>0</v>
      </c>
      <c r="BF411" s="47">
        <f>+IFERROR(VLOOKUP(BF25,'נתוני מים 2014'!$C$2:$L$186,2,0),0)</f>
        <v>0</v>
      </c>
    </row>
    <row r="412" spans="2:58" x14ac:dyDescent="0.2">
      <c r="B412" s="1">
        <v>19</v>
      </c>
      <c r="C412" s="47">
        <f>+IFERROR(VLOOKUP(C26,'נתוני מים 2014'!$C$2:$L$186,2,0),0)</f>
        <v>0</v>
      </c>
      <c r="D412" s="47">
        <f>+IFERROR(VLOOKUP(D26,'נתוני מים 2014'!$C$2:$L$186,2,0),0)</f>
        <v>0</v>
      </c>
      <c r="E412" s="47">
        <f>+IFERROR(VLOOKUP(E26,'נתוני מים 2014'!$C$2:$L$186,2,0),0)</f>
        <v>0</v>
      </c>
      <c r="F412" s="47">
        <f>+IFERROR(VLOOKUP(F26,'נתוני מים 2014'!$C$2:$L$186,2,0),0)</f>
        <v>0</v>
      </c>
      <c r="G412" s="47">
        <f>+IFERROR(VLOOKUP(G26,'נתוני מים 2014'!$C$2:$L$186,2,0),0)</f>
        <v>0</v>
      </c>
      <c r="H412" s="47">
        <f>+IFERROR(VLOOKUP(H26,'נתוני מים 2014'!$C$2:$L$186,2,0),0)</f>
        <v>0</v>
      </c>
      <c r="I412" s="47">
        <f>+IFERROR(VLOOKUP(I26,'נתוני מים 2014'!$C$2:$L$186,2,0),0)</f>
        <v>0</v>
      </c>
      <c r="J412" s="47">
        <f>+IFERROR(VLOOKUP(J26,'נתוני מים 2014'!$C$2:$L$186,2,0),0)</f>
        <v>0</v>
      </c>
      <c r="K412" s="47">
        <f>+IFERROR(VLOOKUP(K26,'נתוני מים 2014'!$C$2:$L$186,2,0),0)</f>
        <v>0</v>
      </c>
      <c r="L412" s="47">
        <f>+IFERROR(VLOOKUP(L26,'נתוני מים 2014'!$C$2:$L$186,2,0),0)</f>
        <v>0</v>
      </c>
      <c r="M412" s="47">
        <f>+IFERROR(VLOOKUP(M26,'נתוני מים 2014'!$C$2:$L$186,2,0),0)</f>
        <v>0</v>
      </c>
      <c r="N412" s="47">
        <f>+IFERROR(VLOOKUP(N26,'נתוני מים 2014'!$C$2:$L$186,2,0),0)</f>
        <v>0</v>
      </c>
      <c r="O412" s="47">
        <f>+IFERROR(VLOOKUP(O26,'נתוני מים 2014'!$C$2:$L$186,2,0),0)</f>
        <v>0</v>
      </c>
      <c r="P412" s="47">
        <f>+IFERROR(VLOOKUP(P26,'נתוני מים 2014'!$C$2:$L$186,2,0),0)</f>
        <v>0</v>
      </c>
      <c r="Q412" s="47">
        <f>+IFERROR(VLOOKUP(Q26,'נתוני מים 2014'!$C$2:$L$186,2,0),0)</f>
        <v>0</v>
      </c>
      <c r="R412" s="47">
        <f>+IFERROR(VLOOKUP(R26,'נתוני מים 2014'!$C$2:$L$186,2,0),0)</f>
        <v>0</v>
      </c>
      <c r="S412" s="47">
        <f>+IFERROR(VLOOKUP(S26,'נתוני מים 2014'!$C$2:$L$186,2,0),0)</f>
        <v>0</v>
      </c>
      <c r="T412" s="47">
        <f>+IFERROR(VLOOKUP(T26,'נתוני מים 2014'!$C$2:$L$186,2,0),0)</f>
        <v>0</v>
      </c>
      <c r="U412" s="47">
        <f>+IFERROR(VLOOKUP(U26,'נתוני מים 2014'!$C$2:$L$186,2,0),0)</f>
        <v>0</v>
      </c>
      <c r="V412" s="47">
        <f>+IFERROR(VLOOKUP(V26,'נתוני מים 2014'!$C$2:$L$186,2,0),0)</f>
        <v>0</v>
      </c>
      <c r="W412" s="47">
        <f>+IFERROR(VLOOKUP(W26,'נתוני מים 2014'!$C$2:$L$186,2,0),0)</f>
        <v>0</v>
      </c>
      <c r="X412" s="47">
        <f>+IFERROR(VLOOKUP(X26,'נתוני מים 2014'!$C$2:$L$186,2,0),0)</f>
        <v>0</v>
      </c>
      <c r="Y412" s="47">
        <f>+IFERROR(VLOOKUP(Y26,'נתוני מים 2014'!$C$2:$L$186,2,0),0)</f>
        <v>0</v>
      </c>
      <c r="Z412" s="47">
        <f>+IFERROR(VLOOKUP(Z26,'נתוני מים 2014'!$C$2:$L$186,2,0),0)</f>
        <v>0</v>
      </c>
      <c r="AA412" s="47">
        <f>+IFERROR(VLOOKUP(AA26,'נתוני מים 2014'!$C$2:$L$186,2,0),0)</f>
        <v>0</v>
      </c>
      <c r="AB412" s="47">
        <f>+IFERROR(VLOOKUP(AB26,'נתוני מים 2014'!$C$2:$L$186,2,0),0)</f>
        <v>0</v>
      </c>
      <c r="AC412" s="47">
        <f>+IFERROR(VLOOKUP(AC26,'נתוני מים 2014'!$C$2:$L$186,2,0),0)</f>
        <v>0</v>
      </c>
      <c r="AD412" s="47">
        <f>+IFERROR(VLOOKUP(AD26,'נתוני מים 2014'!$C$2:$L$186,2,0),0)</f>
        <v>0</v>
      </c>
      <c r="AE412" s="47">
        <f>+IFERROR(VLOOKUP(AE26,'נתוני מים 2014'!$C$2:$L$186,2,0),0)</f>
        <v>0</v>
      </c>
      <c r="AF412" s="47">
        <f>+IFERROR(VLOOKUP(AF26,'נתוני מים 2014'!$C$2:$L$186,2,0),0)</f>
        <v>0</v>
      </c>
      <c r="AG412" s="47">
        <f>+IFERROR(VLOOKUP(AG26,'נתוני מים 2014'!$C$2:$L$186,2,0),0)</f>
        <v>0</v>
      </c>
      <c r="AH412" s="47">
        <f>+IFERROR(VLOOKUP(AH26,'נתוני מים 2014'!$C$2:$L$186,2,0),0)</f>
        <v>0</v>
      </c>
      <c r="AI412" s="47">
        <f>+IFERROR(VLOOKUP(AI26,'נתוני מים 2014'!$C$2:$L$186,2,0),0)</f>
        <v>0</v>
      </c>
      <c r="AJ412" s="47">
        <f>+IFERROR(VLOOKUP(AJ26,'נתוני מים 2014'!$C$2:$L$186,2,0),0)</f>
        <v>0</v>
      </c>
      <c r="AK412" s="47">
        <f>+IFERROR(VLOOKUP(AK26,'נתוני מים 2014'!$C$2:$L$186,2,0),0)</f>
        <v>0</v>
      </c>
      <c r="AL412" s="47">
        <f>+IFERROR(VLOOKUP(AL26,'נתוני מים 2014'!$C$2:$L$186,2,0),0)</f>
        <v>0</v>
      </c>
      <c r="AM412" s="47">
        <f>+IFERROR(VLOOKUP(AM26,'נתוני מים 2014'!$C$2:$L$186,2,0),0)</f>
        <v>0</v>
      </c>
      <c r="AN412" s="47">
        <f>+IFERROR(VLOOKUP(AN26,'נתוני מים 2014'!$C$2:$L$186,2,0),0)</f>
        <v>0</v>
      </c>
      <c r="AO412" s="47">
        <f>+IFERROR(VLOOKUP(AO26,'נתוני מים 2014'!$C$2:$L$186,2,0),0)</f>
        <v>0</v>
      </c>
      <c r="AP412" s="47">
        <f>+IFERROR(VLOOKUP(AP26,'נתוני מים 2014'!$C$2:$L$186,2,0),0)</f>
        <v>0</v>
      </c>
      <c r="AQ412" s="47">
        <f>+IFERROR(VLOOKUP(AQ26,'נתוני מים 2014'!$C$2:$L$186,2,0),0)</f>
        <v>0</v>
      </c>
      <c r="AR412" s="47">
        <f>+IFERROR(VLOOKUP(AR26,'נתוני מים 2014'!$C$2:$L$186,2,0),0)</f>
        <v>0</v>
      </c>
      <c r="AS412" s="47">
        <f>+IFERROR(VLOOKUP(AS26,'נתוני מים 2014'!$C$2:$L$186,2,0),0)</f>
        <v>0</v>
      </c>
      <c r="AT412" s="47">
        <f>+IFERROR(VLOOKUP(AT26,'נתוני מים 2014'!$C$2:$L$186,2,0),0)</f>
        <v>0</v>
      </c>
      <c r="AU412" s="47">
        <f>+IFERROR(VLOOKUP(AU26,'נתוני מים 2014'!$C$2:$L$186,2,0),0)</f>
        <v>0</v>
      </c>
      <c r="AV412" s="47">
        <f>+IFERROR(VLOOKUP(AV26,'נתוני מים 2014'!$C$2:$L$186,2,0),0)</f>
        <v>0</v>
      </c>
      <c r="AW412" s="47">
        <f>+IFERROR(VLOOKUP(AW26,'נתוני מים 2014'!$C$2:$L$186,2,0),0)</f>
        <v>0</v>
      </c>
      <c r="AX412" s="47">
        <f>+IFERROR(VLOOKUP(AX26,'נתוני מים 2014'!$C$2:$L$186,2,0),0)</f>
        <v>0</v>
      </c>
      <c r="AY412" s="47">
        <f>+IFERROR(VLOOKUP(AY26,'נתוני מים 2014'!$C$2:$L$186,2,0),0)</f>
        <v>0</v>
      </c>
      <c r="AZ412" s="47">
        <f>+IFERROR(VLOOKUP(AZ26,'נתוני מים 2014'!$C$2:$L$186,2,0),0)</f>
        <v>0</v>
      </c>
      <c r="BA412" s="47">
        <f>+IFERROR(VLOOKUP(BA26,'נתוני מים 2014'!$C$2:$L$186,2,0),0)</f>
        <v>0</v>
      </c>
      <c r="BB412" s="47">
        <f>+IFERROR(VLOOKUP(BB26,'נתוני מים 2014'!$C$2:$L$186,2,0),0)</f>
        <v>0</v>
      </c>
      <c r="BC412" s="47">
        <f>+IFERROR(VLOOKUP(BC26,'נתוני מים 2014'!$C$2:$L$186,2,0),0)</f>
        <v>0</v>
      </c>
      <c r="BD412" s="47">
        <f>+IFERROR(VLOOKUP(BD26,'נתוני מים 2014'!$C$2:$L$186,2,0),0)</f>
        <v>0</v>
      </c>
      <c r="BE412" s="47">
        <f>+IFERROR(VLOOKUP(BE26,'נתוני מים 2014'!$C$2:$L$186,2,0),0)</f>
        <v>0</v>
      </c>
      <c r="BF412" s="47">
        <f>+IFERROR(VLOOKUP(BF26,'נתוני מים 2014'!$C$2:$L$186,2,0),0)</f>
        <v>0</v>
      </c>
    </row>
    <row r="413" spans="2:58" x14ac:dyDescent="0.2">
      <c r="B413" s="1">
        <v>20</v>
      </c>
      <c r="C413" s="47">
        <f>+IFERROR(VLOOKUP(C27,'נתוני מים 2014'!$C$2:$L$186,2,0),0)</f>
        <v>0</v>
      </c>
      <c r="D413" s="47">
        <f>+IFERROR(VLOOKUP(D27,'נתוני מים 2014'!$C$2:$L$186,2,0),0)</f>
        <v>0</v>
      </c>
      <c r="E413" s="47">
        <f>+IFERROR(VLOOKUP(E27,'נתוני מים 2014'!$C$2:$L$186,2,0),0)</f>
        <v>0</v>
      </c>
      <c r="F413" s="47">
        <f>+IFERROR(VLOOKUP(F27,'נתוני מים 2014'!$C$2:$L$186,2,0),0)</f>
        <v>0</v>
      </c>
      <c r="G413" s="47">
        <f>+IFERROR(VLOOKUP(G27,'נתוני מים 2014'!$C$2:$L$186,2,0),0)</f>
        <v>0</v>
      </c>
      <c r="H413" s="47">
        <f>+IFERROR(VLOOKUP(H27,'נתוני מים 2014'!$C$2:$L$186,2,0),0)</f>
        <v>0</v>
      </c>
      <c r="I413" s="47">
        <f>+IFERROR(VLOOKUP(I27,'נתוני מים 2014'!$C$2:$L$186,2,0),0)</f>
        <v>0</v>
      </c>
      <c r="J413" s="47">
        <f>+IFERROR(VLOOKUP(J27,'נתוני מים 2014'!$C$2:$L$186,2,0),0)</f>
        <v>0</v>
      </c>
      <c r="K413" s="47">
        <f>+IFERROR(VLOOKUP(K27,'נתוני מים 2014'!$C$2:$L$186,2,0),0)</f>
        <v>0</v>
      </c>
      <c r="L413" s="47">
        <f>+IFERROR(VLOOKUP(L27,'נתוני מים 2014'!$C$2:$L$186,2,0),0)</f>
        <v>0</v>
      </c>
      <c r="M413" s="47">
        <f>+IFERROR(VLOOKUP(M27,'נתוני מים 2014'!$C$2:$L$186,2,0),0)</f>
        <v>0</v>
      </c>
      <c r="N413" s="47">
        <f>+IFERROR(VLOOKUP(N27,'נתוני מים 2014'!$C$2:$L$186,2,0),0)</f>
        <v>0</v>
      </c>
      <c r="O413" s="47">
        <f>+IFERROR(VLOOKUP(O27,'נתוני מים 2014'!$C$2:$L$186,2,0),0)</f>
        <v>0</v>
      </c>
      <c r="P413" s="47">
        <f>+IFERROR(VLOOKUP(P27,'נתוני מים 2014'!$C$2:$L$186,2,0),0)</f>
        <v>0</v>
      </c>
      <c r="Q413" s="47">
        <f>+IFERROR(VLOOKUP(Q27,'נתוני מים 2014'!$C$2:$L$186,2,0),0)</f>
        <v>0</v>
      </c>
      <c r="R413" s="47">
        <f>+IFERROR(VLOOKUP(R27,'נתוני מים 2014'!$C$2:$L$186,2,0),0)</f>
        <v>0</v>
      </c>
      <c r="S413" s="47">
        <f>+IFERROR(VLOOKUP(S27,'נתוני מים 2014'!$C$2:$L$186,2,0),0)</f>
        <v>0</v>
      </c>
      <c r="T413" s="47">
        <f>+IFERROR(VLOOKUP(T27,'נתוני מים 2014'!$C$2:$L$186,2,0),0)</f>
        <v>0</v>
      </c>
      <c r="U413" s="47">
        <f>+IFERROR(VLOOKUP(U27,'נתוני מים 2014'!$C$2:$L$186,2,0),0)</f>
        <v>0</v>
      </c>
      <c r="V413" s="47">
        <f>+IFERROR(VLOOKUP(V27,'נתוני מים 2014'!$C$2:$L$186,2,0),0)</f>
        <v>0</v>
      </c>
      <c r="W413" s="47">
        <f>+IFERROR(VLOOKUP(W27,'נתוני מים 2014'!$C$2:$L$186,2,0),0)</f>
        <v>0</v>
      </c>
      <c r="X413" s="47">
        <f>+IFERROR(VLOOKUP(X27,'נתוני מים 2014'!$C$2:$L$186,2,0),0)</f>
        <v>0</v>
      </c>
      <c r="Y413" s="47">
        <f>+IFERROR(VLOOKUP(Y27,'נתוני מים 2014'!$C$2:$L$186,2,0),0)</f>
        <v>0</v>
      </c>
      <c r="Z413" s="47">
        <f>+IFERROR(VLOOKUP(Z27,'נתוני מים 2014'!$C$2:$L$186,2,0),0)</f>
        <v>0</v>
      </c>
      <c r="AA413" s="47">
        <f>+IFERROR(VLOOKUP(AA27,'נתוני מים 2014'!$C$2:$L$186,2,0),0)</f>
        <v>0</v>
      </c>
      <c r="AB413" s="47">
        <f>+IFERROR(VLOOKUP(AB27,'נתוני מים 2014'!$C$2:$L$186,2,0),0)</f>
        <v>0</v>
      </c>
      <c r="AC413" s="47">
        <f>+IFERROR(VLOOKUP(AC27,'נתוני מים 2014'!$C$2:$L$186,2,0),0)</f>
        <v>0</v>
      </c>
      <c r="AD413" s="47">
        <f>+IFERROR(VLOOKUP(AD27,'נתוני מים 2014'!$C$2:$L$186,2,0),0)</f>
        <v>0</v>
      </c>
      <c r="AE413" s="47">
        <f>+IFERROR(VLOOKUP(AE27,'נתוני מים 2014'!$C$2:$L$186,2,0),0)</f>
        <v>0</v>
      </c>
      <c r="AF413" s="47">
        <f>+IFERROR(VLOOKUP(AF27,'נתוני מים 2014'!$C$2:$L$186,2,0),0)</f>
        <v>0</v>
      </c>
      <c r="AG413" s="47">
        <f>+IFERROR(VLOOKUP(AG27,'נתוני מים 2014'!$C$2:$L$186,2,0),0)</f>
        <v>0</v>
      </c>
      <c r="AH413" s="47">
        <f>+IFERROR(VLOOKUP(AH27,'נתוני מים 2014'!$C$2:$L$186,2,0),0)</f>
        <v>0</v>
      </c>
      <c r="AI413" s="47">
        <f>+IFERROR(VLOOKUP(AI27,'נתוני מים 2014'!$C$2:$L$186,2,0),0)</f>
        <v>0</v>
      </c>
      <c r="AJ413" s="47">
        <f>+IFERROR(VLOOKUP(AJ27,'נתוני מים 2014'!$C$2:$L$186,2,0),0)</f>
        <v>0</v>
      </c>
      <c r="AK413" s="47">
        <f>+IFERROR(VLOOKUP(AK27,'נתוני מים 2014'!$C$2:$L$186,2,0),0)</f>
        <v>0</v>
      </c>
      <c r="AL413" s="47">
        <f>+IFERROR(VLOOKUP(AL27,'נתוני מים 2014'!$C$2:$L$186,2,0),0)</f>
        <v>0</v>
      </c>
      <c r="AM413" s="47">
        <f>+IFERROR(VLOOKUP(AM27,'נתוני מים 2014'!$C$2:$L$186,2,0),0)</f>
        <v>0</v>
      </c>
      <c r="AN413" s="47">
        <f>+IFERROR(VLOOKUP(AN27,'נתוני מים 2014'!$C$2:$L$186,2,0),0)</f>
        <v>0</v>
      </c>
      <c r="AO413" s="47">
        <f>+IFERROR(VLOOKUP(AO27,'נתוני מים 2014'!$C$2:$L$186,2,0),0)</f>
        <v>0</v>
      </c>
      <c r="AP413" s="47">
        <f>+IFERROR(VLOOKUP(AP27,'נתוני מים 2014'!$C$2:$L$186,2,0),0)</f>
        <v>0</v>
      </c>
      <c r="AQ413" s="47">
        <f>+IFERROR(VLOOKUP(AQ27,'נתוני מים 2014'!$C$2:$L$186,2,0),0)</f>
        <v>0</v>
      </c>
      <c r="AR413" s="47">
        <f>+IFERROR(VLOOKUP(AR27,'נתוני מים 2014'!$C$2:$L$186,2,0),0)</f>
        <v>0</v>
      </c>
      <c r="AS413" s="47">
        <f>+IFERROR(VLOOKUP(AS27,'נתוני מים 2014'!$C$2:$L$186,2,0),0)</f>
        <v>0</v>
      </c>
      <c r="AT413" s="47">
        <f>+IFERROR(VLOOKUP(AT27,'נתוני מים 2014'!$C$2:$L$186,2,0),0)</f>
        <v>0</v>
      </c>
      <c r="AU413" s="47">
        <f>+IFERROR(VLOOKUP(AU27,'נתוני מים 2014'!$C$2:$L$186,2,0),0)</f>
        <v>0</v>
      </c>
      <c r="AV413" s="47">
        <f>+IFERROR(VLOOKUP(AV27,'נתוני מים 2014'!$C$2:$L$186,2,0),0)</f>
        <v>0</v>
      </c>
      <c r="AW413" s="47">
        <f>+IFERROR(VLOOKUP(AW27,'נתוני מים 2014'!$C$2:$L$186,2,0),0)</f>
        <v>0</v>
      </c>
      <c r="AX413" s="47">
        <f>+IFERROR(VLOOKUP(AX27,'נתוני מים 2014'!$C$2:$L$186,2,0),0)</f>
        <v>0</v>
      </c>
      <c r="AY413" s="47">
        <f>+IFERROR(VLOOKUP(AY27,'נתוני מים 2014'!$C$2:$L$186,2,0),0)</f>
        <v>0</v>
      </c>
      <c r="AZ413" s="47">
        <f>+IFERROR(VLOOKUP(AZ27,'נתוני מים 2014'!$C$2:$L$186,2,0),0)</f>
        <v>0</v>
      </c>
      <c r="BA413" s="47">
        <f>+IFERROR(VLOOKUP(BA27,'נתוני מים 2014'!$C$2:$L$186,2,0),0)</f>
        <v>0</v>
      </c>
      <c r="BB413" s="47">
        <f>+IFERROR(VLOOKUP(BB27,'נתוני מים 2014'!$C$2:$L$186,2,0),0)</f>
        <v>0</v>
      </c>
      <c r="BC413" s="47">
        <f>+IFERROR(VLOOKUP(BC27,'נתוני מים 2014'!$C$2:$L$186,2,0),0)</f>
        <v>0</v>
      </c>
      <c r="BD413" s="47">
        <f>+IFERROR(VLOOKUP(BD27,'נתוני מים 2014'!$C$2:$L$186,2,0),0)</f>
        <v>0</v>
      </c>
      <c r="BE413" s="47">
        <f>+IFERROR(VLOOKUP(BE27,'נתוני מים 2014'!$C$2:$L$186,2,0),0)</f>
        <v>0</v>
      </c>
      <c r="BF413" s="47">
        <f>+IFERROR(VLOOKUP(BF27,'נתוני מים 2014'!$C$2:$L$186,2,0),0)</f>
        <v>0</v>
      </c>
    </row>
    <row r="414" spans="2:58" x14ac:dyDescent="0.2">
      <c r="B414" s="1">
        <v>21</v>
      </c>
      <c r="C414" s="47">
        <f>+IFERROR(VLOOKUP(C28,'נתוני מים 2014'!$C$2:$L$186,2,0),0)</f>
        <v>0</v>
      </c>
      <c r="D414" s="47">
        <f>+IFERROR(VLOOKUP(D28,'נתוני מים 2014'!$C$2:$L$186,2,0),0)</f>
        <v>0</v>
      </c>
      <c r="E414" s="47">
        <f>+IFERROR(VLOOKUP(E28,'נתוני מים 2014'!$C$2:$L$186,2,0),0)</f>
        <v>0</v>
      </c>
      <c r="F414" s="47">
        <f>+IFERROR(VLOOKUP(F28,'נתוני מים 2014'!$C$2:$L$186,2,0),0)</f>
        <v>0</v>
      </c>
      <c r="G414" s="47">
        <f>+IFERROR(VLOOKUP(G28,'נתוני מים 2014'!$C$2:$L$186,2,0),0)</f>
        <v>0</v>
      </c>
      <c r="H414" s="47">
        <f>+IFERROR(VLOOKUP(H28,'נתוני מים 2014'!$C$2:$L$186,2,0),0)</f>
        <v>0</v>
      </c>
      <c r="I414" s="47">
        <f>+IFERROR(VLOOKUP(I28,'נתוני מים 2014'!$C$2:$L$186,2,0),0)</f>
        <v>0</v>
      </c>
      <c r="J414" s="47">
        <f>+IFERROR(VLOOKUP(J28,'נתוני מים 2014'!$C$2:$L$186,2,0),0)</f>
        <v>0</v>
      </c>
      <c r="K414" s="47">
        <f>+IFERROR(VLOOKUP(K28,'נתוני מים 2014'!$C$2:$L$186,2,0),0)</f>
        <v>0</v>
      </c>
      <c r="L414" s="47">
        <f>+IFERROR(VLOOKUP(L28,'נתוני מים 2014'!$C$2:$L$186,2,0),0)</f>
        <v>0</v>
      </c>
      <c r="M414" s="47">
        <f>+IFERROR(VLOOKUP(M28,'נתוני מים 2014'!$C$2:$L$186,2,0),0)</f>
        <v>0</v>
      </c>
      <c r="N414" s="47">
        <f>+IFERROR(VLOOKUP(N28,'נתוני מים 2014'!$C$2:$L$186,2,0),0)</f>
        <v>0</v>
      </c>
      <c r="O414" s="47">
        <f>+IFERROR(VLOOKUP(O28,'נתוני מים 2014'!$C$2:$L$186,2,0),0)</f>
        <v>0</v>
      </c>
      <c r="P414" s="47">
        <f>+IFERROR(VLOOKUP(P28,'נתוני מים 2014'!$C$2:$L$186,2,0),0)</f>
        <v>0</v>
      </c>
      <c r="Q414" s="47">
        <f>+IFERROR(VLOOKUP(Q28,'נתוני מים 2014'!$C$2:$L$186,2,0),0)</f>
        <v>0</v>
      </c>
      <c r="R414" s="47">
        <f>+IFERROR(VLOOKUP(R28,'נתוני מים 2014'!$C$2:$L$186,2,0),0)</f>
        <v>0</v>
      </c>
      <c r="S414" s="47">
        <f>+IFERROR(VLOOKUP(S28,'נתוני מים 2014'!$C$2:$L$186,2,0),0)</f>
        <v>0</v>
      </c>
      <c r="T414" s="47">
        <f>+IFERROR(VLOOKUP(T28,'נתוני מים 2014'!$C$2:$L$186,2,0),0)</f>
        <v>0</v>
      </c>
      <c r="U414" s="47">
        <f>+IFERROR(VLOOKUP(U28,'נתוני מים 2014'!$C$2:$L$186,2,0),0)</f>
        <v>0</v>
      </c>
      <c r="V414" s="47">
        <f>+IFERROR(VLOOKUP(V28,'נתוני מים 2014'!$C$2:$L$186,2,0),0)</f>
        <v>0</v>
      </c>
      <c r="W414" s="47">
        <f>+IFERROR(VLOOKUP(W28,'נתוני מים 2014'!$C$2:$L$186,2,0),0)</f>
        <v>0</v>
      </c>
      <c r="X414" s="47">
        <f>+IFERROR(VLOOKUP(X28,'נתוני מים 2014'!$C$2:$L$186,2,0),0)</f>
        <v>0</v>
      </c>
      <c r="Y414" s="47">
        <f>+IFERROR(VLOOKUP(Y28,'נתוני מים 2014'!$C$2:$L$186,2,0),0)</f>
        <v>0</v>
      </c>
      <c r="Z414" s="47">
        <f>+IFERROR(VLOOKUP(Z28,'נתוני מים 2014'!$C$2:$L$186,2,0),0)</f>
        <v>0</v>
      </c>
      <c r="AA414" s="47">
        <f>+IFERROR(VLOOKUP(AA28,'נתוני מים 2014'!$C$2:$L$186,2,0),0)</f>
        <v>0</v>
      </c>
      <c r="AB414" s="47">
        <f>+IFERROR(VLOOKUP(AB28,'נתוני מים 2014'!$C$2:$L$186,2,0),0)</f>
        <v>0</v>
      </c>
      <c r="AC414" s="47">
        <f>+IFERROR(VLOOKUP(AC28,'נתוני מים 2014'!$C$2:$L$186,2,0),0)</f>
        <v>0</v>
      </c>
      <c r="AD414" s="47">
        <f>+IFERROR(VLOOKUP(AD28,'נתוני מים 2014'!$C$2:$L$186,2,0),0)</f>
        <v>0</v>
      </c>
      <c r="AE414" s="47">
        <f>+IFERROR(VLOOKUP(AE28,'נתוני מים 2014'!$C$2:$L$186,2,0),0)</f>
        <v>0</v>
      </c>
      <c r="AF414" s="47">
        <f>+IFERROR(VLOOKUP(AF28,'נתוני מים 2014'!$C$2:$L$186,2,0),0)</f>
        <v>0</v>
      </c>
      <c r="AG414" s="47">
        <f>+IFERROR(VLOOKUP(AG28,'נתוני מים 2014'!$C$2:$L$186,2,0),0)</f>
        <v>0</v>
      </c>
      <c r="AH414" s="47">
        <f>+IFERROR(VLOOKUP(AH28,'נתוני מים 2014'!$C$2:$L$186,2,0),0)</f>
        <v>0</v>
      </c>
      <c r="AI414" s="47">
        <f>+IFERROR(VLOOKUP(AI28,'נתוני מים 2014'!$C$2:$L$186,2,0),0)</f>
        <v>0</v>
      </c>
      <c r="AJ414" s="47">
        <f>+IFERROR(VLOOKUP(AJ28,'נתוני מים 2014'!$C$2:$L$186,2,0),0)</f>
        <v>0</v>
      </c>
      <c r="AK414" s="47">
        <f>+IFERROR(VLOOKUP(AK28,'נתוני מים 2014'!$C$2:$L$186,2,0),0)</f>
        <v>0</v>
      </c>
      <c r="AL414" s="47">
        <f>+IFERROR(VLOOKUP(AL28,'נתוני מים 2014'!$C$2:$L$186,2,0),0)</f>
        <v>0</v>
      </c>
      <c r="AM414" s="47">
        <f>+IFERROR(VLOOKUP(AM28,'נתוני מים 2014'!$C$2:$L$186,2,0),0)</f>
        <v>0</v>
      </c>
      <c r="AN414" s="47">
        <f>+IFERROR(VLOOKUP(AN28,'נתוני מים 2014'!$C$2:$L$186,2,0),0)</f>
        <v>0</v>
      </c>
      <c r="AO414" s="47">
        <f>+IFERROR(VLOOKUP(AO28,'נתוני מים 2014'!$C$2:$L$186,2,0),0)</f>
        <v>0</v>
      </c>
      <c r="AP414" s="47">
        <f>+IFERROR(VLOOKUP(AP28,'נתוני מים 2014'!$C$2:$L$186,2,0),0)</f>
        <v>0</v>
      </c>
      <c r="AQ414" s="47">
        <f>+IFERROR(VLOOKUP(AQ28,'נתוני מים 2014'!$C$2:$L$186,2,0),0)</f>
        <v>0</v>
      </c>
      <c r="AR414" s="47">
        <f>+IFERROR(VLOOKUP(AR28,'נתוני מים 2014'!$C$2:$L$186,2,0),0)</f>
        <v>0</v>
      </c>
      <c r="AS414" s="47">
        <f>+IFERROR(VLOOKUP(AS28,'נתוני מים 2014'!$C$2:$L$186,2,0),0)</f>
        <v>0</v>
      </c>
      <c r="AT414" s="47">
        <f>+IFERROR(VLOOKUP(AT28,'נתוני מים 2014'!$C$2:$L$186,2,0),0)</f>
        <v>0</v>
      </c>
      <c r="AU414" s="47">
        <f>+IFERROR(VLOOKUP(AU28,'נתוני מים 2014'!$C$2:$L$186,2,0),0)</f>
        <v>0</v>
      </c>
      <c r="AV414" s="47">
        <f>+IFERROR(VLOOKUP(AV28,'נתוני מים 2014'!$C$2:$L$186,2,0),0)</f>
        <v>0</v>
      </c>
      <c r="AW414" s="47">
        <f>+IFERROR(VLOOKUP(AW28,'נתוני מים 2014'!$C$2:$L$186,2,0),0)</f>
        <v>0</v>
      </c>
      <c r="AX414" s="47">
        <f>+IFERROR(VLOOKUP(AX28,'נתוני מים 2014'!$C$2:$L$186,2,0),0)</f>
        <v>0</v>
      </c>
      <c r="AY414" s="47">
        <f>+IFERROR(VLOOKUP(AY28,'נתוני מים 2014'!$C$2:$L$186,2,0),0)</f>
        <v>0</v>
      </c>
      <c r="AZ414" s="47">
        <f>+IFERROR(VLOOKUP(AZ28,'נתוני מים 2014'!$C$2:$L$186,2,0),0)</f>
        <v>0</v>
      </c>
      <c r="BA414" s="47">
        <f>+IFERROR(VLOOKUP(BA28,'נתוני מים 2014'!$C$2:$L$186,2,0),0)</f>
        <v>0</v>
      </c>
      <c r="BB414" s="47">
        <f>+IFERROR(VLOOKUP(BB28,'נתוני מים 2014'!$C$2:$L$186,2,0),0)</f>
        <v>0</v>
      </c>
      <c r="BC414" s="47">
        <f>+IFERROR(VLOOKUP(BC28,'נתוני מים 2014'!$C$2:$L$186,2,0),0)</f>
        <v>0</v>
      </c>
      <c r="BD414" s="47">
        <f>+IFERROR(VLOOKUP(BD28,'נתוני מים 2014'!$C$2:$L$186,2,0),0)</f>
        <v>0</v>
      </c>
      <c r="BE414" s="47">
        <f>+IFERROR(VLOOKUP(BE28,'נתוני מים 2014'!$C$2:$L$186,2,0),0)</f>
        <v>0</v>
      </c>
      <c r="BF414" s="47">
        <f>+IFERROR(VLOOKUP(BF28,'נתוני מים 2014'!$C$2:$L$186,2,0),0)</f>
        <v>0</v>
      </c>
    </row>
    <row r="415" spans="2:58" x14ac:dyDescent="0.2">
      <c r="B415" s="1">
        <v>22</v>
      </c>
      <c r="C415" s="47">
        <f>+IFERROR(VLOOKUP(C29,'נתוני מים 2014'!$C$2:$L$186,2,0),0)</f>
        <v>0</v>
      </c>
      <c r="D415" s="47">
        <f>+IFERROR(VLOOKUP(D29,'נתוני מים 2014'!$C$2:$L$186,2,0),0)</f>
        <v>0</v>
      </c>
      <c r="E415" s="47">
        <f>+IFERROR(VLOOKUP(E29,'נתוני מים 2014'!$C$2:$L$186,2,0),0)</f>
        <v>0</v>
      </c>
      <c r="F415" s="47">
        <f>+IFERROR(VLOOKUP(F29,'נתוני מים 2014'!$C$2:$L$186,2,0),0)</f>
        <v>0</v>
      </c>
      <c r="G415" s="47">
        <f>+IFERROR(VLOOKUP(G29,'נתוני מים 2014'!$C$2:$L$186,2,0),0)</f>
        <v>0</v>
      </c>
      <c r="H415" s="47">
        <f>+IFERROR(VLOOKUP(H29,'נתוני מים 2014'!$C$2:$L$186,2,0),0)</f>
        <v>0</v>
      </c>
      <c r="I415" s="47">
        <f>+IFERROR(VLOOKUP(I29,'נתוני מים 2014'!$C$2:$L$186,2,0),0)</f>
        <v>0</v>
      </c>
      <c r="J415" s="47">
        <f>+IFERROR(VLOOKUP(J29,'נתוני מים 2014'!$C$2:$L$186,2,0),0)</f>
        <v>0</v>
      </c>
      <c r="K415" s="47">
        <f>+IFERROR(VLOOKUP(K29,'נתוני מים 2014'!$C$2:$L$186,2,0),0)</f>
        <v>0</v>
      </c>
      <c r="L415" s="47">
        <f>+IFERROR(VLOOKUP(L29,'נתוני מים 2014'!$C$2:$L$186,2,0),0)</f>
        <v>0</v>
      </c>
      <c r="M415" s="47">
        <f>+IFERROR(VLOOKUP(M29,'נתוני מים 2014'!$C$2:$L$186,2,0),0)</f>
        <v>0</v>
      </c>
      <c r="N415" s="47">
        <f>+IFERROR(VLOOKUP(N29,'נתוני מים 2014'!$C$2:$L$186,2,0),0)</f>
        <v>0</v>
      </c>
      <c r="O415" s="47">
        <f>+IFERROR(VLOOKUP(O29,'נתוני מים 2014'!$C$2:$L$186,2,0),0)</f>
        <v>0</v>
      </c>
      <c r="P415" s="47">
        <f>+IFERROR(VLOOKUP(P29,'נתוני מים 2014'!$C$2:$L$186,2,0),0)</f>
        <v>0</v>
      </c>
      <c r="Q415" s="47">
        <f>+IFERROR(VLOOKUP(Q29,'נתוני מים 2014'!$C$2:$L$186,2,0),0)</f>
        <v>0</v>
      </c>
      <c r="R415" s="47">
        <f>+IFERROR(VLOOKUP(R29,'נתוני מים 2014'!$C$2:$L$186,2,0),0)</f>
        <v>0</v>
      </c>
      <c r="S415" s="47">
        <f>+IFERROR(VLOOKUP(S29,'נתוני מים 2014'!$C$2:$L$186,2,0),0)</f>
        <v>0</v>
      </c>
      <c r="T415" s="47">
        <f>+IFERROR(VLOOKUP(T29,'נתוני מים 2014'!$C$2:$L$186,2,0),0)</f>
        <v>0</v>
      </c>
      <c r="U415" s="47">
        <f>+IFERROR(VLOOKUP(U29,'נתוני מים 2014'!$C$2:$L$186,2,0),0)</f>
        <v>0</v>
      </c>
      <c r="V415" s="47">
        <f>+IFERROR(VLOOKUP(V29,'נתוני מים 2014'!$C$2:$L$186,2,0),0)</f>
        <v>0</v>
      </c>
      <c r="W415" s="47">
        <f>+IFERROR(VLOOKUP(W29,'נתוני מים 2014'!$C$2:$L$186,2,0),0)</f>
        <v>0</v>
      </c>
      <c r="X415" s="47">
        <f>+IFERROR(VLOOKUP(X29,'נתוני מים 2014'!$C$2:$L$186,2,0),0)</f>
        <v>0</v>
      </c>
      <c r="Y415" s="47">
        <f>+IFERROR(VLOOKUP(Y29,'נתוני מים 2014'!$C$2:$L$186,2,0),0)</f>
        <v>0</v>
      </c>
      <c r="Z415" s="47">
        <f>+IFERROR(VLOOKUP(Z29,'נתוני מים 2014'!$C$2:$L$186,2,0),0)</f>
        <v>0</v>
      </c>
      <c r="AA415" s="47">
        <f>+IFERROR(VLOOKUP(AA29,'נתוני מים 2014'!$C$2:$L$186,2,0),0)</f>
        <v>0</v>
      </c>
      <c r="AB415" s="47">
        <f>+IFERROR(VLOOKUP(AB29,'נתוני מים 2014'!$C$2:$L$186,2,0),0)</f>
        <v>0</v>
      </c>
      <c r="AC415" s="47">
        <f>+IFERROR(VLOOKUP(AC29,'נתוני מים 2014'!$C$2:$L$186,2,0),0)</f>
        <v>0</v>
      </c>
      <c r="AD415" s="47">
        <f>+IFERROR(VLOOKUP(AD29,'נתוני מים 2014'!$C$2:$L$186,2,0),0)</f>
        <v>0</v>
      </c>
      <c r="AE415" s="47">
        <f>+IFERROR(VLOOKUP(AE29,'נתוני מים 2014'!$C$2:$L$186,2,0),0)</f>
        <v>0</v>
      </c>
      <c r="AF415" s="47">
        <f>+IFERROR(VLOOKUP(AF29,'נתוני מים 2014'!$C$2:$L$186,2,0),0)</f>
        <v>0</v>
      </c>
      <c r="AG415" s="47">
        <f>+IFERROR(VLOOKUP(AG29,'נתוני מים 2014'!$C$2:$L$186,2,0),0)</f>
        <v>0</v>
      </c>
      <c r="AH415" s="47">
        <f>+IFERROR(VLOOKUP(AH29,'נתוני מים 2014'!$C$2:$L$186,2,0),0)</f>
        <v>0</v>
      </c>
      <c r="AI415" s="47">
        <f>+IFERROR(VLOOKUP(AI29,'נתוני מים 2014'!$C$2:$L$186,2,0),0)</f>
        <v>0</v>
      </c>
      <c r="AJ415" s="47">
        <f>+IFERROR(VLOOKUP(AJ29,'נתוני מים 2014'!$C$2:$L$186,2,0),0)</f>
        <v>0</v>
      </c>
      <c r="AK415" s="47">
        <f>+IFERROR(VLOOKUP(AK29,'נתוני מים 2014'!$C$2:$L$186,2,0),0)</f>
        <v>0</v>
      </c>
      <c r="AL415" s="47">
        <f>+IFERROR(VLOOKUP(AL29,'נתוני מים 2014'!$C$2:$L$186,2,0),0)</f>
        <v>0</v>
      </c>
      <c r="AM415" s="47">
        <f>+IFERROR(VLOOKUP(AM29,'נתוני מים 2014'!$C$2:$L$186,2,0),0)</f>
        <v>0</v>
      </c>
      <c r="AN415" s="47">
        <f>+IFERROR(VLOOKUP(AN29,'נתוני מים 2014'!$C$2:$L$186,2,0),0)</f>
        <v>0</v>
      </c>
      <c r="AO415" s="47">
        <f>+IFERROR(VLOOKUP(AO29,'נתוני מים 2014'!$C$2:$L$186,2,0),0)</f>
        <v>0</v>
      </c>
      <c r="AP415" s="47">
        <f>+IFERROR(VLOOKUP(AP29,'נתוני מים 2014'!$C$2:$L$186,2,0),0)</f>
        <v>0</v>
      </c>
      <c r="AQ415" s="47">
        <f>+IFERROR(VLOOKUP(AQ29,'נתוני מים 2014'!$C$2:$L$186,2,0),0)</f>
        <v>0</v>
      </c>
      <c r="AR415" s="47">
        <f>+IFERROR(VLOOKUP(AR29,'נתוני מים 2014'!$C$2:$L$186,2,0),0)</f>
        <v>0</v>
      </c>
      <c r="AS415" s="47">
        <f>+IFERROR(VLOOKUP(AS29,'נתוני מים 2014'!$C$2:$L$186,2,0),0)</f>
        <v>0</v>
      </c>
      <c r="AT415" s="47">
        <f>+IFERROR(VLOOKUP(AT29,'נתוני מים 2014'!$C$2:$L$186,2,0),0)</f>
        <v>0</v>
      </c>
      <c r="AU415" s="47">
        <f>+IFERROR(VLOOKUP(AU29,'נתוני מים 2014'!$C$2:$L$186,2,0),0)</f>
        <v>0</v>
      </c>
      <c r="AV415" s="47">
        <f>+IFERROR(VLOOKUP(AV29,'נתוני מים 2014'!$C$2:$L$186,2,0),0)</f>
        <v>0</v>
      </c>
      <c r="AW415" s="47">
        <f>+IFERROR(VLOOKUP(AW29,'נתוני מים 2014'!$C$2:$L$186,2,0),0)</f>
        <v>0</v>
      </c>
      <c r="AX415" s="47">
        <f>+IFERROR(VLOOKUP(AX29,'נתוני מים 2014'!$C$2:$L$186,2,0),0)</f>
        <v>0</v>
      </c>
      <c r="AY415" s="47">
        <f>+IFERROR(VLOOKUP(AY29,'נתוני מים 2014'!$C$2:$L$186,2,0),0)</f>
        <v>0</v>
      </c>
      <c r="AZ415" s="47">
        <f>+IFERROR(VLOOKUP(AZ29,'נתוני מים 2014'!$C$2:$L$186,2,0),0)</f>
        <v>0</v>
      </c>
      <c r="BA415" s="47">
        <f>+IFERROR(VLOOKUP(BA29,'נתוני מים 2014'!$C$2:$L$186,2,0),0)</f>
        <v>0</v>
      </c>
      <c r="BB415" s="47">
        <f>+IFERROR(VLOOKUP(BB29,'נתוני מים 2014'!$C$2:$L$186,2,0),0)</f>
        <v>0</v>
      </c>
      <c r="BC415" s="47">
        <f>+IFERROR(VLOOKUP(BC29,'נתוני מים 2014'!$C$2:$L$186,2,0),0)</f>
        <v>0</v>
      </c>
      <c r="BD415" s="47">
        <f>+IFERROR(VLOOKUP(BD29,'נתוני מים 2014'!$C$2:$L$186,2,0),0)</f>
        <v>0</v>
      </c>
      <c r="BE415" s="47">
        <f>+IFERROR(VLOOKUP(BE29,'נתוני מים 2014'!$C$2:$L$186,2,0),0)</f>
        <v>0</v>
      </c>
      <c r="BF415" s="47">
        <f>+IFERROR(VLOOKUP(BF29,'נתוני מים 2014'!$C$2:$L$186,2,0),0)</f>
        <v>0</v>
      </c>
    </row>
    <row r="416" spans="2:58" x14ac:dyDescent="0.2">
      <c r="B416" s="1">
        <v>23</v>
      </c>
      <c r="C416" s="47">
        <f>+IFERROR(VLOOKUP(C30,'נתוני מים 2014'!$C$2:$L$186,2,0),0)</f>
        <v>0</v>
      </c>
      <c r="D416" s="47">
        <f>+IFERROR(VLOOKUP(D30,'נתוני מים 2014'!$C$2:$L$186,2,0),0)</f>
        <v>0</v>
      </c>
      <c r="E416" s="47">
        <f>+IFERROR(VLOOKUP(E30,'נתוני מים 2014'!$C$2:$L$186,2,0),0)</f>
        <v>0</v>
      </c>
      <c r="F416" s="47">
        <f>+IFERROR(VLOOKUP(F30,'נתוני מים 2014'!$C$2:$L$186,2,0),0)</f>
        <v>0</v>
      </c>
      <c r="G416" s="47">
        <f>+IFERROR(VLOOKUP(G30,'נתוני מים 2014'!$C$2:$L$186,2,0),0)</f>
        <v>0</v>
      </c>
      <c r="H416" s="47">
        <f>+IFERROR(VLOOKUP(H30,'נתוני מים 2014'!$C$2:$L$186,2,0),0)</f>
        <v>0</v>
      </c>
      <c r="I416" s="47">
        <f>+IFERROR(VLOOKUP(I30,'נתוני מים 2014'!$C$2:$L$186,2,0),0)</f>
        <v>0</v>
      </c>
      <c r="J416" s="47">
        <f>+IFERROR(VLOOKUP(J30,'נתוני מים 2014'!$C$2:$L$186,2,0),0)</f>
        <v>0</v>
      </c>
      <c r="K416" s="47">
        <f>+IFERROR(VLOOKUP(K30,'נתוני מים 2014'!$C$2:$L$186,2,0),0)</f>
        <v>0</v>
      </c>
      <c r="L416" s="47">
        <f>+IFERROR(VLOOKUP(L30,'נתוני מים 2014'!$C$2:$L$186,2,0),0)</f>
        <v>0</v>
      </c>
      <c r="M416" s="47">
        <f>+IFERROR(VLOOKUP(M30,'נתוני מים 2014'!$C$2:$L$186,2,0),0)</f>
        <v>0</v>
      </c>
      <c r="N416" s="47">
        <f>+IFERROR(VLOOKUP(N30,'נתוני מים 2014'!$C$2:$L$186,2,0),0)</f>
        <v>0</v>
      </c>
      <c r="O416" s="47">
        <f>+IFERROR(VLOOKUP(O30,'נתוני מים 2014'!$C$2:$L$186,2,0),0)</f>
        <v>0</v>
      </c>
      <c r="P416" s="47">
        <f>+IFERROR(VLOOKUP(P30,'נתוני מים 2014'!$C$2:$L$186,2,0),0)</f>
        <v>0</v>
      </c>
      <c r="Q416" s="47">
        <f>+IFERROR(VLOOKUP(Q30,'נתוני מים 2014'!$C$2:$L$186,2,0),0)</f>
        <v>0</v>
      </c>
      <c r="R416" s="47">
        <f>+IFERROR(VLOOKUP(R30,'נתוני מים 2014'!$C$2:$L$186,2,0),0)</f>
        <v>0</v>
      </c>
      <c r="S416" s="47">
        <f>+IFERROR(VLOOKUP(S30,'נתוני מים 2014'!$C$2:$L$186,2,0),0)</f>
        <v>0</v>
      </c>
      <c r="T416" s="47">
        <f>+IFERROR(VLOOKUP(T30,'נתוני מים 2014'!$C$2:$L$186,2,0),0)</f>
        <v>0</v>
      </c>
      <c r="U416" s="47">
        <f>+IFERROR(VLOOKUP(U30,'נתוני מים 2014'!$C$2:$L$186,2,0),0)</f>
        <v>0</v>
      </c>
      <c r="V416" s="47">
        <f>+IFERROR(VLOOKUP(V30,'נתוני מים 2014'!$C$2:$L$186,2,0),0)</f>
        <v>0</v>
      </c>
      <c r="W416" s="47">
        <f>+IFERROR(VLOOKUP(W30,'נתוני מים 2014'!$C$2:$L$186,2,0),0)</f>
        <v>0</v>
      </c>
      <c r="X416" s="47">
        <f>+IFERROR(VLOOKUP(X30,'נתוני מים 2014'!$C$2:$L$186,2,0),0)</f>
        <v>0</v>
      </c>
      <c r="Y416" s="47">
        <f>+IFERROR(VLOOKUP(Y30,'נתוני מים 2014'!$C$2:$L$186,2,0),0)</f>
        <v>0</v>
      </c>
      <c r="Z416" s="47">
        <f>+IFERROR(VLOOKUP(Z30,'נתוני מים 2014'!$C$2:$L$186,2,0),0)</f>
        <v>0</v>
      </c>
      <c r="AA416" s="47">
        <f>+IFERROR(VLOOKUP(AA30,'נתוני מים 2014'!$C$2:$L$186,2,0),0)</f>
        <v>0</v>
      </c>
      <c r="AB416" s="47">
        <f>+IFERROR(VLOOKUP(AB30,'נתוני מים 2014'!$C$2:$L$186,2,0),0)</f>
        <v>0</v>
      </c>
      <c r="AC416" s="47">
        <f>+IFERROR(VLOOKUP(AC30,'נתוני מים 2014'!$C$2:$L$186,2,0),0)</f>
        <v>0</v>
      </c>
      <c r="AD416" s="47">
        <f>+IFERROR(VLOOKUP(AD30,'נתוני מים 2014'!$C$2:$L$186,2,0),0)</f>
        <v>0</v>
      </c>
      <c r="AE416" s="47">
        <f>+IFERROR(VLOOKUP(AE30,'נתוני מים 2014'!$C$2:$L$186,2,0),0)</f>
        <v>0</v>
      </c>
      <c r="AF416" s="47">
        <f>+IFERROR(VLOOKUP(AF30,'נתוני מים 2014'!$C$2:$L$186,2,0),0)</f>
        <v>0</v>
      </c>
      <c r="AG416" s="47">
        <f>+IFERROR(VLOOKUP(AG30,'נתוני מים 2014'!$C$2:$L$186,2,0),0)</f>
        <v>0</v>
      </c>
      <c r="AH416" s="47">
        <f>+IFERROR(VLOOKUP(AH30,'נתוני מים 2014'!$C$2:$L$186,2,0),0)</f>
        <v>0</v>
      </c>
      <c r="AI416" s="47">
        <f>+IFERROR(VLOOKUP(AI30,'נתוני מים 2014'!$C$2:$L$186,2,0),0)</f>
        <v>0</v>
      </c>
      <c r="AJ416" s="47">
        <f>+IFERROR(VLOOKUP(AJ30,'נתוני מים 2014'!$C$2:$L$186,2,0),0)</f>
        <v>0</v>
      </c>
      <c r="AK416" s="47">
        <f>+IFERROR(VLOOKUP(AK30,'נתוני מים 2014'!$C$2:$L$186,2,0),0)</f>
        <v>0</v>
      </c>
      <c r="AL416" s="47">
        <f>+IFERROR(VLOOKUP(AL30,'נתוני מים 2014'!$C$2:$L$186,2,0),0)</f>
        <v>0</v>
      </c>
      <c r="AM416" s="47">
        <f>+IFERROR(VLOOKUP(AM30,'נתוני מים 2014'!$C$2:$L$186,2,0),0)</f>
        <v>0</v>
      </c>
      <c r="AN416" s="47">
        <f>+IFERROR(VLOOKUP(AN30,'נתוני מים 2014'!$C$2:$L$186,2,0),0)</f>
        <v>0</v>
      </c>
      <c r="AO416" s="47">
        <f>+IFERROR(VLOOKUP(AO30,'נתוני מים 2014'!$C$2:$L$186,2,0),0)</f>
        <v>0</v>
      </c>
      <c r="AP416" s="47">
        <f>+IFERROR(VLOOKUP(AP30,'נתוני מים 2014'!$C$2:$L$186,2,0),0)</f>
        <v>0</v>
      </c>
      <c r="AQ416" s="47">
        <f>+IFERROR(VLOOKUP(AQ30,'נתוני מים 2014'!$C$2:$L$186,2,0),0)</f>
        <v>0</v>
      </c>
      <c r="AR416" s="47">
        <f>+IFERROR(VLOOKUP(AR30,'נתוני מים 2014'!$C$2:$L$186,2,0),0)</f>
        <v>0</v>
      </c>
      <c r="AS416" s="47">
        <f>+IFERROR(VLOOKUP(AS30,'נתוני מים 2014'!$C$2:$L$186,2,0),0)</f>
        <v>0</v>
      </c>
      <c r="AT416" s="47">
        <f>+IFERROR(VLOOKUP(AT30,'נתוני מים 2014'!$C$2:$L$186,2,0),0)</f>
        <v>0</v>
      </c>
      <c r="AU416" s="47">
        <f>+IFERROR(VLOOKUP(AU30,'נתוני מים 2014'!$C$2:$L$186,2,0),0)</f>
        <v>0</v>
      </c>
      <c r="AV416" s="47">
        <f>+IFERROR(VLOOKUP(AV30,'נתוני מים 2014'!$C$2:$L$186,2,0),0)</f>
        <v>0</v>
      </c>
      <c r="AW416" s="47">
        <f>+IFERROR(VLOOKUP(AW30,'נתוני מים 2014'!$C$2:$L$186,2,0),0)</f>
        <v>0</v>
      </c>
      <c r="AX416" s="47">
        <f>+IFERROR(VLOOKUP(AX30,'נתוני מים 2014'!$C$2:$L$186,2,0),0)</f>
        <v>0</v>
      </c>
      <c r="AY416" s="47">
        <f>+IFERROR(VLOOKUP(AY30,'נתוני מים 2014'!$C$2:$L$186,2,0),0)</f>
        <v>0</v>
      </c>
      <c r="AZ416" s="47">
        <f>+IFERROR(VLOOKUP(AZ30,'נתוני מים 2014'!$C$2:$L$186,2,0),0)</f>
        <v>0</v>
      </c>
      <c r="BA416" s="47">
        <f>+IFERROR(VLOOKUP(BA30,'נתוני מים 2014'!$C$2:$L$186,2,0),0)</f>
        <v>0</v>
      </c>
      <c r="BB416" s="47">
        <f>+IFERROR(VLOOKUP(BB30,'נתוני מים 2014'!$C$2:$L$186,2,0),0)</f>
        <v>0</v>
      </c>
      <c r="BC416" s="47">
        <f>+IFERROR(VLOOKUP(BC30,'נתוני מים 2014'!$C$2:$L$186,2,0),0)</f>
        <v>0</v>
      </c>
      <c r="BD416" s="47">
        <f>+IFERROR(VLOOKUP(BD30,'נתוני מים 2014'!$C$2:$L$186,2,0),0)</f>
        <v>0</v>
      </c>
      <c r="BE416" s="47">
        <f>+IFERROR(VLOOKUP(BE30,'נתוני מים 2014'!$C$2:$L$186,2,0),0)</f>
        <v>0</v>
      </c>
      <c r="BF416" s="47">
        <f>+IFERROR(VLOOKUP(BF30,'נתוני מים 2014'!$C$2:$L$186,2,0),0)</f>
        <v>0</v>
      </c>
    </row>
    <row r="417" spans="1:58" x14ac:dyDescent="0.2">
      <c r="B417" s="1">
        <v>24</v>
      </c>
      <c r="C417" s="47">
        <f>+IFERROR(VLOOKUP(C31,'נתוני מים 2014'!$C$2:$L$186,2,0),0)</f>
        <v>0</v>
      </c>
      <c r="D417" s="47">
        <f>+IFERROR(VLOOKUP(D31,'נתוני מים 2014'!$C$2:$L$186,2,0),0)</f>
        <v>0</v>
      </c>
      <c r="E417" s="47">
        <f>+IFERROR(VLOOKUP(E31,'נתוני מים 2014'!$C$2:$L$186,2,0),0)</f>
        <v>0</v>
      </c>
      <c r="F417" s="47">
        <f>+IFERROR(VLOOKUP(F31,'נתוני מים 2014'!$C$2:$L$186,2,0),0)</f>
        <v>0</v>
      </c>
      <c r="G417" s="47">
        <f>+IFERROR(VLOOKUP(G31,'נתוני מים 2014'!$C$2:$L$186,2,0),0)</f>
        <v>0</v>
      </c>
      <c r="H417" s="47">
        <f>+IFERROR(VLOOKUP(H31,'נתוני מים 2014'!$C$2:$L$186,2,0),0)</f>
        <v>0</v>
      </c>
      <c r="I417" s="47">
        <f>+IFERROR(VLOOKUP(I31,'נתוני מים 2014'!$C$2:$L$186,2,0),0)</f>
        <v>0</v>
      </c>
      <c r="J417" s="47">
        <f>+IFERROR(VLOOKUP(J31,'נתוני מים 2014'!$C$2:$L$186,2,0),0)</f>
        <v>0</v>
      </c>
      <c r="K417" s="47">
        <f>+IFERROR(VLOOKUP(K31,'נתוני מים 2014'!$C$2:$L$186,2,0),0)</f>
        <v>0</v>
      </c>
      <c r="L417" s="47">
        <f>+IFERROR(VLOOKUP(L31,'נתוני מים 2014'!$C$2:$L$186,2,0),0)</f>
        <v>0</v>
      </c>
      <c r="M417" s="47">
        <f>+IFERROR(VLOOKUP(M31,'נתוני מים 2014'!$C$2:$L$186,2,0),0)</f>
        <v>0</v>
      </c>
      <c r="N417" s="47">
        <f>+IFERROR(VLOOKUP(N31,'נתוני מים 2014'!$C$2:$L$186,2,0),0)</f>
        <v>0</v>
      </c>
      <c r="O417" s="47">
        <f>+IFERROR(VLOOKUP(O31,'נתוני מים 2014'!$C$2:$L$186,2,0),0)</f>
        <v>0</v>
      </c>
      <c r="P417" s="47">
        <f>+IFERROR(VLOOKUP(P31,'נתוני מים 2014'!$C$2:$L$186,2,0),0)</f>
        <v>0</v>
      </c>
      <c r="Q417" s="47">
        <f>+IFERROR(VLOOKUP(Q31,'נתוני מים 2014'!$C$2:$L$186,2,0),0)</f>
        <v>0</v>
      </c>
      <c r="R417" s="47">
        <f>+IFERROR(VLOOKUP(R31,'נתוני מים 2014'!$C$2:$L$186,2,0),0)</f>
        <v>0</v>
      </c>
      <c r="S417" s="47">
        <f>+IFERROR(VLOOKUP(S31,'נתוני מים 2014'!$C$2:$L$186,2,0),0)</f>
        <v>0</v>
      </c>
      <c r="T417" s="47">
        <f>+IFERROR(VLOOKUP(T31,'נתוני מים 2014'!$C$2:$L$186,2,0),0)</f>
        <v>0</v>
      </c>
      <c r="U417" s="47">
        <f>+IFERROR(VLOOKUP(U31,'נתוני מים 2014'!$C$2:$L$186,2,0),0)</f>
        <v>0</v>
      </c>
      <c r="V417" s="47">
        <f>+IFERROR(VLOOKUP(V31,'נתוני מים 2014'!$C$2:$L$186,2,0),0)</f>
        <v>0</v>
      </c>
      <c r="W417" s="47">
        <f>+IFERROR(VLOOKUP(W31,'נתוני מים 2014'!$C$2:$L$186,2,0),0)</f>
        <v>0</v>
      </c>
      <c r="X417" s="47">
        <f>+IFERROR(VLOOKUP(X31,'נתוני מים 2014'!$C$2:$L$186,2,0),0)</f>
        <v>0</v>
      </c>
      <c r="Y417" s="47">
        <f>+IFERROR(VLOOKUP(Y31,'נתוני מים 2014'!$C$2:$L$186,2,0),0)</f>
        <v>0</v>
      </c>
      <c r="Z417" s="47">
        <f>+IFERROR(VLOOKUP(Z31,'נתוני מים 2014'!$C$2:$L$186,2,0),0)</f>
        <v>0</v>
      </c>
      <c r="AA417" s="47">
        <f>+IFERROR(VLOOKUP(AA31,'נתוני מים 2014'!$C$2:$L$186,2,0),0)</f>
        <v>0</v>
      </c>
      <c r="AB417" s="47">
        <f>+IFERROR(VLOOKUP(AB31,'נתוני מים 2014'!$C$2:$L$186,2,0),0)</f>
        <v>0</v>
      </c>
      <c r="AC417" s="47">
        <f>+IFERROR(VLOOKUP(AC31,'נתוני מים 2014'!$C$2:$L$186,2,0),0)</f>
        <v>0</v>
      </c>
      <c r="AD417" s="47">
        <f>+IFERROR(VLOOKUP(AD31,'נתוני מים 2014'!$C$2:$L$186,2,0),0)</f>
        <v>0</v>
      </c>
      <c r="AE417" s="47">
        <f>+IFERROR(VLOOKUP(AE31,'נתוני מים 2014'!$C$2:$L$186,2,0),0)</f>
        <v>0</v>
      </c>
      <c r="AF417" s="47">
        <f>+IFERROR(VLOOKUP(AF31,'נתוני מים 2014'!$C$2:$L$186,2,0),0)</f>
        <v>0</v>
      </c>
      <c r="AG417" s="47">
        <f>+IFERROR(VLOOKUP(AG31,'נתוני מים 2014'!$C$2:$L$186,2,0),0)</f>
        <v>0</v>
      </c>
      <c r="AH417" s="47">
        <f>+IFERROR(VLOOKUP(AH31,'נתוני מים 2014'!$C$2:$L$186,2,0),0)</f>
        <v>0</v>
      </c>
      <c r="AI417" s="47">
        <f>+IFERROR(VLOOKUP(AI31,'נתוני מים 2014'!$C$2:$L$186,2,0),0)</f>
        <v>0</v>
      </c>
      <c r="AJ417" s="47">
        <f>+IFERROR(VLOOKUP(AJ31,'נתוני מים 2014'!$C$2:$L$186,2,0),0)</f>
        <v>0</v>
      </c>
      <c r="AK417" s="47">
        <f>+IFERROR(VLOOKUP(AK31,'נתוני מים 2014'!$C$2:$L$186,2,0),0)</f>
        <v>0</v>
      </c>
      <c r="AL417" s="47">
        <f>+IFERROR(VLOOKUP(AL31,'נתוני מים 2014'!$C$2:$L$186,2,0),0)</f>
        <v>0</v>
      </c>
      <c r="AM417" s="47">
        <f>+IFERROR(VLOOKUP(AM31,'נתוני מים 2014'!$C$2:$L$186,2,0),0)</f>
        <v>0</v>
      </c>
      <c r="AN417" s="47">
        <f>+IFERROR(VLOOKUP(AN31,'נתוני מים 2014'!$C$2:$L$186,2,0),0)</f>
        <v>0</v>
      </c>
      <c r="AO417" s="47">
        <f>+IFERROR(VLOOKUP(AO31,'נתוני מים 2014'!$C$2:$L$186,2,0),0)</f>
        <v>0</v>
      </c>
      <c r="AP417" s="47">
        <f>+IFERROR(VLOOKUP(AP31,'נתוני מים 2014'!$C$2:$L$186,2,0),0)</f>
        <v>0</v>
      </c>
      <c r="AQ417" s="47">
        <f>+IFERROR(VLOOKUP(AQ31,'נתוני מים 2014'!$C$2:$L$186,2,0),0)</f>
        <v>0</v>
      </c>
      <c r="AR417" s="47">
        <f>+IFERROR(VLOOKUP(AR31,'נתוני מים 2014'!$C$2:$L$186,2,0),0)</f>
        <v>0</v>
      </c>
      <c r="AS417" s="47">
        <f>+IFERROR(VLOOKUP(AS31,'נתוני מים 2014'!$C$2:$L$186,2,0),0)</f>
        <v>0</v>
      </c>
      <c r="AT417" s="47">
        <f>+IFERROR(VLOOKUP(AT31,'נתוני מים 2014'!$C$2:$L$186,2,0),0)</f>
        <v>0</v>
      </c>
      <c r="AU417" s="47">
        <f>+IFERROR(VLOOKUP(AU31,'נתוני מים 2014'!$C$2:$L$186,2,0),0)</f>
        <v>0</v>
      </c>
      <c r="AV417" s="47">
        <f>+IFERROR(VLOOKUP(AV31,'נתוני מים 2014'!$C$2:$L$186,2,0),0)</f>
        <v>0</v>
      </c>
      <c r="AW417" s="47">
        <f>+IFERROR(VLOOKUP(AW31,'נתוני מים 2014'!$C$2:$L$186,2,0),0)</f>
        <v>0</v>
      </c>
      <c r="AX417" s="47">
        <f>+IFERROR(VLOOKUP(AX31,'נתוני מים 2014'!$C$2:$L$186,2,0),0)</f>
        <v>0</v>
      </c>
      <c r="AY417" s="47">
        <f>+IFERROR(VLOOKUP(AY31,'נתוני מים 2014'!$C$2:$L$186,2,0),0)</f>
        <v>0</v>
      </c>
      <c r="AZ417" s="47">
        <f>+IFERROR(VLOOKUP(AZ31,'נתוני מים 2014'!$C$2:$L$186,2,0),0)</f>
        <v>0</v>
      </c>
      <c r="BA417" s="47">
        <f>+IFERROR(VLOOKUP(BA31,'נתוני מים 2014'!$C$2:$L$186,2,0),0)</f>
        <v>0</v>
      </c>
      <c r="BB417" s="47">
        <f>+IFERROR(VLOOKUP(BB31,'נתוני מים 2014'!$C$2:$L$186,2,0),0)</f>
        <v>0</v>
      </c>
      <c r="BC417" s="47">
        <f>+IFERROR(VLOOKUP(BC31,'נתוני מים 2014'!$C$2:$L$186,2,0),0)</f>
        <v>0</v>
      </c>
      <c r="BD417" s="47">
        <f>+IFERROR(VLOOKUP(BD31,'נתוני מים 2014'!$C$2:$L$186,2,0),0)</f>
        <v>0</v>
      </c>
      <c r="BE417" s="47">
        <f>+IFERROR(VLOOKUP(BE31,'נתוני מים 2014'!$C$2:$L$186,2,0),0)</f>
        <v>0</v>
      </c>
      <c r="BF417" s="47">
        <f>+IFERROR(VLOOKUP(BF31,'נתוני מים 2014'!$C$2:$L$186,2,0),0)</f>
        <v>0</v>
      </c>
    </row>
    <row r="418" spans="1:58" x14ac:dyDescent="0.2">
      <c r="B418" s="1">
        <v>25</v>
      </c>
      <c r="C418" s="47">
        <f>+IFERROR(VLOOKUP(C32,'נתוני מים 2014'!$C$2:$L$186,2,0),0)</f>
        <v>0</v>
      </c>
      <c r="D418" s="47">
        <f>+IFERROR(VLOOKUP(D32,'נתוני מים 2014'!$C$2:$L$186,2,0),0)</f>
        <v>0</v>
      </c>
      <c r="E418" s="47">
        <f>+IFERROR(VLOOKUP(E32,'נתוני מים 2014'!$C$2:$L$186,2,0),0)</f>
        <v>0</v>
      </c>
      <c r="F418" s="47">
        <f>+IFERROR(VLOOKUP(F32,'נתוני מים 2014'!$C$2:$L$186,2,0),0)</f>
        <v>0</v>
      </c>
      <c r="G418" s="47">
        <f>+IFERROR(VLOOKUP(G32,'נתוני מים 2014'!$C$2:$L$186,2,0),0)</f>
        <v>0</v>
      </c>
      <c r="H418" s="47">
        <f>+IFERROR(VLOOKUP(H32,'נתוני מים 2014'!$C$2:$L$186,2,0),0)</f>
        <v>0</v>
      </c>
      <c r="I418" s="47">
        <f>+IFERROR(VLOOKUP(I32,'נתוני מים 2014'!$C$2:$L$186,2,0),0)</f>
        <v>0</v>
      </c>
      <c r="J418" s="47">
        <f>+IFERROR(VLOOKUP(J32,'נתוני מים 2014'!$C$2:$L$186,2,0),0)</f>
        <v>0</v>
      </c>
      <c r="K418" s="47">
        <f>+IFERROR(VLOOKUP(K32,'נתוני מים 2014'!$C$2:$L$186,2,0),0)</f>
        <v>0</v>
      </c>
      <c r="L418" s="47">
        <f>+IFERROR(VLOOKUP(L32,'נתוני מים 2014'!$C$2:$L$186,2,0),0)</f>
        <v>0</v>
      </c>
      <c r="M418" s="47">
        <f>+IFERROR(VLOOKUP(M32,'נתוני מים 2014'!$C$2:$L$186,2,0),0)</f>
        <v>0</v>
      </c>
      <c r="N418" s="47">
        <f>+IFERROR(VLOOKUP(N32,'נתוני מים 2014'!$C$2:$L$186,2,0),0)</f>
        <v>0</v>
      </c>
      <c r="O418" s="47">
        <f>+IFERROR(VLOOKUP(O32,'נתוני מים 2014'!$C$2:$L$186,2,0),0)</f>
        <v>0</v>
      </c>
      <c r="P418" s="47">
        <f>+IFERROR(VLOOKUP(P32,'נתוני מים 2014'!$C$2:$L$186,2,0),0)</f>
        <v>0</v>
      </c>
      <c r="Q418" s="47">
        <f>+IFERROR(VLOOKUP(Q32,'נתוני מים 2014'!$C$2:$L$186,2,0),0)</f>
        <v>0</v>
      </c>
      <c r="R418" s="47">
        <f>+IFERROR(VLOOKUP(R32,'נתוני מים 2014'!$C$2:$L$186,2,0),0)</f>
        <v>0</v>
      </c>
      <c r="S418" s="47">
        <f>+IFERROR(VLOOKUP(S32,'נתוני מים 2014'!$C$2:$L$186,2,0),0)</f>
        <v>0</v>
      </c>
      <c r="T418" s="47">
        <f>+IFERROR(VLOOKUP(T32,'נתוני מים 2014'!$C$2:$L$186,2,0),0)</f>
        <v>0</v>
      </c>
      <c r="U418" s="47">
        <f>+IFERROR(VLOOKUP(U32,'נתוני מים 2014'!$C$2:$L$186,2,0),0)</f>
        <v>0</v>
      </c>
      <c r="V418" s="47">
        <f>+IFERROR(VLOOKUP(V32,'נתוני מים 2014'!$C$2:$L$186,2,0),0)</f>
        <v>0</v>
      </c>
      <c r="W418" s="47">
        <f>+IFERROR(VLOOKUP(W32,'נתוני מים 2014'!$C$2:$L$186,2,0),0)</f>
        <v>0</v>
      </c>
      <c r="X418" s="47">
        <f>+IFERROR(VLOOKUP(X32,'נתוני מים 2014'!$C$2:$L$186,2,0),0)</f>
        <v>0</v>
      </c>
      <c r="Y418" s="47">
        <f>+IFERROR(VLOOKUP(Y32,'נתוני מים 2014'!$C$2:$L$186,2,0),0)</f>
        <v>0</v>
      </c>
      <c r="Z418" s="47">
        <f>+IFERROR(VLOOKUP(Z32,'נתוני מים 2014'!$C$2:$L$186,2,0),0)</f>
        <v>0</v>
      </c>
      <c r="AA418" s="47">
        <f>+IFERROR(VLOOKUP(AA32,'נתוני מים 2014'!$C$2:$L$186,2,0),0)</f>
        <v>0</v>
      </c>
      <c r="AB418" s="47">
        <f>+IFERROR(VLOOKUP(AB32,'נתוני מים 2014'!$C$2:$L$186,2,0),0)</f>
        <v>0</v>
      </c>
      <c r="AC418" s="47">
        <f>+IFERROR(VLOOKUP(AC32,'נתוני מים 2014'!$C$2:$L$186,2,0),0)</f>
        <v>0</v>
      </c>
      <c r="AD418" s="47">
        <f>+IFERROR(VLOOKUP(AD32,'נתוני מים 2014'!$C$2:$L$186,2,0),0)</f>
        <v>0</v>
      </c>
      <c r="AE418" s="47">
        <f>+IFERROR(VLOOKUP(AE32,'נתוני מים 2014'!$C$2:$L$186,2,0),0)</f>
        <v>0</v>
      </c>
      <c r="AF418" s="47">
        <f>+IFERROR(VLOOKUP(AF32,'נתוני מים 2014'!$C$2:$L$186,2,0),0)</f>
        <v>0</v>
      </c>
      <c r="AG418" s="47">
        <f>+IFERROR(VLOOKUP(AG32,'נתוני מים 2014'!$C$2:$L$186,2,0),0)</f>
        <v>0</v>
      </c>
      <c r="AH418" s="47">
        <f>+IFERROR(VLOOKUP(AH32,'נתוני מים 2014'!$C$2:$L$186,2,0),0)</f>
        <v>0</v>
      </c>
      <c r="AI418" s="47">
        <f>+IFERROR(VLOOKUP(AI32,'נתוני מים 2014'!$C$2:$L$186,2,0),0)</f>
        <v>0</v>
      </c>
      <c r="AJ418" s="47">
        <f>+IFERROR(VLOOKUP(AJ32,'נתוני מים 2014'!$C$2:$L$186,2,0),0)</f>
        <v>0</v>
      </c>
      <c r="AK418" s="47">
        <f>+IFERROR(VLOOKUP(AK32,'נתוני מים 2014'!$C$2:$L$186,2,0),0)</f>
        <v>0</v>
      </c>
      <c r="AL418" s="47">
        <f>+IFERROR(VLOOKUP(AL32,'נתוני מים 2014'!$C$2:$L$186,2,0),0)</f>
        <v>0</v>
      </c>
      <c r="AM418" s="47">
        <f>+IFERROR(VLOOKUP(AM32,'נתוני מים 2014'!$C$2:$L$186,2,0),0)</f>
        <v>0</v>
      </c>
      <c r="AN418" s="47">
        <f>+IFERROR(VLOOKUP(AN32,'נתוני מים 2014'!$C$2:$L$186,2,0),0)</f>
        <v>0</v>
      </c>
      <c r="AO418" s="47">
        <f>+IFERROR(VLOOKUP(AO32,'נתוני מים 2014'!$C$2:$L$186,2,0),0)</f>
        <v>0</v>
      </c>
      <c r="AP418" s="47">
        <f>+IFERROR(VLOOKUP(AP32,'נתוני מים 2014'!$C$2:$L$186,2,0),0)</f>
        <v>0</v>
      </c>
      <c r="AQ418" s="47">
        <f>+IFERROR(VLOOKUP(AQ32,'נתוני מים 2014'!$C$2:$L$186,2,0),0)</f>
        <v>0</v>
      </c>
      <c r="AR418" s="47">
        <f>+IFERROR(VLOOKUP(AR32,'נתוני מים 2014'!$C$2:$L$186,2,0),0)</f>
        <v>0</v>
      </c>
      <c r="AS418" s="47">
        <f>+IFERROR(VLOOKUP(AS32,'נתוני מים 2014'!$C$2:$L$186,2,0),0)</f>
        <v>0</v>
      </c>
      <c r="AT418" s="47">
        <f>+IFERROR(VLOOKUP(AT32,'נתוני מים 2014'!$C$2:$L$186,2,0),0)</f>
        <v>0</v>
      </c>
      <c r="AU418" s="47">
        <f>+IFERROR(VLOOKUP(AU32,'נתוני מים 2014'!$C$2:$L$186,2,0),0)</f>
        <v>0</v>
      </c>
      <c r="AV418" s="47">
        <f>+IFERROR(VLOOKUP(AV32,'נתוני מים 2014'!$C$2:$L$186,2,0),0)</f>
        <v>0</v>
      </c>
      <c r="AW418" s="47">
        <f>+IFERROR(VLOOKUP(AW32,'נתוני מים 2014'!$C$2:$L$186,2,0),0)</f>
        <v>0</v>
      </c>
      <c r="AX418" s="47">
        <f>+IFERROR(VLOOKUP(AX32,'נתוני מים 2014'!$C$2:$L$186,2,0),0)</f>
        <v>0</v>
      </c>
      <c r="AY418" s="47">
        <f>+IFERROR(VLOOKUP(AY32,'נתוני מים 2014'!$C$2:$L$186,2,0),0)</f>
        <v>0</v>
      </c>
      <c r="AZ418" s="47">
        <f>+IFERROR(VLOOKUP(AZ32,'נתוני מים 2014'!$C$2:$L$186,2,0),0)</f>
        <v>0</v>
      </c>
      <c r="BA418" s="47">
        <f>+IFERROR(VLOOKUP(BA32,'נתוני מים 2014'!$C$2:$L$186,2,0),0)</f>
        <v>0</v>
      </c>
      <c r="BB418" s="47">
        <f>+IFERROR(VLOOKUP(BB32,'נתוני מים 2014'!$C$2:$L$186,2,0),0)</f>
        <v>0</v>
      </c>
      <c r="BC418" s="47">
        <f>+IFERROR(VLOOKUP(BC32,'נתוני מים 2014'!$C$2:$L$186,2,0),0)</f>
        <v>0</v>
      </c>
      <c r="BD418" s="47">
        <f>+IFERROR(VLOOKUP(BD32,'נתוני מים 2014'!$C$2:$L$186,2,0),0)</f>
        <v>0</v>
      </c>
      <c r="BE418" s="47">
        <f>+IFERROR(VLOOKUP(BE32,'נתוני מים 2014'!$C$2:$L$186,2,0),0)</f>
        <v>0</v>
      </c>
      <c r="BF418" s="47">
        <f>+IFERROR(VLOOKUP(BF32,'נתוני מים 2014'!$C$2:$L$186,2,0),0)</f>
        <v>0</v>
      </c>
    </row>
    <row r="419" spans="1:58" x14ac:dyDescent="0.2">
      <c r="B419" s="1">
        <v>26</v>
      </c>
      <c r="C419" s="47">
        <f>+IFERROR(VLOOKUP(C33,'נתוני מים 2014'!$C$2:$L$186,2,0),0)</f>
        <v>0</v>
      </c>
      <c r="D419" s="47">
        <f>+IFERROR(VLOOKUP(D33,'נתוני מים 2014'!$C$2:$L$186,2,0),0)</f>
        <v>0</v>
      </c>
      <c r="E419" s="47">
        <f>+IFERROR(VLOOKUP(E33,'נתוני מים 2014'!$C$2:$L$186,2,0),0)</f>
        <v>0</v>
      </c>
      <c r="F419" s="47">
        <f>+IFERROR(VLOOKUP(F33,'נתוני מים 2014'!$C$2:$L$186,2,0),0)</f>
        <v>0</v>
      </c>
      <c r="G419" s="47">
        <f>+IFERROR(VLOOKUP(G33,'נתוני מים 2014'!$C$2:$L$186,2,0),0)</f>
        <v>0</v>
      </c>
      <c r="H419" s="47">
        <f>+IFERROR(VLOOKUP(H33,'נתוני מים 2014'!$C$2:$L$186,2,0),0)</f>
        <v>0</v>
      </c>
      <c r="I419" s="47">
        <f>+IFERROR(VLOOKUP(I33,'נתוני מים 2014'!$C$2:$L$186,2,0),0)</f>
        <v>0</v>
      </c>
      <c r="J419" s="47">
        <f>+IFERROR(VLOOKUP(J33,'נתוני מים 2014'!$C$2:$L$186,2,0),0)</f>
        <v>0</v>
      </c>
      <c r="K419" s="47">
        <f>+IFERROR(VLOOKUP(K33,'נתוני מים 2014'!$C$2:$L$186,2,0),0)</f>
        <v>0</v>
      </c>
      <c r="L419" s="47">
        <f>+IFERROR(VLOOKUP(L33,'נתוני מים 2014'!$C$2:$L$186,2,0),0)</f>
        <v>0</v>
      </c>
      <c r="M419" s="47">
        <f>+IFERROR(VLOOKUP(M33,'נתוני מים 2014'!$C$2:$L$186,2,0),0)</f>
        <v>0</v>
      </c>
      <c r="N419" s="47">
        <f>+IFERROR(VLOOKUP(N33,'נתוני מים 2014'!$C$2:$L$186,2,0),0)</f>
        <v>0</v>
      </c>
      <c r="O419" s="47">
        <f>+IFERROR(VLOOKUP(O33,'נתוני מים 2014'!$C$2:$L$186,2,0),0)</f>
        <v>0</v>
      </c>
      <c r="P419" s="47">
        <f>+IFERROR(VLOOKUP(P33,'נתוני מים 2014'!$C$2:$L$186,2,0),0)</f>
        <v>0</v>
      </c>
      <c r="Q419" s="47">
        <f>+IFERROR(VLOOKUP(Q33,'נתוני מים 2014'!$C$2:$L$186,2,0),0)</f>
        <v>0</v>
      </c>
      <c r="R419" s="47">
        <f>+IFERROR(VLOOKUP(R33,'נתוני מים 2014'!$C$2:$L$186,2,0),0)</f>
        <v>0</v>
      </c>
      <c r="S419" s="47">
        <f>+IFERROR(VLOOKUP(S33,'נתוני מים 2014'!$C$2:$L$186,2,0),0)</f>
        <v>0</v>
      </c>
      <c r="T419" s="47">
        <f>+IFERROR(VLOOKUP(T33,'נתוני מים 2014'!$C$2:$L$186,2,0),0)</f>
        <v>0</v>
      </c>
      <c r="U419" s="47">
        <f>+IFERROR(VLOOKUP(U33,'נתוני מים 2014'!$C$2:$L$186,2,0),0)</f>
        <v>0</v>
      </c>
      <c r="V419" s="47">
        <f>+IFERROR(VLOOKUP(V33,'נתוני מים 2014'!$C$2:$L$186,2,0),0)</f>
        <v>0</v>
      </c>
      <c r="W419" s="47">
        <f>+IFERROR(VLOOKUP(W33,'נתוני מים 2014'!$C$2:$L$186,2,0),0)</f>
        <v>0</v>
      </c>
      <c r="X419" s="47">
        <f>+IFERROR(VLOOKUP(X33,'נתוני מים 2014'!$C$2:$L$186,2,0),0)</f>
        <v>0</v>
      </c>
      <c r="Y419" s="47">
        <f>+IFERROR(VLOOKUP(Y33,'נתוני מים 2014'!$C$2:$L$186,2,0),0)</f>
        <v>0</v>
      </c>
      <c r="Z419" s="47">
        <f>+IFERROR(VLOOKUP(Z33,'נתוני מים 2014'!$C$2:$L$186,2,0),0)</f>
        <v>0</v>
      </c>
      <c r="AA419" s="47">
        <f>+IFERROR(VLOOKUP(AA33,'נתוני מים 2014'!$C$2:$L$186,2,0),0)</f>
        <v>0</v>
      </c>
      <c r="AB419" s="47">
        <f>+IFERROR(VLOOKUP(AB33,'נתוני מים 2014'!$C$2:$L$186,2,0),0)</f>
        <v>0</v>
      </c>
      <c r="AC419" s="47">
        <f>+IFERROR(VLOOKUP(AC33,'נתוני מים 2014'!$C$2:$L$186,2,0),0)</f>
        <v>0</v>
      </c>
      <c r="AD419" s="47">
        <f>+IFERROR(VLOOKUP(AD33,'נתוני מים 2014'!$C$2:$L$186,2,0),0)</f>
        <v>0</v>
      </c>
      <c r="AE419" s="47">
        <f>+IFERROR(VLOOKUP(AE33,'נתוני מים 2014'!$C$2:$L$186,2,0),0)</f>
        <v>0</v>
      </c>
      <c r="AF419" s="47">
        <f>+IFERROR(VLOOKUP(AF33,'נתוני מים 2014'!$C$2:$L$186,2,0),0)</f>
        <v>0</v>
      </c>
      <c r="AG419" s="47">
        <f>+IFERROR(VLOOKUP(AG33,'נתוני מים 2014'!$C$2:$L$186,2,0),0)</f>
        <v>0</v>
      </c>
      <c r="AH419" s="47">
        <f>+IFERROR(VLOOKUP(AH33,'נתוני מים 2014'!$C$2:$L$186,2,0),0)</f>
        <v>0</v>
      </c>
      <c r="AI419" s="47">
        <f>+IFERROR(VLOOKUP(AI33,'נתוני מים 2014'!$C$2:$L$186,2,0),0)</f>
        <v>0</v>
      </c>
      <c r="AJ419" s="47">
        <f>+IFERROR(VLOOKUP(AJ33,'נתוני מים 2014'!$C$2:$L$186,2,0),0)</f>
        <v>0</v>
      </c>
      <c r="AK419" s="47">
        <f>+IFERROR(VLOOKUP(AK33,'נתוני מים 2014'!$C$2:$L$186,2,0),0)</f>
        <v>0</v>
      </c>
      <c r="AL419" s="47">
        <f>+IFERROR(VLOOKUP(AL33,'נתוני מים 2014'!$C$2:$L$186,2,0),0)</f>
        <v>0</v>
      </c>
      <c r="AM419" s="47">
        <f>+IFERROR(VLOOKUP(AM33,'נתוני מים 2014'!$C$2:$L$186,2,0),0)</f>
        <v>0</v>
      </c>
      <c r="AN419" s="47">
        <f>+IFERROR(VLOOKUP(AN33,'נתוני מים 2014'!$C$2:$L$186,2,0),0)</f>
        <v>0</v>
      </c>
      <c r="AO419" s="47">
        <f>+IFERROR(VLOOKUP(AO33,'נתוני מים 2014'!$C$2:$L$186,2,0),0)</f>
        <v>0</v>
      </c>
      <c r="AP419" s="47">
        <f>+IFERROR(VLOOKUP(AP33,'נתוני מים 2014'!$C$2:$L$186,2,0),0)</f>
        <v>0</v>
      </c>
      <c r="AQ419" s="47">
        <f>+IFERROR(VLOOKUP(AQ33,'נתוני מים 2014'!$C$2:$L$186,2,0),0)</f>
        <v>0</v>
      </c>
      <c r="AR419" s="47">
        <f>+IFERROR(VLOOKUP(AR33,'נתוני מים 2014'!$C$2:$L$186,2,0),0)</f>
        <v>0</v>
      </c>
      <c r="AS419" s="47">
        <f>+IFERROR(VLOOKUP(AS33,'נתוני מים 2014'!$C$2:$L$186,2,0),0)</f>
        <v>0</v>
      </c>
      <c r="AT419" s="47">
        <f>+IFERROR(VLOOKUP(AT33,'נתוני מים 2014'!$C$2:$L$186,2,0),0)</f>
        <v>0</v>
      </c>
      <c r="AU419" s="47">
        <f>+IFERROR(VLOOKUP(AU33,'נתוני מים 2014'!$C$2:$L$186,2,0),0)</f>
        <v>0</v>
      </c>
      <c r="AV419" s="47">
        <f>+IFERROR(VLOOKUP(AV33,'נתוני מים 2014'!$C$2:$L$186,2,0),0)</f>
        <v>0</v>
      </c>
      <c r="AW419" s="47">
        <f>+IFERROR(VLOOKUP(AW33,'נתוני מים 2014'!$C$2:$L$186,2,0),0)</f>
        <v>0</v>
      </c>
      <c r="AX419" s="47">
        <f>+IFERROR(VLOOKUP(AX33,'נתוני מים 2014'!$C$2:$L$186,2,0),0)</f>
        <v>0</v>
      </c>
      <c r="AY419" s="47">
        <f>+IFERROR(VLOOKUP(AY33,'נתוני מים 2014'!$C$2:$L$186,2,0),0)</f>
        <v>0</v>
      </c>
      <c r="AZ419" s="47">
        <f>+IFERROR(VLOOKUP(AZ33,'נתוני מים 2014'!$C$2:$L$186,2,0),0)</f>
        <v>0</v>
      </c>
      <c r="BA419" s="47">
        <f>+IFERROR(VLOOKUP(BA33,'נתוני מים 2014'!$C$2:$L$186,2,0),0)</f>
        <v>0</v>
      </c>
      <c r="BB419" s="47">
        <f>+IFERROR(VLOOKUP(BB33,'נתוני מים 2014'!$C$2:$L$186,2,0),0)</f>
        <v>0</v>
      </c>
      <c r="BC419" s="47">
        <f>+IFERROR(VLOOKUP(BC33,'נתוני מים 2014'!$C$2:$L$186,2,0),0)</f>
        <v>0</v>
      </c>
      <c r="BD419" s="47">
        <f>+IFERROR(VLOOKUP(BD33,'נתוני מים 2014'!$C$2:$L$186,2,0),0)</f>
        <v>0</v>
      </c>
      <c r="BE419" s="47">
        <f>+IFERROR(VLOOKUP(BE33,'נתוני מים 2014'!$C$2:$L$186,2,0),0)</f>
        <v>0</v>
      </c>
      <c r="BF419" s="47">
        <f>+IFERROR(VLOOKUP(BF33,'נתוני מים 2014'!$C$2:$L$186,2,0),0)</f>
        <v>0</v>
      </c>
    </row>
    <row r="420" spans="1:58" x14ac:dyDescent="0.2">
      <c r="B420" s="1">
        <v>27</v>
      </c>
      <c r="C420" s="47">
        <f>+IFERROR(VLOOKUP(C34,'נתוני מים 2014'!$C$2:$L$186,2,0),0)</f>
        <v>0</v>
      </c>
      <c r="D420" s="47">
        <f>+IFERROR(VLOOKUP(D34,'נתוני מים 2014'!$C$2:$L$186,2,0),0)</f>
        <v>0</v>
      </c>
      <c r="E420" s="47">
        <f>+IFERROR(VLOOKUP(E34,'נתוני מים 2014'!$C$2:$L$186,2,0),0)</f>
        <v>0</v>
      </c>
      <c r="F420" s="47">
        <f>+IFERROR(VLOOKUP(F34,'נתוני מים 2014'!$C$2:$L$186,2,0),0)</f>
        <v>0</v>
      </c>
      <c r="G420" s="47">
        <f>+IFERROR(VLOOKUP(G34,'נתוני מים 2014'!$C$2:$L$186,2,0),0)</f>
        <v>0</v>
      </c>
      <c r="H420" s="47">
        <f>+IFERROR(VLOOKUP(H34,'נתוני מים 2014'!$C$2:$L$186,2,0),0)</f>
        <v>0</v>
      </c>
      <c r="I420" s="47">
        <f>+IFERROR(VLOOKUP(I34,'נתוני מים 2014'!$C$2:$L$186,2,0),0)</f>
        <v>0</v>
      </c>
      <c r="J420" s="47">
        <f>+IFERROR(VLOOKUP(J34,'נתוני מים 2014'!$C$2:$L$186,2,0),0)</f>
        <v>0</v>
      </c>
      <c r="K420" s="47">
        <f>+IFERROR(VLOOKUP(K34,'נתוני מים 2014'!$C$2:$L$186,2,0),0)</f>
        <v>0</v>
      </c>
      <c r="L420" s="47">
        <f>+IFERROR(VLOOKUP(L34,'נתוני מים 2014'!$C$2:$L$186,2,0),0)</f>
        <v>0</v>
      </c>
      <c r="M420" s="47">
        <f>+IFERROR(VLOOKUP(M34,'נתוני מים 2014'!$C$2:$L$186,2,0),0)</f>
        <v>0</v>
      </c>
      <c r="N420" s="47">
        <f>+IFERROR(VLOOKUP(N34,'נתוני מים 2014'!$C$2:$L$186,2,0),0)</f>
        <v>0</v>
      </c>
      <c r="O420" s="47">
        <f>+IFERROR(VLOOKUP(O34,'נתוני מים 2014'!$C$2:$L$186,2,0),0)</f>
        <v>0</v>
      </c>
      <c r="P420" s="47">
        <f>+IFERROR(VLOOKUP(P34,'נתוני מים 2014'!$C$2:$L$186,2,0),0)</f>
        <v>0</v>
      </c>
      <c r="Q420" s="47">
        <f>+IFERROR(VLOOKUP(Q34,'נתוני מים 2014'!$C$2:$L$186,2,0),0)</f>
        <v>0</v>
      </c>
      <c r="R420" s="47">
        <f>+IFERROR(VLOOKUP(R34,'נתוני מים 2014'!$C$2:$L$186,2,0),0)</f>
        <v>0</v>
      </c>
      <c r="S420" s="47">
        <f>+IFERROR(VLOOKUP(S34,'נתוני מים 2014'!$C$2:$L$186,2,0),0)</f>
        <v>0</v>
      </c>
      <c r="T420" s="47">
        <f>+IFERROR(VLOOKUP(T34,'נתוני מים 2014'!$C$2:$L$186,2,0),0)</f>
        <v>0</v>
      </c>
      <c r="U420" s="47">
        <f>+IFERROR(VLOOKUP(U34,'נתוני מים 2014'!$C$2:$L$186,2,0),0)</f>
        <v>0</v>
      </c>
      <c r="V420" s="47">
        <f>+IFERROR(VLOOKUP(V34,'נתוני מים 2014'!$C$2:$L$186,2,0),0)</f>
        <v>0</v>
      </c>
      <c r="W420" s="47">
        <f>+IFERROR(VLOOKUP(W34,'נתוני מים 2014'!$C$2:$L$186,2,0),0)</f>
        <v>0</v>
      </c>
      <c r="X420" s="47">
        <f>+IFERROR(VLOOKUP(X34,'נתוני מים 2014'!$C$2:$L$186,2,0),0)</f>
        <v>0</v>
      </c>
      <c r="Y420" s="47">
        <f>+IFERROR(VLOOKUP(Y34,'נתוני מים 2014'!$C$2:$L$186,2,0),0)</f>
        <v>0</v>
      </c>
      <c r="Z420" s="47">
        <f>+IFERROR(VLOOKUP(Z34,'נתוני מים 2014'!$C$2:$L$186,2,0),0)</f>
        <v>0</v>
      </c>
      <c r="AA420" s="47">
        <f>+IFERROR(VLOOKUP(AA34,'נתוני מים 2014'!$C$2:$L$186,2,0),0)</f>
        <v>0</v>
      </c>
      <c r="AB420" s="47">
        <f>+IFERROR(VLOOKUP(AB34,'נתוני מים 2014'!$C$2:$L$186,2,0),0)</f>
        <v>0</v>
      </c>
      <c r="AC420" s="47">
        <f>+IFERROR(VLOOKUP(AC34,'נתוני מים 2014'!$C$2:$L$186,2,0),0)</f>
        <v>0</v>
      </c>
      <c r="AD420" s="47">
        <f>+IFERROR(VLOOKUP(AD34,'נתוני מים 2014'!$C$2:$L$186,2,0),0)</f>
        <v>0</v>
      </c>
      <c r="AE420" s="47">
        <f>+IFERROR(VLOOKUP(AE34,'נתוני מים 2014'!$C$2:$L$186,2,0),0)</f>
        <v>0</v>
      </c>
      <c r="AF420" s="47">
        <f>+IFERROR(VLOOKUP(AF34,'נתוני מים 2014'!$C$2:$L$186,2,0),0)</f>
        <v>0</v>
      </c>
      <c r="AG420" s="47">
        <f>+IFERROR(VLOOKUP(AG34,'נתוני מים 2014'!$C$2:$L$186,2,0),0)</f>
        <v>0</v>
      </c>
      <c r="AH420" s="47">
        <f>+IFERROR(VLOOKUP(AH34,'נתוני מים 2014'!$C$2:$L$186,2,0),0)</f>
        <v>0</v>
      </c>
      <c r="AI420" s="47">
        <f>+IFERROR(VLOOKUP(AI34,'נתוני מים 2014'!$C$2:$L$186,2,0),0)</f>
        <v>0</v>
      </c>
      <c r="AJ420" s="47">
        <f>+IFERROR(VLOOKUP(AJ34,'נתוני מים 2014'!$C$2:$L$186,2,0),0)</f>
        <v>0</v>
      </c>
      <c r="AK420" s="47">
        <f>+IFERROR(VLOOKUP(AK34,'נתוני מים 2014'!$C$2:$L$186,2,0),0)</f>
        <v>0</v>
      </c>
      <c r="AL420" s="47">
        <f>+IFERROR(VLOOKUP(AL34,'נתוני מים 2014'!$C$2:$L$186,2,0),0)</f>
        <v>0</v>
      </c>
      <c r="AM420" s="47">
        <f>+IFERROR(VLOOKUP(AM34,'נתוני מים 2014'!$C$2:$L$186,2,0),0)</f>
        <v>0</v>
      </c>
      <c r="AN420" s="47">
        <f>+IFERROR(VLOOKUP(AN34,'נתוני מים 2014'!$C$2:$L$186,2,0),0)</f>
        <v>0</v>
      </c>
      <c r="AO420" s="47">
        <f>+IFERROR(VLOOKUP(AO34,'נתוני מים 2014'!$C$2:$L$186,2,0),0)</f>
        <v>0</v>
      </c>
      <c r="AP420" s="47">
        <f>+IFERROR(VLOOKUP(AP34,'נתוני מים 2014'!$C$2:$L$186,2,0),0)</f>
        <v>0</v>
      </c>
      <c r="AQ420" s="47">
        <f>+IFERROR(VLOOKUP(AQ34,'נתוני מים 2014'!$C$2:$L$186,2,0),0)</f>
        <v>0</v>
      </c>
      <c r="AR420" s="47">
        <f>+IFERROR(VLOOKUP(AR34,'נתוני מים 2014'!$C$2:$L$186,2,0),0)</f>
        <v>0</v>
      </c>
      <c r="AS420" s="47">
        <f>+IFERROR(VLOOKUP(AS34,'נתוני מים 2014'!$C$2:$L$186,2,0),0)</f>
        <v>0</v>
      </c>
      <c r="AT420" s="47">
        <f>+IFERROR(VLOOKUP(AT34,'נתוני מים 2014'!$C$2:$L$186,2,0),0)</f>
        <v>0</v>
      </c>
      <c r="AU420" s="47">
        <f>+IFERROR(VLOOKUP(AU34,'נתוני מים 2014'!$C$2:$L$186,2,0),0)</f>
        <v>0</v>
      </c>
      <c r="AV420" s="47">
        <f>+IFERROR(VLOOKUP(AV34,'נתוני מים 2014'!$C$2:$L$186,2,0),0)</f>
        <v>0</v>
      </c>
      <c r="AW420" s="47">
        <f>+IFERROR(VLOOKUP(AW34,'נתוני מים 2014'!$C$2:$L$186,2,0),0)</f>
        <v>0</v>
      </c>
      <c r="AX420" s="47">
        <f>+IFERROR(VLOOKUP(AX34,'נתוני מים 2014'!$C$2:$L$186,2,0),0)</f>
        <v>0</v>
      </c>
      <c r="AY420" s="47">
        <f>+IFERROR(VLOOKUP(AY34,'נתוני מים 2014'!$C$2:$L$186,2,0),0)</f>
        <v>0</v>
      </c>
      <c r="AZ420" s="47">
        <f>+IFERROR(VLOOKUP(AZ34,'נתוני מים 2014'!$C$2:$L$186,2,0),0)</f>
        <v>0</v>
      </c>
      <c r="BA420" s="47">
        <f>+IFERROR(VLOOKUP(BA34,'נתוני מים 2014'!$C$2:$L$186,2,0),0)</f>
        <v>0</v>
      </c>
      <c r="BB420" s="47">
        <f>+IFERROR(VLOOKUP(BB34,'נתוני מים 2014'!$C$2:$L$186,2,0),0)</f>
        <v>0</v>
      </c>
      <c r="BC420" s="47">
        <f>+IFERROR(VLOOKUP(BC34,'נתוני מים 2014'!$C$2:$L$186,2,0),0)</f>
        <v>0</v>
      </c>
      <c r="BD420" s="47">
        <f>+IFERROR(VLOOKUP(BD34,'נתוני מים 2014'!$C$2:$L$186,2,0),0)</f>
        <v>0</v>
      </c>
      <c r="BE420" s="47">
        <f>+IFERROR(VLOOKUP(BE34,'נתוני מים 2014'!$C$2:$L$186,2,0),0)</f>
        <v>0</v>
      </c>
      <c r="BF420" s="47">
        <f>+IFERROR(VLOOKUP(BF34,'נתוני מים 2014'!$C$2:$L$186,2,0),0)</f>
        <v>0</v>
      </c>
    </row>
    <row r="421" spans="1:58" x14ac:dyDescent="0.2">
      <c r="B421" s="1">
        <v>28</v>
      </c>
      <c r="C421" s="47">
        <f>+IFERROR(VLOOKUP(C35,'נתוני מים 2014'!$C$2:$L$186,2,0),0)</f>
        <v>0</v>
      </c>
      <c r="D421" s="47">
        <f>+IFERROR(VLOOKUP(D35,'נתוני מים 2014'!$C$2:$L$186,2,0),0)</f>
        <v>0</v>
      </c>
      <c r="E421" s="47">
        <f>+IFERROR(VLOOKUP(E35,'נתוני מים 2014'!$C$2:$L$186,2,0),0)</f>
        <v>0</v>
      </c>
      <c r="F421" s="47">
        <f>+IFERROR(VLOOKUP(F35,'נתוני מים 2014'!$C$2:$L$186,2,0),0)</f>
        <v>0</v>
      </c>
      <c r="G421" s="47">
        <f>+IFERROR(VLOOKUP(G35,'נתוני מים 2014'!$C$2:$L$186,2,0),0)</f>
        <v>0</v>
      </c>
      <c r="H421" s="47">
        <f>+IFERROR(VLOOKUP(H35,'נתוני מים 2014'!$C$2:$L$186,2,0),0)</f>
        <v>0</v>
      </c>
      <c r="I421" s="47">
        <f>+IFERROR(VLOOKUP(I35,'נתוני מים 2014'!$C$2:$L$186,2,0),0)</f>
        <v>0</v>
      </c>
      <c r="J421" s="47">
        <f>+IFERROR(VLOOKUP(J35,'נתוני מים 2014'!$C$2:$L$186,2,0),0)</f>
        <v>0</v>
      </c>
      <c r="K421" s="47">
        <f>+IFERROR(VLOOKUP(K35,'נתוני מים 2014'!$C$2:$L$186,2,0),0)</f>
        <v>0</v>
      </c>
      <c r="L421" s="47">
        <f>+IFERROR(VLOOKUP(L35,'נתוני מים 2014'!$C$2:$L$186,2,0),0)</f>
        <v>0</v>
      </c>
      <c r="M421" s="47">
        <f>+IFERROR(VLOOKUP(M35,'נתוני מים 2014'!$C$2:$L$186,2,0),0)</f>
        <v>0</v>
      </c>
      <c r="N421" s="47">
        <f>+IFERROR(VLOOKUP(N35,'נתוני מים 2014'!$C$2:$L$186,2,0),0)</f>
        <v>0</v>
      </c>
      <c r="O421" s="47">
        <f>+IFERROR(VLOOKUP(O35,'נתוני מים 2014'!$C$2:$L$186,2,0),0)</f>
        <v>0</v>
      </c>
      <c r="P421" s="47">
        <f>+IFERROR(VLOOKUP(P35,'נתוני מים 2014'!$C$2:$L$186,2,0),0)</f>
        <v>0</v>
      </c>
      <c r="Q421" s="47">
        <f>+IFERROR(VLOOKUP(Q35,'נתוני מים 2014'!$C$2:$L$186,2,0),0)</f>
        <v>0</v>
      </c>
      <c r="R421" s="47">
        <f>+IFERROR(VLOOKUP(R35,'נתוני מים 2014'!$C$2:$L$186,2,0),0)</f>
        <v>0</v>
      </c>
      <c r="S421" s="47">
        <f>+IFERROR(VLOOKUP(S35,'נתוני מים 2014'!$C$2:$L$186,2,0),0)</f>
        <v>0</v>
      </c>
      <c r="T421" s="47">
        <f>+IFERROR(VLOOKUP(T35,'נתוני מים 2014'!$C$2:$L$186,2,0),0)</f>
        <v>0</v>
      </c>
      <c r="U421" s="47">
        <f>+IFERROR(VLOOKUP(U35,'נתוני מים 2014'!$C$2:$L$186,2,0),0)</f>
        <v>0</v>
      </c>
      <c r="V421" s="47">
        <f>+IFERROR(VLOOKUP(V35,'נתוני מים 2014'!$C$2:$L$186,2,0),0)</f>
        <v>0</v>
      </c>
      <c r="W421" s="47">
        <f>+IFERROR(VLOOKUP(W35,'נתוני מים 2014'!$C$2:$L$186,2,0),0)</f>
        <v>0</v>
      </c>
      <c r="X421" s="47">
        <f>+IFERROR(VLOOKUP(X35,'נתוני מים 2014'!$C$2:$L$186,2,0),0)</f>
        <v>0</v>
      </c>
      <c r="Y421" s="47">
        <f>+IFERROR(VLOOKUP(Y35,'נתוני מים 2014'!$C$2:$L$186,2,0),0)</f>
        <v>0</v>
      </c>
      <c r="Z421" s="47">
        <f>+IFERROR(VLOOKUP(Z35,'נתוני מים 2014'!$C$2:$L$186,2,0),0)</f>
        <v>0</v>
      </c>
      <c r="AA421" s="47">
        <f>+IFERROR(VLOOKUP(AA35,'נתוני מים 2014'!$C$2:$L$186,2,0),0)</f>
        <v>0</v>
      </c>
      <c r="AB421" s="47">
        <f>+IFERROR(VLOOKUP(AB35,'נתוני מים 2014'!$C$2:$L$186,2,0),0)</f>
        <v>0</v>
      </c>
      <c r="AC421" s="47">
        <f>+IFERROR(VLOOKUP(AC35,'נתוני מים 2014'!$C$2:$L$186,2,0),0)</f>
        <v>0</v>
      </c>
      <c r="AD421" s="47">
        <f>+IFERROR(VLOOKUP(AD35,'נתוני מים 2014'!$C$2:$L$186,2,0),0)</f>
        <v>0</v>
      </c>
      <c r="AE421" s="47">
        <f>+IFERROR(VLOOKUP(AE35,'נתוני מים 2014'!$C$2:$L$186,2,0),0)</f>
        <v>0</v>
      </c>
      <c r="AF421" s="47">
        <f>+IFERROR(VLOOKUP(AF35,'נתוני מים 2014'!$C$2:$L$186,2,0),0)</f>
        <v>0</v>
      </c>
      <c r="AG421" s="47">
        <f>+IFERROR(VLOOKUP(AG35,'נתוני מים 2014'!$C$2:$L$186,2,0),0)</f>
        <v>0</v>
      </c>
      <c r="AH421" s="47">
        <f>+IFERROR(VLOOKUP(AH35,'נתוני מים 2014'!$C$2:$L$186,2,0),0)</f>
        <v>0</v>
      </c>
      <c r="AI421" s="47">
        <f>+IFERROR(VLOOKUP(AI35,'נתוני מים 2014'!$C$2:$L$186,2,0),0)</f>
        <v>0</v>
      </c>
      <c r="AJ421" s="47">
        <f>+IFERROR(VLOOKUP(AJ35,'נתוני מים 2014'!$C$2:$L$186,2,0),0)</f>
        <v>0</v>
      </c>
      <c r="AK421" s="47">
        <f>+IFERROR(VLOOKUP(AK35,'נתוני מים 2014'!$C$2:$L$186,2,0),0)</f>
        <v>0</v>
      </c>
      <c r="AL421" s="47">
        <f>+IFERROR(VLOOKUP(AL35,'נתוני מים 2014'!$C$2:$L$186,2,0),0)</f>
        <v>0</v>
      </c>
      <c r="AM421" s="47">
        <f>+IFERROR(VLOOKUP(AM35,'נתוני מים 2014'!$C$2:$L$186,2,0),0)</f>
        <v>0</v>
      </c>
      <c r="AN421" s="47">
        <f>+IFERROR(VLOOKUP(AN35,'נתוני מים 2014'!$C$2:$L$186,2,0),0)</f>
        <v>0</v>
      </c>
      <c r="AO421" s="47">
        <f>+IFERROR(VLOOKUP(AO35,'נתוני מים 2014'!$C$2:$L$186,2,0),0)</f>
        <v>0</v>
      </c>
      <c r="AP421" s="47">
        <f>+IFERROR(VLOOKUP(AP35,'נתוני מים 2014'!$C$2:$L$186,2,0),0)</f>
        <v>0</v>
      </c>
      <c r="AQ421" s="47">
        <f>+IFERROR(VLOOKUP(AQ35,'נתוני מים 2014'!$C$2:$L$186,2,0),0)</f>
        <v>0</v>
      </c>
      <c r="AR421" s="47">
        <f>+IFERROR(VLOOKUP(AR35,'נתוני מים 2014'!$C$2:$L$186,2,0),0)</f>
        <v>0</v>
      </c>
      <c r="AS421" s="47">
        <f>+IFERROR(VLOOKUP(AS35,'נתוני מים 2014'!$C$2:$L$186,2,0),0)</f>
        <v>0</v>
      </c>
      <c r="AT421" s="47">
        <f>+IFERROR(VLOOKUP(AT35,'נתוני מים 2014'!$C$2:$L$186,2,0),0)</f>
        <v>0</v>
      </c>
      <c r="AU421" s="47">
        <f>+IFERROR(VLOOKUP(AU35,'נתוני מים 2014'!$C$2:$L$186,2,0),0)</f>
        <v>0</v>
      </c>
      <c r="AV421" s="47">
        <f>+IFERROR(VLOOKUP(AV35,'נתוני מים 2014'!$C$2:$L$186,2,0),0)</f>
        <v>0</v>
      </c>
      <c r="AW421" s="47">
        <f>+IFERROR(VLOOKUP(AW35,'נתוני מים 2014'!$C$2:$L$186,2,0),0)</f>
        <v>0</v>
      </c>
      <c r="AX421" s="47">
        <f>+IFERROR(VLOOKUP(AX35,'נתוני מים 2014'!$C$2:$L$186,2,0),0)</f>
        <v>0</v>
      </c>
      <c r="AY421" s="47">
        <f>+IFERROR(VLOOKUP(AY35,'נתוני מים 2014'!$C$2:$L$186,2,0),0)</f>
        <v>0</v>
      </c>
      <c r="AZ421" s="47">
        <f>+IFERROR(VLOOKUP(AZ35,'נתוני מים 2014'!$C$2:$L$186,2,0),0)</f>
        <v>0</v>
      </c>
      <c r="BA421" s="47">
        <f>+IFERROR(VLOOKUP(BA35,'נתוני מים 2014'!$C$2:$L$186,2,0),0)</f>
        <v>0</v>
      </c>
      <c r="BB421" s="47">
        <f>+IFERROR(VLOOKUP(BB35,'נתוני מים 2014'!$C$2:$L$186,2,0),0)</f>
        <v>0</v>
      </c>
      <c r="BC421" s="47">
        <f>+IFERROR(VLOOKUP(BC35,'נתוני מים 2014'!$C$2:$L$186,2,0),0)</f>
        <v>0</v>
      </c>
      <c r="BD421" s="47">
        <f>+IFERROR(VLOOKUP(BD35,'נתוני מים 2014'!$C$2:$L$186,2,0),0)</f>
        <v>0</v>
      </c>
      <c r="BE421" s="47">
        <f>+IFERROR(VLOOKUP(BE35,'נתוני מים 2014'!$C$2:$L$186,2,0),0)</f>
        <v>0</v>
      </c>
      <c r="BF421" s="47">
        <f>+IFERROR(VLOOKUP(BF35,'נתוני מים 2014'!$C$2:$L$186,2,0),0)</f>
        <v>0</v>
      </c>
    </row>
    <row r="422" spans="1:58" x14ac:dyDescent="0.2">
      <c r="B422" s="1">
        <v>29</v>
      </c>
      <c r="C422" s="47">
        <f>+IFERROR(VLOOKUP(C36,'נתוני מים 2014'!$C$2:$L$186,2,0),0)</f>
        <v>0</v>
      </c>
      <c r="D422" s="47">
        <f>+IFERROR(VLOOKUP(D36,'נתוני מים 2014'!$C$2:$L$186,2,0),0)</f>
        <v>0</v>
      </c>
      <c r="E422" s="47">
        <f>+IFERROR(VLOOKUP(E36,'נתוני מים 2014'!$C$2:$L$186,2,0),0)</f>
        <v>0</v>
      </c>
      <c r="F422" s="47">
        <f>+IFERROR(VLOOKUP(F36,'נתוני מים 2014'!$C$2:$L$186,2,0),0)</f>
        <v>0</v>
      </c>
      <c r="G422" s="47">
        <f>+IFERROR(VLOOKUP(G36,'נתוני מים 2014'!$C$2:$L$186,2,0),0)</f>
        <v>0</v>
      </c>
      <c r="H422" s="47">
        <f>+IFERROR(VLOOKUP(H36,'נתוני מים 2014'!$C$2:$L$186,2,0),0)</f>
        <v>0</v>
      </c>
      <c r="I422" s="47">
        <f>+IFERROR(VLOOKUP(I36,'נתוני מים 2014'!$C$2:$L$186,2,0),0)</f>
        <v>0</v>
      </c>
      <c r="J422" s="47">
        <f>+IFERROR(VLOOKUP(J36,'נתוני מים 2014'!$C$2:$L$186,2,0),0)</f>
        <v>0</v>
      </c>
      <c r="K422" s="47">
        <f>+IFERROR(VLOOKUP(K36,'נתוני מים 2014'!$C$2:$L$186,2,0),0)</f>
        <v>0</v>
      </c>
      <c r="L422" s="47">
        <f>+IFERROR(VLOOKUP(L36,'נתוני מים 2014'!$C$2:$L$186,2,0),0)</f>
        <v>0</v>
      </c>
      <c r="M422" s="47">
        <f>+IFERROR(VLOOKUP(M36,'נתוני מים 2014'!$C$2:$L$186,2,0),0)</f>
        <v>0</v>
      </c>
      <c r="N422" s="47">
        <f>+IFERROR(VLOOKUP(N36,'נתוני מים 2014'!$C$2:$L$186,2,0),0)</f>
        <v>0</v>
      </c>
      <c r="O422" s="47">
        <f>+IFERROR(VLOOKUP(O36,'נתוני מים 2014'!$C$2:$L$186,2,0),0)</f>
        <v>0</v>
      </c>
      <c r="P422" s="47">
        <f>+IFERROR(VLOOKUP(P36,'נתוני מים 2014'!$C$2:$L$186,2,0),0)</f>
        <v>0</v>
      </c>
      <c r="Q422" s="47">
        <f>+IFERROR(VLOOKUP(Q36,'נתוני מים 2014'!$C$2:$L$186,2,0),0)</f>
        <v>0</v>
      </c>
      <c r="R422" s="47">
        <f>+IFERROR(VLOOKUP(R36,'נתוני מים 2014'!$C$2:$L$186,2,0),0)</f>
        <v>0</v>
      </c>
      <c r="S422" s="47">
        <f>+IFERROR(VLOOKUP(S36,'נתוני מים 2014'!$C$2:$L$186,2,0),0)</f>
        <v>0</v>
      </c>
      <c r="T422" s="47">
        <f>+IFERROR(VLOOKUP(T36,'נתוני מים 2014'!$C$2:$L$186,2,0),0)</f>
        <v>0</v>
      </c>
      <c r="U422" s="47">
        <f>+IFERROR(VLOOKUP(U36,'נתוני מים 2014'!$C$2:$L$186,2,0),0)</f>
        <v>0</v>
      </c>
      <c r="V422" s="47">
        <f>+IFERROR(VLOOKUP(V36,'נתוני מים 2014'!$C$2:$L$186,2,0),0)</f>
        <v>0</v>
      </c>
      <c r="W422" s="47">
        <f>+IFERROR(VLOOKUP(W36,'נתוני מים 2014'!$C$2:$L$186,2,0),0)</f>
        <v>0</v>
      </c>
      <c r="X422" s="47">
        <f>+IFERROR(VLOOKUP(X36,'נתוני מים 2014'!$C$2:$L$186,2,0),0)</f>
        <v>0</v>
      </c>
      <c r="Y422" s="47">
        <f>+IFERROR(VLOOKUP(Y36,'נתוני מים 2014'!$C$2:$L$186,2,0),0)</f>
        <v>0</v>
      </c>
      <c r="Z422" s="47">
        <f>+IFERROR(VLOOKUP(Z36,'נתוני מים 2014'!$C$2:$L$186,2,0),0)</f>
        <v>0</v>
      </c>
      <c r="AA422" s="47">
        <f>+IFERROR(VLOOKUP(AA36,'נתוני מים 2014'!$C$2:$L$186,2,0),0)</f>
        <v>0</v>
      </c>
      <c r="AB422" s="47">
        <f>+IFERROR(VLOOKUP(AB36,'נתוני מים 2014'!$C$2:$L$186,2,0),0)</f>
        <v>0</v>
      </c>
      <c r="AC422" s="47">
        <f>+IFERROR(VLOOKUP(AC36,'נתוני מים 2014'!$C$2:$L$186,2,0),0)</f>
        <v>0</v>
      </c>
      <c r="AD422" s="47">
        <f>+IFERROR(VLOOKUP(AD36,'נתוני מים 2014'!$C$2:$L$186,2,0),0)</f>
        <v>0</v>
      </c>
      <c r="AE422" s="47">
        <f>+IFERROR(VLOOKUP(AE36,'נתוני מים 2014'!$C$2:$L$186,2,0),0)</f>
        <v>0</v>
      </c>
      <c r="AF422" s="47">
        <f>+IFERROR(VLOOKUP(AF36,'נתוני מים 2014'!$C$2:$L$186,2,0),0)</f>
        <v>0</v>
      </c>
      <c r="AG422" s="47">
        <f>+IFERROR(VLOOKUP(AG36,'נתוני מים 2014'!$C$2:$L$186,2,0),0)</f>
        <v>0</v>
      </c>
      <c r="AH422" s="47">
        <f>+IFERROR(VLOOKUP(AH36,'נתוני מים 2014'!$C$2:$L$186,2,0),0)</f>
        <v>0</v>
      </c>
      <c r="AI422" s="47">
        <f>+IFERROR(VLOOKUP(AI36,'נתוני מים 2014'!$C$2:$L$186,2,0),0)</f>
        <v>0</v>
      </c>
      <c r="AJ422" s="47">
        <f>+IFERROR(VLOOKUP(AJ36,'נתוני מים 2014'!$C$2:$L$186,2,0),0)</f>
        <v>0</v>
      </c>
      <c r="AK422" s="47">
        <f>+IFERROR(VLOOKUP(AK36,'נתוני מים 2014'!$C$2:$L$186,2,0),0)</f>
        <v>0</v>
      </c>
      <c r="AL422" s="47">
        <f>+IFERROR(VLOOKUP(AL36,'נתוני מים 2014'!$C$2:$L$186,2,0),0)</f>
        <v>0</v>
      </c>
      <c r="AM422" s="47">
        <f>+IFERROR(VLOOKUP(AM36,'נתוני מים 2014'!$C$2:$L$186,2,0),0)</f>
        <v>0</v>
      </c>
      <c r="AN422" s="47">
        <f>+IFERROR(VLOOKUP(AN36,'נתוני מים 2014'!$C$2:$L$186,2,0),0)</f>
        <v>0</v>
      </c>
      <c r="AO422" s="47">
        <f>+IFERROR(VLOOKUP(AO36,'נתוני מים 2014'!$C$2:$L$186,2,0),0)</f>
        <v>0</v>
      </c>
      <c r="AP422" s="47">
        <f>+IFERROR(VLOOKUP(AP36,'נתוני מים 2014'!$C$2:$L$186,2,0),0)</f>
        <v>0</v>
      </c>
      <c r="AQ422" s="47">
        <f>+IFERROR(VLOOKUP(AQ36,'נתוני מים 2014'!$C$2:$L$186,2,0),0)</f>
        <v>0</v>
      </c>
      <c r="AR422" s="47">
        <f>+IFERROR(VLOOKUP(AR36,'נתוני מים 2014'!$C$2:$L$186,2,0),0)</f>
        <v>0</v>
      </c>
      <c r="AS422" s="47">
        <f>+IFERROR(VLOOKUP(AS36,'נתוני מים 2014'!$C$2:$L$186,2,0),0)</f>
        <v>0</v>
      </c>
      <c r="AT422" s="47">
        <f>+IFERROR(VLOOKUP(AT36,'נתוני מים 2014'!$C$2:$L$186,2,0),0)</f>
        <v>0</v>
      </c>
      <c r="AU422" s="47">
        <f>+IFERROR(VLOOKUP(AU36,'נתוני מים 2014'!$C$2:$L$186,2,0),0)</f>
        <v>0</v>
      </c>
      <c r="AV422" s="47">
        <f>+IFERROR(VLOOKUP(AV36,'נתוני מים 2014'!$C$2:$L$186,2,0),0)</f>
        <v>0</v>
      </c>
      <c r="AW422" s="47">
        <f>+IFERROR(VLOOKUP(AW36,'נתוני מים 2014'!$C$2:$L$186,2,0),0)</f>
        <v>0</v>
      </c>
      <c r="AX422" s="47">
        <f>+IFERROR(VLOOKUP(AX36,'נתוני מים 2014'!$C$2:$L$186,2,0),0)</f>
        <v>0</v>
      </c>
      <c r="AY422" s="47">
        <f>+IFERROR(VLOOKUP(AY36,'נתוני מים 2014'!$C$2:$L$186,2,0),0)</f>
        <v>0</v>
      </c>
      <c r="AZ422" s="47">
        <f>+IFERROR(VLOOKUP(AZ36,'נתוני מים 2014'!$C$2:$L$186,2,0),0)</f>
        <v>0</v>
      </c>
      <c r="BA422" s="47">
        <f>+IFERROR(VLOOKUP(BA36,'נתוני מים 2014'!$C$2:$L$186,2,0),0)</f>
        <v>0</v>
      </c>
      <c r="BB422" s="47">
        <f>+IFERROR(VLOOKUP(BB36,'נתוני מים 2014'!$C$2:$L$186,2,0),0)</f>
        <v>0</v>
      </c>
      <c r="BC422" s="47">
        <f>+IFERROR(VLOOKUP(BC36,'נתוני מים 2014'!$C$2:$L$186,2,0),0)</f>
        <v>0</v>
      </c>
      <c r="BD422" s="47">
        <f>+IFERROR(VLOOKUP(BD36,'נתוני מים 2014'!$C$2:$L$186,2,0),0)</f>
        <v>0</v>
      </c>
      <c r="BE422" s="47">
        <f>+IFERROR(VLOOKUP(BE36,'נתוני מים 2014'!$C$2:$L$186,2,0),0)</f>
        <v>0</v>
      </c>
      <c r="BF422" s="47">
        <f>+IFERROR(VLOOKUP(BF36,'נתוני מים 2014'!$C$2:$L$186,2,0),0)</f>
        <v>0</v>
      </c>
    </row>
    <row r="423" spans="1:58" x14ac:dyDescent="0.2">
      <c r="B423" s="1">
        <v>30</v>
      </c>
      <c r="C423" s="47">
        <f>+IFERROR(VLOOKUP(C37,'נתוני מים 2014'!$C$2:$L$186,2,0),0)</f>
        <v>0</v>
      </c>
      <c r="D423" s="47">
        <f>+IFERROR(VLOOKUP(D37,'נתוני מים 2014'!$C$2:$L$186,2,0),0)</f>
        <v>0</v>
      </c>
      <c r="E423" s="47">
        <f>+IFERROR(VLOOKUP(E37,'נתוני מים 2014'!$C$2:$L$186,2,0),0)</f>
        <v>0</v>
      </c>
      <c r="F423" s="47">
        <f>+IFERROR(VLOOKUP(F37,'נתוני מים 2014'!$C$2:$L$186,2,0),0)</f>
        <v>0</v>
      </c>
      <c r="G423" s="47">
        <f>+IFERROR(VLOOKUP(G37,'נתוני מים 2014'!$C$2:$L$186,2,0),0)</f>
        <v>0</v>
      </c>
      <c r="H423" s="47">
        <f>+IFERROR(VLOOKUP(H37,'נתוני מים 2014'!$C$2:$L$186,2,0),0)</f>
        <v>0</v>
      </c>
      <c r="I423" s="47">
        <f>+IFERROR(VLOOKUP(I37,'נתוני מים 2014'!$C$2:$L$186,2,0),0)</f>
        <v>0</v>
      </c>
      <c r="J423" s="47">
        <f>+IFERROR(VLOOKUP(J37,'נתוני מים 2014'!$C$2:$L$186,2,0),0)</f>
        <v>0</v>
      </c>
      <c r="K423" s="47">
        <f>+IFERROR(VLOOKUP(K37,'נתוני מים 2014'!$C$2:$L$186,2,0),0)</f>
        <v>0</v>
      </c>
      <c r="L423" s="47">
        <f>+IFERROR(VLOOKUP(L37,'נתוני מים 2014'!$C$2:$L$186,2,0),0)</f>
        <v>0</v>
      </c>
      <c r="M423" s="47">
        <f>+IFERROR(VLOOKUP(M37,'נתוני מים 2014'!$C$2:$L$186,2,0),0)</f>
        <v>0</v>
      </c>
      <c r="N423" s="47">
        <f>+IFERROR(VLOOKUP(N37,'נתוני מים 2014'!$C$2:$L$186,2,0),0)</f>
        <v>0</v>
      </c>
      <c r="O423" s="47">
        <f>+IFERROR(VLOOKUP(O37,'נתוני מים 2014'!$C$2:$L$186,2,0),0)</f>
        <v>0</v>
      </c>
      <c r="P423" s="47">
        <f>+IFERROR(VLOOKUP(P37,'נתוני מים 2014'!$C$2:$L$186,2,0),0)</f>
        <v>0</v>
      </c>
      <c r="Q423" s="47">
        <f>+IFERROR(VLOOKUP(Q37,'נתוני מים 2014'!$C$2:$L$186,2,0),0)</f>
        <v>0</v>
      </c>
      <c r="R423" s="47">
        <f>+IFERROR(VLOOKUP(R37,'נתוני מים 2014'!$C$2:$L$186,2,0),0)</f>
        <v>0</v>
      </c>
      <c r="S423" s="47">
        <f>+IFERROR(VLOOKUP(S37,'נתוני מים 2014'!$C$2:$L$186,2,0),0)</f>
        <v>0</v>
      </c>
      <c r="T423" s="47">
        <f>+IFERROR(VLOOKUP(T37,'נתוני מים 2014'!$C$2:$L$186,2,0),0)</f>
        <v>0</v>
      </c>
      <c r="U423" s="47">
        <f>+IFERROR(VLOOKUP(U37,'נתוני מים 2014'!$C$2:$L$186,2,0),0)</f>
        <v>0</v>
      </c>
      <c r="V423" s="47">
        <f>+IFERROR(VLOOKUP(V37,'נתוני מים 2014'!$C$2:$L$186,2,0),0)</f>
        <v>0</v>
      </c>
      <c r="W423" s="47">
        <f>+IFERROR(VLOOKUP(W37,'נתוני מים 2014'!$C$2:$L$186,2,0),0)</f>
        <v>0</v>
      </c>
      <c r="X423" s="47">
        <f>+IFERROR(VLOOKUP(X37,'נתוני מים 2014'!$C$2:$L$186,2,0),0)</f>
        <v>0</v>
      </c>
      <c r="Y423" s="47">
        <f>+IFERROR(VLOOKUP(Y37,'נתוני מים 2014'!$C$2:$L$186,2,0),0)</f>
        <v>0</v>
      </c>
      <c r="Z423" s="47">
        <f>+IFERROR(VLOOKUP(Z37,'נתוני מים 2014'!$C$2:$L$186,2,0),0)</f>
        <v>0</v>
      </c>
      <c r="AA423" s="47">
        <f>+IFERROR(VLOOKUP(AA37,'נתוני מים 2014'!$C$2:$L$186,2,0),0)</f>
        <v>0</v>
      </c>
      <c r="AB423" s="47">
        <f>+IFERROR(VLOOKUP(AB37,'נתוני מים 2014'!$C$2:$L$186,2,0),0)</f>
        <v>0</v>
      </c>
      <c r="AC423" s="47">
        <f>+IFERROR(VLOOKUP(AC37,'נתוני מים 2014'!$C$2:$L$186,2,0),0)</f>
        <v>0</v>
      </c>
      <c r="AD423" s="47">
        <f>+IFERROR(VLOOKUP(AD37,'נתוני מים 2014'!$C$2:$L$186,2,0),0)</f>
        <v>0</v>
      </c>
      <c r="AE423" s="47">
        <f>+IFERROR(VLOOKUP(AE37,'נתוני מים 2014'!$C$2:$L$186,2,0),0)</f>
        <v>0</v>
      </c>
      <c r="AF423" s="47">
        <f>+IFERROR(VLOOKUP(AF37,'נתוני מים 2014'!$C$2:$L$186,2,0),0)</f>
        <v>0</v>
      </c>
      <c r="AG423" s="47">
        <f>+IFERROR(VLOOKUP(AG37,'נתוני מים 2014'!$C$2:$L$186,2,0),0)</f>
        <v>0</v>
      </c>
      <c r="AH423" s="47">
        <f>+IFERROR(VLOOKUP(AH37,'נתוני מים 2014'!$C$2:$L$186,2,0),0)</f>
        <v>0</v>
      </c>
      <c r="AI423" s="47">
        <f>+IFERROR(VLOOKUP(AI37,'נתוני מים 2014'!$C$2:$L$186,2,0),0)</f>
        <v>0</v>
      </c>
      <c r="AJ423" s="47">
        <f>+IFERROR(VLOOKUP(AJ37,'נתוני מים 2014'!$C$2:$L$186,2,0),0)</f>
        <v>0</v>
      </c>
      <c r="AK423" s="47">
        <f>+IFERROR(VLOOKUP(AK37,'נתוני מים 2014'!$C$2:$L$186,2,0),0)</f>
        <v>0</v>
      </c>
      <c r="AL423" s="47">
        <f>+IFERROR(VLOOKUP(AL37,'נתוני מים 2014'!$C$2:$L$186,2,0),0)</f>
        <v>0</v>
      </c>
      <c r="AM423" s="47">
        <f>+IFERROR(VLOOKUP(AM37,'נתוני מים 2014'!$C$2:$L$186,2,0),0)</f>
        <v>0</v>
      </c>
      <c r="AN423" s="47">
        <f>+IFERROR(VLOOKUP(AN37,'נתוני מים 2014'!$C$2:$L$186,2,0),0)</f>
        <v>0</v>
      </c>
      <c r="AO423" s="47">
        <f>+IFERROR(VLOOKUP(AO37,'נתוני מים 2014'!$C$2:$L$186,2,0),0)</f>
        <v>0</v>
      </c>
      <c r="AP423" s="47">
        <f>+IFERROR(VLOOKUP(AP37,'נתוני מים 2014'!$C$2:$L$186,2,0),0)</f>
        <v>0</v>
      </c>
      <c r="AQ423" s="47">
        <f>+IFERROR(VLOOKUP(AQ37,'נתוני מים 2014'!$C$2:$L$186,2,0),0)</f>
        <v>0</v>
      </c>
      <c r="AR423" s="47">
        <f>+IFERROR(VLOOKUP(AR37,'נתוני מים 2014'!$C$2:$L$186,2,0),0)</f>
        <v>0</v>
      </c>
      <c r="AS423" s="47">
        <f>+IFERROR(VLOOKUP(AS37,'נתוני מים 2014'!$C$2:$L$186,2,0),0)</f>
        <v>0</v>
      </c>
      <c r="AT423" s="47">
        <f>+IFERROR(VLOOKUP(AT37,'נתוני מים 2014'!$C$2:$L$186,2,0),0)</f>
        <v>0</v>
      </c>
      <c r="AU423" s="47">
        <f>+IFERROR(VLOOKUP(AU37,'נתוני מים 2014'!$C$2:$L$186,2,0),0)</f>
        <v>0</v>
      </c>
      <c r="AV423" s="47">
        <f>+IFERROR(VLOOKUP(AV37,'נתוני מים 2014'!$C$2:$L$186,2,0),0)</f>
        <v>0</v>
      </c>
      <c r="AW423" s="47">
        <f>+IFERROR(VLOOKUP(AW37,'נתוני מים 2014'!$C$2:$L$186,2,0),0)</f>
        <v>0</v>
      </c>
      <c r="AX423" s="47">
        <f>+IFERROR(VLOOKUP(AX37,'נתוני מים 2014'!$C$2:$L$186,2,0),0)</f>
        <v>0</v>
      </c>
      <c r="AY423" s="47">
        <f>+IFERROR(VLOOKUP(AY37,'נתוני מים 2014'!$C$2:$L$186,2,0),0)</f>
        <v>0</v>
      </c>
      <c r="AZ423" s="47">
        <f>+IFERROR(VLOOKUP(AZ37,'נתוני מים 2014'!$C$2:$L$186,2,0),0)</f>
        <v>0</v>
      </c>
      <c r="BA423" s="47">
        <f>+IFERROR(VLOOKUP(BA37,'נתוני מים 2014'!$C$2:$L$186,2,0),0)</f>
        <v>0</v>
      </c>
      <c r="BB423" s="47">
        <f>+IFERROR(VLOOKUP(BB37,'נתוני מים 2014'!$C$2:$L$186,2,0),0)</f>
        <v>0</v>
      </c>
      <c r="BC423" s="47">
        <f>+IFERROR(VLOOKUP(BC37,'נתוני מים 2014'!$C$2:$L$186,2,0),0)</f>
        <v>0</v>
      </c>
      <c r="BD423" s="47">
        <f>+IFERROR(VLOOKUP(BD37,'נתוני מים 2014'!$C$2:$L$186,2,0),0)</f>
        <v>0</v>
      </c>
      <c r="BE423" s="47">
        <f>+IFERROR(VLOOKUP(BE37,'נתוני מים 2014'!$C$2:$L$186,2,0),0)</f>
        <v>0</v>
      </c>
      <c r="BF423" s="47">
        <f>+IFERROR(VLOOKUP(BF37,'נתוני מים 2014'!$C$2:$L$186,2,0),0)</f>
        <v>0</v>
      </c>
    </row>
    <row r="425" spans="1:58" x14ac:dyDescent="0.2">
      <c r="A425" s="1" t="s">
        <v>663</v>
      </c>
      <c r="C425" s="78">
        <f>SUM(C394:C424)</f>
        <v>272257</v>
      </c>
      <c r="D425" s="78">
        <f t="shared" ref="D425:BD425" si="48">SUM(D394:D424)</f>
        <v>53586</v>
      </c>
      <c r="E425" s="78">
        <f t="shared" si="48"/>
        <v>202428</v>
      </c>
      <c r="F425" s="78">
        <f t="shared" si="48"/>
        <v>25041</v>
      </c>
      <c r="G425" s="78">
        <f t="shared" si="48"/>
        <v>86970</v>
      </c>
      <c r="H425" s="78">
        <f t="shared" si="48"/>
        <v>880832</v>
      </c>
      <c r="I425" s="78">
        <f t="shared" si="48"/>
        <v>240666</v>
      </c>
      <c r="J425" s="78">
        <f t="shared" si="48"/>
        <v>48946</v>
      </c>
      <c r="K425" s="78">
        <f t="shared" si="48"/>
        <v>108910</v>
      </c>
      <c r="L425" s="78">
        <f t="shared" si="48"/>
        <v>47243</v>
      </c>
      <c r="M425" s="78">
        <f t="shared" si="48"/>
        <v>217959</v>
      </c>
      <c r="N425" s="78">
        <f t="shared" si="48"/>
        <v>226381</v>
      </c>
      <c r="O425" s="78">
        <f t="shared" si="48"/>
        <v>242266</v>
      </c>
      <c r="P425" s="78">
        <f t="shared" si="48"/>
        <v>116361</v>
      </c>
      <c r="Q425" s="78">
        <f t="shared" si="48"/>
        <v>178288</v>
      </c>
      <c r="R425" s="78">
        <f>SUM(R394:R424)</f>
        <v>68340</v>
      </c>
      <c r="S425" s="78">
        <f t="shared" si="48"/>
        <v>72155</v>
      </c>
      <c r="T425" s="78">
        <f t="shared" si="48"/>
        <v>126405</v>
      </c>
      <c r="U425" s="78">
        <f t="shared" si="48"/>
        <v>86774</v>
      </c>
      <c r="V425" s="78">
        <f t="shared" si="48"/>
        <v>77950</v>
      </c>
      <c r="W425" s="78">
        <f t="shared" si="48"/>
        <v>126612</v>
      </c>
      <c r="X425" s="78">
        <f t="shared" si="48"/>
        <v>131526</v>
      </c>
      <c r="Y425" s="78">
        <f t="shared" si="48"/>
        <v>40905</v>
      </c>
      <c r="Z425" s="78">
        <f t="shared" si="48"/>
        <v>54327</v>
      </c>
      <c r="AA425" s="78">
        <f t="shared" si="48"/>
        <v>70206</v>
      </c>
      <c r="AB425" s="78">
        <f t="shared" si="48"/>
        <v>50570</v>
      </c>
      <c r="AC425" s="78">
        <f t="shared" si="48"/>
        <v>90733</v>
      </c>
      <c r="AD425" s="78">
        <f t="shared" si="48"/>
        <v>44050</v>
      </c>
      <c r="AE425" s="78">
        <f t="shared" si="48"/>
        <v>277082</v>
      </c>
      <c r="AF425" s="78">
        <f t="shared" si="48"/>
        <v>61442</v>
      </c>
      <c r="AG425" s="78">
        <f t="shared" si="48"/>
        <v>44633</v>
      </c>
      <c r="AH425" s="78">
        <f t="shared" si="48"/>
        <v>60426</v>
      </c>
      <c r="AI425" s="78">
        <f t="shared" si="48"/>
        <v>42165</v>
      </c>
      <c r="AJ425" s="78">
        <f t="shared" si="48"/>
        <v>49892</v>
      </c>
      <c r="AK425" s="78">
        <f t="shared" si="48"/>
        <v>39032</v>
      </c>
      <c r="AL425" s="78">
        <f t="shared" si="48"/>
        <v>426138</v>
      </c>
      <c r="AM425" s="78">
        <f t="shared" si="48"/>
        <v>70906</v>
      </c>
      <c r="AN425" s="78">
        <f t="shared" si="48"/>
        <v>90760</v>
      </c>
      <c r="AO425" s="78">
        <f t="shared" si="48"/>
        <v>150917</v>
      </c>
      <c r="AP425" s="78">
        <f t="shared" si="48"/>
        <v>56849</v>
      </c>
      <c r="AQ425" s="78">
        <f t="shared" si="48"/>
        <v>128498</v>
      </c>
      <c r="AR425" s="78">
        <f t="shared" si="48"/>
        <v>65079</v>
      </c>
      <c r="AS425" s="78">
        <f t="shared" si="48"/>
        <v>147195</v>
      </c>
      <c r="AT425" s="78">
        <f t="shared" si="48"/>
        <v>98084</v>
      </c>
      <c r="AU425" s="78">
        <f t="shared" si="48"/>
        <v>54134</v>
      </c>
      <c r="AV425" s="78">
        <f t="shared" si="48"/>
        <v>157119</v>
      </c>
      <c r="AW425" s="78">
        <f t="shared" si="48"/>
        <v>47464</v>
      </c>
      <c r="AX425" s="78">
        <f t="shared" si="48"/>
        <v>55004</v>
      </c>
      <c r="AY425" s="78">
        <f t="shared" si="48"/>
        <v>38945</v>
      </c>
      <c r="AZ425" s="78">
        <f t="shared" si="48"/>
        <v>68153</v>
      </c>
      <c r="BA425" s="78">
        <f t="shared" si="48"/>
        <v>71390</v>
      </c>
      <c r="BB425" s="78">
        <f t="shared" si="48"/>
        <v>74117</v>
      </c>
      <c r="BC425" s="78">
        <f t="shared" si="48"/>
        <v>107274</v>
      </c>
      <c r="BD425" s="78">
        <f t="shared" si="48"/>
        <v>9112</v>
      </c>
      <c r="BE425" s="78">
        <f>SUM(BE394:BE424)</f>
        <v>15606</v>
      </c>
      <c r="BF425" s="78">
        <f>SUM(BF394:BF424)</f>
        <v>128892</v>
      </c>
    </row>
    <row r="426" spans="1:58" s="5" customFormat="1" x14ac:dyDescent="0.2"/>
    <row r="428" spans="1:58" x14ac:dyDescent="0.2">
      <c r="B428" s="1">
        <v>1</v>
      </c>
      <c r="C428" s="5">
        <f t="shared" ref="C428:AH428" si="49">+IFERROR(IF(C361&lt;5,C394,0),0)</f>
        <v>0</v>
      </c>
      <c r="D428" s="5">
        <f t="shared" si="49"/>
        <v>0</v>
      </c>
      <c r="E428" s="5">
        <f t="shared" si="49"/>
        <v>0</v>
      </c>
      <c r="F428" s="5">
        <f t="shared" si="49"/>
        <v>0</v>
      </c>
      <c r="G428" s="5">
        <f t="shared" si="49"/>
        <v>0</v>
      </c>
      <c r="H428" s="5">
        <f t="shared" si="49"/>
        <v>0</v>
      </c>
      <c r="I428" s="5">
        <f t="shared" si="49"/>
        <v>0</v>
      </c>
      <c r="J428" s="5">
        <f t="shared" si="49"/>
        <v>0</v>
      </c>
      <c r="K428" s="5">
        <f t="shared" si="49"/>
        <v>0</v>
      </c>
      <c r="L428" s="5">
        <f>+IFERROR(IF(L361&lt;5,L394,0),0)</f>
        <v>42287</v>
      </c>
      <c r="M428" s="5">
        <f t="shared" si="49"/>
        <v>0</v>
      </c>
      <c r="N428" s="5">
        <f t="shared" si="49"/>
        <v>0</v>
      </c>
      <c r="O428" s="5">
        <f t="shared" si="49"/>
        <v>0</v>
      </c>
      <c r="P428" s="5">
        <f t="shared" si="49"/>
        <v>32896</v>
      </c>
      <c r="Q428" s="5">
        <f t="shared" si="49"/>
        <v>178288</v>
      </c>
      <c r="R428" s="5">
        <f t="shared" si="49"/>
        <v>0</v>
      </c>
      <c r="S428" s="5">
        <f t="shared" si="49"/>
        <v>72155</v>
      </c>
      <c r="T428" s="5">
        <f t="shared" si="49"/>
        <v>72293</v>
      </c>
      <c r="U428" s="5">
        <f t="shared" ref="U428:U441" si="50">+IFERROR(IF(U361&lt;5,U394,0),0)</f>
        <v>0</v>
      </c>
      <c r="V428" s="5">
        <f t="shared" si="49"/>
        <v>20832</v>
      </c>
      <c r="W428" s="5">
        <f t="shared" si="49"/>
        <v>51367</v>
      </c>
      <c r="X428" s="5">
        <f t="shared" si="49"/>
        <v>74619</v>
      </c>
      <c r="Y428" s="5">
        <f t="shared" si="49"/>
        <v>0</v>
      </c>
      <c r="Z428" s="5">
        <f t="shared" si="49"/>
        <v>0</v>
      </c>
      <c r="AA428" s="5">
        <f t="shared" si="49"/>
        <v>0</v>
      </c>
      <c r="AB428" s="5">
        <f t="shared" si="49"/>
        <v>50570</v>
      </c>
      <c r="AC428" s="5">
        <f t="shared" si="49"/>
        <v>0</v>
      </c>
      <c r="AD428" s="5">
        <f t="shared" si="49"/>
        <v>0</v>
      </c>
      <c r="AE428" s="5">
        <f t="shared" si="49"/>
        <v>0</v>
      </c>
      <c r="AF428" s="5">
        <f t="shared" si="49"/>
        <v>0</v>
      </c>
      <c r="AG428" s="5">
        <f t="shared" si="49"/>
        <v>0</v>
      </c>
      <c r="AH428" s="5">
        <f t="shared" si="49"/>
        <v>60426</v>
      </c>
      <c r="AI428" s="5">
        <f t="shared" ref="AI428:BE428" si="51">+IFERROR(IF(AI361&lt;5,AI394,0),0)</f>
        <v>0</v>
      </c>
      <c r="AJ428" s="5">
        <f t="shared" si="51"/>
        <v>0</v>
      </c>
      <c r="AK428" s="5">
        <f t="shared" si="51"/>
        <v>0</v>
      </c>
      <c r="AL428" s="5">
        <f t="shared" si="51"/>
        <v>0</v>
      </c>
      <c r="AM428" s="5">
        <f t="shared" si="51"/>
        <v>0</v>
      </c>
      <c r="AN428" s="5">
        <f t="shared" si="51"/>
        <v>18083</v>
      </c>
      <c r="AO428" s="5">
        <f t="shared" si="51"/>
        <v>0</v>
      </c>
      <c r="AP428" s="5">
        <f t="shared" si="51"/>
        <v>0</v>
      </c>
      <c r="AQ428" s="5">
        <f t="shared" si="51"/>
        <v>0</v>
      </c>
      <c r="AR428" s="5">
        <f t="shared" si="51"/>
        <v>0</v>
      </c>
      <c r="AS428" s="5">
        <f t="shared" si="51"/>
        <v>39246</v>
      </c>
      <c r="AT428" s="5">
        <f t="shared" si="51"/>
        <v>98084</v>
      </c>
      <c r="AU428" s="5">
        <f t="shared" si="51"/>
        <v>0</v>
      </c>
      <c r="AV428" s="5">
        <f t="shared" si="51"/>
        <v>0</v>
      </c>
      <c r="AW428" s="5">
        <f t="shared" si="51"/>
        <v>47464</v>
      </c>
      <c r="AX428" s="5">
        <f t="shared" si="51"/>
        <v>0</v>
      </c>
      <c r="AY428" s="5">
        <f t="shared" si="51"/>
        <v>0</v>
      </c>
      <c r="AZ428" s="5">
        <f t="shared" si="51"/>
        <v>0</v>
      </c>
      <c r="BA428" s="5">
        <f t="shared" si="51"/>
        <v>33195</v>
      </c>
      <c r="BB428" s="5">
        <f t="shared" si="51"/>
        <v>13151</v>
      </c>
      <c r="BC428" s="5">
        <f t="shared" si="51"/>
        <v>11479</v>
      </c>
      <c r="BD428" s="5">
        <f t="shared" si="51"/>
        <v>0</v>
      </c>
      <c r="BE428" s="5">
        <f t="shared" si="51"/>
        <v>0</v>
      </c>
      <c r="BF428" s="5">
        <f>+IFERROR(IF(BF361&lt;5,BF394,0),0)</f>
        <v>0</v>
      </c>
    </row>
    <row r="429" spans="1:58" x14ac:dyDescent="0.2">
      <c r="B429" s="1">
        <v>2</v>
      </c>
      <c r="C429" s="5">
        <f>+IFERROR(IF(C362&lt;'הנחות עבודה'!$D$34,C395,0),0)</f>
        <v>43627</v>
      </c>
      <c r="D429" s="5">
        <f>+IFERROR(IF(D362&lt;'הנחות עבודה'!$D$34,D395,0),0)</f>
        <v>0</v>
      </c>
      <c r="E429" s="5">
        <f>+IFERROR(IF(E362&lt;'הנחות עבודה'!$D$34,E395,0),0)</f>
        <v>0</v>
      </c>
      <c r="F429" s="5">
        <f>+IFERROR(IF(F362&lt;'הנחות עבודה'!$D$34,F395,0),0)</f>
        <v>0</v>
      </c>
      <c r="G429" s="5">
        <f>+IFERROR(IF(G362&lt;'הנחות עבודה'!$D$34,G395,0),0)</f>
        <v>0</v>
      </c>
      <c r="H429" s="5">
        <f>+IFERROR(IF(H362&lt;'הנחות עבודה'!$D$34,H395,0),0)</f>
        <v>6795</v>
      </c>
      <c r="I429" s="5">
        <f>+IFERROR(IF(I362&lt;'הנחות עבודה'!$D$34,I395,0),0)</f>
        <v>0</v>
      </c>
      <c r="J429" s="5">
        <f>+IFERROR(IF(J362&lt;'הנחות עבודה'!$D$34,J395,0),0)</f>
        <v>0</v>
      </c>
      <c r="K429" s="5">
        <f>+IFERROR(IF(K362&lt;'הנחות עבודה'!$D$34,K395,0),0)</f>
        <v>0</v>
      </c>
      <c r="L429" s="5">
        <f>+IFERROR(IF(L362&lt;'הנחות עבודה'!$D$34,L395,0),0)</f>
        <v>0</v>
      </c>
      <c r="M429" s="5">
        <f>+IFERROR(IF(M362&lt;'הנחות עבודה'!$D$34,M395,0),0)</f>
        <v>0</v>
      </c>
      <c r="N429" s="5">
        <f>+IFERROR(IF(N362&lt;'הנחות עבודה'!$D$34,N395,0),0)</f>
        <v>25295</v>
      </c>
      <c r="O429" s="5">
        <f>+IFERROR(IF(O362&lt;'הנחות עבודה'!$D$34,O395,0),0)</f>
        <v>0</v>
      </c>
      <c r="P429" s="5">
        <f>+IFERROR(IF(P362&lt;'הנחות עבודה'!$D$34,P395,0),0)</f>
        <v>8839</v>
      </c>
      <c r="Q429" s="5">
        <f>+IFERROR(IF(Q362&lt;'הנחות עבודה'!$D$34,Q395,0),0)</f>
        <v>0</v>
      </c>
      <c r="R429" s="5">
        <f>+IFERROR(IF(R362&lt;'הנחות עבודה'!$D$34,R395,0),0)</f>
        <v>0</v>
      </c>
      <c r="S429" s="5">
        <f>+IFERROR(IF(S362&lt;'הנחות עבודה'!$D$34,S395,0),0)</f>
        <v>0</v>
      </c>
      <c r="T429" s="5">
        <f t="shared" ref="T429:T441" si="52">+IFERROR(IF(T362&lt;5,T395,0),0)</f>
        <v>0</v>
      </c>
      <c r="U429" s="5">
        <f t="shared" si="50"/>
        <v>0</v>
      </c>
      <c r="V429" s="5">
        <f>+IFERROR(IF(V362&lt;'הנחות עבודה'!$D$34,V395,0),0)</f>
        <v>13021</v>
      </c>
      <c r="W429" s="5">
        <f>+IFERROR(IF(W362&lt;'הנחות עבודה'!$D$34,W395,0),0)</f>
        <v>9000</v>
      </c>
      <c r="X429" s="5">
        <f>+IFERROR(IF(X362&lt;'הנחות עבודה'!$D$34,X395,0),0)</f>
        <v>18152</v>
      </c>
      <c r="Y429" s="5">
        <f>+IFERROR(IF(Y362&lt;'הנחות עבודה'!$D$34,Y395,0),0)</f>
        <v>0</v>
      </c>
      <c r="Z429" s="5">
        <f>+IFERROR(IF(Z362&lt;'הנחות עבודה'!$D$34,Z395,0),0)</f>
        <v>0</v>
      </c>
      <c r="AA429" s="5">
        <f>+IFERROR(IF(AA362&lt;'הנחות עבודה'!$D$34,AA395,0),0)</f>
        <v>0</v>
      </c>
      <c r="AB429" s="5">
        <f>+IFERROR(IF(AB362&lt;'הנחות עבודה'!$D$34,AB395,0),0)</f>
        <v>0</v>
      </c>
      <c r="AC429" s="5">
        <f>+IFERROR(IF(AC362&lt;'הנחות עבודה'!$D$34,AC395,0),0)</f>
        <v>0</v>
      </c>
      <c r="AD429" s="5">
        <f>+IFERROR(IF(AD362&lt;'הנחות עבודה'!$D$34,AD395,0),0)</f>
        <v>0</v>
      </c>
      <c r="AE429" s="5">
        <f>+IFERROR(IF(AE362&lt;'הנחות עבודה'!$D$34,AE395,0),0)</f>
        <v>0</v>
      </c>
      <c r="AF429" s="5">
        <f>+IFERROR(IF(AF362&lt;'הנחות עבודה'!$D$34,AF395,0),0)</f>
        <v>0</v>
      </c>
      <c r="AG429" s="5">
        <f>+IFERROR(IF(AG362&lt;'הנחות עבודה'!$D$34,AG395,0),0)</f>
        <v>0</v>
      </c>
      <c r="AH429" s="5">
        <f>+IFERROR(IF(AH362&lt;'הנחות עבודה'!$D$34,AH395,0),0)</f>
        <v>0</v>
      </c>
      <c r="AI429" s="5">
        <f>+IFERROR(IF(AI362&lt;'הנחות עבודה'!$D$34,AI395,0),0)</f>
        <v>0</v>
      </c>
      <c r="AJ429" s="5">
        <f>+IFERROR(IF(AJ362&lt;'הנחות עבודה'!$D$34,AJ395,0),0)</f>
        <v>10302</v>
      </c>
      <c r="AK429" s="5">
        <f>+IFERROR(IF(AK362&lt;'הנחות עבודה'!$D$34,AK395,0),0)</f>
        <v>0</v>
      </c>
      <c r="AL429" s="5">
        <f>+IFERROR(IF(AL362&lt;'הנחות עבודה'!$D$34,AL395,0),0)</f>
        <v>0</v>
      </c>
      <c r="AM429" s="5">
        <f>+IFERROR(IF(AM362&lt;'הנחות עבודה'!$D$34,AM395,0),0)</f>
        <v>0</v>
      </c>
      <c r="AN429" s="5">
        <f>+IFERROR(IF(AN362&lt;'הנחות עבודה'!$D$34,AN395,0),0)</f>
        <v>18586</v>
      </c>
      <c r="AO429" s="5">
        <f>+IFERROR(IF(AO362&lt;'הנחות עבודה'!$D$34,AO395,0),0)</f>
        <v>0</v>
      </c>
      <c r="AP429" s="5">
        <f>+IFERROR(IF(AP362&lt;'הנחות עבודה'!$D$34,AP395,0),0)</f>
        <v>0</v>
      </c>
      <c r="AQ429" s="5">
        <f>+IFERROR(IF(AQ362&lt;'הנחות עבודה'!$D$34,AQ395,0),0)</f>
        <v>0</v>
      </c>
      <c r="AR429" s="5">
        <f>+IFERROR(IF(AR362&lt;'הנחות עבודה'!$D$34,AR395,0),0)</f>
        <v>0</v>
      </c>
      <c r="AS429" s="5">
        <f>+IFERROR(IF(AS362&lt;'הנחות עבודה'!$D$34,AS395,0),0)</f>
        <v>18053</v>
      </c>
      <c r="AT429" s="5">
        <f>+IFERROR(IF(AT362&lt;'הנחות עבודה'!$D$34,AT395,0),0)</f>
        <v>0</v>
      </c>
      <c r="AU429" s="5">
        <f>+IFERROR(IF(AU362&lt;'הנחות עבודה'!$D$34,AU395,0),0)</f>
        <v>0</v>
      </c>
      <c r="AV429" s="5">
        <f>+IFERROR(IF(AV362&lt;'הנחות עבודה'!$D$34,AV395,0),0)</f>
        <v>30300</v>
      </c>
      <c r="AW429" s="5">
        <f>+IFERROR(IF(AW362&lt;'הנחות עבודה'!$D$34,AW395,0),0)</f>
        <v>0</v>
      </c>
      <c r="AX429" s="5">
        <f>+IFERROR(IF(AX362&lt;'הנחות עבודה'!$D$34,AX395,0),0)</f>
        <v>9216</v>
      </c>
      <c r="AY429" s="5">
        <f>+IFERROR(IF(AY362&lt;'הנחות עבודה'!$D$34,AY395,0),0)</f>
        <v>0</v>
      </c>
      <c r="AZ429" s="5">
        <f>+IFERROR(IF(AZ362&lt;'הנחות עבודה'!$D$34,AZ395,0),0)</f>
        <v>0</v>
      </c>
      <c r="BA429" s="5">
        <f>+IFERROR(IF(BA362&lt;'הנחות עבודה'!$D$34,BA395,0),0)</f>
        <v>0</v>
      </c>
      <c r="BB429" s="5">
        <f>+IFERROR(IF(BB362&lt;'הנחות עבודה'!$D$34,BB395,0),0)</f>
        <v>19736</v>
      </c>
      <c r="BC429" s="5">
        <f>+IFERROR(IF(BC362&lt;'הנחות עבודה'!$D$34,BC395,0),0)</f>
        <v>9624</v>
      </c>
      <c r="BD429" s="5">
        <f>+IFERROR(IF(BD362&lt;'הנחות עבודה'!$D$34,BD395,0),0)</f>
        <v>0</v>
      </c>
      <c r="BE429" s="5">
        <f>+IFERROR(IF(BE362&lt;'הנחות עבודה'!$D$34,BE395,0),0)</f>
        <v>0</v>
      </c>
      <c r="BF429" s="5">
        <f>+IFERROR(IF(BF362&lt;'הנחות עבודה'!$D$34,BF395,0),0)</f>
        <v>0</v>
      </c>
    </row>
    <row r="430" spans="1:58" x14ac:dyDescent="0.2">
      <c r="B430" s="1">
        <v>3</v>
      </c>
      <c r="C430" s="5">
        <f>+IFERROR(IF(C363&lt;'הנחות עבודה'!$D$34,C396,0),0)</f>
        <v>3274</v>
      </c>
      <c r="D430" s="5">
        <f>+IFERROR(IF(D363&lt;'הנחות עבודה'!$D$34,D396,0),0)</f>
        <v>0</v>
      </c>
      <c r="E430" s="5">
        <f>+IFERROR(IF(E363&lt;'הנחות עבודה'!$D$34,E396,0),0)</f>
        <v>0</v>
      </c>
      <c r="F430" s="5">
        <f>+IFERROR(IF(F363&lt;'הנחות עבודה'!$D$34,F396,0),0)</f>
        <v>0</v>
      </c>
      <c r="G430" s="5">
        <f>+IFERROR(IF(G363&lt;'הנחות עבודה'!$D$34,G396,0),0)</f>
        <v>0</v>
      </c>
      <c r="H430" s="5">
        <f>+IFERROR(IF(H363&lt;'הנחות עבודה'!$D$34,H396,0),0)</f>
        <v>0</v>
      </c>
      <c r="I430" s="5">
        <f>+IFERROR(IF(I363&lt;'הנחות עבודה'!$D$34,I396,0),0)</f>
        <v>0</v>
      </c>
      <c r="J430" s="5">
        <f>+IFERROR(IF(J363&lt;'הנחות עבודה'!$D$34,J396,0),0)</f>
        <v>0</v>
      </c>
      <c r="K430" s="5">
        <f>+IFERROR(IF(K363&lt;'הנחות עבודה'!$D$34,K396,0),0)</f>
        <v>0</v>
      </c>
      <c r="L430" s="5">
        <f>+IFERROR(IF(L363&lt;'הנחות עבודה'!$D$34,L396,0),0)</f>
        <v>0</v>
      </c>
      <c r="M430" s="5">
        <f>+IFERROR(IF(M363&lt;'הנחות עבודה'!$D$34,M396,0),0)</f>
        <v>0</v>
      </c>
      <c r="N430" s="5">
        <f>+IFERROR(IF(N363&lt;'הנחות עבודה'!$D$34,N396,0),0)</f>
        <v>0</v>
      </c>
      <c r="O430" s="5">
        <f>+IFERROR(IF(O363&lt;'הנחות עבודה'!$D$34,O396,0),0)</f>
        <v>0</v>
      </c>
      <c r="P430" s="5">
        <f>+IFERROR(IF(P363&lt;'הנחות עבודה'!$D$34,P396,0),0)</f>
        <v>6114</v>
      </c>
      <c r="Q430" s="5">
        <f>+IFERROR(IF(Q363&lt;'הנחות עבודה'!$D$34,Q396,0),0)</f>
        <v>0</v>
      </c>
      <c r="R430" s="5">
        <f>+IFERROR(IF(R363&lt;'הנחות עבודה'!$D$34,R396,0),0)</f>
        <v>0</v>
      </c>
      <c r="S430" s="5">
        <f>+IFERROR(IF(S363&lt;'הנחות עבודה'!$D$34,S396,0),0)</f>
        <v>0</v>
      </c>
      <c r="T430" s="5">
        <f t="shared" si="52"/>
        <v>21348</v>
      </c>
      <c r="U430" s="5">
        <f t="shared" si="50"/>
        <v>0</v>
      </c>
      <c r="V430" s="5">
        <f>+IFERROR(IF(V363&lt;'הנחות עבודה'!$D$34,V396,0),0)</f>
        <v>8896</v>
      </c>
      <c r="W430" s="5">
        <f>+IFERROR(IF(W363&lt;'הנחות עבודה'!$D$34,W396,0),0)</f>
        <v>17350</v>
      </c>
      <c r="X430" s="5">
        <f>+IFERROR(IF(X363&lt;'הנחות עבודה'!$D$34,X396,0),0)</f>
        <v>17930</v>
      </c>
      <c r="Y430" s="5">
        <f>+IFERROR(IF(Y363&lt;'הנחות עבודה'!$D$34,Y396,0),0)</f>
        <v>0</v>
      </c>
      <c r="Z430" s="5">
        <f>+IFERROR(IF(Z363&lt;'הנחות עבודה'!$D$34,Z396,0),0)</f>
        <v>0</v>
      </c>
      <c r="AA430" s="5">
        <f>+IFERROR(IF(AA363&lt;'הנחות עבודה'!$D$34,AA396,0),0)</f>
        <v>0</v>
      </c>
      <c r="AB430" s="5">
        <f>+IFERROR(IF(AB363&lt;'הנחות עבודה'!$D$34,AB396,0),0)</f>
        <v>0</v>
      </c>
      <c r="AC430" s="5">
        <f>+IFERROR(IF(AC363&lt;'הנחות עבודה'!$D$34,AC396,0),0)</f>
        <v>0</v>
      </c>
      <c r="AD430" s="5">
        <f>+IFERROR(IF(AD363&lt;'הנחות עבודה'!$D$34,AD396,0),0)</f>
        <v>0</v>
      </c>
      <c r="AE430" s="5">
        <f>+IFERROR(IF(AE363&lt;'הנחות עבודה'!$D$34,AE396,0),0)</f>
        <v>0</v>
      </c>
      <c r="AF430" s="5">
        <f>+IFERROR(IF(AF363&lt;'הנחות עבודה'!$D$34,AF396,0),0)</f>
        <v>0</v>
      </c>
      <c r="AG430" s="5">
        <f>+IFERROR(IF(AG363&lt;'הנחות עבודה'!$D$34,AG396,0),0)</f>
        <v>0</v>
      </c>
      <c r="AH430" s="5">
        <f>+IFERROR(IF(AH363&lt;'הנחות עבודה'!$D$34,AH396,0),0)</f>
        <v>0</v>
      </c>
      <c r="AI430" s="5">
        <f>+IFERROR(IF(AI363&lt;'הנחות עבודה'!$D$34,AI396,0),0)</f>
        <v>0</v>
      </c>
      <c r="AJ430" s="5">
        <f>+IFERROR(IF(AJ363&lt;'הנחות עבודה'!$D$34,AJ396,0),0)</f>
        <v>0</v>
      </c>
      <c r="AK430" s="5">
        <f>+IFERROR(IF(AK363&lt;'הנחות עבודה'!$D$34,AK396,0),0)</f>
        <v>0</v>
      </c>
      <c r="AL430" s="5">
        <f>+IFERROR(IF(AL363&lt;'הנחות עבודה'!$D$34,AL396,0),0)</f>
        <v>0</v>
      </c>
      <c r="AM430" s="5">
        <f>+IFERROR(IF(AM363&lt;'הנחות עבודה'!$D$34,AM396,0),0)</f>
        <v>0</v>
      </c>
      <c r="AN430" s="5">
        <f>+IFERROR(IF(AN363&lt;'הנחות עבודה'!$D$34,AN396,0),0)</f>
        <v>15298</v>
      </c>
      <c r="AO430" s="5">
        <f>+IFERROR(IF(AO363&lt;'הנחות עבודה'!$D$34,AO396,0),0)</f>
        <v>0</v>
      </c>
      <c r="AP430" s="5">
        <f>+IFERROR(IF(AP363&lt;'הנחות עבודה'!$D$34,AP396,0),0)</f>
        <v>0</v>
      </c>
      <c r="AQ430" s="5">
        <f>+IFERROR(IF(AQ363&lt;'הנחות עבודה'!$D$34,AQ396,0),0)</f>
        <v>0</v>
      </c>
      <c r="AR430" s="5">
        <f>+IFERROR(IF(AR363&lt;'הנחות עבודה'!$D$34,AR396,0),0)</f>
        <v>0</v>
      </c>
      <c r="AS430" s="5">
        <f>+IFERROR(IF(AS363&lt;'הנחות עבודה'!$D$34,AS396,0),0)</f>
        <v>7232</v>
      </c>
      <c r="AT430" s="5">
        <f>+IFERROR(IF(AT363&lt;'הנחות עבודה'!$D$34,AT396,0),0)</f>
        <v>0</v>
      </c>
      <c r="AU430" s="5">
        <f>+IFERROR(IF(AU363&lt;'הנחות עבודה'!$D$34,AU396,0),0)</f>
        <v>0</v>
      </c>
      <c r="AV430" s="5">
        <f>+IFERROR(IF(AV363&lt;'הנחות עבודה'!$D$34,AV396,0),0)</f>
        <v>0</v>
      </c>
      <c r="AW430" s="5">
        <f>+IFERROR(IF(AW363&lt;'הנחות עבודה'!$D$34,AW396,0),0)</f>
        <v>0</v>
      </c>
      <c r="AX430" s="5">
        <f>+IFERROR(IF(AX363&lt;'הנחות עבודה'!$D$34,AX396,0),0)</f>
        <v>21361</v>
      </c>
      <c r="AY430" s="5">
        <f>+IFERROR(IF(AY363&lt;'הנחות עבודה'!$D$34,AY396,0),0)</f>
        <v>0</v>
      </c>
      <c r="AZ430" s="5">
        <f>+IFERROR(IF(AZ363&lt;'הנחות עבודה'!$D$34,AZ396,0),0)</f>
        <v>0</v>
      </c>
      <c r="BA430" s="5">
        <f>+IFERROR(IF(BA363&lt;'הנחות עבודה'!$D$34,BA396,0),0)</f>
        <v>8959</v>
      </c>
      <c r="BB430" s="5">
        <f>+IFERROR(IF(BB363&lt;'הנחות עבודה'!$D$34,BB396,0),0)</f>
        <v>6036</v>
      </c>
      <c r="BC430" s="5">
        <f>+IFERROR(IF(BC363&lt;'הנחות עבודה'!$D$34,BC396,0),0)</f>
        <v>11866</v>
      </c>
      <c r="BD430" s="5">
        <f>+IFERROR(IF(BD363&lt;'הנחות עבודה'!$D$34,BD396,0),0)</f>
        <v>0</v>
      </c>
      <c r="BE430" s="5">
        <f>+IFERROR(IF(BE363&lt;'הנחות עבודה'!$D$34,BE396,0),0)</f>
        <v>0</v>
      </c>
      <c r="BF430" s="5">
        <f>+IFERROR(IF(BF363&lt;'הנחות עבודה'!$D$34,BF396,0),0)</f>
        <v>0</v>
      </c>
    </row>
    <row r="431" spans="1:58" x14ac:dyDescent="0.2">
      <c r="B431" s="1">
        <v>4</v>
      </c>
      <c r="C431" s="5">
        <f>+IFERROR(IF(C364&lt;'הנחות עבודה'!$D$34,C397,0),0)</f>
        <v>0</v>
      </c>
      <c r="D431" s="5">
        <f>+IFERROR(IF(D364&lt;'הנחות עבודה'!$D$34,D397,0),0)</f>
        <v>10485</v>
      </c>
      <c r="E431" s="5">
        <f>+IFERROR(IF(E364&lt;'הנחות עבודה'!$D$34,E397,0),0)</f>
        <v>0</v>
      </c>
      <c r="F431" s="5">
        <f>+IFERROR(IF(F364&lt;'הנחות עבודה'!$D$34,F397,0),0)</f>
        <v>0</v>
      </c>
      <c r="G431" s="5">
        <f>+IFERROR(IF(G364&lt;'הנחות עבודה'!$D$34,G397,0),0)</f>
        <v>0</v>
      </c>
      <c r="H431" s="5">
        <f>+IFERROR(IF(H364&lt;'הנחות עבודה'!$D$34,H397,0),0)</f>
        <v>0</v>
      </c>
      <c r="I431" s="5">
        <f>+IFERROR(IF(I364&lt;'הנחות עבודה'!$D$34,I397,0),0)</f>
        <v>0</v>
      </c>
      <c r="J431" s="5">
        <f>+IFERROR(IF(J364&lt;'הנחות עבודה'!$D$34,J397,0),0)</f>
        <v>0</v>
      </c>
      <c r="K431" s="5">
        <f>+IFERROR(IF(K364&lt;'הנחות עבודה'!$D$34,K397,0),0)</f>
        <v>0</v>
      </c>
      <c r="L431" s="5">
        <f>+IFERROR(IF(L364&lt;'הנחות עבודה'!$D$34,L397,0),0)</f>
        <v>3142</v>
      </c>
      <c r="M431" s="5">
        <f>+IFERROR(IF(M364&lt;'הנחות עבודה'!$D$34,M397,0),0)</f>
        <v>0</v>
      </c>
      <c r="N431" s="5">
        <f>+IFERROR(IF(N364&lt;'הנחות עבודה'!$D$34,N397,0),0)</f>
        <v>0</v>
      </c>
      <c r="O431" s="5">
        <f>+IFERROR(IF(O364&lt;'הנחות עבודה'!$D$34,O397,0),0)</f>
        <v>0</v>
      </c>
      <c r="P431" s="5">
        <f>+IFERROR(IF(P364&lt;'הנחות עבודה'!$D$34,P397,0),0)</f>
        <v>0</v>
      </c>
      <c r="Q431" s="5">
        <f>+IFERROR(IF(Q364&lt;'הנחות עבודה'!$D$34,Q397,0),0)</f>
        <v>0</v>
      </c>
      <c r="R431" s="5">
        <f>+IFERROR(IF(R364&lt;'הנחות עבודה'!$D$34,R397,0),0)</f>
        <v>0</v>
      </c>
      <c r="S431" s="5">
        <f>+IFERROR(IF(S364&lt;'הנחות עבודה'!$D$34,S397,0),0)</f>
        <v>0</v>
      </c>
      <c r="T431" s="5">
        <f t="shared" si="52"/>
        <v>0</v>
      </c>
      <c r="U431" s="5">
        <f t="shared" si="50"/>
        <v>0</v>
      </c>
      <c r="V431" s="5">
        <f>+IFERROR(IF(V364&lt;'הנחות עבודה'!$D$34,V397,0),0)</f>
        <v>9699</v>
      </c>
      <c r="W431" s="5">
        <f>+IFERROR(IF(W364&lt;'הנחות עבודה'!$D$34,W397,0),0)</f>
        <v>2100</v>
      </c>
      <c r="X431" s="5">
        <f>+IFERROR(IF(X364&lt;'הנחות עבודה'!$D$34,X397,0),0)</f>
        <v>7422</v>
      </c>
      <c r="Y431" s="5">
        <f>+IFERROR(IF(Y364&lt;'הנחות עבודה'!$D$34,Y397,0),0)</f>
        <v>8016</v>
      </c>
      <c r="Z431" s="5">
        <f>+IFERROR(IF(Z364&lt;'הנחות עבודה'!$D$34,Z397,0),0)</f>
        <v>0</v>
      </c>
      <c r="AA431" s="5">
        <f>+IFERROR(IF(AA364&lt;'הנחות עבודה'!$D$34,AA397,0),0)</f>
        <v>0</v>
      </c>
      <c r="AB431" s="5">
        <f>+IFERROR(IF(AB364&lt;'הנחות עבודה'!$D$34,AB397,0),0)</f>
        <v>0</v>
      </c>
      <c r="AC431" s="5">
        <f>+IFERROR(IF(AC364&lt;'הנחות עבודה'!$D$34,AC397,0),0)</f>
        <v>0</v>
      </c>
      <c r="AD431" s="5">
        <f>+IFERROR(IF(AD364&lt;'הנחות עבודה'!$D$34,AD397,0),0)</f>
        <v>0</v>
      </c>
      <c r="AE431" s="5">
        <f>+IFERROR(IF(AE364&lt;'הנחות עבודה'!$D$34,AE397,0),0)</f>
        <v>0</v>
      </c>
      <c r="AF431" s="5">
        <f>+IFERROR(IF(AF364&lt;'הנחות עבודה'!$D$34,AF397,0),0)</f>
        <v>0</v>
      </c>
      <c r="AG431" s="5">
        <f>+IFERROR(IF(AG364&lt;'הנחות עבודה'!$D$34,AG397,0),0)</f>
        <v>0</v>
      </c>
      <c r="AH431" s="5">
        <f>+IFERROR(IF(AH364&lt;'הנחות עבודה'!$D$34,AH397,0),0)</f>
        <v>0</v>
      </c>
      <c r="AI431" s="5">
        <f>+IFERROR(IF(AI364&lt;'הנחות עבודה'!$D$34,AI397,0),0)</f>
        <v>0</v>
      </c>
      <c r="AJ431" s="5">
        <f>+IFERROR(IF(AJ364&lt;'הנחות עבודה'!$D$34,AJ397,0),0)</f>
        <v>0</v>
      </c>
      <c r="AK431" s="5">
        <f>+IFERROR(IF(AK364&lt;'הנחות עבודה'!$D$34,AK397,0),0)</f>
        <v>0</v>
      </c>
      <c r="AL431" s="5">
        <f>+IFERROR(IF(AL364&lt;'הנחות עבודה'!$D$34,AL397,0),0)</f>
        <v>0</v>
      </c>
      <c r="AM431" s="5">
        <f>+IFERROR(IF(AM364&lt;'הנחות עבודה'!$D$34,AM397,0),0)</f>
        <v>0</v>
      </c>
      <c r="AN431" s="5">
        <f>+IFERROR(IF(AN364&lt;'הנחות עבודה'!$D$34,AN397,0),0)</f>
        <v>11249</v>
      </c>
      <c r="AO431" s="5">
        <f>+IFERROR(IF(AO364&lt;'הנחות עבודה'!$D$34,AO397,0),0)</f>
        <v>0</v>
      </c>
      <c r="AP431" s="5">
        <f>+IFERROR(IF(AP364&lt;'הנחות עבודה'!$D$34,AP397,0),0)</f>
        <v>0</v>
      </c>
      <c r="AQ431" s="5">
        <f>+IFERROR(IF(AQ364&lt;'הנחות עבודה'!$D$34,AQ397,0),0)</f>
        <v>0</v>
      </c>
      <c r="AR431" s="5">
        <f>+IFERROR(IF(AR364&lt;'הנחות עבודה'!$D$34,AR397,0),0)</f>
        <v>0</v>
      </c>
      <c r="AS431" s="5">
        <f>+IFERROR(IF(AS364&lt;'הנחות עבודה'!$D$34,AS397,0),0)</f>
        <v>12985</v>
      </c>
      <c r="AT431" s="5">
        <f>+IFERROR(IF(AT364&lt;'הנחות עבודה'!$D$34,AT397,0),0)</f>
        <v>0</v>
      </c>
      <c r="AU431" s="5">
        <f>+IFERROR(IF(AU364&lt;'הנחות עבודה'!$D$34,AU397,0),0)</f>
        <v>0</v>
      </c>
      <c r="AV431" s="5">
        <f>+IFERROR(IF(AV364&lt;'הנחות עבודה'!$D$34,AV397,0),0)</f>
        <v>0</v>
      </c>
      <c r="AW431" s="5">
        <f>+IFERROR(IF(AW364&lt;'הנחות עבודה'!$D$34,AW397,0),0)</f>
        <v>0</v>
      </c>
      <c r="AX431" s="5">
        <f>+IFERROR(IF(AX364&lt;'הנחות עבודה'!$D$34,AX397,0),0)</f>
        <v>24427</v>
      </c>
      <c r="AY431" s="5">
        <f>+IFERROR(IF(AY364&lt;'הנחות עבודה'!$D$34,AY397,0),0)</f>
        <v>0</v>
      </c>
      <c r="AZ431" s="5">
        <f>+IFERROR(IF(AZ364&lt;'הנחות עבודה'!$D$34,AZ397,0),0)</f>
        <v>0</v>
      </c>
      <c r="BA431" s="5">
        <f>+IFERROR(IF(BA364&lt;'הנחות עבודה'!$D$34,BA397,0),0)</f>
        <v>5007</v>
      </c>
      <c r="BB431" s="5">
        <f>+IFERROR(IF(BB364&lt;'הנחות עבודה'!$D$34,BB397,0),0)</f>
        <v>9371</v>
      </c>
      <c r="BC431" s="5">
        <f>+IFERROR(IF(BC364&lt;'הנחות עבודה'!$D$34,BC397,0),0)</f>
        <v>23493</v>
      </c>
      <c r="BD431" s="5">
        <f>+IFERROR(IF(BD364&lt;'הנחות עבודה'!$D$34,BD397,0),0)</f>
        <v>0</v>
      </c>
      <c r="BE431" s="5">
        <f>+IFERROR(IF(BE364&lt;'הנחות עבודה'!$D$34,BE397,0),0)</f>
        <v>0</v>
      </c>
      <c r="BF431" s="5">
        <f>+IFERROR(IF(BF364&lt;'הנחות עבודה'!$D$34,BF397,0),0)</f>
        <v>0</v>
      </c>
    </row>
    <row r="432" spans="1:58" x14ac:dyDescent="0.2">
      <c r="B432" s="1">
        <v>5</v>
      </c>
      <c r="C432" s="5">
        <f>+IFERROR(IF(C365&lt;'הנחות עבודה'!$D$34,C398,0),0)</f>
        <v>0</v>
      </c>
      <c r="D432" s="5">
        <f>+IFERROR(IF(D365&lt;'הנחות עבודה'!$D$34,D398,0),0)</f>
        <v>3447</v>
      </c>
      <c r="E432" s="5">
        <f>+IFERROR(IF(E365&lt;'הנחות עבודה'!$D$34,E398,0),0)</f>
        <v>0</v>
      </c>
      <c r="F432" s="5">
        <f>+IFERROR(IF(F365&lt;'הנחות עבודה'!$D$34,F398,0),0)</f>
        <v>0</v>
      </c>
      <c r="G432" s="5">
        <f>+IFERROR(IF(G365&lt;'הנחות עבודה'!$D$34,G398,0),0)</f>
        <v>0</v>
      </c>
      <c r="H432" s="5">
        <f>+IFERROR(IF(H365&lt;'הנחות עבודה'!$D$34,H398,0),0)</f>
        <v>0</v>
      </c>
      <c r="I432" s="5">
        <f>+IFERROR(IF(I365&lt;'הנחות עבודה'!$D$34,I398,0),0)</f>
        <v>0</v>
      </c>
      <c r="J432" s="5">
        <f>+IFERROR(IF(J365&lt;'הנחות עבודה'!$D$34,J398,0),0)</f>
        <v>0</v>
      </c>
      <c r="K432" s="5">
        <f>+IFERROR(IF(K365&lt;'הנחות עבודה'!$D$34,K398,0),0)</f>
        <v>0</v>
      </c>
      <c r="L432" s="5">
        <f>+IFERROR(IF(L365&lt;'הנחות עבודה'!$D$34,L398,0),0)</f>
        <v>0</v>
      </c>
      <c r="M432" s="5">
        <f>+IFERROR(IF(M365&lt;'הנחות עבודה'!$D$34,M398,0),0)</f>
        <v>0</v>
      </c>
      <c r="N432" s="5">
        <f>+IFERROR(IF(N365&lt;'הנחות עבודה'!$D$34,N398,0),0)</f>
        <v>0</v>
      </c>
      <c r="O432" s="5">
        <f>+IFERROR(IF(O365&lt;'הנחות עבודה'!$D$34,O398,0),0)</f>
        <v>0</v>
      </c>
      <c r="P432" s="5">
        <f>+IFERROR(IF(P365&lt;'הנחות עבודה'!$D$34,P398,0),0)</f>
        <v>0</v>
      </c>
      <c r="Q432" s="5">
        <f>+IFERROR(IF(Q365&lt;'הנחות עבודה'!$D$34,Q398,0),0)</f>
        <v>0</v>
      </c>
      <c r="R432" s="5">
        <f>+IFERROR(IF(R365&lt;'הנחות עבודה'!$D$34,R398,0),0)</f>
        <v>0</v>
      </c>
      <c r="S432" s="5">
        <f>+IFERROR(IF(S365&lt;'הנחות עבודה'!$D$34,S398,0),0)</f>
        <v>0</v>
      </c>
      <c r="T432" s="5">
        <f t="shared" si="52"/>
        <v>0</v>
      </c>
      <c r="U432" s="5">
        <f t="shared" si="50"/>
        <v>0</v>
      </c>
      <c r="V432" s="5">
        <f>+IFERROR(IF(V365&lt;'הנחות עבודה'!$D$34,V398,0),0)</f>
        <v>12267</v>
      </c>
      <c r="W432" s="5">
        <f>+IFERROR(IF(W365&lt;'הנחות עבודה'!$D$34,W398,0),0)</f>
        <v>2000</v>
      </c>
      <c r="X432" s="5">
        <f>+IFERROR(IF(X365&lt;'הנחות עבודה'!$D$34,X398,0),0)</f>
        <v>13403</v>
      </c>
      <c r="Y432" s="5">
        <f>+IFERROR(IF(Y365&lt;'הנחות עבודה'!$D$34,Y398,0),0)</f>
        <v>0</v>
      </c>
      <c r="Z432" s="5">
        <f>+IFERROR(IF(Z365&lt;'הנחות עבודה'!$D$34,Z398,0),0)</f>
        <v>0</v>
      </c>
      <c r="AA432" s="5">
        <f>+IFERROR(IF(AA365&lt;'הנחות עבודה'!$D$34,AA398,0),0)</f>
        <v>0</v>
      </c>
      <c r="AB432" s="5">
        <f>+IFERROR(IF(AB365&lt;'הנחות עבודה'!$D$34,AB398,0),0)</f>
        <v>0</v>
      </c>
      <c r="AC432" s="5">
        <f>+IFERROR(IF(AC365&lt;'הנחות עבודה'!$D$34,AC398,0),0)</f>
        <v>0</v>
      </c>
      <c r="AD432" s="5">
        <f>+IFERROR(IF(AD365&lt;'הנחות עבודה'!$D$34,AD398,0),0)</f>
        <v>0</v>
      </c>
      <c r="AE432" s="5">
        <f>+IFERROR(IF(AE365&lt;'הנחות עבודה'!$D$34,AE398,0),0)</f>
        <v>0</v>
      </c>
      <c r="AF432" s="5">
        <f>+IFERROR(IF(AF365&lt;'הנחות עבודה'!$D$34,AF398,0),0)</f>
        <v>0</v>
      </c>
      <c r="AG432" s="5">
        <f>+IFERROR(IF(AG365&lt;'הנחות עבודה'!$D$34,AG398,0),0)</f>
        <v>0</v>
      </c>
      <c r="AH432" s="5">
        <f>+IFERROR(IF(AH365&lt;'הנחות עבודה'!$D$34,AH398,0),0)</f>
        <v>0</v>
      </c>
      <c r="AI432" s="5">
        <f>+IFERROR(IF(AI365&lt;'הנחות עבודה'!$D$34,AI398,0),0)</f>
        <v>0</v>
      </c>
      <c r="AJ432" s="5">
        <f>+IFERROR(IF(AJ365&lt;'הנחות עבודה'!$D$34,AJ398,0),0)</f>
        <v>0</v>
      </c>
      <c r="AK432" s="5">
        <f>+IFERROR(IF(AK365&lt;'הנחות עבודה'!$D$34,AK398,0),0)</f>
        <v>0</v>
      </c>
      <c r="AL432" s="5">
        <f>+IFERROR(IF(AL365&lt;'הנחות עבודה'!$D$34,AL398,0),0)</f>
        <v>0</v>
      </c>
      <c r="AM432" s="5">
        <f>+IFERROR(IF(AM365&lt;'הנחות עבודה'!$D$34,AM398,0),0)</f>
        <v>0</v>
      </c>
      <c r="AN432" s="5">
        <f>+IFERROR(IF(AN365&lt;'הנחות עבודה'!$D$34,AN398,0),0)</f>
        <v>18790</v>
      </c>
      <c r="AO432" s="5">
        <f>+IFERROR(IF(AO365&lt;'הנחות עבודה'!$D$34,AO398,0),0)</f>
        <v>0</v>
      </c>
      <c r="AP432" s="5">
        <f>+IFERROR(IF(AP365&lt;'הנחות עבודה'!$D$34,AP398,0),0)</f>
        <v>0</v>
      </c>
      <c r="AQ432" s="5">
        <f>+IFERROR(IF(AQ365&lt;'הנחות עבודה'!$D$34,AQ398,0),0)</f>
        <v>0</v>
      </c>
      <c r="AR432" s="5">
        <f>+IFERROR(IF(AR365&lt;'הנחות עבודה'!$D$34,AR398,0),0)</f>
        <v>0</v>
      </c>
      <c r="AS432" s="5">
        <f>+IFERROR(IF(AS365&lt;'הנחות עבודה'!$D$34,AS398,0),0)</f>
        <v>31673</v>
      </c>
      <c r="AT432" s="5">
        <f>+IFERROR(IF(AT365&lt;'הנחות עבודה'!$D$34,AT398,0),0)</f>
        <v>0</v>
      </c>
      <c r="AU432" s="5">
        <f>+IFERROR(IF(AU365&lt;'הנחות עבודה'!$D$34,AU398,0),0)</f>
        <v>0</v>
      </c>
      <c r="AV432" s="5">
        <f>+IFERROR(IF(AV365&lt;'הנחות עבודה'!$D$34,AV398,0),0)</f>
        <v>0</v>
      </c>
      <c r="AW432" s="5">
        <f>+IFERROR(IF(AW365&lt;'הנחות עבודה'!$D$34,AW398,0),0)</f>
        <v>0</v>
      </c>
      <c r="AX432" s="5">
        <f>+IFERROR(IF(AX365&lt;'הנחות עבודה'!$D$34,AX398,0),0)</f>
        <v>0</v>
      </c>
      <c r="AY432" s="5">
        <f>+IFERROR(IF(AY365&lt;'הנחות עבודה'!$D$34,AY398,0),0)</f>
        <v>0</v>
      </c>
      <c r="AZ432" s="5">
        <f>+IFERROR(IF(AZ365&lt;'הנחות עבודה'!$D$34,AZ398,0),0)</f>
        <v>0</v>
      </c>
      <c r="BA432" s="5">
        <f>+IFERROR(IF(BA365&lt;'הנחות עבודה'!$D$34,BA398,0),0)</f>
        <v>0</v>
      </c>
      <c r="BB432" s="5">
        <f>+IFERROR(IF(BB365&lt;'הנחות עבודה'!$D$34,BB398,0),0)</f>
        <v>16048</v>
      </c>
      <c r="BC432" s="5">
        <f>+IFERROR(IF(BC365&lt;'הנחות עבודה'!$D$34,BC398,0),0)</f>
        <v>28556</v>
      </c>
      <c r="BD432" s="5">
        <f>+IFERROR(IF(BD365&lt;'הנחות עבודה'!$D$34,BD398,0),0)</f>
        <v>0</v>
      </c>
      <c r="BE432" s="5">
        <f>+IFERROR(IF(BE365&lt;'הנחות עבודה'!$D$34,BE398,0),0)</f>
        <v>0</v>
      </c>
      <c r="BF432" s="5">
        <f>+IFERROR(IF(BF365&lt;'הנחות עבודה'!$D$34,BF398,0),0)</f>
        <v>0</v>
      </c>
    </row>
    <row r="433" spans="2:58" x14ac:dyDescent="0.2">
      <c r="B433" s="1">
        <v>6</v>
      </c>
      <c r="C433" s="5">
        <f>+IFERROR(IF(C366&lt;'הנחות עבודה'!$D$34,C399,0),0)</f>
        <v>0</v>
      </c>
      <c r="D433" s="5">
        <f>+IFERROR(IF(D366&lt;'הנחות עבודה'!$D$34,D399,0),0)</f>
        <v>1920</v>
      </c>
      <c r="E433" s="5">
        <f>+IFERROR(IF(E366&lt;'הנחות עבודה'!$D$34,E399,0),0)</f>
        <v>0</v>
      </c>
      <c r="F433" s="5">
        <f>+IFERROR(IF(F366&lt;'הנחות עבודה'!$D$34,F399,0),0)</f>
        <v>0</v>
      </c>
      <c r="G433" s="5">
        <f>+IFERROR(IF(G366&lt;'הנחות עבודה'!$D$34,G399,0),0)</f>
        <v>0</v>
      </c>
      <c r="H433" s="5">
        <f>+IFERROR(IF(H366&lt;'הנחות עבודה'!$D$34,H399,0),0)</f>
        <v>0</v>
      </c>
      <c r="I433" s="5">
        <f>+IFERROR(IF(I366&lt;'הנחות עבודה'!$D$34,I399,0),0)</f>
        <v>0</v>
      </c>
      <c r="J433" s="5">
        <f>+IFERROR(IF(J366&lt;'הנחות עבודה'!$D$34,J399,0),0)</f>
        <v>0</v>
      </c>
      <c r="K433" s="5">
        <f>+IFERROR(IF(K366&lt;'הנחות עבודה'!$D$34,K399,0),0)</f>
        <v>0</v>
      </c>
      <c r="L433" s="5">
        <f>+IFERROR(IF(L366&lt;'הנחות עבודה'!$D$34,L399,0),0)</f>
        <v>0</v>
      </c>
      <c r="M433" s="5">
        <f>+IFERROR(IF(M366&lt;'הנחות עבודה'!$D$34,M399,0),0)</f>
        <v>0</v>
      </c>
      <c r="N433" s="5">
        <f>+IFERROR(IF(N366&lt;'הנחות עבודה'!$D$34,N399,0),0)</f>
        <v>0</v>
      </c>
      <c r="O433" s="5">
        <f>+IFERROR(IF(O366&lt;'הנחות עבודה'!$D$34,O399,0),0)</f>
        <v>0</v>
      </c>
      <c r="P433" s="5">
        <f>+IFERROR(IF(P366&lt;'הנחות עבודה'!$D$34,P399,0),0)</f>
        <v>5609</v>
      </c>
      <c r="Q433" s="5">
        <f>+IFERROR(IF(Q366&lt;'הנחות עבודה'!$D$34,Q399,0),0)</f>
        <v>0</v>
      </c>
      <c r="R433" s="5">
        <f>+IFERROR(IF(R366&lt;'הנחות עבודה'!$D$34,R399,0),0)</f>
        <v>0</v>
      </c>
      <c r="S433" s="5">
        <f>+IFERROR(IF(S366&lt;'הנחות עבודה'!$D$34,S399,0),0)</f>
        <v>0</v>
      </c>
      <c r="T433" s="5">
        <f t="shared" si="52"/>
        <v>0</v>
      </c>
      <c r="U433" s="5">
        <f t="shared" si="50"/>
        <v>0</v>
      </c>
      <c r="V433" s="5">
        <f>+IFERROR(IF(V366&lt;'הנחות עבודה'!$D$34,V399,0),0)</f>
        <v>7667</v>
      </c>
      <c r="W433" s="5">
        <f>+IFERROR(IF(W366&lt;'הנחות עבודה'!$D$34,W399,0),0)</f>
        <v>38420</v>
      </c>
      <c r="X433" s="5">
        <f>+IFERROR(IF(X366&lt;'הנחות עבודה'!$D$34,X399,0),0)</f>
        <v>0</v>
      </c>
      <c r="Y433" s="5">
        <f>+IFERROR(IF(Y366&lt;'הנחות עבודה'!$D$34,Y399,0),0)</f>
        <v>0</v>
      </c>
      <c r="Z433" s="5">
        <f>+IFERROR(IF(Z366&lt;'הנחות עבודה'!$D$34,Z399,0),0)</f>
        <v>0</v>
      </c>
      <c r="AA433" s="5">
        <f>+IFERROR(IF(AA366&lt;'הנחות עבודה'!$D$34,AA399,0),0)</f>
        <v>0</v>
      </c>
      <c r="AB433" s="5">
        <f>+IFERROR(IF(AB366&lt;'הנחות עבודה'!$D$34,AB399,0),0)</f>
        <v>0</v>
      </c>
      <c r="AC433" s="5">
        <f>+IFERROR(IF(AC366&lt;'הנחות עבודה'!$D$34,AC399,0),0)</f>
        <v>0</v>
      </c>
      <c r="AD433" s="5">
        <f>+IFERROR(IF(AD366&lt;'הנחות עבודה'!$D$34,AD399,0),0)</f>
        <v>0</v>
      </c>
      <c r="AE433" s="5">
        <f>+IFERROR(IF(AE366&lt;'הנחות עבודה'!$D$34,AE399,0),0)</f>
        <v>0</v>
      </c>
      <c r="AF433" s="5">
        <f>+IFERROR(IF(AF366&lt;'הנחות עבודה'!$D$34,AF399,0),0)</f>
        <v>0</v>
      </c>
      <c r="AG433" s="5">
        <f>+IFERROR(IF(AG366&lt;'הנחות עבודה'!$D$34,AG399,0),0)</f>
        <v>0</v>
      </c>
      <c r="AH433" s="5">
        <f>+IFERROR(IF(AH366&lt;'הנחות עבודה'!$D$34,AH399,0),0)</f>
        <v>0</v>
      </c>
      <c r="AI433" s="5">
        <f>+IFERROR(IF(AI366&lt;'הנחות עבודה'!$D$34,AI399,0),0)</f>
        <v>0</v>
      </c>
      <c r="AJ433" s="5">
        <f>+IFERROR(IF(AJ366&lt;'הנחות עבודה'!$D$34,AJ399,0),0)</f>
        <v>0</v>
      </c>
      <c r="AK433" s="5">
        <f>+IFERROR(IF(AK366&lt;'הנחות עבודה'!$D$34,AK399,0),0)</f>
        <v>0</v>
      </c>
      <c r="AL433" s="5">
        <f>+IFERROR(IF(AL366&lt;'הנחות עבודה'!$D$34,AL399,0),0)</f>
        <v>0</v>
      </c>
      <c r="AM433" s="5">
        <f>+IFERROR(IF(AM366&lt;'הנחות עבודה'!$D$34,AM399,0),0)</f>
        <v>0</v>
      </c>
      <c r="AN433" s="5">
        <f>+IFERROR(IF(AN366&lt;'הנחות עבודה'!$D$34,AN399,0),0)</f>
        <v>8754</v>
      </c>
      <c r="AO433" s="5">
        <f>+IFERROR(IF(AO366&lt;'הנחות עבודה'!$D$34,AO399,0),0)</f>
        <v>0</v>
      </c>
      <c r="AP433" s="5">
        <f>+IFERROR(IF(AP366&lt;'הנחות עבודה'!$D$34,AP399,0),0)</f>
        <v>0</v>
      </c>
      <c r="AQ433" s="5">
        <f>+IFERROR(IF(AQ366&lt;'הנחות עבודה'!$D$34,AQ399,0),0)</f>
        <v>0</v>
      </c>
      <c r="AR433" s="5">
        <f>+IFERROR(IF(AR366&lt;'הנחות עבודה'!$D$34,AR399,0),0)</f>
        <v>0</v>
      </c>
      <c r="AS433" s="5">
        <f>+IFERROR(IF(AS366&lt;'הנחות עבודה'!$D$34,AS399,0),0)</f>
        <v>7321</v>
      </c>
      <c r="AT433" s="5">
        <f>+IFERROR(IF(AT366&lt;'הנחות עבודה'!$D$34,AT399,0),0)</f>
        <v>0</v>
      </c>
      <c r="AU433" s="5">
        <f>+IFERROR(IF(AU366&lt;'הנחות עבודה'!$D$34,AU399,0),0)</f>
        <v>0</v>
      </c>
      <c r="AV433" s="5">
        <f>+IFERROR(IF(AV366&lt;'הנחות עבודה'!$D$34,AV399,0),0)</f>
        <v>0</v>
      </c>
      <c r="AW433" s="5">
        <f>+IFERROR(IF(AW366&lt;'הנחות עבודה'!$D$34,AW399,0),0)</f>
        <v>0</v>
      </c>
      <c r="AX433" s="5">
        <f>+IFERROR(IF(AX366&lt;'הנחות עבודה'!$D$34,AX399,0),0)</f>
        <v>0</v>
      </c>
      <c r="AY433" s="5">
        <f>+IFERROR(IF(AY366&lt;'הנחות עבודה'!$D$34,AY399,0),0)</f>
        <v>0</v>
      </c>
      <c r="AZ433" s="5">
        <f>+IFERROR(IF(AZ366&lt;'הנחות עבודה'!$D$34,AZ399,0),0)</f>
        <v>0</v>
      </c>
      <c r="BA433" s="5">
        <f>+IFERROR(IF(BA366&lt;'הנחות עבודה'!$D$34,BA399,0),0)</f>
        <v>0</v>
      </c>
      <c r="BB433" s="5">
        <f>+IFERROR(IF(BB366&lt;'הנחות עבודה'!$D$34,BB399,0),0)</f>
        <v>3596</v>
      </c>
      <c r="BC433" s="5">
        <f>+IFERROR(IF(BC366&lt;'הנחות עבודה'!$D$34,BC399,0),0)</f>
        <v>7751</v>
      </c>
      <c r="BD433" s="5">
        <f>+IFERROR(IF(BD366&lt;'הנחות עבודה'!$D$34,BD399,0),0)</f>
        <v>0</v>
      </c>
      <c r="BE433" s="5">
        <f>+IFERROR(IF(BE366&lt;'הנחות עבודה'!$D$34,BE399,0),0)</f>
        <v>0</v>
      </c>
      <c r="BF433" s="5">
        <f>+IFERROR(IF(BF366&lt;'הנחות עבודה'!$D$34,BF399,0),0)</f>
        <v>0</v>
      </c>
    </row>
    <row r="434" spans="2:58" x14ac:dyDescent="0.2">
      <c r="B434" s="1">
        <v>7</v>
      </c>
      <c r="C434" s="5">
        <f>+IFERROR(IF(C367&lt;'הנחות עבודה'!$D$34,C400,0),0)</f>
        <v>0</v>
      </c>
      <c r="D434" s="5">
        <f>+IFERROR(IF(D367&lt;'הנחות עבודה'!$D$34,D400,0),0)</f>
        <v>6238</v>
      </c>
      <c r="E434" s="5">
        <f>+IFERROR(IF(E367&lt;'הנחות עבודה'!$D$34,E400,0),0)</f>
        <v>0</v>
      </c>
      <c r="F434" s="5">
        <f>+IFERROR(IF(F367&lt;'הנחות עבודה'!$D$34,F400,0),0)</f>
        <v>0</v>
      </c>
      <c r="G434" s="5">
        <f>+IFERROR(IF(G367&lt;'הנחות עבודה'!$D$34,G400,0),0)</f>
        <v>0</v>
      </c>
      <c r="H434" s="5">
        <f>+IFERROR(IF(H367&lt;'הנחות עבודה'!$D$34,H400,0),0)</f>
        <v>0</v>
      </c>
      <c r="I434" s="5">
        <f>+IFERROR(IF(I367&lt;'הנחות עבודה'!$D$34,I400,0),0)</f>
        <v>0</v>
      </c>
      <c r="J434" s="5">
        <f>+IFERROR(IF(J367&lt;'הנחות עבודה'!$D$34,J400,0),0)</f>
        <v>0</v>
      </c>
      <c r="K434" s="5">
        <f>+IFERROR(IF(K367&lt;'הנחות עבודה'!$D$34,K400,0),0)</f>
        <v>0</v>
      </c>
      <c r="L434" s="5">
        <f>+IFERROR(IF(L367&lt;'הנחות עבודה'!$D$34,L400,0),0)</f>
        <v>0</v>
      </c>
      <c r="M434" s="5">
        <f>+IFERROR(IF(M367&lt;'הנחות עבודה'!$D$34,M400,0),0)</f>
        <v>0</v>
      </c>
      <c r="N434" s="5">
        <f>+IFERROR(IF(N367&lt;'הנחות עבודה'!$D$34,N400,0),0)</f>
        <v>0</v>
      </c>
      <c r="O434" s="5">
        <f>+IFERROR(IF(O367&lt;'הנחות עבודה'!$D$34,O400,0),0)</f>
        <v>0</v>
      </c>
      <c r="P434" s="5">
        <f>+IFERROR(IF(P367&lt;'הנחות עבודה'!$D$34,P400,0),0)</f>
        <v>5960</v>
      </c>
      <c r="Q434" s="5">
        <f>+IFERROR(IF(Q367&lt;'הנחות עבודה'!$D$34,Q400,0),0)</f>
        <v>0</v>
      </c>
      <c r="R434" s="5">
        <f>+IFERROR(IF(R367&lt;'הנחות עבודה'!$D$34,R400,0),0)</f>
        <v>0</v>
      </c>
      <c r="S434" s="5">
        <f>+IFERROR(IF(S367&lt;'הנחות עבודה'!$D$34,S400,0),0)</f>
        <v>0</v>
      </c>
      <c r="T434" s="5">
        <f t="shared" si="52"/>
        <v>0</v>
      </c>
      <c r="U434" s="5">
        <f t="shared" si="50"/>
        <v>0</v>
      </c>
      <c r="V434" s="5">
        <f>+IFERROR(IF(V367&lt;'הנחות עבודה'!$D$34,V400,0),0)</f>
        <v>5568</v>
      </c>
      <c r="W434" s="5">
        <f>+IFERROR(IF(W367&lt;'הנחות עבודה'!$D$34,W400,0),0)</f>
        <v>6375</v>
      </c>
      <c r="X434" s="5">
        <f>+IFERROR(IF(X367&lt;'הנחות עבודה'!$D$34,X400,0),0)</f>
        <v>0</v>
      </c>
      <c r="Y434" s="5">
        <f>+IFERROR(IF(Y367&lt;'הנחות עבודה'!$D$34,Y400,0),0)</f>
        <v>0</v>
      </c>
      <c r="Z434" s="5">
        <f>+IFERROR(IF(Z367&lt;'הנחות עבודה'!$D$34,Z400,0),0)</f>
        <v>0</v>
      </c>
      <c r="AA434" s="5">
        <f>+IFERROR(IF(AA367&lt;'הנחות עבודה'!$D$34,AA400,0),0)</f>
        <v>0</v>
      </c>
      <c r="AB434" s="5">
        <f>+IFERROR(IF(AB367&lt;'הנחות עבודה'!$D$34,AB400,0),0)</f>
        <v>0</v>
      </c>
      <c r="AC434" s="5">
        <f>+IFERROR(IF(AC367&lt;'הנחות עבודה'!$D$34,AC400,0),0)</f>
        <v>0</v>
      </c>
      <c r="AD434" s="5">
        <f>+IFERROR(IF(AD367&lt;'הנחות עבודה'!$D$34,AD400,0),0)</f>
        <v>0</v>
      </c>
      <c r="AE434" s="5">
        <f>+IFERROR(IF(AE367&lt;'הנחות עבודה'!$D$34,AE400,0),0)</f>
        <v>0</v>
      </c>
      <c r="AF434" s="5">
        <f>+IFERROR(IF(AF367&lt;'הנחות עבודה'!$D$34,AF400,0),0)</f>
        <v>0</v>
      </c>
      <c r="AG434" s="5">
        <f>+IFERROR(IF(AG367&lt;'הנחות עבודה'!$D$34,AG400,0),0)</f>
        <v>0</v>
      </c>
      <c r="AH434" s="5">
        <f>+IFERROR(IF(AH367&lt;'הנחות עבודה'!$D$34,AH400,0),0)</f>
        <v>0</v>
      </c>
      <c r="AI434" s="5">
        <f>+IFERROR(IF(AI367&lt;'הנחות עבודה'!$D$34,AI400,0),0)</f>
        <v>0</v>
      </c>
      <c r="AJ434" s="5">
        <f>+IFERROR(IF(AJ367&lt;'הנחות עבודה'!$D$34,AJ400,0),0)</f>
        <v>0</v>
      </c>
      <c r="AK434" s="5">
        <f>+IFERROR(IF(AK367&lt;'הנחות עבודה'!$D$34,AK400,0),0)</f>
        <v>0</v>
      </c>
      <c r="AL434" s="5">
        <f>+IFERROR(IF(AL367&lt;'הנחות עבודה'!$D$34,AL400,0),0)</f>
        <v>0</v>
      </c>
      <c r="AM434" s="5">
        <f>+IFERROR(IF(AM367&lt;'הנחות עבודה'!$D$34,AM400,0),0)</f>
        <v>0</v>
      </c>
      <c r="AN434" s="5">
        <f>+IFERROR(IF(AN367&lt;'הנחות עבודה'!$D$34,AN400,0),0)</f>
        <v>0</v>
      </c>
      <c r="AO434" s="5">
        <f>+IFERROR(IF(AO367&lt;'הנחות עבודה'!$D$34,AO400,0),0)</f>
        <v>0</v>
      </c>
      <c r="AP434" s="5">
        <f>+IFERROR(IF(AP367&lt;'הנחות עבודה'!$D$34,AP400,0),0)</f>
        <v>0</v>
      </c>
      <c r="AQ434" s="5">
        <f>+IFERROR(IF(AQ367&lt;'הנחות עבודה'!$D$34,AQ400,0),0)</f>
        <v>0</v>
      </c>
      <c r="AR434" s="5">
        <f>+IFERROR(IF(AR367&lt;'הנחות עבודה'!$D$34,AR400,0),0)</f>
        <v>0</v>
      </c>
      <c r="AS434" s="5">
        <f>+IFERROR(IF(AS367&lt;'הנחות עבודה'!$D$34,AS400,0),0)</f>
        <v>6480</v>
      </c>
      <c r="AT434" s="5">
        <f>+IFERROR(IF(AT367&lt;'הנחות עבודה'!$D$34,AT400,0),0)</f>
        <v>0</v>
      </c>
      <c r="AU434" s="5">
        <f>+IFERROR(IF(AU367&lt;'הנחות עבודה'!$D$34,AU400,0),0)</f>
        <v>0</v>
      </c>
      <c r="AV434" s="5">
        <f>+IFERROR(IF(AV367&lt;'הנחות עבודה'!$D$34,AV400,0),0)</f>
        <v>0</v>
      </c>
      <c r="AW434" s="5">
        <f>+IFERROR(IF(AW367&lt;'הנחות עבודה'!$D$34,AW400,0),0)</f>
        <v>0</v>
      </c>
      <c r="AX434" s="5">
        <f>+IFERROR(IF(AX367&lt;'הנחות עבודה'!$D$34,AX400,0),0)</f>
        <v>0</v>
      </c>
      <c r="AY434" s="5">
        <f>+IFERROR(IF(AY367&lt;'הנחות עבודה'!$D$34,AY400,0),0)</f>
        <v>0</v>
      </c>
      <c r="AZ434" s="5">
        <f>+IFERROR(IF(AZ367&lt;'הנחות עבודה'!$D$34,AZ400,0),0)</f>
        <v>0</v>
      </c>
      <c r="BA434" s="5">
        <f>+IFERROR(IF(BA367&lt;'הנחות עבודה'!$D$34,BA400,0),0)</f>
        <v>0</v>
      </c>
      <c r="BB434" s="5">
        <f>+IFERROR(IF(BB367&lt;'הנחות עבודה'!$D$34,BB400,0),0)</f>
        <v>6179</v>
      </c>
      <c r="BC434" s="5">
        <f>+IFERROR(IF(BC367&lt;'הנחות עבודה'!$D$34,BC400,0),0)</f>
        <v>14505</v>
      </c>
      <c r="BD434" s="5">
        <f>+IFERROR(IF(BD367&lt;'הנחות עבודה'!$D$34,BD400,0),0)</f>
        <v>0</v>
      </c>
      <c r="BE434" s="5">
        <f>+IFERROR(IF(BE367&lt;'הנחות עבודה'!$D$34,BE400,0),0)</f>
        <v>0</v>
      </c>
      <c r="BF434" s="5">
        <f>+IFERROR(IF(BF367&lt;'הנחות עבודה'!$D$34,BF400,0),0)</f>
        <v>0</v>
      </c>
    </row>
    <row r="435" spans="2:58" x14ac:dyDescent="0.2">
      <c r="B435" s="1">
        <v>8</v>
      </c>
      <c r="C435" s="5">
        <f>+IFERROR(IF(C368&lt;'הנחות עבודה'!$D$34,C401,0),0)</f>
        <v>0</v>
      </c>
      <c r="D435" s="5">
        <f>+IFERROR(IF(D368&lt;'הנחות עבודה'!$D$34,D401,0),0)</f>
        <v>0</v>
      </c>
      <c r="E435" s="5">
        <f>+IFERROR(IF(E368&lt;'הנחות עבודה'!$D$34,E401,0),0)</f>
        <v>0</v>
      </c>
      <c r="F435" s="5">
        <f>+IFERROR(IF(F368&lt;'הנחות עבודה'!$D$34,F401,0),0)</f>
        <v>0</v>
      </c>
      <c r="G435" s="5">
        <f>+IFERROR(IF(G368&lt;'הנחות עבודה'!$D$34,G401,0),0)</f>
        <v>0</v>
      </c>
      <c r="H435" s="5">
        <f>+IFERROR(IF(H368&lt;'הנחות עבודה'!$D$34,H401,0),0)</f>
        <v>0</v>
      </c>
      <c r="I435" s="5">
        <f>+IFERROR(IF(I368&lt;'הנחות עבודה'!$D$34,I401,0),0)</f>
        <v>0</v>
      </c>
      <c r="J435" s="5">
        <f>+IFERROR(IF(J368&lt;'הנחות עבודה'!$D$34,J401,0),0)</f>
        <v>0</v>
      </c>
      <c r="K435" s="5">
        <f>+IFERROR(IF(K368&lt;'הנחות עבודה'!$D$34,K401,0),0)</f>
        <v>0</v>
      </c>
      <c r="L435" s="5">
        <f>+IFERROR(IF(L368&lt;'הנחות עבודה'!$D$34,L401,0),0)</f>
        <v>0</v>
      </c>
      <c r="M435" s="5">
        <f>+IFERROR(IF(M368&lt;'הנחות עבודה'!$D$34,M401,0),0)</f>
        <v>0</v>
      </c>
      <c r="N435" s="5">
        <f>+IFERROR(IF(N368&lt;'הנחות עבודה'!$D$34,N401,0),0)</f>
        <v>0</v>
      </c>
      <c r="O435" s="5">
        <f>+IFERROR(IF(O368&lt;'הנחות עבודה'!$D$34,O401,0),0)</f>
        <v>0</v>
      </c>
      <c r="P435" s="5">
        <f>+IFERROR(IF(P368&lt;'הנחות עבודה'!$D$34,P401,0),0)</f>
        <v>2977</v>
      </c>
      <c r="Q435" s="5">
        <f>+IFERROR(IF(Q368&lt;'הנחות עבודה'!$D$34,Q401,0),0)</f>
        <v>0</v>
      </c>
      <c r="R435" s="5">
        <f>+IFERROR(IF(R368&lt;'הנחות עבודה'!$D$34,R401,0),0)</f>
        <v>0</v>
      </c>
      <c r="S435" s="5">
        <f>+IFERROR(IF(S368&lt;'הנחות עבודה'!$D$34,S401,0),0)</f>
        <v>0</v>
      </c>
      <c r="T435" s="5">
        <f t="shared" si="52"/>
        <v>0</v>
      </c>
      <c r="U435" s="5">
        <f t="shared" si="50"/>
        <v>0</v>
      </c>
      <c r="V435" s="5">
        <f>+IFERROR(IF(V368&lt;'הנחות עבודה'!$D$34,V401,0),0)</f>
        <v>0</v>
      </c>
      <c r="W435" s="5">
        <f>+IFERROR(IF(W368&lt;'הנחות עבודה'!$D$34,W401,0),0)</f>
        <v>0</v>
      </c>
      <c r="X435" s="5">
        <f>+IFERROR(IF(X368&lt;'הנחות עבודה'!$D$34,X401,0),0)</f>
        <v>0</v>
      </c>
      <c r="Y435" s="5">
        <f>+IFERROR(IF(Y368&lt;'הנחות עבודה'!$D$34,Y401,0),0)</f>
        <v>0</v>
      </c>
      <c r="Z435" s="5">
        <f>+IFERROR(IF(Z368&lt;'הנחות עבודה'!$D$34,Z401,0),0)</f>
        <v>0</v>
      </c>
      <c r="AA435" s="5">
        <f>+IFERROR(IF(AA368&lt;'הנחות עבודה'!$D$34,AA401,0),0)</f>
        <v>0</v>
      </c>
      <c r="AB435" s="5">
        <f>+IFERROR(IF(AB368&lt;'הנחות עבודה'!$D$34,AB401,0),0)</f>
        <v>0</v>
      </c>
      <c r="AC435" s="5">
        <f>+IFERROR(IF(AC368&lt;'הנחות עבודה'!$D$34,AC401,0),0)</f>
        <v>0</v>
      </c>
      <c r="AD435" s="5">
        <f>+IFERROR(IF(AD368&lt;'הנחות עבודה'!$D$34,AD401,0),0)</f>
        <v>0</v>
      </c>
      <c r="AE435" s="5">
        <f>+IFERROR(IF(AE368&lt;'הנחות עבודה'!$D$34,AE401,0),0)</f>
        <v>0</v>
      </c>
      <c r="AF435" s="5">
        <f>+IFERROR(IF(AF368&lt;'הנחות עבודה'!$D$34,AF401,0),0)</f>
        <v>0</v>
      </c>
      <c r="AG435" s="5">
        <f>+IFERROR(IF(AG368&lt;'הנחות עבודה'!$D$34,AG401,0),0)</f>
        <v>0</v>
      </c>
      <c r="AH435" s="5">
        <f>+IFERROR(IF(AH368&lt;'הנחות עבודה'!$D$34,AH401,0),0)</f>
        <v>0</v>
      </c>
      <c r="AI435" s="5">
        <f>+IFERROR(IF(AI368&lt;'הנחות עבודה'!$D$34,AI401,0),0)</f>
        <v>0</v>
      </c>
      <c r="AJ435" s="5">
        <f>+IFERROR(IF(AJ368&lt;'הנחות עבודה'!$D$34,AJ401,0),0)</f>
        <v>0</v>
      </c>
      <c r="AK435" s="5">
        <f>+IFERROR(IF(AK368&lt;'הנחות עבודה'!$D$34,AK401,0),0)</f>
        <v>0</v>
      </c>
      <c r="AL435" s="5">
        <f>+IFERROR(IF(AL368&lt;'הנחות עבודה'!$D$34,AL401,0),0)</f>
        <v>0</v>
      </c>
      <c r="AM435" s="5">
        <f>+IFERROR(IF(AM368&lt;'הנחות עבודה'!$D$34,AM401,0),0)</f>
        <v>0</v>
      </c>
      <c r="AN435" s="5">
        <f>+IFERROR(IF(AN368&lt;'הנחות עבודה'!$D$34,AN401,0),0)</f>
        <v>0</v>
      </c>
      <c r="AO435" s="5">
        <f>+IFERROR(IF(AO368&lt;'הנחות עבודה'!$D$34,AO401,0),0)</f>
        <v>0</v>
      </c>
      <c r="AP435" s="5">
        <f>+IFERROR(IF(AP368&lt;'הנחות עבודה'!$D$34,AP401,0),0)</f>
        <v>0</v>
      </c>
      <c r="AQ435" s="5">
        <f>+IFERROR(IF(AQ368&lt;'הנחות עבודה'!$D$34,AQ401,0),0)</f>
        <v>0</v>
      </c>
      <c r="AR435" s="5">
        <f>+IFERROR(IF(AR368&lt;'הנחות עבודה'!$D$34,AR401,0),0)</f>
        <v>0</v>
      </c>
      <c r="AS435" s="5">
        <f>+IFERROR(IF(AS368&lt;'הנחות עבודה'!$D$34,AS401,0),0)</f>
        <v>12479</v>
      </c>
      <c r="AT435" s="5">
        <f>+IFERROR(IF(AT368&lt;'הנחות עבודה'!$D$34,AT401,0),0)</f>
        <v>0</v>
      </c>
      <c r="AU435" s="5">
        <f>+IFERROR(IF(AU368&lt;'הנחות עבודה'!$D$34,AU401,0),0)</f>
        <v>0</v>
      </c>
      <c r="AV435" s="5">
        <f>+IFERROR(IF(AV368&lt;'הנחות עבודה'!$D$34,AV401,0),0)</f>
        <v>0</v>
      </c>
      <c r="AW435" s="5">
        <f>+IFERROR(IF(AW368&lt;'הנחות עבודה'!$D$34,AW401,0),0)</f>
        <v>0</v>
      </c>
      <c r="AX435" s="5">
        <f>+IFERROR(IF(AX368&lt;'הנחות עבודה'!$D$34,AX401,0),0)</f>
        <v>0</v>
      </c>
      <c r="AY435" s="5">
        <f>+IFERROR(IF(AY368&lt;'הנחות עבודה'!$D$34,AY401,0),0)</f>
        <v>0</v>
      </c>
      <c r="AZ435" s="5">
        <f>+IFERROR(IF(AZ368&lt;'הנחות עבודה'!$D$34,AZ401,0),0)</f>
        <v>0</v>
      </c>
      <c r="BA435" s="5">
        <f>+IFERROR(IF(BA368&lt;'הנחות עבודה'!$D$34,BA401,0),0)</f>
        <v>0</v>
      </c>
      <c r="BB435" s="5">
        <f>+IFERROR(IF(BB368&lt;'הנחות עבודה'!$D$34,BB401,0),0)</f>
        <v>0</v>
      </c>
      <c r="BC435" s="5">
        <f>+IFERROR(IF(BC368&lt;'הנחות עבודה'!$D$34,BC401,0),0)</f>
        <v>0</v>
      </c>
      <c r="BD435" s="5">
        <f>+IFERROR(IF(BD368&lt;'הנחות עבודה'!$D$34,BD401,0),0)</f>
        <v>0</v>
      </c>
      <c r="BE435" s="5">
        <f>+IFERROR(IF(BE368&lt;'הנחות עבודה'!$D$34,BE401,0),0)</f>
        <v>0</v>
      </c>
      <c r="BF435" s="5">
        <f>+IFERROR(IF(BF368&lt;'הנחות עבודה'!$D$34,BF401,0),0)</f>
        <v>0</v>
      </c>
    </row>
    <row r="436" spans="2:58" x14ac:dyDescent="0.2">
      <c r="B436" s="1">
        <v>9</v>
      </c>
      <c r="C436" s="5">
        <f>+IFERROR(IF(C369&lt;'הנחות עבודה'!$D$34,C402,0),0)</f>
        <v>0</v>
      </c>
      <c r="D436" s="5">
        <f>+IFERROR(IF(D369&lt;'הנחות עבודה'!$D$34,D402,0),0)</f>
        <v>0</v>
      </c>
      <c r="E436" s="5">
        <f>+IFERROR(IF(E369&lt;'הנחות עבודה'!$D$34,E402,0),0)</f>
        <v>0</v>
      </c>
      <c r="F436" s="5">
        <f>+IFERROR(IF(F369&lt;'הנחות עבודה'!$D$34,F402,0),0)</f>
        <v>0</v>
      </c>
      <c r="G436" s="5">
        <f>+IFERROR(IF(G369&lt;'הנחות עבודה'!$D$34,G402,0),0)</f>
        <v>0</v>
      </c>
      <c r="H436" s="5">
        <f>+IFERROR(IF(H369&lt;'הנחות עבודה'!$D$34,H402,0),0)</f>
        <v>0</v>
      </c>
      <c r="I436" s="5">
        <f>+IFERROR(IF(I369&lt;'הנחות עבודה'!$D$34,I402,0),0)</f>
        <v>0</v>
      </c>
      <c r="J436" s="5">
        <f>+IFERROR(IF(J369&lt;'הנחות עבודה'!$D$34,J402,0),0)</f>
        <v>0</v>
      </c>
      <c r="K436" s="5">
        <f>+IFERROR(IF(K369&lt;'הנחות עבודה'!$D$34,K402,0),0)</f>
        <v>0</v>
      </c>
      <c r="L436" s="5">
        <f>+IFERROR(IF(L369&lt;'הנחות עבודה'!$D$34,L402,0),0)</f>
        <v>0</v>
      </c>
      <c r="M436" s="5">
        <f>+IFERROR(IF(M369&lt;'הנחות עבודה'!$D$34,M402,0),0)</f>
        <v>0</v>
      </c>
      <c r="N436" s="5">
        <f>+IFERROR(IF(N369&lt;'הנחות עבודה'!$D$34,N402,0),0)</f>
        <v>0</v>
      </c>
      <c r="O436" s="5">
        <f>+IFERROR(IF(O369&lt;'הנחות עבודה'!$D$34,O402,0),0)</f>
        <v>0</v>
      </c>
      <c r="P436" s="5">
        <f>+IFERROR(IF(P369&lt;'הנחות עבודה'!$D$34,P402,0),0)</f>
        <v>21312</v>
      </c>
      <c r="Q436" s="5">
        <f>+IFERROR(IF(Q369&lt;'הנחות עבודה'!$D$34,Q402,0),0)</f>
        <v>0</v>
      </c>
      <c r="R436" s="5">
        <f>+IFERROR(IF(R369&lt;'הנחות עבודה'!$D$34,R402,0),0)</f>
        <v>0</v>
      </c>
      <c r="S436" s="5">
        <f>+IFERROR(IF(S369&lt;'הנחות עבודה'!$D$34,S402,0),0)</f>
        <v>0</v>
      </c>
      <c r="T436" s="5">
        <f t="shared" si="52"/>
        <v>0</v>
      </c>
      <c r="U436" s="5">
        <f t="shared" si="50"/>
        <v>0</v>
      </c>
      <c r="V436" s="5">
        <f>+IFERROR(IF(V369&lt;'הנחות עבודה'!$D$34,V402,0),0)</f>
        <v>0</v>
      </c>
      <c r="W436" s="5">
        <f>+IFERROR(IF(W369&lt;'הנחות עבודה'!$D$34,W402,0),0)</f>
        <v>0</v>
      </c>
      <c r="X436" s="5">
        <f>+IFERROR(IF(X369&lt;'הנחות עבודה'!$D$34,X402,0),0)</f>
        <v>0</v>
      </c>
      <c r="Y436" s="5">
        <f>+IFERROR(IF(Y369&lt;'הנחות עבודה'!$D$34,Y402,0),0)</f>
        <v>0</v>
      </c>
      <c r="Z436" s="5">
        <f>+IFERROR(IF(Z369&lt;'הנחות עבודה'!$D$34,Z402,0),0)</f>
        <v>0</v>
      </c>
      <c r="AA436" s="5">
        <f>+IFERROR(IF(AA369&lt;'הנחות עבודה'!$D$34,AA402,0),0)</f>
        <v>0</v>
      </c>
      <c r="AB436" s="5">
        <f>+IFERROR(IF(AB369&lt;'הנחות עבודה'!$D$34,AB402,0),0)</f>
        <v>0</v>
      </c>
      <c r="AC436" s="5">
        <f>+IFERROR(IF(AC369&lt;'הנחות עבודה'!$D$34,AC402,0),0)</f>
        <v>0</v>
      </c>
      <c r="AD436" s="5">
        <f>+IFERROR(IF(AD369&lt;'הנחות עבודה'!$D$34,AD402,0),0)</f>
        <v>0</v>
      </c>
      <c r="AE436" s="5">
        <f>+IFERROR(IF(AE369&lt;'הנחות עבודה'!$D$34,AE402,0),0)</f>
        <v>0</v>
      </c>
      <c r="AF436" s="5">
        <f>+IFERROR(IF(AF369&lt;'הנחות עבודה'!$D$34,AF402,0),0)</f>
        <v>0</v>
      </c>
      <c r="AG436" s="5">
        <f>+IFERROR(IF(AG369&lt;'הנחות עבודה'!$D$34,AG402,0),0)</f>
        <v>0</v>
      </c>
      <c r="AH436" s="5">
        <f>+IFERROR(IF(AH369&lt;'הנחות עבודה'!$D$34,AH402,0),0)</f>
        <v>0</v>
      </c>
      <c r="AI436" s="5">
        <f>+IFERROR(IF(AI369&lt;'הנחות עבודה'!$D$34,AI402,0),0)</f>
        <v>0</v>
      </c>
      <c r="AJ436" s="5">
        <f>+IFERROR(IF(AJ369&lt;'הנחות עבודה'!$D$34,AJ402,0),0)</f>
        <v>0</v>
      </c>
      <c r="AK436" s="5">
        <f>+IFERROR(IF(AK369&lt;'הנחות עבודה'!$D$34,AK402,0),0)</f>
        <v>0</v>
      </c>
      <c r="AL436" s="5">
        <f>+IFERROR(IF(AL369&lt;'הנחות עבודה'!$D$34,AL402,0),0)</f>
        <v>0</v>
      </c>
      <c r="AM436" s="5">
        <f>+IFERROR(IF(AM369&lt;'הנחות עבודה'!$D$34,AM402,0),0)</f>
        <v>0</v>
      </c>
      <c r="AN436" s="5">
        <f>+IFERROR(IF(AN369&lt;'הנחות עבודה'!$D$34,AN402,0),0)</f>
        <v>0</v>
      </c>
      <c r="AO436" s="5">
        <f>+IFERROR(IF(AO369&lt;'הנחות עבודה'!$D$34,AO402,0),0)</f>
        <v>0</v>
      </c>
      <c r="AP436" s="5">
        <f>+IFERROR(IF(AP369&lt;'הנחות עבודה'!$D$34,AP402,0),0)</f>
        <v>0</v>
      </c>
      <c r="AQ436" s="5">
        <f>+IFERROR(IF(AQ369&lt;'הנחות עבודה'!$D$34,AQ402,0),0)</f>
        <v>0</v>
      </c>
      <c r="AR436" s="5">
        <f>+IFERROR(IF(AR369&lt;'הנחות עבודה'!$D$34,AR402,0),0)</f>
        <v>0</v>
      </c>
      <c r="AS436" s="5">
        <f>+IFERROR(IF(AS369&lt;'הנחות עבודה'!$D$34,AS402,0),0)</f>
        <v>3237</v>
      </c>
      <c r="AT436" s="5">
        <f>+IFERROR(IF(AT369&lt;'הנחות עבודה'!$D$34,AT402,0),0)</f>
        <v>0</v>
      </c>
      <c r="AU436" s="5">
        <f>+IFERROR(IF(AU369&lt;'הנחות עבודה'!$D$34,AU402,0),0)</f>
        <v>0</v>
      </c>
      <c r="AV436" s="5">
        <f>+IFERROR(IF(AV369&lt;'הנחות עבודה'!$D$34,AV402,0),0)</f>
        <v>0</v>
      </c>
      <c r="AW436" s="5">
        <f>+IFERROR(IF(AW369&lt;'הנחות עבודה'!$D$34,AW402,0),0)</f>
        <v>0</v>
      </c>
      <c r="AX436" s="5">
        <f>+IFERROR(IF(AX369&lt;'הנחות עבודה'!$D$34,AX402,0),0)</f>
        <v>0</v>
      </c>
      <c r="AY436" s="5">
        <f>+IFERROR(IF(AY369&lt;'הנחות עבודה'!$D$34,AY402,0),0)</f>
        <v>0</v>
      </c>
      <c r="AZ436" s="5">
        <f>+IFERROR(IF(AZ369&lt;'הנחות עבודה'!$D$34,AZ402,0),0)</f>
        <v>0</v>
      </c>
      <c r="BA436" s="5">
        <f>+IFERROR(IF(BA369&lt;'הנחות עבודה'!$D$34,BA402,0),0)</f>
        <v>0</v>
      </c>
      <c r="BB436" s="5">
        <f>+IFERROR(IF(BB369&lt;'הנחות עבודה'!$D$34,BB402,0),0)</f>
        <v>0</v>
      </c>
      <c r="BC436" s="5">
        <f>+IFERROR(IF(BC369&lt;'הנחות עבודה'!$D$34,BC402,0),0)</f>
        <v>0</v>
      </c>
      <c r="BD436" s="5">
        <f>+IFERROR(IF(BD369&lt;'הנחות עבודה'!$D$34,BD402,0),0)</f>
        <v>0</v>
      </c>
      <c r="BE436" s="5">
        <f>+IFERROR(IF(BE369&lt;'הנחות עבודה'!$D$34,BE402,0),0)</f>
        <v>0</v>
      </c>
      <c r="BF436" s="5">
        <f>+IFERROR(IF(BF369&lt;'הנחות עבודה'!$D$34,BF402,0),0)</f>
        <v>0</v>
      </c>
    </row>
    <row r="437" spans="2:58" x14ac:dyDescent="0.2">
      <c r="B437" s="1">
        <v>10</v>
      </c>
      <c r="C437" s="5">
        <f>+IFERROR(IF(C370&lt;'הנחות עבודה'!$D$34,C403,0),0)</f>
        <v>0</v>
      </c>
      <c r="D437" s="5">
        <f>+IFERROR(IF(D370&lt;'הנחות עבודה'!$D$34,D403,0),0)</f>
        <v>0</v>
      </c>
      <c r="E437" s="5">
        <f>+IFERROR(IF(E370&lt;'הנחות עבודה'!$D$34,E403,0),0)</f>
        <v>0</v>
      </c>
      <c r="F437" s="5">
        <f>+IFERROR(IF(F370&lt;'הנחות עבודה'!$D$34,F403,0),0)</f>
        <v>0</v>
      </c>
      <c r="G437" s="5">
        <f>+IFERROR(IF(G370&lt;'הנחות עבודה'!$D$34,G403,0),0)</f>
        <v>0</v>
      </c>
      <c r="H437" s="5">
        <f>+IFERROR(IF(H370&lt;'הנחות עבודה'!$D$34,H403,0),0)</f>
        <v>0</v>
      </c>
      <c r="I437" s="5">
        <f>+IFERROR(IF(I370&lt;'הנחות עבודה'!$D$34,I403,0),0)</f>
        <v>0</v>
      </c>
      <c r="J437" s="5">
        <f>+IFERROR(IF(J370&lt;'הנחות עבודה'!$D$34,J403,0),0)</f>
        <v>0</v>
      </c>
      <c r="K437" s="5">
        <f>+IFERROR(IF(K370&lt;'הנחות עבודה'!$D$34,K403,0),0)</f>
        <v>0</v>
      </c>
      <c r="L437" s="5">
        <f>+IFERROR(IF(L370&lt;'הנחות עבודה'!$D$34,L403,0),0)</f>
        <v>0</v>
      </c>
      <c r="M437" s="5">
        <f>+IFERROR(IF(M370&lt;'הנחות עבודה'!$D$34,M403,0),0)</f>
        <v>0</v>
      </c>
      <c r="N437" s="5">
        <f>+IFERROR(IF(N370&lt;'הנחות עבודה'!$D$34,N403,0),0)</f>
        <v>0</v>
      </c>
      <c r="O437" s="5">
        <f>+IFERROR(IF(O370&lt;'הנחות עבודה'!$D$34,O403,0),0)</f>
        <v>0</v>
      </c>
      <c r="P437" s="5">
        <f>+IFERROR(IF(P370&lt;'הנחות עבודה'!$D$34,P403,0),0)</f>
        <v>7341</v>
      </c>
      <c r="Q437" s="5">
        <f>+IFERROR(IF(Q370&lt;'הנחות עבודה'!$D$34,Q403,0),0)</f>
        <v>0</v>
      </c>
      <c r="R437" s="5">
        <f>+IFERROR(IF(R370&lt;'הנחות עבודה'!$D$34,R403,0),0)</f>
        <v>0</v>
      </c>
      <c r="S437" s="5">
        <f>+IFERROR(IF(S370&lt;'הנחות עבודה'!$D$34,S403,0),0)</f>
        <v>0</v>
      </c>
      <c r="T437" s="5">
        <f t="shared" si="52"/>
        <v>0</v>
      </c>
      <c r="U437" s="5">
        <f t="shared" si="50"/>
        <v>0</v>
      </c>
      <c r="V437" s="5">
        <f>+IFERROR(IF(V370&lt;'הנחות עבודה'!$D$34,V403,0),0)</f>
        <v>0</v>
      </c>
      <c r="W437" s="5">
        <f>+IFERROR(IF(W370&lt;'הנחות עבודה'!$D$34,W403,0),0)</f>
        <v>0</v>
      </c>
      <c r="X437" s="5">
        <f>+IFERROR(IF(X370&lt;'הנחות עבודה'!$D$34,X403,0),0)</f>
        <v>0</v>
      </c>
      <c r="Y437" s="5">
        <f>+IFERROR(IF(Y370&lt;'הנחות עבודה'!$D$34,Y403,0),0)</f>
        <v>0</v>
      </c>
      <c r="Z437" s="5">
        <f>+IFERROR(IF(Z370&lt;'הנחות עבודה'!$D$34,Z403,0),0)</f>
        <v>0</v>
      </c>
      <c r="AA437" s="5">
        <f>+IFERROR(IF(AA370&lt;'הנחות עבודה'!$D$34,AA403,0),0)</f>
        <v>0</v>
      </c>
      <c r="AB437" s="5">
        <f>+IFERROR(IF(AB370&lt;'הנחות עבודה'!$D$34,AB403,0),0)</f>
        <v>0</v>
      </c>
      <c r="AC437" s="5">
        <f>+IFERROR(IF(AC370&lt;'הנחות עבודה'!$D$34,AC403,0),0)</f>
        <v>0</v>
      </c>
      <c r="AD437" s="5">
        <f>+IFERROR(IF(AD370&lt;'הנחות עבודה'!$D$34,AD403,0),0)</f>
        <v>0</v>
      </c>
      <c r="AE437" s="5">
        <f>+IFERROR(IF(AE370&lt;'הנחות עבודה'!$D$34,AE403,0),0)</f>
        <v>0</v>
      </c>
      <c r="AF437" s="5">
        <f>+IFERROR(IF(AF370&lt;'הנחות עבודה'!$D$34,AF403,0),0)</f>
        <v>0</v>
      </c>
      <c r="AG437" s="5">
        <f>+IFERROR(IF(AG370&lt;'הנחות עבודה'!$D$34,AG403,0),0)</f>
        <v>0</v>
      </c>
      <c r="AH437" s="5">
        <f>+IFERROR(IF(AH370&lt;'הנחות עבודה'!$D$34,AH403,0),0)</f>
        <v>0</v>
      </c>
      <c r="AI437" s="5">
        <f>+IFERROR(IF(AI370&lt;'הנחות עבודה'!$D$34,AI403,0),0)</f>
        <v>0</v>
      </c>
      <c r="AJ437" s="5">
        <f>+IFERROR(IF(AJ370&lt;'הנחות עבודה'!$D$34,AJ403,0),0)</f>
        <v>0</v>
      </c>
      <c r="AK437" s="5">
        <f>+IFERROR(IF(AK370&lt;'הנחות עבודה'!$D$34,AK403,0),0)</f>
        <v>0</v>
      </c>
      <c r="AL437" s="5">
        <f>+IFERROR(IF(AL370&lt;'הנחות עבודה'!$D$34,AL403,0),0)</f>
        <v>0</v>
      </c>
      <c r="AM437" s="5">
        <f>+IFERROR(IF(AM370&lt;'הנחות עבודה'!$D$34,AM403,0),0)</f>
        <v>0</v>
      </c>
      <c r="AN437" s="5">
        <f>+IFERROR(IF(AN370&lt;'הנחות עבודה'!$D$34,AN403,0),0)</f>
        <v>0</v>
      </c>
      <c r="AO437" s="5">
        <f>+IFERROR(IF(AO370&lt;'הנחות עבודה'!$D$34,AO403,0),0)</f>
        <v>0</v>
      </c>
      <c r="AP437" s="5">
        <f>+IFERROR(IF(AP370&lt;'הנחות עבודה'!$D$34,AP403,0),0)</f>
        <v>0</v>
      </c>
      <c r="AQ437" s="5">
        <f>+IFERROR(IF(AQ370&lt;'הנחות עבודה'!$D$34,AQ403,0),0)</f>
        <v>0</v>
      </c>
      <c r="AR437" s="5">
        <f>+IFERROR(IF(AR370&lt;'הנחות עבודה'!$D$34,AR403,0),0)</f>
        <v>0</v>
      </c>
      <c r="AS437" s="5">
        <f>+IFERROR(IF(AS370&lt;'הנחות עבודה'!$D$34,AS403,0),0)</f>
        <v>8489</v>
      </c>
      <c r="AT437" s="5">
        <f>+IFERROR(IF(AT370&lt;'הנחות עבודה'!$D$34,AT403,0),0)</f>
        <v>0</v>
      </c>
      <c r="AU437" s="5">
        <f>+IFERROR(IF(AU370&lt;'הנחות עבודה'!$D$34,AU403,0),0)</f>
        <v>0</v>
      </c>
      <c r="AV437" s="5">
        <f>+IFERROR(IF(AV370&lt;'הנחות עבודה'!$D$34,AV403,0),0)</f>
        <v>0</v>
      </c>
      <c r="AW437" s="5">
        <f>+IFERROR(IF(AW370&lt;'הנחות עבודה'!$D$34,AW403,0),0)</f>
        <v>0</v>
      </c>
      <c r="AX437" s="5">
        <f>+IFERROR(IF(AX370&lt;'הנחות עבודה'!$D$34,AX403,0),0)</f>
        <v>0</v>
      </c>
      <c r="AY437" s="5">
        <f>+IFERROR(IF(AY370&lt;'הנחות עבודה'!$D$34,AY403,0),0)</f>
        <v>0</v>
      </c>
      <c r="AZ437" s="5">
        <f>+IFERROR(IF(AZ370&lt;'הנחות עבודה'!$D$34,AZ403,0),0)</f>
        <v>0</v>
      </c>
      <c r="BA437" s="5">
        <f>+IFERROR(IF(BA370&lt;'הנחות עבודה'!$D$34,BA403,0),0)</f>
        <v>0</v>
      </c>
      <c r="BB437" s="5">
        <f>+IFERROR(IF(BB370&lt;'הנחות עבודה'!$D$34,BB403,0),0)</f>
        <v>0</v>
      </c>
      <c r="BC437" s="5">
        <f>+IFERROR(IF(BC370&lt;'הנחות עבודה'!$D$34,BC403,0),0)</f>
        <v>0</v>
      </c>
      <c r="BD437" s="5">
        <f>+IFERROR(IF(BD370&lt;'הנחות עבודה'!$D$34,BD403,0),0)</f>
        <v>0</v>
      </c>
      <c r="BE437" s="5">
        <f>+IFERROR(IF(BE370&lt;'הנחות עבודה'!$D$34,BE403,0),0)</f>
        <v>0</v>
      </c>
      <c r="BF437" s="5">
        <f>+IFERROR(IF(BF370&lt;'הנחות עבודה'!$D$34,BF403,0),0)</f>
        <v>0</v>
      </c>
    </row>
    <row r="438" spans="2:58" x14ac:dyDescent="0.2">
      <c r="B438" s="1">
        <v>11</v>
      </c>
      <c r="C438" s="5">
        <f>+IFERROR(IF(C371&lt;'הנחות עבודה'!$D$34,C404,0),0)</f>
        <v>0</v>
      </c>
      <c r="D438" s="5">
        <f>+IFERROR(IF(D371&lt;'הנחות עבודה'!$D$34,D404,0),0)</f>
        <v>0</v>
      </c>
      <c r="E438" s="5">
        <f>+IFERROR(IF(E371&lt;'הנחות עבודה'!$D$34,E404,0),0)</f>
        <v>0</v>
      </c>
      <c r="F438" s="5">
        <f>+IFERROR(IF(F371&lt;'הנחות עבודה'!$D$34,F404,0),0)</f>
        <v>0</v>
      </c>
      <c r="G438" s="5">
        <f>+IFERROR(IF(G371&lt;'הנחות עבודה'!$D$34,G404,0),0)</f>
        <v>0</v>
      </c>
      <c r="H438" s="5">
        <f>+IFERROR(IF(H371&lt;'הנחות עבודה'!$D$34,H404,0),0)</f>
        <v>0</v>
      </c>
      <c r="I438" s="5">
        <f>+IFERROR(IF(I371&lt;'הנחות עבודה'!$D$34,I404,0),0)</f>
        <v>0</v>
      </c>
      <c r="J438" s="5">
        <f>+IFERROR(IF(J371&lt;'הנחות עבודה'!$D$34,J404,0),0)</f>
        <v>0</v>
      </c>
      <c r="K438" s="5">
        <f>+IFERROR(IF(K371&lt;'הנחות עבודה'!$D$34,K404,0),0)</f>
        <v>0</v>
      </c>
      <c r="L438" s="5">
        <f>+IFERROR(IF(L371&lt;'הנחות עבודה'!$D$34,L404,0),0)</f>
        <v>0</v>
      </c>
      <c r="M438" s="5">
        <f>+IFERROR(IF(M371&lt;'הנחות עבודה'!$D$34,M404,0),0)</f>
        <v>0</v>
      </c>
      <c r="N438" s="5">
        <f>+IFERROR(IF(N371&lt;'הנחות עבודה'!$D$34,N404,0),0)</f>
        <v>0</v>
      </c>
      <c r="O438" s="5">
        <f>+IFERROR(IF(O371&lt;'הנחות עבודה'!$D$34,O404,0),0)</f>
        <v>0</v>
      </c>
      <c r="P438" s="5">
        <f>+IFERROR(IF(P371&lt;'הנחות עבודה'!$D$34,P404,0),0)</f>
        <v>3968</v>
      </c>
      <c r="Q438" s="5">
        <f>+IFERROR(IF(Q371&lt;'הנחות עבודה'!$D$34,Q404,0),0)</f>
        <v>0</v>
      </c>
      <c r="R438" s="5">
        <f>+IFERROR(IF(R371&lt;'הנחות עבודה'!$D$34,R404,0),0)</f>
        <v>0</v>
      </c>
      <c r="S438" s="5">
        <f>+IFERROR(IF(S371&lt;'הנחות עבודה'!$D$34,S404,0),0)</f>
        <v>0</v>
      </c>
      <c r="T438" s="5">
        <f t="shared" si="52"/>
        <v>0</v>
      </c>
      <c r="U438" s="5">
        <f t="shared" si="50"/>
        <v>0</v>
      </c>
      <c r="V438" s="5">
        <f>+IFERROR(IF(V371&lt;'הנחות עבודה'!$D$34,V404,0),0)</f>
        <v>0</v>
      </c>
      <c r="W438" s="5">
        <f>+IFERROR(IF(W371&lt;'הנחות עבודה'!$D$34,W404,0),0)</f>
        <v>0</v>
      </c>
      <c r="X438" s="5">
        <f>+IFERROR(IF(X371&lt;'הנחות עבודה'!$D$34,X404,0),0)</f>
        <v>0</v>
      </c>
      <c r="Y438" s="5">
        <f>+IFERROR(IF(Y371&lt;'הנחות עבודה'!$D$34,Y404,0),0)</f>
        <v>0</v>
      </c>
      <c r="Z438" s="5">
        <f>+IFERROR(IF(Z371&lt;'הנחות עבודה'!$D$34,Z404,0),0)</f>
        <v>0</v>
      </c>
      <c r="AA438" s="5">
        <f>+IFERROR(IF(AA371&lt;'הנחות עבודה'!$D$34,AA404,0),0)</f>
        <v>0</v>
      </c>
      <c r="AB438" s="5">
        <f>+IFERROR(IF(AB371&lt;'הנחות עבודה'!$D$34,AB404,0),0)</f>
        <v>0</v>
      </c>
      <c r="AC438" s="5">
        <f>+IFERROR(IF(AC371&lt;'הנחות עבודה'!$D$34,AC404,0),0)</f>
        <v>0</v>
      </c>
      <c r="AD438" s="5">
        <f>+IFERROR(IF(AD371&lt;'הנחות עבודה'!$D$34,AD404,0),0)</f>
        <v>0</v>
      </c>
      <c r="AE438" s="5">
        <f>+IFERROR(IF(AE371&lt;'הנחות עבודה'!$D$34,AE404,0),0)</f>
        <v>0</v>
      </c>
      <c r="AF438" s="5">
        <f>+IFERROR(IF(AF371&lt;'הנחות עבודה'!$D$34,AF404,0),0)</f>
        <v>0</v>
      </c>
      <c r="AG438" s="5">
        <f>+IFERROR(IF(AG371&lt;'הנחות עבודה'!$D$34,AG404,0),0)</f>
        <v>0</v>
      </c>
      <c r="AH438" s="5">
        <f>+IFERROR(IF(AH371&lt;'הנחות עבודה'!$D$34,AH404,0),0)</f>
        <v>0</v>
      </c>
      <c r="AI438" s="5">
        <f>+IFERROR(IF(AI371&lt;'הנחות עבודה'!$D$34,AI404,0),0)</f>
        <v>0</v>
      </c>
      <c r="AJ438" s="5">
        <f>+IFERROR(IF(AJ371&lt;'הנחות עבודה'!$D$34,AJ404,0),0)</f>
        <v>0</v>
      </c>
      <c r="AK438" s="5">
        <f>+IFERROR(IF(AK371&lt;'הנחות עבודה'!$D$34,AK404,0),0)</f>
        <v>0</v>
      </c>
      <c r="AL438" s="5">
        <f>+IFERROR(IF(AL371&lt;'הנחות עבודה'!$D$34,AL404,0),0)</f>
        <v>0</v>
      </c>
      <c r="AM438" s="5">
        <f>+IFERROR(IF(AM371&lt;'הנחות עבודה'!$D$34,AM404,0),0)</f>
        <v>0</v>
      </c>
      <c r="AN438" s="5">
        <f>+IFERROR(IF(AN371&lt;'הנחות עבודה'!$D$34,AN404,0),0)</f>
        <v>0</v>
      </c>
      <c r="AO438" s="5">
        <f>+IFERROR(IF(AO371&lt;'הנחות עבודה'!$D$34,AO404,0),0)</f>
        <v>0</v>
      </c>
      <c r="AP438" s="5">
        <f>+IFERROR(IF(AP371&lt;'הנחות עבודה'!$D$34,AP404,0),0)</f>
        <v>0</v>
      </c>
      <c r="AQ438" s="5">
        <f>+IFERROR(IF(AQ371&lt;'הנחות עבודה'!$D$34,AQ404,0),0)</f>
        <v>0</v>
      </c>
      <c r="AR438" s="5">
        <f>+IFERROR(IF(AR371&lt;'הנחות עבודה'!$D$34,AR404,0),0)</f>
        <v>0</v>
      </c>
      <c r="AS438" s="5">
        <f>+IFERROR(IF(AS371&lt;'הנחות עבודה'!$D$34,AS404,0),0)</f>
        <v>0</v>
      </c>
      <c r="AT438" s="5">
        <f>+IFERROR(IF(AT371&lt;'הנחות עבודה'!$D$34,AT404,0),0)</f>
        <v>0</v>
      </c>
      <c r="AU438" s="5">
        <f>+IFERROR(IF(AU371&lt;'הנחות עבודה'!$D$34,AU404,0),0)</f>
        <v>0</v>
      </c>
      <c r="AV438" s="5">
        <f>+IFERROR(IF(AV371&lt;'הנחות עבודה'!$D$34,AV404,0),0)</f>
        <v>0</v>
      </c>
      <c r="AW438" s="5">
        <f>+IFERROR(IF(AW371&lt;'הנחות עבודה'!$D$34,AW404,0),0)</f>
        <v>0</v>
      </c>
      <c r="AX438" s="5">
        <f>+IFERROR(IF(AX371&lt;'הנחות עבודה'!$D$34,AX404,0),0)</f>
        <v>0</v>
      </c>
      <c r="AY438" s="5">
        <f>+IFERROR(IF(AY371&lt;'הנחות עבודה'!$D$34,AY404,0),0)</f>
        <v>0</v>
      </c>
      <c r="AZ438" s="5">
        <f>+IFERROR(IF(AZ371&lt;'הנחות עבודה'!$D$34,AZ404,0),0)</f>
        <v>0</v>
      </c>
      <c r="BA438" s="5">
        <f>+IFERROR(IF(BA371&lt;'הנחות עבודה'!$D$34,BA404,0),0)</f>
        <v>0</v>
      </c>
      <c r="BB438" s="5">
        <f>+IFERROR(IF(BB371&lt;'הנחות עבודה'!$D$34,BB404,0),0)</f>
        <v>0</v>
      </c>
      <c r="BC438" s="5">
        <f>+IFERROR(IF(BC371&lt;'הנחות עבודה'!$D$34,BC404,0),0)</f>
        <v>0</v>
      </c>
      <c r="BD438" s="5">
        <f>+IFERROR(IF(BD371&lt;'הנחות עבודה'!$D$34,BD404,0),0)</f>
        <v>0</v>
      </c>
      <c r="BE438" s="5">
        <f>+IFERROR(IF(BE371&lt;'הנחות עבודה'!$D$34,BE404,0),0)</f>
        <v>0</v>
      </c>
      <c r="BF438" s="5">
        <f>+IFERROR(IF(BF371&lt;'הנחות עבודה'!$D$34,BF404,0),0)</f>
        <v>0</v>
      </c>
    </row>
    <row r="439" spans="2:58" x14ac:dyDescent="0.2">
      <c r="B439" s="1">
        <v>12</v>
      </c>
      <c r="C439" s="5">
        <f>+IFERROR(IF(C372&lt;'הנחות עבודה'!$D$34,C405,0),0)</f>
        <v>0</v>
      </c>
      <c r="D439" s="5">
        <f>+IFERROR(IF(D372&lt;'הנחות עבודה'!$D$34,D405,0),0)</f>
        <v>0</v>
      </c>
      <c r="E439" s="5">
        <f>+IFERROR(IF(E372&lt;'הנחות עבודה'!$D$34,E405,0),0)</f>
        <v>0</v>
      </c>
      <c r="F439" s="5">
        <f>+IFERROR(IF(F372&lt;'הנחות עבודה'!$D$34,F405,0),0)</f>
        <v>0</v>
      </c>
      <c r="G439" s="5">
        <f>+IFERROR(IF(G372&lt;'הנחות עבודה'!$D$34,G405,0),0)</f>
        <v>0</v>
      </c>
      <c r="H439" s="5">
        <f>+IFERROR(IF(H372&lt;'הנחות עבודה'!$D$34,H405,0),0)</f>
        <v>0</v>
      </c>
      <c r="I439" s="5">
        <f>+IFERROR(IF(I372&lt;'הנחות עבודה'!$D$34,I405,0),0)</f>
        <v>0</v>
      </c>
      <c r="J439" s="5">
        <f>+IFERROR(IF(J372&lt;'הנחות עבודה'!$D$34,J405,0),0)</f>
        <v>0</v>
      </c>
      <c r="K439" s="5">
        <f>+IFERROR(IF(K372&lt;'הנחות עבודה'!$D$34,K405,0),0)</f>
        <v>0</v>
      </c>
      <c r="L439" s="5">
        <f>+IFERROR(IF(L372&lt;'הנחות עבודה'!$D$34,L405,0),0)</f>
        <v>0</v>
      </c>
      <c r="M439" s="5">
        <f>+IFERROR(IF(M372&lt;'הנחות עבודה'!$D$34,M405,0),0)</f>
        <v>0</v>
      </c>
      <c r="N439" s="5">
        <f>+IFERROR(IF(N372&lt;'הנחות עבודה'!$D$34,N405,0),0)</f>
        <v>0</v>
      </c>
      <c r="O439" s="5">
        <f>+IFERROR(IF(O372&lt;'הנחות עבודה'!$D$34,O405,0),0)</f>
        <v>0</v>
      </c>
      <c r="P439" s="5">
        <f>+IFERROR(IF(P372&lt;'הנחות עבודה'!$D$34,P405,0),0)</f>
        <v>5423</v>
      </c>
      <c r="Q439" s="5">
        <f>+IFERROR(IF(Q372&lt;'הנחות עבודה'!$D$34,Q405,0),0)</f>
        <v>0</v>
      </c>
      <c r="R439" s="5">
        <f>+IFERROR(IF(R372&lt;'הנחות עבודה'!$D$34,R405,0),0)</f>
        <v>0</v>
      </c>
      <c r="S439" s="5">
        <f>+IFERROR(IF(S372&lt;'הנחות עבודה'!$D$34,S405,0),0)</f>
        <v>0</v>
      </c>
      <c r="T439" s="5">
        <f t="shared" si="52"/>
        <v>0</v>
      </c>
      <c r="U439" s="5">
        <f t="shared" si="50"/>
        <v>0</v>
      </c>
      <c r="V439" s="5">
        <f>+IFERROR(IF(V372&lt;'הנחות עבודה'!$D$34,V405,0),0)</f>
        <v>0</v>
      </c>
      <c r="W439" s="5">
        <f>+IFERROR(IF(W372&lt;'הנחות עבודה'!$D$34,W405,0),0)</f>
        <v>0</v>
      </c>
      <c r="X439" s="5">
        <f>+IFERROR(IF(X372&lt;'הנחות עבודה'!$D$34,X405,0),0)</f>
        <v>0</v>
      </c>
      <c r="Y439" s="5">
        <f>+IFERROR(IF(Y372&lt;'הנחות עבודה'!$D$34,Y405,0),0)</f>
        <v>0</v>
      </c>
      <c r="Z439" s="5">
        <f>+IFERROR(IF(Z372&lt;'הנחות עבודה'!$D$34,Z405,0),0)</f>
        <v>0</v>
      </c>
      <c r="AA439" s="5">
        <f>+IFERROR(IF(AA372&lt;'הנחות עבודה'!$D$34,AA405,0),0)</f>
        <v>0</v>
      </c>
      <c r="AB439" s="5">
        <f>+IFERROR(IF(AB372&lt;'הנחות עבודה'!$D$34,AB405,0),0)</f>
        <v>0</v>
      </c>
      <c r="AC439" s="5">
        <f>+IFERROR(IF(AC372&lt;'הנחות עבודה'!$D$34,AC405,0),0)</f>
        <v>0</v>
      </c>
      <c r="AD439" s="5">
        <f>+IFERROR(IF(AD372&lt;'הנחות עבודה'!$D$34,AD405,0),0)</f>
        <v>0</v>
      </c>
      <c r="AE439" s="5">
        <f>+IFERROR(IF(AE372&lt;'הנחות עבודה'!$D$34,AE405,0),0)</f>
        <v>0</v>
      </c>
      <c r="AF439" s="5">
        <f>+IFERROR(IF(AF372&lt;'הנחות עבודה'!$D$34,AF405,0),0)</f>
        <v>0</v>
      </c>
      <c r="AG439" s="5">
        <f>+IFERROR(IF(AG372&lt;'הנחות עבודה'!$D$34,AG405,0),0)</f>
        <v>0</v>
      </c>
      <c r="AH439" s="5">
        <f>+IFERROR(IF(AH372&lt;'הנחות עבודה'!$D$34,AH405,0),0)</f>
        <v>0</v>
      </c>
      <c r="AI439" s="5">
        <f>+IFERROR(IF(AI372&lt;'הנחות עבודה'!$D$34,AI405,0),0)</f>
        <v>0</v>
      </c>
      <c r="AJ439" s="5">
        <f>+IFERROR(IF(AJ372&lt;'הנחות עבודה'!$D$34,AJ405,0),0)</f>
        <v>0</v>
      </c>
      <c r="AK439" s="5">
        <f>+IFERROR(IF(AK372&lt;'הנחות עבודה'!$D$34,AK405,0),0)</f>
        <v>0</v>
      </c>
      <c r="AL439" s="5">
        <f>+IFERROR(IF(AL372&lt;'הנחות עבודה'!$D$34,AL405,0),0)</f>
        <v>0</v>
      </c>
      <c r="AM439" s="5">
        <f>+IFERROR(IF(AM372&lt;'הנחות עבודה'!$D$34,AM405,0),0)</f>
        <v>0</v>
      </c>
      <c r="AN439" s="5">
        <f>+IFERROR(IF(AN372&lt;'הנחות עבודה'!$D$34,AN405,0),0)</f>
        <v>0</v>
      </c>
      <c r="AO439" s="5">
        <f>+IFERROR(IF(AO372&lt;'הנחות עבודה'!$D$34,AO405,0),0)</f>
        <v>0</v>
      </c>
      <c r="AP439" s="5">
        <f>+IFERROR(IF(AP372&lt;'הנחות עבודה'!$D$34,AP405,0),0)</f>
        <v>0</v>
      </c>
      <c r="AQ439" s="5">
        <f>+IFERROR(IF(AQ372&lt;'הנחות עבודה'!$D$34,AQ405,0),0)</f>
        <v>0</v>
      </c>
      <c r="AR439" s="5">
        <f>+IFERROR(IF(AR372&lt;'הנחות עבודה'!$D$34,AR405,0),0)</f>
        <v>0</v>
      </c>
      <c r="AS439" s="5">
        <f>+IFERROR(IF(AS372&lt;'הנחות עבודה'!$D$34,AS405,0),0)</f>
        <v>0</v>
      </c>
      <c r="AT439" s="5">
        <f>+IFERROR(IF(AT372&lt;'הנחות עבודה'!$D$34,AT405,0),0)</f>
        <v>0</v>
      </c>
      <c r="AU439" s="5">
        <f>+IFERROR(IF(AU372&lt;'הנחות עבודה'!$D$34,AU405,0),0)</f>
        <v>0</v>
      </c>
      <c r="AV439" s="5">
        <f>+IFERROR(IF(AV372&lt;'הנחות עבודה'!$D$34,AV405,0),0)</f>
        <v>0</v>
      </c>
      <c r="AW439" s="5">
        <f>+IFERROR(IF(AW372&lt;'הנחות עבודה'!$D$34,AW405,0),0)</f>
        <v>0</v>
      </c>
      <c r="AX439" s="5">
        <f>+IFERROR(IF(AX372&lt;'הנחות עבודה'!$D$34,AX405,0),0)</f>
        <v>0</v>
      </c>
      <c r="AY439" s="5">
        <f>+IFERROR(IF(AY372&lt;'הנחות עבודה'!$D$34,AY405,0),0)</f>
        <v>0</v>
      </c>
      <c r="AZ439" s="5">
        <f>+IFERROR(IF(AZ372&lt;'הנחות עבודה'!$D$34,AZ405,0),0)</f>
        <v>0</v>
      </c>
      <c r="BA439" s="5">
        <f>+IFERROR(IF(BA372&lt;'הנחות עבודה'!$D$34,BA405,0),0)</f>
        <v>0</v>
      </c>
      <c r="BB439" s="5">
        <f>+IFERROR(IF(BB372&lt;'הנחות עבודה'!$D$34,BB405,0),0)</f>
        <v>0</v>
      </c>
      <c r="BC439" s="5">
        <f>+IFERROR(IF(BC372&lt;'הנחות עבודה'!$D$34,BC405,0),0)</f>
        <v>0</v>
      </c>
      <c r="BD439" s="5">
        <f>+IFERROR(IF(BD372&lt;'הנחות עבודה'!$D$34,BD405,0),0)</f>
        <v>0</v>
      </c>
      <c r="BE439" s="5">
        <f>+IFERROR(IF(BE372&lt;'הנחות עבודה'!$D$34,BE405,0),0)</f>
        <v>0</v>
      </c>
      <c r="BF439" s="5">
        <f>+IFERROR(IF(BF372&lt;'הנחות עבודה'!$D$34,BF405,0),0)</f>
        <v>0</v>
      </c>
    </row>
    <row r="440" spans="2:58" x14ac:dyDescent="0.2">
      <c r="B440" s="1">
        <v>13</v>
      </c>
      <c r="C440" s="5">
        <f>+IFERROR(IF(C373&lt;'הנחות עבודה'!$D$34,C406,0),0)</f>
        <v>0</v>
      </c>
      <c r="D440" s="5">
        <f>+IFERROR(IF(D373&lt;'הנחות עבודה'!$D$34,D406,0),0)</f>
        <v>0</v>
      </c>
      <c r="E440" s="5">
        <f>+IFERROR(IF(E373&lt;'הנחות עבודה'!$D$34,E406,0),0)</f>
        <v>0</v>
      </c>
      <c r="F440" s="5">
        <f>+IFERROR(IF(F373&lt;'הנחות עבודה'!$D$34,F406,0),0)</f>
        <v>0</v>
      </c>
      <c r="G440" s="5">
        <f>+IFERROR(IF(G373&lt;'הנחות עבודה'!$D$34,G406,0),0)</f>
        <v>0</v>
      </c>
      <c r="H440" s="5">
        <f>+IFERROR(IF(H373&lt;'הנחות עבודה'!$D$34,H406,0),0)</f>
        <v>0</v>
      </c>
      <c r="I440" s="5">
        <f>+IFERROR(IF(I373&lt;'הנחות עבודה'!$D$34,I406,0),0)</f>
        <v>0</v>
      </c>
      <c r="J440" s="5">
        <f>+IFERROR(IF(J373&lt;'הנחות עבודה'!$D$34,J406,0),0)</f>
        <v>0</v>
      </c>
      <c r="K440" s="5">
        <f>+IFERROR(IF(K373&lt;'הנחות עבודה'!$D$34,K406,0),0)</f>
        <v>0</v>
      </c>
      <c r="L440" s="5">
        <f>+IFERROR(IF(L373&lt;'הנחות עבודה'!$D$34,L406,0),0)</f>
        <v>0</v>
      </c>
      <c r="M440" s="5">
        <f>+IFERROR(IF(M373&lt;'הנחות עבודה'!$D$34,M406,0),0)</f>
        <v>0</v>
      </c>
      <c r="N440" s="5">
        <f>+IFERROR(IF(N373&lt;'הנחות עבודה'!$D$34,N406,0),0)</f>
        <v>0</v>
      </c>
      <c r="O440" s="5">
        <f>+IFERROR(IF(O373&lt;'הנחות עבודה'!$D$34,O406,0),0)</f>
        <v>0</v>
      </c>
      <c r="P440" s="5">
        <f>+IFERROR(IF(P373&lt;'הנחות עבודה'!$D$34,P406,0),0)</f>
        <v>11253</v>
      </c>
      <c r="Q440" s="5">
        <f>+IFERROR(IF(Q373&lt;'הנחות עבודה'!$D$34,Q406,0),0)</f>
        <v>0</v>
      </c>
      <c r="R440" s="5">
        <f>+IFERROR(IF(R373&lt;'הנחות עבודה'!$D$34,R406,0),0)</f>
        <v>0</v>
      </c>
      <c r="S440" s="5">
        <f>+IFERROR(IF(S373&lt;'הנחות עבודה'!$D$34,S406,0),0)</f>
        <v>0</v>
      </c>
      <c r="T440" s="5">
        <f t="shared" si="52"/>
        <v>0</v>
      </c>
      <c r="U440" s="5">
        <f t="shared" si="50"/>
        <v>0</v>
      </c>
      <c r="V440" s="5">
        <f>+IFERROR(IF(V373&lt;'הנחות עבודה'!$D$34,V406,0),0)</f>
        <v>0</v>
      </c>
      <c r="W440" s="5">
        <f>+IFERROR(IF(W373&lt;'הנחות עבודה'!$D$34,W406,0),0)</f>
        <v>0</v>
      </c>
      <c r="X440" s="5">
        <f>+IFERROR(IF(X373&lt;'הנחות עבודה'!$D$34,X406,0),0)</f>
        <v>0</v>
      </c>
      <c r="Y440" s="5">
        <f>+IFERROR(IF(Y373&lt;'הנחות עבודה'!$D$34,Y406,0),0)</f>
        <v>0</v>
      </c>
      <c r="Z440" s="5">
        <f>+IFERROR(IF(Z373&lt;'הנחות עבודה'!$D$34,Z406,0),0)</f>
        <v>0</v>
      </c>
      <c r="AA440" s="5">
        <f>+IFERROR(IF(AA373&lt;'הנחות עבודה'!$D$34,AA406,0),0)</f>
        <v>0</v>
      </c>
      <c r="AB440" s="5">
        <f>+IFERROR(IF(AB373&lt;'הנחות עבודה'!$D$34,AB406,0),0)</f>
        <v>0</v>
      </c>
      <c r="AC440" s="5">
        <f>+IFERROR(IF(AC373&lt;'הנחות עבודה'!$D$34,AC406,0),0)</f>
        <v>0</v>
      </c>
      <c r="AD440" s="5">
        <f>+IFERROR(IF(AD373&lt;'הנחות עבודה'!$D$34,AD406,0),0)</f>
        <v>0</v>
      </c>
      <c r="AE440" s="5">
        <f>+IFERROR(IF(AE373&lt;'הנחות עבודה'!$D$34,AE406,0),0)</f>
        <v>0</v>
      </c>
      <c r="AF440" s="5">
        <f>+IFERROR(IF(AF373&lt;'הנחות עבודה'!$D$34,AF406,0),0)</f>
        <v>0</v>
      </c>
      <c r="AG440" s="5">
        <f>+IFERROR(IF(AG373&lt;'הנחות עבודה'!$D$34,AG406,0),0)</f>
        <v>0</v>
      </c>
      <c r="AH440" s="5">
        <f>+IFERROR(IF(AH373&lt;'הנחות עבודה'!$D$34,AH406,0),0)</f>
        <v>0</v>
      </c>
      <c r="AI440" s="5">
        <f>+IFERROR(IF(AI373&lt;'הנחות עבודה'!$D$34,AI406,0),0)</f>
        <v>0</v>
      </c>
      <c r="AJ440" s="5">
        <f>+IFERROR(IF(AJ373&lt;'הנחות עבודה'!$D$34,AJ406,0),0)</f>
        <v>0</v>
      </c>
      <c r="AK440" s="5">
        <f>+IFERROR(IF(AK373&lt;'הנחות עבודה'!$D$34,AK406,0),0)</f>
        <v>0</v>
      </c>
      <c r="AL440" s="5">
        <f>+IFERROR(IF(AL373&lt;'הנחות עבודה'!$D$34,AL406,0),0)</f>
        <v>0</v>
      </c>
      <c r="AM440" s="5">
        <f>+IFERROR(IF(AM373&lt;'הנחות עבודה'!$D$34,AM406,0),0)</f>
        <v>0</v>
      </c>
      <c r="AN440" s="5">
        <f>+IFERROR(IF(AN373&lt;'הנחות עבודה'!$D$34,AN406,0),0)</f>
        <v>0</v>
      </c>
      <c r="AO440" s="5">
        <f>+IFERROR(IF(AO373&lt;'הנחות עבודה'!$D$34,AO406,0),0)</f>
        <v>0</v>
      </c>
      <c r="AP440" s="5">
        <f>+IFERROR(IF(AP373&lt;'הנחות עבודה'!$D$34,AP406,0),0)</f>
        <v>0</v>
      </c>
      <c r="AQ440" s="5">
        <f>+IFERROR(IF(AQ373&lt;'הנחות עבודה'!$D$34,AQ406,0),0)</f>
        <v>0</v>
      </c>
      <c r="AR440" s="5">
        <f>+IFERROR(IF(AR373&lt;'הנחות עבודה'!$D$34,AR406,0),0)</f>
        <v>0</v>
      </c>
      <c r="AS440" s="5">
        <f>+IFERROR(IF(AS373&lt;'הנחות עבודה'!$D$34,AS406,0),0)</f>
        <v>0</v>
      </c>
      <c r="AT440" s="5">
        <f>+IFERROR(IF(AT373&lt;'הנחות עבודה'!$D$34,AT406,0),0)</f>
        <v>0</v>
      </c>
      <c r="AU440" s="5">
        <f>+IFERROR(IF(AU373&lt;'הנחות עבודה'!$D$34,AU406,0),0)</f>
        <v>0</v>
      </c>
      <c r="AV440" s="5">
        <f>+IFERROR(IF(AV373&lt;'הנחות עבודה'!$D$34,AV406,0),0)</f>
        <v>0</v>
      </c>
      <c r="AW440" s="5">
        <f>+IFERROR(IF(AW373&lt;'הנחות עבודה'!$D$34,AW406,0),0)</f>
        <v>0</v>
      </c>
      <c r="AX440" s="5">
        <f>+IFERROR(IF(AX373&lt;'הנחות עבודה'!$D$34,AX406,0),0)</f>
        <v>0</v>
      </c>
      <c r="AY440" s="5">
        <f>+IFERROR(IF(AY373&lt;'הנחות עבודה'!$D$34,AY406,0),0)</f>
        <v>0</v>
      </c>
      <c r="AZ440" s="5">
        <f>+IFERROR(IF(AZ373&lt;'הנחות עבודה'!$D$34,AZ406,0),0)</f>
        <v>0</v>
      </c>
      <c r="BA440" s="5">
        <f>+IFERROR(IF(BA373&lt;'הנחות עבודה'!$D$34,BA406,0),0)</f>
        <v>0</v>
      </c>
      <c r="BB440" s="5">
        <f>+IFERROR(IF(BB373&lt;'הנחות עבודה'!$D$34,BB406,0),0)</f>
        <v>0</v>
      </c>
      <c r="BC440" s="5">
        <f>+IFERROR(IF(BC373&lt;'הנחות עבודה'!$D$34,BC406,0),0)</f>
        <v>0</v>
      </c>
      <c r="BD440" s="5">
        <f>+IFERROR(IF(BD373&lt;'הנחות עבודה'!$D$34,BD406,0),0)</f>
        <v>0</v>
      </c>
      <c r="BE440" s="5">
        <f>+IFERROR(IF(BE373&lt;'הנחות עבודה'!$D$34,BE406,0),0)</f>
        <v>0</v>
      </c>
      <c r="BF440" s="5">
        <f>+IFERROR(IF(BF373&lt;'הנחות עבודה'!$D$34,BF406,0),0)</f>
        <v>0</v>
      </c>
    </row>
    <row r="441" spans="2:58" x14ac:dyDescent="0.2">
      <c r="B441" s="1">
        <v>14</v>
      </c>
      <c r="C441" s="5">
        <f>+IFERROR(IF(C374&lt;'הנחות עבודה'!$D$34,C407,0),0)</f>
        <v>0</v>
      </c>
      <c r="D441" s="5">
        <f>+IFERROR(IF(D374&lt;'הנחות עבודה'!$D$34,D407,0),0)</f>
        <v>0</v>
      </c>
      <c r="E441" s="5">
        <f>+IFERROR(IF(E374&lt;'הנחות עבודה'!$D$34,E407,0),0)</f>
        <v>0</v>
      </c>
      <c r="F441" s="5">
        <f>+IFERROR(IF(F374&lt;'הנחות עבודה'!$D$34,F407,0),0)</f>
        <v>0</v>
      </c>
      <c r="G441" s="5">
        <f>+IFERROR(IF(G374&lt;'הנחות עבודה'!$D$34,G407,0),0)</f>
        <v>0</v>
      </c>
      <c r="H441" s="5">
        <f>+IFERROR(IF(H374&lt;'הנחות עבודה'!$D$34,H407,0),0)</f>
        <v>0</v>
      </c>
      <c r="I441" s="5">
        <f>+IFERROR(IF(I374&lt;'הנחות עבודה'!$D$34,I407,0),0)</f>
        <v>0</v>
      </c>
      <c r="J441" s="5">
        <f>+IFERROR(IF(J374&lt;'הנחות עבודה'!$D$34,J407,0),0)</f>
        <v>0</v>
      </c>
      <c r="K441" s="5">
        <f>+IFERROR(IF(K374&lt;'הנחות עבודה'!$D$34,K407,0),0)</f>
        <v>0</v>
      </c>
      <c r="L441" s="5">
        <f>+IFERROR(IF(L374&lt;'הנחות עבודה'!$D$34,L407,0),0)</f>
        <v>0</v>
      </c>
      <c r="M441" s="5">
        <f>+IFERROR(IF(M374&lt;'הנחות עבודה'!$D$34,M407,0),0)</f>
        <v>0</v>
      </c>
      <c r="N441" s="5">
        <f>+IFERROR(IF(N374&lt;'הנחות עבודה'!$D$34,N407,0),0)</f>
        <v>0</v>
      </c>
      <c r="O441" s="5">
        <f>+IFERROR(IF(O374&lt;'הנחות עבודה'!$D$34,O407,0),0)</f>
        <v>0</v>
      </c>
      <c r="P441" s="5">
        <f>+IFERROR(IF(P374&lt;'הנחות עבודה'!$D$34,P407,0),0)</f>
        <v>0</v>
      </c>
      <c r="Q441" s="5">
        <f>+IFERROR(IF(Q374&lt;'הנחות עבודה'!$D$34,Q407,0),0)</f>
        <v>0</v>
      </c>
      <c r="R441" s="5">
        <f>+IFERROR(IF(R374&lt;'הנחות עבודה'!$D$34,R407,0),0)</f>
        <v>0</v>
      </c>
      <c r="S441" s="5">
        <f>+IFERROR(IF(S374&lt;'הנחות עבודה'!$D$34,S407,0),0)</f>
        <v>0</v>
      </c>
      <c r="T441" s="5">
        <f t="shared" si="52"/>
        <v>0</v>
      </c>
      <c r="U441" s="5">
        <f t="shared" si="50"/>
        <v>0</v>
      </c>
      <c r="V441" s="5">
        <f>+IFERROR(IF(V374&lt;'הנחות עבודה'!$D$34,V407,0),0)</f>
        <v>0</v>
      </c>
      <c r="W441" s="5">
        <f>+IFERROR(IF(W374&lt;'הנחות עבודה'!$D$34,W407,0),0)</f>
        <v>0</v>
      </c>
      <c r="X441" s="5">
        <f>+IFERROR(IF(X374&lt;'הנחות עבודה'!$D$34,X407,0),0)</f>
        <v>0</v>
      </c>
      <c r="Y441" s="5">
        <f>+IFERROR(IF(Y374&lt;'הנחות עבודה'!$D$34,Y407,0),0)</f>
        <v>0</v>
      </c>
      <c r="Z441" s="5">
        <f>+IFERROR(IF(Z374&lt;'הנחות עבודה'!$D$34,Z407,0),0)</f>
        <v>0</v>
      </c>
      <c r="AA441" s="5">
        <f>+IFERROR(IF(AA374&lt;'הנחות עבודה'!$D$34,AA407,0),0)</f>
        <v>0</v>
      </c>
      <c r="AB441" s="5">
        <f>+IFERROR(IF(AB374&lt;'הנחות עבודה'!$D$34,AB407,0),0)</f>
        <v>0</v>
      </c>
      <c r="AC441" s="5">
        <f>+IFERROR(IF(AC374&lt;'הנחות עבודה'!$D$34,AC407,0),0)</f>
        <v>0</v>
      </c>
      <c r="AD441" s="5">
        <f>+IFERROR(IF(AD374&lt;'הנחות עבודה'!$D$34,AD407,0),0)</f>
        <v>0</v>
      </c>
      <c r="AE441" s="5">
        <f>+IFERROR(IF(AE374&lt;'הנחות עבודה'!$D$34,AE407,0),0)</f>
        <v>0</v>
      </c>
      <c r="AF441" s="5">
        <f>+IFERROR(IF(AF374&lt;'הנחות עבודה'!$D$34,AF407,0),0)</f>
        <v>0</v>
      </c>
      <c r="AG441" s="5">
        <f>+IFERROR(IF(AG374&lt;'הנחות עבודה'!$D$34,AG407,0),0)</f>
        <v>0</v>
      </c>
      <c r="AH441" s="5">
        <f>+IFERROR(IF(AH374&lt;'הנחות עבודה'!$D$34,AH407,0),0)</f>
        <v>0</v>
      </c>
      <c r="AI441" s="5">
        <f>+IFERROR(IF(AI374&lt;'הנחות עבודה'!$D$34,AI407,0),0)</f>
        <v>0</v>
      </c>
      <c r="AJ441" s="5">
        <f>+IFERROR(IF(AJ374&lt;'הנחות עבודה'!$D$34,AJ407,0),0)</f>
        <v>0</v>
      </c>
      <c r="AK441" s="5">
        <f>+IFERROR(IF(AK374&lt;'הנחות עבודה'!$D$34,AK407,0),0)</f>
        <v>0</v>
      </c>
      <c r="AL441" s="5">
        <f>+IFERROR(IF(AL374&lt;'הנחות עבודה'!$D$34,AL407,0),0)</f>
        <v>0</v>
      </c>
      <c r="AM441" s="5">
        <f>+IFERROR(IF(AM374&lt;'הנחות עבודה'!$D$34,AM407,0),0)</f>
        <v>0</v>
      </c>
      <c r="AN441" s="5">
        <f>+IFERROR(IF(AN374&lt;'הנחות עבודה'!$D$34,AN407,0),0)</f>
        <v>0</v>
      </c>
      <c r="AO441" s="5">
        <f>+IFERROR(IF(AO374&lt;'הנחות עבודה'!$D$34,AO407,0),0)</f>
        <v>0</v>
      </c>
      <c r="AP441" s="5">
        <f>+IFERROR(IF(AP374&lt;'הנחות עבודה'!$D$34,AP407,0),0)</f>
        <v>0</v>
      </c>
      <c r="AQ441" s="5">
        <f>+IFERROR(IF(AQ374&lt;'הנחות עבודה'!$D$34,AQ407,0),0)</f>
        <v>0</v>
      </c>
      <c r="AR441" s="5">
        <f>+IFERROR(IF(AR374&lt;'הנחות עבודה'!$D$34,AR407,0),0)</f>
        <v>0</v>
      </c>
      <c r="AS441" s="5">
        <f>+IFERROR(IF(AS374&lt;'הנחות עבודה'!$D$34,AS407,0),0)</f>
        <v>0</v>
      </c>
      <c r="AT441" s="5">
        <f>+IFERROR(IF(AT374&lt;'הנחות עבודה'!$D$34,AT407,0),0)</f>
        <v>0</v>
      </c>
      <c r="AU441" s="5">
        <f>+IFERROR(IF(AU374&lt;'הנחות עבודה'!$D$34,AU407,0),0)</f>
        <v>0</v>
      </c>
      <c r="AV441" s="5">
        <f>+IFERROR(IF(AV374&lt;'הנחות עבודה'!$D$34,AV407,0),0)</f>
        <v>0</v>
      </c>
      <c r="AW441" s="5">
        <f>+IFERROR(IF(AW374&lt;'הנחות עבודה'!$D$34,AW407,0),0)</f>
        <v>0</v>
      </c>
      <c r="AX441" s="5">
        <f>+IFERROR(IF(AX374&lt;'הנחות עבודה'!$D$34,AX407,0),0)</f>
        <v>0</v>
      </c>
      <c r="AY441" s="5">
        <f>+IFERROR(IF(AY374&lt;'הנחות עבודה'!$D$34,AY407,0),0)</f>
        <v>0</v>
      </c>
      <c r="AZ441" s="5">
        <f>+IFERROR(IF(AZ374&lt;'הנחות עבודה'!$D$34,AZ407,0),0)</f>
        <v>0</v>
      </c>
      <c r="BA441" s="5">
        <f>+IFERROR(IF(BA374&lt;'הנחות עבודה'!$D$34,BA407,0),0)</f>
        <v>0</v>
      </c>
      <c r="BB441" s="5">
        <f>+IFERROR(IF(BB374&lt;'הנחות עבודה'!$D$34,BB407,0),0)</f>
        <v>0</v>
      </c>
      <c r="BC441" s="5">
        <f>+IFERROR(IF(BC374&lt;'הנחות עבודה'!$D$34,BC407,0),0)</f>
        <v>0</v>
      </c>
      <c r="BD441" s="5">
        <f>+IFERROR(IF(BD374&lt;'הנחות עבודה'!$D$34,BD407,0),0)</f>
        <v>0</v>
      </c>
      <c r="BE441" s="5">
        <f>+IFERROR(IF(BE374&lt;'הנחות עבודה'!$D$34,BE407,0),0)</f>
        <v>0</v>
      </c>
      <c r="BF441" s="5">
        <f>+IFERROR(IF(BF374&lt;'הנחות עבודה'!$D$34,BF407,0),0)</f>
        <v>0</v>
      </c>
    </row>
    <row r="442" spans="2:58" x14ac:dyDescent="0.2">
      <c r="B442" s="1">
        <v>15</v>
      </c>
      <c r="C442" s="5">
        <f>+IFERROR(IF(C375&lt;'הנחות עבודה'!$D$34,C408,0),0)</f>
        <v>0</v>
      </c>
      <c r="D442" s="5">
        <f>+IFERROR(IF(D375&lt;'הנחות עבודה'!$D$34,D408,0),0)</f>
        <v>0</v>
      </c>
      <c r="E442" s="5">
        <f>+IFERROR(IF(E375&lt;'הנחות עבודה'!$D$34,E408,0),0)</f>
        <v>0</v>
      </c>
      <c r="F442" s="5">
        <f>+IFERROR(IF(F375&lt;'הנחות עבודה'!$D$34,F408,0),0)</f>
        <v>0</v>
      </c>
      <c r="G442" s="5">
        <f>+IFERROR(IF(G375&lt;'הנחות עבודה'!$D$34,G408,0),0)</f>
        <v>0</v>
      </c>
      <c r="H442" s="5">
        <f>+IFERROR(IF(H375&lt;'הנחות עבודה'!$D$34,H408,0),0)</f>
        <v>0</v>
      </c>
      <c r="I442" s="5">
        <f>+IFERROR(IF(I375&lt;'הנחות עבודה'!$D$34,I408,0),0)</f>
        <v>0</v>
      </c>
      <c r="J442" s="5">
        <f>+IFERROR(IF(J375&lt;'הנחות עבודה'!$D$34,J408,0),0)</f>
        <v>0</v>
      </c>
      <c r="K442" s="5">
        <f>+IFERROR(IF(K375&lt;'הנחות עבודה'!$D$34,K408,0),0)</f>
        <v>0</v>
      </c>
      <c r="L442" s="5">
        <f>+IFERROR(IF(L375&lt;'הנחות עבודה'!$D$34,L408,0),0)</f>
        <v>0</v>
      </c>
      <c r="M442" s="5">
        <f>+IFERROR(IF(M375&lt;'הנחות עבודה'!$D$34,M408,0),0)</f>
        <v>0</v>
      </c>
      <c r="N442" s="5">
        <f>+IFERROR(IF(N375&lt;'הנחות עבודה'!$D$34,N408,0),0)</f>
        <v>0</v>
      </c>
      <c r="O442" s="5">
        <f>+IFERROR(IF(O375&lt;'הנחות עבודה'!$D$34,O408,0),0)</f>
        <v>0</v>
      </c>
      <c r="P442" s="5">
        <f>+IFERROR(IF(P375&lt;'הנחות עבודה'!$D$34,P408,0),0)</f>
        <v>0</v>
      </c>
      <c r="Q442" s="5">
        <f>+IFERROR(IF(Q375&lt;'הנחות עבודה'!$D$34,Q408,0),0)</f>
        <v>0</v>
      </c>
      <c r="R442" s="5">
        <f>+IFERROR(IF(R375&lt;'הנחות עבודה'!$D$34,R408,0),0)</f>
        <v>0</v>
      </c>
      <c r="S442" s="5">
        <f>+IFERROR(IF(S375&lt;'הנחות עבודה'!$D$34,S408,0),0)</f>
        <v>0</v>
      </c>
      <c r="T442" s="5">
        <f>+IFERROR(IF(T375&lt;'הנחות עבודה'!$D$34,T408,0),0)</f>
        <v>0</v>
      </c>
      <c r="U442" s="5">
        <f>+IFERROR(IF(U375&lt;'הנחות עבודה'!$D$34,U408,0),0)</f>
        <v>0</v>
      </c>
      <c r="V442" s="5">
        <f>+IFERROR(IF(V375&lt;'הנחות עבודה'!$D$34,V408,0),0)</f>
        <v>0</v>
      </c>
      <c r="W442" s="5">
        <f>+IFERROR(IF(W375&lt;'הנחות עבודה'!$D$34,W408,0),0)</f>
        <v>0</v>
      </c>
      <c r="X442" s="5">
        <f>+IFERROR(IF(X375&lt;'הנחות עבודה'!$D$34,X408,0),0)</f>
        <v>0</v>
      </c>
      <c r="Y442" s="5">
        <f>+IFERROR(IF(Y375&lt;'הנחות עבודה'!$D$34,Y408,0),0)</f>
        <v>0</v>
      </c>
      <c r="Z442" s="5">
        <f>+IFERROR(IF(Z375&lt;'הנחות עבודה'!$D$34,Z408,0),0)</f>
        <v>0</v>
      </c>
      <c r="AA442" s="5">
        <f>+IFERROR(IF(AA375&lt;'הנחות עבודה'!$D$34,AA408,0),0)</f>
        <v>0</v>
      </c>
      <c r="AB442" s="5">
        <f>+IFERROR(IF(AB375&lt;'הנחות עבודה'!$D$34,AB408,0),0)</f>
        <v>0</v>
      </c>
      <c r="AC442" s="5">
        <f>+IFERROR(IF(AC375&lt;'הנחות עבודה'!$D$34,AC408,0),0)</f>
        <v>0</v>
      </c>
      <c r="AD442" s="5">
        <f>+IFERROR(IF(AD375&lt;'הנחות עבודה'!$D$34,AD408,0),0)</f>
        <v>0</v>
      </c>
      <c r="AE442" s="5">
        <f>+IFERROR(IF(AE375&lt;'הנחות עבודה'!$D$34,AE408,0),0)</f>
        <v>0</v>
      </c>
      <c r="AF442" s="5">
        <f>+IFERROR(IF(AF375&lt;'הנחות עבודה'!$D$34,AF408,0),0)</f>
        <v>0</v>
      </c>
      <c r="AG442" s="5">
        <f>+IFERROR(IF(AG375&lt;'הנחות עבודה'!$D$34,AG408,0),0)</f>
        <v>0</v>
      </c>
      <c r="AH442" s="5">
        <f>+IFERROR(IF(AH375&lt;'הנחות עבודה'!$D$34,AH408,0),0)</f>
        <v>0</v>
      </c>
      <c r="AI442" s="5">
        <f>+IFERROR(IF(AI375&lt;'הנחות עבודה'!$D$34,AI408,0),0)</f>
        <v>0</v>
      </c>
      <c r="AJ442" s="5">
        <f>+IFERROR(IF(AJ375&lt;'הנחות עבודה'!$D$34,AJ408,0),0)</f>
        <v>0</v>
      </c>
      <c r="AK442" s="5">
        <f>+IFERROR(IF(AK375&lt;'הנחות עבודה'!$D$34,AK408,0),0)</f>
        <v>0</v>
      </c>
      <c r="AL442" s="5">
        <f>+IFERROR(IF(AL375&lt;'הנחות עבודה'!$D$34,AL408,0),0)</f>
        <v>0</v>
      </c>
      <c r="AM442" s="5">
        <f>+IFERROR(IF(AM375&lt;'הנחות עבודה'!$D$34,AM408,0),0)</f>
        <v>0</v>
      </c>
      <c r="AN442" s="5">
        <f>+IFERROR(IF(AN375&lt;'הנחות עבודה'!$D$34,AN408,0),0)</f>
        <v>0</v>
      </c>
      <c r="AO442" s="5">
        <f>+IFERROR(IF(AO375&lt;'הנחות עבודה'!$D$34,AO408,0),0)</f>
        <v>0</v>
      </c>
      <c r="AP442" s="5">
        <f>+IFERROR(IF(AP375&lt;'הנחות עבודה'!$D$34,AP408,0),0)</f>
        <v>0</v>
      </c>
      <c r="AQ442" s="5">
        <f>+IFERROR(IF(AQ375&lt;'הנחות עבודה'!$D$34,AQ408,0),0)</f>
        <v>0</v>
      </c>
      <c r="AR442" s="5">
        <f>+IFERROR(IF(AR375&lt;'הנחות עבודה'!$D$34,AR408,0),0)</f>
        <v>0</v>
      </c>
      <c r="AS442" s="5">
        <f>+IFERROR(IF(AS375&lt;'הנחות עבודה'!$D$34,AS408,0),0)</f>
        <v>0</v>
      </c>
      <c r="AT442" s="5">
        <f>+IFERROR(IF(AT375&lt;'הנחות עבודה'!$D$34,AT408,0),0)</f>
        <v>0</v>
      </c>
      <c r="AU442" s="5">
        <f>+IFERROR(IF(AU375&lt;'הנחות עבודה'!$D$34,AU408,0),0)</f>
        <v>0</v>
      </c>
      <c r="AV442" s="5">
        <f>+IFERROR(IF(AV375&lt;'הנחות עבודה'!$D$34,AV408,0),0)</f>
        <v>0</v>
      </c>
      <c r="AW442" s="5">
        <f>+IFERROR(IF(AW375&lt;'הנחות עבודה'!$D$34,AW408,0),0)</f>
        <v>0</v>
      </c>
      <c r="AX442" s="5">
        <f>+IFERROR(IF(AX375&lt;'הנחות עבודה'!$D$34,AX408,0),0)</f>
        <v>0</v>
      </c>
      <c r="AY442" s="5">
        <f>+IFERROR(IF(AY375&lt;'הנחות עבודה'!$D$34,AY408,0),0)</f>
        <v>0</v>
      </c>
      <c r="AZ442" s="5">
        <f>+IFERROR(IF(AZ375&lt;'הנחות עבודה'!$D$34,AZ408,0),0)</f>
        <v>0</v>
      </c>
      <c r="BA442" s="5">
        <f>+IFERROR(IF(BA375&lt;'הנחות עבודה'!$D$34,BA408,0),0)</f>
        <v>0</v>
      </c>
      <c r="BB442" s="5">
        <f>+IFERROR(IF(BB375&lt;'הנחות עבודה'!$D$34,BB408,0),0)</f>
        <v>0</v>
      </c>
      <c r="BC442" s="5">
        <f>+IFERROR(IF(BC375&lt;'הנחות עבודה'!$D$34,BC408,0),0)</f>
        <v>0</v>
      </c>
      <c r="BD442" s="5">
        <f>+IFERROR(IF(BD375&lt;'הנחות עבודה'!$D$34,BD408,0),0)</f>
        <v>0</v>
      </c>
      <c r="BE442" s="5">
        <f>+IFERROR(IF(BE375&lt;'הנחות עבודה'!$D$34,BE408,0),0)</f>
        <v>0</v>
      </c>
      <c r="BF442" s="5">
        <f>+IFERROR(IF(BF375&lt;'הנחות עבודה'!$D$34,BF408,0),0)</f>
        <v>0</v>
      </c>
    </row>
    <row r="443" spans="2:58" x14ac:dyDescent="0.2">
      <c r="B443" s="1">
        <v>16</v>
      </c>
      <c r="C443" s="5">
        <f>+IFERROR(IF(C376&lt;'הנחות עבודה'!$D$34,C409,0),0)</f>
        <v>0</v>
      </c>
      <c r="D443" s="5">
        <f>+IFERROR(IF(D376&lt;'הנחות עבודה'!$D$34,D409,0),0)</f>
        <v>0</v>
      </c>
      <c r="E443" s="5">
        <f>+IFERROR(IF(E376&lt;'הנחות עבודה'!$D$34,E409,0),0)</f>
        <v>0</v>
      </c>
      <c r="F443" s="5">
        <f>+IFERROR(IF(F376&lt;'הנחות עבודה'!$D$34,F409,0),0)</f>
        <v>0</v>
      </c>
      <c r="G443" s="5">
        <f>+IFERROR(IF(G376&lt;'הנחות עבודה'!$D$34,G409,0),0)</f>
        <v>0</v>
      </c>
      <c r="H443" s="5">
        <f>+IFERROR(IF(H376&lt;'הנחות עבודה'!$D$34,H409,0),0)</f>
        <v>0</v>
      </c>
      <c r="I443" s="5">
        <f>+IFERROR(IF(I376&lt;'הנחות עבודה'!$D$34,I409,0),0)</f>
        <v>0</v>
      </c>
      <c r="J443" s="5">
        <f>+IFERROR(IF(J376&lt;'הנחות עבודה'!$D$34,J409,0),0)</f>
        <v>0</v>
      </c>
      <c r="K443" s="5">
        <f>+IFERROR(IF(K376&lt;'הנחות עבודה'!$D$34,K409,0),0)</f>
        <v>0</v>
      </c>
      <c r="L443" s="5">
        <f>+IFERROR(IF(L376&lt;'הנחות עבודה'!$D$34,L409,0),0)</f>
        <v>0</v>
      </c>
      <c r="M443" s="5">
        <f>+IFERROR(IF(M376&lt;'הנחות עבודה'!$D$34,M409,0),0)</f>
        <v>0</v>
      </c>
      <c r="N443" s="5">
        <f>+IFERROR(IF(N376&lt;'הנחות עבודה'!$D$34,N409,0),0)</f>
        <v>0</v>
      </c>
      <c r="O443" s="5">
        <f>+IFERROR(IF(O376&lt;'הנחות עבודה'!$D$34,O409,0),0)</f>
        <v>0</v>
      </c>
      <c r="P443" s="5">
        <f>+IFERROR(IF(P376&lt;'הנחות עבודה'!$D$34,P409,0),0)</f>
        <v>0</v>
      </c>
      <c r="Q443" s="5">
        <f>+IFERROR(IF(Q376&lt;'הנחות עבודה'!$D$34,Q409,0),0)</f>
        <v>0</v>
      </c>
      <c r="R443" s="5">
        <f>+IFERROR(IF(R376&lt;'הנחות עבודה'!$D$34,R409,0),0)</f>
        <v>0</v>
      </c>
      <c r="S443" s="5">
        <f>+IFERROR(IF(S376&lt;'הנחות עבודה'!$D$34,S409,0),0)</f>
        <v>0</v>
      </c>
      <c r="T443" s="5">
        <f>+IFERROR(IF(T376&lt;'הנחות עבודה'!$D$34,T409,0),0)</f>
        <v>0</v>
      </c>
      <c r="U443" s="5">
        <f>+IFERROR(IF(U376&lt;'הנחות עבודה'!$D$34,U409,0),0)</f>
        <v>0</v>
      </c>
      <c r="V443" s="5">
        <f>+IFERROR(IF(V376&lt;'הנחות עבודה'!$D$34,V409,0),0)</f>
        <v>0</v>
      </c>
      <c r="W443" s="5">
        <f>+IFERROR(IF(W376&lt;'הנחות עבודה'!$D$34,W409,0),0)</f>
        <v>0</v>
      </c>
      <c r="X443" s="5">
        <f>+IFERROR(IF(X376&lt;'הנחות עבודה'!$D$34,X409,0),0)</f>
        <v>0</v>
      </c>
      <c r="Y443" s="5">
        <f>+IFERROR(IF(Y376&lt;'הנחות עבודה'!$D$34,Y409,0),0)</f>
        <v>0</v>
      </c>
      <c r="Z443" s="5">
        <f>+IFERROR(IF(Z376&lt;'הנחות עבודה'!$D$34,Z409,0),0)</f>
        <v>0</v>
      </c>
      <c r="AA443" s="5">
        <f>+IFERROR(IF(AA376&lt;'הנחות עבודה'!$D$34,AA409,0),0)</f>
        <v>0</v>
      </c>
      <c r="AB443" s="5">
        <f>+IFERROR(IF(AB376&lt;'הנחות עבודה'!$D$34,AB409,0),0)</f>
        <v>0</v>
      </c>
      <c r="AC443" s="5">
        <f>+IFERROR(IF(AC376&lt;'הנחות עבודה'!$D$34,AC409,0),0)</f>
        <v>0</v>
      </c>
      <c r="AD443" s="5">
        <f>+IFERROR(IF(AD376&lt;'הנחות עבודה'!$D$34,AD409,0),0)</f>
        <v>0</v>
      </c>
      <c r="AE443" s="5">
        <f>+IFERROR(IF(AE376&lt;'הנחות עבודה'!$D$34,AE409,0),0)</f>
        <v>0</v>
      </c>
      <c r="AF443" s="5">
        <f>+IFERROR(IF(AF376&lt;'הנחות עבודה'!$D$34,AF409,0),0)</f>
        <v>0</v>
      </c>
      <c r="AG443" s="5">
        <f>+IFERROR(IF(AG376&lt;'הנחות עבודה'!$D$34,AG409,0),0)</f>
        <v>0</v>
      </c>
      <c r="AH443" s="5">
        <f>+IFERROR(IF(AH376&lt;'הנחות עבודה'!$D$34,AH409,0),0)</f>
        <v>0</v>
      </c>
      <c r="AI443" s="5">
        <f>+IFERROR(IF(AI376&lt;'הנחות עבודה'!$D$34,AI409,0),0)</f>
        <v>0</v>
      </c>
      <c r="AJ443" s="5">
        <f>+IFERROR(IF(AJ376&lt;'הנחות עבודה'!$D$34,AJ409,0),0)</f>
        <v>0</v>
      </c>
      <c r="AK443" s="5">
        <f>+IFERROR(IF(AK376&lt;'הנחות עבודה'!$D$34,AK409,0),0)</f>
        <v>0</v>
      </c>
      <c r="AL443" s="5">
        <f>+IFERROR(IF(AL376&lt;'הנחות עבודה'!$D$34,AL409,0),0)</f>
        <v>0</v>
      </c>
      <c r="AM443" s="5">
        <f>+IFERROR(IF(AM376&lt;'הנחות עבודה'!$D$34,AM409,0),0)</f>
        <v>0</v>
      </c>
      <c r="AN443" s="5">
        <f>+IFERROR(IF(AN376&lt;'הנחות עבודה'!$D$34,AN409,0),0)</f>
        <v>0</v>
      </c>
      <c r="AO443" s="5">
        <f>+IFERROR(IF(AO376&lt;'הנחות עבודה'!$D$34,AO409,0),0)</f>
        <v>0</v>
      </c>
      <c r="AP443" s="5">
        <f>+IFERROR(IF(AP376&lt;'הנחות עבודה'!$D$34,AP409,0),0)</f>
        <v>0</v>
      </c>
      <c r="AQ443" s="5">
        <f>+IFERROR(IF(AQ376&lt;'הנחות עבודה'!$D$34,AQ409,0),0)</f>
        <v>0</v>
      </c>
      <c r="AR443" s="5">
        <f>+IFERROR(IF(AR376&lt;'הנחות עבודה'!$D$34,AR409,0),0)</f>
        <v>0</v>
      </c>
      <c r="AS443" s="5">
        <f>+IFERROR(IF(AS376&lt;'הנחות עבודה'!$D$34,AS409,0),0)</f>
        <v>0</v>
      </c>
      <c r="AT443" s="5">
        <f>+IFERROR(IF(AT376&lt;'הנחות עבודה'!$D$34,AT409,0),0)</f>
        <v>0</v>
      </c>
      <c r="AU443" s="5">
        <f>+IFERROR(IF(AU376&lt;'הנחות עבודה'!$D$34,AU409,0),0)</f>
        <v>0</v>
      </c>
      <c r="AV443" s="5">
        <f>+IFERROR(IF(AV376&lt;'הנחות עבודה'!$D$34,AV409,0),0)</f>
        <v>0</v>
      </c>
      <c r="AW443" s="5">
        <f>+IFERROR(IF(AW376&lt;'הנחות עבודה'!$D$34,AW409,0),0)</f>
        <v>0</v>
      </c>
      <c r="AX443" s="5">
        <f>+IFERROR(IF(AX376&lt;'הנחות עבודה'!$D$34,AX409,0),0)</f>
        <v>0</v>
      </c>
      <c r="AY443" s="5">
        <f>+IFERROR(IF(AY376&lt;'הנחות עבודה'!$D$34,AY409,0),0)</f>
        <v>0</v>
      </c>
      <c r="AZ443" s="5">
        <f>+IFERROR(IF(AZ376&lt;'הנחות עבודה'!$D$34,AZ409,0),0)</f>
        <v>0</v>
      </c>
      <c r="BA443" s="5">
        <f>+IFERROR(IF(BA376&lt;'הנחות עבודה'!$D$34,BA409,0),0)</f>
        <v>0</v>
      </c>
      <c r="BB443" s="5">
        <f>+IFERROR(IF(BB376&lt;'הנחות עבודה'!$D$34,BB409,0),0)</f>
        <v>0</v>
      </c>
      <c r="BC443" s="5">
        <f>+IFERROR(IF(BC376&lt;'הנחות עבודה'!$D$34,BC409,0),0)</f>
        <v>0</v>
      </c>
      <c r="BD443" s="5">
        <f>+IFERROR(IF(BD376&lt;'הנחות עבודה'!$D$34,BD409,0),0)</f>
        <v>0</v>
      </c>
      <c r="BE443" s="5">
        <f>+IFERROR(IF(BE376&lt;'הנחות עבודה'!$D$34,BE409,0),0)</f>
        <v>0</v>
      </c>
      <c r="BF443" s="5">
        <f>+IFERROR(IF(BF376&lt;'הנחות עבודה'!$D$34,BF409,0),0)</f>
        <v>0</v>
      </c>
    </row>
    <row r="444" spans="2:58" x14ac:dyDescent="0.2">
      <c r="B444" s="1">
        <v>17</v>
      </c>
      <c r="C444" s="5">
        <f>+IFERROR(IF(C377&lt;'הנחות עבודה'!$D$34,C410,0),0)</f>
        <v>0</v>
      </c>
      <c r="D444" s="5">
        <f>+IFERROR(IF(D377&lt;'הנחות עבודה'!$D$34,D410,0),0)</f>
        <v>0</v>
      </c>
      <c r="E444" s="5">
        <f>+IFERROR(IF(E377&lt;'הנחות עבודה'!$D$34,E410,0),0)</f>
        <v>0</v>
      </c>
      <c r="F444" s="5">
        <f>+IFERROR(IF(F377&lt;'הנחות עבודה'!$D$34,F410,0),0)</f>
        <v>0</v>
      </c>
      <c r="G444" s="5">
        <f>+IFERROR(IF(G377&lt;'הנחות עבודה'!$D$34,G410,0),0)</f>
        <v>0</v>
      </c>
      <c r="H444" s="5">
        <f>+IFERROR(IF(H377&lt;'הנחות עבודה'!$D$34,H410,0),0)</f>
        <v>0</v>
      </c>
      <c r="I444" s="5">
        <f>+IFERROR(IF(I377&lt;'הנחות עבודה'!$D$34,I410,0),0)</f>
        <v>0</v>
      </c>
      <c r="J444" s="5">
        <f>+IFERROR(IF(J377&lt;'הנחות עבודה'!$D$34,J410,0),0)</f>
        <v>0</v>
      </c>
      <c r="K444" s="5">
        <f>+IFERROR(IF(K377&lt;'הנחות עבודה'!$D$34,K410,0),0)</f>
        <v>0</v>
      </c>
      <c r="L444" s="5">
        <f>+IFERROR(IF(L377&lt;'הנחות עבודה'!$D$34,L410,0),0)</f>
        <v>0</v>
      </c>
      <c r="M444" s="5">
        <f>+IFERROR(IF(M377&lt;'הנחות עבודה'!$D$34,M410,0),0)</f>
        <v>0</v>
      </c>
      <c r="N444" s="5">
        <f>+IFERROR(IF(N377&lt;'הנחות עבודה'!$D$34,N410,0),0)</f>
        <v>0</v>
      </c>
      <c r="O444" s="5">
        <f>+IFERROR(IF(O377&lt;'הנחות עבודה'!$D$34,O410,0),0)</f>
        <v>0</v>
      </c>
      <c r="P444" s="5">
        <f>+IFERROR(IF(P377&lt;'הנחות עבודה'!$D$34,P410,0),0)</f>
        <v>0</v>
      </c>
      <c r="Q444" s="5">
        <f>+IFERROR(IF(Q377&lt;'הנחות עבודה'!$D$34,Q410,0),0)</f>
        <v>0</v>
      </c>
      <c r="R444" s="5">
        <f>+IFERROR(IF(R377&lt;'הנחות עבודה'!$D$34,R410,0),0)</f>
        <v>0</v>
      </c>
      <c r="S444" s="5">
        <f>+IFERROR(IF(S377&lt;'הנחות עבודה'!$D$34,S410,0),0)</f>
        <v>0</v>
      </c>
      <c r="T444" s="5">
        <f>+IFERROR(IF(T377&lt;'הנחות עבודה'!$D$34,T410,0),0)</f>
        <v>0</v>
      </c>
      <c r="U444" s="5">
        <f>+IFERROR(IF(U377&lt;'הנחות עבודה'!$D$34,U410,0),0)</f>
        <v>0</v>
      </c>
      <c r="V444" s="5">
        <f>+IFERROR(IF(V377&lt;'הנחות עבודה'!$D$34,V410,0),0)</f>
        <v>0</v>
      </c>
      <c r="W444" s="5">
        <f>+IFERROR(IF(W377&lt;'הנחות עבודה'!$D$34,W410,0),0)</f>
        <v>0</v>
      </c>
      <c r="X444" s="5">
        <f>+IFERROR(IF(X377&lt;'הנחות עבודה'!$D$34,X410,0),0)</f>
        <v>0</v>
      </c>
      <c r="Y444" s="5">
        <f>+IFERROR(IF(Y377&lt;'הנחות עבודה'!$D$34,Y410,0),0)</f>
        <v>0</v>
      </c>
      <c r="Z444" s="5">
        <f>+IFERROR(IF(Z377&lt;'הנחות עבודה'!$D$34,Z410,0),0)</f>
        <v>0</v>
      </c>
      <c r="AA444" s="5">
        <f>+IFERROR(IF(AA377&lt;'הנחות עבודה'!$D$34,AA410,0),0)</f>
        <v>0</v>
      </c>
      <c r="AB444" s="5">
        <f>+IFERROR(IF(AB377&lt;'הנחות עבודה'!$D$34,AB410,0),0)</f>
        <v>0</v>
      </c>
      <c r="AC444" s="5">
        <f>+IFERROR(IF(AC377&lt;'הנחות עבודה'!$D$34,AC410,0),0)</f>
        <v>0</v>
      </c>
      <c r="AD444" s="5">
        <f>+IFERROR(IF(AD377&lt;'הנחות עבודה'!$D$34,AD410,0),0)</f>
        <v>0</v>
      </c>
      <c r="AE444" s="5">
        <f>+IFERROR(IF(AE377&lt;'הנחות עבודה'!$D$34,AE410,0),0)</f>
        <v>0</v>
      </c>
      <c r="AF444" s="5">
        <f>+IFERROR(IF(AF377&lt;'הנחות עבודה'!$D$34,AF410,0),0)</f>
        <v>0</v>
      </c>
      <c r="AG444" s="5">
        <f>+IFERROR(IF(AG377&lt;'הנחות עבודה'!$D$34,AG410,0),0)</f>
        <v>0</v>
      </c>
      <c r="AH444" s="5">
        <f>+IFERROR(IF(AH377&lt;'הנחות עבודה'!$D$34,AH410,0),0)</f>
        <v>0</v>
      </c>
      <c r="AI444" s="5">
        <f>+IFERROR(IF(AI377&lt;'הנחות עבודה'!$D$34,AI410,0),0)</f>
        <v>0</v>
      </c>
      <c r="AJ444" s="5">
        <f>+IFERROR(IF(AJ377&lt;'הנחות עבודה'!$D$34,AJ410,0),0)</f>
        <v>0</v>
      </c>
      <c r="AK444" s="5">
        <f>+IFERROR(IF(AK377&lt;'הנחות עבודה'!$D$34,AK410,0),0)</f>
        <v>0</v>
      </c>
      <c r="AL444" s="5">
        <f>+IFERROR(IF(AL377&lt;'הנחות עבודה'!$D$34,AL410,0),0)</f>
        <v>0</v>
      </c>
      <c r="AM444" s="5">
        <f>+IFERROR(IF(AM377&lt;'הנחות עבודה'!$D$34,AM410,0),0)</f>
        <v>0</v>
      </c>
      <c r="AN444" s="5">
        <f>+IFERROR(IF(AN377&lt;'הנחות עבודה'!$D$34,AN410,0),0)</f>
        <v>0</v>
      </c>
      <c r="AO444" s="5">
        <f>+IFERROR(IF(AO377&lt;'הנחות עבודה'!$D$34,AO410,0),0)</f>
        <v>0</v>
      </c>
      <c r="AP444" s="5">
        <f>+IFERROR(IF(AP377&lt;'הנחות עבודה'!$D$34,AP410,0),0)</f>
        <v>0</v>
      </c>
      <c r="AQ444" s="5">
        <f>+IFERROR(IF(AQ377&lt;'הנחות עבודה'!$D$34,AQ410,0),0)</f>
        <v>0</v>
      </c>
      <c r="AR444" s="5">
        <f>+IFERROR(IF(AR377&lt;'הנחות עבודה'!$D$34,AR410,0),0)</f>
        <v>0</v>
      </c>
      <c r="AS444" s="5">
        <f>+IFERROR(IF(AS377&lt;'הנחות עבודה'!$D$34,AS410,0),0)</f>
        <v>0</v>
      </c>
      <c r="AT444" s="5">
        <f>+IFERROR(IF(AT377&lt;'הנחות עבודה'!$D$34,AT410,0),0)</f>
        <v>0</v>
      </c>
      <c r="AU444" s="5">
        <f>+IFERROR(IF(AU377&lt;'הנחות עבודה'!$D$34,AU410,0),0)</f>
        <v>0</v>
      </c>
      <c r="AV444" s="5">
        <f>+IFERROR(IF(AV377&lt;'הנחות עבודה'!$D$34,AV410,0),0)</f>
        <v>0</v>
      </c>
      <c r="AW444" s="5">
        <f>+IFERROR(IF(AW377&lt;'הנחות עבודה'!$D$34,AW410,0),0)</f>
        <v>0</v>
      </c>
      <c r="AX444" s="5">
        <f>+IFERROR(IF(AX377&lt;'הנחות עבודה'!$D$34,AX410,0),0)</f>
        <v>0</v>
      </c>
      <c r="AY444" s="5">
        <f>+IFERROR(IF(AY377&lt;'הנחות עבודה'!$D$34,AY410,0),0)</f>
        <v>0</v>
      </c>
      <c r="AZ444" s="5">
        <f>+IFERROR(IF(AZ377&lt;'הנחות עבודה'!$D$34,AZ410,0),0)</f>
        <v>0</v>
      </c>
      <c r="BA444" s="5">
        <f>+IFERROR(IF(BA377&lt;'הנחות עבודה'!$D$34,BA410,0),0)</f>
        <v>0</v>
      </c>
      <c r="BB444" s="5">
        <f>+IFERROR(IF(BB377&lt;'הנחות עבודה'!$D$34,BB410,0),0)</f>
        <v>0</v>
      </c>
      <c r="BC444" s="5">
        <f>+IFERROR(IF(BC377&lt;'הנחות עבודה'!$D$34,BC410,0),0)</f>
        <v>0</v>
      </c>
      <c r="BD444" s="5">
        <f>+IFERROR(IF(BD377&lt;'הנחות עבודה'!$D$34,BD410,0),0)</f>
        <v>0</v>
      </c>
      <c r="BE444" s="5">
        <f>+IFERROR(IF(BE377&lt;'הנחות עבודה'!$D$34,BE410,0),0)</f>
        <v>0</v>
      </c>
      <c r="BF444" s="5">
        <f>+IFERROR(IF(BF377&lt;'הנחות עבודה'!$D$34,BF410,0),0)</f>
        <v>0</v>
      </c>
    </row>
    <row r="445" spans="2:58" x14ac:dyDescent="0.2">
      <c r="B445" s="1">
        <v>18</v>
      </c>
      <c r="C445" s="5">
        <f>+IFERROR(IF(C378&lt;'הנחות עבודה'!$D$34,C411,0),0)</f>
        <v>0</v>
      </c>
      <c r="D445" s="5">
        <f>+IFERROR(IF(D378&lt;'הנחות עבודה'!$D$34,D411,0),0)</f>
        <v>0</v>
      </c>
      <c r="E445" s="5">
        <f>+IFERROR(IF(E378&lt;'הנחות עבודה'!$D$34,E411,0),0)</f>
        <v>0</v>
      </c>
      <c r="F445" s="5">
        <f>+IFERROR(IF(F378&lt;'הנחות עבודה'!$D$34,F411,0),0)</f>
        <v>0</v>
      </c>
      <c r="G445" s="5">
        <f>+IFERROR(IF(G378&lt;'הנחות עבודה'!$D$34,G411,0),0)</f>
        <v>0</v>
      </c>
      <c r="H445" s="5">
        <f>+IFERROR(IF(H378&lt;'הנחות עבודה'!$D$34,H411,0),0)</f>
        <v>0</v>
      </c>
      <c r="I445" s="5">
        <f>+IFERROR(IF(I378&lt;'הנחות עבודה'!$D$34,I411,0),0)</f>
        <v>0</v>
      </c>
      <c r="J445" s="5">
        <f>+IFERROR(IF(J378&lt;'הנחות עבודה'!$D$34,J411,0),0)</f>
        <v>0</v>
      </c>
      <c r="K445" s="5">
        <f>+IFERROR(IF(K378&lt;'הנחות עבודה'!$D$34,K411,0),0)</f>
        <v>0</v>
      </c>
      <c r="L445" s="5">
        <f>+IFERROR(IF(L378&lt;'הנחות עבודה'!$D$34,L411,0),0)</f>
        <v>0</v>
      </c>
      <c r="M445" s="5">
        <f>+IFERROR(IF(M378&lt;'הנחות עבודה'!$D$34,M411,0),0)</f>
        <v>0</v>
      </c>
      <c r="N445" s="5">
        <f>+IFERROR(IF(N378&lt;'הנחות עבודה'!$D$34,N411,0),0)</f>
        <v>0</v>
      </c>
      <c r="O445" s="5">
        <f>+IFERROR(IF(O378&lt;'הנחות עבודה'!$D$34,O411,0),0)</f>
        <v>0</v>
      </c>
      <c r="P445" s="5">
        <f>+IFERROR(IF(P378&lt;'הנחות עבודה'!$D$34,P411,0),0)</f>
        <v>0</v>
      </c>
      <c r="Q445" s="5">
        <f>+IFERROR(IF(Q378&lt;'הנחות עבודה'!$D$34,Q411,0),0)</f>
        <v>0</v>
      </c>
      <c r="R445" s="5">
        <f>+IFERROR(IF(R378&lt;'הנחות עבודה'!$D$34,R411,0),0)</f>
        <v>0</v>
      </c>
      <c r="S445" s="5">
        <f>+IFERROR(IF(S378&lt;'הנחות עבודה'!$D$34,S411,0),0)</f>
        <v>0</v>
      </c>
      <c r="T445" s="5">
        <f>+IFERROR(IF(T378&lt;'הנחות עבודה'!$D$34,T411,0),0)</f>
        <v>0</v>
      </c>
      <c r="U445" s="5">
        <f>+IFERROR(IF(U378&lt;'הנחות עבודה'!$D$34,U411,0),0)</f>
        <v>0</v>
      </c>
      <c r="V445" s="5">
        <f>+IFERROR(IF(V378&lt;'הנחות עבודה'!$D$34,V411,0),0)</f>
        <v>0</v>
      </c>
      <c r="W445" s="5">
        <f>+IFERROR(IF(W378&lt;'הנחות עבודה'!$D$34,W411,0),0)</f>
        <v>0</v>
      </c>
      <c r="X445" s="5">
        <f>+IFERROR(IF(X378&lt;'הנחות עבודה'!$D$34,X411,0),0)</f>
        <v>0</v>
      </c>
      <c r="Y445" s="5">
        <f>+IFERROR(IF(Y378&lt;'הנחות עבודה'!$D$34,Y411,0),0)</f>
        <v>0</v>
      </c>
      <c r="Z445" s="5">
        <f>+IFERROR(IF(Z378&lt;'הנחות עבודה'!$D$34,Z411,0),0)</f>
        <v>0</v>
      </c>
      <c r="AA445" s="5">
        <f>+IFERROR(IF(AA378&lt;'הנחות עבודה'!$D$34,AA411,0),0)</f>
        <v>0</v>
      </c>
      <c r="AB445" s="5">
        <f>+IFERROR(IF(AB378&lt;'הנחות עבודה'!$D$34,AB411,0),0)</f>
        <v>0</v>
      </c>
      <c r="AC445" s="5">
        <f>+IFERROR(IF(AC378&lt;'הנחות עבודה'!$D$34,AC411,0),0)</f>
        <v>0</v>
      </c>
      <c r="AD445" s="5">
        <f>+IFERROR(IF(AD378&lt;'הנחות עבודה'!$D$34,AD411,0),0)</f>
        <v>0</v>
      </c>
      <c r="AE445" s="5">
        <f>+IFERROR(IF(AE378&lt;'הנחות עבודה'!$D$34,AE411,0),0)</f>
        <v>0</v>
      </c>
      <c r="AF445" s="5">
        <f>+IFERROR(IF(AF378&lt;'הנחות עבודה'!$D$34,AF411,0),0)</f>
        <v>0</v>
      </c>
      <c r="AG445" s="5">
        <f>+IFERROR(IF(AG378&lt;'הנחות עבודה'!$D$34,AG411,0),0)</f>
        <v>0</v>
      </c>
      <c r="AH445" s="5">
        <f>+IFERROR(IF(AH378&lt;'הנחות עבודה'!$D$34,AH411,0),0)</f>
        <v>0</v>
      </c>
      <c r="AI445" s="5">
        <f>+IFERROR(IF(AI378&lt;'הנחות עבודה'!$D$34,AI411,0),0)</f>
        <v>0</v>
      </c>
      <c r="AJ445" s="5">
        <f>+IFERROR(IF(AJ378&lt;'הנחות עבודה'!$D$34,AJ411,0),0)</f>
        <v>0</v>
      </c>
      <c r="AK445" s="5">
        <f>+IFERROR(IF(AK378&lt;'הנחות עבודה'!$D$34,AK411,0),0)</f>
        <v>0</v>
      </c>
      <c r="AL445" s="5">
        <f>+IFERROR(IF(AL378&lt;'הנחות עבודה'!$D$34,AL411,0),0)</f>
        <v>0</v>
      </c>
      <c r="AM445" s="5">
        <f>+IFERROR(IF(AM378&lt;'הנחות עבודה'!$D$34,AM411,0),0)</f>
        <v>0</v>
      </c>
      <c r="AN445" s="5">
        <f>+IFERROR(IF(AN378&lt;'הנחות עבודה'!$D$34,AN411,0),0)</f>
        <v>0</v>
      </c>
      <c r="AO445" s="5">
        <f>+IFERROR(IF(AO378&lt;'הנחות עבודה'!$D$34,AO411,0),0)</f>
        <v>0</v>
      </c>
      <c r="AP445" s="5">
        <f>+IFERROR(IF(AP378&lt;'הנחות עבודה'!$D$34,AP411,0),0)</f>
        <v>0</v>
      </c>
      <c r="AQ445" s="5">
        <f>+IFERROR(IF(AQ378&lt;'הנחות עבודה'!$D$34,AQ411,0),0)</f>
        <v>0</v>
      </c>
      <c r="AR445" s="5">
        <f>+IFERROR(IF(AR378&lt;'הנחות עבודה'!$D$34,AR411,0),0)</f>
        <v>0</v>
      </c>
      <c r="AS445" s="5">
        <f>+IFERROR(IF(AS378&lt;'הנחות עבודה'!$D$34,AS411,0),0)</f>
        <v>0</v>
      </c>
      <c r="AT445" s="5">
        <f>+IFERROR(IF(AT378&lt;'הנחות עבודה'!$D$34,AT411,0),0)</f>
        <v>0</v>
      </c>
      <c r="AU445" s="5">
        <f>+IFERROR(IF(AU378&lt;'הנחות עבודה'!$D$34,AU411,0),0)</f>
        <v>0</v>
      </c>
      <c r="AV445" s="5">
        <f>+IFERROR(IF(AV378&lt;'הנחות עבודה'!$D$34,AV411,0),0)</f>
        <v>0</v>
      </c>
      <c r="AW445" s="5">
        <f>+IFERROR(IF(AW378&lt;'הנחות עבודה'!$D$34,AW411,0),0)</f>
        <v>0</v>
      </c>
      <c r="AX445" s="5">
        <f>+IFERROR(IF(AX378&lt;'הנחות עבודה'!$D$34,AX411,0),0)</f>
        <v>0</v>
      </c>
      <c r="AY445" s="5">
        <f>+IFERROR(IF(AY378&lt;'הנחות עבודה'!$D$34,AY411,0),0)</f>
        <v>0</v>
      </c>
      <c r="AZ445" s="5">
        <f>+IFERROR(IF(AZ378&lt;'הנחות עבודה'!$D$34,AZ411,0),0)</f>
        <v>0</v>
      </c>
      <c r="BA445" s="5">
        <f>+IFERROR(IF(BA378&lt;'הנחות עבודה'!$D$34,BA411,0),0)</f>
        <v>0</v>
      </c>
      <c r="BB445" s="5">
        <f>+IFERROR(IF(BB378&lt;'הנחות עבודה'!$D$34,BB411,0),0)</f>
        <v>0</v>
      </c>
      <c r="BC445" s="5">
        <f>+IFERROR(IF(BC378&lt;'הנחות עבודה'!$D$34,BC411,0),0)</f>
        <v>0</v>
      </c>
      <c r="BD445" s="5">
        <f>+IFERROR(IF(BD378&lt;'הנחות עבודה'!$D$34,BD411,0),0)</f>
        <v>0</v>
      </c>
      <c r="BE445" s="5">
        <f>+IFERROR(IF(BE378&lt;'הנחות עבודה'!$D$34,BE411,0),0)</f>
        <v>0</v>
      </c>
      <c r="BF445" s="5">
        <f>+IFERROR(IF(BF378&lt;'הנחות עבודה'!$D$34,BF411,0),0)</f>
        <v>0</v>
      </c>
    </row>
    <row r="446" spans="2:58" x14ac:dyDescent="0.2">
      <c r="B446" s="1">
        <v>19</v>
      </c>
      <c r="C446" s="5">
        <f>+IFERROR(IF(C379&lt;'הנחות עבודה'!$D$34,C412,0),0)</f>
        <v>0</v>
      </c>
      <c r="D446" s="5">
        <f>+IFERROR(IF(D379&lt;'הנחות עבודה'!$D$34,D412,0),0)</f>
        <v>0</v>
      </c>
      <c r="E446" s="5">
        <f>+IFERROR(IF(E379&lt;'הנחות עבודה'!$D$34,E412,0),0)</f>
        <v>0</v>
      </c>
      <c r="F446" s="5">
        <f>+IFERROR(IF(F379&lt;'הנחות עבודה'!$D$34,F412,0),0)</f>
        <v>0</v>
      </c>
      <c r="G446" s="5">
        <f>+IFERROR(IF(G379&lt;'הנחות עבודה'!$D$34,G412,0),0)</f>
        <v>0</v>
      </c>
      <c r="H446" s="5">
        <f>+IFERROR(IF(H379&lt;'הנחות עבודה'!$D$34,H412,0),0)</f>
        <v>0</v>
      </c>
      <c r="I446" s="5">
        <f>+IFERROR(IF(I379&lt;'הנחות עבודה'!$D$34,I412,0),0)</f>
        <v>0</v>
      </c>
      <c r="J446" s="5">
        <f>+IFERROR(IF(J379&lt;'הנחות עבודה'!$D$34,J412,0),0)</f>
        <v>0</v>
      </c>
      <c r="K446" s="5">
        <f>+IFERROR(IF(K379&lt;'הנחות עבודה'!$D$34,K412,0),0)</f>
        <v>0</v>
      </c>
      <c r="L446" s="5">
        <f>+IFERROR(IF(L379&lt;'הנחות עבודה'!$D$34,L412,0),0)</f>
        <v>0</v>
      </c>
      <c r="M446" s="5">
        <f>+IFERROR(IF(M379&lt;'הנחות עבודה'!$D$34,M412,0),0)</f>
        <v>0</v>
      </c>
      <c r="N446" s="5">
        <f>+IFERROR(IF(N379&lt;'הנחות עבודה'!$D$34,N412,0),0)</f>
        <v>0</v>
      </c>
      <c r="O446" s="5">
        <f>+IFERROR(IF(O379&lt;'הנחות עבודה'!$D$34,O412,0),0)</f>
        <v>0</v>
      </c>
      <c r="P446" s="5">
        <f>+IFERROR(IF(P379&lt;'הנחות עבודה'!$D$34,P412,0),0)</f>
        <v>0</v>
      </c>
      <c r="Q446" s="5">
        <f>+IFERROR(IF(Q379&lt;'הנחות עבודה'!$D$34,Q412,0),0)</f>
        <v>0</v>
      </c>
      <c r="R446" s="5">
        <f>+IFERROR(IF(R379&lt;'הנחות עבודה'!$D$34,R412,0),0)</f>
        <v>0</v>
      </c>
      <c r="S446" s="5">
        <f>+IFERROR(IF(S379&lt;'הנחות עבודה'!$D$34,S412,0),0)</f>
        <v>0</v>
      </c>
      <c r="T446" s="5">
        <f>+IFERROR(IF(T379&lt;'הנחות עבודה'!$D$34,T412,0),0)</f>
        <v>0</v>
      </c>
      <c r="U446" s="5">
        <f>+IFERROR(IF(U379&lt;'הנחות עבודה'!$D$34,U412,0),0)</f>
        <v>0</v>
      </c>
      <c r="V446" s="5">
        <f>+IFERROR(IF(V379&lt;'הנחות עבודה'!$D$34,V412,0),0)</f>
        <v>0</v>
      </c>
      <c r="W446" s="5">
        <f>+IFERROR(IF(W379&lt;'הנחות עבודה'!$D$34,W412,0),0)</f>
        <v>0</v>
      </c>
      <c r="X446" s="5">
        <f>+IFERROR(IF(X379&lt;'הנחות עבודה'!$D$34,X412,0),0)</f>
        <v>0</v>
      </c>
      <c r="Y446" s="5">
        <f>+IFERROR(IF(Y379&lt;'הנחות עבודה'!$D$34,Y412,0),0)</f>
        <v>0</v>
      </c>
      <c r="Z446" s="5">
        <f>+IFERROR(IF(Z379&lt;'הנחות עבודה'!$D$34,Z412,0),0)</f>
        <v>0</v>
      </c>
      <c r="AA446" s="5">
        <f>+IFERROR(IF(AA379&lt;'הנחות עבודה'!$D$34,AA412,0),0)</f>
        <v>0</v>
      </c>
      <c r="AB446" s="5">
        <f>+IFERROR(IF(AB379&lt;'הנחות עבודה'!$D$34,AB412,0),0)</f>
        <v>0</v>
      </c>
      <c r="AC446" s="5">
        <f>+IFERROR(IF(AC379&lt;'הנחות עבודה'!$D$34,AC412,0),0)</f>
        <v>0</v>
      </c>
      <c r="AD446" s="5">
        <f>+IFERROR(IF(AD379&lt;'הנחות עבודה'!$D$34,AD412,0),0)</f>
        <v>0</v>
      </c>
      <c r="AE446" s="5">
        <f>+IFERROR(IF(AE379&lt;'הנחות עבודה'!$D$34,AE412,0),0)</f>
        <v>0</v>
      </c>
      <c r="AF446" s="5">
        <f>+IFERROR(IF(AF379&lt;'הנחות עבודה'!$D$34,AF412,0),0)</f>
        <v>0</v>
      </c>
      <c r="AG446" s="5">
        <f>+IFERROR(IF(AG379&lt;'הנחות עבודה'!$D$34,AG412,0),0)</f>
        <v>0</v>
      </c>
      <c r="AH446" s="5">
        <f>+IFERROR(IF(AH379&lt;'הנחות עבודה'!$D$34,AH412,0),0)</f>
        <v>0</v>
      </c>
      <c r="AI446" s="5">
        <f>+IFERROR(IF(AI379&lt;'הנחות עבודה'!$D$34,AI412,0),0)</f>
        <v>0</v>
      </c>
      <c r="AJ446" s="5">
        <f>+IFERROR(IF(AJ379&lt;'הנחות עבודה'!$D$34,AJ412,0),0)</f>
        <v>0</v>
      </c>
      <c r="AK446" s="5">
        <f>+IFERROR(IF(AK379&lt;'הנחות עבודה'!$D$34,AK412,0),0)</f>
        <v>0</v>
      </c>
      <c r="AL446" s="5">
        <f>+IFERROR(IF(AL379&lt;'הנחות עבודה'!$D$34,AL412,0),0)</f>
        <v>0</v>
      </c>
      <c r="AM446" s="5">
        <f>+IFERROR(IF(AM379&lt;'הנחות עבודה'!$D$34,AM412,0),0)</f>
        <v>0</v>
      </c>
      <c r="AN446" s="5">
        <f>+IFERROR(IF(AN379&lt;'הנחות עבודה'!$D$34,AN412,0),0)</f>
        <v>0</v>
      </c>
      <c r="AO446" s="5">
        <f>+IFERROR(IF(AO379&lt;'הנחות עבודה'!$D$34,AO412,0),0)</f>
        <v>0</v>
      </c>
      <c r="AP446" s="5">
        <f>+IFERROR(IF(AP379&lt;'הנחות עבודה'!$D$34,AP412,0),0)</f>
        <v>0</v>
      </c>
      <c r="AQ446" s="5">
        <f>+IFERROR(IF(AQ379&lt;'הנחות עבודה'!$D$34,AQ412,0),0)</f>
        <v>0</v>
      </c>
      <c r="AR446" s="5">
        <f>+IFERROR(IF(AR379&lt;'הנחות עבודה'!$D$34,AR412,0),0)</f>
        <v>0</v>
      </c>
      <c r="AS446" s="5">
        <f>+IFERROR(IF(AS379&lt;'הנחות עבודה'!$D$34,AS412,0),0)</f>
        <v>0</v>
      </c>
      <c r="AT446" s="5">
        <f>+IFERROR(IF(AT379&lt;'הנחות עבודה'!$D$34,AT412,0),0)</f>
        <v>0</v>
      </c>
      <c r="AU446" s="5">
        <f>+IFERROR(IF(AU379&lt;'הנחות עבודה'!$D$34,AU412,0),0)</f>
        <v>0</v>
      </c>
      <c r="AV446" s="5">
        <f>+IFERROR(IF(AV379&lt;'הנחות עבודה'!$D$34,AV412,0),0)</f>
        <v>0</v>
      </c>
      <c r="AW446" s="5">
        <f>+IFERROR(IF(AW379&lt;'הנחות עבודה'!$D$34,AW412,0),0)</f>
        <v>0</v>
      </c>
      <c r="AX446" s="5">
        <f>+IFERROR(IF(AX379&lt;'הנחות עבודה'!$D$34,AX412,0),0)</f>
        <v>0</v>
      </c>
      <c r="AY446" s="5">
        <f>+IFERROR(IF(AY379&lt;'הנחות עבודה'!$D$34,AY412,0),0)</f>
        <v>0</v>
      </c>
      <c r="AZ446" s="5">
        <f>+IFERROR(IF(AZ379&lt;'הנחות עבודה'!$D$34,AZ412,0),0)</f>
        <v>0</v>
      </c>
      <c r="BA446" s="5">
        <f>+IFERROR(IF(BA379&lt;'הנחות עבודה'!$D$34,BA412,0),0)</f>
        <v>0</v>
      </c>
      <c r="BB446" s="5">
        <f>+IFERROR(IF(BB379&lt;'הנחות עבודה'!$D$34,BB412,0),0)</f>
        <v>0</v>
      </c>
      <c r="BC446" s="5">
        <f>+IFERROR(IF(BC379&lt;'הנחות עבודה'!$D$34,BC412,0),0)</f>
        <v>0</v>
      </c>
      <c r="BD446" s="5">
        <f>+IFERROR(IF(BD379&lt;'הנחות עבודה'!$D$34,BD412,0),0)</f>
        <v>0</v>
      </c>
      <c r="BE446" s="5">
        <f>+IFERROR(IF(BE379&lt;'הנחות עבודה'!$D$34,BE412,0),0)</f>
        <v>0</v>
      </c>
      <c r="BF446" s="5">
        <f>+IFERROR(IF(BF379&lt;'הנחות עבודה'!$D$34,BF412,0),0)</f>
        <v>0</v>
      </c>
    </row>
    <row r="447" spans="2:58" x14ac:dyDescent="0.2">
      <c r="B447" s="1">
        <v>20</v>
      </c>
      <c r="C447" s="5">
        <f>+IFERROR(IF(C380&lt;'הנחות עבודה'!$D$34,C413,0),0)</f>
        <v>0</v>
      </c>
      <c r="D447" s="5">
        <f>+IFERROR(IF(D380&lt;'הנחות עבודה'!$D$34,D413,0),0)</f>
        <v>0</v>
      </c>
      <c r="E447" s="5">
        <f>+IFERROR(IF(E380&lt;'הנחות עבודה'!$D$34,E413,0),0)</f>
        <v>0</v>
      </c>
      <c r="F447" s="5">
        <f>+IFERROR(IF(F380&lt;'הנחות עבודה'!$D$34,F413,0),0)</f>
        <v>0</v>
      </c>
      <c r="G447" s="5">
        <f>+IFERROR(IF(G380&lt;'הנחות עבודה'!$D$34,G413,0),0)</f>
        <v>0</v>
      </c>
      <c r="H447" s="5">
        <f>+IFERROR(IF(H380&lt;'הנחות עבודה'!$D$34,H413,0),0)</f>
        <v>0</v>
      </c>
      <c r="I447" s="5">
        <f>+IFERROR(IF(I380&lt;'הנחות עבודה'!$D$34,I413,0),0)</f>
        <v>0</v>
      </c>
      <c r="J447" s="5">
        <f>+IFERROR(IF(J380&lt;'הנחות עבודה'!$D$34,J413,0),0)</f>
        <v>0</v>
      </c>
      <c r="K447" s="5">
        <f>+IFERROR(IF(K380&lt;'הנחות עבודה'!$D$34,K413,0),0)</f>
        <v>0</v>
      </c>
      <c r="L447" s="5">
        <f>+IFERROR(IF(L380&lt;'הנחות עבודה'!$D$34,L413,0),0)</f>
        <v>0</v>
      </c>
      <c r="M447" s="5">
        <f>+IFERROR(IF(M380&lt;'הנחות עבודה'!$D$34,M413,0),0)</f>
        <v>0</v>
      </c>
      <c r="N447" s="5">
        <f>+IFERROR(IF(N380&lt;'הנחות עבודה'!$D$34,N413,0),0)</f>
        <v>0</v>
      </c>
      <c r="O447" s="5">
        <f>+IFERROR(IF(O380&lt;'הנחות עבודה'!$D$34,O413,0),0)</f>
        <v>0</v>
      </c>
      <c r="P447" s="5">
        <f>+IFERROR(IF(P380&lt;'הנחות עבודה'!$D$34,P413,0),0)</f>
        <v>0</v>
      </c>
      <c r="Q447" s="5">
        <f>+IFERROR(IF(Q380&lt;'הנחות עבודה'!$D$34,Q413,0),0)</f>
        <v>0</v>
      </c>
      <c r="R447" s="5">
        <f>+IFERROR(IF(R380&lt;'הנחות עבודה'!$D$34,R413,0),0)</f>
        <v>0</v>
      </c>
      <c r="S447" s="5">
        <f>+IFERROR(IF(S380&lt;'הנחות עבודה'!$D$34,S413,0),0)</f>
        <v>0</v>
      </c>
      <c r="T447" s="5">
        <f>+IFERROR(IF(T380&lt;'הנחות עבודה'!$D$34,T413,0),0)</f>
        <v>0</v>
      </c>
      <c r="U447" s="5">
        <f>+IFERROR(IF(U380&lt;'הנחות עבודה'!$D$34,U413,0),0)</f>
        <v>0</v>
      </c>
      <c r="V447" s="5">
        <f>+IFERROR(IF(V380&lt;'הנחות עבודה'!$D$34,V413,0),0)</f>
        <v>0</v>
      </c>
      <c r="W447" s="5">
        <f>+IFERROR(IF(W380&lt;'הנחות עבודה'!$D$34,W413,0),0)</f>
        <v>0</v>
      </c>
      <c r="X447" s="5">
        <f>+IFERROR(IF(X380&lt;'הנחות עבודה'!$D$34,X413,0),0)</f>
        <v>0</v>
      </c>
      <c r="Y447" s="5">
        <f>+IFERROR(IF(Y380&lt;'הנחות עבודה'!$D$34,Y413,0),0)</f>
        <v>0</v>
      </c>
      <c r="Z447" s="5">
        <f>+IFERROR(IF(Z380&lt;'הנחות עבודה'!$D$34,Z413,0),0)</f>
        <v>0</v>
      </c>
      <c r="AA447" s="5">
        <f>+IFERROR(IF(AA380&lt;'הנחות עבודה'!$D$34,AA413,0),0)</f>
        <v>0</v>
      </c>
      <c r="AB447" s="5">
        <f>+IFERROR(IF(AB380&lt;'הנחות עבודה'!$D$34,AB413,0),0)</f>
        <v>0</v>
      </c>
      <c r="AC447" s="5">
        <f>+IFERROR(IF(AC380&lt;'הנחות עבודה'!$D$34,AC413,0),0)</f>
        <v>0</v>
      </c>
      <c r="AD447" s="5">
        <f>+IFERROR(IF(AD380&lt;'הנחות עבודה'!$D$34,AD413,0),0)</f>
        <v>0</v>
      </c>
      <c r="AE447" s="5">
        <f>+IFERROR(IF(AE380&lt;'הנחות עבודה'!$D$34,AE413,0),0)</f>
        <v>0</v>
      </c>
      <c r="AF447" s="5">
        <f>+IFERROR(IF(AF380&lt;'הנחות עבודה'!$D$34,AF413,0),0)</f>
        <v>0</v>
      </c>
      <c r="AG447" s="5">
        <f>+IFERROR(IF(AG380&lt;'הנחות עבודה'!$D$34,AG413,0),0)</f>
        <v>0</v>
      </c>
      <c r="AH447" s="5">
        <f>+IFERROR(IF(AH380&lt;'הנחות עבודה'!$D$34,AH413,0),0)</f>
        <v>0</v>
      </c>
      <c r="AI447" s="5">
        <f>+IFERROR(IF(AI380&lt;'הנחות עבודה'!$D$34,AI413,0),0)</f>
        <v>0</v>
      </c>
      <c r="AJ447" s="5">
        <f>+IFERROR(IF(AJ380&lt;'הנחות עבודה'!$D$34,AJ413,0),0)</f>
        <v>0</v>
      </c>
      <c r="AK447" s="5">
        <f>+IFERROR(IF(AK380&lt;'הנחות עבודה'!$D$34,AK413,0),0)</f>
        <v>0</v>
      </c>
      <c r="AL447" s="5">
        <f>+IFERROR(IF(AL380&lt;'הנחות עבודה'!$D$34,AL413,0),0)</f>
        <v>0</v>
      </c>
      <c r="AM447" s="5">
        <f>+IFERROR(IF(AM380&lt;'הנחות עבודה'!$D$34,AM413,0),0)</f>
        <v>0</v>
      </c>
      <c r="AN447" s="5">
        <f>+IFERROR(IF(AN380&lt;'הנחות עבודה'!$D$34,AN413,0),0)</f>
        <v>0</v>
      </c>
      <c r="AO447" s="5">
        <f>+IFERROR(IF(AO380&lt;'הנחות עבודה'!$D$34,AO413,0),0)</f>
        <v>0</v>
      </c>
      <c r="AP447" s="5">
        <f>+IFERROR(IF(AP380&lt;'הנחות עבודה'!$D$34,AP413,0),0)</f>
        <v>0</v>
      </c>
      <c r="AQ447" s="5">
        <f>+IFERROR(IF(AQ380&lt;'הנחות עבודה'!$D$34,AQ413,0),0)</f>
        <v>0</v>
      </c>
      <c r="AR447" s="5">
        <f>+IFERROR(IF(AR380&lt;'הנחות עבודה'!$D$34,AR413,0),0)</f>
        <v>0</v>
      </c>
      <c r="AS447" s="5">
        <f>+IFERROR(IF(AS380&lt;'הנחות עבודה'!$D$34,AS413,0),0)</f>
        <v>0</v>
      </c>
      <c r="AT447" s="5">
        <f>+IFERROR(IF(AT380&lt;'הנחות עבודה'!$D$34,AT413,0),0)</f>
        <v>0</v>
      </c>
      <c r="AU447" s="5">
        <f>+IFERROR(IF(AU380&lt;'הנחות עבודה'!$D$34,AU413,0),0)</f>
        <v>0</v>
      </c>
      <c r="AV447" s="5">
        <f>+IFERROR(IF(AV380&lt;'הנחות עבודה'!$D$34,AV413,0),0)</f>
        <v>0</v>
      </c>
      <c r="AW447" s="5">
        <f>+IFERROR(IF(AW380&lt;'הנחות עבודה'!$D$34,AW413,0),0)</f>
        <v>0</v>
      </c>
      <c r="AX447" s="5">
        <f>+IFERROR(IF(AX380&lt;'הנחות עבודה'!$D$34,AX413,0),0)</f>
        <v>0</v>
      </c>
      <c r="AY447" s="5">
        <f>+IFERROR(IF(AY380&lt;'הנחות עבודה'!$D$34,AY413,0),0)</f>
        <v>0</v>
      </c>
      <c r="AZ447" s="5">
        <f>+IFERROR(IF(AZ380&lt;'הנחות עבודה'!$D$34,AZ413,0),0)</f>
        <v>0</v>
      </c>
      <c r="BA447" s="5">
        <f>+IFERROR(IF(BA380&lt;'הנחות עבודה'!$D$34,BA413,0),0)</f>
        <v>0</v>
      </c>
      <c r="BB447" s="5">
        <f>+IFERROR(IF(BB380&lt;'הנחות עבודה'!$D$34,BB413,0),0)</f>
        <v>0</v>
      </c>
      <c r="BC447" s="5">
        <f>+IFERROR(IF(BC380&lt;'הנחות עבודה'!$D$34,BC413,0),0)</f>
        <v>0</v>
      </c>
      <c r="BD447" s="5">
        <f>+IFERROR(IF(BD380&lt;'הנחות עבודה'!$D$34,BD413,0),0)</f>
        <v>0</v>
      </c>
      <c r="BE447" s="5">
        <f>+IFERROR(IF(BE380&lt;'הנחות עבודה'!$D$34,BE413,0),0)</f>
        <v>0</v>
      </c>
      <c r="BF447" s="5">
        <f>+IFERROR(IF(BF380&lt;'הנחות עבודה'!$D$34,BF413,0),0)</f>
        <v>0</v>
      </c>
    </row>
    <row r="448" spans="2:58" x14ac:dyDescent="0.2">
      <c r="B448" s="1">
        <v>21</v>
      </c>
      <c r="C448" s="5">
        <f>+IFERROR(IF(C381&lt;'הנחות עבודה'!$D$34,C414,0),0)</f>
        <v>0</v>
      </c>
      <c r="D448" s="5">
        <f>+IFERROR(IF(D381&lt;'הנחות עבודה'!$D$34,D414,0),0)</f>
        <v>0</v>
      </c>
      <c r="E448" s="5">
        <f>+IFERROR(IF(E381&lt;'הנחות עבודה'!$D$34,E414,0),0)</f>
        <v>0</v>
      </c>
      <c r="F448" s="5">
        <f>+IFERROR(IF(F381&lt;'הנחות עבודה'!$D$34,F414,0),0)</f>
        <v>0</v>
      </c>
      <c r="G448" s="5">
        <f>+IFERROR(IF(G381&lt;'הנחות עבודה'!$D$34,G414,0),0)</f>
        <v>0</v>
      </c>
      <c r="H448" s="5">
        <f>+IFERROR(IF(H381&lt;'הנחות עבודה'!$D$34,H414,0),0)</f>
        <v>0</v>
      </c>
      <c r="I448" s="5">
        <f>+IFERROR(IF(I381&lt;'הנחות עבודה'!$D$34,I414,0),0)</f>
        <v>0</v>
      </c>
      <c r="J448" s="5">
        <f>+IFERROR(IF(J381&lt;'הנחות עבודה'!$D$34,J414,0),0)</f>
        <v>0</v>
      </c>
      <c r="K448" s="5">
        <f>+IFERROR(IF(K381&lt;'הנחות עבודה'!$D$34,K414,0),0)</f>
        <v>0</v>
      </c>
      <c r="L448" s="5">
        <f>+IFERROR(IF(L381&lt;'הנחות עבודה'!$D$34,L414,0),0)</f>
        <v>0</v>
      </c>
      <c r="M448" s="5">
        <f>+IFERROR(IF(M381&lt;'הנחות עבודה'!$D$34,M414,0),0)</f>
        <v>0</v>
      </c>
      <c r="N448" s="5">
        <f>+IFERROR(IF(N381&lt;'הנחות עבודה'!$D$34,N414,0),0)</f>
        <v>0</v>
      </c>
      <c r="O448" s="5">
        <f>+IFERROR(IF(O381&lt;'הנחות עבודה'!$D$34,O414,0),0)</f>
        <v>0</v>
      </c>
      <c r="P448" s="5">
        <f>+IFERROR(IF(P381&lt;'הנחות עבודה'!$D$34,P414,0),0)</f>
        <v>0</v>
      </c>
      <c r="Q448" s="5">
        <f>+IFERROR(IF(Q381&lt;'הנחות עבודה'!$D$34,Q414,0),0)</f>
        <v>0</v>
      </c>
      <c r="R448" s="5">
        <f>+IFERROR(IF(R381&lt;'הנחות עבודה'!$D$34,R414,0),0)</f>
        <v>0</v>
      </c>
      <c r="S448" s="5">
        <f>+IFERROR(IF(S381&lt;'הנחות עבודה'!$D$34,S414,0),0)</f>
        <v>0</v>
      </c>
      <c r="T448" s="5">
        <f>+IFERROR(IF(T381&lt;'הנחות עבודה'!$D$34,T414,0),0)</f>
        <v>0</v>
      </c>
      <c r="U448" s="5">
        <f>+IFERROR(IF(U381&lt;'הנחות עבודה'!$D$34,U414,0),0)</f>
        <v>0</v>
      </c>
      <c r="V448" s="5">
        <f>+IFERROR(IF(V381&lt;'הנחות עבודה'!$D$34,V414,0),0)</f>
        <v>0</v>
      </c>
      <c r="W448" s="5">
        <f>+IFERROR(IF(W381&lt;'הנחות עבודה'!$D$34,W414,0),0)</f>
        <v>0</v>
      </c>
      <c r="X448" s="5">
        <f>+IFERROR(IF(X381&lt;'הנחות עבודה'!$D$34,X414,0),0)</f>
        <v>0</v>
      </c>
      <c r="Y448" s="5">
        <f>+IFERROR(IF(Y381&lt;'הנחות עבודה'!$D$34,Y414,0),0)</f>
        <v>0</v>
      </c>
      <c r="Z448" s="5">
        <f>+IFERROR(IF(Z381&lt;'הנחות עבודה'!$D$34,Z414,0),0)</f>
        <v>0</v>
      </c>
      <c r="AA448" s="5">
        <f>+IFERROR(IF(AA381&lt;'הנחות עבודה'!$D$34,AA414,0),0)</f>
        <v>0</v>
      </c>
      <c r="AB448" s="5">
        <f>+IFERROR(IF(AB381&lt;'הנחות עבודה'!$D$34,AB414,0),0)</f>
        <v>0</v>
      </c>
      <c r="AC448" s="5">
        <f>+IFERROR(IF(AC381&lt;'הנחות עבודה'!$D$34,AC414,0),0)</f>
        <v>0</v>
      </c>
      <c r="AD448" s="5">
        <f>+IFERROR(IF(AD381&lt;'הנחות עבודה'!$D$34,AD414,0),0)</f>
        <v>0</v>
      </c>
      <c r="AE448" s="5">
        <f>+IFERROR(IF(AE381&lt;'הנחות עבודה'!$D$34,AE414,0),0)</f>
        <v>0</v>
      </c>
      <c r="AF448" s="5">
        <f>+IFERROR(IF(AF381&lt;'הנחות עבודה'!$D$34,AF414,0),0)</f>
        <v>0</v>
      </c>
      <c r="AG448" s="5">
        <f>+IFERROR(IF(AG381&lt;'הנחות עבודה'!$D$34,AG414,0),0)</f>
        <v>0</v>
      </c>
      <c r="AH448" s="5">
        <f>+IFERROR(IF(AH381&lt;'הנחות עבודה'!$D$34,AH414,0),0)</f>
        <v>0</v>
      </c>
      <c r="AI448" s="5">
        <f>+IFERROR(IF(AI381&lt;'הנחות עבודה'!$D$34,AI414,0),0)</f>
        <v>0</v>
      </c>
      <c r="AJ448" s="5">
        <f>+IFERROR(IF(AJ381&lt;'הנחות עבודה'!$D$34,AJ414,0),0)</f>
        <v>0</v>
      </c>
      <c r="AK448" s="5">
        <f>+IFERROR(IF(AK381&lt;'הנחות עבודה'!$D$34,AK414,0),0)</f>
        <v>0</v>
      </c>
      <c r="AL448" s="5">
        <f>+IFERROR(IF(AL381&lt;'הנחות עבודה'!$D$34,AL414,0),0)</f>
        <v>0</v>
      </c>
      <c r="AM448" s="5">
        <f>+IFERROR(IF(AM381&lt;'הנחות עבודה'!$D$34,AM414,0),0)</f>
        <v>0</v>
      </c>
      <c r="AN448" s="5">
        <f>+IFERROR(IF(AN381&lt;'הנחות עבודה'!$D$34,AN414,0),0)</f>
        <v>0</v>
      </c>
      <c r="AO448" s="5">
        <f>+IFERROR(IF(AO381&lt;'הנחות עבודה'!$D$34,AO414,0),0)</f>
        <v>0</v>
      </c>
      <c r="AP448" s="5">
        <f>+IFERROR(IF(AP381&lt;'הנחות עבודה'!$D$34,AP414,0),0)</f>
        <v>0</v>
      </c>
      <c r="AQ448" s="5">
        <f>+IFERROR(IF(AQ381&lt;'הנחות עבודה'!$D$34,AQ414,0),0)</f>
        <v>0</v>
      </c>
      <c r="AR448" s="5">
        <f>+IFERROR(IF(AR381&lt;'הנחות עבודה'!$D$34,AR414,0),0)</f>
        <v>0</v>
      </c>
      <c r="AS448" s="5">
        <f>+IFERROR(IF(AS381&lt;'הנחות עבודה'!$D$34,AS414,0),0)</f>
        <v>0</v>
      </c>
      <c r="AT448" s="5">
        <f>+IFERROR(IF(AT381&lt;'הנחות עבודה'!$D$34,AT414,0),0)</f>
        <v>0</v>
      </c>
      <c r="AU448" s="5">
        <f>+IFERROR(IF(AU381&lt;'הנחות עבודה'!$D$34,AU414,0),0)</f>
        <v>0</v>
      </c>
      <c r="AV448" s="5">
        <f>+IFERROR(IF(AV381&lt;'הנחות עבודה'!$D$34,AV414,0),0)</f>
        <v>0</v>
      </c>
      <c r="AW448" s="5">
        <f>+IFERROR(IF(AW381&lt;'הנחות עבודה'!$D$34,AW414,0),0)</f>
        <v>0</v>
      </c>
      <c r="AX448" s="5">
        <f>+IFERROR(IF(AX381&lt;'הנחות עבודה'!$D$34,AX414,0),0)</f>
        <v>0</v>
      </c>
      <c r="AY448" s="5">
        <f>+IFERROR(IF(AY381&lt;'הנחות עבודה'!$D$34,AY414,0),0)</f>
        <v>0</v>
      </c>
      <c r="AZ448" s="5">
        <f>+IFERROR(IF(AZ381&lt;'הנחות עבודה'!$D$34,AZ414,0),0)</f>
        <v>0</v>
      </c>
      <c r="BA448" s="5">
        <f>+IFERROR(IF(BA381&lt;'הנחות עבודה'!$D$34,BA414,0),0)</f>
        <v>0</v>
      </c>
      <c r="BB448" s="5">
        <f>+IFERROR(IF(BB381&lt;'הנחות עבודה'!$D$34,BB414,0),0)</f>
        <v>0</v>
      </c>
      <c r="BC448" s="5">
        <f>+IFERROR(IF(BC381&lt;'הנחות עבודה'!$D$34,BC414,0),0)</f>
        <v>0</v>
      </c>
      <c r="BD448" s="5">
        <f>+IFERROR(IF(BD381&lt;'הנחות עבודה'!$D$34,BD414,0),0)</f>
        <v>0</v>
      </c>
      <c r="BE448" s="5">
        <f>+IFERROR(IF(BE381&lt;'הנחות עבודה'!$D$34,BE414,0),0)</f>
        <v>0</v>
      </c>
      <c r="BF448" s="5">
        <f>+IFERROR(IF(BF381&lt;'הנחות עבודה'!$D$34,BF414,0),0)</f>
        <v>0</v>
      </c>
    </row>
    <row r="449" spans="1:58" x14ac:dyDescent="0.2">
      <c r="B449" s="1">
        <v>22</v>
      </c>
      <c r="C449" s="5">
        <f>+IFERROR(IF(C382&lt;'הנחות עבודה'!$D$34,C415,0),0)</f>
        <v>0</v>
      </c>
      <c r="D449" s="5">
        <f>+IFERROR(IF(D382&lt;'הנחות עבודה'!$D$34,D415,0),0)</f>
        <v>0</v>
      </c>
      <c r="E449" s="5">
        <f>+IFERROR(IF(E382&lt;'הנחות עבודה'!$D$34,E415,0),0)</f>
        <v>0</v>
      </c>
      <c r="F449" s="5">
        <f>+IFERROR(IF(F382&lt;'הנחות עבודה'!$D$34,F415,0),0)</f>
        <v>0</v>
      </c>
      <c r="G449" s="5">
        <f>+IFERROR(IF(G382&lt;'הנחות עבודה'!$D$34,G415,0),0)</f>
        <v>0</v>
      </c>
      <c r="H449" s="5">
        <f>+IFERROR(IF(H382&lt;'הנחות עבודה'!$D$34,H415,0),0)</f>
        <v>0</v>
      </c>
      <c r="I449" s="5">
        <f>+IFERROR(IF(I382&lt;'הנחות עבודה'!$D$34,I415,0),0)</f>
        <v>0</v>
      </c>
      <c r="J449" s="5">
        <f>+IFERROR(IF(J382&lt;'הנחות עבודה'!$D$34,J415,0),0)</f>
        <v>0</v>
      </c>
      <c r="K449" s="5">
        <f>+IFERROR(IF(K382&lt;'הנחות עבודה'!$D$34,K415,0),0)</f>
        <v>0</v>
      </c>
      <c r="L449" s="5">
        <f>+IFERROR(IF(L382&lt;'הנחות עבודה'!$D$34,L415,0),0)</f>
        <v>0</v>
      </c>
      <c r="M449" s="5">
        <f>+IFERROR(IF(M382&lt;'הנחות עבודה'!$D$34,M415,0),0)</f>
        <v>0</v>
      </c>
      <c r="N449" s="5">
        <f>+IFERROR(IF(N382&lt;'הנחות עבודה'!$D$34,N415,0),0)</f>
        <v>0</v>
      </c>
      <c r="O449" s="5">
        <f>+IFERROR(IF(O382&lt;'הנחות עבודה'!$D$34,O415,0),0)</f>
        <v>0</v>
      </c>
      <c r="P449" s="5">
        <f>+IFERROR(IF(P382&lt;'הנחות עבודה'!$D$34,P415,0),0)</f>
        <v>0</v>
      </c>
      <c r="Q449" s="5">
        <f>+IFERROR(IF(Q382&lt;'הנחות עבודה'!$D$34,Q415,0),0)</f>
        <v>0</v>
      </c>
      <c r="R449" s="5">
        <f>+IFERROR(IF(R382&lt;'הנחות עבודה'!$D$34,R415,0),0)</f>
        <v>0</v>
      </c>
      <c r="S449" s="5">
        <f>+IFERROR(IF(S382&lt;'הנחות עבודה'!$D$34,S415,0),0)</f>
        <v>0</v>
      </c>
      <c r="T449" s="5">
        <f>+IFERROR(IF(T382&lt;'הנחות עבודה'!$D$34,T415,0),0)</f>
        <v>0</v>
      </c>
      <c r="U449" s="5">
        <f>+IFERROR(IF(U382&lt;'הנחות עבודה'!$D$34,U415,0),0)</f>
        <v>0</v>
      </c>
      <c r="V449" s="5">
        <f>+IFERROR(IF(V382&lt;'הנחות עבודה'!$D$34,V415,0),0)</f>
        <v>0</v>
      </c>
      <c r="W449" s="5">
        <f>+IFERROR(IF(W382&lt;'הנחות עבודה'!$D$34,W415,0),0)</f>
        <v>0</v>
      </c>
      <c r="X449" s="5">
        <f>+IFERROR(IF(X382&lt;'הנחות עבודה'!$D$34,X415,0),0)</f>
        <v>0</v>
      </c>
      <c r="Y449" s="5">
        <f>+IFERROR(IF(Y382&lt;'הנחות עבודה'!$D$34,Y415,0),0)</f>
        <v>0</v>
      </c>
      <c r="Z449" s="5">
        <f>+IFERROR(IF(Z382&lt;'הנחות עבודה'!$D$34,Z415,0),0)</f>
        <v>0</v>
      </c>
      <c r="AA449" s="5">
        <f>+IFERROR(IF(AA382&lt;'הנחות עבודה'!$D$34,AA415,0),0)</f>
        <v>0</v>
      </c>
      <c r="AB449" s="5">
        <f>+IFERROR(IF(AB382&lt;'הנחות עבודה'!$D$34,AB415,0),0)</f>
        <v>0</v>
      </c>
      <c r="AC449" s="5">
        <f>+IFERROR(IF(AC382&lt;'הנחות עבודה'!$D$34,AC415,0),0)</f>
        <v>0</v>
      </c>
      <c r="AD449" s="5">
        <f>+IFERROR(IF(AD382&lt;'הנחות עבודה'!$D$34,AD415,0),0)</f>
        <v>0</v>
      </c>
      <c r="AE449" s="5">
        <f>+IFERROR(IF(AE382&lt;'הנחות עבודה'!$D$34,AE415,0),0)</f>
        <v>0</v>
      </c>
      <c r="AF449" s="5">
        <f>+IFERROR(IF(AF382&lt;'הנחות עבודה'!$D$34,AF415,0),0)</f>
        <v>0</v>
      </c>
      <c r="AG449" s="5">
        <f>+IFERROR(IF(AG382&lt;'הנחות עבודה'!$D$34,AG415,0),0)</f>
        <v>0</v>
      </c>
      <c r="AH449" s="5">
        <f>+IFERROR(IF(AH382&lt;'הנחות עבודה'!$D$34,AH415,0),0)</f>
        <v>0</v>
      </c>
      <c r="AI449" s="5">
        <f>+IFERROR(IF(AI382&lt;'הנחות עבודה'!$D$34,AI415,0),0)</f>
        <v>0</v>
      </c>
      <c r="AJ449" s="5">
        <f>+IFERROR(IF(AJ382&lt;'הנחות עבודה'!$D$34,AJ415,0),0)</f>
        <v>0</v>
      </c>
      <c r="AK449" s="5">
        <f>+IFERROR(IF(AK382&lt;'הנחות עבודה'!$D$34,AK415,0),0)</f>
        <v>0</v>
      </c>
      <c r="AL449" s="5">
        <f>+IFERROR(IF(AL382&lt;'הנחות עבודה'!$D$34,AL415,0),0)</f>
        <v>0</v>
      </c>
      <c r="AM449" s="5">
        <f>+IFERROR(IF(AM382&lt;'הנחות עבודה'!$D$34,AM415,0),0)</f>
        <v>0</v>
      </c>
      <c r="AN449" s="5">
        <f>+IFERROR(IF(AN382&lt;'הנחות עבודה'!$D$34,AN415,0),0)</f>
        <v>0</v>
      </c>
      <c r="AO449" s="5">
        <f>+IFERROR(IF(AO382&lt;'הנחות עבודה'!$D$34,AO415,0),0)</f>
        <v>0</v>
      </c>
      <c r="AP449" s="5">
        <f>+IFERROR(IF(AP382&lt;'הנחות עבודה'!$D$34,AP415,0),0)</f>
        <v>0</v>
      </c>
      <c r="AQ449" s="5">
        <f>+IFERROR(IF(AQ382&lt;'הנחות עבודה'!$D$34,AQ415,0),0)</f>
        <v>0</v>
      </c>
      <c r="AR449" s="5">
        <f>+IFERROR(IF(AR382&lt;'הנחות עבודה'!$D$34,AR415,0),0)</f>
        <v>0</v>
      </c>
      <c r="AS449" s="5">
        <f>+IFERROR(IF(AS382&lt;'הנחות עבודה'!$D$34,AS415,0),0)</f>
        <v>0</v>
      </c>
      <c r="AT449" s="5">
        <f>+IFERROR(IF(AT382&lt;'הנחות עבודה'!$D$34,AT415,0),0)</f>
        <v>0</v>
      </c>
      <c r="AU449" s="5">
        <f>+IFERROR(IF(AU382&lt;'הנחות עבודה'!$D$34,AU415,0),0)</f>
        <v>0</v>
      </c>
      <c r="AV449" s="5">
        <f>+IFERROR(IF(AV382&lt;'הנחות עבודה'!$D$34,AV415,0),0)</f>
        <v>0</v>
      </c>
      <c r="AW449" s="5">
        <f>+IFERROR(IF(AW382&lt;'הנחות עבודה'!$D$34,AW415,0),0)</f>
        <v>0</v>
      </c>
      <c r="AX449" s="5">
        <f>+IFERROR(IF(AX382&lt;'הנחות עבודה'!$D$34,AX415,0),0)</f>
        <v>0</v>
      </c>
      <c r="AY449" s="5">
        <f>+IFERROR(IF(AY382&lt;'הנחות עבודה'!$D$34,AY415,0),0)</f>
        <v>0</v>
      </c>
      <c r="AZ449" s="5">
        <f>+IFERROR(IF(AZ382&lt;'הנחות עבודה'!$D$34,AZ415,0),0)</f>
        <v>0</v>
      </c>
      <c r="BA449" s="5">
        <f>+IFERROR(IF(BA382&lt;'הנחות עבודה'!$D$34,BA415,0),0)</f>
        <v>0</v>
      </c>
      <c r="BB449" s="5">
        <f>+IFERROR(IF(BB382&lt;'הנחות עבודה'!$D$34,BB415,0),0)</f>
        <v>0</v>
      </c>
      <c r="BC449" s="5">
        <f>+IFERROR(IF(BC382&lt;'הנחות עבודה'!$D$34,BC415,0),0)</f>
        <v>0</v>
      </c>
      <c r="BD449" s="5">
        <f>+IFERROR(IF(BD382&lt;'הנחות עבודה'!$D$34,BD415,0),0)</f>
        <v>0</v>
      </c>
      <c r="BE449" s="5">
        <f>+IFERROR(IF(BE382&lt;'הנחות עבודה'!$D$34,BE415,0),0)</f>
        <v>0</v>
      </c>
      <c r="BF449" s="5">
        <f>+IFERROR(IF(BF382&lt;'הנחות עבודה'!$D$34,BF415,0),0)</f>
        <v>0</v>
      </c>
    </row>
    <row r="450" spans="1:58" x14ac:dyDescent="0.2">
      <c r="B450" s="1">
        <v>23</v>
      </c>
      <c r="C450" s="5">
        <f>+IFERROR(IF(C383&lt;'הנחות עבודה'!$D$34,C416,0),0)</f>
        <v>0</v>
      </c>
      <c r="D450" s="5">
        <f>+IFERROR(IF(D383&lt;'הנחות עבודה'!$D$34,D416,0),0)</f>
        <v>0</v>
      </c>
      <c r="E450" s="5">
        <f>+IFERROR(IF(E383&lt;'הנחות עבודה'!$D$34,E416,0),0)</f>
        <v>0</v>
      </c>
      <c r="F450" s="5">
        <f>+IFERROR(IF(F383&lt;'הנחות עבודה'!$D$34,F416,0),0)</f>
        <v>0</v>
      </c>
      <c r="G450" s="5">
        <f>+IFERROR(IF(G383&lt;'הנחות עבודה'!$D$34,G416,0),0)</f>
        <v>0</v>
      </c>
      <c r="H450" s="5">
        <f>+IFERROR(IF(H383&lt;'הנחות עבודה'!$D$34,H416,0),0)</f>
        <v>0</v>
      </c>
      <c r="I450" s="5">
        <f>+IFERROR(IF(I383&lt;'הנחות עבודה'!$D$34,I416,0),0)</f>
        <v>0</v>
      </c>
      <c r="J450" s="5">
        <f>+IFERROR(IF(J383&lt;'הנחות עבודה'!$D$34,J416,0),0)</f>
        <v>0</v>
      </c>
      <c r="K450" s="5">
        <f>+IFERROR(IF(K383&lt;'הנחות עבודה'!$D$34,K416,0),0)</f>
        <v>0</v>
      </c>
      <c r="L450" s="5">
        <f>+IFERROR(IF(L383&lt;'הנחות עבודה'!$D$34,L416,0),0)</f>
        <v>0</v>
      </c>
      <c r="M450" s="5">
        <f>+IFERROR(IF(M383&lt;'הנחות עבודה'!$D$34,M416,0),0)</f>
        <v>0</v>
      </c>
      <c r="N450" s="5">
        <f>+IFERROR(IF(N383&lt;'הנחות עבודה'!$D$34,N416,0),0)</f>
        <v>0</v>
      </c>
      <c r="O450" s="5">
        <f>+IFERROR(IF(O383&lt;'הנחות עבודה'!$D$34,O416,0),0)</f>
        <v>0</v>
      </c>
      <c r="P450" s="5">
        <f>+IFERROR(IF(P383&lt;'הנחות עבודה'!$D$34,P416,0),0)</f>
        <v>0</v>
      </c>
      <c r="Q450" s="5">
        <f>+IFERROR(IF(Q383&lt;'הנחות עבודה'!$D$34,Q416,0),0)</f>
        <v>0</v>
      </c>
      <c r="R450" s="5">
        <f>+IFERROR(IF(R383&lt;'הנחות עבודה'!$D$34,R416,0),0)</f>
        <v>0</v>
      </c>
      <c r="S450" s="5">
        <f>+IFERROR(IF(S383&lt;'הנחות עבודה'!$D$34,S416,0),0)</f>
        <v>0</v>
      </c>
      <c r="T450" s="5">
        <f>+IFERROR(IF(T383&lt;'הנחות עבודה'!$D$34,T416,0),0)</f>
        <v>0</v>
      </c>
      <c r="U450" s="5">
        <f>+IFERROR(IF(U383&lt;'הנחות עבודה'!$D$34,U416,0),0)</f>
        <v>0</v>
      </c>
      <c r="V450" s="5">
        <f>+IFERROR(IF(V383&lt;'הנחות עבודה'!$D$34,V416,0),0)</f>
        <v>0</v>
      </c>
      <c r="W450" s="5">
        <f>+IFERROR(IF(W383&lt;'הנחות עבודה'!$D$34,W416,0),0)</f>
        <v>0</v>
      </c>
      <c r="X450" s="5">
        <f>+IFERROR(IF(X383&lt;'הנחות עבודה'!$D$34,X416,0),0)</f>
        <v>0</v>
      </c>
      <c r="Y450" s="5">
        <f>+IFERROR(IF(Y383&lt;'הנחות עבודה'!$D$34,Y416,0),0)</f>
        <v>0</v>
      </c>
      <c r="Z450" s="5">
        <f>+IFERROR(IF(Z383&lt;'הנחות עבודה'!$D$34,Z416,0),0)</f>
        <v>0</v>
      </c>
      <c r="AA450" s="5">
        <f>+IFERROR(IF(AA383&lt;'הנחות עבודה'!$D$34,AA416,0),0)</f>
        <v>0</v>
      </c>
      <c r="AB450" s="5">
        <f>+IFERROR(IF(AB383&lt;'הנחות עבודה'!$D$34,AB416,0),0)</f>
        <v>0</v>
      </c>
      <c r="AC450" s="5">
        <f>+IFERROR(IF(AC383&lt;'הנחות עבודה'!$D$34,AC416,0),0)</f>
        <v>0</v>
      </c>
      <c r="AD450" s="5">
        <f>+IFERROR(IF(AD383&lt;'הנחות עבודה'!$D$34,AD416,0),0)</f>
        <v>0</v>
      </c>
      <c r="AE450" s="5">
        <f>+IFERROR(IF(AE383&lt;'הנחות עבודה'!$D$34,AE416,0),0)</f>
        <v>0</v>
      </c>
      <c r="AF450" s="5">
        <f>+IFERROR(IF(AF383&lt;'הנחות עבודה'!$D$34,AF416,0),0)</f>
        <v>0</v>
      </c>
      <c r="AG450" s="5">
        <f>+IFERROR(IF(AG383&lt;'הנחות עבודה'!$D$34,AG416,0),0)</f>
        <v>0</v>
      </c>
      <c r="AH450" s="5">
        <f>+IFERROR(IF(AH383&lt;'הנחות עבודה'!$D$34,AH416,0),0)</f>
        <v>0</v>
      </c>
      <c r="AI450" s="5">
        <f>+IFERROR(IF(AI383&lt;'הנחות עבודה'!$D$34,AI416,0),0)</f>
        <v>0</v>
      </c>
      <c r="AJ450" s="5">
        <f>+IFERROR(IF(AJ383&lt;'הנחות עבודה'!$D$34,AJ416,0),0)</f>
        <v>0</v>
      </c>
      <c r="AK450" s="5">
        <f>+IFERROR(IF(AK383&lt;'הנחות עבודה'!$D$34,AK416,0),0)</f>
        <v>0</v>
      </c>
      <c r="AL450" s="5">
        <f>+IFERROR(IF(AL383&lt;'הנחות עבודה'!$D$34,AL416,0),0)</f>
        <v>0</v>
      </c>
      <c r="AM450" s="5">
        <f>+IFERROR(IF(AM383&lt;'הנחות עבודה'!$D$34,AM416,0),0)</f>
        <v>0</v>
      </c>
      <c r="AN450" s="5">
        <f>+IFERROR(IF(AN383&lt;'הנחות עבודה'!$D$34,AN416,0),0)</f>
        <v>0</v>
      </c>
      <c r="AO450" s="5">
        <f>+IFERROR(IF(AO383&lt;'הנחות עבודה'!$D$34,AO416,0),0)</f>
        <v>0</v>
      </c>
      <c r="AP450" s="5">
        <f>+IFERROR(IF(AP383&lt;'הנחות עבודה'!$D$34,AP416,0),0)</f>
        <v>0</v>
      </c>
      <c r="AQ450" s="5">
        <f>+IFERROR(IF(AQ383&lt;'הנחות עבודה'!$D$34,AQ416,0),0)</f>
        <v>0</v>
      </c>
      <c r="AR450" s="5">
        <f>+IFERROR(IF(AR383&lt;'הנחות עבודה'!$D$34,AR416,0),0)</f>
        <v>0</v>
      </c>
      <c r="AS450" s="5">
        <f>+IFERROR(IF(AS383&lt;'הנחות עבודה'!$D$34,AS416,0),0)</f>
        <v>0</v>
      </c>
      <c r="AT450" s="5">
        <f>+IFERROR(IF(AT383&lt;'הנחות עבודה'!$D$34,AT416,0),0)</f>
        <v>0</v>
      </c>
      <c r="AU450" s="5">
        <f>+IFERROR(IF(AU383&lt;'הנחות עבודה'!$D$34,AU416,0),0)</f>
        <v>0</v>
      </c>
      <c r="AV450" s="5">
        <f>+IFERROR(IF(AV383&lt;'הנחות עבודה'!$D$34,AV416,0),0)</f>
        <v>0</v>
      </c>
      <c r="AW450" s="5">
        <f>+IFERROR(IF(AW383&lt;'הנחות עבודה'!$D$34,AW416,0),0)</f>
        <v>0</v>
      </c>
      <c r="AX450" s="5">
        <f>+IFERROR(IF(AX383&lt;'הנחות עבודה'!$D$34,AX416,0),0)</f>
        <v>0</v>
      </c>
      <c r="AY450" s="5">
        <f>+IFERROR(IF(AY383&lt;'הנחות עבודה'!$D$34,AY416,0),0)</f>
        <v>0</v>
      </c>
      <c r="AZ450" s="5">
        <f>+IFERROR(IF(AZ383&lt;'הנחות עבודה'!$D$34,AZ416,0),0)</f>
        <v>0</v>
      </c>
      <c r="BA450" s="5">
        <f>+IFERROR(IF(BA383&lt;'הנחות עבודה'!$D$34,BA416,0),0)</f>
        <v>0</v>
      </c>
      <c r="BB450" s="5">
        <f>+IFERROR(IF(BB383&lt;'הנחות עבודה'!$D$34,BB416,0),0)</f>
        <v>0</v>
      </c>
      <c r="BC450" s="5">
        <f>+IFERROR(IF(BC383&lt;'הנחות עבודה'!$D$34,BC416,0),0)</f>
        <v>0</v>
      </c>
      <c r="BD450" s="5">
        <f>+IFERROR(IF(BD383&lt;'הנחות עבודה'!$D$34,BD416,0),0)</f>
        <v>0</v>
      </c>
      <c r="BE450" s="5">
        <f>+IFERROR(IF(BE383&lt;'הנחות עבודה'!$D$34,BE416,0),0)</f>
        <v>0</v>
      </c>
      <c r="BF450" s="5">
        <f>+IFERROR(IF(BF383&lt;'הנחות עבודה'!$D$34,BF416,0),0)</f>
        <v>0</v>
      </c>
    </row>
    <row r="451" spans="1:58" x14ac:dyDescent="0.2">
      <c r="B451" s="1">
        <v>24</v>
      </c>
      <c r="C451" s="5">
        <f>+IFERROR(IF(C384&lt;'הנחות עבודה'!$D$34,C417,0),0)</f>
        <v>0</v>
      </c>
      <c r="D451" s="5">
        <f>+IFERROR(IF(D384&lt;'הנחות עבודה'!$D$34,D417,0),0)</f>
        <v>0</v>
      </c>
      <c r="E451" s="5">
        <f>+IFERROR(IF(E384&lt;'הנחות עבודה'!$D$34,E417,0),0)</f>
        <v>0</v>
      </c>
      <c r="F451" s="5">
        <f>+IFERROR(IF(F384&lt;'הנחות עבודה'!$D$34,F417,0),0)</f>
        <v>0</v>
      </c>
      <c r="G451" s="5">
        <f>+IFERROR(IF(G384&lt;'הנחות עבודה'!$D$34,G417,0),0)</f>
        <v>0</v>
      </c>
      <c r="H451" s="5">
        <f>+IFERROR(IF(H384&lt;'הנחות עבודה'!$D$34,H417,0),0)</f>
        <v>0</v>
      </c>
      <c r="I451" s="5">
        <f>+IFERROR(IF(I384&lt;'הנחות עבודה'!$D$34,I417,0),0)</f>
        <v>0</v>
      </c>
      <c r="J451" s="5">
        <f>+IFERROR(IF(J384&lt;'הנחות עבודה'!$D$34,J417,0),0)</f>
        <v>0</v>
      </c>
      <c r="K451" s="5">
        <f>+IFERROR(IF(K384&lt;'הנחות עבודה'!$D$34,K417,0),0)</f>
        <v>0</v>
      </c>
      <c r="L451" s="5">
        <f>+IFERROR(IF(L384&lt;'הנחות עבודה'!$D$34,L417,0),0)</f>
        <v>0</v>
      </c>
      <c r="M451" s="5">
        <f>+IFERROR(IF(M384&lt;'הנחות עבודה'!$D$34,M417,0),0)</f>
        <v>0</v>
      </c>
      <c r="N451" s="5">
        <f>+IFERROR(IF(N384&lt;'הנחות עבודה'!$D$34,N417,0),0)</f>
        <v>0</v>
      </c>
      <c r="O451" s="5">
        <f>+IFERROR(IF(O384&lt;'הנחות עבודה'!$D$34,O417,0),0)</f>
        <v>0</v>
      </c>
      <c r="P451" s="5">
        <f>+IFERROR(IF(P384&lt;'הנחות עבודה'!$D$34,P417,0),0)</f>
        <v>0</v>
      </c>
      <c r="Q451" s="5">
        <f>+IFERROR(IF(Q384&lt;'הנחות עבודה'!$D$34,Q417,0),0)</f>
        <v>0</v>
      </c>
      <c r="R451" s="5">
        <f>+IFERROR(IF(R384&lt;'הנחות עבודה'!$D$34,R417,0),0)</f>
        <v>0</v>
      </c>
      <c r="S451" s="5">
        <f>+IFERROR(IF(S384&lt;'הנחות עבודה'!$D$34,S417,0),0)</f>
        <v>0</v>
      </c>
      <c r="T451" s="5">
        <f>+IFERROR(IF(T384&lt;'הנחות עבודה'!$D$34,T417,0),0)</f>
        <v>0</v>
      </c>
      <c r="U451" s="5">
        <f>+IFERROR(IF(U384&lt;'הנחות עבודה'!$D$34,U417,0),0)</f>
        <v>0</v>
      </c>
      <c r="V451" s="5">
        <f>+IFERROR(IF(V384&lt;'הנחות עבודה'!$D$34,V417,0),0)</f>
        <v>0</v>
      </c>
      <c r="W451" s="5">
        <f>+IFERROR(IF(W384&lt;'הנחות עבודה'!$D$34,W417,0),0)</f>
        <v>0</v>
      </c>
      <c r="X451" s="5">
        <f>+IFERROR(IF(X384&lt;'הנחות עבודה'!$D$34,X417,0),0)</f>
        <v>0</v>
      </c>
      <c r="Y451" s="5">
        <f>+IFERROR(IF(Y384&lt;'הנחות עבודה'!$D$34,Y417,0),0)</f>
        <v>0</v>
      </c>
      <c r="Z451" s="5">
        <f>+IFERROR(IF(Z384&lt;'הנחות עבודה'!$D$34,Z417,0),0)</f>
        <v>0</v>
      </c>
      <c r="AA451" s="5">
        <f>+IFERROR(IF(AA384&lt;'הנחות עבודה'!$D$34,AA417,0),0)</f>
        <v>0</v>
      </c>
      <c r="AB451" s="5">
        <f>+IFERROR(IF(AB384&lt;'הנחות עבודה'!$D$34,AB417,0),0)</f>
        <v>0</v>
      </c>
      <c r="AC451" s="5">
        <f>+IFERROR(IF(AC384&lt;'הנחות עבודה'!$D$34,AC417,0),0)</f>
        <v>0</v>
      </c>
      <c r="AD451" s="5">
        <f>+IFERROR(IF(AD384&lt;'הנחות עבודה'!$D$34,AD417,0),0)</f>
        <v>0</v>
      </c>
      <c r="AE451" s="5">
        <f>+IFERROR(IF(AE384&lt;'הנחות עבודה'!$D$34,AE417,0),0)</f>
        <v>0</v>
      </c>
      <c r="AF451" s="5">
        <f>+IFERROR(IF(AF384&lt;'הנחות עבודה'!$D$34,AF417,0),0)</f>
        <v>0</v>
      </c>
      <c r="AG451" s="5">
        <f>+IFERROR(IF(AG384&lt;'הנחות עבודה'!$D$34,AG417,0),0)</f>
        <v>0</v>
      </c>
      <c r="AH451" s="5">
        <f>+IFERROR(IF(AH384&lt;'הנחות עבודה'!$D$34,AH417,0),0)</f>
        <v>0</v>
      </c>
      <c r="AI451" s="5">
        <f>+IFERROR(IF(AI384&lt;'הנחות עבודה'!$D$34,AI417,0),0)</f>
        <v>0</v>
      </c>
      <c r="AJ451" s="5">
        <f>+IFERROR(IF(AJ384&lt;'הנחות עבודה'!$D$34,AJ417,0),0)</f>
        <v>0</v>
      </c>
      <c r="AK451" s="5">
        <f>+IFERROR(IF(AK384&lt;'הנחות עבודה'!$D$34,AK417,0),0)</f>
        <v>0</v>
      </c>
      <c r="AL451" s="5">
        <f>+IFERROR(IF(AL384&lt;'הנחות עבודה'!$D$34,AL417,0),0)</f>
        <v>0</v>
      </c>
      <c r="AM451" s="5">
        <f>+IFERROR(IF(AM384&lt;'הנחות עבודה'!$D$34,AM417,0),0)</f>
        <v>0</v>
      </c>
      <c r="AN451" s="5">
        <f>+IFERROR(IF(AN384&lt;'הנחות עבודה'!$D$34,AN417,0),0)</f>
        <v>0</v>
      </c>
      <c r="AO451" s="5">
        <f>+IFERROR(IF(AO384&lt;'הנחות עבודה'!$D$34,AO417,0),0)</f>
        <v>0</v>
      </c>
      <c r="AP451" s="5">
        <f>+IFERROR(IF(AP384&lt;'הנחות עבודה'!$D$34,AP417,0),0)</f>
        <v>0</v>
      </c>
      <c r="AQ451" s="5">
        <f>+IFERROR(IF(AQ384&lt;'הנחות עבודה'!$D$34,AQ417,0),0)</f>
        <v>0</v>
      </c>
      <c r="AR451" s="5">
        <f>+IFERROR(IF(AR384&lt;'הנחות עבודה'!$D$34,AR417,0),0)</f>
        <v>0</v>
      </c>
      <c r="AS451" s="5">
        <f>+IFERROR(IF(AS384&lt;'הנחות עבודה'!$D$34,AS417,0),0)</f>
        <v>0</v>
      </c>
      <c r="AT451" s="5">
        <f>+IFERROR(IF(AT384&lt;'הנחות עבודה'!$D$34,AT417,0),0)</f>
        <v>0</v>
      </c>
      <c r="AU451" s="5">
        <f>+IFERROR(IF(AU384&lt;'הנחות עבודה'!$D$34,AU417,0),0)</f>
        <v>0</v>
      </c>
      <c r="AV451" s="5">
        <f>+IFERROR(IF(AV384&lt;'הנחות עבודה'!$D$34,AV417,0),0)</f>
        <v>0</v>
      </c>
      <c r="AW451" s="5">
        <f>+IFERROR(IF(AW384&lt;'הנחות עבודה'!$D$34,AW417,0),0)</f>
        <v>0</v>
      </c>
      <c r="AX451" s="5">
        <f>+IFERROR(IF(AX384&lt;'הנחות עבודה'!$D$34,AX417,0),0)</f>
        <v>0</v>
      </c>
      <c r="AY451" s="5">
        <f>+IFERROR(IF(AY384&lt;'הנחות עבודה'!$D$34,AY417,0),0)</f>
        <v>0</v>
      </c>
      <c r="AZ451" s="5">
        <f>+IFERROR(IF(AZ384&lt;'הנחות עבודה'!$D$34,AZ417,0),0)</f>
        <v>0</v>
      </c>
      <c r="BA451" s="5">
        <f>+IFERROR(IF(BA384&lt;'הנחות עבודה'!$D$34,BA417,0),0)</f>
        <v>0</v>
      </c>
      <c r="BB451" s="5">
        <f>+IFERROR(IF(BB384&lt;'הנחות עבודה'!$D$34,BB417,0),0)</f>
        <v>0</v>
      </c>
      <c r="BC451" s="5">
        <f>+IFERROR(IF(BC384&lt;'הנחות עבודה'!$D$34,BC417,0),0)</f>
        <v>0</v>
      </c>
      <c r="BD451" s="5">
        <f>+IFERROR(IF(BD384&lt;'הנחות עבודה'!$D$34,BD417,0),0)</f>
        <v>0</v>
      </c>
      <c r="BE451" s="5">
        <f>+IFERROR(IF(BE384&lt;'הנחות עבודה'!$D$34,BE417,0),0)</f>
        <v>0</v>
      </c>
      <c r="BF451" s="5">
        <f>+IFERROR(IF(BF384&lt;'הנחות עבודה'!$D$34,BF417,0),0)</f>
        <v>0</v>
      </c>
    </row>
    <row r="452" spans="1:58" x14ac:dyDescent="0.2">
      <c r="B452" s="1">
        <v>25</v>
      </c>
      <c r="C452" s="5">
        <f>+IFERROR(IF(C385&lt;'הנחות עבודה'!$D$34,C418,0),0)</f>
        <v>0</v>
      </c>
      <c r="D452" s="5">
        <f>+IFERROR(IF(D385&lt;'הנחות עבודה'!$D$34,D418,0),0)</f>
        <v>0</v>
      </c>
      <c r="E452" s="5">
        <f>+IFERROR(IF(E385&lt;'הנחות עבודה'!$D$34,E418,0),0)</f>
        <v>0</v>
      </c>
      <c r="F452" s="5">
        <f>+IFERROR(IF(F385&lt;'הנחות עבודה'!$D$34,F418,0),0)</f>
        <v>0</v>
      </c>
      <c r="G452" s="5">
        <f>+IFERROR(IF(G385&lt;'הנחות עבודה'!$D$34,G418,0),0)</f>
        <v>0</v>
      </c>
      <c r="H452" s="5">
        <f>+IFERROR(IF(H385&lt;'הנחות עבודה'!$D$34,H418,0),0)</f>
        <v>0</v>
      </c>
      <c r="I452" s="5">
        <f>+IFERROR(IF(I385&lt;'הנחות עבודה'!$D$34,I418,0),0)</f>
        <v>0</v>
      </c>
      <c r="J452" s="5">
        <f>+IFERROR(IF(J385&lt;'הנחות עבודה'!$D$34,J418,0),0)</f>
        <v>0</v>
      </c>
      <c r="K452" s="5">
        <f>+IFERROR(IF(K385&lt;'הנחות עבודה'!$D$34,K418,0),0)</f>
        <v>0</v>
      </c>
      <c r="L452" s="5">
        <f>+IFERROR(IF(L385&lt;'הנחות עבודה'!$D$34,L418,0),0)</f>
        <v>0</v>
      </c>
      <c r="M452" s="5">
        <f>+IFERROR(IF(M385&lt;'הנחות עבודה'!$D$34,M418,0),0)</f>
        <v>0</v>
      </c>
      <c r="N452" s="5">
        <f>+IFERROR(IF(N385&lt;'הנחות עבודה'!$D$34,N418,0),0)</f>
        <v>0</v>
      </c>
      <c r="O452" s="5">
        <f>+IFERROR(IF(O385&lt;'הנחות עבודה'!$D$34,O418,0),0)</f>
        <v>0</v>
      </c>
      <c r="P452" s="5">
        <f>+IFERROR(IF(P385&lt;'הנחות עבודה'!$D$34,P418,0),0)</f>
        <v>0</v>
      </c>
      <c r="Q452" s="5">
        <f>+IFERROR(IF(Q385&lt;'הנחות עבודה'!$D$34,Q418,0),0)</f>
        <v>0</v>
      </c>
      <c r="R452" s="5">
        <f>+IFERROR(IF(R385&lt;'הנחות עבודה'!$D$34,R418,0),0)</f>
        <v>0</v>
      </c>
      <c r="S452" s="5">
        <f>+IFERROR(IF(S385&lt;'הנחות עבודה'!$D$34,S418,0),0)</f>
        <v>0</v>
      </c>
      <c r="T452" s="5">
        <f>+IFERROR(IF(T385&lt;'הנחות עבודה'!$D$34,T418,0),0)</f>
        <v>0</v>
      </c>
      <c r="U452" s="5">
        <f>+IFERROR(IF(U385&lt;'הנחות עבודה'!$D$34,U418,0),0)</f>
        <v>0</v>
      </c>
      <c r="V452" s="5">
        <f>+IFERROR(IF(V385&lt;'הנחות עבודה'!$D$34,V418,0),0)</f>
        <v>0</v>
      </c>
      <c r="W452" s="5">
        <f>+IFERROR(IF(W385&lt;'הנחות עבודה'!$D$34,W418,0),0)</f>
        <v>0</v>
      </c>
      <c r="X452" s="5">
        <f>+IFERROR(IF(X385&lt;'הנחות עבודה'!$D$34,X418,0),0)</f>
        <v>0</v>
      </c>
      <c r="Y452" s="5">
        <f>+IFERROR(IF(Y385&lt;'הנחות עבודה'!$D$34,Y418,0),0)</f>
        <v>0</v>
      </c>
      <c r="Z452" s="5">
        <f>+IFERROR(IF(Z385&lt;'הנחות עבודה'!$D$34,Z418,0),0)</f>
        <v>0</v>
      </c>
      <c r="AA452" s="5">
        <f>+IFERROR(IF(AA385&lt;'הנחות עבודה'!$D$34,AA418,0),0)</f>
        <v>0</v>
      </c>
      <c r="AB452" s="5">
        <f>+IFERROR(IF(AB385&lt;'הנחות עבודה'!$D$34,AB418,0),0)</f>
        <v>0</v>
      </c>
      <c r="AC452" s="5">
        <f>+IFERROR(IF(AC385&lt;'הנחות עבודה'!$D$34,AC418,0),0)</f>
        <v>0</v>
      </c>
      <c r="AD452" s="5">
        <f>+IFERROR(IF(AD385&lt;'הנחות עבודה'!$D$34,AD418,0),0)</f>
        <v>0</v>
      </c>
      <c r="AE452" s="5">
        <f>+IFERROR(IF(AE385&lt;'הנחות עבודה'!$D$34,AE418,0),0)</f>
        <v>0</v>
      </c>
      <c r="AF452" s="5">
        <f>+IFERROR(IF(AF385&lt;'הנחות עבודה'!$D$34,AF418,0),0)</f>
        <v>0</v>
      </c>
      <c r="AG452" s="5">
        <f>+IFERROR(IF(AG385&lt;'הנחות עבודה'!$D$34,AG418,0),0)</f>
        <v>0</v>
      </c>
      <c r="AH452" s="5">
        <f>+IFERROR(IF(AH385&lt;'הנחות עבודה'!$D$34,AH418,0),0)</f>
        <v>0</v>
      </c>
      <c r="AI452" s="5">
        <f>+IFERROR(IF(AI385&lt;'הנחות עבודה'!$D$34,AI418,0),0)</f>
        <v>0</v>
      </c>
      <c r="AJ452" s="5">
        <f>+IFERROR(IF(AJ385&lt;'הנחות עבודה'!$D$34,AJ418,0),0)</f>
        <v>0</v>
      </c>
      <c r="AK452" s="5">
        <f>+IFERROR(IF(AK385&lt;'הנחות עבודה'!$D$34,AK418,0),0)</f>
        <v>0</v>
      </c>
      <c r="AL452" s="5">
        <f>+IFERROR(IF(AL385&lt;'הנחות עבודה'!$D$34,AL418,0),0)</f>
        <v>0</v>
      </c>
      <c r="AM452" s="5">
        <f>+IFERROR(IF(AM385&lt;'הנחות עבודה'!$D$34,AM418,0),0)</f>
        <v>0</v>
      </c>
      <c r="AN452" s="5">
        <f>+IFERROR(IF(AN385&lt;'הנחות עבודה'!$D$34,AN418,0),0)</f>
        <v>0</v>
      </c>
      <c r="AO452" s="5">
        <f>+IFERROR(IF(AO385&lt;'הנחות עבודה'!$D$34,AO418,0),0)</f>
        <v>0</v>
      </c>
      <c r="AP452" s="5">
        <f>+IFERROR(IF(AP385&lt;'הנחות עבודה'!$D$34,AP418,0),0)</f>
        <v>0</v>
      </c>
      <c r="AQ452" s="5">
        <f>+IFERROR(IF(AQ385&lt;'הנחות עבודה'!$D$34,AQ418,0),0)</f>
        <v>0</v>
      </c>
      <c r="AR452" s="5">
        <f>+IFERROR(IF(AR385&lt;'הנחות עבודה'!$D$34,AR418,0),0)</f>
        <v>0</v>
      </c>
      <c r="AS452" s="5">
        <f>+IFERROR(IF(AS385&lt;'הנחות עבודה'!$D$34,AS418,0),0)</f>
        <v>0</v>
      </c>
      <c r="AT452" s="5">
        <f>+IFERROR(IF(AT385&lt;'הנחות עבודה'!$D$34,AT418,0),0)</f>
        <v>0</v>
      </c>
      <c r="AU452" s="5">
        <f>+IFERROR(IF(AU385&lt;'הנחות עבודה'!$D$34,AU418,0),0)</f>
        <v>0</v>
      </c>
      <c r="AV452" s="5">
        <f>+IFERROR(IF(AV385&lt;'הנחות עבודה'!$D$34,AV418,0),0)</f>
        <v>0</v>
      </c>
      <c r="AW452" s="5">
        <f>+IFERROR(IF(AW385&lt;'הנחות עבודה'!$D$34,AW418,0),0)</f>
        <v>0</v>
      </c>
      <c r="AX452" s="5">
        <f>+IFERROR(IF(AX385&lt;'הנחות עבודה'!$D$34,AX418,0),0)</f>
        <v>0</v>
      </c>
      <c r="AY452" s="5">
        <f>+IFERROR(IF(AY385&lt;'הנחות עבודה'!$D$34,AY418,0),0)</f>
        <v>0</v>
      </c>
      <c r="AZ452" s="5">
        <f>+IFERROR(IF(AZ385&lt;'הנחות עבודה'!$D$34,AZ418,0),0)</f>
        <v>0</v>
      </c>
      <c r="BA452" s="5">
        <f>+IFERROR(IF(BA385&lt;'הנחות עבודה'!$D$34,BA418,0),0)</f>
        <v>0</v>
      </c>
      <c r="BB452" s="5">
        <f>+IFERROR(IF(BB385&lt;'הנחות עבודה'!$D$34,BB418,0),0)</f>
        <v>0</v>
      </c>
      <c r="BC452" s="5">
        <f>+IFERROR(IF(BC385&lt;'הנחות עבודה'!$D$34,BC418,0),0)</f>
        <v>0</v>
      </c>
      <c r="BD452" s="5">
        <f>+IFERROR(IF(BD385&lt;'הנחות עבודה'!$D$34,BD418,0),0)</f>
        <v>0</v>
      </c>
      <c r="BE452" s="5">
        <f>+IFERROR(IF(BE385&lt;'הנחות עבודה'!$D$34,BE418,0),0)</f>
        <v>0</v>
      </c>
      <c r="BF452" s="5">
        <f>+IFERROR(IF(BF385&lt;'הנחות עבודה'!$D$34,BF418,0),0)</f>
        <v>0</v>
      </c>
    </row>
    <row r="453" spans="1:58" x14ac:dyDescent="0.2">
      <c r="B453" s="1">
        <v>26</v>
      </c>
      <c r="C453" s="5">
        <f>+IFERROR(IF(C386&lt;'הנחות עבודה'!$D$34,C419,0),0)</f>
        <v>0</v>
      </c>
      <c r="D453" s="5">
        <f>+IFERROR(IF(D386&lt;'הנחות עבודה'!$D$34,D419,0),0)</f>
        <v>0</v>
      </c>
      <c r="E453" s="5">
        <f>+IFERROR(IF(E386&lt;'הנחות עבודה'!$D$34,E419,0),0)</f>
        <v>0</v>
      </c>
      <c r="F453" s="5">
        <f>+IFERROR(IF(F386&lt;'הנחות עבודה'!$D$34,F419,0),0)</f>
        <v>0</v>
      </c>
      <c r="G453" s="5">
        <f>+IFERROR(IF(G386&lt;'הנחות עבודה'!$D$34,G419,0),0)</f>
        <v>0</v>
      </c>
      <c r="H453" s="5">
        <f>+IFERROR(IF(H386&lt;'הנחות עבודה'!$D$34,H419,0),0)</f>
        <v>0</v>
      </c>
      <c r="I453" s="5">
        <f>+IFERROR(IF(I386&lt;'הנחות עבודה'!$D$34,I419,0),0)</f>
        <v>0</v>
      </c>
      <c r="J453" s="5">
        <f>+IFERROR(IF(J386&lt;'הנחות עבודה'!$D$34,J419,0),0)</f>
        <v>0</v>
      </c>
      <c r="K453" s="5">
        <f>+IFERROR(IF(K386&lt;'הנחות עבודה'!$D$34,K419,0),0)</f>
        <v>0</v>
      </c>
      <c r="L453" s="5">
        <f>+IFERROR(IF(L386&lt;'הנחות עבודה'!$D$34,L419,0),0)</f>
        <v>0</v>
      </c>
      <c r="M453" s="5">
        <f>+IFERROR(IF(M386&lt;'הנחות עבודה'!$D$34,M419,0),0)</f>
        <v>0</v>
      </c>
      <c r="N453" s="5">
        <f>+IFERROR(IF(N386&lt;'הנחות עבודה'!$D$34,N419,0),0)</f>
        <v>0</v>
      </c>
      <c r="O453" s="5">
        <f>+IFERROR(IF(O386&lt;'הנחות עבודה'!$D$34,O419,0),0)</f>
        <v>0</v>
      </c>
      <c r="P453" s="5">
        <f>+IFERROR(IF(P386&lt;'הנחות עבודה'!$D$34,P419,0),0)</f>
        <v>0</v>
      </c>
      <c r="Q453" s="5">
        <f>+IFERROR(IF(Q386&lt;'הנחות עבודה'!$D$34,Q419,0),0)</f>
        <v>0</v>
      </c>
      <c r="R453" s="5">
        <f>+IFERROR(IF(R386&lt;'הנחות עבודה'!$D$34,R419,0),0)</f>
        <v>0</v>
      </c>
      <c r="S453" s="5">
        <f>+IFERROR(IF(S386&lt;'הנחות עבודה'!$D$34,S419,0),0)</f>
        <v>0</v>
      </c>
      <c r="T453" s="5">
        <f>+IFERROR(IF(T386&lt;'הנחות עבודה'!$D$34,T419,0),0)</f>
        <v>0</v>
      </c>
      <c r="U453" s="5">
        <f>+IFERROR(IF(U386&lt;'הנחות עבודה'!$D$34,U419,0),0)</f>
        <v>0</v>
      </c>
      <c r="V453" s="5">
        <f>+IFERROR(IF(V386&lt;'הנחות עבודה'!$D$34,V419,0),0)</f>
        <v>0</v>
      </c>
      <c r="W453" s="5">
        <f>+IFERROR(IF(W386&lt;'הנחות עבודה'!$D$34,W419,0),0)</f>
        <v>0</v>
      </c>
      <c r="X453" s="5">
        <f>+IFERROR(IF(X386&lt;'הנחות עבודה'!$D$34,X419,0),0)</f>
        <v>0</v>
      </c>
      <c r="Y453" s="5">
        <f>+IFERROR(IF(Y386&lt;'הנחות עבודה'!$D$34,Y419,0),0)</f>
        <v>0</v>
      </c>
      <c r="Z453" s="5">
        <f>+IFERROR(IF(Z386&lt;'הנחות עבודה'!$D$34,Z419,0),0)</f>
        <v>0</v>
      </c>
      <c r="AA453" s="5">
        <f>+IFERROR(IF(AA386&lt;'הנחות עבודה'!$D$34,AA419,0),0)</f>
        <v>0</v>
      </c>
      <c r="AB453" s="5">
        <f>+IFERROR(IF(AB386&lt;'הנחות עבודה'!$D$34,AB419,0),0)</f>
        <v>0</v>
      </c>
      <c r="AC453" s="5">
        <f>+IFERROR(IF(AC386&lt;'הנחות עבודה'!$D$34,AC419,0),0)</f>
        <v>0</v>
      </c>
      <c r="AD453" s="5">
        <f>+IFERROR(IF(AD386&lt;'הנחות עבודה'!$D$34,AD419,0),0)</f>
        <v>0</v>
      </c>
      <c r="AE453" s="5">
        <f>+IFERROR(IF(AE386&lt;'הנחות עבודה'!$D$34,AE419,0),0)</f>
        <v>0</v>
      </c>
      <c r="AF453" s="5">
        <f>+IFERROR(IF(AF386&lt;'הנחות עבודה'!$D$34,AF419,0),0)</f>
        <v>0</v>
      </c>
      <c r="AG453" s="5">
        <f>+IFERROR(IF(AG386&lt;'הנחות עבודה'!$D$34,AG419,0),0)</f>
        <v>0</v>
      </c>
      <c r="AH453" s="5">
        <f>+IFERROR(IF(AH386&lt;'הנחות עבודה'!$D$34,AH419,0),0)</f>
        <v>0</v>
      </c>
      <c r="AI453" s="5">
        <f>+IFERROR(IF(AI386&lt;'הנחות עבודה'!$D$34,AI419,0),0)</f>
        <v>0</v>
      </c>
      <c r="AJ453" s="5">
        <f>+IFERROR(IF(AJ386&lt;'הנחות עבודה'!$D$34,AJ419,0),0)</f>
        <v>0</v>
      </c>
      <c r="AK453" s="5">
        <f>+IFERROR(IF(AK386&lt;'הנחות עבודה'!$D$34,AK419,0),0)</f>
        <v>0</v>
      </c>
      <c r="AL453" s="5">
        <f>+IFERROR(IF(AL386&lt;'הנחות עבודה'!$D$34,AL419,0),0)</f>
        <v>0</v>
      </c>
      <c r="AM453" s="5">
        <f>+IFERROR(IF(AM386&lt;'הנחות עבודה'!$D$34,AM419,0),0)</f>
        <v>0</v>
      </c>
      <c r="AN453" s="5">
        <f>+IFERROR(IF(AN386&lt;'הנחות עבודה'!$D$34,AN419,0),0)</f>
        <v>0</v>
      </c>
      <c r="AO453" s="5">
        <f>+IFERROR(IF(AO386&lt;'הנחות עבודה'!$D$34,AO419,0),0)</f>
        <v>0</v>
      </c>
      <c r="AP453" s="5">
        <f>+IFERROR(IF(AP386&lt;'הנחות עבודה'!$D$34,AP419,0),0)</f>
        <v>0</v>
      </c>
      <c r="AQ453" s="5">
        <f>+IFERROR(IF(AQ386&lt;'הנחות עבודה'!$D$34,AQ419,0),0)</f>
        <v>0</v>
      </c>
      <c r="AR453" s="5">
        <f>+IFERROR(IF(AR386&lt;'הנחות עבודה'!$D$34,AR419,0),0)</f>
        <v>0</v>
      </c>
      <c r="AS453" s="5">
        <f>+IFERROR(IF(AS386&lt;'הנחות עבודה'!$D$34,AS419,0),0)</f>
        <v>0</v>
      </c>
      <c r="AT453" s="5">
        <f>+IFERROR(IF(AT386&lt;'הנחות עבודה'!$D$34,AT419,0),0)</f>
        <v>0</v>
      </c>
      <c r="AU453" s="5">
        <f>+IFERROR(IF(AU386&lt;'הנחות עבודה'!$D$34,AU419,0),0)</f>
        <v>0</v>
      </c>
      <c r="AV453" s="5">
        <f>+IFERROR(IF(AV386&lt;'הנחות עבודה'!$D$34,AV419,0),0)</f>
        <v>0</v>
      </c>
      <c r="AW453" s="5">
        <f>+IFERROR(IF(AW386&lt;'הנחות עבודה'!$D$34,AW419,0),0)</f>
        <v>0</v>
      </c>
      <c r="AX453" s="5">
        <f>+IFERROR(IF(AX386&lt;'הנחות עבודה'!$D$34,AX419,0),0)</f>
        <v>0</v>
      </c>
      <c r="AY453" s="5">
        <f>+IFERROR(IF(AY386&lt;'הנחות עבודה'!$D$34,AY419,0),0)</f>
        <v>0</v>
      </c>
      <c r="AZ453" s="5">
        <f>+IFERROR(IF(AZ386&lt;'הנחות עבודה'!$D$34,AZ419,0),0)</f>
        <v>0</v>
      </c>
      <c r="BA453" s="5">
        <f>+IFERROR(IF(BA386&lt;'הנחות עבודה'!$D$34,BA419,0),0)</f>
        <v>0</v>
      </c>
      <c r="BB453" s="5">
        <f>+IFERROR(IF(BB386&lt;'הנחות עבודה'!$D$34,BB419,0),0)</f>
        <v>0</v>
      </c>
      <c r="BC453" s="5">
        <f>+IFERROR(IF(BC386&lt;'הנחות עבודה'!$D$34,BC419,0),0)</f>
        <v>0</v>
      </c>
      <c r="BD453" s="5">
        <f>+IFERROR(IF(BD386&lt;'הנחות עבודה'!$D$34,BD419,0),0)</f>
        <v>0</v>
      </c>
      <c r="BE453" s="5">
        <f>+IFERROR(IF(BE386&lt;'הנחות עבודה'!$D$34,BE419,0),0)</f>
        <v>0</v>
      </c>
      <c r="BF453" s="5">
        <f>+IFERROR(IF(BF386&lt;'הנחות עבודה'!$D$34,BF419,0),0)</f>
        <v>0</v>
      </c>
    </row>
    <row r="454" spans="1:58" x14ac:dyDescent="0.2">
      <c r="B454" s="1">
        <v>27</v>
      </c>
      <c r="C454" s="5">
        <f>+IFERROR(IF(C387&lt;'הנחות עבודה'!$D$34,C420,0),0)</f>
        <v>0</v>
      </c>
      <c r="D454" s="5">
        <f>+IFERROR(IF(D387&lt;'הנחות עבודה'!$D$34,D420,0),0)</f>
        <v>0</v>
      </c>
      <c r="E454" s="5">
        <f>+IFERROR(IF(E387&lt;'הנחות עבודה'!$D$34,E420,0),0)</f>
        <v>0</v>
      </c>
      <c r="F454" s="5">
        <f>+IFERROR(IF(F387&lt;'הנחות עבודה'!$D$34,F420,0),0)</f>
        <v>0</v>
      </c>
      <c r="G454" s="5">
        <f>+IFERROR(IF(G387&lt;'הנחות עבודה'!$D$34,G420,0),0)</f>
        <v>0</v>
      </c>
      <c r="H454" s="5">
        <f>+IFERROR(IF(H387&lt;'הנחות עבודה'!$D$34,H420,0),0)</f>
        <v>0</v>
      </c>
      <c r="I454" s="5">
        <f>+IFERROR(IF(I387&lt;'הנחות עבודה'!$D$34,I420,0),0)</f>
        <v>0</v>
      </c>
      <c r="J454" s="5">
        <f>+IFERROR(IF(J387&lt;'הנחות עבודה'!$D$34,J420,0),0)</f>
        <v>0</v>
      </c>
      <c r="K454" s="5">
        <f>+IFERROR(IF(K387&lt;'הנחות עבודה'!$D$34,K420,0),0)</f>
        <v>0</v>
      </c>
      <c r="L454" s="5">
        <f>+IFERROR(IF(L387&lt;'הנחות עבודה'!$D$34,L420,0),0)</f>
        <v>0</v>
      </c>
      <c r="M454" s="5">
        <f>+IFERROR(IF(M387&lt;'הנחות עבודה'!$D$34,M420,0),0)</f>
        <v>0</v>
      </c>
      <c r="N454" s="5">
        <f>+IFERROR(IF(N387&lt;'הנחות עבודה'!$D$34,N420,0),0)</f>
        <v>0</v>
      </c>
      <c r="O454" s="5">
        <f>+IFERROR(IF(O387&lt;'הנחות עבודה'!$D$34,O420,0),0)</f>
        <v>0</v>
      </c>
      <c r="P454" s="5">
        <f>+IFERROR(IF(P387&lt;'הנחות עבודה'!$D$34,P420,0),0)</f>
        <v>0</v>
      </c>
      <c r="Q454" s="5">
        <f>+IFERROR(IF(Q387&lt;'הנחות עבודה'!$D$34,Q420,0),0)</f>
        <v>0</v>
      </c>
      <c r="R454" s="5">
        <f>+IFERROR(IF(R387&lt;'הנחות עבודה'!$D$34,R420,0),0)</f>
        <v>0</v>
      </c>
      <c r="S454" s="5">
        <f>+IFERROR(IF(S387&lt;'הנחות עבודה'!$D$34,S420,0),0)</f>
        <v>0</v>
      </c>
      <c r="T454" s="5">
        <f>+IFERROR(IF(T387&lt;'הנחות עבודה'!$D$34,T420,0),0)</f>
        <v>0</v>
      </c>
      <c r="U454" s="5">
        <f>+IFERROR(IF(U387&lt;'הנחות עבודה'!$D$34,U420,0),0)</f>
        <v>0</v>
      </c>
      <c r="V454" s="5">
        <f>+IFERROR(IF(V387&lt;'הנחות עבודה'!$D$34,V420,0),0)</f>
        <v>0</v>
      </c>
      <c r="W454" s="5">
        <f>+IFERROR(IF(W387&lt;'הנחות עבודה'!$D$34,W420,0),0)</f>
        <v>0</v>
      </c>
      <c r="X454" s="5">
        <f>+IFERROR(IF(X387&lt;'הנחות עבודה'!$D$34,X420,0),0)</f>
        <v>0</v>
      </c>
      <c r="Y454" s="5">
        <f>+IFERROR(IF(Y387&lt;'הנחות עבודה'!$D$34,Y420,0),0)</f>
        <v>0</v>
      </c>
      <c r="Z454" s="5">
        <f>+IFERROR(IF(Z387&lt;'הנחות עבודה'!$D$34,Z420,0),0)</f>
        <v>0</v>
      </c>
      <c r="AA454" s="5">
        <f>+IFERROR(IF(AA387&lt;'הנחות עבודה'!$D$34,AA420,0),0)</f>
        <v>0</v>
      </c>
      <c r="AB454" s="5">
        <f>+IFERROR(IF(AB387&lt;'הנחות עבודה'!$D$34,AB420,0),0)</f>
        <v>0</v>
      </c>
      <c r="AC454" s="5">
        <f>+IFERROR(IF(AC387&lt;'הנחות עבודה'!$D$34,AC420,0),0)</f>
        <v>0</v>
      </c>
      <c r="AD454" s="5">
        <f>+IFERROR(IF(AD387&lt;'הנחות עבודה'!$D$34,AD420,0),0)</f>
        <v>0</v>
      </c>
      <c r="AE454" s="5">
        <f>+IFERROR(IF(AE387&lt;'הנחות עבודה'!$D$34,AE420,0),0)</f>
        <v>0</v>
      </c>
      <c r="AF454" s="5">
        <f>+IFERROR(IF(AF387&lt;'הנחות עבודה'!$D$34,AF420,0),0)</f>
        <v>0</v>
      </c>
      <c r="AG454" s="5">
        <f>+IFERROR(IF(AG387&lt;'הנחות עבודה'!$D$34,AG420,0),0)</f>
        <v>0</v>
      </c>
      <c r="AH454" s="5">
        <f>+IFERROR(IF(AH387&lt;'הנחות עבודה'!$D$34,AH420,0),0)</f>
        <v>0</v>
      </c>
      <c r="AI454" s="5">
        <f>+IFERROR(IF(AI387&lt;'הנחות עבודה'!$D$34,AI420,0),0)</f>
        <v>0</v>
      </c>
      <c r="AJ454" s="5">
        <f>+IFERROR(IF(AJ387&lt;'הנחות עבודה'!$D$34,AJ420,0),0)</f>
        <v>0</v>
      </c>
      <c r="AK454" s="5">
        <f>+IFERROR(IF(AK387&lt;'הנחות עבודה'!$D$34,AK420,0),0)</f>
        <v>0</v>
      </c>
      <c r="AL454" s="5">
        <f>+IFERROR(IF(AL387&lt;'הנחות עבודה'!$D$34,AL420,0),0)</f>
        <v>0</v>
      </c>
      <c r="AM454" s="5">
        <f>+IFERROR(IF(AM387&lt;'הנחות עבודה'!$D$34,AM420,0),0)</f>
        <v>0</v>
      </c>
      <c r="AN454" s="5">
        <f>+IFERROR(IF(AN387&lt;'הנחות עבודה'!$D$34,AN420,0),0)</f>
        <v>0</v>
      </c>
      <c r="AO454" s="5">
        <f>+IFERROR(IF(AO387&lt;'הנחות עבודה'!$D$34,AO420,0),0)</f>
        <v>0</v>
      </c>
      <c r="AP454" s="5">
        <f>+IFERROR(IF(AP387&lt;'הנחות עבודה'!$D$34,AP420,0),0)</f>
        <v>0</v>
      </c>
      <c r="AQ454" s="5">
        <f>+IFERROR(IF(AQ387&lt;'הנחות עבודה'!$D$34,AQ420,0),0)</f>
        <v>0</v>
      </c>
      <c r="AR454" s="5">
        <f>+IFERROR(IF(AR387&lt;'הנחות עבודה'!$D$34,AR420,0),0)</f>
        <v>0</v>
      </c>
      <c r="AS454" s="5">
        <f>+IFERROR(IF(AS387&lt;'הנחות עבודה'!$D$34,AS420,0),0)</f>
        <v>0</v>
      </c>
      <c r="AT454" s="5">
        <f>+IFERROR(IF(AT387&lt;'הנחות עבודה'!$D$34,AT420,0),0)</f>
        <v>0</v>
      </c>
      <c r="AU454" s="5">
        <f>+IFERROR(IF(AU387&lt;'הנחות עבודה'!$D$34,AU420,0),0)</f>
        <v>0</v>
      </c>
      <c r="AV454" s="5">
        <f>+IFERROR(IF(AV387&lt;'הנחות עבודה'!$D$34,AV420,0),0)</f>
        <v>0</v>
      </c>
      <c r="AW454" s="5">
        <f>+IFERROR(IF(AW387&lt;'הנחות עבודה'!$D$34,AW420,0),0)</f>
        <v>0</v>
      </c>
      <c r="AX454" s="5">
        <f>+IFERROR(IF(AX387&lt;'הנחות עבודה'!$D$34,AX420,0),0)</f>
        <v>0</v>
      </c>
      <c r="AY454" s="5">
        <f>+IFERROR(IF(AY387&lt;'הנחות עבודה'!$D$34,AY420,0),0)</f>
        <v>0</v>
      </c>
      <c r="AZ454" s="5">
        <f>+IFERROR(IF(AZ387&lt;'הנחות עבודה'!$D$34,AZ420,0),0)</f>
        <v>0</v>
      </c>
      <c r="BA454" s="5">
        <f>+IFERROR(IF(BA387&lt;'הנחות עבודה'!$D$34,BA420,0),0)</f>
        <v>0</v>
      </c>
      <c r="BB454" s="5">
        <f>+IFERROR(IF(BB387&lt;'הנחות עבודה'!$D$34,BB420,0),0)</f>
        <v>0</v>
      </c>
      <c r="BC454" s="5">
        <f>+IFERROR(IF(BC387&lt;'הנחות עבודה'!$D$34,BC420,0),0)</f>
        <v>0</v>
      </c>
      <c r="BD454" s="5">
        <f>+IFERROR(IF(BD387&lt;'הנחות עבודה'!$D$34,BD420,0),0)</f>
        <v>0</v>
      </c>
      <c r="BE454" s="5">
        <f>+IFERROR(IF(BE387&lt;'הנחות עבודה'!$D$34,BE420,0),0)</f>
        <v>0</v>
      </c>
      <c r="BF454" s="5">
        <f>+IFERROR(IF(BF387&lt;'הנחות עבודה'!$D$34,BF420,0),0)</f>
        <v>0</v>
      </c>
    </row>
    <row r="455" spans="1:58" x14ac:dyDescent="0.2">
      <c r="B455" s="1">
        <v>28</v>
      </c>
      <c r="C455" s="5">
        <f>+IFERROR(IF(C388&lt;'הנחות עבודה'!$D$34,C421,0),0)</f>
        <v>0</v>
      </c>
      <c r="D455" s="5">
        <f>+IFERROR(IF(D388&lt;'הנחות עבודה'!$D$34,D421,0),0)</f>
        <v>0</v>
      </c>
      <c r="E455" s="5">
        <f>+IFERROR(IF(E388&lt;'הנחות עבודה'!$D$34,E421,0),0)</f>
        <v>0</v>
      </c>
      <c r="F455" s="5">
        <f>+IFERROR(IF(F388&lt;'הנחות עבודה'!$D$34,F421,0),0)</f>
        <v>0</v>
      </c>
      <c r="G455" s="5">
        <f>+IFERROR(IF(G388&lt;'הנחות עבודה'!$D$34,G421,0),0)</f>
        <v>0</v>
      </c>
      <c r="H455" s="5">
        <f>+IFERROR(IF(H388&lt;'הנחות עבודה'!$D$34,H421,0),0)</f>
        <v>0</v>
      </c>
      <c r="I455" s="5">
        <f>+IFERROR(IF(I388&lt;'הנחות עבודה'!$D$34,I421,0),0)</f>
        <v>0</v>
      </c>
      <c r="J455" s="5">
        <f>+IFERROR(IF(J388&lt;'הנחות עבודה'!$D$34,J421,0),0)</f>
        <v>0</v>
      </c>
      <c r="K455" s="5">
        <f>+IFERROR(IF(K388&lt;'הנחות עבודה'!$D$34,K421,0),0)</f>
        <v>0</v>
      </c>
      <c r="L455" s="5">
        <f>+IFERROR(IF(L388&lt;'הנחות עבודה'!$D$34,L421,0),0)</f>
        <v>0</v>
      </c>
      <c r="M455" s="5">
        <f>+IFERROR(IF(M388&lt;'הנחות עבודה'!$D$34,M421,0),0)</f>
        <v>0</v>
      </c>
      <c r="N455" s="5">
        <f>+IFERROR(IF(N388&lt;'הנחות עבודה'!$D$34,N421,0),0)</f>
        <v>0</v>
      </c>
      <c r="O455" s="5">
        <f>+IFERROR(IF(O388&lt;'הנחות עבודה'!$D$34,O421,0),0)</f>
        <v>0</v>
      </c>
      <c r="P455" s="5">
        <f>+IFERROR(IF(P388&lt;'הנחות עבודה'!$D$34,P421,0),0)</f>
        <v>0</v>
      </c>
      <c r="Q455" s="5">
        <f>+IFERROR(IF(Q388&lt;'הנחות עבודה'!$D$34,Q421,0),0)</f>
        <v>0</v>
      </c>
      <c r="R455" s="5">
        <f>+IFERROR(IF(R388&lt;'הנחות עבודה'!$D$34,R421,0),0)</f>
        <v>0</v>
      </c>
      <c r="S455" s="5">
        <f>+IFERROR(IF(S388&lt;'הנחות עבודה'!$D$34,S421,0),0)</f>
        <v>0</v>
      </c>
      <c r="T455" s="5">
        <f>+IFERROR(IF(T388&lt;'הנחות עבודה'!$D$34,T421,0),0)</f>
        <v>0</v>
      </c>
      <c r="U455" s="5">
        <f>+IFERROR(IF(U388&lt;'הנחות עבודה'!$D$34,U421,0),0)</f>
        <v>0</v>
      </c>
      <c r="V455" s="5">
        <f>+IFERROR(IF(V388&lt;'הנחות עבודה'!$D$34,V421,0),0)</f>
        <v>0</v>
      </c>
      <c r="W455" s="5">
        <f>+IFERROR(IF(W388&lt;'הנחות עבודה'!$D$34,W421,0),0)</f>
        <v>0</v>
      </c>
      <c r="X455" s="5">
        <f>+IFERROR(IF(X388&lt;'הנחות עבודה'!$D$34,X421,0),0)</f>
        <v>0</v>
      </c>
      <c r="Y455" s="5">
        <f>+IFERROR(IF(Y388&lt;'הנחות עבודה'!$D$34,Y421,0),0)</f>
        <v>0</v>
      </c>
      <c r="Z455" s="5">
        <f>+IFERROR(IF(Z388&lt;'הנחות עבודה'!$D$34,Z421,0),0)</f>
        <v>0</v>
      </c>
      <c r="AA455" s="5">
        <f>+IFERROR(IF(AA388&lt;'הנחות עבודה'!$D$34,AA421,0),0)</f>
        <v>0</v>
      </c>
      <c r="AB455" s="5">
        <f>+IFERROR(IF(AB388&lt;'הנחות עבודה'!$D$34,AB421,0),0)</f>
        <v>0</v>
      </c>
      <c r="AC455" s="5">
        <f>+IFERROR(IF(AC388&lt;'הנחות עבודה'!$D$34,AC421,0),0)</f>
        <v>0</v>
      </c>
      <c r="AD455" s="5">
        <f>+IFERROR(IF(AD388&lt;'הנחות עבודה'!$D$34,AD421,0),0)</f>
        <v>0</v>
      </c>
      <c r="AE455" s="5">
        <f>+IFERROR(IF(AE388&lt;'הנחות עבודה'!$D$34,AE421,0),0)</f>
        <v>0</v>
      </c>
      <c r="AF455" s="5">
        <f>+IFERROR(IF(AF388&lt;'הנחות עבודה'!$D$34,AF421,0),0)</f>
        <v>0</v>
      </c>
      <c r="AG455" s="5">
        <f>+IFERROR(IF(AG388&lt;'הנחות עבודה'!$D$34,AG421,0),0)</f>
        <v>0</v>
      </c>
      <c r="AH455" s="5">
        <f>+IFERROR(IF(AH388&lt;'הנחות עבודה'!$D$34,AH421,0),0)</f>
        <v>0</v>
      </c>
      <c r="AI455" s="5">
        <f>+IFERROR(IF(AI388&lt;'הנחות עבודה'!$D$34,AI421,0),0)</f>
        <v>0</v>
      </c>
      <c r="AJ455" s="5">
        <f>+IFERROR(IF(AJ388&lt;'הנחות עבודה'!$D$34,AJ421,0),0)</f>
        <v>0</v>
      </c>
      <c r="AK455" s="5">
        <f>+IFERROR(IF(AK388&lt;'הנחות עבודה'!$D$34,AK421,0),0)</f>
        <v>0</v>
      </c>
      <c r="AL455" s="5">
        <f>+IFERROR(IF(AL388&lt;'הנחות עבודה'!$D$34,AL421,0),0)</f>
        <v>0</v>
      </c>
      <c r="AM455" s="5">
        <f>+IFERROR(IF(AM388&lt;'הנחות עבודה'!$D$34,AM421,0),0)</f>
        <v>0</v>
      </c>
      <c r="AN455" s="5">
        <f>+IFERROR(IF(AN388&lt;'הנחות עבודה'!$D$34,AN421,0),0)</f>
        <v>0</v>
      </c>
      <c r="AO455" s="5">
        <f>+IFERROR(IF(AO388&lt;'הנחות עבודה'!$D$34,AO421,0),0)</f>
        <v>0</v>
      </c>
      <c r="AP455" s="5">
        <f>+IFERROR(IF(AP388&lt;'הנחות עבודה'!$D$34,AP421,0),0)</f>
        <v>0</v>
      </c>
      <c r="AQ455" s="5">
        <f>+IFERROR(IF(AQ388&lt;'הנחות עבודה'!$D$34,AQ421,0),0)</f>
        <v>0</v>
      </c>
      <c r="AR455" s="5">
        <f>+IFERROR(IF(AR388&lt;'הנחות עבודה'!$D$34,AR421,0),0)</f>
        <v>0</v>
      </c>
      <c r="AS455" s="5">
        <f>+IFERROR(IF(AS388&lt;'הנחות עבודה'!$D$34,AS421,0),0)</f>
        <v>0</v>
      </c>
      <c r="AT455" s="5">
        <f>+IFERROR(IF(AT388&lt;'הנחות עבודה'!$D$34,AT421,0),0)</f>
        <v>0</v>
      </c>
      <c r="AU455" s="5">
        <f>+IFERROR(IF(AU388&lt;'הנחות עבודה'!$D$34,AU421,0),0)</f>
        <v>0</v>
      </c>
      <c r="AV455" s="5">
        <f>+IFERROR(IF(AV388&lt;'הנחות עבודה'!$D$34,AV421,0),0)</f>
        <v>0</v>
      </c>
      <c r="AW455" s="5">
        <f>+IFERROR(IF(AW388&lt;'הנחות עבודה'!$D$34,AW421,0),0)</f>
        <v>0</v>
      </c>
      <c r="AX455" s="5">
        <f>+IFERROR(IF(AX388&lt;'הנחות עבודה'!$D$34,AX421,0),0)</f>
        <v>0</v>
      </c>
      <c r="AY455" s="5">
        <f>+IFERROR(IF(AY388&lt;'הנחות עבודה'!$D$34,AY421,0),0)</f>
        <v>0</v>
      </c>
      <c r="AZ455" s="5">
        <f>+IFERROR(IF(AZ388&lt;'הנחות עבודה'!$D$34,AZ421,0),0)</f>
        <v>0</v>
      </c>
      <c r="BA455" s="5">
        <f>+IFERROR(IF(BA388&lt;'הנחות עבודה'!$D$34,BA421,0),0)</f>
        <v>0</v>
      </c>
      <c r="BB455" s="5">
        <f>+IFERROR(IF(BB388&lt;'הנחות עבודה'!$D$34,BB421,0),0)</f>
        <v>0</v>
      </c>
      <c r="BC455" s="5">
        <f>+IFERROR(IF(BC388&lt;'הנחות עבודה'!$D$34,BC421,0),0)</f>
        <v>0</v>
      </c>
      <c r="BD455" s="5">
        <f>+IFERROR(IF(BD388&lt;'הנחות עבודה'!$D$34,BD421,0),0)</f>
        <v>0</v>
      </c>
      <c r="BE455" s="5">
        <f>+IFERROR(IF(BE388&lt;'הנחות עבודה'!$D$34,BE421,0),0)</f>
        <v>0</v>
      </c>
      <c r="BF455" s="5">
        <f>+IFERROR(IF(BF388&lt;'הנחות עבודה'!$D$34,BF421,0),0)</f>
        <v>0</v>
      </c>
    </row>
    <row r="456" spans="1:58" x14ac:dyDescent="0.2">
      <c r="B456" s="1">
        <v>29</v>
      </c>
      <c r="C456" s="5">
        <f>+IFERROR(IF(C389&lt;'הנחות עבודה'!$D$34,C422,0),0)</f>
        <v>0</v>
      </c>
      <c r="D456" s="5">
        <f>+IFERROR(IF(D389&lt;'הנחות עבודה'!$D$34,D422,0),0)</f>
        <v>0</v>
      </c>
      <c r="E456" s="5">
        <f>+IFERROR(IF(E389&lt;'הנחות עבודה'!$D$34,E422,0),0)</f>
        <v>0</v>
      </c>
      <c r="F456" s="5">
        <f>+IFERROR(IF(F389&lt;'הנחות עבודה'!$D$34,F422,0),0)</f>
        <v>0</v>
      </c>
      <c r="G456" s="5">
        <f>+IFERROR(IF(G389&lt;'הנחות עבודה'!$D$34,G422,0),0)</f>
        <v>0</v>
      </c>
      <c r="H456" s="5">
        <f>+IFERROR(IF(H389&lt;'הנחות עבודה'!$D$34,H422,0),0)</f>
        <v>0</v>
      </c>
      <c r="I456" s="5">
        <f>+IFERROR(IF(I389&lt;'הנחות עבודה'!$D$34,I422,0),0)</f>
        <v>0</v>
      </c>
      <c r="J456" s="5">
        <f>+IFERROR(IF(J389&lt;'הנחות עבודה'!$D$34,J422,0),0)</f>
        <v>0</v>
      </c>
      <c r="K456" s="5">
        <f>+IFERROR(IF(K389&lt;'הנחות עבודה'!$D$34,K422,0),0)</f>
        <v>0</v>
      </c>
      <c r="L456" s="5">
        <f>+IFERROR(IF(L389&lt;'הנחות עבודה'!$D$34,L422,0),0)</f>
        <v>0</v>
      </c>
      <c r="M456" s="5">
        <f>+IFERROR(IF(M389&lt;'הנחות עבודה'!$D$34,M422,0),0)</f>
        <v>0</v>
      </c>
      <c r="N456" s="5">
        <f>+IFERROR(IF(N389&lt;'הנחות עבודה'!$D$34,N422,0),0)</f>
        <v>0</v>
      </c>
      <c r="O456" s="5">
        <f>+IFERROR(IF(O389&lt;'הנחות עבודה'!$D$34,O422,0),0)</f>
        <v>0</v>
      </c>
      <c r="P456" s="5">
        <f>+IFERROR(IF(P389&lt;'הנחות עבודה'!$D$34,P422,0),0)</f>
        <v>0</v>
      </c>
      <c r="Q456" s="5">
        <f>+IFERROR(IF(Q389&lt;'הנחות עבודה'!$D$34,Q422,0),0)</f>
        <v>0</v>
      </c>
      <c r="R456" s="5">
        <f>+IFERROR(IF(R389&lt;'הנחות עבודה'!$D$34,R422,0),0)</f>
        <v>0</v>
      </c>
      <c r="S456" s="5">
        <f>+IFERROR(IF(S389&lt;'הנחות עבודה'!$D$34,S422,0),0)</f>
        <v>0</v>
      </c>
      <c r="T456" s="5">
        <f>+IFERROR(IF(T389&lt;'הנחות עבודה'!$D$34,T422,0),0)</f>
        <v>0</v>
      </c>
      <c r="U456" s="5">
        <f>+IFERROR(IF(U389&lt;'הנחות עבודה'!$D$34,U422,0),0)</f>
        <v>0</v>
      </c>
      <c r="V456" s="5">
        <f>+IFERROR(IF(V389&lt;'הנחות עבודה'!$D$34,V422,0),0)</f>
        <v>0</v>
      </c>
      <c r="W456" s="5">
        <f>+IFERROR(IF(W389&lt;'הנחות עבודה'!$D$34,W422,0),0)</f>
        <v>0</v>
      </c>
      <c r="X456" s="5">
        <f>+IFERROR(IF(X389&lt;'הנחות עבודה'!$D$34,X422,0),0)</f>
        <v>0</v>
      </c>
      <c r="Y456" s="5">
        <f>+IFERROR(IF(Y389&lt;'הנחות עבודה'!$D$34,Y422,0),0)</f>
        <v>0</v>
      </c>
      <c r="Z456" s="5">
        <f>+IFERROR(IF(Z389&lt;'הנחות עבודה'!$D$34,Z422,0),0)</f>
        <v>0</v>
      </c>
      <c r="AA456" s="5">
        <f>+IFERROR(IF(AA389&lt;'הנחות עבודה'!$D$34,AA422,0),0)</f>
        <v>0</v>
      </c>
      <c r="AB456" s="5">
        <f>+IFERROR(IF(AB389&lt;'הנחות עבודה'!$D$34,AB422,0),0)</f>
        <v>0</v>
      </c>
      <c r="AC456" s="5">
        <f>+IFERROR(IF(AC389&lt;'הנחות עבודה'!$D$34,AC422,0),0)</f>
        <v>0</v>
      </c>
      <c r="AD456" s="5">
        <f>+IFERROR(IF(AD389&lt;'הנחות עבודה'!$D$34,AD422,0),0)</f>
        <v>0</v>
      </c>
      <c r="AE456" s="5">
        <f>+IFERROR(IF(AE389&lt;'הנחות עבודה'!$D$34,AE422,0),0)</f>
        <v>0</v>
      </c>
      <c r="AF456" s="5">
        <f>+IFERROR(IF(AF389&lt;'הנחות עבודה'!$D$34,AF422,0),0)</f>
        <v>0</v>
      </c>
      <c r="AG456" s="5">
        <f>+IFERROR(IF(AG389&lt;'הנחות עבודה'!$D$34,AG422,0),0)</f>
        <v>0</v>
      </c>
      <c r="AH456" s="5">
        <f>+IFERROR(IF(AH389&lt;'הנחות עבודה'!$D$34,AH422,0),0)</f>
        <v>0</v>
      </c>
      <c r="AI456" s="5">
        <f>+IFERROR(IF(AI389&lt;'הנחות עבודה'!$D$34,AI422,0),0)</f>
        <v>0</v>
      </c>
      <c r="AJ456" s="5">
        <f>+IFERROR(IF(AJ389&lt;'הנחות עבודה'!$D$34,AJ422,0),0)</f>
        <v>0</v>
      </c>
      <c r="AK456" s="5">
        <f>+IFERROR(IF(AK389&lt;'הנחות עבודה'!$D$34,AK422,0),0)</f>
        <v>0</v>
      </c>
      <c r="AL456" s="5">
        <f>+IFERROR(IF(AL389&lt;'הנחות עבודה'!$D$34,AL422,0),0)</f>
        <v>0</v>
      </c>
      <c r="AM456" s="5">
        <f>+IFERROR(IF(AM389&lt;'הנחות עבודה'!$D$34,AM422,0),0)</f>
        <v>0</v>
      </c>
      <c r="AN456" s="5">
        <f>+IFERROR(IF(AN389&lt;'הנחות עבודה'!$D$34,AN422,0),0)</f>
        <v>0</v>
      </c>
      <c r="AO456" s="5">
        <f>+IFERROR(IF(AO389&lt;'הנחות עבודה'!$D$34,AO422,0),0)</f>
        <v>0</v>
      </c>
      <c r="AP456" s="5">
        <f>+IFERROR(IF(AP389&lt;'הנחות עבודה'!$D$34,AP422,0),0)</f>
        <v>0</v>
      </c>
      <c r="AQ456" s="5">
        <f>+IFERROR(IF(AQ389&lt;'הנחות עבודה'!$D$34,AQ422,0),0)</f>
        <v>0</v>
      </c>
      <c r="AR456" s="5">
        <f>+IFERROR(IF(AR389&lt;'הנחות עבודה'!$D$34,AR422,0),0)</f>
        <v>0</v>
      </c>
      <c r="AS456" s="5">
        <f>+IFERROR(IF(AS389&lt;'הנחות עבודה'!$D$34,AS422,0),0)</f>
        <v>0</v>
      </c>
      <c r="AT456" s="5">
        <f>+IFERROR(IF(AT389&lt;'הנחות עבודה'!$D$34,AT422,0),0)</f>
        <v>0</v>
      </c>
      <c r="AU456" s="5">
        <f>+IFERROR(IF(AU389&lt;'הנחות עבודה'!$D$34,AU422,0),0)</f>
        <v>0</v>
      </c>
      <c r="AV456" s="5">
        <f>+IFERROR(IF(AV389&lt;'הנחות עבודה'!$D$34,AV422,0),0)</f>
        <v>0</v>
      </c>
      <c r="AW456" s="5">
        <f>+IFERROR(IF(AW389&lt;'הנחות עבודה'!$D$34,AW422,0),0)</f>
        <v>0</v>
      </c>
      <c r="AX456" s="5">
        <f>+IFERROR(IF(AX389&lt;'הנחות עבודה'!$D$34,AX422,0),0)</f>
        <v>0</v>
      </c>
      <c r="AY456" s="5">
        <f>+IFERROR(IF(AY389&lt;'הנחות עבודה'!$D$34,AY422,0),0)</f>
        <v>0</v>
      </c>
      <c r="AZ456" s="5">
        <f>+IFERROR(IF(AZ389&lt;'הנחות עבודה'!$D$34,AZ422,0),0)</f>
        <v>0</v>
      </c>
      <c r="BA456" s="5">
        <f>+IFERROR(IF(BA389&lt;'הנחות עבודה'!$D$34,BA422,0),0)</f>
        <v>0</v>
      </c>
      <c r="BB456" s="5">
        <f>+IFERROR(IF(BB389&lt;'הנחות עבודה'!$D$34,BB422,0),0)</f>
        <v>0</v>
      </c>
      <c r="BC456" s="5">
        <f>+IFERROR(IF(BC389&lt;'הנחות עבודה'!$D$34,BC422,0),0)</f>
        <v>0</v>
      </c>
      <c r="BD456" s="5">
        <f>+IFERROR(IF(BD389&lt;'הנחות עבודה'!$D$34,BD422,0),0)</f>
        <v>0</v>
      </c>
      <c r="BE456" s="5">
        <f>+IFERROR(IF(BE389&lt;'הנחות עבודה'!$D$34,BE422,0),0)</f>
        <v>0</v>
      </c>
      <c r="BF456" s="5">
        <f>+IFERROR(IF(BF389&lt;'הנחות עבודה'!$D$34,BF422,0),0)</f>
        <v>0</v>
      </c>
    </row>
    <row r="457" spans="1:58" x14ac:dyDescent="0.2">
      <c r="B457" s="1">
        <v>30</v>
      </c>
      <c r="C457" s="5">
        <f>+IFERROR(IF(C390&lt;'הנחות עבודה'!$D$34,C423,0),0)</f>
        <v>0</v>
      </c>
      <c r="D457" s="5">
        <f>+IFERROR(IF(D390&lt;'הנחות עבודה'!$D$34,D423,0),0)</f>
        <v>0</v>
      </c>
      <c r="E457" s="5">
        <f>+IFERROR(IF(E390&lt;'הנחות עבודה'!$D$34,E423,0),0)</f>
        <v>0</v>
      </c>
      <c r="F457" s="5">
        <f>+IFERROR(IF(F390&lt;'הנחות עבודה'!$D$34,F423,0),0)</f>
        <v>0</v>
      </c>
      <c r="G457" s="5">
        <f>+IFERROR(IF(G390&lt;'הנחות עבודה'!$D$34,G423,0),0)</f>
        <v>0</v>
      </c>
      <c r="H457" s="5">
        <f>+IFERROR(IF(H390&lt;'הנחות עבודה'!$D$34,H423,0),0)</f>
        <v>0</v>
      </c>
      <c r="I457" s="5">
        <f>+IFERROR(IF(I390&lt;'הנחות עבודה'!$D$34,I423,0),0)</f>
        <v>0</v>
      </c>
      <c r="J457" s="5">
        <f>+IFERROR(IF(J390&lt;'הנחות עבודה'!$D$34,J423,0),0)</f>
        <v>0</v>
      </c>
      <c r="K457" s="5">
        <f>+IFERROR(IF(K390&lt;'הנחות עבודה'!$D$34,K423,0),0)</f>
        <v>0</v>
      </c>
      <c r="L457" s="5">
        <f>+IFERROR(IF(L390&lt;'הנחות עבודה'!$D$34,L423,0),0)</f>
        <v>0</v>
      </c>
      <c r="M457" s="5">
        <f>+IFERROR(IF(M390&lt;'הנחות עבודה'!$D$34,M423,0),0)</f>
        <v>0</v>
      </c>
      <c r="N457" s="5">
        <f>+IFERROR(IF(N390&lt;'הנחות עבודה'!$D$34,N423,0),0)</f>
        <v>0</v>
      </c>
      <c r="O457" s="5">
        <f>+IFERROR(IF(O390&lt;'הנחות עבודה'!$D$34,O423,0),0)</f>
        <v>0</v>
      </c>
      <c r="P457" s="5">
        <f>+IFERROR(IF(P390&lt;'הנחות עבודה'!$D$34,P423,0),0)</f>
        <v>0</v>
      </c>
      <c r="Q457" s="5">
        <f>+IFERROR(IF(Q390&lt;'הנחות עבודה'!$D$34,Q423,0),0)</f>
        <v>0</v>
      </c>
      <c r="R457" s="5">
        <f>+IFERROR(IF(R390&lt;'הנחות עבודה'!$D$34,R423,0),0)</f>
        <v>0</v>
      </c>
      <c r="S457" s="5">
        <f>+IFERROR(IF(S390&lt;'הנחות עבודה'!$D$34,S423,0),0)</f>
        <v>0</v>
      </c>
      <c r="T457" s="5">
        <f>+IFERROR(IF(T390&lt;'הנחות עבודה'!$D$34,T423,0),0)</f>
        <v>0</v>
      </c>
      <c r="U457" s="5">
        <f>+IFERROR(IF(U390&lt;'הנחות עבודה'!$D$34,U423,0),0)</f>
        <v>0</v>
      </c>
      <c r="V457" s="5">
        <f>+IFERROR(IF(V390&lt;'הנחות עבודה'!$D$34,V423,0),0)</f>
        <v>0</v>
      </c>
      <c r="W457" s="5">
        <f>+IFERROR(IF(W390&lt;'הנחות עבודה'!$D$34,W423,0),0)</f>
        <v>0</v>
      </c>
      <c r="X457" s="5">
        <f>+IFERROR(IF(X390&lt;'הנחות עבודה'!$D$34,X423,0),0)</f>
        <v>0</v>
      </c>
      <c r="Y457" s="5">
        <f>+IFERROR(IF(Y390&lt;'הנחות עבודה'!$D$34,Y423,0),0)</f>
        <v>0</v>
      </c>
      <c r="Z457" s="5">
        <f>+IFERROR(IF(Z390&lt;'הנחות עבודה'!$D$34,Z423,0),0)</f>
        <v>0</v>
      </c>
      <c r="AA457" s="5">
        <f>+IFERROR(IF(AA390&lt;'הנחות עבודה'!$D$34,AA423,0),0)</f>
        <v>0</v>
      </c>
      <c r="AB457" s="5">
        <f>+IFERROR(IF(AB390&lt;'הנחות עבודה'!$D$34,AB423,0),0)</f>
        <v>0</v>
      </c>
      <c r="AC457" s="5">
        <f>+IFERROR(IF(AC390&lt;'הנחות עבודה'!$D$34,AC423,0),0)</f>
        <v>0</v>
      </c>
      <c r="AD457" s="5">
        <f>+IFERROR(IF(AD390&lt;'הנחות עבודה'!$D$34,AD423,0),0)</f>
        <v>0</v>
      </c>
      <c r="AE457" s="5">
        <f>+IFERROR(IF(AE390&lt;'הנחות עבודה'!$D$34,AE423,0),0)</f>
        <v>0</v>
      </c>
      <c r="AF457" s="5">
        <f>+IFERROR(IF(AF390&lt;'הנחות עבודה'!$D$34,AF423,0),0)</f>
        <v>0</v>
      </c>
      <c r="AG457" s="5">
        <f>+IFERROR(IF(AG390&lt;'הנחות עבודה'!$D$34,AG423,0),0)</f>
        <v>0</v>
      </c>
      <c r="AH457" s="5">
        <f>+IFERROR(IF(AH390&lt;'הנחות עבודה'!$D$34,AH423,0),0)</f>
        <v>0</v>
      </c>
      <c r="AI457" s="5">
        <f>+IFERROR(IF(AI390&lt;'הנחות עבודה'!$D$34,AI423,0),0)</f>
        <v>0</v>
      </c>
      <c r="AJ457" s="5">
        <f>+IFERROR(IF(AJ390&lt;'הנחות עבודה'!$D$34,AJ423,0),0)</f>
        <v>0</v>
      </c>
      <c r="AK457" s="5">
        <f>+IFERROR(IF(AK390&lt;'הנחות עבודה'!$D$34,AK423,0),0)</f>
        <v>0</v>
      </c>
      <c r="AL457" s="5">
        <f>+IFERROR(IF(AL390&lt;'הנחות עבודה'!$D$34,AL423,0),0)</f>
        <v>0</v>
      </c>
      <c r="AM457" s="5">
        <f>+IFERROR(IF(AM390&lt;'הנחות עבודה'!$D$34,AM423,0),0)</f>
        <v>0</v>
      </c>
      <c r="AN457" s="5">
        <f>+IFERROR(IF(AN390&lt;'הנחות עבודה'!$D$34,AN423,0),0)</f>
        <v>0</v>
      </c>
      <c r="AO457" s="5">
        <f>+IFERROR(IF(AO390&lt;'הנחות עבודה'!$D$34,AO423,0),0)</f>
        <v>0</v>
      </c>
      <c r="AP457" s="5">
        <f>+IFERROR(IF(AP390&lt;'הנחות עבודה'!$D$34,AP423,0),0)</f>
        <v>0</v>
      </c>
      <c r="AQ457" s="5">
        <f>+IFERROR(IF(AQ390&lt;'הנחות עבודה'!$D$34,AQ423,0),0)</f>
        <v>0</v>
      </c>
      <c r="AR457" s="5">
        <f>+IFERROR(IF(AR390&lt;'הנחות עבודה'!$D$34,AR423,0),0)</f>
        <v>0</v>
      </c>
      <c r="AS457" s="5">
        <f>+IFERROR(IF(AS390&lt;'הנחות עבודה'!$D$34,AS423,0),0)</f>
        <v>0</v>
      </c>
      <c r="AT457" s="5">
        <f>+IFERROR(IF(AT390&lt;'הנחות עבודה'!$D$34,AT423,0),0)</f>
        <v>0</v>
      </c>
      <c r="AU457" s="5">
        <f>+IFERROR(IF(AU390&lt;'הנחות עבודה'!$D$34,AU423,0),0)</f>
        <v>0</v>
      </c>
      <c r="AV457" s="5">
        <f>+IFERROR(IF(AV390&lt;'הנחות עבודה'!$D$34,AV423,0),0)</f>
        <v>0</v>
      </c>
      <c r="AW457" s="5">
        <f>+IFERROR(IF(AW390&lt;'הנחות עבודה'!$D$34,AW423,0),0)</f>
        <v>0</v>
      </c>
      <c r="AX457" s="5">
        <f>+IFERROR(IF(AX390&lt;'הנחות עבודה'!$D$34,AX423,0),0)</f>
        <v>0</v>
      </c>
      <c r="AY457" s="5">
        <f>+IFERROR(IF(AY390&lt;'הנחות עבודה'!$D$34,AY423,0),0)</f>
        <v>0</v>
      </c>
      <c r="AZ457" s="5">
        <f>+IFERROR(IF(AZ390&lt;'הנחות עבודה'!$D$34,AZ423,0),0)</f>
        <v>0</v>
      </c>
      <c r="BA457" s="5">
        <f>+IFERROR(IF(BA390&lt;'הנחות עבודה'!$D$34,BA423,0),0)</f>
        <v>0</v>
      </c>
      <c r="BB457" s="5">
        <f>+IFERROR(IF(BB390&lt;'הנחות עבודה'!$D$34,BB423,0),0)</f>
        <v>0</v>
      </c>
      <c r="BC457" s="5">
        <f>+IFERROR(IF(BC390&lt;'הנחות עבודה'!$D$34,BC423,0),0)</f>
        <v>0</v>
      </c>
      <c r="BD457" s="5">
        <f>+IFERROR(IF(BD390&lt;'הנחות עבודה'!$D$34,BD423,0),0)</f>
        <v>0</v>
      </c>
      <c r="BE457" s="5">
        <f>+IFERROR(IF(BE390&lt;'הנחות עבודה'!$D$34,BE423,0),0)</f>
        <v>0</v>
      </c>
      <c r="BF457" s="5">
        <f>+IFERROR(IF(BF390&lt;'הנחות עבודה'!$D$34,BF423,0),0)</f>
        <v>0</v>
      </c>
    </row>
    <row r="459" spans="1:58" x14ac:dyDescent="0.2">
      <c r="C459" s="78">
        <f>SUM(C428:C457)</f>
        <v>46901</v>
      </c>
      <c r="D459" s="78">
        <f>SUM(D428:D457)</f>
        <v>22090</v>
      </c>
      <c r="E459" s="78">
        <f t="shared" ref="E459:BE459" si="53">SUM(E428:E457)</f>
        <v>0</v>
      </c>
      <c r="F459" s="78">
        <f t="shared" si="53"/>
        <v>0</v>
      </c>
      <c r="G459" s="78">
        <f t="shared" si="53"/>
        <v>0</v>
      </c>
      <c r="H459" s="78">
        <f t="shared" si="53"/>
        <v>6795</v>
      </c>
      <c r="I459" s="78">
        <f t="shared" si="53"/>
        <v>0</v>
      </c>
      <c r="J459" s="78">
        <f t="shared" si="53"/>
        <v>0</v>
      </c>
      <c r="K459" s="78">
        <f t="shared" si="53"/>
        <v>0</v>
      </c>
      <c r="L459" s="78">
        <f t="shared" si="53"/>
        <v>45429</v>
      </c>
      <c r="M459" s="78">
        <f t="shared" si="53"/>
        <v>0</v>
      </c>
      <c r="N459" s="78">
        <f t="shared" si="53"/>
        <v>25295</v>
      </c>
      <c r="O459" s="78">
        <f t="shared" si="53"/>
        <v>0</v>
      </c>
      <c r="P459" s="78">
        <f t="shared" si="53"/>
        <v>111692</v>
      </c>
      <c r="Q459" s="78">
        <f t="shared" si="53"/>
        <v>178288</v>
      </c>
      <c r="R459" s="78">
        <f t="shared" si="53"/>
        <v>0</v>
      </c>
      <c r="S459" s="78">
        <f t="shared" si="53"/>
        <v>72155</v>
      </c>
      <c r="T459" s="78">
        <f t="shared" si="53"/>
        <v>93641</v>
      </c>
      <c r="U459" s="78">
        <f>SUM(U428:U457)</f>
        <v>0</v>
      </c>
      <c r="V459" s="78">
        <f t="shared" si="53"/>
        <v>77950</v>
      </c>
      <c r="W459" s="78">
        <f t="shared" si="53"/>
        <v>126612</v>
      </c>
      <c r="X459" s="78">
        <f t="shared" si="53"/>
        <v>131526</v>
      </c>
      <c r="Y459" s="78">
        <f t="shared" si="53"/>
        <v>8016</v>
      </c>
      <c r="Z459" s="78">
        <f t="shared" si="53"/>
        <v>0</v>
      </c>
      <c r="AA459" s="78">
        <f t="shared" si="53"/>
        <v>0</v>
      </c>
      <c r="AB459" s="78">
        <f t="shared" si="53"/>
        <v>50570</v>
      </c>
      <c r="AC459" s="78">
        <f t="shared" si="53"/>
        <v>0</v>
      </c>
      <c r="AD459" s="78">
        <f t="shared" si="53"/>
        <v>0</v>
      </c>
      <c r="AE459" s="78">
        <f t="shared" si="53"/>
        <v>0</v>
      </c>
      <c r="AF459" s="78">
        <f t="shared" si="53"/>
        <v>0</v>
      </c>
      <c r="AG459" s="78">
        <f t="shared" si="53"/>
        <v>0</v>
      </c>
      <c r="AH459" s="78">
        <f t="shared" si="53"/>
        <v>60426</v>
      </c>
      <c r="AI459" s="78">
        <f t="shared" si="53"/>
        <v>0</v>
      </c>
      <c r="AJ459" s="78">
        <f t="shared" si="53"/>
        <v>10302</v>
      </c>
      <c r="AK459" s="78">
        <f t="shared" si="53"/>
        <v>0</v>
      </c>
      <c r="AL459" s="78">
        <f t="shared" si="53"/>
        <v>0</v>
      </c>
      <c r="AM459" s="78">
        <f t="shared" si="53"/>
        <v>0</v>
      </c>
      <c r="AN459" s="78">
        <f t="shared" si="53"/>
        <v>90760</v>
      </c>
      <c r="AO459" s="78">
        <f t="shared" si="53"/>
        <v>0</v>
      </c>
      <c r="AP459" s="78">
        <f t="shared" si="53"/>
        <v>0</v>
      </c>
      <c r="AQ459" s="78">
        <f t="shared" si="53"/>
        <v>0</v>
      </c>
      <c r="AR459" s="78">
        <f t="shared" si="53"/>
        <v>0</v>
      </c>
      <c r="AS459" s="78">
        <f t="shared" si="53"/>
        <v>147195</v>
      </c>
      <c r="AT459" s="78">
        <f t="shared" si="53"/>
        <v>98084</v>
      </c>
      <c r="AU459" s="78">
        <f t="shared" si="53"/>
        <v>0</v>
      </c>
      <c r="AV459" s="78">
        <f t="shared" si="53"/>
        <v>30300</v>
      </c>
      <c r="AW459" s="78">
        <f t="shared" si="53"/>
        <v>47464</v>
      </c>
      <c r="AX459" s="78">
        <f t="shared" si="53"/>
        <v>55004</v>
      </c>
      <c r="AY459" s="78">
        <f t="shared" si="53"/>
        <v>0</v>
      </c>
      <c r="AZ459" s="78">
        <f t="shared" si="53"/>
        <v>0</v>
      </c>
      <c r="BA459" s="78">
        <f t="shared" si="53"/>
        <v>47161</v>
      </c>
      <c r="BB459" s="78">
        <f t="shared" si="53"/>
        <v>74117</v>
      </c>
      <c r="BC459" s="78">
        <f t="shared" si="53"/>
        <v>107274</v>
      </c>
      <c r="BD459" s="78">
        <f t="shared" si="53"/>
        <v>0</v>
      </c>
      <c r="BE459" s="78">
        <f t="shared" si="53"/>
        <v>0</v>
      </c>
      <c r="BF459" s="78">
        <f>SUM(BF428:BF457)</f>
        <v>0</v>
      </c>
    </row>
    <row r="462" spans="1:58" x14ac:dyDescent="0.2">
      <c r="A462" s="1" t="s">
        <v>664</v>
      </c>
      <c r="C462" s="42">
        <f>+C459/C425</f>
        <v>0.17226737971842782</v>
      </c>
      <c r="D462" s="42">
        <f>+D459/D425</f>
        <v>0.41223453887209344</v>
      </c>
      <c r="E462" s="42">
        <f t="shared" ref="E462:BD462" si="54">+E459/E425</f>
        <v>0</v>
      </c>
      <c r="F462" s="42">
        <f t="shared" si="54"/>
        <v>0</v>
      </c>
      <c r="G462" s="42">
        <f t="shared" si="54"/>
        <v>0</v>
      </c>
      <c r="H462" s="42">
        <f t="shared" si="54"/>
        <v>7.7142973915570734E-3</v>
      </c>
      <c r="I462" s="42">
        <f t="shared" si="54"/>
        <v>0</v>
      </c>
      <c r="J462" s="42">
        <f t="shared" si="54"/>
        <v>0</v>
      </c>
      <c r="K462" s="42">
        <f t="shared" si="54"/>
        <v>0</v>
      </c>
      <c r="L462" s="42">
        <f>+L459/L425</f>
        <v>0.96160277713100351</v>
      </c>
      <c r="M462" s="42">
        <f t="shared" si="54"/>
        <v>0</v>
      </c>
      <c r="N462" s="42">
        <f t="shared" si="54"/>
        <v>0.11173640897425137</v>
      </c>
      <c r="O462" s="42">
        <f t="shared" si="54"/>
        <v>0</v>
      </c>
      <c r="P462" s="42">
        <f t="shared" si="54"/>
        <v>0.9598748721650725</v>
      </c>
      <c r="Q462" s="42">
        <f t="shared" si="54"/>
        <v>1</v>
      </c>
      <c r="R462" s="42">
        <f t="shared" si="54"/>
        <v>0</v>
      </c>
      <c r="S462" s="42">
        <f t="shared" si="54"/>
        <v>1</v>
      </c>
      <c r="T462" s="42">
        <f t="shared" si="54"/>
        <v>0.74080139234998621</v>
      </c>
      <c r="U462" s="42">
        <f>+U459/U425</f>
        <v>0</v>
      </c>
      <c r="V462" s="42">
        <f t="shared" si="54"/>
        <v>1</v>
      </c>
      <c r="W462" s="42">
        <f t="shared" si="54"/>
        <v>1</v>
      </c>
      <c r="X462" s="42">
        <f t="shared" si="54"/>
        <v>1</v>
      </c>
      <c r="Y462" s="42">
        <f t="shared" si="54"/>
        <v>0.19596626329299596</v>
      </c>
      <c r="Z462" s="42">
        <f t="shared" si="54"/>
        <v>0</v>
      </c>
      <c r="AA462" s="42">
        <f t="shared" si="54"/>
        <v>0</v>
      </c>
      <c r="AB462" s="42">
        <f t="shared" si="54"/>
        <v>1</v>
      </c>
      <c r="AC462" s="42">
        <f t="shared" si="54"/>
        <v>0</v>
      </c>
      <c r="AD462" s="42">
        <f t="shared" si="54"/>
        <v>0</v>
      </c>
      <c r="AE462" s="42">
        <f t="shared" si="54"/>
        <v>0</v>
      </c>
      <c r="AF462" s="42">
        <f t="shared" si="54"/>
        <v>0</v>
      </c>
      <c r="AG462" s="42">
        <f t="shared" si="54"/>
        <v>0</v>
      </c>
      <c r="AH462" s="42">
        <f t="shared" si="54"/>
        <v>1</v>
      </c>
      <c r="AI462" s="42">
        <f t="shared" si="54"/>
        <v>0</v>
      </c>
      <c r="AJ462" s="42">
        <f>+AJ459/AJ425</f>
        <v>0.20648600978112724</v>
      </c>
      <c r="AK462" s="42">
        <f t="shared" si="54"/>
        <v>0</v>
      </c>
      <c r="AL462" s="42">
        <f t="shared" si="54"/>
        <v>0</v>
      </c>
      <c r="AM462" s="42">
        <f t="shared" si="54"/>
        <v>0</v>
      </c>
      <c r="AN462" s="42">
        <f t="shared" si="54"/>
        <v>1</v>
      </c>
      <c r="AO462" s="42">
        <f t="shared" si="54"/>
        <v>0</v>
      </c>
      <c r="AP462" s="42">
        <f t="shared" si="54"/>
        <v>0</v>
      </c>
      <c r="AQ462" s="42">
        <f t="shared" si="54"/>
        <v>0</v>
      </c>
      <c r="AR462" s="42">
        <f t="shared" si="54"/>
        <v>0</v>
      </c>
      <c r="AS462" s="42">
        <f t="shared" si="54"/>
        <v>1</v>
      </c>
      <c r="AT462" s="42">
        <f t="shared" si="54"/>
        <v>1</v>
      </c>
      <c r="AU462" s="42">
        <f t="shared" si="54"/>
        <v>0</v>
      </c>
      <c r="AV462" s="42">
        <f>+AV459/AV425</f>
        <v>0.19284745956886182</v>
      </c>
      <c r="AW462" s="42">
        <f t="shared" si="54"/>
        <v>1</v>
      </c>
      <c r="AX462" s="42">
        <f t="shared" si="54"/>
        <v>1</v>
      </c>
      <c r="AY462" s="42">
        <f t="shared" si="54"/>
        <v>0</v>
      </c>
      <c r="AZ462" s="42">
        <f t="shared" si="54"/>
        <v>0</v>
      </c>
      <c r="BA462" s="42">
        <f t="shared" si="54"/>
        <v>0.66061072979408886</v>
      </c>
      <c r="BB462" s="42">
        <f t="shared" si="54"/>
        <v>1</v>
      </c>
      <c r="BC462" s="42">
        <f t="shared" si="54"/>
        <v>1</v>
      </c>
      <c r="BD462" s="42">
        <f t="shared" si="54"/>
        <v>0</v>
      </c>
      <c r="BE462" s="42">
        <f>+BE459/BE425</f>
        <v>0</v>
      </c>
      <c r="BF462" s="42">
        <f>+BF459/BF425</f>
        <v>0</v>
      </c>
    </row>
    <row r="464" spans="1:58" x14ac:dyDescent="0.2">
      <c r="A464" s="1" t="s">
        <v>564</v>
      </c>
      <c r="C464" s="1">
        <v>2004</v>
      </c>
      <c r="D464" s="1">
        <v>2008</v>
      </c>
      <c r="E464" s="1">
        <v>2004</v>
      </c>
      <c r="F464" s="1">
        <v>2008</v>
      </c>
      <c r="G464" s="1">
        <v>2006</v>
      </c>
      <c r="H464" s="1">
        <v>1997</v>
      </c>
      <c r="I464" s="1">
        <v>2003</v>
      </c>
      <c r="J464" s="1">
        <v>2006</v>
      </c>
      <c r="K464" s="349">
        <v>2004</v>
      </c>
      <c r="L464" s="349">
        <v>2008</v>
      </c>
      <c r="M464" s="349">
        <v>2008</v>
      </c>
      <c r="N464" s="349">
        <v>2007</v>
      </c>
      <c r="O464" s="349">
        <v>2008</v>
      </c>
      <c r="P464" s="349">
        <v>2008</v>
      </c>
      <c r="Q464" s="26">
        <v>2009</v>
      </c>
      <c r="R464" s="349">
        <v>2009</v>
      </c>
      <c r="S464" s="26">
        <v>2009</v>
      </c>
      <c r="T464" s="349">
        <v>2009</v>
      </c>
      <c r="U464" s="26">
        <v>2009</v>
      </c>
      <c r="V464" s="26">
        <v>2009</v>
      </c>
      <c r="W464" s="349">
        <v>2009</v>
      </c>
      <c r="X464" s="349">
        <v>2009</v>
      </c>
      <c r="Y464" s="26">
        <v>2009</v>
      </c>
      <c r="Z464" s="349">
        <v>2009</v>
      </c>
      <c r="AA464" s="349">
        <v>2009</v>
      </c>
      <c r="AB464" s="26">
        <v>2009</v>
      </c>
      <c r="AC464" s="26">
        <v>2009</v>
      </c>
      <c r="AD464" s="26">
        <v>2009</v>
      </c>
      <c r="AE464" s="26">
        <v>2010</v>
      </c>
      <c r="AF464" s="26">
        <v>2009</v>
      </c>
      <c r="AG464" s="349">
        <v>2010</v>
      </c>
      <c r="AH464" s="26">
        <v>2010</v>
      </c>
      <c r="AI464" s="349">
        <v>2009</v>
      </c>
      <c r="AJ464" s="26">
        <v>2009</v>
      </c>
      <c r="AK464" s="26">
        <v>2010</v>
      </c>
      <c r="AL464" s="349">
        <v>2010</v>
      </c>
      <c r="AM464" s="349">
        <v>2009</v>
      </c>
      <c r="AN464" s="26">
        <v>2011</v>
      </c>
      <c r="AO464" s="26">
        <v>2010</v>
      </c>
      <c r="AP464" s="26">
        <v>2011</v>
      </c>
      <c r="AQ464" s="26">
        <v>2009</v>
      </c>
      <c r="AR464" s="26">
        <v>2010</v>
      </c>
      <c r="AS464" s="349">
        <v>2009</v>
      </c>
      <c r="AT464" s="349">
        <v>2010</v>
      </c>
      <c r="AU464" s="26">
        <v>2010</v>
      </c>
      <c r="AV464" s="26">
        <v>2010</v>
      </c>
      <c r="AW464" s="349">
        <v>2010</v>
      </c>
      <c r="AX464" s="349">
        <v>2011</v>
      </c>
      <c r="AY464" s="26">
        <v>2010</v>
      </c>
      <c r="AZ464" s="26">
        <v>2010</v>
      </c>
      <c r="BA464" s="349">
        <v>2010</v>
      </c>
      <c r="BB464" s="26">
        <v>2010</v>
      </c>
      <c r="BC464" s="26">
        <v>2010</v>
      </c>
      <c r="BD464" s="349">
        <v>2010</v>
      </c>
      <c r="BE464" s="349">
        <v>2010</v>
      </c>
      <c r="BF464" s="349">
        <v>2010</v>
      </c>
    </row>
    <row r="466" spans="1:58" x14ac:dyDescent="0.2">
      <c r="A466" s="1" t="s">
        <v>480</v>
      </c>
      <c r="C466" s="1" t="str">
        <f>+IF(C392&gt;'הנחות עבודה'!$D$37,'הנחות עבודה'!$C$37,+IF(C464+1&gt;'הנחות עבודה'!$D$38,+IF(C462&gt;'הנחות עבודה'!$D$35,'הנחות עבודה'!$C$35,IF(C462&lt;'הנחות עבודה'!$D$36,'הנחות עבודה'!$C$34,'הנחות עבודה'!$C$36)),'הנחות עבודה'!$C$34))</f>
        <v>בינוני</v>
      </c>
      <c r="D466" s="1" t="str">
        <f>+IF(D392&gt;'הנחות עבודה'!$D$37,'הנחות עבודה'!$C$37,+IF(D464+1&gt;'הנחות עבודה'!$D$38,+IF(D462&gt;'הנחות עבודה'!$D$35,'הנחות עבודה'!$C$35,IF(D462&lt;'הנחות עבודה'!$D$36,'הנחות עבודה'!$C$34,'הנחות עבודה'!$C$36)),'הנחות עבודה'!$C$34))</f>
        <v>בינוני</v>
      </c>
      <c r="E466" s="1" t="str">
        <f>+IF(E392&gt;'הנחות עבודה'!$D$37,'הנחות עבודה'!$C$37,+IF(E464+1&gt;'הנחות עבודה'!$D$38,+IF(E462&gt;'הנחות עבודה'!$D$35,'הנחות עבודה'!$C$35,IF(E462&lt;'הנחות עבודה'!$D$36,'הנחות עבודה'!$C$34,'הנחות עבודה'!$C$36)),'הנחות עבודה'!$C$34))</f>
        <v xml:space="preserve">חזק </v>
      </c>
      <c r="F466" s="1" t="str">
        <f>+IF(F392&gt;'הנחות עבודה'!$D$37,'הנחות עבודה'!$C$37,+IF(F464+1&gt;'הנחות עבודה'!$D$38,+IF(F462&gt;'הנחות עבודה'!$D$35,'הנחות עבודה'!$C$35,IF(F462&lt;'הנחות עבודה'!$D$36,'הנחות עבודה'!$C$34,'הנחות עבודה'!$C$36)),'הנחות עבודה'!$C$34))</f>
        <v xml:space="preserve">חזק </v>
      </c>
      <c r="G466" s="1" t="str">
        <f>+IF(G392&gt;'הנחות עבודה'!$D$37,'הנחות עבודה'!$C$37,+IF(G464+1&gt;'הנחות עבודה'!$D$38,+IF(G462&gt;'הנחות עבודה'!$D$35,'הנחות עבודה'!$C$35,IF(G462&lt;'הנחות עבודה'!$D$36,'הנחות עבודה'!$C$34,'הנחות עבודה'!$C$36)),'הנחות עבודה'!$C$34))</f>
        <v>חזק מאוד</v>
      </c>
      <c r="H466" s="1" t="s">
        <v>377</v>
      </c>
      <c r="I466" s="1" t="str">
        <f>+IF(I392&gt;'הנחות עבודה'!$D$37,'הנחות עבודה'!$C$37,+IF(I464+1&gt;'הנחות עבודה'!$D$38,+IF(I462&gt;'הנחות עבודה'!$D$35,'הנחות עבודה'!$C$35,IF(I462&lt;'הנחות עבודה'!$D$36,'הנחות עבודה'!$C$34,'הנחות עבודה'!$C$36)),'הנחות עבודה'!$C$34))</f>
        <v xml:space="preserve">חזק </v>
      </c>
      <c r="J466" s="1" t="str">
        <f>+IF(J392&gt;'הנחות עבודה'!$D$37,'הנחות עבודה'!$C$37,+IF(J464+1&gt;'הנחות עבודה'!$D$38,+IF(J462&gt;'הנחות עבודה'!$D$35,'הנחות עבודה'!$C$35,IF(J462&lt;'הנחות עבודה'!$D$36,'הנחות עבודה'!$C$34,'הנחות עבודה'!$C$36)),'הנחות עבודה'!$C$34))</f>
        <v xml:space="preserve">חזק </v>
      </c>
      <c r="K466" s="1" t="str">
        <f>+IF(K392&gt;'הנחות עבודה'!$D$37,'הנחות עבודה'!$C$37,+IF(K464+1&gt;'הנחות עבודה'!$D$38,+IF(K462&gt;'הנחות עבודה'!$D$35,'הנחות עבודה'!$C$35,IF(K462&lt;'הנחות עבודה'!$D$36,'הנחות עבודה'!$C$34,'הנחות עבודה'!$C$36)),'הנחות עבודה'!$C$34))</f>
        <v xml:space="preserve">חזק </v>
      </c>
      <c r="L466" s="1" t="str">
        <f>+IF(L392&gt;'הנחות עבודה'!$D$37,'הנחות עבודה'!$C$37,+IF(L464+1&gt;'הנחות עבודה'!$D$38,+IF(L462&gt;'הנחות עבודה'!$D$35,'הנחות עבודה'!$C$35,IF(L462&lt;'הנחות עבודה'!$D$36,'הנחות עבודה'!$C$34,'הנחות עבודה'!$C$36)),'הנחות עבודה'!$C$34))</f>
        <v>חלש</v>
      </c>
      <c r="M466" s="1" t="str">
        <f>+IF(M392&gt;'הנחות עבודה'!$D$37,'הנחות עבודה'!$C$37,+IF(M464+1&gt;'הנחות עבודה'!$D$38,+IF(M462&gt;'הנחות עבודה'!$D$35,'הנחות עבודה'!$C$35,IF(M462&lt;'הנחות עבודה'!$D$36,'הנחות עבודה'!$C$34,'הנחות עבודה'!$C$36)),'הנחות עבודה'!$C$34))</f>
        <v xml:space="preserve">חזק </v>
      </c>
      <c r="N466" s="1" t="str">
        <f>+IF(N392&gt;'הנחות עבודה'!$D$37,'הנחות עבודה'!$C$37,+IF(N464+1&gt;'הנחות עבודה'!$D$38,+IF(N462&gt;'הנחות עבודה'!$D$35,'הנחות עבודה'!$C$35,IF(N462&lt;'הנחות עבודה'!$D$36,'הנחות עבודה'!$C$34,'הנחות עבודה'!$C$36)),'הנחות עבודה'!$C$34))</f>
        <v>בינוני</v>
      </c>
      <c r="O466" s="1" t="str">
        <f>+IF(O392&gt;'הנחות עבודה'!$D$37,'הנחות עבודה'!$C$37,+IF(O464+1&gt;'הנחות עבודה'!$D$38,+IF(O462&gt;'הנחות עבודה'!$D$35,'הנחות עבודה'!$C$35,IF(O462&lt;'הנחות עבודה'!$D$36,'הנחות עבודה'!$C$34,'הנחות עבודה'!$C$36)),'הנחות עבודה'!$C$34))</f>
        <v xml:space="preserve">חזק </v>
      </c>
      <c r="P466" s="1" t="str">
        <f>+IF(P392&gt;'הנחות עבודה'!$D$37,'הנחות עבודה'!$C$37,+IF(P464+1&gt;'הנחות עבודה'!$D$38,+IF(P462&gt;'הנחות עבודה'!$D$35,'הנחות עבודה'!$C$35,IF(P462&lt;'הנחות עבודה'!$D$36,'הנחות עבודה'!$C$34,'הנחות עבודה'!$C$36)),'הנחות עבודה'!$C$34))</f>
        <v>חלש</v>
      </c>
      <c r="Q466" s="1" t="str">
        <f>+IF(Q392&gt;'הנחות עבודה'!$D$37,'הנחות עבודה'!$C$37,+IF(Q464+1&gt;'הנחות עבודה'!$D$38,+IF(Q462&gt;'הנחות עבודה'!$D$35,'הנחות עבודה'!$C$35,IF(Q462&lt;'הנחות עבודה'!$D$36,'הנחות עבודה'!$C$34,'הנחות עבודה'!$C$36)),'הנחות עבודה'!$C$34))</f>
        <v>חלש</v>
      </c>
      <c r="R466" s="1" t="str">
        <f>+IF(R392&gt;'הנחות עבודה'!$D$37,'הנחות עבודה'!$C$37,+IF(R464+1&gt;'הנחות עבודה'!$D$38,+IF(R462&gt;'הנחות עבודה'!$D$35,'הנחות עבודה'!$C$35,IF(R462&lt;'הנחות עבודה'!$D$36,'הנחות עבודה'!$C$34,'הנחות עבודה'!$C$36)),'הנחות עבודה'!$C$34))</f>
        <v>חזק מאוד</v>
      </c>
      <c r="S466" s="1" t="str">
        <f>+IF(S392&gt;'הנחות עבודה'!$D$37,'הנחות עבודה'!$C$37,+IF(S464+1&gt;'הנחות עבודה'!$D$38,+IF(S462&gt;'הנחות עבודה'!$D$35,'הנחות עבודה'!$C$35,IF(S462&lt;'הנחות עבודה'!$D$36,'הנחות עבודה'!$C$34,'הנחות עבודה'!$C$36)),'הנחות עבודה'!$C$34))</f>
        <v>חלש</v>
      </c>
      <c r="T466" s="1" t="str">
        <f>+IF(T392&gt;'הנחות עבודה'!$D$37,'הנחות עבודה'!$C$37,+IF(T464+1&gt;'הנחות עבודה'!$D$38,+IF(T462&gt;'הנחות עבודה'!$D$35,'הנחות עבודה'!$C$35,IF(T462&lt;'הנחות עבודה'!$D$36,'הנחות עבודה'!$C$34,'הנחות עבודה'!$C$36)),'הנחות עבודה'!$C$34))</f>
        <v>חלש</v>
      </c>
      <c r="U466" s="1" t="str">
        <f>+IF(U392&gt;'הנחות עבודה'!$D$37,'הנחות עבודה'!$C$37,+IF(U464+1&gt;'הנחות עבודה'!$D$38,+IF(U462&gt;'הנחות עבודה'!$D$35,'הנחות עבודה'!$C$35,IF(U462&lt;'הנחות עבודה'!$D$36,'הנחות עבודה'!$C$34,'הנחות עבודה'!$C$36)),'הנחות עבודה'!$C$34))</f>
        <v xml:space="preserve">חזק </v>
      </c>
      <c r="V466" s="1" t="str">
        <f>+IF(V392&gt;'הנחות עבודה'!$D$37,'הנחות עבודה'!$C$37,+IF(V464+1&gt;'הנחות עבודה'!$D$38,+IF(V462&gt;'הנחות עבודה'!$D$35,'הנחות עבודה'!$C$35,IF(V462&lt;'הנחות עבודה'!$D$36,'הנחות עבודה'!$C$34,'הנחות עבודה'!$C$36)),'הנחות עבודה'!$C$34))</f>
        <v>חלש</v>
      </c>
      <c r="W466" s="1" t="str">
        <f>+IF(W392&gt;'הנחות עבודה'!$D$37,'הנחות עבודה'!$C$37,+IF(W464+1&gt;'הנחות עבודה'!$D$38,+IF(W462&gt;'הנחות עבודה'!$D$35,'הנחות עבודה'!$C$35,IF(W462&lt;'הנחות עבודה'!$D$36,'הנחות עבודה'!$C$34,'הנחות עבודה'!$C$36)),'הנחות עבודה'!$C$34))</f>
        <v>חלש</v>
      </c>
      <c r="X466" s="1" t="str">
        <f>+IF(X392&gt;'הנחות עבודה'!$D$37,'הנחות עבודה'!$C$37,+IF(X464+1&gt;'הנחות עבודה'!$D$38,+IF(X462&gt;'הנחות עבודה'!$D$35,'הנחות עבודה'!$C$35,IF(X462&lt;'הנחות עבודה'!$D$36,'הנחות עבודה'!$C$34,'הנחות עבודה'!$C$36)),'הנחות עבודה'!$C$34))</f>
        <v>חלש</v>
      </c>
      <c r="Y466" s="1" t="str">
        <f>+IF(Y392&gt;'הנחות עבודה'!$D$37,'הנחות עבודה'!$C$37,+IF(Y464+1&gt;'הנחות עבודה'!$D$38,+IF(Y462&gt;'הנחות עבודה'!$D$35,'הנחות עבודה'!$C$35,IF(Y462&lt;'הנחות עבודה'!$D$36,'הנחות עבודה'!$C$34,'הנחות עבודה'!$C$36)),'הנחות עבודה'!$C$34))</f>
        <v>בינוני</v>
      </c>
      <c r="Z466" s="1" t="str">
        <f>+IF(Z392&gt;'הנחות עבודה'!$D$37,'הנחות עבודה'!$C$37,+IF(Z464+1&gt;'הנחות עבודה'!$D$38,+IF(Z462&gt;'הנחות עבודה'!$D$35,'הנחות עבודה'!$C$35,IF(Z462&lt;'הנחות עבודה'!$D$36,'הנחות עבודה'!$C$34,'הנחות עבודה'!$C$36)),'הנחות עבודה'!$C$34))</f>
        <v xml:space="preserve">חזק </v>
      </c>
      <c r="AA466" s="1" t="str">
        <f>+IF(AA392&gt;'הנחות עבודה'!$D$37,'הנחות עבודה'!$C$37,+IF(AA464+1&gt;'הנחות עבודה'!$D$38,+IF(AA462&gt;'הנחות עבודה'!$D$35,'הנחות עבודה'!$C$35,IF(AA462&lt;'הנחות עבודה'!$D$36,'הנחות עבודה'!$C$34,'הנחות עבודה'!$C$36)),'הנחות עבודה'!$C$34))</f>
        <v>חזק מאוד</v>
      </c>
      <c r="AB466" s="1" t="str">
        <f>+IF(AB392&gt;'הנחות עבודה'!$D$37,'הנחות עבודה'!$C$37,+IF(AB464+1&gt;'הנחות עבודה'!$D$38,+IF(AB462&gt;'הנחות עבודה'!$D$35,'הנחות עבודה'!$C$35,IF(AB462&lt;'הנחות עבודה'!$D$36,'הנחות עבודה'!$C$34,'הנחות עבודה'!$C$36)),'הנחות עבודה'!$C$34))</f>
        <v>חלש</v>
      </c>
      <c r="AC466" s="1" t="str">
        <f>+IF(AC392&gt;'הנחות עבודה'!$D$37,'הנחות עבודה'!$C$37,+IF(AC464+1&gt;'הנחות עבודה'!$D$38,+IF(AC462&gt;'הנחות עבודה'!$D$35,'הנחות עבודה'!$C$35,IF(AC462&lt;'הנחות עבודה'!$D$36,'הנחות עבודה'!$C$34,'הנחות עבודה'!$C$36)),'הנחות עבודה'!$C$34))</f>
        <v>חזק מאוד</v>
      </c>
      <c r="AD466" s="1" t="str">
        <f>+IF(AD392&gt;'הנחות עבודה'!$D$37,'הנחות עבודה'!$C$37,+IF(AD464+1&gt;'הנחות עבודה'!$D$38,+IF(AD462&gt;'הנחות עבודה'!$D$35,'הנחות עבודה'!$C$35,IF(AD462&lt;'הנחות עבודה'!$D$36,'הנחות עבודה'!$C$34,'הנחות עבודה'!$C$36)),'הנחות עבודה'!$C$34))</f>
        <v>חזק מאוד</v>
      </c>
      <c r="AE466" s="1" t="str">
        <f>+IF(AE392&gt;'הנחות עבודה'!$D$37,'הנחות עבודה'!$C$37,+IF(AE464+1&gt;'הנחות עבודה'!$D$38,+IF(AE462&gt;'הנחות עבודה'!$D$35,'הנחות עבודה'!$C$35,IF(AE462&lt;'הנחות עבודה'!$D$36,'הנחות עבודה'!$C$34,'הנחות עבודה'!$C$36)),'הנחות עבודה'!$C$34))</f>
        <v>חזק מאוד</v>
      </c>
      <c r="AF466" s="1" t="str">
        <f>+IF(AF392&gt;'הנחות עבודה'!$D$37,'הנחות עבודה'!$C$37,+IF(AF464+1&gt;'הנחות עבודה'!$D$38,+IF(AF462&gt;'הנחות עבודה'!$D$35,'הנחות עבודה'!$C$35,IF(AF462&lt;'הנחות עבודה'!$D$36,'הנחות עבודה'!$C$34,'הנחות עבודה'!$C$36)),'הנחות עבודה'!$C$34))</f>
        <v xml:space="preserve">חזק </v>
      </c>
      <c r="AG466" s="1" t="str">
        <f>+IF(AG392&gt;'הנחות עבודה'!$D$37,'הנחות עבודה'!$C$37,+IF(AG464+1&gt;'הנחות עבודה'!$D$38,+IF(AG462&gt;'הנחות עבודה'!$D$35,'הנחות עבודה'!$C$35,IF(AG462&lt;'הנחות עבודה'!$D$36,'הנחות עבודה'!$C$34,'הנחות עבודה'!$C$36)),'הנחות עבודה'!$C$34))</f>
        <v xml:space="preserve">חזק </v>
      </c>
      <c r="AH466" s="1" t="str">
        <f>+IF(AH392&gt;'הנחות עבודה'!$D$37,'הנחות עבודה'!$C$37,+IF(AH464+1&gt;'הנחות עבודה'!$D$38,+IF(AH462&gt;'הנחות עבודה'!$D$35,'הנחות עבודה'!$C$35,IF(AH462&lt;'הנחות עבודה'!$D$36,'הנחות עבודה'!$C$34,'הנחות עבודה'!$C$36)),'הנחות עבודה'!$C$34))</f>
        <v>חלש</v>
      </c>
      <c r="AI466" s="1" t="str">
        <f>+IF(AI392&gt;'הנחות עבודה'!$D$37,'הנחות עבודה'!$C$37,+IF(AI464+1&gt;'הנחות עבודה'!$D$38,+IF(AI462&gt;'הנחות עבודה'!$D$35,'הנחות עבודה'!$C$35,IF(AI462&lt;'הנחות עבודה'!$D$36,'הנחות עבודה'!$C$34,'הנחות עבודה'!$C$36)),'הנחות עבודה'!$C$34))</f>
        <v xml:space="preserve">חזק </v>
      </c>
      <c r="AJ466" s="1" t="str">
        <f>+IF(AJ392&gt;'הנחות עבודה'!$D$37,'הנחות עבודה'!$C$37,+IF(AJ464+1&gt;'הנחות עבודה'!$D$38,+IF(AJ462&gt;'הנחות עבודה'!$D$35,'הנחות עבודה'!$C$35,IF(AJ462&lt;'הנחות עבודה'!$D$36,'הנחות עבודה'!$C$34,'הנחות עבודה'!$C$36)),'הנחות עבודה'!$C$34))</f>
        <v>בינוני</v>
      </c>
      <c r="AK466" s="1" t="str">
        <f>+IF(AK392&gt;'הנחות עבודה'!$D$37,'הנחות עבודה'!$C$37,+IF(AK464+1&gt;'הנחות עבודה'!$D$38,+IF(AK462&gt;'הנחות עבודה'!$D$35,'הנחות עבודה'!$C$35,IF(AK462&lt;'הנחות עבודה'!$D$36,'הנחות עבודה'!$C$34,'הנחות עבודה'!$C$36)),'הנחות עבודה'!$C$34))</f>
        <v xml:space="preserve">חזק </v>
      </c>
      <c r="AL466" s="1" t="str">
        <f>+IF(AL392&gt;'הנחות עבודה'!$D$37,'הנחות עבודה'!$C$37,+IF(AL464+1&gt;'הנחות עבודה'!$D$38,+IF(AL462&gt;'הנחות עבודה'!$D$35,'הנחות עבודה'!$C$35,IF(AL462&lt;'הנחות עבודה'!$D$36,'הנחות עבודה'!$C$34,'הנחות עבודה'!$C$36)),'הנחות עבודה'!$C$34))</f>
        <v>חזק מאוד</v>
      </c>
      <c r="AM466" s="1" t="str">
        <f>+IF(AM392&gt;'הנחות עבודה'!$D$37,'הנחות עבודה'!$C$37,+IF(AM464+1&gt;'הנחות עבודה'!$D$38,+IF(AM462&gt;'הנחות עבודה'!$D$35,'הנחות עבודה'!$C$35,IF(AM462&lt;'הנחות עבודה'!$D$36,'הנחות עבודה'!$C$34,'הנחות עבודה'!$C$36)),'הנחות עבודה'!$C$34))</f>
        <v>חזק מאוד</v>
      </c>
      <c r="AN466" s="1" t="str">
        <f>+IF(AN392&gt;'הנחות עבודה'!$D$37,'הנחות עבודה'!$C$37,+IF(AN464+1&gt;'הנחות עבודה'!$D$38,+IF(AN462&gt;'הנחות עבודה'!$D$35,'הנחות עבודה'!$C$35,IF(AN462&lt;'הנחות עבודה'!$D$36,'הנחות עבודה'!$C$34,'הנחות עבודה'!$C$36)),'הנחות עבודה'!$C$34))</f>
        <v>חלש</v>
      </c>
      <c r="AO466" s="1" t="str">
        <f>+IF(AO392&gt;'הנחות עבודה'!$D$37,'הנחות עבודה'!$C$37,+IF(AO464+1&gt;'הנחות עבודה'!$D$38,+IF(AO462&gt;'הנחות עבודה'!$D$35,'הנחות עבודה'!$C$35,IF(AO462&lt;'הנחות עבודה'!$D$36,'הנחות עבודה'!$C$34,'הנחות עבודה'!$C$36)),'הנחות עבודה'!$C$34))</f>
        <v>חזק מאוד</v>
      </c>
      <c r="AP466" s="1" t="str">
        <f>+IF(AP392&gt;'הנחות עבודה'!$D$37,'הנחות עבודה'!$C$37,+IF(AP464+1&gt;'הנחות עבודה'!$D$38,+IF(AP462&gt;'הנחות עבודה'!$D$35,'הנחות עבודה'!$C$35,IF(AP462&lt;'הנחות עבודה'!$D$36,'הנחות עבודה'!$C$34,'הנחות עבודה'!$C$36)),'הנחות עבודה'!$C$34))</f>
        <v>חזק מאוד</v>
      </c>
      <c r="AQ466" s="1" t="str">
        <f>+IF(AQ392&gt;'הנחות עבודה'!$D$37,'הנחות עבודה'!$C$37,+IF(AQ464+1&gt;'הנחות עבודה'!$D$38,+IF(AQ462&gt;'הנחות עבודה'!$D$35,'הנחות עבודה'!$C$35,IF(AQ462&lt;'הנחות עבודה'!$D$36,'הנחות עבודה'!$C$34,'הנחות עבודה'!$C$36)),'הנחות עבודה'!$C$34))</f>
        <v xml:space="preserve">חזק </v>
      </c>
      <c r="AR466" s="1" t="str">
        <f>+IF(AR392&gt;'הנחות עבודה'!$D$37,'הנחות עבודה'!$C$37,+IF(AR464+1&gt;'הנחות עבודה'!$D$38,+IF(AR462&gt;'הנחות עבודה'!$D$35,'הנחות עבודה'!$C$35,IF(AR462&lt;'הנחות עבודה'!$D$36,'הנחות עבודה'!$C$34,'הנחות עבודה'!$C$36)),'הנחות עבודה'!$C$34))</f>
        <v>חזק מאוד</v>
      </c>
      <c r="AS466" s="1" t="str">
        <f>+IF(AS392&gt;'הנחות עבודה'!$D$37,'הנחות עבודה'!$C$37,+IF(AS464+1&gt;'הנחות עבודה'!$D$38,+IF(AS462&gt;'הנחות עבודה'!$D$35,'הנחות עבודה'!$C$35,IF(AS462&lt;'הנחות עבודה'!$D$36,'הנחות עבודה'!$C$34,'הנחות עבודה'!$C$36)),'הנחות עבודה'!$C$34))</f>
        <v>חלש</v>
      </c>
      <c r="AT466" s="1" t="str">
        <f>+IF(AT392&gt;'הנחות עבודה'!$D$37,'הנחות עבודה'!$C$37,+IF(AT464+1&gt;'הנחות עבודה'!$D$38,+IF(AT462&gt;'הנחות עבודה'!$D$35,'הנחות עבודה'!$C$35,IF(AT462&lt;'הנחות עבודה'!$D$36,'הנחות עבודה'!$C$34,'הנחות עבודה'!$C$36)),'הנחות עבודה'!$C$34))</f>
        <v>חלש</v>
      </c>
      <c r="AU466" s="1" t="str">
        <f>+IF(AU392&gt;'הנחות עבודה'!$D$37,'הנחות עבודה'!$C$37,+IF(AU464+1&gt;'הנחות עבודה'!$D$38,+IF(AU462&gt;'הנחות עבודה'!$D$35,'הנחות עבודה'!$C$35,IF(AU462&lt;'הנחות עבודה'!$D$36,'הנחות עבודה'!$C$34,'הנחות עבודה'!$C$36)),'הנחות עבודה'!$C$34))</f>
        <v>חזק מאוד</v>
      </c>
      <c r="AV466" s="1" t="str">
        <f>+IF(AV392&gt;'הנחות עבודה'!$D$37,'הנחות עבודה'!$C$37,+IF(AV464+1&gt;'הנחות עבודה'!$D$38,+IF(AV462&gt;'הנחות עבודה'!$D$35,'הנחות עבודה'!$C$35,IF(AV462&lt;'הנחות עבודה'!$D$36,'הנחות עבודה'!$C$34,'הנחות עבודה'!$C$36)),'הנחות עבודה'!$C$34))</f>
        <v>בינוני</v>
      </c>
      <c r="AW466" s="1" t="str">
        <f>+IF(AW392&gt;'הנחות עבודה'!$D$37,'הנחות עבודה'!$C$37,+IF(AW464+1&gt;'הנחות עבודה'!$D$38,+IF(AW462&gt;'הנחות עבודה'!$D$35,'הנחות עבודה'!$C$35,IF(AW462&lt;'הנחות עבודה'!$D$36,'הנחות עבודה'!$C$34,'הנחות עבודה'!$C$36)),'הנחות עבודה'!$C$34))</f>
        <v>חלש</v>
      </c>
      <c r="AX466" s="1" t="str">
        <f>+IF(AX392&gt;'הנחות עבודה'!$D$37,'הנחות עבודה'!$C$37,+IF(AX464+1&gt;'הנחות עבודה'!$D$38,+IF(AX462&gt;'הנחות עבודה'!$D$35,'הנחות עבודה'!$C$35,IF(AX462&lt;'הנחות עבודה'!$D$36,'הנחות עבודה'!$C$34,'הנחות עבודה'!$C$36)),'הנחות עבודה'!$C$34))</f>
        <v>חלש</v>
      </c>
      <c r="AY466" s="1" t="str">
        <f>+IF(AY392&gt;'הנחות עבודה'!$D$37,'הנחות עבודה'!$C$37,+IF(AY464+1&gt;'הנחות עבודה'!$D$38,+IF(AY462&gt;'הנחות עבודה'!$D$35,'הנחות עבודה'!$C$35,IF(AY462&lt;'הנחות עבודה'!$D$36,'הנחות עבודה'!$C$34,'הנחות עבודה'!$C$36)),'הנחות עבודה'!$C$34))</f>
        <v xml:space="preserve">חזק </v>
      </c>
      <c r="AZ466" s="1" t="str">
        <f>+IF(AZ392&gt;'הנחות עבודה'!$D$37,'הנחות עבודה'!$C$37,+IF(AZ464+1&gt;'הנחות עבודה'!$D$38,+IF(AZ462&gt;'הנחות עבודה'!$D$35,'הנחות עבודה'!$C$35,IF(AZ462&lt;'הנחות עבודה'!$D$36,'הנחות עבודה'!$C$34,'הנחות עבודה'!$C$36)),'הנחות עבודה'!$C$34))</f>
        <v>חזק מאוד</v>
      </c>
      <c r="BA466" s="1" t="str">
        <f>+IF(BA392&gt;'הנחות עבודה'!$D$37,'הנחות עבודה'!$C$37,+IF(BA464+1&gt;'הנחות עבודה'!$D$38,+IF(BA462&gt;'הנחות עבודה'!$D$35,'הנחות עבודה'!$C$35,IF(BA462&lt;'הנחות עבודה'!$D$36,'הנחות עבודה'!$C$34,'הנחות עבודה'!$C$36)),'הנחות עבודה'!$C$34))</f>
        <v>חלש</v>
      </c>
      <c r="BB466" s="1" t="str">
        <f>+IF(BB392&gt;'הנחות עבודה'!$D$37,'הנחות עבודה'!$C$37,+IF(BB464+1&gt;'הנחות עבודה'!$D$38,+IF(BB462&gt;'הנחות עבודה'!$D$35,'הנחות עבודה'!$C$35,IF(BB462&lt;'הנחות עבודה'!$D$36,'הנחות עבודה'!$C$34,'הנחות עבודה'!$C$36)),'הנחות עבודה'!$C$34))</f>
        <v>חלש</v>
      </c>
      <c r="BC466" s="1" t="str">
        <f>+IF(BC392&gt;'הנחות עבודה'!$D$37,'הנחות עבודה'!$C$37,+IF(BC464+1&gt;'הנחות עבודה'!$D$38,+IF(BC462&gt;'הנחות עבודה'!$D$35,'הנחות עבודה'!$C$35,IF(BC462&lt;'הנחות עבודה'!$D$36,'הנחות עבודה'!$C$34,'הנחות עבודה'!$C$36)),'הנחות עבודה'!$C$34))</f>
        <v>חלש</v>
      </c>
      <c r="BD466" s="1" t="str">
        <f>+IF(BD392&gt;'הנחות עבודה'!$D$37,'הנחות עבודה'!$C$37,+IF(BD464+1&gt;'הנחות עבודה'!$D$38,+IF(BD462&gt;'הנחות עבודה'!$D$35,'הנחות עבודה'!$C$35,IF(BD462&lt;'הנחות עבודה'!$D$36,'הנחות עבודה'!$C$34,'הנחות עבודה'!$C$36)),'הנחות עבודה'!$C$34))</f>
        <v>חזק מאוד</v>
      </c>
      <c r="BE466" s="1" t="str">
        <f>+IF(BE392&gt;'הנחות עבודה'!$D$37,'הנחות עבודה'!$C$37,+IF(BE464+1&gt;'הנחות עבודה'!$D$38,+IF(BE462&gt;'הנחות עבודה'!$D$35,'הנחות עבודה'!$C$35,IF(BE462&lt;'הנחות עבודה'!$D$36,'הנחות עבודה'!$C$34,'הנחות עבודה'!$C$36)),'הנחות עבודה'!$C$34))</f>
        <v>חזק מאוד</v>
      </c>
      <c r="BF466" s="1" t="str">
        <f>+IF(BF392&gt;'הנחות עבודה'!$D$37,'הנחות עבודה'!$C$37,+IF(BF464+1&gt;'הנחות עבודה'!$D$38,+IF(BF462&gt;'הנחות עבודה'!$D$35,'הנחות עבודה'!$C$35,IF(BF462&lt;'הנחות עבודה'!$D$36,'הנחות עבודה'!$C$34,'הנחות עבודה'!$C$36)),'הנחות עבודה'!$C$34))</f>
        <v xml:space="preserve">חזק </v>
      </c>
    </row>
    <row r="468" spans="1:58" x14ac:dyDescent="0.2">
      <c r="A468" s="1" t="s">
        <v>798</v>
      </c>
      <c r="C468" s="352">
        <f>+'הנחות עבודה'!$D$16</f>
        <v>0.7</v>
      </c>
      <c r="D468" s="352">
        <f>+'הנחות עבודה'!$D$16</f>
        <v>0.7</v>
      </c>
      <c r="E468" s="352">
        <f>+'הנחות עבודה'!$D$16</f>
        <v>0.7</v>
      </c>
      <c r="F468" s="352">
        <f>+'הנחות עבודה'!$D$16</f>
        <v>0.7</v>
      </c>
      <c r="G468" s="352">
        <f>+'הנחות עבודה'!$D$16</f>
        <v>0.7</v>
      </c>
      <c r="H468" s="352">
        <f>+'הנחות עבודה'!$D$16</f>
        <v>0.7</v>
      </c>
      <c r="I468" s="352">
        <f>+'הנחות עבודה'!$D$16</f>
        <v>0.7</v>
      </c>
      <c r="J468" s="352">
        <f>+'הנחות עבודה'!$D$16</f>
        <v>0.7</v>
      </c>
      <c r="K468" s="352">
        <f>+'הנחות עבודה'!$D$16</f>
        <v>0.7</v>
      </c>
      <c r="L468" s="352">
        <f>+'הנחות עבודה'!$D$16</f>
        <v>0.7</v>
      </c>
      <c r="M468" s="352">
        <f>+'הנחות עבודה'!$D$16</f>
        <v>0.7</v>
      </c>
      <c r="N468" s="352">
        <f>+'הנחות עבודה'!$D$16</f>
        <v>0.7</v>
      </c>
      <c r="O468" s="352">
        <f>+'הנחות עבודה'!$D$16</f>
        <v>0.7</v>
      </c>
      <c r="P468" s="352">
        <f>+'הנחות עבודה'!$D$16</f>
        <v>0.7</v>
      </c>
      <c r="Q468" s="352">
        <f>+'הנחות עבודה'!$D$16</f>
        <v>0.7</v>
      </c>
      <c r="R468" s="352">
        <f>+'הנחות עבודה'!$D$16</f>
        <v>0.7</v>
      </c>
      <c r="S468" s="352">
        <f>+'הנחות עבודה'!$D$16</f>
        <v>0.7</v>
      </c>
      <c r="T468" s="352">
        <f>+'הנחות עבודה'!$D$16</f>
        <v>0.7</v>
      </c>
      <c r="U468" s="352">
        <f>+'הנחות עבודה'!$D$16</f>
        <v>0.7</v>
      </c>
      <c r="V468" s="352">
        <f>+'הנחות עבודה'!$D$16</f>
        <v>0.7</v>
      </c>
      <c r="W468" s="352">
        <f>+'הנחות עבודה'!$D$16</f>
        <v>0.7</v>
      </c>
      <c r="X468" s="352">
        <f>+'הנחות עבודה'!$D$16</f>
        <v>0.7</v>
      </c>
      <c r="Y468" s="352">
        <f>+'הנחות עבודה'!$D$16</f>
        <v>0.7</v>
      </c>
      <c r="Z468" s="352">
        <f>+'הנחות עבודה'!$D$16</f>
        <v>0.7</v>
      </c>
      <c r="AA468" s="352">
        <f>+'הנחות עבודה'!$D$16</f>
        <v>0.7</v>
      </c>
      <c r="AB468" s="352">
        <f>+'הנחות עבודה'!$D$16</f>
        <v>0.7</v>
      </c>
      <c r="AC468" s="352">
        <f>+'הנחות עבודה'!$D$16</f>
        <v>0.7</v>
      </c>
      <c r="AD468" s="352">
        <f>+'הנחות עבודה'!$D$16</f>
        <v>0.7</v>
      </c>
      <c r="AE468" s="352">
        <f>+'הנחות עבודה'!$D$16</f>
        <v>0.7</v>
      </c>
      <c r="AF468" s="352">
        <f>+'הנחות עבודה'!$D$16</f>
        <v>0.7</v>
      </c>
      <c r="AG468" s="352">
        <f>+'הנחות עבודה'!$D$16</f>
        <v>0.7</v>
      </c>
      <c r="AH468" s="352">
        <f>+'הנחות עבודה'!$D$16</f>
        <v>0.7</v>
      </c>
      <c r="AI468" s="352">
        <f>+'הנחות עבודה'!$D$16</f>
        <v>0.7</v>
      </c>
      <c r="AJ468" s="352">
        <f>+'הנחות עבודה'!$D$16</f>
        <v>0.7</v>
      </c>
      <c r="AK468" s="352">
        <f>+'הנחות עבודה'!$D$16</f>
        <v>0.7</v>
      </c>
      <c r="AL468" s="352">
        <f>+'הנחות עבודה'!$D$16</f>
        <v>0.7</v>
      </c>
      <c r="AM468" s="352">
        <f>+'הנחות עבודה'!$D$16</f>
        <v>0.7</v>
      </c>
      <c r="AN468" s="352">
        <f>+'הנחות עבודה'!$D$16</f>
        <v>0.7</v>
      </c>
      <c r="AO468" s="352">
        <f>+'הנחות עבודה'!$D$16</f>
        <v>0.7</v>
      </c>
      <c r="AP468" s="352">
        <f>+'הנחות עבודה'!$D$16</f>
        <v>0.7</v>
      </c>
      <c r="AQ468" s="352">
        <f>+'הנחות עבודה'!$D$16</f>
        <v>0.7</v>
      </c>
      <c r="AR468" s="352">
        <f>+'הנחות עבודה'!$D$16</f>
        <v>0.7</v>
      </c>
      <c r="AS468" s="352">
        <f>+'הנחות עבודה'!$D$16</f>
        <v>0.7</v>
      </c>
      <c r="AT468" s="352">
        <f>+'הנחות עבודה'!$D$16</f>
        <v>0.7</v>
      </c>
      <c r="AU468" s="352">
        <f>+'הנחות עבודה'!$D$16</f>
        <v>0.7</v>
      </c>
      <c r="AV468" s="352">
        <f>+'הנחות עבודה'!$D$16</f>
        <v>0.7</v>
      </c>
      <c r="AW468" s="352">
        <f>+'הנחות עבודה'!$D$16</f>
        <v>0.7</v>
      </c>
      <c r="AX468" s="352">
        <f>+'הנחות עבודה'!$D$16</f>
        <v>0.7</v>
      </c>
      <c r="AY468" s="352">
        <f>+'הנחות עבודה'!$D$16</f>
        <v>0.7</v>
      </c>
      <c r="AZ468" s="352">
        <f>+'הנחות עבודה'!$D$16</f>
        <v>0.7</v>
      </c>
      <c r="BA468" s="352">
        <f>+'הנחות עבודה'!$D$16</f>
        <v>0.7</v>
      </c>
      <c r="BB468" s="352">
        <f>+'הנחות עבודה'!$D$16</f>
        <v>0.7</v>
      </c>
      <c r="BC468" s="352">
        <f>+'הנחות עבודה'!$D$16</f>
        <v>0.7</v>
      </c>
      <c r="BD468" s="352">
        <f>+'הנחות עבודה'!$D$16</f>
        <v>0.7</v>
      </c>
      <c r="BE468" s="352">
        <f>+'הנחות עבודה'!$D$16</f>
        <v>0.7</v>
      </c>
      <c r="BF468" s="352">
        <f>+'הנחות עבודה'!$D$16</f>
        <v>0.7</v>
      </c>
    </row>
    <row r="469" spans="1:58" x14ac:dyDescent="0.2">
      <c r="A469" s="1" t="s">
        <v>799</v>
      </c>
      <c r="C469" s="352">
        <v>0.31</v>
      </c>
      <c r="D469" s="352">
        <v>0.6</v>
      </c>
      <c r="E469" s="352">
        <v>0.55000000000000004</v>
      </c>
      <c r="F469" s="352">
        <v>0.4</v>
      </c>
      <c r="G469" s="352">
        <v>0.3</v>
      </c>
      <c r="H469" s="352">
        <v>0.19700000000000001</v>
      </c>
      <c r="I469" s="352">
        <v>0.5</v>
      </c>
      <c r="J469" s="352">
        <v>0.4</v>
      </c>
      <c r="K469" s="352">
        <v>0.4</v>
      </c>
      <c r="L469" s="352">
        <v>0.4</v>
      </c>
      <c r="M469" s="352">
        <v>0.35</v>
      </c>
      <c r="N469" s="352">
        <v>0.4</v>
      </c>
      <c r="O469" s="352">
        <v>0.4</v>
      </c>
      <c r="P469" s="352">
        <v>0.4</v>
      </c>
      <c r="Q469" s="27">
        <v>0.3</v>
      </c>
      <c r="R469" s="352">
        <v>0.4</v>
      </c>
      <c r="S469" s="27">
        <v>0.3</v>
      </c>
      <c r="T469" s="352">
        <v>0.4</v>
      </c>
      <c r="U469" s="27">
        <v>0.3</v>
      </c>
      <c r="V469" s="27">
        <v>0.4</v>
      </c>
      <c r="W469" s="352">
        <v>0.4</v>
      </c>
      <c r="X469" s="352">
        <v>0.4</v>
      </c>
      <c r="Y469" s="27">
        <v>0.4</v>
      </c>
      <c r="Z469" s="352">
        <v>0.3</v>
      </c>
      <c r="AA469" s="352">
        <v>0.3</v>
      </c>
      <c r="AB469" s="27">
        <v>0.3</v>
      </c>
      <c r="AC469" s="27">
        <v>0.35</v>
      </c>
      <c r="AD469" s="27">
        <v>0.3</v>
      </c>
      <c r="AE469" s="27">
        <v>0.4</v>
      </c>
      <c r="AF469" s="27">
        <v>0.4</v>
      </c>
      <c r="AG469" s="352">
        <v>0.3</v>
      </c>
      <c r="AH469" s="27">
        <v>0.3</v>
      </c>
      <c r="AI469" s="352">
        <v>0.3</v>
      </c>
      <c r="AJ469" s="27">
        <v>0.4</v>
      </c>
      <c r="AK469" s="27">
        <v>0.3</v>
      </c>
      <c r="AL469" s="352">
        <v>0.4</v>
      </c>
      <c r="AM469" s="352">
        <v>0.4</v>
      </c>
      <c r="AN469" s="27">
        <v>0.4</v>
      </c>
      <c r="AO469" s="27">
        <v>0.3</v>
      </c>
      <c r="AP469" s="27">
        <v>0.3</v>
      </c>
      <c r="AQ469" s="27">
        <v>0.3</v>
      </c>
      <c r="AR469" s="27">
        <v>0.4</v>
      </c>
      <c r="AS469" s="352">
        <v>0.4</v>
      </c>
      <c r="AT469" s="352">
        <v>0.3</v>
      </c>
      <c r="AU469" s="27">
        <v>0.3</v>
      </c>
      <c r="AV469" s="27">
        <v>0.4</v>
      </c>
      <c r="AW469" s="352">
        <v>0.3</v>
      </c>
      <c r="AX469" s="352">
        <v>0.4</v>
      </c>
      <c r="AY469" s="27">
        <v>0.3</v>
      </c>
      <c r="AZ469" s="27">
        <v>0.4</v>
      </c>
      <c r="BA469" s="352">
        <v>0.4</v>
      </c>
      <c r="BB469" s="27">
        <v>0.4</v>
      </c>
      <c r="BC469" s="27">
        <v>0.4</v>
      </c>
      <c r="BD469" s="352">
        <v>0.4</v>
      </c>
      <c r="BE469" s="352">
        <v>0.4</v>
      </c>
      <c r="BF469" s="352">
        <v>0.4</v>
      </c>
    </row>
    <row r="472" spans="1:58" x14ac:dyDescent="0.2">
      <c r="A472" s="46" t="s">
        <v>665</v>
      </c>
      <c r="C472" s="504">
        <f>+C958</f>
        <v>882.53500000000008</v>
      </c>
      <c r="D472" s="504">
        <f t="shared" ref="D472:BF472" si="55">+D958</f>
        <v>263.68100000000004</v>
      </c>
      <c r="E472" s="504">
        <f t="shared" si="55"/>
        <v>324.185</v>
      </c>
      <c r="F472" s="504">
        <f t="shared" si="55"/>
        <v>192.315</v>
      </c>
      <c r="G472" s="504">
        <f t="shared" si="55"/>
        <v>325.93099999999998</v>
      </c>
      <c r="H472" s="504">
        <f t="shared" si="55"/>
        <v>553.48500000000001</v>
      </c>
      <c r="I472" s="504">
        <f t="shared" si="55"/>
        <v>781.22799999999995</v>
      </c>
      <c r="J472" s="504">
        <f t="shared" si="55"/>
        <v>337.57499999999999</v>
      </c>
      <c r="K472" s="504">
        <f t="shared" si="55"/>
        <v>327.93200000000002</v>
      </c>
      <c r="L472" s="504">
        <f t="shared" si="55"/>
        <v>166.13300000000001</v>
      </c>
      <c r="M472" s="504">
        <f t="shared" si="55"/>
        <v>686.74099999999999</v>
      </c>
      <c r="N472" s="504">
        <f t="shared" si="55"/>
        <v>934.59099999999989</v>
      </c>
      <c r="O472" s="504">
        <f t="shared" si="55"/>
        <v>325.572</v>
      </c>
      <c r="P472" s="504">
        <f t="shared" si="55"/>
        <v>366.58199999999999</v>
      </c>
      <c r="Q472" s="504">
        <f t="shared" si="55"/>
        <v>619.61300000000006</v>
      </c>
      <c r="R472" s="504">
        <f t="shared" si="55"/>
        <v>218.55</v>
      </c>
      <c r="S472" s="504">
        <f t="shared" si="55"/>
        <v>224.06399999999999</v>
      </c>
      <c r="T472" s="504">
        <f t="shared" si="55"/>
        <v>227.24599999999998</v>
      </c>
      <c r="U472" s="504">
        <f t="shared" si="55"/>
        <v>329.23700000000002</v>
      </c>
      <c r="V472" s="504">
        <f t="shared" si="55"/>
        <v>77.144000000000005</v>
      </c>
      <c r="W472" s="504">
        <f t="shared" si="55"/>
        <v>362.38499999999999</v>
      </c>
      <c r="X472" s="504">
        <f t="shared" si="55"/>
        <v>289.61500000000001</v>
      </c>
      <c r="Y472" s="504">
        <f t="shared" si="55"/>
        <v>88.356999999999985</v>
      </c>
      <c r="Z472" s="504">
        <f t="shared" si="55"/>
        <v>43.951999999999998</v>
      </c>
      <c r="AA472" s="504">
        <f t="shared" si="55"/>
        <v>114.905</v>
      </c>
      <c r="AB472" s="504">
        <f t="shared" si="55"/>
        <v>123.56100000000001</v>
      </c>
      <c r="AC472" s="504">
        <f t="shared" si="55"/>
        <v>477.03399999999999</v>
      </c>
      <c r="AD472" s="504">
        <f t="shared" si="55"/>
        <v>137.14699999999999</v>
      </c>
      <c r="AE472" s="504">
        <f t="shared" si="55"/>
        <v>2131.62</v>
      </c>
      <c r="AF472" s="504">
        <f t="shared" si="55"/>
        <v>201.16</v>
      </c>
      <c r="AG472" s="504">
        <f t="shared" si="55"/>
        <v>144.37899999999999</v>
      </c>
      <c r="AH472" s="504">
        <f t="shared" si="55"/>
        <v>138.916</v>
      </c>
      <c r="AI472" s="504">
        <f t="shared" si="55"/>
        <v>107.675</v>
      </c>
      <c r="AJ472" s="504">
        <f t="shared" si="55"/>
        <v>286.89499999999998</v>
      </c>
      <c r="AK472" s="504">
        <f t="shared" si="55"/>
        <v>146.25</v>
      </c>
      <c r="AL472" s="504">
        <f t="shared" si="55"/>
        <v>753.81899999999996</v>
      </c>
      <c r="AM472" s="504">
        <f t="shared" si="55"/>
        <v>272.90600000000001</v>
      </c>
      <c r="AN472" s="504">
        <f t="shared" si="55"/>
        <v>270.84100000000001</v>
      </c>
      <c r="AO472" s="504">
        <f t="shared" si="55"/>
        <v>311.48599999999999</v>
      </c>
      <c r="AP472" s="504">
        <f t="shared" si="55"/>
        <v>65.736000000000004</v>
      </c>
      <c r="AQ472" s="504">
        <f t="shared" si="55"/>
        <v>382.08699999999999</v>
      </c>
      <c r="AR472" s="504">
        <f t="shared" si="55"/>
        <v>110.664</v>
      </c>
      <c r="AS472" s="504">
        <f t="shared" si="55"/>
        <v>428.41700000000003</v>
      </c>
      <c r="AT472" s="504">
        <f t="shared" si="55"/>
        <v>379.44099999999997</v>
      </c>
      <c r="AU472" s="504">
        <f t="shared" si="55"/>
        <v>184.73</v>
      </c>
      <c r="AV472" s="504">
        <f t="shared" si="55"/>
        <v>596.38599999999997</v>
      </c>
      <c r="AW472" s="504">
        <f t="shared" si="55"/>
        <v>170.38900000000001</v>
      </c>
      <c r="AX472" s="504">
        <f t="shared" si="55"/>
        <v>154.58099999999999</v>
      </c>
      <c r="AY472" s="504">
        <f t="shared" si="55"/>
        <v>112.015</v>
      </c>
      <c r="AZ472" s="504">
        <f t="shared" si="55"/>
        <v>211.60599999999999</v>
      </c>
      <c r="BA472" s="504">
        <f t="shared" si="55"/>
        <v>207.81700000000001</v>
      </c>
      <c r="BB472" s="504">
        <f t="shared" si="55"/>
        <v>127.29900000000001</v>
      </c>
      <c r="BC472" s="504">
        <f t="shared" si="55"/>
        <v>371.16499999999996</v>
      </c>
      <c r="BD472" s="504">
        <f t="shared" si="55"/>
        <v>18.347000000000001</v>
      </c>
      <c r="BE472" s="504">
        <f t="shared" si="55"/>
        <v>47.991</v>
      </c>
      <c r="BF472" s="504">
        <f t="shared" si="55"/>
        <v>867.947</v>
      </c>
    </row>
    <row r="475" spans="1:58" x14ac:dyDescent="0.2">
      <c r="A475" s="43"/>
      <c r="H475" s="43"/>
    </row>
    <row r="479" spans="1:58" x14ac:dyDescent="0.2">
      <c r="A479" s="46" t="s">
        <v>672</v>
      </c>
      <c r="B479" s="1">
        <v>1</v>
      </c>
      <c r="C479" s="1">
        <f>SUM(C480:C508)</f>
        <v>3</v>
      </c>
      <c r="D479" s="1">
        <f>SUM(D480:D508)</f>
        <v>7</v>
      </c>
      <c r="E479" s="1">
        <f t="shared" ref="E479:BD479" si="56">SUM(E480:E508)</f>
        <v>1</v>
      </c>
      <c r="F479" s="1">
        <f t="shared" si="56"/>
        <v>2</v>
      </c>
      <c r="G479" s="1">
        <f t="shared" si="56"/>
        <v>1</v>
      </c>
      <c r="H479" s="1">
        <f t="shared" si="56"/>
        <v>3</v>
      </c>
      <c r="I479" s="1">
        <f t="shared" si="56"/>
        <v>1</v>
      </c>
      <c r="J479" s="1">
        <f t="shared" si="56"/>
        <v>1</v>
      </c>
      <c r="K479" s="1">
        <f t="shared" si="56"/>
        <v>3</v>
      </c>
      <c r="L479" s="1">
        <f t="shared" si="56"/>
        <v>4</v>
      </c>
      <c r="M479" s="1">
        <f t="shared" si="56"/>
        <v>1</v>
      </c>
      <c r="N479" s="1">
        <f t="shared" si="56"/>
        <v>2</v>
      </c>
      <c r="O479" s="1">
        <f t="shared" si="56"/>
        <v>4</v>
      </c>
      <c r="P479" s="1">
        <f t="shared" si="56"/>
        <v>13</v>
      </c>
      <c r="Q479" s="1">
        <f t="shared" si="56"/>
        <v>1</v>
      </c>
      <c r="R479" s="1">
        <f>SUM(R480:R508)</f>
        <v>3</v>
      </c>
      <c r="S479" s="1">
        <f t="shared" si="56"/>
        <v>1</v>
      </c>
      <c r="T479" s="1">
        <f t="shared" si="56"/>
        <v>4</v>
      </c>
      <c r="U479" s="1">
        <f t="shared" si="56"/>
        <v>1</v>
      </c>
      <c r="V479" s="1">
        <f t="shared" si="56"/>
        <v>7</v>
      </c>
      <c r="W479" s="1">
        <f t="shared" si="56"/>
        <v>7</v>
      </c>
      <c r="X479" s="1">
        <f t="shared" si="56"/>
        <v>5</v>
      </c>
      <c r="Y479" s="1">
        <f t="shared" si="56"/>
        <v>4</v>
      </c>
      <c r="Z479" s="1">
        <f t="shared" si="56"/>
        <v>1</v>
      </c>
      <c r="AA479" s="1">
        <f t="shared" si="56"/>
        <v>1</v>
      </c>
      <c r="AB479" s="1">
        <f t="shared" si="56"/>
        <v>1</v>
      </c>
      <c r="AC479" s="1">
        <f t="shared" si="56"/>
        <v>1</v>
      </c>
      <c r="AD479" s="1">
        <f t="shared" si="56"/>
        <v>1</v>
      </c>
      <c r="AE479" s="1">
        <f t="shared" si="56"/>
        <v>1</v>
      </c>
      <c r="AF479" s="1">
        <f t="shared" si="56"/>
        <v>2</v>
      </c>
      <c r="AG479" s="1">
        <f t="shared" si="56"/>
        <v>1</v>
      </c>
      <c r="AH479" s="1">
        <f t="shared" si="56"/>
        <v>1</v>
      </c>
      <c r="AI479" s="1">
        <f t="shared" si="56"/>
        <v>1</v>
      </c>
      <c r="AJ479" s="1">
        <f t="shared" si="56"/>
        <v>2</v>
      </c>
      <c r="AK479" s="1">
        <f t="shared" si="56"/>
        <v>1</v>
      </c>
      <c r="AL479" s="1">
        <f t="shared" si="56"/>
        <v>1</v>
      </c>
      <c r="AM479" s="1">
        <f t="shared" si="56"/>
        <v>5</v>
      </c>
      <c r="AN479" s="1">
        <f t="shared" si="56"/>
        <v>6</v>
      </c>
      <c r="AO479" s="1">
        <f t="shared" si="56"/>
        <v>1</v>
      </c>
      <c r="AP479" s="1">
        <f t="shared" si="56"/>
        <v>1</v>
      </c>
      <c r="AQ479" s="1">
        <f t="shared" si="56"/>
        <v>1</v>
      </c>
      <c r="AR479" s="1">
        <f t="shared" si="56"/>
        <v>2</v>
      </c>
      <c r="AS479" s="1">
        <f t="shared" si="56"/>
        <v>11</v>
      </c>
      <c r="AT479" s="1">
        <f t="shared" si="56"/>
        <v>1</v>
      </c>
      <c r="AU479" s="1">
        <f t="shared" si="56"/>
        <v>1</v>
      </c>
      <c r="AV479" s="1">
        <f t="shared" si="56"/>
        <v>2</v>
      </c>
      <c r="AW479" s="1">
        <f t="shared" si="56"/>
        <v>1</v>
      </c>
      <c r="AX479" s="1">
        <f t="shared" si="56"/>
        <v>3</v>
      </c>
      <c r="AY479" s="1">
        <f t="shared" si="56"/>
        <v>1</v>
      </c>
      <c r="AZ479" s="1">
        <f t="shared" si="56"/>
        <v>4</v>
      </c>
      <c r="BA479" s="1">
        <f t="shared" si="56"/>
        <v>4</v>
      </c>
      <c r="BB479" s="1">
        <f t="shared" si="56"/>
        <v>7</v>
      </c>
      <c r="BC479" s="1">
        <f t="shared" si="56"/>
        <v>7</v>
      </c>
      <c r="BD479" s="1">
        <f t="shared" si="56"/>
        <v>2</v>
      </c>
      <c r="BE479" s="1">
        <f>SUM(BE480:BE508)</f>
        <v>1</v>
      </c>
      <c r="BF479" s="1">
        <f>SUM(BF480:BF508)</f>
        <v>1</v>
      </c>
    </row>
    <row r="480" spans="1:58" x14ac:dyDescent="0.2">
      <c r="B480" s="1">
        <v>2</v>
      </c>
      <c r="C480" s="1">
        <f t="shared" ref="C480:AH480" si="57">+IF(C8=0,0,1)</f>
        <v>1</v>
      </c>
      <c r="D480" s="1">
        <f t="shared" si="57"/>
        <v>1</v>
      </c>
      <c r="E480" s="1">
        <f t="shared" si="57"/>
        <v>1</v>
      </c>
      <c r="F480" s="1">
        <f t="shared" si="57"/>
        <v>1</v>
      </c>
      <c r="G480" s="1">
        <f t="shared" si="57"/>
        <v>1</v>
      </c>
      <c r="H480" s="1">
        <f t="shared" si="57"/>
        <v>1</v>
      </c>
      <c r="I480" s="1">
        <f t="shared" si="57"/>
        <v>1</v>
      </c>
      <c r="J480" s="1">
        <f t="shared" si="57"/>
        <v>1</v>
      </c>
      <c r="K480" s="1">
        <f t="shared" si="57"/>
        <v>1</v>
      </c>
      <c r="L480" s="1">
        <f t="shared" si="57"/>
        <v>1</v>
      </c>
      <c r="M480" s="1">
        <f t="shared" si="57"/>
        <v>1</v>
      </c>
      <c r="N480" s="1">
        <f t="shared" si="57"/>
        <v>1</v>
      </c>
      <c r="O480" s="1">
        <f t="shared" si="57"/>
        <v>1</v>
      </c>
      <c r="P480" s="1">
        <f t="shared" si="57"/>
        <v>1</v>
      </c>
      <c r="Q480" s="1">
        <f t="shared" si="57"/>
        <v>1</v>
      </c>
      <c r="R480" s="1">
        <f t="shared" si="57"/>
        <v>1</v>
      </c>
      <c r="S480" s="1">
        <f t="shared" si="57"/>
        <v>1</v>
      </c>
      <c r="T480" s="1">
        <f t="shared" si="57"/>
        <v>1</v>
      </c>
      <c r="U480" s="1">
        <f t="shared" si="57"/>
        <v>1</v>
      </c>
      <c r="V480" s="1">
        <f t="shared" si="57"/>
        <v>1</v>
      </c>
      <c r="W480" s="1">
        <f t="shared" si="57"/>
        <v>1</v>
      </c>
      <c r="X480" s="1">
        <f t="shared" si="57"/>
        <v>1</v>
      </c>
      <c r="Y480" s="1">
        <f t="shared" si="57"/>
        <v>1</v>
      </c>
      <c r="Z480" s="1">
        <f t="shared" si="57"/>
        <v>1</v>
      </c>
      <c r="AA480" s="1">
        <f t="shared" si="57"/>
        <v>1</v>
      </c>
      <c r="AB480" s="1">
        <f t="shared" si="57"/>
        <v>1</v>
      </c>
      <c r="AC480" s="1">
        <f t="shared" si="57"/>
        <v>1</v>
      </c>
      <c r="AD480" s="1">
        <f t="shared" si="57"/>
        <v>1</v>
      </c>
      <c r="AE480" s="1">
        <f t="shared" si="57"/>
        <v>1</v>
      </c>
      <c r="AF480" s="1">
        <f t="shared" si="57"/>
        <v>1</v>
      </c>
      <c r="AG480" s="1">
        <f t="shared" si="57"/>
        <v>1</v>
      </c>
      <c r="AH480" s="1">
        <f t="shared" si="57"/>
        <v>1</v>
      </c>
      <c r="AI480" s="1">
        <f t="shared" ref="AI480:BE480" si="58">+IF(AI8=0,0,1)</f>
        <v>1</v>
      </c>
      <c r="AJ480" s="1">
        <f t="shared" si="58"/>
        <v>1</v>
      </c>
      <c r="AK480" s="1">
        <f t="shared" si="58"/>
        <v>1</v>
      </c>
      <c r="AL480" s="1">
        <f t="shared" si="58"/>
        <v>1</v>
      </c>
      <c r="AM480" s="1">
        <f t="shared" si="58"/>
        <v>1</v>
      </c>
      <c r="AN480" s="1">
        <f t="shared" si="58"/>
        <v>1</v>
      </c>
      <c r="AO480" s="1">
        <f t="shared" si="58"/>
        <v>1</v>
      </c>
      <c r="AP480" s="1">
        <f t="shared" si="58"/>
        <v>1</v>
      </c>
      <c r="AQ480" s="1">
        <f t="shared" si="58"/>
        <v>1</v>
      </c>
      <c r="AR480" s="1">
        <f t="shared" si="58"/>
        <v>1</v>
      </c>
      <c r="AS480" s="1">
        <f t="shared" si="58"/>
        <v>1</v>
      </c>
      <c r="AT480" s="1">
        <f t="shared" si="58"/>
        <v>1</v>
      </c>
      <c r="AU480" s="1">
        <f t="shared" si="58"/>
        <v>1</v>
      </c>
      <c r="AV480" s="1">
        <f t="shared" si="58"/>
        <v>1</v>
      </c>
      <c r="AW480" s="1">
        <f t="shared" si="58"/>
        <v>1</v>
      </c>
      <c r="AX480" s="1">
        <f t="shared" si="58"/>
        <v>0</v>
      </c>
      <c r="AY480" s="1">
        <f t="shared" si="58"/>
        <v>1</v>
      </c>
      <c r="AZ480" s="1">
        <f t="shared" si="58"/>
        <v>1</v>
      </c>
      <c r="BA480" s="1">
        <f t="shared" si="58"/>
        <v>1</v>
      </c>
      <c r="BB480" s="1">
        <f t="shared" si="58"/>
        <v>1</v>
      </c>
      <c r="BC480" s="1">
        <f t="shared" si="58"/>
        <v>1</v>
      </c>
      <c r="BD480" s="1">
        <f t="shared" si="58"/>
        <v>1</v>
      </c>
      <c r="BE480" s="1">
        <f t="shared" si="58"/>
        <v>1</v>
      </c>
      <c r="BF480" s="1">
        <f t="shared" ref="BF480:BF508" si="59">+IF(BF8=0,0,1)</f>
        <v>1</v>
      </c>
    </row>
    <row r="481" spans="2:58" x14ac:dyDescent="0.2">
      <c r="B481" s="1">
        <v>3</v>
      </c>
      <c r="C481" s="1">
        <f t="shared" ref="C481:AH481" si="60">+IF(C9=0,0,1)</f>
        <v>1</v>
      </c>
      <c r="D481" s="1">
        <f t="shared" si="60"/>
        <v>1</v>
      </c>
      <c r="E481" s="1">
        <f t="shared" si="60"/>
        <v>0</v>
      </c>
      <c r="F481" s="1">
        <f t="shared" si="60"/>
        <v>1</v>
      </c>
      <c r="G481" s="1">
        <f t="shared" si="60"/>
        <v>0</v>
      </c>
      <c r="H481" s="1">
        <f t="shared" si="60"/>
        <v>1</v>
      </c>
      <c r="I481" s="1">
        <f t="shared" si="60"/>
        <v>0</v>
      </c>
      <c r="J481" s="1">
        <f t="shared" si="60"/>
        <v>0</v>
      </c>
      <c r="K481" s="1">
        <f t="shared" si="60"/>
        <v>1</v>
      </c>
      <c r="L481" s="1">
        <f t="shared" si="60"/>
        <v>1</v>
      </c>
      <c r="M481" s="1">
        <f t="shared" si="60"/>
        <v>0</v>
      </c>
      <c r="N481" s="1">
        <f t="shared" si="60"/>
        <v>1</v>
      </c>
      <c r="O481" s="1">
        <f t="shared" si="60"/>
        <v>1</v>
      </c>
      <c r="P481" s="1">
        <f t="shared" si="60"/>
        <v>1</v>
      </c>
      <c r="Q481" s="1">
        <f t="shared" si="60"/>
        <v>0</v>
      </c>
      <c r="R481" s="1">
        <f t="shared" si="60"/>
        <v>1</v>
      </c>
      <c r="S481" s="1">
        <f t="shared" si="60"/>
        <v>0</v>
      </c>
      <c r="T481" s="1">
        <f t="shared" si="60"/>
        <v>1</v>
      </c>
      <c r="U481" s="1">
        <f t="shared" si="60"/>
        <v>0</v>
      </c>
      <c r="V481" s="1">
        <f t="shared" si="60"/>
        <v>1</v>
      </c>
      <c r="W481" s="1">
        <f t="shared" si="60"/>
        <v>1</v>
      </c>
      <c r="X481" s="1">
        <f t="shared" si="60"/>
        <v>1</v>
      </c>
      <c r="Y481" s="1">
        <f t="shared" si="60"/>
        <v>1</v>
      </c>
      <c r="Z481" s="1">
        <f t="shared" si="60"/>
        <v>0</v>
      </c>
      <c r="AA481" s="1">
        <f t="shared" si="60"/>
        <v>0</v>
      </c>
      <c r="AB481" s="1">
        <f t="shared" si="60"/>
        <v>0</v>
      </c>
      <c r="AC481" s="1">
        <f t="shared" si="60"/>
        <v>0</v>
      </c>
      <c r="AD481" s="1">
        <f t="shared" si="60"/>
        <v>0</v>
      </c>
      <c r="AE481" s="1">
        <f t="shared" si="60"/>
        <v>0</v>
      </c>
      <c r="AF481" s="1">
        <f t="shared" si="60"/>
        <v>1</v>
      </c>
      <c r="AG481" s="1">
        <f t="shared" si="60"/>
        <v>0</v>
      </c>
      <c r="AH481" s="1">
        <f t="shared" si="60"/>
        <v>0</v>
      </c>
      <c r="AI481" s="1">
        <f t="shared" ref="AI481:BE481" si="61">+IF(AI9=0,0,1)</f>
        <v>0</v>
      </c>
      <c r="AJ481" s="1">
        <f t="shared" si="61"/>
        <v>1</v>
      </c>
      <c r="AK481" s="1">
        <f t="shared" si="61"/>
        <v>0</v>
      </c>
      <c r="AL481" s="1">
        <f t="shared" si="61"/>
        <v>0</v>
      </c>
      <c r="AM481" s="1">
        <f t="shared" si="61"/>
        <v>1</v>
      </c>
      <c r="AN481" s="1">
        <f t="shared" si="61"/>
        <v>1</v>
      </c>
      <c r="AO481" s="1">
        <f t="shared" si="61"/>
        <v>0</v>
      </c>
      <c r="AP481" s="1">
        <f t="shared" si="61"/>
        <v>0</v>
      </c>
      <c r="AQ481" s="1">
        <f t="shared" si="61"/>
        <v>0</v>
      </c>
      <c r="AR481" s="1">
        <f t="shared" si="61"/>
        <v>1</v>
      </c>
      <c r="AS481" s="1">
        <f t="shared" si="61"/>
        <v>1</v>
      </c>
      <c r="AT481" s="1">
        <f t="shared" si="61"/>
        <v>0</v>
      </c>
      <c r="AU481" s="1">
        <f t="shared" si="61"/>
        <v>0</v>
      </c>
      <c r="AV481" s="1">
        <f t="shared" si="61"/>
        <v>1</v>
      </c>
      <c r="AW481" s="1">
        <f t="shared" si="61"/>
        <v>0</v>
      </c>
      <c r="AX481" s="1">
        <f t="shared" si="61"/>
        <v>1</v>
      </c>
      <c r="AY481" s="1">
        <f t="shared" si="61"/>
        <v>0</v>
      </c>
      <c r="AZ481" s="1">
        <f t="shared" si="61"/>
        <v>1</v>
      </c>
      <c r="BA481" s="1">
        <f t="shared" si="61"/>
        <v>1</v>
      </c>
      <c r="BB481" s="1">
        <f t="shared" si="61"/>
        <v>1</v>
      </c>
      <c r="BC481" s="1">
        <f t="shared" si="61"/>
        <v>1</v>
      </c>
      <c r="BD481" s="1">
        <f t="shared" si="61"/>
        <v>1</v>
      </c>
      <c r="BE481" s="1">
        <f t="shared" si="61"/>
        <v>0</v>
      </c>
      <c r="BF481" s="1">
        <f t="shared" si="59"/>
        <v>0</v>
      </c>
    </row>
    <row r="482" spans="2:58" x14ac:dyDescent="0.2">
      <c r="B482" s="1">
        <v>4</v>
      </c>
      <c r="C482" s="1">
        <f t="shared" ref="C482:T482" si="62">+IF(C10=0,0,1)</f>
        <v>1</v>
      </c>
      <c r="D482" s="1">
        <f t="shared" si="62"/>
        <v>1</v>
      </c>
      <c r="E482" s="1">
        <f t="shared" si="62"/>
        <v>0</v>
      </c>
      <c r="F482" s="1">
        <f t="shared" si="62"/>
        <v>0</v>
      </c>
      <c r="G482" s="1">
        <f t="shared" si="62"/>
        <v>0</v>
      </c>
      <c r="H482" s="1">
        <f t="shared" si="62"/>
        <v>1</v>
      </c>
      <c r="I482" s="1">
        <f t="shared" si="62"/>
        <v>0</v>
      </c>
      <c r="J482" s="1">
        <f t="shared" si="62"/>
        <v>0</v>
      </c>
      <c r="K482" s="1">
        <f t="shared" si="62"/>
        <v>1</v>
      </c>
      <c r="L482" s="1">
        <f t="shared" si="62"/>
        <v>1</v>
      </c>
      <c r="M482" s="1">
        <f t="shared" si="62"/>
        <v>0</v>
      </c>
      <c r="N482" s="1">
        <f t="shared" si="62"/>
        <v>0</v>
      </c>
      <c r="O482" s="1">
        <f t="shared" si="62"/>
        <v>1</v>
      </c>
      <c r="P482" s="1">
        <f t="shared" si="62"/>
        <v>1</v>
      </c>
      <c r="Q482" s="1">
        <f t="shared" si="62"/>
        <v>0</v>
      </c>
      <c r="R482" s="1">
        <f t="shared" si="62"/>
        <v>1</v>
      </c>
      <c r="S482" s="1">
        <f t="shared" si="62"/>
        <v>0</v>
      </c>
      <c r="T482" s="1">
        <f t="shared" si="62"/>
        <v>1</v>
      </c>
      <c r="U482" s="1">
        <f>+IF(U11=0,0,1)</f>
        <v>0</v>
      </c>
      <c r="V482" s="1">
        <f t="shared" ref="V482:BE482" si="63">+IF(V10=0,0,1)</f>
        <v>1</v>
      </c>
      <c r="W482" s="1">
        <f t="shared" si="63"/>
        <v>1</v>
      </c>
      <c r="X482" s="1">
        <f t="shared" si="63"/>
        <v>1</v>
      </c>
      <c r="Y482" s="1">
        <f t="shared" si="63"/>
        <v>1</v>
      </c>
      <c r="Z482" s="1">
        <f t="shared" si="63"/>
        <v>0</v>
      </c>
      <c r="AA482" s="1">
        <f t="shared" si="63"/>
        <v>0</v>
      </c>
      <c r="AB482" s="1">
        <f t="shared" si="63"/>
        <v>0</v>
      </c>
      <c r="AC482" s="1">
        <f t="shared" si="63"/>
        <v>0</v>
      </c>
      <c r="AD482" s="1">
        <f t="shared" si="63"/>
        <v>0</v>
      </c>
      <c r="AE482" s="1">
        <f t="shared" si="63"/>
        <v>0</v>
      </c>
      <c r="AF482" s="1">
        <f t="shared" si="63"/>
        <v>0</v>
      </c>
      <c r="AG482" s="1">
        <f t="shared" si="63"/>
        <v>0</v>
      </c>
      <c r="AH482" s="1">
        <f t="shared" si="63"/>
        <v>0</v>
      </c>
      <c r="AI482" s="1">
        <f t="shared" si="63"/>
        <v>0</v>
      </c>
      <c r="AJ482" s="1">
        <f t="shared" si="63"/>
        <v>0</v>
      </c>
      <c r="AK482" s="1">
        <f t="shared" si="63"/>
        <v>0</v>
      </c>
      <c r="AL482" s="1">
        <f t="shared" si="63"/>
        <v>0</v>
      </c>
      <c r="AM482" s="1">
        <f t="shared" si="63"/>
        <v>1</v>
      </c>
      <c r="AN482" s="1">
        <f t="shared" si="63"/>
        <v>1</v>
      </c>
      <c r="AO482" s="1">
        <f t="shared" si="63"/>
        <v>0</v>
      </c>
      <c r="AP482" s="1">
        <f t="shared" si="63"/>
        <v>0</v>
      </c>
      <c r="AQ482" s="1">
        <f t="shared" si="63"/>
        <v>0</v>
      </c>
      <c r="AR482" s="1">
        <f t="shared" si="63"/>
        <v>0</v>
      </c>
      <c r="AS482" s="1">
        <f t="shared" si="63"/>
        <v>1</v>
      </c>
      <c r="AT482" s="1">
        <f t="shared" si="63"/>
        <v>0</v>
      </c>
      <c r="AU482" s="1">
        <f t="shared" si="63"/>
        <v>0</v>
      </c>
      <c r="AV482" s="1">
        <f t="shared" si="63"/>
        <v>0</v>
      </c>
      <c r="AW482" s="1">
        <f t="shared" si="63"/>
        <v>0</v>
      </c>
      <c r="AX482" s="1">
        <f t="shared" si="63"/>
        <v>1</v>
      </c>
      <c r="AY482" s="1">
        <f t="shared" si="63"/>
        <v>0</v>
      </c>
      <c r="AZ482" s="1">
        <f t="shared" si="63"/>
        <v>1</v>
      </c>
      <c r="BA482" s="1">
        <f t="shared" si="63"/>
        <v>1</v>
      </c>
      <c r="BB482" s="1">
        <f t="shared" si="63"/>
        <v>1</v>
      </c>
      <c r="BC482" s="1">
        <f t="shared" si="63"/>
        <v>1</v>
      </c>
      <c r="BD482" s="1">
        <f t="shared" si="63"/>
        <v>0</v>
      </c>
      <c r="BE482" s="1">
        <f t="shared" si="63"/>
        <v>0</v>
      </c>
      <c r="BF482" s="1">
        <f t="shared" si="59"/>
        <v>0</v>
      </c>
    </row>
    <row r="483" spans="2:58" x14ac:dyDescent="0.2">
      <c r="B483" s="1">
        <v>5</v>
      </c>
      <c r="C483" s="1">
        <f t="shared" ref="C483:T483" si="64">+IF(C11=0,0,1)</f>
        <v>0</v>
      </c>
      <c r="D483" s="1">
        <f t="shared" si="64"/>
        <v>1</v>
      </c>
      <c r="E483" s="1">
        <f t="shared" si="64"/>
        <v>0</v>
      </c>
      <c r="F483" s="1">
        <f t="shared" si="64"/>
        <v>0</v>
      </c>
      <c r="G483" s="1">
        <f t="shared" si="64"/>
        <v>0</v>
      </c>
      <c r="H483" s="1">
        <f t="shared" si="64"/>
        <v>0</v>
      </c>
      <c r="I483" s="1">
        <f t="shared" si="64"/>
        <v>0</v>
      </c>
      <c r="J483" s="1">
        <f t="shared" si="64"/>
        <v>0</v>
      </c>
      <c r="K483" s="1">
        <f t="shared" si="64"/>
        <v>0</v>
      </c>
      <c r="L483" s="1">
        <f t="shared" si="64"/>
        <v>1</v>
      </c>
      <c r="M483" s="1">
        <f t="shared" si="64"/>
        <v>0</v>
      </c>
      <c r="N483" s="1">
        <f t="shared" si="64"/>
        <v>0</v>
      </c>
      <c r="O483" s="1">
        <f t="shared" si="64"/>
        <v>1</v>
      </c>
      <c r="P483" s="1">
        <f t="shared" si="64"/>
        <v>1</v>
      </c>
      <c r="Q483" s="1">
        <f t="shared" si="64"/>
        <v>0</v>
      </c>
      <c r="R483" s="1">
        <f t="shared" si="64"/>
        <v>0</v>
      </c>
      <c r="S483" s="1">
        <f t="shared" si="64"/>
        <v>0</v>
      </c>
      <c r="T483" s="1">
        <f t="shared" si="64"/>
        <v>1</v>
      </c>
      <c r="U483" s="1">
        <f>+IF(U12=0,0,1)</f>
        <v>0</v>
      </c>
      <c r="V483" s="1">
        <f t="shared" ref="V483:BE483" si="65">+IF(V11=0,0,1)</f>
        <v>1</v>
      </c>
      <c r="W483" s="1">
        <f t="shared" si="65"/>
        <v>1</v>
      </c>
      <c r="X483" s="1">
        <f t="shared" si="65"/>
        <v>1</v>
      </c>
      <c r="Y483" s="1">
        <f t="shared" si="65"/>
        <v>1</v>
      </c>
      <c r="Z483" s="1">
        <f t="shared" si="65"/>
        <v>0</v>
      </c>
      <c r="AA483" s="1">
        <f t="shared" si="65"/>
        <v>0</v>
      </c>
      <c r="AB483" s="1">
        <f t="shared" si="65"/>
        <v>0</v>
      </c>
      <c r="AC483" s="1">
        <f t="shared" si="65"/>
        <v>0</v>
      </c>
      <c r="AD483" s="1">
        <f t="shared" si="65"/>
        <v>0</v>
      </c>
      <c r="AE483" s="1">
        <f t="shared" si="65"/>
        <v>0</v>
      </c>
      <c r="AF483" s="1">
        <f t="shared" si="65"/>
        <v>0</v>
      </c>
      <c r="AG483" s="1">
        <f t="shared" si="65"/>
        <v>0</v>
      </c>
      <c r="AH483" s="1">
        <f t="shared" si="65"/>
        <v>0</v>
      </c>
      <c r="AI483" s="1">
        <f t="shared" si="65"/>
        <v>0</v>
      </c>
      <c r="AJ483" s="1">
        <f t="shared" si="65"/>
        <v>0</v>
      </c>
      <c r="AK483" s="1">
        <f t="shared" si="65"/>
        <v>0</v>
      </c>
      <c r="AL483" s="1">
        <f t="shared" si="65"/>
        <v>0</v>
      </c>
      <c r="AM483" s="1">
        <f t="shared" si="65"/>
        <v>1</v>
      </c>
      <c r="AN483" s="1">
        <f t="shared" si="65"/>
        <v>1</v>
      </c>
      <c r="AO483" s="1">
        <f t="shared" si="65"/>
        <v>0</v>
      </c>
      <c r="AP483" s="1">
        <f t="shared" si="65"/>
        <v>0</v>
      </c>
      <c r="AQ483" s="1">
        <f t="shared" si="65"/>
        <v>0</v>
      </c>
      <c r="AR483" s="1">
        <f t="shared" si="65"/>
        <v>0</v>
      </c>
      <c r="AS483" s="1">
        <f t="shared" si="65"/>
        <v>1</v>
      </c>
      <c r="AT483" s="1">
        <f t="shared" si="65"/>
        <v>0</v>
      </c>
      <c r="AU483" s="1">
        <f t="shared" si="65"/>
        <v>0</v>
      </c>
      <c r="AV483" s="1">
        <f t="shared" si="65"/>
        <v>0</v>
      </c>
      <c r="AW483" s="1">
        <f t="shared" si="65"/>
        <v>0</v>
      </c>
      <c r="AX483" s="1">
        <f t="shared" si="65"/>
        <v>1</v>
      </c>
      <c r="AY483" s="1">
        <f t="shared" si="65"/>
        <v>0</v>
      </c>
      <c r="AZ483" s="1">
        <f t="shared" si="65"/>
        <v>1</v>
      </c>
      <c r="BA483" s="1">
        <f t="shared" si="65"/>
        <v>1</v>
      </c>
      <c r="BB483" s="1">
        <f t="shared" si="65"/>
        <v>1</v>
      </c>
      <c r="BC483" s="1">
        <f t="shared" si="65"/>
        <v>1</v>
      </c>
      <c r="BD483" s="1">
        <f t="shared" si="65"/>
        <v>0</v>
      </c>
      <c r="BE483" s="1">
        <f t="shared" si="65"/>
        <v>0</v>
      </c>
      <c r="BF483" s="1">
        <f t="shared" si="59"/>
        <v>0</v>
      </c>
    </row>
    <row r="484" spans="2:58" x14ac:dyDescent="0.2">
      <c r="B484" s="1">
        <v>6</v>
      </c>
      <c r="C484" s="1">
        <f t="shared" ref="C484:T484" si="66">+IF(C12=0,0,1)</f>
        <v>0</v>
      </c>
      <c r="D484" s="1">
        <f t="shared" si="66"/>
        <v>1</v>
      </c>
      <c r="E484" s="1">
        <f t="shared" si="66"/>
        <v>0</v>
      </c>
      <c r="F484" s="1">
        <f t="shared" si="66"/>
        <v>0</v>
      </c>
      <c r="G484" s="1">
        <f t="shared" si="66"/>
        <v>0</v>
      </c>
      <c r="H484" s="1">
        <f t="shared" si="66"/>
        <v>0</v>
      </c>
      <c r="I484" s="1">
        <f t="shared" si="66"/>
        <v>0</v>
      </c>
      <c r="J484" s="1">
        <f t="shared" si="66"/>
        <v>0</v>
      </c>
      <c r="K484" s="1">
        <f t="shared" si="66"/>
        <v>0</v>
      </c>
      <c r="L484" s="1">
        <f t="shared" si="66"/>
        <v>0</v>
      </c>
      <c r="M484" s="1">
        <f t="shared" si="66"/>
        <v>0</v>
      </c>
      <c r="N484" s="1">
        <f t="shared" si="66"/>
        <v>0</v>
      </c>
      <c r="O484" s="1">
        <f t="shared" si="66"/>
        <v>0</v>
      </c>
      <c r="P484" s="1">
        <f t="shared" si="66"/>
        <v>1</v>
      </c>
      <c r="Q484" s="1">
        <f t="shared" si="66"/>
        <v>0</v>
      </c>
      <c r="R484" s="1">
        <f t="shared" si="66"/>
        <v>0</v>
      </c>
      <c r="S484" s="1">
        <f t="shared" si="66"/>
        <v>0</v>
      </c>
      <c r="T484" s="1">
        <f t="shared" si="66"/>
        <v>0</v>
      </c>
      <c r="U484" s="1">
        <f t="shared" ref="U484:U508" si="67">+IF(U12=0,0,1)</f>
        <v>0</v>
      </c>
      <c r="V484" s="1">
        <f t="shared" ref="V484:BE484" si="68">+IF(V12=0,0,1)</f>
        <v>1</v>
      </c>
      <c r="W484" s="1">
        <f t="shared" si="68"/>
        <v>1</v>
      </c>
      <c r="X484" s="1">
        <f t="shared" si="68"/>
        <v>1</v>
      </c>
      <c r="Y484" s="1">
        <f t="shared" si="68"/>
        <v>0</v>
      </c>
      <c r="Z484" s="1">
        <f t="shared" si="68"/>
        <v>0</v>
      </c>
      <c r="AA484" s="1">
        <f t="shared" si="68"/>
        <v>0</v>
      </c>
      <c r="AB484" s="1">
        <f t="shared" si="68"/>
        <v>0</v>
      </c>
      <c r="AC484" s="1">
        <f t="shared" si="68"/>
        <v>0</v>
      </c>
      <c r="AD484" s="1">
        <f t="shared" si="68"/>
        <v>0</v>
      </c>
      <c r="AE484" s="1">
        <f t="shared" si="68"/>
        <v>0</v>
      </c>
      <c r="AF484" s="1">
        <f t="shared" si="68"/>
        <v>0</v>
      </c>
      <c r="AG484" s="1">
        <f t="shared" si="68"/>
        <v>0</v>
      </c>
      <c r="AH484" s="1">
        <f t="shared" si="68"/>
        <v>0</v>
      </c>
      <c r="AI484" s="1">
        <f t="shared" si="68"/>
        <v>0</v>
      </c>
      <c r="AJ484" s="1">
        <f t="shared" si="68"/>
        <v>0</v>
      </c>
      <c r="AK484" s="1">
        <f t="shared" si="68"/>
        <v>0</v>
      </c>
      <c r="AL484" s="1">
        <f t="shared" si="68"/>
        <v>0</v>
      </c>
      <c r="AM484" s="1">
        <f t="shared" si="68"/>
        <v>1</v>
      </c>
      <c r="AN484" s="1">
        <f t="shared" si="68"/>
        <v>1</v>
      </c>
      <c r="AO484" s="1">
        <f t="shared" si="68"/>
        <v>0</v>
      </c>
      <c r="AP484" s="1">
        <f t="shared" si="68"/>
        <v>0</v>
      </c>
      <c r="AQ484" s="1">
        <f t="shared" si="68"/>
        <v>0</v>
      </c>
      <c r="AR484" s="1">
        <f t="shared" si="68"/>
        <v>0</v>
      </c>
      <c r="AS484" s="1">
        <f t="shared" si="68"/>
        <v>1</v>
      </c>
      <c r="AT484" s="1">
        <f t="shared" si="68"/>
        <v>0</v>
      </c>
      <c r="AU484" s="1">
        <f t="shared" si="68"/>
        <v>0</v>
      </c>
      <c r="AV484" s="1">
        <f t="shared" si="68"/>
        <v>0</v>
      </c>
      <c r="AW484" s="1">
        <f t="shared" si="68"/>
        <v>0</v>
      </c>
      <c r="AX484" s="1">
        <f t="shared" si="68"/>
        <v>0</v>
      </c>
      <c r="AY484" s="1">
        <f t="shared" si="68"/>
        <v>0</v>
      </c>
      <c r="AZ484" s="1">
        <f t="shared" si="68"/>
        <v>0</v>
      </c>
      <c r="BA484" s="1">
        <f t="shared" si="68"/>
        <v>0</v>
      </c>
      <c r="BB484" s="1">
        <f t="shared" si="68"/>
        <v>1</v>
      </c>
      <c r="BC484" s="1">
        <f t="shared" si="68"/>
        <v>1</v>
      </c>
      <c r="BD484" s="1">
        <f t="shared" si="68"/>
        <v>0</v>
      </c>
      <c r="BE484" s="1">
        <f t="shared" si="68"/>
        <v>0</v>
      </c>
      <c r="BF484" s="1">
        <f t="shared" si="59"/>
        <v>0</v>
      </c>
    </row>
    <row r="485" spans="2:58" x14ac:dyDescent="0.2">
      <c r="B485" s="1">
        <v>7</v>
      </c>
      <c r="C485" s="1">
        <f t="shared" ref="C485:T485" si="69">+IF(C13=0,0,1)</f>
        <v>0</v>
      </c>
      <c r="D485" s="1">
        <f t="shared" si="69"/>
        <v>1</v>
      </c>
      <c r="E485" s="1">
        <f t="shared" si="69"/>
        <v>0</v>
      </c>
      <c r="F485" s="1">
        <f t="shared" si="69"/>
        <v>0</v>
      </c>
      <c r="G485" s="1">
        <f t="shared" si="69"/>
        <v>0</v>
      </c>
      <c r="H485" s="1">
        <f t="shared" si="69"/>
        <v>0</v>
      </c>
      <c r="I485" s="1">
        <f t="shared" si="69"/>
        <v>0</v>
      </c>
      <c r="J485" s="1">
        <f t="shared" si="69"/>
        <v>0</v>
      </c>
      <c r="K485" s="1">
        <f t="shared" si="69"/>
        <v>0</v>
      </c>
      <c r="L485" s="1">
        <f t="shared" si="69"/>
        <v>0</v>
      </c>
      <c r="M485" s="1">
        <f t="shared" si="69"/>
        <v>0</v>
      </c>
      <c r="N485" s="1">
        <f t="shared" si="69"/>
        <v>0</v>
      </c>
      <c r="O485" s="1">
        <f t="shared" si="69"/>
        <v>0</v>
      </c>
      <c r="P485" s="1">
        <f t="shared" si="69"/>
        <v>1</v>
      </c>
      <c r="Q485" s="1">
        <f t="shared" si="69"/>
        <v>0</v>
      </c>
      <c r="R485" s="1">
        <f t="shared" si="69"/>
        <v>0</v>
      </c>
      <c r="S485" s="1">
        <f t="shared" si="69"/>
        <v>0</v>
      </c>
      <c r="T485" s="1">
        <f t="shared" si="69"/>
        <v>0</v>
      </c>
      <c r="U485" s="1">
        <f t="shared" si="67"/>
        <v>0</v>
      </c>
      <c r="V485" s="1">
        <f t="shared" ref="V485:BE485" si="70">+IF(V13=0,0,1)</f>
        <v>1</v>
      </c>
      <c r="W485" s="1">
        <f t="shared" si="70"/>
        <v>1</v>
      </c>
      <c r="X485" s="1">
        <f t="shared" si="70"/>
        <v>0</v>
      </c>
      <c r="Y485" s="1">
        <f t="shared" si="70"/>
        <v>0</v>
      </c>
      <c r="Z485" s="1">
        <f t="shared" si="70"/>
        <v>0</v>
      </c>
      <c r="AA485" s="1">
        <f t="shared" si="70"/>
        <v>0</v>
      </c>
      <c r="AB485" s="1">
        <f t="shared" si="70"/>
        <v>0</v>
      </c>
      <c r="AC485" s="1">
        <f t="shared" si="70"/>
        <v>0</v>
      </c>
      <c r="AD485" s="1">
        <f t="shared" si="70"/>
        <v>0</v>
      </c>
      <c r="AE485" s="1">
        <f t="shared" si="70"/>
        <v>0</v>
      </c>
      <c r="AF485" s="1">
        <f t="shared" si="70"/>
        <v>0</v>
      </c>
      <c r="AG485" s="1">
        <f t="shared" si="70"/>
        <v>0</v>
      </c>
      <c r="AH485" s="1">
        <f t="shared" si="70"/>
        <v>0</v>
      </c>
      <c r="AI485" s="1">
        <f t="shared" si="70"/>
        <v>0</v>
      </c>
      <c r="AJ485" s="1">
        <f t="shared" si="70"/>
        <v>0</v>
      </c>
      <c r="AK485" s="1">
        <f t="shared" si="70"/>
        <v>0</v>
      </c>
      <c r="AL485" s="1">
        <f t="shared" si="70"/>
        <v>0</v>
      </c>
      <c r="AM485" s="1">
        <f t="shared" si="70"/>
        <v>0</v>
      </c>
      <c r="AN485" s="1">
        <f t="shared" si="70"/>
        <v>1</v>
      </c>
      <c r="AO485" s="1">
        <f t="shared" si="70"/>
        <v>0</v>
      </c>
      <c r="AP485" s="1">
        <f t="shared" si="70"/>
        <v>0</v>
      </c>
      <c r="AQ485" s="1">
        <f t="shared" si="70"/>
        <v>0</v>
      </c>
      <c r="AR485" s="1">
        <f t="shared" si="70"/>
        <v>0</v>
      </c>
      <c r="AS485" s="1">
        <f t="shared" si="70"/>
        <v>1</v>
      </c>
      <c r="AT485" s="1">
        <f t="shared" si="70"/>
        <v>0</v>
      </c>
      <c r="AU485" s="1">
        <f t="shared" si="70"/>
        <v>0</v>
      </c>
      <c r="AV485" s="1">
        <f t="shared" si="70"/>
        <v>0</v>
      </c>
      <c r="AW485" s="1">
        <f t="shared" si="70"/>
        <v>0</v>
      </c>
      <c r="AX485" s="1">
        <f t="shared" si="70"/>
        <v>0</v>
      </c>
      <c r="AY485" s="1">
        <f t="shared" si="70"/>
        <v>0</v>
      </c>
      <c r="AZ485" s="1">
        <f t="shared" si="70"/>
        <v>0</v>
      </c>
      <c r="BA485" s="1">
        <f t="shared" si="70"/>
        <v>0</v>
      </c>
      <c r="BB485" s="1">
        <f t="shared" si="70"/>
        <v>1</v>
      </c>
      <c r="BC485" s="1">
        <f t="shared" si="70"/>
        <v>1</v>
      </c>
      <c r="BD485" s="1">
        <f t="shared" si="70"/>
        <v>0</v>
      </c>
      <c r="BE485" s="1">
        <f t="shared" si="70"/>
        <v>0</v>
      </c>
      <c r="BF485" s="1">
        <f t="shared" si="59"/>
        <v>0</v>
      </c>
    </row>
    <row r="486" spans="2:58" x14ac:dyDescent="0.2">
      <c r="B486" s="1">
        <v>8</v>
      </c>
      <c r="C486" s="1">
        <f t="shared" ref="C486:T486" si="71">+IF(C14=0,0,1)</f>
        <v>0</v>
      </c>
      <c r="D486" s="1">
        <f t="shared" si="71"/>
        <v>1</v>
      </c>
      <c r="E486" s="1">
        <f t="shared" si="71"/>
        <v>0</v>
      </c>
      <c r="F486" s="1">
        <f t="shared" si="71"/>
        <v>0</v>
      </c>
      <c r="G486" s="1">
        <f t="shared" si="71"/>
        <v>0</v>
      </c>
      <c r="H486" s="1">
        <f t="shared" si="71"/>
        <v>0</v>
      </c>
      <c r="I486" s="1">
        <f t="shared" si="71"/>
        <v>0</v>
      </c>
      <c r="J486" s="1">
        <f t="shared" si="71"/>
        <v>0</v>
      </c>
      <c r="K486" s="1">
        <f t="shared" si="71"/>
        <v>0</v>
      </c>
      <c r="L486" s="1">
        <f t="shared" si="71"/>
        <v>0</v>
      </c>
      <c r="M486" s="1">
        <f t="shared" si="71"/>
        <v>0</v>
      </c>
      <c r="N486" s="1">
        <f t="shared" si="71"/>
        <v>0</v>
      </c>
      <c r="O486" s="1">
        <f t="shared" si="71"/>
        <v>0</v>
      </c>
      <c r="P486" s="1">
        <f t="shared" si="71"/>
        <v>1</v>
      </c>
      <c r="Q486" s="1">
        <f t="shared" si="71"/>
        <v>0</v>
      </c>
      <c r="R486" s="1">
        <f t="shared" si="71"/>
        <v>0</v>
      </c>
      <c r="S486" s="1">
        <f t="shared" si="71"/>
        <v>0</v>
      </c>
      <c r="T486" s="1">
        <f t="shared" si="71"/>
        <v>0</v>
      </c>
      <c r="U486" s="1">
        <f t="shared" si="67"/>
        <v>0</v>
      </c>
      <c r="V486" s="1">
        <f t="shared" ref="V486:BE486" si="72">+IF(V14=0,0,1)</f>
        <v>1</v>
      </c>
      <c r="W486" s="1">
        <f t="shared" si="72"/>
        <v>1</v>
      </c>
      <c r="X486" s="1">
        <f t="shared" si="72"/>
        <v>0</v>
      </c>
      <c r="Y486" s="1">
        <f t="shared" si="72"/>
        <v>0</v>
      </c>
      <c r="Z486" s="1">
        <f t="shared" si="72"/>
        <v>0</v>
      </c>
      <c r="AA486" s="1">
        <f t="shared" si="72"/>
        <v>0</v>
      </c>
      <c r="AB486" s="1">
        <f t="shared" si="72"/>
        <v>0</v>
      </c>
      <c r="AC486" s="1">
        <f t="shared" si="72"/>
        <v>0</v>
      </c>
      <c r="AD486" s="1">
        <f t="shared" si="72"/>
        <v>0</v>
      </c>
      <c r="AE486" s="1">
        <f t="shared" si="72"/>
        <v>0</v>
      </c>
      <c r="AF486" s="1">
        <f t="shared" si="72"/>
        <v>0</v>
      </c>
      <c r="AG486" s="1">
        <f t="shared" si="72"/>
        <v>0</v>
      </c>
      <c r="AH486" s="1">
        <f t="shared" si="72"/>
        <v>0</v>
      </c>
      <c r="AI486" s="1">
        <f t="shared" si="72"/>
        <v>0</v>
      </c>
      <c r="AJ486" s="1">
        <f t="shared" si="72"/>
        <v>0</v>
      </c>
      <c r="AK486" s="1">
        <f t="shared" si="72"/>
        <v>0</v>
      </c>
      <c r="AL486" s="1">
        <f t="shared" si="72"/>
        <v>0</v>
      </c>
      <c r="AM486" s="1">
        <f t="shared" si="72"/>
        <v>0</v>
      </c>
      <c r="AN486" s="1">
        <f t="shared" si="72"/>
        <v>0</v>
      </c>
      <c r="AO486" s="1">
        <f t="shared" si="72"/>
        <v>0</v>
      </c>
      <c r="AP486" s="1">
        <f t="shared" si="72"/>
        <v>0</v>
      </c>
      <c r="AQ486" s="1">
        <f t="shared" si="72"/>
        <v>0</v>
      </c>
      <c r="AR486" s="1">
        <f t="shared" si="72"/>
        <v>0</v>
      </c>
      <c r="AS486" s="1">
        <f t="shared" si="72"/>
        <v>1</v>
      </c>
      <c r="AT486" s="1">
        <f t="shared" si="72"/>
        <v>0</v>
      </c>
      <c r="AU486" s="1">
        <f t="shared" si="72"/>
        <v>0</v>
      </c>
      <c r="AV486" s="1">
        <f t="shared" si="72"/>
        <v>0</v>
      </c>
      <c r="AW486" s="1">
        <f t="shared" si="72"/>
        <v>0</v>
      </c>
      <c r="AX486" s="1">
        <f t="shared" si="72"/>
        <v>0</v>
      </c>
      <c r="AY486" s="1">
        <f t="shared" si="72"/>
        <v>0</v>
      </c>
      <c r="AZ486" s="1">
        <f t="shared" si="72"/>
        <v>0</v>
      </c>
      <c r="BA486" s="1">
        <f t="shared" si="72"/>
        <v>0</v>
      </c>
      <c r="BB486" s="1">
        <f t="shared" si="72"/>
        <v>1</v>
      </c>
      <c r="BC486" s="1">
        <f t="shared" si="72"/>
        <v>1</v>
      </c>
      <c r="BD486" s="1">
        <f t="shared" si="72"/>
        <v>0</v>
      </c>
      <c r="BE486" s="1">
        <f t="shared" si="72"/>
        <v>0</v>
      </c>
      <c r="BF486" s="1">
        <f t="shared" si="59"/>
        <v>0</v>
      </c>
    </row>
    <row r="487" spans="2:58" x14ac:dyDescent="0.2">
      <c r="B487" s="1">
        <v>9</v>
      </c>
      <c r="C487" s="1">
        <f t="shared" ref="C487:T487" si="73">+IF(C15=0,0,1)</f>
        <v>0</v>
      </c>
      <c r="D487" s="1">
        <f t="shared" si="73"/>
        <v>0</v>
      </c>
      <c r="E487" s="1">
        <f t="shared" si="73"/>
        <v>0</v>
      </c>
      <c r="F487" s="1">
        <f t="shared" si="73"/>
        <v>0</v>
      </c>
      <c r="G487" s="1">
        <f t="shared" si="73"/>
        <v>0</v>
      </c>
      <c r="H487" s="1">
        <f t="shared" si="73"/>
        <v>0</v>
      </c>
      <c r="I487" s="1">
        <f t="shared" si="73"/>
        <v>0</v>
      </c>
      <c r="J487" s="1">
        <f t="shared" si="73"/>
        <v>0</v>
      </c>
      <c r="K487" s="1">
        <f t="shared" si="73"/>
        <v>0</v>
      </c>
      <c r="L487" s="1">
        <f t="shared" si="73"/>
        <v>0</v>
      </c>
      <c r="M487" s="1">
        <f t="shared" si="73"/>
        <v>0</v>
      </c>
      <c r="N487" s="1">
        <f t="shared" si="73"/>
        <v>0</v>
      </c>
      <c r="O487" s="1">
        <f t="shared" si="73"/>
        <v>0</v>
      </c>
      <c r="P487" s="1">
        <f t="shared" si="73"/>
        <v>1</v>
      </c>
      <c r="Q487" s="1">
        <f t="shared" si="73"/>
        <v>0</v>
      </c>
      <c r="R487" s="1">
        <f t="shared" si="73"/>
        <v>0</v>
      </c>
      <c r="S487" s="1">
        <f t="shared" si="73"/>
        <v>0</v>
      </c>
      <c r="T487" s="1">
        <f t="shared" si="73"/>
        <v>0</v>
      </c>
      <c r="U487" s="1">
        <f t="shared" si="67"/>
        <v>0</v>
      </c>
      <c r="V487" s="1">
        <f t="shared" ref="V487:BE487" si="74">+IF(V15=0,0,1)</f>
        <v>0</v>
      </c>
      <c r="W487" s="1">
        <f t="shared" si="74"/>
        <v>0</v>
      </c>
      <c r="X487" s="1">
        <f t="shared" si="74"/>
        <v>0</v>
      </c>
      <c r="Y487" s="1">
        <f t="shared" si="74"/>
        <v>0</v>
      </c>
      <c r="Z487" s="1">
        <f t="shared" si="74"/>
        <v>0</v>
      </c>
      <c r="AA487" s="1">
        <f t="shared" si="74"/>
        <v>0</v>
      </c>
      <c r="AB487" s="1">
        <f t="shared" si="74"/>
        <v>0</v>
      </c>
      <c r="AC487" s="1">
        <f t="shared" si="74"/>
        <v>0</v>
      </c>
      <c r="AD487" s="1">
        <f t="shared" si="74"/>
        <v>0</v>
      </c>
      <c r="AE487" s="1">
        <f t="shared" si="74"/>
        <v>0</v>
      </c>
      <c r="AF487" s="1">
        <f t="shared" si="74"/>
        <v>0</v>
      </c>
      <c r="AG487" s="1">
        <f t="shared" si="74"/>
        <v>0</v>
      </c>
      <c r="AH487" s="1">
        <f t="shared" si="74"/>
        <v>0</v>
      </c>
      <c r="AI487" s="1">
        <f t="shared" si="74"/>
        <v>0</v>
      </c>
      <c r="AJ487" s="1">
        <f t="shared" si="74"/>
        <v>0</v>
      </c>
      <c r="AK487" s="1">
        <f t="shared" si="74"/>
        <v>0</v>
      </c>
      <c r="AL487" s="1">
        <f t="shared" si="74"/>
        <v>0</v>
      </c>
      <c r="AM487" s="1">
        <f t="shared" si="74"/>
        <v>0</v>
      </c>
      <c r="AN487" s="1">
        <f t="shared" si="74"/>
        <v>0</v>
      </c>
      <c r="AO487" s="1">
        <f t="shared" si="74"/>
        <v>0</v>
      </c>
      <c r="AP487" s="1">
        <f t="shared" si="74"/>
        <v>0</v>
      </c>
      <c r="AQ487" s="1">
        <f t="shared" si="74"/>
        <v>0</v>
      </c>
      <c r="AR487" s="1">
        <f t="shared" si="74"/>
        <v>0</v>
      </c>
      <c r="AS487" s="1">
        <f t="shared" si="74"/>
        <v>1</v>
      </c>
      <c r="AT487" s="1">
        <f t="shared" si="74"/>
        <v>0</v>
      </c>
      <c r="AU487" s="1">
        <f t="shared" si="74"/>
        <v>0</v>
      </c>
      <c r="AV487" s="1">
        <f t="shared" si="74"/>
        <v>0</v>
      </c>
      <c r="AW487" s="1">
        <f t="shared" si="74"/>
        <v>0</v>
      </c>
      <c r="AX487" s="1">
        <f t="shared" si="74"/>
        <v>0</v>
      </c>
      <c r="AY487" s="1">
        <f t="shared" si="74"/>
        <v>0</v>
      </c>
      <c r="AZ487" s="1">
        <f t="shared" si="74"/>
        <v>0</v>
      </c>
      <c r="BA487" s="1">
        <f t="shared" si="74"/>
        <v>0</v>
      </c>
      <c r="BB487" s="1">
        <f t="shared" si="74"/>
        <v>0</v>
      </c>
      <c r="BC487" s="1">
        <f t="shared" si="74"/>
        <v>0</v>
      </c>
      <c r="BD487" s="1">
        <f t="shared" si="74"/>
        <v>0</v>
      </c>
      <c r="BE487" s="1">
        <f t="shared" si="74"/>
        <v>0</v>
      </c>
      <c r="BF487" s="1">
        <f t="shared" si="59"/>
        <v>0</v>
      </c>
    </row>
    <row r="488" spans="2:58" x14ac:dyDescent="0.2">
      <c r="B488" s="1">
        <v>10</v>
      </c>
      <c r="C488" s="1">
        <f t="shared" ref="C488:T488" si="75">+IF(C16=0,0,1)</f>
        <v>0</v>
      </c>
      <c r="D488" s="1">
        <f t="shared" si="75"/>
        <v>0</v>
      </c>
      <c r="E488" s="1">
        <f t="shared" si="75"/>
        <v>0</v>
      </c>
      <c r="F488" s="1">
        <f t="shared" si="75"/>
        <v>0</v>
      </c>
      <c r="G488" s="1">
        <f t="shared" si="75"/>
        <v>0</v>
      </c>
      <c r="H488" s="1">
        <f t="shared" si="75"/>
        <v>0</v>
      </c>
      <c r="I488" s="1">
        <f t="shared" si="75"/>
        <v>0</v>
      </c>
      <c r="J488" s="1">
        <f t="shared" si="75"/>
        <v>0</v>
      </c>
      <c r="K488" s="1">
        <f t="shared" si="75"/>
        <v>0</v>
      </c>
      <c r="L488" s="1">
        <f t="shared" si="75"/>
        <v>0</v>
      </c>
      <c r="M488" s="1">
        <f t="shared" si="75"/>
        <v>0</v>
      </c>
      <c r="N488" s="1">
        <f t="shared" si="75"/>
        <v>0</v>
      </c>
      <c r="O488" s="1">
        <f t="shared" si="75"/>
        <v>0</v>
      </c>
      <c r="P488" s="1">
        <f t="shared" si="75"/>
        <v>1</v>
      </c>
      <c r="Q488" s="1">
        <f t="shared" si="75"/>
        <v>0</v>
      </c>
      <c r="R488" s="1">
        <f t="shared" si="75"/>
        <v>0</v>
      </c>
      <c r="S488" s="1">
        <f t="shared" si="75"/>
        <v>0</v>
      </c>
      <c r="T488" s="1">
        <f t="shared" si="75"/>
        <v>0</v>
      </c>
      <c r="U488" s="1">
        <f t="shared" si="67"/>
        <v>0</v>
      </c>
      <c r="V488" s="1">
        <f t="shared" ref="V488:BE488" si="76">+IF(V16=0,0,1)</f>
        <v>0</v>
      </c>
      <c r="W488" s="1">
        <f t="shared" si="76"/>
        <v>0</v>
      </c>
      <c r="X488" s="1">
        <f t="shared" si="76"/>
        <v>0</v>
      </c>
      <c r="Y488" s="1">
        <f t="shared" si="76"/>
        <v>0</v>
      </c>
      <c r="Z488" s="1">
        <f t="shared" si="76"/>
        <v>0</v>
      </c>
      <c r="AA488" s="1">
        <f t="shared" si="76"/>
        <v>0</v>
      </c>
      <c r="AB488" s="1">
        <f t="shared" si="76"/>
        <v>0</v>
      </c>
      <c r="AC488" s="1">
        <f t="shared" si="76"/>
        <v>0</v>
      </c>
      <c r="AD488" s="1">
        <f t="shared" si="76"/>
        <v>0</v>
      </c>
      <c r="AE488" s="1">
        <f t="shared" si="76"/>
        <v>0</v>
      </c>
      <c r="AF488" s="1">
        <f t="shared" si="76"/>
        <v>0</v>
      </c>
      <c r="AG488" s="1">
        <f t="shared" si="76"/>
        <v>0</v>
      </c>
      <c r="AH488" s="1">
        <f t="shared" si="76"/>
        <v>0</v>
      </c>
      <c r="AI488" s="1">
        <f t="shared" si="76"/>
        <v>0</v>
      </c>
      <c r="AJ488" s="1">
        <f t="shared" si="76"/>
        <v>0</v>
      </c>
      <c r="AK488" s="1">
        <f t="shared" si="76"/>
        <v>0</v>
      </c>
      <c r="AL488" s="1">
        <f t="shared" si="76"/>
        <v>0</v>
      </c>
      <c r="AM488" s="1">
        <f t="shared" si="76"/>
        <v>0</v>
      </c>
      <c r="AN488" s="1">
        <f t="shared" si="76"/>
        <v>0</v>
      </c>
      <c r="AO488" s="1">
        <f t="shared" si="76"/>
        <v>0</v>
      </c>
      <c r="AP488" s="1">
        <f t="shared" si="76"/>
        <v>0</v>
      </c>
      <c r="AQ488" s="1">
        <f t="shared" si="76"/>
        <v>0</v>
      </c>
      <c r="AR488" s="1">
        <f t="shared" si="76"/>
        <v>0</v>
      </c>
      <c r="AS488" s="1">
        <f t="shared" si="76"/>
        <v>1</v>
      </c>
      <c r="AT488" s="1">
        <f t="shared" si="76"/>
        <v>0</v>
      </c>
      <c r="AU488" s="1">
        <f t="shared" si="76"/>
        <v>0</v>
      </c>
      <c r="AV488" s="1">
        <f t="shared" si="76"/>
        <v>0</v>
      </c>
      <c r="AW488" s="1">
        <f t="shared" si="76"/>
        <v>0</v>
      </c>
      <c r="AX488" s="1">
        <f t="shared" si="76"/>
        <v>0</v>
      </c>
      <c r="AY488" s="1">
        <f t="shared" si="76"/>
        <v>0</v>
      </c>
      <c r="AZ488" s="1">
        <f t="shared" si="76"/>
        <v>0</v>
      </c>
      <c r="BA488" s="1">
        <f t="shared" si="76"/>
        <v>0</v>
      </c>
      <c r="BB488" s="1">
        <f t="shared" si="76"/>
        <v>0</v>
      </c>
      <c r="BC488" s="1">
        <f t="shared" si="76"/>
        <v>0</v>
      </c>
      <c r="BD488" s="1">
        <f t="shared" si="76"/>
        <v>0</v>
      </c>
      <c r="BE488" s="1">
        <f t="shared" si="76"/>
        <v>0</v>
      </c>
      <c r="BF488" s="1">
        <f t="shared" si="59"/>
        <v>0</v>
      </c>
    </row>
    <row r="489" spans="2:58" x14ac:dyDescent="0.2">
      <c r="B489" s="1">
        <v>11</v>
      </c>
      <c r="C489" s="1">
        <f t="shared" ref="C489:T489" si="77">+IF(C17=0,0,1)</f>
        <v>0</v>
      </c>
      <c r="D489" s="1">
        <f t="shared" si="77"/>
        <v>0</v>
      </c>
      <c r="E489" s="1">
        <f t="shared" si="77"/>
        <v>0</v>
      </c>
      <c r="F489" s="1">
        <f t="shared" si="77"/>
        <v>0</v>
      </c>
      <c r="G489" s="1">
        <f t="shared" si="77"/>
        <v>0</v>
      </c>
      <c r="H489" s="1">
        <f t="shared" si="77"/>
        <v>0</v>
      </c>
      <c r="I489" s="1">
        <f t="shared" si="77"/>
        <v>0</v>
      </c>
      <c r="J489" s="1">
        <f t="shared" si="77"/>
        <v>0</v>
      </c>
      <c r="K489" s="1">
        <f t="shared" si="77"/>
        <v>0</v>
      </c>
      <c r="L489" s="1">
        <f t="shared" si="77"/>
        <v>0</v>
      </c>
      <c r="M489" s="1">
        <f t="shared" si="77"/>
        <v>0</v>
      </c>
      <c r="N489" s="1">
        <f t="shared" si="77"/>
        <v>0</v>
      </c>
      <c r="O489" s="1">
        <f t="shared" si="77"/>
        <v>0</v>
      </c>
      <c r="P489" s="1">
        <f t="shared" si="77"/>
        <v>1</v>
      </c>
      <c r="Q489" s="1">
        <f t="shared" si="77"/>
        <v>0</v>
      </c>
      <c r="R489" s="1">
        <f t="shared" si="77"/>
        <v>0</v>
      </c>
      <c r="S489" s="1">
        <f t="shared" si="77"/>
        <v>0</v>
      </c>
      <c r="T489" s="1">
        <f t="shared" si="77"/>
        <v>0</v>
      </c>
      <c r="U489" s="1">
        <f t="shared" si="67"/>
        <v>0</v>
      </c>
      <c r="V489" s="1">
        <f t="shared" ref="V489:BE489" si="78">+IF(V17=0,0,1)</f>
        <v>0</v>
      </c>
      <c r="W489" s="1">
        <f t="shared" si="78"/>
        <v>0</v>
      </c>
      <c r="X489" s="1">
        <f t="shared" si="78"/>
        <v>0</v>
      </c>
      <c r="Y489" s="1">
        <f t="shared" si="78"/>
        <v>0</v>
      </c>
      <c r="Z489" s="1">
        <f t="shared" si="78"/>
        <v>0</v>
      </c>
      <c r="AA489" s="1">
        <f t="shared" si="78"/>
        <v>0</v>
      </c>
      <c r="AB489" s="1">
        <f t="shared" si="78"/>
        <v>0</v>
      </c>
      <c r="AC489" s="1">
        <f t="shared" si="78"/>
        <v>0</v>
      </c>
      <c r="AD489" s="1">
        <f t="shared" si="78"/>
        <v>0</v>
      </c>
      <c r="AE489" s="1">
        <f t="shared" si="78"/>
        <v>0</v>
      </c>
      <c r="AF489" s="1">
        <f t="shared" si="78"/>
        <v>0</v>
      </c>
      <c r="AG489" s="1">
        <f t="shared" si="78"/>
        <v>0</v>
      </c>
      <c r="AH489" s="1">
        <f t="shared" si="78"/>
        <v>0</v>
      </c>
      <c r="AI489" s="1">
        <f t="shared" si="78"/>
        <v>0</v>
      </c>
      <c r="AJ489" s="1">
        <f t="shared" si="78"/>
        <v>0</v>
      </c>
      <c r="AK489" s="1">
        <f t="shared" si="78"/>
        <v>0</v>
      </c>
      <c r="AL489" s="1">
        <f t="shared" si="78"/>
        <v>0</v>
      </c>
      <c r="AM489" s="1">
        <f t="shared" si="78"/>
        <v>0</v>
      </c>
      <c r="AN489" s="1">
        <f t="shared" si="78"/>
        <v>0</v>
      </c>
      <c r="AO489" s="1">
        <f t="shared" si="78"/>
        <v>0</v>
      </c>
      <c r="AP489" s="1">
        <f t="shared" si="78"/>
        <v>0</v>
      </c>
      <c r="AQ489" s="1">
        <f t="shared" si="78"/>
        <v>0</v>
      </c>
      <c r="AR489" s="1">
        <f t="shared" si="78"/>
        <v>0</v>
      </c>
      <c r="AS489" s="1">
        <f t="shared" si="78"/>
        <v>1</v>
      </c>
      <c r="AT489" s="1">
        <f t="shared" si="78"/>
        <v>0</v>
      </c>
      <c r="AU489" s="1">
        <f t="shared" si="78"/>
        <v>0</v>
      </c>
      <c r="AV489" s="1">
        <f t="shared" si="78"/>
        <v>0</v>
      </c>
      <c r="AW489" s="1">
        <f t="shared" si="78"/>
        <v>0</v>
      </c>
      <c r="AX489" s="1">
        <f t="shared" si="78"/>
        <v>0</v>
      </c>
      <c r="AY489" s="1">
        <f t="shared" si="78"/>
        <v>0</v>
      </c>
      <c r="AZ489" s="1">
        <f t="shared" si="78"/>
        <v>0</v>
      </c>
      <c r="BA489" s="1">
        <f t="shared" si="78"/>
        <v>0</v>
      </c>
      <c r="BB489" s="1">
        <f t="shared" si="78"/>
        <v>0</v>
      </c>
      <c r="BC489" s="1">
        <f t="shared" si="78"/>
        <v>0</v>
      </c>
      <c r="BD489" s="1">
        <f t="shared" si="78"/>
        <v>0</v>
      </c>
      <c r="BE489" s="1">
        <f t="shared" si="78"/>
        <v>0</v>
      </c>
      <c r="BF489" s="1">
        <f t="shared" si="59"/>
        <v>0</v>
      </c>
    </row>
    <row r="490" spans="2:58" x14ac:dyDescent="0.2">
      <c r="B490" s="1">
        <v>12</v>
      </c>
      <c r="C490" s="1">
        <f t="shared" ref="C490:T490" si="79">+IF(C18=0,0,1)</f>
        <v>0</v>
      </c>
      <c r="D490" s="1">
        <f t="shared" si="79"/>
        <v>0</v>
      </c>
      <c r="E490" s="1">
        <f t="shared" si="79"/>
        <v>0</v>
      </c>
      <c r="F490" s="1">
        <f t="shared" si="79"/>
        <v>0</v>
      </c>
      <c r="G490" s="1">
        <f t="shared" si="79"/>
        <v>0</v>
      </c>
      <c r="H490" s="1">
        <f t="shared" si="79"/>
        <v>0</v>
      </c>
      <c r="I490" s="1">
        <f t="shared" si="79"/>
        <v>0</v>
      </c>
      <c r="J490" s="1">
        <f t="shared" si="79"/>
        <v>0</v>
      </c>
      <c r="K490" s="1">
        <f t="shared" si="79"/>
        <v>0</v>
      </c>
      <c r="L490" s="1">
        <f t="shared" si="79"/>
        <v>0</v>
      </c>
      <c r="M490" s="1">
        <f t="shared" si="79"/>
        <v>0</v>
      </c>
      <c r="N490" s="1">
        <f t="shared" si="79"/>
        <v>0</v>
      </c>
      <c r="O490" s="1">
        <f t="shared" si="79"/>
        <v>0</v>
      </c>
      <c r="P490" s="1">
        <f t="shared" si="79"/>
        <v>1</v>
      </c>
      <c r="Q490" s="1">
        <f t="shared" si="79"/>
        <v>0</v>
      </c>
      <c r="R490" s="1">
        <f t="shared" si="79"/>
        <v>0</v>
      </c>
      <c r="S490" s="1">
        <f t="shared" si="79"/>
        <v>0</v>
      </c>
      <c r="T490" s="1">
        <f t="shared" si="79"/>
        <v>0</v>
      </c>
      <c r="U490" s="1">
        <f t="shared" si="67"/>
        <v>0</v>
      </c>
      <c r="V490" s="1">
        <f t="shared" ref="V490:BE490" si="80">+IF(V18=0,0,1)</f>
        <v>0</v>
      </c>
      <c r="W490" s="1">
        <f t="shared" si="80"/>
        <v>0</v>
      </c>
      <c r="X490" s="1">
        <f t="shared" si="80"/>
        <v>0</v>
      </c>
      <c r="Y490" s="1">
        <f t="shared" si="80"/>
        <v>0</v>
      </c>
      <c r="Z490" s="1">
        <f t="shared" si="80"/>
        <v>0</v>
      </c>
      <c r="AA490" s="1">
        <f t="shared" si="80"/>
        <v>0</v>
      </c>
      <c r="AB490" s="1">
        <f t="shared" si="80"/>
        <v>0</v>
      </c>
      <c r="AC490" s="1">
        <f t="shared" si="80"/>
        <v>0</v>
      </c>
      <c r="AD490" s="1">
        <f t="shared" si="80"/>
        <v>0</v>
      </c>
      <c r="AE490" s="1">
        <f t="shared" si="80"/>
        <v>0</v>
      </c>
      <c r="AF490" s="1">
        <f t="shared" si="80"/>
        <v>0</v>
      </c>
      <c r="AG490" s="1">
        <f t="shared" si="80"/>
        <v>0</v>
      </c>
      <c r="AH490" s="1">
        <f t="shared" si="80"/>
        <v>0</v>
      </c>
      <c r="AI490" s="1">
        <f t="shared" si="80"/>
        <v>0</v>
      </c>
      <c r="AJ490" s="1">
        <f t="shared" si="80"/>
        <v>0</v>
      </c>
      <c r="AK490" s="1">
        <f t="shared" si="80"/>
        <v>0</v>
      </c>
      <c r="AL490" s="1">
        <f t="shared" si="80"/>
        <v>0</v>
      </c>
      <c r="AM490" s="1">
        <f t="shared" si="80"/>
        <v>0</v>
      </c>
      <c r="AN490" s="1">
        <f t="shared" si="80"/>
        <v>0</v>
      </c>
      <c r="AO490" s="1">
        <f t="shared" si="80"/>
        <v>0</v>
      </c>
      <c r="AP490" s="1">
        <f t="shared" si="80"/>
        <v>0</v>
      </c>
      <c r="AQ490" s="1">
        <f t="shared" si="80"/>
        <v>0</v>
      </c>
      <c r="AR490" s="1">
        <f t="shared" si="80"/>
        <v>0</v>
      </c>
      <c r="AS490" s="1">
        <f t="shared" si="80"/>
        <v>1</v>
      </c>
      <c r="AT490" s="1">
        <f t="shared" si="80"/>
        <v>0</v>
      </c>
      <c r="AU490" s="1">
        <f t="shared" si="80"/>
        <v>0</v>
      </c>
      <c r="AV490" s="1">
        <f t="shared" si="80"/>
        <v>0</v>
      </c>
      <c r="AW490" s="1">
        <f t="shared" si="80"/>
        <v>0</v>
      </c>
      <c r="AX490" s="1">
        <f t="shared" si="80"/>
        <v>0</v>
      </c>
      <c r="AY490" s="1">
        <f t="shared" si="80"/>
        <v>0</v>
      </c>
      <c r="AZ490" s="1">
        <f t="shared" si="80"/>
        <v>0</v>
      </c>
      <c r="BA490" s="1">
        <f t="shared" si="80"/>
        <v>0</v>
      </c>
      <c r="BB490" s="1">
        <f t="shared" si="80"/>
        <v>0</v>
      </c>
      <c r="BC490" s="1">
        <f t="shared" si="80"/>
        <v>0</v>
      </c>
      <c r="BD490" s="1">
        <f t="shared" si="80"/>
        <v>0</v>
      </c>
      <c r="BE490" s="1">
        <f t="shared" si="80"/>
        <v>0</v>
      </c>
      <c r="BF490" s="1">
        <f t="shared" si="59"/>
        <v>0</v>
      </c>
    </row>
    <row r="491" spans="2:58" x14ac:dyDescent="0.2">
      <c r="B491" s="1">
        <v>13</v>
      </c>
      <c r="C491" s="1">
        <f t="shared" ref="C491:T491" si="81">+IF(C19=0,0,1)</f>
        <v>0</v>
      </c>
      <c r="D491" s="1">
        <f t="shared" si="81"/>
        <v>0</v>
      </c>
      <c r="E491" s="1">
        <f t="shared" si="81"/>
        <v>0</v>
      </c>
      <c r="F491" s="1">
        <f t="shared" si="81"/>
        <v>0</v>
      </c>
      <c r="G491" s="1">
        <f t="shared" si="81"/>
        <v>0</v>
      </c>
      <c r="H491" s="1">
        <f t="shared" si="81"/>
        <v>0</v>
      </c>
      <c r="I491" s="1">
        <f t="shared" si="81"/>
        <v>0</v>
      </c>
      <c r="J491" s="1">
        <f t="shared" si="81"/>
        <v>0</v>
      </c>
      <c r="K491" s="1">
        <f t="shared" si="81"/>
        <v>0</v>
      </c>
      <c r="L491" s="1">
        <f t="shared" si="81"/>
        <v>0</v>
      </c>
      <c r="M491" s="1">
        <f t="shared" si="81"/>
        <v>0</v>
      </c>
      <c r="N491" s="1">
        <f t="shared" si="81"/>
        <v>0</v>
      </c>
      <c r="O491" s="1">
        <f t="shared" si="81"/>
        <v>0</v>
      </c>
      <c r="P491" s="1">
        <f t="shared" si="81"/>
        <v>1</v>
      </c>
      <c r="Q491" s="1">
        <f t="shared" si="81"/>
        <v>0</v>
      </c>
      <c r="R491" s="1">
        <f t="shared" si="81"/>
        <v>0</v>
      </c>
      <c r="S491" s="1">
        <f t="shared" si="81"/>
        <v>0</v>
      </c>
      <c r="T491" s="1">
        <f t="shared" si="81"/>
        <v>0</v>
      </c>
      <c r="U491" s="1">
        <f t="shared" si="67"/>
        <v>0</v>
      </c>
      <c r="V491" s="1">
        <f t="shared" ref="V491:BE491" si="82">+IF(V19=0,0,1)</f>
        <v>0</v>
      </c>
      <c r="W491" s="1">
        <f t="shared" si="82"/>
        <v>0</v>
      </c>
      <c r="X491" s="1">
        <f t="shared" si="82"/>
        <v>0</v>
      </c>
      <c r="Y491" s="1">
        <f t="shared" si="82"/>
        <v>0</v>
      </c>
      <c r="Z491" s="1">
        <f t="shared" si="82"/>
        <v>0</v>
      </c>
      <c r="AA491" s="1">
        <f t="shared" si="82"/>
        <v>0</v>
      </c>
      <c r="AB491" s="1">
        <f t="shared" si="82"/>
        <v>0</v>
      </c>
      <c r="AC491" s="1">
        <f t="shared" si="82"/>
        <v>0</v>
      </c>
      <c r="AD491" s="1">
        <f t="shared" si="82"/>
        <v>0</v>
      </c>
      <c r="AE491" s="1">
        <f t="shared" si="82"/>
        <v>0</v>
      </c>
      <c r="AF491" s="1">
        <f t="shared" si="82"/>
        <v>0</v>
      </c>
      <c r="AG491" s="1">
        <f t="shared" si="82"/>
        <v>0</v>
      </c>
      <c r="AH491" s="1">
        <f t="shared" si="82"/>
        <v>0</v>
      </c>
      <c r="AI491" s="1">
        <f t="shared" si="82"/>
        <v>0</v>
      </c>
      <c r="AJ491" s="1">
        <f t="shared" si="82"/>
        <v>0</v>
      </c>
      <c r="AK491" s="1">
        <f t="shared" si="82"/>
        <v>0</v>
      </c>
      <c r="AL491" s="1">
        <f t="shared" si="82"/>
        <v>0</v>
      </c>
      <c r="AM491" s="1">
        <f t="shared" si="82"/>
        <v>0</v>
      </c>
      <c r="AN491" s="1">
        <f t="shared" si="82"/>
        <v>0</v>
      </c>
      <c r="AO491" s="1">
        <f t="shared" si="82"/>
        <v>0</v>
      </c>
      <c r="AP491" s="1">
        <f t="shared" si="82"/>
        <v>0</v>
      </c>
      <c r="AQ491" s="1">
        <f t="shared" si="82"/>
        <v>0</v>
      </c>
      <c r="AR491" s="1">
        <f t="shared" si="82"/>
        <v>0</v>
      </c>
      <c r="AS491" s="1">
        <f t="shared" si="82"/>
        <v>0</v>
      </c>
      <c r="AT491" s="1">
        <f t="shared" si="82"/>
        <v>0</v>
      </c>
      <c r="AU491" s="1">
        <f t="shared" si="82"/>
        <v>0</v>
      </c>
      <c r="AV491" s="1">
        <f t="shared" si="82"/>
        <v>0</v>
      </c>
      <c r="AW491" s="1">
        <f t="shared" si="82"/>
        <v>0</v>
      </c>
      <c r="AX491" s="1">
        <f t="shared" si="82"/>
        <v>0</v>
      </c>
      <c r="AY491" s="1">
        <f t="shared" si="82"/>
        <v>0</v>
      </c>
      <c r="AZ491" s="1">
        <f t="shared" si="82"/>
        <v>0</v>
      </c>
      <c r="BA491" s="1">
        <f t="shared" si="82"/>
        <v>0</v>
      </c>
      <c r="BB491" s="1">
        <f t="shared" si="82"/>
        <v>0</v>
      </c>
      <c r="BC491" s="1">
        <f t="shared" si="82"/>
        <v>0</v>
      </c>
      <c r="BD491" s="1">
        <f t="shared" si="82"/>
        <v>0</v>
      </c>
      <c r="BE491" s="1">
        <f t="shared" si="82"/>
        <v>0</v>
      </c>
      <c r="BF491" s="1">
        <f t="shared" si="59"/>
        <v>0</v>
      </c>
    </row>
    <row r="492" spans="2:58" x14ac:dyDescent="0.2">
      <c r="B492" s="1">
        <v>14</v>
      </c>
      <c r="C492" s="1">
        <f t="shared" ref="C492:T492" si="83">+IF(C20=0,0,1)</f>
        <v>0</v>
      </c>
      <c r="D492" s="1">
        <f t="shared" si="83"/>
        <v>0</v>
      </c>
      <c r="E492" s="1">
        <f t="shared" si="83"/>
        <v>0</v>
      </c>
      <c r="F492" s="1">
        <f t="shared" si="83"/>
        <v>0</v>
      </c>
      <c r="G492" s="1">
        <f t="shared" si="83"/>
        <v>0</v>
      </c>
      <c r="H492" s="1">
        <f t="shared" si="83"/>
        <v>0</v>
      </c>
      <c r="I492" s="1">
        <f t="shared" si="83"/>
        <v>0</v>
      </c>
      <c r="J492" s="1">
        <f t="shared" si="83"/>
        <v>0</v>
      </c>
      <c r="K492" s="1">
        <f t="shared" si="83"/>
        <v>0</v>
      </c>
      <c r="L492" s="1">
        <f t="shared" si="83"/>
        <v>0</v>
      </c>
      <c r="M492" s="1">
        <f t="shared" si="83"/>
        <v>0</v>
      </c>
      <c r="N492" s="1">
        <f t="shared" si="83"/>
        <v>0</v>
      </c>
      <c r="O492" s="1">
        <f t="shared" si="83"/>
        <v>0</v>
      </c>
      <c r="P492" s="1">
        <f t="shared" si="83"/>
        <v>1</v>
      </c>
      <c r="Q492" s="1">
        <f t="shared" si="83"/>
        <v>0</v>
      </c>
      <c r="R492" s="1">
        <f t="shared" si="83"/>
        <v>0</v>
      </c>
      <c r="S492" s="1">
        <f t="shared" si="83"/>
        <v>0</v>
      </c>
      <c r="T492" s="1">
        <f t="shared" si="83"/>
        <v>0</v>
      </c>
      <c r="U492" s="1">
        <f t="shared" si="67"/>
        <v>0</v>
      </c>
      <c r="V492" s="1">
        <f t="shared" ref="V492:BE492" si="84">+IF(V20=0,0,1)</f>
        <v>0</v>
      </c>
      <c r="W492" s="1">
        <f t="shared" si="84"/>
        <v>0</v>
      </c>
      <c r="X492" s="1">
        <f t="shared" si="84"/>
        <v>0</v>
      </c>
      <c r="Y492" s="1">
        <f t="shared" si="84"/>
        <v>0</v>
      </c>
      <c r="Z492" s="1">
        <f t="shared" si="84"/>
        <v>0</v>
      </c>
      <c r="AA492" s="1">
        <f t="shared" si="84"/>
        <v>0</v>
      </c>
      <c r="AB492" s="1">
        <f t="shared" si="84"/>
        <v>0</v>
      </c>
      <c r="AC492" s="1">
        <f t="shared" si="84"/>
        <v>0</v>
      </c>
      <c r="AD492" s="1">
        <f t="shared" si="84"/>
        <v>0</v>
      </c>
      <c r="AE492" s="1">
        <f t="shared" si="84"/>
        <v>0</v>
      </c>
      <c r="AF492" s="1">
        <f t="shared" si="84"/>
        <v>0</v>
      </c>
      <c r="AG492" s="1">
        <f t="shared" si="84"/>
        <v>0</v>
      </c>
      <c r="AH492" s="1">
        <f t="shared" si="84"/>
        <v>0</v>
      </c>
      <c r="AI492" s="1">
        <f t="shared" si="84"/>
        <v>0</v>
      </c>
      <c r="AJ492" s="1">
        <f t="shared" si="84"/>
        <v>0</v>
      </c>
      <c r="AK492" s="1">
        <f t="shared" si="84"/>
        <v>0</v>
      </c>
      <c r="AL492" s="1">
        <f t="shared" si="84"/>
        <v>0</v>
      </c>
      <c r="AM492" s="1">
        <f t="shared" si="84"/>
        <v>0</v>
      </c>
      <c r="AN492" s="1">
        <f t="shared" si="84"/>
        <v>0</v>
      </c>
      <c r="AO492" s="1">
        <f t="shared" si="84"/>
        <v>0</v>
      </c>
      <c r="AP492" s="1">
        <f t="shared" si="84"/>
        <v>0</v>
      </c>
      <c r="AQ492" s="1">
        <f t="shared" si="84"/>
        <v>0</v>
      </c>
      <c r="AR492" s="1">
        <f t="shared" si="84"/>
        <v>0</v>
      </c>
      <c r="AS492" s="1">
        <f t="shared" si="84"/>
        <v>0</v>
      </c>
      <c r="AT492" s="1">
        <f t="shared" si="84"/>
        <v>0</v>
      </c>
      <c r="AU492" s="1">
        <f t="shared" si="84"/>
        <v>0</v>
      </c>
      <c r="AV492" s="1">
        <f t="shared" si="84"/>
        <v>0</v>
      </c>
      <c r="AW492" s="1">
        <f t="shared" si="84"/>
        <v>0</v>
      </c>
      <c r="AX492" s="1">
        <f t="shared" si="84"/>
        <v>0</v>
      </c>
      <c r="AY492" s="1">
        <f t="shared" si="84"/>
        <v>0</v>
      </c>
      <c r="AZ492" s="1">
        <f t="shared" si="84"/>
        <v>0</v>
      </c>
      <c r="BA492" s="1">
        <f t="shared" si="84"/>
        <v>0</v>
      </c>
      <c r="BB492" s="1">
        <f t="shared" si="84"/>
        <v>0</v>
      </c>
      <c r="BC492" s="1">
        <f t="shared" si="84"/>
        <v>0</v>
      </c>
      <c r="BD492" s="1">
        <f t="shared" si="84"/>
        <v>0</v>
      </c>
      <c r="BE492" s="1">
        <f t="shared" si="84"/>
        <v>0</v>
      </c>
      <c r="BF492" s="1">
        <f t="shared" si="59"/>
        <v>0</v>
      </c>
    </row>
    <row r="493" spans="2:58" x14ac:dyDescent="0.2">
      <c r="B493" s="1">
        <v>15</v>
      </c>
      <c r="C493" s="1">
        <f t="shared" ref="C493:T493" si="85">+IF(C21=0,0,1)</f>
        <v>0</v>
      </c>
      <c r="D493" s="1">
        <f t="shared" si="85"/>
        <v>0</v>
      </c>
      <c r="E493" s="1">
        <f t="shared" si="85"/>
        <v>0</v>
      </c>
      <c r="F493" s="1">
        <f t="shared" si="85"/>
        <v>0</v>
      </c>
      <c r="G493" s="1">
        <f t="shared" si="85"/>
        <v>0</v>
      </c>
      <c r="H493" s="1">
        <f t="shared" si="85"/>
        <v>0</v>
      </c>
      <c r="I493" s="1">
        <f t="shared" si="85"/>
        <v>0</v>
      </c>
      <c r="J493" s="1">
        <f t="shared" si="85"/>
        <v>0</v>
      </c>
      <c r="K493" s="1">
        <f t="shared" si="85"/>
        <v>0</v>
      </c>
      <c r="L493" s="1">
        <f t="shared" si="85"/>
        <v>0</v>
      </c>
      <c r="M493" s="1">
        <f t="shared" si="85"/>
        <v>0</v>
      </c>
      <c r="N493" s="1">
        <f t="shared" si="85"/>
        <v>0</v>
      </c>
      <c r="O493" s="1">
        <f t="shared" si="85"/>
        <v>0</v>
      </c>
      <c r="P493" s="1">
        <f t="shared" si="85"/>
        <v>0</v>
      </c>
      <c r="Q493" s="1">
        <f t="shared" si="85"/>
        <v>0</v>
      </c>
      <c r="R493" s="1">
        <f t="shared" si="85"/>
        <v>0</v>
      </c>
      <c r="S493" s="1">
        <f t="shared" si="85"/>
        <v>0</v>
      </c>
      <c r="T493" s="1">
        <f t="shared" si="85"/>
        <v>0</v>
      </c>
      <c r="U493" s="1">
        <f t="shared" si="67"/>
        <v>0</v>
      </c>
      <c r="V493" s="1">
        <f t="shared" ref="V493:BE493" si="86">+IF(V21=0,0,1)</f>
        <v>0</v>
      </c>
      <c r="W493" s="1">
        <f t="shared" si="86"/>
        <v>0</v>
      </c>
      <c r="X493" s="1">
        <f t="shared" si="86"/>
        <v>0</v>
      </c>
      <c r="Y493" s="1">
        <f t="shared" si="86"/>
        <v>0</v>
      </c>
      <c r="Z493" s="1">
        <f t="shared" si="86"/>
        <v>0</v>
      </c>
      <c r="AA493" s="1">
        <f t="shared" si="86"/>
        <v>0</v>
      </c>
      <c r="AB493" s="1">
        <f t="shared" si="86"/>
        <v>0</v>
      </c>
      <c r="AC493" s="1">
        <f t="shared" si="86"/>
        <v>0</v>
      </c>
      <c r="AD493" s="1">
        <f t="shared" si="86"/>
        <v>0</v>
      </c>
      <c r="AE493" s="1">
        <f t="shared" si="86"/>
        <v>0</v>
      </c>
      <c r="AF493" s="1">
        <f t="shared" si="86"/>
        <v>0</v>
      </c>
      <c r="AG493" s="1">
        <f t="shared" si="86"/>
        <v>0</v>
      </c>
      <c r="AH493" s="1">
        <f t="shared" si="86"/>
        <v>0</v>
      </c>
      <c r="AI493" s="1">
        <f t="shared" si="86"/>
        <v>0</v>
      </c>
      <c r="AJ493" s="1">
        <f t="shared" si="86"/>
        <v>0</v>
      </c>
      <c r="AK493" s="1">
        <f t="shared" si="86"/>
        <v>0</v>
      </c>
      <c r="AL493" s="1">
        <f t="shared" si="86"/>
        <v>0</v>
      </c>
      <c r="AM493" s="1">
        <f t="shared" si="86"/>
        <v>0</v>
      </c>
      <c r="AN493" s="1">
        <f t="shared" si="86"/>
        <v>0</v>
      </c>
      <c r="AO493" s="1">
        <f t="shared" si="86"/>
        <v>0</v>
      </c>
      <c r="AP493" s="1">
        <f t="shared" si="86"/>
        <v>0</v>
      </c>
      <c r="AQ493" s="1">
        <f t="shared" si="86"/>
        <v>0</v>
      </c>
      <c r="AR493" s="1">
        <f t="shared" si="86"/>
        <v>0</v>
      </c>
      <c r="AS493" s="1">
        <f t="shared" si="86"/>
        <v>0</v>
      </c>
      <c r="AT493" s="1">
        <f t="shared" si="86"/>
        <v>0</v>
      </c>
      <c r="AU493" s="1">
        <f t="shared" si="86"/>
        <v>0</v>
      </c>
      <c r="AV493" s="1">
        <f t="shared" si="86"/>
        <v>0</v>
      </c>
      <c r="AW493" s="1">
        <f t="shared" si="86"/>
        <v>0</v>
      </c>
      <c r="AX493" s="1">
        <f t="shared" si="86"/>
        <v>0</v>
      </c>
      <c r="AY493" s="1">
        <f t="shared" si="86"/>
        <v>0</v>
      </c>
      <c r="AZ493" s="1">
        <f t="shared" si="86"/>
        <v>0</v>
      </c>
      <c r="BA493" s="1">
        <f t="shared" si="86"/>
        <v>0</v>
      </c>
      <c r="BB493" s="1">
        <f t="shared" si="86"/>
        <v>0</v>
      </c>
      <c r="BC493" s="1">
        <f t="shared" si="86"/>
        <v>0</v>
      </c>
      <c r="BD493" s="1">
        <f t="shared" si="86"/>
        <v>0</v>
      </c>
      <c r="BE493" s="1">
        <f t="shared" si="86"/>
        <v>0</v>
      </c>
      <c r="BF493" s="1">
        <f t="shared" si="59"/>
        <v>0</v>
      </c>
    </row>
    <row r="494" spans="2:58" x14ac:dyDescent="0.2">
      <c r="B494" s="1">
        <v>16</v>
      </c>
      <c r="C494" s="1">
        <f t="shared" ref="C494:T494" si="87">+IF(C22=0,0,1)</f>
        <v>0</v>
      </c>
      <c r="D494" s="1">
        <f t="shared" si="87"/>
        <v>0</v>
      </c>
      <c r="E494" s="1">
        <f t="shared" si="87"/>
        <v>0</v>
      </c>
      <c r="F494" s="1">
        <f t="shared" si="87"/>
        <v>0</v>
      </c>
      <c r="G494" s="1">
        <f t="shared" si="87"/>
        <v>0</v>
      </c>
      <c r="H494" s="1">
        <f t="shared" si="87"/>
        <v>0</v>
      </c>
      <c r="I494" s="1">
        <f t="shared" si="87"/>
        <v>0</v>
      </c>
      <c r="J494" s="1">
        <f t="shared" si="87"/>
        <v>0</v>
      </c>
      <c r="K494" s="1">
        <f t="shared" si="87"/>
        <v>0</v>
      </c>
      <c r="L494" s="1">
        <f t="shared" si="87"/>
        <v>0</v>
      </c>
      <c r="M494" s="1">
        <f t="shared" si="87"/>
        <v>0</v>
      </c>
      <c r="N494" s="1">
        <f t="shared" si="87"/>
        <v>0</v>
      </c>
      <c r="O494" s="1">
        <f t="shared" si="87"/>
        <v>0</v>
      </c>
      <c r="P494" s="1">
        <f t="shared" si="87"/>
        <v>0</v>
      </c>
      <c r="Q494" s="1">
        <f t="shared" si="87"/>
        <v>0</v>
      </c>
      <c r="R494" s="1">
        <f t="shared" si="87"/>
        <v>0</v>
      </c>
      <c r="S494" s="1">
        <f t="shared" si="87"/>
        <v>0</v>
      </c>
      <c r="T494" s="1">
        <f t="shared" si="87"/>
        <v>0</v>
      </c>
      <c r="U494" s="1">
        <f t="shared" si="67"/>
        <v>0</v>
      </c>
      <c r="V494" s="1">
        <f t="shared" ref="V494:BE494" si="88">+IF(V22=0,0,1)</f>
        <v>0</v>
      </c>
      <c r="W494" s="1">
        <f t="shared" si="88"/>
        <v>0</v>
      </c>
      <c r="X494" s="1">
        <f t="shared" si="88"/>
        <v>0</v>
      </c>
      <c r="Y494" s="1">
        <f t="shared" si="88"/>
        <v>0</v>
      </c>
      <c r="Z494" s="1">
        <f t="shared" si="88"/>
        <v>0</v>
      </c>
      <c r="AA494" s="1">
        <f t="shared" si="88"/>
        <v>0</v>
      </c>
      <c r="AB494" s="1">
        <f t="shared" si="88"/>
        <v>0</v>
      </c>
      <c r="AC494" s="1">
        <f t="shared" si="88"/>
        <v>0</v>
      </c>
      <c r="AD494" s="1">
        <f t="shared" si="88"/>
        <v>0</v>
      </c>
      <c r="AE494" s="1">
        <f t="shared" si="88"/>
        <v>0</v>
      </c>
      <c r="AF494" s="1">
        <f t="shared" si="88"/>
        <v>0</v>
      </c>
      <c r="AG494" s="1">
        <f t="shared" si="88"/>
        <v>0</v>
      </c>
      <c r="AH494" s="1">
        <f t="shared" si="88"/>
        <v>0</v>
      </c>
      <c r="AI494" s="1">
        <f t="shared" si="88"/>
        <v>0</v>
      </c>
      <c r="AJ494" s="1">
        <f t="shared" si="88"/>
        <v>0</v>
      </c>
      <c r="AK494" s="1">
        <f t="shared" si="88"/>
        <v>0</v>
      </c>
      <c r="AL494" s="1">
        <f t="shared" si="88"/>
        <v>0</v>
      </c>
      <c r="AM494" s="1">
        <f t="shared" si="88"/>
        <v>0</v>
      </c>
      <c r="AN494" s="1">
        <f t="shared" si="88"/>
        <v>0</v>
      </c>
      <c r="AO494" s="1">
        <f t="shared" si="88"/>
        <v>0</v>
      </c>
      <c r="AP494" s="1">
        <f t="shared" si="88"/>
        <v>0</v>
      </c>
      <c r="AQ494" s="1">
        <f t="shared" si="88"/>
        <v>0</v>
      </c>
      <c r="AR494" s="1">
        <f t="shared" si="88"/>
        <v>0</v>
      </c>
      <c r="AS494" s="1">
        <f t="shared" si="88"/>
        <v>0</v>
      </c>
      <c r="AT494" s="1">
        <f t="shared" si="88"/>
        <v>0</v>
      </c>
      <c r="AU494" s="1">
        <f t="shared" si="88"/>
        <v>0</v>
      </c>
      <c r="AV494" s="1">
        <f t="shared" si="88"/>
        <v>0</v>
      </c>
      <c r="AW494" s="1">
        <f t="shared" si="88"/>
        <v>0</v>
      </c>
      <c r="AX494" s="1">
        <f t="shared" si="88"/>
        <v>0</v>
      </c>
      <c r="AY494" s="1">
        <f t="shared" si="88"/>
        <v>0</v>
      </c>
      <c r="AZ494" s="1">
        <f t="shared" si="88"/>
        <v>0</v>
      </c>
      <c r="BA494" s="1">
        <f t="shared" si="88"/>
        <v>0</v>
      </c>
      <c r="BB494" s="1">
        <f t="shared" si="88"/>
        <v>0</v>
      </c>
      <c r="BC494" s="1">
        <f t="shared" si="88"/>
        <v>0</v>
      </c>
      <c r="BD494" s="1">
        <f t="shared" si="88"/>
        <v>0</v>
      </c>
      <c r="BE494" s="1">
        <f t="shared" si="88"/>
        <v>0</v>
      </c>
      <c r="BF494" s="1">
        <f t="shared" si="59"/>
        <v>0</v>
      </c>
    </row>
    <row r="495" spans="2:58" x14ac:dyDescent="0.2">
      <c r="B495" s="1">
        <v>17</v>
      </c>
      <c r="C495" s="1">
        <f t="shared" ref="C495:T495" si="89">+IF(C23=0,0,1)</f>
        <v>0</v>
      </c>
      <c r="D495" s="1">
        <f t="shared" si="89"/>
        <v>0</v>
      </c>
      <c r="E495" s="1">
        <f t="shared" si="89"/>
        <v>0</v>
      </c>
      <c r="F495" s="1">
        <f t="shared" si="89"/>
        <v>0</v>
      </c>
      <c r="G495" s="1">
        <f t="shared" si="89"/>
        <v>0</v>
      </c>
      <c r="H495" s="1">
        <f t="shared" si="89"/>
        <v>0</v>
      </c>
      <c r="I495" s="1">
        <f t="shared" si="89"/>
        <v>0</v>
      </c>
      <c r="J495" s="1">
        <f t="shared" si="89"/>
        <v>0</v>
      </c>
      <c r="K495" s="1">
        <f t="shared" si="89"/>
        <v>0</v>
      </c>
      <c r="L495" s="1">
        <f t="shared" si="89"/>
        <v>0</v>
      </c>
      <c r="M495" s="1">
        <f t="shared" si="89"/>
        <v>0</v>
      </c>
      <c r="N495" s="1">
        <f t="shared" si="89"/>
        <v>0</v>
      </c>
      <c r="O495" s="1">
        <f t="shared" si="89"/>
        <v>0</v>
      </c>
      <c r="P495" s="1">
        <f t="shared" si="89"/>
        <v>0</v>
      </c>
      <c r="Q495" s="1">
        <f t="shared" si="89"/>
        <v>0</v>
      </c>
      <c r="R495" s="1">
        <f t="shared" si="89"/>
        <v>0</v>
      </c>
      <c r="S495" s="1">
        <f t="shared" si="89"/>
        <v>0</v>
      </c>
      <c r="T495" s="1">
        <f t="shared" si="89"/>
        <v>0</v>
      </c>
      <c r="U495" s="1">
        <f t="shared" si="67"/>
        <v>0</v>
      </c>
      <c r="V495" s="1">
        <f t="shared" ref="V495:BE495" si="90">+IF(V23=0,0,1)</f>
        <v>0</v>
      </c>
      <c r="W495" s="1">
        <f t="shared" si="90"/>
        <v>0</v>
      </c>
      <c r="X495" s="1">
        <f t="shared" si="90"/>
        <v>0</v>
      </c>
      <c r="Y495" s="1">
        <f t="shared" si="90"/>
        <v>0</v>
      </c>
      <c r="Z495" s="1">
        <f t="shared" si="90"/>
        <v>0</v>
      </c>
      <c r="AA495" s="1">
        <f t="shared" si="90"/>
        <v>0</v>
      </c>
      <c r="AB495" s="1">
        <f t="shared" si="90"/>
        <v>0</v>
      </c>
      <c r="AC495" s="1">
        <f t="shared" si="90"/>
        <v>0</v>
      </c>
      <c r="AD495" s="1">
        <f t="shared" si="90"/>
        <v>0</v>
      </c>
      <c r="AE495" s="1">
        <f t="shared" si="90"/>
        <v>0</v>
      </c>
      <c r="AF495" s="1">
        <f t="shared" si="90"/>
        <v>0</v>
      </c>
      <c r="AG495" s="1">
        <f t="shared" si="90"/>
        <v>0</v>
      </c>
      <c r="AH495" s="1">
        <f t="shared" si="90"/>
        <v>0</v>
      </c>
      <c r="AI495" s="1">
        <f t="shared" si="90"/>
        <v>0</v>
      </c>
      <c r="AJ495" s="1">
        <f t="shared" si="90"/>
        <v>0</v>
      </c>
      <c r="AK495" s="1">
        <f t="shared" si="90"/>
        <v>0</v>
      </c>
      <c r="AL495" s="1">
        <f t="shared" si="90"/>
        <v>0</v>
      </c>
      <c r="AM495" s="1">
        <f t="shared" si="90"/>
        <v>0</v>
      </c>
      <c r="AN495" s="1">
        <f t="shared" si="90"/>
        <v>0</v>
      </c>
      <c r="AO495" s="1">
        <f t="shared" si="90"/>
        <v>0</v>
      </c>
      <c r="AP495" s="1">
        <f t="shared" si="90"/>
        <v>0</v>
      </c>
      <c r="AQ495" s="1">
        <f t="shared" si="90"/>
        <v>0</v>
      </c>
      <c r="AR495" s="1">
        <f t="shared" si="90"/>
        <v>0</v>
      </c>
      <c r="AS495" s="1">
        <f t="shared" si="90"/>
        <v>0</v>
      </c>
      <c r="AT495" s="1">
        <f t="shared" si="90"/>
        <v>0</v>
      </c>
      <c r="AU495" s="1">
        <f t="shared" si="90"/>
        <v>0</v>
      </c>
      <c r="AV495" s="1">
        <f t="shared" si="90"/>
        <v>0</v>
      </c>
      <c r="AW495" s="1">
        <f t="shared" si="90"/>
        <v>0</v>
      </c>
      <c r="AX495" s="1">
        <f t="shared" si="90"/>
        <v>0</v>
      </c>
      <c r="AY495" s="1">
        <f t="shared" si="90"/>
        <v>0</v>
      </c>
      <c r="AZ495" s="1">
        <f t="shared" si="90"/>
        <v>0</v>
      </c>
      <c r="BA495" s="1">
        <f t="shared" si="90"/>
        <v>0</v>
      </c>
      <c r="BB495" s="1">
        <f t="shared" si="90"/>
        <v>0</v>
      </c>
      <c r="BC495" s="1">
        <f t="shared" si="90"/>
        <v>0</v>
      </c>
      <c r="BD495" s="1">
        <f t="shared" si="90"/>
        <v>0</v>
      </c>
      <c r="BE495" s="1">
        <f t="shared" si="90"/>
        <v>0</v>
      </c>
      <c r="BF495" s="1">
        <f t="shared" si="59"/>
        <v>0</v>
      </c>
    </row>
    <row r="496" spans="2:58" x14ac:dyDescent="0.2">
      <c r="B496" s="1">
        <v>18</v>
      </c>
      <c r="C496" s="1">
        <f t="shared" ref="C496:T496" si="91">+IF(C24=0,0,1)</f>
        <v>0</v>
      </c>
      <c r="D496" s="1">
        <f t="shared" si="91"/>
        <v>0</v>
      </c>
      <c r="E496" s="1">
        <f t="shared" si="91"/>
        <v>0</v>
      </c>
      <c r="F496" s="1">
        <f t="shared" si="91"/>
        <v>0</v>
      </c>
      <c r="G496" s="1">
        <f t="shared" si="91"/>
        <v>0</v>
      </c>
      <c r="H496" s="1">
        <f t="shared" si="91"/>
        <v>0</v>
      </c>
      <c r="I496" s="1">
        <f t="shared" si="91"/>
        <v>0</v>
      </c>
      <c r="J496" s="1">
        <f t="shared" si="91"/>
        <v>0</v>
      </c>
      <c r="K496" s="1">
        <f t="shared" si="91"/>
        <v>0</v>
      </c>
      <c r="L496" s="1">
        <f t="shared" si="91"/>
        <v>0</v>
      </c>
      <c r="M496" s="1">
        <f t="shared" si="91"/>
        <v>0</v>
      </c>
      <c r="N496" s="1">
        <f t="shared" si="91"/>
        <v>0</v>
      </c>
      <c r="O496" s="1">
        <f t="shared" si="91"/>
        <v>0</v>
      </c>
      <c r="P496" s="1">
        <f t="shared" si="91"/>
        <v>0</v>
      </c>
      <c r="Q496" s="1">
        <f t="shared" si="91"/>
        <v>0</v>
      </c>
      <c r="R496" s="1">
        <f t="shared" si="91"/>
        <v>0</v>
      </c>
      <c r="S496" s="1">
        <f t="shared" si="91"/>
        <v>0</v>
      </c>
      <c r="T496" s="1">
        <f t="shared" si="91"/>
        <v>0</v>
      </c>
      <c r="U496" s="1">
        <f t="shared" si="67"/>
        <v>0</v>
      </c>
      <c r="V496" s="1">
        <f t="shared" ref="V496:BE496" si="92">+IF(V24=0,0,1)</f>
        <v>0</v>
      </c>
      <c r="W496" s="1">
        <f t="shared" si="92"/>
        <v>0</v>
      </c>
      <c r="X496" s="1">
        <f t="shared" si="92"/>
        <v>0</v>
      </c>
      <c r="Y496" s="1">
        <f t="shared" si="92"/>
        <v>0</v>
      </c>
      <c r="Z496" s="1">
        <f t="shared" si="92"/>
        <v>0</v>
      </c>
      <c r="AA496" s="1">
        <f t="shared" si="92"/>
        <v>0</v>
      </c>
      <c r="AB496" s="1">
        <f t="shared" si="92"/>
        <v>0</v>
      </c>
      <c r="AC496" s="1">
        <f t="shared" si="92"/>
        <v>0</v>
      </c>
      <c r="AD496" s="1">
        <f t="shared" si="92"/>
        <v>0</v>
      </c>
      <c r="AE496" s="1">
        <f t="shared" si="92"/>
        <v>0</v>
      </c>
      <c r="AF496" s="1">
        <f t="shared" si="92"/>
        <v>0</v>
      </c>
      <c r="AG496" s="1">
        <f t="shared" si="92"/>
        <v>0</v>
      </c>
      <c r="AH496" s="1">
        <f t="shared" si="92"/>
        <v>0</v>
      </c>
      <c r="AI496" s="1">
        <f t="shared" si="92"/>
        <v>0</v>
      </c>
      <c r="AJ496" s="1">
        <f t="shared" si="92"/>
        <v>0</v>
      </c>
      <c r="AK496" s="1">
        <f t="shared" si="92"/>
        <v>0</v>
      </c>
      <c r="AL496" s="1">
        <f t="shared" si="92"/>
        <v>0</v>
      </c>
      <c r="AM496" s="1">
        <f t="shared" si="92"/>
        <v>0</v>
      </c>
      <c r="AN496" s="1">
        <f t="shared" si="92"/>
        <v>0</v>
      </c>
      <c r="AO496" s="1">
        <f t="shared" si="92"/>
        <v>0</v>
      </c>
      <c r="AP496" s="1">
        <f t="shared" si="92"/>
        <v>0</v>
      </c>
      <c r="AQ496" s="1">
        <f t="shared" si="92"/>
        <v>0</v>
      </c>
      <c r="AR496" s="1">
        <f t="shared" si="92"/>
        <v>0</v>
      </c>
      <c r="AS496" s="1">
        <f t="shared" si="92"/>
        <v>0</v>
      </c>
      <c r="AT496" s="1">
        <f t="shared" si="92"/>
        <v>0</v>
      </c>
      <c r="AU496" s="1">
        <f t="shared" si="92"/>
        <v>0</v>
      </c>
      <c r="AV496" s="1">
        <f t="shared" si="92"/>
        <v>0</v>
      </c>
      <c r="AW496" s="1">
        <f t="shared" si="92"/>
        <v>0</v>
      </c>
      <c r="AX496" s="1">
        <f t="shared" si="92"/>
        <v>0</v>
      </c>
      <c r="AY496" s="1">
        <f t="shared" si="92"/>
        <v>0</v>
      </c>
      <c r="AZ496" s="1">
        <f t="shared" si="92"/>
        <v>0</v>
      </c>
      <c r="BA496" s="1">
        <f t="shared" si="92"/>
        <v>0</v>
      </c>
      <c r="BB496" s="1">
        <f t="shared" si="92"/>
        <v>0</v>
      </c>
      <c r="BC496" s="1">
        <f t="shared" si="92"/>
        <v>0</v>
      </c>
      <c r="BD496" s="1">
        <f t="shared" si="92"/>
        <v>0</v>
      </c>
      <c r="BE496" s="1">
        <f t="shared" si="92"/>
        <v>0</v>
      </c>
      <c r="BF496" s="1">
        <f t="shared" si="59"/>
        <v>0</v>
      </c>
    </row>
    <row r="497" spans="1:58" x14ac:dyDescent="0.2">
      <c r="B497" s="1">
        <v>19</v>
      </c>
      <c r="C497" s="1">
        <f t="shared" ref="C497:T497" si="93">+IF(C25=0,0,1)</f>
        <v>0</v>
      </c>
      <c r="D497" s="1">
        <f t="shared" si="93"/>
        <v>0</v>
      </c>
      <c r="E497" s="1">
        <f t="shared" si="93"/>
        <v>0</v>
      </c>
      <c r="F497" s="1">
        <f t="shared" si="93"/>
        <v>0</v>
      </c>
      <c r="G497" s="1">
        <f t="shared" si="93"/>
        <v>0</v>
      </c>
      <c r="H497" s="1">
        <f t="shared" si="93"/>
        <v>0</v>
      </c>
      <c r="I497" s="1">
        <f t="shared" si="93"/>
        <v>0</v>
      </c>
      <c r="J497" s="1">
        <f t="shared" si="93"/>
        <v>0</v>
      </c>
      <c r="K497" s="1">
        <f t="shared" si="93"/>
        <v>0</v>
      </c>
      <c r="L497" s="1">
        <f t="shared" si="93"/>
        <v>0</v>
      </c>
      <c r="M497" s="1">
        <f t="shared" si="93"/>
        <v>0</v>
      </c>
      <c r="N497" s="1">
        <f t="shared" si="93"/>
        <v>0</v>
      </c>
      <c r="O497" s="1">
        <f t="shared" si="93"/>
        <v>0</v>
      </c>
      <c r="P497" s="1">
        <f t="shared" si="93"/>
        <v>0</v>
      </c>
      <c r="Q497" s="1">
        <f t="shared" si="93"/>
        <v>0</v>
      </c>
      <c r="R497" s="1">
        <f t="shared" si="93"/>
        <v>0</v>
      </c>
      <c r="S497" s="1">
        <f t="shared" si="93"/>
        <v>0</v>
      </c>
      <c r="T497" s="1">
        <f t="shared" si="93"/>
        <v>0</v>
      </c>
      <c r="U497" s="1">
        <f t="shared" si="67"/>
        <v>0</v>
      </c>
      <c r="V497" s="1">
        <f t="shared" ref="V497:BE497" si="94">+IF(V25=0,0,1)</f>
        <v>0</v>
      </c>
      <c r="W497" s="1">
        <f t="shared" si="94"/>
        <v>0</v>
      </c>
      <c r="X497" s="1">
        <f t="shared" si="94"/>
        <v>0</v>
      </c>
      <c r="Y497" s="1">
        <f t="shared" si="94"/>
        <v>0</v>
      </c>
      <c r="Z497" s="1">
        <f t="shared" si="94"/>
        <v>0</v>
      </c>
      <c r="AA497" s="1">
        <f t="shared" si="94"/>
        <v>0</v>
      </c>
      <c r="AB497" s="1">
        <f t="shared" si="94"/>
        <v>0</v>
      </c>
      <c r="AC497" s="1">
        <f t="shared" si="94"/>
        <v>0</v>
      </c>
      <c r="AD497" s="1">
        <f t="shared" si="94"/>
        <v>0</v>
      </c>
      <c r="AE497" s="1">
        <f t="shared" si="94"/>
        <v>0</v>
      </c>
      <c r="AF497" s="1">
        <f t="shared" si="94"/>
        <v>0</v>
      </c>
      <c r="AG497" s="1">
        <f t="shared" si="94"/>
        <v>0</v>
      </c>
      <c r="AH497" s="1">
        <f t="shared" si="94"/>
        <v>0</v>
      </c>
      <c r="AI497" s="1">
        <f t="shared" si="94"/>
        <v>0</v>
      </c>
      <c r="AJ497" s="1">
        <f t="shared" si="94"/>
        <v>0</v>
      </c>
      <c r="AK497" s="1">
        <f t="shared" si="94"/>
        <v>0</v>
      </c>
      <c r="AL497" s="1">
        <f t="shared" si="94"/>
        <v>0</v>
      </c>
      <c r="AM497" s="1">
        <f t="shared" si="94"/>
        <v>0</v>
      </c>
      <c r="AN497" s="1">
        <f t="shared" si="94"/>
        <v>0</v>
      </c>
      <c r="AO497" s="1">
        <f t="shared" si="94"/>
        <v>0</v>
      </c>
      <c r="AP497" s="1">
        <f t="shared" si="94"/>
        <v>0</v>
      </c>
      <c r="AQ497" s="1">
        <f t="shared" si="94"/>
        <v>0</v>
      </c>
      <c r="AR497" s="1">
        <f t="shared" si="94"/>
        <v>0</v>
      </c>
      <c r="AS497" s="1">
        <f t="shared" si="94"/>
        <v>0</v>
      </c>
      <c r="AT497" s="1">
        <f t="shared" si="94"/>
        <v>0</v>
      </c>
      <c r="AU497" s="1">
        <f t="shared" si="94"/>
        <v>0</v>
      </c>
      <c r="AV497" s="1">
        <f t="shared" si="94"/>
        <v>0</v>
      </c>
      <c r="AW497" s="1">
        <f t="shared" si="94"/>
        <v>0</v>
      </c>
      <c r="AX497" s="1">
        <f t="shared" si="94"/>
        <v>0</v>
      </c>
      <c r="AY497" s="1">
        <f t="shared" si="94"/>
        <v>0</v>
      </c>
      <c r="AZ497" s="1">
        <f t="shared" si="94"/>
        <v>0</v>
      </c>
      <c r="BA497" s="1">
        <f t="shared" si="94"/>
        <v>0</v>
      </c>
      <c r="BB497" s="1">
        <f t="shared" si="94"/>
        <v>0</v>
      </c>
      <c r="BC497" s="1">
        <f t="shared" si="94"/>
        <v>0</v>
      </c>
      <c r="BD497" s="1">
        <f t="shared" si="94"/>
        <v>0</v>
      </c>
      <c r="BE497" s="1">
        <f t="shared" si="94"/>
        <v>0</v>
      </c>
      <c r="BF497" s="1">
        <f t="shared" si="59"/>
        <v>0</v>
      </c>
    </row>
    <row r="498" spans="1:58" x14ac:dyDescent="0.2">
      <c r="B498" s="1">
        <v>20</v>
      </c>
      <c r="C498" s="1">
        <f t="shared" ref="C498:T498" si="95">+IF(C26=0,0,1)</f>
        <v>0</v>
      </c>
      <c r="D498" s="1">
        <f t="shared" si="95"/>
        <v>0</v>
      </c>
      <c r="E498" s="1">
        <f t="shared" si="95"/>
        <v>0</v>
      </c>
      <c r="F498" s="1">
        <f t="shared" si="95"/>
        <v>0</v>
      </c>
      <c r="G498" s="1">
        <f t="shared" si="95"/>
        <v>0</v>
      </c>
      <c r="H498" s="1">
        <f t="shared" si="95"/>
        <v>0</v>
      </c>
      <c r="I498" s="1">
        <f t="shared" si="95"/>
        <v>0</v>
      </c>
      <c r="J498" s="1">
        <f t="shared" si="95"/>
        <v>0</v>
      </c>
      <c r="K498" s="1">
        <f t="shared" si="95"/>
        <v>0</v>
      </c>
      <c r="L498" s="1">
        <f t="shared" si="95"/>
        <v>0</v>
      </c>
      <c r="M498" s="1">
        <f t="shared" si="95"/>
        <v>0</v>
      </c>
      <c r="N498" s="1">
        <f t="shared" si="95"/>
        <v>0</v>
      </c>
      <c r="O498" s="1">
        <f t="shared" si="95"/>
        <v>0</v>
      </c>
      <c r="P498" s="1">
        <f t="shared" si="95"/>
        <v>0</v>
      </c>
      <c r="Q498" s="1">
        <f t="shared" si="95"/>
        <v>0</v>
      </c>
      <c r="R498" s="1">
        <f t="shared" si="95"/>
        <v>0</v>
      </c>
      <c r="S498" s="1">
        <f t="shared" si="95"/>
        <v>0</v>
      </c>
      <c r="T498" s="1">
        <f t="shared" si="95"/>
        <v>0</v>
      </c>
      <c r="U498" s="1">
        <f t="shared" si="67"/>
        <v>0</v>
      </c>
      <c r="V498" s="1">
        <f t="shared" ref="V498:BE498" si="96">+IF(V26=0,0,1)</f>
        <v>0</v>
      </c>
      <c r="W498" s="1">
        <f t="shared" si="96"/>
        <v>0</v>
      </c>
      <c r="X498" s="1">
        <f t="shared" si="96"/>
        <v>0</v>
      </c>
      <c r="Y498" s="1">
        <f t="shared" si="96"/>
        <v>0</v>
      </c>
      <c r="Z498" s="1">
        <f t="shared" si="96"/>
        <v>0</v>
      </c>
      <c r="AA498" s="1">
        <f t="shared" si="96"/>
        <v>0</v>
      </c>
      <c r="AB498" s="1">
        <f t="shared" si="96"/>
        <v>0</v>
      </c>
      <c r="AC498" s="1">
        <f t="shared" si="96"/>
        <v>0</v>
      </c>
      <c r="AD498" s="1">
        <f t="shared" si="96"/>
        <v>0</v>
      </c>
      <c r="AE498" s="1">
        <f t="shared" si="96"/>
        <v>0</v>
      </c>
      <c r="AF498" s="1">
        <f t="shared" si="96"/>
        <v>0</v>
      </c>
      <c r="AG498" s="1">
        <f t="shared" si="96"/>
        <v>0</v>
      </c>
      <c r="AH498" s="1">
        <f t="shared" si="96"/>
        <v>0</v>
      </c>
      <c r="AI498" s="1">
        <f t="shared" si="96"/>
        <v>0</v>
      </c>
      <c r="AJ498" s="1">
        <f t="shared" si="96"/>
        <v>0</v>
      </c>
      <c r="AK498" s="1">
        <f t="shared" si="96"/>
        <v>0</v>
      </c>
      <c r="AL498" s="1">
        <f t="shared" si="96"/>
        <v>0</v>
      </c>
      <c r="AM498" s="1">
        <f t="shared" si="96"/>
        <v>0</v>
      </c>
      <c r="AN498" s="1">
        <f t="shared" si="96"/>
        <v>0</v>
      </c>
      <c r="AO498" s="1">
        <f t="shared" si="96"/>
        <v>0</v>
      </c>
      <c r="AP498" s="1">
        <f t="shared" si="96"/>
        <v>0</v>
      </c>
      <c r="AQ498" s="1">
        <f t="shared" si="96"/>
        <v>0</v>
      </c>
      <c r="AR498" s="1">
        <f t="shared" si="96"/>
        <v>0</v>
      </c>
      <c r="AS498" s="1">
        <f t="shared" si="96"/>
        <v>0</v>
      </c>
      <c r="AT498" s="1">
        <f t="shared" si="96"/>
        <v>0</v>
      </c>
      <c r="AU498" s="1">
        <f t="shared" si="96"/>
        <v>0</v>
      </c>
      <c r="AV498" s="1">
        <f t="shared" si="96"/>
        <v>0</v>
      </c>
      <c r="AW498" s="1">
        <f t="shared" si="96"/>
        <v>0</v>
      </c>
      <c r="AX498" s="1">
        <f t="shared" si="96"/>
        <v>0</v>
      </c>
      <c r="AY498" s="1">
        <f t="shared" si="96"/>
        <v>0</v>
      </c>
      <c r="AZ498" s="1">
        <f t="shared" si="96"/>
        <v>0</v>
      </c>
      <c r="BA498" s="1">
        <f t="shared" si="96"/>
        <v>0</v>
      </c>
      <c r="BB498" s="1">
        <f t="shared" si="96"/>
        <v>0</v>
      </c>
      <c r="BC498" s="1">
        <f t="shared" si="96"/>
        <v>0</v>
      </c>
      <c r="BD498" s="1">
        <f t="shared" si="96"/>
        <v>0</v>
      </c>
      <c r="BE498" s="1">
        <f t="shared" si="96"/>
        <v>0</v>
      </c>
      <c r="BF498" s="1">
        <f t="shared" si="59"/>
        <v>0</v>
      </c>
    </row>
    <row r="499" spans="1:58" x14ac:dyDescent="0.2">
      <c r="B499" s="1">
        <v>21</v>
      </c>
      <c r="C499" s="1">
        <f t="shared" ref="C499:T499" si="97">+IF(C27=0,0,1)</f>
        <v>0</v>
      </c>
      <c r="D499" s="1">
        <f t="shared" si="97"/>
        <v>0</v>
      </c>
      <c r="E499" s="1">
        <f t="shared" si="97"/>
        <v>0</v>
      </c>
      <c r="F499" s="1">
        <f t="shared" si="97"/>
        <v>0</v>
      </c>
      <c r="G499" s="1">
        <f t="shared" si="97"/>
        <v>0</v>
      </c>
      <c r="H499" s="1">
        <f t="shared" si="97"/>
        <v>0</v>
      </c>
      <c r="I499" s="1">
        <f t="shared" si="97"/>
        <v>0</v>
      </c>
      <c r="J499" s="1">
        <f t="shared" si="97"/>
        <v>0</v>
      </c>
      <c r="K499" s="1">
        <f t="shared" si="97"/>
        <v>0</v>
      </c>
      <c r="L499" s="1">
        <f t="shared" si="97"/>
        <v>0</v>
      </c>
      <c r="M499" s="1">
        <f t="shared" si="97"/>
        <v>0</v>
      </c>
      <c r="N499" s="1">
        <f t="shared" si="97"/>
        <v>0</v>
      </c>
      <c r="O499" s="1">
        <f t="shared" si="97"/>
        <v>0</v>
      </c>
      <c r="P499" s="1">
        <f t="shared" si="97"/>
        <v>0</v>
      </c>
      <c r="Q499" s="1">
        <f t="shared" si="97"/>
        <v>0</v>
      </c>
      <c r="R499" s="1">
        <f t="shared" si="97"/>
        <v>0</v>
      </c>
      <c r="S499" s="1">
        <f t="shared" si="97"/>
        <v>0</v>
      </c>
      <c r="T499" s="1">
        <f t="shared" si="97"/>
        <v>0</v>
      </c>
      <c r="U499" s="1">
        <f t="shared" si="67"/>
        <v>0</v>
      </c>
      <c r="V499" s="1">
        <f t="shared" ref="V499:BE499" si="98">+IF(V27=0,0,1)</f>
        <v>0</v>
      </c>
      <c r="W499" s="1">
        <f t="shared" si="98"/>
        <v>0</v>
      </c>
      <c r="X499" s="1">
        <f t="shared" si="98"/>
        <v>0</v>
      </c>
      <c r="Y499" s="1">
        <f t="shared" si="98"/>
        <v>0</v>
      </c>
      <c r="Z499" s="1">
        <f t="shared" si="98"/>
        <v>0</v>
      </c>
      <c r="AA499" s="1">
        <f t="shared" si="98"/>
        <v>0</v>
      </c>
      <c r="AB499" s="1">
        <f t="shared" si="98"/>
        <v>0</v>
      </c>
      <c r="AC499" s="1">
        <f t="shared" si="98"/>
        <v>0</v>
      </c>
      <c r="AD499" s="1">
        <f t="shared" si="98"/>
        <v>0</v>
      </c>
      <c r="AE499" s="1">
        <f t="shared" si="98"/>
        <v>0</v>
      </c>
      <c r="AF499" s="1">
        <f t="shared" si="98"/>
        <v>0</v>
      </c>
      <c r="AG499" s="1">
        <f t="shared" si="98"/>
        <v>0</v>
      </c>
      <c r="AH499" s="1">
        <f t="shared" si="98"/>
        <v>0</v>
      </c>
      <c r="AI499" s="1">
        <f t="shared" si="98"/>
        <v>0</v>
      </c>
      <c r="AJ499" s="1">
        <f t="shared" si="98"/>
        <v>0</v>
      </c>
      <c r="AK499" s="1">
        <f t="shared" si="98"/>
        <v>0</v>
      </c>
      <c r="AL499" s="1">
        <f t="shared" si="98"/>
        <v>0</v>
      </c>
      <c r="AM499" s="1">
        <f t="shared" si="98"/>
        <v>0</v>
      </c>
      <c r="AN499" s="1">
        <f t="shared" si="98"/>
        <v>0</v>
      </c>
      <c r="AO499" s="1">
        <f t="shared" si="98"/>
        <v>0</v>
      </c>
      <c r="AP499" s="1">
        <f t="shared" si="98"/>
        <v>0</v>
      </c>
      <c r="AQ499" s="1">
        <f t="shared" si="98"/>
        <v>0</v>
      </c>
      <c r="AR499" s="1">
        <f t="shared" si="98"/>
        <v>0</v>
      </c>
      <c r="AS499" s="1">
        <f t="shared" si="98"/>
        <v>0</v>
      </c>
      <c r="AT499" s="1">
        <f t="shared" si="98"/>
        <v>0</v>
      </c>
      <c r="AU499" s="1">
        <f t="shared" si="98"/>
        <v>0</v>
      </c>
      <c r="AV499" s="1">
        <f t="shared" si="98"/>
        <v>0</v>
      </c>
      <c r="AW499" s="1">
        <f t="shared" si="98"/>
        <v>0</v>
      </c>
      <c r="AX499" s="1">
        <f t="shared" si="98"/>
        <v>0</v>
      </c>
      <c r="AY499" s="1">
        <f t="shared" si="98"/>
        <v>0</v>
      </c>
      <c r="AZ499" s="1">
        <f t="shared" si="98"/>
        <v>0</v>
      </c>
      <c r="BA499" s="1">
        <f t="shared" si="98"/>
        <v>0</v>
      </c>
      <c r="BB499" s="1">
        <f t="shared" si="98"/>
        <v>0</v>
      </c>
      <c r="BC499" s="1">
        <f t="shared" si="98"/>
        <v>0</v>
      </c>
      <c r="BD499" s="1">
        <f t="shared" si="98"/>
        <v>0</v>
      </c>
      <c r="BE499" s="1">
        <f t="shared" si="98"/>
        <v>0</v>
      </c>
      <c r="BF499" s="1">
        <f t="shared" si="59"/>
        <v>0</v>
      </c>
    </row>
    <row r="500" spans="1:58" x14ac:dyDescent="0.2">
      <c r="B500" s="1">
        <v>22</v>
      </c>
      <c r="C500" s="1">
        <f t="shared" ref="C500:T500" si="99">+IF(C28=0,0,1)</f>
        <v>0</v>
      </c>
      <c r="D500" s="1">
        <f t="shared" si="99"/>
        <v>0</v>
      </c>
      <c r="E500" s="1">
        <f t="shared" si="99"/>
        <v>0</v>
      </c>
      <c r="F500" s="1">
        <f t="shared" si="99"/>
        <v>0</v>
      </c>
      <c r="G500" s="1">
        <f t="shared" si="99"/>
        <v>0</v>
      </c>
      <c r="H500" s="1">
        <f t="shared" si="99"/>
        <v>0</v>
      </c>
      <c r="I500" s="1">
        <f t="shared" si="99"/>
        <v>0</v>
      </c>
      <c r="J500" s="1">
        <f t="shared" si="99"/>
        <v>0</v>
      </c>
      <c r="K500" s="1">
        <f t="shared" si="99"/>
        <v>0</v>
      </c>
      <c r="L500" s="1">
        <f t="shared" si="99"/>
        <v>0</v>
      </c>
      <c r="M500" s="1">
        <f t="shared" si="99"/>
        <v>0</v>
      </c>
      <c r="N500" s="1">
        <f t="shared" si="99"/>
        <v>0</v>
      </c>
      <c r="O500" s="1">
        <f t="shared" si="99"/>
        <v>0</v>
      </c>
      <c r="P500" s="1">
        <f t="shared" si="99"/>
        <v>0</v>
      </c>
      <c r="Q500" s="1">
        <f t="shared" si="99"/>
        <v>0</v>
      </c>
      <c r="R500" s="1">
        <f t="shared" si="99"/>
        <v>0</v>
      </c>
      <c r="S500" s="1">
        <f t="shared" si="99"/>
        <v>0</v>
      </c>
      <c r="T500" s="1">
        <f t="shared" si="99"/>
        <v>0</v>
      </c>
      <c r="U500" s="1">
        <f t="shared" si="67"/>
        <v>0</v>
      </c>
      <c r="V500" s="1">
        <f t="shared" ref="V500:BE500" si="100">+IF(V28=0,0,1)</f>
        <v>0</v>
      </c>
      <c r="W500" s="1">
        <f t="shared" si="100"/>
        <v>0</v>
      </c>
      <c r="X500" s="1">
        <f t="shared" si="100"/>
        <v>0</v>
      </c>
      <c r="Y500" s="1">
        <f t="shared" si="100"/>
        <v>0</v>
      </c>
      <c r="Z500" s="1">
        <f t="shared" si="100"/>
        <v>0</v>
      </c>
      <c r="AA500" s="1">
        <f t="shared" si="100"/>
        <v>0</v>
      </c>
      <c r="AB500" s="1">
        <f t="shared" si="100"/>
        <v>0</v>
      </c>
      <c r="AC500" s="1">
        <f t="shared" si="100"/>
        <v>0</v>
      </c>
      <c r="AD500" s="1">
        <f t="shared" si="100"/>
        <v>0</v>
      </c>
      <c r="AE500" s="1">
        <f t="shared" si="100"/>
        <v>0</v>
      </c>
      <c r="AF500" s="1">
        <f t="shared" si="100"/>
        <v>0</v>
      </c>
      <c r="AG500" s="1">
        <f t="shared" si="100"/>
        <v>0</v>
      </c>
      <c r="AH500" s="1">
        <f t="shared" si="100"/>
        <v>0</v>
      </c>
      <c r="AI500" s="1">
        <f t="shared" si="100"/>
        <v>0</v>
      </c>
      <c r="AJ500" s="1">
        <f t="shared" si="100"/>
        <v>0</v>
      </c>
      <c r="AK500" s="1">
        <f t="shared" si="100"/>
        <v>0</v>
      </c>
      <c r="AL500" s="1">
        <f t="shared" si="100"/>
        <v>0</v>
      </c>
      <c r="AM500" s="1">
        <f t="shared" si="100"/>
        <v>0</v>
      </c>
      <c r="AN500" s="1">
        <f t="shared" si="100"/>
        <v>0</v>
      </c>
      <c r="AO500" s="1">
        <f t="shared" si="100"/>
        <v>0</v>
      </c>
      <c r="AP500" s="1">
        <f t="shared" si="100"/>
        <v>0</v>
      </c>
      <c r="AQ500" s="1">
        <f t="shared" si="100"/>
        <v>0</v>
      </c>
      <c r="AR500" s="1">
        <f t="shared" si="100"/>
        <v>0</v>
      </c>
      <c r="AS500" s="1">
        <f t="shared" si="100"/>
        <v>0</v>
      </c>
      <c r="AT500" s="1">
        <f t="shared" si="100"/>
        <v>0</v>
      </c>
      <c r="AU500" s="1">
        <f t="shared" si="100"/>
        <v>0</v>
      </c>
      <c r="AV500" s="1">
        <f t="shared" si="100"/>
        <v>0</v>
      </c>
      <c r="AW500" s="1">
        <f t="shared" si="100"/>
        <v>0</v>
      </c>
      <c r="AX500" s="1">
        <f t="shared" si="100"/>
        <v>0</v>
      </c>
      <c r="AY500" s="1">
        <f t="shared" si="100"/>
        <v>0</v>
      </c>
      <c r="AZ500" s="1">
        <f t="shared" si="100"/>
        <v>0</v>
      </c>
      <c r="BA500" s="1">
        <f t="shared" si="100"/>
        <v>0</v>
      </c>
      <c r="BB500" s="1">
        <f t="shared" si="100"/>
        <v>0</v>
      </c>
      <c r="BC500" s="1">
        <f t="shared" si="100"/>
        <v>0</v>
      </c>
      <c r="BD500" s="1">
        <f t="shared" si="100"/>
        <v>0</v>
      </c>
      <c r="BE500" s="1">
        <f t="shared" si="100"/>
        <v>0</v>
      </c>
      <c r="BF500" s="1">
        <f t="shared" si="59"/>
        <v>0</v>
      </c>
    </row>
    <row r="501" spans="1:58" x14ac:dyDescent="0.2">
      <c r="B501" s="1">
        <v>23</v>
      </c>
      <c r="C501" s="1">
        <f t="shared" ref="C501:T501" si="101">+IF(C29=0,0,1)</f>
        <v>0</v>
      </c>
      <c r="D501" s="1">
        <f t="shared" si="101"/>
        <v>0</v>
      </c>
      <c r="E501" s="1">
        <f t="shared" si="101"/>
        <v>0</v>
      </c>
      <c r="F501" s="1">
        <f t="shared" si="101"/>
        <v>0</v>
      </c>
      <c r="G501" s="1">
        <f t="shared" si="101"/>
        <v>0</v>
      </c>
      <c r="H501" s="1">
        <f t="shared" si="101"/>
        <v>0</v>
      </c>
      <c r="I501" s="1">
        <f t="shared" si="101"/>
        <v>0</v>
      </c>
      <c r="J501" s="1">
        <f t="shared" si="101"/>
        <v>0</v>
      </c>
      <c r="K501" s="1">
        <f t="shared" si="101"/>
        <v>0</v>
      </c>
      <c r="L501" s="1">
        <f t="shared" si="101"/>
        <v>0</v>
      </c>
      <c r="M501" s="1">
        <f t="shared" si="101"/>
        <v>0</v>
      </c>
      <c r="N501" s="1">
        <f t="shared" si="101"/>
        <v>0</v>
      </c>
      <c r="O501" s="1">
        <f t="shared" si="101"/>
        <v>0</v>
      </c>
      <c r="P501" s="1">
        <f t="shared" si="101"/>
        <v>0</v>
      </c>
      <c r="Q501" s="1">
        <f t="shared" si="101"/>
        <v>0</v>
      </c>
      <c r="R501" s="1">
        <f t="shared" si="101"/>
        <v>0</v>
      </c>
      <c r="S501" s="1">
        <f t="shared" si="101"/>
        <v>0</v>
      </c>
      <c r="T501" s="1">
        <f t="shared" si="101"/>
        <v>0</v>
      </c>
      <c r="U501" s="1">
        <f t="shared" si="67"/>
        <v>0</v>
      </c>
      <c r="V501" s="1">
        <f t="shared" ref="V501:BE501" si="102">+IF(V29=0,0,1)</f>
        <v>0</v>
      </c>
      <c r="W501" s="1">
        <f t="shared" si="102"/>
        <v>0</v>
      </c>
      <c r="X501" s="1">
        <f t="shared" si="102"/>
        <v>0</v>
      </c>
      <c r="Y501" s="1">
        <f t="shared" si="102"/>
        <v>0</v>
      </c>
      <c r="Z501" s="1">
        <f t="shared" si="102"/>
        <v>0</v>
      </c>
      <c r="AA501" s="1">
        <f t="shared" si="102"/>
        <v>0</v>
      </c>
      <c r="AB501" s="1">
        <f t="shared" si="102"/>
        <v>0</v>
      </c>
      <c r="AC501" s="1">
        <f t="shared" si="102"/>
        <v>0</v>
      </c>
      <c r="AD501" s="1">
        <f t="shared" si="102"/>
        <v>0</v>
      </c>
      <c r="AE501" s="1">
        <f t="shared" si="102"/>
        <v>0</v>
      </c>
      <c r="AF501" s="1">
        <f t="shared" si="102"/>
        <v>0</v>
      </c>
      <c r="AG501" s="1">
        <f t="shared" si="102"/>
        <v>0</v>
      </c>
      <c r="AH501" s="1">
        <f t="shared" si="102"/>
        <v>0</v>
      </c>
      <c r="AI501" s="1">
        <f t="shared" si="102"/>
        <v>0</v>
      </c>
      <c r="AJ501" s="1">
        <f t="shared" si="102"/>
        <v>0</v>
      </c>
      <c r="AK501" s="1">
        <f t="shared" si="102"/>
        <v>0</v>
      </c>
      <c r="AL501" s="1">
        <f t="shared" si="102"/>
        <v>0</v>
      </c>
      <c r="AM501" s="1">
        <f t="shared" si="102"/>
        <v>0</v>
      </c>
      <c r="AN501" s="1">
        <f t="shared" si="102"/>
        <v>0</v>
      </c>
      <c r="AO501" s="1">
        <f t="shared" si="102"/>
        <v>0</v>
      </c>
      <c r="AP501" s="1">
        <f t="shared" si="102"/>
        <v>0</v>
      </c>
      <c r="AQ501" s="1">
        <f t="shared" si="102"/>
        <v>0</v>
      </c>
      <c r="AR501" s="1">
        <f t="shared" si="102"/>
        <v>0</v>
      </c>
      <c r="AS501" s="1">
        <f t="shared" si="102"/>
        <v>0</v>
      </c>
      <c r="AT501" s="1">
        <f t="shared" si="102"/>
        <v>0</v>
      </c>
      <c r="AU501" s="1">
        <f t="shared" si="102"/>
        <v>0</v>
      </c>
      <c r="AV501" s="1">
        <f t="shared" si="102"/>
        <v>0</v>
      </c>
      <c r="AW501" s="1">
        <f t="shared" si="102"/>
        <v>0</v>
      </c>
      <c r="AX501" s="1">
        <f t="shared" si="102"/>
        <v>0</v>
      </c>
      <c r="AY501" s="1">
        <f t="shared" si="102"/>
        <v>0</v>
      </c>
      <c r="AZ501" s="1">
        <f t="shared" si="102"/>
        <v>0</v>
      </c>
      <c r="BA501" s="1">
        <f t="shared" si="102"/>
        <v>0</v>
      </c>
      <c r="BB501" s="1">
        <f t="shared" si="102"/>
        <v>0</v>
      </c>
      <c r="BC501" s="1">
        <f t="shared" si="102"/>
        <v>0</v>
      </c>
      <c r="BD501" s="1">
        <f t="shared" si="102"/>
        <v>0</v>
      </c>
      <c r="BE501" s="1">
        <f t="shared" si="102"/>
        <v>0</v>
      </c>
      <c r="BF501" s="1">
        <f t="shared" si="59"/>
        <v>0</v>
      </c>
    </row>
    <row r="502" spans="1:58" x14ac:dyDescent="0.2">
      <c r="B502" s="1">
        <v>24</v>
      </c>
      <c r="C502" s="1">
        <f t="shared" ref="C502:T502" si="103">+IF(C30=0,0,1)</f>
        <v>0</v>
      </c>
      <c r="D502" s="1">
        <f t="shared" si="103"/>
        <v>0</v>
      </c>
      <c r="E502" s="1">
        <f t="shared" si="103"/>
        <v>0</v>
      </c>
      <c r="F502" s="1">
        <f t="shared" si="103"/>
        <v>0</v>
      </c>
      <c r="G502" s="1">
        <f t="shared" si="103"/>
        <v>0</v>
      </c>
      <c r="H502" s="1">
        <f t="shared" si="103"/>
        <v>0</v>
      </c>
      <c r="I502" s="1">
        <f t="shared" si="103"/>
        <v>0</v>
      </c>
      <c r="J502" s="1">
        <f t="shared" si="103"/>
        <v>0</v>
      </c>
      <c r="K502" s="1">
        <f t="shared" si="103"/>
        <v>0</v>
      </c>
      <c r="L502" s="1">
        <f t="shared" si="103"/>
        <v>0</v>
      </c>
      <c r="M502" s="1">
        <f t="shared" si="103"/>
        <v>0</v>
      </c>
      <c r="N502" s="1">
        <f t="shared" si="103"/>
        <v>0</v>
      </c>
      <c r="O502" s="1">
        <f t="shared" si="103"/>
        <v>0</v>
      </c>
      <c r="P502" s="1">
        <f t="shared" si="103"/>
        <v>0</v>
      </c>
      <c r="Q502" s="1">
        <f t="shared" si="103"/>
        <v>0</v>
      </c>
      <c r="R502" s="1">
        <f t="shared" si="103"/>
        <v>0</v>
      </c>
      <c r="S502" s="1">
        <f t="shared" si="103"/>
        <v>0</v>
      </c>
      <c r="T502" s="1">
        <f t="shared" si="103"/>
        <v>0</v>
      </c>
      <c r="U502" s="1">
        <f t="shared" si="67"/>
        <v>0</v>
      </c>
      <c r="V502" s="1">
        <f t="shared" ref="V502:BE502" si="104">+IF(V30=0,0,1)</f>
        <v>0</v>
      </c>
      <c r="W502" s="1">
        <f t="shared" si="104"/>
        <v>0</v>
      </c>
      <c r="X502" s="1">
        <f t="shared" si="104"/>
        <v>0</v>
      </c>
      <c r="Y502" s="1">
        <f t="shared" si="104"/>
        <v>0</v>
      </c>
      <c r="Z502" s="1">
        <f t="shared" si="104"/>
        <v>0</v>
      </c>
      <c r="AA502" s="1">
        <f t="shared" si="104"/>
        <v>0</v>
      </c>
      <c r="AB502" s="1">
        <f t="shared" si="104"/>
        <v>0</v>
      </c>
      <c r="AC502" s="1">
        <f t="shared" si="104"/>
        <v>0</v>
      </c>
      <c r="AD502" s="1">
        <f t="shared" si="104"/>
        <v>0</v>
      </c>
      <c r="AE502" s="1">
        <f t="shared" si="104"/>
        <v>0</v>
      </c>
      <c r="AF502" s="1">
        <f t="shared" si="104"/>
        <v>0</v>
      </c>
      <c r="AG502" s="1">
        <f t="shared" si="104"/>
        <v>0</v>
      </c>
      <c r="AH502" s="1">
        <f t="shared" si="104"/>
        <v>0</v>
      </c>
      <c r="AI502" s="1">
        <f t="shared" si="104"/>
        <v>0</v>
      </c>
      <c r="AJ502" s="1">
        <f t="shared" si="104"/>
        <v>0</v>
      </c>
      <c r="AK502" s="1">
        <f t="shared" si="104"/>
        <v>0</v>
      </c>
      <c r="AL502" s="1">
        <f t="shared" si="104"/>
        <v>0</v>
      </c>
      <c r="AM502" s="1">
        <f t="shared" si="104"/>
        <v>0</v>
      </c>
      <c r="AN502" s="1">
        <f t="shared" si="104"/>
        <v>0</v>
      </c>
      <c r="AO502" s="1">
        <f t="shared" si="104"/>
        <v>0</v>
      </c>
      <c r="AP502" s="1">
        <f t="shared" si="104"/>
        <v>0</v>
      </c>
      <c r="AQ502" s="1">
        <f t="shared" si="104"/>
        <v>0</v>
      </c>
      <c r="AR502" s="1">
        <f t="shared" si="104"/>
        <v>0</v>
      </c>
      <c r="AS502" s="1">
        <f t="shared" si="104"/>
        <v>0</v>
      </c>
      <c r="AT502" s="1">
        <f t="shared" si="104"/>
        <v>0</v>
      </c>
      <c r="AU502" s="1">
        <f t="shared" si="104"/>
        <v>0</v>
      </c>
      <c r="AV502" s="1">
        <f t="shared" si="104"/>
        <v>0</v>
      </c>
      <c r="AW502" s="1">
        <f t="shared" si="104"/>
        <v>0</v>
      </c>
      <c r="AX502" s="1">
        <f t="shared" si="104"/>
        <v>0</v>
      </c>
      <c r="AY502" s="1">
        <f t="shared" si="104"/>
        <v>0</v>
      </c>
      <c r="AZ502" s="1">
        <f t="shared" si="104"/>
        <v>0</v>
      </c>
      <c r="BA502" s="1">
        <f t="shared" si="104"/>
        <v>0</v>
      </c>
      <c r="BB502" s="1">
        <f t="shared" si="104"/>
        <v>0</v>
      </c>
      <c r="BC502" s="1">
        <f t="shared" si="104"/>
        <v>0</v>
      </c>
      <c r="BD502" s="1">
        <f t="shared" si="104"/>
        <v>0</v>
      </c>
      <c r="BE502" s="1">
        <f t="shared" si="104"/>
        <v>0</v>
      </c>
      <c r="BF502" s="1">
        <f t="shared" si="59"/>
        <v>0</v>
      </c>
    </row>
    <row r="503" spans="1:58" x14ac:dyDescent="0.2">
      <c r="B503" s="1">
        <v>25</v>
      </c>
      <c r="C503" s="1">
        <f t="shared" ref="C503:T503" si="105">+IF(C31=0,0,1)</f>
        <v>0</v>
      </c>
      <c r="D503" s="1">
        <f t="shared" si="105"/>
        <v>0</v>
      </c>
      <c r="E503" s="1">
        <f t="shared" si="105"/>
        <v>0</v>
      </c>
      <c r="F503" s="1">
        <f t="shared" si="105"/>
        <v>0</v>
      </c>
      <c r="G503" s="1">
        <f t="shared" si="105"/>
        <v>0</v>
      </c>
      <c r="H503" s="1">
        <f t="shared" si="105"/>
        <v>0</v>
      </c>
      <c r="I503" s="1">
        <f t="shared" si="105"/>
        <v>0</v>
      </c>
      <c r="J503" s="1">
        <f t="shared" si="105"/>
        <v>0</v>
      </c>
      <c r="K503" s="1">
        <f t="shared" si="105"/>
        <v>0</v>
      </c>
      <c r="L503" s="1">
        <f t="shared" si="105"/>
        <v>0</v>
      </c>
      <c r="M503" s="1">
        <f t="shared" si="105"/>
        <v>0</v>
      </c>
      <c r="N503" s="1">
        <f t="shared" si="105"/>
        <v>0</v>
      </c>
      <c r="O503" s="1">
        <f t="shared" si="105"/>
        <v>0</v>
      </c>
      <c r="P503" s="1">
        <f t="shared" si="105"/>
        <v>0</v>
      </c>
      <c r="Q503" s="1">
        <f t="shared" si="105"/>
        <v>0</v>
      </c>
      <c r="R503" s="1">
        <f t="shared" si="105"/>
        <v>0</v>
      </c>
      <c r="S503" s="1">
        <f t="shared" si="105"/>
        <v>0</v>
      </c>
      <c r="T503" s="1">
        <f t="shared" si="105"/>
        <v>0</v>
      </c>
      <c r="U503" s="1">
        <f t="shared" si="67"/>
        <v>0</v>
      </c>
      <c r="V503" s="1">
        <f t="shared" ref="V503:BE503" si="106">+IF(V31=0,0,1)</f>
        <v>0</v>
      </c>
      <c r="W503" s="1">
        <f t="shared" si="106"/>
        <v>0</v>
      </c>
      <c r="X503" s="1">
        <f t="shared" si="106"/>
        <v>0</v>
      </c>
      <c r="Y503" s="1">
        <f t="shared" si="106"/>
        <v>0</v>
      </c>
      <c r="Z503" s="1">
        <f t="shared" si="106"/>
        <v>0</v>
      </c>
      <c r="AA503" s="1">
        <f t="shared" si="106"/>
        <v>0</v>
      </c>
      <c r="AB503" s="1">
        <f t="shared" si="106"/>
        <v>0</v>
      </c>
      <c r="AC503" s="1">
        <f t="shared" si="106"/>
        <v>0</v>
      </c>
      <c r="AD503" s="1">
        <f t="shared" si="106"/>
        <v>0</v>
      </c>
      <c r="AE503" s="1">
        <f t="shared" si="106"/>
        <v>0</v>
      </c>
      <c r="AF503" s="1">
        <f t="shared" si="106"/>
        <v>0</v>
      </c>
      <c r="AG503" s="1">
        <f t="shared" si="106"/>
        <v>0</v>
      </c>
      <c r="AH503" s="1">
        <f t="shared" si="106"/>
        <v>0</v>
      </c>
      <c r="AI503" s="1">
        <f t="shared" si="106"/>
        <v>0</v>
      </c>
      <c r="AJ503" s="1">
        <f t="shared" si="106"/>
        <v>0</v>
      </c>
      <c r="AK503" s="1">
        <f t="shared" si="106"/>
        <v>0</v>
      </c>
      <c r="AL503" s="1">
        <f t="shared" si="106"/>
        <v>0</v>
      </c>
      <c r="AM503" s="1">
        <f t="shared" si="106"/>
        <v>0</v>
      </c>
      <c r="AN503" s="1">
        <f t="shared" si="106"/>
        <v>0</v>
      </c>
      <c r="AO503" s="1">
        <f t="shared" si="106"/>
        <v>0</v>
      </c>
      <c r="AP503" s="1">
        <f t="shared" si="106"/>
        <v>0</v>
      </c>
      <c r="AQ503" s="1">
        <f t="shared" si="106"/>
        <v>0</v>
      </c>
      <c r="AR503" s="1">
        <f t="shared" si="106"/>
        <v>0</v>
      </c>
      <c r="AS503" s="1">
        <f t="shared" si="106"/>
        <v>0</v>
      </c>
      <c r="AT503" s="1">
        <f t="shared" si="106"/>
        <v>0</v>
      </c>
      <c r="AU503" s="1">
        <f t="shared" si="106"/>
        <v>0</v>
      </c>
      <c r="AV503" s="1">
        <f t="shared" si="106"/>
        <v>0</v>
      </c>
      <c r="AW503" s="1">
        <f t="shared" si="106"/>
        <v>0</v>
      </c>
      <c r="AX503" s="1">
        <f t="shared" si="106"/>
        <v>0</v>
      </c>
      <c r="AY503" s="1">
        <f t="shared" si="106"/>
        <v>0</v>
      </c>
      <c r="AZ503" s="1">
        <f t="shared" si="106"/>
        <v>0</v>
      </c>
      <c r="BA503" s="1">
        <f t="shared" si="106"/>
        <v>0</v>
      </c>
      <c r="BB503" s="1">
        <f t="shared" si="106"/>
        <v>0</v>
      </c>
      <c r="BC503" s="1">
        <f t="shared" si="106"/>
        <v>0</v>
      </c>
      <c r="BD503" s="1">
        <f t="shared" si="106"/>
        <v>0</v>
      </c>
      <c r="BE503" s="1">
        <f t="shared" si="106"/>
        <v>0</v>
      </c>
      <c r="BF503" s="1">
        <f t="shared" si="59"/>
        <v>0</v>
      </c>
    </row>
    <row r="504" spans="1:58" x14ac:dyDescent="0.2">
      <c r="B504" s="1">
        <v>26</v>
      </c>
      <c r="C504" s="1">
        <f t="shared" ref="C504:T504" si="107">+IF(C32=0,0,1)</f>
        <v>0</v>
      </c>
      <c r="D504" s="1">
        <f t="shared" si="107"/>
        <v>0</v>
      </c>
      <c r="E504" s="1">
        <f t="shared" si="107"/>
        <v>0</v>
      </c>
      <c r="F504" s="1">
        <f t="shared" si="107"/>
        <v>0</v>
      </c>
      <c r="G504" s="1">
        <f t="shared" si="107"/>
        <v>0</v>
      </c>
      <c r="H504" s="1">
        <f t="shared" si="107"/>
        <v>0</v>
      </c>
      <c r="I504" s="1">
        <f t="shared" si="107"/>
        <v>0</v>
      </c>
      <c r="J504" s="1">
        <f t="shared" si="107"/>
        <v>0</v>
      </c>
      <c r="K504" s="1">
        <f t="shared" si="107"/>
        <v>0</v>
      </c>
      <c r="L504" s="1">
        <f t="shared" si="107"/>
        <v>0</v>
      </c>
      <c r="M504" s="1">
        <f t="shared" si="107"/>
        <v>0</v>
      </c>
      <c r="N504" s="1">
        <f t="shared" si="107"/>
        <v>0</v>
      </c>
      <c r="O504" s="1">
        <f t="shared" si="107"/>
        <v>0</v>
      </c>
      <c r="P504" s="1">
        <f t="shared" si="107"/>
        <v>0</v>
      </c>
      <c r="Q504" s="1">
        <f t="shared" si="107"/>
        <v>0</v>
      </c>
      <c r="R504" s="1">
        <f t="shared" si="107"/>
        <v>0</v>
      </c>
      <c r="S504" s="1">
        <f t="shared" si="107"/>
        <v>0</v>
      </c>
      <c r="T504" s="1">
        <f t="shared" si="107"/>
        <v>0</v>
      </c>
      <c r="U504" s="1">
        <f t="shared" si="67"/>
        <v>0</v>
      </c>
      <c r="V504" s="1">
        <f t="shared" ref="V504:BE504" si="108">+IF(V32=0,0,1)</f>
        <v>0</v>
      </c>
      <c r="W504" s="1">
        <f t="shared" si="108"/>
        <v>0</v>
      </c>
      <c r="X504" s="1">
        <f t="shared" si="108"/>
        <v>0</v>
      </c>
      <c r="Y504" s="1">
        <f t="shared" si="108"/>
        <v>0</v>
      </c>
      <c r="Z504" s="1">
        <f t="shared" si="108"/>
        <v>0</v>
      </c>
      <c r="AA504" s="1">
        <f t="shared" si="108"/>
        <v>0</v>
      </c>
      <c r="AB504" s="1">
        <f t="shared" si="108"/>
        <v>0</v>
      </c>
      <c r="AC504" s="1">
        <f t="shared" si="108"/>
        <v>0</v>
      </c>
      <c r="AD504" s="1">
        <f t="shared" si="108"/>
        <v>0</v>
      </c>
      <c r="AE504" s="1">
        <f t="shared" si="108"/>
        <v>0</v>
      </c>
      <c r="AF504" s="1">
        <f t="shared" si="108"/>
        <v>0</v>
      </c>
      <c r="AG504" s="1">
        <f t="shared" si="108"/>
        <v>0</v>
      </c>
      <c r="AH504" s="1">
        <f t="shared" si="108"/>
        <v>0</v>
      </c>
      <c r="AI504" s="1">
        <f t="shared" si="108"/>
        <v>0</v>
      </c>
      <c r="AJ504" s="1">
        <f t="shared" si="108"/>
        <v>0</v>
      </c>
      <c r="AK504" s="1">
        <f t="shared" si="108"/>
        <v>0</v>
      </c>
      <c r="AL504" s="1">
        <f t="shared" si="108"/>
        <v>0</v>
      </c>
      <c r="AM504" s="1">
        <f t="shared" si="108"/>
        <v>0</v>
      </c>
      <c r="AN504" s="1">
        <f t="shared" si="108"/>
        <v>0</v>
      </c>
      <c r="AO504" s="1">
        <f t="shared" si="108"/>
        <v>0</v>
      </c>
      <c r="AP504" s="1">
        <f t="shared" si="108"/>
        <v>0</v>
      </c>
      <c r="AQ504" s="1">
        <f t="shared" si="108"/>
        <v>0</v>
      </c>
      <c r="AR504" s="1">
        <f t="shared" si="108"/>
        <v>0</v>
      </c>
      <c r="AS504" s="1">
        <f t="shared" si="108"/>
        <v>0</v>
      </c>
      <c r="AT504" s="1">
        <f t="shared" si="108"/>
        <v>0</v>
      </c>
      <c r="AU504" s="1">
        <f t="shared" si="108"/>
        <v>0</v>
      </c>
      <c r="AV504" s="1">
        <f t="shared" si="108"/>
        <v>0</v>
      </c>
      <c r="AW504" s="1">
        <f t="shared" si="108"/>
        <v>0</v>
      </c>
      <c r="AX504" s="1">
        <f t="shared" si="108"/>
        <v>0</v>
      </c>
      <c r="AY504" s="1">
        <f t="shared" si="108"/>
        <v>0</v>
      </c>
      <c r="AZ504" s="1">
        <f t="shared" si="108"/>
        <v>0</v>
      </c>
      <c r="BA504" s="1">
        <f t="shared" si="108"/>
        <v>0</v>
      </c>
      <c r="BB504" s="1">
        <f t="shared" si="108"/>
        <v>0</v>
      </c>
      <c r="BC504" s="1">
        <f t="shared" si="108"/>
        <v>0</v>
      </c>
      <c r="BD504" s="1">
        <f t="shared" si="108"/>
        <v>0</v>
      </c>
      <c r="BE504" s="1">
        <f t="shared" si="108"/>
        <v>0</v>
      </c>
      <c r="BF504" s="1">
        <f t="shared" si="59"/>
        <v>0</v>
      </c>
    </row>
    <row r="505" spans="1:58" x14ac:dyDescent="0.2">
      <c r="B505" s="1">
        <v>27</v>
      </c>
      <c r="C505" s="1">
        <f t="shared" ref="C505:T505" si="109">+IF(C33=0,0,1)</f>
        <v>0</v>
      </c>
      <c r="D505" s="1">
        <f t="shared" si="109"/>
        <v>0</v>
      </c>
      <c r="E505" s="1">
        <f t="shared" si="109"/>
        <v>0</v>
      </c>
      <c r="F505" s="1">
        <f t="shared" si="109"/>
        <v>0</v>
      </c>
      <c r="G505" s="1">
        <f t="shared" si="109"/>
        <v>0</v>
      </c>
      <c r="H505" s="1">
        <f t="shared" si="109"/>
        <v>0</v>
      </c>
      <c r="I505" s="1">
        <f t="shared" si="109"/>
        <v>0</v>
      </c>
      <c r="J505" s="1">
        <f t="shared" si="109"/>
        <v>0</v>
      </c>
      <c r="K505" s="1">
        <f t="shared" si="109"/>
        <v>0</v>
      </c>
      <c r="L505" s="1">
        <f t="shared" si="109"/>
        <v>0</v>
      </c>
      <c r="M505" s="1">
        <f t="shared" si="109"/>
        <v>0</v>
      </c>
      <c r="N505" s="1">
        <f t="shared" si="109"/>
        <v>0</v>
      </c>
      <c r="O505" s="1">
        <f t="shared" si="109"/>
        <v>0</v>
      </c>
      <c r="P505" s="1">
        <f t="shared" si="109"/>
        <v>0</v>
      </c>
      <c r="Q505" s="1">
        <f t="shared" si="109"/>
        <v>0</v>
      </c>
      <c r="R505" s="1">
        <f t="shared" si="109"/>
        <v>0</v>
      </c>
      <c r="S505" s="1">
        <f t="shared" si="109"/>
        <v>0</v>
      </c>
      <c r="T505" s="1">
        <f t="shared" si="109"/>
        <v>0</v>
      </c>
      <c r="U505" s="1">
        <f t="shared" si="67"/>
        <v>0</v>
      </c>
      <c r="V505" s="1">
        <f t="shared" ref="V505:BE505" si="110">+IF(V33=0,0,1)</f>
        <v>0</v>
      </c>
      <c r="W505" s="1">
        <f t="shared" si="110"/>
        <v>0</v>
      </c>
      <c r="X505" s="1">
        <f t="shared" si="110"/>
        <v>0</v>
      </c>
      <c r="Y505" s="1">
        <f t="shared" si="110"/>
        <v>0</v>
      </c>
      <c r="Z505" s="1">
        <f t="shared" si="110"/>
        <v>0</v>
      </c>
      <c r="AA505" s="1">
        <f t="shared" si="110"/>
        <v>0</v>
      </c>
      <c r="AB505" s="1">
        <f t="shared" si="110"/>
        <v>0</v>
      </c>
      <c r="AC505" s="1">
        <f t="shared" si="110"/>
        <v>0</v>
      </c>
      <c r="AD505" s="1">
        <f t="shared" si="110"/>
        <v>0</v>
      </c>
      <c r="AE505" s="1">
        <f t="shared" si="110"/>
        <v>0</v>
      </c>
      <c r="AF505" s="1">
        <f t="shared" si="110"/>
        <v>0</v>
      </c>
      <c r="AG505" s="1">
        <f t="shared" si="110"/>
        <v>0</v>
      </c>
      <c r="AH505" s="1">
        <f t="shared" si="110"/>
        <v>0</v>
      </c>
      <c r="AI505" s="1">
        <f t="shared" si="110"/>
        <v>0</v>
      </c>
      <c r="AJ505" s="1">
        <f t="shared" si="110"/>
        <v>0</v>
      </c>
      <c r="AK505" s="1">
        <f t="shared" si="110"/>
        <v>0</v>
      </c>
      <c r="AL505" s="1">
        <f t="shared" si="110"/>
        <v>0</v>
      </c>
      <c r="AM505" s="1">
        <f t="shared" si="110"/>
        <v>0</v>
      </c>
      <c r="AN505" s="1">
        <f t="shared" si="110"/>
        <v>0</v>
      </c>
      <c r="AO505" s="1">
        <f t="shared" si="110"/>
        <v>0</v>
      </c>
      <c r="AP505" s="1">
        <f t="shared" si="110"/>
        <v>0</v>
      </c>
      <c r="AQ505" s="1">
        <f t="shared" si="110"/>
        <v>0</v>
      </c>
      <c r="AR505" s="1">
        <f t="shared" si="110"/>
        <v>0</v>
      </c>
      <c r="AS505" s="1">
        <f t="shared" si="110"/>
        <v>0</v>
      </c>
      <c r="AT505" s="1">
        <f t="shared" si="110"/>
        <v>0</v>
      </c>
      <c r="AU505" s="1">
        <f t="shared" si="110"/>
        <v>0</v>
      </c>
      <c r="AV505" s="1">
        <f t="shared" si="110"/>
        <v>0</v>
      </c>
      <c r="AW505" s="1">
        <f t="shared" si="110"/>
        <v>0</v>
      </c>
      <c r="AX505" s="1">
        <f t="shared" si="110"/>
        <v>0</v>
      </c>
      <c r="AY505" s="1">
        <f t="shared" si="110"/>
        <v>0</v>
      </c>
      <c r="AZ505" s="1">
        <f t="shared" si="110"/>
        <v>0</v>
      </c>
      <c r="BA505" s="1">
        <f t="shared" si="110"/>
        <v>0</v>
      </c>
      <c r="BB505" s="1">
        <f t="shared" si="110"/>
        <v>0</v>
      </c>
      <c r="BC505" s="1">
        <f t="shared" si="110"/>
        <v>0</v>
      </c>
      <c r="BD505" s="1">
        <f t="shared" si="110"/>
        <v>0</v>
      </c>
      <c r="BE505" s="1">
        <f t="shared" si="110"/>
        <v>0</v>
      </c>
      <c r="BF505" s="1">
        <f t="shared" si="59"/>
        <v>0</v>
      </c>
    </row>
    <row r="506" spans="1:58" x14ac:dyDescent="0.2">
      <c r="B506" s="1">
        <v>28</v>
      </c>
      <c r="C506" s="1">
        <f t="shared" ref="C506:T506" si="111">+IF(C34=0,0,1)</f>
        <v>0</v>
      </c>
      <c r="D506" s="1">
        <f t="shared" si="111"/>
        <v>0</v>
      </c>
      <c r="E506" s="1">
        <f t="shared" si="111"/>
        <v>0</v>
      </c>
      <c r="F506" s="1">
        <f t="shared" si="111"/>
        <v>0</v>
      </c>
      <c r="G506" s="1">
        <f t="shared" si="111"/>
        <v>0</v>
      </c>
      <c r="H506" s="1">
        <f t="shared" si="111"/>
        <v>0</v>
      </c>
      <c r="I506" s="1">
        <f t="shared" si="111"/>
        <v>0</v>
      </c>
      <c r="J506" s="1">
        <f t="shared" si="111"/>
        <v>0</v>
      </c>
      <c r="K506" s="1">
        <f t="shared" si="111"/>
        <v>0</v>
      </c>
      <c r="L506" s="1">
        <f t="shared" si="111"/>
        <v>0</v>
      </c>
      <c r="M506" s="1">
        <f t="shared" si="111"/>
        <v>0</v>
      </c>
      <c r="N506" s="1">
        <f t="shared" si="111"/>
        <v>0</v>
      </c>
      <c r="O506" s="1">
        <f t="shared" si="111"/>
        <v>0</v>
      </c>
      <c r="P506" s="1">
        <f t="shared" si="111"/>
        <v>0</v>
      </c>
      <c r="Q506" s="1">
        <f t="shared" si="111"/>
        <v>0</v>
      </c>
      <c r="R506" s="1">
        <f t="shared" si="111"/>
        <v>0</v>
      </c>
      <c r="S506" s="1">
        <f t="shared" si="111"/>
        <v>0</v>
      </c>
      <c r="T506" s="1">
        <f t="shared" si="111"/>
        <v>0</v>
      </c>
      <c r="U506" s="1">
        <f t="shared" si="67"/>
        <v>0</v>
      </c>
      <c r="V506" s="1">
        <f t="shared" ref="V506:BE506" si="112">+IF(V34=0,0,1)</f>
        <v>0</v>
      </c>
      <c r="W506" s="1">
        <f t="shared" si="112"/>
        <v>0</v>
      </c>
      <c r="X506" s="1">
        <f t="shared" si="112"/>
        <v>0</v>
      </c>
      <c r="Y506" s="1">
        <f t="shared" si="112"/>
        <v>0</v>
      </c>
      <c r="Z506" s="1">
        <f t="shared" si="112"/>
        <v>0</v>
      </c>
      <c r="AA506" s="1">
        <f t="shared" si="112"/>
        <v>0</v>
      </c>
      <c r="AB506" s="1">
        <f t="shared" si="112"/>
        <v>0</v>
      </c>
      <c r="AC506" s="1">
        <f t="shared" si="112"/>
        <v>0</v>
      </c>
      <c r="AD506" s="1">
        <f t="shared" si="112"/>
        <v>0</v>
      </c>
      <c r="AE506" s="1">
        <f t="shared" si="112"/>
        <v>0</v>
      </c>
      <c r="AF506" s="1">
        <f t="shared" si="112"/>
        <v>0</v>
      </c>
      <c r="AG506" s="1">
        <f t="shared" si="112"/>
        <v>0</v>
      </c>
      <c r="AH506" s="1">
        <f t="shared" si="112"/>
        <v>0</v>
      </c>
      <c r="AI506" s="1">
        <f t="shared" si="112"/>
        <v>0</v>
      </c>
      <c r="AJ506" s="1">
        <f t="shared" si="112"/>
        <v>0</v>
      </c>
      <c r="AK506" s="1">
        <f t="shared" si="112"/>
        <v>0</v>
      </c>
      <c r="AL506" s="1">
        <f t="shared" si="112"/>
        <v>0</v>
      </c>
      <c r="AM506" s="1">
        <f t="shared" si="112"/>
        <v>0</v>
      </c>
      <c r="AN506" s="1">
        <f t="shared" si="112"/>
        <v>0</v>
      </c>
      <c r="AO506" s="1">
        <f t="shared" si="112"/>
        <v>0</v>
      </c>
      <c r="AP506" s="1">
        <f t="shared" si="112"/>
        <v>0</v>
      </c>
      <c r="AQ506" s="1">
        <f t="shared" si="112"/>
        <v>0</v>
      </c>
      <c r="AR506" s="1">
        <f t="shared" si="112"/>
        <v>0</v>
      </c>
      <c r="AS506" s="1">
        <f t="shared" si="112"/>
        <v>0</v>
      </c>
      <c r="AT506" s="1">
        <f t="shared" si="112"/>
        <v>0</v>
      </c>
      <c r="AU506" s="1">
        <f t="shared" si="112"/>
        <v>0</v>
      </c>
      <c r="AV506" s="1">
        <f t="shared" si="112"/>
        <v>0</v>
      </c>
      <c r="AW506" s="1">
        <f t="shared" si="112"/>
        <v>0</v>
      </c>
      <c r="AX506" s="1">
        <f t="shared" si="112"/>
        <v>0</v>
      </c>
      <c r="AY506" s="1">
        <f t="shared" si="112"/>
        <v>0</v>
      </c>
      <c r="AZ506" s="1">
        <f t="shared" si="112"/>
        <v>0</v>
      </c>
      <c r="BA506" s="1">
        <f t="shared" si="112"/>
        <v>0</v>
      </c>
      <c r="BB506" s="1">
        <f t="shared" si="112"/>
        <v>0</v>
      </c>
      <c r="BC506" s="1">
        <f t="shared" si="112"/>
        <v>0</v>
      </c>
      <c r="BD506" s="1">
        <f t="shared" si="112"/>
        <v>0</v>
      </c>
      <c r="BE506" s="1">
        <f t="shared" si="112"/>
        <v>0</v>
      </c>
      <c r="BF506" s="1">
        <f t="shared" si="59"/>
        <v>0</v>
      </c>
    </row>
    <row r="507" spans="1:58" x14ac:dyDescent="0.2">
      <c r="B507" s="1">
        <v>29</v>
      </c>
      <c r="C507" s="1">
        <f t="shared" ref="C507:T507" si="113">+IF(C35=0,0,1)</f>
        <v>0</v>
      </c>
      <c r="D507" s="1">
        <f t="shared" si="113"/>
        <v>0</v>
      </c>
      <c r="E507" s="1">
        <f t="shared" si="113"/>
        <v>0</v>
      </c>
      <c r="F507" s="1">
        <f t="shared" si="113"/>
        <v>0</v>
      </c>
      <c r="G507" s="1">
        <f t="shared" si="113"/>
        <v>0</v>
      </c>
      <c r="H507" s="1">
        <f t="shared" si="113"/>
        <v>0</v>
      </c>
      <c r="I507" s="1">
        <f t="shared" si="113"/>
        <v>0</v>
      </c>
      <c r="J507" s="1">
        <f t="shared" si="113"/>
        <v>0</v>
      </c>
      <c r="K507" s="1">
        <f t="shared" si="113"/>
        <v>0</v>
      </c>
      <c r="L507" s="1">
        <f t="shared" si="113"/>
        <v>0</v>
      </c>
      <c r="M507" s="1">
        <f t="shared" si="113"/>
        <v>0</v>
      </c>
      <c r="N507" s="1">
        <f t="shared" si="113"/>
        <v>0</v>
      </c>
      <c r="O507" s="1">
        <f t="shared" si="113"/>
        <v>0</v>
      </c>
      <c r="P507" s="1">
        <f t="shared" si="113"/>
        <v>0</v>
      </c>
      <c r="Q507" s="1">
        <f t="shared" si="113"/>
        <v>0</v>
      </c>
      <c r="R507" s="1">
        <f t="shared" si="113"/>
        <v>0</v>
      </c>
      <c r="S507" s="1">
        <f t="shared" si="113"/>
        <v>0</v>
      </c>
      <c r="T507" s="1">
        <f t="shared" si="113"/>
        <v>0</v>
      </c>
      <c r="U507" s="1">
        <f t="shared" si="67"/>
        <v>0</v>
      </c>
      <c r="V507" s="1">
        <f t="shared" ref="V507:BE507" si="114">+IF(V35=0,0,1)</f>
        <v>0</v>
      </c>
      <c r="W507" s="1">
        <f t="shared" si="114"/>
        <v>0</v>
      </c>
      <c r="X507" s="1">
        <f t="shared" si="114"/>
        <v>0</v>
      </c>
      <c r="Y507" s="1">
        <f t="shared" si="114"/>
        <v>0</v>
      </c>
      <c r="Z507" s="1">
        <f t="shared" si="114"/>
        <v>0</v>
      </c>
      <c r="AA507" s="1">
        <f t="shared" si="114"/>
        <v>0</v>
      </c>
      <c r="AB507" s="1">
        <f t="shared" si="114"/>
        <v>0</v>
      </c>
      <c r="AC507" s="1">
        <f t="shared" si="114"/>
        <v>0</v>
      </c>
      <c r="AD507" s="1">
        <f t="shared" si="114"/>
        <v>0</v>
      </c>
      <c r="AE507" s="1">
        <f t="shared" si="114"/>
        <v>0</v>
      </c>
      <c r="AF507" s="1">
        <f t="shared" si="114"/>
        <v>0</v>
      </c>
      <c r="AG507" s="1">
        <f t="shared" si="114"/>
        <v>0</v>
      </c>
      <c r="AH507" s="1">
        <f t="shared" si="114"/>
        <v>0</v>
      </c>
      <c r="AI507" s="1">
        <f t="shared" si="114"/>
        <v>0</v>
      </c>
      <c r="AJ507" s="1">
        <f t="shared" si="114"/>
        <v>0</v>
      </c>
      <c r="AK507" s="1">
        <f t="shared" si="114"/>
        <v>0</v>
      </c>
      <c r="AL507" s="1">
        <f t="shared" si="114"/>
        <v>0</v>
      </c>
      <c r="AM507" s="1">
        <f t="shared" si="114"/>
        <v>0</v>
      </c>
      <c r="AN507" s="1">
        <f t="shared" si="114"/>
        <v>0</v>
      </c>
      <c r="AO507" s="1">
        <f t="shared" si="114"/>
        <v>0</v>
      </c>
      <c r="AP507" s="1">
        <f t="shared" si="114"/>
        <v>0</v>
      </c>
      <c r="AQ507" s="1">
        <f t="shared" si="114"/>
        <v>0</v>
      </c>
      <c r="AR507" s="1">
        <f t="shared" si="114"/>
        <v>0</v>
      </c>
      <c r="AS507" s="1">
        <f t="shared" si="114"/>
        <v>0</v>
      </c>
      <c r="AT507" s="1">
        <f t="shared" si="114"/>
        <v>0</v>
      </c>
      <c r="AU507" s="1">
        <f t="shared" si="114"/>
        <v>0</v>
      </c>
      <c r="AV507" s="1">
        <f t="shared" si="114"/>
        <v>0</v>
      </c>
      <c r="AW507" s="1">
        <f t="shared" si="114"/>
        <v>0</v>
      </c>
      <c r="AX507" s="1">
        <f t="shared" si="114"/>
        <v>0</v>
      </c>
      <c r="AY507" s="1">
        <f t="shared" si="114"/>
        <v>0</v>
      </c>
      <c r="AZ507" s="1">
        <f t="shared" si="114"/>
        <v>0</v>
      </c>
      <c r="BA507" s="1">
        <f t="shared" si="114"/>
        <v>0</v>
      </c>
      <c r="BB507" s="1">
        <f t="shared" si="114"/>
        <v>0</v>
      </c>
      <c r="BC507" s="1">
        <f t="shared" si="114"/>
        <v>0</v>
      </c>
      <c r="BD507" s="1">
        <f t="shared" si="114"/>
        <v>0</v>
      </c>
      <c r="BE507" s="1">
        <f t="shared" si="114"/>
        <v>0</v>
      </c>
      <c r="BF507" s="1">
        <f t="shared" si="59"/>
        <v>0</v>
      </c>
    </row>
    <row r="508" spans="1:58" x14ac:dyDescent="0.2">
      <c r="B508" s="1">
        <v>30</v>
      </c>
      <c r="C508" s="1">
        <f t="shared" ref="C508:T508" si="115">+IF(C36=0,0,1)</f>
        <v>0</v>
      </c>
      <c r="D508" s="1">
        <f t="shared" si="115"/>
        <v>0</v>
      </c>
      <c r="E508" s="1">
        <f t="shared" si="115"/>
        <v>0</v>
      </c>
      <c r="F508" s="1">
        <f t="shared" si="115"/>
        <v>0</v>
      </c>
      <c r="G508" s="1">
        <f t="shared" si="115"/>
        <v>0</v>
      </c>
      <c r="H508" s="1">
        <f t="shared" si="115"/>
        <v>0</v>
      </c>
      <c r="I508" s="1">
        <f t="shared" si="115"/>
        <v>0</v>
      </c>
      <c r="J508" s="1">
        <f t="shared" si="115"/>
        <v>0</v>
      </c>
      <c r="K508" s="1">
        <f t="shared" si="115"/>
        <v>0</v>
      </c>
      <c r="L508" s="1">
        <f t="shared" si="115"/>
        <v>0</v>
      </c>
      <c r="M508" s="1">
        <f t="shared" si="115"/>
        <v>0</v>
      </c>
      <c r="N508" s="1">
        <f t="shared" si="115"/>
        <v>0</v>
      </c>
      <c r="O508" s="1">
        <f t="shared" si="115"/>
        <v>0</v>
      </c>
      <c r="P508" s="1">
        <f t="shared" si="115"/>
        <v>0</v>
      </c>
      <c r="Q508" s="1">
        <f t="shared" si="115"/>
        <v>0</v>
      </c>
      <c r="R508" s="1">
        <f t="shared" si="115"/>
        <v>0</v>
      </c>
      <c r="S508" s="1">
        <f t="shared" si="115"/>
        <v>0</v>
      </c>
      <c r="T508" s="1">
        <f t="shared" si="115"/>
        <v>0</v>
      </c>
      <c r="U508" s="1">
        <f t="shared" si="67"/>
        <v>0</v>
      </c>
      <c r="V508" s="1">
        <f t="shared" ref="V508:BE508" si="116">+IF(V36=0,0,1)</f>
        <v>0</v>
      </c>
      <c r="W508" s="1">
        <f t="shared" si="116"/>
        <v>0</v>
      </c>
      <c r="X508" s="1">
        <f t="shared" si="116"/>
        <v>0</v>
      </c>
      <c r="Y508" s="1">
        <f t="shared" si="116"/>
        <v>0</v>
      </c>
      <c r="Z508" s="1">
        <f t="shared" si="116"/>
        <v>0</v>
      </c>
      <c r="AA508" s="1">
        <f t="shared" si="116"/>
        <v>0</v>
      </c>
      <c r="AB508" s="1">
        <f t="shared" si="116"/>
        <v>0</v>
      </c>
      <c r="AC508" s="1">
        <f t="shared" si="116"/>
        <v>0</v>
      </c>
      <c r="AD508" s="1">
        <f t="shared" si="116"/>
        <v>0</v>
      </c>
      <c r="AE508" s="1">
        <f t="shared" si="116"/>
        <v>0</v>
      </c>
      <c r="AF508" s="1">
        <f t="shared" si="116"/>
        <v>0</v>
      </c>
      <c r="AG508" s="1">
        <f t="shared" si="116"/>
        <v>0</v>
      </c>
      <c r="AH508" s="1">
        <f t="shared" si="116"/>
        <v>0</v>
      </c>
      <c r="AI508" s="1">
        <f t="shared" si="116"/>
        <v>0</v>
      </c>
      <c r="AJ508" s="1">
        <f t="shared" si="116"/>
        <v>0</v>
      </c>
      <c r="AK508" s="1">
        <f t="shared" si="116"/>
        <v>0</v>
      </c>
      <c r="AL508" s="1">
        <f t="shared" si="116"/>
        <v>0</v>
      </c>
      <c r="AM508" s="1">
        <f t="shared" si="116"/>
        <v>0</v>
      </c>
      <c r="AN508" s="1">
        <f t="shared" si="116"/>
        <v>0</v>
      </c>
      <c r="AO508" s="1">
        <f t="shared" si="116"/>
        <v>0</v>
      </c>
      <c r="AP508" s="1">
        <f t="shared" si="116"/>
        <v>0</v>
      </c>
      <c r="AQ508" s="1">
        <f t="shared" si="116"/>
        <v>0</v>
      </c>
      <c r="AR508" s="1">
        <f t="shared" si="116"/>
        <v>0</v>
      </c>
      <c r="AS508" s="1">
        <f t="shared" si="116"/>
        <v>0</v>
      </c>
      <c r="AT508" s="1">
        <f t="shared" si="116"/>
        <v>0</v>
      </c>
      <c r="AU508" s="1">
        <f t="shared" si="116"/>
        <v>0</v>
      </c>
      <c r="AV508" s="1">
        <f t="shared" si="116"/>
        <v>0</v>
      </c>
      <c r="AW508" s="1">
        <f t="shared" si="116"/>
        <v>0</v>
      </c>
      <c r="AX508" s="1">
        <f t="shared" si="116"/>
        <v>0</v>
      </c>
      <c r="AY508" s="1">
        <f t="shared" si="116"/>
        <v>0</v>
      </c>
      <c r="AZ508" s="1">
        <f t="shared" si="116"/>
        <v>0</v>
      </c>
      <c r="BA508" s="1">
        <f t="shared" si="116"/>
        <v>0</v>
      </c>
      <c r="BB508" s="1">
        <f t="shared" si="116"/>
        <v>0</v>
      </c>
      <c r="BC508" s="1">
        <f t="shared" si="116"/>
        <v>0</v>
      </c>
      <c r="BD508" s="1">
        <f t="shared" si="116"/>
        <v>0</v>
      </c>
      <c r="BE508" s="1">
        <f t="shared" si="116"/>
        <v>0</v>
      </c>
      <c r="BF508" s="1">
        <f t="shared" si="59"/>
        <v>0</v>
      </c>
    </row>
    <row r="511" spans="1:58" s="44" customFormat="1" x14ac:dyDescent="0.2">
      <c r="A511" s="505" t="s">
        <v>945</v>
      </c>
      <c r="C511" s="506">
        <v>3.1865744090301185E-2</v>
      </c>
      <c r="D511" s="507">
        <v>9.1375614984080533E-2</v>
      </c>
      <c r="E511" s="507">
        <v>3.1865744090301185E-2</v>
      </c>
      <c r="F511" s="507">
        <v>4.2399511078607399E-2</v>
      </c>
      <c r="G511" s="507">
        <v>0.11273275867500687</v>
      </c>
      <c r="H511" s="507">
        <v>8.3787341069914367E-2</v>
      </c>
      <c r="I511" s="507">
        <v>0.12914224618683057</v>
      </c>
      <c r="J511" s="507">
        <v>0.11273275867500687</v>
      </c>
      <c r="K511" s="507">
        <v>0.12914224618683057</v>
      </c>
      <c r="L511" s="44">
        <v>4.2399511078607399E-2</v>
      </c>
      <c r="M511" s="507">
        <v>4.2399511078607399E-2</v>
      </c>
      <c r="N511" s="507">
        <v>4.2399511078607399E-2</v>
      </c>
      <c r="O511" s="507">
        <v>4.2399511078607399E-2</v>
      </c>
      <c r="P511" s="507">
        <v>4.2399511078607399E-2</v>
      </c>
      <c r="Q511" s="44">
        <v>4.2399511078607399E-2</v>
      </c>
      <c r="R511" s="507">
        <v>4.2399511078607399E-2</v>
      </c>
      <c r="S511" s="44">
        <v>4.2399511078607399E-2</v>
      </c>
      <c r="T511" s="44">
        <v>4.2399511078607399E-2</v>
      </c>
      <c r="U511" s="44">
        <v>4.2399511078607399E-2</v>
      </c>
      <c r="V511" s="44">
        <v>4.2399511078607399E-2</v>
      </c>
      <c r="W511" s="507">
        <v>4.2399511078607399E-2</v>
      </c>
      <c r="X511" s="44">
        <v>4.2399511078607399E-2</v>
      </c>
      <c r="Y511" s="44">
        <v>4.2399511078607399E-2</v>
      </c>
      <c r="Z511" s="44">
        <v>4.2399511078607399E-2</v>
      </c>
      <c r="AA511" s="44">
        <v>4.2399511078607399E-2</v>
      </c>
      <c r="AB511" s="44">
        <v>4.2399511078607399E-2</v>
      </c>
      <c r="AC511" s="44">
        <v>4.2399511078607399E-2</v>
      </c>
      <c r="AD511" s="44">
        <v>4.2399511078607399E-2</v>
      </c>
      <c r="AE511" s="44">
        <v>4.2399511078607399E-2</v>
      </c>
      <c r="AF511" s="44">
        <v>4.2399511078607399E-2</v>
      </c>
      <c r="AG511" s="507">
        <v>4.2399511078607399E-2</v>
      </c>
      <c r="AH511" s="44">
        <v>4.2399511078607399E-2</v>
      </c>
      <c r="AI511" s="44">
        <v>4.2399511078607399E-2</v>
      </c>
      <c r="AJ511" s="44">
        <v>4.2399511078607399E-2</v>
      </c>
      <c r="AK511" s="507">
        <v>4.2399511078607399E-2</v>
      </c>
      <c r="AL511" s="507">
        <v>4.2399511078607399E-2</v>
      </c>
      <c r="AM511" s="44">
        <v>4.2399511078607399E-2</v>
      </c>
      <c r="AN511" s="44">
        <v>4.2399511078607399E-2</v>
      </c>
      <c r="AO511" s="44">
        <v>4.2399511078607399E-2</v>
      </c>
      <c r="AP511" s="44">
        <v>4.2399511078607399E-2</v>
      </c>
      <c r="AQ511" s="44">
        <v>4.2399511078607399E-2</v>
      </c>
      <c r="AR511" s="44">
        <v>4.2399511078607399E-2</v>
      </c>
      <c r="AS511" s="44">
        <v>4.2399511078607399E-2</v>
      </c>
      <c r="AT511" s="44">
        <v>3.1865744090301185E-2</v>
      </c>
      <c r="AU511" s="44">
        <v>3.1865744090301185E-2</v>
      </c>
      <c r="AV511" s="44">
        <v>4.2399511078607399E-2</v>
      </c>
      <c r="AW511" s="507">
        <v>4.2399511078607399E-2</v>
      </c>
      <c r="AX511" s="44">
        <v>4.2399511078607399E-2</v>
      </c>
      <c r="AY511" s="507">
        <v>4.2399511078607399E-2</v>
      </c>
      <c r="AZ511" s="44">
        <v>3.1865744090301185E-2</v>
      </c>
      <c r="BA511" s="44">
        <v>4.2399511078607399E-2</v>
      </c>
      <c r="BB511" s="44">
        <v>4.2399511078607399E-2</v>
      </c>
      <c r="BC511" s="44">
        <v>4.2399511078607399E-2</v>
      </c>
      <c r="BD511" s="44">
        <v>0.10714478146534456</v>
      </c>
      <c r="BE511" s="44">
        <v>3.1865744090301185E-2</v>
      </c>
      <c r="BF511" s="44">
        <v>3.1865744090301185E-2</v>
      </c>
    </row>
    <row r="512" spans="1:58" x14ac:dyDescent="0.2">
      <c r="A512" s="46" t="s">
        <v>921</v>
      </c>
      <c r="C512" s="508">
        <f>+C511+'סל מדדים'!$F$25</f>
        <v>1.8638754540273812E-2</v>
      </c>
      <c r="D512" s="508">
        <f>+D511+'סל מדדים'!$F$25</f>
        <v>7.8148625434053154E-2</v>
      </c>
      <c r="E512" s="508">
        <f>+E511+'סל מדדים'!$F$25</f>
        <v>1.8638754540273812E-2</v>
      </c>
      <c r="F512" s="508">
        <f>+F511+'סל מדדים'!$F$25</f>
        <v>2.9172521528580027E-2</v>
      </c>
      <c r="G512" s="508">
        <f>+G511+'סל מדדים'!$F$25</f>
        <v>9.9505769124979493E-2</v>
      </c>
      <c r="H512" s="508">
        <f>+H511+'סל מדדים'!$F$25</f>
        <v>7.0560351519886988E-2</v>
      </c>
      <c r="I512" s="508">
        <f>+I511+'סל מדדים'!$F$25</f>
        <v>0.11591525663680319</v>
      </c>
      <c r="J512" s="508">
        <f>+J511+'סל מדדים'!$F$25</f>
        <v>9.9505769124979493E-2</v>
      </c>
      <c r="K512" s="508">
        <f>+K511+'סל מדדים'!$F$25</f>
        <v>0.11591525663680319</v>
      </c>
      <c r="L512" s="508">
        <f>+L511+'סל מדדים'!$F$25</f>
        <v>2.9172521528580027E-2</v>
      </c>
      <c r="M512" s="508">
        <f>+M511+'סל מדדים'!$F$25</f>
        <v>2.9172521528580027E-2</v>
      </c>
      <c r="N512" s="508">
        <f>+N511+'סל מדדים'!$F$25</f>
        <v>2.9172521528580027E-2</v>
      </c>
      <c r="O512" s="508">
        <f>+O511+'סל מדדים'!$F$25</f>
        <v>2.9172521528580027E-2</v>
      </c>
      <c r="P512" s="508">
        <f>+P511+'סל מדדים'!$F$25</f>
        <v>2.9172521528580027E-2</v>
      </c>
      <c r="Q512" s="508">
        <f>+Q511+'סל מדדים'!$F$25</f>
        <v>2.9172521528580027E-2</v>
      </c>
      <c r="R512" s="508">
        <f>+R511+'סל מדדים'!$F$25</f>
        <v>2.9172521528580027E-2</v>
      </c>
      <c r="S512" s="508">
        <f>+S511+'סל מדדים'!$F$25</f>
        <v>2.9172521528580027E-2</v>
      </c>
      <c r="T512" s="508">
        <f>+T511+'סל מדדים'!$F$25</f>
        <v>2.9172521528580027E-2</v>
      </c>
      <c r="U512" s="508">
        <f>+U511+'סל מדדים'!$F$25</f>
        <v>2.9172521528580027E-2</v>
      </c>
      <c r="V512" s="508">
        <f>+V511+'סל מדדים'!$F$25</f>
        <v>2.9172521528580027E-2</v>
      </c>
      <c r="W512" s="508">
        <f>+W511+'סל מדדים'!$F$25</f>
        <v>2.9172521528580027E-2</v>
      </c>
      <c r="X512" s="508">
        <f>+X511+'סל מדדים'!$F$25</f>
        <v>2.9172521528580027E-2</v>
      </c>
      <c r="Y512" s="508">
        <f>+Y511+'סל מדדים'!$F$25</f>
        <v>2.9172521528580027E-2</v>
      </c>
      <c r="Z512" s="508">
        <f>+Z511+'סל מדדים'!$F$25</f>
        <v>2.9172521528580027E-2</v>
      </c>
      <c r="AA512" s="508">
        <f>+AA511+'סל מדדים'!$F$25</f>
        <v>2.9172521528580027E-2</v>
      </c>
      <c r="AB512" s="508">
        <f>+AB511+'סל מדדים'!$F$25</f>
        <v>2.9172521528580027E-2</v>
      </c>
      <c r="AC512" s="508">
        <f>+AC511+'סל מדדים'!$F$25</f>
        <v>2.9172521528580027E-2</v>
      </c>
      <c r="AD512" s="508">
        <f>+AD511+'סל מדדים'!$F$25</f>
        <v>2.9172521528580027E-2</v>
      </c>
      <c r="AE512" s="508">
        <f>+AE511+'סל מדדים'!$F$25</f>
        <v>2.9172521528580027E-2</v>
      </c>
      <c r="AF512" s="508">
        <f>+AF511+'סל מדדים'!$F$25</f>
        <v>2.9172521528580027E-2</v>
      </c>
      <c r="AG512" s="508">
        <f>+AG511+'סל מדדים'!$F$25</f>
        <v>2.9172521528580027E-2</v>
      </c>
      <c r="AH512" s="508">
        <f>+AH511+'סל מדדים'!$F$25</f>
        <v>2.9172521528580027E-2</v>
      </c>
      <c r="AI512" s="508">
        <f>+AI511+'סל מדדים'!$F$25</f>
        <v>2.9172521528580027E-2</v>
      </c>
      <c r="AJ512" s="508">
        <f>+AJ511+'סל מדדים'!$F$25</f>
        <v>2.9172521528580027E-2</v>
      </c>
      <c r="AK512" s="508">
        <f>+AK511+'סל מדדים'!$F$25</f>
        <v>2.9172521528580027E-2</v>
      </c>
      <c r="AL512" s="508">
        <f>+AL511+'סל מדדים'!$F$25</f>
        <v>2.9172521528580027E-2</v>
      </c>
      <c r="AM512" s="508">
        <f>+AM511+'סל מדדים'!$F$25</f>
        <v>2.9172521528580027E-2</v>
      </c>
      <c r="AN512" s="508">
        <f>+AN511+'סל מדדים'!$F$25</f>
        <v>2.9172521528580027E-2</v>
      </c>
      <c r="AO512" s="508">
        <f>+AO511+'סל מדדים'!$F$25</f>
        <v>2.9172521528580027E-2</v>
      </c>
      <c r="AP512" s="508">
        <f>+AP511+'סל מדדים'!$F$25</f>
        <v>2.9172521528580027E-2</v>
      </c>
      <c r="AQ512" s="508">
        <f>+AQ511+'סל מדדים'!$F$25</f>
        <v>2.9172521528580027E-2</v>
      </c>
      <c r="AR512" s="508">
        <f>+AR511+'סל מדדים'!$F$25</f>
        <v>2.9172521528580027E-2</v>
      </c>
      <c r="AS512" s="508">
        <f>+AS511+'סל מדדים'!$F$25</f>
        <v>2.9172521528580027E-2</v>
      </c>
      <c r="AT512" s="508">
        <f>+AT511+'סל מדדים'!$F$25</f>
        <v>1.8638754540273812E-2</v>
      </c>
      <c r="AU512" s="508">
        <f>+AU511+'סל מדדים'!$F$25</f>
        <v>1.8638754540273812E-2</v>
      </c>
      <c r="AV512" s="508">
        <f>+AV511+'סל מדדים'!$F$25</f>
        <v>2.9172521528580027E-2</v>
      </c>
      <c r="AW512" s="508">
        <f>+AW511+'סל מדדים'!$F$25</f>
        <v>2.9172521528580027E-2</v>
      </c>
      <c r="AX512" s="508">
        <f>+AX511+'סל מדדים'!$F$25</f>
        <v>2.9172521528580027E-2</v>
      </c>
      <c r="AY512" s="508">
        <f>+AY511+'סל מדדים'!$F$25</f>
        <v>2.9172521528580027E-2</v>
      </c>
      <c r="AZ512" s="508">
        <f>+AZ511+'סל מדדים'!$F$25</f>
        <v>1.8638754540273812E-2</v>
      </c>
      <c r="BA512" s="508">
        <f>+BA511+'סל מדדים'!$F$25</f>
        <v>2.9172521528580027E-2</v>
      </c>
      <c r="BB512" s="508">
        <f>+BB511+'סל מדדים'!$F$25</f>
        <v>2.9172521528580027E-2</v>
      </c>
      <c r="BC512" s="508">
        <f>+BC511+'סל מדדים'!$F$25</f>
        <v>2.9172521528580027E-2</v>
      </c>
      <c r="BD512" s="508">
        <f>+BD511+'סל מדדים'!$F$25</f>
        <v>9.3917791915317184E-2</v>
      </c>
      <c r="BE512" s="508">
        <f>+BE511+'סל מדדים'!$F$25</f>
        <v>1.8638754540273812E-2</v>
      </c>
      <c r="BF512" s="508">
        <f>+BF511+'סל מדדים'!$F$25</f>
        <v>1.8638754540273812E-2</v>
      </c>
    </row>
    <row r="513" spans="1:58" x14ac:dyDescent="0.2">
      <c r="C513" s="1013"/>
    </row>
    <row r="514" spans="1:58" x14ac:dyDescent="0.2">
      <c r="C514" s="5"/>
    </row>
    <row r="515" spans="1:58" x14ac:dyDescent="0.2">
      <c r="A515" s="46" t="s">
        <v>716</v>
      </c>
      <c r="C515" s="47">
        <f>-(+IF(C6&lt;=2009,'הנחות עבודה'!$E$25*'נתוני תאגידים'!C209,IF(C6=2010,'הנחות עבודה'!$F$25*C209,IF(C6=2011,'הנחות עבודה'!$G$25*C209,0))))</f>
        <v>-25841.994735714288</v>
      </c>
      <c r="D515" s="47">
        <f>-(+IF(D6&lt;=2009,'הנחות עבודה'!$E$25*'נתוני תאגידים'!D209,IF(D6=2010,'הנחות עבודה'!$F$25*D209,IF(D6=2011,'הנחות עבודה'!$G$25*D209,0))))</f>
        <v>-6114.2985214285727</v>
      </c>
      <c r="E515" s="47">
        <f>-(+IF(E6&lt;=2009,'הנחות עבודה'!$E$25*'נתוני תאגידים'!E209,IF(E6=2010,'הנחות עבודה'!$F$25*E209,IF(E6=2011,'הנחות עבודה'!$G$25*E209,0))))</f>
        <v>-19268.212902857143</v>
      </c>
      <c r="F515" s="47">
        <f>-(+IF(F6&lt;=2009,'הנחות עבודה'!$E$25*'נתוני תאגידים'!F209,IF(F6=2010,'הנחות עבודה'!$F$25*F209,IF(F6=2011,'הנחות עבודה'!$G$25*F209,0))))</f>
        <v>-3725.8681885714286</v>
      </c>
      <c r="G515" s="47">
        <f>-(+IF(G6&lt;=2009,'הנחות עבודה'!$E$25*'נתוני תאגידים'!G209,IF(G6=2010,'הנחות עבודה'!$F$25*G209,IF(G6=2011,'הנחות עבודה'!$G$25*G209,0))))</f>
        <v>-9311.4313242857152</v>
      </c>
      <c r="H515" s="47">
        <f>-(+IF(H6&lt;=2009,'הנחות עבודה'!$E$25*'נתוני תאגידים'!H209,IF(H6=2010,'הנחות עבודה'!$F$25*H209,IF(H6=2011,'הנחות עבודה'!$G$25*H209,0))))</f>
        <v>-90731.541881428566</v>
      </c>
      <c r="I515" s="47">
        <f>-(+IF(I6&lt;=2009,'הנחות עבודה'!$E$25*'נתוני תאגידים'!I209,IF(I6=2010,'הנחות עבודה'!$F$25*I209,IF(I6=2011,'הנחות עבודה'!$G$25*I209,0))))</f>
        <v>-29395.841721428576</v>
      </c>
      <c r="J515" s="47">
        <f>-(+IF(J6&lt;=2009,'הנחות עבודה'!$E$25*'נתוני תאגידים'!J209,IF(J6=2010,'הנחות עבודה'!$F$25*J209,IF(J6=2011,'הנחות עבודה'!$G$25*J209,0))))</f>
        <v>-6938.9520000000011</v>
      </c>
      <c r="K515" s="47">
        <f>-(+IF(K6&lt;=2009,'הנחות עבודה'!$E$25*'נתוני תאגידים'!K209,IF(K6=2010,'הנחות עבודה'!$F$25*K209,IF(K6=2011,'הנחות עבודה'!$G$25*K209,0))))</f>
        <v>-11677.60508142857</v>
      </c>
      <c r="L515" s="47">
        <f>-(+IF(L6&lt;=2009,'הנחות עבודה'!$E$25*'נתוני תאגידים'!L209,IF(L6=2010,'הנחות עבודה'!$F$25*L209,IF(L6=2011,'הנחות עבודה'!$G$25*L209,0))))</f>
        <v>-11219.912365714285</v>
      </c>
      <c r="M515" s="47">
        <f>-(+IF(M6&lt;=2009,'הנחות עבודה'!$E$25*'נתוני תאגידים'!M209,IF(M6=2010,'הנחות עבודה'!$F$25*M209,IF(M6=2011,'הנחות עבודה'!$G$25*M209,0))))</f>
        <v>-13040.622857142858</v>
      </c>
      <c r="N515" s="47">
        <f>-(+IF(N6&lt;=2009,'הנחות עבודה'!$E$25*'נתוני תאגידים'!N209,IF(N6=2010,'הנחות עבודה'!$F$25*N209,IF(N6=2011,'הנחות עבודה'!$G$25*N209,0))))</f>
        <v>-23706.683378571426</v>
      </c>
      <c r="O515" s="47">
        <f>-(+IF(O6&lt;=2009,'הנחות עבודה'!$E$25*'נתוני תאגידים'!O209,IF(O6=2010,'הנחות עבודה'!$F$25*O209,IF(O6=2011,'הנחות עבודה'!$G$25*O209,0))))</f>
        <v>-14321.374815714287</v>
      </c>
      <c r="P515" s="47">
        <f>-(+IF(P6&lt;=2009,'הנחות עבודה'!$E$25*'נתוני תאגידים'!P209,IF(P6=2010,'הנחות עבודה'!$F$25*P209,IF(P6=2011,'הנחות עבודה'!$G$25*P209,0))))</f>
        <v>-12392.36975142857</v>
      </c>
      <c r="Q515" s="47">
        <f>-(+IF(Q6&lt;=2009,'הנחות עבודה'!$E$25*'נתוני תאגידים'!Q209,IF(Q6=2010,'הנחות עבודה'!$F$25*Q209,IF(Q6=2011,'הנחות עבודה'!$G$25*Q209,0))))</f>
        <v>-6513.1364314285711</v>
      </c>
      <c r="R515" s="47">
        <f>-(+IF(R6&lt;=2009,'הנחות עבודה'!$E$25*'נתוני תאגידים'!R209,IF(R6=2010,'הנחות עבודה'!$F$25*R209,IF(R6=2011,'הנחות עבודה'!$G$25*R209,0))))</f>
        <v>-6328.1553557142861</v>
      </c>
      <c r="S515" s="47">
        <f>-(+IF(S6&lt;=2009,'הנחות עבודה'!$E$25*'נתוני תאגידים'!S209,IF(S6=2010,'הנחות עבודה'!$F$25*S209,IF(S6=2011,'הנחות עבודה'!$G$25*S209,0))))</f>
        <v>-3041.27376</v>
      </c>
      <c r="T515" s="47">
        <f>-(+IF(T6&lt;=2009,'הנחות עבודה'!$E$25*'נתוני תאגידים'!T209,IF(T6=2010,'הנחות עבודה'!$F$25*T209,IF(T6=2011,'הנחות עבודה'!$G$25*T209,0))))</f>
        <v>-9083.8793085714278</v>
      </c>
      <c r="U515" s="47">
        <f>-(+IF(U6&lt;=2009,'הנחות עבודה'!$E$25*'נתוני תאגידים'!U209,IF(U6=2010,'הנחות עבודה'!$F$25*U209,IF(U6=2011,'הנחות עבודה'!$G$25*U209,0))))</f>
        <v>-8234.3076171428584</v>
      </c>
      <c r="V515" s="47">
        <f>-(+IF(V6&lt;=2009,'הנחות עבודה'!$E$25*'נתוני תאגידים'!V209,IF(V6=2010,'הנחות עבודה'!$F$25*V209,IF(V6=2011,'הנחות עבודה'!$G$25*V209,0))))</f>
        <v>-6188.3537685714282</v>
      </c>
      <c r="W515" s="47">
        <f>-(+IF(W6&lt;=2009,'הנחות עבודה'!$E$25*'נתוני תאגידים'!W209,IF(W6=2010,'הנחות עבודה'!$F$25*W209,IF(W6=2011,'הנחות עבודה'!$G$25*W209,0))))</f>
        <v>-9967.0670900000005</v>
      </c>
      <c r="X515" s="47">
        <f>-(+IF(X6&lt;=2009,'הנחות עבודה'!$E$25*'נתוני תאגידים'!X209,IF(X6=2010,'הנחות עבודה'!$F$25*X209,IF(X6=2011,'הנחות עבודה'!$G$25*X209,0))))</f>
        <v>-8583.4511014285727</v>
      </c>
      <c r="Y515" s="47">
        <f>-(+IF(Y6&lt;=2009,'הנחות עבודה'!$E$25*'נתוני תאגידים'!Y209,IF(Y6=2010,'הנחות עבודה'!$F$25*Y209,IF(Y6=2011,'הנחות עבודה'!$G$25*Y209,0))))</f>
        <v>-5277.3827014285707</v>
      </c>
      <c r="Z515" s="47">
        <f>-(+IF(Z6&lt;=2009,'הנחות עבודה'!$E$25*'נתוני תאגידים'!Z209,IF(Z6=2010,'הנחות עבודה'!$F$25*Z209,IF(Z6=2011,'הנחות עבודה'!$G$25*Z209,0))))</f>
        <v>-4908.9081557142854</v>
      </c>
      <c r="AA515" s="47">
        <f>-(+IF(AA6&lt;=2009,'הנחות עבודה'!$E$25*'נתוני תאגידים'!AA209,IF(AA6=2010,'הנחות עבודה'!$F$25*AA209,IF(AA6=2011,'הנחות עבודה'!$G$25*AA209,0))))</f>
        <v>-8328.6731904761909</v>
      </c>
      <c r="AB515" s="47">
        <f>-(+IF(AB6&lt;=2009,'הנחות עבודה'!$E$25*'נתוני תאגידים'!AB209,IF(AB6=2010,'הנחות עבודה'!$F$25*AB209,IF(AB6=2011,'הנחות עבודה'!$G$25*AB209,0))))</f>
        <v>-4602.0586714285719</v>
      </c>
      <c r="AC515" s="47">
        <f>-(+IF(AC6&lt;=2009,'הנחות עבודה'!$E$25*'נתוני תאגידים'!AC209,IF(AC6=2010,'הנחות עבודה'!$F$25*AC209,IF(AC6=2011,'הנחות עבודה'!$G$25*AC209,0))))</f>
        <v>-8442.4358666666667</v>
      </c>
      <c r="AD515" s="47">
        <f>-(+IF(AD6&lt;=2009,'הנחות עבודה'!$E$25*'נתוני תאגידים'!AD209,IF(AD6=2010,'הנחות עבודה'!$F$25*AD209,IF(AD6=2011,'הנחות עבודה'!$G$25*AD209,0))))</f>
        <v>-5467.1243828571423</v>
      </c>
      <c r="AE515" s="47">
        <f>-(+IF(AE6&lt;=2009,'הנחות עבודה'!$E$25*'נתוני תאגידים'!AE209,IF(AE6=2010,'הנחות עבודה'!$F$25*AE209,IF(AE6=2011,'הנחות עבודה'!$G$25*AE209,0))))</f>
        <v>-29668.427693333331</v>
      </c>
      <c r="AF515" s="47">
        <f>-(+IF(AF6&lt;=2009,'הנחות עבודה'!$E$25*'נתוני תאגידים'!AF209,IF(AF6=2010,'הנחות עבודה'!$F$25*AF209,IF(AF6=2011,'הנחות עבודה'!$G$25*AF209,0))))</f>
        <v>-5592.2591442857156</v>
      </c>
      <c r="AG515" s="47">
        <f>-(+IF(AG6&lt;=2009,'הנחות עבודה'!$E$25*'נתוני תאגידים'!AG209,IF(AG6=2010,'הנחות עבודה'!$F$25*AG209,IF(AG6=2011,'הנחות עבודה'!$G$25*AG209,0))))</f>
        <v>-3424.7220914285713</v>
      </c>
      <c r="AH515" s="47">
        <f>-(+IF(AH6&lt;=2009,'הנחות עבודה'!$E$25*'נתוני תאגידים'!AH209,IF(AH6=2010,'הנחות עבודה'!$F$25*AH209,IF(AH6=2011,'הנחות עבודה'!$G$25*AH209,0))))</f>
        <v>-3184.6458095238095</v>
      </c>
      <c r="AI515" s="47">
        <f>-(+IF(AI6&lt;=2009,'הנחות עבודה'!$E$25*'נתוני תאגידים'!AI209,IF(AI6=2010,'הנחות עבודה'!$F$25*AI209,IF(AI6=2011,'הנחות עבודה'!$G$25*AI209,0))))</f>
        <v>-4604.687185714286</v>
      </c>
      <c r="AJ515" s="47">
        <f>-(+IF(AJ6&lt;=2009,'הנחות עבודה'!$E$25*'נתוני תאגידים'!AJ209,IF(AJ6=2010,'הנחות עבודה'!$F$25*AJ209,IF(AJ6=2011,'הנחות עבודה'!$G$25*AJ209,0))))</f>
        <v>-2834.8916571428572</v>
      </c>
      <c r="AK515" s="47">
        <f>-(+IF(AK6&lt;=2009,'הנחות עבודה'!$E$25*'נתוני תאגידים'!AK209,IF(AK6=2010,'הנחות עבודה'!$F$25*AK209,IF(AK6=2011,'הנחות עבודה'!$G$25*AK209,0))))</f>
        <v>0</v>
      </c>
      <c r="AL515" s="47">
        <f>-(+IF(AL6&lt;=2009,'הנחות עבודה'!$E$25*'נתוני תאגידים'!AL209,IF(AL6=2010,'הנחות עבודה'!$F$25*AL209,IF(AL6=2011,'הנחות עבודה'!$G$25*AL209,0))))</f>
        <v>-36201.324626666661</v>
      </c>
      <c r="AM515" s="47">
        <f>-(+IF(AM6&lt;=2009,'הנחות עבודה'!$E$25*'נתוני תאגידים'!AM209,IF(AM6=2010,'הנחות עבודה'!$F$25*AM209,IF(AM6=2011,'הנחות עבודה'!$G$25*AM209,0))))</f>
        <v>-5815.9577590476183</v>
      </c>
      <c r="AN515" s="47">
        <f>-(+IF(AN6&lt;=2009,'הנחות עבודה'!$E$25*'נתוני תאגידים'!AN209,IF(AN6=2010,'הנחות עבודה'!$F$25*AN209,IF(AN6=2011,'הנחות עבודה'!$G$25*AN209,0))))</f>
        <v>-2308.4219195238093</v>
      </c>
      <c r="AO515" s="47">
        <f>-(+IF(AO6&lt;=2009,'הנחות עבודה'!$E$25*'נתוני תאגידים'!AO209,IF(AO6=2010,'הנחות עבודה'!$F$25*AO209,IF(AO6=2011,'הנחות עבודה'!$G$25*AO209,0))))</f>
        <v>0</v>
      </c>
      <c r="AP515" s="47">
        <f>-(+IF(AP6&lt;=2009,'הנחות עבודה'!$E$25*'נתוני תאגידים'!AP209,IF(AP6=2010,'הנחות עבודה'!$F$25*AP209,IF(AP6=2011,'הנחות עבודה'!$G$25*AP209,0))))</f>
        <v>-3020.3881238095237</v>
      </c>
      <c r="AQ515" s="47">
        <f>-(+IF(AQ6&lt;=2009,'הנחות עבודה'!$E$25*'נתוני תאגידים'!AQ209,IF(AQ6=2010,'הנחות עבודה'!$F$25*AQ209,IF(AQ6=2011,'הנחות עבודה'!$G$25*AQ209,0))))</f>
        <v>-6828.9320657142862</v>
      </c>
      <c r="AR515" s="47">
        <f>-(+IF(AR6&lt;=2009,'הנחות עבודה'!$E$25*'נתוני תאגידים'!AR209,IF(AR6=2010,'הנחות עבודה'!$F$25*AR209,IF(AR6=2011,'הנחות עבודה'!$G$25*AR209,0))))</f>
        <v>-4726.2295171428568</v>
      </c>
      <c r="AS515" s="47">
        <f>-(+IF(AS6&lt;=2009,'הנחות עבודה'!$E$25*'נתוני תאגידים'!AS209,IF(AS6=2010,'הנחות עבודה'!$F$25*AS209,IF(AS6=2011,'הנחות עבודה'!$G$25*AS209,0))))</f>
        <v>-7274.7298971428563</v>
      </c>
      <c r="AT515" s="47">
        <f>-(+IF(AT6&lt;=2009,'הנחות עבודה'!$E$25*'נתוני תאגידים'!AT209,IF(AT6=2010,'הנחות עבודה'!$F$25*AT209,IF(AT6=2011,'הנחות עבודה'!$G$25*AT209,0))))</f>
        <v>-3119.4908171428569</v>
      </c>
      <c r="AU515" s="47">
        <f>-(+IF(AU6&lt;=2009,'הנחות עבודה'!$E$25*'נתוני תאגידים'!AU209,IF(AU6=2010,'הנחות עבודה'!$F$25*AU209,IF(AU6=2011,'הנחות עבודה'!$G$25*AU209,0))))</f>
        <v>-4160.4114095238092</v>
      </c>
      <c r="AV515" s="47">
        <f>-(+IF(AV6&lt;=2009,'הנחות עבודה'!$E$25*'נתוני תאגידים'!AV209,IF(AV6=2010,'הנחות עבודה'!$F$25*AV209,IF(AV6=2011,'הנחות עבודה'!$G$25*AV209,0))))</f>
        <v>-7564.5762152380948</v>
      </c>
      <c r="AW515" s="47">
        <f>-(+IF(AW6&lt;=2009,'הנחות עבודה'!$E$25*'נתוני תאגידים'!AW209,IF(AW6=2010,'הנחות עבודה'!$F$25*AW209,IF(AW6=2011,'הנחות עבודה'!$G$25*AW209,0))))</f>
        <v>-3851.2245504761904</v>
      </c>
      <c r="AX515" s="47">
        <f>-(+IF(AX6&lt;=2009,'הנחות עבודה'!$E$25*'נתוני תאגידים'!AX209,IF(AX6=2010,'הנחות עבודה'!$F$25*AX209,IF(AX6=2011,'הנחות עבודה'!$G$25*AX209,0))))</f>
        <v>-2506.3696266666666</v>
      </c>
      <c r="AY515" s="47">
        <f>-(+IF(AY6&lt;=2009,'הנחות עבודה'!$E$25*'נתוני תאגידים'!AY209,IF(AY6=2010,'הנחות עבודה'!$F$25*AY209,IF(AY6=2011,'הנחות עבודה'!$G$25*AY209,0))))</f>
        <v>-1412.2849666666666</v>
      </c>
      <c r="AZ515" s="47">
        <f>-(+IF(AZ6&lt;=2009,'הנחות עבודה'!$E$25*'נתוני תאגידים'!AZ209,IF(AZ6=2010,'הנחות עבודה'!$F$25*AZ209,IF(AZ6=2011,'הנחות עבודה'!$G$25*AZ209,0))))</f>
        <v>-6073.9681209523815</v>
      </c>
      <c r="BA515" s="47">
        <f>-(+IF(BA6&lt;=2009,'הנחות עבודה'!$E$25*'נתוני תאגידים'!BA209,IF(BA6=2010,'הנחות עבודה'!$F$25*BA209,IF(BA6=2011,'הנחות עבודה'!$G$25*BA209,0))))</f>
        <v>-5985.8090380952372</v>
      </c>
      <c r="BB515" s="47">
        <f>-(+IF(BB6&lt;=2009,'הנחות עבודה'!$E$25*'נתוני תאגידים'!BB209,IF(BB6=2010,'הנחות עבודה'!$F$25*BB209,IF(BB6=2011,'הנחות עבודה'!$G$25*BB209,0))))</f>
        <v>-5136.4662809523797</v>
      </c>
      <c r="BC515" s="47">
        <f>-(+IF(BC6&lt;=2009,'הנחות עבודה'!$E$25*'נתוני תאגידים'!BC209,IF(BC6=2010,'הנחות עבודה'!$F$25*BC209,IF(BC6=2011,'הנחות עבודה'!$G$25*BC209,0))))</f>
        <v>-4185.3616666666667</v>
      </c>
      <c r="BD515" s="47">
        <f>-(+IF(BD6&lt;=2009,'הנחות עבודה'!$E$25*'נתוני תאגידים'!BD209,IF(BD6=2010,'הנחות עבודה'!$F$25*BD209,IF(BD6=2011,'הנחות עבודה'!$G$25*BD209,0))))</f>
        <v>-503.55790476190475</v>
      </c>
      <c r="BE515" s="47">
        <f>-(+IF(BE6&lt;=2009,'הנחות עבודה'!$E$25*'נתוני תאגידים'!BE209,IF(BE6=2010,'הנחות עבודה'!$F$25*BE209,IF(BE6=2011,'הנחות עבודה'!$G$25*BE209,0))))</f>
        <v>0</v>
      </c>
      <c r="BF515" s="47">
        <f>-(+IF(BF6&lt;=2009,'הנחות עבודה'!$E$25*'נתוני תאגידים'!BF209,IF(BF6=2010,'הנחות עבודה'!$F$25*BF209,IF(BF6=2011,'הנחות עבודה'!$G$25*BF209,0))))</f>
        <v>0</v>
      </c>
    </row>
    <row r="516" spans="1:58" x14ac:dyDescent="0.2">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row>
    <row r="517" spans="1:58" x14ac:dyDescent="0.2">
      <c r="A517" s="46" t="s">
        <v>717</v>
      </c>
      <c r="C517" s="1">
        <f>(-44831*'הנחות עבודה'!$D$25)/2</f>
        <v>-17932.400000000001</v>
      </c>
      <c r="D517" s="1">
        <f>-2228/2*'הנחות עבודה'!$D$25</f>
        <v>-891.2</v>
      </c>
      <c r="E517" s="1">
        <f>-5029*'הנחות עבודה'!$D$25</f>
        <v>-4023.2000000000003</v>
      </c>
      <c r="F517" s="1">
        <f>-1291/2*'הנחות עבודה'!$D$25</f>
        <v>-516.4</v>
      </c>
      <c r="G517" s="1">
        <v>0</v>
      </c>
      <c r="H517" s="47">
        <f>-749910*'הנחות עבודה'!$D$25/1000/2</f>
        <v>-299.964</v>
      </c>
      <c r="I517" s="1">
        <f>-12952*'הנחות עבודה'!$D$25</f>
        <v>-10361.6</v>
      </c>
      <c r="J517" s="1">
        <f>-5594*'הנחות עבודה'!$D$25</f>
        <v>-4475.2</v>
      </c>
      <c r="K517" s="1">
        <v>0</v>
      </c>
      <c r="L517" s="1">
        <v>0</v>
      </c>
      <c r="M517" s="1">
        <f>-5195*'הנחות עבודה'!$D$25</f>
        <v>-4156</v>
      </c>
      <c r="N517" s="1">
        <f>-4000*'הנחות עבודה'!$D$25</f>
        <v>-3200</v>
      </c>
      <c r="O517" s="1">
        <f>-9455*'הנחות עבודה'!$D$25</f>
        <v>-7564</v>
      </c>
      <c r="P517" s="1">
        <v>0</v>
      </c>
    </row>
    <row r="519" spans="1:58" x14ac:dyDescent="0.2">
      <c r="A519" s="1" t="s">
        <v>723</v>
      </c>
      <c r="C519" s="28">
        <v>0</v>
      </c>
      <c r="D519" s="28">
        <v>0</v>
      </c>
      <c r="E519" s="1">
        <v>5521</v>
      </c>
      <c r="F519" s="1">
        <v>2736</v>
      </c>
      <c r="G519" s="1">
        <v>0</v>
      </c>
      <c r="H519" s="1">
        <v>0</v>
      </c>
      <c r="I519" s="1">
        <v>31078</v>
      </c>
      <c r="J519" s="1">
        <v>0</v>
      </c>
      <c r="L519" s="1">
        <f>5110/2</f>
        <v>2555</v>
      </c>
      <c r="M519" s="1">
        <v>0</v>
      </c>
      <c r="N519" s="1">
        <v>4775</v>
      </c>
      <c r="O519" s="1">
        <v>5224</v>
      </c>
      <c r="P519" s="1">
        <v>0</v>
      </c>
    </row>
    <row r="521" spans="1:58" s="655" customFormat="1" x14ac:dyDescent="0.2">
      <c r="A521" s="1" t="s">
        <v>725</v>
      </c>
      <c r="B521" s="1"/>
      <c r="C521" s="78">
        <f t="shared" ref="C521:AH521" si="117">IF(C223-C519&gt;0,C223-C519,0)</f>
        <v>21434</v>
      </c>
      <c r="D521" s="78">
        <f t="shared" si="117"/>
        <v>1998</v>
      </c>
      <c r="E521" s="78">
        <f t="shared" si="117"/>
        <v>17387</v>
      </c>
      <c r="F521" s="78">
        <f t="shared" si="117"/>
        <v>0</v>
      </c>
      <c r="G521" s="78">
        <f t="shared" si="117"/>
        <v>6279</v>
      </c>
      <c r="H521" s="78">
        <f t="shared" si="117"/>
        <v>92763</v>
      </c>
      <c r="I521" s="78">
        <f t="shared" si="117"/>
        <v>11577</v>
      </c>
      <c r="J521" s="78">
        <f t="shared" si="117"/>
        <v>4678</v>
      </c>
      <c r="K521" s="78">
        <f t="shared" si="117"/>
        <v>24</v>
      </c>
      <c r="L521" s="78">
        <f t="shared" si="117"/>
        <v>6588</v>
      </c>
      <c r="M521" s="78">
        <f t="shared" si="117"/>
        <v>779</v>
      </c>
      <c r="N521" s="78">
        <f t="shared" si="117"/>
        <v>1946</v>
      </c>
      <c r="O521" s="78">
        <f t="shared" si="117"/>
        <v>8400</v>
      </c>
      <c r="P521" s="78">
        <f t="shared" si="117"/>
        <v>0</v>
      </c>
      <c r="Q521" s="78">
        <f t="shared" si="117"/>
        <v>13613</v>
      </c>
      <c r="R521" s="78">
        <f t="shared" si="117"/>
        <v>834</v>
      </c>
      <c r="S521" s="78">
        <f t="shared" si="117"/>
        <v>1199</v>
      </c>
      <c r="T521" s="78">
        <f t="shared" si="117"/>
        <v>1779</v>
      </c>
      <c r="U521" s="78">
        <f t="shared" si="117"/>
        <v>4800</v>
      </c>
      <c r="V521" s="78">
        <f t="shared" si="117"/>
        <v>8062</v>
      </c>
      <c r="W521" s="78">
        <f t="shared" si="117"/>
        <v>0</v>
      </c>
      <c r="X521" s="78">
        <f t="shared" si="117"/>
        <v>9615</v>
      </c>
      <c r="Y521" s="78">
        <f t="shared" si="117"/>
        <v>0</v>
      </c>
      <c r="Z521" s="78">
        <f t="shared" si="117"/>
        <v>372</v>
      </c>
      <c r="AA521" s="78">
        <f t="shared" si="117"/>
        <v>10046</v>
      </c>
      <c r="AB521" s="78">
        <f t="shared" si="117"/>
        <v>1159</v>
      </c>
      <c r="AC521" s="78">
        <f t="shared" si="117"/>
        <v>8767</v>
      </c>
      <c r="AD521" s="78">
        <f t="shared" si="117"/>
        <v>1098</v>
      </c>
      <c r="AE521" s="78">
        <f t="shared" si="117"/>
        <v>34631</v>
      </c>
      <c r="AF521" s="78">
        <f t="shared" si="117"/>
        <v>0</v>
      </c>
      <c r="AG521" s="78">
        <f t="shared" si="117"/>
        <v>375</v>
      </c>
      <c r="AH521" s="78">
        <f t="shared" si="117"/>
        <v>4759</v>
      </c>
      <c r="AI521" s="78">
        <f t="shared" ref="AI521:BE521" si="118">IF(AI223-AI519&gt;0,AI223-AI519,0)</f>
        <v>2782</v>
      </c>
      <c r="AJ521" s="78">
        <f t="shared" si="118"/>
        <v>74</v>
      </c>
      <c r="AK521" s="78">
        <f t="shared" si="118"/>
        <v>0</v>
      </c>
      <c r="AL521" s="78">
        <f t="shared" si="118"/>
        <v>96100</v>
      </c>
      <c r="AM521" s="78">
        <f t="shared" si="118"/>
        <v>848</v>
      </c>
      <c r="AN521" s="78">
        <f t="shared" si="118"/>
        <v>0</v>
      </c>
      <c r="AO521" s="78">
        <f t="shared" si="118"/>
        <v>5026</v>
      </c>
      <c r="AP521" s="78">
        <f t="shared" si="118"/>
        <v>13166</v>
      </c>
      <c r="AQ521" s="78">
        <f t="shared" si="118"/>
        <v>1411</v>
      </c>
      <c r="AR521" s="78">
        <f t="shared" si="118"/>
        <v>1099</v>
      </c>
      <c r="AS521" s="78">
        <f t="shared" si="118"/>
        <v>0</v>
      </c>
      <c r="AT521" s="78">
        <f t="shared" si="118"/>
        <v>3135</v>
      </c>
      <c r="AU521" s="78">
        <f t="shared" si="118"/>
        <v>668</v>
      </c>
      <c r="AV521" s="78">
        <f t="shared" si="118"/>
        <v>0</v>
      </c>
      <c r="AW521" s="78">
        <f t="shared" si="118"/>
        <v>4048</v>
      </c>
      <c r="AX521" s="78">
        <f t="shared" si="118"/>
        <v>8547</v>
      </c>
      <c r="AY521" s="78">
        <f t="shared" si="118"/>
        <v>6</v>
      </c>
      <c r="AZ521" s="78">
        <f t="shared" si="118"/>
        <v>0</v>
      </c>
      <c r="BA521" s="78">
        <f t="shared" si="118"/>
        <v>7784</v>
      </c>
      <c r="BB521" s="78">
        <f t="shared" si="118"/>
        <v>201</v>
      </c>
      <c r="BC521" s="78">
        <f t="shared" si="118"/>
        <v>6853</v>
      </c>
      <c r="BD521" s="78">
        <f t="shared" si="118"/>
        <v>2507</v>
      </c>
      <c r="BE521" s="78">
        <f t="shared" si="118"/>
        <v>13</v>
      </c>
      <c r="BF521" s="78">
        <f>IF(BF223-BF519&gt;0,BF223-BF519,0)</f>
        <v>0</v>
      </c>
    </row>
    <row r="522" spans="1:58" x14ac:dyDescent="0.2">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row>
    <row r="523" spans="1:58" x14ac:dyDescent="0.2">
      <c r="A523" s="46" t="s">
        <v>683</v>
      </c>
      <c r="C523" s="47">
        <f>-(+IF(C6&lt;=2009,'הנחות עבודה'!$E$25*'נתוני תאגידים'!C246,IF(C6=2010,'הנחות עבודה'!$F$25*C246,IF(C6=2011,'הנחות עבודה'!$G$25*C246,0))))</f>
        <v>-19404.21827142857</v>
      </c>
      <c r="D523" s="47">
        <f>-(+IF(D6&lt;=2009,'הנחות עבודה'!$E$25*'נתוני תאגידים'!D246,IF(D6=2010,'הנחות עבודה'!$F$25*D246,IF(D6=2011,'הנחות עבודה'!$G$25*D246,0))))</f>
        <v>-8325.2473542857151</v>
      </c>
      <c r="E523" s="47">
        <f>-(+IF(E6&lt;=2009,'הנחות עבודה'!$E$25*'נתוני תאגידים'!E246,IF(E6=2010,'הנחות עבודה'!$F$25*E246,IF(E6=2011,'הנחות עבודה'!$G$25*E246,0))))</f>
        <v>-20545.866355714286</v>
      </c>
      <c r="F523" s="47">
        <f>-(+IF(F6&lt;=2009,'הנחות עבודה'!$E$25*'נתוני תאגידים'!F246,IF(F6=2010,'הנחות עבודה'!$F$25*F246,IF(F6=2011,'הנחות עבודה'!$G$25*F246,0))))</f>
        <v>-4232.8476857142859</v>
      </c>
      <c r="G523" s="47">
        <f>-(+IF(G6&lt;=2009,'הנחות עבודה'!$E$25*'נתוני תאגידים'!G246,IF(G6=2010,'הנחות עבודה'!$F$25*G246,IF(G6=2011,'הנחות עבודה'!$G$25*G246,0))))</f>
        <v>-10221.609930000001</v>
      </c>
      <c r="H523" s="47">
        <f>-(+IF(H6&lt;=2009,'הנחות עבודה'!$E$25*'נתוני תאגידים'!H246,IF(H6=2010,'הנחות עבודה'!$F$25*H246,IF(H6=2011,'הנחות עבודה'!$G$25*H246,0))))</f>
        <v>-71103.371744285716</v>
      </c>
      <c r="I523" s="47">
        <f>-(+IF(I6&lt;=2009,'הנחות עבודה'!$E$25*'נתוני תאגידים'!I246,IF(I6=2010,'הנחות עבודה'!$F$25*I246,IF(I6=2011,'הנחות עבודה'!$G$25*I246,0))))</f>
        <v>-22088.807254285715</v>
      </c>
      <c r="J523" s="47">
        <f>-(+IF(J6&lt;=2009,'הנחות עבודה'!$E$25*'נתוני תאגידים'!J246,IF(J6=2010,'הנחות עבודה'!$F$25*J246,IF(J6=2011,'הנחות עבודה'!$G$25*J246,0))))</f>
        <v>-10099.965171428572</v>
      </c>
      <c r="K523" s="47">
        <f>-(+IF(K6&lt;=2009,'הנחות עבודה'!$E$25*'נתוני תאגידים'!K246,IF(K6=2010,'הנחות עבודה'!$F$25*K246,IF(K6=2011,'הנחות עבודה'!$G$25*K246,0))))</f>
        <v>-13144.031554285713</v>
      </c>
      <c r="L523" s="47">
        <f>-(+IF(L6&lt;=2009,'הנחות עבודה'!$E$25*'נתוני תאגידים'!L246,IF(L6=2010,'הנחות עבודה'!$F$25*L246,IF(L6=2011,'הנחות עבודה'!$G$25*L246,0))))</f>
        <v>-7976.7180042857162</v>
      </c>
      <c r="M523" s="47">
        <f>-(+IF(M6&lt;=2009,'הנחות עבודה'!$E$25*'נתוני תאגידים'!M246,IF(M6=2010,'הנחות עבודה'!$F$25*M246,IF(M6=2011,'הנחות עבודה'!$G$25*M246,0))))</f>
        <v>-16545.797142857144</v>
      </c>
      <c r="N523" s="47">
        <f>-(+IF(N6&lt;=2009,'הנחות עבודה'!$E$25*'נתוני תאגידים'!N246,IF(N6=2010,'הנחות עבודה'!$F$25*N246,IF(N6=2011,'הנחות עבודה'!$G$25*N246,0))))</f>
        <v>-32910.889958571432</v>
      </c>
      <c r="O523" s="47">
        <f>-(+IF(O6&lt;=2009,'הנחות עבודה'!$E$25*'נתוני תאגידים'!O246,IF(O6=2010,'הנחות עבודה'!$F$25*O246,IF(O6=2011,'הנחות עבודה'!$G$25*O246,0))))</f>
        <v>-15044.902915714287</v>
      </c>
      <c r="P523" s="47">
        <f>-(+IF(P6&lt;=2009,'הנחות עבודה'!$E$25*'נתוני תאגידים'!P246,IF(P6=2010,'הנחות עבודה'!$F$25*P246,IF(P6=2011,'הנחות עבודה'!$G$25*P246,0))))</f>
        <v>-15337.942265714286</v>
      </c>
      <c r="Q523" s="47">
        <f>-(+IF(Q6&lt;=2009,'הנחות עבודה'!$E$25*'נתוני תאגידים'!Q246,IF(Q6=2010,'הנחות עבודה'!$F$25*Q246,IF(Q6=2011,'הנחות עבודה'!$G$25*Q246,0))))</f>
        <v>-7039.1874771428575</v>
      </c>
      <c r="R523" s="47">
        <f>-(+IF(R6&lt;=2009,'הנחות עבודה'!$E$25*'נתוני תאגידים'!R246,IF(R6=2010,'הנחות עבודה'!$F$25*R246,IF(R6=2011,'הנחות עבודה'!$G$25*R246,0))))</f>
        <v>-6796.5598157142858</v>
      </c>
      <c r="S523" s="47">
        <f>-(+IF(S6&lt;=2009,'הנחות עבודה'!$E$25*'נתוני תאגידים'!S246,IF(S6=2010,'הנחות עבודה'!$F$25*S246,IF(S6=2011,'הנחות עבודה'!$G$25*S246,0))))</f>
        <v>-4533.0140014285716</v>
      </c>
      <c r="T523" s="47">
        <f>-(+IF(T6&lt;=2009,'הנחות עבודה'!$E$25*'נתוני תאגידים'!T246,IF(T6=2010,'הנחות עבודה'!$F$25*T246,IF(T6=2011,'הנחות עבודה'!$G$25*T246,0))))</f>
        <v>-10450.422531428572</v>
      </c>
      <c r="U523" s="47">
        <f>-(+IF(U6&lt;=2009,'הנחות עבודה'!$E$25*'נתוני תאגידים'!U246,IF(U6=2010,'הנחות עבודה'!$F$25*U246,IF(U6=2011,'הנחות עבודה'!$G$25*U246,0))))</f>
        <v>-7431.7593428571436</v>
      </c>
      <c r="V523" s="47">
        <f>-(+IF(V6&lt;=2009,'הנחות עבודה'!$E$25*'נתוני תאגידים'!V246,IF(V6=2010,'הנחות עבודה'!$F$25*V246,IF(V6=2011,'הנחות עבודה'!$G$25*V246,0))))</f>
        <v>-11572.300345714288</v>
      </c>
      <c r="W523" s="47">
        <f>-(+IF(W6&lt;=2009,'הנחות עבודה'!$E$25*'נתוני תאגידים'!W246,IF(W6=2010,'הנחות עבודה'!$F$25*W246,IF(W6=2011,'הנחות עבודה'!$G$25*W246,0))))</f>
        <v>-8875.6388271428568</v>
      </c>
      <c r="X523" s="47">
        <f>-(+IF(X6&lt;=2009,'הנחות עבודה'!$E$25*'נתוני תאגידים'!X246,IF(X6=2010,'הנחות עבודה'!$F$25*X246,IF(X6=2011,'הנחות עבודה'!$G$25*X246,0))))</f>
        <v>-9464.0973557142861</v>
      </c>
      <c r="Y523" s="47">
        <f>-(+IF(Y6&lt;=2009,'הנחות עבודה'!$E$25*'נתוני תאגידים'!Y246,IF(Y6=2010,'הנחות עבודה'!$F$25*Y246,IF(Y6=2011,'הנחות עבודה'!$G$25*Y246,0))))</f>
        <v>-8397.4531800000004</v>
      </c>
      <c r="Z523" s="47">
        <f>-(+IF(Z6&lt;=2009,'הנחות עבודה'!$E$25*'נתוני תאגידים'!Z246,IF(Z6=2010,'הנחות עבודה'!$F$25*Z246,IF(Z6=2011,'הנחות עבודה'!$G$25*Z246,0))))</f>
        <v>-6313.6331742857146</v>
      </c>
      <c r="AA523" s="47">
        <f>-(+IF(AA6&lt;=2009,'הנחות עבודה'!$E$25*'נתוני תאגידים'!AA246,IF(AA6=2010,'הנחות עבודה'!$F$25*AA246,IF(AA6=2011,'הנחות עבודה'!$G$25*AA246,0))))</f>
        <v>-6655.9726190476194</v>
      </c>
      <c r="AB523" s="47">
        <f>-(+IF(AB6&lt;=2009,'הנחות עבודה'!$E$25*'נתוני תאגידים'!AB246,IF(AB6=2010,'הנחות עבודה'!$F$25*AB246,IF(AB6=2011,'הנחות עבודה'!$G$25*AB246,0))))</f>
        <v>-4755.0356785714284</v>
      </c>
      <c r="AC523" s="47">
        <f>-(+IF(AC6&lt;=2009,'הנחות עבודה'!$E$25*'נתוני תאגידים'!AC246,IF(AC6=2010,'הנחות עבודה'!$F$25*AC246,IF(AC6=2011,'הנחות עבודה'!$G$25*AC246,0))))</f>
        <v>-7770.3980523809514</v>
      </c>
      <c r="AD523" s="47">
        <f>-(+IF(AD6&lt;=2009,'הנחות עבודה'!$E$25*'נתוני תאגידים'!AD246,IF(AD6=2010,'הנחות עבודה'!$F$25*AD246,IF(AD6=2011,'הנחות עבודה'!$G$25*AD246,0))))</f>
        <v>-4682.5537457142864</v>
      </c>
      <c r="AE523" s="47">
        <f>-(+IF(AE6&lt;=2009,'הנחות עבודה'!$E$25*'נתוני תאגידים'!AE246,IF(AE6=2010,'הנחות עבודה'!$F$25*AE246,IF(AE6=2011,'הנחות עבודה'!$G$25*AE246,0))))</f>
        <v>-30847.675864761903</v>
      </c>
      <c r="AF523" s="47">
        <f>-(+IF(AF6&lt;=2009,'הנחות עבודה'!$E$25*'נתוני תאגידים'!AF246,IF(AF6=2010,'הנחות עבודה'!$F$25*AF246,IF(AF6=2011,'הנחות עבודה'!$G$25*AF246,0))))</f>
        <v>-6663.8687857142859</v>
      </c>
      <c r="AG523" s="47">
        <f>-(+IF(AG6&lt;=2009,'הנחות עבודה'!$E$25*'נתוני תאגידים'!AG246,IF(AG6=2010,'הנחות עבודה'!$F$25*AG246,IF(AG6=2011,'הנחות עבודה'!$G$25*AG246,0))))</f>
        <v>-2405.5124314285717</v>
      </c>
      <c r="AH523" s="47">
        <f>-(+IF(AH6&lt;=2009,'הנחות עבודה'!$E$25*'נתוני תאגידים'!AH246,IF(AH6=2010,'הנחות עבודה'!$F$25*AH246,IF(AH6=2011,'הנחות עבודה'!$G$25*AH246,0))))</f>
        <v>-3066.1027847619048</v>
      </c>
      <c r="AI523" s="47">
        <f>-(+IF(AI6&lt;=2009,'הנחות עבודה'!$E$25*'נתוני תאגידים'!AI246,IF(AI6=2010,'הנחות עבודה'!$F$25*AI246,IF(AI6=2011,'הנחות עבודה'!$G$25*AI246,0))))</f>
        <v>-6090.4068428571427</v>
      </c>
      <c r="AJ523" s="47">
        <f>-(+IF(AJ6&lt;=2009,'הנחות עבודה'!$E$25*'נתוני תאגידים'!AJ246,IF(AJ6=2010,'הנחות עבודה'!$F$25*AJ246,IF(AJ6=2011,'הנחות עבודה'!$G$25*AJ246,0))))</f>
        <v>-5000.1526628571437</v>
      </c>
      <c r="AK523" s="47">
        <f>-(+IF(AK6&lt;=2009,'הנחות עבודה'!$E$25*'נתוני תאגידים'!AK246,IF(AK6=2010,'הנחות עבודה'!$F$25*AK246,IF(AK6=2011,'הנחות עבודה'!$G$25*AK246,0))))</f>
        <v>0</v>
      </c>
      <c r="AL523" s="47">
        <f>-(+IF(AL6&lt;=2009,'הנחות עבודה'!$E$25*'נתוני תאגידים'!AL246,IF(AL6=2010,'הנחות עבודה'!$F$25*AL246,IF(AL6=2011,'הנחות עבודה'!$G$25*AL246,0))))</f>
        <v>-34690.541295238101</v>
      </c>
      <c r="AM523" s="47">
        <f>-(+IF(AM6&lt;=2009,'הנחות עבודה'!$E$25*'נתוני תאגידים'!AM246,IF(AM6=2010,'הנחות עבודה'!$F$25*AM246,IF(AM6=2011,'הנחות עבודה'!$G$25*AM246,0))))</f>
        <v>-6428.6434276190475</v>
      </c>
      <c r="AN523" s="47">
        <f>-(+IF(AN6&lt;=2009,'הנחות עבודה'!$E$25*'נתוני תאגידים'!AN246,IF(AN6=2010,'הנחות עבודה'!$F$25*AN246,IF(AN6=2011,'הנחות עבודה'!$G$25*AN246,0))))</f>
        <v>-3792.712768571429</v>
      </c>
      <c r="AO523" s="47">
        <f>-(+IF(AO6&lt;=2009,'הנחות עבודה'!$E$25*'נתוני תאגידים'!AO246,IF(AO6=2010,'הנחות עבודה'!$F$25*AO246,IF(AO6=2011,'הנחות עבודה'!$G$25*AO246,0))))</f>
        <v>0</v>
      </c>
      <c r="AP523" s="47">
        <f>-(+IF(AP6&lt;=2009,'הנחות עבודה'!$E$25*'נתוני תאגידים'!AP246,IF(AP6=2010,'הנחות עבודה'!$F$25*AP246,IF(AP6=2011,'הנחות עבודה'!$G$25*AP246,0))))</f>
        <v>-2579.7876428571426</v>
      </c>
      <c r="AQ523" s="47">
        <f>-(+IF(AQ6&lt;=2009,'הנחות עבודה'!$E$25*'נתוני תאגידים'!AQ246,IF(AQ6=2010,'הנחות עבודה'!$F$25*AQ246,IF(AQ6=2011,'הנחות עבודה'!$G$25*AQ246,0))))</f>
        <v>-6436.1034557142857</v>
      </c>
      <c r="AR523" s="47">
        <f>-(+IF(AR6&lt;=2009,'הנחות עבודה'!$E$25*'נתוני תאגידים'!AR246,IF(AR6=2010,'הנחות עבודה'!$F$25*AR246,IF(AR6=2011,'הנחות עבודה'!$G$25*AR246,0))))</f>
        <v>-4171.1768495238093</v>
      </c>
      <c r="AS523" s="47">
        <f>-(+IF(AS6&lt;=2009,'הנחות עבודה'!$E$25*'נתוני תאגידים'!AS246,IF(AS6=2010,'הנחות עבודה'!$F$25*AS246,IF(AS6=2011,'הנחות עבודה'!$G$25*AS246,0))))</f>
        <v>-10322.811802857144</v>
      </c>
      <c r="AT523" s="47">
        <f>-(+IF(AT6&lt;=2009,'הנחות עבודה'!$E$25*'נתוני תאגידים'!AT246,IF(AT6=2010,'הנחות עבודה'!$F$25*AT246,IF(AT6=2011,'הנחות עבודה'!$G$25*AT246,0))))</f>
        <v>-2879.3008619047623</v>
      </c>
      <c r="AU523" s="47">
        <f>-(+IF(AU6&lt;=2009,'הנחות עבודה'!$E$25*'נתוני תאגידים'!AU246,IF(AU6=2010,'הנחות עבודה'!$F$25*AU246,IF(AU6=2011,'הנחות עבודה'!$G$25*AU246,0))))</f>
        <v>-4516.4601142857146</v>
      </c>
      <c r="AV523" s="47">
        <f>-(+IF(AV6&lt;=2009,'הנחות עבודה'!$E$25*'נתוני תאגידים'!AV246,IF(AV6=2010,'הנחות עבודה'!$F$25*AV246,IF(AV6=2011,'הנחות עבודה'!$G$25*AV246,0))))</f>
        <v>-8788.2541961904772</v>
      </c>
      <c r="AW523" s="47">
        <f>-(+IF(AW6&lt;=2009,'הנחות עבודה'!$E$25*'נתוני תאגידים'!AW246,IF(AW6=2010,'הנחות עבודה'!$F$25*AW246,IF(AW6=2011,'הנחות עבודה'!$G$25*AW246,0))))</f>
        <v>-3977.2155666666667</v>
      </c>
      <c r="AX523" s="47">
        <f>-(+IF(AX6&lt;=2009,'הנחות עבודה'!$E$25*'נתוני תאגידים'!AX246,IF(AX6=2010,'הנחות עבודה'!$F$25*AX246,IF(AX6=2011,'הנחות עבודה'!$G$25*AX246,0))))</f>
        <v>-3519.9634038095237</v>
      </c>
      <c r="AY523" s="47">
        <f>-(+IF(AY6&lt;=2009,'הנחות עבודה'!$E$25*'נתוני תאגידים'!AY246,IF(AY6=2010,'הנחות עבודה'!$F$25*AY246,IF(AY6=2011,'הנחות עבודה'!$G$25*AY246,0))))</f>
        <v>-1842.3087142857144</v>
      </c>
      <c r="AZ523" s="47">
        <f>-(+IF(AZ6&lt;=2009,'הנחות עבודה'!$E$25*'נתוני תאגידים'!AZ246,IF(AZ6=2010,'הנחות עבודה'!$F$25*AZ246,IF(AZ6=2011,'הנחות עבודה'!$G$25*AZ246,0))))</f>
        <v>-8369.1630580952387</v>
      </c>
      <c r="BA523" s="47">
        <f>-(+IF(BA6&lt;=2009,'הנחות עבודה'!$E$25*'נתוני תאגידים'!BA246,IF(BA6=2010,'הנחות עבודה'!$F$25*BA246,IF(BA6=2011,'הנחות עבודה'!$G$25*BA246,0))))</f>
        <v>-7834.6030323809528</v>
      </c>
      <c r="BB523" s="47">
        <f>-(+IF(BB6&lt;=2009,'הנחות עבודה'!$E$25*'נתוני תאגידים'!BB246,IF(BB6=2010,'הנחות עבודה'!$F$25*BB246,IF(BB6=2011,'הנחות עבודה'!$G$25*BB246,0))))</f>
        <v>-7757.1367266666666</v>
      </c>
      <c r="BC523" s="47">
        <f>-(+IF(BC6&lt;=2009,'הנחות עבודה'!$E$25*'נתוני תאגידים'!BC246,IF(BC6=2010,'הנחות עבודה'!$F$25*BC246,IF(BC6=2011,'הנחות עבודה'!$G$25*BC246,0))))</f>
        <v>-7085.8471809523808</v>
      </c>
      <c r="BD523" s="47">
        <f>-(+IF(BD6&lt;=2009,'הנחות עבודה'!$E$25*'נתוני תאגידים'!BD246,IF(BD6=2010,'הנחות עבודה'!$F$25*BD246,IF(BD6=2011,'הנחות עבודה'!$G$25*BD246,0))))</f>
        <v>-4234.1536114285718</v>
      </c>
      <c r="BE523" s="47">
        <f>-(+IF(BE6&lt;=2009,'הנחות עבודה'!$E$25*'נתוני תאגידים'!BE246,IF(BE6=2010,'הנחות עבודה'!$F$25*BE246,IF(BE6=2011,'הנחות עבודה'!$G$25*BE246,0))))</f>
        <v>0</v>
      </c>
      <c r="BF523" s="47">
        <f>-(+IF(BF6&lt;=2009,'הנחות עבודה'!$E$25*'נתוני תאגידים'!BF246,IF(BF6=2010,'הנחות עבודה'!$F$25*BF246,IF(BF6=2011,'הנחות עבודה'!$G$25*BF246,0))))</f>
        <v>0</v>
      </c>
    </row>
    <row r="525" spans="1:58" x14ac:dyDescent="0.2">
      <c r="A525" s="46" t="s">
        <v>718</v>
      </c>
      <c r="C525" s="1">
        <f>(-44831*'הנחות עבודה'!$D$25)/2</f>
        <v>-17932.400000000001</v>
      </c>
      <c r="D525" s="1">
        <f>-2228/2*'הנחות עבודה'!$D$25</f>
        <v>-891.2</v>
      </c>
      <c r="E525" s="1">
        <f>-4681*'הנחות עבודה'!$D$25</f>
        <v>-3744.8</v>
      </c>
      <c r="F525" s="1">
        <f>-1291/2*'הנחות עבודה'!$D$25</f>
        <v>-516.4</v>
      </c>
      <c r="G525" s="1">
        <v>0</v>
      </c>
      <c r="H525" s="78">
        <f>-749910*'הנחות עבודה'!$D$25/1000/2</f>
        <v>-299.964</v>
      </c>
      <c r="I525" s="1">
        <f>-12952*'הנחות עבודה'!$D$25</f>
        <v>-10361.6</v>
      </c>
      <c r="J525" s="1">
        <f>-2716*'הנחות עבודה'!$D$25</f>
        <v>-2172.8000000000002</v>
      </c>
      <c r="K525" s="1">
        <v>0</v>
      </c>
      <c r="L525" s="1">
        <v>0</v>
      </c>
      <c r="M525" s="1">
        <f>-7046*'הנחות עבודה'!$D$25</f>
        <v>-5636.8</v>
      </c>
      <c r="N525" s="1">
        <f>-3966*'הנחות עבודה'!$D$25</f>
        <v>-3172.8</v>
      </c>
      <c r="O525" s="1">
        <f>-4883*'הנחות עבודה'!$D$25</f>
        <v>-3906.4</v>
      </c>
      <c r="P525" s="1">
        <v>0</v>
      </c>
    </row>
    <row r="527" spans="1:58" x14ac:dyDescent="0.2">
      <c r="A527" s="1" t="s">
        <v>724</v>
      </c>
      <c r="E527" s="1">
        <v>9716</v>
      </c>
      <c r="F527" s="1">
        <v>22</v>
      </c>
      <c r="G527" s="1">
        <v>0</v>
      </c>
      <c r="H527" s="1">
        <v>0</v>
      </c>
      <c r="I527" s="1">
        <v>25330</v>
      </c>
      <c r="J527" s="1">
        <v>0</v>
      </c>
      <c r="L527" s="1">
        <f>5100/2</f>
        <v>2550</v>
      </c>
      <c r="M527" s="1">
        <v>0</v>
      </c>
      <c r="N527" s="1">
        <v>3907</v>
      </c>
      <c r="O527" s="1">
        <v>341</v>
      </c>
      <c r="P527" s="1">
        <v>0</v>
      </c>
    </row>
    <row r="529" spans="1:59" x14ac:dyDescent="0.2">
      <c r="A529" s="1" t="s">
        <v>726</v>
      </c>
      <c r="C529" s="47">
        <f t="shared" ref="C529:AH529" si="119">+IF(C260-C527&gt;0,+C260-C527,0)</f>
        <v>25303</v>
      </c>
      <c r="D529" s="47">
        <f t="shared" si="119"/>
        <v>471</v>
      </c>
      <c r="E529" s="47">
        <f t="shared" si="119"/>
        <v>14880</v>
      </c>
      <c r="F529" s="47">
        <f t="shared" si="119"/>
        <v>2775</v>
      </c>
      <c r="G529" s="47">
        <f t="shared" si="119"/>
        <v>4037</v>
      </c>
      <c r="H529" s="47">
        <f t="shared" si="119"/>
        <v>102510</v>
      </c>
      <c r="I529" s="47">
        <f t="shared" si="119"/>
        <v>0</v>
      </c>
      <c r="J529" s="47">
        <f t="shared" si="119"/>
        <v>4490</v>
      </c>
      <c r="K529" s="47">
        <f t="shared" si="119"/>
        <v>2450</v>
      </c>
      <c r="L529" s="47">
        <f t="shared" si="119"/>
        <v>17569</v>
      </c>
      <c r="M529" s="47">
        <f t="shared" si="119"/>
        <v>4763</v>
      </c>
      <c r="N529" s="47">
        <f t="shared" si="119"/>
        <v>0</v>
      </c>
      <c r="O529" s="47">
        <f t="shared" si="119"/>
        <v>8743</v>
      </c>
      <c r="P529" s="47">
        <f t="shared" si="119"/>
        <v>0</v>
      </c>
      <c r="Q529" s="47">
        <f t="shared" si="119"/>
        <v>9223</v>
      </c>
      <c r="R529" s="47">
        <f t="shared" si="119"/>
        <v>1245</v>
      </c>
      <c r="S529" s="47">
        <f t="shared" si="119"/>
        <v>1179</v>
      </c>
      <c r="T529" s="47">
        <f t="shared" si="119"/>
        <v>1586</v>
      </c>
      <c r="U529" s="47">
        <f t="shared" si="119"/>
        <v>5732</v>
      </c>
      <c r="V529" s="47">
        <f t="shared" si="119"/>
        <v>15207</v>
      </c>
      <c r="W529" s="47">
        <f t="shared" si="119"/>
        <v>0</v>
      </c>
      <c r="X529" s="47">
        <f t="shared" si="119"/>
        <v>18662</v>
      </c>
      <c r="Y529" s="47">
        <f t="shared" si="119"/>
        <v>0</v>
      </c>
      <c r="Z529" s="47">
        <f t="shared" si="119"/>
        <v>883</v>
      </c>
      <c r="AA529" s="47">
        <f t="shared" si="119"/>
        <v>4320</v>
      </c>
      <c r="AB529" s="47">
        <f t="shared" si="119"/>
        <v>156</v>
      </c>
      <c r="AC529" s="47">
        <f t="shared" si="119"/>
        <v>25851</v>
      </c>
      <c r="AD529" s="47">
        <f t="shared" si="119"/>
        <v>732</v>
      </c>
      <c r="AE529" s="47">
        <f t="shared" si="119"/>
        <v>18465</v>
      </c>
      <c r="AF529" s="47">
        <f t="shared" si="119"/>
        <v>40</v>
      </c>
      <c r="AG529" s="47">
        <f t="shared" si="119"/>
        <v>230</v>
      </c>
      <c r="AH529" s="47">
        <f t="shared" si="119"/>
        <v>7539</v>
      </c>
      <c r="AI529" s="47">
        <f t="shared" ref="AI529:BE529" si="120">+IF(AI260-AI527&gt;0,+AI260-AI527,0)</f>
        <v>7296</v>
      </c>
      <c r="AJ529" s="47">
        <f t="shared" si="120"/>
        <v>329</v>
      </c>
      <c r="AK529" s="47">
        <f t="shared" si="120"/>
        <v>5618</v>
      </c>
      <c r="AL529" s="47">
        <f t="shared" si="120"/>
        <v>112405</v>
      </c>
      <c r="AM529" s="47">
        <f t="shared" si="120"/>
        <v>721</v>
      </c>
      <c r="AN529" s="47">
        <f t="shared" si="120"/>
        <v>0</v>
      </c>
      <c r="AO529" s="47">
        <f t="shared" si="120"/>
        <v>8113</v>
      </c>
      <c r="AP529" s="47">
        <f t="shared" si="120"/>
        <v>6666</v>
      </c>
      <c r="AQ529" s="47">
        <f t="shared" si="120"/>
        <v>1186</v>
      </c>
      <c r="AR529" s="47">
        <f t="shared" si="120"/>
        <v>727</v>
      </c>
      <c r="AS529" s="47">
        <f t="shared" si="120"/>
        <v>0</v>
      </c>
      <c r="AT529" s="47">
        <f t="shared" si="120"/>
        <v>6472</v>
      </c>
      <c r="AU529" s="47">
        <f t="shared" si="120"/>
        <v>394</v>
      </c>
      <c r="AV529" s="47">
        <f t="shared" si="120"/>
        <v>0</v>
      </c>
      <c r="AW529" s="47">
        <f t="shared" si="120"/>
        <v>376</v>
      </c>
      <c r="AX529" s="47">
        <f t="shared" si="120"/>
        <v>18408</v>
      </c>
      <c r="AY529" s="47">
        <f t="shared" si="120"/>
        <v>28</v>
      </c>
      <c r="AZ529" s="47">
        <f t="shared" si="120"/>
        <v>0</v>
      </c>
      <c r="BA529" s="47">
        <f t="shared" si="120"/>
        <v>8528</v>
      </c>
      <c r="BB529" s="47">
        <f t="shared" si="120"/>
        <v>0</v>
      </c>
      <c r="BC529" s="47">
        <f t="shared" si="120"/>
        <v>36197</v>
      </c>
      <c r="BD529" s="47">
        <f t="shared" si="120"/>
        <v>4723</v>
      </c>
      <c r="BE529" s="47">
        <f t="shared" si="120"/>
        <v>475</v>
      </c>
      <c r="BF529" s="47">
        <f>+IF(BF260-BF527&gt;0,+BF260-BF527,0)</f>
        <v>0</v>
      </c>
    </row>
    <row r="531" spans="1:59" x14ac:dyDescent="0.2">
      <c r="A531" s="39" t="s">
        <v>917</v>
      </c>
    </row>
    <row r="533" spans="1:59" x14ac:dyDescent="0.2">
      <c r="A533" s="46" t="s">
        <v>151</v>
      </c>
      <c r="C533" s="5">
        <v>162211</v>
      </c>
      <c r="D533" s="1">
        <v>0</v>
      </c>
      <c r="E533" s="1">
        <v>0</v>
      </c>
      <c r="F533" s="1">
        <v>0</v>
      </c>
      <c r="G533" s="5">
        <v>69034</v>
      </c>
      <c r="H533" s="5">
        <v>0</v>
      </c>
      <c r="I533" s="5">
        <v>256442</v>
      </c>
      <c r="J533" s="1">
        <v>0</v>
      </c>
      <c r="K533" s="1">
        <v>0</v>
      </c>
      <c r="L533" s="1">
        <v>0</v>
      </c>
      <c r="M533" s="1">
        <v>0</v>
      </c>
      <c r="N533" s="1">
        <v>0</v>
      </c>
      <c r="O533" s="1">
        <v>0</v>
      </c>
      <c r="P533" s="1">
        <v>0</v>
      </c>
      <c r="Q533" s="1">
        <v>0</v>
      </c>
      <c r="R533" s="1">
        <v>0</v>
      </c>
      <c r="S533" s="1">
        <v>0</v>
      </c>
      <c r="T533" s="1">
        <v>0</v>
      </c>
      <c r="U533" s="1">
        <v>0</v>
      </c>
      <c r="V533" s="1">
        <v>0</v>
      </c>
      <c r="W533" s="1">
        <v>0</v>
      </c>
      <c r="X533" s="1">
        <v>0</v>
      </c>
      <c r="Y533" s="1">
        <v>0</v>
      </c>
      <c r="Z533" s="1">
        <v>0</v>
      </c>
      <c r="AA533" s="1">
        <v>0</v>
      </c>
      <c r="AB533" s="1">
        <v>0</v>
      </c>
      <c r="AC533" s="1">
        <v>0</v>
      </c>
      <c r="AD533" s="1">
        <v>0</v>
      </c>
      <c r="AE533" s="1">
        <v>0</v>
      </c>
      <c r="AF533" s="1">
        <v>0</v>
      </c>
      <c r="AG533" s="1">
        <v>0</v>
      </c>
      <c r="AH533" s="1">
        <v>0</v>
      </c>
      <c r="AI533" s="1">
        <v>0</v>
      </c>
      <c r="AJ533" s="1">
        <v>0</v>
      </c>
      <c r="AK533" s="1">
        <v>0</v>
      </c>
      <c r="AL533" s="1">
        <v>0</v>
      </c>
      <c r="AM533" s="1">
        <v>0</v>
      </c>
      <c r="AN533" s="1">
        <v>0</v>
      </c>
      <c r="AO533" s="1">
        <v>0</v>
      </c>
      <c r="AP533" s="1">
        <v>0</v>
      </c>
      <c r="AQ533" s="1">
        <v>0</v>
      </c>
      <c r="AR533" s="1">
        <v>0</v>
      </c>
      <c r="AS533" s="1">
        <v>0</v>
      </c>
      <c r="AT533" s="1">
        <v>0</v>
      </c>
      <c r="AU533" s="1">
        <v>0</v>
      </c>
      <c r="AV533" s="1">
        <v>0</v>
      </c>
      <c r="AW533" s="1">
        <v>0</v>
      </c>
      <c r="AX533" s="1">
        <v>0</v>
      </c>
      <c r="AY533" s="1">
        <v>0</v>
      </c>
      <c r="AZ533" s="1">
        <v>0</v>
      </c>
      <c r="BA533" s="1">
        <v>0</v>
      </c>
      <c r="BB533" s="1">
        <v>0</v>
      </c>
      <c r="BC533" s="1">
        <v>0</v>
      </c>
      <c r="BD533" s="1">
        <v>0</v>
      </c>
      <c r="BE533" s="1">
        <v>0</v>
      </c>
      <c r="BF533" s="1">
        <v>0</v>
      </c>
    </row>
    <row r="534" spans="1:59" x14ac:dyDescent="0.2">
      <c r="C534" s="5"/>
      <c r="G534" s="5"/>
      <c r="H534" s="5">
        <v>0</v>
      </c>
      <c r="I534" s="5"/>
    </row>
    <row r="535" spans="1:59" x14ac:dyDescent="0.2">
      <c r="A535" s="46" t="s">
        <v>167</v>
      </c>
      <c r="C535" s="5">
        <v>77314</v>
      </c>
      <c r="D535" s="1">
        <v>0</v>
      </c>
      <c r="E535" s="1">
        <v>0</v>
      </c>
      <c r="F535" s="1">
        <v>0</v>
      </c>
      <c r="G535" s="5">
        <v>76783</v>
      </c>
      <c r="H535" s="5">
        <v>0</v>
      </c>
      <c r="I535" s="5">
        <v>266523</v>
      </c>
      <c r="J535" s="1">
        <v>0</v>
      </c>
      <c r="K535" s="1">
        <v>0</v>
      </c>
      <c r="L535" s="1">
        <v>0</v>
      </c>
      <c r="M535" s="1">
        <v>0</v>
      </c>
      <c r="N535" s="1">
        <v>0</v>
      </c>
      <c r="O535" s="1">
        <v>0</v>
      </c>
      <c r="P535" s="1">
        <v>0</v>
      </c>
      <c r="Q535" s="1">
        <v>0</v>
      </c>
      <c r="R535" s="1">
        <v>0</v>
      </c>
      <c r="S535" s="1">
        <v>0</v>
      </c>
      <c r="T535" s="1">
        <v>0</v>
      </c>
      <c r="U535" s="1">
        <v>0</v>
      </c>
      <c r="V535" s="1">
        <v>0</v>
      </c>
      <c r="W535" s="1">
        <v>0</v>
      </c>
      <c r="X535" s="1">
        <v>0</v>
      </c>
      <c r="Y535" s="1">
        <v>0</v>
      </c>
      <c r="Z535" s="1">
        <v>0</v>
      </c>
      <c r="AA535" s="1">
        <v>0</v>
      </c>
      <c r="AB535" s="1">
        <v>0</v>
      </c>
      <c r="AC535" s="1">
        <v>0</v>
      </c>
      <c r="AD535" s="1">
        <v>0</v>
      </c>
      <c r="AE535" s="1">
        <v>0</v>
      </c>
      <c r="AF535" s="1">
        <v>0</v>
      </c>
      <c r="AG535" s="1">
        <v>0</v>
      </c>
      <c r="AH535" s="1">
        <v>0</v>
      </c>
      <c r="AI535" s="1">
        <v>0</v>
      </c>
      <c r="AJ535" s="1">
        <v>0</v>
      </c>
      <c r="AK535" s="1">
        <v>0</v>
      </c>
      <c r="AL535" s="1">
        <v>0</v>
      </c>
      <c r="AM535" s="1">
        <v>0</v>
      </c>
      <c r="AN535" s="1">
        <v>0</v>
      </c>
      <c r="AO535" s="1">
        <v>0</v>
      </c>
      <c r="AP535" s="1">
        <v>0</v>
      </c>
      <c r="AQ535" s="1">
        <v>0</v>
      </c>
      <c r="AR535" s="1">
        <v>0</v>
      </c>
      <c r="AS535" s="1">
        <v>0</v>
      </c>
      <c r="AT535" s="1">
        <v>0</v>
      </c>
      <c r="AU535" s="1">
        <v>0</v>
      </c>
      <c r="AV535" s="1">
        <v>0</v>
      </c>
      <c r="AW535" s="1">
        <v>0</v>
      </c>
      <c r="AX535" s="1">
        <v>0</v>
      </c>
      <c r="AY535" s="1">
        <v>0</v>
      </c>
      <c r="AZ535" s="1">
        <v>0</v>
      </c>
      <c r="BA535" s="1">
        <v>0</v>
      </c>
      <c r="BB535" s="1">
        <v>0</v>
      </c>
      <c r="BC535" s="1">
        <v>0</v>
      </c>
      <c r="BD535" s="1">
        <v>0</v>
      </c>
      <c r="BE535" s="1">
        <v>0</v>
      </c>
      <c r="BF535" s="1">
        <v>0</v>
      </c>
    </row>
    <row r="537" spans="1:59" x14ac:dyDescent="0.2">
      <c r="A537" s="46" t="s">
        <v>684</v>
      </c>
      <c r="C537" s="42">
        <f>+C43/1000/C533</f>
        <v>1.4657958995206419</v>
      </c>
      <c r="D537" s="1">
        <v>1</v>
      </c>
      <c r="E537" s="1">
        <v>1</v>
      </c>
      <c r="F537" s="1">
        <v>1</v>
      </c>
      <c r="G537" s="50">
        <f>+G74/G533</f>
        <v>1.3488181655830047</v>
      </c>
      <c r="H537" s="1">
        <v>1</v>
      </c>
      <c r="I537" s="50">
        <f>+I74/I533</f>
        <v>1.1462959157013506</v>
      </c>
      <c r="J537" s="1">
        <v>1</v>
      </c>
      <c r="K537" s="482">
        <v>1</v>
      </c>
      <c r="L537" s="1">
        <v>1</v>
      </c>
      <c r="M537" s="1">
        <v>1</v>
      </c>
      <c r="N537" s="1">
        <v>1</v>
      </c>
      <c r="O537" s="1">
        <v>1</v>
      </c>
      <c r="P537" s="1">
        <v>1</v>
      </c>
      <c r="Q537" s="1">
        <v>1</v>
      </c>
      <c r="R537" s="1">
        <v>1</v>
      </c>
      <c r="S537" s="1">
        <v>1</v>
      </c>
      <c r="T537" s="1">
        <v>1</v>
      </c>
      <c r="U537" s="1">
        <v>1</v>
      </c>
      <c r="V537" s="1">
        <v>1</v>
      </c>
      <c r="W537" s="1">
        <v>1</v>
      </c>
      <c r="X537" s="1">
        <v>1</v>
      </c>
      <c r="Y537" s="1">
        <v>1</v>
      </c>
      <c r="Z537" s="1">
        <v>1</v>
      </c>
      <c r="AA537" s="1">
        <v>1</v>
      </c>
      <c r="AB537" s="1">
        <v>1</v>
      </c>
      <c r="AC537" s="1">
        <v>1</v>
      </c>
      <c r="AD537" s="1">
        <v>1</v>
      </c>
      <c r="AE537" s="1">
        <v>1</v>
      </c>
      <c r="AF537" s="1">
        <v>1</v>
      </c>
      <c r="AG537" s="1">
        <v>1</v>
      </c>
      <c r="AH537" s="1">
        <v>1</v>
      </c>
      <c r="AI537" s="1">
        <v>1</v>
      </c>
      <c r="AJ537" s="1">
        <v>1</v>
      </c>
      <c r="AK537" s="1">
        <v>1</v>
      </c>
      <c r="AL537" s="1">
        <v>1</v>
      </c>
      <c r="AM537" s="1">
        <v>1</v>
      </c>
      <c r="AN537" s="1">
        <v>1</v>
      </c>
      <c r="AO537" s="1">
        <v>1</v>
      </c>
      <c r="AP537" s="1">
        <v>1</v>
      </c>
      <c r="AQ537" s="1">
        <v>1</v>
      </c>
      <c r="AR537" s="1">
        <v>1</v>
      </c>
      <c r="AS537" s="1">
        <v>1</v>
      </c>
      <c r="AT537" s="1">
        <v>1</v>
      </c>
      <c r="AU537" s="1">
        <v>1</v>
      </c>
      <c r="AV537" s="1">
        <v>1</v>
      </c>
      <c r="AW537" s="1">
        <v>1</v>
      </c>
      <c r="AX537" s="1">
        <v>1</v>
      </c>
      <c r="AY537" s="1">
        <v>1</v>
      </c>
      <c r="AZ537" s="1">
        <v>1</v>
      </c>
      <c r="BA537" s="1">
        <v>1</v>
      </c>
      <c r="BB537" s="1">
        <v>1</v>
      </c>
      <c r="BC537" s="1">
        <v>1</v>
      </c>
      <c r="BD537" s="1">
        <v>1</v>
      </c>
      <c r="BE537" s="1">
        <v>1</v>
      </c>
      <c r="BF537" s="1">
        <v>1</v>
      </c>
    </row>
    <row r="539" spans="1:59" x14ac:dyDescent="0.2">
      <c r="A539" s="46" t="s">
        <v>685</v>
      </c>
      <c r="C539" s="42">
        <f>+C109/1000/C535</f>
        <v>2.3037104867349845</v>
      </c>
      <c r="D539" s="1">
        <v>1</v>
      </c>
      <c r="E539" s="1">
        <v>1</v>
      </c>
      <c r="F539" s="1">
        <v>1</v>
      </c>
      <c r="G539" s="50">
        <f>+G140/G535</f>
        <v>1.3312334670434862</v>
      </c>
      <c r="H539" s="1">
        <v>1</v>
      </c>
      <c r="I539" s="50">
        <f>+I140/I535</f>
        <v>0.82877677552352758</v>
      </c>
      <c r="J539" s="1">
        <v>1</v>
      </c>
      <c r="K539" s="482">
        <v>1</v>
      </c>
      <c r="L539" s="1">
        <v>1</v>
      </c>
      <c r="M539" s="1">
        <v>1</v>
      </c>
      <c r="N539" s="1">
        <v>1</v>
      </c>
      <c r="O539" s="1">
        <v>1</v>
      </c>
      <c r="P539" s="1">
        <v>1</v>
      </c>
      <c r="Q539" s="1">
        <v>1</v>
      </c>
      <c r="R539" s="1">
        <v>1</v>
      </c>
      <c r="S539" s="1">
        <v>1</v>
      </c>
      <c r="T539" s="1">
        <v>1</v>
      </c>
      <c r="U539" s="1">
        <v>1</v>
      </c>
      <c r="V539" s="1">
        <v>1</v>
      </c>
      <c r="W539" s="1">
        <v>1</v>
      </c>
      <c r="X539" s="1">
        <v>1</v>
      </c>
      <c r="Y539" s="1">
        <v>1</v>
      </c>
      <c r="Z539" s="1">
        <v>1</v>
      </c>
      <c r="AA539" s="1">
        <v>1</v>
      </c>
      <c r="AB539" s="1">
        <v>1</v>
      </c>
      <c r="AC539" s="1">
        <v>1</v>
      </c>
      <c r="AD539" s="1">
        <v>1</v>
      </c>
      <c r="AE539" s="1">
        <v>1</v>
      </c>
      <c r="AF539" s="1">
        <v>1</v>
      </c>
      <c r="AG539" s="1">
        <v>1</v>
      </c>
      <c r="AH539" s="1">
        <v>1</v>
      </c>
      <c r="AI539" s="1">
        <v>1</v>
      </c>
      <c r="AJ539" s="1">
        <v>1</v>
      </c>
      <c r="AK539" s="1">
        <v>1</v>
      </c>
      <c r="AL539" s="1">
        <v>1</v>
      </c>
      <c r="AM539" s="1">
        <v>1</v>
      </c>
      <c r="AN539" s="1">
        <v>1</v>
      </c>
      <c r="AO539" s="1">
        <v>1</v>
      </c>
      <c r="AP539" s="1">
        <v>1</v>
      </c>
      <c r="AQ539" s="1">
        <v>1</v>
      </c>
      <c r="AR539" s="1">
        <v>1</v>
      </c>
      <c r="AS539" s="1">
        <v>1</v>
      </c>
      <c r="AT539" s="1">
        <v>1</v>
      </c>
      <c r="AU539" s="1">
        <v>1</v>
      </c>
      <c r="AV539" s="1">
        <v>1</v>
      </c>
      <c r="AW539" s="1">
        <v>1</v>
      </c>
      <c r="AX539" s="1">
        <v>1</v>
      </c>
      <c r="AY539" s="1">
        <v>1</v>
      </c>
      <c r="AZ539" s="1">
        <v>1</v>
      </c>
      <c r="BA539" s="1">
        <v>1</v>
      </c>
      <c r="BB539" s="1">
        <v>1</v>
      </c>
      <c r="BC539" s="1">
        <v>1</v>
      </c>
      <c r="BD539" s="1">
        <v>1</v>
      </c>
      <c r="BE539" s="1">
        <v>1</v>
      </c>
      <c r="BF539" s="1">
        <v>1</v>
      </c>
    </row>
    <row r="541" spans="1:59" s="5" customFormat="1" x14ac:dyDescent="0.2">
      <c r="A541" s="47" t="s">
        <v>1479</v>
      </c>
      <c r="C541" s="47"/>
      <c r="Z541" s="5">
        <f>4251407/1000</f>
        <v>4251.4070000000002</v>
      </c>
      <c r="AE541" s="5">
        <v>31263</v>
      </c>
      <c r="AJ541" s="5">
        <f>6965758/1000</f>
        <v>6965.7579999999998</v>
      </c>
      <c r="AK541" s="5">
        <f>3050409/1000</f>
        <v>3050.4090000000001</v>
      </c>
      <c r="AS541" s="5">
        <v>1720</v>
      </c>
      <c r="AY541" s="5">
        <f>6573266/1000</f>
        <v>6573.2659999999996</v>
      </c>
      <c r="BG541" s="5">
        <f>SUM(C541:BE541)</f>
        <v>53823.839999999997</v>
      </c>
    </row>
    <row r="545" spans="3:58" x14ac:dyDescent="0.2">
      <c r="C545" s="1">
        <f>+IFERROR(HLOOKUP(C8,'סקרי נכסים-יתרות פתיחה'!$2:$3,2,0),0)</f>
        <v>2004</v>
      </c>
      <c r="D545" s="1">
        <f>+IFERROR(HLOOKUP(D8,'סקרי נכסים-יתרות פתיחה'!$2:$3,2,0),0)</f>
        <v>2008</v>
      </c>
      <c r="E545" s="1">
        <f>+IFERROR(HLOOKUP(E8,'סקרי נכסים-יתרות פתיחה'!$2:$3,2,0),0)</f>
        <v>2004</v>
      </c>
      <c r="F545" s="1">
        <f>+IFERROR(HLOOKUP(F8,'סקרי נכסים-יתרות פתיחה'!$2:$3,2,0),0)</f>
        <v>2008</v>
      </c>
      <c r="G545" s="1">
        <f>+IFERROR(HLOOKUP(G8,'סקרי נכסים-יתרות פתיחה'!$2:$3,2,0),0)</f>
        <v>2006</v>
      </c>
      <c r="H545" s="1">
        <f>+IFERROR(HLOOKUP(H8,'סקרי נכסים-יתרות פתיחה'!$2:$3,2,0),0)</f>
        <v>2003</v>
      </c>
      <c r="I545" s="1">
        <f>+IFERROR(HLOOKUP(I8,'סקרי נכסים-יתרות פתיחה'!$2:$3,2,0),0)</f>
        <v>2003</v>
      </c>
      <c r="J545" s="1">
        <f>+IFERROR(HLOOKUP(J8,'סקרי נכסים-יתרות פתיחה'!$2:$3,2,0),0)</f>
        <v>2006</v>
      </c>
      <c r="K545" s="1">
        <f>+IFERROR(HLOOKUP(K8,'סקרי נכסים-יתרות פתיחה'!$2:$3,2,0),0)</f>
        <v>2003</v>
      </c>
      <c r="L545" s="1">
        <f>+IFERROR(HLOOKUP(L8,'סקרי נכסים-יתרות פתיחה'!$2:$3,2,0),0)</f>
        <v>2008</v>
      </c>
      <c r="M545" s="1">
        <f>+IFERROR(HLOOKUP(M8,'סקרי נכסים-יתרות פתיחה'!$2:$3,2,0),0)</f>
        <v>2008</v>
      </c>
      <c r="N545" s="1">
        <f>+IFERROR(HLOOKUP(N8,'סקרי נכסים-יתרות פתיחה'!$2:$3,2,0),0)</f>
        <v>2007</v>
      </c>
      <c r="O545" s="1">
        <f>+IFERROR(HLOOKUP(O8,'סקרי נכסים-יתרות פתיחה'!$2:$3,2,0),0)</f>
        <v>2008</v>
      </c>
      <c r="P545" s="1">
        <f>+IFERROR(HLOOKUP(P8,'סקרי נכסים-יתרות פתיחה'!$2:$3,2,0),0)</f>
        <v>2008</v>
      </c>
      <c r="Q545" s="1">
        <f>+IFERROR(HLOOKUP(Q8,'סקרי נכסים-יתרות פתיחה'!$2:$3,2,0),0)</f>
        <v>2009</v>
      </c>
      <c r="R545" s="1">
        <f>+IFERROR(HLOOKUP(R8,'סקרי נכסים-יתרות פתיחה'!$2:$3,2,0),0)</f>
        <v>2009</v>
      </c>
      <c r="S545" s="1">
        <f>+IFERROR(HLOOKUP(S8,'סקרי נכסים-יתרות פתיחה'!$2:$3,2,0),0)</f>
        <v>2009</v>
      </c>
      <c r="T545" s="1">
        <f>+IFERROR(HLOOKUP(T8,'סקרי נכסים-יתרות פתיחה'!$2:$3,2,0),0)</f>
        <v>2009</v>
      </c>
      <c r="U545" s="1">
        <f>+IFERROR(HLOOKUP(U8,'סקרי נכסים-יתרות פתיחה'!$2:$3,2,0),0)</f>
        <v>2009</v>
      </c>
      <c r="V545" s="1">
        <f>+IFERROR(HLOOKUP(V8,'סקרי נכסים-יתרות פתיחה'!$2:$3,2,0),0)</f>
        <v>2009</v>
      </c>
      <c r="W545" s="1">
        <f>+IFERROR(HLOOKUP(W8,'סקרי נכסים-יתרות פתיחה'!$2:$3,2,0),0)</f>
        <v>2009</v>
      </c>
      <c r="X545" s="1">
        <f>+IFERROR(HLOOKUP(X8,'סקרי נכסים-יתרות פתיחה'!$2:$3,2,0),0)</f>
        <v>2009</v>
      </c>
      <c r="Y545" s="1">
        <f>+IFERROR(HLOOKUP(Y8,'סקרי נכסים-יתרות פתיחה'!$2:$3,2,0),0)</f>
        <v>2009</v>
      </c>
      <c r="Z545" s="1">
        <f>+IFERROR(HLOOKUP(Z8,'סקרי נכסים-יתרות פתיחה'!$2:$3,2,0),0)</f>
        <v>2009</v>
      </c>
      <c r="AA545" s="1">
        <f>+IFERROR(HLOOKUP(AA8,'סקרי נכסים-יתרות פתיחה'!$2:$3,2,0),0)</f>
        <v>2010</v>
      </c>
      <c r="AB545" s="1">
        <f>+IFERROR(HLOOKUP(AB8,'סקרי נכסים-יתרות פתיחה'!$2:$3,2,0),0)</f>
        <v>2009</v>
      </c>
      <c r="AC545" s="1">
        <f>+IFERROR(HLOOKUP(AC8,'סקרי נכסים-יתרות פתיחה'!$2:$3,2,0),0)</f>
        <v>2010</v>
      </c>
      <c r="AD545" s="1">
        <f>+IFERROR(HLOOKUP(AD8,'סקרי נכסים-יתרות פתיחה'!$2:$3,2,0),0)</f>
        <v>2009</v>
      </c>
      <c r="AE545" s="1">
        <f>+IFERROR(HLOOKUP(AE8,'סקרי נכסים-יתרות פתיחה'!$2:$3,2,0),0)</f>
        <v>2010</v>
      </c>
      <c r="AF545" s="1">
        <f>+IFERROR(HLOOKUP(AF8,'סקרי נכסים-יתרות פתיחה'!$2:$3,2,0),0)</f>
        <v>2009</v>
      </c>
      <c r="AG545" s="1">
        <f>+IFERROR(HLOOKUP(AG8,'סקרי נכסים-יתרות פתיחה'!$2:$3,2,0),0)</f>
        <v>2010</v>
      </c>
      <c r="AH545" s="1">
        <f>+IFERROR(HLOOKUP(AH8,'סקרי נכסים-יתרות פתיחה'!$2:$3,2,0),0)</f>
        <v>2010</v>
      </c>
      <c r="AI545" s="1">
        <f>+IFERROR(HLOOKUP(AI8,'סקרי נכסים-יתרות פתיחה'!$2:$3,2,0),0)</f>
        <v>2009</v>
      </c>
      <c r="AJ545" s="1">
        <f>+IFERROR(HLOOKUP(AJ8,'סקרי נכסים-יתרות פתיחה'!$2:$3,2,0),0)</f>
        <v>2009</v>
      </c>
      <c r="AK545" s="1">
        <f>+IFERROR(HLOOKUP(AK8,'סקרי נכסים-יתרות פתיחה'!$2:$3,2,0),0)</f>
        <v>2013</v>
      </c>
      <c r="AL545" s="1">
        <f>+IFERROR(HLOOKUP(AL8,'סקרי נכסים-יתרות פתיחה'!$2:$3,2,0),0)</f>
        <v>2010</v>
      </c>
      <c r="AM545" s="1">
        <f>+IFERROR(HLOOKUP(AM8,'סקרי נכסים-יתרות פתיחה'!$2:$3,2,0),0)</f>
        <v>2010</v>
      </c>
      <c r="AN545" s="1">
        <f>+IFERROR(HLOOKUP(AN8,'סקרי נכסים-יתרות פתיחה'!$2:$3,2,0),0)</f>
        <v>2011</v>
      </c>
      <c r="AO545" s="1">
        <f>+IFERROR(HLOOKUP(AO8,'סקרי נכסים-יתרות פתיחה'!$2:$3,2,0),0)</f>
        <v>2012</v>
      </c>
      <c r="AP545" s="1">
        <f>+IFERROR(HLOOKUP(AP8,'סקרי נכסים-יתרות פתיחה'!$2:$3,2,0),0)</f>
        <v>2010</v>
      </c>
      <c r="AQ545" s="1">
        <f>+IFERROR(HLOOKUP(AQ8,'סקרי נכסים-יתרות פתיחה'!$2:$3,2,0),0)</f>
        <v>2009</v>
      </c>
      <c r="AR545" s="1">
        <f>+IFERROR(HLOOKUP(AR8,'סקרי נכסים-יתרות פתיחה'!$2:$3,2,0),0)</f>
        <v>2010</v>
      </c>
      <c r="AS545" s="1">
        <f>+IFERROR(HLOOKUP(AS8,'סקרי נכסים-יתרות פתיחה'!$2:$3,2,0),0)</f>
        <v>2009</v>
      </c>
      <c r="AT545" s="1">
        <f>+IFERROR(HLOOKUP(AT8,'סקרי נכסים-יתרות פתיחה'!$2:$3,2,0),0)</f>
        <v>2010</v>
      </c>
      <c r="AU545" s="1">
        <f>+IFERROR(HLOOKUP(AU8,'סקרי נכסים-יתרות פתיחה'!$2:$3,2,0),0)</f>
        <v>2010</v>
      </c>
      <c r="AV545" s="1">
        <f>+IFERROR(HLOOKUP(AV8,'סקרי נכסים-יתרות פתיחה'!$2:$3,2,0),0)</f>
        <v>2010</v>
      </c>
      <c r="AW545" s="1">
        <f>+IFERROR(HLOOKUP(AW8,'סקרי נכסים-יתרות פתיחה'!$2:$3,2,0),0)</f>
        <v>2010</v>
      </c>
      <c r="AX545" s="1">
        <f>+IFERROR(HLOOKUP(AX8,'סקרי נכסים-יתרות פתיחה'!$2:$3,2,0),0)</f>
        <v>0</v>
      </c>
      <c r="AY545" s="1">
        <f>+IFERROR(HLOOKUP(AY8,'סקרי נכסים-יתרות פתיחה'!$2:$3,2,0),0)</f>
        <v>2010</v>
      </c>
      <c r="AZ545" s="1">
        <f>+IFERROR(HLOOKUP(AZ8,'סקרי נכסים-יתרות פתיחה'!$2:$3,2,0),0)</f>
        <v>2010</v>
      </c>
      <c r="BA545" s="1">
        <f>+IFERROR(HLOOKUP(BA8,'סקרי נכסים-יתרות פתיחה'!$2:$3,2,0),0)</f>
        <v>2010</v>
      </c>
      <c r="BB545" s="1">
        <f>+IFERROR(HLOOKUP(BB8,'סקרי נכסים-יתרות פתיחה'!$2:$3,2,0),0)</f>
        <v>2010</v>
      </c>
      <c r="BC545" s="1">
        <f>+IFERROR(HLOOKUP(BC8,'סקרי נכסים-יתרות פתיחה'!$2:$3,2,0),0)</f>
        <v>2010</v>
      </c>
      <c r="BD545" s="1">
        <f>+IFERROR(HLOOKUP(BD8,'סקרי נכסים-יתרות פתיחה'!$2:$3,2,0),0)</f>
        <v>2011</v>
      </c>
      <c r="BE545" s="1">
        <f>+IFERROR(HLOOKUP(BE8,'סקרי נכסים-יתרות פתיחה'!$2:$3,2,0),0)</f>
        <v>2013</v>
      </c>
      <c r="BF545" s="1">
        <f>+IFERROR(HLOOKUP(BF8,'סקרי נכסים-יתרות פתיחה'!$2:$3,2,0),0)</f>
        <v>2016</v>
      </c>
    </row>
    <row r="546" spans="3:58" x14ac:dyDescent="0.2">
      <c r="C546" s="1">
        <f>+IFERROR(HLOOKUP(C9,'סקרי נכסים-יתרות פתיחה'!$2:$3,2,0),0)</f>
        <v>2010</v>
      </c>
      <c r="D546" s="1">
        <f>+IFERROR(HLOOKUP(D9,'סקרי נכסים-יתרות פתיחה'!$2:$3,2,0),0)</f>
        <v>2008</v>
      </c>
      <c r="E546" s="1">
        <f>+IFERROR(HLOOKUP(E9,'סקרי נכסים-יתרות פתיחה'!$2:$3,2,0),0)</f>
        <v>0</v>
      </c>
      <c r="F546" s="1">
        <f>+IFERROR(HLOOKUP(F9,'סקרי נכסים-יתרות פתיחה'!$2:$3,2,0),0)</f>
        <v>2008</v>
      </c>
      <c r="G546" s="1">
        <f>+IFERROR(HLOOKUP(G9,'סקרי נכסים-יתרות פתיחה'!$2:$3,2,0),0)</f>
        <v>0</v>
      </c>
      <c r="H546" s="1">
        <f>+IFERROR(HLOOKUP(H9,'סקרי נכסים-יתרות פתיחה'!$2:$3,2,0),0)</f>
        <v>2010</v>
      </c>
      <c r="I546" s="1">
        <f>+IFERROR(HLOOKUP(I9,'סקרי נכסים-יתרות פתיחה'!$2:$3,2,0),0)</f>
        <v>0</v>
      </c>
      <c r="J546" s="1">
        <f>+IFERROR(HLOOKUP(J9,'סקרי נכסים-יתרות פתיחה'!$2:$3,2,0),0)</f>
        <v>0</v>
      </c>
      <c r="K546" s="1">
        <f>+IFERROR(HLOOKUP(K9,'סקרי נכסים-יתרות פתיחה'!$2:$3,2,0),0)</f>
        <v>2009</v>
      </c>
      <c r="L546" s="1">
        <f>+IFERROR(HLOOKUP(L9,'סקרי נכסים-יתרות פתיחה'!$2:$3,2,0),0)</f>
        <v>2009</v>
      </c>
      <c r="M546" s="1">
        <f>+IFERROR(HLOOKUP(M9,'סקרי נכסים-יתרות פתיחה'!$2:$3,2,0),0)</f>
        <v>0</v>
      </c>
      <c r="N546" s="1">
        <f>+IFERROR(HLOOKUP(N9,'סקרי נכסים-יתרות פתיחה'!$2:$3,2,0),0)</f>
        <v>2010</v>
      </c>
      <c r="O546" s="1">
        <f>+IFERROR(HLOOKUP(O9,'סקרי נכסים-יתרות פתיחה'!$2:$3,2,0),0)</f>
        <v>2008</v>
      </c>
      <c r="P546" s="1">
        <f>+IFERROR(HLOOKUP(P9,'סקרי נכסים-יתרות פתיחה'!$2:$3,2,0),0)</f>
        <v>2008</v>
      </c>
      <c r="Q546" s="1">
        <f>+IFERROR(HLOOKUP(Q9,'סקרי נכסים-יתרות פתיחה'!$2:$3,2,0),0)</f>
        <v>0</v>
      </c>
      <c r="R546" s="1">
        <f>+IFERROR(HLOOKUP(R9,'סקרי נכסים-יתרות פתיחה'!$2:$3,2,0),0)</f>
        <v>2013</v>
      </c>
      <c r="S546" s="1">
        <f>+IFERROR(HLOOKUP(S9,'סקרי נכסים-יתרות פתיחה'!$2:$3,2,0),0)</f>
        <v>0</v>
      </c>
      <c r="T546" s="1">
        <f>+IFERROR(HLOOKUP(T9,'סקרי נכסים-יתרות פתיחה'!$2:$3,2,0),0)</f>
        <v>2015</v>
      </c>
      <c r="U546" s="1">
        <f>+IFERROR(HLOOKUP(U9,'סקרי נכסים-יתרות פתיחה'!$2:$3,2,0),0)</f>
        <v>0</v>
      </c>
      <c r="V546" s="1">
        <f>+IFERROR(HLOOKUP(V9,'סקרי נכסים-יתרות פתיחה'!$2:$3,2,0),0)</f>
        <v>2009</v>
      </c>
      <c r="W546" s="1">
        <f>+IFERROR(HLOOKUP(W9,'סקרי נכסים-יתרות פתיחה'!$2:$3,2,0),0)</f>
        <v>2010</v>
      </c>
      <c r="X546" s="1">
        <f>+IFERROR(HLOOKUP(X9,'סקרי נכסים-יתרות פתיחה'!$2:$3,2,0),0)</f>
        <v>2009</v>
      </c>
      <c r="Y546" s="1">
        <f>+IFERROR(HLOOKUP(Y9,'סקרי נכסים-יתרות פתיחה'!$2:$3,2,0),0)</f>
        <v>2009</v>
      </c>
      <c r="Z546" s="1">
        <f>+IFERROR(HLOOKUP(Z9,'סקרי נכסים-יתרות פתיחה'!$2:$3,2,0),0)</f>
        <v>0</v>
      </c>
      <c r="AA546" s="1">
        <f>+IFERROR(HLOOKUP(AA9,'סקרי נכסים-יתרות פתיחה'!$2:$3,2,0),0)</f>
        <v>0</v>
      </c>
      <c r="AB546" s="1">
        <f>+IFERROR(HLOOKUP(AB9,'סקרי נכסים-יתרות פתיחה'!$2:$3,2,0),0)</f>
        <v>0</v>
      </c>
      <c r="AC546" s="1">
        <f>+IFERROR(HLOOKUP(AC9,'סקרי נכסים-יתרות פתיחה'!$2:$3,2,0),0)</f>
        <v>0</v>
      </c>
      <c r="AD546" s="1">
        <f>+IFERROR(HLOOKUP(AD9,'סקרי נכסים-יתרות פתיחה'!$2:$3,2,0),0)</f>
        <v>0</v>
      </c>
      <c r="AE546" s="1">
        <f>+IFERROR(HLOOKUP(AE9,'סקרי נכסים-יתרות פתיחה'!$2:$3,2,0),0)</f>
        <v>0</v>
      </c>
      <c r="AF546" s="1">
        <f>+IFERROR(HLOOKUP(AF9,'סקרי נכסים-יתרות פתיחה'!$2:$3,2,0),0)</f>
        <v>2010</v>
      </c>
      <c r="AG546" s="1">
        <f>+IFERROR(HLOOKUP(AG9,'סקרי נכסים-יתרות פתיחה'!$2:$3,2,0),0)</f>
        <v>0</v>
      </c>
      <c r="AH546" s="1">
        <f>+IFERROR(HLOOKUP(AH9,'סקרי נכסים-יתרות פתיחה'!$2:$3,2,0),0)</f>
        <v>0</v>
      </c>
      <c r="AI546" s="1">
        <f>+IFERROR(HLOOKUP(AI9,'סקרי נכסים-יתרות פתיחה'!$2:$3,2,0),0)</f>
        <v>0</v>
      </c>
      <c r="AJ546" s="1">
        <f>+IFERROR(HLOOKUP(AJ9,'סקרי נכסים-יתרות פתיחה'!$2:$3,2,0),0)</f>
        <v>2013</v>
      </c>
      <c r="AK546" s="1">
        <f>+IFERROR(HLOOKUP(AK9,'סקרי נכסים-יתרות פתיחה'!$2:$3,2,0),0)</f>
        <v>0</v>
      </c>
      <c r="AL546" s="1">
        <f>+IFERROR(HLOOKUP(AL9,'סקרי נכסים-יתרות פתיחה'!$2:$3,2,0),0)</f>
        <v>0</v>
      </c>
      <c r="AM546" s="1">
        <f>+IFERROR(HLOOKUP(AM9,'סקרי נכסים-יתרות פתיחה'!$2:$3,2,0),0)</f>
        <v>2010</v>
      </c>
      <c r="AN546" s="1">
        <f>+IFERROR(HLOOKUP(AN9,'סקרי נכסים-יתרות פתיחה'!$2:$3,2,0),0)</f>
        <v>2011</v>
      </c>
      <c r="AO546" s="1">
        <f>+IFERROR(HLOOKUP(AO9,'סקרי נכסים-יתרות פתיחה'!$2:$3,2,0),0)</f>
        <v>0</v>
      </c>
      <c r="AP546" s="1">
        <f>+IFERROR(HLOOKUP(AP9,'סקרי נכסים-יתרות פתיחה'!$2:$3,2,0),0)</f>
        <v>0</v>
      </c>
      <c r="AQ546" s="1">
        <f>+IFERROR(HLOOKUP(AQ9,'סקרי נכסים-יתרות פתיחה'!$2:$3,2,0),0)</f>
        <v>0</v>
      </c>
      <c r="AR546" s="1">
        <f>+IFERROR(HLOOKUP(AR9,'סקרי נכסים-יתרות פתיחה'!$2:$3,2,0),0)</f>
        <v>2015</v>
      </c>
      <c r="AS546" s="1">
        <f>+IFERROR(HLOOKUP(AS9,'סקרי נכסים-יתרות פתיחה'!$2:$3,2,0),0)</f>
        <v>2009</v>
      </c>
      <c r="AT546" s="1">
        <f>+IFERROR(HLOOKUP(AT9,'סקרי נכסים-יתרות פתיחה'!$2:$3,2,0),0)</f>
        <v>0</v>
      </c>
      <c r="AU546" s="1">
        <f>+IFERROR(HLOOKUP(AU9,'סקרי נכסים-יתרות פתיחה'!$2:$3,2,0),0)</f>
        <v>0</v>
      </c>
      <c r="AV546" s="1">
        <f>+IFERROR(HLOOKUP(AV9,'סקרי נכסים-יתרות פתיחה'!$2:$3,2,0),0)</f>
        <v>2010</v>
      </c>
      <c r="AW546" s="1">
        <f>+IFERROR(HLOOKUP(AW9,'סקרי נכסים-יתרות פתיחה'!$2:$3,2,0),0)</f>
        <v>0</v>
      </c>
      <c r="AX546" s="1">
        <f>+IFERROR(HLOOKUP(AX9,'סקרי נכסים-יתרות פתיחה'!$2:$3,2,0),0)</f>
        <v>2011</v>
      </c>
      <c r="AY546" s="1">
        <f>+IFERROR(HLOOKUP(AY9,'סקרי נכסים-יתרות פתיחה'!$2:$3,2,0),0)</f>
        <v>0</v>
      </c>
      <c r="AZ546" s="1">
        <f>+IFERROR(HLOOKUP(AZ9,'סקרי נכסים-יתרות פתיחה'!$2:$3,2,0),0)</f>
        <v>2010</v>
      </c>
      <c r="BA546" s="1">
        <f>+IFERROR(HLOOKUP(BA9,'סקרי נכסים-יתרות פתיחה'!$2:$3,2,0),0)</f>
        <v>2010</v>
      </c>
      <c r="BB546" s="1">
        <f>+IFERROR(HLOOKUP(BB9,'סקרי נכסים-יתרות פתיחה'!$2:$3,2,0),0)</f>
        <v>2010</v>
      </c>
      <c r="BC546" s="1">
        <f>+IFERROR(HLOOKUP(BC9,'סקרי נכסים-יתרות פתיחה'!$2:$3,2,0),0)</f>
        <v>2010</v>
      </c>
      <c r="BD546" s="1">
        <f>+IFERROR(HLOOKUP(BD9,'סקרי נכסים-יתרות פתיחה'!$2:$3,2,0),0)</f>
        <v>2011</v>
      </c>
      <c r="BE546" s="1">
        <f>+IFERROR(HLOOKUP(BE9,'סקרי נכסים-יתרות פתיחה'!$2:$3,2,0),0)</f>
        <v>0</v>
      </c>
      <c r="BF546" s="1">
        <f>+IFERROR(HLOOKUP(BF9,'סקרי נכסים-יתרות פתיחה'!$2:$3,2,0),0)</f>
        <v>0</v>
      </c>
    </row>
    <row r="547" spans="3:58" x14ac:dyDescent="0.2">
      <c r="C547" s="1">
        <f>+IFERROR(HLOOKUP(C10,'סקרי נכסים-יתרות פתיחה'!$2:$3,2,0),0)</f>
        <v>2010</v>
      </c>
      <c r="D547" s="1">
        <f>+IFERROR(HLOOKUP(D10,'סקרי נכסים-יתרות פתיחה'!$2:$3,2,0),0)</f>
        <v>2008</v>
      </c>
      <c r="E547" s="1">
        <f>+IFERROR(HLOOKUP(E10,'סקרי נכסים-יתרות פתיחה'!$2:$3,2,0),0)</f>
        <v>0</v>
      </c>
      <c r="F547" s="1">
        <f>+IFERROR(HLOOKUP(F10,'סקרי נכסים-יתרות פתיחה'!$2:$3,2,0),0)</f>
        <v>0</v>
      </c>
      <c r="G547" s="1">
        <f>+IFERROR(HLOOKUP(G10,'סקרי נכסים-יתרות פתיחה'!$2:$3,2,0),0)</f>
        <v>0</v>
      </c>
      <c r="H547" s="1">
        <f>+IFERROR(HLOOKUP(H10,'סקרי נכסים-יתרות פתיחה'!$2:$3,2,0),0)</f>
        <v>2011</v>
      </c>
      <c r="I547" s="1">
        <f>+IFERROR(HLOOKUP(I10,'סקרי נכסים-יתרות פתיחה'!$2:$3,2,0),0)</f>
        <v>0</v>
      </c>
      <c r="J547" s="1">
        <f>+IFERROR(HLOOKUP(J10,'סקרי נכסים-יתרות פתיחה'!$2:$3,2,0),0)</f>
        <v>0</v>
      </c>
      <c r="K547" s="1">
        <f>+IFERROR(HLOOKUP(K10,'סקרי נכסים-יתרות פתיחה'!$2:$3,2,0),0)</f>
        <v>2013</v>
      </c>
      <c r="L547" s="1">
        <f>+IFERROR(HLOOKUP(L10,'סקרי נכסים-יתרות פתיחה'!$2:$3,2,0),0)</f>
        <v>2009</v>
      </c>
      <c r="M547" s="1">
        <f>+IFERROR(HLOOKUP(M10,'סקרי נכסים-יתרות פתיחה'!$2:$3,2,0),0)</f>
        <v>0</v>
      </c>
      <c r="N547" s="1">
        <f>+IFERROR(HLOOKUP(N10,'סקרי נכסים-יתרות פתיחה'!$2:$3,2,0),0)</f>
        <v>0</v>
      </c>
      <c r="O547" s="1">
        <f>+IFERROR(HLOOKUP(O10,'סקרי נכסים-יתרות פתיחה'!$2:$3,2,0),0)</f>
        <v>2011</v>
      </c>
      <c r="P547" s="1">
        <f>+IFERROR(HLOOKUP(P10,'סקרי נכסים-יתרות פתיחה'!$2:$3,2,0),0)</f>
        <v>2008</v>
      </c>
      <c r="Q547" s="1">
        <f>+IFERROR(HLOOKUP(Q10,'סקרי נכסים-יתרות פתיחה'!$2:$3,2,0),0)</f>
        <v>0</v>
      </c>
      <c r="R547" s="1">
        <f>+IFERROR(HLOOKUP(R10,'סקרי נכסים-יתרות פתיחה'!$2:$3,2,0),0)</f>
        <v>2013</v>
      </c>
      <c r="S547" s="1">
        <f>+IFERROR(HLOOKUP(S10,'סקרי נכסים-יתרות פתיחה'!$2:$3,2,0),0)</f>
        <v>0</v>
      </c>
      <c r="T547" s="1">
        <f>+IFERROR(HLOOKUP(T10,'סקרי נכסים-יתרות פתיחה'!$2:$3,2,0),0)</f>
        <v>2015</v>
      </c>
      <c r="U547" s="1">
        <f>+IFERROR(HLOOKUP(U10,'סקרי נכסים-יתרות פתיחה'!$2:$3,2,0),0)</f>
        <v>0</v>
      </c>
      <c r="V547" s="1">
        <f>+IFERROR(HLOOKUP(V10,'סקרי נכסים-יתרות פתיחה'!$2:$3,2,0),0)</f>
        <v>2009</v>
      </c>
      <c r="W547" s="1">
        <f>+IFERROR(HLOOKUP(W10,'סקרי נכסים-יתרות פתיחה'!$2:$3,2,0),0)</f>
        <v>2009</v>
      </c>
      <c r="X547" s="1">
        <f>+IFERROR(HLOOKUP(X10,'סקרי נכסים-יתרות פתיחה'!$2:$3,2,0),0)</f>
        <v>2009</v>
      </c>
      <c r="Y547" s="1">
        <f>+IFERROR(HLOOKUP(Y10,'סקרי נכסים-יתרות פתיחה'!$2:$3,2,0),0)</f>
        <v>2009</v>
      </c>
      <c r="Z547" s="1">
        <f>+IFERROR(HLOOKUP(Z10,'סקרי נכסים-יתרות פתיחה'!$2:$3,2,0),0)</f>
        <v>0</v>
      </c>
      <c r="AA547" s="1">
        <f>+IFERROR(HLOOKUP(AA10,'סקרי נכסים-יתרות פתיחה'!$2:$3,2,0),0)</f>
        <v>0</v>
      </c>
      <c r="AB547" s="1">
        <f>+IFERROR(HLOOKUP(AB10,'סקרי נכסים-יתרות פתיחה'!$2:$3,2,0),0)</f>
        <v>0</v>
      </c>
      <c r="AC547" s="1">
        <f>+IFERROR(HLOOKUP(AC10,'סקרי נכסים-יתרות פתיחה'!$2:$3,2,0),0)</f>
        <v>0</v>
      </c>
      <c r="AD547" s="1">
        <f>+IFERROR(HLOOKUP(AD10,'סקרי נכסים-יתרות פתיחה'!$2:$3,2,0),0)</f>
        <v>0</v>
      </c>
      <c r="AE547" s="1">
        <f>+IFERROR(HLOOKUP(AE10,'סקרי נכסים-יתרות פתיחה'!$2:$3,2,0),0)</f>
        <v>0</v>
      </c>
      <c r="AF547" s="1">
        <f>+IFERROR(HLOOKUP(AF10,'סקרי נכסים-יתרות פתיחה'!$2:$3,2,0),0)</f>
        <v>0</v>
      </c>
      <c r="AG547" s="1">
        <f>+IFERROR(HLOOKUP(AG10,'סקרי נכסים-יתרות פתיחה'!$2:$3,2,0),0)</f>
        <v>0</v>
      </c>
      <c r="AH547" s="1">
        <f>+IFERROR(HLOOKUP(AH10,'סקרי נכסים-יתרות פתיחה'!$2:$3,2,0),0)</f>
        <v>0</v>
      </c>
      <c r="AI547" s="1">
        <f>+IFERROR(HLOOKUP(AI10,'סקרי נכסים-יתרות פתיחה'!$2:$3,2,0),0)</f>
        <v>0</v>
      </c>
      <c r="AJ547" s="1">
        <f>+IFERROR(HLOOKUP(AJ10,'סקרי נכסים-יתרות פתיחה'!$2:$3,2,0),0)</f>
        <v>0</v>
      </c>
      <c r="AK547" s="1">
        <f>+IFERROR(HLOOKUP(AK10,'סקרי נכסים-יתרות פתיחה'!$2:$3,2,0),0)</f>
        <v>0</v>
      </c>
      <c r="AL547" s="1">
        <f>+IFERROR(HLOOKUP(AL10,'סקרי נכסים-יתרות פתיחה'!$2:$3,2,0),0)</f>
        <v>0</v>
      </c>
      <c r="AM547" s="1">
        <f>+IFERROR(HLOOKUP(AM10,'סקרי נכסים-יתרות פתיחה'!$2:$3,2,0),0)</f>
        <v>2010</v>
      </c>
      <c r="AN547" s="1">
        <f>+IFERROR(HLOOKUP(AN10,'סקרי נכסים-יתרות פתיחה'!$2:$3,2,0),0)</f>
        <v>2011</v>
      </c>
      <c r="AO547" s="1">
        <f>+IFERROR(HLOOKUP(AO10,'סקרי נכסים-יתרות פתיחה'!$2:$3,2,0),0)</f>
        <v>0</v>
      </c>
      <c r="AP547" s="1">
        <f>+IFERROR(HLOOKUP(AP10,'סקרי נכסים-יתרות פתיחה'!$2:$3,2,0),0)</f>
        <v>0</v>
      </c>
      <c r="AQ547" s="1">
        <f>+IFERROR(HLOOKUP(AQ10,'סקרי נכסים-יתרות פתיחה'!$2:$3,2,0),0)</f>
        <v>0</v>
      </c>
      <c r="AR547" s="1">
        <f>+IFERROR(HLOOKUP(AR10,'סקרי נכסים-יתרות פתיחה'!$2:$3,2,0),0)</f>
        <v>0</v>
      </c>
      <c r="AS547" s="1">
        <f>+IFERROR(HLOOKUP(AS10,'סקרי נכסים-יתרות פתיחה'!$2:$3,2,0),0)</f>
        <v>2009</v>
      </c>
      <c r="AT547" s="1">
        <f>+IFERROR(HLOOKUP(AT10,'סקרי נכסים-יתרות פתיחה'!$2:$3,2,0),0)</f>
        <v>0</v>
      </c>
      <c r="AU547" s="1">
        <f>+IFERROR(HLOOKUP(AU10,'סקרי נכסים-יתרות פתיחה'!$2:$3,2,0),0)</f>
        <v>0</v>
      </c>
      <c r="AV547" s="1">
        <f>+IFERROR(HLOOKUP(AV10,'סקרי נכסים-יתרות פתיחה'!$2:$3,2,0),0)</f>
        <v>0</v>
      </c>
      <c r="AW547" s="1">
        <f>+IFERROR(HLOOKUP(AW10,'סקרי נכסים-יתרות פתיחה'!$2:$3,2,0),0)</f>
        <v>0</v>
      </c>
      <c r="AX547" s="1">
        <f>+IFERROR(HLOOKUP(AX10,'סקרי נכסים-יתרות פתיחה'!$2:$3,2,0),0)</f>
        <v>2011</v>
      </c>
      <c r="AY547" s="1">
        <f>+IFERROR(HLOOKUP(AY10,'סקרי נכסים-יתרות פתיחה'!$2:$3,2,0),0)</f>
        <v>0</v>
      </c>
      <c r="AZ547" s="1">
        <f>+IFERROR(HLOOKUP(AZ10,'סקרי נכסים-יתרות פתיחה'!$2:$3,2,0),0)</f>
        <v>2010</v>
      </c>
      <c r="BA547" s="1">
        <f>+IFERROR(HLOOKUP(BA10,'סקרי נכסים-יתרות פתיחה'!$2:$3,2,0),0)</f>
        <v>2010</v>
      </c>
      <c r="BB547" s="1">
        <f>+IFERROR(HLOOKUP(BB10,'סקרי נכסים-יתרות פתיחה'!$2:$3,2,0),0)</f>
        <v>2010</v>
      </c>
      <c r="BC547" s="1">
        <f>+IFERROR(HLOOKUP(BC10,'סקרי נכסים-יתרות פתיחה'!$2:$3,2,0),0)</f>
        <v>2010</v>
      </c>
      <c r="BD547" s="1">
        <f>+IFERROR(HLOOKUP(BD10,'סקרי נכסים-יתרות פתיחה'!$2:$3,2,0),0)</f>
        <v>0</v>
      </c>
      <c r="BE547" s="1">
        <f>+IFERROR(HLOOKUP(BE10,'סקרי נכסים-יתרות פתיחה'!$2:$3,2,0),0)</f>
        <v>0</v>
      </c>
      <c r="BF547" s="1">
        <f>+IFERROR(HLOOKUP(BF10,'סקרי נכסים-יתרות פתיחה'!$2:$3,2,0),0)</f>
        <v>0</v>
      </c>
    </row>
    <row r="548" spans="3:58" x14ac:dyDescent="0.2">
      <c r="C548" s="1">
        <f>+IFERROR(HLOOKUP(C11,'סקרי נכסים-יתרות פתיחה'!$2:$3,2,0),0)</f>
        <v>0</v>
      </c>
      <c r="D548" s="1">
        <f>+IFERROR(HLOOKUP(D11,'סקרי נכסים-יתרות פתיחה'!$2:$3,2,0),0)</f>
        <v>2015</v>
      </c>
      <c r="E548" s="1">
        <f>+IFERROR(HLOOKUP(E11,'סקרי נכסים-יתרות פתיחה'!$2:$3,2,0),0)</f>
        <v>0</v>
      </c>
      <c r="F548" s="1">
        <f>+IFERROR(HLOOKUP(F11,'סקרי נכסים-יתרות פתיחה'!$2:$3,2,0),0)</f>
        <v>0</v>
      </c>
      <c r="G548" s="1">
        <f>+IFERROR(HLOOKUP(G11,'סקרי נכסים-יתרות פתיחה'!$2:$3,2,0),0)</f>
        <v>0</v>
      </c>
      <c r="H548" s="1">
        <f>+IFERROR(HLOOKUP(H11,'סקרי נכסים-יתרות פתיחה'!$2:$3,2,0),0)</f>
        <v>0</v>
      </c>
      <c r="I548" s="1">
        <f>+IFERROR(HLOOKUP(I11,'סקרי נכסים-יתרות פתיחה'!$2:$3,2,0),0)</f>
        <v>0</v>
      </c>
      <c r="J548" s="1">
        <f>+IFERROR(HLOOKUP(J11,'סקרי נכסים-יתרות פתיחה'!$2:$3,2,0),0)</f>
        <v>0</v>
      </c>
      <c r="K548" s="1">
        <f>+IFERROR(HLOOKUP(K11,'סקרי נכסים-יתרות פתיחה'!$2:$3,2,0),0)</f>
        <v>0</v>
      </c>
      <c r="L548" s="1">
        <f>+IFERROR(HLOOKUP(L11,'סקרי נכסים-יתרות פתיחה'!$2:$3,2,0),0)</f>
        <v>2010</v>
      </c>
      <c r="M548" s="1">
        <f>+IFERROR(HLOOKUP(M11,'סקרי נכסים-יתרות פתיחה'!$2:$3,2,0),0)</f>
        <v>0</v>
      </c>
      <c r="N548" s="1">
        <f>+IFERROR(HLOOKUP(N11,'סקרי נכסים-יתרות פתיחה'!$2:$3,2,0),0)</f>
        <v>0</v>
      </c>
      <c r="O548" s="1">
        <f>+IFERROR(HLOOKUP(O11,'סקרי נכסים-יתרות פתיחה'!$2:$3,2,0),0)</f>
        <v>2013</v>
      </c>
      <c r="P548" s="1">
        <f>+IFERROR(HLOOKUP(P11,'סקרי נכסים-יתרות פתיחה'!$2:$3,2,0),0)</f>
        <v>2009</v>
      </c>
      <c r="Q548" s="1">
        <f>+IFERROR(HLOOKUP(Q11,'סקרי נכסים-יתרות פתיחה'!$2:$3,2,0),0)</f>
        <v>0</v>
      </c>
      <c r="R548" s="1">
        <f>+IFERROR(HLOOKUP(R11,'סקרי נכסים-יתרות פתיחה'!$2:$3,2,0),0)</f>
        <v>0</v>
      </c>
      <c r="S548" s="1">
        <f>+IFERROR(HLOOKUP(S11,'סקרי נכסים-יתרות פתיחה'!$2:$3,2,0),0)</f>
        <v>0</v>
      </c>
      <c r="T548" s="1">
        <f>+IFERROR(HLOOKUP(T11,'סקרי נכסים-יתרות פתיחה'!$2:$3,2,0),0)</f>
        <v>2015</v>
      </c>
      <c r="U548" s="1">
        <f>+IFERROR(HLOOKUP(U11,'סקרי נכסים-יתרות פתיחה'!$2:$3,2,0),0)</f>
        <v>0</v>
      </c>
      <c r="V548" s="1">
        <f>+IFERROR(HLOOKUP(V11,'סקרי נכסים-יתרות פתיחה'!$2:$3,2,0),0)</f>
        <v>2009</v>
      </c>
      <c r="W548" s="1">
        <f>+IFERROR(HLOOKUP(W11,'סקרי נכסים-יתרות פתיחה'!$2:$3,2,0),0)</f>
        <v>2011</v>
      </c>
      <c r="X548" s="1">
        <f>+IFERROR(HLOOKUP(X11,'סקרי נכסים-יתרות פתיחה'!$2:$3,2,0),0)</f>
        <v>2009</v>
      </c>
      <c r="Y548" s="1">
        <f>+IFERROR(HLOOKUP(Y11,'סקרי נכסים-יתרות פתיחה'!$2:$3,2,0),0)</f>
        <v>2009</v>
      </c>
      <c r="Z548" s="1">
        <f>+IFERROR(HLOOKUP(Z11,'סקרי נכסים-יתרות פתיחה'!$2:$3,2,0),0)</f>
        <v>0</v>
      </c>
      <c r="AA548" s="1">
        <f>+IFERROR(HLOOKUP(AA11,'סקרי נכסים-יתרות פתיחה'!$2:$3,2,0),0)</f>
        <v>0</v>
      </c>
      <c r="AB548" s="1">
        <f>+IFERROR(HLOOKUP(AB11,'סקרי נכסים-יתרות פתיחה'!$2:$3,2,0),0)</f>
        <v>0</v>
      </c>
      <c r="AC548" s="1">
        <f>+IFERROR(HLOOKUP(AC11,'סקרי נכסים-יתרות פתיחה'!$2:$3,2,0),0)</f>
        <v>0</v>
      </c>
      <c r="AD548" s="1">
        <f>+IFERROR(HLOOKUP(AD11,'סקרי נכסים-יתרות פתיחה'!$2:$3,2,0),0)</f>
        <v>0</v>
      </c>
      <c r="AE548" s="1">
        <f>+IFERROR(HLOOKUP(AE11,'סקרי נכסים-יתרות פתיחה'!$2:$3,2,0),0)</f>
        <v>0</v>
      </c>
      <c r="AF548" s="1">
        <f>+IFERROR(HLOOKUP(AF11,'סקרי נכסים-יתרות פתיחה'!$2:$3,2,0),0)</f>
        <v>0</v>
      </c>
      <c r="AG548" s="1">
        <f>+IFERROR(HLOOKUP(AG11,'סקרי נכסים-יתרות פתיחה'!$2:$3,2,0),0)</f>
        <v>0</v>
      </c>
      <c r="AH548" s="1">
        <f>+IFERROR(HLOOKUP(AH11,'סקרי נכסים-יתרות פתיחה'!$2:$3,2,0),0)</f>
        <v>0</v>
      </c>
      <c r="AI548" s="1">
        <f>+IFERROR(HLOOKUP(AI11,'סקרי נכסים-יתרות פתיחה'!$2:$3,2,0),0)</f>
        <v>0</v>
      </c>
      <c r="AJ548" s="1">
        <f>+IFERROR(HLOOKUP(AJ11,'סקרי נכסים-יתרות פתיחה'!$2:$3,2,0),0)</f>
        <v>0</v>
      </c>
      <c r="AK548" s="1">
        <f>+IFERROR(HLOOKUP(AK11,'סקרי נכסים-יתרות פתיחה'!$2:$3,2,0),0)</f>
        <v>0</v>
      </c>
      <c r="AL548" s="1">
        <f>+IFERROR(HLOOKUP(AL11,'סקרי נכסים-יתרות פתיחה'!$2:$3,2,0),0)</f>
        <v>0</v>
      </c>
      <c r="AM548" s="1">
        <f>+IFERROR(HLOOKUP(AM11,'סקרי נכסים-יתרות פתיחה'!$2:$3,2,0),0)</f>
        <v>2010</v>
      </c>
      <c r="AN548" s="1">
        <f>+IFERROR(HLOOKUP(AN11,'סקרי נכסים-יתרות פתיחה'!$2:$3,2,0),0)</f>
        <v>2011</v>
      </c>
      <c r="AO548" s="1">
        <f>+IFERROR(HLOOKUP(AO11,'סקרי נכסים-יתרות פתיחה'!$2:$3,2,0),0)</f>
        <v>0</v>
      </c>
      <c r="AP548" s="1">
        <f>+IFERROR(HLOOKUP(AP11,'סקרי נכסים-יתרות פתיחה'!$2:$3,2,0),0)</f>
        <v>0</v>
      </c>
      <c r="AQ548" s="1">
        <f>+IFERROR(HLOOKUP(AQ11,'סקרי נכסים-יתרות פתיחה'!$2:$3,2,0),0)</f>
        <v>0</v>
      </c>
      <c r="AR548" s="1">
        <f>+IFERROR(HLOOKUP(AR11,'סקרי נכסים-יתרות פתיחה'!$2:$3,2,0),0)</f>
        <v>0</v>
      </c>
      <c r="AS548" s="1">
        <f>+IFERROR(HLOOKUP(AS11,'סקרי נכסים-יתרות פתיחה'!$2:$3,2,0),0)</f>
        <v>2009</v>
      </c>
      <c r="AT548" s="1">
        <f>+IFERROR(HLOOKUP(AT11,'סקרי נכסים-יתרות פתיחה'!$2:$3,2,0),0)</f>
        <v>0</v>
      </c>
      <c r="AU548" s="1">
        <f>+IFERROR(HLOOKUP(AU11,'סקרי נכסים-יתרות פתיחה'!$2:$3,2,0),0)</f>
        <v>0</v>
      </c>
      <c r="AV548" s="1">
        <f>+IFERROR(HLOOKUP(AV11,'סקרי נכסים-יתרות פתיחה'!$2:$3,2,0),0)</f>
        <v>0</v>
      </c>
      <c r="AW548" s="1">
        <f>+IFERROR(HLOOKUP(AW11,'סקרי נכסים-יתרות פתיחה'!$2:$3,2,0),0)</f>
        <v>0</v>
      </c>
      <c r="AX548" s="1">
        <f>+IFERROR(HLOOKUP(AX11,'סקרי נכסים-יתרות פתיחה'!$2:$3,2,0),0)</f>
        <v>2011</v>
      </c>
      <c r="AY548" s="1">
        <f>+IFERROR(HLOOKUP(AY11,'סקרי נכסים-יתרות פתיחה'!$2:$3,2,0),0)</f>
        <v>0</v>
      </c>
      <c r="AZ548" s="1">
        <f>+IFERROR(HLOOKUP(AZ11,'סקרי נכסים-יתרות פתיחה'!$2:$3,2,0),0)</f>
        <v>2016</v>
      </c>
      <c r="BA548" s="1">
        <f>+IFERROR(HLOOKUP(BA11,'סקרי נכסים-יתרות פתיחה'!$2:$3,2,0),0)</f>
        <v>2010</v>
      </c>
      <c r="BB548" s="1">
        <f>+IFERROR(HLOOKUP(BB11,'סקרי נכסים-יתרות פתיחה'!$2:$3,2,0),0)</f>
        <v>2010</v>
      </c>
      <c r="BC548" s="1">
        <f>+IFERROR(HLOOKUP(BC11,'סקרי נכסים-יתרות פתיחה'!$2:$3,2,0),0)</f>
        <v>2010</v>
      </c>
      <c r="BD548" s="1">
        <f>+IFERROR(HLOOKUP(BD11,'סקרי נכסים-יתרות פתיחה'!$2:$3,2,0),0)</f>
        <v>0</v>
      </c>
      <c r="BE548" s="1">
        <f>+IFERROR(HLOOKUP(BE11,'סקרי נכסים-יתרות פתיחה'!$2:$3,2,0),0)</f>
        <v>0</v>
      </c>
      <c r="BF548" s="1">
        <f>+IFERROR(HLOOKUP(BF11,'סקרי נכסים-יתרות פתיחה'!$2:$3,2,0),0)</f>
        <v>0</v>
      </c>
    </row>
    <row r="549" spans="3:58" x14ac:dyDescent="0.2">
      <c r="C549" s="1">
        <f>+IFERROR(HLOOKUP(C12,'סקרי נכסים-יתרות פתיחה'!$2:$3,2,0),0)</f>
        <v>0</v>
      </c>
      <c r="D549" s="1">
        <f>+IFERROR(HLOOKUP(D12,'סקרי נכסים-יתרות פתיחה'!$2:$3,2,0),0)</f>
        <v>2015</v>
      </c>
      <c r="E549" s="1">
        <f>+IFERROR(HLOOKUP(E12,'סקרי נכסים-יתרות פתיחה'!$2:$3,2,0),0)</f>
        <v>0</v>
      </c>
      <c r="F549" s="1">
        <f>+IFERROR(HLOOKUP(F12,'סקרי נכסים-יתרות פתיחה'!$2:$3,2,0),0)</f>
        <v>0</v>
      </c>
      <c r="G549" s="1">
        <f>+IFERROR(HLOOKUP(G12,'סקרי נכסים-יתרות פתיחה'!$2:$3,2,0),0)</f>
        <v>0</v>
      </c>
      <c r="H549" s="1">
        <f>+IFERROR(HLOOKUP(H12,'סקרי נכסים-יתרות פתיחה'!$2:$3,2,0),0)</f>
        <v>0</v>
      </c>
      <c r="I549" s="1">
        <f>+IFERROR(HLOOKUP(I12,'סקרי נכסים-יתרות פתיחה'!$2:$3,2,0),0)</f>
        <v>0</v>
      </c>
      <c r="J549" s="1">
        <f>+IFERROR(HLOOKUP(J12,'סקרי נכסים-יתרות פתיחה'!$2:$3,2,0),0)</f>
        <v>0</v>
      </c>
      <c r="K549" s="1">
        <f>+IFERROR(HLOOKUP(K12,'סקרי נכסים-יתרות פתיחה'!$2:$3,2,0),0)</f>
        <v>0</v>
      </c>
      <c r="L549" s="1">
        <f>+IFERROR(HLOOKUP(L12,'סקרי נכסים-יתרות פתיחה'!$2:$3,2,0),0)</f>
        <v>0</v>
      </c>
      <c r="M549" s="1">
        <f>+IFERROR(HLOOKUP(M12,'סקרי נכסים-יתרות פתיחה'!$2:$3,2,0),0)</f>
        <v>0</v>
      </c>
      <c r="N549" s="1">
        <f>+IFERROR(HLOOKUP(N12,'סקרי נכסים-יתרות פתיחה'!$2:$3,2,0),0)</f>
        <v>0</v>
      </c>
      <c r="O549" s="1">
        <f>+IFERROR(HLOOKUP(O12,'סקרי נכסים-יתרות פתיחה'!$2:$3,2,0),0)</f>
        <v>0</v>
      </c>
      <c r="P549" s="1">
        <f>+IFERROR(HLOOKUP(P12,'סקרי נכסים-יתרות פתיחה'!$2:$3,2,0),0)</f>
        <v>2009</v>
      </c>
      <c r="Q549" s="1">
        <f>+IFERROR(HLOOKUP(Q12,'סקרי נכסים-יתרות פתיחה'!$2:$3,2,0),0)</f>
        <v>0</v>
      </c>
      <c r="R549" s="1">
        <f>+IFERROR(HLOOKUP(R12,'סקרי נכסים-יתרות פתיחה'!$2:$3,2,0),0)</f>
        <v>0</v>
      </c>
      <c r="S549" s="1">
        <f>+IFERROR(HLOOKUP(S12,'סקרי נכסים-יתרות פתיחה'!$2:$3,2,0),0)</f>
        <v>0</v>
      </c>
      <c r="T549" s="1">
        <f>+IFERROR(HLOOKUP(T12,'סקרי נכסים-יתרות פתיחה'!$2:$3,2,0),0)</f>
        <v>0</v>
      </c>
      <c r="U549" s="1">
        <f>+IFERROR(HLOOKUP(U12,'סקרי נכסים-יתרות פתיחה'!$2:$3,2,0),0)</f>
        <v>0</v>
      </c>
      <c r="V549" s="1">
        <f>+IFERROR(HLOOKUP(V12,'סקרי נכסים-יתרות פתיחה'!$2:$3,2,0),0)</f>
        <v>2010</v>
      </c>
      <c r="W549" s="1">
        <f>+IFERROR(HLOOKUP(W12,'סקרי נכסים-יתרות פתיחה'!$2:$3,2,0),0)</f>
        <v>2009</v>
      </c>
      <c r="X549" s="1">
        <f>+IFERROR(HLOOKUP(X12,'סקרי נכסים-יתרות פתיחה'!$2:$3,2,0),0)</f>
        <v>2009</v>
      </c>
      <c r="Y549" s="1">
        <f>+IFERROR(HLOOKUP(Y12,'סקרי נכסים-יתרות פתיחה'!$2:$3,2,0),0)</f>
        <v>0</v>
      </c>
      <c r="Z549" s="1">
        <f>+IFERROR(HLOOKUP(Z12,'סקרי נכסים-יתרות פתיחה'!$2:$3,2,0),0)</f>
        <v>0</v>
      </c>
      <c r="AA549" s="1">
        <f>+IFERROR(HLOOKUP(AA12,'סקרי נכסים-יתרות פתיחה'!$2:$3,2,0),0)</f>
        <v>0</v>
      </c>
      <c r="AB549" s="1">
        <f>+IFERROR(HLOOKUP(AB12,'סקרי נכסים-יתרות פתיחה'!$2:$3,2,0),0)</f>
        <v>0</v>
      </c>
      <c r="AC549" s="1">
        <f>+IFERROR(HLOOKUP(AC12,'סקרי נכסים-יתרות פתיחה'!$2:$3,2,0),0)</f>
        <v>0</v>
      </c>
      <c r="AD549" s="1">
        <f>+IFERROR(HLOOKUP(AD12,'סקרי נכסים-יתרות פתיחה'!$2:$3,2,0),0)</f>
        <v>0</v>
      </c>
      <c r="AE549" s="1">
        <f>+IFERROR(HLOOKUP(AE12,'סקרי נכסים-יתרות פתיחה'!$2:$3,2,0),0)</f>
        <v>0</v>
      </c>
      <c r="AF549" s="1">
        <f>+IFERROR(HLOOKUP(AF12,'סקרי נכסים-יתרות פתיחה'!$2:$3,2,0),0)</f>
        <v>0</v>
      </c>
      <c r="AG549" s="1">
        <f>+IFERROR(HLOOKUP(AG12,'סקרי נכסים-יתרות פתיחה'!$2:$3,2,0),0)</f>
        <v>0</v>
      </c>
      <c r="AH549" s="1">
        <f>+IFERROR(HLOOKUP(AH12,'סקרי נכסים-יתרות פתיחה'!$2:$3,2,0),0)</f>
        <v>0</v>
      </c>
      <c r="AI549" s="1">
        <f>+IFERROR(HLOOKUP(AI12,'סקרי נכסים-יתרות פתיחה'!$2:$3,2,0),0)</f>
        <v>0</v>
      </c>
      <c r="AJ549" s="1">
        <f>+IFERROR(HLOOKUP(AJ12,'סקרי נכסים-יתרות פתיחה'!$2:$3,2,0),0)</f>
        <v>0</v>
      </c>
      <c r="AK549" s="1">
        <f>+IFERROR(HLOOKUP(AK12,'סקרי נכסים-יתרות פתיחה'!$2:$3,2,0),0)</f>
        <v>0</v>
      </c>
      <c r="AL549" s="1">
        <f>+IFERROR(HLOOKUP(AL12,'סקרי נכסים-יתרות פתיחה'!$2:$3,2,0),0)</f>
        <v>0</v>
      </c>
      <c r="AM549" s="1">
        <f>+IFERROR(HLOOKUP(AM12,'סקרי נכסים-יתרות פתיחה'!$2:$3,2,0),0)</f>
        <v>2010</v>
      </c>
      <c r="AN549" s="1">
        <f>+IFERROR(HLOOKUP(AN12,'סקרי נכסים-יתרות פתיחה'!$2:$3,2,0),0)</f>
        <v>2011</v>
      </c>
      <c r="AO549" s="1">
        <f>+IFERROR(HLOOKUP(AO12,'סקרי נכסים-יתרות פתיחה'!$2:$3,2,0),0)</f>
        <v>0</v>
      </c>
      <c r="AP549" s="1">
        <f>+IFERROR(HLOOKUP(AP12,'סקרי נכסים-יתרות פתיחה'!$2:$3,2,0),0)</f>
        <v>0</v>
      </c>
      <c r="AQ549" s="1">
        <f>+IFERROR(HLOOKUP(AQ12,'סקרי נכסים-יתרות פתיחה'!$2:$3,2,0),0)</f>
        <v>0</v>
      </c>
      <c r="AR549" s="1">
        <f>+IFERROR(HLOOKUP(AR12,'סקרי נכסים-יתרות פתיחה'!$2:$3,2,0),0)</f>
        <v>0</v>
      </c>
      <c r="AS549" s="1">
        <f>+IFERROR(HLOOKUP(AS12,'סקרי נכסים-יתרות פתיחה'!$2:$3,2,0),0)</f>
        <v>2009</v>
      </c>
      <c r="AT549" s="1">
        <f>+IFERROR(HLOOKUP(AT12,'סקרי נכסים-יתרות פתיחה'!$2:$3,2,0),0)</f>
        <v>0</v>
      </c>
      <c r="AU549" s="1">
        <f>+IFERROR(HLOOKUP(AU12,'סקרי נכסים-יתרות פתיחה'!$2:$3,2,0),0)</f>
        <v>0</v>
      </c>
      <c r="AV549" s="1">
        <f>+IFERROR(HLOOKUP(AV12,'סקרי נכסים-יתרות פתיחה'!$2:$3,2,0),0)</f>
        <v>0</v>
      </c>
      <c r="AW549" s="1">
        <f>+IFERROR(HLOOKUP(AW12,'סקרי נכסים-יתרות פתיחה'!$2:$3,2,0),0)</f>
        <v>0</v>
      </c>
      <c r="AX549" s="1">
        <f>+IFERROR(HLOOKUP(AX12,'סקרי נכסים-יתרות פתיחה'!$2:$3,2,0),0)</f>
        <v>0</v>
      </c>
      <c r="AY549" s="1">
        <f>+IFERROR(HLOOKUP(AY12,'סקרי נכסים-יתרות פתיחה'!$2:$3,2,0),0)</f>
        <v>0</v>
      </c>
      <c r="AZ549" s="1">
        <f>+IFERROR(HLOOKUP(AZ12,'סקרי נכסים-יתרות פתיחה'!$2:$3,2,0),0)</f>
        <v>0</v>
      </c>
      <c r="BA549" s="1">
        <f>+IFERROR(HLOOKUP(BA12,'סקרי נכסים-יתרות פתיחה'!$2:$3,2,0),0)</f>
        <v>0</v>
      </c>
      <c r="BB549" s="1">
        <f>+IFERROR(HLOOKUP(BB12,'סקרי נכסים-יתרות פתיחה'!$2:$3,2,0),0)</f>
        <v>2010</v>
      </c>
      <c r="BC549" s="1">
        <f>+IFERROR(HLOOKUP(BC12,'סקרי נכסים-יתרות פתיחה'!$2:$3,2,0),0)</f>
        <v>2010</v>
      </c>
      <c r="BD549" s="1">
        <f>+IFERROR(HLOOKUP(BD12,'סקרי נכסים-יתרות פתיחה'!$2:$3,2,0),0)</f>
        <v>0</v>
      </c>
      <c r="BE549" s="1">
        <f>+IFERROR(HLOOKUP(BE12,'סקרי נכסים-יתרות פתיחה'!$2:$3,2,0),0)</f>
        <v>0</v>
      </c>
      <c r="BF549" s="1">
        <f>+IFERROR(HLOOKUP(BF12,'סקרי נכסים-יתרות פתיחה'!$2:$3,2,0),0)</f>
        <v>0</v>
      </c>
    </row>
    <row r="550" spans="3:58" x14ac:dyDescent="0.2">
      <c r="C550" s="1">
        <f>+IFERROR(HLOOKUP(C13,'סקרי נכסים-יתרות פתיחה'!$2:$3,2,0),0)</f>
        <v>0</v>
      </c>
      <c r="D550" s="1">
        <f>+IFERROR(HLOOKUP(D13,'סקרי נכסים-יתרות פתיחה'!$2:$3,2,0),0)</f>
        <v>2015</v>
      </c>
      <c r="E550" s="1">
        <f>+IFERROR(HLOOKUP(E13,'סקרי נכסים-יתרות פתיחה'!$2:$3,2,0),0)</f>
        <v>0</v>
      </c>
      <c r="F550" s="1">
        <f>+IFERROR(HLOOKUP(F13,'סקרי נכסים-יתרות פתיחה'!$2:$3,2,0),0)</f>
        <v>0</v>
      </c>
      <c r="G550" s="1">
        <f>+IFERROR(HLOOKUP(G13,'סקרי נכסים-יתרות פתיחה'!$2:$3,2,0),0)</f>
        <v>0</v>
      </c>
      <c r="H550" s="1">
        <f>+IFERROR(HLOOKUP(H13,'סקרי נכסים-יתרות פתיחה'!$2:$3,2,0),0)</f>
        <v>0</v>
      </c>
      <c r="I550" s="1">
        <f>+IFERROR(HLOOKUP(I13,'סקרי נכסים-יתרות פתיחה'!$2:$3,2,0),0)</f>
        <v>0</v>
      </c>
      <c r="J550" s="1">
        <f>+IFERROR(HLOOKUP(J13,'סקרי נכסים-יתרות פתיחה'!$2:$3,2,0),0)</f>
        <v>0</v>
      </c>
      <c r="K550" s="1">
        <f>+IFERROR(HLOOKUP(K13,'סקרי נכסים-יתרות פתיחה'!$2:$3,2,0),0)</f>
        <v>0</v>
      </c>
      <c r="L550" s="1">
        <f>+IFERROR(HLOOKUP(L13,'סקרי נכסים-יתרות פתיחה'!$2:$3,2,0),0)</f>
        <v>0</v>
      </c>
      <c r="M550" s="1">
        <f>+IFERROR(HLOOKUP(M13,'סקרי נכסים-יתרות פתיחה'!$2:$3,2,0),0)</f>
        <v>0</v>
      </c>
      <c r="N550" s="1">
        <f>+IFERROR(HLOOKUP(N13,'סקרי נכסים-יתרות פתיחה'!$2:$3,2,0),0)</f>
        <v>0</v>
      </c>
      <c r="O550" s="1">
        <f>+IFERROR(HLOOKUP(O13,'סקרי נכסים-יתרות פתיחה'!$2:$3,2,0),0)</f>
        <v>0</v>
      </c>
      <c r="P550" s="1">
        <f>+IFERROR(HLOOKUP(P13,'סקרי נכסים-יתרות פתיחה'!$2:$3,2,0),0)</f>
        <v>2011</v>
      </c>
      <c r="Q550" s="1">
        <f>+IFERROR(HLOOKUP(Q13,'סקרי נכסים-יתרות פתיחה'!$2:$3,2,0),0)</f>
        <v>0</v>
      </c>
      <c r="R550" s="1">
        <f>+IFERROR(HLOOKUP(R13,'סקרי נכסים-יתרות פתיחה'!$2:$3,2,0),0)</f>
        <v>0</v>
      </c>
      <c r="S550" s="1">
        <f>+IFERROR(HLOOKUP(S13,'סקרי נכסים-יתרות פתיחה'!$2:$3,2,0),0)</f>
        <v>0</v>
      </c>
      <c r="T550" s="1">
        <f>+IFERROR(HLOOKUP(T13,'סקרי נכסים-יתרות פתיחה'!$2:$3,2,0),0)</f>
        <v>0</v>
      </c>
      <c r="U550" s="1">
        <f>+IFERROR(HLOOKUP(U13,'סקרי נכסים-יתרות פתיחה'!$2:$3,2,0),0)</f>
        <v>0</v>
      </c>
      <c r="V550" s="1">
        <f>+IFERROR(HLOOKUP(V13,'סקרי נכסים-יתרות פתיחה'!$2:$3,2,0),0)</f>
        <v>2009</v>
      </c>
      <c r="W550" s="1">
        <f>+IFERROR(HLOOKUP(W13,'סקרי נכסים-יתרות פתיחה'!$2:$3,2,0),0)</f>
        <v>2012</v>
      </c>
      <c r="X550" s="1">
        <f>+IFERROR(HLOOKUP(X13,'סקרי נכסים-יתרות פתיחה'!$2:$3,2,0),0)</f>
        <v>0</v>
      </c>
      <c r="Y550" s="1">
        <f>+IFERROR(HLOOKUP(Y13,'סקרי נכסים-יתרות פתיחה'!$2:$3,2,0),0)</f>
        <v>0</v>
      </c>
      <c r="Z550" s="1">
        <f>+IFERROR(HLOOKUP(Z13,'סקרי נכסים-יתרות פתיחה'!$2:$3,2,0),0)</f>
        <v>0</v>
      </c>
      <c r="AA550" s="1">
        <f>+IFERROR(HLOOKUP(AA13,'סקרי נכסים-יתרות פתיחה'!$2:$3,2,0),0)</f>
        <v>0</v>
      </c>
      <c r="AB550" s="1">
        <f>+IFERROR(HLOOKUP(AB13,'סקרי נכסים-יתרות פתיחה'!$2:$3,2,0),0)</f>
        <v>0</v>
      </c>
      <c r="AC550" s="1">
        <f>+IFERROR(HLOOKUP(AC13,'סקרי נכסים-יתרות פתיחה'!$2:$3,2,0),0)</f>
        <v>0</v>
      </c>
      <c r="AD550" s="1">
        <f>+IFERROR(HLOOKUP(AD13,'סקרי נכסים-יתרות פתיחה'!$2:$3,2,0),0)</f>
        <v>0</v>
      </c>
      <c r="AE550" s="1">
        <f>+IFERROR(HLOOKUP(AE13,'סקרי נכסים-יתרות פתיחה'!$2:$3,2,0),0)</f>
        <v>0</v>
      </c>
      <c r="AF550" s="1">
        <f>+IFERROR(HLOOKUP(AF13,'סקרי נכסים-יתרות פתיחה'!$2:$3,2,0),0)</f>
        <v>0</v>
      </c>
      <c r="AG550" s="1">
        <f>+IFERROR(HLOOKUP(AG13,'סקרי נכסים-יתרות פתיחה'!$2:$3,2,0),0)</f>
        <v>0</v>
      </c>
      <c r="AH550" s="1">
        <f>+IFERROR(HLOOKUP(AH13,'סקרי נכסים-יתרות פתיחה'!$2:$3,2,0),0)</f>
        <v>0</v>
      </c>
      <c r="AI550" s="1">
        <f>+IFERROR(HLOOKUP(AI13,'סקרי נכסים-יתרות פתיחה'!$2:$3,2,0),0)</f>
        <v>0</v>
      </c>
      <c r="AJ550" s="1">
        <f>+IFERROR(HLOOKUP(AJ13,'סקרי נכסים-יתרות פתיחה'!$2:$3,2,0),0)</f>
        <v>0</v>
      </c>
      <c r="AK550" s="1">
        <f>+IFERROR(HLOOKUP(AK13,'סקרי נכסים-יתרות פתיחה'!$2:$3,2,0),0)</f>
        <v>0</v>
      </c>
      <c r="AL550" s="1">
        <f>+IFERROR(HLOOKUP(AL13,'סקרי נכסים-יתרות פתיחה'!$2:$3,2,0),0)</f>
        <v>0</v>
      </c>
      <c r="AM550" s="1">
        <f>+IFERROR(HLOOKUP(AM13,'סקרי נכסים-יתרות פתיחה'!$2:$3,2,0),0)</f>
        <v>0</v>
      </c>
      <c r="AN550" s="1">
        <f>+IFERROR(HLOOKUP(AN13,'סקרי נכסים-יתרות פתיחה'!$2:$3,2,0),0)</f>
        <v>2012</v>
      </c>
      <c r="AO550" s="1">
        <f>+IFERROR(HLOOKUP(AO13,'סקרי נכסים-יתרות פתיחה'!$2:$3,2,0),0)</f>
        <v>0</v>
      </c>
      <c r="AP550" s="1">
        <f>+IFERROR(HLOOKUP(AP13,'סקרי נכסים-יתרות פתיחה'!$2:$3,2,0),0)</f>
        <v>0</v>
      </c>
      <c r="AQ550" s="1">
        <f>+IFERROR(HLOOKUP(AQ13,'סקרי נכסים-יתרות פתיחה'!$2:$3,2,0),0)</f>
        <v>0</v>
      </c>
      <c r="AR550" s="1">
        <f>+IFERROR(HLOOKUP(AR13,'סקרי נכסים-יתרות פתיחה'!$2:$3,2,0),0)</f>
        <v>0</v>
      </c>
      <c r="AS550" s="1">
        <f>+IFERROR(HLOOKUP(AS13,'סקרי נכסים-יתרות פתיחה'!$2:$3,2,0),0)</f>
        <v>2009</v>
      </c>
      <c r="AT550" s="1">
        <f>+IFERROR(HLOOKUP(AT13,'סקרי נכסים-יתרות פתיחה'!$2:$3,2,0),0)</f>
        <v>0</v>
      </c>
      <c r="AU550" s="1">
        <f>+IFERROR(HLOOKUP(AU13,'סקרי נכסים-יתרות פתיחה'!$2:$3,2,0),0)</f>
        <v>0</v>
      </c>
      <c r="AV550" s="1">
        <f>+IFERROR(HLOOKUP(AV13,'סקרי נכסים-יתרות פתיחה'!$2:$3,2,0),0)</f>
        <v>0</v>
      </c>
      <c r="AW550" s="1">
        <f>+IFERROR(HLOOKUP(AW13,'סקרי נכסים-יתרות פתיחה'!$2:$3,2,0),0)</f>
        <v>0</v>
      </c>
      <c r="AX550" s="1">
        <f>+IFERROR(HLOOKUP(AX13,'סקרי נכסים-יתרות פתיחה'!$2:$3,2,0),0)</f>
        <v>0</v>
      </c>
      <c r="AY550" s="1">
        <f>+IFERROR(HLOOKUP(AY13,'סקרי נכסים-יתרות פתיחה'!$2:$3,2,0),0)</f>
        <v>0</v>
      </c>
      <c r="AZ550" s="1">
        <f>+IFERROR(HLOOKUP(AZ13,'סקרי נכסים-יתרות פתיחה'!$2:$3,2,0),0)</f>
        <v>0</v>
      </c>
      <c r="BA550" s="1">
        <f>+IFERROR(HLOOKUP(BA13,'סקרי נכסים-יתרות פתיחה'!$2:$3,2,0),0)</f>
        <v>0</v>
      </c>
      <c r="BB550" s="1">
        <f>+IFERROR(HLOOKUP(BB13,'סקרי נכסים-יתרות פתיחה'!$2:$3,2,0),0)</f>
        <v>2010</v>
      </c>
      <c r="BC550" s="1">
        <f>+IFERROR(HLOOKUP(BC13,'סקרי נכסים-יתרות פתיחה'!$2:$3,2,0),0)</f>
        <v>2010</v>
      </c>
      <c r="BD550" s="1">
        <f>+IFERROR(HLOOKUP(BD13,'סקרי נכסים-יתרות פתיחה'!$2:$3,2,0),0)</f>
        <v>0</v>
      </c>
      <c r="BE550" s="1">
        <f>+IFERROR(HLOOKUP(BE13,'סקרי נכסים-יתרות פתיחה'!$2:$3,2,0),0)</f>
        <v>0</v>
      </c>
      <c r="BF550" s="1">
        <f>+IFERROR(HLOOKUP(BF13,'סקרי נכסים-יתרות פתיחה'!$2:$3,2,0),0)</f>
        <v>0</v>
      </c>
    </row>
    <row r="551" spans="3:58" x14ac:dyDescent="0.2">
      <c r="C551" s="1">
        <f>+IFERROR(HLOOKUP(C14,'סקרי נכסים-יתרות פתיחה'!$2:$3,2,0),0)</f>
        <v>0</v>
      </c>
      <c r="D551" s="1">
        <f>+IFERROR(HLOOKUP(D14,'סקרי נכסים-יתרות פתיחה'!$2:$3,2,0),0)</f>
        <v>2015</v>
      </c>
      <c r="E551" s="1">
        <f>+IFERROR(HLOOKUP(E14,'סקרי נכסים-יתרות פתיחה'!$2:$3,2,0),0)</f>
        <v>0</v>
      </c>
      <c r="F551" s="1">
        <f>+IFERROR(HLOOKUP(F14,'סקרי נכסים-יתרות פתיחה'!$2:$3,2,0),0)</f>
        <v>0</v>
      </c>
      <c r="G551" s="1">
        <f>+IFERROR(HLOOKUP(G14,'סקרי נכסים-יתרות פתיחה'!$2:$3,2,0),0)</f>
        <v>0</v>
      </c>
      <c r="H551" s="1">
        <f>+IFERROR(HLOOKUP(H14,'סקרי נכסים-יתרות פתיחה'!$2:$3,2,0),0)</f>
        <v>0</v>
      </c>
      <c r="I551" s="1">
        <f>+IFERROR(HLOOKUP(I14,'סקרי נכסים-יתרות פתיחה'!$2:$3,2,0),0)</f>
        <v>0</v>
      </c>
      <c r="J551" s="1">
        <f>+IFERROR(HLOOKUP(J14,'סקרי נכסים-יתרות פתיחה'!$2:$3,2,0),0)</f>
        <v>0</v>
      </c>
      <c r="K551" s="1">
        <f>+IFERROR(HLOOKUP(K14,'סקרי נכסים-יתרות פתיחה'!$2:$3,2,0),0)</f>
        <v>0</v>
      </c>
      <c r="L551" s="1">
        <f>+IFERROR(HLOOKUP(L14,'סקרי נכסים-יתרות פתיחה'!$2:$3,2,0),0)</f>
        <v>0</v>
      </c>
      <c r="M551" s="1">
        <f>+IFERROR(HLOOKUP(M14,'סקרי נכסים-יתרות פתיחה'!$2:$3,2,0),0)</f>
        <v>0</v>
      </c>
      <c r="N551" s="1">
        <f>+IFERROR(HLOOKUP(N14,'סקרי נכסים-יתרות פתיחה'!$2:$3,2,0),0)</f>
        <v>0</v>
      </c>
      <c r="O551" s="1">
        <f>+IFERROR(HLOOKUP(O14,'סקרי נכסים-יתרות פתיחה'!$2:$3,2,0),0)</f>
        <v>0</v>
      </c>
      <c r="P551" s="1">
        <f>+IFERROR(HLOOKUP(P14,'סקרי נכסים-יתרות פתיחה'!$2:$3,2,0),0)</f>
        <v>2011</v>
      </c>
      <c r="Q551" s="1">
        <f>+IFERROR(HLOOKUP(Q14,'סקרי נכסים-יתרות פתיחה'!$2:$3,2,0),0)</f>
        <v>0</v>
      </c>
      <c r="R551" s="1">
        <f>+IFERROR(HLOOKUP(R14,'סקרי נכסים-יתרות פתיחה'!$2:$3,2,0),0)</f>
        <v>0</v>
      </c>
      <c r="S551" s="1">
        <f>+IFERROR(HLOOKUP(S14,'סקרי נכסים-יתרות פתיחה'!$2:$3,2,0),0)</f>
        <v>0</v>
      </c>
      <c r="T551" s="1">
        <f>+IFERROR(HLOOKUP(T14,'סקרי נכסים-יתרות פתיחה'!$2:$3,2,0),0)</f>
        <v>0</v>
      </c>
      <c r="U551" s="1">
        <f>+IFERROR(HLOOKUP(U14,'סקרי נכסים-יתרות פתיחה'!$2:$3,2,0),0)</f>
        <v>0</v>
      </c>
      <c r="V551" s="1">
        <f>+IFERROR(HLOOKUP(V14,'סקרי נכסים-יתרות פתיחה'!$2:$3,2,0),0)</f>
        <v>2009</v>
      </c>
      <c r="W551" s="1">
        <f>+IFERROR(HLOOKUP(W14,'סקרי נכסים-יתרות פתיחה'!$2:$3,2,0),0)</f>
        <v>2015</v>
      </c>
      <c r="X551" s="1">
        <f>+IFERROR(HLOOKUP(X14,'סקרי נכסים-יתרות פתיחה'!$2:$3,2,0),0)</f>
        <v>0</v>
      </c>
      <c r="Y551" s="1">
        <f>+IFERROR(HLOOKUP(Y14,'סקרי נכסים-יתרות פתיחה'!$2:$3,2,0),0)</f>
        <v>0</v>
      </c>
      <c r="Z551" s="1">
        <f>+IFERROR(HLOOKUP(Z14,'סקרי נכסים-יתרות פתיחה'!$2:$3,2,0),0)</f>
        <v>0</v>
      </c>
      <c r="AA551" s="1">
        <f>+IFERROR(HLOOKUP(AA14,'סקרי נכסים-יתרות פתיחה'!$2:$3,2,0),0)</f>
        <v>0</v>
      </c>
      <c r="AB551" s="1">
        <f>+IFERROR(HLOOKUP(AB14,'סקרי נכסים-יתרות פתיחה'!$2:$3,2,0),0)</f>
        <v>0</v>
      </c>
      <c r="AC551" s="1">
        <f>+IFERROR(HLOOKUP(AC14,'סקרי נכסים-יתרות פתיחה'!$2:$3,2,0),0)</f>
        <v>0</v>
      </c>
      <c r="AD551" s="1">
        <f>+IFERROR(HLOOKUP(AD14,'סקרי נכסים-יתרות פתיחה'!$2:$3,2,0),0)</f>
        <v>0</v>
      </c>
      <c r="AE551" s="1">
        <f>+IFERROR(HLOOKUP(AE14,'סקרי נכסים-יתרות פתיחה'!$2:$3,2,0),0)</f>
        <v>0</v>
      </c>
      <c r="AF551" s="1">
        <f>+IFERROR(HLOOKUP(AF14,'סקרי נכסים-יתרות פתיחה'!$2:$3,2,0),0)</f>
        <v>0</v>
      </c>
      <c r="AG551" s="1">
        <f>+IFERROR(HLOOKUP(AG14,'סקרי נכסים-יתרות פתיחה'!$2:$3,2,0),0)</f>
        <v>0</v>
      </c>
      <c r="AH551" s="1">
        <f>+IFERROR(HLOOKUP(AH14,'סקרי נכסים-יתרות פתיחה'!$2:$3,2,0),0)</f>
        <v>0</v>
      </c>
      <c r="AI551" s="1">
        <f>+IFERROR(HLOOKUP(AI14,'סקרי נכסים-יתרות פתיחה'!$2:$3,2,0),0)</f>
        <v>0</v>
      </c>
      <c r="AJ551" s="1">
        <f>+IFERROR(HLOOKUP(AJ14,'סקרי נכסים-יתרות פתיחה'!$2:$3,2,0),0)</f>
        <v>0</v>
      </c>
      <c r="AK551" s="1">
        <f>+IFERROR(HLOOKUP(AK14,'סקרי נכסים-יתרות פתיחה'!$2:$3,2,0),0)</f>
        <v>0</v>
      </c>
      <c r="AL551" s="1">
        <f>+IFERROR(HLOOKUP(AL14,'סקרי נכסים-יתרות פתיחה'!$2:$3,2,0),0)</f>
        <v>0</v>
      </c>
      <c r="AM551" s="1">
        <f>+IFERROR(HLOOKUP(AM14,'סקרי נכסים-יתרות פתיחה'!$2:$3,2,0),0)</f>
        <v>0</v>
      </c>
      <c r="AN551" s="1">
        <f>+IFERROR(HLOOKUP(AN14,'סקרי נכסים-יתרות פתיחה'!$2:$3,2,0),0)</f>
        <v>0</v>
      </c>
      <c r="AO551" s="1">
        <f>+IFERROR(HLOOKUP(AO14,'סקרי נכסים-יתרות פתיחה'!$2:$3,2,0),0)</f>
        <v>0</v>
      </c>
      <c r="AP551" s="1">
        <f>+IFERROR(HLOOKUP(AP14,'סקרי נכסים-יתרות פתיחה'!$2:$3,2,0),0)</f>
        <v>0</v>
      </c>
      <c r="AQ551" s="1">
        <f>+IFERROR(HLOOKUP(AQ14,'סקרי נכסים-יתרות פתיחה'!$2:$3,2,0),0)</f>
        <v>0</v>
      </c>
      <c r="AR551" s="1">
        <f>+IFERROR(HLOOKUP(AR14,'סקרי נכסים-יתרות פתיחה'!$2:$3,2,0),0)</f>
        <v>0</v>
      </c>
      <c r="AS551" s="1">
        <f>+IFERROR(HLOOKUP(AS14,'סקרי נכסים-יתרות פתיחה'!$2:$3,2,0),0)</f>
        <v>2009</v>
      </c>
      <c r="AT551" s="1">
        <f>+IFERROR(HLOOKUP(AT14,'סקרי נכסים-יתרות פתיחה'!$2:$3,2,0),0)</f>
        <v>0</v>
      </c>
      <c r="AU551" s="1">
        <f>+IFERROR(HLOOKUP(AU14,'סקרי נכסים-יתרות פתיחה'!$2:$3,2,0),0)</f>
        <v>0</v>
      </c>
      <c r="AV551" s="1">
        <f>+IFERROR(HLOOKUP(AV14,'סקרי נכסים-יתרות פתיחה'!$2:$3,2,0),0)</f>
        <v>0</v>
      </c>
      <c r="AW551" s="1">
        <f>+IFERROR(HLOOKUP(AW14,'סקרי נכסים-יתרות פתיחה'!$2:$3,2,0),0)</f>
        <v>0</v>
      </c>
      <c r="AX551" s="1">
        <f>+IFERROR(HLOOKUP(AX14,'סקרי נכסים-יתרות פתיחה'!$2:$3,2,0),0)</f>
        <v>0</v>
      </c>
      <c r="AY551" s="1">
        <f>+IFERROR(HLOOKUP(AY14,'סקרי נכסים-יתרות פתיחה'!$2:$3,2,0),0)</f>
        <v>0</v>
      </c>
      <c r="AZ551" s="1">
        <f>+IFERROR(HLOOKUP(AZ14,'סקרי נכסים-יתרות פתיחה'!$2:$3,2,0),0)</f>
        <v>0</v>
      </c>
      <c r="BA551" s="1">
        <f>+IFERROR(HLOOKUP(BA14,'סקרי נכסים-יתרות פתיחה'!$2:$3,2,0),0)</f>
        <v>0</v>
      </c>
      <c r="BB551" s="1">
        <f>+IFERROR(HLOOKUP(BB14,'סקרי נכסים-יתרות פתיחה'!$2:$3,2,0),0)</f>
        <v>2011</v>
      </c>
      <c r="BC551" s="1">
        <f>+IFERROR(HLOOKUP(BC14,'סקרי נכסים-יתרות פתיחה'!$2:$3,2,0),0)</f>
        <v>2010</v>
      </c>
      <c r="BD551" s="1">
        <f>+IFERROR(HLOOKUP(BD14,'סקרי נכסים-יתרות פתיחה'!$2:$3,2,0),0)</f>
        <v>0</v>
      </c>
      <c r="BE551" s="1">
        <f>+IFERROR(HLOOKUP(BE14,'סקרי נכסים-יתרות פתיחה'!$2:$3,2,0),0)</f>
        <v>0</v>
      </c>
      <c r="BF551" s="1">
        <f>+IFERROR(HLOOKUP(BF14,'סקרי נכסים-יתרות פתיחה'!$2:$3,2,0),0)</f>
        <v>0</v>
      </c>
    </row>
    <row r="552" spans="3:58" x14ac:dyDescent="0.2">
      <c r="C552" s="1">
        <f>+IFERROR(HLOOKUP(C15,'סקרי נכסים-יתרות פתיחה'!$2:$3,2,0),0)</f>
        <v>0</v>
      </c>
      <c r="D552" s="1">
        <f>+IFERROR(HLOOKUP(D15,'סקרי נכסים-יתרות פתיחה'!$2:$3,2,0),0)</f>
        <v>0</v>
      </c>
      <c r="E552" s="1">
        <f>+IFERROR(HLOOKUP(E15,'סקרי נכסים-יתרות פתיחה'!$2:$3,2,0),0)</f>
        <v>0</v>
      </c>
      <c r="F552" s="1">
        <f>+IFERROR(HLOOKUP(F15,'סקרי נכסים-יתרות פתיחה'!$2:$3,2,0),0)</f>
        <v>0</v>
      </c>
      <c r="G552" s="1">
        <f>+IFERROR(HLOOKUP(G15,'סקרי נכסים-יתרות פתיחה'!$2:$3,2,0),0)</f>
        <v>0</v>
      </c>
      <c r="H552" s="1">
        <f>+IFERROR(HLOOKUP(H15,'סקרי נכסים-יתרות פתיחה'!$2:$3,2,0),0)</f>
        <v>0</v>
      </c>
      <c r="I552" s="1">
        <f>+IFERROR(HLOOKUP(I15,'סקרי נכסים-יתרות פתיחה'!$2:$3,2,0),0)</f>
        <v>0</v>
      </c>
      <c r="J552" s="1">
        <f>+IFERROR(HLOOKUP(J15,'סקרי נכסים-יתרות פתיחה'!$2:$3,2,0),0)</f>
        <v>0</v>
      </c>
      <c r="K552" s="1">
        <f>+IFERROR(HLOOKUP(K15,'סקרי נכסים-יתרות פתיחה'!$2:$3,2,0),0)</f>
        <v>0</v>
      </c>
      <c r="L552" s="1">
        <f>+IFERROR(HLOOKUP(L15,'סקרי נכסים-יתרות פתיחה'!$2:$3,2,0),0)</f>
        <v>0</v>
      </c>
      <c r="M552" s="1">
        <f>+IFERROR(HLOOKUP(M15,'סקרי נכסים-יתרות פתיחה'!$2:$3,2,0),0)</f>
        <v>0</v>
      </c>
      <c r="N552" s="1">
        <f>+IFERROR(HLOOKUP(N15,'סקרי נכסים-יתרות פתיחה'!$2:$3,2,0),0)</f>
        <v>0</v>
      </c>
      <c r="O552" s="1">
        <f>+IFERROR(HLOOKUP(O15,'סקרי נכסים-יתרות פתיחה'!$2:$3,2,0),0)</f>
        <v>0</v>
      </c>
      <c r="P552" s="1">
        <f>+IFERROR(HLOOKUP(P15,'סקרי נכסים-יתרות פתיחה'!$2:$3,2,0),0)</f>
        <v>2011</v>
      </c>
      <c r="Q552" s="1">
        <f>+IFERROR(HLOOKUP(Q15,'סקרי נכסים-יתרות פתיחה'!$2:$3,2,0),0)</f>
        <v>0</v>
      </c>
      <c r="R552" s="1">
        <f>+IFERROR(HLOOKUP(R15,'סקרי נכסים-יתרות פתיחה'!$2:$3,2,0),0)</f>
        <v>0</v>
      </c>
      <c r="S552" s="1">
        <f>+IFERROR(HLOOKUP(S15,'סקרי נכסים-יתרות פתיחה'!$2:$3,2,0),0)</f>
        <v>0</v>
      </c>
      <c r="T552" s="1">
        <f>+IFERROR(HLOOKUP(T15,'סקרי נכסים-יתרות פתיחה'!$2:$3,2,0),0)</f>
        <v>0</v>
      </c>
      <c r="U552" s="1">
        <f>+IFERROR(HLOOKUP(U15,'סקרי נכסים-יתרות פתיחה'!$2:$3,2,0),0)</f>
        <v>0</v>
      </c>
      <c r="V552" s="1">
        <f>+IFERROR(HLOOKUP(V15,'סקרי נכסים-יתרות פתיחה'!$2:$3,2,0),0)</f>
        <v>0</v>
      </c>
      <c r="W552" s="1">
        <f>+IFERROR(HLOOKUP(W15,'סקרי נכסים-יתרות פתיחה'!$2:$3,2,0),0)</f>
        <v>0</v>
      </c>
      <c r="X552" s="1">
        <f>+IFERROR(HLOOKUP(X15,'סקרי נכסים-יתרות פתיחה'!$2:$3,2,0),0)</f>
        <v>0</v>
      </c>
      <c r="Y552" s="1">
        <f>+IFERROR(HLOOKUP(Y15,'סקרי נכסים-יתרות פתיחה'!$2:$3,2,0),0)</f>
        <v>0</v>
      </c>
      <c r="Z552" s="1">
        <f>+IFERROR(HLOOKUP(Z15,'סקרי נכסים-יתרות פתיחה'!$2:$3,2,0),0)</f>
        <v>0</v>
      </c>
      <c r="AA552" s="1">
        <f>+IFERROR(HLOOKUP(AA15,'סקרי נכסים-יתרות פתיחה'!$2:$3,2,0),0)</f>
        <v>0</v>
      </c>
      <c r="AB552" s="1">
        <f>+IFERROR(HLOOKUP(AB15,'סקרי נכסים-יתרות פתיחה'!$2:$3,2,0),0)</f>
        <v>0</v>
      </c>
      <c r="AC552" s="1">
        <f>+IFERROR(HLOOKUP(AC15,'סקרי נכסים-יתרות פתיחה'!$2:$3,2,0),0)</f>
        <v>0</v>
      </c>
      <c r="AD552" s="1">
        <f>+IFERROR(HLOOKUP(AD15,'סקרי נכסים-יתרות פתיחה'!$2:$3,2,0),0)</f>
        <v>0</v>
      </c>
      <c r="AE552" s="1">
        <f>+IFERROR(HLOOKUP(AE15,'סקרי נכסים-יתרות פתיחה'!$2:$3,2,0),0)</f>
        <v>0</v>
      </c>
      <c r="AF552" s="1">
        <f>+IFERROR(HLOOKUP(AF15,'סקרי נכסים-יתרות פתיחה'!$2:$3,2,0),0)</f>
        <v>0</v>
      </c>
      <c r="AG552" s="1">
        <f>+IFERROR(HLOOKUP(AG15,'סקרי נכסים-יתרות פתיחה'!$2:$3,2,0),0)</f>
        <v>0</v>
      </c>
      <c r="AH552" s="1">
        <f>+IFERROR(HLOOKUP(AH15,'סקרי נכסים-יתרות פתיחה'!$2:$3,2,0),0)</f>
        <v>0</v>
      </c>
      <c r="AI552" s="1">
        <f>+IFERROR(HLOOKUP(AI15,'סקרי נכסים-יתרות פתיחה'!$2:$3,2,0),0)</f>
        <v>0</v>
      </c>
      <c r="AJ552" s="1">
        <f>+IFERROR(HLOOKUP(AJ15,'סקרי נכסים-יתרות פתיחה'!$2:$3,2,0),0)</f>
        <v>0</v>
      </c>
      <c r="AK552" s="1">
        <f>+IFERROR(HLOOKUP(AK15,'סקרי נכסים-יתרות פתיחה'!$2:$3,2,0),0)</f>
        <v>0</v>
      </c>
      <c r="AL552" s="1">
        <f>+IFERROR(HLOOKUP(AL15,'סקרי נכסים-יתרות פתיחה'!$2:$3,2,0),0)</f>
        <v>0</v>
      </c>
      <c r="AM552" s="1">
        <f>+IFERROR(HLOOKUP(AM15,'סקרי נכסים-יתרות פתיחה'!$2:$3,2,0),0)</f>
        <v>0</v>
      </c>
      <c r="AN552" s="1">
        <f>+IFERROR(HLOOKUP(AN15,'סקרי נכסים-יתרות פתיחה'!$2:$3,2,0),0)</f>
        <v>0</v>
      </c>
      <c r="AO552" s="1">
        <f>+IFERROR(HLOOKUP(AO15,'סקרי נכסים-יתרות פתיחה'!$2:$3,2,0),0)</f>
        <v>0</v>
      </c>
      <c r="AP552" s="1">
        <f>+IFERROR(HLOOKUP(AP15,'סקרי נכסים-יתרות פתיחה'!$2:$3,2,0),0)</f>
        <v>0</v>
      </c>
      <c r="AQ552" s="1">
        <f>+IFERROR(HLOOKUP(AQ15,'סקרי נכסים-יתרות פתיחה'!$2:$3,2,0),0)</f>
        <v>0</v>
      </c>
      <c r="AR552" s="1">
        <f>+IFERROR(HLOOKUP(AR15,'סקרי נכסים-יתרות פתיחה'!$2:$3,2,0),0)</f>
        <v>0</v>
      </c>
      <c r="AS552" s="1">
        <f>+IFERROR(HLOOKUP(AS15,'סקרי נכסים-יתרות פתיחה'!$2:$3,2,0),0)</f>
        <v>2009</v>
      </c>
      <c r="AT552" s="1">
        <f>+IFERROR(HLOOKUP(AT15,'סקרי נכסים-יתרות פתיחה'!$2:$3,2,0),0)</f>
        <v>0</v>
      </c>
      <c r="AU552" s="1">
        <f>+IFERROR(HLOOKUP(AU15,'סקרי נכסים-יתרות פתיחה'!$2:$3,2,0),0)</f>
        <v>0</v>
      </c>
      <c r="AV552" s="1">
        <f>+IFERROR(HLOOKUP(AV15,'סקרי נכסים-יתרות פתיחה'!$2:$3,2,0),0)</f>
        <v>0</v>
      </c>
      <c r="AW552" s="1">
        <f>+IFERROR(HLOOKUP(AW15,'סקרי נכסים-יתרות פתיחה'!$2:$3,2,0),0)</f>
        <v>0</v>
      </c>
      <c r="AX552" s="1">
        <f>+IFERROR(HLOOKUP(AX15,'סקרי נכסים-יתרות פתיחה'!$2:$3,2,0),0)</f>
        <v>0</v>
      </c>
      <c r="AY552" s="1">
        <f>+IFERROR(HLOOKUP(AY15,'סקרי נכסים-יתרות פתיחה'!$2:$3,2,0),0)</f>
        <v>0</v>
      </c>
      <c r="AZ552" s="1">
        <f>+IFERROR(HLOOKUP(AZ15,'סקרי נכסים-יתרות פתיחה'!$2:$3,2,0),0)</f>
        <v>0</v>
      </c>
      <c r="BA552" s="1">
        <f>+IFERROR(HLOOKUP(BA15,'סקרי נכסים-יתרות פתיחה'!$2:$3,2,0),0)</f>
        <v>0</v>
      </c>
      <c r="BB552" s="1">
        <f>+IFERROR(HLOOKUP(BB15,'סקרי נכסים-יתרות פתיחה'!$2:$3,2,0),0)</f>
        <v>0</v>
      </c>
      <c r="BC552" s="1">
        <f>+IFERROR(HLOOKUP(BC15,'סקרי נכסים-יתרות פתיחה'!$2:$3,2,0),0)</f>
        <v>0</v>
      </c>
      <c r="BD552" s="1">
        <f>+IFERROR(HLOOKUP(BD15,'סקרי נכסים-יתרות פתיחה'!$2:$3,2,0),0)</f>
        <v>0</v>
      </c>
      <c r="BE552" s="1">
        <f>+IFERROR(HLOOKUP(BE15,'סקרי נכסים-יתרות פתיחה'!$2:$3,2,0),0)</f>
        <v>0</v>
      </c>
      <c r="BF552" s="1">
        <f>+IFERROR(HLOOKUP(BF15,'סקרי נכסים-יתרות פתיחה'!$2:$3,2,0),0)</f>
        <v>0</v>
      </c>
    </row>
    <row r="553" spans="3:58" x14ac:dyDescent="0.2">
      <c r="C553" s="1">
        <f>+IFERROR(HLOOKUP(C16,'סקרי נכסים-יתרות פתיחה'!$2:$3,2,0),0)</f>
        <v>0</v>
      </c>
      <c r="D553" s="1">
        <f>+IFERROR(HLOOKUP(D16,'סקרי נכסים-יתרות פתיחה'!$2:$3,2,0),0)</f>
        <v>0</v>
      </c>
      <c r="E553" s="1">
        <f>+IFERROR(HLOOKUP(E16,'סקרי נכסים-יתרות פתיחה'!$2:$3,2,0),0)</f>
        <v>0</v>
      </c>
      <c r="F553" s="1">
        <f>+IFERROR(HLOOKUP(F16,'סקרי נכסים-יתרות פתיחה'!$2:$3,2,0),0)</f>
        <v>0</v>
      </c>
      <c r="G553" s="1">
        <f>+IFERROR(HLOOKUP(G16,'סקרי נכסים-יתרות פתיחה'!$2:$3,2,0),0)</f>
        <v>0</v>
      </c>
      <c r="H553" s="1">
        <f>+IFERROR(HLOOKUP(H16,'סקרי נכסים-יתרות פתיחה'!$2:$3,2,0),0)</f>
        <v>0</v>
      </c>
      <c r="I553" s="1">
        <f>+IFERROR(HLOOKUP(I16,'סקרי נכסים-יתרות פתיחה'!$2:$3,2,0),0)</f>
        <v>0</v>
      </c>
      <c r="J553" s="1">
        <f>+IFERROR(HLOOKUP(J16,'סקרי נכסים-יתרות פתיחה'!$2:$3,2,0),0)</f>
        <v>0</v>
      </c>
      <c r="K553" s="1">
        <f>+IFERROR(HLOOKUP(K16,'סקרי נכסים-יתרות פתיחה'!$2:$3,2,0),0)</f>
        <v>0</v>
      </c>
      <c r="L553" s="1">
        <f>+IFERROR(HLOOKUP(L16,'סקרי נכסים-יתרות פתיחה'!$2:$3,2,0),0)</f>
        <v>0</v>
      </c>
      <c r="M553" s="1">
        <f>+IFERROR(HLOOKUP(M16,'סקרי נכסים-יתרות פתיחה'!$2:$3,2,0),0)</f>
        <v>0</v>
      </c>
      <c r="N553" s="1">
        <f>+IFERROR(HLOOKUP(N16,'סקרי נכסים-יתרות פתיחה'!$2:$3,2,0),0)</f>
        <v>0</v>
      </c>
      <c r="O553" s="1">
        <f>+IFERROR(HLOOKUP(O16,'סקרי נכסים-יתרות פתיחה'!$2:$3,2,0),0)</f>
        <v>0</v>
      </c>
      <c r="P553" s="1">
        <f>+IFERROR(HLOOKUP(P16,'סקרי נכסים-יתרות פתיחה'!$2:$3,2,0),0)</f>
        <v>2010</v>
      </c>
      <c r="Q553" s="1">
        <f>+IFERROR(HLOOKUP(Q16,'סקרי נכסים-יתרות פתיחה'!$2:$3,2,0),0)</f>
        <v>0</v>
      </c>
      <c r="R553" s="1">
        <f>+IFERROR(HLOOKUP(R16,'סקרי נכסים-יתרות פתיחה'!$2:$3,2,0),0)</f>
        <v>0</v>
      </c>
      <c r="S553" s="1">
        <f>+IFERROR(HLOOKUP(S16,'סקרי נכסים-יתרות פתיחה'!$2:$3,2,0),0)</f>
        <v>0</v>
      </c>
      <c r="T553" s="1">
        <f>+IFERROR(HLOOKUP(T16,'סקרי נכסים-יתרות פתיחה'!$2:$3,2,0),0)</f>
        <v>0</v>
      </c>
      <c r="U553" s="1">
        <f>+IFERROR(HLOOKUP(U16,'סקרי נכסים-יתרות פתיחה'!$2:$3,2,0),0)</f>
        <v>0</v>
      </c>
      <c r="V553" s="1">
        <f>+IFERROR(HLOOKUP(V16,'סקרי נכסים-יתרות פתיחה'!$2:$3,2,0),0)</f>
        <v>0</v>
      </c>
      <c r="W553" s="1">
        <f>+IFERROR(HLOOKUP(W16,'סקרי נכסים-יתרות פתיחה'!$2:$3,2,0),0)</f>
        <v>0</v>
      </c>
      <c r="X553" s="1">
        <f>+IFERROR(HLOOKUP(X16,'סקרי נכסים-יתרות פתיחה'!$2:$3,2,0),0)</f>
        <v>0</v>
      </c>
      <c r="Y553" s="1">
        <f>+IFERROR(HLOOKUP(Y16,'סקרי נכסים-יתרות פתיחה'!$2:$3,2,0),0)</f>
        <v>0</v>
      </c>
      <c r="Z553" s="1">
        <f>+IFERROR(HLOOKUP(Z16,'סקרי נכסים-יתרות פתיחה'!$2:$3,2,0),0)</f>
        <v>0</v>
      </c>
      <c r="AA553" s="1">
        <f>+IFERROR(HLOOKUP(AA16,'סקרי נכסים-יתרות פתיחה'!$2:$3,2,0),0)</f>
        <v>0</v>
      </c>
      <c r="AB553" s="1">
        <f>+IFERROR(HLOOKUP(AB16,'סקרי נכסים-יתרות פתיחה'!$2:$3,2,0),0)</f>
        <v>0</v>
      </c>
      <c r="AC553" s="1">
        <f>+IFERROR(HLOOKUP(AC16,'סקרי נכסים-יתרות פתיחה'!$2:$3,2,0),0)</f>
        <v>0</v>
      </c>
      <c r="AD553" s="1">
        <f>+IFERROR(HLOOKUP(AD16,'סקרי נכסים-יתרות פתיחה'!$2:$3,2,0),0)</f>
        <v>0</v>
      </c>
      <c r="AE553" s="1">
        <f>+IFERROR(HLOOKUP(AE16,'סקרי נכסים-יתרות פתיחה'!$2:$3,2,0),0)</f>
        <v>0</v>
      </c>
      <c r="AF553" s="1">
        <f>+IFERROR(HLOOKUP(AF16,'סקרי נכסים-יתרות פתיחה'!$2:$3,2,0),0)</f>
        <v>0</v>
      </c>
      <c r="AG553" s="1">
        <f>+IFERROR(HLOOKUP(AG16,'סקרי נכסים-יתרות פתיחה'!$2:$3,2,0),0)</f>
        <v>0</v>
      </c>
      <c r="AH553" s="1">
        <f>+IFERROR(HLOOKUP(AH16,'סקרי נכסים-יתרות פתיחה'!$2:$3,2,0),0)</f>
        <v>0</v>
      </c>
      <c r="AI553" s="1">
        <f>+IFERROR(HLOOKUP(AI16,'סקרי נכסים-יתרות פתיחה'!$2:$3,2,0),0)</f>
        <v>0</v>
      </c>
      <c r="AJ553" s="1">
        <f>+IFERROR(HLOOKUP(AJ16,'סקרי נכסים-יתרות פתיחה'!$2:$3,2,0),0)</f>
        <v>0</v>
      </c>
      <c r="AK553" s="1">
        <f>+IFERROR(HLOOKUP(AK16,'סקרי נכסים-יתרות פתיחה'!$2:$3,2,0),0)</f>
        <v>0</v>
      </c>
      <c r="AL553" s="1">
        <f>+IFERROR(HLOOKUP(AL16,'סקרי נכסים-יתרות פתיחה'!$2:$3,2,0),0)</f>
        <v>0</v>
      </c>
      <c r="AM553" s="1">
        <f>+IFERROR(HLOOKUP(AM16,'סקרי נכסים-יתרות פתיחה'!$2:$3,2,0),0)</f>
        <v>0</v>
      </c>
      <c r="AN553" s="1">
        <f>+IFERROR(HLOOKUP(AN16,'סקרי נכסים-יתרות פתיחה'!$2:$3,2,0),0)</f>
        <v>0</v>
      </c>
      <c r="AO553" s="1">
        <f>+IFERROR(HLOOKUP(AO16,'סקרי נכסים-יתרות פתיחה'!$2:$3,2,0),0)</f>
        <v>0</v>
      </c>
      <c r="AP553" s="1">
        <f>+IFERROR(HLOOKUP(AP16,'סקרי נכסים-יתרות פתיחה'!$2:$3,2,0),0)</f>
        <v>0</v>
      </c>
      <c r="AQ553" s="1">
        <f>+IFERROR(HLOOKUP(AQ16,'סקרי נכסים-יתרות פתיחה'!$2:$3,2,0),0)</f>
        <v>0</v>
      </c>
      <c r="AR553" s="1">
        <f>+IFERROR(HLOOKUP(AR16,'סקרי נכסים-יתרות פתיחה'!$2:$3,2,0),0)</f>
        <v>0</v>
      </c>
      <c r="AS553" s="1">
        <f>+IFERROR(HLOOKUP(AS16,'סקרי נכסים-יתרות פתיחה'!$2:$3,2,0),0)</f>
        <v>2010</v>
      </c>
      <c r="AT553" s="1">
        <f>+IFERROR(HLOOKUP(AT16,'סקרי נכסים-יתרות פתיחה'!$2:$3,2,0),0)</f>
        <v>0</v>
      </c>
      <c r="AU553" s="1">
        <f>+IFERROR(HLOOKUP(AU16,'סקרי נכסים-יתרות פתיחה'!$2:$3,2,0),0)</f>
        <v>0</v>
      </c>
      <c r="AV553" s="1">
        <f>+IFERROR(HLOOKUP(AV16,'סקרי נכסים-יתרות פתיחה'!$2:$3,2,0),0)</f>
        <v>0</v>
      </c>
      <c r="AW553" s="1">
        <f>+IFERROR(HLOOKUP(AW16,'סקרי נכסים-יתרות פתיחה'!$2:$3,2,0),0)</f>
        <v>0</v>
      </c>
      <c r="AX553" s="1">
        <f>+IFERROR(HLOOKUP(AX16,'סקרי נכסים-יתרות פתיחה'!$2:$3,2,0),0)</f>
        <v>0</v>
      </c>
      <c r="AY553" s="1">
        <f>+IFERROR(HLOOKUP(AY16,'סקרי נכסים-יתרות פתיחה'!$2:$3,2,0),0)</f>
        <v>0</v>
      </c>
      <c r="AZ553" s="1">
        <f>+IFERROR(HLOOKUP(AZ16,'סקרי נכסים-יתרות פתיחה'!$2:$3,2,0),0)</f>
        <v>0</v>
      </c>
      <c r="BA553" s="1">
        <f>+IFERROR(HLOOKUP(BA16,'סקרי נכסים-יתרות פתיחה'!$2:$3,2,0),0)</f>
        <v>0</v>
      </c>
      <c r="BB553" s="1">
        <f>+IFERROR(HLOOKUP(BB16,'סקרי נכסים-יתרות פתיחה'!$2:$3,2,0),0)</f>
        <v>0</v>
      </c>
      <c r="BC553" s="1">
        <f>+IFERROR(HLOOKUP(BC16,'סקרי נכסים-יתרות פתיחה'!$2:$3,2,0),0)</f>
        <v>0</v>
      </c>
      <c r="BD553" s="1">
        <f>+IFERROR(HLOOKUP(BD16,'סקרי נכסים-יתרות פתיחה'!$2:$3,2,0),0)</f>
        <v>0</v>
      </c>
      <c r="BE553" s="1">
        <f>+IFERROR(HLOOKUP(BE16,'סקרי נכסים-יתרות פתיחה'!$2:$3,2,0),0)</f>
        <v>0</v>
      </c>
      <c r="BF553" s="1">
        <f>+IFERROR(HLOOKUP(BF16,'סקרי נכסים-יתרות פתיחה'!$2:$3,2,0),0)</f>
        <v>0</v>
      </c>
    </row>
    <row r="554" spans="3:58" x14ac:dyDescent="0.2">
      <c r="C554" s="1">
        <f>+IFERROR(HLOOKUP(C17,'סקרי נכסים-יתרות פתיחה'!$2:$3,2,0),0)</f>
        <v>0</v>
      </c>
      <c r="D554" s="1">
        <f>+IFERROR(HLOOKUP(D17,'סקרי נכסים-יתרות פתיחה'!$2:$3,2,0),0)</f>
        <v>0</v>
      </c>
      <c r="E554" s="1">
        <f>+IFERROR(HLOOKUP(E17,'סקרי נכסים-יתרות פתיחה'!$2:$3,2,0),0)</f>
        <v>0</v>
      </c>
      <c r="F554" s="1">
        <f>+IFERROR(HLOOKUP(F17,'סקרי נכסים-יתרות פתיחה'!$2:$3,2,0),0)</f>
        <v>0</v>
      </c>
      <c r="G554" s="1">
        <f>+IFERROR(HLOOKUP(G17,'סקרי נכסים-יתרות פתיחה'!$2:$3,2,0),0)</f>
        <v>0</v>
      </c>
      <c r="H554" s="1">
        <f>+IFERROR(HLOOKUP(H17,'סקרי נכסים-יתרות פתיחה'!$2:$3,2,0),0)</f>
        <v>0</v>
      </c>
      <c r="I554" s="1">
        <f>+IFERROR(HLOOKUP(I17,'סקרי נכסים-יתרות פתיחה'!$2:$3,2,0),0)</f>
        <v>0</v>
      </c>
      <c r="J554" s="1">
        <f>+IFERROR(HLOOKUP(J17,'סקרי נכסים-יתרות פתיחה'!$2:$3,2,0),0)</f>
        <v>0</v>
      </c>
      <c r="K554" s="1">
        <f>+IFERROR(HLOOKUP(K17,'סקרי נכסים-יתרות פתיחה'!$2:$3,2,0),0)</f>
        <v>0</v>
      </c>
      <c r="L554" s="1">
        <f>+IFERROR(HLOOKUP(L17,'סקרי נכסים-יתרות פתיחה'!$2:$3,2,0),0)</f>
        <v>0</v>
      </c>
      <c r="M554" s="1">
        <f>+IFERROR(HLOOKUP(M17,'סקרי נכסים-יתרות פתיחה'!$2:$3,2,0),0)</f>
        <v>0</v>
      </c>
      <c r="N554" s="1">
        <f>+IFERROR(HLOOKUP(N17,'סקרי נכסים-יתרות פתיחה'!$2:$3,2,0),0)</f>
        <v>0</v>
      </c>
      <c r="O554" s="1">
        <f>+IFERROR(HLOOKUP(O17,'סקרי נכסים-יתרות פתיחה'!$2:$3,2,0),0)</f>
        <v>0</v>
      </c>
      <c r="P554" s="1">
        <f>+IFERROR(HLOOKUP(P17,'סקרי נכסים-יתרות פתיחה'!$2:$3,2,0),0)</f>
        <v>2010</v>
      </c>
      <c r="Q554" s="1">
        <f>+IFERROR(HLOOKUP(Q17,'סקרי נכסים-יתרות פתיחה'!$2:$3,2,0),0)</f>
        <v>0</v>
      </c>
      <c r="R554" s="1">
        <f>+IFERROR(HLOOKUP(R17,'סקרי נכסים-יתרות פתיחה'!$2:$3,2,0),0)</f>
        <v>0</v>
      </c>
      <c r="S554" s="1">
        <f>+IFERROR(HLOOKUP(S17,'סקרי נכסים-יתרות פתיחה'!$2:$3,2,0),0)</f>
        <v>0</v>
      </c>
      <c r="T554" s="1">
        <f>+IFERROR(HLOOKUP(T17,'סקרי נכסים-יתרות פתיחה'!$2:$3,2,0),0)</f>
        <v>0</v>
      </c>
      <c r="U554" s="1">
        <f>+IFERROR(HLOOKUP(U17,'סקרי נכסים-יתרות פתיחה'!$2:$3,2,0),0)</f>
        <v>0</v>
      </c>
      <c r="V554" s="1">
        <f>+IFERROR(HLOOKUP(V17,'סקרי נכסים-יתרות פתיחה'!$2:$3,2,0),0)</f>
        <v>0</v>
      </c>
      <c r="W554" s="1">
        <f>+IFERROR(HLOOKUP(W17,'סקרי נכסים-יתרות פתיחה'!$2:$3,2,0),0)</f>
        <v>0</v>
      </c>
      <c r="X554" s="1">
        <f>+IFERROR(HLOOKUP(X17,'סקרי נכסים-יתרות פתיחה'!$2:$3,2,0),0)</f>
        <v>0</v>
      </c>
      <c r="Y554" s="1">
        <f>+IFERROR(HLOOKUP(Y17,'סקרי נכסים-יתרות פתיחה'!$2:$3,2,0),0)</f>
        <v>0</v>
      </c>
      <c r="Z554" s="1">
        <f>+IFERROR(HLOOKUP(Z17,'סקרי נכסים-יתרות פתיחה'!$2:$3,2,0),0)</f>
        <v>0</v>
      </c>
      <c r="AA554" s="1">
        <f>+IFERROR(HLOOKUP(AA17,'סקרי נכסים-יתרות פתיחה'!$2:$3,2,0),0)</f>
        <v>0</v>
      </c>
      <c r="AB554" s="1">
        <f>+IFERROR(HLOOKUP(AB17,'סקרי נכסים-יתרות פתיחה'!$2:$3,2,0),0)</f>
        <v>0</v>
      </c>
      <c r="AC554" s="1">
        <f>+IFERROR(HLOOKUP(AC17,'סקרי נכסים-יתרות פתיחה'!$2:$3,2,0),0)</f>
        <v>0</v>
      </c>
      <c r="AD554" s="1">
        <f>+IFERROR(HLOOKUP(AD17,'סקרי נכסים-יתרות פתיחה'!$2:$3,2,0),0)</f>
        <v>0</v>
      </c>
      <c r="AE554" s="1">
        <f>+IFERROR(HLOOKUP(AE17,'סקרי נכסים-יתרות פתיחה'!$2:$3,2,0),0)</f>
        <v>0</v>
      </c>
      <c r="AF554" s="1">
        <f>+IFERROR(HLOOKUP(AF17,'סקרי נכסים-יתרות פתיחה'!$2:$3,2,0),0)</f>
        <v>0</v>
      </c>
      <c r="AG554" s="1">
        <f>+IFERROR(HLOOKUP(AG17,'סקרי נכסים-יתרות פתיחה'!$2:$3,2,0),0)</f>
        <v>0</v>
      </c>
      <c r="AH554" s="1">
        <f>+IFERROR(HLOOKUP(AH17,'סקרי נכסים-יתרות פתיחה'!$2:$3,2,0),0)</f>
        <v>0</v>
      </c>
      <c r="AI554" s="1">
        <f>+IFERROR(HLOOKUP(AI17,'סקרי נכסים-יתרות פתיחה'!$2:$3,2,0),0)</f>
        <v>0</v>
      </c>
      <c r="AJ554" s="1">
        <f>+IFERROR(HLOOKUP(AJ17,'סקרי נכסים-יתרות פתיחה'!$2:$3,2,0),0)</f>
        <v>0</v>
      </c>
      <c r="AK554" s="1">
        <f>+IFERROR(HLOOKUP(AK17,'סקרי נכסים-יתרות פתיחה'!$2:$3,2,0),0)</f>
        <v>0</v>
      </c>
      <c r="AL554" s="1">
        <f>+IFERROR(HLOOKUP(AL17,'סקרי נכסים-יתרות פתיחה'!$2:$3,2,0),0)</f>
        <v>0</v>
      </c>
      <c r="AM554" s="1">
        <f>+IFERROR(HLOOKUP(AM17,'סקרי נכסים-יתרות פתיחה'!$2:$3,2,0),0)</f>
        <v>0</v>
      </c>
      <c r="AN554" s="1">
        <f>+IFERROR(HLOOKUP(AN17,'סקרי נכסים-יתרות פתיחה'!$2:$3,2,0),0)</f>
        <v>0</v>
      </c>
      <c r="AO554" s="1">
        <f>+IFERROR(HLOOKUP(AO17,'סקרי נכסים-יתרות פתיחה'!$2:$3,2,0),0)</f>
        <v>0</v>
      </c>
      <c r="AP554" s="1">
        <f>+IFERROR(HLOOKUP(AP17,'סקרי נכסים-יתרות פתיחה'!$2:$3,2,0),0)</f>
        <v>0</v>
      </c>
      <c r="AQ554" s="1">
        <f>+IFERROR(HLOOKUP(AQ17,'סקרי נכסים-יתרות פתיחה'!$2:$3,2,0),0)</f>
        <v>0</v>
      </c>
      <c r="AR554" s="1">
        <f>+IFERROR(HLOOKUP(AR17,'סקרי נכסים-יתרות פתיחה'!$2:$3,2,0),0)</f>
        <v>0</v>
      </c>
      <c r="AS554" s="1">
        <f>+IFERROR(HLOOKUP(AS17,'סקרי נכסים-יתרות פתיחה'!$2:$3,2,0),0)</f>
        <v>2010</v>
      </c>
      <c r="AT554" s="1">
        <f>+IFERROR(HLOOKUP(AT17,'סקרי נכסים-יתרות פתיחה'!$2:$3,2,0),0)</f>
        <v>0</v>
      </c>
      <c r="AU554" s="1">
        <f>+IFERROR(HLOOKUP(AU17,'סקרי נכסים-יתרות פתיחה'!$2:$3,2,0),0)</f>
        <v>0</v>
      </c>
      <c r="AV554" s="1">
        <f>+IFERROR(HLOOKUP(AV17,'סקרי נכסים-יתרות פתיחה'!$2:$3,2,0),0)</f>
        <v>0</v>
      </c>
      <c r="AW554" s="1">
        <f>+IFERROR(HLOOKUP(AW17,'סקרי נכסים-יתרות פתיחה'!$2:$3,2,0),0)</f>
        <v>0</v>
      </c>
      <c r="AX554" s="1">
        <f>+IFERROR(HLOOKUP(AX17,'סקרי נכסים-יתרות פתיחה'!$2:$3,2,0),0)</f>
        <v>0</v>
      </c>
      <c r="AY554" s="1">
        <f>+IFERROR(HLOOKUP(AY17,'סקרי נכסים-יתרות פתיחה'!$2:$3,2,0),0)</f>
        <v>0</v>
      </c>
      <c r="AZ554" s="1">
        <f>+IFERROR(HLOOKUP(AZ17,'סקרי נכסים-יתרות פתיחה'!$2:$3,2,0),0)</f>
        <v>0</v>
      </c>
      <c r="BA554" s="1">
        <f>+IFERROR(HLOOKUP(BA17,'סקרי נכסים-יתרות פתיחה'!$2:$3,2,0),0)</f>
        <v>0</v>
      </c>
      <c r="BB554" s="1">
        <f>+IFERROR(HLOOKUP(BB17,'סקרי נכסים-יתרות פתיחה'!$2:$3,2,0),0)</f>
        <v>0</v>
      </c>
      <c r="BC554" s="1">
        <f>+IFERROR(HLOOKUP(BC17,'סקרי נכסים-יתרות פתיחה'!$2:$3,2,0),0)</f>
        <v>0</v>
      </c>
      <c r="BD554" s="1">
        <f>+IFERROR(HLOOKUP(BD17,'סקרי נכסים-יתרות פתיחה'!$2:$3,2,0),0)</f>
        <v>0</v>
      </c>
      <c r="BE554" s="1">
        <f>+IFERROR(HLOOKUP(BE17,'סקרי נכסים-יתרות פתיחה'!$2:$3,2,0),0)</f>
        <v>0</v>
      </c>
      <c r="BF554" s="1">
        <f>+IFERROR(HLOOKUP(BF17,'סקרי נכסים-יתרות פתיחה'!$2:$3,2,0),0)</f>
        <v>0</v>
      </c>
    </row>
    <row r="555" spans="3:58" x14ac:dyDescent="0.2">
      <c r="C555" s="1">
        <f>+IFERROR(HLOOKUP(C18,'סקרי נכסים-יתרות פתיחה'!$2:$3,2,0),0)</f>
        <v>0</v>
      </c>
      <c r="D555" s="1">
        <f>+IFERROR(HLOOKUP(D18,'סקרי נכסים-יתרות פתיחה'!$2:$3,2,0),0)</f>
        <v>0</v>
      </c>
      <c r="E555" s="1">
        <f>+IFERROR(HLOOKUP(E18,'סקרי נכסים-יתרות פתיחה'!$2:$3,2,0),0)</f>
        <v>0</v>
      </c>
      <c r="F555" s="1">
        <f>+IFERROR(HLOOKUP(F18,'סקרי נכסים-יתרות פתיחה'!$2:$3,2,0),0)</f>
        <v>0</v>
      </c>
      <c r="G555" s="1">
        <f>+IFERROR(HLOOKUP(G18,'סקרי נכסים-יתרות פתיחה'!$2:$3,2,0),0)</f>
        <v>0</v>
      </c>
      <c r="H555" s="1">
        <f>+IFERROR(HLOOKUP(H18,'סקרי נכסים-יתרות פתיחה'!$2:$3,2,0),0)</f>
        <v>0</v>
      </c>
      <c r="I555" s="1">
        <f>+IFERROR(HLOOKUP(I18,'סקרי נכסים-יתרות פתיחה'!$2:$3,2,0),0)</f>
        <v>0</v>
      </c>
      <c r="J555" s="1">
        <f>+IFERROR(HLOOKUP(J18,'סקרי נכסים-יתרות פתיחה'!$2:$3,2,0),0)</f>
        <v>0</v>
      </c>
      <c r="K555" s="1">
        <f>+IFERROR(HLOOKUP(K18,'סקרי נכסים-יתרות פתיחה'!$2:$3,2,0),0)</f>
        <v>0</v>
      </c>
      <c r="L555" s="1">
        <f>+IFERROR(HLOOKUP(L18,'סקרי נכסים-יתרות פתיחה'!$2:$3,2,0),0)</f>
        <v>0</v>
      </c>
      <c r="M555" s="1">
        <f>+IFERROR(HLOOKUP(M18,'סקרי נכסים-יתרות פתיחה'!$2:$3,2,0),0)</f>
        <v>0</v>
      </c>
      <c r="N555" s="1">
        <f>+IFERROR(HLOOKUP(N18,'סקרי נכסים-יתרות פתיחה'!$2:$3,2,0),0)</f>
        <v>0</v>
      </c>
      <c r="O555" s="1">
        <f>+IFERROR(HLOOKUP(O18,'סקרי נכסים-יתרות פתיחה'!$2:$3,2,0),0)</f>
        <v>0</v>
      </c>
      <c r="P555" s="1">
        <f>+IFERROR(HLOOKUP(P18,'סקרי נכסים-יתרות פתיחה'!$2:$3,2,0),0)</f>
        <v>2011</v>
      </c>
      <c r="Q555" s="1">
        <f>+IFERROR(HLOOKUP(Q18,'סקרי נכסים-יתרות פתיחה'!$2:$3,2,0),0)</f>
        <v>0</v>
      </c>
      <c r="R555" s="1">
        <f>+IFERROR(HLOOKUP(R18,'סקרי נכסים-יתרות פתיחה'!$2:$3,2,0),0)</f>
        <v>0</v>
      </c>
      <c r="S555" s="1">
        <f>+IFERROR(HLOOKUP(S18,'סקרי נכסים-יתרות פתיחה'!$2:$3,2,0),0)</f>
        <v>0</v>
      </c>
      <c r="T555" s="1">
        <f>+IFERROR(HLOOKUP(T18,'סקרי נכסים-יתרות פתיחה'!$2:$3,2,0),0)</f>
        <v>0</v>
      </c>
      <c r="U555" s="1">
        <f>+IFERROR(HLOOKUP(U18,'סקרי נכסים-יתרות פתיחה'!$2:$3,2,0),0)</f>
        <v>0</v>
      </c>
      <c r="V555" s="1">
        <f>+IFERROR(HLOOKUP(V18,'סקרי נכסים-יתרות פתיחה'!$2:$3,2,0),0)</f>
        <v>0</v>
      </c>
      <c r="W555" s="1">
        <f>+IFERROR(HLOOKUP(W18,'סקרי נכסים-יתרות פתיחה'!$2:$3,2,0),0)</f>
        <v>0</v>
      </c>
      <c r="X555" s="1">
        <f>+IFERROR(HLOOKUP(X18,'סקרי נכסים-יתרות פתיחה'!$2:$3,2,0),0)</f>
        <v>0</v>
      </c>
      <c r="Y555" s="1">
        <f>+IFERROR(HLOOKUP(Y18,'סקרי נכסים-יתרות פתיחה'!$2:$3,2,0),0)</f>
        <v>0</v>
      </c>
      <c r="Z555" s="1">
        <f>+IFERROR(HLOOKUP(Z18,'סקרי נכסים-יתרות פתיחה'!$2:$3,2,0),0)</f>
        <v>0</v>
      </c>
      <c r="AA555" s="1">
        <f>+IFERROR(HLOOKUP(AA18,'סקרי נכסים-יתרות פתיחה'!$2:$3,2,0),0)</f>
        <v>0</v>
      </c>
      <c r="AB555" s="1">
        <f>+IFERROR(HLOOKUP(AB18,'סקרי נכסים-יתרות פתיחה'!$2:$3,2,0),0)</f>
        <v>0</v>
      </c>
      <c r="AC555" s="1">
        <f>+IFERROR(HLOOKUP(AC18,'סקרי נכסים-יתרות פתיחה'!$2:$3,2,0),0)</f>
        <v>0</v>
      </c>
      <c r="AD555" s="1">
        <f>+IFERROR(HLOOKUP(AD18,'סקרי נכסים-יתרות פתיחה'!$2:$3,2,0),0)</f>
        <v>0</v>
      </c>
      <c r="AE555" s="1">
        <f>+IFERROR(HLOOKUP(AE18,'סקרי נכסים-יתרות פתיחה'!$2:$3,2,0),0)</f>
        <v>0</v>
      </c>
      <c r="AF555" s="1">
        <f>+IFERROR(HLOOKUP(AF18,'סקרי נכסים-יתרות פתיחה'!$2:$3,2,0),0)</f>
        <v>0</v>
      </c>
      <c r="AG555" s="1">
        <f>+IFERROR(HLOOKUP(AG18,'סקרי נכסים-יתרות פתיחה'!$2:$3,2,0),0)</f>
        <v>0</v>
      </c>
      <c r="AH555" s="1">
        <f>+IFERROR(HLOOKUP(AH18,'סקרי נכסים-יתרות פתיחה'!$2:$3,2,0),0)</f>
        <v>0</v>
      </c>
      <c r="AI555" s="1">
        <f>+IFERROR(HLOOKUP(AI18,'סקרי נכסים-יתרות פתיחה'!$2:$3,2,0),0)</f>
        <v>0</v>
      </c>
      <c r="AJ555" s="1">
        <f>+IFERROR(HLOOKUP(AJ18,'סקרי נכסים-יתרות פתיחה'!$2:$3,2,0),0)</f>
        <v>0</v>
      </c>
      <c r="AK555" s="1">
        <f>+IFERROR(HLOOKUP(AK18,'סקרי נכסים-יתרות פתיחה'!$2:$3,2,0),0)</f>
        <v>0</v>
      </c>
      <c r="AL555" s="1">
        <f>+IFERROR(HLOOKUP(AL18,'סקרי נכסים-יתרות פתיחה'!$2:$3,2,0),0)</f>
        <v>0</v>
      </c>
      <c r="AM555" s="1">
        <f>+IFERROR(HLOOKUP(AM18,'סקרי נכסים-יתרות פתיחה'!$2:$3,2,0),0)</f>
        <v>0</v>
      </c>
      <c r="AN555" s="1">
        <f>+IFERROR(HLOOKUP(AN18,'סקרי נכסים-יתרות פתיחה'!$2:$3,2,0),0)</f>
        <v>0</v>
      </c>
      <c r="AO555" s="1">
        <f>+IFERROR(HLOOKUP(AO18,'סקרי נכסים-יתרות פתיחה'!$2:$3,2,0),0)</f>
        <v>0</v>
      </c>
      <c r="AP555" s="1">
        <f>+IFERROR(HLOOKUP(AP18,'סקרי נכסים-יתרות פתיחה'!$2:$3,2,0),0)</f>
        <v>0</v>
      </c>
      <c r="AQ555" s="1">
        <f>+IFERROR(HLOOKUP(AQ18,'סקרי נכסים-יתרות פתיחה'!$2:$3,2,0),0)</f>
        <v>0</v>
      </c>
      <c r="AR555" s="1">
        <f>+IFERROR(HLOOKUP(AR18,'סקרי נכסים-יתרות פתיחה'!$2:$3,2,0),0)</f>
        <v>0</v>
      </c>
      <c r="AS555" s="1">
        <f>+IFERROR(HLOOKUP(AS18,'סקרי נכסים-יתרות פתיחה'!$2:$3,2,0),0)</f>
        <v>2015</v>
      </c>
      <c r="AT555" s="1">
        <f>+IFERROR(HLOOKUP(AT18,'סקרי נכסים-יתרות פתיחה'!$2:$3,2,0),0)</f>
        <v>0</v>
      </c>
      <c r="AU555" s="1">
        <f>+IFERROR(HLOOKUP(AU18,'סקרי נכסים-יתרות פתיחה'!$2:$3,2,0),0)</f>
        <v>0</v>
      </c>
      <c r="AV555" s="1">
        <f>+IFERROR(HLOOKUP(AV18,'סקרי נכסים-יתרות פתיחה'!$2:$3,2,0),0)</f>
        <v>0</v>
      </c>
      <c r="AW555" s="1">
        <f>+IFERROR(HLOOKUP(AW18,'סקרי נכסים-יתרות פתיחה'!$2:$3,2,0),0)</f>
        <v>0</v>
      </c>
      <c r="AX555" s="1">
        <f>+IFERROR(HLOOKUP(AX18,'סקרי נכסים-יתרות פתיחה'!$2:$3,2,0),0)</f>
        <v>0</v>
      </c>
      <c r="AY555" s="1">
        <f>+IFERROR(HLOOKUP(AY18,'סקרי נכסים-יתרות פתיחה'!$2:$3,2,0),0)</f>
        <v>0</v>
      </c>
      <c r="AZ555" s="1">
        <f>+IFERROR(HLOOKUP(AZ18,'סקרי נכסים-יתרות פתיחה'!$2:$3,2,0),0)</f>
        <v>0</v>
      </c>
      <c r="BA555" s="1">
        <f>+IFERROR(HLOOKUP(BA18,'סקרי נכסים-יתרות פתיחה'!$2:$3,2,0),0)</f>
        <v>0</v>
      </c>
      <c r="BB555" s="1">
        <f>+IFERROR(HLOOKUP(BB18,'סקרי נכסים-יתרות פתיחה'!$2:$3,2,0),0)</f>
        <v>0</v>
      </c>
      <c r="BC555" s="1">
        <f>+IFERROR(HLOOKUP(BC18,'סקרי נכסים-יתרות פתיחה'!$2:$3,2,0),0)</f>
        <v>0</v>
      </c>
      <c r="BD555" s="1">
        <f>+IFERROR(HLOOKUP(BD18,'סקרי נכסים-יתרות פתיחה'!$2:$3,2,0),0)</f>
        <v>0</v>
      </c>
      <c r="BE555" s="1">
        <f>+IFERROR(HLOOKUP(BE18,'סקרי נכסים-יתרות פתיחה'!$2:$3,2,0),0)</f>
        <v>0</v>
      </c>
      <c r="BF555" s="1">
        <f>+IFERROR(HLOOKUP(BF18,'סקרי נכסים-יתרות פתיחה'!$2:$3,2,0),0)</f>
        <v>0</v>
      </c>
    </row>
    <row r="556" spans="3:58" x14ac:dyDescent="0.2">
      <c r="C556" s="1">
        <f>+IFERROR(HLOOKUP(C19,'סקרי נכסים-יתרות פתיחה'!$2:$3,2,0),0)</f>
        <v>0</v>
      </c>
      <c r="D556" s="1">
        <f>+IFERROR(HLOOKUP(D19,'סקרי נכסים-יתרות פתיחה'!$2:$3,2,0),0)</f>
        <v>0</v>
      </c>
      <c r="E556" s="1">
        <f>+IFERROR(HLOOKUP(E19,'סקרי נכסים-יתרות פתיחה'!$2:$3,2,0),0)</f>
        <v>0</v>
      </c>
      <c r="F556" s="1">
        <f>+IFERROR(HLOOKUP(F19,'סקרי נכסים-יתרות פתיחה'!$2:$3,2,0),0)</f>
        <v>0</v>
      </c>
      <c r="G556" s="1">
        <f>+IFERROR(HLOOKUP(G19,'סקרי נכסים-יתרות פתיחה'!$2:$3,2,0),0)</f>
        <v>0</v>
      </c>
      <c r="H556" s="1">
        <f>+IFERROR(HLOOKUP(H19,'סקרי נכסים-יתרות פתיחה'!$2:$3,2,0),0)</f>
        <v>0</v>
      </c>
      <c r="I556" s="1">
        <f>+IFERROR(HLOOKUP(I19,'סקרי נכסים-יתרות פתיחה'!$2:$3,2,0),0)</f>
        <v>0</v>
      </c>
      <c r="J556" s="1">
        <f>+IFERROR(HLOOKUP(J19,'סקרי נכסים-יתרות פתיחה'!$2:$3,2,0),0)</f>
        <v>0</v>
      </c>
      <c r="K556" s="1">
        <f>+IFERROR(HLOOKUP(K19,'סקרי נכסים-יתרות פתיחה'!$2:$3,2,0),0)</f>
        <v>0</v>
      </c>
      <c r="L556" s="1">
        <f>+IFERROR(HLOOKUP(L19,'סקרי נכסים-יתרות פתיחה'!$2:$3,2,0),0)</f>
        <v>0</v>
      </c>
      <c r="M556" s="1">
        <f>+IFERROR(HLOOKUP(M19,'סקרי נכסים-יתרות פתיחה'!$2:$3,2,0),0)</f>
        <v>0</v>
      </c>
      <c r="N556" s="1">
        <f>+IFERROR(HLOOKUP(N19,'סקרי נכסים-יתרות פתיחה'!$2:$3,2,0),0)</f>
        <v>0</v>
      </c>
      <c r="O556" s="1">
        <f>+IFERROR(HLOOKUP(O19,'סקרי נכסים-יתרות פתיחה'!$2:$3,2,0),0)</f>
        <v>0</v>
      </c>
      <c r="P556" s="1">
        <f>+IFERROR(HLOOKUP(P19,'סקרי נכסים-יתרות פתיחה'!$2:$3,2,0),0)</f>
        <v>2011</v>
      </c>
      <c r="Q556" s="1">
        <f>+IFERROR(HLOOKUP(Q19,'סקרי נכסים-יתרות פתיחה'!$2:$3,2,0),0)</f>
        <v>0</v>
      </c>
      <c r="R556" s="1">
        <f>+IFERROR(HLOOKUP(R19,'סקרי נכסים-יתרות פתיחה'!$2:$3,2,0),0)</f>
        <v>0</v>
      </c>
      <c r="S556" s="1">
        <f>+IFERROR(HLOOKUP(S19,'סקרי נכסים-יתרות פתיחה'!$2:$3,2,0),0)</f>
        <v>0</v>
      </c>
      <c r="T556" s="1">
        <f>+IFERROR(HLOOKUP(T19,'סקרי נכסים-יתרות פתיחה'!$2:$3,2,0),0)</f>
        <v>0</v>
      </c>
      <c r="U556" s="1">
        <f>+IFERROR(HLOOKUP(U19,'סקרי נכסים-יתרות פתיחה'!$2:$3,2,0),0)</f>
        <v>0</v>
      </c>
      <c r="V556" s="1">
        <f>+IFERROR(HLOOKUP(V19,'סקרי נכסים-יתרות פתיחה'!$2:$3,2,0),0)</f>
        <v>0</v>
      </c>
      <c r="W556" s="1">
        <f>+IFERROR(HLOOKUP(W19,'סקרי נכסים-יתרות פתיחה'!$2:$3,2,0),0)</f>
        <v>0</v>
      </c>
      <c r="X556" s="1">
        <f>+IFERROR(HLOOKUP(X19,'סקרי נכסים-יתרות פתיחה'!$2:$3,2,0),0)</f>
        <v>0</v>
      </c>
      <c r="Y556" s="1">
        <f>+IFERROR(HLOOKUP(Y19,'סקרי נכסים-יתרות פתיחה'!$2:$3,2,0),0)</f>
        <v>0</v>
      </c>
      <c r="Z556" s="1">
        <f>+IFERROR(HLOOKUP(Z19,'סקרי נכסים-יתרות פתיחה'!$2:$3,2,0),0)</f>
        <v>0</v>
      </c>
      <c r="AA556" s="1">
        <f>+IFERROR(HLOOKUP(AA19,'סקרי נכסים-יתרות פתיחה'!$2:$3,2,0),0)</f>
        <v>0</v>
      </c>
      <c r="AB556" s="1">
        <f>+IFERROR(HLOOKUP(AB19,'סקרי נכסים-יתרות פתיחה'!$2:$3,2,0),0)</f>
        <v>0</v>
      </c>
      <c r="AC556" s="1">
        <f>+IFERROR(HLOOKUP(AC19,'סקרי נכסים-יתרות פתיחה'!$2:$3,2,0),0)</f>
        <v>0</v>
      </c>
      <c r="AD556" s="1">
        <f>+IFERROR(HLOOKUP(AD19,'סקרי נכסים-יתרות פתיחה'!$2:$3,2,0),0)</f>
        <v>0</v>
      </c>
      <c r="AE556" s="1">
        <f>+IFERROR(HLOOKUP(AE19,'סקרי נכסים-יתרות פתיחה'!$2:$3,2,0),0)</f>
        <v>0</v>
      </c>
      <c r="AF556" s="1">
        <f>+IFERROR(HLOOKUP(AF19,'סקרי נכסים-יתרות פתיחה'!$2:$3,2,0),0)</f>
        <v>0</v>
      </c>
      <c r="AG556" s="1">
        <f>+IFERROR(HLOOKUP(AG19,'סקרי נכסים-יתרות פתיחה'!$2:$3,2,0),0)</f>
        <v>0</v>
      </c>
      <c r="AH556" s="1">
        <f>+IFERROR(HLOOKUP(AH19,'סקרי נכסים-יתרות פתיחה'!$2:$3,2,0),0)</f>
        <v>0</v>
      </c>
      <c r="AI556" s="1">
        <f>+IFERROR(HLOOKUP(AI19,'סקרי נכסים-יתרות פתיחה'!$2:$3,2,0),0)</f>
        <v>0</v>
      </c>
      <c r="AJ556" s="1">
        <f>+IFERROR(HLOOKUP(AJ19,'סקרי נכסים-יתרות פתיחה'!$2:$3,2,0),0)</f>
        <v>0</v>
      </c>
      <c r="AK556" s="1">
        <f>+IFERROR(HLOOKUP(AK19,'סקרי נכסים-יתרות פתיחה'!$2:$3,2,0),0)</f>
        <v>0</v>
      </c>
      <c r="AL556" s="1">
        <f>+IFERROR(HLOOKUP(AL19,'סקרי נכסים-יתרות פתיחה'!$2:$3,2,0),0)</f>
        <v>0</v>
      </c>
      <c r="AM556" s="1">
        <f>+IFERROR(HLOOKUP(AM19,'סקרי נכסים-יתרות פתיחה'!$2:$3,2,0),0)</f>
        <v>0</v>
      </c>
      <c r="AN556" s="1">
        <f>+IFERROR(HLOOKUP(AN19,'סקרי נכסים-יתרות פתיחה'!$2:$3,2,0),0)</f>
        <v>0</v>
      </c>
      <c r="AO556" s="1">
        <f>+IFERROR(HLOOKUP(AO19,'סקרי נכסים-יתרות פתיחה'!$2:$3,2,0),0)</f>
        <v>0</v>
      </c>
      <c r="AP556" s="1">
        <f>+IFERROR(HLOOKUP(AP19,'סקרי נכסים-יתרות פתיחה'!$2:$3,2,0),0)</f>
        <v>0</v>
      </c>
      <c r="AQ556" s="1">
        <f>+IFERROR(HLOOKUP(AQ19,'סקרי נכסים-יתרות פתיחה'!$2:$3,2,0),0)</f>
        <v>0</v>
      </c>
      <c r="AR556" s="1">
        <f>+IFERROR(HLOOKUP(AR19,'סקרי נכסים-יתרות פתיחה'!$2:$3,2,0),0)</f>
        <v>0</v>
      </c>
      <c r="AS556" s="1">
        <f>+IFERROR(HLOOKUP(AS19,'סקרי נכסים-יתרות פתיחה'!$2:$3,2,0),0)</f>
        <v>0</v>
      </c>
      <c r="AT556" s="1">
        <f>+IFERROR(HLOOKUP(AT19,'סקרי נכסים-יתרות פתיחה'!$2:$3,2,0),0)</f>
        <v>0</v>
      </c>
      <c r="AU556" s="1">
        <f>+IFERROR(HLOOKUP(AU19,'סקרי נכסים-יתרות פתיחה'!$2:$3,2,0),0)</f>
        <v>0</v>
      </c>
      <c r="AV556" s="1">
        <f>+IFERROR(HLOOKUP(AV19,'סקרי נכסים-יתרות פתיחה'!$2:$3,2,0),0)</f>
        <v>0</v>
      </c>
      <c r="AW556" s="1">
        <f>+IFERROR(HLOOKUP(AW19,'סקרי נכסים-יתרות פתיחה'!$2:$3,2,0),0)</f>
        <v>0</v>
      </c>
      <c r="AX556" s="1">
        <f>+IFERROR(HLOOKUP(AX19,'סקרי נכסים-יתרות פתיחה'!$2:$3,2,0),0)</f>
        <v>0</v>
      </c>
      <c r="AY556" s="1">
        <f>+IFERROR(HLOOKUP(AY19,'סקרי נכסים-יתרות פתיחה'!$2:$3,2,0),0)</f>
        <v>0</v>
      </c>
      <c r="AZ556" s="1">
        <f>+IFERROR(HLOOKUP(AZ19,'סקרי נכסים-יתרות פתיחה'!$2:$3,2,0),0)</f>
        <v>0</v>
      </c>
      <c r="BA556" s="1">
        <f>+IFERROR(HLOOKUP(BA19,'סקרי נכסים-יתרות פתיחה'!$2:$3,2,0),0)</f>
        <v>0</v>
      </c>
      <c r="BB556" s="1">
        <f>+IFERROR(HLOOKUP(BB19,'סקרי נכסים-יתרות פתיחה'!$2:$3,2,0),0)</f>
        <v>0</v>
      </c>
      <c r="BC556" s="1">
        <f>+IFERROR(HLOOKUP(BC19,'סקרי נכסים-יתרות פתיחה'!$2:$3,2,0),0)</f>
        <v>0</v>
      </c>
      <c r="BD556" s="1">
        <f>+IFERROR(HLOOKUP(BD19,'סקרי נכסים-יתרות פתיחה'!$2:$3,2,0),0)</f>
        <v>0</v>
      </c>
      <c r="BE556" s="1">
        <f>+IFERROR(HLOOKUP(BE19,'סקרי נכסים-יתרות פתיחה'!$2:$3,2,0),0)</f>
        <v>0</v>
      </c>
      <c r="BF556" s="1">
        <f>+IFERROR(HLOOKUP(BF19,'סקרי נכסים-יתרות פתיחה'!$2:$3,2,0),0)</f>
        <v>0</v>
      </c>
    </row>
    <row r="557" spans="3:58" x14ac:dyDescent="0.2">
      <c r="C557" s="1">
        <f>+IFERROR(HLOOKUP(C20,'סקרי נכסים-יתרות פתיחה'!$2:$3,2,0),0)</f>
        <v>0</v>
      </c>
      <c r="D557" s="1">
        <f>+IFERROR(HLOOKUP(D20,'סקרי נכסים-יתרות פתיחה'!$2:$3,2,0),0)</f>
        <v>0</v>
      </c>
      <c r="E557" s="1">
        <f>+IFERROR(HLOOKUP(E20,'סקרי נכסים-יתרות פתיחה'!$2:$3,2,0),0)</f>
        <v>0</v>
      </c>
      <c r="F557" s="1">
        <f>+IFERROR(HLOOKUP(F20,'סקרי נכסים-יתרות פתיחה'!$2:$3,2,0),0)</f>
        <v>0</v>
      </c>
      <c r="G557" s="1">
        <f>+IFERROR(HLOOKUP(G20,'סקרי נכסים-יתרות פתיחה'!$2:$3,2,0),0)</f>
        <v>0</v>
      </c>
      <c r="H557" s="1">
        <f>+IFERROR(HLOOKUP(H20,'סקרי נכסים-יתרות פתיחה'!$2:$3,2,0),0)</f>
        <v>0</v>
      </c>
      <c r="I557" s="1">
        <f>+IFERROR(HLOOKUP(I20,'סקרי נכסים-יתרות פתיחה'!$2:$3,2,0),0)</f>
        <v>0</v>
      </c>
      <c r="J557" s="1">
        <f>+IFERROR(HLOOKUP(J20,'סקרי נכסים-יתרות פתיחה'!$2:$3,2,0),0)</f>
        <v>0</v>
      </c>
      <c r="K557" s="1">
        <f>+IFERROR(HLOOKUP(K20,'סקרי נכסים-יתרות פתיחה'!$2:$3,2,0),0)</f>
        <v>0</v>
      </c>
      <c r="L557" s="1">
        <f>+IFERROR(HLOOKUP(L20,'סקרי נכסים-יתרות פתיחה'!$2:$3,2,0),0)</f>
        <v>0</v>
      </c>
      <c r="M557" s="1">
        <f>+IFERROR(HLOOKUP(M20,'סקרי נכסים-יתרות פתיחה'!$2:$3,2,0),0)</f>
        <v>0</v>
      </c>
      <c r="N557" s="1">
        <f>+IFERROR(HLOOKUP(N20,'סקרי נכסים-יתרות פתיחה'!$2:$3,2,0),0)</f>
        <v>0</v>
      </c>
      <c r="O557" s="1">
        <f>+IFERROR(HLOOKUP(O20,'סקרי נכסים-יתרות פתיחה'!$2:$3,2,0),0)</f>
        <v>0</v>
      </c>
      <c r="P557" s="1">
        <f>+IFERROR(HLOOKUP(P20,'סקרי נכסים-יתרות פתיחה'!$2:$3,2,0),0)</f>
        <v>2011</v>
      </c>
      <c r="Q557" s="1">
        <f>+IFERROR(HLOOKUP(Q20,'סקרי נכסים-יתרות פתיחה'!$2:$3,2,0),0)</f>
        <v>0</v>
      </c>
      <c r="R557" s="1">
        <f>+IFERROR(HLOOKUP(R20,'סקרי נכסים-יתרות פתיחה'!$2:$3,2,0),0)</f>
        <v>0</v>
      </c>
      <c r="S557" s="1">
        <f>+IFERROR(HLOOKUP(S20,'סקרי נכסים-יתרות פתיחה'!$2:$3,2,0),0)</f>
        <v>0</v>
      </c>
      <c r="T557" s="1">
        <f>+IFERROR(HLOOKUP(T20,'סקרי נכסים-יתרות פתיחה'!$2:$3,2,0),0)</f>
        <v>0</v>
      </c>
      <c r="U557" s="1">
        <f>+IFERROR(HLOOKUP(U20,'סקרי נכסים-יתרות פתיחה'!$2:$3,2,0),0)</f>
        <v>0</v>
      </c>
      <c r="V557" s="1">
        <f>+IFERROR(HLOOKUP(V20,'סקרי נכסים-יתרות פתיחה'!$2:$3,2,0),0)</f>
        <v>0</v>
      </c>
      <c r="W557" s="1">
        <f>+IFERROR(HLOOKUP(W20,'סקרי נכסים-יתרות פתיחה'!$2:$3,2,0),0)</f>
        <v>0</v>
      </c>
      <c r="X557" s="1">
        <f>+IFERROR(HLOOKUP(X20,'סקרי נכסים-יתרות פתיחה'!$2:$3,2,0),0)</f>
        <v>0</v>
      </c>
      <c r="Y557" s="1">
        <f>+IFERROR(HLOOKUP(Y20,'סקרי נכסים-יתרות פתיחה'!$2:$3,2,0),0)</f>
        <v>0</v>
      </c>
      <c r="Z557" s="1">
        <f>+IFERROR(HLOOKUP(Z20,'סקרי נכסים-יתרות פתיחה'!$2:$3,2,0),0)</f>
        <v>0</v>
      </c>
      <c r="AA557" s="1">
        <f>+IFERROR(HLOOKUP(AA20,'סקרי נכסים-יתרות פתיחה'!$2:$3,2,0),0)</f>
        <v>0</v>
      </c>
      <c r="AB557" s="1">
        <f>+IFERROR(HLOOKUP(AB20,'סקרי נכסים-יתרות פתיחה'!$2:$3,2,0),0)</f>
        <v>0</v>
      </c>
      <c r="AC557" s="1">
        <f>+IFERROR(HLOOKUP(AC20,'סקרי נכסים-יתרות פתיחה'!$2:$3,2,0),0)</f>
        <v>0</v>
      </c>
      <c r="AD557" s="1">
        <f>+IFERROR(HLOOKUP(AD20,'סקרי נכסים-יתרות פתיחה'!$2:$3,2,0),0)</f>
        <v>0</v>
      </c>
      <c r="AE557" s="1">
        <f>+IFERROR(HLOOKUP(AE20,'סקרי נכסים-יתרות פתיחה'!$2:$3,2,0),0)</f>
        <v>0</v>
      </c>
      <c r="AF557" s="1">
        <f>+IFERROR(HLOOKUP(AF20,'סקרי נכסים-יתרות פתיחה'!$2:$3,2,0),0)</f>
        <v>0</v>
      </c>
      <c r="AG557" s="1">
        <f>+IFERROR(HLOOKUP(AG20,'סקרי נכסים-יתרות פתיחה'!$2:$3,2,0),0)</f>
        <v>0</v>
      </c>
      <c r="AH557" s="1">
        <f>+IFERROR(HLOOKUP(AH20,'סקרי נכסים-יתרות פתיחה'!$2:$3,2,0),0)</f>
        <v>0</v>
      </c>
      <c r="AI557" s="1">
        <f>+IFERROR(HLOOKUP(AI20,'סקרי נכסים-יתרות פתיחה'!$2:$3,2,0),0)</f>
        <v>0</v>
      </c>
      <c r="AJ557" s="1">
        <f>+IFERROR(HLOOKUP(AJ20,'סקרי נכסים-יתרות פתיחה'!$2:$3,2,0),0)</f>
        <v>0</v>
      </c>
      <c r="AK557" s="1">
        <f>+IFERROR(HLOOKUP(AK20,'סקרי נכסים-יתרות פתיחה'!$2:$3,2,0),0)</f>
        <v>0</v>
      </c>
      <c r="AL557" s="1">
        <f>+IFERROR(HLOOKUP(AL20,'סקרי נכסים-יתרות פתיחה'!$2:$3,2,0),0)</f>
        <v>0</v>
      </c>
      <c r="AM557" s="1">
        <f>+IFERROR(HLOOKUP(AM20,'סקרי נכסים-יתרות פתיחה'!$2:$3,2,0),0)</f>
        <v>0</v>
      </c>
      <c r="AN557" s="1">
        <f>+IFERROR(HLOOKUP(AN20,'סקרי נכסים-יתרות פתיחה'!$2:$3,2,0),0)</f>
        <v>0</v>
      </c>
      <c r="AO557" s="1">
        <f>+IFERROR(HLOOKUP(AO20,'סקרי נכסים-יתרות פתיחה'!$2:$3,2,0),0)</f>
        <v>0</v>
      </c>
      <c r="AP557" s="1">
        <f>+IFERROR(HLOOKUP(AP20,'סקרי נכסים-יתרות פתיחה'!$2:$3,2,0),0)</f>
        <v>0</v>
      </c>
      <c r="AQ557" s="1">
        <f>+IFERROR(HLOOKUP(AQ20,'סקרי נכסים-יתרות פתיחה'!$2:$3,2,0),0)</f>
        <v>0</v>
      </c>
      <c r="AR557" s="1">
        <f>+IFERROR(HLOOKUP(AR20,'סקרי נכסים-יתרות פתיחה'!$2:$3,2,0),0)</f>
        <v>0</v>
      </c>
      <c r="AS557" s="1">
        <f>+IFERROR(HLOOKUP(AS20,'סקרי נכסים-יתרות פתיחה'!$2:$3,2,0),0)</f>
        <v>0</v>
      </c>
      <c r="AT557" s="1">
        <f>+IFERROR(HLOOKUP(AT20,'סקרי נכסים-יתרות פתיחה'!$2:$3,2,0),0)</f>
        <v>0</v>
      </c>
      <c r="AU557" s="1">
        <f>+IFERROR(HLOOKUP(AU20,'סקרי נכסים-יתרות פתיחה'!$2:$3,2,0),0)</f>
        <v>0</v>
      </c>
      <c r="AV557" s="1">
        <f>+IFERROR(HLOOKUP(AV20,'סקרי נכסים-יתרות פתיחה'!$2:$3,2,0),0)</f>
        <v>0</v>
      </c>
      <c r="AW557" s="1">
        <f>+IFERROR(HLOOKUP(AW20,'סקרי נכסים-יתרות פתיחה'!$2:$3,2,0),0)</f>
        <v>0</v>
      </c>
      <c r="AX557" s="1">
        <f>+IFERROR(HLOOKUP(AX20,'סקרי נכסים-יתרות פתיחה'!$2:$3,2,0),0)</f>
        <v>0</v>
      </c>
      <c r="AY557" s="1">
        <f>+IFERROR(HLOOKUP(AY20,'סקרי נכסים-יתרות פתיחה'!$2:$3,2,0),0)</f>
        <v>0</v>
      </c>
      <c r="AZ557" s="1">
        <f>+IFERROR(HLOOKUP(AZ20,'סקרי נכסים-יתרות פתיחה'!$2:$3,2,0),0)</f>
        <v>0</v>
      </c>
      <c r="BA557" s="1">
        <f>+IFERROR(HLOOKUP(BA20,'סקרי נכסים-יתרות פתיחה'!$2:$3,2,0),0)</f>
        <v>0</v>
      </c>
      <c r="BB557" s="1">
        <f>+IFERROR(HLOOKUP(BB20,'סקרי נכסים-יתרות פתיחה'!$2:$3,2,0),0)</f>
        <v>0</v>
      </c>
      <c r="BC557" s="1">
        <f>+IFERROR(HLOOKUP(BC20,'סקרי נכסים-יתרות פתיחה'!$2:$3,2,0),0)</f>
        <v>0</v>
      </c>
      <c r="BD557" s="1">
        <f>+IFERROR(HLOOKUP(BD20,'סקרי נכסים-יתרות פתיחה'!$2:$3,2,0),0)</f>
        <v>0</v>
      </c>
      <c r="BE557" s="1">
        <f>+IFERROR(HLOOKUP(BE20,'סקרי נכסים-יתרות פתיחה'!$2:$3,2,0),0)</f>
        <v>0</v>
      </c>
      <c r="BF557" s="1">
        <f>+IFERROR(HLOOKUP(BF20,'סקרי נכסים-יתרות פתיחה'!$2:$3,2,0),0)</f>
        <v>0</v>
      </c>
    </row>
    <row r="558" spans="3:58" x14ac:dyDescent="0.2">
      <c r="C558" s="1">
        <f>+IFERROR(HLOOKUP(C21,'סקרי נכסים-יתרות פתיחה'!$2:$3,2,0),0)</f>
        <v>0</v>
      </c>
      <c r="D558" s="1">
        <f>+IFERROR(HLOOKUP(D21,'סקרי נכסים-יתרות פתיחה'!$2:$3,2,0),0)</f>
        <v>0</v>
      </c>
      <c r="E558" s="1">
        <f>+IFERROR(HLOOKUP(E21,'סקרי נכסים-יתרות פתיחה'!$2:$3,2,0),0)</f>
        <v>0</v>
      </c>
      <c r="F558" s="1">
        <f>+IFERROR(HLOOKUP(F21,'סקרי נכסים-יתרות פתיחה'!$2:$3,2,0),0)</f>
        <v>0</v>
      </c>
      <c r="G558" s="1">
        <f>+IFERROR(HLOOKUP(G21,'סקרי נכסים-יתרות פתיחה'!$2:$3,2,0),0)</f>
        <v>0</v>
      </c>
      <c r="H558" s="1">
        <f>+IFERROR(HLOOKUP(H21,'סקרי נכסים-יתרות פתיחה'!$2:$3,2,0),0)</f>
        <v>0</v>
      </c>
      <c r="I558" s="1">
        <f>+IFERROR(HLOOKUP(I21,'סקרי נכסים-יתרות פתיחה'!$2:$3,2,0),0)</f>
        <v>0</v>
      </c>
      <c r="J558" s="1">
        <f>+IFERROR(HLOOKUP(J21,'סקרי נכסים-יתרות פתיחה'!$2:$3,2,0),0)</f>
        <v>0</v>
      </c>
      <c r="K558" s="1">
        <f>+IFERROR(HLOOKUP(K21,'סקרי נכסים-יתרות פתיחה'!$2:$3,2,0),0)</f>
        <v>0</v>
      </c>
      <c r="L558" s="1">
        <f>+IFERROR(HLOOKUP(L21,'סקרי נכסים-יתרות פתיחה'!$2:$3,2,0),0)</f>
        <v>0</v>
      </c>
      <c r="M558" s="1">
        <f>+IFERROR(HLOOKUP(M21,'סקרי נכסים-יתרות פתיחה'!$2:$3,2,0),0)</f>
        <v>0</v>
      </c>
      <c r="N558" s="1">
        <f>+IFERROR(HLOOKUP(N21,'סקרי נכסים-יתרות פתיחה'!$2:$3,2,0),0)</f>
        <v>0</v>
      </c>
      <c r="O558" s="1">
        <f>+IFERROR(HLOOKUP(O21,'סקרי נכסים-יתרות פתיחה'!$2:$3,2,0),0)</f>
        <v>0</v>
      </c>
      <c r="P558" s="1">
        <f>+IFERROR(HLOOKUP(P21,'סקרי נכסים-יתרות פתיחה'!$2:$3,2,0),0)</f>
        <v>0</v>
      </c>
      <c r="Q558" s="1">
        <f>+IFERROR(HLOOKUP(Q21,'סקרי נכסים-יתרות פתיחה'!$2:$3,2,0),0)</f>
        <v>0</v>
      </c>
      <c r="R558" s="1">
        <f>+IFERROR(HLOOKUP(R21,'סקרי נכסים-יתרות פתיחה'!$2:$3,2,0),0)</f>
        <v>0</v>
      </c>
      <c r="S558" s="1">
        <f>+IFERROR(HLOOKUP(S21,'סקרי נכסים-יתרות פתיחה'!$2:$3,2,0),0)</f>
        <v>0</v>
      </c>
      <c r="T558" s="1">
        <f>+IFERROR(HLOOKUP(T21,'סקרי נכסים-יתרות פתיחה'!$2:$3,2,0),0)</f>
        <v>0</v>
      </c>
      <c r="U558" s="1">
        <f>+IFERROR(HLOOKUP(U21,'סקרי נכסים-יתרות פתיחה'!$2:$3,2,0),0)</f>
        <v>0</v>
      </c>
      <c r="V558" s="1">
        <f>+IFERROR(HLOOKUP(V21,'סקרי נכסים-יתרות פתיחה'!$2:$3,2,0),0)</f>
        <v>0</v>
      </c>
      <c r="W558" s="1">
        <f>+IFERROR(HLOOKUP(W21,'סקרי נכסים-יתרות פתיחה'!$2:$3,2,0),0)</f>
        <v>0</v>
      </c>
      <c r="X558" s="1">
        <f>+IFERROR(HLOOKUP(X21,'סקרי נכסים-יתרות פתיחה'!$2:$3,2,0),0)</f>
        <v>0</v>
      </c>
      <c r="Y558" s="1">
        <f>+IFERROR(HLOOKUP(Y21,'סקרי נכסים-יתרות פתיחה'!$2:$3,2,0),0)</f>
        <v>0</v>
      </c>
      <c r="Z558" s="1">
        <f>+IFERROR(HLOOKUP(Z21,'סקרי נכסים-יתרות פתיחה'!$2:$3,2,0),0)</f>
        <v>0</v>
      </c>
      <c r="AA558" s="1">
        <f>+IFERROR(HLOOKUP(AA21,'סקרי נכסים-יתרות פתיחה'!$2:$3,2,0),0)</f>
        <v>0</v>
      </c>
      <c r="AB558" s="1">
        <f>+IFERROR(HLOOKUP(AB21,'סקרי נכסים-יתרות פתיחה'!$2:$3,2,0),0)</f>
        <v>0</v>
      </c>
      <c r="AC558" s="1">
        <f>+IFERROR(HLOOKUP(AC21,'סקרי נכסים-יתרות פתיחה'!$2:$3,2,0),0)</f>
        <v>0</v>
      </c>
      <c r="AD558" s="1">
        <f>+IFERROR(HLOOKUP(AD21,'סקרי נכסים-יתרות פתיחה'!$2:$3,2,0),0)</f>
        <v>0</v>
      </c>
      <c r="AE558" s="1">
        <f>+IFERROR(HLOOKUP(AE21,'סקרי נכסים-יתרות פתיחה'!$2:$3,2,0),0)</f>
        <v>0</v>
      </c>
      <c r="AF558" s="1">
        <f>+IFERROR(HLOOKUP(AF21,'סקרי נכסים-יתרות פתיחה'!$2:$3,2,0),0)</f>
        <v>0</v>
      </c>
      <c r="AG558" s="1">
        <f>+IFERROR(HLOOKUP(AG21,'סקרי נכסים-יתרות פתיחה'!$2:$3,2,0),0)</f>
        <v>0</v>
      </c>
      <c r="AH558" s="1">
        <f>+IFERROR(HLOOKUP(AH21,'סקרי נכסים-יתרות פתיחה'!$2:$3,2,0),0)</f>
        <v>0</v>
      </c>
      <c r="AI558" s="1">
        <f>+IFERROR(HLOOKUP(AI21,'סקרי נכסים-יתרות פתיחה'!$2:$3,2,0),0)</f>
        <v>0</v>
      </c>
      <c r="AJ558" s="1">
        <f>+IFERROR(HLOOKUP(AJ21,'סקרי נכסים-יתרות פתיחה'!$2:$3,2,0),0)</f>
        <v>0</v>
      </c>
      <c r="AK558" s="1">
        <f>+IFERROR(HLOOKUP(AK21,'סקרי נכסים-יתרות פתיחה'!$2:$3,2,0),0)</f>
        <v>0</v>
      </c>
      <c r="AL558" s="1">
        <f>+IFERROR(HLOOKUP(AL21,'סקרי נכסים-יתרות פתיחה'!$2:$3,2,0),0)</f>
        <v>0</v>
      </c>
      <c r="AM558" s="1">
        <f>+IFERROR(HLOOKUP(AM21,'סקרי נכסים-יתרות פתיחה'!$2:$3,2,0),0)</f>
        <v>0</v>
      </c>
      <c r="AN558" s="1">
        <f>+IFERROR(HLOOKUP(AN21,'סקרי נכסים-יתרות פתיחה'!$2:$3,2,0),0)</f>
        <v>0</v>
      </c>
      <c r="AO558" s="1">
        <f>+IFERROR(HLOOKUP(AO21,'סקרי נכסים-יתרות פתיחה'!$2:$3,2,0),0)</f>
        <v>0</v>
      </c>
      <c r="AP558" s="1">
        <f>+IFERROR(HLOOKUP(AP21,'סקרי נכסים-יתרות פתיחה'!$2:$3,2,0),0)</f>
        <v>0</v>
      </c>
      <c r="AQ558" s="1">
        <f>+IFERROR(HLOOKUP(AQ21,'סקרי נכסים-יתרות פתיחה'!$2:$3,2,0),0)</f>
        <v>0</v>
      </c>
      <c r="AR558" s="1">
        <f>+IFERROR(HLOOKUP(AR21,'סקרי נכסים-יתרות פתיחה'!$2:$3,2,0),0)</f>
        <v>0</v>
      </c>
      <c r="AS558" s="1">
        <f>+IFERROR(HLOOKUP(AS21,'סקרי נכסים-יתרות פתיחה'!$2:$3,2,0),0)</f>
        <v>0</v>
      </c>
      <c r="AT558" s="1">
        <f>+IFERROR(HLOOKUP(AT21,'סקרי נכסים-יתרות פתיחה'!$2:$3,2,0),0)</f>
        <v>0</v>
      </c>
      <c r="AU558" s="1">
        <f>+IFERROR(HLOOKUP(AU21,'סקרי נכסים-יתרות פתיחה'!$2:$3,2,0),0)</f>
        <v>0</v>
      </c>
      <c r="AV558" s="1">
        <f>+IFERROR(HLOOKUP(AV21,'סקרי נכסים-יתרות פתיחה'!$2:$3,2,0),0)</f>
        <v>0</v>
      </c>
      <c r="AW558" s="1">
        <f>+IFERROR(HLOOKUP(AW21,'סקרי נכסים-יתרות פתיחה'!$2:$3,2,0),0)</f>
        <v>0</v>
      </c>
      <c r="AX558" s="1">
        <f>+IFERROR(HLOOKUP(AX21,'סקרי נכסים-יתרות פתיחה'!$2:$3,2,0),0)</f>
        <v>0</v>
      </c>
      <c r="AY558" s="1">
        <f>+IFERROR(HLOOKUP(AY21,'סקרי נכסים-יתרות פתיחה'!$2:$3,2,0),0)</f>
        <v>0</v>
      </c>
      <c r="AZ558" s="1">
        <f>+IFERROR(HLOOKUP(AZ21,'סקרי נכסים-יתרות פתיחה'!$2:$3,2,0),0)</f>
        <v>0</v>
      </c>
      <c r="BA558" s="1">
        <f>+IFERROR(HLOOKUP(BA21,'סקרי נכסים-יתרות פתיחה'!$2:$3,2,0),0)</f>
        <v>0</v>
      </c>
      <c r="BB558" s="1">
        <f>+IFERROR(HLOOKUP(BB21,'סקרי נכסים-יתרות פתיחה'!$2:$3,2,0),0)</f>
        <v>0</v>
      </c>
      <c r="BC558" s="1">
        <f>+IFERROR(HLOOKUP(BC21,'סקרי נכסים-יתרות פתיחה'!$2:$3,2,0),0)</f>
        <v>0</v>
      </c>
      <c r="BD558" s="1">
        <f>+IFERROR(HLOOKUP(BD21,'סקרי נכסים-יתרות פתיחה'!$2:$3,2,0),0)</f>
        <v>0</v>
      </c>
      <c r="BE558" s="1">
        <f>+IFERROR(HLOOKUP(BE21,'סקרי נכסים-יתרות פתיחה'!$2:$3,2,0),0)</f>
        <v>0</v>
      </c>
      <c r="BF558" s="1">
        <f>+IFERROR(HLOOKUP(BF21,'סקרי נכסים-יתרות פתיחה'!$2:$3,2,0),0)</f>
        <v>0</v>
      </c>
    </row>
    <row r="559" spans="3:58" x14ac:dyDescent="0.2">
      <c r="C559" s="1">
        <f>+IFERROR(HLOOKUP(C22,'סקרי נכסים-יתרות פתיחה'!$2:$3,2,0),0)</f>
        <v>0</v>
      </c>
      <c r="D559" s="1">
        <f>+IFERROR(HLOOKUP(D22,'סקרי נכסים-יתרות פתיחה'!$2:$3,2,0),0)</f>
        <v>0</v>
      </c>
      <c r="E559" s="1">
        <f>+IFERROR(HLOOKUP(E22,'סקרי נכסים-יתרות פתיחה'!$2:$3,2,0),0)</f>
        <v>0</v>
      </c>
      <c r="F559" s="1">
        <f>+IFERROR(HLOOKUP(F22,'סקרי נכסים-יתרות פתיחה'!$2:$3,2,0),0)</f>
        <v>0</v>
      </c>
      <c r="G559" s="1">
        <f>+IFERROR(HLOOKUP(G22,'סקרי נכסים-יתרות פתיחה'!$2:$3,2,0),0)</f>
        <v>0</v>
      </c>
      <c r="H559" s="1">
        <f>+IFERROR(HLOOKUP(H22,'סקרי נכסים-יתרות פתיחה'!$2:$3,2,0),0)</f>
        <v>0</v>
      </c>
      <c r="I559" s="1">
        <f>+IFERROR(HLOOKUP(I22,'סקרי נכסים-יתרות פתיחה'!$2:$3,2,0),0)</f>
        <v>0</v>
      </c>
      <c r="J559" s="1">
        <f>+IFERROR(HLOOKUP(J22,'סקרי נכסים-יתרות פתיחה'!$2:$3,2,0),0)</f>
        <v>0</v>
      </c>
      <c r="K559" s="1">
        <f>+IFERROR(HLOOKUP(K22,'סקרי נכסים-יתרות פתיחה'!$2:$3,2,0),0)</f>
        <v>0</v>
      </c>
      <c r="L559" s="1">
        <f>+IFERROR(HLOOKUP(L22,'סקרי נכסים-יתרות פתיחה'!$2:$3,2,0),0)</f>
        <v>0</v>
      </c>
      <c r="M559" s="1">
        <f>+IFERROR(HLOOKUP(M22,'סקרי נכסים-יתרות פתיחה'!$2:$3,2,0),0)</f>
        <v>0</v>
      </c>
      <c r="N559" s="1">
        <f>+IFERROR(HLOOKUP(N22,'סקרי נכסים-יתרות פתיחה'!$2:$3,2,0),0)</f>
        <v>0</v>
      </c>
      <c r="O559" s="1">
        <f>+IFERROR(HLOOKUP(O22,'סקרי נכסים-יתרות פתיחה'!$2:$3,2,0),0)</f>
        <v>0</v>
      </c>
      <c r="P559" s="1">
        <f>+IFERROR(HLOOKUP(P22,'סקרי נכסים-יתרות פתיחה'!$2:$3,2,0),0)</f>
        <v>0</v>
      </c>
      <c r="Q559" s="1">
        <f>+IFERROR(HLOOKUP(Q22,'סקרי נכסים-יתרות פתיחה'!$2:$3,2,0),0)</f>
        <v>0</v>
      </c>
      <c r="R559" s="1">
        <f>+IFERROR(HLOOKUP(R22,'סקרי נכסים-יתרות פתיחה'!$2:$3,2,0),0)</f>
        <v>0</v>
      </c>
      <c r="S559" s="1">
        <f>+IFERROR(HLOOKUP(S22,'סקרי נכסים-יתרות פתיחה'!$2:$3,2,0),0)</f>
        <v>0</v>
      </c>
      <c r="T559" s="1">
        <f>+IFERROR(HLOOKUP(T22,'סקרי נכסים-יתרות פתיחה'!$2:$3,2,0),0)</f>
        <v>0</v>
      </c>
      <c r="U559" s="1">
        <f>+IFERROR(HLOOKUP(U22,'סקרי נכסים-יתרות פתיחה'!$2:$3,2,0),0)</f>
        <v>0</v>
      </c>
      <c r="V559" s="1">
        <f>+IFERROR(HLOOKUP(V22,'סקרי נכסים-יתרות פתיחה'!$2:$3,2,0),0)</f>
        <v>0</v>
      </c>
      <c r="W559" s="1">
        <f>+IFERROR(HLOOKUP(W22,'סקרי נכסים-יתרות פתיחה'!$2:$3,2,0),0)</f>
        <v>0</v>
      </c>
      <c r="X559" s="1">
        <f>+IFERROR(HLOOKUP(X22,'סקרי נכסים-יתרות פתיחה'!$2:$3,2,0),0)</f>
        <v>0</v>
      </c>
      <c r="Y559" s="1">
        <f>+IFERROR(HLOOKUP(Y22,'סקרי נכסים-יתרות פתיחה'!$2:$3,2,0),0)</f>
        <v>0</v>
      </c>
      <c r="Z559" s="1">
        <f>+IFERROR(HLOOKUP(Z22,'סקרי נכסים-יתרות פתיחה'!$2:$3,2,0),0)</f>
        <v>0</v>
      </c>
      <c r="AA559" s="1">
        <f>+IFERROR(HLOOKUP(AA22,'סקרי נכסים-יתרות פתיחה'!$2:$3,2,0),0)</f>
        <v>0</v>
      </c>
      <c r="AB559" s="1">
        <f>+IFERROR(HLOOKUP(AB22,'סקרי נכסים-יתרות פתיחה'!$2:$3,2,0),0)</f>
        <v>0</v>
      </c>
      <c r="AC559" s="1">
        <f>+IFERROR(HLOOKUP(AC22,'סקרי נכסים-יתרות פתיחה'!$2:$3,2,0),0)</f>
        <v>0</v>
      </c>
      <c r="AD559" s="1">
        <f>+IFERROR(HLOOKUP(AD22,'סקרי נכסים-יתרות פתיחה'!$2:$3,2,0),0)</f>
        <v>0</v>
      </c>
      <c r="AE559" s="1">
        <f>+IFERROR(HLOOKUP(AE22,'סקרי נכסים-יתרות פתיחה'!$2:$3,2,0),0)</f>
        <v>0</v>
      </c>
      <c r="AF559" s="1">
        <f>+IFERROR(HLOOKUP(AF22,'סקרי נכסים-יתרות פתיחה'!$2:$3,2,0),0)</f>
        <v>0</v>
      </c>
      <c r="AG559" s="1">
        <f>+IFERROR(HLOOKUP(AG22,'סקרי נכסים-יתרות פתיחה'!$2:$3,2,0),0)</f>
        <v>0</v>
      </c>
      <c r="AH559" s="1">
        <f>+IFERROR(HLOOKUP(AH22,'סקרי נכסים-יתרות פתיחה'!$2:$3,2,0),0)</f>
        <v>0</v>
      </c>
      <c r="AI559" s="1">
        <f>+IFERROR(HLOOKUP(AI22,'סקרי נכסים-יתרות פתיחה'!$2:$3,2,0),0)</f>
        <v>0</v>
      </c>
      <c r="AJ559" s="1">
        <f>+IFERROR(HLOOKUP(AJ22,'סקרי נכסים-יתרות פתיחה'!$2:$3,2,0),0)</f>
        <v>0</v>
      </c>
      <c r="AK559" s="1">
        <f>+IFERROR(HLOOKUP(AK22,'סקרי נכסים-יתרות פתיחה'!$2:$3,2,0),0)</f>
        <v>0</v>
      </c>
      <c r="AL559" s="1">
        <f>+IFERROR(HLOOKUP(AL22,'סקרי נכסים-יתרות פתיחה'!$2:$3,2,0),0)</f>
        <v>0</v>
      </c>
      <c r="AM559" s="1">
        <f>+IFERROR(HLOOKUP(AM22,'סקרי נכסים-יתרות פתיחה'!$2:$3,2,0),0)</f>
        <v>0</v>
      </c>
      <c r="AN559" s="1">
        <f>+IFERROR(HLOOKUP(AN22,'סקרי נכסים-יתרות פתיחה'!$2:$3,2,0),0)</f>
        <v>0</v>
      </c>
      <c r="AO559" s="1">
        <f>+IFERROR(HLOOKUP(AO22,'סקרי נכסים-יתרות פתיחה'!$2:$3,2,0),0)</f>
        <v>0</v>
      </c>
      <c r="AP559" s="1">
        <f>+IFERROR(HLOOKUP(AP22,'סקרי נכסים-יתרות פתיחה'!$2:$3,2,0),0)</f>
        <v>0</v>
      </c>
      <c r="AQ559" s="1">
        <f>+IFERROR(HLOOKUP(AQ22,'סקרי נכסים-יתרות פתיחה'!$2:$3,2,0),0)</f>
        <v>0</v>
      </c>
      <c r="AR559" s="1">
        <f>+IFERROR(HLOOKUP(AR22,'סקרי נכסים-יתרות פתיחה'!$2:$3,2,0),0)</f>
        <v>0</v>
      </c>
      <c r="AS559" s="1">
        <f>+IFERROR(HLOOKUP(AS22,'סקרי נכסים-יתרות פתיחה'!$2:$3,2,0),0)</f>
        <v>0</v>
      </c>
      <c r="AT559" s="1">
        <f>+IFERROR(HLOOKUP(AT22,'סקרי נכסים-יתרות פתיחה'!$2:$3,2,0),0)</f>
        <v>0</v>
      </c>
      <c r="AU559" s="1">
        <f>+IFERROR(HLOOKUP(AU22,'סקרי נכסים-יתרות פתיחה'!$2:$3,2,0),0)</f>
        <v>0</v>
      </c>
      <c r="AV559" s="1">
        <f>+IFERROR(HLOOKUP(AV22,'סקרי נכסים-יתרות פתיחה'!$2:$3,2,0),0)</f>
        <v>0</v>
      </c>
      <c r="AW559" s="1">
        <f>+IFERROR(HLOOKUP(AW22,'סקרי נכסים-יתרות פתיחה'!$2:$3,2,0),0)</f>
        <v>0</v>
      </c>
      <c r="AX559" s="1">
        <f>+IFERROR(HLOOKUP(AX22,'סקרי נכסים-יתרות פתיחה'!$2:$3,2,0),0)</f>
        <v>0</v>
      </c>
      <c r="AY559" s="1">
        <f>+IFERROR(HLOOKUP(AY22,'סקרי נכסים-יתרות פתיחה'!$2:$3,2,0),0)</f>
        <v>0</v>
      </c>
      <c r="AZ559" s="1">
        <f>+IFERROR(HLOOKUP(AZ22,'סקרי נכסים-יתרות פתיחה'!$2:$3,2,0),0)</f>
        <v>0</v>
      </c>
      <c r="BA559" s="1">
        <f>+IFERROR(HLOOKUP(BA22,'סקרי נכסים-יתרות פתיחה'!$2:$3,2,0),0)</f>
        <v>0</v>
      </c>
      <c r="BB559" s="1">
        <f>+IFERROR(HLOOKUP(BB22,'סקרי נכסים-יתרות פתיחה'!$2:$3,2,0),0)</f>
        <v>0</v>
      </c>
      <c r="BC559" s="1">
        <f>+IFERROR(HLOOKUP(BC22,'סקרי נכסים-יתרות פתיחה'!$2:$3,2,0),0)</f>
        <v>0</v>
      </c>
      <c r="BD559" s="1">
        <f>+IFERROR(HLOOKUP(BD22,'סקרי נכסים-יתרות פתיחה'!$2:$3,2,0),0)</f>
        <v>0</v>
      </c>
      <c r="BE559" s="1">
        <f>+IFERROR(HLOOKUP(BE22,'סקרי נכסים-יתרות פתיחה'!$2:$3,2,0),0)</f>
        <v>0</v>
      </c>
      <c r="BF559" s="1">
        <f>+IFERROR(HLOOKUP(BF22,'סקרי נכסים-יתרות פתיחה'!$2:$3,2,0),0)</f>
        <v>0</v>
      </c>
    </row>
    <row r="560" spans="3:58" x14ac:dyDescent="0.2">
      <c r="C560" s="1">
        <f>+IFERROR(HLOOKUP(C23,'סקרי נכסים-יתרות פתיחה'!$2:$3,2,0),0)</f>
        <v>0</v>
      </c>
      <c r="D560" s="1">
        <f>+IFERROR(HLOOKUP(D23,'סקרי נכסים-יתרות פתיחה'!$2:$3,2,0),0)</f>
        <v>0</v>
      </c>
      <c r="E560" s="1">
        <f>+IFERROR(HLOOKUP(E23,'סקרי נכסים-יתרות פתיחה'!$2:$3,2,0),0)</f>
        <v>0</v>
      </c>
      <c r="F560" s="1">
        <f>+IFERROR(HLOOKUP(F23,'סקרי נכסים-יתרות פתיחה'!$2:$3,2,0),0)</f>
        <v>0</v>
      </c>
      <c r="G560" s="1">
        <f>+IFERROR(HLOOKUP(G23,'סקרי נכסים-יתרות פתיחה'!$2:$3,2,0),0)</f>
        <v>0</v>
      </c>
      <c r="H560" s="1">
        <f>+IFERROR(HLOOKUP(H23,'סקרי נכסים-יתרות פתיחה'!$2:$3,2,0),0)</f>
        <v>0</v>
      </c>
      <c r="I560" s="1">
        <f>+IFERROR(HLOOKUP(I23,'סקרי נכסים-יתרות פתיחה'!$2:$3,2,0),0)</f>
        <v>0</v>
      </c>
      <c r="J560" s="1">
        <f>+IFERROR(HLOOKUP(J23,'סקרי נכסים-יתרות פתיחה'!$2:$3,2,0),0)</f>
        <v>0</v>
      </c>
      <c r="K560" s="1">
        <f>+IFERROR(HLOOKUP(K23,'סקרי נכסים-יתרות פתיחה'!$2:$3,2,0),0)</f>
        <v>0</v>
      </c>
      <c r="L560" s="1">
        <f>+IFERROR(HLOOKUP(L23,'סקרי נכסים-יתרות פתיחה'!$2:$3,2,0),0)</f>
        <v>0</v>
      </c>
      <c r="M560" s="1">
        <f>+IFERROR(HLOOKUP(M23,'סקרי נכסים-יתרות פתיחה'!$2:$3,2,0),0)</f>
        <v>0</v>
      </c>
      <c r="N560" s="1">
        <f>+IFERROR(HLOOKUP(N23,'סקרי נכסים-יתרות פתיחה'!$2:$3,2,0),0)</f>
        <v>0</v>
      </c>
      <c r="O560" s="1">
        <f>+IFERROR(HLOOKUP(O23,'סקרי נכסים-יתרות פתיחה'!$2:$3,2,0),0)</f>
        <v>0</v>
      </c>
      <c r="P560" s="1">
        <f>+IFERROR(HLOOKUP(P23,'סקרי נכסים-יתרות פתיחה'!$2:$3,2,0),0)</f>
        <v>0</v>
      </c>
      <c r="Q560" s="1">
        <f>+IFERROR(HLOOKUP(Q23,'סקרי נכסים-יתרות פתיחה'!$2:$3,2,0),0)</f>
        <v>0</v>
      </c>
      <c r="R560" s="1">
        <f>+IFERROR(HLOOKUP(R23,'סקרי נכסים-יתרות פתיחה'!$2:$3,2,0),0)</f>
        <v>0</v>
      </c>
      <c r="S560" s="1">
        <f>+IFERROR(HLOOKUP(S23,'סקרי נכסים-יתרות פתיחה'!$2:$3,2,0),0)</f>
        <v>0</v>
      </c>
      <c r="T560" s="1">
        <f>+IFERROR(HLOOKUP(T23,'סקרי נכסים-יתרות פתיחה'!$2:$3,2,0),0)</f>
        <v>0</v>
      </c>
      <c r="U560" s="1">
        <f>+IFERROR(HLOOKUP(U23,'סקרי נכסים-יתרות פתיחה'!$2:$3,2,0),0)</f>
        <v>0</v>
      </c>
      <c r="V560" s="1">
        <f>+IFERROR(HLOOKUP(V23,'סקרי נכסים-יתרות פתיחה'!$2:$3,2,0),0)</f>
        <v>0</v>
      </c>
      <c r="W560" s="1">
        <f>+IFERROR(HLOOKUP(W23,'סקרי נכסים-יתרות פתיחה'!$2:$3,2,0),0)</f>
        <v>0</v>
      </c>
      <c r="X560" s="1">
        <f>+IFERROR(HLOOKUP(X23,'סקרי נכסים-יתרות פתיחה'!$2:$3,2,0),0)</f>
        <v>0</v>
      </c>
      <c r="Y560" s="1">
        <f>+IFERROR(HLOOKUP(Y23,'סקרי נכסים-יתרות פתיחה'!$2:$3,2,0),0)</f>
        <v>0</v>
      </c>
      <c r="Z560" s="1">
        <f>+IFERROR(HLOOKUP(Z23,'סקרי נכסים-יתרות פתיחה'!$2:$3,2,0),0)</f>
        <v>0</v>
      </c>
      <c r="AA560" s="1">
        <f>+IFERROR(HLOOKUP(AA23,'סקרי נכסים-יתרות פתיחה'!$2:$3,2,0),0)</f>
        <v>0</v>
      </c>
      <c r="AB560" s="1">
        <f>+IFERROR(HLOOKUP(AB23,'סקרי נכסים-יתרות פתיחה'!$2:$3,2,0),0)</f>
        <v>0</v>
      </c>
      <c r="AC560" s="1">
        <f>+IFERROR(HLOOKUP(AC23,'סקרי נכסים-יתרות פתיחה'!$2:$3,2,0),0)</f>
        <v>0</v>
      </c>
      <c r="AD560" s="1">
        <f>+IFERROR(HLOOKUP(AD23,'סקרי נכסים-יתרות פתיחה'!$2:$3,2,0),0)</f>
        <v>0</v>
      </c>
      <c r="AE560" s="1">
        <f>+IFERROR(HLOOKUP(AE23,'סקרי נכסים-יתרות פתיחה'!$2:$3,2,0),0)</f>
        <v>0</v>
      </c>
      <c r="AF560" s="1">
        <f>+IFERROR(HLOOKUP(AF23,'סקרי נכסים-יתרות פתיחה'!$2:$3,2,0),0)</f>
        <v>0</v>
      </c>
      <c r="AG560" s="1">
        <f>+IFERROR(HLOOKUP(AG23,'סקרי נכסים-יתרות פתיחה'!$2:$3,2,0),0)</f>
        <v>0</v>
      </c>
      <c r="AH560" s="1">
        <f>+IFERROR(HLOOKUP(AH23,'סקרי נכסים-יתרות פתיחה'!$2:$3,2,0),0)</f>
        <v>0</v>
      </c>
      <c r="AI560" s="1">
        <f>+IFERROR(HLOOKUP(AI23,'סקרי נכסים-יתרות פתיחה'!$2:$3,2,0),0)</f>
        <v>0</v>
      </c>
      <c r="AJ560" s="1">
        <f>+IFERROR(HLOOKUP(AJ23,'סקרי נכסים-יתרות פתיחה'!$2:$3,2,0),0)</f>
        <v>0</v>
      </c>
      <c r="AK560" s="1">
        <f>+IFERROR(HLOOKUP(AK23,'סקרי נכסים-יתרות פתיחה'!$2:$3,2,0),0)</f>
        <v>0</v>
      </c>
      <c r="AL560" s="1">
        <f>+IFERROR(HLOOKUP(AL23,'סקרי נכסים-יתרות פתיחה'!$2:$3,2,0),0)</f>
        <v>0</v>
      </c>
      <c r="AM560" s="1">
        <f>+IFERROR(HLOOKUP(AM23,'סקרי נכסים-יתרות פתיחה'!$2:$3,2,0),0)</f>
        <v>0</v>
      </c>
      <c r="AN560" s="1">
        <f>+IFERROR(HLOOKUP(AN23,'סקרי נכסים-יתרות פתיחה'!$2:$3,2,0),0)</f>
        <v>0</v>
      </c>
      <c r="AO560" s="1">
        <f>+IFERROR(HLOOKUP(AO23,'סקרי נכסים-יתרות פתיחה'!$2:$3,2,0),0)</f>
        <v>0</v>
      </c>
      <c r="AP560" s="1">
        <f>+IFERROR(HLOOKUP(AP23,'סקרי נכסים-יתרות פתיחה'!$2:$3,2,0),0)</f>
        <v>0</v>
      </c>
      <c r="AQ560" s="1">
        <f>+IFERROR(HLOOKUP(AQ23,'סקרי נכסים-יתרות פתיחה'!$2:$3,2,0),0)</f>
        <v>0</v>
      </c>
      <c r="AR560" s="1">
        <f>+IFERROR(HLOOKUP(AR23,'סקרי נכסים-יתרות פתיחה'!$2:$3,2,0),0)</f>
        <v>0</v>
      </c>
      <c r="AS560" s="1">
        <f>+IFERROR(HLOOKUP(AS23,'סקרי נכסים-יתרות פתיחה'!$2:$3,2,0),0)</f>
        <v>0</v>
      </c>
      <c r="AT560" s="1">
        <f>+IFERROR(HLOOKUP(AT23,'סקרי נכסים-יתרות פתיחה'!$2:$3,2,0),0)</f>
        <v>0</v>
      </c>
      <c r="AU560" s="1">
        <f>+IFERROR(HLOOKUP(AU23,'סקרי נכסים-יתרות פתיחה'!$2:$3,2,0),0)</f>
        <v>0</v>
      </c>
      <c r="AV560" s="1">
        <f>+IFERROR(HLOOKUP(AV23,'סקרי נכסים-יתרות פתיחה'!$2:$3,2,0),0)</f>
        <v>0</v>
      </c>
      <c r="AW560" s="1">
        <f>+IFERROR(HLOOKUP(AW23,'סקרי נכסים-יתרות פתיחה'!$2:$3,2,0),0)</f>
        <v>0</v>
      </c>
      <c r="AX560" s="1">
        <f>+IFERROR(HLOOKUP(AX23,'סקרי נכסים-יתרות פתיחה'!$2:$3,2,0),0)</f>
        <v>0</v>
      </c>
      <c r="AY560" s="1">
        <f>+IFERROR(HLOOKUP(AY23,'סקרי נכסים-יתרות פתיחה'!$2:$3,2,0),0)</f>
        <v>0</v>
      </c>
      <c r="AZ560" s="1">
        <f>+IFERROR(HLOOKUP(AZ23,'סקרי נכסים-יתרות פתיחה'!$2:$3,2,0),0)</f>
        <v>0</v>
      </c>
      <c r="BA560" s="1">
        <f>+IFERROR(HLOOKUP(BA23,'סקרי נכסים-יתרות פתיחה'!$2:$3,2,0),0)</f>
        <v>0</v>
      </c>
      <c r="BB560" s="1">
        <f>+IFERROR(HLOOKUP(BB23,'סקרי נכסים-יתרות פתיחה'!$2:$3,2,0),0)</f>
        <v>0</v>
      </c>
      <c r="BC560" s="1">
        <f>+IFERROR(HLOOKUP(BC23,'סקרי נכסים-יתרות פתיחה'!$2:$3,2,0),0)</f>
        <v>0</v>
      </c>
      <c r="BD560" s="1">
        <f>+IFERROR(HLOOKUP(BD23,'סקרי נכסים-יתרות פתיחה'!$2:$3,2,0),0)</f>
        <v>0</v>
      </c>
      <c r="BE560" s="1">
        <f>+IFERROR(HLOOKUP(BE23,'סקרי נכסים-יתרות פתיחה'!$2:$3,2,0),0)</f>
        <v>0</v>
      </c>
      <c r="BF560" s="1">
        <f>+IFERROR(HLOOKUP(BF23,'סקרי נכסים-יתרות פתיחה'!$2:$3,2,0),0)</f>
        <v>0</v>
      </c>
    </row>
    <row r="561" spans="1:58" x14ac:dyDescent="0.2">
      <c r="C561" s="1">
        <f>+IFERROR(HLOOKUP(C24,'סקרי נכסים-יתרות פתיחה'!$2:$3,2,0),0)</f>
        <v>0</v>
      </c>
      <c r="D561" s="1">
        <f>+IFERROR(HLOOKUP(D24,'סקרי נכסים-יתרות פתיחה'!$2:$3,2,0),0)</f>
        <v>0</v>
      </c>
      <c r="E561" s="1">
        <f>+IFERROR(HLOOKUP(E24,'סקרי נכסים-יתרות פתיחה'!$2:$3,2,0),0)</f>
        <v>0</v>
      </c>
      <c r="F561" s="1">
        <f>+IFERROR(HLOOKUP(F24,'סקרי נכסים-יתרות פתיחה'!$2:$3,2,0),0)</f>
        <v>0</v>
      </c>
      <c r="G561" s="1">
        <f>+IFERROR(HLOOKUP(G24,'סקרי נכסים-יתרות פתיחה'!$2:$3,2,0),0)</f>
        <v>0</v>
      </c>
      <c r="H561" s="1">
        <f>+IFERROR(HLOOKUP(H24,'סקרי נכסים-יתרות פתיחה'!$2:$3,2,0),0)</f>
        <v>0</v>
      </c>
      <c r="I561" s="1">
        <f>+IFERROR(HLOOKUP(I24,'סקרי נכסים-יתרות פתיחה'!$2:$3,2,0),0)</f>
        <v>0</v>
      </c>
      <c r="J561" s="1">
        <f>+IFERROR(HLOOKUP(J24,'סקרי נכסים-יתרות פתיחה'!$2:$3,2,0),0)</f>
        <v>0</v>
      </c>
      <c r="K561" s="1">
        <f>+IFERROR(HLOOKUP(K24,'סקרי נכסים-יתרות פתיחה'!$2:$3,2,0),0)</f>
        <v>0</v>
      </c>
      <c r="L561" s="1">
        <f>+IFERROR(HLOOKUP(L24,'סקרי נכסים-יתרות פתיחה'!$2:$3,2,0),0)</f>
        <v>0</v>
      </c>
      <c r="M561" s="1">
        <f>+IFERROR(HLOOKUP(M24,'סקרי נכסים-יתרות פתיחה'!$2:$3,2,0),0)</f>
        <v>0</v>
      </c>
      <c r="N561" s="1">
        <f>+IFERROR(HLOOKUP(N24,'סקרי נכסים-יתרות פתיחה'!$2:$3,2,0),0)</f>
        <v>0</v>
      </c>
      <c r="O561" s="1">
        <f>+IFERROR(HLOOKUP(O24,'סקרי נכסים-יתרות פתיחה'!$2:$3,2,0),0)</f>
        <v>0</v>
      </c>
      <c r="P561" s="1">
        <f>+IFERROR(HLOOKUP(P24,'סקרי נכסים-יתרות פתיחה'!$2:$3,2,0),0)</f>
        <v>0</v>
      </c>
      <c r="Q561" s="1">
        <f>+IFERROR(HLOOKUP(Q24,'סקרי נכסים-יתרות פתיחה'!$2:$3,2,0),0)</f>
        <v>0</v>
      </c>
      <c r="R561" s="1">
        <f>+IFERROR(HLOOKUP(R24,'סקרי נכסים-יתרות פתיחה'!$2:$3,2,0),0)</f>
        <v>0</v>
      </c>
      <c r="S561" s="1">
        <f>+IFERROR(HLOOKUP(S24,'סקרי נכסים-יתרות פתיחה'!$2:$3,2,0),0)</f>
        <v>0</v>
      </c>
      <c r="T561" s="1">
        <f>+IFERROR(HLOOKUP(T24,'סקרי נכסים-יתרות פתיחה'!$2:$3,2,0),0)</f>
        <v>0</v>
      </c>
      <c r="U561" s="1">
        <f>+IFERROR(HLOOKUP(U24,'סקרי נכסים-יתרות פתיחה'!$2:$3,2,0),0)</f>
        <v>0</v>
      </c>
      <c r="V561" s="1">
        <f>+IFERROR(HLOOKUP(V24,'סקרי נכסים-יתרות פתיחה'!$2:$3,2,0),0)</f>
        <v>0</v>
      </c>
      <c r="W561" s="1">
        <f>+IFERROR(HLOOKUP(W24,'סקרי נכסים-יתרות פתיחה'!$2:$3,2,0),0)</f>
        <v>0</v>
      </c>
      <c r="X561" s="1">
        <f>+IFERROR(HLOOKUP(X24,'סקרי נכסים-יתרות פתיחה'!$2:$3,2,0),0)</f>
        <v>0</v>
      </c>
      <c r="Y561" s="1">
        <f>+IFERROR(HLOOKUP(Y24,'סקרי נכסים-יתרות פתיחה'!$2:$3,2,0),0)</f>
        <v>0</v>
      </c>
      <c r="Z561" s="1">
        <f>+IFERROR(HLOOKUP(Z24,'סקרי נכסים-יתרות פתיחה'!$2:$3,2,0),0)</f>
        <v>0</v>
      </c>
      <c r="AA561" s="1">
        <f>+IFERROR(HLOOKUP(AA24,'סקרי נכסים-יתרות פתיחה'!$2:$3,2,0),0)</f>
        <v>0</v>
      </c>
      <c r="AB561" s="1">
        <f>+IFERROR(HLOOKUP(AB24,'סקרי נכסים-יתרות פתיחה'!$2:$3,2,0),0)</f>
        <v>0</v>
      </c>
      <c r="AC561" s="1">
        <f>+IFERROR(HLOOKUP(AC24,'סקרי נכסים-יתרות פתיחה'!$2:$3,2,0),0)</f>
        <v>0</v>
      </c>
      <c r="AD561" s="1">
        <f>+IFERROR(HLOOKUP(AD24,'סקרי נכסים-יתרות פתיחה'!$2:$3,2,0),0)</f>
        <v>0</v>
      </c>
      <c r="AE561" s="1">
        <f>+IFERROR(HLOOKUP(AE24,'סקרי נכסים-יתרות פתיחה'!$2:$3,2,0),0)</f>
        <v>0</v>
      </c>
      <c r="AF561" s="1">
        <f>+IFERROR(HLOOKUP(AF24,'סקרי נכסים-יתרות פתיחה'!$2:$3,2,0),0)</f>
        <v>0</v>
      </c>
      <c r="AG561" s="1">
        <f>+IFERROR(HLOOKUP(AG24,'סקרי נכסים-יתרות פתיחה'!$2:$3,2,0),0)</f>
        <v>0</v>
      </c>
      <c r="AH561" s="1">
        <f>+IFERROR(HLOOKUP(AH24,'סקרי נכסים-יתרות פתיחה'!$2:$3,2,0),0)</f>
        <v>0</v>
      </c>
      <c r="AI561" s="1">
        <f>+IFERROR(HLOOKUP(AI24,'סקרי נכסים-יתרות פתיחה'!$2:$3,2,0),0)</f>
        <v>0</v>
      </c>
      <c r="AJ561" s="1">
        <f>+IFERROR(HLOOKUP(AJ24,'סקרי נכסים-יתרות פתיחה'!$2:$3,2,0),0)</f>
        <v>0</v>
      </c>
      <c r="AK561" s="1">
        <f>+IFERROR(HLOOKUP(AK24,'סקרי נכסים-יתרות פתיחה'!$2:$3,2,0),0)</f>
        <v>0</v>
      </c>
      <c r="AL561" s="1">
        <f>+IFERROR(HLOOKUP(AL24,'סקרי נכסים-יתרות פתיחה'!$2:$3,2,0),0)</f>
        <v>0</v>
      </c>
      <c r="AM561" s="1">
        <f>+IFERROR(HLOOKUP(AM24,'סקרי נכסים-יתרות פתיחה'!$2:$3,2,0),0)</f>
        <v>0</v>
      </c>
      <c r="AN561" s="1">
        <f>+IFERROR(HLOOKUP(AN24,'סקרי נכסים-יתרות פתיחה'!$2:$3,2,0),0)</f>
        <v>0</v>
      </c>
      <c r="AO561" s="1">
        <f>+IFERROR(HLOOKUP(AO24,'סקרי נכסים-יתרות פתיחה'!$2:$3,2,0),0)</f>
        <v>0</v>
      </c>
      <c r="AP561" s="1">
        <f>+IFERROR(HLOOKUP(AP24,'סקרי נכסים-יתרות פתיחה'!$2:$3,2,0),0)</f>
        <v>0</v>
      </c>
      <c r="AQ561" s="1">
        <f>+IFERROR(HLOOKUP(AQ24,'סקרי נכסים-יתרות פתיחה'!$2:$3,2,0),0)</f>
        <v>0</v>
      </c>
      <c r="AR561" s="1">
        <f>+IFERROR(HLOOKUP(AR24,'סקרי נכסים-יתרות פתיחה'!$2:$3,2,0),0)</f>
        <v>0</v>
      </c>
      <c r="AS561" s="1">
        <f>+IFERROR(HLOOKUP(AS24,'סקרי נכסים-יתרות פתיחה'!$2:$3,2,0),0)</f>
        <v>0</v>
      </c>
      <c r="AT561" s="1">
        <f>+IFERROR(HLOOKUP(AT24,'סקרי נכסים-יתרות פתיחה'!$2:$3,2,0),0)</f>
        <v>0</v>
      </c>
      <c r="AU561" s="1">
        <f>+IFERROR(HLOOKUP(AU24,'סקרי נכסים-יתרות פתיחה'!$2:$3,2,0),0)</f>
        <v>0</v>
      </c>
      <c r="AV561" s="1">
        <f>+IFERROR(HLOOKUP(AV24,'סקרי נכסים-יתרות פתיחה'!$2:$3,2,0),0)</f>
        <v>0</v>
      </c>
      <c r="AW561" s="1">
        <f>+IFERROR(HLOOKUP(AW24,'סקרי נכסים-יתרות פתיחה'!$2:$3,2,0),0)</f>
        <v>0</v>
      </c>
      <c r="AX561" s="1">
        <f>+IFERROR(HLOOKUP(AX24,'סקרי נכסים-יתרות פתיחה'!$2:$3,2,0),0)</f>
        <v>0</v>
      </c>
      <c r="AY561" s="1">
        <f>+IFERROR(HLOOKUP(AY24,'סקרי נכסים-יתרות פתיחה'!$2:$3,2,0),0)</f>
        <v>0</v>
      </c>
      <c r="AZ561" s="1">
        <f>+IFERROR(HLOOKUP(AZ24,'סקרי נכסים-יתרות פתיחה'!$2:$3,2,0),0)</f>
        <v>0</v>
      </c>
      <c r="BA561" s="1">
        <f>+IFERROR(HLOOKUP(BA24,'סקרי נכסים-יתרות פתיחה'!$2:$3,2,0),0)</f>
        <v>0</v>
      </c>
      <c r="BB561" s="1">
        <f>+IFERROR(HLOOKUP(BB24,'סקרי נכסים-יתרות פתיחה'!$2:$3,2,0),0)</f>
        <v>0</v>
      </c>
      <c r="BC561" s="1">
        <f>+IFERROR(HLOOKUP(BC24,'סקרי נכסים-יתרות פתיחה'!$2:$3,2,0),0)</f>
        <v>0</v>
      </c>
      <c r="BD561" s="1">
        <f>+IFERROR(HLOOKUP(BD24,'סקרי נכסים-יתרות פתיחה'!$2:$3,2,0),0)</f>
        <v>0</v>
      </c>
      <c r="BE561" s="1">
        <f>+IFERROR(HLOOKUP(BE24,'סקרי נכסים-יתרות פתיחה'!$2:$3,2,0),0)</f>
        <v>0</v>
      </c>
      <c r="BF561" s="1">
        <f>+IFERROR(HLOOKUP(BF24,'סקרי נכסים-יתרות פתיחה'!$2:$3,2,0),0)</f>
        <v>0</v>
      </c>
    </row>
    <row r="562" spans="1:58" x14ac:dyDescent="0.2">
      <c r="C562" s="1">
        <f>+IFERROR(HLOOKUP(C25,'סקרי נכסים-יתרות פתיחה'!$2:$3,2,0),0)</f>
        <v>0</v>
      </c>
      <c r="D562" s="1">
        <f>+IFERROR(HLOOKUP(D25,'סקרי נכסים-יתרות פתיחה'!$2:$3,2,0),0)</f>
        <v>0</v>
      </c>
      <c r="E562" s="1">
        <f>+IFERROR(HLOOKUP(E25,'סקרי נכסים-יתרות פתיחה'!$2:$3,2,0),0)</f>
        <v>0</v>
      </c>
      <c r="F562" s="1">
        <f>+IFERROR(HLOOKUP(F25,'סקרי נכסים-יתרות פתיחה'!$2:$3,2,0),0)</f>
        <v>0</v>
      </c>
      <c r="G562" s="1">
        <f>+IFERROR(HLOOKUP(G25,'סקרי נכסים-יתרות פתיחה'!$2:$3,2,0),0)</f>
        <v>0</v>
      </c>
      <c r="H562" s="1">
        <f>+IFERROR(HLOOKUP(H25,'סקרי נכסים-יתרות פתיחה'!$2:$3,2,0),0)</f>
        <v>0</v>
      </c>
      <c r="I562" s="1">
        <f>+IFERROR(HLOOKUP(I25,'סקרי נכסים-יתרות פתיחה'!$2:$3,2,0),0)</f>
        <v>0</v>
      </c>
      <c r="J562" s="1">
        <f>+IFERROR(HLOOKUP(J25,'סקרי נכסים-יתרות פתיחה'!$2:$3,2,0),0)</f>
        <v>0</v>
      </c>
      <c r="K562" s="1">
        <f>+IFERROR(HLOOKUP(K25,'סקרי נכסים-יתרות פתיחה'!$2:$3,2,0),0)</f>
        <v>0</v>
      </c>
      <c r="L562" s="1">
        <f>+IFERROR(HLOOKUP(L25,'סקרי נכסים-יתרות פתיחה'!$2:$3,2,0),0)</f>
        <v>0</v>
      </c>
      <c r="M562" s="1">
        <f>+IFERROR(HLOOKUP(M25,'סקרי נכסים-יתרות פתיחה'!$2:$3,2,0),0)</f>
        <v>0</v>
      </c>
      <c r="N562" s="1">
        <f>+IFERROR(HLOOKUP(N25,'סקרי נכסים-יתרות פתיחה'!$2:$3,2,0),0)</f>
        <v>0</v>
      </c>
      <c r="O562" s="1">
        <f>+IFERROR(HLOOKUP(O25,'סקרי נכסים-יתרות פתיחה'!$2:$3,2,0),0)</f>
        <v>0</v>
      </c>
      <c r="P562" s="1">
        <f>+IFERROR(HLOOKUP(P25,'סקרי נכסים-יתרות פתיחה'!$2:$3,2,0),0)</f>
        <v>0</v>
      </c>
      <c r="Q562" s="1">
        <f>+IFERROR(HLOOKUP(Q25,'סקרי נכסים-יתרות פתיחה'!$2:$3,2,0),0)</f>
        <v>0</v>
      </c>
      <c r="R562" s="1">
        <f>+IFERROR(HLOOKUP(R25,'סקרי נכסים-יתרות פתיחה'!$2:$3,2,0),0)</f>
        <v>0</v>
      </c>
      <c r="S562" s="1">
        <f>+IFERROR(HLOOKUP(S25,'סקרי נכסים-יתרות פתיחה'!$2:$3,2,0),0)</f>
        <v>0</v>
      </c>
      <c r="T562" s="1">
        <f>+IFERROR(HLOOKUP(T25,'סקרי נכסים-יתרות פתיחה'!$2:$3,2,0),0)</f>
        <v>0</v>
      </c>
      <c r="U562" s="1">
        <f>+IFERROR(HLOOKUP(U25,'סקרי נכסים-יתרות פתיחה'!$2:$3,2,0),0)</f>
        <v>0</v>
      </c>
      <c r="V562" s="1">
        <f>+IFERROR(HLOOKUP(V25,'סקרי נכסים-יתרות פתיחה'!$2:$3,2,0),0)</f>
        <v>0</v>
      </c>
      <c r="W562" s="1">
        <f>+IFERROR(HLOOKUP(W25,'סקרי נכסים-יתרות פתיחה'!$2:$3,2,0),0)</f>
        <v>0</v>
      </c>
      <c r="X562" s="1">
        <f>+IFERROR(HLOOKUP(X25,'סקרי נכסים-יתרות פתיחה'!$2:$3,2,0),0)</f>
        <v>0</v>
      </c>
      <c r="Y562" s="1">
        <f>+IFERROR(HLOOKUP(Y25,'סקרי נכסים-יתרות פתיחה'!$2:$3,2,0),0)</f>
        <v>0</v>
      </c>
      <c r="Z562" s="1">
        <f>+IFERROR(HLOOKUP(Z25,'סקרי נכסים-יתרות פתיחה'!$2:$3,2,0),0)</f>
        <v>0</v>
      </c>
      <c r="AA562" s="1">
        <f>+IFERROR(HLOOKUP(AA25,'סקרי נכסים-יתרות פתיחה'!$2:$3,2,0),0)</f>
        <v>0</v>
      </c>
      <c r="AB562" s="1">
        <f>+IFERROR(HLOOKUP(AB25,'סקרי נכסים-יתרות פתיחה'!$2:$3,2,0),0)</f>
        <v>0</v>
      </c>
      <c r="AC562" s="1">
        <f>+IFERROR(HLOOKUP(AC25,'סקרי נכסים-יתרות פתיחה'!$2:$3,2,0),0)</f>
        <v>0</v>
      </c>
      <c r="AD562" s="1">
        <f>+IFERROR(HLOOKUP(AD25,'סקרי נכסים-יתרות פתיחה'!$2:$3,2,0),0)</f>
        <v>0</v>
      </c>
      <c r="AE562" s="1">
        <f>+IFERROR(HLOOKUP(AE25,'סקרי נכסים-יתרות פתיחה'!$2:$3,2,0),0)</f>
        <v>0</v>
      </c>
      <c r="AF562" s="1">
        <f>+IFERROR(HLOOKUP(AF25,'סקרי נכסים-יתרות פתיחה'!$2:$3,2,0),0)</f>
        <v>0</v>
      </c>
      <c r="AG562" s="1">
        <f>+IFERROR(HLOOKUP(AG25,'סקרי נכסים-יתרות פתיחה'!$2:$3,2,0),0)</f>
        <v>0</v>
      </c>
      <c r="AH562" s="1">
        <f>+IFERROR(HLOOKUP(AH25,'סקרי נכסים-יתרות פתיחה'!$2:$3,2,0),0)</f>
        <v>0</v>
      </c>
      <c r="AI562" s="1">
        <f>+IFERROR(HLOOKUP(AI25,'סקרי נכסים-יתרות פתיחה'!$2:$3,2,0),0)</f>
        <v>0</v>
      </c>
      <c r="AJ562" s="1">
        <f>+IFERROR(HLOOKUP(AJ25,'סקרי נכסים-יתרות פתיחה'!$2:$3,2,0),0)</f>
        <v>0</v>
      </c>
      <c r="AK562" s="1">
        <f>+IFERROR(HLOOKUP(AK25,'סקרי נכסים-יתרות פתיחה'!$2:$3,2,0),0)</f>
        <v>0</v>
      </c>
      <c r="AL562" s="1">
        <f>+IFERROR(HLOOKUP(AL25,'סקרי נכסים-יתרות פתיחה'!$2:$3,2,0),0)</f>
        <v>0</v>
      </c>
      <c r="AM562" s="1">
        <f>+IFERROR(HLOOKUP(AM25,'סקרי נכסים-יתרות פתיחה'!$2:$3,2,0),0)</f>
        <v>0</v>
      </c>
      <c r="AN562" s="1">
        <f>+IFERROR(HLOOKUP(AN25,'סקרי נכסים-יתרות פתיחה'!$2:$3,2,0),0)</f>
        <v>0</v>
      </c>
      <c r="AO562" s="1">
        <f>+IFERROR(HLOOKUP(AO25,'סקרי נכסים-יתרות פתיחה'!$2:$3,2,0),0)</f>
        <v>0</v>
      </c>
      <c r="AP562" s="1">
        <f>+IFERROR(HLOOKUP(AP25,'סקרי נכסים-יתרות פתיחה'!$2:$3,2,0),0)</f>
        <v>0</v>
      </c>
      <c r="AQ562" s="1">
        <f>+IFERROR(HLOOKUP(AQ25,'סקרי נכסים-יתרות פתיחה'!$2:$3,2,0),0)</f>
        <v>0</v>
      </c>
      <c r="AR562" s="1">
        <f>+IFERROR(HLOOKUP(AR25,'סקרי נכסים-יתרות פתיחה'!$2:$3,2,0),0)</f>
        <v>0</v>
      </c>
      <c r="AS562" s="1">
        <f>+IFERROR(HLOOKUP(AS25,'סקרי נכסים-יתרות פתיחה'!$2:$3,2,0),0)</f>
        <v>0</v>
      </c>
      <c r="AT562" s="1">
        <f>+IFERROR(HLOOKUP(AT25,'סקרי נכסים-יתרות פתיחה'!$2:$3,2,0),0)</f>
        <v>0</v>
      </c>
      <c r="AU562" s="1">
        <f>+IFERROR(HLOOKUP(AU25,'סקרי נכסים-יתרות פתיחה'!$2:$3,2,0),0)</f>
        <v>0</v>
      </c>
      <c r="AV562" s="1">
        <f>+IFERROR(HLOOKUP(AV25,'סקרי נכסים-יתרות פתיחה'!$2:$3,2,0),0)</f>
        <v>0</v>
      </c>
      <c r="AW562" s="1">
        <f>+IFERROR(HLOOKUP(AW25,'סקרי נכסים-יתרות פתיחה'!$2:$3,2,0),0)</f>
        <v>0</v>
      </c>
      <c r="AX562" s="1">
        <f>+IFERROR(HLOOKUP(AX25,'סקרי נכסים-יתרות פתיחה'!$2:$3,2,0),0)</f>
        <v>0</v>
      </c>
      <c r="AY562" s="1">
        <f>+IFERROR(HLOOKUP(AY25,'סקרי נכסים-יתרות פתיחה'!$2:$3,2,0),0)</f>
        <v>0</v>
      </c>
      <c r="AZ562" s="1">
        <f>+IFERROR(HLOOKUP(AZ25,'סקרי נכסים-יתרות פתיחה'!$2:$3,2,0),0)</f>
        <v>0</v>
      </c>
      <c r="BA562" s="1">
        <f>+IFERROR(HLOOKUP(BA25,'סקרי נכסים-יתרות פתיחה'!$2:$3,2,0),0)</f>
        <v>0</v>
      </c>
      <c r="BB562" s="1">
        <f>+IFERROR(HLOOKUP(BB25,'סקרי נכסים-יתרות פתיחה'!$2:$3,2,0),0)</f>
        <v>0</v>
      </c>
      <c r="BC562" s="1">
        <f>+IFERROR(HLOOKUP(BC25,'סקרי נכסים-יתרות פתיחה'!$2:$3,2,0),0)</f>
        <v>0</v>
      </c>
      <c r="BD562" s="1">
        <f>+IFERROR(HLOOKUP(BD25,'סקרי נכסים-יתרות פתיחה'!$2:$3,2,0),0)</f>
        <v>0</v>
      </c>
      <c r="BE562" s="1">
        <f>+IFERROR(HLOOKUP(BE25,'סקרי נכסים-יתרות פתיחה'!$2:$3,2,0),0)</f>
        <v>0</v>
      </c>
      <c r="BF562" s="1">
        <f>+IFERROR(HLOOKUP(BF25,'סקרי נכסים-יתרות פתיחה'!$2:$3,2,0),0)</f>
        <v>0</v>
      </c>
    </row>
    <row r="563" spans="1:58" x14ac:dyDescent="0.2">
      <c r="C563" s="1">
        <f>+IFERROR(HLOOKUP(C26,'סקרי נכסים-יתרות פתיחה'!$2:$3,2,0),0)</f>
        <v>0</v>
      </c>
      <c r="D563" s="1">
        <f>+IFERROR(HLOOKUP(D26,'סקרי נכסים-יתרות פתיחה'!$2:$3,2,0),0)</f>
        <v>0</v>
      </c>
      <c r="E563" s="1">
        <f>+IFERROR(HLOOKUP(E26,'סקרי נכסים-יתרות פתיחה'!$2:$3,2,0),0)</f>
        <v>0</v>
      </c>
      <c r="F563" s="1">
        <f>+IFERROR(HLOOKUP(F26,'סקרי נכסים-יתרות פתיחה'!$2:$3,2,0),0)</f>
        <v>0</v>
      </c>
      <c r="G563" s="1">
        <f>+IFERROR(HLOOKUP(G26,'סקרי נכסים-יתרות פתיחה'!$2:$3,2,0),0)</f>
        <v>0</v>
      </c>
      <c r="H563" s="1">
        <f>+IFERROR(HLOOKUP(H26,'סקרי נכסים-יתרות פתיחה'!$2:$3,2,0),0)</f>
        <v>0</v>
      </c>
      <c r="I563" s="1">
        <f>+IFERROR(HLOOKUP(I26,'סקרי נכסים-יתרות פתיחה'!$2:$3,2,0),0)</f>
        <v>0</v>
      </c>
      <c r="J563" s="1">
        <f>+IFERROR(HLOOKUP(J26,'סקרי נכסים-יתרות פתיחה'!$2:$3,2,0),0)</f>
        <v>0</v>
      </c>
      <c r="K563" s="1">
        <f>+IFERROR(HLOOKUP(K26,'סקרי נכסים-יתרות פתיחה'!$2:$3,2,0),0)</f>
        <v>0</v>
      </c>
      <c r="L563" s="1">
        <f>+IFERROR(HLOOKUP(L26,'סקרי נכסים-יתרות פתיחה'!$2:$3,2,0),0)</f>
        <v>0</v>
      </c>
      <c r="M563" s="1">
        <f>+IFERROR(HLOOKUP(M26,'סקרי נכסים-יתרות פתיחה'!$2:$3,2,0),0)</f>
        <v>0</v>
      </c>
      <c r="N563" s="1">
        <f>+IFERROR(HLOOKUP(N26,'סקרי נכסים-יתרות פתיחה'!$2:$3,2,0),0)</f>
        <v>0</v>
      </c>
      <c r="O563" s="1">
        <f>+IFERROR(HLOOKUP(O26,'סקרי נכסים-יתרות פתיחה'!$2:$3,2,0),0)</f>
        <v>0</v>
      </c>
      <c r="P563" s="1">
        <f>+IFERROR(HLOOKUP(P26,'סקרי נכסים-יתרות פתיחה'!$2:$3,2,0),0)</f>
        <v>0</v>
      </c>
      <c r="Q563" s="1">
        <f>+IFERROR(HLOOKUP(Q26,'סקרי נכסים-יתרות פתיחה'!$2:$3,2,0),0)</f>
        <v>0</v>
      </c>
      <c r="R563" s="1">
        <f>+IFERROR(HLOOKUP(R26,'סקרי נכסים-יתרות פתיחה'!$2:$3,2,0),0)</f>
        <v>0</v>
      </c>
      <c r="S563" s="1">
        <f>+IFERROR(HLOOKUP(S26,'סקרי נכסים-יתרות פתיחה'!$2:$3,2,0),0)</f>
        <v>0</v>
      </c>
      <c r="T563" s="1">
        <f>+IFERROR(HLOOKUP(T26,'סקרי נכסים-יתרות פתיחה'!$2:$3,2,0),0)</f>
        <v>0</v>
      </c>
      <c r="U563" s="1">
        <f>+IFERROR(HLOOKUP(U26,'סקרי נכסים-יתרות פתיחה'!$2:$3,2,0),0)</f>
        <v>0</v>
      </c>
      <c r="V563" s="1">
        <f>+IFERROR(HLOOKUP(V26,'סקרי נכסים-יתרות פתיחה'!$2:$3,2,0),0)</f>
        <v>0</v>
      </c>
      <c r="W563" s="1">
        <f>+IFERROR(HLOOKUP(W26,'סקרי נכסים-יתרות פתיחה'!$2:$3,2,0),0)</f>
        <v>0</v>
      </c>
      <c r="X563" s="1">
        <f>+IFERROR(HLOOKUP(X26,'סקרי נכסים-יתרות פתיחה'!$2:$3,2,0),0)</f>
        <v>0</v>
      </c>
      <c r="Y563" s="1">
        <f>+IFERROR(HLOOKUP(Y26,'סקרי נכסים-יתרות פתיחה'!$2:$3,2,0),0)</f>
        <v>0</v>
      </c>
      <c r="Z563" s="1">
        <f>+IFERROR(HLOOKUP(Z26,'סקרי נכסים-יתרות פתיחה'!$2:$3,2,0),0)</f>
        <v>0</v>
      </c>
      <c r="AA563" s="1">
        <f>+IFERROR(HLOOKUP(AA26,'סקרי נכסים-יתרות פתיחה'!$2:$3,2,0),0)</f>
        <v>0</v>
      </c>
      <c r="AB563" s="1">
        <f>+IFERROR(HLOOKUP(AB26,'סקרי נכסים-יתרות פתיחה'!$2:$3,2,0),0)</f>
        <v>0</v>
      </c>
      <c r="AC563" s="1">
        <f>+IFERROR(HLOOKUP(AC26,'סקרי נכסים-יתרות פתיחה'!$2:$3,2,0),0)</f>
        <v>0</v>
      </c>
      <c r="AD563" s="1">
        <f>+IFERROR(HLOOKUP(AD26,'סקרי נכסים-יתרות פתיחה'!$2:$3,2,0),0)</f>
        <v>0</v>
      </c>
      <c r="AE563" s="1">
        <f>+IFERROR(HLOOKUP(AE26,'סקרי נכסים-יתרות פתיחה'!$2:$3,2,0),0)</f>
        <v>0</v>
      </c>
      <c r="AF563" s="1">
        <f>+IFERROR(HLOOKUP(AF26,'סקרי נכסים-יתרות פתיחה'!$2:$3,2,0),0)</f>
        <v>0</v>
      </c>
      <c r="AG563" s="1">
        <f>+IFERROR(HLOOKUP(AG26,'סקרי נכסים-יתרות פתיחה'!$2:$3,2,0),0)</f>
        <v>0</v>
      </c>
      <c r="AH563" s="1">
        <f>+IFERROR(HLOOKUP(AH26,'סקרי נכסים-יתרות פתיחה'!$2:$3,2,0),0)</f>
        <v>0</v>
      </c>
      <c r="AI563" s="1">
        <f>+IFERROR(HLOOKUP(AI26,'סקרי נכסים-יתרות פתיחה'!$2:$3,2,0),0)</f>
        <v>0</v>
      </c>
      <c r="AJ563" s="1">
        <f>+IFERROR(HLOOKUP(AJ26,'סקרי נכסים-יתרות פתיחה'!$2:$3,2,0),0)</f>
        <v>0</v>
      </c>
      <c r="AK563" s="1">
        <f>+IFERROR(HLOOKUP(AK26,'סקרי נכסים-יתרות פתיחה'!$2:$3,2,0),0)</f>
        <v>0</v>
      </c>
      <c r="AL563" s="1">
        <f>+IFERROR(HLOOKUP(AL26,'סקרי נכסים-יתרות פתיחה'!$2:$3,2,0),0)</f>
        <v>0</v>
      </c>
      <c r="AM563" s="1">
        <f>+IFERROR(HLOOKUP(AM26,'סקרי נכסים-יתרות פתיחה'!$2:$3,2,0),0)</f>
        <v>0</v>
      </c>
      <c r="AN563" s="1">
        <f>+IFERROR(HLOOKUP(AN26,'סקרי נכסים-יתרות פתיחה'!$2:$3,2,0),0)</f>
        <v>0</v>
      </c>
      <c r="AO563" s="1">
        <f>+IFERROR(HLOOKUP(AO26,'סקרי נכסים-יתרות פתיחה'!$2:$3,2,0),0)</f>
        <v>0</v>
      </c>
      <c r="AP563" s="1">
        <f>+IFERROR(HLOOKUP(AP26,'סקרי נכסים-יתרות פתיחה'!$2:$3,2,0),0)</f>
        <v>0</v>
      </c>
      <c r="AQ563" s="1">
        <f>+IFERROR(HLOOKUP(AQ26,'סקרי נכסים-יתרות פתיחה'!$2:$3,2,0),0)</f>
        <v>0</v>
      </c>
      <c r="AR563" s="1">
        <f>+IFERROR(HLOOKUP(AR26,'סקרי נכסים-יתרות פתיחה'!$2:$3,2,0),0)</f>
        <v>0</v>
      </c>
      <c r="AS563" s="1">
        <f>+IFERROR(HLOOKUP(AS26,'סקרי נכסים-יתרות פתיחה'!$2:$3,2,0),0)</f>
        <v>0</v>
      </c>
      <c r="AT563" s="1">
        <f>+IFERROR(HLOOKUP(AT26,'סקרי נכסים-יתרות פתיחה'!$2:$3,2,0),0)</f>
        <v>0</v>
      </c>
      <c r="AU563" s="1">
        <f>+IFERROR(HLOOKUP(AU26,'סקרי נכסים-יתרות פתיחה'!$2:$3,2,0),0)</f>
        <v>0</v>
      </c>
      <c r="AV563" s="1">
        <f>+IFERROR(HLOOKUP(AV26,'סקרי נכסים-יתרות פתיחה'!$2:$3,2,0),0)</f>
        <v>0</v>
      </c>
      <c r="AW563" s="1">
        <f>+IFERROR(HLOOKUP(AW26,'סקרי נכסים-יתרות פתיחה'!$2:$3,2,0),0)</f>
        <v>0</v>
      </c>
      <c r="AX563" s="1">
        <f>+IFERROR(HLOOKUP(AX26,'סקרי נכסים-יתרות פתיחה'!$2:$3,2,0),0)</f>
        <v>0</v>
      </c>
      <c r="AY563" s="1">
        <f>+IFERROR(HLOOKUP(AY26,'סקרי נכסים-יתרות פתיחה'!$2:$3,2,0),0)</f>
        <v>0</v>
      </c>
      <c r="AZ563" s="1">
        <f>+IFERROR(HLOOKUP(AZ26,'סקרי נכסים-יתרות פתיחה'!$2:$3,2,0),0)</f>
        <v>0</v>
      </c>
      <c r="BA563" s="1">
        <f>+IFERROR(HLOOKUP(BA26,'סקרי נכסים-יתרות פתיחה'!$2:$3,2,0),0)</f>
        <v>0</v>
      </c>
      <c r="BB563" s="1">
        <f>+IFERROR(HLOOKUP(BB26,'סקרי נכסים-יתרות פתיחה'!$2:$3,2,0),0)</f>
        <v>0</v>
      </c>
      <c r="BC563" s="1">
        <f>+IFERROR(HLOOKUP(BC26,'סקרי נכסים-יתרות פתיחה'!$2:$3,2,0),0)</f>
        <v>0</v>
      </c>
      <c r="BD563" s="1">
        <f>+IFERROR(HLOOKUP(BD26,'סקרי נכסים-יתרות פתיחה'!$2:$3,2,0),0)</f>
        <v>0</v>
      </c>
      <c r="BE563" s="1">
        <f>+IFERROR(HLOOKUP(BE26,'סקרי נכסים-יתרות פתיחה'!$2:$3,2,0),0)</f>
        <v>0</v>
      </c>
      <c r="BF563" s="1">
        <f>+IFERROR(HLOOKUP(BF26,'סקרי נכסים-יתרות פתיחה'!$2:$3,2,0),0)</f>
        <v>0</v>
      </c>
    </row>
    <row r="564" spans="1:58" x14ac:dyDescent="0.2">
      <c r="C564" s="1">
        <f>+IFERROR(HLOOKUP(C27,'סקרי נכסים-יתרות פתיחה'!$2:$3,2,0),0)</f>
        <v>0</v>
      </c>
      <c r="D564" s="1">
        <f>+IFERROR(HLOOKUP(D27,'סקרי נכסים-יתרות פתיחה'!$2:$3,2,0),0)</f>
        <v>0</v>
      </c>
      <c r="E564" s="1">
        <f>+IFERROR(HLOOKUP(E27,'סקרי נכסים-יתרות פתיחה'!$2:$3,2,0),0)</f>
        <v>0</v>
      </c>
      <c r="F564" s="1">
        <f>+IFERROR(HLOOKUP(F27,'סקרי נכסים-יתרות פתיחה'!$2:$3,2,0),0)</f>
        <v>0</v>
      </c>
      <c r="G564" s="1">
        <f>+IFERROR(HLOOKUP(G27,'סקרי נכסים-יתרות פתיחה'!$2:$3,2,0),0)</f>
        <v>0</v>
      </c>
      <c r="H564" s="1">
        <f>+IFERROR(HLOOKUP(H27,'סקרי נכסים-יתרות פתיחה'!$2:$3,2,0),0)</f>
        <v>0</v>
      </c>
      <c r="I564" s="1">
        <f>+IFERROR(HLOOKUP(I27,'סקרי נכסים-יתרות פתיחה'!$2:$3,2,0),0)</f>
        <v>0</v>
      </c>
      <c r="J564" s="1">
        <f>+IFERROR(HLOOKUP(J27,'סקרי נכסים-יתרות פתיחה'!$2:$3,2,0),0)</f>
        <v>0</v>
      </c>
      <c r="K564" s="1">
        <f>+IFERROR(HLOOKUP(K27,'סקרי נכסים-יתרות פתיחה'!$2:$3,2,0),0)</f>
        <v>0</v>
      </c>
      <c r="L564" s="1">
        <f>+IFERROR(HLOOKUP(L27,'סקרי נכסים-יתרות פתיחה'!$2:$3,2,0),0)</f>
        <v>0</v>
      </c>
      <c r="M564" s="1">
        <f>+IFERROR(HLOOKUP(M27,'סקרי נכסים-יתרות פתיחה'!$2:$3,2,0),0)</f>
        <v>0</v>
      </c>
      <c r="N564" s="1">
        <f>+IFERROR(HLOOKUP(N27,'סקרי נכסים-יתרות פתיחה'!$2:$3,2,0),0)</f>
        <v>0</v>
      </c>
      <c r="O564" s="1">
        <f>+IFERROR(HLOOKUP(O27,'סקרי נכסים-יתרות פתיחה'!$2:$3,2,0),0)</f>
        <v>0</v>
      </c>
      <c r="P564" s="1">
        <f>+IFERROR(HLOOKUP(P27,'סקרי נכסים-יתרות פתיחה'!$2:$3,2,0),0)</f>
        <v>0</v>
      </c>
      <c r="Q564" s="1">
        <f>+IFERROR(HLOOKUP(Q27,'סקרי נכסים-יתרות פתיחה'!$2:$3,2,0),0)</f>
        <v>0</v>
      </c>
      <c r="R564" s="1">
        <f>+IFERROR(HLOOKUP(R27,'סקרי נכסים-יתרות פתיחה'!$2:$3,2,0),0)</f>
        <v>0</v>
      </c>
      <c r="S564" s="1">
        <f>+IFERROR(HLOOKUP(S27,'סקרי נכסים-יתרות פתיחה'!$2:$3,2,0),0)</f>
        <v>0</v>
      </c>
      <c r="T564" s="1">
        <f>+IFERROR(HLOOKUP(T27,'סקרי נכסים-יתרות פתיחה'!$2:$3,2,0),0)</f>
        <v>0</v>
      </c>
      <c r="U564" s="1">
        <f>+IFERROR(HLOOKUP(U27,'סקרי נכסים-יתרות פתיחה'!$2:$3,2,0),0)</f>
        <v>0</v>
      </c>
      <c r="V564" s="1">
        <f>+IFERROR(HLOOKUP(V27,'סקרי נכסים-יתרות פתיחה'!$2:$3,2,0),0)</f>
        <v>0</v>
      </c>
      <c r="W564" s="1">
        <f>+IFERROR(HLOOKUP(W27,'סקרי נכסים-יתרות פתיחה'!$2:$3,2,0),0)</f>
        <v>0</v>
      </c>
      <c r="X564" s="1">
        <f>+IFERROR(HLOOKUP(X27,'סקרי נכסים-יתרות פתיחה'!$2:$3,2,0),0)</f>
        <v>0</v>
      </c>
      <c r="Y564" s="1">
        <f>+IFERROR(HLOOKUP(Y27,'סקרי נכסים-יתרות פתיחה'!$2:$3,2,0),0)</f>
        <v>0</v>
      </c>
      <c r="Z564" s="1">
        <f>+IFERROR(HLOOKUP(Z27,'סקרי נכסים-יתרות פתיחה'!$2:$3,2,0),0)</f>
        <v>0</v>
      </c>
      <c r="AA564" s="1">
        <f>+IFERROR(HLOOKUP(AA27,'סקרי נכסים-יתרות פתיחה'!$2:$3,2,0),0)</f>
        <v>0</v>
      </c>
      <c r="AB564" s="1">
        <f>+IFERROR(HLOOKUP(AB27,'סקרי נכסים-יתרות פתיחה'!$2:$3,2,0),0)</f>
        <v>0</v>
      </c>
      <c r="AC564" s="1">
        <f>+IFERROR(HLOOKUP(AC27,'סקרי נכסים-יתרות פתיחה'!$2:$3,2,0),0)</f>
        <v>0</v>
      </c>
      <c r="AD564" s="1">
        <f>+IFERROR(HLOOKUP(AD27,'סקרי נכסים-יתרות פתיחה'!$2:$3,2,0),0)</f>
        <v>0</v>
      </c>
      <c r="AE564" s="1">
        <f>+IFERROR(HLOOKUP(AE27,'סקרי נכסים-יתרות פתיחה'!$2:$3,2,0),0)</f>
        <v>0</v>
      </c>
      <c r="AF564" s="1">
        <f>+IFERROR(HLOOKUP(AF27,'סקרי נכסים-יתרות פתיחה'!$2:$3,2,0),0)</f>
        <v>0</v>
      </c>
      <c r="AG564" s="1">
        <f>+IFERROR(HLOOKUP(AG27,'סקרי נכסים-יתרות פתיחה'!$2:$3,2,0),0)</f>
        <v>0</v>
      </c>
      <c r="AH564" s="1">
        <f>+IFERROR(HLOOKUP(AH27,'סקרי נכסים-יתרות פתיחה'!$2:$3,2,0),0)</f>
        <v>0</v>
      </c>
      <c r="AI564" s="1">
        <f>+IFERROR(HLOOKUP(AI27,'סקרי נכסים-יתרות פתיחה'!$2:$3,2,0),0)</f>
        <v>0</v>
      </c>
      <c r="AJ564" s="1">
        <f>+IFERROR(HLOOKUP(AJ27,'סקרי נכסים-יתרות פתיחה'!$2:$3,2,0),0)</f>
        <v>0</v>
      </c>
      <c r="AK564" s="1">
        <f>+IFERROR(HLOOKUP(AK27,'סקרי נכסים-יתרות פתיחה'!$2:$3,2,0),0)</f>
        <v>0</v>
      </c>
      <c r="AL564" s="1">
        <f>+IFERROR(HLOOKUP(AL27,'סקרי נכסים-יתרות פתיחה'!$2:$3,2,0),0)</f>
        <v>0</v>
      </c>
      <c r="AM564" s="1">
        <f>+IFERROR(HLOOKUP(AM27,'סקרי נכסים-יתרות פתיחה'!$2:$3,2,0),0)</f>
        <v>0</v>
      </c>
      <c r="AN564" s="1">
        <f>+IFERROR(HLOOKUP(AN27,'סקרי נכסים-יתרות פתיחה'!$2:$3,2,0),0)</f>
        <v>0</v>
      </c>
      <c r="AO564" s="1">
        <f>+IFERROR(HLOOKUP(AO27,'סקרי נכסים-יתרות פתיחה'!$2:$3,2,0),0)</f>
        <v>0</v>
      </c>
      <c r="AP564" s="1">
        <f>+IFERROR(HLOOKUP(AP27,'סקרי נכסים-יתרות פתיחה'!$2:$3,2,0),0)</f>
        <v>0</v>
      </c>
      <c r="AQ564" s="1">
        <f>+IFERROR(HLOOKUP(AQ27,'סקרי נכסים-יתרות פתיחה'!$2:$3,2,0),0)</f>
        <v>0</v>
      </c>
      <c r="AR564" s="1">
        <f>+IFERROR(HLOOKUP(AR27,'סקרי נכסים-יתרות פתיחה'!$2:$3,2,0),0)</f>
        <v>0</v>
      </c>
      <c r="AS564" s="1">
        <f>+IFERROR(HLOOKUP(AS27,'סקרי נכסים-יתרות פתיחה'!$2:$3,2,0),0)</f>
        <v>0</v>
      </c>
      <c r="AT564" s="1">
        <f>+IFERROR(HLOOKUP(AT27,'סקרי נכסים-יתרות פתיחה'!$2:$3,2,0),0)</f>
        <v>0</v>
      </c>
      <c r="AU564" s="1">
        <f>+IFERROR(HLOOKUP(AU27,'סקרי נכסים-יתרות פתיחה'!$2:$3,2,0),0)</f>
        <v>0</v>
      </c>
      <c r="AV564" s="1">
        <f>+IFERROR(HLOOKUP(AV27,'סקרי נכסים-יתרות פתיחה'!$2:$3,2,0),0)</f>
        <v>0</v>
      </c>
      <c r="AW564" s="1">
        <f>+IFERROR(HLOOKUP(AW27,'סקרי נכסים-יתרות פתיחה'!$2:$3,2,0),0)</f>
        <v>0</v>
      </c>
      <c r="AX564" s="1">
        <f>+IFERROR(HLOOKUP(AX27,'סקרי נכסים-יתרות פתיחה'!$2:$3,2,0),0)</f>
        <v>0</v>
      </c>
      <c r="AY564" s="1">
        <f>+IFERROR(HLOOKUP(AY27,'סקרי נכסים-יתרות פתיחה'!$2:$3,2,0),0)</f>
        <v>0</v>
      </c>
      <c r="AZ564" s="1">
        <f>+IFERROR(HLOOKUP(AZ27,'סקרי נכסים-יתרות פתיחה'!$2:$3,2,0),0)</f>
        <v>0</v>
      </c>
      <c r="BA564" s="1">
        <f>+IFERROR(HLOOKUP(BA27,'סקרי נכסים-יתרות פתיחה'!$2:$3,2,0),0)</f>
        <v>0</v>
      </c>
      <c r="BB564" s="1">
        <f>+IFERROR(HLOOKUP(BB27,'סקרי נכסים-יתרות פתיחה'!$2:$3,2,0),0)</f>
        <v>0</v>
      </c>
      <c r="BC564" s="1">
        <f>+IFERROR(HLOOKUP(BC27,'סקרי נכסים-יתרות פתיחה'!$2:$3,2,0),0)</f>
        <v>0</v>
      </c>
      <c r="BD564" s="1">
        <f>+IFERROR(HLOOKUP(BD27,'סקרי נכסים-יתרות פתיחה'!$2:$3,2,0),0)</f>
        <v>0</v>
      </c>
      <c r="BE564" s="1">
        <f>+IFERROR(HLOOKUP(BE27,'סקרי נכסים-יתרות פתיחה'!$2:$3,2,0),0)</f>
        <v>0</v>
      </c>
      <c r="BF564" s="1">
        <f>+IFERROR(HLOOKUP(BF27,'סקרי נכסים-יתרות פתיחה'!$2:$3,2,0),0)</f>
        <v>0</v>
      </c>
    </row>
    <row r="565" spans="1:58" x14ac:dyDescent="0.2">
      <c r="A565" s="42"/>
      <c r="Q565" s="42"/>
      <c r="R565" s="55"/>
    </row>
    <row r="566" spans="1:58" x14ac:dyDescent="0.2">
      <c r="A566" s="42"/>
      <c r="Q566" s="42"/>
      <c r="R566" s="50"/>
    </row>
    <row r="567" spans="1:58" x14ac:dyDescent="0.2">
      <c r="C567" s="1049">
        <f>(+IF(C545&gt;=2015,MAX(VLOOKUP(C649,'פחתי מים לרשויות מצטרפות'!$A$6:$G$9,MAX($B$3-C545,0)+3,0)-VLOOKUP(C$1,'פחת מים וגביה'!$A:$D,3,0),0))*C394/C$425)+IF(AND(C$7="חברה מנהלת",C8&lt;&gt;""),+VLOOKUP(C649,'פחתי מים לרשויות מצטרפות'!$A$6:$G$10,5,0)-VLOOKUP(C1,'פחת מים וגביה'!$A:$D,3,0),0)</f>
        <v>0</v>
      </c>
      <c r="D567" s="1049">
        <f>(+IF(D545&gt;=2015,MAX(VLOOKUP(D649,'פחתי מים לרשויות מצטרפות'!$A$6:$G$9,MAX($B$3-D545,0)+3,0)-VLOOKUP(D$1,'פחת מים וגביה'!$A:$D,3,0),0))*D394/D$425)+IF(AND(D$7="חברה מנהלת",D8&lt;&gt;""),+VLOOKUP(D649,'פחתי מים לרשויות מצטרפות'!$A$6:$G$10,5,0)-VLOOKUP(D1,'פחת מים וגביה'!$A:$D,3,0),0)</f>
        <v>0</v>
      </c>
      <c r="E567" s="1049">
        <f>(+IF(E545&gt;=2015,MAX(VLOOKUP(E649,'פחתי מים לרשויות מצטרפות'!$A$6:$G$9,MAX($B$3-E545,0)+3,0)-VLOOKUP(E$1,'פחת מים וגביה'!$A:$D,3,0),0))*E394/E$425)+IF(AND(E$7="חברה מנהלת",E8&lt;&gt;""),+VLOOKUP(E649,'פחתי מים לרשויות מצטרפות'!$A$6:$G$10,5,0)-VLOOKUP(E1,'פחת מים וגביה'!$A:$D,3,0),0)</f>
        <v>0</v>
      </c>
      <c r="F567" s="1049">
        <f>(+IF(F545&gt;=2015,MAX(VLOOKUP(F649,'פחתי מים לרשויות מצטרפות'!$A$6:$G$9,MAX($B$3-F545,0)+3,0)-VLOOKUP(F$1,'פחת מים וגביה'!$A:$D,3,0),0))*F394/F$425)+IF(AND(F$7="חברה מנהלת",F8&lt;&gt;""),+VLOOKUP(F649,'פחתי מים לרשויות מצטרפות'!$A$6:$G$10,5,0)-VLOOKUP(F1,'פחת מים וגביה'!$A:$D,3,0),0)</f>
        <v>0</v>
      </c>
      <c r="G567" s="1049">
        <f>(+IF(G545&gt;=2015,MAX(VLOOKUP(G649,'פחתי מים לרשויות מצטרפות'!$A$6:$G$9,MAX($B$3-G545,0)+3,0)-VLOOKUP(G$1,'פחת מים וגביה'!$A:$D,3,0),0))*G394/G$425)+IF(AND(G$7="חברה מנהלת",G8&lt;&gt;""),+VLOOKUP(G649,'פחתי מים לרשויות מצטרפות'!$A$6:$G$10,5,0)-VLOOKUP(G1,'פחת מים וגביה'!$A:$D,3,0),0)</f>
        <v>0</v>
      </c>
      <c r="H567" s="1049">
        <f>(+IF(H545&gt;=2015,MAX(VLOOKUP(H649,'פחתי מים לרשויות מצטרפות'!$A$6:$G$9,MAX($B$3-H545,0)+3,0)-VLOOKUP(H$1,'פחת מים וגביה'!$A:$D,3,0),0))*H394/H$425)+IF(AND(H$7="חברה מנהלת",H8&lt;&gt;""),+VLOOKUP(H649,'פחתי מים לרשויות מצטרפות'!$A$6:$G$10,5,0)-VLOOKUP(H1,'פחת מים וגביה'!$A:$D,3,0),0)</f>
        <v>0</v>
      </c>
      <c r="I567" s="1049">
        <f>(+IF(I545&gt;=2015,MAX(VLOOKUP(I649,'פחתי מים לרשויות מצטרפות'!$A$6:$G$9,MAX($B$3-I545,0)+3,0)-VLOOKUP(I$1,'פחת מים וגביה'!$A:$D,3,0),0))*I394/I$425)+IF(AND(I$7="חברה מנהלת",I8&lt;&gt;""),+VLOOKUP(I649,'פחתי מים לרשויות מצטרפות'!$A$6:$G$10,5,0)-VLOOKUP(I1,'פחת מים וגביה'!$A:$D,3,0),0)</f>
        <v>0</v>
      </c>
      <c r="J567" s="1049">
        <f>(+IF(J545&gt;=2015,MAX(VLOOKUP(J649,'פחתי מים לרשויות מצטרפות'!$A$6:$G$9,MAX($B$3-J545,0)+3,0)-VLOOKUP(J$1,'פחת מים וגביה'!$A:$D,3,0),0))*J394/J$425)+IF(AND(J$7="חברה מנהלת",J8&lt;&gt;""),+VLOOKUP(J649,'פחתי מים לרשויות מצטרפות'!$A$6:$G$10,5,0)-VLOOKUP(J1,'פחת מים וגביה'!$A:$D,3,0),0)</f>
        <v>0</v>
      </c>
      <c r="K567" s="1049">
        <f>(+IF(K545&gt;=2015,MAX(VLOOKUP(K649,'פחתי מים לרשויות מצטרפות'!$A$6:$G$9,MAX($B$3-K545,0)+3,0)-VLOOKUP(K$1,'פחת מים וגביה'!$A:$D,3,0),0))*K394/K$425)+IF(AND(K$7="חברה מנהלת",K8&lt;&gt;""),+VLOOKUP(K649,'פחתי מים לרשויות מצטרפות'!$A$6:$G$10,5,0)-VLOOKUP(K1,'פחת מים וגביה'!$A:$D,3,0),0)</f>
        <v>0</v>
      </c>
      <c r="L567" s="1049">
        <f>(+IF(L545&gt;=2015,MAX(VLOOKUP(L649,'פחתי מים לרשויות מצטרפות'!$A$6:$G$9,MAX($B$3-L545,0)+3,0)-VLOOKUP(L$1,'פחת מים וגביה'!$A:$D,3,0),0))*L394/L$425)+IF(AND(L$7="חברה מנהלת",L8&lt;&gt;""),+VLOOKUP(L649,'פחתי מים לרשויות מצטרפות'!$A$6:$G$10,5,0)-VLOOKUP(L1,'פחת מים וגביה'!$A:$D,3,0),0)</f>
        <v>0</v>
      </c>
      <c r="M567" s="1049">
        <f>(+IF(M545&gt;=2015,MAX(VLOOKUP(M649,'פחתי מים לרשויות מצטרפות'!$A$6:$G$9,MAX($B$3-M545,0)+3,0)-VLOOKUP(M$1,'פחת מים וגביה'!$A:$D,3,0),0))*M394/M$425)+IF(AND(M$7="חברה מנהלת",M8&lt;&gt;""),+VLOOKUP(M649,'פחתי מים לרשויות מצטרפות'!$A$6:$G$10,5,0)-VLOOKUP(M1,'פחת מים וגביה'!$A:$D,3,0),0)</f>
        <v>0</v>
      </c>
      <c r="N567" s="1049">
        <f>(+IF(N545&gt;=2015,MAX(VLOOKUP(N649,'פחתי מים לרשויות מצטרפות'!$A$6:$G$9,MAX($B$3-N545,0)+3,0)-VLOOKUP(N$1,'פחת מים וגביה'!$A:$D,3,0),0))*N394/N$425)+IF(AND(N$7="חברה מנהלת",N8&lt;&gt;""),+VLOOKUP(N649,'פחתי מים לרשויות מצטרפות'!$A$6:$G$10,5,0)-VLOOKUP(N1,'פחת מים וגביה'!$A:$D,3,0),0)</f>
        <v>0</v>
      </c>
      <c r="O567" s="1049">
        <f>(+IF(O545&gt;=2015,MAX(VLOOKUP(O649,'פחתי מים לרשויות מצטרפות'!$A$6:$G$9,MAX($B$3-O545,0)+3,0)-VLOOKUP(O$1,'פחת מים וגביה'!$A:$D,3,0),0))*O394/O$425)+IF(AND(O$7="חברה מנהלת",O8&lt;&gt;""),+VLOOKUP(O649,'פחתי מים לרשויות מצטרפות'!$A$6:$G$10,5,0)-VLOOKUP(O1,'פחת מים וגביה'!$A:$D,3,0),0)</f>
        <v>0</v>
      </c>
      <c r="P567" s="1049">
        <f>(+IF(P545&gt;=2015,MAX(VLOOKUP(P649,'פחתי מים לרשויות מצטרפות'!$A$6:$G$9,MAX($B$3-P545,0)+3,0)-VLOOKUP(P$1,'פחת מים וגביה'!$A:$D,3,0),0))*P394/P$425)+IF(AND(P$7="חברה מנהלת",P8&lt;&gt;""),+VLOOKUP(P649,'פחתי מים לרשויות מצטרפות'!$A$6:$G$10,5,0)-VLOOKUP(P1,'פחת מים וגביה'!$A:$D,3,0),0)</f>
        <v>0</v>
      </c>
      <c r="Q567" s="1049">
        <f>(+IF(Q545&gt;=2015,MAX(VLOOKUP(Q649,'פחתי מים לרשויות מצטרפות'!$A$6:$G$9,MAX($B$3-Q545,0)+3,0)-VLOOKUP(Q$1,'פחת מים וגביה'!$A:$D,3,0),0))*Q394/Q$425)+IF(AND(Q$7="חברה מנהלת",Q8&lt;&gt;""),+VLOOKUP(Q649,'פחתי מים לרשויות מצטרפות'!$A$6:$G$10,5,0)-VLOOKUP(Q1,'פחת מים וגביה'!$A:$D,3,0),0)</f>
        <v>0</v>
      </c>
      <c r="R567" s="1049">
        <f>(+IF(R545&gt;=2015,MAX(VLOOKUP(R649,'פחתי מים לרשויות מצטרפות'!$A$6:$G$9,MAX($B$3-R545,0)+3,0)-VLOOKUP(R$1,'פחת מים וגביה'!$A:$D,3,0),0))*R394/R$425)+IF(AND(R$7="חברה מנהלת",R8&lt;&gt;""),+VLOOKUP(R649,'פחתי מים לרשויות מצטרפות'!$A$6:$G$10,5,0)-VLOOKUP(R1,'פחת מים וגביה'!$A:$D,3,0),0)</f>
        <v>0</v>
      </c>
      <c r="S567" s="1049">
        <f>(+IF(S545&gt;=2015,MAX(VLOOKUP(S649,'פחתי מים לרשויות מצטרפות'!$A$6:$G$9,MAX($B$3-S545,0)+3,0)-VLOOKUP(S$1,'פחת מים וגביה'!$A:$D,3,0),0))*S394/S$425)+IF(AND(S$7="חברה מנהלת",S8&lt;&gt;""),+VLOOKUP(S649,'פחתי מים לרשויות מצטרפות'!$A$6:$G$10,5,0)-VLOOKUP(S1,'פחת מים וגביה'!$A:$D,3,0),0)</f>
        <v>0</v>
      </c>
      <c r="T567" s="1049">
        <f>(+IF(T545&gt;=2015,MAX(VLOOKUP(T649,'פחתי מים לרשויות מצטרפות'!$A$6:$G$9,MAX($B$3-T545,0)+3,0)-VLOOKUP(T$1,'פחת מים וגביה'!$A:$D,3,0),0))*T394/T$425)+IF(AND(T$7="חברה מנהלת",T8&lt;&gt;""),+VLOOKUP(T649,'פחתי מים לרשויות מצטרפות'!$A$6:$G$10,5,0)-VLOOKUP(T1,'פחת מים וגביה'!$A:$D,3,0),0)</f>
        <v>0</v>
      </c>
      <c r="U567" s="1049">
        <f>(+IF(U545&gt;=2015,MAX(VLOOKUP(U649,'פחתי מים לרשויות מצטרפות'!$A$6:$G$9,MAX($B$3-U545,0)+3,0)-VLOOKUP(U$1,'פחת מים וגביה'!$A:$D,3,0),0))*U394/U$425)+IF(AND(U$7="חברה מנהלת",U8&lt;&gt;""),+VLOOKUP(U649,'פחתי מים לרשויות מצטרפות'!$A$6:$G$10,5,0)-VLOOKUP(U1,'פחת מים וגביה'!$A:$D,3,0),0)</f>
        <v>0</v>
      </c>
      <c r="V567" s="1049">
        <f>(+IF(V545&gt;=2015,MAX(VLOOKUP(V649,'פחתי מים לרשויות מצטרפות'!$A$6:$G$9,MAX($B$3-V545,0)+3,0)-VLOOKUP(V$1,'פחת מים וגביה'!$A:$D,3,0),0))*V394/V$425)+IF(AND(V$7="חברה מנהלת",V8&lt;&gt;""),+VLOOKUP(V649,'פחתי מים לרשויות מצטרפות'!$A$6:$G$10,5,0)-VLOOKUP(V1,'פחת מים וגביה'!$A:$D,3,0),0)</f>
        <v>0</v>
      </c>
      <c r="W567" s="1049">
        <f>(+IF(W545&gt;=2015,MAX(VLOOKUP(W649,'פחתי מים לרשויות מצטרפות'!$A$6:$G$9,MAX($B$3-W545,0)+3,0)-VLOOKUP(W$1,'פחת מים וגביה'!$A:$D,3,0),0))*W394/W$425)+IF(AND(W$7="חברה מנהלת",W8&lt;&gt;""),+VLOOKUP(W649,'פחתי מים לרשויות מצטרפות'!$A$6:$G$10,5,0)-VLOOKUP(W1,'פחת מים וגביה'!$A:$D,3,0),0)</f>
        <v>0</v>
      </c>
      <c r="X567" s="1049">
        <f>(+IF(X545&gt;=2015,MAX(VLOOKUP(X649,'פחתי מים לרשויות מצטרפות'!$A$6:$G$9,MAX($B$3-X545,0)+3,0)-VLOOKUP(X$1,'פחת מים וגביה'!$A:$D,3,0),0))*X394/X$425)+IF(AND(X$7="חברה מנהלת",X8&lt;&gt;""),+VLOOKUP(X649,'פחתי מים לרשויות מצטרפות'!$A$6:$G$10,5,0)-VLOOKUP(X1,'פחת מים וגביה'!$A:$D,3,0),0)</f>
        <v>0</v>
      </c>
      <c r="Y567" s="1049">
        <f>(+IF(Y545&gt;=2015,MAX(VLOOKUP(Y649,'פחתי מים לרשויות מצטרפות'!$A$6:$G$9,MAX($B$3-Y545,0)+3,0)-VLOOKUP(Y$1,'פחת מים וגביה'!$A:$D,3,0),0))*Y394/Y$425)+IF(AND(Y$7="חברה מנהלת",Y8&lt;&gt;""),+VLOOKUP(Y649,'פחתי מים לרשויות מצטרפות'!$A$6:$G$10,5,0)-VLOOKUP(Y1,'פחת מים וגביה'!$A:$D,3,0),0)</f>
        <v>0</v>
      </c>
      <c r="Z567" s="1049">
        <f>(+IF(Z545&gt;=2015,MAX(VLOOKUP(Z649,'פחתי מים לרשויות מצטרפות'!$A$6:$G$9,MAX($B$3-Z545,0)+3,0)-VLOOKUP(Z$1,'פחת מים וגביה'!$A:$D,3,0),0))*Z394/Z$425)+IF(AND(Z$7="חברה מנהלת",Z8&lt;&gt;""),+VLOOKUP(Z649,'פחתי מים לרשויות מצטרפות'!$A$6:$G$10,5,0)-VLOOKUP(Z1,'פחת מים וגביה'!$A:$D,3,0),0)</f>
        <v>0</v>
      </c>
      <c r="AA567" s="1049">
        <f>(+IF(AA545&gt;=2015,MAX(VLOOKUP(AA649,'פחתי מים לרשויות מצטרפות'!$A$6:$G$9,MAX($B$3-AA545,0)+3,0)-VLOOKUP(AA$1,'פחת מים וגביה'!$A:$D,3,0),0))*AA394/AA$425)+IF(AND(AA$7="חברה מנהלת",AA8&lt;&gt;""),+VLOOKUP(AA649,'פחתי מים לרשויות מצטרפות'!$A$6:$G$10,5,0)-VLOOKUP(AA1,'פחת מים וגביה'!$A:$D,3,0),0)</f>
        <v>0</v>
      </c>
      <c r="AB567" s="1049">
        <f>(+IF(AB545&gt;=2015,MAX(VLOOKUP(AB649,'פחתי מים לרשויות מצטרפות'!$A$6:$G$9,MAX($B$3-AB545,0)+3,0)-VLOOKUP(AB$1,'פחת מים וגביה'!$A:$D,3,0),0))*AB394/AB$425)+IF(AND(AB$7="חברה מנהלת",AB8&lt;&gt;""),+VLOOKUP(AB649,'פחתי מים לרשויות מצטרפות'!$A$6:$G$10,5,0)-VLOOKUP(AB1,'פחת מים וגביה'!$A:$D,3,0),0)</f>
        <v>0</v>
      </c>
      <c r="AC567" s="1049">
        <f>(+IF(AC545&gt;=2015,MAX(VLOOKUP(AC649,'פחתי מים לרשויות מצטרפות'!$A$6:$G$9,MAX($B$3-AC545,0)+3,0)-VLOOKUP(AC$1,'פחת מים וגביה'!$A:$D,3,0),0))*AC394/AC$425)+IF(AND(AC$7="חברה מנהלת",AC8&lt;&gt;""),+VLOOKUP(AC649,'פחתי מים לרשויות מצטרפות'!$A$6:$G$10,5,0)-VLOOKUP(AC1,'פחת מים וגביה'!$A:$D,3,0),0)</f>
        <v>0</v>
      </c>
      <c r="AD567" s="1049">
        <f>(+IF(AD545&gt;=2015,MAX(VLOOKUP(AD649,'פחתי מים לרשויות מצטרפות'!$A$6:$G$9,MAX($B$3-AD545,0)+3,0)-VLOOKUP(AD$1,'פחת מים וגביה'!$A:$D,3,0),0))*AD394/AD$425)+IF(AND(AD$7="חברה מנהלת",AD8&lt;&gt;""),+VLOOKUP(AD649,'פחתי מים לרשויות מצטרפות'!$A$6:$G$10,5,0)-VLOOKUP(AD1,'פחת מים וגביה'!$A:$D,3,0),0)</f>
        <v>0</v>
      </c>
      <c r="AE567" s="1049">
        <f>(+IF(AE545&gt;=2015,MAX(VLOOKUP(AE649,'פחתי מים לרשויות מצטרפות'!$A$6:$G$9,MAX($B$3-AE545,0)+3,0)-VLOOKUP(AE$1,'פחת מים וגביה'!$A:$D,3,0),0))*AE394/AE$425)+IF(AND(AE$7="חברה מנהלת",AE8&lt;&gt;""),+VLOOKUP(AE649,'פחתי מים לרשויות מצטרפות'!$A$6:$G$10,5,0)-VLOOKUP(AE1,'פחת מים וגביה'!$A:$D,3,0),0)</f>
        <v>0</v>
      </c>
      <c r="AF567" s="1049">
        <f>(+IF(AF545&gt;=2015,MAX(VLOOKUP(AF649,'פחתי מים לרשויות מצטרפות'!$A$6:$G$9,MAX($B$3-AF545,0)+3,0)-VLOOKUP(AF$1,'פחת מים וגביה'!$A:$D,3,0),0))*AF394/AF$425)+IF(AND(AF$7="חברה מנהלת",AF8&lt;&gt;""),+VLOOKUP(AF649,'פחתי מים לרשויות מצטרפות'!$A$6:$G$10,5,0)-VLOOKUP(AF1,'פחת מים וגביה'!$A:$D,3,0),0)</f>
        <v>0</v>
      </c>
      <c r="AG567" s="1049">
        <f>(+IF(AG545&gt;=2015,MAX(VLOOKUP(AG649,'פחתי מים לרשויות מצטרפות'!$A$6:$G$9,MAX($B$3-AG545,0)+3,0)-VLOOKUP(AG$1,'פחת מים וגביה'!$A:$D,3,0),0))*AG394/AG$425)+IF(AND(AG$7="חברה מנהלת",AG8&lt;&gt;""),+VLOOKUP(AG649,'פחתי מים לרשויות מצטרפות'!$A$6:$G$10,5,0)-VLOOKUP(AG1,'פחת מים וגביה'!$A:$D,3,0),0)</f>
        <v>0</v>
      </c>
      <c r="AH567" s="1049">
        <f>(+IF(AH545&gt;=2015,MAX(VLOOKUP(AH649,'פחתי מים לרשויות מצטרפות'!$A$6:$G$9,MAX($B$3-AH545,0)+3,0)-VLOOKUP(AH$1,'פחת מים וגביה'!$A:$D,3,0),0))*AH394/AH$425)+IF(AND(AH$7="חברה מנהלת",AH8&lt;&gt;""),+VLOOKUP(AH649,'פחתי מים לרשויות מצטרפות'!$A$6:$G$10,5,0)-VLOOKUP(AH1,'פחת מים וגביה'!$A:$D,3,0),0)</f>
        <v>0</v>
      </c>
      <c r="AI567" s="1049">
        <f>(+IF(AI545&gt;=2015,MAX(VLOOKUP(AI649,'פחתי מים לרשויות מצטרפות'!$A$6:$G$9,MAX($B$3-AI545,0)+3,0)-VLOOKUP(AI$1,'פחת מים וגביה'!$A:$D,3,0),0))*AI394/AI$425)+IF(AND(AI$7="חברה מנהלת",AI8&lt;&gt;""),+VLOOKUP(AI649,'פחתי מים לרשויות מצטרפות'!$A$6:$G$10,5,0)-VLOOKUP(AI1,'פחת מים וגביה'!$A:$D,3,0),0)</f>
        <v>0</v>
      </c>
      <c r="AJ567" s="1049">
        <f>(+IF(AJ545&gt;=2015,MAX(VLOOKUP(AJ649,'פחתי מים לרשויות מצטרפות'!$A$6:$G$9,MAX($B$3-AJ545,0)+3,0)-VLOOKUP(AJ$1,'פחת מים וגביה'!$A:$D,3,0),0))*AJ394/AJ$425)+IF(AND(AJ$7="חברה מנהלת",AJ8&lt;&gt;""),+VLOOKUP(AJ649,'פחתי מים לרשויות מצטרפות'!$A$6:$G$10,5,0)-VLOOKUP(AJ1,'פחת מים וגביה'!$A:$D,3,0),0)</f>
        <v>0</v>
      </c>
      <c r="AK567" s="1049">
        <f>(+IF(AK545&gt;=2015,MAX(VLOOKUP(AK649,'פחתי מים לרשויות מצטרפות'!$A$6:$G$9,MAX($B$3-AK545,0)+3,0)-VLOOKUP(AK$1,'פחת מים וגביה'!$A:$D,3,0),0))*AK394/AK$425)+IF(AND(AK$7="חברה מנהלת",AK8&lt;&gt;""),+VLOOKUP(AK649,'פחתי מים לרשויות מצטרפות'!$A$6:$G$10,5,0)-VLOOKUP(AK1,'פחת מים וגביה'!$A:$D,3,0),0)</f>
        <v>0</v>
      </c>
      <c r="AL567" s="1049">
        <f>(+IF(AL545&gt;=2015,MAX(VLOOKUP(AL649,'פחתי מים לרשויות מצטרפות'!$A$6:$G$9,MAX($B$3-AL545,0)+3,0)-VLOOKUP(AL$1,'פחת מים וגביה'!$A:$D,3,0),0))*AL394/AL$425)+IF(AND(AL$7="חברה מנהלת",AL8&lt;&gt;""),+VLOOKUP(AL649,'פחתי מים לרשויות מצטרפות'!$A$6:$G$10,5,0)-VLOOKUP(AL1,'פחת מים וגביה'!$A:$D,3,0),0)</f>
        <v>0</v>
      </c>
      <c r="AM567" s="1049">
        <f>(+IF(AM545&gt;=2015,MAX(VLOOKUP(AM649,'פחתי מים לרשויות מצטרפות'!$A$6:$G$9,MAX($B$3-AM545,0)+3,0)-VLOOKUP(AM$1,'פחת מים וגביה'!$A:$D,3,0),0))*AM394/AM$425)+IF(AND(AM$7="חברה מנהלת",AM8&lt;&gt;""),+VLOOKUP(AM649,'פחתי מים לרשויות מצטרפות'!$A$6:$G$10,5,0)-VLOOKUP(AM1,'פחת מים וגביה'!$A:$D,3,0),0)</f>
        <v>0</v>
      </c>
      <c r="AN567" s="1049">
        <f>(+IF(AN545&gt;=2015,MAX(VLOOKUP(AN649,'פחתי מים לרשויות מצטרפות'!$A$6:$G$9,MAX($B$3-AN545,0)+3,0)-VLOOKUP(AN$1,'פחת מים וגביה'!$A:$D,3,0),0))*AN394/AN$425)+IF(AND(AN$7="חברה מנהלת",AN8&lt;&gt;""),+VLOOKUP(AN649,'פחתי מים לרשויות מצטרפות'!$A$6:$G$10,5,0)-VLOOKUP(AN1,'פחת מים וגביה'!$A:$D,3,0),0)</f>
        <v>0</v>
      </c>
      <c r="AO567" s="1049">
        <f>(+IF(AO545&gt;=2015,MAX(VLOOKUP(AO649,'פחתי מים לרשויות מצטרפות'!$A$6:$G$9,MAX($B$3-AO545,0)+3,0)-VLOOKUP(AO$1,'פחת מים וגביה'!$A:$D,3,0),0))*AO394/AO$425)+IF(AND(AO$7="חברה מנהלת",AO8&lt;&gt;""),+VLOOKUP(AO649,'פחתי מים לרשויות מצטרפות'!$A$6:$G$10,5,0)-VLOOKUP(AO1,'פחת מים וגביה'!$A:$D,3,0),0)</f>
        <v>0</v>
      </c>
      <c r="AP567" s="1049">
        <f>(+IF(AP545&gt;=2015,MAX(VLOOKUP(AP649,'פחתי מים לרשויות מצטרפות'!$A$6:$G$9,MAX($B$3-AP545,0)+3,0)-VLOOKUP(AP$1,'פחת מים וגביה'!$A:$D,3,0),0))*AP394/AP$425)+IF(AND(AP$7="חברה מנהלת",AP8&lt;&gt;""),+VLOOKUP(AP649,'פחתי מים לרשויות מצטרפות'!$A$6:$G$10,5,0)-VLOOKUP(AP1,'פחת מים וגביה'!$A:$D,3,0),0)</f>
        <v>0</v>
      </c>
      <c r="AQ567" s="1049">
        <f>(+IF(AQ545&gt;=2015,MAX(VLOOKUP(AQ649,'פחתי מים לרשויות מצטרפות'!$A$6:$G$9,MAX($B$3-AQ545,0)+3,0)-VLOOKUP(AQ$1,'פחת מים וגביה'!$A:$D,3,0),0))*AQ394/AQ$425)+IF(AND(AQ$7="חברה מנהלת",AQ8&lt;&gt;""),+VLOOKUP(AQ649,'פחתי מים לרשויות מצטרפות'!$A$6:$G$10,5,0)-VLOOKUP(AQ1,'פחת מים וגביה'!$A:$D,3,0),0)</f>
        <v>0</v>
      </c>
      <c r="AR567" s="1049">
        <f>(+IF(AR545&gt;=2015,MAX(VLOOKUP(AR649,'פחתי מים לרשויות מצטרפות'!$A$6:$G$9,MAX($B$3-AR545,0)+3,0)-VLOOKUP(AR$1,'פחת מים וגביה'!$A:$D,3,0),0))*AR394/AR$425)+IF(AND(AR$7="חברה מנהלת",AR8&lt;&gt;""),+VLOOKUP(AR649,'פחתי מים לרשויות מצטרפות'!$A$6:$G$10,5,0)-VLOOKUP(AR1,'פחת מים וגביה'!$A:$D,3,0),0)</f>
        <v>0</v>
      </c>
      <c r="AS567" s="1049">
        <f>(+IF(AS545&gt;=2015,MAX(VLOOKUP(AS649,'פחתי מים לרשויות מצטרפות'!$A$6:$G$9,MAX($B$3-AS545,0)+3,0)-VLOOKUP(AS$1,'פחת מים וגביה'!$A:$D,3,0),0))*AS394/AS$425)+IF(AND(AS$7="חברה מנהלת",AS8&lt;&gt;""),+VLOOKUP(AS649,'פחתי מים לרשויות מצטרפות'!$A$6:$G$10,5,0)-VLOOKUP(AS1,'פחת מים וגביה'!$A:$D,3,0),0)</f>
        <v>0</v>
      </c>
      <c r="AT567" s="1049">
        <f>(+IF(AT545&gt;=2015,MAX(VLOOKUP(AT649,'פחתי מים לרשויות מצטרפות'!$A$6:$G$9,MAX($B$3-AT545,0)+3,0)-VLOOKUP(AT$1,'פחת מים וגביה'!$A:$D,3,0),0))*AT394/AT$425)+IF(AND(AT$7="חברה מנהלת",AT8&lt;&gt;""),+VLOOKUP(AT649,'פחתי מים לרשויות מצטרפות'!$A$6:$G$10,5,0)-VLOOKUP(AT1,'פחת מים וגביה'!$A:$D,3,0),0)</f>
        <v>0</v>
      </c>
      <c r="AU567" s="1049">
        <f>(+IF(AU545&gt;=2015,MAX(VLOOKUP(AU649,'פחתי מים לרשויות מצטרפות'!$A$6:$G$9,MAX($B$3-AU545,0)+3,0)-VLOOKUP(AU$1,'פחת מים וגביה'!$A:$D,3,0),0))*AU394/AU$425)+IF(AND(AU$7="חברה מנהלת",AU8&lt;&gt;""),+VLOOKUP(AU649,'פחתי מים לרשויות מצטרפות'!$A$6:$G$10,5,0)-VLOOKUP(AU1,'פחת מים וגביה'!$A:$D,3,0),0)</f>
        <v>0</v>
      </c>
      <c r="AV567" s="1049">
        <f>(+IF(AV545&gt;=2015,MAX(VLOOKUP(AV649,'פחתי מים לרשויות מצטרפות'!$A$6:$G$9,MAX($B$3-AV545,0)+3,0)-VLOOKUP(AV$1,'פחת מים וגביה'!$A:$D,3,0),0))*AV394/AV$425)+IF(AND(AV$7="חברה מנהלת",AV8&lt;&gt;""),+VLOOKUP(AV649,'פחתי מים לרשויות מצטרפות'!$A$6:$G$10,5,0)-VLOOKUP(AV1,'פחת מים וגביה'!$A:$D,3,0),0)</f>
        <v>0</v>
      </c>
      <c r="AW567" s="1049">
        <f>(+IF(AW545&gt;=2015,MAX(VLOOKUP(AW649,'פחתי מים לרשויות מצטרפות'!$A$6:$G$9,MAX($B$3-AW545,0)+3,0)-VLOOKUP(AW$1,'פחת מים וגביה'!$A:$D,3,0),0))*AW394/AW$425)+IF(AND(AW$7="חברה מנהלת",AW8&lt;&gt;""),+VLOOKUP(AW649,'פחתי מים לרשויות מצטרפות'!$A$6:$G$10,5,0)-VLOOKUP(AW1,'פחת מים וגביה'!$A:$D,3,0),0)</f>
        <v>0</v>
      </c>
      <c r="AX567" s="1049">
        <f>(+IF(AX545&gt;=2015,MAX(VLOOKUP(AX649,'פחתי מים לרשויות מצטרפות'!$A$6:$G$9,MAX($B$3-AX545,0)+3,0)-VLOOKUP(AX$1,'פחת מים וגביה'!$A:$D,3,0),0))*AX394/AX$425)+IF(AND(AX$7="חברה מנהלת",AX8&lt;&gt;""),+VLOOKUP(AX649,'פחתי מים לרשויות מצטרפות'!$A$6:$G$10,5,0)-VLOOKUP(AX1,'פחת מים וגביה'!$A:$D,3,0),0)</f>
        <v>0</v>
      </c>
      <c r="AY567" s="1049">
        <f>(+IF(AY545&gt;=2015,MAX(VLOOKUP(AY649,'פחתי מים לרשויות מצטרפות'!$A$6:$G$9,MAX($B$3-AY545,0)+3,0)-VLOOKUP(AY$1,'פחת מים וגביה'!$A:$D,3,0),0))*AY394/AY$425)+IF(AND(AY$7="חברה מנהלת",AY8&lt;&gt;""),+VLOOKUP(AY649,'פחתי מים לרשויות מצטרפות'!$A$6:$G$10,5,0)-VLOOKUP(AY1,'פחת מים וגביה'!$A:$D,3,0),0)</f>
        <v>3.2499999999999987E-2</v>
      </c>
      <c r="AZ567" s="1049">
        <f>(+IF(AZ545&gt;=2015,MAX(VLOOKUP(AZ649,'פחתי מים לרשויות מצטרפות'!$A$6:$G$9,MAX($B$3-AZ545,0)+3,0)-VLOOKUP(AZ$1,'פחת מים וגביה'!$A:$D,3,0),0))*AZ394/AZ$425)+IF(AND(AZ$7="חברה מנהלת",AZ8&lt;&gt;""),+VLOOKUP(AZ649,'פחתי מים לרשויות מצטרפות'!$A$6:$G$10,5,0)-VLOOKUP(AZ1,'פחת מים וגביה'!$A:$D,3,0),0)</f>
        <v>0</v>
      </c>
      <c r="BA567" s="1049">
        <f>(+IF(BA545&gt;=2015,MAX(VLOOKUP(BA649,'פחתי מים לרשויות מצטרפות'!$A$6:$G$9,MAX($B$3-BA545,0)+3,0)-VLOOKUP(BA$1,'פחת מים וגביה'!$A:$D,3,0),0))*BA394/BA$425)+IF(AND(BA$7="חברה מנהלת",BA8&lt;&gt;""),+VLOOKUP(BA649,'פחתי מים לרשויות מצטרפות'!$A$6:$G$10,5,0)-VLOOKUP(BA1,'פחת מים וגביה'!$A:$D,3,0),0)</f>
        <v>0</v>
      </c>
      <c r="BB567" s="1049">
        <f>(+IF(BB545&gt;=2015,MAX(VLOOKUP(BB649,'פחתי מים לרשויות מצטרפות'!$A$6:$G$9,MAX($B$3-BB545,0)+3,0)-VLOOKUP(BB$1,'פחת מים וגביה'!$A:$D,3,0),0))*BB394/BB$425)+IF(AND(BB$7="חברה מנהלת",BB8&lt;&gt;""),+VLOOKUP(BB649,'פחתי מים לרשויות מצטרפות'!$A$6:$G$10,5,0)-VLOOKUP(BB1,'פחת מים וגביה'!$A:$D,3,0),0)</f>
        <v>0</v>
      </c>
      <c r="BC567" s="1049">
        <f>(+IF(BC545&gt;=2015,MAX(VLOOKUP(BC649,'פחתי מים לרשויות מצטרפות'!$A$6:$G$9,MAX($B$3-BC545,0)+3,0)-VLOOKUP(BC$1,'פחת מים וגביה'!$A:$D,3,0),0))*BC394/BC$425)+IF(AND(BC$7="חברה מנהלת",BC8&lt;&gt;""),+VLOOKUP(BC649,'פחתי מים לרשויות מצטרפות'!$A$6:$G$10,5,0)-VLOOKUP(BC1,'פחת מים וגביה'!$A:$D,3,0),0)</f>
        <v>0</v>
      </c>
      <c r="BD567" s="1049">
        <f>(+IF(BD545&gt;=2015,MAX(VLOOKUP(BD649,'פחתי מים לרשויות מצטרפות'!$A$6:$G$9,MAX($B$3-BD545,0)+3,0)-VLOOKUP(BD$1,'פחת מים וגביה'!$A:$D,3,0),0))*BD394/BD$425)+IF(AND(BD$7="חברה מנהלת",BD8&lt;&gt;""),+VLOOKUP(BD649,'פחתי מים לרשויות מצטרפות'!$A$6:$G$10,5,0)-VLOOKUP(BD1,'פחת מים וגביה'!$A:$D,3,0),0)</f>
        <v>0</v>
      </c>
      <c r="BE567" s="1049">
        <f>(+IF(BE545&gt;=2015,MAX(VLOOKUP(BE649,'פחתי מים לרשויות מצטרפות'!$A$6:$G$9,MAX($B$3-BE545,0)+3,0)-VLOOKUP(BE$1,'פחת מים וגביה'!$A:$D,3,0),0))*BE394/BE$425)+IF(AND(BE$7="חברה מנהלת",BE8&lt;&gt;""),+VLOOKUP(BE649,'פחתי מים לרשויות מצטרפות'!$A$6:$G$10,5,0)-VLOOKUP(BE1,'פחת מים וגביה'!$A:$D,3,0),0)</f>
        <v>0</v>
      </c>
      <c r="BF567" s="1049">
        <f>(+IF(BF545&gt;=2015,MAX(VLOOKUP(BF649,'פחתי מים לרשויות מצטרפות'!$A$6:$G$9,MAX($B$3-BF545,0)+3,0)-VLOOKUP(BF$1,'פחת מים וגביה'!$A:$D,3,0),0))*BF394/BF$425)+IF(AND(BF$7="חברה מנהלת",BF8&lt;&gt;""),+VLOOKUP(BF649,'פחתי מים לרשויות מצטרפות'!$A$6:$G$10,5,0)-VLOOKUP(BF1,'פחת מים וגביה'!$A:$D,3,0),0)</f>
        <v>3.9999999999999994E-2</v>
      </c>
    </row>
    <row r="568" spans="1:58" x14ac:dyDescent="0.2">
      <c r="A568" s="42"/>
      <c r="C568" s="1049">
        <f>(+IF(C546&gt;=2015,MAX(VLOOKUP(C650,'פחתי מים לרשויות מצטרפות'!$A$6:$G$9,MAX($B$3-C546,0)+3,0)-VLOOKUP(C$1,'פחת מים וגביה'!$A:$D,3,0),0))*C395/C$425)+IF(AND(C$7="חברה מנהלת",C9&lt;&gt;""),+VLOOKUP(C650,'פחתי מים לרשויות מצטרפות'!$A$6:$G$10,5,0)-VLOOKUP(C2,'פחת מים וגביה'!$A:$D,3,0),0)</f>
        <v>0</v>
      </c>
      <c r="D568" s="1049">
        <f>(+IF(D546&gt;=2015,MAX(VLOOKUP(D650,'פחתי מים לרשויות מצטרפות'!$A$6:$G$9,MAX($B$3-D546,0)+3,0)-VLOOKUP(D$1,'פחת מים וגביה'!$A:$D,3,0),0))*D395/D$425)+IF(AND(D$7="חברה מנהלת",D9&lt;&gt;""),+VLOOKUP(D650,'פחתי מים לרשויות מצטרפות'!$A$6:$G$10,5,0)-VLOOKUP(D2,'פחת מים וגביה'!$A:$D,3,0),0)</f>
        <v>0</v>
      </c>
      <c r="E568" s="1049">
        <f>(+IF(E546&gt;=2015,MAX(VLOOKUP(E650,'פחתי מים לרשויות מצטרפות'!$A$6:$G$9,MAX($B$3-E546,0)+3,0)-VLOOKUP(E$1,'פחת מים וגביה'!$A:$D,3,0),0))*E395/E$425)+IF(AND(E$7="חברה מנהלת",E9&lt;&gt;""),+VLOOKUP(E650,'פחתי מים לרשויות מצטרפות'!$A$6:$G$10,5,0)-VLOOKUP(E2,'פחת מים וגביה'!$A:$D,3,0),0)</f>
        <v>0</v>
      </c>
      <c r="F568" s="1049">
        <f>(+IF(F546&gt;=2015,MAX(VLOOKUP(F650,'פחתי מים לרשויות מצטרפות'!$A$6:$G$9,MAX($B$3-F546,0)+3,0)-VLOOKUP(F$1,'פחת מים וגביה'!$A:$D,3,0),0))*F395/F$425)+IF(AND(F$7="חברה מנהלת",F9&lt;&gt;""),+VLOOKUP(F650,'פחתי מים לרשויות מצטרפות'!$A$6:$G$10,5,0)-VLOOKUP(F2,'פחת מים וגביה'!$A:$D,3,0),0)</f>
        <v>0</v>
      </c>
      <c r="G568" s="1049">
        <f>(+IF(G546&gt;=2015,MAX(VLOOKUP(G650,'פחתי מים לרשויות מצטרפות'!$A$6:$G$9,MAX($B$3-G546,0)+3,0)-VLOOKUP(G$1,'פחת מים וגביה'!$A:$D,3,0),0))*G395/G$425)+IF(AND(G$7="חברה מנהלת",G9&lt;&gt;""),+VLOOKUP(G650,'פחתי מים לרשויות מצטרפות'!$A$6:$G$10,5,0)-VLOOKUP(G2,'פחת מים וגביה'!$A:$D,3,0),0)</f>
        <v>0</v>
      </c>
      <c r="H568" s="1049">
        <f>(+IF(H546&gt;=2015,MAX(VLOOKUP(H650,'פחתי מים לרשויות מצטרפות'!$A$6:$G$9,MAX($B$3-H546,0)+3,0)-VLOOKUP(H$1,'פחת מים וגביה'!$A:$D,3,0),0))*H395/H$425)+IF(AND(H$7="חברה מנהלת",H9&lt;&gt;""),+VLOOKUP(H650,'פחתי מים לרשויות מצטרפות'!$A$6:$G$10,5,0)-VLOOKUP(H2,'פחת מים וגביה'!$A:$D,3,0),0)</f>
        <v>0</v>
      </c>
      <c r="I568" s="1049">
        <f>(+IF(I546&gt;=2015,MAX(VLOOKUP(I650,'פחתי מים לרשויות מצטרפות'!$A$6:$G$9,MAX($B$3-I546,0)+3,0)-VLOOKUP(I$1,'פחת מים וגביה'!$A:$D,3,0),0))*I395/I$425)+IF(AND(I$7="חברה מנהלת",I9&lt;&gt;""),+VLOOKUP(I650,'פחתי מים לרשויות מצטרפות'!$A$6:$G$10,5,0)-VLOOKUP(I2,'פחת מים וגביה'!$A:$D,3,0),0)</f>
        <v>0</v>
      </c>
      <c r="J568" s="1049">
        <f>(+IF(J546&gt;=2015,MAX(VLOOKUP(J650,'פחתי מים לרשויות מצטרפות'!$A$6:$G$9,MAX($B$3-J546,0)+3,0)-VLOOKUP(J$1,'פחת מים וגביה'!$A:$D,3,0),0))*J395/J$425)+IF(AND(J$7="חברה מנהלת",J9&lt;&gt;""),+VLOOKUP(J650,'פחתי מים לרשויות מצטרפות'!$A$6:$G$10,5,0)-VLOOKUP(J2,'פחת מים וגביה'!$A:$D,3,0),0)</f>
        <v>0</v>
      </c>
      <c r="K568" s="1049">
        <f>(+IF(K546&gt;=2015,MAX(VLOOKUP(K650,'פחתי מים לרשויות מצטרפות'!$A$6:$G$9,MAX($B$3-K546,0)+3,0)-VLOOKUP(K$1,'פחת מים וגביה'!$A:$D,3,0),0))*K395/K$425)+IF(AND(K$7="חברה מנהלת",K9&lt;&gt;""),+VLOOKUP(K650,'פחתי מים לרשויות מצטרפות'!$A$6:$G$10,5,0)-VLOOKUP(K2,'פחת מים וגביה'!$A:$D,3,0),0)</f>
        <v>0</v>
      </c>
      <c r="L568" s="1049">
        <f>(+IF(L546&gt;=2015,MAX(VLOOKUP(L650,'פחתי מים לרשויות מצטרפות'!$A$6:$G$9,MAX($B$3-L546,0)+3,0)-VLOOKUP(L$1,'פחת מים וגביה'!$A:$D,3,0),0))*L395/L$425)+IF(AND(L$7="חברה מנהלת",L9&lt;&gt;""),+VLOOKUP(L650,'פחתי מים לרשויות מצטרפות'!$A$6:$G$10,5,0)-VLOOKUP(L2,'פחת מים וגביה'!$A:$D,3,0),0)</f>
        <v>0</v>
      </c>
      <c r="M568" s="1049">
        <f>(+IF(M546&gt;=2015,MAX(VLOOKUP(M650,'פחתי מים לרשויות מצטרפות'!$A$6:$G$9,MAX($B$3-M546,0)+3,0)-VLOOKUP(M$1,'פחת מים וגביה'!$A:$D,3,0),0))*M395/M$425)+IF(AND(M$7="חברה מנהלת",M9&lt;&gt;""),+VLOOKUP(M650,'פחתי מים לרשויות מצטרפות'!$A$6:$G$10,5,0)-VLOOKUP(M2,'פחת מים וגביה'!$A:$D,3,0),0)</f>
        <v>0</v>
      </c>
      <c r="N568" s="1049">
        <f>(+IF(N546&gt;=2015,MAX(VLOOKUP(N650,'פחתי מים לרשויות מצטרפות'!$A$6:$G$9,MAX($B$3-N546,0)+3,0)-VLOOKUP(N$1,'פחת מים וגביה'!$A:$D,3,0),0))*N395/N$425)+IF(AND(N$7="חברה מנהלת",N9&lt;&gt;""),+VLOOKUP(N650,'פחתי מים לרשויות מצטרפות'!$A$6:$G$10,5,0)-VLOOKUP(N2,'פחת מים וגביה'!$A:$D,3,0),0)</f>
        <v>0</v>
      </c>
      <c r="O568" s="1049">
        <f>(+IF(O546&gt;=2015,MAX(VLOOKUP(O650,'פחתי מים לרשויות מצטרפות'!$A$6:$G$9,MAX($B$3-O546,0)+3,0)-VLOOKUP(O$1,'פחת מים וגביה'!$A:$D,3,0),0))*O395/O$425)+IF(AND(O$7="חברה מנהלת",O9&lt;&gt;""),+VLOOKUP(O650,'פחתי מים לרשויות מצטרפות'!$A$6:$G$10,5,0)-VLOOKUP(O2,'פחת מים וגביה'!$A:$D,3,0),0)</f>
        <v>0</v>
      </c>
      <c r="P568" s="1049">
        <f>(+IF(P546&gt;=2015,MAX(VLOOKUP(P650,'פחתי מים לרשויות מצטרפות'!$A$6:$G$9,MAX($B$3-P546,0)+3,0)-VLOOKUP(P$1,'פחת מים וגביה'!$A:$D,3,0),0))*P395/P$425)+IF(AND(P$7="חברה מנהלת",P9&lt;&gt;""),+VLOOKUP(P650,'פחתי מים לרשויות מצטרפות'!$A$6:$G$10,5,0)-VLOOKUP(P2,'פחת מים וגביה'!$A:$D,3,0),0)</f>
        <v>0</v>
      </c>
      <c r="Q568" s="1049">
        <f>(+IF(Q546&gt;=2015,MAX(VLOOKUP(Q650,'פחתי מים לרשויות מצטרפות'!$A$6:$G$9,MAX($B$3-Q546,0)+3,0)-VLOOKUP(Q$1,'פחת מים וגביה'!$A:$D,3,0),0))*Q395/Q$425)+IF(AND(Q$7="חברה מנהלת",Q9&lt;&gt;""),+VLOOKUP(Q650,'פחתי מים לרשויות מצטרפות'!$A$6:$G$10,5,0)-VLOOKUP(Q2,'פחת מים וגביה'!$A:$D,3,0),0)</f>
        <v>0</v>
      </c>
      <c r="R568" s="1049">
        <f>(+IF(R546&gt;=2015,MAX(VLOOKUP(R650,'פחתי מים לרשויות מצטרפות'!$A$6:$G$9,MAX($B$3-R546,0)+3,0)-VLOOKUP(R$1,'פחת מים וגביה'!$A:$D,3,0),0))*R395/R$425)+IF(AND(R$7="חברה מנהלת",R9&lt;&gt;""),+VLOOKUP(R650,'פחתי מים לרשויות מצטרפות'!$A$6:$G$10,5,0)-VLOOKUP(R2,'פחת מים וגביה'!$A:$D,3,0),0)</f>
        <v>0</v>
      </c>
      <c r="S568" s="1049">
        <f>(+IF(S546&gt;=2015,MAX(VLOOKUP(S650,'פחתי מים לרשויות מצטרפות'!$A$6:$G$9,MAX($B$3-S546,0)+3,0)-VLOOKUP(S$1,'פחת מים וגביה'!$A:$D,3,0),0))*S395/S$425)+IF(AND(S$7="חברה מנהלת",S9&lt;&gt;""),+VLOOKUP(S650,'פחתי מים לרשויות מצטרפות'!$A$6:$G$10,5,0)-VLOOKUP(S2,'פחת מים וגביה'!$A:$D,3,0),0)</f>
        <v>0</v>
      </c>
      <c r="T568" s="1049">
        <f>(+IF(T546&gt;=2015,MAX(VLOOKUP(T650,'פחתי מים לרשויות מצטרפות'!$A$6:$G$9,MAX($B$3-T546,0)+3,0)-VLOOKUP(T$1,'פחת מים וגביה'!$A:$D,3,0),0))*T395/T$425)+IF(AND(T$7="חברה מנהלת",T9&lt;&gt;""),+VLOOKUP(T650,'פחתי מים לרשויות מצטרפות'!$A$6:$G$10,5,0)-VLOOKUP(T2,'פחת מים וגביה'!$A:$D,3,0),0)</f>
        <v>0</v>
      </c>
      <c r="U568" s="1049">
        <f>(+IF(U546&gt;=2015,MAX(VLOOKUP(U650,'פחתי מים לרשויות מצטרפות'!$A$6:$G$9,MAX($B$3-U546,0)+3,0)-VLOOKUP(U$1,'פחת מים וגביה'!$A:$D,3,0),0))*U395/U$425)+IF(AND(U$7="חברה מנהלת",U9&lt;&gt;""),+VLOOKUP(U650,'פחתי מים לרשויות מצטרפות'!$A$6:$G$10,5,0)-VLOOKUP(U2,'פחת מים וגביה'!$A:$D,3,0),0)</f>
        <v>0</v>
      </c>
      <c r="V568" s="1049">
        <f>(+IF(V546&gt;=2015,MAX(VLOOKUP(V650,'פחתי מים לרשויות מצטרפות'!$A$6:$G$9,MAX($B$3-V546,0)+3,0)-VLOOKUP(V$1,'פחת מים וגביה'!$A:$D,3,0),0))*V395/V$425)+IF(AND(V$7="חברה מנהלת",V9&lt;&gt;""),+VLOOKUP(V650,'פחתי מים לרשויות מצטרפות'!$A$6:$G$10,5,0)-VLOOKUP(V2,'פחת מים וגביה'!$A:$D,3,0),0)</f>
        <v>0</v>
      </c>
      <c r="W568" s="1049">
        <f>(+IF(W546&gt;=2015,MAX(VLOOKUP(W650,'פחתי מים לרשויות מצטרפות'!$A$6:$G$9,MAX($B$3-W546,0)+3,0)-VLOOKUP(W$1,'פחת מים וגביה'!$A:$D,3,0),0))*W395/W$425)+IF(AND(W$7="חברה מנהלת",W9&lt;&gt;""),+VLOOKUP(W650,'פחתי מים לרשויות מצטרפות'!$A$6:$G$10,5,0)-VLOOKUP(W2,'פחת מים וגביה'!$A:$D,3,0),0)</f>
        <v>0</v>
      </c>
      <c r="X568" s="1049">
        <f>(+IF(X546&gt;=2015,MAX(VLOOKUP(X650,'פחתי מים לרשויות מצטרפות'!$A$6:$G$9,MAX($B$3-X546,0)+3,0)-VLOOKUP(X$1,'פחת מים וגביה'!$A:$D,3,0),0))*X395/X$425)+IF(AND(X$7="חברה מנהלת",X9&lt;&gt;""),+VLOOKUP(X650,'פחתי מים לרשויות מצטרפות'!$A$6:$G$10,5,0)-VLOOKUP(X2,'פחת מים וגביה'!$A:$D,3,0),0)</f>
        <v>0</v>
      </c>
      <c r="Y568" s="1049">
        <f>(+IF(Y546&gt;=2015,MAX(VLOOKUP(Y650,'פחתי מים לרשויות מצטרפות'!$A$6:$G$9,MAX($B$3-Y546,0)+3,0)-VLOOKUP(Y$1,'פחת מים וגביה'!$A:$D,3,0),0))*Y395/Y$425)+IF(AND(Y$7="חברה מנהלת",Y9&lt;&gt;""),+VLOOKUP(Y650,'פחתי מים לרשויות מצטרפות'!$A$6:$G$10,5,0)-VLOOKUP(Y2,'פחת מים וגביה'!$A:$D,3,0),0)</f>
        <v>0</v>
      </c>
      <c r="Z568" s="1049">
        <f>(+IF(Z546&gt;=2015,MAX(VLOOKUP(Z650,'פחתי מים לרשויות מצטרפות'!$A$6:$G$9,MAX($B$3-Z546,0)+3,0)-VLOOKUP(Z$1,'פחת מים וגביה'!$A:$D,3,0),0))*Z395/Z$425)+IF(AND(Z$7="חברה מנהלת",Z9&lt;&gt;""),+VLOOKUP(Z650,'פחתי מים לרשויות מצטרפות'!$A$6:$G$10,5,0)-VLOOKUP(Z2,'פחת מים וגביה'!$A:$D,3,0),0)</f>
        <v>0</v>
      </c>
      <c r="AA568" s="1049">
        <f>(+IF(AA546&gt;=2015,MAX(VLOOKUP(AA650,'פחתי מים לרשויות מצטרפות'!$A$6:$G$9,MAX($B$3-AA546,0)+3,0)-VLOOKUP(AA$1,'פחת מים וגביה'!$A:$D,3,0),0))*AA395/AA$425)+IF(AND(AA$7="חברה מנהלת",AA9&lt;&gt;""),+VLOOKUP(AA650,'פחתי מים לרשויות מצטרפות'!$A$6:$G$10,5,0)-VLOOKUP(AA2,'פחת מים וגביה'!$A:$D,3,0),0)</f>
        <v>0</v>
      </c>
      <c r="AB568" s="1049">
        <f>(+IF(AB546&gt;=2015,MAX(VLOOKUP(AB650,'פחתי מים לרשויות מצטרפות'!$A$6:$G$9,MAX($B$3-AB546,0)+3,0)-VLOOKUP(AB$1,'פחת מים וגביה'!$A:$D,3,0),0))*AB395/AB$425)+IF(AND(AB$7="חברה מנהלת",AB9&lt;&gt;""),+VLOOKUP(AB650,'פחתי מים לרשויות מצטרפות'!$A$6:$G$10,5,0)-VLOOKUP(AB2,'פחת מים וגביה'!$A:$D,3,0),0)</f>
        <v>0</v>
      </c>
      <c r="AC568" s="1049">
        <f>(+IF(AC546&gt;=2015,MAX(VLOOKUP(AC650,'פחתי מים לרשויות מצטרפות'!$A$6:$G$9,MAX($B$3-AC546,0)+3,0)-VLOOKUP(AC$1,'פחת מים וגביה'!$A:$D,3,0),0))*AC395/AC$425)+IF(AND(AC$7="חברה מנהלת",AC9&lt;&gt;""),+VLOOKUP(AC650,'פחתי מים לרשויות מצטרפות'!$A$6:$G$10,5,0)-VLOOKUP(AC2,'פחת מים וגביה'!$A:$D,3,0),0)</f>
        <v>0</v>
      </c>
      <c r="AD568" s="1049">
        <f>(+IF(AD546&gt;=2015,MAX(VLOOKUP(AD650,'פחתי מים לרשויות מצטרפות'!$A$6:$G$9,MAX($B$3-AD546,0)+3,0)-VLOOKUP(AD$1,'פחת מים וגביה'!$A:$D,3,0),0))*AD395/AD$425)+IF(AND(AD$7="חברה מנהלת",AD9&lt;&gt;""),+VLOOKUP(AD650,'פחתי מים לרשויות מצטרפות'!$A$6:$G$10,5,0)-VLOOKUP(AD2,'פחת מים וגביה'!$A:$D,3,0),0)</f>
        <v>0</v>
      </c>
      <c r="AE568" s="1049">
        <f>(+IF(AE546&gt;=2015,MAX(VLOOKUP(AE650,'פחתי מים לרשויות מצטרפות'!$A$6:$G$9,MAX($B$3-AE546,0)+3,0)-VLOOKUP(AE$1,'פחת מים וגביה'!$A:$D,3,0),0))*AE395/AE$425)+IF(AND(AE$7="חברה מנהלת",AE9&lt;&gt;""),+VLOOKUP(AE650,'פחתי מים לרשויות מצטרפות'!$A$6:$G$10,5,0)-VLOOKUP(AE2,'פחת מים וגביה'!$A:$D,3,0),0)</f>
        <v>0</v>
      </c>
      <c r="AF568" s="1049">
        <f>(+IF(AF546&gt;=2015,MAX(VLOOKUP(AF650,'פחתי מים לרשויות מצטרפות'!$A$6:$G$9,MAX($B$3-AF546,0)+3,0)-VLOOKUP(AF$1,'פחת מים וגביה'!$A:$D,3,0),0))*AF395/AF$425)+IF(AND(AF$7="חברה מנהלת",AF9&lt;&gt;""),+VLOOKUP(AF650,'פחתי מים לרשויות מצטרפות'!$A$6:$G$10,5,0)-VLOOKUP(AF2,'פחת מים וגביה'!$A:$D,3,0),0)</f>
        <v>0</v>
      </c>
      <c r="AG568" s="1049">
        <f>(+IF(AG546&gt;=2015,MAX(VLOOKUP(AG650,'פחתי מים לרשויות מצטרפות'!$A$6:$G$9,MAX($B$3-AG546,0)+3,0)-VLOOKUP(AG$1,'פחת מים וגביה'!$A:$D,3,0),0))*AG395/AG$425)+IF(AND(AG$7="חברה מנהלת",AG9&lt;&gt;""),+VLOOKUP(AG650,'פחתי מים לרשויות מצטרפות'!$A$6:$G$10,5,0)-VLOOKUP(AG2,'פחת מים וגביה'!$A:$D,3,0),0)</f>
        <v>0</v>
      </c>
      <c r="AH568" s="1049">
        <f>(+IF(AH546&gt;=2015,MAX(VLOOKUP(AH650,'פחתי מים לרשויות מצטרפות'!$A$6:$G$9,MAX($B$3-AH546,0)+3,0)-VLOOKUP(AH$1,'פחת מים וגביה'!$A:$D,3,0),0))*AH395/AH$425)+IF(AND(AH$7="חברה מנהלת",AH9&lt;&gt;""),+VLOOKUP(AH650,'פחתי מים לרשויות מצטרפות'!$A$6:$G$10,5,0)-VLOOKUP(AH2,'פחת מים וגביה'!$A:$D,3,0),0)</f>
        <v>0</v>
      </c>
      <c r="AI568" s="1049">
        <f>(+IF(AI546&gt;=2015,MAX(VLOOKUP(AI650,'פחתי מים לרשויות מצטרפות'!$A$6:$G$9,MAX($B$3-AI546,0)+3,0)-VLOOKUP(AI$1,'פחת מים וגביה'!$A:$D,3,0),0))*AI395/AI$425)+IF(AND(AI$7="חברה מנהלת",AI9&lt;&gt;""),+VLOOKUP(AI650,'פחתי מים לרשויות מצטרפות'!$A$6:$G$10,5,0)-VLOOKUP(AI2,'פחת מים וגביה'!$A:$D,3,0),0)</f>
        <v>0</v>
      </c>
      <c r="AJ568" s="1049">
        <f>(+IF(AJ546&gt;=2015,MAX(VLOOKUP(AJ650,'פחתי מים לרשויות מצטרפות'!$A$6:$G$9,MAX($B$3-AJ546,0)+3,0)-VLOOKUP(AJ$1,'פחת מים וגביה'!$A:$D,3,0),0))*AJ395/AJ$425)+IF(AND(AJ$7="חברה מנהלת",AJ9&lt;&gt;""),+VLOOKUP(AJ650,'פחתי מים לרשויות מצטרפות'!$A$6:$G$10,5,0)-VLOOKUP(AJ2,'פחת מים וגביה'!$A:$D,3,0),0)</f>
        <v>0</v>
      </c>
      <c r="AK568" s="1049">
        <f>(+IF(AK546&gt;=2015,MAX(VLOOKUP(AK650,'פחתי מים לרשויות מצטרפות'!$A$6:$G$9,MAX($B$3-AK546,0)+3,0)-VLOOKUP(AK$1,'פחת מים וגביה'!$A:$D,3,0),0))*AK395/AK$425)+IF(AND(AK$7="חברה מנהלת",AK9&lt;&gt;""),+VLOOKUP(AK650,'פחתי מים לרשויות מצטרפות'!$A$6:$G$10,5,0)-VLOOKUP(AK2,'פחת מים וגביה'!$A:$D,3,0),0)</f>
        <v>0</v>
      </c>
      <c r="AL568" s="1049">
        <f>(+IF(AL546&gt;=2015,MAX(VLOOKUP(AL650,'פחתי מים לרשויות מצטרפות'!$A$6:$G$9,MAX($B$3-AL546,0)+3,0)-VLOOKUP(AL$1,'פחת מים וגביה'!$A:$D,3,0),0))*AL395/AL$425)+IF(AND(AL$7="חברה מנהלת",AL9&lt;&gt;""),+VLOOKUP(AL650,'פחתי מים לרשויות מצטרפות'!$A$6:$G$10,5,0)-VLOOKUP(AL2,'פחת מים וגביה'!$A:$D,3,0),0)</f>
        <v>0</v>
      </c>
      <c r="AM568" s="1049">
        <f>(+IF(AM546&gt;=2015,MAX(VLOOKUP(AM650,'פחתי מים לרשויות מצטרפות'!$A$6:$G$9,MAX($B$3-AM546,0)+3,0)-VLOOKUP(AM$1,'פחת מים וגביה'!$A:$D,3,0),0))*AM395/AM$425)+IF(AND(AM$7="חברה מנהלת",AM9&lt;&gt;""),+VLOOKUP(AM650,'פחתי מים לרשויות מצטרפות'!$A$6:$G$10,5,0)-VLOOKUP(AM2,'פחת מים וגביה'!$A:$D,3,0),0)</f>
        <v>0</v>
      </c>
      <c r="AN568" s="1049">
        <f>(+IF(AN546&gt;=2015,MAX(VLOOKUP(AN650,'פחתי מים לרשויות מצטרפות'!$A$6:$G$9,MAX($B$3-AN546,0)+3,0)-VLOOKUP(AN$1,'פחת מים וגביה'!$A:$D,3,0),0))*AN395/AN$425)+IF(AND(AN$7="חברה מנהלת",AN9&lt;&gt;""),+VLOOKUP(AN650,'פחתי מים לרשויות מצטרפות'!$A$6:$G$10,5,0)-VLOOKUP(AN2,'פחת מים וגביה'!$A:$D,3,0),0)</f>
        <v>0</v>
      </c>
      <c r="AO568" s="1049">
        <f>(+IF(AO546&gt;=2015,MAX(VLOOKUP(AO650,'פחתי מים לרשויות מצטרפות'!$A$6:$G$9,MAX($B$3-AO546,0)+3,0)-VLOOKUP(AO$1,'פחת מים וגביה'!$A:$D,3,0),0))*AO395/AO$425)+IF(AND(AO$7="חברה מנהלת",AO9&lt;&gt;""),+VLOOKUP(AO650,'פחתי מים לרשויות מצטרפות'!$A$6:$G$10,5,0)-VLOOKUP(AO2,'פחת מים וגביה'!$A:$D,3,0),0)</f>
        <v>0</v>
      </c>
      <c r="AP568" s="1049">
        <f>(+IF(AP546&gt;=2015,MAX(VLOOKUP(AP650,'פחתי מים לרשויות מצטרפות'!$A$6:$G$9,MAX($B$3-AP546,0)+3,0)-VLOOKUP(AP$1,'פחת מים וגביה'!$A:$D,3,0),0))*AP395/AP$425)+IF(AND(AP$7="חברה מנהלת",AP9&lt;&gt;""),+VLOOKUP(AP650,'פחתי מים לרשויות מצטרפות'!$A$6:$G$10,5,0)-VLOOKUP(AP2,'פחת מים וגביה'!$A:$D,3,0),0)</f>
        <v>0</v>
      </c>
      <c r="AQ568" s="1049">
        <f>(+IF(AQ546&gt;=2015,MAX(VLOOKUP(AQ650,'פחתי מים לרשויות מצטרפות'!$A$6:$G$9,MAX($B$3-AQ546,0)+3,0)-VLOOKUP(AQ$1,'פחת מים וגביה'!$A:$D,3,0),0))*AQ395/AQ$425)+IF(AND(AQ$7="חברה מנהלת",AQ9&lt;&gt;""),+VLOOKUP(AQ650,'פחתי מים לרשויות מצטרפות'!$A$6:$G$10,5,0)-VLOOKUP(AQ2,'פחת מים וגביה'!$A:$D,3,0),0)</f>
        <v>0</v>
      </c>
      <c r="AR568" s="1049">
        <f>(+IF(AR546&gt;=2015,MAX(VLOOKUP(AR650,'פחתי מים לרשויות מצטרפות'!$A$6:$G$9,MAX($B$3-AR546,0)+3,0)-VLOOKUP(AR$1,'פחת מים וגביה'!$A:$D,3,0),0))*AR395/AR$425)+IF(AND(AR$7="חברה מנהלת",AR9&lt;&gt;""),+VLOOKUP(AR650,'פחתי מים לרשויות מצטרפות'!$A$6:$G$10,5,0)-VLOOKUP(AR2,'פחת מים וגביה'!$A:$D,3,0),0)</f>
        <v>8.751517386560945E-3</v>
      </c>
      <c r="AS568" s="1049">
        <f>(+IF(AS546&gt;=2015,MAX(VLOOKUP(AS650,'פחתי מים לרשויות מצטרפות'!$A$6:$G$9,MAX($B$3-AS546,0)+3,0)-VLOOKUP(AS$1,'פחת מים וגביה'!$A:$D,3,0),0))*AS395/AS$425)+IF(AND(AS$7="חברה מנהלת",AS9&lt;&gt;""),+VLOOKUP(AS650,'פחתי מים לרשויות מצטרפות'!$A$6:$G$10,5,0)-VLOOKUP(AS2,'פחת מים וגביה'!$A:$D,3,0),0)</f>
        <v>0</v>
      </c>
      <c r="AT568" s="1049">
        <f>(+IF(AT546&gt;=2015,MAX(VLOOKUP(AT650,'פחתי מים לרשויות מצטרפות'!$A$6:$G$9,MAX($B$3-AT546,0)+3,0)-VLOOKUP(AT$1,'פחת מים וגביה'!$A:$D,3,0),0))*AT395/AT$425)+IF(AND(AT$7="חברה מנהלת",AT9&lt;&gt;""),+VLOOKUP(AT650,'פחתי מים לרשויות מצטרפות'!$A$6:$G$10,5,0)-VLOOKUP(AT2,'פחת מים וגביה'!$A:$D,3,0),0)</f>
        <v>0</v>
      </c>
      <c r="AU568" s="1049">
        <f>(+IF(AU546&gt;=2015,MAX(VLOOKUP(AU650,'פחתי מים לרשויות מצטרפות'!$A$6:$G$9,MAX($B$3-AU546,0)+3,0)-VLOOKUP(AU$1,'פחת מים וגביה'!$A:$D,3,0),0))*AU395/AU$425)+IF(AND(AU$7="חברה מנהלת",AU9&lt;&gt;""),+VLOOKUP(AU650,'פחתי מים לרשויות מצטרפות'!$A$6:$G$10,5,0)-VLOOKUP(AU2,'פחת מים וגביה'!$A:$D,3,0),0)</f>
        <v>0</v>
      </c>
      <c r="AV568" s="1049">
        <f>(+IF(AV546&gt;=2015,MAX(VLOOKUP(AV650,'פחתי מים לרשויות מצטרפות'!$A$6:$G$9,MAX($B$3-AV546,0)+3,0)-VLOOKUP(AV$1,'פחת מים וגביה'!$A:$D,3,0),0))*AV395/AV$425)+IF(AND(AV$7="חברה מנהלת",AV9&lt;&gt;""),+VLOOKUP(AV650,'פחתי מים לרשויות מצטרפות'!$A$6:$G$10,5,0)-VLOOKUP(AV2,'פחת מים וגביה'!$A:$D,3,0),0)</f>
        <v>0</v>
      </c>
      <c r="AW568" s="1049">
        <f>(+IF(AW546&gt;=2015,MAX(VLOOKUP(AW650,'פחתי מים לרשויות מצטרפות'!$A$6:$G$9,MAX($B$3-AW546,0)+3,0)-VLOOKUP(AW$1,'פחת מים וגביה'!$A:$D,3,0),0))*AW395/AW$425)+IF(AND(AW$7="חברה מנהלת",AW9&lt;&gt;""),+VLOOKUP(AW650,'פחתי מים לרשויות מצטרפות'!$A$6:$G$10,5,0)-VLOOKUP(AW2,'פחת מים וגביה'!$A:$D,3,0),0)</f>
        <v>0</v>
      </c>
      <c r="AX568" s="1049">
        <f>(+IF(AX546&gt;=2015,MAX(VLOOKUP(AX650,'פחתי מים לרשויות מצטרפות'!$A$6:$G$9,MAX($B$3-AX546,0)+3,0)-VLOOKUP(AX$1,'פחת מים וגביה'!$A:$D,3,0),0))*AX395/AX$425)+IF(AND(AX$7="חברה מנהלת",AX9&lt;&gt;""),+VLOOKUP(AX650,'פחתי מים לרשויות מצטרפות'!$A$6:$G$10,5,0)-VLOOKUP(AX2,'פחת מים וגביה'!$A:$D,3,0),0)</f>
        <v>0</v>
      </c>
      <c r="AY568" s="1049">
        <f>(+IF(AY546&gt;=2015,MAX(VLOOKUP(AY650,'פחתי מים לרשויות מצטרפות'!$A$6:$G$9,MAX($B$3-AY546,0)+3,0)-VLOOKUP(AY$1,'פחת מים וגביה'!$A:$D,3,0),0))*AY395/AY$425)+IF(AND(AY$7="חברה מנהלת",AY9&lt;&gt;""),+VLOOKUP(AY650,'פחתי מים לרשויות מצטרפות'!$A$6:$G$10,5,0)-VLOOKUP(AY2,'פחת מים וגביה'!$A:$D,3,0),0)</f>
        <v>0</v>
      </c>
      <c r="AZ568" s="1049">
        <f>(+IF(AZ546&gt;=2015,MAX(VLOOKUP(AZ650,'פחתי מים לרשויות מצטרפות'!$A$6:$G$9,MAX($B$3-AZ546,0)+3,0)-VLOOKUP(AZ$1,'פחת מים וגביה'!$A:$D,3,0),0))*AZ395/AZ$425)+IF(AND(AZ$7="חברה מנהלת",AZ9&lt;&gt;""),+VLOOKUP(AZ650,'פחתי מים לרשויות מצטרפות'!$A$6:$G$10,5,0)-VLOOKUP(AZ2,'פחת מים וגביה'!$A:$D,3,0),0)</f>
        <v>0</v>
      </c>
      <c r="BA568" s="1049">
        <f>(+IF(BA546&gt;=2015,MAX(VLOOKUP(BA650,'פחתי מים לרשויות מצטרפות'!$A$6:$G$9,MAX($B$3-BA546,0)+3,0)-VLOOKUP(BA$1,'פחת מים וגביה'!$A:$D,3,0),0))*BA395/BA$425)+IF(AND(BA$7="חברה מנהלת",BA9&lt;&gt;""),+VLOOKUP(BA650,'פחתי מים לרשויות מצטרפות'!$A$6:$G$10,5,0)-VLOOKUP(BA2,'פחת מים וגביה'!$A:$D,3,0),0)</f>
        <v>0</v>
      </c>
      <c r="BB568" s="1049">
        <f>(+IF(BB546&gt;=2015,MAX(VLOOKUP(BB650,'פחתי מים לרשויות מצטרפות'!$A$6:$G$9,MAX($B$3-BB546,0)+3,0)-VLOOKUP(BB$1,'פחת מים וגביה'!$A:$D,3,0),0))*BB395/BB$425)+IF(AND(BB$7="חברה מנהלת",BB9&lt;&gt;""),+VLOOKUP(BB650,'פחתי מים לרשויות מצטרפות'!$A$6:$G$10,5,0)-VLOOKUP(BB2,'פחת מים וגביה'!$A:$D,3,0),0)</f>
        <v>0</v>
      </c>
      <c r="BC568" s="1049">
        <f>(+IF(BC546&gt;=2015,MAX(VLOOKUP(BC650,'פחתי מים לרשויות מצטרפות'!$A$6:$G$9,MAX($B$3-BC546,0)+3,0)-VLOOKUP(BC$1,'פחת מים וגביה'!$A:$D,3,0),0))*BC395/BC$425)+IF(AND(BC$7="חברה מנהלת",BC9&lt;&gt;""),+VLOOKUP(BC650,'פחתי מים לרשויות מצטרפות'!$A$6:$G$10,5,0)-VLOOKUP(BC2,'פחת מים וגביה'!$A:$D,3,0),0)</f>
        <v>0</v>
      </c>
      <c r="BD568" s="1049">
        <f>(+IF(BD546&gt;=2015,MAX(VLOOKUP(BD650,'פחתי מים לרשויות מצטרפות'!$A$6:$G$9,MAX($B$3-BD546,0)+3,0)-VLOOKUP(BD$1,'פחת מים וגביה'!$A:$D,3,0),0))*BD395/BD$425)+IF(AND(BD$7="חברה מנהלת",BD9&lt;&gt;""),+VLOOKUP(BD650,'פחתי מים לרשויות מצטרפות'!$A$6:$G$10,5,0)-VLOOKUP(BD2,'פחת מים וגביה'!$A:$D,3,0),0)</f>
        <v>0</v>
      </c>
      <c r="BE568" s="1049">
        <f>(+IF(BE546&gt;=2015,MAX(VLOOKUP(BE650,'פחתי מים לרשויות מצטרפות'!$A$6:$G$9,MAX($B$3-BE546,0)+3,0)-VLOOKUP(BE$1,'פחת מים וגביה'!$A:$D,3,0),0))*BE395/BE$425)+IF(AND(BE$7="חברה מנהלת",BE9&lt;&gt;""),+VLOOKUP(BE650,'פחתי מים לרשויות מצטרפות'!$A$6:$G$10,5,0)-VLOOKUP(BE2,'פחת מים וגביה'!$A:$D,3,0),0)</f>
        <v>0</v>
      </c>
      <c r="BF568" s="1049">
        <f>(+IF(BF546&gt;=2015,MAX(VLOOKUP(BF650,'פחתי מים לרשויות מצטרפות'!$A$6:$G$9,MAX($B$3-BF546,0)+3,0)-VLOOKUP(BF$1,'פחת מים וגביה'!$A:$D,3,0),0))*BF395/BF$425)+IF(AND(BF$7="חברה מנהלת",BF9&lt;&gt;""),+VLOOKUP(BF650,'פחתי מים לרשויות מצטרפות'!$A$6:$G$10,5,0)-VLOOKUP(BF2,'פחת מים וגביה'!$A:$D,3,0),0)</f>
        <v>0</v>
      </c>
    </row>
    <row r="569" spans="1:58" x14ac:dyDescent="0.2">
      <c r="A569" s="42"/>
      <c r="C569" s="1049">
        <f>(+IF(C547&gt;=2015,MAX(VLOOKUP(C651,'פחתי מים לרשויות מצטרפות'!$A$6:$G$9,MAX($B$3-C547,0)+3,0)-VLOOKUP(C$1,'פחת מים וגביה'!$A:$D,3,0),0))*C396/C$425)+IF(AND(C$7="חברה מנהלת",C10&lt;&gt;""),+VLOOKUP(C651,'פחתי מים לרשויות מצטרפות'!$A$6:$G$10,5,0)-VLOOKUP(C3,'פחת מים וגביה'!$A:$D,3,0),0)</f>
        <v>0</v>
      </c>
      <c r="D569" s="1049">
        <f>(+IF(D547&gt;=2015,MAX(VLOOKUP(D651,'פחתי מים לרשויות מצטרפות'!$A$6:$G$9,MAX($B$3-D547,0)+3,0)-VLOOKUP(D$1,'פחת מים וגביה'!$A:$D,3,0),0))*D396/D$425)+IF(AND(D$7="חברה מנהלת",D10&lt;&gt;""),+VLOOKUP(D651,'פחתי מים לרשויות מצטרפות'!$A$6:$G$10,5,0)-VLOOKUP(D3,'פחת מים וגביה'!$A:$D,3,0),0)</f>
        <v>0</v>
      </c>
      <c r="E569" s="1049">
        <f>(+IF(E547&gt;=2015,MAX(VLOOKUP(E651,'פחתי מים לרשויות מצטרפות'!$A$6:$G$9,MAX($B$3-E547,0)+3,0)-VLOOKUP(E$1,'פחת מים וגביה'!$A:$D,3,0),0))*E396/E$425)+IF(AND(E$7="חברה מנהלת",E10&lt;&gt;""),+VLOOKUP(E651,'פחתי מים לרשויות מצטרפות'!$A$6:$G$10,5,0)-VLOOKUP(E3,'פחת מים וגביה'!$A:$D,3,0),0)</f>
        <v>0</v>
      </c>
      <c r="F569" s="1049">
        <f>(+IF(F547&gt;=2015,MAX(VLOOKUP(F651,'פחתי מים לרשויות מצטרפות'!$A$6:$G$9,MAX($B$3-F547,0)+3,0)-VLOOKUP(F$1,'פחת מים וגביה'!$A:$D,3,0),0))*F396/F$425)+IF(AND(F$7="חברה מנהלת",F10&lt;&gt;""),+VLOOKUP(F651,'פחתי מים לרשויות מצטרפות'!$A$6:$G$10,5,0)-VLOOKUP(F3,'פחת מים וגביה'!$A:$D,3,0),0)</f>
        <v>0</v>
      </c>
      <c r="G569" s="1049">
        <f>(+IF(G547&gt;=2015,MAX(VLOOKUP(G651,'פחתי מים לרשויות מצטרפות'!$A$6:$G$9,MAX($B$3-G547,0)+3,0)-VLOOKUP(G$1,'פחת מים וגביה'!$A:$D,3,0),0))*G396/G$425)+IF(AND(G$7="חברה מנהלת",G10&lt;&gt;""),+VLOOKUP(G651,'פחתי מים לרשויות מצטרפות'!$A$6:$G$10,5,0)-VLOOKUP(G3,'פחת מים וגביה'!$A:$D,3,0),0)</f>
        <v>0</v>
      </c>
      <c r="H569" s="1049">
        <f>(+IF(H547&gt;=2015,MAX(VLOOKUP(H651,'פחתי מים לרשויות מצטרפות'!$A$6:$G$9,MAX($B$3-H547,0)+3,0)-VLOOKUP(H$1,'פחת מים וגביה'!$A:$D,3,0),0))*H396/H$425)+IF(AND(H$7="חברה מנהלת",H10&lt;&gt;""),+VLOOKUP(H651,'פחתי מים לרשויות מצטרפות'!$A$6:$G$10,5,0)-VLOOKUP(H3,'פחת מים וגביה'!$A:$D,3,0),0)</f>
        <v>0</v>
      </c>
      <c r="I569" s="1049">
        <f>(+IF(I547&gt;=2015,MAX(VLOOKUP(I651,'פחתי מים לרשויות מצטרפות'!$A$6:$G$9,MAX($B$3-I547,0)+3,0)-VLOOKUP(I$1,'פחת מים וגביה'!$A:$D,3,0),0))*I396/I$425)+IF(AND(I$7="חברה מנהלת",I10&lt;&gt;""),+VLOOKUP(I651,'פחתי מים לרשויות מצטרפות'!$A$6:$G$10,5,0)-VLOOKUP(I3,'פחת מים וגביה'!$A:$D,3,0),0)</f>
        <v>0</v>
      </c>
      <c r="J569" s="1049">
        <f>(+IF(J547&gt;=2015,MAX(VLOOKUP(J651,'פחתי מים לרשויות מצטרפות'!$A$6:$G$9,MAX($B$3-J547,0)+3,0)-VLOOKUP(J$1,'פחת מים וגביה'!$A:$D,3,0),0))*J396/J$425)+IF(AND(J$7="חברה מנהלת",J10&lt;&gt;""),+VLOOKUP(J651,'פחתי מים לרשויות מצטרפות'!$A$6:$G$10,5,0)-VLOOKUP(J3,'פחת מים וגביה'!$A:$D,3,0),0)</f>
        <v>0</v>
      </c>
      <c r="K569" s="1049">
        <f>(+IF(K547&gt;=2015,MAX(VLOOKUP(K651,'פחתי מים לרשויות מצטרפות'!$A$6:$G$9,MAX($B$3-K547,0)+3,0)-VLOOKUP(K$1,'פחת מים וגביה'!$A:$D,3,0),0))*K396/K$425)+IF(AND(K$7="חברה מנהלת",K10&lt;&gt;""),+VLOOKUP(K651,'פחתי מים לרשויות מצטרפות'!$A$6:$G$10,5,0)-VLOOKUP(K3,'פחת מים וגביה'!$A:$D,3,0),0)</f>
        <v>0</v>
      </c>
      <c r="L569" s="1049">
        <f>(+IF(L547&gt;=2015,MAX(VLOOKUP(L651,'פחתי מים לרשויות מצטרפות'!$A$6:$G$9,MAX($B$3-L547,0)+3,0)-VLOOKUP(L$1,'פחת מים וגביה'!$A:$D,3,0),0))*L396/L$425)+IF(AND(L$7="חברה מנהלת",L10&lt;&gt;""),+VLOOKUP(L651,'פחתי מים לרשויות מצטרפות'!$A$6:$G$10,5,0)-VLOOKUP(L3,'פחת מים וגביה'!$A:$D,3,0),0)</f>
        <v>0</v>
      </c>
      <c r="M569" s="1049">
        <f>(+IF(M547&gt;=2015,MAX(VLOOKUP(M651,'פחתי מים לרשויות מצטרפות'!$A$6:$G$9,MAX($B$3-M547,0)+3,0)-VLOOKUP(M$1,'פחת מים וגביה'!$A:$D,3,0),0))*M396/M$425)+IF(AND(M$7="חברה מנהלת",M10&lt;&gt;""),+VLOOKUP(M651,'פחתי מים לרשויות מצטרפות'!$A$6:$G$10,5,0)-VLOOKUP(M3,'פחת מים וגביה'!$A:$D,3,0),0)</f>
        <v>0</v>
      </c>
      <c r="N569" s="1049">
        <f>(+IF(N547&gt;=2015,MAX(VLOOKUP(N651,'פחתי מים לרשויות מצטרפות'!$A$6:$G$9,MAX($B$3-N547,0)+3,0)-VLOOKUP(N$1,'פחת מים וגביה'!$A:$D,3,0),0))*N396/N$425)+IF(AND(N$7="חברה מנהלת",N10&lt;&gt;""),+VLOOKUP(N651,'פחתי מים לרשויות מצטרפות'!$A$6:$G$10,5,0)-VLOOKUP(N3,'פחת מים וגביה'!$A:$D,3,0),0)</f>
        <v>0</v>
      </c>
      <c r="O569" s="1049">
        <f>(+IF(O547&gt;=2015,MAX(VLOOKUP(O651,'פחתי מים לרשויות מצטרפות'!$A$6:$G$9,MAX($B$3-O547,0)+3,0)-VLOOKUP(O$1,'פחת מים וגביה'!$A:$D,3,0),0))*O396/O$425)+IF(AND(O$7="חברה מנהלת",O10&lt;&gt;""),+VLOOKUP(O651,'פחתי מים לרשויות מצטרפות'!$A$6:$G$10,5,0)-VLOOKUP(O3,'פחת מים וגביה'!$A:$D,3,0),0)</f>
        <v>0</v>
      </c>
      <c r="P569" s="1049">
        <f>(+IF(P547&gt;=2015,MAX(VLOOKUP(P651,'פחתי מים לרשויות מצטרפות'!$A$6:$G$9,MAX($B$3-P547,0)+3,0)-VLOOKUP(P$1,'פחת מים וגביה'!$A:$D,3,0),0))*P396/P$425)+IF(AND(P$7="חברה מנהלת",P10&lt;&gt;""),+VLOOKUP(P651,'פחתי מים לרשויות מצטרפות'!$A$6:$G$10,5,0)-VLOOKUP(P3,'פחת מים וגביה'!$A:$D,3,0),0)</f>
        <v>0</v>
      </c>
      <c r="Q569" s="1049">
        <f>(+IF(Q547&gt;=2015,MAX(VLOOKUP(Q651,'פחתי מים לרשויות מצטרפות'!$A$6:$G$9,MAX($B$3-Q547,0)+3,0)-VLOOKUP(Q$1,'פחת מים וגביה'!$A:$D,3,0),0))*Q396/Q$425)+IF(AND(Q$7="חברה מנהלת",Q10&lt;&gt;""),+VLOOKUP(Q651,'פחתי מים לרשויות מצטרפות'!$A$6:$G$10,5,0)-VLOOKUP(Q3,'פחת מים וגביה'!$A:$D,3,0),0)</f>
        <v>0</v>
      </c>
      <c r="R569" s="1049">
        <f>(+IF(R547&gt;=2015,MAX(VLOOKUP(R651,'פחתי מים לרשויות מצטרפות'!$A$6:$G$9,MAX($B$3-R547,0)+3,0)-VLOOKUP(R$1,'פחת מים וגביה'!$A:$D,3,0),0))*R396/R$425)+IF(AND(R$7="חברה מנהלת",R10&lt;&gt;""),+VLOOKUP(R651,'פחתי מים לרשויות מצטרפות'!$A$6:$G$10,5,0)-VLOOKUP(R3,'פחת מים וגביה'!$A:$D,3,0),0)</f>
        <v>0</v>
      </c>
      <c r="S569" s="1049">
        <f>(+IF(S547&gt;=2015,MAX(VLOOKUP(S651,'פחתי מים לרשויות מצטרפות'!$A$6:$G$9,MAX($B$3-S547,0)+3,0)-VLOOKUP(S$1,'פחת מים וגביה'!$A:$D,3,0),0))*S396/S$425)+IF(AND(S$7="חברה מנהלת",S10&lt;&gt;""),+VLOOKUP(S651,'פחתי מים לרשויות מצטרפות'!$A$6:$G$10,5,0)-VLOOKUP(S3,'פחת מים וגביה'!$A:$D,3,0),0)</f>
        <v>0</v>
      </c>
      <c r="T569" s="1049">
        <f>(+IF(T547&gt;=2015,MAX(VLOOKUP(T651,'פחתי מים לרשויות מצטרפות'!$A$6:$G$9,MAX($B$3-T547,0)+3,0)-VLOOKUP(T$1,'פחת מים וגביה'!$A:$D,3,0),0))*T396/T$425)+IF(AND(T$7="חברה מנהלת",T10&lt;&gt;""),+VLOOKUP(T651,'פחתי מים לרשויות מצטרפות'!$A$6:$G$10,5,0)-VLOOKUP(T3,'פחת מים וגביה'!$A:$D,3,0),0)</f>
        <v>3.9519259522961918E-3</v>
      </c>
      <c r="U569" s="1049">
        <f>(+IF(U547&gt;=2015,MAX(VLOOKUP(U651,'פחתי מים לרשויות מצטרפות'!$A$6:$G$9,MAX($B$3-U547,0)+3,0)-VLOOKUP(U$1,'פחת מים וגביה'!$A:$D,3,0),0))*U396/U$425)+IF(AND(U$7="חברה מנהלת",U10&lt;&gt;""),+VLOOKUP(U651,'פחתי מים לרשויות מצטרפות'!$A$6:$G$10,5,0)-VLOOKUP(U3,'פחת מים וגביה'!$A:$D,3,0),0)</f>
        <v>0</v>
      </c>
      <c r="V569" s="1049">
        <f>(+IF(V547&gt;=2015,MAX(VLOOKUP(V651,'פחתי מים לרשויות מצטרפות'!$A$6:$G$9,MAX($B$3-V547,0)+3,0)-VLOOKUP(V$1,'פחת מים וגביה'!$A:$D,3,0),0))*V396/V$425)+IF(AND(V$7="חברה מנהלת",V10&lt;&gt;""),+VLOOKUP(V651,'פחתי מים לרשויות מצטרפות'!$A$6:$G$10,5,0)-VLOOKUP(V3,'פחת מים וגביה'!$A:$D,3,0),0)</f>
        <v>0</v>
      </c>
      <c r="W569" s="1049">
        <f>(+IF(W547&gt;=2015,MAX(VLOOKUP(W651,'פחתי מים לרשויות מצטרפות'!$A$6:$G$9,MAX($B$3-W547,0)+3,0)-VLOOKUP(W$1,'פחת מים וגביה'!$A:$D,3,0),0))*W396/W$425)+IF(AND(W$7="חברה מנהלת",W10&lt;&gt;""),+VLOOKUP(W651,'פחתי מים לרשויות מצטרפות'!$A$6:$G$10,5,0)-VLOOKUP(W3,'פחת מים וגביה'!$A:$D,3,0),0)</f>
        <v>0</v>
      </c>
      <c r="X569" s="1049">
        <f>(+IF(X547&gt;=2015,MAX(VLOOKUP(X651,'פחתי מים לרשויות מצטרפות'!$A$6:$G$9,MAX($B$3-X547,0)+3,0)-VLOOKUP(X$1,'פחת מים וגביה'!$A:$D,3,0),0))*X396/X$425)+IF(AND(X$7="חברה מנהלת",X10&lt;&gt;""),+VLOOKUP(X651,'פחתי מים לרשויות מצטרפות'!$A$6:$G$10,5,0)-VLOOKUP(X3,'פחת מים וגביה'!$A:$D,3,0),0)</f>
        <v>0</v>
      </c>
      <c r="Y569" s="1049">
        <f>(+IF(Y547&gt;=2015,MAX(VLOOKUP(Y651,'פחתי מים לרשויות מצטרפות'!$A$6:$G$9,MAX($B$3-Y547,0)+3,0)-VLOOKUP(Y$1,'פחת מים וגביה'!$A:$D,3,0),0))*Y396/Y$425)+IF(AND(Y$7="חברה מנהלת",Y10&lt;&gt;""),+VLOOKUP(Y651,'פחתי מים לרשויות מצטרפות'!$A$6:$G$10,5,0)-VLOOKUP(Y3,'פחת מים וגביה'!$A:$D,3,0),0)</f>
        <v>0</v>
      </c>
      <c r="Z569" s="1049">
        <f>(+IF(Z547&gt;=2015,MAX(VLOOKUP(Z651,'פחתי מים לרשויות מצטרפות'!$A$6:$G$9,MAX($B$3-Z547,0)+3,0)-VLOOKUP(Z$1,'פחת מים וגביה'!$A:$D,3,0),0))*Z396/Z$425)+IF(AND(Z$7="חברה מנהלת",Z10&lt;&gt;""),+VLOOKUP(Z651,'פחתי מים לרשויות מצטרפות'!$A$6:$G$10,5,0)-VLOOKUP(Z3,'פחת מים וגביה'!$A:$D,3,0),0)</f>
        <v>0</v>
      </c>
      <c r="AA569" s="1049">
        <f>(+IF(AA547&gt;=2015,MAX(VLOOKUP(AA651,'פחתי מים לרשויות מצטרפות'!$A$6:$G$9,MAX($B$3-AA547,0)+3,0)-VLOOKUP(AA$1,'פחת מים וגביה'!$A:$D,3,0),0))*AA396/AA$425)+IF(AND(AA$7="חברה מנהלת",AA10&lt;&gt;""),+VLOOKUP(AA651,'פחתי מים לרשויות מצטרפות'!$A$6:$G$10,5,0)-VLOOKUP(AA3,'פחת מים וגביה'!$A:$D,3,0),0)</f>
        <v>0</v>
      </c>
      <c r="AB569" s="1049">
        <f>(+IF(AB547&gt;=2015,MAX(VLOOKUP(AB651,'פחתי מים לרשויות מצטרפות'!$A$6:$G$9,MAX($B$3-AB547,0)+3,0)-VLOOKUP(AB$1,'פחת מים וגביה'!$A:$D,3,0),0))*AB396/AB$425)+IF(AND(AB$7="חברה מנהלת",AB10&lt;&gt;""),+VLOOKUP(AB651,'פחתי מים לרשויות מצטרפות'!$A$6:$G$10,5,0)-VLOOKUP(AB3,'פחת מים וגביה'!$A:$D,3,0),0)</f>
        <v>0</v>
      </c>
      <c r="AC569" s="1049">
        <f>(+IF(AC547&gt;=2015,MAX(VLOOKUP(AC651,'פחתי מים לרשויות מצטרפות'!$A$6:$G$9,MAX($B$3-AC547,0)+3,0)-VLOOKUP(AC$1,'פחת מים וגביה'!$A:$D,3,0),0))*AC396/AC$425)+IF(AND(AC$7="חברה מנהלת",AC10&lt;&gt;""),+VLOOKUP(AC651,'פחתי מים לרשויות מצטרפות'!$A$6:$G$10,5,0)-VLOOKUP(AC3,'פחת מים וגביה'!$A:$D,3,0),0)</f>
        <v>0</v>
      </c>
      <c r="AD569" s="1049">
        <f>(+IF(AD547&gt;=2015,MAX(VLOOKUP(AD651,'פחתי מים לרשויות מצטרפות'!$A$6:$G$9,MAX($B$3-AD547,0)+3,0)-VLOOKUP(AD$1,'פחת מים וגביה'!$A:$D,3,0),0))*AD396/AD$425)+IF(AND(AD$7="חברה מנהלת",AD10&lt;&gt;""),+VLOOKUP(AD651,'פחתי מים לרשויות מצטרפות'!$A$6:$G$10,5,0)-VLOOKUP(AD3,'פחת מים וגביה'!$A:$D,3,0),0)</f>
        <v>0</v>
      </c>
      <c r="AE569" s="1049">
        <f>(+IF(AE547&gt;=2015,MAX(VLOOKUP(AE651,'פחתי מים לרשויות מצטרפות'!$A$6:$G$9,MAX($B$3-AE547,0)+3,0)-VLOOKUP(AE$1,'פחת מים וגביה'!$A:$D,3,0),0))*AE396/AE$425)+IF(AND(AE$7="חברה מנהלת",AE10&lt;&gt;""),+VLOOKUP(AE651,'פחתי מים לרשויות מצטרפות'!$A$6:$G$10,5,0)-VLOOKUP(AE3,'פחת מים וגביה'!$A:$D,3,0),0)</f>
        <v>0</v>
      </c>
      <c r="AF569" s="1049">
        <f>(+IF(AF547&gt;=2015,MAX(VLOOKUP(AF651,'פחתי מים לרשויות מצטרפות'!$A$6:$G$9,MAX($B$3-AF547,0)+3,0)-VLOOKUP(AF$1,'פחת מים וגביה'!$A:$D,3,0),0))*AF396/AF$425)+IF(AND(AF$7="חברה מנהלת",AF10&lt;&gt;""),+VLOOKUP(AF651,'פחתי מים לרשויות מצטרפות'!$A$6:$G$10,5,0)-VLOOKUP(AF3,'פחת מים וגביה'!$A:$D,3,0),0)</f>
        <v>0</v>
      </c>
      <c r="AG569" s="1049">
        <f>(+IF(AG547&gt;=2015,MAX(VLOOKUP(AG651,'פחתי מים לרשויות מצטרפות'!$A$6:$G$9,MAX($B$3-AG547,0)+3,0)-VLOOKUP(AG$1,'פחת מים וגביה'!$A:$D,3,0),0))*AG396/AG$425)+IF(AND(AG$7="חברה מנהלת",AG10&lt;&gt;""),+VLOOKUP(AG651,'פחתי מים לרשויות מצטרפות'!$A$6:$G$10,5,0)-VLOOKUP(AG3,'פחת מים וגביה'!$A:$D,3,0),0)</f>
        <v>0</v>
      </c>
      <c r="AH569" s="1049">
        <f>(+IF(AH547&gt;=2015,MAX(VLOOKUP(AH651,'פחתי מים לרשויות מצטרפות'!$A$6:$G$9,MAX($B$3-AH547,0)+3,0)-VLOOKUP(AH$1,'פחת מים וגביה'!$A:$D,3,0),0))*AH396/AH$425)+IF(AND(AH$7="חברה מנהלת",AH10&lt;&gt;""),+VLOOKUP(AH651,'פחתי מים לרשויות מצטרפות'!$A$6:$G$10,5,0)-VLOOKUP(AH3,'פחת מים וגביה'!$A:$D,3,0),0)</f>
        <v>0</v>
      </c>
      <c r="AI569" s="1049">
        <f>(+IF(AI547&gt;=2015,MAX(VLOOKUP(AI651,'פחתי מים לרשויות מצטרפות'!$A$6:$G$9,MAX($B$3-AI547,0)+3,0)-VLOOKUP(AI$1,'פחת מים וגביה'!$A:$D,3,0),0))*AI396/AI$425)+IF(AND(AI$7="חברה מנהלת",AI10&lt;&gt;""),+VLOOKUP(AI651,'פחתי מים לרשויות מצטרפות'!$A$6:$G$10,5,0)-VLOOKUP(AI3,'פחת מים וגביה'!$A:$D,3,0),0)</f>
        <v>0</v>
      </c>
      <c r="AJ569" s="1049">
        <f>(+IF(AJ547&gt;=2015,MAX(VLOOKUP(AJ651,'פחתי מים לרשויות מצטרפות'!$A$6:$G$9,MAX($B$3-AJ547,0)+3,0)-VLOOKUP(AJ$1,'פחת מים וגביה'!$A:$D,3,0),0))*AJ396/AJ$425)+IF(AND(AJ$7="חברה מנהלת",AJ10&lt;&gt;""),+VLOOKUP(AJ651,'פחתי מים לרשויות מצטרפות'!$A$6:$G$10,5,0)-VLOOKUP(AJ3,'פחת מים וגביה'!$A:$D,3,0),0)</f>
        <v>0</v>
      </c>
      <c r="AK569" s="1049">
        <f>(+IF(AK547&gt;=2015,MAX(VLOOKUP(AK651,'פחתי מים לרשויות מצטרפות'!$A$6:$G$9,MAX($B$3-AK547,0)+3,0)-VLOOKUP(AK$1,'פחת מים וגביה'!$A:$D,3,0),0))*AK396/AK$425)+IF(AND(AK$7="חברה מנהלת",AK10&lt;&gt;""),+VLOOKUP(AK651,'פחתי מים לרשויות מצטרפות'!$A$6:$G$10,5,0)-VLOOKUP(AK3,'פחת מים וגביה'!$A:$D,3,0),0)</f>
        <v>0</v>
      </c>
      <c r="AL569" s="1049">
        <f>(+IF(AL547&gt;=2015,MAX(VLOOKUP(AL651,'פחתי מים לרשויות מצטרפות'!$A$6:$G$9,MAX($B$3-AL547,0)+3,0)-VLOOKUP(AL$1,'פחת מים וגביה'!$A:$D,3,0),0))*AL396/AL$425)+IF(AND(AL$7="חברה מנהלת",AL10&lt;&gt;""),+VLOOKUP(AL651,'פחתי מים לרשויות מצטרפות'!$A$6:$G$10,5,0)-VLOOKUP(AL3,'פחת מים וגביה'!$A:$D,3,0),0)</f>
        <v>0</v>
      </c>
      <c r="AM569" s="1049">
        <f>(+IF(AM547&gt;=2015,MAX(VLOOKUP(AM651,'פחתי מים לרשויות מצטרפות'!$A$6:$G$9,MAX($B$3-AM547,0)+3,0)-VLOOKUP(AM$1,'פחת מים וגביה'!$A:$D,3,0),0))*AM396/AM$425)+IF(AND(AM$7="חברה מנהלת",AM10&lt;&gt;""),+VLOOKUP(AM651,'פחתי מים לרשויות מצטרפות'!$A$6:$G$10,5,0)-VLOOKUP(AM3,'פחת מים וגביה'!$A:$D,3,0),0)</f>
        <v>0</v>
      </c>
      <c r="AN569" s="1049">
        <f>(+IF(AN547&gt;=2015,MAX(VLOOKUP(AN651,'פחתי מים לרשויות מצטרפות'!$A$6:$G$9,MAX($B$3-AN547,0)+3,0)-VLOOKUP(AN$1,'פחת מים וגביה'!$A:$D,3,0),0))*AN396/AN$425)+IF(AND(AN$7="חברה מנהלת",AN10&lt;&gt;""),+VLOOKUP(AN651,'פחתי מים לרשויות מצטרפות'!$A$6:$G$10,5,0)-VLOOKUP(AN3,'פחת מים וגביה'!$A:$D,3,0),0)</f>
        <v>0</v>
      </c>
      <c r="AO569" s="1049">
        <f>(+IF(AO547&gt;=2015,MAX(VLOOKUP(AO651,'פחתי מים לרשויות מצטרפות'!$A$6:$G$9,MAX($B$3-AO547,0)+3,0)-VLOOKUP(AO$1,'פחת מים וגביה'!$A:$D,3,0),0))*AO396/AO$425)+IF(AND(AO$7="חברה מנהלת",AO10&lt;&gt;""),+VLOOKUP(AO651,'פחתי מים לרשויות מצטרפות'!$A$6:$G$10,5,0)-VLOOKUP(AO3,'פחת מים וגביה'!$A:$D,3,0),0)</f>
        <v>0</v>
      </c>
      <c r="AP569" s="1049">
        <f>(+IF(AP547&gt;=2015,MAX(VLOOKUP(AP651,'פחתי מים לרשויות מצטרפות'!$A$6:$G$9,MAX($B$3-AP547,0)+3,0)-VLOOKUP(AP$1,'פחת מים וגביה'!$A:$D,3,0),0))*AP396/AP$425)+IF(AND(AP$7="חברה מנהלת",AP10&lt;&gt;""),+VLOOKUP(AP651,'פחתי מים לרשויות מצטרפות'!$A$6:$G$10,5,0)-VLOOKUP(AP3,'פחת מים וגביה'!$A:$D,3,0),0)</f>
        <v>0</v>
      </c>
      <c r="AQ569" s="1049">
        <f>(+IF(AQ547&gt;=2015,MAX(VLOOKUP(AQ651,'פחתי מים לרשויות מצטרפות'!$A$6:$G$9,MAX($B$3-AQ547,0)+3,0)-VLOOKUP(AQ$1,'פחת מים וגביה'!$A:$D,3,0),0))*AQ396/AQ$425)+IF(AND(AQ$7="חברה מנהלת",AQ10&lt;&gt;""),+VLOOKUP(AQ651,'פחתי מים לרשויות מצטרפות'!$A$6:$G$10,5,0)-VLOOKUP(AQ3,'פחת מים וגביה'!$A:$D,3,0),0)</f>
        <v>0</v>
      </c>
      <c r="AR569" s="1049">
        <f>(+IF(AR547&gt;=2015,MAX(VLOOKUP(AR651,'פחתי מים לרשויות מצטרפות'!$A$6:$G$9,MAX($B$3-AR547,0)+3,0)-VLOOKUP(AR$1,'פחת מים וגביה'!$A:$D,3,0),0))*AR396/AR$425)+IF(AND(AR$7="חברה מנהלת",AR10&lt;&gt;""),+VLOOKUP(AR651,'פחתי מים לרשויות מצטרפות'!$A$6:$G$10,5,0)-VLOOKUP(AR3,'פחת מים וגביה'!$A:$D,3,0),0)</f>
        <v>0</v>
      </c>
      <c r="AS569" s="1049">
        <f>(+IF(AS547&gt;=2015,MAX(VLOOKUP(AS651,'פחתי מים לרשויות מצטרפות'!$A$6:$G$9,MAX($B$3-AS547,0)+3,0)-VLOOKUP(AS$1,'פחת מים וגביה'!$A:$D,3,0),0))*AS396/AS$425)+IF(AND(AS$7="חברה מנהלת",AS10&lt;&gt;""),+VLOOKUP(AS651,'פחתי מים לרשויות מצטרפות'!$A$6:$G$10,5,0)-VLOOKUP(AS3,'פחת מים וגביה'!$A:$D,3,0),0)</f>
        <v>0</v>
      </c>
      <c r="AT569" s="1049">
        <f>(+IF(AT547&gt;=2015,MAX(VLOOKUP(AT651,'פחתי מים לרשויות מצטרפות'!$A$6:$G$9,MAX($B$3-AT547,0)+3,0)-VLOOKUP(AT$1,'פחת מים וגביה'!$A:$D,3,0),0))*AT396/AT$425)+IF(AND(AT$7="חברה מנהלת",AT10&lt;&gt;""),+VLOOKUP(AT651,'פחתי מים לרשויות מצטרפות'!$A$6:$G$10,5,0)-VLOOKUP(AT3,'פחת מים וגביה'!$A:$D,3,0),0)</f>
        <v>0</v>
      </c>
      <c r="AU569" s="1049">
        <f>(+IF(AU547&gt;=2015,MAX(VLOOKUP(AU651,'פחתי מים לרשויות מצטרפות'!$A$6:$G$9,MAX($B$3-AU547,0)+3,0)-VLOOKUP(AU$1,'פחת מים וגביה'!$A:$D,3,0),0))*AU396/AU$425)+IF(AND(AU$7="חברה מנהלת",AU10&lt;&gt;""),+VLOOKUP(AU651,'פחתי מים לרשויות מצטרפות'!$A$6:$G$10,5,0)-VLOOKUP(AU3,'פחת מים וגביה'!$A:$D,3,0),0)</f>
        <v>0</v>
      </c>
      <c r="AV569" s="1049">
        <f>(+IF(AV547&gt;=2015,MAX(VLOOKUP(AV651,'פחתי מים לרשויות מצטרפות'!$A$6:$G$9,MAX($B$3-AV547,0)+3,0)-VLOOKUP(AV$1,'פחת מים וגביה'!$A:$D,3,0),0))*AV396/AV$425)+IF(AND(AV$7="חברה מנהלת",AV10&lt;&gt;""),+VLOOKUP(AV651,'פחתי מים לרשויות מצטרפות'!$A$6:$G$10,5,0)-VLOOKUP(AV3,'פחת מים וגביה'!$A:$D,3,0),0)</f>
        <v>0</v>
      </c>
      <c r="AW569" s="1049">
        <f>(+IF(AW547&gt;=2015,MAX(VLOOKUP(AW651,'פחתי מים לרשויות מצטרפות'!$A$6:$G$9,MAX($B$3-AW547,0)+3,0)-VLOOKUP(AW$1,'פחת מים וגביה'!$A:$D,3,0),0))*AW396/AW$425)+IF(AND(AW$7="חברה מנהלת",AW10&lt;&gt;""),+VLOOKUP(AW651,'פחתי מים לרשויות מצטרפות'!$A$6:$G$10,5,0)-VLOOKUP(AW3,'פחת מים וגביה'!$A:$D,3,0),0)</f>
        <v>0</v>
      </c>
      <c r="AX569" s="1049">
        <f>(+IF(AX547&gt;=2015,MAX(VLOOKUP(AX651,'פחתי מים לרשויות מצטרפות'!$A$6:$G$9,MAX($B$3-AX547,0)+3,0)-VLOOKUP(AX$1,'פחת מים וגביה'!$A:$D,3,0),0))*AX396/AX$425)+IF(AND(AX$7="חברה מנהלת",AX10&lt;&gt;""),+VLOOKUP(AX651,'פחתי מים לרשויות מצטרפות'!$A$6:$G$10,5,0)-VLOOKUP(AX3,'פחת מים וגביה'!$A:$D,3,0),0)</f>
        <v>0</v>
      </c>
      <c r="AY569" s="1049">
        <f>(+IF(AY547&gt;=2015,MAX(VLOOKUP(AY651,'פחתי מים לרשויות מצטרפות'!$A$6:$G$9,MAX($B$3-AY547,0)+3,0)-VLOOKUP(AY$1,'פחת מים וגביה'!$A:$D,3,0),0))*AY396/AY$425)+IF(AND(AY$7="חברה מנהלת",AY10&lt;&gt;""),+VLOOKUP(AY651,'פחתי מים לרשויות מצטרפות'!$A$6:$G$10,5,0)-VLOOKUP(AY3,'פחת מים וגביה'!$A:$D,3,0),0)</f>
        <v>0</v>
      </c>
      <c r="AZ569" s="1049">
        <f>(+IF(AZ547&gt;=2015,MAX(VLOOKUP(AZ651,'פחתי מים לרשויות מצטרפות'!$A$6:$G$9,MAX($B$3-AZ547,0)+3,0)-VLOOKUP(AZ$1,'פחת מים וגביה'!$A:$D,3,0),0))*AZ396/AZ$425)+IF(AND(AZ$7="חברה מנהלת",AZ10&lt;&gt;""),+VLOOKUP(AZ651,'פחתי מים לרשויות מצטרפות'!$A$6:$G$10,5,0)-VLOOKUP(AZ3,'פחת מים וגביה'!$A:$D,3,0),0)</f>
        <v>0</v>
      </c>
      <c r="BA569" s="1049">
        <f>(+IF(BA547&gt;=2015,MAX(VLOOKUP(BA651,'פחתי מים לרשויות מצטרפות'!$A$6:$G$9,MAX($B$3-BA547,0)+3,0)-VLOOKUP(BA$1,'פחת מים וגביה'!$A:$D,3,0),0))*BA396/BA$425)+IF(AND(BA$7="חברה מנהלת",BA10&lt;&gt;""),+VLOOKUP(BA651,'פחתי מים לרשויות מצטרפות'!$A$6:$G$10,5,0)-VLOOKUP(BA3,'פחת מים וגביה'!$A:$D,3,0),0)</f>
        <v>0</v>
      </c>
      <c r="BB569" s="1049">
        <f>(+IF(BB547&gt;=2015,MAX(VLOOKUP(BB651,'פחתי מים לרשויות מצטרפות'!$A$6:$G$9,MAX($B$3-BB547,0)+3,0)-VLOOKUP(BB$1,'פחת מים וגביה'!$A:$D,3,0),0))*BB396/BB$425)+IF(AND(BB$7="חברה מנהלת",BB10&lt;&gt;""),+VLOOKUP(BB651,'פחתי מים לרשויות מצטרפות'!$A$6:$G$10,5,0)-VLOOKUP(BB3,'פחת מים וגביה'!$A:$D,3,0),0)</f>
        <v>0</v>
      </c>
      <c r="BC569" s="1049">
        <f>(+IF(BC547&gt;=2015,MAX(VLOOKUP(BC651,'פחתי מים לרשויות מצטרפות'!$A$6:$G$9,MAX($B$3-BC547,0)+3,0)-VLOOKUP(BC$1,'פחת מים וגביה'!$A:$D,3,0),0))*BC396/BC$425)+IF(AND(BC$7="חברה מנהלת",BC10&lt;&gt;""),+VLOOKUP(BC651,'פחתי מים לרשויות מצטרפות'!$A$6:$G$10,5,0)-VLOOKUP(BC3,'פחת מים וגביה'!$A:$D,3,0),0)</f>
        <v>0</v>
      </c>
      <c r="BD569" s="1049">
        <f>(+IF(BD547&gt;=2015,MAX(VLOOKUP(BD651,'פחתי מים לרשויות מצטרפות'!$A$6:$G$9,MAX($B$3-BD547,0)+3,0)-VLOOKUP(BD$1,'פחת מים וגביה'!$A:$D,3,0),0))*BD396/BD$425)+IF(AND(BD$7="חברה מנהלת",BD10&lt;&gt;""),+VLOOKUP(BD651,'פחתי מים לרשויות מצטרפות'!$A$6:$G$10,5,0)-VLOOKUP(BD3,'פחת מים וגביה'!$A:$D,3,0),0)</f>
        <v>0</v>
      </c>
      <c r="BE569" s="1049">
        <f>(+IF(BE547&gt;=2015,MAX(VLOOKUP(BE651,'פחתי מים לרשויות מצטרפות'!$A$6:$G$9,MAX($B$3-BE547,0)+3,0)-VLOOKUP(BE$1,'פחת מים וגביה'!$A:$D,3,0),0))*BE396/BE$425)+IF(AND(BE$7="חברה מנהלת",BE10&lt;&gt;""),+VLOOKUP(BE651,'פחתי מים לרשויות מצטרפות'!$A$6:$G$10,5,0)-VLOOKUP(BE3,'פחת מים וגביה'!$A:$D,3,0),0)</f>
        <v>0</v>
      </c>
      <c r="BF569" s="1049">
        <f>(+IF(BF547&gt;=2015,MAX(VLOOKUP(BF651,'פחתי מים לרשויות מצטרפות'!$A$6:$G$9,MAX($B$3-BF547,0)+3,0)-VLOOKUP(BF$1,'פחת מים וגביה'!$A:$D,3,0),0))*BF396/BF$425)+IF(AND(BF$7="חברה מנהלת",BF10&lt;&gt;""),+VLOOKUP(BF651,'פחתי מים לרשויות מצטרפות'!$A$6:$G$10,5,0)-VLOOKUP(BF3,'פחת מים וגביה'!$A:$D,3,0),0)</f>
        <v>0</v>
      </c>
    </row>
    <row r="570" spans="1:58" x14ac:dyDescent="0.2">
      <c r="A570" s="42"/>
      <c r="C570" s="1049">
        <f>(+IF(C548&gt;=2015,MAX(VLOOKUP(C652,'פחתי מים לרשויות מצטרפות'!$A$6:$G$9,MAX($B$3-C548,0)+3,0)-VLOOKUP(C$1,'פחת מים וגביה'!$A:$D,3,0),0))*C397/C$425)+IF(AND(C$7="חברה מנהלת",C11&lt;&gt;""),+VLOOKUP(C652,'פחתי מים לרשויות מצטרפות'!$A$6:$G$10,5,0)-VLOOKUP(C4,'פחת מים וגביה'!$A:$D,3,0),0)</f>
        <v>0</v>
      </c>
      <c r="D570" s="1049">
        <f>(+IF(D548&gt;=2015,MAX(VLOOKUP(D652,'פחתי מים לרשויות מצטרפות'!$A$6:$G$9,MAX($B$3-D548,0)+3,0)-VLOOKUP(D$1,'פחת מים וגביה'!$A:$D,3,0),0))*D397/D$425)+IF(AND(D$7="חברה מנהלת",D11&lt;&gt;""),+VLOOKUP(D652,'פחתי מים לרשויות מצטרפות'!$A$6:$G$10,5,0)-VLOOKUP(D4,'פחת מים וגביה'!$A:$D,3,0),0)</f>
        <v>1.2463973799126636E-2</v>
      </c>
      <c r="E570" s="1049">
        <f>(+IF(E548&gt;=2015,MAX(VLOOKUP(E652,'פחתי מים לרשויות מצטרפות'!$A$6:$G$9,MAX($B$3-E548,0)+3,0)-VLOOKUP(E$1,'פחת מים וגביה'!$A:$D,3,0),0))*E397/E$425)+IF(AND(E$7="חברה מנהלת",E11&lt;&gt;""),+VLOOKUP(E652,'פחתי מים לרשויות מצטרפות'!$A$6:$G$10,5,0)-VLOOKUP(E4,'פחת מים וגביה'!$A:$D,3,0),0)</f>
        <v>0</v>
      </c>
      <c r="F570" s="1049">
        <f>(+IF(F548&gt;=2015,MAX(VLOOKUP(F652,'פחתי מים לרשויות מצטרפות'!$A$6:$G$9,MAX($B$3-F548,0)+3,0)-VLOOKUP(F$1,'פחת מים וגביה'!$A:$D,3,0),0))*F397/F$425)+IF(AND(F$7="חברה מנהלת",F11&lt;&gt;""),+VLOOKUP(F652,'פחתי מים לרשויות מצטרפות'!$A$6:$G$10,5,0)-VLOOKUP(F4,'פחת מים וגביה'!$A:$D,3,0),0)</f>
        <v>0</v>
      </c>
      <c r="G570" s="1049">
        <f>(+IF(G548&gt;=2015,MAX(VLOOKUP(G652,'פחתי מים לרשויות מצטרפות'!$A$6:$G$9,MAX($B$3-G548,0)+3,0)-VLOOKUP(G$1,'פחת מים וגביה'!$A:$D,3,0),0))*G397/G$425)+IF(AND(G$7="חברה מנהלת",G11&lt;&gt;""),+VLOOKUP(G652,'פחתי מים לרשויות מצטרפות'!$A$6:$G$10,5,0)-VLOOKUP(G4,'פחת מים וגביה'!$A:$D,3,0),0)</f>
        <v>0</v>
      </c>
      <c r="H570" s="1049">
        <f>(+IF(H548&gt;=2015,MAX(VLOOKUP(H652,'פחתי מים לרשויות מצטרפות'!$A$6:$G$9,MAX($B$3-H548,0)+3,0)-VLOOKUP(H$1,'פחת מים וגביה'!$A:$D,3,0),0))*H397/H$425)+IF(AND(H$7="חברה מנהלת",H11&lt;&gt;""),+VLOOKUP(H652,'פחתי מים לרשויות מצטרפות'!$A$6:$G$10,5,0)-VLOOKUP(H4,'פחת מים וגביה'!$A:$D,3,0),0)</f>
        <v>0</v>
      </c>
      <c r="I570" s="1049">
        <f>(+IF(I548&gt;=2015,MAX(VLOOKUP(I652,'פחתי מים לרשויות מצטרפות'!$A$6:$G$9,MAX($B$3-I548,0)+3,0)-VLOOKUP(I$1,'פחת מים וגביה'!$A:$D,3,0),0))*I397/I$425)+IF(AND(I$7="חברה מנהלת",I11&lt;&gt;""),+VLOOKUP(I652,'פחתי מים לרשויות מצטרפות'!$A$6:$G$10,5,0)-VLOOKUP(I4,'פחת מים וגביה'!$A:$D,3,0),0)</f>
        <v>0</v>
      </c>
      <c r="J570" s="1049">
        <f>(+IF(J548&gt;=2015,MAX(VLOOKUP(J652,'פחתי מים לרשויות מצטרפות'!$A$6:$G$9,MAX($B$3-J548,0)+3,0)-VLOOKUP(J$1,'פחת מים וגביה'!$A:$D,3,0),0))*J397/J$425)+IF(AND(J$7="חברה מנהלת",J11&lt;&gt;""),+VLOOKUP(J652,'פחתי מים לרשויות מצטרפות'!$A$6:$G$10,5,0)-VLOOKUP(J4,'פחת מים וגביה'!$A:$D,3,0),0)</f>
        <v>0</v>
      </c>
      <c r="K570" s="1049">
        <f>(+IF(K548&gt;=2015,MAX(VLOOKUP(K652,'פחתי מים לרשויות מצטרפות'!$A$6:$G$9,MAX($B$3-K548,0)+3,0)-VLOOKUP(K$1,'פחת מים וגביה'!$A:$D,3,0),0))*K397/K$425)+IF(AND(K$7="חברה מנהלת",K11&lt;&gt;""),+VLOOKUP(K652,'פחתי מים לרשויות מצטרפות'!$A$6:$G$10,5,0)-VLOOKUP(K4,'פחת מים וגביה'!$A:$D,3,0),0)</f>
        <v>0</v>
      </c>
      <c r="L570" s="1049">
        <f>(+IF(L548&gt;=2015,MAX(VLOOKUP(L652,'פחתי מים לרשויות מצטרפות'!$A$6:$G$9,MAX($B$3-L548,0)+3,0)-VLOOKUP(L$1,'פחת מים וגביה'!$A:$D,3,0),0))*L397/L$425)+IF(AND(L$7="חברה מנהלת",L11&lt;&gt;""),+VLOOKUP(L652,'פחתי מים לרשויות מצטרפות'!$A$6:$G$10,5,0)-VLOOKUP(L4,'פחת מים וגביה'!$A:$D,3,0),0)</f>
        <v>0</v>
      </c>
      <c r="M570" s="1049">
        <f>(+IF(M548&gt;=2015,MAX(VLOOKUP(M652,'פחתי מים לרשויות מצטרפות'!$A$6:$G$9,MAX($B$3-M548,0)+3,0)-VLOOKUP(M$1,'פחת מים וגביה'!$A:$D,3,0),0))*M397/M$425)+IF(AND(M$7="חברה מנהלת",M11&lt;&gt;""),+VLOOKUP(M652,'פחתי מים לרשויות מצטרפות'!$A$6:$G$10,5,0)-VLOOKUP(M4,'פחת מים וגביה'!$A:$D,3,0),0)</f>
        <v>0</v>
      </c>
      <c r="N570" s="1049">
        <f>(+IF(N548&gt;=2015,MAX(VLOOKUP(N652,'פחתי מים לרשויות מצטרפות'!$A$6:$G$9,MAX($B$3-N548,0)+3,0)-VLOOKUP(N$1,'פחת מים וגביה'!$A:$D,3,0),0))*N397/N$425)+IF(AND(N$7="חברה מנהלת",N11&lt;&gt;""),+VLOOKUP(N652,'פחתי מים לרשויות מצטרפות'!$A$6:$G$10,5,0)-VLOOKUP(N4,'פחת מים וגביה'!$A:$D,3,0),0)</f>
        <v>0</v>
      </c>
      <c r="O570" s="1049">
        <f>(+IF(O548&gt;=2015,MAX(VLOOKUP(O652,'פחתי מים לרשויות מצטרפות'!$A$6:$G$9,MAX($B$3-O548,0)+3,0)-VLOOKUP(O$1,'פחת מים וגביה'!$A:$D,3,0),0))*O397/O$425)+IF(AND(O$7="חברה מנהלת",O11&lt;&gt;""),+VLOOKUP(O652,'פחתי מים לרשויות מצטרפות'!$A$6:$G$10,5,0)-VLOOKUP(O4,'פחת מים וגביה'!$A:$D,3,0),0)</f>
        <v>0</v>
      </c>
      <c r="P570" s="1049">
        <f>(+IF(P548&gt;=2015,MAX(VLOOKUP(P652,'פחתי מים לרשויות מצטרפות'!$A$6:$G$9,MAX($B$3-P548,0)+3,0)-VLOOKUP(P$1,'פחת מים וגביה'!$A:$D,3,0),0))*P397/P$425)+IF(AND(P$7="חברה מנהלת",P11&lt;&gt;""),+VLOOKUP(P652,'פחתי מים לרשויות מצטרפות'!$A$6:$G$10,5,0)-VLOOKUP(P4,'פחת מים וגביה'!$A:$D,3,0),0)</f>
        <v>0</v>
      </c>
      <c r="Q570" s="1049">
        <f>(+IF(Q548&gt;=2015,MAX(VLOOKUP(Q652,'פחתי מים לרשויות מצטרפות'!$A$6:$G$9,MAX($B$3-Q548,0)+3,0)-VLOOKUP(Q$1,'פחת מים וגביה'!$A:$D,3,0),0))*Q397/Q$425)+IF(AND(Q$7="חברה מנהלת",Q11&lt;&gt;""),+VLOOKUP(Q652,'פחתי מים לרשויות מצטרפות'!$A$6:$G$10,5,0)-VLOOKUP(Q4,'פחת מים וגביה'!$A:$D,3,0),0)</f>
        <v>0</v>
      </c>
      <c r="R570" s="1049">
        <f>(+IF(R548&gt;=2015,MAX(VLOOKUP(R652,'פחתי מים לרשויות מצטרפות'!$A$6:$G$9,MAX($B$3-R548,0)+3,0)-VLOOKUP(R$1,'פחת מים וגביה'!$A:$D,3,0),0))*R397/R$425)+IF(AND(R$7="חברה מנהלת",R11&lt;&gt;""),+VLOOKUP(R652,'פחתי מים לרשויות מצטרפות'!$A$6:$G$10,5,0)-VLOOKUP(R4,'פחת מים וגביה'!$A:$D,3,0),0)</f>
        <v>0</v>
      </c>
      <c r="S570" s="1049">
        <f>(+IF(S548&gt;=2015,MAX(VLOOKUP(S652,'פחתי מים לרשויות מצטרפות'!$A$6:$G$9,MAX($B$3-S548,0)+3,0)-VLOOKUP(S$1,'פחת מים וגביה'!$A:$D,3,0),0))*S397/S$425)+IF(AND(S$7="חברה מנהלת",S11&lt;&gt;""),+VLOOKUP(S652,'פחתי מים לרשויות מצטרפות'!$A$6:$G$10,5,0)-VLOOKUP(S4,'פחת מים וגביה'!$A:$D,3,0),0)</f>
        <v>0</v>
      </c>
      <c r="T570" s="1049">
        <f>(+IF(T548&gt;=2015,MAX(VLOOKUP(T652,'פחתי מים לרשויות מצטרפות'!$A$6:$G$9,MAX($B$3-T548,0)+3,0)-VLOOKUP(T$1,'פחת מים וגביה'!$A:$D,3,0),0))*T397/T$425)+IF(AND(T$7="חברה מנהלת",T11&lt;&gt;""),+VLOOKUP(T652,'פחתי מים לרשויות מצטרפות'!$A$6:$G$10,5,0)-VLOOKUP(T4,'פחת מים וגביה'!$A:$D,3,0),0)</f>
        <v>0</v>
      </c>
      <c r="U570" s="1049">
        <f>(+IF(U548&gt;=2015,MAX(VLOOKUP(U652,'פחתי מים לרשויות מצטרפות'!$A$6:$G$9,MAX($B$3-U548,0)+3,0)-VLOOKUP(U$1,'פחת מים וגביה'!$A:$D,3,0),0))*U397/U$425)+IF(AND(U$7="חברה מנהלת",U11&lt;&gt;""),+VLOOKUP(U652,'פחתי מים לרשויות מצטרפות'!$A$6:$G$10,5,0)-VLOOKUP(U4,'פחת מים וגביה'!$A:$D,3,0),0)</f>
        <v>0</v>
      </c>
      <c r="V570" s="1049">
        <f>(+IF(V548&gt;=2015,MAX(VLOOKUP(V652,'פחתי מים לרשויות מצטרפות'!$A$6:$G$9,MAX($B$3-V548,0)+3,0)-VLOOKUP(V$1,'פחת מים וגביה'!$A:$D,3,0),0))*V397/V$425)+IF(AND(V$7="חברה מנהלת",V11&lt;&gt;""),+VLOOKUP(V652,'פחתי מים לרשויות מצטרפות'!$A$6:$G$10,5,0)-VLOOKUP(V4,'פחת מים וגביה'!$A:$D,3,0),0)</f>
        <v>0</v>
      </c>
      <c r="W570" s="1049">
        <f>(+IF(W548&gt;=2015,MAX(VLOOKUP(W652,'פחתי מים לרשויות מצטרפות'!$A$6:$G$9,MAX($B$3-W548,0)+3,0)-VLOOKUP(W$1,'פחת מים וגביה'!$A:$D,3,0),0))*W397/W$425)+IF(AND(W$7="חברה מנהלת",W11&lt;&gt;""),+VLOOKUP(W652,'פחתי מים לרשויות מצטרפות'!$A$6:$G$10,5,0)-VLOOKUP(W4,'פחת מים וגביה'!$A:$D,3,0),0)</f>
        <v>0</v>
      </c>
      <c r="X570" s="1049">
        <f>(+IF(X548&gt;=2015,MAX(VLOOKUP(X652,'פחתי מים לרשויות מצטרפות'!$A$6:$G$9,MAX($B$3-X548,0)+3,0)-VLOOKUP(X$1,'פחת מים וגביה'!$A:$D,3,0),0))*X397/X$425)+IF(AND(X$7="חברה מנהלת",X11&lt;&gt;""),+VLOOKUP(X652,'פחתי מים לרשויות מצטרפות'!$A$6:$G$10,5,0)-VLOOKUP(X4,'פחת מים וגביה'!$A:$D,3,0),0)</f>
        <v>0</v>
      </c>
      <c r="Y570" s="1049">
        <f>(+IF(Y548&gt;=2015,MAX(VLOOKUP(Y652,'פחתי מים לרשויות מצטרפות'!$A$6:$G$9,MAX($B$3-Y548,0)+3,0)-VLOOKUP(Y$1,'פחת מים וגביה'!$A:$D,3,0),0))*Y397/Y$425)+IF(AND(Y$7="חברה מנהלת",Y11&lt;&gt;""),+VLOOKUP(Y652,'פחתי מים לרשויות מצטרפות'!$A$6:$G$10,5,0)-VLOOKUP(Y4,'פחת מים וגביה'!$A:$D,3,0),0)</f>
        <v>0</v>
      </c>
      <c r="Z570" s="1049">
        <f>(+IF(Z548&gt;=2015,MAX(VLOOKUP(Z652,'פחתי מים לרשויות מצטרפות'!$A$6:$G$9,MAX($B$3-Z548,0)+3,0)-VLOOKUP(Z$1,'פחת מים וגביה'!$A:$D,3,0),0))*Z397/Z$425)+IF(AND(Z$7="חברה מנהלת",Z11&lt;&gt;""),+VLOOKUP(Z652,'פחתי מים לרשויות מצטרפות'!$A$6:$G$10,5,0)-VLOOKUP(Z4,'פחת מים וגביה'!$A:$D,3,0),0)</f>
        <v>0</v>
      </c>
      <c r="AA570" s="1049">
        <f>(+IF(AA548&gt;=2015,MAX(VLOOKUP(AA652,'פחתי מים לרשויות מצטרפות'!$A$6:$G$9,MAX($B$3-AA548,0)+3,0)-VLOOKUP(AA$1,'פחת מים וגביה'!$A:$D,3,0),0))*AA397/AA$425)+IF(AND(AA$7="חברה מנהלת",AA11&lt;&gt;""),+VLOOKUP(AA652,'פחתי מים לרשויות מצטרפות'!$A$6:$G$10,5,0)-VLOOKUP(AA4,'פחת מים וגביה'!$A:$D,3,0),0)</f>
        <v>0</v>
      </c>
      <c r="AB570" s="1049">
        <f>(+IF(AB548&gt;=2015,MAX(VLOOKUP(AB652,'פחתי מים לרשויות מצטרפות'!$A$6:$G$9,MAX($B$3-AB548,0)+3,0)-VLOOKUP(AB$1,'פחת מים וגביה'!$A:$D,3,0),0))*AB397/AB$425)+IF(AND(AB$7="חברה מנהלת",AB11&lt;&gt;""),+VLOOKUP(AB652,'פחתי מים לרשויות מצטרפות'!$A$6:$G$10,5,0)-VLOOKUP(AB4,'פחת מים וגביה'!$A:$D,3,0),0)</f>
        <v>0</v>
      </c>
      <c r="AC570" s="1049">
        <f>(+IF(AC548&gt;=2015,MAX(VLOOKUP(AC652,'פחתי מים לרשויות מצטרפות'!$A$6:$G$9,MAX($B$3-AC548,0)+3,0)-VLOOKUP(AC$1,'פחת מים וגביה'!$A:$D,3,0),0))*AC397/AC$425)+IF(AND(AC$7="חברה מנהלת",AC11&lt;&gt;""),+VLOOKUP(AC652,'פחתי מים לרשויות מצטרפות'!$A$6:$G$10,5,0)-VLOOKUP(AC4,'פחת מים וגביה'!$A:$D,3,0),0)</f>
        <v>0</v>
      </c>
      <c r="AD570" s="1049">
        <f>(+IF(AD548&gt;=2015,MAX(VLOOKUP(AD652,'פחתי מים לרשויות מצטרפות'!$A$6:$G$9,MAX($B$3-AD548,0)+3,0)-VLOOKUP(AD$1,'פחת מים וגביה'!$A:$D,3,0),0))*AD397/AD$425)+IF(AND(AD$7="חברה מנהלת",AD11&lt;&gt;""),+VLOOKUP(AD652,'פחתי מים לרשויות מצטרפות'!$A$6:$G$10,5,0)-VLOOKUP(AD4,'פחת מים וגביה'!$A:$D,3,0),0)</f>
        <v>0</v>
      </c>
      <c r="AE570" s="1049">
        <f>(+IF(AE548&gt;=2015,MAX(VLOOKUP(AE652,'פחתי מים לרשויות מצטרפות'!$A$6:$G$9,MAX($B$3-AE548,0)+3,0)-VLOOKUP(AE$1,'פחת מים וגביה'!$A:$D,3,0),0))*AE397/AE$425)+IF(AND(AE$7="חברה מנהלת",AE11&lt;&gt;""),+VLOOKUP(AE652,'פחתי מים לרשויות מצטרפות'!$A$6:$G$10,5,0)-VLOOKUP(AE4,'פחת מים וגביה'!$A:$D,3,0),0)</f>
        <v>0</v>
      </c>
      <c r="AF570" s="1049">
        <f>(+IF(AF548&gt;=2015,MAX(VLOOKUP(AF652,'פחתי מים לרשויות מצטרפות'!$A$6:$G$9,MAX($B$3-AF548,0)+3,0)-VLOOKUP(AF$1,'פחת מים וגביה'!$A:$D,3,0),0))*AF397/AF$425)+IF(AND(AF$7="חברה מנהלת",AF11&lt;&gt;""),+VLOOKUP(AF652,'פחתי מים לרשויות מצטרפות'!$A$6:$G$10,5,0)-VLOOKUP(AF4,'פחת מים וגביה'!$A:$D,3,0),0)</f>
        <v>0</v>
      </c>
      <c r="AG570" s="1049">
        <f>(+IF(AG548&gt;=2015,MAX(VLOOKUP(AG652,'פחתי מים לרשויות מצטרפות'!$A$6:$G$9,MAX($B$3-AG548,0)+3,0)-VLOOKUP(AG$1,'פחת מים וגביה'!$A:$D,3,0),0))*AG397/AG$425)+IF(AND(AG$7="חברה מנהלת",AG11&lt;&gt;""),+VLOOKUP(AG652,'פחתי מים לרשויות מצטרפות'!$A$6:$G$10,5,0)-VLOOKUP(AG4,'פחת מים וגביה'!$A:$D,3,0),0)</f>
        <v>0</v>
      </c>
      <c r="AH570" s="1049">
        <f>(+IF(AH548&gt;=2015,MAX(VLOOKUP(AH652,'פחתי מים לרשויות מצטרפות'!$A$6:$G$9,MAX($B$3-AH548,0)+3,0)-VLOOKUP(AH$1,'פחת מים וגביה'!$A:$D,3,0),0))*AH397/AH$425)+IF(AND(AH$7="חברה מנהלת",AH11&lt;&gt;""),+VLOOKUP(AH652,'פחתי מים לרשויות מצטרפות'!$A$6:$G$10,5,0)-VLOOKUP(AH4,'פחת מים וגביה'!$A:$D,3,0),0)</f>
        <v>0</v>
      </c>
      <c r="AI570" s="1049">
        <f>(+IF(AI548&gt;=2015,MAX(VLOOKUP(AI652,'פחתי מים לרשויות מצטרפות'!$A$6:$G$9,MAX($B$3-AI548,0)+3,0)-VLOOKUP(AI$1,'פחת מים וגביה'!$A:$D,3,0),0))*AI397/AI$425)+IF(AND(AI$7="חברה מנהלת",AI11&lt;&gt;""),+VLOOKUP(AI652,'פחתי מים לרשויות מצטרפות'!$A$6:$G$10,5,0)-VLOOKUP(AI4,'פחת מים וגביה'!$A:$D,3,0),0)</f>
        <v>0</v>
      </c>
      <c r="AJ570" s="1049">
        <f>(+IF(AJ548&gt;=2015,MAX(VLOOKUP(AJ652,'פחתי מים לרשויות מצטרפות'!$A$6:$G$9,MAX($B$3-AJ548,0)+3,0)-VLOOKUP(AJ$1,'פחת מים וגביה'!$A:$D,3,0),0))*AJ397/AJ$425)+IF(AND(AJ$7="חברה מנהלת",AJ11&lt;&gt;""),+VLOOKUP(AJ652,'פחתי מים לרשויות מצטרפות'!$A$6:$G$10,5,0)-VLOOKUP(AJ4,'פחת מים וגביה'!$A:$D,3,0),0)</f>
        <v>0</v>
      </c>
      <c r="AK570" s="1049">
        <f>(+IF(AK548&gt;=2015,MAX(VLOOKUP(AK652,'פחתי מים לרשויות מצטרפות'!$A$6:$G$9,MAX($B$3-AK548,0)+3,0)-VLOOKUP(AK$1,'פחת מים וגביה'!$A:$D,3,0),0))*AK397/AK$425)+IF(AND(AK$7="חברה מנהלת",AK11&lt;&gt;""),+VLOOKUP(AK652,'פחתי מים לרשויות מצטרפות'!$A$6:$G$10,5,0)-VLOOKUP(AK4,'פחת מים וגביה'!$A:$D,3,0),0)</f>
        <v>0</v>
      </c>
      <c r="AL570" s="1049">
        <f>(+IF(AL548&gt;=2015,MAX(VLOOKUP(AL652,'פחתי מים לרשויות מצטרפות'!$A$6:$G$9,MAX($B$3-AL548,0)+3,0)-VLOOKUP(AL$1,'פחת מים וגביה'!$A:$D,3,0),0))*AL397/AL$425)+IF(AND(AL$7="חברה מנהלת",AL11&lt;&gt;""),+VLOOKUP(AL652,'פחתי מים לרשויות מצטרפות'!$A$6:$G$10,5,0)-VLOOKUP(AL4,'פחת מים וגביה'!$A:$D,3,0),0)</f>
        <v>0</v>
      </c>
      <c r="AM570" s="1049">
        <f>(+IF(AM548&gt;=2015,MAX(VLOOKUP(AM652,'פחתי מים לרשויות מצטרפות'!$A$6:$G$9,MAX($B$3-AM548,0)+3,0)-VLOOKUP(AM$1,'פחת מים וגביה'!$A:$D,3,0),0))*AM397/AM$425)+IF(AND(AM$7="חברה מנהלת",AM11&lt;&gt;""),+VLOOKUP(AM652,'פחתי מים לרשויות מצטרפות'!$A$6:$G$10,5,0)-VLOOKUP(AM4,'פחת מים וגביה'!$A:$D,3,0),0)</f>
        <v>0</v>
      </c>
      <c r="AN570" s="1049">
        <f>(+IF(AN548&gt;=2015,MAX(VLOOKUP(AN652,'פחתי מים לרשויות מצטרפות'!$A$6:$G$9,MAX($B$3-AN548,0)+3,0)-VLOOKUP(AN$1,'פחת מים וגביה'!$A:$D,3,0),0))*AN397/AN$425)+IF(AND(AN$7="חברה מנהלת",AN11&lt;&gt;""),+VLOOKUP(AN652,'פחתי מים לרשויות מצטרפות'!$A$6:$G$10,5,0)-VLOOKUP(AN4,'פחת מים וגביה'!$A:$D,3,0),0)</f>
        <v>0</v>
      </c>
      <c r="AO570" s="1049">
        <f>(+IF(AO548&gt;=2015,MAX(VLOOKUP(AO652,'פחתי מים לרשויות מצטרפות'!$A$6:$G$9,MAX($B$3-AO548,0)+3,0)-VLOOKUP(AO$1,'פחת מים וגביה'!$A:$D,3,0),0))*AO397/AO$425)+IF(AND(AO$7="חברה מנהלת",AO11&lt;&gt;""),+VLOOKUP(AO652,'פחתי מים לרשויות מצטרפות'!$A$6:$G$10,5,0)-VLOOKUP(AO4,'פחת מים וגביה'!$A:$D,3,0),0)</f>
        <v>0</v>
      </c>
      <c r="AP570" s="1049">
        <f>(+IF(AP548&gt;=2015,MAX(VLOOKUP(AP652,'פחתי מים לרשויות מצטרפות'!$A$6:$G$9,MAX($B$3-AP548,0)+3,0)-VLOOKUP(AP$1,'פחת מים וגביה'!$A:$D,3,0),0))*AP397/AP$425)+IF(AND(AP$7="חברה מנהלת",AP11&lt;&gt;""),+VLOOKUP(AP652,'פחתי מים לרשויות מצטרפות'!$A$6:$G$10,5,0)-VLOOKUP(AP4,'פחת מים וגביה'!$A:$D,3,0),0)</f>
        <v>0</v>
      </c>
      <c r="AQ570" s="1049">
        <f>(+IF(AQ548&gt;=2015,MAX(VLOOKUP(AQ652,'פחתי מים לרשויות מצטרפות'!$A$6:$G$9,MAX($B$3-AQ548,0)+3,0)-VLOOKUP(AQ$1,'פחת מים וגביה'!$A:$D,3,0),0))*AQ397/AQ$425)+IF(AND(AQ$7="חברה מנהלת",AQ11&lt;&gt;""),+VLOOKUP(AQ652,'פחתי מים לרשויות מצטרפות'!$A$6:$G$10,5,0)-VLOOKUP(AQ4,'פחת מים וגביה'!$A:$D,3,0),0)</f>
        <v>0</v>
      </c>
      <c r="AR570" s="1049">
        <f>(+IF(AR548&gt;=2015,MAX(VLOOKUP(AR652,'פחתי מים לרשויות מצטרפות'!$A$6:$G$9,MAX($B$3-AR548,0)+3,0)-VLOOKUP(AR$1,'פחת מים וגביה'!$A:$D,3,0),0))*AR397/AR$425)+IF(AND(AR$7="חברה מנהלת",AR11&lt;&gt;""),+VLOOKUP(AR652,'פחתי מים לרשויות מצטרפות'!$A$6:$G$10,5,0)-VLOOKUP(AR4,'פחת מים וגביה'!$A:$D,3,0),0)</f>
        <v>0</v>
      </c>
      <c r="AS570" s="1049">
        <f>(+IF(AS548&gt;=2015,MAX(VLOOKUP(AS652,'פחתי מים לרשויות מצטרפות'!$A$6:$G$9,MAX($B$3-AS548,0)+3,0)-VLOOKUP(AS$1,'פחת מים וגביה'!$A:$D,3,0),0))*AS397/AS$425)+IF(AND(AS$7="חברה מנהלת",AS11&lt;&gt;""),+VLOOKUP(AS652,'פחתי מים לרשויות מצטרפות'!$A$6:$G$10,5,0)-VLOOKUP(AS4,'פחת מים וגביה'!$A:$D,3,0),0)</f>
        <v>0</v>
      </c>
      <c r="AT570" s="1049">
        <f>(+IF(AT548&gt;=2015,MAX(VLOOKUP(AT652,'פחתי מים לרשויות מצטרפות'!$A$6:$G$9,MAX($B$3-AT548,0)+3,0)-VLOOKUP(AT$1,'פחת מים וגביה'!$A:$D,3,0),0))*AT397/AT$425)+IF(AND(AT$7="חברה מנהלת",AT11&lt;&gt;""),+VLOOKUP(AT652,'פחתי מים לרשויות מצטרפות'!$A$6:$G$10,5,0)-VLOOKUP(AT4,'פחת מים וגביה'!$A:$D,3,0),0)</f>
        <v>0</v>
      </c>
      <c r="AU570" s="1049">
        <f>(+IF(AU548&gt;=2015,MAX(VLOOKUP(AU652,'פחתי מים לרשויות מצטרפות'!$A$6:$G$9,MAX($B$3-AU548,0)+3,0)-VLOOKUP(AU$1,'פחת מים וגביה'!$A:$D,3,0),0))*AU397/AU$425)+IF(AND(AU$7="חברה מנהלת",AU11&lt;&gt;""),+VLOOKUP(AU652,'פחתי מים לרשויות מצטרפות'!$A$6:$G$10,5,0)-VLOOKUP(AU4,'פחת מים וגביה'!$A:$D,3,0),0)</f>
        <v>0</v>
      </c>
      <c r="AV570" s="1049">
        <f>(+IF(AV548&gt;=2015,MAX(VLOOKUP(AV652,'פחתי מים לרשויות מצטרפות'!$A$6:$G$9,MAX($B$3-AV548,0)+3,0)-VLOOKUP(AV$1,'פחת מים וגביה'!$A:$D,3,0),0))*AV397/AV$425)+IF(AND(AV$7="חברה מנהלת",AV11&lt;&gt;""),+VLOOKUP(AV652,'פחתי מים לרשויות מצטרפות'!$A$6:$G$10,5,0)-VLOOKUP(AV4,'פחת מים וגביה'!$A:$D,3,0),0)</f>
        <v>0</v>
      </c>
      <c r="AW570" s="1049">
        <f>(+IF(AW548&gt;=2015,MAX(VLOOKUP(AW652,'פחתי מים לרשויות מצטרפות'!$A$6:$G$9,MAX($B$3-AW548,0)+3,0)-VLOOKUP(AW$1,'פחת מים וגביה'!$A:$D,3,0),0))*AW397/AW$425)+IF(AND(AW$7="חברה מנהלת",AW11&lt;&gt;""),+VLOOKUP(AW652,'פחתי מים לרשויות מצטרפות'!$A$6:$G$10,5,0)-VLOOKUP(AW4,'פחת מים וגביה'!$A:$D,3,0),0)</f>
        <v>0</v>
      </c>
      <c r="AX570" s="1049">
        <f>(+IF(AX548&gt;=2015,MAX(VLOOKUP(AX652,'פחתי מים לרשויות מצטרפות'!$A$6:$G$9,MAX($B$3-AX548,0)+3,0)-VLOOKUP(AX$1,'פחת מים וגביה'!$A:$D,3,0),0))*AX397/AX$425)+IF(AND(AX$7="חברה מנהלת",AX11&lt;&gt;""),+VLOOKUP(AX652,'פחתי מים לרשויות מצטרפות'!$A$6:$G$10,5,0)-VLOOKUP(AX4,'פחת מים וגביה'!$A:$D,3,0),0)</f>
        <v>0</v>
      </c>
      <c r="AY570" s="1049">
        <f>(+IF(AY548&gt;=2015,MAX(VLOOKUP(AY652,'פחתי מים לרשויות מצטרפות'!$A$6:$G$9,MAX($B$3-AY548,0)+3,0)-VLOOKUP(AY$1,'פחת מים וגביה'!$A:$D,3,0),0))*AY397/AY$425)+IF(AND(AY$7="חברה מנהלת",AY11&lt;&gt;""),+VLOOKUP(AY652,'פחתי מים לרשויות מצטרפות'!$A$6:$G$10,5,0)-VLOOKUP(AY4,'פחת מים וגביה'!$A:$D,3,0),0)</f>
        <v>0</v>
      </c>
      <c r="AZ570" s="1049">
        <f>(+IF(AZ548&gt;=2015,MAX(VLOOKUP(AZ652,'פחתי מים לרשויות מצטרפות'!$A$6:$G$9,MAX($B$3-AZ548,0)+3,0)-VLOOKUP(AZ$1,'פחת מים וגביה'!$A:$D,3,0),0))*AZ397/AZ$425)+IF(AND(AZ$7="חברה מנהלת",AZ11&lt;&gt;""),+VLOOKUP(AZ652,'פחתי מים לרשויות מצטרפות'!$A$6:$G$10,5,0)-VLOOKUP(AZ4,'פחת מים וגביה'!$A:$D,3,0),0)</f>
        <v>6.4642789018825256E-3</v>
      </c>
      <c r="BA570" s="1049">
        <f>(+IF(BA548&gt;=2015,MAX(VLOOKUP(BA652,'פחתי מים לרשויות מצטרפות'!$A$6:$G$9,MAX($B$3-BA548,0)+3,0)-VLOOKUP(BA$1,'פחת מים וגביה'!$A:$D,3,0),0))*BA397/BA$425)+IF(AND(BA$7="חברה מנהלת",BA11&lt;&gt;""),+VLOOKUP(BA652,'פחתי מים לרשויות מצטרפות'!$A$6:$G$10,5,0)-VLOOKUP(BA4,'פחת מים וגביה'!$A:$D,3,0),0)</f>
        <v>0</v>
      </c>
      <c r="BB570" s="1049">
        <f>(+IF(BB548&gt;=2015,MAX(VLOOKUP(BB652,'פחתי מים לרשויות מצטרפות'!$A$6:$G$9,MAX($B$3-BB548,0)+3,0)-VLOOKUP(BB$1,'פחת מים וגביה'!$A:$D,3,0),0))*BB397/BB$425)+IF(AND(BB$7="חברה מנהלת",BB11&lt;&gt;""),+VLOOKUP(BB652,'פחתי מים לרשויות מצטרפות'!$A$6:$G$10,5,0)-VLOOKUP(BB4,'פחת מים וגביה'!$A:$D,3,0),0)</f>
        <v>0</v>
      </c>
      <c r="BC570" s="1049">
        <f>(+IF(BC548&gt;=2015,MAX(VLOOKUP(BC652,'פחתי מים לרשויות מצטרפות'!$A$6:$G$9,MAX($B$3-BC548,0)+3,0)-VLOOKUP(BC$1,'פחת מים וגביה'!$A:$D,3,0),0))*BC397/BC$425)+IF(AND(BC$7="חברה מנהלת",BC11&lt;&gt;""),+VLOOKUP(BC652,'פחתי מים לרשויות מצטרפות'!$A$6:$G$10,5,0)-VLOOKUP(BC4,'פחת מים וגביה'!$A:$D,3,0),0)</f>
        <v>0</v>
      </c>
      <c r="BD570" s="1049">
        <f>(+IF(BD548&gt;=2015,MAX(VLOOKUP(BD652,'פחתי מים לרשויות מצטרפות'!$A$6:$G$9,MAX($B$3-BD548,0)+3,0)-VLOOKUP(BD$1,'פחת מים וגביה'!$A:$D,3,0),0))*BD397/BD$425)+IF(AND(BD$7="חברה מנהלת",BD11&lt;&gt;""),+VLOOKUP(BD652,'פחתי מים לרשויות מצטרפות'!$A$6:$G$10,5,0)-VLOOKUP(BD4,'פחת מים וגביה'!$A:$D,3,0),0)</f>
        <v>0</v>
      </c>
      <c r="BE570" s="1049">
        <f>(+IF(BE548&gt;=2015,MAX(VLOOKUP(BE652,'פחתי מים לרשויות מצטרפות'!$A$6:$G$9,MAX($B$3-BE548,0)+3,0)-VLOOKUP(BE$1,'פחת מים וגביה'!$A:$D,3,0),0))*BE397/BE$425)+IF(AND(BE$7="חברה מנהלת",BE11&lt;&gt;""),+VLOOKUP(BE652,'פחתי מים לרשויות מצטרפות'!$A$6:$G$10,5,0)-VLOOKUP(BE4,'פחת מים וגביה'!$A:$D,3,0),0)</f>
        <v>0</v>
      </c>
      <c r="BF570" s="1049">
        <f>(+IF(BF548&gt;=2015,MAX(VLOOKUP(BF652,'פחתי מים לרשויות מצטרפות'!$A$6:$G$9,MAX($B$3-BF548,0)+3,0)-VLOOKUP(BF$1,'פחת מים וגביה'!$A:$D,3,0),0))*BF397/BF$425)+IF(AND(BF$7="חברה מנהלת",BF11&lt;&gt;""),+VLOOKUP(BF652,'פחתי מים לרשויות מצטרפות'!$A$6:$G$10,5,0)-VLOOKUP(BF4,'פחת מים וגביה'!$A:$D,3,0),0)</f>
        <v>0</v>
      </c>
    </row>
    <row r="571" spans="1:58" x14ac:dyDescent="0.2">
      <c r="C571" s="1049">
        <f>(+IF(C549&gt;=2015,MAX(VLOOKUP(C653,'פחתי מים לרשויות מצטרפות'!$A$6:$G$9,MAX($B$3-C549,0)+3,0)-VLOOKUP(C$1,'פחת מים וגביה'!$A:$D,3,0),0))*C398/C$425)+IF(AND(C$7="חברה מנהלת",C12&lt;&gt;""),+VLOOKUP(C653,'פחתי מים לרשויות מצטרפות'!$A$6:$G$10,5,0)-VLOOKUP(C5,'פחת מים וגביה'!$A:$D,3,0),0)</f>
        <v>0</v>
      </c>
      <c r="D571" s="1049">
        <f>(+IF(D549&gt;=2015,MAX(VLOOKUP(D653,'פחתי מים לרשויות מצטרפות'!$A$6:$G$9,MAX($B$3-D549,0)+3,0)-VLOOKUP(D$1,'פחת מים וגביה'!$A:$D,3,0),0))*D398/D$425)+IF(AND(D$7="חברה מנהלת",D12&lt;&gt;""),+VLOOKUP(D653,'פחתי מים לרשויות מצטרפות'!$A$6:$G$10,5,0)-VLOOKUP(D5,'פחת מים וגביה'!$A:$D,3,0),0)</f>
        <v>4.0975982532751084E-3</v>
      </c>
      <c r="E571" s="1049">
        <f>(+IF(E549&gt;=2015,MAX(VLOOKUP(E653,'פחתי מים לרשויות מצטרפות'!$A$6:$G$9,MAX($B$3-E549,0)+3,0)-VLOOKUP(E$1,'פחת מים וגביה'!$A:$D,3,0),0))*E398/E$425)+IF(AND(E$7="חברה מנהלת",E12&lt;&gt;""),+VLOOKUP(E653,'פחתי מים לרשויות מצטרפות'!$A$6:$G$10,5,0)-VLOOKUP(E5,'פחת מים וגביה'!$A:$D,3,0),0)</f>
        <v>0</v>
      </c>
      <c r="F571" s="1049">
        <f>(+IF(F549&gt;=2015,MAX(VLOOKUP(F653,'פחתי מים לרשויות מצטרפות'!$A$6:$G$9,MAX($B$3-F549,0)+3,0)-VLOOKUP(F$1,'פחת מים וגביה'!$A:$D,3,0),0))*F398/F$425)+IF(AND(F$7="חברה מנהלת",F12&lt;&gt;""),+VLOOKUP(F653,'פחתי מים לרשויות מצטרפות'!$A$6:$G$10,5,0)-VLOOKUP(F5,'פחת מים וגביה'!$A:$D,3,0),0)</f>
        <v>0</v>
      </c>
      <c r="G571" s="1049">
        <f>(+IF(G549&gt;=2015,MAX(VLOOKUP(G653,'פחתי מים לרשויות מצטרפות'!$A$6:$G$9,MAX($B$3-G549,0)+3,0)-VLOOKUP(G$1,'פחת מים וגביה'!$A:$D,3,0),0))*G398/G$425)+IF(AND(G$7="חברה מנהלת",G12&lt;&gt;""),+VLOOKUP(G653,'פחתי מים לרשויות מצטרפות'!$A$6:$G$10,5,0)-VLOOKUP(G5,'פחת מים וגביה'!$A:$D,3,0),0)</f>
        <v>0</v>
      </c>
      <c r="H571" s="1049">
        <f>(+IF(H549&gt;=2015,MAX(VLOOKUP(H653,'פחתי מים לרשויות מצטרפות'!$A$6:$G$9,MAX($B$3-H549,0)+3,0)-VLOOKUP(H$1,'פחת מים וגביה'!$A:$D,3,0),0))*H398/H$425)+IF(AND(H$7="חברה מנהלת",H12&lt;&gt;""),+VLOOKUP(H653,'פחתי מים לרשויות מצטרפות'!$A$6:$G$10,5,0)-VLOOKUP(H5,'פחת מים וגביה'!$A:$D,3,0),0)</f>
        <v>0</v>
      </c>
      <c r="I571" s="1049">
        <f>(+IF(I549&gt;=2015,MAX(VLOOKUP(I653,'פחתי מים לרשויות מצטרפות'!$A$6:$G$9,MAX($B$3-I549,0)+3,0)-VLOOKUP(I$1,'פחת מים וגביה'!$A:$D,3,0),0))*I398/I$425)+IF(AND(I$7="חברה מנהלת",I12&lt;&gt;""),+VLOOKUP(I653,'פחתי מים לרשויות מצטרפות'!$A$6:$G$10,5,0)-VLOOKUP(I5,'פחת מים וגביה'!$A:$D,3,0),0)</f>
        <v>0</v>
      </c>
      <c r="J571" s="1049">
        <f>(+IF(J549&gt;=2015,MAX(VLOOKUP(J653,'פחתי מים לרשויות מצטרפות'!$A$6:$G$9,MAX($B$3-J549,0)+3,0)-VLOOKUP(J$1,'פחת מים וגביה'!$A:$D,3,0),0))*J398/J$425)+IF(AND(J$7="חברה מנהלת",J12&lt;&gt;""),+VLOOKUP(J653,'פחתי מים לרשויות מצטרפות'!$A$6:$G$10,5,0)-VLOOKUP(J5,'פחת מים וגביה'!$A:$D,3,0),0)</f>
        <v>0</v>
      </c>
      <c r="K571" s="1049">
        <f>(+IF(K549&gt;=2015,MAX(VLOOKUP(K653,'פחתי מים לרשויות מצטרפות'!$A$6:$G$9,MAX($B$3-K549,0)+3,0)-VLOOKUP(K$1,'פחת מים וגביה'!$A:$D,3,0),0))*K398/K$425)+IF(AND(K$7="חברה מנהלת",K12&lt;&gt;""),+VLOOKUP(K653,'פחתי מים לרשויות מצטרפות'!$A$6:$G$10,5,0)-VLOOKUP(K5,'פחת מים וגביה'!$A:$D,3,0),0)</f>
        <v>0</v>
      </c>
      <c r="L571" s="1049">
        <f>(+IF(L549&gt;=2015,MAX(VLOOKUP(L653,'פחתי מים לרשויות מצטרפות'!$A$6:$G$9,MAX($B$3-L549,0)+3,0)-VLOOKUP(L$1,'פחת מים וגביה'!$A:$D,3,0),0))*L398/L$425)+IF(AND(L$7="חברה מנהלת",L12&lt;&gt;""),+VLOOKUP(L653,'פחתי מים לרשויות מצטרפות'!$A$6:$G$10,5,0)-VLOOKUP(L5,'פחת מים וגביה'!$A:$D,3,0),0)</f>
        <v>0</v>
      </c>
      <c r="M571" s="1049">
        <f>(+IF(M549&gt;=2015,MAX(VLOOKUP(M653,'פחתי מים לרשויות מצטרפות'!$A$6:$G$9,MAX($B$3-M549,0)+3,0)-VLOOKUP(M$1,'פחת מים וגביה'!$A:$D,3,0),0))*M398/M$425)+IF(AND(M$7="חברה מנהלת",M12&lt;&gt;""),+VLOOKUP(M653,'פחתי מים לרשויות מצטרפות'!$A$6:$G$10,5,0)-VLOOKUP(M5,'פחת מים וגביה'!$A:$D,3,0),0)</f>
        <v>0</v>
      </c>
      <c r="N571" s="1049">
        <f>(+IF(N549&gt;=2015,MAX(VLOOKUP(N653,'פחתי מים לרשויות מצטרפות'!$A$6:$G$9,MAX($B$3-N549,0)+3,0)-VLOOKUP(N$1,'פחת מים וגביה'!$A:$D,3,0),0))*N398/N$425)+IF(AND(N$7="חברה מנהלת",N12&lt;&gt;""),+VLOOKUP(N653,'פחתי מים לרשויות מצטרפות'!$A$6:$G$10,5,0)-VLOOKUP(N5,'פחת מים וגביה'!$A:$D,3,0),0)</f>
        <v>0</v>
      </c>
      <c r="O571" s="1049">
        <f>(+IF(O549&gt;=2015,MAX(VLOOKUP(O653,'פחתי מים לרשויות מצטרפות'!$A$6:$G$9,MAX($B$3-O549,0)+3,0)-VLOOKUP(O$1,'פחת מים וגביה'!$A:$D,3,0),0))*O398/O$425)+IF(AND(O$7="חברה מנהלת",O12&lt;&gt;""),+VLOOKUP(O653,'פחתי מים לרשויות מצטרפות'!$A$6:$G$10,5,0)-VLOOKUP(O5,'פחת מים וגביה'!$A:$D,3,0),0)</f>
        <v>0</v>
      </c>
      <c r="P571" s="1049">
        <f>(+IF(P549&gt;=2015,MAX(VLOOKUP(P653,'פחתי מים לרשויות מצטרפות'!$A$6:$G$9,MAX($B$3-P549,0)+3,0)-VLOOKUP(P$1,'פחת מים וגביה'!$A:$D,3,0),0))*P398/P$425)+IF(AND(P$7="חברה מנהלת",P12&lt;&gt;""),+VLOOKUP(P653,'פחתי מים לרשויות מצטרפות'!$A$6:$G$10,5,0)-VLOOKUP(P5,'פחת מים וגביה'!$A:$D,3,0),0)</f>
        <v>0</v>
      </c>
      <c r="Q571" s="1049">
        <f>(+IF(Q549&gt;=2015,MAX(VLOOKUP(Q653,'פחתי מים לרשויות מצטרפות'!$A$6:$G$9,MAX($B$3-Q549,0)+3,0)-VLOOKUP(Q$1,'פחת מים וגביה'!$A:$D,3,0),0))*Q398/Q$425)+IF(AND(Q$7="חברה מנהלת",Q12&lt;&gt;""),+VLOOKUP(Q653,'פחתי מים לרשויות מצטרפות'!$A$6:$G$10,5,0)-VLOOKUP(Q5,'פחת מים וגביה'!$A:$D,3,0),0)</f>
        <v>0</v>
      </c>
      <c r="R571" s="1049">
        <f>(+IF(R549&gt;=2015,MAX(VLOOKUP(R653,'פחתי מים לרשויות מצטרפות'!$A$6:$G$9,MAX($B$3-R549,0)+3,0)-VLOOKUP(R$1,'פחת מים וגביה'!$A:$D,3,0),0))*R398/R$425)+IF(AND(R$7="חברה מנהלת",R12&lt;&gt;""),+VLOOKUP(R653,'פחתי מים לרשויות מצטרפות'!$A$6:$G$10,5,0)-VLOOKUP(R5,'פחת מים וגביה'!$A:$D,3,0),0)</f>
        <v>0</v>
      </c>
      <c r="S571" s="1049">
        <f>(+IF(S549&gt;=2015,MAX(VLOOKUP(S653,'פחתי מים לרשויות מצטרפות'!$A$6:$G$9,MAX($B$3-S549,0)+3,0)-VLOOKUP(S$1,'פחת מים וגביה'!$A:$D,3,0),0))*S398/S$425)+IF(AND(S$7="חברה מנהלת",S12&lt;&gt;""),+VLOOKUP(S653,'פחתי מים לרשויות מצטרפות'!$A$6:$G$10,5,0)-VLOOKUP(S5,'פחת מים וגביה'!$A:$D,3,0),0)</f>
        <v>0</v>
      </c>
      <c r="T571" s="1049">
        <f>(+IF(T549&gt;=2015,MAX(VLOOKUP(T653,'פחתי מים לרשויות מצטרפות'!$A$6:$G$9,MAX($B$3-T549,0)+3,0)-VLOOKUP(T$1,'פחת מים וגביה'!$A:$D,3,0),0))*T398/T$425)+IF(AND(T$7="חברה מנהלת",T12&lt;&gt;""),+VLOOKUP(T653,'פחתי מים לרשויות מצטרפות'!$A$6:$G$10,5,0)-VLOOKUP(T5,'פחת מים וגביה'!$A:$D,3,0),0)</f>
        <v>0</v>
      </c>
      <c r="U571" s="1049">
        <f>(+IF(U549&gt;=2015,MAX(VLOOKUP(U653,'פחתי מים לרשויות מצטרפות'!$A$6:$G$9,MAX($B$3-U549,0)+3,0)-VLOOKUP(U$1,'פחת מים וגביה'!$A:$D,3,0),0))*U398/U$425)+IF(AND(U$7="חברה מנהלת",U12&lt;&gt;""),+VLOOKUP(U653,'פחתי מים לרשויות מצטרפות'!$A$6:$G$10,5,0)-VLOOKUP(U5,'פחת מים וגביה'!$A:$D,3,0),0)</f>
        <v>0</v>
      </c>
      <c r="V571" s="1049">
        <f>(+IF(V549&gt;=2015,MAX(VLOOKUP(V653,'פחתי מים לרשויות מצטרפות'!$A$6:$G$9,MAX($B$3-V549,0)+3,0)-VLOOKUP(V$1,'פחת מים וגביה'!$A:$D,3,0),0))*V398/V$425)+IF(AND(V$7="חברה מנהלת",V12&lt;&gt;""),+VLOOKUP(V653,'פחתי מים לרשויות מצטרפות'!$A$6:$G$10,5,0)-VLOOKUP(V5,'פחת מים וגביה'!$A:$D,3,0),0)</f>
        <v>0</v>
      </c>
      <c r="W571" s="1049">
        <f>(+IF(W549&gt;=2015,MAX(VLOOKUP(W653,'פחתי מים לרשויות מצטרפות'!$A$6:$G$9,MAX($B$3-W549,0)+3,0)-VLOOKUP(W$1,'פחת מים וגביה'!$A:$D,3,0),0))*W398/W$425)+IF(AND(W$7="חברה מנהלת",W12&lt;&gt;""),+VLOOKUP(W653,'פחתי מים לרשויות מצטרפות'!$A$6:$G$10,5,0)-VLOOKUP(W5,'פחת מים וגביה'!$A:$D,3,0),0)</f>
        <v>0</v>
      </c>
      <c r="X571" s="1049">
        <f>(+IF(X549&gt;=2015,MAX(VLOOKUP(X653,'פחתי מים לרשויות מצטרפות'!$A$6:$G$9,MAX($B$3-X549,0)+3,0)-VLOOKUP(X$1,'פחת מים וגביה'!$A:$D,3,0),0))*X398/X$425)+IF(AND(X$7="חברה מנהלת",X12&lt;&gt;""),+VLOOKUP(X653,'פחתי מים לרשויות מצטרפות'!$A$6:$G$10,5,0)-VLOOKUP(X5,'פחת מים וגביה'!$A:$D,3,0),0)</f>
        <v>0</v>
      </c>
      <c r="Y571" s="1049">
        <f>(+IF(Y549&gt;=2015,MAX(VLOOKUP(Y653,'פחתי מים לרשויות מצטרפות'!$A$6:$G$9,MAX($B$3-Y549,0)+3,0)-VLOOKUP(Y$1,'פחת מים וגביה'!$A:$D,3,0),0))*Y398/Y$425)+IF(AND(Y$7="חברה מנהלת",Y12&lt;&gt;""),+VLOOKUP(Y653,'פחתי מים לרשויות מצטרפות'!$A$6:$G$10,5,0)-VLOOKUP(Y5,'פחת מים וגביה'!$A:$D,3,0),0)</f>
        <v>0</v>
      </c>
      <c r="Z571" s="1049">
        <f>(+IF(Z549&gt;=2015,MAX(VLOOKUP(Z653,'פחתי מים לרשויות מצטרפות'!$A$6:$G$9,MAX($B$3-Z549,0)+3,0)-VLOOKUP(Z$1,'פחת מים וגביה'!$A:$D,3,0),0))*Z398/Z$425)+IF(AND(Z$7="חברה מנהלת",Z12&lt;&gt;""),+VLOOKUP(Z653,'פחתי מים לרשויות מצטרפות'!$A$6:$G$10,5,0)-VLOOKUP(Z5,'פחת מים וגביה'!$A:$D,3,0),0)</f>
        <v>0</v>
      </c>
      <c r="AA571" s="1049">
        <f>(+IF(AA549&gt;=2015,MAX(VLOOKUP(AA653,'פחתי מים לרשויות מצטרפות'!$A$6:$G$9,MAX($B$3-AA549,0)+3,0)-VLOOKUP(AA$1,'פחת מים וגביה'!$A:$D,3,0),0))*AA398/AA$425)+IF(AND(AA$7="חברה מנהלת",AA12&lt;&gt;""),+VLOOKUP(AA653,'פחתי מים לרשויות מצטרפות'!$A$6:$G$10,5,0)-VLOOKUP(AA5,'פחת מים וגביה'!$A:$D,3,0),0)</f>
        <v>0</v>
      </c>
      <c r="AB571" s="1049">
        <f>(+IF(AB549&gt;=2015,MAX(VLOOKUP(AB653,'פחתי מים לרשויות מצטרפות'!$A$6:$G$9,MAX($B$3-AB549,0)+3,0)-VLOOKUP(AB$1,'פחת מים וגביה'!$A:$D,3,0),0))*AB398/AB$425)+IF(AND(AB$7="חברה מנהלת",AB12&lt;&gt;""),+VLOOKUP(AB653,'פחתי מים לרשויות מצטרפות'!$A$6:$G$10,5,0)-VLOOKUP(AB5,'פחת מים וגביה'!$A:$D,3,0),0)</f>
        <v>0</v>
      </c>
      <c r="AC571" s="1049">
        <f>(+IF(AC549&gt;=2015,MAX(VLOOKUP(AC653,'פחתי מים לרשויות מצטרפות'!$A$6:$G$9,MAX($B$3-AC549,0)+3,0)-VLOOKUP(AC$1,'פחת מים וגביה'!$A:$D,3,0),0))*AC398/AC$425)+IF(AND(AC$7="חברה מנהלת",AC12&lt;&gt;""),+VLOOKUP(AC653,'פחתי מים לרשויות מצטרפות'!$A$6:$G$10,5,0)-VLOOKUP(AC5,'פחת מים וגביה'!$A:$D,3,0),0)</f>
        <v>0</v>
      </c>
      <c r="AD571" s="1049">
        <f>(+IF(AD549&gt;=2015,MAX(VLOOKUP(AD653,'פחתי מים לרשויות מצטרפות'!$A$6:$G$9,MAX($B$3-AD549,0)+3,0)-VLOOKUP(AD$1,'פחת מים וגביה'!$A:$D,3,0),0))*AD398/AD$425)+IF(AND(AD$7="חברה מנהלת",AD12&lt;&gt;""),+VLOOKUP(AD653,'פחתי מים לרשויות מצטרפות'!$A$6:$G$10,5,0)-VLOOKUP(AD5,'פחת מים וגביה'!$A:$D,3,0),0)</f>
        <v>0</v>
      </c>
      <c r="AE571" s="1049">
        <f>(+IF(AE549&gt;=2015,MAX(VLOOKUP(AE653,'פחתי מים לרשויות מצטרפות'!$A$6:$G$9,MAX($B$3-AE549,0)+3,0)-VLOOKUP(AE$1,'פחת מים וגביה'!$A:$D,3,0),0))*AE398/AE$425)+IF(AND(AE$7="חברה מנהלת",AE12&lt;&gt;""),+VLOOKUP(AE653,'פחתי מים לרשויות מצטרפות'!$A$6:$G$10,5,0)-VLOOKUP(AE5,'פחת מים וגביה'!$A:$D,3,0),0)</f>
        <v>0</v>
      </c>
      <c r="AF571" s="1049">
        <f>(+IF(AF549&gt;=2015,MAX(VLOOKUP(AF653,'פחתי מים לרשויות מצטרפות'!$A$6:$G$9,MAX($B$3-AF549,0)+3,0)-VLOOKUP(AF$1,'פחת מים וגביה'!$A:$D,3,0),0))*AF398/AF$425)+IF(AND(AF$7="חברה מנהלת",AF12&lt;&gt;""),+VLOOKUP(AF653,'פחתי מים לרשויות מצטרפות'!$A$6:$G$10,5,0)-VLOOKUP(AF5,'פחת מים וגביה'!$A:$D,3,0),0)</f>
        <v>0</v>
      </c>
      <c r="AG571" s="1049">
        <f>(+IF(AG549&gt;=2015,MAX(VLOOKUP(AG653,'פחתי מים לרשויות מצטרפות'!$A$6:$G$9,MAX($B$3-AG549,0)+3,0)-VLOOKUP(AG$1,'פחת מים וגביה'!$A:$D,3,0),0))*AG398/AG$425)+IF(AND(AG$7="חברה מנהלת",AG12&lt;&gt;""),+VLOOKUP(AG653,'פחתי מים לרשויות מצטרפות'!$A$6:$G$10,5,0)-VLOOKUP(AG5,'פחת מים וגביה'!$A:$D,3,0),0)</f>
        <v>0</v>
      </c>
      <c r="AH571" s="1049">
        <f>(+IF(AH549&gt;=2015,MAX(VLOOKUP(AH653,'פחתי מים לרשויות מצטרפות'!$A$6:$G$9,MAX($B$3-AH549,0)+3,0)-VLOOKUP(AH$1,'פחת מים וגביה'!$A:$D,3,0),0))*AH398/AH$425)+IF(AND(AH$7="חברה מנהלת",AH12&lt;&gt;""),+VLOOKUP(AH653,'פחתי מים לרשויות מצטרפות'!$A$6:$G$10,5,0)-VLOOKUP(AH5,'פחת מים וגביה'!$A:$D,3,0),0)</f>
        <v>0</v>
      </c>
      <c r="AI571" s="1049">
        <f>(+IF(AI549&gt;=2015,MAX(VLOOKUP(AI653,'פחתי מים לרשויות מצטרפות'!$A$6:$G$9,MAX($B$3-AI549,0)+3,0)-VLOOKUP(AI$1,'פחת מים וגביה'!$A:$D,3,0),0))*AI398/AI$425)+IF(AND(AI$7="חברה מנהלת",AI12&lt;&gt;""),+VLOOKUP(AI653,'פחתי מים לרשויות מצטרפות'!$A$6:$G$10,5,0)-VLOOKUP(AI5,'פחת מים וגביה'!$A:$D,3,0),0)</f>
        <v>0</v>
      </c>
      <c r="AJ571" s="1049">
        <f>(+IF(AJ549&gt;=2015,MAX(VLOOKUP(AJ653,'פחתי מים לרשויות מצטרפות'!$A$6:$G$9,MAX($B$3-AJ549,0)+3,0)-VLOOKUP(AJ$1,'פחת מים וגביה'!$A:$D,3,0),0))*AJ398/AJ$425)+IF(AND(AJ$7="חברה מנהלת",AJ12&lt;&gt;""),+VLOOKUP(AJ653,'פחתי מים לרשויות מצטרפות'!$A$6:$G$10,5,0)-VLOOKUP(AJ5,'פחת מים וגביה'!$A:$D,3,0),0)</f>
        <v>0</v>
      </c>
      <c r="AK571" s="1049">
        <f>(+IF(AK549&gt;=2015,MAX(VLOOKUP(AK653,'פחתי מים לרשויות מצטרפות'!$A$6:$G$9,MAX($B$3-AK549,0)+3,0)-VLOOKUP(AK$1,'פחת מים וגביה'!$A:$D,3,0),0))*AK398/AK$425)+IF(AND(AK$7="חברה מנהלת",AK12&lt;&gt;""),+VLOOKUP(AK653,'פחתי מים לרשויות מצטרפות'!$A$6:$G$10,5,0)-VLOOKUP(AK5,'פחת מים וגביה'!$A:$D,3,0),0)</f>
        <v>0</v>
      </c>
      <c r="AL571" s="1049">
        <f>(+IF(AL549&gt;=2015,MAX(VLOOKUP(AL653,'פחתי מים לרשויות מצטרפות'!$A$6:$G$9,MAX($B$3-AL549,0)+3,0)-VLOOKUP(AL$1,'פחת מים וגביה'!$A:$D,3,0),0))*AL398/AL$425)+IF(AND(AL$7="חברה מנהלת",AL12&lt;&gt;""),+VLOOKUP(AL653,'פחתי מים לרשויות מצטרפות'!$A$6:$G$10,5,0)-VLOOKUP(AL5,'פחת מים וגביה'!$A:$D,3,0),0)</f>
        <v>0</v>
      </c>
      <c r="AM571" s="1049">
        <f>(+IF(AM549&gt;=2015,MAX(VLOOKUP(AM653,'פחתי מים לרשויות מצטרפות'!$A$6:$G$9,MAX($B$3-AM549,0)+3,0)-VLOOKUP(AM$1,'פחת מים וגביה'!$A:$D,3,0),0))*AM398/AM$425)+IF(AND(AM$7="חברה מנהלת",AM12&lt;&gt;""),+VLOOKUP(AM653,'פחתי מים לרשויות מצטרפות'!$A$6:$G$10,5,0)-VLOOKUP(AM5,'פחת מים וגביה'!$A:$D,3,0),0)</f>
        <v>0</v>
      </c>
      <c r="AN571" s="1049">
        <f>(+IF(AN549&gt;=2015,MAX(VLOOKUP(AN653,'פחתי מים לרשויות מצטרפות'!$A$6:$G$9,MAX($B$3-AN549,0)+3,0)-VLOOKUP(AN$1,'פחת מים וגביה'!$A:$D,3,0),0))*AN398/AN$425)+IF(AND(AN$7="חברה מנהלת",AN12&lt;&gt;""),+VLOOKUP(AN653,'פחתי מים לרשויות מצטרפות'!$A$6:$G$10,5,0)-VLOOKUP(AN5,'פחת מים וגביה'!$A:$D,3,0),0)</f>
        <v>0</v>
      </c>
      <c r="AO571" s="1049">
        <f>(+IF(AO549&gt;=2015,MAX(VLOOKUP(AO653,'פחתי מים לרשויות מצטרפות'!$A$6:$G$9,MAX($B$3-AO549,0)+3,0)-VLOOKUP(AO$1,'פחת מים וגביה'!$A:$D,3,0),0))*AO398/AO$425)+IF(AND(AO$7="חברה מנהלת",AO12&lt;&gt;""),+VLOOKUP(AO653,'פחתי מים לרשויות מצטרפות'!$A$6:$G$10,5,0)-VLOOKUP(AO5,'פחת מים וגביה'!$A:$D,3,0),0)</f>
        <v>0</v>
      </c>
      <c r="AP571" s="1049">
        <f>(+IF(AP549&gt;=2015,MAX(VLOOKUP(AP653,'פחתי מים לרשויות מצטרפות'!$A$6:$G$9,MAX($B$3-AP549,0)+3,0)-VLOOKUP(AP$1,'פחת מים וגביה'!$A:$D,3,0),0))*AP398/AP$425)+IF(AND(AP$7="חברה מנהלת",AP12&lt;&gt;""),+VLOOKUP(AP653,'פחתי מים לרשויות מצטרפות'!$A$6:$G$10,5,0)-VLOOKUP(AP5,'פחת מים וגביה'!$A:$D,3,0),0)</f>
        <v>0</v>
      </c>
      <c r="AQ571" s="1049">
        <f>(+IF(AQ549&gt;=2015,MAX(VLOOKUP(AQ653,'פחתי מים לרשויות מצטרפות'!$A$6:$G$9,MAX($B$3-AQ549,0)+3,0)-VLOOKUP(AQ$1,'פחת מים וגביה'!$A:$D,3,0),0))*AQ398/AQ$425)+IF(AND(AQ$7="חברה מנהלת",AQ12&lt;&gt;""),+VLOOKUP(AQ653,'פחתי מים לרשויות מצטרפות'!$A$6:$G$10,5,0)-VLOOKUP(AQ5,'פחת מים וגביה'!$A:$D,3,0),0)</f>
        <v>0</v>
      </c>
      <c r="AR571" s="1049">
        <f>(+IF(AR549&gt;=2015,MAX(VLOOKUP(AR653,'פחתי מים לרשויות מצטרפות'!$A$6:$G$9,MAX($B$3-AR549,0)+3,0)-VLOOKUP(AR$1,'פחת מים וגביה'!$A:$D,3,0),0))*AR398/AR$425)+IF(AND(AR$7="חברה מנהלת",AR12&lt;&gt;""),+VLOOKUP(AR653,'פחתי מים לרשויות מצטרפות'!$A$6:$G$10,5,0)-VLOOKUP(AR5,'פחת מים וגביה'!$A:$D,3,0),0)</f>
        <v>0</v>
      </c>
      <c r="AS571" s="1049">
        <f>(+IF(AS549&gt;=2015,MAX(VLOOKUP(AS653,'פחתי מים לרשויות מצטרפות'!$A$6:$G$9,MAX($B$3-AS549,0)+3,0)-VLOOKUP(AS$1,'פחת מים וגביה'!$A:$D,3,0),0))*AS398/AS$425)+IF(AND(AS$7="חברה מנהלת",AS12&lt;&gt;""),+VLOOKUP(AS653,'פחתי מים לרשויות מצטרפות'!$A$6:$G$10,5,0)-VLOOKUP(AS5,'פחת מים וגביה'!$A:$D,3,0),0)</f>
        <v>0</v>
      </c>
      <c r="AT571" s="1049">
        <f>(+IF(AT549&gt;=2015,MAX(VLOOKUP(AT653,'פחתי מים לרשויות מצטרפות'!$A$6:$G$9,MAX($B$3-AT549,0)+3,0)-VLOOKUP(AT$1,'פחת מים וגביה'!$A:$D,3,0),0))*AT398/AT$425)+IF(AND(AT$7="חברה מנהלת",AT12&lt;&gt;""),+VLOOKUP(AT653,'פחתי מים לרשויות מצטרפות'!$A$6:$G$10,5,0)-VLOOKUP(AT5,'פחת מים וגביה'!$A:$D,3,0),0)</f>
        <v>0</v>
      </c>
      <c r="AU571" s="1049">
        <f>(+IF(AU549&gt;=2015,MAX(VLOOKUP(AU653,'פחתי מים לרשויות מצטרפות'!$A$6:$G$9,MAX($B$3-AU549,0)+3,0)-VLOOKUP(AU$1,'פחת מים וגביה'!$A:$D,3,0),0))*AU398/AU$425)+IF(AND(AU$7="חברה מנהלת",AU12&lt;&gt;""),+VLOOKUP(AU653,'פחתי מים לרשויות מצטרפות'!$A$6:$G$10,5,0)-VLOOKUP(AU5,'פחת מים וגביה'!$A:$D,3,0),0)</f>
        <v>0</v>
      </c>
      <c r="AV571" s="1049">
        <f>(+IF(AV549&gt;=2015,MAX(VLOOKUP(AV653,'פחתי מים לרשויות מצטרפות'!$A$6:$G$9,MAX($B$3-AV549,0)+3,0)-VLOOKUP(AV$1,'פחת מים וגביה'!$A:$D,3,0),0))*AV398/AV$425)+IF(AND(AV$7="חברה מנהלת",AV12&lt;&gt;""),+VLOOKUP(AV653,'פחתי מים לרשויות מצטרפות'!$A$6:$G$10,5,0)-VLOOKUP(AV5,'פחת מים וגביה'!$A:$D,3,0),0)</f>
        <v>0</v>
      </c>
      <c r="AW571" s="1049">
        <f>(+IF(AW549&gt;=2015,MAX(VLOOKUP(AW653,'פחתי מים לרשויות מצטרפות'!$A$6:$G$9,MAX($B$3-AW549,0)+3,0)-VLOOKUP(AW$1,'פחת מים וגביה'!$A:$D,3,0),0))*AW398/AW$425)+IF(AND(AW$7="חברה מנהלת",AW12&lt;&gt;""),+VLOOKUP(AW653,'פחתי מים לרשויות מצטרפות'!$A$6:$G$10,5,0)-VLOOKUP(AW5,'פחת מים וגביה'!$A:$D,3,0),0)</f>
        <v>0</v>
      </c>
      <c r="AX571" s="1049">
        <f>(+IF(AX549&gt;=2015,MAX(VLOOKUP(AX653,'פחתי מים לרשויות מצטרפות'!$A$6:$G$9,MAX($B$3-AX549,0)+3,0)-VLOOKUP(AX$1,'פחת מים וגביה'!$A:$D,3,0),0))*AX398/AX$425)+IF(AND(AX$7="חברה מנהלת",AX12&lt;&gt;""),+VLOOKUP(AX653,'פחתי מים לרשויות מצטרפות'!$A$6:$G$10,5,0)-VLOOKUP(AX5,'פחת מים וגביה'!$A:$D,3,0),0)</f>
        <v>0</v>
      </c>
      <c r="AY571" s="1049">
        <f>(+IF(AY549&gt;=2015,MAX(VLOOKUP(AY653,'פחתי מים לרשויות מצטרפות'!$A$6:$G$9,MAX($B$3-AY549,0)+3,0)-VLOOKUP(AY$1,'פחת מים וגביה'!$A:$D,3,0),0))*AY398/AY$425)+IF(AND(AY$7="חברה מנהלת",AY12&lt;&gt;""),+VLOOKUP(AY653,'פחתי מים לרשויות מצטרפות'!$A$6:$G$10,5,0)-VLOOKUP(AY5,'פחת מים וגביה'!$A:$D,3,0),0)</f>
        <v>0</v>
      </c>
      <c r="AZ571" s="1049">
        <f>(+IF(AZ549&gt;=2015,MAX(VLOOKUP(AZ653,'פחתי מים לרשויות מצטרפות'!$A$6:$G$9,MAX($B$3-AZ549,0)+3,0)-VLOOKUP(AZ$1,'פחת מים וגביה'!$A:$D,3,0),0))*AZ398/AZ$425)+IF(AND(AZ$7="חברה מנהלת",AZ12&lt;&gt;""),+VLOOKUP(AZ653,'פחתי מים לרשויות מצטרפות'!$A$6:$G$10,5,0)-VLOOKUP(AZ5,'פחת מים וגביה'!$A:$D,3,0),0)</f>
        <v>0</v>
      </c>
      <c r="BA571" s="1049">
        <f>(+IF(BA549&gt;=2015,MAX(VLOOKUP(BA653,'פחתי מים לרשויות מצטרפות'!$A$6:$G$9,MAX($B$3-BA549,0)+3,0)-VLOOKUP(BA$1,'פחת מים וגביה'!$A:$D,3,0),0))*BA398/BA$425)+IF(AND(BA$7="חברה מנהלת",BA12&lt;&gt;""),+VLOOKUP(BA653,'פחתי מים לרשויות מצטרפות'!$A$6:$G$10,5,0)-VLOOKUP(BA5,'פחת מים וגביה'!$A:$D,3,0),0)</f>
        <v>0</v>
      </c>
      <c r="BB571" s="1049">
        <f>(+IF(BB549&gt;=2015,MAX(VLOOKUP(BB653,'פחתי מים לרשויות מצטרפות'!$A$6:$G$9,MAX($B$3-BB549,0)+3,0)-VLOOKUP(BB$1,'פחת מים וגביה'!$A:$D,3,0),0))*BB398/BB$425)+IF(AND(BB$7="חברה מנהלת",BB12&lt;&gt;""),+VLOOKUP(BB653,'פחתי מים לרשויות מצטרפות'!$A$6:$G$10,5,0)-VLOOKUP(BB5,'פחת מים וגביה'!$A:$D,3,0),0)</f>
        <v>0</v>
      </c>
      <c r="BC571" s="1049">
        <f>(+IF(BC549&gt;=2015,MAX(VLOOKUP(BC653,'פחתי מים לרשויות מצטרפות'!$A$6:$G$9,MAX($B$3-BC549,0)+3,0)-VLOOKUP(BC$1,'פחת מים וגביה'!$A:$D,3,0),0))*BC398/BC$425)+IF(AND(BC$7="חברה מנהלת",BC12&lt;&gt;""),+VLOOKUP(BC653,'פחתי מים לרשויות מצטרפות'!$A$6:$G$10,5,0)-VLOOKUP(BC5,'פחת מים וגביה'!$A:$D,3,0),0)</f>
        <v>0</v>
      </c>
      <c r="BD571" s="1049">
        <f>(+IF(BD549&gt;=2015,MAX(VLOOKUP(BD653,'פחתי מים לרשויות מצטרפות'!$A$6:$G$9,MAX($B$3-BD549,0)+3,0)-VLOOKUP(BD$1,'פחת מים וגביה'!$A:$D,3,0),0))*BD398/BD$425)+IF(AND(BD$7="חברה מנהלת",BD12&lt;&gt;""),+VLOOKUP(BD653,'פחתי מים לרשויות מצטרפות'!$A$6:$G$10,5,0)-VLOOKUP(BD5,'פחת מים וגביה'!$A:$D,3,0),0)</f>
        <v>0</v>
      </c>
      <c r="BE571" s="1049">
        <f>(+IF(BE549&gt;=2015,MAX(VLOOKUP(BE653,'פחתי מים לרשויות מצטרפות'!$A$6:$G$9,MAX($B$3-BE549,0)+3,0)-VLOOKUP(BE$1,'פחת מים וגביה'!$A:$D,3,0),0))*BE398/BE$425)+IF(AND(BE$7="חברה מנהלת",BE12&lt;&gt;""),+VLOOKUP(BE653,'פחתי מים לרשויות מצטרפות'!$A$6:$G$10,5,0)-VLOOKUP(BE5,'פחת מים וגביה'!$A:$D,3,0),0)</f>
        <v>0</v>
      </c>
      <c r="BF571" s="1049">
        <f>(+IF(BF549&gt;=2015,MAX(VLOOKUP(BF653,'פחתי מים לרשויות מצטרפות'!$A$6:$G$9,MAX($B$3-BF549,0)+3,0)-VLOOKUP(BF$1,'פחת מים וגביה'!$A:$D,3,0),0))*BF398/BF$425)+IF(AND(BF$7="חברה מנהלת",BF12&lt;&gt;""),+VLOOKUP(BF653,'פחתי מים לרשויות מצטרפות'!$A$6:$G$10,5,0)-VLOOKUP(BF5,'פחת מים וגביה'!$A:$D,3,0),0)</f>
        <v>0</v>
      </c>
    </row>
    <row r="572" spans="1:58" x14ac:dyDescent="0.2">
      <c r="C572" s="1049">
        <f>(+IF(C550&gt;=2015,MAX(VLOOKUP(C654,'פחתי מים לרשויות מצטרפות'!$A$6:$G$9,MAX($B$3-C550,0)+3,0)-VLOOKUP(C$1,'פחת מים וגביה'!$A:$D,3,0),0))*C399/C$425)+IF(AND(C$7="חברה מנהלת",C13&lt;&gt;""),+VLOOKUP(C654,'פחתי מים לרשויות מצטרפות'!$A$6:$G$10,5,0)-VLOOKUP(C6,'פחת מים וגביה'!$A:$D,3,0),0)</f>
        <v>0</v>
      </c>
      <c r="D572" s="1049">
        <f>(+IF(D550&gt;=2015,MAX(VLOOKUP(D654,'פחתי מים לרשויות מצטרפות'!$A$6:$G$9,MAX($B$3-D550,0)+3,0)-VLOOKUP(D$1,'פחת מים וגביה'!$A:$D,3,0),0))*D399/D$425)+IF(AND(D$7="חברה מנהלת",D13&lt;&gt;""),+VLOOKUP(D654,'פחתי מים לרשויות מצטרפות'!$A$6:$G$10,5,0)-VLOOKUP(D6,'פחת מים וגביה'!$A:$D,3,0),0)</f>
        <v>2.2823871906841337E-3</v>
      </c>
      <c r="E572" s="1049">
        <f>(+IF(E550&gt;=2015,MAX(VLOOKUP(E654,'פחתי מים לרשויות מצטרפות'!$A$6:$G$9,MAX($B$3-E550,0)+3,0)-VLOOKUP(E$1,'פחת מים וגביה'!$A:$D,3,0),0))*E399/E$425)+IF(AND(E$7="חברה מנהלת",E13&lt;&gt;""),+VLOOKUP(E654,'פחתי מים לרשויות מצטרפות'!$A$6:$G$10,5,0)-VLOOKUP(E6,'פחת מים וגביה'!$A:$D,3,0),0)</f>
        <v>0</v>
      </c>
      <c r="F572" s="1049">
        <f>(+IF(F550&gt;=2015,MAX(VLOOKUP(F654,'פחתי מים לרשויות מצטרפות'!$A$6:$G$9,MAX($B$3-F550,0)+3,0)-VLOOKUP(F$1,'פחת מים וגביה'!$A:$D,3,0),0))*F399/F$425)+IF(AND(F$7="חברה מנהלת",F13&lt;&gt;""),+VLOOKUP(F654,'פחתי מים לרשויות מצטרפות'!$A$6:$G$10,5,0)-VLOOKUP(F6,'פחת מים וגביה'!$A:$D,3,0),0)</f>
        <v>0</v>
      </c>
      <c r="G572" s="1049">
        <f>(+IF(G550&gt;=2015,MAX(VLOOKUP(G654,'פחתי מים לרשויות מצטרפות'!$A$6:$G$9,MAX($B$3-G550,0)+3,0)-VLOOKUP(G$1,'פחת מים וגביה'!$A:$D,3,0),0))*G399/G$425)+IF(AND(G$7="חברה מנהלת",G13&lt;&gt;""),+VLOOKUP(G654,'פחתי מים לרשויות מצטרפות'!$A$6:$G$10,5,0)-VLOOKUP(G6,'פחת מים וגביה'!$A:$D,3,0),0)</f>
        <v>0</v>
      </c>
      <c r="H572" s="1049">
        <f>(+IF(H550&gt;=2015,MAX(VLOOKUP(H654,'פחתי מים לרשויות מצטרפות'!$A$6:$G$9,MAX($B$3-H550,0)+3,0)-VLOOKUP(H$1,'פחת מים וגביה'!$A:$D,3,0),0))*H399/H$425)+IF(AND(H$7="חברה מנהלת",H13&lt;&gt;""),+VLOOKUP(H654,'פחתי מים לרשויות מצטרפות'!$A$6:$G$10,5,0)-VLOOKUP(H6,'פחת מים וגביה'!$A:$D,3,0),0)</f>
        <v>0</v>
      </c>
      <c r="I572" s="1049">
        <f>(+IF(I550&gt;=2015,MAX(VLOOKUP(I654,'פחתי מים לרשויות מצטרפות'!$A$6:$G$9,MAX($B$3-I550,0)+3,0)-VLOOKUP(I$1,'פחת מים וגביה'!$A:$D,3,0),0))*I399/I$425)+IF(AND(I$7="חברה מנהלת",I13&lt;&gt;""),+VLOOKUP(I654,'פחתי מים לרשויות מצטרפות'!$A$6:$G$10,5,0)-VLOOKUP(I6,'פחת מים וגביה'!$A:$D,3,0),0)</f>
        <v>0</v>
      </c>
      <c r="J572" s="1049">
        <f>(+IF(J550&gt;=2015,MAX(VLOOKUP(J654,'פחתי מים לרשויות מצטרפות'!$A$6:$G$9,MAX($B$3-J550,0)+3,0)-VLOOKUP(J$1,'פחת מים וגביה'!$A:$D,3,0),0))*J399/J$425)+IF(AND(J$7="חברה מנהלת",J13&lt;&gt;""),+VLOOKUP(J654,'פחתי מים לרשויות מצטרפות'!$A$6:$G$10,5,0)-VLOOKUP(J6,'פחת מים וגביה'!$A:$D,3,0),0)</f>
        <v>0</v>
      </c>
      <c r="K572" s="1049">
        <f>(+IF(K550&gt;=2015,MAX(VLOOKUP(K654,'פחתי מים לרשויות מצטרפות'!$A$6:$G$9,MAX($B$3-K550,0)+3,0)-VLOOKUP(K$1,'פחת מים וגביה'!$A:$D,3,0),0))*K399/K$425)+IF(AND(K$7="חברה מנהלת",K13&lt;&gt;""),+VLOOKUP(K654,'פחתי מים לרשויות מצטרפות'!$A$6:$G$10,5,0)-VLOOKUP(K6,'פחת מים וגביה'!$A:$D,3,0),0)</f>
        <v>0</v>
      </c>
      <c r="L572" s="1049">
        <f>(+IF(L550&gt;=2015,MAX(VLOOKUP(L654,'פחתי מים לרשויות מצטרפות'!$A$6:$G$9,MAX($B$3-L550,0)+3,0)-VLOOKUP(L$1,'פחת מים וגביה'!$A:$D,3,0),0))*L399/L$425)+IF(AND(L$7="חברה מנהלת",L13&lt;&gt;""),+VLOOKUP(L654,'פחתי מים לרשויות מצטרפות'!$A$6:$G$10,5,0)-VLOOKUP(L6,'פחת מים וגביה'!$A:$D,3,0),0)</f>
        <v>0</v>
      </c>
      <c r="M572" s="1049">
        <f>(+IF(M550&gt;=2015,MAX(VLOOKUP(M654,'פחתי מים לרשויות מצטרפות'!$A$6:$G$9,MAX($B$3-M550,0)+3,0)-VLOOKUP(M$1,'פחת מים וגביה'!$A:$D,3,0),0))*M399/M$425)+IF(AND(M$7="חברה מנהלת",M13&lt;&gt;""),+VLOOKUP(M654,'פחתי מים לרשויות מצטרפות'!$A$6:$G$10,5,0)-VLOOKUP(M6,'פחת מים וגביה'!$A:$D,3,0),0)</f>
        <v>0</v>
      </c>
      <c r="N572" s="1049">
        <f>(+IF(N550&gt;=2015,MAX(VLOOKUP(N654,'פחתי מים לרשויות מצטרפות'!$A$6:$G$9,MAX($B$3-N550,0)+3,0)-VLOOKUP(N$1,'פחת מים וגביה'!$A:$D,3,0),0))*N399/N$425)+IF(AND(N$7="חברה מנהלת",N13&lt;&gt;""),+VLOOKUP(N654,'פחתי מים לרשויות מצטרפות'!$A$6:$G$10,5,0)-VLOOKUP(N6,'פחת מים וגביה'!$A:$D,3,0),0)</f>
        <v>0</v>
      </c>
      <c r="O572" s="1049">
        <f>(+IF(O550&gt;=2015,MAX(VLOOKUP(O654,'פחתי מים לרשויות מצטרפות'!$A$6:$G$9,MAX($B$3-O550,0)+3,0)-VLOOKUP(O$1,'פחת מים וגביה'!$A:$D,3,0),0))*O399/O$425)+IF(AND(O$7="חברה מנהלת",O13&lt;&gt;""),+VLOOKUP(O654,'פחתי מים לרשויות מצטרפות'!$A$6:$G$10,5,0)-VLOOKUP(O6,'פחת מים וגביה'!$A:$D,3,0),0)</f>
        <v>0</v>
      </c>
      <c r="P572" s="1049">
        <f>(+IF(P550&gt;=2015,MAX(VLOOKUP(P654,'פחתי מים לרשויות מצטרפות'!$A$6:$G$9,MAX($B$3-P550,0)+3,0)-VLOOKUP(P$1,'פחת מים וגביה'!$A:$D,3,0),0))*P399/P$425)+IF(AND(P$7="חברה מנהלת",P13&lt;&gt;""),+VLOOKUP(P654,'פחתי מים לרשויות מצטרפות'!$A$6:$G$10,5,0)-VLOOKUP(P6,'פחת מים וגביה'!$A:$D,3,0),0)</f>
        <v>0</v>
      </c>
      <c r="Q572" s="1049">
        <f>(+IF(Q550&gt;=2015,MAX(VLOOKUP(Q654,'פחתי מים לרשויות מצטרפות'!$A$6:$G$9,MAX($B$3-Q550,0)+3,0)-VLOOKUP(Q$1,'פחת מים וגביה'!$A:$D,3,0),0))*Q399/Q$425)+IF(AND(Q$7="חברה מנהלת",Q13&lt;&gt;""),+VLOOKUP(Q654,'פחתי מים לרשויות מצטרפות'!$A$6:$G$10,5,0)-VLOOKUP(Q6,'פחת מים וגביה'!$A:$D,3,0),0)</f>
        <v>0</v>
      </c>
      <c r="R572" s="1049">
        <f>(+IF(R550&gt;=2015,MAX(VLOOKUP(R654,'פחתי מים לרשויות מצטרפות'!$A$6:$G$9,MAX($B$3-R550,0)+3,0)-VLOOKUP(R$1,'פחת מים וגביה'!$A:$D,3,0),0))*R399/R$425)+IF(AND(R$7="חברה מנהלת",R13&lt;&gt;""),+VLOOKUP(R654,'פחתי מים לרשויות מצטרפות'!$A$6:$G$10,5,0)-VLOOKUP(R6,'פחת מים וגביה'!$A:$D,3,0),0)</f>
        <v>0</v>
      </c>
      <c r="S572" s="1049">
        <f>(+IF(S550&gt;=2015,MAX(VLOOKUP(S654,'פחתי מים לרשויות מצטרפות'!$A$6:$G$9,MAX($B$3-S550,0)+3,0)-VLOOKUP(S$1,'פחת מים וגביה'!$A:$D,3,0),0))*S399/S$425)+IF(AND(S$7="חברה מנהלת",S13&lt;&gt;""),+VLOOKUP(S654,'פחתי מים לרשויות מצטרפות'!$A$6:$G$10,5,0)-VLOOKUP(S6,'פחת מים וגביה'!$A:$D,3,0),0)</f>
        <v>0</v>
      </c>
      <c r="T572" s="1049">
        <f>(+IF(T550&gt;=2015,MAX(VLOOKUP(T654,'פחתי מים לרשויות מצטרפות'!$A$6:$G$9,MAX($B$3-T550,0)+3,0)-VLOOKUP(T$1,'פחת מים וגביה'!$A:$D,3,0),0))*T399/T$425)+IF(AND(T$7="חברה מנהלת",T13&lt;&gt;""),+VLOOKUP(T654,'פחתי מים לרשויות מצטרפות'!$A$6:$G$10,5,0)-VLOOKUP(T6,'פחת מים וגביה'!$A:$D,3,0),0)</f>
        <v>0</v>
      </c>
      <c r="U572" s="1049">
        <f>(+IF(U550&gt;=2015,MAX(VLOOKUP(U654,'פחתי מים לרשויות מצטרפות'!$A$6:$G$9,MAX($B$3-U550,0)+3,0)-VLOOKUP(U$1,'פחת מים וגביה'!$A:$D,3,0),0))*U399/U$425)+IF(AND(U$7="חברה מנהלת",U13&lt;&gt;""),+VLOOKUP(U654,'פחתי מים לרשויות מצטרפות'!$A$6:$G$10,5,0)-VLOOKUP(U6,'פחת מים וגביה'!$A:$D,3,0),0)</f>
        <v>0</v>
      </c>
      <c r="V572" s="1049">
        <f>(+IF(V550&gt;=2015,MAX(VLOOKUP(V654,'פחתי מים לרשויות מצטרפות'!$A$6:$G$9,MAX($B$3-V550,0)+3,0)-VLOOKUP(V$1,'פחת מים וגביה'!$A:$D,3,0),0))*V399/V$425)+IF(AND(V$7="חברה מנהלת",V13&lt;&gt;""),+VLOOKUP(V654,'פחתי מים לרשויות מצטרפות'!$A$6:$G$10,5,0)-VLOOKUP(V6,'פחת מים וגביה'!$A:$D,3,0),0)</f>
        <v>0</v>
      </c>
      <c r="W572" s="1049">
        <f>(+IF(W550&gt;=2015,MAX(VLOOKUP(W654,'פחתי מים לרשויות מצטרפות'!$A$6:$G$9,MAX($B$3-W550,0)+3,0)-VLOOKUP(W$1,'פחת מים וגביה'!$A:$D,3,0),0))*W399/W$425)+IF(AND(W$7="חברה מנהלת",W13&lt;&gt;""),+VLOOKUP(W654,'פחתי מים לרשויות מצטרפות'!$A$6:$G$10,5,0)-VLOOKUP(W6,'פחת מים וגביה'!$A:$D,3,0),0)</f>
        <v>0</v>
      </c>
      <c r="X572" s="1049">
        <f>(+IF(X550&gt;=2015,MAX(VLOOKUP(X654,'פחתי מים לרשויות מצטרפות'!$A$6:$G$9,MAX($B$3-X550,0)+3,0)-VLOOKUP(X$1,'פחת מים וגביה'!$A:$D,3,0),0))*X399/X$425)+IF(AND(X$7="חברה מנהלת",X13&lt;&gt;""),+VLOOKUP(X654,'פחתי מים לרשויות מצטרפות'!$A$6:$G$10,5,0)-VLOOKUP(X6,'פחת מים וגביה'!$A:$D,3,0),0)</f>
        <v>0</v>
      </c>
      <c r="Y572" s="1049">
        <f>(+IF(Y550&gt;=2015,MAX(VLOOKUP(Y654,'פחתי מים לרשויות מצטרפות'!$A$6:$G$9,MAX($B$3-Y550,0)+3,0)-VLOOKUP(Y$1,'פחת מים וגביה'!$A:$D,3,0),0))*Y399/Y$425)+IF(AND(Y$7="חברה מנהלת",Y13&lt;&gt;""),+VLOOKUP(Y654,'פחתי מים לרשויות מצטרפות'!$A$6:$G$10,5,0)-VLOOKUP(Y6,'פחת מים וגביה'!$A:$D,3,0),0)</f>
        <v>0</v>
      </c>
      <c r="Z572" s="1049">
        <f>(+IF(Z550&gt;=2015,MAX(VLOOKUP(Z654,'פחתי מים לרשויות מצטרפות'!$A$6:$G$9,MAX($B$3-Z550,0)+3,0)-VLOOKUP(Z$1,'פחת מים וגביה'!$A:$D,3,0),0))*Z399/Z$425)+IF(AND(Z$7="חברה מנהלת",Z13&lt;&gt;""),+VLOOKUP(Z654,'פחתי מים לרשויות מצטרפות'!$A$6:$G$10,5,0)-VLOOKUP(Z6,'פחת מים וגביה'!$A:$D,3,0),0)</f>
        <v>0</v>
      </c>
      <c r="AA572" s="1049">
        <f>(+IF(AA550&gt;=2015,MAX(VLOOKUP(AA654,'פחתי מים לרשויות מצטרפות'!$A$6:$G$9,MAX($B$3-AA550,0)+3,0)-VLOOKUP(AA$1,'פחת מים וגביה'!$A:$D,3,0),0))*AA399/AA$425)+IF(AND(AA$7="חברה מנהלת",AA13&lt;&gt;""),+VLOOKUP(AA654,'פחתי מים לרשויות מצטרפות'!$A$6:$G$10,5,0)-VLOOKUP(AA6,'פחת מים וגביה'!$A:$D,3,0),0)</f>
        <v>0</v>
      </c>
      <c r="AB572" s="1049">
        <f>(+IF(AB550&gt;=2015,MAX(VLOOKUP(AB654,'פחתי מים לרשויות מצטרפות'!$A$6:$G$9,MAX($B$3-AB550,0)+3,0)-VLOOKUP(AB$1,'פחת מים וגביה'!$A:$D,3,0),0))*AB399/AB$425)+IF(AND(AB$7="חברה מנהלת",AB13&lt;&gt;""),+VLOOKUP(AB654,'פחתי מים לרשויות מצטרפות'!$A$6:$G$10,5,0)-VLOOKUP(AB6,'פחת מים וגביה'!$A:$D,3,0),0)</f>
        <v>0</v>
      </c>
      <c r="AC572" s="1049">
        <f>(+IF(AC550&gt;=2015,MAX(VLOOKUP(AC654,'פחתי מים לרשויות מצטרפות'!$A$6:$G$9,MAX($B$3-AC550,0)+3,0)-VLOOKUP(AC$1,'פחת מים וגביה'!$A:$D,3,0),0))*AC399/AC$425)+IF(AND(AC$7="חברה מנהלת",AC13&lt;&gt;""),+VLOOKUP(AC654,'פחתי מים לרשויות מצטרפות'!$A$6:$G$10,5,0)-VLOOKUP(AC6,'פחת מים וגביה'!$A:$D,3,0),0)</f>
        <v>0</v>
      </c>
      <c r="AD572" s="1049">
        <f>(+IF(AD550&gt;=2015,MAX(VLOOKUP(AD654,'פחתי מים לרשויות מצטרפות'!$A$6:$G$9,MAX($B$3-AD550,0)+3,0)-VLOOKUP(AD$1,'פחת מים וגביה'!$A:$D,3,0),0))*AD399/AD$425)+IF(AND(AD$7="חברה מנהלת",AD13&lt;&gt;""),+VLOOKUP(AD654,'פחתי מים לרשויות מצטרפות'!$A$6:$G$10,5,0)-VLOOKUP(AD6,'פחת מים וגביה'!$A:$D,3,0),0)</f>
        <v>0</v>
      </c>
      <c r="AE572" s="1049">
        <f>(+IF(AE550&gt;=2015,MAX(VLOOKUP(AE654,'פחתי מים לרשויות מצטרפות'!$A$6:$G$9,MAX($B$3-AE550,0)+3,0)-VLOOKUP(AE$1,'פחת מים וגביה'!$A:$D,3,0),0))*AE399/AE$425)+IF(AND(AE$7="חברה מנהלת",AE13&lt;&gt;""),+VLOOKUP(AE654,'פחתי מים לרשויות מצטרפות'!$A$6:$G$10,5,0)-VLOOKUP(AE6,'פחת מים וגביה'!$A:$D,3,0),0)</f>
        <v>0</v>
      </c>
      <c r="AF572" s="1049">
        <f>(+IF(AF550&gt;=2015,MAX(VLOOKUP(AF654,'פחתי מים לרשויות מצטרפות'!$A$6:$G$9,MAX($B$3-AF550,0)+3,0)-VLOOKUP(AF$1,'פחת מים וגביה'!$A:$D,3,0),0))*AF399/AF$425)+IF(AND(AF$7="חברה מנהלת",AF13&lt;&gt;""),+VLOOKUP(AF654,'פחתי מים לרשויות מצטרפות'!$A$6:$G$10,5,0)-VLOOKUP(AF6,'פחת מים וגביה'!$A:$D,3,0),0)</f>
        <v>0</v>
      </c>
      <c r="AG572" s="1049">
        <f>(+IF(AG550&gt;=2015,MAX(VLOOKUP(AG654,'פחתי מים לרשויות מצטרפות'!$A$6:$G$9,MAX($B$3-AG550,0)+3,0)-VLOOKUP(AG$1,'פחת מים וגביה'!$A:$D,3,0),0))*AG399/AG$425)+IF(AND(AG$7="חברה מנהלת",AG13&lt;&gt;""),+VLOOKUP(AG654,'פחתי מים לרשויות מצטרפות'!$A$6:$G$10,5,0)-VLOOKUP(AG6,'פחת מים וגביה'!$A:$D,3,0),0)</f>
        <v>0</v>
      </c>
      <c r="AH572" s="1049">
        <f>(+IF(AH550&gt;=2015,MAX(VLOOKUP(AH654,'פחתי מים לרשויות מצטרפות'!$A$6:$G$9,MAX($B$3-AH550,0)+3,0)-VLOOKUP(AH$1,'פחת מים וגביה'!$A:$D,3,0),0))*AH399/AH$425)+IF(AND(AH$7="חברה מנהלת",AH13&lt;&gt;""),+VLOOKUP(AH654,'פחתי מים לרשויות מצטרפות'!$A$6:$G$10,5,0)-VLOOKUP(AH6,'פחת מים וגביה'!$A:$D,3,0),0)</f>
        <v>0</v>
      </c>
      <c r="AI572" s="1049">
        <f>(+IF(AI550&gt;=2015,MAX(VLOOKUP(AI654,'פחתי מים לרשויות מצטרפות'!$A$6:$G$9,MAX($B$3-AI550,0)+3,0)-VLOOKUP(AI$1,'פחת מים וגביה'!$A:$D,3,0),0))*AI399/AI$425)+IF(AND(AI$7="חברה מנהלת",AI13&lt;&gt;""),+VLOOKUP(AI654,'פחתי מים לרשויות מצטרפות'!$A$6:$G$10,5,0)-VLOOKUP(AI6,'פחת מים וגביה'!$A:$D,3,0),0)</f>
        <v>0</v>
      </c>
      <c r="AJ572" s="1049">
        <f>(+IF(AJ550&gt;=2015,MAX(VLOOKUP(AJ654,'פחתי מים לרשויות מצטרפות'!$A$6:$G$9,MAX($B$3-AJ550,0)+3,0)-VLOOKUP(AJ$1,'פחת מים וגביה'!$A:$D,3,0),0))*AJ399/AJ$425)+IF(AND(AJ$7="חברה מנהלת",AJ13&lt;&gt;""),+VLOOKUP(AJ654,'פחתי מים לרשויות מצטרפות'!$A$6:$G$10,5,0)-VLOOKUP(AJ6,'פחת מים וגביה'!$A:$D,3,0),0)</f>
        <v>0</v>
      </c>
      <c r="AK572" s="1049">
        <f>(+IF(AK550&gt;=2015,MAX(VLOOKUP(AK654,'פחתי מים לרשויות מצטרפות'!$A$6:$G$9,MAX($B$3-AK550,0)+3,0)-VLOOKUP(AK$1,'פחת מים וגביה'!$A:$D,3,0),0))*AK399/AK$425)+IF(AND(AK$7="חברה מנהלת",AK13&lt;&gt;""),+VLOOKUP(AK654,'פחתי מים לרשויות מצטרפות'!$A$6:$G$10,5,0)-VLOOKUP(AK6,'פחת מים וגביה'!$A:$D,3,0),0)</f>
        <v>0</v>
      </c>
      <c r="AL572" s="1049">
        <f>(+IF(AL550&gt;=2015,MAX(VLOOKUP(AL654,'פחתי מים לרשויות מצטרפות'!$A$6:$G$9,MAX($B$3-AL550,0)+3,0)-VLOOKUP(AL$1,'פחת מים וגביה'!$A:$D,3,0),0))*AL399/AL$425)+IF(AND(AL$7="חברה מנהלת",AL13&lt;&gt;""),+VLOOKUP(AL654,'פחתי מים לרשויות מצטרפות'!$A$6:$G$10,5,0)-VLOOKUP(AL6,'פחת מים וגביה'!$A:$D,3,0),0)</f>
        <v>0</v>
      </c>
      <c r="AM572" s="1049">
        <f>(+IF(AM550&gt;=2015,MAX(VLOOKUP(AM654,'פחתי מים לרשויות מצטרפות'!$A$6:$G$9,MAX($B$3-AM550,0)+3,0)-VLOOKUP(AM$1,'פחת מים וגביה'!$A:$D,3,0),0))*AM399/AM$425)+IF(AND(AM$7="חברה מנהלת",AM13&lt;&gt;""),+VLOOKUP(AM654,'פחתי מים לרשויות מצטרפות'!$A$6:$G$10,5,0)-VLOOKUP(AM6,'פחת מים וגביה'!$A:$D,3,0),0)</f>
        <v>0</v>
      </c>
      <c r="AN572" s="1049">
        <f>(+IF(AN550&gt;=2015,MAX(VLOOKUP(AN654,'פחתי מים לרשויות מצטרפות'!$A$6:$G$9,MAX($B$3-AN550,0)+3,0)-VLOOKUP(AN$1,'פחת מים וגביה'!$A:$D,3,0),0))*AN399/AN$425)+IF(AND(AN$7="חברה מנהלת",AN13&lt;&gt;""),+VLOOKUP(AN654,'פחתי מים לרשויות מצטרפות'!$A$6:$G$10,5,0)-VLOOKUP(AN6,'פחת מים וגביה'!$A:$D,3,0),0)</f>
        <v>0</v>
      </c>
      <c r="AO572" s="1049">
        <f>(+IF(AO550&gt;=2015,MAX(VLOOKUP(AO654,'פחתי מים לרשויות מצטרפות'!$A$6:$G$9,MAX($B$3-AO550,0)+3,0)-VLOOKUP(AO$1,'פחת מים וגביה'!$A:$D,3,0),0))*AO399/AO$425)+IF(AND(AO$7="חברה מנהלת",AO13&lt;&gt;""),+VLOOKUP(AO654,'פחתי מים לרשויות מצטרפות'!$A$6:$G$10,5,0)-VLOOKUP(AO6,'פחת מים וגביה'!$A:$D,3,0),0)</f>
        <v>0</v>
      </c>
      <c r="AP572" s="1049">
        <f>(+IF(AP550&gt;=2015,MAX(VLOOKUP(AP654,'פחתי מים לרשויות מצטרפות'!$A$6:$G$9,MAX($B$3-AP550,0)+3,0)-VLOOKUP(AP$1,'פחת מים וגביה'!$A:$D,3,0),0))*AP399/AP$425)+IF(AND(AP$7="חברה מנהלת",AP13&lt;&gt;""),+VLOOKUP(AP654,'פחתי מים לרשויות מצטרפות'!$A$6:$G$10,5,0)-VLOOKUP(AP6,'פחת מים וגביה'!$A:$D,3,0),0)</f>
        <v>0</v>
      </c>
      <c r="AQ572" s="1049">
        <f>(+IF(AQ550&gt;=2015,MAX(VLOOKUP(AQ654,'פחתי מים לרשויות מצטרפות'!$A$6:$G$9,MAX($B$3-AQ550,0)+3,0)-VLOOKUP(AQ$1,'פחת מים וגביה'!$A:$D,3,0),0))*AQ399/AQ$425)+IF(AND(AQ$7="חברה מנהלת",AQ13&lt;&gt;""),+VLOOKUP(AQ654,'פחתי מים לרשויות מצטרפות'!$A$6:$G$10,5,0)-VLOOKUP(AQ6,'פחת מים וגביה'!$A:$D,3,0),0)</f>
        <v>0</v>
      </c>
      <c r="AR572" s="1049">
        <f>(+IF(AR550&gt;=2015,MAX(VLOOKUP(AR654,'פחתי מים לרשויות מצטרפות'!$A$6:$G$9,MAX($B$3-AR550,0)+3,0)-VLOOKUP(AR$1,'פחת מים וגביה'!$A:$D,3,0),0))*AR399/AR$425)+IF(AND(AR$7="חברה מנהלת",AR13&lt;&gt;""),+VLOOKUP(AR654,'פחתי מים לרשויות מצטרפות'!$A$6:$G$10,5,0)-VLOOKUP(AR6,'פחת מים וגביה'!$A:$D,3,0),0)</f>
        <v>0</v>
      </c>
      <c r="AS572" s="1049">
        <f>(+IF(AS550&gt;=2015,MAX(VLOOKUP(AS654,'פחתי מים לרשויות מצטרפות'!$A$6:$G$9,MAX($B$3-AS550,0)+3,0)-VLOOKUP(AS$1,'פחת מים וגביה'!$A:$D,3,0),0))*AS399/AS$425)+IF(AND(AS$7="חברה מנהלת",AS13&lt;&gt;""),+VLOOKUP(AS654,'פחתי מים לרשויות מצטרפות'!$A$6:$G$10,5,0)-VLOOKUP(AS6,'פחת מים וגביה'!$A:$D,3,0),0)</f>
        <v>0</v>
      </c>
      <c r="AT572" s="1049">
        <f>(+IF(AT550&gt;=2015,MAX(VLOOKUP(AT654,'פחתי מים לרשויות מצטרפות'!$A$6:$G$9,MAX($B$3-AT550,0)+3,0)-VLOOKUP(AT$1,'פחת מים וגביה'!$A:$D,3,0),0))*AT399/AT$425)+IF(AND(AT$7="חברה מנהלת",AT13&lt;&gt;""),+VLOOKUP(AT654,'פחתי מים לרשויות מצטרפות'!$A$6:$G$10,5,0)-VLOOKUP(AT6,'פחת מים וגביה'!$A:$D,3,0),0)</f>
        <v>0</v>
      </c>
      <c r="AU572" s="1049">
        <f>(+IF(AU550&gt;=2015,MAX(VLOOKUP(AU654,'פחתי מים לרשויות מצטרפות'!$A$6:$G$9,MAX($B$3-AU550,0)+3,0)-VLOOKUP(AU$1,'פחת מים וגביה'!$A:$D,3,0),0))*AU399/AU$425)+IF(AND(AU$7="חברה מנהלת",AU13&lt;&gt;""),+VLOOKUP(AU654,'פחתי מים לרשויות מצטרפות'!$A$6:$G$10,5,0)-VLOOKUP(AU6,'פחת מים וגביה'!$A:$D,3,0),0)</f>
        <v>0</v>
      </c>
      <c r="AV572" s="1049">
        <f>(+IF(AV550&gt;=2015,MAX(VLOOKUP(AV654,'פחתי מים לרשויות מצטרפות'!$A$6:$G$9,MAX($B$3-AV550,0)+3,0)-VLOOKUP(AV$1,'פחת מים וגביה'!$A:$D,3,0),0))*AV399/AV$425)+IF(AND(AV$7="חברה מנהלת",AV13&lt;&gt;""),+VLOOKUP(AV654,'פחתי מים לרשויות מצטרפות'!$A$6:$G$10,5,0)-VLOOKUP(AV6,'פחת מים וגביה'!$A:$D,3,0),0)</f>
        <v>0</v>
      </c>
      <c r="AW572" s="1049">
        <f>(+IF(AW550&gt;=2015,MAX(VLOOKUP(AW654,'פחתי מים לרשויות מצטרפות'!$A$6:$G$9,MAX($B$3-AW550,0)+3,0)-VLOOKUP(AW$1,'פחת מים וגביה'!$A:$D,3,0),0))*AW399/AW$425)+IF(AND(AW$7="חברה מנהלת",AW13&lt;&gt;""),+VLOOKUP(AW654,'פחתי מים לרשויות מצטרפות'!$A$6:$G$10,5,0)-VLOOKUP(AW6,'פחת מים וגביה'!$A:$D,3,0),0)</f>
        <v>0</v>
      </c>
      <c r="AX572" s="1049">
        <f>(+IF(AX550&gt;=2015,MAX(VLOOKUP(AX654,'פחתי מים לרשויות מצטרפות'!$A$6:$G$9,MAX($B$3-AX550,0)+3,0)-VLOOKUP(AX$1,'פחת מים וגביה'!$A:$D,3,0),0))*AX399/AX$425)+IF(AND(AX$7="חברה מנהלת",AX13&lt;&gt;""),+VLOOKUP(AX654,'פחתי מים לרשויות מצטרפות'!$A$6:$G$10,5,0)-VLOOKUP(AX6,'פחת מים וגביה'!$A:$D,3,0),0)</f>
        <v>0</v>
      </c>
      <c r="AY572" s="1049">
        <f>(+IF(AY550&gt;=2015,MAX(VLOOKUP(AY654,'פחתי מים לרשויות מצטרפות'!$A$6:$G$9,MAX($B$3-AY550,0)+3,0)-VLOOKUP(AY$1,'פחת מים וגביה'!$A:$D,3,0),0))*AY399/AY$425)+IF(AND(AY$7="חברה מנהלת",AY13&lt;&gt;""),+VLOOKUP(AY654,'פחתי מים לרשויות מצטרפות'!$A$6:$G$10,5,0)-VLOOKUP(AY6,'פחת מים וגביה'!$A:$D,3,0),0)</f>
        <v>0</v>
      </c>
      <c r="AZ572" s="1049">
        <f>(+IF(AZ550&gt;=2015,MAX(VLOOKUP(AZ654,'פחתי מים לרשויות מצטרפות'!$A$6:$G$9,MAX($B$3-AZ550,0)+3,0)-VLOOKUP(AZ$1,'פחת מים וגביה'!$A:$D,3,0),0))*AZ399/AZ$425)+IF(AND(AZ$7="חברה מנהלת",AZ13&lt;&gt;""),+VLOOKUP(AZ654,'פחתי מים לרשויות מצטרפות'!$A$6:$G$10,5,0)-VLOOKUP(AZ6,'פחת מים וגביה'!$A:$D,3,0),0)</f>
        <v>0</v>
      </c>
      <c r="BA572" s="1049">
        <f>(+IF(BA550&gt;=2015,MAX(VLOOKUP(BA654,'פחתי מים לרשויות מצטרפות'!$A$6:$G$9,MAX($B$3-BA550,0)+3,0)-VLOOKUP(BA$1,'פחת מים וגביה'!$A:$D,3,0),0))*BA399/BA$425)+IF(AND(BA$7="חברה מנהלת",BA13&lt;&gt;""),+VLOOKUP(BA654,'פחתי מים לרשויות מצטרפות'!$A$6:$G$10,5,0)-VLOOKUP(BA6,'פחת מים וגביה'!$A:$D,3,0),0)</f>
        <v>0</v>
      </c>
      <c r="BB572" s="1049">
        <f>(+IF(BB550&gt;=2015,MAX(VLOOKUP(BB654,'פחתי מים לרשויות מצטרפות'!$A$6:$G$9,MAX($B$3-BB550,0)+3,0)-VLOOKUP(BB$1,'פחת מים וגביה'!$A:$D,3,0),0))*BB399/BB$425)+IF(AND(BB$7="חברה מנהלת",BB13&lt;&gt;""),+VLOOKUP(BB654,'פחתי מים לרשויות מצטרפות'!$A$6:$G$10,5,0)-VLOOKUP(BB6,'פחת מים וגביה'!$A:$D,3,0),0)</f>
        <v>0</v>
      </c>
      <c r="BC572" s="1049">
        <f>(+IF(BC550&gt;=2015,MAX(VLOOKUP(BC654,'פחתי מים לרשויות מצטרפות'!$A$6:$G$9,MAX($B$3-BC550,0)+3,0)-VLOOKUP(BC$1,'פחת מים וגביה'!$A:$D,3,0),0))*BC399/BC$425)+IF(AND(BC$7="חברה מנהלת",BC13&lt;&gt;""),+VLOOKUP(BC654,'פחתי מים לרשויות מצטרפות'!$A$6:$G$10,5,0)-VLOOKUP(BC6,'פחת מים וגביה'!$A:$D,3,0),0)</f>
        <v>0</v>
      </c>
      <c r="BD572" s="1049">
        <f>(+IF(BD550&gt;=2015,MAX(VLOOKUP(BD654,'פחתי מים לרשויות מצטרפות'!$A$6:$G$9,MAX($B$3-BD550,0)+3,0)-VLOOKUP(BD$1,'פחת מים וגביה'!$A:$D,3,0),0))*BD399/BD$425)+IF(AND(BD$7="חברה מנהלת",BD13&lt;&gt;""),+VLOOKUP(BD654,'פחתי מים לרשויות מצטרפות'!$A$6:$G$10,5,0)-VLOOKUP(BD6,'פחת מים וגביה'!$A:$D,3,0),0)</f>
        <v>0</v>
      </c>
      <c r="BE572" s="1049">
        <f>(+IF(BE550&gt;=2015,MAX(VLOOKUP(BE654,'פחתי מים לרשויות מצטרפות'!$A$6:$G$9,MAX($B$3-BE550,0)+3,0)-VLOOKUP(BE$1,'פחת מים וגביה'!$A:$D,3,0),0))*BE399/BE$425)+IF(AND(BE$7="חברה מנהלת",BE13&lt;&gt;""),+VLOOKUP(BE654,'פחתי מים לרשויות מצטרפות'!$A$6:$G$10,5,0)-VLOOKUP(BE6,'פחת מים וגביה'!$A:$D,3,0),0)</f>
        <v>0</v>
      </c>
      <c r="BF572" s="1049">
        <f>(+IF(BF550&gt;=2015,MAX(VLOOKUP(BF654,'פחתי מים לרשויות מצטרפות'!$A$6:$G$9,MAX($B$3-BF550,0)+3,0)-VLOOKUP(BF$1,'פחת מים וגביה'!$A:$D,3,0),0))*BF399/BF$425)+IF(AND(BF$7="חברה מנהלת",BF13&lt;&gt;""),+VLOOKUP(BF654,'פחתי מים לרשויות מצטרפות'!$A$6:$G$10,5,0)-VLOOKUP(BF6,'פחת מים וגביה'!$A:$D,3,0),0)</f>
        <v>0</v>
      </c>
    </row>
    <row r="573" spans="1:58" x14ac:dyDescent="0.2">
      <c r="C573" s="1049">
        <f>(+IF(C551&gt;=2015,MAX(VLOOKUP(C655,'פחתי מים לרשויות מצטרפות'!$A$6:$G$9,MAX($B$3-C551,0)+3,0)-VLOOKUP(C$1,'פחת מים וגביה'!$A:$D,3,0),0))*C400/C$425)+IF(AND(C$7="חברה מנהלת",C14&lt;&gt;""),+VLOOKUP(C655,'פחתי מים לרשויות מצטרפות'!$A$6:$G$10,5,0)-VLOOKUP(C7,'פחת מים וגביה'!$A:$D,3,0),0)</f>
        <v>0</v>
      </c>
      <c r="D573" s="1049">
        <f>(+IF(D551&gt;=2015,MAX(VLOOKUP(D655,'פחתי מים לרשויות מצטרפות'!$A$6:$G$9,MAX($B$3-D551,0)+3,0)-VLOOKUP(D$1,'פחת מים וגביה'!$A:$D,3,0),0))*D400/D$425)+IF(AND(D$7="חברה מנהלת",D14&lt;&gt;""),+VLOOKUP(D655,'פחתי מים לרשויות מצטרפות'!$A$6:$G$10,5,0)-VLOOKUP(D7,'פחת מים וגביה'!$A:$D,3,0),0)</f>
        <v>7.4153808830664724E-3</v>
      </c>
      <c r="E573" s="1049">
        <f>(+IF(E551&gt;=2015,MAX(VLOOKUP(E655,'פחתי מים לרשויות מצטרפות'!$A$6:$G$9,MAX($B$3-E551,0)+3,0)-VLOOKUP(E$1,'פחת מים וגביה'!$A:$D,3,0),0))*E400/E$425)+IF(AND(E$7="חברה מנהלת",E14&lt;&gt;""),+VLOOKUP(E655,'פחתי מים לרשויות מצטרפות'!$A$6:$G$10,5,0)-VLOOKUP(E7,'פחת מים וגביה'!$A:$D,3,0),0)</f>
        <v>0</v>
      </c>
      <c r="F573" s="1049">
        <f>(+IF(F551&gt;=2015,MAX(VLOOKUP(F655,'פחתי מים לרשויות מצטרפות'!$A$6:$G$9,MAX($B$3-F551,0)+3,0)-VLOOKUP(F$1,'פחת מים וגביה'!$A:$D,3,0),0))*F400/F$425)+IF(AND(F$7="חברה מנהלת",F14&lt;&gt;""),+VLOOKUP(F655,'פחתי מים לרשויות מצטרפות'!$A$6:$G$10,5,0)-VLOOKUP(F7,'פחת מים וגביה'!$A:$D,3,0),0)</f>
        <v>0</v>
      </c>
      <c r="G573" s="1049">
        <f>(+IF(G551&gt;=2015,MAX(VLOOKUP(G655,'פחתי מים לרשויות מצטרפות'!$A$6:$G$9,MAX($B$3-G551,0)+3,0)-VLOOKUP(G$1,'פחת מים וגביה'!$A:$D,3,0),0))*G400/G$425)+IF(AND(G$7="חברה מנהלת",G14&lt;&gt;""),+VLOOKUP(G655,'פחתי מים לרשויות מצטרפות'!$A$6:$G$10,5,0)-VLOOKUP(G7,'פחת מים וגביה'!$A:$D,3,0),0)</f>
        <v>0</v>
      </c>
      <c r="H573" s="1049">
        <f>(+IF(H551&gt;=2015,MAX(VLOOKUP(H655,'פחתי מים לרשויות מצטרפות'!$A$6:$G$9,MAX($B$3-H551,0)+3,0)-VLOOKUP(H$1,'פחת מים וגביה'!$A:$D,3,0),0))*H400/H$425)+IF(AND(H$7="חברה מנהלת",H14&lt;&gt;""),+VLOOKUP(H655,'פחתי מים לרשויות מצטרפות'!$A$6:$G$10,5,0)-VLOOKUP(H7,'פחת מים וגביה'!$A:$D,3,0),0)</f>
        <v>0</v>
      </c>
      <c r="I573" s="1049">
        <f>(+IF(I551&gt;=2015,MAX(VLOOKUP(I655,'פחתי מים לרשויות מצטרפות'!$A$6:$G$9,MAX($B$3-I551,0)+3,0)-VLOOKUP(I$1,'פחת מים וגביה'!$A:$D,3,0),0))*I400/I$425)+IF(AND(I$7="חברה מנהלת",I14&lt;&gt;""),+VLOOKUP(I655,'פחתי מים לרשויות מצטרפות'!$A$6:$G$10,5,0)-VLOOKUP(I7,'פחת מים וגביה'!$A:$D,3,0),0)</f>
        <v>0</v>
      </c>
      <c r="J573" s="1049">
        <f>(+IF(J551&gt;=2015,MAX(VLOOKUP(J655,'פחתי מים לרשויות מצטרפות'!$A$6:$G$9,MAX($B$3-J551,0)+3,0)-VLOOKUP(J$1,'פחת מים וגביה'!$A:$D,3,0),0))*J400/J$425)+IF(AND(J$7="חברה מנהלת",J14&lt;&gt;""),+VLOOKUP(J655,'פחתי מים לרשויות מצטרפות'!$A$6:$G$10,5,0)-VLOOKUP(J7,'פחת מים וגביה'!$A:$D,3,0),0)</f>
        <v>0</v>
      </c>
      <c r="K573" s="1049">
        <f>(+IF(K551&gt;=2015,MAX(VLOOKUP(K655,'פחתי מים לרשויות מצטרפות'!$A$6:$G$9,MAX($B$3-K551,0)+3,0)-VLOOKUP(K$1,'פחת מים וגביה'!$A:$D,3,0),0))*K400/K$425)+IF(AND(K$7="חברה מנהלת",K14&lt;&gt;""),+VLOOKUP(K655,'פחתי מים לרשויות מצטרפות'!$A$6:$G$10,5,0)-VLOOKUP(K7,'פחת מים וגביה'!$A:$D,3,0),0)</f>
        <v>0</v>
      </c>
      <c r="L573" s="1049">
        <f>(+IF(L551&gt;=2015,MAX(VLOOKUP(L655,'פחתי מים לרשויות מצטרפות'!$A$6:$G$9,MAX($B$3-L551,0)+3,0)-VLOOKUP(L$1,'פחת מים וגביה'!$A:$D,3,0),0))*L400/L$425)+IF(AND(L$7="חברה מנהלת",L14&lt;&gt;""),+VLOOKUP(L655,'פחתי מים לרשויות מצטרפות'!$A$6:$G$10,5,0)-VLOOKUP(L7,'פחת מים וגביה'!$A:$D,3,0),0)</f>
        <v>0</v>
      </c>
      <c r="M573" s="1049">
        <f>(+IF(M551&gt;=2015,MAX(VLOOKUP(M655,'פחתי מים לרשויות מצטרפות'!$A$6:$G$9,MAX($B$3-M551,0)+3,0)-VLOOKUP(M$1,'פחת מים וגביה'!$A:$D,3,0),0))*M400/M$425)+IF(AND(M$7="חברה מנהלת",M14&lt;&gt;""),+VLOOKUP(M655,'פחתי מים לרשויות מצטרפות'!$A$6:$G$10,5,0)-VLOOKUP(M7,'פחת מים וגביה'!$A:$D,3,0),0)</f>
        <v>0</v>
      </c>
      <c r="N573" s="1049">
        <f>(+IF(N551&gt;=2015,MAX(VLOOKUP(N655,'פחתי מים לרשויות מצטרפות'!$A$6:$G$9,MAX($B$3-N551,0)+3,0)-VLOOKUP(N$1,'פחת מים וגביה'!$A:$D,3,0),0))*N400/N$425)+IF(AND(N$7="חברה מנהלת",N14&lt;&gt;""),+VLOOKUP(N655,'פחתי מים לרשויות מצטרפות'!$A$6:$G$10,5,0)-VLOOKUP(N7,'פחת מים וגביה'!$A:$D,3,0),0)</f>
        <v>0</v>
      </c>
      <c r="O573" s="1049">
        <f>(+IF(O551&gt;=2015,MAX(VLOOKUP(O655,'פחתי מים לרשויות מצטרפות'!$A$6:$G$9,MAX($B$3-O551,0)+3,0)-VLOOKUP(O$1,'פחת מים וגביה'!$A:$D,3,0),0))*O400/O$425)+IF(AND(O$7="חברה מנהלת",O14&lt;&gt;""),+VLOOKUP(O655,'פחתי מים לרשויות מצטרפות'!$A$6:$G$10,5,0)-VLOOKUP(O7,'פחת מים וגביה'!$A:$D,3,0),0)</f>
        <v>0</v>
      </c>
      <c r="P573" s="1049">
        <f>(+IF(P551&gt;=2015,MAX(VLOOKUP(P655,'פחתי מים לרשויות מצטרפות'!$A$6:$G$9,MAX($B$3-P551,0)+3,0)-VLOOKUP(P$1,'פחת מים וגביה'!$A:$D,3,0),0))*P400/P$425)+IF(AND(P$7="חברה מנהלת",P14&lt;&gt;""),+VLOOKUP(P655,'פחתי מים לרשויות מצטרפות'!$A$6:$G$10,5,0)-VLOOKUP(P7,'פחת מים וגביה'!$A:$D,3,0),0)</f>
        <v>0</v>
      </c>
      <c r="Q573" s="1049">
        <f>(+IF(Q551&gt;=2015,MAX(VLOOKUP(Q655,'פחתי מים לרשויות מצטרפות'!$A$6:$G$9,MAX($B$3-Q551,0)+3,0)-VLOOKUP(Q$1,'פחת מים וגביה'!$A:$D,3,0),0))*Q400/Q$425)+IF(AND(Q$7="חברה מנהלת",Q14&lt;&gt;""),+VLOOKUP(Q655,'פחתי מים לרשויות מצטרפות'!$A$6:$G$10,5,0)-VLOOKUP(Q7,'פחת מים וגביה'!$A:$D,3,0),0)</f>
        <v>0</v>
      </c>
      <c r="R573" s="1049">
        <f>(+IF(R551&gt;=2015,MAX(VLOOKUP(R655,'פחתי מים לרשויות מצטרפות'!$A$6:$G$9,MAX($B$3-R551,0)+3,0)-VLOOKUP(R$1,'פחת מים וגביה'!$A:$D,3,0),0))*R400/R$425)+IF(AND(R$7="חברה מנהלת",R14&lt;&gt;""),+VLOOKUP(R655,'פחתי מים לרשויות מצטרפות'!$A$6:$G$10,5,0)-VLOOKUP(R7,'פחת מים וגביה'!$A:$D,3,0),0)</f>
        <v>0</v>
      </c>
      <c r="S573" s="1049">
        <f>(+IF(S551&gt;=2015,MAX(VLOOKUP(S655,'פחתי מים לרשויות מצטרפות'!$A$6:$G$9,MAX($B$3-S551,0)+3,0)-VLOOKUP(S$1,'פחת מים וגביה'!$A:$D,3,0),0))*S400/S$425)+IF(AND(S$7="חברה מנהלת",S14&lt;&gt;""),+VLOOKUP(S655,'פחתי מים לרשויות מצטרפות'!$A$6:$G$10,5,0)-VLOOKUP(S7,'פחת מים וגביה'!$A:$D,3,0),0)</f>
        <v>0</v>
      </c>
      <c r="T573" s="1049">
        <f>(+IF(T551&gt;=2015,MAX(VLOOKUP(T655,'פחתי מים לרשויות מצטרפות'!$A$6:$G$9,MAX($B$3-T551,0)+3,0)-VLOOKUP(T$1,'פחת מים וגביה'!$A:$D,3,0),0))*T400/T$425)+IF(AND(T$7="חברה מנהלת",T14&lt;&gt;""),+VLOOKUP(T655,'פחתי מים לרשויות מצטרפות'!$A$6:$G$10,5,0)-VLOOKUP(T7,'פחת מים וגביה'!$A:$D,3,0),0)</f>
        <v>0</v>
      </c>
      <c r="U573" s="1049">
        <f>(+IF(U551&gt;=2015,MAX(VLOOKUP(U655,'פחתי מים לרשויות מצטרפות'!$A$6:$G$9,MAX($B$3-U551,0)+3,0)-VLOOKUP(U$1,'פחת מים וגביה'!$A:$D,3,0),0))*U400/U$425)+IF(AND(U$7="חברה מנהלת",U14&lt;&gt;""),+VLOOKUP(U655,'פחתי מים לרשויות מצטרפות'!$A$6:$G$10,5,0)-VLOOKUP(U7,'פחת מים וגביה'!$A:$D,3,0),0)</f>
        <v>0</v>
      </c>
      <c r="V573" s="1049">
        <f>(+IF(V551&gt;=2015,MAX(VLOOKUP(V655,'פחתי מים לרשויות מצטרפות'!$A$6:$G$9,MAX($B$3-V551,0)+3,0)-VLOOKUP(V$1,'פחת מים וגביה'!$A:$D,3,0),0))*V400/V$425)+IF(AND(V$7="חברה מנהלת",V14&lt;&gt;""),+VLOOKUP(V655,'פחתי מים לרשויות מצטרפות'!$A$6:$G$10,5,0)-VLOOKUP(V7,'פחת מים וגביה'!$A:$D,3,0),0)</f>
        <v>0</v>
      </c>
      <c r="W573" s="1049">
        <f>(+IF(W551&gt;=2015,MAX(VLOOKUP(W655,'פחתי מים לרשויות מצטרפות'!$A$6:$G$9,MAX($B$3-W551,0)+3,0)-VLOOKUP(W$1,'פחת מים וגביה'!$A:$D,3,0),0))*W400/W$425)+IF(AND(W$7="חברה מנהלת",W14&lt;&gt;""),+VLOOKUP(W655,'פחתי מים לרשויות מצטרפות'!$A$6:$G$10,5,0)-VLOOKUP(W7,'פחת מים וגביה'!$A:$D,3,0),0)</f>
        <v>1.1782058572647146E-3</v>
      </c>
      <c r="X573" s="1049">
        <f>(+IF(X551&gt;=2015,MAX(VLOOKUP(X655,'פחתי מים לרשויות מצטרפות'!$A$6:$G$9,MAX($B$3-X551,0)+3,0)-VLOOKUP(X$1,'פחת מים וגביה'!$A:$D,3,0),0))*X400/X$425)+IF(AND(X$7="חברה מנהלת",X14&lt;&gt;""),+VLOOKUP(X655,'פחתי מים לרשויות מצטרפות'!$A$6:$G$10,5,0)-VLOOKUP(X7,'פחת מים וגביה'!$A:$D,3,0),0)</f>
        <v>0</v>
      </c>
      <c r="Y573" s="1049">
        <f>(+IF(Y551&gt;=2015,MAX(VLOOKUP(Y655,'פחתי מים לרשויות מצטרפות'!$A$6:$G$9,MAX($B$3-Y551,0)+3,0)-VLOOKUP(Y$1,'פחת מים וגביה'!$A:$D,3,0),0))*Y400/Y$425)+IF(AND(Y$7="חברה מנהלת",Y14&lt;&gt;""),+VLOOKUP(Y655,'פחתי מים לרשויות מצטרפות'!$A$6:$G$10,5,0)-VLOOKUP(Y7,'פחת מים וגביה'!$A:$D,3,0),0)</f>
        <v>0</v>
      </c>
      <c r="Z573" s="1049">
        <f>(+IF(Z551&gt;=2015,MAX(VLOOKUP(Z655,'פחתי מים לרשויות מצטרפות'!$A$6:$G$9,MAX($B$3-Z551,0)+3,0)-VLOOKUP(Z$1,'פחת מים וגביה'!$A:$D,3,0),0))*Z400/Z$425)+IF(AND(Z$7="חברה מנהלת",Z14&lt;&gt;""),+VLOOKUP(Z655,'פחתי מים לרשויות מצטרפות'!$A$6:$G$10,5,0)-VLOOKUP(Z7,'פחת מים וגביה'!$A:$D,3,0),0)</f>
        <v>0</v>
      </c>
      <c r="AA573" s="1049">
        <f>(+IF(AA551&gt;=2015,MAX(VLOOKUP(AA655,'פחתי מים לרשויות מצטרפות'!$A$6:$G$9,MAX($B$3-AA551,0)+3,0)-VLOOKUP(AA$1,'פחת מים וגביה'!$A:$D,3,0),0))*AA400/AA$425)+IF(AND(AA$7="חברה מנהלת",AA14&lt;&gt;""),+VLOOKUP(AA655,'פחתי מים לרשויות מצטרפות'!$A$6:$G$10,5,0)-VLOOKUP(AA7,'פחת מים וגביה'!$A:$D,3,0),0)</f>
        <v>0</v>
      </c>
      <c r="AB573" s="1049">
        <f>(+IF(AB551&gt;=2015,MAX(VLOOKUP(AB655,'פחתי מים לרשויות מצטרפות'!$A$6:$G$9,MAX($B$3-AB551,0)+3,0)-VLOOKUP(AB$1,'פחת מים וגביה'!$A:$D,3,0),0))*AB400/AB$425)+IF(AND(AB$7="חברה מנהלת",AB14&lt;&gt;""),+VLOOKUP(AB655,'פחתי מים לרשויות מצטרפות'!$A$6:$G$10,5,0)-VLOOKUP(AB7,'פחת מים וגביה'!$A:$D,3,0),0)</f>
        <v>0</v>
      </c>
      <c r="AC573" s="1049">
        <f>(+IF(AC551&gt;=2015,MAX(VLOOKUP(AC655,'פחתי מים לרשויות מצטרפות'!$A$6:$G$9,MAX($B$3-AC551,0)+3,0)-VLOOKUP(AC$1,'פחת מים וגביה'!$A:$D,3,0),0))*AC400/AC$425)+IF(AND(AC$7="חברה מנהלת",AC14&lt;&gt;""),+VLOOKUP(AC655,'פחתי מים לרשויות מצטרפות'!$A$6:$G$10,5,0)-VLOOKUP(AC7,'פחת מים וגביה'!$A:$D,3,0),0)</f>
        <v>0</v>
      </c>
      <c r="AD573" s="1049">
        <f>(+IF(AD551&gt;=2015,MAX(VLOOKUP(AD655,'פחתי מים לרשויות מצטרפות'!$A$6:$G$9,MAX($B$3-AD551,0)+3,0)-VLOOKUP(AD$1,'פחת מים וגביה'!$A:$D,3,0),0))*AD400/AD$425)+IF(AND(AD$7="חברה מנהלת",AD14&lt;&gt;""),+VLOOKUP(AD655,'פחתי מים לרשויות מצטרפות'!$A$6:$G$10,5,0)-VLOOKUP(AD7,'פחת מים וגביה'!$A:$D,3,0),0)</f>
        <v>0</v>
      </c>
      <c r="AE573" s="1049">
        <f>(+IF(AE551&gt;=2015,MAX(VLOOKUP(AE655,'פחתי מים לרשויות מצטרפות'!$A$6:$G$9,MAX($B$3-AE551,0)+3,0)-VLOOKUP(AE$1,'פחת מים וגביה'!$A:$D,3,0),0))*AE400/AE$425)+IF(AND(AE$7="חברה מנהלת",AE14&lt;&gt;""),+VLOOKUP(AE655,'פחתי מים לרשויות מצטרפות'!$A$6:$G$10,5,0)-VLOOKUP(AE7,'פחת מים וגביה'!$A:$D,3,0),0)</f>
        <v>0</v>
      </c>
      <c r="AF573" s="1049">
        <f>(+IF(AF551&gt;=2015,MAX(VLOOKUP(AF655,'פחתי מים לרשויות מצטרפות'!$A$6:$G$9,MAX($B$3-AF551,0)+3,0)-VLOOKUP(AF$1,'פחת מים וגביה'!$A:$D,3,0),0))*AF400/AF$425)+IF(AND(AF$7="חברה מנהלת",AF14&lt;&gt;""),+VLOOKUP(AF655,'פחתי מים לרשויות מצטרפות'!$A$6:$G$10,5,0)-VLOOKUP(AF7,'פחת מים וגביה'!$A:$D,3,0),0)</f>
        <v>0</v>
      </c>
      <c r="AG573" s="1049">
        <f>(+IF(AG551&gt;=2015,MAX(VLOOKUP(AG655,'פחתי מים לרשויות מצטרפות'!$A$6:$G$9,MAX($B$3-AG551,0)+3,0)-VLOOKUP(AG$1,'פחת מים וגביה'!$A:$D,3,0),0))*AG400/AG$425)+IF(AND(AG$7="חברה מנהלת",AG14&lt;&gt;""),+VLOOKUP(AG655,'פחתי מים לרשויות מצטרפות'!$A$6:$G$10,5,0)-VLOOKUP(AG7,'פחת מים וגביה'!$A:$D,3,0),0)</f>
        <v>0</v>
      </c>
      <c r="AH573" s="1049">
        <f>(+IF(AH551&gt;=2015,MAX(VLOOKUP(AH655,'פחתי מים לרשויות מצטרפות'!$A$6:$G$9,MAX($B$3-AH551,0)+3,0)-VLOOKUP(AH$1,'פחת מים וגביה'!$A:$D,3,0),0))*AH400/AH$425)+IF(AND(AH$7="חברה מנהלת",AH14&lt;&gt;""),+VLOOKUP(AH655,'פחתי מים לרשויות מצטרפות'!$A$6:$G$10,5,0)-VLOOKUP(AH7,'פחת מים וגביה'!$A:$D,3,0),0)</f>
        <v>0</v>
      </c>
      <c r="AI573" s="1049">
        <f>(+IF(AI551&gt;=2015,MAX(VLOOKUP(AI655,'פחתי מים לרשויות מצטרפות'!$A$6:$G$9,MAX($B$3-AI551,0)+3,0)-VLOOKUP(AI$1,'פחת מים וגביה'!$A:$D,3,0),0))*AI400/AI$425)+IF(AND(AI$7="חברה מנהלת",AI14&lt;&gt;""),+VLOOKUP(AI655,'פחתי מים לרשויות מצטרפות'!$A$6:$G$10,5,0)-VLOOKUP(AI7,'פחת מים וגביה'!$A:$D,3,0),0)</f>
        <v>0</v>
      </c>
      <c r="AJ573" s="1049">
        <f>(+IF(AJ551&gt;=2015,MAX(VLOOKUP(AJ655,'פחתי מים לרשויות מצטרפות'!$A$6:$G$9,MAX($B$3-AJ551,0)+3,0)-VLOOKUP(AJ$1,'פחת מים וגביה'!$A:$D,3,0),0))*AJ400/AJ$425)+IF(AND(AJ$7="חברה מנהלת",AJ14&lt;&gt;""),+VLOOKUP(AJ655,'פחתי מים לרשויות מצטרפות'!$A$6:$G$10,5,0)-VLOOKUP(AJ7,'פחת מים וגביה'!$A:$D,3,0),0)</f>
        <v>0</v>
      </c>
      <c r="AK573" s="1049">
        <f>(+IF(AK551&gt;=2015,MAX(VLOOKUP(AK655,'פחתי מים לרשויות מצטרפות'!$A$6:$G$9,MAX($B$3-AK551,0)+3,0)-VLOOKUP(AK$1,'פחת מים וגביה'!$A:$D,3,0),0))*AK400/AK$425)+IF(AND(AK$7="חברה מנהלת",AK14&lt;&gt;""),+VLOOKUP(AK655,'פחתי מים לרשויות מצטרפות'!$A$6:$G$10,5,0)-VLOOKUP(AK7,'פחת מים וגביה'!$A:$D,3,0),0)</f>
        <v>0</v>
      </c>
      <c r="AL573" s="1049">
        <f>(+IF(AL551&gt;=2015,MAX(VLOOKUP(AL655,'פחתי מים לרשויות מצטרפות'!$A$6:$G$9,MAX($B$3-AL551,0)+3,0)-VLOOKUP(AL$1,'פחת מים וגביה'!$A:$D,3,0),0))*AL400/AL$425)+IF(AND(AL$7="חברה מנהלת",AL14&lt;&gt;""),+VLOOKUP(AL655,'פחתי מים לרשויות מצטרפות'!$A$6:$G$10,5,0)-VLOOKUP(AL7,'פחת מים וגביה'!$A:$D,3,0),0)</f>
        <v>0</v>
      </c>
      <c r="AM573" s="1049">
        <f>(+IF(AM551&gt;=2015,MAX(VLOOKUP(AM655,'פחתי מים לרשויות מצטרפות'!$A$6:$G$9,MAX($B$3-AM551,0)+3,0)-VLOOKUP(AM$1,'פחת מים וגביה'!$A:$D,3,0),0))*AM400/AM$425)+IF(AND(AM$7="חברה מנהלת",AM14&lt;&gt;""),+VLOOKUP(AM655,'פחתי מים לרשויות מצטרפות'!$A$6:$G$10,5,0)-VLOOKUP(AM7,'פחת מים וגביה'!$A:$D,3,0),0)</f>
        <v>0</v>
      </c>
      <c r="AN573" s="1049">
        <f>(+IF(AN551&gt;=2015,MAX(VLOOKUP(AN655,'פחתי מים לרשויות מצטרפות'!$A$6:$G$9,MAX($B$3-AN551,0)+3,0)-VLOOKUP(AN$1,'פחת מים וגביה'!$A:$D,3,0),0))*AN400/AN$425)+IF(AND(AN$7="חברה מנהלת",AN14&lt;&gt;""),+VLOOKUP(AN655,'פחתי מים לרשויות מצטרפות'!$A$6:$G$10,5,0)-VLOOKUP(AN7,'פחת מים וגביה'!$A:$D,3,0),0)</f>
        <v>0</v>
      </c>
      <c r="AO573" s="1049">
        <f>(+IF(AO551&gt;=2015,MAX(VLOOKUP(AO655,'פחתי מים לרשויות מצטרפות'!$A$6:$G$9,MAX($B$3-AO551,0)+3,0)-VLOOKUP(AO$1,'פחת מים וגביה'!$A:$D,3,0),0))*AO400/AO$425)+IF(AND(AO$7="חברה מנהלת",AO14&lt;&gt;""),+VLOOKUP(AO655,'פחתי מים לרשויות מצטרפות'!$A$6:$G$10,5,0)-VLOOKUP(AO7,'פחת מים וגביה'!$A:$D,3,0),0)</f>
        <v>0</v>
      </c>
      <c r="AP573" s="1049">
        <f>(+IF(AP551&gt;=2015,MAX(VLOOKUP(AP655,'פחתי מים לרשויות מצטרפות'!$A$6:$G$9,MAX($B$3-AP551,0)+3,0)-VLOOKUP(AP$1,'פחת מים וגביה'!$A:$D,3,0),0))*AP400/AP$425)+IF(AND(AP$7="חברה מנהלת",AP14&lt;&gt;""),+VLOOKUP(AP655,'פחתי מים לרשויות מצטרפות'!$A$6:$G$10,5,0)-VLOOKUP(AP7,'פחת מים וגביה'!$A:$D,3,0),0)</f>
        <v>0</v>
      </c>
      <c r="AQ573" s="1049">
        <f>(+IF(AQ551&gt;=2015,MAX(VLOOKUP(AQ655,'פחתי מים לרשויות מצטרפות'!$A$6:$G$9,MAX($B$3-AQ551,0)+3,0)-VLOOKUP(AQ$1,'פחת מים וגביה'!$A:$D,3,0),0))*AQ400/AQ$425)+IF(AND(AQ$7="חברה מנהלת",AQ14&lt;&gt;""),+VLOOKUP(AQ655,'פחתי מים לרשויות מצטרפות'!$A$6:$G$10,5,0)-VLOOKUP(AQ7,'פחת מים וגביה'!$A:$D,3,0),0)</f>
        <v>0</v>
      </c>
      <c r="AR573" s="1049">
        <f>(+IF(AR551&gt;=2015,MAX(VLOOKUP(AR655,'פחתי מים לרשויות מצטרפות'!$A$6:$G$9,MAX($B$3-AR551,0)+3,0)-VLOOKUP(AR$1,'פחת מים וגביה'!$A:$D,3,0),0))*AR400/AR$425)+IF(AND(AR$7="חברה מנהלת",AR14&lt;&gt;""),+VLOOKUP(AR655,'פחתי מים לרשויות מצטרפות'!$A$6:$G$10,5,0)-VLOOKUP(AR7,'פחת מים וגביה'!$A:$D,3,0),0)</f>
        <v>0</v>
      </c>
      <c r="AS573" s="1049">
        <f>(+IF(AS551&gt;=2015,MAX(VLOOKUP(AS655,'פחתי מים לרשויות מצטרפות'!$A$6:$G$9,MAX($B$3-AS551,0)+3,0)-VLOOKUP(AS$1,'פחת מים וגביה'!$A:$D,3,0),0))*AS400/AS$425)+IF(AND(AS$7="חברה מנהלת",AS14&lt;&gt;""),+VLOOKUP(AS655,'פחתי מים לרשויות מצטרפות'!$A$6:$G$10,5,0)-VLOOKUP(AS7,'פחת מים וגביה'!$A:$D,3,0),0)</f>
        <v>0</v>
      </c>
      <c r="AT573" s="1049">
        <f>(+IF(AT551&gt;=2015,MAX(VLOOKUP(AT655,'פחתי מים לרשויות מצטרפות'!$A$6:$G$9,MAX($B$3-AT551,0)+3,0)-VLOOKUP(AT$1,'פחת מים וגביה'!$A:$D,3,0),0))*AT400/AT$425)+IF(AND(AT$7="חברה מנהלת",AT14&lt;&gt;""),+VLOOKUP(AT655,'פחתי מים לרשויות מצטרפות'!$A$6:$G$10,5,0)-VLOOKUP(AT7,'פחת מים וגביה'!$A:$D,3,0),0)</f>
        <v>0</v>
      </c>
      <c r="AU573" s="1049">
        <f>(+IF(AU551&gt;=2015,MAX(VLOOKUP(AU655,'פחתי מים לרשויות מצטרפות'!$A$6:$G$9,MAX($B$3-AU551,0)+3,0)-VLOOKUP(AU$1,'פחת מים וגביה'!$A:$D,3,0),0))*AU400/AU$425)+IF(AND(AU$7="חברה מנהלת",AU14&lt;&gt;""),+VLOOKUP(AU655,'פחתי מים לרשויות מצטרפות'!$A$6:$G$10,5,0)-VLOOKUP(AU7,'פחת מים וגביה'!$A:$D,3,0),0)</f>
        <v>0</v>
      </c>
      <c r="AV573" s="1049">
        <f>(+IF(AV551&gt;=2015,MAX(VLOOKUP(AV655,'פחתי מים לרשויות מצטרפות'!$A$6:$G$9,MAX($B$3-AV551,0)+3,0)-VLOOKUP(AV$1,'פחת מים וגביה'!$A:$D,3,0),0))*AV400/AV$425)+IF(AND(AV$7="חברה מנהלת",AV14&lt;&gt;""),+VLOOKUP(AV655,'פחתי מים לרשויות מצטרפות'!$A$6:$G$10,5,0)-VLOOKUP(AV7,'פחת מים וגביה'!$A:$D,3,0),0)</f>
        <v>0</v>
      </c>
      <c r="AW573" s="1049">
        <f>(+IF(AW551&gt;=2015,MAX(VLOOKUP(AW655,'פחתי מים לרשויות מצטרפות'!$A$6:$G$9,MAX($B$3-AW551,0)+3,0)-VLOOKUP(AW$1,'פחת מים וגביה'!$A:$D,3,0),0))*AW400/AW$425)+IF(AND(AW$7="חברה מנהלת",AW14&lt;&gt;""),+VLOOKUP(AW655,'פחתי מים לרשויות מצטרפות'!$A$6:$G$10,5,0)-VLOOKUP(AW7,'פחת מים וגביה'!$A:$D,3,0),0)</f>
        <v>0</v>
      </c>
      <c r="AX573" s="1049">
        <f>(+IF(AX551&gt;=2015,MAX(VLOOKUP(AX655,'פחתי מים לרשויות מצטרפות'!$A$6:$G$9,MAX($B$3-AX551,0)+3,0)-VLOOKUP(AX$1,'פחת מים וגביה'!$A:$D,3,0),0))*AX400/AX$425)+IF(AND(AX$7="חברה מנהלת",AX14&lt;&gt;""),+VLOOKUP(AX655,'פחתי מים לרשויות מצטרפות'!$A$6:$G$10,5,0)-VLOOKUP(AX7,'פחת מים וגביה'!$A:$D,3,0),0)</f>
        <v>0</v>
      </c>
      <c r="AY573" s="1049">
        <f>(+IF(AY551&gt;=2015,MAX(VLOOKUP(AY655,'פחתי מים לרשויות מצטרפות'!$A$6:$G$9,MAX($B$3-AY551,0)+3,0)-VLOOKUP(AY$1,'פחת מים וגביה'!$A:$D,3,0),0))*AY400/AY$425)+IF(AND(AY$7="חברה מנהלת",AY14&lt;&gt;""),+VLOOKUP(AY655,'פחתי מים לרשויות מצטרפות'!$A$6:$G$10,5,0)-VLOOKUP(AY7,'פחת מים וגביה'!$A:$D,3,0),0)</f>
        <v>0</v>
      </c>
      <c r="AZ573" s="1049">
        <f>(+IF(AZ551&gt;=2015,MAX(VLOOKUP(AZ655,'פחתי מים לרשויות מצטרפות'!$A$6:$G$9,MAX($B$3-AZ551,0)+3,0)-VLOOKUP(AZ$1,'פחת מים וגביה'!$A:$D,3,0),0))*AZ400/AZ$425)+IF(AND(AZ$7="חברה מנהלת",AZ14&lt;&gt;""),+VLOOKUP(AZ655,'פחתי מים לרשויות מצטרפות'!$A$6:$G$10,5,0)-VLOOKUP(AZ7,'פחת מים וגביה'!$A:$D,3,0),0)</f>
        <v>0</v>
      </c>
      <c r="BA573" s="1049">
        <f>(+IF(BA551&gt;=2015,MAX(VLOOKUP(BA655,'פחתי מים לרשויות מצטרפות'!$A$6:$G$9,MAX($B$3-BA551,0)+3,0)-VLOOKUP(BA$1,'פחת מים וגביה'!$A:$D,3,0),0))*BA400/BA$425)+IF(AND(BA$7="חברה מנהלת",BA14&lt;&gt;""),+VLOOKUP(BA655,'פחתי מים לרשויות מצטרפות'!$A$6:$G$10,5,0)-VLOOKUP(BA7,'פחת מים וגביה'!$A:$D,3,0),0)</f>
        <v>0</v>
      </c>
      <c r="BB573" s="1049">
        <f>(+IF(BB551&gt;=2015,MAX(VLOOKUP(BB655,'פחתי מים לרשויות מצטרפות'!$A$6:$G$9,MAX($B$3-BB551,0)+3,0)-VLOOKUP(BB$1,'פחת מים וגביה'!$A:$D,3,0),0))*BB400/BB$425)+IF(AND(BB$7="חברה מנהלת",BB14&lt;&gt;""),+VLOOKUP(BB655,'פחתי מים לרשויות מצטרפות'!$A$6:$G$10,5,0)-VLOOKUP(BB7,'פחת מים וגביה'!$A:$D,3,0),0)</f>
        <v>0</v>
      </c>
      <c r="BC573" s="1049">
        <f>(+IF(BC551&gt;=2015,MAX(VLOOKUP(BC655,'פחתי מים לרשויות מצטרפות'!$A$6:$G$9,MAX($B$3-BC551,0)+3,0)-VLOOKUP(BC$1,'פחת מים וגביה'!$A:$D,3,0),0))*BC400/BC$425)+IF(AND(BC$7="חברה מנהלת",BC14&lt;&gt;""),+VLOOKUP(BC655,'פחתי מים לרשויות מצטרפות'!$A$6:$G$10,5,0)-VLOOKUP(BC7,'פחת מים וגביה'!$A:$D,3,0),0)</f>
        <v>0</v>
      </c>
      <c r="BD573" s="1049">
        <f>(+IF(BD551&gt;=2015,MAX(VLOOKUP(BD655,'פחתי מים לרשויות מצטרפות'!$A$6:$G$9,MAX($B$3-BD551,0)+3,0)-VLOOKUP(BD$1,'פחת מים וגביה'!$A:$D,3,0),0))*BD400/BD$425)+IF(AND(BD$7="חברה מנהלת",BD14&lt;&gt;""),+VLOOKUP(BD655,'פחתי מים לרשויות מצטרפות'!$A$6:$G$10,5,0)-VLOOKUP(BD7,'פחת מים וגביה'!$A:$D,3,0),0)</f>
        <v>0</v>
      </c>
      <c r="BE573" s="1049">
        <f>(+IF(BE551&gt;=2015,MAX(VLOOKUP(BE655,'פחתי מים לרשויות מצטרפות'!$A$6:$G$9,MAX($B$3-BE551,0)+3,0)-VLOOKUP(BE$1,'פחת מים וגביה'!$A:$D,3,0),0))*BE400/BE$425)+IF(AND(BE$7="חברה מנהלת",BE14&lt;&gt;""),+VLOOKUP(BE655,'פחתי מים לרשויות מצטרפות'!$A$6:$G$10,5,0)-VLOOKUP(BE7,'פחת מים וגביה'!$A:$D,3,0),0)</f>
        <v>0</v>
      </c>
      <c r="BF573" s="1049">
        <f>(+IF(BF551&gt;=2015,MAX(VLOOKUP(BF655,'פחתי מים לרשויות מצטרפות'!$A$6:$G$9,MAX($B$3-BF551,0)+3,0)-VLOOKUP(BF$1,'פחת מים וגביה'!$A:$D,3,0),0))*BF400/BF$425)+IF(AND(BF$7="חברה מנהלת",BF14&lt;&gt;""),+VLOOKUP(BF655,'פחתי מים לרשויות מצטרפות'!$A$6:$G$10,5,0)-VLOOKUP(BF7,'פחת מים וגביה'!$A:$D,3,0),0)</f>
        <v>0</v>
      </c>
    </row>
    <row r="574" spans="1:58" x14ac:dyDescent="0.2">
      <c r="C574" s="1049">
        <f>(+IF(C552&gt;=2015,MAX(VLOOKUP(C656,'פחתי מים לרשויות מצטרפות'!$A$6:$G$9,MAX($B$3-C552,0)+3,0)-VLOOKUP(C$1,'פחת מים וגביה'!$A:$D,3,0),0))*C401/C$425)+IF(AND(C$7="חברה מנהלת",C15&lt;&gt;""),+VLOOKUP(C656,'פחתי מים לרשויות מצטרפות'!$A$6:$G$10,5,0)-VLOOKUP(C8,'פחת מים וגביה'!$A:$D,3,0),0)</f>
        <v>0</v>
      </c>
      <c r="D574" s="1049">
        <f>(+IF(D552&gt;=2015,MAX(VLOOKUP(D656,'פחתי מים לרשויות מצטרפות'!$A$6:$G$9,MAX($B$3-D552,0)+3,0)-VLOOKUP(D$1,'פחת מים וגביה'!$A:$D,3,0),0))*D401/D$425)+IF(AND(D$7="חברה מנהלת",D15&lt;&gt;""),+VLOOKUP(D656,'פחתי מים לרשויות מצטרפות'!$A$6:$G$10,5,0)-VLOOKUP(D8,'פחת מים וגביה'!$A:$D,3,0),0)</f>
        <v>0</v>
      </c>
      <c r="E574" s="1049">
        <f>(+IF(E552&gt;=2015,MAX(VLOOKUP(E656,'פחתי מים לרשויות מצטרפות'!$A$6:$G$9,MAX($B$3-E552,0)+3,0)-VLOOKUP(E$1,'פחת מים וגביה'!$A:$D,3,0),0))*E401/E$425)+IF(AND(E$7="חברה מנהלת",E15&lt;&gt;""),+VLOOKUP(E656,'פחתי מים לרשויות מצטרפות'!$A$6:$G$10,5,0)-VLOOKUP(E8,'פחת מים וגביה'!$A:$D,3,0),0)</f>
        <v>0</v>
      </c>
      <c r="F574" s="1049">
        <f>(+IF(F552&gt;=2015,MAX(VLOOKUP(F656,'פחתי מים לרשויות מצטרפות'!$A$6:$G$9,MAX($B$3-F552,0)+3,0)-VLOOKUP(F$1,'פחת מים וגביה'!$A:$D,3,0),0))*F401/F$425)+IF(AND(F$7="חברה מנהלת",F15&lt;&gt;""),+VLOOKUP(F656,'פחתי מים לרשויות מצטרפות'!$A$6:$G$10,5,0)-VLOOKUP(F8,'פחת מים וגביה'!$A:$D,3,0),0)</f>
        <v>0</v>
      </c>
      <c r="G574" s="1049">
        <f>(+IF(G552&gt;=2015,MAX(VLOOKUP(G656,'פחתי מים לרשויות מצטרפות'!$A$6:$G$9,MAX($B$3-G552,0)+3,0)-VLOOKUP(G$1,'פחת מים וגביה'!$A:$D,3,0),0))*G401/G$425)+IF(AND(G$7="חברה מנהלת",G15&lt;&gt;""),+VLOOKUP(G656,'פחתי מים לרשויות מצטרפות'!$A$6:$G$10,5,0)-VLOOKUP(G8,'פחת מים וגביה'!$A:$D,3,0),0)</f>
        <v>0</v>
      </c>
      <c r="H574" s="1049">
        <f>(+IF(H552&gt;=2015,MAX(VLOOKUP(H656,'פחתי מים לרשויות מצטרפות'!$A$6:$G$9,MAX($B$3-H552,0)+3,0)-VLOOKUP(H$1,'פחת מים וגביה'!$A:$D,3,0),0))*H401/H$425)+IF(AND(H$7="חברה מנהלת",H15&lt;&gt;""),+VLOOKUP(H656,'פחתי מים לרשויות מצטרפות'!$A$6:$G$10,5,0)-VLOOKUP(H8,'פחת מים וגביה'!$A:$D,3,0),0)</f>
        <v>0</v>
      </c>
      <c r="I574" s="1049">
        <f>(+IF(I552&gt;=2015,MAX(VLOOKUP(I656,'פחתי מים לרשויות מצטרפות'!$A$6:$G$9,MAX($B$3-I552,0)+3,0)-VLOOKUP(I$1,'פחת מים וגביה'!$A:$D,3,0),0))*I401/I$425)+IF(AND(I$7="חברה מנהלת",I15&lt;&gt;""),+VLOOKUP(I656,'פחתי מים לרשויות מצטרפות'!$A$6:$G$10,5,0)-VLOOKUP(I8,'פחת מים וגביה'!$A:$D,3,0),0)</f>
        <v>0</v>
      </c>
      <c r="J574" s="1049">
        <f>(+IF(J552&gt;=2015,MAX(VLOOKUP(J656,'פחתי מים לרשויות מצטרפות'!$A$6:$G$9,MAX($B$3-J552,0)+3,0)-VLOOKUP(J$1,'פחת מים וגביה'!$A:$D,3,0),0))*J401/J$425)+IF(AND(J$7="חברה מנהלת",J15&lt;&gt;""),+VLOOKUP(J656,'פחתי מים לרשויות מצטרפות'!$A$6:$G$10,5,0)-VLOOKUP(J8,'פחת מים וגביה'!$A:$D,3,0),0)</f>
        <v>0</v>
      </c>
      <c r="K574" s="1049">
        <f>(+IF(K552&gt;=2015,MAX(VLOOKUP(K656,'פחתי מים לרשויות מצטרפות'!$A$6:$G$9,MAX($B$3-K552,0)+3,0)-VLOOKUP(K$1,'פחת מים וגביה'!$A:$D,3,0),0))*K401/K$425)+IF(AND(K$7="חברה מנהלת",K15&lt;&gt;""),+VLOOKUP(K656,'פחתי מים לרשויות מצטרפות'!$A$6:$G$10,5,0)-VLOOKUP(K8,'פחת מים וגביה'!$A:$D,3,0),0)</f>
        <v>0</v>
      </c>
      <c r="L574" s="1049">
        <f>(+IF(L552&gt;=2015,MAX(VLOOKUP(L656,'פחתי מים לרשויות מצטרפות'!$A$6:$G$9,MAX($B$3-L552,0)+3,0)-VLOOKUP(L$1,'פחת מים וגביה'!$A:$D,3,0),0))*L401/L$425)+IF(AND(L$7="חברה מנהלת",L15&lt;&gt;""),+VLOOKUP(L656,'פחתי מים לרשויות מצטרפות'!$A$6:$G$10,5,0)-VLOOKUP(L8,'פחת מים וגביה'!$A:$D,3,0),0)</f>
        <v>0</v>
      </c>
      <c r="M574" s="1049">
        <f>(+IF(M552&gt;=2015,MAX(VLOOKUP(M656,'פחתי מים לרשויות מצטרפות'!$A$6:$G$9,MAX($B$3-M552,0)+3,0)-VLOOKUP(M$1,'פחת מים וגביה'!$A:$D,3,0),0))*M401/M$425)+IF(AND(M$7="חברה מנהלת",M15&lt;&gt;""),+VLOOKUP(M656,'פחתי מים לרשויות מצטרפות'!$A$6:$G$10,5,0)-VLOOKUP(M8,'פחת מים וגביה'!$A:$D,3,0),0)</f>
        <v>0</v>
      </c>
      <c r="N574" s="1049">
        <f>(+IF(N552&gt;=2015,MAX(VLOOKUP(N656,'פחתי מים לרשויות מצטרפות'!$A$6:$G$9,MAX($B$3-N552,0)+3,0)-VLOOKUP(N$1,'פחת מים וגביה'!$A:$D,3,0),0))*N401/N$425)+IF(AND(N$7="חברה מנהלת",N15&lt;&gt;""),+VLOOKUP(N656,'פחתי מים לרשויות מצטרפות'!$A$6:$G$10,5,0)-VLOOKUP(N8,'פחת מים וגביה'!$A:$D,3,0),0)</f>
        <v>0</v>
      </c>
      <c r="O574" s="1049">
        <f>(+IF(O552&gt;=2015,MAX(VLOOKUP(O656,'פחתי מים לרשויות מצטרפות'!$A$6:$G$9,MAX($B$3-O552,0)+3,0)-VLOOKUP(O$1,'פחת מים וגביה'!$A:$D,3,0),0))*O401/O$425)+IF(AND(O$7="חברה מנהלת",O15&lt;&gt;""),+VLOOKUP(O656,'פחתי מים לרשויות מצטרפות'!$A$6:$G$10,5,0)-VLOOKUP(O8,'פחת מים וגביה'!$A:$D,3,0),0)</f>
        <v>0</v>
      </c>
      <c r="P574" s="1049">
        <f>(+IF(P552&gt;=2015,MAX(VLOOKUP(P656,'פחתי מים לרשויות מצטרפות'!$A$6:$G$9,MAX($B$3-P552,0)+3,0)-VLOOKUP(P$1,'פחת מים וגביה'!$A:$D,3,0),0))*P401/P$425)+IF(AND(P$7="חברה מנהלת",P15&lt;&gt;""),+VLOOKUP(P656,'פחתי מים לרשויות מצטרפות'!$A$6:$G$10,5,0)-VLOOKUP(P8,'פחת מים וגביה'!$A:$D,3,0),0)</f>
        <v>0</v>
      </c>
      <c r="Q574" s="1049">
        <f>(+IF(Q552&gt;=2015,MAX(VLOOKUP(Q656,'פחתי מים לרשויות מצטרפות'!$A$6:$G$9,MAX($B$3-Q552,0)+3,0)-VLOOKUP(Q$1,'פחת מים וגביה'!$A:$D,3,0),0))*Q401/Q$425)+IF(AND(Q$7="חברה מנהלת",Q15&lt;&gt;""),+VLOOKUP(Q656,'פחתי מים לרשויות מצטרפות'!$A$6:$G$10,5,0)-VLOOKUP(Q8,'פחת מים וגביה'!$A:$D,3,0),0)</f>
        <v>0</v>
      </c>
      <c r="R574" s="1049">
        <f>(+IF(R552&gt;=2015,MAX(VLOOKUP(R656,'פחתי מים לרשויות מצטרפות'!$A$6:$G$9,MAX($B$3-R552,0)+3,0)-VLOOKUP(R$1,'פחת מים וגביה'!$A:$D,3,0),0))*R401/R$425)+IF(AND(R$7="חברה מנהלת",R15&lt;&gt;""),+VLOOKUP(R656,'פחתי מים לרשויות מצטרפות'!$A$6:$G$10,5,0)-VLOOKUP(R8,'פחת מים וגביה'!$A:$D,3,0),0)</f>
        <v>0</v>
      </c>
      <c r="S574" s="1049">
        <f>(+IF(S552&gt;=2015,MAX(VLOOKUP(S656,'פחתי מים לרשויות מצטרפות'!$A$6:$G$9,MAX($B$3-S552,0)+3,0)-VLOOKUP(S$1,'פחת מים וגביה'!$A:$D,3,0),0))*S401/S$425)+IF(AND(S$7="חברה מנהלת",S15&lt;&gt;""),+VLOOKUP(S656,'פחתי מים לרשויות מצטרפות'!$A$6:$G$10,5,0)-VLOOKUP(S8,'פחת מים וגביה'!$A:$D,3,0),0)</f>
        <v>0</v>
      </c>
      <c r="T574" s="1049">
        <f>(+IF(T552&gt;=2015,MAX(VLOOKUP(T656,'פחתי מים לרשויות מצטרפות'!$A$6:$G$9,MAX($B$3-T552,0)+3,0)-VLOOKUP(T$1,'פחת מים וגביה'!$A:$D,3,0),0))*T401/T$425)+IF(AND(T$7="חברה מנהלת",T15&lt;&gt;""),+VLOOKUP(T656,'פחתי מים לרשויות מצטרפות'!$A$6:$G$10,5,0)-VLOOKUP(T8,'פחת מים וגביה'!$A:$D,3,0),0)</f>
        <v>0</v>
      </c>
      <c r="U574" s="1049">
        <f>(+IF(U552&gt;=2015,MAX(VLOOKUP(U656,'פחתי מים לרשויות מצטרפות'!$A$6:$G$9,MAX($B$3-U552,0)+3,0)-VLOOKUP(U$1,'פחת מים וגביה'!$A:$D,3,0),0))*U401/U$425)+IF(AND(U$7="חברה מנהלת",U15&lt;&gt;""),+VLOOKUP(U656,'פחתי מים לרשויות מצטרפות'!$A$6:$G$10,5,0)-VLOOKUP(U8,'פחת מים וגביה'!$A:$D,3,0),0)</f>
        <v>0</v>
      </c>
      <c r="V574" s="1049">
        <f>(+IF(V552&gt;=2015,MAX(VLOOKUP(V656,'פחתי מים לרשויות מצטרפות'!$A$6:$G$9,MAX($B$3-V552,0)+3,0)-VLOOKUP(V$1,'פחת מים וגביה'!$A:$D,3,0),0))*V401/V$425)+IF(AND(V$7="חברה מנהלת",V15&lt;&gt;""),+VLOOKUP(V656,'פחתי מים לרשויות מצטרפות'!$A$6:$G$10,5,0)-VLOOKUP(V8,'פחת מים וגביה'!$A:$D,3,0),0)</f>
        <v>0</v>
      </c>
      <c r="W574" s="1049">
        <f>(+IF(W552&gt;=2015,MAX(VLOOKUP(W656,'פחתי מים לרשויות מצטרפות'!$A$6:$G$9,MAX($B$3-W552,0)+3,0)-VLOOKUP(W$1,'פחת מים וגביה'!$A:$D,3,0),0))*W401/W$425)+IF(AND(W$7="חברה מנהלת",W15&lt;&gt;""),+VLOOKUP(W656,'פחתי מים לרשויות מצטרפות'!$A$6:$G$10,5,0)-VLOOKUP(W8,'פחת מים וגביה'!$A:$D,3,0),0)</f>
        <v>0</v>
      </c>
      <c r="X574" s="1049">
        <f>(+IF(X552&gt;=2015,MAX(VLOOKUP(X656,'פחתי מים לרשויות מצטרפות'!$A$6:$G$9,MAX($B$3-X552,0)+3,0)-VLOOKUP(X$1,'פחת מים וגביה'!$A:$D,3,0),0))*X401/X$425)+IF(AND(X$7="חברה מנהלת",X15&lt;&gt;""),+VLOOKUP(X656,'פחתי מים לרשויות מצטרפות'!$A$6:$G$10,5,0)-VLOOKUP(X8,'פחת מים וגביה'!$A:$D,3,0),0)</f>
        <v>0</v>
      </c>
      <c r="Y574" s="1049">
        <f>(+IF(Y552&gt;=2015,MAX(VLOOKUP(Y656,'פחתי מים לרשויות מצטרפות'!$A$6:$G$9,MAX($B$3-Y552,0)+3,0)-VLOOKUP(Y$1,'פחת מים וגביה'!$A:$D,3,0),0))*Y401/Y$425)+IF(AND(Y$7="חברה מנהלת",Y15&lt;&gt;""),+VLOOKUP(Y656,'פחתי מים לרשויות מצטרפות'!$A$6:$G$10,5,0)-VLOOKUP(Y8,'פחת מים וגביה'!$A:$D,3,0),0)</f>
        <v>0</v>
      </c>
      <c r="Z574" s="1049">
        <f>(+IF(Z552&gt;=2015,MAX(VLOOKUP(Z656,'פחתי מים לרשויות מצטרפות'!$A$6:$G$9,MAX($B$3-Z552,0)+3,0)-VLOOKUP(Z$1,'פחת מים וגביה'!$A:$D,3,0),0))*Z401/Z$425)+IF(AND(Z$7="חברה מנהלת",Z15&lt;&gt;""),+VLOOKUP(Z656,'פחתי מים לרשויות מצטרפות'!$A$6:$G$10,5,0)-VLOOKUP(Z8,'פחת מים וגביה'!$A:$D,3,0),0)</f>
        <v>0</v>
      </c>
      <c r="AA574" s="1049">
        <f>(+IF(AA552&gt;=2015,MAX(VLOOKUP(AA656,'פחתי מים לרשויות מצטרפות'!$A$6:$G$9,MAX($B$3-AA552,0)+3,0)-VLOOKUP(AA$1,'פחת מים וגביה'!$A:$D,3,0),0))*AA401/AA$425)+IF(AND(AA$7="חברה מנהלת",AA15&lt;&gt;""),+VLOOKUP(AA656,'פחתי מים לרשויות מצטרפות'!$A$6:$G$10,5,0)-VLOOKUP(AA8,'פחת מים וגביה'!$A:$D,3,0),0)</f>
        <v>0</v>
      </c>
      <c r="AB574" s="1049">
        <f>(+IF(AB552&gt;=2015,MAX(VLOOKUP(AB656,'פחתי מים לרשויות מצטרפות'!$A$6:$G$9,MAX($B$3-AB552,0)+3,0)-VLOOKUP(AB$1,'פחת מים וגביה'!$A:$D,3,0),0))*AB401/AB$425)+IF(AND(AB$7="חברה מנהלת",AB15&lt;&gt;""),+VLOOKUP(AB656,'פחתי מים לרשויות מצטרפות'!$A$6:$G$10,5,0)-VLOOKUP(AB8,'פחת מים וגביה'!$A:$D,3,0),0)</f>
        <v>0</v>
      </c>
      <c r="AC574" s="1049">
        <f>(+IF(AC552&gt;=2015,MAX(VLOOKUP(AC656,'פחתי מים לרשויות מצטרפות'!$A$6:$G$9,MAX($B$3-AC552,0)+3,0)-VLOOKUP(AC$1,'פחת מים וגביה'!$A:$D,3,0),0))*AC401/AC$425)+IF(AND(AC$7="חברה מנהלת",AC15&lt;&gt;""),+VLOOKUP(AC656,'פחתי מים לרשויות מצטרפות'!$A$6:$G$10,5,0)-VLOOKUP(AC8,'פחת מים וגביה'!$A:$D,3,0),0)</f>
        <v>0</v>
      </c>
      <c r="AD574" s="1049">
        <f>(+IF(AD552&gt;=2015,MAX(VLOOKUP(AD656,'פחתי מים לרשויות מצטרפות'!$A$6:$G$9,MAX($B$3-AD552,0)+3,0)-VLOOKUP(AD$1,'פחת מים וגביה'!$A:$D,3,0),0))*AD401/AD$425)+IF(AND(AD$7="חברה מנהלת",AD15&lt;&gt;""),+VLOOKUP(AD656,'פחתי מים לרשויות מצטרפות'!$A$6:$G$10,5,0)-VLOOKUP(AD8,'פחת מים וגביה'!$A:$D,3,0),0)</f>
        <v>0</v>
      </c>
      <c r="AE574" s="1049">
        <f>(+IF(AE552&gt;=2015,MAX(VLOOKUP(AE656,'פחתי מים לרשויות מצטרפות'!$A$6:$G$9,MAX($B$3-AE552,0)+3,0)-VLOOKUP(AE$1,'פחת מים וגביה'!$A:$D,3,0),0))*AE401/AE$425)+IF(AND(AE$7="חברה מנהלת",AE15&lt;&gt;""),+VLOOKUP(AE656,'פחתי מים לרשויות מצטרפות'!$A$6:$G$10,5,0)-VLOOKUP(AE8,'פחת מים וגביה'!$A:$D,3,0),0)</f>
        <v>0</v>
      </c>
      <c r="AF574" s="1049">
        <f>(+IF(AF552&gt;=2015,MAX(VLOOKUP(AF656,'פחתי מים לרשויות מצטרפות'!$A$6:$G$9,MAX($B$3-AF552,0)+3,0)-VLOOKUP(AF$1,'פחת מים וגביה'!$A:$D,3,0),0))*AF401/AF$425)+IF(AND(AF$7="חברה מנהלת",AF15&lt;&gt;""),+VLOOKUP(AF656,'פחתי מים לרשויות מצטרפות'!$A$6:$G$10,5,0)-VLOOKUP(AF8,'פחת מים וגביה'!$A:$D,3,0),0)</f>
        <v>0</v>
      </c>
      <c r="AG574" s="1049">
        <f>(+IF(AG552&gt;=2015,MAX(VLOOKUP(AG656,'פחתי מים לרשויות מצטרפות'!$A$6:$G$9,MAX($B$3-AG552,0)+3,0)-VLOOKUP(AG$1,'פחת מים וגביה'!$A:$D,3,0),0))*AG401/AG$425)+IF(AND(AG$7="חברה מנהלת",AG15&lt;&gt;""),+VLOOKUP(AG656,'פחתי מים לרשויות מצטרפות'!$A$6:$G$10,5,0)-VLOOKUP(AG8,'פחת מים וגביה'!$A:$D,3,0),0)</f>
        <v>0</v>
      </c>
      <c r="AH574" s="1049">
        <f>(+IF(AH552&gt;=2015,MAX(VLOOKUP(AH656,'פחתי מים לרשויות מצטרפות'!$A$6:$G$9,MAX($B$3-AH552,0)+3,0)-VLOOKUP(AH$1,'פחת מים וגביה'!$A:$D,3,0),0))*AH401/AH$425)+IF(AND(AH$7="חברה מנהלת",AH15&lt;&gt;""),+VLOOKUP(AH656,'פחתי מים לרשויות מצטרפות'!$A$6:$G$10,5,0)-VLOOKUP(AH8,'פחת מים וגביה'!$A:$D,3,0),0)</f>
        <v>0</v>
      </c>
      <c r="AI574" s="1049">
        <f>(+IF(AI552&gt;=2015,MAX(VLOOKUP(AI656,'פחתי מים לרשויות מצטרפות'!$A$6:$G$9,MAX($B$3-AI552,0)+3,0)-VLOOKUP(AI$1,'פחת מים וגביה'!$A:$D,3,0),0))*AI401/AI$425)+IF(AND(AI$7="חברה מנהלת",AI15&lt;&gt;""),+VLOOKUP(AI656,'פחתי מים לרשויות מצטרפות'!$A$6:$G$10,5,0)-VLOOKUP(AI8,'פחת מים וגביה'!$A:$D,3,0),0)</f>
        <v>0</v>
      </c>
      <c r="AJ574" s="1049">
        <f>(+IF(AJ552&gt;=2015,MAX(VLOOKUP(AJ656,'פחתי מים לרשויות מצטרפות'!$A$6:$G$9,MAX($B$3-AJ552,0)+3,0)-VLOOKUP(AJ$1,'פחת מים וגביה'!$A:$D,3,0),0))*AJ401/AJ$425)+IF(AND(AJ$7="חברה מנהלת",AJ15&lt;&gt;""),+VLOOKUP(AJ656,'פחתי מים לרשויות מצטרפות'!$A$6:$G$10,5,0)-VLOOKUP(AJ8,'פחת מים וגביה'!$A:$D,3,0),0)</f>
        <v>0</v>
      </c>
      <c r="AK574" s="1049">
        <f>(+IF(AK552&gt;=2015,MAX(VLOOKUP(AK656,'פחתי מים לרשויות מצטרפות'!$A$6:$G$9,MAX($B$3-AK552,0)+3,0)-VLOOKUP(AK$1,'פחת מים וגביה'!$A:$D,3,0),0))*AK401/AK$425)+IF(AND(AK$7="חברה מנהלת",AK15&lt;&gt;""),+VLOOKUP(AK656,'פחתי מים לרשויות מצטרפות'!$A$6:$G$10,5,0)-VLOOKUP(AK8,'פחת מים וגביה'!$A:$D,3,0),0)</f>
        <v>0</v>
      </c>
      <c r="AL574" s="1049">
        <f>(+IF(AL552&gt;=2015,MAX(VLOOKUP(AL656,'פחתי מים לרשויות מצטרפות'!$A$6:$G$9,MAX($B$3-AL552,0)+3,0)-VLOOKUP(AL$1,'פחת מים וגביה'!$A:$D,3,0),0))*AL401/AL$425)+IF(AND(AL$7="חברה מנהלת",AL15&lt;&gt;""),+VLOOKUP(AL656,'פחתי מים לרשויות מצטרפות'!$A$6:$G$10,5,0)-VLOOKUP(AL8,'פחת מים וגביה'!$A:$D,3,0),0)</f>
        <v>0</v>
      </c>
      <c r="AM574" s="1049">
        <f>(+IF(AM552&gt;=2015,MAX(VLOOKUP(AM656,'פחתי מים לרשויות מצטרפות'!$A$6:$G$9,MAX($B$3-AM552,0)+3,0)-VLOOKUP(AM$1,'פחת מים וגביה'!$A:$D,3,0),0))*AM401/AM$425)+IF(AND(AM$7="חברה מנהלת",AM15&lt;&gt;""),+VLOOKUP(AM656,'פחתי מים לרשויות מצטרפות'!$A$6:$G$10,5,0)-VLOOKUP(AM8,'פחת מים וגביה'!$A:$D,3,0),0)</f>
        <v>0</v>
      </c>
      <c r="AN574" s="1049">
        <f>(+IF(AN552&gt;=2015,MAX(VLOOKUP(AN656,'פחתי מים לרשויות מצטרפות'!$A$6:$G$9,MAX($B$3-AN552,0)+3,0)-VLOOKUP(AN$1,'פחת מים וגביה'!$A:$D,3,0),0))*AN401/AN$425)+IF(AND(AN$7="חברה מנהלת",AN15&lt;&gt;""),+VLOOKUP(AN656,'פחתי מים לרשויות מצטרפות'!$A$6:$G$10,5,0)-VLOOKUP(AN8,'פחת מים וגביה'!$A:$D,3,0),0)</f>
        <v>0</v>
      </c>
      <c r="AO574" s="1049">
        <f>(+IF(AO552&gt;=2015,MAX(VLOOKUP(AO656,'פחתי מים לרשויות מצטרפות'!$A$6:$G$9,MAX($B$3-AO552,0)+3,0)-VLOOKUP(AO$1,'פחת מים וגביה'!$A:$D,3,0),0))*AO401/AO$425)+IF(AND(AO$7="חברה מנהלת",AO15&lt;&gt;""),+VLOOKUP(AO656,'פחתי מים לרשויות מצטרפות'!$A$6:$G$10,5,0)-VLOOKUP(AO8,'פחת מים וגביה'!$A:$D,3,0),0)</f>
        <v>0</v>
      </c>
      <c r="AP574" s="1049">
        <f>(+IF(AP552&gt;=2015,MAX(VLOOKUP(AP656,'פחתי מים לרשויות מצטרפות'!$A$6:$G$9,MAX($B$3-AP552,0)+3,0)-VLOOKUP(AP$1,'פחת מים וגביה'!$A:$D,3,0),0))*AP401/AP$425)+IF(AND(AP$7="חברה מנהלת",AP15&lt;&gt;""),+VLOOKUP(AP656,'פחתי מים לרשויות מצטרפות'!$A$6:$G$10,5,0)-VLOOKUP(AP8,'פחת מים וגביה'!$A:$D,3,0),0)</f>
        <v>0</v>
      </c>
      <c r="AQ574" s="1049">
        <f>(+IF(AQ552&gt;=2015,MAX(VLOOKUP(AQ656,'פחתי מים לרשויות מצטרפות'!$A$6:$G$9,MAX($B$3-AQ552,0)+3,0)-VLOOKUP(AQ$1,'פחת מים וגביה'!$A:$D,3,0),0))*AQ401/AQ$425)+IF(AND(AQ$7="חברה מנהלת",AQ15&lt;&gt;""),+VLOOKUP(AQ656,'פחתי מים לרשויות מצטרפות'!$A$6:$G$10,5,0)-VLOOKUP(AQ8,'פחת מים וגביה'!$A:$D,3,0),0)</f>
        <v>0</v>
      </c>
      <c r="AR574" s="1049">
        <f>(+IF(AR552&gt;=2015,MAX(VLOOKUP(AR656,'פחתי מים לרשויות מצטרפות'!$A$6:$G$9,MAX($B$3-AR552,0)+3,0)-VLOOKUP(AR$1,'פחת מים וגביה'!$A:$D,3,0),0))*AR401/AR$425)+IF(AND(AR$7="חברה מנהלת",AR15&lt;&gt;""),+VLOOKUP(AR656,'פחתי מים לרשויות מצטרפות'!$A$6:$G$10,5,0)-VLOOKUP(AR8,'פחת מים וגביה'!$A:$D,3,0),0)</f>
        <v>0</v>
      </c>
      <c r="AS574" s="1049">
        <f>(+IF(AS552&gt;=2015,MAX(VLOOKUP(AS656,'פחתי מים לרשויות מצטרפות'!$A$6:$G$9,MAX($B$3-AS552,0)+3,0)-VLOOKUP(AS$1,'פחת מים וגביה'!$A:$D,3,0),0))*AS401/AS$425)+IF(AND(AS$7="חברה מנהלת",AS15&lt;&gt;""),+VLOOKUP(AS656,'פחתי מים לרשויות מצטרפות'!$A$6:$G$10,5,0)-VLOOKUP(AS8,'פחת מים וגביה'!$A:$D,3,0),0)</f>
        <v>0</v>
      </c>
      <c r="AT574" s="1049">
        <f>(+IF(AT552&gt;=2015,MAX(VLOOKUP(AT656,'פחתי מים לרשויות מצטרפות'!$A$6:$G$9,MAX($B$3-AT552,0)+3,0)-VLOOKUP(AT$1,'פחת מים וגביה'!$A:$D,3,0),0))*AT401/AT$425)+IF(AND(AT$7="חברה מנהלת",AT15&lt;&gt;""),+VLOOKUP(AT656,'פחתי מים לרשויות מצטרפות'!$A$6:$G$10,5,0)-VLOOKUP(AT8,'פחת מים וגביה'!$A:$D,3,0),0)</f>
        <v>0</v>
      </c>
      <c r="AU574" s="1049">
        <f>(+IF(AU552&gt;=2015,MAX(VLOOKUP(AU656,'פחתי מים לרשויות מצטרפות'!$A$6:$G$9,MAX($B$3-AU552,0)+3,0)-VLOOKUP(AU$1,'פחת מים וגביה'!$A:$D,3,0),0))*AU401/AU$425)+IF(AND(AU$7="חברה מנהלת",AU15&lt;&gt;""),+VLOOKUP(AU656,'פחתי מים לרשויות מצטרפות'!$A$6:$G$10,5,0)-VLOOKUP(AU8,'פחת מים וגביה'!$A:$D,3,0),0)</f>
        <v>0</v>
      </c>
      <c r="AV574" s="1049">
        <f>(+IF(AV552&gt;=2015,MAX(VLOOKUP(AV656,'פחתי מים לרשויות מצטרפות'!$A$6:$G$9,MAX($B$3-AV552,0)+3,0)-VLOOKUP(AV$1,'פחת מים וגביה'!$A:$D,3,0),0))*AV401/AV$425)+IF(AND(AV$7="חברה מנהלת",AV15&lt;&gt;""),+VLOOKUP(AV656,'פחתי מים לרשויות מצטרפות'!$A$6:$G$10,5,0)-VLOOKUP(AV8,'פחת מים וגביה'!$A:$D,3,0),0)</f>
        <v>0</v>
      </c>
      <c r="AW574" s="1049">
        <f>(+IF(AW552&gt;=2015,MAX(VLOOKUP(AW656,'פחתי מים לרשויות מצטרפות'!$A$6:$G$9,MAX($B$3-AW552,0)+3,0)-VLOOKUP(AW$1,'פחת מים וגביה'!$A:$D,3,0),0))*AW401/AW$425)+IF(AND(AW$7="חברה מנהלת",AW15&lt;&gt;""),+VLOOKUP(AW656,'פחתי מים לרשויות מצטרפות'!$A$6:$G$10,5,0)-VLOOKUP(AW8,'פחת מים וגביה'!$A:$D,3,0),0)</f>
        <v>0</v>
      </c>
      <c r="AX574" s="1049">
        <f>(+IF(AX552&gt;=2015,MAX(VLOOKUP(AX656,'פחתי מים לרשויות מצטרפות'!$A$6:$G$9,MAX($B$3-AX552,0)+3,0)-VLOOKUP(AX$1,'פחת מים וגביה'!$A:$D,3,0),0))*AX401/AX$425)+IF(AND(AX$7="חברה מנהלת",AX15&lt;&gt;""),+VLOOKUP(AX656,'פחתי מים לרשויות מצטרפות'!$A$6:$G$10,5,0)-VLOOKUP(AX8,'פחת מים וגביה'!$A:$D,3,0),0)</f>
        <v>0</v>
      </c>
      <c r="AY574" s="1049">
        <f>(+IF(AY552&gt;=2015,MAX(VLOOKUP(AY656,'פחתי מים לרשויות מצטרפות'!$A$6:$G$9,MAX($B$3-AY552,0)+3,0)-VLOOKUP(AY$1,'פחת מים וגביה'!$A:$D,3,0),0))*AY401/AY$425)+IF(AND(AY$7="חברה מנהלת",AY15&lt;&gt;""),+VLOOKUP(AY656,'פחתי מים לרשויות מצטרפות'!$A$6:$G$10,5,0)-VLOOKUP(AY8,'פחת מים וגביה'!$A:$D,3,0),0)</f>
        <v>0</v>
      </c>
      <c r="AZ574" s="1049">
        <f>(+IF(AZ552&gt;=2015,MAX(VLOOKUP(AZ656,'פחתי מים לרשויות מצטרפות'!$A$6:$G$9,MAX($B$3-AZ552,0)+3,0)-VLOOKUP(AZ$1,'פחת מים וגביה'!$A:$D,3,0),0))*AZ401/AZ$425)+IF(AND(AZ$7="חברה מנהלת",AZ15&lt;&gt;""),+VLOOKUP(AZ656,'פחתי מים לרשויות מצטרפות'!$A$6:$G$10,5,0)-VLOOKUP(AZ8,'פחת מים וגביה'!$A:$D,3,0),0)</f>
        <v>0</v>
      </c>
      <c r="BA574" s="1049">
        <f>(+IF(BA552&gt;=2015,MAX(VLOOKUP(BA656,'פחתי מים לרשויות מצטרפות'!$A$6:$G$9,MAX($B$3-BA552,0)+3,0)-VLOOKUP(BA$1,'פחת מים וגביה'!$A:$D,3,0),0))*BA401/BA$425)+IF(AND(BA$7="חברה מנהלת",BA15&lt;&gt;""),+VLOOKUP(BA656,'פחתי מים לרשויות מצטרפות'!$A$6:$G$10,5,0)-VLOOKUP(BA8,'פחת מים וגביה'!$A:$D,3,0),0)</f>
        <v>0</v>
      </c>
      <c r="BB574" s="1049">
        <f>(+IF(BB552&gt;=2015,MAX(VLOOKUP(BB656,'פחתי מים לרשויות מצטרפות'!$A$6:$G$9,MAX($B$3-BB552,0)+3,0)-VLOOKUP(BB$1,'פחת מים וגביה'!$A:$D,3,0),0))*BB401/BB$425)+IF(AND(BB$7="חברה מנהלת",BB15&lt;&gt;""),+VLOOKUP(BB656,'פחתי מים לרשויות מצטרפות'!$A$6:$G$10,5,0)-VLOOKUP(BB8,'פחת מים וגביה'!$A:$D,3,0),0)</f>
        <v>0</v>
      </c>
      <c r="BC574" s="1049">
        <f>(+IF(BC552&gt;=2015,MAX(VLOOKUP(BC656,'פחתי מים לרשויות מצטרפות'!$A$6:$G$9,MAX($B$3-BC552,0)+3,0)-VLOOKUP(BC$1,'פחת מים וגביה'!$A:$D,3,0),0))*BC401/BC$425)+IF(AND(BC$7="חברה מנהלת",BC15&lt;&gt;""),+VLOOKUP(BC656,'פחתי מים לרשויות מצטרפות'!$A$6:$G$10,5,0)-VLOOKUP(BC8,'פחת מים וגביה'!$A:$D,3,0),0)</f>
        <v>0</v>
      </c>
      <c r="BD574" s="1049">
        <f>(+IF(BD552&gt;=2015,MAX(VLOOKUP(BD656,'פחתי מים לרשויות מצטרפות'!$A$6:$G$9,MAX($B$3-BD552,0)+3,0)-VLOOKUP(BD$1,'פחת מים וגביה'!$A:$D,3,0),0))*BD401/BD$425)+IF(AND(BD$7="חברה מנהלת",BD15&lt;&gt;""),+VLOOKUP(BD656,'פחתי מים לרשויות מצטרפות'!$A$6:$G$10,5,0)-VLOOKUP(BD8,'פחת מים וגביה'!$A:$D,3,0),0)</f>
        <v>0</v>
      </c>
      <c r="BE574" s="1049">
        <f>(+IF(BE552&gt;=2015,MAX(VLOOKUP(BE656,'פחתי מים לרשויות מצטרפות'!$A$6:$G$9,MAX($B$3-BE552,0)+3,0)-VLOOKUP(BE$1,'פחת מים וגביה'!$A:$D,3,0),0))*BE401/BE$425)+IF(AND(BE$7="חברה מנהלת",BE15&lt;&gt;""),+VLOOKUP(BE656,'פחתי מים לרשויות מצטרפות'!$A$6:$G$10,5,0)-VLOOKUP(BE8,'פחת מים וגביה'!$A:$D,3,0),0)</f>
        <v>0</v>
      </c>
      <c r="BF574" s="1049">
        <f>(+IF(BF552&gt;=2015,MAX(VLOOKUP(BF656,'פחתי מים לרשויות מצטרפות'!$A$6:$G$9,MAX($B$3-BF552,0)+3,0)-VLOOKUP(BF$1,'פחת מים וגביה'!$A:$D,3,0),0))*BF401/BF$425)+IF(AND(BF$7="חברה מנהלת",BF15&lt;&gt;""),+VLOOKUP(BF656,'פחתי מים לרשויות מצטרפות'!$A$6:$G$10,5,0)-VLOOKUP(BF8,'פחת מים וגביה'!$A:$D,3,0),0)</f>
        <v>0</v>
      </c>
    </row>
    <row r="575" spans="1:58" x14ac:dyDescent="0.2">
      <c r="C575" s="1049">
        <f>(+IF(C553&gt;=2015,MAX(VLOOKUP(C657,'פחתי מים לרשויות מצטרפות'!$A$6:$G$9,MAX($B$3-C553,0)+3,0)-VLOOKUP(C$1,'פחת מים וגביה'!$A:$D,3,0),0))*C402/C$425)+IF(AND(C$7="חברה מנהלת",C16&lt;&gt;""),+VLOOKUP(C657,'פחתי מים לרשויות מצטרפות'!$A$6:$G$10,5,0)-VLOOKUP(C9,'פחת מים וגביה'!$A:$D,3,0),0)</f>
        <v>0</v>
      </c>
      <c r="D575" s="1049">
        <f>(+IF(D553&gt;=2015,MAX(VLOOKUP(D657,'פחתי מים לרשויות מצטרפות'!$A$6:$G$9,MAX($B$3-D553,0)+3,0)-VLOOKUP(D$1,'פחת מים וגביה'!$A:$D,3,0),0))*D402/D$425)+IF(AND(D$7="חברה מנהלת",D16&lt;&gt;""),+VLOOKUP(D657,'פחתי מים לרשויות מצטרפות'!$A$6:$G$10,5,0)-VLOOKUP(D9,'פחת מים וגביה'!$A:$D,3,0),0)</f>
        <v>0</v>
      </c>
      <c r="E575" s="1049">
        <f>(+IF(E553&gt;=2015,MAX(VLOOKUP(E657,'פחתי מים לרשויות מצטרפות'!$A$6:$G$9,MAX($B$3-E553,0)+3,0)-VLOOKUP(E$1,'פחת מים וגביה'!$A:$D,3,0),0))*E402/E$425)+IF(AND(E$7="חברה מנהלת",E16&lt;&gt;""),+VLOOKUP(E657,'פחתי מים לרשויות מצטרפות'!$A$6:$G$10,5,0)-VLOOKUP(E9,'פחת מים וגביה'!$A:$D,3,0),0)</f>
        <v>0</v>
      </c>
      <c r="F575" s="1049">
        <f>(+IF(F553&gt;=2015,MAX(VLOOKUP(F657,'פחתי מים לרשויות מצטרפות'!$A$6:$G$9,MAX($B$3-F553,0)+3,0)-VLOOKUP(F$1,'פחת מים וגביה'!$A:$D,3,0),0))*F402/F$425)+IF(AND(F$7="חברה מנהלת",F16&lt;&gt;""),+VLOOKUP(F657,'פחתי מים לרשויות מצטרפות'!$A$6:$G$10,5,0)-VLOOKUP(F9,'פחת מים וגביה'!$A:$D,3,0),0)</f>
        <v>0</v>
      </c>
      <c r="G575" s="1049">
        <f>(+IF(G553&gt;=2015,MAX(VLOOKUP(G657,'פחתי מים לרשויות מצטרפות'!$A$6:$G$9,MAX($B$3-G553,0)+3,0)-VLOOKUP(G$1,'פחת מים וגביה'!$A:$D,3,0),0))*G402/G$425)+IF(AND(G$7="חברה מנהלת",G16&lt;&gt;""),+VLOOKUP(G657,'פחתי מים לרשויות מצטרפות'!$A$6:$G$10,5,0)-VLOOKUP(G9,'פחת מים וגביה'!$A:$D,3,0),0)</f>
        <v>0</v>
      </c>
      <c r="H575" s="1049">
        <f>(+IF(H553&gt;=2015,MAX(VLOOKUP(H657,'פחתי מים לרשויות מצטרפות'!$A$6:$G$9,MAX($B$3-H553,0)+3,0)-VLOOKUP(H$1,'פחת מים וגביה'!$A:$D,3,0),0))*H402/H$425)+IF(AND(H$7="חברה מנהלת",H16&lt;&gt;""),+VLOOKUP(H657,'פחתי מים לרשויות מצטרפות'!$A$6:$G$10,5,0)-VLOOKUP(H9,'פחת מים וגביה'!$A:$D,3,0),0)</f>
        <v>0</v>
      </c>
      <c r="I575" s="1049">
        <f>(+IF(I553&gt;=2015,MAX(VLOOKUP(I657,'פחתי מים לרשויות מצטרפות'!$A$6:$G$9,MAX($B$3-I553,0)+3,0)-VLOOKUP(I$1,'פחת מים וגביה'!$A:$D,3,0),0))*I402/I$425)+IF(AND(I$7="חברה מנהלת",I16&lt;&gt;""),+VLOOKUP(I657,'פחתי מים לרשויות מצטרפות'!$A$6:$G$10,5,0)-VLOOKUP(I9,'פחת מים וגביה'!$A:$D,3,0),0)</f>
        <v>0</v>
      </c>
      <c r="J575" s="1049">
        <f>(+IF(J553&gt;=2015,MAX(VLOOKUP(J657,'פחתי מים לרשויות מצטרפות'!$A$6:$G$9,MAX($B$3-J553,0)+3,0)-VLOOKUP(J$1,'פחת מים וגביה'!$A:$D,3,0),0))*J402/J$425)+IF(AND(J$7="חברה מנהלת",J16&lt;&gt;""),+VLOOKUP(J657,'פחתי מים לרשויות מצטרפות'!$A$6:$G$10,5,0)-VLOOKUP(J9,'פחת מים וגביה'!$A:$D,3,0),0)</f>
        <v>0</v>
      </c>
      <c r="K575" s="1049">
        <f>(+IF(K553&gt;=2015,MAX(VLOOKUP(K657,'פחתי מים לרשויות מצטרפות'!$A$6:$G$9,MAX($B$3-K553,0)+3,0)-VLOOKUP(K$1,'פחת מים וגביה'!$A:$D,3,0),0))*K402/K$425)+IF(AND(K$7="חברה מנהלת",K16&lt;&gt;""),+VLOOKUP(K657,'פחתי מים לרשויות מצטרפות'!$A$6:$G$10,5,0)-VLOOKUP(K9,'פחת מים וגביה'!$A:$D,3,0),0)</f>
        <v>0</v>
      </c>
      <c r="L575" s="1049">
        <f>(+IF(L553&gt;=2015,MAX(VLOOKUP(L657,'פחתי מים לרשויות מצטרפות'!$A$6:$G$9,MAX($B$3-L553,0)+3,0)-VLOOKUP(L$1,'פחת מים וגביה'!$A:$D,3,0),0))*L402/L$425)+IF(AND(L$7="חברה מנהלת",L16&lt;&gt;""),+VLOOKUP(L657,'פחתי מים לרשויות מצטרפות'!$A$6:$G$10,5,0)-VLOOKUP(L9,'פחת מים וגביה'!$A:$D,3,0),0)</f>
        <v>0</v>
      </c>
      <c r="M575" s="1049">
        <f>(+IF(M553&gt;=2015,MAX(VLOOKUP(M657,'פחתי מים לרשויות מצטרפות'!$A$6:$G$9,MAX($B$3-M553,0)+3,0)-VLOOKUP(M$1,'פחת מים וגביה'!$A:$D,3,0),0))*M402/M$425)+IF(AND(M$7="חברה מנהלת",M16&lt;&gt;""),+VLOOKUP(M657,'פחתי מים לרשויות מצטרפות'!$A$6:$G$10,5,0)-VLOOKUP(M9,'פחת מים וגביה'!$A:$D,3,0),0)</f>
        <v>0</v>
      </c>
      <c r="N575" s="1049">
        <f>(+IF(N553&gt;=2015,MAX(VLOOKUP(N657,'פחתי מים לרשויות מצטרפות'!$A$6:$G$9,MAX($B$3-N553,0)+3,0)-VLOOKUP(N$1,'פחת מים וגביה'!$A:$D,3,0),0))*N402/N$425)+IF(AND(N$7="חברה מנהלת",N16&lt;&gt;""),+VLOOKUP(N657,'פחתי מים לרשויות מצטרפות'!$A$6:$G$10,5,0)-VLOOKUP(N9,'פחת מים וגביה'!$A:$D,3,0),0)</f>
        <v>0</v>
      </c>
      <c r="O575" s="1049">
        <f>(+IF(O553&gt;=2015,MAX(VLOOKUP(O657,'פחתי מים לרשויות מצטרפות'!$A$6:$G$9,MAX($B$3-O553,0)+3,0)-VLOOKUP(O$1,'פחת מים וגביה'!$A:$D,3,0),0))*O402/O$425)+IF(AND(O$7="חברה מנהלת",O16&lt;&gt;""),+VLOOKUP(O657,'פחתי מים לרשויות מצטרפות'!$A$6:$G$10,5,0)-VLOOKUP(O9,'פחת מים וגביה'!$A:$D,3,0),0)</f>
        <v>0</v>
      </c>
      <c r="P575" s="1049">
        <f>(+IF(P553&gt;=2015,MAX(VLOOKUP(P657,'פחתי מים לרשויות מצטרפות'!$A$6:$G$9,MAX($B$3-P553,0)+3,0)-VLOOKUP(P$1,'פחת מים וגביה'!$A:$D,3,0),0))*P402/P$425)+IF(AND(P$7="חברה מנהלת",P16&lt;&gt;""),+VLOOKUP(P657,'פחתי מים לרשויות מצטרפות'!$A$6:$G$10,5,0)-VLOOKUP(P9,'פחת מים וגביה'!$A:$D,3,0),0)</f>
        <v>0</v>
      </c>
      <c r="Q575" s="1049">
        <f>(+IF(Q553&gt;=2015,MAX(VLOOKUP(Q657,'פחתי מים לרשויות מצטרפות'!$A$6:$G$9,MAX($B$3-Q553,0)+3,0)-VLOOKUP(Q$1,'פחת מים וגביה'!$A:$D,3,0),0))*Q402/Q$425)+IF(AND(Q$7="חברה מנהלת",Q16&lt;&gt;""),+VLOOKUP(Q657,'פחתי מים לרשויות מצטרפות'!$A$6:$G$10,5,0)-VLOOKUP(Q9,'פחת מים וגביה'!$A:$D,3,0),0)</f>
        <v>0</v>
      </c>
      <c r="R575" s="1049">
        <f>(+IF(R553&gt;=2015,MAX(VLOOKUP(R657,'פחתי מים לרשויות מצטרפות'!$A$6:$G$9,MAX($B$3-R553,0)+3,0)-VLOOKUP(R$1,'פחת מים וגביה'!$A:$D,3,0),0))*R402/R$425)+IF(AND(R$7="חברה מנהלת",R16&lt;&gt;""),+VLOOKUP(R657,'פחתי מים לרשויות מצטרפות'!$A$6:$G$10,5,0)-VLOOKUP(R9,'פחת מים וגביה'!$A:$D,3,0),0)</f>
        <v>0</v>
      </c>
      <c r="S575" s="1049">
        <f>(+IF(S553&gt;=2015,MAX(VLOOKUP(S657,'פחתי מים לרשויות מצטרפות'!$A$6:$G$9,MAX($B$3-S553,0)+3,0)-VLOOKUP(S$1,'פחת מים וגביה'!$A:$D,3,0),0))*S402/S$425)+IF(AND(S$7="חברה מנהלת",S16&lt;&gt;""),+VLOOKUP(S657,'פחתי מים לרשויות מצטרפות'!$A$6:$G$10,5,0)-VLOOKUP(S9,'פחת מים וגביה'!$A:$D,3,0),0)</f>
        <v>0</v>
      </c>
      <c r="T575" s="1049">
        <f>(+IF(T553&gt;=2015,MAX(VLOOKUP(T657,'פחתי מים לרשויות מצטרפות'!$A$6:$G$9,MAX($B$3-T553,0)+3,0)-VLOOKUP(T$1,'פחת מים וגביה'!$A:$D,3,0),0))*T402/T$425)+IF(AND(T$7="חברה מנהלת",T16&lt;&gt;""),+VLOOKUP(T657,'פחתי מים לרשויות מצטרפות'!$A$6:$G$10,5,0)-VLOOKUP(T9,'פחת מים וגביה'!$A:$D,3,0),0)</f>
        <v>0</v>
      </c>
      <c r="U575" s="1049">
        <f>(+IF(U553&gt;=2015,MAX(VLOOKUP(U657,'פחתי מים לרשויות מצטרפות'!$A$6:$G$9,MAX($B$3-U553,0)+3,0)-VLOOKUP(U$1,'פחת מים וגביה'!$A:$D,3,0),0))*U402/U$425)+IF(AND(U$7="חברה מנהלת",U16&lt;&gt;""),+VLOOKUP(U657,'פחתי מים לרשויות מצטרפות'!$A$6:$G$10,5,0)-VLOOKUP(U9,'פחת מים וגביה'!$A:$D,3,0),0)</f>
        <v>0</v>
      </c>
      <c r="V575" s="1049">
        <f>(+IF(V553&gt;=2015,MAX(VLOOKUP(V657,'פחתי מים לרשויות מצטרפות'!$A$6:$G$9,MAX($B$3-V553,0)+3,0)-VLOOKUP(V$1,'פחת מים וגביה'!$A:$D,3,0),0))*V402/V$425)+IF(AND(V$7="חברה מנהלת",V16&lt;&gt;""),+VLOOKUP(V657,'פחתי מים לרשויות מצטרפות'!$A$6:$G$10,5,0)-VLOOKUP(V9,'פחת מים וגביה'!$A:$D,3,0),0)</f>
        <v>0</v>
      </c>
      <c r="W575" s="1049">
        <f>(+IF(W553&gt;=2015,MAX(VLOOKUP(W657,'פחתי מים לרשויות מצטרפות'!$A$6:$G$9,MAX($B$3-W553,0)+3,0)-VLOOKUP(W$1,'פחת מים וגביה'!$A:$D,3,0),0))*W402/W$425)+IF(AND(W$7="חברה מנהלת",W16&lt;&gt;""),+VLOOKUP(W657,'פחתי מים לרשויות מצטרפות'!$A$6:$G$10,5,0)-VLOOKUP(W9,'פחת מים וגביה'!$A:$D,3,0),0)</f>
        <v>0</v>
      </c>
      <c r="X575" s="1049">
        <f>(+IF(X553&gt;=2015,MAX(VLOOKUP(X657,'פחתי מים לרשויות מצטרפות'!$A$6:$G$9,MAX($B$3-X553,0)+3,0)-VLOOKUP(X$1,'פחת מים וגביה'!$A:$D,3,0),0))*X402/X$425)+IF(AND(X$7="חברה מנהלת",X16&lt;&gt;""),+VLOOKUP(X657,'פחתי מים לרשויות מצטרפות'!$A$6:$G$10,5,0)-VLOOKUP(X9,'פחת מים וגביה'!$A:$D,3,0),0)</f>
        <v>0</v>
      </c>
      <c r="Y575" s="1049">
        <f>(+IF(Y553&gt;=2015,MAX(VLOOKUP(Y657,'פחתי מים לרשויות מצטרפות'!$A$6:$G$9,MAX($B$3-Y553,0)+3,0)-VLOOKUP(Y$1,'פחת מים וגביה'!$A:$D,3,0),0))*Y402/Y$425)+IF(AND(Y$7="חברה מנהלת",Y16&lt;&gt;""),+VLOOKUP(Y657,'פחתי מים לרשויות מצטרפות'!$A$6:$G$10,5,0)-VLOOKUP(Y9,'פחת מים וגביה'!$A:$D,3,0),0)</f>
        <v>0</v>
      </c>
      <c r="Z575" s="1049">
        <f>(+IF(Z553&gt;=2015,MAX(VLOOKUP(Z657,'פחתי מים לרשויות מצטרפות'!$A$6:$G$9,MAX($B$3-Z553,0)+3,0)-VLOOKUP(Z$1,'פחת מים וגביה'!$A:$D,3,0),0))*Z402/Z$425)+IF(AND(Z$7="חברה מנהלת",Z16&lt;&gt;""),+VLOOKUP(Z657,'פחתי מים לרשויות מצטרפות'!$A$6:$G$10,5,0)-VLOOKUP(Z9,'פחת מים וגביה'!$A:$D,3,0),0)</f>
        <v>0</v>
      </c>
      <c r="AA575" s="1049">
        <f>(+IF(AA553&gt;=2015,MAX(VLOOKUP(AA657,'פחתי מים לרשויות מצטרפות'!$A$6:$G$9,MAX($B$3-AA553,0)+3,0)-VLOOKUP(AA$1,'פחת מים וגביה'!$A:$D,3,0),0))*AA402/AA$425)+IF(AND(AA$7="חברה מנהלת",AA16&lt;&gt;""),+VLOOKUP(AA657,'פחתי מים לרשויות מצטרפות'!$A$6:$G$10,5,0)-VLOOKUP(AA9,'פחת מים וגביה'!$A:$D,3,0),0)</f>
        <v>0</v>
      </c>
      <c r="AB575" s="1049">
        <f>(+IF(AB553&gt;=2015,MAX(VLOOKUP(AB657,'פחתי מים לרשויות מצטרפות'!$A$6:$G$9,MAX($B$3-AB553,0)+3,0)-VLOOKUP(AB$1,'פחת מים וגביה'!$A:$D,3,0),0))*AB402/AB$425)+IF(AND(AB$7="חברה מנהלת",AB16&lt;&gt;""),+VLOOKUP(AB657,'פחתי מים לרשויות מצטרפות'!$A$6:$G$10,5,0)-VLOOKUP(AB9,'פחת מים וגביה'!$A:$D,3,0),0)</f>
        <v>0</v>
      </c>
      <c r="AC575" s="1049">
        <f>(+IF(AC553&gt;=2015,MAX(VLOOKUP(AC657,'פחתי מים לרשויות מצטרפות'!$A$6:$G$9,MAX($B$3-AC553,0)+3,0)-VLOOKUP(AC$1,'פחת מים וגביה'!$A:$D,3,0),0))*AC402/AC$425)+IF(AND(AC$7="חברה מנהלת",AC16&lt;&gt;""),+VLOOKUP(AC657,'פחתי מים לרשויות מצטרפות'!$A$6:$G$10,5,0)-VLOOKUP(AC9,'פחת מים וגביה'!$A:$D,3,0),0)</f>
        <v>0</v>
      </c>
      <c r="AD575" s="1049">
        <f>(+IF(AD553&gt;=2015,MAX(VLOOKUP(AD657,'פחתי מים לרשויות מצטרפות'!$A$6:$G$9,MAX($B$3-AD553,0)+3,0)-VLOOKUP(AD$1,'פחת מים וגביה'!$A:$D,3,0),0))*AD402/AD$425)+IF(AND(AD$7="חברה מנהלת",AD16&lt;&gt;""),+VLOOKUP(AD657,'פחתי מים לרשויות מצטרפות'!$A$6:$G$10,5,0)-VLOOKUP(AD9,'פחת מים וגביה'!$A:$D,3,0),0)</f>
        <v>0</v>
      </c>
      <c r="AE575" s="1049">
        <f>(+IF(AE553&gt;=2015,MAX(VLOOKUP(AE657,'פחתי מים לרשויות מצטרפות'!$A$6:$G$9,MAX($B$3-AE553,0)+3,0)-VLOOKUP(AE$1,'פחת מים וגביה'!$A:$D,3,0),0))*AE402/AE$425)+IF(AND(AE$7="חברה מנהלת",AE16&lt;&gt;""),+VLOOKUP(AE657,'פחתי מים לרשויות מצטרפות'!$A$6:$G$10,5,0)-VLOOKUP(AE9,'פחת מים וגביה'!$A:$D,3,0),0)</f>
        <v>0</v>
      </c>
      <c r="AF575" s="1049">
        <f>(+IF(AF553&gt;=2015,MAX(VLOOKUP(AF657,'פחתי מים לרשויות מצטרפות'!$A$6:$G$9,MAX($B$3-AF553,0)+3,0)-VLOOKUP(AF$1,'פחת מים וגביה'!$A:$D,3,0),0))*AF402/AF$425)+IF(AND(AF$7="חברה מנהלת",AF16&lt;&gt;""),+VLOOKUP(AF657,'פחתי מים לרשויות מצטרפות'!$A$6:$G$10,5,0)-VLOOKUP(AF9,'פחת מים וגביה'!$A:$D,3,0),0)</f>
        <v>0</v>
      </c>
      <c r="AG575" s="1049">
        <f>(+IF(AG553&gt;=2015,MAX(VLOOKUP(AG657,'פחתי מים לרשויות מצטרפות'!$A$6:$G$9,MAX($B$3-AG553,0)+3,0)-VLOOKUP(AG$1,'פחת מים וגביה'!$A:$D,3,0),0))*AG402/AG$425)+IF(AND(AG$7="חברה מנהלת",AG16&lt;&gt;""),+VLOOKUP(AG657,'פחתי מים לרשויות מצטרפות'!$A$6:$G$10,5,0)-VLOOKUP(AG9,'פחת מים וגביה'!$A:$D,3,0),0)</f>
        <v>0</v>
      </c>
      <c r="AH575" s="1049">
        <f>(+IF(AH553&gt;=2015,MAX(VLOOKUP(AH657,'פחתי מים לרשויות מצטרפות'!$A$6:$G$9,MAX($B$3-AH553,0)+3,0)-VLOOKUP(AH$1,'פחת מים וגביה'!$A:$D,3,0),0))*AH402/AH$425)+IF(AND(AH$7="חברה מנהלת",AH16&lt;&gt;""),+VLOOKUP(AH657,'פחתי מים לרשויות מצטרפות'!$A$6:$G$10,5,0)-VLOOKUP(AH9,'פחת מים וגביה'!$A:$D,3,0),0)</f>
        <v>0</v>
      </c>
      <c r="AI575" s="1049">
        <f>(+IF(AI553&gt;=2015,MAX(VLOOKUP(AI657,'פחתי מים לרשויות מצטרפות'!$A$6:$G$9,MAX($B$3-AI553,0)+3,0)-VLOOKUP(AI$1,'פחת מים וגביה'!$A:$D,3,0),0))*AI402/AI$425)+IF(AND(AI$7="חברה מנהלת",AI16&lt;&gt;""),+VLOOKUP(AI657,'פחתי מים לרשויות מצטרפות'!$A$6:$G$10,5,0)-VLOOKUP(AI9,'פחת מים וגביה'!$A:$D,3,0),0)</f>
        <v>0</v>
      </c>
      <c r="AJ575" s="1049">
        <f>(+IF(AJ553&gt;=2015,MAX(VLOOKUP(AJ657,'פחתי מים לרשויות מצטרפות'!$A$6:$G$9,MAX($B$3-AJ553,0)+3,0)-VLOOKUP(AJ$1,'פחת מים וגביה'!$A:$D,3,0),0))*AJ402/AJ$425)+IF(AND(AJ$7="חברה מנהלת",AJ16&lt;&gt;""),+VLOOKUP(AJ657,'פחתי מים לרשויות מצטרפות'!$A$6:$G$10,5,0)-VLOOKUP(AJ9,'פחת מים וגביה'!$A:$D,3,0),0)</f>
        <v>0</v>
      </c>
      <c r="AK575" s="1049">
        <f>(+IF(AK553&gt;=2015,MAX(VLOOKUP(AK657,'פחתי מים לרשויות מצטרפות'!$A$6:$G$9,MAX($B$3-AK553,0)+3,0)-VLOOKUP(AK$1,'פחת מים וגביה'!$A:$D,3,0),0))*AK402/AK$425)+IF(AND(AK$7="חברה מנהלת",AK16&lt;&gt;""),+VLOOKUP(AK657,'פחתי מים לרשויות מצטרפות'!$A$6:$G$10,5,0)-VLOOKUP(AK9,'פחת מים וגביה'!$A:$D,3,0),0)</f>
        <v>0</v>
      </c>
      <c r="AL575" s="1049">
        <f>(+IF(AL553&gt;=2015,MAX(VLOOKUP(AL657,'פחתי מים לרשויות מצטרפות'!$A$6:$G$9,MAX($B$3-AL553,0)+3,0)-VLOOKUP(AL$1,'פחת מים וגביה'!$A:$D,3,0),0))*AL402/AL$425)+IF(AND(AL$7="חברה מנהלת",AL16&lt;&gt;""),+VLOOKUP(AL657,'פחתי מים לרשויות מצטרפות'!$A$6:$G$10,5,0)-VLOOKUP(AL9,'פחת מים וגביה'!$A:$D,3,0),0)</f>
        <v>0</v>
      </c>
      <c r="AM575" s="1049">
        <f>(+IF(AM553&gt;=2015,MAX(VLOOKUP(AM657,'פחתי מים לרשויות מצטרפות'!$A$6:$G$9,MAX($B$3-AM553,0)+3,0)-VLOOKUP(AM$1,'פחת מים וגביה'!$A:$D,3,0),0))*AM402/AM$425)+IF(AND(AM$7="חברה מנהלת",AM16&lt;&gt;""),+VLOOKUP(AM657,'פחתי מים לרשויות מצטרפות'!$A$6:$G$10,5,0)-VLOOKUP(AM9,'פחת מים וגביה'!$A:$D,3,0),0)</f>
        <v>0</v>
      </c>
      <c r="AN575" s="1049">
        <f>(+IF(AN553&gt;=2015,MAX(VLOOKUP(AN657,'פחתי מים לרשויות מצטרפות'!$A$6:$G$9,MAX($B$3-AN553,0)+3,0)-VLOOKUP(AN$1,'פחת מים וגביה'!$A:$D,3,0),0))*AN402/AN$425)+IF(AND(AN$7="חברה מנהלת",AN16&lt;&gt;""),+VLOOKUP(AN657,'פחתי מים לרשויות מצטרפות'!$A$6:$G$10,5,0)-VLOOKUP(AN9,'פחת מים וגביה'!$A:$D,3,0),0)</f>
        <v>0</v>
      </c>
      <c r="AO575" s="1049">
        <f>(+IF(AO553&gt;=2015,MAX(VLOOKUP(AO657,'פחתי מים לרשויות מצטרפות'!$A$6:$G$9,MAX($B$3-AO553,0)+3,0)-VLOOKUP(AO$1,'פחת מים וגביה'!$A:$D,3,0),0))*AO402/AO$425)+IF(AND(AO$7="חברה מנהלת",AO16&lt;&gt;""),+VLOOKUP(AO657,'פחתי מים לרשויות מצטרפות'!$A$6:$G$10,5,0)-VLOOKUP(AO9,'פחת מים וגביה'!$A:$D,3,0),0)</f>
        <v>0</v>
      </c>
      <c r="AP575" s="1049">
        <f>(+IF(AP553&gt;=2015,MAX(VLOOKUP(AP657,'פחתי מים לרשויות מצטרפות'!$A$6:$G$9,MAX($B$3-AP553,0)+3,0)-VLOOKUP(AP$1,'פחת מים וגביה'!$A:$D,3,0),0))*AP402/AP$425)+IF(AND(AP$7="חברה מנהלת",AP16&lt;&gt;""),+VLOOKUP(AP657,'פחתי מים לרשויות מצטרפות'!$A$6:$G$10,5,0)-VLOOKUP(AP9,'פחת מים וגביה'!$A:$D,3,0),0)</f>
        <v>0</v>
      </c>
      <c r="AQ575" s="1049">
        <f>(+IF(AQ553&gt;=2015,MAX(VLOOKUP(AQ657,'פחתי מים לרשויות מצטרפות'!$A$6:$G$9,MAX($B$3-AQ553,0)+3,0)-VLOOKUP(AQ$1,'פחת מים וגביה'!$A:$D,3,0),0))*AQ402/AQ$425)+IF(AND(AQ$7="חברה מנהלת",AQ16&lt;&gt;""),+VLOOKUP(AQ657,'פחתי מים לרשויות מצטרפות'!$A$6:$G$10,5,0)-VLOOKUP(AQ9,'פחת מים וגביה'!$A:$D,3,0),0)</f>
        <v>0</v>
      </c>
      <c r="AR575" s="1049">
        <f>(+IF(AR553&gt;=2015,MAX(VLOOKUP(AR657,'פחתי מים לרשויות מצטרפות'!$A$6:$G$9,MAX($B$3-AR553,0)+3,0)-VLOOKUP(AR$1,'פחת מים וגביה'!$A:$D,3,0),0))*AR402/AR$425)+IF(AND(AR$7="חברה מנהלת",AR16&lt;&gt;""),+VLOOKUP(AR657,'פחתי מים לרשויות מצטרפות'!$A$6:$G$10,5,0)-VLOOKUP(AR9,'פחת מים וגביה'!$A:$D,3,0),0)</f>
        <v>0</v>
      </c>
      <c r="AS575" s="1049">
        <f>(+IF(AS553&gt;=2015,MAX(VLOOKUP(AS657,'פחתי מים לרשויות מצטרפות'!$A$6:$G$9,MAX($B$3-AS553,0)+3,0)-VLOOKUP(AS$1,'פחת מים וגביה'!$A:$D,3,0),0))*AS402/AS$425)+IF(AND(AS$7="חברה מנהלת",AS16&lt;&gt;""),+VLOOKUP(AS657,'פחתי מים לרשויות מצטרפות'!$A$6:$G$10,5,0)-VLOOKUP(AS9,'פחת מים וגביה'!$A:$D,3,0),0)</f>
        <v>0</v>
      </c>
      <c r="AT575" s="1049">
        <f>(+IF(AT553&gt;=2015,MAX(VLOOKUP(AT657,'פחתי מים לרשויות מצטרפות'!$A$6:$G$9,MAX($B$3-AT553,0)+3,0)-VLOOKUP(AT$1,'פחת מים וגביה'!$A:$D,3,0),0))*AT402/AT$425)+IF(AND(AT$7="חברה מנהלת",AT16&lt;&gt;""),+VLOOKUP(AT657,'פחתי מים לרשויות מצטרפות'!$A$6:$G$10,5,0)-VLOOKUP(AT9,'פחת מים וגביה'!$A:$D,3,0),0)</f>
        <v>0</v>
      </c>
      <c r="AU575" s="1049">
        <f>(+IF(AU553&gt;=2015,MAX(VLOOKUP(AU657,'פחתי מים לרשויות מצטרפות'!$A$6:$G$9,MAX($B$3-AU553,0)+3,0)-VLOOKUP(AU$1,'פחת מים וגביה'!$A:$D,3,0),0))*AU402/AU$425)+IF(AND(AU$7="חברה מנהלת",AU16&lt;&gt;""),+VLOOKUP(AU657,'פחתי מים לרשויות מצטרפות'!$A$6:$G$10,5,0)-VLOOKUP(AU9,'פחת מים וגביה'!$A:$D,3,0),0)</f>
        <v>0</v>
      </c>
      <c r="AV575" s="1049">
        <f>(+IF(AV553&gt;=2015,MAX(VLOOKUP(AV657,'פחתי מים לרשויות מצטרפות'!$A$6:$G$9,MAX($B$3-AV553,0)+3,0)-VLOOKUP(AV$1,'פחת מים וגביה'!$A:$D,3,0),0))*AV402/AV$425)+IF(AND(AV$7="חברה מנהלת",AV16&lt;&gt;""),+VLOOKUP(AV657,'פחתי מים לרשויות מצטרפות'!$A$6:$G$10,5,0)-VLOOKUP(AV9,'פחת מים וגביה'!$A:$D,3,0),0)</f>
        <v>0</v>
      </c>
      <c r="AW575" s="1049">
        <f>(+IF(AW553&gt;=2015,MAX(VLOOKUP(AW657,'פחתי מים לרשויות מצטרפות'!$A$6:$G$9,MAX($B$3-AW553,0)+3,0)-VLOOKUP(AW$1,'פחת מים וגביה'!$A:$D,3,0),0))*AW402/AW$425)+IF(AND(AW$7="חברה מנהלת",AW16&lt;&gt;""),+VLOOKUP(AW657,'פחתי מים לרשויות מצטרפות'!$A$6:$G$10,5,0)-VLOOKUP(AW9,'פחת מים וגביה'!$A:$D,3,0),0)</f>
        <v>0</v>
      </c>
      <c r="AX575" s="1049">
        <f>(+IF(AX553&gt;=2015,MAX(VLOOKUP(AX657,'פחתי מים לרשויות מצטרפות'!$A$6:$G$9,MAX($B$3-AX553,0)+3,0)-VLOOKUP(AX$1,'פחת מים וגביה'!$A:$D,3,0),0))*AX402/AX$425)+IF(AND(AX$7="חברה מנהלת",AX16&lt;&gt;""),+VLOOKUP(AX657,'פחתי מים לרשויות מצטרפות'!$A$6:$G$10,5,0)-VLOOKUP(AX9,'פחת מים וגביה'!$A:$D,3,0),0)</f>
        <v>0</v>
      </c>
      <c r="AY575" s="1049">
        <f>(+IF(AY553&gt;=2015,MAX(VLOOKUP(AY657,'פחתי מים לרשויות מצטרפות'!$A$6:$G$9,MAX($B$3-AY553,0)+3,0)-VLOOKUP(AY$1,'פחת מים וגביה'!$A:$D,3,0),0))*AY402/AY$425)+IF(AND(AY$7="חברה מנהלת",AY16&lt;&gt;""),+VLOOKUP(AY657,'פחתי מים לרשויות מצטרפות'!$A$6:$G$10,5,0)-VLOOKUP(AY9,'פחת מים וגביה'!$A:$D,3,0),0)</f>
        <v>0</v>
      </c>
      <c r="AZ575" s="1049">
        <f>(+IF(AZ553&gt;=2015,MAX(VLOOKUP(AZ657,'פחתי מים לרשויות מצטרפות'!$A$6:$G$9,MAX($B$3-AZ553,0)+3,0)-VLOOKUP(AZ$1,'פחת מים וגביה'!$A:$D,3,0),0))*AZ402/AZ$425)+IF(AND(AZ$7="חברה מנהלת",AZ16&lt;&gt;""),+VLOOKUP(AZ657,'פחתי מים לרשויות מצטרפות'!$A$6:$G$10,5,0)-VLOOKUP(AZ9,'פחת מים וגביה'!$A:$D,3,0),0)</f>
        <v>0</v>
      </c>
      <c r="BA575" s="1049">
        <f>(+IF(BA553&gt;=2015,MAX(VLOOKUP(BA657,'פחתי מים לרשויות מצטרפות'!$A$6:$G$9,MAX($B$3-BA553,0)+3,0)-VLOOKUP(BA$1,'פחת מים וגביה'!$A:$D,3,0),0))*BA402/BA$425)+IF(AND(BA$7="חברה מנהלת",BA16&lt;&gt;""),+VLOOKUP(BA657,'פחתי מים לרשויות מצטרפות'!$A$6:$G$10,5,0)-VLOOKUP(BA9,'פחת מים וגביה'!$A:$D,3,0),0)</f>
        <v>0</v>
      </c>
      <c r="BB575" s="1049">
        <f>(+IF(BB553&gt;=2015,MAX(VLOOKUP(BB657,'פחתי מים לרשויות מצטרפות'!$A$6:$G$9,MAX($B$3-BB553,0)+3,0)-VLOOKUP(BB$1,'פחת מים וגביה'!$A:$D,3,0),0))*BB402/BB$425)+IF(AND(BB$7="חברה מנהלת",BB16&lt;&gt;""),+VLOOKUP(BB657,'פחתי מים לרשויות מצטרפות'!$A$6:$G$10,5,0)-VLOOKUP(BB9,'פחת מים וגביה'!$A:$D,3,0),0)</f>
        <v>0</v>
      </c>
      <c r="BC575" s="1049">
        <f>(+IF(BC553&gt;=2015,MAX(VLOOKUP(BC657,'פחתי מים לרשויות מצטרפות'!$A$6:$G$9,MAX($B$3-BC553,0)+3,0)-VLOOKUP(BC$1,'פחת מים וגביה'!$A:$D,3,0),0))*BC402/BC$425)+IF(AND(BC$7="חברה מנהלת",BC16&lt;&gt;""),+VLOOKUP(BC657,'פחתי מים לרשויות מצטרפות'!$A$6:$G$10,5,0)-VLOOKUP(BC9,'פחת מים וגביה'!$A:$D,3,0),0)</f>
        <v>0</v>
      </c>
      <c r="BD575" s="1049">
        <f>(+IF(BD553&gt;=2015,MAX(VLOOKUP(BD657,'פחתי מים לרשויות מצטרפות'!$A$6:$G$9,MAX($B$3-BD553,0)+3,0)-VLOOKUP(BD$1,'פחת מים וגביה'!$A:$D,3,0),0))*BD402/BD$425)+IF(AND(BD$7="חברה מנהלת",BD16&lt;&gt;""),+VLOOKUP(BD657,'פחתי מים לרשויות מצטרפות'!$A$6:$G$10,5,0)-VLOOKUP(BD9,'פחת מים וגביה'!$A:$D,3,0),0)</f>
        <v>0</v>
      </c>
      <c r="BE575" s="1049">
        <f>(+IF(BE553&gt;=2015,MAX(VLOOKUP(BE657,'פחתי מים לרשויות מצטרפות'!$A$6:$G$9,MAX($B$3-BE553,0)+3,0)-VLOOKUP(BE$1,'פחת מים וגביה'!$A:$D,3,0),0))*BE402/BE$425)+IF(AND(BE$7="חברה מנהלת",BE16&lt;&gt;""),+VLOOKUP(BE657,'פחתי מים לרשויות מצטרפות'!$A$6:$G$10,5,0)-VLOOKUP(BE9,'פחת מים וגביה'!$A:$D,3,0),0)</f>
        <v>0</v>
      </c>
      <c r="BF575" s="1049">
        <f>(+IF(BF553&gt;=2015,MAX(VLOOKUP(BF657,'פחתי מים לרשויות מצטרפות'!$A$6:$G$9,MAX($B$3-BF553,0)+3,0)-VLOOKUP(BF$1,'פחת מים וגביה'!$A:$D,3,0),0))*BF402/BF$425)+IF(AND(BF$7="חברה מנהלת",BF16&lt;&gt;""),+VLOOKUP(BF657,'פחתי מים לרשויות מצטרפות'!$A$6:$G$10,5,0)-VLOOKUP(BF9,'פחת מים וגביה'!$A:$D,3,0),0)</f>
        <v>0</v>
      </c>
    </row>
    <row r="576" spans="1:58" x14ac:dyDescent="0.2">
      <c r="C576" s="1049">
        <f>(+IF(C554&gt;=2015,MAX(VLOOKUP(C658,'פחתי מים לרשויות מצטרפות'!$A$6:$G$9,MAX($B$3-C554,0)+3,0)-VLOOKUP(C$1,'פחת מים וגביה'!$A:$D,3,0),0))*C403/C$425)+IF(AND(C$7="חברה מנהלת",C17&lt;&gt;""),+VLOOKUP(C658,'פחתי מים לרשויות מצטרפות'!$A$6:$G$10,5,0)-VLOOKUP(C10,'פחת מים וגביה'!$A:$D,3,0),0)</f>
        <v>0</v>
      </c>
      <c r="D576" s="1049">
        <f>(+IF(D554&gt;=2015,MAX(VLOOKUP(D658,'פחתי מים לרשויות מצטרפות'!$A$6:$G$9,MAX($B$3-D554,0)+3,0)-VLOOKUP(D$1,'פחת מים וגביה'!$A:$D,3,0),0))*D403/D$425)+IF(AND(D$7="חברה מנהלת",D17&lt;&gt;""),+VLOOKUP(D658,'פחתי מים לרשויות מצטרפות'!$A$6:$G$10,5,0)-VLOOKUP(D10,'פחת מים וגביה'!$A:$D,3,0),0)</f>
        <v>0</v>
      </c>
      <c r="E576" s="1049">
        <f>(+IF(E554&gt;=2015,MAX(VLOOKUP(E658,'פחתי מים לרשויות מצטרפות'!$A$6:$G$9,MAX($B$3-E554,0)+3,0)-VLOOKUP(E$1,'פחת מים וגביה'!$A:$D,3,0),0))*E403/E$425)+IF(AND(E$7="חברה מנהלת",E17&lt;&gt;""),+VLOOKUP(E658,'פחתי מים לרשויות מצטרפות'!$A$6:$G$10,5,0)-VLOOKUP(E10,'פחת מים וגביה'!$A:$D,3,0),0)</f>
        <v>0</v>
      </c>
      <c r="F576" s="1049">
        <f>(+IF(F554&gt;=2015,MAX(VLOOKUP(F658,'פחתי מים לרשויות מצטרפות'!$A$6:$G$9,MAX($B$3-F554,0)+3,0)-VLOOKUP(F$1,'פחת מים וגביה'!$A:$D,3,0),0))*F403/F$425)+IF(AND(F$7="חברה מנהלת",F17&lt;&gt;""),+VLOOKUP(F658,'פחתי מים לרשויות מצטרפות'!$A$6:$G$10,5,0)-VLOOKUP(F10,'פחת מים וגביה'!$A:$D,3,0),0)</f>
        <v>0</v>
      </c>
      <c r="G576" s="1049">
        <f>(+IF(G554&gt;=2015,MAX(VLOOKUP(G658,'פחתי מים לרשויות מצטרפות'!$A$6:$G$9,MAX($B$3-G554,0)+3,0)-VLOOKUP(G$1,'פחת מים וגביה'!$A:$D,3,0),0))*G403/G$425)+IF(AND(G$7="חברה מנהלת",G17&lt;&gt;""),+VLOOKUP(G658,'פחתי מים לרשויות מצטרפות'!$A$6:$G$10,5,0)-VLOOKUP(G10,'פחת מים וגביה'!$A:$D,3,0),0)</f>
        <v>0</v>
      </c>
      <c r="H576" s="1049">
        <f>(+IF(H554&gt;=2015,MAX(VLOOKUP(H658,'פחתי מים לרשויות מצטרפות'!$A$6:$G$9,MAX($B$3-H554,0)+3,0)-VLOOKUP(H$1,'פחת מים וגביה'!$A:$D,3,0),0))*H403/H$425)+IF(AND(H$7="חברה מנהלת",H17&lt;&gt;""),+VLOOKUP(H658,'פחתי מים לרשויות מצטרפות'!$A$6:$G$10,5,0)-VLOOKUP(H10,'פחת מים וגביה'!$A:$D,3,0),0)</f>
        <v>0</v>
      </c>
      <c r="I576" s="1049">
        <f>(+IF(I554&gt;=2015,MAX(VLOOKUP(I658,'פחתי מים לרשויות מצטרפות'!$A$6:$G$9,MAX($B$3-I554,0)+3,0)-VLOOKUP(I$1,'פחת מים וגביה'!$A:$D,3,0),0))*I403/I$425)+IF(AND(I$7="חברה מנהלת",I17&lt;&gt;""),+VLOOKUP(I658,'פחתי מים לרשויות מצטרפות'!$A$6:$G$10,5,0)-VLOOKUP(I10,'פחת מים וגביה'!$A:$D,3,0),0)</f>
        <v>0</v>
      </c>
      <c r="J576" s="1049">
        <f>(+IF(J554&gt;=2015,MAX(VLOOKUP(J658,'פחתי מים לרשויות מצטרפות'!$A$6:$G$9,MAX($B$3-J554,0)+3,0)-VLOOKUP(J$1,'פחת מים וגביה'!$A:$D,3,0),0))*J403/J$425)+IF(AND(J$7="חברה מנהלת",J17&lt;&gt;""),+VLOOKUP(J658,'פחתי מים לרשויות מצטרפות'!$A$6:$G$10,5,0)-VLOOKUP(J10,'פחת מים וגביה'!$A:$D,3,0),0)</f>
        <v>0</v>
      </c>
      <c r="K576" s="1049">
        <f>(+IF(K554&gt;=2015,MAX(VLOOKUP(K658,'פחתי מים לרשויות מצטרפות'!$A$6:$G$9,MAX($B$3-K554,0)+3,0)-VLOOKUP(K$1,'פחת מים וגביה'!$A:$D,3,0),0))*K403/K$425)+IF(AND(K$7="חברה מנהלת",K17&lt;&gt;""),+VLOOKUP(K658,'פחתי מים לרשויות מצטרפות'!$A$6:$G$10,5,0)-VLOOKUP(K10,'פחת מים וגביה'!$A:$D,3,0),0)</f>
        <v>0</v>
      </c>
      <c r="L576" s="1049">
        <f>(+IF(L554&gt;=2015,MAX(VLOOKUP(L658,'פחתי מים לרשויות מצטרפות'!$A$6:$G$9,MAX($B$3-L554,0)+3,0)-VLOOKUP(L$1,'פחת מים וגביה'!$A:$D,3,0),0))*L403/L$425)+IF(AND(L$7="חברה מנהלת",L17&lt;&gt;""),+VLOOKUP(L658,'פחתי מים לרשויות מצטרפות'!$A$6:$G$10,5,0)-VLOOKUP(L10,'פחת מים וגביה'!$A:$D,3,0),0)</f>
        <v>0</v>
      </c>
      <c r="M576" s="1049">
        <f>(+IF(M554&gt;=2015,MAX(VLOOKUP(M658,'פחתי מים לרשויות מצטרפות'!$A$6:$G$9,MAX($B$3-M554,0)+3,0)-VLOOKUP(M$1,'פחת מים וגביה'!$A:$D,3,0),0))*M403/M$425)+IF(AND(M$7="חברה מנהלת",M17&lt;&gt;""),+VLOOKUP(M658,'פחתי מים לרשויות מצטרפות'!$A$6:$G$10,5,0)-VLOOKUP(M10,'פחת מים וגביה'!$A:$D,3,0),0)</f>
        <v>0</v>
      </c>
      <c r="N576" s="1049">
        <f>(+IF(N554&gt;=2015,MAX(VLOOKUP(N658,'פחתי מים לרשויות מצטרפות'!$A$6:$G$9,MAX($B$3-N554,0)+3,0)-VLOOKUP(N$1,'פחת מים וגביה'!$A:$D,3,0),0))*N403/N$425)+IF(AND(N$7="חברה מנהלת",N17&lt;&gt;""),+VLOOKUP(N658,'פחתי מים לרשויות מצטרפות'!$A$6:$G$10,5,0)-VLOOKUP(N10,'פחת מים וגביה'!$A:$D,3,0),0)</f>
        <v>0</v>
      </c>
      <c r="O576" s="1049">
        <f>(+IF(O554&gt;=2015,MAX(VLOOKUP(O658,'פחתי מים לרשויות מצטרפות'!$A$6:$G$9,MAX($B$3-O554,0)+3,0)-VLOOKUP(O$1,'פחת מים וגביה'!$A:$D,3,0),0))*O403/O$425)+IF(AND(O$7="חברה מנהלת",O17&lt;&gt;""),+VLOOKUP(O658,'פחתי מים לרשויות מצטרפות'!$A$6:$G$10,5,0)-VLOOKUP(O10,'פחת מים וגביה'!$A:$D,3,0),0)</f>
        <v>0</v>
      </c>
      <c r="P576" s="1049">
        <f>(+IF(P554&gt;=2015,MAX(VLOOKUP(P658,'פחתי מים לרשויות מצטרפות'!$A$6:$G$9,MAX($B$3-P554,0)+3,0)-VLOOKUP(P$1,'פחת מים וגביה'!$A:$D,3,0),0))*P403/P$425)+IF(AND(P$7="חברה מנהלת",P17&lt;&gt;""),+VLOOKUP(P658,'פחתי מים לרשויות מצטרפות'!$A$6:$G$10,5,0)-VLOOKUP(P10,'פחת מים וגביה'!$A:$D,3,0),0)</f>
        <v>0</v>
      </c>
      <c r="Q576" s="1049">
        <f>(+IF(Q554&gt;=2015,MAX(VLOOKUP(Q658,'פחתי מים לרשויות מצטרפות'!$A$6:$G$9,MAX($B$3-Q554,0)+3,0)-VLOOKUP(Q$1,'פחת מים וגביה'!$A:$D,3,0),0))*Q403/Q$425)+IF(AND(Q$7="חברה מנהלת",Q17&lt;&gt;""),+VLOOKUP(Q658,'פחתי מים לרשויות מצטרפות'!$A$6:$G$10,5,0)-VLOOKUP(Q10,'פחת מים וגביה'!$A:$D,3,0),0)</f>
        <v>0</v>
      </c>
      <c r="R576" s="1049">
        <f>(+IF(R554&gt;=2015,MAX(VLOOKUP(R658,'פחתי מים לרשויות מצטרפות'!$A$6:$G$9,MAX($B$3-R554,0)+3,0)-VLOOKUP(R$1,'פחת מים וגביה'!$A:$D,3,0),0))*R403/R$425)+IF(AND(R$7="חברה מנהלת",R17&lt;&gt;""),+VLOOKUP(R658,'פחתי מים לרשויות מצטרפות'!$A$6:$G$10,5,0)-VLOOKUP(R10,'פחת מים וגביה'!$A:$D,3,0),0)</f>
        <v>0</v>
      </c>
      <c r="S576" s="1049">
        <f>(+IF(S554&gt;=2015,MAX(VLOOKUP(S658,'פחתי מים לרשויות מצטרפות'!$A$6:$G$9,MAX($B$3-S554,0)+3,0)-VLOOKUP(S$1,'פחת מים וגביה'!$A:$D,3,0),0))*S403/S$425)+IF(AND(S$7="חברה מנהלת",S17&lt;&gt;""),+VLOOKUP(S658,'פחתי מים לרשויות מצטרפות'!$A$6:$G$10,5,0)-VLOOKUP(S10,'פחת מים וגביה'!$A:$D,3,0),0)</f>
        <v>0</v>
      </c>
      <c r="T576" s="1049">
        <f>(+IF(T554&gt;=2015,MAX(VLOOKUP(T658,'פחתי מים לרשויות מצטרפות'!$A$6:$G$9,MAX($B$3-T554,0)+3,0)-VLOOKUP(T$1,'פחת מים וגביה'!$A:$D,3,0),0))*T403/T$425)+IF(AND(T$7="חברה מנהלת",T17&lt;&gt;""),+VLOOKUP(T658,'פחתי מים לרשויות מצטרפות'!$A$6:$G$10,5,0)-VLOOKUP(T10,'פחת מים וגביה'!$A:$D,3,0),0)</f>
        <v>0</v>
      </c>
      <c r="U576" s="1049">
        <f>(+IF(U554&gt;=2015,MAX(VLOOKUP(U658,'פחתי מים לרשויות מצטרפות'!$A$6:$G$9,MAX($B$3-U554,0)+3,0)-VLOOKUP(U$1,'פחת מים וגביה'!$A:$D,3,0),0))*U403/U$425)+IF(AND(U$7="חברה מנהלת",U17&lt;&gt;""),+VLOOKUP(U658,'פחתי מים לרשויות מצטרפות'!$A$6:$G$10,5,0)-VLOOKUP(U10,'פחת מים וגביה'!$A:$D,3,0),0)</f>
        <v>0</v>
      </c>
      <c r="V576" s="1049">
        <f>(+IF(V554&gt;=2015,MAX(VLOOKUP(V658,'פחתי מים לרשויות מצטרפות'!$A$6:$G$9,MAX($B$3-V554,0)+3,0)-VLOOKUP(V$1,'פחת מים וגביה'!$A:$D,3,0),0))*V403/V$425)+IF(AND(V$7="חברה מנהלת",V17&lt;&gt;""),+VLOOKUP(V658,'פחתי מים לרשויות מצטרפות'!$A$6:$G$10,5,0)-VLOOKUP(V10,'פחת מים וגביה'!$A:$D,3,0),0)</f>
        <v>0</v>
      </c>
      <c r="W576" s="1049">
        <f>(+IF(W554&gt;=2015,MAX(VLOOKUP(W658,'פחתי מים לרשויות מצטרפות'!$A$6:$G$9,MAX($B$3-W554,0)+3,0)-VLOOKUP(W$1,'פחת מים וגביה'!$A:$D,3,0),0))*W403/W$425)+IF(AND(W$7="חברה מנהלת",W17&lt;&gt;""),+VLOOKUP(W658,'פחתי מים לרשויות מצטרפות'!$A$6:$G$10,5,0)-VLOOKUP(W10,'פחת מים וגביה'!$A:$D,3,0),0)</f>
        <v>0</v>
      </c>
      <c r="X576" s="1049">
        <f>(+IF(X554&gt;=2015,MAX(VLOOKUP(X658,'פחתי מים לרשויות מצטרפות'!$A$6:$G$9,MAX($B$3-X554,0)+3,0)-VLOOKUP(X$1,'פחת מים וגביה'!$A:$D,3,0),0))*X403/X$425)+IF(AND(X$7="חברה מנהלת",X17&lt;&gt;""),+VLOOKUP(X658,'פחתי מים לרשויות מצטרפות'!$A$6:$G$10,5,0)-VLOOKUP(X10,'פחת מים וגביה'!$A:$D,3,0),0)</f>
        <v>0</v>
      </c>
      <c r="Y576" s="1049">
        <f>(+IF(Y554&gt;=2015,MAX(VLOOKUP(Y658,'פחתי מים לרשויות מצטרפות'!$A$6:$G$9,MAX($B$3-Y554,0)+3,0)-VLOOKUP(Y$1,'פחת מים וגביה'!$A:$D,3,0),0))*Y403/Y$425)+IF(AND(Y$7="חברה מנהלת",Y17&lt;&gt;""),+VLOOKUP(Y658,'פחתי מים לרשויות מצטרפות'!$A$6:$G$10,5,0)-VLOOKUP(Y10,'פחת מים וגביה'!$A:$D,3,0),0)</f>
        <v>0</v>
      </c>
      <c r="Z576" s="1049">
        <f>(+IF(Z554&gt;=2015,MAX(VLOOKUP(Z658,'פחתי מים לרשויות מצטרפות'!$A$6:$G$9,MAX($B$3-Z554,0)+3,0)-VLOOKUP(Z$1,'פחת מים וגביה'!$A:$D,3,0),0))*Z403/Z$425)+IF(AND(Z$7="חברה מנהלת",Z17&lt;&gt;""),+VLOOKUP(Z658,'פחתי מים לרשויות מצטרפות'!$A$6:$G$10,5,0)-VLOOKUP(Z10,'פחת מים וגביה'!$A:$D,3,0),0)</f>
        <v>0</v>
      </c>
      <c r="AA576" s="1049">
        <f>(+IF(AA554&gt;=2015,MAX(VLOOKUP(AA658,'פחתי מים לרשויות מצטרפות'!$A$6:$G$9,MAX($B$3-AA554,0)+3,0)-VLOOKUP(AA$1,'פחת מים וגביה'!$A:$D,3,0),0))*AA403/AA$425)+IF(AND(AA$7="חברה מנהלת",AA17&lt;&gt;""),+VLOOKUP(AA658,'פחתי מים לרשויות מצטרפות'!$A$6:$G$10,5,0)-VLOOKUP(AA10,'פחת מים וגביה'!$A:$D,3,0),0)</f>
        <v>0</v>
      </c>
      <c r="AB576" s="1049">
        <f>(+IF(AB554&gt;=2015,MAX(VLOOKUP(AB658,'פחתי מים לרשויות מצטרפות'!$A$6:$G$9,MAX($B$3-AB554,0)+3,0)-VLOOKUP(AB$1,'פחת מים וגביה'!$A:$D,3,0),0))*AB403/AB$425)+IF(AND(AB$7="חברה מנהלת",AB17&lt;&gt;""),+VLOOKUP(AB658,'פחתי מים לרשויות מצטרפות'!$A$6:$G$10,5,0)-VLOOKUP(AB10,'פחת מים וגביה'!$A:$D,3,0),0)</f>
        <v>0</v>
      </c>
      <c r="AC576" s="1049">
        <f>(+IF(AC554&gt;=2015,MAX(VLOOKUP(AC658,'פחתי מים לרשויות מצטרפות'!$A$6:$G$9,MAX($B$3-AC554,0)+3,0)-VLOOKUP(AC$1,'פחת מים וגביה'!$A:$D,3,0),0))*AC403/AC$425)+IF(AND(AC$7="חברה מנהלת",AC17&lt;&gt;""),+VLOOKUP(AC658,'פחתי מים לרשויות מצטרפות'!$A$6:$G$10,5,0)-VLOOKUP(AC10,'פחת מים וגביה'!$A:$D,3,0),0)</f>
        <v>0</v>
      </c>
      <c r="AD576" s="1049">
        <f>(+IF(AD554&gt;=2015,MAX(VLOOKUP(AD658,'פחתי מים לרשויות מצטרפות'!$A$6:$G$9,MAX($B$3-AD554,0)+3,0)-VLOOKUP(AD$1,'פחת מים וגביה'!$A:$D,3,0),0))*AD403/AD$425)+IF(AND(AD$7="חברה מנהלת",AD17&lt;&gt;""),+VLOOKUP(AD658,'פחתי מים לרשויות מצטרפות'!$A$6:$G$10,5,0)-VLOOKUP(AD10,'פחת מים וגביה'!$A:$D,3,0),0)</f>
        <v>0</v>
      </c>
      <c r="AE576" s="1049">
        <f>(+IF(AE554&gt;=2015,MAX(VLOOKUP(AE658,'פחתי מים לרשויות מצטרפות'!$A$6:$G$9,MAX($B$3-AE554,0)+3,0)-VLOOKUP(AE$1,'פחת מים וגביה'!$A:$D,3,0),0))*AE403/AE$425)+IF(AND(AE$7="חברה מנהלת",AE17&lt;&gt;""),+VLOOKUP(AE658,'פחתי מים לרשויות מצטרפות'!$A$6:$G$10,5,0)-VLOOKUP(AE10,'פחת מים וגביה'!$A:$D,3,0),0)</f>
        <v>0</v>
      </c>
      <c r="AF576" s="1049">
        <f>(+IF(AF554&gt;=2015,MAX(VLOOKUP(AF658,'פחתי מים לרשויות מצטרפות'!$A$6:$G$9,MAX($B$3-AF554,0)+3,0)-VLOOKUP(AF$1,'פחת מים וגביה'!$A:$D,3,0),0))*AF403/AF$425)+IF(AND(AF$7="חברה מנהלת",AF17&lt;&gt;""),+VLOOKUP(AF658,'פחתי מים לרשויות מצטרפות'!$A$6:$G$10,5,0)-VLOOKUP(AF10,'פחת מים וגביה'!$A:$D,3,0),0)</f>
        <v>0</v>
      </c>
      <c r="AG576" s="1049">
        <f>(+IF(AG554&gt;=2015,MAX(VLOOKUP(AG658,'פחתי מים לרשויות מצטרפות'!$A$6:$G$9,MAX($B$3-AG554,0)+3,0)-VLOOKUP(AG$1,'פחת מים וגביה'!$A:$D,3,0),0))*AG403/AG$425)+IF(AND(AG$7="חברה מנהלת",AG17&lt;&gt;""),+VLOOKUP(AG658,'פחתי מים לרשויות מצטרפות'!$A$6:$G$10,5,0)-VLOOKUP(AG10,'פחת מים וגביה'!$A:$D,3,0),0)</f>
        <v>0</v>
      </c>
      <c r="AH576" s="1049">
        <f>(+IF(AH554&gt;=2015,MAX(VLOOKUP(AH658,'פחתי מים לרשויות מצטרפות'!$A$6:$G$9,MAX($B$3-AH554,0)+3,0)-VLOOKUP(AH$1,'פחת מים וגביה'!$A:$D,3,0),0))*AH403/AH$425)+IF(AND(AH$7="חברה מנהלת",AH17&lt;&gt;""),+VLOOKUP(AH658,'פחתי מים לרשויות מצטרפות'!$A$6:$G$10,5,0)-VLOOKUP(AH10,'פחת מים וגביה'!$A:$D,3,0),0)</f>
        <v>0</v>
      </c>
      <c r="AI576" s="1049">
        <f>(+IF(AI554&gt;=2015,MAX(VLOOKUP(AI658,'פחתי מים לרשויות מצטרפות'!$A$6:$G$9,MAX($B$3-AI554,0)+3,0)-VLOOKUP(AI$1,'פחת מים וגביה'!$A:$D,3,0),0))*AI403/AI$425)+IF(AND(AI$7="חברה מנהלת",AI17&lt;&gt;""),+VLOOKUP(AI658,'פחתי מים לרשויות מצטרפות'!$A$6:$G$10,5,0)-VLOOKUP(AI10,'פחת מים וגביה'!$A:$D,3,0),0)</f>
        <v>0</v>
      </c>
      <c r="AJ576" s="1049">
        <f>(+IF(AJ554&gt;=2015,MAX(VLOOKUP(AJ658,'פחתי מים לרשויות מצטרפות'!$A$6:$G$9,MAX($B$3-AJ554,0)+3,0)-VLOOKUP(AJ$1,'פחת מים וגביה'!$A:$D,3,0),0))*AJ403/AJ$425)+IF(AND(AJ$7="חברה מנהלת",AJ17&lt;&gt;""),+VLOOKUP(AJ658,'פחתי מים לרשויות מצטרפות'!$A$6:$G$10,5,0)-VLOOKUP(AJ10,'פחת מים וגביה'!$A:$D,3,0),0)</f>
        <v>0</v>
      </c>
      <c r="AK576" s="1049">
        <f>(+IF(AK554&gt;=2015,MAX(VLOOKUP(AK658,'פחתי מים לרשויות מצטרפות'!$A$6:$G$9,MAX($B$3-AK554,0)+3,0)-VLOOKUP(AK$1,'פחת מים וגביה'!$A:$D,3,0),0))*AK403/AK$425)+IF(AND(AK$7="חברה מנהלת",AK17&lt;&gt;""),+VLOOKUP(AK658,'פחתי מים לרשויות מצטרפות'!$A$6:$G$10,5,0)-VLOOKUP(AK10,'פחת מים וגביה'!$A:$D,3,0),0)</f>
        <v>0</v>
      </c>
      <c r="AL576" s="1049">
        <f>(+IF(AL554&gt;=2015,MAX(VLOOKUP(AL658,'פחתי מים לרשויות מצטרפות'!$A$6:$G$9,MAX($B$3-AL554,0)+3,0)-VLOOKUP(AL$1,'פחת מים וגביה'!$A:$D,3,0),0))*AL403/AL$425)+IF(AND(AL$7="חברה מנהלת",AL17&lt;&gt;""),+VLOOKUP(AL658,'פחתי מים לרשויות מצטרפות'!$A$6:$G$10,5,0)-VLOOKUP(AL10,'פחת מים וגביה'!$A:$D,3,0),0)</f>
        <v>0</v>
      </c>
      <c r="AM576" s="1049">
        <f>(+IF(AM554&gt;=2015,MAX(VLOOKUP(AM658,'פחתי מים לרשויות מצטרפות'!$A$6:$G$9,MAX($B$3-AM554,0)+3,0)-VLOOKUP(AM$1,'פחת מים וגביה'!$A:$D,3,0),0))*AM403/AM$425)+IF(AND(AM$7="חברה מנהלת",AM17&lt;&gt;""),+VLOOKUP(AM658,'פחתי מים לרשויות מצטרפות'!$A$6:$G$10,5,0)-VLOOKUP(AM10,'פחת מים וגביה'!$A:$D,3,0),0)</f>
        <v>0</v>
      </c>
      <c r="AN576" s="1049">
        <f>(+IF(AN554&gt;=2015,MAX(VLOOKUP(AN658,'פחתי מים לרשויות מצטרפות'!$A$6:$G$9,MAX($B$3-AN554,0)+3,0)-VLOOKUP(AN$1,'פחת מים וגביה'!$A:$D,3,0),0))*AN403/AN$425)+IF(AND(AN$7="חברה מנהלת",AN17&lt;&gt;""),+VLOOKUP(AN658,'פחתי מים לרשויות מצטרפות'!$A$6:$G$10,5,0)-VLOOKUP(AN10,'פחת מים וגביה'!$A:$D,3,0),0)</f>
        <v>0</v>
      </c>
      <c r="AO576" s="1049">
        <f>(+IF(AO554&gt;=2015,MAX(VLOOKUP(AO658,'פחתי מים לרשויות מצטרפות'!$A$6:$G$9,MAX($B$3-AO554,0)+3,0)-VLOOKUP(AO$1,'פחת מים וגביה'!$A:$D,3,0),0))*AO403/AO$425)+IF(AND(AO$7="חברה מנהלת",AO17&lt;&gt;""),+VLOOKUP(AO658,'פחתי מים לרשויות מצטרפות'!$A$6:$G$10,5,0)-VLOOKUP(AO10,'פחת מים וגביה'!$A:$D,3,0),0)</f>
        <v>0</v>
      </c>
      <c r="AP576" s="1049">
        <f>(+IF(AP554&gt;=2015,MAX(VLOOKUP(AP658,'פחתי מים לרשויות מצטרפות'!$A$6:$G$9,MAX($B$3-AP554,0)+3,0)-VLOOKUP(AP$1,'פחת מים וגביה'!$A:$D,3,0),0))*AP403/AP$425)+IF(AND(AP$7="חברה מנהלת",AP17&lt;&gt;""),+VLOOKUP(AP658,'פחתי מים לרשויות מצטרפות'!$A$6:$G$10,5,0)-VLOOKUP(AP10,'פחת מים וגביה'!$A:$D,3,0),0)</f>
        <v>0</v>
      </c>
      <c r="AQ576" s="1049">
        <f>(+IF(AQ554&gt;=2015,MAX(VLOOKUP(AQ658,'פחתי מים לרשויות מצטרפות'!$A$6:$G$9,MAX($B$3-AQ554,0)+3,0)-VLOOKUP(AQ$1,'פחת מים וגביה'!$A:$D,3,0),0))*AQ403/AQ$425)+IF(AND(AQ$7="חברה מנהלת",AQ17&lt;&gt;""),+VLOOKUP(AQ658,'פחתי מים לרשויות מצטרפות'!$A$6:$G$10,5,0)-VLOOKUP(AQ10,'פחת מים וגביה'!$A:$D,3,0),0)</f>
        <v>0</v>
      </c>
      <c r="AR576" s="1049">
        <f>(+IF(AR554&gt;=2015,MAX(VLOOKUP(AR658,'פחתי מים לרשויות מצטרפות'!$A$6:$G$9,MAX($B$3-AR554,0)+3,0)-VLOOKUP(AR$1,'פחת מים וגביה'!$A:$D,3,0),0))*AR403/AR$425)+IF(AND(AR$7="חברה מנהלת",AR17&lt;&gt;""),+VLOOKUP(AR658,'פחתי מים לרשויות מצטרפות'!$A$6:$G$10,5,0)-VLOOKUP(AR10,'פחת מים וגביה'!$A:$D,3,0),0)</f>
        <v>0</v>
      </c>
      <c r="AS576" s="1049">
        <f>(+IF(AS554&gt;=2015,MAX(VLOOKUP(AS658,'פחתי מים לרשויות מצטרפות'!$A$6:$G$9,MAX($B$3-AS554,0)+3,0)-VLOOKUP(AS$1,'פחת מים וגביה'!$A:$D,3,0),0))*AS403/AS$425)+IF(AND(AS$7="חברה מנהלת",AS17&lt;&gt;""),+VLOOKUP(AS658,'פחתי מים לרשויות מצטרפות'!$A$6:$G$10,5,0)-VLOOKUP(AS10,'פחת מים וגביה'!$A:$D,3,0),0)</f>
        <v>0</v>
      </c>
      <c r="AT576" s="1049">
        <f>(+IF(AT554&gt;=2015,MAX(VLOOKUP(AT658,'פחתי מים לרשויות מצטרפות'!$A$6:$G$9,MAX($B$3-AT554,0)+3,0)-VLOOKUP(AT$1,'פחת מים וגביה'!$A:$D,3,0),0))*AT403/AT$425)+IF(AND(AT$7="חברה מנהלת",AT17&lt;&gt;""),+VLOOKUP(AT658,'פחתי מים לרשויות מצטרפות'!$A$6:$G$10,5,0)-VLOOKUP(AT10,'פחת מים וגביה'!$A:$D,3,0),0)</f>
        <v>0</v>
      </c>
      <c r="AU576" s="1049">
        <f>(+IF(AU554&gt;=2015,MAX(VLOOKUP(AU658,'פחתי מים לרשויות מצטרפות'!$A$6:$G$9,MAX($B$3-AU554,0)+3,0)-VLOOKUP(AU$1,'פחת מים וגביה'!$A:$D,3,0),0))*AU403/AU$425)+IF(AND(AU$7="חברה מנהלת",AU17&lt;&gt;""),+VLOOKUP(AU658,'פחתי מים לרשויות מצטרפות'!$A$6:$G$10,5,0)-VLOOKUP(AU10,'פחת מים וגביה'!$A:$D,3,0),0)</f>
        <v>0</v>
      </c>
      <c r="AV576" s="1049">
        <f>(+IF(AV554&gt;=2015,MAX(VLOOKUP(AV658,'פחתי מים לרשויות מצטרפות'!$A$6:$G$9,MAX($B$3-AV554,0)+3,0)-VLOOKUP(AV$1,'פחת מים וגביה'!$A:$D,3,0),0))*AV403/AV$425)+IF(AND(AV$7="חברה מנהלת",AV17&lt;&gt;""),+VLOOKUP(AV658,'פחתי מים לרשויות מצטרפות'!$A$6:$G$10,5,0)-VLOOKUP(AV10,'פחת מים וגביה'!$A:$D,3,0),0)</f>
        <v>0</v>
      </c>
      <c r="AW576" s="1049">
        <f>(+IF(AW554&gt;=2015,MAX(VLOOKUP(AW658,'פחתי מים לרשויות מצטרפות'!$A$6:$G$9,MAX($B$3-AW554,0)+3,0)-VLOOKUP(AW$1,'פחת מים וגביה'!$A:$D,3,0),0))*AW403/AW$425)+IF(AND(AW$7="חברה מנהלת",AW17&lt;&gt;""),+VLOOKUP(AW658,'פחתי מים לרשויות מצטרפות'!$A$6:$G$10,5,0)-VLOOKUP(AW10,'פחת מים וגביה'!$A:$D,3,0),0)</f>
        <v>0</v>
      </c>
      <c r="AX576" s="1049">
        <f>(+IF(AX554&gt;=2015,MAX(VLOOKUP(AX658,'פחתי מים לרשויות מצטרפות'!$A$6:$G$9,MAX($B$3-AX554,0)+3,0)-VLOOKUP(AX$1,'פחת מים וגביה'!$A:$D,3,0),0))*AX403/AX$425)+IF(AND(AX$7="חברה מנהלת",AX17&lt;&gt;""),+VLOOKUP(AX658,'פחתי מים לרשויות מצטרפות'!$A$6:$G$10,5,0)-VLOOKUP(AX10,'פחת מים וגביה'!$A:$D,3,0),0)</f>
        <v>0</v>
      </c>
      <c r="AY576" s="1049">
        <f>(+IF(AY554&gt;=2015,MAX(VLOOKUP(AY658,'פחתי מים לרשויות מצטרפות'!$A$6:$G$9,MAX($B$3-AY554,0)+3,0)-VLOOKUP(AY$1,'פחת מים וגביה'!$A:$D,3,0),0))*AY403/AY$425)+IF(AND(AY$7="חברה מנהלת",AY17&lt;&gt;""),+VLOOKUP(AY658,'פחתי מים לרשויות מצטרפות'!$A$6:$G$10,5,0)-VLOOKUP(AY10,'פחת מים וגביה'!$A:$D,3,0),0)</f>
        <v>0</v>
      </c>
      <c r="AZ576" s="1049">
        <f>(+IF(AZ554&gt;=2015,MAX(VLOOKUP(AZ658,'פחתי מים לרשויות מצטרפות'!$A$6:$G$9,MAX($B$3-AZ554,0)+3,0)-VLOOKUP(AZ$1,'פחת מים וגביה'!$A:$D,3,0),0))*AZ403/AZ$425)+IF(AND(AZ$7="חברה מנהלת",AZ17&lt;&gt;""),+VLOOKUP(AZ658,'פחתי מים לרשויות מצטרפות'!$A$6:$G$10,5,0)-VLOOKUP(AZ10,'פחת מים וגביה'!$A:$D,3,0),0)</f>
        <v>0</v>
      </c>
      <c r="BA576" s="1049">
        <f>(+IF(BA554&gt;=2015,MAX(VLOOKUP(BA658,'פחתי מים לרשויות מצטרפות'!$A$6:$G$9,MAX($B$3-BA554,0)+3,0)-VLOOKUP(BA$1,'פחת מים וגביה'!$A:$D,3,0),0))*BA403/BA$425)+IF(AND(BA$7="חברה מנהלת",BA17&lt;&gt;""),+VLOOKUP(BA658,'פחתי מים לרשויות מצטרפות'!$A$6:$G$10,5,0)-VLOOKUP(BA10,'פחת מים וגביה'!$A:$D,3,0),0)</f>
        <v>0</v>
      </c>
      <c r="BB576" s="1049">
        <f>(+IF(BB554&gt;=2015,MAX(VLOOKUP(BB658,'פחתי מים לרשויות מצטרפות'!$A$6:$G$9,MAX($B$3-BB554,0)+3,0)-VLOOKUP(BB$1,'פחת מים וגביה'!$A:$D,3,0),0))*BB403/BB$425)+IF(AND(BB$7="חברה מנהלת",BB17&lt;&gt;""),+VLOOKUP(BB658,'פחתי מים לרשויות מצטרפות'!$A$6:$G$10,5,0)-VLOOKUP(BB10,'פחת מים וגביה'!$A:$D,3,0),0)</f>
        <v>0</v>
      </c>
      <c r="BC576" s="1049">
        <f>(+IF(BC554&gt;=2015,MAX(VLOOKUP(BC658,'פחתי מים לרשויות מצטרפות'!$A$6:$G$9,MAX($B$3-BC554,0)+3,0)-VLOOKUP(BC$1,'פחת מים וגביה'!$A:$D,3,0),0))*BC403/BC$425)+IF(AND(BC$7="חברה מנהלת",BC17&lt;&gt;""),+VLOOKUP(BC658,'פחתי מים לרשויות מצטרפות'!$A$6:$G$10,5,0)-VLOOKUP(BC10,'פחת מים וגביה'!$A:$D,3,0),0)</f>
        <v>0</v>
      </c>
      <c r="BD576" s="1049">
        <f>(+IF(BD554&gt;=2015,MAX(VLOOKUP(BD658,'פחתי מים לרשויות מצטרפות'!$A$6:$G$9,MAX($B$3-BD554,0)+3,0)-VLOOKUP(BD$1,'פחת מים וגביה'!$A:$D,3,0),0))*BD403/BD$425)+IF(AND(BD$7="חברה מנהלת",BD17&lt;&gt;""),+VLOOKUP(BD658,'פחתי מים לרשויות מצטרפות'!$A$6:$G$10,5,0)-VLOOKUP(BD10,'פחת מים וגביה'!$A:$D,3,0),0)</f>
        <v>0</v>
      </c>
      <c r="BE576" s="1049">
        <f>(+IF(BE554&gt;=2015,MAX(VLOOKUP(BE658,'פחתי מים לרשויות מצטרפות'!$A$6:$G$9,MAX($B$3-BE554,0)+3,0)-VLOOKUP(BE$1,'פחת מים וגביה'!$A:$D,3,0),0))*BE403/BE$425)+IF(AND(BE$7="חברה מנהלת",BE17&lt;&gt;""),+VLOOKUP(BE658,'פחתי מים לרשויות מצטרפות'!$A$6:$G$10,5,0)-VLOOKUP(BE10,'פחת מים וגביה'!$A:$D,3,0),0)</f>
        <v>0</v>
      </c>
      <c r="BF576" s="1049">
        <f>(+IF(BF554&gt;=2015,MAX(VLOOKUP(BF658,'פחתי מים לרשויות מצטרפות'!$A$6:$G$9,MAX($B$3-BF554,0)+3,0)-VLOOKUP(BF$1,'פחת מים וגביה'!$A:$D,3,0),0))*BF403/BF$425)+IF(AND(BF$7="חברה מנהלת",BF17&lt;&gt;""),+VLOOKUP(BF658,'פחתי מים לרשויות מצטרפות'!$A$6:$G$10,5,0)-VLOOKUP(BF10,'פחת מים וגביה'!$A:$D,3,0),0)</f>
        <v>0</v>
      </c>
    </row>
    <row r="577" spans="1:58" x14ac:dyDescent="0.2">
      <c r="C577" s="1049">
        <f>(+IF(C555&gt;=2015,MAX(VLOOKUP(C659,'פחתי מים לרשויות מצטרפות'!$A$6:$G$9,MAX($B$3-C555,0)+3,0)-VLOOKUP(C$1,'פחת מים וגביה'!$A:$D,3,0),0))*C404/C$425)+IF(AND(C$7="חברה מנהלת",C18&lt;&gt;""),+VLOOKUP(C659,'פחתי מים לרשויות מצטרפות'!$A$6:$G$10,5,0)-VLOOKUP(C11,'פחת מים וגביה'!$A:$D,3,0),0)</f>
        <v>0</v>
      </c>
      <c r="D577" s="1049">
        <f>(+IF(D555&gt;=2015,MAX(VLOOKUP(D659,'פחתי מים לרשויות מצטרפות'!$A$6:$G$9,MAX($B$3-D555,0)+3,0)-VLOOKUP(D$1,'פחת מים וגביה'!$A:$D,3,0),0))*D404/D$425)+IF(AND(D$7="חברה מנהלת",D18&lt;&gt;""),+VLOOKUP(D659,'פחתי מים לרשויות מצטרפות'!$A$6:$G$10,5,0)-VLOOKUP(D11,'פחת מים וגביה'!$A:$D,3,0),0)</f>
        <v>0</v>
      </c>
      <c r="E577" s="1049">
        <f>(+IF(E555&gt;=2015,MAX(VLOOKUP(E659,'פחתי מים לרשויות מצטרפות'!$A$6:$G$9,MAX($B$3-E555,0)+3,0)-VLOOKUP(E$1,'פחת מים וגביה'!$A:$D,3,0),0))*E404/E$425)+IF(AND(E$7="חברה מנהלת",E18&lt;&gt;""),+VLOOKUP(E659,'פחתי מים לרשויות מצטרפות'!$A$6:$G$10,5,0)-VLOOKUP(E11,'פחת מים וגביה'!$A:$D,3,0),0)</f>
        <v>0</v>
      </c>
      <c r="F577" s="1049">
        <f>(+IF(F555&gt;=2015,MAX(VLOOKUP(F659,'פחתי מים לרשויות מצטרפות'!$A$6:$G$9,MAX($B$3-F555,0)+3,0)-VLOOKUP(F$1,'פחת מים וגביה'!$A:$D,3,0),0))*F404/F$425)+IF(AND(F$7="חברה מנהלת",F18&lt;&gt;""),+VLOOKUP(F659,'פחתי מים לרשויות מצטרפות'!$A$6:$G$10,5,0)-VLOOKUP(F11,'פחת מים וגביה'!$A:$D,3,0),0)</f>
        <v>0</v>
      </c>
      <c r="G577" s="1049">
        <f>(+IF(G555&gt;=2015,MAX(VLOOKUP(G659,'פחתי מים לרשויות מצטרפות'!$A$6:$G$9,MAX($B$3-G555,0)+3,0)-VLOOKUP(G$1,'פחת מים וגביה'!$A:$D,3,0),0))*G404/G$425)+IF(AND(G$7="חברה מנהלת",G18&lt;&gt;""),+VLOOKUP(G659,'פחתי מים לרשויות מצטרפות'!$A$6:$G$10,5,0)-VLOOKUP(G11,'פחת מים וגביה'!$A:$D,3,0),0)</f>
        <v>0</v>
      </c>
      <c r="H577" s="1049">
        <f>(+IF(H555&gt;=2015,MAX(VLOOKUP(H659,'פחתי מים לרשויות מצטרפות'!$A$6:$G$9,MAX($B$3-H555,0)+3,0)-VLOOKUP(H$1,'פחת מים וגביה'!$A:$D,3,0),0))*H404/H$425)+IF(AND(H$7="חברה מנהלת",H18&lt;&gt;""),+VLOOKUP(H659,'פחתי מים לרשויות מצטרפות'!$A$6:$G$10,5,0)-VLOOKUP(H11,'פחת מים וגביה'!$A:$D,3,0),0)</f>
        <v>0</v>
      </c>
      <c r="I577" s="1049">
        <f>(+IF(I555&gt;=2015,MAX(VLOOKUP(I659,'פחתי מים לרשויות מצטרפות'!$A$6:$G$9,MAX($B$3-I555,0)+3,0)-VLOOKUP(I$1,'פחת מים וגביה'!$A:$D,3,0),0))*I404/I$425)+IF(AND(I$7="חברה מנהלת",I18&lt;&gt;""),+VLOOKUP(I659,'פחתי מים לרשויות מצטרפות'!$A$6:$G$10,5,0)-VLOOKUP(I11,'פחת מים וגביה'!$A:$D,3,0),0)</f>
        <v>0</v>
      </c>
      <c r="J577" s="1049">
        <f>(+IF(J555&gt;=2015,MAX(VLOOKUP(J659,'פחתי מים לרשויות מצטרפות'!$A$6:$G$9,MAX($B$3-J555,0)+3,0)-VLOOKUP(J$1,'פחת מים וגביה'!$A:$D,3,0),0))*J404/J$425)+IF(AND(J$7="חברה מנהלת",J18&lt;&gt;""),+VLOOKUP(J659,'פחתי מים לרשויות מצטרפות'!$A$6:$G$10,5,0)-VLOOKUP(J11,'פחת מים וגביה'!$A:$D,3,0),0)</f>
        <v>0</v>
      </c>
      <c r="K577" s="1049">
        <f>(+IF(K555&gt;=2015,MAX(VLOOKUP(K659,'פחתי מים לרשויות מצטרפות'!$A$6:$G$9,MAX($B$3-K555,0)+3,0)-VLOOKUP(K$1,'פחת מים וגביה'!$A:$D,3,0),0))*K404/K$425)+IF(AND(K$7="חברה מנהלת",K18&lt;&gt;""),+VLOOKUP(K659,'פחתי מים לרשויות מצטרפות'!$A$6:$G$10,5,0)-VLOOKUP(K11,'פחת מים וגביה'!$A:$D,3,0),0)</f>
        <v>0</v>
      </c>
      <c r="L577" s="1049">
        <f>(+IF(L555&gt;=2015,MAX(VLOOKUP(L659,'פחתי מים לרשויות מצטרפות'!$A$6:$G$9,MAX($B$3-L555,0)+3,0)-VLOOKUP(L$1,'פחת מים וגביה'!$A:$D,3,0),0))*L404/L$425)+IF(AND(L$7="חברה מנהלת",L18&lt;&gt;""),+VLOOKUP(L659,'פחתי מים לרשויות מצטרפות'!$A$6:$G$10,5,0)-VLOOKUP(L11,'פחת מים וגביה'!$A:$D,3,0),0)</f>
        <v>0</v>
      </c>
      <c r="M577" s="1049">
        <f>(+IF(M555&gt;=2015,MAX(VLOOKUP(M659,'פחתי מים לרשויות מצטרפות'!$A$6:$G$9,MAX($B$3-M555,0)+3,0)-VLOOKUP(M$1,'פחת מים וגביה'!$A:$D,3,0),0))*M404/M$425)+IF(AND(M$7="חברה מנהלת",M18&lt;&gt;""),+VLOOKUP(M659,'פחתי מים לרשויות מצטרפות'!$A$6:$G$10,5,0)-VLOOKUP(M11,'פחת מים וגביה'!$A:$D,3,0),0)</f>
        <v>0</v>
      </c>
      <c r="N577" s="1049">
        <f>(+IF(N555&gt;=2015,MAX(VLOOKUP(N659,'פחתי מים לרשויות מצטרפות'!$A$6:$G$9,MAX($B$3-N555,0)+3,0)-VLOOKUP(N$1,'פחת מים וגביה'!$A:$D,3,0),0))*N404/N$425)+IF(AND(N$7="חברה מנהלת",N18&lt;&gt;""),+VLOOKUP(N659,'פחתי מים לרשויות מצטרפות'!$A$6:$G$10,5,0)-VLOOKUP(N11,'פחת מים וגביה'!$A:$D,3,0),0)</f>
        <v>0</v>
      </c>
      <c r="O577" s="1049">
        <f>(+IF(O555&gt;=2015,MAX(VLOOKUP(O659,'פחתי מים לרשויות מצטרפות'!$A$6:$G$9,MAX($B$3-O555,0)+3,0)-VLOOKUP(O$1,'פחת מים וגביה'!$A:$D,3,0),0))*O404/O$425)+IF(AND(O$7="חברה מנהלת",O18&lt;&gt;""),+VLOOKUP(O659,'פחתי מים לרשויות מצטרפות'!$A$6:$G$10,5,0)-VLOOKUP(O11,'פחת מים וגביה'!$A:$D,3,0),0)</f>
        <v>0</v>
      </c>
      <c r="P577" s="1049">
        <f>(+IF(P555&gt;=2015,MAX(VLOOKUP(P659,'פחתי מים לרשויות מצטרפות'!$A$6:$G$9,MAX($B$3-P555,0)+3,0)-VLOOKUP(P$1,'פחת מים וגביה'!$A:$D,3,0),0))*P404/P$425)+IF(AND(P$7="חברה מנהלת",P18&lt;&gt;""),+VLOOKUP(P659,'פחתי מים לרשויות מצטרפות'!$A$6:$G$10,5,0)-VLOOKUP(P11,'פחת מים וגביה'!$A:$D,3,0),0)</f>
        <v>0</v>
      </c>
      <c r="Q577" s="1049">
        <f>(+IF(Q555&gt;=2015,MAX(VLOOKUP(Q659,'פחתי מים לרשויות מצטרפות'!$A$6:$G$9,MAX($B$3-Q555,0)+3,0)-VLOOKUP(Q$1,'פחת מים וגביה'!$A:$D,3,0),0))*Q404/Q$425)+IF(AND(Q$7="חברה מנהלת",Q18&lt;&gt;""),+VLOOKUP(Q659,'פחתי מים לרשויות מצטרפות'!$A$6:$G$10,5,0)-VLOOKUP(Q11,'פחת מים וגביה'!$A:$D,3,0),0)</f>
        <v>0</v>
      </c>
      <c r="R577" s="1049">
        <f>(+IF(R555&gt;=2015,MAX(VLOOKUP(R659,'פחתי מים לרשויות מצטרפות'!$A$6:$G$9,MAX($B$3-R555,0)+3,0)-VLOOKUP(R$1,'פחת מים וגביה'!$A:$D,3,0),0))*R404/R$425)+IF(AND(R$7="חברה מנהלת",R18&lt;&gt;""),+VLOOKUP(R659,'פחתי מים לרשויות מצטרפות'!$A$6:$G$10,5,0)-VLOOKUP(R11,'פחת מים וגביה'!$A:$D,3,0),0)</f>
        <v>0</v>
      </c>
      <c r="S577" s="1049">
        <f>(+IF(S555&gt;=2015,MAX(VLOOKUP(S659,'פחתי מים לרשויות מצטרפות'!$A$6:$G$9,MAX($B$3-S555,0)+3,0)-VLOOKUP(S$1,'פחת מים וגביה'!$A:$D,3,0),0))*S404/S$425)+IF(AND(S$7="חברה מנהלת",S18&lt;&gt;""),+VLOOKUP(S659,'פחתי מים לרשויות מצטרפות'!$A$6:$G$10,5,0)-VLOOKUP(S11,'פחת מים וגביה'!$A:$D,3,0),0)</f>
        <v>0</v>
      </c>
      <c r="T577" s="1049">
        <f>(+IF(T555&gt;=2015,MAX(VLOOKUP(T659,'פחתי מים לרשויות מצטרפות'!$A$6:$G$9,MAX($B$3-T555,0)+3,0)-VLOOKUP(T$1,'פחת מים וגביה'!$A:$D,3,0),0))*T404/T$425)+IF(AND(T$7="חברה מנהלת",T18&lt;&gt;""),+VLOOKUP(T659,'פחתי מים לרשויות מצטרפות'!$A$6:$G$10,5,0)-VLOOKUP(T11,'פחת מים וגביה'!$A:$D,3,0),0)</f>
        <v>0</v>
      </c>
      <c r="U577" s="1049">
        <f>(+IF(U555&gt;=2015,MAX(VLOOKUP(U659,'פחתי מים לרשויות מצטרפות'!$A$6:$G$9,MAX($B$3-U555,0)+3,0)-VLOOKUP(U$1,'פחת מים וגביה'!$A:$D,3,0),0))*U404/U$425)+IF(AND(U$7="חברה מנהלת",U18&lt;&gt;""),+VLOOKUP(U659,'פחתי מים לרשויות מצטרפות'!$A$6:$G$10,5,0)-VLOOKUP(U11,'פחת מים וגביה'!$A:$D,3,0),0)</f>
        <v>0</v>
      </c>
      <c r="V577" s="1049">
        <f>(+IF(V555&gt;=2015,MAX(VLOOKUP(V659,'פחתי מים לרשויות מצטרפות'!$A$6:$G$9,MAX($B$3-V555,0)+3,0)-VLOOKUP(V$1,'פחת מים וגביה'!$A:$D,3,0),0))*V404/V$425)+IF(AND(V$7="חברה מנהלת",V18&lt;&gt;""),+VLOOKUP(V659,'פחתי מים לרשויות מצטרפות'!$A$6:$G$10,5,0)-VLOOKUP(V11,'פחת מים וגביה'!$A:$D,3,0),0)</f>
        <v>0</v>
      </c>
      <c r="W577" s="1049">
        <f>(+IF(W555&gt;=2015,MAX(VLOOKUP(W659,'פחתי מים לרשויות מצטרפות'!$A$6:$G$9,MAX($B$3-W555,0)+3,0)-VLOOKUP(W$1,'פחת מים וגביה'!$A:$D,3,0),0))*W404/W$425)+IF(AND(W$7="חברה מנהלת",W18&lt;&gt;""),+VLOOKUP(W659,'פחתי מים לרשויות מצטרפות'!$A$6:$G$10,5,0)-VLOOKUP(W11,'פחת מים וגביה'!$A:$D,3,0),0)</f>
        <v>0</v>
      </c>
      <c r="X577" s="1049">
        <f>(+IF(X555&gt;=2015,MAX(VLOOKUP(X659,'פחתי מים לרשויות מצטרפות'!$A$6:$G$9,MAX($B$3-X555,0)+3,0)-VLOOKUP(X$1,'פחת מים וגביה'!$A:$D,3,0),0))*X404/X$425)+IF(AND(X$7="חברה מנהלת",X18&lt;&gt;""),+VLOOKUP(X659,'פחתי מים לרשויות מצטרפות'!$A$6:$G$10,5,0)-VLOOKUP(X11,'פחת מים וגביה'!$A:$D,3,0),0)</f>
        <v>0</v>
      </c>
      <c r="Y577" s="1049">
        <f>(+IF(Y555&gt;=2015,MAX(VLOOKUP(Y659,'פחתי מים לרשויות מצטרפות'!$A$6:$G$9,MAX($B$3-Y555,0)+3,0)-VLOOKUP(Y$1,'פחת מים וגביה'!$A:$D,3,0),0))*Y404/Y$425)+IF(AND(Y$7="חברה מנהלת",Y18&lt;&gt;""),+VLOOKUP(Y659,'פחתי מים לרשויות מצטרפות'!$A$6:$G$10,5,0)-VLOOKUP(Y11,'פחת מים וגביה'!$A:$D,3,0),0)</f>
        <v>0</v>
      </c>
      <c r="Z577" s="1049">
        <f>(+IF(Z555&gt;=2015,MAX(VLOOKUP(Z659,'פחתי מים לרשויות מצטרפות'!$A$6:$G$9,MAX($B$3-Z555,0)+3,0)-VLOOKUP(Z$1,'פחת מים וגביה'!$A:$D,3,0),0))*Z404/Z$425)+IF(AND(Z$7="חברה מנהלת",Z18&lt;&gt;""),+VLOOKUP(Z659,'פחתי מים לרשויות מצטרפות'!$A$6:$G$10,5,0)-VLOOKUP(Z11,'פחת מים וגביה'!$A:$D,3,0),0)</f>
        <v>0</v>
      </c>
      <c r="AA577" s="1049">
        <f>(+IF(AA555&gt;=2015,MAX(VLOOKUP(AA659,'פחתי מים לרשויות מצטרפות'!$A$6:$G$9,MAX($B$3-AA555,0)+3,0)-VLOOKUP(AA$1,'פחת מים וגביה'!$A:$D,3,0),0))*AA404/AA$425)+IF(AND(AA$7="חברה מנהלת",AA18&lt;&gt;""),+VLOOKUP(AA659,'פחתי מים לרשויות מצטרפות'!$A$6:$G$10,5,0)-VLOOKUP(AA11,'פחת מים וגביה'!$A:$D,3,0),0)</f>
        <v>0</v>
      </c>
      <c r="AB577" s="1049">
        <f>(+IF(AB555&gt;=2015,MAX(VLOOKUP(AB659,'פחתי מים לרשויות מצטרפות'!$A$6:$G$9,MAX($B$3-AB555,0)+3,0)-VLOOKUP(AB$1,'פחת מים וגביה'!$A:$D,3,0),0))*AB404/AB$425)+IF(AND(AB$7="חברה מנהלת",AB18&lt;&gt;""),+VLOOKUP(AB659,'פחתי מים לרשויות מצטרפות'!$A$6:$G$10,5,0)-VLOOKUP(AB11,'פחת מים וגביה'!$A:$D,3,0),0)</f>
        <v>0</v>
      </c>
      <c r="AC577" s="1049">
        <f>(+IF(AC555&gt;=2015,MAX(VLOOKUP(AC659,'פחתי מים לרשויות מצטרפות'!$A$6:$G$9,MAX($B$3-AC555,0)+3,0)-VLOOKUP(AC$1,'פחת מים וגביה'!$A:$D,3,0),0))*AC404/AC$425)+IF(AND(AC$7="חברה מנהלת",AC18&lt;&gt;""),+VLOOKUP(AC659,'פחתי מים לרשויות מצטרפות'!$A$6:$G$10,5,0)-VLOOKUP(AC11,'פחת מים וגביה'!$A:$D,3,0),0)</f>
        <v>0</v>
      </c>
      <c r="AD577" s="1049">
        <f>(+IF(AD555&gt;=2015,MAX(VLOOKUP(AD659,'פחתי מים לרשויות מצטרפות'!$A$6:$G$9,MAX($B$3-AD555,0)+3,0)-VLOOKUP(AD$1,'פחת מים וגביה'!$A:$D,3,0),0))*AD404/AD$425)+IF(AND(AD$7="חברה מנהלת",AD18&lt;&gt;""),+VLOOKUP(AD659,'פחתי מים לרשויות מצטרפות'!$A$6:$G$10,5,0)-VLOOKUP(AD11,'פחת מים וגביה'!$A:$D,3,0),0)</f>
        <v>0</v>
      </c>
      <c r="AE577" s="1049">
        <f>(+IF(AE555&gt;=2015,MAX(VLOOKUP(AE659,'פחתי מים לרשויות מצטרפות'!$A$6:$G$9,MAX($B$3-AE555,0)+3,0)-VLOOKUP(AE$1,'פחת מים וגביה'!$A:$D,3,0),0))*AE404/AE$425)+IF(AND(AE$7="חברה מנהלת",AE18&lt;&gt;""),+VLOOKUP(AE659,'פחתי מים לרשויות מצטרפות'!$A$6:$G$10,5,0)-VLOOKUP(AE11,'פחת מים וגביה'!$A:$D,3,0),0)</f>
        <v>0</v>
      </c>
      <c r="AF577" s="1049">
        <f>(+IF(AF555&gt;=2015,MAX(VLOOKUP(AF659,'פחתי מים לרשויות מצטרפות'!$A$6:$G$9,MAX($B$3-AF555,0)+3,0)-VLOOKUP(AF$1,'פחת מים וגביה'!$A:$D,3,0),0))*AF404/AF$425)+IF(AND(AF$7="חברה מנהלת",AF18&lt;&gt;""),+VLOOKUP(AF659,'פחתי מים לרשויות מצטרפות'!$A$6:$G$10,5,0)-VLOOKUP(AF11,'פחת מים וגביה'!$A:$D,3,0),0)</f>
        <v>0</v>
      </c>
      <c r="AG577" s="1049">
        <f>(+IF(AG555&gt;=2015,MAX(VLOOKUP(AG659,'פחתי מים לרשויות מצטרפות'!$A$6:$G$9,MAX($B$3-AG555,0)+3,0)-VLOOKUP(AG$1,'פחת מים וגביה'!$A:$D,3,0),0))*AG404/AG$425)+IF(AND(AG$7="חברה מנהלת",AG18&lt;&gt;""),+VLOOKUP(AG659,'פחתי מים לרשויות מצטרפות'!$A$6:$G$10,5,0)-VLOOKUP(AG11,'פחת מים וגביה'!$A:$D,3,0),0)</f>
        <v>0</v>
      </c>
      <c r="AH577" s="1049">
        <f>(+IF(AH555&gt;=2015,MAX(VLOOKUP(AH659,'פחתי מים לרשויות מצטרפות'!$A$6:$G$9,MAX($B$3-AH555,0)+3,0)-VLOOKUP(AH$1,'פחת מים וגביה'!$A:$D,3,0),0))*AH404/AH$425)+IF(AND(AH$7="חברה מנהלת",AH18&lt;&gt;""),+VLOOKUP(AH659,'פחתי מים לרשויות מצטרפות'!$A$6:$G$10,5,0)-VLOOKUP(AH11,'פחת מים וגביה'!$A:$D,3,0),0)</f>
        <v>0</v>
      </c>
      <c r="AI577" s="1049">
        <f>(+IF(AI555&gt;=2015,MAX(VLOOKUP(AI659,'פחתי מים לרשויות מצטרפות'!$A$6:$G$9,MAX($B$3-AI555,0)+3,0)-VLOOKUP(AI$1,'פחת מים וגביה'!$A:$D,3,0),0))*AI404/AI$425)+IF(AND(AI$7="חברה מנהלת",AI18&lt;&gt;""),+VLOOKUP(AI659,'פחתי מים לרשויות מצטרפות'!$A$6:$G$10,5,0)-VLOOKUP(AI11,'פחת מים וגביה'!$A:$D,3,0),0)</f>
        <v>0</v>
      </c>
      <c r="AJ577" s="1049">
        <f>(+IF(AJ555&gt;=2015,MAX(VLOOKUP(AJ659,'פחתי מים לרשויות מצטרפות'!$A$6:$G$9,MAX($B$3-AJ555,0)+3,0)-VLOOKUP(AJ$1,'פחת מים וגביה'!$A:$D,3,0),0))*AJ404/AJ$425)+IF(AND(AJ$7="חברה מנהלת",AJ18&lt;&gt;""),+VLOOKUP(AJ659,'פחתי מים לרשויות מצטרפות'!$A$6:$G$10,5,0)-VLOOKUP(AJ11,'פחת מים וגביה'!$A:$D,3,0),0)</f>
        <v>0</v>
      </c>
      <c r="AK577" s="1049">
        <f>(+IF(AK555&gt;=2015,MAX(VLOOKUP(AK659,'פחתי מים לרשויות מצטרפות'!$A$6:$G$9,MAX($B$3-AK555,0)+3,0)-VLOOKUP(AK$1,'פחת מים וגביה'!$A:$D,3,0),0))*AK404/AK$425)+IF(AND(AK$7="חברה מנהלת",AK18&lt;&gt;""),+VLOOKUP(AK659,'פחתי מים לרשויות מצטרפות'!$A$6:$G$10,5,0)-VLOOKUP(AK11,'פחת מים וגביה'!$A:$D,3,0),0)</f>
        <v>0</v>
      </c>
      <c r="AL577" s="1049">
        <f>(+IF(AL555&gt;=2015,MAX(VLOOKUP(AL659,'פחתי מים לרשויות מצטרפות'!$A$6:$G$9,MAX($B$3-AL555,0)+3,0)-VLOOKUP(AL$1,'פחת מים וגביה'!$A:$D,3,0),0))*AL404/AL$425)+IF(AND(AL$7="חברה מנהלת",AL18&lt;&gt;""),+VLOOKUP(AL659,'פחתי מים לרשויות מצטרפות'!$A$6:$G$10,5,0)-VLOOKUP(AL11,'פחת מים וגביה'!$A:$D,3,0),0)</f>
        <v>0</v>
      </c>
      <c r="AM577" s="1049">
        <f>(+IF(AM555&gt;=2015,MAX(VLOOKUP(AM659,'פחתי מים לרשויות מצטרפות'!$A$6:$G$9,MAX($B$3-AM555,0)+3,0)-VLOOKUP(AM$1,'פחת מים וגביה'!$A:$D,3,0),0))*AM404/AM$425)+IF(AND(AM$7="חברה מנהלת",AM18&lt;&gt;""),+VLOOKUP(AM659,'פחתי מים לרשויות מצטרפות'!$A$6:$G$10,5,0)-VLOOKUP(AM11,'פחת מים וגביה'!$A:$D,3,0),0)</f>
        <v>0</v>
      </c>
      <c r="AN577" s="1049">
        <f>(+IF(AN555&gt;=2015,MAX(VLOOKUP(AN659,'פחתי מים לרשויות מצטרפות'!$A$6:$G$9,MAX($B$3-AN555,0)+3,0)-VLOOKUP(AN$1,'פחת מים וגביה'!$A:$D,3,0),0))*AN404/AN$425)+IF(AND(AN$7="חברה מנהלת",AN18&lt;&gt;""),+VLOOKUP(AN659,'פחתי מים לרשויות מצטרפות'!$A$6:$G$10,5,0)-VLOOKUP(AN11,'פחת מים וגביה'!$A:$D,3,0),0)</f>
        <v>0</v>
      </c>
      <c r="AO577" s="1049">
        <f>(+IF(AO555&gt;=2015,MAX(VLOOKUP(AO659,'פחתי מים לרשויות מצטרפות'!$A$6:$G$9,MAX($B$3-AO555,0)+3,0)-VLOOKUP(AO$1,'פחת מים וגביה'!$A:$D,3,0),0))*AO404/AO$425)+IF(AND(AO$7="חברה מנהלת",AO18&lt;&gt;""),+VLOOKUP(AO659,'פחתי מים לרשויות מצטרפות'!$A$6:$G$10,5,0)-VLOOKUP(AO11,'פחת מים וגביה'!$A:$D,3,0),0)</f>
        <v>0</v>
      </c>
      <c r="AP577" s="1049">
        <f>(+IF(AP555&gt;=2015,MAX(VLOOKUP(AP659,'פחתי מים לרשויות מצטרפות'!$A$6:$G$9,MAX($B$3-AP555,0)+3,0)-VLOOKUP(AP$1,'פחת מים וגביה'!$A:$D,3,0),0))*AP404/AP$425)+IF(AND(AP$7="חברה מנהלת",AP18&lt;&gt;""),+VLOOKUP(AP659,'פחתי מים לרשויות מצטרפות'!$A$6:$G$10,5,0)-VLOOKUP(AP11,'פחת מים וגביה'!$A:$D,3,0),0)</f>
        <v>0</v>
      </c>
      <c r="AQ577" s="1049">
        <f>(+IF(AQ555&gt;=2015,MAX(VLOOKUP(AQ659,'פחתי מים לרשויות מצטרפות'!$A$6:$G$9,MAX($B$3-AQ555,0)+3,0)-VLOOKUP(AQ$1,'פחת מים וגביה'!$A:$D,3,0),0))*AQ404/AQ$425)+IF(AND(AQ$7="חברה מנהלת",AQ18&lt;&gt;""),+VLOOKUP(AQ659,'פחתי מים לרשויות מצטרפות'!$A$6:$G$10,5,0)-VLOOKUP(AQ11,'פחת מים וגביה'!$A:$D,3,0),0)</f>
        <v>0</v>
      </c>
      <c r="AR577" s="1049">
        <f>(+IF(AR555&gt;=2015,MAX(VLOOKUP(AR659,'פחתי מים לרשויות מצטרפות'!$A$6:$G$9,MAX($B$3-AR555,0)+3,0)-VLOOKUP(AR$1,'פחת מים וגביה'!$A:$D,3,0),0))*AR404/AR$425)+IF(AND(AR$7="חברה מנהלת",AR18&lt;&gt;""),+VLOOKUP(AR659,'פחתי מים לרשויות מצטרפות'!$A$6:$G$10,5,0)-VLOOKUP(AR11,'פחת מים וגביה'!$A:$D,3,0),0)</f>
        <v>0</v>
      </c>
      <c r="AS577" s="1049">
        <f>(+IF(AS555&gt;=2015,MAX(VLOOKUP(AS659,'פחתי מים לרשויות מצטרפות'!$A$6:$G$9,MAX($B$3-AS555,0)+3,0)-VLOOKUP(AS$1,'פחת מים וגביה'!$A:$D,3,0),0))*AS404/AS$425)+IF(AND(AS$7="חברה מנהלת",AS18&lt;&gt;""),+VLOOKUP(AS659,'פחתי מים לרשויות מצטרפות'!$A$6:$G$10,5,0)-VLOOKUP(AS11,'פחת מים וגביה'!$A:$D,3,0),0)</f>
        <v>0</v>
      </c>
      <c r="AT577" s="1049">
        <f>(+IF(AT555&gt;=2015,MAX(VLOOKUP(AT659,'פחתי מים לרשויות מצטרפות'!$A$6:$G$9,MAX($B$3-AT555,0)+3,0)-VLOOKUP(AT$1,'פחת מים וגביה'!$A:$D,3,0),0))*AT404/AT$425)+IF(AND(AT$7="חברה מנהלת",AT18&lt;&gt;""),+VLOOKUP(AT659,'פחתי מים לרשויות מצטרפות'!$A$6:$G$10,5,0)-VLOOKUP(AT11,'פחת מים וגביה'!$A:$D,3,0),0)</f>
        <v>0</v>
      </c>
      <c r="AU577" s="1049">
        <f>(+IF(AU555&gt;=2015,MAX(VLOOKUP(AU659,'פחתי מים לרשויות מצטרפות'!$A$6:$G$9,MAX($B$3-AU555,0)+3,0)-VLOOKUP(AU$1,'פחת מים וגביה'!$A:$D,3,0),0))*AU404/AU$425)+IF(AND(AU$7="חברה מנהלת",AU18&lt;&gt;""),+VLOOKUP(AU659,'פחתי מים לרשויות מצטרפות'!$A$6:$G$10,5,0)-VLOOKUP(AU11,'פחת מים וגביה'!$A:$D,3,0),0)</f>
        <v>0</v>
      </c>
      <c r="AV577" s="1049">
        <f>(+IF(AV555&gt;=2015,MAX(VLOOKUP(AV659,'פחתי מים לרשויות מצטרפות'!$A$6:$G$9,MAX($B$3-AV555,0)+3,0)-VLOOKUP(AV$1,'פחת מים וגביה'!$A:$D,3,0),0))*AV404/AV$425)+IF(AND(AV$7="חברה מנהלת",AV18&lt;&gt;""),+VLOOKUP(AV659,'פחתי מים לרשויות מצטרפות'!$A$6:$G$10,5,0)-VLOOKUP(AV11,'פחת מים וגביה'!$A:$D,3,0),0)</f>
        <v>0</v>
      </c>
      <c r="AW577" s="1049">
        <f>(+IF(AW555&gt;=2015,MAX(VLOOKUP(AW659,'פחתי מים לרשויות מצטרפות'!$A$6:$G$9,MAX($B$3-AW555,0)+3,0)-VLOOKUP(AW$1,'פחת מים וגביה'!$A:$D,3,0),0))*AW404/AW$425)+IF(AND(AW$7="חברה מנהלת",AW18&lt;&gt;""),+VLOOKUP(AW659,'פחתי מים לרשויות מצטרפות'!$A$6:$G$10,5,0)-VLOOKUP(AW11,'פחת מים וגביה'!$A:$D,3,0),0)</f>
        <v>0</v>
      </c>
      <c r="AX577" s="1049">
        <f>(+IF(AX555&gt;=2015,MAX(VLOOKUP(AX659,'פחתי מים לרשויות מצטרפות'!$A$6:$G$9,MAX($B$3-AX555,0)+3,0)-VLOOKUP(AX$1,'פחת מים וגביה'!$A:$D,3,0),0))*AX404/AX$425)+IF(AND(AX$7="חברה מנהלת",AX18&lt;&gt;""),+VLOOKUP(AX659,'פחתי מים לרשויות מצטרפות'!$A$6:$G$10,5,0)-VLOOKUP(AX11,'פחת מים וגביה'!$A:$D,3,0),0)</f>
        <v>0</v>
      </c>
      <c r="AY577" s="1049">
        <f>(+IF(AY555&gt;=2015,MAX(VLOOKUP(AY659,'פחתי מים לרשויות מצטרפות'!$A$6:$G$9,MAX($B$3-AY555,0)+3,0)-VLOOKUP(AY$1,'פחת מים וגביה'!$A:$D,3,0),0))*AY404/AY$425)+IF(AND(AY$7="חברה מנהלת",AY18&lt;&gt;""),+VLOOKUP(AY659,'פחתי מים לרשויות מצטרפות'!$A$6:$G$10,5,0)-VLOOKUP(AY11,'פחת מים וגביה'!$A:$D,3,0),0)</f>
        <v>0</v>
      </c>
      <c r="AZ577" s="1049">
        <f>(+IF(AZ555&gt;=2015,MAX(VLOOKUP(AZ659,'פחתי מים לרשויות מצטרפות'!$A$6:$G$9,MAX($B$3-AZ555,0)+3,0)-VLOOKUP(AZ$1,'פחת מים וגביה'!$A:$D,3,0),0))*AZ404/AZ$425)+IF(AND(AZ$7="חברה מנהלת",AZ18&lt;&gt;""),+VLOOKUP(AZ659,'פחתי מים לרשויות מצטרפות'!$A$6:$G$10,5,0)-VLOOKUP(AZ11,'פחת מים וגביה'!$A:$D,3,0),0)</f>
        <v>0</v>
      </c>
      <c r="BA577" s="1049">
        <f>(+IF(BA555&gt;=2015,MAX(VLOOKUP(BA659,'פחתי מים לרשויות מצטרפות'!$A$6:$G$9,MAX($B$3-BA555,0)+3,0)-VLOOKUP(BA$1,'פחת מים וגביה'!$A:$D,3,0),0))*BA404/BA$425)+IF(AND(BA$7="חברה מנהלת",BA18&lt;&gt;""),+VLOOKUP(BA659,'פחתי מים לרשויות מצטרפות'!$A$6:$G$10,5,0)-VLOOKUP(BA11,'פחת מים וגביה'!$A:$D,3,0),0)</f>
        <v>0</v>
      </c>
      <c r="BB577" s="1049">
        <f>(+IF(BB555&gt;=2015,MAX(VLOOKUP(BB659,'פחתי מים לרשויות מצטרפות'!$A$6:$G$9,MAX($B$3-BB555,0)+3,0)-VLOOKUP(BB$1,'פחת מים וגביה'!$A:$D,3,0),0))*BB404/BB$425)+IF(AND(BB$7="חברה מנהלת",BB18&lt;&gt;""),+VLOOKUP(BB659,'פחתי מים לרשויות מצטרפות'!$A$6:$G$10,5,0)-VLOOKUP(BB11,'פחת מים וגביה'!$A:$D,3,0),0)</f>
        <v>0</v>
      </c>
      <c r="BC577" s="1049">
        <f>(+IF(BC555&gt;=2015,MAX(VLOOKUP(BC659,'פחתי מים לרשויות מצטרפות'!$A$6:$G$9,MAX($B$3-BC555,0)+3,0)-VLOOKUP(BC$1,'פחת מים וגביה'!$A:$D,3,0),0))*BC404/BC$425)+IF(AND(BC$7="חברה מנהלת",BC18&lt;&gt;""),+VLOOKUP(BC659,'פחתי מים לרשויות מצטרפות'!$A$6:$G$10,5,0)-VLOOKUP(BC11,'פחת מים וגביה'!$A:$D,3,0),0)</f>
        <v>0</v>
      </c>
      <c r="BD577" s="1049">
        <f>(+IF(BD555&gt;=2015,MAX(VLOOKUP(BD659,'פחתי מים לרשויות מצטרפות'!$A$6:$G$9,MAX($B$3-BD555,0)+3,0)-VLOOKUP(BD$1,'פחת מים וגביה'!$A:$D,3,0),0))*BD404/BD$425)+IF(AND(BD$7="חברה מנהלת",BD18&lt;&gt;""),+VLOOKUP(BD659,'פחתי מים לרשויות מצטרפות'!$A$6:$G$10,5,0)-VLOOKUP(BD11,'פחת מים וגביה'!$A:$D,3,0),0)</f>
        <v>0</v>
      </c>
      <c r="BE577" s="1049">
        <f>(+IF(BE555&gt;=2015,MAX(VLOOKUP(BE659,'פחתי מים לרשויות מצטרפות'!$A$6:$G$9,MAX($B$3-BE555,0)+3,0)-VLOOKUP(BE$1,'פחת מים וגביה'!$A:$D,3,0),0))*BE404/BE$425)+IF(AND(BE$7="חברה מנהלת",BE18&lt;&gt;""),+VLOOKUP(BE659,'פחתי מים לרשויות מצטרפות'!$A$6:$G$10,5,0)-VLOOKUP(BE11,'פחת מים וגביה'!$A:$D,3,0),0)</f>
        <v>0</v>
      </c>
      <c r="BF577" s="1049">
        <f>(+IF(BF555&gt;=2015,MAX(VLOOKUP(BF659,'פחתי מים לרשויות מצטרפות'!$A$6:$G$9,MAX($B$3-BF555,0)+3,0)-VLOOKUP(BF$1,'פחת מים וגביה'!$A:$D,3,0),0))*BF404/BF$425)+IF(AND(BF$7="חברה מנהלת",BF18&lt;&gt;""),+VLOOKUP(BF659,'פחתי מים לרשויות מצטרפות'!$A$6:$G$10,5,0)-VLOOKUP(BF11,'פחת מים וגביה'!$A:$D,3,0),0)</f>
        <v>0</v>
      </c>
    </row>
    <row r="578" spans="1:58" x14ac:dyDescent="0.2">
      <c r="C578" s="1049">
        <f>(+IF(C556&gt;=2015,MAX(VLOOKUP(C660,'פחתי מים לרשויות מצטרפות'!$A$6:$G$9,MAX($B$3-C556,0)+3,0)-VLOOKUP(C$1,'פחת מים וגביה'!$A:$D,3,0),0))*C405/C$425)+IF(AND(C$7="חברה מנהלת",C19&lt;&gt;""),+VLOOKUP(C660,'פחתי מים לרשויות מצטרפות'!$A$6:$G$10,5,0)-VLOOKUP(C12,'פחת מים וגביה'!$A:$D,3,0),0)</f>
        <v>0</v>
      </c>
      <c r="D578" s="1049">
        <f>(+IF(D556&gt;=2015,MAX(VLOOKUP(D660,'פחתי מים לרשויות מצטרפות'!$A$6:$G$9,MAX($B$3-D556,0)+3,0)-VLOOKUP(D$1,'פחת מים וגביה'!$A:$D,3,0),0))*D405/D$425)+IF(AND(D$7="חברה מנהלת",D19&lt;&gt;""),+VLOOKUP(D660,'פחתי מים לרשויות מצטרפות'!$A$6:$G$10,5,0)-VLOOKUP(D12,'פחת מים וגביה'!$A:$D,3,0),0)</f>
        <v>0</v>
      </c>
      <c r="E578" s="1049">
        <f>(+IF(E556&gt;=2015,MAX(VLOOKUP(E660,'פחתי מים לרשויות מצטרפות'!$A$6:$G$9,MAX($B$3-E556,0)+3,0)-VLOOKUP(E$1,'פחת מים וגביה'!$A:$D,3,0),0))*E405/E$425)+IF(AND(E$7="חברה מנהלת",E19&lt;&gt;""),+VLOOKUP(E660,'פחתי מים לרשויות מצטרפות'!$A$6:$G$10,5,0)-VLOOKUP(E12,'פחת מים וגביה'!$A:$D,3,0),0)</f>
        <v>0</v>
      </c>
      <c r="F578" s="1049">
        <f>(+IF(F556&gt;=2015,MAX(VLOOKUP(F660,'פחתי מים לרשויות מצטרפות'!$A$6:$G$9,MAX($B$3-F556,0)+3,0)-VLOOKUP(F$1,'פחת מים וגביה'!$A:$D,3,0),0))*F405/F$425)+IF(AND(F$7="חברה מנהלת",F19&lt;&gt;""),+VLOOKUP(F660,'פחתי מים לרשויות מצטרפות'!$A$6:$G$10,5,0)-VLOOKUP(F12,'פחת מים וגביה'!$A:$D,3,0),0)</f>
        <v>0</v>
      </c>
      <c r="G578" s="1049">
        <f>(+IF(G556&gt;=2015,MAX(VLOOKUP(G660,'פחתי מים לרשויות מצטרפות'!$A$6:$G$9,MAX($B$3-G556,0)+3,0)-VLOOKUP(G$1,'פחת מים וגביה'!$A:$D,3,0),0))*G405/G$425)+IF(AND(G$7="חברה מנהלת",G19&lt;&gt;""),+VLOOKUP(G660,'פחתי מים לרשויות מצטרפות'!$A$6:$G$10,5,0)-VLOOKUP(G12,'פחת מים וגביה'!$A:$D,3,0),0)</f>
        <v>0</v>
      </c>
      <c r="H578" s="1049">
        <f>(+IF(H556&gt;=2015,MAX(VLOOKUP(H660,'פחתי מים לרשויות מצטרפות'!$A$6:$G$9,MAX($B$3-H556,0)+3,0)-VLOOKUP(H$1,'פחת מים וגביה'!$A:$D,3,0),0))*H405/H$425)+IF(AND(H$7="חברה מנהלת",H19&lt;&gt;""),+VLOOKUP(H660,'פחתי מים לרשויות מצטרפות'!$A$6:$G$10,5,0)-VLOOKUP(H12,'פחת מים וגביה'!$A:$D,3,0),0)</f>
        <v>0</v>
      </c>
      <c r="I578" s="1049">
        <f>(+IF(I556&gt;=2015,MAX(VLOOKUP(I660,'פחתי מים לרשויות מצטרפות'!$A$6:$G$9,MAX($B$3-I556,0)+3,0)-VLOOKUP(I$1,'פחת מים וגביה'!$A:$D,3,0),0))*I405/I$425)+IF(AND(I$7="חברה מנהלת",I19&lt;&gt;""),+VLOOKUP(I660,'פחתי מים לרשויות מצטרפות'!$A$6:$G$10,5,0)-VLOOKUP(I12,'פחת מים וגביה'!$A:$D,3,0),0)</f>
        <v>0</v>
      </c>
      <c r="J578" s="1049">
        <f>(+IF(J556&gt;=2015,MAX(VLOOKUP(J660,'פחתי מים לרשויות מצטרפות'!$A$6:$G$9,MAX($B$3-J556,0)+3,0)-VLOOKUP(J$1,'פחת מים וגביה'!$A:$D,3,0),0))*J405/J$425)+IF(AND(J$7="חברה מנהלת",J19&lt;&gt;""),+VLOOKUP(J660,'פחתי מים לרשויות מצטרפות'!$A$6:$G$10,5,0)-VLOOKUP(J12,'פחת מים וגביה'!$A:$D,3,0),0)</f>
        <v>0</v>
      </c>
      <c r="K578" s="1049">
        <f>(+IF(K556&gt;=2015,MAX(VLOOKUP(K660,'פחתי מים לרשויות מצטרפות'!$A$6:$G$9,MAX($B$3-K556,0)+3,0)-VLOOKUP(K$1,'פחת מים וגביה'!$A:$D,3,0),0))*K405/K$425)+IF(AND(K$7="חברה מנהלת",K19&lt;&gt;""),+VLOOKUP(K660,'פחתי מים לרשויות מצטרפות'!$A$6:$G$10,5,0)-VLOOKUP(K12,'פחת מים וגביה'!$A:$D,3,0),0)</f>
        <v>0</v>
      </c>
      <c r="L578" s="1049">
        <f>(+IF(L556&gt;=2015,MAX(VLOOKUP(L660,'פחתי מים לרשויות מצטרפות'!$A$6:$G$9,MAX($B$3-L556,0)+3,0)-VLOOKUP(L$1,'פחת מים וגביה'!$A:$D,3,0),0))*L405/L$425)+IF(AND(L$7="חברה מנהלת",L19&lt;&gt;""),+VLOOKUP(L660,'פחתי מים לרשויות מצטרפות'!$A$6:$G$10,5,0)-VLOOKUP(L12,'פחת מים וגביה'!$A:$D,3,0),0)</f>
        <v>0</v>
      </c>
      <c r="M578" s="1049">
        <f>(+IF(M556&gt;=2015,MAX(VLOOKUP(M660,'פחתי מים לרשויות מצטרפות'!$A$6:$G$9,MAX($B$3-M556,0)+3,0)-VLOOKUP(M$1,'פחת מים וגביה'!$A:$D,3,0),0))*M405/M$425)+IF(AND(M$7="חברה מנהלת",M19&lt;&gt;""),+VLOOKUP(M660,'פחתי מים לרשויות מצטרפות'!$A$6:$G$10,5,0)-VLOOKUP(M12,'פחת מים וגביה'!$A:$D,3,0),0)</f>
        <v>0</v>
      </c>
      <c r="N578" s="1049">
        <f>(+IF(N556&gt;=2015,MAX(VLOOKUP(N660,'פחתי מים לרשויות מצטרפות'!$A$6:$G$9,MAX($B$3-N556,0)+3,0)-VLOOKUP(N$1,'פחת מים וגביה'!$A:$D,3,0),0))*N405/N$425)+IF(AND(N$7="חברה מנהלת",N19&lt;&gt;""),+VLOOKUP(N660,'פחתי מים לרשויות מצטרפות'!$A$6:$G$10,5,0)-VLOOKUP(N12,'פחת מים וגביה'!$A:$D,3,0),0)</f>
        <v>0</v>
      </c>
      <c r="O578" s="1049">
        <f>(+IF(O556&gt;=2015,MAX(VLOOKUP(O660,'פחתי מים לרשויות מצטרפות'!$A$6:$G$9,MAX($B$3-O556,0)+3,0)-VLOOKUP(O$1,'פחת מים וגביה'!$A:$D,3,0),0))*O405/O$425)+IF(AND(O$7="חברה מנהלת",O19&lt;&gt;""),+VLOOKUP(O660,'פחתי מים לרשויות מצטרפות'!$A$6:$G$10,5,0)-VLOOKUP(O12,'פחת מים וגביה'!$A:$D,3,0),0)</f>
        <v>0</v>
      </c>
      <c r="P578" s="1049">
        <f>(+IF(P556&gt;=2015,MAX(VLOOKUP(P660,'פחתי מים לרשויות מצטרפות'!$A$6:$G$9,MAX($B$3-P556,0)+3,0)-VLOOKUP(P$1,'פחת מים וגביה'!$A:$D,3,0),0))*P405/P$425)+IF(AND(P$7="חברה מנהלת",P19&lt;&gt;""),+VLOOKUP(P660,'פחתי מים לרשויות מצטרפות'!$A$6:$G$10,5,0)-VLOOKUP(P12,'פחת מים וגביה'!$A:$D,3,0),0)</f>
        <v>0</v>
      </c>
      <c r="Q578" s="1049">
        <f>(+IF(Q556&gt;=2015,MAX(VLOOKUP(Q660,'פחתי מים לרשויות מצטרפות'!$A$6:$G$9,MAX($B$3-Q556,0)+3,0)-VLOOKUP(Q$1,'פחת מים וגביה'!$A:$D,3,0),0))*Q405/Q$425)+IF(AND(Q$7="חברה מנהלת",Q19&lt;&gt;""),+VLOOKUP(Q660,'פחתי מים לרשויות מצטרפות'!$A$6:$G$10,5,0)-VLOOKUP(Q12,'פחת מים וגביה'!$A:$D,3,0),0)</f>
        <v>0</v>
      </c>
      <c r="R578" s="1049">
        <f>(+IF(R556&gt;=2015,MAX(VLOOKUP(R660,'פחתי מים לרשויות מצטרפות'!$A$6:$G$9,MAX($B$3-R556,0)+3,0)-VLOOKUP(R$1,'פחת מים וגביה'!$A:$D,3,0),0))*R405/R$425)+IF(AND(R$7="חברה מנהלת",R19&lt;&gt;""),+VLOOKUP(R660,'פחתי מים לרשויות מצטרפות'!$A$6:$G$10,5,0)-VLOOKUP(R12,'פחת מים וגביה'!$A:$D,3,0),0)</f>
        <v>0</v>
      </c>
      <c r="S578" s="1049">
        <f>(+IF(S556&gt;=2015,MAX(VLOOKUP(S660,'פחתי מים לרשויות מצטרפות'!$A$6:$G$9,MAX($B$3-S556,0)+3,0)-VLOOKUP(S$1,'פחת מים וגביה'!$A:$D,3,0),0))*S405/S$425)+IF(AND(S$7="חברה מנהלת",S19&lt;&gt;""),+VLOOKUP(S660,'פחתי מים לרשויות מצטרפות'!$A$6:$G$10,5,0)-VLOOKUP(S12,'פחת מים וגביה'!$A:$D,3,0),0)</f>
        <v>0</v>
      </c>
      <c r="T578" s="1049">
        <f>(+IF(T556&gt;=2015,MAX(VLOOKUP(T660,'פחתי מים לרשויות מצטרפות'!$A$6:$G$9,MAX($B$3-T556,0)+3,0)-VLOOKUP(T$1,'פחת מים וגביה'!$A:$D,3,0),0))*T405/T$425)+IF(AND(T$7="חברה מנהלת",T19&lt;&gt;""),+VLOOKUP(T660,'פחתי מים לרשויות מצטרפות'!$A$6:$G$10,5,0)-VLOOKUP(T12,'פחת מים וגביה'!$A:$D,3,0),0)</f>
        <v>0</v>
      </c>
      <c r="U578" s="1049">
        <f>(+IF(U556&gt;=2015,MAX(VLOOKUP(U660,'פחתי מים לרשויות מצטרפות'!$A$6:$G$9,MAX($B$3-U556,0)+3,0)-VLOOKUP(U$1,'פחת מים וגביה'!$A:$D,3,0),0))*U405/U$425)+IF(AND(U$7="חברה מנהלת",U19&lt;&gt;""),+VLOOKUP(U660,'פחתי מים לרשויות מצטרפות'!$A$6:$G$10,5,0)-VLOOKUP(U12,'פחת מים וגביה'!$A:$D,3,0),0)</f>
        <v>0</v>
      </c>
      <c r="V578" s="1049">
        <f>(+IF(V556&gt;=2015,MAX(VLOOKUP(V660,'פחתי מים לרשויות מצטרפות'!$A$6:$G$9,MAX($B$3-V556,0)+3,0)-VLOOKUP(V$1,'פחת מים וגביה'!$A:$D,3,0),0))*V405/V$425)+IF(AND(V$7="חברה מנהלת",V19&lt;&gt;""),+VLOOKUP(V660,'פחתי מים לרשויות מצטרפות'!$A$6:$G$10,5,0)-VLOOKUP(V12,'פחת מים וגביה'!$A:$D,3,0),0)</f>
        <v>0</v>
      </c>
      <c r="W578" s="1049">
        <f>(+IF(W556&gt;=2015,MAX(VLOOKUP(W660,'פחתי מים לרשויות מצטרפות'!$A$6:$G$9,MAX($B$3-W556,0)+3,0)-VLOOKUP(W$1,'פחת מים וגביה'!$A:$D,3,0),0))*W405/W$425)+IF(AND(W$7="חברה מנהלת",W19&lt;&gt;""),+VLOOKUP(W660,'פחתי מים לרשויות מצטרפות'!$A$6:$G$10,5,0)-VLOOKUP(W12,'פחת מים וגביה'!$A:$D,3,0),0)</f>
        <v>0</v>
      </c>
      <c r="X578" s="1049">
        <f>(+IF(X556&gt;=2015,MAX(VLOOKUP(X660,'פחתי מים לרשויות מצטרפות'!$A$6:$G$9,MAX($B$3-X556,0)+3,0)-VLOOKUP(X$1,'פחת מים וגביה'!$A:$D,3,0),0))*X405/X$425)+IF(AND(X$7="חברה מנהלת",X19&lt;&gt;""),+VLOOKUP(X660,'פחתי מים לרשויות מצטרפות'!$A$6:$G$10,5,0)-VLOOKUP(X12,'פחת מים וגביה'!$A:$D,3,0),0)</f>
        <v>0</v>
      </c>
      <c r="Y578" s="1049">
        <f>(+IF(Y556&gt;=2015,MAX(VLOOKUP(Y660,'פחתי מים לרשויות מצטרפות'!$A$6:$G$9,MAX($B$3-Y556,0)+3,0)-VLOOKUP(Y$1,'פחת מים וגביה'!$A:$D,3,0),0))*Y405/Y$425)+IF(AND(Y$7="חברה מנהלת",Y19&lt;&gt;""),+VLOOKUP(Y660,'פחתי מים לרשויות מצטרפות'!$A$6:$G$10,5,0)-VLOOKUP(Y12,'פחת מים וגביה'!$A:$D,3,0),0)</f>
        <v>0</v>
      </c>
      <c r="Z578" s="1049">
        <f>(+IF(Z556&gt;=2015,MAX(VLOOKUP(Z660,'פחתי מים לרשויות מצטרפות'!$A$6:$G$9,MAX($B$3-Z556,0)+3,0)-VLOOKUP(Z$1,'פחת מים וגביה'!$A:$D,3,0),0))*Z405/Z$425)+IF(AND(Z$7="חברה מנהלת",Z19&lt;&gt;""),+VLOOKUP(Z660,'פחתי מים לרשויות מצטרפות'!$A$6:$G$10,5,0)-VLOOKUP(Z12,'פחת מים וגביה'!$A:$D,3,0),0)</f>
        <v>0</v>
      </c>
      <c r="AA578" s="1049">
        <f>(+IF(AA556&gt;=2015,MAX(VLOOKUP(AA660,'פחתי מים לרשויות מצטרפות'!$A$6:$G$9,MAX($B$3-AA556,0)+3,0)-VLOOKUP(AA$1,'פחת מים וגביה'!$A:$D,3,0),0))*AA405/AA$425)+IF(AND(AA$7="חברה מנהלת",AA19&lt;&gt;""),+VLOOKUP(AA660,'פחתי מים לרשויות מצטרפות'!$A$6:$G$10,5,0)-VLOOKUP(AA12,'פחת מים וגביה'!$A:$D,3,0),0)</f>
        <v>0</v>
      </c>
      <c r="AB578" s="1049">
        <f>(+IF(AB556&gt;=2015,MAX(VLOOKUP(AB660,'פחתי מים לרשויות מצטרפות'!$A$6:$G$9,MAX($B$3-AB556,0)+3,0)-VLOOKUP(AB$1,'פחת מים וגביה'!$A:$D,3,0),0))*AB405/AB$425)+IF(AND(AB$7="חברה מנהלת",AB19&lt;&gt;""),+VLOOKUP(AB660,'פחתי מים לרשויות מצטרפות'!$A$6:$G$10,5,0)-VLOOKUP(AB12,'פחת מים וגביה'!$A:$D,3,0),0)</f>
        <v>0</v>
      </c>
      <c r="AC578" s="1049">
        <f>(+IF(AC556&gt;=2015,MAX(VLOOKUP(AC660,'פחתי מים לרשויות מצטרפות'!$A$6:$G$9,MAX($B$3-AC556,0)+3,0)-VLOOKUP(AC$1,'פחת מים וגביה'!$A:$D,3,0),0))*AC405/AC$425)+IF(AND(AC$7="חברה מנהלת",AC19&lt;&gt;""),+VLOOKUP(AC660,'פחתי מים לרשויות מצטרפות'!$A$6:$G$10,5,0)-VLOOKUP(AC12,'פחת מים וגביה'!$A:$D,3,0),0)</f>
        <v>0</v>
      </c>
      <c r="AD578" s="1049">
        <f>(+IF(AD556&gt;=2015,MAX(VLOOKUP(AD660,'פחתי מים לרשויות מצטרפות'!$A$6:$G$9,MAX($B$3-AD556,0)+3,0)-VLOOKUP(AD$1,'פחת מים וגביה'!$A:$D,3,0),0))*AD405/AD$425)+IF(AND(AD$7="חברה מנהלת",AD19&lt;&gt;""),+VLOOKUP(AD660,'פחתי מים לרשויות מצטרפות'!$A$6:$G$10,5,0)-VLOOKUP(AD12,'פחת מים וגביה'!$A:$D,3,0),0)</f>
        <v>0</v>
      </c>
      <c r="AE578" s="1049">
        <f>(+IF(AE556&gt;=2015,MAX(VLOOKUP(AE660,'פחתי מים לרשויות מצטרפות'!$A$6:$G$9,MAX($B$3-AE556,0)+3,0)-VLOOKUP(AE$1,'פחת מים וגביה'!$A:$D,3,0),0))*AE405/AE$425)+IF(AND(AE$7="חברה מנהלת",AE19&lt;&gt;""),+VLOOKUP(AE660,'פחתי מים לרשויות מצטרפות'!$A$6:$G$10,5,0)-VLOOKUP(AE12,'פחת מים וגביה'!$A:$D,3,0),0)</f>
        <v>0</v>
      </c>
      <c r="AF578" s="1049">
        <f>(+IF(AF556&gt;=2015,MAX(VLOOKUP(AF660,'פחתי מים לרשויות מצטרפות'!$A$6:$G$9,MAX($B$3-AF556,0)+3,0)-VLOOKUP(AF$1,'פחת מים וגביה'!$A:$D,3,0),0))*AF405/AF$425)+IF(AND(AF$7="חברה מנהלת",AF19&lt;&gt;""),+VLOOKUP(AF660,'פחתי מים לרשויות מצטרפות'!$A$6:$G$10,5,0)-VLOOKUP(AF12,'פחת מים וגביה'!$A:$D,3,0),0)</f>
        <v>0</v>
      </c>
      <c r="AG578" s="1049">
        <f>(+IF(AG556&gt;=2015,MAX(VLOOKUP(AG660,'פחתי מים לרשויות מצטרפות'!$A$6:$G$9,MAX($B$3-AG556,0)+3,0)-VLOOKUP(AG$1,'פחת מים וגביה'!$A:$D,3,0),0))*AG405/AG$425)+IF(AND(AG$7="חברה מנהלת",AG19&lt;&gt;""),+VLOOKUP(AG660,'פחתי מים לרשויות מצטרפות'!$A$6:$G$10,5,0)-VLOOKUP(AG12,'פחת מים וגביה'!$A:$D,3,0),0)</f>
        <v>0</v>
      </c>
      <c r="AH578" s="1049">
        <f>(+IF(AH556&gt;=2015,MAX(VLOOKUP(AH660,'פחתי מים לרשויות מצטרפות'!$A$6:$G$9,MAX($B$3-AH556,0)+3,0)-VLOOKUP(AH$1,'פחת מים וגביה'!$A:$D,3,0),0))*AH405/AH$425)+IF(AND(AH$7="חברה מנהלת",AH19&lt;&gt;""),+VLOOKUP(AH660,'פחתי מים לרשויות מצטרפות'!$A$6:$G$10,5,0)-VLOOKUP(AH12,'פחת מים וגביה'!$A:$D,3,0),0)</f>
        <v>0</v>
      </c>
      <c r="AI578" s="1049">
        <f>(+IF(AI556&gt;=2015,MAX(VLOOKUP(AI660,'פחתי מים לרשויות מצטרפות'!$A$6:$G$9,MAX($B$3-AI556,0)+3,0)-VLOOKUP(AI$1,'פחת מים וגביה'!$A:$D,3,0),0))*AI405/AI$425)+IF(AND(AI$7="חברה מנהלת",AI19&lt;&gt;""),+VLOOKUP(AI660,'פחתי מים לרשויות מצטרפות'!$A$6:$G$10,5,0)-VLOOKUP(AI12,'פחת מים וגביה'!$A:$D,3,0),0)</f>
        <v>0</v>
      </c>
      <c r="AJ578" s="1049">
        <f>(+IF(AJ556&gt;=2015,MAX(VLOOKUP(AJ660,'פחתי מים לרשויות מצטרפות'!$A$6:$G$9,MAX($B$3-AJ556,0)+3,0)-VLOOKUP(AJ$1,'פחת מים וגביה'!$A:$D,3,0),0))*AJ405/AJ$425)+IF(AND(AJ$7="חברה מנהלת",AJ19&lt;&gt;""),+VLOOKUP(AJ660,'פחתי מים לרשויות מצטרפות'!$A$6:$G$10,5,0)-VLOOKUP(AJ12,'פחת מים וגביה'!$A:$D,3,0),0)</f>
        <v>0</v>
      </c>
      <c r="AK578" s="1049">
        <f>(+IF(AK556&gt;=2015,MAX(VLOOKUP(AK660,'פחתי מים לרשויות מצטרפות'!$A$6:$G$9,MAX($B$3-AK556,0)+3,0)-VLOOKUP(AK$1,'פחת מים וגביה'!$A:$D,3,0),0))*AK405/AK$425)+IF(AND(AK$7="חברה מנהלת",AK19&lt;&gt;""),+VLOOKUP(AK660,'פחתי מים לרשויות מצטרפות'!$A$6:$G$10,5,0)-VLOOKUP(AK12,'פחת מים וגביה'!$A:$D,3,0),0)</f>
        <v>0</v>
      </c>
      <c r="AL578" s="1049">
        <f>(+IF(AL556&gt;=2015,MAX(VLOOKUP(AL660,'פחתי מים לרשויות מצטרפות'!$A$6:$G$9,MAX($B$3-AL556,0)+3,0)-VLOOKUP(AL$1,'פחת מים וגביה'!$A:$D,3,0),0))*AL405/AL$425)+IF(AND(AL$7="חברה מנהלת",AL19&lt;&gt;""),+VLOOKUP(AL660,'פחתי מים לרשויות מצטרפות'!$A$6:$G$10,5,0)-VLOOKUP(AL12,'פחת מים וגביה'!$A:$D,3,0),0)</f>
        <v>0</v>
      </c>
      <c r="AM578" s="1049">
        <f>(+IF(AM556&gt;=2015,MAX(VLOOKUP(AM660,'פחתי מים לרשויות מצטרפות'!$A$6:$G$9,MAX($B$3-AM556,0)+3,0)-VLOOKUP(AM$1,'פחת מים וגביה'!$A:$D,3,0),0))*AM405/AM$425)+IF(AND(AM$7="חברה מנהלת",AM19&lt;&gt;""),+VLOOKUP(AM660,'פחתי מים לרשויות מצטרפות'!$A$6:$G$10,5,0)-VLOOKUP(AM12,'פחת מים וגביה'!$A:$D,3,0),0)</f>
        <v>0</v>
      </c>
      <c r="AN578" s="1049">
        <f>(+IF(AN556&gt;=2015,MAX(VLOOKUP(AN660,'פחתי מים לרשויות מצטרפות'!$A$6:$G$9,MAX($B$3-AN556,0)+3,0)-VLOOKUP(AN$1,'פחת מים וגביה'!$A:$D,3,0),0))*AN405/AN$425)+IF(AND(AN$7="חברה מנהלת",AN19&lt;&gt;""),+VLOOKUP(AN660,'פחתי מים לרשויות מצטרפות'!$A$6:$G$10,5,0)-VLOOKUP(AN12,'פחת מים וגביה'!$A:$D,3,0),0)</f>
        <v>0</v>
      </c>
      <c r="AO578" s="1049">
        <f>(+IF(AO556&gt;=2015,MAX(VLOOKUP(AO660,'פחתי מים לרשויות מצטרפות'!$A$6:$G$9,MAX($B$3-AO556,0)+3,0)-VLOOKUP(AO$1,'פחת מים וגביה'!$A:$D,3,0),0))*AO405/AO$425)+IF(AND(AO$7="חברה מנהלת",AO19&lt;&gt;""),+VLOOKUP(AO660,'פחתי מים לרשויות מצטרפות'!$A$6:$G$10,5,0)-VLOOKUP(AO12,'פחת מים וגביה'!$A:$D,3,0),0)</f>
        <v>0</v>
      </c>
      <c r="AP578" s="1049">
        <f>(+IF(AP556&gt;=2015,MAX(VLOOKUP(AP660,'פחתי מים לרשויות מצטרפות'!$A$6:$G$9,MAX($B$3-AP556,0)+3,0)-VLOOKUP(AP$1,'פחת מים וגביה'!$A:$D,3,0),0))*AP405/AP$425)+IF(AND(AP$7="חברה מנהלת",AP19&lt;&gt;""),+VLOOKUP(AP660,'פחתי מים לרשויות מצטרפות'!$A$6:$G$10,5,0)-VLOOKUP(AP12,'פחת מים וגביה'!$A:$D,3,0),0)</f>
        <v>0</v>
      </c>
      <c r="AQ578" s="1049">
        <f>(+IF(AQ556&gt;=2015,MAX(VLOOKUP(AQ660,'פחתי מים לרשויות מצטרפות'!$A$6:$G$9,MAX($B$3-AQ556,0)+3,0)-VLOOKUP(AQ$1,'פחת מים וגביה'!$A:$D,3,0),0))*AQ405/AQ$425)+IF(AND(AQ$7="חברה מנהלת",AQ19&lt;&gt;""),+VLOOKUP(AQ660,'פחתי מים לרשויות מצטרפות'!$A$6:$G$10,5,0)-VLOOKUP(AQ12,'פחת מים וגביה'!$A:$D,3,0),0)</f>
        <v>0</v>
      </c>
      <c r="AR578" s="1049">
        <f>(+IF(AR556&gt;=2015,MAX(VLOOKUP(AR660,'פחתי מים לרשויות מצטרפות'!$A$6:$G$9,MAX($B$3-AR556,0)+3,0)-VLOOKUP(AR$1,'פחת מים וגביה'!$A:$D,3,0),0))*AR405/AR$425)+IF(AND(AR$7="חברה מנהלת",AR19&lt;&gt;""),+VLOOKUP(AR660,'פחתי מים לרשויות מצטרפות'!$A$6:$G$10,5,0)-VLOOKUP(AR12,'פחת מים וגביה'!$A:$D,3,0),0)</f>
        <v>0</v>
      </c>
      <c r="AS578" s="1049">
        <f>(+IF(AS556&gt;=2015,MAX(VLOOKUP(AS660,'פחתי מים לרשויות מצטרפות'!$A$6:$G$9,MAX($B$3-AS556,0)+3,0)-VLOOKUP(AS$1,'פחת מים וגביה'!$A:$D,3,0),0))*AS405/AS$425)+IF(AND(AS$7="חברה מנהלת",AS19&lt;&gt;""),+VLOOKUP(AS660,'פחתי מים לרשויות מצטרפות'!$A$6:$G$10,5,0)-VLOOKUP(AS12,'פחת מים וגביה'!$A:$D,3,0),0)</f>
        <v>0</v>
      </c>
      <c r="AT578" s="1049">
        <f>(+IF(AT556&gt;=2015,MAX(VLOOKUP(AT660,'פחתי מים לרשויות מצטרפות'!$A$6:$G$9,MAX($B$3-AT556,0)+3,0)-VLOOKUP(AT$1,'פחת מים וגביה'!$A:$D,3,0),0))*AT405/AT$425)+IF(AND(AT$7="חברה מנהלת",AT19&lt;&gt;""),+VLOOKUP(AT660,'פחתי מים לרשויות מצטרפות'!$A$6:$G$10,5,0)-VLOOKUP(AT12,'פחת מים וגביה'!$A:$D,3,0),0)</f>
        <v>0</v>
      </c>
      <c r="AU578" s="1049">
        <f>(+IF(AU556&gt;=2015,MAX(VLOOKUP(AU660,'פחתי מים לרשויות מצטרפות'!$A$6:$G$9,MAX($B$3-AU556,0)+3,0)-VLOOKUP(AU$1,'פחת מים וגביה'!$A:$D,3,0),0))*AU405/AU$425)+IF(AND(AU$7="חברה מנהלת",AU19&lt;&gt;""),+VLOOKUP(AU660,'פחתי מים לרשויות מצטרפות'!$A$6:$G$10,5,0)-VLOOKUP(AU12,'פחת מים וגביה'!$A:$D,3,0),0)</f>
        <v>0</v>
      </c>
      <c r="AV578" s="1049">
        <f>(+IF(AV556&gt;=2015,MAX(VLOOKUP(AV660,'פחתי מים לרשויות מצטרפות'!$A$6:$G$9,MAX($B$3-AV556,0)+3,0)-VLOOKUP(AV$1,'פחת מים וגביה'!$A:$D,3,0),0))*AV405/AV$425)+IF(AND(AV$7="חברה מנהלת",AV19&lt;&gt;""),+VLOOKUP(AV660,'פחתי מים לרשויות מצטרפות'!$A$6:$G$10,5,0)-VLOOKUP(AV12,'פחת מים וגביה'!$A:$D,3,0),0)</f>
        <v>0</v>
      </c>
      <c r="AW578" s="1049">
        <f>(+IF(AW556&gt;=2015,MAX(VLOOKUP(AW660,'פחתי מים לרשויות מצטרפות'!$A$6:$G$9,MAX($B$3-AW556,0)+3,0)-VLOOKUP(AW$1,'פחת מים וגביה'!$A:$D,3,0),0))*AW405/AW$425)+IF(AND(AW$7="חברה מנהלת",AW19&lt;&gt;""),+VLOOKUP(AW660,'פחתי מים לרשויות מצטרפות'!$A$6:$G$10,5,0)-VLOOKUP(AW12,'פחת מים וגביה'!$A:$D,3,0),0)</f>
        <v>0</v>
      </c>
      <c r="AX578" s="1049">
        <f>(+IF(AX556&gt;=2015,MAX(VLOOKUP(AX660,'פחתי מים לרשויות מצטרפות'!$A$6:$G$9,MAX($B$3-AX556,0)+3,0)-VLOOKUP(AX$1,'פחת מים וגביה'!$A:$D,3,0),0))*AX405/AX$425)+IF(AND(AX$7="חברה מנהלת",AX19&lt;&gt;""),+VLOOKUP(AX660,'פחתי מים לרשויות מצטרפות'!$A$6:$G$10,5,0)-VLOOKUP(AX12,'פחת מים וגביה'!$A:$D,3,0),0)</f>
        <v>0</v>
      </c>
      <c r="AY578" s="1049">
        <f>(+IF(AY556&gt;=2015,MAX(VLOOKUP(AY660,'פחתי מים לרשויות מצטרפות'!$A$6:$G$9,MAX($B$3-AY556,0)+3,0)-VLOOKUP(AY$1,'פחת מים וגביה'!$A:$D,3,0),0))*AY405/AY$425)+IF(AND(AY$7="חברה מנהלת",AY19&lt;&gt;""),+VLOOKUP(AY660,'פחתי מים לרשויות מצטרפות'!$A$6:$G$10,5,0)-VLOOKUP(AY12,'פחת מים וגביה'!$A:$D,3,0),0)</f>
        <v>0</v>
      </c>
      <c r="AZ578" s="1049">
        <f>(+IF(AZ556&gt;=2015,MAX(VLOOKUP(AZ660,'פחתי מים לרשויות מצטרפות'!$A$6:$G$9,MAX($B$3-AZ556,0)+3,0)-VLOOKUP(AZ$1,'פחת מים וגביה'!$A:$D,3,0),0))*AZ405/AZ$425)+IF(AND(AZ$7="חברה מנהלת",AZ19&lt;&gt;""),+VLOOKUP(AZ660,'פחתי מים לרשויות מצטרפות'!$A$6:$G$10,5,0)-VLOOKUP(AZ12,'פחת מים וגביה'!$A:$D,3,0),0)</f>
        <v>0</v>
      </c>
      <c r="BA578" s="1049">
        <f>(+IF(BA556&gt;=2015,MAX(VLOOKUP(BA660,'פחתי מים לרשויות מצטרפות'!$A$6:$G$9,MAX($B$3-BA556,0)+3,0)-VLOOKUP(BA$1,'פחת מים וגביה'!$A:$D,3,0),0))*BA405/BA$425)+IF(AND(BA$7="חברה מנהלת",BA19&lt;&gt;""),+VLOOKUP(BA660,'פחתי מים לרשויות מצטרפות'!$A$6:$G$10,5,0)-VLOOKUP(BA12,'פחת מים וגביה'!$A:$D,3,0),0)</f>
        <v>0</v>
      </c>
      <c r="BB578" s="1049">
        <f>(+IF(BB556&gt;=2015,MAX(VLOOKUP(BB660,'פחתי מים לרשויות מצטרפות'!$A$6:$G$9,MAX($B$3-BB556,0)+3,0)-VLOOKUP(BB$1,'פחת מים וגביה'!$A:$D,3,0),0))*BB405/BB$425)+IF(AND(BB$7="חברה מנהלת",BB19&lt;&gt;""),+VLOOKUP(BB660,'פחתי מים לרשויות מצטרפות'!$A$6:$G$10,5,0)-VLOOKUP(BB12,'פחת מים וגביה'!$A:$D,3,0),0)</f>
        <v>0</v>
      </c>
      <c r="BC578" s="1049">
        <f>(+IF(BC556&gt;=2015,MAX(VLOOKUP(BC660,'פחתי מים לרשויות מצטרפות'!$A$6:$G$9,MAX($B$3-BC556,0)+3,0)-VLOOKUP(BC$1,'פחת מים וגביה'!$A:$D,3,0),0))*BC405/BC$425)+IF(AND(BC$7="חברה מנהלת",BC19&lt;&gt;""),+VLOOKUP(BC660,'פחתי מים לרשויות מצטרפות'!$A$6:$G$10,5,0)-VLOOKUP(BC12,'פחת מים וגביה'!$A:$D,3,0),0)</f>
        <v>0</v>
      </c>
      <c r="BD578" s="1049">
        <f>(+IF(BD556&gt;=2015,MAX(VLOOKUP(BD660,'פחתי מים לרשויות מצטרפות'!$A$6:$G$9,MAX($B$3-BD556,0)+3,0)-VLOOKUP(BD$1,'פחת מים וגביה'!$A:$D,3,0),0))*BD405/BD$425)+IF(AND(BD$7="חברה מנהלת",BD19&lt;&gt;""),+VLOOKUP(BD660,'פחתי מים לרשויות מצטרפות'!$A$6:$G$10,5,0)-VLOOKUP(BD12,'פחת מים וגביה'!$A:$D,3,0),0)</f>
        <v>0</v>
      </c>
      <c r="BE578" s="1049">
        <f>(+IF(BE556&gt;=2015,MAX(VLOOKUP(BE660,'פחתי מים לרשויות מצטרפות'!$A$6:$G$9,MAX($B$3-BE556,0)+3,0)-VLOOKUP(BE$1,'פחת מים וגביה'!$A:$D,3,0),0))*BE405/BE$425)+IF(AND(BE$7="חברה מנהלת",BE19&lt;&gt;""),+VLOOKUP(BE660,'פחתי מים לרשויות מצטרפות'!$A$6:$G$10,5,0)-VLOOKUP(BE12,'פחת מים וגביה'!$A:$D,3,0),0)</f>
        <v>0</v>
      </c>
      <c r="BF578" s="1049">
        <f>(+IF(BF556&gt;=2015,MAX(VLOOKUP(BF660,'פחתי מים לרשויות מצטרפות'!$A$6:$G$9,MAX($B$3-BF556,0)+3,0)-VLOOKUP(BF$1,'פחת מים וגביה'!$A:$D,3,0),0))*BF405/BF$425)+IF(AND(BF$7="חברה מנהלת",BF19&lt;&gt;""),+VLOOKUP(BF660,'פחתי מים לרשויות מצטרפות'!$A$6:$G$10,5,0)-VLOOKUP(BF12,'פחת מים וגביה'!$A:$D,3,0),0)</f>
        <v>0</v>
      </c>
    </row>
    <row r="579" spans="1:58" x14ac:dyDescent="0.2">
      <c r="C579" s="1049">
        <f>(+IF(C557&gt;=2015,MAX(VLOOKUP(C661,'פחתי מים לרשויות מצטרפות'!$A$6:$G$9,MAX($B$3-C557,0)+3,0)-VLOOKUP(C$1,'פחת מים וגביה'!$A:$D,3,0),0))*C406/C$425)+IF(AND(C$7="חברה מנהלת",C20&lt;&gt;""),+VLOOKUP(C661,'פחתי מים לרשויות מצטרפות'!$A$6:$G$10,5,0)-VLOOKUP(C13,'פחת מים וגביה'!$A:$D,3,0),0)</f>
        <v>0</v>
      </c>
      <c r="D579" s="1049">
        <f>(+IF(D557&gt;=2015,MAX(VLOOKUP(D661,'פחתי מים לרשויות מצטרפות'!$A$6:$G$9,MAX($B$3-D557,0)+3,0)-VLOOKUP(D$1,'פחת מים וגביה'!$A:$D,3,0),0))*D406/D$425)+IF(AND(D$7="חברה מנהלת",D20&lt;&gt;""),+VLOOKUP(D661,'פחתי מים לרשויות מצטרפות'!$A$6:$G$10,5,0)-VLOOKUP(D13,'פחת מים וגביה'!$A:$D,3,0),0)</f>
        <v>0</v>
      </c>
      <c r="E579" s="1049">
        <f>(+IF(E557&gt;=2015,MAX(VLOOKUP(E661,'פחתי מים לרשויות מצטרפות'!$A$6:$G$9,MAX($B$3-E557,0)+3,0)-VLOOKUP(E$1,'פחת מים וגביה'!$A:$D,3,0),0))*E406/E$425)+IF(AND(E$7="חברה מנהלת",E20&lt;&gt;""),+VLOOKUP(E661,'פחתי מים לרשויות מצטרפות'!$A$6:$G$10,5,0)-VLOOKUP(E13,'פחת מים וגביה'!$A:$D,3,0),0)</f>
        <v>0</v>
      </c>
      <c r="F579" s="1049">
        <f>(+IF(F557&gt;=2015,MAX(VLOOKUP(F661,'פחתי מים לרשויות מצטרפות'!$A$6:$G$9,MAX($B$3-F557,0)+3,0)-VLOOKUP(F$1,'פחת מים וגביה'!$A:$D,3,0),0))*F406/F$425)+IF(AND(F$7="חברה מנהלת",F20&lt;&gt;""),+VLOOKUP(F661,'פחתי מים לרשויות מצטרפות'!$A$6:$G$10,5,0)-VLOOKUP(F13,'פחת מים וגביה'!$A:$D,3,0),0)</f>
        <v>0</v>
      </c>
      <c r="G579" s="1049">
        <f>(+IF(G557&gt;=2015,MAX(VLOOKUP(G661,'פחתי מים לרשויות מצטרפות'!$A$6:$G$9,MAX($B$3-G557,0)+3,0)-VLOOKUP(G$1,'פחת מים וגביה'!$A:$D,3,0),0))*G406/G$425)+IF(AND(G$7="חברה מנהלת",G20&lt;&gt;""),+VLOOKUP(G661,'פחתי מים לרשויות מצטרפות'!$A$6:$G$10,5,0)-VLOOKUP(G13,'פחת מים וגביה'!$A:$D,3,0),0)</f>
        <v>0</v>
      </c>
      <c r="H579" s="1049">
        <f>(+IF(H557&gt;=2015,MAX(VLOOKUP(H661,'פחתי מים לרשויות מצטרפות'!$A$6:$G$9,MAX($B$3-H557,0)+3,0)-VLOOKUP(H$1,'פחת מים וגביה'!$A:$D,3,0),0))*H406/H$425)+IF(AND(H$7="חברה מנהלת",H20&lt;&gt;""),+VLOOKUP(H661,'פחתי מים לרשויות מצטרפות'!$A$6:$G$10,5,0)-VLOOKUP(H13,'פחת מים וגביה'!$A:$D,3,0),0)</f>
        <v>0</v>
      </c>
      <c r="I579" s="1049">
        <f>(+IF(I557&gt;=2015,MAX(VLOOKUP(I661,'פחתי מים לרשויות מצטרפות'!$A$6:$G$9,MAX($B$3-I557,0)+3,0)-VLOOKUP(I$1,'פחת מים וגביה'!$A:$D,3,0),0))*I406/I$425)+IF(AND(I$7="חברה מנהלת",I20&lt;&gt;""),+VLOOKUP(I661,'פחתי מים לרשויות מצטרפות'!$A$6:$G$10,5,0)-VLOOKUP(I13,'פחת מים וגביה'!$A:$D,3,0),0)</f>
        <v>0</v>
      </c>
      <c r="J579" s="1049">
        <f>(+IF(J557&gt;=2015,MAX(VLOOKUP(J661,'פחתי מים לרשויות מצטרפות'!$A$6:$G$9,MAX($B$3-J557,0)+3,0)-VLOOKUP(J$1,'פחת מים וגביה'!$A:$D,3,0),0))*J406/J$425)+IF(AND(J$7="חברה מנהלת",J20&lt;&gt;""),+VLOOKUP(J661,'פחתי מים לרשויות מצטרפות'!$A$6:$G$10,5,0)-VLOOKUP(J13,'פחת מים וגביה'!$A:$D,3,0),0)</f>
        <v>0</v>
      </c>
      <c r="K579" s="1049">
        <f>(+IF(K557&gt;=2015,MAX(VLOOKUP(K661,'פחתי מים לרשויות מצטרפות'!$A$6:$G$9,MAX($B$3-K557,0)+3,0)-VLOOKUP(K$1,'פחת מים וגביה'!$A:$D,3,0),0))*K406/K$425)+IF(AND(K$7="חברה מנהלת",K20&lt;&gt;""),+VLOOKUP(K661,'פחתי מים לרשויות מצטרפות'!$A$6:$G$10,5,0)-VLOOKUP(K13,'פחת מים וגביה'!$A:$D,3,0),0)</f>
        <v>0</v>
      </c>
      <c r="L579" s="1049">
        <f>(+IF(L557&gt;=2015,MAX(VLOOKUP(L661,'פחתי מים לרשויות מצטרפות'!$A$6:$G$9,MAX($B$3-L557,0)+3,0)-VLOOKUP(L$1,'פחת מים וגביה'!$A:$D,3,0),0))*L406/L$425)+IF(AND(L$7="חברה מנהלת",L20&lt;&gt;""),+VLOOKUP(L661,'פחתי מים לרשויות מצטרפות'!$A$6:$G$10,5,0)-VLOOKUP(L13,'פחת מים וגביה'!$A:$D,3,0),0)</f>
        <v>0</v>
      </c>
      <c r="M579" s="1049">
        <f>(+IF(M557&gt;=2015,MAX(VLOOKUP(M661,'פחתי מים לרשויות מצטרפות'!$A$6:$G$9,MAX($B$3-M557,0)+3,0)-VLOOKUP(M$1,'פחת מים וגביה'!$A:$D,3,0),0))*M406/M$425)+IF(AND(M$7="חברה מנהלת",M20&lt;&gt;""),+VLOOKUP(M661,'פחתי מים לרשויות מצטרפות'!$A$6:$G$10,5,0)-VLOOKUP(M13,'פחת מים וגביה'!$A:$D,3,0),0)</f>
        <v>0</v>
      </c>
      <c r="N579" s="1049">
        <f>(+IF(N557&gt;=2015,MAX(VLOOKUP(N661,'פחתי מים לרשויות מצטרפות'!$A$6:$G$9,MAX($B$3-N557,0)+3,0)-VLOOKUP(N$1,'פחת מים וגביה'!$A:$D,3,0),0))*N406/N$425)+IF(AND(N$7="חברה מנהלת",N20&lt;&gt;""),+VLOOKUP(N661,'פחתי מים לרשויות מצטרפות'!$A$6:$G$10,5,0)-VLOOKUP(N13,'פחת מים וגביה'!$A:$D,3,0),0)</f>
        <v>0</v>
      </c>
      <c r="O579" s="1049">
        <f>(+IF(O557&gt;=2015,MAX(VLOOKUP(O661,'פחתי מים לרשויות מצטרפות'!$A$6:$G$9,MAX($B$3-O557,0)+3,0)-VLOOKUP(O$1,'פחת מים וגביה'!$A:$D,3,0),0))*O406/O$425)+IF(AND(O$7="חברה מנהלת",O20&lt;&gt;""),+VLOOKUP(O661,'פחתי מים לרשויות מצטרפות'!$A$6:$G$10,5,0)-VLOOKUP(O13,'פחת מים וגביה'!$A:$D,3,0),0)</f>
        <v>0</v>
      </c>
      <c r="P579" s="1049">
        <f>(+IF(P557&gt;=2015,MAX(VLOOKUP(P661,'פחתי מים לרשויות מצטרפות'!$A$6:$G$9,MAX($B$3-P557,0)+3,0)-VLOOKUP(P$1,'פחת מים וגביה'!$A:$D,3,0),0))*P406/P$425)+IF(AND(P$7="חברה מנהלת",P20&lt;&gt;""),+VLOOKUP(P661,'פחתי מים לרשויות מצטרפות'!$A$6:$G$10,5,0)-VLOOKUP(P13,'פחת מים וגביה'!$A:$D,3,0),0)</f>
        <v>0</v>
      </c>
      <c r="Q579" s="1049">
        <f>(+IF(Q557&gt;=2015,MAX(VLOOKUP(Q661,'פחתי מים לרשויות מצטרפות'!$A$6:$G$9,MAX($B$3-Q557,0)+3,0)-VLOOKUP(Q$1,'פחת מים וגביה'!$A:$D,3,0),0))*Q406/Q$425)+IF(AND(Q$7="חברה מנהלת",Q20&lt;&gt;""),+VLOOKUP(Q661,'פחתי מים לרשויות מצטרפות'!$A$6:$G$10,5,0)-VLOOKUP(Q13,'פחת מים וגביה'!$A:$D,3,0),0)</f>
        <v>0</v>
      </c>
      <c r="R579" s="1049">
        <f>(+IF(R557&gt;=2015,MAX(VLOOKUP(R661,'פחתי מים לרשויות מצטרפות'!$A$6:$G$9,MAX($B$3-R557,0)+3,0)-VLOOKUP(R$1,'פחת מים וגביה'!$A:$D,3,0),0))*R406/R$425)+IF(AND(R$7="חברה מנהלת",R20&lt;&gt;""),+VLOOKUP(R661,'פחתי מים לרשויות מצטרפות'!$A$6:$G$10,5,0)-VLOOKUP(R13,'פחת מים וגביה'!$A:$D,3,0),0)</f>
        <v>0</v>
      </c>
      <c r="S579" s="1049">
        <f>(+IF(S557&gt;=2015,MAX(VLOOKUP(S661,'פחתי מים לרשויות מצטרפות'!$A$6:$G$9,MAX($B$3-S557,0)+3,0)-VLOOKUP(S$1,'פחת מים וגביה'!$A:$D,3,0),0))*S406/S$425)+IF(AND(S$7="חברה מנהלת",S20&lt;&gt;""),+VLOOKUP(S661,'פחתי מים לרשויות מצטרפות'!$A$6:$G$10,5,0)-VLOOKUP(S13,'פחת מים וגביה'!$A:$D,3,0),0)</f>
        <v>0</v>
      </c>
      <c r="T579" s="1049">
        <f>(+IF(T557&gt;=2015,MAX(VLOOKUP(T661,'פחתי מים לרשויות מצטרפות'!$A$6:$G$9,MAX($B$3-T557,0)+3,0)-VLOOKUP(T$1,'פחת מים וגביה'!$A:$D,3,0),0))*T406/T$425)+IF(AND(T$7="חברה מנהלת",T20&lt;&gt;""),+VLOOKUP(T661,'פחתי מים לרשויות מצטרפות'!$A$6:$G$10,5,0)-VLOOKUP(T13,'פחת מים וגביה'!$A:$D,3,0),0)</f>
        <v>0</v>
      </c>
      <c r="U579" s="1049">
        <f>(+IF(U557&gt;=2015,MAX(VLOOKUP(U661,'פחתי מים לרשויות מצטרפות'!$A$6:$G$9,MAX($B$3-U557,0)+3,0)-VLOOKUP(U$1,'פחת מים וגביה'!$A:$D,3,0),0))*U406/U$425)+IF(AND(U$7="חברה מנהלת",U20&lt;&gt;""),+VLOOKUP(U661,'פחתי מים לרשויות מצטרפות'!$A$6:$G$10,5,0)-VLOOKUP(U13,'פחת מים וגביה'!$A:$D,3,0),0)</f>
        <v>0</v>
      </c>
      <c r="V579" s="1049">
        <f>(+IF(V557&gt;=2015,MAX(VLOOKUP(V661,'פחתי מים לרשויות מצטרפות'!$A$6:$G$9,MAX($B$3-V557,0)+3,0)-VLOOKUP(V$1,'פחת מים וגביה'!$A:$D,3,0),0))*V406/V$425)+IF(AND(V$7="חברה מנהלת",V20&lt;&gt;""),+VLOOKUP(V661,'פחתי מים לרשויות מצטרפות'!$A$6:$G$10,5,0)-VLOOKUP(V13,'פחת מים וגביה'!$A:$D,3,0),0)</f>
        <v>0</v>
      </c>
      <c r="W579" s="1049">
        <f>(+IF(W557&gt;=2015,MAX(VLOOKUP(W661,'פחתי מים לרשויות מצטרפות'!$A$6:$G$9,MAX($B$3-W557,0)+3,0)-VLOOKUP(W$1,'פחת מים וגביה'!$A:$D,3,0),0))*W406/W$425)+IF(AND(W$7="חברה מנהלת",W20&lt;&gt;""),+VLOOKUP(W661,'פחתי מים לרשויות מצטרפות'!$A$6:$G$10,5,0)-VLOOKUP(W13,'פחת מים וגביה'!$A:$D,3,0),0)</f>
        <v>0</v>
      </c>
      <c r="X579" s="1049">
        <f>(+IF(X557&gt;=2015,MAX(VLOOKUP(X661,'פחתי מים לרשויות מצטרפות'!$A$6:$G$9,MAX($B$3-X557,0)+3,0)-VLOOKUP(X$1,'פחת מים וגביה'!$A:$D,3,0),0))*X406/X$425)+IF(AND(X$7="חברה מנהלת",X20&lt;&gt;""),+VLOOKUP(X661,'פחתי מים לרשויות מצטרפות'!$A$6:$G$10,5,0)-VLOOKUP(X13,'פחת מים וגביה'!$A:$D,3,0),0)</f>
        <v>0</v>
      </c>
      <c r="Y579" s="1049">
        <f>(+IF(Y557&gt;=2015,MAX(VLOOKUP(Y661,'פחתי מים לרשויות מצטרפות'!$A$6:$G$9,MAX($B$3-Y557,0)+3,0)-VLOOKUP(Y$1,'פחת מים וגביה'!$A:$D,3,0),0))*Y406/Y$425)+IF(AND(Y$7="חברה מנהלת",Y20&lt;&gt;""),+VLOOKUP(Y661,'פחתי מים לרשויות מצטרפות'!$A$6:$G$10,5,0)-VLOOKUP(Y13,'פחת מים וגביה'!$A:$D,3,0),0)</f>
        <v>0</v>
      </c>
      <c r="Z579" s="1049">
        <f>(+IF(Z557&gt;=2015,MAX(VLOOKUP(Z661,'פחתי מים לרשויות מצטרפות'!$A$6:$G$9,MAX($B$3-Z557,0)+3,0)-VLOOKUP(Z$1,'פחת מים וגביה'!$A:$D,3,0),0))*Z406/Z$425)+IF(AND(Z$7="חברה מנהלת",Z20&lt;&gt;""),+VLOOKUP(Z661,'פחתי מים לרשויות מצטרפות'!$A$6:$G$10,5,0)-VLOOKUP(Z13,'פחת מים וגביה'!$A:$D,3,0),0)</f>
        <v>0</v>
      </c>
      <c r="AA579" s="1049">
        <f>(+IF(AA557&gt;=2015,MAX(VLOOKUP(AA661,'פחתי מים לרשויות מצטרפות'!$A$6:$G$9,MAX($B$3-AA557,0)+3,0)-VLOOKUP(AA$1,'פחת מים וגביה'!$A:$D,3,0),0))*AA406/AA$425)+IF(AND(AA$7="חברה מנהלת",AA20&lt;&gt;""),+VLOOKUP(AA661,'פחתי מים לרשויות מצטרפות'!$A$6:$G$10,5,0)-VLOOKUP(AA13,'פחת מים וגביה'!$A:$D,3,0),0)</f>
        <v>0</v>
      </c>
      <c r="AB579" s="1049">
        <f>(+IF(AB557&gt;=2015,MAX(VLOOKUP(AB661,'פחתי מים לרשויות מצטרפות'!$A$6:$G$9,MAX($B$3-AB557,0)+3,0)-VLOOKUP(AB$1,'פחת מים וגביה'!$A:$D,3,0),0))*AB406/AB$425)+IF(AND(AB$7="חברה מנהלת",AB20&lt;&gt;""),+VLOOKUP(AB661,'פחתי מים לרשויות מצטרפות'!$A$6:$G$10,5,0)-VLOOKUP(AB13,'פחת מים וגביה'!$A:$D,3,0),0)</f>
        <v>0</v>
      </c>
      <c r="AC579" s="1049">
        <f>(+IF(AC557&gt;=2015,MAX(VLOOKUP(AC661,'פחתי מים לרשויות מצטרפות'!$A$6:$G$9,MAX($B$3-AC557,0)+3,0)-VLOOKUP(AC$1,'פחת מים וגביה'!$A:$D,3,0),0))*AC406/AC$425)+IF(AND(AC$7="חברה מנהלת",AC20&lt;&gt;""),+VLOOKUP(AC661,'פחתי מים לרשויות מצטרפות'!$A$6:$G$10,5,0)-VLOOKUP(AC13,'פחת מים וגביה'!$A:$D,3,0),0)</f>
        <v>0</v>
      </c>
      <c r="AD579" s="1049">
        <f>(+IF(AD557&gt;=2015,MAX(VLOOKUP(AD661,'פחתי מים לרשויות מצטרפות'!$A$6:$G$9,MAX($B$3-AD557,0)+3,0)-VLOOKUP(AD$1,'פחת מים וגביה'!$A:$D,3,0),0))*AD406/AD$425)+IF(AND(AD$7="חברה מנהלת",AD20&lt;&gt;""),+VLOOKUP(AD661,'פחתי מים לרשויות מצטרפות'!$A$6:$G$10,5,0)-VLOOKUP(AD13,'פחת מים וגביה'!$A:$D,3,0),0)</f>
        <v>0</v>
      </c>
      <c r="AE579" s="1049">
        <f>(+IF(AE557&gt;=2015,MAX(VLOOKUP(AE661,'פחתי מים לרשויות מצטרפות'!$A$6:$G$9,MAX($B$3-AE557,0)+3,0)-VLOOKUP(AE$1,'פחת מים וגביה'!$A:$D,3,0),0))*AE406/AE$425)+IF(AND(AE$7="חברה מנהלת",AE20&lt;&gt;""),+VLOOKUP(AE661,'פחתי מים לרשויות מצטרפות'!$A$6:$G$10,5,0)-VLOOKUP(AE13,'פחת מים וגביה'!$A:$D,3,0),0)</f>
        <v>0</v>
      </c>
      <c r="AF579" s="1049">
        <f>(+IF(AF557&gt;=2015,MAX(VLOOKUP(AF661,'פחתי מים לרשויות מצטרפות'!$A$6:$G$9,MAX($B$3-AF557,0)+3,0)-VLOOKUP(AF$1,'פחת מים וגביה'!$A:$D,3,0),0))*AF406/AF$425)+IF(AND(AF$7="חברה מנהלת",AF20&lt;&gt;""),+VLOOKUP(AF661,'פחתי מים לרשויות מצטרפות'!$A$6:$G$10,5,0)-VLOOKUP(AF13,'פחת מים וגביה'!$A:$D,3,0),0)</f>
        <v>0</v>
      </c>
      <c r="AG579" s="1049">
        <f>(+IF(AG557&gt;=2015,MAX(VLOOKUP(AG661,'פחתי מים לרשויות מצטרפות'!$A$6:$G$9,MAX($B$3-AG557,0)+3,0)-VLOOKUP(AG$1,'פחת מים וגביה'!$A:$D,3,0),0))*AG406/AG$425)+IF(AND(AG$7="חברה מנהלת",AG20&lt;&gt;""),+VLOOKUP(AG661,'פחתי מים לרשויות מצטרפות'!$A$6:$G$10,5,0)-VLOOKUP(AG13,'פחת מים וגביה'!$A:$D,3,0),0)</f>
        <v>0</v>
      </c>
      <c r="AH579" s="1049">
        <f>(+IF(AH557&gt;=2015,MAX(VLOOKUP(AH661,'פחתי מים לרשויות מצטרפות'!$A$6:$G$9,MAX($B$3-AH557,0)+3,0)-VLOOKUP(AH$1,'פחת מים וגביה'!$A:$D,3,0),0))*AH406/AH$425)+IF(AND(AH$7="חברה מנהלת",AH20&lt;&gt;""),+VLOOKUP(AH661,'פחתי מים לרשויות מצטרפות'!$A$6:$G$10,5,0)-VLOOKUP(AH13,'פחת מים וגביה'!$A:$D,3,0),0)</f>
        <v>0</v>
      </c>
      <c r="AI579" s="1049">
        <f>(+IF(AI557&gt;=2015,MAX(VLOOKUP(AI661,'פחתי מים לרשויות מצטרפות'!$A$6:$G$9,MAX($B$3-AI557,0)+3,0)-VLOOKUP(AI$1,'פחת מים וגביה'!$A:$D,3,0),0))*AI406/AI$425)+IF(AND(AI$7="חברה מנהלת",AI20&lt;&gt;""),+VLOOKUP(AI661,'פחתי מים לרשויות מצטרפות'!$A$6:$G$10,5,0)-VLOOKUP(AI13,'פחת מים וגביה'!$A:$D,3,0),0)</f>
        <v>0</v>
      </c>
      <c r="AJ579" s="1049">
        <f>(+IF(AJ557&gt;=2015,MAX(VLOOKUP(AJ661,'פחתי מים לרשויות מצטרפות'!$A$6:$G$9,MAX($B$3-AJ557,0)+3,0)-VLOOKUP(AJ$1,'פחת מים וגביה'!$A:$D,3,0),0))*AJ406/AJ$425)+IF(AND(AJ$7="חברה מנהלת",AJ20&lt;&gt;""),+VLOOKUP(AJ661,'פחתי מים לרשויות מצטרפות'!$A$6:$G$10,5,0)-VLOOKUP(AJ13,'פחת מים וגביה'!$A:$D,3,0),0)</f>
        <v>0</v>
      </c>
      <c r="AK579" s="1049">
        <f>(+IF(AK557&gt;=2015,MAX(VLOOKUP(AK661,'פחתי מים לרשויות מצטרפות'!$A$6:$G$9,MAX($B$3-AK557,0)+3,0)-VLOOKUP(AK$1,'פחת מים וגביה'!$A:$D,3,0),0))*AK406/AK$425)+IF(AND(AK$7="חברה מנהלת",AK20&lt;&gt;""),+VLOOKUP(AK661,'פחתי מים לרשויות מצטרפות'!$A$6:$G$10,5,0)-VLOOKUP(AK13,'פחת מים וגביה'!$A:$D,3,0),0)</f>
        <v>0</v>
      </c>
      <c r="AL579" s="1049">
        <f>(+IF(AL557&gt;=2015,MAX(VLOOKUP(AL661,'פחתי מים לרשויות מצטרפות'!$A$6:$G$9,MAX($B$3-AL557,0)+3,0)-VLOOKUP(AL$1,'פחת מים וגביה'!$A:$D,3,0),0))*AL406/AL$425)+IF(AND(AL$7="חברה מנהלת",AL20&lt;&gt;""),+VLOOKUP(AL661,'פחתי מים לרשויות מצטרפות'!$A$6:$G$10,5,0)-VLOOKUP(AL13,'פחת מים וגביה'!$A:$D,3,0),0)</f>
        <v>0</v>
      </c>
      <c r="AM579" s="1049">
        <f>(+IF(AM557&gt;=2015,MAX(VLOOKUP(AM661,'פחתי מים לרשויות מצטרפות'!$A$6:$G$9,MAX($B$3-AM557,0)+3,0)-VLOOKUP(AM$1,'פחת מים וגביה'!$A:$D,3,0),0))*AM406/AM$425)+IF(AND(AM$7="חברה מנהלת",AM20&lt;&gt;""),+VLOOKUP(AM661,'פחתי מים לרשויות מצטרפות'!$A$6:$G$10,5,0)-VLOOKUP(AM13,'פחת מים וגביה'!$A:$D,3,0),0)</f>
        <v>0</v>
      </c>
      <c r="AN579" s="1049">
        <f>(+IF(AN557&gt;=2015,MAX(VLOOKUP(AN661,'פחתי מים לרשויות מצטרפות'!$A$6:$G$9,MAX($B$3-AN557,0)+3,0)-VLOOKUP(AN$1,'פחת מים וגביה'!$A:$D,3,0),0))*AN406/AN$425)+IF(AND(AN$7="חברה מנהלת",AN20&lt;&gt;""),+VLOOKUP(AN661,'פחתי מים לרשויות מצטרפות'!$A$6:$G$10,5,0)-VLOOKUP(AN13,'פחת מים וגביה'!$A:$D,3,0),0)</f>
        <v>0</v>
      </c>
      <c r="AO579" s="1049">
        <f>(+IF(AO557&gt;=2015,MAX(VLOOKUP(AO661,'פחתי מים לרשויות מצטרפות'!$A$6:$G$9,MAX($B$3-AO557,0)+3,0)-VLOOKUP(AO$1,'פחת מים וגביה'!$A:$D,3,0),0))*AO406/AO$425)+IF(AND(AO$7="חברה מנהלת",AO20&lt;&gt;""),+VLOOKUP(AO661,'פחתי מים לרשויות מצטרפות'!$A$6:$G$10,5,0)-VLOOKUP(AO13,'פחת מים וגביה'!$A:$D,3,0),0)</f>
        <v>0</v>
      </c>
      <c r="AP579" s="1049">
        <f>(+IF(AP557&gt;=2015,MAX(VLOOKUP(AP661,'פחתי מים לרשויות מצטרפות'!$A$6:$G$9,MAX($B$3-AP557,0)+3,0)-VLOOKUP(AP$1,'פחת מים וגביה'!$A:$D,3,0),0))*AP406/AP$425)+IF(AND(AP$7="חברה מנהלת",AP20&lt;&gt;""),+VLOOKUP(AP661,'פחתי מים לרשויות מצטרפות'!$A$6:$G$10,5,0)-VLOOKUP(AP13,'פחת מים וגביה'!$A:$D,3,0),0)</f>
        <v>0</v>
      </c>
      <c r="AQ579" s="1049">
        <f>(+IF(AQ557&gt;=2015,MAX(VLOOKUP(AQ661,'פחתי מים לרשויות מצטרפות'!$A$6:$G$9,MAX($B$3-AQ557,0)+3,0)-VLOOKUP(AQ$1,'פחת מים וגביה'!$A:$D,3,0),0))*AQ406/AQ$425)+IF(AND(AQ$7="חברה מנהלת",AQ20&lt;&gt;""),+VLOOKUP(AQ661,'פחתי מים לרשויות מצטרפות'!$A$6:$G$10,5,0)-VLOOKUP(AQ13,'פחת מים וגביה'!$A:$D,3,0),0)</f>
        <v>0</v>
      </c>
      <c r="AR579" s="1049">
        <f>(+IF(AR557&gt;=2015,MAX(VLOOKUP(AR661,'פחתי מים לרשויות מצטרפות'!$A$6:$G$9,MAX($B$3-AR557,0)+3,0)-VLOOKUP(AR$1,'פחת מים וגביה'!$A:$D,3,0),0))*AR406/AR$425)+IF(AND(AR$7="חברה מנהלת",AR20&lt;&gt;""),+VLOOKUP(AR661,'פחתי מים לרשויות מצטרפות'!$A$6:$G$10,5,0)-VLOOKUP(AR13,'פחת מים וגביה'!$A:$D,3,0),0)</f>
        <v>0</v>
      </c>
      <c r="AS579" s="1049">
        <f>(+IF(AS557&gt;=2015,MAX(VLOOKUP(AS661,'פחתי מים לרשויות מצטרפות'!$A$6:$G$9,MAX($B$3-AS557,0)+3,0)-VLOOKUP(AS$1,'פחת מים וגביה'!$A:$D,3,0),0))*AS406/AS$425)+IF(AND(AS$7="חברה מנהלת",AS20&lt;&gt;""),+VLOOKUP(AS661,'פחתי מים לרשויות מצטרפות'!$A$6:$G$10,5,0)-VLOOKUP(AS13,'פחת מים וגביה'!$A:$D,3,0),0)</f>
        <v>0</v>
      </c>
      <c r="AT579" s="1049">
        <f>(+IF(AT557&gt;=2015,MAX(VLOOKUP(AT661,'פחתי מים לרשויות מצטרפות'!$A$6:$G$9,MAX($B$3-AT557,0)+3,0)-VLOOKUP(AT$1,'פחת מים וגביה'!$A:$D,3,0),0))*AT406/AT$425)+IF(AND(AT$7="חברה מנהלת",AT20&lt;&gt;""),+VLOOKUP(AT661,'פחתי מים לרשויות מצטרפות'!$A$6:$G$10,5,0)-VLOOKUP(AT13,'פחת מים וגביה'!$A:$D,3,0),0)</f>
        <v>0</v>
      </c>
      <c r="AU579" s="1049">
        <f>(+IF(AU557&gt;=2015,MAX(VLOOKUP(AU661,'פחתי מים לרשויות מצטרפות'!$A$6:$G$9,MAX($B$3-AU557,0)+3,0)-VLOOKUP(AU$1,'פחת מים וגביה'!$A:$D,3,0),0))*AU406/AU$425)+IF(AND(AU$7="חברה מנהלת",AU20&lt;&gt;""),+VLOOKUP(AU661,'פחתי מים לרשויות מצטרפות'!$A$6:$G$10,5,0)-VLOOKUP(AU13,'פחת מים וגביה'!$A:$D,3,0),0)</f>
        <v>0</v>
      </c>
      <c r="AV579" s="1049">
        <f>(+IF(AV557&gt;=2015,MAX(VLOOKUP(AV661,'פחתי מים לרשויות מצטרפות'!$A$6:$G$9,MAX($B$3-AV557,0)+3,0)-VLOOKUP(AV$1,'פחת מים וגביה'!$A:$D,3,0),0))*AV406/AV$425)+IF(AND(AV$7="חברה מנהלת",AV20&lt;&gt;""),+VLOOKUP(AV661,'פחתי מים לרשויות מצטרפות'!$A$6:$G$10,5,0)-VLOOKUP(AV13,'פחת מים וגביה'!$A:$D,3,0),0)</f>
        <v>0</v>
      </c>
      <c r="AW579" s="1049">
        <f>(+IF(AW557&gt;=2015,MAX(VLOOKUP(AW661,'פחתי מים לרשויות מצטרפות'!$A$6:$G$9,MAX($B$3-AW557,0)+3,0)-VLOOKUP(AW$1,'פחת מים וגביה'!$A:$D,3,0),0))*AW406/AW$425)+IF(AND(AW$7="חברה מנהלת",AW20&lt;&gt;""),+VLOOKUP(AW661,'פחתי מים לרשויות מצטרפות'!$A$6:$G$10,5,0)-VLOOKUP(AW13,'פחת מים וגביה'!$A:$D,3,0),0)</f>
        <v>0</v>
      </c>
      <c r="AX579" s="1049">
        <f>(+IF(AX557&gt;=2015,MAX(VLOOKUP(AX661,'פחתי מים לרשויות מצטרפות'!$A$6:$G$9,MAX($B$3-AX557,0)+3,0)-VLOOKUP(AX$1,'פחת מים וגביה'!$A:$D,3,0),0))*AX406/AX$425)+IF(AND(AX$7="חברה מנהלת",AX20&lt;&gt;""),+VLOOKUP(AX661,'פחתי מים לרשויות מצטרפות'!$A$6:$G$10,5,0)-VLOOKUP(AX13,'פחת מים וגביה'!$A:$D,3,0),0)</f>
        <v>0</v>
      </c>
      <c r="AY579" s="1049">
        <f>(+IF(AY557&gt;=2015,MAX(VLOOKUP(AY661,'פחתי מים לרשויות מצטרפות'!$A$6:$G$9,MAX($B$3-AY557,0)+3,0)-VLOOKUP(AY$1,'פחת מים וגביה'!$A:$D,3,0),0))*AY406/AY$425)+IF(AND(AY$7="חברה מנהלת",AY20&lt;&gt;""),+VLOOKUP(AY661,'פחתי מים לרשויות מצטרפות'!$A$6:$G$10,5,0)-VLOOKUP(AY13,'פחת מים וגביה'!$A:$D,3,0),0)</f>
        <v>0</v>
      </c>
      <c r="AZ579" s="1049">
        <f>(+IF(AZ557&gt;=2015,MAX(VLOOKUP(AZ661,'פחתי מים לרשויות מצטרפות'!$A$6:$G$9,MAX($B$3-AZ557,0)+3,0)-VLOOKUP(AZ$1,'פחת מים וגביה'!$A:$D,3,0),0))*AZ406/AZ$425)+IF(AND(AZ$7="חברה מנהלת",AZ20&lt;&gt;""),+VLOOKUP(AZ661,'פחתי מים לרשויות מצטרפות'!$A$6:$G$10,5,0)-VLOOKUP(AZ13,'פחת מים וגביה'!$A:$D,3,0),0)</f>
        <v>0</v>
      </c>
      <c r="BA579" s="1049">
        <f>(+IF(BA557&gt;=2015,MAX(VLOOKUP(BA661,'פחתי מים לרשויות מצטרפות'!$A$6:$G$9,MAX($B$3-BA557,0)+3,0)-VLOOKUP(BA$1,'פחת מים וגביה'!$A:$D,3,0),0))*BA406/BA$425)+IF(AND(BA$7="חברה מנהלת",BA20&lt;&gt;""),+VLOOKUP(BA661,'פחתי מים לרשויות מצטרפות'!$A$6:$G$10,5,0)-VLOOKUP(BA13,'פחת מים וגביה'!$A:$D,3,0),0)</f>
        <v>0</v>
      </c>
      <c r="BB579" s="1049">
        <f>(+IF(BB557&gt;=2015,MAX(VLOOKUP(BB661,'פחתי מים לרשויות מצטרפות'!$A$6:$G$9,MAX($B$3-BB557,0)+3,0)-VLOOKUP(BB$1,'פחת מים וגביה'!$A:$D,3,0),0))*BB406/BB$425)+IF(AND(BB$7="חברה מנהלת",BB20&lt;&gt;""),+VLOOKUP(BB661,'פחתי מים לרשויות מצטרפות'!$A$6:$G$10,5,0)-VLOOKUP(BB13,'פחת מים וגביה'!$A:$D,3,0),0)</f>
        <v>0</v>
      </c>
      <c r="BC579" s="1049">
        <f>(+IF(BC557&gt;=2015,MAX(VLOOKUP(BC661,'פחתי מים לרשויות מצטרפות'!$A$6:$G$9,MAX($B$3-BC557,0)+3,0)-VLOOKUP(BC$1,'פחת מים וגביה'!$A:$D,3,0),0))*BC406/BC$425)+IF(AND(BC$7="חברה מנהלת",BC20&lt;&gt;""),+VLOOKUP(BC661,'פחתי מים לרשויות מצטרפות'!$A$6:$G$10,5,0)-VLOOKUP(BC13,'פחת מים וגביה'!$A:$D,3,0),0)</f>
        <v>0</v>
      </c>
      <c r="BD579" s="1049">
        <f>(+IF(BD557&gt;=2015,MAX(VLOOKUP(BD661,'פחתי מים לרשויות מצטרפות'!$A$6:$G$9,MAX($B$3-BD557,0)+3,0)-VLOOKUP(BD$1,'פחת מים וגביה'!$A:$D,3,0),0))*BD406/BD$425)+IF(AND(BD$7="חברה מנהלת",BD20&lt;&gt;""),+VLOOKUP(BD661,'פחתי מים לרשויות מצטרפות'!$A$6:$G$10,5,0)-VLOOKUP(BD13,'פחת מים וגביה'!$A:$D,3,0),0)</f>
        <v>0</v>
      </c>
      <c r="BE579" s="1049">
        <f>(+IF(BE557&gt;=2015,MAX(VLOOKUP(BE661,'פחתי מים לרשויות מצטרפות'!$A$6:$G$9,MAX($B$3-BE557,0)+3,0)-VLOOKUP(BE$1,'פחת מים וגביה'!$A:$D,3,0),0))*BE406/BE$425)+IF(AND(BE$7="חברה מנהלת",BE20&lt;&gt;""),+VLOOKUP(BE661,'פחתי מים לרשויות מצטרפות'!$A$6:$G$10,5,0)-VLOOKUP(BE13,'פחת מים וגביה'!$A:$D,3,0),0)</f>
        <v>0</v>
      </c>
      <c r="BF579" s="1049">
        <f>(+IF(BF557&gt;=2015,MAX(VLOOKUP(BF661,'פחתי מים לרשויות מצטרפות'!$A$6:$G$9,MAX($B$3-BF557,0)+3,0)-VLOOKUP(BF$1,'פחת מים וגביה'!$A:$D,3,0),0))*BF406/BF$425)+IF(AND(BF$7="חברה מנהלת",BF20&lt;&gt;""),+VLOOKUP(BF661,'פחתי מים לרשויות מצטרפות'!$A$6:$G$10,5,0)-VLOOKUP(BF13,'פחת מים וגביה'!$A:$D,3,0),0)</f>
        <v>0</v>
      </c>
    </row>
    <row r="580" spans="1:58" x14ac:dyDescent="0.2">
      <c r="C580" s="1049">
        <f>(+IF(C558&gt;=2015,MAX(VLOOKUP(C662,'פחתי מים לרשויות מצטרפות'!$A$6:$G$9,MAX($B$3-C558,0)+3,0)-VLOOKUP(C$1,'פחת מים וגביה'!$A:$D,3,0),0))*C407/C$425)+IF(AND(C$7="חברה מנהלת",C21&lt;&gt;""),+VLOOKUP(C662,'פחתי מים לרשויות מצטרפות'!$A$6:$G$10,5,0)-VLOOKUP(C14,'פחת מים וגביה'!$A:$D,3,0),0)</f>
        <v>0</v>
      </c>
      <c r="D580" s="1049">
        <f>(+IF(D558&gt;=2015,MAX(VLOOKUP(D662,'פחתי מים לרשויות מצטרפות'!$A$6:$G$9,MAX($B$3-D558,0)+3,0)-VLOOKUP(D$1,'פחת מים וגביה'!$A:$D,3,0),0))*D407/D$425)+IF(AND(D$7="חברה מנהלת",D21&lt;&gt;""),+VLOOKUP(D662,'פחתי מים לרשויות מצטרפות'!$A$6:$G$10,5,0)-VLOOKUP(D14,'פחת מים וגביה'!$A:$D,3,0),0)</f>
        <v>0</v>
      </c>
      <c r="E580" s="1049">
        <f>(+IF(E558&gt;=2015,MAX(VLOOKUP(E662,'פחתי מים לרשויות מצטרפות'!$A$6:$G$9,MAX($B$3-E558,0)+3,0)-VLOOKUP(E$1,'פחת מים וגביה'!$A:$D,3,0),0))*E407/E$425)+IF(AND(E$7="חברה מנהלת",E21&lt;&gt;""),+VLOOKUP(E662,'פחתי מים לרשויות מצטרפות'!$A$6:$G$10,5,0)-VLOOKUP(E14,'פחת מים וגביה'!$A:$D,3,0),0)</f>
        <v>0</v>
      </c>
      <c r="F580" s="1049">
        <f>(+IF(F558&gt;=2015,MAX(VLOOKUP(F662,'פחתי מים לרשויות מצטרפות'!$A$6:$G$9,MAX($B$3-F558,0)+3,0)-VLOOKUP(F$1,'פחת מים וגביה'!$A:$D,3,0),0))*F407/F$425)+IF(AND(F$7="חברה מנהלת",F21&lt;&gt;""),+VLOOKUP(F662,'פחתי מים לרשויות מצטרפות'!$A$6:$G$10,5,0)-VLOOKUP(F14,'פחת מים וגביה'!$A:$D,3,0),0)</f>
        <v>0</v>
      </c>
      <c r="G580" s="1049">
        <f>(+IF(G558&gt;=2015,MAX(VLOOKUP(G662,'פחתי מים לרשויות מצטרפות'!$A$6:$G$9,MAX($B$3-G558,0)+3,0)-VLOOKUP(G$1,'פחת מים וגביה'!$A:$D,3,0),0))*G407/G$425)+IF(AND(G$7="חברה מנהלת",G21&lt;&gt;""),+VLOOKUP(G662,'פחתי מים לרשויות מצטרפות'!$A$6:$G$10,5,0)-VLOOKUP(G14,'פחת מים וגביה'!$A:$D,3,0),0)</f>
        <v>0</v>
      </c>
      <c r="H580" s="1049">
        <f>(+IF(H558&gt;=2015,MAX(VLOOKUP(H662,'פחתי מים לרשויות מצטרפות'!$A$6:$G$9,MAX($B$3-H558,0)+3,0)-VLOOKUP(H$1,'פחת מים וגביה'!$A:$D,3,0),0))*H407/H$425)+IF(AND(H$7="חברה מנהלת",H21&lt;&gt;""),+VLOOKUP(H662,'פחתי מים לרשויות מצטרפות'!$A$6:$G$10,5,0)-VLOOKUP(H14,'פחת מים וגביה'!$A:$D,3,0),0)</f>
        <v>0</v>
      </c>
      <c r="I580" s="1049">
        <f>(+IF(I558&gt;=2015,MAX(VLOOKUP(I662,'פחתי מים לרשויות מצטרפות'!$A$6:$G$9,MAX($B$3-I558,0)+3,0)-VLOOKUP(I$1,'פחת מים וגביה'!$A:$D,3,0),0))*I407/I$425)+IF(AND(I$7="חברה מנהלת",I21&lt;&gt;""),+VLOOKUP(I662,'פחתי מים לרשויות מצטרפות'!$A$6:$G$10,5,0)-VLOOKUP(I14,'פחת מים וגביה'!$A:$D,3,0),0)</f>
        <v>0</v>
      </c>
      <c r="J580" s="1049">
        <f>(+IF(J558&gt;=2015,MAX(VLOOKUP(J662,'פחתי מים לרשויות מצטרפות'!$A$6:$G$9,MAX($B$3-J558,0)+3,0)-VLOOKUP(J$1,'פחת מים וגביה'!$A:$D,3,0),0))*J407/J$425)+IF(AND(J$7="חברה מנהלת",J21&lt;&gt;""),+VLOOKUP(J662,'פחתי מים לרשויות מצטרפות'!$A$6:$G$10,5,0)-VLOOKUP(J14,'פחת מים וגביה'!$A:$D,3,0),0)</f>
        <v>0</v>
      </c>
      <c r="K580" s="1049">
        <f>(+IF(K558&gt;=2015,MAX(VLOOKUP(K662,'פחתי מים לרשויות מצטרפות'!$A$6:$G$9,MAX($B$3-K558,0)+3,0)-VLOOKUP(K$1,'פחת מים וגביה'!$A:$D,3,0),0))*K407/K$425)+IF(AND(K$7="חברה מנהלת",K21&lt;&gt;""),+VLOOKUP(K662,'פחתי מים לרשויות מצטרפות'!$A$6:$G$10,5,0)-VLOOKUP(K14,'פחת מים וגביה'!$A:$D,3,0),0)</f>
        <v>0</v>
      </c>
      <c r="L580" s="1049">
        <f>(+IF(L558&gt;=2015,MAX(VLOOKUP(L662,'פחתי מים לרשויות מצטרפות'!$A$6:$G$9,MAX($B$3-L558,0)+3,0)-VLOOKUP(L$1,'פחת מים וגביה'!$A:$D,3,0),0))*L407/L$425)+IF(AND(L$7="חברה מנהלת",L21&lt;&gt;""),+VLOOKUP(L662,'פחתי מים לרשויות מצטרפות'!$A$6:$G$10,5,0)-VLOOKUP(L14,'פחת מים וגביה'!$A:$D,3,0),0)</f>
        <v>0</v>
      </c>
      <c r="M580" s="1049">
        <f>(+IF(M558&gt;=2015,MAX(VLOOKUP(M662,'פחתי מים לרשויות מצטרפות'!$A$6:$G$9,MAX($B$3-M558,0)+3,0)-VLOOKUP(M$1,'פחת מים וגביה'!$A:$D,3,0),0))*M407/M$425)+IF(AND(M$7="חברה מנהלת",M21&lt;&gt;""),+VLOOKUP(M662,'פחתי מים לרשויות מצטרפות'!$A$6:$G$10,5,0)-VLOOKUP(M14,'פחת מים וגביה'!$A:$D,3,0),0)</f>
        <v>0</v>
      </c>
      <c r="N580" s="1049">
        <f>(+IF(N558&gt;=2015,MAX(VLOOKUP(N662,'פחתי מים לרשויות מצטרפות'!$A$6:$G$9,MAX($B$3-N558,0)+3,0)-VLOOKUP(N$1,'פחת מים וגביה'!$A:$D,3,0),0))*N407/N$425)+IF(AND(N$7="חברה מנהלת",N21&lt;&gt;""),+VLOOKUP(N662,'פחתי מים לרשויות מצטרפות'!$A$6:$G$10,5,0)-VLOOKUP(N14,'פחת מים וגביה'!$A:$D,3,0),0)</f>
        <v>0</v>
      </c>
      <c r="O580" s="1049">
        <f>(+IF(O558&gt;=2015,MAX(VLOOKUP(O662,'פחתי מים לרשויות מצטרפות'!$A$6:$G$9,MAX($B$3-O558,0)+3,0)-VLOOKUP(O$1,'פחת מים וגביה'!$A:$D,3,0),0))*O407/O$425)+IF(AND(O$7="חברה מנהלת",O21&lt;&gt;""),+VLOOKUP(O662,'פחתי מים לרשויות מצטרפות'!$A$6:$G$10,5,0)-VLOOKUP(O14,'פחת מים וגביה'!$A:$D,3,0),0)</f>
        <v>0</v>
      </c>
      <c r="P580" s="1049">
        <f>(+IF(P558&gt;=2015,MAX(VLOOKUP(P662,'פחתי מים לרשויות מצטרפות'!$A$6:$G$9,MAX($B$3-P558,0)+3,0)-VLOOKUP(P$1,'פחת מים וגביה'!$A:$D,3,0),0))*P407/P$425)+IF(AND(P$7="חברה מנהלת",P21&lt;&gt;""),+VLOOKUP(P662,'פחתי מים לרשויות מצטרפות'!$A$6:$G$10,5,0)-VLOOKUP(P14,'פחת מים וגביה'!$A:$D,3,0),0)</f>
        <v>0</v>
      </c>
      <c r="Q580" s="1049">
        <f>(+IF(Q558&gt;=2015,MAX(VLOOKUP(Q662,'פחתי מים לרשויות מצטרפות'!$A$6:$G$9,MAX($B$3-Q558,0)+3,0)-VLOOKUP(Q$1,'פחת מים וגביה'!$A:$D,3,0),0))*Q407/Q$425)+IF(AND(Q$7="חברה מנהלת",Q21&lt;&gt;""),+VLOOKUP(Q662,'פחתי מים לרשויות מצטרפות'!$A$6:$G$10,5,0)-VLOOKUP(Q14,'פחת מים וגביה'!$A:$D,3,0),0)</f>
        <v>0</v>
      </c>
      <c r="R580" s="1049">
        <f>(+IF(R558&gt;=2015,MAX(VLOOKUP(R662,'פחתי מים לרשויות מצטרפות'!$A$6:$G$9,MAX($B$3-R558,0)+3,0)-VLOOKUP(R$1,'פחת מים וגביה'!$A:$D,3,0),0))*R407/R$425)+IF(AND(R$7="חברה מנהלת",R21&lt;&gt;""),+VLOOKUP(R662,'פחתי מים לרשויות מצטרפות'!$A$6:$G$10,5,0)-VLOOKUP(R14,'פחת מים וגביה'!$A:$D,3,0),0)</f>
        <v>0</v>
      </c>
      <c r="S580" s="1049">
        <f>(+IF(S558&gt;=2015,MAX(VLOOKUP(S662,'פחתי מים לרשויות מצטרפות'!$A$6:$G$9,MAX($B$3-S558,0)+3,0)-VLOOKUP(S$1,'פחת מים וגביה'!$A:$D,3,0),0))*S407/S$425)+IF(AND(S$7="חברה מנהלת",S21&lt;&gt;""),+VLOOKUP(S662,'פחתי מים לרשויות מצטרפות'!$A$6:$G$10,5,0)-VLOOKUP(S14,'פחת מים וגביה'!$A:$D,3,0),0)</f>
        <v>0</v>
      </c>
      <c r="T580" s="1049">
        <f>(+IF(T558&gt;=2015,MAX(VLOOKUP(T662,'פחתי מים לרשויות מצטרפות'!$A$6:$G$9,MAX($B$3-T558,0)+3,0)-VLOOKUP(T$1,'פחת מים וגביה'!$A:$D,3,0),0))*T407/T$425)+IF(AND(T$7="חברה מנהלת",T21&lt;&gt;""),+VLOOKUP(T662,'פחתי מים לרשויות מצטרפות'!$A$6:$G$10,5,0)-VLOOKUP(T14,'פחת מים וגביה'!$A:$D,3,0),0)</f>
        <v>0</v>
      </c>
      <c r="U580" s="1049">
        <f>(+IF(U558&gt;=2015,MAX(VLOOKUP(U662,'פחתי מים לרשויות מצטרפות'!$A$6:$G$9,MAX($B$3-U558,0)+3,0)-VLOOKUP(U$1,'פחת מים וגביה'!$A:$D,3,0),0))*U407/U$425)+IF(AND(U$7="חברה מנהלת",U21&lt;&gt;""),+VLOOKUP(U662,'פחתי מים לרשויות מצטרפות'!$A$6:$G$10,5,0)-VLOOKUP(U14,'פחת מים וגביה'!$A:$D,3,0),0)</f>
        <v>0</v>
      </c>
      <c r="V580" s="1049">
        <f>(+IF(V558&gt;=2015,MAX(VLOOKUP(V662,'פחתי מים לרשויות מצטרפות'!$A$6:$G$9,MAX($B$3-V558,0)+3,0)-VLOOKUP(V$1,'פחת מים וגביה'!$A:$D,3,0),0))*V407/V$425)+IF(AND(V$7="חברה מנהלת",V21&lt;&gt;""),+VLOOKUP(V662,'פחתי מים לרשויות מצטרפות'!$A$6:$G$10,5,0)-VLOOKUP(V14,'פחת מים וגביה'!$A:$D,3,0),0)</f>
        <v>0</v>
      </c>
      <c r="W580" s="1049">
        <f>(+IF(W558&gt;=2015,MAX(VLOOKUP(W662,'פחתי מים לרשויות מצטרפות'!$A$6:$G$9,MAX($B$3-W558,0)+3,0)-VLOOKUP(W$1,'פחת מים וגביה'!$A:$D,3,0),0))*W407/W$425)+IF(AND(W$7="חברה מנהלת",W21&lt;&gt;""),+VLOOKUP(W662,'פחתי מים לרשויות מצטרפות'!$A$6:$G$10,5,0)-VLOOKUP(W14,'פחת מים וגביה'!$A:$D,3,0),0)</f>
        <v>0</v>
      </c>
      <c r="X580" s="1049">
        <f>(+IF(X558&gt;=2015,MAX(VLOOKUP(X662,'פחתי מים לרשויות מצטרפות'!$A$6:$G$9,MAX($B$3-X558,0)+3,0)-VLOOKUP(X$1,'פחת מים וגביה'!$A:$D,3,0),0))*X407/X$425)+IF(AND(X$7="חברה מנהלת",X21&lt;&gt;""),+VLOOKUP(X662,'פחתי מים לרשויות מצטרפות'!$A$6:$G$10,5,0)-VLOOKUP(X14,'פחת מים וגביה'!$A:$D,3,0),0)</f>
        <v>0</v>
      </c>
      <c r="Y580" s="1049">
        <f>(+IF(Y558&gt;=2015,MAX(VLOOKUP(Y662,'פחתי מים לרשויות מצטרפות'!$A$6:$G$9,MAX($B$3-Y558,0)+3,0)-VLOOKUP(Y$1,'פחת מים וגביה'!$A:$D,3,0),0))*Y407/Y$425)+IF(AND(Y$7="חברה מנהלת",Y21&lt;&gt;""),+VLOOKUP(Y662,'פחתי מים לרשויות מצטרפות'!$A$6:$G$10,5,0)-VLOOKUP(Y14,'פחת מים וגביה'!$A:$D,3,0),0)</f>
        <v>0</v>
      </c>
      <c r="Z580" s="1049">
        <f>(+IF(Z558&gt;=2015,MAX(VLOOKUP(Z662,'פחתי מים לרשויות מצטרפות'!$A$6:$G$9,MAX($B$3-Z558,0)+3,0)-VLOOKUP(Z$1,'פחת מים וגביה'!$A:$D,3,0),0))*Z407/Z$425)+IF(AND(Z$7="חברה מנהלת",Z21&lt;&gt;""),+VLOOKUP(Z662,'פחתי מים לרשויות מצטרפות'!$A$6:$G$10,5,0)-VLOOKUP(Z14,'פחת מים וגביה'!$A:$D,3,0),0)</f>
        <v>0</v>
      </c>
      <c r="AA580" s="1049">
        <f>(+IF(AA558&gt;=2015,MAX(VLOOKUP(AA662,'פחתי מים לרשויות מצטרפות'!$A$6:$G$9,MAX($B$3-AA558,0)+3,0)-VLOOKUP(AA$1,'פחת מים וגביה'!$A:$D,3,0),0))*AA407/AA$425)+IF(AND(AA$7="חברה מנהלת",AA21&lt;&gt;""),+VLOOKUP(AA662,'פחתי מים לרשויות מצטרפות'!$A$6:$G$10,5,0)-VLOOKUP(AA14,'פחת מים וגביה'!$A:$D,3,0),0)</f>
        <v>0</v>
      </c>
      <c r="AB580" s="1049">
        <f>(+IF(AB558&gt;=2015,MAX(VLOOKUP(AB662,'פחתי מים לרשויות מצטרפות'!$A$6:$G$9,MAX($B$3-AB558,0)+3,0)-VLOOKUP(AB$1,'פחת מים וגביה'!$A:$D,3,0),0))*AB407/AB$425)+IF(AND(AB$7="חברה מנהלת",AB21&lt;&gt;""),+VLOOKUP(AB662,'פחתי מים לרשויות מצטרפות'!$A$6:$G$10,5,0)-VLOOKUP(AB14,'פחת מים וגביה'!$A:$D,3,0),0)</f>
        <v>0</v>
      </c>
      <c r="AC580" s="1049">
        <f>(+IF(AC558&gt;=2015,MAX(VLOOKUP(AC662,'פחתי מים לרשויות מצטרפות'!$A$6:$G$9,MAX($B$3-AC558,0)+3,0)-VLOOKUP(AC$1,'פחת מים וגביה'!$A:$D,3,0),0))*AC407/AC$425)+IF(AND(AC$7="חברה מנהלת",AC21&lt;&gt;""),+VLOOKUP(AC662,'פחתי מים לרשויות מצטרפות'!$A$6:$G$10,5,0)-VLOOKUP(AC14,'פחת מים וגביה'!$A:$D,3,0),0)</f>
        <v>0</v>
      </c>
      <c r="AD580" s="1049">
        <f>(+IF(AD558&gt;=2015,MAX(VLOOKUP(AD662,'פחתי מים לרשויות מצטרפות'!$A$6:$G$9,MAX($B$3-AD558,0)+3,0)-VLOOKUP(AD$1,'פחת מים וגביה'!$A:$D,3,0),0))*AD407/AD$425)+IF(AND(AD$7="חברה מנהלת",AD21&lt;&gt;""),+VLOOKUP(AD662,'פחתי מים לרשויות מצטרפות'!$A$6:$G$10,5,0)-VLOOKUP(AD14,'פחת מים וגביה'!$A:$D,3,0),0)</f>
        <v>0</v>
      </c>
      <c r="AE580" s="1049">
        <f>(+IF(AE558&gt;=2015,MAX(VLOOKUP(AE662,'פחתי מים לרשויות מצטרפות'!$A$6:$G$9,MAX($B$3-AE558,0)+3,0)-VLOOKUP(AE$1,'פחת מים וגביה'!$A:$D,3,0),0))*AE407/AE$425)+IF(AND(AE$7="חברה מנהלת",AE21&lt;&gt;""),+VLOOKUP(AE662,'פחתי מים לרשויות מצטרפות'!$A$6:$G$10,5,0)-VLOOKUP(AE14,'פחת מים וגביה'!$A:$D,3,0),0)</f>
        <v>0</v>
      </c>
      <c r="AF580" s="1049">
        <f>(+IF(AF558&gt;=2015,MAX(VLOOKUP(AF662,'פחתי מים לרשויות מצטרפות'!$A$6:$G$9,MAX($B$3-AF558,0)+3,0)-VLOOKUP(AF$1,'פחת מים וגביה'!$A:$D,3,0),0))*AF407/AF$425)+IF(AND(AF$7="חברה מנהלת",AF21&lt;&gt;""),+VLOOKUP(AF662,'פחתי מים לרשויות מצטרפות'!$A$6:$G$10,5,0)-VLOOKUP(AF14,'פחת מים וגביה'!$A:$D,3,0),0)</f>
        <v>0</v>
      </c>
      <c r="AG580" s="1049">
        <f>(+IF(AG558&gt;=2015,MAX(VLOOKUP(AG662,'פחתי מים לרשויות מצטרפות'!$A$6:$G$9,MAX($B$3-AG558,0)+3,0)-VLOOKUP(AG$1,'פחת מים וגביה'!$A:$D,3,0),0))*AG407/AG$425)+IF(AND(AG$7="חברה מנהלת",AG21&lt;&gt;""),+VLOOKUP(AG662,'פחתי מים לרשויות מצטרפות'!$A$6:$G$10,5,0)-VLOOKUP(AG14,'פחת מים וגביה'!$A:$D,3,0),0)</f>
        <v>0</v>
      </c>
      <c r="AH580" s="1049">
        <f>(+IF(AH558&gt;=2015,MAX(VLOOKUP(AH662,'פחתי מים לרשויות מצטרפות'!$A$6:$G$9,MAX($B$3-AH558,0)+3,0)-VLOOKUP(AH$1,'פחת מים וגביה'!$A:$D,3,0),0))*AH407/AH$425)+IF(AND(AH$7="חברה מנהלת",AH21&lt;&gt;""),+VLOOKUP(AH662,'פחתי מים לרשויות מצטרפות'!$A$6:$G$10,5,0)-VLOOKUP(AH14,'פחת מים וגביה'!$A:$D,3,0),0)</f>
        <v>0</v>
      </c>
      <c r="AI580" s="1049">
        <f>(+IF(AI558&gt;=2015,MAX(VLOOKUP(AI662,'פחתי מים לרשויות מצטרפות'!$A$6:$G$9,MAX($B$3-AI558,0)+3,0)-VLOOKUP(AI$1,'פחת מים וגביה'!$A:$D,3,0),0))*AI407/AI$425)+IF(AND(AI$7="חברה מנהלת",AI21&lt;&gt;""),+VLOOKUP(AI662,'פחתי מים לרשויות מצטרפות'!$A$6:$G$10,5,0)-VLOOKUP(AI14,'פחת מים וגביה'!$A:$D,3,0),0)</f>
        <v>0</v>
      </c>
      <c r="AJ580" s="1049">
        <f>(+IF(AJ558&gt;=2015,MAX(VLOOKUP(AJ662,'פחתי מים לרשויות מצטרפות'!$A$6:$G$9,MAX($B$3-AJ558,0)+3,0)-VLOOKUP(AJ$1,'פחת מים וגביה'!$A:$D,3,0),0))*AJ407/AJ$425)+IF(AND(AJ$7="חברה מנהלת",AJ21&lt;&gt;""),+VLOOKUP(AJ662,'פחתי מים לרשויות מצטרפות'!$A$6:$G$10,5,0)-VLOOKUP(AJ14,'פחת מים וגביה'!$A:$D,3,0),0)</f>
        <v>0</v>
      </c>
      <c r="AK580" s="1049">
        <f>(+IF(AK558&gt;=2015,MAX(VLOOKUP(AK662,'פחתי מים לרשויות מצטרפות'!$A$6:$G$9,MAX($B$3-AK558,0)+3,0)-VLOOKUP(AK$1,'פחת מים וגביה'!$A:$D,3,0),0))*AK407/AK$425)+IF(AND(AK$7="חברה מנהלת",AK21&lt;&gt;""),+VLOOKUP(AK662,'פחתי מים לרשויות מצטרפות'!$A$6:$G$10,5,0)-VLOOKUP(AK14,'פחת מים וגביה'!$A:$D,3,0),0)</f>
        <v>0</v>
      </c>
      <c r="AL580" s="1049">
        <f>(+IF(AL558&gt;=2015,MAX(VLOOKUP(AL662,'פחתי מים לרשויות מצטרפות'!$A$6:$G$9,MAX($B$3-AL558,0)+3,0)-VLOOKUP(AL$1,'פחת מים וגביה'!$A:$D,3,0),0))*AL407/AL$425)+IF(AND(AL$7="חברה מנהלת",AL21&lt;&gt;""),+VLOOKUP(AL662,'פחתי מים לרשויות מצטרפות'!$A$6:$G$10,5,0)-VLOOKUP(AL14,'פחת מים וגביה'!$A:$D,3,0),0)</f>
        <v>0</v>
      </c>
      <c r="AM580" s="1049">
        <f>(+IF(AM558&gt;=2015,MAX(VLOOKUP(AM662,'פחתי מים לרשויות מצטרפות'!$A$6:$G$9,MAX($B$3-AM558,0)+3,0)-VLOOKUP(AM$1,'פחת מים וגביה'!$A:$D,3,0),0))*AM407/AM$425)+IF(AND(AM$7="חברה מנהלת",AM21&lt;&gt;""),+VLOOKUP(AM662,'פחתי מים לרשויות מצטרפות'!$A$6:$G$10,5,0)-VLOOKUP(AM14,'פחת מים וגביה'!$A:$D,3,0),0)</f>
        <v>0</v>
      </c>
      <c r="AN580" s="1049">
        <f>(+IF(AN558&gt;=2015,MAX(VLOOKUP(AN662,'פחתי מים לרשויות מצטרפות'!$A$6:$G$9,MAX($B$3-AN558,0)+3,0)-VLOOKUP(AN$1,'פחת מים וגביה'!$A:$D,3,0),0))*AN407/AN$425)+IF(AND(AN$7="חברה מנהלת",AN21&lt;&gt;""),+VLOOKUP(AN662,'פחתי מים לרשויות מצטרפות'!$A$6:$G$10,5,0)-VLOOKUP(AN14,'פחת מים וגביה'!$A:$D,3,0),0)</f>
        <v>0</v>
      </c>
      <c r="AO580" s="1049">
        <f>(+IF(AO558&gt;=2015,MAX(VLOOKUP(AO662,'פחתי מים לרשויות מצטרפות'!$A$6:$G$9,MAX($B$3-AO558,0)+3,0)-VLOOKUP(AO$1,'פחת מים וגביה'!$A:$D,3,0),0))*AO407/AO$425)+IF(AND(AO$7="חברה מנהלת",AO21&lt;&gt;""),+VLOOKUP(AO662,'פחתי מים לרשויות מצטרפות'!$A$6:$G$10,5,0)-VLOOKUP(AO14,'פחת מים וגביה'!$A:$D,3,0),0)</f>
        <v>0</v>
      </c>
      <c r="AP580" s="1049">
        <f>(+IF(AP558&gt;=2015,MAX(VLOOKUP(AP662,'פחתי מים לרשויות מצטרפות'!$A$6:$G$9,MAX($B$3-AP558,0)+3,0)-VLOOKUP(AP$1,'פחת מים וגביה'!$A:$D,3,0),0))*AP407/AP$425)+IF(AND(AP$7="חברה מנהלת",AP21&lt;&gt;""),+VLOOKUP(AP662,'פחתי מים לרשויות מצטרפות'!$A$6:$G$10,5,0)-VLOOKUP(AP14,'פחת מים וגביה'!$A:$D,3,0),0)</f>
        <v>0</v>
      </c>
      <c r="AQ580" s="1049">
        <f>(+IF(AQ558&gt;=2015,MAX(VLOOKUP(AQ662,'פחתי מים לרשויות מצטרפות'!$A$6:$G$9,MAX($B$3-AQ558,0)+3,0)-VLOOKUP(AQ$1,'פחת מים וגביה'!$A:$D,3,0),0))*AQ407/AQ$425)+IF(AND(AQ$7="חברה מנהלת",AQ21&lt;&gt;""),+VLOOKUP(AQ662,'פחתי מים לרשויות מצטרפות'!$A$6:$G$10,5,0)-VLOOKUP(AQ14,'פחת מים וגביה'!$A:$D,3,0),0)</f>
        <v>0</v>
      </c>
      <c r="AR580" s="1049">
        <f>(+IF(AR558&gt;=2015,MAX(VLOOKUP(AR662,'פחתי מים לרשויות מצטרפות'!$A$6:$G$9,MAX($B$3-AR558,0)+3,0)-VLOOKUP(AR$1,'פחת מים וגביה'!$A:$D,3,0),0))*AR407/AR$425)+IF(AND(AR$7="חברה מנהלת",AR21&lt;&gt;""),+VLOOKUP(AR662,'פחתי מים לרשויות מצטרפות'!$A$6:$G$10,5,0)-VLOOKUP(AR14,'פחת מים וגביה'!$A:$D,3,0),0)</f>
        <v>0</v>
      </c>
      <c r="AS580" s="1049">
        <f>(+IF(AS558&gt;=2015,MAX(VLOOKUP(AS662,'פחתי מים לרשויות מצטרפות'!$A$6:$G$9,MAX($B$3-AS558,0)+3,0)-VLOOKUP(AS$1,'פחת מים וגביה'!$A:$D,3,0),0))*AS407/AS$425)+IF(AND(AS$7="חברה מנהלת",AS21&lt;&gt;""),+VLOOKUP(AS662,'פחתי מים לרשויות מצטרפות'!$A$6:$G$10,5,0)-VLOOKUP(AS14,'פחת מים וגביה'!$A:$D,3,0),0)</f>
        <v>0</v>
      </c>
      <c r="AT580" s="1049">
        <f>(+IF(AT558&gt;=2015,MAX(VLOOKUP(AT662,'פחתי מים לרשויות מצטרפות'!$A$6:$G$9,MAX($B$3-AT558,0)+3,0)-VLOOKUP(AT$1,'פחת מים וגביה'!$A:$D,3,0),0))*AT407/AT$425)+IF(AND(AT$7="חברה מנהלת",AT21&lt;&gt;""),+VLOOKUP(AT662,'פחתי מים לרשויות מצטרפות'!$A$6:$G$10,5,0)-VLOOKUP(AT14,'פחת מים וגביה'!$A:$D,3,0),0)</f>
        <v>0</v>
      </c>
      <c r="AU580" s="1049">
        <f>(+IF(AU558&gt;=2015,MAX(VLOOKUP(AU662,'פחתי מים לרשויות מצטרפות'!$A$6:$G$9,MAX($B$3-AU558,0)+3,0)-VLOOKUP(AU$1,'פחת מים וגביה'!$A:$D,3,0),0))*AU407/AU$425)+IF(AND(AU$7="חברה מנהלת",AU21&lt;&gt;""),+VLOOKUP(AU662,'פחתי מים לרשויות מצטרפות'!$A$6:$G$10,5,0)-VLOOKUP(AU14,'פחת מים וגביה'!$A:$D,3,0),0)</f>
        <v>0</v>
      </c>
      <c r="AV580" s="1049">
        <f>(+IF(AV558&gt;=2015,MAX(VLOOKUP(AV662,'פחתי מים לרשויות מצטרפות'!$A$6:$G$9,MAX($B$3-AV558,0)+3,0)-VLOOKUP(AV$1,'פחת מים וגביה'!$A:$D,3,0),0))*AV407/AV$425)+IF(AND(AV$7="חברה מנהלת",AV21&lt;&gt;""),+VLOOKUP(AV662,'פחתי מים לרשויות מצטרפות'!$A$6:$G$10,5,0)-VLOOKUP(AV14,'פחת מים וגביה'!$A:$D,3,0),0)</f>
        <v>0</v>
      </c>
      <c r="AW580" s="1049">
        <f>(+IF(AW558&gt;=2015,MAX(VLOOKUP(AW662,'פחתי מים לרשויות מצטרפות'!$A$6:$G$9,MAX($B$3-AW558,0)+3,0)-VLOOKUP(AW$1,'פחת מים וגביה'!$A:$D,3,0),0))*AW407/AW$425)+IF(AND(AW$7="חברה מנהלת",AW21&lt;&gt;""),+VLOOKUP(AW662,'פחתי מים לרשויות מצטרפות'!$A$6:$G$10,5,0)-VLOOKUP(AW14,'פחת מים וגביה'!$A:$D,3,0),0)</f>
        <v>0</v>
      </c>
      <c r="AX580" s="1049">
        <f>(+IF(AX558&gt;=2015,MAX(VLOOKUP(AX662,'פחתי מים לרשויות מצטרפות'!$A$6:$G$9,MAX($B$3-AX558,0)+3,0)-VLOOKUP(AX$1,'פחת מים וגביה'!$A:$D,3,0),0))*AX407/AX$425)+IF(AND(AX$7="חברה מנהלת",AX21&lt;&gt;""),+VLOOKUP(AX662,'פחתי מים לרשויות מצטרפות'!$A$6:$G$10,5,0)-VLOOKUP(AX14,'פחת מים וגביה'!$A:$D,3,0),0)</f>
        <v>0</v>
      </c>
      <c r="AY580" s="1049">
        <f>(+IF(AY558&gt;=2015,MAX(VLOOKUP(AY662,'פחתי מים לרשויות מצטרפות'!$A$6:$G$9,MAX($B$3-AY558,0)+3,0)-VLOOKUP(AY$1,'פחת מים וגביה'!$A:$D,3,0),0))*AY407/AY$425)+IF(AND(AY$7="חברה מנהלת",AY21&lt;&gt;""),+VLOOKUP(AY662,'פחתי מים לרשויות מצטרפות'!$A$6:$G$10,5,0)-VLOOKUP(AY14,'פחת מים וגביה'!$A:$D,3,0),0)</f>
        <v>0</v>
      </c>
      <c r="AZ580" s="1049">
        <f>(+IF(AZ558&gt;=2015,MAX(VLOOKUP(AZ662,'פחתי מים לרשויות מצטרפות'!$A$6:$G$9,MAX($B$3-AZ558,0)+3,0)-VLOOKUP(AZ$1,'פחת מים וגביה'!$A:$D,3,0),0))*AZ407/AZ$425)+IF(AND(AZ$7="חברה מנהלת",AZ21&lt;&gt;""),+VLOOKUP(AZ662,'פחתי מים לרשויות מצטרפות'!$A$6:$G$10,5,0)-VLOOKUP(AZ14,'פחת מים וגביה'!$A:$D,3,0),0)</f>
        <v>0</v>
      </c>
      <c r="BA580" s="1049">
        <f>(+IF(BA558&gt;=2015,MAX(VLOOKUP(BA662,'פחתי מים לרשויות מצטרפות'!$A$6:$G$9,MAX($B$3-BA558,0)+3,0)-VLOOKUP(BA$1,'פחת מים וגביה'!$A:$D,3,0),0))*BA407/BA$425)+IF(AND(BA$7="חברה מנהלת",BA21&lt;&gt;""),+VLOOKUP(BA662,'פחתי מים לרשויות מצטרפות'!$A$6:$G$10,5,0)-VLOOKUP(BA14,'פחת מים וגביה'!$A:$D,3,0),0)</f>
        <v>0</v>
      </c>
      <c r="BB580" s="1049">
        <f>(+IF(BB558&gt;=2015,MAX(VLOOKUP(BB662,'פחתי מים לרשויות מצטרפות'!$A$6:$G$9,MAX($B$3-BB558,0)+3,0)-VLOOKUP(BB$1,'פחת מים וגביה'!$A:$D,3,0),0))*BB407/BB$425)+IF(AND(BB$7="חברה מנהלת",BB21&lt;&gt;""),+VLOOKUP(BB662,'פחתי מים לרשויות מצטרפות'!$A$6:$G$10,5,0)-VLOOKUP(BB14,'פחת מים וגביה'!$A:$D,3,0),0)</f>
        <v>0</v>
      </c>
      <c r="BC580" s="1049">
        <f>(+IF(BC558&gt;=2015,MAX(VLOOKUP(BC662,'פחתי מים לרשויות מצטרפות'!$A$6:$G$9,MAX($B$3-BC558,0)+3,0)-VLOOKUP(BC$1,'פחת מים וגביה'!$A:$D,3,0),0))*BC407/BC$425)+IF(AND(BC$7="חברה מנהלת",BC21&lt;&gt;""),+VLOOKUP(BC662,'פחתי מים לרשויות מצטרפות'!$A$6:$G$10,5,0)-VLOOKUP(BC14,'פחת מים וגביה'!$A:$D,3,0),0)</f>
        <v>0</v>
      </c>
      <c r="BD580" s="1049">
        <f>(+IF(BD558&gt;=2015,MAX(VLOOKUP(BD662,'פחתי מים לרשויות מצטרפות'!$A$6:$G$9,MAX($B$3-BD558,0)+3,0)-VLOOKUP(BD$1,'פחת מים וגביה'!$A:$D,3,0),0))*BD407/BD$425)+IF(AND(BD$7="חברה מנהלת",BD21&lt;&gt;""),+VLOOKUP(BD662,'פחתי מים לרשויות מצטרפות'!$A$6:$G$10,5,0)-VLOOKUP(BD14,'פחת מים וגביה'!$A:$D,3,0),0)</f>
        <v>0</v>
      </c>
      <c r="BE580" s="1049">
        <f>(+IF(BE558&gt;=2015,MAX(VLOOKUP(BE662,'פחתי מים לרשויות מצטרפות'!$A$6:$G$9,MAX($B$3-BE558,0)+3,0)-VLOOKUP(BE$1,'פחת מים וגביה'!$A:$D,3,0),0))*BE407/BE$425)+IF(AND(BE$7="חברה מנהלת",BE21&lt;&gt;""),+VLOOKUP(BE662,'פחתי מים לרשויות מצטרפות'!$A$6:$G$10,5,0)-VLOOKUP(BE14,'פחת מים וגביה'!$A:$D,3,0),0)</f>
        <v>0</v>
      </c>
      <c r="BF580" s="1049">
        <f>(+IF(BF558&gt;=2015,MAX(VLOOKUP(BF662,'פחתי מים לרשויות מצטרפות'!$A$6:$G$9,MAX($B$3-BF558,0)+3,0)-VLOOKUP(BF$1,'פחת מים וגביה'!$A:$D,3,0),0))*BF407/BF$425)+IF(AND(BF$7="חברה מנהלת",BF21&lt;&gt;""),+VLOOKUP(BF662,'פחתי מים לרשויות מצטרפות'!$A$6:$G$10,5,0)-VLOOKUP(BF14,'פחת מים וגביה'!$A:$D,3,0),0)</f>
        <v>0</v>
      </c>
    </row>
    <row r="581" spans="1:58" x14ac:dyDescent="0.2">
      <c r="C581" s="1049">
        <f>(+IF(C559&gt;=2015,MAX(VLOOKUP(C663,'פחתי מים לרשויות מצטרפות'!$A$6:$G$9,MAX($B$3-C559,0)+3,0)-VLOOKUP(C$1,'פחת מים וגביה'!$A:$D,3,0),0))*C408/C$425)+IF(AND(C$7="חברה מנהלת",C22&lt;&gt;""),+VLOOKUP(C663,'פחתי מים לרשויות מצטרפות'!$A$6:$G$10,5,0)-VLOOKUP(C15,'פחת מים וגביה'!$A:$D,3,0),0)</f>
        <v>0</v>
      </c>
      <c r="D581" s="1049">
        <f>(+IF(D559&gt;=2015,MAX(VLOOKUP(D663,'פחתי מים לרשויות מצטרפות'!$A$6:$G$9,MAX($B$3-D559,0)+3,0)-VLOOKUP(D$1,'פחת מים וגביה'!$A:$D,3,0),0))*D408/D$425)+IF(AND(D$7="חברה מנהלת",D22&lt;&gt;""),+VLOOKUP(D663,'פחתי מים לרשויות מצטרפות'!$A$6:$G$10,5,0)-VLOOKUP(D15,'פחת מים וגביה'!$A:$D,3,0),0)</f>
        <v>0</v>
      </c>
      <c r="E581" s="1049">
        <f>(+IF(E559&gt;=2015,MAX(VLOOKUP(E663,'פחתי מים לרשויות מצטרפות'!$A$6:$G$9,MAX($B$3-E559,0)+3,0)-VLOOKUP(E$1,'פחת מים וגביה'!$A:$D,3,0),0))*E408/E$425)+IF(AND(E$7="חברה מנהלת",E22&lt;&gt;""),+VLOOKUP(E663,'פחתי מים לרשויות מצטרפות'!$A$6:$G$10,5,0)-VLOOKUP(E15,'פחת מים וגביה'!$A:$D,3,0),0)</f>
        <v>0</v>
      </c>
      <c r="F581" s="1049">
        <f>(+IF(F559&gt;=2015,MAX(VLOOKUP(F663,'פחתי מים לרשויות מצטרפות'!$A$6:$G$9,MAX($B$3-F559,0)+3,0)-VLOOKUP(F$1,'פחת מים וגביה'!$A:$D,3,0),0))*F408/F$425)+IF(AND(F$7="חברה מנהלת",F22&lt;&gt;""),+VLOOKUP(F663,'פחתי מים לרשויות מצטרפות'!$A$6:$G$10,5,0)-VLOOKUP(F15,'פחת מים וגביה'!$A:$D,3,0),0)</f>
        <v>0</v>
      </c>
      <c r="G581" s="1049">
        <f>(+IF(G559&gt;=2015,MAX(VLOOKUP(G663,'פחתי מים לרשויות מצטרפות'!$A$6:$G$9,MAX($B$3-G559,0)+3,0)-VLOOKUP(G$1,'פחת מים וגביה'!$A:$D,3,0),0))*G408/G$425)+IF(AND(G$7="חברה מנהלת",G22&lt;&gt;""),+VLOOKUP(G663,'פחתי מים לרשויות מצטרפות'!$A$6:$G$10,5,0)-VLOOKUP(G15,'פחת מים וגביה'!$A:$D,3,0),0)</f>
        <v>0</v>
      </c>
      <c r="H581" s="1049">
        <f>(+IF(H559&gt;=2015,MAX(VLOOKUP(H663,'פחתי מים לרשויות מצטרפות'!$A$6:$G$9,MAX($B$3-H559,0)+3,0)-VLOOKUP(H$1,'פחת מים וגביה'!$A:$D,3,0),0))*H408/H$425)+IF(AND(H$7="חברה מנהלת",H22&lt;&gt;""),+VLOOKUP(H663,'פחתי מים לרשויות מצטרפות'!$A$6:$G$10,5,0)-VLOOKUP(H15,'פחת מים וגביה'!$A:$D,3,0),0)</f>
        <v>0</v>
      </c>
      <c r="I581" s="1049">
        <f>(+IF(I559&gt;=2015,MAX(VLOOKUP(I663,'פחתי מים לרשויות מצטרפות'!$A$6:$G$9,MAX($B$3-I559,0)+3,0)-VLOOKUP(I$1,'פחת מים וגביה'!$A:$D,3,0),0))*I408/I$425)+IF(AND(I$7="חברה מנהלת",I22&lt;&gt;""),+VLOOKUP(I663,'פחתי מים לרשויות מצטרפות'!$A$6:$G$10,5,0)-VLOOKUP(I15,'פחת מים וגביה'!$A:$D,3,0),0)</f>
        <v>0</v>
      </c>
      <c r="J581" s="1049">
        <f>(+IF(J559&gt;=2015,MAX(VLOOKUP(J663,'פחתי מים לרשויות מצטרפות'!$A$6:$G$9,MAX($B$3-J559,0)+3,0)-VLOOKUP(J$1,'פחת מים וגביה'!$A:$D,3,0),0))*J408/J$425)+IF(AND(J$7="חברה מנהלת",J22&lt;&gt;""),+VLOOKUP(J663,'פחתי מים לרשויות מצטרפות'!$A$6:$G$10,5,0)-VLOOKUP(J15,'פחת מים וגביה'!$A:$D,3,0),0)</f>
        <v>0</v>
      </c>
      <c r="K581" s="1049">
        <f>(+IF(K559&gt;=2015,MAX(VLOOKUP(K663,'פחתי מים לרשויות מצטרפות'!$A$6:$G$9,MAX($B$3-K559,0)+3,0)-VLOOKUP(K$1,'פחת מים וגביה'!$A:$D,3,0),0))*K408/K$425)+IF(AND(K$7="חברה מנהלת",K22&lt;&gt;""),+VLOOKUP(K663,'פחתי מים לרשויות מצטרפות'!$A$6:$G$10,5,0)-VLOOKUP(K15,'פחת מים וגביה'!$A:$D,3,0),0)</f>
        <v>0</v>
      </c>
      <c r="L581" s="1049">
        <f>(+IF(L559&gt;=2015,MAX(VLOOKUP(L663,'פחתי מים לרשויות מצטרפות'!$A$6:$G$9,MAX($B$3-L559,0)+3,0)-VLOOKUP(L$1,'פחת מים וגביה'!$A:$D,3,0),0))*L408/L$425)+IF(AND(L$7="חברה מנהלת",L22&lt;&gt;""),+VLOOKUP(L663,'פחתי מים לרשויות מצטרפות'!$A$6:$G$10,5,0)-VLOOKUP(L15,'פחת מים וגביה'!$A:$D,3,0),0)</f>
        <v>0</v>
      </c>
      <c r="M581" s="1049">
        <f>(+IF(M559&gt;=2015,MAX(VLOOKUP(M663,'פחתי מים לרשויות מצטרפות'!$A$6:$G$9,MAX($B$3-M559,0)+3,0)-VLOOKUP(M$1,'פחת מים וגביה'!$A:$D,3,0),0))*M408/M$425)+IF(AND(M$7="חברה מנהלת",M22&lt;&gt;""),+VLOOKUP(M663,'פחתי מים לרשויות מצטרפות'!$A$6:$G$10,5,0)-VLOOKUP(M15,'פחת מים וגביה'!$A:$D,3,0),0)</f>
        <v>0</v>
      </c>
      <c r="N581" s="1049">
        <f>(+IF(N559&gt;=2015,MAX(VLOOKUP(N663,'פחתי מים לרשויות מצטרפות'!$A$6:$G$9,MAX($B$3-N559,0)+3,0)-VLOOKUP(N$1,'פחת מים וגביה'!$A:$D,3,0),0))*N408/N$425)+IF(AND(N$7="חברה מנהלת",N22&lt;&gt;""),+VLOOKUP(N663,'פחתי מים לרשויות מצטרפות'!$A$6:$G$10,5,0)-VLOOKUP(N15,'פחת מים וגביה'!$A:$D,3,0),0)</f>
        <v>0</v>
      </c>
      <c r="O581" s="1049">
        <f>(+IF(O559&gt;=2015,MAX(VLOOKUP(O663,'פחתי מים לרשויות מצטרפות'!$A$6:$G$9,MAX($B$3-O559,0)+3,0)-VLOOKUP(O$1,'פחת מים וגביה'!$A:$D,3,0),0))*O408/O$425)+IF(AND(O$7="חברה מנהלת",O22&lt;&gt;""),+VLOOKUP(O663,'פחתי מים לרשויות מצטרפות'!$A$6:$G$10,5,0)-VLOOKUP(O15,'פחת מים וגביה'!$A:$D,3,0),0)</f>
        <v>0</v>
      </c>
      <c r="P581" s="1049">
        <f>(+IF(P559&gt;=2015,MAX(VLOOKUP(P663,'פחתי מים לרשויות מצטרפות'!$A$6:$G$9,MAX($B$3-P559,0)+3,0)-VLOOKUP(P$1,'פחת מים וגביה'!$A:$D,3,0),0))*P408/P$425)+IF(AND(P$7="חברה מנהלת",P22&lt;&gt;""),+VLOOKUP(P663,'פחתי מים לרשויות מצטרפות'!$A$6:$G$10,5,0)-VLOOKUP(P15,'פחת מים וגביה'!$A:$D,3,0),0)</f>
        <v>0</v>
      </c>
      <c r="Q581" s="1049">
        <f>(+IF(Q559&gt;=2015,MAX(VLOOKUP(Q663,'פחתי מים לרשויות מצטרפות'!$A$6:$G$9,MAX($B$3-Q559,0)+3,0)-VLOOKUP(Q$1,'פחת מים וגביה'!$A:$D,3,0),0))*Q408/Q$425)+IF(AND(Q$7="חברה מנהלת",Q22&lt;&gt;""),+VLOOKUP(Q663,'פחתי מים לרשויות מצטרפות'!$A$6:$G$10,5,0)-VLOOKUP(Q15,'פחת מים וגביה'!$A:$D,3,0),0)</f>
        <v>0</v>
      </c>
      <c r="R581" s="1049">
        <f>(+IF(R559&gt;=2015,MAX(VLOOKUP(R663,'פחתי מים לרשויות מצטרפות'!$A$6:$G$9,MAX($B$3-R559,0)+3,0)-VLOOKUP(R$1,'פחת מים וגביה'!$A:$D,3,0),0))*R408/R$425)+IF(AND(R$7="חברה מנהלת",R22&lt;&gt;""),+VLOOKUP(R663,'פחתי מים לרשויות מצטרפות'!$A$6:$G$10,5,0)-VLOOKUP(R15,'פחת מים וגביה'!$A:$D,3,0),0)</f>
        <v>0</v>
      </c>
      <c r="S581" s="1049">
        <f>(+IF(S559&gt;=2015,MAX(VLOOKUP(S663,'פחתי מים לרשויות מצטרפות'!$A$6:$G$9,MAX($B$3-S559,0)+3,0)-VLOOKUP(S$1,'פחת מים וגביה'!$A:$D,3,0),0))*S408/S$425)+IF(AND(S$7="חברה מנהלת",S22&lt;&gt;""),+VLOOKUP(S663,'פחתי מים לרשויות מצטרפות'!$A$6:$G$10,5,0)-VLOOKUP(S15,'פחת מים וגביה'!$A:$D,3,0),0)</f>
        <v>0</v>
      </c>
      <c r="T581" s="1049">
        <f>(+IF(T559&gt;=2015,MAX(VLOOKUP(T663,'פחתי מים לרשויות מצטרפות'!$A$6:$G$9,MAX($B$3-T559,0)+3,0)-VLOOKUP(T$1,'פחת מים וגביה'!$A:$D,3,0),0))*T408/T$425)+IF(AND(T$7="חברה מנהלת",T22&lt;&gt;""),+VLOOKUP(T663,'פחתי מים לרשויות מצטרפות'!$A$6:$G$10,5,0)-VLOOKUP(T15,'פחת מים וגביה'!$A:$D,3,0),0)</f>
        <v>0</v>
      </c>
      <c r="U581" s="1049">
        <f>(+IF(U559&gt;=2015,MAX(VLOOKUP(U663,'פחתי מים לרשויות מצטרפות'!$A$6:$G$9,MAX($B$3-U559,0)+3,0)-VLOOKUP(U$1,'פחת מים וגביה'!$A:$D,3,0),0))*U408/U$425)+IF(AND(U$7="חברה מנהלת",U22&lt;&gt;""),+VLOOKUP(U663,'פחתי מים לרשויות מצטרפות'!$A$6:$G$10,5,0)-VLOOKUP(U15,'פחת מים וגביה'!$A:$D,3,0),0)</f>
        <v>0</v>
      </c>
      <c r="V581" s="1049">
        <f>(+IF(V559&gt;=2015,MAX(VLOOKUP(V663,'פחתי מים לרשויות מצטרפות'!$A$6:$G$9,MAX($B$3-V559,0)+3,0)-VLOOKUP(V$1,'פחת מים וגביה'!$A:$D,3,0),0))*V408/V$425)+IF(AND(V$7="חברה מנהלת",V22&lt;&gt;""),+VLOOKUP(V663,'פחתי מים לרשויות מצטרפות'!$A$6:$G$10,5,0)-VLOOKUP(V15,'פחת מים וגביה'!$A:$D,3,0),0)</f>
        <v>0</v>
      </c>
      <c r="W581" s="1049">
        <f>(+IF(W559&gt;=2015,MAX(VLOOKUP(W663,'פחתי מים לרשויות מצטרפות'!$A$6:$G$9,MAX($B$3-W559,0)+3,0)-VLOOKUP(W$1,'פחת מים וגביה'!$A:$D,3,0),0))*W408/W$425)+IF(AND(W$7="חברה מנהלת",W22&lt;&gt;""),+VLOOKUP(W663,'פחתי מים לרשויות מצטרפות'!$A$6:$G$10,5,0)-VLOOKUP(W15,'פחת מים וגביה'!$A:$D,3,0),0)</f>
        <v>0</v>
      </c>
      <c r="X581" s="1049">
        <f>(+IF(X559&gt;=2015,MAX(VLOOKUP(X663,'פחתי מים לרשויות מצטרפות'!$A$6:$G$9,MAX($B$3-X559,0)+3,0)-VLOOKUP(X$1,'פחת מים וגביה'!$A:$D,3,0),0))*X408/X$425)+IF(AND(X$7="חברה מנהלת",X22&lt;&gt;""),+VLOOKUP(X663,'פחתי מים לרשויות מצטרפות'!$A$6:$G$10,5,0)-VLOOKUP(X15,'פחת מים וגביה'!$A:$D,3,0),0)</f>
        <v>0</v>
      </c>
      <c r="Y581" s="1049">
        <f>(+IF(Y559&gt;=2015,MAX(VLOOKUP(Y663,'פחתי מים לרשויות מצטרפות'!$A$6:$G$9,MAX($B$3-Y559,0)+3,0)-VLOOKUP(Y$1,'פחת מים וגביה'!$A:$D,3,0),0))*Y408/Y$425)+IF(AND(Y$7="חברה מנהלת",Y22&lt;&gt;""),+VLOOKUP(Y663,'פחתי מים לרשויות מצטרפות'!$A$6:$G$10,5,0)-VLOOKUP(Y15,'פחת מים וגביה'!$A:$D,3,0),0)</f>
        <v>0</v>
      </c>
      <c r="Z581" s="1049">
        <f>(+IF(Z559&gt;=2015,MAX(VLOOKUP(Z663,'פחתי מים לרשויות מצטרפות'!$A$6:$G$9,MAX($B$3-Z559,0)+3,0)-VLOOKUP(Z$1,'פחת מים וגביה'!$A:$D,3,0),0))*Z408/Z$425)+IF(AND(Z$7="חברה מנהלת",Z22&lt;&gt;""),+VLOOKUP(Z663,'פחתי מים לרשויות מצטרפות'!$A$6:$G$10,5,0)-VLOOKUP(Z15,'פחת מים וגביה'!$A:$D,3,0),0)</f>
        <v>0</v>
      </c>
      <c r="AA581" s="1049">
        <f>(+IF(AA559&gt;=2015,MAX(VLOOKUP(AA663,'פחתי מים לרשויות מצטרפות'!$A$6:$G$9,MAX($B$3-AA559,0)+3,0)-VLOOKUP(AA$1,'פחת מים וגביה'!$A:$D,3,0),0))*AA408/AA$425)+IF(AND(AA$7="חברה מנהלת",AA22&lt;&gt;""),+VLOOKUP(AA663,'פחתי מים לרשויות מצטרפות'!$A$6:$G$10,5,0)-VLOOKUP(AA15,'פחת מים וגביה'!$A:$D,3,0),0)</f>
        <v>0</v>
      </c>
      <c r="AB581" s="1049">
        <f>(+IF(AB559&gt;=2015,MAX(VLOOKUP(AB663,'פחתי מים לרשויות מצטרפות'!$A$6:$G$9,MAX($B$3-AB559,0)+3,0)-VLOOKUP(AB$1,'פחת מים וגביה'!$A:$D,3,0),0))*AB408/AB$425)+IF(AND(AB$7="חברה מנהלת",AB22&lt;&gt;""),+VLOOKUP(AB663,'פחתי מים לרשויות מצטרפות'!$A$6:$G$10,5,0)-VLOOKUP(AB15,'פחת מים וגביה'!$A:$D,3,0),0)</f>
        <v>0</v>
      </c>
      <c r="AC581" s="1049">
        <f>(+IF(AC559&gt;=2015,MAX(VLOOKUP(AC663,'פחתי מים לרשויות מצטרפות'!$A$6:$G$9,MAX($B$3-AC559,0)+3,0)-VLOOKUP(AC$1,'פחת מים וגביה'!$A:$D,3,0),0))*AC408/AC$425)+IF(AND(AC$7="חברה מנהלת",AC22&lt;&gt;""),+VLOOKUP(AC663,'פחתי מים לרשויות מצטרפות'!$A$6:$G$10,5,0)-VLOOKUP(AC15,'פחת מים וגביה'!$A:$D,3,0),0)</f>
        <v>0</v>
      </c>
      <c r="AD581" s="1049">
        <f>(+IF(AD559&gt;=2015,MAX(VLOOKUP(AD663,'פחתי מים לרשויות מצטרפות'!$A$6:$G$9,MAX($B$3-AD559,0)+3,0)-VLOOKUP(AD$1,'פחת מים וגביה'!$A:$D,3,0),0))*AD408/AD$425)+IF(AND(AD$7="חברה מנהלת",AD22&lt;&gt;""),+VLOOKUP(AD663,'פחתי מים לרשויות מצטרפות'!$A$6:$G$10,5,0)-VLOOKUP(AD15,'פחת מים וגביה'!$A:$D,3,0),0)</f>
        <v>0</v>
      </c>
      <c r="AE581" s="1049">
        <f>(+IF(AE559&gt;=2015,MAX(VLOOKUP(AE663,'פחתי מים לרשויות מצטרפות'!$A$6:$G$9,MAX($B$3-AE559,0)+3,0)-VLOOKUP(AE$1,'פחת מים וגביה'!$A:$D,3,0),0))*AE408/AE$425)+IF(AND(AE$7="חברה מנהלת",AE22&lt;&gt;""),+VLOOKUP(AE663,'פחתי מים לרשויות מצטרפות'!$A$6:$G$10,5,0)-VLOOKUP(AE15,'פחת מים וגביה'!$A:$D,3,0),0)</f>
        <v>0</v>
      </c>
      <c r="AF581" s="1049">
        <f>(+IF(AF559&gt;=2015,MAX(VLOOKUP(AF663,'פחתי מים לרשויות מצטרפות'!$A$6:$G$9,MAX($B$3-AF559,0)+3,0)-VLOOKUP(AF$1,'פחת מים וגביה'!$A:$D,3,0),0))*AF408/AF$425)+IF(AND(AF$7="חברה מנהלת",AF22&lt;&gt;""),+VLOOKUP(AF663,'פחתי מים לרשויות מצטרפות'!$A$6:$G$10,5,0)-VLOOKUP(AF15,'פחת מים וגביה'!$A:$D,3,0),0)</f>
        <v>0</v>
      </c>
      <c r="AG581" s="1049">
        <f>(+IF(AG559&gt;=2015,MAX(VLOOKUP(AG663,'פחתי מים לרשויות מצטרפות'!$A$6:$G$9,MAX($B$3-AG559,0)+3,0)-VLOOKUP(AG$1,'פחת מים וגביה'!$A:$D,3,0),0))*AG408/AG$425)+IF(AND(AG$7="חברה מנהלת",AG22&lt;&gt;""),+VLOOKUP(AG663,'פחתי מים לרשויות מצטרפות'!$A$6:$G$10,5,0)-VLOOKUP(AG15,'פחת מים וגביה'!$A:$D,3,0),0)</f>
        <v>0</v>
      </c>
      <c r="AH581" s="1049">
        <f>(+IF(AH559&gt;=2015,MAX(VLOOKUP(AH663,'פחתי מים לרשויות מצטרפות'!$A$6:$G$9,MAX($B$3-AH559,0)+3,0)-VLOOKUP(AH$1,'פחת מים וגביה'!$A:$D,3,0),0))*AH408/AH$425)+IF(AND(AH$7="חברה מנהלת",AH22&lt;&gt;""),+VLOOKUP(AH663,'פחתי מים לרשויות מצטרפות'!$A$6:$G$10,5,0)-VLOOKUP(AH15,'פחת מים וגביה'!$A:$D,3,0),0)</f>
        <v>0</v>
      </c>
      <c r="AI581" s="1049">
        <f>(+IF(AI559&gt;=2015,MAX(VLOOKUP(AI663,'פחתי מים לרשויות מצטרפות'!$A$6:$G$9,MAX($B$3-AI559,0)+3,0)-VLOOKUP(AI$1,'פחת מים וגביה'!$A:$D,3,0),0))*AI408/AI$425)+IF(AND(AI$7="חברה מנהלת",AI22&lt;&gt;""),+VLOOKUP(AI663,'פחתי מים לרשויות מצטרפות'!$A$6:$G$10,5,0)-VLOOKUP(AI15,'פחת מים וגביה'!$A:$D,3,0),0)</f>
        <v>0</v>
      </c>
      <c r="AJ581" s="1049">
        <f>(+IF(AJ559&gt;=2015,MAX(VLOOKUP(AJ663,'פחתי מים לרשויות מצטרפות'!$A$6:$G$9,MAX($B$3-AJ559,0)+3,0)-VLOOKUP(AJ$1,'פחת מים וגביה'!$A:$D,3,0),0))*AJ408/AJ$425)+IF(AND(AJ$7="חברה מנהלת",AJ22&lt;&gt;""),+VLOOKUP(AJ663,'פחתי מים לרשויות מצטרפות'!$A$6:$G$10,5,0)-VLOOKUP(AJ15,'פחת מים וגביה'!$A:$D,3,0),0)</f>
        <v>0</v>
      </c>
      <c r="AK581" s="1049">
        <f>(+IF(AK559&gt;=2015,MAX(VLOOKUP(AK663,'פחתי מים לרשויות מצטרפות'!$A$6:$G$9,MAX($B$3-AK559,0)+3,0)-VLOOKUP(AK$1,'פחת מים וגביה'!$A:$D,3,0),0))*AK408/AK$425)+IF(AND(AK$7="חברה מנהלת",AK22&lt;&gt;""),+VLOOKUP(AK663,'פחתי מים לרשויות מצטרפות'!$A$6:$G$10,5,0)-VLOOKUP(AK15,'פחת מים וגביה'!$A:$D,3,0),0)</f>
        <v>0</v>
      </c>
      <c r="AL581" s="1049">
        <f>(+IF(AL559&gt;=2015,MAX(VLOOKUP(AL663,'פחתי מים לרשויות מצטרפות'!$A$6:$G$9,MAX($B$3-AL559,0)+3,0)-VLOOKUP(AL$1,'פחת מים וגביה'!$A:$D,3,0),0))*AL408/AL$425)+IF(AND(AL$7="חברה מנהלת",AL22&lt;&gt;""),+VLOOKUP(AL663,'פחתי מים לרשויות מצטרפות'!$A$6:$G$10,5,0)-VLOOKUP(AL15,'פחת מים וגביה'!$A:$D,3,0),0)</f>
        <v>0</v>
      </c>
      <c r="AM581" s="1049">
        <f>(+IF(AM559&gt;=2015,MAX(VLOOKUP(AM663,'פחתי מים לרשויות מצטרפות'!$A$6:$G$9,MAX($B$3-AM559,0)+3,0)-VLOOKUP(AM$1,'פחת מים וגביה'!$A:$D,3,0),0))*AM408/AM$425)+IF(AND(AM$7="חברה מנהלת",AM22&lt;&gt;""),+VLOOKUP(AM663,'פחתי מים לרשויות מצטרפות'!$A$6:$G$10,5,0)-VLOOKUP(AM15,'פחת מים וגביה'!$A:$D,3,0),0)</f>
        <v>0</v>
      </c>
      <c r="AN581" s="1049">
        <f>(+IF(AN559&gt;=2015,MAX(VLOOKUP(AN663,'פחתי מים לרשויות מצטרפות'!$A$6:$G$9,MAX($B$3-AN559,0)+3,0)-VLOOKUP(AN$1,'פחת מים וגביה'!$A:$D,3,0),0))*AN408/AN$425)+IF(AND(AN$7="חברה מנהלת",AN22&lt;&gt;""),+VLOOKUP(AN663,'פחתי מים לרשויות מצטרפות'!$A$6:$G$10,5,0)-VLOOKUP(AN15,'פחת מים וגביה'!$A:$D,3,0),0)</f>
        <v>0</v>
      </c>
      <c r="AO581" s="1049">
        <f>(+IF(AO559&gt;=2015,MAX(VLOOKUP(AO663,'פחתי מים לרשויות מצטרפות'!$A$6:$G$9,MAX($B$3-AO559,0)+3,0)-VLOOKUP(AO$1,'פחת מים וגביה'!$A:$D,3,0),0))*AO408/AO$425)+IF(AND(AO$7="חברה מנהלת",AO22&lt;&gt;""),+VLOOKUP(AO663,'פחתי מים לרשויות מצטרפות'!$A$6:$G$10,5,0)-VLOOKUP(AO15,'פחת מים וגביה'!$A:$D,3,0),0)</f>
        <v>0</v>
      </c>
      <c r="AP581" s="1049">
        <f>(+IF(AP559&gt;=2015,MAX(VLOOKUP(AP663,'פחתי מים לרשויות מצטרפות'!$A$6:$G$9,MAX($B$3-AP559,0)+3,0)-VLOOKUP(AP$1,'פחת מים וגביה'!$A:$D,3,0),0))*AP408/AP$425)+IF(AND(AP$7="חברה מנהלת",AP22&lt;&gt;""),+VLOOKUP(AP663,'פחתי מים לרשויות מצטרפות'!$A$6:$G$10,5,0)-VLOOKUP(AP15,'פחת מים וגביה'!$A:$D,3,0),0)</f>
        <v>0</v>
      </c>
      <c r="AQ581" s="1049">
        <f>(+IF(AQ559&gt;=2015,MAX(VLOOKUP(AQ663,'פחתי מים לרשויות מצטרפות'!$A$6:$G$9,MAX($B$3-AQ559,0)+3,0)-VLOOKUP(AQ$1,'פחת מים וגביה'!$A:$D,3,0),0))*AQ408/AQ$425)+IF(AND(AQ$7="חברה מנהלת",AQ22&lt;&gt;""),+VLOOKUP(AQ663,'פחתי מים לרשויות מצטרפות'!$A$6:$G$10,5,0)-VLOOKUP(AQ15,'פחת מים וגביה'!$A:$D,3,0),0)</f>
        <v>0</v>
      </c>
      <c r="AR581" s="1049">
        <f>(+IF(AR559&gt;=2015,MAX(VLOOKUP(AR663,'פחתי מים לרשויות מצטרפות'!$A$6:$G$9,MAX($B$3-AR559,0)+3,0)-VLOOKUP(AR$1,'פחת מים וגביה'!$A:$D,3,0),0))*AR408/AR$425)+IF(AND(AR$7="חברה מנהלת",AR22&lt;&gt;""),+VLOOKUP(AR663,'פחתי מים לרשויות מצטרפות'!$A$6:$G$10,5,0)-VLOOKUP(AR15,'פחת מים וגביה'!$A:$D,3,0),0)</f>
        <v>0</v>
      </c>
      <c r="AS581" s="1049">
        <f>(+IF(AS559&gt;=2015,MAX(VLOOKUP(AS663,'פחתי מים לרשויות מצטרפות'!$A$6:$G$9,MAX($B$3-AS559,0)+3,0)-VLOOKUP(AS$1,'פחת מים וגביה'!$A:$D,3,0),0))*AS408/AS$425)+IF(AND(AS$7="חברה מנהלת",AS22&lt;&gt;""),+VLOOKUP(AS663,'פחתי מים לרשויות מצטרפות'!$A$6:$G$10,5,0)-VLOOKUP(AS15,'פחת מים וגביה'!$A:$D,3,0),0)</f>
        <v>0</v>
      </c>
      <c r="AT581" s="1049">
        <f>(+IF(AT559&gt;=2015,MAX(VLOOKUP(AT663,'פחתי מים לרשויות מצטרפות'!$A$6:$G$9,MAX($B$3-AT559,0)+3,0)-VLOOKUP(AT$1,'פחת מים וגביה'!$A:$D,3,0),0))*AT408/AT$425)+IF(AND(AT$7="חברה מנהלת",AT22&lt;&gt;""),+VLOOKUP(AT663,'פחתי מים לרשויות מצטרפות'!$A$6:$G$10,5,0)-VLOOKUP(AT15,'פחת מים וגביה'!$A:$D,3,0),0)</f>
        <v>0</v>
      </c>
      <c r="AU581" s="1049">
        <f>(+IF(AU559&gt;=2015,MAX(VLOOKUP(AU663,'פחתי מים לרשויות מצטרפות'!$A$6:$G$9,MAX($B$3-AU559,0)+3,0)-VLOOKUP(AU$1,'פחת מים וגביה'!$A:$D,3,0),0))*AU408/AU$425)+IF(AND(AU$7="חברה מנהלת",AU22&lt;&gt;""),+VLOOKUP(AU663,'פחתי מים לרשויות מצטרפות'!$A$6:$G$10,5,0)-VLOOKUP(AU15,'פחת מים וגביה'!$A:$D,3,0),0)</f>
        <v>0</v>
      </c>
      <c r="AV581" s="1049">
        <f>(+IF(AV559&gt;=2015,MAX(VLOOKUP(AV663,'פחתי מים לרשויות מצטרפות'!$A$6:$G$9,MAX($B$3-AV559,0)+3,0)-VLOOKUP(AV$1,'פחת מים וגביה'!$A:$D,3,0),0))*AV408/AV$425)+IF(AND(AV$7="חברה מנהלת",AV22&lt;&gt;""),+VLOOKUP(AV663,'פחתי מים לרשויות מצטרפות'!$A$6:$G$10,5,0)-VLOOKUP(AV15,'פחת מים וגביה'!$A:$D,3,0),0)</f>
        <v>0</v>
      </c>
      <c r="AW581" s="1049">
        <f>(+IF(AW559&gt;=2015,MAX(VLOOKUP(AW663,'פחתי מים לרשויות מצטרפות'!$A$6:$G$9,MAX($B$3-AW559,0)+3,0)-VLOOKUP(AW$1,'פחת מים וגביה'!$A:$D,3,0),0))*AW408/AW$425)+IF(AND(AW$7="חברה מנהלת",AW22&lt;&gt;""),+VLOOKUP(AW663,'פחתי מים לרשויות מצטרפות'!$A$6:$G$10,5,0)-VLOOKUP(AW15,'פחת מים וגביה'!$A:$D,3,0),0)</f>
        <v>0</v>
      </c>
      <c r="AX581" s="1049">
        <f>(+IF(AX559&gt;=2015,MAX(VLOOKUP(AX663,'פחתי מים לרשויות מצטרפות'!$A$6:$G$9,MAX($B$3-AX559,0)+3,0)-VLOOKUP(AX$1,'פחת מים וגביה'!$A:$D,3,0),0))*AX408/AX$425)+IF(AND(AX$7="חברה מנהלת",AX22&lt;&gt;""),+VLOOKUP(AX663,'פחתי מים לרשויות מצטרפות'!$A$6:$G$10,5,0)-VLOOKUP(AX15,'פחת מים וגביה'!$A:$D,3,0),0)</f>
        <v>0</v>
      </c>
      <c r="AY581" s="1049">
        <f>(+IF(AY559&gt;=2015,MAX(VLOOKUP(AY663,'פחתי מים לרשויות מצטרפות'!$A$6:$G$9,MAX($B$3-AY559,0)+3,0)-VLOOKUP(AY$1,'פחת מים וגביה'!$A:$D,3,0),0))*AY408/AY$425)+IF(AND(AY$7="חברה מנהלת",AY22&lt;&gt;""),+VLOOKUP(AY663,'פחתי מים לרשויות מצטרפות'!$A$6:$G$10,5,0)-VLOOKUP(AY15,'פחת מים וגביה'!$A:$D,3,0),0)</f>
        <v>0</v>
      </c>
      <c r="AZ581" s="1049">
        <f>(+IF(AZ559&gt;=2015,MAX(VLOOKUP(AZ663,'פחתי מים לרשויות מצטרפות'!$A$6:$G$9,MAX($B$3-AZ559,0)+3,0)-VLOOKUP(AZ$1,'פחת מים וגביה'!$A:$D,3,0),0))*AZ408/AZ$425)+IF(AND(AZ$7="חברה מנהלת",AZ22&lt;&gt;""),+VLOOKUP(AZ663,'פחתי מים לרשויות מצטרפות'!$A$6:$G$10,5,0)-VLOOKUP(AZ15,'פחת מים וגביה'!$A:$D,3,0),0)</f>
        <v>0</v>
      </c>
      <c r="BA581" s="1049">
        <f>(+IF(BA559&gt;=2015,MAX(VLOOKUP(BA663,'פחתי מים לרשויות מצטרפות'!$A$6:$G$9,MAX($B$3-BA559,0)+3,0)-VLOOKUP(BA$1,'פחת מים וגביה'!$A:$D,3,0),0))*BA408/BA$425)+IF(AND(BA$7="חברה מנהלת",BA22&lt;&gt;""),+VLOOKUP(BA663,'פחתי מים לרשויות מצטרפות'!$A$6:$G$10,5,0)-VLOOKUP(BA15,'פחת מים וגביה'!$A:$D,3,0),0)</f>
        <v>0</v>
      </c>
      <c r="BB581" s="1049">
        <f>(+IF(BB559&gt;=2015,MAX(VLOOKUP(BB663,'פחתי מים לרשויות מצטרפות'!$A$6:$G$9,MAX($B$3-BB559,0)+3,0)-VLOOKUP(BB$1,'פחת מים וגביה'!$A:$D,3,0),0))*BB408/BB$425)+IF(AND(BB$7="חברה מנהלת",BB22&lt;&gt;""),+VLOOKUP(BB663,'פחתי מים לרשויות מצטרפות'!$A$6:$G$10,5,0)-VLOOKUP(BB15,'פחת מים וגביה'!$A:$D,3,0),0)</f>
        <v>0</v>
      </c>
      <c r="BC581" s="1049">
        <f>(+IF(BC559&gt;=2015,MAX(VLOOKUP(BC663,'פחתי מים לרשויות מצטרפות'!$A$6:$G$9,MAX($B$3-BC559,0)+3,0)-VLOOKUP(BC$1,'פחת מים וגביה'!$A:$D,3,0),0))*BC408/BC$425)+IF(AND(BC$7="חברה מנהלת",BC22&lt;&gt;""),+VLOOKUP(BC663,'פחתי מים לרשויות מצטרפות'!$A$6:$G$10,5,0)-VLOOKUP(BC15,'פחת מים וגביה'!$A:$D,3,0),0)</f>
        <v>0</v>
      </c>
      <c r="BD581" s="1049">
        <f>(+IF(BD559&gt;=2015,MAX(VLOOKUP(BD663,'פחתי מים לרשויות מצטרפות'!$A$6:$G$9,MAX($B$3-BD559,0)+3,0)-VLOOKUP(BD$1,'פחת מים וגביה'!$A:$D,3,0),0))*BD408/BD$425)+IF(AND(BD$7="חברה מנהלת",BD22&lt;&gt;""),+VLOOKUP(BD663,'פחתי מים לרשויות מצטרפות'!$A$6:$G$10,5,0)-VLOOKUP(BD15,'פחת מים וגביה'!$A:$D,3,0),0)</f>
        <v>0</v>
      </c>
      <c r="BE581" s="1049">
        <f>(+IF(BE559&gt;=2015,MAX(VLOOKUP(BE663,'פחתי מים לרשויות מצטרפות'!$A$6:$G$9,MAX($B$3-BE559,0)+3,0)-VLOOKUP(BE$1,'פחת מים וגביה'!$A:$D,3,0),0))*BE408/BE$425)+IF(AND(BE$7="חברה מנהלת",BE22&lt;&gt;""),+VLOOKUP(BE663,'פחתי מים לרשויות מצטרפות'!$A$6:$G$10,5,0)-VLOOKUP(BE15,'פחת מים וגביה'!$A:$D,3,0),0)</f>
        <v>0</v>
      </c>
      <c r="BF581" s="1049">
        <f>(+IF(BF559&gt;=2015,MAX(VLOOKUP(BF663,'פחתי מים לרשויות מצטרפות'!$A$6:$G$9,MAX($B$3-BF559,0)+3,0)-VLOOKUP(BF$1,'פחת מים וגביה'!$A:$D,3,0),0))*BF408/BF$425)+IF(AND(BF$7="חברה מנהלת",BF22&lt;&gt;""),+VLOOKUP(BF663,'פחתי מים לרשויות מצטרפות'!$A$6:$G$10,5,0)-VLOOKUP(BF15,'פחת מים וגביה'!$A:$D,3,0),0)</f>
        <v>0</v>
      </c>
    </row>
    <row r="582" spans="1:58" x14ac:dyDescent="0.2">
      <c r="C582" s="1049">
        <f>(+IF(C560&gt;=2015,MAX(VLOOKUP(C664,'פחתי מים לרשויות מצטרפות'!$A$6:$G$9,MAX($B$3-C560,0)+3,0)-VLOOKUP(C$1,'פחת מים וגביה'!$A:$D,3,0),0))*C409/C$425)+IF(AND(C$7="חברה מנהלת",C23&lt;&gt;""),+VLOOKUP(C664,'פחתי מים לרשויות מצטרפות'!$A$6:$G$10,5,0)-VLOOKUP(C16,'פחת מים וגביה'!$A:$D,3,0),0)</f>
        <v>0</v>
      </c>
      <c r="D582" s="1049">
        <f>(+IF(D560&gt;=2015,MAX(VLOOKUP(D664,'פחתי מים לרשויות מצטרפות'!$A$6:$G$9,MAX($B$3-D560,0)+3,0)-VLOOKUP(D$1,'פחת מים וגביה'!$A:$D,3,0),0))*D409/D$425)+IF(AND(D$7="חברה מנהלת",D23&lt;&gt;""),+VLOOKUP(D664,'פחתי מים לרשויות מצטרפות'!$A$6:$G$10,5,0)-VLOOKUP(D16,'פחת מים וגביה'!$A:$D,3,0),0)</f>
        <v>0</v>
      </c>
      <c r="E582" s="1049">
        <f>(+IF(E560&gt;=2015,MAX(VLOOKUP(E664,'פחתי מים לרשויות מצטרפות'!$A$6:$G$9,MAX($B$3-E560,0)+3,0)-VLOOKUP(E$1,'פחת מים וגביה'!$A:$D,3,0),0))*E409/E$425)+IF(AND(E$7="חברה מנהלת",E23&lt;&gt;""),+VLOOKUP(E664,'פחתי מים לרשויות מצטרפות'!$A$6:$G$10,5,0)-VLOOKUP(E16,'פחת מים וגביה'!$A:$D,3,0),0)</f>
        <v>0</v>
      </c>
      <c r="F582" s="1049">
        <f>(+IF(F560&gt;=2015,MAX(VLOOKUP(F664,'פחתי מים לרשויות מצטרפות'!$A$6:$G$9,MAX($B$3-F560,0)+3,0)-VLOOKUP(F$1,'פחת מים וגביה'!$A:$D,3,0),0))*F409/F$425)+IF(AND(F$7="חברה מנהלת",F23&lt;&gt;""),+VLOOKUP(F664,'פחתי מים לרשויות מצטרפות'!$A$6:$G$10,5,0)-VLOOKUP(F16,'פחת מים וגביה'!$A:$D,3,0),0)</f>
        <v>0</v>
      </c>
      <c r="G582" s="1049">
        <f>(+IF(G560&gt;=2015,MAX(VLOOKUP(G664,'פחתי מים לרשויות מצטרפות'!$A$6:$G$9,MAX($B$3-G560,0)+3,0)-VLOOKUP(G$1,'פחת מים וגביה'!$A:$D,3,0),0))*G409/G$425)+IF(AND(G$7="חברה מנהלת",G23&lt;&gt;""),+VLOOKUP(G664,'פחתי מים לרשויות מצטרפות'!$A$6:$G$10,5,0)-VLOOKUP(G16,'פחת מים וגביה'!$A:$D,3,0),0)</f>
        <v>0</v>
      </c>
      <c r="H582" s="1049">
        <f>(+IF(H560&gt;=2015,MAX(VLOOKUP(H664,'פחתי מים לרשויות מצטרפות'!$A$6:$G$9,MAX($B$3-H560,0)+3,0)-VLOOKUP(H$1,'פחת מים וגביה'!$A:$D,3,0),0))*H409/H$425)+IF(AND(H$7="חברה מנהלת",H23&lt;&gt;""),+VLOOKUP(H664,'פחתי מים לרשויות מצטרפות'!$A$6:$G$10,5,0)-VLOOKUP(H16,'פחת מים וגביה'!$A:$D,3,0),0)</f>
        <v>0</v>
      </c>
      <c r="I582" s="1049">
        <f>(+IF(I560&gt;=2015,MAX(VLOOKUP(I664,'פחתי מים לרשויות מצטרפות'!$A$6:$G$9,MAX($B$3-I560,0)+3,0)-VLOOKUP(I$1,'פחת מים וגביה'!$A:$D,3,0),0))*I409/I$425)+IF(AND(I$7="חברה מנהלת",I23&lt;&gt;""),+VLOOKUP(I664,'פחתי מים לרשויות מצטרפות'!$A$6:$G$10,5,0)-VLOOKUP(I16,'פחת מים וגביה'!$A:$D,3,0),0)</f>
        <v>0</v>
      </c>
      <c r="J582" s="1049">
        <f>(+IF(J560&gt;=2015,MAX(VLOOKUP(J664,'פחתי מים לרשויות מצטרפות'!$A$6:$G$9,MAX($B$3-J560,0)+3,0)-VLOOKUP(J$1,'פחת מים וגביה'!$A:$D,3,0),0))*J409/J$425)+IF(AND(J$7="חברה מנהלת",J23&lt;&gt;""),+VLOOKUP(J664,'פחתי מים לרשויות מצטרפות'!$A$6:$G$10,5,0)-VLOOKUP(J16,'פחת מים וגביה'!$A:$D,3,0),0)</f>
        <v>0</v>
      </c>
      <c r="K582" s="1049">
        <f>(+IF(K560&gt;=2015,MAX(VLOOKUP(K664,'פחתי מים לרשויות מצטרפות'!$A$6:$G$9,MAX($B$3-K560,0)+3,0)-VLOOKUP(K$1,'פחת מים וגביה'!$A:$D,3,0),0))*K409/K$425)+IF(AND(K$7="חברה מנהלת",K23&lt;&gt;""),+VLOOKUP(K664,'פחתי מים לרשויות מצטרפות'!$A$6:$G$10,5,0)-VLOOKUP(K16,'פחת מים וגביה'!$A:$D,3,0),0)</f>
        <v>0</v>
      </c>
      <c r="L582" s="1049">
        <f>(+IF(L560&gt;=2015,MAX(VLOOKUP(L664,'פחתי מים לרשויות מצטרפות'!$A$6:$G$9,MAX($B$3-L560,0)+3,0)-VLOOKUP(L$1,'פחת מים וגביה'!$A:$D,3,0),0))*L409/L$425)+IF(AND(L$7="חברה מנהלת",L23&lt;&gt;""),+VLOOKUP(L664,'פחתי מים לרשויות מצטרפות'!$A$6:$G$10,5,0)-VLOOKUP(L16,'פחת מים וגביה'!$A:$D,3,0),0)</f>
        <v>0</v>
      </c>
      <c r="M582" s="1049">
        <f>(+IF(M560&gt;=2015,MAX(VLOOKUP(M664,'פחתי מים לרשויות מצטרפות'!$A$6:$G$9,MAX($B$3-M560,0)+3,0)-VLOOKUP(M$1,'פחת מים וגביה'!$A:$D,3,0),0))*M409/M$425)+IF(AND(M$7="חברה מנהלת",M23&lt;&gt;""),+VLOOKUP(M664,'פחתי מים לרשויות מצטרפות'!$A$6:$G$10,5,0)-VLOOKUP(M16,'פחת מים וגביה'!$A:$D,3,0),0)</f>
        <v>0</v>
      </c>
      <c r="N582" s="1049">
        <f>(+IF(N560&gt;=2015,MAX(VLOOKUP(N664,'פחתי מים לרשויות מצטרפות'!$A$6:$G$9,MAX($B$3-N560,0)+3,0)-VLOOKUP(N$1,'פחת מים וגביה'!$A:$D,3,0),0))*N409/N$425)+IF(AND(N$7="חברה מנהלת",N23&lt;&gt;""),+VLOOKUP(N664,'פחתי מים לרשויות מצטרפות'!$A$6:$G$10,5,0)-VLOOKUP(N16,'פחת מים וגביה'!$A:$D,3,0),0)</f>
        <v>0</v>
      </c>
      <c r="O582" s="1049">
        <f>(+IF(O560&gt;=2015,MAX(VLOOKUP(O664,'פחתי מים לרשויות מצטרפות'!$A$6:$G$9,MAX($B$3-O560,0)+3,0)-VLOOKUP(O$1,'פחת מים וגביה'!$A:$D,3,0),0))*O409/O$425)+IF(AND(O$7="חברה מנהלת",O23&lt;&gt;""),+VLOOKUP(O664,'פחתי מים לרשויות מצטרפות'!$A$6:$G$10,5,0)-VLOOKUP(O16,'פחת מים וגביה'!$A:$D,3,0),0)</f>
        <v>0</v>
      </c>
      <c r="P582" s="1049">
        <f>(+IF(P560&gt;=2015,MAX(VLOOKUP(P664,'פחתי מים לרשויות מצטרפות'!$A$6:$G$9,MAX($B$3-P560,0)+3,0)-VLOOKUP(P$1,'פחת מים וגביה'!$A:$D,3,0),0))*P409/P$425)+IF(AND(P$7="חברה מנהלת",P23&lt;&gt;""),+VLOOKUP(P664,'פחתי מים לרשויות מצטרפות'!$A$6:$G$10,5,0)-VLOOKUP(P16,'פחת מים וגביה'!$A:$D,3,0),0)</f>
        <v>0</v>
      </c>
      <c r="Q582" s="1049">
        <f>(+IF(Q560&gt;=2015,MAX(VLOOKUP(Q664,'פחתי מים לרשויות מצטרפות'!$A$6:$G$9,MAX($B$3-Q560,0)+3,0)-VLOOKUP(Q$1,'פחת מים וגביה'!$A:$D,3,0),0))*Q409/Q$425)+IF(AND(Q$7="חברה מנהלת",Q23&lt;&gt;""),+VLOOKUP(Q664,'פחתי מים לרשויות מצטרפות'!$A$6:$G$10,5,0)-VLOOKUP(Q16,'פחת מים וגביה'!$A:$D,3,0),0)</f>
        <v>0</v>
      </c>
      <c r="R582" s="1049">
        <f>(+IF(R560&gt;=2015,MAX(VLOOKUP(R664,'פחתי מים לרשויות מצטרפות'!$A$6:$G$9,MAX($B$3-R560,0)+3,0)-VLOOKUP(R$1,'פחת מים וגביה'!$A:$D,3,0),0))*R409/R$425)+IF(AND(R$7="חברה מנהלת",R23&lt;&gt;""),+VLOOKUP(R664,'פחתי מים לרשויות מצטרפות'!$A$6:$G$10,5,0)-VLOOKUP(R16,'פחת מים וגביה'!$A:$D,3,0),0)</f>
        <v>0</v>
      </c>
      <c r="S582" s="1049">
        <f>(+IF(S560&gt;=2015,MAX(VLOOKUP(S664,'פחתי מים לרשויות מצטרפות'!$A$6:$G$9,MAX($B$3-S560,0)+3,0)-VLOOKUP(S$1,'פחת מים וגביה'!$A:$D,3,0),0))*S409/S$425)+IF(AND(S$7="חברה מנהלת",S23&lt;&gt;""),+VLOOKUP(S664,'פחתי מים לרשויות מצטרפות'!$A$6:$G$10,5,0)-VLOOKUP(S16,'פחת מים וגביה'!$A:$D,3,0),0)</f>
        <v>0</v>
      </c>
      <c r="T582" s="1049">
        <f>(+IF(T560&gt;=2015,MAX(VLOOKUP(T664,'פחתי מים לרשויות מצטרפות'!$A$6:$G$9,MAX($B$3-T560,0)+3,0)-VLOOKUP(T$1,'פחת מים וגביה'!$A:$D,3,0),0))*T409/T$425)+IF(AND(T$7="חברה מנהלת",T23&lt;&gt;""),+VLOOKUP(T664,'פחתי מים לרשויות מצטרפות'!$A$6:$G$10,5,0)-VLOOKUP(T16,'פחת מים וגביה'!$A:$D,3,0),0)</f>
        <v>0</v>
      </c>
      <c r="U582" s="1049">
        <f>(+IF(U560&gt;=2015,MAX(VLOOKUP(U664,'פחתי מים לרשויות מצטרפות'!$A$6:$G$9,MAX($B$3-U560,0)+3,0)-VLOOKUP(U$1,'פחת מים וגביה'!$A:$D,3,0),0))*U409/U$425)+IF(AND(U$7="חברה מנהלת",U23&lt;&gt;""),+VLOOKUP(U664,'פחתי מים לרשויות מצטרפות'!$A$6:$G$10,5,0)-VLOOKUP(U16,'פחת מים וגביה'!$A:$D,3,0),0)</f>
        <v>0</v>
      </c>
      <c r="V582" s="1049">
        <f>(+IF(V560&gt;=2015,MAX(VLOOKUP(V664,'פחתי מים לרשויות מצטרפות'!$A$6:$G$9,MAX($B$3-V560,0)+3,0)-VLOOKUP(V$1,'פחת מים וגביה'!$A:$D,3,0),0))*V409/V$425)+IF(AND(V$7="חברה מנהלת",V23&lt;&gt;""),+VLOOKUP(V664,'פחתי מים לרשויות מצטרפות'!$A$6:$G$10,5,0)-VLOOKUP(V16,'פחת מים וגביה'!$A:$D,3,0),0)</f>
        <v>0</v>
      </c>
      <c r="W582" s="1049">
        <f>(+IF(W560&gt;=2015,MAX(VLOOKUP(W664,'פחתי מים לרשויות מצטרפות'!$A$6:$G$9,MAX($B$3-W560,0)+3,0)-VLOOKUP(W$1,'פחת מים וגביה'!$A:$D,3,0),0))*W409/W$425)+IF(AND(W$7="חברה מנהלת",W23&lt;&gt;""),+VLOOKUP(W664,'פחתי מים לרשויות מצטרפות'!$A$6:$G$10,5,0)-VLOOKUP(W16,'פחת מים וגביה'!$A:$D,3,0),0)</f>
        <v>0</v>
      </c>
      <c r="X582" s="1049">
        <f>(+IF(X560&gt;=2015,MAX(VLOOKUP(X664,'פחתי מים לרשויות מצטרפות'!$A$6:$G$9,MAX($B$3-X560,0)+3,0)-VLOOKUP(X$1,'פחת מים וגביה'!$A:$D,3,0),0))*X409/X$425)+IF(AND(X$7="חברה מנהלת",X23&lt;&gt;""),+VLOOKUP(X664,'פחתי מים לרשויות מצטרפות'!$A$6:$G$10,5,0)-VLOOKUP(X16,'פחת מים וגביה'!$A:$D,3,0),0)</f>
        <v>0</v>
      </c>
      <c r="Y582" s="1049">
        <f>(+IF(Y560&gt;=2015,MAX(VLOOKUP(Y664,'פחתי מים לרשויות מצטרפות'!$A$6:$G$9,MAX($B$3-Y560,0)+3,0)-VLOOKUP(Y$1,'פחת מים וגביה'!$A:$D,3,0),0))*Y409/Y$425)+IF(AND(Y$7="חברה מנהלת",Y23&lt;&gt;""),+VLOOKUP(Y664,'פחתי מים לרשויות מצטרפות'!$A$6:$G$10,5,0)-VLOOKUP(Y16,'פחת מים וגביה'!$A:$D,3,0),0)</f>
        <v>0</v>
      </c>
      <c r="Z582" s="1049">
        <f>(+IF(Z560&gt;=2015,MAX(VLOOKUP(Z664,'פחתי מים לרשויות מצטרפות'!$A$6:$G$9,MAX($B$3-Z560,0)+3,0)-VLOOKUP(Z$1,'פחת מים וגביה'!$A:$D,3,0),0))*Z409/Z$425)+IF(AND(Z$7="חברה מנהלת",Z23&lt;&gt;""),+VLOOKUP(Z664,'פחתי מים לרשויות מצטרפות'!$A$6:$G$10,5,0)-VLOOKUP(Z16,'פחת מים וגביה'!$A:$D,3,0),0)</f>
        <v>0</v>
      </c>
      <c r="AA582" s="1049">
        <f>(+IF(AA560&gt;=2015,MAX(VLOOKUP(AA664,'פחתי מים לרשויות מצטרפות'!$A$6:$G$9,MAX($B$3-AA560,0)+3,0)-VLOOKUP(AA$1,'פחת מים וגביה'!$A:$D,3,0),0))*AA409/AA$425)+IF(AND(AA$7="חברה מנהלת",AA23&lt;&gt;""),+VLOOKUP(AA664,'פחתי מים לרשויות מצטרפות'!$A$6:$G$10,5,0)-VLOOKUP(AA16,'פחת מים וגביה'!$A:$D,3,0),0)</f>
        <v>0</v>
      </c>
      <c r="AB582" s="1049">
        <f>(+IF(AB560&gt;=2015,MAX(VLOOKUP(AB664,'פחתי מים לרשויות מצטרפות'!$A$6:$G$9,MAX($B$3-AB560,0)+3,0)-VLOOKUP(AB$1,'פחת מים וגביה'!$A:$D,3,0),0))*AB409/AB$425)+IF(AND(AB$7="חברה מנהלת",AB23&lt;&gt;""),+VLOOKUP(AB664,'פחתי מים לרשויות מצטרפות'!$A$6:$G$10,5,0)-VLOOKUP(AB16,'פחת מים וגביה'!$A:$D,3,0),0)</f>
        <v>0</v>
      </c>
      <c r="AC582" s="1049">
        <f>(+IF(AC560&gt;=2015,MAX(VLOOKUP(AC664,'פחתי מים לרשויות מצטרפות'!$A$6:$G$9,MAX($B$3-AC560,0)+3,0)-VLOOKUP(AC$1,'פחת מים וגביה'!$A:$D,3,0),0))*AC409/AC$425)+IF(AND(AC$7="חברה מנהלת",AC23&lt;&gt;""),+VLOOKUP(AC664,'פחתי מים לרשויות מצטרפות'!$A$6:$G$10,5,0)-VLOOKUP(AC16,'פחת מים וגביה'!$A:$D,3,0),0)</f>
        <v>0</v>
      </c>
      <c r="AD582" s="1049">
        <f>(+IF(AD560&gt;=2015,MAX(VLOOKUP(AD664,'פחתי מים לרשויות מצטרפות'!$A$6:$G$9,MAX($B$3-AD560,0)+3,0)-VLOOKUP(AD$1,'פחת מים וגביה'!$A:$D,3,0),0))*AD409/AD$425)+IF(AND(AD$7="חברה מנהלת",AD23&lt;&gt;""),+VLOOKUP(AD664,'פחתי מים לרשויות מצטרפות'!$A$6:$G$10,5,0)-VLOOKUP(AD16,'פחת מים וגביה'!$A:$D,3,0),0)</f>
        <v>0</v>
      </c>
      <c r="AE582" s="1049">
        <f>(+IF(AE560&gt;=2015,MAX(VLOOKUP(AE664,'פחתי מים לרשויות מצטרפות'!$A$6:$G$9,MAX($B$3-AE560,0)+3,0)-VLOOKUP(AE$1,'פחת מים וגביה'!$A:$D,3,0),0))*AE409/AE$425)+IF(AND(AE$7="חברה מנהלת",AE23&lt;&gt;""),+VLOOKUP(AE664,'פחתי מים לרשויות מצטרפות'!$A$6:$G$10,5,0)-VLOOKUP(AE16,'פחת מים וגביה'!$A:$D,3,0),0)</f>
        <v>0</v>
      </c>
      <c r="AF582" s="1049">
        <f>(+IF(AF560&gt;=2015,MAX(VLOOKUP(AF664,'פחתי מים לרשויות מצטרפות'!$A$6:$G$9,MAX($B$3-AF560,0)+3,0)-VLOOKUP(AF$1,'פחת מים וגביה'!$A:$D,3,0),0))*AF409/AF$425)+IF(AND(AF$7="חברה מנהלת",AF23&lt;&gt;""),+VLOOKUP(AF664,'פחתי מים לרשויות מצטרפות'!$A$6:$G$10,5,0)-VLOOKUP(AF16,'פחת מים וגביה'!$A:$D,3,0),0)</f>
        <v>0</v>
      </c>
      <c r="AG582" s="1049">
        <f>(+IF(AG560&gt;=2015,MAX(VLOOKUP(AG664,'פחתי מים לרשויות מצטרפות'!$A$6:$G$9,MAX($B$3-AG560,0)+3,0)-VLOOKUP(AG$1,'פחת מים וגביה'!$A:$D,3,0),0))*AG409/AG$425)+IF(AND(AG$7="חברה מנהלת",AG23&lt;&gt;""),+VLOOKUP(AG664,'פחתי מים לרשויות מצטרפות'!$A$6:$G$10,5,0)-VLOOKUP(AG16,'פחת מים וגביה'!$A:$D,3,0),0)</f>
        <v>0</v>
      </c>
      <c r="AH582" s="1049">
        <f>(+IF(AH560&gt;=2015,MAX(VLOOKUP(AH664,'פחתי מים לרשויות מצטרפות'!$A$6:$G$9,MAX($B$3-AH560,0)+3,0)-VLOOKUP(AH$1,'פחת מים וגביה'!$A:$D,3,0),0))*AH409/AH$425)+IF(AND(AH$7="חברה מנהלת",AH23&lt;&gt;""),+VLOOKUP(AH664,'פחתי מים לרשויות מצטרפות'!$A$6:$G$10,5,0)-VLOOKUP(AH16,'פחת מים וגביה'!$A:$D,3,0),0)</f>
        <v>0</v>
      </c>
      <c r="AI582" s="1049">
        <f>(+IF(AI560&gt;=2015,MAX(VLOOKUP(AI664,'פחתי מים לרשויות מצטרפות'!$A$6:$G$9,MAX($B$3-AI560,0)+3,0)-VLOOKUP(AI$1,'פחת מים וגביה'!$A:$D,3,0),0))*AI409/AI$425)+IF(AND(AI$7="חברה מנהלת",AI23&lt;&gt;""),+VLOOKUP(AI664,'פחתי מים לרשויות מצטרפות'!$A$6:$G$10,5,0)-VLOOKUP(AI16,'פחת מים וגביה'!$A:$D,3,0),0)</f>
        <v>0</v>
      </c>
      <c r="AJ582" s="1049">
        <f>(+IF(AJ560&gt;=2015,MAX(VLOOKUP(AJ664,'פחתי מים לרשויות מצטרפות'!$A$6:$G$9,MAX($B$3-AJ560,0)+3,0)-VLOOKUP(AJ$1,'פחת מים וגביה'!$A:$D,3,0),0))*AJ409/AJ$425)+IF(AND(AJ$7="חברה מנהלת",AJ23&lt;&gt;""),+VLOOKUP(AJ664,'פחתי מים לרשויות מצטרפות'!$A$6:$G$10,5,0)-VLOOKUP(AJ16,'פחת מים וגביה'!$A:$D,3,0),0)</f>
        <v>0</v>
      </c>
      <c r="AK582" s="1049">
        <f>(+IF(AK560&gt;=2015,MAX(VLOOKUP(AK664,'פחתי מים לרשויות מצטרפות'!$A$6:$G$9,MAX($B$3-AK560,0)+3,0)-VLOOKUP(AK$1,'פחת מים וגביה'!$A:$D,3,0),0))*AK409/AK$425)+IF(AND(AK$7="חברה מנהלת",AK23&lt;&gt;""),+VLOOKUP(AK664,'פחתי מים לרשויות מצטרפות'!$A$6:$G$10,5,0)-VLOOKUP(AK16,'פחת מים וגביה'!$A:$D,3,0),0)</f>
        <v>0</v>
      </c>
      <c r="AL582" s="1049">
        <f>(+IF(AL560&gt;=2015,MAX(VLOOKUP(AL664,'פחתי מים לרשויות מצטרפות'!$A$6:$G$9,MAX($B$3-AL560,0)+3,0)-VLOOKUP(AL$1,'פחת מים וגביה'!$A:$D,3,0),0))*AL409/AL$425)+IF(AND(AL$7="חברה מנהלת",AL23&lt;&gt;""),+VLOOKUP(AL664,'פחתי מים לרשויות מצטרפות'!$A$6:$G$10,5,0)-VLOOKUP(AL16,'פחת מים וגביה'!$A:$D,3,0),0)</f>
        <v>0</v>
      </c>
      <c r="AM582" s="1049">
        <f>(+IF(AM560&gt;=2015,MAX(VLOOKUP(AM664,'פחתי מים לרשויות מצטרפות'!$A$6:$G$9,MAX($B$3-AM560,0)+3,0)-VLOOKUP(AM$1,'פחת מים וגביה'!$A:$D,3,0),0))*AM409/AM$425)+IF(AND(AM$7="חברה מנהלת",AM23&lt;&gt;""),+VLOOKUP(AM664,'פחתי מים לרשויות מצטרפות'!$A$6:$G$10,5,0)-VLOOKUP(AM16,'פחת מים וגביה'!$A:$D,3,0),0)</f>
        <v>0</v>
      </c>
      <c r="AN582" s="1049">
        <f>(+IF(AN560&gt;=2015,MAX(VLOOKUP(AN664,'פחתי מים לרשויות מצטרפות'!$A$6:$G$9,MAX($B$3-AN560,0)+3,0)-VLOOKUP(AN$1,'פחת מים וגביה'!$A:$D,3,0),0))*AN409/AN$425)+IF(AND(AN$7="חברה מנהלת",AN23&lt;&gt;""),+VLOOKUP(AN664,'פחתי מים לרשויות מצטרפות'!$A$6:$G$10,5,0)-VLOOKUP(AN16,'פחת מים וגביה'!$A:$D,3,0),0)</f>
        <v>0</v>
      </c>
      <c r="AO582" s="1049">
        <f>(+IF(AO560&gt;=2015,MAX(VLOOKUP(AO664,'פחתי מים לרשויות מצטרפות'!$A$6:$G$9,MAX($B$3-AO560,0)+3,0)-VLOOKUP(AO$1,'פחת מים וגביה'!$A:$D,3,0),0))*AO409/AO$425)+IF(AND(AO$7="חברה מנהלת",AO23&lt;&gt;""),+VLOOKUP(AO664,'פחתי מים לרשויות מצטרפות'!$A$6:$G$10,5,0)-VLOOKUP(AO16,'פחת מים וגביה'!$A:$D,3,0),0)</f>
        <v>0</v>
      </c>
      <c r="AP582" s="1049">
        <f>(+IF(AP560&gt;=2015,MAX(VLOOKUP(AP664,'פחתי מים לרשויות מצטרפות'!$A$6:$G$9,MAX($B$3-AP560,0)+3,0)-VLOOKUP(AP$1,'פחת מים וגביה'!$A:$D,3,0),0))*AP409/AP$425)+IF(AND(AP$7="חברה מנהלת",AP23&lt;&gt;""),+VLOOKUP(AP664,'פחתי מים לרשויות מצטרפות'!$A$6:$G$10,5,0)-VLOOKUP(AP16,'פחת מים וגביה'!$A:$D,3,0),0)</f>
        <v>0</v>
      </c>
      <c r="AQ582" s="1049">
        <f>(+IF(AQ560&gt;=2015,MAX(VLOOKUP(AQ664,'פחתי מים לרשויות מצטרפות'!$A$6:$G$9,MAX($B$3-AQ560,0)+3,0)-VLOOKUP(AQ$1,'פחת מים וגביה'!$A:$D,3,0),0))*AQ409/AQ$425)+IF(AND(AQ$7="חברה מנהלת",AQ23&lt;&gt;""),+VLOOKUP(AQ664,'פחתי מים לרשויות מצטרפות'!$A$6:$G$10,5,0)-VLOOKUP(AQ16,'פחת מים וגביה'!$A:$D,3,0),0)</f>
        <v>0</v>
      </c>
      <c r="AR582" s="1049">
        <f>(+IF(AR560&gt;=2015,MAX(VLOOKUP(AR664,'פחתי מים לרשויות מצטרפות'!$A$6:$G$9,MAX($B$3-AR560,0)+3,0)-VLOOKUP(AR$1,'פחת מים וגביה'!$A:$D,3,0),0))*AR409/AR$425)+IF(AND(AR$7="חברה מנהלת",AR23&lt;&gt;""),+VLOOKUP(AR664,'פחתי מים לרשויות מצטרפות'!$A$6:$G$10,5,0)-VLOOKUP(AR16,'פחת מים וגביה'!$A:$D,3,0),0)</f>
        <v>0</v>
      </c>
      <c r="AS582" s="1049">
        <f>(+IF(AS560&gt;=2015,MAX(VLOOKUP(AS664,'פחתי מים לרשויות מצטרפות'!$A$6:$G$9,MAX($B$3-AS560,0)+3,0)-VLOOKUP(AS$1,'פחת מים וגביה'!$A:$D,3,0),0))*AS409/AS$425)+IF(AND(AS$7="חברה מנהלת",AS23&lt;&gt;""),+VLOOKUP(AS664,'פחתי מים לרשויות מצטרפות'!$A$6:$G$10,5,0)-VLOOKUP(AS16,'פחת מים וגביה'!$A:$D,3,0),0)</f>
        <v>0</v>
      </c>
      <c r="AT582" s="1049">
        <f>(+IF(AT560&gt;=2015,MAX(VLOOKUP(AT664,'פחתי מים לרשויות מצטרפות'!$A$6:$G$9,MAX($B$3-AT560,0)+3,0)-VLOOKUP(AT$1,'פחת מים וגביה'!$A:$D,3,0),0))*AT409/AT$425)+IF(AND(AT$7="חברה מנהלת",AT23&lt;&gt;""),+VLOOKUP(AT664,'פחתי מים לרשויות מצטרפות'!$A$6:$G$10,5,0)-VLOOKUP(AT16,'פחת מים וגביה'!$A:$D,3,0),0)</f>
        <v>0</v>
      </c>
      <c r="AU582" s="1049">
        <f>(+IF(AU560&gt;=2015,MAX(VLOOKUP(AU664,'פחתי מים לרשויות מצטרפות'!$A$6:$G$9,MAX($B$3-AU560,0)+3,0)-VLOOKUP(AU$1,'פחת מים וגביה'!$A:$D,3,0),0))*AU409/AU$425)+IF(AND(AU$7="חברה מנהלת",AU23&lt;&gt;""),+VLOOKUP(AU664,'פחתי מים לרשויות מצטרפות'!$A$6:$G$10,5,0)-VLOOKUP(AU16,'פחת מים וגביה'!$A:$D,3,0),0)</f>
        <v>0</v>
      </c>
      <c r="AV582" s="1049">
        <f>(+IF(AV560&gt;=2015,MAX(VLOOKUP(AV664,'פחתי מים לרשויות מצטרפות'!$A$6:$G$9,MAX($B$3-AV560,0)+3,0)-VLOOKUP(AV$1,'פחת מים וגביה'!$A:$D,3,0),0))*AV409/AV$425)+IF(AND(AV$7="חברה מנהלת",AV23&lt;&gt;""),+VLOOKUP(AV664,'פחתי מים לרשויות מצטרפות'!$A$6:$G$10,5,0)-VLOOKUP(AV16,'פחת מים וגביה'!$A:$D,3,0),0)</f>
        <v>0</v>
      </c>
      <c r="AW582" s="1049">
        <f>(+IF(AW560&gt;=2015,MAX(VLOOKUP(AW664,'פחתי מים לרשויות מצטרפות'!$A$6:$G$9,MAX($B$3-AW560,0)+3,0)-VLOOKUP(AW$1,'פחת מים וגביה'!$A:$D,3,0),0))*AW409/AW$425)+IF(AND(AW$7="חברה מנהלת",AW23&lt;&gt;""),+VLOOKUP(AW664,'פחתי מים לרשויות מצטרפות'!$A$6:$G$10,5,0)-VLOOKUP(AW16,'פחת מים וגביה'!$A:$D,3,0),0)</f>
        <v>0</v>
      </c>
      <c r="AX582" s="1049">
        <f>(+IF(AX560&gt;=2015,MAX(VLOOKUP(AX664,'פחתי מים לרשויות מצטרפות'!$A$6:$G$9,MAX($B$3-AX560,0)+3,0)-VLOOKUP(AX$1,'פחת מים וגביה'!$A:$D,3,0),0))*AX409/AX$425)+IF(AND(AX$7="חברה מנהלת",AX23&lt;&gt;""),+VLOOKUP(AX664,'פחתי מים לרשויות מצטרפות'!$A$6:$G$10,5,0)-VLOOKUP(AX16,'פחת מים וגביה'!$A:$D,3,0),0)</f>
        <v>0</v>
      </c>
      <c r="AY582" s="1049">
        <f>(+IF(AY560&gt;=2015,MAX(VLOOKUP(AY664,'פחתי מים לרשויות מצטרפות'!$A$6:$G$9,MAX($B$3-AY560,0)+3,0)-VLOOKUP(AY$1,'פחת מים וגביה'!$A:$D,3,0),0))*AY409/AY$425)+IF(AND(AY$7="חברה מנהלת",AY23&lt;&gt;""),+VLOOKUP(AY664,'פחתי מים לרשויות מצטרפות'!$A$6:$G$10,5,0)-VLOOKUP(AY16,'פחת מים וגביה'!$A:$D,3,0),0)</f>
        <v>0</v>
      </c>
      <c r="AZ582" s="1049">
        <f>(+IF(AZ560&gt;=2015,MAX(VLOOKUP(AZ664,'פחתי מים לרשויות מצטרפות'!$A$6:$G$9,MAX($B$3-AZ560,0)+3,0)-VLOOKUP(AZ$1,'פחת מים וגביה'!$A:$D,3,0),0))*AZ409/AZ$425)+IF(AND(AZ$7="חברה מנהלת",AZ23&lt;&gt;""),+VLOOKUP(AZ664,'פחתי מים לרשויות מצטרפות'!$A$6:$G$10,5,0)-VLOOKUP(AZ16,'פחת מים וגביה'!$A:$D,3,0),0)</f>
        <v>0</v>
      </c>
      <c r="BA582" s="1049">
        <f>(+IF(BA560&gt;=2015,MAX(VLOOKUP(BA664,'פחתי מים לרשויות מצטרפות'!$A$6:$G$9,MAX($B$3-BA560,0)+3,0)-VLOOKUP(BA$1,'פחת מים וגביה'!$A:$D,3,0),0))*BA409/BA$425)+IF(AND(BA$7="חברה מנהלת",BA23&lt;&gt;""),+VLOOKUP(BA664,'פחתי מים לרשויות מצטרפות'!$A$6:$G$10,5,0)-VLOOKUP(BA16,'פחת מים וגביה'!$A:$D,3,0),0)</f>
        <v>0</v>
      </c>
      <c r="BB582" s="1049">
        <f>(+IF(BB560&gt;=2015,MAX(VLOOKUP(BB664,'פחתי מים לרשויות מצטרפות'!$A$6:$G$9,MAX($B$3-BB560,0)+3,0)-VLOOKUP(BB$1,'פחת מים וגביה'!$A:$D,3,0),0))*BB409/BB$425)+IF(AND(BB$7="חברה מנהלת",BB23&lt;&gt;""),+VLOOKUP(BB664,'פחתי מים לרשויות מצטרפות'!$A$6:$G$10,5,0)-VLOOKUP(BB16,'פחת מים וגביה'!$A:$D,3,0),0)</f>
        <v>0</v>
      </c>
      <c r="BC582" s="1049">
        <f>(+IF(BC560&gt;=2015,MAX(VLOOKUP(BC664,'פחתי מים לרשויות מצטרפות'!$A$6:$G$9,MAX($B$3-BC560,0)+3,0)-VLOOKUP(BC$1,'פחת מים וגביה'!$A:$D,3,0),0))*BC409/BC$425)+IF(AND(BC$7="חברה מנהלת",BC23&lt;&gt;""),+VLOOKUP(BC664,'פחתי מים לרשויות מצטרפות'!$A$6:$G$10,5,0)-VLOOKUP(BC16,'פחת מים וגביה'!$A:$D,3,0),0)</f>
        <v>0</v>
      </c>
      <c r="BD582" s="1049">
        <f>(+IF(BD560&gt;=2015,MAX(VLOOKUP(BD664,'פחתי מים לרשויות מצטרפות'!$A$6:$G$9,MAX($B$3-BD560,0)+3,0)-VLOOKUP(BD$1,'פחת מים וגביה'!$A:$D,3,0),0))*BD409/BD$425)+IF(AND(BD$7="חברה מנהלת",BD23&lt;&gt;""),+VLOOKUP(BD664,'פחתי מים לרשויות מצטרפות'!$A$6:$G$10,5,0)-VLOOKUP(BD16,'פחת מים וגביה'!$A:$D,3,0),0)</f>
        <v>0</v>
      </c>
      <c r="BE582" s="1049">
        <f>(+IF(BE560&gt;=2015,MAX(VLOOKUP(BE664,'פחתי מים לרשויות מצטרפות'!$A$6:$G$9,MAX($B$3-BE560,0)+3,0)-VLOOKUP(BE$1,'פחת מים וגביה'!$A:$D,3,0),0))*BE409/BE$425)+IF(AND(BE$7="חברה מנהלת",BE23&lt;&gt;""),+VLOOKUP(BE664,'פחתי מים לרשויות מצטרפות'!$A$6:$G$10,5,0)-VLOOKUP(BE16,'פחת מים וגביה'!$A:$D,3,0),0)</f>
        <v>0</v>
      </c>
      <c r="BF582" s="1049">
        <f>(+IF(BF560&gt;=2015,MAX(VLOOKUP(BF664,'פחתי מים לרשויות מצטרפות'!$A$6:$G$9,MAX($B$3-BF560,0)+3,0)-VLOOKUP(BF$1,'פחת מים וגביה'!$A:$D,3,0),0))*BF409/BF$425)+IF(AND(BF$7="חברה מנהלת",BF23&lt;&gt;""),+VLOOKUP(BF664,'פחתי מים לרשויות מצטרפות'!$A$6:$G$10,5,0)-VLOOKUP(BF16,'פחת מים וגביה'!$A:$D,3,0),0)</f>
        <v>0</v>
      </c>
    </row>
    <row r="583" spans="1:58" x14ac:dyDescent="0.2">
      <c r="C583" s="1049">
        <f>(+IF(C561&gt;=2015,MAX(VLOOKUP(C665,'פחתי מים לרשויות מצטרפות'!$A$6:$G$9,MAX($B$3-C561,0)+3,0)-VLOOKUP(C$1,'פחת מים וגביה'!$A:$D,3,0),0))*C410/C$425)+IF(AND(C$7="חברה מנהלת",C24&lt;&gt;""),+VLOOKUP(C665,'פחתי מים לרשויות מצטרפות'!$A$6:$G$10,5,0)-VLOOKUP(C17,'פחת מים וגביה'!$A:$D,3,0),0)</f>
        <v>0</v>
      </c>
      <c r="D583" s="1049">
        <f>(+IF(D561&gt;=2015,MAX(VLOOKUP(D665,'פחתי מים לרשויות מצטרפות'!$A$6:$G$9,MAX($B$3-D561,0)+3,0)-VLOOKUP(D$1,'פחת מים וגביה'!$A:$D,3,0),0))*D410/D$425)+IF(AND(D$7="חברה מנהלת",D24&lt;&gt;""),+VLOOKUP(D665,'פחתי מים לרשויות מצטרפות'!$A$6:$G$10,5,0)-VLOOKUP(D17,'פחת מים וגביה'!$A:$D,3,0),0)</f>
        <v>0</v>
      </c>
      <c r="E583" s="1049">
        <f>(+IF(E561&gt;=2015,MAX(VLOOKUP(E665,'פחתי מים לרשויות מצטרפות'!$A$6:$G$9,MAX($B$3-E561,0)+3,0)-VLOOKUP(E$1,'פחת מים וגביה'!$A:$D,3,0),0))*E410/E$425)+IF(AND(E$7="חברה מנהלת",E24&lt;&gt;""),+VLOOKUP(E665,'פחתי מים לרשויות מצטרפות'!$A$6:$G$10,5,0)-VLOOKUP(E17,'פחת מים וגביה'!$A:$D,3,0),0)</f>
        <v>0</v>
      </c>
      <c r="F583" s="1049">
        <f>(+IF(F561&gt;=2015,MAX(VLOOKUP(F665,'פחתי מים לרשויות מצטרפות'!$A$6:$G$9,MAX($B$3-F561,0)+3,0)-VLOOKUP(F$1,'פחת מים וגביה'!$A:$D,3,0),0))*F410/F$425)+IF(AND(F$7="חברה מנהלת",F24&lt;&gt;""),+VLOOKUP(F665,'פחתי מים לרשויות מצטרפות'!$A$6:$G$10,5,0)-VLOOKUP(F17,'פחת מים וגביה'!$A:$D,3,0),0)</f>
        <v>0</v>
      </c>
      <c r="G583" s="1049">
        <f>(+IF(G561&gt;=2015,MAX(VLOOKUP(G665,'פחתי מים לרשויות מצטרפות'!$A$6:$G$9,MAX($B$3-G561,0)+3,0)-VLOOKUP(G$1,'פחת מים וגביה'!$A:$D,3,0),0))*G410/G$425)+IF(AND(G$7="חברה מנהלת",G24&lt;&gt;""),+VLOOKUP(G665,'פחתי מים לרשויות מצטרפות'!$A$6:$G$10,5,0)-VLOOKUP(G17,'פחת מים וגביה'!$A:$D,3,0),0)</f>
        <v>0</v>
      </c>
      <c r="H583" s="1049">
        <f>(+IF(H561&gt;=2015,MAX(VLOOKUP(H665,'פחתי מים לרשויות מצטרפות'!$A$6:$G$9,MAX($B$3-H561,0)+3,0)-VLOOKUP(H$1,'פחת מים וגביה'!$A:$D,3,0),0))*H410/H$425)+IF(AND(H$7="חברה מנהלת",H24&lt;&gt;""),+VLOOKUP(H665,'פחתי מים לרשויות מצטרפות'!$A$6:$G$10,5,0)-VLOOKUP(H17,'פחת מים וגביה'!$A:$D,3,0),0)</f>
        <v>0</v>
      </c>
      <c r="I583" s="1049">
        <f>(+IF(I561&gt;=2015,MAX(VLOOKUP(I665,'פחתי מים לרשויות מצטרפות'!$A$6:$G$9,MAX($B$3-I561,0)+3,0)-VLOOKUP(I$1,'פחת מים וגביה'!$A:$D,3,0),0))*I410/I$425)+IF(AND(I$7="חברה מנהלת",I24&lt;&gt;""),+VLOOKUP(I665,'פחתי מים לרשויות מצטרפות'!$A$6:$G$10,5,0)-VLOOKUP(I17,'פחת מים וגביה'!$A:$D,3,0),0)</f>
        <v>0</v>
      </c>
      <c r="J583" s="1049">
        <f>(+IF(J561&gt;=2015,MAX(VLOOKUP(J665,'פחתי מים לרשויות מצטרפות'!$A$6:$G$9,MAX($B$3-J561,0)+3,0)-VLOOKUP(J$1,'פחת מים וגביה'!$A:$D,3,0),0))*J410/J$425)+IF(AND(J$7="חברה מנהלת",J24&lt;&gt;""),+VLOOKUP(J665,'פחתי מים לרשויות מצטרפות'!$A$6:$G$10,5,0)-VLOOKUP(J17,'פחת מים וגביה'!$A:$D,3,0),0)</f>
        <v>0</v>
      </c>
      <c r="K583" s="1049">
        <f>(+IF(K561&gt;=2015,MAX(VLOOKUP(K665,'פחתי מים לרשויות מצטרפות'!$A$6:$G$9,MAX($B$3-K561,0)+3,0)-VLOOKUP(K$1,'פחת מים וגביה'!$A:$D,3,0),0))*K410/K$425)+IF(AND(K$7="חברה מנהלת",K24&lt;&gt;""),+VLOOKUP(K665,'פחתי מים לרשויות מצטרפות'!$A$6:$G$10,5,0)-VLOOKUP(K17,'פחת מים וגביה'!$A:$D,3,0),0)</f>
        <v>0</v>
      </c>
      <c r="L583" s="1049">
        <f>(+IF(L561&gt;=2015,MAX(VLOOKUP(L665,'פחתי מים לרשויות מצטרפות'!$A$6:$G$9,MAX($B$3-L561,0)+3,0)-VLOOKUP(L$1,'פחת מים וגביה'!$A:$D,3,0),0))*L410/L$425)+IF(AND(L$7="חברה מנהלת",L24&lt;&gt;""),+VLOOKUP(L665,'פחתי מים לרשויות מצטרפות'!$A$6:$G$10,5,0)-VLOOKUP(L17,'פחת מים וגביה'!$A:$D,3,0),0)</f>
        <v>0</v>
      </c>
      <c r="M583" s="1049">
        <f>(+IF(M561&gt;=2015,MAX(VLOOKUP(M665,'פחתי מים לרשויות מצטרפות'!$A$6:$G$9,MAX($B$3-M561,0)+3,0)-VLOOKUP(M$1,'פחת מים וגביה'!$A:$D,3,0),0))*M410/M$425)+IF(AND(M$7="חברה מנהלת",M24&lt;&gt;""),+VLOOKUP(M665,'פחתי מים לרשויות מצטרפות'!$A$6:$G$10,5,0)-VLOOKUP(M17,'פחת מים וגביה'!$A:$D,3,0),0)</f>
        <v>0</v>
      </c>
      <c r="N583" s="1049">
        <f>(+IF(N561&gt;=2015,MAX(VLOOKUP(N665,'פחתי מים לרשויות מצטרפות'!$A$6:$G$9,MAX($B$3-N561,0)+3,0)-VLOOKUP(N$1,'פחת מים וגביה'!$A:$D,3,0),0))*N410/N$425)+IF(AND(N$7="חברה מנהלת",N24&lt;&gt;""),+VLOOKUP(N665,'פחתי מים לרשויות מצטרפות'!$A$6:$G$10,5,0)-VLOOKUP(N17,'פחת מים וגביה'!$A:$D,3,0),0)</f>
        <v>0</v>
      </c>
      <c r="O583" s="1049">
        <f>(+IF(O561&gt;=2015,MAX(VLOOKUP(O665,'פחתי מים לרשויות מצטרפות'!$A$6:$G$9,MAX($B$3-O561,0)+3,0)-VLOOKUP(O$1,'פחת מים וגביה'!$A:$D,3,0),0))*O410/O$425)+IF(AND(O$7="חברה מנהלת",O24&lt;&gt;""),+VLOOKUP(O665,'פחתי מים לרשויות מצטרפות'!$A$6:$G$10,5,0)-VLOOKUP(O17,'פחת מים וגביה'!$A:$D,3,0),0)</f>
        <v>0</v>
      </c>
      <c r="P583" s="1049">
        <f>(+IF(P561&gt;=2015,MAX(VLOOKUP(P665,'פחתי מים לרשויות מצטרפות'!$A$6:$G$9,MAX($B$3-P561,0)+3,0)-VLOOKUP(P$1,'פחת מים וגביה'!$A:$D,3,0),0))*P410/P$425)+IF(AND(P$7="חברה מנהלת",P24&lt;&gt;""),+VLOOKUP(P665,'פחתי מים לרשויות מצטרפות'!$A$6:$G$10,5,0)-VLOOKUP(P17,'פחת מים וגביה'!$A:$D,3,0),0)</f>
        <v>0</v>
      </c>
      <c r="Q583" s="1049">
        <f>(+IF(Q561&gt;=2015,MAX(VLOOKUP(Q665,'פחתי מים לרשויות מצטרפות'!$A$6:$G$9,MAX($B$3-Q561,0)+3,0)-VLOOKUP(Q$1,'פחת מים וגביה'!$A:$D,3,0),0))*Q410/Q$425)+IF(AND(Q$7="חברה מנהלת",Q24&lt;&gt;""),+VLOOKUP(Q665,'פחתי מים לרשויות מצטרפות'!$A$6:$G$10,5,0)-VLOOKUP(Q17,'פחת מים וגביה'!$A:$D,3,0),0)</f>
        <v>0</v>
      </c>
      <c r="R583" s="1049">
        <f>(+IF(R561&gt;=2015,MAX(VLOOKUP(R665,'פחתי מים לרשויות מצטרפות'!$A$6:$G$9,MAX($B$3-R561,0)+3,0)-VLOOKUP(R$1,'פחת מים וגביה'!$A:$D,3,0),0))*R410/R$425)+IF(AND(R$7="חברה מנהלת",R24&lt;&gt;""),+VLOOKUP(R665,'פחתי מים לרשויות מצטרפות'!$A$6:$G$10,5,0)-VLOOKUP(R17,'פחת מים וגביה'!$A:$D,3,0),0)</f>
        <v>0</v>
      </c>
      <c r="S583" s="1049">
        <f>(+IF(S561&gt;=2015,MAX(VLOOKUP(S665,'פחתי מים לרשויות מצטרפות'!$A$6:$G$9,MAX($B$3-S561,0)+3,0)-VLOOKUP(S$1,'פחת מים וגביה'!$A:$D,3,0),0))*S410/S$425)+IF(AND(S$7="חברה מנהלת",S24&lt;&gt;""),+VLOOKUP(S665,'פחתי מים לרשויות מצטרפות'!$A$6:$G$10,5,0)-VLOOKUP(S17,'פחת מים וגביה'!$A:$D,3,0),0)</f>
        <v>0</v>
      </c>
      <c r="T583" s="1049">
        <f>(+IF(T561&gt;=2015,MAX(VLOOKUP(T665,'פחתי מים לרשויות מצטרפות'!$A$6:$G$9,MAX($B$3-T561,0)+3,0)-VLOOKUP(T$1,'פחת מים וגביה'!$A:$D,3,0),0))*T410/T$425)+IF(AND(T$7="חברה מנהלת",T24&lt;&gt;""),+VLOOKUP(T665,'פחתי מים לרשויות מצטרפות'!$A$6:$G$10,5,0)-VLOOKUP(T17,'פחת מים וגביה'!$A:$D,3,0),0)</f>
        <v>0</v>
      </c>
      <c r="U583" s="1049">
        <f>(+IF(U561&gt;=2015,MAX(VLOOKUP(U665,'פחתי מים לרשויות מצטרפות'!$A$6:$G$9,MAX($B$3-U561,0)+3,0)-VLOOKUP(U$1,'פחת מים וגביה'!$A:$D,3,0),0))*U410/U$425)+IF(AND(U$7="חברה מנהלת",U24&lt;&gt;""),+VLOOKUP(U665,'פחתי מים לרשויות מצטרפות'!$A$6:$G$10,5,0)-VLOOKUP(U17,'פחת מים וגביה'!$A:$D,3,0),0)</f>
        <v>0</v>
      </c>
      <c r="V583" s="1049">
        <f>(+IF(V561&gt;=2015,MAX(VLOOKUP(V665,'פחתי מים לרשויות מצטרפות'!$A$6:$G$9,MAX($B$3-V561,0)+3,0)-VLOOKUP(V$1,'פחת מים וגביה'!$A:$D,3,0),0))*V410/V$425)+IF(AND(V$7="חברה מנהלת",V24&lt;&gt;""),+VLOOKUP(V665,'פחתי מים לרשויות מצטרפות'!$A$6:$G$10,5,0)-VLOOKUP(V17,'פחת מים וגביה'!$A:$D,3,0),0)</f>
        <v>0</v>
      </c>
      <c r="W583" s="1049">
        <f>(+IF(W561&gt;=2015,MAX(VLOOKUP(W665,'פחתי מים לרשויות מצטרפות'!$A$6:$G$9,MAX($B$3-W561,0)+3,0)-VLOOKUP(W$1,'פחת מים וגביה'!$A:$D,3,0),0))*W410/W$425)+IF(AND(W$7="חברה מנהלת",W24&lt;&gt;""),+VLOOKUP(W665,'פחתי מים לרשויות מצטרפות'!$A$6:$G$10,5,0)-VLOOKUP(W17,'פחת מים וגביה'!$A:$D,3,0),0)</f>
        <v>0</v>
      </c>
      <c r="X583" s="1049">
        <f>(+IF(X561&gt;=2015,MAX(VLOOKUP(X665,'פחתי מים לרשויות מצטרפות'!$A$6:$G$9,MAX($B$3-X561,0)+3,0)-VLOOKUP(X$1,'פחת מים וגביה'!$A:$D,3,0),0))*X410/X$425)+IF(AND(X$7="חברה מנהלת",X24&lt;&gt;""),+VLOOKUP(X665,'פחתי מים לרשויות מצטרפות'!$A$6:$G$10,5,0)-VLOOKUP(X17,'פחת מים וגביה'!$A:$D,3,0),0)</f>
        <v>0</v>
      </c>
      <c r="Y583" s="1049">
        <f>(+IF(Y561&gt;=2015,MAX(VLOOKUP(Y665,'פחתי מים לרשויות מצטרפות'!$A$6:$G$9,MAX($B$3-Y561,0)+3,0)-VLOOKUP(Y$1,'פחת מים וגביה'!$A:$D,3,0),0))*Y410/Y$425)+IF(AND(Y$7="חברה מנהלת",Y24&lt;&gt;""),+VLOOKUP(Y665,'פחתי מים לרשויות מצטרפות'!$A$6:$G$10,5,0)-VLOOKUP(Y17,'פחת מים וגביה'!$A:$D,3,0),0)</f>
        <v>0</v>
      </c>
      <c r="Z583" s="1049">
        <f>(+IF(Z561&gt;=2015,MAX(VLOOKUP(Z665,'פחתי מים לרשויות מצטרפות'!$A$6:$G$9,MAX($B$3-Z561,0)+3,0)-VLOOKUP(Z$1,'פחת מים וגביה'!$A:$D,3,0),0))*Z410/Z$425)+IF(AND(Z$7="חברה מנהלת",Z24&lt;&gt;""),+VLOOKUP(Z665,'פחתי מים לרשויות מצטרפות'!$A$6:$G$10,5,0)-VLOOKUP(Z17,'פחת מים וגביה'!$A:$D,3,0),0)</f>
        <v>0</v>
      </c>
      <c r="AA583" s="1049">
        <f>(+IF(AA561&gt;=2015,MAX(VLOOKUP(AA665,'פחתי מים לרשויות מצטרפות'!$A$6:$G$9,MAX($B$3-AA561,0)+3,0)-VLOOKUP(AA$1,'פחת מים וגביה'!$A:$D,3,0),0))*AA410/AA$425)+IF(AND(AA$7="חברה מנהלת",AA24&lt;&gt;""),+VLOOKUP(AA665,'פחתי מים לרשויות מצטרפות'!$A$6:$G$10,5,0)-VLOOKUP(AA17,'פחת מים וגביה'!$A:$D,3,0),0)</f>
        <v>0</v>
      </c>
      <c r="AB583" s="1049">
        <f>(+IF(AB561&gt;=2015,MAX(VLOOKUP(AB665,'פחתי מים לרשויות מצטרפות'!$A$6:$G$9,MAX($B$3-AB561,0)+3,0)-VLOOKUP(AB$1,'פחת מים וגביה'!$A:$D,3,0),0))*AB410/AB$425)+IF(AND(AB$7="חברה מנהלת",AB24&lt;&gt;""),+VLOOKUP(AB665,'פחתי מים לרשויות מצטרפות'!$A$6:$G$10,5,0)-VLOOKUP(AB17,'פחת מים וגביה'!$A:$D,3,0),0)</f>
        <v>0</v>
      </c>
      <c r="AC583" s="1049">
        <f>(+IF(AC561&gt;=2015,MAX(VLOOKUP(AC665,'פחתי מים לרשויות מצטרפות'!$A$6:$G$9,MAX($B$3-AC561,0)+3,0)-VLOOKUP(AC$1,'פחת מים וגביה'!$A:$D,3,0),0))*AC410/AC$425)+IF(AND(AC$7="חברה מנהלת",AC24&lt;&gt;""),+VLOOKUP(AC665,'פחתי מים לרשויות מצטרפות'!$A$6:$G$10,5,0)-VLOOKUP(AC17,'פחת מים וגביה'!$A:$D,3,0),0)</f>
        <v>0</v>
      </c>
      <c r="AD583" s="1049">
        <f>(+IF(AD561&gt;=2015,MAX(VLOOKUP(AD665,'פחתי מים לרשויות מצטרפות'!$A$6:$G$9,MAX($B$3-AD561,0)+3,0)-VLOOKUP(AD$1,'פחת מים וגביה'!$A:$D,3,0),0))*AD410/AD$425)+IF(AND(AD$7="חברה מנהלת",AD24&lt;&gt;""),+VLOOKUP(AD665,'פחתי מים לרשויות מצטרפות'!$A$6:$G$10,5,0)-VLOOKUP(AD17,'פחת מים וגביה'!$A:$D,3,0),0)</f>
        <v>0</v>
      </c>
      <c r="AE583" s="1049">
        <f>(+IF(AE561&gt;=2015,MAX(VLOOKUP(AE665,'פחתי מים לרשויות מצטרפות'!$A$6:$G$9,MAX($B$3-AE561,0)+3,0)-VLOOKUP(AE$1,'פחת מים וגביה'!$A:$D,3,0),0))*AE410/AE$425)+IF(AND(AE$7="חברה מנהלת",AE24&lt;&gt;""),+VLOOKUP(AE665,'פחתי מים לרשויות מצטרפות'!$A$6:$G$10,5,0)-VLOOKUP(AE17,'פחת מים וגביה'!$A:$D,3,0),0)</f>
        <v>0</v>
      </c>
      <c r="AF583" s="1049">
        <f>(+IF(AF561&gt;=2015,MAX(VLOOKUP(AF665,'פחתי מים לרשויות מצטרפות'!$A$6:$G$9,MAX($B$3-AF561,0)+3,0)-VLOOKUP(AF$1,'פחת מים וגביה'!$A:$D,3,0),0))*AF410/AF$425)+IF(AND(AF$7="חברה מנהלת",AF24&lt;&gt;""),+VLOOKUP(AF665,'פחתי מים לרשויות מצטרפות'!$A$6:$G$10,5,0)-VLOOKUP(AF17,'פחת מים וגביה'!$A:$D,3,0),0)</f>
        <v>0</v>
      </c>
      <c r="AG583" s="1049">
        <f>(+IF(AG561&gt;=2015,MAX(VLOOKUP(AG665,'פחתי מים לרשויות מצטרפות'!$A$6:$G$9,MAX($B$3-AG561,0)+3,0)-VLOOKUP(AG$1,'פחת מים וגביה'!$A:$D,3,0),0))*AG410/AG$425)+IF(AND(AG$7="חברה מנהלת",AG24&lt;&gt;""),+VLOOKUP(AG665,'פחתי מים לרשויות מצטרפות'!$A$6:$G$10,5,0)-VLOOKUP(AG17,'פחת מים וגביה'!$A:$D,3,0),0)</f>
        <v>0</v>
      </c>
      <c r="AH583" s="1049">
        <f>(+IF(AH561&gt;=2015,MAX(VLOOKUP(AH665,'פחתי מים לרשויות מצטרפות'!$A$6:$G$9,MAX($B$3-AH561,0)+3,0)-VLOOKUP(AH$1,'פחת מים וגביה'!$A:$D,3,0),0))*AH410/AH$425)+IF(AND(AH$7="חברה מנהלת",AH24&lt;&gt;""),+VLOOKUP(AH665,'פחתי מים לרשויות מצטרפות'!$A$6:$G$10,5,0)-VLOOKUP(AH17,'פחת מים וגביה'!$A:$D,3,0),0)</f>
        <v>0</v>
      </c>
      <c r="AI583" s="1049">
        <f>(+IF(AI561&gt;=2015,MAX(VLOOKUP(AI665,'פחתי מים לרשויות מצטרפות'!$A$6:$G$9,MAX($B$3-AI561,0)+3,0)-VLOOKUP(AI$1,'פחת מים וגביה'!$A:$D,3,0),0))*AI410/AI$425)+IF(AND(AI$7="חברה מנהלת",AI24&lt;&gt;""),+VLOOKUP(AI665,'פחתי מים לרשויות מצטרפות'!$A$6:$G$10,5,0)-VLOOKUP(AI17,'פחת מים וגביה'!$A:$D,3,0),0)</f>
        <v>0</v>
      </c>
      <c r="AJ583" s="1049">
        <f>(+IF(AJ561&gt;=2015,MAX(VLOOKUP(AJ665,'פחתי מים לרשויות מצטרפות'!$A$6:$G$9,MAX($B$3-AJ561,0)+3,0)-VLOOKUP(AJ$1,'פחת מים וגביה'!$A:$D,3,0),0))*AJ410/AJ$425)+IF(AND(AJ$7="חברה מנהלת",AJ24&lt;&gt;""),+VLOOKUP(AJ665,'פחתי מים לרשויות מצטרפות'!$A$6:$G$10,5,0)-VLOOKUP(AJ17,'פחת מים וגביה'!$A:$D,3,0),0)</f>
        <v>0</v>
      </c>
      <c r="AK583" s="1049">
        <f>(+IF(AK561&gt;=2015,MAX(VLOOKUP(AK665,'פחתי מים לרשויות מצטרפות'!$A$6:$G$9,MAX($B$3-AK561,0)+3,0)-VLOOKUP(AK$1,'פחת מים וגביה'!$A:$D,3,0),0))*AK410/AK$425)+IF(AND(AK$7="חברה מנהלת",AK24&lt;&gt;""),+VLOOKUP(AK665,'פחתי מים לרשויות מצטרפות'!$A$6:$G$10,5,0)-VLOOKUP(AK17,'פחת מים וגביה'!$A:$D,3,0),0)</f>
        <v>0</v>
      </c>
      <c r="AL583" s="1049">
        <f>(+IF(AL561&gt;=2015,MAX(VLOOKUP(AL665,'פחתי מים לרשויות מצטרפות'!$A$6:$G$9,MAX($B$3-AL561,0)+3,0)-VLOOKUP(AL$1,'פחת מים וגביה'!$A:$D,3,0),0))*AL410/AL$425)+IF(AND(AL$7="חברה מנהלת",AL24&lt;&gt;""),+VLOOKUP(AL665,'פחתי מים לרשויות מצטרפות'!$A$6:$G$10,5,0)-VLOOKUP(AL17,'פחת מים וגביה'!$A:$D,3,0),0)</f>
        <v>0</v>
      </c>
      <c r="AM583" s="1049">
        <f>(+IF(AM561&gt;=2015,MAX(VLOOKUP(AM665,'פחתי מים לרשויות מצטרפות'!$A$6:$G$9,MAX($B$3-AM561,0)+3,0)-VLOOKUP(AM$1,'פחת מים וגביה'!$A:$D,3,0),0))*AM410/AM$425)+IF(AND(AM$7="חברה מנהלת",AM24&lt;&gt;""),+VLOOKUP(AM665,'פחתי מים לרשויות מצטרפות'!$A$6:$G$10,5,0)-VLOOKUP(AM17,'פחת מים וגביה'!$A:$D,3,0),0)</f>
        <v>0</v>
      </c>
      <c r="AN583" s="1049">
        <f>(+IF(AN561&gt;=2015,MAX(VLOOKUP(AN665,'פחתי מים לרשויות מצטרפות'!$A$6:$G$9,MAX($B$3-AN561,0)+3,0)-VLOOKUP(AN$1,'פחת מים וגביה'!$A:$D,3,0),0))*AN410/AN$425)+IF(AND(AN$7="חברה מנהלת",AN24&lt;&gt;""),+VLOOKUP(AN665,'פחתי מים לרשויות מצטרפות'!$A$6:$G$10,5,0)-VLOOKUP(AN17,'פחת מים וגביה'!$A:$D,3,0),0)</f>
        <v>0</v>
      </c>
      <c r="AO583" s="1049">
        <f>(+IF(AO561&gt;=2015,MAX(VLOOKUP(AO665,'פחתי מים לרשויות מצטרפות'!$A$6:$G$9,MAX($B$3-AO561,0)+3,0)-VLOOKUP(AO$1,'פחת מים וגביה'!$A:$D,3,0),0))*AO410/AO$425)+IF(AND(AO$7="חברה מנהלת",AO24&lt;&gt;""),+VLOOKUP(AO665,'פחתי מים לרשויות מצטרפות'!$A$6:$G$10,5,0)-VLOOKUP(AO17,'פחת מים וגביה'!$A:$D,3,0),0)</f>
        <v>0</v>
      </c>
      <c r="AP583" s="1049">
        <f>(+IF(AP561&gt;=2015,MAX(VLOOKUP(AP665,'פחתי מים לרשויות מצטרפות'!$A$6:$G$9,MAX($B$3-AP561,0)+3,0)-VLOOKUP(AP$1,'פחת מים וגביה'!$A:$D,3,0),0))*AP410/AP$425)+IF(AND(AP$7="חברה מנהלת",AP24&lt;&gt;""),+VLOOKUP(AP665,'פחתי מים לרשויות מצטרפות'!$A$6:$G$10,5,0)-VLOOKUP(AP17,'פחת מים וגביה'!$A:$D,3,0),0)</f>
        <v>0</v>
      </c>
      <c r="AQ583" s="1049">
        <f>(+IF(AQ561&gt;=2015,MAX(VLOOKUP(AQ665,'פחתי מים לרשויות מצטרפות'!$A$6:$G$9,MAX($B$3-AQ561,0)+3,0)-VLOOKUP(AQ$1,'פחת מים וגביה'!$A:$D,3,0),0))*AQ410/AQ$425)+IF(AND(AQ$7="חברה מנהלת",AQ24&lt;&gt;""),+VLOOKUP(AQ665,'פחתי מים לרשויות מצטרפות'!$A$6:$G$10,5,0)-VLOOKUP(AQ17,'פחת מים וגביה'!$A:$D,3,0),0)</f>
        <v>0</v>
      </c>
      <c r="AR583" s="1049">
        <f>(+IF(AR561&gt;=2015,MAX(VLOOKUP(AR665,'פחתי מים לרשויות מצטרפות'!$A$6:$G$9,MAX($B$3-AR561,0)+3,0)-VLOOKUP(AR$1,'פחת מים וגביה'!$A:$D,3,0),0))*AR410/AR$425)+IF(AND(AR$7="חברה מנהלת",AR24&lt;&gt;""),+VLOOKUP(AR665,'פחתי מים לרשויות מצטרפות'!$A$6:$G$10,5,0)-VLOOKUP(AR17,'פחת מים וגביה'!$A:$D,3,0),0)</f>
        <v>0</v>
      </c>
      <c r="AS583" s="1049">
        <f>(+IF(AS561&gt;=2015,MAX(VLOOKUP(AS665,'פחתי מים לרשויות מצטרפות'!$A$6:$G$9,MAX($B$3-AS561,0)+3,0)-VLOOKUP(AS$1,'פחת מים וגביה'!$A:$D,3,0),0))*AS410/AS$425)+IF(AND(AS$7="חברה מנהלת",AS24&lt;&gt;""),+VLOOKUP(AS665,'פחתי מים לרשויות מצטרפות'!$A$6:$G$10,5,0)-VLOOKUP(AS17,'פחת מים וגביה'!$A:$D,3,0),0)</f>
        <v>0</v>
      </c>
      <c r="AT583" s="1049">
        <f>(+IF(AT561&gt;=2015,MAX(VLOOKUP(AT665,'פחתי מים לרשויות מצטרפות'!$A$6:$G$9,MAX($B$3-AT561,0)+3,0)-VLOOKUP(AT$1,'פחת מים וגביה'!$A:$D,3,0),0))*AT410/AT$425)+IF(AND(AT$7="חברה מנהלת",AT24&lt;&gt;""),+VLOOKUP(AT665,'פחתי מים לרשויות מצטרפות'!$A$6:$G$10,5,0)-VLOOKUP(AT17,'פחת מים וגביה'!$A:$D,3,0),0)</f>
        <v>0</v>
      </c>
      <c r="AU583" s="1049">
        <f>(+IF(AU561&gt;=2015,MAX(VLOOKUP(AU665,'פחתי מים לרשויות מצטרפות'!$A$6:$G$9,MAX($B$3-AU561,0)+3,0)-VLOOKUP(AU$1,'פחת מים וגביה'!$A:$D,3,0),0))*AU410/AU$425)+IF(AND(AU$7="חברה מנהלת",AU24&lt;&gt;""),+VLOOKUP(AU665,'פחתי מים לרשויות מצטרפות'!$A$6:$G$10,5,0)-VLOOKUP(AU17,'פחת מים וגביה'!$A:$D,3,0),0)</f>
        <v>0</v>
      </c>
      <c r="AV583" s="1049">
        <f>(+IF(AV561&gt;=2015,MAX(VLOOKUP(AV665,'פחתי מים לרשויות מצטרפות'!$A$6:$G$9,MAX($B$3-AV561,0)+3,0)-VLOOKUP(AV$1,'פחת מים וגביה'!$A:$D,3,0),0))*AV410/AV$425)+IF(AND(AV$7="חברה מנהלת",AV24&lt;&gt;""),+VLOOKUP(AV665,'פחתי מים לרשויות מצטרפות'!$A$6:$G$10,5,0)-VLOOKUP(AV17,'פחת מים וגביה'!$A:$D,3,0),0)</f>
        <v>0</v>
      </c>
      <c r="AW583" s="1049">
        <f>(+IF(AW561&gt;=2015,MAX(VLOOKUP(AW665,'פחתי מים לרשויות מצטרפות'!$A$6:$G$9,MAX($B$3-AW561,0)+3,0)-VLOOKUP(AW$1,'פחת מים וגביה'!$A:$D,3,0),0))*AW410/AW$425)+IF(AND(AW$7="חברה מנהלת",AW24&lt;&gt;""),+VLOOKUP(AW665,'פחתי מים לרשויות מצטרפות'!$A$6:$G$10,5,0)-VLOOKUP(AW17,'פחת מים וגביה'!$A:$D,3,0),0)</f>
        <v>0</v>
      </c>
      <c r="AX583" s="1049">
        <f>(+IF(AX561&gt;=2015,MAX(VLOOKUP(AX665,'פחתי מים לרשויות מצטרפות'!$A$6:$G$9,MAX($B$3-AX561,0)+3,0)-VLOOKUP(AX$1,'פחת מים וגביה'!$A:$D,3,0),0))*AX410/AX$425)+IF(AND(AX$7="חברה מנהלת",AX24&lt;&gt;""),+VLOOKUP(AX665,'פחתי מים לרשויות מצטרפות'!$A$6:$G$10,5,0)-VLOOKUP(AX17,'פחת מים וגביה'!$A:$D,3,0),0)</f>
        <v>0</v>
      </c>
      <c r="AY583" s="1049">
        <f>(+IF(AY561&gt;=2015,MAX(VLOOKUP(AY665,'פחתי מים לרשויות מצטרפות'!$A$6:$G$9,MAX($B$3-AY561,0)+3,0)-VLOOKUP(AY$1,'פחת מים וגביה'!$A:$D,3,0),0))*AY410/AY$425)+IF(AND(AY$7="חברה מנהלת",AY24&lt;&gt;""),+VLOOKUP(AY665,'פחתי מים לרשויות מצטרפות'!$A$6:$G$10,5,0)-VLOOKUP(AY17,'פחת מים וגביה'!$A:$D,3,0),0)</f>
        <v>0</v>
      </c>
      <c r="AZ583" s="1049">
        <f>(+IF(AZ561&gt;=2015,MAX(VLOOKUP(AZ665,'פחתי מים לרשויות מצטרפות'!$A$6:$G$9,MAX($B$3-AZ561,0)+3,0)-VLOOKUP(AZ$1,'פחת מים וגביה'!$A:$D,3,0),0))*AZ410/AZ$425)+IF(AND(AZ$7="חברה מנהלת",AZ24&lt;&gt;""),+VLOOKUP(AZ665,'פחתי מים לרשויות מצטרפות'!$A$6:$G$10,5,0)-VLOOKUP(AZ17,'פחת מים וגביה'!$A:$D,3,0),0)</f>
        <v>0</v>
      </c>
      <c r="BA583" s="1049">
        <f>(+IF(BA561&gt;=2015,MAX(VLOOKUP(BA665,'פחתי מים לרשויות מצטרפות'!$A$6:$G$9,MAX($B$3-BA561,0)+3,0)-VLOOKUP(BA$1,'פחת מים וגביה'!$A:$D,3,0),0))*BA410/BA$425)+IF(AND(BA$7="חברה מנהלת",BA24&lt;&gt;""),+VLOOKUP(BA665,'פחתי מים לרשויות מצטרפות'!$A$6:$G$10,5,0)-VLOOKUP(BA17,'פחת מים וגביה'!$A:$D,3,0),0)</f>
        <v>0</v>
      </c>
      <c r="BB583" s="1049">
        <f>(+IF(BB561&gt;=2015,MAX(VLOOKUP(BB665,'פחתי מים לרשויות מצטרפות'!$A$6:$G$9,MAX($B$3-BB561,0)+3,0)-VLOOKUP(BB$1,'פחת מים וגביה'!$A:$D,3,0),0))*BB410/BB$425)+IF(AND(BB$7="חברה מנהלת",BB24&lt;&gt;""),+VLOOKUP(BB665,'פחתי מים לרשויות מצטרפות'!$A$6:$G$10,5,0)-VLOOKUP(BB17,'פחת מים וגביה'!$A:$D,3,0),0)</f>
        <v>0</v>
      </c>
      <c r="BC583" s="1049">
        <f>(+IF(BC561&gt;=2015,MAX(VLOOKUP(BC665,'פחתי מים לרשויות מצטרפות'!$A$6:$G$9,MAX($B$3-BC561,0)+3,0)-VLOOKUP(BC$1,'פחת מים וגביה'!$A:$D,3,0),0))*BC410/BC$425)+IF(AND(BC$7="חברה מנהלת",BC24&lt;&gt;""),+VLOOKUP(BC665,'פחתי מים לרשויות מצטרפות'!$A$6:$G$10,5,0)-VLOOKUP(BC17,'פחת מים וגביה'!$A:$D,3,0),0)</f>
        <v>0</v>
      </c>
      <c r="BD583" s="1049">
        <f>(+IF(BD561&gt;=2015,MAX(VLOOKUP(BD665,'פחתי מים לרשויות מצטרפות'!$A$6:$G$9,MAX($B$3-BD561,0)+3,0)-VLOOKUP(BD$1,'פחת מים וגביה'!$A:$D,3,0),0))*BD410/BD$425)+IF(AND(BD$7="חברה מנהלת",BD24&lt;&gt;""),+VLOOKUP(BD665,'פחתי מים לרשויות מצטרפות'!$A$6:$G$10,5,0)-VLOOKUP(BD17,'פחת מים וגביה'!$A:$D,3,0),0)</f>
        <v>0</v>
      </c>
      <c r="BE583" s="1049">
        <f>(+IF(BE561&gt;=2015,MAX(VLOOKUP(BE665,'פחתי מים לרשויות מצטרפות'!$A$6:$G$9,MAX($B$3-BE561,0)+3,0)-VLOOKUP(BE$1,'פחת מים וגביה'!$A:$D,3,0),0))*BE410/BE$425)+IF(AND(BE$7="חברה מנהלת",BE24&lt;&gt;""),+VLOOKUP(BE665,'פחתי מים לרשויות מצטרפות'!$A$6:$G$10,5,0)-VLOOKUP(BE17,'פחת מים וגביה'!$A:$D,3,0),0)</f>
        <v>0</v>
      </c>
      <c r="BF583" s="1049">
        <f>(+IF(BF561&gt;=2015,MAX(VLOOKUP(BF665,'פחתי מים לרשויות מצטרפות'!$A$6:$G$9,MAX($B$3-BF561,0)+3,0)-VLOOKUP(BF$1,'פחת מים וגביה'!$A:$D,3,0),0))*BF410/BF$425)+IF(AND(BF$7="חברה מנהלת",BF24&lt;&gt;""),+VLOOKUP(BF665,'פחתי מים לרשויות מצטרפות'!$A$6:$G$10,5,0)-VLOOKUP(BF17,'פחת מים וגביה'!$A:$D,3,0),0)</f>
        <v>0</v>
      </c>
    </row>
    <row r="584" spans="1:58" x14ac:dyDescent="0.2">
      <c r="C584" s="1049">
        <f>(+IF(C562&gt;=2015,MAX(VLOOKUP(C666,'פחתי מים לרשויות מצטרפות'!$A$6:$G$9,MAX($B$3-C562,0)+3,0)-VLOOKUP(C$1,'פחת מים וגביה'!$A:$D,3,0),0))*C411/C$425)+IF(AND(C$7="חברה מנהלת",C25&lt;&gt;""),+VLOOKUP(C666,'פחתי מים לרשויות מצטרפות'!$A$6:$G$10,5,0)-VLOOKUP(C18,'פחת מים וגביה'!$A:$D,3,0),0)</f>
        <v>0</v>
      </c>
      <c r="D584" s="1049">
        <f>(+IF(D562&gt;=2015,MAX(VLOOKUP(D666,'פחתי מים לרשויות מצטרפות'!$A$6:$G$9,MAX($B$3-D562,0)+3,0)-VLOOKUP(D$1,'פחת מים וגביה'!$A:$D,3,0),0))*D411/D$425)+IF(AND(D$7="חברה מנהלת",D25&lt;&gt;""),+VLOOKUP(D666,'פחתי מים לרשויות מצטרפות'!$A$6:$G$10,5,0)-VLOOKUP(D18,'פחת מים וגביה'!$A:$D,3,0),0)</f>
        <v>0</v>
      </c>
      <c r="E584" s="1049">
        <f>(+IF(E562&gt;=2015,MAX(VLOOKUP(E666,'פחתי מים לרשויות מצטרפות'!$A$6:$G$9,MAX($B$3-E562,0)+3,0)-VLOOKUP(E$1,'פחת מים וגביה'!$A:$D,3,0),0))*E411/E$425)+IF(AND(E$7="חברה מנהלת",E25&lt;&gt;""),+VLOOKUP(E666,'פחתי מים לרשויות מצטרפות'!$A$6:$G$10,5,0)-VLOOKUP(E18,'פחת מים וגביה'!$A:$D,3,0),0)</f>
        <v>0</v>
      </c>
      <c r="F584" s="1049">
        <f>(+IF(F562&gt;=2015,MAX(VLOOKUP(F666,'פחתי מים לרשויות מצטרפות'!$A$6:$G$9,MAX($B$3-F562,0)+3,0)-VLOOKUP(F$1,'פחת מים וגביה'!$A:$D,3,0),0))*F411/F$425)+IF(AND(F$7="חברה מנהלת",F25&lt;&gt;""),+VLOOKUP(F666,'פחתי מים לרשויות מצטרפות'!$A$6:$G$10,5,0)-VLOOKUP(F18,'פחת מים וגביה'!$A:$D,3,0),0)</f>
        <v>0</v>
      </c>
      <c r="G584" s="1049">
        <f>(+IF(G562&gt;=2015,MAX(VLOOKUP(G666,'פחתי מים לרשויות מצטרפות'!$A$6:$G$9,MAX($B$3-G562,0)+3,0)-VLOOKUP(G$1,'פחת מים וגביה'!$A:$D,3,0),0))*G411/G$425)+IF(AND(G$7="חברה מנהלת",G25&lt;&gt;""),+VLOOKUP(G666,'פחתי מים לרשויות מצטרפות'!$A$6:$G$10,5,0)-VLOOKUP(G18,'פחת מים וגביה'!$A:$D,3,0),0)</f>
        <v>0</v>
      </c>
      <c r="H584" s="1049">
        <f>(+IF(H562&gt;=2015,MAX(VLOOKUP(H666,'פחתי מים לרשויות מצטרפות'!$A$6:$G$9,MAX($B$3-H562,0)+3,0)-VLOOKUP(H$1,'פחת מים וגביה'!$A:$D,3,0),0))*H411/H$425)+IF(AND(H$7="חברה מנהלת",H25&lt;&gt;""),+VLOOKUP(H666,'פחתי מים לרשויות מצטרפות'!$A$6:$G$10,5,0)-VLOOKUP(H18,'פחת מים וגביה'!$A:$D,3,0),0)</f>
        <v>0</v>
      </c>
      <c r="I584" s="1049">
        <f>(+IF(I562&gt;=2015,MAX(VLOOKUP(I666,'פחתי מים לרשויות מצטרפות'!$A$6:$G$9,MAX($B$3-I562,0)+3,0)-VLOOKUP(I$1,'פחת מים וגביה'!$A:$D,3,0),0))*I411/I$425)+IF(AND(I$7="חברה מנהלת",I25&lt;&gt;""),+VLOOKUP(I666,'פחתי מים לרשויות מצטרפות'!$A$6:$G$10,5,0)-VLOOKUP(I18,'פחת מים וגביה'!$A:$D,3,0),0)</f>
        <v>0</v>
      </c>
      <c r="J584" s="1049">
        <f>(+IF(J562&gt;=2015,MAX(VLOOKUP(J666,'פחתי מים לרשויות מצטרפות'!$A$6:$G$9,MAX($B$3-J562,0)+3,0)-VLOOKUP(J$1,'פחת מים וגביה'!$A:$D,3,0),0))*J411/J$425)+IF(AND(J$7="חברה מנהלת",J25&lt;&gt;""),+VLOOKUP(J666,'פחתי מים לרשויות מצטרפות'!$A$6:$G$10,5,0)-VLOOKUP(J18,'פחת מים וגביה'!$A:$D,3,0),0)</f>
        <v>0</v>
      </c>
      <c r="K584" s="1049">
        <f>(+IF(K562&gt;=2015,MAX(VLOOKUP(K666,'פחתי מים לרשויות מצטרפות'!$A$6:$G$9,MAX($B$3-K562,0)+3,0)-VLOOKUP(K$1,'פחת מים וגביה'!$A:$D,3,0),0))*K411/K$425)+IF(AND(K$7="חברה מנהלת",K25&lt;&gt;""),+VLOOKUP(K666,'פחתי מים לרשויות מצטרפות'!$A$6:$G$10,5,0)-VLOOKUP(K18,'פחת מים וגביה'!$A:$D,3,0),0)</f>
        <v>0</v>
      </c>
      <c r="L584" s="1049">
        <f>(+IF(L562&gt;=2015,MAX(VLOOKUP(L666,'פחתי מים לרשויות מצטרפות'!$A$6:$G$9,MAX($B$3-L562,0)+3,0)-VLOOKUP(L$1,'פחת מים וגביה'!$A:$D,3,0),0))*L411/L$425)+IF(AND(L$7="חברה מנהלת",L25&lt;&gt;""),+VLOOKUP(L666,'פחתי מים לרשויות מצטרפות'!$A$6:$G$10,5,0)-VLOOKUP(L18,'פחת מים וגביה'!$A:$D,3,0),0)</f>
        <v>0</v>
      </c>
      <c r="M584" s="1049">
        <f>(+IF(M562&gt;=2015,MAX(VLOOKUP(M666,'פחתי מים לרשויות מצטרפות'!$A$6:$G$9,MAX($B$3-M562,0)+3,0)-VLOOKUP(M$1,'פחת מים וגביה'!$A:$D,3,0),0))*M411/M$425)+IF(AND(M$7="חברה מנהלת",M25&lt;&gt;""),+VLOOKUP(M666,'פחתי מים לרשויות מצטרפות'!$A$6:$G$10,5,0)-VLOOKUP(M18,'פחת מים וגביה'!$A:$D,3,0),0)</f>
        <v>0</v>
      </c>
      <c r="N584" s="1049">
        <f>(+IF(N562&gt;=2015,MAX(VLOOKUP(N666,'פחתי מים לרשויות מצטרפות'!$A$6:$G$9,MAX($B$3-N562,0)+3,0)-VLOOKUP(N$1,'פחת מים וגביה'!$A:$D,3,0),0))*N411/N$425)+IF(AND(N$7="חברה מנהלת",N25&lt;&gt;""),+VLOOKUP(N666,'פחתי מים לרשויות מצטרפות'!$A$6:$G$10,5,0)-VLOOKUP(N18,'פחת מים וגביה'!$A:$D,3,0),0)</f>
        <v>0</v>
      </c>
      <c r="O584" s="1049">
        <f>(+IF(O562&gt;=2015,MAX(VLOOKUP(O666,'פחתי מים לרשויות מצטרפות'!$A$6:$G$9,MAX($B$3-O562,0)+3,0)-VLOOKUP(O$1,'פחת מים וגביה'!$A:$D,3,0),0))*O411/O$425)+IF(AND(O$7="חברה מנהלת",O25&lt;&gt;""),+VLOOKUP(O666,'פחתי מים לרשויות מצטרפות'!$A$6:$G$10,5,0)-VLOOKUP(O18,'פחת מים וגביה'!$A:$D,3,0),0)</f>
        <v>0</v>
      </c>
      <c r="P584" s="1049">
        <f>(+IF(P562&gt;=2015,MAX(VLOOKUP(P666,'פחתי מים לרשויות מצטרפות'!$A$6:$G$9,MAX($B$3-P562,0)+3,0)-VLOOKUP(P$1,'פחת מים וגביה'!$A:$D,3,0),0))*P411/P$425)+IF(AND(P$7="חברה מנהלת",P25&lt;&gt;""),+VLOOKUP(P666,'פחתי מים לרשויות מצטרפות'!$A$6:$G$10,5,0)-VLOOKUP(P18,'פחת מים וגביה'!$A:$D,3,0),0)</f>
        <v>0</v>
      </c>
      <c r="Q584" s="1049">
        <f>(+IF(Q562&gt;=2015,MAX(VLOOKUP(Q666,'פחתי מים לרשויות מצטרפות'!$A$6:$G$9,MAX($B$3-Q562,0)+3,0)-VLOOKUP(Q$1,'פחת מים וגביה'!$A:$D,3,0),0))*Q411/Q$425)+IF(AND(Q$7="חברה מנהלת",Q25&lt;&gt;""),+VLOOKUP(Q666,'פחתי מים לרשויות מצטרפות'!$A$6:$G$10,5,0)-VLOOKUP(Q18,'פחת מים וגביה'!$A:$D,3,0),0)</f>
        <v>0</v>
      </c>
      <c r="R584" s="1049">
        <f>(+IF(R562&gt;=2015,MAX(VLOOKUP(R666,'פחתי מים לרשויות מצטרפות'!$A$6:$G$9,MAX($B$3-R562,0)+3,0)-VLOOKUP(R$1,'פחת מים וגביה'!$A:$D,3,0),0))*R411/R$425)+IF(AND(R$7="חברה מנהלת",R25&lt;&gt;""),+VLOOKUP(R666,'פחתי מים לרשויות מצטרפות'!$A$6:$G$10,5,0)-VLOOKUP(R18,'פחת מים וגביה'!$A:$D,3,0),0)</f>
        <v>0</v>
      </c>
      <c r="S584" s="1049">
        <f>(+IF(S562&gt;=2015,MAX(VLOOKUP(S666,'פחתי מים לרשויות מצטרפות'!$A$6:$G$9,MAX($B$3-S562,0)+3,0)-VLOOKUP(S$1,'פחת מים וגביה'!$A:$D,3,0),0))*S411/S$425)+IF(AND(S$7="חברה מנהלת",S25&lt;&gt;""),+VLOOKUP(S666,'פחתי מים לרשויות מצטרפות'!$A$6:$G$10,5,0)-VLOOKUP(S18,'פחת מים וגביה'!$A:$D,3,0),0)</f>
        <v>0</v>
      </c>
      <c r="T584" s="1049">
        <f>(+IF(T562&gt;=2015,MAX(VLOOKUP(T666,'פחתי מים לרשויות מצטרפות'!$A$6:$G$9,MAX($B$3-T562,0)+3,0)-VLOOKUP(T$1,'פחת מים וגביה'!$A:$D,3,0),0))*T411/T$425)+IF(AND(T$7="חברה מנהלת",T25&lt;&gt;""),+VLOOKUP(T666,'פחתי מים לרשויות מצטרפות'!$A$6:$G$10,5,0)-VLOOKUP(T18,'פחת מים וגביה'!$A:$D,3,0),0)</f>
        <v>0</v>
      </c>
      <c r="U584" s="1049">
        <f>(+IF(U562&gt;=2015,MAX(VLOOKUP(U666,'פחתי מים לרשויות מצטרפות'!$A$6:$G$9,MAX($B$3-U562,0)+3,0)-VLOOKUP(U$1,'פחת מים וגביה'!$A:$D,3,0),0))*U411/U$425)+IF(AND(U$7="חברה מנהלת",U25&lt;&gt;""),+VLOOKUP(U666,'פחתי מים לרשויות מצטרפות'!$A$6:$G$10,5,0)-VLOOKUP(U18,'פחת מים וגביה'!$A:$D,3,0),0)</f>
        <v>0</v>
      </c>
      <c r="V584" s="1049">
        <f>(+IF(V562&gt;=2015,MAX(VLOOKUP(V666,'פחתי מים לרשויות מצטרפות'!$A$6:$G$9,MAX($B$3-V562,0)+3,0)-VLOOKUP(V$1,'פחת מים וגביה'!$A:$D,3,0),0))*V411/V$425)+IF(AND(V$7="חברה מנהלת",V25&lt;&gt;""),+VLOOKUP(V666,'פחתי מים לרשויות מצטרפות'!$A$6:$G$10,5,0)-VLOOKUP(V18,'פחת מים וגביה'!$A:$D,3,0),0)</f>
        <v>0</v>
      </c>
      <c r="W584" s="1049">
        <f>(+IF(W562&gt;=2015,MAX(VLOOKUP(W666,'פחתי מים לרשויות מצטרפות'!$A$6:$G$9,MAX($B$3-W562,0)+3,0)-VLOOKUP(W$1,'פחת מים וגביה'!$A:$D,3,0),0))*W411/W$425)+IF(AND(W$7="חברה מנהלת",W25&lt;&gt;""),+VLOOKUP(W666,'פחתי מים לרשויות מצטרפות'!$A$6:$G$10,5,0)-VLOOKUP(W18,'פחת מים וגביה'!$A:$D,3,0),0)</f>
        <v>0</v>
      </c>
      <c r="X584" s="1049">
        <f>(+IF(X562&gt;=2015,MAX(VLOOKUP(X666,'פחתי מים לרשויות מצטרפות'!$A$6:$G$9,MAX($B$3-X562,0)+3,0)-VLOOKUP(X$1,'פחת מים וגביה'!$A:$D,3,0),0))*X411/X$425)+IF(AND(X$7="חברה מנהלת",X25&lt;&gt;""),+VLOOKUP(X666,'פחתי מים לרשויות מצטרפות'!$A$6:$G$10,5,0)-VLOOKUP(X18,'פחת מים וגביה'!$A:$D,3,0),0)</f>
        <v>0</v>
      </c>
      <c r="Y584" s="1049">
        <f>(+IF(Y562&gt;=2015,MAX(VLOOKUP(Y666,'פחתי מים לרשויות מצטרפות'!$A$6:$G$9,MAX($B$3-Y562,0)+3,0)-VLOOKUP(Y$1,'פחת מים וגביה'!$A:$D,3,0),0))*Y411/Y$425)+IF(AND(Y$7="חברה מנהלת",Y25&lt;&gt;""),+VLOOKUP(Y666,'פחתי מים לרשויות מצטרפות'!$A$6:$G$10,5,0)-VLOOKUP(Y18,'פחת מים וגביה'!$A:$D,3,0),0)</f>
        <v>0</v>
      </c>
      <c r="Z584" s="1049">
        <f>(+IF(Z562&gt;=2015,MAX(VLOOKUP(Z666,'פחתי מים לרשויות מצטרפות'!$A$6:$G$9,MAX($B$3-Z562,0)+3,0)-VLOOKUP(Z$1,'פחת מים וגביה'!$A:$D,3,0),0))*Z411/Z$425)+IF(AND(Z$7="חברה מנהלת",Z25&lt;&gt;""),+VLOOKUP(Z666,'פחתי מים לרשויות מצטרפות'!$A$6:$G$10,5,0)-VLOOKUP(Z18,'פחת מים וגביה'!$A:$D,3,0),0)</f>
        <v>0</v>
      </c>
      <c r="AA584" s="1049">
        <f>(+IF(AA562&gt;=2015,MAX(VLOOKUP(AA666,'פחתי מים לרשויות מצטרפות'!$A$6:$G$9,MAX($B$3-AA562,0)+3,0)-VLOOKUP(AA$1,'פחת מים וגביה'!$A:$D,3,0),0))*AA411/AA$425)+IF(AND(AA$7="חברה מנהלת",AA25&lt;&gt;""),+VLOOKUP(AA666,'פחתי מים לרשויות מצטרפות'!$A$6:$G$10,5,0)-VLOOKUP(AA18,'פחת מים וגביה'!$A:$D,3,0),0)</f>
        <v>0</v>
      </c>
      <c r="AB584" s="1049">
        <f>(+IF(AB562&gt;=2015,MAX(VLOOKUP(AB666,'פחתי מים לרשויות מצטרפות'!$A$6:$G$9,MAX($B$3-AB562,0)+3,0)-VLOOKUP(AB$1,'פחת מים וגביה'!$A:$D,3,0),0))*AB411/AB$425)+IF(AND(AB$7="חברה מנהלת",AB25&lt;&gt;""),+VLOOKUP(AB666,'פחתי מים לרשויות מצטרפות'!$A$6:$G$10,5,0)-VLOOKUP(AB18,'פחת מים וגביה'!$A:$D,3,0),0)</f>
        <v>0</v>
      </c>
      <c r="AC584" s="1049">
        <f>(+IF(AC562&gt;=2015,MAX(VLOOKUP(AC666,'פחתי מים לרשויות מצטרפות'!$A$6:$G$9,MAX($B$3-AC562,0)+3,0)-VLOOKUP(AC$1,'פחת מים וגביה'!$A:$D,3,0),0))*AC411/AC$425)+IF(AND(AC$7="חברה מנהלת",AC25&lt;&gt;""),+VLOOKUP(AC666,'פחתי מים לרשויות מצטרפות'!$A$6:$G$10,5,0)-VLOOKUP(AC18,'פחת מים וגביה'!$A:$D,3,0),0)</f>
        <v>0</v>
      </c>
      <c r="AD584" s="1049">
        <f>(+IF(AD562&gt;=2015,MAX(VLOOKUP(AD666,'פחתי מים לרשויות מצטרפות'!$A$6:$G$9,MAX($B$3-AD562,0)+3,0)-VLOOKUP(AD$1,'פחת מים וגביה'!$A:$D,3,0),0))*AD411/AD$425)+IF(AND(AD$7="חברה מנהלת",AD25&lt;&gt;""),+VLOOKUP(AD666,'פחתי מים לרשויות מצטרפות'!$A$6:$G$10,5,0)-VLOOKUP(AD18,'פחת מים וגביה'!$A:$D,3,0),0)</f>
        <v>0</v>
      </c>
      <c r="AE584" s="1049">
        <f>(+IF(AE562&gt;=2015,MAX(VLOOKUP(AE666,'פחתי מים לרשויות מצטרפות'!$A$6:$G$9,MAX($B$3-AE562,0)+3,0)-VLOOKUP(AE$1,'פחת מים וגביה'!$A:$D,3,0),0))*AE411/AE$425)+IF(AND(AE$7="חברה מנהלת",AE25&lt;&gt;""),+VLOOKUP(AE666,'פחתי מים לרשויות מצטרפות'!$A$6:$G$10,5,0)-VLOOKUP(AE18,'פחת מים וגביה'!$A:$D,3,0),0)</f>
        <v>0</v>
      </c>
      <c r="AF584" s="1049">
        <f>(+IF(AF562&gt;=2015,MAX(VLOOKUP(AF666,'פחתי מים לרשויות מצטרפות'!$A$6:$G$9,MAX($B$3-AF562,0)+3,0)-VLOOKUP(AF$1,'פחת מים וגביה'!$A:$D,3,0),0))*AF411/AF$425)+IF(AND(AF$7="חברה מנהלת",AF25&lt;&gt;""),+VLOOKUP(AF666,'פחתי מים לרשויות מצטרפות'!$A$6:$G$10,5,0)-VLOOKUP(AF18,'פחת מים וגביה'!$A:$D,3,0),0)</f>
        <v>0</v>
      </c>
      <c r="AG584" s="1049">
        <f>(+IF(AG562&gt;=2015,MAX(VLOOKUP(AG666,'פחתי מים לרשויות מצטרפות'!$A$6:$G$9,MAX($B$3-AG562,0)+3,0)-VLOOKUP(AG$1,'פחת מים וגביה'!$A:$D,3,0),0))*AG411/AG$425)+IF(AND(AG$7="חברה מנהלת",AG25&lt;&gt;""),+VLOOKUP(AG666,'פחתי מים לרשויות מצטרפות'!$A$6:$G$10,5,0)-VLOOKUP(AG18,'פחת מים וגביה'!$A:$D,3,0),0)</f>
        <v>0</v>
      </c>
      <c r="AH584" s="1049">
        <f>(+IF(AH562&gt;=2015,MAX(VLOOKUP(AH666,'פחתי מים לרשויות מצטרפות'!$A$6:$G$9,MAX($B$3-AH562,0)+3,0)-VLOOKUP(AH$1,'פחת מים וגביה'!$A:$D,3,0),0))*AH411/AH$425)+IF(AND(AH$7="חברה מנהלת",AH25&lt;&gt;""),+VLOOKUP(AH666,'פחתי מים לרשויות מצטרפות'!$A$6:$G$10,5,0)-VLOOKUP(AH18,'פחת מים וגביה'!$A:$D,3,0),0)</f>
        <v>0</v>
      </c>
      <c r="AI584" s="1049">
        <f>(+IF(AI562&gt;=2015,MAX(VLOOKUP(AI666,'פחתי מים לרשויות מצטרפות'!$A$6:$G$9,MAX($B$3-AI562,0)+3,0)-VLOOKUP(AI$1,'פחת מים וגביה'!$A:$D,3,0),0))*AI411/AI$425)+IF(AND(AI$7="חברה מנהלת",AI25&lt;&gt;""),+VLOOKUP(AI666,'פחתי מים לרשויות מצטרפות'!$A$6:$G$10,5,0)-VLOOKUP(AI18,'פחת מים וגביה'!$A:$D,3,0),0)</f>
        <v>0</v>
      </c>
      <c r="AJ584" s="1049">
        <f>(+IF(AJ562&gt;=2015,MAX(VLOOKUP(AJ666,'פחתי מים לרשויות מצטרפות'!$A$6:$G$9,MAX($B$3-AJ562,0)+3,0)-VLOOKUP(AJ$1,'פחת מים וגביה'!$A:$D,3,0),0))*AJ411/AJ$425)+IF(AND(AJ$7="חברה מנהלת",AJ25&lt;&gt;""),+VLOOKUP(AJ666,'פחתי מים לרשויות מצטרפות'!$A$6:$G$10,5,0)-VLOOKUP(AJ18,'פחת מים וגביה'!$A:$D,3,0),0)</f>
        <v>0</v>
      </c>
      <c r="AK584" s="1049">
        <f>(+IF(AK562&gt;=2015,MAX(VLOOKUP(AK666,'פחתי מים לרשויות מצטרפות'!$A$6:$G$9,MAX($B$3-AK562,0)+3,0)-VLOOKUP(AK$1,'פחת מים וגביה'!$A:$D,3,0),0))*AK411/AK$425)+IF(AND(AK$7="חברה מנהלת",AK25&lt;&gt;""),+VLOOKUP(AK666,'פחתי מים לרשויות מצטרפות'!$A$6:$G$10,5,0)-VLOOKUP(AK18,'פחת מים וגביה'!$A:$D,3,0),0)</f>
        <v>0</v>
      </c>
      <c r="AL584" s="1049">
        <f>(+IF(AL562&gt;=2015,MAX(VLOOKUP(AL666,'פחתי מים לרשויות מצטרפות'!$A$6:$G$9,MAX($B$3-AL562,0)+3,0)-VLOOKUP(AL$1,'פחת מים וגביה'!$A:$D,3,0),0))*AL411/AL$425)+IF(AND(AL$7="חברה מנהלת",AL25&lt;&gt;""),+VLOOKUP(AL666,'פחתי מים לרשויות מצטרפות'!$A$6:$G$10,5,0)-VLOOKUP(AL18,'פחת מים וגביה'!$A:$D,3,0),0)</f>
        <v>0</v>
      </c>
      <c r="AM584" s="1049">
        <f>(+IF(AM562&gt;=2015,MAX(VLOOKUP(AM666,'פחתי מים לרשויות מצטרפות'!$A$6:$G$9,MAX($B$3-AM562,0)+3,0)-VLOOKUP(AM$1,'פחת מים וגביה'!$A:$D,3,0),0))*AM411/AM$425)+IF(AND(AM$7="חברה מנהלת",AM25&lt;&gt;""),+VLOOKUP(AM666,'פחתי מים לרשויות מצטרפות'!$A$6:$G$10,5,0)-VLOOKUP(AM18,'פחת מים וגביה'!$A:$D,3,0),0)</f>
        <v>0</v>
      </c>
      <c r="AN584" s="1049">
        <f>(+IF(AN562&gt;=2015,MAX(VLOOKUP(AN666,'פחתי מים לרשויות מצטרפות'!$A$6:$G$9,MAX($B$3-AN562,0)+3,0)-VLOOKUP(AN$1,'פחת מים וגביה'!$A:$D,3,0),0))*AN411/AN$425)+IF(AND(AN$7="חברה מנהלת",AN25&lt;&gt;""),+VLOOKUP(AN666,'פחתי מים לרשויות מצטרפות'!$A$6:$G$10,5,0)-VLOOKUP(AN18,'פחת מים וגביה'!$A:$D,3,0),0)</f>
        <v>0</v>
      </c>
      <c r="AO584" s="1049">
        <f>(+IF(AO562&gt;=2015,MAX(VLOOKUP(AO666,'פחתי מים לרשויות מצטרפות'!$A$6:$G$9,MAX($B$3-AO562,0)+3,0)-VLOOKUP(AO$1,'פחת מים וגביה'!$A:$D,3,0),0))*AO411/AO$425)+IF(AND(AO$7="חברה מנהלת",AO25&lt;&gt;""),+VLOOKUP(AO666,'פחתי מים לרשויות מצטרפות'!$A$6:$G$10,5,0)-VLOOKUP(AO18,'פחת מים וגביה'!$A:$D,3,0),0)</f>
        <v>0</v>
      </c>
      <c r="AP584" s="1049">
        <f>(+IF(AP562&gt;=2015,MAX(VLOOKUP(AP666,'פחתי מים לרשויות מצטרפות'!$A$6:$G$9,MAX($B$3-AP562,0)+3,0)-VLOOKUP(AP$1,'פחת מים וגביה'!$A:$D,3,0),0))*AP411/AP$425)+IF(AND(AP$7="חברה מנהלת",AP25&lt;&gt;""),+VLOOKUP(AP666,'פחתי מים לרשויות מצטרפות'!$A$6:$G$10,5,0)-VLOOKUP(AP18,'פחת מים וגביה'!$A:$D,3,0),0)</f>
        <v>0</v>
      </c>
      <c r="AQ584" s="1049">
        <f>(+IF(AQ562&gt;=2015,MAX(VLOOKUP(AQ666,'פחתי מים לרשויות מצטרפות'!$A$6:$G$9,MAX($B$3-AQ562,0)+3,0)-VLOOKUP(AQ$1,'פחת מים וגביה'!$A:$D,3,0),0))*AQ411/AQ$425)+IF(AND(AQ$7="חברה מנהלת",AQ25&lt;&gt;""),+VLOOKUP(AQ666,'פחתי מים לרשויות מצטרפות'!$A$6:$G$10,5,0)-VLOOKUP(AQ18,'פחת מים וגביה'!$A:$D,3,0),0)</f>
        <v>0</v>
      </c>
      <c r="AR584" s="1049">
        <f>(+IF(AR562&gt;=2015,MAX(VLOOKUP(AR666,'פחתי מים לרשויות מצטרפות'!$A$6:$G$9,MAX($B$3-AR562,0)+3,0)-VLOOKUP(AR$1,'פחת מים וגביה'!$A:$D,3,0),0))*AR411/AR$425)+IF(AND(AR$7="חברה מנהלת",AR25&lt;&gt;""),+VLOOKUP(AR666,'פחתי מים לרשויות מצטרפות'!$A$6:$G$10,5,0)-VLOOKUP(AR18,'פחת מים וגביה'!$A:$D,3,0),0)</f>
        <v>0</v>
      </c>
      <c r="AS584" s="1049">
        <f>(+IF(AS562&gt;=2015,MAX(VLOOKUP(AS666,'פחתי מים לרשויות מצטרפות'!$A$6:$G$9,MAX($B$3-AS562,0)+3,0)-VLOOKUP(AS$1,'פחת מים וגביה'!$A:$D,3,0),0))*AS411/AS$425)+IF(AND(AS$7="חברה מנהלת",AS25&lt;&gt;""),+VLOOKUP(AS666,'פחתי מים לרשויות מצטרפות'!$A$6:$G$10,5,0)-VLOOKUP(AS18,'פחת מים וגביה'!$A:$D,3,0),0)</f>
        <v>0</v>
      </c>
      <c r="AT584" s="1049">
        <f>(+IF(AT562&gt;=2015,MAX(VLOOKUP(AT666,'פחתי מים לרשויות מצטרפות'!$A$6:$G$9,MAX($B$3-AT562,0)+3,0)-VLOOKUP(AT$1,'פחת מים וגביה'!$A:$D,3,0),0))*AT411/AT$425)+IF(AND(AT$7="חברה מנהלת",AT25&lt;&gt;""),+VLOOKUP(AT666,'פחתי מים לרשויות מצטרפות'!$A$6:$G$10,5,0)-VLOOKUP(AT18,'פחת מים וגביה'!$A:$D,3,0),0)</f>
        <v>0</v>
      </c>
      <c r="AU584" s="1049">
        <f>(+IF(AU562&gt;=2015,MAX(VLOOKUP(AU666,'פחתי מים לרשויות מצטרפות'!$A$6:$G$9,MAX($B$3-AU562,0)+3,0)-VLOOKUP(AU$1,'פחת מים וגביה'!$A:$D,3,0),0))*AU411/AU$425)+IF(AND(AU$7="חברה מנהלת",AU25&lt;&gt;""),+VLOOKUP(AU666,'פחתי מים לרשויות מצטרפות'!$A$6:$G$10,5,0)-VLOOKUP(AU18,'פחת מים וגביה'!$A:$D,3,0),0)</f>
        <v>0</v>
      </c>
      <c r="AV584" s="1049">
        <f>(+IF(AV562&gt;=2015,MAX(VLOOKUP(AV666,'פחתי מים לרשויות מצטרפות'!$A$6:$G$9,MAX($B$3-AV562,0)+3,0)-VLOOKUP(AV$1,'פחת מים וגביה'!$A:$D,3,0),0))*AV411/AV$425)+IF(AND(AV$7="חברה מנהלת",AV25&lt;&gt;""),+VLOOKUP(AV666,'פחתי מים לרשויות מצטרפות'!$A$6:$G$10,5,0)-VLOOKUP(AV18,'פחת מים וגביה'!$A:$D,3,0),0)</f>
        <v>0</v>
      </c>
      <c r="AW584" s="1049">
        <f>(+IF(AW562&gt;=2015,MAX(VLOOKUP(AW666,'פחתי מים לרשויות מצטרפות'!$A$6:$G$9,MAX($B$3-AW562,0)+3,0)-VLOOKUP(AW$1,'פחת מים וגביה'!$A:$D,3,0),0))*AW411/AW$425)+IF(AND(AW$7="חברה מנהלת",AW25&lt;&gt;""),+VLOOKUP(AW666,'פחתי מים לרשויות מצטרפות'!$A$6:$G$10,5,0)-VLOOKUP(AW18,'פחת מים וגביה'!$A:$D,3,0),0)</f>
        <v>0</v>
      </c>
      <c r="AX584" s="1049">
        <f>(+IF(AX562&gt;=2015,MAX(VLOOKUP(AX666,'פחתי מים לרשויות מצטרפות'!$A$6:$G$9,MAX($B$3-AX562,0)+3,0)-VLOOKUP(AX$1,'פחת מים וגביה'!$A:$D,3,0),0))*AX411/AX$425)+IF(AND(AX$7="חברה מנהלת",AX25&lt;&gt;""),+VLOOKUP(AX666,'פחתי מים לרשויות מצטרפות'!$A$6:$G$10,5,0)-VLOOKUP(AX18,'פחת מים וגביה'!$A:$D,3,0),0)</f>
        <v>0</v>
      </c>
      <c r="AY584" s="1049">
        <f>(+IF(AY562&gt;=2015,MAX(VLOOKUP(AY666,'פחתי מים לרשויות מצטרפות'!$A$6:$G$9,MAX($B$3-AY562,0)+3,0)-VLOOKUP(AY$1,'פחת מים וגביה'!$A:$D,3,0),0))*AY411/AY$425)+IF(AND(AY$7="חברה מנהלת",AY25&lt;&gt;""),+VLOOKUP(AY666,'פחתי מים לרשויות מצטרפות'!$A$6:$G$10,5,0)-VLOOKUP(AY18,'פחת מים וגביה'!$A:$D,3,0),0)</f>
        <v>0</v>
      </c>
      <c r="AZ584" s="1049">
        <f>(+IF(AZ562&gt;=2015,MAX(VLOOKUP(AZ666,'פחתי מים לרשויות מצטרפות'!$A$6:$G$9,MAX($B$3-AZ562,0)+3,0)-VLOOKUP(AZ$1,'פחת מים וגביה'!$A:$D,3,0),0))*AZ411/AZ$425)+IF(AND(AZ$7="חברה מנהלת",AZ25&lt;&gt;""),+VLOOKUP(AZ666,'פחתי מים לרשויות מצטרפות'!$A$6:$G$10,5,0)-VLOOKUP(AZ18,'פחת מים וגביה'!$A:$D,3,0),0)</f>
        <v>0</v>
      </c>
      <c r="BA584" s="1049">
        <f>(+IF(BA562&gt;=2015,MAX(VLOOKUP(BA666,'פחתי מים לרשויות מצטרפות'!$A$6:$G$9,MAX($B$3-BA562,0)+3,0)-VLOOKUP(BA$1,'פחת מים וגביה'!$A:$D,3,0),0))*BA411/BA$425)+IF(AND(BA$7="חברה מנהלת",BA25&lt;&gt;""),+VLOOKUP(BA666,'פחתי מים לרשויות מצטרפות'!$A$6:$G$10,5,0)-VLOOKUP(BA18,'פחת מים וגביה'!$A:$D,3,0),0)</f>
        <v>0</v>
      </c>
      <c r="BB584" s="1049">
        <f>(+IF(BB562&gt;=2015,MAX(VLOOKUP(BB666,'פחתי מים לרשויות מצטרפות'!$A$6:$G$9,MAX($B$3-BB562,0)+3,0)-VLOOKUP(BB$1,'פחת מים וגביה'!$A:$D,3,0),0))*BB411/BB$425)+IF(AND(BB$7="חברה מנהלת",BB25&lt;&gt;""),+VLOOKUP(BB666,'פחתי מים לרשויות מצטרפות'!$A$6:$G$10,5,0)-VLOOKUP(BB18,'פחת מים וגביה'!$A:$D,3,0),0)</f>
        <v>0</v>
      </c>
      <c r="BC584" s="1049">
        <f>(+IF(BC562&gt;=2015,MAX(VLOOKUP(BC666,'פחתי מים לרשויות מצטרפות'!$A$6:$G$9,MAX($B$3-BC562,0)+3,0)-VLOOKUP(BC$1,'פחת מים וגביה'!$A:$D,3,0),0))*BC411/BC$425)+IF(AND(BC$7="חברה מנהלת",BC25&lt;&gt;""),+VLOOKUP(BC666,'פחתי מים לרשויות מצטרפות'!$A$6:$G$10,5,0)-VLOOKUP(BC18,'פחת מים וגביה'!$A:$D,3,0),0)</f>
        <v>0</v>
      </c>
      <c r="BD584" s="1049">
        <f>(+IF(BD562&gt;=2015,MAX(VLOOKUP(BD666,'פחתי מים לרשויות מצטרפות'!$A$6:$G$9,MAX($B$3-BD562,0)+3,0)-VLOOKUP(BD$1,'פחת מים וגביה'!$A:$D,3,0),0))*BD411/BD$425)+IF(AND(BD$7="חברה מנהלת",BD25&lt;&gt;""),+VLOOKUP(BD666,'פחתי מים לרשויות מצטרפות'!$A$6:$G$10,5,0)-VLOOKUP(BD18,'פחת מים וגביה'!$A:$D,3,0),0)</f>
        <v>0</v>
      </c>
      <c r="BE584" s="1049">
        <f>(+IF(BE562&gt;=2015,MAX(VLOOKUP(BE666,'פחתי מים לרשויות מצטרפות'!$A$6:$G$9,MAX($B$3-BE562,0)+3,0)-VLOOKUP(BE$1,'פחת מים וגביה'!$A:$D,3,0),0))*BE411/BE$425)+IF(AND(BE$7="חברה מנהלת",BE25&lt;&gt;""),+VLOOKUP(BE666,'פחתי מים לרשויות מצטרפות'!$A$6:$G$10,5,0)-VLOOKUP(BE18,'פחת מים וגביה'!$A:$D,3,0),0)</f>
        <v>0</v>
      </c>
      <c r="BF584" s="1049">
        <f>(+IF(BF562&gt;=2015,MAX(VLOOKUP(BF666,'פחתי מים לרשויות מצטרפות'!$A$6:$G$9,MAX($B$3-BF562,0)+3,0)-VLOOKUP(BF$1,'פחת מים וגביה'!$A:$D,3,0),0))*BF411/BF$425)+IF(AND(BF$7="חברה מנהלת",BF25&lt;&gt;""),+VLOOKUP(BF666,'פחתי מים לרשויות מצטרפות'!$A$6:$G$10,5,0)-VLOOKUP(BF18,'פחת מים וגביה'!$A:$D,3,0),0)</f>
        <v>0</v>
      </c>
    </row>
    <row r="585" spans="1:58" x14ac:dyDescent="0.2">
      <c r="C585" s="1049">
        <f>(+IF(C563&gt;=2015,MAX(VLOOKUP(C667,'פחתי מים לרשויות מצטרפות'!$A$6:$G$9,MAX($B$3-C563,0)+3,0)-VLOOKUP(C$1,'פחת מים וגביה'!$A:$D,3,0),0))*C412/C$425)+IF(AND(C$7="חברה מנהלת",C26&lt;&gt;""),+VLOOKUP(C667,'פחתי מים לרשויות מצטרפות'!$A$6:$G$10,5,0)-VLOOKUP(C19,'פחת מים וגביה'!$A:$D,3,0),0)</f>
        <v>0</v>
      </c>
      <c r="D585" s="1049">
        <f>(+IF(D563&gt;=2015,MAX(VLOOKUP(D667,'פחתי מים לרשויות מצטרפות'!$A$6:$G$9,MAX($B$3-D563,0)+3,0)-VLOOKUP(D$1,'פחת מים וגביה'!$A:$D,3,0),0))*D412/D$425)+IF(AND(D$7="חברה מנהלת",D26&lt;&gt;""),+VLOOKUP(D667,'פחתי מים לרשויות מצטרפות'!$A$6:$G$10,5,0)-VLOOKUP(D19,'פחת מים וגביה'!$A:$D,3,0),0)</f>
        <v>0</v>
      </c>
      <c r="E585" s="1049">
        <f>(+IF(E563&gt;=2015,MAX(VLOOKUP(E667,'פחתי מים לרשויות מצטרפות'!$A$6:$G$9,MAX($B$3-E563,0)+3,0)-VLOOKUP(E$1,'פחת מים וגביה'!$A:$D,3,0),0))*E412/E$425)+IF(AND(E$7="חברה מנהלת",E26&lt;&gt;""),+VLOOKUP(E667,'פחתי מים לרשויות מצטרפות'!$A$6:$G$10,5,0)-VLOOKUP(E19,'פחת מים וגביה'!$A:$D,3,0),0)</f>
        <v>0</v>
      </c>
      <c r="F585" s="1049">
        <f>(+IF(F563&gt;=2015,MAX(VLOOKUP(F667,'פחתי מים לרשויות מצטרפות'!$A$6:$G$9,MAX($B$3-F563,0)+3,0)-VLOOKUP(F$1,'פחת מים וגביה'!$A:$D,3,0),0))*F412/F$425)+IF(AND(F$7="חברה מנהלת",F26&lt;&gt;""),+VLOOKUP(F667,'פחתי מים לרשויות מצטרפות'!$A$6:$G$10,5,0)-VLOOKUP(F19,'פחת מים וגביה'!$A:$D,3,0),0)</f>
        <v>0</v>
      </c>
      <c r="G585" s="1049">
        <f>(+IF(G563&gt;=2015,MAX(VLOOKUP(G667,'פחתי מים לרשויות מצטרפות'!$A$6:$G$9,MAX($B$3-G563,0)+3,0)-VLOOKUP(G$1,'פחת מים וגביה'!$A:$D,3,0),0))*G412/G$425)+IF(AND(G$7="חברה מנהלת",G26&lt;&gt;""),+VLOOKUP(G667,'פחתי מים לרשויות מצטרפות'!$A$6:$G$10,5,0)-VLOOKUP(G19,'פחת מים וגביה'!$A:$D,3,0),0)</f>
        <v>0</v>
      </c>
      <c r="H585" s="1049">
        <f>(+IF(H563&gt;=2015,MAX(VLOOKUP(H667,'פחתי מים לרשויות מצטרפות'!$A$6:$G$9,MAX($B$3-H563,0)+3,0)-VLOOKUP(H$1,'פחת מים וגביה'!$A:$D,3,0),0))*H412/H$425)+IF(AND(H$7="חברה מנהלת",H26&lt;&gt;""),+VLOOKUP(H667,'פחתי מים לרשויות מצטרפות'!$A$6:$G$10,5,0)-VLOOKUP(H19,'פחת מים וגביה'!$A:$D,3,0),0)</f>
        <v>0</v>
      </c>
      <c r="I585" s="1049">
        <f>(+IF(I563&gt;=2015,MAX(VLOOKUP(I667,'פחתי מים לרשויות מצטרפות'!$A$6:$G$9,MAX($B$3-I563,0)+3,0)-VLOOKUP(I$1,'פחת מים וגביה'!$A:$D,3,0),0))*I412/I$425)+IF(AND(I$7="חברה מנהלת",I26&lt;&gt;""),+VLOOKUP(I667,'פחתי מים לרשויות מצטרפות'!$A$6:$G$10,5,0)-VLOOKUP(I19,'פחת מים וגביה'!$A:$D,3,0),0)</f>
        <v>0</v>
      </c>
      <c r="J585" s="1049">
        <f>(+IF(J563&gt;=2015,MAX(VLOOKUP(J667,'פחתי מים לרשויות מצטרפות'!$A$6:$G$9,MAX($B$3-J563,0)+3,0)-VLOOKUP(J$1,'פחת מים וגביה'!$A:$D,3,0),0))*J412/J$425)+IF(AND(J$7="חברה מנהלת",J26&lt;&gt;""),+VLOOKUP(J667,'פחתי מים לרשויות מצטרפות'!$A$6:$G$10,5,0)-VLOOKUP(J19,'פחת מים וגביה'!$A:$D,3,0),0)</f>
        <v>0</v>
      </c>
      <c r="K585" s="1049">
        <f>(+IF(K563&gt;=2015,MAX(VLOOKUP(K667,'פחתי מים לרשויות מצטרפות'!$A$6:$G$9,MAX($B$3-K563,0)+3,0)-VLOOKUP(K$1,'פחת מים וגביה'!$A:$D,3,0),0))*K412/K$425)+IF(AND(K$7="חברה מנהלת",K26&lt;&gt;""),+VLOOKUP(K667,'פחתי מים לרשויות מצטרפות'!$A$6:$G$10,5,0)-VLOOKUP(K19,'פחת מים וגביה'!$A:$D,3,0),0)</f>
        <v>0</v>
      </c>
      <c r="L585" s="1049">
        <f>(+IF(L563&gt;=2015,MAX(VLOOKUP(L667,'פחתי מים לרשויות מצטרפות'!$A$6:$G$9,MAX($B$3-L563,0)+3,0)-VLOOKUP(L$1,'פחת מים וגביה'!$A:$D,3,0),0))*L412/L$425)+IF(AND(L$7="חברה מנהלת",L26&lt;&gt;""),+VLOOKUP(L667,'פחתי מים לרשויות מצטרפות'!$A$6:$G$10,5,0)-VLOOKUP(L19,'פחת מים וגביה'!$A:$D,3,0),0)</f>
        <v>0</v>
      </c>
      <c r="M585" s="1049">
        <f>(+IF(M563&gt;=2015,MAX(VLOOKUP(M667,'פחתי מים לרשויות מצטרפות'!$A$6:$G$9,MAX($B$3-M563,0)+3,0)-VLOOKUP(M$1,'פחת מים וגביה'!$A:$D,3,0),0))*M412/M$425)+IF(AND(M$7="חברה מנהלת",M26&lt;&gt;""),+VLOOKUP(M667,'פחתי מים לרשויות מצטרפות'!$A$6:$G$10,5,0)-VLOOKUP(M19,'פחת מים וגביה'!$A:$D,3,0),0)</f>
        <v>0</v>
      </c>
      <c r="N585" s="1049">
        <f>(+IF(N563&gt;=2015,MAX(VLOOKUP(N667,'פחתי מים לרשויות מצטרפות'!$A$6:$G$9,MAX($B$3-N563,0)+3,0)-VLOOKUP(N$1,'פחת מים וגביה'!$A:$D,3,0),0))*N412/N$425)+IF(AND(N$7="חברה מנהלת",N26&lt;&gt;""),+VLOOKUP(N667,'פחתי מים לרשויות מצטרפות'!$A$6:$G$10,5,0)-VLOOKUP(N19,'פחת מים וגביה'!$A:$D,3,0),0)</f>
        <v>0</v>
      </c>
      <c r="O585" s="1049">
        <f>(+IF(O563&gt;=2015,MAX(VLOOKUP(O667,'פחתי מים לרשויות מצטרפות'!$A$6:$G$9,MAX($B$3-O563,0)+3,0)-VLOOKUP(O$1,'פחת מים וגביה'!$A:$D,3,0),0))*O412/O$425)+IF(AND(O$7="חברה מנהלת",O26&lt;&gt;""),+VLOOKUP(O667,'פחתי מים לרשויות מצטרפות'!$A$6:$G$10,5,0)-VLOOKUP(O19,'פחת מים וגביה'!$A:$D,3,0),0)</f>
        <v>0</v>
      </c>
      <c r="P585" s="1049">
        <f>(+IF(P563&gt;=2015,MAX(VLOOKUP(P667,'פחתי מים לרשויות מצטרפות'!$A$6:$G$9,MAX($B$3-P563,0)+3,0)-VLOOKUP(P$1,'פחת מים וגביה'!$A:$D,3,0),0))*P412/P$425)+IF(AND(P$7="חברה מנהלת",P26&lt;&gt;""),+VLOOKUP(P667,'פחתי מים לרשויות מצטרפות'!$A$6:$G$10,5,0)-VLOOKUP(P19,'פחת מים וגביה'!$A:$D,3,0),0)</f>
        <v>0</v>
      </c>
      <c r="Q585" s="1049">
        <f>(+IF(Q563&gt;=2015,MAX(VLOOKUP(Q667,'פחתי מים לרשויות מצטרפות'!$A$6:$G$9,MAX($B$3-Q563,0)+3,0)-VLOOKUP(Q$1,'פחת מים וגביה'!$A:$D,3,0),0))*Q412/Q$425)+IF(AND(Q$7="חברה מנהלת",Q26&lt;&gt;""),+VLOOKUP(Q667,'פחתי מים לרשויות מצטרפות'!$A$6:$G$10,5,0)-VLOOKUP(Q19,'פחת מים וגביה'!$A:$D,3,0),0)</f>
        <v>0</v>
      </c>
      <c r="R585" s="1049">
        <f>(+IF(R563&gt;=2015,MAX(VLOOKUP(R667,'פחתי מים לרשויות מצטרפות'!$A$6:$G$9,MAX($B$3-R563,0)+3,0)-VLOOKUP(R$1,'פחת מים וגביה'!$A:$D,3,0),0))*R412/R$425)+IF(AND(R$7="חברה מנהלת",R26&lt;&gt;""),+VLOOKUP(R667,'פחתי מים לרשויות מצטרפות'!$A$6:$G$10,5,0)-VLOOKUP(R19,'פחת מים וגביה'!$A:$D,3,0),0)</f>
        <v>0</v>
      </c>
      <c r="S585" s="1049">
        <f>(+IF(S563&gt;=2015,MAX(VLOOKUP(S667,'פחתי מים לרשויות מצטרפות'!$A$6:$G$9,MAX($B$3-S563,0)+3,0)-VLOOKUP(S$1,'פחת מים וגביה'!$A:$D,3,0),0))*S412/S$425)+IF(AND(S$7="חברה מנהלת",S26&lt;&gt;""),+VLOOKUP(S667,'פחתי מים לרשויות מצטרפות'!$A$6:$G$10,5,0)-VLOOKUP(S19,'פחת מים וגביה'!$A:$D,3,0),0)</f>
        <v>0</v>
      </c>
      <c r="T585" s="1049">
        <f>(+IF(T563&gt;=2015,MAX(VLOOKUP(T667,'פחתי מים לרשויות מצטרפות'!$A$6:$G$9,MAX($B$3-T563,0)+3,0)-VLOOKUP(T$1,'פחת מים וגביה'!$A:$D,3,0),0))*T412/T$425)+IF(AND(T$7="חברה מנהלת",T26&lt;&gt;""),+VLOOKUP(T667,'פחתי מים לרשויות מצטרפות'!$A$6:$G$10,5,0)-VLOOKUP(T19,'פחת מים וגביה'!$A:$D,3,0),0)</f>
        <v>0</v>
      </c>
      <c r="U585" s="1049">
        <f>(+IF(U563&gt;=2015,MAX(VLOOKUP(U667,'פחתי מים לרשויות מצטרפות'!$A$6:$G$9,MAX($B$3-U563,0)+3,0)-VLOOKUP(U$1,'פחת מים וגביה'!$A:$D,3,0),0))*U412/U$425)+IF(AND(U$7="חברה מנהלת",U26&lt;&gt;""),+VLOOKUP(U667,'פחתי מים לרשויות מצטרפות'!$A$6:$G$10,5,0)-VLOOKUP(U19,'פחת מים וגביה'!$A:$D,3,0),0)</f>
        <v>0</v>
      </c>
      <c r="V585" s="1049">
        <f>(+IF(V563&gt;=2015,MAX(VLOOKUP(V667,'פחתי מים לרשויות מצטרפות'!$A$6:$G$9,MAX($B$3-V563,0)+3,0)-VLOOKUP(V$1,'פחת מים וגביה'!$A:$D,3,0),0))*V412/V$425)+IF(AND(V$7="חברה מנהלת",V26&lt;&gt;""),+VLOOKUP(V667,'פחתי מים לרשויות מצטרפות'!$A$6:$G$10,5,0)-VLOOKUP(V19,'פחת מים וגביה'!$A:$D,3,0),0)</f>
        <v>0</v>
      </c>
      <c r="W585" s="1049">
        <f>(+IF(W563&gt;=2015,MAX(VLOOKUP(W667,'פחתי מים לרשויות מצטרפות'!$A$6:$G$9,MAX($B$3-W563,0)+3,0)-VLOOKUP(W$1,'פחת מים וגביה'!$A:$D,3,0),0))*W412/W$425)+IF(AND(W$7="חברה מנהלת",W26&lt;&gt;""),+VLOOKUP(W667,'פחתי מים לרשויות מצטרפות'!$A$6:$G$10,5,0)-VLOOKUP(W19,'פחת מים וגביה'!$A:$D,3,0),0)</f>
        <v>0</v>
      </c>
      <c r="X585" s="1049">
        <f>(+IF(X563&gt;=2015,MAX(VLOOKUP(X667,'פחתי מים לרשויות מצטרפות'!$A$6:$G$9,MAX($B$3-X563,0)+3,0)-VLOOKUP(X$1,'פחת מים וגביה'!$A:$D,3,0),0))*X412/X$425)+IF(AND(X$7="חברה מנהלת",X26&lt;&gt;""),+VLOOKUP(X667,'פחתי מים לרשויות מצטרפות'!$A$6:$G$10,5,0)-VLOOKUP(X19,'פחת מים וגביה'!$A:$D,3,0),0)</f>
        <v>0</v>
      </c>
      <c r="Y585" s="1049">
        <f>(+IF(Y563&gt;=2015,MAX(VLOOKUP(Y667,'פחתי מים לרשויות מצטרפות'!$A$6:$G$9,MAX($B$3-Y563,0)+3,0)-VLOOKUP(Y$1,'פחת מים וגביה'!$A:$D,3,0),0))*Y412/Y$425)+IF(AND(Y$7="חברה מנהלת",Y26&lt;&gt;""),+VLOOKUP(Y667,'פחתי מים לרשויות מצטרפות'!$A$6:$G$10,5,0)-VLOOKUP(Y19,'פחת מים וגביה'!$A:$D,3,0),0)</f>
        <v>0</v>
      </c>
      <c r="Z585" s="1049">
        <f>(+IF(Z563&gt;=2015,MAX(VLOOKUP(Z667,'פחתי מים לרשויות מצטרפות'!$A$6:$G$9,MAX($B$3-Z563,0)+3,0)-VLOOKUP(Z$1,'פחת מים וגביה'!$A:$D,3,0),0))*Z412/Z$425)+IF(AND(Z$7="חברה מנהלת",Z26&lt;&gt;""),+VLOOKUP(Z667,'פחתי מים לרשויות מצטרפות'!$A$6:$G$10,5,0)-VLOOKUP(Z19,'פחת מים וגביה'!$A:$D,3,0),0)</f>
        <v>0</v>
      </c>
      <c r="AA585" s="1049">
        <f>(+IF(AA563&gt;=2015,MAX(VLOOKUP(AA667,'פחתי מים לרשויות מצטרפות'!$A$6:$G$9,MAX($B$3-AA563,0)+3,0)-VLOOKUP(AA$1,'פחת מים וגביה'!$A:$D,3,0),0))*AA412/AA$425)+IF(AND(AA$7="חברה מנהלת",AA26&lt;&gt;""),+VLOOKUP(AA667,'פחתי מים לרשויות מצטרפות'!$A$6:$G$10,5,0)-VLOOKUP(AA19,'פחת מים וגביה'!$A:$D,3,0),0)</f>
        <v>0</v>
      </c>
      <c r="AB585" s="1049">
        <f>(+IF(AB563&gt;=2015,MAX(VLOOKUP(AB667,'פחתי מים לרשויות מצטרפות'!$A$6:$G$9,MAX($B$3-AB563,0)+3,0)-VLOOKUP(AB$1,'פחת מים וגביה'!$A:$D,3,0),0))*AB412/AB$425)+IF(AND(AB$7="חברה מנהלת",AB26&lt;&gt;""),+VLOOKUP(AB667,'פחתי מים לרשויות מצטרפות'!$A$6:$G$10,5,0)-VLOOKUP(AB19,'פחת מים וגביה'!$A:$D,3,0),0)</f>
        <v>0</v>
      </c>
      <c r="AC585" s="1049">
        <f>(+IF(AC563&gt;=2015,MAX(VLOOKUP(AC667,'פחתי מים לרשויות מצטרפות'!$A$6:$G$9,MAX($B$3-AC563,0)+3,0)-VLOOKUP(AC$1,'פחת מים וגביה'!$A:$D,3,0),0))*AC412/AC$425)+IF(AND(AC$7="חברה מנהלת",AC26&lt;&gt;""),+VLOOKUP(AC667,'פחתי מים לרשויות מצטרפות'!$A$6:$G$10,5,0)-VLOOKUP(AC19,'פחת מים וגביה'!$A:$D,3,0),0)</f>
        <v>0</v>
      </c>
      <c r="AD585" s="1049">
        <f>(+IF(AD563&gt;=2015,MAX(VLOOKUP(AD667,'פחתי מים לרשויות מצטרפות'!$A$6:$G$9,MAX($B$3-AD563,0)+3,0)-VLOOKUP(AD$1,'פחת מים וגביה'!$A:$D,3,0),0))*AD412/AD$425)+IF(AND(AD$7="חברה מנהלת",AD26&lt;&gt;""),+VLOOKUP(AD667,'פחתי מים לרשויות מצטרפות'!$A$6:$G$10,5,0)-VLOOKUP(AD19,'פחת מים וגביה'!$A:$D,3,0),0)</f>
        <v>0</v>
      </c>
      <c r="AE585" s="1049">
        <f>(+IF(AE563&gt;=2015,MAX(VLOOKUP(AE667,'פחתי מים לרשויות מצטרפות'!$A$6:$G$9,MAX($B$3-AE563,0)+3,0)-VLOOKUP(AE$1,'פחת מים וגביה'!$A:$D,3,0),0))*AE412/AE$425)+IF(AND(AE$7="חברה מנהלת",AE26&lt;&gt;""),+VLOOKUP(AE667,'פחתי מים לרשויות מצטרפות'!$A$6:$G$10,5,0)-VLOOKUP(AE19,'פחת מים וגביה'!$A:$D,3,0),0)</f>
        <v>0</v>
      </c>
      <c r="AF585" s="1049">
        <f>(+IF(AF563&gt;=2015,MAX(VLOOKUP(AF667,'פחתי מים לרשויות מצטרפות'!$A$6:$G$9,MAX($B$3-AF563,0)+3,0)-VLOOKUP(AF$1,'פחת מים וגביה'!$A:$D,3,0),0))*AF412/AF$425)+IF(AND(AF$7="חברה מנהלת",AF26&lt;&gt;""),+VLOOKUP(AF667,'פחתי מים לרשויות מצטרפות'!$A$6:$G$10,5,0)-VLOOKUP(AF19,'פחת מים וגביה'!$A:$D,3,0),0)</f>
        <v>0</v>
      </c>
      <c r="AG585" s="1049">
        <f>(+IF(AG563&gt;=2015,MAX(VLOOKUP(AG667,'פחתי מים לרשויות מצטרפות'!$A$6:$G$9,MAX($B$3-AG563,0)+3,0)-VLOOKUP(AG$1,'פחת מים וגביה'!$A:$D,3,0),0))*AG412/AG$425)+IF(AND(AG$7="חברה מנהלת",AG26&lt;&gt;""),+VLOOKUP(AG667,'פחתי מים לרשויות מצטרפות'!$A$6:$G$10,5,0)-VLOOKUP(AG19,'פחת מים וגביה'!$A:$D,3,0),0)</f>
        <v>0</v>
      </c>
      <c r="AH585" s="1049">
        <f>(+IF(AH563&gt;=2015,MAX(VLOOKUP(AH667,'פחתי מים לרשויות מצטרפות'!$A$6:$G$9,MAX($B$3-AH563,0)+3,0)-VLOOKUP(AH$1,'פחת מים וגביה'!$A:$D,3,0),0))*AH412/AH$425)+IF(AND(AH$7="חברה מנהלת",AH26&lt;&gt;""),+VLOOKUP(AH667,'פחתי מים לרשויות מצטרפות'!$A$6:$G$10,5,0)-VLOOKUP(AH19,'פחת מים וגביה'!$A:$D,3,0),0)</f>
        <v>0</v>
      </c>
      <c r="AI585" s="1049">
        <f>(+IF(AI563&gt;=2015,MAX(VLOOKUP(AI667,'פחתי מים לרשויות מצטרפות'!$A$6:$G$9,MAX($B$3-AI563,0)+3,0)-VLOOKUP(AI$1,'פחת מים וגביה'!$A:$D,3,0),0))*AI412/AI$425)+IF(AND(AI$7="חברה מנהלת",AI26&lt;&gt;""),+VLOOKUP(AI667,'פחתי מים לרשויות מצטרפות'!$A$6:$G$10,5,0)-VLOOKUP(AI19,'פחת מים וגביה'!$A:$D,3,0),0)</f>
        <v>0</v>
      </c>
      <c r="AJ585" s="1049">
        <f>(+IF(AJ563&gt;=2015,MAX(VLOOKUP(AJ667,'פחתי מים לרשויות מצטרפות'!$A$6:$G$9,MAX($B$3-AJ563,0)+3,0)-VLOOKUP(AJ$1,'פחת מים וגביה'!$A:$D,3,0),0))*AJ412/AJ$425)+IF(AND(AJ$7="חברה מנהלת",AJ26&lt;&gt;""),+VLOOKUP(AJ667,'פחתי מים לרשויות מצטרפות'!$A$6:$G$10,5,0)-VLOOKUP(AJ19,'פחת מים וגביה'!$A:$D,3,0),0)</f>
        <v>0</v>
      </c>
      <c r="AK585" s="1049">
        <f>(+IF(AK563&gt;=2015,MAX(VLOOKUP(AK667,'פחתי מים לרשויות מצטרפות'!$A$6:$G$9,MAX($B$3-AK563,0)+3,0)-VLOOKUP(AK$1,'פחת מים וגביה'!$A:$D,3,0),0))*AK412/AK$425)+IF(AND(AK$7="חברה מנהלת",AK26&lt;&gt;""),+VLOOKUP(AK667,'פחתי מים לרשויות מצטרפות'!$A$6:$G$10,5,0)-VLOOKUP(AK19,'פחת מים וגביה'!$A:$D,3,0),0)</f>
        <v>0</v>
      </c>
      <c r="AL585" s="1049">
        <f>(+IF(AL563&gt;=2015,MAX(VLOOKUP(AL667,'פחתי מים לרשויות מצטרפות'!$A$6:$G$9,MAX($B$3-AL563,0)+3,0)-VLOOKUP(AL$1,'פחת מים וגביה'!$A:$D,3,0),0))*AL412/AL$425)+IF(AND(AL$7="חברה מנהלת",AL26&lt;&gt;""),+VLOOKUP(AL667,'פחתי מים לרשויות מצטרפות'!$A$6:$G$10,5,0)-VLOOKUP(AL19,'פחת מים וגביה'!$A:$D,3,0),0)</f>
        <v>0</v>
      </c>
      <c r="AM585" s="1049">
        <f>(+IF(AM563&gt;=2015,MAX(VLOOKUP(AM667,'פחתי מים לרשויות מצטרפות'!$A$6:$G$9,MAX($B$3-AM563,0)+3,0)-VLOOKUP(AM$1,'פחת מים וגביה'!$A:$D,3,0),0))*AM412/AM$425)+IF(AND(AM$7="חברה מנהלת",AM26&lt;&gt;""),+VLOOKUP(AM667,'פחתי מים לרשויות מצטרפות'!$A$6:$G$10,5,0)-VLOOKUP(AM19,'פחת מים וגביה'!$A:$D,3,0),0)</f>
        <v>0</v>
      </c>
      <c r="AN585" s="1049">
        <f>(+IF(AN563&gt;=2015,MAX(VLOOKUP(AN667,'פחתי מים לרשויות מצטרפות'!$A$6:$G$9,MAX($B$3-AN563,0)+3,0)-VLOOKUP(AN$1,'פחת מים וגביה'!$A:$D,3,0),0))*AN412/AN$425)+IF(AND(AN$7="חברה מנהלת",AN26&lt;&gt;""),+VLOOKUP(AN667,'פחתי מים לרשויות מצטרפות'!$A$6:$G$10,5,0)-VLOOKUP(AN19,'פחת מים וגביה'!$A:$D,3,0),0)</f>
        <v>0</v>
      </c>
      <c r="AO585" s="1049">
        <f>(+IF(AO563&gt;=2015,MAX(VLOOKUP(AO667,'פחתי מים לרשויות מצטרפות'!$A$6:$G$9,MAX($B$3-AO563,0)+3,0)-VLOOKUP(AO$1,'פחת מים וגביה'!$A:$D,3,0),0))*AO412/AO$425)+IF(AND(AO$7="חברה מנהלת",AO26&lt;&gt;""),+VLOOKUP(AO667,'פחתי מים לרשויות מצטרפות'!$A$6:$G$10,5,0)-VLOOKUP(AO19,'פחת מים וגביה'!$A:$D,3,0),0)</f>
        <v>0</v>
      </c>
      <c r="AP585" s="1049">
        <f>(+IF(AP563&gt;=2015,MAX(VLOOKUP(AP667,'פחתי מים לרשויות מצטרפות'!$A$6:$G$9,MAX($B$3-AP563,0)+3,0)-VLOOKUP(AP$1,'פחת מים וגביה'!$A:$D,3,0),0))*AP412/AP$425)+IF(AND(AP$7="חברה מנהלת",AP26&lt;&gt;""),+VLOOKUP(AP667,'פחתי מים לרשויות מצטרפות'!$A$6:$G$10,5,0)-VLOOKUP(AP19,'פחת מים וגביה'!$A:$D,3,0),0)</f>
        <v>0</v>
      </c>
      <c r="AQ585" s="1049">
        <f>(+IF(AQ563&gt;=2015,MAX(VLOOKUP(AQ667,'פחתי מים לרשויות מצטרפות'!$A$6:$G$9,MAX($B$3-AQ563,0)+3,0)-VLOOKUP(AQ$1,'פחת מים וגביה'!$A:$D,3,0),0))*AQ412/AQ$425)+IF(AND(AQ$7="חברה מנהלת",AQ26&lt;&gt;""),+VLOOKUP(AQ667,'פחתי מים לרשויות מצטרפות'!$A$6:$G$10,5,0)-VLOOKUP(AQ19,'פחת מים וגביה'!$A:$D,3,0),0)</f>
        <v>0</v>
      </c>
      <c r="AR585" s="1049">
        <f>(+IF(AR563&gt;=2015,MAX(VLOOKUP(AR667,'פחתי מים לרשויות מצטרפות'!$A$6:$G$9,MAX($B$3-AR563,0)+3,0)-VLOOKUP(AR$1,'פחת מים וגביה'!$A:$D,3,0),0))*AR412/AR$425)+IF(AND(AR$7="חברה מנהלת",AR26&lt;&gt;""),+VLOOKUP(AR667,'פחתי מים לרשויות מצטרפות'!$A$6:$G$10,5,0)-VLOOKUP(AR19,'פחת מים וגביה'!$A:$D,3,0),0)</f>
        <v>0</v>
      </c>
      <c r="AS585" s="1049">
        <f>(+IF(AS563&gt;=2015,MAX(VLOOKUP(AS667,'פחתי מים לרשויות מצטרפות'!$A$6:$G$9,MAX($B$3-AS563,0)+3,0)-VLOOKUP(AS$1,'פחת מים וגביה'!$A:$D,3,0),0))*AS412/AS$425)+IF(AND(AS$7="חברה מנהלת",AS26&lt;&gt;""),+VLOOKUP(AS667,'פחתי מים לרשויות מצטרפות'!$A$6:$G$10,5,0)-VLOOKUP(AS19,'פחת מים וגביה'!$A:$D,3,0),0)</f>
        <v>0</v>
      </c>
      <c r="AT585" s="1049">
        <f>(+IF(AT563&gt;=2015,MAX(VLOOKUP(AT667,'פחתי מים לרשויות מצטרפות'!$A$6:$G$9,MAX($B$3-AT563,0)+3,0)-VLOOKUP(AT$1,'פחת מים וגביה'!$A:$D,3,0),0))*AT412/AT$425)+IF(AND(AT$7="חברה מנהלת",AT26&lt;&gt;""),+VLOOKUP(AT667,'פחתי מים לרשויות מצטרפות'!$A$6:$G$10,5,0)-VLOOKUP(AT19,'פחת מים וגביה'!$A:$D,3,0),0)</f>
        <v>0</v>
      </c>
      <c r="AU585" s="1049">
        <f>(+IF(AU563&gt;=2015,MAX(VLOOKUP(AU667,'פחתי מים לרשויות מצטרפות'!$A$6:$G$9,MAX($B$3-AU563,0)+3,0)-VLOOKUP(AU$1,'פחת מים וגביה'!$A:$D,3,0),0))*AU412/AU$425)+IF(AND(AU$7="חברה מנהלת",AU26&lt;&gt;""),+VLOOKUP(AU667,'פחתי מים לרשויות מצטרפות'!$A$6:$G$10,5,0)-VLOOKUP(AU19,'פחת מים וגביה'!$A:$D,3,0),0)</f>
        <v>0</v>
      </c>
      <c r="AV585" s="1049">
        <f>(+IF(AV563&gt;=2015,MAX(VLOOKUP(AV667,'פחתי מים לרשויות מצטרפות'!$A$6:$G$9,MAX($B$3-AV563,0)+3,0)-VLOOKUP(AV$1,'פחת מים וגביה'!$A:$D,3,0),0))*AV412/AV$425)+IF(AND(AV$7="חברה מנהלת",AV26&lt;&gt;""),+VLOOKUP(AV667,'פחתי מים לרשויות מצטרפות'!$A$6:$G$10,5,0)-VLOOKUP(AV19,'פחת מים וגביה'!$A:$D,3,0),0)</f>
        <v>0</v>
      </c>
      <c r="AW585" s="1049">
        <f>(+IF(AW563&gt;=2015,MAX(VLOOKUP(AW667,'פחתי מים לרשויות מצטרפות'!$A$6:$G$9,MAX($B$3-AW563,0)+3,0)-VLOOKUP(AW$1,'פחת מים וגביה'!$A:$D,3,0),0))*AW412/AW$425)+IF(AND(AW$7="חברה מנהלת",AW26&lt;&gt;""),+VLOOKUP(AW667,'פחתי מים לרשויות מצטרפות'!$A$6:$G$10,5,0)-VLOOKUP(AW19,'פחת מים וגביה'!$A:$D,3,0),0)</f>
        <v>0</v>
      </c>
      <c r="AX585" s="1049">
        <f>(+IF(AX563&gt;=2015,MAX(VLOOKUP(AX667,'פחתי מים לרשויות מצטרפות'!$A$6:$G$9,MAX($B$3-AX563,0)+3,0)-VLOOKUP(AX$1,'פחת מים וגביה'!$A:$D,3,0),0))*AX412/AX$425)+IF(AND(AX$7="חברה מנהלת",AX26&lt;&gt;""),+VLOOKUP(AX667,'פחתי מים לרשויות מצטרפות'!$A$6:$G$10,5,0)-VLOOKUP(AX19,'פחת מים וגביה'!$A:$D,3,0),0)</f>
        <v>0</v>
      </c>
      <c r="AY585" s="1049">
        <f>(+IF(AY563&gt;=2015,MAX(VLOOKUP(AY667,'פחתי מים לרשויות מצטרפות'!$A$6:$G$9,MAX($B$3-AY563,0)+3,0)-VLOOKUP(AY$1,'פחת מים וגביה'!$A:$D,3,0),0))*AY412/AY$425)+IF(AND(AY$7="חברה מנהלת",AY26&lt;&gt;""),+VLOOKUP(AY667,'פחתי מים לרשויות מצטרפות'!$A$6:$G$10,5,0)-VLOOKUP(AY19,'פחת מים וגביה'!$A:$D,3,0),0)</f>
        <v>0</v>
      </c>
      <c r="AZ585" s="1049">
        <f>(+IF(AZ563&gt;=2015,MAX(VLOOKUP(AZ667,'פחתי מים לרשויות מצטרפות'!$A$6:$G$9,MAX($B$3-AZ563,0)+3,0)-VLOOKUP(AZ$1,'פחת מים וגביה'!$A:$D,3,0),0))*AZ412/AZ$425)+IF(AND(AZ$7="חברה מנהלת",AZ26&lt;&gt;""),+VLOOKUP(AZ667,'פחתי מים לרשויות מצטרפות'!$A$6:$G$10,5,0)-VLOOKUP(AZ19,'פחת מים וגביה'!$A:$D,3,0),0)</f>
        <v>0</v>
      </c>
      <c r="BA585" s="1049">
        <f>(+IF(BA563&gt;=2015,MAX(VLOOKUP(BA667,'פחתי מים לרשויות מצטרפות'!$A$6:$G$9,MAX($B$3-BA563,0)+3,0)-VLOOKUP(BA$1,'פחת מים וגביה'!$A:$D,3,0),0))*BA412/BA$425)+IF(AND(BA$7="חברה מנהלת",BA26&lt;&gt;""),+VLOOKUP(BA667,'פחתי מים לרשויות מצטרפות'!$A$6:$G$10,5,0)-VLOOKUP(BA19,'פחת מים וגביה'!$A:$D,3,0),0)</f>
        <v>0</v>
      </c>
      <c r="BB585" s="1049">
        <f>(+IF(BB563&gt;=2015,MAX(VLOOKUP(BB667,'פחתי מים לרשויות מצטרפות'!$A$6:$G$9,MAX($B$3-BB563,0)+3,0)-VLOOKUP(BB$1,'פחת מים וגביה'!$A:$D,3,0),0))*BB412/BB$425)+IF(AND(BB$7="חברה מנהלת",BB26&lt;&gt;""),+VLOOKUP(BB667,'פחתי מים לרשויות מצטרפות'!$A$6:$G$10,5,0)-VLOOKUP(BB19,'פחת מים וגביה'!$A:$D,3,0),0)</f>
        <v>0</v>
      </c>
      <c r="BC585" s="1049">
        <f>(+IF(BC563&gt;=2015,MAX(VLOOKUP(BC667,'פחתי מים לרשויות מצטרפות'!$A$6:$G$9,MAX($B$3-BC563,0)+3,0)-VLOOKUP(BC$1,'פחת מים וגביה'!$A:$D,3,0),0))*BC412/BC$425)+IF(AND(BC$7="חברה מנהלת",BC26&lt;&gt;""),+VLOOKUP(BC667,'פחתי מים לרשויות מצטרפות'!$A$6:$G$10,5,0)-VLOOKUP(BC19,'פחת מים וגביה'!$A:$D,3,0),0)</f>
        <v>0</v>
      </c>
      <c r="BD585" s="1049">
        <f>(+IF(BD563&gt;=2015,MAX(VLOOKUP(BD667,'פחתי מים לרשויות מצטרפות'!$A$6:$G$9,MAX($B$3-BD563,0)+3,0)-VLOOKUP(BD$1,'פחת מים וגביה'!$A:$D,3,0),0))*BD412/BD$425)+IF(AND(BD$7="חברה מנהלת",BD26&lt;&gt;""),+VLOOKUP(BD667,'פחתי מים לרשויות מצטרפות'!$A$6:$G$10,5,0)-VLOOKUP(BD19,'פחת מים וגביה'!$A:$D,3,0),0)</f>
        <v>0</v>
      </c>
      <c r="BE585" s="1049">
        <f>(+IF(BE563&gt;=2015,MAX(VLOOKUP(BE667,'פחתי מים לרשויות מצטרפות'!$A$6:$G$9,MAX($B$3-BE563,0)+3,0)-VLOOKUP(BE$1,'פחת מים וגביה'!$A:$D,3,0),0))*BE412/BE$425)+IF(AND(BE$7="חברה מנהלת",BE26&lt;&gt;""),+VLOOKUP(BE667,'פחתי מים לרשויות מצטרפות'!$A$6:$G$10,5,0)-VLOOKUP(BE19,'פחת מים וגביה'!$A:$D,3,0),0)</f>
        <v>0</v>
      </c>
      <c r="BF585" s="1049">
        <f>(+IF(BF563&gt;=2015,MAX(VLOOKUP(BF667,'פחתי מים לרשויות מצטרפות'!$A$6:$G$9,MAX($B$3-BF563,0)+3,0)-VLOOKUP(BF$1,'פחת מים וגביה'!$A:$D,3,0),0))*BF412/BF$425)+IF(AND(BF$7="חברה מנהלת",BF26&lt;&gt;""),+VLOOKUP(BF667,'פחתי מים לרשויות מצטרפות'!$A$6:$G$10,5,0)-VLOOKUP(BF19,'פחת מים וגביה'!$A:$D,3,0),0)</f>
        <v>0</v>
      </c>
    </row>
    <row r="586" spans="1:58" x14ac:dyDescent="0.2">
      <c r="C586" s="1049">
        <f>(+IF(C564&gt;=2015,MAX(VLOOKUP(C668,'פחתי מים לרשויות מצטרפות'!$A$6:$G$9,MAX($B$3-C564,0)+3,0)-VLOOKUP(C$1,'פחת מים וגביה'!$A:$D,3,0),0))*C413/C$425)+IF(AND(C$7="חברה מנהלת",C27&lt;&gt;""),+VLOOKUP(C668,'פחתי מים לרשויות מצטרפות'!$A$6:$G$10,5,0)-VLOOKUP(C20,'פחת מים וגביה'!$A:$D,3,0),0)</f>
        <v>0</v>
      </c>
      <c r="D586" s="1049">
        <f>(+IF(D564&gt;=2015,MAX(VLOOKUP(D668,'פחתי מים לרשויות מצטרפות'!$A$6:$G$9,MAX($B$3-D564,0)+3,0)-VLOOKUP(D$1,'פחת מים וגביה'!$A:$D,3,0),0))*D413/D$425)+IF(AND(D$7="חברה מנהלת",D27&lt;&gt;""),+VLOOKUP(D668,'פחתי מים לרשויות מצטרפות'!$A$6:$G$10,5,0)-VLOOKUP(D20,'פחת מים וגביה'!$A:$D,3,0),0)</f>
        <v>0</v>
      </c>
      <c r="E586" s="1049">
        <f>(+IF(E564&gt;=2015,MAX(VLOOKUP(E668,'פחתי מים לרשויות מצטרפות'!$A$6:$G$9,MAX($B$3-E564,0)+3,0)-VLOOKUP(E$1,'פחת מים וגביה'!$A:$D,3,0),0))*E413/E$425)+IF(AND(E$7="חברה מנהלת",E27&lt;&gt;""),+VLOOKUP(E668,'פחתי מים לרשויות מצטרפות'!$A$6:$G$10,5,0)-VLOOKUP(E20,'פחת מים וגביה'!$A:$D,3,0),0)</f>
        <v>0</v>
      </c>
      <c r="F586" s="1049">
        <f>(+IF(F564&gt;=2015,MAX(VLOOKUP(F668,'פחתי מים לרשויות מצטרפות'!$A$6:$G$9,MAX($B$3-F564,0)+3,0)-VLOOKUP(F$1,'פחת מים וגביה'!$A:$D,3,0),0))*F413/F$425)+IF(AND(F$7="חברה מנהלת",F27&lt;&gt;""),+VLOOKUP(F668,'פחתי מים לרשויות מצטרפות'!$A$6:$G$10,5,0)-VLOOKUP(F20,'פחת מים וגביה'!$A:$D,3,0),0)</f>
        <v>0</v>
      </c>
      <c r="G586" s="1049">
        <f>(+IF(G564&gt;=2015,MAX(VLOOKUP(G668,'פחתי מים לרשויות מצטרפות'!$A$6:$G$9,MAX($B$3-G564,0)+3,0)-VLOOKUP(G$1,'פחת מים וגביה'!$A:$D,3,0),0))*G413/G$425)+IF(AND(G$7="חברה מנהלת",G27&lt;&gt;""),+VLOOKUP(G668,'פחתי מים לרשויות מצטרפות'!$A$6:$G$10,5,0)-VLOOKUP(G20,'פחת מים וגביה'!$A:$D,3,0),0)</f>
        <v>0</v>
      </c>
      <c r="H586" s="1049">
        <f>(+IF(H564&gt;=2015,MAX(VLOOKUP(H668,'פחתי מים לרשויות מצטרפות'!$A$6:$G$9,MAX($B$3-H564,0)+3,0)-VLOOKUP(H$1,'פחת מים וגביה'!$A:$D,3,0),0))*H413/H$425)+IF(AND(H$7="חברה מנהלת",H27&lt;&gt;""),+VLOOKUP(H668,'פחתי מים לרשויות מצטרפות'!$A$6:$G$10,5,0)-VLOOKUP(H20,'פחת מים וגביה'!$A:$D,3,0),0)</f>
        <v>0</v>
      </c>
      <c r="I586" s="1049">
        <f>(+IF(I564&gt;=2015,MAX(VLOOKUP(I668,'פחתי מים לרשויות מצטרפות'!$A$6:$G$9,MAX($B$3-I564,0)+3,0)-VLOOKUP(I$1,'פחת מים וגביה'!$A:$D,3,0),0))*I413/I$425)+IF(AND(I$7="חברה מנהלת",I27&lt;&gt;""),+VLOOKUP(I668,'פחתי מים לרשויות מצטרפות'!$A$6:$G$10,5,0)-VLOOKUP(I20,'פחת מים וגביה'!$A:$D,3,0),0)</f>
        <v>0</v>
      </c>
      <c r="J586" s="1049">
        <f>(+IF(J564&gt;=2015,MAX(VLOOKUP(J668,'פחתי מים לרשויות מצטרפות'!$A$6:$G$9,MAX($B$3-J564,0)+3,0)-VLOOKUP(J$1,'פחת מים וגביה'!$A:$D,3,0),0))*J413/J$425)+IF(AND(J$7="חברה מנהלת",J27&lt;&gt;""),+VLOOKUP(J668,'פחתי מים לרשויות מצטרפות'!$A$6:$G$10,5,0)-VLOOKUP(J20,'פחת מים וגביה'!$A:$D,3,0),0)</f>
        <v>0</v>
      </c>
      <c r="K586" s="1049">
        <f>(+IF(K564&gt;=2015,MAX(VLOOKUP(K668,'פחתי מים לרשויות מצטרפות'!$A$6:$G$9,MAX($B$3-K564,0)+3,0)-VLOOKUP(K$1,'פחת מים וגביה'!$A:$D,3,0),0))*K413/K$425)+IF(AND(K$7="חברה מנהלת",K27&lt;&gt;""),+VLOOKUP(K668,'פחתי מים לרשויות מצטרפות'!$A$6:$G$10,5,0)-VLOOKUP(K20,'פחת מים וגביה'!$A:$D,3,0),0)</f>
        <v>0</v>
      </c>
      <c r="L586" s="1049">
        <f>(+IF(L564&gt;=2015,MAX(VLOOKUP(L668,'פחתי מים לרשויות מצטרפות'!$A$6:$G$9,MAX($B$3-L564,0)+3,0)-VLOOKUP(L$1,'פחת מים וגביה'!$A:$D,3,0),0))*L413/L$425)+IF(AND(L$7="חברה מנהלת",L27&lt;&gt;""),+VLOOKUP(L668,'פחתי מים לרשויות מצטרפות'!$A$6:$G$10,5,0)-VLOOKUP(L20,'פחת מים וגביה'!$A:$D,3,0),0)</f>
        <v>0</v>
      </c>
      <c r="M586" s="1049">
        <f>(+IF(M564&gt;=2015,MAX(VLOOKUP(M668,'פחתי מים לרשויות מצטרפות'!$A$6:$G$9,MAX($B$3-M564,0)+3,0)-VLOOKUP(M$1,'פחת מים וגביה'!$A:$D,3,0),0))*M413/M$425)+IF(AND(M$7="חברה מנהלת",M27&lt;&gt;""),+VLOOKUP(M668,'פחתי מים לרשויות מצטרפות'!$A$6:$G$10,5,0)-VLOOKUP(M20,'פחת מים וגביה'!$A:$D,3,0),0)</f>
        <v>0</v>
      </c>
      <c r="N586" s="1049">
        <f>(+IF(N564&gt;=2015,MAX(VLOOKUP(N668,'פחתי מים לרשויות מצטרפות'!$A$6:$G$9,MAX($B$3-N564,0)+3,0)-VLOOKUP(N$1,'פחת מים וגביה'!$A:$D,3,0),0))*N413/N$425)+IF(AND(N$7="חברה מנהלת",N27&lt;&gt;""),+VLOOKUP(N668,'פחתי מים לרשויות מצטרפות'!$A$6:$G$10,5,0)-VLOOKUP(N20,'פחת מים וגביה'!$A:$D,3,0),0)</f>
        <v>0</v>
      </c>
      <c r="O586" s="1049">
        <f>(+IF(O564&gt;=2015,MAX(VLOOKUP(O668,'פחתי מים לרשויות מצטרפות'!$A$6:$G$9,MAX($B$3-O564,0)+3,0)-VLOOKUP(O$1,'פחת מים וגביה'!$A:$D,3,0),0))*O413/O$425)+IF(AND(O$7="חברה מנהלת",O27&lt;&gt;""),+VLOOKUP(O668,'פחתי מים לרשויות מצטרפות'!$A$6:$G$10,5,0)-VLOOKUP(O20,'פחת מים וגביה'!$A:$D,3,0),0)</f>
        <v>0</v>
      </c>
      <c r="P586" s="1049">
        <f>(+IF(P564&gt;=2015,MAX(VLOOKUP(P668,'פחתי מים לרשויות מצטרפות'!$A$6:$G$9,MAX($B$3-P564,0)+3,0)-VLOOKUP(P$1,'פחת מים וגביה'!$A:$D,3,0),0))*P413/P$425)+IF(AND(P$7="חברה מנהלת",P27&lt;&gt;""),+VLOOKUP(P668,'פחתי מים לרשויות מצטרפות'!$A$6:$G$10,5,0)-VLOOKUP(P20,'פחת מים וגביה'!$A:$D,3,0),0)</f>
        <v>0</v>
      </c>
      <c r="Q586" s="1049">
        <f>(+IF(Q564&gt;=2015,MAX(VLOOKUP(Q668,'פחתי מים לרשויות מצטרפות'!$A$6:$G$9,MAX($B$3-Q564,0)+3,0)-VLOOKUP(Q$1,'פחת מים וגביה'!$A:$D,3,0),0))*Q413/Q$425)+IF(AND(Q$7="חברה מנהלת",Q27&lt;&gt;""),+VLOOKUP(Q668,'פחתי מים לרשויות מצטרפות'!$A$6:$G$10,5,0)-VLOOKUP(Q20,'פחת מים וגביה'!$A:$D,3,0),0)</f>
        <v>0</v>
      </c>
      <c r="R586" s="1049">
        <f>(+IF(R564&gt;=2015,MAX(VLOOKUP(R668,'פחתי מים לרשויות מצטרפות'!$A$6:$G$9,MAX($B$3-R564,0)+3,0)-VLOOKUP(R$1,'פחת מים וגביה'!$A:$D,3,0),0))*R413/R$425)+IF(AND(R$7="חברה מנהלת",R27&lt;&gt;""),+VLOOKUP(R668,'פחתי מים לרשויות מצטרפות'!$A$6:$G$10,5,0)-VLOOKUP(R20,'פחת מים וגביה'!$A:$D,3,0),0)</f>
        <v>0</v>
      </c>
      <c r="S586" s="1049">
        <f>(+IF(S564&gt;=2015,MAX(VLOOKUP(S668,'פחתי מים לרשויות מצטרפות'!$A$6:$G$9,MAX($B$3-S564,0)+3,0)-VLOOKUP(S$1,'פחת מים וגביה'!$A:$D,3,0),0))*S413/S$425)+IF(AND(S$7="חברה מנהלת",S27&lt;&gt;""),+VLOOKUP(S668,'פחתי מים לרשויות מצטרפות'!$A$6:$G$10,5,0)-VLOOKUP(S20,'פחת מים וגביה'!$A:$D,3,0),0)</f>
        <v>0</v>
      </c>
      <c r="T586" s="1049">
        <f>(+IF(T564&gt;=2015,MAX(VLOOKUP(T668,'פחתי מים לרשויות מצטרפות'!$A$6:$G$9,MAX($B$3-T564,0)+3,0)-VLOOKUP(T$1,'פחת מים וגביה'!$A:$D,3,0),0))*T413/T$425)+IF(AND(T$7="חברה מנהלת",T27&lt;&gt;""),+VLOOKUP(T668,'פחתי מים לרשויות מצטרפות'!$A$6:$G$10,5,0)-VLOOKUP(T20,'פחת מים וגביה'!$A:$D,3,0),0)</f>
        <v>0</v>
      </c>
      <c r="U586" s="1049">
        <f>(+IF(U564&gt;=2015,MAX(VLOOKUP(U668,'פחתי מים לרשויות מצטרפות'!$A$6:$G$9,MAX($B$3-U564,0)+3,0)-VLOOKUP(U$1,'פחת מים וגביה'!$A:$D,3,0),0))*U413/U$425)+IF(AND(U$7="חברה מנהלת",U27&lt;&gt;""),+VLOOKUP(U668,'פחתי מים לרשויות מצטרפות'!$A$6:$G$10,5,0)-VLOOKUP(U20,'פחת מים וגביה'!$A:$D,3,0),0)</f>
        <v>0</v>
      </c>
      <c r="V586" s="1049">
        <f>(+IF(V564&gt;=2015,MAX(VLOOKUP(V668,'פחתי מים לרשויות מצטרפות'!$A$6:$G$9,MAX($B$3-V564,0)+3,0)-VLOOKUP(V$1,'פחת מים וגביה'!$A:$D,3,0),0))*V413/V$425)+IF(AND(V$7="חברה מנהלת",V27&lt;&gt;""),+VLOOKUP(V668,'פחתי מים לרשויות מצטרפות'!$A$6:$G$10,5,0)-VLOOKUP(V20,'פחת מים וגביה'!$A:$D,3,0),0)</f>
        <v>0</v>
      </c>
      <c r="W586" s="1049">
        <f>(+IF(W564&gt;=2015,MAX(VLOOKUP(W668,'פחתי מים לרשויות מצטרפות'!$A$6:$G$9,MAX($B$3-W564,0)+3,0)-VLOOKUP(W$1,'פחת מים וגביה'!$A:$D,3,0),0))*W413/W$425)+IF(AND(W$7="חברה מנהלת",W27&lt;&gt;""),+VLOOKUP(W668,'פחתי מים לרשויות מצטרפות'!$A$6:$G$10,5,0)-VLOOKUP(W20,'פחת מים וגביה'!$A:$D,3,0),0)</f>
        <v>0</v>
      </c>
      <c r="X586" s="1049">
        <f>(+IF(X564&gt;=2015,MAX(VLOOKUP(X668,'פחתי מים לרשויות מצטרפות'!$A$6:$G$9,MAX($B$3-X564,0)+3,0)-VLOOKUP(X$1,'פחת מים וגביה'!$A:$D,3,0),0))*X413/X$425)+IF(AND(X$7="חברה מנהלת",X27&lt;&gt;""),+VLOOKUP(X668,'פחתי מים לרשויות מצטרפות'!$A$6:$G$10,5,0)-VLOOKUP(X20,'פחת מים וגביה'!$A:$D,3,0),0)</f>
        <v>0</v>
      </c>
      <c r="Y586" s="1049">
        <f>(+IF(Y564&gt;=2015,MAX(VLOOKUP(Y668,'פחתי מים לרשויות מצטרפות'!$A$6:$G$9,MAX($B$3-Y564,0)+3,0)-VLOOKUP(Y$1,'פחת מים וגביה'!$A:$D,3,0),0))*Y413/Y$425)+IF(AND(Y$7="חברה מנהלת",Y27&lt;&gt;""),+VLOOKUP(Y668,'פחתי מים לרשויות מצטרפות'!$A$6:$G$10,5,0)-VLOOKUP(Y20,'פחת מים וגביה'!$A:$D,3,0),0)</f>
        <v>0</v>
      </c>
      <c r="Z586" s="1049">
        <f>(+IF(Z564&gt;=2015,MAX(VLOOKUP(Z668,'פחתי מים לרשויות מצטרפות'!$A$6:$G$9,MAX($B$3-Z564,0)+3,0)-VLOOKUP(Z$1,'פחת מים וגביה'!$A:$D,3,0),0))*Z413/Z$425)+IF(AND(Z$7="חברה מנהלת",Z27&lt;&gt;""),+VLOOKUP(Z668,'פחתי מים לרשויות מצטרפות'!$A$6:$G$10,5,0)-VLOOKUP(Z20,'פחת מים וגביה'!$A:$D,3,0),0)</f>
        <v>0</v>
      </c>
      <c r="AA586" s="1049">
        <f>(+IF(AA564&gt;=2015,MAX(VLOOKUP(AA668,'פחתי מים לרשויות מצטרפות'!$A$6:$G$9,MAX($B$3-AA564,0)+3,0)-VLOOKUP(AA$1,'פחת מים וגביה'!$A:$D,3,0),0))*AA413/AA$425)+IF(AND(AA$7="חברה מנהלת",AA27&lt;&gt;""),+VLOOKUP(AA668,'פחתי מים לרשויות מצטרפות'!$A$6:$G$10,5,0)-VLOOKUP(AA20,'פחת מים וגביה'!$A:$D,3,0),0)</f>
        <v>0</v>
      </c>
      <c r="AB586" s="1049">
        <f>(+IF(AB564&gt;=2015,MAX(VLOOKUP(AB668,'פחתי מים לרשויות מצטרפות'!$A$6:$G$9,MAX($B$3-AB564,0)+3,0)-VLOOKUP(AB$1,'פחת מים וגביה'!$A:$D,3,0),0))*AB413/AB$425)+IF(AND(AB$7="חברה מנהלת",AB27&lt;&gt;""),+VLOOKUP(AB668,'פחתי מים לרשויות מצטרפות'!$A$6:$G$10,5,0)-VLOOKUP(AB20,'פחת מים וגביה'!$A:$D,3,0),0)</f>
        <v>0</v>
      </c>
      <c r="AC586" s="1049">
        <f>(+IF(AC564&gt;=2015,MAX(VLOOKUP(AC668,'פחתי מים לרשויות מצטרפות'!$A$6:$G$9,MAX($B$3-AC564,0)+3,0)-VLOOKUP(AC$1,'פחת מים וגביה'!$A:$D,3,0),0))*AC413/AC$425)+IF(AND(AC$7="חברה מנהלת",AC27&lt;&gt;""),+VLOOKUP(AC668,'פחתי מים לרשויות מצטרפות'!$A$6:$G$10,5,0)-VLOOKUP(AC20,'פחת מים וגביה'!$A:$D,3,0),0)</f>
        <v>0</v>
      </c>
      <c r="AD586" s="1049">
        <f>(+IF(AD564&gt;=2015,MAX(VLOOKUP(AD668,'פחתי מים לרשויות מצטרפות'!$A$6:$G$9,MAX($B$3-AD564,0)+3,0)-VLOOKUP(AD$1,'פחת מים וגביה'!$A:$D,3,0),0))*AD413/AD$425)+IF(AND(AD$7="חברה מנהלת",AD27&lt;&gt;""),+VLOOKUP(AD668,'פחתי מים לרשויות מצטרפות'!$A$6:$G$10,5,0)-VLOOKUP(AD20,'פחת מים וגביה'!$A:$D,3,0),0)</f>
        <v>0</v>
      </c>
      <c r="AE586" s="1049">
        <f>(+IF(AE564&gt;=2015,MAX(VLOOKUP(AE668,'פחתי מים לרשויות מצטרפות'!$A$6:$G$9,MAX($B$3-AE564,0)+3,0)-VLOOKUP(AE$1,'פחת מים וגביה'!$A:$D,3,0),0))*AE413/AE$425)+IF(AND(AE$7="חברה מנהלת",AE27&lt;&gt;""),+VLOOKUP(AE668,'פחתי מים לרשויות מצטרפות'!$A$6:$G$10,5,0)-VLOOKUP(AE20,'פחת מים וגביה'!$A:$D,3,0),0)</f>
        <v>0</v>
      </c>
      <c r="AF586" s="1049">
        <f>(+IF(AF564&gt;=2015,MAX(VLOOKUP(AF668,'פחתי מים לרשויות מצטרפות'!$A$6:$G$9,MAX($B$3-AF564,0)+3,0)-VLOOKUP(AF$1,'פחת מים וגביה'!$A:$D,3,0),0))*AF413/AF$425)+IF(AND(AF$7="חברה מנהלת",AF27&lt;&gt;""),+VLOOKUP(AF668,'פחתי מים לרשויות מצטרפות'!$A$6:$G$10,5,0)-VLOOKUP(AF20,'פחת מים וגביה'!$A:$D,3,0),0)</f>
        <v>0</v>
      </c>
      <c r="AG586" s="1049">
        <f>(+IF(AG564&gt;=2015,MAX(VLOOKUP(AG668,'פחתי מים לרשויות מצטרפות'!$A$6:$G$9,MAX($B$3-AG564,0)+3,0)-VLOOKUP(AG$1,'פחת מים וגביה'!$A:$D,3,0),0))*AG413/AG$425)+IF(AND(AG$7="חברה מנהלת",AG27&lt;&gt;""),+VLOOKUP(AG668,'פחתי מים לרשויות מצטרפות'!$A$6:$G$10,5,0)-VLOOKUP(AG20,'פחת מים וגביה'!$A:$D,3,0),0)</f>
        <v>0</v>
      </c>
      <c r="AH586" s="1049">
        <f>(+IF(AH564&gt;=2015,MAX(VLOOKUP(AH668,'פחתי מים לרשויות מצטרפות'!$A$6:$G$9,MAX($B$3-AH564,0)+3,0)-VLOOKUP(AH$1,'פחת מים וגביה'!$A:$D,3,0),0))*AH413/AH$425)+IF(AND(AH$7="חברה מנהלת",AH27&lt;&gt;""),+VLOOKUP(AH668,'פחתי מים לרשויות מצטרפות'!$A$6:$G$10,5,0)-VLOOKUP(AH20,'פחת מים וגביה'!$A:$D,3,0),0)</f>
        <v>0</v>
      </c>
      <c r="AI586" s="1049">
        <f>(+IF(AI564&gt;=2015,MAX(VLOOKUP(AI668,'פחתי מים לרשויות מצטרפות'!$A$6:$G$9,MAX($B$3-AI564,0)+3,0)-VLOOKUP(AI$1,'פחת מים וגביה'!$A:$D,3,0),0))*AI413/AI$425)+IF(AND(AI$7="חברה מנהלת",AI27&lt;&gt;""),+VLOOKUP(AI668,'פחתי מים לרשויות מצטרפות'!$A$6:$G$10,5,0)-VLOOKUP(AI20,'פחת מים וגביה'!$A:$D,3,0),0)</f>
        <v>0</v>
      </c>
      <c r="AJ586" s="1049">
        <f>(+IF(AJ564&gt;=2015,MAX(VLOOKUP(AJ668,'פחתי מים לרשויות מצטרפות'!$A$6:$G$9,MAX($B$3-AJ564,0)+3,0)-VLOOKUP(AJ$1,'פחת מים וגביה'!$A:$D,3,0),0))*AJ413/AJ$425)+IF(AND(AJ$7="חברה מנהלת",AJ27&lt;&gt;""),+VLOOKUP(AJ668,'פחתי מים לרשויות מצטרפות'!$A$6:$G$10,5,0)-VLOOKUP(AJ20,'פחת מים וגביה'!$A:$D,3,0),0)</f>
        <v>0</v>
      </c>
      <c r="AK586" s="1049">
        <f>(+IF(AK564&gt;=2015,MAX(VLOOKUP(AK668,'פחתי מים לרשויות מצטרפות'!$A$6:$G$9,MAX($B$3-AK564,0)+3,0)-VLOOKUP(AK$1,'פחת מים וגביה'!$A:$D,3,0),0))*AK413/AK$425)+IF(AND(AK$7="חברה מנהלת",AK27&lt;&gt;""),+VLOOKUP(AK668,'פחתי מים לרשויות מצטרפות'!$A$6:$G$10,5,0)-VLOOKUP(AK20,'פחת מים וגביה'!$A:$D,3,0),0)</f>
        <v>0</v>
      </c>
      <c r="AL586" s="1049">
        <f>(+IF(AL564&gt;=2015,MAX(VLOOKUP(AL668,'פחתי מים לרשויות מצטרפות'!$A$6:$G$9,MAX($B$3-AL564,0)+3,0)-VLOOKUP(AL$1,'פחת מים וגביה'!$A:$D,3,0),0))*AL413/AL$425)+IF(AND(AL$7="חברה מנהלת",AL27&lt;&gt;""),+VLOOKUP(AL668,'פחתי מים לרשויות מצטרפות'!$A$6:$G$10,5,0)-VLOOKUP(AL20,'פחת מים וגביה'!$A:$D,3,0),0)</f>
        <v>0</v>
      </c>
      <c r="AM586" s="1049">
        <f>(+IF(AM564&gt;=2015,MAX(VLOOKUP(AM668,'פחתי מים לרשויות מצטרפות'!$A$6:$G$9,MAX($B$3-AM564,0)+3,0)-VLOOKUP(AM$1,'פחת מים וגביה'!$A:$D,3,0),0))*AM413/AM$425)+IF(AND(AM$7="חברה מנהלת",AM27&lt;&gt;""),+VLOOKUP(AM668,'פחתי מים לרשויות מצטרפות'!$A$6:$G$10,5,0)-VLOOKUP(AM20,'פחת מים וגביה'!$A:$D,3,0),0)</f>
        <v>0</v>
      </c>
      <c r="AN586" s="1049">
        <f>(+IF(AN564&gt;=2015,MAX(VLOOKUP(AN668,'פחתי מים לרשויות מצטרפות'!$A$6:$G$9,MAX($B$3-AN564,0)+3,0)-VLOOKUP(AN$1,'פחת מים וגביה'!$A:$D,3,0),0))*AN413/AN$425)+IF(AND(AN$7="חברה מנהלת",AN27&lt;&gt;""),+VLOOKUP(AN668,'פחתי מים לרשויות מצטרפות'!$A$6:$G$10,5,0)-VLOOKUP(AN20,'פחת מים וגביה'!$A:$D,3,0),0)</f>
        <v>0</v>
      </c>
      <c r="AO586" s="1049">
        <f>(+IF(AO564&gt;=2015,MAX(VLOOKUP(AO668,'פחתי מים לרשויות מצטרפות'!$A$6:$G$9,MAX($B$3-AO564,0)+3,0)-VLOOKUP(AO$1,'פחת מים וגביה'!$A:$D,3,0),0))*AO413/AO$425)+IF(AND(AO$7="חברה מנהלת",AO27&lt;&gt;""),+VLOOKUP(AO668,'פחתי מים לרשויות מצטרפות'!$A$6:$G$10,5,0)-VLOOKUP(AO20,'פחת מים וגביה'!$A:$D,3,0),0)</f>
        <v>0</v>
      </c>
      <c r="AP586" s="1049">
        <f>(+IF(AP564&gt;=2015,MAX(VLOOKUP(AP668,'פחתי מים לרשויות מצטרפות'!$A$6:$G$9,MAX($B$3-AP564,0)+3,0)-VLOOKUP(AP$1,'פחת מים וגביה'!$A:$D,3,0),0))*AP413/AP$425)+IF(AND(AP$7="חברה מנהלת",AP27&lt;&gt;""),+VLOOKUP(AP668,'פחתי מים לרשויות מצטרפות'!$A$6:$G$10,5,0)-VLOOKUP(AP20,'פחת מים וגביה'!$A:$D,3,0),0)</f>
        <v>0</v>
      </c>
      <c r="AQ586" s="1049">
        <f>(+IF(AQ564&gt;=2015,MAX(VLOOKUP(AQ668,'פחתי מים לרשויות מצטרפות'!$A$6:$G$9,MAX($B$3-AQ564,0)+3,0)-VLOOKUP(AQ$1,'פחת מים וגביה'!$A:$D,3,0),0))*AQ413/AQ$425)+IF(AND(AQ$7="חברה מנהלת",AQ27&lt;&gt;""),+VLOOKUP(AQ668,'פחתי מים לרשויות מצטרפות'!$A$6:$G$10,5,0)-VLOOKUP(AQ20,'פחת מים וגביה'!$A:$D,3,0),0)</f>
        <v>0</v>
      </c>
      <c r="AR586" s="1049">
        <f>(+IF(AR564&gt;=2015,MAX(VLOOKUP(AR668,'פחתי מים לרשויות מצטרפות'!$A$6:$G$9,MAX($B$3-AR564,0)+3,0)-VLOOKUP(AR$1,'פחת מים וגביה'!$A:$D,3,0),0))*AR413/AR$425)+IF(AND(AR$7="חברה מנהלת",AR27&lt;&gt;""),+VLOOKUP(AR668,'פחתי מים לרשויות מצטרפות'!$A$6:$G$10,5,0)-VLOOKUP(AR20,'פחת מים וגביה'!$A:$D,3,0),0)</f>
        <v>0</v>
      </c>
      <c r="AS586" s="1049">
        <f>(+IF(AS564&gt;=2015,MAX(VLOOKUP(AS668,'פחתי מים לרשויות מצטרפות'!$A$6:$G$9,MAX($B$3-AS564,0)+3,0)-VLOOKUP(AS$1,'פחת מים וגביה'!$A:$D,3,0),0))*AS413/AS$425)+IF(AND(AS$7="חברה מנהלת",AS27&lt;&gt;""),+VLOOKUP(AS668,'פחתי מים לרשויות מצטרפות'!$A$6:$G$10,5,0)-VLOOKUP(AS20,'פחת מים וגביה'!$A:$D,3,0),0)</f>
        <v>0</v>
      </c>
      <c r="AT586" s="1049">
        <f>(+IF(AT564&gt;=2015,MAX(VLOOKUP(AT668,'פחתי מים לרשויות מצטרפות'!$A$6:$G$9,MAX($B$3-AT564,0)+3,0)-VLOOKUP(AT$1,'פחת מים וגביה'!$A:$D,3,0),0))*AT413/AT$425)+IF(AND(AT$7="חברה מנהלת",AT27&lt;&gt;""),+VLOOKUP(AT668,'פחתי מים לרשויות מצטרפות'!$A$6:$G$10,5,0)-VLOOKUP(AT20,'פחת מים וגביה'!$A:$D,3,0),0)</f>
        <v>0</v>
      </c>
      <c r="AU586" s="1049">
        <f>(+IF(AU564&gt;=2015,MAX(VLOOKUP(AU668,'פחתי מים לרשויות מצטרפות'!$A$6:$G$9,MAX($B$3-AU564,0)+3,0)-VLOOKUP(AU$1,'פחת מים וגביה'!$A:$D,3,0),0))*AU413/AU$425)+IF(AND(AU$7="חברה מנהלת",AU27&lt;&gt;""),+VLOOKUP(AU668,'פחתי מים לרשויות מצטרפות'!$A$6:$G$10,5,0)-VLOOKUP(AU20,'פחת מים וגביה'!$A:$D,3,0),0)</f>
        <v>0</v>
      </c>
      <c r="AV586" s="1049">
        <f>(+IF(AV564&gt;=2015,MAX(VLOOKUP(AV668,'פחתי מים לרשויות מצטרפות'!$A$6:$G$9,MAX($B$3-AV564,0)+3,0)-VLOOKUP(AV$1,'פחת מים וגביה'!$A:$D,3,0),0))*AV413/AV$425)+IF(AND(AV$7="חברה מנהלת",AV27&lt;&gt;""),+VLOOKUP(AV668,'פחתי מים לרשויות מצטרפות'!$A$6:$G$10,5,0)-VLOOKUP(AV20,'פחת מים וגביה'!$A:$D,3,0),0)</f>
        <v>0</v>
      </c>
      <c r="AW586" s="1049">
        <f>(+IF(AW564&gt;=2015,MAX(VLOOKUP(AW668,'פחתי מים לרשויות מצטרפות'!$A$6:$G$9,MAX($B$3-AW564,0)+3,0)-VLOOKUP(AW$1,'פחת מים וגביה'!$A:$D,3,0),0))*AW413/AW$425)+IF(AND(AW$7="חברה מנהלת",AW27&lt;&gt;""),+VLOOKUP(AW668,'פחתי מים לרשויות מצטרפות'!$A$6:$G$10,5,0)-VLOOKUP(AW20,'פחת מים וגביה'!$A:$D,3,0),0)</f>
        <v>0</v>
      </c>
      <c r="AX586" s="1049">
        <f>(+IF(AX564&gt;=2015,MAX(VLOOKUP(AX668,'פחתי מים לרשויות מצטרפות'!$A$6:$G$9,MAX($B$3-AX564,0)+3,0)-VLOOKUP(AX$1,'פחת מים וגביה'!$A:$D,3,0),0))*AX413/AX$425)+IF(AND(AX$7="חברה מנהלת",AX27&lt;&gt;""),+VLOOKUP(AX668,'פחתי מים לרשויות מצטרפות'!$A$6:$G$10,5,0)-VLOOKUP(AX20,'פחת מים וגביה'!$A:$D,3,0),0)</f>
        <v>0</v>
      </c>
      <c r="AY586" s="1049">
        <f>(+IF(AY564&gt;=2015,MAX(VLOOKUP(AY668,'פחתי מים לרשויות מצטרפות'!$A$6:$G$9,MAX($B$3-AY564,0)+3,0)-VLOOKUP(AY$1,'פחת מים וגביה'!$A:$D,3,0),0))*AY413/AY$425)+IF(AND(AY$7="חברה מנהלת",AY27&lt;&gt;""),+VLOOKUP(AY668,'פחתי מים לרשויות מצטרפות'!$A$6:$G$10,5,0)-VLOOKUP(AY20,'פחת מים וגביה'!$A:$D,3,0),0)</f>
        <v>0</v>
      </c>
      <c r="AZ586" s="1049">
        <f>(+IF(AZ564&gt;=2015,MAX(VLOOKUP(AZ668,'פחתי מים לרשויות מצטרפות'!$A$6:$G$9,MAX($B$3-AZ564,0)+3,0)-VLOOKUP(AZ$1,'פחת מים וגביה'!$A:$D,3,0),0))*AZ413/AZ$425)+IF(AND(AZ$7="חברה מנהלת",AZ27&lt;&gt;""),+VLOOKUP(AZ668,'פחתי מים לרשויות מצטרפות'!$A$6:$G$10,5,0)-VLOOKUP(AZ20,'פחת מים וגביה'!$A:$D,3,0),0)</f>
        <v>0</v>
      </c>
      <c r="BA586" s="1049">
        <f>(+IF(BA564&gt;=2015,MAX(VLOOKUP(BA668,'פחתי מים לרשויות מצטרפות'!$A$6:$G$9,MAX($B$3-BA564,0)+3,0)-VLOOKUP(BA$1,'פחת מים וגביה'!$A:$D,3,0),0))*BA413/BA$425)+IF(AND(BA$7="חברה מנהלת",BA27&lt;&gt;""),+VLOOKUP(BA668,'פחתי מים לרשויות מצטרפות'!$A$6:$G$10,5,0)-VLOOKUP(BA20,'פחת מים וגביה'!$A:$D,3,0),0)</f>
        <v>0</v>
      </c>
      <c r="BB586" s="1049">
        <f>(+IF(BB564&gt;=2015,MAX(VLOOKUP(BB668,'פחתי מים לרשויות מצטרפות'!$A$6:$G$9,MAX($B$3-BB564,0)+3,0)-VLOOKUP(BB$1,'פחת מים וגביה'!$A:$D,3,0),0))*BB413/BB$425)+IF(AND(BB$7="חברה מנהלת",BB27&lt;&gt;""),+VLOOKUP(BB668,'פחתי מים לרשויות מצטרפות'!$A$6:$G$10,5,0)-VLOOKUP(BB20,'פחת מים וגביה'!$A:$D,3,0),0)</f>
        <v>0</v>
      </c>
      <c r="BC586" s="1049">
        <f>(+IF(BC564&gt;=2015,MAX(VLOOKUP(BC668,'פחתי מים לרשויות מצטרפות'!$A$6:$G$9,MAX($B$3-BC564,0)+3,0)-VLOOKUP(BC$1,'פחת מים וגביה'!$A:$D,3,0),0))*BC413/BC$425)+IF(AND(BC$7="חברה מנהלת",BC27&lt;&gt;""),+VLOOKUP(BC668,'פחתי מים לרשויות מצטרפות'!$A$6:$G$10,5,0)-VLOOKUP(BC20,'פחת מים וגביה'!$A:$D,3,0),0)</f>
        <v>0</v>
      </c>
      <c r="BD586" s="1049">
        <f>(+IF(BD564&gt;=2015,MAX(VLOOKUP(BD668,'פחתי מים לרשויות מצטרפות'!$A$6:$G$9,MAX($B$3-BD564,0)+3,0)-VLOOKUP(BD$1,'פחת מים וגביה'!$A:$D,3,0),0))*BD413/BD$425)+IF(AND(BD$7="חברה מנהלת",BD27&lt;&gt;""),+VLOOKUP(BD668,'פחתי מים לרשויות מצטרפות'!$A$6:$G$10,5,0)-VLOOKUP(BD20,'פחת מים וגביה'!$A:$D,3,0),0)</f>
        <v>0</v>
      </c>
      <c r="BE586" s="1049">
        <f>(+IF(BE564&gt;=2015,MAX(VLOOKUP(BE668,'פחתי מים לרשויות מצטרפות'!$A$6:$G$9,MAX($B$3-BE564,0)+3,0)-VLOOKUP(BE$1,'פחת מים וגביה'!$A:$D,3,0),0))*BE413/BE$425)+IF(AND(BE$7="חברה מנהלת",BE27&lt;&gt;""),+VLOOKUP(BE668,'פחתי מים לרשויות מצטרפות'!$A$6:$G$10,5,0)-VLOOKUP(BE20,'פחת מים וגביה'!$A:$D,3,0),0)</f>
        <v>0</v>
      </c>
      <c r="BF586" s="1049">
        <f>(+IF(BF564&gt;=2015,MAX(VLOOKUP(BF668,'פחתי מים לרשויות מצטרפות'!$A$6:$G$9,MAX($B$3-BF564,0)+3,0)-VLOOKUP(BF$1,'פחת מים וגביה'!$A:$D,3,0),0))*BF413/BF$425)+IF(AND(BF$7="חברה מנהלת",BF27&lt;&gt;""),+VLOOKUP(BF668,'פחתי מים לרשויות מצטרפות'!$A$6:$G$10,5,0)-VLOOKUP(BF20,'פחת מים וגביה'!$A:$D,3,0),0)</f>
        <v>0</v>
      </c>
    </row>
    <row r="588" spans="1:58" x14ac:dyDescent="0.2">
      <c r="A588" s="1228" t="s">
        <v>2071</v>
      </c>
      <c r="C588" s="44">
        <f>SUM(C567:C586)</f>
        <v>0</v>
      </c>
      <c r="D588" s="1049">
        <f>SUM(D567:D586)</f>
        <v>2.6259340126152352E-2</v>
      </c>
      <c r="E588" s="44">
        <f t="shared" ref="E588:BE588" si="121">SUM(E567:E586)</f>
        <v>0</v>
      </c>
      <c r="F588" s="44">
        <f t="shared" si="121"/>
        <v>0</v>
      </c>
      <c r="G588" s="44">
        <f t="shared" si="121"/>
        <v>0</v>
      </c>
      <c r="H588" s="44">
        <f t="shared" si="121"/>
        <v>0</v>
      </c>
      <c r="I588" s="44">
        <f t="shared" si="121"/>
        <v>0</v>
      </c>
      <c r="J588" s="44">
        <f t="shared" si="121"/>
        <v>0</v>
      </c>
      <c r="K588" s="44">
        <f t="shared" si="121"/>
        <v>0</v>
      </c>
      <c r="L588" s="44">
        <f t="shared" si="121"/>
        <v>0</v>
      </c>
      <c r="M588" s="44">
        <f t="shared" si="121"/>
        <v>0</v>
      </c>
      <c r="N588" s="44">
        <f t="shared" si="121"/>
        <v>0</v>
      </c>
      <c r="O588" s="44">
        <f t="shared" si="121"/>
        <v>0</v>
      </c>
      <c r="P588" s="44">
        <f t="shared" si="121"/>
        <v>0</v>
      </c>
      <c r="Q588" s="44">
        <f t="shared" si="121"/>
        <v>0</v>
      </c>
      <c r="R588" s="44">
        <f t="shared" si="121"/>
        <v>0</v>
      </c>
      <c r="S588" s="44">
        <f t="shared" si="121"/>
        <v>0</v>
      </c>
      <c r="T588" s="44">
        <f t="shared" si="121"/>
        <v>3.9519259522961918E-3</v>
      </c>
      <c r="U588" s="44">
        <f t="shared" si="121"/>
        <v>0</v>
      </c>
      <c r="V588" s="44">
        <f t="shared" si="121"/>
        <v>0</v>
      </c>
      <c r="W588" s="44">
        <f t="shared" si="121"/>
        <v>1.1782058572647146E-3</v>
      </c>
      <c r="X588" s="44">
        <f t="shared" si="121"/>
        <v>0</v>
      </c>
      <c r="Y588" s="44">
        <f t="shared" si="121"/>
        <v>0</v>
      </c>
      <c r="Z588" s="44">
        <f t="shared" si="121"/>
        <v>0</v>
      </c>
      <c r="AA588" s="44">
        <f t="shared" si="121"/>
        <v>0</v>
      </c>
      <c r="AB588" s="44">
        <f t="shared" si="121"/>
        <v>0</v>
      </c>
      <c r="AC588" s="44">
        <f t="shared" si="121"/>
        <v>0</v>
      </c>
      <c r="AD588" s="44">
        <f t="shared" si="121"/>
        <v>0</v>
      </c>
      <c r="AE588" s="44">
        <f t="shared" si="121"/>
        <v>0</v>
      </c>
      <c r="AF588" s="44">
        <f t="shared" si="121"/>
        <v>0</v>
      </c>
      <c r="AG588" s="44">
        <f t="shared" si="121"/>
        <v>0</v>
      </c>
      <c r="AH588" s="44">
        <f t="shared" si="121"/>
        <v>0</v>
      </c>
      <c r="AI588" s="44">
        <f t="shared" si="121"/>
        <v>0</v>
      </c>
      <c r="AJ588" s="44">
        <f t="shared" si="121"/>
        <v>0</v>
      </c>
      <c r="AK588" s="44">
        <f t="shared" si="121"/>
        <v>0</v>
      </c>
      <c r="AL588" s="44">
        <f t="shared" si="121"/>
        <v>0</v>
      </c>
      <c r="AM588" s="44">
        <f t="shared" si="121"/>
        <v>0</v>
      </c>
      <c r="AN588" s="44">
        <f t="shared" si="121"/>
        <v>0</v>
      </c>
      <c r="AO588" s="44">
        <f t="shared" si="121"/>
        <v>0</v>
      </c>
      <c r="AP588" s="44">
        <f t="shared" si="121"/>
        <v>0</v>
      </c>
      <c r="AQ588" s="44">
        <f t="shared" si="121"/>
        <v>0</v>
      </c>
      <c r="AR588" s="44">
        <f t="shared" si="121"/>
        <v>8.751517386560945E-3</v>
      </c>
      <c r="AS588" s="44">
        <f t="shared" si="121"/>
        <v>0</v>
      </c>
      <c r="AT588" s="44">
        <f t="shared" si="121"/>
        <v>0</v>
      </c>
      <c r="AU588" s="44">
        <f t="shared" si="121"/>
        <v>0</v>
      </c>
      <c r="AV588" s="44">
        <f t="shared" si="121"/>
        <v>0</v>
      </c>
      <c r="AW588" s="44">
        <f t="shared" si="121"/>
        <v>0</v>
      </c>
      <c r="AX588" s="44">
        <f t="shared" si="121"/>
        <v>0</v>
      </c>
      <c r="AY588" s="44">
        <f t="shared" si="121"/>
        <v>3.2499999999999987E-2</v>
      </c>
      <c r="AZ588" s="44">
        <f t="shared" si="121"/>
        <v>6.4642789018825256E-3</v>
      </c>
      <c r="BA588" s="44">
        <f t="shared" si="121"/>
        <v>0</v>
      </c>
      <c r="BB588" s="44">
        <f t="shared" si="121"/>
        <v>0</v>
      </c>
      <c r="BC588" s="44">
        <f t="shared" si="121"/>
        <v>0</v>
      </c>
      <c r="BD588" s="44">
        <f t="shared" si="121"/>
        <v>0</v>
      </c>
      <c r="BE588" s="44">
        <f t="shared" si="121"/>
        <v>0</v>
      </c>
      <c r="BF588" s="44">
        <f>SUM(BF567:BF586)</f>
        <v>3.9999999999999994E-2</v>
      </c>
    </row>
    <row r="590" spans="1:58" x14ac:dyDescent="0.2">
      <c r="D590" s="1">
        <f>(+IF(D545&gt;=2015,VLOOKUP(D649,+'פחתי מים לרשויות מצטרפות'!$A$17:$G$21,$B$3-2012,0),0))*D394/D$425</f>
        <v>0</v>
      </c>
    </row>
    <row r="591" spans="1:58" x14ac:dyDescent="0.2">
      <c r="C591" s="1049">
        <f>(+IF(C545&gt;=2015,MAX(VLOOKUP(C649,'פחתי מים לרשויות מצטרפות'!$A$11:$G$14,MAX($B$3-C545,0)+3,0)-VLOOKUP(C$1,'פחת מים וגביה'!$A:$D,4,0),0))*C394/C$425)+IF(AND(C$7="חברה מנהלת",C8&lt;&gt;""),+VLOOKUP(C649,'פחתי מים לרשויות מצטרפות'!$A$12:$G$15,5,0)-VLOOKUP(C1,'פחת מים וגביה'!$A:$D,4,0),0)</f>
        <v>0</v>
      </c>
      <c r="D591" s="1049">
        <f>(+IF(D545&gt;=2015,MAX(VLOOKUP(D649,'פחתי מים לרשויות מצטרפות'!$A$11:$G$14,MAX($B$3-D545,0)+3,0)-VLOOKUP(D$1,'פחת מים וגביה'!$A:$D,4,0),0))*D394/D$425)+IF(AND(D$7="חברה מנהלת",D8&lt;&gt;""),+VLOOKUP(D649,'פחתי מים לרשויות מצטרפות'!$A$12:$G$15,5,0)-VLOOKUP(D1,'פחת מים וגביה'!$A:$D,4,0),0)</f>
        <v>0</v>
      </c>
      <c r="E591" s="1049">
        <f>(+IF(E545&gt;=2015,MAX(VLOOKUP(E649,'פחתי מים לרשויות מצטרפות'!$A$11:$G$14,MAX($B$3-E545,0)+3,0)-VLOOKUP(E$1,'פחת מים וגביה'!$A:$D,4,0),0))*E394/E$425)+IF(AND(E$7="חברה מנהלת",E8&lt;&gt;""),+VLOOKUP(E649,'פחתי מים לרשויות מצטרפות'!$A$12:$G$15,5,0)-VLOOKUP(E1,'פחת מים וגביה'!$A:$D,4,0),0)</f>
        <v>0</v>
      </c>
      <c r="F591" s="1049">
        <f>(+IF(F545&gt;=2015,MAX(VLOOKUP(F649,'פחתי מים לרשויות מצטרפות'!$A$11:$G$14,MAX($B$3-F545,0)+3,0)-VLOOKUP(F$1,'פחת מים וגביה'!$A:$D,4,0),0))*F394/F$425)+IF(AND(F$7="חברה מנהלת",F8&lt;&gt;""),+VLOOKUP(F649,'פחתי מים לרשויות מצטרפות'!$A$12:$G$15,5,0)-VLOOKUP(F1,'פחת מים וגביה'!$A:$D,4,0),0)</f>
        <v>0</v>
      </c>
      <c r="G591" s="1049">
        <f>(+IF(G545&gt;=2015,MAX(VLOOKUP(G649,'פחתי מים לרשויות מצטרפות'!$A$11:$G$14,MAX($B$3-G545,0)+3,0)-VLOOKUP(G$1,'פחת מים וגביה'!$A:$D,4,0),0))*G394/G$425)+IF(AND(G$7="חברה מנהלת",G8&lt;&gt;""),+VLOOKUP(G649,'פחתי מים לרשויות מצטרפות'!$A$12:$G$15,5,0)-VLOOKUP(G1,'פחת מים וגביה'!$A:$D,4,0),0)</f>
        <v>0</v>
      </c>
      <c r="H591" s="1049">
        <f>(+IF(H545&gt;=2015,MAX(VLOOKUP(H649,'פחתי מים לרשויות מצטרפות'!$A$11:$G$14,MAX($B$3-H545,0)+3,0)-VLOOKUP(H$1,'פחת מים וגביה'!$A:$D,4,0),0))*H394/H$425)+IF(AND(H$7="חברה מנהלת",H8&lt;&gt;""),+VLOOKUP(H649,'פחתי מים לרשויות מצטרפות'!$A$12:$G$15,5,0)-VLOOKUP(H1,'פחת מים וגביה'!$A:$D,4,0),0)</f>
        <v>0</v>
      </c>
      <c r="I591" s="1049">
        <f>(+IF(I545&gt;=2015,MAX(VLOOKUP(I649,'פחתי מים לרשויות מצטרפות'!$A$11:$G$14,MAX($B$3-I545,0)+3,0)-VLOOKUP(I$1,'פחת מים וגביה'!$A:$D,4,0),0))*I394/I$425)+IF(AND(I$7="חברה מנהלת",I8&lt;&gt;""),+VLOOKUP(I649,'פחתי מים לרשויות מצטרפות'!$A$12:$G$15,5,0)-VLOOKUP(I1,'פחת מים וגביה'!$A:$D,4,0),0)</f>
        <v>0</v>
      </c>
      <c r="J591" s="1049">
        <f>(+IF(J545&gt;=2015,MAX(VLOOKUP(J649,'פחתי מים לרשויות מצטרפות'!$A$11:$G$14,MAX($B$3-J545,0)+3,0)-VLOOKUP(J$1,'פחת מים וגביה'!$A:$D,4,0),0))*J394/J$425)+IF(AND(J$7="חברה מנהלת",J8&lt;&gt;""),+VLOOKUP(J649,'פחתי מים לרשויות מצטרפות'!$A$12:$G$15,5,0)-VLOOKUP(J1,'פחת מים וגביה'!$A:$D,4,0),0)</f>
        <v>0</v>
      </c>
      <c r="K591" s="1049">
        <f>(+IF(K545&gt;=2015,MAX(VLOOKUP(K649,'פחתי מים לרשויות מצטרפות'!$A$11:$G$14,MAX($B$3-K545,0)+3,0)-VLOOKUP(K$1,'פחת מים וגביה'!$A:$D,4,0),0))*K394/K$425)+IF(AND(K$7="חברה מנהלת",K8&lt;&gt;""),+VLOOKUP(K649,'פחתי מים לרשויות מצטרפות'!$A$12:$G$15,5,0)-VLOOKUP(K1,'פחת מים וגביה'!$A:$D,4,0),0)</f>
        <v>0</v>
      </c>
      <c r="L591" s="1049">
        <f>(+IF(L545&gt;=2015,MAX(VLOOKUP(L649,'פחתי מים לרשויות מצטרפות'!$A$11:$G$14,MAX($B$3-L545,0)+3,0)-VLOOKUP(L$1,'פחת מים וגביה'!$A:$D,4,0),0))*L394/L$425)+IF(AND(L$7="חברה מנהלת",L8&lt;&gt;""),+VLOOKUP(L649,'פחתי מים לרשויות מצטרפות'!$A$12:$G$15,5,0)-VLOOKUP(L1,'פחת מים וגביה'!$A:$D,4,0),0)</f>
        <v>0</v>
      </c>
      <c r="M591" s="1049">
        <f>(+IF(M545&gt;=2015,MAX(VLOOKUP(M649,'פחתי מים לרשויות מצטרפות'!$A$11:$G$14,MAX($B$3-M545,0)+3,0)-VLOOKUP(M$1,'פחת מים וגביה'!$A:$D,4,0),0))*M394/M$425)+IF(AND(M$7="חברה מנהלת",M8&lt;&gt;""),+VLOOKUP(M649,'פחתי מים לרשויות מצטרפות'!$A$12:$G$15,5,0)-VLOOKUP(M1,'פחת מים וגביה'!$A:$D,4,0),0)</f>
        <v>0</v>
      </c>
      <c r="N591" s="1049">
        <f>(+IF(N545&gt;=2015,MAX(VLOOKUP(N649,'פחתי מים לרשויות מצטרפות'!$A$11:$G$14,MAX($B$3-N545,0)+3,0)-VLOOKUP(N$1,'פחת מים וגביה'!$A:$D,4,0),0))*N394/N$425)+IF(AND(N$7="חברה מנהלת",N8&lt;&gt;""),+VLOOKUP(N649,'פחתי מים לרשויות מצטרפות'!$A$12:$G$15,5,0)-VLOOKUP(N1,'פחת מים וגביה'!$A:$D,4,0),0)</f>
        <v>0</v>
      </c>
      <c r="O591" s="1049">
        <f>(+IF(O545&gt;=2015,MAX(VLOOKUP(O649,'פחתי מים לרשויות מצטרפות'!$A$11:$G$14,MAX($B$3-O545,0)+3,0)-VLOOKUP(O$1,'פחת מים וגביה'!$A:$D,4,0),0))*O394/O$425)+IF(AND(O$7="חברה מנהלת",O8&lt;&gt;""),+VLOOKUP(O649,'פחתי מים לרשויות מצטרפות'!$A$12:$G$15,5,0)-VLOOKUP(O1,'פחת מים וגביה'!$A:$D,4,0),0)</f>
        <v>0</v>
      </c>
      <c r="P591" s="1049">
        <f>(+IF(P545&gt;=2015,MAX(VLOOKUP(P649,'פחתי מים לרשויות מצטרפות'!$A$11:$G$14,MAX($B$3-P545,0)+3,0)-VLOOKUP(P$1,'פחת מים וגביה'!$A:$D,4,0),0))*P394/P$425)+IF(AND(P$7="חברה מנהלת",P8&lt;&gt;""),+VLOOKUP(P649,'פחתי מים לרשויות מצטרפות'!$A$12:$G$15,5,0)-VLOOKUP(P1,'פחת מים וגביה'!$A:$D,4,0),0)</f>
        <v>0</v>
      </c>
      <c r="Q591" s="1049">
        <f>(+IF(Q545&gt;=2015,MAX(VLOOKUP(Q649,'פחתי מים לרשויות מצטרפות'!$A$11:$G$14,MAX($B$3-Q545,0)+3,0)-VLOOKUP(Q$1,'פחת מים וגביה'!$A:$D,4,0),0))*Q394/Q$425)+IF(AND(Q$7="חברה מנהלת",Q8&lt;&gt;""),+VLOOKUP(Q649,'פחתי מים לרשויות מצטרפות'!$A$12:$G$15,5,0)-VLOOKUP(Q1,'פחת מים וגביה'!$A:$D,4,0),0)</f>
        <v>0</v>
      </c>
      <c r="R591" s="1049">
        <f>(+IF(R545&gt;=2015,MAX(VLOOKUP(R649,'פחתי מים לרשויות מצטרפות'!$A$11:$G$14,MAX($B$3-R545,0)+3,0)-VLOOKUP(R$1,'פחת מים וגביה'!$A:$D,4,0),0))*R394/R$425)+IF(AND(R$7="חברה מנהלת",R8&lt;&gt;""),+VLOOKUP(R649,'פחתי מים לרשויות מצטרפות'!$A$12:$G$15,5,0)-VLOOKUP(R1,'פחת מים וגביה'!$A:$D,4,0),0)</f>
        <v>0</v>
      </c>
      <c r="S591" s="1049">
        <f>(+IF(S545&gt;=2015,MAX(VLOOKUP(S649,'פחתי מים לרשויות מצטרפות'!$A$11:$G$14,MAX($B$3-S545,0)+3,0)-VLOOKUP(S$1,'פחת מים וגביה'!$A:$D,4,0),0))*S394/S$425)+IF(AND(S$7="חברה מנהלת",S8&lt;&gt;""),+VLOOKUP(S649,'פחתי מים לרשויות מצטרפות'!$A$12:$G$15,5,0)-VLOOKUP(S1,'פחת מים וגביה'!$A:$D,4,0),0)</f>
        <v>0</v>
      </c>
      <c r="T591" s="1049">
        <f>(+IF(T545&gt;=2015,MAX(VLOOKUP(T649,'פחתי מים לרשויות מצטרפות'!$A$11:$G$14,MAX($B$3-T545,0)+3,0)-VLOOKUP(T$1,'פחת מים וגביה'!$A:$D,4,0),0))*T394/T$425)+IF(AND(T$7="חברה מנהלת",T8&lt;&gt;""),+VLOOKUP(T649,'פחתי מים לרשויות מצטרפות'!$A$12:$G$15,5,0)-VLOOKUP(T1,'פחת מים וגביה'!$A:$D,4,0),0)</f>
        <v>0</v>
      </c>
      <c r="U591" s="1049">
        <f>(+IF(U545&gt;=2015,MAX(VLOOKUP(U649,'פחתי מים לרשויות מצטרפות'!$A$11:$G$14,MAX($B$3-U545,0)+3,0)-VLOOKUP(U$1,'פחת מים וגביה'!$A:$D,4,0),0))*U394/U$425)+IF(AND(U$7="חברה מנהלת",U8&lt;&gt;""),+VLOOKUP(U649,'פחתי מים לרשויות מצטרפות'!$A$12:$G$15,5,0)-VLOOKUP(U1,'פחת מים וגביה'!$A:$D,4,0),0)</f>
        <v>0</v>
      </c>
      <c r="V591" s="1049">
        <f>(+IF(V545&gt;=2015,MAX(VLOOKUP(V649,'פחתי מים לרשויות מצטרפות'!$A$11:$G$14,MAX($B$3-V545,0)+3,0)-VLOOKUP(V$1,'פחת מים וגביה'!$A:$D,4,0),0))*V394/V$425)+IF(AND(V$7="חברה מנהלת",V8&lt;&gt;""),+VLOOKUP(V649,'פחתי מים לרשויות מצטרפות'!$A$12:$G$15,5,0)-VLOOKUP(V1,'פחת מים וגביה'!$A:$D,4,0),0)</f>
        <v>0</v>
      </c>
      <c r="W591" s="1049">
        <f>(+IF(W545&gt;=2015,MAX(VLOOKUP(W649,'פחתי מים לרשויות מצטרפות'!$A$11:$G$14,MAX($B$3-W545,0)+3,0)-VLOOKUP(W$1,'פחת מים וגביה'!$A:$D,4,0),0))*W394/W$425)+IF(AND(W$7="חברה מנהלת",W8&lt;&gt;""),+VLOOKUP(W649,'פחתי מים לרשויות מצטרפות'!$A$12:$G$15,5,0)-VLOOKUP(W1,'פחת מים וגביה'!$A:$D,4,0),0)</f>
        <v>0</v>
      </c>
      <c r="X591" s="1049">
        <f>(+IF(X545&gt;=2015,MAX(VLOOKUP(X649,'פחתי מים לרשויות מצטרפות'!$A$11:$G$14,MAX($B$3-X545,0)+3,0)-VLOOKUP(X$1,'פחת מים וגביה'!$A:$D,4,0),0))*X394/X$425)+IF(AND(X$7="חברה מנהלת",X8&lt;&gt;""),+VLOOKUP(X649,'פחתי מים לרשויות מצטרפות'!$A$12:$G$15,5,0)-VLOOKUP(X1,'פחת מים וגביה'!$A:$D,4,0),0)</f>
        <v>0</v>
      </c>
      <c r="Y591" s="1049">
        <f>(+IF(Y545&gt;=2015,MAX(VLOOKUP(Y649,'פחתי מים לרשויות מצטרפות'!$A$11:$G$14,MAX($B$3-Y545,0)+3,0)-VLOOKUP(Y$1,'פחת מים וגביה'!$A:$D,4,0),0))*Y394/Y$425)+IF(AND(Y$7="חברה מנהלת",Y8&lt;&gt;""),+VLOOKUP(Y649,'פחתי מים לרשויות מצטרפות'!$A$12:$G$15,5,0)-VLOOKUP(Y1,'פחת מים וגביה'!$A:$D,4,0),0)</f>
        <v>0</v>
      </c>
      <c r="Z591" s="1049">
        <f>(+IF(Z545&gt;=2015,MAX(VLOOKUP(Z649,'פחתי מים לרשויות מצטרפות'!$A$11:$G$14,MAX($B$3-Z545,0)+3,0)-VLOOKUP(Z$1,'פחת מים וגביה'!$A:$D,4,0),0))*Z394/Z$425)+IF(AND(Z$7="חברה מנהלת",Z8&lt;&gt;""),+VLOOKUP(Z649,'פחתי מים לרשויות מצטרפות'!$A$12:$G$15,5,0)-VLOOKUP(Z1,'פחת מים וגביה'!$A:$D,4,0),0)</f>
        <v>0</v>
      </c>
      <c r="AA591" s="1049">
        <f>(+IF(AA545&gt;=2015,MAX(VLOOKUP(AA649,'פחתי מים לרשויות מצטרפות'!$A$11:$G$14,MAX($B$3-AA545,0)+3,0)-VLOOKUP(AA$1,'פחת מים וגביה'!$A:$D,4,0),0))*AA394/AA$425)+IF(AND(AA$7="חברה מנהלת",AA8&lt;&gt;""),+VLOOKUP(AA649,'פחתי מים לרשויות מצטרפות'!$A$12:$G$15,5,0)-VLOOKUP(AA1,'פחת מים וגביה'!$A:$D,4,0),0)</f>
        <v>0</v>
      </c>
      <c r="AB591" s="1049">
        <f>(+IF(AB545&gt;=2015,MAX(VLOOKUP(AB649,'פחתי מים לרשויות מצטרפות'!$A$11:$G$14,MAX($B$3-AB545,0)+3,0)-VLOOKUP(AB$1,'פחת מים וגביה'!$A:$D,4,0),0))*AB394/AB$425)+IF(AND(AB$7="חברה מנהלת",AB8&lt;&gt;""),+VLOOKUP(AB649,'פחתי מים לרשויות מצטרפות'!$A$12:$G$15,5,0)-VLOOKUP(AB1,'פחת מים וגביה'!$A:$D,4,0),0)</f>
        <v>0</v>
      </c>
      <c r="AC591" s="1049">
        <f>(+IF(AC545&gt;=2015,MAX(VLOOKUP(AC649,'פחתי מים לרשויות מצטרפות'!$A$11:$G$14,MAX($B$3-AC545,0)+3,0)-VLOOKUP(AC$1,'פחת מים וגביה'!$A:$D,4,0),0))*AC394/AC$425)+IF(AND(AC$7="חברה מנהלת",AC8&lt;&gt;""),+VLOOKUP(AC649,'פחתי מים לרשויות מצטרפות'!$A$12:$G$15,5,0)-VLOOKUP(AC1,'פחת מים וגביה'!$A:$D,4,0),0)</f>
        <v>0</v>
      </c>
      <c r="AD591" s="1049">
        <f>(+IF(AD545&gt;=2015,MAX(VLOOKUP(AD649,'פחתי מים לרשויות מצטרפות'!$A$11:$G$14,MAX($B$3-AD545,0)+3,0)-VLOOKUP(AD$1,'פחת מים וגביה'!$A:$D,4,0),0))*AD394/AD$425)+IF(AND(AD$7="חברה מנהלת",AD8&lt;&gt;""),+VLOOKUP(AD649,'פחתי מים לרשויות מצטרפות'!$A$12:$G$15,5,0)-VLOOKUP(AD1,'פחת מים וגביה'!$A:$D,4,0),0)</f>
        <v>0</v>
      </c>
      <c r="AE591" s="1049">
        <f>(+IF(AE545&gt;=2015,MAX(VLOOKUP(AE649,'פחתי מים לרשויות מצטרפות'!$A$11:$G$14,MAX($B$3-AE545,0)+3,0)-VLOOKUP(AE$1,'פחת מים וגביה'!$A:$D,4,0),0))*AE394/AE$425)+IF(AND(AE$7="חברה מנהלת",AE8&lt;&gt;""),+VLOOKUP(AE649,'פחתי מים לרשויות מצטרפות'!$A$12:$G$15,5,0)-VLOOKUP(AE1,'פחת מים וגביה'!$A:$D,4,0),0)</f>
        <v>0</v>
      </c>
      <c r="AF591" s="1049">
        <f>(+IF(AF545&gt;=2015,MAX(VLOOKUP(AF649,'פחתי מים לרשויות מצטרפות'!$A$11:$G$14,MAX($B$3-AF545,0)+3,0)-VLOOKUP(AF$1,'פחת מים וגביה'!$A:$D,4,0),0))*AF394/AF$425)+IF(AND(AF$7="חברה מנהלת",AF8&lt;&gt;""),+VLOOKUP(AF649,'פחתי מים לרשויות מצטרפות'!$A$12:$G$15,5,0)-VLOOKUP(AF1,'פחת מים וגביה'!$A:$D,4,0),0)</f>
        <v>0</v>
      </c>
      <c r="AG591" s="1049">
        <f>(+IF(AG545&gt;=2015,MAX(VLOOKUP(AG649,'פחתי מים לרשויות מצטרפות'!$A$11:$G$14,MAX($B$3-AG545,0)+3,0)-VLOOKUP(AG$1,'פחת מים וגביה'!$A:$D,4,0),0))*AG394/AG$425)+IF(AND(AG$7="חברה מנהלת",AG8&lt;&gt;""),+VLOOKUP(AG649,'פחתי מים לרשויות מצטרפות'!$A$12:$G$15,5,0)-VLOOKUP(AG1,'פחת מים וגביה'!$A:$D,4,0),0)</f>
        <v>0</v>
      </c>
      <c r="AH591" s="1049">
        <f>(+IF(AH545&gt;=2015,MAX(VLOOKUP(AH649,'פחתי מים לרשויות מצטרפות'!$A$11:$G$14,MAX($B$3-AH545,0)+3,0)-VLOOKUP(AH$1,'פחת מים וגביה'!$A:$D,4,0),0))*AH394/AH$425)+IF(AND(AH$7="חברה מנהלת",AH8&lt;&gt;""),+VLOOKUP(AH649,'פחתי מים לרשויות מצטרפות'!$A$12:$G$15,5,0)-VLOOKUP(AH1,'פחת מים וגביה'!$A:$D,4,0),0)</f>
        <v>0</v>
      </c>
      <c r="AI591" s="1049">
        <f>(+IF(AI545&gt;=2015,MAX(VLOOKUP(AI649,'פחתי מים לרשויות מצטרפות'!$A$11:$G$14,MAX($B$3-AI545,0)+3,0)-VLOOKUP(AI$1,'פחת מים וגביה'!$A:$D,4,0),0))*AI394/AI$425)+IF(AND(AI$7="חברה מנהלת",AI8&lt;&gt;""),+VLOOKUP(AI649,'פחתי מים לרשויות מצטרפות'!$A$12:$G$15,5,0)-VLOOKUP(AI1,'פחת מים וגביה'!$A:$D,4,0),0)</f>
        <v>0</v>
      </c>
      <c r="AJ591" s="1049">
        <f>(+IF(AJ545&gt;=2015,MAX(VLOOKUP(AJ649,'פחתי מים לרשויות מצטרפות'!$A$11:$G$14,MAX($B$3-AJ545,0)+3,0)-VLOOKUP(AJ$1,'פחת מים וגביה'!$A:$D,4,0),0))*AJ394/AJ$425)+IF(AND(AJ$7="חברה מנהלת",AJ8&lt;&gt;""),+VLOOKUP(AJ649,'פחתי מים לרשויות מצטרפות'!$A$12:$G$15,5,0)-VLOOKUP(AJ1,'פחת מים וגביה'!$A:$D,4,0),0)</f>
        <v>0</v>
      </c>
      <c r="AK591" s="1049">
        <f>(+IF(AK545&gt;=2015,MAX(VLOOKUP(AK649,'פחתי מים לרשויות מצטרפות'!$A$11:$G$14,MAX($B$3-AK545,0)+3,0)-VLOOKUP(AK$1,'פחת מים וגביה'!$A:$D,4,0),0))*AK394/AK$425)+IF(AND(AK$7="חברה מנהלת",AK8&lt;&gt;""),+VLOOKUP(AK649,'פחתי מים לרשויות מצטרפות'!$A$12:$G$15,5,0)-VLOOKUP(AK1,'פחת מים וגביה'!$A:$D,4,0),0)</f>
        <v>0</v>
      </c>
      <c r="AL591" s="1049">
        <f>(+IF(AL545&gt;=2015,MAX(VLOOKUP(AL649,'פחתי מים לרשויות מצטרפות'!$A$11:$G$14,MAX($B$3-AL545,0)+3,0)-VLOOKUP(AL$1,'פחת מים וגביה'!$A:$D,4,0),0))*AL394/AL$425)+IF(AND(AL$7="חברה מנהלת",AL8&lt;&gt;""),+VLOOKUP(AL649,'פחתי מים לרשויות מצטרפות'!$A$12:$G$15,5,0)-VLOOKUP(AL1,'פחת מים וגביה'!$A:$D,4,0),0)</f>
        <v>0</v>
      </c>
      <c r="AM591" s="1049">
        <f>(+IF(AM545&gt;=2015,MAX(VLOOKUP(AM649,'פחתי מים לרשויות מצטרפות'!$A$11:$G$14,MAX($B$3-AM545,0)+3,0)-VLOOKUP(AM$1,'פחת מים וגביה'!$A:$D,4,0),0))*AM394/AM$425)+IF(AND(AM$7="חברה מנהלת",AM8&lt;&gt;""),+VLOOKUP(AM649,'פחתי מים לרשויות מצטרפות'!$A$12:$G$15,5,0)-VLOOKUP(AM1,'פחת מים וגביה'!$A:$D,4,0),0)</f>
        <v>0</v>
      </c>
      <c r="AN591" s="1049">
        <f>(+IF(AN545&gt;=2015,MAX(VLOOKUP(AN649,'פחתי מים לרשויות מצטרפות'!$A$11:$G$14,MAX($B$3-AN545,0)+3,0)-VLOOKUP(AN$1,'פחת מים וגביה'!$A:$D,4,0),0))*AN394/AN$425)+IF(AND(AN$7="חברה מנהלת",AN8&lt;&gt;""),+VLOOKUP(AN649,'פחתי מים לרשויות מצטרפות'!$A$12:$G$15,5,0)-VLOOKUP(AN1,'פחת מים וגביה'!$A:$D,4,0),0)</f>
        <v>0</v>
      </c>
      <c r="AO591" s="1049">
        <f>(+IF(AO545&gt;=2015,MAX(VLOOKUP(AO649,'פחתי מים לרשויות מצטרפות'!$A$11:$G$14,MAX($B$3-AO545,0)+3,0)-VLOOKUP(AO$1,'פחת מים וגביה'!$A:$D,4,0),0))*AO394/AO$425)+IF(AND(AO$7="חברה מנהלת",AO8&lt;&gt;""),+VLOOKUP(AO649,'פחתי מים לרשויות מצטרפות'!$A$12:$G$15,5,0)-VLOOKUP(AO1,'פחת מים וגביה'!$A:$D,4,0),0)</f>
        <v>0</v>
      </c>
      <c r="AP591" s="1049">
        <f>(+IF(AP545&gt;=2015,MAX(VLOOKUP(AP649,'פחתי מים לרשויות מצטרפות'!$A$11:$G$14,MAX($B$3-AP545,0)+3,0)-VLOOKUP(AP$1,'פחת מים וגביה'!$A:$D,4,0),0))*AP394/AP$425)+IF(AND(AP$7="חברה מנהלת",AP8&lt;&gt;""),+VLOOKUP(AP649,'פחתי מים לרשויות מצטרפות'!$A$12:$G$15,5,0)-VLOOKUP(AP1,'פחת מים וגביה'!$A:$D,4,0),0)</f>
        <v>0</v>
      </c>
      <c r="AQ591" s="1049">
        <f>(+IF(AQ545&gt;=2015,MAX(VLOOKUP(AQ649,'פחתי מים לרשויות מצטרפות'!$A$11:$G$14,MAX($B$3-AQ545,0)+3,0)-VLOOKUP(AQ$1,'פחת מים וגביה'!$A:$D,4,0),0))*AQ394/AQ$425)+IF(AND(AQ$7="חברה מנהלת",AQ8&lt;&gt;""),+VLOOKUP(AQ649,'פחתי מים לרשויות מצטרפות'!$A$12:$G$15,5,0)-VLOOKUP(AQ1,'פחת מים וגביה'!$A:$D,4,0),0)</f>
        <v>0</v>
      </c>
      <c r="AR591" s="1049">
        <f>(+IF(AR545&gt;=2015,MAX(VLOOKUP(AR649,'פחתי מים לרשויות מצטרפות'!$A$11:$G$14,MAX($B$3-AR545,0)+3,0)-VLOOKUP(AR$1,'פחת מים וגביה'!$A:$D,4,0),0))*AR394/AR$425)+IF(AND(AR$7="חברה מנהלת",AR8&lt;&gt;""),+VLOOKUP(AR649,'פחתי מים לרשויות מצטרפות'!$A$12:$G$15,5,0)-VLOOKUP(AR1,'פחת מים וגביה'!$A:$D,4,0),0)</f>
        <v>0</v>
      </c>
      <c r="AS591" s="1049">
        <f>(+IF(AS545&gt;=2015,MAX(VLOOKUP(AS649,'פחתי מים לרשויות מצטרפות'!$A$11:$G$14,MAX($B$3-AS545,0)+3,0)-VLOOKUP(AS$1,'פחת מים וגביה'!$A:$D,4,0),0))*AS394/AS$425)+IF(AND(AS$7="חברה מנהלת",AS8&lt;&gt;""),+VLOOKUP(AS649,'פחתי מים לרשויות מצטרפות'!$A$12:$G$15,5,0)-VLOOKUP(AS1,'פחת מים וגביה'!$A:$D,4,0),0)</f>
        <v>0</v>
      </c>
      <c r="AT591" s="1049">
        <f>(+IF(AT545&gt;=2015,MAX(VLOOKUP(AT649,'פחתי מים לרשויות מצטרפות'!$A$11:$G$14,MAX($B$3-AT545,0)+3,0)-VLOOKUP(AT$1,'פחת מים וגביה'!$A:$D,4,0),0))*AT394/AT$425)+IF(AND(AT$7="חברה מנהלת",AT8&lt;&gt;""),+VLOOKUP(AT649,'פחתי מים לרשויות מצטרפות'!$A$12:$G$15,5,0)-VLOOKUP(AT1,'פחת מים וגביה'!$A:$D,4,0),0)</f>
        <v>0</v>
      </c>
      <c r="AU591" s="1049">
        <f>(+IF(AU545&gt;=2015,MAX(VLOOKUP(AU649,'פחתי מים לרשויות מצטרפות'!$A$11:$G$14,MAX($B$3-AU545,0)+3,0)-VLOOKUP(AU$1,'פחת מים וגביה'!$A:$D,4,0),0))*AU394/AU$425)+IF(AND(AU$7="חברה מנהלת",AU8&lt;&gt;""),+VLOOKUP(AU649,'פחתי מים לרשויות מצטרפות'!$A$12:$G$15,5,0)-VLOOKUP(AU1,'פחת מים וגביה'!$A:$D,4,0),0)</f>
        <v>0</v>
      </c>
      <c r="AV591" s="1049">
        <f>(+IF(AV545&gt;=2015,MAX(VLOOKUP(AV649,'פחתי מים לרשויות מצטרפות'!$A$11:$G$14,MAX($B$3-AV545,0)+3,0)-VLOOKUP(AV$1,'פחת מים וגביה'!$A:$D,4,0),0))*AV394/AV$425)+IF(AND(AV$7="חברה מנהלת",AV8&lt;&gt;""),+VLOOKUP(AV649,'פחתי מים לרשויות מצטרפות'!$A$12:$G$15,5,0)-VLOOKUP(AV1,'פחת מים וגביה'!$A:$D,4,0),0)</f>
        <v>0</v>
      </c>
      <c r="AW591" s="1049">
        <f>(+IF(AW545&gt;=2015,MAX(VLOOKUP(AW649,'פחתי מים לרשויות מצטרפות'!$A$11:$G$14,MAX($B$3-AW545,0)+3,0)-VLOOKUP(AW$1,'פחת מים וגביה'!$A:$D,4,0),0))*AW394/AW$425)+IF(AND(AW$7="חברה מנהלת",AW8&lt;&gt;""),+VLOOKUP(AW649,'פחתי מים לרשויות מצטרפות'!$A$12:$G$15,5,0)-VLOOKUP(AW1,'פחת מים וגביה'!$A:$D,4,0),0)</f>
        <v>0</v>
      </c>
      <c r="AX591" s="1049">
        <f>(+IF(AX545&gt;=2015,MAX(VLOOKUP(AX649,'פחתי מים לרשויות מצטרפות'!$A$11:$G$14,MAX($B$3-AX545,0)+3,0)-VLOOKUP(AX$1,'פחת מים וגביה'!$A:$D,4,0),0))*AX394/AX$425)+IF(AND(AX$7="חברה מנהלת",AX8&lt;&gt;""),+VLOOKUP(AX649,'פחתי מים לרשויות מצטרפות'!$A$12:$G$15,5,0)-VLOOKUP(AX1,'פחת מים וגביה'!$A:$D,4,0),0)</f>
        <v>0</v>
      </c>
      <c r="AY591" s="1049">
        <f>(+IF(AY545&gt;=2015,MAX(VLOOKUP(AY649,'פחתי מים לרשויות מצטרפות'!$A$11:$G$14,MAX($B$3-AY545,0)+3,0)-VLOOKUP(AY$1,'פחת מים וגביה'!$A:$D,4,0),0))*AY394/AY$425)+IF(AND(AY$7="חברה מנהלת",AY8&lt;&gt;""),+VLOOKUP(AY649,'פחתי מים לרשויות מצטרפות'!$A$12:$G$15,5,0)-VLOOKUP(AY1,'פחת מים וגביה'!$A:$D,4,0),0)</f>
        <v>2.5000000000000001E-2</v>
      </c>
      <c r="AZ591" s="1049">
        <f>(+IF(AZ545&gt;=2015,MAX(VLOOKUP(AZ649,'פחתי מים לרשויות מצטרפות'!$A$11:$G$14,MAX($B$3-AZ545,0)+3,0)-VLOOKUP(AZ$1,'פחת מים וגביה'!$A:$D,4,0),0))*AZ394/AZ$425)+IF(AND(AZ$7="חברה מנהלת",AZ8&lt;&gt;""),+VLOOKUP(AZ649,'פחתי מים לרשויות מצטרפות'!$A$12:$G$15,5,0)-VLOOKUP(AZ1,'פחת מים וגביה'!$A:$D,4,0),0)</f>
        <v>0</v>
      </c>
      <c r="BA591" s="1049">
        <f>(+IF(BA545&gt;=2015,MAX(VLOOKUP(BA649,'פחתי מים לרשויות מצטרפות'!$A$11:$G$14,MAX($B$3-BA545,0)+3,0)-VLOOKUP(BA$1,'פחת מים וגביה'!$A:$D,4,0),0))*BA394/BA$425)+IF(AND(BA$7="חברה מנהלת",BA8&lt;&gt;""),+VLOOKUP(BA649,'פחתי מים לרשויות מצטרפות'!$A$12:$G$15,5,0)-VLOOKUP(BA1,'פחת מים וגביה'!$A:$D,4,0),0)</f>
        <v>0</v>
      </c>
      <c r="BB591" s="1049">
        <f>(+IF(BB545&gt;=2015,MAX(VLOOKUP(BB649,'פחתי מים לרשויות מצטרפות'!$A$11:$G$14,MAX($B$3-BB545,0)+3,0)-VLOOKUP(BB$1,'פחת מים וגביה'!$A:$D,4,0),0))*BB394/BB$425)+IF(AND(BB$7="חברה מנהלת",BB8&lt;&gt;""),+VLOOKUP(BB649,'פחתי מים לרשויות מצטרפות'!$A$12:$G$15,5,0)-VLOOKUP(BB1,'פחת מים וגביה'!$A:$D,4,0),0)</f>
        <v>0</v>
      </c>
      <c r="BC591" s="1049">
        <f>(+IF(BC545&gt;=2015,MAX(VLOOKUP(BC649,'פחתי מים לרשויות מצטרפות'!$A$11:$G$14,MAX($B$3-BC545,0)+3,0)-VLOOKUP(BC$1,'פחת מים וגביה'!$A:$D,4,0),0))*BC394/BC$425)+IF(AND(BC$7="חברה מנהלת",BC8&lt;&gt;""),+VLOOKUP(BC649,'פחתי מים לרשויות מצטרפות'!$A$12:$G$15,5,0)-VLOOKUP(BC1,'פחת מים וגביה'!$A:$D,4,0),0)</f>
        <v>0</v>
      </c>
      <c r="BD591" s="1049">
        <f>(+IF(BD545&gt;=2015,MAX(VLOOKUP(BD649,'פחתי מים לרשויות מצטרפות'!$A$11:$G$14,MAX($B$3-BD545,0)+3,0)-VLOOKUP(BD$1,'פחת מים וגביה'!$A:$D,4,0),0))*BD394/BD$425)+IF(AND(BD$7="חברה מנהלת",BD8&lt;&gt;""),+VLOOKUP(BD649,'פחתי מים לרשויות מצטרפות'!$A$12:$G$15,5,0)-VLOOKUP(BD1,'פחת מים וגביה'!$A:$D,4,0),0)</f>
        <v>0</v>
      </c>
      <c r="BE591" s="1049">
        <f>(+IF(BE545&gt;=2015,MAX(VLOOKUP(BE649,'פחתי מים לרשויות מצטרפות'!$A$11:$G$14,MAX($B$3-BE545,0)+3,0)-VLOOKUP(BE$1,'פחת מים וגביה'!$A:$D,4,0),0))*BE394/BE$425)+IF(AND(BE$7="חברה מנהלת",BE8&lt;&gt;""),+VLOOKUP(BE649,'פחתי מים לרשויות מצטרפות'!$A$12:$G$15,5,0)-VLOOKUP(BE1,'פחת מים וגביה'!$A:$D,4,0),0)</f>
        <v>0</v>
      </c>
      <c r="BF591" s="1049">
        <f>(+IF(BF545&gt;=2015,MAX(VLOOKUP(BF649,'פחתי מים לרשויות מצטרפות'!$A$11:$G$14,MAX($B$3-BF545,0)+3,0)-VLOOKUP(BF$1,'פחת מים וגביה'!$A:$D,4,0),0))*BF394/BF$425)+IF(AND(BF$7="חברה מנהלת",BF8&lt;&gt;""),+VLOOKUP(BF649,'פחתי מים לרשויות מצטרפות'!$A$12:$G$15,5,0)-VLOOKUP(BF1,'פחת מים וגביה'!$A:$D,4,0),0)</f>
        <v>3.5000000000000003E-2</v>
      </c>
    </row>
    <row r="592" spans="1:58" x14ac:dyDescent="0.2">
      <c r="C592" s="1049">
        <f>(+IF(C546&gt;=2015,MAX(VLOOKUP(C650,'פחתי מים לרשויות מצטרפות'!$A$11:$G$14,MAX($B$3-C546,0)+3,0)-VLOOKUP(C$1,'פחת מים וגביה'!$A:$D,4,0),0))*C395/C$425)+IF(AND(C$7="חברה מנהלת",C9&lt;&gt;""),+VLOOKUP(C650,'פחתי מים לרשויות מצטרפות'!$A$12:$G$15,5,0)-VLOOKUP(C2,'פחת מים וגביה'!$A:$D,4,0),0)</f>
        <v>0</v>
      </c>
      <c r="D592" s="1049">
        <f>(+IF(D546&gt;=2015,MAX(VLOOKUP(D650,'פחתי מים לרשויות מצטרפות'!$A$11:$G$14,MAX($B$3-D546,0)+3,0)-VLOOKUP(D$1,'פחת מים וגביה'!$A:$D,4,0),0))*D395/D$425)+IF(AND(D$7="חברה מנהלת",D9&lt;&gt;""),+VLOOKUP(D650,'פחתי מים לרשויות מצטרפות'!$A$12:$G$15,5,0)-VLOOKUP(D2,'פחת מים וגביה'!$A:$D,4,0),0)</f>
        <v>0</v>
      </c>
      <c r="E592" s="1049">
        <f>(+IF(E546&gt;=2015,MAX(VLOOKUP(E650,'פחתי מים לרשויות מצטרפות'!$A$11:$G$14,MAX($B$3-E546,0)+3,0)-VLOOKUP(E$1,'פחת מים וגביה'!$A:$D,4,0),0))*E395/E$425)+IF(AND(E$7="חברה מנהלת",E9&lt;&gt;""),+VLOOKUP(E650,'פחתי מים לרשויות מצטרפות'!$A$12:$G$15,5,0)-VLOOKUP(E2,'פחת מים וגביה'!$A:$D,4,0),0)</f>
        <v>0</v>
      </c>
      <c r="F592" s="1049">
        <f>(+IF(F546&gt;=2015,MAX(VLOOKUP(F650,'פחתי מים לרשויות מצטרפות'!$A$11:$G$14,MAX($B$3-F546,0)+3,0)-VLOOKUP(F$1,'פחת מים וגביה'!$A:$D,4,0),0))*F395/F$425)+IF(AND(F$7="חברה מנהלת",F9&lt;&gt;""),+VLOOKUP(F650,'פחתי מים לרשויות מצטרפות'!$A$12:$G$15,5,0)-VLOOKUP(F2,'פחת מים וגביה'!$A:$D,4,0),0)</f>
        <v>0</v>
      </c>
      <c r="G592" s="1049">
        <f>(+IF(G546&gt;=2015,MAX(VLOOKUP(G650,'פחתי מים לרשויות מצטרפות'!$A$11:$G$14,MAX($B$3-G546,0)+3,0)-VLOOKUP(G$1,'פחת מים וגביה'!$A:$D,4,0),0))*G395/G$425)+IF(AND(G$7="חברה מנהלת",G9&lt;&gt;""),+VLOOKUP(G650,'פחתי מים לרשויות מצטרפות'!$A$12:$G$15,5,0)-VLOOKUP(G2,'פחת מים וגביה'!$A:$D,4,0),0)</f>
        <v>0</v>
      </c>
      <c r="H592" s="1049">
        <f>(+IF(H546&gt;=2015,MAX(VLOOKUP(H650,'פחתי מים לרשויות מצטרפות'!$A$11:$G$14,MAX($B$3-H546,0)+3,0)-VLOOKUP(H$1,'פחת מים וגביה'!$A:$D,4,0),0))*H395/H$425)+IF(AND(H$7="חברה מנהלת",H9&lt;&gt;""),+VLOOKUP(H650,'פחתי מים לרשויות מצטרפות'!$A$12:$G$15,5,0)-VLOOKUP(H2,'פחת מים וגביה'!$A:$D,4,0),0)</f>
        <v>0</v>
      </c>
      <c r="I592" s="1049">
        <f>(+IF(I546&gt;=2015,MAX(VLOOKUP(I650,'פחתי מים לרשויות מצטרפות'!$A$11:$G$14,MAX($B$3-I546,0)+3,0)-VLOOKUP(I$1,'פחת מים וגביה'!$A:$D,4,0),0))*I395/I$425)+IF(AND(I$7="חברה מנהלת",I9&lt;&gt;""),+VLOOKUP(I650,'פחתי מים לרשויות מצטרפות'!$A$12:$G$15,5,0)-VLOOKUP(I2,'פחת מים וגביה'!$A:$D,4,0),0)</f>
        <v>0</v>
      </c>
      <c r="J592" s="1049">
        <f>(+IF(J546&gt;=2015,MAX(VLOOKUP(J650,'פחתי מים לרשויות מצטרפות'!$A$11:$G$14,MAX($B$3-J546,0)+3,0)-VLOOKUP(J$1,'פחת מים וגביה'!$A:$D,4,0),0))*J395/J$425)+IF(AND(J$7="חברה מנהלת",J9&lt;&gt;""),+VLOOKUP(J650,'פחתי מים לרשויות מצטרפות'!$A$12:$G$15,5,0)-VLOOKUP(J2,'פחת מים וגביה'!$A:$D,4,0),0)</f>
        <v>0</v>
      </c>
      <c r="K592" s="1049">
        <f>(+IF(K546&gt;=2015,MAX(VLOOKUP(K650,'פחתי מים לרשויות מצטרפות'!$A$11:$G$14,MAX($B$3-K546,0)+3,0)-VLOOKUP(K$1,'פחת מים וגביה'!$A:$D,4,0),0))*K395/K$425)+IF(AND(K$7="חברה מנהלת",K9&lt;&gt;""),+VLOOKUP(K650,'פחתי מים לרשויות מצטרפות'!$A$12:$G$15,5,0)-VLOOKUP(K2,'פחת מים וגביה'!$A:$D,4,0),0)</f>
        <v>0</v>
      </c>
      <c r="L592" s="1049">
        <f>(+IF(L546&gt;=2015,MAX(VLOOKUP(L650,'פחתי מים לרשויות מצטרפות'!$A$11:$G$14,MAX($B$3-L546,0)+3,0)-VLOOKUP(L$1,'פחת מים וגביה'!$A:$D,4,0),0))*L395/L$425)+IF(AND(L$7="חברה מנהלת",L9&lt;&gt;""),+VLOOKUP(L650,'פחתי מים לרשויות מצטרפות'!$A$12:$G$15,5,0)-VLOOKUP(L2,'פחת מים וגביה'!$A:$D,4,0),0)</f>
        <v>0</v>
      </c>
      <c r="M592" s="1049">
        <f>(+IF(M546&gt;=2015,MAX(VLOOKUP(M650,'פחתי מים לרשויות מצטרפות'!$A$11:$G$14,MAX($B$3-M546,0)+3,0)-VLOOKUP(M$1,'פחת מים וגביה'!$A:$D,4,0),0))*M395/M$425)+IF(AND(M$7="חברה מנהלת",M9&lt;&gt;""),+VLOOKUP(M650,'פחתי מים לרשויות מצטרפות'!$A$12:$G$15,5,0)-VLOOKUP(M2,'פחת מים וגביה'!$A:$D,4,0),0)</f>
        <v>0</v>
      </c>
      <c r="N592" s="1049">
        <f>(+IF(N546&gt;=2015,MAX(VLOOKUP(N650,'פחתי מים לרשויות מצטרפות'!$A$11:$G$14,MAX($B$3-N546,0)+3,0)-VLOOKUP(N$1,'פחת מים וגביה'!$A:$D,4,0),0))*N395/N$425)+IF(AND(N$7="חברה מנהלת",N9&lt;&gt;""),+VLOOKUP(N650,'פחתי מים לרשויות מצטרפות'!$A$12:$G$15,5,0)-VLOOKUP(N2,'פחת מים וגביה'!$A:$D,4,0),0)</f>
        <v>0</v>
      </c>
      <c r="O592" s="1049">
        <f>(+IF(O546&gt;=2015,MAX(VLOOKUP(O650,'פחתי מים לרשויות מצטרפות'!$A$11:$G$14,MAX($B$3-O546,0)+3,0)-VLOOKUP(O$1,'פחת מים וגביה'!$A:$D,4,0),0))*O395/O$425)+IF(AND(O$7="חברה מנהלת",O9&lt;&gt;""),+VLOOKUP(O650,'פחתי מים לרשויות מצטרפות'!$A$12:$G$15,5,0)-VLOOKUP(O2,'פחת מים וגביה'!$A:$D,4,0),0)</f>
        <v>0</v>
      </c>
      <c r="P592" s="1049">
        <f>(+IF(P546&gt;=2015,MAX(VLOOKUP(P650,'פחתי מים לרשויות מצטרפות'!$A$11:$G$14,MAX($B$3-P546,0)+3,0)-VLOOKUP(P$1,'פחת מים וגביה'!$A:$D,4,0),0))*P395/P$425)+IF(AND(P$7="חברה מנהלת",P9&lt;&gt;""),+VLOOKUP(P650,'פחתי מים לרשויות מצטרפות'!$A$12:$G$15,5,0)-VLOOKUP(P2,'פחת מים וגביה'!$A:$D,4,0),0)</f>
        <v>0</v>
      </c>
      <c r="Q592" s="1049">
        <f>(+IF(Q546&gt;=2015,MAX(VLOOKUP(Q650,'פחתי מים לרשויות מצטרפות'!$A$11:$G$14,MAX($B$3-Q546,0)+3,0)-VLOOKUP(Q$1,'פחת מים וגביה'!$A:$D,4,0),0))*Q395/Q$425)+IF(AND(Q$7="חברה מנהלת",Q9&lt;&gt;""),+VLOOKUP(Q650,'פחתי מים לרשויות מצטרפות'!$A$12:$G$15,5,0)-VLOOKUP(Q2,'פחת מים וגביה'!$A:$D,4,0),0)</f>
        <v>0</v>
      </c>
      <c r="R592" s="1049">
        <f>(+IF(R546&gt;=2015,MAX(VLOOKUP(R650,'פחתי מים לרשויות מצטרפות'!$A$11:$G$14,MAX($B$3-R546,0)+3,0)-VLOOKUP(R$1,'פחת מים וגביה'!$A:$D,4,0),0))*R395/R$425)+IF(AND(R$7="חברה מנהלת",R9&lt;&gt;""),+VLOOKUP(R650,'פחתי מים לרשויות מצטרפות'!$A$12:$G$15,5,0)-VLOOKUP(R2,'פחת מים וגביה'!$A:$D,4,0),0)</f>
        <v>0</v>
      </c>
      <c r="S592" s="1049">
        <f>(+IF(S546&gt;=2015,MAX(VLOOKUP(S650,'פחתי מים לרשויות מצטרפות'!$A$11:$G$14,MAX($B$3-S546,0)+3,0)-VLOOKUP(S$1,'פחת מים וגביה'!$A:$D,4,0),0))*S395/S$425)+IF(AND(S$7="חברה מנהלת",S9&lt;&gt;""),+VLOOKUP(S650,'פחתי מים לרשויות מצטרפות'!$A$12:$G$15,5,0)-VLOOKUP(S2,'פחת מים וגביה'!$A:$D,4,0),0)</f>
        <v>0</v>
      </c>
      <c r="T592" s="1049">
        <f>(+IF(T546&gt;=2015,MAX(VLOOKUP(T650,'פחתי מים לרשויות מצטרפות'!$A$11:$G$14,MAX($B$3-T546,0)+3,0)-VLOOKUP(T$1,'פחת מים וגביה'!$A:$D,4,0),0))*T395/T$425)+IF(AND(T$7="חברה מנהלת",T9&lt;&gt;""),+VLOOKUP(T650,'פחתי מים לרשויות מצטרפות'!$A$12:$G$15,5,0)-VLOOKUP(T2,'פחת מים וגביה'!$A:$D,4,0),0)</f>
        <v>0</v>
      </c>
      <c r="U592" s="1049">
        <f>(+IF(U546&gt;=2015,MAX(VLOOKUP(U650,'פחתי מים לרשויות מצטרפות'!$A$11:$G$14,MAX($B$3-U546,0)+3,0)-VLOOKUP(U$1,'פחת מים וגביה'!$A:$D,4,0),0))*U395/U$425)+IF(AND(U$7="חברה מנהלת",U9&lt;&gt;""),+VLOOKUP(U650,'פחתי מים לרשויות מצטרפות'!$A$12:$G$15,5,0)-VLOOKUP(U2,'פחת מים וגביה'!$A:$D,4,0),0)</f>
        <v>0</v>
      </c>
      <c r="V592" s="1049">
        <f>(+IF(V546&gt;=2015,MAX(VLOOKUP(V650,'פחתי מים לרשויות מצטרפות'!$A$11:$G$14,MAX($B$3-V546,0)+3,0)-VLOOKUP(V$1,'פחת מים וגביה'!$A:$D,4,0),0))*V395/V$425)+IF(AND(V$7="חברה מנהלת",V9&lt;&gt;""),+VLOOKUP(V650,'פחתי מים לרשויות מצטרפות'!$A$12:$G$15,5,0)-VLOOKUP(V2,'פחת מים וגביה'!$A:$D,4,0),0)</f>
        <v>0</v>
      </c>
      <c r="W592" s="1049">
        <f>(+IF(W546&gt;=2015,MAX(VLOOKUP(W650,'פחתי מים לרשויות מצטרפות'!$A$11:$G$14,MAX($B$3-W546,0)+3,0)-VLOOKUP(W$1,'פחת מים וגביה'!$A:$D,4,0),0))*W395/W$425)+IF(AND(W$7="חברה מנהלת",W9&lt;&gt;""),+VLOOKUP(W650,'פחתי מים לרשויות מצטרפות'!$A$12:$G$15,5,0)-VLOOKUP(W2,'פחת מים וגביה'!$A:$D,4,0),0)</f>
        <v>0</v>
      </c>
      <c r="X592" s="1049">
        <f>(+IF(X546&gt;=2015,MAX(VLOOKUP(X650,'פחתי מים לרשויות מצטרפות'!$A$11:$G$14,MAX($B$3-X546,0)+3,0)-VLOOKUP(X$1,'פחת מים וגביה'!$A:$D,4,0),0))*X395/X$425)+IF(AND(X$7="חברה מנהלת",X9&lt;&gt;""),+VLOOKUP(X650,'פחתי מים לרשויות מצטרפות'!$A$12:$G$15,5,0)-VLOOKUP(X2,'פחת מים וגביה'!$A:$D,4,0),0)</f>
        <v>0</v>
      </c>
      <c r="Y592" s="1049">
        <f>(+IF(Y546&gt;=2015,MAX(VLOOKUP(Y650,'פחתי מים לרשויות מצטרפות'!$A$11:$G$14,MAX($B$3-Y546,0)+3,0)-VLOOKUP(Y$1,'פחת מים וגביה'!$A:$D,4,0),0))*Y395/Y$425)+IF(AND(Y$7="חברה מנהלת",Y9&lt;&gt;""),+VLOOKUP(Y650,'פחתי מים לרשויות מצטרפות'!$A$12:$G$15,5,0)-VLOOKUP(Y2,'פחת מים וגביה'!$A:$D,4,0),0)</f>
        <v>0</v>
      </c>
      <c r="Z592" s="1049">
        <f>(+IF(Z546&gt;=2015,MAX(VLOOKUP(Z650,'פחתי מים לרשויות מצטרפות'!$A$11:$G$14,MAX($B$3-Z546,0)+3,0)-VLOOKUP(Z$1,'פחת מים וגביה'!$A:$D,4,0),0))*Z395/Z$425)+IF(AND(Z$7="חברה מנהלת",Z9&lt;&gt;""),+VLOOKUP(Z650,'פחתי מים לרשויות מצטרפות'!$A$12:$G$15,5,0)-VLOOKUP(Z2,'פחת מים וגביה'!$A:$D,4,0),0)</f>
        <v>0</v>
      </c>
      <c r="AA592" s="1049">
        <f>(+IF(AA546&gt;=2015,MAX(VLOOKUP(AA650,'פחתי מים לרשויות מצטרפות'!$A$11:$G$14,MAX($B$3-AA546,0)+3,0)-VLOOKUP(AA$1,'פחת מים וגביה'!$A:$D,4,0),0))*AA395/AA$425)+IF(AND(AA$7="חברה מנהלת",AA9&lt;&gt;""),+VLOOKUP(AA650,'פחתי מים לרשויות מצטרפות'!$A$12:$G$15,5,0)-VLOOKUP(AA2,'פחת מים וגביה'!$A:$D,4,0),0)</f>
        <v>0</v>
      </c>
      <c r="AB592" s="1049">
        <f>(+IF(AB546&gt;=2015,MAX(VLOOKUP(AB650,'פחתי מים לרשויות מצטרפות'!$A$11:$G$14,MAX($B$3-AB546,0)+3,0)-VLOOKUP(AB$1,'פחת מים וגביה'!$A:$D,4,0),0))*AB395/AB$425)+IF(AND(AB$7="חברה מנהלת",AB9&lt;&gt;""),+VLOOKUP(AB650,'פחתי מים לרשויות מצטרפות'!$A$12:$G$15,5,0)-VLOOKUP(AB2,'פחת מים וגביה'!$A:$D,4,0),0)</f>
        <v>0</v>
      </c>
      <c r="AC592" s="1049">
        <f>(+IF(AC546&gt;=2015,MAX(VLOOKUP(AC650,'פחתי מים לרשויות מצטרפות'!$A$11:$G$14,MAX($B$3-AC546,0)+3,0)-VLOOKUP(AC$1,'פחת מים וגביה'!$A:$D,4,0),0))*AC395/AC$425)+IF(AND(AC$7="חברה מנהלת",AC9&lt;&gt;""),+VLOOKUP(AC650,'פחתי מים לרשויות מצטרפות'!$A$12:$G$15,5,0)-VLOOKUP(AC2,'פחת מים וגביה'!$A:$D,4,0),0)</f>
        <v>0</v>
      </c>
      <c r="AD592" s="1049">
        <f>(+IF(AD546&gt;=2015,MAX(VLOOKUP(AD650,'פחתי מים לרשויות מצטרפות'!$A$11:$G$14,MAX($B$3-AD546,0)+3,0)-VLOOKUP(AD$1,'פחת מים וגביה'!$A:$D,4,0),0))*AD395/AD$425)+IF(AND(AD$7="חברה מנהלת",AD9&lt;&gt;""),+VLOOKUP(AD650,'פחתי מים לרשויות מצטרפות'!$A$12:$G$15,5,0)-VLOOKUP(AD2,'פחת מים וגביה'!$A:$D,4,0),0)</f>
        <v>0</v>
      </c>
      <c r="AE592" s="1049">
        <f>(+IF(AE546&gt;=2015,MAX(VLOOKUP(AE650,'פחתי מים לרשויות מצטרפות'!$A$11:$G$14,MAX($B$3-AE546,0)+3,0)-VLOOKUP(AE$1,'פחת מים וגביה'!$A:$D,4,0),0))*AE395/AE$425)+IF(AND(AE$7="חברה מנהלת",AE9&lt;&gt;""),+VLOOKUP(AE650,'פחתי מים לרשויות מצטרפות'!$A$12:$G$15,5,0)-VLOOKUP(AE2,'פחת מים וגביה'!$A:$D,4,0),0)</f>
        <v>0</v>
      </c>
      <c r="AF592" s="1049">
        <f>(+IF(AF546&gt;=2015,MAX(VLOOKUP(AF650,'פחתי מים לרשויות מצטרפות'!$A$11:$G$14,MAX($B$3-AF546,0)+3,0)-VLOOKUP(AF$1,'פחת מים וגביה'!$A:$D,4,0),0))*AF395/AF$425)+IF(AND(AF$7="חברה מנהלת",AF9&lt;&gt;""),+VLOOKUP(AF650,'פחתי מים לרשויות מצטרפות'!$A$12:$G$15,5,0)-VLOOKUP(AF2,'פחת מים וגביה'!$A:$D,4,0),0)</f>
        <v>0</v>
      </c>
      <c r="AG592" s="1049">
        <f>(+IF(AG546&gt;=2015,MAX(VLOOKUP(AG650,'פחתי מים לרשויות מצטרפות'!$A$11:$G$14,MAX($B$3-AG546,0)+3,0)-VLOOKUP(AG$1,'פחת מים וגביה'!$A:$D,4,0),0))*AG395/AG$425)+IF(AND(AG$7="חברה מנהלת",AG9&lt;&gt;""),+VLOOKUP(AG650,'פחתי מים לרשויות מצטרפות'!$A$12:$G$15,5,0)-VLOOKUP(AG2,'פחת מים וגביה'!$A:$D,4,0),0)</f>
        <v>0</v>
      </c>
      <c r="AH592" s="1049">
        <f>(+IF(AH546&gt;=2015,MAX(VLOOKUP(AH650,'פחתי מים לרשויות מצטרפות'!$A$11:$G$14,MAX($B$3-AH546,0)+3,0)-VLOOKUP(AH$1,'פחת מים וגביה'!$A:$D,4,0),0))*AH395/AH$425)+IF(AND(AH$7="חברה מנהלת",AH9&lt;&gt;""),+VLOOKUP(AH650,'פחתי מים לרשויות מצטרפות'!$A$12:$G$15,5,0)-VLOOKUP(AH2,'פחת מים וגביה'!$A:$D,4,0),0)</f>
        <v>0</v>
      </c>
      <c r="AI592" s="1049">
        <f>(+IF(AI546&gt;=2015,MAX(VLOOKUP(AI650,'פחתי מים לרשויות מצטרפות'!$A$11:$G$14,MAX($B$3-AI546,0)+3,0)-VLOOKUP(AI$1,'פחת מים וגביה'!$A:$D,4,0),0))*AI395/AI$425)+IF(AND(AI$7="חברה מנהלת",AI9&lt;&gt;""),+VLOOKUP(AI650,'פחתי מים לרשויות מצטרפות'!$A$12:$G$15,5,0)-VLOOKUP(AI2,'פחת מים וגביה'!$A:$D,4,0),0)</f>
        <v>0</v>
      </c>
      <c r="AJ592" s="1049">
        <f>(+IF(AJ546&gt;=2015,MAX(VLOOKUP(AJ650,'פחתי מים לרשויות מצטרפות'!$A$11:$G$14,MAX($B$3-AJ546,0)+3,0)-VLOOKUP(AJ$1,'פחת מים וגביה'!$A:$D,4,0),0))*AJ395/AJ$425)+IF(AND(AJ$7="חברה מנהלת",AJ9&lt;&gt;""),+VLOOKUP(AJ650,'פחתי מים לרשויות מצטרפות'!$A$12:$G$15,5,0)-VLOOKUP(AJ2,'פחת מים וגביה'!$A:$D,4,0),0)</f>
        <v>0</v>
      </c>
      <c r="AK592" s="1049">
        <f>(+IF(AK546&gt;=2015,MAX(VLOOKUP(AK650,'פחתי מים לרשויות מצטרפות'!$A$11:$G$14,MAX($B$3-AK546,0)+3,0)-VLOOKUP(AK$1,'פחת מים וגביה'!$A:$D,4,0),0))*AK395/AK$425)+IF(AND(AK$7="חברה מנהלת",AK9&lt;&gt;""),+VLOOKUP(AK650,'פחתי מים לרשויות מצטרפות'!$A$12:$G$15,5,0)-VLOOKUP(AK2,'פחת מים וגביה'!$A:$D,4,0),0)</f>
        <v>0</v>
      </c>
      <c r="AL592" s="1049">
        <f>(+IF(AL546&gt;=2015,MAX(VLOOKUP(AL650,'פחתי מים לרשויות מצטרפות'!$A$11:$G$14,MAX($B$3-AL546,0)+3,0)-VLOOKUP(AL$1,'פחת מים וגביה'!$A:$D,4,0),0))*AL395/AL$425)+IF(AND(AL$7="חברה מנהלת",AL9&lt;&gt;""),+VLOOKUP(AL650,'פחתי מים לרשויות מצטרפות'!$A$12:$G$15,5,0)-VLOOKUP(AL2,'פחת מים וגביה'!$A:$D,4,0),0)</f>
        <v>0</v>
      </c>
      <c r="AM592" s="1049">
        <f>(+IF(AM546&gt;=2015,MAX(VLOOKUP(AM650,'פחתי מים לרשויות מצטרפות'!$A$11:$G$14,MAX($B$3-AM546,0)+3,0)-VLOOKUP(AM$1,'פחת מים וגביה'!$A:$D,4,0),0))*AM395/AM$425)+IF(AND(AM$7="חברה מנהלת",AM9&lt;&gt;""),+VLOOKUP(AM650,'פחתי מים לרשויות מצטרפות'!$A$12:$G$15,5,0)-VLOOKUP(AM2,'פחת מים וגביה'!$A:$D,4,0),0)</f>
        <v>0</v>
      </c>
      <c r="AN592" s="1049">
        <f>(+IF(AN546&gt;=2015,MAX(VLOOKUP(AN650,'פחתי מים לרשויות מצטרפות'!$A$11:$G$14,MAX($B$3-AN546,0)+3,0)-VLOOKUP(AN$1,'פחת מים וגביה'!$A:$D,4,0),0))*AN395/AN$425)+IF(AND(AN$7="חברה מנהלת",AN9&lt;&gt;""),+VLOOKUP(AN650,'פחתי מים לרשויות מצטרפות'!$A$12:$G$15,5,0)-VLOOKUP(AN2,'פחת מים וגביה'!$A:$D,4,0),0)</f>
        <v>0</v>
      </c>
      <c r="AO592" s="1049">
        <f>(+IF(AO546&gt;=2015,MAX(VLOOKUP(AO650,'פחתי מים לרשויות מצטרפות'!$A$11:$G$14,MAX($B$3-AO546,0)+3,0)-VLOOKUP(AO$1,'פחת מים וגביה'!$A:$D,4,0),0))*AO395/AO$425)+IF(AND(AO$7="חברה מנהלת",AO9&lt;&gt;""),+VLOOKUP(AO650,'פחתי מים לרשויות מצטרפות'!$A$12:$G$15,5,0)-VLOOKUP(AO2,'פחת מים וגביה'!$A:$D,4,0),0)</f>
        <v>0</v>
      </c>
      <c r="AP592" s="1049">
        <f>(+IF(AP546&gt;=2015,MAX(VLOOKUP(AP650,'פחתי מים לרשויות מצטרפות'!$A$11:$G$14,MAX($B$3-AP546,0)+3,0)-VLOOKUP(AP$1,'פחת מים וגביה'!$A:$D,4,0),0))*AP395/AP$425)+IF(AND(AP$7="חברה מנהלת",AP9&lt;&gt;""),+VLOOKUP(AP650,'פחתי מים לרשויות מצטרפות'!$A$12:$G$15,5,0)-VLOOKUP(AP2,'פחת מים וגביה'!$A:$D,4,0),0)</f>
        <v>0</v>
      </c>
      <c r="AQ592" s="1049">
        <f>(+IF(AQ546&gt;=2015,MAX(VLOOKUP(AQ650,'פחתי מים לרשויות מצטרפות'!$A$11:$G$14,MAX($B$3-AQ546,0)+3,0)-VLOOKUP(AQ$1,'פחת מים וגביה'!$A:$D,4,0),0))*AQ395/AQ$425)+IF(AND(AQ$7="חברה מנהלת",AQ9&lt;&gt;""),+VLOOKUP(AQ650,'פחתי מים לרשויות מצטרפות'!$A$12:$G$15,5,0)-VLOOKUP(AQ2,'פחת מים וגביה'!$A:$D,4,0),0)</f>
        <v>0</v>
      </c>
      <c r="AR592" s="1049">
        <f>(+IF(AR546&gt;=2015,MAX(VLOOKUP(AR650,'פחתי מים לרשויות מצטרפות'!$A$11:$G$14,MAX($B$3-AR546,0)+3,0)-VLOOKUP(AR$1,'פחת מים וגביה'!$A:$D,4,0),0))*AR395/AR$425)+IF(AND(AR$7="חברה מנהלת",AR9&lt;&gt;""),+VLOOKUP(AR650,'פחתי מים לרשויות מצטרפות'!$A$12:$G$15,5,0)-VLOOKUP(AR2,'פחת מים וגביה'!$A:$D,4,0),0)</f>
        <v>4.3757586932804751E-3</v>
      </c>
      <c r="AS592" s="1049">
        <f>(+IF(AS546&gt;=2015,MAX(VLOOKUP(AS650,'פחתי מים לרשויות מצטרפות'!$A$11:$G$14,MAX($B$3-AS546,0)+3,0)-VLOOKUP(AS$1,'פחת מים וגביה'!$A:$D,4,0),0))*AS395/AS$425)+IF(AND(AS$7="חברה מנהלת",AS9&lt;&gt;""),+VLOOKUP(AS650,'פחתי מים לרשויות מצטרפות'!$A$12:$G$15,5,0)-VLOOKUP(AS2,'פחת מים וגביה'!$A:$D,4,0),0)</f>
        <v>0</v>
      </c>
      <c r="AT592" s="1049">
        <f>(+IF(AT546&gt;=2015,MAX(VLOOKUP(AT650,'פחתי מים לרשויות מצטרפות'!$A$11:$G$14,MAX($B$3-AT546,0)+3,0)-VLOOKUP(AT$1,'פחת מים וגביה'!$A:$D,4,0),0))*AT395/AT$425)+IF(AND(AT$7="חברה מנהלת",AT9&lt;&gt;""),+VLOOKUP(AT650,'פחתי מים לרשויות מצטרפות'!$A$12:$G$15,5,0)-VLOOKUP(AT2,'פחת מים וגביה'!$A:$D,4,0),0)</f>
        <v>0</v>
      </c>
      <c r="AU592" s="1049">
        <f>(+IF(AU546&gt;=2015,MAX(VLOOKUP(AU650,'פחתי מים לרשויות מצטרפות'!$A$11:$G$14,MAX($B$3-AU546,0)+3,0)-VLOOKUP(AU$1,'פחת מים וגביה'!$A:$D,4,0),0))*AU395/AU$425)+IF(AND(AU$7="חברה מנהלת",AU9&lt;&gt;""),+VLOOKUP(AU650,'פחתי מים לרשויות מצטרפות'!$A$12:$G$15,5,0)-VLOOKUP(AU2,'פחת מים וגביה'!$A:$D,4,0),0)</f>
        <v>0</v>
      </c>
      <c r="AV592" s="1049">
        <f>(+IF(AV546&gt;=2015,MAX(VLOOKUP(AV650,'פחתי מים לרשויות מצטרפות'!$A$11:$G$14,MAX($B$3-AV546,0)+3,0)-VLOOKUP(AV$1,'פחת מים וגביה'!$A:$D,4,0),0))*AV395/AV$425)+IF(AND(AV$7="חברה מנהלת",AV9&lt;&gt;""),+VLOOKUP(AV650,'פחתי מים לרשויות מצטרפות'!$A$12:$G$15,5,0)-VLOOKUP(AV2,'פחת מים וגביה'!$A:$D,4,0),0)</f>
        <v>0</v>
      </c>
      <c r="AW592" s="1049">
        <f>(+IF(AW546&gt;=2015,MAX(VLOOKUP(AW650,'פחתי מים לרשויות מצטרפות'!$A$11:$G$14,MAX($B$3-AW546,0)+3,0)-VLOOKUP(AW$1,'פחת מים וגביה'!$A:$D,4,0),0))*AW395/AW$425)+IF(AND(AW$7="חברה מנהלת",AW9&lt;&gt;""),+VLOOKUP(AW650,'פחתי מים לרשויות מצטרפות'!$A$12:$G$15,5,0)-VLOOKUP(AW2,'פחת מים וגביה'!$A:$D,4,0),0)</f>
        <v>0</v>
      </c>
      <c r="AX592" s="1049">
        <f>(+IF(AX546&gt;=2015,MAX(VLOOKUP(AX650,'פחתי מים לרשויות מצטרפות'!$A$11:$G$14,MAX($B$3-AX546,0)+3,0)-VLOOKUP(AX$1,'פחת מים וגביה'!$A:$D,4,0),0))*AX395/AX$425)+IF(AND(AX$7="חברה מנהלת",AX9&lt;&gt;""),+VLOOKUP(AX650,'פחתי מים לרשויות מצטרפות'!$A$12:$G$15,5,0)-VLOOKUP(AX2,'פחת מים וגביה'!$A:$D,4,0),0)</f>
        <v>0</v>
      </c>
      <c r="AY592" s="1049">
        <f>(+IF(AY546&gt;=2015,MAX(VLOOKUP(AY650,'פחתי מים לרשויות מצטרפות'!$A$11:$G$14,MAX($B$3-AY546,0)+3,0)-VLOOKUP(AY$1,'פחת מים וגביה'!$A:$D,4,0),0))*AY395/AY$425)+IF(AND(AY$7="חברה מנהלת",AY9&lt;&gt;""),+VLOOKUP(AY650,'פחתי מים לרשויות מצטרפות'!$A$12:$G$15,5,0)-VLOOKUP(AY2,'פחת מים וגביה'!$A:$D,4,0),0)</f>
        <v>0</v>
      </c>
      <c r="AZ592" s="1049">
        <f>(+IF(AZ546&gt;=2015,MAX(VLOOKUP(AZ650,'פחתי מים לרשויות מצטרפות'!$A$11:$G$14,MAX($B$3-AZ546,0)+3,0)-VLOOKUP(AZ$1,'פחת מים וגביה'!$A:$D,4,0),0))*AZ395/AZ$425)+IF(AND(AZ$7="חברה מנהלת",AZ9&lt;&gt;""),+VLOOKUP(AZ650,'פחתי מים לרשויות מצטרפות'!$A$12:$G$15,5,0)-VLOOKUP(AZ2,'פחת מים וגביה'!$A:$D,4,0),0)</f>
        <v>0</v>
      </c>
      <c r="BA592" s="1049">
        <f>(+IF(BA546&gt;=2015,MAX(VLOOKUP(BA650,'פחתי מים לרשויות מצטרפות'!$A$11:$G$14,MAX($B$3-BA546,0)+3,0)-VLOOKUP(BA$1,'פחת מים וגביה'!$A:$D,4,0),0))*BA395/BA$425)+IF(AND(BA$7="חברה מנהלת",BA9&lt;&gt;""),+VLOOKUP(BA650,'פחתי מים לרשויות מצטרפות'!$A$12:$G$15,5,0)-VLOOKUP(BA2,'פחת מים וגביה'!$A:$D,4,0),0)</f>
        <v>0</v>
      </c>
      <c r="BB592" s="1049">
        <f>(+IF(BB546&gt;=2015,MAX(VLOOKUP(BB650,'פחתי מים לרשויות מצטרפות'!$A$11:$G$14,MAX($B$3-BB546,0)+3,0)-VLOOKUP(BB$1,'פחת מים וגביה'!$A:$D,4,0),0))*BB395/BB$425)+IF(AND(BB$7="חברה מנהלת",BB9&lt;&gt;""),+VLOOKUP(BB650,'פחתי מים לרשויות מצטרפות'!$A$12:$G$15,5,0)-VLOOKUP(BB2,'פחת מים וגביה'!$A:$D,4,0),0)</f>
        <v>0</v>
      </c>
      <c r="BC592" s="1049">
        <f>(+IF(BC546&gt;=2015,MAX(VLOOKUP(BC650,'פחתי מים לרשויות מצטרפות'!$A$11:$G$14,MAX($B$3-BC546,0)+3,0)-VLOOKUP(BC$1,'פחת מים וגביה'!$A:$D,4,0),0))*BC395/BC$425)+IF(AND(BC$7="חברה מנהלת",BC9&lt;&gt;""),+VLOOKUP(BC650,'פחתי מים לרשויות מצטרפות'!$A$12:$G$15,5,0)-VLOOKUP(BC2,'פחת מים וגביה'!$A:$D,4,0),0)</f>
        <v>0</v>
      </c>
      <c r="BD592" s="1049">
        <f>(+IF(BD546&gt;=2015,MAX(VLOOKUP(BD650,'פחתי מים לרשויות מצטרפות'!$A$11:$G$14,MAX($B$3-BD546,0)+3,0)-VLOOKUP(BD$1,'פחת מים וגביה'!$A:$D,4,0),0))*BD395/BD$425)+IF(AND(BD$7="חברה מנהלת",BD9&lt;&gt;""),+VLOOKUP(BD650,'פחתי מים לרשויות מצטרפות'!$A$12:$G$15,5,0)-VLOOKUP(BD2,'פחת מים וגביה'!$A:$D,4,0),0)</f>
        <v>0</v>
      </c>
      <c r="BE592" s="1049">
        <f>(+IF(BE546&gt;=2015,MAX(VLOOKUP(BE650,'פחתי מים לרשויות מצטרפות'!$A$11:$G$14,MAX($B$3-BE546,0)+3,0)-VLOOKUP(BE$1,'פחת מים וגביה'!$A:$D,4,0),0))*BE395/BE$425)+IF(AND(BE$7="חברה מנהלת",BE9&lt;&gt;""),+VLOOKUP(BE650,'פחתי מים לרשויות מצטרפות'!$A$12:$G$15,5,0)-VLOOKUP(BE2,'פחת מים וגביה'!$A:$D,4,0),0)</f>
        <v>0</v>
      </c>
      <c r="BF592" s="1049">
        <f>(+IF(BF546&gt;=2015,MAX(VLOOKUP(BF650,'פחתי מים לרשויות מצטרפות'!$A$11:$G$14,MAX($B$3-BF546,0)+3,0)-VLOOKUP(BF$1,'פחת מים וגביה'!$A:$D,4,0),0))*BF395/BF$425)+IF(AND(BF$7="חברה מנהלת",BF9&lt;&gt;""),+VLOOKUP(BF650,'פחתי מים לרשויות מצטרפות'!$A$12:$G$15,5,0)-VLOOKUP(BF2,'פחת מים וגביה'!$A:$D,4,0),0)</f>
        <v>0</v>
      </c>
    </row>
    <row r="593" spans="3:58" x14ac:dyDescent="0.2">
      <c r="C593" s="1049">
        <f>(+IF(C547&gt;=2015,MAX(VLOOKUP(C651,'פחתי מים לרשויות מצטרפות'!$A$11:$G$14,MAX($B$3-C547,0)+3,0)-VLOOKUP(C$1,'פחת מים וגביה'!$A:$D,4,0),0))*C396/C$425)+IF(AND(C$7="חברה מנהלת",C10&lt;&gt;""),+VLOOKUP(C651,'פחתי מים לרשויות מצטרפות'!$A$12:$G$15,5,0)-VLOOKUP(C3,'פחת מים וגביה'!$A:$D,4,0),0)</f>
        <v>0</v>
      </c>
      <c r="D593" s="1049">
        <f>(+IF(D547&gt;=2015,MAX(VLOOKUP(D651,'פחתי מים לרשויות מצטרפות'!$A$11:$G$14,MAX($B$3-D547,0)+3,0)-VLOOKUP(D$1,'פחת מים וגביה'!$A:$D,4,0),0))*D396/D$425)+IF(AND(D$7="חברה מנהלת",D10&lt;&gt;""),+VLOOKUP(D651,'פחתי מים לרשויות מצטרפות'!$A$12:$G$15,5,0)-VLOOKUP(D3,'פחת מים וגביה'!$A:$D,4,0),0)</f>
        <v>0</v>
      </c>
      <c r="E593" s="1049">
        <f>(+IF(E547&gt;=2015,MAX(VLOOKUP(E651,'פחתי מים לרשויות מצטרפות'!$A$11:$G$14,MAX($B$3-E547,0)+3,0)-VLOOKUP(E$1,'פחת מים וגביה'!$A:$D,4,0),0))*E396/E$425)+IF(AND(E$7="חברה מנהלת",E10&lt;&gt;""),+VLOOKUP(E651,'פחתי מים לרשויות מצטרפות'!$A$12:$G$15,5,0)-VLOOKUP(E3,'פחת מים וגביה'!$A:$D,4,0),0)</f>
        <v>0</v>
      </c>
      <c r="F593" s="1049">
        <f>(+IF(F547&gt;=2015,MAX(VLOOKUP(F651,'פחתי מים לרשויות מצטרפות'!$A$11:$G$14,MAX($B$3-F547,0)+3,0)-VLOOKUP(F$1,'פחת מים וגביה'!$A:$D,4,0),0))*F396/F$425)+IF(AND(F$7="חברה מנהלת",F10&lt;&gt;""),+VLOOKUP(F651,'פחתי מים לרשויות מצטרפות'!$A$12:$G$15,5,0)-VLOOKUP(F3,'פחת מים וגביה'!$A:$D,4,0),0)</f>
        <v>0</v>
      </c>
      <c r="G593" s="1049">
        <f>(+IF(G547&gt;=2015,MAX(VLOOKUP(G651,'פחתי מים לרשויות מצטרפות'!$A$11:$G$14,MAX($B$3-G547,0)+3,0)-VLOOKUP(G$1,'פחת מים וגביה'!$A:$D,4,0),0))*G396/G$425)+IF(AND(G$7="חברה מנהלת",G10&lt;&gt;""),+VLOOKUP(G651,'פחתי מים לרשויות מצטרפות'!$A$12:$G$15,5,0)-VLOOKUP(G3,'פחת מים וגביה'!$A:$D,4,0),0)</f>
        <v>0</v>
      </c>
      <c r="H593" s="1049">
        <f>(+IF(H547&gt;=2015,MAX(VLOOKUP(H651,'פחתי מים לרשויות מצטרפות'!$A$11:$G$14,MAX($B$3-H547,0)+3,0)-VLOOKUP(H$1,'פחת מים וגביה'!$A:$D,4,0),0))*H396/H$425)+IF(AND(H$7="חברה מנהלת",H10&lt;&gt;""),+VLOOKUP(H651,'פחתי מים לרשויות מצטרפות'!$A$12:$G$15,5,0)-VLOOKUP(H3,'פחת מים וגביה'!$A:$D,4,0),0)</f>
        <v>0</v>
      </c>
      <c r="I593" s="1049">
        <f>(+IF(I547&gt;=2015,MAX(VLOOKUP(I651,'פחתי מים לרשויות מצטרפות'!$A$11:$G$14,MAX($B$3-I547,0)+3,0)-VLOOKUP(I$1,'פחת מים וגביה'!$A:$D,4,0),0))*I396/I$425)+IF(AND(I$7="חברה מנהלת",I10&lt;&gt;""),+VLOOKUP(I651,'פחתי מים לרשויות מצטרפות'!$A$12:$G$15,5,0)-VLOOKUP(I3,'פחת מים וגביה'!$A:$D,4,0),0)</f>
        <v>0</v>
      </c>
      <c r="J593" s="1049">
        <f>(+IF(J547&gt;=2015,MAX(VLOOKUP(J651,'פחתי מים לרשויות מצטרפות'!$A$11:$G$14,MAX($B$3-J547,0)+3,0)-VLOOKUP(J$1,'פחת מים וגביה'!$A:$D,4,0),0))*J396/J$425)+IF(AND(J$7="חברה מנהלת",J10&lt;&gt;""),+VLOOKUP(J651,'פחתי מים לרשויות מצטרפות'!$A$12:$G$15,5,0)-VLOOKUP(J3,'פחת מים וגביה'!$A:$D,4,0),0)</f>
        <v>0</v>
      </c>
      <c r="K593" s="1049">
        <f>(+IF(K547&gt;=2015,MAX(VLOOKUP(K651,'פחתי מים לרשויות מצטרפות'!$A$11:$G$14,MAX($B$3-K547,0)+3,0)-VLOOKUP(K$1,'פחת מים וגביה'!$A:$D,4,0),0))*K396/K$425)+IF(AND(K$7="חברה מנהלת",K10&lt;&gt;""),+VLOOKUP(K651,'פחתי מים לרשויות מצטרפות'!$A$12:$G$15,5,0)-VLOOKUP(K3,'פחת מים וגביה'!$A:$D,4,0),0)</f>
        <v>0</v>
      </c>
      <c r="L593" s="1049">
        <f>(+IF(L547&gt;=2015,MAX(VLOOKUP(L651,'פחתי מים לרשויות מצטרפות'!$A$11:$G$14,MAX($B$3-L547,0)+3,0)-VLOOKUP(L$1,'פחת מים וגביה'!$A:$D,4,0),0))*L396/L$425)+IF(AND(L$7="חברה מנהלת",L10&lt;&gt;""),+VLOOKUP(L651,'פחתי מים לרשויות מצטרפות'!$A$12:$G$15,5,0)-VLOOKUP(L3,'פחת מים וגביה'!$A:$D,4,0),0)</f>
        <v>0</v>
      </c>
      <c r="M593" s="1049">
        <f>(+IF(M547&gt;=2015,MAX(VLOOKUP(M651,'פחתי מים לרשויות מצטרפות'!$A$11:$G$14,MAX($B$3-M547,0)+3,0)-VLOOKUP(M$1,'פחת מים וגביה'!$A:$D,4,0),0))*M396/M$425)+IF(AND(M$7="חברה מנהלת",M10&lt;&gt;""),+VLOOKUP(M651,'פחתי מים לרשויות מצטרפות'!$A$12:$G$15,5,0)-VLOOKUP(M3,'פחת מים וגביה'!$A:$D,4,0),0)</f>
        <v>0</v>
      </c>
      <c r="N593" s="1049">
        <f>(+IF(N547&gt;=2015,MAX(VLOOKUP(N651,'פחתי מים לרשויות מצטרפות'!$A$11:$G$14,MAX($B$3-N547,0)+3,0)-VLOOKUP(N$1,'פחת מים וגביה'!$A:$D,4,0),0))*N396/N$425)+IF(AND(N$7="חברה מנהלת",N10&lt;&gt;""),+VLOOKUP(N651,'פחתי מים לרשויות מצטרפות'!$A$12:$G$15,5,0)-VLOOKUP(N3,'פחת מים וגביה'!$A:$D,4,0),0)</f>
        <v>0</v>
      </c>
      <c r="O593" s="1049">
        <f>(+IF(O547&gt;=2015,MAX(VLOOKUP(O651,'פחתי מים לרשויות מצטרפות'!$A$11:$G$14,MAX($B$3-O547,0)+3,0)-VLOOKUP(O$1,'פחת מים וגביה'!$A:$D,4,0),0))*O396/O$425)+IF(AND(O$7="חברה מנהלת",O10&lt;&gt;""),+VLOOKUP(O651,'פחתי מים לרשויות מצטרפות'!$A$12:$G$15,5,0)-VLOOKUP(O3,'פחת מים וגביה'!$A:$D,4,0),0)</f>
        <v>0</v>
      </c>
      <c r="P593" s="1049">
        <f>(+IF(P547&gt;=2015,MAX(VLOOKUP(P651,'פחתי מים לרשויות מצטרפות'!$A$11:$G$14,MAX($B$3-P547,0)+3,0)-VLOOKUP(P$1,'פחת מים וגביה'!$A:$D,4,0),0))*P396/P$425)+IF(AND(P$7="חברה מנהלת",P10&lt;&gt;""),+VLOOKUP(P651,'פחתי מים לרשויות מצטרפות'!$A$12:$G$15,5,0)-VLOOKUP(P3,'פחת מים וגביה'!$A:$D,4,0),0)</f>
        <v>0</v>
      </c>
      <c r="Q593" s="1049">
        <f>(+IF(Q547&gt;=2015,MAX(VLOOKUP(Q651,'פחתי מים לרשויות מצטרפות'!$A$11:$G$14,MAX($B$3-Q547,0)+3,0)-VLOOKUP(Q$1,'פחת מים וגביה'!$A:$D,4,0),0))*Q396/Q$425)+IF(AND(Q$7="חברה מנהלת",Q10&lt;&gt;""),+VLOOKUP(Q651,'פחתי מים לרשויות מצטרפות'!$A$12:$G$15,5,0)-VLOOKUP(Q3,'פחת מים וגביה'!$A:$D,4,0),0)</f>
        <v>0</v>
      </c>
      <c r="R593" s="1049">
        <f>(+IF(R547&gt;=2015,MAX(VLOOKUP(R651,'פחתי מים לרשויות מצטרפות'!$A$11:$G$14,MAX($B$3-R547,0)+3,0)-VLOOKUP(R$1,'פחת מים וגביה'!$A:$D,4,0),0))*R396/R$425)+IF(AND(R$7="חברה מנהלת",R10&lt;&gt;""),+VLOOKUP(R651,'פחתי מים לרשויות מצטרפות'!$A$12:$G$15,5,0)-VLOOKUP(R3,'פחת מים וגביה'!$A:$D,4,0),0)</f>
        <v>0</v>
      </c>
      <c r="S593" s="1049">
        <f>(+IF(S547&gt;=2015,MAX(VLOOKUP(S651,'פחתי מים לרשויות מצטרפות'!$A$11:$G$14,MAX($B$3-S547,0)+3,0)-VLOOKUP(S$1,'פחת מים וגביה'!$A:$D,4,0),0))*S396/S$425)+IF(AND(S$7="חברה מנהלת",S10&lt;&gt;""),+VLOOKUP(S651,'פחתי מים לרשויות מצטרפות'!$A$12:$G$15,5,0)-VLOOKUP(S3,'פחת מים וגביה'!$A:$D,4,0),0)</f>
        <v>0</v>
      </c>
      <c r="T593" s="1049">
        <f>(+IF(T547&gt;=2015,MAX(VLOOKUP(T651,'פחתי מים לרשויות מצטרפות'!$A$11:$G$14,MAX($B$3-T547,0)+3,0)-VLOOKUP(T$1,'פחת מים וגביה'!$A:$D,4,0),0))*T396/T$425)+IF(AND(T$7="חברה מנהלת",T10&lt;&gt;""),+VLOOKUP(T651,'פחתי מים לרשויות מצטרפות'!$A$12:$G$15,5,0)-VLOOKUP(T3,'פחת מים וגביה'!$A:$D,4,0),0)</f>
        <v>9.0016091135635464E-3</v>
      </c>
      <c r="U593" s="1049">
        <f>(+IF(U547&gt;=2015,MAX(VLOOKUP(U651,'פחתי מים לרשויות מצטרפות'!$A$11:$G$14,MAX($B$3-U547,0)+3,0)-VLOOKUP(U$1,'פחת מים וגביה'!$A:$D,4,0),0))*U396/U$425)+IF(AND(U$7="חברה מנהלת",U10&lt;&gt;""),+VLOOKUP(U651,'פחתי מים לרשויות מצטרפות'!$A$12:$G$15,5,0)-VLOOKUP(U3,'פחת מים וגביה'!$A:$D,4,0),0)</f>
        <v>0</v>
      </c>
      <c r="V593" s="1049">
        <f>(+IF(V547&gt;=2015,MAX(VLOOKUP(V651,'פחתי מים לרשויות מצטרפות'!$A$11:$G$14,MAX($B$3-V547,0)+3,0)-VLOOKUP(V$1,'פחת מים וגביה'!$A:$D,4,0),0))*V396/V$425)+IF(AND(V$7="חברה מנהלת",V10&lt;&gt;""),+VLOOKUP(V651,'פחתי מים לרשויות מצטרפות'!$A$12:$G$15,5,0)-VLOOKUP(V3,'פחת מים וגביה'!$A:$D,4,0),0)</f>
        <v>0</v>
      </c>
      <c r="W593" s="1049">
        <f>(+IF(W547&gt;=2015,MAX(VLOOKUP(W651,'פחתי מים לרשויות מצטרפות'!$A$11:$G$14,MAX($B$3-W547,0)+3,0)-VLOOKUP(W$1,'פחת מים וגביה'!$A:$D,4,0),0))*W396/W$425)+IF(AND(W$7="חברה מנהלת",W10&lt;&gt;""),+VLOOKUP(W651,'פחתי מים לרשויות מצטרפות'!$A$12:$G$15,5,0)-VLOOKUP(W3,'פחת מים וגביה'!$A:$D,4,0),0)</f>
        <v>0</v>
      </c>
      <c r="X593" s="1049">
        <f>(+IF(X547&gt;=2015,MAX(VLOOKUP(X651,'פחתי מים לרשויות מצטרפות'!$A$11:$G$14,MAX($B$3-X547,0)+3,0)-VLOOKUP(X$1,'פחת מים וגביה'!$A:$D,4,0),0))*X396/X$425)+IF(AND(X$7="חברה מנהלת",X10&lt;&gt;""),+VLOOKUP(X651,'פחתי מים לרשויות מצטרפות'!$A$12:$G$15,5,0)-VLOOKUP(X3,'פחת מים וגביה'!$A:$D,4,0),0)</f>
        <v>0</v>
      </c>
      <c r="Y593" s="1049">
        <f>(+IF(Y547&gt;=2015,MAX(VLOOKUP(Y651,'פחתי מים לרשויות מצטרפות'!$A$11:$G$14,MAX($B$3-Y547,0)+3,0)-VLOOKUP(Y$1,'פחת מים וגביה'!$A:$D,4,0),0))*Y396/Y$425)+IF(AND(Y$7="חברה מנהלת",Y10&lt;&gt;""),+VLOOKUP(Y651,'פחתי מים לרשויות מצטרפות'!$A$12:$G$15,5,0)-VLOOKUP(Y3,'פחת מים וגביה'!$A:$D,4,0),0)</f>
        <v>0</v>
      </c>
      <c r="Z593" s="1049">
        <f>(+IF(Z547&gt;=2015,MAX(VLOOKUP(Z651,'פחתי מים לרשויות מצטרפות'!$A$11:$G$14,MAX($B$3-Z547,0)+3,0)-VLOOKUP(Z$1,'פחת מים וגביה'!$A:$D,4,0),0))*Z396/Z$425)+IF(AND(Z$7="חברה מנהלת",Z10&lt;&gt;""),+VLOOKUP(Z651,'פחתי מים לרשויות מצטרפות'!$A$12:$G$15,5,0)-VLOOKUP(Z3,'פחת מים וגביה'!$A:$D,4,0),0)</f>
        <v>0</v>
      </c>
      <c r="AA593" s="1049">
        <f>(+IF(AA547&gt;=2015,MAX(VLOOKUP(AA651,'פחתי מים לרשויות מצטרפות'!$A$11:$G$14,MAX($B$3-AA547,0)+3,0)-VLOOKUP(AA$1,'פחת מים וגביה'!$A:$D,4,0),0))*AA396/AA$425)+IF(AND(AA$7="חברה מנהלת",AA10&lt;&gt;""),+VLOOKUP(AA651,'פחתי מים לרשויות מצטרפות'!$A$12:$G$15,5,0)-VLOOKUP(AA3,'פחת מים וגביה'!$A:$D,4,0),0)</f>
        <v>0</v>
      </c>
      <c r="AB593" s="1049">
        <f>(+IF(AB547&gt;=2015,MAX(VLOOKUP(AB651,'פחתי מים לרשויות מצטרפות'!$A$11:$G$14,MAX($B$3-AB547,0)+3,0)-VLOOKUP(AB$1,'פחת מים וגביה'!$A:$D,4,0),0))*AB396/AB$425)+IF(AND(AB$7="חברה מנהלת",AB10&lt;&gt;""),+VLOOKUP(AB651,'פחתי מים לרשויות מצטרפות'!$A$12:$G$15,5,0)-VLOOKUP(AB3,'פחת מים וגביה'!$A:$D,4,0),0)</f>
        <v>0</v>
      </c>
      <c r="AC593" s="1049">
        <f>(+IF(AC547&gt;=2015,MAX(VLOOKUP(AC651,'פחתי מים לרשויות מצטרפות'!$A$11:$G$14,MAX($B$3-AC547,0)+3,0)-VLOOKUP(AC$1,'פחת מים וגביה'!$A:$D,4,0),0))*AC396/AC$425)+IF(AND(AC$7="חברה מנהלת",AC10&lt;&gt;""),+VLOOKUP(AC651,'פחתי מים לרשויות מצטרפות'!$A$12:$G$15,5,0)-VLOOKUP(AC3,'פחת מים וגביה'!$A:$D,4,0),0)</f>
        <v>0</v>
      </c>
      <c r="AD593" s="1049">
        <f>(+IF(AD547&gt;=2015,MAX(VLOOKUP(AD651,'פחתי מים לרשויות מצטרפות'!$A$11:$G$14,MAX($B$3-AD547,0)+3,0)-VLOOKUP(AD$1,'פחת מים וגביה'!$A:$D,4,0),0))*AD396/AD$425)+IF(AND(AD$7="חברה מנהלת",AD10&lt;&gt;""),+VLOOKUP(AD651,'פחתי מים לרשויות מצטרפות'!$A$12:$G$15,5,0)-VLOOKUP(AD3,'פחת מים וגביה'!$A:$D,4,0),0)</f>
        <v>0</v>
      </c>
      <c r="AE593" s="1049">
        <f>(+IF(AE547&gt;=2015,MAX(VLOOKUP(AE651,'פחתי מים לרשויות מצטרפות'!$A$11:$G$14,MAX($B$3-AE547,0)+3,0)-VLOOKUP(AE$1,'פחת מים וגביה'!$A:$D,4,0),0))*AE396/AE$425)+IF(AND(AE$7="חברה מנהלת",AE10&lt;&gt;""),+VLOOKUP(AE651,'פחתי מים לרשויות מצטרפות'!$A$12:$G$15,5,0)-VLOOKUP(AE3,'פחת מים וגביה'!$A:$D,4,0),0)</f>
        <v>0</v>
      </c>
      <c r="AF593" s="1049">
        <f>(+IF(AF547&gt;=2015,MAX(VLOOKUP(AF651,'פחתי מים לרשויות מצטרפות'!$A$11:$G$14,MAX($B$3-AF547,0)+3,0)-VLOOKUP(AF$1,'פחת מים וגביה'!$A:$D,4,0),0))*AF396/AF$425)+IF(AND(AF$7="חברה מנהלת",AF10&lt;&gt;""),+VLOOKUP(AF651,'פחתי מים לרשויות מצטרפות'!$A$12:$G$15,5,0)-VLOOKUP(AF3,'פחת מים וגביה'!$A:$D,4,0),0)</f>
        <v>0</v>
      </c>
      <c r="AG593" s="1049">
        <f>(+IF(AG547&gt;=2015,MAX(VLOOKUP(AG651,'פחתי מים לרשויות מצטרפות'!$A$11:$G$14,MAX($B$3-AG547,0)+3,0)-VLOOKUP(AG$1,'פחת מים וגביה'!$A:$D,4,0),0))*AG396/AG$425)+IF(AND(AG$7="חברה מנהלת",AG10&lt;&gt;""),+VLOOKUP(AG651,'פחתי מים לרשויות מצטרפות'!$A$12:$G$15,5,0)-VLOOKUP(AG3,'פחת מים וגביה'!$A:$D,4,0),0)</f>
        <v>0</v>
      </c>
      <c r="AH593" s="1049">
        <f>(+IF(AH547&gt;=2015,MAX(VLOOKUP(AH651,'פחתי מים לרשויות מצטרפות'!$A$11:$G$14,MAX($B$3-AH547,0)+3,0)-VLOOKUP(AH$1,'פחת מים וגביה'!$A:$D,4,0),0))*AH396/AH$425)+IF(AND(AH$7="חברה מנהלת",AH10&lt;&gt;""),+VLOOKUP(AH651,'פחתי מים לרשויות מצטרפות'!$A$12:$G$15,5,0)-VLOOKUP(AH3,'פחת מים וגביה'!$A:$D,4,0),0)</f>
        <v>0</v>
      </c>
      <c r="AI593" s="1049">
        <f>(+IF(AI547&gt;=2015,MAX(VLOOKUP(AI651,'פחתי מים לרשויות מצטרפות'!$A$11:$G$14,MAX($B$3-AI547,0)+3,0)-VLOOKUP(AI$1,'פחת מים וגביה'!$A:$D,4,0),0))*AI396/AI$425)+IF(AND(AI$7="חברה מנהלת",AI10&lt;&gt;""),+VLOOKUP(AI651,'פחתי מים לרשויות מצטרפות'!$A$12:$G$15,5,0)-VLOOKUP(AI3,'פחת מים וגביה'!$A:$D,4,0),0)</f>
        <v>0</v>
      </c>
      <c r="AJ593" s="1049">
        <f>(+IF(AJ547&gt;=2015,MAX(VLOOKUP(AJ651,'פחתי מים לרשויות מצטרפות'!$A$11:$G$14,MAX($B$3-AJ547,0)+3,0)-VLOOKUP(AJ$1,'פחת מים וגביה'!$A:$D,4,0),0))*AJ396/AJ$425)+IF(AND(AJ$7="חברה מנהלת",AJ10&lt;&gt;""),+VLOOKUP(AJ651,'פחתי מים לרשויות מצטרפות'!$A$12:$G$15,5,0)-VLOOKUP(AJ3,'פחת מים וגביה'!$A:$D,4,0),0)</f>
        <v>0</v>
      </c>
      <c r="AK593" s="1049">
        <f>(+IF(AK547&gt;=2015,MAX(VLOOKUP(AK651,'פחתי מים לרשויות מצטרפות'!$A$11:$G$14,MAX($B$3-AK547,0)+3,0)-VLOOKUP(AK$1,'פחת מים וגביה'!$A:$D,4,0),0))*AK396/AK$425)+IF(AND(AK$7="חברה מנהלת",AK10&lt;&gt;""),+VLOOKUP(AK651,'פחתי מים לרשויות מצטרפות'!$A$12:$G$15,5,0)-VLOOKUP(AK3,'פחת מים וגביה'!$A:$D,4,0),0)</f>
        <v>0</v>
      </c>
      <c r="AL593" s="1049">
        <f>(+IF(AL547&gt;=2015,MAX(VLOOKUP(AL651,'פחתי מים לרשויות מצטרפות'!$A$11:$G$14,MAX($B$3-AL547,0)+3,0)-VLOOKUP(AL$1,'פחת מים וגביה'!$A:$D,4,0),0))*AL396/AL$425)+IF(AND(AL$7="חברה מנהלת",AL10&lt;&gt;""),+VLOOKUP(AL651,'פחתי מים לרשויות מצטרפות'!$A$12:$G$15,5,0)-VLOOKUP(AL3,'פחת מים וגביה'!$A:$D,4,0),0)</f>
        <v>0</v>
      </c>
      <c r="AM593" s="1049">
        <f>(+IF(AM547&gt;=2015,MAX(VLOOKUP(AM651,'פחתי מים לרשויות מצטרפות'!$A$11:$G$14,MAX($B$3-AM547,0)+3,0)-VLOOKUP(AM$1,'פחת מים וגביה'!$A:$D,4,0),0))*AM396/AM$425)+IF(AND(AM$7="חברה מנהלת",AM10&lt;&gt;""),+VLOOKUP(AM651,'פחתי מים לרשויות מצטרפות'!$A$12:$G$15,5,0)-VLOOKUP(AM3,'פחת מים וגביה'!$A:$D,4,0),0)</f>
        <v>0</v>
      </c>
      <c r="AN593" s="1049">
        <f>(+IF(AN547&gt;=2015,MAX(VLOOKUP(AN651,'פחתי מים לרשויות מצטרפות'!$A$11:$G$14,MAX($B$3-AN547,0)+3,0)-VLOOKUP(AN$1,'פחת מים וגביה'!$A:$D,4,0),0))*AN396/AN$425)+IF(AND(AN$7="חברה מנהלת",AN10&lt;&gt;""),+VLOOKUP(AN651,'פחתי מים לרשויות מצטרפות'!$A$12:$G$15,5,0)-VLOOKUP(AN3,'פחת מים וגביה'!$A:$D,4,0),0)</f>
        <v>0</v>
      </c>
      <c r="AO593" s="1049">
        <f>(+IF(AO547&gt;=2015,MAX(VLOOKUP(AO651,'פחתי מים לרשויות מצטרפות'!$A$11:$G$14,MAX($B$3-AO547,0)+3,0)-VLOOKUP(AO$1,'פחת מים וגביה'!$A:$D,4,0),0))*AO396/AO$425)+IF(AND(AO$7="חברה מנהלת",AO10&lt;&gt;""),+VLOOKUP(AO651,'פחתי מים לרשויות מצטרפות'!$A$12:$G$15,5,0)-VLOOKUP(AO3,'פחת מים וגביה'!$A:$D,4,0),0)</f>
        <v>0</v>
      </c>
      <c r="AP593" s="1049">
        <f>(+IF(AP547&gt;=2015,MAX(VLOOKUP(AP651,'פחתי מים לרשויות מצטרפות'!$A$11:$G$14,MAX($B$3-AP547,0)+3,0)-VLOOKUP(AP$1,'פחת מים וגביה'!$A:$D,4,0),0))*AP396/AP$425)+IF(AND(AP$7="חברה מנהלת",AP10&lt;&gt;""),+VLOOKUP(AP651,'פחתי מים לרשויות מצטרפות'!$A$12:$G$15,5,0)-VLOOKUP(AP3,'פחת מים וגביה'!$A:$D,4,0),0)</f>
        <v>0</v>
      </c>
      <c r="AQ593" s="1049">
        <f>(+IF(AQ547&gt;=2015,MAX(VLOOKUP(AQ651,'פחתי מים לרשויות מצטרפות'!$A$11:$G$14,MAX($B$3-AQ547,0)+3,0)-VLOOKUP(AQ$1,'פחת מים וגביה'!$A:$D,4,0),0))*AQ396/AQ$425)+IF(AND(AQ$7="חברה מנהלת",AQ10&lt;&gt;""),+VLOOKUP(AQ651,'פחתי מים לרשויות מצטרפות'!$A$12:$G$15,5,0)-VLOOKUP(AQ3,'פחת מים וגביה'!$A:$D,4,0),0)</f>
        <v>0</v>
      </c>
      <c r="AR593" s="1049">
        <f>(+IF(AR547&gt;=2015,MAX(VLOOKUP(AR651,'פחתי מים לרשויות מצטרפות'!$A$11:$G$14,MAX($B$3-AR547,0)+3,0)-VLOOKUP(AR$1,'פחת מים וגביה'!$A:$D,4,0),0))*AR396/AR$425)+IF(AND(AR$7="חברה מנהלת",AR10&lt;&gt;""),+VLOOKUP(AR651,'פחתי מים לרשויות מצטרפות'!$A$12:$G$15,5,0)-VLOOKUP(AR3,'פחת מים וגביה'!$A:$D,4,0),0)</f>
        <v>0</v>
      </c>
      <c r="AS593" s="1049">
        <f>(+IF(AS547&gt;=2015,MAX(VLOOKUP(AS651,'פחתי מים לרשויות מצטרפות'!$A$11:$G$14,MAX($B$3-AS547,0)+3,0)-VLOOKUP(AS$1,'פחת מים וגביה'!$A:$D,4,0),0))*AS396/AS$425)+IF(AND(AS$7="חברה מנהלת",AS10&lt;&gt;""),+VLOOKUP(AS651,'פחתי מים לרשויות מצטרפות'!$A$12:$G$15,5,0)-VLOOKUP(AS3,'פחת מים וגביה'!$A:$D,4,0),0)</f>
        <v>0</v>
      </c>
      <c r="AT593" s="1049">
        <f>(+IF(AT547&gt;=2015,MAX(VLOOKUP(AT651,'פחתי מים לרשויות מצטרפות'!$A$11:$G$14,MAX($B$3-AT547,0)+3,0)-VLOOKUP(AT$1,'פחת מים וגביה'!$A:$D,4,0),0))*AT396/AT$425)+IF(AND(AT$7="חברה מנהלת",AT10&lt;&gt;""),+VLOOKUP(AT651,'פחתי מים לרשויות מצטרפות'!$A$12:$G$15,5,0)-VLOOKUP(AT3,'פחת מים וגביה'!$A:$D,4,0),0)</f>
        <v>0</v>
      </c>
      <c r="AU593" s="1049">
        <f>(+IF(AU547&gt;=2015,MAX(VLOOKUP(AU651,'פחתי מים לרשויות מצטרפות'!$A$11:$G$14,MAX($B$3-AU547,0)+3,0)-VLOOKUP(AU$1,'פחת מים וגביה'!$A:$D,4,0),0))*AU396/AU$425)+IF(AND(AU$7="חברה מנהלת",AU10&lt;&gt;""),+VLOOKUP(AU651,'פחתי מים לרשויות מצטרפות'!$A$12:$G$15,5,0)-VLOOKUP(AU3,'פחת מים וגביה'!$A:$D,4,0),0)</f>
        <v>0</v>
      </c>
      <c r="AV593" s="1049">
        <f>(+IF(AV547&gt;=2015,MAX(VLOOKUP(AV651,'פחתי מים לרשויות מצטרפות'!$A$11:$G$14,MAX($B$3-AV547,0)+3,0)-VLOOKUP(AV$1,'פחת מים וגביה'!$A:$D,4,0),0))*AV396/AV$425)+IF(AND(AV$7="חברה מנהלת",AV10&lt;&gt;""),+VLOOKUP(AV651,'פחתי מים לרשויות מצטרפות'!$A$12:$G$15,5,0)-VLOOKUP(AV3,'פחת מים וגביה'!$A:$D,4,0),0)</f>
        <v>0</v>
      </c>
      <c r="AW593" s="1049">
        <f>(+IF(AW547&gt;=2015,MAX(VLOOKUP(AW651,'פחתי מים לרשויות מצטרפות'!$A$11:$G$14,MAX($B$3-AW547,0)+3,0)-VLOOKUP(AW$1,'פחת מים וגביה'!$A:$D,4,0),0))*AW396/AW$425)+IF(AND(AW$7="חברה מנהלת",AW10&lt;&gt;""),+VLOOKUP(AW651,'פחתי מים לרשויות מצטרפות'!$A$12:$G$15,5,0)-VLOOKUP(AW3,'פחת מים וגביה'!$A:$D,4,0),0)</f>
        <v>0</v>
      </c>
      <c r="AX593" s="1049">
        <f>(+IF(AX547&gt;=2015,MAX(VLOOKUP(AX651,'פחתי מים לרשויות מצטרפות'!$A$11:$G$14,MAX($B$3-AX547,0)+3,0)-VLOOKUP(AX$1,'פחת מים וגביה'!$A:$D,4,0),0))*AX396/AX$425)+IF(AND(AX$7="חברה מנהלת",AX10&lt;&gt;""),+VLOOKUP(AX651,'פחתי מים לרשויות מצטרפות'!$A$12:$G$15,5,0)-VLOOKUP(AX3,'פחת מים וגביה'!$A:$D,4,0),0)</f>
        <v>0</v>
      </c>
      <c r="AY593" s="1049">
        <f>(+IF(AY547&gt;=2015,MAX(VLOOKUP(AY651,'פחתי מים לרשויות מצטרפות'!$A$11:$G$14,MAX($B$3-AY547,0)+3,0)-VLOOKUP(AY$1,'פחת מים וגביה'!$A:$D,4,0),0))*AY396/AY$425)+IF(AND(AY$7="חברה מנהלת",AY10&lt;&gt;""),+VLOOKUP(AY651,'פחתי מים לרשויות מצטרפות'!$A$12:$G$15,5,0)-VLOOKUP(AY3,'פחת מים וגביה'!$A:$D,4,0),0)</f>
        <v>0</v>
      </c>
      <c r="AZ593" s="1049">
        <f>(+IF(AZ547&gt;=2015,MAX(VLOOKUP(AZ651,'פחתי מים לרשויות מצטרפות'!$A$11:$G$14,MAX($B$3-AZ547,0)+3,0)-VLOOKUP(AZ$1,'פחת מים וגביה'!$A:$D,4,0),0))*AZ396/AZ$425)+IF(AND(AZ$7="חברה מנהלת",AZ10&lt;&gt;""),+VLOOKUP(AZ651,'פחתי מים לרשויות מצטרפות'!$A$12:$G$15,5,0)-VLOOKUP(AZ3,'פחת מים וגביה'!$A:$D,4,0),0)</f>
        <v>0</v>
      </c>
      <c r="BA593" s="1049">
        <f>(+IF(BA547&gt;=2015,MAX(VLOOKUP(BA651,'פחתי מים לרשויות מצטרפות'!$A$11:$G$14,MAX($B$3-BA547,0)+3,0)-VLOOKUP(BA$1,'פחת מים וגביה'!$A:$D,4,0),0))*BA396/BA$425)+IF(AND(BA$7="חברה מנהלת",BA10&lt;&gt;""),+VLOOKUP(BA651,'פחתי מים לרשויות מצטרפות'!$A$12:$G$15,5,0)-VLOOKUP(BA3,'פחת מים וגביה'!$A:$D,4,0),0)</f>
        <v>0</v>
      </c>
      <c r="BB593" s="1049">
        <f>(+IF(BB547&gt;=2015,MAX(VLOOKUP(BB651,'פחתי מים לרשויות מצטרפות'!$A$11:$G$14,MAX($B$3-BB547,0)+3,0)-VLOOKUP(BB$1,'פחת מים וגביה'!$A:$D,4,0),0))*BB396/BB$425)+IF(AND(BB$7="חברה מנהלת",BB10&lt;&gt;""),+VLOOKUP(BB651,'פחתי מים לרשויות מצטרפות'!$A$12:$G$15,5,0)-VLOOKUP(BB3,'פחת מים וגביה'!$A:$D,4,0),0)</f>
        <v>0</v>
      </c>
      <c r="BC593" s="1049">
        <f>(+IF(BC547&gt;=2015,MAX(VLOOKUP(BC651,'פחתי מים לרשויות מצטרפות'!$A$11:$G$14,MAX($B$3-BC547,0)+3,0)-VLOOKUP(BC$1,'פחת מים וגביה'!$A:$D,4,0),0))*BC396/BC$425)+IF(AND(BC$7="חברה מנהלת",BC10&lt;&gt;""),+VLOOKUP(BC651,'פחתי מים לרשויות מצטרפות'!$A$12:$G$15,5,0)-VLOOKUP(BC3,'פחת מים וגביה'!$A:$D,4,0),0)</f>
        <v>0</v>
      </c>
      <c r="BD593" s="1049">
        <f>(+IF(BD547&gt;=2015,MAX(VLOOKUP(BD651,'פחתי מים לרשויות מצטרפות'!$A$11:$G$14,MAX($B$3-BD547,0)+3,0)-VLOOKUP(BD$1,'פחת מים וגביה'!$A:$D,4,0),0))*BD396/BD$425)+IF(AND(BD$7="חברה מנהלת",BD10&lt;&gt;""),+VLOOKUP(BD651,'פחתי מים לרשויות מצטרפות'!$A$12:$G$15,5,0)-VLOOKUP(BD3,'פחת מים וגביה'!$A:$D,4,0),0)</f>
        <v>0</v>
      </c>
      <c r="BE593" s="1049">
        <f>(+IF(BE547&gt;=2015,MAX(VLOOKUP(BE651,'פחתי מים לרשויות מצטרפות'!$A$11:$G$14,MAX($B$3-BE547,0)+3,0)-VLOOKUP(BE$1,'פחת מים וגביה'!$A:$D,4,0),0))*BE396/BE$425)+IF(AND(BE$7="חברה מנהלת",BE10&lt;&gt;""),+VLOOKUP(BE651,'פחתי מים לרשויות מצטרפות'!$A$12:$G$15,5,0)-VLOOKUP(BE3,'פחת מים וגביה'!$A:$D,4,0),0)</f>
        <v>0</v>
      </c>
      <c r="BF593" s="1049">
        <f>(+IF(BF547&gt;=2015,MAX(VLOOKUP(BF651,'פחתי מים לרשויות מצטרפות'!$A$11:$G$14,MAX($B$3-BF547,0)+3,0)-VLOOKUP(BF$1,'פחת מים וגביה'!$A:$D,4,0),0))*BF396/BF$425)+IF(AND(BF$7="חברה מנהלת",BF10&lt;&gt;""),+VLOOKUP(BF651,'פחתי מים לרשויות מצטרפות'!$A$12:$G$15,5,0)-VLOOKUP(BF3,'פחת מים וגביה'!$A:$D,4,0),0)</f>
        <v>0</v>
      </c>
    </row>
    <row r="594" spans="3:58" x14ac:dyDescent="0.2">
      <c r="C594" s="1049">
        <f>(+IF(C548&gt;=2015,MAX(VLOOKUP(C652,'פחתי מים לרשויות מצטרפות'!$A$11:$G$14,MAX($B$3-C548,0)+3,0)-VLOOKUP(C$1,'פחת מים וגביה'!$A:$D,4,0),0))*C397/C$425)+IF(AND(C$7="חברה מנהלת",C11&lt;&gt;""),+VLOOKUP(C652,'פחתי מים לרשויות מצטרפות'!$A$12:$G$15,5,0)-VLOOKUP(C4,'פחת מים וגביה'!$A:$D,4,0),0)</f>
        <v>0</v>
      </c>
      <c r="D594" s="1049">
        <f>(+IF(D548&gt;=2015,MAX(VLOOKUP(D652,'פחתי מים לרשויות מצטרפות'!$A$11:$G$14,MAX($B$3-D548,0)+3,0)-VLOOKUP(D$1,'פחת מים וגביה'!$A:$D,4,0),0))*D397/D$425)+IF(AND(D$7="חברה מנהלת",D11&lt;&gt;""),+VLOOKUP(D652,'פחתי מים לרשויות מצטרפות'!$A$12:$G$15,5,0)-VLOOKUP(D4,'פחת מים וגביה'!$A:$D,4,0),0)</f>
        <v>2.0545011756802151E-2</v>
      </c>
      <c r="E594" s="1049">
        <f>(+IF(E548&gt;=2015,MAX(VLOOKUP(E652,'פחתי מים לרשויות מצטרפות'!$A$11:$G$14,MAX($B$3-E548,0)+3,0)-VLOOKUP(E$1,'פחת מים וגביה'!$A:$D,4,0),0))*E397/E$425)+IF(AND(E$7="חברה מנהלת",E11&lt;&gt;""),+VLOOKUP(E652,'פחתי מים לרשויות מצטרפות'!$A$12:$G$15,5,0)-VLOOKUP(E4,'פחת מים וגביה'!$A:$D,4,0),0)</f>
        <v>0</v>
      </c>
      <c r="F594" s="1049">
        <f>(+IF(F548&gt;=2015,MAX(VLOOKUP(F652,'פחתי מים לרשויות מצטרפות'!$A$11:$G$14,MAX($B$3-F548,0)+3,0)-VLOOKUP(F$1,'פחת מים וגביה'!$A:$D,4,0),0))*F397/F$425)+IF(AND(F$7="חברה מנהלת",F11&lt;&gt;""),+VLOOKUP(F652,'פחתי מים לרשויות מצטרפות'!$A$12:$G$15,5,0)-VLOOKUP(F4,'פחת מים וגביה'!$A:$D,4,0),0)</f>
        <v>0</v>
      </c>
      <c r="G594" s="1049">
        <f>(+IF(G548&gt;=2015,MAX(VLOOKUP(G652,'פחתי מים לרשויות מצטרפות'!$A$11:$G$14,MAX($B$3-G548,0)+3,0)-VLOOKUP(G$1,'פחת מים וגביה'!$A:$D,4,0),0))*G397/G$425)+IF(AND(G$7="חברה מנהלת",G11&lt;&gt;""),+VLOOKUP(G652,'פחתי מים לרשויות מצטרפות'!$A$12:$G$15,5,0)-VLOOKUP(G4,'פחת מים וגביה'!$A:$D,4,0),0)</f>
        <v>0</v>
      </c>
      <c r="H594" s="1049">
        <f>(+IF(H548&gt;=2015,MAX(VLOOKUP(H652,'פחתי מים לרשויות מצטרפות'!$A$11:$G$14,MAX($B$3-H548,0)+3,0)-VLOOKUP(H$1,'פחת מים וגביה'!$A:$D,4,0),0))*H397/H$425)+IF(AND(H$7="חברה מנהלת",H11&lt;&gt;""),+VLOOKUP(H652,'פחתי מים לרשויות מצטרפות'!$A$12:$G$15,5,0)-VLOOKUP(H4,'פחת מים וגביה'!$A:$D,4,0),0)</f>
        <v>0</v>
      </c>
      <c r="I594" s="1049">
        <f>(+IF(I548&gt;=2015,MAX(VLOOKUP(I652,'פחתי מים לרשויות מצטרפות'!$A$11:$G$14,MAX($B$3-I548,0)+3,0)-VLOOKUP(I$1,'פחת מים וגביה'!$A:$D,4,0),0))*I397/I$425)+IF(AND(I$7="חברה מנהלת",I11&lt;&gt;""),+VLOOKUP(I652,'פחתי מים לרשויות מצטרפות'!$A$12:$G$15,5,0)-VLOOKUP(I4,'פחת מים וגביה'!$A:$D,4,0),0)</f>
        <v>0</v>
      </c>
      <c r="J594" s="1049">
        <f>(+IF(J548&gt;=2015,MAX(VLOOKUP(J652,'פחתי מים לרשויות מצטרפות'!$A$11:$G$14,MAX($B$3-J548,0)+3,0)-VLOOKUP(J$1,'פחת מים וגביה'!$A:$D,4,0),0))*J397/J$425)+IF(AND(J$7="חברה מנהלת",J11&lt;&gt;""),+VLOOKUP(J652,'פחתי מים לרשויות מצטרפות'!$A$12:$G$15,5,0)-VLOOKUP(J4,'פחת מים וגביה'!$A:$D,4,0),0)</f>
        <v>0</v>
      </c>
      <c r="K594" s="1049">
        <f>(+IF(K548&gt;=2015,MAX(VLOOKUP(K652,'פחתי מים לרשויות מצטרפות'!$A$11:$G$14,MAX($B$3-K548,0)+3,0)-VLOOKUP(K$1,'פחת מים וגביה'!$A:$D,4,0),0))*K397/K$425)+IF(AND(K$7="חברה מנהלת",K11&lt;&gt;""),+VLOOKUP(K652,'פחתי מים לרשויות מצטרפות'!$A$12:$G$15,5,0)-VLOOKUP(K4,'פחת מים וגביה'!$A:$D,4,0),0)</f>
        <v>0</v>
      </c>
      <c r="L594" s="1049">
        <f>(+IF(L548&gt;=2015,MAX(VLOOKUP(L652,'פחתי מים לרשויות מצטרפות'!$A$11:$G$14,MAX($B$3-L548,0)+3,0)-VLOOKUP(L$1,'פחת מים וגביה'!$A:$D,4,0),0))*L397/L$425)+IF(AND(L$7="חברה מנהלת",L11&lt;&gt;""),+VLOOKUP(L652,'פחתי מים לרשויות מצטרפות'!$A$12:$G$15,5,0)-VLOOKUP(L4,'פחת מים וגביה'!$A:$D,4,0),0)</f>
        <v>0</v>
      </c>
      <c r="M594" s="1049">
        <f>(+IF(M548&gt;=2015,MAX(VLOOKUP(M652,'פחתי מים לרשויות מצטרפות'!$A$11:$G$14,MAX($B$3-M548,0)+3,0)-VLOOKUP(M$1,'פחת מים וגביה'!$A:$D,4,0),0))*M397/M$425)+IF(AND(M$7="חברה מנהלת",M11&lt;&gt;""),+VLOOKUP(M652,'פחתי מים לרשויות מצטרפות'!$A$12:$G$15,5,0)-VLOOKUP(M4,'פחת מים וגביה'!$A:$D,4,0),0)</f>
        <v>0</v>
      </c>
      <c r="N594" s="1049">
        <f>(+IF(N548&gt;=2015,MAX(VLOOKUP(N652,'פחתי מים לרשויות מצטרפות'!$A$11:$G$14,MAX($B$3-N548,0)+3,0)-VLOOKUP(N$1,'פחת מים וגביה'!$A:$D,4,0),0))*N397/N$425)+IF(AND(N$7="חברה מנהלת",N11&lt;&gt;""),+VLOOKUP(N652,'פחתי מים לרשויות מצטרפות'!$A$12:$G$15,5,0)-VLOOKUP(N4,'פחת מים וגביה'!$A:$D,4,0),0)</f>
        <v>0</v>
      </c>
      <c r="O594" s="1049">
        <f>(+IF(O548&gt;=2015,MAX(VLOOKUP(O652,'פחתי מים לרשויות מצטרפות'!$A$11:$G$14,MAX($B$3-O548,0)+3,0)-VLOOKUP(O$1,'פחת מים וגביה'!$A:$D,4,0),0))*O397/O$425)+IF(AND(O$7="חברה מנהלת",O11&lt;&gt;""),+VLOOKUP(O652,'פחתי מים לרשויות מצטרפות'!$A$12:$G$15,5,0)-VLOOKUP(O4,'פחת מים וגביה'!$A:$D,4,0),0)</f>
        <v>0</v>
      </c>
      <c r="P594" s="1049">
        <f>(+IF(P548&gt;=2015,MAX(VLOOKUP(P652,'פחתי מים לרשויות מצטרפות'!$A$11:$G$14,MAX($B$3-P548,0)+3,0)-VLOOKUP(P$1,'פחת מים וגביה'!$A:$D,4,0),0))*P397/P$425)+IF(AND(P$7="חברה מנהלת",P11&lt;&gt;""),+VLOOKUP(P652,'פחתי מים לרשויות מצטרפות'!$A$12:$G$15,5,0)-VLOOKUP(P4,'פחת מים וגביה'!$A:$D,4,0),0)</f>
        <v>0</v>
      </c>
      <c r="Q594" s="1049">
        <f>(+IF(Q548&gt;=2015,MAX(VLOOKUP(Q652,'פחתי מים לרשויות מצטרפות'!$A$11:$G$14,MAX($B$3-Q548,0)+3,0)-VLOOKUP(Q$1,'פחת מים וגביה'!$A:$D,4,0),0))*Q397/Q$425)+IF(AND(Q$7="חברה מנהלת",Q11&lt;&gt;""),+VLOOKUP(Q652,'פחתי מים לרשויות מצטרפות'!$A$12:$G$15,5,0)-VLOOKUP(Q4,'פחת מים וגביה'!$A:$D,4,0),0)</f>
        <v>0</v>
      </c>
      <c r="R594" s="1049">
        <f>(+IF(R548&gt;=2015,MAX(VLOOKUP(R652,'פחתי מים לרשויות מצטרפות'!$A$11:$G$14,MAX($B$3-R548,0)+3,0)-VLOOKUP(R$1,'פחת מים וגביה'!$A:$D,4,0),0))*R397/R$425)+IF(AND(R$7="חברה מנהלת",R11&lt;&gt;""),+VLOOKUP(R652,'פחתי מים לרשויות מצטרפות'!$A$12:$G$15,5,0)-VLOOKUP(R4,'פחת מים וגביה'!$A:$D,4,0),0)</f>
        <v>0</v>
      </c>
      <c r="S594" s="1049">
        <f>(+IF(S548&gt;=2015,MAX(VLOOKUP(S652,'פחתי מים לרשויות מצטרפות'!$A$11:$G$14,MAX($B$3-S548,0)+3,0)-VLOOKUP(S$1,'פחת מים וגביה'!$A:$D,4,0),0))*S397/S$425)+IF(AND(S$7="חברה מנהלת",S11&lt;&gt;""),+VLOOKUP(S652,'פחתי מים לרשויות מצטרפות'!$A$12:$G$15,5,0)-VLOOKUP(S4,'פחת מים וגביה'!$A:$D,4,0),0)</f>
        <v>0</v>
      </c>
      <c r="T594" s="1049">
        <f>(+IF(T548&gt;=2015,MAX(VLOOKUP(T652,'פחתי מים לרשויות מצטרפות'!$A$11:$G$14,MAX($B$3-T548,0)+3,0)-VLOOKUP(T$1,'פחת מים וגביה'!$A:$D,4,0),0))*T397/T$425)+IF(AND(T$7="חברה מנהלת",T11&lt;&gt;""),+VLOOKUP(T652,'פחתי מים לרשויות מצטרפות'!$A$12:$G$15,5,0)-VLOOKUP(T4,'פחת מים וגביה'!$A:$D,4,0),0)</f>
        <v>0</v>
      </c>
      <c r="U594" s="1049">
        <f>(+IF(U548&gt;=2015,MAX(VLOOKUP(U652,'פחתי מים לרשויות מצטרפות'!$A$11:$G$14,MAX($B$3-U548,0)+3,0)-VLOOKUP(U$1,'פחת מים וגביה'!$A:$D,4,0),0))*U397/U$425)+IF(AND(U$7="חברה מנהלת",U11&lt;&gt;""),+VLOOKUP(U652,'פחתי מים לרשויות מצטרפות'!$A$12:$G$15,5,0)-VLOOKUP(U4,'פחת מים וגביה'!$A:$D,4,0),0)</f>
        <v>0</v>
      </c>
      <c r="V594" s="1049">
        <f>(+IF(V548&gt;=2015,MAX(VLOOKUP(V652,'פחתי מים לרשויות מצטרפות'!$A$11:$G$14,MAX($B$3-V548,0)+3,0)-VLOOKUP(V$1,'פחת מים וגביה'!$A:$D,4,0),0))*V397/V$425)+IF(AND(V$7="חברה מנהלת",V11&lt;&gt;""),+VLOOKUP(V652,'פחתי מים לרשויות מצטרפות'!$A$12:$G$15,5,0)-VLOOKUP(V4,'פחת מים וגביה'!$A:$D,4,0),0)</f>
        <v>0</v>
      </c>
      <c r="W594" s="1049">
        <f>(+IF(W548&gt;=2015,MAX(VLOOKUP(W652,'פחתי מים לרשויות מצטרפות'!$A$11:$G$14,MAX($B$3-W548,0)+3,0)-VLOOKUP(W$1,'פחת מים וגביה'!$A:$D,4,0),0))*W397/W$425)+IF(AND(W$7="חברה מנהלת",W11&lt;&gt;""),+VLOOKUP(W652,'פחתי מים לרשויות מצטרפות'!$A$12:$G$15,5,0)-VLOOKUP(W4,'פחת מים וגביה'!$A:$D,4,0),0)</f>
        <v>0</v>
      </c>
      <c r="X594" s="1049">
        <f>(+IF(X548&gt;=2015,MAX(VLOOKUP(X652,'פחתי מים לרשויות מצטרפות'!$A$11:$G$14,MAX($B$3-X548,0)+3,0)-VLOOKUP(X$1,'פחת מים וגביה'!$A:$D,4,0),0))*X397/X$425)+IF(AND(X$7="חברה מנהלת",X11&lt;&gt;""),+VLOOKUP(X652,'פחתי מים לרשויות מצטרפות'!$A$12:$G$15,5,0)-VLOOKUP(X4,'פחת מים וגביה'!$A:$D,4,0),0)</f>
        <v>0</v>
      </c>
      <c r="Y594" s="1049">
        <f>(+IF(Y548&gt;=2015,MAX(VLOOKUP(Y652,'פחתי מים לרשויות מצטרפות'!$A$11:$G$14,MAX($B$3-Y548,0)+3,0)-VLOOKUP(Y$1,'פחת מים וגביה'!$A:$D,4,0),0))*Y397/Y$425)+IF(AND(Y$7="חברה מנהלת",Y11&lt;&gt;""),+VLOOKUP(Y652,'פחתי מים לרשויות מצטרפות'!$A$12:$G$15,5,0)-VLOOKUP(Y4,'פחת מים וגביה'!$A:$D,4,0),0)</f>
        <v>0</v>
      </c>
      <c r="Z594" s="1049">
        <f>(+IF(Z548&gt;=2015,MAX(VLOOKUP(Z652,'פחתי מים לרשויות מצטרפות'!$A$11:$G$14,MAX($B$3-Z548,0)+3,0)-VLOOKUP(Z$1,'פחת מים וגביה'!$A:$D,4,0),0))*Z397/Z$425)+IF(AND(Z$7="חברה מנהלת",Z11&lt;&gt;""),+VLOOKUP(Z652,'פחתי מים לרשויות מצטרפות'!$A$12:$G$15,5,0)-VLOOKUP(Z4,'פחת מים וגביה'!$A:$D,4,0),0)</f>
        <v>0</v>
      </c>
      <c r="AA594" s="1049">
        <f>(+IF(AA548&gt;=2015,MAX(VLOOKUP(AA652,'פחתי מים לרשויות מצטרפות'!$A$11:$G$14,MAX($B$3-AA548,0)+3,0)-VLOOKUP(AA$1,'פחת מים וגביה'!$A:$D,4,0),0))*AA397/AA$425)+IF(AND(AA$7="חברה מנהלת",AA11&lt;&gt;""),+VLOOKUP(AA652,'פחתי מים לרשויות מצטרפות'!$A$12:$G$15,5,0)-VLOOKUP(AA4,'פחת מים וגביה'!$A:$D,4,0),0)</f>
        <v>0</v>
      </c>
      <c r="AB594" s="1049">
        <f>(+IF(AB548&gt;=2015,MAX(VLOOKUP(AB652,'פחתי מים לרשויות מצטרפות'!$A$11:$G$14,MAX($B$3-AB548,0)+3,0)-VLOOKUP(AB$1,'פחת מים וגביה'!$A:$D,4,0),0))*AB397/AB$425)+IF(AND(AB$7="חברה מנהלת",AB11&lt;&gt;""),+VLOOKUP(AB652,'פחתי מים לרשויות מצטרפות'!$A$12:$G$15,5,0)-VLOOKUP(AB4,'פחת מים וגביה'!$A:$D,4,0),0)</f>
        <v>0</v>
      </c>
      <c r="AC594" s="1049">
        <f>(+IF(AC548&gt;=2015,MAX(VLOOKUP(AC652,'פחתי מים לרשויות מצטרפות'!$A$11:$G$14,MAX($B$3-AC548,0)+3,0)-VLOOKUP(AC$1,'פחת מים וגביה'!$A:$D,4,0),0))*AC397/AC$425)+IF(AND(AC$7="חברה מנהלת",AC11&lt;&gt;""),+VLOOKUP(AC652,'פחתי מים לרשויות מצטרפות'!$A$12:$G$15,5,0)-VLOOKUP(AC4,'פחת מים וגביה'!$A:$D,4,0),0)</f>
        <v>0</v>
      </c>
      <c r="AD594" s="1049">
        <f>(+IF(AD548&gt;=2015,MAX(VLOOKUP(AD652,'פחתי מים לרשויות מצטרפות'!$A$11:$G$14,MAX($B$3-AD548,0)+3,0)-VLOOKUP(AD$1,'פחת מים וגביה'!$A:$D,4,0),0))*AD397/AD$425)+IF(AND(AD$7="חברה מנהלת",AD11&lt;&gt;""),+VLOOKUP(AD652,'פחתי מים לרשויות מצטרפות'!$A$12:$G$15,5,0)-VLOOKUP(AD4,'פחת מים וגביה'!$A:$D,4,0),0)</f>
        <v>0</v>
      </c>
      <c r="AE594" s="1049">
        <f>(+IF(AE548&gt;=2015,MAX(VLOOKUP(AE652,'פחתי מים לרשויות מצטרפות'!$A$11:$G$14,MAX($B$3-AE548,0)+3,0)-VLOOKUP(AE$1,'פחת מים וגביה'!$A:$D,4,0),0))*AE397/AE$425)+IF(AND(AE$7="חברה מנהלת",AE11&lt;&gt;""),+VLOOKUP(AE652,'פחתי מים לרשויות מצטרפות'!$A$12:$G$15,5,0)-VLOOKUP(AE4,'פחת מים וגביה'!$A:$D,4,0),0)</f>
        <v>0</v>
      </c>
      <c r="AF594" s="1049">
        <f>(+IF(AF548&gt;=2015,MAX(VLOOKUP(AF652,'פחתי מים לרשויות מצטרפות'!$A$11:$G$14,MAX($B$3-AF548,0)+3,0)-VLOOKUP(AF$1,'פחת מים וגביה'!$A:$D,4,0),0))*AF397/AF$425)+IF(AND(AF$7="חברה מנהלת",AF11&lt;&gt;""),+VLOOKUP(AF652,'פחתי מים לרשויות מצטרפות'!$A$12:$G$15,5,0)-VLOOKUP(AF4,'פחת מים וגביה'!$A:$D,4,0),0)</f>
        <v>0</v>
      </c>
      <c r="AG594" s="1049">
        <f>(+IF(AG548&gt;=2015,MAX(VLOOKUP(AG652,'פחתי מים לרשויות מצטרפות'!$A$11:$G$14,MAX($B$3-AG548,0)+3,0)-VLOOKUP(AG$1,'פחת מים וגביה'!$A:$D,4,0),0))*AG397/AG$425)+IF(AND(AG$7="חברה מנהלת",AG11&lt;&gt;""),+VLOOKUP(AG652,'פחתי מים לרשויות מצטרפות'!$A$12:$G$15,5,0)-VLOOKUP(AG4,'פחת מים וגביה'!$A:$D,4,0),0)</f>
        <v>0</v>
      </c>
      <c r="AH594" s="1049">
        <f>(+IF(AH548&gt;=2015,MAX(VLOOKUP(AH652,'פחתי מים לרשויות מצטרפות'!$A$11:$G$14,MAX($B$3-AH548,0)+3,0)-VLOOKUP(AH$1,'פחת מים וגביה'!$A:$D,4,0),0))*AH397/AH$425)+IF(AND(AH$7="חברה מנהלת",AH11&lt;&gt;""),+VLOOKUP(AH652,'פחתי מים לרשויות מצטרפות'!$A$12:$G$15,5,0)-VLOOKUP(AH4,'פחת מים וגביה'!$A:$D,4,0),0)</f>
        <v>0</v>
      </c>
      <c r="AI594" s="1049">
        <f>(+IF(AI548&gt;=2015,MAX(VLOOKUP(AI652,'פחתי מים לרשויות מצטרפות'!$A$11:$G$14,MAX($B$3-AI548,0)+3,0)-VLOOKUP(AI$1,'פחת מים וגביה'!$A:$D,4,0),0))*AI397/AI$425)+IF(AND(AI$7="חברה מנהלת",AI11&lt;&gt;""),+VLOOKUP(AI652,'פחתי מים לרשויות מצטרפות'!$A$12:$G$15,5,0)-VLOOKUP(AI4,'פחת מים וגביה'!$A:$D,4,0),0)</f>
        <v>0</v>
      </c>
      <c r="AJ594" s="1049">
        <f>(+IF(AJ548&gt;=2015,MAX(VLOOKUP(AJ652,'פחתי מים לרשויות מצטרפות'!$A$11:$G$14,MAX($B$3-AJ548,0)+3,0)-VLOOKUP(AJ$1,'פחת מים וגביה'!$A:$D,4,0),0))*AJ397/AJ$425)+IF(AND(AJ$7="חברה מנהלת",AJ11&lt;&gt;""),+VLOOKUP(AJ652,'פחתי מים לרשויות מצטרפות'!$A$12:$G$15,5,0)-VLOOKUP(AJ4,'פחת מים וגביה'!$A:$D,4,0),0)</f>
        <v>0</v>
      </c>
      <c r="AK594" s="1049">
        <f>(+IF(AK548&gt;=2015,MAX(VLOOKUP(AK652,'פחתי מים לרשויות מצטרפות'!$A$11:$G$14,MAX($B$3-AK548,0)+3,0)-VLOOKUP(AK$1,'פחת מים וגביה'!$A:$D,4,0),0))*AK397/AK$425)+IF(AND(AK$7="חברה מנהלת",AK11&lt;&gt;""),+VLOOKUP(AK652,'פחתי מים לרשויות מצטרפות'!$A$12:$G$15,5,0)-VLOOKUP(AK4,'פחת מים וגביה'!$A:$D,4,0),0)</f>
        <v>0</v>
      </c>
      <c r="AL594" s="1049">
        <f>(+IF(AL548&gt;=2015,MAX(VLOOKUP(AL652,'פחתי מים לרשויות מצטרפות'!$A$11:$G$14,MAX($B$3-AL548,0)+3,0)-VLOOKUP(AL$1,'פחת מים וגביה'!$A:$D,4,0),0))*AL397/AL$425)+IF(AND(AL$7="חברה מנהלת",AL11&lt;&gt;""),+VLOOKUP(AL652,'פחתי מים לרשויות מצטרפות'!$A$12:$G$15,5,0)-VLOOKUP(AL4,'פחת מים וגביה'!$A:$D,4,0),0)</f>
        <v>0</v>
      </c>
      <c r="AM594" s="1049">
        <f>(+IF(AM548&gt;=2015,MAX(VLOOKUP(AM652,'פחתי מים לרשויות מצטרפות'!$A$11:$G$14,MAX($B$3-AM548,0)+3,0)-VLOOKUP(AM$1,'פחת מים וגביה'!$A:$D,4,0),0))*AM397/AM$425)+IF(AND(AM$7="חברה מנהלת",AM11&lt;&gt;""),+VLOOKUP(AM652,'פחתי מים לרשויות מצטרפות'!$A$12:$G$15,5,0)-VLOOKUP(AM4,'פחת מים וגביה'!$A:$D,4,0),0)</f>
        <v>0</v>
      </c>
      <c r="AN594" s="1049">
        <f>(+IF(AN548&gt;=2015,MAX(VLOOKUP(AN652,'פחתי מים לרשויות מצטרפות'!$A$11:$G$14,MAX($B$3-AN548,0)+3,0)-VLOOKUP(AN$1,'פחת מים וגביה'!$A:$D,4,0),0))*AN397/AN$425)+IF(AND(AN$7="חברה מנהלת",AN11&lt;&gt;""),+VLOOKUP(AN652,'פחתי מים לרשויות מצטרפות'!$A$12:$G$15,5,0)-VLOOKUP(AN4,'פחת מים וגביה'!$A:$D,4,0),0)</f>
        <v>0</v>
      </c>
      <c r="AO594" s="1049">
        <f>(+IF(AO548&gt;=2015,MAX(VLOOKUP(AO652,'פחתי מים לרשויות מצטרפות'!$A$11:$G$14,MAX($B$3-AO548,0)+3,0)-VLOOKUP(AO$1,'פחת מים וגביה'!$A:$D,4,0),0))*AO397/AO$425)+IF(AND(AO$7="חברה מנהלת",AO11&lt;&gt;""),+VLOOKUP(AO652,'פחתי מים לרשויות מצטרפות'!$A$12:$G$15,5,0)-VLOOKUP(AO4,'פחת מים וגביה'!$A:$D,4,0),0)</f>
        <v>0</v>
      </c>
      <c r="AP594" s="1049">
        <f>(+IF(AP548&gt;=2015,MAX(VLOOKUP(AP652,'פחתי מים לרשויות מצטרפות'!$A$11:$G$14,MAX($B$3-AP548,0)+3,0)-VLOOKUP(AP$1,'פחת מים וגביה'!$A:$D,4,0),0))*AP397/AP$425)+IF(AND(AP$7="חברה מנהלת",AP11&lt;&gt;""),+VLOOKUP(AP652,'פחתי מים לרשויות מצטרפות'!$A$12:$G$15,5,0)-VLOOKUP(AP4,'פחת מים וגביה'!$A:$D,4,0),0)</f>
        <v>0</v>
      </c>
      <c r="AQ594" s="1049">
        <f>(+IF(AQ548&gt;=2015,MAX(VLOOKUP(AQ652,'פחתי מים לרשויות מצטרפות'!$A$11:$G$14,MAX($B$3-AQ548,0)+3,0)-VLOOKUP(AQ$1,'פחת מים וגביה'!$A:$D,4,0),0))*AQ397/AQ$425)+IF(AND(AQ$7="חברה מנהלת",AQ11&lt;&gt;""),+VLOOKUP(AQ652,'פחתי מים לרשויות מצטרפות'!$A$12:$G$15,5,0)-VLOOKUP(AQ4,'פחת מים וגביה'!$A:$D,4,0),0)</f>
        <v>0</v>
      </c>
      <c r="AR594" s="1049">
        <f>(+IF(AR548&gt;=2015,MAX(VLOOKUP(AR652,'פחתי מים לרשויות מצטרפות'!$A$11:$G$14,MAX($B$3-AR548,0)+3,0)-VLOOKUP(AR$1,'פחת מים וגביה'!$A:$D,4,0),0))*AR397/AR$425)+IF(AND(AR$7="חברה מנהלת",AR11&lt;&gt;""),+VLOOKUP(AR652,'פחתי מים לרשויות מצטרפות'!$A$12:$G$15,5,0)-VLOOKUP(AR4,'פחת מים וגביה'!$A:$D,4,0),0)</f>
        <v>0</v>
      </c>
      <c r="AS594" s="1049">
        <f>(+IF(AS548&gt;=2015,MAX(VLOOKUP(AS652,'פחתי מים לרשויות מצטרפות'!$A$11:$G$14,MAX($B$3-AS548,0)+3,0)-VLOOKUP(AS$1,'פחת מים וגביה'!$A:$D,4,0),0))*AS397/AS$425)+IF(AND(AS$7="חברה מנהלת",AS11&lt;&gt;""),+VLOOKUP(AS652,'פחתי מים לרשויות מצטרפות'!$A$12:$G$15,5,0)-VLOOKUP(AS4,'פחת מים וגביה'!$A:$D,4,0),0)</f>
        <v>0</v>
      </c>
      <c r="AT594" s="1049">
        <f>(+IF(AT548&gt;=2015,MAX(VLOOKUP(AT652,'פחתי מים לרשויות מצטרפות'!$A$11:$G$14,MAX($B$3-AT548,0)+3,0)-VLOOKUP(AT$1,'פחת מים וגביה'!$A:$D,4,0),0))*AT397/AT$425)+IF(AND(AT$7="חברה מנהלת",AT11&lt;&gt;""),+VLOOKUP(AT652,'פחתי מים לרשויות מצטרפות'!$A$12:$G$15,5,0)-VLOOKUP(AT4,'פחת מים וגביה'!$A:$D,4,0),0)</f>
        <v>0</v>
      </c>
      <c r="AU594" s="1049">
        <f>(+IF(AU548&gt;=2015,MAX(VLOOKUP(AU652,'פחתי מים לרשויות מצטרפות'!$A$11:$G$14,MAX($B$3-AU548,0)+3,0)-VLOOKUP(AU$1,'פחת מים וגביה'!$A:$D,4,0),0))*AU397/AU$425)+IF(AND(AU$7="חברה מנהלת",AU11&lt;&gt;""),+VLOOKUP(AU652,'פחתי מים לרשויות מצטרפות'!$A$12:$G$15,5,0)-VLOOKUP(AU4,'פחת מים וגביה'!$A:$D,4,0),0)</f>
        <v>0</v>
      </c>
      <c r="AV594" s="1049">
        <f>(+IF(AV548&gt;=2015,MAX(VLOOKUP(AV652,'פחתי מים לרשויות מצטרפות'!$A$11:$G$14,MAX($B$3-AV548,0)+3,0)-VLOOKUP(AV$1,'פחת מים וגביה'!$A:$D,4,0),0))*AV397/AV$425)+IF(AND(AV$7="חברה מנהלת",AV11&lt;&gt;""),+VLOOKUP(AV652,'פחתי מים לרשויות מצטרפות'!$A$12:$G$15,5,0)-VLOOKUP(AV4,'פחת מים וגביה'!$A:$D,4,0),0)</f>
        <v>0</v>
      </c>
      <c r="AW594" s="1049">
        <f>(+IF(AW548&gt;=2015,MAX(VLOOKUP(AW652,'פחתי מים לרשויות מצטרפות'!$A$11:$G$14,MAX($B$3-AW548,0)+3,0)-VLOOKUP(AW$1,'פחת מים וגביה'!$A:$D,4,0),0))*AW397/AW$425)+IF(AND(AW$7="חברה מנהלת",AW11&lt;&gt;""),+VLOOKUP(AW652,'פחתי מים לרשויות מצטרפות'!$A$12:$G$15,5,0)-VLOOKUP(AW4,'פחת מים וגביה'!$A:$D,4,0),0)</f>
        <v>0</v>
      </c>
      <c r="AX594" s="1049">
        <f>(+IF(AX548&gt;=2015,MAX(VLOOKUP(AX652,'פחתי מים לרשויות מצטרפות'!$A$11:$G$14,MAX($B$3-AX548,0)+3,0)-VLOOKUP(AX$1,'פחת מים וגביה'!$A:$D,4,0),0))*AX397/AX$425)+IF(AND(AX$7="חברה מנהלת",AX11&lt;&gt;""),+VLOOKUP(AX652,'פחתי מים לרשויות מצטרפות'!$A$12:$G$15,5,0)-VLOOKUP(AX4,'פחת מים וגביה'!$A:$D,4,0),0)</f>
        <v>0</v>
      </c>
      <c r="AY594" s="1049">
        <f>(+IF(AY548&gt;=2015,MAX(VLOOKUP(AY652,'פחתי מים לרשויות מצטרפות'!$A$11:$G$14,MAX($B$3-AY548,0)+3,0)-VLOOKUP(AY$1,'פחת מים וגביה'!$A:$D,4,0),0))*AY397/AY$425)+IF(AND(AY$7="חברה מנהלת",AY11&lt;&gt;""),+VLOOKUP(AY652,'פחתי מים לרשויות מצטרפות'!$A$12:$G$15,5,0)-VLOOKUP(AY4,'פחת מים וגביה'!$A:$D,4,0),0)</f>
        <v>0</v>
      </c>
      <c r="AZ594" s="1049">
        <f>(+IF(AZ548&gt;=2015,MAX(VLOOKUP(AZ652,'פחתי מים לרשויות מצטרפות'!$A$11:$G$14,MAX($B$3-AZ548,0)+3,0)-VLOOKUP(AZ$1,'פחת מים וגביה'!$A:$D,4,0),0))*AZ397/AZ$425)+IF(AND(AZ$7="חברה מנהלת",AZ11&lt;&gt;""),+VLOOKUP(AZ652,'פחתי מים לרשויות מצטרפות'!$A$12:$G$15,5,0)-VLOOKUP(AZ4,'פחת מים וגביה'!$A:$D,4,0),0)</f>
        <v>3.232139450941265E-3</v>
      </c>
      <c r="BA594" s="1049">
        <f>(+IF(BA548&gt;=2015,MAX(VLOOKUP(BA652,'פחתי מים לרשויות מצטרפות'!$A$11:$G$14,MAX($B$3-BA548,0)+3,0)-VLOOKUP(BA$1,'פחת מים וגביה'!$A:$D,4,0),0))*BA397/BA$425)+IF(AND(BA$7="חברה מנהלת",BA11&lt;&gt;""),+VLOOKUP(BA652,'פחתי מים לרשויות מצטרפות'!$A$12:$G$15,5,0)-VLOOKUP(BA4,'פחת מים וגביה'!$A:$D,4,0),0)</f>
        <v>0</v>
      </c>
      <c r="BB594" s="1049">
        <f>(+IF(BB548&gt;=2015,MAX(VLOOKUP(BB652,'פחתי מים לרשויות מצטרפות'!$A$11:$G$14,MAX($B$3-BB548,0)+3,0)-VLOOKUP(BB$1,'פחת מים וגביה'!$A:$D,4,0),0))*BB397/BB$425)+IF(AND(BB$7="חברה מנהלת",BB11&lt;&gt;""),+VLOOKUP(BB652,'פחתי מים לרשויות מצטרפות'!$A$12:$G$15,5,0)-VLOOKUP(BB4,'פחת מים וגביה'!$A:$D,4,0),0)</f>
        <v>0</v>
      </c>
      <c r="BC594" s="1049">
        <f>(+IF(BC548&gt;=2015,MAX(VLOOKUP(BC652,'פחתי מים לרשויות מצטרפות'!$A$11:$G$14,MAX($B$3-BC548,0)+3,0)-VLOOKUP(BC$1,'פחת מים וגביה'!$A:$D,4,0),0))*BC397/BC$425)+IF(AND(BC$7="חברה מנהלת",BC11&lt;&gt;""),+VLOOKUP(BC652,'פחתי מים לרשויות מצטרפות'!$A$12:$G$15,5,0)-VLOOKUP(BC4,'פחת מים וגביה'!$A:$D,4,0),0)</f>
        <v>0</v>
      </c>
      <c r="BD594" s="1049">
        <f>(+IF(BD548&gt;=2015,MAX(VLOOKUP(BD652,'פחתי מים לרשויות מצטרפות'!$A$11:$G$14,MAX($B$3-BD548,0)+3,0)-VLOOKUP(BD$1,'פחת מים וגביה'!$A:$D,4,0),0))*BD397/BD$425)+IF(AND(BD$7="חברה מנהלת",BD11&lt;&gt;""),+VLOOKUP(BD652,'פחתי מים לרשויות מצטרפות'!$A$12:$G$15,5,0)-VLOOKUP(BD4,'פחת מים וגביה'!$A:$D,4,0),0)</f>
        <v>0</v>
      </c>
      <c r="BE594" s="1049">
        <f>(+IF(BE548&gt;=2015,MAX(VLOOKUP(BE652,'פחתי מים לרשויות מצטרפות'!$A$11:$G$14,MAX($B$3-BE548,0)+3,0)-VLOOKUP(BE$1,'פחת מים וגביה'!$A:$D,4,0),0))*BE397/BE$425)+IF(AND(BE$7="חברה מנהלת",BE11&lt;&gt;""),+VLOOKUP(BE652,'פחתי מים לרשויות מצטרפות'!$A$12:$G$15,5,0)-VLOOKUP(BE4,'פחת מים וגביה'!$A:$D,4,0),0)</f>
        <v>0</v>
      </c>
      <c r="BF594" s="1049">
        <f>(+IF(BF548&gt;=2015,MAX(VLOOKUP(BF652,'פחתי מים לרשויות מצטרפות'!$A$11:$G$14,MAX($B$3-BF548,0)+3,0)-VLOOKUP(BF$1,'פחת מים וגביה'!$A:$D,4,0),0))*BF397/BF$425)+IF(AND(BF$7="חברה מנהלת",BF11&lt;&gt;""),+VLOOKUP(BF652,'פחתי מים לרשויות מצטרפות'!$A$12:$G$15,5,0)-VLOOKUP(BF4,'פחת מים וגביה'!$A:$D,4,0),0)</f>
        <v>0</v>
      </c>
    </row>
    <row r="595" spans="3:58" x14ac:dyDescent="0.2">
      <c r="C595" s="1049">
        <f>(+IF(C549&gt;=2015,MAX(VLOOKUP(C653,'פחתי מים לרשויות מצטרפות'!$A$11:$G$14,MAX($B$3-C549,0)+3,0)-VLOOKUP(C$1,'פחת מים וגביה'!$A:$D,4,0),0))*C398/C$425)+IF(AND(C$7="חברה מנהלת",C12&lt;&gt;""),+VLOOKUP(C653,'פחתי מים לרשויות מצטרפות'!$A$12:$G$15,5,0)-VLOOKUP(C5,'פחת מים וגביה'!$A:$D,4,0),0)</f>
        <v>0</v>
      </c>
      <c r="D595" s="1049">
        <f>(+IF(D549&gt;=2015,MAX(VLOOKUP(D653,'פחתי מים לרשויות מצטרפות'!$A$11:$G$14,MAX($B$3-D549,0)+3,0)-VLOOKUP(D$1,'פחת מים וגביה'!$A:$D,4,0),0))*D398/D$425)+IF(AND(D$7="חברה מנהלת",D12&lt;&gt;""),+VLOOKUP(D653,'פחתי מים לרשויות מצטרפות'!$A$12:$G$15,5,0)-VLOOKUP(D5,'פחת מים וגביה'!$A:$D,4,0),0)</f>
        <v>6.7542828350688616E-3</v>
      </c>
      <c r="E595" s="1049">
        <f>(+IF(E549&gt;=2015,MAX(VLOOKUP(E653,'פחתי מים לרשויות מצטרפות'!$A$11:$G$14,MAX($B$3-E549,0)+3,0)-VLOOKUP(E$1,'פחת מים וגביה'!$A:$D,4,0),0))*E398/E$425)+IF(AND(E$7="חברה מנהלת",E12&lt;&gt;""),+VLOOKUP(E653,'פחתי מים לרשויות מצטרפות'!$A$12:$G$15,5,0)-VLOOKUP(E5,'פחת מים וגביה'!$A:$D,4,0),0)</f>
        <v>0</v>
      </c>
      <c r="F595" s="1049">
        <f>(+IF(F549&gt;=2015,MAX(VLOOKUP(F653,'פחתי מים לרשויות מצטרפות'!$A$11:$G$14,MAX($B$3-F549,0)+3,0)-VLOOKUP(F$1,'פחת מים וגביה'!$A:$D,4,0),0))*F398/F$425)+IF(AND(F$7="חברה מנהלת",F12&lt;&gt;""),+VLOOKUP(F653,'פחתי מים לרשויות מצטרפות'!$A$12:$G$15,5,0)-VLOOKUP(F5,'פחת מים וגביה'!$A:$D,4,0),0)</f>
        <v>0</v>
      </c>
      <c r="G595" s="1049">
        <f>(+IF(G549&gt;=2015,MAX(VLOOKUP(G653,'פחתי מים לרשויות מצטרפות'!$A$11:$G$14,MAX($B$3-G549,0)+3,0)-VLOOKUP(G$1,'פחת מים וגביה'!$A:$D,4,0),0))*G398/G$425)+IF(AND(G$7="חברה מנהלת",G12&lt;&gt;""),+VLOOKUP(G653,'פחתי מים לרשויות מצטרפות'!$A$12:$G$15,5,0)-VLOOKUP(G5,'פחת מים וגביה'!$A:$D,4,0),0)</f>
        <v>0</v>
      </c>
      <c r="H595" s="1049">
        <f>(+IF(H549&gt;=2015,MAX(VLOOKUP(H653,'פחתי מים לרשויות מצטרפות'!$A$11:$G$14,MAX($B$3-H549,0)+3,0)-VLOOKUP(H$1,'פחת מים וגביה'!$A:$D,4,0),0))*H398/H$425)+IF(AND(H$7="חברה מנהלת",H12&lt;&gt;""),+VLOOKUP(H653,'פחתי מים לרשויות מצטרפות'!$A$12:$G$15,5,0)-VLOOKUP(H5,'פחת מים וגביה'!$A:$D,4,0),0)</f>
        <v>0</v>
      </c>
      <c r="I595" s="1049">
        <f>(+IF(I549&gt;=2015,MAX(VLOOKUP(I653,'פחתי מים לרשויות מצטרפות'!$A$11:$G$14,MAX($B$3-I549,0)+3,0)-VLOOKUP(I$1,'פחת מים וגביה'!$A:$D,4,0),0))*I398/I$425)+IF(AND(I$7="חברה מנהלת",I12&lt;&gt;""),+VLOOKUP(I653,'פחתי מים לרשויות מצטרפות'!$A$12:$G$15,5,0)-VLOOKUP(I5,'פחת מים וגביה'!$A:$D,4,0),0)</f>
        <v>0</v>
      </c>
      <c r="J595" s="1049">
        <f>(+IF(J549&gt;=2015,MAX(VLOOKUP(J653,'פחתי מים לרשויות מצטרפות'!$A$11:$G$14,MAX($B$3-J549,0)+3,0)-VLOOKUP(J$1,'פחת מים וגביה'!$A:$D,4,0),0))*J398/J$425)+IF(AND(J$7="חברה מנהלת",J12&lt;&gt;""),+VLOOKUP(J653,'פחתי מים לרשויות מצטרפות'!$A$12:$G$15,5,0)-VLOOKUP(J5,'פחת מים וגביה'!$A:$D,4,0),0)</f>
        <v>0</v>
      </c>
      <c r="K595" s="1049">
        <f>(+IF(K549&gt;=2015,MAX(VLOOKUP(K653,'פחתי מים לרשויות מצטרפות'!$A$11:$G$14,MAX($B$3-K549,0)+3,0)-VLOOKUP(K$1,'פחת מים וגביה'!$A:$D,4,0),0))*K398/K$425)+IF(AND(K$7="חברה מנהלת",K12&lt;&gt;""),+VLOOKUP(K653,'פחתי מים לרשויות מצטרפות'!$A$12:$G$15,5,0)-VLOOKUP(K5,'פחת מים וגביה'!$A:$D,4,0),0)</f>
        <v>0</v>
      </c>
      <c r="L595" s="1049">
        <f>(+IF(L549&gt;=2015,MAX(VLOOKUP(L653,'פחתי מים לרשויות מצטרפות'!$A$11:$G$14,MAX($B$3-L549,0)+3,0)-VLOOKUP(L$1,'פחת מים וגביה'!$A:$D,4,0),0))*L398/L$425)+IF(AND(L$7="חברה מנהלת",L12&lt;&gt;""),+VLOOKUP(L653,'פחתי מים לרשויות מצטרפות'!$A$12:$G$15,5,0)-VLOOKUP(L5,'פחת מים וגביה'!$A:$D,4,0),0)</f>
        <v>0</v>
      </c>
      <c r="M595" s="1049">
        <f>(+IF(M549&gt;=2015,MAX(VLOOKUP(M653,'פחתי מים לרשויות מצטרפות'!$A$11:$G$14,MAX($B$3-M549,0)+3,0)-VLOOKUP(M$1,'פחת מים וגביה'!$A:$D,4,0),0))*M398/M$425)+IF(AND(M$7="חברה מנהלת",M12&lt;&gt;""),+VLOOKUP(M653,'פחתי מים לרשויות מצטרפות'!$A$12:$G$15,5,0)-VLOOKUP(M5,'פחת מים וגביה'!$A:$D,4,0),0)</f>
        <v>0</v>
      </c>
      <c r="N595" s="1049">
        <f>(+IF(N549&gt;=2015,MAX(VLOOKUP(N653,'פחתי מים לרשויות מצטרפות'!$A$11:$G$14,MAX($B$3-N549,0)+3,0)-VLOOKUP(N$1,'פחת מים וגביה'!$A:$D,4,0),0))*N398/N$425)+IF(AND(N$7="חברה מנהלת",N12&lt;&gt;""),+VLOOKUP(N653,'פחתי מים לרשויות מצטרפות'!$A$12:$G$15,5,0)-VLOOKUP(N5,'פחת מים וגביה'!$A:$D,4,0),0)</f>
        <v>0</v>
      </c>
      <c r="O595" s="1049">
        <f>(+IF(O549&gt;=2015,MAX(VLOOKUP(O653,'פחתי מים לרשויות מצטרפות'!$A$11:$G$14,MAX($B$3-O549,0)+3,0)-VLOOKUP(O$1,'פחת מים וגביה'!$A:$D,4,0),0))*O398/O$425)+IF(AND(O$7="חברה מנהלת",O12&lt;&gt;""),+VLOOKUP(O653,'פחתי מים לרשויות מצטרפות'!$A$12:$G$15,5,0)-VLOOKUP(O5,'פחת מים וגביה'!$A:$D,4,0),0)</f>
        <v>0</v>
      </c>
      <c r="P595" s="1049">
        <f>(+IF(P549&gt;=2015,MAX(VLOOKUP(P653,'פחתי מים לרשויות מצטרפות'!$A$11:$G$14,MAX($B$3-P549,0)+3,0)-VLOOKUP(P$1,'פחת מים וגביה'!$A:$D,4,0),0))*P398/P$425)+IF(AND(P$7="חברה מנהלת",P12&lt;&gt;""),+VLOOKUP(P653,'פחתי מים לרשויות מצטרפות'!$A$12:$G$15,5,0)-VLOOKUP(P5,'פחת מים וגביה'!$A:$D,4,0),0)</f>
        <v>0</v>
      </c>
      <c r="Q595" s="1049">
        <f>(+IF(Q549&gt;=2015,MAX(VLOOKUP(Q653,'פחתי מים לרשויות מצטרפות'!$A$11:$G$14,MAX($B$3-Q549,0)+3,0)-VLOOKUP(Q$1,'פחת מים וגביה'!$A:$D,4,0),0))*Q398/Q$425)+IF(AND(Q$7="חברה מנהלת",Q12&lt;&gt;""),+VLOOKUP(Q653,'פחתי מים לרשויות מצטרפות'!$A$12:$G$15,5,0)-VLOOKUP(Q5,'פחת מים וגביה'!$A:$D,4,0),0)</f>
        <v>0</v>
      </c>
      <c r="R595" s="1049">
        <f>(+IF(R549&gt;=2015,MAX(VLOOKUP(R653,'פחתי מים לרשויות מצטרפות'!$A$11:$G$14,MAX($B$3-R549,0)+3,0)-VLOOKUP(R$1,'פחת מים וגביה'!$A:$D,4,0),0))*R398/R$425)+IF(AND(R$7="חברה מנהלת",R12&lt;&gt;""),+VLOOKUP(R653,'פחתי מים לרשויות מצטרפות'!$A$12:$G$15,5,0)-VLOOKUP(R5,'פחת מים וגביה'!$A:$D,4,0),0)</f>
        <v>0</v>
      </c>
      <c r="S595" s="1049">
        <f>(+IF(S549&gt;=2015,MAX(VLOOKUP(S653,'פחתי מים לרשויות מצטרפות'!$A$11:$G$14,MAX($B$3-S549,0)+3,0)-VLOOKUP(S$1,'פחת מים וגביה'!$A:$D,4,0),0))*S398/S$425)+IF(AND(S$7="חברה מנהלת",S12&lt;&gt;""),+VLOOKUP(S653,'פחתי מים לרשויות מצטרפות'!$A$12:$G$15,5,0)-VLOOKUP(S5,'פחת מים וגביה'!$A:$D,4,0),0)</f>
        <v>0</v>
      </c>
      <c r="T595" s="1049">
        <f>(+IF(T549&gt;=2015,MAX(VLOOKUP(T653,'פחתי מים לרשויות מצטרפות'!$A$11:$G$14,MAX($B$3-T549,0)+3,0)-VLOOKUP(T$1,'פחת מים וגביה'!$A:$D,4,0),0))*T398/T$425)+IF(AND(T$7="חברה מנהלת",T12&lt;&gt;""),+VLOOKUP(T653,'פחתי מים לרשויות מצטרפות'!$A$12:$G$15,5,0)-VLOOKUP(T5,'פחת מים וגביה'!$A:$D,4,0),0)</f>
        <v>0</v>
      </c>
      <c r="U595" s="1049">
        <f>(+IF(U549&gt;=2015,MAX(VLOOKUP(U653,'פחתי מים לרשויות מצטרפות'!$A$11:$G$14,MAX($B$3-U549,0)+3,0)-VLOOKUP(U$1,'פחת מים וגביה'!$A:$D,4,0),0))*U398/U$425)+IF(AND(U$7="חברה מנהלת",U12&lt;&gt;""),+VLOOKUP(U653,'פחתי מים לרשויות מצטרפות'!$A$12:$G$15,5,0)-VLOOKUP(U5,'פחת מים וגביה'!$A:$D,4,0),0)</f>
        <v>0</v>
      </c>
      <c r="V595" s="1049">
        <f>(+IF(V549&gt;=2015,MAX(VLOOKUP(V653,'פחתי מים לרשויות מצטרפות'!$A$11:$G$14,MAX($B$3-V549,0)+3,0)-VLOOKUP(V$1,'פחת מים וגביה'!$A:$D,4,0),0))*V398/V$425)+IF(AND(V$7="חברה מנהלת",V12&lt;&gt;""),+VLOOKUP(V653,'פחתי מים לרשויות מצטרפות'!$A$12:$G$15,5,0)-VLOOKUP(V5,'פחת מים וגביה'!$A:$D,4,0),0)</f>
        <v>0</v>
      </c>
      <c r="W595" s="1049">
        <f>(+IF(W549&gt;=2015,MAX(VLOOKUP(W653,'פחתי מים לרשויות מצטרפות'!$A$11:$G$14,MAX($B$3-W549,0)+3,0)-VLOOKUP(W$1,'פחת מים וגביה'!$A:$D,4,0),0))*W398/W$425)+IF(AND(W$7="חברה מנהלת",W12&lt;&gt;""),+VLOOKUP(W653,'פחתי מים לרשויות מצטרפות'!$A$12:$G$15,5,0)-VLOOKUP(W5,'פחת מים וגביה'!$A:$D,4,0),0)</f>
        <v>0</v>
      </c>
      <c r="X595" s="1049">
        <f>(+IF(X549&gt;=2015,MAX(VLOOKUP(X653,'פחתי מים לרשויות מצטרפות'!$A$11:$G$14,MAX($B$3-X549,0)+3,0)-VLOOKUP(X$1,'פחת מים וגביה'!$A:$D,4,0),0))*X398/X$425)+IF(AND(X$7="חברה מנהלת",X12&lt;&gt;""),+VLOOKUP(X653,'פחתי מים לרשויות מצטרפות'!$A$12:$G$15,5,0)-VLOOKUP(X5,'פחת מים וגביה'!$A:$D,4,0),0)</f>
        <v>0</v>
      </c>
      <c r="Y595" s="1049">
        <f>(+IF(Y549&gt;=2015,MAX(VLOOKUP(Y653,'פחתי מים לרשויות מצטרפות'!$A$11:$G$14,MAX($B$3-Y549,0)+3,0)-VLOOKUP(Y$1,'פחת מים וגביה'!$A:$D,4,0),0))*Y398/Y$425)+IF(AND(Y$7="חברה מנהלת",Y12&lt;&gt;""),+VLOOKUP(Y653,'פחתי מים לרשויות מצטרפות'!$A$12:$G$15,5,0)-VLOOKUP(Y5,'פחת מים וגביה'!$A:$D,4,0),0)</f>
        <v>0</v>
      </c>
      <c r="Z595" s="1049">
        <f>(+IF(Z549&gt;=2015,MAX(VLOOKUP(Z653,'פחתי מים לרשויות מצטרפות'!$A$11:$G$14,MAX($B$3-Z549,0)+3,0)-VLOOKUP(Z$1,'פחת מים וגביה'!$A:$D,4,0),0))*Z398/Z$425)+IF(AND(Z$7="חברה מנהלת",Z12&lt;&gt;""),+VLOOKUP(Z653,'פחתי מים לרשויות מצטרפות'!$A$12:$G$15,5,0)-VLOOKUP(Z5,'פחת מים וגביה'!$A:$D,4,0),0)</f>
        <v>0</v>
      </c>
      <c r="AA595" s="1049">
        <f>(+IF(AA549&gt;=2015,MAX(VLOOKUP(AA653,'פחתי מים לרשויות מצטרפות'!$A$11:$G$14,MAX($B$3-AA549,0)+3,0)-VLOOKUP(AA$1,'פחת מים וגביה'!$A:$D,4,0),0))*AA398/AA$425)+IF(AND(AA$7="חברה מנהלת",AA12&lt;&gt;""),+VLOOKUP(AA653,'פחתי מים לרשויות מצטרפות'!$A$12:$G$15,5,0)-VLOOKUP(AA5,'פחת מים וגביה'!$A:$D,4,0),0)</f>
        <v>0</v>
      </c>
      <c r="AB595" s="1049">
        <f>(+IF(AB549&gt;=2015,MAX(VLOOKUP(AB653,'פחתי מים לרשויות מצטרפות'!$A$11:$G$14,MAX($B$3-AB549,0)+3,0)-VLOOKUP(AB$1,'פחת מים וגביה'!$A:$D,4,0),0))*AB398/AB$425)+IF(AND(AB$7="חברה מנהלת",AB12&lt;&gt;""),+VLOOKUP(AB653,'פחתי מים לרשויות מצטרפות'!$A$12:$G$15,5,0)-VLOOKUP(AB5,'פחת מים וגביה'!$A:$D,4,0),0)</f>
        <v>0</v>
      </c>
      <c r="AC595" s="1049">
        <f>(+IF(AC549&gt;=2015,MAX(VLOOKUP(AC653,'פחתי מים לרשויות מצטרפות'!$A$11:$G$14,MAX($B$3-AC549,0)+3,0)-VLOOKUP(AC$1,'פחת מים וגביה'!$A:$D,4,0),0))*AC398/AC$425)+IF(AND(AC$7="חברה מנהלת",AC12&lt;&gt;""),+VLOOKUP(AC653,'פחתי מים לרשויות מצטרפות'!$A$12:$G$15,5,0)-VLOOKUP(AC5,'פחת מים וגביה'!$A:$D,4,0),0)</f>
        <v>0</v>
      </c>
      <c r="AD595" s="1049">
        <f>(+IF(AD549&gt;=2015,MAX(VLOOKUP(AD653,'פחתי מים לרשויות מצטרפות'!$A$11:$G$14,MAX($B$3-AD549,0)+3,0)-VLOOKUP(AD$1,'פחת מים וגביה'!$A:$D,4,0),0))*AD398/AD$425)+IF(AND(AD$7="חברה מנהלת",AD12&lt;&gt;""),+VLOOKUP(AD653,'פחתי מים לרשויות מצטרפות'!$A$12:$G$15,5,0)-VLOOKUP(AD5,'פחת מים וגביה'!$A:$D,4,0),0)</f>
        <v>0</v>
      </c>
      <c r="AE595" s="1049">
        <f>(+IF(AE549&gt;=2015,MAX(VLOOKUP(AE653,'פחתי מים לרשויות מצטרפות'!$A$11:$G$14,MAX($B$3-AE549,0)+3,0)-VLOOKUP(AE$1,'פחת מים וגביה'!$A:$D,4,0),0))*AE398/AE$425)+IF(AND(AE$7="חברה מנהלת",AE12&lt;&gt;""),+VLOOKUP(AE653,'פחתי מים לרשויות מצטרפות'!$A$12:$G$15,5,0)-VLOOKUP(AE5,'פחת מים וגביה'!$A:$D,4,0),0)</f>
        <v>0</v>
      </c>
      <c r="AF595" s="1049">
        <f>(+IF(AF549&gt;=2015,MAX(VLOOKUP(AF653,'פחתי מים לרשויות מצטרפות'!$A$11:$G$14,MAX($B$3-AF549,0)+3,0)-VLOOKUP(AF$1,'פחת מים וגביה'!$A:$D,4,0),0))*AF398/AF$425)+IF(AND(AF$7="חברה מנהלת",AF12&lt;&gt;""),+VLOOKUP(AF653,'פחתי מים לרשויות מצטרפות'!$A$12:$G$15,5,0)-VLOOKUP(AF5,'פחת מים וגביה'!$A:$D,4,0),0)</f>
        <v>0</v>
      </c>
      <c r="AG595" s="1049">
        <f>(+IF(AG549&gt;=2015,MAX(VLOOKUP(AG653,'פחתי מים לרשויות מצטרפות'!$A$11:$G$14,MAX($B$3-AG549,0)+3,0)-VLOOKUP(AG$1,'פחת מים וגביה'!$A:$D,4,0),0))*AG398/AG$425)+IF(AND(AG$7="חברה מנהלת",AG12&lt;&gt;""),+VLOOKUP(AG653,'פחתי מים לרשויות מצטרפות'!$A$12:$G$15,5,0)-VLOOKUP(AG5,'פחת מים וגביה'!$A:$D,4,0),0)</f>
        <v>0</v>
      </c>
      <c r="AH595" s="1049">
        <f>(+IF(AH549&gt;=2015,MAX(VLOOKUP(AH653,'פחתי מים לרשויות מצטרפות'!$A$11:$G$14,MAX($B$3-AH549,0)+3,0)-VLOOKUP(AH$1,'פחת מים וגביה'!$A:$D,4,0),0))*AH398/AH$425)+IF(AND(AH$7="חברה מנהלת",AH12&lt;&gt;""),+VLOOKUP(AH653,'פחתי מים לרשויות מצטרפות'!$A$12:$G$15,5,0)-VLOOKUP(AH5,'פחת מים וגביה'!$A:$D,4,0),0)</f>
        <v>0</v>
      </c>
      <c r="AI595" s="1049">
        <f>(+IF(AI549&gt;=2015,MAX(VLOOKUP(AI653,'פחתי מים לרשויות מצטרפות'!$A$11:$G$14,MAX($B$3-AI549,0)+3,0)-VLOOKUP(AI$1,'פחת מים וגביה'!$A:$D,4,0),0))*AI398/AI$425)+IF(AND(AI$7="חברה מנהלת",AI12&lt;&gt;""),+VLOOKUP(AI653,'פחתי מים לרשויות מצטרפות'!$A$12:$G$15,5,0)-VLOOKUP(AI5,'פחת מים וגביה'!$A:$D,4,0),0)</f>
        <v>0</v>
      </c>
      <c r="AJ595" s="1049">
        <f>(+IF(AJ549&gt;=2015,MAX(VLOOKUP(AJ653,'פחתי מים לרשויות מצטרפות'!$A$11:$G$14,MAX($B$3-AJ549,0)+3,0)-VLOOKUP(AJ$1,'פחת מים וגביה'!$A:$D,4,0),0))*AJ398/AJ$425)+IF(AND(AJ$7="חברה מנהלת",AJ12&lt;&gt;""),+VLOOKUP(AJ653,'פחתי מים לרשויות מצטרפות'!$A$12:$G$15,5,0)-VLOOKUP(AJ5,'פחת מים וגביה'!$A:$D,4,0),0)</f>
        <v>0</v>
      </c>
      <c r="AK595" s="1049">
        <f>(+IF(AK549&gt;=2015,MAX(VLOOKUP(AK653,'פחתי מים לרשויות מצטרפות'!$A$11:$G$14,MAX($B$3-AK549,0)+3,0)-VLOOKUP(AK$1,'פחת מים וגביה'!$A:$D,4,0),0))*AK398/AK$425)+IF(AND(AK$7="חברה מנהלת",AK12&lt;&gt;""),+VLOOKUP(AK653,'פחתי מים לרשויות מצטרפות'!$A$12:$G$15,5,0)-VLOOKUP(AK5,'פחת מים וגביה'!$A:$D,4,0),0)</f>
        <v>0</v>
      </c>
      <c r="AL595" s="1049">
        <f>(+IF(AL549&gt;=2015,MAX(VLOOKUP(AL653,'פחתי מים לרשויות מצטרפות'!$A$11:$G$14,MAX($B$3-AL549,0)+3,0)-VLOOKUP(AL$1,'פחת מים וגביה'!$A:$D,4,0),0))*AL398/AL$425)+IF(AND(AL$7="חברה מנהלת",AL12&lt;&gt;""),+VLOOKUP(AL653,'פחתי מים לרשויות מצטרפות'!$A$12:$G$15,5,0)-VLOOKUP(AL5,'פחת מים וגביה'!$A:$D,4,0),0)</f>
        <v>0</v>
      </c>
      <c r="AM595" s="1049">
        <f>(+IF(AM549&gt;=2015,MAX(VLOOKUP(AM653,'פחתי מים לרשויות מצטרפות'!$A$11:$G$14,MAX($B$3-AM549,0)+3,0)-VLOOKUP(AM$1,'פחת מים וגביה'!$A:$D,4,0),0))*AM398/AM$425)+IF(AND(AM$7="חברה מנהלת",AM12&lt;&gt;""),+VLOOKUP(AM653,'פחתי מים לרשויות מצטרפות'!$A$12:$G$15,5,0)-VLOOKUP(AM5,'פחת מים וגביה'!$A:$D,4,0),0)</f>
        <v>0</v>
      </c>
      <c r="AN595" s="1049">
        <f>(+IF(AN549&gt;=2015,MAX(VLOOKUP(AN653,'פחתי מים לרשויות מצטרפות'!$A$11:$G$14,MAX($B$3-AN549,0)+3,0)-VLOOKUP(AN$1,'פחת מים וגביה'!$A:$D,4,0),0))*AN398/AN$425)+IF(AND(AN$7="חברה מנהלת",AN12&lt;&gt;""),+VLOOKUP(AN653,'פחתי מים לרשויות מצטרפות'!$A$12:$G$15,5,0)-VLOOKUP(AN5,'פחת מים וגביה'!$A:$D,4,0),0)</f>
        <v>0</v>
      </c>
      <c r="AO595" s="1049">
        <f>(+IF(AO549&gt;=2015,MAX(VLOOKUP(AO653,'פחתי מים לרשויות מצטרפות'!$A$11:$G$14,MAX($B$3-AO549,0)+3,0)-VLOOKUP(AO$1,'פחת מים וגביה'!$A:$D,4,0),0))*AO398/AO$425)+IF(AND(AO$7="חברה מנהלת",AO12&lt;&gt;""),+VLOOKUP(AO653,'פחתי מים לרשויות מצטרפות'!$A$12:$G$15,5,0)-VLOOKUP(AO5,'פחת מים וגביה'!$A:$D,4,0),0)</f>
        <v>0</v>
      </c>
      <c r="AP595" s="1049">
        <f>(+IF(AP549&gt;=2015,MAX(VLOOKUP(AP653,'פחתי מים לרשויות מצטרפות'!$A$11:$G$14,MAX($B$3-AP549,0)+3,0)-VLOOKUP(AP$1,'פחת מים וגביה'!$A:$D,4,0),0))*AP398/AP$425)+IF(AND(AP$7="חברה מנהלת",AP12&lt;&gt;""),+VLOOKUP(AP653,'פחתי מים לרשויות מצטרפות'!$A$12:$G$15,5,0)-VLOOKUP(AP5,'פחת מים וגביה'!$A:$D,4,0),0)</f>
        <v>0</v>
      </c>
      <c r="AQ595" s="1049">
        <f>(+IF(AQ549&gt;=2015,MAX(VLOOKUP(AQ653,'פחתי מים לרשויות מצטרפות'!$A$11:$G$14,MAX($B$3-AQ549,0)+3,0)-VLOOKUP(AQ$1,'פחת מים וגביה'!$A:$D,4,0),0))*AQ398/AQ$425)+IF(AND(AQ$7="חברה מנהלת",AQ12&lt;&gt;""),+VLOOKUP(AQ653,'פחתי מים לרשויות מצטרפות'!$A$12:$G$15,5,0)-VLOOKUP(AQ5,'פחת מים וגביה'!$A:$D,4,0),0)</f>
        <v>0</v>
      </c>
      <c r="AR595" s="1049">
        <f>(+IF(AR549&gt;=2015,MAX(VLOOKUP(AR653,'פחתי מים לרשויות מצטרפות'!$A$11:$G$14,MAX($B$3-AR549,0)+3,0)-VLOOKUP(AR$1,'פחת מים וגביה'!$A:$D,4,0),0))*AR398/AR$425)+IF(AND(AR$7="חברה מנהלת",AR12&lt;&gt;""),+VLOOKUP(AR653,'פחתי מים לרשויות מצטרפות'!$A$12:$G$15,5,0)-VLOOKUP(AR5,'פחת מים וגביה'!$A:$D,4,0),0)</f>
        <v>0</v>
      </c>
      <c r="AS595" s="1049">
        <f>(+IF(AS549&gt;=2015,MAX(VLOOKUP(AS653,'פחתי מים לרשויות מצטרפות'!$A$11:$G$14,MAX($B$3-AS549,0)+3,0)-VLOOKUP(AS$1,'פחת מים וגביה'!$A:$D,4,0),0))*AS398/AS$425)+IF(AND(AS$7="חברה מנהלת",AS12&lt;&gt;""),+VLOOKUP(AS653,'פחתי מים לרשויות מצטרפות'!$A$12:$G$15,5,0)-VLOOKUP(AS5,'פחת מים וגביה'!$A:$D,4,0),0)</f>
        <v>0</v>
      </c>
      <c r="AT595" s="1049">
        <f>(+IF(AT549&gt;=2015,MAX(VLOOKUP(AT653,'פחתי מים לרשויות מצטרפות'!$A$11:$G$14,MAX($B$3-AT549,0)+3,0)-VLOOKUP(AT$1,'פחת מים וגביה'!$A:$D,4,0),0))*AT398/AT$425)+IF(AND(AT$7="חברה מנהלת",AT12&lt;&gt;""),+VLOOKUP(AT653,'פחתי מים לרשויות מצטרפות'!$A$12:$G$15,5,0)-VLOOKUP(AT5,'פחת מים וגביה'!$A:$D,4,0),0)</f>
        <v>0</v>
      </c>
      <c r="AU595" s="1049">
        <f>(+IF(AU549&gt;=2015,MAX(VLOOKUP(AU653,'פחתי מים לרשויות מצטרפות'!$A$11:$G$14,MAX($B$3-AU549,0)+3,0)-VLOOKUP(AU$1,'פחת מים וגביה'!$A:$D,4,0),0))*AU398/AU$425)+IF(AND(AU$7="חברה מנהלת",AU12&lt;&gt;""),+VLOOKUP(AU653,'פחתי מים לרשויות מצטרפות'!$A$12:$G$15,5,0)-VLOOKUP(AU5,'פחת מים וגביה'!$A:$D,4,0),0)</f>
        <v>0</v>
      </c>
      <c r="AV595" s="1049">
        <f>(+IF(AV549&gt;=2015,MAX(VLOOKUP(AV653,'פחתי מים לרשויות מצטרפות'!$A$11:$G$14,MAX($B$3-AV549,0)+3,0)-VLOOKUP(AV$1,'פחת מים וגביה'!$A:$D,4,0),0))*AV398/AV$425)+IF(AND(AV$7="חברה מנהלת",AV12&lt;&gt;""),+VLOOKUP(AV653,'פחתי מים לרשויות מצטרפות'!$A$12:$G$15,5,0)-VLOOKUP(AV5,'פחת מים וגביה'!$A:$D,4,0),0)</f>
        <v>0</v>
      </c>
      <c r="AW595" s="1049">
        <f>(+IF(AW549&gt;=2015,MAX(VLOOKUP(AW653,'פחתי מים לרשויות מצטרפות'!$A$11:$G$14,MAX($B$3-AW549,0)+3,0)-VLOOKUP(AW$1,'פחת מים וגביה'!$A:$D,4,0),0))*AW398/AW$425)+IF(AND(AW$7="חברה מנהלת",AW12&lt;&gt;""),+VLOOKUP(AW653,'פחתי מים לרשויות מצטרפות'!$A$12:$G$15,5,0)-VLOOKUP(AW5,'פחת מים וגביה'!$A:$D,4,0),0)</f>
        <v>0</v>
      </c>
      <c r="AX595" s="1049">
        <f>(+IF(AX549&gt;=2015,MAX(VLOOKUP(AX653,'פחתי מים לרשויות מצטרפות'!$A$11:$G$14,MAX($B$3-AX549,0)+3,0)-VLOOKUP(AX$1,'פחת מים וגביה'!$A:$D,4,0),0))*AX398/AX$425)+IF(AND(AX$7="חברה מנהלת",AX12&lt;&gt;""),+VLOOKUP(AX653,'פחתי מים לרשויות מצטרפות'!$A$12:$G$15,5,0)-VLOOKUP(AX5,'פחת מים וגביה'!$A:$D,4,0),0)</f>
        <v>0</v>
      </c>
      <c r="AY595" s="1049">
        <f>(+IF(AY549&gt;=2015,MAX(VLOOKUP(AY653,'פחתי מים לרשויות מצטרפות'!$A$11:$G$14,MAX($B$3-AY549,0)+3,0)-VLOOKUP(AY$1,'פחת מים וגביה'!$A:$D,4,0),0))*AY398/AY$425)+IF(AND(AY$7="חברה מנהלת",AY12&lt;&gt;""),+VLOOKUP(AY653,'פחתי מים לרשויות מצטרפות'!$A$12:$G$15,5,0)-VLOOKUP(AY5,'פחת מים וגביה'!$A:$D,4,0),0)</f>
        <v>0</v>
      </c>
      <c r="AZ595" s="1049">
        <f>(+IF(AZ549&gt;=2015,MAX(VLOOKUP(AZ653,'פחתי מים לרשויות מצטרפות'!$A$11:$G$14,MAX($B$3-AZ549,0)+3,0)-VLOOKUP(AZ$1,'פחת מים וגביה'!$A:$D,4,0),0))*AZ398/AZ$425)+IF(AND(AZ$7="חברה מנהלת",AZ12&lt;&gt;""),+VLOOKUP(AZ653,'פחתי מים לרשויות מצטרפות'!$A$12:$G$15,5,0)-VLOOKUP(AZ5,'פחת מים וגביה'!$A:$D,4,0),0)</f>
        <v>0</v>
      </c>
      <c r="BA595" s="1049">
        <f>(+IF(BA549&gt;=2015,MAX(VLOOKUP(BA653,'פחתי מים לרשויות מצטרפות'!$A$11:$G$14,MAX($B$3-BA549,0)+3,0)-VLOOKUP(BA$1,'פחת מים וגביה'!$A:$D,4,0),0))*BA398/BA$425)+IF(AND(BA$7="חברה מנהלת",BA12&lt;&gt;""),+VLOOKUP(BA653,'פחתי מים לרשויות מצטרפות'!$A$12:$G$15,5,0)-VLOOKUP(BA5,'פחת מים וגביה'!$A:$D,4,0),0)</f>
        <v>0</v>
      </c>
      <c r="BB595" s="1049">
        <f>(+IF(BB549&gt;=2015,MAX(VLOOKUP(BB653,'פחתי מים לרשויות מצטרפות'!$A$11:$G$14,MAX($B$3-BB549,0)+3,0)-VLOOKUP(BB$1,'פחת מים וגביה'!$A:$D,4,0),0))*BB398/BB$425)+IF(AND(BB$7="חברה מנהלת",BB12&lt;&gt;""),+VLOOKUP(BB653,'פחתי מים לרשויות מצטרפות'!$A$12:$G$15,5,0)-VLOOKUP(BB5,'פחת מים וגביה'!$A:$D,4,0),0)</f>
        <v>0</v>
      </c>
      <c r="BC595" s="1049">
        <f>(+IF(BC549&gt;=2015,MAX(VLOOKUP(BC653,'פחתי מים לרשויות מצטרפות'!$A$11:$G$14,MAX($B$3-BC549,0)+3,0)-VLOOKUP(BC$1,'פחת מים וגביה'!$A:$D,4,0),0))*BC398/BC$425)+IF(AND(BC$7="חברה מנהלת",BC12&lt;&gt;""),+VLOOKUP(BC653,'פחתי מים לרשויות מצטרפות'!$A$12:$G$15,5,0)-VLOOKUP(BC5,'פחת מים וגביה'!$A:$D,4,0),0)</f>
        <v>0</v>
      </c>
      <c r="BD595" s="1049">
        <f>(+IF(BD549&gt;=2015,MAX(VLOOKUP(BD653,'פחתי מים לרשויות מצטרפות'!$A$11:$G$14,MAX($B$3-BD549,0)+3,0)-VLOOKUP(BD$1,'פחת מים וגביה'!$A:$D,4,0),0))*BD398/BD$425)+IF(AND(BD$7="חברה מנהלת",BD12&lt;&gt;""),+VLOOKUP(BD653,'פחתי מים לרשויות מצטרפות'!$A$12:$G$15,5,0)-VLOOKUP(BD5,'פחת מים וגביה'!$A:$D,4,0),0)</f>
        <v>0</v>
      </c>
      <c r="BE595" s="1049">
        <f>(+IF(BE549&gt;=2015,MAX(VLOOKUP(BE653,'פחתי מים לרשויות מצטרפות'!$A$11:$G$14,MAX($B$3-BE549,0)+3,0)-VLOOKUP(BE$1,'פחת מים וגביה'!$A:$D,4,0),0))*BE398/BE$425)+IF(AND(BE$7="חברה מנהלת",BE12&lt;&gt;""),+VLOOKUP(BE653,'פחתי מים לרשויות מצטרפות'!$A$12:$G$15,5,0)-VLOOKUP(BE5,'פחת מים וגביה'!$A:$D,4,0),0)</f>
        <v>0</v>
      </c>
      <c r="BF595" s="1049">
        <f>(+IF(BF549&gt;=2015,MAX(VLOOKUP(BF653,'פחתי מים לרשויות מצטרפות'!$A$11:$G$14,MAX($B$3-BF549,0)+3,0)-VLOOKUP(BF$1,'פחת מים וגביה'!$A:$D,4,0),0))*BF398/BF$425)+IF(AND(BF$7="חברה מנהלת",BF12&lt;&gt;""),+VLOOKUP(BF653,'פחתי מים לרשויות מצטרפות'!$A$12:$G$15,5,0)-VLOOKUP(BF5,'פחת מים וגביה'!$A:$D,4,0),0)</f>
        <v>0</v>
      </c>
    </row>
    <row r="596" spans="3:58" x14ac:dyDescent="0.2">
      <c r="C596" s="1049">
        <f>(+IF(C550&gt;=2015,MAX(VLOOKUP(C654,'פחתי מים לרשויות מצטרפות'!$A$11:$G$14,MAX($B$3-C550,0)+3,0)-VLOOKUP(C$1,'פחת מים וגביה'!$A:$D,4,0),0))*C399/C$425)+IF(AND(C$7="חברה מנהלת",C13&lt;&gt;""),+VLOOKUP(C654,'פחתי מים לרשויות מצטרפות'!$A$12:$G$15,5,0)-VLOOKUP(C6,'פחת מים וגביה'!$A:$D,4,0),0)</f>
        <v>0</v>
      </c>
      <c r="D596" s="1049">
        <f>(+IF(D550&gt;=2015,MAX(VLOOKUP(D654,'פחתי מים לרשויות מצטרפות'!$A$11:$G$14,MAX($B$3-D550,0)+3,0)-VLOOKUP(D$1,'פחת מים וגביה'!$A:$D,4,0),0))*D399/D$425)+IF(AND(D$7="חברה מנהלת",D13&lt;&gt;""),+VLOOKUP(D654,'פחתי מים לרשויות מצטרפות'!$A$12:$G$15,5,0)-VLOOKUP(D6,'פחת מים וגביה'!$A:$D,4,0),0)</f>
        <v>3.7621766879408799E-3</v>
      </c>
      <c r="E596" s="1049">
        <f>(+IF(E550&gt;=2015,MAX(VLOOKUP(E654,'פחתי מים לרשויות מצטרפות'!$A$11:$G$14,MAX($B$3-E550,0)+3,0)-VLOOKUP(E$1,'פחת מים וגביה'!$A:$D,4,0),0))*E399/E$425)+IF(AND(E$7="חברה מנהלת",E13&lt;&gt;""),+VLOOKUP(E654,'פחתי מים לרשויות מצטרפות'!$A$12:$G$15,5,0)-VLOOKUP(E6,'פחת מים וגביה'!$A:$D,4,0),0)</f>
        <v>0</v>
      </c>
      <c r="F596" s="1049">
        <f>(+IF(F550&gt;=2015,MAX(VLOOKUP(F654,'פחתי מים לרשויות מצטרפות'!$A$11:$G$14,MAX($B$3-F550,0)+3,0)-VLOOKUP(F$1,'פחת מים וגביה'!$A:$D,4,0),0))*F399/F$425)+IF(AND(F$7="חברה מנהלת",F13&lt;&gt;""),+VLOOKUP(F654,'פחתי מים לרשויות מצטרפות'!$A$12:$G$15,5,0)-VLOOKUP(F6,'פחת מים וגביה'!$A:$D,4,0),0)</f>
        <v>0</v>
      </c>
      <c r="G596" s="1049">
        <f>(+IF(G550&gt;=2015,MAX(VLOOKUP(G654,'פחתי מים לרשויות מצטרפות'!$A$11:$G$14,MAX($B$3-G550,0)+3,0)-VLOOKUP(G$1,'פחת מים וגביה'!$A:$D,4,0),0))*G399/G$425)+IF(AND(G$7="חברה מנהלת",G13&lt;&gt;""),+VLOOKUP(G654,'פחתי מים לרשויות מצטרפות'!$A$12:$G$15,5,0)-VLOOKUP(G6,'פחת מים וגביה'!$A:$D,4,0),0)</f>
        <v>0</v>
      </c>
      <c r="H596" s="1049">
        <f>(+IF(H550&gt;=2015,MAX(VLOOKUP(H654,'פחתי מים לרשויות מצטרפות'!$A$11:$G$14,MAX($B$3-H550,0)+3,0)-VLOOKUP(H$1,'פחת מים וגביה'!$A:$D,4,0),0))*H399/H$425)+IF(AND(H$7="חברה מנהלת",H13&lt;&gt;""),+VLOOKUP(H654,'פחתי מים לרשויות מצטרפות'!$A$12:$G$15,5,0)-VLOOKUP(H6,'פחת מים וגביה'!$A:$D,4,0),0)</f>
        <v>0</v>
      </c>
      <c r="I596" s="1049">
        <f>(+IF(I550&gt;=2015,MAX(VLOOKUP(I654,'פחתי מים לרשויות מצטרפות'!$A$11:$G$14,MAX($B$3-I550,0)+3,0)-VLOOKUP(I$1,'פחת מים וגביה'!$A:$D,4,0),0))*I399/I$425)+IF(AND(I$7="חברה מנהלת",I13&lt;&gt;""),+VLOOKUP(I654,'פחתי מים לרשויות מצטרפות'!$A$12:$G$15,5,0)-VLOOKUP(I6,'פחת מים וגביה'!$A:$D,4,0),0)</f>
        <v>0</v>
      </c>
      <c r="J596" s="1049">
        <f>(+IF(J550&gt;=2015,MAX(VLOOKUP(J654,'פחתי מים לרשויות מצטרפות'!$A$11:$G$14,MAX($B$3-J550,0)+3,0)-VLOOKUP(J$1,'פחת מים וגביה'!$A:$D,4,0),0))*J399/J$425)+IF(AND(J$7="חברה מנהלת",J13&lt;&gt;""),+VLOOKUP(J654,'פחתי מים לרשויות מצטרפות'!$A$12:$G$15,5,0)-VLOOKUP(J6,'פחת מים וגביה'!$A:$D,4,0),0)</f>
        <v>0</v>
      </c>
      <c r="K596" s="1049">
        <f>(+IF(K550&gt;=2015,MAX(VLOOKUP(K654,'פחתי מים לרשויות מצטרפות'!$A$11:$G$14,MAX($B$3-K550,0)+3,0)-VLOOKUP(K$1,'פחת מים וגביה'!$A:$D,4,0),0))*K399/K$425)+IF(AND(K$7="חברה מנהלת",K13&lt;&gt;""),+VLOOKUP(K654,'פחתי מים לרשויות מצטרפות'!$A$12:$G$15,5,0)-VLOOKUP(K6,'פחת מים וגביה'!$A:$D,4,0),0)</f>
        <v>0</v>
      </c>
      <c r="L596" s="1049">
        <f>(+IF(L550&gt;=2015,MAX(VLOOKUP(L654,'פחתי מים לרשויות מצטרפות'!$A$11:$G$14,MAX($B$3-L550,0)+3,0)-VLOOKUP(L$1,'פחת מים וגביה'!$A:$D,4,0),0))*L399/L$425)+IF(AND(L$7="חברה מנהלת",L13&lt;&gt;""),+VLOOKUP(L654,'פחתי מים לרשויות מצטרפות'!$A$12:$G$15,5,0)-VLOOKUP(L6,'פחת מים וגביה'!$A:$D,4,0),0)</f>
        <v>0</v>
      </c>
      <c r="M596" s="1049">
        <f>(+IF(M550&gt;=2015,MAX(VLOOKUP(M654,'פחתי מים לרשויות מצטרפות'!$A$11:$G$14,MAX($B$3-M550,0)+3,0)-VLOOKUP(M$1,'פחת מים וגביה'!$A:$D,4,0),0))*M399/M$425)+IF(AND(M$7="חברה מנהלת",M13&lt;&gt;""),+VLOOKUP(M654,'פחתי מים לרשויות מצטרפות'!$A$12:$G$15,5,0)-VLOOKUP(M6,'פחת מים וגביה'!$A:$D,4,0),0)</f>
        <v>0</v>
      </c>
      <c r="N596" s="1049">
        <f>(+IF(N550&gt;=2015,MAX(VLOOKUP(N654,'פחתי מים לרשויות מצטרפות'!$A$11:$G$14,MAX($B$3-N550,0)+3,0)-VLOOKUP(N$1,'פחת מים וגביה'!$A:$D,4,0),0))*N399/N$425)+IF(AND(N$7="חברה מנהלת",N13&lt;&gt;""),+VLOOKUP(N654,'פחתי מים לרשויות מצטרפות'!$A$12:$G$15,5,0)-VLOOKUP(N6,'פחת מים וגביה'!$A:$D,4,0),0)</f>
        <v>0</v>
      </c>
      <c r="O596" s="1049">
        <f>(+IF(O550&gt;=2015,MAX(VLOOKUP(O654,'פחתי מים לרשויות מצטרפות'!$A$11:$G$14,MAX($B$3-O550,0)+3,0)-VLOOKUP(O$1,'פחת מים וגביה'!$A:$D,4,0),0))*O399/O$425)+IF(AND(O$7="חברה מנהלת",O13&lt;&gt;""),+VLOOKUP(O654,'פחתי מים לרשויות מצטרפות'!$A$12:$G$15,5,0)-VLOOKUP(O6,'פחת מים וגביה'!$A:$D,4,0),0)</f>
        <v>0</v>
      </c>
      <c r="P596" s="1049">
        <f>(+IF(P550&gt;=2015,MAX(VLOOKUP(P654,'פחתי מים לרשויות מצטרפות'!$A$11:$G$14,MAX($B$3-P550,0)+3,0)-VLOOKUP(P$1,'פחת מים וגביה'!$A:$D,4,0),0))*P399/P$425)+IF(AND(P$7="חברה מנהלת",P13&lt;&gt;""),+VLOOKUP(P654,'פחתי מים לרשויות מצטרפות'!$A$12:$G$15,5,0)-VLOOKUP(P6,'פחת מים וגביה'!$A:$D,4,0),0)</f>
        <v>0</v>
      </c>
      <c r="Q596" s="1049">
        <f>(+IF(Q550&gt;=2015,MAX(VLOOKUP(Q654,'פחתי מים לרשויות מצטרפות'!$A$11:$G$14,MAX($B$3-Q550,0)+3,0)-VLOOKUP(Q$1,'פחת מים וגביה'!$A:$D,4,0),0))*Q399/Q$425)+IF(AND(Q$7="חברה מנהלת",Q13&lt;&gt;""),+VLOOKUP(Q654,'פחתי מים לרשויות מצטרפות'!$A$12:$G$15,5,0)-VLOOKUP(Q6,'פחת מים וגביה'!$A:$D,4,0),0)</f>
        <v>0</v>
      </c>
      <c r="R596" s="1049">
        <f>(+IF(R550&gt;=2015,MAX(VLOOKUP(R654,'פחתי מים לרשויות מצטרפות'!$A$11:$G$14,MAX($B$3-R550,0)+3,0)-VLOOKUP(R$1,'פחת מים וגביה'!$A:$D,4,0),0))*R399/R$425)+IF(AND(R$7="חברה מנהלת",R13&lt;&gt;""),+VLOOKUP(R654,'פחתי מים לרשויות מצטרפות'!$A$12:$G$15,5,0)-VLOOKUP(R6,'פחת מים וגביה'!$A:$D,4,0),0)</f>
        <v>0</v>
      </c>
      <c r="S596" s="1049">
        <f>(+IF(S550&gt;=2015,MAX(VLOOKUP(S654,'פחתי מים לרשויות מצטרפות'!$A$11:$G$14,MAX($B$3-S550,0)+3,0)-VLOOKUP(S$1,'פחת מים וגביה'!$A:$D,4,0),0))*S399/S$425)+IF(AND(S$7="חברה מנהלת",S13&lt;&gt;""),+VLOOKUP(S654,'פחתי מים לרשויות מצטרפות'!$A$12:$G$15,5,0)-VLOOKUP(S6,'פחת מים וגביה'!$A:$D,4,0),0)</f>
        <v>0</v>
      </c>
      <c r="T596" s="1049">
        <f>(+IF(T550&gt;=2015,MAX(VLOOKUP(T654,'פחתי מים לרשויות מצטרפות'!$A$11:$G$14,MAX($B$3-T550,0)+3,0)-VLOOKUP(T$1,'פחת מים וגביה'!$A:$D,4,0),0))*T399/T$425)+IF(AND(T$7="חברה מנהלת",T13&lt;&gt;""),+VLOOKUP(T654,'פחתי מים לרשויות מצטרפות'!$A$12:$G$15,5,0)-VLOOKUP(T6,'פחת מים וגביה'!$A:$D,4,0),0)</f>
        <v>0</v>
      </c>
      <c r="U596" s="1049">
        <f>(+IF(U550&gt;=2015,MAX(VLOOKUP(U654,'פחתי מים לרשויות מצטרפות'!$A$11:$G$14,MAX($B$3-U550,0)+3,0)-VLOOKUP(U$1,'פחת מים וגביה'!$A:$D,4,0),0))*U399/U$425)+IF(AND(U$7="חברה מנהלת",U13&lt;&gt;""),+VLOOKUP(U654,'פחתי מים לרשויות מצטרפות'!$A$12:$G$15,5,0)-VLOOKUP(U6,'פחת מים וגביה'!$A:$D,4,0),0)</f>
        <v>0</v>
      </c>
      <c r="V596" s="1049">
        <f>(+IF(V550&gt;=2015,MAX(VLOOKUP(V654,'פחתי מים לרשויות מצטרפות'!$A$11:$G$14,MAX($B$3-V550,0)+3,0)-VLOOKUP(V$1,'פחת מים וגביה'!$A:$D,4,0),0))*V399/V$425)+IF(AND(V$7="חברה מנהלת",V13&lt;&gt;""),+VLOOKUP(V654,'פחתי מים לרשויות מצטרפות'!$A$12:$G$15,5,0)-VLOOKUP(V6,'פחת מים וגביה'!$A:$D,4,0),0)</f>
        <v>0</v>
      </c>
      <c r="W596" s="1049">
        <f>(+IF(W550&gt;=2015,MAX(VLOOKUP(W654,'פחתי מים לרשויות מצטרפות'!$A$11:$G$14,MAX($B$3-W550,0)+3,0)-VLOOKUP(W$1,'פחת מים וגביה'!$A:$D,4,0),0))*W399/W$425)+IF(AND(W$7="חברה מנהלת",W13&lt;&gt;""),+VLOOKUP(W654,'פחתי מים לרשויות מצטרפות'!$A$12:$G$15,5,0)-VLOOKUP(W6,'פחת מים וגביה'!$A:$D,4,0),0)</f>
        <v>0</v>
      </c>
      <c r="X596" s="1049">
        <f>(+IF(X550&gt;=2015,MAX(VLOOKUP(X654,'פחתי מים לרשויות מצטרפות'!$A$11:$G$14,MAX($B$3-X550,0)+3,0)-VLOOKUP(X$1,'פחת מים וגביה'!$A:$D,4,0),0))*X399/X$425)+IF(AND(X$7="חברה מנהלת",X13&lt;&gt;""),+VLOOKUP(X654,'פחתי מים לרשויות מצטרפות'!$A$12:$G$15,5,0)-VLOOKUP(X6,'פחת מים וגביה'!$A:$D,4,0),0)</f>
        <v>0</v>
      </c>
      <c r="Y596" s="1049">
        <f>(+IF(Y550&gt;=2015,MAX(VLOOKUP(Y654,'פחתי מים לרשויות מצטרפות'!$A$11:$G$14,MAX($B$3-Y550,0)+3,0)-VLOOKUP(Y$1,'פחת מים וגביה'!$A:$D,4,0),0))*Y399/Y$425)+IF(AND(Y$7="חברה מנהלת",Y13&lt;&gt;""),+VLOOKUP(Y654,'פחתי מים לרשויות מצטרפות'!$A$12:$G$15,5,0)-VLOOKUP(Y6,'פחת מים וגביה'!$A:$D,4,0),0)</f>
        <v>0</v>
      </c>
      <c r="Z596" s="1049">
        <f>(+IF(Z550&gt;=2015,MAX(VLOOKUP(Z654,'פחתי מים לרשויות מצטרפות'!$A$11:$G$14,MAX($B$3-Z550,0)+3,0)-VLOOKUP(Z$1,'פחת מים וגביה'!$A:$D,4,0),0))*Z399/Z$425)+IF(AND(Z$7="חברה מנהלת",Z13&lt;&gt;""),+VLOOKUP(Z654,'פחתי מים לרשויות מצטרפות'!$A$12:$G$15,5,0)-VLOOKUP(Z6,'פחת מים וגביה'!$A:$D,4,0),0)</f>
        <v>0</v>
      </c>
      <c r="AA596" s="1049">
        <f>(+IF(AA550&gt;=2015,MAX(VLOOKUP(AA654,'פחתי מים לרשויות מצטרפות'!$A$11:$G$14,MAX($B$3-AA550,0)+3,0)-VLOOKUP(AA$1,'פחת מים וגביה'!$A:$D,4,0),0))*AA399/AA$425)+IF(AND(AA$7="חברה מנהלת",AA13&lt;&gt;""),+VLOOKUP(AA654,'פחתי מים לרשויות מצטרפות'!$A$12:$G$15,5,0)-VLOOKUP(AA6,'פחת מים וגביה'!$A:$D,4,0),0)</f>
        <v>0</v>
      </c>
      <c r="AB596" s="1049">
        <f>(+IF(AB550&gt;=2015,MAX(VLOOKUP(AB654,'פחתי מים לרשויות מצטרפות'!$A$11:$G$14,MAX($B$3-AB550,0)+3,0)-VLOOKUP(AB$1,'פחת מים וגביה'!$A:$D,4,0),0))*AB399/AB$425)+IF(AND(AB$7="חברה מנהלת",AB13&lt;&gt;""),+VLOOKUP(AB654,'פחתי מים לרשויות מצטרפות'!$A$12:$G$15,5,0)-VLOOKUP(AB6,'פחת מים וגביה'!$A:$D,4,0),0)</f>
        <v>0</v>
      </c>
      <c r="AC596" s="1049">
        <f>(+IF(AC550&gt;=2015,MAX(VLOOKUP(AC654,'פחתי מים לרשויות מצטרפות'!$A$11:$G$14,MAX($B$3-AC550,0)+3,0)-VLOOKUP(AC$1,'פחת מים וגביה'!$A:$D,4,0),0))*AC399/AC$425)+IF(AND(AC$7="חברה מנהלת",AC13&lt;&gt;""),+VLOOKUP(AC654,'פחתי מים לרשויות מצטרפות'!$A$12:$G$15,5,0)-VLOOKUP(AC6,'פחת מים וגביה'!$A:$D,4,0),0)</f>
        <v>0</v>
      </c>
      <c r="AD596" s="1049">
        <f>(+IF(AD550&gt;=2015,MAX(VLOOKUP(AD654,'פחתי מים לרשויות מצטרפות'!$A$11:$G$14,MAX($B$3-AD550,0)+3,0)-VLOOKUP(AD$1,'פחת מים וגביה'!$A:$D,4,0),0))*AD399/AD$425)+IF(AND(AD$7="חברה מנהלת",AD13&lt;&gt;""),+VLOOKUP(AD654,'פחתי מים לרשויות מצטרפות'!$A$12:$G$15,5,0)-VLOOKUP(AD6,'פחת מים וגביה'!$A:$D,4,0),0)</f>
        <v>0</v>
      </c>
      <c r="AE596" s="1049">
        <f>(+IF(AE550&gt;=2015,MAX(VLOOKUP(AE654,'פחתי מים לרשויות מצטרפות'!$A$11:$G$14,MAX($B$3-AE550,0)+3,0)-VLOOKUP(AE$1,'פחת מים וגביה'!$A:$D,4,0),0))*AE399/AE$425)+IF(AND(AE$7="חברה מנהלת",AE13&lt;&gt;""),+VLOOKUP(AE654,'פחתי מים לרשויות מצטרפות'!$A$12:$G$15,5,0)-VLOOKUP(AE6,'פחת מים וגביה'!$A:$D,4,0),0)</f>
        <v>0</v>
      </c>
      <c r="AF596" s="1049">
        <f>(+IF(AF550&gt;=2015,MAX(VLOOKUP(AF654,'פחתי מים לרשויות מצטרפות'!$A$11:$G$14,MAX($B$3-AF550,0)+3,0)-VLOOKUP(AF$1,'פחת מים וגביה'!$A:$D,4,0),0))*AF399/AF$425)+IF(AND(AF$7="חברה מנהלת",AF13&lt;&gt;""),+VLOOKUP(AF654,'פחתי מים לרשויות מצטרפות'!$A$12:$G$15,5,0)-VLOOKUP(AF6,'פחת מים וגביה'!$A:$D,4,0),0)</f>
        <v>0</v>
      </c>
      <c r="AG596" s="1049">
        <f>(+IF(AG550&gt;=2015,MAX(VLOOKUP(AG654,'פחתי מים לרשויות מצטרפות'!$A$11:$G$14,MAX($B$3-AG550,0)+3,0)-VLOOKUP(AG$1,'פחת מים וגביה'!$A:$D,4,0),0))*AG399/AG$425)+IF(AND(AG$7="חברה מנהלת",AG13&lt;&gt;""),+VLOOKUP(AG654,'פחתי מים לרשויות מצטרפות'!$A$12:$G$15,5,0)-VLOOKUP(AG6,'פחת מים וגביה'!$A:$D,4,0),0)</f>
        <v>0</v>
      </c>
      <c r="AH596" s="1049">
        <f>(+IF(AH550&gt;=2015,MAX(VLOOKUP(AH654,'פחתי מים לרשויות מצטרפות'!$A$11:$G$14,MAX($B$3-AH550,0)+3,0)-VLOOKUP(AH$1,'פחת מים וגביה'!$A:$D,4,0),0))*AH399/AH$425)+IF(AND(AH$7="חברה מנהלת",AH13&lt;&gt;""),+VLOOKUP(AH654,'פחתי מים לרשויות מצטרפות'!$A$12:$G$15,5,0)-VLOOKUP(AH6,'פחת מים וגביה'!$A:$D,4,0),0)</f>
        <v>0</v>
      </c>
      <c r="AI596" s="1049">
        <f>(+IF(AI550&gt;=2015,MAX(VLOOKUP(AI654,'פחתי מים לרשויות מצטרפות'!$A$11:$G$14,MAX($B$3-AI550,0)+3,0)-VLOOKUP(AI$1,'פחת מים וגביה'!$A:$D,4,0),0))*AI399/AI$425)+IF(AND(AI$7="חברה מנהלת",AI13&lt;&gt;""),+VLOOKUP(AI654,'פחתי מים לרשויות מצטרפות'!$A$12:$G$15,5,0)-VLOOKUP(AI6,'פחת מים וגביה'!$A:$D,4,0),0)</f>
        <v>0</v>
      </c>
      <c r="AJ596" s="1049">
        <f>(+IF(AJ550&gt;=2015,MAX(VLOOKUP(AJ654,'פחתי מים לרשויות מצטרפות'!$A$11:$G$14,MAX($B$3-AJ550,0)+3,0)-VLOOKUP(AJ$1,'פחת מים וגביה'!$A:$D,4,0),0))*AJ399/AJ$425)+IF(AND(AJ$7="חברה מנהלת",AJ13&lt;&gt;""),+VLOOKUP(AJ654,'פחתי מים לרשויות מצטרפות'!$A$12:$G$15,5,0)-VLOOKUP(AJ6,'פחת מים וגביה'!$A:$D,4,0),0)</f>
        <v>0</v>
      </c>
      <c r="AK596" s="1049">
        <f>(+IF(AK550&gt;=2015,MAX(VLOOKUP(AK654,'פחתי מים לרשויות מצטרפות'!$A$11:$G$14,MAX($B$3-AK550,0)+3,0)-VLOOKUP(AK$1,'פחת מים וגביה'!$A:$D,4,0),0))*AK399/AK$425)+IF(AND(AK$7="חברה מנהלת",AK13&lt;&gt;""),+VLOOKUP(AK654,'פחתי מים לרשויות מצטרפות'!$A$12:$G$15,5,0)-VLOOKUP(AK6,'פחת מים וגביה'!$A:$D,4,0),0)</f>
        <v>0</v>
      </c>
      <c r="AL596" s="1049">
        <f>(+IF(AL550&gt;=2015,MAX(VLOOKUP(AL654,'פחתי מים לרשויות מצטרפות'!$A$11:$G$14,MAX($B$3-AL550,0)+3,0)-VLOOKUP(AL$1,'פחת מים וגביה'!$A:$D,4,0),0))*AL399/AL$425)+IF(AND(AL$7="חברה מנהלת",AL13&lt;&gt;""),+VLOOKUP(AL654,'פחתי מים לרשויות מצטרפות'!$A$12:$G$15,5,0)-VLOOKUP(AL6,'פחת מים וגביה'!$A:$D,4,0),0)</f>
        <v>0</v>
      </c>
      <c r="AM596" s="1049">
        <f>(+IF(AM550&gt;=2015,MAX(VLOOKUP(AM654,'פחתי מים לרשויות מצטרפות'!$A$11:$G$14,MAX($B$3-AM550,0)+3,0)-VLOOKUP(AM$1,'פחת מים וגביה'!$A:$D,4,0),0))*AM399/AM$425)+IF(AND(AM$7="חברה מנהלת",AM13&lt;&gt;""),+VLOOKUP(AM654,'פחתי מים לרשויות מצטרפות'!$A$12:$G$15,5,0)-VLOOKUP(AM6,'פחת מים וגביה'!$A:$D,4,0),0)</f>
        <v>0</v>
      </c>
      <c r="AN596" s="1049">
        <f>(+IF(AN550&gt;=2015,MAX(VLOOKUP(AN654,'פחתי מים לרשויות מצטרפות'!$A$11:$G$14,MAX($B$3-AN550,0)+3,0)-VLOOKUP(AN$1,'פחת מים וגביה'!$A:$D,4,0),0))*AN399/AN$425)+IF(AND(AN$7="חברה מנהלת",AN13&lt;&gt;""),+VLOOKUP(AN654,'פחתי מים לרשויות מצטרפות'!$A$12:$G$15,5,0)-VLOOKUP(AN6,'פחת מים וגביה'!$A:$D,4,0),0)</f>
        <v>0</v>
      </c>
      <c r="AO596" s="1049">
        <f>(+IF(AO550&gt;=2015,MAX(VLOOKUP(AO654,'פחתי מים לרשויות מצטרפות'!$A$11:$G$14,MAX($B$3-AO550,0)+3,0)-VLOOKUP(AO$1,'פחת מים וגביה'!$A:$D,4,0),0))*AO399/AO$425)+IF(AND(AO$7="חברה מנהלת",AO13&lt;&gt;""),+VLOOKUP(AO654,'פחתי מים לרשויות מצטרפות'!$A$12:$G$15,5,0)-VLOOKUP(AO6,'פחת מים וגביה'!$A:$D,4,0),0)</f>
        <v>0</v>
      </c>
      <c r="AP596" s="1049">
        <f>(+IF(AP550&gt;=2015,MAX(VLOOKUP(AP654,'פחתי מים לרשויות מצטרפות'!$A$11:$G$14,MAX($B$3-AP550,0)+3,0)-VLOOKUP(AP$1,'פחת מים וגביה'!$A:$D,4,0),0))*AP399/AP$425)+IF(AND(AP$7="חברה מנהלת",AP13&lt;&gt;""),+VLOOKUP(AP654,'פחתי מים לרשויות מצטרפות'!$A$12:$G$15,5,0)-VLOOKUP(AP6,'פחת מים וגביה'!$A:$D,4,0),0)</f>
        <v>0</v>
      </c>
      <c r="AQ596" s="1049">
        <f>(+IF(AQ550&gt;=2015,MAX(VLOOKUP(AQ654,'פחתי מים לרשויות מצטרפות'!$A$11:$G$14,MAX($B$3-AQ550,0)+3,0)-VLOOKUP(AQ$1,'פחת מים וגביה'!$A:$D,4,0),0))*AQ399/AQ$425)+IF(AND(AQ$7="חברה מנהלת",AQ13&lt;&gt;""),+VLOOKUP(AQ654,'פחתי מים לרשויות מצטרפות'!$A$12:$G$15,5,0)-VLOOKUP(AQ6,'פחת מים וגביה'!$A:$D,4,0),0)</f>
        <v>0</v>
      </c>
      <c r="AR596" s="1049">
        <f>(+IF(AR550&gt;=2015,MAX(VLOOKUP(AR654,'פחתי מים לרשויות מצטרפות'!$A$11:$G$14,MAX($B$3-AR550,0)+3,0)-VLOOKUP(AR$1,'פחת מים וגביה'!$A:$D,4,0),0))*AR399/AR$425)+IF(AND(AR$7="חברה מנהלת",AR13&lt;&gt;""),+VLOOKUP(AR654,'פחתי מים לרשויות מצטרפות'!$A$12:$G$15,5,0)-VLOOKUP(AR6,'פחת מים וגביה'!$A:$D,4,0),0)</f>
        <v>0</v>
      </c>
      <c r="AS596" s="1049">
        <f>(+IF(AS550&gt;=2015,MAX(VLOOKUP(AS654,'פחתי מים לרשויות מצטרפות'!$A$11:$G$14,MAX($B$3-AS550,0)+3,0)-VLOOKUP(AS$1,'פחת מים וגביה'!$A:$D,4,0),0))*AS399/AS$425)+IF(AND(AS$7="חברה מנהלת",AS13&lt;&gt;""),+VLOOKUP(AS654,'פחתי מים לרשויות מצטרפות'!$A$12:$G$15,5,0)-VLOOKUP(AS6,'פחת מים וגביה'!$A:$D,4,0),0)</f>
        <v>0</v>
      </c>
      <c r="AT596" s="1049">
        <f>(+IF(AT550&gt;=2015,MAX(VLOOKUP(AT654,'פחתי מים לרשויות מצטרפות'!$A$11:$G$14,MAX($B$3-AT550,0)+3,0)-VLOOKUP(AT$1,'פחת מים וגביה'!$A:$D,4,0),0))*AT399/AT$425)+IF(AND(AT$7="חברה מנהלת",AT13&lt;&gt;""),+VLOOKUP(AT654,'פחתי מים לרשויות מצטרפות'!$A$12:$G$15,5,0)-VLOOKUP(AT6,'פחת מים וגביה'!$A:$D,4,0),0)</f>
        <v>0</v>
      </c>
      <c r="AU596" s="1049">
        <f>(+IF(AU550&gt;=2015,MAX(VLOOKUP(AU654,'פחתי מים לרשויות מצטרפות'!$A$11:$G$14,MAX($B$3-AU550,0)+3,0)-VLOOKUP(AU$1,'פחת מים וגביה'!$A:$D,4,0),0))*AU399/AU$425)+IF(AND(AU$7="חברה מנהלת",AU13&lt;&gt;""),+VLOOKUP(AU654,'פחתי מים לרשויות מצטרפות'!$A$12:$G$15,5,0)-VLOOKUP(AU6,'פחת מים וגביה'!$A:$D,4,0),0)</f>
        <v>0</v>
      </c>
      <c r="AV596" s="1049">
        <f>(+IF(AV550&gt;=2015,MAX(VLOOKUP(AV654,'פחתי מים לרשויות מצטרפות'!$A$11:$G$14,MAX($B$3-AV550,0)+3,0)-VLOOKUP(AV$1,'פחת מים וגביה'!$A:$D,4,0),0))*AV399/AV$425)+IF(AND(AV$7="חברה מנהלת",AV13&lt;&gt;""),+VLOOKUP(AV654,'פחתי מים לרשויות מצטרפות'!$A$12:$G$15,5,0)-VLOOKUP(AV6,'פחת מים וגביה'!$A:$D,4,0),0)</f>
        <v>0</v>
      </c>
      <c r="AW596" s="1049">
        <f>(+IF(AW550&gt;=2015,MAX(VLOOKUP(AW654,'פחתי מים לרשויות מצטרפות'!$A$11:$G$14,MAX($B$3-AW550,0)+3,0)-VLOOKUP(AW$1,'פחת מים וגביה'!$A:$D,4,0),0))*AW399/AW$425)+IF(AND(AW$7="חברה מנהלת",AW13&lt;&gt;""),+VLOOKUP(AW654,'פחתי מים לרשויות מצטרפות'!$A$12:$G$15,5,0)-VLOOKUP(AW6,'פחת מים וגביה'!$A:$D,4,0),0)</f>
        <v>0</v>
      </c>
      <c r="AX596" s="1049">
        <f>(+IF(AX550&gt;=2015,MAX(VLOOKUP(AX654,'פחתי מים לרשויות מצטרפות'!$A$11:$G$14,MAX($B$3-AX550,0)+3,0)-VLOOKUP(AX$1,'פחת מים וגביה'!$A:$D,4,0),0))*AX399/AX$425)+IF(AND(AX$7="חברה מנהלת",AX13&lt;&gt;""),+VLOOKUP(AX654,'פחתי מים לרשויות מצטרפות'!$A$12:$G$15,5,0)-VLOOKUP(AX6,'פחת מים וגביה'!$A:$D,4,0),0)</f>
        <v>0</v>
      </c>
      <c r="AY596" s="1049">
        <f>(+IF(AY550&gt;=2015,MAX(VLOOKUP(AY654,'פחתי מים לרשויות מצטרפות'!$A$11:$G$14,MAX($B$3-AY550,0)+3,0)-VLOOKUP(AY$1,'פחת מים וגביה'!$A:$D,4,0),0))*AY399/AY$425)+IF(AND(AY$7="חברה מנהלת",AY13&lt;&gt;""),+VLOOKUP(AY654,'פחתי מים לרשויות מצטרפות'!$A$12:$G$15,5,0)-VLOOKUP(AY6,'פחת מים וגביה'!$A:$D,4,0),0)</f>
        <v>0</v>
      </c>
      <c r="AZ596" s="1049">
        <f>(+IF(AZ550&gt;=2015,MAX(VLOOKUP(AZ654,'פחתי מים לרשויות מצטרפות'!$A$11:$G$14,MAX($B$3-AZ550,0)+3,0)-VLOOKUP(AZ$1,'פחת מים וגביה'!$A:$D,4,0),0))*AZ399/AZ$425)+IF(AND(AZ$7="חברה מנהלת",AZ13&lt;&gt;""),+VLOOKUP(AZ654,'פחתי מים לרשויות מצטרפות'!$A$12:$G$15,5,0)-VLOOKUP(AZ6,'פחת מים וגביה'!$A:$D,4,0),0)</f>
        <v>0</v>
      </c>
      <c r="BA596" s="1049">
        <f>(+IF(BA550&gt;=2015,MAX(VLOOKUP(BA654,'פחתי מים לרשויות מצטרפות'!$A$11:$G$14,MAX($B$3-BA550,0)+3,0)-VLOOKUP(BA$1,'פחת מים וגביה'!$A:$D,4,0),0))*BA399/BA$425)+IF(AND(BA$7="חברה מנהלת",BA13&lt;&gt;""),+VLOOKUP(BA654,'פחתי מים לרשויות מצטרפות'!$A$12:$G$15,5,0)-VLOOKUP(BA6,'פחת מים וגביה'!$A:$D,4,0),0)</f>
        <v>0</v>
      </c>
      <c r="BB596" s="1049">
        <f>(+IF(BB550&gt;=2015,MAX(VLOOKUP(BB654,'פחתי מים לרשויות מצטרפות'!$A$11:$G$14,MAX($B$3-BB550,0)+3,0)-VLOOKUP(BB$1,'פחת מים וגביה'!$A:$D,4,0),0))*BB399/BB$425)+IF(AND(BB$7="חברה מנהלת",BB13&lt;&gt;""),+VLOOKUP(BB654,'פחתי מים לרשויות מצטרפות'!$A$12:$G$15,5,0)-VLOOKUP(BB6,'פחת מים וגביה'!$A:$D,4,0),0)</f>
        <v>0</v>
      </c>
      <c r="BC596" s="1049">
        <f>(+IF(BC550&gt;=2015,MAX(VLOOKUP(BC654,'פחתי מים לרשויות מצטרפות'!$A$11:$G$14,MAX($B$3-BC550,0)+3,0)-VLOOKUP(BC$1,'פחת מים וגביה'!$A:$D,4,0),0))*BC399/BC$425)+IF(AND(BC$7="חברה מנהלת",BC13&lt;&gt;""),+VLOOKUP(BC654,'פחתי מים לרשויות מצטרפות'!$A$12:$G$15,5,0)-VLOOKUP(BC6,'פחת מים וגביה'!$A:$D,4,0),0)</f>
        <v>0</v>
      </c>
      <c r="BD596" s="1049">
        <f>(+IF(BD550&gt;=2015,MAX(VLOOKUP(BD654,'פחתי מים לרשויות מצטרפות'!$A$11:$G$14,MAX($B$3-BD550,0)+3,0)-VLOOKUP(BD$1,'פחת מים וגביה'!$A:$D,4,0),0))*BD399/BD$425)+IF(AND(BD$7="חברה מנהלת",BD13&lt;&gt;""),+VLOOKUP(BD654,'פחתי מים לרשויות מצטרפות'!$A$12:$G$15,5,0)-VLOOKUP(BD6,'פחת מים וגביה'!$A:$D,4,0),0)</f>
        <v>0</v>
      </c>
      <c r="BE596" s="1049">
        <f>(+IF(BE550&gt;=2015,MAX(VLOOKUP(BE654,'פחתי מים לרשויות מצטרפות'!$A$11:$G$14,MAX($B$3-BE550,0)+3,0)-VLOOKUP(BE$1,'פחת מים וגביה'!$A:$D,4,0),0))*BE399/BE$425)+IF(AND(BE$7="חברה מנהלת",BE13&lt;&gt;""),+VLOOKUP(BE654,'פחתי מים לרשויות מצטרפות'!$A$12:$G$15,5,0)-VLOOKUP(BE6,'פחת מים וגביה'!$A:$D,4,0),0)</f>
        <v>0</v>
      </c>
      <c r="BF596" s="1049">
        <f>(+IF(BF550&gt;=2015,MAX(VLOOKUP(BF654,'פחתי מים לרשויות מצטרפות'!$A$11:$G$14,MAX($B$3-BF550,0)+3,0)-VLOOKUP(BF$1,'פחת מים וגביה'!$A:$D,4,0),0))*BF399/BF$425)+IF(AND(BF$7="חברה מנהלת",BF13&lt;&gt;""),+VLOOKUP(BF654,'פחתי מים לרשויות מצטרפות'!$A$12:$G$15,5,0)-VLOOKUP(BF6,'פחת מים וגביה'!$A:$D,4,0),0)</f>
        <v>0</v>
      </c>
    </row>
    <row r="597" spans="3:58" x14ac:dyDescent="0.2">
      <c r="C597" s="1049">
        <f>(+IF(C551&gt;=2015,MAX(VLOOKUP(C655,'פחתי מים לרשויות מצטרפות'!$A$11:$G$14,MAX($B$3-C551,0)+3,0)-VLOOKUP(C$1,'פחת מים וגביה'!$A:$D,4,0),0))*C400/C$425)+IF(AND(C$7="חברה מנהלת",C14&lt;&gt;""),+VLOOKUP(C655,'פחתי מים לרשויות מצטרפות'!$A$12:$G$15,5,0)-VLOOKUP(C7,'פחת מים וגביה'!$A:$D,4,0),0)</f>
        <v>0</v>
      </c>
      <c r="D597" s="1049">
        <f>(+IF(D551&gt;=2015,MAX(VLOOKUP(D655,'פחתי מים לרשויות מצטרפות'!$A$11:$G$14,MAX($B$3-D551,0)+3,0)-VLOOKUP(D$1,'פחת מים וגביה'!$A:$D,4,0),0))*D400/D$425)+IF(AND(D$7="חברה מנהלת",D14&lt;&gt;""),+VLOOKUP(D655,'פחתי מים לרשויות מצטרפות'!$A$12:$G$15,5,0)-VLOOKUP(D7,'פחת מים וגביה'!$A:$D,4,0),0)</f>
        <v>1.2223155301757922E-2</v>
      </c>
      <c r="E597" s="1049">
        <f>(+IF(E551&gt;=2015,MAX(VLOOKUP(E655,'פחתי מים לרשויות מצטרפות'!$A$11:$G$14,MAX($B$3-E551,0)+3,0)-VLOOKUP(E$1,'פחת מים וגביה'!$A:$D,4,0),0))*E400/E$425)+IF(AND(E$7="חברה מנהלת",E14&lt;&gt;""),+VLOOKUP(E655,'פחתי מים לרשויות מצטרפות'!$A$12:$G$15,5,0)-VLOOKUP(E7,'פחת מים וגביה'!$A:$D,4,0),0)</f>
        <v>0</v>
      </c>
      <c r="F597" s="1049">
        <f>(+IF(F551&gt;=2015,MAX(VLOOKUP(F655,'פחתי מים לרשויות מצטרפות'!$A$11:$G$14,MAX($B$3-F551,0)+3,0)-VLOOKUP(F$1,'פחת מים וגביה'!$A:$D,4,0),0))*F400/F$425)+IF(AND(F$7="חברה מנהלת",F14&lt;&gt;""),+VLOOKUP(F655,'פחתי מים לרשויות מצטרפות'!$A$12:$G$15,5,0)-VLOOKUP(F7,'פחת מים וגביה'!$A:$D,4,0),0)</f>
        <v>0</v>
      </c>
      <c r="G597" s="1049">
        <f>(+IF(G551&gt;=2015,MAX(VLOOKUP(G655,'פחתי מים לרשויות מצטרפות'!$A$11:$G$14,MAX($B$3-G551,0)+3,0)-VLOOKUP(G$1,'פחת מים וגביה'!$A:$D,4,0),0))*G400/G$425)+IF(AND(G$7="חברה מנהלת",G14&lt;&gt;""),+VLOOKUP(G655,'פחתי מים לרשויות מצטרפות'!$A$12:$G$15,5,0)-VLOOKUP(G7,'פחת מים וגביה'!$A:$D,4,0),0)</f>
        <v>0</v>
      </c>
      <c r="H597" s="1049">
        <f>(+IF(H551&gt;=2015,MAX(VLOOKUP(H655,'פחתי מים לרשויות מצטרפות'!$A$11:$G$14,MAX($B$3-H551,0)+3,0)-VLOOKUP(H$1,'פחת מים וגביה'!$A:$D,4,0),0))*H400/H$425)+IF(AND(H$7="חברה מנהלת",H14&lt;&gt;""),+VLOOKUP(H655,'פחתי מים לרשויות מצטרפות'!$A$12:$G$15,5,0)-VLOOKUP(H7,'פחת מים וגביה'!$A:$D,4,0),0)</f>
        <v>0</v>
      </c>
      <c r="I597" s="1049">
        <f>(+IF(I551&gt;=2015,MAX(VLOOKUP(I655,'פחתי מים לרשויות מצטרפות'!$A$11:$G$14,MAX($B$3-I551,0)+3,0)-VLOOKUP(I$1,'פחת מים וגביה'!$A:$D,4,0),0))*I400/I$425)+IF(AND(I$7="חברה מנהלת",I14&lt;&gt;""),+VLOOKUP(I655,'פחתי מים לרשויות מצטרפות'!$A$12:$G$15,5,0)-VLOOKUP(I7,'פחת מים וגביה'!$A:$D,4,0),0)</f>
        <v>0</v>
      </c>
      <c r="J597" s="1049">
        <f>(+IF(J551&gt;=2015,MAX(VLOOKUP(J655,'פחתי מים לרשויות מצטרפות'!$A$11:$G$14,MAX($B$3-J551,0)+3,0)-VLOOKUP(J$1,'פחת מים וגביה'!$A:$D,4,0),0))*J400/J$425)+IF(AND(J$7="חברה מנהלת",J14&lt;&gt;""),+VLOOKUP(J655,'פחתי מים לרשויות מצטרפות'!$A$12:$G$15,5,0)-VLOOKUP(J7,'פחת מים וגביה'!$A:$D,4,0),0)</f>
        <v>0</v>
      </c>
      <c r="K597" s="1049">
        <f>(+IF(K551&gt;=2015,MAX(VLOOKUP(K655,'פחתי מים לרשויות מצטרפות'!$A$11:$G$14,MAX($B$3-K551,0)+3,0)-VLOOKUP(K$1,'פחת מים וגביה'!$A:$D,4,0),0))*K400/K$425)+IF(AND(K$7="חברה מנהלת",K14&lt;&gt;""),+VLOOKUP(K655,'פחתי מים לרשויות מצטרפות'!$A$12:$G$15,5,0)-VLOOKUP(K7,'פחת מים וגביה'!$A:$D,4,0),0)</f>
        <v>0</v>
      </c>
      <c r="L597" s="1049">
        <f>(+IF(L551&gt;=2015,MAX(VLOOKUP(L655,'פחתי מים לרשויות מצטרפות'!$A$11:$G$14,MAX($B$3-L551,0)+3,0)-VLOOKUP(L$1,'פחת מים וגביה'!$A:$D,4,0),0))*L400/L$425)+IF(AND(L$7="חברה מנהלת",L14&lt;&gt;""),+VLOOKUP(L655,'פחתי מים לרשויות מצטרפות'!$A$12:$G$15,5,0)-VLOOKUP(L7,'פחת מים וגביה'!$A:$D,4,0),0)</f>
        <v>0</v>
      </c>
      <c r="M597" s="1049">
        <f>(+IF(M551&gt;=2015,MAX(VLOOKUP(M655,'פחתי מים לרשויות מצטרפות'!$A$11:$G$14,MAX($B$3-M551,0)+3,0)-VLOOKUP(M$1,'פחת מים וגביה'!$A:$D,4,0),0))*M400/M$425)+IF(AND(M$7="חברה מנהלת",M14&lt;&gt;""),+VLOOKUP(M655,'פחתי מים לרשויות מצטרפות'!$A$12:$G$15,5,0)-VLOOKUP(M7,'פחת מים וגביה'!$A:$D,4,0),0)</f>
        <v>0</v>
      </c>
      <c r="N597" s="1049">
        <f>(+IF(N551&gt;=2015,MAX(VLOOKUP(N655,'פחתי מים לרשויות מצטרפות'!$A$11:$G$14,MAX($B$3-N551,0)+3,0)-VLOOKUP(N$1,'פחת מים וגביה'!$A:$D,4,0),0))*N400/N$425)+IF(AND(N$7="חברה מנהלת",N14&lt;&gt;""),+VLOOKUP(N655,'פחתי מים לרשויות מצטרפות'!$A$12:$G$15,5,0)-VLOOKUP(N7,'פחת מים וגביה'!$A:$D,4,0),0)</f>
        <v>0</v>
      </c>
      <c r="O597" s="1049">
        <f>(+IF(O551&gt;=2015,MAX(VLOOKUP(O655,'פחתי מים לרשויות מצטרפות'!$A$11:$G$14,MAX($B$3-O551,0)+3,0)-VLOOKUP(O$1,'פחת מים וגביה'!$A:$D,4,0),0))*O400/O$425)+IF(AND(O$7="חברה מנהלת",O14&lt;&gt;""),+VLOOKUP(O655,'פחתי מים לרשויות מצטרפות'!$A$12:$G$15,5,0)-VLOOKUP(O7,'פחת מים וגביה'!$A:$D,4,0),0)</f>
        <v>0</v>
      </c>
      <c r="P597" s="1049">
        <f>(+IF(P551&gt;=2015,MAX(VLOOKUP(P655,'פחתי מים לרשויות מצטרפות'!$A$11:$G$14,MAX($B$3-P551,0)+3,0)-VLOOKUP(P$1,'פחת מים וגביה'!$A:$D,4,0),0))*P400/P$425)+IF(AND(P$7="חברה מנהלת",P14&lt;&gt;""),+VLOOKUP(P655,'פחתי מים לרשויות מצטרפות'!$A$12:$G$15,5,0)-VLOOKUP(P7,'פחת מים וגביה'!$A:$D,4,0),0)</f>
        <v>0</v>
      </c>
      <c r="Q597" s="1049">
        <f>(+IF(Q551&gt;=2015,MAX(VLOOKUP(Q655,'פחתי מים לרשויות מצטרפות'!$A$11:$G$14,MAX($B$3-Q551,0)+3,0)-VLOOKUP(Q$1,'פחת מים וגביה'!$A:$D,4,0),0))*Q400/Q$425)+IF(AND(Q$7="חברה מנהלת",Q14&lt;&gt;""),+VLOOKUP(Q655,'פחתי מים לרשויות מצטרפות'!$A$12:$G$15,5,0)-VLOOKUP(Q7,'פחת מים וגביה'!$A:$D,4,0),0)</f>
        <v>0</v>
      </c>
      <c r="R597" s="1049">
        <f>(+IF(R551&gt;=2015,MAX(VLOOKUP(R655,'פחתי מים לרשויות מצטרפות'!$A$11:$G$14,MAX($B$3-R551,0)+3,0)-VLOOKUP(R$1,'פחת מים וגביה'!$A:$D,4,0),0))*R400/R$425)+IF(AND(R$7="חברה מנהלת",R14&lt;&gt;""),+VLOOKUP(R655,'פחתי מים לרשויות מצטרפות'!$A$12:$G$15,5,0)-VLOOKUP(R7,'פחת מים וגביה'!$A:$D,4,0),0)</f>
        <v>0</v>
      </c>
      <c r="S597" s="1049">
        <f>(+IF(S551&gt;=2015,MAX(VLOOKUP(S655,'פחתי מים לרשויות מצטרפות'!$A$11:$G$14,MAX($B$3-S551,0)+3,0)-VLOOKUP(S$1,'פחת מים וגביה'!$A:$D,4,0),0))*S400/S$425)+IF(AND(S$7="חברה מנהלת",S14&lt;&gt;""),+VLOOKUP(S655,'פחתי מים לרשויות מצטרפות'!$A$12:$G$15,5,0)-VLOOKUP(S7,'פחת מים וגביה'!$A:$D,4,0),0)</f>
        <v>0</v>
      </c>
      <c r="T597" s="1049">
        <f>(+IF(T551&gt;=2015,MAX(VLOOKUP(T655,'פחתי מים לרשויות מצטרפות'!$A$11:$G$14,MAX($B$3-T551,0)+3,0)-VLOOKUP(T$1,'פחת מים וגביה'!$A:$D,4,0),0))*T400/T$425)+IF(AND(T$7="חברה מנהלת",T14&lt;&gt;""),+VLOOKUP(T655,'פחתי מים לרשויות מצטרפות'!$A$12:$G$15,5,0)-VLOOKUP(T7,'פחת מים וגביה'!$A:$D,4,0),0)</f>
        <v>0</v>
      </c>
      <c r="U597" s="1049">
        <f>(+IF(U551&gt;=2015,MAX(VLOOKUP(U655,'פחתי מים לרשויות מצטרפות'!$A$11:$G$14,MAX($B$3-U551,0)+3,0)-VLOOKUP(U$1,'פחת מים וגביה'!$A:$D,4,0),0))*U400/U$425)+IF(AND(U$7="חברה מנהלת",U14&lt;&gt;""),+VLOOKUP(U655,'פחתי מים לרשויות מצטרפות'!$A$12:$G$15,5,0)-VLOOKUP(U7,'פחת מים וגביה'!$A:$D,4,0),0)</f>
        <v>0</v>
      </c>
      <c r="V597" s="1049">
        <f>(+IF(V551&gt;=2015,MAX(VLOOKUP(V655,'פחתי מים לרשויות מצטרפות'!$A$11:$G$14,MAX($B$3-V551,0)+3,0)-VLOOKUP(V$1,'פחת מים וגביה'!$A:$D,4,0),0))*V400/V$425)+IF(AND(V$7="חברה מנהלת",V14&lt;&gt;""),+VLOOKUP(V655,'פחתי מים לרשויות מצטרפות'!$A$12:$G$15,5,0)-VLOOKUP(V7,'פחת מים וגביה'!$A:$D,4,0),0)</f>
        <v>0</v>
      </c>
      <c r="W597" s="1049">
        <f>(+IF(W551&gt;=2015,MAX(VLOOKUP(W655,'פחתי מים לרשויות מצטרפות'!$A$11:$G$14,MAX($B$3-W551,0)+3,0)-VLOOKUP(W$1,'פחת מים וגביה'!$A:$D,4,0),0))*W400/W$425)+IF(AND(W$7="חברה מנהלת",W14&lt;&gt;""),+VLOOKUP(W655,'פחתי מים לרשויות מצטרפות'!$A$12:$G$15,5,0)-VLOOKUP(W7,'פחת מים וגביה'!$A:$D,4,0),0)</f>
        <v>2.6836911193251827E-3</v>
      </c>
      <c r="X597" s="1049">
        <f>(+IF(X551&gt;=2015,MAX(VLOOKUP(X655,'פחתי מים לרשויות מצטרפות'!$A$11:$G$14,MAX($B$3-X551,0)+3,0)-VLOOKUP(X$1,'פחת מים וגביה'!$A:$D,4,0),0))*X400/X$425)+IF(AND(X$7="חברה מנהלת",X14&lt;&gt;""),+VLOOKUP(X655,'פחתי מים לרשויות מצטרפות'!$A$12:$G$15,5,0)-VLOOKUP(X7,'פחת מים וגביה'!$A:$D,4,0),0)</f>
        <v>0</v>
      </c>
      <c r="Y597" s="1049">
        <f>(+IF(Y551&gt;=2015,MAX(VLOOKUP(Y655,'פחתי מים לרשויות מצטרפות'!$A$11:$G$14,MAX($B$3-Y551,0)+3,0)-VLOOKUP(Y$1,'פחת מים וגביה'!$A:$D,4,0),0))*Y400/Y$425)+IF(AND(Y$7="חברה מנהלת",Y14&lt;&gt;""),+VLOOKUP(Y655,'פחתי מים לרשויות מצטרפות'!$A$12:$G$15,5,0)-VLOOKUP(Y7,'פחת מים וגביה'!$A:$D,4,0),0)</f>
        <v>0</v>
      </c>
      <c r="Z597" s="1049">
        <f>(+IF(Z551&gt;=2015,MAX(VLOOKUP(Z655,'פחתי מים לרשויות מצטרפות'!$A$11:$G$14,MAX($B$3-Z551,0)+3,0)-VLOOKUP(Z$1,'פחת מים וגביה'!$A:$D,4,0),0))*Z400/Z$425)+IF(AND(Z$7="חברה מנהלת",Z14&lt;&gt;""),+VLOOKUP(Z655,'פחתי מים לרשויות מצטרפות'!$A$12:$G$15,5,0)-VLOOKUP(Z7,'פחת מים וגביה'!$A:$D,4,0),0)</f>
        <v>0</v>
      </c>
      <c r="AA597" s="1049">
        <f>(+IF(AA551&gt;=2015,MAX(VLOOKUP(AA655,'פחתי מים לרשויות מצטרפות'!$A$11:$G$14,MAX($B$3-AA551,0)+3,0)-VLOOKUP(AA$1,'פחת מים וגביה'!$A:$D,4,0),0))*AA400/AA$425)+IF(AND(AA$7="חברה מנהלת",AA14&lt;&gt;""),+VLOOKUP(AA655,'פחתי מים לרשויות מצטרפות'!$A$12:$G$15,5,0)-VLOOKUP(AA7,'פחת מים וגביה'!$A:$D,4,0),0)</f>
        <v>0</v>
      </c>
      <c r="AB597" s="1049">
        <f>(+IF(AB551&gt;=2015,MAX(VLOOKUP(AB655,'פחתי מים לרשויות מצטרפות'!$A$11:$G$14,MAX($B$3-AB551,0)+3,0)-VLOOKUP(AB$1,'פחת מים וגביה'!$A:$D,4,0),0))*AB400/AB$425)+IF(AND(AB$7="חברה מנהלת",AB14&lt;&gt;""),+VLOOKUP(AB655,'פחתי מים לרשויות מצטרפות'!$A$12:$G$15,5,0)-VLOOKUP(AB7,'פחת מים וגביה'!$A:$D,4,0),0)</f>
        <v>0</v>
      </c>
      <c r="AC597" s="1049">
        <f>(+IF(AC551&gt;=2015,MAX(VLOOKUP(AC655,'פחתי מים לרשויות מצטרפות'!$A$11:$G$14,MAX($B$3-AC551,0)+3,0)-VLOOKUP(AC$1,'פחת מים וגביה'!$A:$D,4,0),0))*AC400/AC$425)+IF(AND(AC$7="חברה מנהלת",AC14&lt;&gt;""),+VLOOKUP(AC655,'פחתי מים לרשויות מצטרפות'!$A$12:$G$15,5,0)-VLOOKUP(AC7,'פחת מים וגביה'!$A:$D,4,0),0)</f>
        <v>0</v>
      </c>
      <c r="AD597" s="1049">
        <f>(+IF(AD551&gt;=2015,MAX(VLOOKUP(AD655,'פחתי מים לרשויות מצטרפות'!$A$11:$G$14,MAX($B$3-AD551,0)+3,0)-VLOOKUP(AD$1,'פחת מים וגביה'!$A:$D,4,0),0))*AD400/AD$425)+IF(AND(AD$7="חברה מנהלת",AD14&lt;&gt;""),+VLOOKUP(AD655,'פחתי מים לרשויות מצטרפות'!$A$12:$G$15,5,0)-VLOOKUP(AD7,'פחת מים וגביה'!$A:$D,4,0),0)</f>
        <v>0</v>
      </c>
      <c r="AE597" s="1049">
        <f>(+IF(AE551&gt;=2015,MAX(VLOOKUP(AE655,'פחתי מים לרשויות מצטרפות'!$A$11:$G$14,MAX($B$3-AE551,0)+3,0)-VLOOKUP(AE$1,'פחת מים וגביה'!$A:$D,4,0),0))*AE400/AE$425)+IF(AND(AE$7="חברה מנהלת",AE14&lt;&gt;""),+VLOOKUP(AE655,'פחתי מים לרשויות מצטרפות'!$A$12:$G$15,5,0)-VLOOKUP(AE7,'פחת מים וגביה'!$A:$D,4,0),0)</f>
        <v>0</v>
      </c>
      <c r="AF597" s="1049">
        <f>(+IF(AF551&gt;=2015,MAX(VLOOKUP(AF655,'פחתי מים לרשויות מצטרפות'!$A$11:$G$14,MAX($B$3-AF551,0)+3,0)-VLOOKUP(AF$1,'פחת מים וגביה'!$A:$D,4,0),0))*AF400/AF$425)+IF(AND(AF$7="חברה מנהלת",AF14&lt;&gt;""),+VLOOKUP(AF655,'פחתי מים לרשויות מצטרפות'!$A$12:$G$15,5,0)-VLOOKUP(AF7,'פחת מים וגביה'!$A:$D,4,0),0)</f>
        <v>0</v>
      </c>
      <c r="AG597" s="1049">
        <f>(+IF(AG551&gt;=2015,MAX(VLOOKUP(AG655,'פחתי מים לרשויות מצטרפות'!$A$11:$G$14,MAX($B$3-AG551,0)+3,0)-VLOOKUP(AG$1,'פחת מים וגביה'!$A:$D,4,0),0))*AG400/AG$425)+IF(AND(AG$7="חברה מנהלת",AG14&lt;&gt;""),+VLOOKUP(AG655,'פחתי מים לרשויות מצטרפות'!$A$12:$G$15,5,0)-VLOOKUP(AG7,'פחת מים וגביה'!$A:$D,4,0),0)</f>
        <v>0</v>
      </c>
      <c r="AH597" s="1049">
        <f>(+IF(AH551&gt;=2015,MAX(VLOOKUP(AH655,'פחתי מים לרשויות מצטרפות'!$A$11:$G$14,MAX($B$3-AH551,0)+3,0)-VLOOKUP(AH$1,'פחת מים וגביה'!$A:$D,4,0),0))*AH400/AH$425)+IF(AND(AH$7="חברה מנהלת",AH14&lt;&gt;""),+VLOOKUP(AH655,'פחתי מים לרשויות מצטרפות'!$A$12:$G$15,5,0)-VLOOKUP(AH7,'פחת מים וגביה'!$A:$D,4,0),0)</f>
        <v>0</v>
      </c>
      <c r="AI597" s="1049">
        <f>(+IF(AI551&gt;=2015,MAX(VLOOKUP(AI655,'פחתי מים לרשויות מצטרפות'!$A$11:$G$14,MAX($B$3-AI551,0)+3,0)-VLOOKUP(AI$1,'פחת מים וגביה'!$A:$D,4,0),0))*AI400/AI$425)+IF(AND(AI$7="חברה מנהלת",AI14&lt;&gt;""),+VLOOKUP(AI655,'פחתי מים לרשויות מצטרפות'!$A$12:$G$15,5,0)-VLOOKUP(AI7,'פחת מים וגביה'!$A:$D,4,0),0)</f>
        <v>0</v>
      </c>
      <c r="AJ597" s="1049">
        <f>(+IF(AJ551&gt;=2015,MAX(VLOOKUP(AJ655,'פחתי מים לרשויות מצטרפות'!$A$11:$G$14,MAX($B$3-AJ551,0)+3,0)-VLOOKUP(AJ$1,'פחת מים וגביה'!$A:$D,4,0),0))*AJ400/AJ$425)+IF(AND(AJ$7="חברה מנהלת",AJ14&lt;&gt;""),+VLOOKUP(AJ655,'פחתי מים לרשויות מצטרפות'!$A$12:$G$15,5,0)-VLOOKUP(AJ7,'פחת מים וגביה'!$A:$D,4,0),0)</f>
        <v>0</v>
      </c>
      <c r="AK597" s="1049">
        <f>(+IF(AK551&gt;=2015,MAX(VLOOKUP(AK655,'פחתי מים לרשויות מצטרפות'!$A$11:$G$14,MAX($B$3-AK551,0)+3,0)-VLOOKUP(AK$1,'פחת מים וגביה'!$A:$D,4,0),0))*AK400/AK$425)+IF(AND(AK$7="חברה מנהלת",AK14&lt;&gt;""),+VLOOKUP(AK655,'פחתי מים לרשויות מצטרפות'!$A$12:$G$15,5,0)-VLOOKUP(AK7,'פחת מים וגביה'!$A:$D,4,0),0)</f>
        <v>0</v>
      </c>
      <c r="AL597" s="1049">
        <f>(+IF(AL551&gt;=2015,MAX(VLOOKUP(AL655,'פחתי מים לרשויות מצטרפות'!$A$11:$G$14,MAX($B$3-AL551,0)+3,0)-VLOOKUP(AL$1,'פחת מים וגביה'!$A:$D,4,0),0))*AL400/AL$425)+IF(AND(AL$7="חברה מנהלת",AL14&lt;&gt;""),+VLOOKUP(AL655,'פחתי מים לרשויות מצטרפות'!$A$12:$G$15,5,0)-VLOOKUP(AL7,'פחת מים וגביה'!$A:$D,4,0),0)</f>
        <v>0</v>
      </c>
      <c r="AM597" s="1049">
        <f>(+IF(AM551&gt;=2015,MAX(VLOOKUP(AM655,'פחתי מים לרשויות מצטרפות'!$A$11:$G$14,MAX($B$3-AM551,0)+3,0)-VLOOKUP(AM$1,'פחת מים וגביה'!$A:$D,4,0),0))*AM400/AM$425)+IF(AND(AM$7="חברה מנהלת",AM14&lt;&gt;""),+VLOOKUP(AM655,'פחתי מים לרשויות מצטרפות'!$A$12:$G$15,5,0)-VLOOKUP(AM7,'פחת מים וגביה'!$A:$D,4,0),0)</f>
        <v>0</v>
      </c>
      <c r="AN597" s="1049">
        <f>(+IF(AN551&gt;=2015,MAX(VLOOKUP(AN655,'פחתי מים לרשויות מצטרפות'!$A$11:$G$14,MAX($B$3-AN551,0)+3,0)-VLOOKUP(AN$1,'פחת מים וגביה'!$A:$D,4,0),0))*AN400/AN$425)+IF(AND(AN$7="חברה מנהלת",AN14&lt;&gt;""),+VLOOKUP(AN655,'פחתי מים לרשויות מצטרפות'!$A$12:$G$15,5,0)-VLOOKUP(AN7,'פחת מים וגביה'!$A:$D,4,0),0)</f>
        <v>0</v>
      </c>
      <c r="AO597" s="1049">
        <f>(+IF(AO551&gt;=2015,MAX(VLOOKUP(AO655,'פחתי מים לרשויות מצטרפות'!$A$11:$G$14,MAX($B$3-AO551,0)+3,0)-VLOOKUP(AO$1,'פחת מים וגביה'!$A:$D,4,0),0))*AO400/AO$425)+IF(AND(AO$7="חברה מנהלת",AO14&lt;&gt;""),+VLOOKUP(AO655,'פחתי מים לרשויות מצטרפות'!$A$12:$G$15,5,0)-VLOOKUP(AO7,'פחת מים וגביה'!$A:$D,4,0),0)</f>
        <v>0</v>
      </c>
      <c r="AP597" s="1049">
        <f>(+IF(AP551&gt;=2015,MAX(VLOOKUP(AP655,'פחתי מים לרשויות מצטרפות'!$A$11:$G$14,MAX($B$3-AP551,0)+3,0)-VLOOKUP(AP$1,'פחת מים וגביה'!$A:$D,4,0),0))*AP400/AP$425)+IF(AND(AP$7="חברה מנהלת",AP14&lt;&gt;""),+VLOOKUP(AP655,'פחתי מים לרשויות מצטרפות'!$A$12:$G$15,5,0)-VLOOKUP(AP7,'פחת מים וגביה'!$A:$D,4,0),0)</f>
        <v>0</v>
      </c>
      <c r="AQ597" s="1049">
        <f>(+IF(AQ551&gt;=2015,MAX(VLOOKUP(AQ655,'פחתי מים לרשויות מצטרפות'!$A$11:$G$14,MAX($B$3-AQ551,0)+3,0)-VLOOKUP(AQ$1,'פחת מים וגביה'!$A:$D,4,0),0))*AQ400/AQ$425)+IF(AND(AQ$7="חברה מנהלת",AQ14&lt;&gt;""),+VLOOKUP(AQ655,'פחתי מים לרשויות מצטרפות'!$A$12:$G$15,5,0)-VLOOKUP(AQ7,'פחת מים וגביה'!$A:$D,4,0),0)</f>
        <v>0</v>
      </c>
      <c r="AR597" s="1049">
        <f>(+IF(AR551&gt;=2015,MAX(VLOOKUP(AR655,'פחתי מים לרשויות מצטרפות'!$A$11:$G$14,MAX($B$3-AR551,0)+3,0)-VLOOKUP(AR$1,'פחת מים וגביה'!$A:$D,4,0),0))*AR400/AR$425)+IF(AND(AR$7="חברה מנהלת",AR14&lt;&gt;""),+VLOOKUP(AR655,'פחתי מים לרשויות מצטרפות'!$A$12:$G$15,5,0)-VLOOKUP(AR7,'פחת מים וגביה'!$A:$D,4,0),0)</f>
        <v>0</v>
      </c>
      <c r="AS597" s="1049">
        <f>(+IF(AS551&gt;=2015,MAX(VLOOKUP(AS655,'פחתי מים לרשויות מצטרפות'!$A$11:$G$14,MAX($B$3-AS551,0)+3,0)-VLOOKUP(AS$1,'פחת מים וגביה'!$A:$D,4,0),0))*AS400/AS$425)+IF(AND(AS$7="חברה מנהלת",AS14&lt;&gt;""),+VLOOKUP(AS655,'פחתי מים לרשויות מצטרפות'!$A$12:$G$15,5,0)-VLOOKUP(AS7,'פחת מים וגביה'!$A:$D,4,0),0)</f>
        <v>0</v>
      </c>
      <c r="AT597" s="1049">
        <f>(+IF(AT551&gt;=2015,MAX(VLOOKUP(AT655,'פחתי מים לרשויות מצטרפות'!$A$11:$G$14,MAX($B$3-AT551,0)+3,0)-VLOOKUP(AT$1,'פחת מים וגביה'!$A:$D,4,0),0))*AT400/AT$425)+IF(AND(AT$7="חברה מנהלת",AT14&lt;&gt;""),+VLOOKUP(AT655,'פחתי מים לרשויות מצטרפות'!$A$12:$G$15,5,0)-VLOOKUP(AT7,'פחת מים וגביה'!$A:$D,4,0),0)</f>
        <v>0</v>
      </c>
      <c r="AU597" s="1049">
        <f>(+IF(AU551&gt;=2015,MAX(VLOOKUP(AU655,'פחתי מים לרשויות מצטרפות'!$A$11:$G$14,MAX($B$3-AU551,0)+3,0)-VLOOKUP(AU$1,'פחת מים וגביה'!$A:$D,4,0),0))*AU400/AU$425)+IF(AND(AU$7="חברה מנהלת",AU14&lt;&gt;""),+VLOOKUP(AU655,'פחתי מים לרשויות מצטרפות'!$A$12:$G$15,5,0)-VLOOKUP(AU7,'פחת מים וגביה'!$A:$D,4,0),0)</f>
        <v>0</v>
      </c>
      <c r="AV597" s="1049">
        <f>(+IF(AV551&gt;=2015,MAX(VLOOKUP(AV655,'פחתי מים לרשויות מצטרפות'!$A$11:$G$14,MAX($B$3-AV551,0)+3,0)-VLOOKUP(AV$1,'פחת מים וגביה'!$A:$D,4,0),0))*AV400/AV$425)+IF(AND(AV$7="חברה מנהלת",AV14&lt;&gt;""),+VLOOKUP(AV655,'פחתי מים לרשויות מצטרפות'!$A$12:$G$15,5,0)-VLOOKUP(AV7,'פחת מים וגביה'!$A:$D,4,0),0)</f>
        <v>0</v>
      </c>
      <c r="AW597" s="1049">
        <f>(+IF(AW551&gt;=2015,MAX(VLOOKUP(AW655,'פחתי מים לרשויות מצטרפות'!$A$11:$G$14,MAX($B$3-AW551,0)+3,0)-VLOOKUP(AW$1,'פחת מים וגביה'!$A:$D,4,0),0))*AW400/AW$425)+IF(AND(AW$7="חברה מנהלת",AW14&lt;&gt;""),+VLOOKUP(AW655,'פחתי מים לרשויות מצטרפות'!$A$12:$G$15,5,0)-VLOOKUP(AW7,'פחת מים וגביה'!$A:$D,4,0),0)</f>
        <v>0</v>
      </c>
      <c r="AX597" s="1049">
        <f>(+IF(AX551&gt;=2015,MAX(VLOOKUP(AX655,'פחתי מים לרשויות מצטרפות'!$A$11:$G$14,MAX($B$3-AX551,0)+3,0)-VLOOKUP(AX$1,'פחת מים וגביה'!$A:$D,4,0),0))*AX400/AX$425)+IF(AND(AX$7="חברה מנהלת",AX14&lt;&gt;""),+VLOOKUP(AX655,'פחתי מים לרשויות מצטרפות'!$A$12:$G$15,5,0)-VLOOKUP(AX7,'פחת מים וגביה'!$A:$D,4,0),0)</f>
        <v>0</v>
      </c>
      <c r="AY597" s="1049">
        <f>(+IF(AY551&gt;=2015,MAX(VLOOKUP(AY655,'פחתי מים לרשויות מצטרפות'!$A$11:$G$14,MAX($B$3-AY551,0)+3,0)-VLOOKUP(AY$1,'פחת מים וגביה'!$A:$D,4,0),0))*AY400/AY$425)+IF(AND(AY$7="חברה מנהלת",AY14&lt;&gt;""),+VLOOKUP(AY655,'פחתי מים לרשויות מצטרפות'!$A$12:$G$15,5,0)-VLOOKUP(AY7,'פחת מים וגביה'!$A:$D,4,0),0)</f>
        <v>0</v>
      </c>
      <c r="AZ597" s="1049">
        <f>(+IF(AZ551&gt;=2015,MAX(VLOOKUP(AZ655,'פחתי מים לרשויות מצטרפות'!$A$11:$G$14,MAX($B$3-AZ551,0)+3,0)-VLOOKUP(AZ$1,'פחת מים וגביה'!$A:$D,4,0),0))*AZ400/AZ$425)+IF(AND(AZ$7="חברה מנהלת",AZ14&lt;&gt;""),+VLOOKUP(AZ655,'פחתי מים לרשויות מצטרפות'!$A$12:$G$15,5,0)-VLOOKUP(AZ7,'פחת מים וגביה'!$A:$D,4,0),0)</f>
        <v>0</v>
      </c>
      <c r="BA597" s="1049">
        <f>(+IF(BA551&gt;=2015,MAX(VLOOKUP(BA655,'פחתי מים לרשויות מצטרפות'!$A$11:$G$14,MAX($B$3-BA551,0)+3,0)-VLOOKUP(BA$1,'פחת מים וגביה'!$A:$D,4,0),0))*BA400/BA$425)+IF(AND(BA$7="חברה מנהלת",BA14&lt;&gt;""),+VLOOKUP(BA655,'פחתי מים לרשויות מצטרפות'!$A$12:$G$15,5,0)-VLOOKUP(BA7,'פחת מים וגביה'!$A:$D,4,0),0)</f>
        <v>0</v>
      </c>
      <c r="BB597" s="1049">
        <f>(+IF(BB551&gt;=2015,MAX(VLOOKUP(BB655,'פחתי מים לרשויות מצטרפות'!$A$11:$G$14,MAX($B$3-BB551,0)+3,0)-VLOOKUP(BB$1,'פחת מים וגביה'!$A:$D,4,0),0))*BB400/BB$425)+IF(AND(BB$7="חברה מנהלת",BB14&lt;&gt;""),+VLOOKUP(BB655,'פחתי מים לרשויות מצטרפות'!$A$12:$G$15,5,0)-VLOOKUP(BB7,'פחת מים וגביה'!$A:$D,4,0),0)</f>
        <v>0</v>
      </c>
      <c r="BC597" s="1049">
        <f>(+IF(BC551&gt;=2015,MAX(VLOOKUP(BC655,'פחתי מים לרשויות מצטרפות'!$A$11:$G$14,MAX($B$3-BC551,0)+3,0)-VLOOKUP(BC$1,'פחת מים וגביה'!$A:$D,4,0),0))*BC400/BC$425)+IF(AND(BC$7="חברה מנהלת",BC14&lt;&gt;""),+VLOOKUP(BC655,'פחתי מים לרשויות מצטרפות'!$A$12:$G$15,5,0)-VLOOKUP(BC7,'פחת מים וגביה'!$A:$D,4,0),0)</f>
        <v>0</v>
      </c>
      <c r="BD597" s="1049">
        <f>(+IF(BD551&gt;=2015,MAX(VLOOKUP(BD655,'פחתי מים לרשויות מצטרפות'!$A$11:$G$14,MAX($B$3-BD551,0)+3,0)-VLOOKUP(BD$1,'פחת מים וגביה'!$A:$D,4,0),0))*BD400/BD$425)+IF(AND(BD$7="חברה מנהלת",BD14&lt;&gt;""),+VLOOKUP(BD655,'פחתי מים לרשויות מצטרפות'!$A$12:$G$15,5,0)-VLOOKUP(BD7,'פחת מים וגביה'!$A:$D,4,0),0)</f>
        <v>0</v>
      </c>
      <c r="BE597" s="1049">
        <f>(+IF(BE551&gt;=2015,MAX(VLOOKUP(BE655,'פחתי מים לרשויות מצטרפות'!$A$11:$G$14,MAX($B$3-BE551,0)+3,0)-VLOOKUP(BE$1,'פחת מים וגביה'!$A:$D,4,0),0))*BE400/BE$425)+IF(AND(BE$7="חברה מנהלת",BE14&lt;&gt;""),+VLOOKUP(BE655,'פחתי מים לרשויות מצטרפות'!$A$12:$G$15,5,0)-VLOOKUP(BE7,'פחת מים וגביה'!$A:$D,4,0),0)</f>
        <v>0</v>
      </c>
      <c r="BF597" s="1049">
        <f>(+IF(BF551&gt;=2015,MAX(VLOOKUP(BF655,'פחתי מים לרשויות מצטרפות'!$A$11:$G$14,MAX($B$3-BF551,0)+3,0)-VLOOKUP(BF$1,'פחת מים וגביה'!$A:$D,4,0),0))*BF400/BF$425)+IF(AND(BF$7="חברה מנהלת",BF14&lt;&gt;""),+VLOOKUP(BF655,'פחתי מים לרשויות מצטרפות'!$A$12:$G$15,5,0)-VLOOKUP(BF7,'פחת מים וגביה'!$A:$D,4,0),0)</f>
        <v>0</v>
      </c>
    </row>
    <row r="598" spans="3:58" x14ac:dyDescent="0.2">
      <c r="C598" s="1049">
        <f>(+IF(C552&gt;=2015,MAX(VLOOKUP(C656,'פחתי מים לרשויות מצטרפות'!$A$11:$G$14,MAX($B$3-C552,0)+3,0)-VLOOKUP(C$1,'פחת מים וגביה'!$A:$D,4,0),0))*C401/C$425)+IF(AND(C$7="חברה מנהלת",C15&lt;&gt;""),+VLOOKUP(C656,'פחתי מים לרשויות מצטרפות'!$A$12:$G$15,5,0)-VLOOKUP(C8,'פחת מים וגביה'!$A:$D,4,0),0)</f>
        <v>0</v>
      </c>
      <c r="D598" s="1049">
        <f>(+IF(D552&gt;=2015,MAX(VLOOKUP(D656,'פחתי מים לרשויות מצטרפות'!$A$11:$G$14,MAX($B$3-D552,0)+3,0)-VLOOKUP(D$1,'פחת מים וגביה'!$A:$D,4,0),0))*D401/D$425)+IF(AND(D$7="חברה מנהלת",D15&lt;&gt;""),+VLOOKUP(D656,'פחתי מים לרשויות מצטרפות'!$A$12:$G$15,5,0)-VLOOKUP(D8,'פחת מים וגביה'!$A:$D,4,0),0)</f>
        <v>0</v>
      </c>
      <c r="E598" s="1049">
        <f>(+IF(E552&gt;=2015,MAX(VLOOKUP(E656,'פחתי מים לרשויות מצטרפות'!$A$11:$G$14,MAX($B$3-E552,0)+3,0)-VLOOKUP(E$1,'פחת מים וגביה'!$A:$D,4,0),0))*E401/E$425)+IF(AND(E$7="חברה מנהלת",E15&lt;&gt;""),+VLOOKUP(E656,'פחתי מים לרשויות מצטרפות'!$A$12:$G$15,5,0)-VLOOKUP(E8,'פחת מים וגביה'!$A:$D,4,0),0)</f>
        <v>0</v>
      </c>
      <c r="F598" s="1049">
        <f>(+IF(F552&gt;=2015,MAX(VLOOKUP(F656,'פחתי מים לרשויות מצטרפות'!$A$11:$G$14,MAX($B$3-F552,0)+3,0)-VLOOKUP(F$1,'פחת מים וגביה'!$A:$D,4,0),0))*F401/F$425)+IF(AND(F$7="חברה מנהלת",F15&lt;&gt;""),+VLOOKUP(F656,'פחתי מים לרשויות מצטרפות'!$A$12:$G$15,5,0)-VLOOKUP(F8,'פחת מים וגביה'!$A:$D,4,0),0)</f>
        <v>0</v>
      </c>
      <c r="G598" s="1049">
        <f>(+IF(G552&gt;=2015,MAX(VLOOKUP(G656,'פחתי מים לרשויות מצטרפות'!$A$11:$G$14,MAX($B$3-G552,0)+3,0)-VLOOKUP(G$1,'פחת מים וגביה'!$A:$D,4,0),0))*G401/G$425)+IF(AND(G$7="חברה מנהלת",G15&lt;&gt;""),+VLOOKUP(G656,'פחתי מים לרשויות מצטרפות'!$A$12:$G$15,5,0)-VLOOKUP(G8,'פחת מים וגביה'!$A:$D,4,0),0)</f>
        <v>0</v>
      </c>
      <c r="H598" s="1049">
        <f>(+IF(H552&gt;=2015,MAX(VLOOKUP(H656,'פחתי מים לרשויות מצטרפות'!$A$11:$G$14,MAX($B$3-H552,0)+3,0)-VLOOKUP(H$1,'פחת מים וגביה'!$A:$D,4,0),0))*H401/H$425)+IF(AND(H$7="חברה מנהלת",H15&lt;&gt;""),+VLOOKUP(H656,'פחתי מים לרשויות מצטרפות'!$A$12:$G$15,5,0)-VLOOKUP(H8,'פחת מים וגביה'!$A:$D,4,0),0)</f>
        <v>0</v>
      </c>
      <c r="I598" s="1049">
        <f>(+IF(I552&gt;=2015,MAX(VLOOKUP(I656,'פחתי מים לרשויות מצטרפות'!$A$11:$G$14,MAX($B$3-I552,0)+3,0)-VLOOKUP(I$1,'פחת מים וגביה'!$A:$D,4,0),0))*I401/I$425)+IF(AND(I$7="חברה מנהלת",I15&lt;&gt;""),+VLOOKUP(I656,'פחתי מים לרשויות מצטרפות'!$A$12:$G$15,5,0)-VLOOKUP(I8,'פחת מים וגביה'!$A:$D,4,0),0)</f>
        <v>0</v>
      </c>
      <c r="J598" s="1049">
        <f>(+IF(J552&gt;=2015,MAX(VLOOKUP(J656,'פחתי מים לרשויות מצטרפות'!$A$11:$G$14,MAX($B$3-J552,0)+3,0)-VLOOKUP(J$1,'פחת מים וגביה'!$A:$D,4,0),0))*J401/J$425)+IF(AND(J$7="חברה מנהלת",J15&lt;&gt;""),+VLOOKUP(J656,'פחתי מים לרשויות מצטרפות'!$A$12:$G$15,5,0)-VLOOKUP(J8,'פחת מים וגביה'!$A:$D,4,0),0)</f>
        <v>0</v>
      </c>
      <c r="K598" s="1049">
        <f>(+IF(K552&gt;=2015,MAX(VLOOKUP(K656,'פחתי מים לרשויות מצטרפות'!$A$11:$G$14,MAX($B$3-K552,0)+3,0)-VLOOKUP(K$1,'פחת מים וגביה'!$A:$D,4,0),0))*K401/K$425)+IF(AND(K$7="חברה מנהלת",K15&lt;&gt;""),+VLOOKUP(K656,'פחתי מים לרשויות מצטרפות'!$A$12:$G$15,5,0)-VLOOKUP(K8,'פחת מים וגביה'!$A:$D,4,0),0)</f>
        <v>0</v>
      </c>
      <c r="L598" s="1049">
        <f>(+IF(L552&gt;=2015,MAX(VLOOKUP(L656,'פחתי מים לרשויות מצטרפות'!$A$11:$G$14,MAX($B$3-L552,0)+3,0)-VLOOKUP(L$1,'פחת מים וגביה'!$A:$D,4,0),0))*L401/L$425)+IF(AND(L$7="חברה מנהלת",L15&lt;&gt;""),+VLOOKUP(L656,'פחתי מים לרשויות מצטרפות'!$A$12:$G$15,5,0)-VLOOKUP(L8,'פחת מים וגביה'!$A:$D,4,0),0)</f>
        <v>0</v>
      </c>
      <c r="M598" s="1049">
        <f>(+IF(M552&gt;=2015,MAX(VLOOKUP(M656,'פחתי מים לרשויות מצטרפות'!$A$11:$G$14,MAX($B$3-M552,0)+3,0)-VLOOKUP(M$1,'פחת מים וגביה'!$A:$D,4,0),0))*M401/M$425)+IF(AND(M$7="חברה מנהלת",M15&lt;&gt;""),+VLOOKUP(M656,'פחתי מים לרשויות מצטרפות'!$A$12:$G$15,5,0)-VLOOKUP(M8,'פחת מים וגביה'!$A:$D,4,0),0)</f>
        <v>0</v>
      </c>
      <c r="N598" s="1049">
        <f>(+IF(N552&gt;=2015,MAX(VLOOKUP(N656,'פחתי מים לרשויות מצטרפות'!$A$11:$G$14,MAX($B$3-N552,0)+3,0)-VLOOKUP(N$1,'פחת מים וגביה'!$A:$D,4,0),0))*N401/N$425)+IF(AND(N$7="חברה מנהלת",N15&lt;&gt;""),+VLOOKUP(N656,'פחתי מים לרשויות מצטרפות'!$A$12:$G$15,5,0)-VLOOKUP(N8,'פחת מים וגביה'!$A:$D,4,0),0)</f>
        <v>0</v>
      </c>
      <c r="O598" s="1049">
        <f>(+IF(O552&gt;=2015,MAX(VLOOKUP(O656,'פחתי מים לרשויות מצטרפות'!$A$11:$G$14,MAX($B$3-O552,0)+3,0)-VLOOKUP(O$1,'פחת מים וגביה'!$A:$D,4,0),0))*O401/O$425)+IF(AND(O$7="חברה מנהלת",O15&lt;&gt;""),+VLOOKUP(O656,'פחתי מים לרשויות מצטרפות'!$A$12:$G$15,5,0)-VLOOKUP(O8,'פחת מים וגביה'!$A:$D,4,0),0)</f>
        <v>0</v>
      </c>
      <c r="P598" s="1049">
        <f>(+IF(P552&gt;=2015,MAX(VLOOKUP(P656,'פחתי מים לרשויות מצטרפות'!$A$11:$G$14,MAX($B$3-P552,0)+3,0)-VLOOKUP(P$1,'פחת מים וגביה'!$A:$D,4,0),0))*P401/P$425)+IF(AND(P$7="חברה מנהלת",P15&lt;&gt;""),+VLOOKUP(P656,'פחתי מים לרשויות מצטרפות'!$A$12:$G$15,5,0)-VLOOKUP(P8,'פחת מים וגביה'!$A:$D,4,0),0)</f>
        <v>0</v>
      </c>
      <c r="Q598" s="1049">
        <f>(+IF(Q552&gt;=2015,MAX(VLOOKUP(Q656,'פחתי מים לרשויות מצטרפות'!$A$11:$G$14,MAX($B$3-Q552,0)+3,0)-VLOOKUP(Q$1,'פחת מים וגביה'!$A:$D,4,0),0))*Q401/Q$425)+IF(AND(Q$7="חברה מנהלת",Q15&lt;&gt;""),+VLOOKUP(Q656,'פחתי מים לרשויות מצטרפות'!$A$12:$G$15,5,0)-VLOOKUP(Q8,'פחת מים וגביה'!$A:$D,4,0),0)</f>
        <v>0</v>
      </c>
      <c r="R598" s="1049">
        <f>(+IF(R552&gt;=2015,MAX(VLOOKUP(R656,'פחתי מים לרשויות מצטרפות'!$A$11:$G$14,MAX($B$3-R552,0)+3,0)-VLOOKUP(R$1,'פחת מים וגביה'!$A:$D,4,0),0))*R401/R$425)+IF(AND(R$7="חברה מנהלת",R15&lt;&gt;""),+VLOOKUP(R656,'פחתי מים לרשויות מצטרפות'!$A$12:$G$15,5,0)-VLOOKUP(R8,'פחת מים וגביה'!$A:$D,4,0),0)</f>
        <v>0</v>
      </c>
      <c r="S598" s="1049">
        <f>(+IF(S552&gt;=2015,MAX(VLOOKUP(S656,'פחתי מים לרשויות מצטרפות'!$A$11:$G$14,MAX($B$3-S552,0)+3,0)-VLOOKUP(S$1,'פחת מים וגביה'!$A:$D,4,0),0))*S401/S$425)+IF(AND(S$7="חברה מנהלת",S15&lt;&gt;""),+VLOOKUP(S656,'פחתי מים לרשויות מצטרפות'!$A$12:$G$15,5,0)-VLOOKUP(S8,'פחת מים וגביה'!$A:$D,4,0),0)</f>
        <v>0</v>
      </c>
      <c r="T598" s="1049">
        <f>(+IF(T552&gt;=2015,MAX(VLOOKUP(T656,'פחתי מים לרשויות מצטרפות'!$A$11:$G$14,MAX($B$3-T552,0)+3,0)-VLOOKUP(T$1,'פחת מים וגביה'!$A:$D,4,0),0))*T401/T$425)+IF(AND(T$7="חברה מנהלת",T15&lt;&gt;""),+VLOOKUP(T656,'פחתי מים לרשויות מצטרפות'!$A$12:$G$15,5,0)-VLOOKUP(T8,'פחת מים וגביה'!$A:$D,4,0),0)</f>
        <v>0</v>
      </c>
      <c r="U598" s="1049">
        <f>(+IF(U552&gt;=2015,MAX(VLOOKUP(U656,'פחתי מים לרשויות מצטרפות'!$A$11:$G$14,MAX($B$3-U552,0)+3,0)-VLOOKUP(U$1,'פחת מים וגביה'!$A:$D,4,0),0))*U401/U$425)+IF(AND(U$7="חברה מנהלת",U15&lt;&gt;""),+VLOOKUP(U656,'פחתי מים לרשויות מצטרפות'!$A$12:$G$15,5,0)-VLOOKUP(U8,'פחת מים וגביה'!$A:$D,4,0),0)</f>
        <v>0</v>
      </c>
      <c r="V598" s="1049">
        <f>(+IF(V552&gt;=2015,MAX(VLOOKUP(V656,'פחתי מים לרשויות מצטרפות'!$A$11:$G$14,MAX($B$3-V552,0)+3,0)-VLOOKUP(V$1,'פחת מים וגביה'!$A:$D,4,0),0))*V401/V$425)+IF(AND(V$7="חברה מנהלת",V15&lt;&gt;""),+VLOOKUP(V656,'פחתי מים לרשויות מצטרפות'!$A$12:$G$15,5,0)-VLOOKUP(V8,'פחת מים וגביה'!$A:$D,4,0),0)</f>
        <v>0</v>
      </c>
      <c r="W598" s="1049">
        <f>(+IF(W552&gt;=2015,MAX(VLOOKUP(W656,'פחתי מים לרשויות מצטרפות'!$A$11:$G$14,MAX($B$3-W552,0)+3,0)-VLOOKUP(W$1,'פחת מים וגביה'!$A:$D,4,0),0))*W401/W$425)+IF(AND(W$7="חברה מנהלת",W15&lt;&gt;""),+VLOOKUP(W656,'פחתי מים לרשויות מצטרפות'!$A$12:$G$15,5,0)-VLOOKUP(W8,'פחת מים וגביה'!$A:$D,4,0),0)</f>
        <v>0</v>
      </c>
      <c r="X598" s="1049">
        <f>(+IF(X552&gt;=2015,MAX(VLOOKUP(X656,'פחתי מים לרשויות מצטרפות'!$A$11:$G$14,MAX($B$3-X552,0)+3,0)-VLOOKUP(X$1,'פחת מים וגביה'!$A:$D,4,0),0))*X401/X$425)+IF(AND(X$7="חברה מנהלת",X15&lt;&gt;""),+VLOOKUP(X656,'פחתי מים לרשויות מצטרפות'!$A$12:$G$15,5,0)-VLOOKUP(X8,'פחת מים וגביה'!$A:$D,4,0),0)</f>
        <v>0</v>
      </c>
      <c r="Y598" s="1049">
        <f>(+IF(Y552&gt;=2015,MAX(VLOOKUP(Y656,'פחתי מים לרשויות מצטרפות'!$A$11:$G$14,MAX($B$3-Y552,0)+3,0)-VLOOKUP(Y$1,'פחת מים וגביה'!$A:$D,4,0),0))*Y401/Y$425)+IF(AND(Y$7="חברה מנהלת",Y15&lt;&gt;""),+VLOOKUP(Y656,'פחתי מים לרשויות מצטרפות'!$A$12:$G$15,5,0)-VLOOKUP(Y8,'פחת מים וגביה'!$A:$D,4,0),0)</f>
        <v>0</v>
      </c>
      <c r="Z598" s="1049">
        <f>(+IF(Z552&gt;=2015,MAX(VLOOKUP(Z656,'פחתי מים לרשויות מצטרפות'!$A$11:$G$14,MAX($B$3-Z552,0)+3,0)-VLOOKUP(Z$1,'פחת מים וגביה'!$A:$D,4,0),0))*Z401/Z$425)+IF(AND(Z$7="חברה מנהלת",Z15&lt;&gt;""),+VLOOKUP(Z656,'פחתי מים לרשויות מצטרפות'!$A$12:$G$15,5,0)-VLOOKUP(Z8,'פחת מים וגביה'!$A:$D,4,0),0)</f>
        <v>0</v>
      </c>
      <c r="AA598" s="1049">
        <f>(+IF(AA552&gt;=2015,MAX(VLOOKUP(AA656,'פחתי מים לרשויות מצטרפות'!$A$11:$G$14,MAX($B$3-AA552,0)+3,0)-VLOOKUP(AA$1,'פחת מים וגביה'!$A:$D,4,0),0))*AA401/AA$425)+IF(AND(AA$7="חברה מנהלת",AA15&lt;&gt;""),+VLOOKUP(AA656,'פחתי מים לרשויות מצטרפות'!$A$12:$G$15,5,0)-VLOOKUP(AA8,'פחת מים וגביה'!$A:$D,4,0),0)</f>
        <v>0</v>
      </c>
      <c r="AB598" s="1049">
        <f>(+IF(AB552&gt;=2015,MAX(VLOOKUP(AB656,'פחתי מים לרשויות מצטרפות'!$A$11:$G$14,MAX($B$3-AB552,0)+3,0)-VLOOKUP(AB$1,'פחת מים וגביה'!$A:$D,4,0),0))*AB401/AB$425)+IF(AND(AB$7="חברה מנהלת",AB15&lt;&gt;""),+VLOOKUP(AB656,'פחתי מים לרשויות מצטרפות'!$A$12:$G$15,5,0)-VLOOKUP(AB8,'פחת מים וגביה'!$A:$D,4,0),0)</f>
        <v>0</v>
      </c>
      <c r="AC598" s="1049">
        <f>(+IF(AC552&gt;=2015,MAX(VLOOKUP(AC656,'פחתי מים לרשויות מצטרפות'!$A$11:$G$14,MAX($B$3-AC552,0)+3,0)-VLOOKUP(AC$1,'פחת מים וגביה'!$A:$D,4,0),0))*AC401/AC$425)+IF(AND(AC$7="חברה מנהלת",AC15&lt;&gt;""),+VLOOKUP(AC656,'פחתי מים לרשויות מצטרפות'!$A$12:$G$15,5,0)-VLOOKUP(AC8,'פחת מים וגביה'!$A:$D,4,0),0)</f>
        <v>0</v>
      </c>
      <c r="AD598" s="1049">
        <f>(+IF(AD552&gt;=2015,MAX(VLOOKUP(AD656,'פחתי מים לרשויות מצטרפות'!$A$11:$G$14,MAX($B$3-AD552,0)+3,0)-VLOOKUP(AD$1,'פחת מים וגביה'!$A:$D,4,0),0))*AD401/AD$425)+IF(AND(AD$7="חברה מנהלת",AD15&lt;&gt;""),+VLOOKUP(AD656,'פחתי מים לרשויות מצטרפות'!$A$12:$G$15,5,0)-VLOOKUP(AD8,'פחת מים וגביה'!$A:$D,4,0),0)</f>
        <v>0</v>
      </c>
      <c r="AE598" s="1049">
        <f>(+IF(AE552&gt;=2015,MAX(VLOOKUP(AE656,'פחתי מים לרשויות מצטרפות'!$A$11:$G$14,MAX($B$3-AE552,0)+3,0)-VLOOKUP(AE$1,'פחת מים וגביה'!$A:$D,4,0),0))*AE401/AE$425)+IF(AND(AE$7="חברה מנהלת",AE15&lt;&gt;""),+VLOOKUP(AE656,'פחתי מים לרשויות מצטרפות'!$A$12:$G$15,5,0)-VLOOKUP(AE8,'פחת מים וגביה'!$A:$D,4,0),0)</f>
        <v>0</v>
      </c>
      <c r="AF598" s="1049">
        <f>(+IF(AF552&gt;=2015,MAX(VLOOKUP(AF656,'פחתי מים לרשויות מצטרפות'!$A$11:$G$14,MAX($B$3-AF552,0)+3,0)-VLOOKUP(AF$1,'פחת מים וגביה'!$A:$D,4,0),0))*AF401/AF$425)+IF(AND(AF$7="חברה מנהלת",AF15&lt;&gt;""),+VLOOKUP(AF656,'פחתי מים לרשויות מצטרפות'!$A$12:$G$15,5,0)-VLOOKUP(AF8,'פחת מים וגביה'!$A:$D,4,0),0)</f>
        <v>0</v>
      </c>
      <c r="AG598" s="1049">
        <f>(+IF(AG552&gt;=2015,MAX(VLOOKUP(AG656,'פחתי מים לרשויות מצטרפות'!$A$11:$G$14,MAX($B$3-AG552,0)+3,0)-VLOOKUP(AG$1,'פחת מים וגביה'!$A:$D,4,0),0))*AG401/AG$425)+IF(AND(AG$7="חברה מנהלת",AG15&lt;&gt;""),+VLOOKUP(AG656,'פחתי מים לרשויות מצטרפות'!$A$12:$G$15,5,0)-VLOOKUP(AG8,'פחת מים וגביה'!$A:$D,4,0),0)</f>
        <v>0</v>
      </c>
      <c r="AH598" s="1049">
        <f>(+IF(AH552&gt;=2015,MAX(VLOOKUP(AH656,'פחתי מים לרשויות מצטרפות'!$A$11:$G$14,MAX($B$3-AH552,0)+3,0)-VLOOKUP(AH$1,'פחת מים וגביה'!$A:$D,4,0),0))*AH401/AH$425)+IF(AND(AH$7="חברה מנהלת",AH15&lt;&gt;""),+VLOOKUP(AH656,'פחתי מים לרשויות מצטרפות'!$A$12:$G$15,5,0)-VLOOKUP(AH8,'פחת מים וגביה'!$A:$D,4,0),0)</f>
        <v>0</v>
      </c>
      <c r="AI598" s="1049">
        <f>(+IF(AI552&gt;=2015,MAX(VLOOKUP(AI656,'פחתי מים לרשויות מצטרפות'!$A$11:$G$14,MAX($B$3-AI552,0)+3,0)-VLOOKUP(AI$1,'פחת מים וגביה'!$A:$D,4,0),0))*AI401/AI$425)+IF(AND(AI$7="חברה מנהלת",AI15&lt;&gt;""),+VLOOKUP(AI656,'פחתי מים לרשויות מצטרפות'!$A$12:$G$15,5,0)-VLOOKUP(AI8,'פחת מים וגביה'!$A:$D,4,0),0)</f>
        <v>0</v>
      </c>
      <c r="AJ598" s="1049">
        <f>(+IF(AJ552&gt;=2015,MAX(VLOOKUP(AJ656,'פחתי מים לרשויות מצטרפות'!$A$11:$G$14,MAX($B$3-AJ552,0)+3,0)-VLOOKUP(AJ$1,'פחת מים וגביה'!$A:$D,4,0),0))*AJ401/AJ$425)+IF(AND(AJ$7="חברה מנהלת",AJ15&lt;&gt;""),+VLOOKUP(AJ656,'פחתי מים לרשויות מצטרפות'!$A$12:$G$15,5,0)-VLOOKUP(AJ8,'פחת מים וגביה'!$A:$D,4,0),0)</f>
        <v>0</v>
      </c>
      <c r="AK598" s="1049">
        <f>(+IF(AK552&gt;=2015,MAX(VLOOKUP(AK656,'פחתי מים לרשויות מצטרפות'!$A$11:$G$14,MAX($B$3-AK552,0)+3,0)-VLOOKUP(AK$1,'פחת מים וגביה'!$A:$D,4,0),0))*AK401/AK$425)+IF(AND(AK$7="חברה מנהלת",AK15&lt;&gt;""),+VLOOKUP(AK656,'פחתי מים לרשויות מצטרפות'!$A$12:$G$15,5,0)-VLOOKUP(AK8,'פחת מים וגביה'!$A:$D,4,0),0)</f>
        <v>0</v>
      </c>
      <c r="AL598" s="1049">
        <f>(+IF(AL552&gt;=2015,MAX(VLOOKUP(AL656,'פחתי מים לרשויות מצטרפות'!$A$11:$G$14,MAX($B$3-AL552,0)+3,0)-VLOOKUP(AL$1,'פחת מים וגביה'!$A:$D,4,0),0))*AL401/AL$425)+IF(AND(AL$7="חברה מנהלת",AL15&lt;&gt;""),+VLOOKUP(AL656,'פחתי מים לרשויות מצטרפות'!$A$12:$G$15,5,0)-VLOOKUP(AL8,'פחת מים וגביה'!$A:$D,4,0),0)</f>
        <v>0</v>
      </c>
      <c r="AM598" s="1049">
        <f>(+IF(AM552&gt;=2015,MAX(VLOOKUP(AM656,'פחתי מים לרשויות מצטרפות'!$A$11:$G$14,MAX($B$3-AM552,0)+3,0)-VLOOKUP(AM$1,'פחת מים וגביה'!$A:$D,4,0),0))*AM401/AM$425)+IF(AND(AM$7="חברה מנהלת",AM15&lt;&gt;""),+VLOOKUP(AM656,'פחתי מים לרשויות מצטרפות'!$A$12:$G$15,5,0)-VLOOKUP(AM8,'פחת מים וגביה'!$A:$D,4,0),0)</f>
        <v>0</v>
      </c>
      <c r="AN598" s="1049">
        <f>(+IF(AN552&gt;=2015,MAX(VLOOKUP(AN656,'פחתי מים לרשויות מצטרפות'!$A$11:$G$14,MAX($B$3-AN552,0)+3,0)-VLOOKUP(AN$1,'פחת מים וגביה'!$A:$D,4,0),0))*AN401/AN$425)+IF(AND(AN$7="חברה מנהלת",AN15&lt;&gt;""),+VLOOKUP(AN656,'פחתי מים לרשויות מצטרפות'!$A$12:$G$15,5,0)-VLOOKUP(AN8,'פחת מים וגביה'!$A:$D,4,0),0)</f>
        <v>0</v>
      </c>
      <c r="AO598" s="1049">
        <f>(+IF(AO552&gt;=2015,MAX(VLOOKUP(AO656,'פחתי מים לרשויות מצטרפות'!$A$11:$G$14,MAX($B$3-AO552,0)+3,0)-VLOOKUP(AO$1,'פחת מים וגביה'!$A:$D,4,0),0))*AO401/AO$425)+IF(AND(AO$7="חברה מנהלת",AO15&lt;&gt;""),+VLOOKUP(AO656,'פחתי מים לרשויות מצטרפות'!$A$12:$G$15,5,0)-VLOOKUP(AO8,'פחת מים וגביה'!$A:$D,4,0),0)</f>
        <v>0</v>
      </c>
      <c r="AP598" s="1049">
        <f>(+IF(AP552&gt;=2015,MAX(VLOOKUP(AP656,'פחתי מים לרשויות מצטרפות'!$A$11:$G$14,MAX($B$3-AP552,0)+3,0)-VLOOKUP(AP$1,'פחת מים וגביה'!$A:$D,4,0),0))*AP401/AP$425)+IF(AND(AP$7="חברה מנהלת",AP15&lt;&gt;""),+VLOOKUP(AP656,'פחתי מים לרשויות מצטרפות'!$A$12:$G$15,5,0)-VLOOKUP(AP8,'פחת מים וגביה'!$A:$D,4,0),0)</f>
        <v>0</v>
      </c>
      <c r="AQ598" s="1049">
        <f>(+IF(AQ552&gt;=2015,MAX(VLOOKUP(AQ656,'פחתי מים לרשויות מצטרפות'!$A$11:$G$14,MAX($B$3-AQ552,0)+3,0)-VLOOKUP(AQ$1,'פחת מים וגביה'!$A:$D,4,0),0))*AQ401/AQ$425)+IF(AND(AQ$7="חברה מנהלת",AQ15&lt;&gt;""),+VLOOKUP(AQ656,'פחתי מים לרשויות מצטרפות'!$A$12:$G$15,5,0)-VLOOKUP(AQ8,'פחת מים וגביה'!$A:$D,4,0),0)</f>
        <v>0</v>
      </c>
      <c r="AR598" s="1049">
        <f>(+IF(AR552&gt;=2015,MAX(VLOOKUP(AR656,'פחתי מים לרשויות מצטרפות'!$A$11:$G$14,MAX($B$3-AR552,0)+3,0)-VLOOKUP(AR$1,'פחת מים וגביה'!$A:$D,4,0),0))*AR401/AR$425)+IF(AND(AR$7="חברה מנהלת",AR15&lt;&gt;""),+VLOOKUP(AR656,'פחתי מים לרשויות מצטרפות'!$A$12:$G$15,5,0)-VLOOKUP(AR8,'פחת מים וגביה'!$A:$D,4,0),0)</f>
        <v>0</v>
      </c>
      <c r="AS598" s="1049">
        <f>(+IF(AS552&gt;=2015,MAX(VLOOKUP(AS656,'פחתי מים לרשויות מצטרפות'!$A$11:$G$14,MAX($B$3-AS552,0)+3,0)-VLOOKUP(AS$1,'פחת מים וגביה'!$A:$D,4,0),0))*AS401/AS$425)+IF(AND(AS$7="חברה מנהלת",AS15&lt;&gt;""),+VLOOKUP(AS656,'פחתי מים לרשויות מצטרפות'!$A$12:$G$15,5,0)-VLOOKUP(AS8,'פחת מים וגביה'!$A:$D,4,0),0)</f>
        <v>0</v>
      </c>
      <c r="AT598" s="1049">
        <f>(+IF(AT552&gt;=2015,MAX(VLOOKUP(AT656,'פחתי מים לרשויות מצטרפות'!$A$11:$G$14,MAX($B$3-AT552,0)+3,0)-VLOOKUP(AT$1,'פחת מים וגביה'!$A:$D,4,0),0))*AT401/AT$425)+IF(AND(AT$7="חברה מנהלת",AT15&lt;&gt;""),+VLOOKUP(AT656,'פחתי מים לרשויות מצטרפות'!$A$12:$G$15,5,0)-VLOOKUP(AT8,'פחת מים וגביה'!$A:$D,4,0),0)</f>
        <v>0</v>
      </c>
      <c r="AU598" s="1049">
        <f>(+IF(AU552&gt;=2015,MAX(VLOOKUP(AU656,'פחתי מים לרשויות מצטרפות'!$A$11:$G$14,MAX($B$3-AU552,0)+3,0)-VLOOKUP(AU$1,'פחת מים וגביה'!$A:$D,4,0),0))*AU401/AU$425)+IF(AND(AU$7="חברה מנהלת",AU15&lt;&gt;""),+VLOOKUP(AU656,'פחתי מים לרשויות מצטרפות'!$A$12:$G$15,5,0)-VLOOKUP(AU8,'פחת מים וגביה'!$A:$D,4,0),0)</f>
        <v>0</v>
      </c>
      <c r="AV598" s="1049">
        <f>(+IF(AV552&gt;=2015,MAX(VLOOKUP(AV656,'פחתי מים לרשויות מצטרפות'!$A$11:$G$14,MAX($B$3-AV552,0)+3,0)-VLOOKUP(AV$1,'פחת מים וגביה'!$A:$D,4,0),0))*AV401/AV$425)+IF(AND(AV$7="חברה מנהלת",AV15&lt;&gt;""),+VLOOKUP(AV656,'פחתי מים לרשויות מצטרפות'!$A$12:$G$15,5,0)-VLOOKUP(AV8,'פחת מים וגביה'!$A:$D,4,0),0)</f>
        <v>0</v>
      </c>
      <c r="AW598" s="1049">
        <f>(+IF(AW552&gt;=2015,MAX(VLOOKUP(AW656,'פחתי מים לרשויות מצטרפות'!$A$11:$G$14,MAX($B$3-AW552,0)+3,0)-VLOOKUP(AW$1,'פחת מים וגביה'!$A:$D,4,0),0))*AW401/AW$425)+IF(AND(AW$7="חברה מנהלת",AW15&lt;&gt;""),+VLOOKUP(AW656,'פחתי מים לרשויות מצטרפות'!$A$12:$G$15,5,0)-VLOOKUP(AW8,'פחת מים וגביה'!$A:$D,4,0),0)</f>
        <v>0</v>
      </c>
      <c r="AX598" s="1049">
        <f>(+IF(AX552&gt;=2015,MAX(VLOOKUP(AX656,'פחתי מים לרשויות מצטרפות'!$A$11:$G$14,MAX($B$3-AX552,0)+3,0)-VLOOKUP(AX$1,'פחת מים וגביה'!$A:$D,4,0),0))*AX401/AX$425)+IF(AND(AX$7="חברה מנהלת",AX15&lt;&gt;""),+VLOOKUP(AX656,'פחתי מים לרשויות מצטרפות'!$A$12:$G$15,5,0)-VLOOKUP(AX8,'פחת מים וגביה'!$A:$D,4,0),0)</f>
        <v>0</v>
      </c>
      <c r="AY598" s="1049">
        <f>(+IF(AY552&gt;=2015,MAX(VLOOKUP(AY656,'פחתי מים לרשויות מצטרפות'!$A$11:$G$14,MAX($B$3-AY552,0)+3,0)-VLOOKUP(AY$1,'פחת מים וגביה'!$A:$D,4,0),0))*AY401/AY$425)+IF(AND(AY$7="חברה מנהלת",AY15&lt;&gt;""),+VLOOKUP(AY656,'פחתי מים לרשויות מצטרפות'!$A$12:$G$15,5,0)-VLOOKUP(AY8,'פחת מים וגביה'!$A:$D,4,0),0)</f>
        <v>0</v>
      </c>
      <c r="AZ598" s="1049">
        <f>(+IF(AZ552&gt;=2015,MAX(VLOOKUP(AZ656,'פחתי מים לרשויות מצטרפות'!$A$11:$G$14,MAX($B$3-AZ552,0)+3,0)-VLOOKUP(AZ$1,'פחת מים וגביה'!$A:$D,4,0),0))*AZ401/AZ$425)+IF(AND(AZ$7="חברה מנהלת",AZ15&lt;&gt;""),+VLOOKUP(AZ656,'פחתי מים לרשויות מצטרפות'!$A$12:$G$15,5,0)-VLOOKUP(AZ8,'פחת מים וגביה'!$A:$D,4,0),0)</f>
        <v>0</v>
      </c>
      <c r="BA598" s="1049">
        <f>(+IF(BA552&gt;=2015,MAX(VLOOKUP(BA656,'פחתי מים לרשויות מצטרפות'!$A$11:$G$14,MAX($B$3-BA552,0)+3,0)-VLOOKUP(BA$1,'פחת מים וגביה'!$A:$D,4,0),0))*BA401/BA$425)+IF(AND(BA$7="חברה מנהלת",BA15&lt;&gt;""),+VLOOKUP(BA656,'פחתי מים לרשויות מצטרפות'!$A$12:$G$15,5,0)-VLOOKUP(BA8,'פחת מים וגביה'!$A:$D,4,0),0)</f>
        <v>0</v>
      </c>
      <c r="BB598" s="1049">
        <f>(+IF(BB552&gt;=2015,MAX(VLOOKUP(BB656,'פחתי מים לרשויות מצטרפות'!$A$11:$G$14,MAX($B$3-BB552,0)+3,0)-VLOOKUP(BB$1,'פחת מים וגביה'!$A:$D,4,0),0))*BB401/BB$425)+IF(AND(BB$7="חברה מנהלת",BB15&lt;&gt;""),+VLOOKUP(BB656,'פחתי מים לרשויות מצטרפות'!$A$12:$G$15,5,0)-VLOOKUP(BB8,'פחת מים וגביה'!$A:$D,4,0),0)</f>
        <v>0</v>
      </c>
      <c r="BC598" s="1049">
        <f>(+IF(BC552&gt;=2015,MAX(VLOOKUP(BC656,'פחתי מים לרשויות מצטרפות'!$A$11:$G$14,MAX($B$3-BC552,0)+3,0)-VLOOKUP(BC$1,'פחת מים וגביה'!$A:$D,4,0),0))*BC401/BC$425)+IF(AND(BC$7="חברה מנהלת",BC15&lt;&gt;""),+VLOOKUP(BC656,'פחתי מים לרשויות מצטרפות'!$A$12:$G$15,5,0)-VLOOKUP(BC8,'פחת מים וגביה'!$A:$D,4,0),0)</f>
        <v>0</v>
      </c>
      <c r="BD598" s="1049">
        <f>(+IF(BD552&gt;=2015,MAX(VLOOKUP(BD656,'פחתי מים לרשויות מצטרפות'!$A$11:$G$14,MAX($B$3-BD552,0)+3,0)-VLOOKUP(BD$1,'פחת מים וגביה'!$A:$D,4,0),0))*BD401/BD$425)+IF(AND(BD$7="חברה מנהלת",BD15&lt;&gt;""),+VLOOKUP(BD656,'פחתי מים לרשויות מצטרפות'!$A$12:$G$15,5,0)-VLOOKUP(BD8,'פחת מים וגביה'!$A:$D,4,0),0)</f>
        <v>0</v>
      </c>
      <c r="BE598" s="1049">
        <f>(+IF(BE552&gt;=2015,MAX(VLOOKUP(BE656,'פחתי מים לרשויות מצטרפות'!$A$11:$G$14,MAX($B$3-BE552,0)+3,0)-VLOOKUP(BE$1,'פחת מים וגביה'!$A:$D,4,0),0))*BE401/BE$425)+IF(AND(BE$7="חברה מנהלת",BE15&lt;&gt;""),+VLOOKUP(BE656,'פחתי מים לרשויות מצטרפות'!$A$12:$G$15,5,0)-VLOOKUP(BE8,'פחת מים וגביה'!$A:$D,4,0),0)</f>
        <v>0</v>
      </c>
      <c r="BF598" s="1049">
        <f>(+IF(BF552&gt;=2015,MAX(VLOOKUP(BF656,'פחתי מים לרשויות מצטרפות'!$A$11:$G$14,MAX($B$3-BF552,0)+3,0)-VLOOKUP(BF$1,'פחת מים וגביה'!$A:$D,4,0),0))*BF401/BF$425)+IF(AND(BF$7="חברה מנהלת",BF15&lt;&gt;""),+VLOOKUP(BF656,'פחתי מים לרשויות מצטרפות'!$A$12:$G$15,5,0)-VLOOKUP(BF8,'פחת מים וגביה'!$A:$D,4,0),0)</f>
        <v>0</v>
      </c>
    </row>
    <row r="599" spans="3:58" x14ac:dyDescent="0.2">
      <c r="C599" s="1049">
        <f>(+IF(C553&gt;=2015,MAX(VLOOKUP(C657,'פחתי מים לרשויות מצטרפות'!$A$11:$G$14,MAX($B$3-C553,0)+3,0)-VLOOKUP(C$1,'פחת מים וגביה'!$A:$D,4,0),0))*C402/C$425)+IF(AND(C$7="חברה מנהלת",C16&lt;&gt;""),+VLOOKUP(C657,'פחתי מים לרשויות מצטרפות'!$A$12:$G$15,5,0)-VLOOKUP(C9,'פחת מים וגביה'!$A:$D,4,0),0)</f>
        <v>0</v>
      </c>
      <c r="D599" s="1049">
        <f>(+IF(D553&gt;=2015,MAX(VLOOKUP(D657,'פחתי מים לרשויות מצטרפות'!$A$11:$G$14,MAX($B$3-D553,0)+3,0)-VLOOKUP(D$1,'פחת מים וגביה'!$A:$D,4,0),0))*D402/D$425)+IF(AND(D$7="חברה מנהלת",D16&lt;&gt;""),+VLOOKUP(D657,'פחתי מים לרשויות מצטרפות'!$A$12:$G$15,5,0)-VLOOKUP(D9,'פחת מים וגביה'!$A:$D,4,0),0)</f>
        <v>0</v>
      </c>
      <c r="E599" s="1049">
        <f>(+IF(E553&gt;=2015,MAX(VLOOKUP(E657,'פחתי מים לרשויות מצטרפות'!$A$11:$G$14,MAX($B$3-E553,0)+3,0)-VLOOKUP(E$1,'פחת מים וגביה'!$A:$D,4,0),0))*E402/E$425)+IF(AND(E$7="חברה מנהלת",E16&lt;&gt;""),+VLOOKUP(E657,'פחתי מים לרשויות מצטרפות'!$A$12:$G$15,5,0)-VLOOKUP(E9,'פחת מים וגביה'!$A:$D,4,0),0)</f>
        <v>0</v>
      </c>
      <c r="F599" s="1049">
        <f>(+IF(F553&gt;=2015,MAX(VLOOKUP(F657,'פחתי מים לרשויות מצטרפות'!$A$11:$G$14,MAX($B$3-F553,0)+3,0)-VLOOKUP(F$1,'פחת מים וגביה'!$A:$D,4,0),0))*F402/F$425)+IF(AND(F$7="חברה מנהלת",F16&lt;&gt;""),+VLOOKUP(F657,'פחתי מים לרשויות מצטרפות'!$A$12:$G$15,5,0)-VLOOKUP(F9,'פחת מים וגביה'!$A:$D,4,0),0)</f>
        <v>0</v>
      </c>
      <c r="G599" s="1049">
        <f>(+IF(G553&gt;=2015,MAX(VLOOKUP(G657,'פחתי מים לרשויות מצטרפות'!$A$11:$G$14,MAX($B$3-G553,0)+3,0)-VLOOKUP(G$1,'פחת מים וגביה'!$A:$D,4,0),0))*G402/G$425)+IF(AND(G$7="חברה מנהלת",G16&lt;&gt;""),+VLOOKUP(G657,'פחתי מים לרשויות מצטרפות'!$A$12:$G$15,5,0)-VLOOKUP(G9,'פחת מים וגביה'!$A:$D,4,0),0)</f>
        <v>0</v>
      </c>
      <c r="H599" s="1049">
        <f>(+IF(H553&gt;=2015,MAX(VLOOKUP(H657,'פחתי מים לרשויות מצטרפות'!$A$11:$G$14,MAX($B$3-H553,0)+3,0)-VLOOKUP(H$1,'פחת מים וגביה'!$A:$D,4,0),0))*H402/H$425)+IF(AND(H$7="חברה מנהלת",H16&lt;&gt;""),+VLOOKUP(H657,'פחתי מים לרשויות מצטרפות'!$A$12:$G$15,5,0)-VLOOKUP(H9,'פחת מים וגביה'!$A:$D,4,0),0)</f>
        <v>0</v>
      </c>
      <c r="I599" s="1049">
        <f>(+IF(I553&gt;=2015,MAX(VLOOKUP(I657,'פחתי מים לרשויות מצטרפות'!$A$11:$G$14,MAX($B$3-I553,0)+3,0)-VLOOKUP(I$1,'פחת מים וגביה'!$A:$D,4,0),0))*I402/I$425)+IF(AND(I$7="חברה מנהלת",I16&lt;&gt;""),+VLOOKUP(I657,'פחתי מים לרשויות מצטרפות'!$A$12:$G$15,5,0)-VLOOKUP(I9,'פחת מים וגביה'!$A:$D,4,0),0)</f>
        <v>0</v>
      </c>
      <c r="J599" s="1049">
        <f>(+IF(J553&gt;=2015,MAX(VLOOKUP(J657,'פחתי מים לרשויות מצטרפות'!$A$11:$G$14,MAX($B$3-J553,0)+3,0)-VLOOKUP(J$1,'פחת מים וגביה'!$A:$D,4,0),0))*J402/J$425)+IF(AND(J$7="חברה מנהלת",J16&lt;&gt;""),+VLOOKUP(J657,'פחתי מים לרשויות מצטרפות'!$A$12:$G$15,5,0)-VLOOKUP(J9,'פחת מים וגביה'!$A:$D,4,0),0)</f>
        <v>0</v>
      </c>
      <c r="K599" s="1049">
        <f>(+IF(K553&gt;=2015,MAX(VLOOKUP(K657,'פחתי מים לרשויות מצטרפות'!$A$11:$G$14,MAX($B$3-K553,0)+3,0)-VLOOKUP(K$1,'פחת מים וגביה'!$A:$D,4,0),0))*K402/K$425)+IF(AND(K$7="חברה מנהלת",K16&lt;&gt;""),+VLOOKUP(K657,'פחתי מים לרשויות מצטרפות'!$A$12:$G$15,5,0)-VLOOKUP(K9,'פחת מים וגביה'!$A:$D,4,0),0)</f>
        <v>0</v>
      </c>
      <c r="L599" s="1049">
        <f>(+IF(L553&gt;=2015,MAX(VLOOKUP(L657,'פחתי מים לרשויות מצטרפות'!$A$11:$G$14,MAX($B$3-L553,0)+3,0)-VLOOKUP(L$1,'פחת מים וגביה'!$A:$D,4,0),0))*L402/L$425)+IF(AND(L$7="חברה מנהלת",L16&lt;&gt;""),+VLOOKUP(L657,'פחתי מים לרשויות מצטרפות'!$A$12:$G$15,5,0)-VLOOKUP(L9,'פחת מים וגביה'!$A:$D,4,0),0)</f>
        <v>0</v>
      </c>
      <c r="M599" s="1049">
        <f>(+IF(M553&gt;=2015,MAX(VLOOKUP(M657,'פחתי מים לרשויות מצטרפות'!$A$11:$G$14,MAX($B$3-M553,0)+3,0)-VLOOKUP(M$1,'פחת מים וגביה'!$A:$D,4,0),0))*M402/M$425)+IF(AND(M$7="חברה מנהלת",M16&lt;&gt;""),+VLOOKUP(M657,'פחתי מים לרשויות מצטרפות'!$A$12:$G$15,5,0)-VLOOKUP(M9,'פחת מים וגביה'!$A:$D,4,0),0)</f>
        <v>0</v>
      </c>
      <c r="N599" s="1049">
        <f>(+IF(N553&gt;=2015,MAX(VLOOKUP(N657,'פחתי מים לרשויות מצטרפות'!$A$11:$G$14,MAX($B$3-N553,0)+3,0)-VLOOKUP(N$1,'פחת מים וגביה'!$A:$D,4,0),0))*N402/N$425)+IF(AND(N$7="חברה מנהלת",N16&lt;&gt;""),+VLOOKUP(N657,'פחתי מים לרשויות מצטרפות'!$A$12:$G$15,5,0)-VLOOKUP(N9,'פחת מים וגביה'!$A:$D,4,0),0)</f>
        <v>0</v>
      </c>
      <c r="O599" s="1049">
        <f>(+IF(O553&gt;=2015,MAX(VLOOKUP(O657,'פחתי מים לרשויות מצטרפות'!$A$11:$G$14,MAX($B$3-O553,0)+3,0)-VLOOKUP(O$1,'פחת מים וגביה'!$A:$D,4,0),0))*O402/O$425)+IF(AND(O$7="חברה מנהלת",O16&lt;&gt;""),+VLOOKUP(O657,'פחתי מים לרשויות מצטרפות'!$A$12:$G$15,5,0)-VLOOKUP(O9,'פחת מים וגביה'!$A:$D,4,0),0)</f>
        <v>0</v>
      </c>
      <c r="P599" s="1049">
        <f>(+IF(P553&gt;=2015,MAX(VLOOKUP(P657,'פחתי מים לרשויות מצטרפות'!$A$11:$G$14,MAX($B$3-P553,0)+3,0)-VLOOKUP(P$1,'פחת מים וגביה'!$A:$D,4,0),0))*P402/P$425)+IF(AND(P$7="חברה מנהלת",P16&lt;&gt;""),+VLOOKUP(P657,'פחתי מים לרשויות מצטרפות'!$A$12:$G$15,5,0)-VLOOKUP(P9,'פחת מים וגביה'!$A:$D,4,0),0)</f>
        <v>0</v>
      </c>
      <c r="Q599" s="1049">
        <f>(+IF(Q553&gt;=2015,MAX(VLOOKUP(Q657,'פחתי מים לרשויות מצטרפות'!$A$11:$G$14,MAX($B$3-Q553,0)+3,0)-VLOOKUP(Q$1,'פחת מים וגביה'!$A:$D,4,0),0))*Q402/Q$425)+IF(AND(Q$7="חברה מנהלת",Q16&lt;&gt;""),+VLOOKUP(Q657,'פחתי מים לרשויות מצטרפות'!$A$12:$G$15,5,0)-VLOOKUP(Q9,'פחת מים וגביה'!$A:$D,4,0),0)</f>
        <v>0</v>
      </c>
      <c r="R599" s="1049">
        <f>(+IF(R553&gt;=2015,MAX(VLOOKUP(R657,'פחתי מים לרשויות מצטרפות'!$A$11:$G$14,MAX($B$3-R553,0)+3,0)-VLOOKUP(R$1,'פחת מים וגביה'!$A:$D,4,0),0))*R402/R$425)+IF(AND(R$7="חברה מנהלת",R16&lt;&gt;""),+VLOOKUP(R657,'פחתי מים לרשויות מצטרפות'!$A$12:$G$15,5,0)-VLOOKUP(R9,'פחת מים וגביה'!$A:$D,4,0),0)</f>
        <v>0</v>
      </c>
      <c r="S599" s="1049">
        <f>(+IF(S553&gt;=2015,MAX(VLOOKUP(S657,'פחתי מים לרשויות מצטרפות'!$A$11:$G$14,MAX($B$3-S553,0)+3,0)-VLOOKUP(S$1,'פחת מים וגביה'!$A:$D,4,0),0))*S402/S$425)+IF(AND(S$7="חברה מנהלת",S16&lt;&gt;""),+VLOOKUP(S657,'פחתי מים לרשויות מצטרפות'!$A$12:$G$15,5,0)-VLOOKUP(S9,'פחת מים וגביה'!$A:$D,4,0),0)</f>
        <v>0</v>
      </c>
      <c r="T599" s="1049">
        <f>(+IF(T553&gt;=2015,MAX(VLOOKUP(T657,'פחתי מים לרשויות מצטרפות'!$A$11:$G$14,MAX($B$3-T553,0)+3,0)-VLOOKUP(T$1,'פחת מים וגביה'!$A:$D,4,0),0))*T402/T$425)+IF(AND(T$7="חברה מנהלת",T16&lt;&gt;""),+VLOOKUP(T657,'פחתי מים לרשויות מצטרפות'!$A$12:$G$15,5,0)-VLOOKUP(T9,'פחת מים וגביה'!$A:$D,4,0),0)</f>
        <v>0</v>
      </c>
      <c r="U599" s="1049">
        <f>(+IF(U553&gt;=2015,MAX(VLOOKUP(U657,'פחתי מים לרשויות מצטרפות'!$A$11:$G$14,MAX($B$3-U553,0)+3,0)-VLOOKUP(U$1,'פחת מים וגביה'!$A:$D,4,0),0))*U402/U$425)+IF(AND(U$7="חברה מנהלת",U16&lt;&gt;""),+VLOOKUP(U657,'פחתי מים לרשויות מצטרפות'!$A$12:$G$15,5,0)-VLOOKUP(U9,'פחת מים וגביה'!$A:$D,4,0),0)</f>
        <v>0</v>
      </c>
      <c r="V599" s="1049">
        <f>(+IF(V553&gt;=2015,MAX(VLOOKUP(V657,'פחתי מים לרשויות מצטרפות'!$A$11:$G$14,MAX($B$3-V553,0)+3,0)-VLOOKUP(V$1,'פחת מים וגביה'!$A:$D,4,0),0))*V402/V$425)+IF(AND(V$7="חברה מנהלת",V16&lt;&gt;""),+VLOOKUP(V657,'פחתי מים לרשויות מצטרפות'!$A$12:$G$15,5,0)-VLOOKUP(V9,'פחת מים וגביה'!$A:$D,4,0),0)</f>
        <v>0</v>
      </c>
      <c r="W599" s="1049">
        <f>(+IF(W553&gt;=2015,MAX(VLOOKUP(W657,'פחתי מים לרשויות מצטרפות'!$A$11:$G$14,MAX($B$3-W553,0)+3,0)-VLOOKUP(W$1,'פחת מים וגביה'!$A:$D,4,0),0))*W402/W$425)+IF(AND(W$7="חברה מנהלת",W16&lt;&gt;""),+VLOOKUP(W657,'פחתי מים לרשויות מצטרפות'!$A$12:$G$15,5,0)-VLOOKUP(W9,'פחת מים וגביה'!$A:$D,4,0),0)</f>
        <v>0</v>
      </c>
      <c r="X599" s="1049">
        <f>(+IF(X553&gt;=2015,MAX(VLOOKUP(X657,'פחתי מים לרשויות מצטרפות'!$A$11:$G$14,MAX($B$3-X553,0)+3,0)-VLOOKUP(X$1,'פחת מים וגביה'!$A:$D,4,0),0))*X402/X$425)+IF(AND(X$7="חברה מנהלת",X16&lt;&gt;""),+VLOOKUP(X657,'פחתי מים לרשויות מצטרפות'!$A$12:$G$15,5,0)-VLOOKUP(X9,'פחת מים וגביה'!$A:$D,4,0),0)</f>
        <v>0</v>
      </c>
      <c r="Y599" s="1049">
        <f>(+IF(Y553&gt;=2015,MAX(VLOOKUP(Y657,'פחתי מים לרשויות מצטרפות'!$A$11:$G$14,MAX($B$3-Y553,0)+3,0)-VLOOKUP(Y$1,'פחת מים וגביה'!$A:$D,4,0),0))*Y402/Y$425)+IF(AND(Y$7="חברה מנהלת",Y16&lt;&gt;""),+VLOOKUP(Y657,'פחתי מים לרשויות מצטרפות'!$A$12:$G$15,5,0)-VLOOKUP(Y9,'פחת מים וגביה'!$A:$D,4,0),0)</f>
        <v>0</v>
      </c>
      <c r="Z599" s="1049">
        <f>(+IF(Z553&gt;=2015,MAX(VLOOKUP(Z657,'פחתי מים לרשויות מצטרפות'!$A$11:$G$14,MAX($B$3-Z553,0)+3,0)-VLOOKUP(Z$1,'פחת מים וגביה'!$A:$D,4,0),0))*Z402/Z$425)+IF(AND(Z$7="חברה מנהלת",Z16&lt;&gt;""),+VLOOKUP(Z657,'פחתי מים לרשויות מצטרפות'!$A$12:$G$15,5,0)-VLOOKUP(Z9,'פחת מים וגביה'!$A:$D,4,0),0)</f>
        <v>0</v>
      </c>
      <c r="AA599" s="1049">
        <f>(+IF(AA553&gt;=2015,MAX(VLOOKUP(AA657,'פחתי מים לרשויות מצטרפות'!$A$11:$G$14,MAX($B$3-AA553,0)+3,0)-VLOOKUP(AA$1,'פחת מים וגביה'!$A:$D,4,0),0))*AA402/AA$425)+IF(AND(AA$7="חברה מנהלת",AA16&lt;&gt;""),+VLOOKUP(AA657,'פחתי מים לרשויות מצטרפות'!$A$12:$G$15,5,0)-VLOOKUP(AA9,'פחת מים וגביה'!$A:$D,4,0),0)</f>
        <v>0</v>
      </c>
      <c r="AB599" s="1049">
        <f>(+IF(AB553&gt;=2015,MAX(VLOOKUP(AB657,'פחתי מים לרשויות מצטרפות'!$A$11:$G$14,MAX($B$3-AB553,0)+3,0)-VLOOKUP(AB$1,'פחת מים וגביה'!$A:$D,4,0),0))*AB402/AB$425)+IF(AND(AB$7="חברה מנהלת",AB16&lt;&gt;""),+VLOOKUP(AB657,'פחתי מים לרשויות מצטרפות'!$A$12:$G$15,5,0)-VLOOKUP(AB9,'פחת מים וגביה'!$A:$D,4,0),0)</f>
        <v>0</v>
      </c>
      <c r="AC599" s="1049">
        <f>(+IF(AC553&gt;=2015,MAX(VLOOKUP(AC657,'פחתי מים לרשויות מצטרפות'!$A$11:$G$14,MAX($B$3-AC553,0)+3,0)-VLOOKUP(AC$1,'פחת מים וגביה'!$A:$D,4,0),0))*AC402/AC$425)+IF(AND(AC$7="חברה מנהלת",AC16&lt;&gt;""),+VLOOKUP(AC657,'פחתי מים לרשויות מצטרפות'!$A$12:$G$15,5,0)-VLOOKUP(AC9,'פחת מים וגביה'!$A:$D,4,0),0)</f>
        <v>0</v>
      </c>
      <c r="AD599" s="1049">
        <f>(+IF(AD553&gt;=2015,MAX(VLOOKUP(AD657,'פחתי מים לרשויות מצטרפות'!$A$11:$G$14,MAX($B$3-AD553,0)+3,0)-VLOOKUP(AD$1,'פחת מים וגביה'!$A:$D,4,0),0))*AD402/AD$425)+IF(AND(AD$7="חברה מנהלת",AD16&lt;&gt;""),+VLOOKUP(AD657,'פחתי מים לרשויות מצטרפות'!$A$12:$G$15,5,0)-VLOOKUP(AD9,'פחת מים וגביה'!$A:$D,4,0),0)</f>
        <v>0</v>
      </c>
      <c r="AE599" s="1049">
        <f>(+IF(AE553&gt;=2015,MAX(VLOOKUP(AE657,'פחתי מים לרשויות מצטרפות'!$A$11:$G$14,MAX($B$3-AE553,0)+3,0)-VLOOKUP(AE$1,'פחת מים וגביה'!$A:$D,4,0),0))*AE402/AE$425)+IF(AND(AE$7="חברה מנהלת",AE16&lt;&gt;""),+VLOOKUP(AE657,'פחתי מים לרשויות מצטרפות'!$A$12:$G$15,5,0)-VLOOKUP(AE9,'פחת מים וגביה'!$A:$D,4,0),0)</f>
        <v>0</v>
      </c>
      <c r="AF599" s="1049">
        <f>(+IF(AF553&gt;=2015,MAX(VLOOKUP(AF657,'פחתי מים לרשויות מצטרפות'!$A$11:$G$14,MAX($B$3-AF553,0)+3,0)-VLOOKUP(AF$1,'פחת מים וגביה'!$A:$D,4,0),0))*AF402/AF$425)+IF(AND(AF$7="חברה מנהלת",AF16&lt;&gt;""),+VLOOKUP(AF657,'פחתי מים לרשויות מצטרפות'!$A$12:$G$15,5,0)-VLOOKUP(AF9,'פחת מים וגביה'!$A:$D,4,0),0)</f>
        <v>0</v>
      </c>
      <c r="AG599" s="1049">
        <f>(+IF(AG553&gt;=2015,MAX(VLOOKUP(AG657,'פחתי מים לרשויות מצטרפות'!$A$11:$G$14,MAX($B$3-AG553,0)+3,0)-VLOOKUP(AG$1,'פחת מים וגביה'!$A:$D,4,0),0))*AG402/AG$425)+IF(AND(AG$7="חברה מנהלת",AG16&lt;&gt;""),+VLOOKUP(AG657,'פחתי מים לרשויות מצטרפות'!$A$12:$G$15,5,0)-VLOOKUP(AG9,'פחת מים וגביה'!$A:$D,4,0),0)</f>
        <v>0</v>
      </c>
      <c r="AH599" s="1049">
        <f>(+IF(AH553&gt;=2015,MAX(VLOOKUP(AH657,'פחתי מים לרשויות מצטרפות'!$A$11:$G$14,MAX($B$3-AH553,0)+3,0)-VLOOKUP(AH$1,'פחת מים וגביה'!$A:$D,4,0),0))*AH402/AH$425)+IF(AND(AH$7="חברה מנהלת",AH16&lt;&gt;""),+VLOOKUP(AH657,'פחתי מים לרשויות מצטרפות'!$A$12:$G$15,5,0)-VLOOKUP(AH9,'פחת מים וגביה'!$A:$D,4,0),0)</f>
        <v>0</v>
      </c>
      <c r="AI599" s="1049">
        <f>(+IF(AI553&gt;=2015,MAX(VLOOKUP(AI657,'פחתי מים לרשויות מצטרפות'!$A$11:$G$14,MAX($B$3-AI553,0)+3,0)-VLOOKUP(AI$1,'פחת מים וגביה'!$A:$D,4,0),0))*AI402/AI$425)+IF(AND(AI$7="חברה מנהלת",AI16&lt;&gt;""),+VLOOKUP(AI657,'פחתי מים לרשויות מצטרפות'!$A$12:$G$15,5,0)-VLOOKUP(AI9,'פחת מים וגביה'!$A:$D,4,0),0)</f>
        <v>0</v>
      </c>
      <c r="AJ599" s="1049">
        <f>(+IF(AJ553&gt;=2015,MAX(VLOOKUP(AJ657,'פחתי מים לרשויות מצטרפות'!$A$11:$G$14,MAX($B$3-AJ553,0)+3,0)-VLOOKUP(AJ$1,'פחת מים וגביה'!$A:$D,4,0),0))*AJ402/AJ$425)+IF(AND(AJ$7="חברה מנהלת",AJ16&lt;&gt;""),+VLOOKUP(AJ657,'פחתי מים לרשויות מצטרפות'!$A$12:$G$15,5,0)-VLOOKUP(AJ9,'פחת מים וגביה'!$A:$D,4,0),0)</f>
        <v>0</v>
      </c>
      <c r="AK599" s="1049">
        <f>(+IF(AK553&gt;=2015,MAX(VLOOKUP(AK657,'פחתי מים לרשויות מצטרפות'!$A$11:$G$14,MAX($B$3-AK553,0)+3,0)-VLOOKUP(AK$1,'פחת מים וגביה'!$A:$D,4,0),0))*AK402/AK$425)+IF(AND(AK$7="חברה מנהלת",AK16&lt;&gt;""),+VLOOKUP(AK657,'פחתי מים לרשויות מצטרפות'!$A$12:$G$15,5,0)-VLOOKUP(AK9,'פחת מים וגביה'!$A:$D,4,0),0)</f>
        <v>0</v>
      </c>
      <c r="AL599" s="1049">
        <f>(+IF(AL553&gt;=2015,MAX(VLOOKUP(AL657,'פחתי מים לרשויות מצטרפות'!$A$11:$G$14,MAX($B$3-AL553,0)+3,0)-VLOOKUP(AL$1,'פחת מים וגביה'!$A:$D,4,0),0))*AL402/AL$425)+IF(AND(AL$7="חברה מנהלת",AL16&lt;&gt;""),+VLOOKUP(AL657,'פחתי מים לרשויות מצטרפות'!$A$12:$G$15,5,0)-VLOOKUP(AL9,'פחת מים וגביה'!$A:$D,4,0),0)</f>
        <v>0</v>
      </c>
      <c r="AM599" s="1049">
        <f>(+IF(AM553&gt;=2015,MAX(VLOOKUP(AM657,'פחתי מים לרשויות מצטרפות'!$A$11:$G$14,MAX($B$3-AM553,0)+3,0)-VLOOKUP(AM$1,'פחת מים וגביה'!$A:$D,4,0),0))*AM402/AM$425)+IF(AND(AM$7="חברה מנהלת",AM16&lt;&gt;""),+VLOOKUP(AM657,'פחתי מים לרשויות מצטרפות'!$A$12:$G$15,5,0)-VLOOKUP(AM9,'פחת מים וגביה'!$A:$D,4,0),0)</f>
        <v>0</v>
      </c>
      <c r="AN599" s="1049">
        <f>(+IF(AN553&gt;=2015,MAX(VLOOKUP(AN657,'פחתי מים לרשויות מצטרפות'!$A$11:$G$14,MAX($B$3-AN553,0)+3,0)-VLOOKUP(AN$1,'פחת מים וגביה'!$A:$D,4,0),0))*AN402/AN$425)+IF(AND(AN$7="חברה מנהלת",AN16&lt;&gt;""),+VLOOKUP(AN657,'פחתי מים לרשויות מצטרפות'!$A$12:$G$15,5,0)-VLOOKUP(AN9,'פחת מים וגביה'!$A:$D,4,0),0)</f>
        <v>0</v>
      </c>
      <c r="AO599" s="1049">
        <f>(+IF(AO553&gt;=2015,MAX(VLOOKUP(AO657,'פחתי מים לרשויות מצטרפות'!$A$11:$G$14,MAX($B$3-AO553,0)+3,0)-VLOOKUP(AO$1,'פחת מים וגביה'!$A:$D,4,0),0))*AO402/AO$425)+IF(AND(AO$7="חברה מנהלת",AO16&lt;&gt;""),+VLOOKUP(AO657,'פחתי מים לרשויות מצטרפות'!$A$12:$G$15,5,0)-VLOOKUP(AO9,'פחת מים וגביה'!$A:$D,4,0),0)</f>
        <v>0</v>
      </c>
      <c r="AP599" s="1049">
        <f>(+IF(AP553&gt;=2015,MAX(VLOOKUP(AP657,'פחתי מים לרשויות מצטרפות'!$A$11:$G$14,MAX($B$3-AP553,0)+3,0)-VLOOKUP(AP$1,'פחת מים וגביה'!$A:$D,4,0),0))*AP402/AP$425)+IF(AND(AP$7="חברה מנהלת",AP16&lt;&gt;""),+VLOOKUP(AP657,'פחתי מים לרשויות מצטרפות'!$A$12:$G$15,5,0)-VLOOKUP(AP9,'פחת מים וגביה'!$A:$D,4,0),0)</f>
        <v>0</v>
      </c>
      <c r="AQ599" s="1049">
        <f>(+IF(AQ553&gt;=2015,MAX(VLOOKUP(AQ657,'פחתי מים לרשויות מצטרפות'!$A$11:$G$14,MAX($B$3-AQ553,0)+3,0)-VLOOKUP(AQ$1,'פחת מים וגביה'!$A:$D,4,0),0))*AQ402/AQ$425)+IF(AND(AQ$7="חברה מנהלת",AQ16&lt;&gt;""),+VLOOKUP(AQ657,'פחתי מים לרשויות מצטרפות'!$A$12:$G$15,5,0)-VLOOKUP(AQ9,'פחת מים וגביה'!$A:$D,4,0),0)</f>
        <v>0</v>
      </c>
      <c r="AR599" s="1049">
        <f>(+IF(AR553&gt;=2015,MAX(VLOOKUP(AR657,'פחתי מים לרשויות מצטרפות'!$A$11:$G$14,MAX($B$3-AR553,0)+3,0)-VLOOKUP(AR$1,'פחת מים וגביה'!$A:$D,4,0),0))*AR402/AR$425)+IF(AND(AR$7="חברה מנהלת",AR16&lt;&gt;""),+VLOOKUP(AR657,'פחתי מים לרשויות מצטרפות'!$A$12:$G$15,5,0)-VLOOKUP(AR9,'פחת מים וגביה'!$A:$D,4,0),0)</f>
        <v>0</v>
      </c>
      <c r="AS599" s="1049">
        <f>(+IF(AS553&gt;=2015,MAX(VLOOKUP(AS657,'פחתי מים לרשויות מצטרפות'!$A$11:$G$14,MAX($B$3-AS553,0)+3,0)-VLOOKUP(AS$1,'פחת מים וגביה'!$A:$D,4,0),0))*AS402/AS$425)+IF(AND(AS$7="חברה מנהלת",AS16&lt;&gt;""),+VLOOKUP(AS657,'פחתי מים לרשויות מצטרפות'!$A$12:$G$15,5,0)-VLOOKUP(AS9,'פחת מים וגביה'!$A:$D,4,0),0)</f>
        <v>0</v>
      </c>
      <c r="AT599" s="1049">
        <f>(+IF(AT553&gt;=2015,MAX(VLOOKUP(AT657,'פחתי מים לרשויות מצטרפות'!$A$11:$G$14,MAX($B$3-AT553,0)+3,0)-VLOOKUP(AT$1,'פחת מים וגביה'!$A:$D,4,0),0))*AT402/AT$425)+IF(AND(AT$7="חברה מנהלת",AT16&lt;&gt;""),+VLOOKUP(AT657,'פחתי מים לרשויות מצטרפות'!$A$12:$G$15,5,0)-VLOOKUP(AT9,'פחת מים וגביה'!$A:$D,4,0),0)</f>
        <v>0</v>
      </c>
      <c r="AU599" s="1049">
        <f>(+IF(AU553&gt;=2015,MAX(VLOOKUP(AU657,'פחתי מים לרשויות מצטרפות'!$A$11:$G$14,MAX($B$3-AU553,0)+3,0)-VLOOKUP(AU$1,'פחת מים וגביה'!$A:$D,4,0),0))*AU402/AU$425)+IF(AND(AU$7="חברה מנהלת",AU16&lt;&gt;""),+VLOOKUP(AU657,'פחתי מים לרשויות מצטרפות'!$A$12:$G$15,5,0)-VLOOKUP(AU9,'פחת מים וגביה'!$A:$D,4,0),0)</f>
        <v>0</v>
      </c>
      <c r="AV599" s="1049">
        <f>(+IF(AV553&gt;=2015,MAX(VLOOKUP(AV657,'פחתי מים לרשויות מצטרפות'!$A$11:$G$14,MAX($B$3-AV553,0)+3,0)-VLOOKUP(AV$1,'פחת מים וגביה'!$A:$D,4,0),0))*AV402/AV$425)+IF(AND(AV$7="חברה מנהלת",AV16&lt;&gt;""),+VLOOKUP(AV657,'פחתי מים לרשויות מצטרפות'!$A$12:$G$15,5,0)-VLOOKUP(AV9,'פחת מים וגביה'!$A:$D,4,0),0)</f>
        <v>0</v>
      </c>
      <c r="AW599" s="1049">
        <f>(+IF(AW553&gt;=2015,MAX(VLOOKUP(AW657,'פחתי מים לרשויות מצטרפות'!$A$11:$G$14,MAX($B$3-AW553,0)+3,0)-VLOOKUP(AW$1,'פחת מים וגביה'!$A:$D,4,0),0))*AW402/AW$425)+IF(AND(AW$7="חברה מנהלת",AW16&lt;&gt;""),+VLOOKUP(AW657,'פחתי מים לרשויות מצטרפות'!$A$12:$G$15,5,0)-VLOOKUP(AW9,'פחת מים וגביה'!$A:$D,4,0),0)</f>
        <v>0</v>
      </c>
      <c r="AX599" s="1049">
        <f>(+IF(AX553&gt;=2015,MAX(VLOOKUP(AX657,'פחתי מים לרשויות מצטרפות'!$A$11:$G$14,MAX($B$3-AX553,0)+3,0)-VLOOKUP(AX$1,'פחת מים וגביה'!$A:$D,4,0),0))*AX402/AX$425)+IF(AND(AX$7="חברה מנהלת",AX16&lt;&gt;""),+VLOOKUP(AX657,'פחתי מים לרשויות מצטרפות'!$A$12:$G$15,5,0)-VLOOKUP(AX9,'פחת מים וגביה'!$A:$D,4,0),0)</f>
        <v>0</v>
      </c>
      <c r="AY599" s="1049">
        <f>(+IF(AY553&gt;=2015,MAX(VLOOKUP(AY657,'פחתי מים לרשויות מצטרפות'!$A$11:$G$14,MAX($B$3-AY553,0)+3,0)-VLOOKUP(AY$1,'פחת מים וגביה'!$A:$D,4,0),0))*AY402/AY$425)+IF(AND(AY$7="חברה מנהלת",AY16&lt;&gt;""),+VLOOKUP(AY657,'פחתי מים לרשויות מצטרפות'!$A$12:$G$15,5,0)-VLOOKUP(AY9,'פחת מים וגביה'!$A:$D,4,0),0)</f>
        <v>0</v>
      </c>
      <c r="AZ599" s="1049">
        <f>(+IF(AZ553&gt;=2015,MAX(VLOOKUP(AZ657,'פחתי מים לרשויות מצטרפות'!$A$11:$G$14,MAX($B$3-AZ553,0)+3,0)-VLOOKUP(AZ$1,'פחת מים וגביה'!$A:$D,4,0),0))*AZ402/AZ$425)+IF(AND(AZ$7="חברה מנהלת",AZ16&lt;&gt;""),+VLOOKUP(AZ657,'פחתי מים לרשויות מצטרפות'!$A$12:$G$15,5,0)-VLOOKUP(AZ9,'פחת מים וגביה'!$A:$D,4,0),0)</f>
        <v>0</v>
      </c>
      <c r="BA599" s="1049">
        <f>(+IF(BA553&gt;=2015,MAX(VLOOKUP(BA657,'פחתי מים לרשויות מצטרפות'!$A$11:$G$14,MAX($B$3-BA553,0)+3,0)-VLOOKUP(BA$1,'פחת מים וגביה'!$A:$D,4,0),0))*BA402/BA$425)+IF(AND(BA$7="חברה מנהלת",BA16&lt;&gt;""),+VLOOKUP(BA657,'פחתי מים לרשויות מצטרפות'!$A$12:$G$15,5,0)-VLOOKUP(BA9,'פחת מים וגביה'!$A:$D,4,0),0)</f>
        <v>0</v>
      </c>
      <c r="BB599" s="1049">
        <f>(+IF(BB553&gt;=2015,MAX(VLOOKUP(BB657,'פחתי מים לרשויות מצטרפות'!$A$11:$G$14,MAX($B$3-BB553,0)+3,0)-VLOOKUP(BB$1,'פחת מים וגביה'!$A:$D,4,0),0))*BB402/BB$425)+IF(AND(BB$7="חברה מנהלת",BB16&lt;&gt;""),+VLOOKUP(BB657,'פחתי מים לרשויות מצטרפות'!$A$12:$G$15,5,0)-VLOOKUP(BB9,'פחת מים וגביה'!$A:$D,4,0),0)</f>
        <v>0</v>
      </c>
      <c r="BC599" s="1049">
        <f>(+IF(BC553&gt;=2015,MAX(VLOOKUP(BC657,'פחתי מים לרשויות מצטרפות'!$A$11:$G$14,MAX($B$3-BC553,0)+3,0)-VLOOKUP(BC$1,'פחת מים וגביה'!$A:$D,4,0),0))*BC402/BC$425)+IF(AND(BC$7="חברה מנהלת",BC16&lt;&gt;""),+VLOOKUP(BC657,'פחתי מים לרשויות מצטרפות'!$A$12:$G$15,5,0)-VLOOKUP(BC9,'פחת מים וגביה'!$A:$D,4,0),0)</f>
        <v>0</v>
      </c>
      <c r="BD599" s="1049">
        <f>(+IF(BD553&gt;=2015,MAX(VLOOKUP(BD657,'פחתי מים לרשויות מצטרפות'!$A$11:$G$14,MAX($B$3-BD553,0)+3,0)-VLOOKUP(BD$1,'פחת מים וגביה'!$A:$D,4,0),0))*BD402/BD$425)+IF(AND(BD$7="חברה מנהלת",BD16&lt;&gt;""),+VLOOKUP(BD657,'פחתי מים לרשויות מצטרפות'!$A$12:$G$15,5,0)-VLOOKUP(BD9,'פחת מים וגביה'!$A:$D,4,0),0)</f>
        <v>0</v>
      </c>
      <c r="BE599" s="1049">
        <f>(+IF(BE553&gt;=2015,MAX(VLOOKUP(BE657,'פחתי מים לרשויות מצטרפות'!$A$11:$G$14,MAX($B$3-BE553,0)+3,0)-VLOOKUP(BE$1,'פחת מים וגביה'!$A:$D,4,0),0))*BE402/BE$425)+IF(AND(BE$7="חברה מנהלת",BE16&lt;&gt;""),+VLOOKUP(BE657,'פחתי מים לרשויות מצטרפות'!$A$12:$G$15,5,0)-VLOOKUP(BE9,'פחת מים וגביה'!$A:$D,4,0),0)</f>
        <v>0</v>
      </c>
      <c r="BF599" s="1049">
        <f>(+IF(BF553&gt;=2015,MAX(VLOOKUP(BF657,'פחתי מים לרשויות מצטרפות'!$A$11:$G$14,MAX($B$3-BF553,0)+3,0)-VLOOKUP(BF$1,'פחת מים וגביה'!$A:$D,4,0),0))*BF402/BF$425)+IF(AND(BF$7="חברה מנהלת",BF16&lt;&gt;""),+VLOOKUP(BF657,'פחתי מים לרשויות מצטרפות'!$A$12:$G$15,5,0)-VLOOKUP(BF9,'פחת מים וגביה'!$A:$D,4,0),0)</f>
        <v>0</v>
      </c>
    </row>
    <row r="600" spans="3:58" x14ac:dyDescent="0.2">
      <c r="C600" s="1049">
        <f>(+IF(C554&gt;=2015,MAX(VLOOKUP(C658,'פחתי מים לרשויות מצטרפות'!$A$11:$G$14,MAX($B$3-C554,0)+3,0)-VLOOKUP(C$1,'פחת מים וגביה'!$A:$D,4,0),0))*C403/C$425)+IF(AND(C$7="חברה מנהלת",C17&lt;&gt;""),+VLOOKUP(C658,'פחתי מים לרשויות מצטרפות'!$A$12:$G$15,5,0)-VLOOKUP(C10,'פחת מים וגביה'!$A:$D,4,0),0)</f>
        <v>0</v>
      </c>
      <c r="D600" s="1049">
        <f>(+IF(D554&gt;=2015,MAX(VLOOKUP(D658,'פחתי מים לרשויות מצטרפות'!$A$11:$G$14,MAX($B$3-D554,0)+3,0)-VLOOKUP(D$1,'פחת מים וגביה'!$A:$D,4,0),0))*D403/D$425)+IF(AND(D$7="חברה מנהלת",D17&lt;&gt;""),+VLOOKUP(D658,'פחתי מים לרשויות מצטרפות'!$A$12:$G$15,5,0)-VLOOKUP(D10,'פחת מים וגביה'!$A:$D,4,0),0)</f>
        <v>0</v>
      </c>
      <c r="E600" s="1049">
        <f>(+IF(E554&gt;=2015,MAX(VLOOKUP(E658,'פחתי מים לרשויות מצטרפות'!$A$11:$G$14,MAX($B$3-E554,0)+3,0)-VLOOKUP(E$1,'פחת מים וגביה'!$A:$D,4,0),0))*E403/E$425)+IF(AND(E$7="חברה מנהלת",E17&lt;&gt;""),+VLOOKUP(E658,'פחתי מים לרשויות מצטרפות'!$A$12:$G$15,5,0)-VLOOKUP(E10,'פחת מים וגביה'!$A:$D,4,0),0)</f>
        <v>0</v>
      </c>
      <c r="F600" s="1049">
        <f>(+IF(F554&gt;=2015,MAX(VLOOKUP(F658,'פחתי מים לרשויות מצטרפות'!$A$11:$G$14,MAX($B$3-F554,0)+3,0)-VLOOKUP(F$1,'פחת מים וגביה'!$A:$D,4,0),0))*F403/F$425)+IF(AND(F$7="חברה מנהלת",F17&lt;&gt;""),+VLOOKUP(F658,'פחתי מים לרשויות מצטרפות'!$A$12:$G$15,5,0)-VLOOKUP(F10,'פחת מים וגביה'!$A:$D,4,0),0)</f>
        <v>0</v>
      </c>
      <c r="G600" s="1049">
        <f>(+IF(G554&gt;=2015,MAX(VLOOKUP(G658,'פחתי מים לרשויות מצטרפות'!$A$11:$G$14,MAX($B$3-G554,0)+3,0)-VLOOKUP(G$1,'פחת מים וגביה'!$A:$D,4,0),0))*G403/G$425)+IF(AND(G$7="חברה מנהלת",G17&lt;&gt;""),+VLOOKUP(G658,'פחתי מים לרשויות מצטרפות'!$A$12:$G$15,5,0)-VLOOKUP(G10,'פחת מים וגביה'!$A:$D,4,0),0)</f>
        <v>0</v>
      </c>
      <c r="H600" s="1049">
        <f>(+IF(H554&gt;=2015,MAX(VLOOKUP(H658,'פחתי מים לרשויות מצטרפות'!$A$11:$G$14,MAX($B$3-H554,0)+3,0)-VLOOKUP(H$1,'פחת מים וגביה'!$A:$D,4,0),0))*H403/H$425)+IF(AND(H$7="חברה מנהלת",H17&lt;&gt;""),+VLOOKUP(H658,'פחתי מים לרשויות מצטרפות'!$A$12:$G$15,5,0)-VLOOKUP(H10,'פחת מים וגביה'!$A:$D,4,0),0)</f>
        <v>0</v>
      </c>
      <c r="I600" s="1049">
        <f>(+IF(I554&gt;=2015,MAX(VLOOKUP(I658,'פחתי מים לרשויות מצטרפות'!$A$11:$G$14,MAX($B$3-I554,0)+3,0)-VLOOKUP(I$1,'פחת מים וגביה'!$A:$D,4,0),0))*I403/I$425)+IF(AND(I$7="חברה מנהלת",I17&lt;&gt;""),+VLOOKUP(I658,'פחתי מים לרשויות מצטרפות'!$A$12:$G$15,5,0)-VLOOKUP(I10,'פחת מים וגביה'!$A:$D,4,0),0)</f>
        <v>0</v>
      </c>
      <c r="J600" s="1049">
        <f>(+IF(J554&gt;=2015,MAX(VLOOKUP(J658,'פחתי מים לרשויות מצטרפות'!$A$11:$G$14,MAX($B$3-J554,0)+3,0)-VLOOKUP(J$1,'פחת מים וגביה'!$A:$D,4,0),0))*J403/J$425)+IF(AND(J$7="חברה מנהלת",J17&lt;&gt;""),+VLOOKUP(J658,'פחתי מים לרשויות מצטרפות'!$A$12:$G$15,5,0)-VLOOKUP(J10,'פחת מים וגביה'!$A:$D,4,0),0)</f>
        <v>0</v>
      </c>
      <c r="K600" s="1049">
        <f>(+IF(K554&gt;=2015,MAX(VLOOKUP(K658,'פחתי מים לרשויות מצטרפות'!$A$11:$G$14,MAX($B$3-K554,0)+3,0)-VLOOKUP(K$1,'פחת מים וגביה'!$A:$D,4,0),0))*K403/K$425)+IF(AND(K$7="חברה מנהלת",K17&lt;&gt;""),+VLOOKUP(K658,'פחתי מים לרשויות מצטרפות'!$A$12:$G$15,5,0)-VLOOKUP(K10,'פחת מים וגביה'!$A:$D,4,0),0)</f>
        <v>0</v>
      </c>
      <c r="L600" s="1049">
        <f>(+IF(L554&gt;=2015,MAX(VLOOKUP(L658,'פחתי מים לרשויות מצטרפות'!$A$11:$G$14,MAX($B$3-L554,0)+3,0)-VLOOKUP(L$1,'פחת מים וגביה'!$A:$D,4,0),0))*L403/L$425)+IF(AND(L$7="חברה מנהלת",L17&lt;&gt;""),+VLOOKUP(L658,'פחתי מים לרשויות מצטרפות'!$A$12:$G$15,5,0)-VLOOKUP(L10,'פחת מים וגביה'!$A:$D,4,0),0)</f>
        <v>0</v>
      </c>
      <c r="M600" s="1049">
        <f>(+IF(M554&gt;=2015,MAX(VLOOKUP(M658,'פחתי מים לרשויות מצטרפות'!$A$11:$G$14,MAX($B$3-M554,0)+3,0)-VLOOKUP(M$1,'פחת מים וגביה'!$A:$D,4,0),0))*M403/M$425)+IF(AND(M$7="חברה מנהלת",M17&lt;&gt;""),+VLOOKUP(M658,'פחתי מים לרשויות מצטרפות'!$A$12:$G$15,5,0)-VLOOKUP(M10,'פחת מים וגביה'!$A:$D,4,0),0)</f>
        <v>0</v>
      </c>
      <c r="N600" s="1049">
        <f>(+IF(N554&gt;=2015,MAX(VLOOKUP(N658,'פחתי מים לרשויות מצטרפות'!$A$11:$G$14,MAX($B$3-N554,0)+3,0)-VLOOKUP(N$1,'פחת מים וגביה'!$A:$D,4,0),0))*N403/N$425)+IF(AND(N$7="חברה מנהלת",N17&lt;&gt;""),+VLOOKUP(N658,'פחתי מים לרשויות מצטרפות'!$A$12:$G$15,5,0)-VLOOKUP(N10,'פחת מים וגביה'!$A:$D,4,0),0)</f>
        <v>0</v>
      </c>
      <c r="O600" s="1049">
        <f>(+IF(O554&gt;=2015,MAX(VLOOKUP(O658,'פחתי מים לרשויות מצטרפות'!$A$11:$G$14,MAX($B$3-O554,0)+3,0)-VLOOKUP(O$1,'פחת מים וגביה'!$A:$D,4,0),0))*O403/O$425)+IF(AND(O$7="חברה מנהלת",O17&lt;&gt;""),+VLOOKUP(O658,'פחתי מים לרשויות מצטרפות'!$A$12:$G$15,5,0)-VLOOKUP(O10,'פחת מים וגביה'!$A:$D,4,0),0)</f>
        <v>0</v>
      </c>
      <c r="P600" s="1049">
        <f>(+IF(P554&gt;=2015,MAX(VLOOKUP(P658,'פחתי מים לרשויות מצטרפות'!$A$11:$G$14,MAX($B$3-P554,0)+3,0)-VLOOKUP(P$1,'פחת מים וגביה'!$A:$D,4,0),0))*P403/P$425)+IF(AND(P$7="חברה מנהלת",P17&lt;&gt;""),+VLOOKUP(P658,'פחתי מים לרשויות מצטרפות'!$A$12:$G$15,5,0)-VLOOKUP(P10,'פחת מים וגביה'!$A:$D,4,0),0)</f>
        <v>0</v>
      </c>
      <c r="Q600" s="1049">
        <f>(+IF(Q554&gt;=2015,MAX(VLOOKUP(Q658,'פחתי מים לרשויות מצטרפות'!$A$11:$G$14,MAX($B$3-Q554,0)+3,0)-VLOOKUP(Q$1,'פחת מים וגביה'!$A:$D,4,0),0))*Q403/Q$425)+IF(AND(Q$7="חברה מנהלת",Q17&lt;&gt;""),+VLOOKUP(Q658,'פחתי מים לרשויות מצטרפות'!$A$12:$G$15,5,0)-VLOOKUP(Q10,'פחת מים וגביה'!$A:$D,4,0),0)</f>
        <v>0</v>
      </c>
      <c r="R600" s="1049">
        <f>(+IF(R554&gt;=2015,MAX(VLOOKUP(R658,'פחתי מים לרשויות מצטרפות'!$A$11:$G$14,MAX($B$3-R554,0)+3,0)-VLOOKUP(R$1,'פחת מים וגביה'!$A:$D,4,0),0))*R403/R$425)+IF(AND(R$7="חברה מנהלת",R17&lt;&gt;""),+VLOOKUP(R658,'פחתי מים לרשויות מצטרפות'!$A$12:$G$15,5,0)-VLOOKUP(R10,'פחת מים וגביה'!$A:$D,4,0),0)</f>
        <v>0</v>
      </c>
      <c r="S600" s="1049">
        <f>(+IF(S554&gt;=2015,MAX(VLOOKUP(S658,'פחתי מים לרשויות מצטרפות'!$A$11:$G$14,MAX($B$3-S554,0)+3,0)-VLOOKUP(S$1,'פחת מים וגביה'!$A:$D,4,0),0))*S403/S$425)+IF(AND(S$7="חברה מנהלת",S17&lt;&gt;""),+VLOOKUP(S658,'פחתי מים לרשויות מצטרפות'!$A$12:$G$15,5,0)-VLOOKUP(S10,'פחת מים וגביה'!$A:$D,4,0),0)</f>
        <v>0</v>
      </c>
      <c r="T600" s="1049">
        <f>(+IF(T554&gt;=2015,MAX(VLOOKUP(T658,'פחתי מים לרשויות מצטרפות'!$A$11:$G$14,MAX($B$3-T554,0)+3,0)-VLOOKUP(T$1,'פחת מים וגביה'!$A:$D,4,0),0))*T403/T$425)+IF(AND(T$7="חברה מנהלת",T17&lt;&gt;""),+VLOOKUP(T658,'פחתי מים לרשויות מצטרפות'!$A$12:$G$15,5,0)-VLOOKUP(T10,'פחת מים וגביה'!$A:$D,4,0),0)</f>
        <v>0</v>
      </c>
      <c r="U600" s="1049">
        <f>(+IF(U554&gt;=2015,MAX(VLOOKUP(U658,'פחתי מים לרשויות מצטרפות'!$A$11:$G$14,MAX($B$3-U554,0)+3,0)-VLOOKUP(U$1,'פחת מים וגביה'!$A:$D,4,0),0))*U403/U$425)+IF(AND(U$7="חברה מנהלת",U17&lt;&gt;""),+VLOOKUP(U658,'פחתי מים לרשויות מצטרפות'!$A$12:$G$15,5,0)-VLOOKUP(U10,'פחת מים וגביה'!$A:$D,4,0),0)</f>
        <v>0</v>
      </c>
      <c r="V600" s="1049">
        <f>(+IF(V554&gt;=2015,MAX(VLOOKUP(V658,'פחתי מים לרשויות מצטרפות'!$A$11:$G$14,MAX($B$3-V554,0)+3,0)-VLOOKUP(V$1,'פחת מים וגביה'!$A:$D,4,0),0))*V403/V$425)+IF(AND(V$7="חברה מנהלת",V17&lt;&gt;""),+VLOOKUP(V658,'פחתי מים לרשויות מצטרפות'!$A$12:$G$15,5,0)-VLOOKUP(V10,'פחת מים וגביה'!$A:$D,4,0),0)</f>
        <v>0</v>
      </c>
      <c r="W600" s="1049">
        <f>(+IF(W554&gt;=2015,MAX(VLOOKUP(W658,'פחתי מים לרשויות מצטרפות'!$A$11:$G$14,MAX($B$3-W554,0)+3,0)-VLOOKUP(W$1,'פחת מים וגביה'!$A:$D,4,0),0))*W403/W$425)+IF(AND(W$7="חברה מנהלת",W17&lt;&gt;""),+VLOOKUP(W658,'פחתי מים לרשויות מצטרפות'!$A$12:$G$15,5,0)-VLOOKUP(W10,'פחת מים וגביה'!$A:$D,4,0),0)</f>
        <v>0</v>
      </c>
      <c r="X600" s="1049">
        <f>(+IF(X554&gt;=2015,MAX(VLOOKUP(X658,'פחתי מים לרשויות מצטרפות'!$A$11:$G$14,MAX($B$3-X554,0)+3,0)-VLOOKUP(X$1,'פחת מים וגביה'!$A:$D,4,0),0))*X403/X$425)+IF(AND(X$7="חברה מנהלת",X17&lt;&gt;""),+VLOOKUP(X658,'פחתי מים לרשויות מצטרפות'!$A$12:$G$15,5,0)-VLOOKUP(X10,'פחת מים וגביה'!$A:$D,4,0),0)</f>
        <v>0</v>
      </c>
      <c r="Y600" s="1049">
        <f>(+IF(Y554&gt;=2015,MAX(VLOOKUP(Y658,'פחתי מים לרשויות מצטרפות'!$A$11:$G$14,MAX($B$3-Y554,0)+3,0)-VLOOKUP(Y$1,'פחת מים וגביה'!$A:$D,4,0),0))*Y403/Y$425)+IF(AND(Y$7="חברה מנהלת",Y17&lt;&gt;""),+VLOOKUP(Y658,'פחתי מים לרשויות מצטרפות'!$A$12:$G$15,5,0)-VLOOKUP(Y10,'פחת מים וגביה'!$A:$D,4,0),0)</f>
        <v>0</v>
      </c>
      <c r="Z600" s="1049">
        <f>(+IF(Z554&gt;=2015,MAX(VLOOKUP(Z658,'פחתי מים לרשויות מצטרפות'!$A$11:$G$14,MAX($B$3-Z554,0)+3,0)-VLOOKUP(Z$1,'פחת מים וגביה'!$A:$D,4,0),0))*Z403/Z$425)+IF(AND(Z$7="חברה מנהלת",Z17&lt;&gt;""),+VLOOKUP(Z658,'פחתי מים לרשויות מצטרפות'!$A$12:$G$15,5,0)-VLOOKUP(Z10,'פחת מים וגביה'!$A:$D,4,0),0)</f>
        <v>0</v>
      </c>
      <c r="AA600" s="1049">
        <f>(+IF(AA554&gt;=2015,MAX(VLOOKUP(AA658,'פחתי מים לרשויות מצטרפות'!$A$11:$G$14,MAX($B$3-AA554,0)+3,0)-VLOOKUP(AA$1,'פחת מים וגביה'!$A:$D,4,0),0))*AA403/AA$425)+IF(AND(AA$7="חברה מנהלת",AA17&lt;&gt;""),+VLOOKUP(AA658,'פחתי מים לרשויות מצטרפות'!$A$12:$G$15,5,0)-VLOOKUP(AA10,'פחת מים וגביה'!$A:$D,4,0),0)</f>
        <v>0</v>
      </c>
      <c r="AB600" s="1049">
        <f>(+IF(AB554&gt;=2015,MAX(VLOOKUP(AB658,'פחתי מים לרשויות מצטרפות'!$A$11:$G$14,MAX($B$3-AB554,0)+3,0)-VLOOKUP(AB$1,'פחת מים וגביה'!$A:$D,4,0),0))*AB403/AB$425)+IF(AND(AB$7="חברה מנהלת",AB17&lt;&gt;""),+VLOOKUP(AB658,'פחתי מים לרשויות מצטרפות'!$A$12:$G$15,5,0)-VLOOKUP(AB10,'פחת מים וגביה'!$A:$D,4,0),0)</f>
        <v>0</v>
      </c>
      <c r="AC600" s="1049">
        <f>(+IF(AC554&gt;=2015,MAX(VLOOKUP(AC658,'פחתי מים לרשויות מצטרפות'!$A$11:$G$14,MAX($B$3-AC554,0)+3,0)-VLOOKUP(AC$1,'פחת מים וגביה'!$A:$D,4,0),0))*AC403/AC$425)+IF(AND(AC$7="חברה מנהלת",AC17&lt;&gt;""),+VLOOKUP(AC658,'פחתי מים לרשויות מצטרפות'!$A$12:$G$15,5,0)-VLOOKUP(AC10,'פחת מים וגביה'!$A:$D,4,0),0)</f>
        <v>0</v>
      </c>
      <c r="AD600" s="1049">
        <f>(+IF(AD554&gt;=2015,MAX(VLOOKUP(AD658,'פחתי מים לרשויות מצטרפות'!$A$11:$G$14,MAX($B$3-AD554,0)+3,0)-VLOOKUP(AD$1,'פחת מים וגביה'!$A:$D,4,0),0))*AD403/AD$425)+IF(AND(AD$7="חברה מנהלת",AD17&lt;&gt;""),+VLOOKUP(AD658,'פחתי מים לרשויות מצטרפות'!$A$12:$G$15,5,0)-VLOOKUP(AD10,'פחת מים וגביה'!$A:$D,4,0),0)</f>
        <v>0</v>
      </c>
      <c r="AE600" s="1049">
        <f>(+IF(AE554&gt;=2015,MAX(VLOOKUP(AE658,'פחתי מים לרשויות מצטרפות'!$A$11:$G$14,MAX($B$3-AE554,0)+3,0)-VLOOKUP(AE$1,'פחת מים וגביה'!$A:$D,4,0),0))*AE403/AE$425)+IF(AND(AE$7="חברה מנהלת",AE17&lt;&gt;""),+VLOOKUP(AE658,'פחתי מים לרשויות מצטרפות'!$A$12:$G$15,5,0)-VLOOKUP(AE10,'פחת מים וגביה'!$A:$D,4,0),0)</f>
        <v>0</v>
      </c>
      <c r="AF600" s="1049">
        <f>(+IF(AF554&gt;=2015,MAX(VLOOKUP(AF658,'פחתי מים לרשויות מצטרפות'!$A$11:$G$14,MAX($B$3-AF554,0)+3,0)-VLOOKUP(AF$1,'פחת מים וגביה'!$A:$D,4,0),0))*AF403/AF$425)+IF(AND(AF$7="חברה מנהלת",AF17&lt;&gt;""),+VLOOKUP(AF658,'פחתי מים לרשויות מצטרפות'!$A$12:$G$15,5,0)-VLOOKUP(AF10,'פחת מים וגביה'!$A:$D,4,0),0)</f>
        <v>0</v>
      </c>
      <c r="AG600" s="1049">
        <f>(+IF(AG554&gt;=2015,MAX(VLOOKUP(AG658,'פחתי מים לרשויות מצטרפות'!$A$11:$G$14,MAX($B$3-AG554,0)+3,0)-VLOOKUP(AG$1,'פחת מים וגביה'!$A:$D,4,0),0))*AG403/AG$425)+IF(AND(AG$7="חברה מנהלת",AG17&lt;&gt;""),+VLOOKUP(AG658,'פחתי מים לרשויות מצטרפות'!$A$12:$G$15,5,0)-VLOOKUP(AG10,'פחת מים וגביה'!$A:$D,4,0),0)</f>
        <v>0</v>
      </c>
      <c r="AH600" s="1049">
        <f>(+IF(AH554&gt;=2015,MAX(VLOOKUP(AH658,'פחתי מים לרשויות מצטרפות'!$A$11:$G$14,MAX($B$3-AH554,0)+3,0)-VLOOKUP(AH$1,'פחת מים וגביה'!$A:$D,4,0),0))*AH403/AH$425)+IF(AND(AH$7="חברה מנהלת",AH17&lt;&gt;""),+VLOOKUP(AH658,'פחתי מים לרשויות מצטרפות'!$A$12:$G$15,5,0)-VLOOKUP(AH10,'פחת מים וגביה'!$A:$D,4,0),0)</f>
        <v>0</v>
      </c>
      <c r="AI600" s="1049">
        <f>(+IF(AI554&gt;=2015,MAX(VLOOKUP(AI658,'פחתי מים לרשויות מצטרפות'!$A$11:$G$14,MAX($B$3-AI554,0)+3,0)-VLOOKUP(AI$1,'פחת מים וגביה'!$A:$D,4,0),0))*AI403/AI$425)+IF(AND(AI$7="חברה מנהלת",AI17&lt;&gt;""),+VLOOKUP(AI658,'פחתי מים לרשויות מצטרפות'!$A$12:$G$15,5,0)-VLOOKUP(AI10,'פחת מים וגביה'!$A:$D,4,0),0)</f>
        <v>0</v>
      </c>
      <c r="AJ600" s="1049">
        <f>(+IF(AJ554&gt;=2015,MAX(VLOOKUP(AJ658,'פחתי מים לרשויות מצטרפות'!$A$11:$G$14,MAX($B$3-AJ554,0)+3,0)-VLOOKUP(AJ$1,'פחת מים וגביה'!$A:$D,4,0),0))*AJ403/AJ$425)+IF(AND(AJ$7="חברה מנהלת",AJ17&lt;&gt;""),+VLOOKUP(AJ658,'פחתי מים לרשויות מצטרפות'!$A$12:$G$15,5,0)-VLOOKUP(AJ10,'פחת מים וגביה'!$A:$D,4,0),0)</f>
        <v>0</v>
      </c>
      <c r="AK600" s="1049">
        <f>(+IF(AK554&gt;=2015,MAX(VLOOKUP(AK658,'פחתי מים לרשויות מצטרפות'!$A$11:$G$14,MAX($B$3-AK554,0)+3,0)-VLOOKUP(AK$1,'פחת מים וגביה'!$A:$D,4,0),0))*AK403/AK$425)+IF(AND(AK$7="חברה מנהלת",AK17&lt;&gt;""),+VLOOKUP(AK658,'פחתי מים לרשויות מצטרפות'!$A$12:$G$15,5,0)-VLOOKUP(AK10,'פחת מים וגביה'!$A:$D,4,0),0)</f>
        <v>0</v>
      </c>
      <c r="AL600" s="1049">
        <f>(+IF(AL554&gt;=2015,MAX(VLOOKUP(AL658,'פחתי מים לרשויות מצטרפות'!$A$11:$G$14,MAX($B$3-AL554,0)+3,0)-VLOOKUP(AL$1,'פחת מים וגביה'!$A:$D,4,0),0))*AL403/AL$425)+IF(AND(AL$7="חברה מנהלת",AL17&lt;&gt;""),+VLOOKUP(AL658,'פחתי מים לרשויות מצטרפות'!$A$12:$G$15,5,0)-VLOOKUP(AL10,'פחת מים וגביה'!$A:$D,4,0),0)</f>
        <v>0</v>
      </c>
      <c r="AM600" s="1049">
        <f>(+IF(AM554&gt;=2015,MAX(VLOOKUP(AM658,'פחתי מים לרשויות מצטרפות'!$A$11:$G$14,MAX($B$3-AM554,0)+3,0)-VLOOKUP(AM$1,'פחת מים וגביה'!$A:$D,4,0),0))*AM403/AM$425)+IF(AND(AM$7="חברה מנהלת",AM17&lt;&gt;""),+VLOOKUP(AM658,'פחתי מים לרשויות מצטרפות'!$A$12:$G$15,5,0)-VLOOKUP(AM10,'פחת מים וגביה'!$A:$D,4,0),0)</f>
        <v>0</v>
      </c>
      <c r="AN600" s="1049">
        <f>(+IF(AN554&gt;=2015,MAX(VLOOKUP(AN658,'פחתי מים לרשויות מצטרפות'!$A$11:$G$14,MAX($B$3-AN554,0)+3,0)-VLOOKUP(AN$1,'פחת מים וגביה'!$A:$D,4,0),0))*AN403/AN$425)+IF(AND(AN$7="חברה מנהלת",AN17&lt;&gt;""),+VLOOKUP(AN658,'פחתי מים לרשויות מצטרפות'!$A$12:$G$15,5,0)-VLOOKUP(AN10,'פחת מים וגביה'!$A:$D,4,0),0)</f>
        <v>0</v>
      </c>
      <c r="AO600" s="1049">
        <f>(+IF(AO554&gt;=2015,MAX(VLOOKUP(AO658,'פחתי מים לרשויות מצטרפות'!$A$11:$G$14,MAX($B$3-AO554,0)+3,0)-VLOOKUP(AO$1,'פחת מים וגביה'!$A:$D,4,0),0))*AO403/AO$425)+IF(AND(AO$7="חברה מנהלת",AO17&lt;&gt;""),+VLOOKUP(AO658,'פחתי מים לרשויות מצטרפות'!$A$12:$G$15,5,0)-VLOOKUP(AO10,'פחת מים וגביה'!$A:$D,4,0),0)</f>
        <v>0</v>
      </c>
      <c r="AP600" s="1049">
        <f>(+IF(AP554&gt;=2015,MAX(VLOOKUP(AP658,'פחתי מים לרשויות מצטרפות'!$A$11:$G$14,MAX($B$3-AP554,0)+3,0)-VLOOKUP(AP$1,'פחת מים וגביה'!$A:$D,4,0),0))*AP403/AP$425)+IF(AND(AP$7="חברה מנהלת",AP17&lt;&gt;""),+VLOOKUP(AP658,'פחתי מים לרשויות מצטרפות'!$A$12:$G$15,5,0)-VLOOKUP(AP10,'פחת מים וגביה'!$A:$D,4,0),0)</f>
        <v>0</v>
      </c>
      <c r="AQ600" s="1049">
        <f>(+IF(AQ554&gt;=2015,MAX(VLOOKUP(AQ658,'פחתי מים לרשויות מצטרפות'!$A$11:$G$14,MAX($B$3-AQ554,0)+3,0)-VLOOKUP(AQ$1,'פחת מים וגביה'!$A:$D,4,0),0))*AQ403/AQ$425)+IF(AND(AQ$7="חברה מנהלת",AQ17&lt;&gt;""),+VLOOKUP(AQ658,'פחתי מים לרשויות מצטרפות'!$A$12:$G$15,5,0)-VLOOKUP(AQ10,'פחת מים וגביה'!$A:$D,4,0),0)</f>
        <v>0</v>
      </c>
      <c r="AR600" s="1049">
        <f>(+IF(AR554&gt;=2015,MAX(VLOOKUP(AR658,'פחתי מים לרשויות מצטרפות'!$A$11:$G$14,MAX($B$3-AR554,0)+3,0)-VLOOKUP(AR$1,'פחת מים וגביה'!$A:$D,4,0),0))*AR403/AR$425)+IF(AND(AR$7="חברה מנהלת",AR17&lt;&gt;""),+VLOOKUP(AR658,'פחתי מים לרשויות מצטרפות'!$A$12:$G$15,5,0)-VLOOKUP(AR10,'פחת מים וגביה'!$A:$D,4,0),0)</f>
        <v>0</v>
      </c>
      <c r="AS600" s="1049">
        <f>(+IF(AS554&gt;=2015,MAX(VLOOKUP(AS658,'פחתי מים לרשויות מצטרפות'!$A$11:$G$14,MAX($B$3-AS554,0)+3,0)-VLOOKUP(AS$1,'פחת מים וגביה'!$A:$D,4,0),0))*AS403/AS$425)+IF(AND(AS$7="חברה מנהלת",AS17&lt;&gt;""),+VLOOKUP(AS658,'פחתי מים לרשויות מצטרפות'!$A$12:$G$15,5,0)-VLOOKUP(AS10,'פחת מים וגביה'!$A:$D,4,0),0)</f>
        <v>0</v>
      </c>
      <c r="AT600" s="1049">
        <f>(+IF(AT554&gt;=2015,MAX(VLOOKUP(AT658,'פחתי מים לרשויות מצטרפות'!$A$11:$G$14,MAX($B$3-AT554,0)+3,0)-VLOOKUP(AT$1,'פחת מים וגביה'!$A:$D,4,0),0))*AT403/AT$425)+IF(AND(AT$7="חברה מנהלת",AT17&lt;&gt;""),+VLOOKUP(AT658,'פחתי מים לרשויות מצטרפות'!$A$12:$G$15,5,0)-VLOOKUP(AT10,'פחת מים וגביה'!$A:$D,4,0),0)</f>
        <v>0</v>
      </c>
      <c r="AU600" s="1049">
        <f>(+IF(AU554&gt;=2015,MAX(VLOOKUP(AU658,'פחתי מים לרשויות מצטרפות'!$A$11:$G$14,MAX($B$3-AU554,0)+3,0)-VLOOKUP(AU$1,'פחת מים וגביה'!$A:$D,4,0),0))*AU403/AU$425)+IF(AND(AU$7="חברה מנהלת",AU17&lt;&gt;""),+VLOOKUP(AU658,'פחתי מים לרשויות מצטרפות'!$A$12:$G$15,5,0)-VLOOKUP(AU10,'פחת מים וגביה'!$A:$D,4,0),0)</f>
        <v>0</v>
      </c>
      <c r="AV600" s="1049">
        <f>(+IF(AV554&gt;=2015,MAX(VLOOKUP(AV658,'פחתי מים לרשויות מצטרפות'!$A$11:$G$14,MAX($B$3-AV554,0)+3,0)-VLOOKUP(AV$1,'פחת מים וגביה'!$A:$D,4,0),0))*AV403/AV$425)+IF(AND(AV$7="חברה מנהלת",AV17&lt;&gt;""),+VLOOKUP(AV658,'פחתי מים לרשויות מצטרפות'!$A$12:$G$15,5,0)-VLOOKUP(AV10,'פחת מים וגביה'!$A:$D,4,0),0)</f>
        <v>0</v>
      </c>
      <c r="AW600" s="1049">
        <f>(+IF(AW554&gt;=2015,MAX(VLOOKUP(AW658,'פחתי מים לרשויות מצטרפות'!$A$11:$G$14,MAX($B$3-AW554,0)+3,0)-VLOOKUP(AW$1,'פחת מים וגביה'!$A:$D,4,0),0))*AW403/AW$425)+IF(AND(AW$7="חברה מנהלת",AW17&lt;&gt;""),+VLOOKUP(AW658,'פחתי מים לרשויות מצטרפות'!$A$12:$G$15,5,0)-VLOOKUP(AW10,'פחת מים וגביה'!$A:$D,4,0),0)</f>
        <v>0</v>
      </c>
      <c r="AX600" s="1049">
        <f>(+IF(AX554&gt;=2015,MAX(VLOOKUP(AX658,'פחתי מים לרשויות מצטרפות'!$A$11:$G$14,MAX($B$3-AX554,0)+3,0)-VLOOKUP(AX$1,'פחת מים וגביה'!$A:$D,4,0),0))*AX403/AX$425)+IF(AND(AX$7="חברה מנהלת",AX17&lt;&gt;""),+VLOOKUP(AX658,'פחתי מים לרשויות מצטרפות'!$A$12:$G$15,5,0)-VLOOKUP(AX10,'פחת מים וגביה'!$A:$D,4,0),0)</f>
        <v>0</v>
      </c>
      <c r="AY600" s="1049">
        <f>(+IF(AY554&gt;=2015,MAX(VLOOKUP(AY658,'פחתי מים לרשויות מצטרפות'!$A$11:$G$14,MAX($B$3-AY554,0)+3,0)-VLOOKUP(AY$1,'פחת מים וגביה'!$A:$D,4,0),0))*AY403/AY$425)+IF(AND(AY$7="חברה מנהלת",AY17&lt;&gt;""),+VLOOKUP(AY658,'פחתי מים לרשויות מצטרפות'!$A$12:$G$15,5,0)-VLOOKUP(AY10,'פחת מים וגביה'!$A:$D,4,0),0)</f>
        <v>0</v>
      </c>
      <c r="AZ600" s="1049">
        <f>(+IF(AZ554&gt;=2015,MAX(VLOOKUP(AZ658,'פחתי מים לרשויות מצטרפות'!$A$11:$G$14,MAX($B$3-AZ554,0)+3,0)-VLOOKUP(AZ$1,'פחת מים וגביה'!$A:$D,4,0),0))*AZ403/AZ$425)+IF(AND(AZ$7="חברה מנהלת",AZ17&lt;&gt;""),+VLOOKUP(AZ658,'פחתי מים לרשויות מצטרפות'!$A$12:$G$15,5,0)-VLOOKUP(AZ10,'פחת מים וגביה'!$A:$D,4,0),0)</f>
        <v>0</v>
      </c>
      <c r="BA600" s="1049">
        <f>(+IF(BA554&gt;=2015,MAX(VLOOKUP(BA658,'פחתי מים לרשויות מצטרפות'!$A$11:$G$14,MAX($B$3-BA554,0)+3,0)-VLOOKUP(BA$1,'פחת מים וגביה'!$A:$D,4,0),0))*BA403/BA$425)+IF(AND(BA$7="חברה מנהלת",BA17&lt;&gt;""),+VLOOKUP(BA658,'פחתי מים לרשויות מצטרפות'!$A$12:$G$15,5,0)-VLOOKUP(BA10,'פחת מים וגביה'!$A:$D,4,0),0)</f>
        <v>0</v>
      </c>
      <c r="BB600" s="1049">
        <f>(+IF(BB554&gt;=2015,MAX(VLOOKUP(BB658,'פחתי מים לרשויות מצטרפות'!$A$11:$G$14,MAX($B$3-BB554,0)+3,0)-VLOOKUP(BB$1,'פחת מים וגביה'!$A:$D,4,0),0))*BB403/BB$425)+IF(AND(BB$7="חברה מנהלת",BB17&lt;&gt;""),+VLOOKUP(BB658,'פחתי מים לרשויות מצטרפות'!$A$12:$G$15,5,0)-VLOOKUP(BB10,'פחת מים וגביה'!$A:$D,4,0),0)</f>
        <v>0</v>
      </c>
      <c r="BC600" s="1049">
        <f>(+IF(BC554&gt;=2015,MAX(VLOOKUP(BC658,'פחתי מים לרשויות מצטרפות'!$A$11:$G$14,MAX($B$3-BC554,0)+3,0)-VLOOKUP(BC$1,'פחת מים וגביה'!$A:$D,4,0),0))*BC403/BC$425)+IF(AND(BC$7="חברה מנהלת",BC17&lt;&gt;""),+VLOOKUP(BC658,'פחתי מים לרשויות מצטרפות'!$A$12:$G$15,5,0)-VLOOKUP(BC10,'פחת מים וגביה'!$A:$D,4,0),0)</f>
        <v>0</v>
      </c>
      <c r="BD600" s="1049">
        <f>(+IF(BD554&gt;=2015,MAX(VLOOKUP(BD658,'פחתי מים לרשויות מצטרפות'!$A$11:$G$14,MAX($B$3-BD554,0)+3,0)-VLOOKUP(BD$1,'פחת מים וגביה'!$A:$D,4,0),0))*BD403/BD$425)+IF(AND(BD$7="חברה מנהלת",BD17&lt;&gt;""),+VLOOKUP(BD658,'פחתי מים לרשויות מצטרפות'!$A$12:$G$15,5,0)-VLOOKUP(BD10,'פחת מים וגביה'!$A:$D,4,0),0)</f>
        <v>0</v>
      </c>
      <c r="BE600" s="1049">
        <f>(+IF(BE554&gt;=2015,MAX(VLOOKUP(BE658,'פחתי מים לרשויות מצטרפות'!$A$11:$G$14,MAX($B$3-BE554,0)+3,0)-VLOOKUP(BE$1,'פחת מים וגביה'!$A:$D,4,0),0))*BE403/BE$425)+IF(AND(BE$7="חברה מנהלת",BE17&lt;&gt;""),+VLOOKUP(BE658,'פחתי מים לרשויות מצטרפות'!$A$12:$G$15,5,0)-VLOOKUP(BE10,'פחת מים וגביה'!$A:$D,4,0),0)</f>
        <v>0</v>
      </c>
      <c r="BF600" s="1049">
        <f>(+IF(BF554&gt;=2015,MAX(VLOOKUP(BF658,'פחתי מים לרשויות מצטרפות'!$A$11:$G$14,MAX($B$3-BF554,0)+3,0)-VLOOKUP(BF$1,'פחת מים וגביה'!$A:$D,4,0),0))*BF403/BF$425)+IF(AND(BF$7="חברה מנהלת",BF17&lt;&gt;""),+VLOOKUP(BF658,'פחתי מים לרשויות מצטרפות'!$A$12:$G$15,5,0)-VLOOKUP(BF10,'פחת מים וגביה'!$A:$D,4,0),0)</f>
        <v>0</v>
      </c>
    </row>
    <row r="601" spans="3:58" x14ac:dyDescent="0.2">
      <c r="C601" s="1049">
        <f>(+IF(C555&gt;=2015,MAX(VLOOKUP(C659,'פחתי מים לרשויות מצטרפות'!$A$11:$G$14,MAX($B$3-C555,0)+3,0)-VLOOKUP(C$1,'פחת מים וגביה'!$A:$D,4,0),0))*C404/C$425)+IF(AND(C$7="חברה מנהלת",C18&lt;&gt;""),+VLOOKUP(C659,'פחתי מים לרשויות מצטרפות'!$A$12:$G$15,5,0)-VLOOKUP(C11,'פחת מים וגביה'!$A:$D,4,0),0)</f>
        <v>0</v>
      </c>
      <c r="D601" s="1049">
        <f>(+IF(D555&gt;=2015,MAX(VLOOKUP(D659,'פחתי מים לרשויות מצטרפות'!$A$11:$G$14,MAX($B$3-D555,0)+3,0)-VLOOKUP(D$1,'פחת מים וגביה'!$A:$D,4,0),0))*D404/D$425)+IF(AND(D$7="חברה מנהלת",D18&lt;&gt;""),+VLOOKUP(D659,'פחתי מים לרשויות מצטרפות'!$A$12:$G$15,5,0)-VLOOKUP(D11,'פחת מים וגביה'!$A:$D,4,0),0)</f>
        <v>0</v>
      </c>
      <c r="E601" s="1049">
        <f>(+IF(E555&gt;=2015,MAX(VLOOKUP(E659,'פחתי מים לרשויות מצטרפות'!$A$11:$G$14,MAX($B$3-E555,0)+3,0)-VLOOKUP(E$1,'פחת מים וגביה'!$A:$D,4,0),0))*E404/E$425)+IF(AND(E$7="חברה מנהלת",E18&lt;&gt;""),+VLOOKUP(E659,'פחתי מים לרשויות מצטרפות'!$A$12:$G$15,5,0)-VLOOKUP(E11,'פחת מים וגביה'!$A:$D,4,0),0)</f>
        <v>0</v>
      </c>
      <c r="F601" s="1049">
        <f>(+IF(F555&gt;=2015,MAX(VLOOKUP(F659,'פחתי מים לרשויות מצטרפות'!$A$11:$G$14,MAX($B$3-F555,0)+3,0)-VLOOKUP(F$1,'פחת מים וגביה'!$A:$D,4,0),0))*F404/F$425)+IF(AND(F$7="חברה מנהלת",F18&lt;&gt;""),+VLOOKUP(F659,'פחתי מים לרשויות מצטרפות'!$A$12:$G$15,5,0)-VLOOKUP(F11,'פחת מים וגביה'!$A:$D,4,0),0)</f>
        <v>0</v>
      </c>
      <c r="G601" s="1049">
        <f>(+IF(G555&gt;=2015,MAX(VLOOKUP(G659,'פחתי מים לרשויות מצטרפות'!$A$11:$G$14,MAX($B$3-G555,0)+3,0)-VLOOKUP(G$1,'פחת מים וגביה'!$A:$D,4,0),0))*G404/G$425)+IF(AND(G$7="חברה מנהלת",G18&lt;&gt;""),+VLOOKUP(G659,'פחתי מים לרשויות מצטרפות'!$A$12:$G$15,5,0)-VLOOKUP(G11,'פחת מים וגביה'!$A:$D,4,0),0)</f>
        <v>0</v>
      </c>
      <c r="H601" s="1049">
        <f>(+IF(H555&gt;=2015,MAX(VLOOKUP(H659,'פחתי מים לרשויות מצטרפות'!$A$11:$G$14,MAX($B$3-H555,0)+3,0)-VLOOKUP(H$1,'פחת מים וגביה'!$A:$D,4,0),0))*H404/H$425)+IF(AND(H$7="חברה מנהלת",H18&lt;&gt;""),+VLOOKUP(H659,'פחתי מים לרשויות מצטרפות'!$A$12:$G$15,5,0)-VLOOKUP(H11,'פחת מים וגביה'!$A:$D,4,0),0)</f>
        <v>0</v>
      </c>
      <c r="I601" s="1049">
        <f>(+IF(I555&gt;=2015,MAX(VLOOKUP(I659,'פחתי מים לרשויות מצטרפות'!$A$11:$G$14,MAX($B$3-I555,0)+3,0)-VLOOKUP(I$1,'פחת מים וגביה'!$A:$D,4,0),0))*I404/I$425)+IF(AND(I$7="חברה מנהלת",I18&lt;&gt;""),+VLOOKUP(I659,'פחתי מים לרשויות מצטרפות'!$A$12:$G$15,5,0)-VLOOKUP(I11,'פחת מים וגביה'!$A:$D,4,0),0)</f>
        <v>0</v>
      </c>
      <c r="J601" s="1049">
        <f>(+IF(J555&gt;=2015,MAX(VLOOKUP(J659,'פחתי מים לרשויות מצטרפות'!$A$11:$G$14,MAX($B$3-J555,0)+3,0)-VLOOKUP(J$1,'פחת מים וגביה'!$A:$D,4,0),0))*J404/J$425)+IF(AND(J$7="חברה מנהלת",J18&lt;&gt;""),+VLOOKUP(J659,'פחתי מים לרשויות מצטרפות'!$A$12:$G$15,5,0)-VLOOKUP(J11,'פחת מים וגביה'!$A:$D,4,0),0)</f>
        <v>0</v>
      </c>
      <c r="K601" s="1049">
        <f>(+IF(K555&gt;=2015,MAX(VLOOKUP(K659,'פחתי מים לרשויות מצטרפות'!$A$11:$G$14,MAX($B$3-K555,0)+3,0)-VLOOKUP(K$1,'פחת מים וגביה'!$A:$D,4,0),0))*K404/K$425)+IF(AND(K$7="חברה מנהלת",K18&lt;&gt;""),+VLOOKUP(K659,'פחתי מים לרשויות מצטרפות'!$A$12:$G$15,5,0)-VLOOKUP(K11,'פחת מים וגביה'!$A:$D,4,0),0)</f>
        <v>0</v>
      </c>
      <c r="L601" s="1049">
        <f>(+IF(L555&gt;=2015,MAX(VLOOKUP(L659,'פחתי מים לרשויות מצטרפות'!$A$11:$G$14,MAX($B$3-L555,0)+3,0)-VLOOKUP(L$1,'פחת מים וגביה'!$A:$D,4,0),0))*L404/L$425)+IF(AND(L$7="חברה מנהלת",L18&lt;&gt;""),+VLOOKUP(L659,'פחתי מים לרשויות מצטרפות'!$A$12:$G$15,5,0)-VLOOKUP(L11,'פחת מים וגביה'!$A:$D,4,0),0)</f>
        <v>0</v>
      </c>
      <c r="M601" s="1049">
        <f>(+IF(M555&gt;=2015,MAX(VLOOKUP(M659,'פחתי מים לרשויות מצטרפות'!$A$11:$G$14,MAX($B$3-M555,0)+3,0)-VLOOKUP(M$1,'פחת מים וגביה'!$A:$D,4,0),0))*M404/M$425)+IF(AND(M$7="חברה מנהלת",M18&lt;&gt;""),+VLOOKUP(M659,'פחתי מים לרשויות מצטרפות'!$A$12:$G$15,5,0)-VLOOKUP(M11,'פחת מים וגביה'!$A:$D,4,0),0)</f>
        <v>0</v>
      </c>
      <c r="N601" s="1049">
        <f>(+IF(N555&gt;=2015,MAX(VLOOKUP(N659,'פחתי מים לרשויות מצטרפות'!$A$11:$G$14,MAX($B$3-N555,0)+3,0)-VLOOKUP(N$1,'פחת מים וגביה'!$A:$D,4,0),0))*N404/N$425)+IF(AND(N$7="חברה מנהלת",N18&lt;&gt;""),+VLOOKUP(N659,'פחתי מים לרשויות מצטרפות'!$A$12:$G$15,5,0)-VLOOKUP(N11,'פחת מים וגביה'!$A:$D,4,0),0)</f>
        <v>0</v>
      </c>
      <c r="O601" s="1049">
        <f>(+IF(O555&gt;=2015,MAX(VLOOKUP(O659,'פחתי מים לרשויות מצטרפות'!$A$11:$G$14,MAX($B$3-O555,0)+3,0)-VLOOKUP(O$1,'פחת מים וגביה'!$A:$D,4,0),0))*O404/O$425)+IF(AND(O$7="חברה מנהלת",O18&lt;&gt;""),+VLOOKUP(O659,'פחתי מים לרשויות מצטרפות'!$A$12:$G$15,5,0)-VLOOKUP(O11,'פחת מים וגביה'!$A:$D,4,0),0)</f>
        <v>0</v>
      </c>
      <c r="P601" s="1049">
        <f>(+IF(P555&gt;=2015,MAX(VLOOKUP(P659,'פחתי מים לרשויות מצטרפות'!$A$11:$G$14,MAX($B$3-P555,0)+3,0)-VLOOKUP(P$1,'פחת מים וגביה'!$A:$D,4,0),0))*P404/P$425)+IF(AND(P$7="חברה מנהלת",P18&lt;&gt;""),+VLOOKUP(P659,'פחתי מים לרשויות מצטרפות'!$A$12:$G$15,5,0)-VLOOKUP(P11,'פחת מים וגביה'!$A:$D,4,0),0)</f>
        <v>0</v>
      </c>
      <c r="Q601" s="1049">
        <f>(+IF(Q555&gt;=2015,MAX(VLOOKUP(Q659,'פחתי מים לרשויות מצטרפות'!$A$11:$G$14,MAX($B$3-Q555,0)+3,0)-VLOOKUP(Q$1,'פחת מים וגביה'!$A:$D,4,0),0))*Q404/Q$425)+IF(AND(Q$7="חברה מנהלת",Q18&lt;&gt;""),+VLOOKUP(Q659,'פחתי מים לרשויות מצטרפות'!$A$12:$G$15,5,0)-VLOOKUP(Q11,'פחת מים וגביה'!$A:$D,4,0),0)</f>
        <v>0</v>
      </c>
      <c r="R601" s="1049">
        <f>(+IF(R555&gt;=2015,MAX(VLOOKUP(R659,'פחתי מים לרשויות מצטרפות'!$A$11:$G$14,MAX($B$3-R555,0)+3,0)-VLOOKUP(R$1,'פחת מים וגביה'!$A:$D,4,0),0))*R404/R$425)+IF(AND(R$7="חברה מנהלת",R18&lt;&gt;""),+VLOOKUP(R659,'פחתי מים לרשויות מצטרפות'!$A$12:$G$15,5,0)-VLOOKUP(R11,'פחת מים וגביה'!$A:$D,4,0),0)</f>
        <v>0</v>
      </c>
      <c r="S601" s="1049">
        <f>(+IF(S555&gt;=2015,MAX(VLOOKUP(S659,'פחתי מים לרשויות מצטרפות'!$A$11:$G$14,MAX($B$3-S555,0)+3,0)-VLOOKUP(S$1,'פחת מים וגביה'!$A:$D,4,0),0))*S404/S$425)+IF(AND(S$7="חברה מנהלת",S18&lt;&gt;""),+VLOOKUP(S659,'פחתי מים לרשויות מצטרפות'!$A$12:$G$15,5,0)-VLOOKUP(S11,'פחת מים וגביה'!$A:$D,4,0),0)</f>
        <v>0</v>
      </c>
      <c r="T601" s="1049">
        <f>(+IF(T555&gt;=2015,MAX(VLOOKUP(T659,'פחתי מים לרשויות מצטרפות'!$A$11:$G$14,MAX($B$3-T555,0)+3,0)-VLOOKUP(T$1,'פחת מים וגביה'!$A:$D,4,0),0))*T404/T$425)+IF(AND(T$7="חברה מנהלת",T18&lt;&gt;""),+VLOOKUP(T659,'פחתי מים לרשויות מצטרפות'!$A$12:$G$15,5,0)-VLOOKUP(T11,'פחת מים וגביה'!$A:$D,4,0),0)</f>
        <v>0</v>
      </c>
      <c r="U601" s="1049">
        <f>(+IF(U555&gt;=2015,MAX(VLOOKUP(U659,'פחתי מים לרשויות מצטרפות'!$A$11:$G$14,MAX($B$3-U555,0)+3,0)-VLOOKUP(U$1,'פחת מים וגביה'!$A:$D,4,0),0))*U404/U$425)+IF(AND(U$7="חברה מנהלת",U18&lt;&gt;""),+VLOOKUP(U659,'פחתי מים לרשויות מצטרפות'!$A$12:$G$15,5,0)-VLOOKUP(U11,'פחת מים וגביה'!$A:$D,4,0),0)</f>
        <v>0</v>
      </c>
      <c r="V601" s="1049">
        <f>(+IF(V555&gt;=2015,MAX(VLOOKUP(V659,'פחתי מים לרשויות מצטרפות'!$A$11:$G$14,MAX($B$3-V555,0)+3,0)-VLOOKUP(V$1,'פחת מים וגביה'!$A:$D,4,0),0))*V404/V$425)+IF(AND(V$7="חברה מנהלת",V18&lt;&gt;""),+VLOOKUP(V659,'פחתי מים לרשויות מצטרפות'!$A$12:$G$15,5,0)-VLOOKUP(V11,'פחת מים וגביה'!$A:$D,4,0),0)</f>
        <v>0</v>
      </c>
      <c r="W601" s="1049">
        <f>(+IF(W555&gt;=2015,MAX(VLOOKUP(W659,'פחתי מים לרשויות מצטרפות'!$A$11:$G$14,MAX($B$3-W555,0)+3,0)-VLOOKUP(W$1,'פחת מים וגביה'!$A:$D,4,0),0))*W404/W$425)+IF(AND(W$7="חברה מנהלת",W18&lt;&gt;""),+VLOOKUP(W659,'פחתי מים לרשויות מצטרפות'!$A$12:$G$15,5,0)-VLOOKUP(W11,'פחת מים וגביה'!$A:$D,4,0),0)</f>
        <v>0</v>
      </c>
      <c r="X601" s="1049">
        <f>(+IF(X555&gt;=2015,MAX(VLOOKUP(X659,'פחתי מים לרשויות מצטרפות'!$A$11:$G$14,MAX($B$3-X555,0)+3,0)-VLOOKUP(X$1,'פחת מים וגביה'!$A:$D,4,0),0))*X404/X$425)+IF(AND(X$7="חברה מנהלת",X18&lt;&gt;""),+VLOOKUP(X659,'פחתי מים לרשויות מצטרפות'!$A$12:$G$15,5,0)-VLOOKUP(X11,'פחת מים וגביה'!$A:$D,4,0),0)</f>
        <v>0</v>
      </c>
      <c r="Y601" s="1049">
        <f>(+IF(Y555&gt;=2015,MAX(VLOOKUP(Y659,'פחתי מים לרשויות מצטרפות'!$A$11:$G$14,MAX($B$3-Y555,0)+3,0)-VLOOKUP(Y$1,'פחת מים וגביה'!$A:$D,4,0),0))*Y404/Y$425)+IF(AND(Y$7="חברה מנהלת",Y18&lt;&gt;""),+VLOOKUP(Y659,'פחתי מים לרשויות מצטרפות'!$A$12:$G$15,5,0)-VLOOKUP(Y11,'פחת מים וגביה'!$A:$D,4,0),0)</f>
        <v>0</v>
      </c>
      <c r="Z601" s="1049">
        <f>(+IF(Z555&gt;=2015,MAX(VLOOKUP(Z659,'פחתי מים לרשויות מצטרפות'!$A$11:$G$14,MAX($B$3-Z555,0)+3,0)-VLOOKUP(Z$1,'פחת מים וגביה'!$A:$D,4,0),0))*Z404/Z$425)+IF(AND(Z$7="חברה מנהלת",Z18&lt;&gt;""),+VLOOKUP(Z659,'פחתי מים לרשויות מצטרפות'!$A$12:$G$15,5,0)-VLOOKUP(Z11,'פחת מים וגביה'!$A:$D,4,0),0)</f>
        <v>0</v>
      </c>
      <c r="AA601" s="1049">
        <f>(+IF(AA555&gt;=2015,MAX(VLOOKUP(AA659,'פחתי מים לרשויות מצטרפות'!$A$11:$G$14,MAX($B$3-AA555,0)+3,0)-VLOOKUP(AA$1,'פחת מים וגביה'!$A:$D,4,0),0))*AA404/AA$425)+IF(AND(AA$7="חברה מנהלת",AA18&lt;&gt;""),+VLOOKUP(AA659,'פחתי מים לרשויות מצטרפות'!$A$12:$G$15,5,0)-VLOOKUP(AA11,'פחת מים וגביה'!$A:$D,4,0),0)</f>
        <v>0</v>
      </c>
      <c r="AB601" s="1049">
        <f>(+IF(AB555&gt;=2015,MAX(VLOOKUP(AB659,'פחתי מים לרשויות מצטרפות'!$A$11:$G$14,MAX($B$3-AB555,0)+3,0)-VLOOKUP(AB$1,'פחת מים וגביה'!$A:$D,4,0),0))*AB404/AB$425)+IF(AND(AB$7="חברה מנהלת",AB18&lt;&gt;""),+VLOOKUP(AB659,'פחתי מים לרשויות מצטרפות'!$A$12:$G$15,5,0)-VLOOKUP(AB11,'פחת מים וגביה'!$A:$D,4,0),0)</f>
        <v>0</v>
      </c>
      <c r="AC601" s="1049">
        <f>(+IF(AC555&gt;=2015,MAX(VLOOKUP(AC659,'פחתי מים לרשויות מצטרפות'!$A$11:$G$14,MAX($B$3-AC555,0)+3,0)-VLOOKUP(AC$1,'פחת מים וגביה'!$A:$D,4,0),0))*AC404/AC$425)+IF(AND(AC$7="חברה מנהלת",AC18&lt;&gt;""),+VLOOKUP(AC659,'פחתי מים לרשויות מצטרפות'!$A$12:$G$15,5,0)-VLOOKUP(AC11,'פחת מים וגביה'!$A:$D,4,0),0)</f>
        <v>0</v>
      </c>
      <c r="AD601" s="1049">
        <f>(+IF(AD555&gt;=2015,MAX(VLOOKUP(AD659,'פחתי מים לרשויות מצטרפות'!$A$11:$G$14,MAX($B$3-AD555,0)+3,0)-VLOOKUP(AD$1,'פחת מים וגביה'!$A:$D,4,0),0))*AD404/AD$425)+IF(AND(AD$7="חברה מנהלת",AD18&lt;&gt;""),+VLOOKUP(AD659,'פחתי מים לרשויות מצטרפות'!$A$12:$G$15,5,0)-VLOOKUP(AD11,'פחת מים וגביה'!$A:$D,4,0),0)</f>
        <v>0</v>
      </c>
      <c r="AE601" s="1049">
        <f>(+IF(AE555&gt;=2015,MAX(VLOOKUP(AE659,'פחתי מים לרשויות מצטרפות'!$A$11:$G$14,MAX($B$3-AE555,0)+3,0)-VLOOKUP(AE$1,'פחת מים וגביה'!$A:$D,4,0),0))*AE404/AE$425)+IF(AND(AE$7="חברה מנהלת",AE18&lt;&gt;""),+VLOOKUP(AE659,'פחתי מים לרשויות מצטרפות'!$A$12:$G$15,5,0)-VLOOKUP(AE11,'פחת מים וגביה'!$A:$D,4,0),0)</f>
        <v>0</v>
      </c>
      <c r="AF601" s="1049">
        <f>(+IF(AF555&gt;=2015,MAX(VLOOKUP(AF659,'פחתי מים לרשויות מצטרפות'!$A$11:$G$14,MAX($B$3-AF555,0)+3,0)-VLOOKUP(AF$1,'פחת מים וגביה'!$A:$D,4,0),0))*AF404/AF$425)+IF(AND(AF$7="חברה מנהלת",AF18&lt;&gt;""),+VLOOKUP(AF659,'פחתי מים לרשויות מצטרפות'!$A$12:$G$15,5,0)-VLOOKUP(AF11,'פחת מים וגביה'!$A:$D,4,0),0)</f>
        <v>0</v>
      </c>
      <c r="AG601" s="1049">
        <f>(+IF(AG555&gt;=2015,MAX(VLOOKUP(AG659,'פחתי מים לרשויות מצטרפות'!$A$11:$G$14,MAX($B$3-AG555,0)+3,0)-VLOOKUP(AG$1,'פחת מים וגביה'!$A:$D,4,0),0))*AG404/AG$425)+IF(AND(AG$7="חברה מנהלת",AG18&lt;&gt;""),+VLOOKUP(AG659,'פחתי מים לרשויות מצטרפות'!$A$12:$G$15,5,0)-VLOOKUP(AG11,'פחת מים וגביה'!$A:$D,4,0),0)</f>
        <v>0</v>
      </c>
      <c r="AH601" s="1049">
        <f>(+IF(AH555&gt;=2015,MAX(VLOOKUP(AH659,'פחתי מים לרשויות מצטרפות'!$A$11:$G$14,MAX($B$3-AH555,0)+3,0)-VLOOKUP(AH$1,'פחת מים וגביה'!$A:$D,4,0),0))*AH404/AH$425)+IF(AND(AH$7="חברה מנהלת",AH18&lt;&gt;""),+VLOOKUP(AH659,'פחתי מים לרשויות מצטרפות'!$A$12:$G$15,5,0)-VLOOKUP(AH11,'פחת מים וגביה'!$A:$D,4,0),0)</f>
        <v>0</v>
      </c>
      <c r="AI601" s="1049">
        <f>(+IF(AI555&gt;=2015,MAX(VLOOKUP(AI659,'פחתי מים לרשויות מצטרפות'!$A$11:$G$14,MAX($B$3-AI555,0)+3,0)-VLOOKUP(AI$1,'פחת מים וגביה'!$A:$D,4,0),0))*AI404/AI$425)+IF(AND(AI$7="חברה מנהלת",AI18&lt;&gt;""),+VLOOKUP(AI659,'פחתי מים לרשויות מצטרפות'!$A$12:$G$15,5,0)-VLOOKUP(AI11,'פחת מים וגביה'!$A:$D,4,0),0)</f>
        <v>0</v>
      </c>
      <c r="AJ601" s="1049">
        <f>(+IF(AJ555&gt;=2015,MAX(VLOOKUP(AJ659,'פחתי מים לרשויות מצטרפות'!$A$11:$G$14,MAX($B$3-AJ555,0)+3,0)-VLOOKUP(AJ$1,'פחת מים וגביה'!$A:$D,4,0),0))*AJ404/AJ$425)+IF(AND(AJ$7="חברה מנהלת",AJ18&lt;&gt;""),+VLOOKUP(AJ659,'פחתי מים לרשויות מצטרפות'!$A$12:$G$15,5,0)-VLOOKUP(AJ11,'פחת מים וגביה'!$A:$D,4,0),0)</f>
        <v>0</v>
      </c>
      <c r="AK601" s="1049">
        <f>(+IF(AK555&gt;=2015,MAX(VLOOKUP(AK659,'פחתי מים לרשויות מצטרפות'!$A$11:$G$14,MAX($B$3-AK555,0)+3,0)-VLOOKUP(AK$1,'פחת מים וגביה'!$A:$D,4,0),0))*AK404/AK$425)+IF(AND(AK$7="חברה מנהלת",AK18&lt;&gt;""),+VLOOKUP(AK659,'פחתי מים לרשויות מצטרפות'!$A$12:$G$15,5,0)-VLOOKUP(AK11,'פחת מים וגביה'!$A:$D,4,0),0)</f>
        <v>0</v>
      </c>
      <c r="AL601" s="1049">
        <f>(+IF(AL555&gt;=2015,MAX(VLOOKUP(AL659,'פחתי מים לרשויות מצטרפות'!$A$11:$G$14,MAX($B$3-AL555,0)+3,0)-VLOOKUP(AL$1,'פחת מים וגביה'!$A:$D,4,0),0))*AL404/AL$425)+IF(AND(AL$7="חברה מנהלת",AL18&lt;&gt;""),+VLOOKUP(AL659,'פחתי מים לרשויות מצטרפות'!$A$12:$G$15,5,0)-VLOOKUP(AL11,'פחת מים וגביה'!$A:$D,4,0),0)</f>
        <v>0</v>
      </c>
      <c r="AM601" s="1049">
        <f>(+IF(AM555&gt;=2015,MAX(VLOOKUP(AM659,'פחתי מים לרשויות מצטרפות'!$A$11:$G$14,MAX($B$3-AM555,0)+3,0)-VLOOKUP(AM$1,'פחת מים וגביה'!$A:$D,4,0),0))*AM404/AM$425)+IF(AND(AM$7="חברה מנהלת",AM18&lt;&gt;""),+VLOOKUP(AM659,'פחתי מים לרשויות מצטרפות'!$A$12:$G$15,5,0)-VLOOKUP(AM11,'פחת מים וגביה'!$A:$D,4,0),0)</f>
        <v>0</v>
      </c>
      <c r="AN601" s="1049">
        <f>(+IF(AN555&gt;=2015,MAX(VLOOKUP(AN659,'פחתי מים לרשויות מצטרפות'!$A$11:$G$14,MAX($B$3-AN555,0)+3,0)-VLOOKUP(AN$1,'פחת מים וגביה'!$A:$D,4,0),0))*AN404/AN$425)+IF(AND(AN$7="חברה מנהלת",AN18&lt;&gt;""),+VLOOKUP(AN659,'פחתי מים לרשויות מצטרפות'!$A$12:$G$15,5,0)-VLOOKUP(AN11,'פחת מים וגביה'!$A:$D,4,0),0)</f>
        <v>0</v>
      </c>
      <c r="AO601" s="1049">
        <f>(+IF(AO555&gt;=2015,MAX(VLOOKUP(AO659,'פחתי מים לרשויות מצטרפות'!$A$11:$G$14,MAX($B$3-AO555,0)+3,0)-VLOOKUP(AO$1,'פחת מים וגביה'!$A:$D,4,0),0))*AO404/AO$425)+IF(AND(AO$7="חברה מנהלת",AO18&lt;&gt;""),+VLOOKUP(AO659,'פחתי מים לרשויות מצטרפות'!$A$12:$G$15,5,0)-VLOOKUP(AO11,'פחת מים וגביה'!$A:$D,4,0),0)</f>
        <v>0</v>
      </c>
      <c r="AP601" s="1049">
        <f>(+IF(AP555&gt;=2015,MAX(VLOOKUP(AP659,'פחתי מים לרשויות מצטרפות'!$A$11:$G$14,MAX($B$3-AP555,0)+3,0)-VLOOKUP(AP$1,'פחת מים וגביה'!$A:$D,4,0),0))*AP404/AP$425)+IF(AND(AP$7="חברה מנהלת",AP18&lt;&gt;""),+VLOOKUP(AP659,'פחתי מים לרשויות מצטרפות'!$A$12:$G$15,5,0)-VLOOKUP(AP11,'פחת מים וגביה'!$A:$D,4,0),0)</f>
        <v>0</v>
      </c>
      <c r="AQ601" s="1049">
        <f>(+IF(AQ555&gt;=2015,MAX(VLOOKUP(AQ659,'פחתי מים לרשויות מצטרפות'!$A$11:$G$14,MAX($B$3-AQ555,0)+3,0)-VLOOKUP(AQ$1,'פחת מים וגביה'!$A:$D,4,0),0))*AQ404/AQ$425)+IF(AND(AQ$7="חברה מנהלת",AQ18&lt;&gt;""),+VLOOKUP(AQ659,'פחתי מים לרשויות מצטרפות'!$A$12:$G$15,5,0)-VLOOKUP(AQ11,'פחת מים וגביה'!$A:$D,4,0),0)</f>
        <v>0</v>
      </c>
      <c r="AR601" s="1049">
        <f>(+IF(AR555&gt;=2015,MAX(VLOOKUP(AR659,'פחתי מים לרשויות מצטרפות'!$A$11:$G$14,MAX($B$3-AR555,0)+3,0)-VLOOKUP(AR$1,'פחת מים וגביה'!$A:$D,4,0),0))*AR404/AR$425)+IF(AND(AR$7="חברה מנהלת",AR18&lt;&gt;""),+VLOOKUP(AR659,'פחתי מים לרשויות מצטרפות'!$A$12:$G$15,5,0)-VLOOKUP(AR11,'פחת מים וגביה'!$A:$D,4,0),0)</f>
        <v>0</v>
      </c>
      <c r="AS601" s="1049">
        <f>(+IF(AS555&gt;=2015,MAX(VLOOKUP(AS659,'פחתי מים לרשויות מצטרפות'!$A$11:$G$14,MAX($B$3-AS555,0)+3,0)-VLOOKUP(AS$1,'פחת מים וגביה'!$A:$D,4,0),0))*AS404/AS$425)+IF(AND(AS$7="חברה מנהלת",AS18&lt;&gt;""),+VLOOKUP(AS659,'פחתי מים לרשויות מצטרפות'!$A$12:$G$15,5,0)-VLOOKUP(AS11,'פחת מים וגביה'!$A:$D,4,0),0)</f>
        <v>0</v>
      </c>
      <c r="AT601" s="1049">
        <f>(+IF(AT555&gt;=2015,MAX(VLOOKUP(AT659,'פחתי מים לרשויות מצטרפות'!$A$11:$G$14,MAX($B$3-AT555,0)+3,0)-VLOOKUP(AT$1,'פחת מים וגביה'!$A:$D,4,0),0))*AT404/AT$425)+IF(AND(AT$7="חברה מנהלת",AT18&lt;&gt;""),+VLOOKUP(AT659,'פחתי מים לרשויות מצטרפות'!$A$12:$G$15,5,0)-VLOOKUP(AT11,'פחת מים וגביה'!$A:$D,4,0),0)</f>
        <v>0</v>
      </c>
      <c r="AU601" s="1049">
        <f>(+IF(AU555&gt;=2015,MAX(VLOOKUP(AU659,'פחתי מים לרשויות מצטרפות'!$A$11:$G$14,MAX($B$3-AU555,0)+3,0)-VLOOKUP(AU$1,'פחת מים וגביה'!$A:$D,4,0),0))*AU404/AU$425)+IF(AND(AU$7="חברה מנהלת",AU18&lt;&gt;""),+VLOOKUP(AU659,'פחתי מים לרשויות מצטרפות'!$A$12:$G$15,5,0)-VLOOKUP(AU11,'פחת מים וגביה'!$A:$D,4,0),0)</f>
        <v>0</v>
      </c>
      <c r="AV601" s="1049">
        <f>(+IF(AV555&gt;=2015,MAX(VLOOKUP(AV659,'פחתי מים לרשויות מצטרפות'!$A$11:$G$14,MAX($B$3-AV555,0)+3,0)-VLOOKUP(AV$1,'פחת מים וגביה'!$A:$D,4,0),0))*AV404/AV$425)+IF(AND(AV$7="חברה מנהלת",AV18&lt;&gt;""),+VLOOKUP(AV659,'פחתי מים לרשויות מצטרפות'!$A$12:$G$15,5,0)-VLOOKUP(AV11,'פחת מים וגביה'!$A:$D,4,0),0)</f>
        <v>0</v>
      </c>
      <c r="AW601" s="1049">
        <f>(+IF(AW555&gt;=2015,MAX(VLOOKUP(AW659,'פחתי מים לרשויות מצטרפות'!$A$11:$G$14,MAX($B$3-AW555,0)+3,0)-VLOOKUP(AW$1,'פחת מים וגביה'!$A:$D,4,0),0))*AW404/AW$425)+IF(AND(AW$7="חברה מנהלת",AW18&lt;&gt;""),+VLOOKUP(AW659,'פחתי מים לרשויות מצטרפות'!$A$12:$G$15,5,0)-VLOOKUP(AW11,'פחת מים וגביה'!$A:$D,4,0),0)</f>
        <v>0</v>
      </c>
      <c r="AX601" s="1049">
        <f>(+IF(AX555&gt;=2015,MAX(VLOOKUP(AX659,'פחתי מים לרשויות מצטרפות'!$A$11:$G$14,MAX($B$3-AX555,0)+3,0)-VLOOKUP(AX$1,'פחת מים וגביה'!$A:$D,4,0),0))*AX404/AX$425)+IF(AND(AX$7="חברה מנהלת",AX18&lt;&gt;""),+VLOOKUP(AX659,'פחתי מים לרשויות מצטרפות'!$A$12:$G$15,5,0)-VLOOKUP(AX11,'פחת מים וגביה'!$A:$D,4,0),0)</f>
        <v>0</v>
      </c>
      <c r="AY601" s="1049">
        <f>(+IF(AY555&gt;=2015,MAX(VLOOKUP(AY659,'פחתי מים לרשויות מצטרפות'!$A$11:$G$14,MAX($B$3-AY555,0)+3,0)-VLOOKUP(AY$1,'פחת מים וגביה'!$A:$D,4,0),0))*AY404/AY$425)+IF(AND(AY$7="חברה מנהלת",AY18&lt;&gt;""),+VLOOKUP(AY659,'פחתי מים לרשויות מצטרפות'!$A$12:$G$15,5,0)-VLOOKUP(AY11,'פחת מים וגביה'!$A:$D,4,0),0)</f>
        <v>0</v>
      </c>
      <c r="AZ601" s="1049">
        <f>(+IF(AZ555&gt;=2015,MAX(VLOOKUP(AZ659,'פחתי מים לרשויות מצטרפות'!$A$11:$G$14,MAX($B$3-AZ555,0)+3,0)-VLOOKUP(AZ$1,'פחת מים וגביה'!$A:$D,4,0),0))*AZ404/AZ$425)+IF(AND(AZ$7="חברה מנהלת",AZ18&lt;&gt;""),+VLOOKUP(AZ659,'פחתי מים לרשויות מצטרפות'!$A$12:$G$15,5,0)-VLOOKUP(AZ11,'פחת מים וגביה'!$A:$D,4,0),0)</f>
        <v>0</v>
      </c>
      <c r="BA601" s="1049">
        <f>(+IF(BA555&gt;=2015,MAX(VLOOKUP(BA659,'פחתי מים לרשויות מצטרפות'!$A$11:$G$14,MAX($B$3-BA555,0)+3,0)-VLOOKUP(BA$1,'פחת מים וגביה'!$A:$D,4,0),0))*BA404/BA$425)+IF(AND(BA$7="חברה מנהלת",BA18&lt;&gt;""),+VLOOKUP(BA659,'פחתי מים לרשויות מצטרפות'!$A$12:$G$15,5,0)-VLOOKUP(BA11,'פחת מים וגביה'!$A:$D,4,0),0)</f>
        <v>0</v>
      </c>
      <c r="BB601" s="1049">
        <f>(+IF(BB555&gt;=2015,MAX(VLOOKUP(BB659,'פחתי מים לרשויות מצטרפות'!$A$11:$G$14,MAX($B$3-BB555,0)+3,0)-VLOOKUP(BB$1,'פחת מים וגביה'!$A:$D,4,0),0))*BB404/BB$425)+IF(AND(BB$7="חברה מנהלת",BB18&lt;&gt;""),+VLOOKUP(BB659,'פחתי מים לרשויות מצטרפות'!$A$12:$G$15,5,0)-VLOOKUP(BB11,'פחת מים וגביה'!$A:$D,4,0),0)</f>
        <v>0</v>
      </c>
      <c r="BC601" s="1049">
        <f>(+IF(BC555&gt;=2015,MAX(VLOOKUP(BC659,'פחתי מים לרשויות מצטרפות'!$A$11:$G$14,MAX($B$3-BC555,0)+3,0)-VLOOKUP(BC$1,'פחת מים וגביה'!$A:$D,4,0),0))*BC404/BC$425)+IF(AND(BC$7="חברה מנהלת",BC18&lt;&gt;""),+VLOOKUP(BC659,'פחתי מים לרשויות מצטרפות'!$A$12:$G$15,5,0)-VLOOKUP(BC11,'פחת מים וגביה'!$A:$D,4,0),0)</f>
        <v>0</v>
      </c>
      <c r="BD601" s="1049">
        <f>(+IF(BD555&gt;=2015,MAX(VLOOKUP(BD659,'פחתי מים לרשויות מצטרפות'!$A$11:$G$14,MAX($B$3-BD555,0)+3,0)-VLOOKUP(BD$1,'פחת מים וגביה'!$A:$D,4,0),0))*BD404/BD$425)+IF(AND(BD$7="חברה מנהלת",BD18&lt;&gt;""),+VLOOKUP(BD659,'פחתי מים לרשויות מצטרפות'!$A$12:$G$15,5,0)-VLOOKUP(BD11,'פחת מים וגביה'!$A:$D,4,0),0)</f>
        <v>0</v>
      </c>
      <c r="BE601" s="1049">
        <f>(+IF(BE555&gt;=2015,MAX(VLOOKUP(BE659,'פחתי מים לרשויות מצטרפות'!$A$11:$G$14,MAX($B$3-BE555,0)+3,0)-VLOOKUP(BE$1,'פחת מים וגביה'!$A:$D,4,0),0))*BE404/BE$425)+IF(AND(BE$7="חברה מנהלת",BE18&lt;&gt;""),+VLOOKUP(BE659,'פחתי מים לרשויות מצטרפות'!$A$12:$G$15,5,0)-VLOOKUP(BE11,'פחת מים וגביה'!$A:$D,4,0),0)</f>
        <v>0</v>
      </c>
      <c r="BF601" s="1049">
        <f>(+IF(BF555&gt;=2015,MAX(VLOOKUP(BF659,'פחתי מים לרשויות מצטרפות'!$A$11:$G$14,MAX($B$3-BF555,0)+3,0)-VLOOKUP(BF$1,'פחת מים וגביה'!$A:$D,4,0),0))*BF404/BF$425)+IF(AND(BF$7="חברה מנהלת",BF18&lt;&gt;""),+VLOOKUP(BF659,'פחתי מים לרשויות מצטרפות'!$A$12:$G$15,5,0)-VLOOKUP(BF11,'פחת מים וגביה'!$A:$D,4,0),0)</f>
        <v>0</v>
      </c>
    </row>
    <row r="602" spans="3:58" x14ac:dyDescent="0.2">
      <c r="C602" s="1049">
        <f>(+IF(C556&gt;=2015,MAX(VLOOKUP(C660,'פחתי מים לרשויות מצטרפות'!$A$11:$G$14,MAX($B$3-C556,0)+3,0)-VLOOKUP(C$1,'פחת מים וגביה'!$A:$D,4,0),0))*C405/C$425)+IF(AND(C$7="חברה מנהלת",C19&lt;&gt;""),+VLOOKUP(C660,'פחתי מים לרשויות מצטרפות'!$A$12:$G$15,5,0)-VLOOKUP(C12,'פחת מים וגביה'!$A:$D,4,0),0)</f>
        <v>0</v>
      </c>
      <c r="D602" s="1049">
        <f>(+IF(D556&gt;=2015,MAX(VLOOKUP(D660,'פחתי מים לרשויות מצטרפות'!$A$11:$G$14,MAX($B$3-D556,0)+3,0)-VLOOKUP(D$1,'פחת מים וגביה'!$A:$D,4,0),0))*D405/D$425)+IF(AND(D$7="חברה מנהלת",D19&lt;&gt;""),+VLOOKUP(D660,'פחתי מים לרשויות מצטרפות'!$A$12:$G$15,5,0)-VLOOKUP(D12,'פחת מים וגביה'!$A:$D,4,0),0)</f>
        <v>0</v>
      </c>
      <c r="E602" s="1049">
        <f>(+IF(E556&gt;=2015,MAX(VLOOKUP(E660,'פחתי מים לרשויות מצטרפות'!$A$11:$G$14,MAX($B$3-E556,0)+3,0)-VLOOKUP(E$1,'פחת מים וגביה'!$A:$D,4,0),0))*E405/E$425)+IF(AND(E$7="חברה מנהלת",E19&lt;&gt;""),+VLOOKUP(E660,'פחתי מים לרשויות מצטרפות'!$A$12:$G$15,5,0)-VLOOKUP(E12,'פחת מים וגביה'!$A:$D,4,0),0)</f>
        <v>0</v>
      </c>
      <c r="F602" s="1049">
        <f>(+IF(F556&gt;=2015,MAX(VLOOKUP(F660,'פחתי מים לרשויות מצטרפות'!$A$11:$G$14,MAX($B$3-F556,0)+3,0)-VLOOKUP(F$1,'פחת מים וגביה'!$A:$D,4,0),0))*F405/F$425)+IF(AND(F$7="חברה מנהלת",F19&lt;&gt;""),+VLOOKUP(F660,'פחתי מים לרשויות מצטרפות'!$A$12:$G$15,5,0)-VLOOKUP(F12,'פחת מים וגביה'!$A:$D,4,0),0)</f>
        <v>0</v>
      </c>
      <c r="G602" s="1049">
        <f>(+IF(G556&gt;=2015,MAX(VLOOKUP(G660,'פחתי מים לרשויות מצטרפות'!$A$11:$G$14,MAX($B$3-G556,0)+3,0)-VLOOKUP(G$1,'פחת מים וגביה'!$A:$D,4,0),0))*G405/G$425)+IF(AND(G$7="חברה מנהלת",G19&lt;&gt;""),+VLOOKUP(G660,'פחתי מים לרשויות מצטרפות'!$A$12:$G$15,5,0)-VLOOKUP(G12,'פחת מים וגביה'!$A:$D,4,0),0)</f>
        <v>0</v>
      </c>
      <c r="H602" s="1049">
        <f>(+IF(H556&gt;=2015,MAX(VLOOKUP(H660,'פחתי מים לרשויות מצטרפות'!$A$11:$G$14,MAX($B$3-H556,0)+3,0)-VLOOKUP(H$1,'פחת מים וגביה'!$A:$D,4,0),0))*H405/H$425)+IF(AND(H$7="חברה מנהלת",H19&lt;&gt;""),+VLOOKUP(H660,'פחתי מים לרשויות מצטרפות'!$A$12:$G$15,5,0)-VLOOKUP(H12,'פחת מים וגביה'!$A:$D,4,0),0)</f>
        <v>0</v>
      </c>
      <c r="I602" s="1049">
        <f>(+IF(I556&gt;=2015,MAX(VLOOKUP(I660,'פחתי מים לרשויות מצטרפות'!$A$11:$G$14,MAX($B$3-I556,0)+3,0)-VLOOKUP(I$1,'פחת מים וגביה'!$A:$D,4,0),0))*I405/I$425)+IF(AND(I$7="חברה מנהלת",I19&lt;&gt;""),+VLOOKUP(I660,'פחתי מים לרשויות מצטרפות'!$A$12:$G$15,5,0)-VLOOKUP(I12,'פחת מים וגביה'!$A:$D,4,0),0)</f>
        <v>0</v>
      </c>
      <c r="J602" s="1049">
        <f>(+IF(J556&gt;=2015,MAX(VLOOKUP(J660,'פחתי מים לרשויות מצטרפות'!$A$11:$G$14,MAX($B$3-J556,0)+3,0)-VLOOKUP(J$1,'פחת מים וגביה'!$A:$D,4,0),0))*J405/J$425)+IF(AND(J$7="חברה מנהלת",J19&lt;&gt;""),+VLOOKUP(J660,'פחתי מים לרשויות מצטרפות'!$A$12:$G$15,5,0)-VLOOKUP(J12,'פחת מים וגביה'!$A:$D,4,0),0)</f>
        <v>0</v>
      </c>
      <c r="K602" s="1049">
        <f>(+IF(K556&gt;=2015,MAX(VLOOKUP(K660,'פחתי מים לרשויות מצטרפות'!$A$11:$G$14,MAX($B$3-K556,0)+3,0)-VLOOKUP(K$1,'פחת מים וגביה'!$A:$D,4,0),0))*K405/K$425)+IF(AND(K$7="חברה מנהלת",K19&lt;&gt;""),+VLOOKUP(K660,'פחתי מים לרשויות מצטרפות'!$A$12:$G$15,5,0)-VLOOKUP(K12,'פחת מים וגביה'!$A:$D,4,0),0)</f>
        <v>0</v>
      </c>
      <c r="L602" s="1049">
        <f>(+IF(L556&gt;=2015,MAX(VLOOKUP(L660,'פחתי מים לרשויות מצטרפות'!$A$11:$G$14,MAX($B$3-L556,0)+3,0)-VLOOKUP(L$1,'פחת מים וגביה'!$A:$D,4,0),0))*L405/L$425)+IF(AND(L$7="חברה מנהלת",L19&lt;&gt;""),+VLOOKUP(L660,'פחתי מים לרשויות מצטרפות'!$A$12:$G$15,5,0)-VLOOKUP(L12,'פחת מים וגביה'!$A:$D,4,0),0)</f>
        <v>0</v>
      </c>
      <c r="M602" s="1049">
        <f>(+IF(M556&gt;=2015,MAX(VLOOKUP(M660,'פחתי מים לרשויות מצטרפות'!$A$11:$G$14,MAX($B$3-M556,0)+3,0)-VLOOKUP(M$1,'פחת מים וגביה'!$A:$D,4,0),0))*M405/M$425)+IF(AND(M$7="חברה מנהלת",M19&lt;&gt;""),+VLOOKUP(M660,'פחתי מים לרשויות מצטרפות'!$A$12:$G$15,5,0)-VLOOKUP(M12,'פחת מים וגביה'!$A:$D,4,0),0)</f>
        <v>0</v>
      </c>
      <c r="N602" s="1049">
        <f>(+IF(N556&gt;=2015,MAX(VLOOKUP(N660,'פחתי מים לרשויות מצטרפות'!$A$11:$G$14,MAX($B$3-N556,0)+3,0)-VLOOKUP(N$1,'פחת מים וגביה'!$A:$D,4,0),0))*N405/N$425)+IF(AND(N$7="חברה מנהלת",N19&lt;&gt;""),+VLOOKUP(N660,'פחתי מים לרשויות מצטרפות'!$A$12:$G$15,5,0)-VLOOKUP(N12,'פחת מים וגביה'!$A:$D,4,0),0)</f>
        <v>0</v>
      </c>
      <c r="O602" s="1049">
        <f>(+IF(O556&gt;=2015,MAX(VLOOKUP(O660,'פחתי מים לרשויות מצטרפות'!$A$11:$G$14,MAX($B$3-O556,0)+3,0)-VLOOKUP(O$1,'פחת מים וגביה'!$A:$D,4,0),0))*O405/O$425)+IF(AND(O$7="חברה מנהלת",O19&lt;&gt;""),+VLOOKUP(O660,'פחתי מים לרשויות מצטרפות'!$A$12:$G$15,5,0)-VLOOKUP(O12,'פחת מים וגביה'!$A:$D,4,0),0)</f>
        <v>0</v>
      </c>
      <c r="P602" s="1049">
        <f>(+IF(P556&gt;=2015,MAX(VLOOKUP(P660,'פחתי מים לרשויות מצטרפות'!$A$11:$G$14,MAX($B$3-P556,0)+3,0)-VLOOKUP(P$1,'פחת מים וגביה'!$A:$D,4,0),0))*P405/P$425)+IF(AND(P$7="חברה מנהלת",P19&lt;&gt;""),+VLOOKUP(P660,'פחתי מים לרשויות מצטרפות'!$A$12:$G$15,5,0)-VLOOKUP(P12,'פחת מים וגביה'!$A:$D,4,0),0)</f>
        <v>0</v>
      </c>
      <c r="Q602" s="1049">
        <f>(+IF(Q556&gt;=2015,MAX(VLOOKUP(Q660,'פחתי מים לרשויות מצטרפות'!$A$11:$G$14,MAX($B$3-Q556,0)+3,0)-VLOOKUP(Q$1,'פחת מים וגביה'!$A:$D,4,0),0))*Q405/Q$425)+IF(AND(Q$7="חברה מנהלת",Q19&lt;&gt;""),+VLOOKUP(Q660,'פחתי מים לרשויות מצטרפות'!$A$12:$G$15,5,0)-VLOOKUP(Q12,'פחת מים וגביה'!$A:$D,4,0),0)</f>
        <v>0</v>
      </c>
      <c r="R602" s="1049">
        <f>(+IF(R556&gt;=2015,MAX(VLOOKUP(R660,'פחתי מים לרשויות מצטרפות'!$A$11:$G$14,MAX($B$3-R556,0)+3,0)-VLOOKUP(R$1,'פחת מים וגביה'!$A:$D,4,0),0))*R405/R$425)+IF(AND(R$7="חברה מנהלת",R19&lt;&gt;""),+VLOOKUP(R660,'פחתי מים לרשויות מצטרפות'!$A$12:$G$15,5,0)-VLOOKUP(R12,'פחת מים וגביה'!$A:$D,4,0),0)</f>
        <v>0</v>
      </c>
      <c r="S602" s="1049">
        <f>(+IF(S556&gt;=2015,MAX(VLOOKUP(S660,'פחתי מים לרשויות מצטרפות'!$A$11:$G$14,MAX($B$3-S556,0)+3,0)-VLOOKUP(S$1,'פחת מים וגביה'!$A:$D,4,0),0))*S405/S$425)+IF(AND(S$7="חברה מנהלת",S19&lt;&gt;""),+VLOOKUP(S660,'פחתי מים לרשויות מצטרפות'!$A$12:$G$15,5,0)-VLOOKUP(S12,'פחת מים וגביה'!$A:$D,4,0),0)</f>
        <v>0</v>
      </c>
      <c r="T602" s="1049">
        <f>(+IF(T556&gt;=2015,MAX(VLOOKUP(T660,'פחתי מים לרשויות מצטרפות'!$A$11:$G$14,MAX($B$3-T556,0)+3,0)-VLOOKUP(T$1,'פחת מים וגביה'!$A:$D,4,0),0))*T405/T$425)+IF(AND(T$7="חברה מנהלת",T19&lt;&gt;""),+VLOOKUP(T660,'פחתי מים לרשויות מצטרפות'!$A$12:$G$15,5,0)-VLOOKUP(T12,'פחת מים וגביה'!$A:$D,4,0),0)</f>
        <v>0</v>
      </c>
      <c r="U602" s="1049">
        <f>(+IF(U556&gt;=2015,MAX(VLOOKUP(U660,'פחתי מים לרשויות מצטרפות'!$A$11:$G$14,MAX($B$3-U556,0)+3,0)-VLOOKUP(U$1,'פחת מים וגביה'!$A:$D,4,0),0))*U405/U$425)+IF(AND(U$7="חברה מנהלת",U19&lt;&gt;""),+VLOOKUP(U660,'פחתי מים לרשויות מצטרפות'!$A$12:$G$15,5,0)-VLOOKUP(U12,'פחת מים וגביה'!$A:$D,4,0),0)</f>
        <v>0</v>
      </c>
      <c r="V602" s="1049">
        <f>(+IF(V556&gt;=2015,MAX(VLOOKUP(V660,'פחתי מים לרשויות מצטרפות'!$A$11:$G$14,MAX($B$3-V556,0)+3,0)-VLOOKUP(V$1,'פחת מים וגביה'!$A:$D,4,0),0))*V405/V$425)+IF(AND(V$7="חברה מנהלת",V19&lt;&gt;""),+VLOOKUP(V660,'פחתי מים לרשויות מצטרפות'!$A$12:$G$15,5,0)-VLOOKUP(V12,'פחת מים וגביה'!$A:$D,4,0),0)</f>
        <v>0</v>
      </c>
      <c r="W602" s="1049">
        <f>(+IF(W556&gt;=2015,MAX(VLOOKUP(W660,'פחתי מים לרשויות מצטרפות'!$A$11:$G$14,MAX($B$3-W556,0)+3,0)-VLOOKUP(W$1,'פחת מים וגביה'!$A:$D,4,0),0))*W405/W$425)+IF(AND(W$7="חברה מנהלת",W19&lt;&gt;""),+VLOOKUP(W660,'פחתי מים לרשויות מצטרפות'!$A$12:$G$15,5,0)-VLOOKUP(W12,'פחת מים וגביה'!$A:$D,4,0),0)</f>
        <v>0</v>
      </c>
      <c r="X602" s="1049">
        <f>(+IF(X556&gt;=2015,MAX(VLOOKUP(X660,'פחתי מים לרשויות מצטרפות'!$A$11:$G$14,MAX($B$3-X556,0)+3,0)-VLOOKUP(X$1,'פחת מים וגביה'!$A:$D,4,0),0))*X405/X$425)+IF(AND(X$7="חברה מנהלת",X19&lt;&gt;""),+VLOOKUP(X660,'פחתי מים לרשויות מצטרפות'!$A$12:$G$15,5,0)-VLOOKUP(X12,'פחת מים וגביה'!$A:$D,4,0),0)</f>
        <v>0</v>
      </c>
      <c r="Y602" s="1049">
        <f>(+IF(Y556&gt;=2015,MAX(VLOOKUP(Y660,'פחתי מים לרשויות מצטרפות'!$A$11:$G$14,MAX($B$3-Y556,0)+3,0)-VLOOKUP(Y$1,'פחת מים וגביה'!$A:$D,4,0),0))*Y405/Y$425)+IF(AND(Y$7="חברה מנהלת",Y19&lt;&gt;""),+VLOOKUP(Y660,'פחתי מים לרשויות מצטרפות'!$A$12:$G$15,5,0)-VLOOKUP(Y12,'פחת מים וגביה'!$A:$D,4,0),0)</f>
        <v>0</v>
      </c>
      <c r="Z602" s="1049">
        <f>(+IF(Z556&gt;=2015,MAX(VLOOKUP(Z660,'פחתי מים לרשויות מצטרפות'!$A$11:$G$14,MAX($B$3-Z556,0)+3,0)-VLOOKUP(Z$1,'פחת מים וגביה'!$A:$D,4,0),0))*Z405/Z$425)+IF(AND(Z$7="חברה מנהלת",Z19&lt;&gt;""),+VLOOKUP(Z660,'פחתי מים לרשויות מצטרפות'!$A$12:$G$15,5,0)-VLOOKUP(Z12,'פחת מים וגביה'!$A:$D,4,0),0)</f>
        <v>0</v>
      </c>
      <c r="AA602" s="1049">
        <f>(+IF(AA556&gt;=2015,MAX(VLOOKUP(AA660,'פחתי מים לרשויות מצטרפות'!$A$11:$G$14,MAX($B$3-AA556,0)+3,0)-VLOOKUP(AA$1,'פחת מים וגביה'!$A:$D,4,0),0))*AA405/AA$425)+IF(AND(AA$7="חברה מנהלת",AA19&lt;&gt;""),+VLOOKUP(AA660,'פחתי מים לרשויות מצטרפות'!$A$12:$G$15,5,0)-VLOOKUP(AA12,'פחת מים וגביה'!$A:$D,4,0),0)</f>
        <v>0</v>
      </c>
      <c r="AB602" s="1049">
        <f>(+IF(AB556&gt;=2015,MAX(VLOOKUP(AB660,'פחתי מים לרשויות מצטרפות'!$A$11:$G$14,MAX($B$3-AB556,0)+3,0)-VLOOKUP(AB$1,'פחת מים וגביה'!$A:$D,4,0),0))*AB405/AB$425)+IF(AND(AB$7="חברה מנהלת",AB19&lt;&gt;""),+VLOOKUP(AB660,'פחתי מים לרשויות מצטרפות'!$A$12:$G$15,5,0)-VLOOKUP(AB12,'פחת מים וגביה'!$A:$D,4,0),0)</f>
        <v>0</v>
      </c>
      <c r="AC602" s="1049">
        <f>(+IF(AC556&gt;=2015,MAX(VLOOKUP(AC660,'פחתי מים לרשויות מצטרפות'!$A$11:$G$14,MAX($B$3-AC556,0)+3,0)-VLOOKUP(AC$1,'פחת מים וגביה'!$A:$D,4,0),0))*AC405/AC$425)+IF(AND(AC$7="חברה מנהלת",AC19&lt;&gt;""),+VLOOKUP(AC660,'פחתי מים לרשויות מצטרפות'!$A$12:$G$15,5,0)-VLOOKUP(AC12,'פחת מים וגביה'!$A:$D,4,0),0)</f>
        <v>0</v>
      </c>
      <c r="AD602" s="1049">
        <f>(+IF(AD556&gt;=2015,MAX(VLOOKUP(AD660,'פחתי מים לרשויות מצטרפות'!$A$11:$G$14,MAX($B$3-AD556,0)+3,0)-VLOOKUP(AD$1,'פחת מים וגביה'!$A:$D,4,0),0))*AD405/AD$425)+IF(AND(AD$7="חברה מנהלת",AD19&lt;&gt;""),+VLOOKUP(AD660,'פחתי מים לרשויות מצטרפות'!$A$12:$G$15,5,0)-VLOOKUP(AD12,'פחת מים וגביה'!$A:$D,4,0),0)</f>
        <v>0</v>
      </c>
      <c r="AE602" s="1049">
        <f>(+IF(AE556&gt;=2015,MAX(VLOOKUP(AE660,'פחתי מים לרשויות מצטרפות'!$A$11:$G$14,MAX($B$3-AE556,0)+3,0)-VLOOKUP(AE$1,'פחת מים וגביה'!$A:$D,4,0),0))*AE405/AE$425)+IF(AND(AE$7="חברה מנהלת",AE19&lt;&gt;""),+VLOOKUP(AE660,'פחתי מים לרשויות מצטרפות'!$A$12:$G$15,5,0)-VLOOKUP(AE12,'פחת מים וגביה'!$A:$D,4,0),0)</f>
        <v>0</v>
      </c>
      <c r="AF602" s="1049">
        <f>(+IF(AF556&gt;=2015,MAX(VLOOKUP(AF660,'פחתי מים לרשויות מצטרפות'!$A$11:$G$14,MAX($B$3-AF556,0)+3,0)-VLOOKUP(AF$1,'פחת מים וגביה'!$A:$D,4,0),0))*AF405/AF$425)+IF(AND(AF$7="חברה מנהלת",AF19&lt;&gt;""),+VLOOKUP(AF660,'פחתי מים לרשויות מצטרפות'!$A$12:$G$15,5,0)-VLOOKUP(AF12,'פחת מים וגביה'!$A:$D,4,0),0)</f>
        <v>0</v>
      </c>
      <c r="AG602" s="1049">
        <f>(+IF(AG556&gt;=2015,MAX(VLOOKUP(AG660,'פחתי מים לרשויות מצטרפות'!$A$11:$G$14,MAX($B$3-AG556,0)+3,0)-VLOOKUP(AG$1,'פחת מים וגביה'!$A:$D,4,0),0))*AG405/AG$425)+IF(AND(AG$7="חברה מנהלת",AG19&lt;&gt;""),+VLOOKUP(AG660,'פחתי מים לרשויות מצטרפות'!$A$12:$G$15,5,0)-VLOOKUP(AG12,'פחת מים וגביה'!$A:$D,4,0),0)</f>
        <v>0</v>
      </c>
      <c r="AH602" s="1049">
        <f>(+IF(AH556&gt;=2015,MAX(VLOOKUP(AH660,'פחתי מים לרשויות מצטרפות'!$A$11:$G$14,MAX($B$3-AH556,0)+3,0)-VLOOKUP(AH$1,'פחת מים וגביה'!$A:$D,4,0),0))*AH405/AH$425)+IF(AND(AH$7="חברה מנהלת",AH19&lt;&gt;""),+VLOOKUP(AH660,'פחתי מים לרשויות מצטרפות'!$A$12:$G$15,5,0)-VLOOKUP(AH12,'פחת מים וגביה'!$A:$D,4,0),0)</f>
        <v>0</v>
      </c>
      <c r="AI602" s="1049">
        <f>(+IF(AI556&gt;=2015,MAX(VLOOKUP(AI660,'פחתי מים לרשויות מצטרפות'!$A$11:$G$14,MAX($B$3-AI556,0)+3,0)-VLOOKUP(AI$1,'פחת מים וגביה'!$A:$D,4,0),0))*AI405/AI$425)+IF(AND(AI$7="חברה מנהלת",AI19&lt;&gt;""),+VLOOKUP(AI660,'פחתי מים לרשויות מצטרפות'!$A$12:$G$15,5,0)-VLOOKUP(AI12,'פחת מים וגביה'!$A:$D,4,0),0)</f>
        <v>0</v>
      </c>
      <c r="AJ602" s="1049">
        <f>(+IF(AJ556&gt;=2015,MAX(VLOOKUP(AJ660,'פחתי מים לרשויות מצטרפות'!$A$11:$G$14,MAX($B$3-AJ556,0)+3,0)-VLOOKUP(AJ$1,'פחת מים וגביה'!$A:$D,4,0),0))*AJ405/AJ$425)+IF(AND(AJ$7="חברה מנהלת",AJ19&lt;&gt;""),+VLOOKUP(AJ660,'פחתי מים לרשויות מצטרפות'!$A$12:$G$15,5,0)-VLOOKUP(AJ12,'פחת מים וגביה'!$A:$D,4,0),0)</f>
        <v>0</v>
      </c>
      <c r="AK602" s="1049">
        <f>(+IF(AK556&gt;=2015,MAX(VLOOKUP(AK660,'פחתי מים לרשויות מצטרפות'!$A$11:$G$14,MAX($B$3-AK556,0)+3,0)-VLOOKUP(AK$1,'פחת מים וגביה'!$A:$D,4,0),0))*AK405/AK$425)+IF(AND(AK$7="חברה מנהלת",AK19&lt;&gt;""),+VLOOKUP(AK660,'פחתי מים לרשויות מצטרפות'!$A$12:$G$15,5,0)-VLOOKUP(AK12,'פחת מים וגביה'!$A:$D,4,0),0)</f>
        <v>0</v>
      </c>
      <c r="AL602" s="1049">
        <f>(+IF(AL556&gt;=2015,MAX(VLOOKUP(AL660,'פחתי מים לרשויות מצטרפות'!$A$11:$G$14,MAX($B$3-AL556,0)+3,0)-VLOOKUP(AL$1,'פחת מים וגביה'!$A:$D,4,0),0))*AL405/AL$425)+IF(AND(AL$7="חברה מנהלת",AL19&lt;&gt;""),+VLOOKUP(AL660,'פחתי מים לרשויות מצטרפות'!$A$12:$G$15,5,0)-VLOOKUP(AL12,'פחת מים וגביה'!$A:$D,4,0),0)</f>
        <v>0</v>
      </c>
      <c r="AM602" s="1049">
        <f>(+IF(AM556&gt;=2015,MAX(VLOOKUP(AM660,'פחתי מים לרשויות מצטרפות'!$A$11:$G$14,MAX($B$3-AM556,0)+3,0)-VLOOKUP(AM$1,'פחת מים וגביה'!$A:$D,4,0),0))*AM405/AM$425)+IF(AND(AM$7="חברה מנהלת",AM19&lt;&gt;""),+VLOOKUP(AM660,'פחתי מים לרשויות מצטרפות'!$A$12:$G$15,5,0)-VLOOKUP(AM12,'פחת מים וגביה'!$A:$D,4,0),0)</f>
        <v>0</v>
      </c>
      <c r="AN602" s="1049">
        <f>(+IF(AN556&gt;=2015,MAX(VLOOKUP(AN660,'פחתי מים לרשויות מצטרפות'!$A$11:$G$14,MAX($B$3-AN556,0)+3,0)-VLOOKUP(AN$1,'פחת מים וגביה'!$A:$D,4,0),0))*AN405/AN$425)+IF(AND(AN$7="חברה מנהלת",AN19&lt;&gt;""),+VLOOKUP(AN660,'פחתי מים לרשויות מצטרפות'!$A$12:$G$15,5,0)-VLOOKUP(AN12,'פחת מים וגביה'!$A:$D,4,0),0)</f>
        <v>0</v>
      </c>
      <c r="AO602" s="1049">
        <f>(+IF(AO556&gt;=2015,MAX(VLOOKUP(AO660,'פחתי מים לרשויות מצטרפות'!$A$11:$G$14,MAX($B$3-AO556,0)+3,0)-VLOOKUP(AO$1,'פחת מים וגביה'!$A:$D,4,0),0))*AO405/AO$425)+IF(AND(AO$7="חברה מנהלת",AO19&lt;&gt;""),+VLOOKUP(AO660,'פחתי מים לרשויות מצטרפות'!$A$12:$G$15,5,0)-VLOOKUP(AO12,'פחת מים וגביה'!$A:$D,4,0),0)</f>
        <v>0</v>
      </c>
      <c r="AP602" s="1049">
        <f>(+IF(AP556&gt;=2015,MAX(VLOOKUP(AP660,'פחתי מים לרשויות מצטרפות'!$A$11:$G$14,MAX($B$3-AP556,0)+3,0)-VLOOKUP(AP$1,'פחת מים וגביה'!$A:$D,4,0),0))*AP405/AP$425)+IF(AND(AP$7="חברה מנהלת",AP19&lt;&gt;""),+VLOOKUP(AP660,'פחתי מים לרשויות מצטרפות'!$A$12:$G$15,5,0)-VLOOKUP(AP12,'פחת מים וגביה'!$A:$D,4,0),0)</f>
        <v>0</v>
      </c>
      <c r="AQ602" s="1049">
        <f>(+IF(AQ556&gt;=2015,MAX(VLOOKUP(AQ660,'פחתי מים לרשויות מצטרפות'!$A$11:$G$14,MAX($B$3-AQ556,0)+3,0)-VLOOKUP(AQ$1,'פחת מים וגביה'!$A:$D,4,0),0))*AQ405/AQ$425)+IF(AND(AQ$7="חברה מנהלת",AQ19&lt;&gt;""),+VLOOKUP(AQ660,'פחתי מים לרשויות מצטרפות'!$A$12:$G$15,5,0)-VLOOKUP(AQ12,'פחת מים וגביה'!$A:$D,4,0),0)</f>
        <v>0</v>
      </c>
      <c r="AR602" s="1049">
        <f>(+IF(AR556&gt;=2015,MAX(VLOOKUP(AR660,'פחתי מים לרשויות מצטרפות'!$A$11:$G$14,MAX($B$3-AR556,0)+3,0)-VLOOKUP(AR$1,'פחת מים וגביה'!$A:$D,4,0),0))*AR405/AR$425)+IF(AND(AR$7="חברה מנהלת",AR19&lt;&gt;""),+VLOOKUP(AR660,'פחתי מים לרשויות מצטרפות'!$A$12:$G$15,5,0)-VLOOKUP(AR12,'פחת מים וגביה'!$A:$D,4,0),0)</f>
        <v>0</v>
      </c>
      <c r="AS602" s="1049">
        <f>(+IF(AS556&gt;=2015,MAX(VLOOKUP(AS660,'פחתי מים לרשויות מצטרפות'!$A$11:$G$14,MAX($B$3-AS556,0)+3,0)-VLOOKUP(AS$1,'פחת מים וגביה'!$A:$D,4,0),0))*AS405/AS$425)+IF(AND(AS$7="חברה מנהלת",AS19&lt;&gt;""),+VLOOKUP(AS660,'פחתי מים לרשויות מצטרפות'!$A$12:$G$15,5,0)-VLOOKUP(AS12,'פחת מים וגביה'!$A:$D,4,0),0)</f>
        <v>0</v>
      </c>
      <c r="AT602" s="1049">
        <f>(+IF(AT556&gt;=2015,MAX(VLOOKUP(AT660,'פחתי מים לרשויות מצטרפות'!$A$11:$G$14,MAX($B$3-AT556,0)+3,0)-VLOOKUP(AT$1,'פחת מים וגביה'!$A:$D,4,0),0))*AT405/AT$425)+IF(AND(AT$7="חברה מנהלת",AT19&lt;&gt;""),+VLOOKUP(AT660,'פחתי מים לרשויות מצטרפות'!$A$12:$G$15,5,0)-VLOOKUP(AT12,'פחת מים וגביה'!$A:$D,4,0),0)</f>
        <v>0</v>
      </c>
      <c r="AU602" s="1049">
        <f>(+IF(AU556&gt;=2015,MAX(VLOOKUP(AU660,'פחתי מים לרשויות מצטרפות'!$A$11:$G$14,MAX($B$3-AU556,0)+3,0)-VLOOKUP(AU$1,'פחת מים וגביה'!$A:$D,4,0),0))*AU405/AU$425)+IF(AND(AU$7="חברה מנהלת",AU19&lt;&gt;""),+VLOOKUP(AU660,'פחתי מים לרשויות מצטרפות'!$A$12:$G$15,5,0)-VLOOKUP(AU12,'פחת מים וגביה'!$A:$D,4,0),0)</f>
        <v>0</v>
      </c>
      <c r="AV602" s="1049">
        <f>(+IF(AV556&gt;=2015,MAX(VLOOKUP(AV660,'פחתי מים לרשויות מצטרפות'!$A$11:$G$14,MAX($B$3-AV556,0)+3,0)-VLOOKUP(AV$1,'פחת מים וגביה'!$A:$D,4,0),0))*AV405/AV$425)+IF(AND(AV$7="חברה מנהלת",AV19&lt;&gt;""),+VLOOKUP(AV660,'פחתי מים לרשויות מצטרפות'!$A$12:$G$15,5,0)-VLOOKUP(AV12,'פחת מים וגביה'!$A:$D,4,0),0)</f>
        <v>0</v>
      </c>
      <c r="AW602" s="1049">
        <f>(+IF(AW556&gt;=2015,MAX(VLOOKUP(AW660,'פחתי מים לרשויות מצטרפות'!$A$11:$G$14,MAX($B$3-AW556,0)+3,0)-VLOOKUP(AW$1,'פחת מים וגביה'!$A:$D,4,0),0))*AW405/AW$425)+IF(AND(AW$7="חברה מנהלת",AW19&lt;&gt;""),+VLOOKUP(AW660,'פחתי מים לרשויות מצטרפות'!$A$12:$G$15,5,0)-VLOOKUP(AW12,'פחת מים וגביה'!$A:$D,4,0),0)</f>
        <v>0</v>
      </c>
      <c r="AX602" s="1049">
        <f>(+IF(AX556&gt;=2015,MAX(VLOOKUP(AX660,'פחתי מים לרשויות מצטרפות'!$A$11:$G$14,MAX($B$3-AX556,0)+3,0)-VLOOKUP(AX$1,'פחת מים וגביה'!$A:$D,4,0),0))*AX405/AX$425)+IF(AND(AX$7="חברה מנהלת",AX19&lt;&gt;""),+VLOOKUP(AX660,'פחתי מים לרשויות מצטרפות'!$A$12:$G$15,5,0)-VLOOKUP(AX12,'פחת מים וגביה'!$A:$D,4,0),0)</f>
        <v>0</v>
      </c>
      <c r="AY602" s="1049">
        <f>(+IF(AY556&gt;=2015,MAX(VLOOKUP(AY660,'פחתי מים לרשויות מצטרפות'!$A$11:$G$14,MAX($B$3-AY556,0)+3,0)-VLOOKUP(AY$1,'פחת מים וגביה'!$A:$D,4,0),0))*AY405/AY$425)+IF(AND(AY$7="חברה מנהלת",AY19&lt;&gt;""),+VLOOKUP(AY660,'פחתי מים לרשויות מצטרפות'!$A$12:$G$15,5,0)-VLOOKUP(AY12,'פחת מים וגביה'!$A:$D,4,0),0)</f>
        <v>0</v>
      </c>
      <c r="AZ602" s="1049">
        <f>(+IF(AZ556&gt;=2015,MAX(VLOOKUP(AZ660,'פחתי מים לרשויות מצטרפות'!$A$11:$G$14,MAX($B$3-AZ556,0)+3,0)-VLOOKUP(AZ$1,'פחת מים וגביה'!$A:$D,4,0),0))*AZ405/AZ$425)+IF(AND(AZ$7="חברה מנהלת",AZ19&lt;&gt;""),+VLOOKUP(AZ660,'פחתי מים לרשויות מצטרפות'!$A$12:$G$15,5,0)-VLOOKUP(AZ12,'פחת מים וגביה'!$A:$D,4,0),0)</f>
        <v>0</v>
      </c>
      <c r="BA602" s="1049">
        <f>(+IF(BA556&gt;=2015,MAX(VLOOKUP(BA660,'פחתי מים לרשויות מצטרפות'!$A$11:$G$14,MAX($B$3-BA556,0)+3,0)-VLOOKUP(BA$1,'פחת מים וגביה'!$A:$D,4,0),0))*BA405/BA$425)+IF(AND(BA$7="חברה מנהלת",BA19&lt;&gt;""),+VLOOKUP(BA660,'פחתי מים לרשויות מצטרפות'!$A$12:$G$15,5,0)-VLOOKUP(BA12,'פחת מים וגביה'!$A:$D,4,0),0)</f>
        <v>0</v>
      </c>
      <c r="BB602" s="1049">
        <f>(+IF(BB556&gt;=2015,MAX(VLOOKUP(BB660,'פחתי מים לרשויות מצטרפות'!$A$11:$G$14,MAX($B$3-BB556,0)+3,0)-VLOOKUP(BB$1,'פחת מים וגביה'!$A:$D,4,0),0))*BB405/BB$425)+IF(AND(BB$7="חברה מנהלת",BB19&lt;&gt;""),+VLOOKUP(BB660,'פחתי מים לרשויות מצטרפות'!$A$12:$G$15,5,0)-VLOOKUP(BB12,'פחת מים וגביה'!$A:$D,4,0),0)</f>
        <v>0</v>
      </c>
      <c r="BC602" s="1049">
        <f>(+IF(BC556&gt;=2015,MAX(VLOOKUP(BC660,'פחתי מים לרשויות מצטרפות'!$A$11:$G$14,MAX($B$3-BC556,0)+3,0)-VLOOKUP(BC$1,'פחת מים וגביה'!$A:$D,4,0),0))*BC405/BC$425)+IF(AND(BC$7="חברה מנהלת",BC19&lt;&gt;""),+VLOOKUP(BC660,'פחתי מים לרשויות מצטרפות'!$A$12:$G$15,5,0)-VLOOKUP(BC12,'פחת מים וגביה'!$A:$D,4,0),0)</f>
        <v>0</v>
      </c>
      <c r="BD602" s="1049">
        <f>(+IF(BD556&gt;=2015,MAX(VLOOKUP(BD660,'פחתי מים לרשויות מצטרפות'!$A$11:$G$14,MAX($B$3-BD556,0)+3,0)-VLOOKUP(BD$1,'פחת מים וגביה'!$A:$D,4,0),0))*BD405/BD$425)+IF(AND(BD$7="חברה מנהלת",BD19&lt;&gt;""),+VLOOKUP(BD660,'פחתי מים לרשויות מצטרפות'!$A$12:$G$15,5,0)-VLOOKUP(BD12,'פחת מים וגביה'!$A:$D,4,0),0)</f>
        <v>0</v>
      </c>
      <c r="BE602" s="1049">
        <f>(+IF(BE556&gt;=2015,MAX(VLOOKUP(BE660,'פחתי מים לרשויות מצטרפות'!$A$11:$G$14,MAX($B$3-BE556,0)+3,0)-VLOOKUP(BE$1,'פחת מים וגביה'!$A:$D,4,0),0))*BE405/BE$425)+IF(AND(BE$7="חברה מנהלת",BE19&lt;&gt;""),+VLOOKUP(BE660,'פחתי מים לרשויות מצטרפות'!$A$12:$G$15,5,0)-VLOOKUP(BE12,'פחת מים וגביה'!$A:$D,4,0),0)</f>
        <v>0</v>
      </c>
      <c r="BF602" s="1049">
        <f>(+IF(BF556&gt;=2015,MAX(VLOOKUP(BF660,'פחתי מים לרשויות מצטרפות'!$A$11:$G$14,MAX($B$3-BF556,0)+3,0)-VLOOKUP(BF$1,'פחת מים וגביה'!$A:$D,4,0),0))*BF405/BF$425)+IF(AND(BF$7="חברה מנהלת",BF19&lt;&gt;""),+VLOOKUP(BF660,'פחתי מים לרשויות מצטרפות'!$A$12:$G$15,5,0)-VLOOKUP(BF12,'פחת מים וגביה'!$A:$D,4,0),0)</f>
        <v>0</v>
      </c>
    </row>
    <row r="603" spans="3:58" x14ac:dyDescent="0.2">
      <c r="C603" s="1049">
        <f>(+IF(C557&gt;=2015,MAX(VLOOKUP(C661,'פחתי מים לרשויות מצטרפות'!$A$11:$G$14,MAX($B$3-C557,0)+3,0)-VLOOKUP(C$1,'פחת מים וגביה'!$A:$D,4,0),0))*C406/C$425)+IF(AND(C$7="חברה מנהלת",C20&lt;&gt;""),+VLOOKUP(C661,'פחתי מים לרשויות מצטרפות'!$A$12:$G$15,5,0)-VLOOKUP(C13,'פחת מים וגביה'!$A:$D,4,0),0)</f>
        <v>0</v>
      </c>
      <c r="D603" s="1049">
        <f>(+IF(D557&gt;=2015,MAX(VLOOKUP(D661,'פחתי מים לרשויות מצטרפות'!$A$11:$G$14,MAX($B$3-D557,0)+3,0)-VLOOKUP(D$1,'פחת מים וגביה'!$A:$D,4,0),0))*D406/D$425)+IF(AND(D$7="חברה מנהלת",D20&lt;&gt;""),+VLOOKUP(D661,'פחתי מים לרשויות מצטרפות'!$A$12:$G$15,5,0)-VLOOKUP(D13,'פחת מים וגביה'!$A:$D,4,0),0)</f>
        <v>0</v>
      </c>
      <c r="E603" s="1049">
        <f>(+IF(E557&gt;=2015,MAX(VLOOKUP(E661,'פחתי מים לרשויות מצטרפות'!$A$11:$G$14,MAX($B$3-E557,0)+3,0)-VLOOKUP(E$1,'פחת מים וגביה'!$A:$D,4,0),0))*E406/E$425)+IF(AND(E$7="חברה מנהלת",E20&lt;&gt;""),+VLOOKUP(E661,'פחתי מים לרשויות מצטרפות'!$A$12:$G$15,5,0)-VLOOKUP(E13,'פחת מים וגביה'!$A:$D,4,0),0)</f>
        <v>0</v>
      </c>
      <c r="F603" s="1049">
        <f>(+IF(F557&gt;=2015,MAX(VLOOKUP(F661,'פחתי מים לרשויות מצטרפות'!$A$11:$G$14,MAX($B$3-F557,0)+3,0)-VLOOKUP(F$1,'פחת מים וגביה'!$A:$D,4,0),0))*F406/F$425)+IF(AND(F$7="חברה מנהלת",F20&lt;&gt;""),+VLOOKUP(F661,'פחתי מים לרשויות מצטרפות'!$A$12:$G$15,5,0)-VLOOKUP(F13,'פחת מים וגביה'!$A:$D,4,0),0)</f>
        <v>0</v>
      </c>
      <c r="G603" s="1049">
        <f>(+IF(G557&gt;=2015,MAX(VLOOKUP(G661,'פחתי מים לרשויות מצטרפות'!$A$11:$G$14,MAX($B$3-G557,0)+3,0)-VLOOKUP(G$1,'פחת מים וגביה'!$A:$D,4,0),0))*G406/G$425)+IF(AND(G$7="חברה מנהלת",G20&lt;&gt;""),+VLOOKUP(G661,'פחתי מים לרשויות מצטרפות'!$A$12:$G$15,5,0)-VLOOKUP(G13,'פחת מים וגביה'!$A:$D,4,0),0)</f>
        <v>0</v>
      </c>
      <c r="H603" s="1049">
        <f>(+IF(H557&gt;=2015,MAX(VLOOKUP(H661,'פחתי מים לרשויות מצטרפות'!$A$11:$G$14,MAX($B$3-H557,0)+3,0)-VLOOKUP(H$1,'פחת מים וגביה'!$A:$D,4,0),0))*H406/H$425)+IF(AND(H$7="חברה מנהלת",H20&lt;&gt;""),+VLOOKUP(H661,'פחתי מים לרשויות מצטרפות'!$A$12:$G$15,5,0)-VLOOKUP(H13,'פחת מים וגביה'!$A:$D,4,0),0)</f>
        <v>0</v>
      </c>
      <c r="I603" s="1049">
        <f>(+IF(I557&gt;=2015,MAX(VLOOKUP(I661,'פחתי מים לרשויות מצטרפות'!$A$11:$G$14,MAX($B$3-I557,0)+3,0)-VLOOKUP(I$1,'פחת מים וגביה'!$A:$D,4,0),0))*I406/I$425)+IF(AND(I$7="חברה מנהלת",I20&lt;&gt;""),+VLOOKUP(I661,'פחתי מים לרשויות מצטרפות'!$A$12:$G$15,5,0)-VLOOKUP(I13,'פחת מים וגביה'!$A:$D,4,0),0)</f>
        <v>0</v>
      </c>
      <c r="J603" s="1049">
        <f>(+IF(J557&gt;=2015,MAX(VLOOKUP(J661,'פחתי מים לרשויות מצטרפות'!$A$11:$G$14,MAX($B$3-J557,0)+3,0)-VLOOKUP(J$1,'פחת מים וגביה'!$A:$D,4,0),0))*J406/J$425)+IF(AND(J$7="חברה מנהלת",J20&lt;&gt;""),+VLOOKUP(J661,'פחתי מים לרשויות מצטרפות'!$A$12:$G$15,5,0)-VLOOKUP(J13,'פחת מים וגביה'!$A:$D,4,0),0)</f>
        <v>0</v>
      </c>
      <c r="K603" s="1049">
        <f>(+IF(K557&gt;=2015,MAX(VLOOKUP(K661,'פחתי מים לרשויות מצטרפות'!$A$11:$G$14,MAX($B$3-K557,0)+3,0)-VLOOKUP(K$1,'פחת מים וגביה'!$A:$D,4,0),0))*K406/K$425)+IF(AND(K$7="חברה מנהלת",K20&lt;&gt;""),+VLOOKUP(K661,'פחתי מים לרשויות מצטרפות'!$A$12:$G$15,5,0)-VLOOKUP(K13,'פחת מים וגביה'!$A:$D,4,0),0)</f>
        <v>0</v>
      </c>
      <c r="L603" s="1049">
        <f>(+IF(L557&gt;=2015,MAX(VLOOKUP(L661,'פחתי מים לרשויות מצטרפות'!$A$11:$G$14,MAX($B$3-L557,0)+3,0)-VLOOKUP(L$1,'פחת מים וגביה'!$A:$D,4,0),0))*L406/L$425)+IF(AND(L$7="חברה מנהלת",L20&lt;&gt;""),+VLOOKUP(L661,'פחתי מים לרשויות מצטרפות'!$A$12:$G$15,5,0)-VLOOKUP(L13,'פחת מים וגביה'!$A:$D,4,0),0)</f>
        <v>0</v>
      </c>
      <c r="M603" s="1049">
        <f>(+IF(M557&gt;=2015,MAX(VLOOKUP(M661,'פחתי מים לרשויות מצטרפות'!$A$11:$G$14,MAX($B$3-M557,0)+3,0)-VLOOKUP(M$1,'פחת מים וגביה'!$A:$D,4,0),0))*M406/M$425)+IF(AND(M$7="חברה מנהלת",M20&lt;&gt;""),+VLOOKUP(M661,'פחתי מים לרשויות מצטרפות'!$A$12:$G$15,5,0)-VLOOKUP(M13,'פחת מים וגביה'!$A:$D,4,0),0)</f>
        <v>0</v>
      </c>
      <c r="N603" s="1049">
        <f>(+IF(N557&gt;=2015,MAX(VLOOKUP(N661,'פחתי מים לרשויות מצטרפות'!$A$11:$G$14,MAX($B$3-N557,0)+3,0)-VLOOKUP(N$1,'פחת מים וגביה'!$A:$D,4,0),0))*N406/N$425)+IF(AND(N$7="חברה מנהלת",N20&lt;&gt;""),+VLOOKUP(N661,'פחתי מים לרשויות מצטרפות'!$A$12:$G$15,5,0)-VLOOKUP(N13,'פחת מים וגביה'!$A:$D,4,0),0)</f>
        <v>0</v>
      </c>
      <c r="O603" s="1049">
        <f>(+IF(O557&gt;=2015,MAX(VLOOKUP(O661,'פחתי מים לרשויות מצטרפות'!$A$11:$G$14,MAX($B$3-O557,0)+3,0)-VLOOKUP(O$1,'פחת מים וגביה'!$A:$D,4,0),0))*O406/O$425)+IF(AND(O$7="חברה מנהלת",O20&lt;&gt;""),+VLOOKUP(O661,'פחתי מים לרשויות מצטרפות'!$A$12:$G$15,5,0)-VLOOKUP(O13,'פחת מים וגביה'!$A:$D,4,0),0)</f>
        <v>0</v>
      </c>
      <c r="P603" s="1049">
        <f>(+IF(P557&gt;=2015,MAX(VLOOKUP(P661,'פחתי מים לרשויות מצטרפות'!$A$11:$G$14,MAX($B$3-P557,0)+3,0)-VLOOKUP(P$1,'פחת מים וגביה'!$A:$D,4,0),0))*P406/P$425)+IF(AND(P$7="חברה מנהלת",P20&lt;&gt;""),+VLOOKUP(P661,'פחתי מים לרשויות מצטרפות'!$A$12:$G$15,5,0)-VLOOKUP(P13,'פחת מים וגביה'!$A:$D,4,0),0)</f>
        <v>0</v>
      </c>
      <c r="Q603" s="1049">
        <f>(+IF(Q557&gt;=2015,MAX(VLOOKUP(Q661,'פחתי מים לרשויות מצטרפות'!$A$11:$G$14,MAX($B$3-Q557,0)+3,0)-VLOOKUP(Q$1,'פחת מים וגביה'!$A:$D,4,0),0))*Q406/Q$425)+IF(AND(Q$7="חברה מנהלת",Q20&lt;&gt;""),+VLOOKUP(Q661,'פחתי מים לרשויות מצטרפות'!$A$12:$G$15,5,0)-VLOOKUP(Q13,'פחת מים וגביה'!$A:$D,4,0),0)</f>
        <v>0</v>
      </c>
      <c r="R603" s="1049">
        <f>(+IF(R557&gt;=2015,MAX(VLOOKUP(R661,'פחתי מים לרשויות מצטרפות'!$A$11:$G$14,MAX($B$3-R557,0)+3,0)-VLOOKUP(R$1,'פחת מים וגביה'!$A:$D,4,0),0))*R406/R$425)+IF(AND(R$7="חברה מנהלת",R20&lt;&gt;""),+VLOOKUP(R661,'פחתי מים לרשויות מצטרפות'!$A$12:$G$15,5,0)-VLOOKUP(R13,'פחת מים וגביה'!$A:$D,4,0),0)</f>
        <v>0</v>
      </c>
      <c r="S603" s="1049">
        <f>(+IF(S557&gt;=2015,MAX(VLOOKUP(S661,'פחתי מים לרשויות מצטרפות'!$A$11:$G$14,MAX($B$3-S557,0)+3,0)-VLOOKUP(S$1,'פחת מים וגביה'!$A:$D,4,0),0))*S406/S$425)+IF(AND(S$7="חברה מנהלת",S20&lt;&gt;""),+VLOOKUP(S661,'פחתי מים לרשויות מצטרפות'!$A$12:$G$15,5,0)-VLOOKUP(S13,'פחת מים וגביה'!$A:$D,4,0),0)</f>
        <v>0</v>
      </c>
      <c r="T603" s="1049">
        <f>(+IF(T557&gt;=2015,MAX(VLOOKUP(T661,'פחתי מים לרשויות מצטרפות'!$A$11:$G$14,MAX($B$3-T557,0)+3,0)-VLOOKUP(T$1,'פחת מים וגביה'!$A:$D,4,0),0))*T406/T$425)+IF(AND(T$7="חברה מנהלת",T20&lt;&gt;""),+VLOOKUP(T661,'פחתי מים לרשויות מצטרפות'!$A$12:$G$15,5,0)-VLOOKUP(T13,'פחת מים וגביה'!$A:$D,4,0),0)</f>
        <v>0</v>
      </c>
      <c r="U603" s="1049">
        <f>(+IF(U557&gt;=2015,MAX(VLOOKUP(U661,'פחתי מים לרשויות מצטרפות'!$A$11:$G$14,MAX($B$3-U557,0)+3,0)-VLOOKUP(U$1,'פחת מים וגביה'!$A:$D,4,0),0))*U406/U$425)+IF(AND(U$7="חברה מנהלת",U20&lt;&gt;""),+VLOOKUP(U661,'פחתי מים לרשויות מצטרפות'!$A$12:$G$15,5,0)-VLOOKUP(U13,'פחת מים וגביה'!$A:$D,4,0),0)</f>
        <v>0</v>
      </c>
      <c r="V603" s="1049">
        <f>(+IF(V557&gt;=2015,MAX(VLOOKUP(V661,'פחתי מים לרשויות מצטרפות'!$A$11:$G$14,MAX($B$3-V557,0)+3,0)-VLOOKUP(V$1,'פחת מים וגביה'!$A:$D,4,0),0))*V406/V$425)+IF(AND(V$7="חברה מנהלת",V20&lt;&gt;""),+VLOOKUP(V661,'פחתי מים לרשויות מצטרפות'!$A$12:$G$15,5,0)-VLOOKUP(V13,'פחת מים וגביה'!$A:$D,4,0),0)</f>
        <v>0</v>
      </c>
      <c r="W603" s="1049">
        <f>(+IF(W557&gt;=2015,MAX(VLOOKUP(W661,'פחתי מים לרשויות מצטרפות'!$A$11:$G$14,MAX($B$3-W557,0)+3,0)-VLOOKUP(W$1,'פחת מים וגביה'!$A:$D,4,0),0))*W406/W$425)+IF(AND(W$7="חברה מנהלת",W20&lt;&gt;""),+VLOOKUP(W661,'פחתי מים לרשויות מצטרפות'!$A$12:$G$15,5,0)-VLOOKUP(W13,'פחת מים וגביה'!$A:$D,4,0),0)</f>
        <v>0</v>
      </c>
      <c r="X603" s="1049">
        <f>(+IF(X557&gt;=2015,MAX(VLOOKUP(X661,'פחתי מים לרשויות מצטרפות'!$A$11:$G$14,MAX($B$3-X557,0)+3,0)-VLOOKUP(X$1,'פחת מים וגביה'!$A:$D,4,0),0))*X406/X$425)+IF(AND(X$7="חברה מנהלת",X20&lt;&gt;""),+VLOOKUP(X661,'פחתי מים לרשויות מצטרפות'!$A$12:$G$15,5,0)-VLOOKUP(X13,'פחת מים וגביה'!$A:$D,4,0),0)</f>
        <v>0</v>
      </c>
      <c r="Y603" s="1049">
        <f>(+IF(Y557&gt;=2015,MAX(VLOOKUP(Y661,'פחתי מים לרשויות מצטרפות'!$A$11:$G$14,MAX($B$3-Y557,0)+3,0)-VLOOKUP(Y$1,'פחת מים וגביה'!$A:$D,4,0),0))*Y406/Y$425)+IF(AND(Y$7="חברה מנהלת",Y20&lt;&gt;""),+VLOOKUP(Y661,'פחתי מים לרשויות מצטרפות'!$A$12:$G$15,5,0)-VLOOKUP(Y13,'פחת מים וגביה'!$A:$D,4,0),0)</f>
        <v>0</v>
      </c>
      <c r="Z603" s="1049">
        <f>(+IF(Z557&gt;=2015,MAX(VLOOKUP(Z661,'פחתי מים לרשויות מצטרפות'!$A$11:$G$14,MAX($B$3-Z557,0)+3,0)-VLOOKUP(Z$1,'פחת מים וגביה'!$A:$D,4,0),0))*Z406/Z$425)+IF(AND(Z$7="חברה מנהלת",Z20&lt;&gt;""),+VLOOKUP(Z661,'פחתי מים לרשויות מצטרפות'!$A$12:$G$15,5,0)-VLOOKUP(Z13,'פחת מים וגביה'!$A:$D,4,0),0)</f>
        <v>0</v>
      </c>
      <c r="AA603" s="1049">
        <f>(+IF(AA557&gt;=2015,MAX(VLOOKUP(AA661,'פחתי מים לרשויות מצטרפות'!$A$11:$G$14,MAX($B$3-AA557,0)+3,0)-VLOOKUP(AA$1,'פחת מים וגביה'!$A:$D,4,0),0))*AA406/AA$425)+IF(AND(AA$7="חברה מנהלת",AA20&lt;&gt;""),+VLOOKUP(AA661,'פחתי מים לרשויות מצטרפות'!$A$12:$G$15,5,0)-VLOOKUP(AA13,'פחת מים וגביה'!$A:$D,4,0),0)</f>
        <v>0</v>
      </c>
      <c r="AB603" s="1049">
        <f>(+IF(AB557&gt;=2015,MAX(VLOOKUP(AB661,'פחתי מים לרשויות מצטרפות'!$A$11:$G$14,MAX($B$3-AB557,0)+3,0)-VLOOKUP(AB$1,'פחת מים וגביה'!$A:$D,4,0),0))*AB406/AB$425)+IF(AND(AB$7="חברה מנהלת",AB20&lt;&gt;""),+VLOOKUP(AB661,'פחתי מים לרשויות מצטרפות'!$A$12:$G$15,5,0)-VLOOKUP(AB13,'פחת מים וגביה'!$A:$D,4,0),0)</f>
        <v>0</v>
      </c>
      <c r="AC603" s="1049">
        <f>(+IF(AC557&gt;=2015,MAX(VLOOKUP(AC661,'פחתי מים לרשויות מצטרפות'!$A$11:$G$14,MAX($B$3-AC557,0)+3,0)-VLOOKUP(AC$1,'פחת מים וגביה'!$A:$D,4,0),0))*AC406/AC$425)+IF(AND(AC$7="חברה מנהלת",AC20&lt;&gt;""),+VLOOKUP(AC661,'פחתי מים לרשויות מצטרפות'!$A$12:$G$15,5,0)-VLOOKUP(AC13,'פחת מים וגביה'!$A:$D,4,0),0)</f>
        <v>0</v>
      </c>
      <c r="AD603" s="1049">
        <f>(+IF(AD557&gt;=2015,MAX(VLOOKUP(AD661,'פחתי מים לרשויות מצטרפות'!$A$11:$G$14,MAX($B$3-AD557,0)+3,0)-VLOOKUP(AD$1,'פחת מים וגביה'!$A:$D,4,0),0))*AD406/AD$425)+IF(AND(AD$7="חברה מנהלת",AD20&lt;&gt;""),+VLOOKUP(AD661,'פחתי מים לרשויות מצטרפות'!$A$12:$G$15,5,0)-VLOOKUP(AD13,'פחת מים וגביה'!$A:$D,4,0),0)</f>
        <v>0</v>
      </c>
      <c r="AE603" s="1049">
        <f>(+IF(AE557&gt;=2015,MAX(VLOOKUP(AE661,'פחתי מים לרשויות מצטרפות'!$A$11:$G$14,MAX($B$3-AE557,0)+3,0)-VLOOKUP(AE$1,'פחת מים וגביה'!$A:$D,4,0),0))*AE406/AE$425)+IF(AND(AE$7="חברה מנהלת",AE20&lt;&gt;""),+VLOOKUP(AE661,'פחתי מים לרשויות מצטרפות'!$A$12:$G$15,5,0)-VLOOKUP(AE13,'פחת מים וגביה'!$A:$D,4,0),0)</f>
        <v>0</v>
      </c>
      <c r="AF603" s="1049">
        <f>(+IF(AF557&gt;=2015,MAX(VLOOKUP(AF661,'פחתי מים לרשויות מצטרפות'!$A$11:$G$14,MAX($B$3-AF557,0)+3,0)-VLOOKUP(AF$1,'פחת מים וגביה'!$A:$D,4,0),0))*AF406/AF$425)+IF(AND(AF$7="חברה מנהלת",AF20&lt;&gt;""),+VLOOKUP(AF661,'פחתי מים לרשויות מצטרפות'!$A$12:$G$15,5,0)-VLOOKUP(AF13,'פחת מים וגביה'!$A:$D,4,0),0)</f>
        <v>0</v>
      </c>
      <c r="AG603" s="1049">
        <f>(+IF(AG557&gt;=2015,MAX(VLOOKUP(AG661,'פחתי מים לרשויות מצטרפות'!$A$11:$G$14,MAX($B$3-AG557,0)+3,0)-VLOOKUP(AG$1,'פחת מים וגביה'!$A:$D,4,0),0))*AG406/AG$425)+IF(AND(AG$7="חברה מנהלת",AG20&lt;&gt;""),+VLOOKUP(AG661,'פחתי מים לרשויות מצטרפות'!$A$12:$G$15,5,0)-VLOOKUP(AG13,'פחת מים וגביה'!$A:$D,4,0),0)</f>
        <v>0</v>
      </c>
      <c r="AH603" s="1049">
        <f>(+IF(AH557&gt;=2015,MAX(VLOOKUP(AH661,'פחתי מים לרשויות מצטרפות'!$A$11:$G$14,MAX($B$3-AH557,0)+3,0)-VLOOKUP(AH$1,'פחת מים וגביה'!$A:$D,4,0),0))*AH406/AH$425)+IF(AND(AH$7="חברה מנהלת",AH20&lt;&gt;""),+VLOOKUP(AH661,'פחתי מים לרשויות מצטרפות'!$A$12:$G$15,5,0)-VLOOKUP(AH13,'פחת מים וגביה'!$A:$D,4,0),0)</f>
        <v>0</v>
      </c>
      <c r="AI603" s="1049">
        <f>(+IF(AI557&gt;=2015,MAX(VLOOKUP(AI661,'פחתי מים לרשויות מצטרפות'!$A$11:$G$14,MAX($B$3-AI557,0)+3,0)-VLOOKUP(AI$1,'פחת מים וגביה'!$A:$D,4,0),0))*AI406/AI$425)+IF(AND(AI$7="חברה מנהלת",AI20&lt;&gt;""),+VLOOKUP(AI661,'פחתי מים לרשויות מצטרפות'!$A$12:$G$15,5,0)-VLOOKUP(AI13,'פחת מים וגביה'!$A:$D,4,0),0)</f>
        <v>0</v>
      </c>
      <c r="AJ603" s="1049">
        <f>(+IF(AJ557&gt;=2015,MAX(VLOOKUP(AJ661,'פחתי מים לרשויות מצטרפות'!$A$11:$G$14,MAX($B$3-AJ557,0)+3,0)-VLOOKUP(AJ$1,'פחת מים וגביה'!$A:$D,4,0),0))*AJ406/AJ$425)+IF(AND(AJ$7="חברה מנהלת",AJ20&lt;&gt;""),+VLOOKUP(AJ661,'פחתי מים לרשויות מצטרפות'!$A$12:$G$15,5,0)-VLOOKUP(AJ13,'פחת מים וגביה'!$A:$D,4,0),0)</f>
        <v>0</v>
      </c>
      <c r="AK603" s="1049">
        <f>(+IF(AK557&gt;=2015,MAX(VLOOKUP(AK661,'פחתי מים לרשויות מצטרפות'!$A$11:$G$14,MAX($B$3-AK557,0)+3,0)-VLOOKUP(AK$1,'פחת מים וגביה'!$A:$D,4,0),0))*AK406/AK$425)+IF(AND(AK$7="חברה מנהלת",AK20&lt;&gt;""),+VLOOKUP(AK661,'פחתי מים לרשויות מצטרפות'!$A$12:$G$15,5,0)-VLOOKUP(AK13,'פחת מים וגביה'!$A:$D,4,0),0)</f>
        <v>0</v>
      </c>
      <c r="AL603" s="1049">
        <f>(+IF(AL557&gt;=2015,MAX(VLOOKUP(AL661,'פחתי מים לרשויות מצטרפות'!$A$11:$G$14,MAX($B$3-AL557,0)+3,0)-VLOOKUP(AL$1,'פחת מים וגביה'!$A:$D,4,0),0))*AL406/AL$425)+IF(AND(AL$7="חברה מנהלת",AL20&lt;&gt;""),+VLOOKUP(AL661,'פחתי מים לרשויות מצטרפות'!$A$12:$G$15,5,0)-VLOOKUP(AL13,'פחת מים וגביה'!$A:$D,4,0),0)</f>
        <v>0</v>
      </c>
      <c r="AM603" s="1049">
        <f>(+IF(AM557&gt;=2015,MAX(VLOOKUP(AM661,'פחתי מים לרשויות מצטרפות'!$A$11:$G$14,MAX($B$3-AM557,0)+3,0)-VLOOKUP(AM$1,'פחת מים וגביה'!$A:$D,4,0),0))*AM406/AM$425)+IF(AND(AM$7="חברה מנהלת",AM20&lt;&gt;""),+VLOOKUP(AM661,'פחתי מים לרשויות מצטרפות'!$A$12:$G$15,5,0)-VLOOKUP(AM13,'פחת מים וגביה'!$A:$D,4,0),0)</f>
        <v>0</v>
      </c>
      <c r="AN603" s="1049">
        <f>(+IF(AN557&gt;=2015,MAX(VLOOKUP(AN661,'פחתי מים לרשויות מצטרפות'!$A$11:$G$14,MAX($B$3-AN557,0)+3,0)-VLOOKUP(AN$1,'פחת מים וגביה'!$A:$D,4,0),0))*AN406/AN$425)+IF(AND(AN$7="חברה מנהלת",AN20&lt;&gt;""),+VLOOKUP(AN661,'פחתי מים לרשויות מצטרפות'!$A$12:$G$15,5,0)-VLOOKUP(AN13,'פחת מים וגביה'!$A:$D,4,0),0)</f>
        <v>0</v>
      </c>
      <c r="AO603" s="1049">
        <f>(+IF(AO557&gt;=2015,MAX(VLOOKUP(AO661,'פחתי מים לרשויות מצטרפות'!$A$11:$G$14,MAX($B$3-AO557,0)+3,0)-VLOOKUP(AO$1,'פחת מים וגביה'!$A:$D,4,0),0))*AO406/AO$425)+IF(AND(AO$7="חברה מנהלת",AO20&lt;&gt;""),+VLOOKUP(AO661,'פחתי מים לרשויות מצטרפות'!$A$12:$G$15,5,0)-VLOOKUP(AO13,'פחת מים וגביה'!$A:$D,4,0),0)</f>
        <v>0</v>
      </c>
      <c r="AP603" s="1049">
        <f>(+IF(AP557&gt;=2015,MAX(VLOOKUP(AP661,'פחתי מים לרשויות מצטרפות'!$A$11:$G$14,MAX($B$3-AP557,0)+3,0)-VLOOKUP(AP$1,'פחת מים וגביה'!$A:$D,4,0),0))*AP406/AP$425)+IF(AND(AP$7="חברה מנהלת",AP20&lt;&gt;""),+VLOOKUP(AP661,'פחתי מים לרשויות מצטרפות'!$A$12:$G$15,5,0)-VLOOKUP(AP13,'פחת מים וגביה'!$A:$D,4,0),0)</f>
        <v>0</v>
      </c>
      <c r="AQ603" s="1049">
        <f>(+IF(AQ557&gt;=2015,MAX(VLOOKUP(AQ661,'פחתי מים לרשויות מצטרפות'!$A$11:$G$14,MAX($B$3-AQ557,0)+3,0)-VLOOKUP(AQ$1,'פחת מים וגביה'!$A:$D,4,0),0))*AQ406/AQ$425)+IF(AND(AQ$7="חברה מנהלת",AQ20&lt;&gt;""),+VLOOKUP(AQ661,'פחתי מים לרשויות מצטרפות'!$A$12:$G$15,5,0)-VLOOKUP(AQ13,'פחת מים וגביה'!$A:$D,4,0),0)</f>
        <v>0</v>
      </c>
      <c r="AR603" s="1049">
        <f>(+IF(AR557&gt;=2015,MAX(VLOOKUP(AR661,'פחתי מים לרשויות מצטרפות'!$A$11:$G$14,MAX($B$3-AR557,0)+3,0)-VLOOKUP(AR$1,'פחת מים וגביה'!$A:$D,4,0),0))*AR406/AR$425)+IF(AND(AR$7="חברה מנהלת",AR20&lt;&gt;""),+VLOOKUP(AR661,'פחתי מים לרשויות מצטרפות'!$A$12:$G$15,5,0)-VLOOKUP(AR13,'פחת מים וגביה'!$A:$D,4,0),0)</f>
        <v>0</v>
      </c>
      <c r="AS603" s="1049">
        <f>(+IF(AS557&gt;=2015,MAX(VLOOKUP(AS661,'פחתי מים לרשויות מצטרפות'!$A$11:$G$14,MAX($B$3-AS557,0)+3,0)-VLOOKUP(AS$1,'פחת מים וגביה'!$A:$D,4,0),0))*AS406/AS$425)+IF(AND(AS$7="חברה מנהלת",AS20&lt;&gt;""),+VLOOKUP(AS661,'פחתי מים לרשויות מצטרפות'!$A$12:$G$15,5,0)-VLOOKUP(AS13,'פחת מים וגביה'!$A:$D,4,0),0)</f>
        <v>0</v>
      </c>
      <c r="AT603" s="1049">
        <f>(+IF(AT557&gt;=2015,MAX(VLOOKUP(AT661,'פחתי מים לרשויות מצטרפות'!$A$11:$G$14,MAX($B$3-AT557,0)+3,0)-VLOOKUP(AT$1,'פחת מים וגביה'!$A:$D,4,0),0))*AT406/AT$425)+IF(AND(AT$7="חברה מנהלת",AT20&lt;&gt;""),+VLOOKUP(AT661,'פחתי מים לרשויות מצטרפות'!$A$12:$G$15,5,0)-VLOOKUP(AT13,'פחת מים וגביה'!$A:$D,4,0),0)</f>
        <v>0</v>
      </c>
      <c r="AU603" s="1049">
        <f>(+IF(AU557&gt;=2015,MAX(VLOOKUP(AU661,'פחתי מים לרשויות מצטרפות'!$A$11:$G$14,MAX($B$3-AU557,0)+3,0)-VLOOKUP(AU$1,'פחת מים וגביה'!$A:$D,4,0),0))*AU406/AU$425)+IF(AND(AU$7="חברה מנהלת",AU20&lt;&gt;""),+VLOOKUP(AU661,'פחתי מים לרשויות מצטרפות'!$A$12:$G$15,5,0)-VLOOKUP(AU13,'פחת מים וגביה'!$A:$D,4,0),0)</f>
        <v>0</v>
      </c>
      <c r="AV603" s="1049">
        <f>(+IF(AV557&gt;=2015,MAX(VLOOKUP(AV661,'פחתי מים לרשויות מצטרפות'!$A$11:$G$14,MAX($B$3-AV557,0)+3,0)-VLOOKUP(AV$1,'פחת מים וגביה'!$A:$D,4,0),0))*AV406/AV$425)+IF(AND(AV$7="חברה מנהלת",AV20&lt;&gt;""),+VLOOKUP(AV661,'פחתי מים לרשויות מצטרפות'!$A$12:$G$15,5,0)-VLOOKUP(AV13,'פחת מים וגביה'!$A:$D,4,0),0)</f>
        <v>0</v>
      </c>
      <c r="AW603" s="1049">
        <f>(+IF(AW557&gt;=2015,MAX(VLOOKUP(AW661,'פחתי מים לרשויות מצטרפות'!$A$11:$G$14,MAX($B$3-AW557,0)+3,0)-VLOOKUP(AW$1,'פחת מים וגביה'!$A:$D,4,0),0))*AW406/AW$425)+IF(AND(AW$7="חברה מנהלת",AW20&lt;&gt;""),+VLOOKUP(AW661,'פחתי מים לרשויות מצטרפות'!$A$12:$G$15,5,0)-VLOOKUP(AW13,'פחת מים וגביה'!$A:$D,4,0),0)</f>
        <v>0</v>
      </c>
      <c r="AX603" s="1049">
        <f>(+IF(AX557&gt;=2015,MAX(VLOOKUP(AX661,'פחתי מים לרשויות מצטרפות'!$A$11:$G$14,MAX($B$3-AX557,0)+3,0)-VLOOKUP(AX$1,'פחת מים וגביה'!$A:$D,4,0),0))*AX406/AX$425)+IF(AND(AX$7="חברה מנהלת",AX20&lt;&gt;""),+VLOOKUP(AX661,'פחתי מים לרשויות מצטרפות'!$A$12:$G$15,5,0)-VLOOKUP(AX13,'פחת מים וגביה'!$A:$D,4,0),0)</f>
        <v>0</v>
      </c>
      <c r="AY603" s="1049">
        <f>(+IF(AY557&gt;=2015,MAX(VLOOKUP(AY661,'פחתי מים לרשויות מצטרפות'!$A$11:$G$14,MAX($B$3-AY557,0)+3,0)-VLOOKUP(AY$1,'פחת מים וגביה'!$A:$D,4,0),0))*AY406/AY$425)+IF(AND(AY$7="חברה מנהלת",AY20&lt;&gt;""),+VLOOKUP(AY661,'פחתי מים לרשויות מצטרפות'!$A$12:$G$15,5,0)-VLOOKUP(AY13,'פחת מים וגביה'!$A:$D,4,0),0)</f>
        <v>0</v>
      </c>
      <c r="AZ603" s="1049">
        <f>(+IF(AZ557&gt;=2015,MAX(VLOOKUP(AZ661,'פחתי מים לרשויות מצטרפות'!$A$11:$G$14,MAX($B$3-AZ557,0)+3,0)-VLOOKUP(AZ$1,'פחת מים וגביה'!$A:$D,4,0),0))*AZ406/AZ$425)+IF(AND(AZ$7="חברה מנהלת",AZ20&lt;&gt;""),+VLOOKUP(AZ661,'פחתי מים לרשויות מצטרפות'!$A$12:$G$15,5,0)-VLOOKUP(AZ13,'פחת מים וגביה'!$A:$D,4,0),0)</f>
        <v>0</v>
      </c>
      <c r="BA603" s="1049">
        <f>(+IF(BA557&gt;=2015,MAX(VLOOKUP(BA661,'פחתי מים לרשויות מצטרפות'!$A$11:$G$14,MAX($B$3-BA557,0)+3,0)-VLOOKUP(BA$1,'פחת מים וגביה'!$A:$D,4,0),0))*BA406/BA$425)+IF(AND(BA$7="חברה מנהלת",BA20&lt;&gt;""),+VLOOKUP(BA661,'פחתי מים לרשויות מצטרפות'!$A$12:$G$15,5,0)-VLOOKUP(BA13,'פחת מים וגביה'!$A:$D,4,0),0)</f>
        <v>0</v>
      </c>
      <c r="BB603" s="1049">
        <f>(+IF(BB557&gt;=2015,MAX(VLOOKUP(BB661,'פחתי מים לרשויות מצטרפות'!$A$11:$G$14,MAX($B$3-BB557,0)+3,0)-VLOOKUP(BB$1,'פחת מים וגביה'!$A:$D,4,0),0))*BB406/BB$425)+IF(AND(BB$7="חברה מנהלת",BB20&lt;&gt;""),+VLOOKUP(BB661,'פחתי מים לרשויות מצטרפות'!$A$12:$G$15,5,0)-VLOOKUP(BB13,'פחת מים וגביה'!$A:$D,4,0),0)</f>
        <v>0</v>
      </c>
      <c r="BC603" s="1049">
        <f>(+IF(BC557&gt;=2015,MAX(VLOOKUP(BC661,'פחתי מים לרשויות מצטרפות'!$A$11:$G$14,MAX($B$3-BC557,0)+3,0)-VLOOKUP(BC$1,'פחת מים וגביה'!$A:$D,4,0),0))*BC406/BC$425)+IF(AND(BC$7="חברה מנהלת",BC20&lt;&gt;""),+VLOOKUP(BC661,'פחתי מים לרשויות מצטרפות'!$A$12:$G$15,5,0)-VLOOKUP(BC13,'פחת מים וגביה'!$A:$D,4,0),0)</f>
        <v>0</v>
      </c>
      <c r="BD603" s="1049">
        <f>(+IF(BD557&gt;=2015,MAX(VLOOKUP(BD661,'פחתי מים לרשויות מצטרפות'!$A$11:$G$14,MAX($B$3-BD557,0)+3,0)-VLOOKUP(BD$1,'פחת מים וגביה'!$A:$D,4,0),0))*BD406/BD$425)+IF(AND(BD$7="חברה מנהלת",BD20&lt;&gt;""),+VLOOKUP(BD661,'פחתי מים לרשויות מצטרפות'!$A$12:$G$15,5,0)-VLOOKUP(BD13,'פחת מים וגביה'!$A:$D,4,0),0)</f>
        <v>0</v>
      </c>
      <c r="BE603" s="1049">
        <f>(+IF(BE557&gt;=2015,MAX(VLOOKUP(BE661,'פחתי מים לרשויות מצטרפות'!$A$11:$G$14,MAX($B$3-BE557,0)+3,0)-VLOOKUP(BE$1,'פחת מים וגביה'!$A:$D,4,0),0))*BE406/BE$425)+IF(AND(BE$7="חברה מנהלת",BE20&lt;&gt;""),+VLOOKUP(BE661,'פחתי מים לרשויות מצטרפות'!$A$12:$G$15,5,0)-VLOOKUP(BE13,'פחת מים וגביה'!$A:$D,4,0),0)</f>
        <v>0</v>
      </c>
      <c r="BF603" s="1049">
        <f>(+IF(BF557&gt;=2015,MAX(VLOOKUP(BF661,'פחתי מים לרשויות מצטרפות'!$A$11:$G$14,MAX($B$3-BF557,0)+3,0)-VLOOKUP(BF$1,'פחת מים וגביה'!$A:$D,4,0),0))*BF406/BF$425)+IF(AND(BF$7="חברה מנהלת",BF20&lt;&gt;""),+VLOOKUP(BF661,'פחתי מים לרשויות מצטרפות'!$A$12:$G$15,5,0)-VLOOKUP(BF13,'פחת מים וגביה'!$A:$D,4,0),0)</f>
        <v>0</v>
      </c>
    </row>
    <row r="604" spans="3:58" x14ac:dyDescent="0.2">
      <c r="C604" s="1049">
        <f>(+IF(C558&gt;=2015,MAX(VLOOKUP(C662,'פחתי מים לרשויות מצטרפות'!$A$11:$G$14,MAX($B$3-C558,0)+3,0)-VLOOKUP(C$1,'פחת מים וגביה'!$A:$D,4,0),0))*C407/C$425)+IF(AND(C$7="חברה מנהלת",C21&lt;&gt;""),+VLOOKUP(C662,'פחתי מים לרשויות מצטרפות'!$A$12:$G$15,5,0)-VLOOKUP(C14,'פחת מים וגביה'!$A:$D,4,0),0)</f>
        <v>0</v>
      </c>
      <c r="D604" s="1049">
        <f>(+IF(D558&gt;=2015,MAX(VLOOKUP(D662,'פחתי מים לרשויות מצטרפות'!$A$11:$G$14,MAX($B$3-D558,0)+3,0)-VLOOKUP(D$1,'פחת מים וגביה'!$A:$D,4,0),0))*D407/D$425)+IF(AND(D$7="חברה מנהלת",D21&lt;&gt;""),+VLOOKUP(D662,'פחתי מים לרשויות מצטרפות'!$A$12:$G$15,5,0)-VLOOKUP(D14,'פחת מים וגביה'!$A:$D,4,0),0)</f>
        <v>0</v>
      </c>
      <c r="E604" s="1049">
        <f>(+IF(E558&gt;=2015,MAX(VLOOKUP(E662,'פחתי מים לרשויות מצטרפות'!$A$11:$G$14,MAX($B$3-E558,0)+3,0)-VLOOKUP(E$1,'פחת מים וגביה'!$A:$D,4,0),0))*E407/E$425)+IF(AND(E$7="חברה מנהלת",E21&lt;&gt;""),+VLOOKUP(E662,'פחתי מים לרשויות מצטרפות'!$A$12:$G$15,5,0)-VLOOKUP(E14,'פחת מים וגביה'!$A:$D,4,0),0)</f>
        <v>0</v>
      </c>
      <c r="F604" s="1049">
        <f>(+IF(F558&gt;=2015,MAX(VLOOKUP(F662,'פחתי מים לרשויות מצטרפות'!$A$11:$G$14,MAX($B$3-F558,0)+3,0)-VLOOKUP(F$1,'פחת מים וגביה'!$A:$D,4,0),0))*F407/F$425)+IF(AND(F$7="חברה מנהלת",F21&lt;&gt;""),+VLOOKUP(F662,'פחתי מים לרשויות מצטרפות'!$A$12:$G$15,5,0)-VLOOKUP(F14,'פחת מים וגביה'!$A:$D,4,0),0)</f>
        <v>0</v>
      </c>
      <c r="G604" s="1049">
        <f>(+IF(G558&gt;=2015,MAX(VLOOKUP(G662,'פחתי מים לרשויות מצטרפות'!$A$11:$G$14,MAX($B$3-G558,0)+3,0)-VLOOKUP(G$1,'פחת מים וגביה'!$A:$D,4,0),0))*G407/G$425)+IF(AND(G$7="חברה מנהלת",G21&lt;&gt;""),+VLOOKUP(G662,'פחתי מים לרשויות מצטרפות'!$A$12:$G$15,5,0)-VLOOKUP(G14,'פחת מים וגביה'!$A:$D,4,0),0)</f>
        <v>0</v>
      </c>
      <c r="H604" s="1049">
        <f>(+IF(H558&gt;=2015,MAX(VLOOKUP(H662,'פחתי מים לרשויות מצטרפות'!$A$11:$G$14,MAX($B$3-H558,0)+3,0)-VLOOKUP(H$1,'פחת מים וגביה'!$A:$D,4,0),0))*H407/H$425)+IF(AND(H$7="חברה מנהלת",H21&lt;&gt;""),+VLOOKUP(H662,'פחתי מים לרשויות מצטרפות'!$A$12:$G$15,5,0)-VLOOKUP(H14,'פחת מים וגביה'!$A:$D,4,0),0)</f>
        <v>0</v>
      </c>
      <c r="I604" s="1049">
        <f>(+IF(I558&gt;=2015,MAX(VLOOKUP(I662,'פחתי מים לרשויות מצטרפות'!$A$11:$G$14,MAX($B$3-I558,0)+3,0)-VLOOKUP(I$1,'פחת מים וגביה'!$A:$D,4,0),0))*I407/I$425)+IF(AND(I$7="חברה מנהלת",I21&lt;&gt;""),+VLOOKUP(I662,'פחתי מים לרשויות מצטרפות'!$A$12:$G$15,5,0)-VLOOKUP(I14,'פחת מים וגביה'!$A:$D,4,0),0)</f>
        <v>0</v>
      </c>
      <c r="J604" s="1049">
        <f>(+IF(J558&gt;=2015,MAX(VLOOKUP(J662,'פחתי מים לרשויות מצטרפות'!$A$11:$G$14,MAX($B$3-J558,0)+3,0)-VLOOKUP(J$1,'פחת מים וגביה'!$A:$D,4,0),0))*J407/J$425)+IF(AND(J$7="חברה מנהלת",J21&lt;&gt;""),+VLOOKUP(J662,'פחתי מים לרשויות מצטרפות'!$A$12:$G$15,5,0)-VLOOKUP(J14,'פחת מים וגביה'!$A:$D,4,0),0)</f>
        <v>0</v>
      </c>
      <c r="K604" s="1049">
        <f>(+IF(K558&gt;=2015,MAX(VLOOKUP(K662,'פחתי מים לרשויות מצטרפות'!$A$11:$G$14,MAX($B$3-K558,0)+3,0)-VLOOKUP(K$1,'פחת מים וגביה'!$A:$D,4,0),0))*K407/K$425)+IF(AND(K$7="חברה מנהלת",K21&lt;&gt;""),+VLOOKUP(K662,'פחתי מים לרשויות מצטרפות'!$A$12:$G$15,5,0)-VLOOKUP(K14,'פחת מים וגביה'!$A:$D,4,0),0)</f>
        <v>0</v>
      </c>
      <c r="L604" s="1049">
        <f>(+IF(L558&gt;=2015,MAX(VLOOKUP(L662,'פחתי מים לרשויות מצטרפות'!$A$11:$G$14,MAX($B$3-L558,0)+3,0)-VLOOKUP(L$1,'פחת מים וגביה'!$A:$D,4,0),0))*L407/L$425)+IF(AND(L$7="חברה מנהלת",L21&lt;&gt;""),+VLOOKUP(L662,'פחתי מים לרשויות מצטרפות'!$A$12:$G$15,5,0)-VLOOKUP(L14,'פחת מים וגביה'!$A:$D,4,0),0)</f>
        <v>0</v>
      </c>
      <c r="M604" s="1049">
        <f>(+IF(M558&gt;=2015,MAX(VLOOKUP(M662,'פחתי מים לרשויות מצטרפות'!$A$11:$G$14,MAX($B$3-M558,0)+3,0)-VLOOKUP(M$1,'פחת מים וגביה'!$A:$D,4,0),0))*M407/M$425)+IF(AND(M$7="חברה מנהלת",M21&lt;&gt;""),+VLOOKUP(M662,'פחתי מים לרשויות מצטרפות'!$A$12:$G$15,5,0)-VLOOKUP(M14,'פחת מים וגביה'!$A:$D,4,0),0)</f>
        <v>0</v>
      </c>
      <c r="N604" s="1049">
        <f>(+IF(N558&gt;=2015,MAX(VLOOKUP(N662,'פחתי מים לרשויות מצטרפות'!$A$11:$G$14,MAX($B$3-N558,0)+3,0)-VLOOKUP(N$1,'פחת מים וגביה'!$A:$D,4,0),0))*N407/N$425)+IF(AND(N$7="חברה מנהלת",N21&lt;&gt;""),+VLOOKUP(N662,'פחתי מים לרשויות מצטרפות'!$A$12:$G$15,5,0)-VLOOKUP(N14,'פחת מים וגביה'!$A:$D,4,0),0)</f>
        <v>0</v>
      </c>
      <c r="O604" s="1049">
        <f>(+IF(O558&gt;=2015,MAX(VLOOKUP(O662,'פחתי מים לרשויות מצטרפות'!$A$11:$G$14,MAX($B$3-O558,0)+3,0)-VLOOKUP(O$1,'פחת מים וגביה'!$A:$D,4,0),0))*O407/O$425)+IF(AND(O$7="חברה מנהלת",O21&lt;&gt;""),+VLOOKUP(O662,'פחתי מים לרשויות מצטרפות'!$A$12:$G$15,5,0)-VLOOKUP(O14,'פחת מים וגביה'!$A:$D,4,0),0)</f>
        <v>0</v>
      </c>
      <c r="P604" s="1049">
        <f>(+IF(P558&gt;=2015,MAX(VLOOKUP(P662,'פחתי מים לרשויות מצטרפות'!$A$11:$G$14,MAX($B$3-P558,0)+3,0)-VLOOKUP(P$1,'פחת מים וגביה'!$A:$D,4,0),0))*P407/P$425)+IF(AND(P$7="חברה מנהלת",P21&lt;&gt;""),+VLOOKUP(P662,'פחתי מים לרשויות מצטרפות'!$A$12:$G$15,5,0)-VLOOKUP(P14,'פחת מים וגביה'!$A:$D,4,0),0)</f>
        <v>0</v>
      </c>
      <c r="Q604" s="1049">
        <f>(+IF(Q558&gt;=2015,MAX(VLOOKUP(Q662,'פחתי מים לרשויות מצטרפות'!$A$11:$G$14,MAX($B$3-Q558,0)+3,0)-VLOOKUP(Q$1,'פחת מים וגביה'!$A:$D,4,0),0))*Q407/Q$425)+IF(AND(Q$7="חברה מנהלת",Q21&lt;&gt;""),+VLOOKUP(Q662,'פחתי מים לרשויות מצטרפות'!$A$12:$G$15,5,0)-VLOOKUP(Q14,'פחת מים וגביה'!$A:$D,4,0),0)</f>
        <v>0</v>
      </c>
      <c r="R604" s="1049">
        <f>(+IF(R558&gt;=2015,MAX(VLOOKUP(R662,'פחתי מים לרשויות מצטרפות'!$A$11:$G$14,MAX($B$3-R558,0)+3,0)-VLOOKUP(R$1,'פחת מים וגביה'!$A:$D,4,0),0))*R407/R$425)+IF(AND(R$7="חברה מנהלת",R21&lt;&gt;""),+VLOOKUP(R662,'פחתי מים לרשויות מצטרפות'!$A$12:$G$15,5,0)-VLOOKUP(R14,'פחת מים וגביה'!$A:$D,4,0),0)</f>
        <v>0</v>
      </c>
      <c r="S604" s="1049">
        <f>(+IF(S558&gt;=2015,MAX(VLOOKUP(S662,'פחתי מים לרשויות מצטרפות'!$A$11:$G$14,MAX($B$3-S558,0)+3,0)-VLOOKUP(S$1,'פחת מים וגביה'!$A:$D,4,0),0))*S407/S$425)+IF(AND(S$7="חברה מנהלת",S21&lt;&gt;""),+VLOOKUP(S662,'פחתי מים לרשויות מצטרפות'!$A$12:$G$15,5,0)-VLOOKUP(S14,'פחת מים וגביה'!$A:$D,4,0),0)</f>
        <v>0</v>
      </c>
      <c r="T604" s="1049">
        <f>(+IF(T558&gt;=2015,MAX(VLOOKUP(T662,'פחתי מים לרשויות מצטרפות'!$A$11:$G$14,MAX($B$3-T558,0)+3,0)-VLOOKUP(T$1,'פחת מים וגביה'!$A:$D,4,0),0))*T407/T$425)+IF(AND(T$7="חברה מנהלת",T21&lt;&gt;""),+VLOOKUP(T662,'פחתי מים לרשויות מצטרפות'!$A$12:$G$15,5,0)-VLOOKUP(T14,'פחת מים וגביה'!$A:$D,4,0),0)</f>
        <v>0</v>
      </c>
      <c r="U604" s="1049">
        <f>(+IF(U558&gt;=2015,MAX(VLOOKUP(U662,'פחתי מים לרשויות מצטרפות'!$A$11:$G$14,MAX($B$3-U558,0)+3,0)-VLOOKUP(U$1,'פחת מים וגביה'!$A:$D,4,0),0))*U407/U$425)+IF(AND(U$7="חברה מנהלת",U21&lt;&gt;""),+VLOOKUP(U662,'פחתי מים לרשויות מצטרפות'!$A$12:$G$15,5,0)-VLOOKUP(U14,'פחת מים וגביה'!$A:$D,4,0),0)</f>
        <v>0</v>
      </c>
      <c r="V604" s="1049">
        <f>(+IF(V558&gt;=2015,MAX(VLOOKUP(V662,'פחתי מים לרשויות מצטרפות'!$A$11:$G$14,MAX($B$3-V558,0)+3,0)-VLOOKUP(V$1,'פחת מים וגביה'!$A:$D,4,0),0))*V407/V$425)+IF(AND(V$7="חברה מנהלת",V21&lt;&gt;""),+VLOOKUP(V662,'פחתי מים לרשויות מצטרפות'!$A$12:$G$15,5,0)-VLOOKUP(V14,'פחת מים וגביה'!$A:$D,4,0),0)</f>
        <v>0</v>
      </c>
      <c r="W604" s="1049">
        <f>(+IF(W558&gt;=2015,MAX(VLOOKUP(W662,'פחתי מים לרשויות מצטרפות'!$A$11:$G$14,MAX($B$3-W558,0)+3,0)-VLOOKUP(W$1,'פחת מים וגביה'!$A:$D,4,0),0))*W407/W$425)+IF(AND(W$7="חברה מנהלת",W21&lt;&gt;""),+VLOOKUP(W662,'פחתי מים לרשויות מצטרפות'!$A$12:$G$15,5,0)-VLOOKUP(W14,'פחת מים וגביה'!$A:$D,4,0),0)</f>
        <v>0</v>
      </c>
      <c r="X604" s="1049">
        <f>(+IF(X558&gt;=2015,MAX(VLOOKUP(X662,'פחתי מים לרשויות מצטרפות'!$A$11:$G$14,MAX($B$3-X558,0)+3,0)-VLOOKUP(X$1,'פחת מים וגביה'!$A:$D,4,0),0))*X407/X$425)+IF(AND(X$7="חברה מנהלת",X21&lt;&gt;""),+VLOOKUP(X662,'פחתי מים לרשויות מצטרפות'!$A$12:$G$15,5,0)-VLOOKUP(X14,'פחת מים וגביה'!$A:$D,4,0),0)</f>
        <v>0</v>
      </c>
      <c r="Y604" s="1049">
        <f>(+IF(Y558&gt;=2015,MAX(VLOOKUP(Y662,'פחתי מים לרשויות מצטרפות'!$A$11:$G$14,MAX($B$3-Y558,0)+3,0)-VLOOKUP(Y$1,'פחת מים וגביה'!$A:$D,4,0),0))*Y407/Y$425)+IF(AND(Y$7="חברה מנהלת",Y21&lt;&gt;""),+VLOOKUP(Y662,'פחתי מים לרשויות מצטרפות'!$A$12:$G$15,5,0)-VLOOKUP(Y14,'פחת מים וגביה'!$A:$D,4,0),0)</f>
        <v>0</v>
      </c>
      <c r="Z604" s="1049">
        <f>(+IF(Z558&gt;=2015,MAX(VLOOKUP(Z662,'פחתי מים לרשויות מצטרפות'!$A$11:$G$14,MAX($B$3-Z558,0)+3,0)-VLOOKUP(Z$1,'פחת מים וגביה'!$A:$D,4,0),0))*Z407/Z$425)+IF(AND(Z$7="חברה מנהלת",Z21&lt;&gt;""),+VLOOKUP(Z662,'פחתי מים לרשויות מצטרפות'!$A$12:$G$15,5,0)-VLOOKUP(Z14,'פחת מים וגביה'!$A:$D,4,0),0)</f>
        <v>0</v>
      </c>
      <c r="AA604" s="1049">
        <f>(+IF(AA558&gt;=2015,MAX(VLOOKUP(AA662,'פחתי מים לרשויות מצטרפות'!$A$11:$G$14,MAX($B$3-AA558,0)+3,0)-VLOOKUP(AA$1,'פחת מים וגביה'!$A:$D,4,0),0))*AA407/AA$425)+IF(AND(AA$7="חברה מנהלת",AA21&lt;&gt;""),+VLOOKUP(AA662,'פחתי מים לרשויות מצטרפות'!$A$12:$G$15,5,0)-VLOOKUP(AA14,'פחת מים וגביה'!$A:$D,4,0),0)</f>
        <v>0</v>
      </c>
      <c r="AB604" s="1049">
        <f>(+IF(AB558&gt;=2015,MAX(VLOOKUP(AB662,'פחתי מים לרשויות מצטרפות'!$A$11:$G$14,MAX($B$3-AB558,0)+3,0)-VLOOKUP(AB$1,'פחת מים וגביה'!$A:$D,4,0),0))*AB407/AB$425)+IF(AND(AB$7="חברה מנהלת",AB21&lt;&gt;""),+VLOOKUP(AB662,'פחתי מים לרשויות מצטרפות'!$A$12:$G$15,5,0)-VLOOKUP(AB14,'פחת מים וגביה'!$A:$D,4,0),0)</f>
        <v>0</v>
      </c>
      <c r="AC604" s="1049">
        <f>(+IF(AC558&gt;=2015,MAX(VLOOKUP(AC662,'פחתי מים לרשויות מצטרפות'!$A$11:$G$14,MAX($B$3-AC558,0)+3,0)-VLOOKUP(AC$1,'פחת מים וגביה'!$A:$D,4,0),0))*AC407/AC$425)+IF(AND(AC$7="חברה מנהלת",AC21&lt;&gt;""),+VLOOKUP(AC662,'פחתי מים לרשויות מצטרפות'!$A$12:$G$15,5,0)-VLOOKUP(AC14,'פחת מים וגביה'!$A:$D,4,0),0)</f>
        <v>0</v>
      </c>
      <c r="AD604" s="1049">
        <f>(+IF(AD558&gt;=2015,MAX(VLOOKUP(AD662,'פחתי מים לרשויות מצטרפות'!$A$11:$G$14,MAX($B$3-AD558,0)+3,0)-VLOOKUP(AD$1,'פחת מים וגביה'!$A:$D,4,0),0))*AD407/AD$425)+IF(AND(AD$7="חברה מנהלת",AD21&lt;&gt;""),+VLOOKUP(AD662,'פחתי מים לרשויות מצטרפות'!$A$12:$G$15,5,0)-VLOOKUP(AD14,'פחת מים וגביה'!$A:$D,4,0),0)</f>
        <v>0</v>
      </c>
      <c r="AE604" s="1049">
        <f>(+IF(AE558&gt;=2015,MAX(VLOOKUP(AE662,'פחתי מים לרשויות מצטרפות'!$A$11:$G$14,MAX($B$3-AE558,0)+3,0)-VLOOKUP(AE$1,'פחת מים וגביה'!$A:$D,4,0),0))*AE407/AE$425)+IF(AND(AE$7="חברה מנהלת",AE21&lt;&gt;""),+VLOOKUP(AE662,'פחתי מים לרשויות מצטרפות'!$A$12:$G$15,5,0)-VLOOKUP(AE14,'פחת מים וגביה'!$A:$D,4,0),0)</f>
        <v>0</v>
      </c>
      <c r="AF604" s="1049">
        <f>(+IF(AF558&gt;=2015,MAX(VLOOKUP(AF662,'פחתי מים לרשויות מצטרפות'!$A$11:$G$14,MAX($B$3-AF558,0)+3,0)-VLOOKUP(AF$1,'פחת מים וגביה'!$A:$D,4,0),0))*AF407/AF$425)+IF(AND(AF$7="חברה מנהלת",AF21&lt;&gt;""),+VLOOKUP(AF662,'פחתי מים לרשויות מצטרפות'!$A$12:$G$15,5,0)-VLOOKUP(AF14,'פחת מים וגביה'!$A:$D,4,0),0)</f>
        <v>0</v>
      </c>
      <c r="AG604" s="1049">
        <f>(+IF(AG558&gt;=2015,MAX(VLOOKUP(AG662,'פחתי מים לרשויות מצטרפות'!$A$11:$G$14,MAX($B$3-AG558,0)+3,0)-VLOOKUP(AG$1,'פחת מים וגביה'!$A:$D,4,0),0))*AG407/AG$425)+IF(AND(AG$7="חברה מנהלת",AG21&lt;&gt;""),+VLOOKUP(AG662,'פחתי מים לרשויות מצטרפות'!$A$12:$G$15,5,0)-VLOOKUP(AG14,'פחת מים וגביה'!$A:$D,4,0),0)</f>
        <v>0</v>
      </c>
      <c r="AH604" s="1049">
        <f>(+IF(AH558&gt;=2015,MAX(VLOOKUP(AH662,'פחתי מים לרשויות מצטרפות'!$A$11:$G$14,MAX($B$3-AH558,0)+3,0)-VLOOKUP(AH$1,'פחת מים וגביה'!$A:$D,4,0),0))*AH407/AH$425)+IF(AND(AH$7="חברה מנהלת",AH21&lt;&gt;""),+VLOOKUP(AH662,'פחתי מים לרשויות מצטרפות'!$A$12:$G$15,5,0)-VLOOKUP(AH14,'פחת מים וגביה'!$A:$D,4,0),0)</f>
        <v>0</v>
      </c>
      <c r="AI604" s="1049">
        <f>(+IF(AI558&gt;=2015,MAX(VLOOKUP(AI662,'פחתי מים לרשויות מצטרפות'!$A$11:$G$14,MAX($B$3-AI558,0)+3,0)-VLOOKUP(AI$1,'פחת מים וגביה'!$A:$D,4,0),0))*AI407/AI$425)+IF(AND(AI$7="חברה מנהלת",AI21&lt;&gt;""),+VLOOKUP(AI662,'פחתי מים לרשויות מצטרפות'!$A$12:$G$15,5,0)-VLOOKUP(AI14,'פחת מים וגביה'!$A:$D,4,0),0)</f>
        <v>0</v>
      </c>
      <c r="AJ604" s="1049">
        <f>(+IF(AJ558&gt;=2015,MAX(VLOOKUP(AJ662,'פחתי מים לרשויות מצטרפות'!$A$11:$G$14,MAX($B$3-AJ558,0)+3,0)-VLOOKUP(AJ$1,'פחת מים וגביה'!$A:$D,4,0),0))*AJ407/AJ$425)+IF(AND(AJ$7="חברה מנהלת",AJ21&lt;&gt;""),+VLOOKUP(AJ662,'פחתי מים לרשויות מצטרפות'!$A$12:$G$15,5,0)-VLOOKUP(AJ14,'פחת מים וגביה'!$A:$D,4,0),0)</f>
        <v>0</v>
      </c>
      <c r="AK604" s="1049">
        <f>(+IF(AK558&gt;=2015,MAX(VLOOKUP(AK662,'פחתי מים לרשויות מצטרפות'!$A$11:$G$14,MAX($B$3-AK558,0)+3,0)-VLOOKUP(AK$1,'פחת מים וגביה'!$A:$D,4,0),0))*AK407/AK$425)+IF(AND(AK$7="חברה מנהלת",AK21&lt;&gt;""),+VLOOKUP(AK662,'פחתי מים לרשויות מצטרפות'!$A$12:$G$15,5,0)-VLOOKUP(AK14,'פחת מים וגביה'!$A:$D,4,0),0)</f>
        <v>0</v>
      </c>
      <c r="AL604" s="1049">
        <f>(+IF(AL558&gt;=2015,MAX(VLOOKUP(AL662,'פחתי מים לרשויות מצטרפות'!$A$11:$G$14,MAX($B$3-AL558,0)+3,0)-VLOOKUP(AL$1,'פחת מים וגביה'!$A:$D,4,0),0))*AL407/AL$425)+IF(AND(AL$7="חברה מנהלת",AL21&lt;&gt;""),+VLOOKUP(AL662,'פחתי מים לרשויות מצטרפות'!$A$12:$G$15,5,0)-VLOOKUP(AL14,'פחת מים וגביה'!$A:$D,4,0),0)</f>
        <v>0</v>
      </c>
      <c r="AM604" s="1049">
        <f>(+IF(AM558&gt;=2015,MAX(VLOOKUP(AM662,'פחתי מים לרשויות מצטרפות'!$A$11:$G$14,MAX($B$3-AM558,0)+3,0)-VLOOKUP(AM$1,'פחת מים וגביה'!$A:$D,4,0),0))*AM407/AM$425)+IF(AND(AM$7="חברה מנהלת",AM21&lt;&gt;""),+VLOOKUP(AM662,'פחתי מים לרשויות מצטרפות'!$A$12:$G$15,5,0)-VLOOKUP(AM14,'פחת מים וגביה'!$A:$D,4,0),0)</f>
        <v>0</v>
      </c>
      <c r="AN604" s="1049">
        <f>(+IF(AN558&gt;=2015,MAX(VLOOKUP(AN662,'פחתי מים לרשויות מצטרפות'!$A$11:$G$14,MAX($B$3-AN558,0)+3,0)-VLOOKUP(AN$1,'פחת מים וגביה'!$A:$D,4,0),0))*AN407/AN$425)+IF(AND(AN$7="חברה מנהלת",AN21&lt;&gt;""),+VLOOKUP(AN662,'פחתי מים לרשויות מצטרפות'!$A$12:$G$15,5,0)-VLOOKUP(AN14,'פחת מים וגביה'!$A:$D,4,0),0)</f>
        <v>0</v>
      </c>
      <c r="AO604" s="1049">
        <f>(+IF(AO558&gt;=2015,MAX(VLOOKUP(AO662,'פחתי מים לרשויות מצטרפות'!$A$11:$G$14,MAX($B$3-AO558,0)+3,0)-VLOOKUP(AO$1,'פחת מים וגביה'!$A:$D,4,0),0))*AO407/AO$425)+IF(AND(AO$7="חברה מנהלת",AO21&lt;&gt;""),+VLOOKUP(AO662,'פחתי מים לרשויות מצטרפות'!$A$12:$G$15,5,0)-VLOOKUP(AO14,'פחת מים וגביה'!$A:$D,4,0),0)</f>
        <v>0</v>
      </c>
      <c r="AP604" s="1049">
        <f>(+IF(AP558&gt;=2015,MAX(VLOOKUP(AP662,'פחתי מים לרשויות מצטרפות'!$A$11:$G$14,MAX($B$3-AP558,0)+3,0)-VLOOKUP(AP$1,'פחת מים וגביה'!$A:$D,4,0),0))*AP407/AP$425)+IF(AND(AP$7="חברה מנהלת",AP21&lt;&gt;""),+VLOOKUP(AP662,'פחתי מים לרשויות מצטרפות'!$A$12:$G$15,5,0)-VLOOKUP(AP14,'פחת מים וגביה'!$A:$D,4,0),0)</f>
        <v>0</v>
      </c>
      <c r="AQ604" s="1049">
        <f>(+IF(AQ558&gt;=2015,MAX(VLOOKUP(AQ662,'פחתי מים לרשויות מצטרפות'!$A$11:$G$14,MAX($B$3-AQ558,0)+3,0)-VLOOKUP(AQ$1,'פחת מים וגביה'!$A:$D,4,0),0))*AQ407/AQ$425)+IF(AND(AQ$7="חברה מנהלת",AQ21&lt;&gt;""),+VLOOKUP(AQ662,'פחתי מים לרשויות מצטרפות'!$A$12:$G$15,5,0)-VLOOKUP(AQ14,'פחת מים וגביה'!$A:$D,4,0),0)</f>
        <v>0</v>
      </c>
      <c r="AR604" s="1049">
        <f>(+IF(AR558&gt;=2015,MAX(VLOOKUP(AR662,'פחתי מים לרשויות מצטרפות'!$A$11:$G$14,MAX($B$3-AR558,0)+3,0)-VLOOKUP(AR$1,'פחת מים וגביה'!$A:$D,4,0),0))*AR407/AR$425)+IF(AND(AR$7="חברה מנהלת",AR21&lt;&gt;""),+VLOOKUP(AR662,'פחתי מים לרשויות מצטרפות'!$A$12:$G$15,5,0)-VLOOKUP(AR14,'פחת מים וגביה'!$A:$D,4,0),0)</f>
        <v>0</v>
      </c>
      <c r="AS604" s="1049">
        <f>(+IF(AS558&gt;=2015,MAX(VLOOKUP(AS662,'פחתי מים לרשויות מצטרפות'!$A$11:$G$14,MAX($B$3-AS558,0)+3,0)-VLOOKUP(AS$1,'פחת מים וגביה'!$A:$D,4,0),0))*AS407/AS$425)+IF(AND(AS$7="חברה מנהלת",AS21&lt;&gt;""),+VLOOKUP(AS662,'פחתי מים לרשויות מצטרפות'!$A$12:$G$15,5,0)-VLOOKUP(AS14,'פחת מים וגביה'!$A:$D,4,0),0)</f>
        <v>0</v>
      </c>
      <c r="AT604" s="1049">
        <f>(+IF(AT558&gt;=2015,MAX(VLOOKUP(AT662,'פחתי מים לרשויות מצטרפות'!$A$11:$G$14,MAX($B$3-AT558,0)+3,0)-VLOOKUP(AT$1,'פחת מים וגביה'!$A:$D,4,0),0))*AT407/AT$425)+IF(AND(AT$7="חברה מנהלת",AT21&lt;&gt;""),+VLOOKUP(AT662,'פחתי מים לרשויות מצטרפות'!$A$12:$G$15,5,0)-VLOOKUP(AT14,'פחת מים וגביה'!$A:$D,4,0),0)</f>
        <v>0</v>
      </c>
      <c r="AU604" s="1049">
        <f>(+IF(AU558&gt;=2015,MAX(VLOOKUP(AU662,'פחתי מים לרשויות מצטרפות'!$A$11:$G$14,MAX($B$3-AU558,0)+3,0)-VLOOKUP(AU$1,'פחת מים וגביה'!$A:$D,4,0),0))*AU407/AU$425)+IF(AND(AU$7="חברה מנהלת",AU21&lt;&gt;""),+VLOOKUP(AU662,'פחתי מים לרשויות מצטרפות'!$A$12:$G$15,5,0)-VLOOKUP(AU14,'פחת מים וגביה'!$A:$D,4,0),0)</f>
        <v>0</v>
      </c>
      <c r="AV604" s="1049">
        <f>(+IF(AV558&gt;=2015,MAX(VLOOKUP(AV662,'פחתי מים לרשויות מצטרפות'!$A$11:$G$14,MAX($B$3-AV558,0)+3,0)-VLOOKUP(AV$1,'פחת מים וגביה'!$A:$D,4,0),0))*AV407/AV$425)+IF(AND(AV$7="חברה מנהלת",AV21&lt;&gt;""),+VLOOKUP(AV662,'פחתי מים לרשויות מצטרפות'!$A$12:$G$15,5,0)-VLOOKUP(AV14,'פחת מים וגביה'!$A:$D,4,0),0)</f>
        <v>0</v>
      </c>
      <c r="AW604" s="1049">
        <f>(+IF(AW558&gt;=2015,MAX(VLOOKUP(AW662,'פחתי מים לרשויות מצטרפות'!$A$11:$G$14,MAX($B$3-AW558,0)+3,0)-VLOOKUP(AW$1,'פחת מים וגביה'!$A:$D,4,0),0))*AW407/AW$425)+IF(AND(AW$7="חברה מנהלת",AW21&lt;&gt;""),+VLOOKUP(AW662,'פחתי מים לרשויות מצטרפות'!$A$12:$G$15,5,0)-VLOOKUP(AW14,'פחת מים וגביה'!$A:$D,4,0),0)</f>
        <v>0</v>
      </c>
      <c r="AX604" s="1049">
        <f>(+IF(AX558&gt;=2015,MAX(VLOOKUP(AX662,'פחתי מים לרשויות מצטרפות'!$A$11:$G$14,MAX($B$3-AX558,0)+3,0)-VLOOKUP(AX$1,'פחת מים וגביה'!$A:$D,4,0),0))*AX407/AX$425)+IF(AND(AX$7="חברה מנהלת",AX21&lt;&gt;""),+VLOOKUP(AX662,'פחתי מים לרשויות מצטרפות'!$A$12:$G$15,5,0)-VLOOKUP(AX14,'פחת מים וגביה'!$A:$D,4,0),0)</f>
        <v>0</v>
      </c>
      <c r="AY604" s="1049">
        <f>(+IF(AY558&gt;=2015,MAX(VLOOKUP(AY662,'פחתי מים לרשויות מצטרפות'!$A$11:$G$14,MAX($B$3-AY558,0)+3,0)-VLOOKUP(AY$1,'פחת מים וגביה'!$A:$D,4,0),0))*AY407/AY$425)+IF(AND(AY$7="חברה מנהלת",AY21&lt;&gt;""),+VLOOKUP(AY662,'פחתי מים לרשויות מצטרפות'!$A$12:$G$15,5,0)-VLOOKUP(AY14,'פחת מים וגביה'!$A:$D,4,0),0)</f>
        <v>0</v>
      </c>
      <c r="AZ604" s="1049">
        <f>(+IF(AZ558&gt;=2015,MAX(VLOOKUP(AZ662,'פחתי מים לרשויות מצטרפות'!$A$11:$G$14,MAX($B$3-AZ558,0)+3,0)-VLOOKUP(AZ$1,'פחת מים וגביה'!$A:$D,4,0),0))*AZ407/AZ$425)+IF(AND(AZ$7="חברה מנהלת",AZ21&lt;&gt;""),+VLOOKUP(AZ662,'פחתי מים לרשויות מצטרפות'!$A$12:$G$15,5,0)-VLOOKUP(AZ14,'פחת מים וגביה'!$A:$D,4,0),0)</f>
        <v>0</v>
      </c>
      <c r="BA604" s="1049">
        <f>(+IF(BA558&gt;=2015,MAX(VLOOKUP(BA662,'פחתי מים לרשויות מצטרפות'!$A$11:$G$14,MAX($B$3-BA558,0)+3,0)-VLOOKUP(BA$1,'פחת מים וגביה'!$A:$D,4,0),0))*BA407/BA$425)+IF(AND(BA$7="חברה מנהלת",BA21&lt;&gt;""),+VLOOKUP(BA662,'פחתי מים לרשויות מצטרפות'!$A$12:$G$15,5,0)-VLOOKUP(BA14,'פחת מים וגביה'!$A:$D,4,0),0)</f>
        <v>0</v>
      </c>
      <c r="BB604" s="1049">
        <f>(+IF(BB558&gt;=2015,MAX(VLOOKUP(BB662,'פחתי מים לרשויות מצטרפות'!$A$11:$G$14,MAX($B$3-BB558,0)+3,0)-VLOOKUP(BB$1,'פחת מים וגביה'!$A:$D,4,0),0))*BB407/BB$425)+IF(AND(BB$7="חברה מנהלת",BB21&lt;&gt;""),+VLOOKUP(BB662,'פחתי מים לרשויות מצטרפות'!$A$12:$G$15,5,0)-VLOOKUP(BB14,'פחת מים וגביה'!$A:$D,4,0),0)</f>
        <v>0</v>
      </c>
      <c r="BC604" s="1049">
        <f>(+IF(BC558&gt;=2015,MAX(VLOOKUP(BC662,'פחתי מים לרשויות מצטרפות'!$A$11:$G$14,MAX($B$3-BC558,0)+3,0)-VLOOKUP(BC$1,'פחת מים וגביה'!$A:$D,4,0),0))*BC407/BC$425)+IF(AND(BC$7="חברה מנהלת",BC21&lt;&gt;""),+VLOOKUP(BC662,'פחתי מים לרשויות מצטרפות'!$A$12:$G$15,5,0)-VLOOKUP(BC14,'פחת מים וגביה'!$A:$D,4,0),0)</f>
        <v>0</v>
      </c>
      <c r="BD604" s="1049">
        <f>(+IF(BD558&gt;=2015,MAX(VLOOKUP(BD662,'פחתי מים לרשויות מצטרפות'!$A$11:$G$14,MAX($B$3-BD558,0)+3,0)-VLOOKUP(BD$1,'פחת מים וגביה'!$A:$D,4,0),0))*BD407/BD$425)+IF(AND(BD$7="חברה מנהלת",BD21&lt;&gt;""),+VLOOKUP(BD662,'פחתי מים לרשויות מצטרפות'!$A$12:$G$15,5,0)-VLOOKUP(BD14,'פחת מים וגביה'!$A:$D,4,0),0)</f>
        <v>0</v>
      </c>
      <c r="BE604" s="1049">
        <f>(+IF(BE558&gt;=2015,MAX(VLOOKUP(BE662,'פחתי מים לרשויות מצטרפות'!$A$11:$G$14,MAX($B$3-BE558,0)+3,0)-VLOOKUP(BE$1,'פחת מים וגביה'!$A:$D,4,0),0))*BE407/BE$425)+IF(AND(BE$7="חברה מנהלת",BE21&lt;&gt;""),+VLOOKUP(BE662,'פחתי מים לרשויות מצטרפות'!$A$12:$G$15,5,0)-VLOOKUP(BE14,'פחת מים וגביה'!$A:$D,4,0),0)</f>
        <v>0</v>
      </c>
      <c r="BF604" s="1049">
        <f>(+IF(BF558&gt;=2015,MAX(VLOOKUP(BF662,'פחתי מים לרשויות מצטרפות'!$A$11:$G$14,MAX($B$3-BF558,0)+3,0)-VLOOKUP(BF$1,'פחת מים וגביה'!$A:$D,4,0),0))*BF407/BF$425)+IF(AND(BF$7="חברה מנהלת",BF21&lt;&gt;""),+VLOOKUP(BF662,'פחתי מים לרשויות מצטרפות'!$A$12:$G$15,5,0)-VLOOKUP(BF14,'פחת מים וגביה'!$A:$D,4,0),0)</f>
        <v>0</v>
      </c>
    </row>
    <row r="605" spans="3:58" x14ac:dyDescent="0.2">
      <c r="C605" s="1049">
        <f>(+IF(C559&gt;=2015,MAX(VLOOKUP(C663,'פחתי מים לרשויות מצטרפות'!$A$11:$G$14,MAX($B$3-C559,0)+3,0)-VLOOKUP(C$1,'פחת מים וגביה'!$A:$D,4,0),0))*C408/C$425)+IF(AND(C$7="חברה מנהלת",C22&lt;&gt;""),+VLOOKUP(C663,'פחתי מים לרשויות מצטרפות'!$A$12:$G$15,5,0)-VLOOKUP(C15,'פחת מים וגביה'!$A:$D,4,0),0)</f>
        <v>0</v>
      </c>
      <c r="D605" s="1049">
        <f>(+IF(D559&gt;=2015,MAX(VLOOKUP(D663,'פחתי מים לרשויות מצטרפות'!$A$11:$G$14,MAX($B$3-D559,0)+3,0)-VLOOKUP(D$1,'פחת מים וגביה'!$A:$D,4,0),0))*D408/D$425)+IF(AND(D$7="חברה מנהלת",D22&lt;&gt;""),+VLOOKUP(D663,'פחתי מים לרשויות מצטרפות'!$A$12:$G$15,5,0)-VLOOKUP(D15,'פחת מים וגביה'!$A:$D,4,0),0)</f>
        <v>0</v>
      </c>
      <c r="E605" s="1049">
        <f>(+IF(E559&gt;=2015,MAX(VLOOKUP(E663,'פחתי מים לרשויות מצטרפות'!$A$11:$G$14,MAX($B$3-E559,0)+3,0)-VLOOKUP(E$1,'פחת מים וגביה'!$A:$D,4,0),0))*E408/E$425)+IF(AND(E$7="חברה מנהלת",E22&lt;&gt;""),+VLOOKUP(E663,'פחתי מים לרשויות מצטרפות'!$A$12:$G$15,5,0)-VLOOKUP(E15,'פחת מים וגביה'!$A:$D,4,0),0)</f>
        <v>0</v>
      </c>
      <c r="F605" s="1049">
        <f>(+IF(F559&gt;=2015,MAX(VLOOKUP(F663,'פחתי מים לרשויות מצטרפות'!$A$11:$G$14,MAX($B$3-F559,0)+3,0)-VLOOKUP(F$1,'פחת מים וגביה'!$A:$D,4,0),0))*F408/F$425)+IF(AND(F$7="חברה מנהלת",F22&lt;&gt;""),+VLOOKUP(F663,'פחתי מים לרשויות מצטרפות'!$A$12:$G$15,5,0)-VLOOKUP(F15,'פחת מים וגביה'!$A:$D,4,0),0)</f>
        <v>0</v>
      </c>
      <c r="G605" s="1049">
        <f>(+IF(G559&gt;=2015,MAX(VLOOKUP(G663,'פחתי מים לרשויות מצטרפות'!$A$11:$G$14,MAX($B$3-G559,0)+3,0)-VLOOKUP(G$1,'פחת מים וגביה'!$A:$D,4,0),0))*G408/G$425)+IF(AND(G$7="חברה מנהלת",G22&lt;&gt;""),+VLOOKUP(G663,'פחתי מים לרשויות מצטרפות'!$A$12:$G$15,5,0)-VLOOKUP(G15,'פחת מים וגביה'!$A:$D,4,0),0)</f>
        <v>0</v>
      </c>
      <c r="H605" s="1049">
        <f>(+IF(H559&gt;=2015,MAX(VLOOKUP(H663,'פחתי מים לרשויות מצטרפות'!$A$11:$G$14,MAX($B$3-H559,0)+3,0)-VLOOKUP(H$1,'פחת מים וגביה'!$A:$D,4,0),0))*H408/H$425)+IF(AND(H$7="חברה מנהלת",H22&lt;&gt;""),+VLOOKUP(H663,'פחתי מים לרשויות מצטרפות'!$A$12:$G$15,5,0)-VLOOKUP(H15,'פחת מים וגביה'!$A:$D,4,0),0)</f>
        <v>0</v>
      </c>
      <c r="I605" s="1049">
        <f>(+IF(I559&gt;=2015,MAX(VLOOKUP(I663,'פחתי מים לרשויות מצטרפות'!$A$11:$G$14,MAX($B$3-I559,0)+3,0)-VLOOKUP(I$1,'פחת מים וגביה'!$A:$D,4,0),0))*I408/I$425)+IF(AND(I$7="חברה מנהלת",I22&lt;&gt;""),+VLOOKUP(I663,'פחתי מים לרשויות מצטרפות'!$A$12:$G$15,5,0)-VLOOKUP(I15,'פחת מים וגביה'!$A:$D,4,0),0)</f>
        <v>0</v>
      </c>
      <c r="J605" s="1049">
        <f>(+IF(J559&gt;=2015,MAX(VLOOKUP(J663,'פחתי מים לרשויות מצטרפות'!$A$11:$G$14,MAX($B$3-J559,0)+3,0)-VLOOKUP(J$1,'פחת מים וגביה'!$A:$D,4,0),0))*J408/J$425)+IF(AND(J$7="חברה מנהלת",J22&lt;&gt;""),+VLOOKUP(J663,'פחתי מים לרשויות מצטרפות'!$A$12:$G$15,5,0)-VLOOKUP(J15,'פחת מים וגביה'!$A:$D,4,0),0)</f>
        <v>0</v>
      </c>
      <c r="K605" s="1049">
        <f>(+IF(K559&gt;=2015,MAX(VLOOKUP(K663,'פחתי מים לרשויות מצטרפות'!$A$11:$G$14,MAX($B$3-K559,0)+3,0)-VLOOKUP(K$1,'פחת מים וגביה'!$A:$D,4,0),0))*K408/K$425)+IF(AND(K$7="חברה מנהלת",K22&lt;&gt;""),+VLOOKUP(K663,'פחתי מים לרשויות מצטרפות'!$A$12:$G$15,5,0)-VLOOKUP(K15,'פחת מים וגביה'!$A:$D,4,0),0)</f>
        <v>0</v>
      </c>
      <c r="L605" s="1049">
        <f>(+IF(L559&gt;=2015,MAX(VLOOKUP(L663,'פחתי מים לרשויות מצטרפות'!$A$11:$G$14,MAX($B$3-L559,0)+3,0)-VLOOKUP(L$1,'פחת מים וגביה'!$A:$D,4,0),0))*L408/L$425)+IF(AND(L$7="חברה מנהלת",L22&lt;&gt;""),+VLOOKUP(L663,'פחתי מים לרשויות מצטרפות'!$A$12:$G$15,5,0)-VLOOKUP(L15,'פחת מים וגביה'!$A:$D,4,0),0)</f>
        <v>0</v>
      </c>
      <c r="M605" s="1049">
        <f>(+IF(M559&gt;=2015,MAX(VLOOKUP(M663,'פחתי מים לרשויות מצטרפות'!$A$11:$G$14,MAX($B$3-M559,0)+3,0)-VLOOKUP(M$1,'פחת מים וגביה'!$A:$D,4,0),0))*M408/M$425)+IF(AND(M$7="חברה מנהלת",M22&lt;&gt;""),+VLOOKUP(M663,'פחתי מים לרשויות מצטרפות'!$A$12:$G$15,5,0)-VLOOKUP(M15,'פחת מים וגביה'!$A:$D,4,0),0)</f>
        <v>0</v>
      </c>
      <c r="N605" s="1049">
        <f>(+IF(N559&gt;=2015,MAX(VLOOKUP(N663,'פחתי מים לרשויות מצטרפות'!$A$11:$G$14,MAX($B$3-N559,0)+3,0)-VLOOKUP(N$1,'פחת מים וגביה'!$A:$D,4,0),0))*N408/N$425)+IF(AND(N$7="חברה מנהלת",N22&lt;&gt;""),+VLOOKUP(N663,'פחתי מים לרשויות מצטרפות'!$A$12:$G$15,5,0)-VLOOKUP(N15,'פחת מים וגביה'!$A:$D,4,0),0)</f>
        <v>0</v>
      </c>
      <c r="O605" s="1049">
        <f>(+IF(O559&gt;=2015,MAX(VLOOKUP(O663,'פחתי מים לרשויות מצטרפות'!$A$11:$G$14,MAX($B$3-O559,0)+3,0)-VLOOKUP(O$1,'פחת מים וגביה'!$A:$D,4,0),0))*O408/O$425)+IF(AND(O$7="חברה מנהלת",O22&lt;&gt;""),+VLOOKUP(O663,'פחתי מים לרשויות מצטרפות'!$A$12:$G$15,5,0)-VLOOKUP(O15,'פחת מים וגביה'!$A:$D,4,0),0)</f>
        <v>0</v>
      </c>
      <c r="P605" s="1049">
        <f>(+IF(P559&gt;=2015,MAX(VLOOKUP(P663,'פחתי מים לרשויות מצטרפות'!$A$11:$G$14,MAX($B$3-P559,0)+3,0)-VLOOKUP(P$1,'פחת מים וגביה'!$A:$D,4,0),0))*P408/P$425)+IF(AND(P$7="חברה מנהלת",P22&lt;&gt;""),+VLOOKUP(P663,'פחתי מים לרשויות מצטרפות'!$A$12:$G$15,5,0)-VLOOKUP(P15,'פחת מים וגביה'!$A:$D,4,0),0)</f>
        <v>0</v>
      </c>
      <c r="Q605" s="1049">
        <f>(+IF(Q559&gt;=2015,MAX(VLOOKUP(Q663,'פחתי מים לרשויות מצטרפות'!$A$11:$G$14,MAX($B$3-Q559,0)+3,0)-VLOOKUP(Q$1,'פחת מים וגביה'!$A:$D,4,0),0))*Q408/Q$425)+IF(AND(Q$7="חברה מנהלת",Q22&lt;&gt;""),+VLOOKUP(Q663,'פחתי מים לרשויות מצטרפות'!$A$12:$G$15,5,0)-VLOOKUP(Q15,'פחת מים וגביה'!$A:$D,4,0),0)</f>
        <v>0</v>
      </c>
      <c r="R605" s="1049">
        <f>(+IF(R559&gt;=2015,MAX(VLOOKUP(R663,'פחתי מים לרשויות מצטרפות'!$A$11:$G$14,MAX($B$3-R559,0)+3,0)-VLOOKUP(R$1,'פחת מים וגביה'!$A:$D,4,0),0))*R408/R$425)+IF(AND(R$7="חברה מנהלת",R22&lt;&gt;""),+VLOOKUP(R663,'פחתי מים לרשויות מצטרפות'!$A$12:$G$15,5,0)-VLOOKUP(R15,'פחת מים וגביה'!$A:$D,4,0),0)</f>
        <v>0</v>
      </c>
      <c r="S605" s="1049">
        <f>(+IF(S559&gt;=2015,MAX(VLOOKUP(S663,'פחתי מים לרשויות מצטרפות'!$A$11:$G$14,MAX($B$3-S559,0)+3,0)-VLOOKUP(S$1,'פחת מים וגביה'!$A:$D,4,0),0))*S408/S$425)+IF(AND(S$7="חברה מנהלת",S22&lt;&gt;""),+VLOOKUP(S663,'פחתי מים לרשויות מצטרפות'!$A$12:$G$15,5,0)-VLOOKUP(S15,'פחת מים וגביה'!$A:$D,4,0),0)</f>
        <v>0</v>
      </c>
      <c r="T605" s="1049">
        <f>(+IF(T559&gt;=2015,MAX(VLOOKUP(T663,'פחתי מים לרשויות מצטרפות'!$A$11:$G$14,MAX($B$3-T559,0)+3,0)-VLOOKUP(T$1,'פחת מים וגביה'!$A:$D,4,0),0))*T408/T$425)+IF(AND(T$7="חברה מנהלת",T22&lt;&gt;""),+VLOOKUP(T663,'פחתי מים לרשויות מצטרפות'!$A$12:$G$15,5,0)-VLOOKUP(T15,'פחת מים וגביה'!$A:$D,4,0),0)</f>
        <v>0</v>
      </c>
      <c r="U605" s="1049">
        <f>(+IF(U559&gt;=2015,MAX(VLOOKUP(U663,'פחתי מים לרשויות מצטרפות'!$A$11:$G$14,MAX($B$3-U559,0)+3,0)-VLOOKUP(U$1,'פחת מים וגביה'!$A:$D,4,0),0))*U408/U$425)+IF(AND(U$7="חברה מנהלת",U22&lt;&gt;""),+VLOOKUP(U663,'פחתי מים לרשויות מצטרפות'!$A$12:$G$15,5,0)-VLOOKUP(U15,'פחת מים וגביה'!$A:$D,4,0),0)</f>
        <v>0</v>
      </c>
      <c r="V605" s="1049">
        <f>(+IF(V559&gt;=2015,MAX(VLOOKUP(V663,'פחתי מים לרשויות מצטרפות'!$A$11:$G$14,MAX($B$3-V559,0)+3,0)-VLOOKUP(V$1,'פחת מים וגביה'!$A:$D,4,0),0))*V408/V$425)+IF(AND(V$7="חברה מנהלת",V22&lt;&gt;""),+VLOOKUP(V663,'פחתי מים לרשויות מצטרפות'!$A$12:$G$15,5,0)-VLOOKUP(V15,'פחת מים וגביה'!$A:$D,4,0),0)</f>
        <v>0</v>
      </c>
      <c r="W605" s="1049">
        <f>(+IF(W559&gt;=2015,MAX(VLOOKUP(W663,'פחתי מים לרשויות מצטרפות'!$A$11:$G$14,MAX($B$3-W559,0)+3,0)-VLOOKUP(W$1,'פחת מים וגביה'!$A:$D,4,0),0))*W408/W$425)+IF(AND(W$7="חברה מנהלת",W22&lt;&gt;""),+VLOOKUP(W663,'פחתי מים לרשויות מצטרפות'!$A$12:$G$15,5,0)-VLOOKUP(W15,'פחת מים וגביה'!$A:$D,4,0),0)</f>
        <v>0</v>
      </c>
      <c r="X605" s="1049">
        <f>(+IF(X559&gt;=2015,MAX(VLOOKUP(X663,'פחתי מים לרשויות מצטרפות'!$A$11:$G$14,MAX($B$3-X559,0)+3,0)-VLOOKUP(X$1,'פחת מים וגביה'!$A:$D,4,0),0))*X408/X$425)+IF(AND(X$7="חברה מנהלת",X22&lt;&gt;""),+VLOOKUP(X663,'פחתי מים לרשויות מצטרפות'!$A$12:$G$15,5,0)-VLOOKUP(X15,'פחת מים וגביה'!$A:$D,4,0),0)</f>
        <v>0</v>
      </c>
      <c r="Y605" s="1049">
        <f>(+IF(Y559&gt;=2015,MAX(VLOOKUP(Y663,'פחתי מים לרשויות מצטרפות'!$A$11:$G$14,MAX($B$3-Y559,0)+3,0)-VLOOKUP(Y$1,'פחת מים וגביה'!$A:$D,4,0),0))*Y408/Y$425)+IF(AND(Y$7="חברה מנהלת",Y22&lt;&gt;""),+VLOOKUP(Y663,'פחתי מים לרשויות מצטרפות'!$A$12:$G$15,5,0)-VLOOKUP(Y15,'פחת מים וגביה'!$A:$D,4,0),0)</f>
        <v>0</v>
      </c>
      <c r="Z605" s="1049">
        <f>(+IF(Z559&gt;=2015,MAX(VLOOKUP(Z663,'פחתי מים לרשויות מצטרפות'!$A$11:$G$14,MAX($B$3-Z559,0)+3,0)-VLOOKUP(Z$1,'פחת מים וגביה'!$A:$D,4,0),0))*Z408/Z$425)+IF(AND(Z$7="חברה מנהלת",Z22&lt;&gt;""),+VLOOKUP(Z663,'פחתי מים לרשויות מצטרפות'!$A$12:$G$15,5,0)-VLOOKUP(Z15,'פחת מים וגביה'!$A:$D,4,0),0)</f>
        <v>0</v>
      </c>
      <c r="AA605" s="1049">
        <f>(+IF(AA559&gt;=2015,MAX(VLOOKUP(AA663,'פחתי מים לרשויות מצטרפות'!$A$11:$G$14,MAX($B$3-AA559,0)+3,0)-VLOOKUP(AA$1,'פחת מים וגביה'!$A:$D,4,0),0))*AA408/AA$425)+IF(AND(AA$7="חברה מנהלת",AA22&lt;&gt;""),+VLOOKUP(AA663,'פחתי מים לרשויות מצטרפות'!$A$12:$G$15,5,0)-VLOOKUP(AA15,'פחת מים וגביה'!$A:$D,4,0),0)</f>
        <v>0</v>
      </c>
      <c r="AB605" s="1049">
        <f>(+IF(AB559&gt;=2015,MAX(VLOOKUP(AB663,'פחתי מים לרשויות מצטרפות'!$A$11:$G$14,MAX($B$3-AB559,0)+3,0)-VLOOKUP(AB$1,'פחת מים וגביה'!$A:$D,4,0),0))*AB408/AB$425)+IF(AND(AB$7="חברה מנהלת",AB22&lt;&gt;""),+VLOOKUP(AB663,'פחתי מים לרשויות מצטרפות'!$A$12:$G$15,5,0)-VLOOKUP(AB15,'פחת מים וגביה'!$A:$D,4,0),0)</f>
        <v>0</v>
      </c>
      <c r="AC605" s="1049">
        <f>(+IF(AC559&gt;=2015,MAX(VLOOKUP(AC663,'פחתי מים לרשויות מצטרפות'!$A$11:$G$14,MAX($B$3-AC559,0)+3,0)-VLOOKUP(AC$1,'פחת מים וגביה'!$A:$D,4,0),0))*AC408/AC$425)+IF(AND(AC$7="חברה מנהלת",AC22&lt;&gt;""),+VLOOKUP(AC663,'פחתי מים לרשויות מצטרפות'!$A$12:$G$15,5,0)-VLOOKUP(AC15,'פחת מים וגביה'!$A:$D,4,0),0)</f>
        <v>0</v>
      </c>
      <c r="AD605" s="1049">
        <f>(+IF(AD559&gt;=2015,MAX(VLOOKUP(AD663,'פחתי מים לרשויות מצטרפות'!$A$11:$G$14,MAX($B$3-AD559,0)+3,0)-VLOOKUP(AD$1,'פחת מים וגביה'!$A:$D,4,0),0))*AD408/AD$425)+IF(AND(AD$7="חברה מנהלת",AD22&lt;&gt;""),+VLOOKUP(AD663,'פחתי מים לרשויות מצטרפות'!$A$12:$G$15,5,0)-VLOOKUP(AD15,'פחת מים וגביה'!$A:$D,4,0),0)</f>
        <v>0</v>
      </c>
      <c r="AE605" s="1049">
        <f>(+IF(AE559&gt;=2015,MAX(VLOOKUP(AE663,'פחתי מים לרשויות מצטרפות'!$A$11:$G$14,MAX($B$3-AE559,0)+3,0)-VLOOKUP(AE$1,'פחת מים וגביה'!$A:$D,4,0),0))*AE408/AE$425)+IF(AND(AE$7="חברה מנהלת",AE22&lt;&gt;""),+VLOOKUP(AE663,'פחתי מים לרשויות מצטרפות'!$A$12:$G$15,5,0)-VLOOKUP(AE15,'פחת מים וגביה'!$A:$D,4,0),0)</f>
        <v>0</v>
      </c>
      <c r="AF605" s="1049">
        <f>(+IF(AF559&gt;=2015,MAX(VLOOKUP(AF663,'פחתי מים לרשויות מצטרפות'!$A$11:$G$14,MAX($B$3-AF559,0)+3,0)-VLOOKUP(AF$1,'פחת מים וגביה'!$A:$D,4,0),0))*AF408/AF$425)+IF(AND(AF$7="חברה מנהלת",AF22&lt;&gt;""),+VLOOKUP(AF663,'פחתי מים לרשויות מצטרפות'!$A$12:$G$15,5,0)-VLOOKUP(AF15,'פחת מים וגביה'!$A:$D,4,0),0)</f>
        <v>0</v>
      </c>
      <c r="AG605" s="1049">
        <f>(+IF(AG559&gt;=2015,MAX(VLOOKUP(AG663,'פחתי מים לרשויות מצטרפות'!$A$11:$G$14,MAX($B$3-AG559,0)+3,0)-VLOOKUP(AG$1,'פחת מים וגביה'!$A:$D,4,0),0))*AG408/AG$425)+IF(AND(AG$7="חברה מנהלת",AG22&lt;&gt;""),+VLOOKUP(AG663,'פחתי מים לרשויות מצטרפות'!$A$12:$G$15,5,0)-VLOOKUP(AG15,'פחת מים וגביה'!$A:$D,4,0),0)</f>
        <v>0</v>
      </c>
      <c r="AH605" s="1049">
        <f>(+IF(AH559&gt;=2015,MAX(VLOOKUP(AH663,'פחתי מים לרשויות מצטרפות'!$A$11:$G$14,MAX($B$3-AH559,0)+3,0)-VLOOKUP(AH$1,'פחת מים וגביה'!$A:$D,4,0),0))*AH408/AH$425)+IF(AND(AH$7="חברה מנהלת",AH22&lt;&gt;""),+VLOOKUP(AH663,'פחתי מים לרשויות מצטרפות'!$A$12:$G$15,5,0)-VLOOKUP(AH15,'פחת מים וגביה'!$A:$D,4,0),0)</f>
        <v>0</v>
      </c>
      <c r="AI605" s="1049">
        <f>(+IF(AI559&gt;=2015,MAX(VLOOKUP(AI663,'פחתי מים לרשויות מצטרפות'!$A$11:$G$14,MAX($B$3-AI559,0)+3,0)-VLOOKUP(AI$1,'פחת מים וגביה'!$A:$D,4,0),0))*AI408/AI$425)+IF(AND(AI$7="חברה מנהלת",AI22&lt;&gt;""),+VLOOKUP(AI663,'פחתי מים לרשויות מצטרפות'!$A$12:$G$15,5,0)-VLOOKUP(AI15,'פחת מים וגביה'!$A:$D,4,0),0)</f>
        <v>0</v>
      </c>
      <c r="AJ605" s="1049">
        <f>(+IF(AJ559&gt;=2015,MAX(VLOOKUP(AJ663,'פחתי מים לרשויות מצטרפות'!$A$11:$G$14,MAX($B$3-AJ559,0)+3,0)-VLOOKUP(AJ$1,'פחת מים וגביה'!$A:$D,4,0),0))*AJ408/AJ$425)+IF(AND(AJ$7="חברה מנהלת",AJ22&lt;&gt;""),+VLOOKUP(AJ663,'פחתי מים לרשויות מצטרפות'!$A$12:$G$15,5,0)-VLOOKUP(AJ15,'פחת מים וגביה'!$A:$D,4,0),0)</f>
        <v>0</v>
      </c>
      <c r="AK605" s="1049">
        <f>(+IF(AK559&gt;=2015,MAX(VLOOKUP(AK663,'פחתי מים לרשויות מצטרפות'!$A$11:$G$14,MAX($B$3-AK559,0)+3,0)-VLOOKUP(AK$1,'פחת מים וגביה'!$A:$D,4,0),0))*AK408/AK$425)+IF(AND(AK$7="חברה מנהלת",AK22&lt;&gt;""),+VLOOKUP(AK663,'פחתי מים לרשויות מצטרפות'!$A$12:$G$15,5,0)-VLOOKUP(AK15,'פחת מים וגביה'!$A:$D,4,0),0)</f>
        <v>0</v>
      </c>
      <c r="AL605" s="1049">
        <f>(+IF(AL559&gt;=2015,MAX(VLOOKUP(AL663,'פחתי מים לרשויות מצטרפות'!$A$11:$G$14,MAX($B$3-AL559,0)+3,0)-VLOOKUP(AL$1,'פחת מים וגביה'!$A:$D,4,0),0))*AL408/AL$425)+IF(AND(AL$7="חברה מנהלת",AL22&lt;&gt;""),+VLOOKUP(AL663,'פחתי מים לרשויות מצטרפות'!$A$12:$G$15,5,0)-VLOOKUP(AL15,'פחת מים וגביה'!$A:$D,4,0),0)</f>
        <v>0</v>
      </c>
      <c r="AM605" s="1049">
        <f>(+IF(AM559&gt;=2015,MAX(VLOOKUP(AM663,'פחתי מים לרשויות מצטרפות'!$A$11:$G$14,MAX($B$3-AM559,0)+3,0)-VLOOKUP(AM$1,'פחת מים וגביה'!$A:$D,4,0),0))*AM408/AM$425)+IF(AND(AM$7="חברה מנהלת",AM22&lt;&gt;""),+VLOOKUP(AM663,'פחתי מים לרשויות מצטרפות'!$A$12:$G$15,5,0)-VLOOKUP(AM15,'פחת מים וגביה'!$A:$D,4,0),0)</f>
        <v>0</v>
      </c>
      <c r="AN605" s="1049">
        <f>(+IF(AN559&gt;=2015,MAX(VLOOKUP(AN663,'פחתי מים לרשויות מצטרפות'!$A$11:$G$14,MAX($B$3-AN559,0)+3,0)-VLOOKUP(AN$1,'פחת מים וגביה'!$A:$D,4,0),0))*AN408/AN$425)+IF(AND(AN$7="חברה מנהלת",AN22&lt;&gt;""),+VLOOKUP(AN663,'פחתי מים לרשויות מצטרפות'!$A$12:$G$15,5,0)-VLOOKUP(AN15,'פחת מים וגביה'!$A:$D,4,0),0)</f>
        <v>0</v>
      </c>
      <c r="AO605" s="1049">
        <f>(+IF(AO559&gt;=2015,MAX(VLOOKUP(AO663,'פחתי מים לרשויות מצטרפות'!$A$11:$G$14,MAX($B$3-AO559,0)+3,0)-VLOOKUP(AO$1,'פחת מים וגביה'!$A:$D,4,0),0))*AO408/AO$425)+IF(AND(AO$7="חברה מנהלת",AO22&lt;&gt;""),+VLOOKUP(AO663,'פחתי מים לרשויות מצטרפות'!$A$12:$G$15,5,0)-VLOOKUP(AO15,'פחת מים וגביה'!$A:$D,4,0),0)</f>
        <v>0</v>
      </c>
      <c r="AP605" s="1049">
        <f>(+IF(AP559&gt;=2015,MAX(VLOOKUP(AP663,'פחתי מים לרשויות מצטרפות'!$A$11:$G$14,MAX($B$3-AP559,0)+3,0)-VLOOKUP(AP$1,'פחת מים וגביה'!$A:$D,4,0),0))*AP408/AP$425)+IF(AND(AP$7="חברה מנהלת",AP22&lt;&gt;""),+VLOOKUP(AP663,'פחתי מים לרשויות מצטרפות'!$A$12:$G$15,5,0)-VLOOKUP(AP15,'פחת מים וגביה'!$A:$D,4,0),0)</f>
        <v>0</v>
      </c>
      <c r="AQ605" s="1049">
        <f>(+IF(AQ559&gt;=2015,MAX(VLOOKUP(AQ663,'פחתי מים לרשויות מצטרפות'!$A$11:$G$14,MAX($B$3-AQ559,0)+3,0)-VLOOKUP(AQ$1,'פחת מים וגביה'!$A:$D,4,0),0))*AQ408/AQ$425)+IF(AND(AQ$7="חברה מנהלת",AQ22&lt;&gt;""),+VLOOKUP(AQ663,'פחתי מים לרשויות מצטרפות'!$A$12:$G$15,5,0)-VLOOKUP(AQ15,'פחת מים וגביה'!$A:$D,4,0),0)</f>
        <v>0</v>
      </c>
      <c r="AR605" s="1049">
        <f>(+IF(AR559&gt;=2015,MAX(VLOOKUP(AR663,'פחתי מים לרשויות מצטרפות'!$A$11:$G$14,MAX($B$3-AR559,0)+3,0)-VLOOKUP(AR$1,'פחת מים וגביה'!$A:$D,4,0),0))*AR408/AR$425)+IF(AND(AR$7="חברה מנהלת",AR22&lt;&gt;""),+VLOOKUP(AR663,'פחתי מים לרשויות מצטרפות'!$A$12:$G$15,5,0)-VLOOKUP(AR15,'פחת מים וגביה'!$A:$D,4,0),0)</f>
        <v>0</v>
      </c>
      <c r="AS605" s="1049">
        <f>(+IF(AS559&gt;=2015,MAX(VLOOKUP(AS663,'פחתי מים לרשויות מצטרפות'!$A$11:$G$14,MAX($B$3-AS559,0)+3,0)-VLOOKUP(AS$1,'פחת מים וגביה'!$A:$D,4,0),0))*AS408/AS$425)+IF(AND(AS$7="חברה מנהלת",AS22&lt;&gt;""),+VLOOKUP(AS663,'פחתי מים לרשויות מצטרפות'!$A$12:$G$15,5,0)-VLOOKUP(AS15,'פחת מים וגביה'!$A:$D,4,0),0)</f>
        <v>0</v>
      </c>
      <c r="AT605" s="1049">
        <f>(+IF(AT559&gt;=2015,MAX(VLOOKUP(AT663,'פחתי מים לרשויות מצטרפות'!$A$11:$G$14,MAX($B$3-AT559,0)+3,0)-VLOOKUP(AT$1,'פחת מים וגביה'!$A:$D,4,0),0))*AT408/AT$425)+IF(AND(AT$7="חברה מנהלת",AT22&lt;&gt;""),+VLOOKUP(AT663,'פחתי מים לרשויות מצטרפות'!$A$12:$G$15,5,0)-VLOOKUP(AT15,'פחת מים וגביה'!$A:$D,4,0),0)</f>
        <v>0</v>
      </c>
      <c r="AU605" s="1049">
        <f>(+IF(AU559&gt;=2015,MAX(VLOOKUP(AU663,'פחתי מים לרשויות מצטרפות'!$A$11:$G$14,MAX($B$3-AU559,0)+3,0)-VLOOKUP(AU$1,'פחת מים וגביה'!$A:$D,4,0),0))*AU408/AU$425)+IF(AND(AU$7="חברה מנהלת",AU22&lt;&gt;""),+VLOOKUP(AU663,'פחתי מים לרשויות מצטרפות'!$A$12:$G$15,5,0)-VLOOKUP(AU15,'פחת מים וגביה'!$A:$D,4,0),0)</f>
        <v>0</v>
      </c>
      <c r="AV605" s="1049">
        <f>(+IF(AV559&gt;=2015,MAX(VLOOKUP(AV663,'פחתי מים לרשויות מצטרפות'!$A$11:$G$14,MAX($B$3-AV559,0)+3,0)-VLOOKUP(AV$1,'פחת מים וגביה'!$A:$D,4,0),0))*AV408/AV$425)+IF(AND(AV$7="חברה מנהלת",AV22&lt;&gt;""),+VLOOKUP(AV663,'פחתי מים לרשויות מצטרפות'!$A$12:$G$15,5,0)-VLOOKUP(AV15,'פחת מים וגביה'!$A:$D,4,0),0)</f>
        <v>0</v>
      </c>
      <c r="AW605" s="1049">
        <f>(+IF(AW559&gt;=2015,MAX(VLOOKUP(AW663,'פחתי מים לרשויות מצטרפות'!$A$11:$G$14,MAX($B$3-AW559,0)+3,0)-VLOOKUP(AW$1,'פחת מים וגביה'!$A:$D,4,0),0))*AW408/AW$425)+IF(AND(AW$7="חברה מנהלת",AW22&lt;&gt;""),+VLOOKUP(AW663,'פחתי מים לרשויות מצטרפות'!$A$12:$G$15,5,0)-VLOOKUP(AW15,'פחת מים וגביה'!$A:$D,4,0),0)</f>
        <v>0</v>
      </c>
      <c r="AX605" s="1049">
        <f>(+IF(AX559&gt;=2015,MAX(VLOOKUP(AX663,'פחתי מים לרשויות מצטרפות'!$A$11:$G$14,MAX($B$3-AX559,0)+3,0)-VLOOKUP(AX$1,'פחת מים וגביה'!$A:$D,4,0),0))*AX408/AX$425)+IF(AND(AX$7="חברה מנהלת",AX22&lt;&gt;""),+VLOOKUP(AX663,'פחתי מים לרשויות מצטרפות'!$A$12:$G$15,5,0)-VLOOKUP(AX15,'פחת מים וגביה'!$A:$D,4,0),0)</f>
        <v>0</v>
      </c>
      <c r="AY605" s="1049">
        <f>(+IF(AY559&gt;=2015,MAX(VLOOKUP(AY663,'פחתי מים לרשויות מצטרפות'!$A$11:$G$14,MAX($B$3-AY559,0)+3,0)-VLOOKUP(AY$1,'פחת מים וגביה'!$A:$D,4,0),0))*AY408/AY$425)+IF(AND(AY$7="חברה מנהלת",AY22&lt;&gt;""),+VLOOKUP(AY663,'פחתי מים לרשויות מצטרפות'!$A$12:$G$15,5,0)-VLOOKUP(AY15,'פחת מים וגביה'!$A:$D,4,0),0)</f>
        <v>0</v>
      </c>
      <c r="AZ605" s="1049">
        <f>(+IF(AZ559&gt;=2015,MAX(VLOOKUP(AZ663,'פחתי מים לרשויות מצטרפות'!$A$11:$G$14,MAX($B$3-AZ559,0)+3,0)-VLOOKUP(AZ$1,'פחת מים וגביה'!$A:$D,4,0),0))*AZ408/AZ$425)+IF(AND(AZ$7="חברה מנהלת",AZ22&lt;&gt;""),+VLOOKUP(AZ663,'פחתי מים לרשויות מצטרפות'!$A$12:$G$15,5,0)-VLOOKUP(AZ15,'פחת מים וגביה'!$A:$D,4,0),0)</f>
        <v>0</v>
      </c>
      <c r="BA605" s="1049">
        <f>(+IF(BA559&gt;=2015,MAX(VLOOKUP(BA663,'פחתי מים לרשויות מצטרפות'!$A$11:$G$14,MAX($B$3-BA559,0)+3,0)-VLOOKUP(BA$1,'פחת מים וגביה'!$A:$D,4,0),0))*BA408/BA$425)+IF(AND(BA$7="חברה מנהלת",BA22&lt;&gt;""),+VLOOKUP(BA663,'פחתי מים לרשויות מצטרפות'!$A$12:$G$15,5,0)-VLOOKUP(BA15,'פחת מים וגביה'!$A:$D,4,0),0)</f>
        <v>0</v>
      </c>
      <c r="BB605" s="1049">
        <f>(+IF(BB559&gt;=2015,MAX(VLOOKUP(BB663,'פחתי מים לרשויות מצטרפות'!$A$11:$G$14,MAX($B$3-BB559,0)+3,0)-VLOOKUP(BB$1,'פחת מים וגביה'!$A:$D,4,0),0))*BB408/BB$425)+IF(AND(BB$7="חברה מנהלת",BB22&lt;&gt;""),+VLOOKUP(BB663,'פחתי מים לרשויות מצטרפות'!$A$12:$G$15,5,0)-VLOOKUP(BB15,'פחת מים וגביה'!$A:$D,4,0),0)</f>
        <v>0</v>
      </c>
      <c r="BC605" s="1049">
        <f>(+IF(BC559&gt;=2015,MAX(VLOOKUP(BC663,'פחתי מים לרשויות מצטרפות'!$A$11:$G$14,MAX($B$3-BC559,0)+3,0)-VLOOKUP(BC$1,'פחת מים וגביה'!$A:$D,4,0),0))*BC408/BC$425)+IF(AND(BC$7="חברה מנהלת",BC22&lt;&gt;""),+VLOOKUP(BC663,'פחתי מים לרשויות מצטרפות'!$A$12:$G$15,5,0)-VLOOKUP(BC15,'פחת מים וגביה'!$A:$D,4,0),0)</f>
        <v>0</v>
      </c>
      <c r="BD605" s="1049">
        <f>(+IF(BD559&gt;=2015,MAX(VLOOKUP(BD663,'פחתי מים לרשויות מצטרפות'!$A$11:$G$14,MAX($B$3-BD559,0)+3,0)-VLOOKUP(BD$1,'פחת מים וגביה'!$A:$D,4,0),0))*BD408/BD$425)+IF(AND(BD$7="חברה מנהלת",BD22&lt;&gt;""),+VLOOKUP(BD663,'פחתי מים לרשויות מצטרפות'!$A$12:$G$15,5,0)-VLOOKUP(BD15,'פחת מים וגביה'!$A:$D,4,0),0)</f>
        <v>0</v>
      </c>
      <c r="BE605" s="1049">
        <f>(+IF(BE559&gt;=2015,MAX(VLOOKUP(BE663,'פחתי מים לרשויות מצטרפות'!$A$11:$G$14,MAX($B$3-BE559,0)+3,0)-VLOOKUP(BE$1,'פחת מים וגביה'!$A:$D,4,0),0))*BE408/BE$425)+IF(AND(BE$7="חברה מנהלת",BE22&lt;&gt;""),+VLOOKUP(BE663,'פחתי מים לרשויות מצטרפות'!$A$12:$G$15,5,0)-VLOOKUP(BE15,'פחת מים וגביה'!$A:$D,4,0),0)</f>
        <v>0</v>
      </c>
      <c r="BF605" s="1049">
        <f>(+IF(BF559&gt;=2015,MAX(VLOOKUP(BF663,'פחתי מים לרשויות מצטרפות'!$A$11:$G$14,MAX($B$3-BF559,0)+3,0)-VLOOKUP(BF$1,'פחת מים וגביה'!$A:$D,4,0),0))*BF408/BF$425)+IF(AND(BF$7="חברה מנהלת",BF22&lt;&gt;""),+VLOOKUP(BF663,'פחתי מים לרשויות מצטרפות'!$A$12:$G$15,5,0)-VLOOKUP(BF15,'פחת מים וגביה'!$A:$D,4,0),0)</f>
        <v>0</v>
      </c>
    </row>
    <row r="606" spans="3:58" x14ac:dyDescent="0.2">
      <c r="C606" s="1049">
        <f>(+IF(C560&gt;=2015,MAX(VLOOKUP(C664,'פחתי מים לרשויות מצטרפות'!$A$11:$G$14,MAX($B$3-C560,0)+3,0)-VLOOKUP(C$1,'פחת מים וגביה'!$A:$D,4,0),0))*C409/C$425)+IF(AND(C$7="חברה מנהלת",C23&lt;&gt;""),+VLOOKUP(C664,'פחתי מים לרשויות מצטרפות'!$A$12:$G$15,5,0)-VLOOKUP(C16,'פחת מים וגביה'!$A:$D,4,0),0)</f>
        <v>0</v>
      </c>
      <c r="D606" s="1049">
        <f>(+IF(D560&gt;=2015,MAX(VLOOKUP(D664,'פחתי מים לרשויות מצטרפות'!$A$11:$G$14,MAX($B$3-D560,0)+3,0)-VLOOKUP(D$1,'פחת מים וגביה'!$A:$D,4,0),0))*D409/D$425)+IF(AND(D$7="חברה מנהלת",D23&lt;&gt;""),+VLOOKUP(D664,'פחתי מים לרשויות מצטרפות'!$A$12:$G$15,5,0)-VLOOKUP(D16,'פחת מים וגביה'!$A:$D,4,0),0)</f>
        <v>0</v>
      </c>
      <c r="E606" s="1049">
        <f>(+IF(E560&gt;=2015,MAX(VLOOKUP(E664,'פחתי מים לרשויות מצטרפות'!$A$11:$G$14,MAX($B$3-E560,0)+3,0)-VLOOKUP(E$1,'פחת מים וגביה'!$A:$D,4,0),0))*E409/E$425)+IF(AND(E$7="חברה מנהלת",E23&lt;&gt;""),+VLOOKUP(E664,'פחתי מים לרשויות מצטרפות'!$A$12:$G$15,5,0)-VLOOKUP(E16,'פחת מים וגביה'!$A:$D,4,0),0)</f>
        <v>0</v>
      </c>
      <c r="F606" s="1049">
        <f>(+IF(F560&gt;=2015,MAX(VLOOKUP(F664,'פחתי מים לרשויות מצטרפות'!$A$11:$G$14,MAX($B$3-F560,0)+3,0)-VLOOKUP(F$1,'פחת מים וגביה'!$A:$D,4,0),0))*F409/F$425)+IF(AND(F$7="חברה מנהלת",F23&lt;&gt;""),+VLOOKUP(F664,'פחתי מים לרשויות מצטרפות'!$A$12:$G$15,5,0)-VLOOKUP(F16,'פחת מים וגביה'!$A:$D,4,0),0)</f>
        <v>0</v>
      </c>
      <c r="G606" s="1049">
        <f>(+IF(G560&gt;=2015,MAX(VLOOKUP(G664,'פחתי מים לרשויות מצטרפות'!$A$11:$G$14,MAX($B$3-G560,0)+3,0)-VLOOKUP(G$1,'פחת מים וגביה'!$A:$D,4,0),0))*G409/G$425)+IF(AND(G$7="חברה מנהלת",G23&lt;&gt;""),+VLOOKUP(G664,'פחתי מים לרשויות מצטרפות'!$A$12:$G$15,5,0)-VLOOKUP(G16,'פחת מים וגביה'!$A:$D,4,0),0)</f>
        <v>0</v>
      </c>
      <c r="H606" s="1049">
        <f>(+IF(H560&gt;=2015,MAX(VLOOKUP(H664,'פחתי מים לרשויות מצטרפות'!$A$11:$G$14,MAX($B$3-H560,0)+3,0)-VLOOKUP(H$1,'פחת מים וגביה'!$A:$D,4,0),0))*H409/H$425)+IF(AND(H$7="חברה מנהלת",H23&lt;&gt;""),+VLOOKUP(H664,'פחתי מים לרשויות מצטרפות'!$A$12:$G$15,5,0)-VLOOKUP(H16,'פחת מים וגביה'!$A:$D,4,0),0)</f>
        <v>0</v>
      </c>
      <c r="I606" s="1049">
        <f>(+IF(I560&gt;=2015,MAX(VLOOKUP(I664,'פחתי מים לרשויות מצטרפות'!$A$11:$G$14,MAX($B$3-I560,0)+3,0)-VLOOKUP(I$1,'פחת מים וגביה'!$A:$D,4,0),0))*I409/I$425)+IF(AND(I$7="חברה מנהלת",I23&lt;&gt;""),+VLOOKUP(I664,'פחתי מים לרשויות מצטרפות'!$A$12:$G$15,5,0)-VLOOKUP(I16,'פחת מים וגביה'!$A:$D,4,0),0)</f>
        <v>0</v>
      </c>
      <c r="J606" s="1049">
        <f>(+IF(J560&gt;=2015,MAX(VLOOKUP(J664,'פחתי מים לרשויות מצטרפות'!$A$11:$G$14,MAX($B$3-J560,0)+3,0)-VLOOKUP(J$1,'פחת מים וגביה'!$A:$D,4,0),0))*J409/J$425)+IF(AND(J$7="חברה מנהלת",J23&lt;&gt;""),+VLOOKUP(J664,'פחתי מים לרשויות מצטרפות'!$A$12:$G$15,5,0)-VLOOKUP(J16,'פחת מים וגביה'!$A:$D,4,0),0)</f>
        <v>0</v>
      </c>
      <c r="K606" s="1049">
        <f>(+IF(K560&gt;=2015,MAX(VLOOKUP(K664,'פחתי מים לרשויות מצטרפות'!$A$11:$G$14,MAX($B$3-K560,0)+3,0)-VLOOKUP(K$1,'פחת מים וגביה'!$A:$D,4,0),0))*K409/K$425)+IF(AND(K$7="חברה מנהלת",K23&lt;&gt;""),+VLOOKUP(K664,'פחתי מים לרשויות מצטרפות'!$A$12:$G$15,5,0)-VLOOKUP(K16,'פחת מים וגביה'!$A:$D,4,0),0)</f>
        <v>0</v>
      </c>
      <c r="L606" s="1049">
        <f>(+IF(L560&gt;=2015,MAX(VLOOKUP(L664,'פחתי מים לרשויות מצטרפות'!$A$11:$G$14,MAX($B$3-L560,0)+3,0)-VLOOKUP(L$1,'פחת מים וגביה'!$A:$D,4,0),0))*L409/L$425)+IF(AND(L$7="חברה מנהלת",L23&lt;&gt;""),+VLOOKUP(L664,'פחתי מים לרשויות מצטרפות'!$A$12:$G$15,5,0)-VLOOKUP(L16,'פחת מים וגביה'!$A:$D,4,0),0)</f>
        <v>0</v>
      </c>
      <c r="M606" s="1049">
        <f>(+IF(M560&gt;=2015,MAX(VLOOKUP(M664,'פחתי מים לרשויות מצטרפות'!$A$11:$G$14,MAX($B$3-M560,0)+3,0)-VLOOKUP(M$1,'פחת מים וגביה'!$A:$D,4,0),0))*M409/M$425)+IF(AND(M$7="חברה מנהלת",M23&lt;&gt;""),+VLOOKUP(M664,'פחתי מים לרשויות מצטרפות'!$A$12:$G$15,5,0)-VLOOKUP(M16,'פחת מים וגביה'!$A:$D,4,0),0)</f>
        <v>0</v>
      </c>
      <c r="N606" s="1049">
        <f>(+IF(N560&gt;=2015,MAX(VLOOKUP(N664,'פחתי מים לרשויות מצטרפות'!$A$11:$G$14,MAX($B$3-N560,0)+3,0)-VLOOKUP(N$1,'פחת מים וגביה'!$A:$D,4,0),0))*N409/N$425)+IF(AND(N$7="חברה מנהלת",N23&lt;&gt;""),+VLOOKUP(N664,'פחתי מים לרשויות מצטרפות'!$A$12:$G$15,5,0)-VLOOKUP(N16,'פחת מים וגביה'!$A:$D,4,0),0)</f>
        <v>0</v>
      </c>
      <c r="O606" s="1049">
        <f>(+IF(O560&gt;=2015,MAX(VLOOKUP(O664,'פחתי מים לרשויות מצטרפות'!$A$11:$G$14,MAX($B$3-O560,0)+3,0)-VLOOKUP(O$1,'פחת מים וגביה'!$A:$D,4,0),0))*O409/O$425)+IF(AND(O$7="חברה מנהלת",O23&lt;&gt;""),+VLOOKUP(O664,'פחתי מים לרשויות מצטרפות'!$A$12:$G$15,5,0)-VLOOKUP(O16,'פחת מים וגביה'!$A:$D,4,0),0)</f>
        <v>0</v>
      </c>
      <c r="P606" s="1049">
        <f>(+IF(P560&gt;=2015,MAX(VLOOKUP(P664,'פחתי מים לרשויות מצטרפות'!$A$11:$G$14,MAX($B$3-P560,0)+3,0)-VLOOKUP(P$1,'פחת מים וגביה'!$A:$D,4,0),0))*P409/P$425)+IF(AND(P$7="חברה מנהלת",P23&lt;&gt;""),+VLOOKUP(P664,'פחתי מים לרשויות מצטרפות'!$A$12:$G$15,5,0)-VLOOKUP(P16,'פחת מים וגביה'!$A:$D,4,0),0)</f>
        <v>0</v>
      </c>
      <c r="Q606" s="1049">
        <f>(+IF(Q560&gt;=2015,MAX(VLOOKUP(Q664,'פחתי מים לרשויות מצטרפות'!$A$11:$G$14,MAX($B$3-Q560,0)+3,0)-VLOOKUP(Q$1,'פחת מים וגביה'!$A:$D,4,0),0))*Q409/Q$425)+IF(AND(Q$7="חברה מנהלת",Q23&lt;&gt;""),+VLOOKUP(Q664,'פחתי מים לרשויות מצטרפות'!$A$12:$G$15,5,0)-VLOOKUP(Q16,'פחת מים וגביה'!$A:$D,4,0),0)</f>
        <v>0</v>
      </c>
      <c r="R606" s="1049">
        <f>(+IF(R560&gt;=2015,MAX(VLOOKUP(R664,'פחתי מים לרשויות מצטרפות'!$A$11:$G$14,MAX($B$3-R560,0)+3,0)-VLOOKUP(R$1,'פחת מים וגביה'!$A:$D,4,0),0))*R409/R$425)+IF(AND(R$7="חברה מנהלת",R23&lt;&gt;""),+VLOOKUP(R664,'פחתי מים לרשויות מצטרפות'!$A$12:$G$15,5,0)-VLOOKUP(R16,'פחת מים וגביה'!$A:$D,4,0),0)</f>
        <v>0</v>
      </c>
      <c r="S606" s="1049">
        <f>(+IF(S560&gt;=2015,MAX(VLOOKUP(S664,'פחתי מים לרשויות מצטרפות'!$A$11:$G$14,MAX($B$3-S560,0)+3,0)-VLOOKUP(S$1,'פחת מים וגביה'!$A:$D,4,0),0))*S409/S$425)+IF(AND(S$7="חברה מנהלת",S23&lt;&gt;""),+VLOOKUP(S664,'פחתי מים לרשויות מצטרפות'!$A$12:$G$15,5,0)-VLOOKUP(S16,'פחת מים וגביה'!$A:$D,4,0),0)</f>
        <v>0</v>
      </c>
      <c r="T606" s="1049">
        <f>(+IF(T560&gt;=2015,MAX(VLOOKUP(T664,'פחתי מים לרשויות מצטרפות'!$A$11:$G$14,MAX($B$3-T560,0)+3,0)-VLOOKUP(T$1,'פחת מים וגביה'!$A:$D,4,0),0))*T409/T$425)+IF(AND(T$7="חברה מנהלת",T23&lt;&gt;""),+VLOOKUP(T664,'פחתי מים לרשויות מצטרפות'!$A$12:$G$15,5,0)-VLOOKUP(T16,'פחת מים וגביה'!$A:$D,4,0),0)</f>
        <v>0</v>
      </c>
      <c r="U606" s="1049">
        <f>(+IF(U560&gt;=2015,MAX(VLOOKUP(U664,'פחתי מים לרשויות מצטרפות'!$A$11:$G$14,MAX($B$3-U560,0)+3,0)-VLOOKUP(U$1,'פחת מים וגביה'!$A:$D,4,0),0))*U409/U$425)+IF(AND(U$7="חברה מנהלת",U23&lt;&gt;""),+VLOOKUP(U664,'פחתי מים לרשויות מצטרפות'!$A$12:$G$15,5,0)-VLOOKUP(U16,'פחת מים וגביה'!$A:$D,4,0),0)</f>
        <v>0</v>
      </c>
      <c r="V606" s="1049">
        <f>(+IF(V560&gt;=2015,MAX(VLOOKUP(V664,'פחתי מים לרשויות מצטרפות'!$A$11:$G$14,MAX($B$3-V560,0)+3,0)-VLOOKUP(V$1,'פחת מים וגביה'!$A:$D,4,0),0))*V409/V$425)+IF(AND(V$7="חברה מנהלת",V23&lt;&gt;""),+VLOOKUP(V664,'פחתי מים לרשויות מצטרפות'!$A$12:$G$15,5,0)-VLOOKUP(V16,'פחת מים וגביה'!$A:$D,4,0),0)</f>
        <v>0</v>
      </c>
      <c r="W606" s="1049">
        <f>(+IF(W560&gt;=2015,MAX(VLOOKUP(W664,'פחתי מים לרשויות מצטרפות'!$A$11:$G$14,MAX($B$3-W560,0)+3,0)-VLOOKUP(W$1,'פחת מים וגביה'!$A:$D,4,0),0))*W409/W$425)+IF(AND(W$7="חברה מנהלת",W23&lt;&gt;""),+VLOOKUP(W664,'פחתי מים לרשויות מצטרפות'!$A$12:$G$15,5,0)-VLOOKUP(W16,'פחת מים וגביה'!$A:$D,4,0),0)</f>
        <v>0</v>
      </c>
      <c r="X606" s="1049">
        <f>(+IF(X560&gt;=2015,MAX(VLOOKUP(X664,'פחתי מים לרשויות מצטרפות'!$A$11:$G$14,MAX($B$3-X560,0)+3,0)-VLOOKUP(X$1,'פחת מים וגביה'!$A:$D,4,0),0))*X409/X$425)+IF(AND(X$7="חברה מנהלת",X23&lt;&gt;""),+VLOOKUP(X664,'פחתי מים לרשויות מצטרפות'!$A$12:$G$15,5,0)-VLOOKUP(X16,'פחת מים וגביה'!$A:$D,4,0),0)</f>
        <v>0</v>
      </c>
      <c r="Y606" s="1049">
        <f>(+IF(Y560&gt;=2015,MAX(VLOOKUP(Y664,'פחתי מים לרשויות מצטרפות'!$A$11:$G$14,MAX($B$3-Y560,0)+3,0)-VLOOKUP(Y$1,'פחת מים וגביה'!$A:$D,4,0),0))*Y409/Y$425)+IF(AND(Y$7="חברה מנהלת",Y23&lt;&gt;""),+VLOOKUP(Y664,'פחתי מים לרשויות מצטרפות'!$A$12:$G$15,5,0)-VLOOKUP(Y16,'פחת מים וגביה'!$A:$D,4,0),0)</f>
        <v>0</v>
      </c>
      <c r="Z606" s="1049">
        <f>(+IF(Z560&gt;=2015,MAX(VLOOKUP(Z664,'פחתי מים לרשויות מצטרפות'!$A$11:$G$14,MAX($B$3-Z560,0)+3,0)-VLOOKUP(Z$1,'פחת מים וגביה'!$A:$D,4,0),0))*Z409/Z$425)+IF(AND(Z$7="חברה מנהלת",Z23&lt;&gt;""),+VLOOKUP(Z664,'פחתי מים לרשויות מצטרפות'!$A$12:$G$15,5,0)-VLOOKUP(Z16,'פחת מים וגביה'!$A:$D,4,0),0)</f>
        <v>0</v>
      </c>
      <c r="AA606" s="1049">
        <f>(+IF(AA560&gt;=2015,MAX(VLOOKUP(AA664,'פחתי מים לרשויות מצטרפות'!$A$11:$G$14,MAX($B$3-AA560,0)+3,0)-VLOOKUP(AA$1,'פחת מים וגביה'!$A:$D,4,0),0))*AA409/AA$425)+IF(AND(AA$7="חברה מנהלת",AA23&lt;&gt;""),+VLOOKUP(AA664,'פחתי מים לרשויות מצטרפות'!$A$12:$G$15,5,0)-VLOOKUP(AA16,'פחת מים וגביה'!$A:$D,4,0),0)</f>
        <v>0</v>
      </c>
      <c r="AB606" s="1049">
        <f>(+IF(AB560&gt;=2015,MAX(VLOOKUP(AB664,'פחתי מים לרשויות מצטרפות'!$A$11:$G$14,MAX($B$3-AB560,0)+3,0)-VLOOKUP(AB$1,'פחת מים וגביה'!$A:$D,4,0),0))*AB409/AB$425)+IF(AND(AB$7="חברה מנהלת",AB23&lt;&gt;""),+VLOOKUP(AB664,'פחתי מים לרשויות מצטרפות'!$A$12:$G$15,5,0)-VLOOKUP(AB16,'פחת מים וגביה'!$A:$D,4,0),0)</f>
        <v>0</v>
      </c>
      <c r="AC606" s="1049">
        <f>(+IF(AC560&gt;=2015,MAX(VLOOKUP(AC664,'פחתי מים לרשויות מצטרפות'!$A$11:$G$14,MAX($B$3-AC560,0)+3,0)-VLOOKUP(AC$1,'פחת מים וגביה'!$A:$D,4,0),0))*AC409/AC$425)+IF(AND(AC$7="חברה מנהלת",AC23&lt;&gt;""),+VLOOKUP(AC664,'פחתי מים לרשויות מצטרפות'!$A$12:$G$15,5,0)-VLOOKUP(AC16,'פחת מים וגביה'!$A:$D,4,0),0)</f>
        <v>0</v>
      </c>
      <c r="AD606" s="1049">
        <f>(+IF(AD560&gt;=2015,MAX(VLOOKUP(AD664,'פחתי מים לרשויות מצטרפות'!$A$11:$G$14,MAX($B$3-AD560,0)+3,0)-VLOOKUP(AD$1,'פחת מים וגביה'!$A:$D,4,0),0))*AD409/AD$425)+IF(AND(AD$7="חברה מנהלת",AD23&lt;&gt;""),+VLOOKUP(AD664,'פחתי מים לרשויות מצטרפות'!$A$12:$G$15,5,0)-VLOOKUP(AD16,'פחת מים וגביה'!$A:$D,4,0),0)</f>
        <v>0</v>
      </c>
      <c r="AE606" s="1049">
        <f>(+IF(AE560&gt;=2015,MAX(VLOOKUP(AE664,'פחתי מים לרשויות מצטרפות'!$A$11:$G$14,MAX($B$3-AE560,0)+3,0)-VLOOKUP(AE$1,'פחת מים וגביה'!$A:$D,4,0),0))*AE409/AE$425)+IF(AND(AE$7="חברה מנהלת",AE23&lt;&gt;""),+VLOOKUP(AE664,'פחתי מים לרשויות מצטרפות'!$A$12:$G$15,5,0)-VLOOKUP(AE16,'פחת מים וגביה'!$A:$D,4,0),0)</f>
        <v>0</v>
      </c>
      <c r="AF606" s="1049">
        <f>(+IF(AF560&gt;=2015,MAX(VLOOKUP(AF664,'פחתי מים לרשויות מצטרפות'!$A$11:$G$14,MAX($B$3-AF560,0)+3,0)-VLOOKUP(AF$1,'פחת מים וגביה'!$A:$D,4,0),0))*AF409/AF$425)+IF(AND(AF$7="חברה מנהלת",AF23&lt;&gt;""),+VLOOKUP(AF664,'פחתי מים לרשויות מצטרפות'!$A$12:$G$15,5,0)-VLOOKUP(AF16,'פחת מים וגביה'!$A:$D,4,0),0)</f>
        <v>0</v>
      </c>
      <c r="AG606" s="1049">
        <f>(+IF(AG560&gt;=2015,MAX(VLOOKUP(AG664,'פחתי מים לרשויות מצטרפות'!$A$11:$G$14,MAX($B$3-AG560,0)+3,0)-VLOOKUP(AG$1,'פחת מים וגביה'!$A:$D,4,0),0))*AG409/AG$425)+IF(AND(AG$7="חברה מנהלת",AG23&lt;&gt;""),+VLOOKUP(AG664,'פחתי מים לרשויות מצטרפות'!$A$12:$G$15,5,0)-VLOOKUP(AG16,'פחת מים וגביה'!$A:$D,4,0),0)</f>
        <v>0</v>
      </c>
      <c r="AH606" s="1049">
        <f>(+IF(AH560&gt;=2015,MAX(VLOOKUP(AH664,'פחתי מים לרשויות מצטרפות'!$A$11:$G$14,MAX($B$3-AH560,0)+3,0)-VLOOKUP(AH$1,'פחת מים וגביה'!$A:$D,4,0),0))*AH409/AH$425)+IF(AND(AH$7="חברה מנהלת",AH23&lt;&gt;""),+VLOOKUP(AH664,'פחתי מים לרשויות מצטרפות'!$A$12:$G$15,5,0)-VLOOKUP(AH16,'פחת מים וגביה'!$A:$D,4,0),0)</f>
        <v>0</v>
      </c>
      <c r="AI606" s="1049">
        <f>(+IF(AI560&gt;=2015,MAX(VLOOKUP(AI664,'פחתי מים לרשויות מצטרפות'!$A$11:$G$14,MAX($B$3-AI560,0)+3,0)-VLOOKUP(AI$1,'פחת מים וגביה'!$A:$D,4,0),0))*AI409/AI$425)+IF(AND(AI$7="חברה מנהלת",AI23&lt;&gt;""),+VLOOKUP(AI664,'פחתי מים לרשויות מצטרפות'!$A$12:$G$15,5,0)-VLOOKUP(AI16,'פחת מים וגביה'!$A:$D,4,0),0)</f>
        <v>0</v>
      </c>
      <c r="AJ606" s="1049">
        <f>(+IF(AJ560&gt;=2015,MAX(VLOOKUP(AJ664,'פחתי מים לרשויות מצטרפות'!$A$11:$G$14,MAX($B$3-AJ560,0)+3,0)-VLOOKUP(AJ$1,'פחת מים וגביה'!$A:$D,4,0),0))*AJ409/AJ$425)+IF(AND(AJ$7="חברה מנהלת",AJ23&lt;&gt;""),+VLOOKUP(AJ664,'פחתי מים לרשויות מצטרפות'!$A$12:$G$15,5,0)-VLOOKUP(AJ16,'פחת מים וגביה'!$A:$D,4,0),0)</f>
        <v>0</v>
      </c>
      <c r="AK606" s="1049">
        <f>(+IF(AK560&gt;=2015,MAX(VLOOKUP(AK664,'פחתי מים לרשויות מצטרפות'!$A$11:$G$14,MAX($B$3-AK560,0)+3,0)-VLOOKUP(AK$1,'פחת מים וגביה'!$A:$D,4,0),0))*AK409/AK$425)+IF(AND(AK$7="חברה מנהלת",AK23&lt;&gt;""),+VLOOKUP(AK664,'פחתי מים לרשויות מצטרפות'!$A$12:$G$15,5,0)-VLOOKUP(AK16,'פחת מים וגביה'!$A:$D,4,0),0)</f>
        <v>0</v>
      </c>
      <c r="AL606" s="1049">
        <f>(+IF(AL560&gt;=2015,MAX(VLOOKUP(AL664,'פחתי מים לרשויות מצטרפות'!$A$11:$G$14,MAX($B$3-AL560,0)+3,0)-VLOOKUP(AL$1,'פחת מים וגביה'!$A:$D,4,0),0))*AL409/AL$425)+IF(AND(AL$7="חברה מנהלת",AL23&lt;&gt;""),+VLOOKUP(AL664,'פחתי מים לרשויות מצטרפות'!$A$12:$G$15,5,0)-VLOOKUP(AL16,'פחת מים וגביה'!$A:$D,4,0),0)</f>
        <v>0</v>
      </c>
      <c r="AM606" s="1049">
        <f>(+IF(AM560&gt;=2015,MAX(VLOOKUP(AM664,'פחתי מים לרשויות מצטרפות'!$A$11:$G$14,MAX($B$3-AM560,0)+3,0)-VLOOKUP(AM$1,'פחת מים וגביה'!$A:$D,4,0),0))*AM409/AM$425)+IF(AND(AM$7="חברה מנהלת",AM23&lt;&gt;""),+VLOOKUP(AM664,'פחתי מים לרשויות מצטרפות'!$A$12:$G$15,5,0)-VLOOKUP(AM16,'פחת מים וגביה'!$A:$D,4,0),0)</f>
        <v>0</v>
      </c>
      <c r="AN606" s="1049">
        <f>(+IF(AN560&gt;=2015,MAX(VLOOKUP(AN664,'פחתי מים לרשויות מצטרפות'!$A$11:$G$14,MAX($B$3-AN560,0)+3,0)-VLOOKUP(AN$1,'פחת מים וגביה'!$A:$D,4,0),0))*AN409/AN$425)+IF(AND(AN$7="חברה מנהלת",AN23&lt;&gt;""),+VLOOKUP(AN664,'פחתי מים לרשויות מצטרפות'!$A$12:$G$15,5,0)-VLOOKUP(AN16,'פחת מים וגביה'!$A:$D,4,0),0)</f>
        <v>0</v>
      </c>
      <c r="AO606" s="1049">
        <f>(+IF(AO560&gt;=2015,MAX(VLOOKUP(AO664,'פחתי מים לרשויות מצטרפות'!$A$11:$G$14,MAX($B$3-AO560,0)+3,0)-VLOOKUP(AO$1,'פחת מים וגביה'!$A:$D,4,0),0))*AO409/AO$425)+IF(AND(AO$7="חברה מנהלת",AO23&lt;&gt;""),+VLOOKUP(AO664,'פחתי מים לרשויות מצטרפות'!$A$12:$G$15,5,0)-VLOOKUP(AO16,'פחת מים וגביה'!$A:$D,4,0),0)</f>
        <v>0</v>
      </c>
      <c r="AP606" s="1049">
        <f>(+IF(AP560&gt;=2015,MAX(VLOOKUP(AP664,'פחתי מים לרשויות מצטרפות'!$A$11:$G$14,MAX($B$3-AP560,0)+3,0)-VLOOKUP(AP$1,'פחת מים וגביה'!$A:$D,4,0),0))*AP409/AP$425)+IF(AND(AP$7="חברה מנהלת",AP23&lt;&gt;""),+VLOOKUP(AP664,'פחתי מים לרשויות מצטרפות'!$A$12:$G$15,5,0)-VLOOKUP(AP16,'פחת מים וגביה'!$A:$D,4,0),0)</f>
        <v>0</v>
      </c>
      <c r="AQ606" s="1049">
        <f>(+IF(AQ560&gt;=2015,MAX(VLOOKUP(AQ664,'פחתי מים לרשויות מצטרפות'!$A$11:$G$14,MAX($B$3-AQ560,0)+3,0)-VLOOKUP(AQ$1,'פחת מים וגביה'!$A:$D,4,0),0))*AQ409/AQ$425)+IF(AND(AQ$7="חברה מנהלת",AQ23&lt;&gt;""),+VLOOKUP(AQ664,'פחתי מים לרשויות מצטרפות'!$A$12:$G$15,5,0)-VLOOKUP(AQ16,'פחת מים וגביה'!$A:$D,4,0),0)</f>
        <v>0</v>
      </c>
      <c r="AR606" s="1049">
        <f>(+IF(AR560&gt;=2015,MAX(VLOOKUP(AR664,'פחתי מים לרשויות מצטרפות'!$A$11:$G$14,MAX($B$3-AR560,0)+3,0)-VLOOKUP(AR$1,'פחת מים וגביה'!$A:$D,4,0),0))*AR409/AR$425)+IF(AND(AR$7="חברה מנהלת",AR23&lt;&gt;""),+VLOOKUP(AR664,'פחתי מים לרשויות מצטרפות'!$A$12:$G$15,5,0)-VLOOKUP(AR16,'פחת מים וגביה'!$A:$D,4,0),0)</f>
        <v>0</v>
      </c>
      <c r="AS606" s="1049">
        <f>(+IF(AS560&gt;=2015,MAX(VLOOKUP(AS664,'פחתי מים לרשויות מצטרפות'!$A$11:$G$14,MAX($B$3-AS560,0)+3,0)-VLOOKUP(AS$1,'פחת מים וגביה'!$A:$D,4,0),0))*AS409/AS$425)+IF(AND(AS$7="חברה מנהלת",AS23&lt;&gt;""),+VLOOKUP(AS664,'פחתי מים לרשויות מצטרפות'!$A$12:$G$15,5,0)-VLOOKUP(AS16,'פחת מים וגביה'!$A:$D,4,0),0)</f>
        <v>0</v>
      </c>
      <c r="AT606" s="1049">
        <f>(+IF(AT560&gt;=2015,MAX(VLOOKUP(AT664,'פחתי מים לרשויות מצטרפות'!$A$11:$G$14,MAX($B$3-AT560,0)+3,0)-VLOOKUP(AT$1,'פחת מים וגביה'!$A:$D,4,0),0))*AT409/AT$425)+IF(AND(AT$7="חברה מנהלת",AT23&lt;&gt;""),+VLOOKUP(AT664,'פחתי מים לרשויות מצטרפות'!$A$12:$G$15,5,0)-VLOOKUP(AT16,'פחת מים וגביה'!$A:$D,4,0),0)</f>
        <v>0</v>
      </c>
      <c r="AU606" s="1049">
        <f>(+IF(AU560&gt;=2015,MAX(VLOOKUP(AU664,'פחתי מים לרשויות מצטרפות'!$A$11:$G$14,MAX($B$3-AU560,0)+3,0)-VLOOKUP(AU$1,'פחת מים וגביה'!$A:$D,4,0),0))*AU409/AU$425)+IF(AND(AU$7="חברה מנהלת",AU23&lt;&gt;""),+VLOOKUP(AU664,'פחתי מים לרשויות מצטרפות'!$A$12:$G$15,5,0)-VLOOKUP(AU16,'פחת מים וגביה'!$A:$D,4,0),0)</f>
        <v>0</v>
      </c>
      <c r="AV606" s="1049">
        <f>(+IF(AV560&gt;=2015,MAX(VLOOKUP(AV664,'פחתי מים לרשויות מצטרפות'!$A$11:$G$14,MAX($B$3-AV560,0)+3,0)-VLOOKUP(AV$1,'פחת מים וגביה'!$A:$D,4,0),0))*AV409/AV$425)+IF(AND(AV$7="חברה מנהלת",AV23&lt;&gt;""),+VLOOKUP(AV664,'פחתי מים לרשויות מצטרפות'!$A$12:$G$15,5,0)-VLOOKUP(AV16,'פחת מים וגביה'!$A:$D,4,0),0)</f>
        <v>0</v>
      </c>
      <c r="AW606" s="1049">
        <f>(+IF(AW560&gt;=2015,MAX(VLOOKUP(AW664,'פחתי מים לרשויות מצטרפות'!$A$11:$G$14,MAX($B$3-AW560,0)+3,0)-VLOOKUP(AW$1,'פחת מים וגביה'!$A:$D,4,0),0))*AW409/AW$425)+IF(AND(AW$7="חברה מנהלת",AW23&lt;&gt;""),+VLOOKUP(AW664,'פחתי מים לרשויות מצטרפות'!$A$12:$G$15,5,0)-VLOOKUP(AW16,'פחת מים וגביה'!$A:$D,4,0),0)</f>
        <v>0</v>
      </c>
      <c r="AX606" s="1049">
        <f>(+IF(AX560&gt;=2015,MAX(VLOOKUP(AX664,'פחתי מים לרשויות מצטרפות'!$A$11:$G$14,MAX($B$3-AX560,0)+3,0)-VLOOKUP(AX$1,'פחת מים וגביה'!$A:$D,4,0),0))*AX409/AX$425)+IF(AND(AX$7="חברה מנהלת",AX23&lt;&gt;""),+VLOOKUP(AX664,'פחתי מים לרשויות מצטרפות'!$A$12:$G$15,5,0)-VLOOKUP(AX16,'פחת מים וגביה'!$A:$D,4,0),0)</f>
        <v>0</v>
      </c>
      <c r="AY606" s="1049">
        <f>(+IF(AY560&gt;=2015,MAX(VLOOKUP(AY664,'פחתי מים לרשויות מצטרפות'!$A$11:$G$14,MAX($B$3-AY560,0)+3,0)-VLOOKUP(AY$1,'פחת מים וגביה'!$A:$D,4,0),0))*AY409/AY$425)+IF(AND(AY$7="חברה מנהלת",AY23&lt;&gt;""),+VLOOKUP(AY664,'פחתי מים לרשויות מצטרפות'!$A$12:$G$15,5,0)-VLOOKUP(AY16,'פחת מים וגביה'!$A:$D,4,0),0)</f>
        <v>0</v>
      </c>
      <c r="AZ606" s="1049">
        <f>(+IF(AZ560&gt;=2015,MAX(VLOOKUP(AZ664,'פחתי מים לרשויות מצטרפות'!$A$11:$G$14,MAX($B$3-AZ560,0)+3,0)-VLOOKUP(AZ$1,'פחת מים וגביה'!$A:$D,4,0),0))*AZ409/AZ$425)+IF(AND(AZ$7="חברה מנהלת",AZ23&lt;&gt;""),+VLOOKUP(AZ664,'פחתי מים לרשויות מצטרפות'!$A$12:$G$15,5,0)-VLOOKUP(AZ16,'פחת מים וגביה'!$A:$D,4,0),0)</f>
        <v>0</v>
      </c>
      <c r="BA606" s="1049">
        <f>(+IF(BA560&gt;=2015,MAX(VLOOKUP(BA664,'פחתי מים לרשויות מצטרפות'!$A$11:$G$14,MAX($B$3-BA560,0)+3,0)-VLOOKUP(BA$1,'פחת מים וגביה'!$A:$D,4,0),0))*BA409/BA$425)+IF(AND(BA$7="חברה מנהלת",BA23&lt;&gt;""),+VLOOKUP(BA664,'פחתי מים לרשויות מצטרפות'!$A$12:$G$15,5,0)-VLOOKUP(BA16,'פחת מים וגביה'!$A:$D,4,0),0)</f>
        <v>0</v>
      </c>
      <c r="BB606" s="1049">
        <f>(+IF(BB560&gt;=2015,MAX(VLOOKUP(BB664,'פחתי מים לרשויות מצטרפות'!$A$11:$G$14,MAX($B$3-BB560,0)+3,0)-VLOOKUP(BB$1,'פחת מים וגביה'!$A:$D,4,0),0))*BB409/BB$425)+IF(AND(BB$7="חברה מנהלת",BB23&lt;&gt;""),+VLOOKUP(BB664,'פחתי מים לרשויות מצטרפות'!$A$12:$G$15,5,0)-VLOOKUP(BB16,'פחת מים וגביה'!$A:$D,4,0),0)</f>
        <v>0</v>
      </c>
      <c r="BC606" s="1049">
        <f>(+IF(BC560&gt;=2015,MAX(VLOOKUP(BC664,'פחתי מים לרשויות מצטרפות'!$A$11:$G$14,MAX($B$3-BC560,0)+3,0)-VLOOKUP(BC$1,'פחת מים וגביה'!$A:$D,4,0),0))*BC409/BC$425)+IF(AND(BC$7="חברה מנהלת",BC23&lt;&gt;""),+VLOOKUP(BC664,'פחתי מים לרשויות מצטרפות'!$A$12:$G$15,5,0)-VLOOKUP(BC16,'פחת מים וגביה'!$A:$D,4,0),0)</f>
        <v>0</v>
      </c>
      <c r="BD606" s="1049">
        <f>(+IF(BD560&gt;=2015,MAX(VLOOKUP(BD664,'פחתי מים לרשויות מצטרפות'!$A$11:$G$14,MAX($B$3-BD560,0)+3,0)-VLOOKUP(BD$1,'פחת מים וגביה'!$A:$D,4,0),0))*BD409/BD$425)+IF(AND(BD$7="חברה מנהלת",BD23&lt;&gt;""),+VLOOKUP(BD664,'פחתי מים לרשויות מצטרפות'!$A$12:$G$15,5,0)-VLOOKUP(BD16,'פחת מים וגביה'!$A:$D,4,0),0)</f>
        <v>0</v>
      </c>
      <c r="BE606" s="1049">
        <f>(+IF(BE560&gt;=2015,MAX(VLOOKUP(BE664,'פחתי מים לרשויות מצטרפות'!$A$11:$G$14,MAX($B$3-BE560,0)+3,0)-VLOOKUP(BE$1,'פחת מים וגביה'!$A:$D,4,0),0))*BE409/BE$425)+IF(AND(BE$7="חברה מנהלת",BE23&lt;&gt;""),+VLOOKUP(BE664,'פחתי מים לרשויות מצטרפות'!$A$12:$G$15,5,0)-VLOOKUP(BE16,'פחת מים וגביה'!$A:$D,4,0),0)</f>
        <v>0</v>
      </c>
      <c r="BF606" s="1049">
        <f>(+IF(BF560&gt;=2015,MAX(VLOOKUP(BF664,'פחתי מים לרשויות מצטרפות'!$A$11:$G$14,MAX($B$3-BF560,0)+3,0)-VLOOKUP(BF$1,'פחת מים וגביה'!$A:$D,4,0),0))*BF409/BF$425)+IF(AND(BF$7="חברה מנהלת",BF23&lt;&gt;""),+VLOOKUP(BF664,'פחתי מים לרשויות מצטרפות'!$A$12:$G$15,5,0)-VLOOKUP(BF16,'פחת מים וגביה'!$A:$D,4,0),0)</f>
        <v>0</v>
      </c>
    </row>
    <row r="607" spans="3:58" x14ac:dyDescent="0.2">
      <c r="C607" s="1049">
        <f>(+IF(C561&gt;=2015,MAX(VLOOKUP(C665,'פחתי מים לרשויות מצטרפות'!$A$11:$G$14,MAX($B$3-C561,0)+3,0)-VLOOKUP(C$1,'פחת מים וגביה'!$A:$D,4,0),0))*C410/C$425)+IF(AND(C$7="חברה מנהלת",C24&lt;&gt;""),+VLOOKUP(C665,'פחתי מים לרשויות מצטרפות'!$A$12:$G$15,5,0)-VLOOKUP(C17,'פחת מים וגביה'!$A:$D,4,0),0)</f>
        <v>0</v>
      </c>
      <c r="D607" s="1049">
        <f>(+IF(D561&gt;=2015,MAX(VLOOKUP(D665,'פחתי מים לרשויות מצטרפות'!$A$11:$G$14,MAX($B$3-D561,0)+3,0)-VLOOKUP(D$1,'פחת מים וגביה'!$A:$D,4,0),0))*D410/D$425)+IF(AND(D$7="חברה מנהלת",D24&lt;&gt;""),+VLOOKUP(D665,'פחתי מים לרשויות מצטרפות'!$A$12:$G$15,5,0)-VLOOKUP(D17,'פחת מים וגביה'!$A:$D,4,0),0)</f>
        <v>0</v>
      </c>
      <c r="E607" s="1049">
        <f>(+IF(E561&gt;=2015,MAX(VLOOKUP(E665,'פחתי מים לרשויות מצטרפות'!$A$11:$G$14,MAX($B$3-E561,0)+3,0)-VLOOKUP(E$1,'פחת מים וגביה'!$A:$D,4,0),0))*E410/E$425)+IF(AND(E$7="חברה מנהלת",E24&lt;&gt;""),+VLOOKUP(E665,'פחתי מים לרשויות מצטרפות'!$A$12:$G$15,5,0)-VLOOKUP(E17,'פחת מים וגביה'!$A:$D,4,0),0)</f>
        <v>0</v>
      </c>
      <c r="F607" s="1049">
        <f>(+IF(F561&gt;=2015,MAX(VLOOKUP(F665,'פחתי מים לרשויות מצטרפות'!$A$11:$G$14,MAX($B$3-F561,0)+3,0)-VLOOKUP(F$1,'פחת מים וגביה'!$A:$D,4,0),0))*F410/F$425)+IF(AND(F$7="חברה מנהלת",F24&lt;&gt;""),+VLOOKUP(F665,'פחתי מים לרשויות מצטרפות'!$A$12:$G$15,5,0)-VLOOKUP(F17,'פחת מים וגביה'!$A:$D,4,0),0)</f>
        <v>0</v>
      </c>
      <c r="G607" s="1049">
        <f>(+IF(G561&gt;=2015,MAX(VLOOKUP(G665,'פחתי מים לרשויות מצטרפות'!$A$11:$G$14,MAX($B$3-G561,0)+3,0)-VLOOKUP(G$1,'פחת מים וגביה'!$A:$D,4,0),0))*G410/G$425)+IF(AND(G$7="חברה מנהלת",G24&lt;&gt;""),+VLOOKUP(G665,'פחתי מים לרשויות מצטרפות'!$A$12:$G$15,5,0)-VLOOKUP(G17,'פחת מים וגביה'!$A:$D,4,0),0)</f>
        <v>0</v>
      </c>
      <c r="H607" s="1049">
        <f>(+IF(H561&gt;=2015,MAX(VLOOKUP(H665,'פחתי מים לרשויות מצטרפות'!$A$11:$G$14,MAX($B$3-H561,0)+3,0)-VLOOKUP(H$1,'פחת מים וגביה'!$A:$D,4,0),0))*H410/H$425)+IF(AND(H$7="חברה מנהלת",H24&lt;&gt;""),+VLOOKUP(H665,'פחתי מים לרשויות מצטרפות'!$A$12:$G$15,5,0)-VLOOKUP(H17,'פחת מים וגביה'!$A:$D,4,0),0)</f>
        <v>0</v>
      </c>
      <c r="I607" s="1049">
        <f>(+IF(I561&gt;=2015,MAX(VLOOKUP(I665,'פחתי מים לרשויות מצטרפות'!$A$11:$G$14,MAX($B$3-I561,0)+3,0)-VLOOKUP(I$1,'פחת מים וגביה'!$A:$D,4,0),0))*I410/I$425)+IF(AND(I$7="חברה מנהלת",I24&lt;&gt;""),+VLOOKUP(I665,'פחתי מים לרשויות מצטרפות'!$A$12:$G$15,5,0)-VLOOKUP(I17,'פחת מים וגביה'!$A:$D,4,0),0)</f>
        <v>0</v>
      </c>
      <c r="J607" s="1049">
        <f>(+IF(J561&gt;=2015,MAX(VLOOKUP(J665,'פחתי מים לרשויות מצטרפות'!$A$11:$G$14,MAX($B$3-J561,0)+3,0)-VLOOKUP(J$1,'פחת מים וגביה'!$A:$D,4,0),0))*J410/J$425)+IF(AND(J$7="חברה מנהלת",J24&lt;&gt;""),+VLOOKUP(J665,'פחתי מים לרשויות מצטרפות'!$A$12:$G$15,5,0)-VLOOKUP(J17,'פחת מים וגביה'!$A:$D,4,0),0)</f>
        <v>0</v>
      </c>
      <c r="K607" s="1049">
        <f>(+IF(K561&gt;=2015,MAX(VLOOKUP(K665,'פחתי מים לרשויות מצטרפות'!$A$11:$G$14,MAX($B$3-K561,0)+3,0)-VLOOKUP(K$1,'פחת מים וגביה'!$A:$D,4,0),0))*K410/K$425)+IF(AND(K$7="חברה מנהלת",K24&lt;&gt;""),+VLOOKUP(K665,'פחתי מים לרשויות מצטרפות'!$A$12:$G$15,5,0)-VLOOKUP(K17,'פחת מים וגביה'!$A:$D,4,0),0)</f>
        <v>0</v>
      </c>
      <c r="L607" s="1049">
        <f>(+IF(L561&gt;=2015,MAX(VLOOKUP(L665,'פחתי מים לרשויות מצטרפות'!$A$11:$G$14,MAX($B$3-L561,0)+3,0)-VLOOKUP(L$1,'פחת מים וגביה'!$A:$D,4,0),0))*L410/L$425)+IF(AND(L$7="חברה מנהלת",L24&lt;&gt;""),+VLOOKUP(L665,'פחתי מים לרשויות מצטרפות'!$A$12:$G$15,5,0)-VLOOKUP(L17,'פחת מים וגביה'!$A:$D,4,0),0)</f>
        <v>0</v>
      </c>
      <c r="M607" s="1049">
        <f>(+IF(M561&gt;=2015,MAX(VLOOKUP(M665,'פחתי מים לרשויות מצטרפות'!$A$11:$G$14,MAX($B$3-M561,0)+3,0)-VLOOKUP(M$1,'פחת מים וגביה'!$A:$D,4,0),0))*M410/M$425)+IF(AND(M$7="חברה מנהלת",M24&lt;&gt;""),+VLOOKUP(M665,'פחתי מים לרשויות מצטרפות'!$A$12:$G$15,5,0)-VLOOKUP(M17,'פחת מים וגביה'!$A:$D,4,0),0)</f>
        <v>0</v>
      </c>
      <c r="N607" s="1049">
        <f>(+IF(N561&gt;=2015,MAX(VLOOKUP(N665,'פחתי מים לרשויות מצטרפות'!$A$11:$G$14,MAX($B$3-N561,0)+3,0)-VLOOKUP(N$1,'פחת מים וגביה'!$A:$D,4,0),0))*N410/N$425)+IF(AND(N$7="חברה מנהלת",N24&lt;&gt;""),+VLOOKUP(N665,'פחתי מים לרשויות מצטרפות'!$A$12:$G$15,5,0)-VLOOKUP(N17,'פחת מים וגביה'!$A:$D,4,0),0)</f>
        <v>0</v>
      </c>
      <c r="O607" s="1049">
        <f>(+IF(O561&gt;=2015,MAX(VLOOKUP(O665,'פחתי מים לרשויות מצטרפות'!$A$11:$G$14,MAX($B$3-O561,0)+3,0)-VLOOKUP(O$1,'פחת מים וגביה'!$A:$D,4,0),0))*O410/O$425)+IF(AND(O$7="חברה מנהלת",O24&lt;&gt;""),+VLOOKUP(O665,'פחתי מים לרשויות מצטרפות'!$A$12:$G$15,5,0)-VLOOKUP(O17,'פחת מים וגביה'!$A:$D,4,0),0)</f>
        <v>0</v>
      </c>
      <c r="P607" s="1049">
        <f>(+IF(P561&gt;=2015,MAX(VLOOKUP(P665,'פחתי מים לרשויות מצטרפות'!$A$11:$G$14,MAX($B$3-P561,0)+3,0)-VLOOKUP(P$1,'פחת מים וגביה'!$A:$D,4,0),0))*P410/P$425)+IF(AND(P$7="חברה מנהלת",P24&lt;&gt;""),+VLOOKUP(P665,'פחתי מים לרשויות מצטרפות'!$A$12:$G$15,5,0)-VLOOKUP(P17,'פחת מים וגביה'!$A:$D,4,0),0)</f>
        <v>0</v>
      </c>
      <c r="Q607" s="1049">
        <f>(+IF(Q561&gt;=2015,MAX(VLOOKUP(Q665,'פחתי מים לרשויות מצטרפות'!$A$11:$G$14,MAX($B$3-Q561,0)+3,0)-VLOOKUP(Q$1,'פחת מים וגביה'!$A:$D,4,0),0))*Q410/Q$425)+IF(AND(Q$7="חברה מנהלת",Q24&lt;&gt;""),+VLOOKUP(Q665,'פחתי מים לרשויות מצטרפות'!$A$12:$G$15,5,0)-VLOOKUP(Q17,'פחת מים וגביה'!$A:$D,4,0),0)</f>
        <v>0</v>
      </c>
      <c r="R607" s="1049">
        <f>(+IF(R561&gt;=2015,MAX(VLOOKUP(R665,'פחתי מים לרשויות מצטרפות'!$A$11:$G$14,MAX($B$3-R561,0)+3,0)-VLOOKUP(R$1,'פחת מים וגביה'!$A:$D,4,0),0))*R410/R$425)+IF(AND(R$7="חברה מנהלת",R24&lt;&gt;""),+VLOOKUP(R665,'פחתי מים לרשויות מצטרפות'!$A$12:$G$15,5,0)-VLOOKUP(R17,'פחת מים וגביה'!$A:$D,4,0),0)</f>
        <v>0</v>
      </c>
      <c r="S607" s="1049">
        <f>(+IF(S561&gt;=2015,MAX(VLOOKUP(S665,'פחתי מים לרשויות מצטרפות'!$A$11:$G$14,MAX($B$3-S561,0)+3,0)-VLOOKUP(S$1,'פחת מים וגביה'!$A:$D,4,0),0))*S410/S$425)+IF(AND(S$7="חברה מנהלת",S24&lt;&gt;""),+VLOOKUP(S665,'פחתי מים לרשויות מצטרפות'!$A$12:$G$15,5,0)-VLOOKUP(S17,'פחת מים וגביה'!$A:$D,4,0),0)</f>
        <v>0</v>
      </c>
      <c r="T607" s="1049">
        <f>(+IF(T561&gt;=2015,MAX(VLOOKUP(T665,'פחתי מים לרשויות מצטרפות'!$A$11:$G$14,MAX($B$3-T561,0)+3,0)-VLOOKUP(T$1,'פחת מים וגביה'!$A:$D,4,0),0))*T410/T$425)+IF(AND(T$7="חברה מנהלת",T24&lt;&gt;""),+VLOOKUP(T665,'פחתי מים לרשויות מצטרפות'!$A$12:$G$15,5,0)-VLOOKUP(T17,'פחת מים וגביה'!$A:$D,4,0),0)</f>
        <v>0</v>
      </c>
      <c r="U607" s="1049">
        <f>(+IF(U561&gt;=2015,MAX(VLOOKUP(U665,'פחתי מים לרשויות מצטרפות'!$A$11:$G$14,MAX($B$3-U561,0)+3,0)-VLOOKUP(U$1,'פחת מים וגביה'!$A:$D,4,0),0))*U410/U$425)+IF(AND(U$7="חברה מנהלת",U24&lt;&gt;""),+VLOOKUP(U665,'פחתי מים לרשויות מצטרפות'!$A$12:$G$15,5,0)-VLOOKUP(U17,'פחת מים וגביה'!$A:$D,4,0),0)</f>
        <v>0</v>
      </c>
      <c r="V607" s="1049">
        <f>(+IF(V561&gt;=2015,MAX(VLOOKUP(V665,'פחתי מים לרשויות מצטרפות'!$A$11:$G$14,MAX($B$3-V561,0)+3,0)-VLOOKUP(V$1,'פחת מים וגביה'!$A:$D,4,0),0))*V410/V$425)+IF(AND(V$7="חברה מנהלת",V24&lt;&gt;""),+VLOOKUP(V665,'פחתי מים לרשויות מצטרפות'!$A$12:$G$15,5,0)-VLOOKUP(V17,'פחת מים וגביה'!$A:$D,4,0),0)</f>
        <v>0</v>
      </c>
      <c r="W607" s="1049">
        <f>(+IF(W561&gt;=2015,MAX(VLOOKUP(W665,'פחתי מים לרשויות מצטרפות'!$A$11:$G$14,MAX($B$3-W561,0)+3,0)-VLOOKUP(W$1,'פחת מים וגביה'!$A:$D,4,0),0))*W410/W$425)+IF(AND(W$7="חברה מנהלת",W24&lt;&gt;""),+VLOOKUP(W665,'פחתי מים לרשויות מצטרפות'!$A$12:$G$15,5,0)-VLOOKUP(W17,'פחת מים וגביה'!$A:$D,4,0),0)</f>
        <v>0</v>
      </c>
      <c r="X607" s="1049">
        <f>(+IF(X561&gt;=2015,MAX(VLOOKUP(X665,'פחתי מים לרשויות מצטרפות'!$A$11:$G$14,MAX($B$3-X561,0)+3,0)-VLOOKUP(X$1,'פחת מים וגביה'!$A:$D,4,0),0))*X410/X$425)+IF(AND(X$7="חברה מנהלת",X24&lt;&gt;""),+VLOOKUP(X665,'פחתי מים לרשויות מצטרפות'!$A$12:$G$15,5,0)-VLOOKUP(X17,'פחת מים וגביה'!$A:$D,4,0),0)</f>
        <v>0</v>
      </c>
      <c r="Y607" s="1049">
        <f>(+IF(Y561&gt;=2015,MAX(VLOOKUP(Y665,'פחתי מים לרשויות מצטרפות'!$A$11:$G$14,MAX($B$3-Y561,0)+3,0)-VLOOKUP(Y$1,'פחת מים וגביה'!$A:$D,4,0),0))*Y410/Y$425)+IF(AND(Y$7="חברה מנהלת",Y24&lt;&gt;""),+VLOOKUP(Y665,'פחתי מים לרשויות מצטרפות'!$A$12:$G$15,5,0)-VLOOKUP(Y17,'פחת מים וגביה'!$A:$D,4,0),0)</f>
        <v>0</v>
      </c>
      <c r="Z607" s="1049">
        <f>(+IF(Z561&gt;=2015,MAX(VLOOKUP(Z665,'פחתי מים לרשויות מצטרפות'!$A$11:$G$14,MAX($B$3-Z561,0)+3,0)-VLOOKUP(Z$1,'פחת מים וגביה'!$A:$D,4,0),0))*Z410/Z$425)+IF(AND(Z$7="חברה מנהלת",Z24&lt;&gt;""),+VLOOKUP(Z665,'פחתי מים לרשויות מצטרפות'!$A$12:$G$15,5,0)-VLOOKUP(Z17,'פחת מים וגביה'!$A:$D,4,0),0)</f>
        <v>0</v>
      </c>
      <c r="AA607" s="1049">
        <f>(+IF(AA561&gt;=2015,MAX(VLOOKUP(AA665,'פחתי מים לרשויות מצטרפות'!$A$11:$G$14,MAX($B$3-AA561,0)+3,0)-VLOOKUP(AA$1,'פחת מים וגביה'!$A:$D,4,0),0))*AA410/AA$425)+IF(AND(AA$7="חברה מנהלת",AA24&lt;&gt;""),+VLOOKUP(AA665,'פחתי מים לרשויות מצטרפות'!$A$12:$G$15,5,0)-VLOOKUP(AA17,'פחת מים וגביה'!$A:$D,4,0),0)</f>
        <v>0</v>
      </c>
      <c r="AB607" s="1049">
        <f>(+IF(AB561&gt;=2015,MAX(VLOOKUP(AB665,'פחתי מים לרשויות מצטרפות'!$A$11:$G$14,MAX($B$3-AB561,0)+3,0)-VLOOKUP(AB$1,'פחת מים וגביה'!$A:$D,4,0),0))*AB410/AB$425)+IF(AND(AB$7="חברה מנהלת",AB24&lt;&gt;""),+VLOOKUP(AB665,'פחתי מים לרשויות מצטרפות'!$A$12:$G$15,5,0)-VLOOKUP(AB17,'פחת מים וגביה'!$A:$D,4,0),0)</f>
        <v>0</v>
      </c>
      <c r="AC607" s="1049">
        <f>(+IF(AC561&gt;=2015,MAX(VLOOKUP(AC665,'פחתי מים לרשויות מצטרפות'!$A$11:$G$14,MAX($B$3-AC561,0)+3,0)-VLOOKUP(AC$1,'פחת מים וגביה'!$A:$D,4,0),0))*AC410/AC$425)+IF(AND(AC$7="חברה מנהלת",AC24&lt;&gt;""),+VLOOKUP(AC665,'פחתי מים לרשויות מצטרפות'!$A$12:$G$15,5,0)-VLOOKUP(AC17,'פחת מים וגביה'!$A:$D,4,0),0)</f>
        <v>0</v>
      </c>
      <c r="AD607" s="1049">
        <f>(+IF(AD561&gt;=2015,MAX(VLOOKUP(AD665,'פחתי מים לרשויות מצטרפות'!$A$11:$G$14,MAX($B$3-AD561,0)+3,0)-VLOOKUP(AD$1,'פחת מים וגביה'!$A:$D,4,0),0))*AD410/AD$425)+IF(AND(AD$7="חברה מנהלת",AD24&lt;&gt;""),+VLOOKUP(AD665,'פחתי מים לרשויות מצטרפות'!$A$12:$G$15,5,0)-VLOOKUP(AD17,'פחת מים וגביה'!$A:$D,4,0),0)</f>
        <v>0</v>
      </c>
      <c r="AE607" s="1049">
        <f>(+IF(AE561&gt;=2015,MAX(VLOOKUP(AE665,'פחתי מים לרשויות מצטרפות'!$A$11:$G$14,MAX($B$3-AE561,0)+3,0)-VLOOKUP(AE$1,'פחת מים וגביה'!$A:$D,4,0),0))*AE410/AE$425)+IF(AND(AE$7="חברה מנהלת",AE24&lt;&gt;""),+VLOOKUP(AE665,'פחתי מים לרשויות מצטרפות'!$A$12:$G$15,5,0)-VLOOKUP(AE17,'פחת מים וגביה'!$A:$D,4,0),0)</f>
        <v>0</v>
      </c>
      <c r="AF607" s="1049">
        <f>(+IF(AF561&gt;=2015,MAX(VLOOKUP(AF665,'פחתי מים לרשויות מצטרפות'!$A$11:$G$14,MAX($B$3-AF561,0)+3,0)-VLOOKUP(AF$1,'פחת מים וגביה'!$A:$D,4,0),0))*AF410/AF$425)+IF(AND(AF$7="חברה מנהלת",AF24&lt;&gt;""),+VLOOKUP(AF665,'פחתי מים לרשויות מצטרפות'!$A$12:$G$15,5,0)-VLOOKUP(AF17,'פחת מים וגביה'!$A:$D,4,0),0)</f>
        <v>0</v>
      </c>
      <c r="AG607" s="1049">
        <f>(+IF(AG561&gt;=2015,MAX(VLOOKUP(AG665,'פחתי מים לרשויות מצטרפות'!$A$11:$G$14,MAX($B$3-AG561,0)+3,0)-VLOOKUP(AG$1,'פחת מים וגביה'!$A:$D,4,0),0))*AG410/AG$425)+IF(AND(AG$7="חברה מנהלת",AG24&lt;&gt;""),+VLOOKUP(AG665,'פחתי מים לרשויות מצטרפות'!$A$12:$G$15,5,0)-VLOOKUP(AG17,'פחת מים וגביה'!$A:$D,4,0),0)</f>
        <v>0</v>
      </c>
      <c r="AH607" s="1049">
        <f>(+IF(AH561&gt;=2015,MAX(VLOOKUP(AH665,'פחתי מים לרשויות מצטרפות'!$A$11:$G$14,MAX($B$3-AH561,0)+3,0)-VLOOKUP(AH$1,'פחת מים וגביה'!$A:$D,4,0),0))*AH410/AH$425)+IF(AND(AH$7="חברה מנהלת",AH24&lt;&gt;""),+VLOOKUP(AH665,'פחתי מים לרשויות מצטרפות'!$A$12:$G$15,5,0)-VLOOKUP(AH17,'פחת מים וגביה'!$A:$D,4,0),0)</f>
        <v>0</v>
      </c>
      <c r="AI607" s="1049">
        <f>(+IF(AI561&gt;=2015,MAX(VLOOKUP(AI665,'פחתי מים לרשויות מצטרפות'!$A$11:$G$14,MAX($B$3-AI561,0)+3,0)-VLOOKUP(AI$1,'פחת מים וגביה'!$A:$D,4,0),0))*AI410/AI$425)+IF(AND(AI$7="חברה מנהלת",AI24&lt;&gt;""),+VLOOKUP(AI665,'פחתי מים לרשויות מצטרפות'!$A$12:$G$15,5,0)-VLOOKUP(AI17,'פחת מים וגביה'!$A:$D,4,0),0)</f>
        <v>0</v>
      </c>
      <c r="AJ607" s="1049">
        <f>(+IF(AJ561&gt;=2015,MAX(VLOOKUP(AJ665,'פחתי מים לרשויות מצטרפות'!$A$11:$G$14,MAX($B$3-AJ561,0)+3,0)-VLOOKUP(AJ$1,'פחת מים וגביה'!$A:$D,4,0),0))*AJ410/AJ$425)+IF(AND(AJ$7="חברה מנהלת",AJ24&lt;&gt;""),+VLOOKUP(AJ665,'פחתי מים לרשויות מצטרפות'!$A$12:$G$15,5,0)-VLOOKUP(AJ17,'פחת מים וגביה'!$A:$D,4,0),0)</f>
        <v>0</v>
      </c>
      <c r="AK607" s="1049">
        <f>(+IF(AK561&gt;=2015,MAX(VLOOKUP(AK665,'פחתי מים לרשויות מצטרפות'!$A$11:$G$14,MAX($B$3-AK561,0)+3,0)-VLOOKUP(AK$1,'פחת מים וגביה'!$A:$D,4,0),0))*AK410/AK$425)+IF(AND(AK$7="חברה מנהלת",AK24&lt;&gt;""),+VLOOKUP(AK665,'פחתי מים לרשויות מצטרפות'!$A$12:$G$15,5,0)-VLOOKUP(AK17,'פחת מים וגביה'!$A:$D,4,0),0)</f>
        <v>0</v>
      </c>
      <c r="AL607" s="1049">
        <f>(+IF(AL561&gt;=2015,MAX(VLOOKUP(AL665,'פחתי מים לרשויות מצטרפות'!$A$11:$G$14,MAX($B$3-AL561,0)+3,0)-VLOOKUP(AL$1,'פחת מים וגביה'!$A:$D,4,0),0))*AL410/AL$425)+IF(AND(AL$7="חברה מנהלת",AL24&lt;&gt;""),+VLOOKUP(AL665,'פחתי מים לרשויות מצטרפות'!$A$12:$G$15,5,0)-VLOOKUP(AL17,'פחת מים וגביה'!$A:$D,4,0),0)</f>
        <v>0</v>
      </c>
      <c r="AM607" s="1049">
        <f>(+IF(AM561&gt;=2015,MAX(VLOOKUP(AM665,'פחתי מים לרשויות מצטרפות'!$A$11:$G$14,MAX($B$3-AM561,0)+3,0)-VLOOKUP(AM$1,'פחת מים וגביה'!$A:$D,4,0),0))*AM410/AM$425)+IF(AND(AM$7="חברה מנהלת",AM24&lt;&gt;""),+VLOOKUP(AM665,'פחתי מים לרשויות מצטרפות'!$A$12:$G$15,5,0)-VLOOKUP(AM17,'פחת מים וגביה'!$A:$D,4,0),0)</f>
        <v>0</v>
      </c>
      <c r="AN607" s="1049">
        <f>(+IF(AN561&gt;=2015,MAX(VLOOKUP(AN665,'פחתי מים לרשויות מצטרפות'!$A$11:$G$14,MAX($B$3-AN561,0)+3,0)-VLOOKUP(AN$1,'פחת מים וגביה'!$A:$D,4,0),0))*AN410/AN$425)+IF(AND(AN$7="חברה מנהלת",AN24&lt;&gt;""),+VLOOKUP(AN665,'פחתי מים לרשויות מצטרפות'!$A$12:$G$15,5,0)-VLOOKUP(AN17,'פחת מים וגביה'!$A:$D,4,0),0)</f>
        <v>0</v>
      </c>
      <c r="AO607" s="1049">
        <f>(+IF(AO561&gt;=2015,MAX(VLOOKUP(AO665,'פחתי מים לרשויות מצטרפות'!$A$11:$G$14,MAX($B$3-AO561,0)+3,0)-VLOOKUP(AO$1,'פחת מים וגביה'!$A:$D,4,0),0))*AO410/AO$425)+IF(AND(AO$7="חברה מנהלת",AO24&lt;&gt;""),+VLOOKUP(AO665,'פחתי מים לרשויות מצטרפות'!$A$12:$G$15,5,0)-VLOOKUP(AO17,'פחת מים וגביה'!$A:$D,4,0),0)</f>
        <v>0</v>
      </c>
      <c r="AP607" s="1049">
        <f>(+IF(AP561&gt;=2015,MAX(VLOOKUP(AP665,'פחתי מים לרשויות מצטרפות'!$A$11:$G$14,MAX($B$3-AP561,0)+3,0)-VLOOKUP(AP$1,'פחת מים וגביה'!$A:$D,4,0),0))*AP410/AP$425)+IF(AND(AP$7="חברה מנהלת",AP24&lt;&gt;""),+VLOOKUP(AP665,'פחתי מים לרשויות מצטרפות'!$A$12:$G$15,5,0)-VLOOKUP(AP17,'פחת מים וגביה'!$A:$D,4,0),0)</f>
        <v>0</v>
      </c>
      <c r="AQ607" s="1049">
        <f>(+IF(AQ561&gt;=2015,MAX(VLOOKUP(AQ665,'פחתי מים לרשויות מצטרפות'!$A$11:$G$14,MAX($B$3-AQ561,0)+3,0)-VLOOKUP(AQ$1,'פחת מים וגביה'!$A:$D,4,0),0))*AQ410/AQ$425)+IF(AND(AQ$7="חברה מנהלת",AQ24&lt;&gt;""),+VLOOKUP(AQ665,'פחתי מים לרשויות מצטרפות'!$A$12:$G$15,5,0)-VLOOKUP(AQ17,'פחת מים וגביה'!$A:$D,4,0),0)</f>
        <v>0</v>
      </c>
      <c r="AR607" s="1049">
        <f>(+IF(AR561&gt;=2015,MAX(VLOOKUP(AR665,'פחתי מים לרשויות מצטרפות'!$A$11:$G$14,MAX($B$3-AR561,0)+3,0)-VLOOKUP(AR$1,'פחת מים וגביה'!$A:$D,4,0),0))*AR410/AR$425)+IF(AND(AR$7="חברה מנהלת",AR24&lt;&gt;""),+VLOOKUP(AR665,'פחתי מים לרשויות מצטרפות'!$A$12:$G$15,5,0)-VLOOKUP(AR17,'פחת מים וגביה'!$A:$D,4,0),0)</f>
        <v>0</v>
      </c>
      <c r="AS607" s="1049">
        <f>(+IF(AS561&gt;=2015,MAX(VLOOKUP(AS665,'פחתי מים לרשויות מצטרפות'!$A$11:$G$14,MAX($B$3-AS561,0)+3,0)-VLOOKUP(AS$1,'פחת מים וגביה'!$A:$D,4,0),0))*AS410/AS$425)+IF(AND(AS$7="חברה מנהלת",AS24&lt;&gt;""),+VLOOKUP(AS665,'פחתי מים לרשויות מצטרפות'!$A$12:$G$15,5,0)-VLOOKUP(AS17,'פחת מים וגביה'!$A:$D,4,0),0)</f>
        <v>0</v>
      </c>
      <c r="AT607" s="1049">
        <f>(+IF(AT561&gt;=2015,MAX(VLOOKUP(AT665,'פחתי מים לרשויות מצטרפות'!$A$11:$G$14,MAX($B$3-AT561,0)+3,0)-VLOOKUP(AT$1,'פחת מים וגביה'!$A:$D,4,0),0))*AT410/AT$425)+IF(AND(AT$7="חברה מנהלת",AT24&lt;&gt;""),+VLOOKUP(AT665,'פחתי מים לרשויות מצטרפות'!$A$12:$G$15,5,0)-VLOOKUP(AT17,'פחת מים וגביה'!$A:$D,4,0),0)</f>
        <v>0</v>
      </c>
      <c r="AU607" s="1049">
        <f>(+IF(AU561&gt;=2015,MAX(VLOOKUP(AU665,'פחתי מים לרשויות מצטרפות'!$A$11:$G$14,MAX($B$3-AU561,0)+3,0)-VLOOKUP(AU$1,'פחת מים וגביה'!$A:$D,4,0),0))*AU410/AU$425)+IF(AND(AU$7="חברה מנהלת",AU24&lt;&gt;""),+VLOOKUP(AU665,'פחתי מים לרשויות מצטרפות'!$A$12:$G$15,5,0)-VLOOKUP(AU17,'פחת מים וגביה'!$A:$D,4,0),0)</f>
        <v>0</v>
      </c>
      <c r="AV607" s="1049">
        <f>(+IF(AV561&gt;=2015,MAX(VLOOKUP(AV665,'פחתי מים לרשויות מצטרפות'!$A$11:$G$14,MAX($B$3-AV561,0)+3,0)-VLOOKUP(AV$1,'פחת מים וגביה'!$A:$D,4,0),0))*AV410/AV$425)+IF(AND(AV$7="חברה מנהלת",AV24&lt;&gt;""),+VLOOKUP(AV665,'פחתי מים לרשויות מצטרפות'!$A$12:$G$15,5,0)-VLOOKUP(AV17,'פחת מים וגביה'!$A:$D,4,0),0)</f>
        <v>0</v>
      </c>
      <c r="AW607" s="1049">
        <f>(+IF(AW561&gt;=2015,MAX(VLOOKUP(AW665,'פחתי מים לרשויות מצטרפות'!$A$11:$G$14,MAX($B$3-AW561,0)+3,0)-VLOOKUP(AW$1,'פחת מים וגביה'!$A:$D,4,0),0))*AW410/AW$425)+IF(AND(AW$7="חברה מנהלת",AW24&lt;&gt;""),+VLOOKUP(AW665,'פחתי מים לרשויות מצטרפות'!$A$12:$G$15,5,0)-VLOOKUP(AW17,'פחת מים וגביה'!$A:$D,4,0),0)</f>
        <v>0</v>
      </c>
      <c r="AX607" s="1049">
        <f>(+IF(AX561&gt;=2015,MAX(VLOOKUP(AX665,'פחתי מים לרשויות מצטרפות'!$A$11:$G$14,MAX($B$3-AX561,0)+3,0)-VLOOKUP(AX$1,'פחת מים וגביה'!$A:$D,4,0),0))*AX410/AX$425)+IF(AND(AX$7="חברה מנהלת",AX24&lt;&gt;""),+VLOOKUP(AX665,'פחתי מים לרשויות מצטרפות'!$A$12:$G$15,5,0)-VLOOKUP(AX17,'פחת מים וגביה'!$A:$D,4,0),0)</f>
        <v>0</v>
      </c>
      <c r="AY607" s="1049">
        <f>(+IF(AY561&gt;=2015,MAX(VLOOKUP(AY665,'פחתי מים לרשויות מצטרפות'!$A$11:$G$14,MAX($B$3-AY561,0)+3,0)-VLOOKUP(AY$1,'פחת מים וגביה'!$A:$D,4,0),0))*AY410/AY$425)+IF(AND(AY$7="חברה מנהלת",AY24&lt;&gt;""),+VLOOKUP(AY665,'פחתי מים לרשויות מצטרפות'!$A$12:$G$15,5,0)-VLOOKUP(AY17,'פחת מים וגביה'!$A:$D,4,0),0)</f>
        <v>0</v>
      </c>
      <c r="AZ607" s="1049">
        <f>(+IF(AZ561&gt;=2015,MAX(VLOOKUP(AZ665,'פחתי מים לרשויות מצטרפות'!$A$11:$G$14,MAX($B$3-AZ561,0)+3,0)-VLOOKUP(AZ$1,'פחת מים וגביה'!$A:$D,4,0),0))*AZ410/AZ$425)+IF(AND(AZ$7="חברה מנהלת",AZ24&lt;&gt;""),+VLOOKUP(AZ665,'פחתי מים לרשויות מצטרפות'!$A$12:$G$15,5,0)-VLOOKUP(AZ17,'פחת מים וגביה'!$A:$D,4,0),0)</f>
        <v>0</v>
      </c>
      <c r="BA607" s="1049">
        <f>(+IF(BA561&gt;=2015,MAX(VLOOKUP(BA665,'פחתי מים לרשויות מצטרפות'!$A$11:$G$14,MAX($B$3-BA561,0)+3,0)-VLOOKUP(BA$1,'פחת מים וגביה'!$A:$D,4,0),0))*BA410/BA$425)+IF(AND(BA$7="חברה מנהלת",BA24&lt;&gt;""),+VLOOKUP(BA665,'פחתי מים לרשויות מצטרפות'!$A$12:$G$15,5,0)-VLOOKUP(BA17,'פחת מים וגביה'!$A:$D,4,0),0)</f>
        <v>0</v>
      </c>
      <c r="BB607" s="1049">
        <f>(+IF(BB561&gt;=2015,MAX(VLOOKUP(BB665,'פחתי מים לרשויות מצטרפות'!$A$11:$G$14,MAX($B$3-BB561,0)+3,0)-VLOOKUP(BB$1,'פחת מים וגביה'!$A:$D,4,0),0))*BB410/BB$425)+IF(AND(BB$7="חברה מנהלת",BB24&lt;&gt;""),+VLOOKUP(BB665,'פחתי מים לרשויות מצטרפות'!$A$12:$G$15,5,0)-VLOOKUP(BB17,'פחת מים וגביה'!$A:$D,4,0),0)</f>
        <v>0</v>
      </c>
      <c r="BC607" s="1049">
        <f>(+IF(BC561&gt;=2015,MAX(VLOOKUP(BC665,'פחתי מים לרשויות מצטרפות'!$A$11:$G$14,MAX($B$3-BC561,0)+3,0)-VLOOKUP(BC$1,'פחת מים וגביה'!$A:$D,4,0),0))*BC410/BC$425)+IF(AND(BC$7="חברה מנהלת",BC24&lt;&gt;""),+VLOOKUP(BC665,'פחתי מים לרשויות מצטרפות'!$A$12:$G$15,5,0)-VLOOKUP(BC17,'פחת מים וגביה'!$A:$D,4,0),0)</f>
        <v>0</v>
      </c>
      <c r="BD607" s="1049">
        <f>(+IF(BD561&gt;=2015,MAX(VLOOKUP(BD665,'פחתי מים לרשויות מצטרפות'!$A$11:$G$14,MAX($B$3-BD561,0)+3,0)-VLOOKUP(BD$1,'פחת מים וגביה'!$A:$D,4,0),0))*BD410/BD$425)+IF(AND(BD$7="חברה מנהלת",BD24&lt;&gt;""),+VLOOKUP(BD665,'פחתי מים לרשויות מצטרפות'!$A$12:$G$15,5,0)-VLOOKUP(BD17,'פחת מים וגביה'!$A:$D,4,0),0)</f>
        <v>0</v>
      </c>
      <c r="BE607" s="1049">
        <f>(+IF(BE561&gt;=2015,MAX(VLOOKUP(BE665,'פחתי מים לרשויות מצטרפות'!$A$11:$G$14,MAX($B$3-BE561,0)+3,0)-VLOOKUP(BE$1,'פחת מים וגביה'!$A:$D,4,0),0))*BE410/BE$425)+IF(AND(BE$7="חברה מנהלת",BE24&lt;&gt;""),+VLOOKUP(BE665,'פחתי מים לרשויות מצטרפות'!$A$12:$G$15,5,0)-VLOOKUP(BE17,'פחת מים וגביה'!$A:$D,4,0),0)</f>
        <v>0</v>
      </c>
      <c r="BF607" s="1049">
        <f>(+IF(BF561&gt;=2015,MAX(VLOOKUP(BF665,'פחתי מים לרשויות מצטרפות'!$A$11:$G$14,MAX($B$3-BF561,0)+3,0)-VLOOKUP(BF$1,'פחת מים וגביה'!$A:$D,4,0),0))*BF410/BF$425)+IF(AND(BF$7="חברה מנהלת",BF24&lt;&gt;""),+VLOOKUP(BF665,'פחתי מים לרשויות מצטרפות'!$A$12:$G$15,5,0)-VLOOKUP(BF17,'פחת מים וגביה'!$A:$D,4,0),0)</f>
        <v>0</v>
      </c>
    </row>
    <row r="608" spans="3:58" x14ac:dyDescent="0.2">
      <c r="C608" s="1049">
        <f>(+IF(C562&gt;=2015,MAX(VLOOKUP(C666,'פחתי מים לרשויות מצטרפות'!$A$11:$G$14,MAX($B$3-C562,0)+3,0)-VLOOKUP(C$1,'פחת מים וגביה'!$A:$D,4,0),0))*C411/C$425)+IF(AND(C$7="חברה מנהלת",C25&lt;&gt;""),+VLOOKUP(C666,'פחתי מים לרשויות מצטרפות'!$A$12:$G$15,5,0)-VLOOKUP(C18,'פחת מים וגביה'!$A:$D,4,0),0)</f>
        <v>0</v>
      </c>
      <c r="D608" s="1049">
        <f>(+IF(D562&gt;=2015,MAX(VLOOKUP(D666,'פחתי מים לרשויות מצטרפות'!$A$11:$G$14,MAX($B$3-D562,0)+3,0)-VLOOKUP(D$1,'פחת מים וגביה'!$A:$D,4,0),0))*D411/D$425)+IF(AND(D$7="חברה מנהלת",D25&lt;&gt;""),+VLOOKUP(D666,'פחתי מים לרשויות מצטרפות'!$A$12:$G$15,5,0)-VLOOKUP(D18,'פחת מים וגביה'!$A:$D,4,0),0)</f>
        <v>0</v>
      </c>
      <c r="E608" s="1049">
        <f>(+IF(E562&gt;=2015,MAX(VLOOKUP(E666,'פחתי מים לרשויות מצטרפות'!$A$11:$G$14,MAX($B$3-E562,0)+3,0)-VLOOKUP(E$1,'פחת מים וגביה'!$A:$D,4,0),0))*E411/E$425)+IF(AND(E$7="חברה מנהלת",E25&lt;&gt;""),+VLOOKUP(E666,'פחתי מים לרשויות מצטרפות'!$A$12:$G$15,5,0)-VLOOKUP(E18,'פחת מים וגביה'!$A:$D,4,0),0)</f>
        <v>0</v>
      </c>
      <c r="F608" s="1049">
        <f>(+IF(F562&gt;=2015,MAX(VLOOKUP(F666,'פחתי מים לרשויות מצטרפות'!$A$11:$G$14,MAX($B$3-F562,0)+3,0)-VLOOKUP(F$1,'פחת מים וגביה'!$A:$D,4,0),0))*F411/F$425)+IF(AND(F$7="חברה מנהלת",F25&lt;&gt;""),+VLOOKUP(F666,'פחתי מים לרשויות מצטרפות'!$A$12:$G$15,5,0)-VLOOKUP(F18,'פחת מים וגביה'!$A:$D,4,0),0)</f>
        <v>0</v>
      </c>
      <c r="G608" s="1049">
        <f>(+IF(G562&gt;=2015,MAX(VLOOKUP(G666,'פחתי מים לרשויות מצטרפות'!$A$11:$G$14,MAX($B$3-G562,0)+3,0)-VLOOKUP(G$1,'פחת מים וגביה'!$A:$D,4,0),0))*G411/G$425)+IF(AND(G$7="חברה מנהלת",G25&lt;&gt;""),+VLOOKUP(G666,'פחתי מים לרשויות מצטרפות'!$A$12:$G$15,5,0)-VLOOKUP(G18,'פחת מים וגביה'!$A:$D,4,0),0)</f>
        <v>0</v>
      </c>
      <c r="H608" s="1049">
        <f>(+IF(H562&gt;=2015,MAX(VLOOKUP(H666,'פחתי מים לרשויות מצטרפות'!$A$11:$G$14,MAX($B$3-H562,0)+3,0)-VLOOKUP(H$1,'פחת מים וגביה'!$A:$D,4,0),0))*H411/H$425)+IF(AND(H$7="חברה מנהלת",H25&lt;&gt;""),+VLOOKUP(H666,'פחתי מים לרשויות מצטרפות'!$A$12:$G$15,5,0)-VLOOKUP(H18,'פחת מים וגביה'!$A:$D,4,0),0)</f>
        <v>0</v>
      </c>
      <c r="I608" s="1049">
        <f>(+IF(I562&gt;=2015,MAX(VLOOKUP(I666,'פחתי מים לרשויות מצטרפות'!$A$11:$G$14,MAX($B$3-I562,0)+3,0)-VLOOKUP(I$1,'פחת מים וגביה'!$A:$D,4,0),0))*I411/I$425)+IF(AND(I$7="חברה מנהלת",I25&lt;&gt;""),+VLOOKUP(I666,'פחתי מים לרשויות מצטרפות'!$A$12:$G$15,5,0)-VLOOKUP(I18,'פחת מים וגביה'!$A:$D,4,0),0)</f>
        <v>0</v>
      </c>
      <c r="J608" s="1049">
        <f>(+IF(J562&gt;=2015,MAX(VLOOKUP(J666,'פחתי מים לרשויות מצטרפות'!$A$11:$G$14,MAX($B$3-J562,0)+3,0)-VLOOKUP(J$1,'פחת מים וגביה'!$A:$D,4,0),0))*J411/J$425)+IF(AND(J$7="חברה מנהלת",J25&lt;&gt;""),+VLOOKUP(J666,'פחתי מים לרשויות מצטרפות'!$A$12:$G$15,5,0)-VLOOKUP(J18,'פחת מים וגביה'!$A:$D,4,0),0)</f>
        <v>0</v>
      </c>
      <c r="K608" s="1049">
        <f>(+IF(K562&gt;=2015,MAX(VLOOKUP(K666,'פחתי מים לרשויות מצטרפות'!$A$11:$G$14,MAX($B$3-K562,0)+3,0)-VLOOKUP(K$1,'פחת מים וגביה'!$A:$D,4,0),0))*K411/K$425)+IF(AND(K$7="חברה מנהלת",K25&lt;&gt;""),+VLOOKUP(K666,'פחתי מים לרשויות מצטרפות'!$A$12:$G$15,5,0)-VLOOKUP(K18,'פחת מים וגביה'!$A:$D,4,0),0)</f>
        <v>0</v>
      </c>
      <c r="L608" s="1049">
        <f>(+IF(L562&gt;=2015,MAX(VLOOKUP(L666,'פחתי מים לרשויות מצטרפות'!$A$11:$G$14,MAX($B$3-L562,0)+3,0)-VLOOKUP(L$1,'פחת מים וגביה'!$A:$D,4,0),0))*L411/L$425)+IF(AND(L$7="חברה מנהלת",L25&lt;&gt;""),+VLOOKUP(L666,'פחתי מים לרשויות מצטרפות'!$A$12:$G$15,5,0)-VLOOKUP(L18,'פחת מים וגביה'!$A:$D,4,0),0)</f>
        <v>0</v>
      </c>
      <c r="M608" s="1049">
        <f>(+IF(M562&gt;=2015,MAX(VLOOKUP(M666,'פחתי מים לרשויות מצטרפות'!$A$11:$G$14,MAX($B$3-M562,0)+3,0)-VLOOKUP(M$1,'פחת מים וגביה'!$A:$D,4,0),0))*M411/M$425)+IF(AND(M$7="חברה מנהלת",M25&lt;&gt;""),+VLOOKUP(M666,'פחתי מים לרשויות מצטרפות'!$A$12:$G$15,5,0)-VLOOKUP(M18,'פחת מים וגביה'!$A:$D,4,0),0)</f>
        <v>0</v>
      </c>
      <c r="N608" s="1049">
        <f>(+IF(N562&gt;=2015,MAX(VLOOKUP(N666,'פחתי מים לרשויות מצטרפות'!$A$11:$G$14,MAX($B$3-N562,0)+3,0)-VLOOKUP(N$1,'פחת מים וגביה'!$A:$D,4,0),0))*N411/N$425)+IF(AND(N$7="חברה מנהלת",N25&lt;&gt;""),+VLOOKUP(N666,'פחתי מים לרשויות מצטרפות'!$A$12:$G$15,5,0)-VLOOKUP(N18,'פחת מים וגביה'!$A:$D,4,0),0)</f>
        <v>0</v>
      </c>
      <c r="O608" s="1049">
        <f>(+IF(O562&gt;=2015,MAX(VLOOKUP(O666,'פחתי מים לרשויות מצטרפות'!$A$11:$G$14,MAX($B$3-O562,0)+3,0)-VLOOKUP(O$1,'פחת מים וגביה'!$A:$D,4,0),0))*O411/O$425)+IF(AND(O$7="חברה מנהלת",O25&lt;&gt;""),+VLOOKUP(O666,'פחתי מים לרשויות מצטרפות'!$A$12:$G$15,5,0)-VLOOKUP(O18,'פחת מים וגביה'!$A:$D,4,0),0)</f>
        <v>0</v>
      </c>
      <c r="P608" s="1049">
        <f>(+IF(P562&gt;=2015,MAX(VLOOKUP(P666,'פחתי מים לרשויות מצטרפות'!$A$11:$G$14,MAX($B$3-P562,0)+3,0)-VLOOKUP(P$1,'פחת מים וגביה'!$A:$D,4,0),0))*P411/P$425)+IF(AND(P$7="חברה מנהלת",P25&lt;&gt;""),+VLOOKUP(P666,'פחתי מים לרשויות מצטרפות'!$A$12:$G$15,5,0)-VLOOKUP(P18,'פחת מים וגביה'!$A:$D,4,0),0)</f>
        <v>0</v>
      </c>
      <c r="Q608" s="1049">
        <f>(+IF(Q562&gt;=2015,MAX(VLOOKUP(Q666,'פחתי מים לרשויות מצטרפות'!$A$11:$G$14,MAX($B$3-Q562,0)+3,0)-VLOOKUP(Q$1,'פחת מים וגביה'!$A:$D,4,0),0))*Q411/Q$425)+IF(AND(Q$7="חברה מנהלת",Q25&lt;&gt;""),+VLOOKUP(Q666,'פחתי מים לרשויות מצטרפות'!$A$12:$G$15,5,0)-VLOOKUP(Q18,'פחת מים וגביה'!$A:$D,4,0),0)</f>
        <v>0</v>
      </c>
      <c r="R608" s="1049">
        <f>(+IF(R562&gt;=2015,MAX(VLOOKUP(R666,'פחתי מים לרשויות מצטרפות'!$A$11:$G$14,MAX($B$3-R562,0)+3,0)-VLOOKUP(R$1,'פחת מים וגביה'!$A:$D,4,0),0))*R411/R$425)+IF(AND(R$7="חברה מנהלת",R25&lt;&gt;""),+VLOOKUP(R666,'פחתי מים לרשויות מצטרפות'!$A$12:$G$15,5,0)-VLOOKUP(R18,'פחת מים וגביה'!$A:$D,4,0),0)</f>
        <v>0</v>
      </c>
      <c r="S608" s="1049">
        <f>(+IF(S562&gt;=2015,MAX(VLOOKUP(S666,'פחתי מים לרשויות מצטרפות'!$A$11:$G$14,MAX($B$3-S562,0)+3,0)-VLOOKUP(S$1,'פחת מים וגביה'!$A:$D,4,0),0))*S411/S$425)+IF(AND(S$7="חברה מנהלת",S25&lt;&gt;""),+VLOOKUP(S666,'פחתי מים לרשויות מצטרפות'!$A$12:$G$15,5,0)-VLOOKUP(S18,'פחת מים וגביה'!$A:$D,4,0),0)</f>
        <v>0</v>
      </c>
      <c r="T608" s="1049">
        <f>(+IF(T562&gt;=2015,MAX(VLOOKUP(T666,'פחתי מים לרשויות מצטרפות'!$A$11:$G$14,MAX($B$3-T562,0)+3,0)-VLOOKUP(T$1,'פחת מים וגביה'!$A:$D,4,0),0))*T411/T$425)+IF(AND(T$7="חברה מנהלת",T25&lt;&gt;""),+VLOOKUP(T666,'פחתי מים לרשויות מצטרפות'!$A$12:$G$15,5,0)-VLOOKUP(T18,'פחת מים וגביה'!$A:$D,4,0),0)</f>
        <v>0</v>
      </c>
      <c r="U608" s="1049">
        <f>(+IF(U562&gt;=2015,MAX(VLOOKUP(U666,'פחתי מים לרשויות מצטרפות'!$A$11:$G$14,MAX($B$3-U562,0)+3,0)-VLOOKUP(U$1,'פחת מים וגביה'!$A:$D,4,0),0))*U411/U$425)+IF(AND(U$7="חברה מנהלת",U25&lt;&gt;""),+VLOOKUP(U666,'פחתי מים לרשויות מצטרפות'!$A$12:$G$15,5,0)-VLOOKUP(U18,'פחת מים וגביה'!$A:$D,4,0),0)</f>
        <v>0</v>
      </c>
      <c r="V608" s="1049">
        <f>(+IF(V562&gt;=2015,MAX(VLOOKUP(V666,'פחתי מים לרשויות מצטרפות'!$A$11:$G$14,MAX($B$3-V562,0)+3,0)-VLOOKUP(V$1,'פחת מים וגביה'!$A:$D,4,0),0))*V411/V$425)+IF(AND(V$7="חברה מנהלת",V25&lt;&gt;""),+VLOOKUP(V666,'פחתי מים לרשויות מצטרפות'!$A$12:$G$15,5,0)-VLOOKUP(V18,'פחת מים וגביה'!$A:$D,4,0),0)</f>
        <v>0</v>
      </c>
      <c r="W608" s="1049">
        <f>(+IF(W562&gt;=2015,MAX(VLOOKUP(W666,'פחתי מים לרשויות מצטרפות'!$A$11:$G$14,MAX($B$3-W562,0)+3,0)-VLOOKUP(W$1,'פחת מים וגביה'!$A:$D,4,0),0))*W411/W$425)+IF(AND(W$7="חברה מנהלת",W25&lt;&gt;""),+VLOOKUP(W666,'פחתי מים לרשויות מצטרפות'!$A$12:$G$15,5,0)-VLOOKUP(W18,'פחת מים וגביה'!$A:$D,4,0),0)</f>
        <v>0</v>
      </c>
      <c r="X608" s="1049">
        <f>(+IF(X562&gt;=2015,MAX(VLOOKUP(X666,'פחתי מים לרשויות מצטרפות'!$A$11:$G$14,MAX($B$3-X562,0)+3,0)-VLOOKUP(X$1,'פחת מים וגביה'!$A:$D,4,0),0))*X411/X$425)+IF(AND(X$7="חברה מנהלת",X25&lt;&gt;""),+VLOOKUP(X666,'פחתי מים לרשויות מצטרפות'!$A$12:$G$15,5,0)-VLOOKUP(X18,'פחת מים וגביה'!$A:$D,4,0),0)</f>
        <v>0</v>
      </c>
      <c r="Y608" s="1049">
        <f>(+IF(Y562&gt;=2015,MAX(VLOOKUP(Y666,'פחתי מים לרשויות מצטרפות'!$A$11:$G$14,MAX($B$3-Y562,0)+3,0)-VLOOKUP(Y$1,'פחת מים וגביה'!$A:$D,4,0),0))*Y411/Y$425)+IF(AND(Y$7="חברה מנהלת",Y25&lt;&gt;""),+VLOOKUP(Y666,'פחתי מים לרשויות מצטרפות'!$A$12:$G$15,5,0)-VLOOKUP(Y18,'פחת מים וגביה'!$A:$D,4,0),0)</f>
        <v>0</v>
      </c>
      <c r="Z608" s="1049">
        <f>(+IF(Z562&gt;=2015,MAX(VLOOKUP(Z666,'פחתי מים לרשויות מצטרפות'!$A$11:$G$14,MAX($B$3-Z562,0)+3,0)-VLOOKUP(Z$1,'פחת מים וגביה'!$A:$D,4,0),0))*Z411/Z$425)+IF(AND(Z$7="חברה מנהלת",Z25&lt;&gt;""),+VLOOKUP(Z666,'פחתי מים לרשויות מצטרפות'!$A$12:$G$15,5,0)-VLOOKUP(Z18,'פחת מים וגביה'!$A:$D,4,0),0)</f>
        <v>0</v>
      </c>
      <c r="AA608" s="1049">
        <f>(+IF(AA562&gt;=2015,MAX(VLOOKUP(AA666,'פחתי מים לרשויות מצטרפות'!$A$11:$G$14,MAX($B$3-AA562,0)+3,0)-VLOOKUP(AA$1,'פחת מים וגביה'!$A:$D,4,0),0))*AA411/AA$425)+IF(AND(AA$7="חברה מנהלת",AA25&lt;&gt;""),+VLOOKUP(AA666,'פחתי מים לרשויות מצטרפות'!$A$12:$G$15,5,0)-VLOOKUP(AA18,'פחת מים וגביה'!$A:$D,4,0),0)</f>
        <v>0</v>
      </c>
      <c r="AB608" s="1049">
        <f>(+IF(AB562&gt;=2015,MAX(VLOOKUP(AB666,'פחתי מים לרשויות מצטרפות'!$A$11:$G$14,MAX($B$3-AB562,0)+3,0)-VLOOKUP(AB$1,'פחת מים וגביה'!$A:$D,4,0),0))*AB411/AB$425)+IF(AND(AB$7="חברה מנהלת",AB25&lt;&gt;""),+VLOOKUP(AB666,'פחתי מים לרשויות מצטרפות'!$A$12:$G$15,5,0)-VLOOKUP(AB18,'פחת מים וגביה'!$A:$D,4,0),0)</f>
        <v>0</v>
      </c>
      <c r="AC608" s="1049">
        <f>(+IF(AC562&gt;=2015,MAX(VLOOKUP(AC666,'פחתי מים לרשויות מצטרפות'!$A$11:$G$14,MAX($B$3-AC562,0)+3,0)-VLOOKUP(AC$1,'פחת מים וגביה'!$A:$D,4,0),0))*AC411/AC$425)+IF(AND(AC$7="חברה מנהלת",AC25&lt;&gt;""),+VLOOKUP(AC666,'פחתי מים לרשויות מצטרפות'!$A$12:$G$15,5,0)-VLOOKUP(AC18,'פחת מים וגביה'!$A:$D,4,0),0)</f>
        <v>0</v>
      </c>
      <c r="AD608" s="1049">
        <f>(+IF(AD562&gt;=2015,MAX(VLOOKUP(AD666,'פחתי מים לרשויות מצטרפות'!$A$11:$G$14,MAX($B$3-AD562,0)+3,0)-VLOOKUP(AD$1,'פחת מים וגביה'!$A:$D,4,0),0))*AD411/AD$425)+IF(AND(AD$7="חברה מנהלת",AD25&lt;&gt;""),+VLOOKUP(AD666,'פחתי מים לרשויות מצטרפות'!$A$12:$G$15,5,0)-VLOOKUP(AD18,'פחת מים וגביה'!$A:$D,4,0),0)</f>
        <v>0</v>
      </c>
      <c r="AE608" s="1049">
        <f>(+IF(AE562&gt;=2015,MAX(VLOOKUP(AE666,'פחתי מים לרשויות מצטרפות'!$A$11:$G$14,MAX($B$3-AE562,0)+3,0)-VLOOKUP(AE$1,'פחת מים וגביה'!$A:$D,4,0),0))*AE411/AE$425)+IF(AND(AE$7="חברה מנהלת",AE25&lt;&gt;""),+VLOOKUP(AE666,'פחתי מים לרשויות מצטרפות'!$A$12:$G$15,5,0)-VLOOKUP(AE18,'פחת מים וגביה'!$A:$D,4,0),0)</f>
        <v>0</v>
      </c>
      <c r="AF608" s="1049">
        <f>(+IF(AF562&gt;=2015,MAX(VLOOKUP(AF666,'פחתי מים לרשויות מצטרפות'!$A$11:$G$14,MAX($B$3-AF562,0)+3,0)-VLOOKUP(AF$1,'פחת מים וגביה'!$A:$D,4,0),0))*AF411/AF$425)+IF(AND(AF$7="חברה מנהלת",AF25&lt;&gt;""),+VLOOKUP(AF666,'פחתי מים לרשויות מצטרפות'!$A$12:$G$15,5,0)-VLOOKUP(AF18,'פחת מים וגביה'!$A:$D,4,0),0)</f>
        <v>0</v>
      </c>
      <c r="AG608" s="1049">
        <f>(+IF(AG562&gt;=2015,MAX(VLOOKUP(AG666,'פחתי מים לרשויות מצטרפות'!$A$11:$G$14,MAX($B$3-AG562,0)+3,0)-VLOOKUP(AG$1,'פחת מים וגביה'!$A:$D,4,0),0))*AG411/AG$425)+IF(AND(AG$7="חברה מנהלת",AG25&lt;&gt;""),+VLOOKUP(AG666,'פחתי מים לרשויות מצטרפות'!$A$12:$G$15,5,0)-VLOOKUP(AG18,'פחת מים וגביה'!$A:$D,4,0),0)</f>
        <v>0</v>
      </c>
      <c r="AH608" s="1049">
        <f>(+IF(AH562&gt;=2015,MAX(VLOOKUP(AH666,'פחתי מים לרשויות מצטרפות'!$A$11:$G$14,MAX($B$3-AH562,0)+3,0)-VLOOKUP(AH$1,'פחת מים וגביה'!$A:$D,4,0),0))*AH411/AH$425)+IF(AND(AH$7="חברה מנהלת",AH25&lt;&gt;""),+VLOOKUP(AH666,'פחתי מים לרשויות מצטרפות'!$A$12:$G$15,5,0)-VLOOKUP(AH18,'פחת מים וגביה'!$A:$D,4,0),0)</f>
        <v>0</v>
      </c>
      <c r="AI608" s="1049">
        <f>(+IF(AI562&gt;=2015,MAX(VLOOKUP(AI666,'פחתי מים לרשויות מצטרפות'!$A$11:$G$14,MAX($B$3-AI562,0)+3,0)-VLOOKUP(AI$1,'פחת מים וגביה'!$A:$D,4,0),0))*AI411/AI$425)+IF(AND(AI$7="חברה מנהלת",AI25&lt;&gt;""),+VLOOKUP(AI666,'פחתי מים לרשויות מצטרפות'!$A$12:$G$15,5,0)-VLOOKUP(AI18,'פחת מים וגביה'!$A:$D,4,0),0)</f>
        <v>0</v>
      </c>
      <c r="AJ608" s="1049">
        <f>(+IF(AJ562&gt;=2015,MAX(VLOOKUP(AJ666,'פחתי מים לרשויות מצטרפות'!$A$11:$G$14,MAX($B$3-AJ562,0)+3,0)-VLOOKUP(AJ$1,'פחת מים וגביה'!$A:$D,4,0),0))*AJ411/AJ$425)+IF(AND(AJ$7="חברה מנהלת",AJ25&lt;&gt;""),+VLOOKUP(AJ666,'פחתי מים לרשויות מצטרפות'!$A$12:$G$15,5,0)-VLOOKUP(AJ18,'פחת מים וגביה'!$A:$D,4,0),0)</f>
        <v>0</v>
      </c>
      <c r="AK608" s="1049">
        <f>(+IF(AK562&gt;=2015,MAX(VLOOKUP(AK666,'פחתי מים לרשויות מצטרפות'!$A$11:$G$14,MAX($B$3-AK562,0)+3,0)-VLOOKUP(AK$1,'פחת מים וגביה'!$A:$D,4,0),0))*AK411/AK$425)+IF(AND(AK$7="חברה מנהלת",AK25&lt;&gt;""),+VLOOKUP(AK666,'פחתי מים לרשויות מצטרפות'!$A$12:$G$15,5,0)-VLOOKUP(AK18,'פחת מים וגביה'!$A:$D,4,0),0)</f>
        <v>0</v>
      </c>
      <c r="AL608" s="1049">
        <f>(+IF(AL562&gt;=2015,MAX(VLOOKUP(AL666,'פחתי מים לרשויות מצטרפות'!$A$11:$G$14,MAX($B$3-AL562,0)+3,0)-VLOOKUP(AL$1,'פחת מים וגביה'!$A:$D,4,0),0))*AL411/AL$425)+IF(AND(AL$7="חברה מנהלת",AL25&lt;&gt;""),+VLOOKUP(AL666,'פחתי מים לרשויות מצטרפות'!$A$12:$G$15,5,0)-VLOOKUP(AL18,'פחת מים וגביה'!$A:$D,4,0),0)</f>
        <v>0</v>
      </c>
      <c r="AM608" s="1049">
        <f>(+IF(AM562&gt;=2015,MAX(VLOOKUP(AM666,'פחתי מים לרשויות מצטרפות'!$A$11:$G$14,MAX($B$3-AM562,0)+3,0)-VLOOKUP(AM$1,'פחת מים וגביה'!$A:$D,4,0),0))*AM411/AM$425)+IF(AND(AM$7="חברה מנהלת",AM25&lt;&gt;""),+VLOOKUP(AM666,'פחתי מים לרשויות מצטרפות'!$A$12:$G$15,5,0)-VLOOKUP(AM18,'פחת מים וגביה'!$A:$D,4,0),0)</f>
        <v>0</v>
      </c>
      <c r="AN608" s="1049">
        <f>(+IF(AN562&gt;=2015,MAX(VLOOKUP(AN666,'פחתי מים לרשויות מצטרפות'!$A$11:$G$14,MAX($B$3-AN562,0)+3,0)-VLOOKUP(AN$1,'פחת מים וגביה'!$A:$D,4,0),0))*AN411/AN$425)+IF(AND(AN$7="חברה מנהלת",AN25&lt;&gt;""),+VLOOKUP(AN666,'פחתי מים לרשויות מצטרפות'!$A$12:$G$15,5,0)-VLOOKUP(AN18,'פחת מים וגביה'!$A:$D,4,0),0)</f>
        <v>0</v>
      </c>
      <c r="AO608" s="1049">
        <f>(+IF(AO562&gt;=2015,MAX(VLOOKUP(AO666,'פחתי מים לרשויות מצטרפות'!$A$11:$G$14,MAX($B$3-AO562,0)+3,0)-VLOOKUP(AO$1,'פחת מים וגביה'!$A:$D,4,0),0))*AO411/AO$425)+IF(AND(AO$7="חברה מנהלת",AO25&lt;&gt;""),+VLOOKUP(AO666,'פחתי מים לרשויות מצטרפות'!$A$12:$G$15,5,0)-VLOOKUP(AO18,'פחת מים וגביה'!$A:$D,4,0),0)</f>
        <v>0</v>
      </c>
      <c r="AP608" s="1049">
        <f>(+IF(AP562&gt;=2015,MAX(VLOOKUP(AP666,'פחתי מים לרשויות מצטרפות'!$A$11:$G$14,MAX($B$3-AP562,0)+3,0)-VLOOKUP(AP$1,'פחת מים וגביה'!$A:$D,4,0),0))*AP411/AP$425)+IF(AND(AP$7="חברה מנהלת",AP25&lt;&gt;""),+VLOOKUP(AP666,'פחתי מים לרשויות מצטרפות'!$A$12:$G$15,5,0)-VLOOKUP(AP18,'פחת מים וגביה'!$A:$D,4,0),0)</f>
        <v>0</v>
      </c>
      <c r="AQ608" s="1049">
        <f>(+IF(AQ562&gt;=2015,MAX(VLOOKUP(AQ666,'פחתי מים לרשויות מצטרפות'!$A$11:$G$14,MAX($B$3-AQ562,0)+3,0)-VLOOKUP(AQ$1,'פחת מים וגביה'!$A:$D,4,0),0))*AQ411/AQ$425)+IF(AND(AQ$7="חברה מנהלת",AQ25&lt;&gt;""),+VLOOKUP(AQ666,'פחתי מים לרשויות מצטרפות'!$A$12:$G$15,5,0)-VLOOKUP(AQ18,'פחת מים וגביה'!$A:$D,4,0),0)</f>
        <v>0</v>
      </c>
      <c r="AR608" s="1049">
        <f>(+IF(AR562&gt;=2015,MAX(VLOOKUP(AR666,'פחתי מים לרשויות מצטרפות'!$A$11:$G$14,MAX($B$3-AR562,0)+3,0)-VLOOKUP(AR$1,'פחת מים וגביה'!$A:$D,4,0),0))*AR411/AR$425)+IF(AND(AR$7="חברה מנהלת",AR25&lt;&gt;""),+VLOOKUP(AR666,'פחתי מים לרשויות מצטרפות'!$A$12:$G$15,5,0)-VLOOKUP(AR18,'פחת מים וגביה'!$A:$D,4,0),0)</f>
        <v>0</v>
      </c>
      <c r="AS608" s="1049">
        <f>(+IF(AS562&gt;=2015,MAX(VLOOKUP(AS666,'פחתי מים לרשויות מצטרפות'!$A$11:$G$14,MAX($B$3-AS562,0)+3,0)-VLOOKUP(AS$1,'פחת מים וגביה'!$A:$D,4,0),0))*AS411/AS$425)+IF(AND(AS$7="חברה מנהלת",AS25&lt;&gt;""),+VLOOKUP(AS666,'פחתי מים לרשויות מצטרפות'!$A$12:$G$15,5,0)-VLOOKUP(AS18,'פחת מים וגביה'!$A:$D,4,0),0)</f>
        <v>0</v>
      </c>
      <c r="AT608" s="1049">
        <f>(+IF(AT562&gt;=2015,MAX(VLOOKUP(AT666,'פחתי מים לרשויות מצטרפות'!$A$11:$G$14,MAX($B$3-AT562,0)+3,0)-VLOOKUP(AT$1,'פחת מים וגביה'!$A:$D,4,0),0))*AT411/AT$425)+IF(AND(AT$7="חברה מנהלת",AT25&lt;&gt;""),+VLOOKUP(AT666,'פחתי מים לרשויות מצטרפות'!$A$12:$G$15,5,0)-VLOOKUP(AT18,'פחת מים וגביה'!$A:$D,4,0),0)</f>
        <v>0</v>
      </c>
      <c r="AU608" s="1049">
        <f>(+IF(AU562&gt;=2015,MAX(VLOOKUP(AU666,'פחתי מים לרשויות מצטרפות'!$A$11:$G$14,MAX($B$3-AU562,0)+3,0)-VLOOKUP(AU$1,'פחת מים וגביה'!$A:$D,4,0),0))*AU411/AU$425)+IF(AND(AU$7="חברה מנהלת",AU25&lt;&gt;""),+VLOOKUP(AU666,'פחתי מים לרשויות מצטרפות'!$A$12:$G$15,5,0)-VLOOKUP(AU18,'פחת מים וגביה'!$A:$D,4,0),0)</f>
        <v>0</v>
      </c>
      <c r="AV608" s="1049">
        <f>(+IF(AV562&gt;=2015,MAX(VLOOKUP(AV666,'פחתי מים לרשויות מצטרפות'!$A$11:$G$14,MAX($B$3-AV562,0)+3,0)-VLOOKUP(AV$1,'פחת מים וגביה'!$A:$D,4,0),0))*AV411/AV$425)+IF(AND(AV$7="חברה מנהלת",AV25&lt;&gt;""),+VLOOKUP(AV666,'פחתי מים לרשויות מצטרפות'!$A$12:$G$15,5,0)-VLOOKUP(AV18,'פחת מים וגביה'!$A:$D,4,0),0)</f>
        <v>0</v>
      </c>
      <c r="AW608" s="1049">
        <f>(+IF(AW562&gt;=2015,MAX(VLOOKUP(AW666,'פחתי מים לרשויות מצטרפות'!$A$11:$G$14,MAX($B$3-AW562,0)+3,0)-VLOOKUP(AW$1,'פחת מים וגביה'!$A:$D,4,0),0))*AW411/AW$425)+IF(AND(AW$7="חברה מנהלת",AW25&lt;&gt;""),+VLOOKUP(AW666,'פחתי מים לרשויות מצטרפות'!$A$12:$G$15,5,0)-VLOOKUP(AW18,'פחת מים וגביה'!$A:$D,4,0),0)</f>
        <v>0</v>
      </c>
      <c r="AX608" s="1049">
        <f>(+IF(AX562&gt;=2015,MAX(VLOOKUP(AX666,'פחתי מים לרשויות מצטרפות'!$A$11:$G$14,MAX($B$3-AX562,0)+3,0)-VLOOKUP(AX$1,'פחת מים וגביה'!$A:$D,4,0),0))*AX411/AX$425)+IF(AND(AX$7="חברה מנהלת",AX25&lt;&gt;""),+VLOOKUP(AX666,'פחתי מים לרשויות מצטרפות'!$A$12:$G$15,5,0)-VLOOKUP(AX18,'פחת מים וגביה'!$A:$D,4,0),0)</f>
        <v>0</v>
      </c>
      <c r="AY608" s="1049">
        <f>(+IF(AY562&gt;=2015,MAX(VLOOKUP(AY666,'פחתי מים לרשויות מצטרפות'!$A$11:$G$14,MAX($B$3-AY562,0)+3,0)-VLOOKUP(AY$1,'פחת מים וגביה'!$A:$D,4,0),0))*AY411/AY$425)+IF(AND(AY$7="חברה מנהלת",AY25&lt;&gt;""),+VLOOKUP(AY666,'פחתי מים לרשויות מצטרפות'!$A$12:$G$15,5,0)-VLOOKUP(AY18,'פחת מים וגביה'!$A:$D,4,0),0)</f>
        <v>0</v>
      </c>
      <c r="AZ608" s="1049">
        <f>(+IF(AZ562&gt;=2015,MAX(VLOOKUP(AZ666,'פחתי מים לרשויות מצטרפות'!$A$11:$G$14,MAX($B$3-AZ562,0)+3,0)-VLOOKUP(AZ$1,'פחת מים וגביה'!$A:$D,4,0),0))*AZ411/AZ$425)+IF(AND(AZ$7="חברה מנהלת",AZ25&lt;&gt;""),+VLOOKUP(AZ666,'פחתי מים לרשויות מצטרפות'!$A$12:$G$15,5,0)-VLOOKUP(AZ18,'פחת מים וגביה'!$A:$D,4,0),0)</f>
        <v>0</v>
      </c>
      <c r="BA608" s="1049">
        <f>(+IF(BA562&gt;=2015,MAX(VLOOKUP(BA666,'פחתי מים לרשויות מצטרפות'!$A$11:$G$14,MAX($B$3-BA562,0)+3,0)-VLOOKUP(BA$1,'פחת מים וגביה'!$A:$D,4,0),0))*BA411/BA$425)+IF(AND(BA$7="חברה מנהלת",BA25&lt;&gt;""),+VLOOKUP(BA666,'פחתי מים לרשויות מצטרפות'!$A$12:$G$15,5,0)-VLOOKUP(BA18,'פחת מים וגביה'!$A:$D,4,0),0)</f>
        <v>0</v>
      </c>
      <c r="BB608" s="1049">
        <f>(+IF(BB562&gt;=2015,MAX(VLOOKUP(BB666,'פחתי מים לרשויות מצטרפות'!$A$11:$G$14,MAX($B$3-BB562,0)+3,0)-VLOOKUP(BB$1,'פחת מים וגביה'!$A:$D,4,0),0))*BB411/BB$425)+IF(AND(BB$7="חברה מנהלת",BB25&lt;&gt;""),+VLOOKUP(BB666,'פחתי מים לרשויות מצטרפות'!$A$12:$G$15,5,0)-VLOOKUP(BB18,'פחת מים וגביה'!$A:$D,4,0),0)</f>
        <v>0</v>
      </c>
      <c r="BC608" s="1049">
        <f>(+IF(BC562&gt;=2015,MAX(VLOOKUP(BC666,'פחתי מים לרשויות מצטרפות'!$A$11:$G$14,MAX($B$3-BC562,0)+3,0)-VLOOKUP(BC$1,'פחת מים וגביה'!$A:$D,4,0),0))*BC411/BC$425)+IF(AND(BC$7="חברה מנהלת",BC25&lt;&gt;""),+VLOOKUP(BC666,'פחתי מים לרשויות מצטרפות'!$A$12:$G$15,5,0)-VLOOKUP(BC18,'פחת מים וגביה'!$A:$D,4,0),0)</f>
        <v>0</v>
      </c>
      <c r="BD608" s="1049">
        <f>(+IF(BD562&gt;=2015,MAX(VLOOKUP(BD666,'פחתי מים לרשויות מצטרפות'!$A$11:$G$14,MAX($B$3-BD562,0)+3,0)-VLOOKUP(BD$1,'פחת מים וגביה'!$A:$D,4,0),0))*BD411/BD$425)+IF(AND(BD$7="חברה מנהלת",BD25&lt;&gt;""),+VLOOKUP(BD666,'פחתי מים לרשויות מצטרפות'!$A$12:$G$15,5,0)-VLOOKUP(BD18,'פחת מים וגביה'!$A:$D,4,0),0)</f>
        <v>0</v>
      </c>
      <c r="BE608" s="1049">
        <f>(+IF(BE562&gt;=2015,MAX(VLOOKUP(BE666,'פחתי מים לרשויות מצטרפות'!$A$11:$G$14,MAX($B$3-BE562,0)+3,0)-VLOOKUP(BE$1,'פחת מים וגביה'!$A:$D,4,0),0))*BE411/BE$425)+IF(AND(BE$7="חברה מנהלת",BE25&lt;&gt;""),+VLOOKUP(BE666,'פחתי מים לרשויות מצטרפות'!$A$12:$G$15,5,0)-VLOOKUP(BE18,'פחת מים וגביה'!$A:$D,4,0),0)</f>
        <v>0</v>
      </c>
      <c r="BF608" s="1049">
        <f>(+IF(BF562&gt;=2015,MAX(VLOOKUP(BF666,'פחתי מים לרשויות מצטרפות'!$A$11:$G$14,MAX($B$3-BF562,0)+3,0)-VLOOKUP(BF$1,'פחת מים וגביה'!$A:$D,4,0),0))*BF411/BF$425)+IF(AND(BF$7="חברה מנהלת",BF25&lt;&gt;""),+VLOOKUP(BF666,'פחתי מים לרשויות מצטרפות'!$A$12:$G$15,5,0)-VLOOKUP(BF18,'פחת מים וגביה'!$A:$D,4,0),0)</f>
        <v>0</v>
      </c>
    </row>
    <row r="609" spans="1:58" x14ac:dyDescent="0.2">
      <c r="C609" s="1049">
        <f>(+IF(C563&gt;=2015,MAX(VLOOKUP(C667,'פחתי מים לרשויות מצטרפות'!$A$11:$G$14,MAX($B$3-C563,0)+3,0)-VLOOKUP(C$1,'פחת מים וגביה'!$A:$D,4,0),0))*C412/C$425)+IF(AND(C$7="חברה מנהלת",C26&lt;&gt;""),+VLOOKUP(C667,'פחתי מים לרשויות מצטרפות'!$A$12:$G$15,5,0)-VLOOKUP(C19,'פחת מים וגביה'!$A:$D,4,0),0)</f>
        <v>0</v>
      </c>
      <c r="D609" s="1049">
        <f>(+IF(D563&gt;=2015,MAX(VLOOKUP(D667,'פחתי מים לרשויות מצטרפות'!$A$11:$G$14,MAX($B$3-D563,0)+3,0)-VLOOKUP(D$1,'פחת מים וגביה'!$A:$D,4,0),0))*D412/D$425)+IF(AND(D$7="חברה מנהלת",D26&lt;&gt;""),+VLOOKUP(D667,'פחתי מים לרשויות מצטרפות'!$A$12:$G$15,5,0)-VLOOKUP(D19,'פחת מים וגביה'!$A:$D,4,0),0)</f>
        <v>0</v>
      </c>
      <c r="E609" s="1049">
        <f>(+IF(E563&gt;=2015,MAX(VLOOKUP(E667,'פחתי מים לרשויות מצטרפות'!$A$11:$G$14,MAX($B$3-E563,0)+3,0)-VLOOKUP(E$1,'פחת מים וגביה'!$A:$D,4,0),0))*E412/E$425)+IF(AND(E$7="חברה מנהלת",E26&lt;&gt;""),+VLOOKUP(E667,'פחתי מים לרשויות מצטרפות'!$A$12:$G$15,5,0)-VLOOKUP(E19,'פחת מים וגביה'!$A:$D,4,0),0)</f>
        <v>0</v>
      </c>
      <c r="F609" s="1049">
        <f>(+IF(F563&gt;=2015,MAX(VLOOKUP(F667,'פחתי מים לרשויות מצטרפות'!$A$11:$G$14,MAX($B$3-F563,0)+3,0)-VLOOKUP(F$1,'פחת מים וגביה'!$A:$D,4,0),0))*F412/F$425)+IF(AND(F$7="חברה מנהלת",F26&lt;&gt;""),+VLOOKUP(F667,'פחתי מים לרשויות מצטרפות'!$A$12:$G$15,5,0)-VLOOKUP(F19,'פחת מים וגביה'!$A:$D,4,0),0)</f>
        <v>0</v>
      </c>
      <c r="G609" s="1049">
        <f>(+IF(G563&gt;=2015,MAX(VLOOKUP(G667,'פחתי מים לרשויות מצטרפות'!$A$11:$G$14,MAX($B$3-G563,0)+3,0)-VLOOKUP(G$1,'פחת מים וגביה'!$A:$D,4,0),0))*G412/G$425)+IF(AND(G$7="חברה מנהלת",G26&lt;&gt;""),+VLOOKUP(G667,'פחתי מים לרשויות מצטרפות'!$A$12:$G$15,5,0)-VLOOKUP(G19,'פחת מים וגביה'!$A:$D,4,0),0)</f>
        <v>0</v>
      </c>
      <c r="H609" s="1049">
        <f>(+IF(H563&gt;=2015,MAX(VLOOKUP(H667,'פחתי מים לרשויות מצטרפות'!$A$11:$G$14,MAX($B$3-H563,0)+3,0)-VLOOKUP(H$1,'פחת מים וגביה'!$A:$D,4,0),0))*H412/H$425)+IF(AND(H$7="חברה מנהלת",H26&lt;&gt;""),+VLOOKUP(H667,'פחתי מים לרשויות מצטרפות'!$A$12:$G$15,5,0)-VLOOKUP(H19,'פחת מים וגביה'!$A:$D,4,0),0)</f>
        <v>0</v>
      </c>
      <c r="I609" s="1049">
        <f>(+IF(I563&gt;=2015,MAX(VLOOKUP(I667,'פחתי מים לרשויות מצטרפות'!$A$11:$G$14,MAX($B$3-I563,0)+3,0)-VLOOKUP(I$1,'פחת מים וגביה'!$A:$D,4,0),0))*I412/I$425)+IF(AND(I$7="חברה מנהלת",I26&lt;&gt;""),+VLOOKUP(I667,'פחתי מים לרשויות מצטרפות'!$A$12:$G$15,5,0)-VLOOKUP(I19,'פחת מים וגביה'!$A:$D,4,0),0)</f>
        <v>0</v>
      </c>
      <c r="J609" s="1049">
        <f>(+IF(J563&gt;=2015,MAX(VLOOKUP(J667,'פחתי מים לרשויות מצטרפות'!$A$11:$G$14,MAX($B$3-J563,0)+3,0)-VLOOKUP(J$1,'פחת מים וגביה'!$A:$D,4,0),0))*J412/J$425)+IF(AND(J$7="חברה מנהלת",J26&lt;&gt;""),+VLOOKUP(J667,'פחתי מים לרשויות מצטרפות'!$A$12:$G$15,5,0)-VLOOKUP(J19,'פחת מים וגביה'!$A:$D,4,0),0)</f>
        <v>0</v>
      </c>
      <c r="K609" s="1049">
        <f>(+IF(K563&gt;=2015,MAX(VLOOKUP(K667,'פחתי מים לרשויות מצטרפות'!$A$11:$G$14,MAX($B$3-K563,0)+3,0)-VLOOKUP(K$1,'פחת מים וגביה'!$A:$D,4,0),0))*K412/K$425)+IF(AND(K$7="חברה מנהלת",K26&lt;&gt;""),+VLOOKUP(K667,'פחתי מים לרשויות מצטרפות'!$A$12:$G$15,5,0)-VLOOKUP(K19,'פחת מים וגביה'!$A:$D,4,0),0)</f>
        <v>0</v>
      </c>
      <c r="L609" s="1049">
        <f>(+IF(L563&gt;=2015,MAX(VLOOKUP(L667,'פחתי מים לרשויות מצטרפות'!$A$11:$G$14,MAX($B$3-L563,0)+3,0)-VLOOKUP(L$1,'פחת מים וגביה'!$A:$D,4,0),0))*L412/L$425)+IF(AND(L$7="חברה מנהלת",L26&lt;&gt;""),+VLOOKUP(L667,'פחתי מים לרשויות מצטרפות'!$A$12:$G$15,5,0)-VLOOKUP(L19,'פחת מים וגביה'!$A:$D,4,0),0)</f>
        <v>0</v>
      </c>
      <c r="M609" s="1049">
        <f>(+IF(M563&gt;=2015,MAX(VLOOKUP(M667,'פחתי מים לרשויות מצטרפות'!$A$11:$G$14,MAX($B$3-M563,0)+3,0)-VLOOKUP(M$1,'פחת מים וגביה'!$A:$D,4,0),0))*M412/M$425)+IF(AND(M$7="חברה מנהלת",M26&lt;&gt;""),+VLOOKUP(M667,'פחתי מים לרשויות מצטרפות'!$A$12:$G$15,5,0)-VLOOKUP(M19,'פחת מים וגביה'!$A:$D,4,0),0)</f>
        <v>0</v>
      </c>
      <c r="N609" s="1049">
        <f>(+IF(N563&gt;=2015,MAX(VLOOKUP(N667,'פחתי מים לרשויות מצטרפות'!$A$11:$G$14,MAX($B$3-N563,0)+3,0)-VLOOKUP(N$1,'פחת מים וגביה'!$A:$D,4,0),0))*N412/N$425)+IF(AND(N$7="חברה מנהלת",N26&lt;&gt;""),+VLOOKUP(N667,'פחתי מים לרשויות מצטרפות'!$A$12:$G$15,5,0)-VLOOKUP(N19,'פחת מים וגביה'!$A:$D,4,0),0)</f>
        <v>0</v>
      </c>
      <c r="O609" s="1049">
        <f>(+IF(O563&gt;=2015,MAX(VLOOKUP(O667,'פחתי מים לרשויות מצטרפות'!$A$11:$G$14,MAX($B$3-O563,0)+3,0)-VLOOKUP(O$1,'פחת מים וגביה'!$A:$D,4,0),0))*O412/O$425)+IF(AND(O$7="חברה מנהלת",O26&lt;&gt;""),+VLOOKUP(O667,'פחתי מים לרשויות מצטרפות'!$A$12:$G$15,5,0)-VLOOKUP(O19,'פחת מים וגביה'!$A:$D,4,0),0)</f>
        <v>0</v>
      </c>
      <c r="P609" s="1049">
        <f>(+IF(P563&gt;=2015,MAX(VLOOKUP(P667,'פחתי מים לרשויות מצטרפות'!$A$11:$G$14,MAX($B$3-P563,0)+3,0)-VLOOKUP(P$1,'פחת מים וגביה'!$A:$D,4,0),0))*P412/P$425)+IF(AND(P$7="חברה מנהלת",P26&lt;&gt;""),+VLOOKUP(P667,'פחתי מים לרשויות מצטרפות'!$A$12:$G$15,5,0)-VLOOKUP(P19,'פחת מים וגביה'!$A:$D,4,0),0)</f>
        <v>0</v>
      </c>
      <c r="Q609" s="1049">
        <f>(+IF(Q563&gt;=2015,MAX(VLOOKUP(Q667,'פחתי מים לרשויות מצטרפות'!$A$11:$G$14,MAX($B$3-Q563,0)+3,0)-VLOOKUP(Q$1,'פחת מים וגביה'!$A:$D,4,0),0))*Q412/Q$425)+IF(AND(Q$7="חברה מנהלת",Q26&lt;&gt;""),+VLOOKUP(Q667,'פחתי מים לרשויות מצטרפות'!$A$12:$G$15,5,0)-VLOOKUP(Q19,'פחת מים וגביה'!$A:$D,4,0),0)</f>
        <v>0</v>
      </c>
      <c r="R609" s="1049">
        <f>(+IF(R563&gt;=2015,MAX(VLOOKUP(R667,'פחתי מים לרשויות מצטרפות'!$A$11:$G$14,MAX($B$3-R563,0)+3,0)-VLOOKUP(R$1,'פחת מים וגביה'!$A:$D,4,0),0))*R412/R$425)+IF(AND(R$7="חברה מנהלת",R26&lt;&gt;""),+VLOOKUP(R667,'פחתי מים לרשויות מצטרפות'!$A$12:$G$15,5,0)-VLOOKUP(R19,'פחת מים וגביה'!$A:$D,4,0),0)</f>
        <v>0</v>
      </c>
      <c r="S609" s="1049">
        <f>(+IF(S563&gt;=2015,MAX(VLOOKUP(S667,'פחתי מים לרשויות מצטרפות'!$A$11:$G$14,MAX($B$3-S563,0)+3,0)-VLOOKUP(S$1,'פחת מים וגביה'!$A:$D,4,0),0))*S412/S$425)+IF(AND(S$7="חברה מנהלת",S26&lt;&gt;""),+VLOOKUP(S667,'פחתי מים לרשויות מצטרפות'!$A$12:$G$15,5,0)-VLOOKUP(S19,'פחת מים וגביה'!$A:$D,4,0),0)</f>
        <v>0</v>
      </c>
      <c r="T609" s="1049">
        <f>(+IF(T563&gt;=2015,MAX(VLOOKUP(T667,'פחתי מים לרשויות מצטרפות'!$A$11:$G$14,MAX($B$3-T563,0)+3,0)-VLOOKUP(T$1,'פחת מים וגביה'!$A:$D,4,0),0))*T412/T$425)+IF(AND(T$7="חברה מנהלת",T26&lt;&gt;""),+VLOOKUP(T667,'פחתי מים לרשויות מצטרפות'!$A$12:$G$15,5,0)-VLOOKUP(T19,'פחת מים וגביה'!$A:$D,4,0),0)</f>
        <v>0</v>
      </c>
      <c r="U609" s="1049">
        <f>(+IF(U563&gt;=2015,MAX(VLOOKUP(U667,'פחתי מים לרשויות מצטרפות'!$A$11:$G$14,MAX($B$3-U563,0)+3,0)-VLOOKUP(U$1,'פחת מים וגביה'!$A:$D,4,0),0))*U412/U$425)+IF(AND(U$7="חברה מנהלת",U26&lt;&gt;""),+VLOOKUP(U667,'פחתי מים לרשויות מצטרפות'!$A$12:$G$15,5,0)-VLOOKUP(U19,'פחת מים וגביה'!$A:$D,4,0),0)</f>
        <v>0</v>
      </c>
      <c r="V609" s="1049">
        <f>(+IF(V563&gt;=2015,MAX(VLOOKUP(V667,'פחתי מים לרשויות מצטרפות'!$A$11:$G$14,MAX($B$3-V563,0)+3,0)-VLOOKUP(V$1,'פחת מים וגביה'!$A:$D,4,0),0))*V412/V$425)+IF(AND(V$7="חברה מנהלת",V26&lt;&gt;""),+VLOOKUP(V667,'פחתי מים לרשויות מצטרפות'!$A$12:$G$15,5,0)-VLOOKUP(V19,'פחת מים וגביה'!$A:$D,4,0),0)</f>
        <v>0</v>
      </c>
      <c r="W609" s="1049">
        <f>(+IF(W563&gt;=2015,MAX(VLOOKUP(W667,'פחתי מים לרשויות מצטרפות'!$A$11:$G$14,MAX($B$3-W563,0)+3,0)-VLOOKUP(W$1,'פחת מים וגביה'!$A:$D,4,0),0))*W412/W$425)+IF(AND(W$7="חברה מנהלת",W26&lt;&gt;""),+VLOOKUP(W667,'פחתי מים לרשויות מצטרפות'!$A$12:$G$15,5,0)-VLOOKUP(W19,'פחת מים וגביה'!$A:$D,4,0),0)</f>
        <v>0</v>
      </c>
      <c r="X609" s="1049">
        <f>(+IF(X563&gt;=2015,MAX(VLOOKUP(X667,'פחתי מים לרשויות מצטרפות'!$A$11:$G$14,MAX($B$3-X563,0)+3,0)-VLOOKUP(X$1,'פחת מים וגביה'!$A:$D,4,0),0))*X412/X$425)+IF(AND(X$7="חברה מנהלת",X26&lt;&gt;""),+VLOOKUP(X667,'פחתי מים לרשויות מצטרפות'!$A$12:$G$15,5,0)-VLOOKUP(X19,'פחת מים וגביה'!$A:$D,4,0),0)</f>
        <v>0</v>
      </c>
      <c r="Y609" s="1049">
        <f>(+IF(Y563&gt;=2015,MAX(VLOOKUP(Y667,'פחתי מים לרשויות מצטרפות'!$A$11:$G$14,MAX($B$3-Y563,0)+3,0)-VLOOKUP(Y$1,'פחת מים וגביה'!$A:$D,4,0),0))*Y412/Y$425)+IF(AND(Y$7="חברה מנהלת",Y26&lt;&gt;""),+VLOOKUP(Y667,'פחתי מים לרשויות מצטרפות'!$A$12:$G$15,5,0)-VLOOKUP(Y19,'פחת מים וגביה'!$A:$D,4,0),0)</f>
        <v>0</v>
      </c>
      <c r="Z609" s="1049">
        <f>(+IF(Z563&gt;=2015,MAX(VLOOKUP(Z667,'פחתי מים לרשויות מצטרפות'!$A$11:$G$14,MAX($B$3-Z563,0)+3,0)-VLOOKUP(Z$1,'פחת מים וגביה'!$A:$D,4,0),0))*Z412/Z$425)+IF(AND(Z$7="חברה מנהלת",Z26&lt;&gt;""),+VLOOKUP(Z667,'פחתי מים לרשויות מצטרפות'!$A$12:$G$15,5,0)-VLOOKUP(Z19,'פחת מים וגביה'!$A:$D,4,0),0)</f>
        <v>0</v>
      </c>
      <c r="AA609" s="1049">
        <f>(+IF(AA563&gt;=2015,MAX(VLOOKUP(AA667,'פחתי מים לרשויות מצטרפות'!$A$11:$G$14,MAX($B$3-AA563,0)+3,0)-VLOOKUP(AA$1,'פחת מים וגביה'!$A:$D,4,0),0))*AA412/AA$425)+IF(AND(AA$7="חברה מנהלת",AA26&lt;&gt;""),+VLOOKUP(AA667,'פחתי מים לרשויות מצטרפות'!$A$12:$G$15,5,0)-VLOOKUP(AA19,'פחת מים וגביה'!$A:$D,4,0),0)</f>
        <v>0</v>
      </c>
      <c r="AB609" s="1049">
        <f>(+IF(AB563&gt;=2015,MAX(VLOOKUP(AB667,'פחתי מים לרשויות מצטרפות'!$A$11:$G$14,MAX($B$3-AB563,0)+3,0)-VLOOKUP(AB$1,'פחת מים וגביה'!$A:$D,4,0),0))*AB412/AB$425)+IF(AND(AB$7="חברה מנהלת",AB26&lt;&gt;""),+VLOOKUP(AB667,'פחתי מים לרשויות מצטרפות'!$A$12:$G$15,5,0)-VLOOKUP(AB19,'פחת מים וגביה'!$A:$D,4,0),0)</f>
        <v>0</v>
      </c>
      <c r="AC609" s="1049">
        <f>(+IF(AC563&gt;=2015,MAX(VLOOKUP(AC667,'פחתי מים לרשויות מצטרפות'!$A$11:$G$14,MAX($B$3-AC563,0)+3,0)-VLOOKUP(AC$1,'פחת מים וגביה'!$A:$D,4,0),0))*AC412/AC$425)+IF(AND(AC$7="חברה מנהלת",AC26&lt;&gt;""),+VLOOKUP(AC667,'פחתי מים לרשויות מצטרפות'!$A$12:$G$15,5,0)-VLOOKUP(AC19,'פחת מים וגביה'!$A:$D,4,0),0)</f>
        <v>0</v>
      </c>
      <c r="AD609" s="1049">
        <f>(+IF(AD563&gt;=2015,MAX(VLOOKUP(AD667,'פחתי מים לרשויות מצטרפות'!$A$11:$G$14,MAX($B$3-AD563,0)+3,0)-VLOOKUP(AD$1,'פחת מים וגביה'!$A:$D,4,0),0))*AD412/AD$425)+IF(AND(AD$7="חברה מנהלת",AD26&lt;&gt;""),+VLOOKUP(AD667,'פחתי מים לרשויות מצטרפות'!$A$12:$G$15,5,0)-VLOOKUP(AD19,'פחת מים וגביה'!$A:$D,4,0),0)</f>
        <v>0</v>
      </c>
      <c r="AE609" s="1049">
        <f>(+IF(AE563&gt;=2015,MAX(VLOOKUP(AE667,'פחתי מים לרשויות מצטרפות'!$A$11:$G$14,MAX($B$3-AE563,0)+3,0)-VLOOKUP(AE$1,'פחת מים וגביה'!$A:$D,4,0),0))*AE412/AE$425)+IF(AND(AE$7="חברה מנהלת",AE26&lt;&gt;""),+VLOOKUP(AE667,'פחתי מים לרשויות מצטרפות'!$A$12:$G$15,5,0)-VLOOKUP(AE19,'פחת מים וגביה'!$A:$D,4,0),0)</f>
        <v>0</v>
      </c>
      <c r="AF609" s="1049">
        <f>(+IF(AF563&gt;=2015,MAX(VLOOKUP(AF667,'פחתי מים לרשויות מצטרפות'!$A$11:$G$14,MAX($B$3-AF563,0)+3,0)-VLOOKUP(AF$1,'פחת מים וגביה'!$A:$D,4,0),0))*AF412/AF$425)+IF(AND(AF$7="חברה מנהלת",AF26&lt;&gt;""),+VLOOKUP(AF667,'פחתי מים לרשויות מצטרפות'!$A$12:$G$15,5,0)-VLOOKUP(AF19,'פחת מים וגביה'!$A:$D,4,0),0)</f>
        <v>0</v>
      </c>
      <c r="AG609" s="1049">
        <f>(+IF(AG563&gt;=2015,MAX(VLOOKUP(AG667,'פחתי מים לרשויות מצטרפות'!$A$11:$G$14,MAX($B$3-AG563,0)+3,0)-VLOOKUP(AG$1,'פחת מים וגביה'!$A:$D,4,0),0))*AG412/AG$425)+IF(AND(AG$7="חברה מנהלת",AG26&lt;&gt;""),+VLOOKUP(AG667,'פחתי מים לרשויות מצטרפות'!$A$12:$G$15,5,0)-VLOOKUP(AG19,'פחת מים וגביה'!$A:$D,4,0),0)</f>
        <v>0</v>
      </c>
      <c r="AH609" s="1049">
        <f>(+IF(AH563&gt;=2015,MAX(VLOOKUP(AH667,'פחתי מים לרשויות מצטרפות'!$A$11:$G$14,MAX($B$3-AH563,0)+3,0)-VLOOKUP(AH$1,'פחת מים וגביה'!$A:$D,4,0),0))*AH412/AH$425)+IF(AND(AH$7="חברה מנהלת",AH26&lt;&gt;""),+VLOOKUP(AH667,'פחתי מים לרשויות מצטרפות'!$A$12:$G$15,5,0)-VLOOKUP(AH19,'פחת מים וגביה'!$A:$D,4,0),0)</f>
        <v>0</v>
      </c>
      <c r="AI609" s="1049">
        <f>(+IF(AI563&gt;=2015,MAX(VLOOKUP(AI667,'פחתי מים לרשויות מצטרפות'!$A$11:$G$14,MAX($B$3-AI563,0)+3,0)-VLOOKUP(AI$1,'פחת מים וגביה'!$A:$D,4,0),0))*AI412/AI$425)+IF(AND(AI$7="חברה מנהלת",AI26&lt;&gt;""),+VLOOKUP(AI667,'פחתי מים לרשויות מצטרפות'!$A$12:$G$15,5,0)-VLOOKUP(AI19,'פחת מים וגביה'!$A:$D,4,0),0)</f>
        <v>0</v>
      </c>
      <c r="AJ609" s="1049">
        <f>(+IF(AJ563&gt;=2015,MAX(VLOOKUP(AJ667,'פחתי מים לרשויות מצטרפות'!$A$11:$G$14,MAX($B$3-AJ563,0)+3,0)-VLOOKUP(AJ$1,'פחת מים וגביה'!$A:$D,4,0),0))*AJ412/AJ$425)+IF(AND(AJ$7="חברה מנהלת",AJ26&lt;&gt;""),+VLOOKUP(AJ667,'פחתי מים לרשויות מצטרפות'!$A$12:$G$15,5,0)-VLOOKUP(AJ19,'פחת מים וגביה'!$A:$D,4,0),0)</f>
        <v>0</v>
      </c>
      <c r="AK609" s="1049">
        <f>(+IF(AK563&gt;=2015,MAX(VLOOKUP(AK667,'פחתי מים לרשויות מצטרפות'!$A$11:$G$14,MAX($B$3-AK563,0)+3,0)-VLOOKUP(AK$1,'פחת מים וגביה'!$A:$D,4,0),0))*AK412/AK$425)+IF(AND(AK$7="חברה מנהלת",AK26&lt;&gt;""),+VLOOKUP(AK667,'פחתי מים לרשויות מצטרפות'!$A$12:$G$15,5,0)-VLOOKUP(AK19,'פחת מים וגביה'!$A:$D,4,0),0)</f>
        <v>0</v>
      </c>
      <c r="AL609" s="1049">
        <f>(+IF(AL563&gt;=2015,MAX(VLOOKUP(AL667,'פחתי מים לרשויות מצטרפות'!$A$11:$G$14,MAX($B$3-AL563,0)+3,0)-VLOOKUP(AL$1,'פחת מים וגביה'!$A:$D,4,0),0))*AL412/AL$425)+IF(AND(AL$7="חברה מנהלת",AL26&lt;&gt;""),+VLOOKUP(AL667,'פחתי מים לרשויות מצטרפות'!$A$12:$G$15,5,0)-VLOOKUP(AL19,'פחת מים וגביה'!$A:$D,4,0),0)</f>
        <v>0</v>
      </c>
      <c r="AM609" s="1049">
        <f>(+IF(AM563&gt;=2015,MAX(VLOOKUP(AM667,'פחתי מים לרשויות מצטרפות'!$A$11:$G$14,MAX($B$3-AM563,0)+3,0)-VLOOKUP(AM$1,'פחת מים וגביה'!$A:$D,4,0),0))*AM412/AM$425)+IF(AND(AM$7="חברה מנהלת",AM26&lt;&gt;""),+VLOOKUP(AM667,'פחתי מים לרשויות מצטרפות'!$A$12:$G$15,5,0)-VLOOKUP(AM19,'פחת מים וגביה'!$A:$D,4,0),0)</f>
        <v>0</v>
      </c>
      <c r="AN609" s="1049">
        <f>(+IF(AN563&gt;=2015,MAX(VLOOKUP(AN667,'פחתי מים לרשויות מצטרפות'!$A$11:$G$14,MAX($B$3-AN563,0)+3,0)-VLOOKUP(AN$1,'פחת מים וגביה'!$A:$D,4,0),0))*AN412/AN$425)+IF(AND(AN$7="חברה מנהלת",AN26&lt;&gt;""),+VLOOKUP(AN667,'פחתי מים לרשויות מצטרפות'!$A$12:$G$15,5,0)-VLOOKUP(AN19,'פחת מים וגביה'!$A:$D,4,0),0)</f>
        <v>0</v>
      </c>
      <c r="AO609" s="1049">
        <f>(+IF(AO563&gt;=2015,MAX(VLOOKUP(AO667,'פחתי מים לרשויות מצטרפות'!$A$11:$G$14,MAX($B$3-AO563,0)+3,0)-VLOOKUP(AO$1,'פחת מים וגביה'!$A:$D,4,0),0))*AO412/AO$425)+IF(AND(AO$7="חברה מנהלת",AO26&lt;&gt;""),+VLOOKUP(AO667,'פחתי מים לרשויות מצטרפות'!$A$12:$G$15,5,0)-VLOOKUP(AO19,'פחת מים וגביה'!$A:$D,4,0),0)</f>
        <v>0</v>
      </c>
      <c r="AP609" s="1049">
        <f>(+IF(AP563&gt;=2015,MAX(VLOOKUP(AP667,'פחתי מים לרשויות מצטרפות'!$A$11:$G$14,MAX($B$3-AP563,0)+3,0)-VLOOKUP(AP$1,'פחת מים וגביה'!$A:$D,4,0),0))*AP412/AP$425)+IF(AND(AP$7="חברה מנהלת",AP26&lt;&gt;""),+VLOOKUP(AP667,'פחתי מים לרשויות מצטרפות'!$A$12:$G$15,5,0)-VLOOKUP(AP19,'פחת מים וגביה'!$A:$D,4,0),0)</f>
        <v>0</v>
      </c>
      <c r="AQ609" s="1049">
        <f>(+IF(AQ563&gt;=2015,MAX(VLOOKUP(AQ667,'פחתי מים לרשויות מצטרפות'!$A$11:$G$14,MAX($B$3-AQ563,0)+3,0)-VLOOKUP(AQ$1,'פחת מים וגביה'!$A:$D,4,0),0))*AQ412/AQ$425)+IF(AND(AQ$7="חברה מנהלת",AQ26&lt;&gt;""),+VLOOKUP(AQ667,'פחתי מים לרשויות מצטרפות'!$A$12:$G$15,5,0)-VLOOKUP(AQ19,'פחת מים וגביה'!$A:$D,4,0),0)</f>
        <v>0</v>
      </c>
      <c r="AR609" s="1049">
        <f>(+IF(AR563&gt;=2015,MAX(VLOOKUP(AR667,'פחתי מים לרשויות מצטרפות'!$A$11:$G$14,MAX($B$3-AR563,0)+3,0)-VLOOKUP(AR$1,'פחת מים וגביה'!$A:$D,4,0),0))*AR412/AR$425)+IF(AND(AR$7="חברה מנהלת",AR26&lt;&gt;""),+VLOOKUP(AR667,'פחתי מים לרשויות מצטרפות'!$A$12:$G$15,5,0)-VLOOKUP(AR19,'פחת מים וגביה'!$A:$D,4,0),0)</f>
        <v>0</v>
      </c>
      <c r="AS609" s="1049">
        <f>(+IF(AS563&gt;=2015,MAX(VLOOKUP(AS667,'פחתי מים לרשויות מצטרפות'!$A$11:$G$14,MAX($B$3-AS563,0)+3,0)-VLOOKUP(AS$1,'פחת מים וגביה'!$A:$D,4,0),0))*AS412/AS$425)+IF(AND(AS$7="חברה מנהלת",AS26&lt;&gt;""),+VLOOKUP(AS667,'פחתי מים לרשויות מצטרפות'!$A$12:$G$15,5,0)-VLOOKUP(AS19,'פחת מים וגביה'!$A:$D,4,0),0)</f>
        <v>0</v>
      </c>
      <c r="AT609" s="1049">
        <f>(+IF(AT563&gt;=2015,MAX(VLOOKUP(AT667,'פחתי מים לרשויות מצטרפות'!$A$11:$G$14,MAX($B$3-AT563,0)+3,0)-VLOOKUP(AT$1,'פחת מים וגביה'!$A:$D,4,0),0))*AT412/AT$425)+IF(AND(AT$7="חברה מנהלת",AT26&lt;&gt;""),+VLOOKUP(AT667,'פחתי מים לרשויות מצטרפות'!$A$12:$G$15,5,0)-VLOOKUP(AT19,'פחת מים וגביה'!$A:$D,4,0),0)</f>
        <v>0</v>
      </c>
      <c r="AU609" s="1049">
        <f>(+IF(AU563&gt;=2015,MAX(VLOOKUP(AU667,'פחתי מים לרשויות מצטרפות'!$A$11:$G$14,MAX($B$3-AU563,0)+3,0)-VLOOKUP(AU$1,'פחת מים וגביה'!$A:$D,4,0),0))*AU412/AU$425)+IF(AND(AU$7="חברה מנהלת",AU26&lt;&gt;""),+VLOOKUP(AU667,'פחתי מים לרשויות מצטרפות'!$A$12:$G$15,5,0)-VLOOKUP(AU19,'פחת מים וגביה'!$A:$D,4,0),0)</f>
        <v>0</v>
      </c>
      <c r="AV609" s="1049">
        <f>(+IF(AV563&gt;=2015,MAX(VLOOKUP(AV667,'פחתי מים לרשויות מצטרפות'!$A$11:$G$14,MAX($B$3-AV563,0)+3,0)-VLOOKUP(AV$1,'פחת מים וגביה'!$A:$D,4,0),0))*AV412/AV$425)+IF(AND(AV$7="חברה מנהלת",AV26&lt;&gt;""),+VLOOKUP(AV667,'פחתי מים לרשויות מצטרפות'!$A$12:$G$15,5,0)-VLOOKUP(AV19,'פחת מים וגביה'!$A:$D,4,0),0)</f>
        <v>0</v>
      </c>
      <c r="AW609" s="1049">
        <f>(+IF(AW563&gt;=2015,MAX(VLOOKUP(AW667,'פחתי מים לרשויות מצטרפות'!$A$11:$G$14,MAX($B$3-AW563,0)+3,0)-VLOOKUP(AW$1,'פחת מים וגביה'!$A:$D,4,0),0))*AW412/AW$425)+IF(AND(AW$7="חברה מנהלת",AW26&lt;&gt;""),+VLOOKUP(AW667,'פחתי מים לרשויות מצטרפות'!$A$12:$G$15,5,0)-VLOOKUP(AW19,'פחת מים וגביה'!$A:$D,4,0),0)</f>
        <v>0</v>
      </c>
      <c r="AX609" s="1049">
        <f>(+IF(AX563&gt;=2015,MAX(VLOOKUP(AX667,'פחתי מים לרשויות מצטרפות'!$A$11:$G$14,MAX($B$3-AX563,0)+3,0)-VLOOKUP(AX$1,'פחת מים וגביה'!$A:$D,4,0),0))*AX412/AX$425)+IF(AND(AX$7="חברה מנהלת",AX26&lt;&gt;""),+VLOOKUP(AX667,'פחתי מים לרשויות מצטרפות'!$A$12:$G$15,5,0)-VLOOKUP(AX19,'פחת מים וגביה'!$A:$D,4,0),0)</f>
        <v>0</v>
      </c>
      <c r="AY609" s="1049">
        <f>(+IF(AY563&gt;=2015,MAX(VLOOKUP(AY667,'פחתי מים לרשויות מצטרפות'!$A$11:$G$14,MAX($B$3-AY563,0)+3,0)-VLOOKUP(AY$1,'פחת מים וגביה'!$A:$D,4,0),0))*AY412/AY$425)+IF(AND(AY$7="חברה מנהלת",AY26&lt;&gt;""),+VLOOKUP(AY667,'פחתי מים לרשויות מצטרפות'!$A$12:$G$15,5,0)-VLOOKUP(AY19,'פחת מים וגביה'!$A:$D,4,0),0)</f>
        <v>0</v>
      </c>
      <c r="AZ609" s="1049">
        <f>(+IF(AZ563&gt;=2015,MAX(VLOOKUP(AZ667,'פחתי מים לרשויות מצטרפות'!$A$11:$G$14,MAX($B$3-AZ563,0)+3,0)-VLOOKUP(AZ$1,'פחת מים וגביה'!$A:$D,4,0),0))*AZ412/AZ$425)+IF(AND(AZ$7="חברה מנהלת",AZ26&lt;&gt;""),+VLOOKUP(AZ667,'פחתי מים לרשויות מצטרפות'!$A$12:$G$15,5,0)-VLOOKUP(AZ19,'פחת מים וגביה'!$A:$D,4,0),0)</f>
        <v>0</v>
      </c>
      <c r="BA609" s="1049">
        <f>(+IF(BA563&gt;=2015,MAX(VLOOKUP(BA667,'פחתי מים לרשויות מצטרפות'!$A$11:$G$14,MAX($B$3-BA563,0)+3,0)-VLOOKUP(BA$1,'פחת מים וגביה'!$A:$D,4,0),0))*BA412/BA$425)+IF(AND(BA$7="חברה מנהלת",BA26&lt;&gt;""),+VLOOKUP(BA667,'פחתי מים לרשויות מצטרפות'!$A$12:$G$15,5,0)-VLOOKUP(BA19,'פחת מים וגביה'!$A:$D,4,0),0)</f>
        <v>0</v>
      </c>
      <c r="BB609" s="1049">
        <f>(+IF(BB563&gt;=2015,MAX(VLOOKUP(BB667,'פחתי מים לרשויות מצטרפות'!$A$11:$G$14,MAX($B$3-BB563,0)+3,0)-VLOOKUP(BB$1,'פחת מים וגביה'!$A:$D,4,0),0))*BB412/BB$425)+IF(AND(BB$7="חברה מנהלת",BB26&lt;&gt;""),+VLOOKUP(BB667,'פחתי מים לרשויות מצטרפות'!$A$12:$G$15,5,0)-VLOOKUP(BB19,'פחת מים וגביה'!$A:$D,4,0),0)</f>
        <v>0</v>
      </c>
      <c r="BC609" s="1049">
        <f>(+IF(BC563&gt;=2015,MAX(VLOOKUP(BC667,'פחתי מים לרשויות מצטרפות'!$A$11:$G$14,MAX($B$3-BC563,0)+3,0)-VLOOKUP(BC$1,'פחת מים וגביה'!$A:$D,4,0),0))*BC412/BC$425)+IF(AND(BC$7="חברה מנהלת",BC26&lt;&gt;""),+VLOOKUP(BC667,'פחתי מים לרשויות מצטרפות'!$A$12:$G$15,5,0)-VLOOKUP(BC19,'פחת מים וגביה'!$A:$D,4,0),0)</f>
        <v>0</v>
      </c>
      <c r="BD609" s="1049">
        <f>(+IF(BD563&gt;=2015,MAX(VLOOKUP(BD667,'פחתי מים לרשויות מצטרפות'!$A$11:$G$14,MAX($B$3-BD563,0)+3,0)-VLOOKUP(BD$1,'פחת מים וגביה'!$A:$D,4,0),0))*BD412/BD$425)+IF(AND(BD$7="חברה מנהלת",BD26&lt;&gt;""),+VLOOKUP(BD667,'פחתי מים לרשויות מצטרפות'!$A$12:$G$15,5,0)-VLOOKUP(BD19,'פחת מים וגביה'!$A:$D,4,0),0)</f>
        <v>0</v>
      </c>
      <c r="BE609" s="1049">
        <f>(+IF(BE563&gt;=2015,MAX(VLOOKUP(BE667,'פחתי מים לרשויות מצטרפות'!$A$11:$G$14,MAX($B$3-BE563,0)+3,0)-VLOOKUP(BE$1,'פחת מים וגביה'!$A:$D,4,0),0))*BE412/BE$425)+IF(AND(BE$7="חברה מנהלת",BE26&lt;&gt;""),+VLOOKUP(BE667,'פחתי מים לרשויות מצטרפות'!$A$12:$G$15,5,0)-VLOOKUP(BE19,'פחת מים וגביה'!$A:$D,4,0),0)</f>
        <v>0</v>
      </c>
      <c r="BF609" s="1049">
        <f>(+IF(BF563&gt;=2015,MAX(VLOOKUP(BF667,'פחתי מים לרשויות מצטרפות'!$A$11:$G$14,MAX($B$3-BF563,0)+3,0)-VLOOKUP(BF$1,'פחת מים וגביה'!$A:$D,4,0),0))*BF412/BF$425)+IF(AND(BF$7="חברה מנהלת",BF26&lt;&gt;""),+VLOOKUP(BF667,'פחתי מים לרשויות מצטרפות'!$A$12:$G$15,5,0)-VLOOKUP(BF19,'פחת מים וגביה'!$A:$D,4,0),0)</f>
        <v>0</v>
      </c>
    </row>
    <row r="610" spans="1:58" x14ac:dyDescent="0.2">
      <c r="C610" s="1049">
        <f>(+IF(C564&gt;=2015,MAX(VLOOKUP(C668,'פחתי מים לרשויות מצטרפות'!$A$11:$G$14,MAX($B$3-C564,0)+3,0)-VLOOKUP(C$1,'פחת מים וגביה'!$A:$D,4,0),0))*C413/C$425)+IF(AND(C$7="חברה מנהלת",C27&lt;&gt;""),+VLOOKUP(C668,'פחתי מים לרשויות מצטרפות'!$A$12:$G$15,5,0)-VLOOKUP(C20,'פחת מים וגביה'!$A:$D,4,0),0)</f>
        <v>0</v>
      </c>
      <c r="D610" s="1049">
        <f>(+IF(D564&gt;=2015,MAX(VLOOKUP(D668,'פחתי מים לרשויות מצטרפות'!$A$11:$G$14,MAX($B$3-D564,0)+3,0)-VLOOKUP(D$1,'פחת מים וגביה'!$A:$D,4,0),0))*D413/D$425)+IF(AND(D$7="חברה מנהלת",D27&lt;&gt;""),+VLOOKUP(D668,'פחתי מים לרשויות מצטרפות'!$A$12:$G$15,5,0)-VLOOKUP(D20,'פחת מים וגביה'!$A:$D,4,0),0)</f>
        <v>0</v>
      </c>
      <c r="E610" s="1049">
        <f>(+IF(E564&gt;=2015,MAX(VLOOKUP(E668,'פחתי מים לרשויות מצטרפות'!$A$11:$G$14,MAX($B$3-E564,0)+3,0)-VLOOKUP(E$1,'פחת מים וגביה'!$A:$D,4,0),0))*E413/E$425)+IF(AND(E$7="חברה מנהלת",E27&lt;&gt;""),+VLOOKUP(E668,'פחתי מים לרשויות מצטרפות'!$A$12:$G$15,5,0)-VLOOKUP(E20,'פחת מים וגביה'!$A:$D,4,0),0)</f>
        <v>0</v>
      </c>
      <c r="F610" s="1049">
        <f>(+IF(F564&gt;=2015,MAX(VLOOKUP(F668,'פחתי מים לרשויות מצטרפות'!$A$11:$G$14,MAX($B$3-F564,0)+3,0)-VLOOKUP(F$1,'פחת מים וגביה'!$A:$D,4,0),0))*F413/F$425)+IF(AND(F$7="חברה מנהלת",F27&lt;&gt;""),+VLOOKUP(F668,'פחתי מים לרשויות מצטרפות'!$A$12:$G$15,5,0)-VLOOKUP(F20,'פחת מים וגביה'!$A:$D,4,0),0)</f>
        <v>0</v>
      </c>
      <c r="G610" s="1049">
        <f>(+IF(G564&gt;=2015,MAX(VLOOKUP(G668,'פחתי מים לרשויות מצטרפות'!$A$11:$G$14,MAX($B$3-G564,0)+3,0)-VLOOKUP(G$1,'פחת מים וגביה'!$A:$D,4,0),0))*G413/G$425)+IF(AND(G$7="חברה מנהלת",G27&lt;&gt;""),+VLOOKUP(G668,'פחתי מים לרשויות מצטרפות'!$A$12:$G$15,5,0)-VLOOKUP(G20,'פחת מים וגביה'!$A:$D,4,0),0)</f>
        <v>0</v>
      </c>
      <c r="H610" s="1049">
        <f>(+IF(H564&gt;=2015,MAX(VLOOKUP(H668,'פחתי מים לרשויות מצטרפות'!$A$11:$G$14,MAX($B$3-H564,0)+3,0)-VLOOKUP(H$1,'פחת מים וגביה'!$A:$D,4,0),0))*H413/H$425)+IF(AND(H$7="חברה מנהלת",H27&lt;&gt;""),+VLOOKUP(H668,'פחתי מים לרשויות מצטרפות'!$A$12:$G$15,5,0)-VLOOKUP(H20,'פחת מים וגביה'!$A:$D,4,0),0)</f>
        <v>0</v>
      </c>
      <c r="I610" s="1049">
        <f>(+IF(I564&gt;=2015,MAX(VLOOKUP(I668,'פחתי מים לרשויות מצטרפות'!$A$11:$G$14,MAX($B$3-I564,0)+3,0)-VLOOKUP(I$1,'פחת מים וגביה'!$A:$D,4,0),0))*I413/I$425)+IF(AND(I$7="חברה מנהלת",I27&lt;&gt;""),+VLOOKUP(I668,'פחתי מים לרשויות מצטרפות'!$A$12:$G$15,5,0)-VLOOKUP(I20,'פחת מים וגביה'!$A:$D,4,0),0)</f>
        <v>0</v>
      </c>
      <c r="J610" s="1049">
        <f>(+IF(J564&gt;=2015,MAX(VLOOKUP(J668,'פחתי מים לרשויות מצטרפות'!$A$11:$G$14,MAX($B$3-J564,0)+3,0)-VLOOKUP(J$1,'פחת מים וגביה'!$A:$D,4,0),0))*J413/J$425)+IF(AND(J$7="חברה מנהלת",J27&lt;&gt;""),+VLOOKUP(J668,'פחתי מים לרשויות מצטרפות'!$A$12:$G$15,5,0)-VLOOKUP(J20,'פחת מים וגביה'!$A:$D,4,0),0)</f>
        <v>0</v>
      </c>
      <c r="K610" s="1049">
        <f>(+IF(K564&gt;=2015,MAX(VLOOKUP(K668,'פחתי מים לרשויות מצטרפות'!$A$11:$G$14,MAX($B$3-K564,0)+3,0)-VLOOKUP(K$1,'פחת מים וגביה'!$A:$D,4,0),0))*K413/K$425)+IF(AND(K$7="חברה מנהלת",K27&lt;&gt;""),+VLOOKUP(K668,'פחתי מים לרשויות מצטרפות'!$A$12:$G$15,5,0)-VLOOKUP(K20,'פחת מים וגביה'!$A:$D,4,0),0)</f>
        <v>0</v>
      </c>
      <c r="L610" s="1049">
        <f>(+IF(L564&gt;=2015,MAX(VLOOKUP(L668,'פחתי מים לרשויות מצטרפות'!$A$11:$G$14,MAX($B$3-L564,0)+3,0)-VLOOKUP(L$1,'פחת מים וגביה'!$A:$D,4,0),0))*L413/L$425)+IF(AND(L$7="חברה מנהלת",L27&lt;&gt;""),+VLOOKUP(L668,'פחתי מים לרשויות מצטרפות'!$A$12:$G$15,5,0)-VLOOKUP(L20,'פחת מים וגביה'!$A:$D,4,0),0)</f>
        <v>0</v>
      </c>
      <c r="M610" s="1049">
        <f>(+IF(M564&gt;=2015,MAX(VLOOKUP(M668,'פחתי מים לרשויות מצטרפות'!$A$11:$G$14,MAX($B$3-M564,0)+3,0)-VLOOKUP(M$1,'פחת מים וגביה'!$A:$D,4,0),0))*M413/M$425)+IF(AND(M$7="חברה מנהלת",M27&lt;&gt;""),+VLOOKUP(M668,'פחתי מים לרשויות מצטרפות'!$A$12:$G$15,5,0)-VLOOKUP(M20,'פחת מים וגביה'!$A:$D,4,0),0)</f>
        <v>0</v>
      </c>
      <c r="N610" s="1049">
        <f>(+IF(N564&gt;=2015,MAX(VLOOKUP(N668,'פחתי מים לרשויות מצטרפות'!$A$11:$G$14,MAX($B$3-N564,0)+3,0)-VLOOKUP(N$1,'פחת מים וגביה'!$A:$D,4,0),0))*N413/N$425)+IF(AND(N$7="חברה מנהלת",N27&lt;&gt;""),+VLOOKUP(N668,'פחתי מים לרשויות מצטרפות'!$A$12:$G$15,5,0)-VLOOKUP(N20,'פחת מים וגביה'!$A:$D,4,0),0)</f>
        <v>0</v>
      </c>
      <c r="O610" s="1049">
        <f>(+IF(O564&gt;=2015,MAX(VLOOKUP(O668,'פחתי מים לרשויות מצטרפות'!$A$11:$G$14,MAX($B$3-O564,0)+3,0)-VLOOKUP(O$1,'פחת מים וגביה'!$A:$D,4,0),0))*O413/O$425)+IF(AND(O$7="חברה מנהלת",O27&lt;&gt;""),+VLOOKUP(O668,'פחתי מים לרשויות מצטרפות'!$A$12:$G$15,5,0)-VLOOKUP(O20,'פחת מים וגביה'!$A:$D,4,0),0)</f>
        <v>0</v>
      </c>
      <c r="P610" s="1049">
        <f>(+IF(P564&gt;=2015,MAX(VLOOKUP(P668,'פחתי מים לרשויות מצטרפות'!$A$11:$G$14,MAX($B$3-P564,0)+3,0)-VLOOKUP(P$1,'פחת מים וגביה'!$A:$D,4,0),0))*P413/P$425)+IF(AND(P$7="חברה מנהלת",P27&lt;&gt;""),+VLOOKUP(P668,'פחתי מים לרשויות מצטרפות'!$A$12:$G$15,5,0)-VLOOKUP(P20,'פחת מים וגביה'!$A:$D,4,0),0)</f>
        <v>0</v>
      </c>
      <c r="Q610" s="1049">
        <f>(+IF(Q564&gt;=2015,MAX(VLOOKUP(Q668,'פחתי מים לרשויות מצטרפות'!$A$11:$G$14,MAX($B$3-Q564,0)+3,0)-VLOOKUP(Q$1,'פחת מים וגביה'!$A:$D,4,0),0))*Q413/Q$425)+IF(AND(Q$7="חברה מנהלת",Q27&lt;&gt;""),+VLOOKUP(Q668,'פחתי מים לרשויות מצטרפות'!$A$12:$G$15,5,0)-VLOOKUP(Q20,'פחת מים וגביה'!$A:$D,4,0),0)</f>
        <v>0</v>
      </c>
      <c r="R610" s="1049">
        <f>(+IF(R564&gt;=2015,MAX(VLOOKUP(R668,'פחתי מים לרשויות מצטרפות'!$A$11:$G$14,MAX($B$3-R564,0)+3,0)-VLOOKUP(R$1,'פחת מים וגביה'!$A:$D,4,0),0))*R413/R$425)+IF(AND(R$7="חברה מנהלת",R27&lt;&gt;""),+VLOOKUP(R668,'פחתי מים לרשויות מצטרפות'!$A$12:$G$15,5,0)-VLOOKUP(R20,'פחת מים וגביה'!$A:$D,4,0),0)</f>
        <v>0</v>
      </c>
      <c r="S610" s="1049">
        <f>(+IF(S564&gt;=2015,MAX(VLOOKUP(S668,'פחתי מים לרשויות מצטרפות'!$A$11:$G$14,MAX($B$3-S564,0)+3,0)-VLOOKUP(S$1,'פחת מים וגביה'!$A:$D,4,0),0))*S413/S$425)+IF(AND(S$7="חברה מנהלת",S27&lt;&gt;""),+VLOOKUP(S668,'פחתי מים לרשויות מצטרפות'!$A$12:$G$15,5,0)-VLOOKUP(S20,'פחת מים וגביה'!$A:$D,4,0),0)</f>
        <v>0</v>
      </c>
      <c r="T610" s="1049">
        <f>(+IF(T564&gt;=2015,MAX(VLOOKUP(T668,'פחתי מים לרשויות מצטרפות'!$A$11:$G$14,MAX($B$3-T564,0)+3,0)-VLOOKUP(T$1,'פחת מים וגביה'!$A:$D,4,0),0))*T413/T$425)+IF(AND(T$7="חברה מנהלת",T27&lt;&gt;""),+VLOOKUP(T668,'פחתי מים לרשויות מצטרפות'!$A$12:$G$15,5,0)-VLOOKUP(T20,'פחת מים וגביה'!$A:$D,4,0),0)</f>
        <v>0</v>
      </c>
      <c r="U610" s="1049">
        <f>(+IF(U564&gt;=2015,MAX(VLOOKUP(U668,'פחתי מים לרשויות מצטרפות'!$A$11:$G$14,MAX($B$3-U564,0)+3,0)-VLOOKUP(U$1,'פחת מים וגביה'!$A:$D,4,0),0))*U413/U$425)+IF(AND(U$7="חברה מנהלת",U27&lt;&gt;""),+VLOOKUP(U668,'פחתי מים לרשויות מצטרפות'!$A$12:$G$15,5,0)-VLOOKUP(U20,'פחת מים וגביה'!$A:$D,4,0),0)</f>
        <v>0</v>
      </c>
      <c r="V610" s="1049">
        <f>(+IF(V564&gt;=2015,MAX(VLOOKUP(V668,'פחתי מים לרשויות מצטרפות'!$A$11:$G$14,MAX($B$3-V564,0)+3,0)-VLOOKUP(V$1,'פחת מים וגביה'!$A:$D,4,0),0))*V413/V$425)+IF(AND(V$7="חברה מנהלת",V27&lt;&gt;""),+VLOOKUP(V668,'פחתי מים לרשויות מצטרפות'!$A$12:$G$15,5,0)-VLOOKUP(V20,'פחת מים וגביה'!$A:$D,4,0),0)</f>
        <v>0</v>
      </c>
      <c r="W610" s="1049">
        <f>(+IF(W564&gt;=2015,MAX(VLOOKUP(W668,'פחתי מים לרשויות מצטרפות'!$A$11:$G$14,MAX($B$3-W564,0)+3,0)-VLOOKUP(W$1,'פחת מים וגביה'!$A:$D,4,0),0))*W413/W$425)+IF(AND(W$7="חברה מנהלת",W27&lt;&gt;""),+VLOOKUP(W668,'פחתי מים לרשויות מצטרפות'!$A$12:$G$15,5,0)-VLOOKUP(W20,'פחת מים וגביה'!$A:$D,4,0),0)</f>
        <v>0</v>
      </c>
      <c r="X610" s="1049">
        <f>(+IF(X564&gt;=2015,MAX(VLOOKUP(X668,'פחתי מים לרשויות מצטרפות'!$A$11:$G$14,MAX($B$3-X564,0)+3,0)-VLOOKUP(X$1,'פחת מים וגביה'!$A:$D,4,0),0))*X413/X$425)+IF(AND(X$7="חברה מנהלת",X27&lt;&gt;""),+VLOOKUP(X668,'פחתי מים לרשויות מצטרפות'!$A$12:$G$15,5,0)-VLOOKUP(X20,'פחת מים וגביה'!$A:$D,4,0),0)</f>
        <v>0</v>
      </c>
      <c r="Y610" s="1049">
        <f>(+IF(Y564&gt;=2015,MAX(VLOOKUP(Y668,'פחתי מים לרשויות מצטרפות'!$A$11:$G$14,MAX($B$3-Y564,0)+3,0)-VLOOKUP(Y$1,'פחת מים וגביה'!$A:$D,4,0),0))*Y413/Y$425)+IF(AND(Y$7="חברה מנהלת",Y27&lt;&gt;""),+VLOOKUP(Y668,'פחתי מים לרשויות מצטרפות'!$A$12:$G$15,5,0)-VLOOKUP(Y20,'פחת מים וגביה'!$A:$D,4,0),0)</f>
        <v>0</v>
      </c>
      <c r="Z610" s="1049">
        <f>(+IF(Z564&gt;=2015,MAX(VLOOKUP(Z668,'פחתי מים לרשויות מצטרפות'!$A$11:$G$14,MAX($B$3-Z564,0)+3,0)-VLOOKUP(Z$1,'פחת מים וגביה'!$A:$D,4,0),0))*Z413/Z$425)+IF(AND(Z$7="חברה מנהלת",Z27&lt;&gt;""),+VLOOKUP(Z668,'פחתי מים לרשויות מצטרפות'!$A$12:$G$15,5,0)-VLOOKUP(Z20,'פחת מים וגביה'!$A:$D,4,0),0)</f>
        <v>0</v>
      </c>
      <c r="AA610" s="1049">
        <f>(+IF(AA564&gt;=2015,MAX(VLOOKUP(AA668,'פחתי מים לרשויות מצטרפות'!$A$11:$G$14,MAX($B$3-AA564,0)+3,0)-VLOOKUP(AA$1,'פחת מים וגביה'!$A:$D,4,0),0))*AA413/AA$425)+IF(AND(AA$7="חברה מנהלת",AA27&lt;&gt;""),+VLOOKUP(AA668,'פחתי מים לרשויות מצטרפות'!$A$12:$G$15,5,0)-VLOOKUP(AA20,'פחת מים וגביה'!$A:$D,4,0),0)</f>
        <v>0</v>
      </c>
      <c r="AB610" s="1049">
        <f>(+IF(AB564&gt;=2015,MAX(VLOOKUP(AB668,'פחתי מים לרשויות מצטרפות'!$A$11:$G$14,MAX($B$3-AB564,0)+3,0)-VLOOKUP(AB$1,'פחת מים וגביה'!$A:$D,4,0),0))*AB413/AB$425)+IF(AND(AB$7="חברה מנהלת",AB27&lt;&gt;""),+VLOOKUP(AB668,'פחתי מים לרשויות מצטרפות'!$A$12:$G$15,5,0)-VLOOKUP(AB20,'פחת מים וגביה'!$A:$D,4,0),0)</f>
        <v>0</v>
      </c>
      <c r="AC610" s="1049">
        <f>(+IF(AC564&gt;=2015,MAX(VLOOKUP(AC668,'פחתי מים לרשויות מצטרפות'!$A$11:$G$14,MAX($B$3-AC564,0)+3,0)-VLOOKUP(AC$1,'פחת מים וגביה'!$A:$D,4,0),0))*AC413/AC$425)+IF(AND(AC$7="חברה מנהלת",AC27&lt;&gt;""),+VLOOKUP(AC668,'פחתי מים לרשויות מצטרפות'!$A$12:$G$15,5,0)-VLOOKUP(AC20,'פחת מים וגביה'!$A:$D,4,0),0)</f>
        <v>0</v>
      </c>
      <c r="AD610" s="1049">
        <f>(+IF(AD564&gt;=2015,MAX(VLOOKUP(AD668,'פחתי מים לרשויות מצטרפות'!$A$11:$G$14,MAX($B$3-AD564,0)+3,0)-VLOOKUP(AD$1,'פחת מים וגביה'!$A:$D,4,0),0))*AD413/AD$425)+IF(AND(AD$7="חברה מנהלת",AD27&lt;&gt;""),+VLOOKUP(AD668,'פחתי מים לרשויות מצטרפות'!$A$12:$G$15,5,0)-VLOOKUP(AD20,'פחת מים וגביה'!$A:$D,4,0),0)</f>
        <v>0</v>
      </c>
      <c r="AE610" s="1049">
        <f>(+IF(AE564&gt;=2015,MAX(VLOOKUP(AE668,'פחתי מים לרשויות מצטרפות'!$A$11:$G$14,MAX($B$3-AE564,0)+3,0)-VLOOKUP(AE$1,'פחת מים וגביה'!$A:$D,4,0),0))*AE413/AE$425)+IF(AND(AE$7="חברה מנהלת",AE27&lt;&gt;""),+VLOOKUP(AE668,'פחתי מים לרשויות מצטרפות'!$A$12:$G$15,5,0)-VLOOKUP(AE20,'פחת מים וגביה'!$A:$D,4,0),0)</f>
        <v>0</v>
      </c>
      <c r="AF610" s="1049">
        <f>(+IF(AF564&gt;=2015,MAX(VLOOKUP(AF668,'פחתי מים לרשויות מצטרפות'!$A$11:$G$14,MAX($B$3-AF564,0)+3,0)-VLOOKUP(AF$1,'פחת מים וגביה'!$A:$D,4,0),0))*AF413/AF$425)+IF(AND(AF$7="חברה מנהלת",AF27&lt;&gt;""),+VLOOKUP(AF668,'פחתי מים לרשויות מצטרפות'!$A$12:$G$15,5,0)-VLOOKUP(AF20,'פחת מים וגביה'!$A:$D,4,0),0)</f>
        <v>0</v>
      </c>
      <c r="AG610" s="1049">
        <f>(+IF(AG564&gt;=2015,MAX(VLOOKUP(AG668,'פחתי מים לרשויות מצטרפות'!$A$11:$G$14,MAX($B$3-AG564,0)+3,0)-VLOOKUP(AG$1,'פחת מים וגביה'!$A:$D,4,0),0))*AG413/AG$425)+IF(AND(AG$7="חברה מנהלת",AG27&lt;&gt;""),+VLOOKUP(AG668,'פחתי מים לרשויות מצטרפות'!$A$12:$G$15,5,0)-VLOOKUP(AG20,'פחת מים וגביה'!$A:$D,4,0),0)</f>
        <v>0</v>
      </c>
      <c r="AH610" s="1049">
        <f>(+IF(AH564&gt;=2015,MAX(VLOOKUP(AH668,'פחתי מים לרשויות מצטרפות'!$A$11:$G$14,MAX($B$3-AH564,0)+3,0)-VLOOKUP(AH$1,'פחת מים וגביה'!$A:$D,4,0),0))*AH413/AH$425)+IF(AND(AH$7="חברה מנהלת",AH27&lt;&gt;""),+VLOOKUP(AH668,'פחתי מים לרשויות מצטרפות'!$A$12:$G$15,5,0)-VLOOKUP(AH20,'פחת מים וגביה'!$A:$D,4,0),0)</f>
        <v>0</v>
      </c>
      <c r="AI610" s="1049">
        <f>(+IF(AI564&gt;=2015,MAX(VLOOKUP(AI668,'פחתי מים לרשויות מצטרפות'!$A$11:$G$14,MAX($B$3-AI564,0)+3,0)-VLOOKUP(AI$1,'פחת מים וגביה'!$A:$D,4,0),0))*AI413/AI$425)+IF(AND(AI$7="חברה מנהלת",AI27&lt;&gt;""),+VLOOKUP(AI668,'פחתי מים לרשויות מצטרפות'!$A$12:$G$15,5,0)-VLOOKUP(AI20,'פחת מים וגביה'!$A:$D,4,0),0)</f>
        <v>0</v>
      </c>
      <c r="AJ610" s="1049">
        <f>(+IF(AJ564&gt;=2015,MAX(VLOOKUP(AJ668,'פחתי מים לרשויות מצטרפות'!$A$11:$G$14,MAX($B$3-AJ564,0)+3,0)-VLOOKUP(AJ$1,'פחת מים וגביה'!$A:$D,4,0),0))*AJ413/AJ$425)+IF(AND(AJ$7="חברה מנהלת",AJ27&lt;&gt;""),+VLOOKUP(AJ668,'פחתי מים לרשויות מצטרפות'!$A$12:$G$15,5,0)-VLOOKUP(AJ20,'פחת מים וגביה'!$A:$D,4,0),0)</f>
        <v>0</v>
      </c>
      <c r="AK610" s="1049">
        <f>(+IF(AK564&gt;=2015,MAX(VLOOKUP(AK668,'פחתי מים לרשויות מצטרפות'!$A$11:$G$14,MAX($B$3-AK564,0)+3,0)-VLOOKUP(AK$1,'פחת מים וגביה'!$A:$D,4,0),0))*AK413/AK$425)+IF(AND(AK$7="חברה מנהלת",AK27&lt;&gt;""),+VLOOKUP(AK668,'פחתי מים לרשויות מצטרפות'!$A$12:$G$15,5,0)-VLOOKUP(AK20,'פחת מים וגביה'!$A:$D,4,0),0)</f>
        <v>0</v>
      </c>
      <c r="AL610" s="1049">
        <f>(+IF(AL564&gt;=2015,MAX(VLOOKUP(AL668,'פחתי מים לרשויות מצטרפות'!$A$11:$G$14,MAX($B$3-AL564,0)+3,0)-VLOOKUP(AL$1,'פחת מים וגביה'!$A:$D,4,0),0))*AL413/AL$425)+IF(AND(AL$7="חברה מנהלת",AL27&lt;&gt;""),+VLOOKUP(AL668,'פחתי מים לרשויות מצטרפות'!$A$12:$G$15,5,0)-VLOOKUP(AL20,'פחת מים וגביה'!$A:$D,4,0),0)</f>
        <v>0</v>
      </c>
      <c r="AM610" s="1049">
        <f>(+IF(AM564&gt;=2015,MAX(VLOOKUP(AM668,'פחתי מים לרשויות מצטרפות'!$A$11:$G$14,MAX($B$3-AM564,0)+3,0)-VLOOKUP(AM$1,'פחת מים וגביה'!$A:$D,4,0),0))*AM413/AM$425)+IF(AND(AM$7="חברה מנהלת",AM27&lt;&gt;""),+VLOOKUP(AM668,'פחתי מים לרשויות מצטרפות'!$A$12:$G$15,5,0)-VLOOKUP(AM20,'פחת מים וגביה'!$A:$D,4,0),0)</f>
        <v>0</v>
      </c>
      <c r="AN610" s="1049">
        <f>(+IF(AN564&gt;=2015,MAX(VLOOKUP(AN668,'פחתי מים לרשויות מצטרפות'!$A$11:$G$14,MAX($B$3-AN564,0)+3,0)-VLOOKUP(AN$1,'פחת מים וגביה'!$A:$D,4,0),0))*AN413/AN$425)+IF(AND(AN$7="חברה מנהלת",AN27&lt;&gt;""),+VLOOKUP(AN668,'פחתי מים לרשויות מצטרפות'!$A$12:$G$15,5,0)-VLOOKUP(AN20,'פחת מים וגביה'!$A:$D,4,0),0)</f>
        <v>0</v>
      </c>
      <c r="AO610" s="1049">
        <f>(+IF(AO564&gt;=2015,MAX(VLOOKUP(AO668,'פחתי מים לרשויות מצטרפות'!$A$11:$G$14,MAX($B$3-AO564,0)+3,0)-VLOOKUP(AO$1,'פחת מים וגביה'!$A:$D,4,0),0))*AO413/AO$425)+IF(AND(AO$7="חברה מנהלת",AO27&lt;&gt;""),+VLOOKUP(AO668,'פחתי מים לרשויות מצטרפות'!$A$12:$G$15,5,0)-VLOOKUP(AO20,'פחת מים וגביה'!$A:$D,4,0),0)</f>
        <v>0</v>
      </c>
      <c r="AP610" s="1049">
        <f>(+IF(AP564&gt;=2015,MAX(VLOOKUP(AP668,'פחתי מים לרשויות מצטרפות'!$A$11:$G$14,MAX($B$3-AP564,0)+3,0)-VLOOKUP(AP$1,'פחת מים וגביה'!$A:$D,4,0),0))*AP413/AP$425)+IF(AND(AP$7="חברה מנהלת",AP27&lt;&gt;""),+VLOOKUP(AP668,'פחתי מים לרשויות מצטרפות'!$A$12:$G$15,5,0)-VLOOKUP(AP20,'פחת מים וגביה'!$A:$D,4,0),0)</f>
        <v>0</v>
      </c>
      <c r="AQ610" s="1049">
        <f>(+IF(AQ564&gt;=2015,MAX(VLOOKUP(AQ668,'פחתי מים לרשויות מצטרפות'!$A$11:$G$14,MAX($B$3-AQ564,0)+3,0)-VLOOKUP(AQ$1,'פחת מים וגביה'!$A:$D,4,0),0))*AQ413/AQ$425)+IF(AND(AQ$7="חברה מנהלת",AQ27&lt;&gt;""),+VLOOKUP(AQ668,'פחתי מים לרשויות מצטרפות'!$A$12:$G$15,5,0)-VLOOKUP(AQ20,'פחת מים וגביה'!$A:$D,4,0),0)</f>
        <v>0</v>
      </c>
      <c r="AR610" s="1049">
        <f>(+IF(AR564&gt;=2015,MAX(VLOOKUP(AR668,'פחתי מים לרשויות מצטרפות'!$A$11:$G$14,MAX($B$3-AR564,0)+3,0)-VLOOKUP(AR$1,'פחת מים וגביה'!$A:$D,4,0),0))*AR413/AR$425)+IF(AND(AR$7="חברה מנהלת",AR27&lt;&gt;""),+VLOOKUP(AR668,'פחתי מים לרשויות מצטרפות'!$A$12:$G$15,5,0)-VLOOKUP(AR20,'פחת מים וגביה'!$A:$D,4,0),0)</f>
        <v>0</v>
      </c>
      <c r="AS610" s="1049">
        <f>(+IF(AS564&gt;=2015,MAX(VLOOKUP(AS668,'פחתי מים לרשויות מצטרפות'!$A$11:$G$14,MAX($B$3-AS564,0)+3,0)-VLOOKUP(AS$1,'פחת מים וגביה'!$A:$D,4,0),0))*AS413/AS$425)+IF(AND(AS$7="חברה מנהלת",AS27&lt;&gt;""),+VLOOKUP(AS668,'פחתי מים לרשויות מצטרפות'!$A$12:$G$15,5,0)-VLOOKUP(AS20,'פחת מים וגביה'!$A:$D,4,0),0)</f>
        <v>0</v>
      </c>
      <c r="AT610" s="1049">
        <f>(+IF(AT564&gt;=2015,MAX(VLOOKUP(AT668,'פחתי מים לרשויות מצטרפות'!$A$11:$G$14,MAX($B$3-AT564,0)+3,0)-VLOOKUP(AT$1,'פחת מים וגביה'!$A:$D,4,0),0))*AT413/AT$425)+IF(AND(AT$7="חברה מנהלת",AT27&lt;&gt;""),+VLOOKUP(AT668,'פחתי מים לרשויות מצטרפות'!$A$12:$G$15,5,0)-VLOOKUP(AT20,'פחת מים וגביה'!$A:$D,4,0),0)</f>
        <v>0</v>
      </c>
      <c r="AU610" s="1049">
        <f>(+IF(AU564&gt;=2015,MAX(VLOOKUP(AU668,'פחתי מים לרשויות מצטרפות'!$A$11:$G$14,MAX($B$3-AU564,0)+3,0)-VLOOKUP(AU$1,'פחת מים וגביה'!$A:$D,4,0),0))*AU413/AU$425)+IF(AND(AU$7="חברה מנהלת",AU27&lt;&gt;""),+VLOOKUP(AU668,'פחתי מים לרשויות מצטרפות'!$A$12:$G$15,5,0)-VLOOKUP(AU20,'פחת מים וגביה'!$A:$D,4,0),0)</f>
        <v>0</v>
      </c>
      <c r="AV610" s="1049">
        <f>(+IF(AV564&gt;=2015,MAX(VLOOKUP(AV668,'פחתי מים לרשויות מצטרפות'!$A$11:$G$14,MAX($B$3-AV564,0)+3,0)-VLOOKUP(AV$1,'פחת מים וגביה'!$A:$D,4,0),0))*AV413/AV$425)+IF(AND(AV$7="חברה מנהלת",AV27&lt;&gt;""),+VLOOKUP(AV668,'פחתי מים לרשויות מצטרפות'!$A$12:$G$15,5,0)-VLOOKUP(AV20,'פחת מים וגביה'!$A:$D,4,0),0)</f>
        <v>0</v>
      </c>
      <c r="AW610" s="1049">
        <f>(+IF(AW564&gt;=2015,MAX(VLOOKUP(AW668,'פחתי מים לרשויות מצטרפות'!$A$11:$G$14,MAX($B$3-AW564,0)+3,0)-VLOOKUP(AW$1,'פחת מים וגביה'!$A:$D,4,0),0))*AW413/AW$425)+IF(AND(AW$7="חברה מנהלת",AW27&lt;&gt;""),+VLOOKUP(AW668,'פחתי מים לרשויות מצטרפות'!$A$12:$G$15,5,0)-VLOOKUP(AW20,'פחת מים וגביה'!$A:$D,4,0),0)</f>
        <v>0</v>
      </c>
      <c r="AX610" s="1049">
        <f>(+IF(AX564&gt;=2015,MAX(VLOOKUP(AX668,'פחתי מים לרשויות מצטרפות'!$A$11:$G$14,MAX($B$3-AX564,0)+3,0)-VLOOKUP(AX$1,'פחת מים וגביה'!$A:$D,4,0),0))*AX413/AX$425)+IF(AND(AX$7="חברה מנהלת",AX27&lt;&gt;""),+VLOOKUP(AX668,'פחתי מים לרשויות מצטרפות'!$A$12:$G$15,5,0)-VLOOKUP(AX20,'פחת מים וגביה'!$A:$D,4,0),0)</f>
        <v>0</v>
      </c>
      <c r="AY610" s="1049">
        <f>(+IF(AY564&gt;=2015,MAX(VLOOKUP(AY668,'פחתי מים לרשויות מצטרפות'!$A$11:$G$14,MAX($B$3-AY564,0)+3,0)-VLOOKUP(AY$1,'פחת מים וגביה'!$A:$D,4,0),0))*AY413/AY$425)+IF(AND(AY$7="חברה מנהלת",AY27&lt;&gt;""),+VLOOKUP(AY668,'פחתי מים לרשויות מצטרפות'!$A$12:$G$15,5,0)-VLOOKUP(AY20,'פחת מים וגביה'!$A:$D,4,0),0)</f>
        <v>0</v>
      </c>
      <c r="AZ610" s="1049">
        <f>(+IF(AZ564&gt;=2015,MAX(VLOOKUP(AZ668,'פחתי מים לרשויות מצטרפות'!$A$11:$G$14,MAX($B$3-AZ564,0)+3,0)-VLOOKUP(AZ$1,'פחת מים וגביה'!$A:$D,4,0),0))*AZ413/AZ$425)+IF(AND(AZ$7="חברה מנהלת",AZ27&lt;&gt;""),+VLOOKUP(AZ668,'פחתי מים לרשויות מצטרפות'!$A$12:$G$15,5,0)-VLOOKUP(AZ20,'פחת מים וגביה'!$A:$D,4,0),0)</f>
        <v>0</v>
      </c>
      <c r="BA610" s="1049">
        <f>(+IF(BA564&gt;=2015,MAX(VLOOKUP(BA668,'פחתי מים לרשויות מצטרפות'!$A$11:$G$14,MAX($B$3-BA564,0)+3,0)-VLOOKUP(BA$1,'פחת מים וגביה'!$A:$D,4,0),0))*BA413/BA$425)+IF(AND(BA$7="חברה מנהלת",BA27&lt;&gt;""),+VLOOKUP(BA668,'פחתי מים לרשויות מצטרפות'!$A$12:$G$15,5,0)-VLOOKUP(BA20,'פחת מים וגביה'!$A:$D,4,0),0)</f>
        <v>0</v>
      </c>
      <c r="BB610" s="1049">
        <f>(+IF(BB564&gt;=2015,MAX(VLOOKUP(BB668,'פחתי מים לרשויות מצטרפות'!$A$11:$G$14,MAX($B$3-BB564,0)+3,0)-VLOOKUP(BB$1,'פחת מים וגביה'!$A:$D,4,0),0))*BB413/BB$425)+IF(AND(BB$7="חברה מנהלת",BB27&lt;&gt;""),+VLOOKUP(BB668,'פחתי מים לרשויות מצטרפות'!$A$12:$G$15,5,0)-VLOOKUP(BB20,'פחת מים וגביה'!$A:$D,4,0),0)</f>
        <v>0</v>
      </c>
      <c r="BC610" s="1049">
        <f>(+IF(BC564&gt;=2015,MAX(VLOOKUP(BC668,'פחתי מים לרשויות מצטרפות'!$A$11:$G$14,MAX($B$3-BC564,0)+3,0)-VLOOKUP(BC$1,'פחת מים וגביה'!$A:$D,4,0),0))*BC413/BC$425)+IF(AND(BC$7="חברה מנהלת",BC27&lt;&gt;""),+VLOOKUP(BC668,'פחתי מים לרשויות מצטרפות'!$A$12:$G$15,5,0)-VLOOKUP(BC20,'פחת מים וגביה'!$A:$D,4,0),0)</f>
        <v>0</v>
      </c>
      <c r="BD610" s="1049">
        <f>(+IF(BD564&gt;=2015,MAX(VLOOKUP(BD668,'פחתי מים לרשויות מצטרפות'!$A$11:$G$14,MAX($B$3-BD564,0)+3,0)-VLOOKUP(BD$1,'פחת מים וגביה'!$A:$D,4,0),0))*BD413/BD$425)+IF(AND(BD$7="חברה מנהלת",BD27&lt;&gt;""),+VLOOKUP(BD668,'פחתי מים לרשויות מצטרפות'!$A$12:$G$15,5,0)-VLOOKUP(BD20,'פחת מים וגביה'!$A:$D,4,0),0)</f>
        <v>0</v>
      </c>
      <c r="BE610" s="1049">
        <f>(+IF(BE564&gt;=2015,MAX(VLOOKUP(BE668,'פחתי מים לרשויות מצטרפות'!$A$11:$G$14,MAX($B$3-BE564,0)+3,0)-VLOOKUP(BE$1,'פחת מים וגביה'!$A:$D,4,0),0))*BE413/BE$425)+IF(AND(BE$7="חברה מנהלת",BE27&lt;&gt;""),+VLOOKUP(BE668,'פחתי מים לרשויות מצטרפות'!$A$12:$G$15,5,0)-VLOOKUP(BE20,'פחת מים וגביה'!$A:$D,4,0),0)</f>
        <v>0</v>
      </c>
      <c r="BF610" s="1049">
        <f>(+IF(BF564&gt;=2015,MAX(VLOOKUP(BF668,'פחתי מים לרשויות מצטרפות'!$A$11:$G$14,MAX($B$3-BF564,0)+3,0)-VLOOKUP(BF$1,'פחת מים וגביה'!$A:$D,4,0),0))*BF413/BF$425)+IF(AND(BF$7="חברה מנהלת",BF27&lt;&gt;""),+VLOOKUP(BF668,'פחתי מים לרשויות מצטרפות'!$A$12:$G$15,5,0)-VLOOKUP(BF20,'פחת מים וגביה'!$A:$D,4,0),0)</f>
        <v>0</v>
      </c>
    </row>
    <row r="613" spans="1:58" x14ac:dyDescent="0.2">
      <c r="A613" s="46" t="s">
        <v>1490</v>
      </c>
      <c r="C613" s="1050">
        <f>SUM(C591:C612)</f>
        <v>0</v>
      </c>
      <c r="D613" s="1050">
        <f>SUM(D591:D612)</f>
        <v>4.3284626581569813E-2</v>
      </c>
      <c r="E613" s="1050">
        <f t="shared" ref="E613:BE613" si="122">SUM(E591:E612)</f>
        <v>0</v>
      </c>
      <c r="F613" s="1050">
        <f t="shared" si="122"/>
        <v>0</v>
      </c>
      <c r="G613" s="1050">
        <f t="shared" si="122"/>
        <v>0</v>
      </c>
      <c r="H613" s="1050">
        <f t="shared" si="122"/>
        <v>0</v>
      </c>
      <c r="I613" s="1050">
        <f t="shared" si="122"/>
        <v>0</v>
      </c>
      <c r="J613" s="1050">
        <f t="shared" si="122"/>
        <v>0</v>
      </c>
      <c r="K613" s="1050">
        <f t="shared" si="122"/>
        <v>0</v>
      </c>
      <c r="L613" s="1050">
        <f t="shared" si="122"/>
        <v>0</v>
      </c>
      <c r="M613" s="1050">
        <f t="shared" si="122"/>
        <v>0</v>
      </c>
      <c r="N613" s="1050">
        <f t="shared" si="122"/>
        <v>0</v>
      </c>
      <c r="O613" s="1050">
        <f t="shared" si="122"/>
        <v>0</v>
      </c>
      <c r="P613" s="1050">
        <f t="shared" si="122"/>
        <v>0</v>
      </c>
      <c r="Q613" s="1050">
        <f t="shared" si="122"/>
        <v>0</v>
      </c>
      <c r="R613" s="1050">
        <f t="shared" si="122"/>
        <v>0</v>
      </c>
      <c r="S613" s="1050">
        <f t="shared" si="122"/>
        <v>0</v>
      </c>
      <c r="T613" s="1050">
        <f t="shared" si="122"/>
        <v>9.0016091135635464E-3</v>
      </c>
      <c r="U613" s="1050">
        <f t="shared" si="122"/>
        <v>0</v>
      </c>
      <c r="V613" s="1050">
        <f t="shared" si="122"/>
        <v>0</v>
      </c>
      <c r="W613" s="1050">
        <f t="shared" si="122"/>
        <v>2.6836911193251827E-3</v>
      </c>
      <c r="X613" s="1050">
        <f t="shared" si="122"/>
        <v>0</v>
      </c>
      <c r="Y613" s="1050">
        <f t="shared" si="122"/>
        <v>0</v>
      </c>
      <c r="Z613" s="1050">
        <f t="shared" si="122"/>
        <v>0</v>
      </c>
      <c r="AA613" s="1050">
        <f t="shared" si="122"/>
        <v>0</v>
      </c>
      <c r="AB613" s="1050">
        <f t="shared" si="122"/>
        <v>0</v>
      </c>
      <c r="AC613" s="1050">
        <f t="shared" si="122"/>
        <v>0</v>
      </c>
      <c r="AD613" s="1050">
        <f t="shared" si="122"/>
        <v>0</v>
      </c>
      <c r="AE613" s="1050">
        <f t="shared" si="122"/>
        <v>0</v>
      </c>
      <c r="AF613" s="1050">
        <f t="shared" si="122"/>
        <v>0</v>
      </c>
      <c r="AG613" s="1050">
        <f t="shared" si="122"/>
        <v>0</v>
      </c>
      <c r="AH613" s="1050">
        <f t="shared" si="122"/>
        <v>0</v>
      </c>
      <c r="AI613" s="1050">
        <f t="shared" si="122"/>
        <v>0</v>
      </c>
      <c r="AJ613" s="1050">
        <f t="shared" si="122"/>
        <v>0</v>
      </c>
      <c r="AK613" s="1050">
        <f t="shared" si="122"/>
        <v>0</v>
      </c>
      <c r="AL613" s="1050">
        <f t="shared" si="122"/>
        <v>0</v>
      </c>
      <c r="AM613" s="1050">
        <f t="shared" si="122"/>
        <v>0</v>
      </c>
      <c r="AN613" s="1050">
        <f t="shared" si="122"/>
        <v>0</v>
      </c>
      <c r="AO613" s="1050">
        <f t="shared" si="122"/>
        <v>0</v>
      </c>
      <c r="AP613" s="1050">
        <f t="shared" si="122"/>
        <v>0</v>
      </c>
      <c r="AQ613" s="1050">
        <f t="shared" si="122"/>
        <v>0</v>
      </c>
      <c r="AR613" s="1050">
        <f t="shared" si="122"/>
        <v>4.3757586932804751E-3</v>
      </c>
      <c r="AS613" s="1050">
        <f t="shared" si="122"/>
        <v>0</v>
      </c>
      <c r="AT613" s="1050">
        <f t="shared" si="122"/>
        <v>0</v>
      </c>
      <c r="AU613" s="1050">
        <f t="shared" si="122"/>
        <v>0</v>
      </c>
      <c r="AV613" s="1050">
        <f t="shared" si="122"/>
        <v>0</v>
      </c>
      <c r="AW613" s="1050">
        <f t="shared" si="122"/>
        <v>0</v>
      </c>
      <c r="AX613" s="1050">
        <f t="shared" si="122"/>
        <v>0</v>
      </c>
      <c r="AY613" s="1050">
        <f t="shared" si="122"/>
        <v>2.5000000000000001E-2</v>
      </c>
      <c r="AZ613" s="1050">
        <f t="shared" si="122"/>
        <v>3.232139450941265E-3</v>
      </c>
      <c r="BA613" s="1050">
        <f t="shared" si="122"/>
        <v>0</v>
      </c>
      <c r="BB613" s="1050">
        <f t="shared" si="122"/>
        <v>0</v>
      </c>
      <c r="BC613" s="1050">
        <f t="shared" si="122"/>
        <v>0</v>
      </c>
      <c r="BD613" s="1050">
        <f t="shared" si="122"/>
        <v>0</v>
      </c>
      <c r="BE613" s="1050">
        <f t="shared" si="122"/>
        <v>0</v>
      </c>
      <c r="BF613" s="1050">
        <f>SUM(BF591:BF612)</f>
        <v>3.5000000000000003E-2</v>
      </c>
    </row>
    <row r="615" spans="1:58" x14ac:dyDescent="0.2">
      <c r="A615" s="1" t="s">
        <v>1497</v>
      </c>
      <c r="B615" s="1">
        <v>1</v>
      </c>
      <c r="C615" s="1" t="str">
        <f t="shared" ref="C615:AH615" si="123">+IF(AND(C361&gt;4,C361&lt;=6),"חזק",+IF(C361&gt;=7,"חזק מאוד",+IF(AND(C361&lt;=4,C361&lt;&gt;0),"חלש",+IF(C361=0,"",0))))</f>
        <v>חזק</v>
      </c>
      <c r="D615" s="1" t="str">
        <f t="shared" si="123"/>
        <v>חזק</v>
      </c>
      <c r="E615" s="1" t="str">
        <f t="shared" si="123"/>
        <v>חזק</v>
      </c>
      <c r="F615" s="1" t="str">
        <f t="shared" si="123"/>
        <v>חזק</v>
      </c>
      <c r="G615" s="1" t="str">
        <f t="shared" si="123"/>
        <v>חזק מאוד</v>
      </c>
      <c r="H615" s="1" t="str">
        <f t="shared" si="123"/>
        <v>חזק</v>
      </c>
      <c r="I615" s="1" t="str">
        <f t="shared" si="123"/>
        <v>חזק</v>
      </c>
      <c r="J615" s="1" t="str">
        <f t="shared" si="123"/>
        <v>חזק</v>
      </c>
      <c r="K615" s="1" t="str">
        <f t="shared" si="123"/>
        <v>חזק</v>
      </c>
      <c r="L615" s="1" t="str">
        <f t="shared" si="123"/>
        <v>חלש</v>
      </c>
      <c r="M615" s="1" t="str">
        <f t="shared" si="123"/>
        <v>חזק</v>
      </c>
      <c r="N615" s="1" t="str">
        <f t="shared" si="123"/>
        <v>חזק</v>
      </c>
      <c r="O615" s="1" t="str">
        <f t="shared" si="123"/>
        <v>חזק</v>
      </c>
      <c r="P615" s="1" t="str">
        <f t="shared" si="123"/>
        <v>חלש</v>
      </c>
      <c r="Q615" s="1" t="str">
        <f t="shared" si="123"/>
        <v>חלש</v>
      </c>
      <c r="R615" s="1" t="str">
        <f t="shared" si="123"/>
        <v>חזק מאוד</v>
      </c>
      <c r="S615" s="1" t="str">
        <f t="shared" si="123"/>
        <v>חלש</v>
      </c>
      <c r="T615" s="1" t="str">
        <f t="shared" si="123"/>
        <v>חלש</v>
      </c>
      <c r="U615" s="1" t="str">
        <f t="shared" si="123"/>
        <v>חזק</v>
      </c>
      <c r="V615" s="1" t="str">
        <f t="shared" si="123"/>
        <v>חלש</v>
      </c>
      <c r="W615" s="1" t="str">
        <f t="shared" si="123"/>
        <v>חלש</v>
      </c>
      <c r="X615" s="1" t="str">
        <f t="shared" si="123"/>
        <v>חלש</v>
      </c>
      <c r="Y615" s="1" t="str">
        <f t="shared" si="123"/>
        <v>חזק</v>
      </c>
      <c r="Z615" s="1" t="str">
        <f t="shared" si="123"/>
        <v>חזק</v>
      </c>
      <c r="AA615" s="1" t="str">
        <f t="shared" si="123"/>
        <v>חזק מאוד</v>
      </c>
      <c r="AB615" s="1" t="str">
        <f t="shared" si="123"/>
        <v>חלש</v>
      </c>
      <c r="AC615" s="1" t="str">
        <f t="shared" si="123"/>
        <v>חזק מאוד</v>
      </c>
      <c r="AD615" s="1" t="str">
        <f t="shared" si="123"/>
        <v>חזק מאוד</v>
      </c>
      <c r="AE615" s="1" t="str">
        <f t="shared" si="123"/>
        <v>חזק מאוד</v>
      </c>
      <c r="AF615" s="1" t="str">
        <f t="shared" si="123"/>
        <v>חזק</v>
      </c>
      <c r="AG615" s="1" t="str">
        <f t="shared" si="123"/>
        <v>חזק</v>
      </c>
      <c r="AH615" s="1" t="str">
        <f t="shared" si="123"/>
        <v>חלש</v>
      </c>
      <c r="AI615" s="1" t="str">
        <f t="shared" ref="AI615:BE615" si="124">+IF(AND(AI361&gt;4,AI361&lt;=6),"חזק",+IF(AI361&gt;=7,"חזק מאוד",+IF(AND(AI361&lt;=4,AI361&lt;&gt;0),"חלש",+IF(AI361=0,"",0))))</f>
        <v>חזק</v>
      </c>
      <c r="AJ615" s="1" t="str">
        <f t="shared" si="124"/>
        <v>חזק</v>
      </c>
      <c r="AK615" s="1" t="str">
        <f t="shared" si="124"/>
        <v>חזק</v>
      </c>
      <c r="AL615" s="1" t="str">
        <f t="shared" si="124"/>
        <v>חזק מאוד</v>
      </c>
      <c r="AM615" s="1" t="str">
        <f t="shared" si="124"/>
        <v>חזק מאוד</v>
      </c>
      <c r="AN615" s="1" t="str">
        <f t="shared" si="124"/>
        <v>חלש</v>
      </c>
      <c r="AO615" s="1" t="str">
        <f t="shared" si="124"/>
        <v>חזק מאוד</v>
      </c>
      <c r="AP615" s="1" t="str">
        <f t="shared" si="124"/>
        <v>חזק מאוד</v>
      </c>
      <c r="AQ615" s="1" t="str">
        <f t="shared" si="124"/>
        <v>חזק</v>
      </c>
      <c r="AR615" s="1" t="str">
        <f t="shared" si="124"/>
        <v>חזק מאוד</v>
      </c>
      <c r="AS615" s="1" t="str">
        <f t="shared" si="124"/>
        <v>חלש</v>
      </c>
      <c r="AT615" s="1" t="str">
        <f t="shared" si="124"/>
        <v>חלש</v>
      </c>
      <c r="AU615" s="1" t="str">
        <f t="shared" si="124"/>
        <v>חזק מאוד</v>
      </c>
      <c r="AV615" s="1" t="str">
        <f t="shared" si="124"/>
        <v>חזק</v>
      </c>
      <c r="AW615" s="1" t="str">
        <f t="shared" si="124"/>
        <v>חלש</v>
      </c>
      <c r="AX615" s="1" t="str">
        <f t="shared" si="124"/>
        <v/>
      </c>
      <c r="AY615" s="1" t="str">
        <f t="shared" si="124"/>
        <v>חזק</v>
      </c>
      <c r="AZ615" s="1" t="str">
        <f t="shared" si="124"/>
        <v>חזק מאוד</v>
      </c>
      <c r="BA615" s="1" t="str">
        <f t="shared" si="124"/>
        <v>חלש</v>
      </c>
      <c r="BB615" s="1" t="str">
        <f t="shared" si="124"/>
        <v>חלש</v>
      </c>
      <c r="BC615" s="1" t="str">
        <f t="shared" si="124"/>
        <v>חלש</v>
      </c>
      <c r="BD615" s="1" t="str">
        <f t="shared" si="124"/>
        <v>חזק מאוד</v>
      </c>
      <c r="BE615" s="1" t="str">
        <f t="shared" si="124"/>
        <v>חזק מאוד</v>
      </c>
      <c r="BF615" s="1" t="str">
        <f t="shared" ref="BF615:BF644" si="125">+IF(AND(BF361&gt;4,BF361&lt;=6),"חזק",+IF(BF361&gt;=7,"חזק מאוד",+IF(AND(BF361&lt;=4,BF361&lt;&gt;0),"חלש",+IF(BF361=0,"",0))))</f>
        <v>חזק</v>
      </c>
    </row>
    <row r="616" spans="1:58" x14ac:dyDescent="0.2">
      <c r="B616" s="1">
        <v>2</v>
      </c>
      <c r="C616" s="1" t="str">
        <f t="shared" ref="C616:AH616" si="126">+IF(AND(C362&gt;4,C362&lt;=6),"חזק",+IF(C362&gt;=7,"חזק מאוד",+IF(AND(C362&lt;=4,C362&lt;&gt;0),"חלש",+IF(C362=0,"",0))))</f>
        <v>חלש</v>
      </c>
      <c r="D616" s="1" t="str">
        <f t="shared" si="126"/>
        <v>חזק מאוד</v>
      </c>
      <c r="E616" s="1" t="str">
        <f t="shared" si="126"/>
        <v/>
      </c>
      <c r="F616" s="1" t="str">
        <f t="shared" si="126"/>
        <v>חזק</v>
      </c>
      <c r="G616" s="1" t="str">
        <f t="shared" si="126"/>
        <v/>
      </c>
      <c r="H616" s="1" t="str">
        <f t="shared" si="126"/>
        <v>חלש</v>
      </c>
      <c r="I616" s="1" t="str">
        <f t="shared" si="126"/>
        <v/>
      </c>
      <c r="J616" s="1" t="str">
        <f t="shared" si="126"/>
        <v/>
      </c>
      <c r="K616" s="1" t="str">
        <f t="shared" si="126"/>
        <v>חזק</v>
      </c>
      <c r="L616" s="1" t="str">
        <f t="shared" si="126"/>
        <v>חזק</v>
      </c>
      <c r="M616" s="1" t="str">
        <f t="shared" si="126"/>
        <v/>
      </c>
      <c r="N616" s="1" t="str">
        <f t="shared" si="126"/>
        <v>חלש</v>
      </c>
      <c r="O616" s="1" t="str">
        <f t="shared" si="126"/>
        <v>חזק</v>
      </c>
      <c r="P616" s="1" t="str">
        <f t="shared" si="126"/>
        <v>חלש</v>
      </c>
      <c r="Q616" s="1" t="str">
        <f t="shared" si="126"/>
        <v/>
      </c>
      <c r="R616" s="1" t="str">
        <f t="shared" si="126"/>
        <v>חזק</v>
      </c>
      <c r="S616" s="1" t="str">
        <f t="shared" si="126"/>
        <v/>
      </c>
      <c r="T616" s="1" t="str">
        <f t="shared" si="126"/>
        <v>חזק</v>
      </c>
      <c r="U616" s="1" t="str">
        <f t="shared" si="126"/>
        <v/>
      </c>
      <c r="V616" s="1" t="str">
        <f t="shared" si="126"/>
        <v>חלש</v>
      </c>
      <c r="W616" s="1" t="str">
        <f t="shared" si="126"/>
        <v>חלש</v>
      </c>
      <c r="X616" s="1" t="str">
        <f t="shared" si="126"/>
        <v>חלש</v>
      </c>
      <c r="Y616" s="1" t="str">
        <f t="shared" si="126"/>
        <v>חזק</v>
      </c>
      <c r="Z616" s="1" t="str">
        <f t="shared" si="126"/>
        <v/>
      </c>
      <c r="AA616" s="1" t="str">
        <f t="shared" si="126"/>
        <v/>
      </c>
      <c r="AB616" s="1" t="str">
        <f t="shared" si="126"/>
        <v/>
      </c>
      <c r="AC616" s="1" t="str">
        <f t="shared" si="126"/>
        <v/>
      </c>
      <c r="AD616" s="1" t="str">
        <f t="shared" si="126"/>
        <v/>
      </c>
      <c r="AE616" s="1" t="str">
        <f t="shared" si="126"/>
        <v/>
      </c>
      <c r="AF616" s="1" t="str">
        <f t="shared" si="126"/>
        <v>חזק</v>
      </c>
      <c r="AG616" s="1" t="str">
        <f t="shared" si="126"/>
        <v/>
      </c>
      <c r="AH616" s="1" t="str">
        <f t="shared" si="126"/>
        <v/>
      </c>
      <c r="AI616" s="1" t="str">
        <f t="shared" ref="AI616:BE616" si="127">+IF(AND(AI362&gt;4,AI362&lt;=6),"חזק",+IF(AI362&gt;=7,"חזק מאוד",+IF(AND(AI362&lt;=4,AI362&lt;&gt;0),"חלש",+IF(AI362=0,"",0))))</f>
        <v/>
      </c>
      <c r="AJ616" s="1" t="str">
        <f t="shared" si="127"/>
        <v>חלש</v>
      </c>
      <c r="AK616" s="1" t="str">
        <f t="shared" si="127"/>
        <v/>
      </c>
      <c r="AL616" s="1" t="str">
        <f t="shared" si="127"/>
        <v/>
      </c>
      <c r="AM616" s="1" t="str">
        <f t="shared" si="127"/>
        <v>חזק מאוד</v>
      </c>
      <c r="AN616" s="1" t="str">
        <f t="shared" si="127"/>
        <v>חלש</v>
      </c>
      <c r="AO616" s="1" t="str">
        <f t="shared" si="127"/>
        <v/>
      </c>
      <c r="AP616" s="1" t="str">
        <f t="shared" si="127"/>
        <v/>
      </c>
      <c r="AQ616" s="1" t="str">
        <f t="shared" si="127"/>
        <v/>
      </c>
      <c r="AR616" s="1" t="str">
        <f t="shared" si="127"/>
        <v>חזק מאוד</v>
      </c>
      <c r="AS616" s="1" t="str">
        <f t="shared" si="127"/>
        <v>חלש</v>
      </c>
      <c r="AT616" s="1" t="str">
        <f t="shared" si="127"/>
        <v/>
      </c>
      <c r="AU616" s="1" t="str">
        <f t="shared" si="127"/>
        <v/>
      </c>
      <c r="AV616" s="1" t="str">
        <f t="shared" si="127"/>
        <v>חלש</v>
      </c>
      <c r="AW616" s="1" t="str">
        <f t="shared" si="127"/>
        <v/>
      </c>
      <c r="AX616" s="1" t="str">
        <f t="shared" si="127"/>
        <v>חלש</v>
      </c>
      <c r="AY616" s="1" t="str">
        <f t="shared" si="127"/>
        <v/>
      </c>
      <c r="AZ616" s="1" t="str">
        <f t="shared" si="127"/>
        <v>חזק</v>
      </c>
      <c r="BA616" s="1" t="str">
        <f t="shared" si="127"/>
        <v>חזק</v>
      </c>
      <c r="BB616" s="1" t="str">
        <f t="shared" si="127"/>
        <v>חלש</v>
      </c>
      <c r="BC616" s="1" t="str">
        <f t="shared" si="127"/>
        <v>חלש</v>
      </c>
      <c r="BD616" s="1" t="str">
        <f t="shared" si="127"/>
        <v>חזק מאוד</v>
      </c>
      <c r="BE616" s="1" t="str">
        <f t="shared" si="127"/>
        <v/>
      </c>
      <c r="BF616" s="1" t="str">
        <f t="shared" si="125"/>
        <v/>
      </c>
    </row>
    <row r="617" spans="1:58" x14ac:dyDescent="0.2">
      <c r="B617" s="1">
        <v>3</v>
      </c>
      <c r="C617" s="1" t="str">
        <f t="shared" ref="C617:AH617" si="128">+IF(AND(C363&gt;4,C363&lt;=6),"חזק",+IF(C363&gt;=7,"חזק מאוד",+IF(AND(C363&lt;=4,C363&lt;&gt;0),"חלש",+IF(C363=0,"",0))))</f>
        <v>חלש</v>
      </c>
      <c r="D617" s="1" t="str">
        <f t="shared" si="128"/>
        <v>חזק</v>
      </c>
      <c r="E617" s="1" t="str">
        <f t="shared" si="128"/>
        <v/>
      </c>
      <c r="F617" s="1" t="str">
        <f t="shared" si="128"/>
        <v/>
      </c>
      <c r="G617" s="1" t="str">
        <f t="shared" si="128"/>
        <v/>
      </c>
      <c r="H617" s="1" t="str">
        <f t="shared" si="128"/>
        <v>חזק מאוד</v>
      </c>
      <c r="I617" s="1" t="str">
        <f t="shared" si="128"/>
        <v/>
      </c>
      <c r="J617" s="1" t="str">
        <f t="shared" si="128"/>
        <v/>
      </c>
      <c r="K617" s="1" t="str">
        <f t="shared" si="128"/>
        <v>חזק</v>
      </c>
      <c r="L617" s="1" t="str">
        <f t="shared" si="128"/>
        <v>חלש</v>
      </c>
      <c r="M617" s="1" t="str">
        <f t="shared" si="128"/>
        <v/>
      </c>
      <c r="N617" s="1" t="str">
        <f t="shared" si="128"/>
        <v/>
      </c>
      <c r="O617" s="1" t="str">
        <f t="shared" si="128"/>
        <v>חזק מאוד</v>
      </c>
      <c r="P617" s="1" t="str">
        <f t="shared" si="128"/>
        <v>חלש</v>
      </c>
      <c r="Q617" s="1" t="str">
        <f t="shared" si="128"/>
        <v/>
      </c>
      <c r="R617" s="1" t="str">
        <f t="shared" si="128"/>
        <v>חזק מאוד</v>
      </c>
      <c r="S617" s="1" t="str">
        <f t="shared" si="128"/>
        <v/>
      </c>
      <c r="T617" s="1" t="str">
        <f t="shared" si="128"/>
        <v>חלש</v>
      </c>
      <c r="U617" s="1" t="str">
        <f t="shared" si="128"/>
        <v/>
      </c>
      <c r="V617" s="1" t="str">
        <f t="shared" si="128"/>
        <v>חלש</v>
      </c>
      <c r="W617" s="1" t="str">
        <f t="shared" si="128"/>
        <v>חלש</v>
      </c>
      <c r="X617" s="1" t="str">
        <f t="shared" si="128"/>
        <v>חלש</v>
      </c>
      <c r="Y617" s="1" t="str">
        <f t="shared" si="128"/>
        <v>חזק מאוד</v>
      </c>
      <c r="Z617" s="1" t="str">
        <f t="shared" si="128"/>
        <v/>
      </c>
      <c r="AA617" s="1" t="str">
        <f t="shared" si="128"/>
        <v/>
      </c>
      <c r="AB617" s="1" t="str">
        <f t="shared" si="128"/>
        <v/>
      </c>
      <c r="AC617" s="1" t="str">
        <f t="shared" si="128"/>
        <v/>
      </c>
      <c r="AD617" s="1" t="str">
        <f t="shared" si="128"/>
        <v/>
      </c>
      <c r="AE617" s="1" t="str">
        <f t="shared" si="128"/>
        <v/>
      </c>
      <c r="AF617" s="1" t="str">
        <f t="shared" si="128"/>
        <v/>
      </c>
      <c r="AG617" s="1" t="str">
        <f t="shared" si="128"/>
        <v/>
      </c>
      <c r="AH617" s="1" t="str">
        <f t="shared" si="128"/>
        <v/>
      </c>
      <c r="AI617" s="1" t="str">
        <f t="shared" ref="AI617:BE617" si="129">+IF(AND(AI363&gt;4,AI363&lt;=6),"חזק",+IF(AI363&gt;=7,"חזק מאוד",+IF(AND(AI363&lt;=4,AI363&lt;&gt;0),"חלש",+IF(AI363=0,"",0))))</f>
        <v/>
      </c>
      <c r="AJ617" s="1" t="str">
        <f t="shared" si="129"/>
        <v/>
      </c>
      <c r="AK617" s="1" t="str">
        <f t="shared" si="129"/>
        <v/>
      </c>
      <c r="AL617" s="1" t="str">
        <f t="shared" si="129"/>
        <v/>
      </c>
      <c r="AM617" s="1" t="str">
        <f t="shared" si="129"/>
        <v>חזק</v>
      </c>
      <c r="AN617" s="1" t="str">
        <f t="shared" si="129"/>
        <v>חלש</v>
      </c>
      <c r="AO617" s="1" t="str">
        <f t="shared" si="129"/>
        <v/>
      </c>
      <c r="AP617" s="1" t="str">
        <f t="shared" si="129"/>
        <v/>
      </c>
      <c r="AQ617" s="1" t="str">
        <f t="shared" si="129"/>
        <v/>
      </c>
      <c r="AR617" s="1" t="str">
        <f t="shared" si="129"/>
        <v/>
      </c>
      <c r="AS617" s="1" t="str">
        <f t="shared" si="129"/>
        <v>חלש</v>
      </c>
      <c r="AT617" s="1" t="str">
        <f t="shared" si="129"/>
        <v/>
      </c>
      <c r="AU617" s="1" t="str">
        <f t="shared" si="129"/>
        <v/>
      </c>
      <c r="AV617" s="1" t="str">
        <f t="shared" si="129"/>
        <v/>
      </c>
      <c r="AW617" s="1" t="str">
        <f t="shared" si="129"/>
        <v/>
      </c>
      <c r="AX617" s="1" t="str">
        <f t="shared" si="129"/>
        <v>חלש</v>
      </c>
      <c r="AY617" s="1" t="str">
        <f t="shared" si="129"/>
        <v/>
      </c>
      <c r="AZ617" s="1" t="str">
        <f t="shared" si="129"/>
        <v>חזק מאוד</v>
      </c>
      <c r="BA617" s="1" t="str">
        <f t="shared" si="129"/>
        <v>חלש</v>
      </c>
      <c r="BB617" s="1" t="str">
        <f t="shared" si="129"/>
        <v>חלש</v>
      </c>
      <c r="BC617" s="1" t="str">
        <f t="shared" si="129"/>
        <v>חלש</v>
      </c>
      <c r="BD617" s="1" t="str">
        <f t="shared" si="129"/>
        <v/>
      </c>
      <c r="BE617" s="1" t="str">
        <f t="shared" si="129"/>
        <v/>
      </c>
      <c r="BF617" s="1" t="str">
        <f t="shared" si="125"/>
        <v/>
      </c>
    </row>
    <row r="618" spans="1:58" x14ac:dyDescent="0.2">
      <c r="B618" s="1">
        <v>4</v>
      </c>
      <c r="C618" s="1" t="str">
        <f t="shared" ref="C618:AH618" si="130">+IF(AND(C364&gt;4,C364&lt;=6),"חזק",+IF(C364&gt;=7,"חזק מאוד",+IF(AND(C364&lt;=4,C364&lt;&gt;0),"חלש",+IF(C364=0,"",0))))</f>
        <v/>
      </c>
      <c r="D618" s="1" t="str">
        <f t="shared" si="130"/>
        <v>חלש</v>
      </c>
      <c r="E618" s="1" t="str">
        <f t="shared" si="130"/>
        <v/>
      </c>
      <c r="F618" s="1" t="str">
        <f t="shared" si="130"/>
        <v/>
      </c>
      <c r="G618" s="1" t="str">
        <f t="shared" si="130"/>
        <v/>
      </c>
      <c r="H618" s="1" t="str">
        <f t="shared" si="130"/>
        <v/>
      </c>
      <c r="I618" s="1" t="str">
        <f t="shared" si="130"/>
        <v/>
      </c>
      <c r="J618" s="1" t="str">
        <f t="shared" si="130"/>
        <v/>
      </c>
      <c r="K618" s="1" t="str">
        <f t="shared" si="130"/>
        <v/>
      </c>
      <c r="L618" s="1" t="str">
        <f t="shared" si="130"/>
        <v>חלש</v>
      </c>
      <c r="M618" s="1" t="str">
        <f t="shared" si="130"/>
        <v/>
      </c>
      <c r="N618" s="1" t="str">
        <f t="shared" si="130"/>
        <v/>
      </c>
      <c r="O618" s="1" t="str">
        <f t="shared" si="130"/>
        <v>חזק</v>
      </c>
      <c r="P618" s="1" t="str">
        <f t="shared" si="130"/>
        <v>חזק</v>
      </c>
      <c r="Q618" s="1" t="str">
        <f t="shared" si="130"/>
        <v/>
      </c>
      <c r="R618" s="1" t="str">
        <f t="shared" si="130"/>
        <v/>
      </c>
      <c r="S618" s="1" t="str">
        <f t="shared" si="130"/>
        <v/>
      </c>
      <c r="T618" s="1" t="str">
        <f t="shared" si="130"/>
        <v>חזק</v>
      </c>
      <c r="U618" s="1" t="str">
        <f t="shared" si="130"/>
        <v/>
      </c>
      <c r="V618" s="1" t="str">
        <f t="shared" si="130"/>
        <v>חלש</v>
      </c>
      <c r="W618" s="1" t="str">
        <f t="shared" si="130"/>
        <v>חלש</v>
      </c>
      <c r="X618" s="1" t="str">
        <f t="shared" si="130"/>
        <v>חלש</v>
      </c>
      <c r="Y618" s="1" t="str">
        <f t="shared" si="130"/>
        <v>חלש</v>
      </c>
      <c r="Z618" s="1" t="str">
        <f t="shared" si="130"/>
        <v/>
      </c>
      <c r="AA618" s="1" t="str">
        <f t="shared" si="130"/>
        <v/>
      </c>
      <c r="AB618" s="1" t="str">
        <f t="shared" si="130"/>
        <v/>
      </c>
      <c r="AC618" s="1" t="str">
        <f t="shared" si="130"/>
        <v/>
      </c>
      <c r="AD618" s="1" t="str">
        <f t="shared" si="130"/>
        <v/>
      </c>
      <c r="AE618" s="1" t="str">
        <f t="shared" si="130"/>
        <v/>
      </c>
      <c r="AF618" s="1" t="str">
        <f t="shared" si="130"/>
        <v/>
      </c>
      <c r="AG618" s="1" t="str">
        <f t="shared" si="130"/>
        <v/>
      </c>
      <c r="AH618" s="1" t="str">
        <f t="shared" si="130"/>
        <v/>
      </c>
      <c r="AI618" s="1" t="str">
        <f t="shared" ref="AI618:BE618" si="131">+IF(AND(AI364&gt;4,AI364&lt;=6),"חזק",+IF(AI364&gt;=7,"חזק מאוד",+IF(AND(AI364&lt;=4,AI364&lt;&gt;0),"חלש",+IF(AI364=0,"",0))))</f>
        <v/>
      </c>
      <c r="AJ618" s="1" t="str">
        <f t="shared" si="131"/>
        <v/>
      </c>
      <c r="AK618" s="1" t="str">
        <f t="shared" si="131"/>
        <v/>
      </c>
      <c r="AL618" s="1" t="str">
        <f t="shared" si="131"/>
        <v/>
      </c>
      <c r="AM618" s="1" t="str">
        <f t="shared" si="131"/>
        <v>חזק מאוד</v>
      </c>
      <c r="AN618" s="1" t="str">
        <f t="shared" si="131"/>
        <v>חלש</v>
      </c>
      <c r="AO618" s="1" t="str">
        <f t="shared" si="131"/>
        <v/>
      </c>
      <c r="AP618" s="1" t="str">
        <f t="shared" si="131"/>
        <v/>
      </c>
      <c r="AQ618" s="1" t="str">
        <f t="shared" si="131"/>
        <v/>
      </c>
      <c r="AR618" s="1" t="str">
        <f t="shared" si="131"/>
        <v/>
      </c>
      <c r="AS618" s="1" t="str">
        <f t="shared" si="131"/>
        <v>חלש</v>
      </c>
      <c r="AT618" s="1" t="str">
        <f t="shared" si="131"/>
        <v/>
      </c>
      <c r="AU618" s="1" t="str">
        <f t="shared" si="131"/>
        <v/>
      </c>
      <c r="AV618" s="1" t="str">
        <f t="shared" si="131"/>
        <v/>
      </c>
      <c r="AW618" s="1" t="str">
        <f t="shared" si="131"/>
        <v/>
      </c>
      <c r="AX618" s="1" t="str">
        <f t="shared" si="131"/>
        <v>חלש</v>
      </c>
      <c r="AY618" s="1" t="str">
        <f t="shared" si="131"/>
        <v/>
      </c>
      <c r="AZ618" s="1" t="str">
        <f t="shared" si="131"/>
        <v>חזק מאוד</v>
      </c>
      <c r="BA618" s="1" t="str">
        <f t="shared" si="131"/>
        <v>חלש</v>
      </c>
      <c r="BB618" s="1" t="str">
        <f t="shared" si="131"/>
        <v>חלש</v>
      </c>
      <c r="BC618" s="1" t="str">
        <f t="shared" si="131"/>
        <v>חלש</v>
      </c>
      <c r="BD618" s="1" t="str">
        <f t="shared" si="131"/>
        <v/>
      </c>
      <c r="BE618" s="1" t="str">
        <f t="shared" si="131"/>
        <v/>
      </c>
      <c r="BF618" s="1" t="str">
        <f t="shared" si="125"/>
        <v/>
      </c>
    </row>
    <row r="619" spans="1:58" x14ac:dyDescent="0.2">
      <c r="B619" s="1">
        <v>5</v>
      </c>
      <c r="C619" s="1" t="str">
        <f t="shared" ref="C619:AH619" si="132">+IF(AND(C365&gt;4,C365&lt;=6),"חזק",+IF(C365&gt;=7,"חזק מאוד",+IF(AND(C365&lt;=4,C365&lt;&gt;0),"חלש",+IF(C365=0,"",0))))</f>
        <v/>
      </c>
      <c r="D619" s="1" t="str">
        <f t="shared" si="132"/>
        <v>חלש</v>
      </c>
      <c r="E619" s="1" t="str">
        <f t="shared" si="132"/>
        <v/>
      </c>
      <c r="F619" s="1" t="str">
        <f t="shared" si="132"/>
        <v/>
      </c>
      <c r="G619" s="1" t="str">
        <f t="shared" si="132"/>
        <v/>
      </c>
      <c r="H619" s="1" t="str">
        <f t="shared" si="132"/>
        <v/>
      </c>
      <c r="I619" s="1" t="str">
        <f t="shared" si="132"/>
        <v/>
      </c>
      <c r="J619" s="1" t="str">
        <f t="shared" si="132"/>
        <v/>
      </c>
      <c r="K619" s="1" t="str">
        <f t="shared" si="132"/>
        <v/>
      </c>
      <c r="L619" s="1" t="str">
        <f t="shared" si="132"/>
        <v/>
      </c>
      <c r="M619" s="1" t="str">
        <f t="shared" si="132"/>
        <v/>
      </c>
      <c r="N619" s="1" t="str">
        <f t="shared" si="132"/>
        <v/>
      </c>
      <c r="O619" s="1" t="str">
        <f t="shared" si="132"/>
        <v/>
      </c>
      <c r="P619" s="1" t="str">
        <f t="shared" si="132"/>
        <v>חזק מאוד</v>
      </c>
      <c r="Q619" s="1" t="str">
        <f t="shared" si="132"/>
        <v/>
      </c>
      <c r="R619" s="1" t="str">
        <f t="shared" si="132"/>
        <v/>
      </c>
      <c r="S619" s="1" t="str">
        <f t="shared" si="132"/>
        <v/>
      </c>
      <c r="T619" s="1" t="str">
        <f t="shared" si="132"/>
        <v/>
      </c>
      <c r="U619" s="1" t="str">
        <f t="shared" si="132"/>
        <v/>
      </c>
      <c r="V619" s="1" t="str">
        <f t="shared" si="132"/>
        <v>חלש</v>
      </c>
      <c r="W619" s="1" t="str">
        <f t="shared" si="132"/>
        <v>חלש</v>
      </c>
      <c r="X619" s="1" t="str">
        <f t="shared" si="132"/>
        <v>חלש</v>
      </c>
      <c r="Y619" s="1" t="str">
        <f t="shared" si="132"/>
        <v/>
      </c>
      <c r="Z619" s="1" t="str">
        <f t="shared" si="132"/>
        <v/>
      </c>
      <c r="AA619" s="1" t="str">
        <f t="shared" si="132"/>
        <v/>
      </c>
      <c r="AB619" s="1" t="str">
        <f t="shared" si="132"/>
        <v/>
      </c>
      <c r="AC619" s="1" t="str">
        <f t="shared" si="132"/>
        <v/>
      </c>
      <c r="AD619" s="1" t="str">
        <f t="shared" si="132"/>
        <v/>
      </c>
      <c r="AE619" s="1" t="str">
        <f t="shared" si="132"/>
        <v/>
      </c>
      <c r="AF619" s="1" t="str">
        <f t="shared" si="132"/>
        <v/>
      </c>
      <c r="AG619" s="1" t="str">
        <f t="shared" si="132"/>
        <v/>
      </c>
      <c r="AH619" s="1" t="str">
        <f t="shared" si="132"/>
        <v/>
      </c>
      <c r="AI619" s="1" t="str">
        <f t="shared" ref="AI619:BE619" si="133">+IF(AND(AI365&gt;4,AI365&lt;=6),"חזק",+IF(AI365&gt;=7,"חזק מאוד",+IF(AND(AI365&lt;=4,AI365&lt;&gt;0),"חלש",+IF(AI365=0,"",0))))</f>
        <v/>
      </c>
      <c r="AJ619" s="1" t="str">
        <f t="shared" si="133"/>
        <v/>
      </c>
      <c r="AK619" s="1" t="str">
        <f t="shared" si="133"/>
        <v/>
      </c>
      <c r="AL619" s="1" t="str">
        <f t="shared" si="133"/>
        <v/>
      </c>
      <c r="AM619" s="1" t="str">
        <f t="shared" si="133"/>
        <v>חזק מאוד</v>
      </c>
      <c r="AN619" s="1" t="str">
        <f t="shared" si="133"/>
        <v>חלש</v>
      </c>
      <c r="AO619" s="1" t="str">
        <f t="shared" si="133"/>
        <v/>
      </c>
      <c r="AP619" s="1" t="str">
        <f t="shared" si="133"/>
        <v/>
      </c>
      <c r="AQ619" s="1" t="str">
        <f t="shared" si="133"/>
        <v/>
      </c>
      <c r="AR619" s="1" t="str">
        <f t="shared" si="133"/>
        <v/>
      </c>
      <c r="AS619" s="1" t="str">
        <f t="shared" si="133"/>
        <v>חלש</v>
      </c>
      <c r="AT619" s="1" t="str">
        <f t="shared" si="133"/>
        <v/>
      </c>
      <c r="AU619" s="1" t="str">
        <f t="shared" si="133"/>
        <v/>
      </c>
      <c r="AV619" s="1" t="str">
        <f t="shared" si="133"/>
        <v/>
      </c>
      <c r="AW619" s="1" t="str">
        <f t="shared" si="133"/>
        <v/>
      </c>
      <c r="AX619" s="1" t="str">
        <f t="shared" si="133"/>
        <v/>
      </c>
      <c r="AY619" s="1" t="str">
        <f t="shared" si="133"/>
        <v/>
      </c>
      <c r="AZ619" s="1" t="str">
        <f t="shared" si="133"/>
        <v/>
      </c>
      <c r="BA619" s="1" t="str">
        <f t="shared" si="133"/>
        <v/>
      </c>
      <c r="BB619" s="1" t="str">
        <f t="shared" si="133"/>
        <v>חלש</v>
      </c>
      <c r="BC619" s="1" t="str">
        <f t="shared" si="133"/>
        <v>חלש</v>
      </c>
      <c r="BD619" s="1" t="str">
        <f t="shared" si="133"/>
        <v/>
      </c>
      <c r="BE619" s="1" t="str">
        <f t="shared" si="133"/>
        <v/>
      </c>
      <c r="BF619" s="1" t="str">
        <f t="shared" si="125"/>
        <v/>
      </c>
    </row>
    <row r="620" spans="1:58" x14ac:dyDescent="0.2">
      <c r="B620" s="1">
        <v>6</v>
      </c>
      <c r="C620" s="1" t="str">
        <f t="shared" ref="C620:AH620" si="134">+IF(AND(C366&gt;4,C366&lt;=6),"חזק",+IF(C366&gt;=7,"חזק מאוד",+IF(AND(C366&lt;=4,C366&lt;&gt;0),"חלש",+IF(C366=0,"",0))))</f>
        <v/>
      </c>
      <c r="D620" s="1" t="str">
        <f t="shared" si="134"/>
        <v>חלש</v>
      </c>
      <c r="E620" s="1" t="str">
        <f t="shared" si="134"/>
        <v/>
      </c>
      <c r="F620" s="1" t="str">
        <f t="shared" si="134"/>
        <v/>
      </c>
      <c r="G620" s="1" t="str">
        <f t="shared" si="134"/>
        <v/>
      </c>
      <c r="H620" s="1" t="str">
        <f t="shared" si="134"/>
        <v/>
      </c>
      <c r="I620" s="1" t="str">
        <f t="shared" si="134"/>
        <v/>
      </c>
      <c r="J620" s="1" t="str">
        <f t="shared" si="134"/>
        <v/>
      </c>
      <c r="K620" s="1" t="str">
        <f t="shared" si="134"/>
        <v/>
      </c>
      <c r="L620" s="1" t="str">
        <f t="shared" si="134"/>
        <v/>
      </c>
      <c r="M620" s="1" t="str">
        <f t="shared" si="134"/>
        <v/>
      </c>
      <c r="N620" s="1" t="str">
        <f t="shared" si="134"/>
        <v/>
      </c>
      <c r="O620" s="1" t="str">
        <f t="shared" si="134"/>
        <v/>
      </c>
      <c r="P620" s="1" t="str">
        <f t="shared" si="134"/>
        <v>חלש</v>
      </c>
      <c r="Q620" s="1" t="str">
        <f t="shared" si="134"/>
        <v/>
      </c>
      <c r="R620" s="1" t="str">
        <f t="shared" si="134"/>
        <v/>
      </c>
      <c r="S620" s="1" t="str">
        <f t="shared" si="134"/>
        <v/>
      </c>
      <c r="T620" s="1" t="str">
        <f t="shared" si="134"/>
        <v/>
      </c>
      <c r="U620" s="1" t="str">
        <f t="shared" si="134"/>
        <v/>
      </c>
      <c r="V620" s="1" t="str">
        <f t="shared" si="134"/>
        <v>חלש</v>
      </c>
      <c r="W620" s="1" t="str">
        <f t="shared" si="134"/>
        <v>חלש</v>
      </c>
      <c r="X620" s="1" t="str">
        <f t="shared" si="134"/>
        <v/>
      </c>
      <c r="Y620" s="1" t="str">
        <f t="shared" si="134"/>
        <v/>
      </c>
      <c r="Z620" s="1" t="str">
        <f t="shared" si="134"/>
        <v/>
      </c>
      <c r="AA620" s="1" t="str">
        <f t="shared" si="134"/>
        <v/>
      </c>
      <c r="AB620" s="1" t="str">
        <f t="shared" si="134"/>
        <v/>
      </c>
      <c r="AC620" s="1" t="str">
        <f t="shared" si="134"/>
        <v/>
      </c>
      <c r="AD620" s="1" t="str">
        <f t="shared" si="134"/>
        <v/>
      </c>
      <c r="AE620" s="1" t="str">
        <f t="shared" si="134"/>
        <v/>
      </c>
      <c r="AF620" s="1" t="str">
        <f t="shared" si="134"/>
        <v/>
      </c>
      <c r="AG620" s="1" t="str">
        <f t="shared" si="134"/>
        <v/>
      </c>
      <c r="AH620" s="1" t="str">
        <f t="shared" si="134"/>
        <v/>
      </c>
      <c r="AI620" s="1" t="str">
        <f t="shared" ref="AI620:BE620" si="135">+IF(AND(AI366&gt;4,AI366&lt;=6),"חזק",+IF(AI366&gt;=7,"חזק מאוד",+IF(AND(AI366&lt;=4,AI366&lt;&gt;0),"חלש",+IF(AI366=0,"",0))))</f>
        <v/>
      </c>
      <c r="AJ620" s="1" t="str">
        <f t="shared" si="135"/>
        <v/>
      </c>
      <c r="AK620" s="1" t="str">
        <f t="shared" si="135"/>
        <v/>
      </c>
      <c r="AL620" s="1" t="str">
        <f t="shared" si="135"/>
        <v/>
      </c>
      <c r="AM620" s="1" t="str">
        <f t="shared" si="135"/>
        <v/>
      </c>
      <c r="AN620" s="1" t="str">
        <f t="shared" si="135"/>
        <v>חלש</v>
      </c>
      <c r="AO620" s="1" t="str">
        <f t="shared" si="135"/>
        <v/>
      </c>
      <c r="AP620" s="1" t="str">
        <f t="shared" si="135"/>
        <v/>
      </c>
      <c r="AQ620" s="1" t="str">
        <f t="shared" si="135"/>
        <v/>
      </c>
      <c r="AR620" s="1" t="str">
        <f t="shared" si="135"/>
        <v/>
      </c>
      <c r="AS620" s="1" t="str">
        <f t="shared" si="135"/>
        <v>חלש</v>
      </c>
      <c r="AT620" s="1" t="str">
        <f t="shared" si="135"/>
        <v/>
      </c>
      <c r="AU620" s="1" t="str">
        <f t="shared" si="135"/>
        <v/>
      </c>
      <c r="AV620" s="1" t="str">
        <f t="shared" si="135"/>
        <v/>
      </c>
      <c r="AW620" s="1" t="str">
        <f t="shared" si="135"/>
        <v/>
      </c>
      <c r="AX620" s="1" t="str">
        <f t="shared" si="135"/>
        <v/>
      </c>
      <c r="AY620" s="1" t="str">
        <f t="shared" si="135"/>
        <v/>
      </c>
      <c r="AZ620" s="1" t="str">
        <f t="shared" si="135"/>
        <v/>
      </c>
      <c r="BA620" s="1" t="str">
        <f t="shared" si="135"/>
        <v/>
      </c>
      <c r="BB620" s="1" t="str">
        <f t="shared" si="135"/>
        <v>חלש</v>
      </c>
      <c r="BC620" s="1" t="str">
        <f t="shared" si="135"/>
        <v>חלש</v>
      </c>
      <c r="BD620" s="1" t="str">
        <f t="shared" si="135"/>
        <v/>
      </c>
      <c r="BE620" s="1" t="str">
        <f t="shared" si="135"/>
        <v/>
      </c>
      <c r="BF620" s="1" t="str">
        <f t="shared" si="125"/>
        <v/>
      </c>
    </row>
    <row r="621" spans="1:58" x14ac:dyDescent="0.2">
      <c r="B621" s="1">
        <v>7</v>
      </c>
      <c r="C621" s="1" t="str">
        <f t="shared" ref="C621:AH621" si="136">+IF(AND(C367&gt;4,C367&lt;=6),"חזק",+IF(C367&gt;=7,"חזק מאוד",+IF(AND(C367&lt;=4,C367&lt;&gt;0),"חלש",+IF(C367=0,"",0))))</f>
        <v/>
      </c>
      <c r="D621" s="1" t="str">
        <f t="shared" si="136"/>
        <v>חלש</v>
      </c>
      <c r="E621" s="1" t="str">
        <f t="shared" si="136"/>
        <v/>
      </c>
      <c r="F621" s="1" t="str">
        <f t="shared" si="136"/>
        <v/>
      </c>
      <c r="G621" s="1" t="str">
        <f t="shared" si="136"/>
        <v/>
      </c>
      <c r="H621" s="1" t="str">
        <f t="shared" si="136"/>
        <v/>
      </c>
      <c r="I621" s="1" t="str">
        <f t="shared" si="136"/>
        <v/>
      </c>
      <c r="J621" s="1" t="str">
        <f t="shared" si="136"/>
        <v/>
      </c>
      <c r="K621" s="1" t="str">
        <f t="shared" si="136"/>
        <v/>
      </c>
      <c r="L621" s="1" t="str">
        <f t="shared" si="136"/>
        <v/>
      </c>
      <c r="M621" s="1" t="str">
        <f t="shared" si="136"/>
        <v/>
      </c>
      <c r="N621" s="1" t="str">
        <f t="shared" si="136"/>
        <v/>
      </c>
      <c r="O621" s="1" t="str">
        <f t="shared" si="136"/>
        <v/>
      </c>
      <c r="P621" s="1" t="str">
        <f t="shared" si="136"/>
        <v>חלש</v>
      </c>
      <c r="Q621" s="1" t="str">
        <f t="shared" si="136"/>
        <v/>
      </c>
      <c r="R621" s="1" t="str">
        <f t="shared" si="136"/>
        <v/>
      </c>
      <c r="S621" s="1" t="str">
        <f t="shared" si="136"/>
        <v/>
      </c>
      <c r="T621" s="1" t="str">
        <f t="shared" si="136"/>
        <v/>
      </c>
      <c r="U621" s="1" t="str">
        <f t="shared" si="136"/>
        <v/>
      </c>
      <c r="V621" s="1" t="str">
        <f t="shared" si="136"/>
        <v>חלש</v>
      </c>
      <c r="W621" s="1" t="str">
        <f t="shared" si="136"/>
        <v>חלש</v>
      </c>
      <c r="X621" s="1" t="str">
        <f t="shared" si="136"/>
        <v/>
      </c>
      <c r="Y621" s="1" t="str">
        <f t="shared" si="136"/>
        <v/>
      </c>
      <c r="Z621" s="1" t="str">
        <f t="shared" si="136"/>
        <v/>
      </c>
      <c r="AA621" s="1" t="str">
        <f t="shared" si="136"/>
        <v/>
      </c>
      <c r="AB621" s="1" t="str">
        <f t="shared" si="136"/>
        <v/>
      </c>
      <c r="AC621" s="1" t="str">
        <f t="shared" si="136"/>
        <v/>
      </c>
      <c r="AD621" s="1" t="str">
        <f t="shared" si="136"/>
        <v/>
      </c>
      <c r="AE621" s="1" t="str">
        <f t="shared" si="136"/>
        <v/>
      </c>
      <c r="AF621" s="1" t="str">
        <f t="shared" si="136"/>
        <v/>
      </c>
      <c r="AG621" s="1" t="str">
        <f t="shared" si="136"/>
        <v/>
      </c>
      <c r="AH621" s="1" t="str">
        <f t="shared" si="136"/>
        <v/>
      </c>
      <c r="AI621" s="1" t="str">
        <f t="shared" ref="AI621:BE621" si="137">+IF(AND(AI367&gt;4,AI367&lt;=6),"חזק",+IF(AI367&gt;=7,"חזק מאוד",+IF(AND(AI367&lt;=4,AI367&lt;&gt;0),"חלש",+IF(AI367=0,"",0))))</f>
        <v/>
      </c>
      <c r="AJ621" s="1" t="str">
        <f t="shared" si="137"/>
        <v/>
      </c>
      <c r="AK621" s="1" t="str">
        <f t="shared" si="137"/>
        <v/>
      </c>
      <c r="AL621" s="1" t="str">
        <f t="shared" si="137"/>
        <v/>
      </c>
      <c r="AM621" s="1" t="str">
        <f t="shared" si="137"/>
        <v/>
      </c>
      <c r="AN621" s="1" t="str">
        <f t="shared" si="137"/>
        <v/>
      </c>
      <c r="AO621" s="1" t="str">
        <f t="shared" si="137"/>
        <v/>
      </c>
      <c r="AP621" s="1" t="str">
        <f t="shared" si="137"/>
        <v/>
      </c>
      <c r="AQ621" s="1" t="str">
        <f t="shared" si="137"/>
        <v/>
      </c>
      <c r="AR621" s="1" t="str">
        <f t="shared" si="137"/>
        <v/>
      </c>
      <c r="AS621" s="1" t="str">
        <f t="shared" si="137"/>
        <v>חלש</v>
      </c>
      <c r="AT621" s="1" t="str">
        <f t="shared" si="137"/>
        <v/>
      </c>
      <c r="AU621" s="1" t="str">
        <f t="shared" si="137"/>
        <v/>
      </c>
      <c r="AV621" s="1" t="str">
        <f t="shared" si="137"/>
        <v/>
      </c>
      <c r="AW621" s="1" t="str">
        <f t="shared" si="137"/>
        <v/>
      </c>
      <c r="AX621" s="1" t="str">
        <f t="shared" si="137"/>
        <v/>
      </c>
      <c r="AY621" s="1" t="str">
        <f t="shared" si="137"/>
        <v/>
      </c>
      <c r="AZ621" s="1" t="str">
        <f t="shared" si="137"/>
        <v/>
      </c>
      <c r="BA621" s="1" t="str">
        <f t="shared" si="137"/>
        <v/>
      </c>
      <c r="BB621" s="1" t="str">
        <f t="shared" si="137"/>
        <v>חלש</v>
      </c>
      <c r="BC621" s="1" t="str">
        <f t="shared" si="137"/>
        <v>חלש</v>
      </c>
      <c r="BD621" s="1" t="str">
        <f t="shared" si="137"/>
        <v/>
      </c>
      <c r="BE621" s="1" t="str">
        <f t="shared" si="137"/>
        <v/>
      </c>
      <c r="BF621" s="1" t="str">
        <f t="shared" si="125"/>
        <v/>
      </c>
    </row>
    <row r="622" spans="1:58" x14ac:dyDescent="0.2">
      <c r="B622" s="1">
        <v>8</v>
      </c>
      <c r="C622" s="1" t="str">
        <f t="shared" ref="C622:AH622" si="138">+IF(AND(C368&gt;4,C368&lt;=6),"חזק",+IF(C368&gt;=7,"חזק מאוד",+IF(AND(C368&lt;=4,C368&lt;&gt;0),"חלש",+IF(C368=0,"",0))))</f>
        <v/>
      </c>
      <c r="D622" s="1" t="str">
        <f t="shared" si="138"/>
        <v/>
      </c>
      <c r="E622" s="1" t="str">
        <f t="shared" si="138"/>
        <v/>
      </c>
      <c r="F622" s="1" t="str">
        <f t="shared" si="138"/>
        <v/>
      </c>
      <c r="G622" s="1" t="str">
        <f t="shared" si="138"/>
        <v/>
      </c>
      <c r="H622" s="1" t="str">
        <f t="shared" si="138"/>
        <v/>
      </c>
      <c r="I622" s="1" t="str">
        <f t="shared" si="138"/>
        <v/>
      </c>
      <c r="J622" s="1" t="str">
        <f t="shared" si="138"/>
        <v/>
      </c>
      <c r="K622" s="1" t="str">
        <f t="shared" si="138"/>
        <v/>
      </c>
      <c r="L622" s="1" t="str">
        <f t="shared" si="138"/>
        <v/>
      </c>
      <c r="M622" s="1" t="str">
        <f t="shared" si="138"/>
        <v/>
      </c>
      <c r="N622" s="1" t="str">
        <f t="shared" si="138"/>
        <v/>
      </c>
      <c r="O622" s="1" t="str">
        <f t="shared" si="138"/>
        <v/>
      </c>
      <c r="P622" s="1" t="str">
        <f t="shared" si="138"/>
        <v>חלש</v>
      </c>
      <c r="Q622" s="1" t="str">
        <f t="shared" si="138"/>
        <v/>
      </c>
      <c r="R622" s="1" t="str">
        <f t="shared" si="138"/>
        <v/>
      </c>
      <c r="S622" s="1" t="str">
        <f t="shared" si="138"/>
        <v/>
      </c>
      <c r="T622" s="1" t="str">
        <f t="shared" si="138"/>
        <v/>
      </c>
      <c r="U622" s="1" t="str">
        <f t="shared" si="138"/>
        <v/>
      </c>
      <c r="V622" s="1" t="str">
        <f t="shared" si="138"/>
        <v/>
      </c>
      <c r="W622" s="1" t="str">
        <f t="shared" si="138"/>
        <v/>
      </c>
      <c r="X622" s="1" t="str">
        <f t="shared" si="138"/>
        <v/>
      </c>
      <c r="Y622" s="1" t="str">
        <f t="shared" si="138"/>
        <v/>
      </c>
      <c r="Z622" s="1" t="str">
        <f t="shared" si="138"/>
        <v/>
      </c>
      <c r="AA622" s="1" t="str">
        <f t="shared" si="138"/>
        <v/>
      </c>
      <c r="AB622" s="1" t="str">
        <f t="shared" si="138"/>
        <v/>
      </c>
      <c r="AC622" s="1" t="str">
        <f t="shared" si="138"/>
        <v/>
      </c>
      <c r="AD622" s="1" t="str">
        <f t="shared" si="138"/>
        <v/>
      </c>
      <c r="AE622" s="1" t="str">
        <f t="shared" si="138"/>
        <v/>
      </c>
      <c r="AF622" s="1" t="str">
        <f t="shared" si="138"/>
        <v/>
      </c>
      <c r="AG622" s="1" t="str">
        <f t="shared" si="138"/>
        <v/>
      </c>
      <c r="AH622" s="1" t="str">
        <f t="shared" si="138"/>
        <v/>
      </c>
      <c r="AI622" s="1" t="str">
        <f t="shared" ref="AI622:BE622" si="139">+IF(AND(AI368&gt;4,AI368&lt;=6),"חזק",+IF(AI368&gt;=7,"חזק מאוד",+IF(AND(AI368&lt;=4,AI368&lt;&gt;0),"חלש",+IF(AI368=0,"",0))))</f>
        <v/>
      </c>
      <c r="AJ622" s="1" t="str">
        <f t="shared" si="139"/>
        <v/>
      </c>
      <c r="AK622" s="1" t="str">
        <f t="shared" si="139"/>
        <v/>
      </c>
      <c r="AL622" s="1" t="str">
        <f t="shared" si="139"/>
        <v/>
      </c>
      <c r="AM622" s="1" t="str">
        <f t="shared" si="139"/>
        <v/>
      </c>
      <c r="AN622" s="1" t="str">
        <f t="shared" si="139"/>
        <v/>
      </c>
      <c r="AO622" s="1" t="str">
        <f t="shared" si="139"/>
        <v/>
      </c>
      <c r="AP622" s="1" t="str">
        <f t="shared" si="139"/>
        <v/>
      </c>
      <c r="AQ622" s="1" t="str">
        <f t="shared" si="139"/>
        <v/>
      </c>
      <c r="AR622" s="1" t="str">
        <f t="shared" si="139"/>
        <v/>
      </c>
      <c r="AS622" s="1" t="str">
        <f t="shared" si="139"/>
        <v>חלש</v>
      </c>
      <c r="AT622" s="1" t="str">
        <f t="shared" si="139"/>
        <v/>
      </c>
      <c r="AU622" s="1" t="str">
        <f t="shared" si="139"/>
        <v/>
      </c>
      <c r="AV622" s="1" t="str">
        <f t="shared" si="139"/>
        <v/>
      </c>
      <c r="AW622" s="1" t="str">
        <f t="shared" si="139"/>
        <v/>
      </c>
      <c r="AX622" s="1" t="str">
        <f t="shared" si="139"/>
        <v/>
      </c>
      <c r="AY622" s="1" t="str">
        <f t="shared" si="139"/>
        <v/>
      </c>
      <c r="AZ622" s="1" t="str">
        <f t="shared" si="139"/>
        <v/>
      </c>
      <c r="BA622" s="1" t="str">
        <f t="shared" si="139"/>
        <v/>
      </c>
      <c r="BB622" s="1" t="str">
        <f t="shared" si="139"/>
        <v/>
      </c>
      <c r="BC622" s="1" t="str">
        <f t="shared" si="139"/>
        <v/>
      </c>
      <c r="BD622" s="1" t="str">
        <f t="shared" si="139"/>
        <v/>
      </c>
      <c r="BE622" s="1" t="str">
        <f t="shared" si="139"/>
        <v/>
      </c>
      <c r="BF622" s="1" t="str">
        <f t="shared" si="125"/>
        <v/>
      </c>
    </row>
    <row r="623" spans="1:58" x14ac:dyDescent="0.2">
      <c r="B623" s="1">
        <v>9</v>
      </c>
      <c r="C623" s="1" t="str">
        <f t="shared" ref="C623:AH623" si="140">+IF(AND(C369&gt;4,C369&lt;=6),"חזק",+IF(C369&gt;=7,"חזק מאוד",+IF(AND(C369&lt;=4,C369&lt;&gt;0),"חלש",+IF(C369=0,"",0))))</f>
        <v/>
      </c>
      <c r="D623" s="1" t="str">
        <f t="shared" si="140"/>
        <v/>
      </c>
      <c r="E623" s="1" t="str">
        <f t="shared" si="140"/>
        <v/>
      </c>
      <c r="F623" s="1" t="str">
        <f t="shared" si="140"/>
        <v/>
      </c>
      <c r="G623" s="1" t="str">
        <f t="shared" si="140"/>
        <v/>
      </c>
      <c r="H623" s="1" t="str">
        <f t="shared" si="140"/>
        <v/>
      </c>
      <c r="I623" s="1" t="str">
        <f t="shared" si="140"/>
        <v/>
      </c>
      <c r="J623" s="1" t="str">
        <f t="shared" si="140"/>
        <v/>
      </c>
      <c r="K623" s="1" t="str">
        <f t="shared" si="140"/>
        <v/>
      </c>
      <c r="L623" s="1" t="str">
        <f t="shared" si="140"/>
        <v/>
      </c>
      <c r="M623" s="1" t="str">
        <f t="shared" si="140"/>
        <v/>
      </c>
      <c r="N623" s="1" t="str">
        <f t="shared" si="140"/>
        <v/>
      </c>
      <c r="O623" s="1" t="str">
        <f t="shared" si="140"/>
        <v/>
      </c>
      <c r="P623" s="1" t="str">
        <f t="shared" si="140"/>
        <v>חלש</v>
      </c>
      <c r="Q623" s="1" t="str">
        <f t="shared" si="140"/>
        <v/>
      </c>
      <c r="R623" s="1" t="str">
        <f t="shared" si="140"/>
        <v/>
      </c>
      <c r="S623" s="1" t="str">
        <f t="shared" si="140"/>
        <v/>
      </c>
      <c r="T623" s="1" t="str">
        <f t="shared" si="140"/>
        <v/>
      </c>
      <c r="U623" s="1" t="str">
        <f t="shared" si="140"/>
        <v/>
      </c>
      <c r="V623" s="1" t="str">
        <f t="shared" si="140"/>
        <v/>
      </c>
      <c r="W623" s="1" t="str">
        <f t="shared" si="140"/>
        <v/>
      </c>
      <c r="X623" s="1" t="str">
        <f t="shared" si="140"/>
        <v/>
      </c>
      <c r="Y623" s="1" t="str">
        <f t="shared" si="140"/>
        <v/>
      </c>
      <c r="Z623" s="1" t="str">
        <f t="shared" si="140"/>
        <v/>
      </c>
      <c r="AA623" s="1" t="str">
        <f t="shared" si="140"/>
        <v/>
      </c>
      <c r="AB623" s="1" t="str">
        <f t="shared" si="140"/>
        <v/>
      </c>
      <c r="AC623" s="1" t="str">
        <f t="shared" si="140"/>
        <v/>
      </c>
      <c r="AD623" s="1" t="str">
        <f t="shared" si="140"/>
        <v/>
      </c>
      <c r="AE623" s="1" t="str">
        <f t="shared" si="140"/>
        <v/>
      </c>
      <c r="AF623" s="1" t="str">
        <f t="shared" si="140"/>
        <v/>
      </c>
      <c r="AG623" s="1" t="str">
        <f t="shared" si="140"/>
        <v/>
      </c>
      <c r="AH623" s="1" t="str">
        <f t="shared" si="140"/>
        <v/>
      </c>
      <c r="AI623" s="1" t="str">
        <f t="shared" ref="AI623:BE623" si="141">+IF(AND(AI369&gt;4,AI369&lt;=6),"חזק",+IF(AI369&gt;=7,"חזק מאוד",+IF(AND(AI369&lt;=4,AI369&lt;&gt;0),"חלש",+IF(AI369=0,"",0))))</f>
        <v/>
      </c>
      <c r="AJ623" s="1" t="str">
        <f t="shared" si="141"/>
        <v/>
      </c>
      <c r="AK623" s="1" t="str">
        <f t="shared" si="141"/>
        <v/>
      </c>
      <c r="AL623" s="1" t="str">
        <f t="shared" si="141"/>
        <v/>
      </c>
      <c r="AM623" s="1" t="str">
        <f t="shared" si="141"/>
        <v/>
      </c>
      <c r="AN623" s="1" t="str">
        <f t="shared" si="141"/>
        <v/>
      </c>
      <c r="AO623" s="1" t="str">
        <f t="shared" si="141"/>
        <v/>
      </c>
      <c r="AP623" s="1" t="str">
        <f t="shared" si="141"/>
        <v/>
      </c>
      <c r="AQ623" s="1" t="str">
        <f t="shared" si="141"/>
        <v/>
      </c>
      <c r="AR623" s="1" t="str">
        <f t="shared" si="141"/>
        <v/>
      </c>
      <c r="AS623" s="1" t="str">
        <f t="shared" si="141"/>
        <v>חלש</v>
      </c>
      <c r="AT623" s="1" t="str">
        <f t="shared" si="141"/>
        <v/>
      </c>
      <c r="AU623" s="1" t="str">
        <f t="shared" si="141"/>
        <v/>
      </c>
      <c r="AV623" s="1" t="str">
        <f t="shared" si="141"/>
        <v/>
      </c>
      <c r="AW623" s="1" t="str">
        <f t="shared" si="141"/>
        <v/>
      </c>
      <c r="AX623" s="1" t="str">
        <f t="shared" si="141"/>
        <v/>
      </c>
      <c r="AY623" s="1" t="str">
        <f t="shared" si="141"/>
        <v/>
      </c>
      <c r="AZ623" s="1" t="str">
        <f t="shared" si="141"/>
        <v/>
      </c>
      <c r="BA623" s="1" t="str">
        <f t="shared" si="141"/>
        <v/>
      </c>
      <c r="BB623" s="1" t="str">
        <f t="shared" si="141"/>
        <v/>
      </c>
      <c r="BC623" s="1" t="str">
        <f t="shared" si="141"/>
        <v/>
      </c>
      <c r="BD623" s="1" t="str">
        <f t="shared" si="141"/>
        <v/>
      </c>
      <c r="BE623" s="1" t="str">
        <f t="shared" si="141"/>
        <v/>
      </c>
      <c r="BF623" s="1" t="str">
        <f t="shared" si="125"/>
        <v/>
      </c>
    </row>
    <row r="624" spans="1:58" x14ac:dyDescent="0.2">
      <c r="B624" s="1">
        <v>10</v>
      </c>
      <c r="C624" s="1" t="str">
        <f t="shared" ref="C624:AH624" si="142">+IF(AND(C370&gt;4,C370&lt;=6),"חזק",+IF(C370&gt;=7,"חזק מאוד",+IF(AND(C370&lt;=4,C370&lt;&gt;0),"חלש",+IF(C370=0,"",0))))</f>
        <v/>
      </c>
      <c r="D624" s="1" t="str">
        <f t="shared" si="142"/>
        <v/>
      </c>
      <c r="E624" s="1" t="str">
        <f t="shared" si="142"/>
        <v/>
      </c>
      <c r="F624" s="1" t="str">
        <f t="shared" si="142"/>
        <v/>
      </c>
      <c r="G624" s="1" t="str">
        <f t="shared" si="142"/>
        <v/>
      </c>
      <c r="H624" s="1" t="str">
        <f t="shared" si="142"/>
        <v/>
      </c>
      <c r="I624" s="1" t="str">
        <f t="shared" si="142"/>
        <v/>
      </c>
      <c r="J624" s="1" t="str">
        <f t="shared" si="142"/>
        <v/>
      </c>
      <c r="K624" s="1" t="str">
        <f t="shared" si="142"/>
        <v/>
      </c>
      <c r="L624" s="1" t="str">
        <f t="shared" si="142"/>
        <v/>
      </c>
      <c r="M624" s="1" t="str">
        <f t="shared" si="142"/>
        <v/>
      </c>
      <c r="N624" s="1" t="str">
        <f t="shared" si="142"/>
        <v/>
      </c>
      <c r="O624" s="1" t="str">
        <f t="shared" si="142"/>
        <v/>
      </c>
      <c r="P624" s="1" t="str">
        <f t="shared" si="142"/>
        <v>חלש</v>
      </c>
      <c r="Q624" s="1" t="str">
        <f t="shared" si="142"/>
        <v/>
      </c>
      <c r="R624" s="1" t="str">
        <f t="shared" si="142"/>
        <v/>
      </c>
      <c r="S624" s="1" t="str">
        <f t="shared" si="142"/>
        <v/>
      </c>
      <c r="T624" s="1" t="str">
        <f t="shared" si="142"/>
        <v/>
      </c>
      <c r="U624" s="1" t="str">
        <f t="shared" si="142"/>
        <v/>
      </c>
      <c r="V624" s="1" t="str">
        <f t="shared" si="142"/>
        <v/>
      </c>
      <c r="W624" s="1" t="str">
        <f t="shared" si="142"/>
        <v/>
      </c>
      <c r="X624" s="1" t="str">
        <f t="shared" si="142"/>
        <v/>
      </c>
      <c r="Y624" s="1" t="str">
        <f t="shared" si="142"/>
        <v/>
      </c>
      <c r="Z624" s="1" t="str">
        <f t="shared" si="142"/>
        <v/>
      </c>
      <c r="AA624" s="1" t="str">
        <f t="shared" si="142"/>
        <v/>
      </c>
      <c r="AB624" s="1" t="str">
        <f t="shared" si="142"/>
        <v/>
      </c>
      <c r="AC624" s="1" t="str">
        <f t="shared" si="142"/>
        <v/>
      </c>
      <c r="AD624" s="1" t="str">
        <f t="shared" si="142"/>
        <v/>
      </c>
      <c r="AE624" s="1" t="str">
        <f t="shared" si="142"/>
        <v/>
      </c>
      <c r="AF624" s="1" t="str">
        <f t="shared" si="142"/>
        <v/>
      </c>
      <c r="AG624" s="1" t="str">
        <f t="shared" si="142"/>
        <v/>
      </c>
      <c r="AH624" s="1" t="str">
        <f t="shared" si="142"/>
        <v/>
      </c>
      <c r="AI624" s="1" t="str">
        <f t="shared" ref="AI624:BE624" si="143">+IF(AND(AI370&gt;4,AI370&lt;=6),"חזק",+IF(AI370&gt;=7,"חזק מאוד",+IF(AND(AI370&lt;=4,AI370&lt;&gt;0),"חלש",+IF(AI370=0,"",0))))</f>
        <v/>
      </c>
      <c r="AJ624" s="1" t="str">
        <f t="shared" si="143"/>
        <v/>
      </c>
      <c r="AK624" s="1" t="str">
        <f t="shared" si="143"/>
        <v/>
      </c>
      <c r="AL624" s="1" t="str">
        <f t="shared" si="143"/>
        <v/>
      </c>
      <c r="AM624" s="1" t="str">
        <f t="shared" si="143"/>
        <v/>
      </c>
      <c r="AN624" s="1" t="str">
        <f t="shared" si="143"/>
        <v/>
      </c>
      <c r="AO624" s="1" t="str">
        <f t="shared" si="143"/>
        <v/>
      </c>
      <c r="AP624" s="1" t="str">
        <f t="shared" si="143"/>
        <v/>
      </c>
      <c r="AQ624" s="1" t="str">
        <f t="shared" si="143"/>
        <v/>
      </c>
      <c r="AR624" s="1" t="str">
        <f t="shared" si="143"/>
        <v/>
      </c>
      <c r="AS624" s="1" t="str">
        <f t="shared" si="143"/>
        <v>חלש</v>
      </c>
      <c r="AT624" s="1" t="str">
        <f t="shared" si="143"/>
        <v/>
      </c>
      <c r="AU624" s="1" t="str">
        <f t="shared" si="143"/>
        <v/>
      </c>
      <c r="AV624" s="1" t="str">
        <f t="shared" si="143"/>
        <v/>
      </c>
      <c r="AW624" s="1" t="str">
        <f t="shared" si="143"/>
        <v/>
      </c>
      <c r="AX624" s="1" t="str">
        <f t="shared" si="143"/>
        <v/>
      </c>
      <c r="AY624" s="1" t="str">
        <f t="shared" si="143"/>
        <v/>
      </c>
      <c r="AZ624" s="1" t="str">
        <f t="shared" si="143"/>
        <v/>
      </c>
      <c r="BA624" s="1" t="str">
        <f t="shared" si="143"/>
        <v/>
      </c>
      <c r="BB624" s="1" t="str">
        <f t="shared" si="143"/>
        <v/>
      </c>
      <c r="BC624" s="1" t="str">
        <f t="shared" si="143"/>
        <v/>
      </c>
      <c r="BD624" s="1" t="str">
        <f t="shared" si="143"/>
        <v/>
      </c>
      <c r="BE624" s="1" t="str">
        <f t="shared" si="143"/>
        <v/>
      </c>
      <c r="BF624" s="1" t="str">
        <f t="shared" si="125"/>
        <v/>
      </c>
    </row>
    <row r="625" spans="2:58" x14ac:dyDescent="0.2">
      <c r="B625" s="1">
        <v>11</v>
      </c>
      <c r="C625" s="1" t="str">
        <f t="shared" ref="C625:AH625" si="144">+IF(AND(C371&gt;4,C371&lt;=6),"חזק",+IF(C371&gt;=7,"חזק מאוד",+IF(AND(C371&lt;=4,C371&lt;&gt;0),"חלש",+IF(C371=0,"",0))))</f>
        <v/>
      </c>
      <c r="D625" s="1" t="str">
        <f t="shared" si="144"/>
        <v/>
      </c>
      <c r="E625" s="1" t="str">
        <f t="shared" si="144"/>
        <v/>
      </c>
      <c r="F625" s="1" t="str">
        <f t="shared" si="144"/>
        <v/>
      </c>
      <c r="G625" s="1" t="str">
        <f t="shared" si="144"/>
        <v/>
      </c>
      <c r="H625" s="1" t="str">
        <f t="shared" si="144"/>
        <v/>
      </c>
      <c r="I625" s="1" t="str">
        <f t="shared" si="144"/>
        <v/>
      </c>
      <c r="J625" s="1" t="str">
        <f t="shared" si="144"/>
        <v/>
      </c>
      <c r="K625" s="1" t="str">
        <f t="shared" si="144"/>
        <v/>
      </c>
      <c r="L625" s="1" t="str">
        <f t="shared" si="144"/>
        <v/>
      </c>
      <c r="M625" s="1" t="str">
        <f t="shared" si="144"/>
        <v/>
      </c>
      <c r="N625" s="1" t="str">
        <f t="shared" si="144"/>
        <v/>
      </c>
      <c r="O625" s="1" t="str">
        <f t="shared" si="144"/>
        <v/>
      </c>
      <c r="P625" s="1" t="str">
        <f t="shared" si="144"/>
        <v>חלש</v>
      </c>
      <c r="Q625" s="1" t="str">
        <f t="shared" si="144"/>
        <v/>
      </c>
      <c r="R625" s="1" t="str">
        <f t="shared" si="144"/>
        <v/>
      </c>
      <c r="S625" s="1" t="str">
        <f t="shared" si="144"/>
        <v/>
      </c>
      <c r="T625" s="1" t="str">
        <f t="shared" si="144"/>
        <v/>
      </c>
      <c r="U625" s="1" t="str">
        <f t="shared" si="144"/>
        <v/>
      </c>
      <c r="V625" s="1" t="str">
        <f t="shared" si="144"/>
        <v/>
      </c>
      <c r="W625" s="1" t="str">
        <f t="shared" si="144"/>
        <v/>
      </c>
      <c r="X625" s="1" t="str">
        <f t="shared" si="144"/>
        <v/>
      </c>
      <c r="Y625" s="1" t="str">
        <f t="shared" si="144"/>
        <v/>
      </c>
      <c r="Z625" s="1" t="str">
        <f t="shared" si="144"/>
        <v/>
      </c>
      <c r="AA625" s="1" t="str">
        <f t="shared" si="144"/>
        <v/>
      </c>
      <c r="AB625" s="1" t="str">
        <f t="shared" si="144"/>
        <v/>
      </c>
      <c r="AC625" s="1" t="str">
        <f t="shared" si="144"/>
        <v/>
      </c>
      <c r="AD625" s="1" t="str">
        <f t="shared" si="144"/>
        <v/>
      </c>
      <c r="AE625" s="1" t="str">
        <f t="shared" si="144"/>
        <v/>
      </c>
      <c r="AF625" s="1" t="str">
        <f t="shared" si="144"/>
        <v/>
      </c>
      <c r="AG625" s="1" t="str">
        <f t="shared" si="144"/>
        <v/>
      </c>
      <c r="AH625" s="1" t="str">
        <f t="shared" si="144"/>
        <v/>
      </c>
      <c r="AI625" s="1" t="str">
        <f t="shared" ref="AI625:BE625" si="145">+IF(AND(AI371&gt;4,AI371&lt;=6),"חזק",+IF(AI371&gt;=7,"חזק מאוד",+IF(AND(AI371&lt;=4,AI371&lt;&gt;0),"חלש",+IF(AI371=0,"",0))))</f>
        <v/>
      </c>
      <c r="AJ625" s="1" t="str">
        <f t="shared" si="145"/>
        <v/>
      </c>
      <c r="AK625" s="1" t="str">
        <f t="shared" si="145"/>
        <v/>
      </c>
      <c r="AL625" s="1" t="str">
        <f t="shared" si="145"/>
        <v/>
      </c>
      <c r="AM625" s="1" t="str">
        <f t="shared" si="145"/>
        <v/>
      </c>
      <c r="AN625" s="1" t="str">
        <f t="shared" si="145"/>
        <v/>
      </c>
      <c r="AO625" s="1" t="str">
        <f t="shared" si="145"/>
        <v/>
      </c>
      <c r="AP625" s="1" t="str">
        <f t="shared" si="145"/>
        <v/>
      </c>
      <c r="AQ625" s="1" t="str">
        <f t="shared" si="145"/>
        <v/>
      </c>
      <c r="AR625" s="1" t="str">
        <f t="shared" si="145"/>
        <v/>
      </c>
      <c r="AS625" s="1" t="str">
        <f t="shared" si="145"/>
        <v>חלש</v>
      </c>
      <c r="AT625" s="1" t="str">
        <f t="shared" si="145"/>
        <v/>
      </c>
      <c r="AU625" s="1" t="str">
        <f t="shared" si="145"/>
        <v/>
      </c>
      <c r="AV625" s="1" t="str">
        <f t="shared" si="145"/>
        <v/>
      </c>
      <c r="AW625" s="1" t="str">
        <f t="shared" si="145"/>
        <v/>
      </c>
      <c r="AX625" s="1" t="str">
        <f t="shared" si="145"/>
        <v/>
      </c>
      <c r="AY625" s="1" t="str">
        <f t="shared" si="145"/>
        <v/>
      </c>
      <c r="AZ625" s="1" t="str">
        <f t="shared" si="145"/>
        <v/>
      </c>
      <c r="BA625" s="1" t="str">
        <f t="shared" si="145"/>
        <v/>
      </c>
      <c r="BB625" s="1" t="str">
        <f t="shared" si="145"/>
        <v/>
      </c>
      <c r="BC625" s="1" t="str">
        <f t="shared" si="145"/>
        <v/>
      </c>
      <c r="BD625" s="1" t="str">
        <f t="shared" si="145"/>
        <v/>
      </c>
      <c r="BE625" s="1" t="str">
        <f t="shared" si="145"/>
        <v/>
      </c>
      <c r="BF625" s="1" t="str">
        <f t="shared" si="125"/>
        <v/>
      </c>
    </row>
    <row r="626" spans="2:58" x14ac:dyDescent="0.2">
      <c r="B626" s="1">
        <v>12</v>
      </c>
      <c r="C626" s="1" t="str">
        <f t="shared" ref="C626:AH626" si="146">+IF(AND(C372&gt;4,C372&lt;=6),"חזק",+IF(C372&gt;=7,"חזק מאוד",+IF(AND(C372&lt;=4,C372&lt;&gt;0),"חלש",+IF(C372=0,"",0))))</f>
        <v/>
      </c>
      <c r="D626" s="1" t="str">
        <f t="shared" si="146"/>
        <v/>
      </c>
      <c r="E626" s="1" t="str">
        <f t="shared" si="146"/>
        <v/>
      </c>
      <c r="F626" s="1" t="str">
        <f t="shared" si="146"/>
        <v/>
      </c>
      <c r="G626" s="1" t="str">
        <f t="shared" si="146"/>
        <v/>
      </c>
      <c r="H626" s="1" t="str">
        <f t="shared" si="146"/>
        <v/>
      </c>
      <c r="I626" s="1" t="str">
        <f t="shared" si="146"/>
        <v/>
      </c>
      <c r="J626" s="1" t="str">
        <f t="shared" si="146"/>
        <v/>
      </c>
      <c r="K626" s="1" t="str">
        <f t="shared" si="146"/>
        <v/>
      </c>
      <c r="L626" s="1" t="str">
        <f t="shared" si="146"/>
        <v/>
      </c>
      <c r="M626" s="1" t="str">
        <f t="shared" si="146"/>
        <v/>
      </c>
      <c r="N626" s="1" t="str">
        <f t="shared" si="146"/>
        <v/>
      </c>
      <c r="O626" s="1" t="str">
        <f t="shared" si="146"/>
        <v/>
      </c>
      <c r="P626" s="1" t="str">
        <f t="shared" si="146"/>
        <v>חלש</v>
      </c>
      <c r="Q626" s="1" t="str">
        <f t="shared" si="146"/>
        <v/>
      </c>
      <c r="R626" s="1" t="str">
        <f t="shared" si="146"/>
        <v/>
      </c>
      <c r="S626" s="1" t="str">
        <f t="shared" si="146"/>
        <v/>
      </c>
      <c r="T626" s="1" t="str">
        <f t="shared" si="146"/>
        <v/>
      </c>
      <c r="U626" s="1" t="str">
        <f t="shared" si="146"/>
        <v/>
      </c>
      <c r="V626" s="1" t="str">
        <f t="shared" si="146"/>
        <v/>
      </c>
      <c r="W626" s="1" t="str">
        <f t="shared" si="146"/>
        <v/>
      </c>
      <c r="X626" s="1" t="str">
        <f t="shared" si="146"/>
        <v/>
      </c>
      <c r="Y626" s="1" t="str">
        <f t="shared" si="146"/>
        <v/>
      </c>
      <c r="Z626" s="1" t="str">
        <f t="shared" si="146"/>
        <v/>
      </c>
      <c r="AA626" s="1" t="str">
        <f t="shared" si="146"/>
        <v/>
      </c>
      <c r="AB626" s="1" t="str">
        <f t="shared" si="146"/>
        <v/>
      </c>
      <c r="AC626" s="1" t="str">
        <f t="shared" si="146"/>
        <v/>
      </c>
      <c r="AD626" s="1" t="str">
        <f t="shared" si="146"/>
        <v/>
      </c>
      <c r="AE626" s="1" t="str">
        <f t="shared" si="146"/>
        <v/>
      </c>
      <c r="AF626" s="1" t="str">
        <f t="shared" si="146"/>
        <v/>
      </c>
      <c r="AG626" s="1" t="str">
        <f t="shared" si="146"/>
        <v/>
      </c>
      <c r="AH626" s="1" t="str">
        <f t="shared" si="146"/>
        <v/>
      </c>
      <c r="AI626" s="1" t="str">
        <f t="shared" ref="AI626:BE626" si="147">+IF(AND(AI372&gt;4,AI372&lt;=6),"חזק",+IF(AI372&gt;=7,"חזק מאוד",+IF(AND(AI372&lt;=4,AI372&lt;&gt;0),"חלש",+IF(AI372=0,"",0))))</f>
        <v/>
      </c>
      <c r="AJ626" s="1" t="str">
        <f t="shared" si="147"/>
        <v/>
      </c>
      <c r="AK626" s="1" t="str">
        <f t="shared" si="147"/>
        <v/>
      </c>
      <c r="AL626" s="1" t="str">
        <f t="shared" si="147"/>
        <v/>
      </c>
      <c r="AM626" s="1" t="str">
        <f t="shared" si="147"/>
        <v/>
      </c>
      <c r="AN626" s="1" t="str">
        <f t="shared" si="147"/>
        <v/>
      </c>
      <c r="AO626" s="1" t="str">
        <f t="shared" si="147"/>
        <v/>
      </c>
      <c r="AP626" s="1" t="str">
        <f t="shared" si="147"/>
        <v/>
      </c>
      <c r="AQ626" s="1" t="str">
        <f t="shared" si="147"/>
        <v/>
      </c>
      <c r="AR626" s="1" t="str">
        <f t="shared" si="147"/>
        <v/>
      </c>
      <c r="AS626" s="1" t="str">
        <f t="shared" si="147"/>
        <v/>
      </c>
      <c r="AT626" s="1" t="str">
        <f t="shared" si="147"/>
        <v/>
      </c>
      <c r="AU626" s="1" t="str">
        <f t="shared" si="147"/>
        <v/>
      </c>
      <c r="AV626" s="1" t="str">
        <f t="shared" si="147"/>
        <v/>
      </c>
      <c r="AW626" s="1" t="str">
        <f t="shared" si="147"/>
        <v/>
      </c>
      <c r="AX626" s="1" t="str">
        <f t="shared" si="147"/>
        <v/>
      </c>
      <c r="AY626" s="1" t="str">
        <f t="shared" si="147"/>
        <v/>
      </c>
      <c r="AZ626" s="1" t="str">
        <f t="shared" si="147"/>
        <v/>
      </c>
      <c r="BA626" s="1" t="str">
        <f t="shared" si="147"/>
        <v/>
      </c>
      <c r="BB626" s="1" t="str">
        <f t="shared" si="147"/>
        <v/>
      </c>
      <c r="BC626" s="1" t="str">
        <f t="shared" si="147"/>
        <v/>
      </c>
      <c r="BD626" s="1" t="str">
        <f t="shared" si="147"/>
        <v/>
      </c>
      <c r="BE626" s="1" t="str">
        <f t="shared" si="147"/>
        <v/>
      </c>
      <c r="BF626" s="1" t="str">
        <f t="shared" si="125"/>
        <v/>
      </c>
    </row>
    <row r="627" spans="2:58" x14ac:dyDescent="0.2">
      <c r="B627" s="1">
        <v>13</v>
      </c>
      <c r="C627" s="1" t="str">
        <f t="shared" ref="C627:AH627" si="148">+IF(AND(C373&gt;4,C373&lt;=6),"חזק",+IF(C373&gt;=7,"חזק מאוד",+IF(AND(C373&lt;=4,C373&lt;&gt;0),"חלש",+IF(C373=0,"",0))))</f>
        <v/>
      </c>
      <c r="D627" s="1" t="str">
        <f t="shared" si="148"/>
        <v/>
      </c>
      <c r="E627" s="1" t="str">
        <f t="shared" si="148"/>
        <v/>
      </c>
      <c r="F627" s="1" t="str">
        <f t="shared" si="148"/>
        <v/>
      </c>
      <c r="G627" s="1" t="str">
        <f t="shared" si="148"/>
        <v/>
      </c>
      <c r="H627" s="1" t="str">
        <f t="shared" si="148"/>
        <v/>
      </c>
      <c r="I627" s="1" t="str">
        <f t="shared" si="148"/>
        <v/>
      </c>
      <c r="J627" s="1" t="str">
        <f t="shared" si="148"/>
        <v/>
      </c>
      <c r="K627" s="1" t="str">
        <f t="shared" si="148"/>
        <v/>
      </c>
      <c r="L627" s="1" t="str">
        <f t="shared" si="148"/>
        <v/>
      </c>
      <c r="M627" s="1" t="str">
        <f t="shared" si="148"/>
        <v/>
      </c>
      <c r="N627" s="1" t="str">
        <f t="shared" si="148"/>
        <v/>
      </c>
      <c r="O627" s="1" t="str">
        <f t="shared" si="148"/>
        <v/>
      </c>
      <c r="P627" s="1" t="str">
        <f t="shared" si="148"/>
        <v>חלש</v>
      </c>
      <c r="Q627" s="1" t="str">
        <f t="shared" si="148"/>
        <v/>
      </c>
      <c r="R627" s="1" t="str">
        <f t="shared" si="148"/>
        <v/>
      </c>
      <c r="S627" s="1" t="str">
        <f t="shared" si="148"/>
        <v/>
      </c>
      <c r="T627" s="1" t="str">
        <f t="shared" si="148"/>
        <v/>
      </c>
      <c r="U627" s="1" t="str">
        <f t="shared" si="148"/>
        <v/>
      </c>
      <c r="V627" s="1" t="str">
        <f t="shared" si="148"/>
        <v/>
      </c>
      <c r="W627" s="1" t="str">
        <f t="shared" si="148"/>
        <v/>
      </c>
      <c r="X627" s="1" t="str">
        <f t="shared" si="148"/>
        <v/>
      </c>
      <c r="Y627" s="1" t="str">
        <f t="shared" si="148"/>
        <v/>
      </c>
      <c r="Z627" s="1" t="str">
        <f t="shared" si="148"/>
        <v/>
      </c>
      <c r="AA627" s="1" t="str">
        <f t="shared" si="148"/>
        <v/>
      </c>
      <c r="AB627" s="1" t="str">
        <f t="shared" si="148"/>
        <v/>
      </c>
      <c r="AC627" s="1" t="str">
        <f t="shared" si="148"/>
        <v/>
      </c>
      <c r="AD627" s="1" t="str">
        <f t="shared" si="148"/>
        <v/>
      </c>
      <c r="AE627" s="1" t="str">
        <f t="shared" si="148"/>
        <v/>
      </c>
      <c r="AF627" s="1" t="str">
        <f t="shared" si="148"/>
        <v/>
      </c>
      <c r="AG627" s="1" t="str">
        <f t="shared" si="148"/>
        <v/>
      </c>
      <c r="AH627" s="1" t="str">
        <f t="shared" si="148"/>
        <v/>
      </c>
      <c r="AI627" s="1" t="str">
        <f t="shared" ref="AI627:BE627" si="149">+IF(AND(AI373&gt;4,AI373&lt;=6),"חזק",+IF(AI373&gt;=7,"חזק מאוד",+IF(AND(AI373&lt;=4,AI373&lt;&gt;0),"חלש",+IF(AI373=0,"",0))))</f>
        <v/>
      </c>
      <c r="AJ627" s="1" t="str">
        <f t="shared" si="149"/>
        <v/>
      </c>
      <c r="AK627" s="1" t="str">
        <f t="shared" si="149"/>
        <v/>
      </c>
      <c r="AL627" s="1" t="str">
        <f t="shared" si="149"/>
        <v/>
      </c>
      <c r="AM627" s="1" t="str">
        <f t="shared" si="149"/>
        <v/>
      </c>
      <c r="AN627" s="1" t="str">
        <f t="shared" si="149"/>
        <v/>
      </c>
      <c r="AO627" s="1" t="str">
        <f t="shared" si="149"/>
        <v/>
      </c>
      <c r="AP627" s="1" t="str">
        <f t="shared" si="149"/>
        <v/>
      </c>
      <c r="AQ627" s="1" t="str">
        <f t="shared" si="149"/>
        <v/>
      </c>
      <c r="AR627" s="1" t="str">
        <f t="shared" si="149"/>
        <v/>
      </c>
      <c r="AS627" s="1" t="str">
        <f t="shared" si="149"/>
        <v/>
      </c>
      <c r="AT627" s="1" t="str">
        <f t="shared" si="149"/>
        <v/>
      </c>
      <c r="AU627" s="1" t="str">
        <f t="shared" si="149"/>
        <v/>
      </c>
      <c r="AV627" s="1" t="str">
        <f t="shared" si="149"/>
        <v/>
      </c>
      <c r="AW627" s="1" t="str">
        <f t="shared" si="149"/>
        <v/>
      </c>
      <c r="AX627" s="1" t="str">
        <f t="shared" si="149"/>
        <v/>
      </c>
      <c r="AY627" s="1" t="str">
        <f t="shared" si="149"/>
        <v/>
      </c>
      <c r="AZ627" s="1" t="str">
        <f t="shared" si="149"/>
        <v/>
      </c>
      <c r="BA627" s="1" t="str">
        <f t="shared" si="149"/>
        <v/>
      </c>
      <c r="BB627" s="1" t="str">
        <f t="shared" si="149"/>
        <v/>
      </c>
      <c r="BC627" s="1" t="str">
        <f t="shared" si="149"/>
        <v/>
      </c>
      <c r="BD627" s="1" t="str">
        <f t="shared" si="149"/>
        <v/>
      </c>
      <c r="BE627" s="1" t="str">
        <f t="shared" si="149"/>
        <v/>
      </c>
      <c r="BF627" s="1" t="str">
        <f t="shared" si="125"/>
        <v/>
      </c>
    </row>
    <row r="628" spans="2:58" x14ac:dyDescent="0.2">
      <c r="B628" s="1">
        <v>14</v>
      </c>
      <c r="C628" s="1" t="str">
        <f t="shared" ref="C628:AH628" si="150">+IF(AND(C374&gt;4,C374&lt;=6),"חזק",+IF(C374&gt;=7,"חזק מאוד",+IF(AND(C374&lt;=4,C374&lt;&gt;0),"חלש",+IF(C374=0,"",0))))</f>
        <v/>
      </c>
      <c r="D628" s="1" t="str">
        <f t="shared" si="150"/>
        <v/>
      </c>
      <c r="E628" s="1" t="str">
        <f t="shared" si="150"/>
        <v/>
      </c>
      <c r="F628" s="1" t="str">
        <f t="shared" si="150"/>
        <v/>
      </c>
      <c r="G628" s="1" t="str">
        <f t="shared" si="150"/>
        <v/>
      </c>
      <c r="H628" s="1" t="str">
        <f t="shared" si="150"/>
        <v/>
      </c>
      <c r="I628" s="1" t="str">
        <f t="shared" si="150"/>
        <v/>
      </c>
      <c r="J628" s="1" t="str">
        <f t="shared" si="150"/>
        <v/>
      </c>
      <c r="K628" s="1" t="str">
        <f t="shared" si="150"/>
        <v/>
      </c>
      <c r="L628" s="1" t="str">
        <f t="shared" si="150"/>
        <v/>
      </c>
      <c r="M628" s="1" t="str">
        <f t="shared" si="150"/>
        <v/>
      </c>
      <c r="N628" s="1" t="str">
        <f t="shared" si="150"/>
        <v/>
      </c>
      <c r="O628" s="1" t="str">
        <f t="shared" si="150"/>
        <v/>
      </c>
      <c r="P628" s="1" t="str">
        <f t="shared" si="150"/>
        <v/>
      </c>
      <c r="Q628" s="1" t="str">
        <f t="shared" si="150"/>
        <v/>
      </c>
      <c r="R628" s="1" t="str">
        <f t="shared" si="150"/>
        <v/>
      </c>
      <c r="S628" s="1" t="str">
        <f t="shared" si="150"/>
        <v/>
      </c>
      <c r="T628" s="1" t="str">
        <f t="shared" si="150"/>
        <v/>
      </c>
      <c r="U628" s="1" t="str">
        <f t="shared" si="150"/>
        <v/>
      </c>
      <c r="V628" s="1" t="str">
        <f t="shared" si="150"/>
        <v/>
      </c>
      <c r="W628" s="1" t="str">
        <f t="shared" si="150"/>
        <v/>
      </c>
      <c r="X628" s="1" t="str">
        <f t="shared" si="150"/>
        <v/>
      </c>
      <c r="Y628" s="1" t="str">
        <f t="shared" si="150"/>
        <v/>
      </c>
      <c r="Z628" s="1" t="str">
        <f t="shared" si="150"/>
        <v/>
      </c>
      <c r="AA628" s="1" t="str">
        <f t="shared" si="150"/>
        <v/>
      </c>
      <c r="AB628" s="1" t="str">
        <f t="shared" si="150"/>
        <v/>
      </c>
      <c r="AC628" s="1" t="str">
        <f t="shared" si="150"/>
        <v/>
      </c>
      <c r="AD628" s="1" t="str">
        <f t="shared" si="150"/>
        <v/>
      </c>
      <c r="AE628" s="1" t="str">
        <f t="shared" si="150"/>
        <v/>
      </c>
      <c r="AF628" s="1" t="str">
        <f t="shared" si="150"/>
        <v/>
      </c>
      <c r="AG628" s="1" t="str">
        <f t="shared" si="150"/>
        <v/>
      </c>
      <c r="AH628" s="1" t="str">
        <f t="shared" si="150"/>
        <v/>
      </c>
      <c r="AI628" s="1" t="str">
        <f t="shared" ref="AI628:BE628" si="151">+IF(AND(AI374&gt;4,AI374&lt;=6),"חזק",+IF(AI374&gt;=7,"חזק מאוד",+IF(AND(AI374&lt;=4,AI374&lt;&gt;0),"חלש",+IF(AI374=0,"",0))))</f>
        <v/>
      </c>
      <c r="AJ628" s="1" t="str">
        <f t="shared" si="151"/>
        <v/>
      </c>
      <c r="AK628" s="1" t="str">
        <f t="shared" si="151"/>
        <v/>
      </c>
      <c r="AL628" s="1" t="str">
        <f t="shared" si="151"/>
        <v/>
      </c>
      <c r="AM628" s="1" t="str">
        <f t="shared" si="151"/>
        <v/>
      </c>
      <c r="AN628" s="1" t="str">
        <f t="shared" si="151"/>
        <v/>
      </c>
      <c r="AO628" s="1" t="str">
        <f t="shared" si="151"/>
        <v/>
      </c>
      <c r="AP628" s="1" t="str">
        <f t="shared" si="151"/>
        <v/>
      </c>
      <c r="AQ628" s="1" t="str">
        <f t="shared" si="151"/>
        <v/>
      </c>
      <c r="AR628" s="1" t="str">
        <f t="shared" si="151"/>
        <v/>
      </c>
      <c r="AS628" s="1" t="str">
        <f t="shared" si="151"/>
        <v/>
      </c>
      <c r="AT628" s="1" t="str">
        <f t="shared" si="151"/>
        <v/>
      </c>
      <c r="AU628" s="1" t="str">
        <f t="shared" si="151"/>
        <v/>
      </c>
      <c r="AV628" s="1" t="str">
        <f t="shared" si="151"/>
        <v/>
      </c>
      <c r="AW628" s="1" t="str">
        <f t="shared" si="151"/>
        <v/>
      </c>
      <c r="AX628" s="1" t="str">
        <f t="shared" si="151"/>
        <v/>
      </c>
      <c r="AY628" s="1" t="str">
        <f t="shared" si="151"/>
        <v/>
      </c>
      <c r="AZ628" s="1" t="str">
        <f t="shared" si="151"/>
        <v/>
      </c>
      <c r="BA628" s="1" t="str">
        <f t="shared" si="151"/>
        <v/>
      </c>
      <c r="BB628" s="1" t="str">
        <f t="shared" si="151"/>
        <v/>
      </c>
      <c r="BC628" s="1" t="str">
        <f t="shared" si="151"/>
        <v/>
      </c>
      <c r="BD628" s="1" t="str">
        <f t="shared" si="151"/>
        <v/>
      </c>
      <c r="BE628" s="1" t="str">
        <f t="shared" si="151"/>
        <v/>
      </c>
      <c r="BF628" s="1" t="str">
        <f t="shared" si="125"/>
        <v/>
      </c>
    </row>
    <row r="629" spans="2:58" x14ac:dyDescent="0.2">
      <c r="B629" s="1">
        <v>15</v>
      </c>
      <c r="C629" s="1" t="str">
        <f t="shared" ref="C629:AH629" si="152">+IF(AND(C375&gt;4,C375&lt;=6),"חזק",+IF(C375&gt;=7,"חזק מאוד",+IF(AND(C375&lt;=4,C375&lt;&gt;0),"חלש",+IF(C375=0,"",0))))</f>
        <v/>
      </c>
      <c r="D629" s="1" t="str">
        <f t="shared" si="152"/>
        <v/>
      </c>
      <c r="E629" s="1" t="str">
        <f t="shared" si="152"/>
        <v/>
      </c>
      <c r="F629" s="1" t="str">
        <f t="shared" si="152"/>
        <v/>
      </c>
      <c r="G629" s="1" t="str">
        <f t="shared" si="152"/>
        <v/>
      </c>
      <c r="H629" s="1" t="str">
        <f t="shared" si="152"/>
        <v/>
      </c>
      <c r="I629" s="1" t="str">
        <f t="shared" si="152"/>
        <v/>
      </c>
      <c r="J629" s="1" t="str">
        <f t="shared" si="152"/>
        <v/>
      </c>
      <c r="K629" s="1" t="str">
        <f t="shared" si="152"/>
        <v/>
      </c>
      <c r="L629" s="1" t="str">
        <f t="shared" si="152"/>
        <v/>
      </c>
      <c r="M629" s="1" t="str">
        <f t="shared" si="152"/>
        <v/>
      </c>
      <c r="N629" s="1" t="str">
        <f t="shared" si="152"/>
        <v/>
      </c>
      <c r="O629" s="1" t="str">
        <f t="shared" si="152"/>
        <v/>
      </c>
      <c r="P629" s="1" t="str">
        <f t="shared" si="152"/>
        <v/>
      </c>
      <c r="Q629" s="1" t="str">
        <f t="shared" si="152"/>
        <v/>
      </c>
      <c r="R629" s="1" t="str">
        <f t="shared" si="152"/>
        <v/>
      </c>
      <c r="S629" s="1" t="str">
        <f t="shared" si="152"/>
        <v/>
      </c>
      <c r="T629" s="1" t="str">
        <f t="shared" si="152"/>
        <v/>
      </c>
      <c r="U629" s="1" t="str">
        <f t="shared" si="152"/>
        <v/>
      </c>
      <c r="V629" s="1" t="str">
        <f t="shared" si="152"/>
        <v/>
      </c>
      <c r="W629" s="1" t="str">
        <f t="shared" si="152"/>
        <v/>
      </c>
      <c r="X629" s="1" t="str">
        <f t="shared" si="152"/>
        <v/>
      </c>
      <c r="Y629" s="1" t="str">
        <f t="shared" si="152"/>
        <v/>
      </c>
      <c r="Z629" s="1" t="str">
        <f t="shared" si="152"/>
        <v/>
      </c>
      <c r="AA629" s="1" t="str">
        <f t="shared" si="152"/>
        <v/>
      </c>
      <c r="AB629" s="1" t="str">
        <f t="shared" si="152"/>
        <v/>
      </c>
      <c r="AC629" s="1" t="str">
        <f t="shared" si="152"/>
        <v/>
      </c>
      <c r="AD629" s="1" t="str">
        <f t="shared" si="152"/>
        <v/>
      </c>
      <c r="AE629" s="1" t="str">
        <f t="shared" si="152"/>
        <v/>
      </c>
      <c r="AF629" s="1" t="str">
        <f t="shared" si="152"/>
        <v/>
      </c>
      <c r="AG629" s="1" t="str">
        <f t="shared" si="152"/>
        <v/>
      </c>
      <c r="AH629" s="1" t="str">
        <f t="shared" si="152"/>
        <v/>
      </c>
      <c r="AI629" s="1" t="str">
        <f t="shared" ref="AI629:BE629" si="153">+IF(AND(AI375&gt;4,AI375&lt;=6),"חזק",+IF(AI375&gt;=7,"חזק מאוד",+IF(AND(AI375&lt;=4,AI375&lt;&gt;0),"חלש",+IF(AI375=0,"",0))))</f>
        <v/>
      </c>
      <c r="AJ629" s="1" t="str">
        <f t="shared" si="153"/>
        <v/>
      </c>
      <c r="AK629" s="1" t="str">
        <f t="shared" si="153"/>
        <v/>
      </c>
      <c r="AL629" s="1" t="str">
        <f t="shared" si="153"/>
        <v/>
      </c>
      <c r="AM629" s="1" t="str">
        <f t="shared" si="153"/>
        <v/>
      </c>
      <c r="AN629" s="1" t="str">
        <f t="shared" si="153"/>
        <v/>
      </c>
      <c r="AO629" s="1" t="str">
        <f t="shared" si="153"/>
        <v/>
      </c>
      <c r="AP629" s="1" t="str">
        <f t="shared" si="153"/>
        <v/>
      </c>
      <c r="AQ629" s="1" t="str">
        <f t="shared" si="153"/>
        <v/>
      </c>
      <c r="AR629" s="1" t="str">
        <f t="shared" si="153"/>
        <v/>
      </c>
      <c r="AS629" s="1" t="str">
        <f t="shared" si="153"/>
        <v/>
      </c>
      <c r="AT629" s="1" t="str">
        <f t="shared" si="153"/>
        <v/>
      </c>
      <c r="AU629" s="1" t="str">
        <f t="shared" si="153"/>
        <v/>
      </c>
      <c r="AV629" s="1" t="str">
        <f t="shared" si="153"/>
        <v/>
      </c>
      <c r="AW629" s="1" t="str">
        <f t="shared" si="153"/>
        <v/>
      </c>
      <c r="AX629" s="1" t="str">
        <f t="shared" si="153"/>
        <v/>
      </c>
      <c r="AY629" s="1" t="str">
        <f t="shared" si="153"/>
        <v/>
      </c>
      <c r="AZ629" s="1" t="str">
        <f t="shared" si="153"/>
        <v/>
      </c>
      <c r="BA629" s="1" t="str">
        <f t="shared" si="153"/>
        <v/>
      </c>
      <c r="BB629" s="1" t="str">
        <f t="shared" si="153"/>
        <v/>
      </c>
      <c r="BC629" s="1" t="str">
        <f t="shared" si="153"/>
        <v/>
      </c>
      <c r="BD629" s="1" t="str">
        <f t="shared" si="153"/>
        <v/>
      </c>
      <c r="BE629" s="1" t="str">
        <f t="shared" si="153"/>
        <v/>
      </c>
      <c r="BF629" s="1" t="str">
        <f t="shared" si="125"/>
        <v/>
      </c>
    </row>
    <row r="630" spans="2:58" x14ac:dyDescent="0.2">
      <c r="B630" s="1">
        <v>16</v>
      </c>
      <c r="C630" s="1" t="str">
        <f t="shared" ref="C630:AH630" si="154">+IF(AND(C376&gt;4,C376&lt;=6),"חזק",+IF(C376&gt;=7,"חזק מאוד",+IF(AND(C376&lt;=4,C376&lt;&gt;0),"חלש",+IF(C376=0,"",0))))</f>
        <v/>
      </c>
      <c r="D630" s="1" t="str">
        <f t="shared" si="154"/>
        <v/>
      </c>
      <c r="E630" s="1" t="str">
        <f t="shared" si="154"/>
        <v/>
      </c>
      <c r="F630" s="1" t="str">
        <f t="shared" si="154"/>
        <v/>
      </c>
      <c r="G630" s="1" t="str">
        <f t="shared" si="154"/>
        <v/>
      </c>
      <c r="H630" s="1" t="str">
        <f t="shared" si="154"/>
        <v/>
      </c>
      <c r="I630" s="1" t="str">
        <f t="shared" si="154"/>
        <v/>
      </c>
      <c r="J630" s="1" t="str">
        <f t="shared" si="154"/>
        <v/>
      </c>
      <c r="K630" s="1" t="str">
        <f t="shared" si="154"/>
        <v/>
      </c>
      <c r="L630" s="1" t="str">
        <f t="shared" si="154"/>
        <v/>
      </c>
      <c r="M630" s="1" t="str">
        <f t="shared" si="154"/>
        <v/>
      </c>
      <c r="N630" s="1" t="str">
        <f t="shared" si="154"/>
        <v/>
      </c>
      <c r="O630" s="1" t="str">
        <f t="shared" si="154"/>
        <v/>
      </c>
      <c r="P630" s="1" t="str">
        <f t="shared" si="154"/>
        <v/>
      </c>
      <c r="Q630" s="1" t="str">
        <f t="shared" si="154"/>
        <v/>
      </c>
      <c r="R630" s="1" t="str">
        <f t="shared" si="154"/>
        <v/>
      </c>
      <c r="S630" s="1" t="str">
        <f t="shared" si="154"/>
        <v/>
      </c>
      <c r="T630" s="1" t="str">
        <f t="shared" si="154"/>
        <v/>
      </c>
      <c r="U630" s="1" t="str">
        <f t="shared" si="154"/>
        <v/>
      </c>
      <c r="V630" s="1" t="str">
        <f t="shared" si="154"/>
        <v/>
      </c>
      <c r="W630" s="1" t="str">
        <f t="shared" si="154"/>
        <v/>
      </c>
      <c r="X630" s="1" t="str">
        <f t="shared" si="154"/>
        <v/>
      </c>
      <c r="Y630" s="1" t="str">
        <f t="shared" si="154"/>
        <v/>
      </c>
      <c r="Z630" s="1" t="str">
        <f t="shared" si="154"/>
        <v/>
      </c>
      <c r="AA630" s="1" t="str">
        <f t="shared" si="154"/>
        <v/>
      </c>
      <c r="AB630" s="1" t="str">
        <f t="shared" si="154"/>
        <v/>
      </c>
      <c r="AC630" s="1" t="str">
        <f t="shared" si="154"/>
        <v/>
      </c>
      <c r="AD630" s="1" t="str">
        <f t="shared" si="154"/>
        <v/>
      </c>
      <c r="AE630" s="1" t="str">
        <f t="shared" si="154"/>
        <v/>
      </c>
      <c r="AF630" s="1" t="str">
        <f t="shared" si="154"/>
        <v/>
      </c>
      <c r="AG630" s="1" t="str">
        <f t="shared" si="154"/>
        <v/>
      </c>
      <c r="AH630" s="1" t="str">
        <f t="shared" si="154"/>
        <v/>
      </c>
      <c r="AI630" s="1" t="str">
        <f t="shared" ref="AI630:BE630" si="155">+IF(AND(AI376&gt;4,AI376&lt;=6),"חזק",+IF(AI376&gt;=7,"חזק מאוד",+IF(AND(AI376&lt;=4,AI376&lt;&gt;0),"חלש",+IF(AI376=0,"",0))))</f>
        <v/>
      </c>
      <c r="AJ630" s="1" t="str">
        <f t="shared" si="155"/>
        <v/>
      </c>
      <c r="AK630" s="1" t="str">
        <f t="shared" si="155"/>
        <v/>
      </c>
      <c r="AL630" s="1" t="str">
        <f t="shared" si="155"/>
        <v/>
      </c>
      <c r="AM630" s="1" t="str">
        <f t="shared" si="155"/>
        <v/>
      </c>
      <c r="AN630" s="1" t="str">
        <f t="shared" si="155"/>
        <v/>
      </c>
      <c r="AO630" s="1" t="str">
        <f t="shared" si="155"/>
        <v/>
      </c>
      <c r="AP630" s="1" t="str">
        <f t="shared" si="155"/>
        <v/>
      </c>
      <c r="AQ630" s="1" t="str">
        <f t="shared" si="155"/>
        <v/>
      </c>
      <c r="AR630" s="1" t="str">
        <f t="shared" si="155"/>
        <v/>
      </c>
      <c r="AS630" s="1" t="str">
        <f t="shared" si="155"/>
        <v/>
      </c>
      <c r="AT630" s="1" t="str">
        <f t="shared" si="155"/>
        <v/>
      </c>
      <c r="AU630" s="1" t="str">
        <f t="shared" si="155"/>
        <v/>
      </c>
      <c r="AV630" s="1" t="str">
        <f t="shared" si="155"/>
        <v/>
      </c>
      <c r="AW630" s="1" t="str">
        <f t="shared" si="155"/>
        <v/>
      </c>
      <c r="AX630" s="1" t="str">
        <f t="shared" si="155"/>
        <v/>
      </c>
      <c r="AY630" s="1" t="str">
        <f t="shared" si="155"/>
        <v/>
      </c>
      <c r="AZ630" s="1" t="str">
        <f t="shared" si="155"/>
        <v/>
      </c>
      <c r="BA630" s="1" t="str">
        <f t="shared" si="155"/>
        <v/>
      </c>
      <c r="BB630" s="1" t="str">
        <f t="shared" si="155"/>
        <v/>
      </c>
      <c r="BC630" s="1" t="str">
        <f t="shared" si="155"/>
        <v/>
      </c>
      <c r="BD630" s="1" t="str">
        <f t="shared" si="155"/>
        <v/>
      </c>
      <c r="BE630" s="1" t="str">
        <f t="shared" si="155"/>
        <v/>
      </c>
      <c r="BF630" s="1" t="str">
        <f t="shared" si="125"/>
        <v/>
      </c>
    </row>
    <row r="631" spans="2:58" x14ac:dyDescent="0.2">
      <c r="B631" s="1">
        <v>17</v>
      </c>
      <c r="C631" s="1" t="str">
        <f t="shared" ref="C631:AH631" si="156">+IF(AND(C377&gt;4,C377&lt;=6),"חזק",+IF(C377&gt;=7,"חזק מאוד",+IF(AND(C377&lt;=4,C377&lt;&gt;0),"חלש",+IF(C377=0,"",0))))</f>
        <v/>
      </c>
      <c r="D631" s="1" t="str">
        <f t="shared" si="156"/>
        <v/>
      </c>
      <c r="E631" s="1" t="str">
        <f t="shared" si="156"/>
        <v/>
      </c>
      <c r="F631" s="1" t="str">
        <f t="shared" si="156"/>
        <v/>
      </c>
      <c r="G631" s="1" t="str">
        <f t="shared" si="156"/>
        <v/>
      </c>
      <c r="H631" s="1" t="str">
        <f t="shared" si="156"/>
        <v/>
      </c>
      <c r="I631" s="1" t="str">
        <f t="shared" si="156"/>
        <v/>
      </c>
      <c r="J631" s="1" t="str">
        <f t="shared" si="156"/>
        <v/>
      </c>
      <c r="K631" s="1" t="str">
        <f t="shared" si="156"/>
        <v/>
      </c>
      <c r="L631" s="1" t="str">
        <f t="shared" si="156"/>
        <v/>
      </c>
      <c r="M631" s="1" t="str">
        <f t="shared" si="156"/>
        <v/>
      </c>
      <c r="N631" s="1" t="str">
        <f t="shared" si="156"/>
        <v/>
      </c>
      <c r="O631" s="1" t="str">
        <f t="shared" si="156"/>
        <v/>
      </c>
      <c r="P631" s="1" t="str">
        <f t="shared" si="156"/>
        <v/>
      </c>
      <c r="Q631" s="1" t="str">
        <f t="shared" si="156"/>
        <v/>
      </c>
      <c r="R631" s="1" t="str">
        <f t="shared" si="156"/>
        <v/>
      </c>
      <c r="S631" s="1" t="str">
        <f t="shared" si="156"/>
        <v/>
      </c>
      <c r="T631" s="1" t="str">
        <f t="shared" si="156"/>
        <v/>
      </c>
      <c r="U631" s="1" t="str">
        <f t="shared" si="156"/>
        <v/>
      </c>
      <c r="V631" s="1" t="str">
        <f t="shared" si="156"/>
        <v/>
      </c>
      <c r="W631" s="1" t="str">
        <f t="shared" si="156"/>
        <v/>
      </c>
      <c r="X631" s="1" t="str">
        <f t="shared" si="156"/>
        <v/>
      </c>
      <c r="Y631" s="1" t="str">
        <f t="shared" si="156"/>
        <v/>
      </c>
      <c r="Z631" s="1" t="str">
        <f t="shared" si="156"/>
        <v/>
      </c>
      <c r="AA631" s="1" t="str">
        <f t="shared" si="156"/>
        <v/>
      </c>
      <c r="AB631" s="1" t="str">
        <f t="shared" si="156"/>
        <v/>
      </c>
      <c r="AC631" s="1" t="str">
        <f t="shared" si="156"/>
        <v/>
      </c>
      <c r="AD631" s="1" t="str">
        <f t="shared" si="156"/>
        <v/>
      </c>
      <c r="AE631" s="1" t="str">
        <f t="shared" si="156"/>
        <v/>
      </c>
      <c r="AF631" s="1" t="str">
        <f t="shared" si="156"/>
        <v/>
      </c>
      <c r="AG631" s="1" t="str">
        <f t="shared" si="156"/>
        <v/>
      </c>
      <c r="AH631" s="1" t="str">
        <f t="shared" si="156"/>
        <v/>
      </c>
      <c r="AI631" s="1" t="str">
        <f t="shared" ref="AI631:BE631" si="157">+IF(AND(AI377&gt;4,AI377&lt;=6),"חזק",+IF(AI377&gt;=7,"חזק מאוד",+IF(AND(AI377&lt;=4,AI377&lt;&gt;0),"חלש",+IF(AI377=0,"",0))))</f>
        <v/>
      </c>
      <c r="AJ631" s="1" t="str">
        <f t="shared" si="157"/>
        <v/>
      </c>
      <c r="AK631" s="1" t="str">
        <f t="shared" si="157"/>
        <v/>
      </c>
      <c r="AL631" s="1" t="str">
        <f t="shared" si="157"/>
        <v/>
      </c>
      <c r="AM631" s="1" t="str">
        <f t="shared" si="157"/>
        <v/>
      </c>
      <c r="AN631" s="1" t="str">
        <f t="shared" si="157"/>
        <v/>
      </c>
      <c r="AO631" s="1" t="str">
        <f t="shared" si="157"/>
        <v/>
      </c>
      <c r="AP631" s="1" t="str">
        <f t="shared" si="157"/>
        <v/>
      </c>
      <c r="AQ631" s="1" t="str">
        <f t="shared" si="157"/>
        <v/>
      </c>
      <c r="AR631" s="1" t="str">
        <f t="shared" si="157"/>
        <v/>
      </c>
      <c r="AS631" s="1" t="str">
        <f t="shared" si="157"/>
        <v/>
      </c>
      <c r="AT631" s="1" t="str">
        <f t="shared" si="157"/>
        <v/>
      </c>
      <c r="AU631" s="1" t="str">
        <f t="shared" si="157"/>
        <v/>
      </c>
      <c r="AV631" s="1" t="str">
        <f t="shared" si="157"/>
        <v/>
      </c>
      <c r="AW631" s="1" t="str">
        <f t="shared" si="157"/>
        <v/>
      </c>
      <c r="AX631" s="1" t="str">
        <f t="shared" si="157"/>
        <v/>
      </c>
      <c r="AY631" s="1" t="str">
        <f t="shared" si="157"/>
        <v/>
      </c>
      <c r="AZ631" s="1" t="str">
        <f t="shared" si="157"/>
        <v/>
      </c>
      <c r="BA631" s="1" t="str">
        <f t="shared" si="157"/>
        <v/>
      </c>
      <c r="BB631" s="1" t="str">
        <f t="shared" si="157"/>
        <v/>
      </c>
      <c r="BC631" s="1" t="str">
        <f t="shared" si="157"/>
        <v/>
      </c>
      <c r="BD631" s="1" t="str">
        <f t="shared" si="157"/>
        <v/>
      </c>
      <c r="BE631" s="1" t="str">
        <f t="shared" si="157"/>
        <v/>
      </c>
      <c r="BF631" s="1" t="str">
        <f t="shared" si="125"/>
        <v/>
      </c>
    </row>
    <row r="632" spans="2:58" x14ac:dyDescent="0.2">
      <c r="B632" s="1">
        <v>18</v>
      </c>
      <c r="C632" s="1" t="str">
        <f t="shared" ref="C632:AH632" si="158">+IF(AND(C378&gt;4,C378&lt;=6),"חזק",+IF(C378&gt;=7,"חזק מאוד",+IF(AND(C378&lt;=4,C378&lt;&gt;0),"חלש",+IF(C378=0,"",0))))</f>
        <v/>
      </c>
      <c r="D632" s="1" t="str">
        <f t="shared" si="158"/>
        <v/>
      </c>
      <c r="E632" s="1" t="str">
        <f t="shared" si="158"/>
        <v/>
      </c>
      <c r="F632" s="1" t="str">
        <f t="shared" si="158"/>
        <v/>
      </c>
      <c r="G632" s="1" t="str">
        <f t="shared" si="158"/>
        <v/>
      </c>
      <c r="H632" s="1" t="str">
        <f t="shared" si="158"/>
        <v/>
      </c>
      <c r="I632" s="1" t="str">
        <f t="shared" si="158"/>
        <v/>
      </c>
      <c r="J632" s="1" t="str">
        <f t="shared" si="158"/>
        <v/>
      </c>
      <c r="K632" s="1" t="str">
        <f t="shared" si="158"/>
        <v/>
      </c>
      <c r="L632" s="1" t="str">
        <f t="shared" si="158"/>
        <v/>
      </c>
      <c r="M632" s="1" t="str">
        <f t="shared" si="158"/>
        <v/>
      </c>
      <c r="N632" s="1" t="str">
        <f t="shared" si="158"/>
        <v/>
      </c>
      <c r="O632" s="1" t="str">
        <f t="shared" si="158"/>
        <v/>
      </c>
      <c r="P632" s="1" t="str">
        <f t="shared" si="158"/>
        <v/>
      </c>
      <c r="Q632" s="1" t="str">
        <f t="shared" si="158"/>
        <v/>
      </c>
      <c r="R632" s="1" t="str">
        <f t="shared" si="158"/>
        <v/>
      </c>
      <c r="S632" s="1" t="str">
        <f t="shared" si="158"/>
        <v/>
      </c>
      <c r="T632" s="1" t="str">
        <f t="shared" si="158"/>
        <v/>
      </c>
      <c r="U632" s="1" t="str">
        <f t="shared" si="158"/>
        <v/>
      </c>
      <c r="V632" s="1" t="str">
        <f t="shared" si="158"/>
        <v/>
      </c>
      <c r="W632" s="1" t="str">
        <f t="shared" si="158"/>
        <v/>
      </c>
      <c r="X632" s="1" t="str">
        <f t="shared" si="158"/>
        <v/>
      </c>
      <c r="Y632" s="1" t="str">
        <f t="shared" si="158"/>
        <v/>
      </c>
      <c r="Z632" s="1" t="str">
        <f t="shared" si="158"/>
        <v/>
      </c>
      <c r="AA632" s="1" t="str">
        <f t="shared" si="158"/>
        <v/>
      </c>
      <c r="AB632" s="1" t="str">
        <f t="shared" si="158"/>
        <v/>
      </c>
      <c r="AC632" s="1" t="str">
        <f t="shared" si="158"/>
        <v/>
      </c>
      <c r="AD632" s="1" t="str">
        <f t="shared" si="158"/>
        <v/>
      </c>
      <c r="AE632" s="1" t="str">
        <f t="shared" si="158"/>
        <v/>
      </c>
      <c r="AF632" s="1" t="str">
        <f t="shared" si="158"/>
        <v/>
      </c>
      <c r="AG632" s="1" t="str">
        <f t="shared" si="158"/>
        <v/>
      </c>
      <c r="AH632" s="1" t="str">
        <f t="shared" si="158"/>
        <v/>
      </c>
      <c r="AI632" s="1" t="str">
        <f t="shared" ref="AI632:BE632" si="159">+IF(AND(AI378&gt;4,AI378&lt;=6),"חזק",+IF(AI378&gt;=7,"חזק מאוד",+IF(AND(AI378&lt;=4,AI378&lt;&gt;0),"חלש",+IF(AI378=0,"",0))))</f>
        <v/>
      </c>
      <c r="AJ632" s="1" t="str">
        <f t="shared" si="159"/>
        <v/>
      </c>
      <c r="AK632" s="1" t="str">
        <f t="shared" si="159"/>
        <v/>
      </c>
      <c r="AL632" s="1" t="str">
        <f t="shared" si="159"/>
        <v/>
      </c>
      <c r="AM632" s="1" t="str">
        <f t="shared" si="159"/>
        <v/>
      </c>
      <c r="AN632" s="1" t="str">
        <f t="shared" si="159"/>
        <v/>
      </c>
      <c r="AO632" s="1" t="str">
        <f t="shared" si="159"/>
        <v/>
      </c>
      <c r="AP632" s="1" t="str">
        <f t="shared" si="159"/>
        <v/>
      </c>
      <c r="AQ632" s="1" t="str">
        <f t="shared" si="159"/>
        <v/>
      </c>
      <c r="AR632" s="1" t="str">
        <f t="shared" si="159"/>
        <v/>
      </c>
      <c r="AS632" s="1" t="str">
        <f t="shared" si="159"/>
        <v/>
      </c>
      <c r="AT632" s="1" t="str">
        <f t="shared" si="159"/>
        <v/>
      </c>
      <c r="AU632" s="1" t="str">
        <f t="shared" si="159"/>
        <v/>
      </c>
      <c r="AV632" s="1" t="str">
        <f t="shared" si="159"/>
        <v/>
      </c>
      <c r="AW632" s="1" t="str">
        <f t="shared" si="159"/>
        <v/>
      </c>
      <c r="AX632" s="1" t="str">
        <f t="shared" si="159"/>
        <v/>
      </c>
      <c r="AY632" s="1" t="str">
        <f t="shared" si="159"/>
        <v/>
      </c>
      <c r="AZ632" s="1" t="str">
        <f t="shared" si="159"/>
        <v/>
      </c>
      <c r="BA632" s="1" t="str">
        <f t="shared" si="159"/>
        <v/>
      </c>
      <c r="BB632" s="1" t="str">
        <f t="shared" si="159"/>
        <v/>
      </c>
      <c r="BC632" s="1" t="str">
        <f t="shared" si="159"/>
        <v/>
      </c>
      <c r="BD632" s="1" t="str">
        <f t="shared" si="159"/>
        <v/>
      </c>
      <c r="BE632" s="1" t="str">
        <f t="shared" si="159"/>
        <v/>
      </c>
      <c r="BF632" s="1" t="str">
        <f t="shared" si="125"/>
        <v/>
      </c>
    </row>
    <row r="633" spans="2:58" x14ac:dyDescent="0.2">
      <c r="B633" s="1">
        <v>19</v>
      </c>
      <c r="C633" s="1" t="str">
        <f t="shared" ref="C633:AH633" si="160">+IF(AND(C379&gt;4,C379&lt;=6),"חזק",+IF(C379&gt;=7,"חזק מאוד",+IF(AND(C379&lt;=4,C379&lt;&gt;0),"חלש",+IF(C379=0,"",0))))</f>
        <v/>
      </c>
      <c r="D633" s="1" t="str">
        <f t="shared" si="160"/>
        <v/>
      </c>
      <c r="E633" s="1" t="str">
        <f t="shared" si="160"/>
        <v/>
      </c>
      <c r="F633" s="1" t="str">
        <f t="shared" si="160"/>
        <v/>
      </c>
      <c r="G633" s="1" t="str">
        <f t="shared" si="160"/>
        <v/>
      </c>
      <c r="H633" s="1" t="str">
        <f t="shared" si="160"/>
        <v/>
      </c>
      <c r="I633" s="1" t="str">
        <f t="shared" si="160"/>
        <v/>
      </c>
      <c r="J633" s="1" t="str">
        <f t="shared" si="160"/>
        <v/>
      </c>
      <c r="K633" s="1" t="str">
        <f t="shared" si="160"/>
        <v/>
      </c>
      <c r="L633" s="1" t="str">
        <f t="shared" si="160"/>
        <v/>
      </c>
      <c r="M633" s="1" t="str">
        <f t="shared" si="160"/>
        <v/>
      </c>
      <c r="N633" s="1" t="str">
        <f t="shared" si="160"/>
        <v/>
      </c>
      <c r="O633" s="1" t="str">
        <f t="shared" si="160"/>
        <v/>
      </c>
      <c r="P633" s="1" t="str">
        <f t="shared" si="160"/>
        <v/>
      </c>
      <c r="Q633" s="1" t="str">
        <f t="shared" si="160"/>
        <v/>
      </c>
      <c r="R633" s="1" t="str">
        <f t="shared" si="160"/>
        <v/>
      </c>
      <c r="S633" s="1" t="str">
        <f t="shared" si="160"/>
        <v/>
      </c>
      <c r="T633" s="1" t="str">
        <f t="shared" si="160"/>
        <v/>
      </c>
      <c r="U633" s="1" t="str">
        <f t="shared" si="160"/>
        <v/>
      </c>
      <c r="V633" s="1" t="str">
        <f t="shared" si="160"/>
        <v/>
      </c>
      <c r="W633" s="1" t="str">
        <f t="shared" si="160"/>
        <v/>
      </c>
      <c r="X633" s="1" t="str">
        <f t="shared" si="160"/>
        <v/>
      </c>
      <c r="Y633" s="1" t="str">
        <f t="shared" si="160"/>
        <v/>
      </c>
      <c r="Z633" s="1" t="str">
        <f t="shared" si="160"/>
        <v/>
      </c>
      <c r="AA633" s="1" t="str">
        <f t="shared" si="160"/>
        <v/>
      </c>
      <c r="AB633" s="1" t="str">
        <f t="shared" si="160"/>
        <v/>
      </c>
      <c r="AC633" s="1" t="str">
        <f t="shared" si="160"/>
        <v/>
      </c>
      <c r="AD633" s="1" t="str">
        <f t="shared" si="160"/>
        <v/>
      </c>
      <c r="AE633" s="1" t="str">
        <f t="shared" si="160"/>
        <v/>
      </c>
      <c r="AF633" s="1" t="str">
        <f t="shared" si="160"/>
        <v/>
      </c>
      <c r="AG633" s="1" t="str">
        <f t="shared" si="160"/>
        <v/>
      </c>
      <c r="AH633" s="1" t="str">
        <f t="shared" si="160"/>
        <v/>
      </c>
      <c r="AI633" s="1" t="str">
        <f t="shared" ref="AI633:BE633" si="161">+IF(AND(AI379&gt;4,AI379&lt;=6),"חזק",+IF(AI379&gt;=7,"חזק מאוד",+IF(AND(AI379&lt;=4,AI379&lt;&gt;0),"חלש",+IF(AI379=0,"",0))))</f>
        <v/>
      </c>
      <c r="AJ633" s="1" t="str">
        <f t="shared" si="161"/>
        <v/>
      </c>
      <c r="AK633" s="1" t="str">
        <f t="shared" si="161"/>
        <v/>
      </c>
      <c r="AL633" s="1" t="str">
        <f t="shared" si="161"/>
        <v/>
      </c>
      <c r="AM633" s="1" t="str">
        <f t="shared" si="161"/>
        <v/>
      </c>
      <c r="AN633" s="1" t="str">
        <f t="shared" si="161"/>
        <v/>
      </c>
      <c r="AO633" s="1" t="str">
        <f t="shared" si="161"/>
        <v/>
      </c>
      <c r="AP633" s="1" t="str">
        <f t="shared" si="161"/>
        <v/>
      </c>
      <c r="AQ633" s="1" t="str">
        <f t="shared" si="161"/>
        <v/>
      </c>
      <c r="AR633" s="1" t="str">
        <f t="shared" si="161"/>
        <v/>
      </c>
      <c r="AS633" s="1" t="str">
        <f t="shared" si="161"/>
        <v/>
      </c>
      <c r="AT633" s="1" t="str">
        <f t="shared" si="161"/>
        <v/>
      </c>
      <c r="AU633" s="1" t="str">
        <f t="shared" si="161"/>
        <v/>
      </c>
      <c r="AV633" s="1" t="str">
        <f t="shared" si="161"/>
        <v/>
      </c>
      <c r="AW633" s="1" t="str">
        <f t="shared" si="161"/>
        <v/>
      </c>
      <c r="AX633" s="1" t="str">
        <f t="shared" si="161"/>
        <v/>
      </c>
      <c r="AY633" s="1" t="str">
        <f t="shared" si="161"/>
        <v/>
      </c>
      <c r="AZ633" s="1" t="str">
        <f t="shared" si="161"/>
        <v/>
      </c>
      <c r="BA633" s="1" t="str">
        <f t="shared" si="161"/>
        <v/>
      </c>
      <c r="BB633" s="1" t="str">
        <f t="shared" si="161"/>
        <v/>
      </c>
      <c r="BC633" s="1" t="str">
        <f t="shared" si="161"/>
        <v/>
      </c>
      <c r="BD633" s="1" t="str">
        <f t="shared" si="161"/>
        <v/>
      </c>
      <c r="BE633" s="1" t="str">
        <f t="shared" si="161"/>
        <v/>
      </c>
      <c r="BF633" s="1" t="str">
        <f t="shared" si="125"/>
        <v/>
      </c>
    </row>
    <row r="634" spans="2:58" x14ac:dyDescent="0.2">
      <c r="B634" s="1">
        <v>20</v>
      </c>
      <c r="C634" s="1" t="str">
        <f t="shared" ref="C634:AH634" si="162">+IF(AND(C380&gt;4,C380&lt;=6),"חזק",+IF(C380&gt;=7,"חזק מאוד",+IF(AND(C380&lt;=4,C380&lt;&gt;0),"חלש",+IF(C380=0,"",0))))</f>
        <v/>
      </c>
      <c r="D634" s="1" t="str">
        <f t="shared" si="162"/>
        <v/>
      </c>
      <c r="E634" s="1" t="str">
        <f t="shared" si="162"/>
        <v/>
      </c>
      <c r="F634" s="1" t="str">
        <f t="shared" si="162"/>
        <v/>
      </c>
      <c r="G634" s="1" t="str">
        <f t="shared" si="162"/>
        <v/>
      </c>
      <c r="H634" s="1" t="str">
        <f t="shared" si="162"/>
        <v/>
      </c>
      <c r="I634" s="1" t="str">
        <f t="shared" si="162"/>
        <v/>
      </c>
      <c r="J634" s="1" t="str">
        <f t="shared" si="162"/>
        <v/>
      </c>
      <c r="K634" s="1" t="str">
        <f t="shared" si="162"/>
        <v/>
      </c>
      <c r="L634" s="1" t="str">
        <f t="shared" si="162"/>
        <v/>
      </c>
      <c r="M634" s="1" t="str">
        <f t="shared" si="162"/>
        <v/>
      </c>
      <c r="N634" s="1" t="str">
        <f t="shared" si="162"/>
        <v/>
      </c>
      <c r="O634" s="1" t="str">
        <f t="shared" si="162"/>
        <v/>
      </c>
      <c r="P634" s="1" t="str">
        <f t="shared" si="162"/>
        <v/>
      </c>
      <c r="Q634" s="1" t="str">
        <f t="shared" si="162"/>
        <v/>
      </c>
      <c r="R634" s="1" t="str">
        <f t="shared" si="162"/>
        <v/>
      </c>
      <c r="S634" s="1" t="str">
        <f t="shared" si="162"/>
        <v/>
      </c>
      <c r="T634" s="1" t="str">
        <f t="shared" si="162"/>
        <v/>
      </c>
      <c r="U634" s="1" t="str">
        <f t="shared" si="162"/>
        <v/>
      </c>
      <c r="V634" s="1" t="str">
        <f t="shared" si="162"/>
        <v/>
      </c>
      <c r="W634" s="1" t="str">
        <f t="shared" si="162"/>
        <v/>
      </c>
      <c r="X634" s="1" t="str">
        <f t="shared" si="162"/>
        <v/>
      </c>
      <c r="Y634" s="1" t="str">
        <f t="shared" si="162"/>
        <v/>
      </c>
      <c r="Z634" s="1" t="str">
        <f t="shared" si="162"/>
        <v/>
      </c>
      <c r="AA634" s="1" t="str">
        <f t="shared" si="162"/>
        <v/>
      </c>
      <c r="AB634" s="1" t="str">
        <f t="shared" si="162"/>
        <v/>
      </c>
      <c r="AC634" s="1" t="str">
        <f t="shared" si="162"/>
        <v/>
      </c>
      <c r="AD634" s="1" t="str">
        <f t="shared" si="162"/>
        <v/>
      </c>
      <c r="AE634" s="1" t="str">
        <f t="shared" si="162"/>
        <v/>
      </c>
      <c r="AF634" s="1" t="str">
        <f t="shared" si="162"/>
        <v/>
      </c>
      <c r="AG634" s="1" t="str">
        <f t="shared" si="162"/>
        <v/>
      </c>
      <c r="AH634" s="1" t="str">
        <f t="shared" si="162"/>
        <v/>
      </c>
      <c r="AI634" s="1" t="str">
        <f t="shared" ref="AI634:BE634" si="163">+IF(AND(AI380&gt;4,AI380&lt;=6),"חזק",+IF(AI380&gt;=7,"חזק מאוד",+IF(AND(AI380&lt;=4,AI380&lt;&gt;0),"חלש",+IF(AI380=0,"",0))))</f>
        <v/>
      </c>
      <c r="AJ634" s="1" t="str">
        <f t="shared" si="163"/>
        <v/>
      </c>
      <c r="AK634" s="1" t="str">
        <f t="shared" si="163"/>
        <v/>
      </c>
      <c r="AL634" s="1" t="str">
        <f t="shared" si="163"/>
        <v/>
      </c>
      <c r="AM634" s="1" t="str">
        <f t="shared" si="163"/>
        <v/>
      </c>
      <c r="AN634" s="1" t="str">
        <f t="shared" si="163"/>
        <v/>
      </c>
      <c r="AO634" s="1" t="str">
        <f t="shared" si="163"/>
        <v/>
      </c>
      <c r="AP634" s="1" t="str">
        <f t="shared" si="163"/>
        <v/>
      </c>
      <c r="AQ634" s="1" t="str">
        <f t="shared" si="163"/>
        <v/>
      </c>
      <c r="AR634" s="1" t="str">
        <f t="shared" si="163"/>
        <v/>
      </c>
      <c r="AS634" s="1" t="str">
        <f t="shared" si="163"/>
        <v/>
      </c>
      <c r="AT634" s="1" t="str">
        <f t="shared" si="163"/>
        <v/>
      </c>
      <c r="AU634" s="1" t="str">
        <f t="shared" si="163"/>
        <v/>
      </c>
      <c r="AV634" s="1" t="str">
        <f t="shared" si="163"/>
        <v/>
      </c>
      <c r="AW634" s="1" t="str">
        <f t="shared" si="163"/>
        <v/>
      </c>
      <c r="AX634" s="1" t="str">
        <f t="shared" si="163"/>
        <v/>
      </c>
      <c r="AY634" s="1" t="str">
        <f t="shared" si="163"/>
        <v/>
      </c>
      <c r="AZ634" s="1" t="str">
        <f t="shared" si="163"/>
        <v/>
      </c>
      <c r="BA634" s="1" t="str">
        <f t="shared" si="163"/>
        <v/>
      </c>
      <c r="BB634" s="1" t="str">
        <f t="shared" si="163"/>
        <v/>
      </c>
      <c r="BC634" s="1" t="str">
        <f t="shared" si="163"/>
        <v/>
      </c>
      <c r="BD634" s="1" t="str">
        <f t="shared" si="163"/>
        <v/>
      </c>
      <c r="BE634" s="1" t="str">
        <f t="shared" si="163"/>
        <v/>
      </c>
      <c r="BF634" s="1" t="str">
        <f t="shared" si="125"/>
        <v/>
      </c>
    </row>
    <row r="635" spans="2:58" x14ac:dyDescent="0.2">
      <c r="B635" s="1">
        <v>21</v>
      </c>
      <c r="C635" s="1" t="str">
        <f t="shared" ref="C635:AH635" si="164">+IF(AND(C381&gt;4,C381&lt;=6),"חזק",+IF(C381&gt;=7,"חזק מאוד",+IF(AND(C381&lt;=4,C381&lt;&gt;0),"חלש",+IF(C381=0,"",0))))</f>
        <v/>
      </c>
      <c r="D635" s="1" t="str">
        <f t="shared" si="164"/>
        <v/>
      </c>
      <c r="E635" s="1" t="str">
        <f t="shared" si="164"/>
        <v/>
      </c>
      <c r="F635" s="1" t="str">
        <f t="shared" si="164"/>
        <v/>
      </c>
      <c r="G635" s="1" t="str">
        <f t="shared" si="164"/>
        <v/>
      </c>
      <c r="H635" s="1" t="str">
        <f t="shared" si="164"/>
        <v/>
      </c>
      <c r="I635" s="1" t="str">
        <f t="shared" si="164"/>
        <v/>
      </c>
      <c r="J635" s="1" t="str">
        <f t="shared" si="164"/>
        <v/>
      </c>
      <c r="K635" s="1" t="str">
        <f t="shared" si="164"/>
        <v/>
      </c>
      <c r="L635" s="1" t="str">
        <f t="shared" si="164"/>
        <v/>
      </c>
      <c r="M635" s="1" t="str">
        <f t="shared" si="164"/>
        <v/>
      </c>
      <c r="N635" s="1" t="str">
        <f t="shared" si="164"/>
        <v/>
      </c>
      <c r="O635" s="1" t="str">
        <f t="shared" si="164"/>
        <v/>
      </c>
      <c r="P635" s="1" t="str">
        <f t="shared" si="164"/>
        <v/>
      </c>
      <c r="Q635" s="1" t="str">
        <f t="shared" si="164"/>
        <v/>
      </c>
      <c r="R635" s="1" t="str">
        <f t="shared" si="164"/>
        <v/>
      </c>
      <c r="S635" s="1" t="str">
        <f t="shared" si="164"/>
        <v/>
      </c>
      <c r="T635" s="1" t="str">
        <f t="shared" si="164"/>
        <v/>
      </c>
      <c r="U635" s="1" t="str">
        <f t="shared" si="164"/>
        <v/>
      </c>
      <c r="V635" s="1" t="str">
        <f t="shared" si="164"/>
        <v/>
      </c>
      <c r="W635" s="1" t="str">
        <f t="shared" si="164"/>
        <v/>
      </c>
      <c r="X635" s="1" t="str">
        <f t="shared" si="164"/>
        <v/>
      </c>
      <c r="Y635" s="1" t="str">
        <f t="shared" si="164"/>
        <v/>
      </c>
      <c r="Z635" s="1" t="str">
        <f t="shared" si="164"/>
        <v/>
      </c>
      <c r="AA635" s="1" t="str">
        <f t="shared" si="164"/>
        <v/>
      </c>
      <c r="AB635" s="1" t="str">
        <f t="shared" si="164"/>
        <v/>
      </c>
      <c r="AC635" s="1" t="str">
        <f t="shared" si="164"/>
        <v/>
      </c>
      <c r="AD635" s="1" t="str">
        <f t="shared" si="164"/>
        <v/>
      </c>
      <c r="AE635" s="1" t="str">
        <f t="shared" si="164"/>
        <v/>
      </c>
      <c r="AF635" s="1" t="str">
        <f t="shared" si="164"/>
        <v/>
      </c>
      <c r="AG635" s="1" t="str">
        <f t="shared" si="164"/>
        <v/>
      </c>
      <c r="AH635" s="1" t="str">
        <f t="shared" si="164"/>
        <v/>
      </c>
      <c r="AI635" s="1" t="str">
        <f t="shared" ref="AI635:BE635" si="165">+IF(AND(AI381&gt;4,AI381&lt;=6),"חזק",+IF(AI381&gt;=7,"חזק מאוד",+IF(AND(AI381&lt;=4,AI381&lt;&gt;0),"חלש",+IF(AI381=0,"",0))))</f>
        <v/>
      </c>
      <c r="AJ635" s="1" t="str">
        <f t="shared" si="165"/>
        <v/>
      </c>
      <c r="AK635" s="1" t="str">
        <f t="shared" si="165"/>
        <v/>
      </c>
      <c r="AL635" s="1" t="str">
        <f t="shared" si="165"/>
        <v/>
      </c>
      <c r="AM635" s="1" t="str">
        <f t="shared" si="165"/>
        <v/>
      </c>
      <c r="AN635" s="1" t="str">
        <f t="shared" si="165"/>
        <v/>
      </c>
      <c r="AO635" s="1" t="str">
        <f t="shared" si="165"/>
        <v/>
      </c>
      <c r="AP635" s="1" t="str">
        <f t="shared" si="165"/>
        <v/>
      </c>
      <c r="AQ635" s="1" t="str">
        <f t="shared" si="165"/>
        <v/>
      </c>
      <c r="AR635" s="1" t="str">
        <f t="shared" si="165"/>
        <v/>
      </c>
      <c r="AS635" s="1" t="str">
        <f t="shared" si="165"/>
        <v/>
      </c>
      <c r="AT635" s="1" t="str">
        <f t="shared" si="165"/>
        <v/>
      </c>
      <c r="AU635" s="1" t="str">
        <f t="shared" si="165"/>
        <v/>
      </c>
      <c r="AV635" s="1" t="str">
        <f t="shared" si="165"/>
        <v/>
      </c>
      <c r="AW635" s="1" t="str">
        <f t="shared" si="165"/>
        <v/>
      </c>
      <c r="AX635" s="1" t="str">
        <f t="shared" si="165"/>
        <v/>
      </c>
      <c r="AY635" s="1" t="str">
        <f t="shared" si="165"/>
        <v/>
      </c>
      <c r="AZ635" s="1" t="str">
        <f t="shared" si="165"/>
        <v/>
      </c>
      <c r="BA635" s="1" t="str">
        <f t="shared" si="165"/>
        <v/>
      </c>
      <c r="BB635" s="1" t="str">
        <f t="shared" si="165"/>
        <v/>
      </c>
      <c r="BC635" s="1" t="str">
        <f t="shared" si="165"/>
        <v/>
      </c>
      <c r="BD635" s="1" t="str">
        <f t="shared" si="165"/>
        <v/>
      </c>
      <c r="BE635" s="1" t="str">
        <f t="shared" si="165"/>
        <v/>
      </c>
      <c r="BF635" s="1" t="str">
        <f t="shared" si="125"/>
        <v/>
      </c>
    </row>
    <row r="636" spans="2:58" x14ac:dyDescent="0.2">
      <c r="B636" s="1">
        <v>22</v>
      </c>
      <c r="C636" s="1" t="str">
        <f t="shared" ref="C636:AH636" si="166">+IF(AND(C382&gt;4,C382&lt;=6),"חזק",+IF(C382&gt;=7,"חזק מאוד",+IF(AND(C382&lt;=4,C382&lt;&gt;0),"חלש",+IF(C382=0,"",0))))</f>
        <v/>
      </c>
      <c r="D636" s="1" t="str">
        <f t="shared" si="166"/>
        <v/>
      </c>
      <c r="E636" s="1" t="str">
        <f t="shared" si="166"/>
        <v/>
      </c>
      <c r="F636" s="1" t="str">
        <f t="shared" si="166"/>
        <v/>
      </c>
      <c r="G636" s="1" t="str">
        <f t="shared" si="166"/>
        <v/>
      </c>
      <c r="H636" s="1" t="str">
        <f t="shared" si="166"/>
        <v/>
      </c>
      <c r="I636" s="1" t="str">
        <f t="shared" si="166"/>
        <v/>
      </c>
      <c r="J636" s="1" t="str">
        <f t="shared" si="166"/>
        <v/>
      </c>
      <c r="K636" s="1" t="str">
        <f t="shared" si="166"/>
        <v/>
      </c>
      <c r="L636" s="1" t="str">
        <f t="shared" si="166"/>
        <v/>
      </c>
      <c r="M636" s="1" t="str">
        <f t="shared" si="166"/>
        <v/>
      </c>
      <c r="N636" s="1" t="str">
        <f t="shared" si="166"/>
        <v/>
      </c>
      <c r="O636" s="1" t="str">
        <f t="shared" si="166"/>
        <v/>
      </c>
      <c r="P636" s="1" t="str">
        <f t="shared" si="166"/>
        <v/>
      </c>
      <c r="Q636" s="1" t="str">
        <f t="shared" si="166"/>
        <v/>
      </c>
      <c r="R636" s="1" t="str">
        <f t="shared" si="166"/>
        <v/>
      </c>
      <c r="S636" s="1" t="str">
        <f t="shared" si="166"/>
        <v/>
      </c>
      <c r="T636" s="1" t="str">
        <f t="shared" si="166"/>
        <v/>
      </c>
      <c r="U636" s="1" t="str">
        <f t="shared" si="166"/>
        <v/>
      </c>
      <c r="V636" s="1" t="str">
        <f t="shared" si="166"/>
        <v/>
      </c>
      <c r="W636" s="1" t="str">
        <f t="shared" si="166"/>
        <v/>
      </c>
      <c r="X636" s="1" t="str">
        <f t="shared" si="166"/>
        <v/>
      </c>
      <c r="Y636" s="1" t="str">
        <f t="shared" si="166"/>
        <v/>
      </c>
      <c r="Z636" s="1" t="str">
        <f t="shared" si="166"/>
        <v/>
      </c>
      <c r="AA636" s="1" t="str">
        <f t="shared" si="166"/>
        <v/>
      </c>
      <c r="AB636" s="1" t="str">
        <f t="shared" si="166"/>
        <v/>
      </c>
      <c r="AC636" s="1" t="str">
        <f t="shared" si="166"/>
        <v/>
      </c>
      <c r="AD636" s="1" t="str">
        <f t="shared" si="166"/>
        <v/>
      </c>
      <c r="AE636" s="1" t="str">
        <f t="shared" si="166"/>
        <v/>
      </c>
      <c r="AF636" s="1" t="str">
        <f t="shared" si="166"/>
        <v/>
      </c>
      <c r="AG636" s="1" t="str">
        <f t="shared" si="166"/>
        <v/>
      </c>
      <c r="AH636" s="1" t="str">
        <f t="shared" si="166"/>
        <v/>
      </c>
      <c r="AI636" s="1" t="str">
        <f t="shared" ref="AI636:BE636" si="167">+IF(AND(AI382&gt;4,AI382&lt;=6),"חזק",+IF(AI382&gt;=7,"חזק מאוד",+IF(AND(AI382&lt;=4,AI382&lt;&gt;0),"חלש",+IF(AI382=0,"",0))))</f>
        <v/>
      </c>
      <c r="AJ636" s="1" t="str">
        <f t="shared" si="167"/>
        <v/>
      </c>
      <c r="AK636" s="1" t="str">
        <f t="shared" si="167"/>
        <v/>
      </c>
      <c r="AL636" s="1" t="str">
        <f t="shared" si="167"/>
        <v/>
      </c>
      <c r="AM636" s="1" t="str">
        <f t="shared" si="167"/>
        <v/>
      </c>
      <c r="AN636" s="1" t="str">
        <f t="shared" si="167"/>
        <v/>
      </c>
      <c r="AO636" s="1" t="str">
        <f t="shared" si="167"/>
        <v/>
      </c>
      <c r="AP636" s="1" t="str">
        <f t="shared" si="167"/>
        <v/>
      </c>
      <c r="AQ636" s="1" t="str">
        <f t="shared" si="167"/>
        <v/>
      </c>
      <c r="AR636" s="1" t="str">
        <f t="shared" si="167"/>
        <v/>
      </c>
      <c r="AS636" s="1" t="str">
        <f t="shared" si="167"/>
        <v/>
      </c>
      <c r="AT636" s="1" t="str">
        <f t="shared" si="167"/>
        <v/>
      </c>
      <c r="AU636" s="1" t="str">
        <f t="shared" si="167"/>
        <v/>
      </c>
      <c r="AV636" s="1" t="str">
        <f t="shared" si="167"/>
        <v/>
      </c>
      <c r="AW636" s="1" t="str">
        <f t="shared" si="167"/>
        <v/>
      </c>
      <c r="AX636" s="1" t="str">
        <f t="shared" si="167"/>
        <v/>
      </c>
      <c r="AY636" s="1" t="str">
        <f t="shared" si="167"/>
        <v/>
      </c>
      <c r="AZ636" s="1" t="str">
        <f t="shared" si="167"/>
        <v/>
      </c>
      <c r="BA636" s="1" t="str">
        <f t="shared" si="167"/>
        <v/>
      </c>
      <c r="BB636" s="1" t="str">
        <f t="shared" si="167"/>
        <v/>
      </c>
      <c r="BC636" s="1" t="str">
        <f t="shared" si="167"/>
        <v/>
      </c>
      <c r="BD636" s="1" t="str">
        <f t="shared" si="167"/>
        <v/>
      </c>
      <c r="BE636" s="1" t="str">
        <f t="shared" si="167"/>
        <v/>
      </c>
      <c r="BF636" s="1" t="str">
        <f t="shared" si="125"/>
        <v/>
      </c>
    </row>
    <row r="637" spans="2:58" x14ac:dyDescent="0.2">
      <c r="B637" s="1">
        <v>23</v>
      </c>
      <c r="C637" s="1" t="str">
        <f t="shared" ref="C637:AH637" si="168">+IF(AND(C383&gt;4,C383&lt;=6),"חזק",+IF(C383&gt;=7,"חזק מאוד",+IF(AND(C383&lt;=4,C383&lt;&gt;0),"חלש",+IF(C383=0,"",0))))</f>
        <v/>
      </c>
      <c r="D637" s="1" t="str">
        <f t="shared" si="168"/>
        <v/>
      </c>
      <c r="E637" s="1" t="str">
        <f t="shared" si="168"/>
        <v/>
      </c>
      <c r="F637" s="1" t="str">
        <f t="shared" si="168"/>
        <v/>
      </c>
      <c r="G637" s="1" t="str">
        <f t="shared" si="168"/>
        <v/>
      </c>
      <c r="H637" s="1" t="str">
        <f t="shared" si="168"/>
        <v/>
      </c>
      <c r="I637" s="1" t="str">
        <f t="shared" si="168"/>
        <v/>
      </c>
      <c r="J637" s="1" t="str">
        <f t="shared" si="168"/>
        <v/>
      </c>
      <c r="K637" s="1" t="str">
        <f t="shared" si="168"/>
        <v/>
      </c>
      <c r="L637" s="1" t="str">
        <f t="shared" si="168"/>
        <v/>
      </c>
      <c r="M637" s="1" t="str">
        <f t="shared" si="168"/>
        <v/>
      </c>
      <c r="N637" s="1" t="str">
        <f t="shared" si="168"/>
        <v/>
      </c>
      <c r="O637" s="1" t="str">
        <f t="shared" si="168"/>
        <v/>
      </c>
      <c r="P637" s="1" t="str">
        <f t="shared" si="168"/>
        <v/>
      </c>
      <c r="Q637" s="1" t="str">
        <f t="shared" si="168"/>
        <v/>
      </c>
      <c r="R637" s="1" t="str">
        <f t="shared" si="168"/>
        <v/>
      </c>
      <c r="S637" s="1" t="str">
        <f t="shared" si="168"/>
        <v/>
      </c>
      <c r="T637" s="1" t="str">
        <f t="shared" si="168"/>
        <v/>
      </c>
      <c r="U637" s="1" t="str">
        <f t="shared" si="168"/>
        <v/>
      </c>
      <c r="V637" s="1" t="str">
        <f t="shared" si="168"/>
        <v/>
      </c>
      <c r="W637" s="1" t="str">
        <f t="shared" si="168"/>
        <v/>
      </c>
      <c r="X637" s="1" t="str">
        <f t="shared" si="168"/>
        <v/>
      </c>
      <c r="Y637" s="1" t="str">
        <f t="shared" si="168"/>
        <v/>
      </c>
      <c r="Z637" s="1" t="str">
        <f t="shared" si="168"/>
        <v/>
      </c>
      <c r="AA637" s="1" t="str">
        <f t="shared" si="168"/>
        <v/>
      </c>
      <c r="AB637" s="1" t="str">
        <f t="shared" si="168"/>
        <v/>
      </c>
      <c r="AC637" s="1" t="str">
        <f t="shared" si="168"/>
        <v/>
      </c>
      <c r="AD637" s="1" t="str">
        <f t="shared" si="168"/>
        <v/>
      </c>
      <c r="AE637" s="1" t="str">
        <f t="shared" si="168"/>
        <v/>
      </c>
      <c r="AF637" s="1" t="str">
        <f t="shared" si="168"/>
        <v/>
      </c>
      <c r="AG637" s="1" t="str">
        <f t="shared" si="168"/>
        <v/>
      </c>
      <c r="AH637" s="1" t="str">
        <f t="shared" si="168"/>
        <v/>
      </c>
      <c r="AI637" s="1" t="str">
        <f t="shared" ref="AI637:BE637" si="169">+IF(AND(AI383&gt;4,AI383&lt;=6),"חזק",+IF(AI383&gt;=7,"חזק מאוד",+IF(AND(AI383&lt;=4,AI383&lt;&gt;0),"חלש",+IF(AI383=0,"",0))))</f>
        <v/>
      </c>
      <c r="AJ637" s="1" t="str">
        <f t="shared" si="169"/>
        <v/>
      </c>
      <c r="AK637" s="1" t="str">
        <f t="shared" si="169"/>
        <v/>
      </c>
      <c r="AL637" s="1" t="str">
        <f t="shared" si="169"/>
        <v/>
      </c>
      <c r="AM637" s="1" t="str">
        <f t="shared" si="169"/>
        <v/>
      </c>
      <c r="AN637" s="1" t="str">
        <f t="shared" si="169"/>
        <v/>
      </c>
      <c r="AO637" s="1" t="str">
        <f t="shared" si="169"/>
        <v/>
      </c>
      <c r="AP637" s="1" t="str">
        <f t="shared" si="169"/>
        <v/>
      </c>
      <c r="AQ637" s="1" t="str">
        <f t="shared" si="169"/>
        <v/>
      </c>
      <c r="AR637" s="1" t="str">
        <f t="shared" si="169"/>
        <v/>
      </c>
      <c r="AS637" s="1" t="str">
        <f t="shared" si="169"/>
        <v/>
      </c>
      <c r="AT637" s="1" t="str">
        <f t="shared" si="169"/>
        <v/>
      </c>
      <c r="AU637" s="1" t="str">
        <f t="shared" si="169"/>
        <v/>
      </c>
      <c r="AV637" s="1" t="str">
        <f t="shared" si="169"/>
        <v/>
      </c>
      <c r="AW637" s="1" t="str">
        <f t="shared" si="169"/>
        <v/>
      </c>
      <c r="AX637" s="1" t="str">
        <f t="shared" si="169"/>
        <v/>
      </c>
      <c r="AY637" s="1" t="str">
        <f t="shared" si="169"/>
        <v/>
      </c>
      <c r="AZ637" s="1" t="str">
        <f t="shared" si="169"/>
        <v/>
      </c>
      <c r="BA637" s="1" t="str">
        <f t="shared" si="169"/>
        <v/>
      </c>
      <c r="BB637" s="1" t="str">
        <f t="shared" si="169"/>
        <v/>
      </c>
      <c r="BC637" s="1" t="str">
        <f t="shared" si="169"/>
        <v/>
      </c>
      <c r="BD637" s="1" t="str">
        <f t="shared" si="169"/>
        <v/>
      </c>
      <c r="BE637" s="1" t="str">
        <f t="shared" si="169"/>
        <v/>
      </c>
      <c r="BF637" s="1" t="str">
        <f t="shared" si="125"/>
        <v/>
      </c>
    </row>
    <row r="638" spans="2:58" x14ac:dyDescent="0.2">
      <c r="B638" s="1">
        <v>24</v>
      </c>
      <c r="C638" s="1" t="str">
        <f t="shared" ref="C638:AH638" si="170">+IF(AND(C384&gt;4,C384&lt;=6),"חזק",+IF(C384&gt;=7,"חזק מאוד",+IF(AND(C384&lt;=4,C384&lt;&gt;0),"חלש",+IF(C384=0,"",0))))</f>
        <v/>
      </c>
      <c r="D638" s="1" t="str">
        <f t="shared" si="170"/>
        <v/>
      </c>
      <c r="E638" s="1" t="str">
        <f t="shared" si="170"/>
        <v/>
      </c>
      <c r="F638" s="1" t="str">
        <f t="shared" si="170"/>
        <v/>
      </c>
      <c r="G638" s="1" t="str">
        <f t="shared" si="170"/>
        <v/>
      </c>
      <c r="H638" s="1" t="str">
        <f t="shared" si="170"/>
        <v/>
      </c>
      <c r="I638" s="1" t="str">
        <f t="shared" si="170"/>
        <v/>
      </c>
      <c r="J638" s="1" t="str">
        <f t="shared" si="170"/>
        <v/>
      </c>
      <c r="K638" s="1" t="str">
        <f t="shared" si="170"/>
        <v/>
      </c>
      <c r="L638" s="1" t="str">
        <f t="shared" si="170"/>
        <v/>
      </c>
      <c r="M638" s="1" t="str">
        <f t="shared" si="170"/>
        <v/>
      </c>
      <c r="N638" s="1" t="str">
        <f t="shared" si="170"/>
        <v/>
      </c>
      <c r="O638" s="1" t="str">
        <f t="shared" si="170"/>
        <v/>
      </c>
      <c r="P638" s="1" t="str">
        <f t="shared" si="170"/>
        <v/>
      </c>
      <c r="Q638" s="1" t="str">
        <f t="shared" si="170"/>
        <v/>
      </c>
      <c r="R638" s="1" t="str">
        <f t="shared" si="170"/>
        <v/>
      </c>
      <c r="S638" s="1" t="str">
        <f t="shared" si="170"/>
        <v/>
      </c>
      <c r="T638" s="1" t="str">
        <f t="shared" si="170"/>
        <v/>
      </c>
      <c r="U638" s="1" t="str">
        <f t="shared" si="170"/>
        <v/>
      </c>
      <c r="V638" s="1" t="str">
        <f t="shared" si="170"/>
        <v/>
      </c>
      <c r="W638" s="1" t="str">
        <f t="shared" si="170"/>
        <v/>
      </c>
      <c r="X638" s="1" t="str">
        <f t="shared" si="170"/>
        <v/>
      </c>
      <c r="Y638" s="1" t="str">
        <f t="shared" si="170"/>
        <v/>
      </c>
      <c r="Z638" s="1" t="str">
        <f t="shared" si="170"/>
        <v/>
      </c>
      <c r="AA638" s="1" t="str">
        <f t="shared" si="170"/>
        <v/>
      </c>
      <c r="AB638" s="1" t="str">
        <f t="shared" si="170"/>
        <v/>
      </c>
      <c r="AC638" s="1" t="str">
        <f t="shared" si="170"/>
        <v/>
      </c>
      <c r="AD638" s="1" t="str">
        <f t="shared" si="170"/>
        <v/>
      </c>
      <c r="AE638" s="1" t="str">
        <f t="shared" si="170"/>
        <v/>
      </c>
      <c r="AF638" s="1" t="str">
        <f t="shared" si="170"/>
        <v/>
      </c>
      <c r="AG638" s="1" t="str">
        <f t="shared" si="170"/>
        <v/>
      </c>
      <c r="AH638" s="1" t="str">
        <f t="shared" si="170"/>
        <v/>
      </c>
      <c r="AI638" s="1" t="str">
        <f t="shared" ref="AI638:BE638" si="171">+IF(AND(AI384&gt;4,AI384&lt;=6),"חזק",+IF(AI384&gt;=7,"חזק מאוד",+IF(AND(AI384&lt;=4,AI384&lt;&gt;0),"חלש",+IF(AI384=0,"",0))))</f>
        <v/>
      </c>
      <c r="AJ638" s="1" t="str">
        <f t="shared" si="171"/>
        <v/>
      </c>
      <c r="AK638" s="1" t="str">
        <f t="shared" si="171"/>
        <v/>
      </c>
      <c r="AL638" s="1" t="str">
        <f t="shared" si="171"/>
        <v/>
      </c>
      <c r="AM638" s="1" t="str">
        <f t="shared" si="171"/>
        <v/>
      </c>
      <c r="AN638" s="1" t="str">
        <f t="shared" si="171"/>
        <v/>
      </c>
      <c r="AO638" s="1" t="str">
        <f t="shared" si="171"/>
        <v/>
      </c>
      <c r="AP638" s="1" t="str">
        <f t="shared" si="171"/>
        <v/>
      </c>
      <c r="AQ638" s="1" t="str">
        <f t="shared" si="171"/>
        <v/>
      </c>
      <c r="AR638" s="1" t="str">
        <f t="shared" si="171"/>
        <v/>
      </c>
      <c r="AS638" s="1" t="str">
        <f t="shared" si="171"/>
        <v/>
      </c>
      <c r="AT638" s="1" t="str">
        <f t="shared" si="171"/>
        <v/>
      </c>
      <c r="AU638" s="1" t="str">
        <f t="shared" si="171"/>
        <v/>
      </c>
      <c r="AV638" s="1" t="str">
        <f t="shared" si="171"/>
        <v/>
      </c>
      <c r="AW638" s="1" t="str">
        <f t="shared" si="171"/>
        <v/>
      </c>
      <c r="AX638" s="1" t="str">
        <f t="shared" si="171"/>
        <v/>
      </c>
      <c r="AY638" s="1" t="str">
        <f t="shared" si="171"/>
        <v/>
      </c>
      <c r="AZ638" s="1" t="str">
        <f t="shared" si="171"/>
        <v/>
      </c>
      <c r="BA638" s="1" t="str">
        <f t="shared" si="171"/>
        <v/>
      </c>
      <c r="BB638" s="1" t="str">
        <f t="shared" si="171"/>
        <v/>
      </c>
      <c r="BC638" s="1" t="str">
        <f t="shared" si="171"/>
        <v/>
      </c>
      <c r="BD638" s="1" t="str">
        <f t="shared" si="171"/>
        <v/>
      </c>
      <c r="BE638" s="1" t="str">
        <f t="shared" si="171"/>
        <v/>
      </c>
      <c r="BF638" s="1" t="str">
        <f t="shared" si="125"/>
        <v/>
      </c>
    </row>
    <row r="639" spans="2:58" x14ac:dyDescent="0.2">
      <c r="B639" s="1">
        <v>25</v>
      </c>
      <c r="C639" s="1" t="str">
        <f t="shared" ref="C639:AH639" si="172">+IF(AND(C385&gt;4,C385&lt;=6),"חזק",+IF(C385&gt;=7,"חזק מאוד",+IF(AND(C385&lt;=4,C385&lt;&gt;0),"חלש",+IF(C385=0,"",0))))</f>
        <v/>
      </c>
      <c r="D639" s="1" t="str">
        <f t="shared" si="172"/>
        <v/>
      </c>
      <c r="E639" s="1" t="str">
        <f t="shared" si="172"/>
        <v/>
      </c>
      <c r="F639" s="1" t="str">
        <f t="shared" si="172"/>
        <v/>
      </c>
      <c r="G639" s="1" t="str">
        <f t="shared" si="172"/>
        <v/>
      </c>
      <c r="H639" s="1" t="str">
        <f t="shared" si="172"/>
        <v/>
      </c>
      <c r="I639" s="1" t="str">
        <f t="shared" si="172"/>
        <v/>
      </c>
      <c r="J639" s="1" t="str">
        <f t="shared" si="172"/>
        <v/>
      </c>
      <c r="K639" s="1" t="str">
        <f t="shared" si="172"/>
        <v/>
      </c>
      <c r="L639" s="1" t="str">
        <f t="shared" si="172"/>
        <v/>
      </c>
      <c r="M639" s="1" t="str">
        <f t="shared" si="172"/>
        <v/>
      </c>
      <c r="N639" s="1" t="str">
        <f t="shared" si="172"/>
        <v/>
      </c>
      <c r="O639" s="1" t="str">
        <f t="shared" si="172"/>
        <v/>
      </c>
      <c r="P639" s="1" t="str">
        <f t="shared" si="172"/>
        <v/>
      </c>
      <c r="Q639" s="1" t="str">
        <f t="shared" si="172"/>
        <v/>
      </c>
      <c r="R639" s="1" t="str">
        <f t="shared" si="172"/>
        <v/>
      </c>
      <c r="S639" s="1" t="str">
        <f t="shared" si="172"/>
        <v/>
      </c>
      <c r="T639" s="1" t="str">
        <f t="shared" si="172"/>
        <v/>
      </c>
      <c r="U639" s="1" t="str">
        <f t="shared" si="172"/>
        <v/>
      </c>
      <c r="V639" s="1" t="str">
        <f t="shared" si="172"/>
        <v/>
      </c>
      <c r="W639" s="1" t="str">
        <f t="shared" si="172"/>
        <v/>
      </c>
      <c r="X639" s="1" t="str">
        <f t="shared" si="172"/>
        <v/>
      </c>
      <c r="Y639" s="1" t="str">
        <f t="shared" si="172"/>
        <v/>
      </c>
      <c r="Z639" s="1" t="str">
        <f t="shared" si="172"/>
        <v/>
      </c>
      <c r="AA639" s="1" t="str">
        <f t="shared" si="172"/>
        <v/>
      </c>
      <c r="AB639" s="1" t="str">
        <f t="shared" si="172"/>
        <v/>
      </c>
      <c r="AC639" s="1" t="str">
        <f t="shared" si="172"/>
        <v/>
      </c>
      <c r="AD639" s="1" t="str">
        <f t="shared" si="172"/>
        <v/>
      </c>
      <c r="AE639" s="1" t="str">
        <f t="shared" si="172"/>
        <v/>
      </c>
      <c r="AF639" s="1" t="str">
        <f t="shared" si="172"/>
        <v/>
      </c>
      <c r="AG639" s="1" t="str">
        <f t="shared" si="172"/>
        <v/>
      </c>
      <c r="AH639" s="1" t="str">
        <f t="shared" si="172"/>
        <v/>
      </c>
      <c r="AI639" s="1" t="str">
        <f t="shared" ref="AI639:BE639" si="173">+IF(AND(AI385&gt;4,AI385&lt;=6),"חזק",+IF(AI385&gt;=7,"חזק מאוד",+IF(AND(AI385&lt;=4,AI385&lt;&gt;0),"חלש",+IF(AI385=0,"",0))))</f>
        <v/>
      </c>
      <c r="AJ639" s="1" t="str">
        <f t="shared" si="173"/>
        <v/>
      </c>
      <c r="AK639" s="1" t="str">
        <f t="shared" si="173"/>
        <v/>
      </c>
      <c r="AL639" s="1" t="str">
        <f t="shared" si="173"/>
        <v/>
      </c>
      <c r="AM639" s="1" t="str">
        <f t="shared" si="173"/>
        <v/>
      </c>
      <c r="AN639" s="1" t="str">
        <f t="shared" si="173"/>
        <v/>
      </c>
      <c r="AO639" s="1" t="str">
        <f t="shared" si="173"/>
        <v/>
      </c>
      <c r="AP639" s="1" t="str">
        <f t="shared" si="173"/>
        <v/>
      </c>
      <c r="AQ639" s="1" t="str">
        <f t="shared" si="173"/>
        <v/>
      </c>
      <c r="AR639" s="1" t="str">
        <f t="shared" si="173"/>
        <v/>
      </c>
      <c r="AS639" s="1" t="str">
        <f t="shared" si="173"/>
        <v/>
      </c>
      <c r="AT639" s="1" t="str">
        <f t="shared" si="173"/>
        <v/>
      </c>
      <c r="AU639" s="1" t="str">
        <f t="shared" si="173"/>
        <v/>
      </c>
      <c r="AV639" s="1" t="str">
        <f t="shared" si="173"/>
        <v/>
      </c>
      <c r="AW639" s="1" t="str">
        <f t="shared" si="173"/>
        <v/>
      </c>
      <c r="AX639" s="1" t="str">
        <f t="shared" si="173"/>
        <v/>
      </c>
      <c r="AY639" s="1" t="str">
        <f t="shared" si="173"/>
        <v/>
      </c>
      <c r="AZ639" s="1" t="str">
        <f t="shared" si="173"/>
        <v/>
      </c>
      <c r="BA639" s="1" t="str">
        <f t="shared" si="173"/>
        <v/>
      </c>
      <c r="BB639" s="1" t="str">
        <f t="shared" si="173"/>
        <v/>
      </c>
      <c r="BC639" s="1" t="str">
        <f t="shared" si="173"/>
        <v/>
      </c>
      <c r="BD639" s="1" t="str">
        <f t="shared" si="173"/>
        <v/>
      </c>
      <c r="BE639" s="1" t="str">
        <f t="shared" si="173"/>
        <v/>
      </c>
      <c r="BF639" s="1" t="str">
        <f t="shared" si="125"/>
        <v/>
      </c>
    </row>
    <row r="640" spans="2:58" x14ac:dyDescent="0.2">
      <c r="B640" s="1">
        <v>26</v>
      </c>
      <c r="C640" s="1" t="str">
        <f t="shared" ref="C640:AH640" si="174">+IF(AND(C386&gt;4,C386&lt;=6),"חזק",+IF(C386&gt;=7,"חזק מאוד",+IF(AND(C386&lt;=4,C386&lt;&gt;0),"חלש",+IF(C386=0,"",0))))</f>
        <v/>
      </c>
      <c r="D640" s="1" t="str">
        <f t="shared" si="174"/>
        <v/>
      </c>
      <c r="E640" s="1" t="str">
        <f t="shared" si="174"/>
        <v/>
      </c>
      <c r="F640" s="1" t="str">
        <f t="shared" si="174"/>
        <v/>
      </c>
      <c r="G640" s="1" t="str">
        <f t="shared" si="174"/>
        <v/>
      </c>
      <c r="H640" s="1" t="str">
        <f t="shared" si="174"/>
        <v/>
      </c>
      <c r="I640" s="1" t="str">
        <f t="shared" si="174"/>
        <v/>
      </c>
      <c r="J640" s="1" t="str">
        <f t="shared" si="174"/>
        <v/>
      </c>
      <c r="K640" s="1" t="str">
        <f t="shared" si="174"/>
        <v/>
      </c>
      <c r="L640" s="1" t="str">
        <f t="shared" si="174"/>
        <v/>
      </c>
      <c r="M640" s="1" t="str">
        <f t="shared" si="174"/>
        <v/>
      </c>
      <c r="N640" s="1" t="str">
        <f t="shared" si="174"/>
        <v/>
      </c>
      <c r="O640" s="1" t="str">
        <f t="shared" si="174"/>
        <v/>
      </c>
      <c r="P640" s="1" t="str">
        <f t="shared" si="174"/>
        <v/>
      </c>
      <c r="Q640" s="1" t="str">
        <f t="shared" si="174"/>
        <v/>
      </c>
      <c r="R640" s="1" t="str">
        <f t="shared" si="174"/>
        <v/>
      </c>
      <c r="S640" s="1" t="str">
        <f t="shared" si="174"/>
        <v/>
      </c>
      <c r="T640" s="1" t="str">
        <f t="shared" si="174"/>
        <v/>
      </c>
      <c r="U640" s="1" t="str">
        <f t="shared" si="174"/>
        <v/>
      </c>
      <c r="V640" s="1" t="str">
        <f t="shared" si="174"/>
        <v/>
      </c>
      <c r="W640" s="1" t="str">
        <f t="shared" si="174"/>
        <v/>
      </c>
      <c r="X640" s="1" t="str">
        <f t="shared" si="174"/>
        <v/>
      </c>
      <c r="Y640" s="1" t="str">
        <f t="shared" si="174"/>
        <v/>
      </c>
      <c r="Z640" s="1" t="str">
        <f t="shared" si="174"/>
        <v/>
      </c>
      <c r="AA640" s="1" t="str">
        <f t="shared" si="174"/>
        <v/>
      </c>
      <c r="AB640" s="1" t="str">
        <f t="shared" si="174"/>
        <v/>
      </c>
      <c r="AC640" s="1" t="str">
        <f t="shared" si="174"/>
        <v/>
      </c>
      <c r="AD640" s="1" t="str">
        <f t="shared" si="174"/>
        <v/>
      </c>
      <c r="AE640" s="1" t="str">
        <f t="shared" si="174"/>
        <v/>
      </c>
      <c r="AF640" s="1" t="str">
        <f t="shared" si="174"/>
        <v/>
      </c>
      <c r="AG640" s="1" t="str">
        <f t="shared" si="174"/>
        <v/>
      </c>
      <c r="AH640" s="1" t="str">
        <f t="shared" si="174"/>
        <v/>
      </c>
      <c r="AI640" s="1" t="str">
        <f t="shared" ref="AI640:BE640" si="175">+IF(AND(AI386&gt;4,AI386&lt;=6),"חזק",+IF(AI386&gt;=7,"חזק מאוד",+IF(AND(AI386&lt;=4,AI386&lt;&gt;0),"חלש",+IF(AI386=0,"",0))))</f>
        <v/>
      </c>
      <c r="AJ640" s="1" t="str">
        <f t="shared" si="175"/>
        <v/>
      </c>
      <c r="AK640" s="1" t="str">
        <f t="shared" si="175"/>
        <v/>
      </c>
      <c r="AL640" s="1" t="str">
        <f t="shared" si="175"/>
        <v/>
      </c>
      <c r="AM640" s="1" t="str">
        <f t="shared" si="175"/>
        <v/>
      </c>
      <c r="AN640" s="1" t="str">
        <f t="shared" si="175"/>
        <v/>
      </c>
      <c r="AO640" s="1" t="str">
        <f t="shared" si="175"/>
        <v/>
      </c>
      <c r="AP640" s="1" t="str">
        <f t="shared" si="175"/>
        <v/>
      </c>
      <c r="AQ640" s="1" t="str">
        <f t="shared" si="175"/>
        <v/>
      </c>
      <c r="AR640" s="1" t="str">
        <f t="shared" si="175"/>
        <v/>
      </c>
      <c r="AS640" s="1" t="str">
        <f t="shared" si="175"/>
        <v/>
      </c>
      <c r="AT640" s="1" t="str">
        <f t="shared" si="175"/>
        <v/>
      </c>
      <c r="AU640" s="1" t="str">
        <f t="shared" si="175"/>
        <v/>
      </c>
      <c r="AV640" s="1" t="str">
        <f t="shared" si="175"/>
        <v/>
      </c>
      <c r="AW640" s="1" t="str">
        <f t="shared" si="175"/>
        <v/>
      </c>
      <c r="AX640" s="1" t="str">
        <f t="shared" si="175"/>
        <v/>
      </c>
      <c r="AY640" s="1" t="str">
        <f t="shared" si="175"/>
        <v/>
      </c>
      <c r="AZ640" s="1" t="str">
        <f t="shared" si="175"/>
        <v/>
      </c>
      <c r="BA640" s="1" t="str">
        <f t="shared" si="175"/>
        <v/>
      </c>
      <c r="BB640" s="1" t="str">
        <f t="shared" si="175"/>
        <v/>
      </c>
      <c r="BC640" s="1" t="str">
        <f t="shared" si="175"/>
        <v/>
      </c>
      <c r="BD640" s="1" t="str">
        <f t="shared" si="175"/>
        <v/>
      </c>
      <c r="BE640" s="1" t="str">
        <f t="shared" si="175"/>
        <v/>
      </c>
      <c r="BF640" s="1" t="str">
        <f t="shared" si="125"/>
        <v/>
      </c>
    </row>
    <row r="641" spans="1:58" x14ac:dyDescent="0.2">
      <c r="B641" s="1">
        <v>27</v>
      </c>
      <c r="C641" s="1" t="str">
        <f t="shared" ref="C641:AH641" si="176">+IF(AND(C387&gt;4,C387&lt;=6),"חזק",+IF(C387&gt;=7,"חזק מאוד",+IF(AND(C387&lt;=4,C387&lt;&gt;0),"חלש",+IF(C387=0,"",0))))</f>
        <v/>
      </c>
      <c r="D641" s="1" t="str">
        <f t="shared" si="176"/>
        <v/>
      </c>
      <c r="E641" s="1" t="str">
        <f t="shared" si="176"/>
        <v/>
      </c>
      <c r="F641" s="1" t="str">
        <f t="shared" si="176"/>
        <v/>
      </c>
      <c r="G641" s="1" t="str">
        <f t="shared" si="176"/>
        <v/>
      </c>
      <c r="H641" s="1" t="str">
        <f t="shared" si="176"/>
        <v/>
      </c>
      <c r="I641" s="1" t="str">
        <f t="shared" si="176"/>
        <v/>
      </c>
      <c r="J641" s="1" t="str">
        <f t="shared" si="176"/>
        <v/>
      </c>
      <c r="K641" s="1" t="str">
        <f t="shared" si="176"/>
        <v/>
      </c>
      <c r="L641" s="1" t="str">
        <f t="shared" si="176"/>
        <v/>
      </c>
      <c r="M641" s="1" t="str">
        <f t="shared" si="176"/>
        <v/>
      </c>
      <c r="N641" s="1" t="str">
        <f t="shared" si="176"/>
        <v/>
      </c>
      <c r="O641" s="1" t="str">
        <f t="shared" si="176"/>
        <v/>
      </c>
      <c r="P641" s="1" t="str">
        <f t="shared" si="176"/>
        <v/>
      </c>
      <c r="Q641" s="1" t="str">
        <f t="shared" si="176"/>
        <v/>
      </c>
      <c r="R641" s="1" t="str">
        <f t="shared" si="176"/>
        <v/>
      </c>
      <c r="S641" s="1" t="str">
        <f t="shared" si="176"/>
        <v/>
      </c>
      <c r="T641" s="1" t="str">
        <f t="shared" si="176"/>
        <v/>
      </c>
      <c r="U641" s="1" t="str">
        <f t="shared" si="176"/>
        <v/>
      </c>
      <c r="V641" s="1" t="str">
        <f t="shared" si="176"/>
        <v/>
      </c>
      <c r="W641" s="1" t="str">
        <f t="shared" si="176"/>
        <v/>
      </c>
      <c r="X641" s="1" t="str">
        <f t="shared" si="176"/>
        <v/>
      </c>
      <c r="Y641" s="1" t="str">
        <f t="shared" si="176"/>
        <v/>
      </c>
      <c r="Z641" s="1" t="str">
        <f t="shared" si="176"/>
        <v/>
      </c>
      <c r="AA641" s="1" t="str">
        <f t="shared" si="176"/>
        <v/>
      </c>
      <c r="AB641" s="1" t="str">
        <f t="shared" si="176"/>
        <v/>
      </c>
      <c r="AC641" s="1" t="str">
        <f t="shared" si="176"/>
        <v/>
      </c>
      <c r="AD641" s="1" t="str">
        <f t="shared" si="176"/>
        <v/>
      </c>
      <c r="AE641" s="1" t="str">
        <f t="shared" si="176"/>
        <v/>
      </c>
      <c r="AF641" s="1" t="str">
        <f t="shared" si="176"/>
        <v/>
      </c>
      <c r="AG641" s="1" t="str">
        <f t="shared" si="176"/>
        <v/>
      </c>
      <c r="AH641" s="1" t="str">
        <f t="shared" si="176"/>
        <v/>
      </c>
      <c r="AI641" s="1" t="str">
        <f t="shared" ref="AI641:BE641" si="177">+IF(AND(AI387&gt;4,AI387&lt;=6),"חזק",+IF(AI387&gt;=7,"חזק מאוד",+IF(AND(AI387&lt;=4,AI387&lt;&gt;0),"חלש",+IF(AI387=0,"",0))))</f>
        <v/>
      </c>
      <c r="AJ641" s="1" t="str">
        <f t="shared" si="177"/>
        <v/>
      </c>
      <c r="AK641" s="1" t="str">
        <f t="shared" si="177"/>
        <v/>
      </c>
      <c r="AL641" s="1" t="str">
        <f t="shared" si="177"/>
        <v/>
      </c>
      <c r="AM641" s="1" t="str">
        <f t="shared" si="177"/>
        <v/>
      </c>
      <c r="AN641" s="1" t="str">
        <f t="shared" si="177"/>
        <v/>
      </c>
      <c r="AO641" s="1" t="str">
        <f t="shared" si="177"/>
        <v/>
      </c>
      <c r="AP641" s="1" t="str">
        <f t="shared" si="177"/>
        <v/>
      </c>
      <c r="AQ641" s="1" t="str">
        <f t="shared" si="177"/>
        <v/>
      </c>
      <c r="AR641" s="1" t="str">
        <f t="shared" si="177"/>
        <v/>
      </c>
      <c r="AS641" s="1" t="str">
        <f t="shared" si="177"/>
        <v/>
      </c>
      <c r="AT641" s="1" t="str">
        <f t="shared" si="177"/>
        <v/>
      </c>
      <c r="AU641" s="1" t="str">
        <f t="shared" si="177"/>
        <v/>
      </c>
      <c r="AV641" s="1" t="str">
        <f t="shared" si="177"/>
        <v/>
      </c>
      <c r="AW641" s="1" t="str">
        <f t="shared" si="177"/>
        <v/>
      </c>
      <c r="AX641" s="1" t="str">
        <f t="shared" si="177"/>
        <v/>
      </c>
      <c r="AY641" s="1" t="str">
        <f t="shared" si="177"/>
        <v/>
      </c>
      <c r="AZ641" s="1" t="str">
        <f t="shared" si="177"/>
        <v/>
      </c>
      <c r="BA641" s="1" t="str">
        <f t="shared" si="177"/>
        <v/>
      </c>
      <c r="BB641" s="1" t="str">
        <f t="shared" si="177"/>
        <v/>
      </c>
      <c r="BC641" s="1" t="str">
        <f t="shared" si="177"/>
        <v/>
      </c>
      <c r="BD641" s="1" t="str">
        <f t="shared" si="177"/>
        <v/>
      </c>
      <c r="BE641" s="1" t="str">
        <f t="shared" si="177"/>
        <v/>
      </c>
      <c r="BF641" s="1" t="str">
        <f t="shared" si="125"/>
        <v/>
      </c>
    </row>
    <row r="642" spans="1:58" x14ac:dyDescent="0.2">
      <c r="B642" s="1">
        <v>28</v>
      </c>
      <c r="C642" s="1" t="str">
        <f t="shared" ref="C642:AH642" si="178">+IF(AND(C388&gt;4,C388&lt;=6),"חזק",+IF(C388&gt;=7,"חזק מאוד",+IF(AND(C388&lt;=4,C388&lt;&gt;0),"חלש",+IF(C388=0,"",0))))</f>
        <v/>
      </c>
      <c r="D642" s="1" t="str">
        <f t="shared" si="178"/>
        <v/>
      </c>
      <c r="E642" s="1" t="str">
        <f t="shared" si="178"/>
        <v/>
      </c>
      <c r="F642" s="1" t="str">
        <f t="shared" si="178"/>
        <v/>
      </c>
      <c r="G642" s="1" t="str">
        <f t="shared" si="178"/>
        <v/>
      </c>
      <c r="H642" s="1" t="str">
        <f t="shared" si="178"/>
        <v/>
      </c>
      <c r="I642" s="1" t="str">
        <f t="shared" si="178"/>
        <v/>
      </c>
      <c r="J642" s="1" t="str">
        <f t="shared" si="178"/>
        <v/>
      </c>
      <c r="K642" s="1" t="str">
        <f t="shared" si="178"/>
        <v/>
      </c>
      <c r="L642" s="1" t="str">
        <f t="shared" si="178"/>
        <v/>
      </c>
      <c r="M642" s="1" t="str">
        <f t="shared" si="178"/>
        <v/>
      </c>
      <c r="N642" s="1" t="str">
        <f t="shared" si="178"/>
        <v/>
      </c>
      <c r="O642" s="1" t="str">
        <f t="shared" si="178"/>
        <v/>
      </c>
      <c r="P642" s="1" t="str">
        <f t="shared" si="178"/>
        <v/>
      </c>
      <c r="Q642" s="1" t="str">
        <f t="shared" si="178"/>
        <v/>
      </c>
      <c r="R642" s="1" t="str">
        <f t="shared" si="178"/>
        <v/>
      </c>
      <c r="S642" s="1" t="str">
        <f t="shared" si="178"/>
        <v/>
      </c>
      <c r="T642" s="1" t="str">
        <f t="shared" si="178"/>
        <v/>
      </c>
      <c r="U642" s="1" t="str">
        <f t="shared" si="178"/>
        <v/>
      </c>
      <c r="V642" s="1" t="str">
        <f t="shared" si="178"/>
        <v/>
      </c>
      <c r="W642" s="1" t="str">
        <f t="shared" si="178"/>
        <v/>
      </c>
      <c r="X642" s="1" t="str">
        <f t="shared" si="178"/>
        <v/>
      </c>
      <c r="Y642" s="1" t="str">
        <f t="shared" si="178"/>
        <v/>
      </c>
      <c r="Z642" s="1" t="str">
        <f t="shared" si="178"/>
        <v/>
      </c>
      <c r="AA642" s="1" t="str">
        <f t="shared" si="178"/>
        <v/>
      </c>
      <c r="AB642" s="1" t="str">
        <f t="shared" si="178"/>
        <v/>
      </c>
      <c r="AC642" s="1" t="str">
        <f t="shared" si="178"/>
        <v/>
      </c>
      <c r="AD642" s="1" t="str">
        <f t="shared" si="178"/>
        <v/>
      </c>
      <c r="AE642" s="1" t="str">
        <f t="shared" si="178"/>
        <v/>
      </c>
      <c r="AF642" s="1" t="str">
        <f t="shared" si="178"/>
        <v/>
      </c>
      <c r="AG642" s="1" t="str">
        <f t="shared" si="178"/>
        <v/>
      </c>
      <c r="AH642" s="1" t="str">
        <f t="shared" si="178"/>
        <v/>
      </c>
      <c r="AI642" s="1" t="str">
        <f t="shared" ref="AI642:BE642" si="179">+IF(AND(AI388&gt;4,AI388&lt;=6),"חזק",+IF(AI388&gt;=7,"חזק מאוד",+IF(AND(AI388&lt;=4,AI388&lt;&gt;0),"חלש",+IF(AI388=0,"",0))))</f>
        <v/>
      </c>
      <c r="AJ642" s="1" t="str">
        <f t="shared" si="179"/>
        <v/>
      </c>
      <c r="AK642" s="1" t="str">
        <f t="shared" si="179"/>
        <v/>
      </c>
      <c r="AL642" s="1" t="str">
        <f t="shared" si="179"/>
        <v/>
      </c>
      <c r="AM642" s="1" t="str">
        <f t="shared" si="179"/>
        <v/>
      </c>
      <c r="AN642" s="1" t="str">
        <f t="shared" si="179"/>
        <v/>
      </c>
      <c r="AO642" s="1" t="str">
        <f t="shared" si="179"/>
        <v/>
      </c>
      <c r="AP642" s="1" t="str">
        <f t="shared" si="179"/>
        <v/>
      </c>
      <c r="AQ642" s="1" t="str">
        <f t="shared" si="179"/>
        <v/>
      </c>
      <c r="AR642" s="1" t="str">
        <f t="shared" si="179"/>
        <v/>
      </c>
      <c r="AS642" s="1" t="str">
        <f t="shared" si="179"/>
        <v/>
      </c>
      <c r="AT642" s="1" t="str">
        <f t="shared" si="179"/>
        <v/>
      </c>
      <c r="AU642" s="1" t="str">
        <f t="shared" si="179"/>
        <v/>
      </c>
      <c r="AV642" s="1" t="str">
        <f t="shared" si="179"/>
        <v/>
      </c>
      <c r="AW642" s="1" t="str">
        <f t="shared" si="179"/>
        <v/>
      </c>
      <c r="AX642" s="1" t="str">
        <f t="shared" si="179"/>
        <v/>
      </c>
      <c r="AY642" s="1" t="str">
        <f t="shared" si="179"/>
        <v/>
      </c>
      <c r="AZ642" s="1" t="str">
        <f t="shared" si="179"/>
        <v/>
      </c>
      <c r="BA642" s="1" t="str">
        <f t="shared" si="179"/>
        <v/>
      </c>
      <c r="BB642" s="1" t="str">
        <f t="shared" si="179"/>
        <v/>
      </c>
      <c r="BC642" s="1" t="str">
        <f t="shared" si="179"/>
        <v/>
      </c>
      <c r="BD642" s="1" t="str">
        <f t="shared" si="179"/>
        <v/>
      </c>
      <c r="BE642" s="1" t="str">
        <f t="shared" si="179"/>
        <v/>
      </c>
      <c r="BF642" s="1" t="str">
        <f t="shared" si="125"/>
        <v/>
      </c>
    </row>
    <row r="643" spans="1:58" x14ac:dyDescent="0.2">
      <c r="B643" s="1">
        <v>29</v>
      </c>
      <c r="C643" s="1" t="str">
        <f t="shared" ref="C643:AH643" si="180">+IF(AND(C389&gt;4,C389&lt;=6),"חזק",+IF(C389&gt;=7,"חזק מאוד",+IF(AND(C389&lt;=4,C389&lt;&gt;0),"חלש",+IF(C389=0,"",0))))</f>
        <v/>
      </c>
      <c r="D643" s="1" t="str">
        <f t="shared" si="180"/>
        <v/>
      </c>
      <c r="E643" s="1" t="str">
        <f t="shared" si="180"/>
        <v/>
      </c>
      <c r="F643" s="1" t="str">
        <f t="shared" si="180"/>
        <v/>
      </c>
      <c r="G643" s="1" t="str">
        <f t="shared" si="180"/>
        <v/>
      </c>
      <c r="H643" s="1" t="str">
        <f t="shared" si="180"/>
        <v/>
      </c>
      <c r="I643" s="1" t="str">
        <f t="shared" si="180"/>
        <v/>
      </c>
      <c r="J643" s="1" t="str">
        <f t="shared" si="180"/>
        <v/>
      </c>
      <c r="K643" s="1" t="str">
        <f t="shared" si="180"/>
        <v/>
      </c>
      <c r="L643" s="1" t="str">
        <f t="shared" si="180"/>
        <v/>
      </c>
      <c r="M643" s="1" t="str">
        <f t="shared" si="180"/>
        <v/>
      </c>
      <c r="N643" s="1" t="str">
        <f t="shared" si="180"/>
        <v/>
      </c>
      <c r="O643" s="1" t="str">
        <f t="shared" si="180"/>
        <v/>
      </c>
      <c r="P643" s="1" t="str">
        <f t="shared" si="180"/>
        <v/>
      </c>
      <c r="Q643" s="1" t="str">
        <f t="shared" si="180"/>
        <v/>
      </c>
      <c r="R643" s="1" t="str">
        <f t="shared" si="180"/>
        <v/>
      </c>
      <c r="S643" s="1" t="str">
        <f t="shared" si="180"/>
        <v/>
      </c>
      <c r="T643" s="1" t="str">
        <f t="shared" si="180"/>
        <v/>
      </c>
      <c r="U643" s="1" t="str">
        <f t="shared" si="180"/>
        <v/>
      </c>
      <c r="V643" s="1" t="str">
        <f t="shared" si="180"/>
        <v/>
      </c>
      <c r="W643" s="1" t="str">
        <f t="shared" si="180"/>
        <v/>
      </c>
      <c r="X643" s="1" t="str">
        <f t="shared" si="180"/>
        <v/>
      </c>
      <c r="Y643" s="1" t="str">
        <f t="shared" si="180"/>
        <v/>
      </c>
      <c r="Z643" s="1" t="str">
        <f t="shared" si="180"/>
        <v/>
      </c>
      <c r="AA643" s="1" t="str">
        <f t="shared" si="180"/>
        <v/>
      </c>
      <c r="AB643" s="1" t="str">
        <f t="shared" si="180"/>
        <v/>
      </c>
      <c r="AC643" s="1" t="str">
        <f t="shared" si="180"/>
        <v/>
      </c>
      <c r="AD643" s="1" t="str">
        <f t="shared" si="180"/>
        <v/>
      </c>
      <c r="AE643" s="1" t="str">
        <f t="shared" si="180"/>
        <v/>
      </c>
      <c r="AF643" s="1" t="str">
        <f t="shared" si="180"/>
        <v/>
      </c>
      <c r="AG643" s="1" t="str">
        <f t="shared" si="180"/>
        <v/>
      </c>
      <c r="AH643" s="1" t="str">
        <f t="shared" si="180"/>
        <v/>
      </c>
      <c r="AI643" s="1" t="str">
        <f t="shared" ref="AI643:BE643" si="181">+IF(AND(AI389&gt;4,AI389&lt;=6),"חזק",+IF(AI389&gt;=7,"חזק מאוד",+IF(AND(AI389&lt;=4,AI389&lt;&gt;0),"חלש",+IF(AI389=0,"",0))))</f>
        <v/>
      </c>
      <c r="AJ643" s="1" t="str">
        <f t="shared" si="181"/>
        <v/>
      </c>
      <c r="AK643" s="1" t="str">
        <f t="shared" si="181"/>
        <v/>
      </c>
      <c r="AL643" s="1" t="str">
        <f t="shared" si="181"/>
        <v/>
      </c>
      <c r="AM643" s="1" t="str">
        <f t="shared" si="181"/>
        <v/>
      </c>
      <c r="AN643" s="1" t="str">
        <f t="shared" si="181"/>
        <v/>
      </c>
      <c r="AO643" s="1" t="str">
        <f t="shared" si="181"/>
        <v/>
      </c>
      <c r="AP643" s="1" t="str">
        <f t="shared" si="181"/>
        <v/>
      </c>
      <c r="AQ643" s="1" t="str">
        <f t="shared" si="181"/>
        <v/>
      </c>
      <c r="AR643" s="1" t="str">
        <f t="shared" si="181"/>
        <v/>
      </c>
      <c r="AS643" s="1" t="str">
        <f t="shared" si="181"/>
        <v/>
      </c>
      <c r="AT643" s="1" t="str">
        <f t="shared" si="181"/>
        <v/>
      </c>
      <c r="AU643" s="1" t="str">
        <f t="shared" si="181"/>
        <v/>
      </c>
      <c r="AV643" s="1" t="str">
        <f t="shared" si="181"/>
        <v/>
      </c>
      <c r="AW643" s="1" t="str">
        <f t="shared" si="181"/>
        <v/>
      </c>
      <c r="AX643" s="1" t="str">
        <f t="shared" si="181"/>
        <v/>
      </c>
      <c r="AY643" s="1" t="str">
        <f t="shared" si="181"/>
        <v/>
      </c>
      <c r="AZ643" s="1" t="str">
        <f t="shared" si="181"/>
        <v/>
      </c>
      <c r="BA643" s="1" t="str">
        <f t="shared" si="181"/>
        <v/>
      </c>
      <c r="BB643" s="1" t="str">
        <f t="shared" si="181"/>
        <v/>
      </c>
      <c r="BC643" s="1" t="str">
        <f t="shared" si="181"/>
        <v/>
      </c>
      <c r="BD643" s="1" t="str">
        <f t="shared" si="181"/>
        <v/>
      </c>
      <c r="BE643" s="1" t="str">
        <f t="shared" si="181"/>
        <v/>
      </c>
      <c r="BF643" s="1" t="str">
        <f t="shared" si="125"/>
        <v/>
      </c>
    </row>
    <row r="644" spans="1:58" x14ac:dyDescent="0.2">
      <c r="B644" s="1">
        <v>30</v>
      </c>
      <c r="C644" s="1" t="str">
        <f t="shared" ref="C644:AH644" si="182">+IF(AND(C390&gt;4,C390&lt;=6),"חזק",+IF(C390&gt;=7,"חזק מאוד",+IF(AND(C390&lt;=4,C390&lt;&gt;0),"חלש",+IF(C390=0,"",0))))</f>
        <v/>
      </c>
      <c r="D644" s="1" t="str">
        <f t="shared" si="182"/>
        <v/>
      </c>
      <c r="E644" s="1" t="str">
        <f t="shared" si="182"/>
        <v/>
      </c>
      <c r="F644" s="1" t="str">
        <f t="shared" si="182"/>
        <v/>
      </c>
      <c r="G644" s="1" t="str">
        <f t="shared" si="182"/>
        <v/>
      </c>
      <c r="H644" s="1" t="str">
        <f t="shared" si="182"/>
        <v/>
      </c>
      <c r="I644" s="1" t="str">
        <f t="shared" si="182"/>
        <v/>
      </c>
      <c r="J644" s="1" t="str">
        <f t="shared" si="182"/>
        <v/>
      </c>
      <c r="K644" s="1" t="str">
        <f t="shared" si="182"/>
        <v/>
      </c>
      <c r="L644" s="1" t="str">
        <f t="shared" si="182"/>
        <v/>
      </c>
      <c r="M644" s="1" t="str">
        <f t="shared" si="182"/>
        <v/>
      </c>
      <c r="N644" s="1" t="str">
        <f t="shared" si="182"/>
        <v/>
      </c>
      <c r="O644" s="1" t="str">
        <f t="shared" si="182"/>
        <v/>
      </c>
      <c r="P644" s="1" t="str">
        <f t="shared" si="182"/>
        <v/>
      </c>
      <c r="Q644" s="1" t="str">
        <f t="shared" si="182"/>
        <v/>
      </c>
      <c r="R644" s="1" t="str">
        <f t="shared" si="182"/>
        <v/>
      </c>
      <c r="S644" s="1" t="str">
        <f t="shared" si="182"/>
        <v/>
      </c>
      <c r="T644" s="1" t="str">
        <f t="shared" si="182"/>
        <v/>
      </c>
      <c r="U644" s="1" t="str">
        <f t="shared" si="182"/>
        <v/>
      </c>
      <c r="V644" s="1" t="str">
        <f t="shared" si="182"/>
        <v/>
      </c>
      <c r="W644" s="1" t="str">
        <f t="shared" si="182"/>
        <v/>
      </c>
      <c r="X644" s="1" t="str">
        <f t="shared" si="182"/>
        <v/>
      </c>
      <c r="Y644" s="1" t="str">
        <f t="shared" si="182"/>
        <v/>
      </c>
      <c r="Z644" s="1" t="str">
        <f t="shared" si="182"/>
        <v/>
      </c>
      <c r="AA644" s="1" t="str">
        <f t="shared" si="182"/>
        <v/>
      </c>
      <c r="AB644" s="1" t="str">
        <f t="shared" si="182"/>
        <v/>
      </c>
      <c r="AC644" s="1" t="str">
        <f t="shared" si="182"/>
        <v/>
      </c>
      <c r="AD644" s="1" t="str">
        <f t="shared" si="182"/>
        <v/>
      </c>
      <c r="AE644" s="1" t="str">
        <f t="shared" si="182"/>
        <v/>
      </c>
      <c r="AF644" s="1" t="str">
        <f t="shared" si="182"/>
        <v/>
      </c>
      <c r="AG644" s="1" t="str">
        <f t="shared" si="182"/>
        <v/>
      </c>
      <c r="AH644" s="1" t="str">
        <f t="shared" si="182"/>
        <v/>
      </c>
      <c r="AI644" s="1" t="str">
        <f t="shared" ref="AI644:BE644" si="183">+IF(AND(AI390&gt;4,AI390&lt;=6),"חזק",+IF(AI390&gt;=7,"חזק מאוד",+IF(AND(AI390&lt;=4,AI390&lt;&gt;0),"חלש",+IF(AI390=0,"",0))))</f>
        <v/>
      </c>
      <c r="AJ644" s="1" t="str">
        <f t="shared" si="183"/>
        <v/>
      </c>
      <c r="AK644" s="1" t="str">
        <f t="shared" si="183"/>
        <v/>
      </c>
      <c r="AL644" s="1" t="str">
        <f t="shared" si="183"/>
        <v/>
      </c>
      <c r="AM644" s="1" t="str">
        <f t="shared" si="183"/>
        <v/>
      </c>
      <c r="AN644" s="1" t="str">
        <f t="shared" si="183"/>
        <v/>
      </c>
      <c r="AO644" s="1" t="str">
        <f t="shared" si="183"/>
        <v/>
      </c>
      <c r="AP644" s="1" t="str">
        <f t="shared" si="183"/>
        <v/>
      </c>
      <c r="AQ644" s="1" t="str">
        <f t="shared" si="183"/>
        <v/>
      </c>
      <c r="AR644" s="1" t="str">
        <f t="shared" si="183"/>
        <v/>
      </c>
      <c r="AS644" s="1" t="str">
        <f t="shared" si="183"/>
        <v/>
      </c>
      <c r="AT644" s="1" t="str">
        <f t="shared" si="183"/>
        <v/>
      </c>
      <c r="AU644" s="1" t="str">
        <f t="shared" si="183"/>
        <v/>
      </c>
      <c r="AV644" s="1" t="str">
        <f t="shared" si="183"/>
        <v/>
      </c>
      <c r="AW644" s="1" t="str">
        <f t="shared" si="183"/>
        <v/>
      </c>
      <c r="AX644" s="1" t="str">
        <f t="shared" si="183"/>
        <v/>
      </c>
      <c r="AY644" s="1" t="str">
        <f t="shared" si="183"/>
        <v/>
      </c>
      <c r="AZ644" s="1" t="str">
        <f t="shared" si="183"/>
        <v/>
      </c>
      <c r="BA644" s="1" t="str">
        <f t="shared" si="183"/>
        <v/>
      </c>
      <c r="BB644" s="1" t="str">
        <f t="shared" si="183"/>
        <v/>
      </c>
      <c r="BC644" s="1" t="str">
        <f t="shared" si="183"/>
        <v/>
      </c>
      <c r="BD644" s="1" t="str">
        <f t="shared" si="183"/>
        <v/>
      </c>
      <c r="BE644" s="1" t="str">
        <f t="shared" si="183"/>
        <v/>
      </c>
      <c r="BF644" s="1" t="str">
        <f t="shared" si="125"/>
        <v/>
      </c>
    </row>
    <row r="649" spans="1:58" x14ac:dyDescent="0.2">
      <c r="A649" s="46" t="s">
        <v>1503</v>
      </c>
      <c r="B649" s="1">
        <v>1</v>
      </c>
      <c r="C649" s="1">
        <f t="shared" ref="C649:C678" si="184">+IF(C615="חלש",1,+IF(C615="חזק",2,+IF(C615="חזק מאוד",3,"")))</f>
        <v>2</v>
      </c>
      <c r="D649" s="1">
        <f t="shared" ref="D649:BE653" si="185">+IF(D615="חלש",1,+IF(D615="חזק",2,+IF(D615="חזק מאוד",3,"")))</f>
        <v>2</v>
      </c>
      <c r="E649" s="1">
        <f t="shared" si="185"/>
        <v>2</v>
      </c>
      <c r="F649" s="1">
        <f t="shared" si="185"/>
        <v>2</v>
      </c>
      <c r="G649" s="1">
        <f t="shared" si="185"/>
        <v>3</v>
      </c>
      <c r="H649" s="1">
        <f t="shared" si="185"/>
        <v>2</v>
      </c>
      <c r="I649" s="1">
        <f t="shared" si="185"/>
        <v>2</v>
      </c>
      <c r="J649" s="1">
        <f t="shared" si="185"/>
        <v>2</v>
      </c>
      <c r="K649" s="1">
        <f t="shared" si="185"/>
        <v>2</v>
      </c>
      <c r="L649" s="1">
        <f t="shared" si="185"/>
        <v>1</v>
      </c>
      <c r="M649" s="1">
        <f t="shared" si="185"/>
        <v>2</v>
      </c>
      <c r="N649" s="1">
        <f t="shared" si="185"/>
        <v>2</v>
      </c>
      <c r="O649" s="1">
        <f t="shared" si="185"/>
        <v>2</v>
      </c>
      <c r="P649" s="1">
        <f t="shared" si="185"/>
        <v>1</v>
      </c>
      <c r="Q649" s="1">
        <f t="shared" si="185"/>
        <v>1</v>
      </c>
      <c r="R649" s="1">
        <f t="shared" si="185"/>
        <v>3</v>
      </c>
      <c r="S649" s="1">
        <f t="shared" si="185"/>
        <v>1</v>
      </c>
      <c r="T649" s="1">
        <f t="shared" si="185"/>
        <v>1</v>
      </c>
      <c r="U649" s="1">
        <f t="shared" si="185"/>
        <v>2</v>
      </c>
      <c r="V649" s="1">
        <f t="shared" si="185"/>
        <v>1</v>
      </c>
      <c r="W649" s="1">
        <f t="shared" si="185"/>
        <v>1</v>
      </c>
      <c r="X649" s="1">
        <f t="shared" si="185"/>
        <v>1</v>
      </c>
      <c r="Y649" s="1">
        <f t="shared" si="185"/>
        <v>2</v>
      </c>
      <c r="Z649" s="1">
        <f t="shared" si="185"/>
        <v>2</v>
      </c>
      <c r="AA649" s="1">
        <f t="shared" si="185"/>
        <v>3</v>
      </c>
      <c r="AB649" s="1">
        <f t="shared" si="185"/>
        <v>1</v>
      </c>
      <c r="AC649" s="1">
        <f t="shared" si="185"/>
        <v>3</v>
      </c>
      <c r="AD649" s="1">
        <f t="shared" si="185"/>
        <v>3</v>
      </c>
      <c r="AE649" s="1">
        <f t="shared" si="185"/>
        <v>3</v>
      </c>
      <c r="AF649" s="1">
        <f t="shared" si="185"/>
        <v>2</v>
      </c>
      <c r="AG649" s="1">
        <f t="shared" si="185"/>
        <v>2</v>
      </c>
      <c r="AH649" s="1">
        <f t="shared" si="185"/>
        <v>1</v>
      </c>
      <c r="AI649" s="1">
        <f t="shared" si="185"/>
        <v>2</v>
      </c>
      <c r="AJ649" s="1">
        <f t="shared" si="185"/>
        <v>2</v>
      </c>
      <c r="AK649" s="1">
        <f t="shared" si="185"/>
        <v>2</v>
      </c>
      <c r="AL649" s="1">
        <f t="shared" si="185"/>
        <v>3</v>
      </c>
      <c r="AM649" s="1">
        <f t="shared" si="185"/>
        <v>3</v>
      </c>
      <c r="AN649" s="1">
        <f t="shared" si="185"/>
        <v>1</v>
      </c>
      <c r="AO649" s="1">
        <f t="shared" si="185"/>
        <v>3</v>
      </c>
      <c r="AP649" s="1">
        <f t="shared" si="185"/>
        <v>3</v>
      </c>
      <c r="AQ649" s="1">
        <f t="shared" si="185"/>
        <v>2</v>
      </c>
      <c r="AR649" s="1">
        <f t="shared" si="185"/>
        <v>3</v>
      </c>
      <c r="AS649" s="1">
        <f t="shared" si="185"/>
        <v>1</v>
      </c>
      <c r="AT649" s="1">
        <f t="shared" si="185"/>
        <v>1</v>
      </c>
      <c r="AU649" s="1">
        <f t="shared" si="185"/>
        <v>3</v>
      </c>
      <c r="AV649" s="1">
        <f t="shared" si="185"/>
        <v>2</v>
      </c>
      <c r="AW649" s="1">
        <f t="shared" si="185"/>
        <v>1</v>
      </c>
      <c r="AX649" s="1" t="str">
        <f t="shared" si="185"/>
        <v/>
      </c>
      <c r="AY649" s="1">
        <f t="shared" si="185"/>
        <v>2</v>
      </c>
      <c r="AZ649" s="1">
        <f t="shared" si="185"/>
        <v>3</v>
      </c>
      <c r="BA649" s="1">
        <f t="shared" si="185"/>
        <v>1</v>
      </c>
      <c r="BB649" s="1">
        <f t="shared" si="185"/>
        <v>1</v>
      </c>
      <c r="BC649" s="1">
        <f t="shared" si="185"/>
        <v>1</v>
      </c>
      <c r="BD649" s="1">
        <f t="shared" si="185"/>
        <v>3</v>
      </c>
      <c r="BE649" s="1">
        <f t="shared" si="185"/>
        <v>3</v>
      </c>
      <c r="BF649" s="1">
        <f>+IF(BF615="חלש",1,+IF(BF615="חזק",2,+IF(BF615="חזק מאוד",3,"")))</f>
        <v>2</v>
      </c>
    </row>
    <row r="650" spans="1:58" x14ac:dyDescent="0.2">
      <c r="B650" s="1">
        <v>2</v>
      </c>
      <c r="C650" s="1">
        <f t="shared" si="184"/>
        <v>1</v>
      </c>
      <c r="D650" s="1">
        <f t="shared" ref="D650:R650" si="186">+IF(D616="חלש",1,+IF(D616="חזק",2,+IF(D616="חזק מאוד",3,"")))</f>
        <v>3</v>
      </c>
      <c r="E650" s="1" t="str">
        <f t="shared" si="186"/>
        <v/>
      </c>
      <c r="F650" s="1">
        <f t="shared" si="186"/>
        <v>2</v>
      </c>
      <c r="G650" s="1" t="str">
        <f t="shared" si="186"/>
        <v/>
      </c>
      <c r="H650" s="1">
        <f t="shared" si="186"/>
        <v>1</v>
      </c>
      <c r="I650" s="1" t="str">
        <f t="shared" si="186"/>
        <v/>
      </c>
      <c r="J650" s="1" t="str">
        <f t="shared" si="186"/>
        <v/>
      </c>
      <c r="K650" s="1">
        <f t="shared" si="186"/>
        <v>2</v>
      </c>
      <c r="L650" s="1">
        <f t="shared" si="186"/>
        <v>2</v>
      </c>
      <c r="M650" s="1" t="str">
        <f t="shared" si="186"/>
        <v/>
      </c>
      <c r="N650" s="1">
        <f t="shared" si="186"/>
        <v>1</v>
      </c>
      <c r="O650" s="1">
        <f t="shared" si="186"/>
        <v>2</v>
      </c>
      <c r="P650" s="1">
        <f t="shared" si="186"/>
        <v>1</v>
      </c>
      <c r="Q650" s="1" t="str">
        <f t="shared" si="186"/>
        <v/>
      </c>
      <c r="R650" s="1">
        <f t="shared" si="186"/>
        <v>2</v>
      </c>
      <c r="S650" s="1" t="str">
        <f t="shared" si="185"/>
        <v/>
      </c>
      <c r="T650" s="1">
        <f>+IF(T616="חלש",1,+IF(T616="חזק",2,+IF(T616="חזק מאוד",3,"")))</f>
        <v>2</v>
      </c>
      <c r="U650" s="1" t="str">
        <f t="shared" si="185"/>
        <v/>
      </c>
      <c r="V650" s="1">
        <f t="shared" si="185"/>
        <v>1</v>
      </c>
      <c r="W650" s="1">
        <f t="shared" si="185"/>
        <v>1</v>
      </c>
      <c r="X650" s="1">
        <f t="shared" si="185"/>
        <v>1</v>
      </c>
      <c r="Y650" s="1">
        <f t="shared" si="185"/>
        <v>2</v>
      </c>
      <c r="Z650" s="1" t="str">
        <f t="shared" si="185"/>
        <v/>
      </c>
      <c r="AA650" s="1" t="str">
        <f t="shared" si="185"/>
        <v/>
      </c>
      <c r="AB650" s="1" t="str">
        <f t="shared" si="185"/>
        <v/>
      </c>
      <c r="AC650" s="1" t="str">
        <f t="shared" si="185"/>
        <v/>
      </c>
      <c r="AD650" s="1" t="str">
        <f t="shared" si="185"/>
        <v/>
      </c>
      <c r="AE650" s="1" t="str">
        <f t="shared" si="185"/>
        <v/>
      </c>
      <c r="AF650" s="1">
        <f t="shared" si="185"/>
        <v>2</v>
      </c>
      <c r="AG650" s="1" t="str">
        <f t="shared" si="185"/>
        <v/>
      </c>
      <c r="AH650" s="1" t="str">
        <f t="shared" si="185"/>
        <v/>
      </c>
      <c r="AI650" s="1" t="str">
        <f t="shared" si="185"/>
        <v/>
      </c>
      <c r="AJ650" s="1">
        <f t="shared" si="185"/>
        <v>1</v>
      </c>
      <c r="AK650" s="1" t="str">
        <f t="shared" si="185"/>
        <v/>
      </c>
      <c r="AL650" s="1" t="str">
        <f t="shared" si="185"/>
        <v/>
      </c>
      <c r="AM650" s="1">
        <f t="shared" si="185"/>
        <v>3</v>
      </c>
      <c r="AN650" s="1">
        <f t="shared" si="185"/>
        <v>1</v>
      </c>
      <c r="AO650" s="1" t="str">
        <f t="shared" si="185"/>
        <v/>
      </c>
      <c r="AP650" s="1" t="str">
        <f t="shared" si="185"/>
        <v/>
      </c>
      <c r="AQ650" s="1" t="str">
        <f t="shared" si="185"/>
        <v/>
      </c>
      <c r="AR650" s="1">
        <f t="shared" si="185"/>
        <v>3</v>
      </c>
      <c r="AS650" s="1">
        <f t="shared" si="185"/>
        <v>1</v>
      </c>
      <c r="AT650" s="1" t="str">
        <f t="shared" si="185"/>
        <v/>
      </c>
      <c r="AU650" s="1" t="str">
        <f t="shared" si="185"/>
        <v/>
      </c>
      <c r="AV650" s="1">
        <f t="shared" si="185"/>
        <v>1</v>
      </c>
      <c r="AW650" s="1" t="str">
        <f t="shared" si="185"/>
        <v/>
      </c>
      <c r="AX650" s="1">
        <f t="shared" si="185"/>
        <v>1</v>
      </c>
      <c r="AY650" s="1" t="str">
        <f t="shared" si="185"/>
        <v/>
      </c>
      <c r="AZ650" s="1">
        <f t="shared" si="185"/>
        <v>2</v>
      </c>
      <c r="BA650" s="1">
        <f t="shared" si="185"/>
        <v>2</v>
      </c>
      <c r="BB650" s="1">
        <f t="shared" si="185"/>
        <v>1</v>
      </c>
      <c r="BC650" s="1">
        <f t="shared" si="185"/>
        <v>1</v>
      </c>
      <c r="BD650" s="1">
        <f t="shared" si="185"/>
        <v>3</v>
      </c>
      <c r="BE650" s="1" t="str">
        <f t="shared" si="185"/>
        <v/>
      </c>
      <c r="BF650" s="1" t="str">
        <f>+IF(BF616="חלש",1,+IF(BF616="חזק",2,+IF(BF616="חזק מאוד",3,"")))</f>
        <v/>
      </c>
    </row>
    <row r="651" spans="1:58" x14ac:dyDescent="0.2">
      <c r="B651" s="1">
        <v>3</v>
      </c>
      <c r="C651" s="1">
        <f t="shared" si="184"/>
        <v>1</v>
      </c>
      <c r="D651" s="1">
        <f t="shared" si="185"/>
        <v>2</v>
      </c>
      <c r="E651" s="1" t="str">
        <f t="shared" si="185"/>
        <v/>
      </c>
      <c r="F651" s="1" t="str">
        <f t="shared" si="185"/>
        <v/>
      </c>
      <c r="G651" s="1" t="str">
        <f t="shared" si="185"/>
        <v/>
      </c>
      <c r="H651" s="1">
        <f t="shared" si="185"/>
        <v>3</v>
      </c>
      <c r="I651" s="1" t="str">
        <f t="shared" si="185"/>
        <v/>
      </c>
      <c r="J651" s="1" t="str">
        <f t="shared" si="185"/>
        <v/>
      </c>
      <c r="K651" s="1">
        <f t="shared" si="185"/>
        <v>2</v>
      </c>
      <c r="L651" s="1">
        <f t="shared" si="185"/>
        <v>1</v>
      </c>
      <c r="M651" s="1" t="str">
        <f t="shared" si="185"/>
        <v/>
      </c>
      <c r="N651" s="1" t="str">
        <f t="shared" si="185"/>
        <v/>
      </c>
      <c r="O651" s="1">
        <f t="shared" si="185"/>
        <v>3</v>
      </c>
      <c r="P651" s="1">
        <f t="shared" si="185"/>
        <v>1</v>
      </c>
      <c r="Q651" s="1" t="str">
        <f t="shared" si="185"/>
        <v/>
      </c>
      <c r="R651" s="1">
        <f t="shared" si="185"/>
        <v>3</v>
      </c>
      <c r="S651" s="1" t="str">
        <f t="shared" si="185"/>
        <v/>
      </c>
      <c r="T651" s="1">
        <f t="shared" si="185"/>
        <v>1</v>
      </c>
      <c r="U651" s="1" t="str">
        <f t="shared" si="185"/>
        <v/>
      </c>
      <c r="V651" s="1">
        <f t="shared" si="185"/>
        <v>1</v>
      </c>
      <c r="W651" s="1">
        <f t="shared" si="185"/>
        <v>1</v>
      </c>
      <c r="X651" s="1">
        <f t="shared" si="185"/>
        <v>1</v>
      </c>
      <c r="Y651" s="1">
        <f t="shared" si="185"/>
        <v>3</v>
      </c>
      <c r="Z651" s="1" t="str">
        <f t="shared" si="185"/>
        <v/>
      </c>
      <c r="AA651" s="1" t="str">
        <f t="shared" si="185"/>
        <v/>
      </c>
      <c r="AB651" s="1" t="str">
        <f t="shared" si="185"/>
        <v/>
      </c>
      <c r="AC651" s="1" t="str">
        <f t="shared" si="185"/>
        <v/>
      </c>
      <c r="AD651" s="1" t="str">
        <f t="shared" si="185"/>
        <v/>
      </c>
      <c r="AE651" s="1" t="str">
        <f t="shared" si="185"/>
        <v/>
      </c>
      <c r="AF651" s="1" t="str">
        <f t="shared" si="185"/>
        <v/>
      </c>
      <c r="AG651" s="1" t="str">
        <f t="shared" si="185"/>
        <v/>
      </c>
      <c r="AH651" s="1" t="str">
        <f t="shared" si="185"/>
        <v/>
      </c>
      <c r="AI651" s="1" t="str">
        <f t="shared" si="185"/>
        <v/>
      </c>
      <c r="AJ651" s="1" t="str">
        <f t="shared" si="185"/>
        <v/>
      </c>
      <c r="AK651" s="1" t="str">
        <f t="shared" si="185"/>
        <v/>
      </c>
      <c r="AL651" s="1" t="str">
        <f t="shared" si="185"/>
        <v/>
      </c>
      <c r="AM651" s="1">
        <f t="shared" si="185"/>
        <v>2</v>
      </c>
      <c r="AN651" s="1">
        <f t="shared" si="185"/>
        <v>1</v>
      </c>
      <c r="AO651" s="1" t="str">
        <f t="shared" si="185"/>
        <v/>
      </c>
      <c r="AP651" s="1" t="str">
        <f t="shared" si="185"/>
        <v/>
      </c>
      <c r="AQ651" s="1" t="str">
        <f t="shared" si="185"/>
        <v/>
      </c>
      <c r="AR651" s="1" t="str">
        <f t="shared" si="185"/>
        <v/>
      </c>
      <c r="AS651" s="1">
        <f t="shared" si="185"/>
        <v>1</v>
      </c>
      <c r="AT651" s="1" t="str">
        <f t="shared" si="185"/>
        <v/>
      </c>
      <c r="AU651" s="1" t="str">
        <f t="shared" si="185"/>
        <v/>
      </c>
      <c r="AV651" s="1" t="str">
        <f t="shared" si="185"/>
        <v/>
      </c>
      <c r="AW651" s="1" t="str">
        <f t="shared" si="185"/>
        <v/>
      </c>
      <c r="AX651" s="1">
        <f t="shared" si="185"/>
        <v>1</v>
      </c>
      <c r="AY651" s="1" t="str">
        <f t="shared" si="185"/>
        <v/>
      </c>
      <c r="AZ651" s="1">
        <f t="shared" si="185"/>
        <v>3</v>
      </c>
      <c r="BA651" s="1">
        <f t="shared" si="185"/>
        <v>1</v>
      </c>
      <c r="BB651" s="1">
        <f t="shared" si="185"/>
        <v>1</v>
      </c>
      <c r="BC651" s="1">
        <f t="shared" si="185"/>
        <v>1</v>
      </c>
      <c r="BD651" s="1" t="str">
        <f t="shared" si="185"/>
        <v/>
      </c>
      <c r="BE651" s="1" t="str">
        <f t="shared" si="185"/>
        <v/>
      </c>
      <c r="BF651" s="1" t="str">
        <f>+IF(BF617="חלש",1,+IF(BF617="חזק",2,+IF(BF617="חזק מאוד",3,"")))</f>
        <v/>
      </c>
    </row>
    <row r="652" spans="1:58" x14ac:dyDescent="0.2">
      <c r="B652" s="1">
        <v>4</v>
      </c>
      <c r="C652" s="1" t="str">
        <f t="shared" si="184"/>
        <v/>
      </c>
      <c r="D652" s="1">
        <f t="shared" si="185"/>
        <v>1</v>
      </c>
      <c r="E652" s="1" t="str">
        <f t="shared" si="185"/>
        <v/>
      </c>
      <c r="F652" s="1" t="str">
        <f t="shared" si="185"/>
        <v/>
      </c>
      <c r="G652" s="1" t="str">
        <f t="shared" si="185"/>
        <v/>
      </c>
      <c r="H652" s="1" t="str">
        <f t="shared" si="185"/>
        <v/>
      </c>
      <c r="I652" s="1" t="str">
        <f t="shared" si="185"/>
        <v/>
      </c>
      <c r="J652" s="1" t="str">
        <f t="shared" si="185"/>
        <v/>
      </c>
      <c r="K652" s="1" t="str">
        <f t="shared" si="185"/>
        <v/>
      </c>
      <c r="L652" s="1">
        <f t="shared" si="185"/>
        <v>1</v>
      </c>
      <c r="M652" s="1" t="str">
        <f t="shared" si="185"/>
        <v/>
      </c>
      <c r="N652" s="1" t="str">
        <f t="shared" si="185"/>
        <v/>
      </c>
      <c r="O652" s="1">
        <f t="shared" si="185"/>
        <v>2</v>
      </c>
      <c r="P652" s="1">
        <f t="shared" si="185"/>
        <v>2</v>
      </c>
      <c r="Q652" s="1" t="str">
        <f t="shared" si="185"/>
        <v/>
      </c>
      <c r="R652" s="1" t="str">
        <f t="shared" si="185"/>
        <v/>
      </c>
      <c r="S652" s="1" t="str">
        <f t="shared" si="185"/>
        <v/>
      </c>
      <c r="T652" s="1">
        <f t="shared" si="185"/>
        <v>2</v>
      </c>
      <c r="U652" s="1" t="str">
        <f t="shared" si="185"/>
        <v/>
      </c>
      <c r="V652" s="1">
        <f t="shared" si="185"/>
        <v>1</v>
      </c>
      <c r="W652" s="1">
        <f t="shared" si="185"/>
        <v>1</v>
      </c>
      <c r="X652" s="1">
        <f t="shared" si="185"/>
        <v>1</v>
      </c>
      <c r="Y652" s="1">
        <f t="shared" si="185"/>
        <v>1</v>
      </c>
      <c r="Z652" s="1" t="str">
        <f t="shared" si="185"/>
        <v/>
      </c>
      <c r="AA652" s="1" t="str">
        <f t="shared" si="185"/>
        <v/>
      </c>
      <c r="AB652" s="1" t="str">
        <f t="shared" si="185"/>
        <v/>
      </c>
      <c r="AC652" s="1" t="str">
        <f t="shared" si="185"/>
        <v/>
      </c>
      <c r="AD652" s="1" t="str">
        <f t="shared" si="185"/>
        <v/>
      </c>
      <c r="AE652" s="1" t="str">
        <f t="shared" si="185"/>
        <v/>
      </c>
      <c r="AF652" s="1" t="str">
        <f t="shared" si="185"/>
        <v/>
      </c>
      <c r="AG652" s="1" t="str">
        <f t="shared" si="185"/>
        <v/>
      </c>
      <c r="AH652" s="1" t="str">
        <f t="shared" si="185"/>
        <v/>
      </c>
      <c r="AI652" s="1" t="str">
        <f t="shared" si="185"/>
        <v/>
      </c>
      <c r="AJ652" s="1" t="str">
        <f t="shared" si="185"/>
        <v/>
      </c>
      <c r="AK652" s="1" t="str">
        <f t="shared" si="185"/>
        <v/>
      </c>
      <c r="AL652" s="1" t="str">
        <f t="shared" si="185"/>
        <v/>
      </c>
      <c r="AM652" s="1">
        <f t="shared" si="185"/>
        <v>3</v>
      </c>
      <c r="AN652" s="1">
        <f t="shared" si="185"/>
        <v>1</v>
      </c>
      <c r="AO652" s="1" t="str">
        <f t="shared" si="185"/>
        <v/>
      </c>
      <c r="AP652" s="1" t="str">
        <f t="shared" si="185"/>
        <v/>
      </c>
      <c r="AQ652" s="1" t="str">
        <f t="shared" si="185"/>
        <v/>
      </c>
      <c r="AR652" s="1" t="str">
        <f t="shared" si="185"/>
        <v/>
      </c>
      <c r="AS652" s="1">
        <f t="shared" si="185"/>
        <v>1</v>
      </c>
      <c r="AT652" s="1" t="str">
        <f t="shared" si="185"/>
        <v/>
      </c>
      <c r="AU652" s="1" t="str">
        <f t="shared" si="185"/>
        <v/>
      </c>
      <c r="AV652" s="1" t="str">
        <f t="shared" si="185"/>
        <v/>
      </c>
      <c r="AW652" s="1" t="str">
        <f t="shared" si="185"/>
        <v/>
      </c>
      <c r="AX652" s="1">
        <f t="shared" si="185"/>
        <v>1</v>
      </c>
      <c r="AY652" s="1" t="str">
        <f t="shared" si="185"/>
        <v/>
      </c>
      <c r="AZ652" s="1">
        <f t="shared" si="185"/>
        <v>3</v>
      </c>
      <c r="BA652" s="1">
        <f t="shared" si="185"/>
        <v>1</v>
      </c>
      <c r="BB652" s="1">
        <f t="shared" si="185"/>
        <v>1</v>
      </c>
      <c r="BC652" s="1">
        <f t="shared" si="185"/>
        <v>1</v>
      </c>
      <c r="BD652" s="1" t="str">
        <f t="shared" si="185"/>
        <v/>
      </c>
      <c r="BE652" s="1" t="str">
        <f t="shared" si="185"/>
        <v/>
      </c>
      <c r="BF652" s="1" t="str">
        <f>+IF(BF618="חלש",1,+IF(BF618="חזק",2,+IF(BF618="חזק מאוד",3,"")))</f>
        <v/>
      </c>
    </row>
    <row r="653" spans="1:58" x14ac:dyDescent="0.2">
      <c r="B653" s="1">
        <v>5</v>
      </c>
      <c r="C653" s="1" t="str">
        <f t="shared" si="184"/>
        <v/>
      </c>
      <c r="D653" s="1">
        <f t="shared" si="185"/>
        <v>1</v>
      </c>
      <c r="E653" s="1" t="str">
        <f t="shared" si="185"/>
        <v/>
      </c>
      <c r="F653" s="1" t="str">
        <f t="shared" si="185"/>
        <v/>
      </c>
      <c r="G653" s="1" t="str">
        <f t="shared" si="185"/>
        <v/>
      </c>
      <c r="H653" s="1" t="str">
        <f t="shared" si="185"/>
        <v/>
      </c>
      <c r="I653" s="1" t="str">
        <f t="shared" si="185"/>
        <v/>
      </c>
      <c r="J653" s="1" t="str">
        <f t="shared" si="185"/>
        <v/>
      </c>
      <c r="K653" s="1" t="str">
        <f t="shared" si="185"/>
        <v/>
      </c>
      <c r="L653" s="1" t="str">
        <f t="shared" si="185"/>
        <v/>
      </c>
      <c r="M653" s="1" t="str">
        <f t="shared" si="185"/>
        <v/>
      </c>
      <c r="N653" s="1" t="str">
        <f t="shared" si="185"/>
        <v/>
      </c>
      <c r="O653" s="1" t="str">
        <f t="shared" si="185"/>
        <v/>
      </c>
      <c r="P653" s="1">
        <f t="shared" si="185"/>
        <v>3</v>
      </c>
      <c r="Q653" s="1" t="str">
        <f t="shared" si="185"/>
        <v/>
      </c>
      <c r="R653" s="1" t="str">
        <f t="shared" si="185"/>
        <v/>
      </c>
      <c r="S653" s="1" t="str">
        <f t="shared" si="185"/>
        <v/>
      </c>
      <c r="T653" s="1" t="str">
        <f t="shared" si="185"/>
        <v/>
      </c>
      <c r="U653" s="1" t="str">
        <f t="shared" si="185"/>
        <v/>
      </c>
      <c r="V653" s="1">
        <f t="shared" si="185"/>
        <v>1</v>
      </c>
      <c r="W653" s="1">
        <f t="shared" si="185"/>
        <v>1</v>
      </c>
      <c r="X653" s="1">
        <f t="shared" si="185"/>
        <v>1</v>
      </c>
      <c r="Y653" s="1" t="str">
        <f t="shared" si="185"/>
        <v/>
      </c>
      <c r="Z653" s="1" t="str">
        <f t="shared" si="185"/>
        <v/>
      </c>
      <c r="AA653" s="1" t="str">
        <f t="shared" si="185"/>
        <v/>
      </c>
      <c r="AB653" s="1" t="str">
        <f t="shared" si="185"/>
        <v/>
      </c>
      <c r="AC653" s="1" t="str">
        <f t="shared" si="185"/>
        <v/>
      </c>
      <c r="AD653" s="1" t="str">
        <f t="shared" si="185"/>
        <v/>
      </c>
      <c r="AE653" s="1" t="str">
        <f t="shared" si="185"/>
        <v/>
      </c>
      <c r="AF653" s="1" t="str">
        <f t="shared" si="185"/>
        <v/>
      </c>
      <c r="AG653" s="1" t="str">
        <f t="shared" si="185"/>
        <v/>
      </c>
      <c r="AH653" s="1" t="str">
        <f t="shared" si="185"/>
        <v/>
      </c>
      <c r="AI653" s="1" t="str">
        <f t="shared" si="185"/>
        <v/>
      </c>
      <c r="AJ653" s="1" t="str">
        <f t="shared" si="185"/>
        <v/>
      </c>
      <c r="AK653" s="1" t="str">
        <f t="shared" si="185"/>
        <v/>
      </c>
      <c r="AL653" s="1" t="str">
        <f t="shared" si="185"/>
        <v/>
      </c>
      <c r="AM653" s="1">
        <f t="shared" si="185"/>
        <v>3</v>
      </c>
      <c r="AN653" s="1">
        <f t="shared" si="185"/>
        <v>1</v>
      </c>
      <c r="AO653" s="1" t="str">
        <f t="shared" si="185"/>
        <v/>
      </c>
      <c r="AP653" s="1" t="str">
        <f t="shared" si="185"/>
        <v/>
      </c>
      <c r="AQ653" s="1" t="str">
        <f t="shared" si="185"/>
        <v/>
      </c>
      <c r="AR653" s="1" t="str">
        <f t="shared" si="185"/>
        <v/>
      </c>
      <c r="AS653" s="1">
        <f t="shared" si="185"/>
        <v>1</v>
      </c>
      <c r="AT653" s="1" t="str">
        <f t="shared" si="185"/>
        <v/>
      </c>
      <c r="AU653" s="1" t="str">
        <f t="shared" si="185"/>
        <v/>
      </c>
      <c r="AV653" s="1" t="str">
        <f t="shared" si="185"/>
        <v/>
      </c>
      <c r="AW653" s="1" t="str">
        <f t="shared" si="185"/>
        <v/>
      </c>
      <c r="AX653" s="1" t="str">
        <f t="shared" si="185"/>
        <v/>
      </c>
      <c r="AY653" s="1" t="str">
        <f t="shared" si="185"/>
        <v/>
      </c>
      <c r="AZ653" s="1" t="str">
        <f t="shared" si="185"/>
        <v/>
      </c>
      <c r="BA653" s="1" t="str">
        <f t="shared" si="185"/>
        <v/>
      </c>
      <c r="BB653" s="1">
        <f t="shared" si="185"/>
        <v>1</v>
      </c>
      <c r="BC653" s="1">
        <f t="shared" si="185"/>
        <v>1</v>
      </c>
      <c r="BD653" s="1" t="str">
        <f t="shared" si="185"/>
        <v/>
      </c>
      <c r="BE653" s="1" t="str">
        <f t="shared" si="185"/>
        <v/>
      </c>
      <c r="BF653" s="1" t="str">
        <f t="shared" ref="BF653:BF676" si="187">+IF(BF619="חלש",1,+IF(BF619="חזק",2,+IF(BF619="חזק מאוד",3,"")))</f>
        <v/>
      </c>
    </row>
    <row r="654" spans="1:58" x14ac:dyDescent="0.2">
      <c r="B654" s="1">
        <v>6</v>
      </c>
      <c r="C654" s="1" t="str">
        <f t="shared" si="184"/>
        <v/>
      </c>
      <c r="D654" s="1">
        <f t="shared" ref="D654:BE658" si="188">+IF(D620="חלש",1,+IF(D620="חזק",2,+IF(D620="חזק מאוד",3,"")))</f>
        <v>1</v>
      </c>
      <c r="E654" s="1" t="str">
        <f t="shared" si="188"/>
        <v/>
      </c>
      <c r="F654" s="1" t="str">
        <f t="shared" si="188"/>
        <v/>
      </c>
      <c r="G654" s="1" t="str">
        <f t="shared" si="188"/>
        <v/>
      </c>
      <c r="H654" s="1" t="str">
        <f t="shared" si="188"/>
        <v/>
      </c>
      <c r="I654" s="1" t="str">
        <f t="shared" si="188"/>
        <v/>
      </c>
      <c r="J654" s="1" t="str">
        <f t="shared" si="188"/>
        <v/>
      </c>
      <c r="K654" s="1" t="str">
        <f t="shared" si="188"/>
        <v/>
      </c>
      <c r="L654" s="1" t="str">
        <f t="shared" si="188"/>
        <v/>
      </c>
      <c r="M654" s="1" t="str">
        <f t="shared" si="188"/>
        <v/>
      </c>
      <c r="N654" s="1" t="str">
        <f t="shared" si="188"/>
        <v/>
      </c>
      <c r="O654" s="1" t="str">
        <f t="shared" si="188"/>
        <v/>
      </c>
      <c r="P654" s="1">
        <f t="shared" si="188"/>
        <v>1</v>
      </c>
      <c r="Q654" s="1" t="str">
        <f t="shared" si="188"/>
        <v/>
      </c>
      <c r="R654" s="1" t="str">
        <f t="shared" si="188"/>
        <v/>
      </c>
      <c r="S654" s="1" t="str">
        <f t="shared" si="188"/>
        <v/>
      </c>
      <c r="T654" s="1" t="str">
        <f t="shared" si="188"/>
        <v/>
      </c>
      <c r="U654" s="1" t="str">
        <f t="shared" si="188"/>
        <v/>
      </c>
      <c r="V654" s="1">
        <f t="shared" si="188"/>
        <v>1</v>
      </c>
      <c r="W654" s="1">
        <f t="shared" si="188"/>
        <v>1</v>
      </c>
      <c r="X654" s="1" t="str">
        <f t="shared" si="188"/>
        <v/>
      </c>
      <c r="Y654" s="1" t="str">
        <f t="shared" si="188"/>
        <v/>
      </c>
      <c r="Z654" s="1" t="str">
        <f t="shared" si="188"/>
        <v/>
      </c>
      <c r="AA654" s="1" t="str">
        <f t="shared" si="188"/>
        <v/>
      </c>
      <c r="AB654" s="1" t="str">
        <f t="shared" si="188"/>
        <v/>
      </c>
      <c r="AC654" s="1" t="str">
        <f t="shared" si="188"/>
        <v/>
      </c>
      <c r="AD654" s="1" t="str">
        <f t="shared" si="188"/>
        <v/>
      </c>
      <c r="AE654" s="1" t="str">
        <f t="shared" si="188"/>
        <v/>
      </c>
      <c r="AF654" s="1" t="str">
        <f t="shared" si="188"/>
        <v/>
      </c>
      <c r="AG654" s="1" t="str">
        <f t="shared" si="188"/>
        <v/>
      </c>
      <c r="AH654" s="1" t="str">
        <f t="shared" si="188"/>
        <v/>
      </c>
      <c r="AI654" s="1" t="str">
        <f t="shared" si="188"/>
        <v/>
      </c>
      <c r="AJ654" s="1" t="str">
        <f t="shared" si="188"/>
        <v/>
      </c>
      <c r="AK654" s="1" t="str">
        <f t="shared" si="188"/>
        <v/>
      </c>
      <c r="AL654" s="1" t="str">
        <f t="shared" si="188"/>
        <v/>
      </c>
      <c r="AM654" s="1" t="str">
        <f t="shared" si="188"/>
        <v/>
      </c>
      <c r="AN654" s="1">
        <f t="shared" si="188"/>
        <v>1</v>
      </c>
      <c r="AO654" s="1" t="str">
        <f t="shared" si="188"/>
        <v/>
      </c>
      <c r="AP654" s="1" t="str">
        <f t="shared" si="188"/>
        <v/>
      </c>
      <c r="AQ654" s="1" t="str">
        <f t="shared" si="188"/>
        <v/>
      </c>
      <c r="AR654" s="1" t="str">
        <f t="shared" si="188"/>
        <v/>
      </c>
      <c r="AS654" s="1">
        <f t="shared" si="188"/>
        <v>1</v>
      </c>
      <c r="AT654" s="1" t="str">
        <f t="shared" si="188"/>
        <v/>
      </c>
      <c r="AU654" s="1" t="str">
        <f t="shared" si="188"/>
        <v/>
      </c>
      <c r="AV654" s="1" t="str">
        <f t="shared" si="188"/>
        <v/>
      </c>
      <c r="AW654" s="1" t="str">
        <f t="shared" si="188"/>
        <v/>
      </c>
      <c r="AX654" s="1" t="str">
        <f t="shared" si="188"/>
        <v/>
      </c>
      <c r="AY654" s="1" t="str">
        <f t="shared" si="188"/>
        <v/>
      </c>
      <c r="AZ654" s="1" t="str">
        <f t="shared" si="188"/>
        <v/>
      </c>
      <c r="BA654" s="1" t="str">
        <f t="shared" si="188"/>
        <v/>
      </c>
      <c r="BB654" s="1">
        <f t="shared" si="188"/>
        <v>1</v>
      </c>
      <c r="BC654" s="1">
        <f t="shared" si="188"/>
        <v>1</v>
      </c>
      <c r="BD654" s="1" t="str">
        <f t="shared" si="188"/>
        <v/>
      </c>
      <c r="BE654" s="1" t="str">
        <f t="shared" si="188"/>
        <v/>
      </c>
      <c r="BF654" s="1" t="str">
        <f t="shared" si="187"/>
        <v/>
      </c>
    </row>
    <row r="655" spans="1:58" x14ac:dyDescent="0.2">
      <c r="B655" s="1">
        <v>7</v>
      </c>
      <c r="C655" s="1" t="str">
        <f t="shared" si="184"/>
        <v/>
      </c>
      <c r="D655" s="1">
        <f t="shared" si="188"/>
        <v>1</v>
      </c>
      <c r="E655" s="1" t="str">
        <f t="shared" si="188"/>
        <v/>
      </c>
      <c r="F655" s="1" t="str">
        <f t="shared" si="188"/>
        <v/>
      </c>
      <c r="G655" s="1" t="str">
        <f t="shared" si="188"/>
        <v/>
      </c>
      <c r="H655" s="1" t="str">
        <f t="shared" si="188"/>
        <v/>
      </c>
      <c r="I655" s="1" t="str">
        <f t="shared" si="188"/>
        <v/>
      </c>
      <c r="J655" s="1" t="str">
        <f t="shared" si="188"/>
        <v/>
      </c>
      <c r="K655" s="1" t="str">
        <f t="shared" si="188"/>
        <v/>
      </c>
      <c r="L655" s="1" t="str">
        <f t="shared" si="188"/>
        <v/>
      </c>
      <c r="M655" s="1" t="str">
        <f t="shared" si="188"/>
        <v/>
      </c>
      <c r="N655" s="1" t="str">
        <f t="shared" si="188"/>
        <v/>
      </c>
      <c r="O655" s="1" t="str">
        <f t="shared" si="188"/>
        <v/>
      </c>
      <c r="P655" s="1">
        <f t="shared" si="188"/>
        <v>1</v>
      </c>
      <c r="Q655" s="1" t="str">
        <f t="shared" si="188"/>
        <v/>
      </c>
      <c r="R655" s="1" t="str">
        <f t="shared" si="188"/>
        <v/>
      </c>
      <c r="S655" s="1" t="str">
        <f t="shared" si="188"/>
        <v/>
      </c>
      <c r="T655" s="1" t="str">
        <f t="shared" si="188"/>
        <v/>
      </c>
      <c r="U655" s="1" t="str">
        <f t="shared" si="188"/>
        <v/>
      </c>
      <c r="V655" s="1">
        <f t="shared" si="188"/>
        <v>1</v>
      </c>
      <c r="W655" s="1">
        <f t="shared" si="188"/>
        <v>1</v>
      </c>
      <c r="X655" s="1" t="str">
        <f t="shared" si="188"/>
        <v/>
      </c>
      <c r="Y655" s="1" t="str">
        <f t="shared" si="188"/>
        <v/>
      </c>
      <c r="Z655" s="1" t="str">
        <f t="shared" si="188"/>
        <v/>
      </c>
      <c r="AA655" s="1" t="str">
        <f t="shared" si="188"/>
        <v/>
      </c>
      <c r="AB655" s="1" t="str">
        <f t="shared" si="188"/>
        <v/>
      </c>
      <c r="AC655" s="1" t="str">
        <f t="shared" si="188"/>
        <v/>
      </c>
      <c r="AD655" s="1" t="str">
        <f t="shared" si="188"/>
        <v/>
      </c>
      <c r="AE655" s="1" t="str">
        <f t="shared" si="188"/>
        <v/>
      </c>
      <c r="AF655" s="1" t="str">
        <f t="shared" si="188"/>
        <v/>
      </c>
      <c r="AG655" s="1" t="str">
        <f t="shared" si="188"/>
        <v/>
      </c>
      <c r="AH655" s="1" t="str">
        <f t="shared" si="188"/>
        <v/>
      </c>
      <c r="AI655" s="1" t="str">
        <f t="shared" si="188"/>
        <v/>
      </c>
      <c r="AJ655" s="1" t="str">
        <f t="shared" si="188"/>
        <v/>
      </c>
      <c r="AK655" s="1" t="str">
        <f t="shared" si="188"/>
        <v/>
      </c>
      <c r="AL655" s="1" t="str">
        <f t="shared" si="188"/>
        <v/>
      </c>
      <c r="AM655" s="1" t="str">
        <f t="shared" si="188"/>
        <v/>
      </c>
      <c r="AN655" s="1" t="str">
        <f t="shared" si="188"/>
        <v/>
      </c>
      <c r="AO655" s="1" t="str">
        <f t="shared" si="188"/>
        <v/>
      </c>
      <c r="AP655" s="1" t="str">
        <f t="shared" si="188"/>
        <v/>
      </c>
      <c r="AQ655" s="1" t="str">
        <f t="shared" si="188"/>
        <v/>
      </c>
      <c r="AR655" s="1" t="str">
        <f t="shared" si="188"/>
        <v/>
      </c>
      <c r="AS655" s="1">
        <f t="shared" si="188"/>
        <v>1</v>
      </c>
      <c r="AT655" s="1" t="str">
        <f t="shared" si="188"/>
        <v/>
      </c>
      <c r="AU655" s="1" t="str">
        <f t="shared" si="188"/>
        <v/>
      </c>
      <c r="AV655" s="1" t="str">
        <f t="shared" si="188"/>
        <v/>
      </c>
      <c r="AW655" s="1" t="str">
        <f t="shared" si="188"/>
        <v/>
      </c>
      <c r="AX655" s="1" t="str">
        <f t="shared" si="188"/>
        <v/>
      </c>
      <c r="AY655" s="1" t="str">
        <f t="shared" si="188"/>
        <v/>
      </c>
      <c r="AZ655" s="1" t="str">
        <f t="shared" si="188"/>
        <v/>
      </c>
      <c r="BA655" s="1" t="str">
        <f t="shared" si="188"/>
        <v/>
      </c>
      <c r="BB655" s="1">
        <f t="shared" si="188"/>
        <v>1</v>
      </c>
      <c r="BC655" s="1">
        <f t="shared" si="188"/>
        <v>1</v>
      </c>
      <c r="BD655" s="1" t="str">
        <f t="shared" si="188"/>
        <v/>
      </c>
      <c r="BE655" s="1" t="str">
        <f t="shared" si="188"/>
        <v/>
      </c>
      <c r="BF655" s="1" t="str">
        <f t="shared" si="187"/>
        <v/>
      </c>
    </row>
    <row r="656" spans="1:58" x14ac:dyDescent="0.2">
      <c r="B656" s="1">
        <v>8</v>
      </c>
      <c r="C656" s="1" t="str">
        <f t="shared" si="184"/>
        <v/>
      </c>
      <c r="D656" s="1" t="str">
        <f t="shared" si="188"/>
        <v/>
      </c>
      <c r="E656" s="1" t="str">
        <f t="shared" si="188"/>
        <v/>
      </c>
      <c r="F656" s="1" t="str">
        <f t="shared" si="188"/>
        <v/>
      </c>
      <c r="G656" s="1" t="str">
        <f t="shared" si="188"/>
        <v/>
      </c>
      <c r="H656" s="1" t="str">
        <f t="shared" si="188"/>
        <v/>
      </c>
      <c r="I656" s="1" t="str">
        <f t="shared" si="188"/>
        <v/>
      </c>
      <c r="J656" s="1" t="str">
        <f t="shared" si="188"/>
        <v/>
      </c>
      <c r="K656" s="1" t="str">
        <f t="shared" si="188"/>
        <v/>
      </c>
      <c r="L656" s="1" t="str">
        <f t="shared" si="188"/>
        <v/>
      </c>
      <c r="M656" s="1" t="str">
        <f t="shared" si="188"/>
        <v/>
      </c>
      <c r="N656" s="1" t="str">
        <f t="shared" si="188"/>
        <v/>
      </c>
      <c r="O656" s="1" t="str">
        <f t="shared" si="188"/>
        <v/>
      </c>
      <c r="P656" s="1">
        <f t="shared" si="188"/>
        <v>1</v>
      </c>
      <c r="Q656" s="1" t="str">
        <f t="shared" si="188"/>
        <v/>
      </c>
      <c r="R656" s="1" t="str">
        <f t="shared" si="188"/>
        <v/>
      </c>
      <c r="S656" s="1" t="str">
        <f t="shared" si="188"/>
        <v/>
      </c>
      <c r="T656" s="1" t="str">
        <f t="shared" si="188"/>
        <v/>
      </c>
      <c r="U656" s="1" t="str">
        <f t="shared" si="188"/>
        <v/>
      </c>
      <c r="V656" s="1" t="str">
        <f t="shared" si="188"/>
        <v/>
      </c>
      <c r="W656" s="1" t="str">
        <f t="shared" si="188"/>
        <v/>
      </c>
      <c r="X656" s="1" t="str">
        <f t="shared" si="188"/>
        <v/>
      </c>
      <c r="Y656" s="1" t="str">
        <f t="shared" si="188"/>
        <v/>
      </c>
      <c r="Z656" s="1" t="str">
        <f t="shared" si="188"/>
        <v/>
      </c>
      <c r="AA656" s="1" t="str">
        <f t="shared" si="188"/>
        <v/>
      </c>
      <c r="AB656" s="1" t="str">
        <f t="shared" si="188"/>
        <v/>
      </c>
      <c r="AC656" s="1" t="str">
        <f t="shared" si="188"/>
        <v/>
      </c>
      <c r="AD656" s="1" t="str">
        <f t="shared" si="188"/>
        <v/>
      </c>
      <c r="AE656" s="1" t="str">
        <f t="shared" si="188"/>
        <v/>
      </c>
      <c r="AF656" s="1" t="str">
        <f t="shared" si="188"/>
        <v/>
      </c>
      <c r="AG656" s="1" t="str">
        <f t="shared" si="188"/>
        <v/>
      </c>
      <c r="AH656" s="1" t="str">
        <f t="shared" si="188"/>
        <v/>
      </c>
      <c r="AI656" s="1" t="str">
        <f t="shared" si="188"/>
        <v/>
      </c>
      <c r="AJ656" s="1" t="str">
        <f t="shared" si="188"/>
        <v/>
      </c>
      <c r="AK656" s="1" t="str">
        <f t="shared" si="188"/>
        <v/>
      </c>
      <c r="AL656" s="1" t="str">
        <f t="shared" si="188"/>
        <v/>
      </c>
      <c r="AM656" s="1" t="str">
        <f t="shared" si="188"/>
        <v/>
      </c>
      <c r="AN656" s="1" t="str">
        <f t="shared" si="188"/>
        <v/>
      </c>
      <c r="AO656" s="1" t="str">
        <f t="shared" si="188"/>
        <v/>
      </c>
      <c r="AP656" s="1" t="str">
        <f t="shared" si="188"/>
        <v/>
      </c>
      <c r="AQ656" s="1" t="str">
        <f t="shared" si="188"/>
        <v/>
      </c>
      <c r="AR656" s="1" t="str">
        <f t="shared" si="188"/>
        <v/>
      </c>
      <c r="AS656" s="1">
        <f t="shared" si="188"/>
        <v>1</v>
      </c>
      <c r="AT656" s="1" t="str">
        <f t="shared" si="188"/>
        <v/>
      </c>
      <c r="AU656" s="1" t="str">
        <f t="shared" si="188"/>
        <v/>
      </c>
      <c r="AV656" s="1" t="str">
        <f t="shared" si="188"/>
        <v/>
      </c>
      <c r="AW656" s="1" t="str">
        <f t="shared" si="188"/>
        <v/>
      </c>
      <c r="AX656" s="1" t="str">
        <f t="shared" si="188"/>
        <v/>
      </c>
      <c r="AY656" s="1" t="str">
        <f t="shared" si="188"/>
        <v/>
      </c>
      <c r="AZ656" s="1" t="str">
        <f t="shared" si="188"/>
        <v/>
      </c>
      <c r="BA656" s="1" t="str">
        <f t="shared" si="188"/>
        <v/>
      </c>
      <c r="BB656" s="1" t="str">
        <f t="shared" si="188"/>
        <v/>
      </c>
      <c r="BC656" s="1" t="str">
        <f t="shared" si="188"/>
        <v/>
      </c>
      <c r="BD656" s="1" t="str">
        <f t="shared" si="188"/>
        <v/>
      </c>
      <c r="BE656" s="1" t="str">
        <f t="shared" si="188"/>
        <v/>
      </c>
      <c r="BF656" s="1" t="str">
        <f t="shared" si="187"/>
        <v/>
      </c>
    </row>
    <row r="657" spans="2:58" x14ac:dyDescent="0.2">
      <c r="B657" s="1">
        <v>9</v>
      </c>
      <c r="C657" s="1" t="str">
        <f t="shared" si="184"/>
        <v/>
      </c>
      <c r="D657" s="1" t="str">
        <f t="shared" si="188"/>
        <v/>
      </c>
      <c r="E657" s="1" t="str">
        <f t="shared" si="188"/>
        <v/>
      </c>
      <c r="F657" s="1" t="str">
        <f t="shared" si="188"/>
        <v/>
      </c>
      <c r="G657" s="1" t="str">
        <f t="shared" si="188"/>
        <v/>
      </c>
      <c r="H657" s="1" t="str">
        <f t="shared" si="188"/>
        <v/>
      </c>
      <c r="I657" s="1" t="str">
        <f t="shared" si="188"/>
        <v/>
      </c>
      <c r="J657" s="1" t="str">
        <f t="shared" si="188"/>
        <v/>
      </c>
      <c r="K657" s="1" t="str">
        <f t="shared" si="188"/>
        <v/>
      </c>
      <c r="L657" s="1" t="str">
        <f t="shared" si="188"/>
        <v/>
      </c>
      <c r="M657" s="1" t="str">
        <f t="shared" si="188"/>
        <v/>
      </c>
      <c r="N657" s="1" t="str">
        <f t="shared" si="188"/>
        <v/>
      </c>
      <c r="O657" s="1" t="str">
        <f t="shared" si="188"/>
        <v/>
      </c>
      <c r="P657" s="1">
        <f t="shared" si="188"/>
        <v>1</v>
      </c>
      <c r="Q657" s="1" t="str">
        <f t="shared" si="188"/>
        <v/>
      </c>
      <c r="R657" s="1" t="str">
        <f t="shared" si="188"/>
        <v/>
      </c>
      <c r="S657" s="1" t="str">
        <f t="shared" si="188"/>
        <v/>
      </c>
      <c r="T657" s="1" t="str">
        <f t="shared" si="188"/>
        <v/>
      </c>
      <c r="U657" s="1" t="str">
        <f t="shared" si="188"/>
        <v/>
      </c>
      <c r="V657" s="1" t="str">
        <f t="shared" si="188"/>
        <v/>
      </c>
      <c r="W657" s="1" t="str">
        <f t="shared" si="188"/>
        <v/>
      </c>
      <c r="X657" s="1" t="str">
        <f t="shared" si="188"/>
        <v/>
      </c>
      <c r="Y657" s="1" t="str">
        <f t="shared" si="188"/>
        <v/>
      </c>
      <c r="Z657" s="1" t="str">
        <f t="shared" si="188"/>
        <v/>
      </c>
      <c r="AA657" s="1" t="str">
        <f t="shared" si="188"/>
        <v/>
      </c>
      <c r="AB657" s="1" t="str">
        <f t="shared" si="188"/>
        <v/>
      </c>
      <c r="AC657" s="1" t="str">
        <f t="shared" si="188"/>
        <v/>
      </c>
      <c r="AD657" s="1" t="str">
        <f t="shared" si="188"/>
        <v/>
      </c>
      <c r="AE657" s="1" t="str">
        <f t="shared" si="188"/>
        <v/>
      </c>
      <c r="AF657" s="1" t="str">
        <f t="shared" si="188"/>
        <v/>
      </c>
      <c r="AG657" s="1" t="str">
        <f t="shared" si="188"/>
        <v/>
      </c>
      <c r="AH657" s="1" t="str">
        <f t="shared" si="188"/>
        <v/>
      </c>
      <c r="AI657" s="1" t="str">
        <f t="shared" si="188"/>
        <v/>
      </c>
      <c r="AJ657" s="1" t="str">
        <f t="shared" si="188"/>
        <v/>
      </c>
      <c r="AK657" s="1" t="str">
        <f t="shared" si="188"/>
        <v/>
      </c>
      <c r="AL657" s="1" t="str">
        <f t="shared" si="188"/>
        <v/>
      </c>
      <c r="AM657" s="1" t="str">
        <f t="shared" si="188"/>
        <v/>
      </c>
      <c r="AN657" s="1" t="str">
        <f t="shared" si="188"/>
        <v/>
      </c>
      <c r="AO657" s="1" t="str">
        <f t="shared" si="188"/>
        <v/>
      </c>
      <c r="AP657" s="1" t="str">
        <f t="shared" si="188"/>
        <v/>
      </c>
      <c r="AQ657" s="1" t="str">
        <f t="shared" si="188"/>
        <v/>
      </c>
      <c r="AR657" s="1" t="str">
        <f t="shared" si="188"/>
        <v/>
      </c>
      <c r="AS657" s="1">
        <f t="shared" si="188"/>
        <v>1</v>
      </c>
      <c r="AT657" s="1" t="str">
        <f t="shared" si="188"/>
        <v/>
      </c>
      <c r="AU657" s="1" t="str">
        <f t="shared" si="188"/>
        <v/>
      </c>
      <c r="AV657" s="1" t="str">
        <f t="shared" si="188"/>
        <v/>
      </c>
      <c r="AW657" s="1" t="str">
        <f t="shared" si="188"/>
        <v/>
      </c>
      <c r="AX657" s="1" t="str">
        <f t="shared" si="188"/>
        <v/>
      </c>
      <c r="AY657" s="1" t="str">
        <f t="shared" si="188"/>
        <v/>
      </c>
      <c r="AZ657" s="1" t="str">
        <f t="shared" si="188"/>
        <v/>
      </c>
      <c r="BA657" s="1" t="str">
        <f t="shared" si="188"/>
        <v/>
      </c>
      <c r="BB657" s="1" t="str">
        <f t="shared" si="188"/>
        <v/>
      </c>
      <c r="BC657" s="1" t="str">
        <f t="shared" si="188"/>
        <v/>
      </c>
      <c r="BD657" s="1" t="str">
        <f t="shared" si="188"/>
        <v/>
      </c>
      <c r="BE657" s="1" t="str">
        <f t="shared" si="188"/>
        <v/>
      </c>
      <c r="BF657" s="1" t="str">
        <f t="shared" si="187"/>
        <v/>
      </c>
    </row>
    <row r="658" spans="2:58" x14ac:dyDescent="0.2">
      <c r="B658" s="1">
        <v>10</v>
      </c>
      <c r="C658" s="1" t="str">
        <f t="shared" si="184"/>
        <v/>
      </c>
      <c r="D658" s="1" t="str">
        <f t="shared" si="188"/>
        <v/>
      </c>
      <c r="E658" s="1" t="str">
        <f t="shared" si="188"/>
        <v/>
      </c>
      <c r="F658" s="1" t="str">
        <f t="shared" si="188"/>
        <v/>
      </c>
      <c r="G658" s="1" t="str">
        <f t="shared" si="188"/>
        <v/>
      </c>
      <c r="H658" s="1" t="str">
        <f t="shared" si="188"/>
        <v/>
      </c>
      <c r="I658" s="1" t="str">
        <f t="shared" si="188"/>
        <v/>
      </c>
      <c r="J658" s="1" t="str">
        <f t="shared" si="188"/>
        <v/>
      </c>
      <c r="K658" s="1" t="str">
        <f t="shared" si="188"/>
        <v/>
      </c>
      <c r="L658" s="1" t="str">
        <f t="shared" si="188"/>
        <v/>
      </c>
      <c r="M658" s="1" t="str">
        <f t="shared" si="188"/>
        <v/>
      </c>
      <c r="N658" s="1" t="str">
        <f t="shared" si="188"/>
        <v/>
      </c>
      <c r="O658" s="1" t="str">
        <f t="shared" si="188"/>
        <v/>
      </c>
      <c r="P658" s="1">
        <f t="shared" si="188"/>
        <v>1</v>
      </c>
      <c r="Q658" s="1" t="str">
        <f t="shared" si="188"/>
        <v/>
      </c>
      <c r="R658" s="1" t="str">
        <f t="shared" si="188"/>
        <v/>
      </c>
      <c r="S658" s="1" t="str">
        <f t="shared" si="188"/>
        <v/>
      </c>
      <c r="T658" s="1" t="str">
        <f t="shared" si="188"/>
        <v/>
      </c>
      <c r="U658" s="1" t="str">
        <f t="shared" si="188"/>
        <v/>
      </c>
      <c r="V658" s="1" t="str">
        <f t="shared" si="188"/>
        <v/>
      </c>
      <c r="W658" s="1" t="str">
        <f t="shared" si="188"/>
        <v/>
      </c>
      <c r="X658" s="1" t="str">
        <f t="shared" si="188"/>
        <v/>
      </c>
      <c r="Y658" s="1" t="str">
        <f t="shared" si="188"/>
        <v/>
      </c>
      <c r="Z658" s="1" t="str">
        <f t="shared" si="188"/>
        <v/>
      </c>
      <c r="AA658" s="1" t="str">
        <f t="shared" si="188"/>
        <v/>
      </c>
      <c r="AB658" s="1" t="str">
        <f t="shared" si="188"/>
        <v/>
      </c>
      <c r="AC658" s="1" t="str">
        <f t="shared" si="188"/>
        <v/>
      </c>
      <c r="AD658" s="1" t="str">
        <f t="shared" si="188"/>
        <v/>
      </c>
      <c r="AE658" s="1" t="str">
        <f t="shared" si="188"/>
        <v/>
      </c>
      <c r="AF658" s="1" t="str">
        <f t="shared" si="188"/>
        <v/>
      </c>
      <c r="AG658" s="1" t="str">
        <f t="shared" si="188"/>
        <v/>
      </c>
      <c r="AH658" s="1" t="str">
        <f t="shared" si="188"/>
        <v/>
      </c>
      <c r="AI658" s="1" t="str">
        <f t="shared" si="188"/>
        <v/>
      </c>
      <c r="AJ658" s="1" t="str">
        <f t="shared" si="188"/>
        <v/>
      </c>
      <c r="AK658" s="1" t="str">
        <f t="shared" si="188"/>
        <v/>
      </c>
      <c r="AL658" s="1" t="str">
        <f t="shared" si="188"/>
        <v/>
      </c>
      <c r="AM658" s="1" t="str">
        <f t="shared" si="188"/>
        <v/>
      </c>
      <c r="AN658" s="1" t="str">
        <f t="shared" si="188"/>
        <v/>
      </c>
      <c r="AO658" s="1" t="str">
        <f t="shared" si="188"/>
        <v/>
      </c>
      <c r="AP658" s="1" t="str">
        <f t="shared" si="188"/>
        <v/>
      </c>
      <c r="AQ658" s="1" t="str">
        <f t="shared" ref="D658:BE663" si="189">+IF(AQ624="חלש",1,+IF(AQ624="חזק",2,+IF(AQ624="חזק מאוד",3,"")))</f>
        <v/>
      </c>
      <c r="AR658" s="1" t="str">
        <f t="shared" si="189"/>
        <v/>
      </c>
      <c r="AS658" s="1">
        <f t="shared" si="189"/>
        <v>1</v>
      </c>
      <c r="AT658" s="1" t="str">
        <f t="shared" si="189"/>
        <v/>
      </c>
      <c r="AU658" s="1" t="str">
        <f t="shared" si="189"/>
        <v/>
      </c>
      <c r="AV658" s="1" t="str">
        <f t="shared" si="189"/>
        <v/>
      </c>
      <c r="AW658" s="1" t="str">
        <f t="shared" si="189"/>
        <v/>
      </c>
      <c r="AX658" s="1" t="str">
        <f t="shared" si="189"/>
        <v/>
      </c>
      <c r="AY658" s="1" t="str">
        <f t="shared" si="189"/>
        <v/>
      </c>
      <c r="AZ658" s="1" t="str">
        <f t="shared" si="189"/>
        <v/>
      </c>
      <c r="BA658" s="1" t="str">
        <f t="shared" si="189"/>
        <v/>
      </c>
      <c r="BB658" s="1" t="str">
        <f t="shared" si="189"/>
        <v/>
      </c>
      <c r="BC658" s="1" t="str">
        <f t="shared" si="189"/>
        <v/>
      </c>
      <c r="BD658" s="1" t="str">
        <f t="shared" si="189"/>
        <v/>
      </c>
      <c r="BE658" s="1" t="str">
        <f t="shared" si="189"/>
        <v/>
      </c>
      <c r="BF658" s="1" t="str">
        <f t="shared" si="187"/>
        <v/>
      </c>
    </row>
    <row r="659" spans="2:58" x14ac:dyDescent="0.2">
      <c r="B659" s="1">
        <v>11</v>
      </c>
      <c r="C659" s="1" t="str">
        <f t="shared" si="184"/>
        <v/>
      </c>
      <c r="D659" s="1" t="str">
        <f t="shared" si="189"/>
        <v/>
      </c>
      <c r="E659" s="1" t="str">
        <f t="shared" si="189"/>
        <v/>
      </c>
      <c r="F659" s="1" t="str">
        <f t="shared" si="189"/>
        <v/>
      </c>
      <c r="G659" s="1" t="str">
        <f t="shared" si="189"/>
        <v/>
      </c>
      <c r="H659" s="1" t="str">
        <f t="shared" si="189"/>
        <v/>
      </c>
      <c r="I659" s="1" t="str">
        <f t="shared" si="189"/>
        <v/>
      </c>
      <c r="J659" s="1" t="str">
        <f t="shared" si="189"/>
        <v/>
      </c>
      <c r="K659" s="1" t="str">
        <f t="shared" si="189"/>
        <v/>
      </c>
      <c r="L659" s="1" t="str">
        <f t="shared" si="189"/>
        <v/>
      </c>
      <c r="M659" s="1" t="str">
        <f t="shared" si="189"/>
        <v/>
      </c>
      <c r="N659" s="1" t="str">
        <f t="shared" si="189"/>
        <v/>
      </c>
      <c r="O659" s="1" t="str">
        <f t="shared" si="189"/>
        <v/>
      </c>
      <c r="P659" s="1">
        <f t="shared" si="189"/>
        <v>1</v>
      </c>
      <c r="Q659" s="1" t="str">
        <f t="shared" si="189"/>
        <v/>
      </c>
      <c r="R659" s="1" t="str">
        <f t="shared" si="189"/>
        <v/>
      </c>
      <c r="S659" s="1" t="str">
        <f t="shared" si="189"/>
        <v/>
      </c>
      <c r="T659" s="1" t="str">
        <f t="shared" si="189"/>
        <v/>
      </c>
      <c r="U659" s="1" t="str">
        <f t="shared" si="189"/>
        <v/>
      </c>
      <c r="V659" s="1" t="str">
        <f t="shared" si="189"/>
        <v/>
      </c>
      <c r="W659" s="1" t="str">
        <f t="shared" si="189"/>
        <v/>
      </c>
      <c r="X659" s="1" t="str">
        <f t="shared" si="189"/>
        <v/>
      </c>
      <c r="Y659" s="1" t="str">
        <f t="shared" si="189"/>
        <v/>
      </c>
      <c r="Z659" s="1" t="str">
        <f t="shared" si="189"/>
        <v/>
      </c>
      <c r="AA659" s="1" t="str">
        <f t="shared" si="189"/>
        <v/>
      </c>
      <c r="AB659" s="1" t="str">
        <f t="shared" si="189"/>
        <v/>
      </c>
      <c r="AC659" s="1" t="str">
        <f t="shared" si="189"/>
        <v/>
      </c>
      <c r="AD659" s="1" t="str">
        <f t="shared" si="189"/>
        <v/>
      </c>
      <c r="AE659" s="1" t="str">
        <f t="shared" si="189"/>
        <v/>
      </c>
      <c r="AF659" s="1" t="str">
        <f t="shared" si="189"/>
        <v/>
      </c>
      <c r="AG659" s="1" t="str">
        <f t="shared" si="189"/>
        <v/>
      </c>
      <c r="AH659" s="1" t="str">
        <f t="shared" si="189"/>
        <v/>
      </c>
      <c r="AI659" s="1" t="str">
        <f t="shared" si="189"/>
        <v/>
      </c>
      <c r="AJ659" s="1" t="str">
        <f t="shared" si="189"/>
        <v/>
      </c>
      <c r="AK659" s="1" t="str">
        <f t="shared" si="189"/>
        <v/>
      </c>
      <c r="AL659" s="1" t="str">
        <f t="shared" si="189"/>
        <v/>
      </c>
      <c r="AM659" s="1" t="str">
        <f t="shared" si="189"/>
        <v/>
      </c>
      <c r="AN659" s="1" t="str">
        <f t="shared" si="189"/>
        <v/>
      </c>
      <c r="AO659" s="1" t="str">
        <f t="shared" si="189"/>
        <v/>
      </c>
      <c r="AP659" s="1" t="str">
        <f t="shared" si="189"/>
        <v/>
      </c>
      <c r="AQ659" s="1" t="str">
        <f t="shared" si="189"/>
        <v/>
      </c>
      <c r="AR659" s="1" t="str">
        <f t="shared" si="189"/>
        <v/>
      </c>
      <c r="AS659" s="1">
        <f t="shared" si="189"/>
        <v>1</v>
      </c>
      <c r="AT659" s="1" t="str">
        <f t="shared" si="189"/>
        <v/>
      </c>
      <c r="AU659" s="1" t="str">
        <f t="shared" si="189"/>
        <v/>
      </c>
      <c r="AV659" s="1" t="str">
        <f t="shared" si="189"/>
        <v/>
      </c>
      <c r="AW659" s="1" t="str">
        <f t="shared" si="189"/>
        <v/>
      </c>
      <c r="AX659" s="1" t="str">
        <f t="shared" si="189"/>
        <v/>
      </c>
      <c r="AY659" s="1" t="str">
        <f t="shared" si="189"/>
        <v/>
      </c>
      <c r="AZ659" s="1" t="str">
        <f t="shared" si="189"/>
        <v/>
      </c>
      <c r="BA659" s="1" t="str">
        <f t="shared" si="189"/>
        <v/>
      </c>
      <c r="BB659" s="1" t="str">
        <f t="shared" si="189"/>
        <v/>
      </c>
      <c r="BC659" s="1" t="str">
        <f t="shared" si="189"/>
        <v/>
      </c>
      <c r="BD659" s="1" t="str">
        <f t="shared" si="189"/>
        <v/>
      </c>
      <c r="BE659" s="1" t="str">
        <f t="shared" si="189"/>
        <v/>
      </c>
      <c r="BF659" s="1" t="str">
        <f t="shared" si="187"/>
        <v/>
      </c>
    </row>
    <row r="660" spans="2:58" x14ac:dyDescent="0.2">
      <c r="B660" s="1">
        <v>12</v>
      </c>
      <c r="C660" s="1" t="str">
        <f t="shared" si="184"/>
        <v/>
      </c>
      <c r="D660" s="1" t="str">
        <f t="shared" si="189"/>
        <v/>
      </c>
      <c r="E660" s="1" t="str">
        <f t="shared" si="189"/>
        <v/>
      </c>
      <c r="F660" s="1" t="str">
        <f t="shared" si="189"/>
        <v/>
      </c>
      <c r="G660" s="1" t="str">
        <f t="shared" si="189"/>
        <v/>
      </c>
      <c r="H660" s="1" t="str">
        <f t="shared" si="189"/>
        <v/>
      </c>
      <c r="I660" s="1" t="str">
        <f t="shared" si="189"/>
        <v/>
      </c>
      <c r="J660" s="1" t="str">
        <f t="shared" si="189"/>
        <v/>
      </c>
      <c r="K660" s="1" t="str">
        <f t="shared" si="189"/>
        <v/>
      </c>
      <c r="L660" s="1" t="str">
        <f t="shared" si="189"/>
        <v/>
      </c>
      <c r="M660" s="1" t="str">
        <f t="shared" si="189"/>
        <v/>
      </c>
      <c r="N660" s="1" t="str">
        <f t="shared" si="189"/>
        <v/>
      </c>
      <c r="O660" s="1" t="str">
        <f t="shared" si="189"/>
        <v/>
      </c>
      <c r="P660" s="1">
        <f t="shared" si="189"/>
        <v>1</v>
      </c>
      <c r="Q660" s="1" t="str">
        <f t="shared" si="189"/>
        <v/>
      </c>
      <c r="R660" s="1" t="str">
        <f t="shared" si="189"/>
        <v/>
      </c>
      <c r="S660" s="1" t="str">
        <f t="shared" si="189"/>
        <v/>
      </c>
      <c r="T660" s="1" t="str">
        <f t="shared" si="189"/>
        <v/>
      </c>
      <c r="U660" s="1" t="str">
        <f t="shared" si="189"/>
        <v/>
      </c>
      <c r="V660" s="1" t="str">
        <f t="shared" si="189"/>
        <v/>
      </c>
      <c r="W660" s="1" t="str">
        <f t="shared" si="189"/>
        <v/>
      </c>
      <c r="X660" s="1" t="str">
        <f t="shared" si="189"/>
        <v/>
      </c>
      <c r="Y660" s="1" t="str">
        <f t="shared" si="189"/>
        <v/>
      </c>
      <c r="Z660" s="1" t="str">
        <f t="shared" si="189"/>
        <v/>
      </c>
      <c r="AA660" s="1" t="str">
        <f t="shared" si="189"/>
        <v/>
      </c>
      <c r="AB660" s="1" t="str">
        <f t="shared" si="189"/>
        <v/>
      </c>
      <c r="AC660" s="1" t="str">
        <f t="shared" si="189"/>
        <v/>
      </c>
      <c r="AD660" s="1" t="str">
        <f t="shared" si="189"/>
        <v/>
      </c>
      <c r="AE660" s="1" t="str">
        <f t="shared" si="189"/>
        <v/>
      </c>
      <c r="AF660" s="1" t="str">
        <f t="shared" si="189"/>
        <v/>
      </c>
      <c r="AG660" s="1" t="str">
        <f t="shared" si="189"/>
        <v/>
      </c>
      <c r="AH660" s="1" t="str">
        <f t="shared" si="189"/>
        <v/>
      </c>
      <c r="AI660" s="1" t="str">
        <f t="shared" si="189"/>
        <v/>
      </c>
      <c r="AJ660" s="1" t="str">
        <f t="shared" si="189"/>
        <v/>
      </c>
      <c r="AK660" s="1" t="str">
        <f t="shared" si="189"/>
        <v/>
      </c>
      <c r="AL660" s="1" t="str">
        <f t="shared" si="189"/>
        <v/>
      </c>
      <c r="AM660" s="1" t="str">
        <f t="shared" si="189"/>
        <v/>
      </c>
      <c r="AN660" s="1" t="str">
        <f t="shared" si="189"/>
        <v/>
      </c>
      <c r="AO660" s="1" t="str">
        <f t="shared" si="189"/>
        <v/>
      </c>
      <c r="AP660" s="1" t="str">
        <f t="shared" si="189"/>
        <v/>
      </c>
      <c r="AQ660" s="1" t="str">
        <f t="shared" si="189"/>
        <v/>
      </c>
      <c r="AR660" s="1" t="str">
        <f t="shared" si="189"/>
        <v/>
      </c>
      <c r="AS660" s="1" t="str">
        <f t="shared" si="189"/>
        <v/>
      </c>
      <c r="AT660" s="1" t="str">
        <f t="shared" si="189"/>
        <v/>
      </c>
      <c r="AU660" s="1" t="str">
        <f t="shared" si="189"/>
        <v/>
      </c>
      <c r="AV660" s="1" t="str">
        <f t="shared" si="189"/>
        <v/>
      </c>
      <c r="AW660" s="1" t="str">
        <f t="shared" si="189"/>
        <v/>
      </c>
      <c r="AX660" s="1" t="str">
        <f t="shared" si="189"/>
        <v/>
      </c>
      <c r="AY660" s="1" t="str">
        <f t="shared" si="189"/>
        <v/>
      </c>
      <c r="AZ660" s="1" t="str">
        <f t="shared" si="189"/>
        <v/>
      </c>
      <c r="BA660" s="1" t="str">
        <f t="shared" si="189"/>
        <v/>
      </c>
      <c r="BB660" s="1" t="str">
        <f t="shared" si="189"/>
        <v/>
      </c>
      <c r="BC660" s="1" t="str">
        <f t="shared" si="189"/>
        <v/>
      </c>
      <c r="BD660" s="1" t="str">
        <f t="shared" si="189"/>
        <v/>
      </c>
      <c r="BE660" s="1" t="str">
        <f t="shared" si="189"/>
        <v/>
      </c>
      <c r="BF660" s="1" t="str">
        <f t="shared" si="187"/>
        <v/>
      </c>
    </row>
    <row r="661" spans="2:58" x14ac:dyDescent="0.2">
      <c r="B661" s="1">
        <v>13</v>
      </c>
      <c r="C661" s="1" t="str">
        <f t="shared" si="184"/>
        <v/>
      </c>
      <c r="D661" s="1" t="str">
        <f t="shared" si="189"/>
        <v/>
      </c>
      <c r="E661" s="1" t="str">
        <f t="shared" si="189"/>
        <v/>
      </c>
      <c r="F661" s="1" t="str">
        <f t="shared" si="189"/>
        <v/>
      </c>
      <c r="G661" s="1" t="str">
        <f t="shared" si="189"/>
        <v/>
      </c>
      <c r="H661" s="1" t="str">
        <f t="shared" si="189"/>
        <v/>
      </c>
      <c r="I661" s="1" t="str">
        <f t="shared" si="189"/>
        <v/>
      </c>
      <c r="J661" s="1" t="str">
        <f t="shared" si="189"/>
        <v/>
      </c>
      <c r="K661" s="1" t="str">
        <f t="shared" si="189"/>
        <v/>
      </c>
      <c r="L661" s="1" t="str">
        <f t="shared" si="189"/>
        <v/>
      </c>
      <c r="M661" s="1" t="str">
        <f t="shared" si="189"/>
        <v/>
      </c>
      <c r="N661" s="1" t="str">
        <f t="shared" si="189"/>
        <v/>
      </c>
      <c r="O661" s="1" t="str">
        <f t="shared" si="189"/>
        <v/>
      </c>
      <c r="P661" s="1">
        <f t="shared" si="189"/>
        <v>1</v>
      </c>
      <c r="Q661" s="1" t="str">
        <f t="shared" si="189"/>
        <v/>
      </c>
      <c r="R661" s="1" t="str">
        <f t="shared" si="189"/>
        <v/>
      </c>
      <c r="S661" s="1" t="str">
        <f t="shared" si="189"/>
        <v/>
      </c>
      <c r="T661" s="1" t="str">
        <f t="shared" si="189"/>
        <v/>
      </c>
      <c r="U661" s="1" t="str">
        <f t="shared" si="189"/>
        <v/>
      </c>
      <c r="V661" s="1" t="str">
        <f t="shared" si="189"/>
        <v/>
      </c>
      <c r="W661" s="1" t="str">
        <f t="shared" si="189"/>
        <v/>
      </c>
      <c r="X661" s="1" t="str">
        <f t="shared" si="189"/>
        <v/>
      </c>
      <c r="Y661" s="1" t="str">
        <f t="shared" si="189"/>
        <v/>
      </c>
      <c r="Z661" s="1" t="str">
        <f t="shared" si="189"/>
        <v/>
      </c>
      <c r="AA661" s="1" t="str">
        <f t="shared" si="189"/>
        <v/>
      </c>
      <c r="AB661" s="1" t="str">
        <f t="shared" si="189"/>
        <v/>
      </c>
      <c r="AC661" s="1" t="str">
        <f t="shared" si="189"/>
        <v/>
      </c>
      <c r="AD661" s="1" t="str">
        <f t="shared" si="189"/>
        <v/>
      </c>
      <c r="AE661" s="1" t="str">
        <f t="shared" si="189"/>
        <v/>
      </c>
      <c r="AF661" s="1" t="str">
        <f t="shared" si="189"/>
        <v/>
      </c>
      <c r="AG661" s="1" t="str">
        <f t="shared" si="189"/>
        <v/>
      </c>
      <c r="AH661" s="1" t="str">
        <f t="shared" si="189"/>
        <v/>
      </c>
      <c r="AI661" s="1" t="str">
        <f t="shared" si="189"/>
        <v/>
      </c>
      <c r="AJ661" s="1" t="str">
        <f t="shared" si="189"/>
        <v/>
      </c>
      <c r="AK661" s="1" t="str">
        <f t="shared" si="189"/>
        <v/>
      </c>
      <c r="AL661" s="1" t="str">
        <f t="shared" si="189"/>
        <v/>
      </c>
      <c r="AM661" s="1" t="str">
        <f t="shared" si="189"/>
        <v/>
      </c>
      <c r="AN661" s="1" t="str">
        <f t="shared" si="189"/>
        <v/>
      </c>
      <c r="AO661" s="1" t="str">
        <f t="shared" si="189"/>
        <v/>
      </c>
      <c r="AP661" s="1" t="str">
        <f t="shared" si="189"/>
        <v/>
      </c>
      <c r="AQ661" s="1" t="str">
        <f t="shared" si="189"/>
        <v/>
      </c>
      <c r="AR661" s="1" t="str">
        <f t="shared" si="189"/>
        <v/>
      </c>
      <c r="AS661" s="1" t="str">
        <f t="shared" si="189"/>
        <v/>
      </c>
      <c r="AT661" s="1" t="str">
        <f t="shared" si="189"/>
        <v/>
      </c>
      <c r="AU661" s="1" t="str">
        <f t="shared" si="189"/>
        <v/>
      </c>
      <c r="AV661" s="1" t="str">
        <f t="shared" si="189"/>
        <v/>
      </c>
      <c r="AW661" s="1" t="str">
        <f t="shared" si="189"/>
        <v/>
      </c>
      <c r="AX661" s="1" t="str">
        <f t="shared" si="189"/>
        <v/>
      </c>
      <c r="AY661" s="1" t="str">
        <f t="shared" si="189"/>
        <v/>
      </c>
      <c r="AZ661" s="1" t="str">
        <f t="shared" si="189"/>
        <v/>
      </c>
      <c r="BA661" s="1" t="str">
        <f t="shared" si="189"/>
        <v/>
      </c>
      <c r="BB661" s="1" t="str">
        <f t="shared" si="189"/>
        <v/>
      </c>
      <c r="BC661" s="1" t="str">
        <f t="shared" si="189"/>
        <v/>
      </c>
      <c r="BD661" s="1" t="str">
        <f t="shared" si="189"/>
        <v/>
      </c>
      <c r="BE661" s="1" t="str">
        <f t="shared" si="189"/>
        <v/>
      </c>
      <c r="BF661" s="1" t="str">
        <f t="shared" si="187"/>
        <v/>
      </c>
    </row>
    <row r="662" spans="2:58" x14ac:dyDescent="0.2">
      <c r="B662" s="1">
        <v>14</v>
      </c>
      <c r="C662" s="1" t="str">
        <f t="shared" si="184"/>
        <v/>
      </c>
      <c r="D662" s="1" t="str">
        <f t="shared" si="189"/>
        <v/>
      </c>
      <c r="E662" s="1" t="str">
        <f t="shared" si="189"/>
        <v/>
      </c>
      <c r="F662" s="1" t="str">
        <f t="shared" si="189"/>
        <v/>
      </c>
      <c r="G662" s="1" t="str">
        <f t="shared" si="189"/>
        <v/>
      </c>
      <c r="H662" s="1" t="str">
        <f t="shared" si="189"/>
        <v/>
      </c>
      <c r="I662" s="1" t="str">
        <f t="shared" si="189"/>
        <v/>
      </c>
      <c r="J662" s="1" t="str">
        <f t="shared" si="189"/>
        <v/>
      </c>
      <c r="K662" s="1" t="str">
        <f t="shared" si="189"/>
        <v/>
      </c>
      <c r="L662" s="1" t="str">
        <f t="shared" si="189"/>
        <v/>
      </c>
      <c r="M662" s="1" t="str">
        <f t="shared" si="189"/>
        <v/>
      </c>
      <c r="N662" s="1" t="str">
        <f t="shared" si="189"/>
        <v/>
      </c>
      <c r="O662" s="1" t="str">
        <f t="shared" si="189"/>
        <v/>
      </c>
      <c r="P662" s="1" t="str">
        <f t="shared" si="189"/>
        <v/>
      </c>
      <c r="Q662" s="1" t="str">
        <f t="shared" si="189"/>
        <v/>
      </c>
      <c r="R662" s="1" t="str">
        <f t="shared" si="189"/>
        <v/>
      </c>
      <c r="S662" s="1" t="str">
        <f t="shared" si="189"/>
        <v/>
      </c>
      <c r="T662" s="1" t="str">
        <f t="shared" si="189"/>
        <v/>
      </c>
      <c r="U662" s="1" t="str">
        <f t="shared" si="189"/>
        <v/>
      </c>
      <c r="V662" s="1" t="str">
        <f t="shared" si="189"/>
        <v/>
      </c>
      <c r="W662" s="1" t="str">
        <f t="shared" si="189"/>
        <v/>
      </c>
      <c r="X662" s="1" t="str">
        <f t="shared" si="189"/>
        <v/>
      </c>
      <c r="Y662" s="1" t="str">
        <f t="shared" si="189"/>
        <v/>
      </c>
      <c r="Z662" s="1" t="str">
        <f t="shared" si="189"/>
        <v/>
      </c>
      <c r="AA662" s="1" t="str">
        <f t="shared" si="189"/>
        <v/>
      </c>
      <c r="AB662" s="1" t="str">
        <f t="shared" si="189"/>
        <v/>
      </c>
      <c r="AC662" s="1" t="str">
        <f t="shared" si="189"/>
        <v/>
      </c>
      <c r="AD662" s="1" t="str">
        <f t="shared" si="189"/>
        <v/>
      </c>
      <c r="AE662" s="1" t="str">
        <f t="shared" si="189"/>
        <v/>
      </c>
      <c r="AF662" s="1" t="str">
        <f t="shared" si="189"/>
        <v/>
      </c>
      <c r="AG662" s="1" t="str">
        <f t="shared" si="189"/>
        <v/>
      </c>
      <c r="AH662" s="1" t="str">
        <f t="shared" si="189"/>
        <v/>
      </c>
      <c r="AI662" s="1" t="str">
        <f t="shared" si="189"/>
        <v/>
      </c>
      <c r="AJ662" s="1" t="str">
        <f t="shared" si="189"/>
        <v/>
      </c>
      <c r="AK662" s="1" t="str">
        <f t="shared" si="189"/>
        <v/>
      </c>
      <c r="AL662" s="1" t="str">
        <f t="shared" si="189"/>
        <v/>
      </c>
      <c r="AM662" s="1" t="str">
        <f t="shared" si="189"/>
        <v/>
      </c>
      <c r="AN662" s="1" t="str">
        <f t="shared" si="189"/>
        <v/>
      </c>
      <c r="AO662" s="1" t="str">
        <f t="shared" si="189"/>
        <v/>
      </c>
      <c r="AP662" s="1" t="str">
        <f t="shared" si="189"/>
        <v/>
      </c>
      <c r="AQ662" s="1" t="str">
        <f t="shared" si="189"/>
        <v/>
      </c>
      <c r="AR662" s="1" t="str">
        <f t="shared" si="189"/>
        <v/>
      </c>
      <c r="AS662" s="1" t="str">
        <f t="shared" si="189"/>
        <v/>
      </c>
      <c r="AT662" s="1" t="str">
        <f t="shared" si="189"/>
        <v/>
      </c>
      <c r="AU662" s="1" t="str">
        <f t="shared" si="189"/>
        <v/>
      </c>
      <c r="AV662" s="1" t="str">
        <f t="shared" si="189"/>
        <v/>
      </c>
      <c r="AW662" s="1" t="str">
        <f t="shared" si="189"/>
        <v/>
      </c>
      <c r="AX662" s="1" t="str">
        <f t="shared" si="189"/>
        <v/>
      </c>
      <c r="AY662" s="1" t="str">
        <f t="shared" si="189"/>
        <v/>
      </c>
      <c r="AZ662" s="1" t="str">
        <f t="shared" si="189"/>
        <v/>
      </c>
      <c r="BA662" s="1" t="str">
        <f t="shared" si="189"/>
        <v/>
      </c>
      <c r="BB662" s="1" t="str">
        <f t="shared" si="189"/>
        <v/>
      </c>
      <c r="BC662" s="1" t="str">
        <f t="shared" si="189"/>
        <v/>
      </c>
      <c r="BD662" s="1" t="str">
        <f t="shared" si="189"/>
        <v/>
      </c>
      <c r="BE662" s="1" t="str">
        <f t="shared" si="189"/>
        <v/>
      </c>
      <c r="BF662" s="1" t="str">
        <f t="shared" si="187"/>
        <v/>
      </c>
    </row>
    <row r="663" spans="2:58" x14ac:dyDescent="0.2">
      <c r="B663" s="1">
        <v>15</v>
      </c>
      <c r="C663" s="1" t="str">
        <f t="shared" si="184"/>
        <v/>
      </c>
      <c r="D663" s="1" t="str">
        <f t="shared" si="189"/>
        <v/>
      </c>
      <c r="E663" s="1" t="str">
        <f t="shared" si="189"/>
        <v/>
      </c>
      <c r="F663" s="1" t="str">
        <f t="shared" si="189"/>
        <v/>
      </c>
      <c r="G663" s="1" t="str">
        <f t="shared" si="189"/>
        <v/>
      </c>
      <c r="H663" s="1" t="str">
        <f t="shared" si="189"/>
        <v/>
      </c>
      <c r="I663" s="1" t="str">
        <f t="shared" si="189"/>
        <v/>
      </c>
      <c r="J663" s="1" t="str">
        <f t="shared" si="189"/>
        <v/>
      </c>
      <c r="K663" s="1" t="str">
        <f t="shared" si="189"/>
        <v/>
      </c>
      <c r="L663" s="1" t="str">
        <f t="shared" si="189"/>
        <v/>
      </c>
      <c r="M663" s="1" t="str">
        <f t="shared" si="189"/>
        <v/>
      </c>
      <c r="N663" s="1" t="str">
        <f t="shared" si="189"/>
        <v/>
      </c>
      <c r="O663" s="1" t="str">
        <f t="shared" si="189"/>
        <v/>
      </c>
      <c r="P663" s="1" t="str">
        <f t="shared" si="189"/>
        <v/>
      </c>
      <c r="Q663" s="1" t="str">
        <f t="shared" si="189"/>
        <v/>
      </c>
      <c r="R663" s="1" t="str">
        <f t="shared" si="189"/>
        <v/>
      </c>
      <c r="S663" s="1" t="str">
        <f t="shared" si="189"/>
        <v/>
      </c>
      <c r="T663" s="1" t="str">
        <f t="shared" si="189"/>
        <v/>
      </c>
      <c r="U663" s="1" t="str">
        <f t="shared" si="189"/>
        <v/>
      </c>
      <c r="V663" s="1" t="str">
        <f t="shared" si="189"/>
        <v/>
      </c>
      <c r="W663" s="1" t="str">
        <f t="shared" si="189"/>
        <v/>
      </c>
      <c r="X663" s="1" t="str">
        <f t="shared" si="189"/>
        <v/>
      </c>
      <c r="Y663" s="1" t="str">
        <f t="shared" si="189"/>
        <v/>
      </c>
      <c r="Z663" s="1" t="str">
        <f t="shared" si="189"/>
        <v/>
      </c>
      <c r="AA663" s="1" t="str">
        <f t="shared" si="189"/>
        <v/>
      </c>
      <c r="AB663" s="1" t="str">
        <f t="shared" ref="D663:BE668" si="190">+IF(AB629="חלש",1,+IF(AB629="חזק",2,+IF(AB629="חזק מאוד",3,"")))</f>
        <v/>
      </c>
      <c r="AC663" s="1" t="str">
        <f t="shared" si="190"/>
        <v/>
      </c>
      <c r="AD663" s="1" t="str">
        <f t="shared" si="190"/>
        <v/>
      </c>
      <c r="AE663" s="1" t="str">
        <f t="shared" si="190"/>
        <v/>
      </c>
      <c r="AF663" s="1" t="str">
        <f t="shared" si="190"/>
        <v/>
      </c>
      <c r="AG663" s="1" t="str">
        <f t="shared" si="190"/>
        <v/>
      </c>
      <c r="AH663" s="1" t="str">
        <f t="shared" si="190"/>
        <v/>
      </c>
      <c r="AI663" s="1" t="str">
        <f t="shared" si="190"/>
        <v/>
      </c>
      <c r="AJ663" s="1" t="str">
        <f t="shared" si="190"/>
        <v/>
      </c>
      <c r="AK663" s="1" t="str">
        <f t="shared" si="190"/>
        <v/>
      </c>
      <c r="AL663" s="1" t="str">
        <f t="shared" si="190"/>
        <v/>
      </c>
      <c r="AM663" s="1" t="str">
        <f t="shared" si="190"/>
        <v/>
      </c>
      <c r="AN663" s="1" t="str">
        <f t="shared" si="190"/>
        <v/>
      </c>
      <c r="AO663" s="1" t="str">
        <f t="shared" si="190"/>
        <v/>
      </c>
      <c r="AP663" s="1" t="str">
        <f t="shared" si="190"/>
        <v/>
      </c>
      <c r="AQ663" s="1" t="str">
        <f t="shared" si="190"/>
        <v/>
      </c>
      <c r="AR663" s="1" t="str">
        <f t="shared" si="190"/>
        <v/>
      </c>
      <c r="AS663" s="1" t="str">
        <f t="shared" si="190"/>
        <v/>
      </c>
      <c r="AT663" s="1" t="str">
        <f t="shared" si="190"/>
        <v/>
      </c>
      <c r="AU663" s="1" t="str">
        <f t="shared" si="190"/>
        <v/>
      </c>
      <c r="AV663" s="1" t="str">
        <f t="shared" si="190"/>
        <v/>
      </c>
      <c r="AW663" s="1" t="str">
        <f t="shared" si="190"/>
        <v/>
      </c>
      <c r="AX663" s="1" t="str">
        <f t="shared" si="190"/>
        <v/>
      </c>
      <c r="AY663" s="1" t="str">
        <f t="shared" si="190"/>
        <v/>
      </c>
      <c r="AZ663" s="1" t="str">
        <f t="shared" si="190"/>
        <v/>
      </c>
      <c r="BA663" s="1" t="str">
        <f t="shared" si="190"/>
        <v/>
      </c>
      <c r="BB663" s="1" t="str">
        <f t="shared" si="190"/>
        <v/>
      </c>
      <c r="BC663" s="1" t="str">
        <f t="shared" si="190"/>
        <v/>
      </c>
      <c r="BD663" s="1" t="str">
        <f t="shared" si="190"/>
        <v/>
      </c>
      <c r="BE663" s="1" t="str">
        <f t="shared" si="190"/>
        <v/>
      </c>
      <c r="BF663" s="1" t="str">
        <f t="shared" si="187"/>
        <v/>
      </c>
    </row>
    <row r="664" spans="2:58" x14ac:dyDescent="0.2">
      <c r="B664" s="1">
        <v>16</v>
      </c>
      <c r="C664" s="1" t="str">
        <f t="shared" si="184"/>
        <v/>
      </c>
      <c r="D664" s="1" t="str">
        <f t="shared" si="190"/>
        <v/>
      </c>
      <c r="E664" s="1" t="str">
        <f t="shared" si="190"/>
        <v/>
      </c>
      <c r="F664" s="1" t="str">
        <f t="shared" si="190"/>
        <v/>
      </c>
      <c r="G664" s="1" t="str">
        <f t="shared" si="190"/>
        <v/>
      </c>
      <c r="H664" s="1" t="str">
        <f t="shared" si="190"/>
        <v/>
      </c>
      <c r="I664" s="1" t="str">
        <f t="shared" si="190"/>
        <v/>
      </c>
      <c r="J664" s="1" t="str">
        <f t="shared" si="190"/>
        <v/>
      </c>
      <c r="K664" s="1" t="str">
        <f t="shared" si="190"/>
        <v/>
      </c>
      <c r="L664" s="1" t="str">
        <f t="shared" si="190"/>
        <v/>
      </c>
      <c r="M664" s="1" t="str">
        <f t="shared" si="190"/>
        <v/>
      </c>
      <c r="N664" s="1" t="str">
        <f t="shared" si="190"/>
        <v/>
      </c>
      <c r="O664" s="1" t="str">
        <f t="shared" si="190"/>
        <v/>
      </c>
      <c r="P664" s="1" t="str">
        <f t="shared" si="190"/>
        <v/>
      </c>
      <c r="Q664" s="1" t="str">
        <f t="shared" si="190"/>
        <v/>
      </c>
      <c r="R664" s="1" t="str">
        <f t="shared" si="190"/>
        <v/>
      </c>
      <c r="S664" s="1" t="str">
        <f t="shared" si="190"/>
        <v/>
      </c>
      <c r="T664" s="1" t="str">
        <f t="shared" si="190"/>
        <v/>
      </c>
      <c r="U664" s="1" t="str">
        <f t="shared" si="190"/>
        <v/>
      </c>
      <c r="V664" s="1" t="str">
        <f t="shared" si="190"/>
        <v/>
      </c>
      <c r="W664" s="1" t="str">
        <f t="shared" si="190"/>
        <v/>
      </c>
      <c r="X664" s="1" t="str">
        <f t="shared" si="190"/>
        <v/>
      </c>
      <c r="Y664" s="1" t="str">
        <f t="shared" si="190"/>
        <v/>
      </c>
      <c r="Z664" s="1" t="str">
        <f t="shared" si="190"/>
        <v/>
      </c>
      <c r="AA664" s="1" t="str">
        <f t="shared" si="190"/>
        <v/>
      </c>
      <c r="AB664" s="1" t="str">
        <f t="shared" si="190"/>
        <v/>
      </c>
      <c r="AC664" s="1" t="str">
        <f t="shared" si="190"/>
        <v/>
      </c>
      <c r="AD664" s="1" t="str">
        <f t="shared" si="190"/>
        <v/>
      </c>
      <c r="AE664" s="1" t="str">
        <f t="shared" si="190"/>
        <v/>
      </c>
      <c r="AF664" s="1" t="str">
        <f t="shared" si="190"/>
        <v/>
      </c>
      <c r="AG664" s="1" t="str">
        <f t="shared" si="190"/>
        <v/>
      </c>
      <c r="AH664" s="1" t="str">
        <f t="shared" si="190"/>
        <v/>
      </c>
      <c r="AI664" s="1" t="str">
        <f t="shared" si="190"/>
        <v/>
      </c>
      <c r="AJ664" s="1" t="str">
        <f t="shared" si="190"/>
        <v/>
      </c>
      <c r="AK664" s="1" t="str">
        <f t="shared" si="190"/>
        <v/>
      </c>
      <c r="AL664" s="1" t="str">
        <f t="shared" si="190"/>
        <v/>
      </c>
      <c r="AM664" s="1" t="str">
        <f t="shared" si="190"/>
        <v/>
      </c>
      <c r="AN664" s="1" t="str">
        <f t="shared" si="190"/>
        <v/>
      </c>
      <c r="AO664" s="1" t="str">
        <f t="shared" si="190"/>
        <v/>
      </c>
      <c r="AP664" s="1" t="str">
        <f t="shared" si="190"/>
        <v/>
      </c>
      <c r="AQ664" s="1" t="str">
        <f t="shared" si="190"/>
        <v/>
      </c>
      <c r="AR664" s="1" t="str">
        <f t="shared" si="190"/>
        <v/>
      </c>
      <c r="AS664" s="1" t="str">
        <f t="shared" si="190"/>
        <v/>
      </c>
      <c r="AT664" s="1" t="str">
        <f t="shared" si="190"/>
        <v/>
      </c>
      <c r="AU664" s="1" t="str">
        <f t="shared" si="190"/>
        <v/>
      </c>
      <c r="AV664" s="1" t="str">
        <f t="shared" si="190"/>
        <v/>
      </c>
      <c r="AW664" s="1" t="str">
        <f t="shared" si="190"/>
        <v/>
      </c>
      <c r="AX664" s="1" t="str">
        <f t="shared" si="190"/>
        <v/>
      </c>
      <c r="AY664" s="1" t="str">
        <f t="shared" si="190"/>
        <v/>
      </c>
      <c r="AZ664" s="1" t="str">
        <f t="shared" si="190"/>
        <v/>
      </c>
      <c r="BA664" s="1" t="str">
        <f t="shared" si="190"/>
        <v/>
      </c>
      <c r="BB664" s="1" t="str">
        <f t="shared" si="190"/>
        <v/>
      </c>
      <c r="BC664" s="1" t="str">
        <f t="shared" si="190"/>
        <v/>
      </c>
      <c r="BD664" s="1" t="str">
        <f t="shared" si="190"/>
        <v/>
      </c>
      <c r="BE664" s="1" t="str">
        <f t="shared" si="190"/>
        <v/>
      </c>
      <c r="BF664" s="1" t="str">
        <f t="shared" si="187"/>
        <v/>
      </c>
    </row>
    <row r="665" spans="2:58" x14ac:dyDescent="0.2">
      <c r="B665" s="1">
        <v>17</v>
      </c>
      <c r="C665" s="1" t="str">
        <f t="shared" si="184"/>
        <v/>
      </c>
      <c r="D665" s="1" t="str">
        <f t="shared" si="190"/>
        <v/>
      </c>
      <c r="E665" s="1" t="str">
        <f t="shared" si="190"/>
        <v/>
      </c>
      <c r="F665" s="1" t="str">
        <f t="shared" si="190"/>
        <v/>
      </c>
      <c r="G665" s="1" t="str">
        <f t="shared" si="190"/>
        <v/>
      </c>
      <c r="H665" s="1" t="str">
        <f t="shared" si="190"/>
        <v/>
      </c>
      <c r="I665" s="1" t="str">
        <f t="shared" si="190"/>
        <v/>
      </c>
      <c r="J665" s="1" t="str">
        <f t="shared" si="190"/>
        <v/>
      </c>
      <c r="K665" s="1" t="str">
        <f t="shared" si="190"/>
        <v/>
      </c>
      <c r="L665" s="1" t="str">
        <f t="shared" si="190"/>
        <v/>
      </c>
      <c r="M665" s="1" t="str">
        <f t="shared" si="190"/>
        <v/>
      </c>
      <c r="N665" s="1" t="str">
        <f t="shared" si="190"/>
        <v/>
      </c>
      <c r="O665" s="1" t="str">
        <f t="shared" si="190"/>
        <v/>
      </c>
      <c r="P665" s="1" t="str">
        <f t="shared" si="190"/>
        <v/>
      </c>
      <c r="Q665" s="1" t="str">
        <f t="shared" si="190"/>
        <v/>
      </c>
      <c r="R665" s="1" t="str">
        <f t="shared" si="190"/>
        <v/>
      </c>
      <c r="S665" s="1" t="str">
        <f t="shared" si="190"/>
        <v/>
      </c>
      <c r="T665" s="1" t="str">
        <f t="shared" si="190"/>
        <v/>
      </c>
      <c r="U665" s="1" t="str">
        <f t="shared" si="190"/>
        <v/>
      </c>
      <c r="V665" s="1" t="str">
        <f t="shared" si="190"/>
        <v/>
      </c>
      <c r="W665" s="1" t="str">
        <f t="shared" si="190"/>
        <v/>
      </c>
      <c r="X665" s="1" t="str">
        <f t="shared" si="190"/>
        <v/>
      </c>
      <c r="Y665" s="1" t="str">
        <f t="shared" si="190"/>
        <v/>
      </c>
      <c r="Z665" s="1" t="str">
        <f t="shared" si="190"/>
        <v/>
      </c>
      <c r="AA665" s="1" t="str">
        <f t="shared" si="190"/>
        <v/>
      </c>
      <c r="AB665" s="1" t="str">
        <f t="shared" si="190"/>
        <v/>
      </c>
      <c r="AC665" s="1" t="str">
        <f t="shared" si="190"/>
        <v/>
      </c>
      <c r="AD665" s="1" t="str">
        <f t="shared" si="190"/>
        <v/>
      </c>
      <c r="AE665" s="1" t="str">
        <f t="shared" si="190"/>
        <v/>
      </c>
      <c r="AF665" s="1" t="str">
        <f t="shared" si="190"/>
        <v/>
      </c>
      <c r="AG665" s="1" t="str">
        <f t="shared" si="190"/>
        <v/>
      </c>
      <c r="AH665" s="1" t="str">
        <f t="shared" si="190"/>
        <v/>
      </c>
      <c r="AI665" s="1" t="str">
        <f t="shared" si="190"/>
        <v/>
      </c>
      <c r="AJ665" s="1" t="str">
        <f t="shared" si="190"/>
        <v/>
      </c>
      <c r="AK665" s="1" t="str">
        <f t="shared" si="190"/>
        <v/>
      </c>
      <c r="AL665" s="1" t="str">
        <f t="shared" si="190"/>
        <v/>
      </c>
      <c r="AM665" s="1" t="str">
        <f t="shared" si="190"/>
        <v/>
      </c>
      <c r="AN665" s="1" t="str">
        <f t="shared" si="190"/>
        <v/>
      </c>
      <c r="AO665" s="1" t="str">
        <f t="shared" si="190"/>
        <v/>
      </c>
      <c r="AP665" s="1" t="str">
        <f t="shared" si="190"/>
        <v/>
      </c>
      <c r="AQ665" s="1" t="str">
        <f t="shared" si="190"/>
        <v/>
      </c>
      <c r="AR665" s="1" t="str">
        <f t="shared" si="190"/>
        <v/>
      </c>
      <c r="AS665" s="1" t="str">
        <f t="shared" si="190"/>
        <v/>
      </c>
      <c r="AT665" s="1" t="str">
        <f t="shared" si="190"/>
        <v/>
      </c>
      <c r="AU665" s="1" t="str">
        <f t="shared" si="190"/>
        <v/>
      </c>
      <c r="AV665" s="1" t="str">
        <f t="shared" si="190"/>
        <v/>
      </c>
      <c r="AW665" s="1" t="str">
        <f t="shared" si="190"/>
        <v/>
      </c>
      <c r="AX665" s="1" t="str">
        <f t="shared" si="190"/>
        <v/>
      </c>
      <c r="AY665" s="1" t="str">
        <f t="shared" si="190"/>
        <v/>
      </c>
      <c r="AZ665" s="1" t="str">
        <f t="shared" si="190"/>
        <v/>
      </c>
      <c r="BA665" s="1" t="str">
        <f t="shared" si="190"/>
        <v/>
      </c>
      <c r="BB665" s="1" t="str">
        <f t="shared" si="190"/>
        <v/>
      </c>
      <c r="BC665" s="1" t="str">
        <f t="shared" si="190"/>
        <v/>
      </c>
      <c r="BD665" s="1" t="str">
        <f t="shared" si="190"/>
        <v/>
      </c>
      <c r="BE665" s="1" t="str">
        <f t="shared" si="190"/>
        <v/>
      </c>
      <c r="BF665" s="1" t="str">
        <f t="shared" si="187"/>
        <v/>
      </c>
    </row>
    <row r="666" spans="2:58" x14ac:dyDescent="0.2">
      <c r="B666" s="1">
        <v>18</v>
      </c>
      <c r="C666" s="1" t="str">
        <f t="shared" si="184"/>
        <v/>
      </c>
      <c r="D666" s="1" t="str">
        <f t="shared" si="190"/>
        <v/>
      </c>
      <c r="E666" s="1" t="str">
        <f t="shared" si="190"/>
        <v/>
      </c>
      <c r="F666" s="1" t="str">
        <f t="shared" si="190"/>
        <v/>
      </c>
      <c r="G666" s="1" t="str">
        <f t="shared" si="190"/>
        <v/>
      </c>
      <c r="H666" s="1" t="str">
        <f t="shared" si="190"/>
        <v/>
      </c>
      <c r="I666" s="1" t="str">
        <f t="shared" si="190"/>
        <v/>
      </c>
      <c r="J666" s="1" t="str">
        <f t="shared" si="190"/>
        <v/>
      </c>
      <c r="K666" s="1" t="str">
        <f t="shared" si="190"/>
        <v/>
      </c>
      <c r="L666" s="1" t="str">
        <f t="shared" si="190"/>
        <v/>
      </c>
      <c r="M666" s="1" t="str">
        <f t="shared" si="190"/>
        <v/>
      </c>
      <c r="N666" s="1" t="str">
        <f t="shared" si="190"/>
        <v/>
      </c>
      <c r="O666" s="1" t="str">
        <f t="shared" si="190"/>
        <v/>
      </c>
      <c r="P666" s="1" t="str">
        <f t="shared" si="190"/>
        <v/>
      </c>
      <c r="Q666" s="1" t="str">
        <f t="shared" si="190"/>
        <v/>
      </c>
      <c r="R666" s="1" t="str">
        <f t="shared" si="190"/>
        <v/>
      </c>
      <c r="S666" s="1" t="str">
        <f t="shared" si="190"/>
        <v/>
      </c>
      <c r="T666" s="1" t="str">
        <f t="shared" si="190"/>
        <v/>
      </c>
      <c r="U666" s="1" t="str">
        <f t="shared" si="190"/>
        <v/>
      </c>
      <c r="V666" s="1" t="str">
        <f t="shared" si="190"/>
        <v/>
      </c>
      <c r="W666" s="1" t="str">
        <f t="shared" si="190"/>
        <v/>
      </c>
      <c r="X666" s="1" t="str">
        <f t="shared" si="190"/>
        <v/>
      </c>
      <c r="Y666" s="1" t="str">
        <f t="shared" si="190"/>
        <v/>
      </c>
      <c r="Z666" s="1" t="str">
        <f t="shared" si="190"/>
        <v/>
      </c>
      <c r="AA666" s="1" t="str">
        <f t="shared" si="190"/>
        <v/>
      </c>
      <c r="AB666" s="1" t="str">
        <f t="shared" si="190"/>
        <v/>
      </c>
      <c r="AC666" s="1" t="str">
        <f t="shared" si="190"/>
        <v/>
      </c>
      <c r="AD666" s="1" t="str">
        <f t="shared" si="190"/>
        <v/>
      </c>
      <c r="AE666" s="1" t="str">
        <f t="shared" si="190"/>
        <v/>
      </c>
      <c r="AF666" s="1" t="str">
        <f t="shared" si="190"/>
        <v/>
      </c>
      <c r="AG666" s="1" t="str">
        <f t="shared" si="190"/>
        <v/>
      </c>
      <c r="AH666" s="1" t="str">
        <f t="shared" si="190"/>
        <v/>
      </c>
      <c r="AI666" s="1" t="str">
        <f t="shared" si="190"/>
        <v/>
      </c>
      <c r="AJ666" s="1" t="str">
        <f t="shared" si="190"/>
        <v/>
      </c>
      <c r="AK666" s="1" t="str">
        <f t="shared" si="190"/>
        <v/>
      </c>
      <c r="AL666" s="1" t="str">
        <f t="shared" si="190"/>
        <v/>
      </c>
      <c r="AM666" s="1" t="str">
        <f t="shared" si="190"/>
        <v/>
      </c>
      <c r="AN666" s="1" t="str">
        <f t="shared" si="190"/>
        <v/>
      </c>
      <c r="AO666" s="1" t="str">
        <f t="shared" si="190"/>
        <v/>
      </c>
      <c r="AP666" s="1" t="str">
        <f t="shared" si="190"/>
        <v/>
      </c>
      <c r="AQ666" s="1" t="str">
        <f t="shared" si="190"/>
        <v/>
      </c>
      <c r="AR666" s="1" t="str">
        <f t="shared" si="190"/>
        <v/>
      </c>
      <c r="AS666" s="1" t="str">
        <f t="shared" si="190"/>
        <v/>
      </c>
      <c r="AT666" s="1" t="str">
        <f t="shared" si="190"/>
        <v/>
      </c>
      <c r="AU666" s="1" t="str">
        <f t="shared" si="190"/>
        <v/>
      </c>
      <c r="AV666" s="1" t="str">
        <f t="shared" si="190"/>
        <v/>
      </c>
      <c r="AW666" s="1" t="str">
        <f t="shared" si="190"/>
        <v/>
      </c>
      <c r="AX666" s="1" t="str">
        <f t="shared" si="190"/>
        <v/>
      </c>
      <c r="AY666" s="1" t="str">
        <f t="shared" si="190"/>
        <v/>
      </c>
      <c r="AZ666" s="1" t="str">
        <f t="shared" si="190"/>
        <v/>
      </c>
      <c r="BA666" s="1" t="str">
        <f t="shared" si="190"/>
        <v/>
      </c>
      <c r="BB666" s="1" t="str">
        <f t="shared" si="190"/>
        <v/>
      </c>
      <c r="BC666" s="1" t="str">
        <f t="shared" si="190"/>
        <v/>
      </c>
      <c r="BD666" s="1" t="str">
        <f t="shared" si="190"/>
        <v/>
      </c>
      <c r="BE666" s="1" t="str">
        <f t="shared" si="190"/>
        <v/>
      </c>
      <c r="BF666" s="1" t="str">
        <f t="shared" si="187"/>
        <v/>
      </c>
    </row>
    <row r="667" spans="2:58" x14ac:dyDescent="0.2">
      <c r="B667" s="1">
        <v>19</v>
      </c>
      <c r="C667" s="1" t="str">
        <f t="shared" si="184"/>
        <v/>
      </c>
      <c r="D667" s="1" t="str">
        <f t="shared" si="190"/>
        <v/>
      </c>
      <c r="E667" s="1" t="str">
        <f t="shared" si="190"/>
        <v/>
      </c>
      <c r="F667" s="1" t="str">
        <f t="shared" si="190"/>
        <v/>
      </c>
      <c r="G667" s="1" t="str">
        <f t="shared" si="190"/>
        <v/>
      </c>
      <c r="H667" s="1" t="str">
        <f t="shared" si="190"/>
        <v/>
      </c>
      <c r="I667" s="1" t="str">
        <f t="shared" si="190"/>
        <v/>
      </c>
      <c r="J667" s="1" t="str">
        <f t="shared" si="190"/>
        <v/>
      </c>
      <c r="K667" s="1" t="str">
        <f t="shared" si="190"/>
        <v/>
      </c>
      <c r="L667" s="1" t="str">
        <f t="shared" si="190"/>
        <v/>
      </c>
      <c r="M667" s="1" t="str">
        <f t="shared" si="190"/>
        <v/>
      </c>
      <c r="N667" s="1" t="str">
        <f t="shared" si="190"/>
        <v/>
      </c>
      <c r="O667" s="1" t="str">
        <f t="shared" si="190"/>
        <v/>
      </c>
      <c r="P667" s="1" t="str">
        <f t="shared" si="190"/>
        <v/>
      </c>
      <c r="Q667" s="1" t="str">
        <f t="shared" si="190"/>
        <v/>
      </c>
      <c r="R667" s="1" t="str">
        <f t="shared" si="190"/>
        <v/>
      </c>
      <c r="S667" s="1" t="str">
        <f t="shared" si="190"/>
        <v/>
      </c>
      <c r="T667" s="1" t="str">
        <f t="shared" si="190"/>
        <v/>
      </c>
      <c r="U667" s="1" t="str">
        <f t="shared" si="190"/>
        <v/>
      </c>
      <c r="V667" s="1" t="str">
        <f t="shared" si="190"/>
        <v/>
      </c>
      <c r="W667" s="1" t="str">
        <f t="shared" si="190"/>
        <v/>
      </c>
      <c r="X667" s="1" t="str">
        <f t="shared" si="190"/>
        <v/>
      </c>
      <c r="Y667" s="1" t="str">
        <f t="shared" si="190"/>
        <v/>
      </c>
      <c r="Z667" s="1" t="str">
        <f t="shared" si="190"/>
        <v/>
      </c>
      <c r="AA667" s="1" t="str">
        <f t="shared" si="190"/>
        <v/>
      </c>
      <c r="AB667" s="1" t="str">
        <f t="shared" si="190"/>
        <v/>
      </c>
      <c r="AC667" s="1" t="str">
        <f t="shared" si="190"/>
        <v/>
      </c>
      <c r="AD667" s="1" t="str">
        <f t="shared" si="190"/>
        <v/>
      </c>
      <c r="AE667" s="1" t="str">
        <f t="shared" si="190"/>
        <v/>
      </c>
      <c r="AF667" s="1" t="str">
        <f t="shared" si="190"/>
        <v/>
      </c>
      <c r="AG667" s="1" t="str">
        <f t="shared" si="190"/>
        <v/>
      </c>
      <c r="AH667" s="1" t="str">
        <f t="shared" si="190"/>
        <v/>
      </c>
      <c r="AI667" s="1" t="str">
        <f t="shared" si="190"/>
        <v/>
      </c>
      <c r="AJ667" s="1" t="str">
        <f t="shared" si="190"/>
        <v/>
      </c>
      <c r="AK667" s="1" t="str">
        <f t="shared" si="190"/>
        <v/>
      </c>
      <c r="AL667" s="1" t="str">
        <f t="shared" si="190"/>
        <v/>
      </c>
      <c r="AM667" s="1" t="str">
        <f t="shared" si="190"/>
        <v/>
      </c>
      <c r="AN667" s="1" t="str">
        <f t="shared" si="190"/>
        <v/>
      </c>
      <c r="AO667" s="1" t="str">
        <f t="shared" si="190"/>
        <v/>
      </c>
      <c r="AP667" s="1" t="str">
        <f t="shared" si="190"/>
        <v/>
      </c>
      <c r="AQ667" s="1" t="str">
        <f t="shared" si="190"/>
        <v/>
      </c>
      <c r="AR667" s="1" t="str">
        <f t="shared" si="190"/>
        <v/>
      </c>
      <c r="AS667" s="1" t="str">
        <f t="shared" si="190"/>
        <v/>
      </c>
      <c r="AT667" s="1" t="str">
        <f t="shared" si="190"/>
        <v/>
      </c>
      <c r="AU667" s="1" t="str">
        <f t="shared" si="190"/>
        <v/>
      </c>
      <c r="AV667" s="1" t="str">
        <f t="shared" si="190"/>
        <v/>
      </c>
      <c r="AW667" s="1" t="str">
        <f t="shared" si="190"/>
        <v/>
      </c>
      <c r="AX667" s="1" t="str">
        <f t="shared" si="190"/>
        <v/>
      </c>
      <c r="AY667" s="1" t="str">
        <f t="shared" si="190"/>
        <v/>
      </c>
      <c r="AZ667" s="1" t="str">
        <f t="shared" si="190"/>
        <v/>
      </c>
      <c r="BA667" s="1" t="str">
        <f t="shared" si="190"/>
        <v/>
      </c>
      <c r="BB667" s="1" t="str">
        <f t="shared" si="190"/>
        <v/>
      </c>
      <c r="BC667" s="1" t="str">
        <f t="shared" si="190"/>
        <v/>
      </c>
      <c r="BD667" s="1" t="str">
        <f t="shared" si="190"/>
        <v/>
      </c>
      <c r="BE667" s="1" t="str">
        <f t="shared" si="190"/>
        <v/>
      </c>
      <c r="BF667" s="1" t="str">
        <f t="shared" si="187"/>
        <v/>
      </c>
    </row>
    <row r="668" spans="2:58" x14ac:dyDescent="0.2">
      <c r="B668" s="1">
        <v>20</v>
      </c>
      <c r="C668" s="1" t="str">
        <f t="shared" si="184"/>
        <v/>
      </c>
      <c r="D668" s="1" t="str">
        <f t="shared" si="190"/>
        <v/>
      </c>
      <c r="E668" s="1" t="str">
        <f t="shared" si="190"/>
        <v/>
      </c>
      <c r="F668" s="1" t="str">
        <f t="shared" si="190"/>
        <v/>
      </c>
      <c r="G668" s="1" t="str">
        <f t="shared" si="190"/>
        <v/>
      </c>
      <c r="H668" s="1" t="str">
        <f t="shared" si="190"/>
        <v/>
      </c>
      <c r="I668" s="1" t="str">
        <f t="shared" si="190"/>
        <v/>
      </c>
      <c r="J668" s="1" t="str">
        <f t="shared" si="190"/>
        <v/>
      </c>
      <c r="K668" s="1" t="str">
        <f t="shared" si="190"/>
        <v/>
      </c>
      <c r="L668" s="1" t="str">
        <f t="shared" si="190"/>
        <v/>
      </c>
      <c r="M668" s="1" t="str">
        <f t="shared" ref="D668:BE672" si="191">+IF(M634="חלש",1,+IF(M634="חזק",2,+IF(M634="חזק מאוד",3,"")))</f>
        <v/>
      </c>
      <c r="N668" s="1" t="str">
        <f t="shared" si="191"/>
        <v/>
      </c>
      <c r="O668" s="1" t="str">
        <f t="shared" si="191"/>
        <v/>
      </c>
      <c r="P668" s="1" t="str">
        <f t="shared" si="191"/>
        <v/>
      </c>
      <c r="Q668" s="1" t="str">
        <f t="shared" si="191"/>
        <v/>
      </c>
      <c r="R668" s="1" t="str">
        <f t="shared" si="191"/>
        <v/>
      </c>
      <c r="S668" s="1" t="str">
        <f t="shared" si="191"/>
        <v/>
      </c>
      <c r="T668" s="1" t="str">
        <f t="shared" si="191"/>
        <v/>
      </c>
      <c r="U668" s="1" t="str">
        <f t="shared" si="191"/>
        <v/>
      </c>
      <c r="V668" s="1" t="str">
        <f t="shared" si="191"/>
        <v/>
      </c>
      <c r="W668" s="1" t="str">
        <f t="shared" si="191"/>
        <v/>
      </c>
      <c r="X668" s="1" t="str">
        <f t="shared" si="191"/>
        <v/>
      </c>
      <c r="Y668" s="1" t="str">
        <f t="shared" si="191"/>
        <v/>
      </c>
      <c r="Z668" s="1" t="str">
        <f t="shared" si="191"/>
        <v/>
      </c>
      <c r="AA668" s="1" t="str">
        <f t="shared" si="191"/>
        <v/>
      </c>
      <c r="AB668" s="1" t="str">
        <f t="shared" si="191"/>
        <v/>
      </c>
      <c r="AC668" s="1" t="str">
        <f t="shared" si="191"/>
        <v/>
      </c>
      <c r="AD668" s="1" t="str">
        <f t="shared" si="191"/>
        <v/>
      </c>
      <c r="AE668" s="1" t="str">
        <f t="shared" si="191"/>
        <v/>
      </c>
      <c r="AF668" s="1" t="str">
        <f t="shared" si="191"/>
        <v/>
      </c>
      <c r="AG668" s="1" t="str">
        <f t="shared" si="191"/>
        <v/>
      </c>
      <c r="AH668" s="1" t="str">
        <f t="shared" si="191"/>
        <v/>
      </c>
      <c r="AI668" s="1" t="str">
        <f t="shared" si="191"/>
        <v/>
      </c>
      <c r="AJ668" s="1" t="str">
        <f t="shared" si="191"/>
        <v/>
      </c>
      <c r="AK668" s="1" t="str">
        <f t="shared" si="191"/>
        <v/>
      </c>
      <c r="AL668" s="1" t="str">
        <f t="shared" si="191"/>
        <v/>
      </c>
      <c r="AM668" s="1" t="str">
        <f t="shared" si="191"/>
        <v/>
      </c>
      <c r="AN668" s="1" t="str">
        <f t="shared" si="191"/>
        <v/>
      </c>
      <c r="AO668" s="1" t="str">
        <f t="shared" si="191"/>
        <v/>
      </c>
      <c r="AP668" s="1" t="str">
        <f t="shared" si="191"/>
        <v/>
      </c>
      <c r="AQ668" s="1" t="str">
        <f t="shared" si="191"/>
        <v/>
      </c>
      <c r="AR668" s="1" t="str">
        <f t="shared" si="191"/>
        <v/>
      </c>
      <c r="AS668" s="1" t="str">
        <f t="shared" si="191"/>
        <v/>
      </c>
      <c r="AT668" s="1" t="str">
        <f t="shared" si="191"/>
        <v/>
      </c>
      <c r="AU668" s="1" t="str">
        <f t="shared" si="191"/>
        <v/>
      </c>
      <c r="AV668" s="1" t="str">
        <f t="shared" si="191"/>
        <v/>
      </c>
      <c r="AW668" s="1" t="str">
        <f t="shared" si="191"/>
        <v/>
      </c>
      <c r="AX668" s="1" t="str">
        <f t="shared" si="191"/>
        <v/>
      </c>
      <c r="AY668" s="1" t="str">
        <f t="shared" si="191"/>
        <v/>
      </c>
      <c r="AZ668" s="1" t="str">
        <f t="shared" si="191"/>
        <v/>
      </c>
      <c r="BA668" s="1" t="str">
        <f t="shared" si="191"/>
        <v/>
      </c>
      <c r="BB668" s="1" t="str">
        <f t="shared" si="191"/>
        <v/>
      </c>
      <c r="BC668" s="1" t="str">
        <f t="shared" si="191"/>
        <v/>
      </c>
      <c r="BD668" s="1" t="str">
        <f t="shared" si="191"/>
        <v/>
      </c>
      <c r="BE668" s="1" t="str">
        <f t="shared" si="191"/>
        <v/>
      </c>
      <c r="BF668" s="1" t="str">
        <f t="shared" si="187"/>
        <v/>
      </c>
    </row>
    <row r="669" spans="2:58" x14ac:dyDescent="0.2">
      <c r="B669" s="1">
        <v>21</v>
      </c>
      <c r="C669" s="1" t="str">
        <f t="shared" si="184"/>
        <v/>
      </c>
      <c r="D669" s="1" t="str">
        <f t="shared" si="191"/>
        <v/>
      </c>
      <c r="E669" s="1" t="str">
        <f t="shared" si="191"/>
        <v/>
      </c>
      <c r="F669" s="1" t="str">
        <f t="shared" si="191"/>
        <v/>
      </c>
      <c r="G669" s="1" t="str">
        <f t="shared" si="191"/>
        <v/>
      </c>
      <c r="H669" s="1" t="str">
        <f t="shared" si="191"/>
        <v/>
      </c>
      <c r="I669" s="1" t="str">
        <f t="shared" si="191"/>
        <v/>
      </c>
      <c r="J669" s="1" t="str">
        <f t="shared" si="191"/>
        <v/>
      </c>
      <c r="K669" s="1" t="str">
        <f t="shared" si="191"/>
        <v/>
      </c>
      <c r="L669" s="1" t="str">
        <f t="shared" si="191"/>
        <v/>
      </c>
      <c r="M669" s="1" t="str">
        <f t="shared" si="191"/>
        <v/>
      </c>
      <c r="N669" s="1" t="str">
        <f t="shared" si="191"/>
        <v/>
      </c>
      <c r="O669" s="1" t="str">
        <f t="shared" si="191"/>
        <v/>
      </c>
      <c r="P669" s="1" t="str">
        <f t="shared" si="191"/>
        <v/>
      </c>
      <c r="Q669" s="1" t="str">
        <f t="shared" si="191"/>
        <v/>
      </c>
      <c r="R669" s="1" t="str">
        <f t="shared" si="191"/>
        <v/>
      </c>
      <c r="S669" s="1" t="str">
        <f t="shared" si="191"/>
        <v/>
      </c>
      <c r="T669" s="1" t="str">
        <f t="shared" si="191"/>
        <v/>
      </c>
      <c r="U669" s="1" t="str">
        <f t="shared" si="191"/>
        <v/>
      </c>
      <c r="V669" s="1" t="str">
        <f t="shared" si="191"/>
        <v/>
      </c>
      <c r="W669" s="1" t="str">
        <f t="shared" si="191"/>
        <v/>
      </c>
      <c r="X669" s="1" t="str">
        <f t="shared" si="191"/>
        <v/>
      </c>
      <c r="Y669" s="1" t="str">
        <f t="shared" si="191"/>
        <v/>
      </c>
      <c r="Z669" s="1" t="str">
        <f t="shared" si="191"/>
        <v/>
      </c>
      <c r="AA669" s="1" t="str">
        <f t="shared" si="191"/>
        <v/>
      </c>
      <c r="AB669" s="1" t="str">
        <f t="shared" si="191"/>
        <v/>
      </c>
      <c r="AC669" s="1" t="str">
        <f t="shared" si="191"/>
        <v/>
      </c>
      <c r="AD669" s="1" t="str">
        <f t="shared" si="191"/>
        <v/>
      </c>
      <c r="AE669" s="1" t="str">
        <f t="shared" si="191"/>
        <v/>
      </c>
      <c r="AF669" s="1" t="str">
        <f t="shared" si="191"/>
        <v/>
      </c>
      <c r="AG669" s="1" t="str">
        <f t="shared" si="191"/>
        <v/>
      </c>
      <c r="AH669" s="1" t="str">
        <f t="shared" si="191"/>
        <v/>
      </c>
      <c r="AI669" s="1" t="str">
        <f t="shared" si="191"/>
        <v/>
      </c>
      <c r="AJ669" s="1" t="str">
        <f t="shared" si="191"/>
        <v/>
      </c>
      <c r="AK669" s="1" t="str">
        <f t="shared" si="191"/>
        <v/>
      </c>
      <c r="AL669" s="1" t="str">
        <f t="shared" si="191"/>
        <v/>
      </c>
      <c r="AM669" s="1" t="str">
        <f t="shared" si="191"/>
        <v/>
      </c>
      <c r="AN669" s="1" t="str">
        <f t="shared" si="191"/>
        <v/>
      </c>
      <c r="AO669" s="1" t="str">
        <f t="shared" si="191"/>
        <v/>
      </c>
      <c r="AP669" s="1" t="str">
        <f t="shared" si="191"/>
        <v/>
      </c>
      <c r="AQ669" s="1" t="str">
        <f t="shared" si="191"/>
        <v/>
      </c>
      <c r="AR669" s="1" t="str">
        <f t="shared" si="191"/>
        <v/>
      </c>
      <c r="AS669" s="1" t="str">
        <f t="shared" si="191"/>
        <v/>
      </c>
      <c r="AT669" s="1" t="str">
        <f t="shared" si="191"/>
        <v/>
      </c>
      <c r="AU669" s="1" t="str">
        <f t="shared" si="191"/>
        <v/>
      </c>
      <c r="AV669" s="1" t="str">
        <f t="shared" si="191"/>
        <v/>
      </c>
      <c r="AW669" s="1" t="str">
        <f t="shared" si="191"/>
        <v/>
      </c>
      <c r="AX669" s="1" t="str">
        <f t="shared" si="191"/>
        <v/>
      </c>
      <c r="AY669" s="1" t="str">
        <f t="shared" si="191"/>
        <v/>
      </c>
      <c r="AZ669" s="1" t="str">
        <f t="shared" si="191"/>
        <v/>
      </c>
      <c r="BA669" s="1" t="str">
        <f t="shared" si="191"/>
        <v/>
      </c>
      <c r="BB669" s="1" t="str">
        <f t="shared" si="191"/>
        <v/>
      </c>
      <c r="BC669" s="1" t="str">
        <f t="shared" si="191"/>
        <v/>
      </c>
      <c r="BD669" s="1" t="str">
        <f t="shared" si="191"/>
        <v/>
      </c>
      <c r="BE669" s="1" t="str">
        <f t="shared" si="191"/>
        <v/>
      </c>
      <c r="BF669" s="1" t="str">
        <f t="shared" si="187"/>
        <v/>
      </c>
    </row>
    <row r="670" spans="2:58" x14ac:dyDescent="0.2">
      <c r="B670" s="1">
        <v>22</v>
      </c>
      <c r="C670" s="1" t="str">
        <f t="shared" si="184"/>
        <v/>
      </c>
      <c r="D670" s="1" t="str">
        <f t="shared" si="191"/>
        <v/>
      </c>
      <c r="E670" s="1" t="str">
        <f t="shared" si="191"/>
        <v/>
      </c>
      <c r="F670" s="1" t="str">
        <f t="shared" si="191"/>
        <v/>
      </c>
      <c r="G670" s="1" t="str">
        <f t="shared" si="191"/>
        <v/>
      </c>
      <c r="H670" s="1" t="str">
        <f t="shared" si="191"/>
        <v/>
      </c>
      <c r="I670" s="1" t="str">
        <f t="shared" si="191"/>
        <v/>
      </c>
      <c r="J670" s="1" t="str">
        <f t="shared" si="191"/>
        <v/>
      </c>
      <c r="K670" s="1" t="str">
        <f t="shared" si="191"/>
        <v/>
      </c>
      <c r="L670" s="1" t="str">
        <f t="shared" si="191"/>
        <v/>
      </c>
      <c r="M670" s="1" t="str">
        <f t="shared" si="191"/>
        <v/>
      </c>
      <c r="N670" s="1" t="str">
        <f t="shared" si="191"/>
        <v/>
      </c>
      <c r="O670" s="1" t="str">
        <f t="shared" si="191"/>
        <v/>
      </c>
      <c r="P670" s="1" t="str">
        <f t="shared" si="191"/>
        <v/>
      </c>
      <c r="Q670" s="1" t="str">
        <f t="shared" si="191"/>
        <v/>
      </c>
      <c r="R670" s="1" t="str">
        <f t="shared" si="191"/>
        <v/>
      </c>
      <c r="S670" s="1" t="str">
        <f t="shared" si="191"/>
        <v/>
      </c>
      <c r="T670" s="1" t="str">
        <f t="shared" si="191"/>
        <v/>
      </c>
      <c r="U670" s="1" t="str">
        <f t="shared" si="191"/>
        <v/>
      </c>
      <c r="V670" s="1" t="str">
        <f t="shared" si="191"/>
        <v/>
      </c>
      <c r="W670" s="1" t="str">
        <f t="shared" si="191"/>
        <v/>
      </c>
      <c r="X670" s="1" t="str">
        <f t="shared" si="191"/>
        <v/>
      </c>
      <c r="Y670" s="1" t="str">
        <f t="shared" si="191"/>
        <v/>
      </c>
      <c r="Z670" s="1" t="str">
        <f t="shared" si="191"/>
        <v/>
      </c>
      <c r="AA670" s="1" t="str">
        <f t="shared" si="191"/>
        <v/>
      </c>
      <c r="AB670" s="1" t="str">
        <f t="shared" si="191"/>
        <v/>
      </c>
      <c r="AC670" s="1" t="str">
        <f t="shared" si="191"/>
        <v/>
      </c>
      <c r="AD670" s="1" t="str">
        <f t="shared" si="191"/>
        <v/>
      </c>
      <c r="AE670" s="1" t="str">
        <f t="shared" si="191"/>
        <v/>
      </c>
      <c r="AF670" s="1" t="str">
        <f t="shared" si="191"/>
        <v/>
      </c>
      <c r="AG670" s="1" t="str">
        <f t="shared" si="191"/>
        <v/>
      </c>
      <c r="AH670" s="1" t="str">
        <f t="shared" si="191"/>
        <v/>
      </c>
      <c r="AI670" s="1" t="str">
        <f t="shared" si="191"/>
        <v/>
      </c>
      <c r="AJ670" s="1" t="str">
        <f t="shared" si="191"/>
        <v/>
      </c>
      <c r="AK670" s="1" t="str">
        <f t="shared" si="191"/>
        <v/>
      </c>
      <c r="AL670" s="1" t="str">
        <f t="shared" si="191"/>
        <v/>
      </c>
      <c r="AM670" s="1" t="str">
        <f t="shared" si="191"/>
        <v/>
      </c>
      <c r="AN670" s="1" t="str">
        <f t="shared" si="191"/>
        <v/>
      </c>
      <c r="AO670" s="1" t="str">
        <f t="shared" si="191"/>
        <v/>
      </c>
      <c r="AP670" s="1" t="str">
        <f t="shared" si="191"/>
        <v/>
      </c>
      <c r="AQ670" s="1" t="str">
        <f t="shared" si="191"/>
        <v/>
      </c>
      <c r="AR670" s="1" t="str">
        <f t="shared" si="191"/>
        <v/>
      </c>
      <c r="AS670" s="1" t="str">
        <f t="shared" si="191"/>
        <v/>
      </c>
      <c r="AT670" s="1" t="str">
        <f t="shared" si="191"/>
        <v/>
      </c>
      <c r="AU670" s="1" t="str">
        <f t="shared" si="191"/>
        <v/>
      </c>
      <c r="AV670" s="1" t="str">
        <f t="shared" si="191"/>
        <v/>
      </c>
      <c r="AW670" s="1" t="str">
        <f t="shared" si="191"/>
        <v/>
      </c>
      <c r="AX670" s="1" t="str">
        <f t="shared" si="191"/>
        <v/>
      </c>
      <c r="AY670" s="1" t="str">
        <f t="shared" si="191"/>
        <v/>
      </c>
      <c r="AZ670" s="1" t="str">
        <f t="shared" si="191"/>
        <v/>
      </c>
      <c r="BA670" s="1" t="str">
        <f t="shared" si="191"/>
        <v/>
      </c>
      <c r="BB670" s="1" t="str">
        <f t="shared" si="191"/>
        <v/>
      </c>
      <c r="BC670" s="1" t="str">
        <f t="shared" si="191"/>
        <v/>
      </c>
      <c r="BD670" s="1" t="str">
        <f t="shared" si="191"/>
        <v/>
      </c>
      <c r="BE670" s="1" t="str">
        <f t="shared" si="191"/>
        <v/>
      </c>
      <c r="BF670" s="1" t="str">
        <f t="shared" si="187"/>
        <v/>
      </c>
    </row>
    <row r="671" spans="2:58" x14ac:dyDescent="0.2">
      <c r="B671" s="1">
        <v>23</v>
      </c>
      <c r="C671" s="1" t="str">
        <f t="shared" si="184"/>
        <v/>
      </c>
      <c r="D671" s="1" t="str">
        <f t="shared" si="191"/>
        <v/>
      </c>
      <c r="E671" s="1" t="str">
        <f t="shared" si="191"/>
        <v/>
      </c>
      <c r="F671" s="1" t="str">
        <f t="shared" si="191"/>
        <v/>
      </c>
      <c r="G671" s="1" t="str">
        <f t="shared" si="191"/>
        <v/>
      </c>
      <c r="H671" s="1" t="str">
        <f t="shared" si="191"/>
        <v/>
      </c>
      <c r="I671" s="1" t="str">
        <f t="shared" si="191"/>
        <v/>
      </c>
      <c r="J671" s="1" t="str">
        <f t="shared" si="191"/>
        <v/>
      </c>
      <c r="K671" s="1" t="str">
        <f t="shared" si="191"/>
        <v/>
      </c>
      <c r="L671" s="1" t="str">
        <f t="shared" si="191"/>
        <v/>
      </c>
      <c r="M671" s="1" t="str">
        <f t="shared" si="191"/>
        <v/>
      </c>
      <c r="N671" s="1" t="str">
        <f t="shared" si="191"/>
        <v/>
      </c>
      <c r="O671" s="1" t="str">
        <f t="shared" si="191"/>
        <v/>
      </c>
      <c r="P671" s="1" t="str">
        <f t="shared" si="191"/>
        <v/>
      </c>
      <c r="Q671" s="1" t="str">
        <f t="shared" si="191"/>
        <v/>
      </c>
      <c r="R671" s="1" t="str">
        <f t="shared" si="191"/>
        <v/>
      </c>
      <c r="S671" s="1" t="str">
        <f t="shared" si="191"/>
        <v/>
      </c>
      <c r="T671" s="1" t="str">
        <f t="shared" si="191"/>
        <v/>
      </c>
      <c r="U671" s="1" t="str">
        <f t="shared" si="191"/>
        <v/>
      </c>
      <c r="V671" s="1" t="str">
        <f t="shared" si="191"/>
        <v/>
      </c>
      <c r="W671" s="1" t="str">
        <f t="shared" si="191"/>
        <v/>
      </c>
      <c r="X671" s="1" t="str">
        <f t="shared" si="191"/>
        <v/>
      </c>
      <c r="Y671" s="1" t="str">
        <f t="shared" si="191"/>
        <v/>
      </c>
      <c r="Z671" s="1" t="str">
        <f t="shared" si="191"/>
        <v/>
      </c>
      <c r="AA671" s="1" t="str">
        <f t="shared" si="191"/>
        <v/>
      </c>
      <c r="AB671" s="1" t="str">
        <f t="shared" si="191"/>
        <v/>
      </c>
      <c r="AC671" s="1" t="str">
        <f t="shared" si="191"/>
        <v/>
      </c>
      <c r="AD671" s="1" t="str">
        <f t="shared" si="191"/>
        <v/>
      </c>
      <c r="AE671" s="1" t="str">
        <f t="shared" si="191"/>
        <v/>
      </c>
      <c r="AF671" s="1" t="str">
        <f t="shared" si="191"/>
        <v/>
      </c>
      <c r="AG671" s="1" t="str">
        <f t="shared" si="191"/>
        <v/>
      </c>
      <c r="AH671" s="1" t="str">
        <f t="shared" si="191"/>
        <v/>
      </c>
      <c r="AI671" s="1" t="str">
        <f t="shared" si="191"/>
        <v/>
      </c>
      <c r="AJ671" s="1" t="str">
        <f t="shared" si="191"/>
        <v/>
      </c>
      <c r="AK671" s="1" t="str">
        <f t="shared" si="191"/>
        <v/>
      </c>
      <c r="AL671" s="1" t="str">
        <f t="shared" si="191"/>
        <v/>
      </c>
      <c r="AM671" s="1" t="str">
        <f t="shared" si="191"/>
        <v/>
      </c>
      <c r="AN671" s="1" t="str">
        <f t="shared" si="191"/>
        <v/>
      </c>
      <c r="AO671" s="1" t="str">
        <f t="shared" si="191"/>
        <v/>
      </c>
      <c r="AP671" s="1" t="str">
        <f t="shared" si="191"/>
        <v/>
      </c>
      <c r="AQ671" s="1" t="str">
        <f t="shared" si="191"/>
        <v/>
      </c>
      <c r="AR671" s="1" t="str">
        <f t="shared" si="191"/>
        <v/>
      </c>
      <c r="AS671" s="1" t="str">
        <f t="shared" si="191"/>
        <v/>
      </c>
      <c r="AT671" s="1" t="str">
        <f t="shared" si="191"/>
        <v/>
      </c>
      <c r="AU671" s="1" t="str">
        <f t="shared" si="191"/>
        <v/>
      </c>
      <c r="AV671" s="1" t="str">
        <f t="shared" si="191"/>
        <v/>
      </c>
      <c r="AW671" s="1" t="str">
        <f t="shared" si="191"/>
        <v/>
      </c>
      <c r="AX671" s="1" t="str">
        <f t="shared" si="191"/>
        <v/>
      </c>
      <c r="AY671" s="1" t="str">
        <f t="shared" si="191"/>
        <v/>
      </c>
      <c r="AZ671" s="1" t="str">
        <f t="shared" si="191"/>
        <v/>
      </c>
      <c r="BA671" s="1" t="str">
        <f t="shared" si="191"/>
        <v/>
      </c>
      <c r="BB671" s="1" t="str">
        <f t="shared" si="191"/>
        <v/>
      </c>
      <c r="BC671" s="1" t="str">
        <f t="shared" si="191"/>
        <v/>
      </c>
      <c r="BD671" s="1" t="str">
        <f t="shared" si="191"/>
        <v/>
      </c>
      <c r="BE671" s="1" t="str">
        <f t="shared" si="191"/>
        <v/>
      </c>
      <c r="BF671" s="1" t="str">
        <f t="shared" si="187"/>
        <v/>
      </c>
    </row>
    <row r="672" spans="2:58" x14ac:dyDescent="0.2">
      <c r="B672" s="1">
        <v>24</v>
      </c>
      <c r="C672" s="1" t="str">
        <f t="shared" si="184"/>
        <v/>
      </c>
      <c r="D672" s="1" t="str">
        <f t="shared" si="191"/>
        <v/>
      </c>
      <c r="E672" s="1" t="str">
        <f t="shared" si="191"/>
        <v/>
      </c>
      <c r="F672" s="1" t="str">
        <f t="shared" si="191"/>
        <v/>
      </c>
      <c r="G672" s="1" t="str">
        <f t="shared" si="191"/>
        <v/>
      </c>
      <c r="H672" s="1" t="str">
        <f t="shared" si="191"/>
        <v/>
      </c>
      <c r="I672" s="1" t="str">
        <f t="shared" si="191"/>
        <v/>
      </c>
      <c r="J672" s="1" t="str">
        <f t="shared" si="191"/>
        <v/>
      </c>
      <c r="K672" s="1" t="str">
        <f t="shared" si="191"/>
        <v/>
      </c>
      <c r="L672" s="1" t="str">
        <f t="shared" si="191"/>
        <v/>
      </c>
      <c r="M672" s="1" t="str">
        <f t="shared" si="191"/>
        <v/>
      </c>
      <c r="N672" s="1" t="str">
        <f t="shared" si="191"/>
        <v/>
      </c>
      <c r="O672" s="1" t="str">
        <f t="shared" si="191"/>
        <v/>
      </c>
      <c r="P672" s="1" t="str">
        <f t="shared" si="191"/>
        <v/>
      </c>
      <c r="Q672" s="1" t="str">
        <f t="shared" si="191"/>
        <v/>
      </c>
      <c r="R672" s="1" t="str">
        <f t="shared" si="191"/>
        <v/>
      </c>
      <c r="S672" s="1" t="str">
        <f t="shared" si="191"/>
        <v/>
      </c>
      <c r="T672" s="1" t="str">
        <f t="shared" si="191"/>
        <v/>
      </c>
      <c r="U672" s="1" t="str">
        <f t="shared" si="191"/>
        <v/>
      </c>
      <c r="V672" s="1" t="str">
        <f t="shared" si="191"/>
        <v/>
      </c>
      <c r="W672" s="1" t="str">
        <f t="shared" si="191"/>
        <v/>
      </c>
      <c r="X672" s="1" t="str">
        <f t="shared" si="191"/>
        <v/>
      </c>
      <c r="Y672" s="1" t="str">
        <f t="shared" si="191"/>
        <v/>
      </c>
      <c r="Z672" s="1" t="str">
        <f t="shared" si="191"/>
        <v/>
      </c>
      <c r="AA672" s="1" t="str">
        <f t="shared" si="191"/>
        <v/>
      </c>
      <c r="AB672" s="1" t="str">
        <f t="shared" si="191"/>
        <v/>
      </c>
      <c r="AC672" s="1" t="str">
        <f t="shared" si="191"/>
        <v/>
      </c>
      <c r="AD672" s="1" t="str">
        <f t="shared" si="191"/>
        <v/>
      </c>
      <c r="AE672" s="1" t="str">
        <f t="shared" si="191"/>
        <v/>
      </c>
      <c r="AF672" s="1" t="str">
        <f t="shared" si="191"/>
        <v/>
      </c>
      <c r="AG672" s="1" t="str">
        <f t="shared" si="191"/>
        <v/>
      </c>
      <c r="AH672" s="1" t="str">
        <f t="shared" si="191"/>
        <v/>
      </c>
      <c r="AI672" s="1" t="str">
        <f t="shared" si="191"/>
        <v/>
      </c>
      <c r="AJ672" s="1" t="str">
        <f t="shared" si="191"/>
        <v/>
      </c>
      <c r="AK672" s="1" t="str">
        <f t="shared" si="191"/>
        <v/>
      </c>
      <c r="AL672" s="1" t="str">
        <f t="shared" si="191"/>
        <v/>
      </c>
      <c r="AM672" s="1" t="str">
        <f t="shared" si="191"/>
        <v/>
      </c>
      <c r="AN672" s="1" t="str">
        <f t="shared" si="191"/>
        <v/>
      </c>
      <c r="AO672" s="1" t="str">
        <f t="shared" si="191"/>
        <v/>
      </c>
      <c r="AP672" s="1" t="str">
        <f t="shared" si="191"/>
        <v/>
      </c>
      <c r="AQ672" s="1" t="str">
        <f t="shared" si="191"/>
        <v/>
      </c>
      <c r="AR672" s="1" t="str">
        <f t="shared" si="191"/>
        <v/>
      </c>
      <c r="AS672" s="1" t="str">
        <f t="shared" si="191"/>
        <v/>
      </c>
      <c r="AT672" s="1" t="str">
        <f t="shared" si="191"/>
        <v/>
      </c>
      <c r="AU672" s="1" t="str">
        <f t="shared" si="191"/>
        <v/>
      </c>
      <c r="AV672" s="1" t="str">
        <f t="shared" si="191"/>
        <v/>
      </c>
      <c r="AW672" s="1" t="str">
        <f t="shared" si="191"/>
        <v/>
      </c>
      <c r="AX672" s="1" t="str">
        <f t="shared" si="191"/>
        <v/>
      </c>
      <c r="AY672" s="1" t="str">
        <f t="shared" si="191"/>
        <v/>
      </c>
      <c r="AZ672" s="1" t="str">
        <f t="shared" ref="D672:BE677" si="192">+IF(AZ638="חלש",1,+IF(AZ638="חזק",2,+IF(AZ638="חזק מאוד",3,"")))</f>
        <v/>
      </c>
      <c r="BA672" s="1" t="str">
        <f t="shared" si="192"/>
        <v/>
      </c>
      <c r="BB672" s="1" t="str">
        <f t="shared" si="192"/>
        <v/>
      </c>
      <c r="BC672" s="1" t="str">
        <f t="shared" si="192"/>
        <v/>
      </c>
      <c r="BD672" s="1" t="str">
        <f t="shared" si="192"/>
        <v/>
      </c>
      <c r="BE672" s="1" t="str">
        <f t="shared" si="192"/>
        <v/>
      </c>
      <c r="BF672" s="1" t="str">
        <f t="shared" si="187"/>
        <v/>
      </c>
    </row>
    <row r="673" spans="1:58" x14ac:dyDescent="0.2">
      <c r="B673" s="1">
        <v>25</v>
      </c>
      <c r="C673" s="1" t="str">
        <f t="shared" si="184"/>
        <v/>
      </c>
      <c r="D673" s="1" t="str">
        <f t="shared" si="192"/>
        <v/>
      </c>
      <c r="E673" s="1" t="str">
        <f t="shared" si="192"/>
        <v/>
      </c>
      <c r="F673" s="1" t="str">
        <f t="shared" si="192"/>
        <v/>
      </c>
      <c r="G673" s="1" t="str">
        <f t="shared" si="192"/>
        <v/>
      </c>
      <c r="H673" s="1" t="str">
        <f t="shared" si="192"/>
        <v/>
      </c>
      <c r="I673" s="1" t="str">
        <f t="shared" si="192"/>
        <v/>
      </c>
      <c r="J673" s="1" t="str">
        <f t="shared" si="192"/>
        <v/>
      </c>
      <c r="K673" s="1" t="str">
        <f t="shared" si="192"/>
        <v/>
      </c>
      <c r="L673" s="1" t="str">
        <f t="shared" si="192"/>
        <v/>
      </c>
      <c r="M673" s="1" t="str">
        <f t="shared" si="192"/>
        <v/>
      </c>
      <c r="N673" s="1" t="str">
        <f t="shared" si="192"/>
        <v/>
      </c>
      <c r="O673" s="1" t="str">
        <f t="shared" si="192"/>
        <v/>
      </c>
      <c r="P673" s="1" t="str">
        <f t="shared" si="192"/>
        <v/>
      </c>
      <c r="Q673" s="1" t="str">
        <f t="shared" si="192"/>
        <v/>
      </c>
      <c r="R673" s="1" t="str">
        <f t="shared" si="192"/>
        <v/>
      </c>
      <c r="S673" s="1" t="str">
        <f t="shared" si="192"/>
        <v/>
      </c>
      <c r="T673" s="1" t="str">
        <f t="shared" si="192"/>
        <v/>
      </c>
      <c r="U673" s="1" t="str">
        <f t="shared" si="192"/>
        <v/>
      </c>
      <c r="V673" s="1" t="str">
        <f t="shared" si="192"/>
        <v/>
      </c>
      <c r="W673" s="1" t="str">
        <f t="shared" si="192"/>
        <v/>
      </c>
      <c r="X673" s="1" t="str">
        <f t="shared" si="192"/>
        <v/>
      </c>
      <c r="Y673" s="1" t="str">
        <f t="shared" si="192"/>
        <v/>
      </c>
      <c r="Z673" s="1" t="str">
        <f t="shared" si="192"/>
        <v/>
      </c>
      <c r="AA673" s="1" t="str">
        <f t="shared" si="192"/>
        <v/>
      </c>
      <c r="AB673" s="1" t="str">
        <f t="shared" si="192"/>
        <v/>
      </c>
      <c r="AC673" s="1" t="str">
        <f t="shared" si="192"/>
        <v/>
      </c>
      <c r="AD673" s="1" t="str">
        <f t="shared" si="192"/>
        <v/>
      </c>
      <c r="AE673" s="1" t="str">
        <f t="shared" si="192"/>
        <v/>
      </c>
      <c r="AF673" s="1" t="str">
        <f t="shared" si="192"/>
        <v/>
      </c>
      <c r="AG673" s="1" t="str">
        <f t="shared" si="192"/>
        <v/>
      </c>
      <c r="AH673" s="1" t="str">
        <f t="shared" si="192"/>
        <v/>
      </c>
      <c r="AI673" s="1" t="str">
        <f t="shared" si="192"/>
        <v/>
      </c>
      <c r="AJ673" s="1" t="str">
        <f t="shared" si="192"/>
        <v/>
      </c>
      <c r="AK673" s="1" t="str">
        <f t="shared" si="192"/>
        <v/>
      </c>
      <c r="AL673" s="1" t="str">
        <f t="shared" si="192"/>
        <v/>
      </c>
      <c r="AM673" s="1" t="str">
        <f t="shared" si="192"/>
        <v/>
      </c>
      <c r="AN673" s="1" t="str">
        <f t="shared" si="192"/>
        <v/>
      </c>
      <c r="AO673" s="1" t="str">
        <f t="shared" si="192"/>
        <v/>
      </c>
      <c r="AP673" s="1" t="str">
        <f t="shared" si="192"/>
        <v/>
      </c>
      <c r="AQ673" s="1" t="str">
        <f t="shared" si="192"/>
        <v/>
      </c>
      <c r="AR673" s="1" t="str">
        <f t="shared" si="192"/>
        <v/>
      </c>
      <c r="AS673" s="1" t="str">
        <f t="shared" si="192"/>
        <v/>
      </c>
      <c r="AT673" s="1" t="str">
        <f t="shared" si="192"/>
        <v/>
      </c>
      <c r="AU673" s="1" t="str">
        <f t="shared" si="192"/>
        <v/>
      </c>
      <c r="AV673" s="1" t="str">
        <f t="shared" si="192"/>
        <v/>
      </c>
      <c r="AW673" s="1" t="str">
        <f t="shared" si="192"/>
        <v/>
      </c>
      <c r="AX673" s="1" t="str">
        <f t="shared" si="192"/>
        <v/>
      </c>
      <c r="AY673" s="1" t="str">
        <f t="shared" si="192"/>
        <v/>
      </c>
      <c r="AZ673" s="1" t="str">
        <f t="shared" si="192"/>
        <v/>
      </c>
      <c r="BA673" s="1" t="str">
        <f t="shared" si="192"/>
        <v/>
      </c>
      <c r="BB673" s="1" t="str">
        <f t="shared" si="192"/>
        <v/>
      </c>
      <c r="BC673" s="1" t="str">
        <f t="shared" si="192"/>
        <v/>
      </c>
      <c r="BD673" s="1" t="str">
        <f t="shared" si="192"/>
        <v/>
      </c>
      <c r="BE673" s="1" t="str">
        <f t="shared" si="192"/>
        <v/>
      </c>
      <c r="BF673" s="1" t="str">
        <f t="shared" si="187"/>
        <v/>
      </c>
    </row>
    <row r="674" spans="1:58" x14ac:dyDescent="0.2">
      <c r="B674" s="1">
        <v>26</v>
      </c>
      <c r="C674" s="1" t="str">
        <f t="shared" si="184"/>
        <v/>
      </c>
      <c r="D674" s="1" t="str">
        <f t="shared" si="192"/>
        <v/>
      </c>
      <c r="E674" s="1" t="str">
        <f t="shared" si="192"/>
        <v/>
      </c>
      <c r="F674" s="1" t="str">
        <f t="shared" si="192"/>
        <v/>
      </c>
      <c r="G674" s="1" t="str">
        <f t="shared" si="192"/>
        <v/>
      </c>
      <c r="H674" s="1" t="str">
        <f t="shared" si="192"/>
        <v/>
      </c>
      <c r="I674" s="1" t="str">
        <f t="shared" si="192"/>
        <v/>
      </c>
      <c r="J674" s="1" t="str">
        <f t="shared" si="192"/>
        <v/>
      </c>
      <c r="K674" s="1" t="str">
        <f t="shared" si="192"/>
        <v/>
      </c>
      <c r="L674" s="1" t="str">
        <f t="shared" si="192"/>
        <v/>
      </c>
      <c r="M674" s="1" t="str">
        <f t="shared" si="192"/>
        <v/>
      </c>
      <c r="N674" s="1" t="str">
        <f t="shared" si="192"/>
        <v/>
      </c>
      <c r="O674" s="1" t="str">
        <f t="shared" si="192"/>
        <v/>
      </c>
      <c r="P674" s="1" t="str">
        <f t="shared" si="192"/>
        <v/>
      </c>
      <c r="Q674" s="1" t="str">
        <f t="shared" si="192"/>
        <v/>
      </c>
      <c r="R674" s="1" t="str">
        <f t="shared" si="192"/>
        <v/>
      </c>
      <c r="S674" s="1" t="str">
        <f t="shared" si="192"/>
        <v/>
      </c>
      <c r="T674" s="1" t="str">
        <f t="shared" si="192"/>
        <v/>
      </c>
      <c r="U674" s="1" t="str">
        <f t="shared" si="192"/>
        <v/>
      </c>
      <c r="V674" s="1" t="str">
        <f t="shared" si="192"/>
        <v/>
      </c>
      <c r="W674" s="1" t="str">
        <f t="shared" si="192"/>
        <v/>
      </c>
      <c r="X674" s="1" t="str">
        <f t="shared" si="192"/>
        <v/>
      </c>
      <c r="Y674" s="1" t="str">
        <f t="shared" si="192"/>
        <v/>
      </c>
      <c r="Z674" s="1" t="str">
        <f t="shared" si="192"/>
        <v/>
      </c>
      <c r="AA674" s="1" t="str">
        <f t="shared" si="192"/>
        <v/>
      </c>
      <c r="AB674" s="1" t="str">
        <f t="shared" si="192"/>
        <v/>
      </c>
      <c r="AC674" s="1" t="str">
        <f t="shared" si="192"/>
        <v/>
      </c>
      <c r="AD674" s="1" t="str">
        <f t="shared" si="192"/>
        <v/>
      </c>
      <c r="AE674" s="1" t="str">
        <f t="shared" si="192"/>
        <v/>
      </c>
      <c r="AF674" s="1" t="str">
        <f t="shared" si="192"/>
        <v/>
      </c>
      <c r="AG674" s="1" t="str">
        <f t="shared" si="192"/>
        <v/>
      </c>
      <c r="AH674" s="1" t="str">
        <f t="shared" si="192"/>
        <v/>
      </c>
      <c r="AI674" s="1" t="str">
        <f t="shared" si="192"/>
        <v/>
      </c>
      <c r="AJ674" s="1" t="str">
        <f t="shared" si="192"/>
        <v/>
      </c>
      <c r="AK674" s="1" t="str">
        <f t="shared" si="192"/>
        <v/>
      </c>
      <c r="AL674" s="1" t="str">
        <f t="shared" si="192"/>
        <v/>
      </c>
      <c r="AM674" s="1" t="str">
        <f t="shared" si="192"/>
        <v/>
      </c>
      <c r="AN674" s="1" t="str">
        <f t="shared" si="192"/>
        <v/>
      </c>
      <c r="AO674" s="1" t="str">
        <f t="shared" si="192"/>
        <v/>
      </c>
      <c r="AP674" s="1" t="str">
        <f t="shared" si="192"/>
        <v/>
      </c>
      <c r="AQ674" s="1" t="str">
        <f t="shared" si="192"/>
        <v/>
      </c>
      <c r="AR674" s="1" t="str">
        <f t="shared" si="192"/>
        <v/>
      </c>
      <c r="AS674" s="1" t="str">
        <f t="shared" si="192"/>
        <v/>
      </c>
      <c r="AT674" s="1" t="str">
        <f t="shared" si="192"/>
        <v/>
      </c>
      <c r="AU674" s="1" t="str">
        <f t="shared" si="192"/>
        <v/>
      </c>
      <c r="AV674" s="1" t="str">
        <f t="shared" si="192"/>
        <v/>
      </c>
      <c r="AW674" s="1" t="str">
        <f t="shared" si="192"/>
        <v/>
      </c>
      <c r="AX674" s="1" t="str">
        <f t="shared" si="192"/>
        <v/>
      </c>
      <c r="AY674" s="1" t="str">
        <f t="shared" si="192"/>
        <v/>
      </c>
      <c r="AZ674" s="1" t="str">
        <f t="shared" si="192"/>
        <v/>
      </c>
      <c r="BA674" s="1" t="str">
        <f t="shared" si="192"/>
        <v/>
      </c>
      <c r="BB674" s="1" t="str">
        <f t="shared" si="192"/>
        <v/>
      </c>
      <c r="BC674" s="1" t="str">
        <f t="shared" si="192"/>
        <v/>
      </c>
      <c r="BD674" s="1" t="str">
        <f t="shared" si="192"/>
        <v/>
      </c>
      <c r="BE674" s="1" t="str">
        <f t="shared" si="192"/>
        <v/>
      </c>
      <c r="BF674" s="1" t="str">
        <f t="shared" si="187"/>
        <v/>
      </c>
    </row>
    <row r="675" spans="1:58" x14ac:dyDescent="0.2">
      <c r="B675" s="1">
        <v>27</v>
      </c>
      <c r="C675" s="1" t="str">
        <f t="shared" si="184"/>
        <v/>
      </c>
      <c r="D675" s="1" t="str">
        <f t="shared" si="192"/>
        <v/>
      </c>
      <c r="E675" s="1" t="str">
        <f t="shared" si="192"/>
        <v/>
      </c>
      <c r="F675" s="1" t="str">
        <f t="shared" si="192"/>
        <v/>
      </c>
      <c r="G675" s="1" t="str">
        <f t="shared" si="192"/>
        <v/>
      </c>
      <c r="H675" s="1" t="str">
        <f t="shared" si="192"/>
        <v/>
      </c>
      <c r="I675" s="1" t="str">
        <f t="shared" si="192"/>
        <v/>
      </c>
      <c r="J675" s="1" t="str">
        <f t="shared" si="192"/>
        <v/>
      </c>
      <c r="K675" s="1" t="str">
        <f t="shared" si="192"/>
        <v/>
      </c>
      <c r="L675" s="1" t="str">
        <f t="shared" si="192"/>
        <v/>
      </c>
      <c r="M675" s="1" t="str">
        <f t="shared" si="192"/>
        <v/>
      </c>
      <c r="N675" s="1" t="str">
        <f t="shared" si="192"/>
        <v/>
      </c>
      <c r="O675" s="1" t="str">
        <f t="shared" si="192"/>
        <v/>
      </c>
      <c r="P675" s="1" t="str">
        <f t="shared" si="192"/>
        <v/>
      </c>
      <c r="Q675" s="1" t="str">
        <f t="shared" si="192"/>
        <v/>
      </c>
      <c r="R675" s="1" t="str">
        <f t="shared" si="192"/>
        <v/>
      </c>
      <c r="S675" s="1" t="str">
        <f t="shared" si="192"/>
        <v/>
      </c>
      <c r="T675" s="1" t="str">
        <f t="shared" si="192"/>
        <v/>
      </c>
      <c r="U675" s="1" t="str">
        <f t="shared" si="192"/>
        <v/>
      </c>
      <c r="V675" s="1" t="str">
        <f t="shared" si="192"/>
        <v/>
      </c>
      <c r="W675" s="1" t="str">
        <f t="shared" si="192"/>
        <v/>
      </c>
      <c r="X675" s="1" t="str">
        <f t="shared" si="192"/>
        <v/>
      </c>
      <c r="Y675" s="1" t="str">
        <f t="shared" si="192"/>
        <v/>
      </c>
      <c r="Z675" s="1" t="str">
        <f t="shared" si="192"/>
        <v/>
      </c>
      <c r="AA675" s="1" t="str">
        <f t="shared" si="192"/>
        <v/>
      </c>
      <c r="AB675" s="1" t="str">
        <f t="shared" si="192"/>
        <v/>
      </c>
      <c r="AC675" s="1" t="str">
        <f t="shared" si="192"/>
        <v/>
      </c>
      <c r="AD675" s="1" t="str">
        <f t="shared" si="192"/>
        <v/>
      </c>
      <c r="AE675" s="1" t="str">
        <f t="shared" si="192"/>
        <v/>
      </c>
      <c r="AF675" s="1" t="str">
        <f t="shared" si="192"/>
        <v/>
      </c>
      <c r="AG675" s="1" t="str">
        <f t="shared" si="192"/>
        <v/>
      </c>
      <c r="AH675" s="1" t="str">
        <f t="shared" si="192"/>
        <v/>
      </c>
      <c r="AI675" s="1" t="str">
        <f t="shared" si="192"/>
        <v/>
      </c>
      <c r="AJ675" s="1" t="str">
        <f t="shared" si="192"/>
        <v/>
      </c>
      <c r="AK675" s="1" t="str">
        <f t="shared" si="192"/>
        <v/>
      </c>
      <c r="AL675" s="1" t="str">
        <f t="shared" si="192"/>
        <v/>
      </c>
      <c r="AM675" s="1" t="str">
        <f t="shared" si="192"/>
        <v/>
      </c>
      <c r="AN675" s="1" t="str">
        <f t="shared" si="192"/>
        <v/>
      </c>
      <c r="AO675" s="1" t="str">
        <f t="shared" si="192"/>
        <v/>
      </c>
      <c r="AP675" s="1" t="str">
        <f t="shared" si="192"/>
        <v/>
      </c>
      <c r="AQ675" s="1" t="str">
        <f t="shared" si="192"/>
        <v/>
      </c>
      <c r="AR675" s="1" t="str">
        <f t="shared" si="192"/>
        <v/>
      </c>
      <c r="AS675" s="1" t="str">
        <f t="shared" si="192"/>
        <v/>
      </c>
      <c r="AT675" s="1" t="str">
        <f t="shared" si="192"/>
        <v/>
      </c>
      <c r="AU675" s="1" t="str">
        <f t="shared" si="192"/>
        <v/>
      </c>
      <c r="AV675" s="1" t="str">
        <f t="shared" si="192"/>
        <v/>
      </c>
      <c r="AW675" s="1" t="str">
        <f t="shared" si="192"/>
        <v/>
      </c>
      <c r="AX675" s="1" t="str">
        <f t="shared" si="192"/>
        <v/>
      </c>
      <c r="AY675" s="1" t="str">
        <f t="shared" si="192"/>
        <v/>
      </c>
      <c r="AZ675" s="1" t="str">
        <f t="shared" si="192"/>
        <v/>
      </c>
      <c r="BA675" s="1" t="str">
        <f t="shared" si="192"/>
        <v/>
      </c>
      <c r="BB675" s="1" t="str">
        <f t="shared" si="192"/>
        <v/>
      </c>
      <c r="BC675" s="1" t="str">
        <f t="shared" si="192"/>
        <v/>
      </c>
      <c r="BD675" s="1" t="str">
        <f t="shared" si="192"/>
        <v/>
      </c>
      <c r="BE675" s="1" t="str">
        <f t="shared" si="192"/>
        <v/>
      </c>
      <c r="BF675" s="1" t="str">
        <f t="shared" si="187"/>
        <v/>
      </c>
    </row>
    <row r="676" spans="1:58" x14ac:dyDescent="0.2">
      <c r="B676" s="1">
        <v>28</v>
      </c>
      <c r="C676" s="1" t="str">
        <f t="shared" si="184"/>
        <v/>
      </c>
      <c r="D676" s="1" t="str">
        <f t="shared" si="192"/>
        <v/>
      </c>
      <c r="E676" s="1" t="str">
        <f t="shared" si="192"/>
        <v/>
      </c>
      <c r="F676" s="1" t="str">
        <f t="shared" si="192"/>
        <v/>
      </c>
      <c r="G676" s="1" t="str">
        <f t="shared" si="192"/>
        <v/>
      </c>
      <c r="H676" s="1" t="str">
        <f t="shared" si="192"/>
        <v/>
      </c>
      <c r="I676" s="1" t="str">
        <f t="shared" si="192"/>
        <v/>
      </c>
      <c r="J676" s="1" t="str">
        <f t="shared" si="192"/>
        <v/>
      </c>
      <c r="K676" s="1" t="str">
        <f t="shared" si="192"/>
        <v/>
      </c>
      <c r="L676" s="1" t="str">
        <f t="shared" si="192"/>
        <v/>
      </c>
      <c r="M676" s="1" t="str">
        <f t="shared" si="192"/>
        <v/>
      </c>
      <c r="N676" s="1" t="str">
        <f t="shared" si="192"/>
        <v/>
      </c>
      <c r="O676" s="1" t="str">
        <f t="shared" si="192"/>
        <v/>
      </c>
      <c r="P676" s="1" t="str">
        <f t="shared" si="192"/>
        <v/>
      </c>
      <c r="Q676" s="1" t="str">
        <f t="shared" si="192"/>
        <v/>
      </c>
      <c r="R676" s="1" t="str">
        <f t="shared" si="192"/>
        <v/>
      </c>
      <c r="S676" s="1" t="str">
        <f t="shared" si="192"/>
        <v/>
      </c>
      <c r="T676" s="1" t="str">
        <f t="shared" si="192"/>
        <v/>
      </c>
      <c r="U676" s="1" t="str">
        <f t="shared" si="192"/>
        <v/>
      </c>
      <c r="V676" s="1" t="str">
        <f t="shared" si="192"/>
        <v/>
      </c>
      <c r="W676" s="1" t="str">
        <f t="shared" si="192"/>
        <v/>
      </c>
      <c r="X676" s="1" t="str">
        <f t="shared" si="192"/>
        <v/>
      </c>
      <c r="Y676" s="1" t="str">
        <f t="shared" si="192"/>
        <v/>
      </c>
      <c r="Z676" s="1" t="str">
        <f t="shared" si="192"/>
        <v/>
      </c>
      <c r="AA676" s="1" t="str">
        <f t="shared" si="192"/>
        <v/>
      </c>
      <c r="AB676" s="1" t="str">
        <f t="shared" si="192"/>
        <v/>
      </c>
      <c r="AC676" s="1" t="str">
        <f t="shared" si="192"/>
        <v/>
      </c>
      <c r="AD676" s="1" t="str">
        <f t="shared" si="192"/>
        <v/>
      </c>
      <c r="AE676" s="1" t="str">
        <f t="shared" si="192"/>
        <v/>
      </c>
      <c r="AF676" s="1" t="str">
        <f t="shared" si="192"/>
        <v/>
      </c>
      <c r="AG676" s="1" t="str">
        <f t="shared" si="192"/>
        <v/>
      </c>
      <c r="AH676" s="1" t="str">
        <f t="shared" si="192"/>
        <v/>
      </c>
      <c r="AI676" s="1" t="str">
        <f t="shared" si="192"/>
        <v/>
      </c>
      <c r="AJ676" s="1" t="str">
        <f t="shared" si="192"/>
        <v/>
      </c>
      <c r="AK676" s="1" t="str">
        <f t="shared" si="192"/>
        <v/>
      </c>
      <c r="AL676" s="1" t="str">
        <f t="shared" si="192"/>
        <v/>
      </c>
      <c r="AM676" s="1" t="str">
        <f t="shared" si="192"/>
        <v/>
      </c>
      <c r="AN676" s="1" t="str">
        <f t="shared" si="192"/>
        <v/>
      </c>
      <c r="AO676" s="1" t="str">
        <f t="shared" si="192"/>
        <v/>
      </c>
      <c r="AP676" s="1" t="str">
        <f t="shared" si="192"/>
        <v/>
      </c>
      <c r="AQ676" s="1" t="str">
        <f t="shared" si="192"/>
        <v/>
      </c>
      <c r="AR676" s="1" t="str">
        <f t="shared" si="192"/>
        <v/>
      </c>
      <c r="AS676" s="1" t="str">
        <f t="shared" si="192"/>
        <v/>
      </c>
      <c r="AT676" s="1" t="str">
        <f t="shared" si="192"/>
        <v/>
      </c>
      <c r="AU676" s="1" t="str">
        <f t="shared" si="192"/>
        <v/>
      </c>
      <c r="AV676" s="1" t="str">
        <f t="shared" si="192"/>
        <v/>
      </c>
      <c r="AW676" s="1" t="str">
        <f t="shared" si="192"/>
        <v/>
      </c>
      <c r="AX676" s="1" t="str">
        <f t="shared" si="192"/>
        <v/>
      </c>
      <c r="AY676" s="1" t="str">
        <f t="shared" si="192"/>
        <v/>
      </c>
      <c r="AZ676" s="1" t="str">
        <f t="shared" si="192"/>
        <v/>
      </c>
      <c r="BA676" s="1" t="str">
        <f t="shared" si="192"/>
        <v/>
      </c>
      <c r="BB676" s="1" t="str">
        <f t="shared" si="192"/>
        <v/>
      </c>
      <c r="BC676" s="1" t="str">
        <f t="shared" si="192"/>
        <v/>
      </c>
      <c r="BD676" s="1" t="str">
        <f t="shared" si="192"/>
        <v/>
      </c>
      <c r="BE676" s="1" t="str">
        <f t="shared" si="192"/>
        <v/>
      </c>
      <c r="BF676" s="1" t="str">
        <f t="shared" si="187"/>
        <v/>
      </c>
    </row>
    <row r="677" spans="1:58" x14ac:dyDescent="0.2">
      <c r="B677" s="1">
        <v>29</v>
      </c>
      <c r="C677" s="1" t="str">
        <f t="shared" si="184"/>
        <v/>
      </c>
      <c r="D677" s="1" t="str">
        <f t="shared" si="192"/>
        <v/>
      </c>
      <c r="E677" s="1" t="str">
        <f t="shared" si="192"/>
        <v/>
      </c>
      <c r="F677" s="1" t="str">
        <f t="shared" si="192"/>
        <v/>
      </c>
      <c r="G677" s="1" t="str">
        <f t="shared" si="192"/>
        <v/>
      </c>
      <c r="H677" s="1" t="str">
        <f t="shared" si="192"/>
        <v/>
      </c>
      <c r="I677" s="1" t="str">
        <f t="shared" si="192"/>
        <v/>
      </c>
      <c r="J677" s="1" t="str">
        <f t="shared" si="192"/>
        <v/>
      </c>
      <c r="K677" s="1" t="str">
        <f t="shared" si="192"/>
        <v/>
      </c>
      <c r="L677" s="1" t="str">
        <f t="shared" si="192"/>
        <v/>
      </c>
      <c r="M677" s="1" t="str">
        <f t="shared" si="192"/>
        <v/>
      </c>
      <c r="N677" s="1" t="str">
        <f t="shared" si="192"/>
        <v/>
      </c>
      <c r="O677" s="1" t="str">
        <f t="shared" si="192"/>
        <v/>
      </c>
      <c r="P677" s="1" t="str">
        <f t="shared" si="192"/>
        <v/>
      </c>
      <c r="Q677" s="1" t="str">
        <f t="shared" si="192"/>
        <v/>
      </c>
      <c r="R677" s="1" t="str">
        <f t="shared" si="192"/>
        <v/>
      </c>
      <c r="S677" s="1" t="str">
        <f t="shared" si="192"/>
        <v/>
      </c>
      <c r="T677" s="1" t="str">
        <f t="shared" si="192"/>
        <v/>
      </c>
      <c r="U677" s="1" t="str">
        <f t="shared" si="192"/>
        <v/>
      </c>
      <c r="V677" s="1" t="str">
        <f t="shared" si="192"/>
        <v/>
      </c>
      <c r="W677" s="1" t="str">
        <f t="shared" si="192"/>
        <v/>
      </c>
      <c r="X677" s="1" t="str">
        <f t="shared" si="192"/>
        <v/>
      </c>
      <c r="Y677" s="1" t="str">
        <f t="shared" si="192"/>
        <v/>
      </c>
      <c r="Z677" s="1" t="str">
        <f t="shared" si="192"/>
        <v/>
      </c>
      <c r="AA677" s="1" t="str">
        <f t="shared" si="192"/>
        <v/>
      </c>
      <c r="AB677" s="1" t="str">
        <f t="shared" si="192"/>
        <v/>
      </c>
      <c r="AC677" s="1" t="str">
        <f t="shared" si="192"/>
        <v/>
      </c>
      <c r="AD677" s="1" t="str">
        <f t="shared" si="192"/>
        <v/>
      </c>
      <c r="AE677" s="1" t="str">
        <f t="shared" si="192"/>
        <v/>
      </c>
      <c r="AF677" s="1" t="str">
        <f t="shared" si="192"/>
        <v/>
      </c>
      <c r="AG677" s="1" t="str">
        <f t="shared" si="192"/>
        <v/>
      </c>
      <c r="AH677" s="1" t="str">
        <f t="shared" si="192"/>
        <v/>
      </c>
      <c r="AI677" s="1" t="str">
        <f t="shared" si="192"/>
        <v/>
      </c>
      <c r="AJ677" s="1" t="str">
        <f t="shared" si="192"/>
        <v/>
      </c>
      <c r="AK677" s="1" t="str">
        <f t="shared" ref="D677:BE678" si="193">+IF(AK643="חלש",1,+IF(AK643="חזק",2,+IF(AK643="חזק מאוד",3,"")))</f>
        <v/>
      </c>
      <c r="AL677" s="1" t="str">
        <f t="shared" si="193"/>
        <v/>
      </c>
      <c r="AM677" s="1" t="str">
        <f t="shared" si="193"/>
        <v/>
      </c>
      <c r="AN677" s="1" t="str">
        <f t="shared" si="193"/>
        <v/>
      </c>
      <c r="AO677" s="1" t="str">
        <f t="shared" si="193"/>
        <v/>
      </c>
      <c r="AP677" s="1" t="str">
        <f t="shared" si="193"/>
        <v/>
      </c>
      <c r="AQ677" s="1" t="str">
        <f t="shared" si="193"/>
        <v/>
      </c>
      <c r="AR677" s="1" t="str">
        <f t="shared" si="193"/>
        <v/>
      </c>
      <c r="AS677" s="1" t="str">
        <f t="shared" si="193"/>
        <v/>
      </c>
      <c r="AT677" s="1" t="str">
        <f t="shared" si="193"/>
        <v/>
      </c>
      <c r="AU677" s="1" t="str">
        <f t="shared" si="193"/>
        <v/>
      </c>
      <c r="AV677" s="1" t="str">
        <f t="shared" si="193"/>
        <v/>
      </c>
      <c r="AW677" s="1" t="str">
        <f t="shared" si="193"/>
        <v/>
      </c>
      <c r="AX677" s="1" t="str">
        <f t="shared" si="193"/>
        <v/>
      </c>
      <c r="AY677" s="1" t="str">
        <f t="shared" si="193"/>
        <v/>
      </c>
      <c r="AZ677" s="1" t="str">
        <f t="shared" si="193"/>
        <v/>
      </c>
      <c r="BA677" s="1" t="str">
        <f t="shared" si="193"/>
        <v/>
      </c>
      <c r="BB677" s="1" t="str">
        <f t="shared" si="193"/>
        <v/>
      </c>
      <c r="BC677" s="1" t="str">
        <f t="shared" si="193"/>
        <v/>
      </c>
      <c r="BD677" s="1" t="str">
        <f t="shared" si="193"/>
        <v/>
      </c>
      <c r="BE677" s="1" t="str">
        <f t="shared" si="193"/>
        <v/>
      </c>
      <c r="BF677" s="1" t="str">
        <f>+IF(BF643="חלש",1,+IF(BF643="חזק",2,+IF(BF643="חזק מאוד",3,"")))</f>
        <v/>
      </c>
    </row>
    <row r="678" spans="1:58" x14ac:dyDescent="0.2">
      <c r="B678" s="1">
        <v>30</v>
      </c>
      <c r="C678" s="1" t="str">
        <f t="shared" si="184"/>
        <v/>
      </c>
      <c r="D678" s="1" t="str">
        <f t="shared" si="193"/>
        <v/>
      </c>
      <c r="E678" s="1" t="str">
        <f t="shared" si="193"/>
        <v/>
      </c>
      <c r="F678" s="1" t="str">
        <f t="shared" si="193"/>
        <v/>
      </c>
      <c r="G678" s="1" t="str">
        <f t="shared" si="193"/>
        <v/>
      </c>
      <c r="H678" s="1" t="str">
        <f t="shared" si="193"/>
        <v/>
      </c>
      <c r="I678" s="1" t="str">
        <f t="shared" si="193"/>
        <v/>
      </c>
      <c r="J678" s="1" t="str">
        <f t="shared" si="193"/>
        <v/>
      </c>
      <c r="K678" s="1" t="str">
        <f t="shared" si="193"/>
        <v/>
      </c>
      <c r="L678" s="1" t="str">
        <f t="shared" si="193"/>
        <v/>
      </c>
      <c r="M678" s="1" t="str">
        <f t="shared" si="193"/>
        <v/>
      </c>
      <c r="N678" s="1" t="str">
        <f t="shared" si="193"/>
        <v/>
      </c>
      <c r="O678" s="1" t="str">
        <f t="shared" si="193"/>
        <v/>
      </c>
      <c r="P678" s="1" t="str">
        <f t="shared" si="193"/>
        <v/>
      </c>
      <c r="Q678" s="1" t="str">
        <f t="shared" si="193"/>
        <v/>
      </c>
      <c r="R678" s="1" t="str">
        <f t="shared" si="193"/>
        <v/>
      </c>
      <c r="S678" s="1" t="str">
        <f t="shared" si="193"/>
        <v/>
      </c>
      <c r="T678" s="1" t="str">
        <f t="shared" si="193"/>
        <v/>
      </c>
      <c r="U678" s="1" t="str">
        <f t="shared" si="193"/>
        <v/>
      </c>
      <c r="V678" s="1" t="str">
        <f t="shared" si="193"/>
        <v/>
      </c>
      <c r="W678" s="1" t="str">
        <f t="shared" si="193"/>
        <v/>
      </c>
      <c r="X678" s="1" t="str">
        <f t="shared" si="193"/>
        <v/>
      </c>
      <c r="Y678" s="1" t="str">
        <f t="shared" si="193"/>
        <v/>
      </c>
      <c r="Z678" s="1" t="str">
        <f t="shared" si="193"/>
        <v/>
      </c>
      <c r="AA678" s="1" t="str">
        <f t="shared" si="193"/>
        <v/>
      </c>
      <c r="AB678" s="1" t="str">
        <f t="shared" si="193"/>
        <v/>
      </c>
      <c r="AC678" s="1" t="str">
        <f t="shared" si="193"/>
        <v/>
      </c>
      <c r="AD678" s="1" t="str">
        <f t="shared" si="193"/>
        <v/>
      </c>
      <c r="AE678" s="1" t="str">
        <f t="shared" si="193"/>
        <v/>
      </c>
      <c r="AF678" s="1" t="str">
        <f t="shared" si="193"/>
        <v/>
      </c>
      <c r="AG678" s="1" t="str">
        <f t="shared" si="193"/>
        <v/>
      </c>
      <c r="AH678" s="1" t="str">
        <f t="shared" si="193"/>
        <v/>
      </c>
      <c r="AI678" s="1" t="str">
        <f t="shared" si="193"/>
        <v/>
      </c>
      <c r="AJ678" s="1" t="str">
        <f t="shared" si="193"/>
        <v/>
      </c>
      <c r="AK678" s="1" t="str">
        <f t="shared" si="193"/>
        <v/>
      </c>
      <c r="AL678" s="1" t="str">
        <f t="shared" si="193"/>
        <v/>
      </c>
      <c r="AM678" s="1" t="str">
        <f t="shared" si="193"/>
        <v/>
      </c>
      <c r="AN678" s="1" t="str">
        <f t="shared" si="193"/>
        <v/>
      </c>
      <c r="AO678" s="1" t="str">
        <f t="shared" si="193"/>
        <v/>
      </c>
      <c r="AP678" s="1" t="str">
        <f t="shared" si="193"/>
        <v/>
      </c>
      <c r="AQ678" s="1" t="str">
        <f t="shared" si="193"/>
        <v/>
      </c>
      <c r="AR678" s="1" t="str">
        <f t="shared" si="193"/>
        <v/>
      </c>
      <c r="AS678" s="1" t="str">
        <f t="shared" si="193"/>
        <v/>
      </c>
      <c r="AT678" s="1" t="str">
        <f t="shared" si="193"/>
        <v/>
      </c>
      <c r="AU678" s="1" t="str">
        <f t="shared" si="193"/>
        <v/>
      </c>
      <c r="AV678" s="1" t="str">
        <f t="shared" si="193"/>
        <v/>
      </c>
      <c r="AW678" s="1" t="str">
        <f t="shared" si="193"/>
        <v/>
      </c>
      <c r="AX678" s="1" t="str">
        <f t="shared" si="193"/>
        <v/>
      </c>
      <c r="AY678" s="1" t="str">
        <f t="shared" si="193"/>
        <v/>
      </c>
      <c r="AZ678" s="1" t="str">
        <f t="shared" si="193"/>
        <v/>
      </c>
      <c r="BA678" s="1" t="str">
        <f t="shared" si="193"/>
        <v/>
      </c>
      <c r="BB678" s="1" t="str">
        <f t="shared" si="193"/>
        <v/>
      </c>
      <c r="BC678" s="1" t="str">
        <f t="shared" si="193"/>
        <v/>
      </c>
      <c r="BD678" s="1" t="str">
        <f t="shared" si="193"/>
        <v/>
      </c>
      <c r="BE678" s="1" t="str">
        <f t="shared" si="193"/>
        <v/>
      </c>
      <c r="BF678" s="1" t="str">
        <f>+IF(BF644="חלש",1,+IF(BF644="חזק",2,+IF(BF644="חזק מאוד",3,"")))</f>
        <v/>
      </c>
    </row>
    <row r="681" spans="1:58" x14ac:dyDescent="0.2">
      <c r="A681" s="46"/>
      <c r="C681" s="46"/>
      <c r="D681" s="46"/>
      <c r="E681" s="46"/>
    </row>
    <row r="682" spans="1:58" x14ac:dyDescent="0.2">
      <c r="A682" s="1" t="s">
        <v>1556</v>
      </c>
      <c r="B682" s="1">
        <v>1</v>
      </c>
      <c r="C682" s="5">
        <f>+IFERROR(VLOOKUP(C8,'נתוני מים 2014'!$C$2:$L$160,5,0)/1000,0)-IFERROR(VLOOKUP(C8,'נתוני מים 2014'!$C$2:$L$160,9,0)/1000,0)</f>
        <v>17426.120999999999</v>
      </c>
      <c r="D682" s="5">
        <f>+IFERROR(VLOOKUP(D8,'נתוני מים 2014'!$C$2:$L$188,5,0)/1000,0)-IFERROR(VLOOKUP(D8,'נתוני מים 2014'!$C$2:$L$188,9,0)/1000,0)</f>
        <v>1834.521</v>
      </c>
      <c r="E682" s="5">
        <f>+IFERROR(VLOOKUP(E8,'נתוני מים 2014'!$C$2:$L$160,5,0)/1000,0)-IFERROR(VLOOKUP(E8,'נתוני מים 2014'!$C$2:$L$160,9,0)/1000,0)</f>
        <v>16724.746999999999</v>
      </c>
      <c r="F682" s="5">
        <f>+IFERROR(VLOOKUP(F8,'נתוני מים 2014'!$C$2:$L$160,5,0)/1000,0)-IFERROR(VLOOKUP(F8,'נתוני מים 2014'!$C$2:$L$160,9,0)/1000,0)</f>
        <v>1405.123</v>
      </c>
      <c r="G682" s="5">
        <f>+IFERROR(VLOOKUP(G8,'נתוני מים 2014'!$C$2:$L$160,5,0)/1000,0)-IFERROR(VLOOKUP(G8,'נתוני מים 2014'!$C$2:$L$160,9,0)/1000,0)</f>
        <v>6495.7709999999997</v>
      </c>
      <c r="H682" s="5">
        <f>+IFERROR(VLOOKUP(H8,'נתוני מים 2014'!$C$2:$L$160,5,0)/1000,0)-IFERROR(VLOOKUP(H8,'נתוני מים 2014'!$C$2:$L$160,9,0)/1000,0)</f>
        <v>52001.552000000003</v>
      </c>
      <c r="I682" s="5">
        <f>+IFERROR(VLOOKUP(I8,'נתוני מים 2014'!$C$2:$L$160,5,0)/1000,0)-IFERROR(VLOOKUP(I8,'נתוני מים 2014'!$C$2:$L$160,9,0)/1000,0)</f>
        <v>19849.735000000001</v>
      </c>
      <c r="J682" s="5">
        <f>+IFERROR(VLOOKUP(J8,'נתוני מים 2014'!$C$2:$L$160,5,0)/1000,0)-IFERROR(VLOOKUP(J8,'נתוני מים 2014'!$C$2:$L$160,9,0)/1000,0)</f>
        <v>11081.690999999999</v>
      </c>
      <c r="K682" s="5">
        <f>+IFERROR(VLOOKUP(K8,'נתוני מים 2014'!$C$2:$L$160,5,0)/1000,0)-IFERROR(VLOOKUP(K8,'נתוני מים 2014'!$C$2:$L$160,9,0)/1000,0)</f>
        <v>3249.8589999999999</v>
      </c>
      <c r="L682" s="5">
        <f>+IFERROR(VLOOKUP(L8,'נתוני מים 2014'!$C$2:$L$160,5,0)/1000,0)-IFERROR(VLOOKUP(L8,'נתוני מים 2014'!$C$2:$L$160,9,0)/1000,0)</f>
        <v>4213.8770000000004</v>
      </c>
      <c r="M682" s="5">
        <f>+IFERROR(VLOOKUP(M8,'נתוני מים 2014'!$C$2:$L$160,5,0)/1000,0)-IFERROR(VLOOKUP(M8,'נתוני מים 2014'!$C$2:$L$160,9,0)/1000,0)</f>
        <v>17049.447</v>
      </c>
      <c r="N682" s="5">
        <f>+IFERROR(VLOOKUP(N8,'נתוני מים 2014'!$C$2:$L$160,5,0)/1000,0)-IFERROR(VLOOKUP(N8,'נתוני מים 2014'!$C$2:$L$160,9,0)/1000,0)</f>
        <v>18583.309000000001</v>
      </c>
      <c r="O682" s="5">
        <f>+IFERROR(VLOOKUP(O8,'נתוני מים 2014'!$C$2:$L$160,5,0)/1000,0)-IFERROR(VLOOKUP(O8,'נתוני מים 2014'!$C$2:$L$160,9,0)/1000,0)</f>
        <v>13805.227999999999</v>
      </c>
      <c r="P682" s="5">
        <f>+IFERROR(VLOOKUP(P8,'נתוני מים 2014'!$C$2:$L$160,5,0)/1000,0)-IFERROR(VLOOKUP(P8,'נתוני מים 2014'!$C$2:$L$160,9,0)/1000,0)</f>
        <v>2754.3220000000001</v>
      </c>
      <c r="Q682" s="5">
        <f>+IFERROR(VLOOKUP(Q8,'נתוני מים 2014'!$C$2:$L$160,5,0)/1000,0)-IFERROR(VLOOKUP(Q8,'נתוני מים 2014'!$C$2:$L$160,9,0)/1000,0)</f>
        <v>10780.42</v>
      </c>
      <c r="R682" s="5">
        <f>+IFERROR(VLOOKUP(R8,'נתוני מים 2014'!$C$2:$L$160,5,0)/1000,0)-IFERROR(VLOOKUP(R8,'נתוני מים 2014'!$C$2:$L$160,9,0)/1000,0)</f>
        <v>3839.297</v>
      </c>
      <c r="S682" s="5">
        <f>+IFERROR(VLOOKUP(S8,'נתוני מים 2014'!$C$2:$L$160,5,0)/1000,0)-IFERROR(VLOOKUP(S8,'נתוני מים 2014'!$C$2:$L$160,9,0)/1000,0)</f>
        <v>5391.3759999999993</v>
      </c>
      <c r="T682" s="5">
        <f>+IFERROR(VLOOKUP(T8,'נתוני מים 2014'!$C$2:$L$160,5,0)/1000,0)-IFERROR(VLOOKUP(T8,'נתוני מים 2014'!$C$2:$L$160,9,0)/1000,0)</f>
        <v>4763.9139999999998</v>
      </c>
      <c r="U682" s="5">
        <f>+IFERROR(VLOOKUP(U8,'נתוני מים 2014'!$C$2:$L$160,5,0)/1000,0)-IFERROR(VLOOKUP(U8,'נתוני מים 2014'!$C$2:$L$160,9,0)/1000,0)</f>
        <v>7271.4120000000003</v>
      </c>
      <c r="V682" s="5">
        <f>+IFERROR(VLOOKUP(V8,'נתוני מים 2014'!$C$2:$L$160,5,0)/1000,0)-IFERROR(VLOOKUP(V8,'נתוני מים 2014'!$C$2:$L$160,9,0)/1000,0)</f>
        <v>1136.9019999999998</v>
      </c>
      <c r="W682" s="5">
        <f>+IFERROR(VLOOKUP(W8,'נתוני מים 2014'!$C$2:$L$160,5,0)/1000,0)-IFERROR(VLOOKUP(W8,'נתוני מים 2014'!$C$2:$L$160,9,0)/1000,0)</f>
        <v>3581.3989999999999</v>
      </c>
      <c r="X682" s="5">
        <f>+IFERROR(VLOOKUP(X8,'נתוני מים 2014'!$C$2:$L$160,5,0)/1000,0)-IFERROR(VLOOKUP(X8,'נתוני מים 2014'!$C$2:$L$160,9,0)/1000,0)</f>
        <v>5397.3069999999998</v>
      </c>
      <c r="Y682" s="5">
        <f>+IFERROR(VLOOKUP(Y8,'נתוני מים 2014'!$C$2:$L$160,5,0)/1000,0)-IFERROR(VLOOKUP(Y8,'נתוני מים 2014'!$C$2:$L$160,9,0)/1000,0)</f>
        <v>1550.174</v>
      </c>
      <c r="Z682" s="5">
        <f>+IFERROR(VLOOKUP(Z8,'נתוני מים 2014'!$C$2:$L$160,5,0)/1000,0)-IFERROR(VLOOKUP(Z8,'נתוני מים 2014'!$C$2:$L$160,9,0)/1000,0)</f>
        <v>3917.029</v>
      </c>
      <c r="AA682" s="5">
        <f>+IFERROR(VLOOKUP(AA8,'נתוני מים 2014'!$C$2:$L$160,5,0)/1000,0)-IFERROR(VLOOKUP(AA8,'נתוני מים 2014'!$C$2:$L$160,9,0)/1000,0)</f>
        <v>6640.0940000000001</v>
      </c>
      <c r="AB682" s="5">
        <f>+IFERROR(VLOOKUP(AB8,'נתוני מים 2014'!$C$2:$L$160,5,0)/1000,0)-IFERROR(VLOOKUP(AB8,'נתוני מים 2014'!$C$2:$L$160,9,0)/1000,0)</f>
        <v>6789.9260000000004</v>
      </c>
      <c r="AC682" s="5">
        <f>+IFERROR(VLOOKUP(AC8,'נתוני מים 2014'!$C$2:$L$160,5,0)/1000,0)-IFERROR(VLOOKUP(AC8,'נתוני מים 2014'!$C$2:$L$160,9,0)/1000,0)</f>
        <v>10469.824999999999</v>
      </c>
      <c r="AD682" s="5">
        <f>+IFERROR(VLOOKUP(AD8,'נתוני מים 2014'!$C$2:$L$160,5,0)/1000,0)-IFERROR(VLOOKUP(AD8,'נתוני מים 2014'!$C$2:$L$160,9,0)/1000,0)</f>
        <v>4708.6639999999998</v>
      </c>
      <c r="AE682" s="5">
        <f>+IFERROR(VLOOKUP(AE8,'נתוני מים 2014'!$C$2:$L$160,5,0)/1000,0)-IFERROR(VLOOKUP(AE8,'נתוני מים 2014'!$C$2:$L$160,9,0)/1000,0)</f>
        <v>23115.748</v>
      </c>
      <c r="AF682" s="5">
        <f>+IFERROR(VLOOKUP(AF8,'נתוני מים 2014'!$C$2:$L$160,5,0)/1000,0)-IFERROR(VLOOKUP(AF8,'נתוני מים 2014'!$C$2:$L$160,9,0)/1000,0)</f>
        <v>3649.355</v>
      </c>
      <c r="AG682" s="5">
        <f>+IFERROR(VLOOKUP(AG8,'נתוני מים 2014'!$C$2:$L$160,5,0)/1000,0)-IFERROR(VLOOKUP(AG8,'נתוני מים 2014'!$C$2:$L$160,9,0)/1000,0)</f>
        <v>3747.5639999999999</v>
      </c>
      <c r="AH682" s="5">
        <f>+IFERROR(VLOOKUP(AH8,'נתוני מים 2014'!$C$2:$L$160,5,0)/1000,0)-IFERROR(VLOOKUP(AH8,'נתוני מים 2014'!$C$2:$L$160,9,0)/1000,0)</f>
        <v>3174.326</v>
      </c>
      <c r="AI682" s="5">
        <f>+IFERROR(VLOOKUP(AI8,'נתוני מים 2014'!$C$2:$L$160,5,0)/1000,0)-IFERROR(VLOOKUP(AI8,'נתוני מים 2014'!$C$2:$L$160,9,0)/1000,0)</f>
        <v>3853.471</v>
      </c>
      <c r="AJ682" s="5">
        <f>+IFERROR(VLOOKUP(AJ8,'נתוני מים 2014'!$C$2:$L$160,5,0)/1000,0)-IFERROR(VLOOKUP(AJ8,'נתוני מים 2014'!$C$2:$L$160,9,0)/1000,0)</f>
        <v>2680.7440000000001</v>
      </c>
      <c r="AK682" s="5">
        <f>+IFERROR(VLOOKUP(AK8,'נתוני מים 2014'!$C$2:$L$160,5,0)/1000,0)-IFERROR(VLOOKUP(AK8,'נתוני מים 2014'!$C$2:$L$160,9,0)/1000,0)</f>
        <v>2922.759</v>
      </c>
      <c r="AL682" s="5">
        <f>+IFERROR(VLOOKUP(AL8,'נתוני מים 2014'!$C$2:$L$160,5,0)/1000,0)-IFERROR(VLOOKUP(AL8,'נתוני מים 2014'!$C$2:$L$160,9,0)/1000,0)</f>
        <v>46124.361000000004</v>
      </c>
      <c r="AM682" s="5">
        <f>+IFERROR(VLOOKUP(AM8,'נתוני מים 2014'!$C$2:$L$160,5,0)/1000,0)-IFERROR(VLOOKUP(AM8,'נתוני מים 2014'!$C$2:$L$160,9,0)/1000,0)</f>
        <v>1275.6559999999999</v>
      </c>
      <c r="AN682" s="5">
        <f>+IFERROR(VLOOKUP(AN8,'נתוני מים 2014'!$C$2:$L$160,5,0)/1000,0)-IFERROR(VLOOKUP(AN8,'נתוני מים 2014'!$C$2:$L$160,9,0)/1000,0)</f>
        <v>1237.6679999999999</v>
      </c>
      <c r="AO682" s="5">
        <f>+IFERROR(VLOOKUP(AO8,'נתוני מים 2014'!$C$2:$L$160,5,0)/1000,0)-IFERROR(VLOOKUP(AO8,'נתוני מים 2014'!$C$2:$L$160,9,0)/1000,0)</f>
        <v>12026.431</v>
      </c>
      <c r="AP682" s="5">
        <f>+IFERROR(VLOOKUP(AP8,'נתוני מים 2014'!$C$2:$L$160,5,0)/1000,0)-IFERROR(VLOOKUP(AP8,'נתוני מים 2014'!$C$2:$L$160,9,0)/1000,0)</f>
        <v>3748.2510000000002</v>
      </c>
      <c r="AQ682" s="5">
        <f>+IFERROR(VLOOKUP(AQ8,'נתוני מים 2014'!$C$2:$L$160,5,0)/1000,0)-IFERROR(VLOOKUP(AQ8,'נתוני מים 2014'!$C$2:$L$160,9,0)/1000,0)</f>
        <v>9026.4089999999997</v>
      </c>
      <c r="AR682" s="5">
        <f>+IFERROR(VLOOKUP(AR8,'נתוני מים 2014'!$C$2:$L$160,5,0)/1000,0)-IFERROR(VLOOKUP(AR8,'נתוני מים 2014'!$C$2:$L$160,9,0)/1000,0)</f>
        <v>2835.6260000000002</v>
      </c>
      <c r="AS682" s="5">
        <f>+IFERROR(VLOOKUP(AS8,'נתוני מים 2014'!$C$2:$L$160,5,0)/1000,0)-IFERROR(VLOOKUP(AS8,'נתוני מים 2014'!$C$2:$L$160,9,0)/1000,0)</f>
        <v>3148.5619999999999</v>
      </c>
      <c r="AT682" s="5">
        <f>+IFERROR(VLOOKUP(AT8,'נתוני מים 2014'!$C$2:$L$160,5,0)/1000,0)-IFERROR(VLOOKUP(AT8,'נתוני מים 2014'!$C$2:$L$160,9,0)/1000,0)</f>
        <v>5761.5990000000002</v>
      </c>
      <c r="AU682" s="5">
        <f>+IFERROR(VLOOKUP(AU8,'נתוני מים 2014'!$C$2:$L$160,5,0)/1000,0)-IFERROR(VLOOKUP(AU8,'נתוני מים 2014'!$C$2:$L$160,9,0)/1000,0)</f>
        <v>4710.6399999999994</v>
      </c>
      <c r="AV682" s="5">
        <f>+IFERROR(VLOOKUP(AV8,'נתוני מים 2014'!$C$2:$L$160,5,0)/1000,0)-IFERROR(VLOOKUP(AV8,'נתוני מים 2014'!$C$2:$L$160,9,0)/1000,0)</f>
        <v>12176.661</v>
      </c>
      <c r="AW682" s="5">
        <f>+IFERROR(VLOOKUP(AW8,'נתוני מים 2014'!$C$2:$L$160,5,0)/1000,0)-IFERROR(VLOOKUP(AW8,'נתוני מים 2014'!$C$2:$L$160,9,0)/1000,0)</f>
        <v>3423.1089999999999</v>
      </c>
      <c r="AX682" s="5">
        <f>+IFERROR(VLOOKUP(AX8,'נתוני מים 2014'!$C$2:$L$160,5,0)/1000,0)-IFERROR(VLOOKUP(AX8,'נתוני מים 2014'!$C$2:$L$160,9,0)/1000,0)</f>
        <v>0</v>
      </c>
      <c r="AY682" s="5">
        <f>+IFERROR(VLOOKUP(AY8,'נתוני מים 2014'!$C$2:$L$160,5,0)/1000,0)-IFERROR(VLOOKUP(AY8,'נתוני מים 2014'!$C$2:$L$160,9,0)/1000,0)</f>
        <v>2910.1680000000001</v>
      </c>
      <c r="AZ682" s="5">
        <f>+IFERROR(VLOOKUP(AZ8,'נתוני מים 2014'!$C$2:$L$160,5,0)/1000,0)-IFERROR(VLOOKUP(AZ8,'נתוני מים 2014'!$C$2:$L$160,9,0)/1000,0)</f>
        <v>1453.7460000000001</v>
      </c>
      <c r="BA682" s="5">
        <f>+IFERROR(VLOOKUP(BA8,'נתוני מים 2014'!$C$2:$L$160,5,0)/1000,0)-IFERROR(VLOOKUP(BA8,'נתוני מים 2014'!$C$2:$L$160,9,0)/1000,0)</f>
        <v>2943.3470000000002</v>
      </c>
      <c r="BB682" s="5">
        <f>+IFERROR(VLOOKUP(BB8,'נתוני מים 2014'!$C$2:$L$160,5,0)/1000,0)-IFERROR(VLOOKUP(BB8,'נתוני מים 2014'!$C$2:$L$160,9,0)/1000,0)</f>
        <v>908.06100000000004</v>
      </c>
      <c r="BC682" s="5">
        <f>+IFERROR(VLOOKUP(BC8,'נתוני מים 2014'!$C$2:$L$160,5,0)/1000,0)-IFERROR(VLOOKUP(BC8,'נתוני מים 2014'!$C$2:$L$160,9,0)/1000,0)</f>
        <v>733.13900000000001</v>
      </c>
      <c r="BD682" s="5">
        <f>+IFERROR(VLOOKUP(BD8,'נתוני מים 2014'!$C$2:$L$160,5,0)/1000,0)-IFERROR(VLOOKUP(BD8,'נתוני מים 2014'!$C$2:$L$160,9,0)/1000,0)</f>
        <v>0</v>
      </c>
      <c r="BE682" s="5">
        <f>+IFERROR(VLOOKUP(BE8,'נתוני מים 2014'!$C$2:$L$160,5,0)/1000,0)-IFERROR(VLOOKUP(BE8,'נתוני מים 2014'!$C$2:$L$160,9,0)/1000,0)</f>
        <v>1173.269</v>
      </c>
      <c r="BF682" s="5">
        <f>+IFERROR(VLOOKUP(BF8,'נתוני מים 2014'!$C$2:$L$188,5,0)/1000,0)-IFERROR(VLOOKUP(BF8,'נתוני מים 2014'!$C$2:$L$188,9,0)/1000,0)</f>
        <v>10422.161</v>
      </c>
    </row>
    <row r="683" spans="1:58" x14ac:dyDescent="0.2">
      <c r="A683" s="46"/>
      <c r="B683" s="1">
        <v>2</v>
      </c>
      <c r="C683" s="5">
        <f>+IFERROR(VLOOKUP(C9,'נתוני מים 2014'!$C$2:$L$160,5,0)/1000,0)-IFERROR(VLOOKUP(C9,'נתוני מים 2014'!$C$2:$L$160,9,0)/1000,0)</f>
        <v>2040.126</v>
      </c>
      <c r="D683" s="5">
        <f>+IFERROR(VLOOKUP(D9,'נתוני מים 2014'!$C$2:$L$188,5,0)/1000,0)-IFERROR(VLOOKUP(D9,'נתוני מים 2014'!$C$2:$L$188,9,0)/1000,0)</f>
        <v>194.93799999999999</v>
      </c>
      <c r="E683" s="5">
        <f>+IFERROR(VLOOKUP(E9,'נתוני מים 2014'!$C$2:$L$160,5,0)/1000,0)-IFERROR(VLOOKUP(E9,'נתוני מים 2014'!$C$2:$L$160,9,0)/1000,0)</f>
        <v>0</v>
      </c>
      <c r="F683" s="5">
        <f>+IFERROR(VLOOKUP(F9,'נתוני מים 2014'!$C$2:$L$160,5,0)/1000,0)-IFERROR(VLOOKUP(F9,'נתוני מים 2014'!$C$2:$L$160,9,0)/1000,0)</f>
        <v>599.36400000000003</v>
      </c>
      <c r="G683" s="5">
        <f>+IFERROR(VLOOKUP(G9,'נתוני מים 2014'!$C$2:$L$160,5,0)/1000,0)-IFERROR(VLOOKUP(G9,'נתוני מים 2014'!$C$2:$L$160,9,0)/1000,0)</f>
        <v>0</v>
      </c>
      <c r="H683" s="5">
        <f>+IFERROR(VLOOKUP(H9,'נתוני מים 2014'!$C$2:$L$160,5,0)/1000,0)-IFERROR(VLOOKUP(H9,'נתוני מים 2014'!$C$2:$L$160,9,0)/1000,0)</f>
        <v>435.01000000000005</v>
      </c>
      <c r="I683" s="5">
        <f>+IFERROR(VLOOKUP(I9,'נתוני מים 2014'!$C$2:$L$160,5,0)/1000,0)-IFERROR(VLOOKUP(I9,'נתוני מים 2014'!$C$2:$L$160,9,0)/1000,0)</f>
        <v>0</v>
      </c>
      <c r="J683" s="5">
        <f>+IFERROR(VLOOKUP(J9,'נתוני מים 2014'!$C$2:$L$160,5,0)/1000,0)-IFERROR(VLOOKUP(J9,'נתוני מים 2014'!$C$2:$L$160,9,0)/1000,0)</f>
        <v>0</v>
      </c>
      <c r="K683" s="5">
        <f>+IFERROR(VLOOKUP(K9,'נתוני מים 2014'!$C$2:$L$160,5,0)/1000,0)-IFERROR(VLOOKUP(K9,'נתוני מים 2014'!$C$2:$L$160,9,0)/1000,0)</f>
        <v>2796.9670000000001</v>
      </c>
      <c r="L683" s="5">
        <f>+IFERROR(VLOOKUP(L9,'נתוני מים 2014'!$C$2:$L$160,5,0)/1000,0)-IFERROR(VLOOKUP(L9,'נתוני מים 2014'!$C$2:$L$160,9,0)/1000,0)</f>
        <v>275.33699999999999</v>
      </c>
      <c r="M683" s="5">
        <f>+IFERROR(VLOOKUP(M9,'נתוני מים 2014'!$C$2:$L$160,5,0)/1000,0)-IFERROR(VLOOKUP(M9,'נתוני מים 2014'!$C$2:$L$160,9,0)/1000,0)</f>
        <v>0</v>
      </c>
      <c r="N683" s="5">
        <f>+IFERROR(VLOOKUP(N9,'נתוני מים 2014'!$C$2:$L$160,5,0)/1000,0)-IFERROR(VLOOKUP(N9,'נתוני מים 2014'!$C$2:$L$160,9,0)/1000,0)</f>
        <v>2345.8520000000003</v>
      </c>
      <c r="O683" s="5">
        <f>+IFERROR(VLOOKUP(O9,'נתוני מים 2014'!$C$2:$L$160,5,0)/1000,0)-IFERROR(VLOOKUP(O9,'נתוני מים 2014'!$C$2:$L$160,9,0)/1000,0)</f>
        <v>1285.8979999999999</v>
      </c>
      <c r="P683" s="5">
        <f>+IFERROR(VLOOKUP(P9,'נתוני מים 2014'!$C$2:$L$160,5,0)/1000,0)-IFERROR(VLOOKUP(P9,'נתוני מים 2014'!$C$2:$L$160,9,0)/1000,0)</f>
        <v>738.66599999999994</v>
      </c>
      <c r="Q683" s="5">
        <f>+IFERROR(VLOOKUP(Q9,'נתוני מים 2014'!$C$2:$L$160,5,0)/1000,0)-IFERROR(VLOOKUP(Q9,'נתוני מים 2014'!$C$2:$L$160,9,0)/1000,0)</f>
        <v>0</v>
      </c>
      <c r="R683" s="5">
        <f>+IFERROR(VLOOKUP(R9,'נתוני מים 2014'!$C$2:$L$160,5,0)/1000,0)-IFERROR(VLOOKUP(R9,'נתוני מים 2014'!$C$2:$L$160,9,0)/1000,0)</f>
        <v>872.88599999999997</v>
      </c>
      <c r="S683" s="5">
        <f>+IFERROR(VLOOKUP(S9,'נתוני מים 2014'!$C$2:$L$160,5,0)/1000,0)-IFERROR(VLOOKUP(S9,'נתוני מים 2014'!$C$2:$L$160,9,0)/1000,0)</f>
        <v>0</v>
      </c>
      <c r="T683" s="5">
        <f>+IFERROR(VLOOKUP(T9,'נתוני מים 2014'!$C$2:$L$160,5,0)/1000,0)-IFERROR(VLOOKUP(T9,'נתוני מים 2014'!$C$2:$L$160,9,0)/1000,0)</f>
        <v>1735.146</v>
      </c>
      <c r="U683" s="5">
        <f>+IFERROR(VLOOKUP(U9,'נתוני מים 2014'!$C$2:$L$160,5,0)/1000,0)-IFERROR(VLOOKUP(U9,'נתוני מים 2014'!$C$2:$L$160,9,0)/1000,0)</f>
        <v>0</v>
      </c>
      <c r="V683" s="5">
        <f>+IFERROR(VLOOKUP(V9,'נתוני מים 2014'!$C$2:$L$160,5,0)/1000,0)-IFERROR(VLOOKUP(V9,'נתוני מים 2014'!$C$2:$L$160,9,0)/1000,0)</f>
        <v>789.37</v>
      </c>
      <c r="W683" s="5">
        <f>+IFERROR(VLOOKUP(W9,'נתוני מים 2014'!$C$2:$L$160,5,0)/1000,0)-IFERROR(VLOOKUP(W9,'נתוני מים 2014'!$C$2:$L$160,9,0)/1000,0)</f>
        <v>506.80099999999999</v>
      </c>
      <c r="X683" s="5">
        <f>+IFERROR(VLOOKUP(X9,'נתוני מים 2014'!$C$2:$L$160,5,0)/1000,0)-IFERROR(VLOOKUP(X9,'נתוני מים 2014'!$C$2:$L$160,9,0)/1000,0)</f>
        <v>1364.173</v>
      </c>
      <c r="Y683" s="5">
        <f>+IFERROR(VLOOKUP(Y9,'נתוני מים 2014'!$C$2:$L$160,5,0)/1000,0)-IFERROR(VLOOKUP(Y9,'נתוני מים 2014'!$C$2:$L$160,9,0)/1000,0)</f>
        <v>801.59299999999996</v>
      </c>
      <c r="Z683" s="5">
        <f>+IFERROR(VLOOKUP(Z9,'נתוני מים 2014'!$C$2:$L$160,5,0)/1000,0)-IFERROR(VLOOKUP(Z9,'נתוני מים 2014'!$C$2:$L$160,9,0)/1000,0)</f>
        <v>0</v>
      </c>
      <c r="AA683" s="5">
        <f>+IFERROR(VLOOKUP(AA9,'נתוני מים 2014'!$C$2:$L$160,5,0)/1000,0)-IFERROR(VLOOKUP(AA9,'נתוני מים 2014'!$C$2:$L$160,9,0)/1000,0)</f>
        <v>0</v>
      </c>
      <c r="AB683" s="5">
        <f>+IFERROR(VLOOKUP(AB9,'נתוני מים 2014'!$C$2:$L$160,5,0)/1000,0)-IFERROR(VLOOKUP(AB9,'נתוני מים 2014'!$C$2:$L$160,9,0)/1000,0)</f>
        <v>0</v>
      </c>
      <c r="AC683" s="5">
        <f>+IFERROR(VLOOKUP(AC9,'נתוני מים 2014'!$C$2:$L$160,5,0)/1000,0)-IFERROR(VLOOKUP(AC9,'נתוני מים 2014'!$C$2:$L$160,9,0)/1000,0)</f>
        <v>0</v>
      </c>
      <c r="AD683" s="5">
        <f>+IFERROR(VLOOKUP(AD9,'נתוני מים 2014'!$C$2:$L$160,5,0)/1000,0)-IFERROR(VLOOKUP(AD9,'נתוני מים 2014'!$C$2:$L$160,9,0)/1000,0)</f>
        <v>0</v>
      </c>
      <c r="AE683" s="5">
        <f>+IFERROR(VLOOKUP(AE9,'נתוני מים 2014'!$C$2:$L$160,5,0)/1000,0)-IFERROR(VLOOKUP(AE9,'נתוני מים 2014'!$C$2:$L$160,9,0)/1000,0)</f>
        <v>0</v>
      </c>
      <c r="AF683" s="5">
        <f>+IFERROR(VLOOKUP(AF9,'נתוני מים 2014'!$C$2:$L$160,5,0)/1000,0)-IFERROR(VLOOKUP(AF9,'נתוני מים 2014'!$C$2:$L$160,9,0)/1000,0)</f>
        <v>1763.221</v>
      </c>
      <c r="AG683" s="5">
        <f>+IFERROR(VLOOKUP(AG9,'נתוני מים 2014'!$C$2:$L$160,5,0)/1000,0)-IFERROR(VLOOKUP(AG9,'נתוני מים 2014'!$C$2:$L$160,9,0)/1000,0)</f>
        <v>0</v>
      </c>
      <c r="AH683" s="5">
        <f>+IFERROR(VLOOKUP(AH9,'נתוני מים 2014'!$C$2:$L$160,5,0)/1000,0)-IFERROR(VLOOKUP(AH9,'נתוני מים 2014'!$C$2:$L$160,9,0)/1000,0)</f>
        <v>0</v>
      </c>
      <c r="AI683" s="5">
        <f>+IFERROR(VLOOKUP(AI9,'נתוני מים 2014'!$C$2:$L$160,5,0)/1000,0)-IFERROR(VLOOKUP(AI9,'נתוני מים 2014'!$C$2:$L$160,9,0)/1000,0)</f>
        <v>0</v>
      </c>
      <c r="AJ683" s="5">
        <f>+IFERROR(VLOOKUP(AJ9,'נתוני מים 2014'!$C$2:$L$160,5,0)/1000,0)-IFERROR(VLOOKUP(AJ9,'נתוני מים 2014'!$C$2:$L$160,9,0)/1000,0)</f>
        <v>595.94399999999996</v>
      </c>
      <c r="AK683" s="5">
        <f>+IFERROR(VLOOKUP(AK9,'נתוני מים 2014'!$C$2:$L$160,5,0)/1000,0)-IFERROR(VLOOKUP(AK9,'נתוני מים 2014'!$C$2:$L$160,9,0)/1000,0)</f>
        <v>0</v>
      </c>
      <c r="AL683" s="5">
        <f>+IFERROR(VLOOKUP(AL9,'נתוני מים 2014'!$C$2:$L$160,5,0)/1000,0)-IFERROR(VLOOKUP(AL9,'נתוני מים 2014'!$C$2:$L$160,9,0)/1000,0)</f>
        <v>0</v>
      </c>
      <c r="AM683" s="5">
        <f>+IFERROR(VLOOKUP(AM9,'נתוני מים 2014'!$C$2:$L$160,5,0)/1000,0)-IFERROR(VLOOKUP(AM9,'נתוני מים 2014'!$C$2:$L$160,9,0)/1000,0)</f>
        <v>1716.5320000000002</v>
      </c>
      <c r="AN683" s="5">
        <f>+IFERROR(VLOOKUP(AN9,'נתוני מים 2014'!$C$2:$L$160,5,0)/1000,0)-IFERROR(VLOOKUP(AN9,'נתוני מים 2014'!$C$2:$L$160,9,0)/1000,0)</f>
        <v>879.04100000000005</v>
      </c>
      <c r="AO683" s="5">
        <f>+IFERROR(VLOOKUP(AO9,'נתוני מים 2014'!$C$2:$L$160,5,0)/1000,0)-IFERROR(VLOOKUP(AO9,'נתוני מים 2014'!$C$2:$L$160,9,0)/1000,0)</f>
        <v>0</v>
      </c>
      <c r="AP683" s="5">
        <f>+IFERROR(VLOOKUP(AP9,'נתוני מים 2014'!$C$2:$L$160,5,0)/1000,0)-IFERROR(VLOOKUP(AP9,'נתוני מים 2014'!$C$2:$L$160,9,0)/1000,0)</f>
        <v>0</v>
      </c>
      <c r="AQ683" s="5">
        <f>+IFERROR(VLOOKUP(AQ9,'נתוני מים 2014'!$C$2:$L$160,5,0)/1000,0)-IFERROR(VLOOKUP(AQ9,'נתוני מים 2014'!$C$2:$L$160,9,0)/1000,0)</f>
        <v>0</v>
      </c>
      <c r="AR683" s="5">
        <f>+IFERROR(VLOOKUP(AR9,'נתוני מים 2014'!$C$2:$L$160,5,0)/1000,0)-IFERROR(VLOOKUP(AR9,'נתוני מים 2014'!$C$2:$L$160,9,0)/1000,0)</f>
        <v>2519.1480000000001</v>
      </c>
      <c r="AS683" s="5">
        <f>+IFERROR(VLOOKUP(AS9,'נתוני מים 2014'!$C$2:$L$160,5,0)/1000,0)-IFERROR(VLOOKUP(AS9,'נתוני מים 2014'!$C$2:$L$160,9,0)/1000,0)</f>
        <v>1272.2840000000001</v>
      </c>
      <c r="AT683" s="5">
        <f>+IFERROR(VLOOKUP(AT9,'נתוני מים 2014'!$C$2:$L$160,5,0)/1000,0)-IFERROR(VLOOKUP(AT9,'נתוני מים 2014'!$C$2:$L$160,9,0)/1000,0)</f>
        <v>0</v>
      </c>
      <c r="AU683" s="5">
        <f>+IFERROR(VLOOKUP(AU9,'נתוני מים 2014'!$C$2:$L$160,5,0)/1000,0)-IFERROR(VLOOKUP(AU9,'נתוני מים 2014'!$C$2:$L$160,9,0)/1000,0)</f>
        <v>0</v>
      </c>
      <c r="AV683" s="5">
        <f>+IFERROR(VLOOKUP(AV9,'נתוני מים 2014'!$C$2:$L$160,5,0)/1000,0)-IFERROR(VLOOKUP(AV9,'נתוני מים 2014'!$C$2:$L$160,9,0)/1000,0)</f>
        <v>2183.7049999999999</v>
      </c>
      <c r="AW683" s="5">
        <f>+IFERROR(VLOOKUP(AW9,'נתוני מים 2014'!$C$2:$L$160,5,0)/1000,0)-IFERROR(VLOOKUP(AW9,'נתוני מים 2014'!$C$2:$L$160,9,0)/1000,0)</f>
        <v>0</v>
      </c>
      <c r="AX683" s="5">
        <f>+IFERROR(VLOOKUP(AX9,'נתוני מים 2014'!$C$2:$L$160,5,0)/1000,0)-IFERROR(VLOOKUP(AX9,'נתוני מים 2014'!$C$2:$L$160,9,0)/1000,0)</f>
        <v>912.64300000000003</v>
      </c>
      <c r="AY683" s="5">
        <f>+IFERROR(VLOOKUP(AY9,'נתוני מים 2014'!$C$2:$L$160,5,0)/1000,0)-IFERROR(VLOOKUP(AY9,'נתוני מים 2014'!$C$2:$L$160,9,0)/1000,0)</f>
        <v>0</v>
      </c>
      <c r="AZ683" s="5">
        <f>+IFERROR(VLOOKUP(AZ9,'נתוני מים 2014'!$C$2:$L$160,5,0)/1000,0)-IFERROR(VLOOKUP(AZ9,'נתוני מים 2014'!$C$2:$L$160,9,0)/1000,0)</f>
        <v>1579.739</v>
      </c>
      <c r="BA683" s="5">
        <f>+IFERROR(VLOOKUP(BA9,'נתוני מים 2014'!$C$2:$L$160,5,0)/1000,0)-IFERROR(VLOOKUP(BA9,'נתוני מים 2014'!$C$2:$L$160,9,0)/1000,0)</f>
        <v>2043.502</v>
      </c>
      <c r="BB683" s="5">
        <f>+IFERROR(VLOOKUP(BB9,'נתוני מים 2014'!$C$2:$L$160,5,0)/1000,0)-IFERROR(VLOOKUP(BB9,'נתוני מים 2014'!$C$2:$L$160,9,0)/1000,0)</f>
        <v>1400.211</v>
      </c>
      <c r="BC683" s="5">
        <f>+IFERROR(VLOOKUP(BC9,'נתוני מים 2014'!$C$2:$L$160,5,0)/1000,0)-IFERROR(VLOOKUP(BC9,'נתוני מים 2014'!$C$2:$L$160,9,0)/1000,0)</f>
        <v>605.26499999999999</v>
      </c>
      <c r="BD683" s="5">
        <f>+IFERROR(VLOOKUP(BD9,'נתוני מים 2014'!$C$2:$L$160,5,0)/1000,0)-IFERROR(VLOOKUP(BD9,'נתוני מים 2014'!$C$2:$L$160,9,0)/1000,0)</f>
        <v>975.60500000000002</v>
      </c>
      <c r="BE683" s="5">
        <f>+IFERROR(VLOOKUP(BE9,'נתוני מים 2014'!$C$2:$L$160,5,0)/1000,0)-IFERROR(VLOOKUP(BE9,'נתוני מים 2014'!$C$2:$L$160,9,0)/1000,0)</f>
        <v>0</v>
      </c>
      <c r="BF683" s="5">
        <f>+IFERROR(VLOOKUP(BF9,'נתוני מים 2014'!$C$2:$L$188,5,0)/1000,0)-IFERROR(VLOOKUP(BF9,'נתוני מים 2014'!$C$2:$L$188,9,0)/1000,0)</f>
        <v>0</v>
      </c>
    </row>
    <row r="684" spans="1:58" x14ac:dyDescent="0.2">
      <c r="B684" s="1">
        <v>3</v>
      </c>
      <c r="C684" s="5">
        <f>+IFERROR(VLOOKUP(C10,'נתוני מים 2014'!$C$2:$L$160,5,0)/1000,0)-IFERROR(VLOOKUP(C10,'נתוני מים 2014'!$C$2:$L$160,9,0)/1000,0)</f>
        <v>198.959</v>
      </c>
      <c r="D684" s="5">
        <f>+IFERROR(VLOOKUP(D10,'נתוני מים 2014'!$C$2:$L$188,5,0)/1000,0)-IFERROR(VLOOKUP(D10,'נתוני מים 2014'!$C$2:$L$188,9,0)/1000,0)</f>
        <v>732.26</v>
      </c>
      <c r="E684" s="5">
        <f>+IFERROR(VLOOKUP(E10,'נתוני מים 2014'!$C$2:$L$160,5,0)/1000,0)-IFERROR(VLOOKUP(E10,'נתוני מים 2014'!$C$2:$L$160,9,0)/1000,0)</f>
        <v>0</v>
      </c>
      <c r="F684" s="5">
        <f>+IFERROR(VLOOKUP(F10,'נתוני מים 2014'!$C$2:$L$160,5,0)/1000,0)-IFERROR(VLOOKUP(F10,'נתוני מים 2014'!$C$2:$L$160,9,0)/1000,0)</f>
        <v>0</v>
      </c>
      <c r="G684" s="5">
        <f>+IFERROR(VLOOKUP(G10,'נתוני מים 2014'!$C$2:$L$160,5,0)/1000,0)-IFERROR(VLOOKUP(G10,'נתוני מים 2014'!$C$2:$L$160,9,0)/1000,0)</f>
        <v>0</v>
      </c>
      <c r="H684" s="5">
        <f>+IFERROR(VLOOKUP(H10,'נתוני מים 2014'!$C$2:$L$160,5,0)/1000,0)-IFERROR(VLOOKUP(H10,'נתוני מים 2014'!$C$2:$L$160,9,0)/1000,0)</f>
        <v>1869.9960000000001</v>
      </c>
      <c r="I684" s="5">
        <f>+IFERROR(VLOOKUP(I10,'נתוני מים 2014'!$C$2:$L$160,5,0)/1000,0)-IFERROR(VLOOKUP(I10,'נתוני מים 2014'!$C$2:$L$160,9,0)/1000,0)</f>
        <v>0</v>
      </c>
      <c r="J684" s="5">
        <f>+IFERROR(VLOOKUP(J10,'נתוני מים 2014'!$C$2:$L$160,5,0)/1000,0)-IFERROR(VLOOKUP(J10,'נתוני מים 2014'!$C$2:$L$160,9,0)/1000,0)</f>
        <v>0</v>
      </c>
      <c r="K684" s="5">
        <f>+IFERROR(VLOOKUP(K10,'נתוני מים 2014'!$C$2:$L$160,5,0)/1000,0)-IFERROR(VLOOKUP(K10,'נתוני מים 2014'!$C$2:$L$160,9,0)/1000,0)</f>
        <v>3882.1549999999997</v>
      </c>
      <c r="L684" s="5">
        <f>+IFERROR(VLOOKUP(L10,'נתוני מים 2014'!$C$2:$L$160,5,0)/1000,0)-IFERROR(VLOOKUP(L10,'נתוני מים 2014'!$C$2:$L$160,9,0)/1000,0)</f>
        <v>0</v>
      </c>
      <c r="M684" s="5">
        <f>+IFERROR(VLOOKUP(M10,'נתוני מים 2014'!$C$2:$L$160,5,0)/1000,0)-IFERROR(VLOOKUP(M10,'נתוני מים 2014'!$C$2:$L$160,9,0)/1000,0)</f>
        <v>0</v>
      </c>
      <c r="N684" s="5">
        <f>+IFERROR(VLOOKUP(N10,'נתוני מים 2014'!$C$2:$L$160,5,0)/1000,0)-IFERROR(VLOOKUP(N10,'נתוני מים 2014'!$C$2:$L$160,9,0)/1000,0)</f>
        <v>0</v>
      </c>
      <c r="O684" s="5">
        <f>+IFERROR(VLOOKUP(O10,'נתוני מים 2014'!$C$2:$L$160,5,0)/1000,0)-IFERROR(VLOOKUP(O10,'נתוני מים 2014'!$C$2:$L$160,9,0)/1000,0)</f>
        <v>542.67499999999995</v>
      </c>
      <c r="P684" s="5">
        <f>+IFERROR(VLOOKUP(P10,'נתוני מים 2014'!$C$2:$L$160,5,0)/1000,0)-IFERROR(VLOOKUP(P10,'נתוני מים 2014'!$C$2:$L$160,9,0)/1000,0)</f>
        <v>529.90499999999997</v>
      </c>
      <c r="Q684" s="5">
        <f>+IFERROR(VLOOKUP(Q10,'נתוני מים 2014'!$C$2:$L$160,5,0)/1000,0)-IFERROR(VLOOKUP(Q10,'נתוני מים 2014'!$C$2:$L$160,9,0)/1000,0)</f>
        <v>0</v>
      </c>
      <c r="R684" s="5">
        <f>+IFERROR(VLOOKUP(R10,'נתוני מים 2014'!$C$2:$L$160,5,0)/1000,0)-IFERROR(VLOOKUP(R10,'נתוני מים 2014'!$C$2:$L$160,9,0)/1000,0)</f>
        <v>969.35599999999999</v>
      </c>
      <c r="S684" s="5">
        <f>+IFERROR(VLOOKUP(S10,'נתוני מים 2014'!$C$2:$L$160,5,0)/1000,0)-IFERROR(VLOOKUP(S10,'נתוני מים 2014'!$C$2:$L$160,9,0)/1000,0)</f>
        <v>0</v>
      </c>
      <c r="T684" s="5">
        <f>+IFERROR(VLOOKUP(T10,'נתוני מים 2014'!$C$2:$L$160,5,0)/1000,0)-IFERROR(VLOOKUP(T10,'נתוני מים 2014'!$C$2:$L$160,9,0)/1000,0)</f>
        <v>1844.1020000000001</v>
      </c>
      <c r="U684" s="5">
        <f>+IFERROR(VLOOKUP(U10,'נתוני מים 2014'!$C$2:$L$160,5,0)/1000,0)-IFERROR(VLOOKUP(U10,'נתוני מים 2014'!$C$2:$L$160,9,0)/1000,0)</f>
        <v>0</v>
      </c>
      <c r="V684" s="5">
        <f>+IFERROR(VLOOKUP(V10,'נתוני מים 2014'!$C$2:$L$160,5,0)/1000,0)-IFERROR(VLOOKUP(V10,'נתוני מים 2014'!$C$2:$L$160,9,0)/1000,0)</f>
        <v>355.01299999999998</v>
      </c>
      <c r="W684" s="5">
        <f>+IFERROR(VLOOKUP(W10,'נתוני מים 2014'!$C$2:$L$160,5,0)/1000,0)-IFERROR(VLOOKUP(W10,'נתוני מים 2014'!$C$2:$L$160,9,0)/1000,0)</f>
        <v>1527.539</v>
      </c>
      <c r="X684" s="5">
        <f>+IFERROR(VLOOKUP(X10,'נתוני מים 2014'!$C$2:$L$160,5,0)/1000,0)-IFERROR(VLOOKUP(X10,'נתוני מים 2014'!$C$2:$L$160,9,0)/1000,0)</f>
        <v>1172.396</v>
      </c>
      <c r="Y684" s="5">
        <f>+IFERROR(VLOOKUP(Y10,'נתוני מים 2014'!$C$2:$L$160,5,0)/1000,0)-IFERROR(VLOOKUP(Y10,'נתוני מים 2014'!$C$2:$L$160,9,0)/1000,0)</f>
        <v>511.21800000000002</v>
      </c>
      <c r="Z684" s="5">
        <f>+IFERROR(VLOOKUP(Z10,'נתוני מים 2014'!$C$2:$L$160,5,0)/1000,0)-IFERROR(VLOOKUP(Z10,'נתוני מים 2014'!$C$2:$L$160,9,0)/1000,0)</f>
        <v>0</v>
      </c>
      <c r="AA684" s="5">
        <f>+IFERROR(VLOOKUP(AA10,'נתוני מים 2014'!$C$2:$L$160,5,0)/1000,0)-IFERROR(VLOOKUP(AA10,'נתוני מים 2014'!$C$2:$L$160,9,0)/1000,0)</f>
        <v>0</v>
      </c>
      <c r="AB684" s="5">
        <f>+IFERROR(VLOOKUP(AB10,'נתוני מים 2014'!$C$2:$L$160,5,0)/1000,0)-IFERROR(VLOOKUP(AB10,'נתוני מים 2014'!$C$2:$L$160,9,0)/1000,0)</f>
        <v>0</v>
      </c>
      <c r="AC684" s="5">
        <f>+IFERROR(VLOOKUP(AC10,'נתוני מים 2014'!$C$2:$L$160,5,0)/1000,0)-IFERROR(VLOOKUP(AC10,'נתוני מים 2014'!$C$2:$L$160,9,0)/1000,0)</f>
        <v>0</v>
      </c>
      <c r="AD684" s="5">
        <f>+IFERROR(VLOOKUP(AD10,'נתוני מים 2014'!$C$2:$L$160,5,0)/1000,0)-IFERROR(VLOOKUP(AD10,'נתוני מים 2014'!$C$2:$L$160,9,0)/1000,0)</f>
        <v>0</v>
      </c>
      <c r="AE684" s="5">
        <f>+IFERROR(VLOOKUP(AE10,'נתוני מים 2014'!$C$2:$L$160,5,0)/1000,0)-IFERROR(VLOOKUP(AE10,'נתוני מים 2014'!$C$2:$L$160,9,0)/1000,0)</f>
        <v>0</v>
      </c>
      <c r="AF684" s="5">
        <f>+IFERROR(VLOOKUP(AF10,'נתוני מים 2014'!$C$2:$L$160,5,0)/1000,0)-IFERROR(VLOOKUP(AF10,'נתוני מים 2014'!$C$2:$L$160,9,0)/1000,0)</f>
        <v>0</v>
      </c>
      <c r="AG684" s="5">
        <f>+IFERROR(VLOOKUP(AG10,'נתוני מים 2014'!$C$2:$L$160,5,0)/1000,0)-IFERROR(VLOOKUP(AG10,'נתוני מים 2014'!$C$2:$L$160,9,0)/1000,0)</f>
        <v>0</v>
      </c>
      <c r="AH684" s="5">
        <f>+IFERROR(VLOOKUP(AH10,'נתוני מים 2014'!$C$2:$L$160,5,0)/1000,0)-IFERROR(VLOOKUP(AH10,'נתוני מים 2014'!$C$2:$L$160,9,0)/1000,0)</f>
        <v>0</v>
      </c>
      <c r="AI684" s="5">
        <f>+IFERROR(VLOOKUP(AI10,'נתוני מים 2014'!$C$2:$L$160,5,0)/1000,0)-IFERROR(VLOOKUP(AI10,'נתוני מים 2014'!$C$2:$L$160,9,0)/1000,0)</f>
        <v>0</v>
      </c>
      <c r="AJ684" s="5">
        <f>+IFERROR(VLOOKUP(AJ10,'נתוני מים 2014'!$C$2:$L$160,5,0)/1000,0)-IFERROR(VLOOKUP(AJ10,'נתוני מים 2014'!$C$2:$L$160,9,0)/1000,0)</f>
        <v>0</v>
      </c>
      <c r="AK684" s="5">
        <f>+IFERROR(VLOOKUP(AK10,'נתוני מים 2014'!$C$2:$L$160,5,0)/1000,0)-IFERROR(VLOOKUP(AK10,'נתוני מים 2014'!$C$2:$L$160,9,0)/1000,0)</f>
        <v>0</v>
      </c>
      <c r="AL684" s="5">
        <f>+IFERROR(VLOOKUP(AL10,'נתוני מים 2014'!$C$2:$L$160,5,0)/1000,0)-IFERROR(VLOOKUP(AL10,'נתוני מים 2014'!$C$2:$L$160,9,0)/1000,0)</f>
        <v>0</v>
      </c>
      <c r="AM684" s="5">
        <f>+IFERROR(VLOOKUP(AM10,'נתוני מים 2014'!$C$2:$L$160,5,0)/1000,0)-IFERROR(VLOOKUP(AM10,'נתוני מים 2014'!$C$2:$L$160,9,0)/1000,0)</f>
        <v>530.45399999999995</v>
      </c>
      <c r="AN684" s="5">
        <f>+IFERROR(VLOOKUP(AN10,'נתוני מים 2014'!$C$2:$L$160,5,0)/1000,0)-IFERROR(VLOOKUP(AN10,'נתוני מים 2014'!$C$2:$L$160,9,0)/1000,0)</f>
        <v>1176.954</v>
      </c>
      <c r="AO684" s="5">
        <f>+IFERROR(VLOOKUP(AO10,'נתוני מים 2014'!$C$2:$L$160,5,0)/1000,0)-IFERROR(VLOOKUP(AO10,'נתוני מים 2014'!$C$2:$L$160,9,0)/1000,0)</f>
        <v>0</v>
      </c>
      <c r="AP684" s="5">
        <f>+IFERROR(VLOOKUP(AP10,'נתוני מים 2014'!$C$2:$L$160,5,0)/1000,0)-IFERROR(VLOOKUP(AP10,'נתוני מים 2014'!$C$2:$L$160,9,0)/1000,0)</f>
        <v>0</v>
      </c>
      <c r="AQ684" s="5">
        <f>+IFERROR(VLOOKUP(AQ10,'נתוני מים 2014'!$C$2:$L$160,5,0)/1000,0)-IFERROR(VLOOKUP(AQ10,'נתוני מים 2014'!$C$2:$L$160,9,0)/1000,0)</f>
        <v>0</v>
      </c>
      <c r="AR684" s="5">
        <f>+IFERROR(VLOOKUP(AR10,'נתוני מים 2014'!$C$2:$L$160,5,0)/1000,0)-IFERROR(VLOOKUP(AR10,'נתוני מים 2014'!$C$2:$L$160,9,0)/1000,0)</f>
        <v>0</v>
      </c>
      <c r="AS684" s="5">
        <f>+IFERROR(VLOOKUP(AS10,'נתוני מים 2014'!$C$2:$L$160,5,0)/1000,0)-IFERROR(VLOOKUP(AS10,'נתוני מים 2014'!$C$2:$L$160,9,0)/1000,0)</f>
        <v>438.952</v>
      </c>
      <c r="AT684" s="5">
        <f>+IFERROR(VLOOKUP(AT10,'נתוני מים 2014'!$C$2:$L$160,5,0)/1000,0)-IFERROR(VLOOKUP(AT10,'נתוני מים 2014'!$C$2:$L$160,9,0)/1000,0)</f>
        <v>0</v>
      </c>
      <c r="AU684" s="5">
        <f>+IFERROR(VLOOKUP(AU10,'נתוני מים 2014'!$C$2:$L$160,5,0)/1000,0)-IFERROR(VLOOKUP(AU10,'נתוני מים 2014'!$C$2:$L$160,9,0)/1000,0)</f>
        <v>0</v>
      </c>
      <c r="AV684" s="5">
        <f>+IFERROR(VLOOKUP(AV10,'נתוני מים 2014'!$C$2:$L$160,5,0)/1000,0)-IFERROR(VLOOKUP(AV10,'נתוני מים 2014'!$C$2:$L$160,9,0)/1000,0)</f>
        <v>0</v>
      </c>
      <c r="AW684" s="5">
        <f>+IFERROR(VLOOKUP(AW10,'נתוני מים 2014'!$C$2:$L$160,5,0)/1000,0)-IFERROR(VLOOKUP(AW10,'נתוני מים 2014'!$C$2:$L$160,9,0)/1000,0)</f>
        <v>0</v>
      </c>
      <c r="AX684" s="5">
        <f>+IFERROR(VLOOKUP(AX10,'נתוני מים 2014'!$C$2:$L$160,5,0)/1000,0)-IFERROR(VLOOKUP(AX10,'נתוני מים 2014'!$C$2:$L$160,9,0)/1000,0)</f>
        <v>2094.306</v>
      </c>
      <c r="AY684" s="5">
        <f>+IFERROR(VLOOKUP(AY10,'נתוני מים 2014'!$C$2:$L$160,5,0)/1000,0)-IFERROR(VLOOKUP(AY10,'נתוני מים 2014'!$C$2:$L$160,9,0)/1000,0)</f>
        <v>0</v>
      </c>
      <c r="AZ684" s="5">
        <f>+IFERROR(VLOOKUP(AZ10,'נתוני מים 2014'!$C$2:$L$160,5,0)/1000,0)-IFERROR(VLOOKUP(AZ10,'נתוני מים 2014'!$C$2:$L$160,9,0)/1000,0)</f>
        <v>542.56399999999996</v>
      </c>
      <c r="BA684" s="5">
        <f>+IFERROR(VLOOKUP(BA10,'נתוני מים 2014'!$C$2:$L$160,5,0)/1000,0)-IFERROR(VLOOKUP(BA10,'נתוני מים 2014'!$C$2:$L$160,9,0)/1000,0)</f>
        <v>1053.5119999999999</v>
      </c>
      <c r="BB684" s="5">
        <f>+IFERROR(VLOOKUP(BB10,'נתוני מים 2014'!$C$2:$L$160,5,0)/1000,0)-IFERROR(VLOOKUP(BB10,'נתוני מים 2014'!$C$2:$L$160,9,0)/1000,0)</f>
        <v>522.68299999999999</v>
      </c>
      <c r="BC684" s="5">
        <f>+IFERROR(VLOOKUP(BC10,'נתוני מים 2014'!$C$2:$L$160,5,0)/1000,0)-IFERROR(VLOOKUP(BC10,'נתוני מים 2014'!$C$2:$L$160,9,0)/1000,0)</f>
        <v>616.673</v>
      </c>
      <c r="BD684" s="5">
        <f>+IFERROR(VLOOKUP(BD10,'נתוני מים 2014'!$C$2:$L$160,5,0)/1000,0)-IFERROR(VLOOKUP(BD10,'נתוני מים 2014'!$C$2:$L$160,9,0)/1000,0)</f>
        <v>0</v>
      </c>
      <c r="BE684" s="5">
        <f>+IFERROR(VLOOKUP(BE10,'נתוני מים 2014'!$C$2:$L$160,5,0)/1000,0)-IFERROR(VLOOKUP(BE10,'נתוני מים 2014'!$C$2:$L$160,9,0)/1000,0)</f>
        <v>0</v>
      </c>
      <c r="BF684" s="5">
        <f>+IFERROR(VLOOKUP(BF10,'נתוני מים 2014'!$C$2:$L$188,5,0)/1000,0)-IFERROR(VLOOKUP(BF10,'נתוני מים 2014'!$C$2:$L$188,9,0)/1000,0)</f>
        <v>0</v>
      </c>
    </row>
    <row r="685" spans="1:58" x14ac:dyDescent="0.2">
      <c r="A685" s="46"/>
      <c r="B685" s="1">
        <v>4</v>
      </c>
      <c r="C685" s="5">
        <f>+IFERROR(VLOOKUP(C11,'נתוני מים 2014'!$C$2:$L$160,5,0)/1000,0)-IFERROR(VLOOKUP(C11,'נתוני מים 2014'!$C$2:$L$160,9,0)/1000,0)</f>
        <v>0</v>
      </c>
      <c r="D685" s="5">
        <f>+IFERROR(VLOOKUP(D11,'נתוני מים 2014'!$C$2:$L$188,5,0)/1000,0)-IFERROR(VLOOKUP(D11,'נתוני מים 2014'!$C$2:$L$188,9,0)/1000,0)</f>
        <v>673.36199999999997</v>
      </c>
      <c r="E685" s="5">
        <f>+IFERROR(VLOOKUP(E11,'נתוני מים 2014'!$C$2:$L$160,5,0)/1000,0)-IFERROR(VLOOKUP(E11,'נתוני מים 2014'!$C$2:$L$160,9,0)/1000,0)</f>
        <v>0</v>
      </c>
      <c r="F685" s="5">
        <f>+IFERROR(VLOOKUP(F11,'נתוני מים 2014'!$C$2:$L$160,5,0)/1000,0)-IFERROR(VLOOKUP(F11,'נתוני מים 2014'!$C$2:$L$160,9,0)/1000,0)</f>
        <v>0</v>
      </c>
      <c r="G685" s="5">
        <f>+IFERROR(VLOOKUP(G11,'נתוני מים 2014'!$C$2:$L$160,5,0)/1000,0)-IFERROR(VLOOKUP(G11,'נתוני מים 2014'!$C$2:$L$160,9,0)/1000,0)</f>
        <v>0</v>
      </c>
      <c r="H685" s="5">
        <f>+IFERROR(VLOOKUP(H11,'נתוני מים 2014'!$C$2:$L$160,5,0)/1000,0)-IFERROR(VLOOKUP(H11,'נתוני מים 2014'!$C$2:$L$160,9,0)/1000,0)</f>
        <v>0</v>
      </c>
      <c r="I685" s="5">
        <f>+IFERROR(VLOOKUP(I11,'נתוני מים 2014'!$C$2:$L$160,5,0)/1000,0)-IFERROR(VLOOKUP(I11,'נתוני מים 2014'!$C$2:$L$160,9,0)/1000,0)</f>
        <v>0</v>
      </c>
      <c r="J685" s="5">
        <f>+IFERROR(VLOOKUP(J11,'נתוני מים 2014'!$C$2:$L$160,5,0)/1000,0)-IFERROR(VLOOKUP(J11,'נתוני מים 2014'!$C$2:$L$160,9,0)/1000,0)</f>
        <v>0</v>
      </c>
      <c r="K685" s="5">
        <f>+IFERROR(VLOOKUP(K11,'נתוני מים 2014'!$C$2:$L$160,5,0)/1000,0)-IFERROR(VLOOKUP(K11,'נתוני מים 2014'!$C$2:$L$160,9,0)/1000,0)</f>
        <v>0</v>
      </c>
      <c r="L685" s="5">
        <f>+IFERROR(VLOOKUP(L11,'נתוני מים 2014'!$C$2:$L$160,5,0)/1000,0)-IFERROR(VLOOKUP(L11,'נתוני מים 2014'!$C$2:$L$160,9,0)/1000,0)</f>
        <v>226.57499999999999</v>
      </c>
      <c r="M685" s="5">
        <f>+IFERROR(VLOOKUP(M11,'נתוני מים 2014'!$C$2:$L$160,5,0)/1000,0)-IFERROR(VLOOKUP(M11,'נתוני מים 2014'!$C$2:$L$160,9,0)/1000,0)</f>
        <v>0</v>
      </c>
      <c r="N685" s="5">
        <f>+IFERROR(VLOOKUP(N11,'נתוני מים 2014'!$C$2:$L$160,5,0)/1000,0)-IFERROR(VLOOKUP(N11,'נתוני מים 2014'!$C$2:$L$160,9,0)/1000,0)</f>
        <v>0</v>
      </c>
      <c r="O685" s="5">
        <f>+IFERROR(VLOOKUP(O11,'נתוני מים 2014'!$C$2:$L$160,5,0)/1000,0)-IFERROR(VLOOKUP(O11,'נתוני מים 2014'!$C$2:$L$160,9,0)/1000,0)</f>
        <v>3026.1550000000002</v>
      </c>
      <c r="P685" s="5">
        <f>+IFERROR(VLOOKUP(P11,'נתוני מים 2014'!$C$2:$L$160,5,0)/1000,0)-IFERROR(VLOOKUP(P11,'נתוני מים 2014'!$C$2:$L$160,9,0)/1000,0)</f>
        <v>180.05900000000003</v>
      </c>
      <c r="Q685" s="5">
        <f>+IFERROR(VLOOKUP(Q11,'נתוני מים 2014'!$C$2:$L$160,5,0)/1000,0)-IFERROR(VLOOKUP(Q11,'נתוני מים 2014'!$C$2:$L$160,9,0)/1000,0)</f>
        <v>0</v>
      </c>
      <c r="R685" s="5">
        <f>+IFERROR(VLOOKUP(R11,'נתוני מים 2014'!$C$2:$L$160,5,0)/1000,0)-IFERROR(VLOOKUP(R11,'נתוני מים 2014'!$C$2:$L$160,9,0)/1000,0)</f>
        <v>0</v>
      </c>
      <c r="S685" s="5">
        <f>+IFERROR(VLOOKUP(S11,'נתוני מים 2014'!$C$2:$L$160,5,0)/1000,0)-IFERROR(VLOOKUP(S11,'נתוני מים 2014'!$C$2:$L$160,9,0)/1000,0)</f>
        <v>0</v>
      </c>
      <c r="T685" s="5">
        <f>+IFERROR(VLOOKUP(T11,'נתוני מים 2014'!$C$2:$L$160,5,0)/1000,0)-IFERROR(VLOOKUP(T11,'נתוני מים 2014'!$C$2:$L$160,9,0)/1000,0)</f>
        <v>398.14400000000001</v>
      </c>
      <c r="U685" s="5">
        <f>+IFERROR(VLOOKUP(U11,'נתוני מים 2014'!$C$2:$L$160,5,0)/1000,0)-IFERROR(VLOOKUP(U11,'נתוני מים 2014'!$C$2:$L$160,9,0)/1000,0)</f>
        <v>0</v>
      </c>
      <c r="V685" s="5">
        <f>+IFERROR(VLOOKUP(V11,'נתוני מים 2014'!$C$2:$L$160,5,0)/1000,0)-IFERROR(VLOOKUP(V11,'נתוני מים 2014'!$C$2:$L$160,9,0)/1000,0)</f>
        <v>627.30999999999995</v>
      </c>
      <c r="W685" s="5">
        <f>+IFERROR(VLOOKUP(W11,'נתוני מים 2014'!$C$2:$L$160,5,0)/1000,0)-IFERROR(VLOOKUP(W11,'נתוני מים 2014'!$C$2:$L$160,9,0)/1000,0)</f>
        <v>221.23400000000001</v>
      </c>
      <c r="X685" s="5">
        <f>+IFERROR(VLOOKUP(X11,'נתוני מים 2014'!$C$2:$L$160,5,0)/1000,0)-IFERROR(VLOOKUP(X11,'נתוני מים 2014'!$C$2:$L$160,9,0)/1000,0)</f>
        <v>575.22799999999995</v>
      </c>
      <c r="Y685" s="5">
        <f>+IFERROR(VLOOKUP(Y11,'נתוני מים 2014'!$C$2:$L$160,5,0)/1000,0)-IFERROR(VLOOKUP(Y11,'נתוני מים 2014'!$C$2:$L$160,9,0)/1000,0)</f>
        <v>338.09199999999998</v>
      </c>
      <c r="Z685" s="5">
        <f>+IFERROR(VLOOKUP(Z11,'נתוני מים 2014'!$C$2:$L$160,5,0)/1000,0)-IFERROR(VLOOKUP(Z11,'נתוני מים 2014'!$C$2:$L$160,9,0)/1000,0)</f>
        <v>0</v>
      </c>
      <c r="AA685" s="5">
        <f>+IFERROR(VLOOKUP(AA11,'נתוני מים 2014'!$C$2:$L$160,5,0)/1000,0)-IFERROR(VLOOKUP(AA11,'נתוני מים 2014'!$C$2:$L$160,9,0)/1000,0)</f>
        <v>0</v>
      </c>
      <c r="AB685" s="5">
        <f>+IFERROR(VLOOKUP(AB11,'נתוני מים 2014'!$C$2:$L$160,5,0)/1000,0)-IFERROR(VLOOKUP(AB11,'נתוני מים 2014'!$C$2:$L$160,9,0)/1000,0)</f>
        <v>0</v>
      </c>
      <c r="AC685" s="5">
        <f>+IFERROR(VLOOKUP(AC11,'נתוני מים 2014'!$C$2:$L$160,5,0)/1000,0)-IFERROR(VLOOKUP(AC11,'נתוני מים 2014'!$C$2:$L$160,9,0)/1000,0)</f>
        <v>0</v>
      </c>
      <c r="AD685" s="5">
        <f>+IFERROR(VLOOKUP(AD11,'נתוני מים 2014'!$C$2:$L$160,5,0)/1000,0)-IFERROR(VLOOKUP(AD11,'נתוני מים 2014'!$C$2:$L$160,9,0)/1000,0)</f>
        <v>0</v>
      </c>
      <c r="AE685" s="5">
        <f>+IFERROR(VLOOKUP(AE11,'נתוני מים 2014'!$C$2:$L$160,5,0)/1000,0)-IFERROR(VLOOKUP(AE11,'נתוני מים 2014'!$C$2:$L$160,9,0)/1000,0)</f>
        <v>0</v>
      </c>
      <c r="AF685" s="5">
        <f>+IFERROR(VLOOKUP(AF11,'נתוני מים 2014'!$C$2:$L$160,5,0)/1000,0)-IFERROR(VLOOKUP(AF11,'נתוני מים 2014'!$C$2:$L$160,9,0)/1000,0)</f>
        <v>0</v>
      </c>
      <c r="AG685" s="5">
        <f>+IFERROR(VLOOKUP(AG11,'נתוני מים 2014'!$C$2:$L$160,5,0)/1000,0)-IFERROR(VLOOKUP(AG11,'נתוני מים 2014'!$C$2:$L$160,9,0)/1000,0)</f>
        <v>0</v>
      </c>
      <c r="AH685" s="5">
        <f>+IFERROR(VLOOKUP(AH11,'נתוני מים 2014'!$C$2:$L$160,5,0)/1000,0)-IFERROR(VLOOKUP(AH11,'נתוני מים 2014'!$C$2:$L$160,9,0)/1000,0)</f>
        <v>0</v>
      </c>
      <c r="AI685" s="5">
        <f>+IFERROR(VLOOKUP(AI11,'נתוני מים 2014'!$C$2:$L$160,5,0)/1000,0)-IFERROR(VLOOKUP(AI11,'נתוני מים 2014'!$C$2:$L$160,9,0)/1000,0)</f>
        <v>0</v>
      </c>
      <c r="AJ685" s="5">
        <f>+IFERROR(VLOOKUP(AJ11,'נתוני מים 2014'!$C$2:$L$160,5,0)/1000,0)-IFERROR(VLOOKUP(AJ11,'נתוני מים 2014'!$C$2:$L$160,9,0)/1000,0)</f>
        <v>0</v>
      </c>
      <c r="AK685" s="5">
        <f>+IFERROR(VLOOKUP(AK11,'נתוני מים 2014'!$C$2:$L$160,5,0)/1000,0)-IFERROR(VLOOKUP(AK11,'נתוני מים 2014'!$C$2:$L$160,9,0)/1000,0)</f>
        <v>0</v>
      </c>
      <c r="AL685" s="5">
        <f>+IFERROR(VLOOKUP(AL11,'נתוני מים 2014'!$C$2:$L$160,5,0)/1000,0)-IFERROR(VLOOKUP(AL11,'נתוני מים 2014'!$C$2:$L$160,9,0)/1000,0)</f>
        <v>0</v>
      </c>
      <c r="AM685" s="5">
        <f>+IFERROR(VLOOKUP(AM11,'נתוני מים 2014'!$C$2:$L$160,5,0)/1000,0)-IFERROR(VLOOKUP(AM11,'נתוני מים 2014'!$C$2:$L$160,9,0)/1000,0)</f>
        <v>1199.914</v>
      </c>
      <c r="AN685" s="5">
        <f>+IFERROR(VLOOKUP(AN11,'נתוני מים 2014'!$C$2:$L$160,5,0)/1000,0)-IFERROR(VLOOKUP(AN11,'נתוני מים 2014'!$C$2:$L$160,9,0)/1000,0)</f>
        <v>1105.162</v>
      </c>
      <c r="AO685" s="5">
        <f>+IFERROR(VLOOKUP(AO11,'נתוני מים 2014'!$C$2:$L$160,5,0)/1000,0)-IFERROR(VLOOKUP(AO11,'נתוני מים 2014'!$C$2:$L$160,9,0)/1000,0)</f>
        <v>0</v>
      </c>
      <c r="AP685" s="5">
        <f>+IFERROR(VLOOKUP(AP11,'נתוני מים 2014'!$C$2:$L$160,5,0)/1000,0)-IFERROR(VLOOKUP(AP11,'נתוני מים 2014'!$C$2:$L$160,9,0)/1000,0)</f>
        <v>0</v>
      </c>
      <c r="AQ685" s="5">
        <f>+IFERROR(VLOOKUP(AQ11,'נתוני מים 2014'!$C$2:$L$160,5,0)/1000,0)-IFERROR(VLOOKUP(AQ11,'נתוני מים 2014'!$C$2:$L$160,9,0)/1000,0)</f>
        <v>0</v>
      </c>
      <c r="AR685" s="5">
        <f>+IFERROR(VLOOKUP(AR11,'נתוני מים 2014'!$C$2:$L$160,5,0)/1000,0)-IFERROR(VLOOKUP(AR11,'נתוני מים 2014'!$C$2:$L$160,9,0)/1000,0)</f>
        <v>0</v>
      </c>
      <c r="AS685" s="5">
        <f>+IFERROR(VLOOKUP(AS11,'נתוני מים 2014'!$C$2:$L$160,5,0)/1000,0)-IFERROR(VLOOKUP(AS11,'נתוני מים 2014'!$C$2:$L$160,9,0)/1000,0)</f>
        <v>677.88100000000009</v>
      </c>
      <c r="AT685" s="5">
        <f>+IFERROR(VLOOKUP(AT11,'נתוני מים 2014'!$C$2:$L$160,5,0)/1000,0)-IFERROR(VLOOKUP(AT11,'נתוני מים 2014'!$C$2:$L$160,9,0)/1000,0)</f>
        <v>0</v>
      </c>
      <c r="AU685" s="5">
        <f>+IFERROR(VLOOKUP(AU11,'נתוני מים 2014'!$C$2:$L$160,5,0)/1000,0)-IFERROR(VLOOKUP(AU11,'נתוני מים 2014'!$C$2:$L$160,9,0)/1000,0)</f>
        <v>0</v>
      </c>
      <c r="AV685" s="5">
        <f>+IFERROR(VLOOKUP(AV11,'נתוני מים 2014'!$C$2:$L$160,5,0)/1000,0)-IFERROR(VLOOKUP(AV11,'נתוני מים 2014'!$C$2:$L$160,9,0)/1000,0)</f>
        <v>0</v>
      </c>
      <c r="AW685" s="5">
        <f>+IFERROR(VLOOKUP(AW11,'נתוני מים 2014'!$C$2:$L$160,5,0)/1000,0)-IFERROR(VLOOKUP(AW11,'נתוני מים 2014'!$C$2:$L$160,9,0)/1000,0)</f>
        <v>0</v>
      </c>
      <c r="AX685" s="5">
        <f>+IFERROR(VLOOKUP(AX11,'נתוני מים 2014'!$C$2:$L$160,5,0)/1000,0)-IFERROR(VLOOKUP(AX11,'נתוני מים 2014'!$C$2:$L$160,9,0)/1000,0)</f>
        <v>1779.384</v>
      </c>
      <c r="AY685" s="5">
        <f>+IFERROR(VLOOKUP(AY11,'נתוני מים 2014'!$C$2:$L$160,5,0)/1000,0)-IFERROR(VLOOKUP(AY11,'נתוני מים 2014'!$C$2:$L$160,9,0)/1000,0)</f>
        <v>0</v>
      </c>
      <c r="AZ685" s="5">
        <f>+IFERROR(VLOOKUP(AZ11,'נתוני מים 2014'!$C$2:$L$191,5,0)/1000,0)-IFERROR(VLOOKUP(AZ11,'נתוני מים 2014'!$C$2:$L$191,9,0)/1000,0)</f>
        <v>2307.17</v>
      </c>
      <c r="BA685" s="5">
        <f>+IFERROR(VLOOKUP(BA11,'נתוני מים 2014'!$C$2:$L$160,5,0)/1000,0)-IFERROR(VLOOKUP(BA11,'נתוני מים 2014'!$C$2:$L$160,9,0)/1000,0)</f>
        <v>600.07599999999991</v>
      </c>
      <c r="BB685" s="5">
        <f>+IFERROR(VLOOKUP(BB11,'נתוני מים 2014'!$C$2:$L$160,5,0)/1000,0)-IFERROR(VLOOKUP(BB11,'נתוני מים 2014'!$C$2:$L$160,9,0)/1000,0)</f>
        <v>670.62200000000007</v>
      </c>
      <c r="BC685" s="5">
        <f>+IFERROR(VLOOKUP(BC11,'נתוני מים 2014'!$C$2:$L$160,5,0)/1000,0)-IFERROR(VLOOKUP(BC11,'נתוני מים 2014'!$C$2:$L$160,9,0)/1000,0)</f>
        <v>1783.798</v>
      </c>
      <c r="BD685" s="5">
        <f>+IFERROR(VLOOKUP(BD11,'נתוני מים 2014'!$C$2:$L$160,5,0)/1000,0)-IFERROR(VLOOKUP(BD11,'נתוני מים 2014'!$C$2:$L$160,9,0)/1000,0)</f>
        <v>0</v>
      </c>
      <c r="BE685" s="5">
        <f>+IFERROR(VLOOKUP(BE11,'נתוני מים 2014'!$C$2:$L$160,5,0)/1000,0)-IFERROR(VLOOKUP(BE11,'נתוני מים 2014'!$C$2:$L$160,9,0)/1000,0)</f>
        <v>0</v>
      </c>
      <c r="BF685" s="5">
        <f>+IFERROR(VLOOKUP(BF11,'נתוני מים 2014'!$C$2:$L$188,5,0)/1000,0)-IFERROR(VLOOKUP(BF11,'נתוני מים 2014'!$C$2:$L$188,9,0)/1000,0)</f>
        <v>0</v>
      </c>
    </row>
    <row r="686" spans="1:58" x14ac:dyDescent="0.2">
      <c r="B686" s="1">
        <v>5</v>
      </c>
      <c r="C686" s="5">
        <f>+IFERROR(VLOOKUP(C12,'נתוני מים 2014'!$C$2:$L$160,5,0)/1000,0)-IFERROR(VLOOKUP(C12,'נתוני מים 2014'!$C$2:$L$160,9,0)/1000,0)</f>
        <v>0</v>
      </c>
      <c r="D686" s="5">
        <f>+IFERROR(VLOOKUP(D12,'נתוני מים 2014'!$C$2:$L$188,5,0)/1000,0)-IFERROR(VLOOKUP(D12,'נתוני מים 2014'!$C$2:$L$188,9,0)/1000,0)</f>
        <v>237.79900000000001</v>
      </c>
      <c r="E686" s="5">
        <f>+IFERROR(VLOOKUP(E12,'נתוני מים 2014'!$C$2:$L$160,5,0)/1000,0)-IFERROR(VLOOKUP(E12,'נתוני מים 2014'!$C$2:$L$160,9,0)/1000,0)</f>
        <v>0</v>
      </c>
      <c r="F686" s="5">
        <f>+IFERROR(VLOOKUP(F12,'נתוני מים 2014'!$C$2:$L$160,5,0)/1000,0)-IFERROR(VLOOKUP(F12,'נתוני מים 2014'!$C$2:$L$160,9,0)/1000,0)</f>
        <v>0</v>
      </c>
      <c r="G686" s="5">
        <f>+IFERROR(VLOOKUP(G12,'נתוני מים 2014'!$C$2:$L$160,5,0)/1000,0)-IFERROR(VLOOKUP(G12,'נתוני מים 2014'!$C$2:$L$160,9,0)/1000,0)</f>
        <v>0</v>
      </c>
      <c r="H686" s="5">
        <f>+IFERROR(VLOOKUP(H12,'נתוני מים 2014'!$C$2:$L$160,5,0)/1000,0)-IFERROR(VLOOKUP(H12,'נתוני מים 2014'!$C$2:$L$160,9,0)/1000,0)</f>
        <v>0</v>
      </c>
      <c r="I686" s="5">
        <f>+IFERROR(VLOOKUP(I12,'נתוני מים 2014'!$C$2:$L$160,5,0)/1000,0)-IFERROR(VLOOKUP(I12,'נתוני מים 2014'!$C$2:$L$160,9,0)/1000,0)</f>
        <v>0</v>
      </c>
      <c r="J686" s="5">
        <f>+IFERROR(VLOOKUP(J12,'נתוני מים 2014'!$C$2:$L$160,5,0)/1000,0)-IFERROR(VLOOKUP(J12,'נתוני מים 2014'!$C$2:$L$160,9,0)/1000,0)</f>
        <v>0</v>
      </c>
      <c r="K686" s="5">
        <f>+IFERROR(VLOOKUP(K12,'נתוני מים 2014'!$C$2:$L$160,5,0)/1000,0)-IFERROR(VLOOKUP(K12,'נתוני מים 2014'!$C$2:$L$160,9,0)/1000,0)</f>
        <v>0</v>
      </c>
      <c r="L686" s="5">
        <f>+IFERROR(VLOOKUP(L12,'נתוני מים 2014'!$C$2:$L$160,5,0)/1000,0)-IFERROR(VLOOKUP(L12,'נתוני מים 2014'!$C$2:$L$160,9,0)/1000,0)</f>
        <v>0</v>
      </c>
      <c r="M686" s="5">
        <f>+IFERROR(VLOOKUP(M12,'נתוני מים 2014'!$C$2:$L$160,5,0)/1000,0)-IFERROR(VLOOKUP(M12,'נתוני מים 2014'!$C$2:$L$160,9,0)/1000,0)</f>
        <v>0</v>
      </c>
      <c r="N686" s="5">
        <f>+IFERROR(VLOOKUP(N12,'נתוני מים 2014'!$C$2:$L$160,5,0)/1000,0)-IFERROR(VLOOKUP(N12,'נתוני מים 2014'!$C$2:$L$160,9,0)/1000,0)</f>
        <v>0</v>
      </c>
      <c r="O686" s="5">
        <f>+IFERROR(VLOOKUP(O12,'נתוני מים 2014'!$C$2:$L$160,5,0)/1000,0)-IFERROR(VLOOKUP(O12,'נתוני מים 2014'!$C$2:$L$160,9,0)/1000,0)</f>
        <v>0</v>
      </c>
      <c r="P686" s="5">
        <f>+IFERROR(VLOOKUP(P12,'נתוני מים 2014'!$C$2:$L$160,5,0)/1000,0)-IFERROR(VLOOKUP(P12,'נתוני מים 2014'!$C$2:$L$160,9,0)/1000,0)</f>
        <v>136.08700000000002</v>
      </c>
      <c r="Q686" s="5">
        <f>+IFERROR(VLOOKUP(Q12,'נתוני מים 2014'!$C$2:$L$160,5,0)/1000,0)-IFERROR(VLOOKUP(Q12,'נתוני מים 2014'!$C$2:$L$160,9,0)/1000,0)</f>
        <v>0</v>
      </c>
      <c r="R686" s="5">
        <f>+IFERROR(VLOOKUP(R12,'נתוני מים 2014'!$C$2:$L$160,5,0)/1000,0)-IFERROR(VLOOKUP(R12,'נתוני מים 2014'!$C$2:$L$160,9,0)/1000,0)</f>
        <v>0</v>
      </c>
      <c r="S686" s="5">
        <f>+IFERROR(VLOOKUP(S12,'נתוני מים 2014'!$C$2:$L$160,5,0)/1000,0)-IFERROR(VLOOKUP(S12,'נתוני מים 2014'!$C$2:$L$160,9,0)/1000,0)</f>
        <v>0</v>
      </c>
      <c r="T686" s="5">
        <f>+IFERROR(VLOOKUP(T12,'נתוני מים 2014'!$C$2:$L$160,5,0)/1000,0)-IFERROR(VLOOKUP(T12,'נתוני מים 2014'!$C$2:$L$160,9,0)/1000,0)</f>
        <v>0</v>
      </c>
      <c r="U686" s="5">
        <f>+IFERROR(VLOOKUP(U12,'נתוני מים 2014'!$C$2:$L$160,5,0)/1000,0)-IFERROR(VLOOKUP(U12,'נתוני מים 2014'!$C$2:$L$160,9,0)/1000,0)</f>
        <v>0</v>
      </c>
      <c r="V686" s="5">
        <f>+IFERROR(VLOOKUP(V12,'נתוני מים 2014'!$C$2:$L$160,5,0)/1000,0)-IFERROR(VLOOKUP(V12,'נתוני מים 2014'!$C$2:$L$160,9,0)/1000,0)</f>
        <v>619.74099999999999</v>
      </c>
      <c r="W686" s="5">
        <f>+IFERROR(VLOOKUP(W12,'נתוני מים 2014'!$C$2:$L$160,5,0)/1000,0)-IFERROR(VLOOKUP(W12,'נתוני מים 2014'!$C$2:$L$160,9,0)/1000,0)</f>
        <v>169.48499999999999</v>
      </c>
      <c r="X686" s="5">
        <f>+IFERROR(VLOOKUP(X12,'נתוני מים 2014'!$C$2:$L$160,5,0)/1000,0)-IFERROR(VLOOKUP(X12,'נתוני מים 2014'!$C$2:$L$160,9,0)/1000,0)</f>
        <v>831.33300000000008</v>
      </c>
      <c r="Y686" s="5">
        <f>+IFERROR(VLOOKUP(Y12,'נתוני מים 2014'!$C$2:$L$160,5,0)/1000,0)-IFERROR(VLOOKUP(Y12,'נתוני מים 2014'!$C$2:$L$160,9,0)/1000,0)</f>
        <v>0</v>
      </c>
      <c r="Z686" s="5">
        <f>+IFERROR(VLOOKUP(Z12,'נתוני מים 2014'!$C$2:$L$160,5,0)/1000,0)-IFERROR(VLOOKUP(Z12,'נתוני מים 2014'!$C$2:$L$160,9,0)/1000,0)</f>
        <v>0</v>
      </c>
      <c r="AA686" s="5">
        <f>+IFERROR(VLOOKUP(AA12,'נתוני מים 2014'!$C$2:$L$160,5,0)/1000,0)-IFERROR(VLOOKUP(AA12,'נתוני מים 2014'!$C$2:$L$160,9,0)/1000,0)</f>
        <v>0</v>
      </c>
      <c r="AB686" s="5">
        <f>+IFERROR(VLOOKUP(AB12,'נתוני מים 2014'!$C$2:$L$160,5,0)/1000,0)-IFERROR(VLOOKUP(AB12,'נתוני מים 2014'!$C$2:$L$160,9,0)/1000,0)</f>
        <v>0</v>
      </c>
      <c r="AC686" s="5">
        <f>+IFERROR(VLOOKUP(AC12,'נתוני מים 2014'!$C$2:$L$160,5,0)/1000,0)-IFERROR(VLOOKUP(AC12,'נתוני מים 2014'!$C$2:$L$160,9,0)/1000,0)</f>
        <v>0</v>
      </c>
      <c r="AD686" s="5">
        <f>+IFERROR(VLOOKUP(AD12,'נתוני מים 2014'!$C$2:$L$160,5,0)/1000,0)-IFERROR(VLOOKUP(AD12,'נתוני מים 2014'!$C$2:$L$160,9,0)/1000,0)</f>
        <v>0</v>
      </c>
      <c r="AE686" s="5">
        <f>+IFERROR(VLOOKUP(AE12,'נתוני מים 2014'!$C$2:$L$160,5,0)/1000,0)-IFERROR(VLOOKUP(AE12,'נתוני מים 2014'!$C$2:$L$160,9,0)/1000,0)</f>
        <v>0</v>
      </c>
      <c r="AF686" s="5">
        <f>+IFERROR(VLOOKUP(AF12,'נתוני מים 2014'!$C$2:$L$160,5,0)/1000,0)-IFERROR(VLOOKUP(AF12,'נתוני מים 2014'!$C$2:$L$160,9,0)/1000,0)</f>
        <v>0</v>
      </c>
      <c r="AG686" s="5">
        <f>+IFERROR(VLOOKUP(AG12,'נתוני מים 2014'!$C$2:$L$160,5,0)/1000,0)-IFERROR(VLOOKUP(AG12,'נתוני מים 2014'!$C$2:$L$160,9,0)/1000,0)</f>
        <v>0</v>
      </c>
      <c r="AH686" s="5">
        <f>+IFERROR(VLOOKUP(AH12,'נתוני מים 2014'!$C$2:$L$160,5,0)/1000,0)-IFERROR(VLOOKUP(AH12,'נתוני מים 2014'!$C$2:$L$160,9,0)/1000,0)</f>
        <v>0</v>
      </c>
      <c r="AI686" s="5">
        <f>+IFERROR(VLOOKUP(AI12,'נתוני מים 2014'!$C$2:$L$160,5,0)/1000,0)-IFERROR(VLOOKUP(AI12,'נתוני מים 2014'!$C$2:$L$160,9,0)/1000,0)</f>
        <v>0</v>
      </c>
      <c r="AJ686" s="5">
        <f>+IFERROR(VLOOKUP(AJ12,'נתוני מים 2014'!$C$2:$L$160,5,0)/1000,0)-IFERROR(VLOOKUP(AJ12,'נתוני מים 2014'!$C$2:$L$160,9,0)/1000,0)</f>
        <v>0</v>
      </c>
      <c r="AK686" s="5">
        <f>+IFERROR(VLOOKUP(AK12,'נתוני מים 2014'!$C$2:$L$160,5,0)/1000,0)-IFERROR(VLOOKUP(AK12,'נתוני מים 2014'!$C$2:$L$160,9,0)/1000,0)</f>
        <v>0</v>
      </c>
      <c r="AL686" s="5">
        <f>+IFERROR(VLOOKUP(AL12,'נתוני מים 2014'!$C$2:$L$160,5,0)/1000,0)-IFERROR(VLOOKUP(AL12,'נתוני מים 2014'!$C$2:$L$160,9,0)/1000,0)</f>
        <v>0</v>
      </c>
      <c r="AM686" s="5">
        <f>+IFERROR(VLOOKUP(AM12,'נתוני מים 2014'!$C$2:$L$160,5,0)/1000,0)-IFERROR(VLOOKUP(AM12,'נתוני מים 2014'!$C$2:$L$160,9,0)/1000,0)</f>
        <v>1015.756</v>
      </c>
      <c r="AN686" s="5">
        <f>+IFERROR(VLOOKUP(AN12,'נתוני מים 2014'!$C$2:$L$160,5,0)/1000,0)-IFERROR(VLOOKUP(AN12,'נתוני מים 2014'!$C$2:$L$160,9,0)/1000,0)</f>
        <v>1050.192</v>
      </c>
      <c r="AO686" s="5">
        <f>+IFERROR(VLOOKUP(AO12,'נתוני מים 2014'!$C$2:$L$160,5,0)/1000,0)-IFERROR(VLOOKUP(AO12,'נתוני מים 2014'!$C$2:$L$160,9,0)/1000,0)</f>
        <v>0</v>
      </c>
      <c r="AP686" s="5">
        <f>+IFERROR(VLOOKUP(AP12,'נתוני מים 2014'!$C$2:$L$160,5,0)/1000,0)-IFERROR(VLOOKUP(AP12,'נתוני מים 2014'!$C$2:$L$160,9,0)/1000,0)</f>
        <v>0</v>
      </c>
      <c r="AQ686" s="5">
        <f>+IFERROR(VLOOKUP(AQ12,'נתוני מים 2014'!$C$2:$L$160,5,0)/1000,0)-IFERROR(VLOOKUP(AQ12,'נתוני מים 2014'!$C$2:$L$160,9,0)/1000,0)</f>
        <v>0</v>
      </c>
      <c r="AR686" s="5">
        <f>+IFERROR(VLOOKUP(AR12,'נתוני מים 2014'!$C$2:$L$160,5,0)/1000,0)-IFERROR(VLOOKUP(AR12,'נתוני מים 2014'!$C$2:$L$160,9,0)/1000,0)</f>
        <v>0</v>
      </c>
      <c r="AS686" s="5">
        <f>+IFERROR(VLOOKUP(AS12,'נתוני מים 2014'!$C$2:$L$160,5,0)/1000,0)-IFERROR(VLOOKUP(AS12,'נתוני מים 2014'!$C$2:$L$160,9,0)/1000,0)</f>
        <v>2221.4410000000003</v>
      </c>
      <c r="AT686" s="5">
        <f>+IFERROR(VLOOKUP(AT12,'נתוני מים 2014'!$C$2:$L$160,5,0)/1000,0)-IFERROR(VLOOKUP(AT12,'נתוני מים 2014'!$C$2:$L$160,9,0)/1000,0)</f>
        <v>0</v>
      </c>
      <c r="AU686" s="5">
        <f>+IFERROR(VLOOKUP(AU12,'נתוני מים 2014'!$C$2:$L$160,5,0)/1000,0)-IFERROR(VLOOKUP(AU12,'נתוני מים 2014'!$C$2:$L$160,9,0)/1000,0)</f>
        <v>0</v>
      </c>
      <c r="AV686" s="5">
        <f>+IFERROR(VLOOKUP(AV12,'נתוני מים 2014'!$C$2:$L$160,5,0)/1000,0)-IFERROR(VLOOKUP(AV12,'נתוני מים 2014'!$C$2:$L$160,9,0)/1000,0)</f>
        <v>0</v>
      </c>
      <c r="AW686" s="5">
        <f>+IFERROR(VLOOKUP(AW12,'נתוני מים 2014'!$C$2:$L$160,5,0)/1000,0)-IFERROR(VLOOKUP(AW12,'נתוני מים 2014'!$C$2:$L$160,9,0)/1000,0)</f>
        <v>0</v>
      </c>
      <c r="AX686" s="5">
        <f>+IFERROR(VLOOKUP(AX12,'נתוני מים 2014'!$C$2:$L$160,5,0)/1000,0)-IFERROR(VLOOKUP(AX12,'נתוני מים 2014'!$C$2:$L$160,9,0)/1000,0)</f>
        <v>0</v>
      </c>
      <c r="AY686" s="5">
        <f>+IFERROR(VLOOKUP(AY12,'נתוני מים 2014'!$C$2:$L$160,5,0)/1000,0)-IFERROR(VLOOKUP(AY12,'נתוני מים 2014'!$C$2:$L$160,9,0)/1000,0)</f>
        <v>0</v>
      </c>
      <c r="AZ686" s="5">
        <f>+IFERROR(VLOOKUP(AZ12,'נתוני מים 2014'!$C$2:$L$160,5,0)/1000,0)-IFERROR(VLOOKUP(AZ12,'נתוני מים 2014'!$C$2:$L$160,9,0)/1000,0)</f>
        <v>0</v>
      </c>
      <c r="BA686" s="5">
        <f>+IFERROR(VLOOKUP(BA12,'נתוני מים 2014'!$C$2:$L$160,5,0)/1000,0)-IFERROR(VLOOKUP(BA12,'נתוני מים 2014'!$C$2:$L$160,9,0)/1000,0)</f>
        <v>0</v>
      </c>
      <c r="BB686" s="5">
        <f>+IFERROR(VLOOKUP(BB12,'נתוני מים 2014'!$C$2:$L$160,5,0)/1000,0)-IFERROR(VLOOKUP(BB12,'נתוני מים 2014'!$C$2:$L$160,9,0)/1000,0)</f>
        <v>1441.9240000000002</v>
      </c>
      <c r="BC686" s="5">
        <f>+IFERROR(VLOOKUP(BC12,'נתוני מים 2014'!$C$2:$L$160,5,0)/1000,0)-IFERROR(VLOOKUP(BC12,'נתוני מים 2014'!$C$2:$L$160,9,0)/1000,0)</f>
        <v>1908.644</v>
      </c>
      <c r="BD686" s="5">
        <f>+IFERROR(VLOOKUP(BD12,'נתוני מים 2014'!$C$2:$L$160,5,0)/1000,0)-IFERROR(VLOOKUP(BD12,'נתוני מים 2014'!$C$2:$L$160,9,0)/1000,0)</f>
        <v>0</v>
      </c>
      <c r="BE686" s="5">
        <f>+IFERROR(VLOOKUP(BE12,'נתוני מים 2014'!$C$2:$L$160,5,0)/1000,0)-IFERROR(VLOOKUP(BE12,'נתוני מים 2014'!$C$2:$L$160,9,0)/1000,0)</f>
        <v>0</v>
      </c>
      <c r="BF686" s="5">
        <f>+IFERROR(VLOOKUP(BF12,'נתוני מים 2014'!$C$2:$L$188,5,0)/1000,0)-IFERROR(VLOOKUP(BF12,'נתוני מים 2014'!$C$2:$L$188,9,0)/1000,0)</f>
        <v>0</v>
      </c>
    </row>
    <row r="687" spans="1:58" x14ac:dyDescent="0.2">
      <c r="B687" s="1">
        <v>6</v>
      </c>
      <c r="C687" s="5">
        <f>+IFERROR(VLOOKUP(C13,'נתוני מים 2014'!$C$2:$L$160,5,0)/1000,0)-IFERROR(VLOOKUP(C13,'נתוני מים 2014'!$C$2:$L$160,9,0)/1000,0)</f>
        <v>0</v>
      </c>
      <c r="D687" s="5">
        <f>+IFERROR(VLOOKUP(D13,'נתוני מים 2014'!$C$2:$L$188,5,0)/1000,0)-IFERROR(VLOOKUP(D13,'נתוני מים 2014'!$C$2:$L$188,9,0)/1000,0)</f>
        <v>134.72200000000001</v>
      </c>
      <c r="E687" s="5">
        <f>+IFERROR(VLOOKUP(E13,'נתוני מים 2014'!$C$2:$L$160,5,0)/1000,0)-IFERROR(VLOOKUP(E13,'נתוני מים 2014'!$C$2:$L$160,9,0)/1000,0)</f>
        <v>0</v>
      </c>
      <c r="F687" s="5">
        <f>+IFERROR(VLOOKUP(F13,'נתוני מים 2014'!$C$2:$L$160,5,0)/1000,0)-IFERROR(VLOOKUP(F13,'נתוני מים 2014'!$C$2:$L$160,9,0)/1000,0)</f>
        <v>0</v>
      </c>
      <c r="G687" s="5">
        <f>+IFERROR(VLOOKUP(G13,'נתוני מים 2014'!$C$2:$L$160,5,0)/1000,0)-IFERROR(VLOOKUP(G13,'נתוני מים 2014'!$C$2:$L$160,9,0)/1000,0)</f>
        <v>0</v>
      </c>
      <c r="H687" s="5">
        <f>+IFERROR(VLOOKUP(H13,'נתוני מים 2014'!$C$2:$L$160,5,0)/1000,0)-IFERROR(VLOOKUP(H13,'נתוני מים 2014'!$C$2:$L$160,9,0)/1000,0)</f>
        <v>0</v>
      </c>
      <c r="I687" s="5">
        <f>+IFERROR(VLOOKUP(I13,'נתוני מים 2014'!$C$2:$L$160,5,0)/1000,0)-IFERROR(VLOOKUP(I13,'נתוני מים 2014'!$C$2:$L$160,9,0)/1000,0)</f>
        <v>0</v>
      </c>
      <c r="J687" s="5">
        <f>+IFERROR(VLOOKUP(J13,'נתוני מים 2014'!$C$2:$L$160,5,0)/1000,0)-IFERROR(VLOOKUP(J13,'נתוני מים 2014'!$C$2:$L$160,9,0)/1000,0)</f>
        <v>0</v>
      </c>
      <c r="K687" s="5">
        <f>+IFERROR(VLOOKUP(K13,'נתוני מים 2014'!$C$2:$L$160,5,0)/1000,0)-IFERROR(VLOOKUP(K13,'נתוני מים 2014'!$C$2:$L$160,9,0)/1000,0)</f>
        <v>0</v>
      </c>
      <c r="L687" s="5">
        <f>+IFERROR(VLOOKUP(L13,'נתוני מים 2014'!$C$2:$L$160,5,0)/1000,0)-IFERROR(VLOOKUP(L13,'נתוני מים 2014'!$C$2:$L$160,9,0)/1000,0)</f>
        <v>0</v>
      </c>
      <c r="M687" s="5">
        <f>+IFERROR(VLOOKUP(M13,'נתוני מים 2014'!$C$2:$L$160,5,0)/1000,0)-IFERROR(VLOOKUP(M13,'נתוני מים 2014'!$C$2:$L$160,9,0)/1000,0)</f>
        <v>0</v>
      </c>
      <c r="N687" s="5">
        <f>+IFERROR(VLOOKUP(N13,'נתוני מים 2014'!$C$2:$L$160,5,0)/1000,0)-IFERROR(VLOOKUP(N13,'נתוני מים 2014'!$C$2:$L$160,9,0)/1000,0)</f>
        <v>0</v>
      </c>
      <c r="O687" s="5">
        <f>+IFERROR(VLOOKUP(O13,'נתוני מים 2014'!$C$2:$L$160,5,0)/1000,0)-IFERROR(VLOOKUP(O13,'נתוני מים 2014'!$C$2:$L$160,9,0)/1000,0)</f>
        <v>0</v>
      </c>
      <c r="P687" s="5">
        <f>+IFERROR(VLOOKUP(P13,'נתוני מים 2014'!$C$2:$L$160,5,0)/1000,0)-IFERROR(VLOOKUP(P13,'נתוני מים 2014'!$C$2:$L$160,9,0)/1000,0)</f>
        <v>367.98400000000004</v>
      </c>
      <c r="Q687" s="5">
        <f>+IFERROR(VLOOKUP(Q13,'נתוני מים 2014'!$C$2:$L$160,5,0)/1000,0)-IFERROR(VLOOKUP(Q13,'נתוני מים 2014'!$C$2:$L$160,9,0)/1000,0)</f>
        <v>0</v>
      </c>
      <c r="R687" s="5">
        <f>+IFERROR(VLOOKUP(R13,'נתוני מים 2014'!$C$2:$L$160,5,0)/1000,0)-IFERROR(VLOOKUP(R13,'נתוני מים 2014'!$C$2:$L$160,9,0)/1000,0)</f>
        <v>0</v>
      </c>
      <c r="S687" s="5">
        <f>+IFERROR(VLOOKUP(S13,'נתוני מים 2014'!$C$2:$L$160,5,0)/1000,0)-IFERROR(VLOOKUP(S13,'נתוני מים 2014'!$C$2:$L$160,9,0)/1000,0)</f>
        <v>0</v>
      </c>
      <c r="T687" s="5">
        <f>+IFERROR(VLOOKUP(T13,'נתוני מים 2014'!$C$2:$L$160,5,0)/1000,0)-IFERROR(VLOOKUP(T13,'נתוני מים 2014'!$C$2:$L$160,9,0)/1000,0)</f>
        <v>0</v>
      </c>
      <c r="U687" s="5">
        <f>+IFERROR(VLOOKUP(U13,'נתוני מים 2014'!$C$2:$L$160,5,0)/1000,0)-IFERROR(VLOOKUP(U13,'נתוני מים 2014'!$C$2:$L$160,9,0)/1000,0)</f>
        <v>0</v>
      </c>
      <c r="V687" s="5">
        <f>+IFERROR(VLOOKUP(V13,'נתוני מים 2014'!$C$2:$L$160,5,0)/1000,0)-IFERROR(VLOOKUP(V13,'נתוני מים 2014'!$C$2:$L$160,9,0)/1000,0)</f>
        <v>418.81300000000005</v>
      </c>
      <c r="W687" s="5">
        <f>+IFERROR(VLOOKUP(W13,'נתוני מים 2014'!$C$2:$L$160,5,0)/1000,0)-IFERROR(VLOOKUP(W13,'נתוני מים 2014'!$C$2:$L$160,9,0)/1000,0)</f>
        <v>2879.665</v>
      </c>
      <c r="X687" s="5">
        <f>+IFERROR(VLOOKUP(X13,'נתוני מים 2014'!$C$2:$L$160,5,0)/1000,0)-IFERROR(VLOOKUP(X13,'נתוני מים 2014'!$C$2:$L$160,9,0)/1000,0)</f>
        <v>0</v>
      </c>
      <c r="Y687" s="5">
        <f>+IFERROR(VLOOKUP(Y13,'נתוני מים 2014'!$C$2:$L$160,5,0)/1000,0)-IFERROR(VLOOKUP(Y13,'נתוני מים 2014'!$C$2:$L$160,9,0)/1000,0)</f>
        <v>0</v>
      </c>
      <c r="Z687" s="5">
        <f>+IFERROR(VLOOKUP(Z13,'נתוני מים 2014'!$C$2:$L$160,5,0)/1000,0)-IFERROR(VLOOKUP(Z13,'נתוני מים 2014'!$C$2:$L$160,9,0)/1000,0)</f>
        <v>0</v>
      </c>
      <c r="AA687" s="5">
        <f>+IFERROR(VLOOKUP(AA13,'נתוני מים 2014'!$C$2:$L$160,5,0)/1000,0)-IFERROR(VLOOKUP(AA13,'נתוני מים 2014'!$C$2:$L$160,9,0)/1000,0)</f>
        <v>0</v>
      </c>
      <c r="AB687" s="5">
        <f>+IFERROR(VLOOKUP(AB13,'נתוני מים 2014'!$C$2:$L$160,5,0)/1000,0)-IFERROR(VLOOKUP(AB13,'נתוני מים 2014'!$C$2:$L$160,9,0)/1000,0)</f>
        <v>0</v>
      </c>
      <c r="AC687" s="5">
        <f>+IFERROR(VLOOKUP(AC13,'נתוני מים 2014'!$C$2:$L$160,5,0)/1000,0)-IFERROR(VLOOKUP(AC13,'נתוני מים 2014'!$C$2:$L$160,9,0)/1000,0)</f>
        <v>0</v>
      </c>
      <c r="AD687" s="5">
        <f>+IFERROR(VLOOKUP(AD13,'נתוני מים 2014'!$C$2:$L$160,5,0)/1000,0)-IFERROR(VLOOKUP(AD13,'נתוני מים 2014'!$C$2:$L$160,9,0)/1000,0)</f>
        <v>0</v>
      </c>
      <c r="AE687" s="5">
        <f>+IFERROR(VLOOKUP(AE13,'נתוני מים 2014'!$C$2:$L$160,5,0)/1000,0)-IFERROR(VLOOKUP(AE13,'נתוני מים 2014'!$C$2:$L$160,9,0)/1000,0)</f>
        <v>0</v>
      </c>
      <c r="AF687" s="5">
        <f>+IFERROR(VLOOKUP(AF13,'נתוני מים 2014'!$C$2:$L$160,5,0)/1000,0)-IFERROR(VLOOKUP(AF13,'נתוני מים 2014'!$C$2:$L$160,9,0)/1000,0)</f>
        <v>0</v>
      </c>
      <c r="AG687" s="5">
        <f>+IFERROR(VLOOKUP(AG13,'נתוני מים 2014'!$C$2:$L$160,5,0)/1000,0)-IFERROR(VLOOKUP(AG13,'נתוני מים 2014'!$C$2:$L$160,9,0)/1000,0)</f>
        <v>0</v>
      </c>
      <c r="AH687" s="5">
        <f>+IFERROR(VLOOKUP(AH13,'נתוני מים 2014'!$C$2:$L$160,5,0)/1000,0)-IFERROR(VLOOKUP(AH13,'נתוני מים 2014'!$C$2:$L$160,9,0)/1000,0)</f>
        <v>0</v>
      </c>
      <c r="AI687" s="5">
        <f>+IFERROR(VLOOKUP(AI13,'נתוני מים 2014'!$C$2:$L$160,5,0)/1000,0)-IFERROR(VLOOKUP(AI13,'נתוני מים 2014'!$C$2:$L$160,9,0)/1000,0)</f>
        <v>0</v>
      </c>
      <c r="AJ687" s="5">
        <f>+IFERROR(VLOOKUP(AJ13,'נתוני מים 2014'!$C$2:$L$160,5,0)/1000,0)-IFERROR(VLOOKUP(AJ13,'נתוני מים 2014'!$C$2:$L$160,9,0)/1000,0)</f>
        <v>0</v>
      </c>
      <c r="AK687" s="5">
        <f>+IFERROR(VLOOKUP(AK13,'נתוני מים 2014'!$C$2:$L$160,5,0)/1000,0)-IFERROR(VLOOKUP(AK13,'נתוני מים 2014'!$C$2:$L$160,9,0)/1000,0)</f>
        <v>0</v>
      </c>
      <c r="AL687" s="5">
        <f>+IFERROR(VLOOKUP(AL13,'נתוני מים 2014'!$C$2:$L$160,5,0)/1000,0)-IFERROR(VLOOKUP(AL13,'נתוני מים 2014'!$C$2:$L$160,9,0)/1000,0)</f>
        <v>0</v>
      </c>
      <c r="AM687" s="5">
        <f>+IFERROR(VLOOKUP(AM13,'נתוני מים 2014'!$C$2:$L$160,5,0)/1000,0)-IFERROR(VLOOKUP(AM13,'נתוני מים 2014'!$C$2:$L$160,9,0)/1000,0)</f>
        <v>0</v>
      </c>
      <c r="AN687" s="5">
        <f>+IFERROR(VLOOKUP(AN13,'נתוני מים 2014'!$C$2:$L$160,5,0)/1000,0)-IFERROR(VLOOKUP(AN13,'נתוני מים 2014'!$C$2:$L$160,9,0)/1000,0)</f>
        <v>595.48599999999999</v>
      </c>
      <c r="AO687" s="5">
        <f>+IFERROR(VLOOKUP(AO13,'נתוני מים 2014'!$C$2:$L$160,5,0)/1000,0)-IFERROR(VLOOKUP(AO13,'נתוני מים 2014'!$C$2:$L$160,9,0)/1000,0)</f>
        <v>0</v>
      </c>
      <c r="AP687" s="5">
        <f>+IFERROR(VLOOKUP(AP13,'נתוני מים 2014'!$C$2:$L$160,5,0)/1000,0)-IFERROR(VLOOKUP(AP13,'נתוני מים 2014'!$C$2:$L$160,9,0)/1000,0)</f>
        <v>0</v>
      </c>
      <c r="AQ687" s="5">
        <f>+IFERROR(VLOOKUP(AQ13,'נתוני מים 2014'!$C$2:$L$160,5,0)/1000,0)-IFERROR(VLOOKUP(AQ13,'נתוני מים 2014'!$C$2:$L$160,9,0)/1000,0)</f>
        <v>0</v>
      </c>
      <c r="AR687" s="5">
        <f>+IFERROR(VLOOKUP(AR13,'נתוני מים 2014'!$C$2:$L$160,5,0)/1000,0)-IFERROR(VLOOKUP(AR13,'נתוני מים 2014'!$C$2:$L$160,9,0)/1000,0)</f>
        <v>0</v>
      </c>
      <c r="AS687" s="5">
        <f>+IFERROR(VLOOKUP(AS13,'נתוני מים 2014'!$C$2:$L$160,5,0)/1000,0)-IFERROR(VLOOKUP(AS13,'נתוני מים 2014'!$C$2:$L$160,9,0)/1000,0)</f>
        <v>527.18099999999993</v>
      </c>
      <c r="AT687" s="5">
        <f>+IFERROR(VLOOKUP(AT13,'נתוני מים 2014'!$C$2:$L$160,5,0)/1000,0)-IFERROR(VLOOKUP(AT13,'נתוני מים 2014'!$C$2:$L$160,9,0)/1000,0)</f>
        <v>0</v>
      </c>
      <c r="AU687" s="5">
        <f>+IFERROR(VLOOKUP(AU13,'נתוני מים 2014'!$C$2:$L$160,5,0)/1000,0)-IFERROR(VLOOKUP(AU13,'נתוני מים 2014'!$C$2:$L$160,9,0)/1000,0)</f>
        <v>0</v>
      </c>
      <c r="AV687" s="5">
        <f>+IFERROR(VLOOKUP(AV13,'נתוני מים 2014'!$C$2:$L$160,5,0)/1000,0)-IFERROR(VLOOKUP(AV13,'נתוני מים 2014'!$C$2:$L$160,9,0)/1000,0)</f>
        <v>0</v>
      </c>
      <c r="AW687" s="5">
        <f>+IFERROR(VLOOKUP(AW13,'נתוני מים 2014'!$C$2:$L$160,5,0)/1000,0)-IFERROR(VLOOKUP(AW13,'נתוני מים 2014'!$C$2:$L$160,9,0)/1000,0)</f>
        <v>0</v>
      </c>
      <c r="AX687" s="5">
        <f>+IFERROR(VLOOKUP(AX13,'נתוני מים 2014'!$C$2:$L$160,5,0)/1000,0)-IFERROR(VLOOKUP(AX13,'נתוני מים 2014'!$C$2:$L$160,9,0)/1000,0)</f>
        <v>0</v>
      </c>
      <c r="AY687" s="5">
        <f>+IFERROR(VLOOKUP(AY13,'נתוני מים 2014'!$C$2:$L$160,5,0)/1000,0)-IFERROR(VLOOKUP(AY13,'נתוני מים 2014'!$C$2:$L$160,9,0)/1000,0)</f>
        <v>0</v>
      </c>
      <c r="AZ687" s="5">
        <f>+IFERROR(VLOOKUP(AZ13,'נתוני מים 2014'!$C$2:$L$160,5,0)/1000,0)-IFERROR(VLOOKUP(AZ13,'נתוני מים 2014'!$C$2:$L$160,9,0)/1000,0)</f>
        <v>0</v>
      </c>
      <c r="BA687" s="5">
        <f>+IFERROR(VLOOKUP(BA13,'נתוני מים 2014'!$C$2:$L$160,5,0)/1000,0)-IFERROR(VLOOKUP(BA13,'נתוני מים 2014'!$C$2:$L$160,9,0)/1000,0)</f>
        <v>0</v>
      </c>
      <c r="BB687" s="5">
        <f>+IFERROR(VLOOKUP(BB13,'נתוני מים 2014'!$C$2:$L$160,5,0)/1000,0)-IFERROR(VLOOKUP(BB13,'נתוני מים 2014'!$C$2:$L$160,9,0)/1000,0)</f>
        <v>288.72400000000005</v>
      </c>
      <c r="BC687" s="5">
        <f>+IFERROR(VLOOKUP(BC13,'נתוני מים 2014'!$C$2:$L$160,5,0)/1000,0)-IFERROR(VLOOKUP(BC13,'נתוני מים 2014'!$C$2:$L$160,9,0)/1000,0)</f>
        <v>600.10299999999995</v>
      </c>
      <c r="BD687" s="5">
        <f>+IFERROR(VLOOKUP(BD13,'נתוני מים 2014'!$C$2:$L$160,5,0)/1000,0)-IFERROR(VLOOKUP(BD13,'נתוני מים 2014'!$C$2:$L$160,9,0)/1000,0)</f>
        <v>0</v>
      </c>
      <c r="BE687" s="5">
        <f>+IFERROR(VLOOKUP(BE13,'נתוני מים 2014'!$C$2:$L$160,5,0)/1000,0)-IFERROR(VLOOKUP(BE13,'נתוני מים 2014'!$C$2:$L$160,9,0)/1000,0)</f>
        <v>0</v>
      </c>
      <c r="BF687" s="5">
        <f>+IFERROR(VLOOKUP(BF13,'נתוני מים 2014'!$C$2:$L$188,5,0)/1000,0)-IFERROR(VLOOKUP(BF13,'נתוני מים 2014'!$C$2:$L$188,9,0)/1000,0)</f>
        <v>0</v>
      </c>
    </row>
    <row r="688" spans="1:58" x14ac:dyDescent="0.2">
      <c r="B688" s="1">
        <v>7</v>
      </c>
      <c r="C688" s="5">
        <f>+IFERROR(VLOOKUP(C14,'נתוני מים 2014'!$C$2:$L$160,5,0)/1000,0)-IFERROR(VLOOKUP(C14,'נתוני מים 2014'!$C$2:$L$160,9,0)/1000,0)</f>
        <v>0</v>
      </c>
      <c r="D688" s="5">
        <f>+IFERROR(VLOOKUP(D14,'נתוני מים 2014'!$C$2:$L$188,5,0)/1000,0)-IFERROR(VLOOKUP(D14,'נתוני מים 2014'!$C$2:$L$188,9,0)/1000,0)</f>
        <v>454.87100000000004</v>
      </c>
      <c r="E688" s="5">
        <f>+IFERROR(VLOOKUP(E14,'נתוני מים 2014'!$C$2:$L$160,5,0)/1000,0)-IFERROR(VLOOKUP(E14,'נתוני מים 2014'!$C$2:$L$160,9,0)/1000,0)</f>
        <v>0</v>
      </c>
      <c r="F688" s="5">
        <f>+IFERROR(VLOOKUP(F14,'נתוני מים 2014'!$C$2:$L$160,5,0)/1000,0)-IFERROR(VLOOKUP(F14,'נתוני מים 2014'!$C$2:$L$160,9,0)/1000,0)</f>
        <v>0</v>
      </c>
      <c r="G688" s="5">
        <f>+IFERROR(VLOOKUP(G14,'נתוני מים 2014'!$C$2:$L$160,5,0)/1000,0)-IFERROR(VLOOKUP(G14,'נתוני מים 2014'!$C$2:$L$160,9,0)/1000,0)</f>
        <v>0</v>
      </c>
      <c r="H688" s="5">
        <f>+IFERROR(VLOOKUP(H14,'נתוני מים 2014'!$C$2:$L$160,5,0)/1000,0)-IFERROR(VLOOKUP(H14,'נתוני מים 2014'!$C$2:$L$160,9,0)/1000,0)</f>
        <v>0</v>
      </c>
      <c r="I688" s="5">
        <f>+IFERROR(VLOOKUP(I14,'נתוני מים 2014'!$C$2:$L$160,5,0)/1000,0)-IFERROR(VLOOKUP(I14,'נתוני מים 2014'!$C$2:$L$160,9,0)/1000,0)</f>
        <v>0</v>
      </c>
      <c r="J688" s="5">
        <f>+IFERROR(VLOOKUP(J14,'נתוני מים 2014'!$C$2:$L$160,5,0)/1000,0)-IFERROR(VLOOKUP(J14,'נתוני מים 2014'!$C$2:$L$160,9,0)/1000,0)</f>
        <v>0</v>
      </c>
      <c r="K688" s="5">
        <f>+IFERROR(VLOOKUP(K14,'נתוני מים 2014'!$C$2:$L$160,5,0)/1000,0)-IFERROR(VLOOKUP(K14,'נתוני מים 2014'!$C$2:$L$160,9,0)/1000,0)</f>
        <v>0</v>
      </c>
      <c r="L688" s="5">
        <f>+IFERROR(VLOOKUP(L14,'נתוני מים 2014'!$C$2:$L$160,5,0)/1000,0)-IFERROR(VLOOKUP(L14,'נתוני מים 2014'!$C$2:$L$160,9,0)/1000,0)</f>
        <v>0</v>
      </c>
      <c r="M688" s="5">
        <f>+IFERROR(VLOOKUP(M14,'נתוני מים 2014'!$C$2:$L$160,5,0)/1000,0)-IFERROR(VLOOKUP(M14,'נתוני מים 2014'!$C$2:$L$160,9,0)/1000,0)</f>
        <v>0</v>
      </c>
      <c r="N688" s="5">
        <f>+IFERROR(VLOOKUP(N14,'נתוני מים 2014'!$C$2:$L$160,5,0)/1000,0)-IFERROR(VLOOKUP(N14,'נתוני מים 2014'!$C$2:$L$160,9,0)/1000,0)</f>
        <v>0</v>
      </c>
      <c r="O688" s="5">
        <f>+IFERROR(VLOOKUP(O14,'נתוני מים 2014'!$C$2:$L$160,5,0)/1000,0)-IFERROR(VLOOKUP(O14,'נתוני מים 2014'!$C$2:$L$160,9,0)/1000,0)</f>
        <v>0</v>
      </c>
      <c r="P688" s="5">
        <f>+IFERROR(VLOOKUP(P14,'נתוני מים 2014'!$C$2:$L$160,5,0)/1000,0)-IFERROR(VLOOKUP(P14,'נתוני מים 2014'!$C$2:$L$160,9,0)/1000,0)</f>
        <v>372.81299999999999</v>
      </c>
      <c r="Q688" s="5">
        <f>+IFERROR(VLOOKUP(Q14,'נתוני מים 2014'!$C$2:$L$160,5,0)/1000,0)-IFERROR(VLOOKUP(Q14,'נתוני מים 2014'!$C$2:$L$160,9,0)/1000,0)</f>
        <v>0</v>
      </c>
      <c r="R688" s="5">
        <f>+IFERROR(VLOOKUP(R14,'נתוני מים 2014'!$C$2:$L$160,5,0)/1000,0)-IFERROR(VLOOKUP(R14,'נתוני מים 2014'!$C$2:$L$160,9,0)/1000,0)</f>
        <v>0</v>
      </c>
      <c r="S688" s="5">
        <f>+IFERROR(VLOOKUP(S14,'נתוני מים 2014'!$C$2:$L$160,5,0)/1000,0)-IFERROR(VLOOKUP(S14,'נתוני מים 2014'!$C$2:$L$160,9,0)/1000,0)</f>
        <v>0</v>
      </c>
      <c r="T688" s="5">
        <f>+IFERROR(VLOOKUP(T14,'נתוני מים 2014'!$C$2:$L$160,5,0)/1000,0)-IFERROR(VLOOKUP(T14,'נתוני מים 2014'!$C$2:$L$160,9,0)/1000,0)</f>
        <v>0</v>
      </c>
      <c r="U688" s="5">
        <f>+IFERROR(VLOOKUP(U14,'נתוני מים 2014'!$C$2:$L$160,5,0)/1000,0)-IFERROR(VLOOKUP(U14,'נתוני מים 2014'!$C$2:$L$160,9,0)/1000,0)</f>
        <v>0</v>
      </c>
      <c r="V688" s="5">
        <f>+IFERROR(VLOOKUP(V14,'נתוני מים 2014'!$C$2:$L$160,5,0)/1000,0)-IFERROR(VLOOKUP(V14,'נתוני מים 2014'!$C$2:$L$160,9,0)/1000,0)</f>
        <v>387.52800000000002</v>
      </c>
      <c r="W688" s="5">
        <f>+IFERROR(VLOOKUP(W14,'נתוני מים 2014'!$C$2:$L$160,5,0)/1000,0)-IFERROR(VLOOKUP(W14,'נתוני מים 2014'!$C$2:$L$160,9,0)/1000,0)</f>
        <v>341.93799999999999</v>
      </c>
      <c r="X688" s="5">
        <f>+IFERROR(VLOOKUP(X14,'נתוני מים 2014'!$C$2:$L$160,5,0)/1000,0)-IFERROR(VLOOKUP(X14,'נתוני מים 2014'!$C$2:$L$160,9,0)/1000,0)</f>
        <v>0</v>
      </c>
      <c r="Y688" s="5">
        <f>+IFERROR(VLOOKUP(Y14,'נתוני מים 2014'!$C$2:$L$160,5,0)/1000,0)-IFERROR(VLOOKUP(Y14,'נתוני מים 2014'!$C$2:$L$160,9,0)/1000,0)</f>
        <v>0</v>
      </c>
      <c r="Z688" s="5">
        <f>+IFERROR(VLOOKUP(Z14,'נתוני מים 2014'!$C$2:$L$160,5,0)/1000,0)-IFERROR(VLOOKUP(Z14,'נתוני מים 2014'!$C$2:$L$160,9,0)/1000,0)</f>
        <v>0</v>
      </c>
      <c r="AA688" s="5">
        <f>+IFERROR(VLOOKUP(AA14,'נתוני מים 2014'!$C$2:$L$160,5,0)/1000,0)-IFERROR(VLOOKUP(AA14,'נתוני מים 2014'!$C$2:$L$160,9,0)/1000,0)</f>
        <v>0</v>
      </c>
      <c r="AB688" s="5">
        <f>+IFERROR(VLOOKUP(AB14,'נתוני מים 2014'!$C$2:$L$160,5,0)/1000,0)-IFERROR(VLOOKUP(AB14,'נתוני מים 2014'!$C$2:$L$160,9,0)/1000,0)</f>
        <v>0</v>
      </c>
      <c r="AC688" s="5">
        <f>+IFERROR(VLOOKUP(AC14,'נתוני מים 2014'!$C$2:$L$160,5,0)/1000,0)-IFERROR(VLOOKUP(AC14,'נתוני מים 2014'!$C$2:$L$160,9,0)/1000,0)</f>
        <v>0</v>
      </c>
      <c r="AD688" s="5">
        <f>+IFERROR(VLOOKUP(AD14,'נתוני מים 2014'!$C$2:$L$160,5,0)/1000,0)-IFERROR(VLOOKUP(AD14,'נתוני מים 2014'!$C$2:$L$160,9,0)/1000,0)</f>
        <v>0</v>
      </c>
      <c r="AE688" s="5">
        <f>+IFERROR(VLOOKUP(AE14,'נתוני מים 2014'!$C$2:$L$160,5,0)/1000,0)-IFERROR(VLOOKUP(AE14,'נתוני מים 2014'!$C$2:$L$160,9,0)/1000,0)</f>
        <v>0</v>
      </c>
      <c r="AF688" s="5">
        <f>+IFERROR(VLOOKUP(AF14,'נתוני מים 2014'!$C$2:$L$160,5,0)/1000,0)-IFERROR(VLOOKUP(AF14,'נתוני מים 2014'!$C$2:$L$160,9,0)/1000,0)</f>
        <v>0</v>
      </c>
      <c r="AG688" s="5">
        <f>+IFERROR(VLOOKUP(AG14,'נתוני מים 2014'!$C$2:$L$160,5,0)/1000,0)-IFERROR(VLOOKUP(AG14,'נתוני מים 2014'!$C$2:$L$160,9,0)/1000,0)</f>
        <v>0</v>
      </c>
      <c r="AH688" s="5">
        <f>+IFERROR(VLOOKUP(AH14,'נתוני מים 2014'!$C$2:$L$160,5,0)/1000,0)-IFERROR(VLOOKUP(AH14,'נתוני מים 2014'!$C$2:$L$160,9,0)/1000,0)</f>
        <v>0</v>
      </c>
      <c r="AI688" s="5">
        <f>+IFERROR(VLOOKUP(AI14,'נתוני מים 2014'!$C$2:$L$160,5,0)/1000,0)-IFERROR(VLOOKUP(AI14,'נתוני מים 2014'!$C$2:$L$160,9,0)/1000,0)</f>
        <v>0</v>
      </c>
      <c r="AJ688" s="5">
        <f>+IFERROR(VLOOKUP(AJ14,'נתוני מים 2014'!$C$2:$L$160,5,0)/1000,0)-IFERROR(VLOOKUP(AJ14,'נתוני מים 2014'!$C$2:$L$160,9,0)/1000,0)</f>
        <v>0</v>
      </c>
      <c r="AK688" s="5">
        <f>+IFERROR(VLOOKUP(AK14,'נתוני מים 2014'!$C$2:$L$160,5,0)/1000,0)-IFERROR(VLOOKUP(AK14,'נתוני מים 2014'!$C$2:$L$160,9,0)/1000,0)</f>
        <v>0</v>
      </c>
      <c r="AL688" s="5">
        <f>+IFERROR(VLOOKUP(AL14,'נתוני מים 2014'!$C$2:$L$160,5,0)/1000,0)-IFERROR(VLOOKUP(AL14,'נתוני מים 2014'!$C$2:$L$160,9,0)/1000,0)</f>
        <v>0</v>
      </c>
      <c r="AM688" s="5">
        <f>+IFERROR(VLOOKUP(AM14,'נתוני מים 2014'!$C$2:$L$160,5,0)/1000,0)-IFERROR(VLOOKUP(AM14,'נתוני מים 2014'!$C$2:$L$160,9,0)/1000,0)</f>
        <v>0</v>
      </c>
      <c r="AN688" s="5">
        <f>+IFERROR(VLOOKUP(AN14,'נתוני מים 2014'!$C$2:$L$160,5,0)/1000,0)-IFERROR(VLOOKUP(AN14,'נתוני מים 2014'!$C$2:$L$160,9,0)/1000,0)</f>
        <v>0</v>
      </c>
      <c r="AO688" s="5">
        <f>+IFERROR(VLOOKUP(AO14,'נתוני מים 2014'!$C$2:$L$160,5,0)/1000,0)-IFERROR(VLOOKUP(AO14,'נתוני מים 2014'!$C$2:$L$160,9,0)/1000,0)</f>
        <v>0</v>
      </c>
      <c r="AP688" s="5">
        <f>+IFERROR(VLOOKUP(AP14,'נתוני מים 2014'!$C$2:$L$160,5,0)/1000,0)-IFERROR(VLOOKUP(AP14,'נתוני מים 2014'!$C$2:$L$160,9,0)/1000,0)</f>
        <v>0</v>
      </c>
      <c r="AQ688" s="5">
        <f>+IFERROR(VLOOKUP(AQ14,'נתוני מים 2014'!$C$2:$L$160,5,0)/1000,0)-IFERROR(VLOOKUP(AQ14,'נתוני מים 2014'!$C$2:$L$160,9,0)/1000,0)</f>
        <v>0</v>
      </c>
      <c r="AR688" s="5">
        <f>+IFERROR(VLOOKUP(AR14,'נתוני מים 2014'!$C$2:$L$160,5,0)/1000,0)-IFERROR(VLOOKUP(AR14,'נתוני מים 2014'!$C$2:$L$160,9,0)/1000,0)</f>
        <v>0</v>
      </c>
      <c r="AS688" s="5">
        <f>+IFERROR(VLOOKUP(AS14,'נתוני מים 2014'!$C$2:$L$160,5,0)/1000,0)-IFERROR(VLOOKUP(AS14,'נתוני מים 2014'!$C$2:$L$160,9,0)/1000,0)</f>
        <v>384.02</v>
      </c>
      <c r="AT688" s="5">
        <f>+IFERROR(VLOOKUP(AT14,'נתוני מים 2014'!$C$2:$L$160,5,0)/1000,0)-IFERROR(VLOOKUP(AT14,'נתוני מים 2014'!$C$2:$L$160,9,0)/1000,0)</f>
        <v>0</v>
      </c>
      <c r="AU688" s="5">
        <f>+IFERROR(VLOOKUP(AU14,'נתוני מים 2014'!$C$2:$L$160,5,0)/1000,0)-IFERROR(VLOOKUP(AU14,'נתוני מים 2014'!$C$2:$L$160,9,0)/1000,0)</f>
        <v>0</v>
      </c>
      <c r="AV688" s="5">
        <f>+IFERROR(VLOOKUP(AV14,'נתוני מים 2014'!$C$2:$L$160,5,0)/1000,0)-IFERROR(VLOOKUP(AV14,'נתוני מים 2014'!$C$2:$L$160,9,0)/1000,0)</f>
        <v>0</v>
      </c>
      <c r="AW688" s="5">
        <f>+IFERROR(VLOOKUP(AW14,'נתוני מים 2014'!$C$2:$L$160,5,0)/1000,0)-IFERROR(VLOOKUP(AW14,'נתוני מים 2014'!$C$2:$L$160,9,0)/1000,0)</f>
        <v>0</v>
      </c>
      <c r="AX688" s="5">
        <f>+IFERROR(VLOOKUP(AX14,'נתוני מים 2014'!$C$2:$L$160,5,0)/1000,0)-IFERROR(VLOOKUP(AX14,'נתוני מים 2014'!$C$2:$L$160,9,0)/1000,0)</f>
        <v>0</v>
      </c>
      <c r="AY688" s="5">
        <f>+IFERROR(VLOOKUP(AY14,'נתוני מים 2014'!$C$2:$L$160,5,0)/1000,0)-IFERROR(VLOOKUP(AY14,'נתוני מים 2014'!$C$2:$L$160,9,0)/1000,0)</f>
        <v>0</v>
      </c>
      <c r="AZ688" s="5">
        <f>+IFERROR(VLOOKUP(AZ14,'נתוני מים 2014'!$C$2:$L$160,5,0)/1000,0)-IFERROR(VLOOKUP(AZ14,'נתוני מים 2014'!$C$2:$L$160,9,0)/1000,0)</f>
        <v>0</v>
      </c>
      <c r="BA688" s="5">
        <f>+IFERROR(VLOOKUP(BA14,'נתוני מים 2014'!$C$2:$L$160,5,0)/1000,0)-IFERROR(VLOOKUP(BA14,'נתוני מים 2014'!$C$2:$L$160,9,0)/1000,0)</f>
        <v>0</v>
      </c>
      <c r="BB688" s="5">
        <f>+IFERROR(VLOOKUP(BB14,'נתוני מים 2014'!$C$2:$L$160,5,0)/1000,0)-IFERROR(VLOOKUP(BB14,'נתוני מים 2014'!$C$2:$L$160,9,0)/1000,0)</f>
        <v>479.74399999999997</v>
      </c>
      <c r="BC688" s="5">
        <f>+IFERROR(VLOOKUP(BC14,'נתוני מים 2014'!$C$2:$L$160,5,0)/1000,0)-IFERROR(VLOOKUP(BC14,'נתוני מים 2014'!$C$2:$L$160,9,0)/1000,0)</f>
        <v>960.16300000000001</v>
      </c>
      <c r="BD688" s="5">
        <f>+IFERROR(VLOOKUP(BD14,'נתוני מים 2014'!$C$2:$L$160,5,0)/1000,0)-IFERROR(VLOOKUP(BD14,'נתוני מים 2014'!$C$2:$L$160,9,0)/1000,0)</f>
        <v>0</v>
      </c>
      <c r="BE688" s="5">
        <f>+IFERROR(VLOOKUP(BE14,'נתוני מים 2014'!$C$2:$L$160,5,0)/1000,0)-IFERROR(VLOOKUP(BE14,'נתוני מים 2014'!$C$2:$L$160,9,0)/1000,0)</f>
        <v>0</v>
      </c>
      <c r="BF688" s="5">
        <f>+IFERROR(VLOOKUP(BF14,'נתוני מים 2014'!$C$2:$L$188,5,0)/1000,0)-IFERROR(VLOOKUP(BF14,'נתוני מים 2014'!$C$2:$L$188,9,0)/1000,0)</f>
        <v>0</v>
      </c>
    </row>
    <row r="689" spans="2:58" x14ac:dyDescent="0.2">
      <c r="B689" s="1">
        <v>8</v>
      </c>
      <c r="C689" s="5">
        <f>+IFERROR(VLOOKUP(C15,'נתוני מים 2014'!$C$2:$L$160,5,0)/1000,0)-IFERROR(VLOOKUP(C15,'נתוני מים 2014'!$C$2:$L$160,9,0)/1000,0)</f>
        <v>0</v>
      </c>
      <c r="D689" s="5">
        <f>+IFERROR(VLOOKUP(D15,'נתוני מים 2014'!$C$2:$L$188,5,0)/1000,0)-IFERROR(VLOOKUP(D15,'נתוני מים 2014'!$C$2:$L$188,9,0)/1000,0)</f>
        <v>0</v>
      </c>
      <c r="E689" s="5">
        <f>+IFERROR(VLOOKUP(E15,'נתוני מים 2014'!$C$2:$L$160,5,0)/1000,0)-IFERROR(VLOOKUP(E15,'נתוני מים 2014'!$C$2:$L$160,9,0)/1000,0)</f>
        <v>0</v>
      </c>
      <c r="F689" s="5">
        <f>+IFERROR(VLOOKUP(F15,'נתוני מים 2014'!$C$2:$L$160,5,0)/1000,0)-IFERROR(VLOOKUP(F15,'נתוני מים 2014'!$C$2:$L$160,9,0)/1000,0)</f>
        <v>0</v>
      </c>
      <c r="G689" s="5">
        <f>+IFERROR(VLOOKUP(G15,'נתוני מים 2014'!$C$2:$L$160,5,0)/1000,0)-IFERROR(VLOOKUP(G15,'נתוני מים 2014'!$C$2:$L$160,9,0)/1000,0)</f>
        <v>0</v>
      </c>
      <c r="H689" s="5">
        <f>+IFERROR(VLOOKUP(H15,'נתוני מים 2014'!$C$2:$L$160,5,0)/1000,0)-IFERROR(VLOOKUP(H15,'נתוני מים 2014'!$C$2:$L$160,9,0)/1000,0)</f>
        <v>0</v>
      </c>
      <c r="I689" s="5">
        <f>+IFERROR(VLOOKUP(I15,'נתוני מים 2014'!$C$2:$L$160,5,0)/1000,0)-IFERROR(VLOOKUP(I15,'נתוני מים 2014'!$C$2:$L$160,9,0)/1000,0)</f>
        <v>0</v>
      </c>
      <c r="J689" s="5">
        <f>+IFERROR(VLOOKUP(J15,'נתוני מים 2014'!$C$2:$L$160,5,0)/1000,0)-IFERROR(VLOOKUP(J15,'נתוני מים 2014'!$C$2:$L$160,9,0)/1000,0)</f>
        <v>0</v>
      </c>
      <c r="K689" s="5">
        <f>+IFERROR(VLOOKUP(K15,'נתוני מים 2014'!$C$2:$L$160,5,0)/1000,0)-IFERROR(VLOOKUP(K15,'נתוני מים 2014'!$C$2:$L$160,9,0)/1000,0)</f>
        <v>0</v>
      </c>
      <c r="L689" s="5">
        <f>+IFERROR(VLOOKUP(L15,'נתוני מים 2014'!$C$2:$L$160,5,0)/1000,0)-IFERROR(VLOOKUP(L15,'נתוני מים 2014'!$C$2:$L$160,9,0)/1000,0)</f>
        <v>0</v>
      </c>
      <c r="M689" s="5">
        <f>+IFERROR(VLOOKUP(M15,'נתוני מים 2014'!$C$2:$L$160,5,0)/1000,0)-IFERROR(VLOOKUP(M15,'נתוני מים 2014'!$C$2:$L$160,9,0)/1000,0)</f>
        <v>0</v>
      </c>
      <c r="N689" s="5">
        <f>+IFERROR(VLOOKUP(N15,'נתוני מים 2014'!$C$2:$L$160,5,0)/1000,0)-IFERROR(VLOOKUP(N15,'נתוני מים 2014'!$C$2:$L$160,9,0)/1000,0)</f>
        <v>0</v>
      </c>
      <c r="O689" s="5">
        <f>+IFERROR(VLOOKUP(O15,'נתוני מים 2014'!$C$2:$L$160,5,0)/1000,0)-IFERROR(VLOOKUP(O15,'נתוני מים 2014'!$C$2:$L$160,9,0)/1000,0)</f>
        <v>0</v>
      </c>
      <c r="P689" s="5">
        <f>+IFERROR(VLOOKUP(P15,'נתוני מים 2014'!$C$2:$L$160,5,0)/1000,0)-IFERROR(VLOOKUP(P15,'נתוני מים 2014'!$C$2:$L$160,9,0)/1000,0)</f>
        <v>186.41300000000001</v>
      </c>
      <c r="Q689" s="5">
        <f>+IFERROR(VLOOKUP(Q15,'נתוני מים 2014'!$C$2:$L$160,5,0)/1000,0)-IFERROR(VLOOKUP(Q15,'נתוני מים 2014'!$C$2:$L$160,9,0)/1000,0)</f>
        <v>0</v>
      </c>
      <c r="R689" s="5">
        <f>+IFERROR(VLOOKUP(R15,'נתוני מים 2014'!$C$2:$L$160,5,0)/1000,0)-IFERROR(VLOOKUP(R15,'נתוני מים 2014'!$C$2:$L$160,9,0)/1000,0)</f>
        <v>0</v>
      </c>
      <c r="S689" s="5">
        <f>+IFERROR(VLOOKUP(S15,'נתוני מים 2014'!$C$2:$L$160,5,0)/1000,0)-IFERROR(VLOOKUP(S15,'נתוני מים 2014'!$C$2:$L$160,9,0)/1000,0)</f>
        <v>0</v>
      </c>
      <c r="T689" s="5">
        <f>+IFERROR(VLOOKUP(T15,'נתוני מים 2014'!$C$2:$L$160,5,0)/1000,0)-IFERROR(VLOOKUP(T15,'נתוני מים 2014'!$C$2:$L$160,9,0)/1000,0)</f>
        <v>0</v>
      </c>
      <c r="U689" s="5">
        <f>+IFERROR(VLOOKUP(U15,'נתוני מים 2014'!$C$2:$L$160,5,0)/1000,0)-IFERROR(VLOOKUP(U15,'נתוני מים 2014'!$C$2:$L$160,9,0)/1000,0)</f>
        <v>0</v>
      </c>
      <c r="V689" s="5">
        <f>+IFERROR(VLOOKUP(V15,'נתוני מים 2014'!$C$2:$L$160,5,0)/1000,0)-IFERROR(VLOOKUP(V15,'נתוני מים 2014'!$C$2:$L$160,9,0)/1000,0)</f>
        <v>0</v>
      </c>
      <c r="W689" s="5">
        <f>+IFERROR(VLOOKUP(W15,'נתוני מים 2014'!$C$2:$L$160,5,0)/1000,0)-IFERROR(VLOOKUP(W15,'נתוני מים 2014'!$C$2:$L$160,9,0)/1000,0)</f>
        <v>0</v>
      </c>
      <c r="X689" s="5">
        <f>+IFERROR(VLOOKUP(X15,'נתוני מים 2014'!$C$2:$L$160,5,0)/1000,0)-IFERROR(VLOOKUP(X15,'נתוני מים 2014'!$C$2:$L$160,9,0)/1000,0)</f>
        <v>0</v>
      </c>
      <c r="Y689" s="5">
        <f>+IFERROR(VLOOKUP(Y15,'נתוני מים 2014'!$C$2:$L$160,5,0)/1000,0)-IFERROR(VLOOKUP(Y15,'נתוני מים 2014'!$C$2:$L$160,9,0)/1000,0)</f>
        <v>0</v>
      </c>
      <c r="Z689" s="5">
        <f>+IFERROR(VLOOKUP(Z15,'נתוני מים 2014'!$C$2:$L$160,5,0)/1000,0)-IFERROR(VLOOKUP(Z15,'נתוני מים 2014'!$C$2:$L$160,9,0)/1000,0)</f>
        <v>0</v>
      </c>
      <c r="AA689" s="5">
        <f>+IFERROR(VLOOKUP(AA15,'נתוני מים 2014'!$C$2:$L$160,5,0)/1000,0)-IFERROR(VLOOKUP(AA15,'נתוני מים 2014'!$C$2:$L$160,9,0)/1000,0)</f>
        <v>0</v>
      </c>
      <c r="AB689" s="5">
        <f>+IFERROR(VLOOKUP(AB15,'נתוני מים 2014'!$C$2:$L$160,5,0)/1000,0)-IFERROR(VLOOKUP(AB15,'נתוני מים 2014'!$C$2:$L$160,9,0)/1000,0)</f>
        <v>0</v>
      </c>
      <c r="AC689" s="5">
        <f>+IFERROR(VLOOKUP(AC15,'נתוני מים 2014'!$C$2:$L$160,5,0)/1000,0)-IFERROR(VLOOKUP(AC15,'נתוני מים 2014'!$C$2:$L$160,9,0)/1000,0)</f>
        <v>0</v>
      </c>
      <c r="AD689" s="5">
        <f>+IFERROR(VLOOKUP(AD15,'נתוני מים 2014'!$C$2:$L$160,5,0)/1000,0)-IFERROR(VLOOKUP(AD15,'נתוני מים 2014'!$C$2:$L$160,9,0)/1000,0)</f>
        <v>0</v>
      </c>
      <c r="AE689" s="5">
        <f>+IFERROR(VLOOKUP(AE15,'נתוני מים 2014'!$C$2:$L$160,5,0)/1000,0)-IFERROR(VLOOKUP(AE15,'נתוני מים 2014'!$C$2:$L$160,9,0)/1000,0)</f>
        <v>0</v>
      </c>
      <c r="AF689" s="5">
        <f>+IFERROR(VLOOKUP(AF15,'נתוני מים 2014'!$C$2:$L$160,5,0)/1000,0)-IFERROR(VLOOKUP(AF15,'נתוני מים 2014'!$C$2:$L$160,9,0)/1000,0)</f>
        <v>0</v>
      </c>
      <c r="AG689" s="5">
        <f>+IFERROR(VLOOKUP(AG15,'נתוני מים 2014'!$C$2:$L$160,5,0)/1000,0)-IFERROR(VLOOKUP(AG15,'נתוני מים 2014'!$C$2:$L$160,9,0)/1000,0)</f>
        <v>0</v>
      </c>
      <c r="AH689" s="5">
        <f>+IFERROR(VLOOKUP(AH15,'נתוני מים 2014'!$C$2:$L$160,5,0)/1000,0)-IFERROR(VLOOKUP(AH15,'נתוני מים 2014'!$C$2:$L$160,9,0)/1000,0)</f>
        <v>0</v>
      </c>
      <c r="AI689" s="5">
        <f>+IFERROR(VLOOKUP(AI15,'נתוני מים 2014'!$C$2:$L$160,5,0)/1000,0)-IFERROR(VLOOKUP(AI15,'נתוני מים 2014'!$C$2:$L$160,9,0)/1000,0)</f>
        <v>0</v>
      </c>
      <c r="AJ689" s="5">
        <f>+IFERROR(VLOOKUP(AJ15,'נתוני מים 2014'!$C$2:$L$160,5,0)/1000,0)-IFERROR(VLOOKUP(AJ15,'נתוני מים 2014'!$C$2:$L$160,9,0)/1000,0)</f>
        <v>0</v>
      </c>
      <c r="AK689" s="5">
        <f>+IFERROR(VLOOKUP(AK15,'נתוני מים 2014'!$C$2:$L$160,5,0)/1000,0)-IFERROR(VLOOKUP(AK15,'נתוני מים 2014'!$C$2:$L$160,9,0)/1000,0)</f>
        <v>0</v>
      </c>
      <c r="AL689" s="5">
        <f>+IFERROR(VLOOKUP(AL15,'נתוני מים 2014'!$C$2:$L$160,5,0)/1000,0)-IFERROR(VLOOKUP(AL15,'נתוני מים 2014'!$C$2:$L$160,9,0)/1000,0)</f>
        <v>0</v>
      </c>
      <c r="AM689" s="5">
        <f>+IFERROR(VLOOKUP(AM15,'נתוני מים 2014'!$C$2:$L$160,5,0)/1000,0)-IFERROR(VLOOKUP(AM15,'נתוני מים 2014'!$C$2:$L$160,9,0)/1000,0)</f>
        <v>0</v>
      </c>
      <c r="AN689" s="5">
        <f>+IFERROR(VLOOKUP(AN15,'נתוני מים 2014'!$C$2:$L$160,5,0)/1000,0)-IFERROR(VLOOKUP(AN15,'נתוני מים 2014'!$C$2:$L$160,9,0)/1000,0)</f>
        <v>0</v>
      </c>
      <c r="AO689" s="5">
        <f>+IFERROR(VLOOKUP(AO15,'נתוני מים 2014'!$C$2:$L$160,5,0)/1000,0)-IFERROR(VLOOKUP(AO15,'נתוני מים 2014'!$C$2:$L$160,9,0)/1000,0)</f>
        <v>0</v>
      </c>
      <c r="AP689" s="5">
        <f>+IFERROR(VLOOKUP(AP15,'נתוני מים 2014'!$C$2:$L$160,5,0)/1000,0)-IFERROR(VLOOKUP(AP15,'נתוני מים 2014'!$C$2:$L$160,9,0)/1000,0)</f>
        <v>0</v>
      </c>
      <c r="AQ689" s="5">
        <f>+IFERROR(VLOOKUP(AQ15,'נתוני מים 2014'!$C$2:$L$160,5,0)/1000,0)-IFERROR(VLOOKUP(AQ15,'נתוני מים 2014'!$C$2:$L$160,9,0)/1000,0)</f>
        <v>0</v>
      </c>
      <c r="AR689" s="5">
        <f>+IFERROR(VLOOKUP(AR15,'נתוני מים 2014'!$C$2:$L$160,5,0)/1000,0)-IFERROR(VLOOKUP(AR15,'נתוני מים 2014'!$C$2:$L$160,9,0)/1000,0)</f>
        <v>0</v>
      </c>
      <c r="AS689" s="5">
        <f>+IFERROR(VLOOKUP(AS15,'נתוני מים 2014'!$C$2:$L$160,5,0)/1000,0)-IFERROR(VLOOKUP(AS15,'נתוני מים 2014'!$C$2:$L$160,9,0)/1000,0)</f>
        <v>883.26599999999996</v>
      </c>
      <c r="AT689" s="5">
        <f>+IFERROR(VLOOKUP(AT15,'נתוני מים 2014'!$C$2:$L$160,5,0)/1000,0)-IFERROR(VLOOKUP(AT15,'נתוני מים 2014'!$C$2:$L$160,9,0)/1000,0)</f>
        <v>0</v>
      </c>
      <c r="AU689" s="5">
        <f>+IFERROR(VLOOKUP(AU15,'נתוני מים 2014'!$C$2:$L$160,5,0)/1000,0)-IFERROR(VLOOKUP(AU15,'נתוני מים 2014'!$C$2:$L$160,9,0)/1000,0)</f>
        <v>0</v>
      </c>
      <c r="AV689" s="5">
        <f>+IFERROR(VLOOKUP(AV15,'נתוני מים 2014'!$C$2:$L$160,5,0)/1000,0)-IFERROR(VLOOKUP(AV15,'נתוני מים 2014'!$C$2:$L$160,9,0)/1000,0)</f>
        <v>0</v>
      </c>
      <c r="AW689" s="5">
        <f>+IFERROR(VLOOKUP(AW15,'נתוני מים 2014'!$C$2:$L$160,5,0)/1000,0)-IFERROR(VLOOKUP(AW15,'נתוני מים 2014'!$C$2:$L$160,9,0)/1000,0)</f>
        <v>0</v>
      </c>
      <c r="AX689" s="5">
        <f>+IFERROR(VLOOKUP(AX15,'נתוני מים 2014'!$C$2:$L$160,5,0)/1000,0)-IFERROR(VLOOKUP(AX15,'נתוני מים 2014'!$C$2:$L$160,9,0)/1000,0)</f>
        <v>0</v>
      </c>
      <c r="AY689" s="5">
        <f>+IFERROR(VLOOKUP(AY15,'נתוני מים 2014'!$C$2:$L$160,5,0)/1000,0)-IFERROR(VLOOKUP(AY15,'נתוני מים 2014'!$C$2:$L$160,9,0)/1000,0)</f>
        <v>0</v>
      </c>
      <c r="AZ689" s="5">
        <f>+IFERROR(VLOOKUP(AZ15,'נתוני מים 2014'!$C$2:$L$160,5,0)/1000,0)-IFERROR(VLOOKUP(AZ15,'נתוני מים 2014'!$C$2:$L$160,9,0)/1000,0)</f>
        <v>0</v>
      </c>
      <c r="BA689" s="5">
        <f>+IFERROR(VLOOKUP(BA15,'נתוני מים 2014'!$C$2:$L$160,5,0)/1000,0)-IFERROR(VLOOKUP(BA15,'נתוני מים 2014'!$C$2:$L$160,9,0)/1000,0)</f>
        <v>0</v>
      </c>
      <c r="BB689" s="5">
        <f>+IFERROR(VLOOKUP(BB15,'נתוני מים 2014'!$C$2:$L$160,5,0)/1000,0)-IFERROR(VLOOKUP(BB15,'נתוני מים 2014'!$C$2:$L$160,9,0)/1000,0)</f>
        <v>0</v>
      </c>
      <c r="BC689" s="5">
        <f>+IFERROR(VLOOKUP(BC15,'נתוני מים 2014'!$C$2:$L$160,5,0)/1000,0)-IFERROR(VLOOKUP(BC15,'נתוני מים 2014'!$C$2:$L$160,9,0)/1000,0)</f>
        <v>0</v>
      </c>
      <c r="BD689" s="5">
        <f>+IFERROR(VLOOKUP(BD15,'נתוני מים 2014'!$C$2:$L$160,5,0)/1000,0)-IFERROR(VLOOKUP(BD15,'נתוני מים 2014'!$C$2:$L$160,9,0)/1000,0)</f>
        <v>0</v>
      </c>
      <c r="BE689" s="5">
        <f>+IFERROR(VLOOKUP(BE15,'נתוני מים 2014'!$C$2:$L$160,5,0)/1000,0)-IFERROR(VLOOKUP(BE15,'נתוני מים 2014'!$C$2:$L$160,9,0)/1000,0)</f>
        <v>0</v>
      </c>
      <c r="BF689" s="5">
        <f>+IFERROR(VLOOKUP(BF15,'נתוני מים 2014'!$C$2:$L$188,5,0)/1000,0)-IFERROR(VLOOKUP(BF15,'נתוני מים 2014'!$C$2:$L$188,9,0)/1000,0)</f>
        <v>0</v>
      </c>
    </row>
    <row r="690" spans="2:58" x14ac:dyDescent="0.2">
      <c r="B690" s="1">
        <v>9</v>
      </c>
      <c r="C690" s="5">
        <f>+IFERROR(VLOOKUP(C16,'נתוני מים 2014'!$C$2:$L$160,5,0)/1000,0)-IFERROR(VLOOKUP(C16,'נתוני מים 2014'!$C$2:$L$160,9,0)/1000,0)</f>
        <v>0</v>
      </c>
      <c r="D690" s="5">
        <f>+IFERROR(VLOOKUP(D16,'נתוני מים 2014'!$C$2:$L$188,5,0)/1000,0)-IFERROR(VLOOKUP(D16,'נתוני מים 2014'!$C$2:$L$188,9,0)/1000,0)</f>
        <v>0</v>
      </c>
      <c r="E690" s="5">
        <f>+IFERROR(VLOOKUP(E16,'נתוני מים 2014'!$C$2:$L$160,5,0)/1000,0)-IFERROR(VLOOKUP(E16,'נתוני מים 2014'!$C$2:$L$160,9,0)/1000,0)</f>
        <v>0</v>
      </c>
      <c r="F690" s="5">
        <f>+IFERROR(VLOOKUP(F16,'נתוני מים 2014'!$C$2:$L$160,5,0)/1000,0)-IFERROR(VLOOKUP(F16,'נתוני מים 2014'!$C$2:$L$160,9,0)/1000,0)</f>
        <v>0</v>
      </c>
      <c r="G690" s="5">
        <f>+IFERROR(VLOOKUP(G16,'נתוני מים 2014'!$C$2:$L$160,5,0)/1000,0)-IFERROR(VLOOKUP(G16,'נתוני מים 2014'!$C$2:$L$160,9,0)/1000,0)</f>
        <v>0</v>
      </c>
      <c r="H690" s="5">
        <f>+IFERROR(VLOOKUP(H16,'נתוני מים 2014'!$C$2:$L$160,5,0)/1000,0)-IFERROR(VLOOKUP(H16,'נתוני מים 2014'!$C$2:$L$160,9,0)/1000,0)</f>
        <v>0</v>
      </c>
      <c r="I690" s="5">
        <f>+IFERROR(VLOOKUP(I16,'נתוני מים 2014'!$C$2:$L$160,5,0)/1000,0)-IFERROR(VLOOKUP(I16,'נתוני מים 2014'!$C$2:$L$160,9,0)/1000,0)</f>
        <v>0</v>
      </c>
      <c r="J690" s="5">
        <f>+IFERROR(VLOOKUP(J16,'נתוני מים 2014'!$C$2:$L$160,5,0)/1000,0)-IFERROR(VLOOKUP(J16,'נתוני מים 2014'!$C$2:$L$160,9,0)/1000,0)</f>
        <v>0</v>
      </c>
      <c r="K690" s="5">
        <f>+IFERROR(VLOOKUP(K16,'נתוני מים 2014'!$C$2:$L$160,5,0)/1000,0)-IFERROR(VLOOKUP(K16,'נתוני מים 2014'!$C$2:$L$160,9,0)/1000,0)</f>
        <v>0</v>
      </c>
      <c r="L690" s="5">
        <f>+IFERROR(VLOOKUP(L16,'נתוני מים 2014'!$C$2:$L$160,5,0)/1000,0)-IFERROR(VLOOKUP(L16,'נתוני מים 2014'!$C$2:$L$160,9,0)/1000,0)</f>
        <v>0</v>
      </c>
      <c r="M690" s="5">
        <f>+IFERROR(VLOOKUP(M16,'נתוני מים 2014'!$C$2:$L$160,5,0)/1000,0)-IFERROR(VLOOKUP(M16,'נתוני מים 2014'!$C$2:$L$160,9,0)/1000,0)</f>
        <v>0</v>
      </c>
      <c r="N690" s="5">
        <f>+IFERROR(VLOOKUP(N16,'נתוני מים 2014'!$C$2:$L$160,5,0)/1000,0)-IFERROR(VLOOKUP(N16,'נתוני מים 2014'!$C$2:$L$160,9,0)/1000,0)</f>
        <v>0</v>
      </c>
      <c r="O690" s="5">
        <f>+IFERROR(VLOOKUP(O16,'נתוני מים 2014'!$C$2:$L$160,5,0)/1000,0)-IFERROR(VLOOKUP(O16,'נתוני מים 2014'!$C$2:$L$160,9,0)/1000,0)</f>
        <v>0</v>
      </c>
      <c r="P690" s="5">
        <f>+IFERROR(VLOOKUP(P16,'נתוני מים 2014'!$C$2:$L$160,5,0)/1000,0)-IFERROR(VLOOKUP(P16,'נתוני מים 2014'!$C$2:$L$160,9,0)/1000,0)</f>
        <v>1375.308</v>
      </c>
      <c r="Q690" s="5">
        <f>+IFERROR(VLOOKUP(Q16,'נתוני מים 2014'!$C$2:$L$160,5,0)/1000,0)-IFERROR(VLOOKUP(Q16,'נתוני מים 2014'!$C$2:$L$160,9,0)/1000,0)</f>
        <v>0</v>
      </c>
      <c r="R690" s="5">
        <f>+IFERROR(VLOOKUP(R16,'נתוני מים 2014'!$C$2:$L$160,5,0)/1000,0)-IFERROR(VLOOKUP(R16,'נתוני מים 2014'!$C$2:$L$160,9,0)/1000,0)</f>
        <v>0</v>
      </c>
      <c r="S690" s="5">
        <f>+IFERROR(VLOOKUP(S16,'נתוני מים 2014'!$C$2:$L$160,5,0)/1000,0)-IFERROR(VLOOKUP(S16,'נתוני מים 2014'!$C$2:$L$160,9,0)/1000,0)</f>
        <v>0</v>
      </c>
      <c r="T690" s="5">
        <f>+IFERROR(VLOOKUP(T16,'נתוני מים 2014'!$C$2:$L$160,5,0)/1000,0)-IFERROR(VLOOKUP(T16,'נתוני מים 2014'!$C$2:$L$160,9,0)/1000,0)</f>
        <v>0</v>
      </c>
      <c r="U690" s="5">
        <f>+IFERROR(VLOOKUP(U16,'נתוני מים 2014'!$C$2:$L$160,5,0)/1000,0)-IFERROR(VLOOKUP(U16,'נתוני מים 2014'!$C$2:$L$160,9,0)/1000,0)</f>
        <v>0</v>
      </c>
      <c r="V690" s="5">
        <f>+IFERROR(VLOOKUP(V16,'נתוני מים 2014'!$C$2:$L$160,5,0)/1000,0)-IFERROR(VLOOKUP(V16,'נתוני מים 2014'!$C$2:$L$160,9,0)/1000,0)</f>
        <v>0</v>
      </c>
      <c r="W690" s="5">
        <f>+IFERROR(VLOOKUP(W16,'נתוני מים 2014'!$C$2:$L$160,5,0)/1000,0)-IFERROR(VLOOKUP(W16,'נתוני מים 2014'!$C$2:$L$160,9,0)/1000,0)</f>
        <v>0</v>
      </c>
      <c r="X690" s="5">
        <f>+IFERROR(VLOOKUP(X16,'נתוני מים 2014'!$C$2:$L$160,5,0)/1000,0)-IFERROR(VLOOKUP(X16,'נתוני מים 2014'!$C$2:$L$160,9,0)/1000,0)</f>
        <v>0</v>
      </c>
      <c r="Y690" s="5">
        <f>+IFERROR(VLOOKUP(Y16,'נתוני מים 2014'!$C$2:$L$160,5,0)/1000,0)-IFERROR(VLOOKUP(Y16,'נתוני מים 2014'!$C$2:$L$160,9,0)/1000,0)</f>
        <v>0</v>
      </c>
      <c r="Z690" s="5">
        <f>+IFERROR(VLOOKUP(Z16,'נתוני מים 2014'!$C$2:$L$160,5,0)/1000,0)-IFERROR(VLOOKUP(Z16,'נתוני מים 2014'!$C$2:$L$160,9,0)/1000,0)</f>
        <v>0</v>
      </c>
      <c r="AA690" s="5">
        <f>+IFERROR(VLOOKUP(AA16,'נתוני מים 2014'!$C$2:$L$160,5,0)/1000,0)-IFERROR(VLOOKUP(AA16,'נתוני מים 2014'!$C$2:$L$160,9,0)/1000,0)</f>
        <v>0</v>
      </c>
      <c r="AB690" s="5">
        <f>+IFERROR(VLOOKUP(AB16,'נתוני מים 2014'!$C$2:$L$160,5,0)/1000,0)-IFERROR(VLOOKUP(AB16,'נתוני מים 2014'!$C$2:$L$160,9,0)/1000,0)</f>
        <v>0</v>
      </c>
      <c r="AC690" s="5">
        <f>+IFERROR(VLOOKUP(AC16,'נתוני מים 2014'!$C$2:$L$160,5,0)/1000,0)-IFERROR(VLOOKUP(AC16,'נתוני מים 2014'!$C$2:$L$160,9,0)/1000,0)</f>
        <v>0</v>
      </c>
      <c r="AD690" s="5">
        <f>+IFERROR(VLOOKUP(AD16,'נתוני מים 2014'!$C$2:$L$160,5,0)/1000,0)-IFERROR(VLOOKUP(AD16,'נתוני מים 2014'!$C$2:$L$160,9,0)/1000,0)</f>
        <v>0</v>
      </c>
      <c r="AE690" s="5">
        <f>+IFERROR(VLOOKUP(AE16,'נתוני מים 2014'!$C$2:$L$160,5,0)/1000,0)-IFERROR(VLOOKUP(AE16,'נתוני מים 2014'!$C$2:$L$160,9,0)/1000,0)</f>
        <v>0</v>
      </c>
      <c r="AF690" s="5">
        <f>+IFERROR(VLOOKUP(AF16,'נתוני מים 2014'!$C$2:$L$160,5,0)/1000,0)-IFERROR(VLOOKUP(AF16,'נתוני מים 2014'!$C$2:$L$160,9,0)/1000,0)</f>
        <v>0</v>
      </c>
      <c r="AG690" s="5">
        <f>+IFERROR(VLOOKUP(AG16,'נתוני מים 2014'!$C$2:$L$160,5,0)/1000,0)-IFERROR(VLOOKUP(AG16,'נתוני מים 2014'!$C$2:$L$160,9,0)/1000,0)</f>
        <v>0</v>
      </c>
      <c r="AH690" s="5">
        <f>+IFERROR(VLOOKUP(AH16,'נתוני מים 2014'!$C$2:$L$160,5,0)/1000,0)-IFERROR(VLOOKUP(AH16,'נתוני מים 2014'!$C$2:$L$160,9,0)/1000,0)</f>
        <v>0</v>
      </c>
      <c r="AI690" s="5">
        <f>+IFERROR(VLOOKUP(AI16,'נתוני מים 2014'!$C$2:$L$160,5,0)/1000,0)-IFERROR(VLOOKUP(AI16,'נתוני מים 2014'!$C$2:$L$160,9,0)/1000,0)</f>
        <v>0</v>
      </c>
      <c r="AJ690" s="5">
        <f>+IFERROR(VLOOKUP(AJ16,'נתוני מים 2014'!$C$2:$L$160,5,0)/1000,0)-IFERROR(VLOOKUP(AJ16,'נתוני מים 2014'!$C$2:$L$160,9,0)/1000,0)</f>
        <v>0</v>
      </c>
      <c r="AK690" s="5">
        <f>+IFERROR(VLOOKUP(AK16,'נתוני מים 2014'!$C$2:$L$160,5,0)/1000,0)-IFERROR(VLOOKUP(AK16,'נתוני מים 2014'!$C$2:$L$160,9,0)/1000,0)</f>
        <v>0</v>
      </c>
      <c r="AL690" s="5">
        <f>+IFERROR(VLOOKUP(AL16,'נתוני מים 2014'!$C$2:$L$160,5,0)/1000,0)-IFERROR(VLOOKUP(AL16,'נתוני מים 2014'!$C$2:$L$160,9,0)/1000,0)</f>
        <v>0</v>
      </c>
      <c r="AM690" s="5">
        <f>+IFERROR(VLOOKUP(AM16,'נתוני מים 2014'!$C$2:$L$160,5,0)/1000,0)-IFERROR(VLOOKUP(AM16,'נתוני מים 2014'!$C$2:$L$160,9,0)/1000,0)</f>
        <v>0</v>
      </c>
      <c r="AN690" s="5">
        <f>+IFERROR(VLOOKUP(AN16,'נתוני מים 2014'!$C$2:$L$160,5,0)/1000,0)-IFERROR(VLOOKUP(AN16,'נתוני מים 2014'!$C$2:$L$160,9,0)/1000,0)</f>
        <v>0</v>
      </c>
      <c r="AO690" s="5">
        <f>+IFERROR(VLOOKUP(AO16,'נתוני מים 2014'!$C$2:$L$160,5,0)/1000,0)-IFERROR(VLOOKUP(AO16,'נתוני מים 2014'!$C$2:$L$160,9,0)/1000,0)</f>
        <v>0</v>
      </c>
      <c r="AP690" s="5">
        <f>+IFERROR(VLOOKUP(AP16,'נתוני מים 2014'!$C$2:$L$160,5,0)/1000,0)-IFERROR(VLOOKUP(AP16,'נתוני מים 2014'!$C$2:$L$160,9,0)/1000,0)</f>
        <v>0</v>
      </c>
      <c r="AQ690" s="5">
        <f>+IFERROR(VLOOKUP(AQ16,'נתוני מים 2014'!$C$2:$L$160,5,0)/1000,0)-IFERROR(VLOOKUP(AQ16,'נתוני מים 2014'!$C$2:$L$160,9,0)/1000,0)</f>
        <v>0</v>
      </c>
      <c r="AR690" s="5">
        <f>+IFERROR(VLOOKUP(AR16,'נתוני מים 2014'!$C$2:$L$160,5,0)/1000,0)-IFERROR(VLOOKUP(AR16,'נתוני מים 2014'!$C$2:$L$160,9,0)/1000,0)</f>
        <v>0</v>
      </c>
      <c r="AS690" s="5">
        <f>+IFERROR(VLOOKUP(AS16,'נתוני מים 2014'!$C$2:$L$160,5,0)/1000,0)-IFERROR(VLOOKUP(AS16,'נתוני מים 2014'!$C$2:$L$160,9,0)/1000,0)</f>
        <v>222.67999999999998</v>
      </c>
      <c r="AT690" s="5">
        <f>+IFERROR(VLOOKUP(AT16,'נתוני מים 2014'!$C$2:$L$160,5,0)/1000,0)-IFERROR(VLOOKUP(AT16,'נתוני מים 2014'!$C$2:$L$160,9,0)/1000,0)</f>
        <v>0</v>
      </c>
      <c r="AU690" s="5">
        <f>+IFERROR(VLOOKUP(AU16,'נתוני מים 2014'!$C$2:$L$160,5,0)/1000,0)-IFERROR(VLOOKUP(AU16,'נתוני מים 2014'!$C$2:$L$160,9,0)/1000,0)</f>
        <v>0</v>
      </c>
      <c r="AV690" s="5">
        <f>+IFERROR(VLOOKUP(AV16,'נתוני מים 2014'!$C$2:$L$160,5,0)/1000,0)-IFERROR(VLOOKUP(AV16,'נתוני מים 2014'!$C$2:$L$160,9,0)/1000,0)</f>
        <v>0</v>
      </c>
      <c r="AW690" s="5">
        <f>+IFERROR(VLOOKUP(AW16,'נתוני מים 2014'!$C$2:$L$160,5,0)/1000,0)-IFERROR(VLOOKUP(AW16,'נתוני מים 2014'!$C$2:$L$160,9,0)/1000,0)</f>
        <v>0</v>
      </c>
      <c r="AX690" s="5">
        <f>+IFERROR(VLOOKUP(AX16,'נתוני מים 2014'!$C$2:$L$160,5,0)/1000,0)-IFERROR(VLOOKUP(AX16,'נתוני מים 2014'!$C$2:$L$160,9,0)/1000,0)</f>
        <v>0</v>
      </c>
      <c r="AY690" s="5">
        <f>+IFERROR(VLOOKUP(AY16,'נתוני מים 2014'!$C$2:$L$160,5,0)/1000,0)-IFERROR(VLOOKUP(AY16,'נתוני מים 2014'!$C$2:$L$160,9,0)/1000,0)</f>
        <v>0</v>
      </c>
      <c r="AZ690" s="5">
        <f>+IFERROR(VLOOKUP(AZ16,'נתוני מים 2014'!$C$2:$L$160,5,0)/1000,0)-IFERROR(VLOOKUP(AZ16,'נתוני מים 2014'!$C$2:$L$160,9,0)/1000,0)</f>
        <v>0</v>
      </c>
      <c r="BA690" s="5">
        <f>+IFERROR(VLOOKUP(BA16,'נתוני מים 2014'!$C$2:$L$160,5,0)/1000,0)-IFERROR(VLOOKUP(BA16,'נתוני מים 2014'!$C$2:$L$160,9,0)/1000,0)</f>
        <v>0</v>
      </c>
      <c r="BB690" s="5">
        <f>+IFERROR(VLOOKUP(BB16,'נתוני מים 2014'!$C$2:$L$160,5,0)/1000,0)-IFERROR(VLOOKUP(BB16,'נתוני מים 2014'!$C$2:$L$160,9,0)/1000,0)</f>
        <v>0</v>
      </c>
      <c r="BC690" s="5">
        <f>+IFERROR(VLOOKUP(BC16,'נתוני מים 2014'!$C$2:$L$160,5,0)/1000,0)-IFERROR(VLOOKUP(BC16,'נתוני מים 2014'!$C$2:$L$160,9,0)/1000,0)</f>
        <v>0</v>
      </c>
      <c r="BD690" s="5">
        <f>+IFERROR(VLOOKUP(BD16,'נתוני מים 2014'!$C$2:$L$160,5,0)/1000,0)-IFERROR(VLOOKUP(BD16,'נתוני מים 2014'!$C$2:$L$160,9,0)/1000,0)</f>
        <v>0</v>
      </c>
      <c r="BE690" s="5">
        <f>+IFERROR(VLOOKUP(BE16,'נתוני מים 2014'!$C$2:$L$160,5,0)/1000,0)-IFERROR(VLOOKUP(BE16,'נתוני מים 2014'!$C$2:$L$160,9,0)/1000,0)</f>
        <v>0</v>
      </c>
      <c r="BF690" s="5">
        <f>+IFERROR(VLOOKUP(BF16,'נתוני מים 2014'!$C$2:$L$188,5,0)/1000,0)-IFERROR(VLOOKUP(BF16,'נתוני מים 2014'!$C$2:$L$188,9,0)/1000,0)</f>
        <v>0</v>
      </c>
    </row>
    <row r="691" spans="2:58" x14ac:dyDescent="0.2">
      <c r="B691" s="1">
        <v>10</v>
      </c>
      <c r="C691" s="5">
        <f>+IFERROR(VLOOKUP(C17,'נתוני מים 2014'!$C$2:$L$160,5,0)/1000,0)-IFERROR(VLOOKUP(C17,'נתוני מים 2014'!$C$2:$L$160,9,0)/1000,0)</f>
        <v>0</v>
      </c>
      <c r="D691" s="5">
        <f>+IFERROR(VLOOKUP(D17,'נתוני מים 2014'!$C$2:$L$188,5,0)/1000,0)-IFERROR(VLOOKUP(D17,'נתוני מים 2014'!$C$2:$L$188,9,0)/1000,0)</f>
        <v>0</v>
      </c>
      <c r="E691" s="5">
        <f>+IFERROR(VLOOKUP(E17,'נתוני מים 2014'!$C$2:$L$160,5,0)/1000,0)-IFERROR(VLOOKUP(E17,'נתוני מים 2014'!$C$2:$L$160,9,0)/1000,0)</f>
        <v>0</v>
      </c>
      <c r="F691" s="5">
        <f>+IFERROR(VLOOKUP(F17,'נתוני מים 2014'!$C$2:$L$160,5,0)/1000,0)-IFERROR(VLOOKUP(F17,'נתוני מים 2014'!$C$2:$L$160,9,0)/1000,0)</f>
        <v>0</v>
      </c>
      <c r="G691" s="5">
        <f>+IFERROR(VLOOKUP(G17,'נתוני מים 2014'!$C$2:$L$160,5,0)/1000,0)-IFERROR(VLOOKUP(G17,'נתוני מים 2014'!$C$2:$L$160,9,0)/1000,0)</f>
        <v>0</v>
      </c>
      <c r="H691" s="5">
        <f>+IFERROR(VLOOKUP(H17,'נתוני מים 2014'!$C$2:$L$160,5,0)/1000,0)-IFERROR(VLOOKUP(H17,'נתוני מים 2014'!$C$2:$L$160,9,0)/1000,0)</f>
        <v>0</v>
      </c>
      <c r="I691" s="5">
        <f>+IFERROR(VLOOKUP(I17,'נתוני מים 2014'!$C$2:$L$160,5,0)/1000,0)-IFERROR(VLOOKUP(I17,'נתוני מים 2014'!$C$2:$L$160,9,0)/1000,0)</f>
        <v>0</v>
      </c>
      <c r="J691" s="5">
        <f>+IFERROR(VLOOKUP(J17,'נתוני מים 2014'!$C$2:$L$160,5,0)/1000,0)-IFERROR(VLOOKUP(J17,'נתוני מים 2014'!$C$2:$L$160,9,0)/1000,0)</f>
        <v>0</v>
      </c>
      <c r="K691" s="5">
        <f>+IFERROR(VLOOKUP(K17,'נתוני מים 2014'!$C$2:$L$160,5,0)/1000,0)-IFERROR(VLOOKUP(K17,'נתוני מים 2014'!$C$2:$L$160,9,0)/1000,0)</f>
        <v>0</v>
      </c>
      <c r="L691" s="5">
        <f>+IFERROR(VLOOKUP(L17,'נתוני מים 2014'!$C$2:$L$160,5,0)/1000,0)-IFERROR(VLOOKUP(L17,'נתוני מים 2014'!$C$2:$L$160,9,0)/1000,0)</f>
        <v>0</v>
      </c>
      <c r="M691" s="5">
        <f>+IFERROR(VLOOKUP(M17,'נתוני מים 2014'!$C$2:$L$160,5,0)/1000,0)-IFERROR(VLOOKUP(M17,'נתוני מים 2014'!$C$2:$L$160,9,0)/1000,0)</f>
        <v>0</v>
      </c>
      <c r="N691" s="5">
        <f>+IFERROR(VLOOKUP(N17,'נתוני מים 2014'!$C$2:$L$160,5,0)/1000,0)-IFERROR(VLOOKUP(N17,'נתוני מים 2014'!$C$2:$L$160,9,0)/1000,0)</f>
        <v>0</v>
      </c>
      <c r="O691" s="5">
        <f>+IFERROR(VLOOKUP(O17,'נתוני מים 2014'!$C$2:$L$160,5,0)/1000,0)-IFERROR(VLOOKUP(O17,'נתוני מים 2014'!$C$2:$L$160,9,0)/1000,0)</f>
        <v>0</v>
      </c>
      <c r="P691" s="5">
        <f>+IFERROR(VLOOKUP(P17,'נתוני מים 2014'!$C$2:$L$160,5,0)/1000,0)-IFERROR(VLOOKUP(P17,'נתוני מים 2014'!$C$2:$L$160,9,0)/1000,0)</f>
        <v>634.52</v>
      </c>
      <c r="Q691" s="5">
        <f>+IFERROR(VLOOKUP(Q17,'נתוני מים 2014'!$C$2:$L$160,5,0)/1000,0)-IFERROR(VLOOKUP(Q17,'נתוני מים 2014'!$C$2:$L$160,9,0)/1000,0)</f>
        <v>0</v>
      </c>
      <c r="R691" s="5">
        <f>+IFERROR(VLOOKUP(R17,'נתוני מים 2014'!$C$2:$L$160,5,0)/1000,0)-IFERROR(VLOOKUP(R17,'נתוני מים 2014'!$C$2:$L$160,9,0)/1000,0)</f>
        <v>0</v>
      </c>
      <c r="S691" s="5">
        <f>+IFERROR(VLOOKUP(S17,'נתוני מים 2014'!$C$2:$L$160,5,0)/1000,0)-IFERROR(VLOOKUP(S17,'נתוני מים 2014'!$C$2:$L$160,9,0)/1000,0)</f>
        <v>0</v>
      </c>
      <c r="T691" s="5">
        <f>+IFERROR(VLOOKUP(T17,'נתוני מים 2014'!$C$2:$L$160,5,0)/1000,0)-IFERROR(VLOOKUP(T17,'נתוני מים 2014'!$C$2:$L$160,9,0)/1000,0)</f>
        <v>0</v>
      </c>
      <c r="U691" s="5">
        <f>+IFERROR(VLOOKUP(U17,'נתוני מים 2014'!$C$2:$L$160,5,0)/1000,0)-IFERROR(VLOOKUP(U17,'נתוני מים 2014'!$C$2:$L$160,9,0)/1000,0)</f>
        <v>0</v>
      </c>
      <c r="V691" s="5">
        <f>+IFERROR(VLOOKUP(V17,'נתוני מים 2014'!$C$2:$L$160,5,0)/1000,0)-IFERROR(VLOOKUP(V17,'נתוני מים 2014'!$C$2:$L$160,9,0)/1000,0)</f>
        <v>0</v>
      </c>
      <c r="W691" s="5">
        <f>+IFERROR(VLOOKUP(W17,'נתוני מים 2014'!$C$2:$L$160,5,0)/1000,0)-IFERROR(VLOOKUP(W17,'נתוני מים 2014'!$C$2:$L$160,9,0)/1000,0)</f>
        <v>0</v>
      </c>
      <c r="X691" s="5">
        <f>+IFERROR(VLOOKUP(X17,'נתוני מים 2014'!$C$2:$L$160,5,0)/1000,0)-IFERROR(VLOOKUP(X17,'נתוני מים 2014'!$C$2:$L$160,9,0)/1000,0)</f>
        <v>0</v>
      </c>
      <c r="Y691" s="5">
        <f>+IFERROR(VLOOKUP(Y17,'נתוני מים 2014'!$C$2:$L$160,5,0)/1000,0)-IFERROR(VLOOKUP(Y17,'נתוני מים 2014'!$C$2:$L$160,9,0)/1000,0)</f>
        <v>0</v>
      </c>
      <c r="Z691" s="5">
        <f>+IFERROR(VLOOKUP(Z17,'נתוני מים 2014'!$C$2:$L$160,5,0)/1000,0)-IFERROR(VLOOKUP(Z17,'נתוני מים 2014'!$C$2:$L$160,9,0)/1000,0)</f>
        <v>0</v>
      </c>
      <c r="AA691" s="5">
        <f>+IFERROR(VLOOKUP(AA17,'נתוני מים 2014'!$C$2:$L$160,5,0)/1000,0)-IFERROR(VLOOKUP(AA17,'נתוני מים 2014'!$C$2:$L$160,9,0)/1000,0)</f>
        <v>0</v>
      </c>
      <c r="AB691" s="5">
        <f>+IFERROR(VLOOKUP(AB17,'נתוני מים 2014'!$C$2:$L$160,5,0)/1000,0)-IFERROR(VLOOKUP(AB17,'נתוני מים 2014'!$C$2:$L$160,9,0)/1000,0)</f>
        <v>0</v>
      </c>
      <c r="AC691" s="5">
        <f>+IFERROR(VLOOKUP(AC17,'נתוני מים 2014'!$C$2:$L$160,5,0)/1000,0)-IFERROR(VLOOKUP(AC17,'נתוני מים 2014'!$C$2:$L$160,9,0)/1000,0)</f>
        <v>0</v>
      </c>
      <c r="AD691" s="5">
        <f>+IFERROR(VLOOKUP(AD17,'נתוני מים 2014'!$C$2:$L$160,5,0)/1000,0)-IFERROR(VLOOKUP(AD17,'נתוני מים 2014'!$C$2:$L$160,9,0)/1000,0)</f>
        <v>0</v>
      </c>
      <c r="AE691" s="5">
        <f>+IFERROR(VLOOKUP(AE17,'נתוני מים 2014'!$C$2:$L$160,5,0)/1000,0)-IFERROR(VLOOKUP(AE17,'נתוני מים 2014'!$C$2:$L$160,9,0)/1000,0)</f>
        <v>0</v>
      </c>
      <c r="AF691" s="5">
        <f>+IFERROR(VLOOKUP(AF17,'נתוני מים 2014'!$C$2:$L$160,5,0)/1000,0)-IFERROR(VLOOKUP(AF17,'נתוני מים 2014'!$C$2:$L$160,9,0)/1000,0)</f>
        <v>0</v>
      </c>
      <c r="AG691" s="5">
        <f>+IFERROR(VLOOKUP(AG17,'נתוני מים 2014'!$C$2:$L$160,5,0)/1000,0)-IFERROR(VLOOKUP(AG17,'נתוני מים 2014'!$C$2:$L$160,9,0)/1000,0)</f>
        <v>0</v>
      </c>
      <c r="AH691" s="5">
        <f>+IFERROR(VLOOKUP(AH17,'נתוני מים 2014'!$C$2:$L$160,5,0)/1000,0)-IFERROR(VLOOKUP(AH17,'נתוני מים 2014'!$C$2:$L$160,9,0)/1000,0)</f>
        <v>0</v>
      </c>
      <c r="AI691" s="5">
        <f>+IFERROR(VLOOKUP(AI17,'נתוני מים 2014'!$C$2:$L$160,5,0)/1000,0)-IFERROR(VLOOKUP(AI17,'נתוני מים 2014'!$C$2:$L$160,9,0)/1000,0)</f>
        <v>0</v>
      </c>
      <c r="AJ691" s="5">
        <f>+IFERROR(VLOOKUP(AJ17,'נתוני מים 2014'!$C$2:$L$160,5,0)/1000,0)-IFERROR(VLOOKUP(AJ17,'נתוני מים 2014'!$C$2:$L$160,9,0)/1000,0)</f>
        <v>0</v>
      </c>
      <c r="AK691" s="5">
        <f>+IFERROR(VLOOKUP(AK17,'נתוני מים 2014'!$C$2:$L$160,5,0)/1000,0)-IFERROR(VLOOKUP(AK17,'נתוני מים 2014'!$C$2:$L$160,9,0)/1000,0)</f>
        <v>0</v>
      </c>
      <c r="AL691" s="5">
        <f>+IFERROR(VLOOKUP(AL17,'נתוני מים 2014'!$C$2:$L$160,5,0)/1000,0)-IFERROR(VLOOKUP(AL17,'נתוני מים 2014'!$C$2:$L$160,9,0)/1000,0)</f>
        <v>0</v>
      </c>
      <c r="AM691" s="5">
        <f>+IFERROR(VLOOKUP(AM17,'נתוני מים 2014'!$C$2:$L$160,5,0)/1000,0)-IFERROR(VLOOKUP(AM17,'נתוני מים 2014'!$C$2:$L$160,9,0)/1000,0)</f>
        <v>0</v>
      </c>
      <c r="AN691" s="5">
        <f>+IFERROR(VLOOKUP(AN17,'נתוני מים 2014'!$C$2:$L$160,5,0)/1000,0)-IFERROR(VLOOKUP(AN17,'נתוני מים 2014'!$C$2:$L$160,9,0)/1000,0)</f>
        <v>0</v>
      </c>
      <c r="AO691" s="5">
        <f>+IFERROR(VLOOKUP(AO17,'נתוני מים 2014'!$C$2:$L$160,5,0)/1000,0)-IFERROR(VLOOKUP(AO17,'נתוני מים 2014'!$C$2:$L$160,9,0)/1000,0)</f>
        <v>0</v>
      </c>
      <c r="AP691" s="5">
        <f>+IFERROR(VLOOKUP(AP17,'נתוני מים 2014'!$C$2:$L$160,5,0)/1000,0)-IFERROR(VLOOKUP(AP17,'נתוני מים 2014'!$C$2:$L$160,9,0)/1000,0)</f>
        <v>0</v>
      </c>
      <c r="AQ691" s="5">
        <f>+IFERROR(VLOOKUP(AQ17,'נתוני מים 2014'!$C$2:$L$160,5,0)/1000,0)-IFERROR(VLOOKUP(AQ17,'נתוני מים 2014'!$C$2:$L$160,9,0)/1000,0)</f>
        <v>0</v>
      </c>
      <c r="AR691" s="5">
        <f>+IFERROR(VLOOKUP(AR17,'נתוני מים 2014'!$C$2:$L$160,5,0)/1000,0)-IFERROR(VLOOKUP(AR17,'נתוני מים 2014'!$C$2:$L$160,9,0)/1000,0)</f>
        <v>0</v>
      </c>
      <c r="AS691" s="5">
        <f>+IFERROR(VLOOKUP(AS17,'נתוני מים 2014'!$C$2:$L$160,5,0)/1000,0)-IFERROR(VLOOKUP(AS17,'נתוני מים 2014'!$C$2:$L$160,9,0)/1000,0)</f>
        <v>549.88499999999999</v>
      </c>
      <c r="AT691" s="5">
        <f>+IFERROR(VLOOKUP(AT17,'נתוני מים 2014'!$C$2:$L$160,5,0)/1000,0)-IFERROR(VLOOKUP(AT17,'נתוני מים 2014'!$C$2:$L$160,9,0)/1000,0)</f>
        <v>0</v>
      </c>
      <c r="AU691" s="5">
        <f>+IFERROR(VLOOKUP(AU17,'נתוני מים 2014'!$C$2:$L$160,5,0)/1000,0)-IFERROR(VLOOKUP(AU17,'נתוני מים 2014'!$C$2:$L$160,9,0)/1000,0)</f>
        <v>0</v>
      </c>
      <c r="AV691" s="5">
        <f>+IFERROR(VLOOKUP(AV17,'נתוני מים 2014'!$C$2:$L$160,5,0)/1000,0)-IFERROR(VLOOKUP(AV17,'נתוני מים 2014'!$C$2:$L$160,9,0)/1000,0)</f>
        <v>0</v>
      </c>
      <c r="AW691" s="5">
        <f>+IFERROR(VLOOKUP(AW17,'נתוני מים 2014'!$C$2:$L$160,5,0)/1000,0)-IFERROR(VLOOKUP(AW17,'נתוני מים 2014'!$C$2:$L$160,9,0)/1000,0)</f>
        <v>0</v>
      </c>
      <c r="AX691" s="5">
        <f>+IFERROR(VLOOKUP(AX17,'נתוני מים 2014'!$C$2:$L$160,5,0)/1000,0)-IFERROR(VLOOKUP(AX17,'נתוני מים 2014'!$C$2:$L$160,9,0)/1000,0)</f>
        <v>0</v>
      </c>
      <c r="AY691" s="5">
        <f>+IFERROR(VLOOKUP(AY17,'נתוני מים 2014'!$C$2:$L$160,5,0)/1000,0)-IFERROR(VLOOKUP(AY17,'נתוני מים 2014'!$C$2:$L$160,9,0)/1000,0)</f>
        <v>0</v>
      </c>
      <c r="AZ691" s="5">
        <f>+IFERROR(VLOOKUP(AZ17,'נתוני מים 2014'!$C$2:$L$160,5,0)/1000,0)-IFERROR(VLOOKUP(AZ17,'נתוני מים 2014'!$C$2:$L$160,9,0)/1000,0)</f>
        <v>0</v>
      </c>
      <c r="BA691" s="5">
        <f>+IFERROR(VLOOKUP(BA17,'נתוני מים 2014'!$C$2:$L$160,5,0)/1000,0)-IFERROR(VLOOKUP(BA17,'נתוני מים 2014'!$C$2:$L$160,9,0)/1000,0)</f>
        <v>0</v>
      </c>
      <c r="BB691" s="5">
        <f>+IFERROR(VLOOKUP(BB17,'נתוני מים 2014'!$C$2:$L$160,5,0)/1000,0)-IFERROR(VLOOKUP(BB17,'נתוני מים 2014'!$C$2:$L$160,9,0)/1000,0)</f>
        <v>0</v>
      </c>
      <c r="BC691" s="5">
        <f>+IFERROR(VLOOKUP(BC17,'נתוני מים 2014'!$C$2:$L$160,5,0)/1000,0)-IFERROR(VLOOKUP(BC17,'נתוני מים 2014'!$C$2:$L$160,9,0)/1000,0)</f>
        <v>0</v>
      </c>
      <c r="BD691" s="5">
        <f>+IFERROR(VLOOKUP(BD17,'נתוני מים 2014'!$C$2:$L$160,5,0)/1000,0)-IFERROR(VLOOKUP(BD17,'נתוני מים 2014'!$C$2:$L$160,9,0)/1000,0)</f>
        <v>0</v>
      </c>
      <c r="BE691" s="5">
        <f>+IFERROR(VLOOKUP(BE17,'נתוני מים 2014'!$C$2:$L$160,5,0)/1000,0)-IFERROR(VLOOKUP(BE17,'נתוני מים 2014'!$C$2:$L$160,9,0)/1000,0)</f>
        <v>0</v>
      </c>
      <c r="BF691" s="5">
        <f>+IFERROR(VLOOKUP(BF17,'נתוני מים 2014'!$C$2:$L$188,5,0)/1000,0)-IFERROR(VLOOKUP(BF17,'נתוני מים 2014'!$C$2:$L$188,9,0)/1000,0)</f>
        <v>0</v>
      </c>
    </row>
    <row r="692" spans="2:58" x14ac:dyDescent="0.2">
      <c r="B692" s="1">
        <v>11</v>
      </c>
      <c r="C692" s="5">
        <f>+IFERROR(VLOOKUP(C18,'נתוני מים 2014'!$C$2:$L$160,5,0)/1000,0)-IFERROR(VLOOKUP(C18,'נתוני מים 2014'!$C$2:$L$160,9,0)/1000,0)</f>
        <v>0</v>
      </c>
      <c r="D692" s="5">
        <f>+IFERROR(VLOOKUP(D18,'נתוני מים 2014'!$C$2:$L$188,5,0)/1000,0)-IFERROR(VLOOKUP(D18,'נתוני מים 2014'!$C$2:$L$188,9,0)/1000,0)</f>
        <v>0</v>
      </c>
      <c r="E692" s="5">
        <f>+IFERROR(VLOOKUP(E18,'נתוני מים 2014'!$C$2:$L$160,5,0)/1000,0)-IFERROR(VLOOKUP(E18,'נתוני מים 2014'!$C$2:$L$160,9,0)/1000,0)</f>
        <v>0</v>
      </c>
      <c r="F692" s="5">
        <f>+IFERROR(VLOOKUP(F18,'נתוני מים 2014'!$C$2:$L$160,5,0)/1000,0)-IFERROR(VLOOKUP(F18,'נתוני מים 2014'!$C$2:$L$160,9,0)/1000,0)</f>
        <v>0</v>
      </c>
      <c r="G692" s="5">
        <f>+IFERROR(VLOOKUP(G18,'נתוני מים 2014'!$C$2:$L$160,5,0)/1000,0)-IFERROR(VLOOKUP(G18,'נתוני מים 2014'!$C$2:$L$160,9,0)/1000,0)</f>
        <v>0</v>
      </c>
      <c r="H692" s="5">
        <f>+IFERROR(VLOOKUP(H18,'נתוני מים 2014'!$C$2:$L$160,5,0)/1000,0)-IFERROR(VLOOKUP(H18,'נתוני מים 2014'!$C$2:$L$160,9,0)/1000,0)</f>
        <v>0</v>
      </c>
      <c r="I692" s="5">
        <f>+IFERROR(VLOOKUP(I18,'נתוני מים 2014'!$C$2:$L$160,5,0)/1000,0)-IFERROR(VLOOKUP(I18,'נתוני מים 2014'!$C$2:$L$160,9,0)/1000,0)</f>
        <v>0</v>
      </c>
      <c r="J692" s="5">
        <f>+IFERROR(VLOOKUP(J18,'נתוני מים 2014'!$C$2:$L$160,5,0)/1000,0)-IFERROR(VLOOKUP(J18,'נתוני מים 2014'!$C$2:$L$160,9,0)/1000,0)</f>
        <v>0</v>
      </c>
      <c r="K692" s="5">
        <f>+IFERROR(VLOOKUP(K18,'נתוני מים 2014'!$C$2:$L$160,5,0)/1000,0)-IFERROR(VLOOKUP(K18,'נתוני מים 2014'!$C$2:$L$160,9,0)/1000,0)</f>
        <v>0</v>
      </c>
      <c r="L692" s="5">
        <f>+IFERROR(VLOOKUP(L18,'נתוני מים 2014'!$C$2:$L$160,5,0)/1000,0)-IFERROR(VLOOKUP(L18,'נתוני מים 2014'!$C$2:$L$160,9,0)/1000,0)</f>
        <v>0</v>
      </c>
      <c r="M692" s="5">
        <f>+IFERROR(VLOOKUP(M18,'נתוני מים 2014'!$C$2:$L$160,5,0)/1000,0)-IFERROR(VLOOKUP(M18,'נתוני מים 2014'!$C$2:$L$160,9,0)/1000,0)</f>
        <v>0</v>
      </c>
      <c r="N692" s="5">
        <f>+IFERROR(VLOOKUP(N18,'נתוני מים 2014'!$C$2:$L$160,5,0)/1000,0)-IFERROR(VLOOKUP(N18,'נתוני מים 2014'!$C$2:$L$160,9,0)/1000,0)</f>
        <v>0</v>
      </c>
      <c r="O692" s="5">
        <f>+IFERROR(VLOOKUP(O18,'נתוני מים 2014'!$C$2:$L$160,5,0)/1000,0)-IFERROR(VLOOKUP(O18,'נתוני מים 2014'!$C$2:$L$160,9,0)/1000,0)</f>
        <v>0</v>
      </c>
      <c r="P692" s="5">
        <f>+IFERROR(VLOOKUP(P18,'נתוני מים 2014'!$C$2:$L$160,5,0)/1000,0)-IFERROR(VLOOKUP(P18,'נתוני מים 2014'!$C$2:$L$160,9,0)/1000,0)</f>
        <v>264.57499999999999</v>
      </c>
      <c r="Q692" s="5">
        <f>+IFERROR(VLOOKUP(Q18,'נתוני מים 2014'!$C$2:$L$160,5,0)/1000,0)-IFERROR(VLOOKUP(Q18,'נתוני מים 2014'!$C$2:$L$160,9,0)/1000,0)</f>
        <v>0</v>
      </c>
      <c r="R692" s="5">
        <f>+IFERROR(VLOOKUP(R18,'נתוני מים 2014'!$C$2:$L$160,5,0)/1000,0)-IFERROR(VLOOKUP(R18,'נתוני מים 2014'!$C$2:$L$160,9,0)/1000,0)</f>
        <v>0</v>
      </c>
      <c r="S692" s="5">
        <f>+IFERROR(VLOOKUP(S18,'נתוני מים 2014'!$C$2:$L$160,5,0)/1000,0)-IFERROR(VLOOKUP(S18,'נתוני מים 2014'!$C$2:$L$160,9,0)/1000,0)</f>
        <v>0</v>
      </c>
      <c r="T692" s="5">
        <f>+IFERROR(VLOOKUP(T18,'נתוני מים 2014'!$C$2:$L$160,5,0)/1000,0)-IFERROR(VLOOKUP(T18,'נתוני מים 2014'!$C$2:$L$160,9,0)/1000,0)</f>
        <v>0</v>
      </c>
      <c r="U692" s="5">
        <f>+IFERROR(VLOOKUP(U18,'נתוני מים 2014'!$C$2:$L$160,5,0)/1000,0)-IFERROR(VLOOKUP(U18,'נתוני מים 2014'!$C$2:$L$160,9,0)/1000,0)</f>
        <v>0</v>
      </c>
      <c r="V692" s="5">
        <f>+IFERROR(VLOOKUP(V18,'נתוני מים 2014'!$C$2:$L$160,5,0)/1000,0)-IFERROR(VLOOKUP(V18,'נתוני מים 2014'!$C$2:$L$160,9,0)/1000,0)</f>
        <v>0</v>
      </c>
      <c r="W692" s="5">
        <f>+IFERROR(VLOOKUP(W18,'נתוני מים 2014'!$C$2:$L$160,5,0)/1000,0)-IFERROR(VLOOKUP(W18,'נתוני מים 2014'!$C$2:$L$160,9,0)/1000,0)</f>
        <v>0</v>
      </c>
      <c r="X692" s="5">
        <f>+IFERROR(VLOOKUP(X18,'נתוני מים 2014'!$C$2:$L$160,5,0)/1000,0)-IFERROR(VLOOKUP(X18,'נתוני מים 2014'!$C$2:$L$160,9,0)/1000,0)</f>
        <v>0</v>
      </c>
      <c r="Y692" s="5">
        <f>+IFERROR(VLOOKUP(Y18,'נתוני מים 2014'!$C$2:$L$160,5,0)/1000,0)-IFERROR(VLOOKUP(Y18,'נתוני מים 2014'!$C$2:$L$160,9,0)/1000,0)</f>
        <v>0</v>
      </c>
      <c r="Z692" s="5">
        <f>+IFERROR(VLOOKUP(Z18,'נתוני מים 2014'!$C$2:$L$160,5,0)/1000,0)-IFERROR(VLOOKUP(Z18,'נתוני מים 2014'!$C$2:$L$160,9,0)/1000,0)</f>
        <v>0</v>
      </c>
      <c r="AA692" s="5">
        <f>+IFERROR(VLOOKUP(AA18,'נתוני מים 2014'!$C$2:$L$160,5,0)/1000,0)-IFERROR(VLOOKUP(AA18,'נתוני מים 2014'!$C$2:$L$160,9,0)/1000,0)</f>
        <v>0</v>
      </c>
      <c r="AB692" s="5">
        <f>+IFERROR(VLOOKUP(AB18,'נתוני מים 2014'!$C$2:$L$160,5,0)/1000,0)-IFERROR(VLOOKUP(AB18,'נתוני מים 2014'!$C$2:$L$160,9,0)/1000,0)</f>
        <v>0</v>
      </c>
      <c r="AC692" s="5">
        <f>+IFERROR(VLOOKUP(AC18,'נתוני מים 2014'!$C$2:$L$160,5,0)/1000,0)-IFERROR(VLOOKUP(AC18,'נתוני מים 2014'!$C$2:$L$160,9,0)/1000,0)</f>
        <v>0</v>
      </c>
      <c r="AD692" s="5">
        <f>+IFERROR(VLOOKUP(AD18,'נתוני מים 2014'!$C$2:$L$160,5,0)/1000,0)-IFERROR(VLOOKUP(AD18,'נתוני מים 2014'!$C$2:$L$160,9,0)/1000,0)</f>
        <v>0</v>
      </c>
      <c r="AE692" s="5">
        <f>+IFERROR(VLOOKUP(AE18,'נתוני מים 2014'!$C$2:$L$160,5,0)/1000,0)-IFERROR(VLOOKUP(AE18,'נתוני מים 2014'!$C$2:$L$160,9,0)/1000,0)</f>
        <v>0</v>
      </c>
      <c r="AF692" s="5">
        <f>+IFERROR(VLOOKUP(AF18,'נתוני מים 2014'!$C$2:$L$160,5,0)/1000,0)-IFERROR(VLOOKUP(AF18,'נתוני מים 2014'!$C$2:$L$160,9,0)/1000,0)</f>
        <v>0</v>
      </c>
      <c r="AG692" s="5">
        <f>+IFERROR(VLOOKUP(AG18,'נתוני מים 2014'!$C$2:$L$160,5,0)/1000,0)-IFERROR(VLOOKUP(AG18,'נתוני מים 2014'!$C$2:$L$160,9,0)/1000,0)</f>
        <v>0</v>
      </c>
      <c r="AH692" s="5">
        <f>+IFERROR(VLOOKUP(AH18,'נתוני מים 2014'!$C$2:$L$160,5,0)/1000,0)-IFERROR(VLOOKUP(AH18,'נתוני מים 2014'!$C$2:$L$160,9,0)/1000,0)</f>
        <v>0</v>
      </c>
      <c r="AI692" s="5">
        <f>+IFERROR(VLOOKUP(AI18,'נתוני מים 2014'!$C$2:$L$160,5,0)/1000,0)-IFERROR(VLOOKUP(AI18,'נתוני מים 2014'!$C$2:$L$160,9,0)/1000,0)</f>
        <v>0</v>
      </c>
      <c r="AJ692" s="5">
        <f>+IFERROR(VLOOKUP(AJ18,'נתוני מים 2014'!$C$2:$L$160,5,0)/1000,0)-IFERROR(VLOOKUP(AJ18,'נתוני מים 2014'!$C$2:$L$160,9,0)/1000,0)</f>
        <v>0</v>
      </c>
      <c r="AK692" s="5">
        <f>+IFERROR(VLOOKUP(AK18,'נתוני מים 2014'!$C$2:$L$160,5,0)/1000,0)-IFERROR(VLOOKUP(AK18,'נתוני מים 2014'!$C$2:$L$160,9,0)/1000,0)</f>
        <v>0</v>
      </c>
      <c r="AL692" s="5">
        <f>+IFERROR(VLOOKUP(AL18,'נתוני מים 2014'!$C$2:$L$160,5,0)/1000,0)-IFERROR(VLOOKUP(AL18,'נתוני מים 2014'!$C$2:$L$160,9,0)/1000,0)</f>
        <v>0</v>
      </c>
      <c r="AM692" s="5">
        <f>+IFERROR(VLOOKUP(AM18,'נתוני מים 2014'!$C$2:$L$160,5,0)/1000,0)-IFERROR(VLOOKUP(AM18,'נתוני מים 2014'!$C$2:$L$160,9,0)/1000,0)</f>
        <v>0</v>
      </c>
      <c r="AN692" s="5">
        <f>+IFERROR(VLOOKUP(AN18,'נתוני מים 2014'!$C$2:$L$160,5,0)/1000,0)-IFERROR(VLOOKUP(AN18,'נתוני מים 2014'!$C$2:$L$160,9,0)/1000,0)</f>
        <v>0</v>
      </c>
      <c r="AO692" s="5">
        <f>+IFERROR(VLOOKUP(AO18,'נתוני מים 2014'!$C$2:$L$160,5,0)/1000,0)-IFERROR(VLOOKUP(AO18,'נתוני מים 2014'!$C$2:$L$160,9,0)/1000,0)</f>
        <v>0</v>
      </c>
      <c r="AP692" s="5">
        <f>+IFERROR(VLOOKUP(AP18,'נתוני מים 2014'!$C$2:$L$160,5,0)/1000,0)-IFERROR(VLOOKUP(AP18,'נתוני מים 2014'!$C$2:$L$160,9,0)/1000,0)</f>
        <v>0</v>
      </c>
      <c r="AQ692" s="5">
        <f>+IFERROR(VLOOKUP(AQ18,'נתוני מים 2014'!$C$2:$L$160,5,0)/1000,0)-IFERROR(VLOOKUP(AQ18,'נתוני מים 2014'!$C$2:$L$160,9,0)/1000,0)</f>
        <v>0</v>
      </c>
      <c r="AR692" s="5">
        <f>+IFERROR(VLOOKUP(AR18,'נתוני מים 2014'!$C$2:$L$160,5,0)/1000,0)-IFERROR(VLOOKUP(AR18,'נתוני מים 2014'!$C$2:$L$160,9,0)/1000,0)</f>
        <v>0</v>
      </c>
      <c r="AS692" s="5">
        <f>+IFERROR(VLOOKUP(AS18,'נתוני מים 2014'!$C$2:$L$160,5,0)/1000,0)-IFERROR(VLOOKUP(AS18,'נתוני מים 2014'!$C$2:$L$160,9,0)/1000,0)</f>
        <v>0</v>
      </c>
      <c r="AT692" s="5">
        <f>+IFERROR(VLOOKUP(AT18,'נתוני מים 2014'!$C$2:$L$160,5,0)/1000,0)-IFERROR(VLOOKUP(AT18,'נתוני מים 2014'!$C$2:$L$160,9,0)/1000,0)</f>
        <v>0</v>
      </c>
      <c r="AU692" s="5">
        <f>+IFERROR(VLOOKUP(AU18,'נתוני מים 2014'!$C$2:$L$160,5,0)/1000,0)-IFERROR(VLOOKUP(AU18,'נתוני מים 2014'!$C$2:$L$160,9,0)/1000,0)</f>
        <v>0</v>
      </c>
      <c r="AV692" s="5">
        <f>+IFERROR(VLOOKUP(AV18,'נתוני מים 2014'!$C$2:$L$160,5,0)/1000,0)-IFERROR(VLOOKUP(AV18,'נתוני מים 2014'!$C$2:$L$160,9,0)/1000,0)</f>
        <v>0</v>
      </c>
      <c r="AW692" s="5">
        <f>+IFERROR(VLOOKUP(AW18,'נתוני מים 2014'!$C$2:$L$160,5,0)/1000,0)-IFERROR(VLOOKUP(AW18,'נתוני מים 2014'!$C$2:$L$160,9,0)/1000,0)</f>
        <v>0</v>
      </c>
      <c r="AX692" s="5">
        <f>+IFERROR(VLOOKUP(AX18,'נתוני מים 2014'!$C$2:$L$160,5,0)/1000,0)-IFERROR(VLOOKUP(AX18,'נתוני מים 2014'!$C$2:$L$160,9,0)/1000,0)</f>
        <v>0</v>
      </c>
      <c r="AY692" s="5">
        <f>+IFERROR(VLOOKUP(AY18,'נתוני מים 2014'!$C$2:$L$160,5,0)/1000,0)-IFERROR(VLOOKUP(AY18,'נתוני מים 2014'!$C$2:$L$160,9,0)/1000,0)</f>
        <v>0</v>
      </c>
      <c r="AZ692" s="5">
        <f>+IFERROR(VLOOKUP(AZ18,'נתוני מים 2014'!$C$2:$L$160,5,0)/1000,0)-IFERROR(VLOOKUP(AZ18,'נתוני מים 2014'!$C$2:$L$160,9,0)/1000,0)</f>
        <v>0</v>
      </c>
      <c r="BA692" s="5">
        <f>+IFERROR(VLOOKUP(BA18,'נתוני מים 2014'!$C$2:$L$160,5,0)/1000,0)-IFERROR(VLOOKUP(BA18,'נתוני מים 2014'!$C$2:$L$160,9,0)/1000,0)</f>
        <v>0</v>
      </c>
      <c r="BB692" s="5">
        <f>+IFERROR(VLOOKUP(BB18,'נתוני מים 2014'!$C$2:$L$160,5,0)/1000,0)-IFERROR(VLOOKUP(BB18,'נתוני מים 2014'!$C$2:$L$160,9,0)/1000,0)</f>
        <v>0</v>
      </c>
      <c r="BC692" s="5">
        <f>+IFERROR(VLOOKUP(BC18,'נתוני מים 2014'!$C$2:$L$160,5,0)/1000,0)-IFERROR(VLOOKUP(BC18,'נתוני מים 2014'!$C$2:$L$160,9,0)/1000,0)</f>
        <v>0</v>
      </c>
      <c r="BD692" s="5">
        <f>+IFERROR(VLOOKUP(BD18,'נתוני מים 2014'!$C$2:$L$160,5,0)/1000,0)-IFERROR(VLOOKUP(BD18,'נתוני מים 2014'!$C$2:$L$160,9,0)/1000,0)</f>
        <v>0</v>
      </c>
      <c r="BE692" s="5">
        <f>+IFERROR(VLOOKUP(BE18,'נתוני מים 2014'!$C$2:$L$160,5,0)/1000,0)-IFERROR(VLOOKUP(BE18,'נתוני מים 2014'!$C$2:$L$160,9,0)/1000,0)</f>
        <v>0</v>
      </c>
      <c r="BF692" s="5">
        <f>+IFERROR(VLOOKUP(BF18,'נתוני מים 2014'!$C$2:$L$188,5,0)/1000,0)-IFERROR(VLOOKUP(BF18,'נתוני מים 2014'!$C$2:$L$188,9,0)/1000,0)</f>
        <v>0</v>
      </c>
    </row>
    <row r="693" spans="2:58" x14ac:dyDescent="0.2">
      <c r="B693" s="1">
        <v>12</v>
      </c>
      <c r="C693" s="5">
        <f>+IFERROR(VLOOKUP(C19,'נתוני מים 2014'!$C$2:$L$160,5,0)/1000,0)-IFERROR(VLOOKUP(C19,'נתוני מים 2014'!$C$2:$L$160,9,0)/1000,0)</f>
        <v>0</v>
      </c>
      <c r="D693" s="5">
        <f>+IFERROR(VLOOKUP(D19,'נתוני מים 2014'!$C$2:$L$188,5,0)/1000,0)-IFERROR(VLOOKUP(D19,'נתוני מים 2014'!$C$2:$L$188,9,0)/1000,0)</f>
        <v>0</v>
      </c>
      <c r="E693" s="5">
        <f>+IFERROR(VLOOKUP(E19,'נתוני מים 2014'!$C$2:$L$160,5,0)/1000,0)-IFERROR(VLOOKUP(E19,'נתוני מים 2014'!$C$2:$L$160,9,0)/1000,0)</f>
        <v>0</v>
      </c>
      <c r="F693" s="5">
        <f>+IFERROR(VLOOKUP(F19,'נתוני מים 2014'!$C$2:$L$160,5,0)/1000,0)-IFERROR(VLOOKUP(F19,'נתוני מים 2014'!$C$2:$L$160,9,0)/1000,0)</f>
        <v>0</v>
      </c>
      <c r="G693" s="5">
        <f>+IFERROR(VLOOKUP(G19,'נתוני מים 2014'!$C$2:$L$160,5,0)/1000,0)-IFERROR(VLOOKUP(G19,'נתוני מים 2014'!$C$2:$L$160,9,0)/1000,0)</f>
        <v>0</v>
      </c>
      <c r="H693" s="5">
        <f>+IFERROR(VLOOKUP(H19,'נתוני מים 2014'!$C$2:$L$160,5,0)/1000,0)-IFERROR(VLOOKUP(H19,'נתוני מים 2014'!$C$2:$L$160,9,0)/1000,0)</f>
        <v>0</v>
      </c>
      <c r="I693" s="5">
        <f>+IFERROR(VLOOKUP(I19,'נתוני מים 2014'!$C$2:$L$160,5,0)/1000,0)-IFERROR(VLOOKUP(I19,'נתוני מים 2014'!$C$2:$L$160,9,0)/1000,0)</f>
        <v>0</v>
      </c>
      <c r="J693" s="5">
        <f>+IFERROR(VLOOKUP(J19,'נתוני מים 2014'!$C$2:$L$160,5,0)/1000,0)-IFERROR(VLOOKUP(J19,'נתוני מים 2014'!$C$2:$L$160,9,0)/1000,0)</f>
        <v>0</v>
      </c>
      <c r="K693" s="5">
        <f>+IFERROR(VLOOKUP(K19,'נתוני מים 2014'!$C$2:$L$160,5,0)/1000,0)-IFERROR(VLOOKUP(K19,'נתוני מים 2014'!$C$2:$L$160,9,0)/1000,0)</f>
        <v>0</v>
      </c>
      <c r="L693" s="5">
        <f>+IFERROR(VLOOKUP(L19,'נתוני מים 2014'!$C$2:$L$160,5,0)/1000,0)-IFERROR(VLOOKUP(L19,'נתוני מים 2014'!$C$2:$L$160,9,0)/1000,0)</f>
        <v>0</v>
      </c>
      <c r="M693" s="5">
        <f>+IFERROR(VLOOKUP(M19,'נתוני מים 2014'!$C$2:$L$160,5,0)/1000,0)-IFERROR(VLOOKUP(M19,'נתוני מים 2014'!$C$2:$L$160,9,0)/1000,0)</f>
        <v>0</v>
      </c>
      <c r="N693" s="5">
        <f>+IFERROR(VLOOKUP(N19,'נתוני מים 2014'!$C$2:$L$160,5,0)/1000,0)-IFERROR(VLOOKUP(N19,'נתוני מים 2014'!$C$2:$L$160,9,0)/1000,0)</f>
        <v>0</v>
      </c>
      <c r="O693" s="5">
        <f>+IFERROR(VLOOKUP(O19,'נתוני מים 2014'!$C$2:$L$160,5,0)/1000,0)-IFERROR(VLOOKUP(O19,'נתוני מים 2014'!$C$2:$L$160,9,0)/1000,0)</f>
        <v>0</v>
      </c>
      <c r="P693" s="5">
        <f>+IFERROR(VLOOKUP(P19,'נתוני מים 2014'!$C$2:$L$160,5,0)/1000,0)-IFERROR(VLOOKUP(P19,'נתוני מים 2014'!$C$2:$L$160,9,0)/1000,0)</f>
        <v>373.22499999999997</v>
      </c>
      <c r="Q693" s="5">
        <f>+IFERROR(VLOOKUP(Q19,'נתוני מים 2014'!$C$2:$L$160,5,0)/1000,0)-IFERROR(VLOOKUP(Q19,'נתוני מים 2014'!$C$2:$L$160,9,0)/1000,0)</f>
        <v>0</v>
      </c>
      <c r="R693" s="5">
        <f>+IFERROR(VLOOKUP(R19,'נתוני מים 2014'!$C$2:$L$160,5,0)/1000,0)-IFERROR(VLOOKUP(R19,'נתוני מים 2014'!$C$2:$L$160,9,0)/1000,0)</f>
        <v>0</v>
      </c>
      <c r="S693" s="5">
        <f>+IFERROR(VLOOKUP(S19,'נתוני מים 2014'!$C$2:$L$160,5,0)/1000,0)-IFERROR(VLOOKUP(S19,'נתוני מים 2014'!$C$2:$L$160,9,0)/1000,0)</f>
        <v>0</v>
      </c>
      <c r="T693" s="5">
        <f>+IFERROR(VLOOKUP(T19,'נתוני מים 2014'!$C$2:$L$160,5,0)/1000,0)-IFERROR(VLOOKUP(T19,'נתוני מים 2014'!$C$2:$L$160,9,0)/1000,0)</f>
        <v>0</v>
      </c>
      <c r="U693" s="5">
        <f>+IFERROR(VLOOKUP(U19,'נתוני מים 2014'!$C$2:$L$160,5,0)/1000,0)-IFERROR(VLOOKUP(U19,'נתוני מים 2014'!$C$2:$L$160,9,0)/1000,0)</f>
        <v>0</v>
      </c>
      <c r="V693" s="5">
        <f>+IFERROR(VLOOKUP(V19,'נתוני מים 2014'!$C$2:$L$160,5,0)/1000,0)-IFERROR(VLOOKUP(V19,'נתוני מים 2014'!$C$2:$L$160,9,0)/1000,0)</f>
        <v>0</v>
      </c>
      <c r="W693" s="5">
        <f>+IFERROR(VLOOKUP(W19,'נתוני מים 2014'!$C$2:$L$160,5,0)/1000,0)-IFERROR(VLOOKUP(W19,'נתוני מים 2014'!$C$2:$L$160,9,0)/1000,0)</f>
        <v>0</v>
      </c>
      <c r="X693" s="5">
        <f>+IFERROR(VLOOKUP(X19,'נתוני מים 2014'!$C$2:$L$160,5,0)/1000,0)-IFERROR(VLOOKUP(X19,'נתוני מים 2014'!$C$2:$L$160,9,0)/1000,0)</f>
        <v>0</v>
      </c>
      <c r="Y693" s="5">
        <f>+IFERROR(VLOOKUP(Y19,'נתוני מים 2014'!$C$2:$L$160,5,0)/1000,0)-IFERROR(VLOOKUP(Y19,'נתוני מים 2014'!$C$2:$L$160,9,0)/1000,0)</f>
        <v>0</v>
      </c>
      <c r="Z693" s="5">
        <f>+IFERROR(VLOOKUP(Z19,'נתוני מים 2014'!$C$2:$L$160,5,0)/1000,0)-IFERROR(VLOOKUP(Z19,'נתוני מים 2014'!$C$2:$L$160,9,0)/1000,0)</f>
        <v>0</v>
      </c>
      <c r="AA693" s="5">
        <f>+IFERROR(VLOOKUP(AA19,'נתוני מים 2014'!$C$2:$L$160,5,0)/1000,0)-IFERROR(VLOOKUP(AA19,'נתוני מים 2014'!$C$2:$L$160,9,0)/1000,0)</f>
        <v>0</v>
      </c>
      <c r="AB693" s="5">
        <f>+IFERROR(VLOOKUP(AB19,'נתוני מים 2014'!$C$2:$L$160,5,0)/1000,0)-IFERROR(VLOOKUP(AB19,'נתוני מים 2014'!$C$2:$L$160,9,0)/1000,0)</f>
        <v>0</v>
      </c>
      <c r="AC693" s="5">
        <f>+IFERROR(VLOOKUP(AC19,'נתוני מים 2014'!$C$2:$L$160,5,0)/1000,0)-IFERROR(VLOOKUP(AC19,'נתוני מים 2014'!$C$2:$L$160,9,0)/1000,0)</f>
        <v>0</v>
      </c>
      <c r="AD693" s="5">
        <f>+IFERROR(VLOOKUP(AD19,'נתוני מים 2014'!$C$2:$L$160,5,0)/1000,0)-IFERROR(VLOOKUP(AD19,'נתוני מים 2014'!$C$2:$L$160,9,0)/1000,0)</f>
        <v>0</v>
      </c>
      <c r="AE693" s="5">
        <f>+IFERROR(VLOOKUP(AE19,'נתוני מים 2014'!$C$2:$L$160,5,0)/1000,0)-IFERROR(VLOOKUP(AE19,'נתוני מים 2014'!$C$2:$L$160,9,0)/1000,0)</f>
        <v>0</v>
      </c>
      <c r="AF693" s="5">
        <f>+IFERROR(VLOOKUP(AF19,'נתוני מים 2014'!$C$2:$L$160,5,0)/1000,0)-IFERROR(VLOOKUP(AF19,'נתוני מים 2014'!$C$2:$L$160,9,0)/1000,0)</f>
        <v>0</v>
      </c>
      <c r="AG693" s="5">
        <f>+IFERROR(VLOOKUP(AG19,'נתוני מים 2014'!$C$2:$L$160,5,0)/1000,0)-IFERROR(VLOOKUP(AG19,'נתוני מים 2014'!$C$2:$L$160,9,0)/1000,0)</f>
        <v>0</v>
      </c>
      <c r="AH693" s="5">
        <f>+IFERROR(VLOOKUP(AH19,'נתוני מים 2014'!$C$2:$L$160,5,0)/1000,0)-IFERROR(VLOOKUP(AH19,'נתוני מים 2014'!$C$2:$L$160,9,0)/1000,0)</f>
        <v>0</v>
      </c>
      <c r="AI693" s="5">
        <f>+IFERROR(VLOOKUP(AI19,'נתוני מים 2014'!$C$2:$L$160,5,0)/1000,0)-IFERROR(VLOOKUP(AI19,'נתוני מים 2014'!$C$2:$L$160,9,0)/1000,0)</f>
        <v>0</v>
      </c>
      <c r="AJ693" s="5">
        <f>+IFERROR(VLOOKUP(AJ19,'נתוני מים 2014'!$C$2:$L$160,5,0)/1000,0)-IFERROR(VLOOKUP(AJ19,'נתוני מים 2014'!$C$2:$L$160,9,0)/1000,0)</f>
        <v>0</v>
      </c>
      <c r="AK693" s="5">
        <f>+IFERROR(VLOOKUP(AK19,'נתוני מים 2014'!$C$2:$L$160,5,0)/1000,0)-IFERROR(VLOOKUP(AK19,'נתוני מים 2014'!$C$2:$L$160,9,0)/1000,0)</f>
        <v>0</v>
      </c>
      <c r="AL693" s="5">
        <f>+IFERROR(VLOOKUP(AL19,'נתוני מים 2014'!$C$2:$L$160,5,0)/1000,0)-IFERROR(VLOOKUP(AL19,'נתוני מים 2014'!$C$2:$L$160,9,0)/1000,0)</f>
        <v>0</v>
      </c>
      <c r="AM693" s="5">
        <f>+IFERROR(VLOOKUP(AM19,'נתוני מים 2014'!$C$2:$L$160,5,0)/1000,0)-IFERROR(VLOOKUP(AM19,'נתוני מים 2014'!$C$2:$L$160,9,0)/1000,0)</f>
        <v>0</v>
      </c>
      <c r="AN693" s="5">
        <f>+IFERROR(VLOOKUP(AN19,'נתוני מים 2014'!$C$2:$L$160,5,0)/1000,0)-IFERROR(VLOOKUP(AN19,'נתוני מים 2014'!$C$2:$L$160,9,0)/1000,0)</f>
        <v>0</v>
      </c>
      <c r="AO693" s="5">
        <f>+IFERROR(VLOOKUP(AO19,'נתוני מים 2014'!$C$2:$L$160,5,0)/1000,0)-IFERROR(VLOOKUP(AO19,'נתוני מים 2014'!$C$2:$L$160,9,0)/1000,0)</f>
        <v>0</v>
      </c>
      <c r="AP693" s="5">
        <f>+IFERROR(VLOOKUP(AP19,'נתוני מים 2014'!$C$2:$L$160,5,0)/1000,0)-IFERROR(VLOOKUP(AP19,'נתוני מים 2014'!$C$2:$L$160,9,0)/1000,0)</f>
        <v>0</v>
      </c>
      <c r="AQ693" s="5">
        <f>+IFERROR(VLOOKUP(AQ19,'נתוני מים 2014'!$C$2:$L$160,5,0)/1000,0)-IFERROR(VLOOKUP(AQ19,'נתוני מים 2014'!$C$2:$L$160,9,0)/1000,0)</f>
        <v>0</v>
      </c>
      <c r="AR693" s="5">
        <f>+IFERROR(VLOOKUP(AR19,'נתוני מים 2014'!$C$2:$L$160,5,0)/1000,0)-IFERROR(VLOOKUP(AR19,'נתוני מים 2014'!$C$2:$L$160,9,0)/1000,0)</f>
        <v>0</v>
      </c>
      <c r="AS693" s="5">
        <f>+IFERROR(VLOOKUP(AS19,'נתוני מים 2014'!$C$2:$L$160,5,0)/1000,0)-IFERROR(VLOOKUP(AS19,'נתוני מים 2014'!$C$2:$L$160,9,0)/1000,0)</f>
        <v>0</v>
      </c>
      <c r="AT693" s="5">
        <f>+IFERROR(VLOOKUP(AT19,'נתוני מים 2014'!$C$2:$L$160,5,0)/1000,0)-IFERROR(VLOOKUP(AT19,'נתוני מים 2014'!$C$2:$L$160,9,0)/1000,0)</f>
        <v>0</v>
      </c>
      <c r="AU693" s="5">
        <f>+IFERROR(VLOOKUP(AU19,'נתוני מים 2014'!$C$2:$L$160,5,0)/1000,0)-IFERROR(VLOOKUP(AU19,'נתוני מים 2014'!$C$2:$L$160,9,0)/1000,0)</f>
        <v>0</v>
      </c>
      <c r="AV693" s="5">
        <f>+IFERROR(VLOOKUP(AV19,'נתוני מים 2014'!$C$2:$L$160,5,0)/1000,0)-IFERROR(VLOOKUP(AV19,'נתוני מים 2014'!$C$2:$L$160,9,0)/1000,0)</f>
        <v>0</v>
      </c>
      <c r="AW693" s="5">
        <f>+IFERROR(VLOOKUP(AW19,'נתוני מים 2014'!$C$2:$L$160,5,0)/1000,0)-IFERROR(VLOOKUP(AW19,'נתוני מים 2014'!$C$2:$L$160,9,0)/1000,0)</f>
        <v>0</v>
      </c>
      <c r="AX693" s="5">
        <f>+IFERROR(VLOOKUP(AX19,'נתוני מים 2014'!$C$2:$L$160,5,0)/1000,0)-IFERROR(VLOOKUP(AX19,'נתוני מים 2014'!$C$2:$L$160,9,0)/1000,0)</f>
        <v>0</v>
      </c>
      <c r="AY693" s="5">
        <f>+IFERROR(VLOOKUP(AY19,'נתוני מים 2014'!$C$2:$L$160,5,0)/1000,0)-IFERROR(VLOOKUP(AY19,'נתוני מים 2014'!$C$2:$L$160,9,0)/1000,0)</f>
        <v>0</v>
      </c>
      <c r="AZ693" s="5">
        <f>+IFERROR(VLOOKUP(AZ19,'נתוני מים 2014'!$C$2:$L$160,5,0)/1000,0)-IFERROR(VLOOKUP(AZ19,'נתוני מים 2014'!$C$2:$L$160,9,0)/1000,0)</f>
        <v>0</v>
      </c>
      <c r="BA693" s="5">
        <f>+IFERROR(VLOOKUP(BA19,'נתוני מים 2014'!$C$2:$L$160,5,0)/1000,0)-IFERROR(VLOOKUP(BA19,'נתוני מים 2014'!$C$2:$L$160,9,0)/1000,0)</f>
        <v>0</v>
      </c>
      <c r="BB693" s="5">
        <f>+IFERROR(VLOOKUP(BB19,'נתוני מים 2014'!$C$2:$L$160,5,0)/1000,0)-IFERROR(VLOOKUP(BB19,'נתוני מים 2014'!$C$2:$L$160,9,0)/1000,0)</f>
        <v>0</v>
      </c>
      <c r="BC693" s="5">
        <f>+IFERROR(VLOOKUP(BC19,'נתוני מים 2014'!$C$2:$L$160,5,0)/1000,0)-IFERROR(VLOOKUP(BC19,'נתוני מים 2014'!$C$2:$L$160,9,0)/1000,0)</f>
        <v>0</v>
      </c>
      <c r="BD693" s="5">
        <f>+IFERROR(VLOOKUP(BD19,'נתוני מים 2014'!$C$2:$L$160,5,0)/1000,0)-IFERROR(VLOOKUP(BD19,'נתוני מים 2014'!$C$2:$L$160,9,0)/1000,0)</f>
        <v>0</v>
      </c>
      <c r="BE693" s="5">
        <f>+IFERROR(VLOOKUP(BE19,'נתוני מים 2014'!$C$2:$L$160,5,0)/1000,0)-IFERROR(VLOOKUP(BE19,'נתוני מים 2014'!$C$2:$L$160,9,0)/1000,0)</f>
        <v>0</v>
      </c>
      <c r="BF693" s="5">
        <f>+IFERROR(VLOOKUP(BF19,'נתוני מים 2014'!$C$2:$L$188,5,0)/1000,0)-IFERROR(VLOOKUP(BF19,'נתוני מים 2014'!$C$2:$L$188,9,0)/1000,0)</f>
        <v>0</v>
      </c>
    </row>
    <row r="694" spans="2:58" x14ac:dyDescent="0.2">
      <c r="B694" s="1">
        <v>13</v>
      </c>
      <c r="C694" s="5">
        <f>+IFERROR(VLOOKUP(C20,'נתוני מים 2014'!$C$2:$L$160,5,0)/1000,0)-IFERROR(VLOOKUP(C20,'נתוני מים 2014'!$C$2:$L$160,9,0)/1000,0)</f>
        <v>0</v>
      </c>
      <c r="D694" s="5">
        <f>+IFERROR(VLOOKUP(D20,'נתוני מים 2014'!$C$2:$L$188,5,0)/1000,0)-IFERROR(VLOOKUP(D20,'נתוני מים 2014'!$C$2:$L$188,9,0)/1000,0)</f>
        <v>0</v>
      </c>
      <c r="E694" s="5">
        <f>+IFERROR(VLOOKUP(E20,'נתוני מים 2014'!$C$2:$L$160,5,0)/1000,0)-IFERROR(VLOOKUP(E20,'נתוני מים 2014'!$C$2:$L$160,9,0)/1000,0)</f>
        <v>0</v>
      </c>
      <c r="F694" s="5">
        <f>+IFERROR(VLOOKUP(F20,'נתוני מים 2014'!$C$2:$L$160,5,0)/1000,0)-IFERROR(VLOOKUP(F20,'נתוני מים 2014'!$C$2:$L$160,9,0)/1000,0)</f>
        <v>0</v>
      </c>
      <c r="G694" s="5">
        <f>+IFERROR(VLOOKUP(G20,'נתוני מים 2014'!$C$2:$L$160,5,0)/1000,0)-IFERROR(VLOOKUP(G20,'נתוני מים 2014'!$C$2:$L$160,9,0)/1000,0)</f>
        <v>0</v>
      </c>
      <c r="H694" s="5">
        <f>+IFERROR(VLOOKUP(H20,'נתוני מים 2014'!$C$2:$L$160,5,0)/1000,0)-IFERROR(VLOOKUP(H20,'נתוני מים 2014'!$C$2:$L$160,9,0)/1000,0)</f>
        <v>0</v>
      </c>
      <c r="I694" s="5">
        <f>+IFERROR(VLOOKUP(I20,'נתוני מים 2014'!$C$2:$L$160,5,0)/1000,0)-IFERROR(VLOOKUP(I20,'נתוני מים 2014'!$C$2:$L$160,9,0)/1000,0)</f>
        <v>0</v>
      </c>
      <c r="J694" s="5">
        <f>+IFERROR(VLOOKUP(J20,'נתוני מים 2014'!$C$2:$L$160,5,0)/1000,0)-IFERROR(VLOOKUP(J20,'נתוני מים 2014'!$C$2:$L$160,9,0)/1000,0)</f>
        <v>0</v>
      </c>
      <c r="K694" s="5">
        <f>+IFERROR(VLOOKUP(K20,'נתוני מים 2014'!$C$2:$L$160,5,0)/1000,0)-IFERROR(VLOOKUP(K20,'נתוני מים 2014'!$C$2:$L$160,9,0)/1000,0)</f>
        <v>0</v>
      </c>
      <c r="L694" s="5">
        <f>+IFERROR(VLOOKUP(L20,'נתוני מים 2014'!$C$2:$L$160,5,0)/1000,0)-IFERROR(VLOOKUP(L20,'נתוני מים 2014'!$C$2:$L$160,9,0)/1000,0)</f>
        <v>0</v>
      </c>
      <c r="M694" s="5">
        <f>+IFERROR(VLOOKUP(M20,'נתוני מים 2014'!$C$2:$L$160,5,0)/1000,0)-IFERROR(VLOOKUP(M20,'נתוני מים 2014'!$C$2:$L$160,9,0)/1000,0)</f>
        <v>0</v>
      </c>
      <c r="N694" s="5">
        <f>+IFERROR(VLOOKUP(N20,'נתוני מים 2014'!$C$2:$L$160,5,0)/1000,0)-IFERROR(VLOOKUP(N20,'נתוני מים 2014'!$C$2:$L$160,9,0)/1000,0)</f>
        <v>0</v>
      </c>
      <c r="O694" s="5">
        <f>+IFERROR(VLOOKUP(O20,'נתוני מים 2014'!$C$2:$L$160,5,0)/1000,0)-IFERROR(VLOOKUP(O20,'נתוני מים 2014'!$C$2:$L$160,9,0)/1000,0)</f>
        <v>0</v>
      </c>
      <c r="P694" s="5">
        <f>+IFERROR(VLOOKUP(P20,'נתוני מים 2014'!$C$2:$L$160,5,0)/1000,0)-IFERROR(VLOOKUP(P20,'נתוני מים 2014'!$C$2:$L$160,9,0)/1000,0)</f>
        <v>673.07799999999997</v>
      </c>
      <c r="Q694" s="5">
        <f>+IFERROR(VLOOKUP(Q20,'נתוני מים 2014'!$C$2:$L$160,5,0)/1000,0)-IFERROR(VLOOKUP(Q20,'נתוני מים 2014'!$C$2:$L$160,9,0)/1000,0)</f>
        <v>0</v>
      </c>
      <c r="R694" s="5">
        <f>+IFERROR(VLOOKUP(R20,'נתוני מים 2014'!$C$2:$L$160,5,0)/1000,0)-IFERROR(VLOOKUP(R20,'נתוני מים 2014'!$C$2:$L$160,9,0)/1000,0)</f>
        <v>0</v>
      </c>
      <c r="S694" s="5">
        <f>+IFERROR(VLOOKUP(S20,'נתוני מים 2014'!$C$2:$L$160,5,0)/1000,0)-IFERROR(VLOOKUP(S20,'נתוני מים 2014'!$C$2:$L$160,9,0)/1000,0)</f>
        <v>0</v>
      </c>
      <c r="T694" s="5">
        <f>+IFERROR(VLOOKUP(T20,'נתוני מים 2014'!$C$2:$L$160,5,0)/1000,0)-IFERROR(VLOOKUP(T20,'נתוני מים 2014'!$C$2:$L$160,9,0)/1000,0)</f>
        <v>0</v>
      </c>
      <c r="U694" s="5">
        <f>+IFERROR(VLOOKUP(U20,'נתוני מים 2014'!$C$2:$L$160,5,0)/1000,0)-IFERROR(VLOOKUP(U20,'נתוני מים 2014'!$C$2:$L$160,9,0)/1000,0)</f>
        <v>0</v>
      </c>
      <c r="V694" s="5">
        <f>+IFERROR(VLOOKUP(V20,'נתוני מים 2014'!$C$2:$L$160,5,0)/1000,0)-IFERROR(VLOOKUP(V20,'נתוני מים 2014'!$C$2:$L$160,9,0)/1000,0)</f>
        <v>0</v>
      </c>
      <c r="W694" s="5">
        <f>+IFERROR(VLOOKUP(W20,'נתוני מים 2014'!$C$2:$L$160,5,0)/1000,0)-IFERROR(VLOOKUP(W20,'נתוני מים 2014'!$C$2:$L$160,9,0)/1000,0)</f>
        <v>0</v>
      </c>
      <c r="X694" s="5">
        <f>+IFERROR(VLOOKUP(X20,'נתוני מים 2014'!$C$2:$L$160,5,0)/1000,0)-IFERROR(VLOOKUP(X20,'נתוני מים 2014'!$C$2:$L$160,9,0)/1000,0)</f>
        <v>0</v>
      </c>
      <c r="Y694" s="5">
        <f>+IFERROR(VLOOKUP(Y20,'נתוני מים 2014'!$C$2:$L$160,5,0)/1000,0)-IFERROR(VLOOKUP(Y20,'נתוני מים 2014'!$C$2:$L$160,9,0)/1000,0)</f>
        <v>0</v>
      </c>
      <c r="Z694" s="5">
        <f>+IFERROR(VLOOKUP(Z20,'נתוני מים 2014'!$C$2:$L$160,5,0)/1000,0)-IFERROR(VLOOKUP(Z20,'נתוני מים 2014'!$C$2:$L$160,9,0)/1000,0)</f>
        <v>0</v>
      </c>
      <c r="AA694" s="5">
        <f>+IFERROR(VLOOKUP(AA20,'נתוני מים 2014'!$C$2:$L$160,5,0)/1000,0)-IFERROR(VLOOKUP(AA20,'נתוני מים 2014'!$C$2:$L$160,9,0)/1000,0)</f>
        <v>0</v>
      </c>
      <c r="AB694" s="5">
        <f>+IFERROR(VLOOKUP(AB20,'נתוני מים 2014'!$C$2:$L$160,5,0)/1000,0)-IFERROR(VLOOKUP(AB20,'נתוני מים 2014'!$C$2:$L$160,9,0)/1000,0)</f>
        <v>0</v>
      </c>
      <c r="AC694" s="5">
        <f>+IFERROR(VLOOKUP(AC20,'נתוני מים 2014'!$C$2:$L$160,5,0)/1000,0)-IFERROR(VLOOKUP(AC20,'נתוני מים 2014'!$C$2:$L$160,9,0)/1000,0)</f>
        <v>0</v>
      </c>
      <c r="AD694" s="5">
        <f>+IFERROR(VLOOKUP(AD20,'נתוני מים 2014'!$C$2:$L$160,5,0)/1000,0)-IFERROR(VLOOKUP(AD20,'נתוני מים 2014'!$C$2:$L$160,9,0)/1000,0)</f>
        <v>0</v>
      </c>
      <c r="AE694" s="5">
        <f>+IFERROR(VLOOKUP(AE20,'נתוני מים 2014'!$C$2:$L$160,5,0)/1000,0)-IFERROR(VLOOKUP(AE20,'נתוני מים 2014'!$C$2:$L$160,9,0)/1000,0)</f>
        <v>0</v>
      </c>
      <c r="AF694" s="5">
        <f>+IFERROR(VLOOKUP(AF20,'נתוני מים 2014'!$C$2:$L$160,5,0)/1000,0)-IFERROR(VLOOKUP(AF20,'נתוני מים 2014'!$C$2:$L$160,9,0)/1000,0)</f>
        <v>0</v>
      </c>
      <c r="AG694" s="5">
        <f>+IFERROR(VLOOKUP(AG20,'נתוני מים 2014'!$C$2:$L$160,5,0)/1000,0)-IFERROR(VLOOKUP(AG20,'נתוני מים 2014'!$C$2:$L$160,9,0)/1000,0)</f>
        <v>0</v>
      </c>
      <c r="AH694" s="5">
        <f>+IFERROR(VLOOKUP(AH20,'נתוני מים 2014'!$C$2:$L$160,5,0)/1000,0)-IFERROR(VLOOKUP(AH20,'נתוני מים 2014'!$C$2:$L$160,9,0)/1000,0)</f>
        <v>0</v>
      </c>
      <c r="AI694" s="5">
        <f>+IFERROR(VLOOKUP(AI20,'נתוני מים 2014'!$C$2:$L$160,5,0)/1000,0)-IFERROR(VLOOKUP(AI20,'נתוני מים 2014'!$C$2:$L$160,9,0)/1000,0)</f>
        <v>0</v>
      </c>
      <c r="AJ694" s="5">
        <f>+IFERROR(VLOOKUP(AJ20,'נתוני מים 2014'!$C$2:$L$160,5,0)/1000,0)-IFERROR(VLOOKUP(AJ20,'נתוני מים 2014'!$C$2:$L$160,9,0)/1000,0)</f>
        <v>0</v>
      </c>
      <c r="AK694" s="5">
        <f>+IFERROR(VLOOKUP(AK20,'נתוני מים 2014'!$C$2:$L$160,5,0)/1000,0)-IFERROR(VLOOKUP(AK20,'נתוני מים 2014'!$C$2:$L$160,9,0)/1000,0)</f>
        <v>0</v>
      </c>
      <c r="AL694" s="5">
        <f>+IFERROR(VLOOKUP(AL20,'נתוני מים 2014'!$C$2:$L$160,5,0)/1000,0)-IFERROR(VLOOKUP(AL20,'נתוני מים 2014'!$C$2:$L$160,9,0)/1000,0)</f>
        <v>0</v>
      </c>
      <c r="AM694" s="5">
        <f>+IFERROR(VLOOKUP(AM20,'נתוני מים 2014'!$C$2:$L$160,5,0)/1000,0)-IFERROR(VLOOKUP(AM20,'נתוני מים 2014'!$C$2:$L$160,9,0)/1000,0)</f>
        <v>0</v>
      </c>
      <c r="AN694" s="5">
        <f>+IFERROR(VLOOKUP(AN20,'נתוני מים 2014'!$C$2:$L$160,5,0)/1000,0)-IFERROR(VLOOKUP(AN20,'נתוני מים 2014'!$C$2:$L$160,9,0)/1000,0)</f>
        <v>0</v>
      </c>
      <c r="AO694" s="5">
        <f>+IFERROR(VLOOKUP(AO20,'נתוני מים 2014'!$C$2:$L$160,5,0)/1000,0)-IFERROR(VLOOKUP(AO20,'נתוני מים 2014'!$C$2:$L$160,9,0)/1000,0)</f>
        <v>0</v>
      </c>
      <c r="AP694" s="5">
        <f>+IFERROR(VLOOKUP(AP20,'נתוני מים 2014'!$C$2:$L$160,5,0)/1000,0)-IFERROR(VLOOKUP(AP20,'נתוני מים 2014'!$C$2:$L$160,9,0)/1000,0)</f>
        <v>0</v>
      </c>
      <c r="AQ694" s="5">
        <f>+IFERROR(VLOOKUP(AQ20,'נתוני מים 2014'!$C$2:$L$160,5,0)/1000,0)-IFERROR(VLOOKUP(AQ20,'נתוני מים 2014'!$C$2:$L$160,9,0)/1000,0)</f>
        <v>0</v>
      </c>
      <c r="AR694" s="5">
        <f>+IFERROR(VLOOKUP(AR20,'נתוני מים 2014'!$C$2:$L$160,5,0)/1000,0)-IFERROR(VLOOKUP(AR20,'נתוני מים 2014'!$C$2:$L$160,9,0)/1000,0)</f>
        <v>0</v>
      </c>
      <c r="AS694" s="5">
        <f>+IFERROR(VLOOKUP(AS20,'נתוני מים 2014'!$C$2:$L$160,5,0)/1000,0)-IFERROR(VLOOKUP(AS20,'נתוני מים 2014'!$C$2:$L$160,9,0)/1000,0)</f>
        <v>0</v>
      </c>
      <c r="AT694" s="5">
        <f>+IFERROR(VLOOKUP(AT20,'נתוני מים 2014'!$C$2:$L$160,5,0)/1000,0)-IFERROR(VLOOKUP(AT20,'נתוני מים 2014'!$C$2:$L$160,9,0)/1000,0)</f>
        <v>0</v>
      </c>
      <c r="AU694" s="5">
        <f>+IFERROR(VLOOKUP(AU20,'נתוני מים 2014'!$C$2:$L$160,5,0)/1000,0)-IFERROR(VLOOKUP(AU20,'נתוני מים 2014'!$C$2:$L$160,9,0)/1000,0)</f>
        <v>0</v>
      </c>
      <c r="AV694" s="5">
        <f>+IFERROR(VLOOKUP(AV20,'נתוני מים 2014'!$C$2:$L$160,5,0)/1000,0)-IFERROR(VLOOKUP(AV20,'נתוני מים 2014'!$C$2:$L$160,9,0)/1000,0)</f>
        <v>0</v>
      </c>
      <c r="AW694" s="5">
        <f>+IFERROR(VLOOKUP(AW20,'נתוני מים 2014'!$C$2:$L$160,5,0)/1000,0)-IFERROR(VLOOKUP(AW20,'נתוני מים 2014'!$C$2:$L$160,9,0)/1000,0)</f>
        <v>0</v>
      </c>
      <c r="AX694" s="5">
        <f>+IFERROR(VLOOKUP(AX20,'נתוני מים 2014'!$C$2:$L$160,5,0)/1000,0)-IFERROR(VLOOKUP(AX20,'נתוני מים 2014'!$C$2:$L$160,9,0)/1000,0)</f>
        <v>0</v>
      </c>
      <c r="AY694" s="5">
        <f>+IFERROR(VLOOKUP(AY20,'נתוני מים 2014'!$C$2:$L$160,5,0)/1000,0)-IFERROR(VLOOKUP(AY20,'נתוני מים 2014'!$C$2:$L$160,9,0)/1000,0)</f>
        <v>0</v>
      </c>
      <c r="AZ694" s="5">
        <f>+IFERROR(VLOOKUP(AZ20,'נתוני מים 2014'!$C$2:$L$160,5,0)/1000,0)-IFERROR(VLOOKUP(AZ20,'נתוני מים 2014'!$C$2:$L$160,9,0)/1000,0)</f>
        <v>0</v>
      </c>
      <c r="BA694" s="5">
        <f>+IFERROR(VLOOKUP(BA20,'נתוני מים 2014'!$C$2:$L$160,5,0)/1000,0)-IFERROR(VLOOKUP(BA20,'נתוני מים 2014'!$C$2:$L$160,9,0)/1000,0)</f>
        <v>0</v>
      </c>
      <c r="BB694" s="5">
        <f>+IFERROR(VLOOKUP(BB20,'נתוני מים 2014'!$C$2:$L$160,5,0)/1000,0)-IFERROR(VLOOKUP(BB20,'נתוני מים 2014'!$C$2:$L$160,9,0)/1000,0)</f>
        <v>0</v>
      </c>
      <c r="BC694" s="5">
        <f>+IFERROR(VLOOKUP(BC20,'נתוני מים 2014'!$C$2:$L$160,5,0)/1000,0)-IFERROR(VLOOKUP(BC20,'נתוני מים 2014'!$C$2:$L$160,9,0)/1000,0)</f>
        <v>0</v>
      </c>
      <c r="BD694" s="5">
        <f>+IFERROR(VLOOKUP(BD20,'נתוני מים 2014'!$C$2:$L$160,5,0)/1000,0)-IFERROR(VLOOKUP(BD20,'נתוני מים 2014'!$C$2:$L$160,9,0)/1000,0)</f>
        <v>0</v>
      </c>
      <c r="BE694" s="5">
        <f>+IFERROR(VLOOKUP(BE20,'נתוני מים 2014'!$C$2:$L$160,5,0)/1000,0)-IFERROR(VLOOKUP(BE20,'נתוני מים 2014'!$C$2:$L$160,9,0)/1000,0)</f>
        <v>0</v>
      </c>
      <c r="BF694" s="5">
        <f>+IFERROR(VLOOKUP(BF20,'נתוני מים 2014'!$C$2:$L$188,5,0)/1000,0)-IFERROR(VLOOKUP(BF20,'נתוני מים 2014'!$C$2:$L$188,9,0)/1000,0)</f>
        <v>0</v>
      </c>
    </row>
    <row r="695" spans="2:58" x14ac:dyDescent="0.2">
      <c r="B695" s="1">
        <v>14</v>
      </c>
      <c r="C695" s="5">
        <f>+IFERROR(VLOOKUP(C21,'נתוני מים 2014'!$C$2:$L$160,5,0)/1000,0)-IFERROR(VLOOKUP(C21,'נתוני מים 2014'!$C$2:$L$160,9,0)/1000,0)</f>
        <v>0</v>
      </c>
      <c r="D695" s="5">
        <f>+IFERROR(VLOOKUP(D21,'נתוני מים 2014'!$C$2:$L$188,5,0)/1000,0)-IFERROR(VLOOKUP(D21,'נתוני מים 2014'!$C$2:$L$188,9,0)/1000,0)</f>
        <v>0</v>
      </c>
      <c r="E695" s="5">
        <f>+IFERROR(VLOOKUP(E21,'נתוני מים 2014'!$C$2:$L$160,5,0)/1000,0)-IFERROR(VLOOKUP(E21,'נתוני מים 2014'!$C$2:$L$160,9,0)/1000,0)</f>
        <v>0</v>
      </c>
      <c r="F695" s="5">
        <f>+IFERROR(VLOOKUP(F21,'נתוני מים 2014'!$C$2:$L$160,5,0)/1000,0)-IFERROR(VLOOKUP(F21,'נתוני מים 2014'!$C$2:$L$160,9,0)/1000,0)</f>
        <v>0</v>
      </c>
      <c r="G695" s="5">
        <f>+IFERROR(VLOOKUP(G21,'נתוני מים 2014'!$C$2:$L$160,5,0)/1000,0)-IFERROR(VLOOKUP(G21,'נתוני מים 2014'!$C$2:$L$160,9,0)/1000,0)</f>
        <v>0</v>
      </c>
      <c r="H695" s="5">
        <f>+IFERROR(VLOOKUP(H21,'נתוני מים 2014'!$C$2:$L$160,5,0)/1000,0)-IFERROR(VLOOKUP(H21,'נתוני מים 2014'!$C$2:$L$160,9,0)/1000,0)</f>
        <v>0</v>
      </c>
      <c r="I695" s="5">
        <f>+IFERROR(VLOOKUP(I21,'נתוני מים 2014'!$C$2:$L$160,5,0)/1000,0)-IFERROR(VLOOKUP(I21,'נתוני מים 2014'!$C$2:$L$160,9,0)/1000,0)</f>
        <v>0</v>
      </c>
      <c r="J695" s="5">
        <f>+IFERROR(VLOOKUP(J21,'נתוני מים 2014'!$C$2:$L$160,5,0)/1000,0)-IFERROR(VLOOKUP(J21,'נתוני מים 2014'!$C$2:$L$160,9,0)/1000,0)</f>
        <v>0</v>
      </c>
      <c r="K695" s="5">
        <f>+IFERROR(VLOOKUP(K21,'נתוני מים 2014'!$C$2:$L$160,5,0)/1000,0)-IFERROR(VLOOKUP(K21,'נתוני מים 2014'!$C$2:$L$160,9,0)/1000,0)</f>
        <v>0</v>
      </c>
      <c r="L695" s="5">
        <f>+IFERROR(VLOOKUP(L21,'נתוני מים 2014'!$C$2:$L$160,5,0)/1000,0)-IFERROR(VLOOKUP(L21,'נתוני מים 2014'!$C$2:$L$160,9,0)/1000,0)</f>
        <v>0</v>
      </c>
      <c r="M695" s="5">
        <f>+IFERROR(VLOOKUP(M21,'נתוני מים 2014'!$C$2:$L$160,5,0)/1000,0)-IFERROR(VLOOKUP(M21,'נתוני מים 2014'!$C$2:$L$160,9,0)/1000,0)</f>
        <v>0</v>
      </c>
      <c r="N695" s="5">
        <f>+IFERROR(VLOOKUP(N21,'נתוני מים 2014'!$C$2:$L$160,5,0)/1000,0)-IFERROR(VLOOKUP(N21,'נתוני מים 2014'!$C$2:$L$160,9,0)/1000,0)</f>
        <v>0</v>
      </c>
      <c r="O695" s="5">
        <f>+IFERROR(VLOOKUP(O21,'נתוני מים 2014'!$C$2:$L$160,5,0)/1000,0)-IFERROR(VLOOKUP(O21,'נתוני מים 2014'!$C$2:$L$160,9,0)/1000,0)</f>
        <v>0</v>
      </c>
      <c r="P695" s="5">
        <f>+IFERROR(VLOOKUP(P21,'נתוני מים 2014'!$C$2:$L$160,5,0)/1000,0)-IFERROR(VLOOKUP(P21,'נתוני מים 2014'!$C$2:$L$160,9,0)/1000,0)</f>
        <v>0</v>
      </c>
      <c r="Q695" s="5">
        <f>+IFERROR(VLOOKUP(Q21,'נתוני מים 2014'!$C$2:$L$160,5,0)/1000,0)-IFERROR(VLOOKUP(Q21,'נתוני מים 2014'!$C$2:$L$160,9,0)/1000,0)</f>
        <v>0</v>
      </c>
      <c r="R695" s="5">
        <f>+IFERROR(VLOOKUP(R21,'נתוני מים 2014'!$C$2:$L$160,5,0)/1000,0)-IFERROR(VLOOKUP(R21,'נתוני מים 2014'!$C$2:$L$160,9,0)/1000,0)</f>
        <v>0</v>
      </c>
      <c r="S695" s="5">
        <f>+IFERROR(VLOOKUP(S21,'נתוני מים 2014'!$C$2:$L$160,5,0)/1000,0)-IFERROR(VLOOKUP(S21,'נתוני מים 2014'!$C$2:$L$160,9,0)/1000,0)</f>
        <v>0</v>
      </c>
      <c r="T695" s="5">
        <f>+IFERROR(VLOOKUP(T21,'נתוני מים 2014'!$C$2:$L$160,5,0)/1000,0)-IFERROR(VLOOKUP(T21,'נתוני מים 2014'!$C$2:$L$160,9,0)/1000,0)</f>
        <v>0</v>
      </c>
      <c r="U695" s="5">
        <f>+IFERROR(VLOOKUP(U21,'נתוני מים 2014'!$C$2:$L$160,5,0)/1000,0)-IFERROR(VLOOKUP(U21,'נתוני מים 2014'!$C$2:$L$160,9,0)/1000,0)</f>
        <v>0</v>
      </c>
      <c r="V695" s="5">
        <f>+IFERROR(VLOOKUP(V21,'נתוני מים 2014'!$C$2:$L$160,5,0)/1000,0)-IFERROR(VLOOKUP(V21,'נתוני מים 2014'!$C$2:$L$160,9,0)/1000,0)</f>
        <v>0</v>
      </c>
      <c r="W695" s="5">
        <f>+IFERROR(VLOOKUP(W21,'נתוני מים 2014'!$C$2:$L$160,5,0)/1000,0)-IFERROR(VLOOKUP(W21,'נתוני מים 2014'!$C$2:$L$160,9,0)/1000,0)</f>
        <v>0</v>
      </c>
      <c r="X695" s="5">
        <f>+IFERROR(VLOOKUP(X21,'נתוני מים 2014'!$C$2:$L$160,5,0)/1000,0)-IFERROR(VLOOKUP(X21,'נתוני מים 2014'!$C$2:$L$160,9,0)/1000,0)</f>
        <v>0</v>
      </c>
      <c r="Y695" s="5">
        <f>+IFERROR(VLOOKUP(Y21,'נתוני מים 2014'!$C$2:$L$160,5,0)/1000,0)-IFERROR(VLOOKUP(Y21,'נתוני מים 2014'!$C$2:$L$160,9,0)/1000,0)</f>
        <v>0</v>
      </c>
      <c r="Z695" s="5">
        <f>+IFERROR(VLOOKUP(Z21,'נתוני מים 2014'!$C$2:$L$160,5,0)/1000,0)-IFERROR(VLOOKUP(Z21,'נתוני מים 2014'!$C$2:$L$160,9,0)/1000,0)</f>
        <v>0</v>
      </c>
      <c r="AA695" s="5">
        <f>+IFERROR(VLOOKUP(AA21,'נתוני מים 2014'!$C$2:$L$160,5,0)/1000,0)-IFERROR(VLOOKUP(AA21,'נתוני מים 2014'!$C$2:$L$160,9,0)/1000,0)</f>
        <v>0</v>
      </c>
      <c r="AB695" s="5">
        <f>+IFERROR(VLOOKUP(AB21,'נתוני מים 2014'!$C$2:$L$160,5,0)/1000,0)-IFERROR(VLOOKUP(AB21,'נתוני מים 2014'!$C$2:$L$160,9,0)/1000,0)</f>
        <v>0</v>
      </c>
      <c r="AC695" s="5">
        <f>+IFERROR(VLOOKUP(AC21,'נתוני מים 2014'!$C$2:$L$160,5,0)/1000,0)-IFERROR(VLOOKUP(AC21,'נתוני מים 2014'!$C$2:$L$160,9,0)/1000,0)</f>
        <v>0</v>
      </c>
      <c r="AD695" s="5">
        <f>+IFERROR(VLOOKUP(AD21,'נתוני מים 2014'!$C$2:$L$160,5,0)/1000,0)-IFERROR(VLOOKUP(AD21,'נתוני מים 2014'!$C$2:$L$160,9,0)/1000,0)</f>
        <v>0</v>
      </c>
      <c r="AE695" s="5">
        <f>+IFERROR(VLOOKUP(AE21,'נתוני מים 2014'!$C$2:$L$160,5,0)/1000,0)-IFERROR(VLOOKUP(AE21,'נתוני מים 2014'!$C$2:$L$160,9,0)/1000,0)</f>
        <v>0</v>
      </c>
      <c r="AF695" s="5">
        <f>+IFERROR(VLOOKUP(AF21,'נתוני מים 2014'!$C$2:$L$160,5,0)/1000,0)-IFERROR(VLOOKUP(AF21,'נתוני מים 2014'!$C$2:$L$160,9,0)/1000,0)</f>
        <v>0</v>
      </c>
      <c r="AG695" s="5">
        <f>+IFERROR(VLOOKUP(AG21,'נתוני מים 2014'!$C$2:$L$160,5,0)/1000,0)-IFERROR(VLOOKUP(AG21,'נתוני מים 2014'!$C$2:$L$160,9,0)/1000,0)</f>
        <v>0</v>
      </c>
      <c r="AH695" s="5">
        <f>+IFERROR(VLOOKUP(AH21,'נתוני מים 2014'!$C$2:$L$160,5,0)/1000,0)-IFERROR(VLOOKUP(AH21,'נתוני מים 2014'!$C$2:$L$160,9,0)/1000,0)</f>
        <v>0</v>
      </c>
      <c r="AI695" s="5">
        <f>+IFERROR(VLOOKUP(AI21,'נתוני מים 2014'!$C$2:$L$160,5,0)/1000,0)-IFERROR(VLOOKUP(AI21,'נתוני מים 2014'!$C$2:$L$160,9,0)/1000,0)</f>
        <v>0</v>
      </c>
      <c r="AJ695" s="5">
        <f>+IFERROR(VLOOKUP(AJ21,'נתוני מים 2014'!$C$2:$L$160,5,0)/1000,0)-IFERROR(VLOOKUP(AJ21,'נתוני מים 2014'!$C$2:$L$160,9,0)/1000,0)</f>
        <v>0</v>
      </c>
      <c r="AK695" s="5">
        <f>+IFERROR(VLOOKUP(AK21,'נתוני מים 2014'!$C$2:$L$160,5,0)/1000,0)-IFERROR(VLOOKUP(AK21,'נתוני מים 2014'!$C$2:$L$160,9,0)/1000,0)</f>
        <v>0</v>
      </c>
      <c r="AL695" s="5">
        <f>+IFERROR(VLOOKUP(AL21,'נתוני מים 2014'!$C$2:$L$160,5,0)/1000,0)-IFERROR(VLOOKUP(AL21,'נתוני מים 2014'!$C$2:$L$160,9,0)/1000,0)</f>
        <v>0</v>
      </c>
      <c r="AM695" s="5">
        <f>+IFERROR(VLOOKUP(AM21,'נתוני מים 2014'!$C$2:$L$160,5,0)/1000,0)-IFERROR(VLOOKUP(AM21,'נתוני מים 2014'!$C$2:$L$160,9,0)/1000,0)</f>
        <v>0</v>
      </c>
      <c r="AN695" s="5">
        <f>+IFERROR(VLOOKUP(AN21,'נתוני מים 2014'!$C$2:$L$160,5,0)/1000,0)-IFERROR(VLOOKUP(AN21,'נתוני מים 2014'!$C$2:$L$160,9,0)/1000,0)</f>
        <v>0</v>
      </c>
      <c r="AO695" s="5">
        <f>+IFERROR(VLOOKUP(AO21,'נתוני מים 2014'!$C$2:$L$160,5,0)/1000,0)-IFERROR(VLOOKUP(AO21,'נתוני מים 2014'!$C$2:$L$160,9,0)/1000,0)</f>
        <v>0</v>
      </c>
      <c r="AP695" s="5">
        <f>+IFERROR(VLOOKUP(AP21,'נתוני מים 2014'!$C$2:$L$160,5,0)/1000,0)-IFERROR(VLOOKUP(AP21,'נתוני מים 2014'!$C$2:$L$160,9,0)/1000,0)</f>
        <v>0</v>
      </c>
      <c r="AQ695" s="5">
        <f>+IFERROR(VLOOKUP(AQ21,'נתוני מים 2014'!$C$2:$L$160,5,0)/1000,0)-IFERROR(VLOOKUP(AQ21,'נתוני מים 2014'!$C$2:$L$160,9,0)/1000,0)</f>
        <v>0</v>
      </c>
      <c r="AR695" s="5">
        <f>+IFERROR(VLOOKUP(AR21,'נתוני מים 2014'!$C$2:$L$160,5,0)/1000,0)-IFERROR(VLOOKUP(AR21,'נתוני מים 2014'!$C$2:$L$160,9,0)/1000,0)</f>
        <v>0</v>
      </c>
      <c r="AS695" s="5">
        <f>+IFERROR(VLOOKUP(AS21,'נתוני מים 2014'!$C$2:$L$160,5,0)/1000,0)-IFERROR(VLOOKUP(AS21,'נתוני מים 2014'!$C$2:$L$160,9,0)/1000,0)</f>
        <v>0</v>
      </c>
      <c r="AT695" s="5">
        <f>+IFERROR(VLOOKUP(AT21,'נתוני מים 2014'!$C$2:$L$160,5,0)/1000,0)-IFERROR(VLOOKUP(AT21,'נתוני מים 2014'!$C$2:$L$160,9,0)/1000,0)</f>
        <v>0</v>
      </c>
      <c r="AU695" s="5">
        <f>+IFERROR(VLOOKUP(AU21,'נתוני מים 2014'!$C$2:$L$160,5,0)/1000,0)-IFERROR(VLOOKUP(AU21,'נתוני מים 2014'!$C$2:$L$160,9,0)/1000,0)</f>
        <v>0</v>
      </c>
      <c r="AV695" s="5">
        <f>+IFERROR(VLOOKUP(AV21,'נתוני מים 2014'!$C$2:$L$160,5,0)/1000,0)-IFERROR(VLOOKUP(AV21,'נתוני מים 2014'!$C$2:$L$160,9,0)/1000,0)</f>
        <v>0</v>
      </c>
      <c r="AW695" s="5">
        <f>+IFERROR(VLOOKUP(AW21,'נתוני מים 2014'!$C$2:$L$160,5,0)/1000,0)-IFERROR(VLOOKUP(AW21,'נתוני מים 2014'!$C$2:$L$160,9,0)/1000,0)</f>
        <v>0</v>
      </c>
      <c r="AX695" s="5">
        <f>+IFERROR(VLOOKUP(AX21,'נתוני מים 2014'!$C$2:$L$160,5,0)/1000,0)-IFERROR(VLOOKUP(AX21,'נתוני מים 2014'!$C$2:$L$160,9,0)/1000,0)</f>
        <v>0</v>
      </c>
      <c r="AY695" s="5">
        <f>+IFERROR(VLOOKUP(AY21,'נתוני מים 2014'!$C$2:$L$160,5,0)/1000,0)-IFERROR(VLOOKUP(AY21,'נתוני מים 2014'!$C$2:$L$160,9,0)/1000,0)</f>
        <v>0</v>
      </c>
      <c r="AZ695" s="5">
        <f>+IFERROR(VLOOKUP(AZ21,'נתוני מים 2014'!$C$2:$L$160,5,0)/1000,0)-IFERROR(VLOOKUP(AZ21,'נתוני מים 2014'!$C$2:$L$160,9,0)/1000,0)</f>
        <v>0</v>
      </c>
      <c r="BA695" s="5">
        <f>+IFERROR(VLOOKUP(BA21,'נתוני מים 2014'!$C$2:$L$160,5,0)/1000,0)-IFERROR(VLOOKUP(BA21,'נתוני מים 2014'!$C$2:$L$160,9,0)/1000,0)</f>
        <v>0</v>
      </c>
      <c r="BB695" s="5">
        <f>+IFERROR(VLOOKUP(BB21,'נתוני מים 2014'!$C$2:$L$160,5,0)/1000,0)-IFERROR(VLOOKUP(BB21,'נתוני מים 2014'!$C$2:$L$160,9,0)/1000,0)</f>
        <v>0</v>
      </c>
      <c r="BC695" s="5">
        <f>+IFERROR(VLOOKUP(BC21,'נתוני מים 2014'!$C$2:$L$160,5,0)/1000,0)-IFERROR(VLOOKUP(BC21,'נתוני מים 2014'!$C$2:$L$160,9,0)/1000,0)</f>
        <v>0</v>
      </c>
      <c r="BD695" s="5">
        <f>+IFERROR(VLOOKUP(BD21,'נתוני מים 2014'!$C$2:$L$160,5,0)/1000,0)-IFERROR(VLOOKUP(BD21,'נתוני מים 2014'!$C$2:$L$160,9,0)/1000,0)</f>
        <v>0</v>
      </c>
      <c r="BE695" s="5">
        <f>+IFERROR(VLOOKUP(BE21,'נתוני מים 2014'!$C$2:$L$160,5,0)/1000,0)-IFERROR(VLOOKUP(BE21,'נתוני מים 2014'!$C$2:$L$160,9,0)/1000,0)</f>
        <v>0</v>
      </c>
      <c r="BF695" s="5">
        <f>+IFERROR(VLOOKUP(BF21,'נתוני מים 2014'!$C$2:$L$188,5,0)/1000,0)-IFERROR(VLOOKUP(BF21,'נתוני מים 2014'!$C$2:$L$188,9,0)/1000,0)</f>
        <v>0</v>
      </c>
    </row>
    <row r="696" spans="2:58" x14ac:dyDescent="0.2">
      <c r="B696" s="1">
        <v>15</v>
      </c>
      <c r="C696" s="5">
        <f>+IFERROR(VLOOKUP(C22,'נתוני מים 2014'!$C$2:$L$160,5,0)/1000,0)-IFERROR(VLOOKUP(C22,'נתוני מים 2014'!$C$2:$L$160,9,0)/1000,0)</f>
        <v>0</v>
      </c>
      <c r="D696" s="5">
        <f>+IFERROR(VLOOKUP(D22,'נתוני מים 2014'!$C$2:$L$188,5,0)/1000,0)-IFERROR(VLOOKUP(D22,'נתוני מים 2014'!$C$2:$L$188,9,0)/1000,0)</f>
        <v>0</v>
      </c>
      <c r="E696" s="5">
        <f>+IFERROR(VLOOKUP(E22,'נתוני מים 2014'!$C$2:$L$160,5,0)/1000,0)-IFERROR(VLOOKUP(E22,'נתוני מים 2014'!$C$2:$L$160,9,0)/1000,0)</f>
        <v>0</v>
      </c>
      <c r="F696" s="5">
        <f>+IFERROR(VLOOKUP(F22,'נתוני מים 2014'!$C$2:$L$160,5,0)/1000,0)-IFERROR(VLOOKUP(F22,'נתוני מים 2014'!$C$2:$L$160,9,0)/1000,0)</f>
        <v>0</v>
      </c>
      <c r="G696" s="5">
        <f>+IFERROR(VLOOKUP(G22,'נתוני מים 2014'!$C$2:$L$160,5,0)/1000,0)-IFERROR(VLOOKUP(G22,'נתוני מים 2014'!$C$2:$L$160,9,0)/1000,0)</f>
        <v>0</v>
      </c>
      <c r="H696" s="5">
        <f>+IFERROR(VLOOKUP(H22,'נתוני מים 2014'!$C$2:$L$160,5,0)/1000,0)-IFERROR(VLOOKUP(H22,'נתוני מים 2014'!$C$2:$L$160,9,0)/1000,0)</f>
        <v>0</v>
      </c>
      <c r="I696" s="5">
        <f>+IFERROR(VLOOKUP(I22,'נתוני מים 2014'!$C$2:$L$160,5,0)/1000,0)-IFERROR(VLOOKUP(I22,'נתוני מים 2014'!$C$2:$L$160,9,0)/1000,0)</f>
        <v>0</v>
      </c>
      <c r="J696" s="5">
        <f>+IFERROR(VLOOKUP(J22,'נתוני מים 2014'!$C$2:$L$160,5,0)/1000,0)-IFERROR(VLOOKUP(J22,'נתוני מים 2014'!$C$2:$L$160,9,0)/1000,0)</f>
        <v>0</v>
      </c>
      <c r="K696" s="5">
        <f>+IFERROR(VLOOKUP(K22,'נתוני מים 2014'!$C$2:$L$160,5,0)/1000,0)-IFERROR(VLOOKUP(K22,'נתוני מים 2014'!$C$2:$L$160,9,0)/1000,0)</f>
        <v>0</v>
      </c>
      <c r="L696" s="5">
        <f>+IFERROR(VLOOKUP(L22,'נתוני מים 2014'!$C$2:$L$160,5,0)/1000,0)-IFERROR(VLOOKUP(L22,'נתוני מים 2014'!$C$2:$L$160,9,0)/1000,0)</f>
        <v>0</v>
      </c>
      <c r="M696" s="5">
        <f>+IFERROR(VLOOKUP(M22,'נתוני מים 2014'!$C$2:$L$160,5,0)/1000,0)-IFERROR(VLOOKUP(M22,'נתוני מים 2014'!$C$2:$L$160,9,0)/1000,0)</f>
        <v>0</v>
      </c>
      <c r="N696" s="5">
        <f>+IFERROR(VLOOKUP(N22,'נתוני מים 2014'!$C$2:$L$160,5,0)/1000,0)-IFERROR(VLOOKUP(N22,'נתוני מים 2014'!$C$2:$L$160,9,0)/1000,0)</f>
        <v>0</v>
      </c>
      <c r="O696" s="5">
        <f>+IFERROR(VLOOKUP(O22,'נתוני מים 2014'!$C$2:$L$160,5,0)/1000,0)-IFERROR(VLOOKUP(O22,'נתוני מים 2014'!$C$2:$L$160,9,0)/1000,0)</f>
        <v>0</v>
      </c>
      <c r="P696" s="5">
        <f>+IFERROR(VLOOKUP(P22,'נתוני מים 2014'!$C$2:$L$160,5,0)/1000,0)-IFERROR(VLOOKUP(P22,'נתוני מים 2014'!$C$2:$L$160,9,0)/1000,0)</f>
        <v>0</v>
      </c>
      <c r="Q696" s="5">
        <f>+IFERROR(VLOOKUP(Q22,'נתוני מים 2014'!$C$2:$L$160,5,0)/1000,0)-IFERROR(VLOOKUP(Q22,'נתוני מים 2014'!$C$2:$L$160,9,0)/1000,0)</f>
        <v>0</v>
      </c>
      <c r="R696" s="5">
        <f>+IFERROR(VLOOKUP(R22,'נתוני מים 2014'!$C$2:$L$160,5,0)/1000,0)-IFERROR(VLOOKUP(R22,'נתוני מים 2014'!$C$2:$L$160,9,0)/1000,0)</f>
        <v>0</v>
      </c>
      <c r="S696" s="5">
        <f>+IFERROR(VLOOKUP(S22,'נתוני מים 2014'!$C$2:$L$160,5,0)/1000,0)-IFERROR(VLOOKUP(S22,'נתוני מים 2014'!$C$2:$L$160,9,0)/1000,0)</f>
        <v>0</v>
      </c>
      <c r="T696" s="5">
        <f>+IFERROR(VLOOKUP(T22,'נתוני מים 2014'!$C$2:$L$160,5,0)/1000,0)-IFERROR(VLOOKUP(T22,'נתוני מים 2014'!$C$2:$L$160,9,0)/1000,0)</f>
        <v>0</v>
      </c>
      <c r="U696" s="5">
        <f>+IFERROR(VLOOKUP(U22,'נתוני מים 2014'!$C$2:$L$160,5,0)/1000,0)-IFERROR(VLOOKUP(U22,'נתוני מים 2014'!$C$2:$L$160,9,0)/1000,0)</f>
        <v>0</v>
      </c>
      <c r="V696" s="5">
        <f>+IFERROR(VLOOKUP(V22,'נתוני מים 2014'!$C$2:$L$160,5,0)/1000,0)-IFERROR(VLOOKUP(V22,'נתוני מים 2014'!$C$2:$L$160,9,0)/1000,0)</f>
        <v>0</v>
      </c>
      <c r="W696" s="5">
        <f>+IFERROR(VLOOKUP(W22,'נתוני מים 2014'!$C$2:$L$160,5,0)/1000,0)-IFERROR(VLOOKUP(W22,'נתוני מים 2014'!$C$2:$L$160,9,0)/1000,0)</f>
        <v>0</v>
      </c>
      <c r="X696" s="5">
        <f>+IFERROR(VLOOKUP(X22,'נתוני מים 2014'!$C$2:$L$160,5,0)/1000,0)-IFERROR(VLOOKUP(X22,'נתוני מים 2014'!$C$2:$L$160,9,0)/1000,0)</f>
        <v>0</v>
      </c>
      <c r="Y696" s="5">
        <f>+IFERROR(VLOOKUP(Y22,'נתוני מים 2014'!$C$2:$L$160,5,0)/1000,0)-IFERROR(VLOOKUP(Y22,'נתוני מים 2014'!$C$2:$L$160,9,0)/1000,0)</f>
        <v>0</v>
      </c>
      <c r="Z696" s="5">
        <f>+IFERROR(VLOOKUP(Z22,'נתוני מים 2014'!$C$2:$L$160,5,0)/1000,0)-IFERROR(VLOOKUP(Z22,'נתוני מים 2014'!$C$2:$L$160,9,0)/1000,0)</f>
        <v>0</v>
      </c>
      <c r="AA696" s="5">
        <f>+IFERROR(VLOOKUP(AA22,'נתוני מים 2014'!$C$2:$L$160,5,0)/1000,0)-IFERROR(VLOOKUP(AA22,'נתוני מים 2014'!$C$2:$L$160,9,0)/1000,0)</f>
        <v>0</v>
      </c>
      <c r="AB696" s="5">
        <f>+IFERROR(VLOOKUP(AB22,'נתוני מים 2014'!$C$2:$L$160,5,0)/1000,0)-IFERROR(VLOOKUP(AB22,'נתוני מים 2014'!$C$2:$L$160,9,0)/1000,0)</f>
        <v>0</v>
      </c>
      <c r="AC696" s="5">
        <f>+IFERROR(VLOOKUP(AC22,'נתוני מים 2014'!$C$2:$L$160,5,0)/1000,0)-IFERROR(VLOOKUP(AC22,'נתוני מים 2014'!$C$2:$L$160,9,0)/1000,0)</f>
        <v>0</v>
      </c>
      <c r="AD696" s="5">
        <f>+IFERROR(VLOOKUP(AD22,'נתוני מים 2014'!$C$2:$L$160,5,0)/1000,0)-IFERROR(VLOOKUP(AD22,'נתוני מים 2014'!$C$2:$L$160,9,0)/1000,0)</f>
        <v>0</v>
      </c>
      <c r="AE696" s="5">
        <f>+IFERROR(VLOOKUP(AE22,'נתוני מים 2014'!$C$2:$L$160,5,0)/1000,0)-IFERROR(VLOOKUP(AE22,'נתוני מים 2014'!$C$2:$L$160,9,0)/1000,0)</f>
        <v>0</v>
      </c>
      <c r="AF696" s="5">
        <f>+IFERROR(VLOOKUP(AF22,'נתוני מים 2014'!$C$2:$L$160,5,0)/1000,0)-IFERROR(VLOOKUP(AF22,'נתוני מים 2014'!$C$2:$L$160,9,0)/1000,0)</f>
        <v>0</v>
      </c>
      <c r="AG696" s="5">
        <f>+IFERROR(VLOOKUP(AG22,'נתוני מים 2014'!$C$2:$L$160,5,0)/1000,0)-IFERROR(VLOOKUP(AG22,'נתוני מים 2014'!$C$2:$L$160,9,0)/1000,0)</f>
        <v>0</v>
      </c>
      <c r="AH696" s="5">
        <f>+IFERROR(VLOOKUP(AH22,'נתוני מים 2014'!$C$2:$L$160,5,0)/1000,0)-IFERROR(VLOOKUP(AH22,'נתוני מים 2014'!$C$2:$L$160,9,0)/1000,0)</f>
        <v>0</v>
      </c>
      <c r="AI696" s="5">
        <f>+IFERROR(VLOOKUP(AI22,'נתוני מים 2014'!$C$2:$L$160,5,0)/1000,0)-IFERROR(VLOOKUP(AI22,'נתוני מים 2014'!$C$2:$L$160,9,0)/1000,0)</f>
        <v>0</v>
      </c>
      <c r="AJ696" s="5">
        <f>+IFERROR(VLOOKUP(AJ22,'נתוני מים 2014'!$C$2:$L$160,5,0)/1000,0)-IFERROR(VLOOKUP(AJ22,'נתוני מים 2014'!$C$2:$L$160,9,0)/1000,0)</f>
        <v>0</v>
      </c>
      <c r="AK696" s="5">
        <f>+IFERROR(VLOOKUP(AK22,'נתוני מים 2014'!$C$2:$L$160,5,0)/1000,0)-IFERROR(VLOOKUP(AK22,'נתוני מים 2014'!$C$2:$L$160,9,0)/1000,0)</f>
        <v>0</v>
      </c>
      <c r="AL696" s="5">
        <f>+IFERROR(VLOOKUP(AL22,'נתוני מים 2014'!$C$2:$L$160,5,0)/1000,0)-IFERROR(VLOOKUP(AL22,'נתוני מים 2014'!$C$2:$L$160,9,0)/1000,0)</f>
        <v>0</v>
      </c>
      <c r="AM696" s="5">
        <f>+IFERROR(VLOOKUP(AM22,'נתוני מים 2014'!$C$2:$L$160,5,0)/1000,0)-IFERROR(VLOOKUP(AM22,'נתוני מים 2014'!$C$2:$L$160,9,0)/1000,0)</f>
        <v>0</v>
      </c>
      <c r="AN696" s="5">
        <f>+IFERROR(VLOOKUP(AN22,'נתוני מים 2014'!$C$2:$L$160,5,0)/1000,0)-IFERROR(VLOOKUP(AN22,'נתוני מים 2014'!$C$2:$L$160,9,0)/1000,0)</f>
        <v>0</v>
      </c>
      <c r="AO696" s="5">
        <f>+IFERROR(VLOOKUP(AO22,'נתוני מים 2014'!$C$2:$L$160,5,0)/1000,0)-IFERROR(VLOOKUP(AO22,'נתוני מים 2014'!$C$2:$L$160,9,0)/1000,0)</f>
        <v>0</v>
      </c>
      <c r="AP696" s="5">
        <f>+IFERROR(VLOOKUP(AP22,'נתוני מים 2014'!$C$2:$L$160,5,0)/1000,0)-IFERROR(VLOOKUP(AP22,'נתוני מים 2014'!$C$2:$L$160,9,0)/1000,0)</f>
        <v>0</v>
      </c>
      <c r="AQ696" s="5">
        <f>+IFERROR(VLOOKUP(AQ22,'נתוני מים 2014'!$C$2:$L$160,5,0)/1000,0)-IFERROR(VLOOKUP(AQ22,'נתוני מים 2014'!$C$2:$L$160,9,0)/1000,0)</f>
        <v>0</v>
      </c>
      <c r="AR696" s="5">
        <f>+IFERROR(VLOOKUP(AR22,'נתוני מים 2014'!$C$2:$L$160,5,0)/1000,0)-IFERROR(VLOOKUP(AR22,'נתוני מים 2014'!$C$2:$L$160,9,0)/1000,0)</f>
        <v>0</v>
      </c>
      <c r="AS696" s="5">
        <f>+IFERROR(VLOOKUP(AS22,'נתוני מים 2014'!$C$2:$L$160,5,0)/1000,0)-IFERROR(VLOOKUP(AS22,'נתוני מים 2014'!$C$2:$L$160,9,0)/1000,0)</f>
        <v>0</v>
      </c>
      <c r="AT696" s="5">
        <f>+IFERROR(VLOOKUP(AT22,'נתוני מים 2014'!$C$2:$L$160,5,0)/1000,0)-IFERROR(VLOOKUP(AT22,'נתוני מים 2014'!$C$2:$L$160,9,0)/1000,0)</f>
        <v>0</v>
      </c>
      <c r="AU696" s="5">
        <f>+IFERROR(VLOOKUP(AU22,'נתוני מים 2014'!$C$2:$L$160,5,0)/1000,0)-IFERROR(VLOOKUP(AU22,'נתוני מים 2014'!$C$2:$L$160,9,0)/1000,0)</f>
        <v>0</v>
      </c>
      <c r="AV696" s="5">
        <f>+IFERROR(VLOOKUP(AV22,'נתוני מים 2014'!$C$2:$L$160,5,0)/1000,0)-IFERROR(VLOOKUP(AV22,'נתוני מים 2014'!$C$2:$L$160,9,0)/1000,0)</f>
        <v>0</v>
      </c>
      <c r="AW696" s="5">
        <f>+IFERROR(VLOOKUP(AW22,'נתוני מים 2014'!$C$2:$L$160,5,0)/1000,0)-IFERROR(VLOOKUP(AW22,'נתוני מים 2014'!$C$2:$L$160,9,0)/1000,0)</f>
        <v>0</v>
      </c>
      <c r="AX696" s="5">
        <f>+IFERROR(VLOOKUP(AX22,'נתוני מים 2014'!$C$2:$L$160,5,0)/1000,0)-IFERROR(VLOOKUP(AX22,'נתוני מים 2014'!$C$2:$L$160,9,0)/1000,0)</f>
        <v>0</v>
      </c>
      <c r="AY696" s="5">
        <f>+IFERROR(VLOOKUP(AY22,'נתוני מים 2014'!$C$2:$L$160,5,0)/1000,0)-IFERROR(VLOOKUP(AY22,'נתוני מים 2014'!$C$2:$L$160,9,0)/1000,0)</f>
        <v>0</v>
      </c>
      <c r="AZ696" s="5">
        <f>+IFERROR(VLOOKUP(AZ22,'נתוני מים 2014'!$C$2:$L$160,5,0)/1000,0)-IFERROR(VLOOKUP(AZ22,'נתוני מים 2014'!$C$2:$L$160,9,0)/1000,0)</f>
        <v>0</v>
      </c>
      <c r="BA696" s="5">
        <f>+IFERROR(VLOOKUP(BA22,'נתוני מים 2014'!$C$2:$L$160,5,0)/1000,0)-IFERROR(VLOOKUP(BA22,'נתוני מים 2014'!$C$2:$L$160,9,0)/1000,0)</f>
        <v>0</v>
      </c>
      <c r="BB696" s="5">
        <f>+IFERROR(VLOOKUP(BB22,'נתוני מים 2014'!$C$2:$L$160,5,0)/1000,0)-IFERROR(VLOOKUP(BB22,'נתוני מים 2014'!$C$2:$L$160,9,0)/1000,0)</f>
        <v>0</v>
      </c>
      <c r="BC696" s="5">
        <f>+IFERROR(VLOOKUP(BC22,'נתוני מים 2014'!$C$2:$L$160,5,0)/1000,0)-IFERROR(VLOOKUP(BC22,'נתוני מים 2014'!$C$2:$L$160,9,0)/1000,0)</f>
        <v>0</v>
      </c>
      <c r="BD696" s="5">
        <f>+IFERROR(VLOOKUP(BD22,'נתוני מים 2014'!$C$2:$L$160,5,0)/1000,0)-IFERROR(VLOOKUP(BD22,'נתוני מים 2014'!$C$2:$L$160,9,0)/1000,0)</f>
        <v>0</v>
      </c>
      <c r="BE696" s="5">
        <f>+IFERROR(VLOOKUP(BE22,'נתוני מים 2014'!$C$2:$L$160,5,0)/1000,0)-IFERROR(VLOOKUP(BE22,'נתוני מים 2014'!$C$2:$L$160,9,0)/1000,0)</f>
        <v>0</v>
      </c>
      <c r="BF696" s="5">
        <f>+IFERROR(VLOOKUP(BF22,'נתוני מים 2014'!$C$2:$L$188,5,0)/1000,0)-IFERROR(VLOOKUP(BF22,'נתוני מים 2014'!$C$2:$L$188,9,0)/1000,0)</f>
        <v>0</v>
      </c>
    </row>
    <row r="697" spans="2:58" x14ac:dyDescent="0.2">
      <c r="B697" s="1">
        <v>16</v>
      </c>
      <c r="C697" s="5">
        <f>+IFERROR(VLOOKUP(C23,'נתוני מים 2014'!$C$2:$L$160,5,0)/1000,0)-IFERROR(VLOOKUP(C23,'נתוני מים 2014'!$C$2:$L$160,9,0)/1000,0)</f>
        <v>0</v>
      </c>
      <c r="D697" s="5">
        <f>+IFERROR(VLOOKUP(D23,'נתוני מים 2014'!$C$2:$L$188,5,0)/1000,0)-IFERROR(VLOOKUP(D23,'נתוני מים 2014'!$C$2:$L$188,9,0)/1000,0)</f>
        <v>0</v>
      </c>
      <c r="E697" s="5">
        <f>+IFERROR(VLOOKUP(E23,'נתוני מים 2014'!$C$2:$L$160,5,0)/1000,0)-IFERROR(VLOOKUP(E23,'נתוני מים 2014'!$C$2:$L$160,9,0)/1000,0)</f>
        <v>0</v>
      </c>
      <c r="F697" s="5">
        <f>+IFERROR(VLOOKUP(F23,'נתוני מים 2014'!$C$2:$L$160,5,0)/1000,0)-IFERROR(VLOOKUP(F23,'נתוני מים 2014'!$C$2:$L$160,9,0)/1000,0)</f>
        <v>0</v>
      </c>
      <c r="G697" s="5">
        <f>+IFERROR(VLOOKUP(G23,'נתוני מים 2014'!$C$2:$L$160,5,0)/1000,0)-IFERROR(VLOOKUP(G23,'נתוני מים 2014'!$C$2:$L$160,9,0)/1000,0)</f>
        <v>0</v>
      </c>
      <c r="H697" s="5">
        <f>+IFERROR(VLOOKUP(H23,'נתוני מים 2014'!$C$2:$L$160,5,0)/1000,0)-IFERROR(VLOOKUP(H23,'נתוני מים 2014'!$C$2:$L$160,9,0)/1000,0)</f>
        <v>0</v>
      </c>
      <c r="I697" s="5">
        <f>+IFERROR(VLOOKUP(I23,'נתוני מים 2014'!$C$2:$L$160,5,0)/1000,0)-IFERROR(VLOOKUP(I23,'נתוני מים 2014'!$C$2:$L$160,9,0)/1000,0)</f>
        <v>0</v>
      </c>
      <c r="J697" s="5">
        <f>+IFERROR(VLOOKUP(J23,'נתוני מים 2014'!$C$2:$L$160,5,0)/1000,0)-IFERROR(VLOOKUP(J23,'נתוני מים 2014'!$C$2:$L$160,9,0)/1000,0)</f>
        <v>0</v>
      </c>
      <c r="K697" s="5">
        <f>+IFERROR(VLOOKUP(K23,'נתוני מים 2014'!$C$2:$L$160,5,0)/1000,0)-IFERROR(VLOOKUP(K23,'נתוני מים 2014'!$C$2:$L$160,9,0)/1000,0)</f>
        <v>0</v>
      </c>
      <c r="L697" s="5">
        <f>+IFERROR(VLOOKUP(L23,'נתוני מים 2014'!$C$2:$L$160,5,0)/1000,0)-IFERROR(VLOOKUP(L23,'נתוני מים 2014'!$C$2:$L$160,9,0)/1000,0)</f>
        <v>0</v>
      </c>
      <c r="M697" s="5">
        <f>+IFERROR(VLOOKUP(M23,'נתוני מים 2014'!$C$2:$L$160,5,0)/1000,0)-IFERROR(VLOOKUP(M23,'נתוני מים 2014'!$C$2:$L$160,9,0)/1000,0)</f>
        <v>0</v>
      </c>
      <c r="N697" s="5">
        <f>+IFERROR(VLOOKUP(N23,'נתוני מים 2014'!$C$2:$L$160,5,0)/1000,0)-IFERROR(VLOOKUP(N23,'נתוני מים 2014'!$C$2:$L$160,9,0)/1000,0)</f>
        <v>0</v>
      </c>
      <c r="O697" s="5">
        <f>+IFERROR(VLOOKUP(O23,'נתוני מים 2014'!$C$2:$L$160,5,0)/1000,0)-IFERROR(VLOOKUP(O23,'נתוני מים 2014'!$C$2:$L$160,9,0)/1000,0)</f>
        <v>0</v>
      </c>
      <c r="P697" s="5">
        <f>+IFERROR(VLOOKUP(P23,'נתוני מים 2014'!$C$2:$L$160,5,0)/1000,0)-IFERROR(VLOOKUP(P23,'נתוני מים 2014'!$C$2:$L$160,9,0)/1000,0)</f>
        <v>0</v>
      </c>
      <c r="Q697" s="5">
        <f>+IFERROR(VLOOKUP(Q23,'נתוני מים 2014'!$C$2:$L$160,5,0)/1000,0)-IFERROR(VLOOKUP(Q23,'נתוני מים 2014'!$C$2:$L$160,9,0)/1000,0)</f>
        <v>0</v>
      </c>
      <c r="R697" s="5">
        <f>+IFERROR(VLOOKUP(R23,'נתוני מים 2014'!$C$2:$L$160,5,0)/1000,0)-IFERROR(VLOOKUP(R23,'נתוני מים 2014'!$C$2:$L$160,9,0)/1000,0)</f>
        <v>0</v>
      </c>
      <c r="S697" s="5">
        <f>+IFERROR(VLOOKUP(S23,'נתוני מים 2014'!$C$2:$L$160,5,0)/1000,0)-IFERROR(VLOOKUP(S23,'נתוני מים 2014'!$C$2:$L$160,9,0)/1000,0)</f>
        <v>0</v>
      </c>
      <c r="T697" s="5">
        <f>+IFERROR(VLOOKUP(T23,'נתוני מים 2014'!$C$2:$L$160,5,0)/1000,0)-IFERROR(VLOOKUP(T23,'נתוני מים 2014'!$C$2:$L$160,9,0)/1000,0)</f>
        <v>0</v>
      </c>
      <c r="U697" s="5">
        <f>+IFERROR(VLOOKUP(U23,'נתוני מים 2014'!$C$2:$L$160,5,0)/1000,0)-IFERROR(VLOOKUP(U23,'נתוני מים 2014'!$C$2:$L$160,9,0)/1000,0)</f>
        <v>0</v>
      </c>
      <c r="V697" s="5">
        <f>+IFERROR(VLOOKUP(V23,'נתוני מים 2014'!$C$2:$L$160,5,0)/1000,0)-IFERROR(VLOOKUP(V23,'נתוני מים 2014'!$C$2:$L$160,9,0)/1000,0)</f>
        <v>0</v>
      </c>
      <c r="W697" s="5">
        <f>+IFERROR(VLOOKUP(W23,'נתוני מים 2014'!$C$2:$L$160,5,0)/1000,0)-IFERROR(VLOOKUP(W23,'נתוני מים 2014'!$C$2:$L$160,9,0)/1000,0)</f>
        <v>0</v>
      </c>
      <c r="X697" s="5">
        <f>+IFERROR(VLOOKUP(X23,'נתוני מים 2014'!$C$2:$L$160,5,0)/1000,0)-IFERROR(VLOOKUP(X23,'נתוני מים 2014'!$C$2:$L$160,9,0)/1000,0)</f>
        <v>0</v>
      </c>
      <c r="Y697" s="5">
        <f>+IFERROR(VLOOKUP(Y23,'נתוני מים 2014'!$C$2:$L$160,5,0)/1000,0)-IFERROR(VLOOKUP(Y23,'נתוני מים 2014'!$C$2:$L$160,9,0)/1000,0)</f>
        <v>0</v>
      </c>
      <c r="Z697" s="5">
        <f>+IFERROR(VLOOKUP(Z23,'נתוני מים 2014'!$C$2:$L$160,5,0)/1000,0)-IFERROR(VLOOKUP(Z23,'נתוני מים 2014'!$C$2:$L$160,9,0)/1000,0)</f>
        <v>0</v>
      </c>
      <c r="AA697" s="5">
        <f>+IFERROR(VLOOKUP(AA23,'נתוני מים 2014'!$C$2:$L$160,5,0)/1000,0)-IFERROR(VLOOKUP(AA23,'נתוני מים 2014'!$C$2:$L$160,9,0)/1000,0)</f>
        <v>0</v>
      </c>
      <c r="AB697" s="5">
        <f>+IFERROR(VLOOKUP(AB23,'נתוני מים 2014'!$C$2:$L$160,5,0)/1000,0)-IFERROR(VLOOKUP(AB23,'נתוני מים 2014'!$C$2:$L$160,9,0)/1000,0)</f>
        <v>0</v>
      </c>
      <c r="AC697" s="5">
        <f>+IFERROR(VLOOKUP(AC23,'נתוני מים 2014'!$C$2:$L$160,5,0)/1000,0)-IFERROR(VLOOKUP(AC23,'נתוני מים 2014'!$C$2:$L$160,9,0)/1000,0)</f>
        <v>0</v>
      </c>
      <c r="AD697" s="5">
        <f>+IFERROR(VLOOKUP(AD23,'נתוני מים 2014'!$C$2:$L$160,5,0)/1000,0)-IFERROR(VLOOKUP(AD23,'נתוני מים 2014'!$C$2:$L$160,9,0)/1000,0)</f>
        <v>0</v>
      </c>
      <c r="AE697" s="5">
        <f>+IFERROR(VLOOKUP(AE23,'נתוני מים 2014'!$C$2:$L$160,5,0)/1000,0)-IFERROR(VLOOKUP(AE23,'נתוני מים 2014'!$C$2:$L$160,9,0)/1000,0)</f>
        <v>0</v>
      </c>
      <c r="AF697" s="5">
        <f>+IFERROR(VLOOKUP(AF23,'נתוני מים 2014'!$C$2:$L$160,5,0)/1000,0)-IFERROR(VLOOKUP(AF23,'נתוני מים 2014'!$C$2:$L$160,9,0)/1000,0)</f>
        <v>0</v>
      </c>
      <c r="AG697" s="5">
        <f>+IFERROR(VLOOKUP(AG23,'נתוני מים 2014'!$C$2:$L$160,5,0)/1000,0)-IFERROR(VLOOKUP(AG23,'נתוני מים 2014'!$C$2:$L$160,9,0)/1000,0)</f>
        <v>0</v>
      </c>
      <c r="AH697" s="5">
        <f>+IFERROR(VLOOKUP(AH23,'נתוני מים 2014'!$C$2:$L$160,5,0)/1000,0)-IFERROR(VLOOKUP(AH23,'נתוני מים 2014'!$C$2:$L$160,9,0)/1000,0)</f>
        <v>0</v>
      </c>
      <c r="AI697" s="5">
        <f>+IFERROR(VLOOKUP(AI23,'נתוני מים 2014'!$C$2:$L$160,5,0)/1000,0)-IFERROR(VLOOKUP(AI23,'נתוני מים 2014'!$C$2:$L$160,9,0)/1000,0)</f>
        <v>0</v>
      </c>
      <c r="AJ697" s="5">
        <f>+IFERROR(VLOOKUP(AJ23,'נתוני מים 2014'!$C$2:$L$160,5,0)/1000,0)-IFERROR(VLOOKUP(AJ23,'נתוני מים 2014'!$C$2:$L$160,9,0)/1000,0)</f>
        <v>0</v>
      </c>
      <c r="AK697" s="5">
        <f>+IFERROR(VLOOKUP(AK23,'נתוני מים 2014'!$C$2:$L$160,5,0)/1000,0)-IFERROR(VLOOKUP(AK23,'נתוני מים 2014'!$C$2:$L$160,9,0)/1000,0)</f>
        <v>0</v>
      </c>
      <c r="AL697" s="5">
        <f>+IFERROR(VLOOKUP(AL23,'נתוני מים 2014'!$C$2:$L$160,5,0)/1000,0)-IFERROR(VLOOKUP(AL23,'נתוני מים 2014'!$C$2:$L$160,9,0)/1000,0)</f>
        <v>0</v>
      </c>
      <c r="AM697" s="5">
        <f>+IFERROR(VLOOKUP(AM23,'נתוני מים 2014'!$C$2:$L$160,5,0)/1000,0)-IFERROR(VLOOKUP(AM23,'נתוני מים 2014'!$C$2:$L$160,9,0)/1000,0)</f>
        <v>0</v>
      </c>
      <c r="AN697" s="5">
        <f>+IFERROR(VLOOKUP(AN23,'נתוני מים 2014'!$C$2:$L$160,5,0)/1000,0)-IFERROR(VLOOKUP(AN23,'נתוני מים 2014'!$C$2:$L$160,9,0)/1000,0)</f>
        <v>0</v>
      </c>
      <c r="AO697" s="5">
        <f>+IFERROR(VLOOKUP(AO23,'נתוני מים 2014'!$C$2:$L$160,5,0)/1000,0)-IFERROR(VLOOKUP(AO23,'נתוני מים 2014'!$C$2:$L$160,9,0)/1000,0)</f>
        <v>0</v>
      </c>
      <c r="AP697" s="5">
        <f>+IFERROR(VLOOKUP(AP23,'נתוני מים 2014'!$C$2:$L$160,5,0)/1000,0)-IFERROR(VLOOKUP(AP23,'נתוני מים 2014'!$C$2:$L$160,9,0)/1000,0)</f>
        <v>0</v>
      </c>
      <c r="AQ697" s="5">
        <f>+IFERROR(VLOOKUP(AQ23,'נתוני מים 2014'!$C$2:$L$160,5,0)/1000,0)-IFERROR(VLOOKUP(AQ23,'נתוני מים 2014'!$C$2:$L$160,9,0)/1000,0)</f>
        <v>0</v>
      </c>
      <c r="AR697" s="5">
        <f>+IFERROR(VLOOKUP(AR23,'נתוני מים 2014'!$C$2:$L$160,5,0)/1000,0)-IFERROR(VLOOKUP(AR23,'נתוני מים 2014'!$C$2:$L$160,9,0)/1000,0)</f>
        <v>0</v>
      </c>
      <c r="AS697" s="5">
        <f>+IFERROR(VLOOKUP(AS23,'נתוני מים 2014'!$C$2:$L$160,5,0)/1000,0)-IFERROR(VLOOKUP(AS23,'נתוני מים 2014'!$C$2:$L$160,9,0)/1000,0)</f>
        <v>0</v>
      </c>
      <c r="AT697" s="5">
        <f>+IFERROR(VLOOKUP(AT23,'נתוני מים 2014'!$C$2:$L$160,5,0)/1000,0)-IFERROR(VLOOKUP(AT23,'נתוני מים 2014'!$C$2:$L$160,9,0)/1000,0)</f>
        <v>0</v>
      </c>
      <c r="AU697" s="5">
        <f>+IFERROR(VLOOKUP(AU23,'נתוני מים 2014'!$C$2:$L$160,5,0)/1000,0)-IFERROR(VLOOKUP(AU23,'נתוני מים 2014'!$C$2:$L$160,9,0)/1000,0)</f>
        <v>0</v>
      </c>
      <c r="AV697" s="5">
        <f>+IFERROR(VLOOKUP(AV23,'נתוני מים 2014'!$C$2:$L$160,5,0)/1000,0)-IFERROR(VLOOKUP(AV23,'נתוני מים 2014'!$C$2:$L$160,9,0)/1000,0)</f>
        <v>0</v>
      </c>
      <c r="AW697" s="5">
        <f>+IFERROR(VLOOKUP(AW23,'נתוני מים 2014'!$C$2:$L$160,5,0)/1000,0)-IFERROR(VLOOKUP(AW23,'נתוני מים 2014'!$C$2:$L$160,9,0)/1000,0)</f>
        <v>0</v>
      </c>
      <c r="AX697" s="5">
        <f>+IFERROR(VLOOKUP(AX23,'נתוני מים 2014'!$C$2:$L$160,5,0)/1000,0)-IFERROR(VLOOKUP(AX23,'נתוני מים 2014'!$C$2:$L$160,9,0)/1000,0)</f>
        <v>0</v>
      </c>
      <c r="AY697" s="5">
        <f>+IFERROR(VLOOKUP(AY23,'נתוני מים 2014'!$C$2:$L$160,5,0)/1000,0)-IFERROR(VLOOKUP(AY23,'נתוני מים 2014'!$C$2:$L$160,9,0)/1000,0)</f>
        <v>0</v>
      </c>
      <c r="AZ697" s="5">
        <f>+IFERROR(VLOOKUP(AZ23,'נתוני מים 2014'!$C$2:$L$160,5,0)/1000,0)-IFERROR(VLOOKUP(AZ23,'נתוני מים 2014'!$C$2:$L$160,9,0)/1000,0)</f>
        <v>0</v>
      </c>
      <c r="BA697" s="5">
        <f>+IFERROR(VLOOKUP(BA23,'נתוני מים 2014'!$C$2:$L$160,5,0)/1000,0)-IFERROR(VLOOKUP(BA23,'נתוני מים 2014'!$C$2:$L$160,9,0)/1000,0)</f>
        <v>0</v>
      </c>
      <c r="BB697" s="5">
        <f>+IFERROR(VLOOKUP(BB23,'נתוני מים 2014'!$C$2:$L$160,5,0)/1000,0)-IFERROR(VLOOKUP(BB23,'נתוני מים 2014'!$C$2:$L$160,9,0)/1000,0)</f>
        <v>0</v>
      </c>
      <c r="BC697" s="5">
        <f>+IFERROR(VLOOKUP(BC23,'נתוני מים 2014'!$C$2:$L$160,5,0)/1000,0)-IFERROR(VLOOKUP(BC23,'נתוני מים 2014'!$C$2:$L$160,9,0)/1000,0)</f>
        <v>0</v>
      </c>
      <c r="BD697" s="5">
        <f>+IFERROR(VLOOKUP(BD23,'נתוני מים 2014'!$C$2:$L$160,5,0)/1000,0)-IFERROR(VLOOKUP(BD23,'נתוני מים 2014'!$C$2:$L$160,9,0)/1000,0)</f>
        <v>0</v>
      </c>
      <c r="BE697" s="5">
        <f>+IFERROR(VLOOKUP(BE23,'נתוני מים 2014'!$C$2:$L$160,5,0)/1000,0)-IFERROR(VLOOKUP(BE23,'נתוני מים 2014'!$C$2:$L$160,9,0)/1000,0)</f>
        <v>0</v>
      </c>
      <c r="BF697" s="5">
        <f>+IFERROR(VLOOKUP(BF23,'נתוני מים 2014'!$C$2:$L$188,5,0)/1000,0)-IFERROR(VLOOKUP(BF23,'נתוני מים 2014'!$C$2:$L$188,9,0)/1000,0)</f>
        <v>0</v>
      </c>
    </row>
    <row r="698" spans="2:58" x14ac:dyDescent="0.2">
      <c r="B698" s="1">
        <v>17</v>
      </c>
      <c r="C698" s="5">
        <f>+IFERROR(VLOOKUP(C24,'נתוני מים 2014'!$C$2:$L$160,5,0)/1000,0)-IFERROR(VLOOKUP(C24,'נתוני מים 2014'!$C$2:$L$160,9,0)/1000,0)</f>
        <v>0</v>
      </c>
      <c r="D698" s="5">
        <f>+IFERROR(VLOOKUP(D24,'נתוני מים 2014'!$C$2:$L$188,5,0)/1000,0)-IFERROR(VLOOKUP(D24,'נתוני מים 2014'!$C$2:$L$188,9,0)/1000,0)</f>
        <v>0</v>
      </c>
      <c r="E698" s="5">
        <f>+IFERROR(VLOOKUP(E24,'נתוני מים 2014'!$C$2:$L$160,5,0)/1000,0)-IFERROR(VLOOKUP(E24,'נתוני מים 2014'!$C$2:$L$160,9,0)/1000,0)</f>
        <v>0</v>
      </c>
      <c r="F698" s="5">
        <f>+IFERROR(VLOOKUP(F24,'נתוני מים 2014'!$C$2:$L$160,5,0)/1000,0)-IFERROR(VLOOKUP(F24,'נתוני מים 2014'!$C$2:$L$160,9,0)/1000,0)</f>
        <v>0</v>
      </c>
      <c r="G698" s="5">
        <f>+IFERROR(VLOOKUP(G24,'נתוני מים 2014'!$C$2:$L$160,5,0)/1000,0)-IFERROR(VLOOKUP(G24,'נתוני מים 2014'!$C$2:$L$160,9,0)/1000,0)</f>
        <v>0</v>
      </c>
      <c r="H698" s="5">
        <f>+IFERROR(VLOOKUP(H24,'נתוני מים 2014'!$C$2:$L$160,5,0)/1000,0)-IFERROR(VLOOKUP(H24,'נתוני מים 2014'!$C$2:$L$160,9,0)/1000,0)</f>
        <v>0</v>
      </c>
      <c r="I698" s="5">
        <f>+IFERROR(VLOOKUP(I24,'נתוני מים 2014'!$C$2:$L$160,5,0)/1000,0)-IFERROR(VLOOKUP(I24,'נתוני מים 2014'!$C$2:$L$160,9,0)/1000,0)</f>
        <v>0</v>
      </c>
      <c r="J698" s="5">
        <f>+IFERROR(VLOOKUP(J24,'נתוני מים 2014'!$C$2:$L$160,5,0)/1000,0)-IFERROR(VLOOKUP(J24,'נתוני מים 2014'!$C$2:$L$160,9,0)/1000,0)</f>
        <v>0</v>
      </c>
      <c r="K698" s="5">
        <f>+IFERROR(VLOOKUP(K24,'נתוני מים 2014'!$C$2:$L$160,5,0)/1000,0)-IFERROR(VLOOKUP(K24,'נתוני מים 2014'!$C$2:$L$160,9,0)/1000,0)</f>
        <v>0</v>
      </c>
      <c r="L698" s="5">
        <f>+IFERROR(VLOOKUP(L24,'נתוני מים 2014'!$C$2:$L$160,5,0)/1000,0)-IFERROR(VLOOKUP(L24,'נתוני מים 2014'!$C$2:$L$160,9,0)/1000,0)</f>
        <v>0</v>
      </c>
      <c r="M698" s="5">
        <f>+IFERROR(VLOOKUP(M24,'נתוני מים 2014'!$C$2:$L$160,5,0)/1000,0)-IFERROR(VLOOKUP(M24,'נתוני מים 2014'!$C$2:$L$160,9,0)/1000,0)</f>
        <v>0</v>
      </c>
      <c r="N698" s="5">
        <f>+IFERROR(VLOOKUP(N24,'נתוני מים 2014'!$C$2:$L$160,5,0)/1000,0)-IFERROR(VLOOKUP(N24,'נתוני מים 2014'!$C$2:$L$160,9,0)/1000,0)</f>
        <v>0</v>
      </c>
      <c r="O698" s="5">
        <f>+IFERROR(VLOOKUP(O24,'נתוני מים 2014'!$C$2:$L$160,5,0)/1000,0)-IFERROR(VLOOKUP(O24,'נתוני מים 2014'!$C$2:$L$160,9,0)/1000,0)</f>
        <v>0</v>
      </c>
      <c r="P698" s="5">
        <f>+IFERROR(VLOOKUP(P24,'נתוני מים 2014'!$C$2:$L$160,5,0)/1000,0)-IFERROR(VLOOKUP(P24,'נתוני מים 2014'!$C$2:$L$160,9,0)/1000,0)</f>
        <v>0</v>
      </c>
      <c r="Q698" s="5">
        <f>+IFERROR(VLOOKUP(Q24,'נתוני מים 2014'!$C$2:$L$160,5,0)/1000,0)-IFERROR(VLOOKUP(Q24,'נתוני מים 2014'!$C$2:$L$160,9,0)/1000,0)</f>
        <v>0</v>
      </c>
      <c r="R698" s="5">
        <f>+IFERROR(VLOOKUP(R24,'נתוני מים 2014'!$C$2:$L$160,5,0)/1000,0)-IFERROR(VLOOKUP(R24,'נתוני מים 2014'!$C$2:$L$160,9,0)/1000,0)</f>
        <v>0</v>
      </c>
      <c r="S698" s="5">
        <f>+IFERROR(VLOOKUP(S24,'נתוני מים 2014'!$C$2:$L$160,5,0)/1000,0)-IFERROR(VLOOKUP(S24,'נתוני מים 2014'!$C$2:$L$160,9,0)/1000,0)</f>
        <v>0</v>
      </c>
      <c r="T698" s="5">
        <f>+IFERROR(VLOOKUP(T24,'נתוני מים 2014'!$C$2:$L$160,5,0)/1000,0)-IFERROR(VLOOKUP(T24,'נתוני מים 2014'!$C$2:$L$160,9,0)/1000,0)</f>
        <v>0</v>
      </c>
      <c r="U698" s="5">
        <f>+IFERROR(VLOOKUP(U24,'נתוני מים 2014'!$C$2:$L$160,5,0)/1000,0)-IFERROR(VLOOKUP(U24,'נתוני מים 2014'!$C$2:$L$160,9,0)/1000,0)</f>
        <v>0</v>
      </c>
      <c r="V698" s="5">
        <f>+IFERROR(VLOOKUP(V24,'נתוני מים 2014'!$C$2:$L$160,5,0)/1000,0)-IFERROR(VLOOKUP(V24,'נתוני מים 2014'!$C$2:$L$160,9,0)/1000,0)</f>
        <v>0</v>
      </c>
      <c r="W698" s="5">
        <f>+IFERROR(VLOOKUP(W24,'נתוני מים 2014'!$C$2:$L$160,5,0)/1000,0)-IFERROR(VLOOKUP(W24,'נתוני מים 2014'!$C$2:$L$160,9,0)/1000,0)</f>
        <v>0</v>
      </c>
      <c r="X698" s="5">
        <f>+IFERROR(VLOOKUP(X24,'נתוני מים 2014'!$C$2:$L$160,5,0)/1000,0)-IFERROR(VLOOKUP(X24,'נתוני מים 2014'!$C$2:$L$160,9,0)/1000,0)</f>
        <v>0</v>
      </c>
      <c r="Y698" s="5">
        <f>+IFERROR(VLOOKUP(Y24,'נתוני מים 2014'!$C$2:$L$160,5,0)/1000,0)-IFERROR(VLOOKUP(Y24,'נתוני מים 2014'!$C$2:$L$160,9,0)/1000,0)</f>
        <v>0</v>
      </c>
      <c r="Z698" s="5">
        <f>+IFERROR(VLOOKUP(Z24,'נתוני מים 2014'!$C$2:$L$160,5,0)/1000,0)-IFERROR(VLOOKUP(Z24,'נתוני מים 2014'!$C$2:$L$160,9,0)/1000,0)</f>
        <v>0</v>
      </c>
      <c r="AA698" s="5">
        <f>+IFERROR(VLOOKUP(AA24,'נתוני מים 2014'!$C$2:$L$160,5,0)/1000,0)-IFERROR(VLOOKUP(AA24,'נתוני מים 2014'!$C$2:$L$160,9,0)/1000,0)</f>
        <v>0</v>
      </c>
      <c r="AB698" s="5">
        <f>+IFERROR(VLOOKUP(AB24,'נתוני מים 2014'!$C$2:$L$160,5,0)/1000,0)-IFERROR(VLOOKUP(AB24,'נתוני מים 2014'!$C$2:$L$160,9,0)/1000,0)</f>
        <v>0</v>
      </c>
      <c r="AC698" s="5">
        <f>+IFERROR(VLOOKUP(AC24,'נתוני מים 2014'!$C$2:$L$160,5,0)/1000,0)-IFERROR(VLOOKUP(AC24,'נתוני מים 2014'!$C$2:$L$160,9,0)/1000,0)</f>
        <v>0</v>
      </c>
      <c r="AD698" s="5">
        <f>+IFERROR(VLOOKUP(AD24,'נתוני מים 2014'!$C$2:$L$160,5,0)/1000,0)-IFERROR(VLOOKUP(AD24,'נתוני מים 2014'!$C$2:$L$160,9,0)/1000,0)</f>
        <v>0</v>
      </c>
      <c r="AE698" s="5">
        <f>+IFERROR(VLOOKUP(AE24,'נתוני מים 2014'!$C$2:$L$160,5,0)/1000,0)-IFERROR(VLOOKUP(AE24,'נתוני מים 2014'!$C$2:$L$160,9,0)/1000,0)</f>
        <v>0</v>
      </c>
      <c r="AF698" s="5">
        <f>+IFERROR(VLOOKUP(AF24,'נתוני מים 2014'!$C$2:$L$160,5,0)/1000,0)-IFERROR(VLOOKUP(AF24,'נתוני מים 2014'!$C$2:$L$160,9,0)/1000,0)</f>
        <v>0</v>
      </c>
      <c r="AG698" s="5">
        <f>+IFERROR(VLOOKUP(AG24,'נתוני מים 2014'!$C$2:$L$160,5,0)/1000,0)-IFERROR(VLOOKUP(AG24,'נתוני מים 2014'!$C$2:$L$160,9,0)/1000,0)</f>
        <v>0</v>
      </c>
      <c r="AH698" s="5">
        <f>+IFERROR(VLOOKUP(AH24,'נתוני מים 2014'!$C$2:$L$160,5,0)/1000,0)-IFERROR(VLOOKUP(AH24,'נתוני מים 2014'!$C$2:$L$160,9,0)/1000,0)</f>
        <v>0</v>
      </c>
      <c r="AI698" s="5">
        <f>+IFERROR(VLOOKUP(AI24,'נתוני מים 2014'!$C$2:$L$160,5,0)/1000,0)-IFERROR(VLOOKUP(AI24,'נתוני מים 2014'!$C$2:$L$160,9,0)/1000,0)</f>
        <v>0</v>
      </c>
      <c r="AJ698" s="5">
        <f>+IFERROR(VLOOKUP(AJ24,'נתוני מים 2014'!$C$2:$L$160,5,0)/1000,0)-IFERROR(VLOOKUP(AJ24,'נתוני מים 2014'!$C$2:$L$160,9,0)/1000,0)</f>
        <v>0</v>
      </c>
      <c r="AK698" s="5">
        <f>+IFERROR(VLOOKUP(AK24,'נתוני מים 2014'!$C$2:$L$160,5,0)/1000,0)-IFERROR(VLOOKUP(AK24,'נתוני מים 2014'!$C$2:$L$160,9,0)/1000,0)</f>
        <v>0</v>
      </c>
      <c r="AL698" s="5">
        <f>+IFERROR(VLOOKUP(AL24,'נתוני מים 2014'!$C$2:$L$160,5,0)/1000,0)-IFERROR(VLOOKUP(AL24,'נתוני מים 2014'!$C$2:$L$160,9,0)/1000,0)</f>
        <v>0</v>
      </c>
      <c r="AM698" s="5">
        <f>+IFERROR(VLOOKUP(AM24,'נתוני מים 2014'!$C$2:$L$160,5,0)/1000,0)-IFERROR(VLOOKUP(AM24,'נתוני מים 2014'!$C$2:$L$160,9,0)/1000,0)</f>
        <v>0</v>
      </c>
      <c r="AN698" s="5">
        <f>+IFERROR(VLOOKUP(AN24,'נתוני מים 2014'!$C$2:$L$160,5,0)/1000,0)-IFERROR(VLOOKUP(AN24,'נתוני מים 2014'!$C$2:$L$160,9,0)/1000,0)</f>
        <v>0</v>
      </c>
      <c r="AO698" s="5">
        <f>+IFERROR(VLOOKUP(AO24,'נתוני מים 2014'!$C$2:$L$160,5,0)/1000,0)-IFERROR(VLOOKUP(AO24,'נתוני מים 2014'!$C$2:$L$160,9,0)/1000,0)</f>
        <v>0</v>
      </c>
      <c r="AP698" s="5">
        <f>+IFERROR(VLOOKUP(AP24,'נתוני מים 2014'!$C$2:$L$160,5,0)/1000,0)-IFERROR(VLOOKUP(AP24,'נתוני מים 2014'!$C$2:$L$160,9,0)/1000,0)</f>
        <v>0</v>
      </c>
      <c r="AQ698" s="5">
        <f>+IFERROR(VLOOKUP(AQ24,'נתוני מים 2014'!$C$2:$L$160,5,0)/1000,0)-IFERROR(VLOOKUP(AQ24,'נתוני מים 2014'!$C$2:$L$160,9,0)/1000,0)</f>
        <v>0</v>
      </c>
      <c r="AR698" s="5">
        <f>+IFERROR(VLOOKUP(AR24,'נתוני מים 2014'!$C$2:$L$160,5,0)/1000,0)-IFERROR(VLOOKUP(AR24,'נתוני מים 2014'!$C$2:$L$160,9,0)/1000,0)</f>
        <v>0</v>
      </c>
      <c r="AS698" s="5">
        <f>+IFERROR(VLOOKUP(AS24,'נתוני מים 2014'!$C$2:$L$160,5,0)/1000,0)-IFERROR(VLOOKUP(AS24,'נתוני מים 2014'!$C$2:$L$160,9,0)/1000,0)</f>
        <v>0</v>
      </c>
      <c r="AT698" s="5">
        <f>+IFERROR(VLOOKUP(AT24,'נתוני מים 2014'!$C$2:$L$160,5,0)/1000,0)-IFERROR(VLOOKUP(AT24,'נתוני מים 2014'!$C$2:$L$160,9,0)/1000,0)</f>
        <v>0</v>
      </c>
      <c r="AU698" s="5">
        <f>+IFERROR(VLOOKUP(AU24,'נתוני מים 2014'!$C$2:$L$160,5,0)/1000,0)-IFERROR(VLOOKUP(AU24,'נתוני מים 2014'!$C$2:$L$160,9,0)/1000,0)</f>
        <v>0</v>
      </c>
      <c r="AV698" s="5">
        <f>+IFERROR(VLOOKUP(AV24,'נתוני מים 2014'!$C$2:$L$160,5,0)/1000,0)-IFERROR(VLOOKUP(AV24,'נתוני מים 2014'!$C$2:$L$160,9,0)/1000,0)</f>
        <v>0</v>
      </c>
      <c r="AW698" s="5">
        <f>+IFERROR(VLOOKUP(AW24,'נתוני מים 2014'!$C$2:$L$160,5,0)/1000,0)-IFERROR(VLOOKUP(AW24,'נתוני מים 2014'!$C$2:$L$160,9,0)/1000,0)</f>
        <v>0</v>
      </c>
      <c r="AX698" s="5">
        <f>+IFERROR(VLOOKUP(AX24,'נתוני מים 2014'!$C$2:$L$160,5,0)/1000,0)-IFERROR(VLOOKUP(AX24,'נתוני מים 2014'!$C$2:$L$160,9,0)/1000,0)</f>
        <v>0</v>
      </c>
      <c r="AY698" s="5">
        <f>+IFERROR(VLOOKUP(AY24,'נתוני מים 2014'!$C$2:$L$160,5,0)/1000,0)-IFERROR(VLOOKUP(AY24,'נתוני מים 2014'!$C$2:$L$160,9,0)/1000,0)</f>
        <v>0</v>
      </c>
      <c r="AZ698" s="5">
        <f>+IFERROR(VLOOKUP(AZ24,'נתוני מים 2014'!$C$2:$L$160,5,0)/1000,0)-IFERROR(VLOOKUP(AZ24,'נתוני מים 2014'!$C$2:$L$160,9,0)/1000,0)</f>
        <v>0</v>
      </c>
      <c r="BA698" s="5">
        <f>+IFERROR(VLOOKUP(BA24,'נתוני מים 2014'!$C$2:$L$160,5,0)/1000,0)-IFERROR(VLOOKUP(BA24,'נתוני מים 2014'!$C$2:$L$160,9,0)/1000,0)</f>
        <v>0</v>
      </c>
      <c r="BB698" s="5">
        <f>+IFERROR(VLOOKUP(BB24,'נתוני מים 2014'!$C$2:$L$160,5,0)/1000,0)-IFERROR(VLOOKUP(BB24,'נתוני מים 2014'!$C$2:$L$160,9,0)/1000,0)</f>
        <v>0</v>
      </c>
      <c r="BC698" s="5">
        <f>+IFERROR(VLOOKUP(BC24,'נתוני מים 2014'!$C$2:$L$160,5,0)/1000,0)-IFERROR(VLOOKUP(BC24,'נתוני מים 2014'!$C$2:$L$160,9,0)/1000,0)</f>
        <v>0</v>
      </c>
      <c r="BD698" s="5">
        <f>+IFERROR(VLOOKUP(BD24,'נתוני מים 2014'!$C$2:$L$160,5,0)/1000,0)-IFERROR(VLOOKUP(BD24,'נתוני מים 2014'!$C$2:$L$160,9,0)/1000,0)</f>
        <v>0</v>
      </c>
      <c r="BE698" s="5">
        <f>+IFERROR(VLOOKUP(BE24,'נתוני מים 2014'!$C$2:$L$160,5,0)/1000,0)-IFERROR(VLOOKUP(BE24,'נתוני מים 2014'!$C$2:$L$160,9,0)/1000,0)</f>
        <v>0</v>
      </c>
      <c r="BF698" s="5">
        <f>+IFERROR(VLOOKUP(BF24,'נתוני מים 2014'!$C$2:$L$188,5,0)/1000,0)-IFERROR(VLOOKUP(BF24,'נתוני מים 2014'!$C$2:$L$188,9,0)/1000,0)</f>
        <v>0</v>
      </c>
    </row>
    <row r="699" spans="2:58" x14ac:dyDescent="0.2">
      <c r="B699" s="1">
        <v>18</v>
      </c>
      <c r="C699" s="5">
        <f>+IFERROR(VLOOKUP(C25,'נתוני מים 2014'!$C$2:$L$160,5,0)/1000,0)-IFERROR(VLOOKUP(C25,'נתוני מים 2014'!$C$2:$L$160,9,0)/1000,0)</f>
        <v>0</v>
      </c>
      <c r="D699" s="5">
        <f>+IFERROR(VLOOKUP(D25,'נתוני מים 2014'!$C$2:$L$188,5,0)/1000,0)-IFERROR(VLOOKUP(D25,'נתוני מים 2014'!$C$2:$L$188,9,0)/1000,0)</f>
        <v>0</v>
      </c>
      <c r="E699" s="5">
        <f>+IFERROR(VLOOKUP(E25,'נתוני מים 2014'!$C$2:$L$160,5,0)/1000,0)-IFERROR(VLOOKUP(E25,'נתוני מים 2014'!$C$2:$L$160,9,0)/1000,0)</f>
        <v>0</v>
      </c>
      <c r="F699" s="5">
        <f>+IFERROR(VLOOKUP(F25,'נתוני מים 2014'!$C$2:$L$160,5,0)/1000,0)-IFERROR(VLOOKUP(F25,'נתוני מים 2014'!$C$2:$L$160,9,0)/1000,0)</f>
        <v>0</v>
      </c>
      <c r="G699" s="5">
        <f>+IFERROR(VLOOKUP(G25,'נתוני מים 2014'!$C$2:$L$160,5,0)/1000,0)-IFERROR(VLOOKUP(G25,'נתוני מים 2014'!$C$2:$L$160,9,0)/1000,0)</f>
        <v>0</v>
      </c>
      <c r="H699" s="5">
        <f>+IFERROR(VLOOKUP(H25,'נתוני מים 2014'!$C$2:$L$160,5,0)/1000,0)-IFERROR(VLOOKUP(H25,'נתוני מים 2014'!$C$2:$L$160,9,0)/1000,0)</f>
        <v>0</v>
      </c>
      <c r="I699" s="5">
        <f>+IFERROR(VLOOKUP(I25,'נתוני מים 2014'!$C$2:$L$160,5,0)/1000,0)-IFERROR(VLOOKUP(I25,'נתוני מים 2014'!$C$2:$L$160,9,0)/1000,0)</f>
        <v>0</v>
      </c>
      <c r="J699" s="5">
        <f>+IFERROR(VLOOKUP(J25,'נתוני מים 2014'!$C$2:$L$160,5,0)/1000,0)-IFERROR(VLOOKUP(J25,'נתוני מים 2014'!$C$2:$L$160,9,0)/1000,0)</f>
        <v>0</v>
      </c>
      <c r="K699" s="5">
        <f>+IFERROR(VLOOKUP(K25,'נתוני מים 2014'!$C$2:$L$160,5,0)/1000,0)-IFERROR(VLOOKUP(K25,'נתוני מים 2014'!$C$2:$L$160,9,0)/1000,0)</f>
        <v>0</v>
      </c>
      <c r="L699" s="5">
        <f>+IFERROR(VLOOKUP(L25,'נתוני מים 2014'!$C$2:$L$160,5,0)/1000,0)-IFERROR(VLOOKUP(L25,'נתוני מים 2014'!$C$2:$L$160,9,0)/1000,0)</f>
        <v>0</v>
      </c>
      <c r="M699" s="5">
        <f>+IFERROR(VLOOKUP(M25,'נתוני מים 2014'!$C$2:$L$160,5,0)/1000,0)-IFERROR(VLOOKUP(M25,'נתוני מים 2014'!$C$2:$L$160,9,0)/1000,0)</f>
        <v>0</v>
      </c>
      <c r="N699" s="5">
        <f>+IFERROR(VLOOKUP(N25,'נתוני מים 2014'!$C$2:$L$160,5,0)/1000,0)-IFERROR(VLOOKUP(N25,'נתוני מים 2014'!$C$2:$L$160,9,0)/1000,0)</f>
        <v>0</v>
      </c>
      <c r="O699" s="5">
        <f>+IFERROR(VLOOKUP(O25,'נתוני מים 2014'!$C$2:$L$160,5,0)/1000,0)-IFERROR(VLOOKUP(O25,'נתוני מים 2014'!$C$2:$L$160,9,0)/1000,0)</f>
        <v>0</v>
      </c>
      <c r="P699" s="5">
        <f>+IFERROR(VLOOKUP(P25,'נתוני מים 2014'!$C$2:$L$160,5,0)/1000,0)-IFERROR(VLOOKUP(P25,'נתוני מים 2014'!$C$2:$L$160,9,0)/1000,0)</f>
        <v>0</v>
      </c>
      <c r="Q699" s="5">
        <f>+IFERROR(VLOOKUP(Q25,'נתוני מים 2014'!$C$2:$L$160,5,0)/1000,0)-IFERROR(VLOOKUP(Q25,'נתוני מים 2014'!$C$2:$L$160,9,0)/1000,0)</f>
        <v>0</v>
      </c>
      <c r="R699" s="5">
        <f>+IFERROR(VLOOKUP(R25,'נתוני מים 2014'!$C$2:$L$160,5,0)/1000,0)-IFERROR(VLOOKUP(R25,'נתוני מים 2014'!$C$2:$L$160,9,0)/1000,0)</f>
        <v>0</v>
      </c>
      <c r="S699" s="5">
        <f>+IFERROR(VLOOKUP(S25,'נתוני מים 2014'!$C$2:$L$160,5,0)/1000,0)-IFERROR(VLOOKUP(S25,'נתוני מים 2014'!$C$2:$L$160,9,0)/1000,0)</f>
        <v>0</v>
      </c>
      <c r="T699" s="5">
        <f>+IFERROR(VLOOKUP(T25,'נתוני מים 2014'!$C$2:$L$160,5,0)/1000,0)-IFERROR(VLOOKUP(T25,'נתוני מים 2014'!$C$2:$L$160,9,0)/1000,0)</f>
        <v>0</v>
      </c>
      <c r="U699" s="5">
        <f>+IFERROR(VLOOKUP(U25,'נתוני מים 2014'!$C$2:$L$160,5,0)/1000,0)-IFERROR(VLOOKUP(U25,'נתוני מים 2014'!$C$2:$L$160,9,0)/1000,0)</f>
        <v>0</v>
      </c>
      <c r="V699" s="5">
        <f>+IFERROR(VLOOKUP(V25,'נתוני מים 2014'!$C$2:$L$160,5,0)/1000,0)-IFERROR(VLOOKUP(V25,'נתוני מים 2014'!$C$2:$L$160,9,0)/1000,0)</f>
        <v>0</v>
      </c>
      <c r="W699" s="5">
        <f>+IFERROR(VLOOKUP(W25,'נתוני מים 2014'!$C$2:$L$160,5,0)/1000,0)-IFERROR(VLOOKUP(W25,'נתוני מים 2014'!$C$2:$L$160,9,0)/1000,0)</f>
        <v>0</v>
      </c>
      <c r="X699" s="5">
        <f>+IFERROR(VLOOKUP(X25,'נתוני מים 2014'!$C$2:$L$160,5,0)/1000,0)-IFERROR(VLOOKUP(X25,'נתוני מים 2014'!$C$2:$L$160,9,0)/1000,0)</f>
        <v>0</v>
      </c>
      <c r="Y699" s="5">
        <f>+IFERROR(VLOOKUP(Y25,'נתוני מים 2014'!$C$2:$L$160,5,0)/1000,0)-IFERROR(VLOOKUP(Y25,'נתוני מים 2014'!$C$2:$L$160,9,0)/1000,0)</f>
        <v>0</v>
      </c>
      <c r="Z699" s="5">
        <f>+IFERROR(VLOOKUP(Z25,'נתוני מים 2014'!$C$2:$L$160,5,0)/1000,0)-IFERROR(VLOOKUP(Z25,'נתוני מים 2014'!$C$2:$L$160,9,0)/1000,0)</f>
        <v>0</v>
      </c>
      <c r="AA699" s="5">
        <f>+IFERROR(VLOOKUP(AA25,'נתוני מים 2014'!$C$2:$L$160,5,0)/1000,0)-IFERROR(VLOOKUP(AA25,'נתוני מים 2014'!$C$2:$L$160,9,0)/1000,0)</f>
        <v>0</v>
      </c>
      <c r="AB699" s="5">
        <f>+IFERROR(VLOOKUP(AB25,'נתוני מים 2014'!$C$2:$L$160,5,0)/1000,0)-IFERROR(VLOOKUP(AB25,'נתוני מים 2014'!$C$2:$L$160,9,0)/1000,0)</f>
        <v>0</v>
      </c>
      <c r="AC699" s="5">
        <f>+IFERROR(VLOOKUP(AC25,'נתוני מים 2014'!$C$2:$L$160,5,0)/1000,0)-IFERROR(VLOOKUP(AC25,'נתוני מים 2014'!$C$2:$L$160,9,0)/1000,0)</f>
        <v>0</v>
      </c>
      <c r="AD699" s="5">
        <f>+IFERROR(VLOOKUP(AD25,'נתוני מים 2014'!$C$2:$L$160,5,0)/1000,0)-IFERROR(VLOOKUP(AD25,'נתוני מים 2014'!$C$2:$L$160,9,0)/1000,0)</f>
        <v>0</v>
      </c>
      <c r="AE699" s="5">
        <f>+IFERROR(VLOOKUP(AE25,'נתוני מים 2014'!$C$2:$L$160,5,0)/1000,0)-IFERROR(VLOOKUP(AE25,'נתוני מים 2014'!$C$2:$L$160,9,0)/1000,0)</f>
        <v>0</v>
      </c>
      <c r="AF699" s="5">
        <f>+IFERROR(VLOOKUP(AF25,'נתוני מים 2014'!$C$2:$L$160,5,0)/1000,0)-IFERROR(VLOOKUP(AF25,'נתוני מים 2014'!$C$2:$L$160,9,0)/1000,0)</f>
        <v>0</v>
      </c>
      <c r="AG699" s="5">
        <f>+IFERROR(VLOOKUP(AG25,'נתוני מים 2014'!$C$2:$L$160,5,0)/1000,0)-IFERROR(VLOOKUP(AG25,'נתוני מים 2014'!$C$2:$L$160,9,0)/1000,0)</f>
        <v>0</v>
      </c>
      <c r="AH699" s="5">
        <f>+IFERROR(VLOOKUP(AH25,'נתוני מים 2014'!$C$2:$L$160,5,0)/1000,0)-IFERROR(VLOOKUP(AH25,'נתוני מים 2014'!$C$2:$L$160,9,0)/1000,0)</f>
        <v>0</v>
      </c>
      <c r="AI699" s="5">
        <f>+IFERROR(VLOOKUP(AI25,'נתוני מים 2014'!$C$2:$L$160,5,0)/1000,0)-IFERROR(VLOOKUP(AI25,'נתוני מים 2014'!$C$2:$L$160,9,0)/1000,0)</f>
        <v>0</v>
      </c>
      <c r="AJ699" s="5">
        <f>+IFERROR(VLOOKUP(AJ25,'נתוני מים 2014'!$C$2:$L$160,5,0)/1000,0)-IFERROR(VLOOKUP(AJ25,'נתוני מים 2014'!$C$2:$L$160,9,0)/1000,0)</f>
        <v>0</v>
      </c>
      <c r="AK699" s="5">
        <f>+IFERROR(VLOOKUP(AK25,'נתוני מים 2014'!$C$2:$L$160,5,0)/1000,0)-IFERROR(VLOOKUP(AK25,'נתוני מים 2014'!$C$2:$L$160,9,0)/1000,0)</f>
        <v>0</v>
      </c>
      <c r="AL699" s="5">
        <f>+IFERROR(VLOOKUP(AL25,'נתוני מים 2014'!$C$2:$L$160,5,0)/1000,0)-IFERROR(VLOOKUP(AL25,'נתוני מים 2014'!$C$2:$L$160,9,0)/1000,0)</f>
        <v>0</v>
      </c>
      <c r="AM699" s="5">
        <f>+IFERROR(VLOOKUP(AM25,'נתוני מים 2014'!$C$2:$L$160,5,0)/1000,0)-IFERROR(VLOOKUP(AM25,'נתוני מים 2014'!$C$2:$L$160,9,0)/1000,0)</f>
        <v>0</v>
      </c>
      <c r="AN699" s="5">
        <f>+IFERROR(VLOOKUP(AN25,'נתוני מים 2014'!$C$2:$L$160,5,0)/1000,0)-IFERROR(VLOOKUP(AN25,'נתוני מים 2014'!$C$2:$L$160,9,0)/1000,0)</f>
        <v>0</v>
      </c>
      <c r="AO699" s="5">
        <f>+IFERROR(VLOOKUP(AO25,'נתוני מים 2014'!$C$2:$L$160,5,0)/1000,0)-IFERROR(VLOOKUP(AO25,'נתוני מים 2014'!$C$2:$L$160,9,0)/1000,0)</f>
        <v>0</v>
      </c>
      <c r="AP699" s="5">
        <f>+IFERROR(VLOOKUP(AP25,'נתוני מים 2014'!$C$2:$L$160,5,0)/1000,0)-IFERROR(VLOOKUP(AP25,'נתוני מים 2014'!$C$2:$L$160,9,0)/1000,0)</f>
        <v>0</v>
      </c>
      <c r="AQ699" s="5">
        <f>+IFERROR(VLOOKUP(AQ25,'נתוני מים 2014'!$C$2:$L$160,5,0)/1000,0)-IFERROR(VLOOKUP(AQ25,'נתוני מים 2014'!$C$2:$L$160,9,0)/1000,0)</f>
        <v>0</v>
      </c>
      <c r="AR699" s="5">
        <f>+IFERROR(VLOOKUP(AR25,'נתוני מים 2014'!$C$2:$L$160,5,0)/1000,0)-IFERROR(VLOOKUP(AR25,'נתוני מים 2014'!$C$2:$L$160,9,0)/1000,0)</f>
        <v>0</v>
      </c>
      <c r="AS699" s="5">
        <f>+IFERROR(VLOOKUP(AS25,'נתוני מים 2014'!$C$2:$L$160,5,0)/1000,0)-IFERROR(VLOOKUP(AS25,'נתוני מים 2014'!$C$2:$L$160,9,0)/1000,0)</f>
        <v>0</v>
      </c>
      <c r="AT699" s="5">
        <f>+IFERROR(VLOOKUP(AT25,'נתוני מים 2014'!$C$2:$L$160,5,0)/1000,0)-IFERROR(VLOOKUP(AT25,'נתוני מים 2014'!$C$2:$L$160,9,0)/1000,0)</f>
        <v>0</v>
      </c>
      <c r="AU699" s="5">
        <f>+IFERROR(VLOOKUP(AU25,'נתוני מים 2014'!$C$2:$L$160,5,0)/1000,0)-IFERROR(VLOOKUP(AU25,'נתוני מים 2014'!$C$2:$L$160,9,0)/1000,0)</f>
        <v>0</v>
      </c>
      <c r="AV699" s="5">
        <f>+IFERROR(VLOOKUP(AV25,'נתוני מים 2014'!$C$2:$L$160,5,0)/1000,0)-IFERROR(VLOOKUP(AV25,'נתוני מים 2014'!$C$2:$L$160,9,0)/1000,0)</f>
        <v>0</v>
      </c>
      <c r="AW699" s="5">
        <f>+IFERROR(VLOOKUP(AW25,'נתוני מים 2014'!$C$2:$L$160,5,0)/1000,0)-IFERROR(VLOOKUP(AW25,'נתוני מים 2014'!$C$2:$L$160,9,0)/1000,0)</f>
        <v>0</v>
      </c>
      <c r="AX699" s="5">
        <f>+IFERROR(VLOOKUP(AX25,'נתוני מים 2014'!$C$2:$L$160,5,0)/1000,0)-IFERROR(VLOOKUP(AX25,'נתוני מים 2014'!$C$2:$L$160,9,0)/1000,0)</f>
        <v>0</v>
      </c>
      <c r="AY699" s="5">
        <f>+IFERROR(VLOOKUP(AY25,'נתוני מים 2014'!$C$2:$L$160,5,0)/1000,0)-IFERROR(VLOOKUP(AY25,'נתוני מים 2014'!$C$2:$L$160,9,0)/1000,0)</f>
        <v>0</v>
      </c>
      <c r="AZ699" s="5">
        <f>+IFERROR(VLOOKUP(AZ25,'נתוני מים 2014'!$C$2:$L$160,5,0)/1000,0)-IFERROR(VLOOKUP(AZ25,'נתוני מים 2014'!$C$2:$L$160,9,0)/1000,0)</f>
        <v>0</v>
      </c>
      <c r="BA699" s="5">
        <f>+IFERROR(VLOOKUP(BA25,'נתוני מים 2014'!$C$2:$L$160,5,0)/1000,0)-IFERROR(VLOOKUP(BA25,'נתוני מים 2014'!$C$2:$L$160,9,0)/1000,0)</f>
        <v>0</v>
      </c>
      <c r="BB699" s="5">
        <f>+IFERROR(VLOOKUP(BB25,'נתוני מים 2014'!$C$2:$L$160,5,0)/1000,0)-IFERROR(VLOOKUP(BB25,'נתוני מים 2014'!$C$2:$L$160,9,0)/1000,0)</f>
        <v>0</v>
      </c>
      <c r="BC699" s="5">
        <f>+IFERROR(VLOOKUP(BC25,'נתוני מים 2014'!$C$2:$L$160,5,0)/1000,0)-IFERROR(VLOOKUP(BC25,'נתוני מים 2014'!$C$2:$L$160,9,0)/1000,0)</f>
        <v>0</v>
      </c>
      <c r="BD699" s="5">
        <f>+IFERROR(VLOOKUP(BD25,'נתוני מים 2014'!$C$2:$L$160,5,0)/1000,0)-IFERROR(VLOOKUP(BD25,'נתוני מים 2014'!$C$2:$L$160,9,0)/1000,0)</f>
        <v>0</v>
      </c>
      <c r="BE699" s="5">
        <f>+IFERROR(VLOOKUP(BE25,'נתוני מים 2014'!$C$2:$L$160,5,0)/1000,0)-IFERROR(VLOOKUP(BE25,'נתוני מים 2014'!$C$2:$L$160,9,0)/1000,0)</f>
        <v>0</v>
      </c>
      <c r="BF699" s="5">
        <f>+IFERROR(VLOOKUP(BF25,'נתוני מים 2014'!$C$2:$L$188,5,0)/1000,0)-IFERROR(VLOOKUP(BF25,'נתוני מים 2014'!$C$2:$L$188,9,0)/1000,0)</f>
        <v>0</v>
      </c>
    </row>
    <row r="700" spans="2:58" x14ac:dyDescent="0.2">
      <c r="B700" s="1">
        <v>19</v>
      </c>
      <c r="C700" s="5">
        <f>+IFERROR(VLOOKUP(C26,'נתוני מים 2014'!$C$2:$L$160,5,0)/1000,0)-IFERROR(VLOOKUP(C26,'נתוני מים 2014'!$C$2:$L$160,9,0)/1000,0)</f>
        <v>0</v>
      </c>
      <c r="D700" s="5">
        <f>+IFERROR(VLOOKUP(D26,'נתוני מים 2014'!$C$2:$L$188,5,0)/1000,0)-IFERROR(VLOOKUP(D26,'נתוני מים 2014'!$C$2:$L$188,9,0)/1000,0)</f>
        <v>0</v>
      </c>
      <c r="E700" s="5">
        <f>+IFERROR(VLOOKUP(E26,'נתוני מים 2014'!$C$2:$L$160,5,0)/1000,0)-IFERROR(VLOOKUP(E26,'נתוני מים 2014'!$C$2:$L$160,9,0)/1000,0)</f>
        <v>0</v>
      </c>
      <c r="F700" s="5">
        <f>+IFERROR(VLOOKUP(F26,'נתוני מים 2014'!$C$2:$L$160,5,0)/1000,0)-IFERROR(VLOOKUP(F26,'נתוני מים 2014'!$C$2:$L$160,9,0)/1000,0)</f>
        <v>0</v>
      </c>
      <c r="G700" s="5">
        <f>+IFERROR(VLOOKUP(G26,'נתוני מים 2014'!$C$2:$L$160,5,0)/1000,0)-IFERROR(VLOOKUP(G26,'נתוני מים 2014'!$C$2:$L$160,9,0)/1000,0)</f>
        <v>0</v>
      </c>
      <c r="H700" s="5">
        <f>+IFERROR(VLOOKUP(H26,'נתוני מים 2014'!$C$2:$L$160,5,0)/1000,0)-IFERROR(VLOOKUP(H26,'נתוני מים 2014'!$C$2:$L$160,9,0)/1000,0)</f>
        <v>0</v>
      </c>
      <c r="I700" s="5">
        <f>+IFERROR(VLOOKUP(I26,'נתוני מים 2014'!$C$2:$L$160,5,0)/1000,0)-IFERROR(VLOOKUP(I26,'נתוני מים 2014'!$C$2:$L$160,9,0)/1000,0)</f>
        <v>0</v>
      </c>
      <c r="J700" s="5">
        <f>+IFERROR(VLOOKUP(J26,'נתוני מים 2014'!$C$2:$L$160,5,0)/1000,0)-IFERROR(VLOOKUP(J26,'נתוני מים 2014'!$C$2:$L$160,9,0)/1000,0)</f>
        <v>0</v>
      </c>
      <c r="K700" s="5">
        <f>+IFERROR(VLOOKUP(K26,'נתוני מים 2014'!$C$2:$L$160,5,0)/1000,0)-IFERROR(VLOOKUP(K26,'נתוני מים 2014'!$C$2:$L$160,9,0)/1000,0)</f>
        <v>0</v>
      </c>
      <c r="L700" s="5">
        <f>+IFERROR(VLOOKUP(L26,'נתוני מים 2014'!$C$2:$L$160,5,0)/1000,0)-IFERROR(VLOOKUP(L26,'נתוני מים 2014'!$C$2:$L$160,9,0)/1000,0)</f>
        <v>0</v>
      </c>
      <c r="M700" s="5">
        <f>+IFERROR(VLOOKUP(M26,'נתוני מים 2014'!$C$2:$L$160,5,0)/1000,0)-IFERROR(VLOOKUP(M26,'נתוני מים 2014'!$C$2:$L$160,9,0)/1000,0)</f>
        <v>0</v>
      </c>
      <c r="N700" s="5">
        <f>+IFERROR(VLOOKUP(N26,'נתוני מים 2014'!$C$2:$L$160,5,0)/1000,0)-IFERROR(VLOOKUP(N26,'נתוני מים 2014'!$C$2:$L$160,9,0)/1000,0)</f>
        <v>0</v>
      </c>
      <c r="O700" s="5">
        <f>+IFERROR(VLOOKUP(O26,'נתוני מים 2014'!$C$2:$L$160,5,0)/1000,0)-IFERROR(VLOOKUP(O26,'נתוני מים 2014'!$C$2:$L$160,9,0)/1000,0)</f>
        <v>0</v>
      </c>
      <c r="P700" s="5">
        <f>+IFERROR(VLOOKUP(P26,'נתוני מים 2014'!$C$2:$L$160,5,0)/1000,0)-IFERROR(VLOOKUP(P26,'נתוני מים 2014'!$C$2:$L$160,9,0)/1000,0)</f>
        <v>0</v>
      </c>
      <c r="Q700" s="5">
        <f>+IFERROR(VLOOKUP(Q26,'נתוני מים 2014'!$C$2:$L$160,5,0)/1000,0)-IFERROR(VLOOKUP(Q26,'נתוני מים 2014'!$C$2:$L$160,9,0)/1000,0)</f>
        <v>0</v>
      </c>
      <c r="R700" s="5">
        <f>+IFERROR(VLOOKUP(R26,'נתוני מים 2014'!$C$2:$L$160,5,0)/1000,0)-IFERROR(VLOOKUP(R26,'נתוני מים 2014'!$C$2:$L$160,9,0)/1000,0)</f>
        <v>0</v>
      </c>
      <c r="S700" s="5">
        <f>+IFERROR(VLOOKUP(S26,'נתוני מים 2014'!$C$2:$L$160,5,0)/1000,0)-IFERROR(VLOOKUP(S26,'נתוני מים 2014'!$C$2:$L$160,9,0)/1000,0)</f>
        <v>0</v>
      </c>
      <c r="T700" s="5">
        <f>+IFERROR(VLOOKUP(T26,'נתוני מים 2014'!$C$2:$L$160,5,0)/1000,0)-IFERROR(VLOOKUP(T26,'נתוני מים 2014'!$C$2:$L$160,9,0)/1000,0)</f>
        <v>0</v>
      </c>
      <c r="U700" s="5">
        <f>+IFERROR(VLOOKUP(U26,'נתוני מים 2014'!$C$2:$L$160,5,0)/1000,0)-IFERROR(VLOOKUP(U26,'נתוני מים 2014'!$C$2:$L$160,9,0)/1000,0)</f>
        <v>0</v>
      </c>
      <c r="V700" s="5">
        <f>+IFERROR(VLOOKUP(V26,'נתוני מים 2014'!$C$2:$L$160,5,0)/1000,0)-IFERROR(VLOOKUP(V26,'נתוני מים 2014'!$C$2:$L$160,9,0)/1000,0)</f>
        <v>0</v>
      </c>
      <c r="W700" s="5">
        <f>+IFERROR(VLOOKUP(W26,'נתוני מים 2014'!$C$2:$L$160,5,0)/1000,0)-IFERROR(VLOOKUP(W26,'נתוני מים 2014'!$C$2:$L$160,9,0)/1000,0)</f>
        <v>0</v>
      </c>
      <c r="X700" s="5">
        <f>+IFERROR(VLOOKUP(X26,'נתוני מים 2014'!$C$2:$L$160,5,0)/1000,0)-IFERROR(VLOOKUP(X26,'נתוני מים 2014'!$C$2:$L$160,9,0)/1000,0)</f>
        <v>0</v>
      </c>
      <c r="Y700" s="5">
        <f>+IFERROR(VLOOKUP(Y26,'נתוני מים 2014'!$C$2:$L$160,5,0)/1000,0)-IFERROR(VLOOKUP(Y26,'נתוני מים 2014'!$C$2:$L$160,9,0)/1000,0)</f>
        <v>0</v>
      </c>
      <c r="Z700" s="5">
        <f>+IFERROR(VLOOKUP(Z26,'נתוני מים 2014'!$C$2:$L$160,5,0)/1000,0)-IFERROR(VLOOKUP(Z26,'נתוני מים 2014'!$C$2:$L$160,9,0)/1000,0)</f>
        <v>0</v>
      </c>
      <c r="AA700" s="5">
        <f>+IFERROR(VLOOKUP(AA26,'נתוני מים 2014'!$C$2:$L$160,5,0)/1000,0)-IFERROR(VLOOKUP(AA26,'נתוני מים 2014'!$C$2:$L$160,9,0)/1000,0)</f>
        <v>0</v>
      </c>
      <c r="AB700" s="5">
        <f>+IFERROR(VLOOKUP(AB26,'נתוני מים 2014'!$C$2:$L$160,5,0)/1000,0)-IFERROR(VLOOKUP(AB26,'נתוני מים 2014'!$C$2:$L$160,9,0)/1000,0)</f>
        <v>0</v>
      </c>
      <c r="AC700" s="5">
        <f>+IFERROR(VLOOKUP(AC26,'נתוני מים 2014'!$C$2:$L$160,5,0)/1000,0)-IFERROR(VLOOKUP(AC26,'נתוני מים 2014'!$C$2:$L$160,9,0)/1000,0)</f>
        <v>0</v>
      </c>
      <c r="AD700" s="5">
        <f>+IFERROR(VLOOKUP(AD26,'נתוני מים 2014'!$C$2:$L$160,5,0)/1000,0)-IFERROR(VLOOKUP(AD26,'נתוני מים 2014'!$C$2:$L$160,9,0)/1000,0)</f>
        <v>0</v>
      </c>
      <c r="AE700" s="5">
        <f>+IFERROR(VLOOKUP(AE26,'נתוני מים 2014'!$C$2:$L$160,5,0)/1000,0)-IFERROR(VLOOKUP(AE26,'נתוני מים 2014'!$C$2:$L$160,9,0)/1000,0)</f>
        <v>0</v>
      </c>
      <c r="AF700" s="5">
        <f>+IFERROR(VLOOKUP(AF26,'נתוני מים 2014'!$C$2:$L$160,5,0)/1000,0)-IFERROR(VLOOKUP(AF26,'נתוני מים 2014'!$C$2:$L$160,9,0)/1000,0)</f>
        <v>0</v>
      </c>
      <c r="AG700" s="5">
        <f>+IFERROR(VLOOKUP(AG26,'נתוני מים 2014'!$C$2:$L$160,5,0)/1000,0)-IFERROR(VLOOKUP(AG26,'נתוני מים 2014'!$C$2:$L$160,9,0)/1000,0)</f>
        <v>0</v>
      </c>
      <c r="AH700" s="5">
        <f>+IFERROR(VLOOKUP(AH26,'נתוני מים 2014'!$C$2:$L$160,5,0)/1000,0)-IFERROR(VLOOKUP(AH26,'נתוני מים 2014'!$C$2:$L$160,9,0)/1000,0)</f>
        <v>0</v>
      </c>
      <c r="AI700" s="5">
        <f>+IFERROR(VLOOKUP(AI26,'נתוני מים 2014'!$C$2:$L$160,5,0)/1000,0)-IFERROR(VLOOKUP(AI26,'נתוני מים 2014'!$C$2:$L$160,9,0)/1000,0)</f>
        <v>0</v>
      </c>
      <c r="AJ700" s="5">
        <f>+IFERROR(VLOOKUP(AJ26,'נתוני מים 2014'!$C$2:$L$160,5,0)/1000,0)-IFERROR(VLOOKUP(AJ26,'נתוני מים 2014'!$C$2:$L$160,9,0)/1000,0)</f>
        <v>0</v>
      </c>
      <c r="AK700" s="5">
        <f>+IFERROR(VLOOKUP(AK26,'נתוני מים 2014'!$C$2:$L$160,5,0)/1000,0)-IFERROR(VLOOKUP(AK26,'נתוני מים 2014'!$C$2:$L$160,9,0)/1000,0)</f>
        <v>0</v>
      </c>
      <c r="AL700" s="5">
        <f>+IFERROR(VLOOKUP(AL26,'נתוני מים 2014'!$C$2:$L$160,5,0)/1000,0)-IFERROR(VLOOKUP(AL26,'נתוני מים 2014'!$C$2:$L$160,9,0)/1000,0)</f>
        <v>0</v>
      </c>
      <c r="AM700" s="5">
        <f>+IFERROR(VLOOKUP(AM26,'נתוני מים 2014'!$C$2:$L$160,5,0)/1000,0)-IFERROR(VLOOKUP(AM26,'נתוני מים 2014'!$C$2:$L$160,9,0)/1000,0)</f>
        <v>0</v>
      </c>
      <c r="AN700" s="5">
        <f>+IFERROR(VLOOKUP(AN26,'נתוני מים 2014'!$C$2:$L$160,5,0)/1000,0)-IFERROR(VLOOKUP(AN26,'נתוני מים 2014'!$C$2:$L$160,9,0)/1000,0)</f>
        <v>0</v>
      </c>
      <c r="AO700" s="5">
        <f>+IFERROR(VLOOKUP(AO26,'נתוני מים 2014'!$C$2:$L$160,5,0)/1000,0)-IFERROR(VLOOKUP(AO26,'נתוני מים 2014'!$C$2:$L$160,9,0)/1000,0)</f>
        <v>0</v>
      </c>
      <c r="AP700" s="5">
        <f>+IFERROR(VLOOKUP(AP26,'נתוני מים 2014'!$C$2:$L$160,5,0)/1000,0)-IFERROR(VLOOKUP(AP26,'נתוני מים 2014'!$C$2:$L$160,9,0)/1000,0)</f>
        <v>0</v>
      </c>
      <c r="AQ700" s="5">
        <f>+IFERROR(VLOOKUP(AQ26,'נתוני מים 2014'!$C$2:$L$160,5,0)/1000,0)-IFERROR(VLOOKUP(AQ26,'נתוני מים 2014'!$C$2:$L$160,9,0)/1000,0)</f>
        <v>0</v>
      </c>
      <c r="AR700" s="5">
        <f>+IFERROR(VLOOKUP(AR26,'נתוני מים 2014'!$C$2:$L$160,5,0)/1000,0)-IFERROR(VLOOKUP(AR26,'נתוני מים 2014'!$C$2:$L$160,9,0)/1000,0)</f>
        <v>0</v>
      </c>
      <c r="AS700" s="5">
        <f>+IFERROR(VLOOKUP(AS26,'נתוני מים 2014'!$C$2:$L$160,5,0)/1000,0)-IFERROR(VLOOKUP(AS26,'נתוני מים 2014'!$C$2:$L$160,9,0)/1000,0)</f>
        <v>0</v>
      </c>
      <c r="AT700" s="5">
        <f>+IFERROR(VLOOKUP(AT26,'נתוני מים 2014'!$C$2:$L$160,5,0)/1000,0)-IFERROR(VLOOKUP(AT26,'נתוני מים 2014'!$C$2:$L$160,9,0)/1000,0)</f>
        <v>0</v>
      </c>
      <c r="AU700" s="5">
        <f>+IFERROR(VLOOKUP(AU26,'נתוני מים 2014'!$C$2:$L$160,5,0)/1000,0)-IFERROR(VLOOKUP(AU26,'נתוני מים 2014'!$C$2:$L$160,9,0)/1000,0)</f>
        <v>0</v>
      </c>
      <c r="AV700" s="5">
        <f>+IFERROR(VLOOKUP(AV26,'נתוני מים 2014'!$C$2:$L$160,5,0)/1000,0)-IFERROR(VLOOKUP(AV26,'נתוני מים 2014'!$C$2:$L$160,9,0)/1000,0)</f>
        <v>0</v>
      </c>
      <c r="AW700" s="5">
        <f>+IFERROR(VLOOKUP(AW26,'נתוני מים 2014'!$C$2:$L$160,5,0)/1000,0)-IFERROR(VLOOKUP(AW26,'נתוני מים 2014'!$C$2:$L$160,9,0)/1000,0)</f>
        <v>0</v>
      </c>
      <c r="AX700" s="5">
        <f>+IFERROR(VLOOKUP(AX26,'נתוני מים 2014'!$C$2:$L$160,5,0)/1000,0)-IFERROR(VLOOKUP(AX26,'נתוני מים 2014'!$C$2:$L$160,9,0)/1000,0)</f>
        <v>0</v>
      </c>
      <c r="AY700" s="5">
        <f>+IFERROR(VLOOKUP(AY26,'נתוני מים 2014'!$C$2:$L$160,5,0)/1000,0)-IFERROR(VLOOKUP(AY26,'נתוני מים 2014'!$C$2:$L$160,9,0)/1000,0)</f>
        <v>0</v>
      </c>
      <c r="AZ700" s="5">
        <f>+IFERROR(VLOOKUP(AZ26,'נתוני מים 2014'!$C$2:$L$160,5,0)/1000,0)-IFERROR(VLOOKUP(AZ26,'נתוני מים 2014'!$C$2:$L$160,9,0)/1000,0)</f>
        <v>0</v>
      </c>
      <c r="BA700" s="5">
        <f>+IFERROR(VLOOKUP(BA26,'נתוני מים 2014'!$C$2:$L$160,5,0)/1000,0)-IFERROR(VLOOKUP(BA26,'נתוני מים 2014'!$C$2:$L$160,9,0)/1000,0)</f>
        <v>0</v>
      </c>
      <c r="BB700" s="5">
        <f>+IFERROR(VLOOKUP(BB26,'נתוני מים 2014'!$C$2:$L$160,5,0)/1000,0)-IFERROR(VLOOKUP(BB26,'נתוני מים 2014'!$C$2:$L$160,9,0)/1000,0)</f>
        <v>0</v>
      </c>
      <c r="BC700" s="5">
        <f>+IFERROR(VLOOKUP(BC26,'נתוני מים 2014'!$C$2:$L$160,5,0)/1000,0)-IFERROR(VLOOKUP(BC26,'נתוני מים 2014'!$C$2:$L$160,9,0)/1000,0)</f>
        <v>0</v>
      </c>
      <c r="BD700" s="5">
        <f>+IFERROR(VLOOKUP(BD26,'נתוני מים 2014'!$C$2:$L$160,5,0)/1000,0)-IFERROR(VLOOKUP(BD26,'נתוני מים 2014'!$C$2:$L$160,9,0)/1000,0)</f>
        <v>0</v>
      </c>
      <c r="BE700" s="5">
        <f>+IFERROR(VLOOKUP(BE26,'נתוני מים 2014'!$C$2:$L$160,5,0)/1000,0)-IFERROR(VLOOKUP(BE26,'נתוני מים 2014'!$C$2:$L$160,9,0)/1000,0)</f>
        <v>0</v>
      </c>
      <c r="BF700" s="5">
        <f>+IFERROR(VLOOKUP(BF26,'נתוני מים 2014'!$C$2:$L$188,5,0)/1000,0)-IFERROR(VLOOKUP(BF26,'נתוני מים 2014'!$C$2:$L$188,9,0)/1000,0)</f>
        <v>0</v>
      </c>
    </row>
    <row r="701" spans="2:58" x14ac:dyDescent="0.2">
      <c r="B701" s="1">
        <v>20</v>
      </c>
      <c r="C701" s="5">
        <f>+IFERROR(VLOOKUP(C27,'נתוני מים 2014'!$C$2:$L$160,5,0)/1000,0)-IFERROR(VLOOKUP(C27,'נתוני מים 2014'!$C$2:$L$160,9,0)/1000,0)</f>
        <v>0</v>
      </c>
      <c r="D701" s="5">
        <f>+IFERROR(VLOOKUP(D27,'נתוני מים 2014'!$C$2:$L$188,5,0)/1000,0)-IFERROR(VLOOKUP(D27,'נתוני מים 2014'!$C$2:$L$188,9,0)/1000,0)</f>
        <v>0</v>
      </c>
      <c r="E701" s="5">
        <f>+IFERROR(VLOOKUP(E27,'נתוני מים 2014'!$C$2:$L$160,5,0)/1000,0)-IFERROR(VLOOKUP(E27,'נתוני מים 2014'!$C$2:$L$160,9,0)/1000,0)</f>
        <v>0</v>
      </c>
      <c r="F701" s="5">
        <f>+IFERROR(VLOOKUP(F27,'נתוני מים 2014'!$C$2:$L$160,5,0)/1000,0)-IFERROR(VLOOKUP(F27,'נתוני מים 2014'!$C$2:$L$160,9,0)/1000,0)</f>
        <v>0</v>
      </c>
      <c r="G701" s="5">
        <f>+IFERROR(VLOOKUP(G27,'נתוני מים 2014'!$C$2:$L$160,5,0)/1000,0)-IFERROR(VLOOKUP(G27,'נתוני מים 2014'!$C$2:$L$160,9,0)/1000,0)</f>
        <v>0</v>
      </c>
      <c r="H701" s="5">
        <f>+IFERROR(VLOOKUP(H27,'נתוני מים 2014'!$C$2:$L$160,5,0)/1000,0)-IFERROR(VLOOKUP(H27,'נתוני מים 2014'!$C$2:$L$160,9,0)/1000,0)</f>
        <v>0</v>
      </c>
      <c r="I701" s="5">
        <f>+IFERROR(VLOOKUP(I27,'נתוני מים 2014'!$C$2:$L$160,5,0)/1000,0)-IFERROR(VLOOKUP(I27,'נתוני מים 2014'!$C$2:$L$160,9,0)/1000,0)</f>
        <v>0</v>
      </c>
      <c r="J701" s="5">
        <f>+IFERROR(VLOOKUP(J27,'נתוני מים 2014'!$C$2:$L$160,5,0)/1000,0)-IFERROR(VLOOKUP(J27,'נתוני מים 2014'!$C$2:$L$160,9,0)/1000,0)</f>
        <v>0</v>
      </c>
      <c r="K701" s="5">
        <f>+IFERROR(VLOOKUP(K27,'נתוני מים 2014'!$C$2:$L$160,5,0)/1000,0)-IFERROR(VLOOKUP(K27,'נתוני מים 2014'!$C$2:$L$160,9,0)/1000,0)</f>
        <v>0</v>
      </c>
      <c r="L701" s="5">
        <f>+IFERROR(VLOOKUP(L27,'נתוני מים 2014'!$C$2:$L$160,5,0)/1000,0)-IFERROR(VLOOKUP(L27,'נתוני מים 2014'!$C$2:$L$160,9,0)/1000,0)</f>
        <v>0</v>
      </c>
      <c r="M701" s="5">
        <f>+IFERROR(VLOOKUP(M27,'נתוני מים 2014'!$C$2:$L$160,5,0)/1000,0)-IFERROR(VLOOKUP(M27,'נתוני מים 2014'!$C$2:$L$160,9,0)/1000,0)</f>
        <v>0</v>
      </c>
      <c r="N701" s="5">
        <f>+IFERROR(VLOOKUP(N27,'נתוני מים 2014'!$C$2:$L$160,5,0)/1000,0)-IFERROR(VLOOKUP(N27,'נתוני מים 2014'!$C$2:$L$160,9,0)/1000,0)</f>
        <v>0</v>
      </c>
      <c r="O701" s="5">
        <f>+IFERROR(VLOOKUP(O27,'נתוני מים 2014'!$C$2:$L$160,5,0)/1000,0)-IFERROR(VLOOKUP(O27,'נתוני מים 2014'!$C$2:$L$160,9,0)/1000,0)</f>
        <v>0</v>
      </c>
      <c r="P701" s="5">
        <f>+IFERROR(VLOOKUP(P27,'נתוני מים 2014'!$C$2:$L$160,5,0)/1000,0)-IFERROR(VLOOKUP(P27,'נתוני מים 2014'!$C$2:$L$160,9,0)/1000,0)</f>
        <v>0</v>
      </c>
      <c r="Q701" s="5">
        <f>+IFERROR(VLOOKUP(Q27,'נתוני מים 2014'!$C$2:$L$160,5,0)/1000,0)-IFERROR(VLOOKUP(Q27,'נתוני מים 2014'!$C$2:$L$160,9,0)/1000,0)</f>
        <v>0</v>
      </c>
      <c r="R701" s="5">
        <f>+IFERROR(VLOOKUP(R27,'נתוני מים 2014'!$C$2:$L$160,5,0)/1000,0)-IFERROR(VLOOKUP(R27,'נתוני מים 2014'!$C$2:$L$160,9,0)/1000,0)</f>
        <v>0</v>
      </c>
      <c r="S701" s="5">
        <f>+IFERROR(VLOOKUP(S27,'נתוני מים 2014'!$C$2:$L$160,5,0)/1000,0)-IFERROR(VLOOKUP(S27,'נתוני מים 2014'!$C$2:$L$160,9,0)/1000,0)</f>
        <v>0</v>
      </c>
      <c r="T701" s="5">
        <f>+IFERROR(VLOOKUP(T27,'נתוני מים 2014'!$C$2:$L$160,5,0)/1000,0)-IFERROR(VLOOKUP(T27,'נתוני מים 2014'!$C$2:$L$160,9,0)/1000,0)</f>
        <v>0</v>
      </c>
      <c r="U701" s="5">
        <f>+IFERROR(VLOOKUP(U27,'נתוני מים 2014'!$C$2:$L$160,5,0)/1000,0)-IFERROR(VLOOKUP(U27,'נתוני מים 2014'!$C$2:$L$160,9,0)/1000,0)</f>
        <v>0</v>
      </c>
      <c r="V701" s="5">
        <f>+IFERROR(VLOOKUP(V27,'נתוני מים 2014'!$C$2:$L$160,5,0)/1000,0)-IFERROR(VLOOKUP(V27,'נתוני מים 2014'!$C$2:$L$160,9,0)/1000,0)</f>
        <v>0</v>
      </c>
      <c r="W701" s="5">
        <f>+IFERROR(VLOOKUP(W27,'נתוני מים 2014'!$C$2:$L$160,5,0)/1000,0)-IFERROR(VLOOKUP(W27,'נתוני מים 2014'!$C$2:$L$160,9,0)/1000,0)</f>
        <v>0</v>
      </c>
      <c r="X701" s="5">
        <f>+IFERROR(VLOOKUP(X27,'נתוני מים 2014'!$C$2:$L$160,5,0)/1000,0)-IFERROR(VLOOKUP(X27,'נתוני מים 2014'!$C$2:$L$160,9,0)/1000,0)</f>
        <v>0</v>
      </c>
      <c r="Y701" s="5">
        <f>+IFERROR(VLOOKUP(Y27,'נתוני מים 2014'!$C$2:$L$160,5,0)/1000,0)-IFERROR(VLOOKUP(Y27,'נתוני מים 2014'!$C$2:$L$160,9,0)/1000,0)</f>
        <v>0</v>
      </c>
      <c r="Z701" s="5">
        <f>+IFERROR(VLOOKUP(Z27,'נתוני מים 2014'!$C$2:$L$160,5,0)/1000,0)-IFERROR(VLOOKUP(Z27,'נתוני מים 2014'!$C$2:$L$160,9,0)/1000,0)</f>
        <v>0</v>
      </c>
      <c r="AA701" s="5">
        <f>+IFERROR(VLOOKUP(AA27,'נתוני מים 2014'!$C$2:$L$160,5,0)/1000,0)-IFERROR(VLOOKUP(AA27,'נתוני מים 2014'!$C$2:$L$160,9,0)/1000,0)</f>
        <v>0</v>
      </c>
      <c r="AB701" s="5">
        <f>+IFERROR(VLOOKUP(AB27,'נתוני מים 2014'!$C$2:$L$160,5,0)/1000,0)-IFERROR(VLOOKUP(AB27,'נתוני מים 2014'!$C$2:$L$160,9,0)/1000,0)</f>
        <v>0</v>
      </c>
      <c r="AC701" s="5">
        <f>+IFERROR(VLOOKUP(AC27,'נתוני מים 2014'!$C$2:$L$160,5,0)/1000,0)-IFERROR(VLOOKUP(AC27,'נתוני מים 2014'!$C$2:$L$160,9,0)/1000,0)</f>
        <v>0</v>
      </c>
      <c r="AD701" s="5">
        <f>+IFERROR(VLOOKUP(AD27,'נתוני מים 2014'!$C$2:$L$160,5,0)/1000,0)-IFERROR(VLOOKUP(AD27,'נתוני מים 2014'!$C$2:$L$160,9,0)/1000,0)</f>
        <v>0</v>
      </c>
      <c r="AE701" s="5">
        <f>+IFERROR(VLOOKUP(AE27,'נתוני מים 2014'!$C$2:$L$160,5,0)/1000,0)-IFERROR(VLOOKUP(AE27,'נתוני מים 2014'!$C$2:$L$160,9,0)/1000,0)</f>
        <v>0</v>
      </c>
      <c r="AF701" s="5">
        <f>+IFERROR(VLOOKUP(AF27,'נתוני מים 2014'!$C$2:$L$160,5,0)/1000,0)-IFERROR(VLOOKUP(AF27,'נתוני מים 2014'!$C$2:$L$160,9,0)/1000,0)</f>
        <v>0</v>
      </c>
      <c r="AG701" s="5">
        <f>+IFERROR(VLOOKUP(AG27,'נתוני מים 2014'!$C$2:$L$160,5,0)/1000,0)-IFERROR(VLOOKUP(AG27,'נתוני מים 2014'!$C$2:$L$160,9,0)/1000,0)</f>
        <v>0</v>
      </c>
      <c r="AH701" s="5">
        <f>+IFERROR(VLOOKUP(AH27,'נתוני מים 2014'!$C$2:$L$160,5,0)/1000,0)-IFERROR(VLOOKUP(AH27,'נתוני מים 2014'!$C$2:$L$160,9,0)/1000,0)</f>
        <v>0</v>
      </c>
      <c r="AI701" s="5">
        <f>+IFERROR(VLOOKUP(AI27,'נתוני מים 2014'!$C$2:$L$160,5,0)/1000,0)-IFERROR(VLOOKUP(AI27,'נתוני מים 2014'!$C$2:$L$160,9,0)/1000,0)</f>
        <v>0</v>
      </c>
      <c r="AJ701" s="5">
        <f>+IFERROR(VLOOKUP(AJ27,'נתוני מים 2014'!$C$2:$L$160,5,0)/1000,0)-IFERROR(VLOOKUP(AJ27,'נתוני מים 2014'!$C$2:$L$160,9,0)/1000,0)</f>
        <v>0</v>
      </c>
      <c r="AK701" s="5">
        <f>+IFERROR(VLOOKUP(AK27,'נתוני מים 2014'!$C$2:$L$160,5,0)/1000,0)-IFERROR(VLOOKUP(AK27,'נתוני מים 2014'!$C$2:$L$160,9,0)/1000,0)</f>
        <v>0</v>
      </c>
      <c r="AL701" s="5">
        <f>+IFERROR(VLOOKUP(AL27,'נתוני מים 2014'!$C$2:$L$160,5,0)/1000,0)-IFERROR(VLOOKUP(AL27,'נתוני מים 2014'!$C$2:$L$160,9,0)/1000,0)</f>
        <v>0</v>
      </c>
      <c r="AM701" s="5">
        <f>+IFERROR(VLOOKUP(AM27,'נתוני מים 2014'!$C$2:$L$160,5,0)/1000,0)-IFERROR(VLOOKUP(AM27,'נתוני מים 2014'!$C$2:$L$160,9,0)/1000,0)</f>
        <v>0</v>
      </c>
      <c r="AN701" s="5">
        <f>+IFERROR(VLOOKUP(AN27,'נתוני מים 2014'!$C$2:$L$160,5,0)/1000,0)-IFERROR(VLOOKUP(AN27,'נתוני מים 2014'!$C$2:$L$160,9,0)/1000,0)</f>
        <v>0</v>
      </c>
      <c r="AO701" s="5">
        <f>+IFERROR(VLOOKUP(AO27,'נתוני מים 2014'!$C$2:$L$160,5,0)/1000,0)-IFERROR(VLOOKUP(AO27,'נתוני מים 2014'!$C$2:$L$160,9,0)/1000,0)</f>
        <v>0</v>
      </c>
      <c r="AP701" s="5">
        <f>+IFERROR(VLOOKUP(AP27,'נתוני מים 2014'!$C$2:$L$160,5,0)/1000,0)-IFERROR(VLOOKUP(AP27,'נתוני מים 2014'!$C$2:$L$160,9,0)/1000,0)</f>
        <v>0</v>
      </c>
      <c r="AQ701" s="5">
        <f>+IFERROR(VLOOKUP(AQ27,'נתוני מים 2014'!$C$2:$L$160,5,0)/1000,0)-IFERROR(VLOOKUP(AQ27,'נתוני מים 2014'!$C$2:$L$160,9,0)/1000,0)</f>
        <v>0</v>
      </c>
      <c r="AR701" s="5">
        <f>+IFERROR(VLOOKUP(AR27,'נתוני מים 2014'!$C$2:$L$160,5,0)/1000,0)-IFERROR(VLOOKUP(AR27,'נתוני מים 2014'!$C$2:$L$160,9,0)/1000,0)</f>
        <v>0</v>
      </c>
      <c r="AS701" s="5">
        <f>+IFERROR(VLOOKUP(AS27,'נתוני מים 2014'!$C$2:$L$160,5,0)/1000,0)-IFERROR(VLOOKUP(AS27,'נתוני מים 2014'!$C$2:$L$160,9,0)/1000,0)</f>
        <v>0</v>
      </c>
      <c r="AT701" s="5">
        <f>+IFERROR(VLOOKUP(AT27,'נתוני מים 2014'!$C$2:$L$160,5,0)/1000,0)-IFERROR(VLOOKUP(AT27,'נתוני מים 2014'!$C$2:$L$160,9,0)/1000,0)</f>
        <v>0</v>
      </c>
      <c r="AU701" s="5">
        <f>+IFERROR(VLOOKUP(AU27,'נתוני מים 2014'!$C$2:$L$160,5,0)/1000,0)-IFERROR(VLOOKUP(AU27,'נתוני מים 2014'!$C$2:$L$160,9,0)/1000,0)</f>
        <v>0</v>
      </c>
      <c r="AV701" s="5">
        <f>+IFERROR(VLOOKUP(AV27,'נתוני מים 2014'!$C$2:$L$160,5,0)/1000,0)-IFERROR(VLOOKUP(AV27,'נתוני מים 2014'!$C$2:$L$160,9,0)/1000,0)</f>
        <v>0</v>
      </c>
      <c r="AW701" s="5">
        <f>+IFERROR(VLOOKUP(AW27,'נתוני מים 2014'!$C$2:$L$160,5,0)/1000,0)-IFERROR(VLOOKUP(AW27,'נתוני מים 2014'!$C$2:$L$160,9,0)/1000,0)</f>
        <v>0</v>
      </c>
      <c r="AX701" s="5">
        <f>+IFERROR(VLOOKUP(AX27,'נתוני מים 2014'!$C$2:$L$160,5,0)/1000,0)-IFERROR(VLOOKUP(AX27,'נתוני מים 2014'!$C$2:$L$160,9,0)/1000,0)</f>
        <v>0</v>
      </c>
      <c r="AY701" s="5">
        <f>+IFERROR(VLOOKUP(AY27,'נתוני מים 2014'!$C$2:$L$160,5,0)/1000,0)-IFERROR(VLOOKUP(AY27,'נתוני מים 2014'!$C$2:$L$160,9,0)/1000,0)</f>
        <v>0</v>
      </c>
      <c r="AZ701" s="5">
        <f>+IFERROR(VLOOKUP(AZ27,'נתוני מים 2014'!$C$2:$L$160,5,0)/1000,0)-IFERROR(VLOOKUP(AZ27,'נתוני מים 2014'!$C$2:$L$160,9,0)/1000,0)</f>
        <v>0</v>
      </c>
      <c r="BA701" s="5">
        <f>+IFERROR(VLOOKUP(BA27,'נתוני מים 2014'!$C$2:$L$160,5,0)/1000,0)-IFERROR(VLOOKUP(BA27,'נתוני מים 2014'!$C$2:$L$160,9,0)/1000,0)</f>
        <v>0</v>
      </c>
      <c r="BB701" s="5">
        <f>+IFERROR(VLOOKUP(BB27,'נתוני מים 2014'!$C$2:$L$160,5,0)/1000,0)-IFERROR(VLOOKUP(BB27,'נתוני מים 2014'!$C$2:$L$160,9,0)/1000,0)</f>
        <v>0</v>
      </c>
      <c r="BC701" s="5">
        <f>+IFERROR(VLOOKUP(BC27,'נתוני מים 2014'!$C$2:$L$160,5,0)/1000,0)-IFERROR(VLOOKUP(BC27,'נתוני מים 2014'!$C$2:$L$160,9,0)/1000,0)</f>
        <v>0</v>
      </c>
      <c r="BD701" s="5">
        <f>+IFERROR(VLOOKUP(BD27,'נתוני מים 2014'!$C$2:$L$160,5,0)/1000,0)-IFERROR(VLOOKUP(BD27,'נתוני מים 2014'!$C$2:$L$160,9,0)/1000,0)</f>
        <v>0</v>
      </c>
      <c r="BE701" s="5">
        <f>+IFERROR(VLOOKUP(BE27,'נתוני מים 2014'!$C$2:$L$160,5,0)/1000,0)-IFERROR(VLOOKUP(BE27,'נתוני מים 2014'!$C$2:$L$160,9,0)/1000,0)</f>
        <v>0</v>
      </c>
      <c r="BF701" s="5">
        <f>+IFERROR(VLOOKUP(BF27,'נתוני מים 2014'!$C$2:$L$188,5,0)/1000,0)-IFERROR(VLOOKUP(BF27,'נתוני מים 2014'!$C$2:$L$188,9,0)/1000,0)</f>
        <v>0</v>
      </c>
    </row>
    <row r="702" spans="2:58" x14ac:dyDescent="0.2">
      <c r="B702" s="1">
        <v>21</v>
      </c>
      <c r="C702" s="5">
        <f>+IFERROR(VLOOKUP(C28,'נתוני מים 2014'!$C$2:$L$160,5,0)/1000,0)-IFERROR(VLOOKUP(C28,'נתוני מים 2014'!$C$2:$L$160,9,0)/1000,0)</f>
        <v>0</v>
      </c>
      <c r="D702" s="5">
        <f>+IFERROR(VLOOKUP(D28,'נתוני מים 2014'!$C$2:$L$188,5,0)/1000,0)-IFERROR(VLOOKUP(D28,'נתוני מים 2014'!$C$2:$L$188,9,0)/1000,0)</f>
        <v>0</v>
      </c>
      <c r="E702" s="5">
        <f>+IFERROR(VLOOKUP(E28,'נתוני מים 2014'!$C$2:$L$160,5,0)/1000,0)-IFERROR(VLOOKUP(E28,'נתוני מים 2014'!$C$2:$L$160,9,0)/1000,0)</f>
        <v>0</v>
      </c>
      <c r="F702" s="5">
        <f>+IFERROR(VLOOKUP(F28,'נתוני מים 2014'!$C$2:$L$160,5,0)/1000,0)-IFERROR(VLOOKUP(F28,'נתוני מים 2014'!$C$2:$L$160,9,0)/1000,0)</f>
        <v>0</v>
      </c>
      <c r="G702" s="5">
        <f>+IFERROR(VLOOKUP(G28,'נתוני מים 2014'!$C$2:$L$160,5,0)/1000,0)-IFERROR(VLOOKUP(G28,'נתוני מים 2014'!$C$2:$L$160,9,0)/1000,0)</f>
        <v>0</v>
      </c>
      <c r="H702" s="5">
        <f>+IFERROR(VLOOKUP(H28,'נתוני מים 2014'!$C$2:$L$160,5,0)/1000,0)-IFERROR(VLOOKUP(H28,'נתוני מים 2014'!$C$2:$L$160,9,0)/1000,0)</f>
        <v>0</v>
      </c>
      <c r="I702" s="5">
        <f>+IFERROR(VLOOKUP(I28,'נתוני מים 2014'!$C$2:$L$160,5,0)/1000,0)-IFERROR(VLOOKUP(I28,'נתוני מים 2014'!$C$2:$L$160,9,0)/1000,0)</f>
        <v>0</v>
      </c>
      <c r="J702" s="5">
        <f>+IFERROR(VLOOKUP(J28,'נתוני מים 2014'!$C$2:$L$160,5,0)/1000,0)-IFERROR(VLOOKUP(J28,'נתוני מים 2014'!$C$2:$L$160,9,0)/1000,0)</f>
        <v>0</v>
      </c>
      <c r="K702" s="5">
        <f>+IFERROR(VLOOKUP(K28,'נתוני מים 2014'!$C$2:$L$160,5,0)/1000,0)-IFERROR(VLOOKUP(K28,'נתוני מים 2014'!$C$2:$L$160,9,0)/1000,0)</f>
        <v>0</v>
      </c>
      <c r="L702" s="5">
        <f>+IFERROR(VLOOKUP(L28,'נתוני מים 2014'!$C$2:$L$160,5,0)/1000,0)-IFERROR(VLOOKUP(L28,'נתוני מים 2014'!$C$2:$L$160,9,0)/1000,0)</f>
        <v>0</v>
      </c>
      <c r="M702" s="5">
        <f>+IFERROR(VLOOKUP(M28,'נתוני מים 2014'!$C$2:$L$160,5,0)/1000,0)-IFERROR(VLOOKUP(M28,'נתוני מים 2014'!$C$2:$L$160,9,0)/1000,0)</f>
        <v>0</v>
      </c>
      <c r="N702" s="5">
        <f>+IFERROR(VLOOKUP(N28,'נתוני מים 2014'!$C$2:$L$160,5,0)/1000,0)-IFERROR(VLOOKUP(N28,'נתוני מים 2014'!$C$2:$L$160,9,0)/1000,0)</f>
        <v>0</v>
      </c>
      <c r="O702" s="5">
        <f>+IFERROR(VLOOKUP(O28,'נתוני מים 2014'!$C$2:$L$160,5,0)/1000,0)-IFERROR(VLOOKUP(O28,'נתוני מים 2014'!$C$2:$L$160,9,0)/1000,0)</f>
        <v>0</v>
      </c>
      <c r="P702" s="5">
        <f>+IFERROR(VLOOKUP(P28,'נתוני מים 2014'!$C$2:$L$160,5,0)/1000,0)-IFERROR(VLOOKUP(P28,'נתוני מים 2014'!$C$2:$L$160,9,0)/1000,0)</f>
        <v>0</v>
      </c>
      <c r="Q702" s="5">
        <f>+IFERROR(VLOOKUP(Q28,'נתוני מים 2014'!$C$2:$L$160,5,0)/1000,0)-IFERROR(VLOOKUP(Q28,'נתוני מים 2014'!$C$2:$L$160,9,0)/1000,0)</f>
        <v>0</v>
      </c>
      <c r="R702" s="5">
        <f>+IFERROR(VLOOKUP(R28,'נתוני מים 2014'!$C$2:$L$160,5,0)/1000,0)-IFERROR(VLOOKUP(R28,'נתוני מים 2014'!$C$2:$L$160,9,0)/1000,0)</f>
        <v>0</v>
      </c>
      <c r="S702" s="5">
        <f>+IFERROR(VLOOKUP(S28,'נתוני מים 2014'!$C$2:$L$160,5,0)/1000,0)-IFERROR(VLOOKUP(S28,'נתוני מים 2014'!$C$2:$L$160,9,0)/1000,0)</f>
        <v>0</v>
      </c>
      <c r="T702" s="5">
        <f>+IFERROR(VLOOKUP(T28,'נתוני מים 2014'!$C$2:$L$160,5,0)/1000,0)-IFERROR(VLOOKUP(T28,'נתוני מים 2014'!$C$2:$L$160,9,0)/1000,0)</f>
        <v>0</v>
      </c>
      <c r="U702" s="5">
        <f>+IFERROR(VLOOKUP(U28,'נתוני מים 2014'!$C$2:$L$160,5,0)/1000,0)-IFERROR(VLOOKUP(U28,'נתוני מים 2014'!$C$2:$L$160,9,0)/1000,0)</f>
        <v>0</v>
      </c>
      <c r="V702" s="5">
        <f>+IFERROR(VLOOKUP(V28,'נתוני מים 2014'!$C$2:$L$160,5,0)/1000,0)-IFERROR(VLOOKUP(V28,'נתוני מים 2014'!$C$2:$L$160,9,0)/1000,0)</f>
        <v>0</v>
      </c>
      <c r="W702" s="5">
        <f>+IFERROR(VLOOKUP(W28,'נתוני מים 2014'!$C$2:$L$160,5,0)/1000,0)-IFERROR(VLOOKUP(W28,'נתוני מים 2014'!$C$2:$L$160,9,0)/1000,0)</f>
        <v>0</v>
      </c>
      <c r="X702" s="5">
        <f>+IFERROR(VLOOKUP(X28,'נתוני מים 2014'!$C$2:$L$160,5,0)/1000,0)-IFERROR(VLOOKUP(X28,'נתוני מים 2014'!$C$2:$L$160,9,0)/1000,0)</f>
        <v>0</v>
      </c>
      <c r="Y702" s="5">
        <f>+IFERROR(VLOOKUP(Y28,'נתוני מים 2014'!$C$2:$L$160,5,0)/1000,0)-IFERROR(VLOOKUP(Y28,'נתוני מים 2014'!$C$2:$L$160,9,0)/1000,0)</f>
        <v>0</v>
      </c>
      <c r="Z702" s="5">
        <f>+IFERROR(VLOOKUP(Z28,'נתוני מים 2014'!$C$2:$L$160,5,0)/1000,0)-IFERROR(VLOOKUP(Z28,'נתוני מים 2014'!$C$2:$L$160,9,0)/1000,0)</f>
        <v>0</v>
      </c>
      <c r="AA702" s="5">
        <f>+IFERROR(VLOOKUP(AA28,'נתוני מים 2014'!$C$2:$L$160,5,0)/1000,0)-IFERROR(VLOOKUP(AA28,'נתוני מים 2014'!$C$2:$L$160,9,0)/1000,0)</f>
        <v>0</v>
      </c>
      <c r="AB702" s="5">
        <f>+IFERROR(VLOOKUP(AB28,'נתוני מים 2014'!$C$2:$L$160,5,0)/1000,0)-IFERROR(VLOOKUP(AB28,'נתוני מים 2014'!$C$2:$L$160,9,0)/1000,0)</f>
        <v>0</v>
      </c>
      <c r="AC702" s="5">
        <f>+IFERROR(VLOOKUP(AC28,'נתוני מים 2014'!$C$2:$L$160,5,0)/1000,0)-IFERROR(VLOOKUP(AC28,'נתוני מים 2014'!$C$2:$L$160,9,0)/1000,0)</f>
        <v>0</v>
      </c>
      <c r="AD702" s="5">
        <f>+IFERROR(VLOOKUP(AD28,'נתוני מים 2014'!$C$2:$L$160,5,0)/1000,0)-IFERROR(VLOOKUP(AD28,'נתוני מים 2014'!$C$2:$L$160,9,0)/1000,0)</f>
        <v>0</v>
      </c>
      <c r="AE702" s="5">
        <f>+IFERROR(VLOOKUP(AE28,'נתוני מים 2014'!$C$2:$L$160,5,0)/1000,0)-IFERROR(VLOOKUP(AE28,'נתוני מים 2014'!$C$2:$L$160,9,0)/1000,0)</f>
        <v>0</v>
      </c>
      <c r="AF702" s="5">
        <f>+IFERROR(VLOOKUP(AF28,'נתוני מים 2014'!$C$2:$L$160,5,0)/1000,0)-IFERROR(VLOOKUP(AF28,'נתוני מים 2014'!$C$2:$L$160,9,0)/1000,0)</f>
        <v>0</v>
      </c>
      <c r="AG702" s="5">
        <f>+IFERROR(VLOOKUP(AG28,'נתוני מים 2014'!$C$2:$L$160,5,0)/1000,0)-IFERROR(VLOOKUP(AG28,'נתוני מים 2014'!$C$2:$L$160,9,0)/1000,0)</f>
        <v>0</v>
      </c>
      <c r="AH702" s="5">
        <f>+IFERROR(VLOOKUP(AH28,'נתוני מים 2014'!$C$2:$L$160,5,0)/1000,0)-IFERROR(VLOOKUP(AH28,'נתוני מים 2014'!$C$2:$L$160,9,0)/1000,0)</f>
        <v>0</v>
      </c>
      <c r="AI702" s="5">
        <f>+IFERROR(VLOOKUP(AI28,'נתוני מים 2014'!$C$2:$L$160,5,0)/1000,0)-IFERROR(VLOOKUP(AI28,'נתוני מים 2014'!$C$2:$L$160,9,0)/1000,0)</f>
        <v>0</v>
      </c>
      <c r="AJ702" s="5">
        <f>+IFERROR(VLOOKUP(AJ28,'נתוני מים 2014'!$C$2:$L$160,5,0)/1000,0)-IFERROR(VLOOKUP(AJ28,'נתוני מים 2014'!$C$2:$L$160,9,0)/1000,0)</f>
        <v>0</v>
      </c>
      <c r="AK702" s="5">
        <f>+IFERROR(VLOOKUP(AK28,'נתוני מים 2014'!$C$2:$L$160,5,0)/1000,0)-IFERROR(VLOOKUP(AK28,'נתוני מים 2014'!$C$2:$L$160,9,0)/1000,0)</f>
        <v>0</v>
      </c>
      <c r="AL702" s="5">
        <f>+IFERROR(VLOOKUP(AL28,'נתוני מים 2014'!$C$2:$L$160,5,0)/1000,0)-IFERROR(VLOOKUP(AL28,'נתוני מים 2014'!$C$2:$L$160,9,0)/1000,0)</f>
        <v>0</v>
      </c>
      <c r="AM702" s="5">
        <f>+IFERROR(VLOOKUP(AM28,'נתוני מים 2014'!$C$2:$L$160,5,0)/1000,0)-IFERROR(VLOOKUP(AM28,'נתוני מים 2014'!$C$2:$L$160,9,0)/1000,0)</f>
        <v>0</v>
      </c>
      <c r="AN702" s="5">
        <f>+IFERROR(VLOOKUP(AN28,'נתוני מים 2014'!$C$2:$L$160,5,0)/1000,0)-IFERROR(VLOOKUP(AN28,'נתוני מים 2014'!$C$2:$L$160,9,0)/1000,0)</f>
        <v>0</v>
      </c>
      <c r="AO702" s="5">
        <f>+IFERROR(VLOOKUP(AO28,'נתוני מים 2014'!$C$2:$L$160,5,0)/1000,0)-IFERROR(VLOOKUP(AO28,'נתוני מים 2014'!$C$2:$L$160,9,0)/1000,0)</f>
        <v>0</v>
      </c>
      <c r="AP702" s="5">
        <f>+IFERROR(VLOOKUP(AP28,'נתוני מים 2014'!$C$2:$L$160,5,0)/1000,0)-IFERROR(VLOOKUP(AP28,'נתוני מים 2014'!$C$2:$L$160,9,0)/1000,0)</f>
        <v>0</v>
      </c>
      <c r="AQ702" s="5">
        <f>+IFERROR(VLOOKUP(AQ28,'נתוני מים 2014'!$C$2:$L$160,5,0)/1000,0)-IFERROR(VLOOKUP(AQ28,'נתוני מים 2014'!$C$2:$L$160,9,0)/1000,0)</f>
        <v>0</v>
      </c>
      <c r="AR702" s="5">
        <f>+IFERROR(VLOOKUP(AR28,'נתוני מים 2014'!$C$2:$L$160,5,0)/1000,0)-IFERROR(VLOOKUP(AR28,'נתוני מים 2014'!$C$2:$L$160,9,0)/1000,0)</f>
        <v>0</v>
      </c>
      <c r="AS702" s="5">
        <f>+IFERROR(VLOOKUP(AS28,'נתוני מים 2014'!$C$2:$L$160,5,0)/1000,0)-IFERROR(VLOOKUP(AS28,'נתוני מים 2014'!$C$2:$L$160,9,0)/1000,0)</f>
        <v>0</v>
      </c>
      <c r="AT702" s="5">
        <f>+IFERROR(VLOOKUP(AT28,'נתוני מים 2014'!$C$2:$L$160,5,0)/1000,0)-IFERROR(VLOOKUP(AT28,'נתוני מים 2014'!$C$2:$L$160,9,0)/1000,0)</f>
        <v>0</v>
      </c>
      <c r="AU702" s="5">
        <f>+IFERROR(VLOOKUP(AU28,'נתוני מים 2014'!$C$2:$L$160,5,0)/1000,0)-IFERROR(VLOOKUP(AU28,'נתוני מים 2014'!$C$2:$L$160,9,0)/1000,0)</f>
        <v>0</v>
      </c>
      <c r="AV702" s="5">
        <f>+IFERROR(VLOOKUP(AV28,'נתוני מים 2014'!$C$2:$L$160,5,0)/1000,0)-IFERROR(VLOOKUP(AV28,'נתוני מים 2014'!$C$2:$L$160,9,0)/1000,0)</f>
        <v>0</v>
      </c>
      <c r="AW702" s="5">
        <f>+IFERROR(VLOOKUP(AW28,'נתוני מים 2014'!$C$2:$L$160,5,0)/1000,0)-IFERROR(VLOOKUP(AW28,'נתוני מים 2014'!$C$2:$L$160,9,0)/1000,0)</f>
        <v>0</v>
      </c>
      <c r="AX702" s="5">
        <f>+IFERROR(VLOOKUP(AX28,'נתוני מים 2014'!$C$2:$L$160,5,0)/1000,0)-IFERROR(VLOOKUP(AX28,'נתוני מים 2014'!$C$2:$L$160,9,0)/1000,0)</f>
        <v>0</v>
      </c>
      <c r="AY702" s="5">
        <f>+IFERROR(VLOOKUP(AY28,'נתוני מים 2014'!$C$2:$L$160,5,0)/1000,0)-IFERROR(VLOOKUP(AY28,'נתוני מים 2014'!$C$2:$L$160,9,0)/1000,0)</f>
        <v>0</v>
      </c>
      <c r="AZ702" s="5">
        <f>+IFERROR(VLOOKUP(AZ28,'נתוני מים 2014'!$C$2:$L$160,5,0)/1000,0)-IFERROR(VLOOKUP(AZ28,'נתוני מים 2014'!$C$2:$L$160,9,0)/1000,0)</f>
        <v>0</v>
      </c>
      <c r="BA702" s="5">
        <f>+IFERROR(VLOOKUP(BA28,'נתוני מים 2014'!$C$2:$L$160,5,0)/1000,0)-IFERROR(VLOOKUP(BA28,'נתוני מים 2014'!$C$2:$L$160,9,0)/1000,0)</f>
        <v>0</v>
      </c>
      <c r="BB702" s="5">
        <f>+IFERROR(VLOOKUP(BB28,'נתוני מים 2014'!$C$2:$L$160,5,0)/1000,0)-IFERROR(VLOOKUP(BB28,'נתוני מים 2014'!$C$2:$L$160,9,0)/1000,0)</f>
        <v>0</v>
      </c>
      <c r="BC702" s="5">
        <f>+IFERROR(VLOOKUP(BC28,'נתוני מים 2014'!$C$2:$L$160,5,0)/1000,0)-IFERROR(VLOOKUP(BC28,'נתוני מים 2014'!$C$2:$L$160,9,0)/1000,0)</f>
        <v>0</v>
      </c>
      <c r="BD702" s="5">
        <f>+IFERROR(VLOOKUP(BD28,'נתוני מים 2014'!$C$2:$L$160,5,0)/1000,0)-IFERROR(VLOOKUP(BD28,'נתוני מים 2014'!$C$2:$L$160,9,0)/1000,0)</f>
        <v>0</v>
      </c>
      <c r="BE702" s="5">
        <f>+IFERROR(VLOOKUP(BE28,'נתוני מים 2014'!$C$2:$L$160,5,0)/1000,0)-IFERROR(VLOOKUP(BE28,'נתוני מים 2014'!$C$2:$L$160,9,0)/1000,0)</f>
        <v>0</v>
      </c>
      <c r="BF702" s="5">
        <f>+IFERROR(VLOOKUP(BF28,'נתוני מים 2014'!$C$2:$L$188,5,0)/1000,0)-IFERROR(VLOOKUP(BF28,'נתוני מים 2014'!$C$2:$L$188,9,0)/1000,0)</f>
        <v>0</v>
      </c>
    </row>
    <row r="703" spans="2:58" x14ac:dyDescent="0.2">
      <c r="B703" s="1">
        <v>22</v>
      </c>
      <c r="C703" s="5">
        <f>+IFERROR(VLOOKUP(C29,'נתוני מים 2014'!$C$2:$L$160,5,0)/1000,0)-IFERROR(VLOOKUP(C29,'נתוני מים 2014'!$C$2:$L$160,9,0)/1000,0)</f>
        <v>0</v>
      </c>
      <c r="D703" s="5">
        <f>+IFERROR(VLOOKUP(D29,'נתוני מים 2014'!$C$2:$L$188,5,0)/1000,0)-IFERROR(VLOOKUP(D29,'נתוני מים 2014'!$C$2:$L$188,9,0)/1000,0)</f>
        <v>0</v>
      </c>
      <c r="E703" s="5">
        <f>+IFERROR(VLOOKUP(E29,'נתוני מים 2014'!$C$2:$L$160,5,0)/1000,0)-IFERROR(VLOOKUP(E29,'נתוני מים 2014'!$C$2:$L$160,9,0)/1000,0)</f>
        <v>0</v>
      </c>
      <c r="F703" s="5">
        <f>+IFERROR(VLOOKUP(F29,'נתוני מים 2014'!$C$2:$L$160,5,0)/1000,0)-IFERROR(VLOOKUP(F29,'נתוני מים 2014'!$C$2:$L$160,9,0)/1000,0)</f>
        <v>0</v>
      </c>
      <c r="G703" s="5">
        <f>+IFERROR(VLOOKUP(G29,'נתוני מים 2014'!$C$2:$L$160,5,0)/1000,0)-IFERROR(VLOOKUP(G29,'נתוני מים 2014'!$C$2:$L$160,9,0)/1000,0)</f>
        <v>0</v>
      </c>
      <c r="H703" s="5">
        <f>+IFERROR(VLOOKUP(H29,'נתוני מים 2014'!$C$2:$L$160,5,0)/1000,0)-IFERROR(VLOOKUP(H29,'נתוני מים 2014'!$C$2:$L$160,9,0)/1000,0)</f>
        <v>0</v>
      </c>
      <c r="I703" s="5">
        <f>+IFERROR(VLOOKUP(I29,'נתוני מים 2014'!$C$2:$L$160,5,0)/1000,0)-IFERROR(VLOOKUP(I29,'נתוני מים 2014'!$C$2:$L$160,9,0)/1000,0)</f>
        <v>0</v>
      </c>
      <c r="J703" s="5">
        <f>+IFERROR(VLOOKUP(J29,'נתוני מים 2014'!$C$2:$L$160,5,0)/1000,0)-IFERROR(VLOOKUP(J29,'נתוני מים 2014'!$C$2:$L$160,9,0)/1000,0)</f>
        <v>0</v>
      </c>
      <c r="K703" s="5">
        <f>+IFERROR(VLOOKUP(K29,'נתוני מים 2014'!$C$2:$L$160,5,0)/1000,0)-IFERROR(VLOOKUP(K29,'נתוני מים 2014'!$C$2:$L$160,9,0)/1000,0)</f>
        <v>0</v>
      </c>
      <c r="L703" s="5">
        <f>+IFERROR(VLOOKUP(L29,'נתוני מים 2014'!$C$2:$L$160,5,0)/1000,0)-IFERROR(VLOOKUP(L29,'נתוני מים 2014'!$C$2:$L$160,9,0)/1000,0)</f>
        <v>0</v>
      </c>
      <c r="M703" s="5">
        <f>+IFERROR(VLOOKUP(M29,'נתוני מים 2014'!$C$2:$L$160,5,0)/1000,0)-IFERROR(VLOOKUP(M29,'נתוני מים 2014'!$C$2:$L$160,9,0)/1000,0)</f>
        <v>0</v>
      </c>
      <c r="N703" s="5">
        <f>+IFERROR(VLOOKUP(N29,'נתוני מים 2014'!$C$2:$L$160,5,0)/1000,0)-IFERROR(VLOOKUP(N29,'נתוני מים 2014'!$C$2:$L$160,9,0)/1000,0)</f>
        <v>0</v>
      </c>
      <c r="O703" s="5">
        <f>+IFERROR(VLOOKUP(O29,'נתוני מים 2014'!$C$2:$L$160,5,0)/1000,0)-IFERROR(VLOOKUP(O29,'נתוני מים 2014'!$C$2:$L$160,9,0)/1000,0)</f>
        <v>0</v>
      </c>
      <c r="P703" s="5">
        <f>+IFERROR(VLOOKUP(P29,'נתוני מים 2014'!$C$2:$L$160,5,0)/1000,0)-IFERROR(VLOOKUP(P29,'נתוני מים 2014'!$C$2:$L$160,9,0)/1000,0)</f>
        <v>0</v>
      </c>
      <c r="Q703" s="5">
        <f>+IFERROR(VLOOKUP(Q29,'נתוני מים 2014'!$C$2:$L$160,5,0)/1000,0)-IFERROR(VLOOKUP(Q29,'נתוני מים 2014'!$C$2:$L$160,9,0)/1000,0)</f>
        <v>0</v>
      </c>
      <c r="R703" s="5">
        <f>+IFERROR(VLOOKUP(R29,'נתוני מים 2014'!$C$2:$L$160,5,0)/1000,0)-IFERROR(VLOOKUP(R29,'נתוני מים 2014'!$C$2:$L$160,9,0)/1000,0)</f>
        <v>0</v>
      </c>
      <c r="S703" s="5">
        <f>+IFERROR(VLOOKUP(S29,'נתוני מים 2014'!$C$2:$L$160,5,0)/1000,0)-IFERROR(VLOOKUP(S29,'נתוני מים 2014'!$C$2:$L$160,9,0)/1000,0)</f>
        <v>0</v>
      </c>
      <c r="T703" s="5">
        <f>+IFERROR(VLOOKUP(T29,'נתוני מים 2014'!$C$2:$L$160,5,0)/1000,0)-IFERROR(VLOOKUP(T29,'נתוני מים 2014'!$C$2:$L$160,9,0)/1000,0)</f>
        <v>0</v>
      </c>
      <c r="U703" s="5">
        <f>+IFERROR(VLOOKUP(U29,'נתוני מים 2014'!$C$2:$L$160,5,0)/1000,0)-IFERROR(VLOOKUP(U29,'נתוני מים 2014'!$C$2:$L$160,9,0)/1000,0)</f>
        <v>0</v>
      </c>
      <c r="V703" s="5">
        <f>+IFERROR(VLOOKUP(V29,'נתוני מים 2014'!$C$2:$L$160,5,0)/1000,0)-IFERROR(VLOOKUP(V29,'נתוני מים 2014'!$C$2:$L$160,9,0)/1000,0)</f>
        <v>0</v>
      </c>
      <c r="W703" s="5">
        <f>+IFERROR(VLOOKUP(W29,'נתוני מים 2014'!$C$2:$L$160,5,0)/1000,0)-IFERROR(VLOOKUP(W29,'נתוני מים 2014'!$C$2:$L$160,9,0)/1000,0)</f>
        <v>0</v>
      </c>
      <c r="X703" s="5">
        <f>+IFERROR(VLOOKUP(X29,'נתוני מים 2014'!$C$2:$L$160,5,0)/1000,0)-IFERROR(VLOOKUP(X29,'נתוני מים 2014'!$C$2:$L$160,9,0)/1000,0)</f>
        <v>0</v>
      </c>
      <c r="Y703" s="5">
        <f>+IFERROR(VLOOKUP(Y29,'נתוני מים 2014'!$C$2:$L$160,5,0)/1000,0)-IFERROR(VLOOKUP(Y29,'נתוני מים 2014'!$C$2:$L$160,9,0)/1000,0)</f>
        <v>0</v>
      </c>
      <c r="Z703" s="5">
        <f>+IFERROR(VLOOKUP(Z29,'נתוני מים 2014'!$C$2:$L$160,5,0)/1000,0)-IFERROR(VLOOKUP(Z29,'נתוני מים 2014'!$C$2:$L$160,9,0)/1000,0)</f>
        <v>0</v>
      </c>
      <c r="AA703" s="5">
        <f>+IFERROR(VLOOKUP(AA29,'נתוני מים 2014'!$C$2:$L$160,5,0)/1000,0)-IFERROR(VLOOKUP(AA29,'נתוני מים 2014'!$C$2:$L$160,9,0)/1000,0)</f>
        <v>0</v>
      </c>
      <c r="AB703" s="5">
        <f>+IFERROR(VLOOKUP(AB29,'נתוני מים 2014'!$C$2:$L$160,5,0)/1000,0)-IFERROR(VLOOKUP(AB29,'נתוני מים 2014'!$C$2:$L$160,9,0)/1000,0)</f>
        <v>0</v>
      </c>
      <c r="AC703" s="5">
        <f>+IFERROR(VLOOKUP(AC29,'נתוני מים 2014'!$C$2:$L$160,5,0)/1000,0)-IFERROR(VLOOKUP(AC29,'נתוני מים 2014'!$C$2:$L$160,9,0)/1000,0)</f>
        <v>0</v>
      </c>
      <c r="AD703" s="5">
        <f>+IFERROR(VLOOKUP(AD29,'נתוני מים 2014'!$C$2:$L$160,5,0)/1000,0)-IFERROR(VLOOKUP(AD29,'נתוני מים 2014'!$C$2:$L$160,9,0)/1000,0)</f>
        <v>0</v>
      </c>
      <c r="AE703" s="5">
        <f>+IFERROR(VLOOKUP(AE29,'נתוני מים 2014'!$C$2:$L$160,5,0)/1000,0)-IFERROR(VLOOKUP(AE29,'נתוני מים 2014'!$C$2:$L$160,9,0)/1000,0)</f>
        <v>0</v>
      </c>
      <c r="AF703" s="5">
        <f>+IFERROR(VLOOKUP(AF29,'נתוני מים 2014'!$C$2:$L$160,5,0)/1000,0)-IFERROR(VLOOKUP(AF29,'נתוני מים 2014'!$C$2:$L$160,9,0)/1000,0)</f>
        <v>0</v>
      </c>
      <c r="AG703" s="5">
        <f>+IFERROR(VLOOKUP(AG29,'נתוני מים 2014'!$C$2:$L$160,5,0)/1000,0)-IFERROR(VLOOKUP(AG29,'נתוני מים 2014'!$C$2:$L$160,9,0)/1000,0)</f>
        <v>0</v>
      </c>
      <c r="AH703" s="5">
        <f>+IFERROR(VLOOKUP(AH29,'נתוני מים 2014'!$C$2:$L$160,5,0)/1000,0)-IFERROR(VLOOKUP(AH29,'נתוני מים 2014'!$C$2:$L$160,9,0)/1000,0)</f>
        <v>0</v>
      </c>
      <c r="AI703" s="5">
        <f>+IFERROR(VLOOKUP(AI29,'נתוני מים 2014'!$C$2:$L$160,5,0)/1000,0)-IFERROR(VLOOKUP(AI29,'נתוני מים 2014'!$C$2:$L$160,9,0)/1000,0)</f>
        <v>0</v>
      </c>
      <c r="AJ703" s="5">
        <f>+IFERROR(VLOOKUP(AJ29,'נתוני מים 2014'!$C$2:$L$160,5,0)/1000,0)-IFERROR(VLOOKUP(AJ29,'נתוני מים 2014'!$C$2:$L$160,9,0)/1000,0)</f>
        <v>0</v>
      </c>
      <c r="AK703" s="5">
        <f>+IFERROR(VLOOKUP(AK29,'נתוני מים 2014'!$C$2:$L$160,5,0)/1000,0)-IFERROR(VLOOKUP(AK29,'נתוני מים 2014'!$C$2:$L$160,9,0)/1000,0)</f>
        <v>0</v>
      </c>
      <c r="AL703" s="5">
        <f>+IFERROR(VLOOKUP(AL29,'נתוני מים 2014'!$C$2:$L$160,5,0)/1000,0)-IFERROR(VLOOKUP(AL29,'נתוני מים 2014'!$C$2:$L$160,9,0)/1000,0)</f>
        <v>0</v>
      </c>
      <c r="AM703" s="5">
        <f>+IFERROR(VLOOKUP(AM29,'נתוני מים 2014'!$C$2:$L$160,5,0)/1000,0)-IFERROR(VLOOKUP(AM29,'נתוני מים 2014'!$C$2:$L$160,9,0)/1000,0)</f>
        <v>0</v>
      </c>
      <c r="AN703" s="5">
        <f>+IFERROR(VLOOKUP(AN29,'נתוני מים 2014'!$C$2:$L$160,5,0)/1000,0)-IFERROR(VLOOKUP(AN29,'נתוני מים 2014'!$C$2:$L$160,9,0)/1000,0)</f>
        <v>0</v>
      </c>
      <c r="AO703" s="5">
        <f>+IFERROR(VLOOKUP(AO29,'נתוני מים 2014'!$C$2:$L$160,5,0)/1000,0)-IFERROR(VLOOKUP(AO29,'נתוני מים 2014'!$C$2:$L$160,9,0)/1000,0)</f>
        <v>0</v>
      </c>
      <c r="AP703" s="5">
        <f>+IFERROR(VLOOKUP(AP29,'נתוני מים 2014'!$C$2:$L$160,5,0)/1000,0)-IFERROR(VLOOKUP(AP29,'נתוני מים 2014'!$C$2:$L$160,9,0)/1000,0)</f>
        <v>0</v>
      </c>
      <c r="AQ703" s="5">
        <f>+IFERROR(VLOOKUP(AQ29,'נתוני מים 2014'!$C$2:$L$160,5,0)/1000,0)-IFERROR(VLOOKUP(AQ29,'נתוני מים 2014'!$C$2:$L$160,9,0)/1000,0)</f>
        <v>0</v>
      </c>
      <c r="AR703" s="5">
        <f>+IFERROR(VLOOKUP(AR29,'נתוני מים 2014'!$C$2:$L$160,5,0)/1000,0)-IFERROR(VLOOKUP(AR29,'נתוני מים 2014'!$C$2:$L$160,9,0)/1000,0)</f>
        <v>0</v>
      </c>
      <c r="AS703" s="5">
        <f>+IFERROR(VLOOKUP(AS29,'נתוני מים 2014'!$C$2:$L$160,5,0)/1000,0)-IFERROR(VLOOKUP(AS29,'נתוני מים 2014'!$C$2:$L$160,9,0)/1000,0)</f>
        <v>0</v>
      </c>
      <c r="AT703" s="5">
        <f>+IFERROR(VLOOKUP(AT29,'נתוני מים 2014'!$C$2:$L$160,5,0)/1000,0)-IFERROR(VLOOKUP(AT29,'נתוני מים 2014'!$C$2:$L$160,9,0)/1000,0)</f>
        <v>0</v>
      </c>
      <c r="AU703" s="5">
        <f>+IFERROR(VLOOKUP(AU29,'נתוני מים 2014'!$C$2:$L$160,5,0)/1000,0)-IFERROR(VLOOKUP(AU29,'נתוני מים 2014'!$C$2:$L$160,9,0)/1000,0)</f>
        <v>0</v>
      </c>
      <c r="AV703" s="5">
        <f>+IFERROR(VLOOKUP(AV29,'נתוני מים 2014'!$C$2:$L$160,5,0)/1000,0)-IFERROR(VLOOKUP(AV29,'נתוני מים 2014'!$C$2:$L$160,9,0)/1000,0)</f>
        <v>0</v>
      </c>
      <c r="AW703" s="5">
        <f>+IFERROR(VLOOKUP(AW29,'נתוני מים 2014'!$C$2:$L$160,5,0)/1000,0)-IFERROR(VLOOKUP(AW29,'נתוני מים 2014'!$C$2:$L$160,9,0)/1000,0)</f>
        <v>0</v>
      </c>
      <c r="AX703" s="5">
        <f>+IFERROR(VLOOKUP(AX29,'נתוני מים 2014'!$C$2:$L$160,5,0)/1000,0)-IFERROR(VLOOKUP(AX29,'נתוני מים 2014'!$C$2:$L$160,9,0)/1000,0)</f>
        <v>0</v>
      </c>
      <c r="AY703" s="5">
        <f>+IFERROR(VLOOKUP(AY29,'נתוני מים 2014'!$C$2:$L$160,5,0)/1000,0)-IFERROR(VLOOKUP(AY29,'נתוני מים 2014'!$C$2:$L$160,9,0)/1000,0)</f>
        <v>0</v>
      </c>
      <c r="AZ703" s="5">
        <f>+IFERROR(VLOOKUP(AZ29,'נתוני מים 2014'!$C$2:$L$160,5,0)/1000,0)-IFERROR(VLOOKUP(AZ29,'נתוני מים 2014'!$C$2:$L$160,9,0)/1000,0)</f>
        <v>0</v>
      </c>
      <c r="BA703" s="5">
        <f>+IFERROR(VLOOKUP(BA29,'נתוני מים 2014'!$C$2:$L$160,5,0)/1000,0)-IFERROR(VLOOKUP(BA29,'נתוני מים 2014'!$C$2:$L$160,9,0)/1000,0)</f>
        <v>0</v>
      </c>
      <c r="BB703" s="5">
        <f>+IFERROR(VLOOKUP(BB29,'נתוני מים 2014'!$C$2:$L$160,5,0)/1000,0)-IFERROR(VLOOKUP(BB29,'נתוני מים 2014'!$C$2:$L$160,9,0)/1000,0)</f>
        <v>0</v>
      </c>
      <c r="BC703" s="5">
        <f>+IFERROR(VLOOKUP(BC29,'נתוני מים 2014'!$C$2:$L$160,5,0)/1000,0)-IFERROR(VLOOKUP(BC29,'נתוני מים 2014'!$C$2:$L$160,9,0)/1000,0)</f>
        <v>0</v>
      </c>
      <c r="BD703" s="5">
        <f>+IFERROR(VLOOKUP(BD29,'נתוני מים 2014'!$C$2:$L$160,5,0)/1000,0)-IFERROR(VLOOKUP(BD29,'נתוני מים 2014'!$C$2:$L$160,9,0)/1000,0)</f>
        <v>0</v>
      </c>
      <c r="BE703" s="5">
        <f>+IFERROR(VLOOKUP(BE29,'נתוני מים 2014'!$C$2:$L$160,5,0)/1000,0)-IFERROR(VLOOKUP(BE29,'נתוני מים 2014'!$C$2:$L$160,9,0)/1000,0)</f>
        <v>0</v>
      </c>
      <c r="BF703" s="5">
        <f>+IFERROR(VLOOKUP(BF29,'נתוני מים 2014'!$C$2:$L$188,5,0)/1000,0)-IFERROR(VLOOKUP(BF29,'נתוני מים 2014'!$C$2:$L$188,9,0)/1000,0)</f>
        <v>0</v>
      </c>
    </row>
    <row r="704" spans="2:58" x14ac:dyDescent="0.2">
      <c r="B704" s="1">
        <v>23</v>
      </c>
      <c r="C704" s="5">
        <f>+IFERROR(VLOOKUP(C30,'נתוני מים 2014'!$C$2:$L$160,5,0)/1000,0)-IFERROR(VLOOKUP(C30,'נתוני מים 2014'!$C$2:$L$160,9,0)/1000,0)</f>
        <v>0</v>
      </c>
      <c r="D704" s="5">
        <f>+IFERROR(VLOOKUP(D30,'נתוני מים 2014'!$C$2:$L$188,5,0)/1000,0)-IFERROR(VLOOKUP(D30,'נתוני מים 2014'!$C$2:$L$188,9,0)/1000,0)</f>
        <v>0</v>
      </c>
      <c r="E704" s="5">
        <f>+IFERROR(VLOOKUP(E30,'נתוני מים 2014'!$C$2:$L$160,5,0)/1000,0)-IFERROR(VLOOKUP(E30,'נתוני מים 2014'!$C$2:$L$160,9,0)/1000,0)</f>
        <v>0</v>
      </c>
      <c r="F704" s="5">
        <f>+IFERROR(VLOOKUP(F30,'נתוני מים 2014'!$C$2:$L$160,5,0)/1000,0)-IFERROR(VLOOKUP(F30,'נתוני מים 2014'!$C$2:$L$160,9,0)/1000,0)</f>
        <v>0</v>
      </c>
      <c r="G704" s="5">
        <f>+IFERROR(VLOOKUP(G30,'נתוני מים 2014'!$C$2:$L$160,5,0)/1000,0)-IFERROR(VLOOKUP(G30,'נתוני מים 2014'!$C$2:$L$160,9,0)/1000,0)</f>
        <v>0</v>
      </c>
      <c r="H704" s="5">
        <f>+IFERROR(VLOOKUP(H30,'נתוני מים 2014'!$C$2:$L$160,5,0)/1000,0)-IFERROR(VLOOKUP(H30,'נתוני מים 2014'!$C$2:$L$160,9,0)/1000,0)</f>
        <v>0</v>
      </c>
      <c r="I704" s="5">
        <f>+IFERROR(VLOOKUP(I30,'נתוני מים 2014'!$C$2:$L$160,5,0)/1000,0)-IFERROR(VLOOKUP(I30,'נתוני מים 2014'!$C$2:$L$160,9,0)/1000,0)</f>
        <v>0</v>
      </c>
      <c r="J704" s="5">
        <f>+IFERROR(VLOOKUP(J30,'נתוני מים 2014'!$C$2:$L$160,5,0)/1000,0)-IFERROR(VLOOKUP(J30,'נתוני מים 2014'!$C$2:$L$160,9,0)/1000,0)</f>
        <v>0</v>
      </c>
      <c r="K704" s="5">
        <f>+IFERROR(VLOOKUP(K30,'נתוני מים 2014'!$C$2:$L$160,5,0)/1000,0)-IFERROR(VLOOKUP(K30,'נתוני מים 2014'!$C$2:$L$160,9,0)/1000,0)</f>
        <v>0</v>
      </c>
      <c r="L704" s="5">
        <f>+IFERROR(VLOOKUP(L30,'נתוני מים 2014'!$C$2:$L$160,5,0)/1000,0)-IFERROR(VLOOKUP(L30,'נתוני מים 2014'!$C$2:$L$160,9,0)/1000,0)</f>
        <v>0</v>
      </c>
      <c r="M704" s="5">
        <f>+IFERROR(VLOOKUP(M30,'נתוני מים 2014'!$C$2:$L$160,5,0)/1000,0)-IFERROR(VLOOKUP(M30,'נתוני מים 2014'!$C$2:$L$160,9,0)/1000,0)</f>
        <v>0</v>
      </c>
      <c r="N704" s="5">
        <f>+IFERROR(VLOOKUP(N30,'נתוני מים 2014'!$C$2:$L$160,5,0)/1000,0)-IFERROR(VLOOKUP(N30,'נתוני מים 2014'!$C$2:$L$160,9,0)/1000,0)</f>
        <v>0</v>
      </c>
      <c r="O704" s="5">
        <f>+IFERROR(VLOOKUP(O30,'נתוני מים 2014'!$C$2:$L$160,5,0)/1000,0)-IFERROR(VLOOKUP(O30,'נתוני מים 2014'!$C$2:$L$160,9,0)/1000,0)</f>
        <v>0</v>
      </c>
      <c r="P704" s="5">
        <f>+IFERROR(VLOOKUP(P30,'נתוני מים 2014'!$C$2:$L$160,5,0)/1000,0)-IFERROR(VLOOKUP(P30,'נתוני מים 2014'!$C$2:$L$160,9,0)/1000,0)</f>
        <v>0</v>
      </c>
      <c r="Q704" s="5">
        <f>+IFERROR(VLOOKUP(Q30,'נתוני מים 2014'!$C$2:$L$160,5,0)/1000,0)-IFERROR(VLOOKUP(Q30,'נתוני מים 2014'!$C$2:$L$160,9,0)/1000,0)</f>
        <v>0</v>
      </c>
      <c r="R704" s="5">
        <f>+IFERROR(VLOOKUP(R30,'נתוני מים 2014'!$C$2:$L$160,5,0)/1000,0)-IFERROR(VLOOKUP(R30,'נתוני מים 2014'!$C$2:$L$160,9,0)/1000,0)</f>
        <v>0</v>
      </c>
      <c r="S704" s="5">
        <f>+IFERROR(VLOOKUP(S30,'נתוני מים 2014'!$C$2:$L$160,5,0)/1000,0)-IFERROR(VLOOKUP(S30,'נתוני מים 2014'!$C$2:$L$160,9,0)/1000,0)</f>
        <v>0</v>
      </c>
      <c r="T704" s="5">
        <f>+IFERROR(VLOOKUP(T30,'נתוני מים 2014'!$C$2:$L$160,5,0)/1000,0)-IFERROR(VLOOKUP(T30,'נתוני מים 2014'!$C$2:$L$160,9,0)/1000,0)</f>
        <v>0</v>
      </c>
      <c r="U704" s="5">
        <f>+IFERROR(VLOOKUP(U30,'נתוני מים 2014'!$C$2:$L$160,5,0)/1000,0)-IFERROR(VLOOKUP(U30,'נתוני מים 2014'!$C$2:$L$160,9,0)/1000,0)</f>
        <v>0</v>
      </c>
      <c r="V704" s="5">
        <f>+IFERROR(VLOOKUP(V30,'נתוני מים 2014'!$C$2:$L$160,5,0)/1000,0)-IFERROR(VLOOKUP(V30,'נתוני מים 2014'!$C$2:$L$160,9,0)/1000,0)</f>
        <v>0</v>
      </c>
      <c r="W704" s="5">
        <f>+IFERROR(VLOOKUP(W30,'נתוני מים 2014'!$C$2:$L$160,5,0)/1000,0)-IFERROR(VLOOKUP(W30,'נתוני מים 2014'!$C$2:$L$160,9,0)/1000,0)</f>
        <v>0</v>
      </c>
      <c r="X704" s="5">
        <f>+IFERROR(VLOOKUP(X30,'נתוני מים 2014'!$C$2:$L$160,5,0)/1000,0)-IFERROR(VLOOKUP(X30,'נתוני מים 2014'!$C$2:$L$160,9,0)/1000,0)</f>
        <v>0</v>
      </c>
      <c r="Y704" s="5">
        <f>+IFERROR(VLOOKUP(Y30,'נתוני מים 2014'!$C$2:$L$160,5,0)/1000,0)-IFERROR(VLOOKUP(Y30,'נתוני מים 2014'!$C$2:$L$160,9,0)/1000,0)</f>
        <v>0</v>
      </c>
      <c r="Z704" s="5">
        <f>+IFERROR(VLOOKUP(Z30,'נתוני מים 2014'!$C$2:$L$160,5,0)/1000,0)-IFERROR(VLOOKUP(Z30,'נתוני מים 2014'!$C$2:$L$160,9,0)/1000,0)</f>
        <v>0</v>
      </c>
      <c r="AA704" s="5">
        <f>+IFERROR(VLOOKUP(AA30,'נתוני מים 2014'!$C$2:$L$160,5,0)/1000,0)-IFERROR(VLOOKUP(AA30,'נתוני מים 2014'!$C$2:$L$160,9,0)/1000,0)</f>
        <v>0</v>
      </c>
      <c r="AB704" s="5">
        <f>+IFERROR(VLOOKUP(AB30,'נתוני מים 2014'!$C$2:$L$160,5,0)/1000,0)-IFERROR(VLOOKUP(AB30,'נתוני מים 2014'!$C$2:$L$160,9,0)/1000,0)</f>
        <v>0</v>
      </c>
      <c r="AC704" s="5">
        <f>+IFERROR(VLOOKUP(AC30,'נתוני מים 2014'!$C$2:$L$160,5,0)/1000,0)-IFERROR(VLOOKUP(AC30,'נתוני מים 2014'!$C$2:$L$160,9,0)/1000,0)</f>
        <v>0</v>
      </c>
      <c r="AD704" s="5">
        <f>+IFERROR(VLOOKUP(AD30,'נתוני מים 2014'!$C$2:$L$160,5,0)/1000,0)-IFERROR(VLOOKUP(AD30,'נתוני מים 2014'!$C$2:$L$160,9,0)/1000,0)</f>
        <v>0</v>
      </c>
      <c r="AE704" s="5">
        <f>+IFERROR(VLOOKUP(AE30,'נתוני מים 2014'!$C$2:$L$160,5,0)/1000,0)-IFERROR(VLOOKUP(AE30,'נתוני מים 2014'!$C$2:$L$160,9,0)/1000,0)</f>
        <v>0</v>
      </c>
      <c r="AF704" s="5">
        <f>+IFERROR(VLOOKUP(AF30,'נתוני מים 2014'!$C$2:$L$160,5,0)/1000,0)-IFERROR(VLOOKUP(AF30,'נתוני מים 2014'!$C$2:$L$160,9,0)/1000,0)</f>
        <v>0</v>
      </c>
      <c r="AG704" s="5">
        <f>+IFERROR(VLOOKUP(AG30,'נתוני מים 2014'!$C$2:$L$160,5,0)/1000,0)-IFERROR(VLOOKUP(AG30,'נתוני מים 2014'!$C$2:$L$160,9,0)/1000,0)</f>
        <v>0</v>
      </c>
      <c r="AH704" s="5">
        <f>+IFERROR(VLOOKUP(AH30,'נתוני מים 2014'!$C$2:$L$160,5,0)/1000,0)-IFERROR(VLOOKUP(AH30,'נתוני מים 2014'!$C$2:$L$160,9,0)/1000,0)</f>
        <v>0</v>
      </c>
      <c r="AI704" s="5">
        <f>+IFERROR(VLOOKUP(AI30,'נתוני מים 2014'!$C$2:$L$160,5,0)/1000,0)-IFERROR(VLOOKUP(AI30,'נתוני מים 2014'!$C$2:$L$160,9,0)/1000,0)</f>
        <v>0</v>
      </c>
      <c r="AJ704" s="5">
        <f>+IFERROR(VLOOKUP(AJ30,'נתוני מים 2014'!$C$2:$L$160,5,0)/1000,0)-IFERROR(VLOOKUP(AJ30,'נתוני מים 2014'!$C$2:$L$160,9,0)/1000,0)</f>
        <v>0</v>
      </c>
      <c r="AK704" s="5">
        <f>+IFERROR(VLOOKUP(AK30,'נתוני מים 2014'!$C$2:$L$160,5,0)/1000,0)-IFERROR(VLOOKUP(AK30,'נתוני מים 2014'!$C$2:$L$160,9,0)/1000,0)</f>
        <v>0</v>
      </c>
      <c r="AL704" s="5">
        <f>+IFERROR(VLOOKUP(AL30,'נתוני מים 2014'!$C$2:$L$160,5,0)/1000,0)-IFERROR(VLOOKUP(AL30,'נתוני מים 2014'!$C$2:$L$160,9,0)/1000,0)</f>
        <v>0</v>
      </c>
      <c r="AM704" s="5">
        <f>+IFERROR(VLOOKUP(AM30,'נתוני מים 2014'!$C$2:$L$160,5,0)/1000,0)-IFERROR(VLOOKUP(AM30,'נתוני מים 2014'!$C$2:$L$160,9,0)/1000,0)</f>
        <v>0</v>
      </c>
      <c r="AN704" s="5">
        <f>+IFERROR(VLOOKUP(AN30,'נתוני מים 2014'!$C$2:$L$160,5,0)/1000,0)-IFERROR(VLOOKUP(AN30,'נתוני מים 2014'!$C$2:$L$160,9,0)/1000,0)</f>
        <v>0</v>
      </c>
      <c r="AO704" s="5">
        <f>+IFERROR(VLOOKUP(AO30,'נתוני מים 2014'!$C$2:$L$160,5,0)/1000,0)-IFERROR(VLOOKUP(AO30,'נתוני מים 2014'!$C$2:$L$160,9,0)/1000,0)</f>
        <v>0</v>
      </c>
      <c r="AP704" s="5">
        <f>+IFERROR(VLOOKUP(AP30,'נתוני מים 2014'!$C$2:$L$160,5,0)/1000,0)-IFERROR(VLOOKUP(AP30,'נתוני מים 2014'!$C$2:$L$160,9,0)/1000,0)</f>
        <v>0</v>
      </c>
      <c r="AQ704" s="5">
        <f>+IFERROR(VLOOKUP(AQ30,'נתוני מים 2014'!$C$2:$L$160,5,0)/1000,0)-IFERROR(VLOOKUP(AQ30,'נתוני מים 2014'!$C$2:$L$160,9,0)/1000,0)</f>
        <v>0</v>
      </c>
      <c r="AR704" s="5">
        <f>+IFERROR(VLOOKUP(AR30,'נתוני מים 2014'!$C$2:$L$160,5,0)/1000,0)-IFERROR(VLOOKUP(AR30,'נתוני מים 2014'!$C$2:$L$160,9,0)/1000,0)</f>
        <v>0</v>
      </c>
      <c r="AS704" s="5">
        <f>+IFERROR(VLOOKUP(AS30,'נתוני מים 2014'!$C$2:$L$160,5,0)/1000,0)-IFERROR(VLOOKUP(AS30,'נתוני מים 2014'!$C$2:$L$160,9,0)/1000,0)</f>
        <v>0</v>
      </c>
      <c r="AT704" s="5">
        <f>+IFERROR(VLOOKUP(AT30,'נתוני מים 2014'!$C$2:$L$160,5,0)/1000,0)-IFERROR(VLOOKUP(AT30,'נתוני מים 2014'!$C$2:$L$160,9,0)/1000,0)</f>
        <v>0</v>
      </c>
      <c r="AU704" s="5">
        <f>+IFERROR(VLOOKUP(AU30,'נתוני מים 2014'!$C$2:$L$160,5,0)/1000,0)-IFERROR(VLOOKUP(AU30,'נתוני מים 2014'!$C$2:$L$160,9,0)/1000,0)</f>
        <v>0</v>
      </c>
      <c r="AV704" s="5">
        <f>+IFERROR(VLOOKUP(AV30,'נתוני מים 2014'!$C$2:$L$160,5,0)/1000,0)-IFERROR(VLOOKUP(AV30,'נתוני מים 2014'!$C$2:$L$160,9,0)/1000,0)</f>
        <v>0</v>
      </c>
      <c r="AW704" s="5">
        <f>+IFERROR(VLOOKUP(AW30,'נתוני מים 2014'!$C$2:$L$160,5,0)/1000,0)-IFERROR(VLOOKUP(AW30,'נתוני מים 2014'!$C$2:$L$160,9,0)/1000,0)</f>
        <v>0</v>
      </c>
      <c r="AX704" s="5">
        <f>+IFERROR(VLOOKUP(AX30,'נתוני מים 2014'!$C$2:$L$160,5,0)/1000,0)-IFERROR(VLOOKUP(AX30,'נתוני מים 2014'!$C$2:$L$160,9,0)/1000,0)</f>
        <v>0</v>
      </c>
      <c r="AY704" s="5">
        <f>+IFERROR(VLOOKUP(AY30,'נתוני מים 2014'!$C$2:$L$160,5,0)/1000,0)-IFERROR(VLOOKUP(AY30,'נתוני מים 2014'!$C$2:$L$160,9,0)/1000,0)</f>
        <v>0</v>
      </c>
      <c r="AZ704" s="5">
        <f>+IFERROR(VLOOKUP(AZ30,'נתוני מים 2014'!$C$2:$L$160,5,0)/1000,0)-IFERROR(VLOOKUP(AZ30,'נתוני מים 2014'!$C$2:$L$160,9,0)/1000,0)</f>
        <v>0</v>
      </c>
      <c r="BA704" s="5">
        <f>+IFERROR(VLOOKUP(BA30,'נתוני מים 2014'!$C$2:$L$160,5,0)/1000,0)-IFERROR(VLOOKUP(BA30,'נתוני מים 2014'!$C$2:$L$160,9,0)/1000,0)</f>
        <v>0</v>
      </c>
      <c r="BB704" s="5">
        <f>+IFERROR(VLOOKUP(BB30,'נתוני מים 2014'!$C$2:$L$160,5,0)/1000,0)-IFERROR(VLOOKUP(BB30,'נתוני מים 2014'!$C$2:$L$160,9,0)/1000,0)</f>
        <v>0</v>
      </c>
      <c r="BC704" s="5">
        <f>+IFERROR(VLOOKUP(BC30,'נתוני מים 2014'!$C$2:$L$160,5,0)/1000,0)-IFERROR(VLOOKUP(BC30,'נתוני מים 2014'!$C$2:$L$160,9,0)/1000,0)</f>
        <v>0</v>
      </c>
      <c r="BD704" s="5">
        <f>+IFERROR(VLOOKUP(BD30,'נתוני מים 2014'!$C$2:$L$160,5,0)/1000,0)-IFERROR(VLOOKUP(BD30,'נתוני מים 2014'!$C$2:$L$160,9,0)/1000,0)</f>
        <v>0</v>
      </c>
      <c r="BE704" s="5">
        <f>+IFERROR(VLOOKUP(BE30,'נתוני מים 2014'!$C$2:$L$160,5,0)/1000,0)-IFERROR(VLOOKUP(BE30,'נתוני מים 2014'!$C$2:$L$160,9,0)/1000,0)</f>
        <v>0</v>
      </c>
      <c r="BF704" s="5">
        <f>+IFERROR(VLOOKUP(BF30,'נתוני מים 2014'!$C$2:$L$188,5,0)/1000,0)-IFERROR(VLOOKUP(BF30,'נתוני מים 2014'!$C$2:$L$188,9,0)/1000,0)</f>
        <v>0</v>
      </c>
    </row>
    <row r="705" spans="1:59" x14ac:dyDescent="0.2">
      <c r="B705" s="1">
        <v>24</v>
      </c>
      <c r="C705" s="5">
        <f>+IFERROR(VLOOKUP(C31,'נתוני מים 2014'!$C$2:$L$160,5,0)/1000,0)-IFERROR(VLOOKUP(C31,'נתוני מים 2014'!$C$2:$L$160,9,0)/1000,0)</f>
        <v>0</v>
      </c>
      <c r="D705" s="5">
        <f>+IFERROR(VLOOKUP(D31,'נתוני מים 2014'!$C$2:$L$188,5,0)/1000,0)-IFERROR(VLOOKUP(D31,'נתוני מים 2014'!$C$2:$L$188,9,0)/1000,0)</f>
        <v>0</v>
      </c>
      <c r="E705" s="5">
        <f>+IFERROR(VLOOKUP(E31,'נתוני מים 2014'!$C$2:$L$160,5,0)/1000,0)-IFERROR(VLOOKUP(E31,'נתוני מים 2014'!$C$2:$L$160,9,0)/1000,0)</f>
        <v>0</v>
      </c>
      <c r="F705" s="5">
        <f>+IFERROR(VLOOKUP(F31,'נתוני מים 2014'!$C$2:$L$160,5,0)/1000,0)-IFERROR(VLOOKUP(F31,'נתוני מים 2014'!$C$2:$L$160,9,0)/1000,0)</f>
        <v>0</v>
      </c>
      <c r="G705" s="5">
        <f>+IFERROR(VLOOKUP(G31,'נתוני מים 2014'!$C$2:$L$160,5,0)/1000,0)-IFERROR(VLOOKUP(G31,'נתוני מים 2014'!$C$2:$L$160,9,0)/1000,0)</f>
        <v>0</v>
      </c>
      <c r="H705" s="5">
        <f>+IFERROR(VLOOKUP(H31,'נתוני מים 2014'!$C$2:$L$160,5,0)/1000,0)-IFERROR(VLOOKUP(H31,'נתוני מים 2014'!$C$2:$L$160,9,0)/1000,0)</f>
        <v>0</v>
      </c>
      <c r="I705" s="5">
        <f>+IFERROR(VLOOKUP(I31,'נתוני מים 2014'!$C$2:$L$160,5,0)/1000,0)-IFERROR(VLOOKUP(I31,'נתוני מים 2014'!$C$2:$L$160,9,0)/1000,0)</f>
        <v>0</v>
      </c>
      <c r="J705" s="5">
        <f>+IFERROR(VLOOKUP(J31,'נתוני מים 2014'!$C$2:$L$160,5,0)/1000,0)-IFERROR(VLOOKUP(J31,'נתוני מים 2014'!$C$2:$L$160,9,0)/1000,0)</f>
        <v>0</v>
      </c>
      <c r="K705" s="5">
        <f>+IFERROR(VLOOKUP(K31,'נתוני מים 2014'!$C$2:$L$160,5,0)/1000,0)-IFERROR(VLOOKUP(K31,'נתוני מים 2014'!$C$2:$L$160,9,0)/1000,0)</f>
        <v>0</v>
      </c>
      <c r="L705" s="5">
        <f>+IFERROR(VLOOKUP(L31,'נתוני מים 2014'!$C$2:$L$160,5,0)/1000,0)-IFERROR(VLOOKUP(L31,'נתוני מים 2014'!$C$2:$L$160,9,0)/1000,0)</f>
        <v>0</v>
      </c>
      <c r="M705" s="5">
        <f>+IFERROR(VLOOKUP(M31,'נתוני מים 2014'!$C$2:$L$160,5,0)/1000,0)-IFERROR(VLOOKUP(M31,'נתוני מים 2014'!$C$2:$L$160,9,0)/1000,0)</f>
        <v>0</v>
      </c>
      <c r="N705" s="5">
        <f>+IFERROR(VLOOKUP(N31,'נתוני מים 2014'!$C$2:$L$160,5,0)/1000,0)-IFERROR(VLOOKUP(N31,'נתוני מים 2014'!$C$2:$L$160,9,0)/1000,0)</f>
        <v>0</v>
      </c>
      <c r="O705" s="5">
        <f>+IFERROR(VLOOKUP(O31,'נתוני מים 2014'!$C$2:$L$160,5,0)/1000,0)-IFERROR(VLOOKUP(O31,'נתוני מים 2014'!$C$2:$L$160,9,0)/1000,0)</f>
        <v>0</v>
      </c>
      <c r="P705" s="5">
        <f>+IFERROR(VLOOKUP(P31,'נתוני מים 2014'!$C$2:$L$160,5,0)/1000,0)-IFERROR(VLOOKUP(P31,'נתוני מים 2014'!$C$2:$L$160,9,0)/1000,0)</f>
        <v>0</v>
      </c>
      <c r="Q705" s="5">
        <f>+IFERROR(VLOOKUP(Q31,'נתוני מים 2014'!$C$2:$L$160,5,0)/1000,0)-IFERROR(VLOOKUP(Q31,'נתוני מים 2014'!$C$2:$L$160,9,0)/1000,0)</f>
        <v>0</v>
      </c>
      <c r="R705" s="5">
        <f>+IFERROR(VLOOKUP(R31,'נתוני מים 2014'!$C$2:$L$160,5,0)/1000,0)-IFERROR(VLOOKUP(R31,'נתוני מים 2014'!$C$2:$L$160,9,0)/1000,0)</f>
        <v>0</v>
      </c>
      <c r="S705" s="5">
        <f>+IFERROR(VLOOKUP(S31,'נתוני מים 2014'!$C$2:$L$160,5,0)/1000,0)-IFERROR(VLOOKUP(S31,'נתוני מים 2014'!$C$2:$L$160,9,0)/1000,0)</f>
        <v>0</v>
      </c>
      <c r="T705" s="5">
        <f>+IFERROR(VLOOKUP(T31,'נתוני מים 2014'!$C$2:$L$160,5,0)/1000,0)-IFERROR(VLOOKUP(T31,'נתוני מים 2014'!$C$2:$L$160,9,0)/1000,0)</f>
        <v>0</v>
      </c>
      <c r="U705" s="5">
        <f>+IFERROR(VLOOKUP(U31,'נתוני מים 2014'!$C$2:$L$160,5,0)/1000,0)-IFERROR(VLOOKUP(U31,'נתוני מים 2014'!$C$2:$L$160,9,0)/1000,0)</f>
        <v>0</v>
      </c>
      <c r="V705" s="5">
        <f>+IFERROR(VLOOKUP(V31,'נתוני מים 2014'!$C$2:$L$160,5,0)/1000,0)-IFERROR(VLOOKUP(V31,'נתוני מים 2014'!$C$2:$L$160,9,0)/1000,0)</f>
        <v>0</v>
      </c>
      <c r="W705" s="5">
        <f>+IFERROR(VLOOKUP(W31,'נתוני מים 2014'!$C$2:$L$160,5,0)/1000,0)-IFERROR(VLOOKUP(W31,'נתוני מים 2014'!$C$2:$L$160,9,0)/1000,0)</f>
        <v>0</v>
      </c>
      <c r="X705" s="5">
        <f>+IFERROR(VLOOKUP(X31,'נתוני מים 2014'!$C$2:$L$160,5,0)/1000,0)-IFERROR(VLOOKUP(X31,'נתוני מים 2014'!$C$2:$L$160,9,0)/1000,0)</f>
        <v>0</v>
      </c>
      <c r="Y705" s="5">
        <f>+IFERROR(VLOOKUP(Y31,'נתוני מים 2014'!$C$2:$L$160,5,0)/1000,0)-IFERROR(VLOOKUP(Y31,'נתוני מים 2014'!$C$2:$L$160,9,0)/1000,0)</f>
        <v>0</v>
      </c>
      <c r="Z705" s="5">
        <f>+IFERROR(VLOOKUP(Z31,'נתוני מים 2014'!$C$2:$L$160,5,0)/1000,0)-IFERROR(VLOOKUP(Z31,'נתוני מים 2014'!$C$2:$L$160,9,0)/1000,0)</f>
        <v>0</v>
      </c>
      <c r="AA705" s="5">
        <f>+IFERROR(VLOOKUP(AA31,'נתוני מים 2014'!$C$2:$L$160,5,0)/1000,0)-IFERROR(VLOOKUP(AA31,'נתוני מים 2014'!$C$2:$L$160,9,0)/1000,0)</f>
        <v>0</v>
      </c>
      <c r="AB705" s="5">
        <f>+IFERROR(VLOOKUP(AB31,'נתוני מים 2014'!$C$2:$L$160,5,0)/1000,0)-IFERROR(VLOOKUP(AB31,'נתוני מים 2014'!$C$2:$L$160,9,0)/1000,0)</f>
        <v>0</v>
      </c>
      <c r="AC705" s="5">
        <f>+IFERROR(VLOOKUP(AC31,'נתוני מים 2014'!$C$2:$L$160,5,0)/1000,0)-IFERROR(VLOOKUP(AC31,'נתוני מים 2014'!$C$2:$L$160,9,0)/1000,0)</f>
        <v>0</v>
      </c>
      <c r="AD705" s="5">
        <f>+IFERROR(VLOOKUP(AD31,'נתוני מים 2014'!$C$2:$L$160,5,0)/1000,0)-IFERROR(VLOOKUP(AD31,'נתוני מים 2014'!$C$2:$L$160,9,0)/1000,0)</f>
        <v>0</v>
      </c>
      <c r="AE705" s="5">
        <f>+IFERROR(VLOOKUP(AE31,'נתוני מים 2014'!$C$2:$L$160,5,0)/1000,0)-IFERROR(VLOOKUP(AE31,'נתוני מים 2014'!$C$2:$L$160,9,0)/1000,0)</f>
        <v>0</v>
      </c>
      <c r="AF705" s="5">
        <f>+IFERROR(VLOOKUP(AF31,'נתוני מים 2014'!$C$2:$L$160,5,0)/1000,0)-IFERROR(VLOOKUP(AF31,'נתוני מים 2014'!$C$2:$L$160,9,0)/1000,0)</f>
        <v>0</v>
      </c>
      <c r="AG705" s="5">
        <f>+IFERROR(VLOOKUP(AG31,'נתוני מים 2014'!$C$2:$L$160,5,0)/1000,0)-IFERROR(VLOOKUP(AG31,'נתוני מים 2014'!$C$2:$L$160,9,0)/1000,0)</f>
        <v>0</v>
      </c>
      <c r="AH705" s="5">
        <f>+IFERROR(VLOOKUP(AH31,'נתוני מים 2014'!$C$2:$L$160,5,0)/1000,0)-IFERROR(VLOOKUP(AH31,'נתוני מים 2014'!$C$2:$L$160,9,0)/1000,0)</f>
        <v>0</v>
      </c>
      <c r="AI705" s="5">
        <f>+IFERROR(VLOOKUP(AI31,'נתוני מים 2014'!$C$2:$L$160,5,0)/1000,0)-IFERROR(VLOOKUP(AI31,'נתוני מים 2014'!$C$2:$L$160,9,0)/1000,0)</f>
        <v>0</v>
      </c>
      <c r="AJ705" s="5">
        <f>+IFERROR(VLOOKUP(AJ31,'נתוני מים 2014'!$C$2:$L$160,5,0)/1000,0)-IFERROR(VLOOKUP(AJ31,'נתוני מים 2014'!$C$2:$L$160,9,0)/1000,0)</f>
        <v>0</v>
      </c>
      <c r="AK705" s="5">
        <f>+IFERROR(VLOOKUP(AK31,'נתוני מים 2014'!$C$2:$L$160,5,0)/1000,0)-IFERROR(VLOOKUP(AK31,'נתוני מים 2014'!$C$2:$L$160,9,0)/1000,0)</f>
        <v>0</v>
      </c>
      <c r="AL705" s="5">
        <f>+IFERROR(VLOOKUP(AL31,'נתוני מים 2014'!$C$2:$L$160,5,0)/1000,0)-IFERROR(VLOOKUP(AL31,'נתוני מים 2014'!$C$2:$L$160,9,0)/1000,0)</f>
        <v>0</v>
      </c>
      <c r="AM705" s="5">
        <f>+IFERROR(VLOOKUP(AM31,'נתוני מים 2014'!$C$2:$L$160,5,0)/1000,0)-IFERROR(VLOOKUP(AM31,'נתוני מים 2014'!$C$2:$L$160,9,0)/1000,0)</f>
        <v>0</v>
      </c>
      <c r="AN705" s="5">
        <f>+IFERROR(VLOOKUP(AN31,'נתוני מים 2014'!$C$2:$L$160,5,0)/1000,0)-IFERROR(VLOOKUP(AN31,'נתוני מים 2014'!$C$2:$L$160,9,0)/1000,0)</f>
        <v>0</v>
      </c>
      <c r="AO705" s="5">
        <f>+IFERROR(VLOOKUP(AO31,'נתוני מים 2014'!$C$2:$L$160,5,0)/1000,0)-IFERROR(VLOOKUP(AO31,'נתוני מים 2014'!$C$2:$L$160,9,0)/1000,0)</f>
        <v>0</v>
      </c>
      <c r="AP705" s="5">
        <f>+IFERROR(VLOOKUP(AP31,'נתוני מים 2014'!$C$2:$L$160,5,0)/1000,0)-IFERROR(VLOOKUP(AP31,'נתוני מים 2014'!$C$2:$L$160,9,0)/1000,0)</f>
        <v>0</v>
      </c>
      <c r="AQ705" s="5">
        <f>+IFERROR(VLOOKUP(AQ31,'נתוני מים 2014'!$C$2:$L$160,5,0)/1000,0)-IFERROR(VLOOKUP(AQ31,'נתוני מים 2014'!$C$2:$L$160,9,0)/1000,0)</f>
        <v>0</v>
      </c>
      <c r="AR705" s="5">
        <f>+IFERROR(VLOOKUP(AR31,'נתוני מים 2014'!$C$2:$L$160,5,0)/1000,0)-IFERROR(VLOOKUP(AR31,'נתוני מים 2014'!$C$2:$L$160,9,0)/1000,0)</f>
        <v>0</v>
      </c>
      <c r="AS705" s="5">
        <f>+IFERROR(VLOOKUP(AS31,'נתוני מים 2014'!$C$2:$L$160,5,0)/1000,0)-IFERROR(VLOOKUP(AS31,'נתוני מים 2014'!$C$2:$L$160,9,0)/1000,0)</f>
        <v>0</v>
      </c>
      <c r="AT705" s="5">
        <f>+IFERROR(VLOOKUP(AT31,'נתוני מים 2014'!$C$2:$L$160,5,0)/1000,0)-IFERROR(VLOOKUP(AT31,'נתוני מים 2014'!$C$2:$L$160,9,0)/1000,0)</f>
        <v>0</v>
      </c>
      <c r="AU705" s="5">
        <f>+IFERROR(VLOOKUP(AU31,'נתוני מים 2014'!$C$2:$L$160,5,0)/1000,0)-IFERROR(VLOOKUP(AU31,'נתוני מים 2014'!$C$2:$L$160,9,0)/1000,0)</f>
        <v>0</v>
      </c>
      <c r="AV705" s="5">
        <f>+IFERROR(VLOOKUP(AV31,'נתוני מים 2014'!$C$2:$L$160,5,0)/1000,0)-IFERROR(VLOOKUP(AV31,'נתוני מים 2014'!$C$2:$L$160,9,0)/1000,0)</f>
        <v>0</v>
      </c>
      <c r="AW705" s="5">
        <f>+IFERROR(VLOOKUP(AW31,'נתוני מים 2014'!$C$2:$L$160,5,0)/1000,0)-IFERROR(VLOOKUP(AW31,'נתוני מים 2014'!$C$2:$L$160,9,0)/1000,0)</f>
        <v>0</v>
      </c>
      <c r="AX705" s="5">
        <f>+IFERROR(VLOOKUP(AX31,'נתוני מים 2014'!$C$2:$L$160,5,0)/1000,0)-IFERROR(VLOOKUP(AX31,'נתוני מים 2014'!$C$2:$L$160,9,0)/1000,0)</f>
        <v>0</v>
      </c>
      <c r="AY705" s="5">
        <f>+IFERROR(VLOOKUP(AY31,'נתוני מים 2014'!$C$2:$L$160,5,0)/1000,0)-IFERROR(VLOOKUP(AY31,'נתוני מים 2014'!$C$2:$L$160,9,0)/1000,0)</f>
        <v>0</v>
      </c>
      <c r="AZ705" s="5">
        <f>+IFERROR(VLOOKUP(AZ31,'נתוני מים 2014'!$C$2:$L$160,5,0)/1000,0)-IFERROR(VLOOKUP(AZ31,'נתוני מים 2014'!$C$2:$L$160,9,0)/1000,0)</f>
        <v>0</v>
      </c>
      <c r="BA705" s="5">
        <f>+IFERROR(VLOOKUP(BA31,'נתוני מים 2014'!$C$2:$L$160,5,0)/1000,0)-IFERROR(VLOOKUP(BA31,'נתוני מים 2014'!$C$2:$L$160,9,0)/1000,0)</f>
        <v>0</v>
      </c>
      <c r="BB705" s="5">
        <f>+IFERROR(VLOOKUP(BB31,'נתוני מים 2014'!$C$2:$L$160,5,0)/1000,0)-IFERROR(VLOOKUP(BB31,'נתוני מים 2014'!$C$2:$L$160,9,0)/1000,0)</f>
        <v>0</v>
      </c>
      <c r="BC705" s="5">
        <f>+IFERROR(VLOOKUP(BC31,'נתוני מים 2014'!$C$2:$L$160,5,0)/1000,0)-IFERROR(VLOOKUP(BC31,'נתוני מים 2014'!$C$2:$L$160,9,0)/1000,0)</f>
        <v>0</v>
      </c>
      <c r="BD705" s="5">
        <f>+IFERROR(VLOOKUP(BD31,'נתוני מים 2014'!$C$2:$L$160,5,0)/1000,0)-IFERROR(VLOOKUP(BD31,'נתוני מים 2014'!$C$2:$L$160,9,0)/1000,0)</f>
        <v>0</v>
      </c>
      <c r="BE705" s="5">
        <f>+IFERROR(VLOOKUP(BE31,'נתוני מים 2014'!$C$2:$L$160,5,0)/1000,0)-IFERROR(VLOOKUP(BE31,'נתוני מים 2014'!$C$2:$L$160,9,0)/1000,0)</f>
        <v>0</v>
      </c>
      <c r="BF705" s="5">
        <f>+IFERROR(VLOOKUP(BF31,'נתוני מים 2014'!$C$2:$L$188,5,0)/1000,0)-IFERROR(VLOOKUP(BF31,'נתוני מים 2014'!$C$2:$L$188,9,0)/1000,0)</f>
        <v>0</v>
      </c>
    </row>
    <row r="706" spans="1:59" x14ac:dyDescent="0.2">
      <c r="B706" s="1">
        <v>25</v>
      </c>
      <c r="C706" s="5">
        <f>+IFERROR(VLOOKUP(C32,'נתוני מים 2014'!$C$2:$L$160,5,0)/1000,0)-IFERROR(VLOOKUP(C32,'נתוני מים 2014'!$C$2:$L$160,9,0)/1000,0)</f>
        <v>0</v>
      </c>
      <c r="D706" s="5">
        <f>+IFERROR(VLOOKUP(D32,'נתוני מים 2014'!$C$2:$L$188,5,0)/1000,0)-IFERROR(VLOOKUP(D32,'נתוני מים 2014'!$C$2:$L$188,9,0)/1000,0)</f>
        <v>0</v>
      </c>
      <c r="E706" s="5">
        <f>+IFERROR(VLOOKUP(E32,'נתוני מים 2014'!$C$2:$L$160,5,0)/1000,0)-IFERROR(VLOOKUP(E32,'נתוני מים 2014'!$C$2:$L$160,9,0)/1000,0)</f>
        <v>0</v>
      </c>
      <c r="F706" s="5">
        <f>+IFERROR(VLOOKUP(F32,'נתוני מים 2014'!$C$2:$L$160,5,0)/1000,0)-IFERROR(VLOOKUP(F32,'נתוני מים 2014'!$C$2:$L$160,9,0)/1000,0)</f>
        <v>0</v>
      </c>
      <c r="G706" s="5">
        <f>+IFERROR(VLOOKUP(G32,'נתוני מים 2014'!$C$2:$L$160,5,0)/1000,0)-IFERROR(VLOOKUP(G32,'נתוני מים 2014'!$C$2:$L$160,9,0)/1000,0)</f>
        <v>0</v>
      </c>
      <c r="H706" s="5">
        <f>+IFERROR(VLOOKUP(H32,'נתוני מים 2014'!$C$2:$L$160,5,0)/1000,0)-IFERROR(VLOOKUP(H32,'נתוני מים 2014'!$C$2:$L$160,9,0)/1000,0)</f>
        <v>0</v>
      </c>
      <c r="I706" s="5">
        <f>+IFERROR(VLOOKUP(I32,'נתוני מים 2014'!$C$2:$L$160,5,0)/1000,0)-IFERROR(VLOOKUP(I32,'נתוני מים 2014'!$C$2:$L$160,9,0)/1000,0)</f>
        <v>0</v>
      </c>
      <c r="J706" s="5">
        <f>+IFERROR(VLOOKUP(J32,'נתוני מים 2014'!$C$2:$L$160,5,0)/1000,0)-IFERROR(VLOOKUP(J32,'נתוני מים 2014'!$C$2:$L$160,9,0)/1000,0)</f>
        <v>0</v>
      </c>
      <c r="K706" s="5">
        <f>+IFERROR(VLOOKUP(K32,'נתוני מים 2014'!$C$2:$L$160,5,0)/1000,0)-IFERROR(VLOOKUP(K32,'נתוני מים 2014'!$C$2:$L$160,9,0)/1000,0)</f>
        <v>0</v>
      </c>
      <c r="L706" s="5">
        <f>+IFERROR(VLOOKUP(L32,'נתוני מים 2014'!$C$2:$L$160,5,0)/1000,0)-IFERROR(VLOOKUP(L32,'נתוני מים 2014'!$C$2:$L$160,9,0)/1000,0)</f>
        <v>0</v>
      </c>
      <c r="M706" s="5">
        <f>+IFERROR(VLOOKUP(M32,'נתוני מים 2014'!$C$2:$L$160,5,0)/1000,0)-IFERROR(VLOOKUP(M32,'נתוני מים 2014'!$C$2:$L$160,9,0)/1000,0)</f>
        <v>0</v>
      </c>
      <c r="N706" s="5">
        <f>+IFERROR(VLOOKUP(N32,'נתוני מים 2014'!$C$2:$L$160,5,0)/1000,0)-IFERROR(VLOOKUP(N32,'נתוני מים 2014'!$C$2:$L$160,9,0)/1000,0)</f>
        <v>0</v>
      </c>
      <c r="O706" s="5">
        <f>+IFERROR(VLOOKUP(O32,'נתוני מים 2014'!$C$2:$L$160,5,0)/1000,0)-IFERROR(VLOOKUP(O32,'נתוני מים 2014'!$C$2:$L$160,9,0)/1000,0)</f>
        <v>0</v>
      </c>
      <c r="P706" s="5">
        <f>+IFERROR(VLOOKUP(P32,'נתוני מים 2014'!$C$2:$L$160,5,0)/1000,0)-IFERROR(VLOOKUP(P32,'נתוני מים 2014'!$C$2:$L$160,9,0)/1000,0)</f>
        <v>0</v>
      </c>
      <c r="Q706" s="5">
        <f>+IFERROR(VLOOKUP(Q32,'נתוני מים 2014'!$C$2:$L$160,5,0)/1000,0)-IFERROR(VLOOKUP(Q32,'נתוני מים 2014'!$C$2:$L$160,9,0)/1000,0)</f>
        <v>0</v>
      </c>
      <c r="R706" s="5">
        <f>+IFERROR(VLOOKUP(R32,'נתוני מים 2014'!$C$2:$L$160,5,0)/1000,0)-IFERROR(VLOOKUP(R32,'נתוני מים 2014'!$C$2:$L$160,9,0)/1000,0)</f>
        <v>0</v>
      </c>
      <c r="S706" s="5">
        <f>+IFERROR(VLOOKUP(S32,'נתוני מים 2014'!$C$2:$L$160,5,0)/1000,0)-IFERROR(VLOOKUP(S32,'נתוני מים 2014'!$C$2:$L$160,9,0)/1000,0)</f>
        <v>0</v>
      </c>
      <c r="T706" s="5">
        <f>+IFERROR(VLOOKUP(T32,'נתוני מים 2014'!$C$2:$L$160,5,0)/1000,0)-IFERROR(VLOOKUP(T32,'נתוני מים 2014'!$C$2:$L$160,9,0)/1000,0)</f>
        <v>0</v>
      </c>
      <c r="U706" s="5">
        <f>+IFERROR(VLOOKUP(U32,'נתוני מים 2014'!$C$2:$L$160,5,0)/1000,0)-IFERROR(VLOOKUP(U32,'נתוני מים 2014'!$C$2:$L$160,9,0)/1000,0)</f>
        <v>0</v>
      </c>
      <c r="V706" s="5">
        <f>+IFERROR(VLOOKUP(V32,'נתוני מים 2014'!$C$2:$L$160,5,0)/1000,0)-IFERROR(VLOOKUP(V32,'נתוני מים 2014'!$C$2:$L$160,9,0)/1000,0)</f>
        <v>0</v>
      </c>
      <c r="W706" s="5">
        <f>+IFERROR(VLOOKUP(W32,'נתוני מים 2014'!$C$2:$L$160,5,0)/1000,0)-IFERROR(VLOOKUP(W32,'נתוני מים 2014'!$C$2:$L$160,9,0)/1000,0)</f>
        <v>0</v>
      </c>
      <c r="X706" s="5">
        <f>+IFERROR(VLOOKUP(X32,'נתוני מים 2014'!$C$2:$L$160,5,0)/1000,0)-IFERROR(VLOOKUP(X32,'נתוני מים 2014'!$C$2:$L$160,9,0)/1000,0)</f>
        <v>0</v>
      </c>
      <c r="Y706" s="5">
        <f>+IFERROR(VLOOKUP(Y32,'נתוני מים 2014'!$C$2:$L$160,5,0)/1000,0)-IFERROR(VLOOKUP(Y32,'נתוני מים 2014'!$C$2:$L$160,9,0)/1000,0)</f>
        <v>0</v>
      </c>
      <c r="Z706" s="5">
        <f>+IFERROR(VLOOKUP(Z32,'נתוני מים 2014'!$C$2:$L$160,5,0)/1000,0)-IFERROR(VLOOKUP(Z32,'נתוני מים 2014'!$C$2:$L$160,9,0)/1000,0)</f>
        <v>0</v>
      </c>
      <c r="AA706" s="5">
        <f>+IFERROR(VLOOKUP(AA32,'נתוני מים 2014'!$C$2:$L$160,5,0)/1000,0)-IFERROR(VLOOKUP(AA32,'נתוני מים 2014'!$C$2:$L$160,9,0)/1000,0)</f>
        <v>0</v>
      </c>
      <c r="AB706" s="5">
        <f>+IFERROR(VLOOKUP(AB32,'נתוני מים 2014'!$C$2:$L$160,5,0)/1000,0)-IFERROR(VLOOKUP(AB32,'נתוני מים 2014'!$C$2:$L$160,9,0)/1000,0)</f>
        <v>0</v>
      </c>
      <c r="AC706" s="5">
        <f>+IFERROR(VLOOKUP(AC32,'נתוני מים 2014'!$C$2:$L$160,5,0)/1000,0)-IFERROR(VLOOKUP(AC32,'נתוני מים 2014'!$C$2:$L$160,9,0)/1000,0)</f>
        <v>0</v>
      </c>
      <c r="AD706" s="5">
        <f>+IFERROR(VLOOKUP(AD32,'נתוני מים 2014'!$C$2:$L$160,5,0)/1000,0)-IFERROR(VLOOKUP(AD32,'נתוני מים 2014'!$C$2:$L$160,9,0)/1000,0)</f>
        <v>0</v>
      </c>
      <c r="AE706" s="5">
        <f>+IFERROR(VLOOKUP(AE32,'נתוני מים 2014'!$C$2:$L$160,5,0)/1000,0)-IFERROR(VLOOKUP(AE32,'נתוני מים 2014'!$C$2:$L$160,9,0)/1000,0)</f>
        <v>0</v>
      </c>
      <c r="AF706" s="5">
        <f>+IFERROR(VLOOKUP(AF32,'נתוני מים 2014'!$C$2:$L$160,5,0)/1000,0)-IFERROR(VLOOKUP(AF32,'נתוני מים 2014'!$C$2:$L$160,9,0)/1000,0)</f>
        <v>0</v>
      </c>
      <c r="AG706" s="5">
        <f>+IFERROR(VLOOKUP(AG32,'נתוני מים 2014'!$C$2:$L$160,5,0)/1000,0)-IFERROR(VLOOKUP(AG32,'נתוני מים 2014'!$C$2:$L$160,9,0)/1000,0)</f>
        <v>0</v>
      </c>
      <c r="AH706" s="5">
        <f>+IFERROR(VLOOKUP(AH32,'נתוני מים 2014'!$C$2:$L$160,5,0)/1000,0)-IFERROR(VLOOKUP(AH32,'נתוני מים 2014'!$C$2:$L$160,9,0)/1000,0)</f>
        <v>0</v>
      </c>
      <c r="AI706" s="5">
        <f>+IFERROR(VLOOKUP(AI32,'נתוני מים 2014'!$C$2:$L$160,5,0)/1000,0)-IFERROR(VLOOKUP(AI32,'נתוני מים 2014'!$C$2:$L$160,9,0)/1000,0)</f>
        <v>0</v>
      </c>
      <c r="AJ706" s="5">
        <f>+IFERROR(VLOOKUP(AJ32,'נתוני מים 2014'!$C$2:$L$160,5,0)/1000,0)-IFERROR(VLOOKUP(AJ32,'נתוני מים 2014'!$C$2:$L$160,9,0)/1000,0)</f>
        <v>0</v>
      </c>
      <c r="AK706" s="5">
        <f>+IFERROR(VLOOKUP(AK32,'נתוני מים 2014'!$C$2:$L$160,5,0)/1000,0)-IFERROR(VLOOKUP(AK32,'נתוני מים 2014'!$C$2:$L$160,9,0)/1000,0)</f>
        <v>0</v>
      </c>
      <c r="AL706" s="5">
        <f>+IFERROR(VLOOKUP(AL32,'נתוני מים 2014'!$C$2:$L$160,5,0)/1000,0)-IFERROR(VLOOKUP(AL32,'נתוני מים 2014'!$C$2:$L$160,9,0)/1000,0)</f>
        <v>0</v>
      </c>
      <c r="AM706" s="5">
        <f>+IFERROR(VLOOKUP(AM32,'נתוני מים 2014'!$C$2:$L$160,5,0)/1000,0)-IFERROR(VLOOKUP(AM32,'נתוני מים 2014'!$C$2:$L$160,9,0)/1000,0)</f>
        <v>0</v>
      </c>
      <c r="AN706" s="5">
        <f>+IFERROR(VLOOKUP(AN32,'נתוני מים 2014'!$C$2:$L$160,5,0)/1000,0)-IFERROR(VLOOKUP(AN32,'נתוני מים 2014'!$C$2:$L$160,9,0)/1000,0)</f>
        <v>0</v>
      </c>
      <c r="AO706" s="5">
        <f>+IFERROR(VLOOKUP(AO32,'נתוני מים 2014'!$C$2:$L$160,5,0)/1000,0)-IFERROR(VLOOKUP(AO32,'נתוני מים 2014'!$C$2:$L$160,9,0)/1000,0)</f>
        <v>0</v>
      </c>
      <c r="AP706" s="5">
        <f>+IFERROR(VLOOKUP(AP32,'נתוני מים 2014'!$C$2:$L$160,5,0)/1000,0)-IFERROR(VLOOKUP(AP32,'נתוני מים 2014'!$C$2:$L$160,9,0)/1000,0)</f>
        <v>0</v>
      </c>
      <c r="AQ706" s="5">
        <f>+IFERROR(VLOOKUP(AQ32,'נתוני מים 2014'!$C$2:$L$160,5,0)/1000,0)-IFERROR(VLOOKUP(AQ32,'נתוני מים 2014'!$C$2:$L$160,9,0)/1000,0)</f>
        <v>0</v>
      </c>
      <c r="AR706" s="5">
        <f>+IFERROR(VLOOKUP(AR32,'נתוני מים 2014'!$C$2:$L$160,5,0)/1000,0)-IFERROR(VLOOKUP(AR32,'נתוני מים 2014'!$C$2:$L$160,9,0)/1000,0)</f>
        <v>0</v>
      </c>
      <c r="AS706" s="5">
        <f>+IFERROR(VLOOKUP(AS32,'נתוני מים 2014'!$C$2:$L$160,5,0)/1000,0)-IFERROR(VLOOKUP(AS32,'נתוני מים 2014'!$C$2:$L$160,9,0)/1000,0)</f>
        <v>0</v>
      </c>
      <c r="AT706" s="5">
        <f>+IFERROR(VLOOKUP(AT32,'נתוני מים 2014'!$C$2:$L$160,5,0)/1000,0)-IFERROR(VLOOKUP(AT32,'נתוני מים 2014'!$C$2:$L$160,9,0)/1000,0)</f>
        <v>0</v>
      </c>
      <c r="AU706" s="5">
        <f>+IFERROR(VLOOKUP(AU32,'נתוני מים 2014'!$C$2:$L$160,5,0)/1000,0)-IFERROR(VLOOKUP(AU32,'נתוני מים 2014'!$C$2:$L$160,9,0)/1000,0)</f>
        <v>0</v>
      </c>
      <c r="AV706" s="5">
        <f>+IFERROR(VLOOKUP(AV32,'נתוני מים 2014'!$C$2:$L$160,5,0)/1000,0)-IFERROR(VLOOKUP(AV32,'נתוני מים 2014'!$C$2:$L$160,9,0)/1000,0)</f>
        <v>0</v>
      </c>
      <c r="AW706" s="5">
        <f>+IFERROR(VLOOKUP(AW32,'נתוני מים 2014'!$C$2:$L$160,5,0)/1000,0)-IFERROR(VLOOKUP(AW32,'נתוני מים 2014'!$C$2:$L$160,9,0)/1000,0)</f>
        <v>0</v>
      </c>
      <c r="AX706" s="5">
        <f>+IFERROR(VLOOKUP(AX32,'נתוני מים 2014'!$C$2:$L$160,5,0)/1000,0)-IFERROR(VLOOKUP(AX32,'נתוני מים 2014'!$C$2:$L$160,9,0)/1000,0)</f>
        <v>0</v>
      </c>
      <c r="AY706" s="5">
        <f>+IFERROR(VLOOKUP(AY32,'נתוני מים 2014'!$C$2:$L$160,5,0)/1000,0)-IFERROR(VLOOKUP(AY32,'נתוני מים 2014'!$C$2:$L$160,9,0)/1000,0)</f>
        <v>0</v>
      </c>
      <c r="AZ706" s="5">
        <f>+IFERROR(VLOOKUP(AZ32,'נתוני מים 2014'!$C$2:$L$160,5,0)/1000,0)-IFERROR(VLOOKUP(AZ32,'נתוני מים 2014'!$C$2:$L$160,9,0)/1000,0)</f>
        <v>0</v>
      </c>
      <c r="BA706" s="5">
        <f>+IFERROR(VLOOKUP(BA32,'נתוני מים 2014'!$C$2:$L$160,5,0)/1000,0)-IFERROR(VLOOKUP(BA32,'נתוני מים 2014'!$C$2:$L$160,9,0)/1000,0)</f>
        <v>0</v>
      </c>
      <c r="BB706" s="5">
        <f>+IFERROR(VLOOKUP(BB32,'נתוני מים 2014'!$C$2:$L$160,5,0)/1000,0)-IFERROR(VLOOKUP(BB32,'נתוני מים 2014'!$C$2:$L$160,9,0)/1000,0)</f>
        <v>0</v>
      </c>
      <c r="BC706" s="5">
        <f>+IFERROR(VLOOKUP(BC32,'נתוני מים 2014'!$C$2:$L$160,5,0)/1000,0)-IFERROR(VLOOKUP(BC32,'נתוני מים 2014'!$C$2:$L$160,9,0)/1000,0)</f>
        <v>0</v>
      </c>
      <c r="BD706" s="5">
        <f>+IFERROR(VLOOKUP(BD32,'נתוני מים 2014'!$C$2:$L$160,5,0)/1000,0)-IFERROR(VLOOKUP(BD32,'נתוני מים 2014'!$C$2:$L$160,9,0)/1000,0)</f>
        <v>0</v>
      </c>
      <c r="BE706" s="5">
        <f>+IFERROR(VLOOKUP(BE32,'נתוני מים 2014'!$C$2:$L$160,5,0)/1000,0)-IFERROR(VLOOKUP(BE32,'נתוני מים 2014'!$C$2:$L$160,9,0)/1000,0)</f>
        <v>0</v>
      </c>
      <c r="BF706" s="5">
        <f>+IFERROR(VLOOKUP(BF32,'נתוני מים 2014'!$C$2:$L$188,5,0)/1000,0)-IFERROR(VLOOKUP(BF32,'נתוני מים 2014'!$C$2:$L$188,9,0)/1000,0)</f>
        <v>0</v>
      </c>
    </row>
    <row r="707" spans="1:59" x14ac:dyDescent="0.2">
      <c r="B707" s="1">
        <v>26</v>
      </c>
      <c r="C707" s="5">
        <f>+IFERROR(VLOOKUP(C33,'נתוני מים 2014'!$C$2:$L$160,5,0)/1000,0)-IFERROR(VLOOKUP(C33,'נתוני מים 2014'!$C$2:$L$160,9,0)/1000,0)</f>
        <v>0</v>
      </c>
      <c r="D707" s="5">
        <f>+IFERROR(VLOOKUP(D33,'נתוני מים 2014'!$C$2:$L$188,5,0)/1000,0)-IFERROR(VLOOKUP(D33,'נתוני מים 2014'!$C$2:$L$188,9,0)/1000,0)</f>
        <v>0</v>
      </c>
      <c r="E707" s="5">
        <f>+IFERROR(VLOOKUP(E33,'נתוני מים 2014'!$C$2:$L$160,5,0)/1000,0)-IFERROR(VLOOKUP(E33,'נתוני מים 2014'!$C$2:$L$160,9,0)/1000,0)</f>
        <v>0</v>
      </c>
      <c r="F707" s="5">
        <f>+IFERROR(VLOOKUP(F33,'נתוני מים 2014'!$C$2:$L$160,5,0)/1000,0)-IFERROR(VLOOKUP(F33,'נתוני מים 2014'!$C$2:$L$160,9,0)/1000,0)</f>
        <v>0</v>
      </c>
      <c r="G707" s="5">
        <f>+IFERROR(VLOOKUP(G33,'נתוני מים 2014'!$C$2:$L$160,5,0)/1000,0)-IFERROR(VLOOKUP(G33,'נתוני מים 2014'!$C$2:$L$160,9,0)/1000,0)</f>
        <v>0</v>
      </c>
      <c r="H707" s="5">
        <f>+IFERROR(VLOOKUP(H33,'נתוני מים 2014'!$C$2:$L$160,5,0)/1000,0)-IFERROR(VLOOKUP(H33,'נתוני מים 2014'!$C$2:$L$160,9,0)/1000,0)</f>
        <v>0</v>
      </c>
      <c r="I707" s="5">
        <f>+IFERROR(VLOOKUP(I33,'נתוני מים 2014'!$C$2:$L$160,5,0)/1000,0)-IFERROR(VLOOKUP(I33,'נתוני מים 2014'!$C$2:$L$160,9,0)/1000,0)</f>
        <v>0</v>
      </c>
      <c r="J707" s="5">
        <f>+IFERROR(VLOOKUP(J33,'נתוני מים 2014'!$C$2:$L$160,5,0)/1000,0)-IFERROR(VLOOKUP(J33,'נתוני מים 2014'!$C$2:$L$160,9,0)/1000,0)</f>
        <v>0</v>
      </c>
      <c r="K707" s="5">
        <f>+IFERROR(VLOOKUP(K33,'נתוני מים 2014'!$C$2:$L$160,5,0)/1000,0)-IFERROR(VLOOKUP(K33,'נתוני מים 2014'!$C$2:$L$160,9,0)/1000,0)</f>
        <v>0</v>
      </c>
      <c r="L707" s="5">
        <f>+IFERROR(VLOOKUP(L33,'נתוני מים 2014'!$C$2:$L$160,5,0)/1000,0)-IFERROR(VLOOKUP(L33,'נתוני מים 2014'!$C$2:$L$160,9,0)/1000,0)</f>
        <v>0</v>
      </c>
      <c r="M707" s="5">
        <f>+IFERROR(VLOOKUP(M33,'נתוני מים 2014'!$C$2:$L$160,5,0)/1000,0)-IFERROR(VLOOKUP(M33,'נתוני מים 2014'!$C$2:$L$160,9,0)/1000,0)</f>
        <v>0</v>
      </c>
      <c r="N707" s="5">
        <f>+IFERROR(VLOOKUP(N33,'נתוני מים 2014'!$C$2:$L$160,5,0)/1000,0)-IFERROR(VLOOKUP(N33,'נתוני מים 2014'!$C$2:$L$160,9,0)/1000,0)</f>
        <v>0</v>
      </c>
      <c r="O707" s="5">
        <f>+IFERROR(VLOOKUP(O33,'נתוני מים 2014'!$C$2:$L$160,5,0)/1000,0)-IFERROR(VLOOKUP(O33,'נתוני מים 2014'!$C$2:$L$160,9,0)/1000,0)</f>
        <v>0</v>
      </c>
      <c r="P707" s="5">
        <f>+IFERROR(VLOOKUP(P33,'נתוני מים 2014'!$C$2:$L$160,5,0)/1000,0)-IFERROR(VLOOKUP(P33,'נתוני מים 2014'!$C$2:$L$160,9,0)/1000,0)</f>
        <v>0</v>
      </c>
      <c r="Q707" s="5">
        <f>+IFERROR(VLOOKUP(Q33,'נתוני מים 2014'!$C$2:$L$160,5,0)/1000,0)-IFERROR(VLOOKUP(Q33,'נתוני מים 2014'!$C$2:$L$160,9,0)/1000,0)</f>
        <v>0</v>
      </c>
      <c r="R707" s="5">
        <f>+IFERROR(VLOOKUP(R33,'נתוני מים 2014'!$C$2:$L$160,5,0)/1000,0)-IFERROR(VLOOKUP(R33,'נתוני מים 2014'!$C$2:$L$160,9,0)/1000,0)</f>
        <v>0</v>
      </c>
      <c r="S707" s="5">
        <f>+IFERROR(VLOOKUP(S33,'נתוני מים 2014'!$C$2:$L$160,5,0)/1000,0)-IFERROR(VLOOKUP(S33,'נתוני מים 2014'!$C$2:$L$160,9,0)/1000,0)</f>
        <v>0</v>
      </c>
      <c r="T707" s="5">
        <f>+IFERROR(VLOOKUP(T33,'נתוני מים 2014'!$C$2:$L$160,5,0)/1000,0)-IFERROR(VLOOKUP(T33,'נתוני מים 2014'!$C$2:$L$160,9,0)/1000,0)</f>
        <v>0</v>
      </c>
      <c r="U707" s="5">
        <f>+IFERROR(VLOOKUP(U33,'נתוני מים 2014'!$C$2:$L$160,5,0)/1000,0)-IFERROR(VLOOKUP(U33,'נתוני מים 2014'!$C$2:$L$160,9,0)/1000,0)</f>
        <v>0</v>
      </c>
      <c r="V707" s="5">
        <f>+IFERROR(VLOOKUP(V33,'נתוני מים 2014'!$C$2:$L$160,5,0)/1000,0)-IFERROR(VLOOKUP(V33,'נתוני מים 2014'!$C$2:$L$160,9,0)/1000,0)</f>
        <v>0</v>
      </c>
      <c r="W707" s="5">
        <f>+IFERROR(VLOOKUP(W33,'נתוני מים 2014'!$C$2:$L$160,5,0)/1000,0)-IFERROR(VLOOKUP(W33,'נתוני מים 2014'!$C$2:$L$160,9,0)/1000,0)</f>
        <v>0</v>
      </c>
      <c r="X707" s="5">
        <f>+IFERROR(VLOOKUP(X33,'נתוני מים 2014'!$C$2:$L$160,5,0)/1000,0)-IFERROR(VLOOKUP(X33,'נתוני מים 2014'!$C$2:$L$160,9,0)/1000,0)</f>
        <v>0</v>
      </c>
      <c r="Y707" s="5">
        <f>+IFERROR(VLOOKUP(Y33,'נתוני מים 2014'!$C$2:$L$160,5,0)/1000,0)-IFERROR(VLOOKUP(Y33,'נתוני מים 2014'!$C$2:$L$160,9,0)/1000,0)</f>
        <v>0</v>
      </c>
      <c r="Z707" s="5">
        <f>+IFERROR(VLOOKUP(Z33,'נתוני מים 2014'!$C$2:$L$160,5,0)/1000,0)-IFERROR(VLOOKUP(Z33,'נתוני מים 2014'!$C$2:$L$160,9,0)/1000,0)</f>
        <v>0</v>
      </c>
      <c r="AA707" s="5">
        <f>+IFERROR(VLOOKUP(AA33,'נתוני מים 2014'!$C$2:$L$160,5,0)/1000,0)-IFERROR(VLOOKUP(AA33,'נתוני מים 2014'!$C$2:$L$160,9,0)/1000,0)</f>
        <v>0</v>
      </c>
      <c r="AB707" s="5">
        <f>+IFERROR(VLOOKUP(AB33,'נתוני מים 2014'!$C$2:$L$160,5,0)/1000,0)-IFERROR(VLOOKUP(AB33,'נתוני מים 2014'!$C$2:$L$160,9,0)/1000,0)</f>
        <v>0</v>
      </c>
      <c r="AC707" s="5">
        <f>+IFERROR(VLOOKUP(AC33,'נתוני מים 2014'!$C$2:$L$160,5,0)/1000,0)-IFERROR(VLOOKUP(AC33,'נתוני מים 2014'!$C$2:$L$160,9,0)/1000,0)</f>
        <v>0</v>
      </c>
      <c r="AD707" s="5">
        <f>+IFERROR(VLOOKUP(AD33,'נתוני מים 2014'!$C$2:$L$160,5,0)/1000,0)-IFERROR(VLOOKUP(AD33,'נתוני מים 2014'!$C$2:$L$160,9,0)/1000,0)</f>
        <v>0</v>
      </c>
      <c r="AE707" s="5">
        <f>+IFERROR(VLOOKUP(AE33,'נתוני מים 2014'!$C$2:$L$160,5,0)/1000,0)-IFERROR(VLOOKUP(AE33,'נתוני מים 2014'!$C$2:$L$160,9,0)/1000,0)</f>
        <v>0</v>
      </c>
      <c r="AF707" s="5">
        <f>+IFERROR(VLOOKUP(AF33,'נתוני מים 2014'!$C$2:$L$160,5,0)/1000,0)-IFERROR(VLOOKUP(AF33,'נתוני מים 2014'!$C$2:$L$160,9,0)/1000,0)</f>
        <v>0</v>
      </c>
      <c r="AG707" s="5">
        <f>+IFERROR(VLOOKUP(AG33,'נתוני מים 2014'!$C$2:$L$160,5,0)/1000,0)-IFERROR(VLOOKUP(AG33,'נתוני מים 2014'!$C$2:$L$160,9,0)/1000,0)</f>
        <v>0</v>
      </c>
      <c r="AH707" s="5">
        <f>+IFERROR(VLOOKUP(AH33,'נתוני מים 2014'!$C$2:$L$160,5,0)/1000,0)-IFERROR(VLOOKUP(AH33,'נתוני מים 2014'!$C$2:$L$160,9,0)/1000,0)</f>
        <v>0</v>
      </c>
      <c r="AI707" s="5">
        <f>+IFERROR(VLOOKUP(AI33,'נתוני מים 2014'!$C$2:$L$160,5,0)/1000,0)-IFERROR(VLOOKUP(AI33,'נתוני מים 2014'!$C$2:$L$160,9,0)/1000,0)</f>
        <v>0</v>
      </c>
      <c r="AJ707" s="5">
        <f>+IFERROR(VLOOKUP(AJ33,'נתוני מים 2014'!$C$2:$L$160,5,0)/1000,0)-IFERROR(VLOOKUP(AJ33,'נתוני מים 2014'!$C$2:$L$160,9,0)/1000,0)</f>
        <v>0</v>
      </c>
      <c r="AK707" s="5">
        <f>+IFERROR(VLOOKUP(AK33,'נתוני מים 2014'!$C$2:$L$160,5,0)/1000,0)-IFERROR(VLOOKUP(AK33,'נתוני מים 2014'!$C$2:$L$160,9,0)/1000,0)</f>
        <v>0</v>
      </c>
      <c r="AL707" s="5">
        <f>+IFERROR(VLOOKUP(AL33,'נתוני מים 2014'!$C$2:$L$160,5,0)/1000,0)-IFERROR(VLOOKUP(AL33,'נתוני מים 2014'!$C$2:$L$160,9,0)/1000,0)</f>
        <v>0</v>
      </c>
      <c r="AM707" s="5">
        <f>+IFERROR(VLOOKUP(AM33,'נתוני מים 2014'!$C$2:$L$160,5,0)/1000,0)-IFERROR(VLOOKUP(AM33,'נתוני מים 2014'!$C$2:$L$160,9,0)/1000,0)</f>
        <v>0</v>
      </c>
      <c r="AN707" s="5">
        <f>+IFERROR(VLOOKUP(AN33,'נתוני מים 2014'!$C$2:$L$160,5,0)/1000,0)-IFERROR(VLOOKUP(AN33,'נתוני מים 2014'!$C$2:$L$160,9,0)/1000,0)</f>
        <v>0</v>
      </c>
      <c r="AO707" s="5">
        <f>+IFERROR(VLOOKUP(AO33,'נתוני מים 2014'!$C$2:$L$160,5,0)/1000,0)-IFERROR(VLOOKUP(AO33,'נתוני מים 2014'!$C$2:$L$160,9,0)/1000,0)</f>
        <v>0</v>
      </c>
      <c r="AP707" s="5">
        <f>+IFERROR(VLOOKUP(AP33,'נתוני מים 2014'!$C$2:$L$160,5,0)/1000,0)-IFERROR(VLOOKUP(AP33,'נתוני מים 2014'!$C$2:$L$160,9,0)/1000,0)</f>
        <v>0</v>
      </c>
      <c r="AQ707" s="5">
        <f>+IFERROR(VLOOKUP(AQ33,'נתוני מים 2014'!$C$2:$L$160,5,0)/1000,0)-IFERROR(VLOOKUP(AQ33,'נתוני מים 2014'!$C$2:$L$160,9,0)/1000,0)</f>
        <v>0</v>
      </c>
      <c r="AR707" s="5">
        <f>+IFERROR(VLOOKUP(AR33,'נתוני מים 2014'!$C$2:$L$160,5,0)/1000,0)-IFERROR(VLOOKUP(AR33,'נתוני מים 2014'!$C$2:$L$160,9,0)/1000,0)</f>
        <v>0</v>
      </c>
      <c r="AS707" s="5">
        <f>+IFERROR(VLOOKUP(AS33,'נתוני מים 2014'!$C$2:$L$160,5,0)/1000,0)-IFERROR(VLOOKUP(AS33,'נתוני מים 2014'!$C$2:$L$160,9,0)/1000,0)</f>
        <v>0</v>
      </c>
      <c r="AT707" s="5">
        <f>+IFERROR(VLOOKUP(AT33,'נתוני מים 2014'!$C$2:$L$160,5,0)/1000,0)-IFERROR(VLOOKUP(AT33,'נתוני מים 2014'!$C$2:$L$160,9,0)/1000,0)</f>
        <v>0</v>
      </c>
      <c r="AU707" s="5">
        <f>+IFERROR(VLOOKUP(AU33,'נתוני מים 2014'!$C$2:$L$160,5,0)/1000,0)-IFERROR(VLOOKUP(AU33,'נתוני מים 2014'!$C$2:$L$160,9,0)/1000,0)</f>
        <v>0</v>
      </c>
      <c r="AV707" s="5">
        <f>+IFERROR(VLOOKUP(AV33,'נתוני מים 2014'!$C$2:$L$160,5,0)/1000,0)-IFERROR(VLOOKUP(AV33,'נתוני מים 2014'!$C$2:$L$160,9,0)/1000,0)</f>
        <v>0</v>
      </c>
      <c r="AW707" s="5">
        <f>+IFERROR(VLOOKUP(AW33,'נתוני מים 2014'!$C$2:$L$160,5,0)/1000,0)-IFERROR(VLOOKUP(AW33,'נתוני מים 2014'!$C$2:$L$160,9,0)/1000,0)</f>
        <v>0</v>
      </c>
      <c r="AX707" s="5">
        <f>+IFERROR(VLOOKUP(AX33,'נתוני מים 2014'!$C$2:$L$160,5,0)/1000,0)-IFERROR(VLOOKUP(AX33,'נתוני מים 2014'!$C$2:$L$160,9,0)/1000,0)</f>
        <v>0</v>
      </c>
      <c r="AY707" s="5">
        <f>+IFERROR(VLOOKUP(AY33,'נתוני מים 2014'!$C$2:$L$160,5,0)/1000,0)-IFERROR(VLOOKUP(AY33,'נתוני מים 2014'!$C$2:$L$160,9,0)/1000,0)</f>
        <v>0</v>
      </c>
      <c r="AZ707" s="5">
        <f>+IFERROR(VLOOKUP(AZ33,'נתוני מים 2014'!$C$2:$L$160,5,0)/1000,0)-IFERROR(VLOOKUP(AZ33,'נתוני מים 2014'!$C$2:$L$160,9,0)/1000,0)</f>
        <v>0</v>
      </c>
      <c r="BA707" s="5">
        <f>+IFERROR(VLOOKUP(BA33,'נתוני מים 2014'!$C$2:$L$160,5,0)/1000,0)-IFERROR(VLOOKUP(BA33,'נתוני מים 2014'!$C$2:$L$160,9,0)/1000,0)</f>
        <v>0</v>
      </c>
      <c r="BB707" s="5">
        <f>+IFERROR(VLOOKUP(BB33,'נתוני מים 2014'!$C$2:$L$160,5,0)/1000,0)-IFERROR(VLOOKUP(BB33,'נתוני מים 2014'!$C$2:$L$160,9,0)/1000,0)</f>
        <v>0</v>
      </c>
      <c r="BC707" s="5">
        <f>+IFERROR(VLOOKUP(BC33,'נתוני מים 2014'!$C$2:$L$160,5,0)/1000,0)-IFERROR(VLOOKUP(BC33,'נתוני מים 2014'!$C$2:$L$160,9,0)/1000,0)</f>
        <v>0</v>
      </c>
      <c r="BD707" s="5">
        <f>+IFERROR(VLOOKUP(BD33,'נתוני מים 2014'!$C$2:$L$160,5,0)/1000,0)-IFERROR(VLOOKUP(BD33,'נתוני מים 2014'!$C$2:$L$160,9,0)/1000,0)</f>
        <v>0</v>
      </c>
      <c r="BE707" s="5">
        <f>+IFERROR(VLOOKUP(BE33,'נתוני מים 2014'!$C$2:$L$160,5,0)/1000,0)-IFERROR(VLOOKUP(BE33,'נתוני מים 2014'!$C$2:$L$160,9,0)/1000,0)</f>
        <v>0</v>
      </c>
      <c r="BF707" s="5">
        <f>+IFERROR(VLOOKUP(BF33,'נתוני מים 2014'!$C$2:$L$188,5,0)/1000,0)-IFERROR(VLOOKUP(BF33,'נתוני מים 2014'!$C$2:$L$188,9,0)/1000,0)</f>
        <v>0</v>
      </c>
    </row>
    <row r="708" spans="1:59" x14ac:dyDescent="0.2">
      <c r="B708" s="1">
        <v>27</v>
      </c>
      <c r="C708" s="5">
        <f>+IFERROR(VLOOKUP(C34,'נתוני מים 2014'!$C$2:$L$160,5,0)/1000,0)-IFERROR(VLOOKUP(C34,'נתוני מים 2014'!$C$2:$L$160,9,0)/1000,0)</f>
        <v>0</v>
      </c>
      <c r="D708" s="5">
        <f>+IFERROR(VLOOKUP(D34,'נתוני מים 2014'!$C$2:$L$188,5,0)/1000,0)-IFERROR(VLOOKUP(D34,'נתוני מים 2014'!$C$2:$L$188,9,0)/1000,0)</f>
        <v>0</v>
      </c>
      <c r="E708" s="5">
        <f>+IFERROR(VLOOKUP(E34,'נתוני מים 2014'!$C$2:$L$160,5,0)/1000,0)-IFERROR(VLOOKUP(E34,'נתוני מים 2014'!$C$2:$L$160,9,0)/1000,0)</f>
        <v>0</v>
      </c>
      <c r="F708" s="5">
        <f>+IFERROR(VLOOKUP(F34,'נתוני מים 2014'!$C$2:$L$160,5,0)/1000,0)-IFERROR(VLOOKUP(F34,'נתוני מים 2014'!$C$2:$L$160,9,0)/1000,0)</f>
        <v>0</v>
      </c>
      <c r="G708" s="5">
        <f>+IFERROR(VLOOKUP(G34,'נתוני מים 2014'!$C$2:$L$160,5,0)/1000,0)-IFERROR(VLOOKUP(G34,'נתוני מים 2014'!$C$2:$L$160,9,0)/1000,0)</f>
        <v>0</v>
      </c>
      <c r="H708" s="5">
        <f>+IFERROR(VLOOKUP(H34,'נתוני מים 2014'!$C$2:$L$160,5,0)/1000,0)-IFERROR(VLOOKUP(H34,'נתוני מים 2014'!$C$2:$L$160,9,0)/1000,0)</f>
        <v>0</v>
      </c>
      <c r="I708" s="5">
        <f>+IFERROR(VLOOKUP(I34,'נתוני מים 2014'!$C$2:$L$160,5,0)/1000,0)-IFERROR(VLOOKUP(I34,'נתוני מים 2014'!$C$2:$L$160,9,0)/1000,0)</f>
        <v>0</v>
      </c>
      <c r="J708" s="5">
        <f>+IFERROR(VLOOKUP(J34,'נתוני מים 2014'!$C$2:$L$160,5,0)/1000,0)-IFERROR(VLOOKUP(J34,'נתוני מים 2014'!$C$2:$L$160,9,0)/1000,0)</f>
        <v>0</v>
      </c>
      <c r="K708" s="5">
        <f>+IFERROR(VLOOKUP(K34,'נתוני מים 2014'!$C$2:$L$160,5,0)/1000,0)-IFERROR(VLOOKUP(K34,'נתוני מים 2014'!$C$2:$L$160,9,0)/1000,0)</f>
        <v>0</v>
      </c>
      <c r="L708" s="5">
        <f>+IFERROR(VLOOKUP(L34,'נתוני מים 2014'!$C$2:$L$160,5,0)/1000,0)-IFERROR(VLOOKUP(L34,'נתוני מים 2014'!$C$2:$L$160,9,0)/1000,0)</f>
        <v>0</v>
      </c>
      <c r="M708" s="5">
        <f>+IFERROR(VLOOKUP(M34,'נתוני מים 2014'!$C$2:$L$160,5,0)/1000,0)-IFERROR(VLOOKUP(M34,'נתוני מים 2014'!$C$2:$L$160,9,0)/1000,0)</f>
        <v>0</v>
      </c>
      <c r="N708" s="5">
        <f>+IFERROR(VLOOKUP(N34,'נתוני מים 2014'!$C$2:$L$160,5,0)/1000,0)-IFERROR(VLOOKUP(N34,'נתוני מים 2014'!$C$2:$L$160,9,0)/1000,0)</f>
        <v>0</v>
      </c>
      <c r="O708" s="5">
        <f>+IFERROR(VLOOKUP(O34,'נתוני מים 2014'!$C$2:$L$160,5,0)/1000,0)-IFERROR(VLOOKUP(O34,'נתוני מים 2014'!$C$2:$L$160,9,0)/1000,0)</f>
        <v>0</v>
      </c>
      <c r="P708" s="5">
        <f>+IFERROR(VLOOKUP(P34,'נתוני מים 2014'!$C$2:$L$160,5,0)/1000,0)-IFERROR(VLOOKUP(P34,'נתוני מים 2014'!$C$2:$L$160,9,0)/1000,0)</f>
        <v>0</v>
      </c>
      <c r="Q708" s="5">
        <f>+IFERROR(VLOOKUP(Q34,'נתוני מים 2014'!$C$2:$L$160,5,0)/1000,0)-IFERROR(VLOOKUP(Q34,'נתוני מים 2014'!$C$2:$L$160,9,0)/1000,0)</f>
        <v>0</v>
      </c>
      <c r="R708" s="5">
        <f>+IFERROR(VLOOKUP(R34,'נתוני מים 2014'!$C$2:$L$160,5,0)/1000,0)-IFERROR(VLOOKUP(R34,'נתוני מים 2014'!$C$2:$L$160,9,0)/1000,0)</f>
        <v>0</v>
      </c>
      <c r="S708" s="5">
        <f>+IFERROR(VLOOKUP(S34,'נתוני מים 2014'!$C$2:$L$160,5,0)/1000,0)-IFERROR(VLOOKUP(S34,'נתוני מים 2014'!$C$2:$L$160,9,0)/1000,0)</f>
        <v>0</v>
      </c>
      <c r="T708" s="5">
        <f>+IFERROR(VLOOKUP(T34,'נתוני מים 2014'!$C$2:$L$160,5,0)/1000,0)-IFERROR(VLOOKUP(T34,'נתוני מים 2014'!$C$2:$L$160,9,0)/1000,0)</f>
        <v>0</v>
      </c>
      <c r="U708" s="5">
        <f>+IFERROR(VLOOKUP(U34,'נתוני מים 2014'!$C$2:$L$160,5,0)/1000,0)-IFERROR(VLOOKUP(U34,'נתוני מים 2014'!$C$2:$L$160,9,0)/1000,0)</f>
        <v>0</v>
      </c>
      <c r="V708" s="5">
        <f>+IFERROR(VLOOKUP(V34,'נתוני מים 2014'!$C$2:$L$160,5,0)/1000,0)-IFERROR(VLOOKUP(V34,'נתוני מים 2014'!$C$2:$L$160,9,0)/1000,0)</f>
        <v>0</v>
      </c>
      <c r="W708" s="5">
        <f>+IFERROR(VLOOKUP(W34,'נתוני מים 2014'!$C$2:$L$160,5,0)/1000,0)-IFERROR(VLOOKUP(W34,'נתוני מים 2014'!$C$2:$L$160,9,0)/1000,0)</f>
        <v>0</v>
      </c>
      <c r="X708" s="5">
        <f>+IFERROR(VLOOKUP(X34,'נתוני מים 2014'!$C$2:$L$160,5,0)/1000,0)-IFERROR(VLOOKUP(X34,'נתוני מים 2014'!$C$2:$L$160,9,0)/1000,0)</f>
        <v>0</v>
      </c>
      <c r="Y708" s="5">
        <f>+IFERROR(VLOOKUP(Y34,'נתוני מים 2014'!$C$2:$L$160,5,0)/1000,0)-IFERROR(VLOOKUP(Y34,'נתוני מים 2014'!$C$2:$L$160,9,0)/1000,0)</f>
        <v>0</v>
      </c>
      <c r="Z708" s="5">
        <f>+IFERROR(VLOOKUP(Z34,'נתוני מים 2014'!$C$2:$L$160,5,0)/1000,0)-IFERROR(VLOOKUP(Z34,'נתוני מים 2014'!$C$2:$L$160,9,0)/1000,0)</f>
        <v>0</v>
      </c>
      <c r="AA708" s="5">
        <f>+IFERROR(VLOOKUP(AA34,'נתוני מים 2014'!$C$2:$L$160,5,0)/1000,0)-IFERROR(VLOOKUP(AA34,'נתוני מים 2014'!$C$2:$L$160,9,0)/1000,0)</f>
        <v>0</v>
      </c>
      <c r="AB708" s="5">
        <f>+IFERROR(VLOOKUP(AB34,'נתוני מים 2014'!$C$2:$L$160,5,0)/1000,0)-IFERROR(VLOOKUP(AB34,'נתוני מים 2014'!$C$2:$L$160,9,0)/1000,0)</f>
        <v>0</v>
      </c>
      <c r="AC708" s="5">
        <f>+IFERROR(VLOOKUP(AC34,'נתוני מים 2014'!$C$2:$L$160,5,0)/1000,0)-IFERROR(VLOOKUP(AC34,'נתוני מים 2014'!$C$2:$L$160,9,0)/1000,0)</f>
        <v>0</v>
      </c>
      <c r="AD708" s="5">
        <f>+IFERROR(VLOOKUP(AD34,'נתוני מים 2014'!$C$2:$L$160,5,0)/1000,0)-IFERROR(VLOOKUP(AD34,'נתוני מים 2014'!$C$2:$L$160,9,0)/1000,0)</f>
        <v>0</v>
      </c>
      <c r="AE708" s="5">
        <f>+IFERROR(VLOOKUP(AE34,'נתוני מים 2014'!$C$2:$L$160,5,0)/1000,0)-IFERROR(VLOOKUP(AE34,'נתוני מים 2014'!$C$2:$L$160,9,0)/1000,0)</f>
        <v>0</v>
      </c>
      <c r="AF708" s="5">
        <f>+IFERROR(VLOOKUP(AF34,'נתוני מים 2014'!$C$2:$L$160,5,0)/1000,0)-IFERROR(VLOOKUP(AF34,'נתוני מים 2014'!$C$2:$L$160,9,0)/1000,0)</f>
        <v>0</v>
      </c>
      <c r="AG708" s="5">
        <f>+IFERROR(VLOOKUP(AG34,'נתוני מים 2014'!$C$2:$L$160,5,0)/1000,0)-IFERROR(VLOOKUP(AG34,'נתוני מים 2014'!$C$2:$L$160,9,0)/1000,0)</f>
        <v>0</v>
      </c>
      <c r="AH708" s="5">
        <f>+IFERROR(VLOOKUP(AH34,'נתוני מים 2014'!$C$2:$L$160,5,0)/1000,0)-IFERROR(VLOOKUP(AH34,'נתוני מים 2014'!$C$2:$L$160,9,0)/1000,0)</f>
        <v>0</v>
      </c>
      <c r="AI708" s="5">
        <f>+IFERROR(VLOOKUP(AI34,'נתוני מים 2014'!$C$2:$L$160,5,0)/1000,0)-IFERROR(VLOOKUP(AI34,'נתוני מים 2014'!$C$2:$L$160,9,0)/1000,0)</f>
        <v>0</v>
      </c>
      <c r="AJ708" s="5">
        <f>+IFERROR(VLOOKUP(AJ34,'נתוני מים 2014'!$C$2:$L$160,5,0)/1000,0)-IFERROR(VLOOKUP(AJ34,'נתוני מים 2014'!$C$2:$L$160,9,0)/1000,0)</f>
        <v>0</v>
      </c>
      <c r="AK708" s="5">
        <f>+IFERROR(VLOOKUP(AK34,'נתוני מים 2014'!$C$2:$L$160,5,0)/1000,0)-IFERROR(VLOOKUP(AK34,'נתוני מים 2014'!$C$2:$L$160,9,0)/1000,0)</f>
        <v>0</v>
      </c>
      <c r="AL708" s="5">
        <f>+IFERROR(VLOOKUP(AL34,'נתוני מים 2014'!$C$2:$L$160,5,0)/1000,0)-IFERROR(VLOOKUP(AL34,'נתוני מים 2014'!$C$2:$L$160,9,0)/1000,0)</f>
        <v>0</v>
      </c>
      <c r="AM708" s="5">
        <f>+IFERROR(VLOOKUP(AM34,'נתוני מים 2014'!$C$2:$L$160,5,0)/1000,0)-IFERROR(VLOOKUP(AM34,'נתוני מים 2014'!$C$2:$L$160,9,0)/1000,0)</f>
        <v>0</v>
      </c>
      <c r="AN708" s="5">
        <f>+IFERROR(VLOOKUP(AN34,'נתוני מים 2014'!$C$2:$L$160,5,0)/1000,0)-IFERROR(VLOOKUP(AN34,'נתוני מים 2014'!$C$2:$L$160,9,0)/1000,0)</f>
        <v>0</v>
      </c>
      <c r="AO708" s="5">
        <f>+IFERROR(VLOOKUP(AO34,'נתוני מים 2014'!$C$2:$L$160,5,0)/1000,0)-IFERROR(VLOOKUP(AO34,'נתוני מים 2014'!$C$2:$L$160,9,0)/1000,0)</f>
        <v>0</v>
      </c>
      <c r="AP708" s="5">
        <f>+IFERROR(VLOOKUP(AP34,'נתוני מים 2014'!$C$2:$L$160,5,0)/1000,0)-IFERROR(VLOOKUP(AP34,'נתוני מים 2014'!$C$2:$L$160,9,0)/1000,0)</f>
        <v>0</v>
      </c>
      <c r="AQ708" s="5">
        <f>+IFERROR(VLOOKUP(AQ34,'נתוני מים 2014'!$C$2:$L$160,5,0)/1000,0)-IFERROR(VLOOKUP(AQ34,'נתוני מים 2014'!$C$2:$L$160,9,0)/1000,0)</f>
        <v>0</v>
      </c>
      <c r="AR708" s="5">
        <f>+IFERROR(VLOOKUP(AR34,'נתוני מים 2014'!$C$2:$L$160,5,0)/1000,0)-IFERROR(VLOOKUP(AR34,'נתוני מים 2014'!$C$2:$L$160,9,0)/1000,0)</f>
        <v>0</v>
      </c>
      <c r="AS708" s="5">
        <f>+IFERROR(VLOOKUP(AS34,'נתוני מים 2014'!$C$2:$L$160,5,0)/1000,0)-IFERROR(VLOOKUP(AS34,'נתוני מים 2014'!$C$2:$L$160,9,0)/1000,0)</f>
        <v>0</v>
      </c>
      <c r="AT708" s="5">
        <f>+IFERROR(VLOOKUP(AT34,'נתוני מים 2014'!$C$2:$L$160,5,0)/1000,0)-IFERROR(VLOOKUP(AT34,'נתוני מים 2014'!$C$2:$L$160,9,0)/1000,0)</f>
        <v>0</v>
      </c>
      <c r="AU708" s="5">
        <f>+IFERROR(VLOOKUP(AU34,'נתוני מים 2014'!$C$2:$L$160,5,0)/1000,0)-IFERROR(VLOOKUP(AU34,'נתוני מים 2014'!$C$2:$L$160,9,0)/1000,0)</f>
        <v>0</v>
      </c>
      <c r="AV708" s="5">
        <f>+IFERROR(VLOOKUP(AV34,'נתוני מים 2014'!$C$2:$L$160,5,0)/1000,0)-IFERROR(VLOOKUP(AV34,'נתוני מים 2014'!$C$2:$L$160,9,0)/1000,0)</f>
        <v>0</v>
      </c>
      <c r="AW708" s="5">
        <f>+IFERROR(VLOOKUP(AW34,'נתוני מים 2014'!$C$2:$L$160,5,0)/1000,0)-IFERROR(VLOOKUP(AW34,'נתוני מים 2014'!$C$2:$L$160,9,0)/1000,0)</f>
        <v>0</v>
      </c>
      <c r="AX708" s="5">
        <f>+IFERROR(VLOOKUP(AX34,'נתוני מים 2014'!$C$2:$L$160,5,0)/1000,0)-IFERROR(VLOOKUP(AX34,'נתוני מים 2014'!$C$2:$L$160,9,0)/1000,0)</f>
        <v>0</v>
      </c>
      <c r="AY708" s="5">
        <f>+IFERROR(VLOOKUP(AY34,'נתוני מים 2014'!$C$2:$L$160,5,0)/1000,0)-IFERROR(VLOOKUP(AY34,'נתוני מים 2014'!$C$2:$L$160,9,0)/1000,0)</f>
        <v>0</v>
      </c>
      <c r="AZ708" s="5">
        <f>+IFERROR(VLOOKUP(AZ34,'נתוני מים 2014'!$C$2:$L$160,5,0)/1000,0)-IFERROR(VLOOKUP(AZ34,'נתוני מים 2014'!$C$2:$L$160,9,0)/1000,0)</f>
        <v>0</v>
      </c>
      <c r="BA708" s="5">
        <f>+IFERROR(VLOOKUP(BA34,'נתוני מים 2014'!$C$2:$L$160,5,0)/1000,0)-IFERROR(VLOOKUP(BA34,'נתוני מים 2014'!$C$2:$L$160,9,0)/1000,0)</f>
        <v>0</v>
      </c>
      <c r="BB708" s="5">
        <f>+IFERROR(VLOOKUP(BB34,'נתוני מים 2014'!$C$2:$L$160,5,0)/1000,0)-IFERROR(VLOOKUP(BB34,'נתוני מים 2014'!$C$2:$L$160,9,0)/1000,0)</f>
        <v>0</v>
      </c>
      <c r="BC708" s="5">
        <f>+IFERROR(VLOOKUP(BC34,'נתוני מים 2014'!$C$2:$L$160,5,0)/1000,0)-IFERROR(VLOOKUP(BC34,'נתוני מים 2014'!$C$2:$L$160,9,0)/1000,0)</f>
        <v>0</v>
      </c>
      <c r="BD708" s="5">
        <f>+IFERROR(VLOOKUP(BD34,'נתוני מים 2014'!$C$2:$L$160,5,0)/1000,0)-IFERROR(VLOOKUP(BD34,'נתוני מים 2014'!$C$2:$L$160,9,0)/1000,0)</f>
        <v>0</v>
      </c>
      <c r="BE708" s="5">
        <f>+IFERROR(VLOOKUP(BE34,'נתוני מים 2014'!$C$2:$L$160,5,0)/1000,0)-IFERROR(VLOOKUP(BE34,'נתוני מים 2014'!$C$2:$L$160,9,0)/1000,0)</f>
        <v>0</v>
      </c>
      <c r="BF708" s="5">
        <f>+IFERROR(VLOOKUP(BF34,'נתוני מים 2014'!$C$2:$L$188,5,0)/1000,0)-IFERROR(VLOOKUP(BF34,'נתוני מים 2014'!$C$2:$L$188,9,0)/1000,0)</f>
        <v>0</v>
      </c>
    </row>
    <row r="709" spans="1:59" x14ac:dyDescent="0.2">
      <c r="B709" s="1">
        <v>28</v>
      </c>
      <c r="C709" s="5">
        <f>+IFERROR(VLOOKUP(C35,'נתוני מים 2014'!$C$2:$L$160,5,0)/1000,0)-IFERROR(VLOOKUP(C35,'נתוני מים 2014'!$C$2:$L$160,9,0)/1000,0)</f>
        <v>0</v>
      </c>
      <c r="D709" s="5">
        <f>+IFERROR(VLOOKUP(D35,'נתוני מים 2014'!$C$2:$L$188,5,0)/1000,0)-IFERROR(VLOOKUP(D35,'נתוני מים 2014'!$C$2:$L$188,9,0)/1000,0)</f>
        <v>0</v>
      </c>
      <c r="E709" s="5">
        <f>+IFERROR(VLOOKUP(E35,'נתוני מים 2014'!$C$2:$L$160,5,0)/1000,0)-IFERROR(VLOOKUP(E35,'נתוני מים 2014'!$C$2:$L$160,9,0)/1000,0)</f>
        <v>0</v>
      </c>
      <c r="F709" s="5">
        <f>+IFERROR(VLOOKUP(F35,'נתוני מים 2014'!$C$2:$L$160,5,0)/1000,0)-IFERROR(VLOOKUP(F35,'נתוני מים 2014'!$C$2:$L$160,9,0)/1000,0)</f>
        <v>0</v>
      </c>
      <c r="G709" s="5">
        <f>+IFERROR(VLOOKUP(G35,'נתוני מים 2014'!$C$2:$L$160,5,0)/1000,0)-IFERROR(VLOOKUP(G35,'נתוני מים 2014'!$C$2:$L$160,9,0)/1000,0)</f>
        <v>0</v>
      </c>
      <c r="H709" s="5">
        <f>+IFERROR(VLOOKUP(H35,'נתוני מים 2014'!$C$2:$L$160,5,0)/1000,0)-IFERROR(VLOOKUP(H35,'נתוני מים 2014'!$C$2:$L$160,9,0)/1000,0)</f>
        <v>0</v>
      </c>
      <c r="I709" s="5">
        <f>+IFERROR(VLOOKUP(I35,'נתוני מים 2014'!$C$2:$L$160,5,0)/1000,0)-IFERROR(VLOOKUP(I35,'נתוני מים 2014'!$C$2:$L$160,9,0)/1000,0)</f>
        <v>0</v>
      </c>
      <c r="J709" s="5">
        <f>+IFERROR(VLOOKUP(J35,'נתוני מים 2014'!$C$2:$L$160,5,0)/1000,0)-IFERROR(VLOOKUP(J35,'נתוני מים 2014'!$C$2:$L$160,9,0)/1000,0)</f>
        <v>0</v>
      </c>
      <c r="K709" s="5">
        <f>+IFERROR(VLOOKUP(K35,'נתוני מים 2014'!$C$2:$L$160,5,0)/1000,0)-IFERROR(VLOOKUP(K35,'נתוני מים 2014'!$C$2:$L$160,9,0)/1000,0)</f>
        <v>0</v>
      </c>
      <c r="L709" s="5">
        <f>+IFERROR(VLOOKUP(L35,'נתוני מים 2014'!$C$2:$L$160,5,0)/1000,0)-IFERROR(VLOOKUP(L35,'נתוני מים 2014'!$C$2:$L$160,9,0)/1000,0)</f>
        <v>0</v>
      </c>
      <c r="M709" s="5">
        <f>+IFERROR(VLOOKUP(M35,'נתוני מים 2014'!$C$2:$L$160,5,0)/1000,0)-IFERROR(VLOOKUP(M35,'נתוני מים 2014'!$C$2:$L$160,9,0)/1000,0)</f>
        <v>0</v>
      </c>
      <c r="N709" s="5">
        <f>+IFERROR(VLOOKUP(N35,'נתוני מים 2014'!$C$2:$L$160,5,0)/1000,0)-IFERROR(VLOOKUP(N35,'נתוני מים 2014'!$C$2:$L$160,9,0)/1000,0)</f>
        <v>0</v>
      </c>
      <c r="O709" s="5">
        <f>+IFERROR(VLOOKUP(O35,'נתוני מים 2014'!$C$2:$L$160,5,0)/1000,0)-IFERROR(VLOOKUP(O35,'נתוני מים 2014'!$C$2:$L$160,9,0)/1000,0)</f>
        <v>0</v>
      </c>
      <c r="P709" s="5">
        <f>+IFERROR(VLOOKUP(P35,'נתוני מים 2014'!$C$2:$L$160,5,0)/1000,0)-IFERROR(VLOOKUP(P35,'נתוני מים 2014'!$C$2:$L$160,9,0)/1000,0)</f>
        <v>0</v>
      </c>
      <c r="Q709" s="5">
        <f>+IFERROR(VLOOKUP(Q35,'נתוני מים 2014'!$C$2:$L$160,5,0)/1000,0)-IFERROR(VLOOKUP(Q35,'נתוני מים 2014'!$C$2:$L$160,9,0)/1000,0)</f>
        <v>0</v>
      </c>
      <c r="R709" s="5">
        <f>+IFERROR(VLOOKUP(R35,'נתוני מים 2014'!$C$2:$L$160,5,0)/1000,0)-IFERROR(VLOOKUP(R35,'נתוני מים 2014'!$C$2:$L$160,9,0)/1000,0)</f>
        <v>0</v>
      </c>
      <c r="S709" s="5">
        <f>+IFERROR(VLOOKUP(S35,'נתוני מים 2014'!$C$2:$L$160,5,0)/1000,0)-IFERROR(VLOOKUP(S35,'נתוני מים 2014'!$C$2:$L$160,9,0)/1000,0)</f>
        <v>0</v>
      </c>
      <c r="T709" s="5">
        <f>+IFERROR(VLOOKUP(T35,'נתוני מים 2014'!$C$2:$L$160,5,0)/1000,0)-IFERROR(VLOOKUP(T35,'נתוני מים 2014'!$C$2:$L$160,9,0)/1000,0)</f>
        <v>0</v>
      </c>
      <c r="U709" s="5">
        <f>+IFERROR(VLOOKUP(U35,'נתוני מים 2014'!$C$2:$L$160,5,0)/1000,0)-IFERROR(VLOOKUP(U35,'נתוני מים 2014'!$C$2:$L$160,9,0)/1000,0)</f>
        <v>0</v>
      </c>
      <c r="V709" s="5">
        <f>+IFERROR(VLOOKUP(V35,'נתוני מים 2014'!$C$2:$L$160,5,0)/1000,0)-IFERROR(VLOOKUP(V35,'נתוני מים 2014'!$C$2:$L$160,9,0)/1000,0)</f>
        <v>0</v>
      </c>
      <c r="W709" s="5">
        <f>+IFERROR(VLOOKUP(W35,'נתוני מים 2014'!$C$2:$L$160,5,0)/1000,0)-IFERROR(VLOOKUP(W35,'נתוני מים 2014'!$C$2:$L$160,9,0)/1000,0)</f>
        <v>0</v>
      </c>
      <c r="X709" s="5">
        <f>+IFERROR(VLOOKUP(X35,'נתוני מים 2014'!$C$2:$L$160,5,0)/1000,0)-IFERROR(VLOOKUP(X35,'נתוני מים 2014'!$C$2:$L$160,9,0)/1000,0)</f>
        <v>0</v>
      </c>
      <c r="Y709" s="5">
        <f>+IFERROR(VLOOKUP(Y35,'נתוני מים 2014'!$C$2:$L$160,5,0)/1000,0)-IFERROR(VLOOKUP(Y35,'נתוני מים 2014'!$C$2:$L$160,9,0)/1000,0)</f>
        <v>0</v>
      </c>
      <c r="Z709" s="5">
        <f>+IFERROR(VLOOKUP(Z35,'נתוני מים 2014'!$C$2:$L$160,5,0)/1000,0)-IFERROR(VLOOKUP(Z35,'נתוני מים 2014'!$C$2:$L$160,9,0)/1000,0)</f>
        <v>0</v>
      </c>
      <c r="AA709" s="5">
        <f>+IFERROR(VLOOKUP(AA35,'נתוני מים 2014'!$C$2:$L$160,5,0)/1000,0)-IFERROR(VLOOKUP(AA35,'נתוני מים 2014'!$C$2:$L$160,9,0)/1000,0)</f>
        <v>0</v>
      </c>
      <c r="AB709" s="5">
        <f>+IFERROR(VLOOKUP(AB35,'נתוני מים 2014'!$C$2:$L$160,5,0)/1000,0)-IFERROR(VLOOKUP(AB35,'נתוני מים 2014'!$C$2:$L$160,9,0)/1000,0)</f>
        <v>0</v>
      </c>
      <c r="AC709" s="5">
        <f>+IFERROR(VLOOKUP(AC35,'נתוני מים 2014'!$C$2:$L$160,5,0)/1000,0)-IFERROR(VLOOKUP(AC35,'נתוני מים 2014'!$C$2:$L$160,9,0)/1000,0)</f>
        <v>0</v>
      </c>
      <c r="AD709" s="5">
        <f>+IFERROR(VLOOKUP(AD35,'נתוני מים 2014'!$C$2:$L$160,5,0)/1000,0)-IFERROR(VLOOKUP(AD35,'נתוני מים 2014'!$C$2:$L$160,9,0)/1000,0)</f>
        <v>0</v>
      </c>
      <c r="AE709" s="5">
        <f>+IFERROR(VLOOKUP(AE35,'נתוני מים 2014'!$C$2:$L$160,5,0)/1000,0)-IFERROR(VLOOKUP(AE35,'נתוני מים 2014'!$C$2:$L$160,9,0)/1000,0)</f>
        <v>0</v>
      </c>
      <c r="AF709" s="5">
        <f>+IFERROR(VLOOKUP(AF35,'נתוני מים 2014'!$C$2:$L$160,5,0)/1000,0)-IFERROR(VLOOKUP(AF35,'נתוני מים 2014'!$C$2:$L$160,9,0)/1000,0)</f>
        <v>0</v>
      </c>
      <c r="AG709" s="5">
        <f>+IFERROR(VLOOKUP(AG35,'נתוני מים 2014'!$C$2:$L$160,5,0)/1000,0)-IFERROR(VLOOKUP(AG35,'נתוני מים 2014'!$C$2:$L$160,9,0)/1000,0)</f>
        <v>0</v>
      </c>
      <c r="AH709" s="5">
        <f>+IFERROR(VLOOKUP(AH35,'נתוני מים 2014'!$C$2:$L$160,5,0)/1000,0)-IFERROR(VLOOKUP(AH35,'נתוני מים 2014'!$C$2:$L$160,9,0)/1000,0)</f>
        <v>0</v>
      </c>
      <c r="AI709" s="5">
        <f>+IFERROR(VLOOKUP(AI35,'נתוני מים 2014'!$C$2:$L$160,5,0)/1000,0)-IFERROR(VLOOKUP(AI35,'נתוני מים 2014'!$C$2:$L$160,9,0)/1000,0)</f>
        <v>0</v>
      </c>
      <c r="AJ709" s="5">
        <f>+IFERROR(VLOOKUP(AJ35,'נתוני מים 2014'!$C$2:$L$160,5,0)/1000,0)-IFERROR(VLOOKUP(AJ35,'נתוני מים 2014'!$C$2:$L$160,9,0)/1000,0)</f>
        <v>0</v>
      </c>
      <c r="AK709" s="5">
        <f>+IFERROR(VLOOKUP(AK35,'נתוני מים 2014'!$C$2:$L$160,5,0)/1000,0)-IFERROR(VLOOKUP(AK35,'נתוני מים 2014'!$C$2:$L$160,9,0)/1000,0)</f>
        <v>0</v>
      </c>
      <c r="AL709" s="5">
        <f>+IFERROR(VLOOKUP(AL35,'נתוני מים 2014'!$C$2:$L$160,5,0)/1000,0)-IFERROR(VLOOKUP(AL35,'נתוני מים 2014'!$C$2:$L$160,9,0)/1000,0)</f>
        <v>0</v>
      </c>
      <c r="AM709" s="5">
        <f>+IFERROR(VLOOKUP(AM35,'נתוני מים 2014'!$C$2:$L$160,5,0)/1000,0)-IFERROR(VLOOKUP(AM35,'נתוני מים 2014'!$C$2:$L$160,9,0)/1000,0)</f>
        <v>0</v>
      </c>
      <c r="AN709" s="5">
        <f>+IFERROR(VLOOKUP(AN35,'נתוני מים 2014'!$C$2:$L$160,5,0)/1000,0)-IFERROR(VLOOKUP(AN35,'נתוני מים 2014'!$C$2:$L$160,9,0)/1000,0)</f>
        <v>0</v>
      </c>
      <c r="AO709" s="5">
        <f>+IFERROR(VLOOKUP(AO35,'נתוני מים 2014'!$C$2:$L$160,5,0)/1000,0)-IFERROR(VLOOKUP(AO35,'נתוני מים 2014'!$C$2:$L$160,9,0)/1000,0)</f>
        <v>0</v>
      </c>
      <c r="AP709" s="5">
        <f>+IFERROR(VLOOKUP(AP35,'נתוני מים 2014'!$C$2:$L$160,5,0)/1000,0)-IFERROR(VLOOKUP(AP35,'נתוני מים 2014'!$C$2:$L$160,9,0)/1000,0)</f>
        <v>0</v>
      </c>
      <c r="AQ709" s="5">
        <f>+IFERROR(VLOOKUP(AQ35,'נתוני מים 2014'!$C$2:$L$160,5,0)/1000,0)-IFERROR(VLOOKUP(AQ35,'נתוני מים 2014'!$C$2:$L$160,9,0)/1000,0)</f>
        <v>0</v>
      </c>
      <c r="AR709" s="5">
        <f>+IFERROR(VLOOKUP(AR35,'נתוני מים 2014'!$C$2:$L$160,5,0)/1000,0)-IFERROR(VLOOKUP(AR35,'נתוני מים 2014'!$C$2:$L$160,9,0)/1000,0)</f>
        <v>0</v>
      </c>
      <c r="AS709" s="5">
        <f>+IFERROR(VLOOKUP(AS35,'נתוני מים 2014'!$C$2:$L$160,5,0)/1000,0)-IFERROR(VLOOKUP(AS35,'נתוני מים 2014'!$C$2:$L$160,9,0)/1000,0)</f>
        <v>0</v>
      </c>
      <c r="AT709" s="5">
        <f>+IFERROR(VLOOKUP(AT35,'נתוני מים 2014'!$C$2:$L$160,5,0)/1000,0)-IFERROR(VLOOKUP(AT35,'נתוני מים 2014'!$C$2:$L$160,9,0)/1000,0)</f>
        <v>0</v>
      </c>
      <c r="AU709" s="5">
        <f>+IFERROR(VLOOKUP(AU35,'נתוני מים 2014'!$C$2:$L$160,5,0)/1000,0)-IFERROR(VLOOKUP(AU35,'נתוני מים 2014'!$C$2:$L$160,9,0)/1000,0)</f>
        <v>0</v>
      </c>
      <c r="AV709" s="5">
        <f>+IFERROR(VLOOKUP(AV35,'נתוני מים 2014'!$C$2:$L$160,5,0)/1000,0)-IFERROR(VLOOKUP(AV35,'נתוני מים 2014'!$C$2:$L$160,9,0)/1000,0)</f>
        <v>0</v>
      </c>
      <c r="AW709" s="5">
        <f>+IFERROR(VLOOKUP(AW35,'נתוני מים 2014'!$C$2:$L$160,5,0)/1000,0)-IFERROR(VLOOKUP(AW35,'נתוני מים 2014'!$C$2:$L$160,9,0)/1000,0)</f>
        <v>0</v>
      </c>
      <c r="AX709" s="5">
        <f>+IFERROR(VLOOKUP(AX35,'נתוני מים 2014'!$C$2:$L$160,5,0)/1000,0)-IFERROR(VLOOKUP(AX35,'נתוני מים 2014'!$C$2:$L$160,9,0)/1000,0)</f>
        <v>0</v>
      </c>
      <c r="AY709" s="5">
        <f>+IFERROR(VLOOKUP(AY35,'נתוני מים 2014'!$C$2:$L$160,5,0)/1000,0)-IFERROR(VLOOKUP(AY35,'נתוני מים 2014'!$C$2:$L$160,9,0)/1000,0)</f>
        <v>0</v>
      </c>
      <c r="AZ709" s="5">
        <f>+IFERROR(VLOOKUP(AZ35,'נתוני מים 2014'!$C$2:$L$160,5,0)/1000,0)-IFERROR(VLOOKUP(AZ35,'נתוני מים 2014'!$C$2:$L$160,9,0)/1000,0)</f>
        <v>0</v>
      </c>
      <c r="BA709" s="5">
        <f>+IFERROR(VLOOKUP(BA35,'נתוני מים 2014'!$C$2:$L$160,5,0)/1000,0)-IFERROR(VLOOKUP(BA35,'נתוני מים 2014'!$C$2:$L$160,9,0)/1000,0)</f>
        <v>0</v>
      </c>
      <c r="BB709" s="5">
        <f>+IFERROR(VLOOKUP(BB35,'נתוני מים 2014'!$C$2:$L$160,5,0)/1000,0)-IFERROR(VLOOKUP(BB35,'נתוני מים 2014'!$C$2:$L$160,9,0)/1000,0)</f>
        <v>0</v>
      </c>
      <c r="BC709" s="5">
        <f>+IFERROR(VLOOKUP(BC35,'נתוני מים 2014'!$C$2:$L$160,5,0)/1000,0)-IFERROR(VLOOKUP(BC35,'נתוני מים 2014'!$C$2:$L$160,9,0)/1000,0)</f>
        <v>0</v>
      </c>
      <c r="BD709" s="5">
        <f>+IFERROR(VLOOKUP(BD35,'נתוני מים 2014'!$C$2:$L$160,5,0)/1000,0)-IFERROR(VLOOKUP(BD35,'נתוני מים 2014'!$C$2:$L$160,9,0)/1000,0)</f>
        <v>0</v>
      </c>
      <c r="BE709" s="5">
        <f>+IFERROR(VLOOKUP(BE35,'נתוני מים 2014'!$C$2:$L$160,5,0)/1000,0)-IFERROR(VLOOKUP(BE35,'נתוני מים 2014'!$C$2:$L$160,9,0)/1000,0)</f>
        <v>0</v>
      </c>
      <c r="BF709" s="5">
        <f>+IFERROR(VLOOKUP(BF35,'נתוני מים 2014'!$C$2:$L$188,5,0)/1000,0)-IFERROR(VLOOKUP(BF35,'נתוני מים 2014'!$C$2:$L$188,9,0)/1000,0)</f>
        <v>0</v>
      </c>
    </row>
    <row r="710" spans="1:59" x14ac:dyDescent="0.2">
      <c r="B710" s="1">
        <v>29</v>
      </c>
      <c r="C710" s="5">
        <f>+IFERROR(VLOOKUP(C36,'נתוני מים 2014'!$C$2:$L$160,5,0)/1000,0)-IFERROR(VLOOKUP(C36,'נתוני מים 2014'!$C$2:$L$160,9,0)/1000,0)</f>
        <v>0</v>
      </c>
      <c r="D710" s="5">
        <f>+IFERROR(VLOOKUP(D36,'נתוני מים 2014'!$C$2:$L$188,5,0)/1000,0)-IFERROR(VLOOKUP(D36,'נתוני מים 2014'!$C$2:$L$188,9,0)/1000,0)</f>
        <v>0</v>
      </c>
      <c r="E710" s="5">
        <f>+IFERROR(VLOOKUP(E36,'נתוני מים 2014'!$C$2:$L$160,5,0)/1000,0)-IFERROR(VLOOKUP(E36,'נתוני מים 2014'!$C$2:$L$160,9,0)/1000,0)</f>
        <v>0</v>
      </c>
      <c r="F710" s="5">
        <f>+IFERROR(VLOOKUP(F36,'נתוני מים 2014'!$C$2:$L$160,5,0)/1000,0)-IFERROR(VLOOKUP(F36,'נתוני מים 2014'!$C$2:$L$160,9,0)/1000,0)</f>
        <v>0</v>
      </c>
      <c r="G710" s="5">
        <f>+IFERROR(VLOOKUP(G36,'נתוני מים 2014'!$C$2:$L$160,5,0)/1000,0)-IFERROR(VLOOKUP(G36,'נתוני מים 2014'!$C$2:$L$160,9,0)/1000,0)</f>
        <v>0</v>
      </c>
      <c r="H710" s="5">
        <f>+IFERROR(VLOOKUP(H36,'נתוני מים 2014'!$C$2:$L$160,5,0)/1000,0)-IFERROR(VLOOKUP(H36,'נתוני מים 2014'!$C$2:$L$160,9,0)/1000,0)</f>
        <v>0</v>
      </c>
      <c r="I710" s="5">
        <f>+IFERROR(VLOOKUP(I36,'נתוני מים 2014'!$C$2:$L$160,5,0)/1000,0)-IFERROR(VLOOKUP(I36,'נתוני מים 2014'!$C$2:$L$160,9,0)/1000,0)</f>
        <v>0</v>
      </c>
      <c r="J710" s="5">
        <f>+IFERROR(VLOOKUP(J36,'נתוני מים 2014'!$C$2:$L$160,5,0)/1000,0)-IFERROR(VLOOKUP(J36,'נתוני מים 2014'!$C$2:$L$160,9,0)/1000,0)</f>
        <v>0</v>
      </c>
      <c r="K710" s="5">
        <f>+IFERROR(VLOOKUP(K36,'נתוני מים 2014'!$C$2:$L$160,5,0)/1000,0)-IFERROR(VLOOKUP(K36,'נתוני מים 2014'!$C$2:$L$160,9,0)/1000,0)</f>
        <v>0</v>
      </c>
      <c r="L710" s="5">
        <f>+IFERROR(VLOOKUP(L36,'נתוני מים 2014'!$C$2:$L$160,5,0)/1000,0)-IFERROR(VLOOKUP(L36,'נתוני מים 2014'!$C$2:$L$160,9,0)/1000,0)</f>
        <v>0</v>
      </c>
      <c r="M710" s="5">
        <f>+IFERROR(VLOOKUP(M36,'נתוני מים 2014'!$C$2:$L$160,5,0)/1000,0)-IFERROR(VLOOKUP(M36,'נתוני מים 2014'!$C$2:$L$160,9,0)/1000,0)</f>
        <v>0</v>
      </c>
      <c r="N710" s="5">
        <f>+IFERROR(VLOOKUP(N36,'נתוני מים 2014'!$C$2:$L$160,5,0)/1000,0)-IFERROR(VLOOKUP(N36,'נתוני מים 2014'!$C$2:$L$160,9,0)/1000,0)</f>
        <v>0</v>
      </c>
      <c r="O710" s="5">
        <f>+IFERROR(VLOOKUP(O36,'נתוני מים 2014'!$C$2:$L$160,5,0)/1000,0)-IFERROR(VLOOKUP(O36,'נתוני מים 2014'!$C$2:$L$160,9,0)/1000,0)</f>
        <v>0</v>
      </c>
      <c r="P710" s="5">
        <f>+IFERROR(VLOOKUP(P36,'נתוני מים 2014'!$C$2:$L$160,5,0)/1000,0)-IFERROR(VLOOKUP(P36,'נתוני מים 2014'!$C$2:$L$160,9,0)/1000,0)</f>
        <v>0</v>
      </c>
      <c r="Q710" s="5">
        <f>+IFERROR(VLOOKUP(Q36,'נתוני מים 2014'!$C$2:$L$160,5,0)/1000,0)-IFERROR(VLOOKUP(Q36,'נתוני מים 2014'!$C$2:$L$160,9,0)/1000,0)</f>
        <v>0</v>
      </c>
      <c r="R710" s="5">
        <f>+IFERROR(VLOOKUP(R36,'נתוני מים 2014'!$C$2:$L$160,5,0)/1000,0)-IFERROR(VLOOKUP(R36,'נתוני מים 2014'!$C$2:$L$160,9,0)/1000,0)</f>
        <v>0</v>
      </c>
      <c r="S710" s="5">
        <f>+IFERROR(VLOOKUP(S36,'נתוני מים 2014'!$C$2:$L$160,5,0)/1000,0)-IFERROR(VLOOKUP(S36,'נתוני מים 2014'!$C$2:$L$160,9,0)/1000,0)</f>
        <v>0</v>
      </c>
      <c r="T710" s="5">
        <f>+IFERROR(VLOOKUP(T36,'נתוני מים 2014'!$C$2:$L$160,5,0)/1000,0)-IFERROR(VLOOKUP(T36,'נתוני מים 2014'!$C$2:$L$160,9,0)/1000,0)</f>
        <v>0</v>
      </c>
      <c r="U710" s="5">
        <f>+IFERROR(VLOOKUP(U36,'נתוני מים 2014'!$C$2:$L$160,5,0)/1000,0)-IFERROR(VLOOKUP(U36,'נתוני מים 2014'!$C$2:$L$160,9,0)/1000,0)</f>
        <v>0</v>
      </c>
      <c r="V710" s="5">
        <f>+IFERROR(VLOOKUP(V36,'נתוני מים 2014'!$C$2:$L$160,5,0)/1000,0)-IFERROR(VLOOKUP(V36,'נתוני מים 2014'!$C$2:$L$160,9,0)/1000,0)</f>
        <v>0</v>
      </c>
      <c r="W710" s="5">
        <f>+IFERROR(VLOOKUP(W36,'נתוני מים 2014'!$C$2:$L$160,5,0)/1000,0)-IFERROR(VLOOKUP(W36,'נתוני מים 2014'!$C$2:$L$160,9,0)/1000,0)</f>
        <v>0</v>
      </c>
      <c r="X710" s="5">
        <f>+IFERROR(VLOOKUP(X36,'נתוני מים 2014'!$C$2:$L$160,5,0)/1000,0)-IFERROR(VLOOKUP(X36,'נתוני מים 2014'!$C$2:$L$160,9,0)/1000,0)</f>
        <v>0</v>
      </c>
      <c r="Y710" s="5">
        <f>+IFERROR(VLOOKUP(Y36,'נתוני מים 2014'!$C$2:$L$160,5,0)/1000,0)-IFERROR(VLOOKUP(Y36,'נתוני מים 2014'!$C$2:$L$160,9,0)/1000,0)</f>
        <v>0</v>
      </c>
      <c r="Z710" s="5">
        <f>+IFERROR(VLOOKUP(Z36,'נתוני מים 2014'!$C$2:$L$160,5,0)/1000,0)-IFERROR(VLOOKUP(Z36,'נתוני מים 2014'!$C$2:$L$160,9,0)/1000,0)</f>
        <v>0</v>
      </c>
      <c r="AA710" s="5">
        <f>+IFERROR(VLOOKUP(AA36,'נתוני מים 2014'!$C$2:$L$160,5,0)/1000,0)-IFERROR(VLOOKUP(AA36,'נתוני מים 2014'!$C$2:$L$160,9,0)/1000,0)</f>
        <v>0</v>
      </c>
      <c r="AB710" s="5">
        <f>+IFERROR(VLOOKUP(AB36,'נתוני מים 2014'!$C$2:$L$160,5,0)/1000,0)-IFERROR(VLOOKUP(AB36,'נתוני מים 2014'!$C$2:$L$160,9,0)/1000,0)</f>
        <v>0</v>
      </c>
      <c r="AC710" s="5">
        <f>+IFERROR(VLOOKUP(AC36,'נתוני מים 2014'!$C$2:$L$160,5,0)/1000,0)-IFERROR(VLOOKUP(AC36,'נתוני מים 2014'!$C$2:$L$160,9,0)/1000,0)</f>
        <v>0</v>
      </c>
      <c r="AD710" s="5">
        <f>+IFERROR(VLOOKUP(AD36,'נתוני מים 2014'!$C$2:$L$160,5,0)/1000,0)-IFERROR(VLOOKUP(AD36,'נתוני מים 2014'!$C$2:$L$160,9,0)/1000,0)</f>
        <v>0</v>
      </c>
      <c r="AE710" s="5">
        <f>+IFERROR(VLOOKUP(AE36,'נתוני מים 2014'!$C$2:$L$160,5,0)/1000,0)-IFERROR(VLOOKUP(AE36,'נתוני מים 2014'!$C$2:$L$160,9,0)/1000,0)</f>
        <v>0</v>
      </c>
      <c r="AF710" s="5">
        <f>+IFERROR(VLOOKUP(AF36,'נתוני מים 2014'!$C$2:$L$160,5,0)/1000,0)-IFERROR(VLOOKUP(AF36,'נתוני מים 2014'!$C$2:$L$160,9,0)/1000,0)</f>
        <v>0</v>
      </c>
      <c r="AG710" s="5">
        <f>+IFERROR(VLOOKUP(AG36,'נתוני מים 2014'!$C$2:$L$160,5,0)/1000,0)-IFERROR(VLOOKUP(AG36,'נתוני מים 2014'!$C$2:$L$160,9,0)/1000,0)</f>
        <v>0</v>
      </c>
      <c r="AH710" s="5">
        <f>+IFERROR(VLOOKUP(AH36,'נתוני מים 2014'!$C$2:$L$160,5,0)/1000,0)-IFERROR(VLOOKUP(AH36,'נתוני מים 2014'!$C$2:$L$160,9,0)/1000,0)</f>
        <v>0</v>
      </c>
      <c r="AI710" s="5">
        <f>+IFERROR(VLOOKUP(AI36,'נתוני מים 2014'!$C$2:$L$160,5,0)/1000,0)-IFERROR(VLOOKUP(AI36,'נתוני מים 2014'!$C$2:$L$160,9,0)/1000,0)</f>
        <v>0</v>
      </c>
      <c r="AJ710" s="5">
        <f>+IFERROR(VLOOKUP(AJ36,'נתוני מים 2014'!$C$2:$L$160,5,0)/1000,0)-IFERROR(VLOOKUP(AJ36,'נתוני מים 2014'!$C$2:$L$160,9,0)/1000,0)</f>
        <v>0</v>
      </c>
      <c r="AK710" s="5">
        <f>+IFERROR(VLOOKUP(AK36,'נתוני מים 2014'!$C$2:$L$160,5,0)/1000,0)-IFERROR(VLOOKUP(AK36,'נתוני מים 2014'!$C$2:$L$160,9,0)/1000,0)</f>
        <v>0</v>
      </c>
      <c r="AL710" s="5">
        <f>+IFERROR(VLOOKUP(AL36,'נתוני מים 2014'!$C$2:$L$160,5,0)/1000,0)-IFERROR(VLOOKUP(AL36,'נתוני מים 2014'!$C$2:$L$160,9,0)/1000,0)</f>
        <v>0</v>
      </c>
      <c r="AM710" s="5">
        <f>+IFERROR(VLOOKUP(AM36,'נתוני מים 2014'!$C$2:$L$160,5,0)/1000,0)-IFERROR(VLOOKUP(AM36,'נתוני מים 2014'!$C$2:$L$160,9,0)/1000,0)</f>
        <v>0</v>
      </c>
      <c r="AN710" s="5">
        <f>+IFERROR(VLOOKUP(AN36,'נתוני מים 2014'!$C$2:$L$160,5,0)/1000,0)-IFERROR(VLOOKUP(AN36,'נתוני מים 2014'!$C$2:$L$160,9,0)/1000,0)</f>
        <v>0</v>
      </c>
      <c r="AO710" s="5">
        <f>+IFERROR(VLOOKUP(AO36,'נתוני מים 2014'!$C$2:$L$160,5,0)/1000,0)-IFERROR(VLOOKUP(AO36,'נתוני מים 2014'!$C$2:$L$160,9,0)/1000,0)</f>
        <v>0</v>
      </c>
      <c r="AP710" s="5">
        <f>+IFERROR(VLOOKUP(AP36,'נתוני מים 2014'!$C$2:$L$160,5,0)/1000,0)-IFERROR(VLOOKUP(AP36,'נתוני מים 2014'!$C$2:$L$160,9,0)/1000,0)</f>
        <v>0</v>
      </c>
      <c r="AQ710" s="5">
        <f>+IFERROR(VLOOKUP(AQ36,'נתוני מים 2014'!$C$2:$L$160,5,0)/1000,0)-IFERROR(VLOOKUP(AQ36,'נתוני מים 2014'!$C$2:$L$160,9,0)/1000,0)</f>
        <v>0</v>
      </c>
      <c r="AR710" s="5">
        <f>+IFERROR(VLOOKUP(AR36,'נתוני מים 2014'!$C$2:$L$160,5,0)/1000,0)-IFERROR(VLOOKUP(AR36,'נתוני מים 2014'!$C$2:$L$160,9,0)/1000,0)</f>
        <v>0</v>
      </c>
      <c r="AS710" s="5">
        <f>+IFERROR(VLOOKUP(AS36,'נתוני מים 2014'!$C$2:$L$160,5,0)/1000,0)-IFERROR(VLOOKUP(AS36,'נתוני מים 2014'!$C$2:$L$160,9,0)/1000,0)</f>
        <v>0</v>
      </c>
      <c r="AT710" s="5">
        <f>+IFERROR(VLOOKUP(AT36,'נתוני מים 2014'!$C$2:$L$160,5,0)/1000,0)-IFERROR(VLOOKUP(AT36,'נתוני מים 2014'!$C$2:$L$160,9,0)/1000,0)</f>
        <v>0</v>
      </c>
      <c r="AU710" s="5">
        <f>+IFERROR(VLOOKUP(AU36,'נתוני מים 2014'!$C$2:$L$160,5,0)/1000,0)-IFERROR(VLOOKUP(AU36,'נתוני מים 2014'!$C$2:$L$160,9,0)/1000,0)</f>
        <v>0</v>
      </c>
      <c r="AV710" s="5">
        <f>+IFERROR(VLOOKUP(AV36,'נתוני מים 2014'!$C$2:$L$160,5,0)/1000,0)-IFERROR(VLOOKUP(AV36,'נתוני מים 2014'!$C$2:$L$160,9,0)/1000,0)</f>
        <v>0</v>
      </c>
      <c r="AW710" s="5">
        <f>+IFERROR(VLOOKUP(AW36,'נתוני מים 2014'!$C$2:$L$160,5,0)/1000,0)-IFERROR(VLOOKUP(AW36,'נתוני מים 2014'!$C$2:$L$160,9,0)/1000,0)</f>
        <v>0</v>
      </c>
      <c r="AX710" s="5">
        <f>+IFERROR(VLOOKUP(AX36,'נתוני מים 2014'!$C$2:$L$160,5,0)/1000,0)-IFERROR(VLOOKUP(AX36,'נתוני מים 2014'!$C$2:$L$160,9,0)/1000,0)</f>
        <v>0</v>
      </c>
      <c r="AY710" s="5">
        <f>+IFERROR(VLOOKUP(AY36,'נתוני מים 2014'!$C$2:$L$160,5,0)/1000,0)-IFERROR(VLOOKUP(AY36,'נתוני מים 2014'!$C$2:$L$160,9,0)/1000,0)</f>
        <v>0</v>
      </c>
      <c r="AZ710" s="5">
        <f>+IFERROR(VLOOKUP(AZ36,'נתוני מים 2014'!$C$2:$L$160,5,0)/1000,0)-IFERROR(VLOOKUP(AZ36,'נתוני מים 2014'!$C$2:$L$160,9,0)/1000,0)</f>
        <v>0</v>
      </c>
      <c r="BA710" s="5">
        <f>+IFERROR(VLOOKUP(BA36,'נתוני מים 2014'!$C$2:$L$160,5,0)/1000,0)-IFERROR(VLOOKUP(BA36,'נתוני מים 2014'!$C$2:$L$160,9,0)/1000,0)</f>
        <v>0</v>
      </c>
      <c r="BB710" s="5">
        <f>+IFERROR(VLOOKUP(BB36,'נתוני מים 2014'!$C$2:$L$160,5,0)/1000,0)-IFERROR(VLOOKUP(BB36,'נתוני מים 2014'!$C$2:$L$160,9,0)/1000,0)</f>
        <v>0</v>
      </c>
      <c r="BC710" s="5">
        <f>+IFERROR(VLOOKUP(BC36,'נתוני מים 2014'!$C$2:$L$160,5,0)/1000,0)-IFERROR(VLOOKUP(BC36,'נתוני מים 2014'!$C$2:$L$160,9,0)/1000,0)</f>
        <v>0</v>
      </c>
      <c r="BD710" s="5">
        <f>+IFERROR(VLOOKUP(BD36,'נתוני מים 2014'!$C$2:$L$160,5,0)/1000,0)-IFERROR(VLOOKUP(BD36,'נתוני מים 2014'!$C$2:$L$160,9,0)/1000,0)</f>
        <v>0</v>
      </c>
      <c r="BE710" s="5">
        <f>+IFERROR(VLOOKUP(BE36,'נתוני מים 2014'!$C$2:$L$160,5,0)/1000,0)-IFERROR(VLOOKUP(BE36,'נתוני מים 2014'!$C$2:$L$160,9,0)/1000,0)</f>
        <v>0</v>
      </c>
      <c r="BF710" s="5">
        <f>+IFERROR(VLOOKUP(BF36,'נתוני מים 2014'!$C$2:$L$188,5,0)/1000,0)-IFERROR(VLOOKUP(BF36,'נתוני מים 2014'!$C$2:$L$188,9,0)/1000,0)</f>
        <v>0</v>
      </c>
    </row>
    <row r="711" spans="1:59" x14ac:dyDescent="0.2">
      <c r="B711" s="1">
        <v>30</v>
      </c>
      <c r="C711" s="5">
        <f>+IFERROR(VLOOKUP(C37,'נתוני מים 2014'!$C$2:$L$160,5,0)/1000,0)-IFERROR(VLOOKUP(C37,'נתוני מים 2014'!$C$2:$L$160,9,0)/1000,0)</f>
        <v>0</v>
      </c>
      <c r="D711" s="5">
        <f>+IFERROR(VLOOKUP(D37,'נתוני מים 2014'!$C$2:$L$188,5,0)/1000,0)-IFERROR(VLOOKUP(D37,'נתוני מים 2014'!$C$2:$L$188,9,0)/1000,0)</f>
        <v>0</v>
      </c>
      <c r="E711" s="5">
        <f>+IFERROR(VLOOKUP(E37,'נתוני מים 2014'!$C$2:$L$160,5,0)/1000,0)-IFERROR(VLOOKUP(E37,'נתוני מים 2014'!$C$2:$L$160,9,0)/1000,0)</f>
        <v>0</v>
      </c>
      <c r="F711" s="5">
        <f>+IFERROR(VLOOKUP(F37,'נתוני מים 2014'!$C$2:$L$160,5,0)/1000,0)-IFERROR(VLOOKUP(F37,'נתוני מים 2014'!$C$2:$L$160,9,0)/1000,0)</f>
        <v>0</v>
      </c>
      <c r="G711" s="5">
        <f>+IFERROR(VLOOKUP(G37,'נתוני מים 2014'!$C$2:$L$160,5,0)/1000,0)-IFERROR(VLOOKUP(G37,'נתוני מים 2014'!$C$2:$L$160,9,0)/1000,0)</f>
        <v>0</v>
      </c>
      <c r="H711" s="5">
        <f>+IFERROR(VLOOKUP(H37,'נתוני מים 2014'!$C$2:$L$160,5,0)/1000,0)-IFERROR(VLOOKUP(H37,'נתוני מים 2014'!$C$2:$L$160,9,0)/1000,0)</f>
        <v>0</v>
      </c>
      <c r="I711" s="5">
        <f>+IFERROR(VLOOKUP(I37,'נתוני מים 2014'!$C$2:$L$160,5,0)/1000,0)-IFERROR(VLOOKUP(I37,'נתוני מים 2014'!$C$2:$L$160,9,0)/1000,0)</f>
        <v>0</v>
      </c>
      <c r="J711" s="5">
        <f>+IFERROR(VLOOKUP(J37,'נתוני מים 2014'!$C$2:$L$160,5,0)/1000,0)-IFERROR(VLOOKUP(J37,'נתוני מים 2014'!$C$2:$L$160,9,0)/1000,0)</f>
        <v>0</v>
      </c>
      <c r="K711" s="5">
        <f>+IFERROR(VLOOKUP(K37,'נתוני מים 2014'!$C$2:$L$160,5,0)/1000,0)-IFERROR(VLOOKUP(K37,'נתוני מים 2014'!$C$2:$L$160,9,0)/1000,0)</f>
        <v>0</v>
      </c>
      <c r="L711" s="5">
        <f>+IFERROR(VLOOKUP(L37,'נתוני מים 2014'!$C$2:$L$160,5,0)/1000,0)-IFERROR(VLOOKUP(L37,'נתוני מים 2014'!$C$2:$L$160,9,0)/1000,0)</f>
        <v>0</v>
      </c>
      <c r="M711" s="5">
        <f>+IFERROR(VLOOKUP(M37,'נתוני מים 2014'!$C$2:$L$160,5,0)/1000,0)-IFERROR(VLOOKUP(M37,'נתוני מים 2014'!$C$2:$L$160,9,0)/1000,0)</f>
        <v>0</v>
      </c>
      <c r="N711" s="5">
        <f>+IFERROR(VLOOKUP(N37,'נתוני מים 2014'!$C$2:$L$160,5,0)/1000,0)-IFERROR(VLOOKUP(N37,'נתוני מים 2014'!$C$2:$L$160,9,0)/1000,0)</f>
        <v>0</v>
      </c>
      <c r="O711" s="5">
        <f>+IFERROR(VLOOKUP(O37,'נתוני מים 2014'!$C$2:$L$160,5,0)/1000,0)-IFERROR(VLOOKUP(O37,'נתוני מים 2014'!$C$2:$L$160,9,0)/1000,0)</f>
        <v>0</v>
      </c>
      <c r="P711" s="5">
        <f>+IFERROR(VLOOKUP(P37,'נתוני מים 2014'!$C$2:$L$160,5,0)/1000,0)-IFERROR(VLOOKUP(P37,'נתוני מים 2014'!$C$2:$L$160,9,0)/1000,0)</f>
        <v>0</v>
      </c>
      <c r="Q711" s="5">
        <f>+IFERROR(VLOOKUP(Q37,'נתוני מים 2014'!$C$2:$L$160,5,0)/1000,0)-IFERROR(VLOOKUP(Q37,'נתוני מים 2014'!$C$2:$L$160,9,0)/1000,0)</f>
        <v>0</v>
      </c>
      <c r="R711" s="5">
        <f>+IFERROR(VLOOKUP(R37,'נתוני מים 2014'!$C$2:$L$160,5,0)/1000,0)-IFERROR(VLOOKUP(R37,'נתוני מים 2014'!$C$2:$L$160,9,0)/1000,0)</f>
        <v>0</v>
      </c>
      <c r="S711" s="5">
        <f>+IFERROR(VLOOKUP(S37,'נתוני מים 2014'!$C$2:$L$160,5,0)/1000,0)-IFERROR(VLOOKUP(S37,'נתוני מים 2014'!$C$2:$L$160,9,0)/1000,0)</f>
        <v>0</v>
      </c>
      <c r="T711" s="5">
        <f>+IFERROR(VLOOKUP(T37,'נתוני מים 2014'!$C$2:$L$160,5,0)/1000,0)-IFERROR(VLOOKUP(T37,'נתוני מים 2014'!$C$2:$L$160,9,0)/1000,0)</f>
        <v>0</v>
      </c>
      <c r="U711" s="5">
        <f>+IFERROR(VLOOKUP(U37,'נתוני מים 2014'!$C$2:$L$160,5,0)/1000,0)-IFERROR(VLOOKUP(U37,'נתוני מים 2014'!$C$2:$L$160,9,0)/1000,0)</f>
        <v>0</v>
      </c>
      <c r="V711" s="5">
        <f>+IFERROR(VLOOKUP(V37,'נתוני מים 2014'!$C$2:$L$160,5,0)/1000,0)-IFERROR(VLOOKUP(V37,'נתוני מים 2014'!$C$2:$L$160,9,0)/1000,0)</f>
        <v>0</v>
      </c>
      <c r="W711" s="5">
        <f>+IFERROR(VLOOKUP(W37,'נתוני מים 2014'!$C$2:$L$160,5,0)/1000,0)-IFERROR(VLOOKUP(W37,'נתוני מים 2014'!$C$2:$L$160,9,0)/1000,0)</f>
        <v>0</v>
      </c>
      <c r="X711" s="5">
        <f>+IFERROR(VLOOKUP(X37,'נתוני מים 2014'!$C$2:$L$160,5,0)/1000,0)-IFERROR(VLOOKUP(X37,'נתוני מים 2014'!$C$2:$L$160,9,0)/1000,0)</f>
        <v>0</v>
      </c>
      <c r="Y711" s="5">
        <f>+IFERROR(VLOOKUP(Y37,'נתוני מים 2014'!$C$2:$L$160,5,0)/1000,0)-IFERROR(VLOOKUP(Y37,'נתוני מים 2014'!$C$2:$L$160,9,0)/1000,0)</f>
        <v>0</v>
      </c>
      <c r="Z711" s="5">
        <f>+IFERROR(VLOOKUP(Z37,'נתוני מים 2014'!$C$2:$L$160,5,0)/1000,0)-IFERROR(VLOOKUP(Z37,'נתוני מים 2014'!$C$2:$L$160,9,0)/1000,0)</f>
        <v>0</v>
      </c>
      <c r="AA711" s="5">
        <f>+IFERROR(VLOOKUP(AA37,'נתוני מים 2014'!$C$2:$L$160,5,0)/1000,0)-IFERROR(VLOOKUP(AA37,'נתוני מים 2014'!$C$2:$L$160,9,0)/1000,0)</f>
        <v>0</v>
      </c>
      <c r="AB711" s="5">
        <f>+IFERROR(VLOOKUP(AB37,'נתוני מים 2014'!$C$2:$L$160,5,0)/1000,0)-IFERROR(VLOOKUP(AB37,'נתוני מים 2014'!$C$2:$L$160,9,0)/1000,0)</f>
        <v>0</v>
      </c>
      <c r="AC711" s="5">
        <f>+IFERROR(VLOOKUP(AC37,'נתוני מים 2014'!$C$2:$L$160,5,0)/1000,0)-IFERROR(VLOOKUP(AC37,'נתוני מים 2014'!$C$2:$L$160,9,0)/1000,0)</f>
        <v>0</v>
      </c>
      <c r="AD711" s="5">
        <f>+IFERROR(VLOOKUP(AD37,'נתוני מים 2014'!$C$2:$L$160,5,0)/1000,0)-IFERROR(VLOOKUP(AD37,'נתוני מים 2014'!$C$2:$L$160,9,0)/1000,0)</f>
        <v>0</v>
      </c>
      <c r="AE711" s="5">
        <f>+IFERROR(VLOOKUP(AE37,'נתוני מים 2014'!$C$2:$L$160,5,0)/1000,0)-IFERROR(VLOOKUP(AE37,'נתוני מים 2014'!$C$2:$L$160,9,0)/1000,0)</f>
        <v>0</v>
      </c>
      <c r="AF711" s="5">
        <f>+IFERROR(VLOOKUP(AF37,'נתוני מים 2014'!$C$2:$L$160,5,0)/1000,0)-IFERROR(VLOOKUP(AF37,'נתוני מים 2014'!$C$2:$L$160,9,0)/1000,0)</f>
        <v>0</v>
      </c>
      <c r="AG711" s="5">
        <f>+IFERROR(VLOOKUP(AG37,'נתוני מים 2014'!$C$2:$L$160,5,0)/1000,0)-IFERROR(VLOOKUP(AG37,'נתוני מים 2014'!$C$2:$L$160,9,0)/1000,0)</f>
        <v>0</v>
      </c>
      <c r="AH711" s="5">
        <f>+IFERROR(VLOOKUP(AH37,'נתוני מים 2014'!$C$2:$L$160,5,0)/1000,0)-IFERROR(VLOOKUP(AH37,'נתוני מים 2014'!$C$2:$L$160,9,0)/1000,0)</f>
        <v>0</v>
      </c>
      <c r="AI711" s="5">
        <f>+IFERROR(VLOOKUP(AI37,'נתוני מים 2014'!$C$2:$L$160,5,0)/1000,0)-IFERROR(VLOOKUP(AI37,'נתוני מים 2014'!$C$2:$L$160,9,0)/1000,0)</f>
        <v>0</v>
      </c>
      <c r="AJ711" s="5">
        <f>+IFERROR(VLOOKUP(AJ37,'נתוני מים 2014'!$C$2:$L$160,5,0)/1000,0)-IFERROR(VLOOKUP(AJ37,'נתוני מים 2014'!$C$2:$L$160,9,0)/1000,0)</f>
        <v>0</v>
      </c>
      <c r="AK711" s="5">
        <f>+IFERROR(VLOOKUP(AK37,'נתוני מים 2014'!$C$2:$L$160,5,0)/1000,0)-IFERROR(VLOOKUP(AK37,'נתוני מים 2014'!$C$2:$L$160,9,0)/1000,0)</f>
        <v>0</v>
      </c>
      <c r="AL711" s="5">
        <f>+IFERROR(VLOOKUP(AL37,'נתוני מים 2014'!$C$2:$L$160,5,0)/1000,0)-IFERROR(VLOOKUP(AL37,'נתוני מים 2014'!$C$2:$L$160,9,0)/1000,0)</f>
        <v>0</v>
      </c>
      <c r="AM711" s="5">
        <f>+IFERROR(VLOOKUP(AM37,'נתוני מים 2014'!$C$2:$L$160,5,0)/1000,0)-IFERROR(VLOOKUP(AM37,'נתוני מים 2014'!$C$2:$L$160,9,0)/1000,0)</f>
        <v>0</v>
      </c>
      <c r="AN711" s="5">
        <f>+IFERROR(VLOOKUP(AN37,'נתוני מים 2014'!$C$2:$L$160,5,0)/1000,0)-IFERROR(VLOOKUP(AN37,'נתוני מים 2014'!$C$2:$L$160,9,0)/1000,0)</f>
        <v>0</v>
      </c>
      <c r="AO711" s="5">
        <f>+IFERROR(VLOOKUP(AO37,'נתוני מים 2014'!$C$2:$L$160,5,0)/1000,0)-IFERROR(VLOOKUP(AO37,'נתוני מים 2014'!$C$2:$L$160,9,0)/1000,0)</f>
        <v>0</v>
      </c>
      <c r="AP711" s="5">
        <f>+IFERROR(VLOOKUP(AP37,'נתוני מים 2014'!$C$2:$L$160,5,0)/1000,0)-IFERROR(VLOOKUP(AP37,'נתוני מים 2014'!$C$2:$L$160,9,0)/1000,0)</f>
        <v>0</v>
      </c>
      <c r="AQ711" s="5">
        <f>+IFERROR(VLOOKUP(AQ37,'נתוני מים 2014'!$C$2:$L$160,5,0)/1000,0)-IFERROR(VLOOKUP(AQ37,'נתוני מים 2014'!$C$2:$L$160,9,0)/1000,0)</f>
        <v>0</v>
      </c>
      <c r="AR711" s="5">
        <f>+IFERROR(VLOOKUP(AR37,'נתוני מים 2014'!$C$2:$L$160,5,0)/1000,0)-IFERROR(VLOOKUP(AR37,'נתוני מים 2014'!$C$2:$L$160,9,0)/1000,0)</f>
        <v>0</v>
      </c>
      <c r="AS711" s="5">
        <f>+IFERROR(VLOOKUP(AS37,'נתוני מים 2014'!$C$2:$L$160,5,0)/1000,0)-IFERROR(VLOOKUP(AS37,'נתוני מים 2014'!$C$2:$L$160,9,0)/1000,0)</f>
        <v>0</v>
      </c>
      <c r="AT711" s="5">
        <f>+IFERROR(VLOOKUP(AT37,'נתוני מים 2014'!$C$2:$L$160,5,0)/1000,0)-IFERROR(VLOOKUP(AT37,'נתוני מים 2014'!$C$2:$L$160,9,0)/1000,0)</f>
        <v>0</v>
      </c>
      <c r="AU711" s="5">
        <f>+IFERROR(VLOOKUP(AU37,'נתוני מים 2014'!$C$2:$L$160,5,0)/1000,0)-IFERROR(VLOOKUP(AU37,'נתוני מים 2014'!$C$2:$L$160,9,0)/1000,0)</f>
        <v>0</v>
      </c>
      <c r="AV711" s="5">
        <f>+IFERROR(VLOOKUP(AV37,'נתוני מים 2014'!$C$2:$L$160,5,0)/1000,0)-IFERROR(VLOOKUP(AV37,'נתוני מים 2014'!$C$2:$L$160,9,0)/1000,0)</f>
        <v>0</v>
      </c>
      <c r="AW711" s="5">
        <f>+IFERROR(VLOOKUP(AW37,'נתוני מים 2014'!$C$2:$L$160,5,0)/1000,0)-IFERROR(VLOOKUP(AW37,'נתוני מים 2014'!$C$2:$L$160,9,0)/1000,0)</f>
        <v>0</v>
      </c>
      <c r="AX711" s="5">
        <f>+IFERROR(VLOOKUP(AX37,'נתוני מים 2014'!$C$2:$L$160,5,0)/1000,0)-IFERROR(VLOOKUP(AX37,'נתוני מים 2014'!$C$2:$L$160,9,0)/1000,0)</f>
        <v>0</v>
      </c>
      <c r="AY711" s="5">
        <f>+IFERROR(VLOOKUP(AY37,'נתוני מים 2014'!$C$2:$L$160,5,0)/1000,0)-IFERROR(VLOOKUP(AY37,'נתוני מים 2014'!$C$2:$L$160,9,0)/1000,0)</f>
        <v>0</v>
      </c>
      <c r="AZ711" s="5">
        <f>+IFERROR(VLOOKUP(AZ37,'נתוני מים 2014'!$C$2:$L$160,5,0)/1000,0)-IFERROR(VLOOKUP(AZ37,'נתוני מים 2014'!$C$2:$L$160,9,0)/1000,0)</f>
        <v>0</v>
      </c>
      <c r="BA711" s="5">
        <f>+IFERROR(VLOOKUP(BA37,'נתוני מים 2014'!$C$2:$L$160,5,0)/1000,0)-IFERROR(VLOOKUP(BA37,'נתוני מים 2014'!$C$2:$L$160,9,0)/1000,0)</f>
        <v>0</v>
      </c>
      <c r="BB711" s="5">
        <f>+IFERROR(VLOOKUP(BB37,'נתוני מים 2014'!$C$2:$L$160,5,0)/1000,0)-IFERROR(VLOOKUP(BB37,'נתוני מים 2014'!$C$2:$L$160,9,0)/1000,0)</f>
        <v>0</v>
      </c>
      <c r="BC711" s="5">
        <f>+IFERROR(VLOOKUP(BC37,'נתוני מים 2014'!$C$2:$L$160,5,0)/1000,0)-IFERROR(VLOOKUP(BC37,'נתוני מים 2014'!$C$2:$L$160,9,0)/1000,0)</f>
        <v>0</v>
      </c>
      <c r="BD711" s="5">
        <f>+IFERROR(VLOOKUP(BD37,'נתוני מים 2014'!$C$2:$L$160,5,0)/1000,0)-IFERROR(VLOOKUP(BD37,'נתוני מים 2014'!$C$2:$L$160,9,0)/1000,0)</f>
        <v>0</v>
      </c>
      <c r="BE711" s="5">
        <f>+IFERROR(VLOOKUP(BE37,'נתוני מים 2014'!$C$2:$L$160,5,0)/1000,0)-IFERROR(VLOOKUP(BE37,'נתוני מים 2014'!$C$2:$L$160,9,0)/1000,0)</f>
        <v>0</v>
      </c>
      <c r="BF711" s="5">
        <f>+IFERROR(VLOOKUP(BF37,'נתוני מים 2014'!$C$2:$L$188,5,0)/1000,0)-IFERROR(VLOOKUP(BF37,'נתוני מים 2014'!$C$2:$L$188,9,0)/1000,0)</f>
        <v>0</v>
      </c>
    </row>
    <row r="713" spans="1:59" x14ac:dyDescent="0.2">
      <c r="A713" s="1" t="s">
        <v>459</v>
      </c>
      <c r="C713" s="78">
        <f>SUM(C682:C711)</f>
        <v>19665.205999999998</v>
      </c>
      <c r="D713" s="78">
        <f t="shared" ref="D713:BE713" si="194">SUM(D682:D711)</f>
        <v>4262.473</v>
      </c>
      <c r="E713" s="78">
        <f t="shared" si="194"/>
        <v>16724.746999999999</v>
      </c>
      <c r="F713" s="78">
        <f t="shared" si="194"/>
        <v>2004.4870000000001</v>
      </c>
      <c r="G713" s="78">
        <f t="shared" si="194"/>
        <v>6495.7709999999997</v>
      </c>
      <c r="H713" s="78">
        <f t="shared" si="194"/>
        <v>54306.558000000005</v>
      </c>
      <c r="I713" s="78">
        <f t="shared" si="194"/>
        <v>19849.735000000001</v>
      </c>
      <c r="J713" s="78">
        <f t="shared" si="194"/>
        <v>11081.690999999999</v>
      </c>
      <c r="K713" s="78">
        <f t="shared" si="194"/>
        <v>9928.9809999999998</v>
      </c>
      <c r="L713" s="78">
        <f t="shared" si="194"/>
        <v>4715.7889999999998</v>
      </c>
      <c r="M713" s="78">
        <f t="shared" si="194"/>
        <v>17049.447</v>
      </c>
      <c r="N713" s="78">
        <f t="shared" si="194"/>
        <v>20929.161</v>
      </c>
      <c r="O713" s="78">
        <f t="shared" si="194"/>
        <v>18659.955999999998</v>
      </c>
      <c r="P713" s="78">
        <f t="shared" si="194"/>
        <v>8586.9550000000017</v>
      </c>
      <c r="Q713" s="78">
        <f t="shared" si="194"/>
        <v>10780.42</v>
      </c>
      <c r="R713" s="78">
        <f t="shared" si="194"/>
        <v>5681.5389999999998</v>
      </c>
      <c r="S713" s="78">
        <f t="shared" si="194"/>
        <v>5391.3759999999993</v>
      </c>
      <c r="T713" s="78">
        <f t="shared" si="194"/>
        <v>8741.3060000000005</v>
      </c>
      <c r="U713" s="78">
        <f t="shared" si="194"/>
        <v>7271.4120000000003</v>
      </c>
      <c r="V713" s="78">
        <f t="shared" si="194"/>
        <v>4334.6769999999997</v>
      </c>
      <c r="W713" s="78">
        <f t="shared" si="194"/>
        <v>9228.0609999999997</v>
      </c>
      <c r="X713" s="78">
        <f t="shared" si="194"/>
        <v>9340.4369999999999</v>
      </c>
      <c r="Y713" s="78">
        <f t="shared" si="194"/>
        <v>3201.0769999999998</v>
      </c>
      <c r="Z713" s="78">
        <f t="shared" si="194"/>
        <v>3917.029</v>
      </c>
      <c r="AA713" s="78">
        <f t="shared" si="194"/>
        <v>6640.0940000000001</v>
      </c>
      <c r="AB713" s="78">
        <f t="shared" si="194"/>
        <v>6789.9260000000004</v>
      </c>
      <c r="AC713" s="78">
        <f t="shared" si="194"/>
        <v>10469.824999999999</v>
      </c>
      <c r="AD713" s="78">
        <f t="shared" si="194"/>
        <v>4708.6639999999998</v>
      </c>
      <c r="AE713" s="78">
        <f t="shared" si="194"/>
        <v>23115.748</v>
      </c>
      <c r="AF713" s="78">
        <f t="shared" si="194"/>
        <v>5412.576</v>
      </c>
      <c r="AG713" s="78">
        <f t="shared" si="194"/>
        <v>3747.5639999999999</v>
      </c>
      <c r="AH713" s="78">
        <f t="shared" si="194"/>
        <v>3174.326</v>
      </c>
      <c r="AI713" s="78">
        <f t="shared" si="194"/>
        <v>3853.471</v>
      </c>
      <c r="AJ713" s="78">
        <f t="shared" si="194"/>
        <v>3276.6880000000001</v>
      </c>
      <c r="AK713" s="78">
        <f t="shared" si="194"/>
        <v>2922.759</v>
      </c>
      <c r="AL713" s="78">
        <f t="shared" si="194"/>
        <v>46124.361000000004</v>
      </c>
      <c r="AM713" s="78">
        <f t="shared" si="194"/>
        <v>5738.3119999999999</v>
      </c>
      <c r="AN713" s="78">
        <f t="shared" si="194"/>
        <v>6044.5029999999997</v>
      </c>
      <c r="AO713" s="78">
        <f t="shared" si="194"/>
        <v>12026.431</v>
      </c>
      <c r="AP713" s="78">
        <f t="shared" si="194"/>
        <v>3748.2510000000002</v>
      </c>
      <c r="AQ713" s="78">
        <f t="shared" si="194"/>
        <v>9026.4089999999997</v>
      </c>
      <c r="AR713" s="78">
        <f t="shared" si="194"/>
        <v>5354.7740000000003</v>
      </c>
      <c r="AS713" s="78">
        <f t="shared" si="194"/>
        <v>10326.152000000002</v>
      </c>
      <c r="AT713" s="78">
        <f t="shared" si="194"/>
        <v>5761.5990000000002</v>
      </c>
      <c r="AU713" s="78">
        <f t="shared" si="194"/>
        <v>4710.6399999999994</v>
      </c>
      <c r="AV713" s="78">
        <f t="shared" si="194"/>
        <v>14360.366</v>
      </c>
      <c r="AW713" s="78">
        <f t="shared" si="194"/>
        <v>3423.1089999999999</v>
      </c>
      <c r="AX713" s="78">
        <f t="shared" si="194"/>
        <v>4786.3330000000005</v>
      </c>
      <c r="AY713" s="78">
        <f t="shared" si="194"/>
        <v>2910.1680000000001</v>
      </c>
      <c r="AZ713" s="78">
        <f t="shared" si="194"/>
        <v>5883.2190000000001</v>
      </c>
      <c r="BA713" s="78">
        <f t="shared" si="194"/>
        <v>6640.4369999999999</v>
      </c>
      <c r="BB713" s="78">
        <f t="shared" si="194"/>
        <v>5711.9690000000001</v>
      </c>
      <c r="BC713" s="78">
        <f t="shared" si="194"/>
        <v>7207.7849999999999</v>
      </c>
      <c r="BD713" s="78">
        <f t="shared" si="194"/>
        <v>975.60500000000002</v>
      </c>
      <c r="BE713" s="78">
        <f t="shared" si="194"/>
        <v>1173.269</v>
      </c>
      <c r="BF713" s="78">
        <f>SUM(BF682:BF711)</f>
        <v>10422.161</v>
      </c>
    </row>
    <row r="715" spans="1:59" x14ac:dyDescent="0.2">
      <c r="C715" s="78">
        <f>+C354</f>
        <v>19665.205999999998</v>
      </c>
      <c r="D715" s="78">
        <f t="shared" ref="D715:BE715" si="195">+D354</f>
        <v>4262.473</v>
      </c>
      <c r="E715" s="78">
        <f t="shared" si="195"/>
        <v>16724.746999999999</v>
      </c>
      <c r="F715" s="78">
        <f t="shared" si="195"/>
        <v>2004.4870000000001</v>
      </c>
      <c r="G715" s="78">
        <f t="shared" si="195"/>
        <v>6495.7709999999997</v>
      </c>
      <c r="H715" s="78">
        <f t="shared" si="195"/>
        <v>54306.558000000005</v>
      </c>
      <c r="I715" s="78">
        <f t="shared" si="195"/>
        <v>19849.735000000001</v>
      </c>
      <c r="J715" s="78">
        <f t="shared" si="195"/>
        <v>11081.690999999999</v>
      </c>
      <c r="K715" s="78">
        <f t="shared" si="195"/>
        <v>9928.9809999999998</v>
      </c>
      <c r="L715" s="78">
        <f t="shared" si="195"/>
        <v>4715.7889999999998</v>
      </c>
      <c r="M715" s="78">
        <f t="shared" si="195"/>
        <v>17049.447</v>
      </c>
      <c r="N715" s="78">
        <f t="shared" si="195"/>
        <v>20929.161</v>
      </c>
      <c r="O715" s="78">
        <f t="shared" si="195"/>
        <v>18659.955999999998</v>
      </c>
      <c r="P715" s="78">
        <f t="shared" si="195"/>
        <v>8586.9550000000017</v>
      </c>
      <c r="Q715" s="78">
        <f t="shared" si="195"/>
        <v>10780.42</v>
      </c>
      <c r="R715" s="78">
        <f t="shared" si="195"/>
        <v>5681.5389999999998</v>
      </c>
      <c r="S715" s="78">
        <f t="shared" si="195"/>
        <v>5391.3759999999993</v>
      </c>
      <c r="T715" s="78">
        <f t="shared" si="195"/>
        <v>8741.3060000000005</v>
      </c>
      <c r="U715" s="78">
        <f t="shared" si="195"/>
        <v>7271.4120000000003</v>
      </c>
      <c r="V715" s="78">
        <f t="shared" si="195"/>
        <v>4334.6769999999997</v>
      </c>
      <c r="W715" s="78">
        <f t="shared" si="195"/>
        <v>9228.0609999999997</v>
      </c>
      <c r="X715" s="78">
        <f t="shared" si="195"/>
        <v>9340.4369999999999</v>
      </c>
      <c r="Y715" s="78">
        <f t="shared" si="195"/>
        <v>3201.0769999999998</v>
      </c>
      <c r="Z715" s="78">
        <f t="shared" si="195"/>
        <v>3917.029</v>
      </c>
      <c r="AA715" s="78">
        <f t="shared" si="195"/>
        <v>6640.0940000000001</v>
      </c>
      <c r="AB715" s="78">
        <f t="shared" si="195"/>
        <v>6789.9260000000004</v>
      </c>
      <c r="AC715" s="78">
        <f t="shared" si="195"/>
        <v>10469.824999999999</v>
      </c>
      <c r="AD715" s="78">
        <f t="shared" si="195"/>
        <v>4708.6639999999998</v>
      </c>
      <c r="AE715" s="78">
        <f t="shared" si="195"/>
        <v>23115.748</v>
      </c>
      <c r="AF715" s="78">
        <f t="shared" si="195"/>
        <v>5412.576</v>
      </c>
      <c r="AG715" s="78">
        <f t="shared" si="195"/>
        <v>3747.5639999999999</v>
      </c>
      <c r="AH715" s="78">
        <f t="shared" si="195"/>
        <v>3174.326</v>
      </c>
      <c r="AI715" s="78">
        <f t="shared" si="195"/>
        <v>3853.471</v>
      </c>
      <c r="AJ715" s="78">
        <f t="shared" si="195"/>
        <v>3276.6880000000001</v>
      </c>
      <c r="AK715" s="78">
        <f t="shared" si="195"/>
        <v>2922.759</v>
      </c>
      <c r="AL715" s="78">
        <f t="shared" si="195"/>
        <v>46124.361000000004</v>
      </c>
      <c r="AM715" s="78">
        <f t="shared" si="195"/>
        <v>5738.3119999999999</v>
      </c>
      <c r="AN715" s="78">
        <f t="shared" si="195"/>
        <v>6044.5029999999997</v>
      </c>
      <c r="AO715" s="78">
        <f t="shared" si="195"/>
        <v>12026.431</v>
      </c>
      <c r="AP715" s="78">
        <f t="shared" si="195"/>
        <v>3748.2510000000002</v>
      </c>
      <c r="AQ715" s="78">
        <f t="shared" si="195"/>
        <v>9026.4089999999997</v>
      </c>
      <c r="AR715" s="78">
        <f t="shared" si="195"/>
        <v>5354.7740000000003</v>
      </c>
      <c r="AS715" s="78">
        <f t="shared" si="195"/>
        <v>10326.152000000002</v>
      </c>
      <c r="AT715" s="78">
        <f t="shared" si="195"/>
        <v>5761.5990000000002</v>
      </c>
      <c r="AU715" s="78">
        <f t="shared" si="195"/>
        <v>4710.6399999999994</v>
      </c>
      <c r="AV715" s="78">
        <f t="shared" si="195"/>
        <v>14360.366</v>
      </c>
      <c r="AW715" s="78">
        <f t="shared" si="195"/>
        <v>3423.1089999999999</v>
      </c>
      <c r="AX715" s="78">
        <f t="shared" si="195"/>
        <v>4786.3330000000005</v>
      </c>
      <c r="AY715" s="78">
        <f t="shared" si="195"/>
        <v>2910.1680000000001</v>
      </c>
      <c r="AZ715" s="78">
        <f t="shared" si="195"/>
        <v>5883.2190000000001</v>
      </c>
      <c r="BA715" s="78">
        <f t="shared" si="195"/>
        <v>6640.4369999999999</v>
      </c>
      <c r="BB715" s="78">
        <f t="shared" si="195"/>
        <v>5711.9690000000001</v>
      </c>
      <c r="BC715" s="78">
        <f t="shared" si="195"/>
        <v>7207.7849999999999</v>
      </c>
      <c r="BD715" s="78">
        <f t="shared" si="195"/>
        <v>975.60500000000002</v>
      </c>
      <c r="BE715" s="78">
        <f t="shared" si="195"/>
        <v>1173.269</v>
      </c>
      <c r="BF715" s="78">
        <f>+BF354</f>
        <v>10422.161</v>
      </c>
    </row>
    <row r="717" spans="1:59" x14ac:dyDescent="0.2">
      <c r="C717" s="78">
        <f>+C713-C715</f>
        <v>0</v>
      </c>
      <c r="D717" s="78">
        <f t="shared" ref="D717:BE717" si="196">+D713-D715</f>
        <v>0</v>
      </c>
      <c r="E717" s="78">
        <f t="shared" si="196"/>
        <v>0</v>
      </c>
      <c r="F717" s="78">
        <f t="shared" si="196"/>
        <v>0</v>
      </c>
      <c r="G717" s="78">
        <f t="shared" si="196"/>
        <v>0</v>
      </c>
      <c r="H717" s="78">
        <f t="shared" si="196"/>
        <v>0</v>
      </c>
      <c r="I717" s="78">
        <f t="shared" si="196"/>
        <v>0</v>
      </c>
      <c r="J717" s="78">
        <f t="shared" si="196"/>
        <v>0</v>
      </c>
      <c r="K717" s="78">
        <f t="shared" si="196"/>
        <v>0</v>
      </c>
      <c r="L717" s="78">
        <f t="shared" si="196"/>
        <v>0</v>
      </c>
      <c r="M717" s="78">
        <f t="shared" si="196"/>
        <v>0</v>
      </c>
      <c r="N717" s="78">
        <f t="shared" si="196"/>
        <v>0</v>
      </c>
      <c r="O717" s="78">
        <f t="shared" si="196"/>
        <v>0</v>
      </c>
      <c r="P717" s="78">
        <f t="shared" si="196"/>
        <v>0</v>
      </c>
      <c r="Q717" s="78">
        <f t="shared" si="196"/>
        <v>0</v>
      </c>
      <c r="R717" s="78">
        <f t="shared" si="196"/>
        <v>0</v>
      </c>
      <c r="S717" s="78">
        <f t="shared" si="196"/>
        <v>0</v>
      </c>
      <c r="T717" s="78">
        <f t="shared" si="196"/>
        <v>0</v>
      </c>
      <c r="U717" s="78">
        <f t="shared" si="196"/>
        <v>0</v>
      </c>
      <c r="V717" s="78">
        <f t="shared" si="196"/>
        <v>0</v>
      </c>
      <c r="W717" s="78">
        <f t="shared" si="196"/>
        <v>0</v>
      </c>
      <c r="X717" s="78">
        <f t="shared" si="196"/>
        <v>0</v>
      </c>
      <c r="Y717" s="78">
        <f t="shared" si="196"/>
        <v>0</v>
      </c>
      <c r="Z717" s="78">
        <f t="shared" si="196"/>
        <v>0</v>
      </c>
      <c r="AA717" s="78">
        <f t="shared" si="196"/>
        <v>0</v>
      </c>
      <c r="AB717" s="78">
        <f t="shared" si="196"/>
        <v>0</v>
      </c>
      <c r="AC717" s="78">
        <f t="shared" si="196"/>
        <v>0</v>
      </c>
      <c r="AD717" s="78">
        <f t="shared" si="196"/>
        <v>0</v>
      </c>
      <c r="AE717" s="78">
        <f t="shared" si="196"/>
        <v>0</v>
      </c>
      <c r="AF717" s="78">
        <f t="shared" si="196"/>
        <v>0</v>
      </c>
      <c r="AG717" s="78">
        <f t="shared" si="196"/>
        <v>0</v>
      </c>
      <c r="AH717" s="78">
        <f t="shared" si="196"/>
        <v>0</v>
      </c>
      <c r="AI717" s="78">
        <f t="shared" si="196"/>
        <v>0</v>
      </c>
      <c r="AJ717" s="78">
        <f t="shared" si="196"/>
        <v>0</v>
      </c>
      <c r="AK717" s="78">
        <f t="shared" si="196"/>
        <v>0</v>
      </c>
      <c r="AL717" s="78">
        <f t="shared" si="196"/>
        <v>0</v>
      </c>
      <c r="AM717" s="78">
        <f t="shared" si="196"/>
        <v>0</v>
      </c>
      <c r="AN717" s="78">
        <f t="shared" si="196"/>
        <v>0</v>
      </c>
      <c r="AO717" s="78">
        <f t="shared" si="196"/>
        <v>0</v>
      </c>
      <c r="AP717" s="78">
        <f t="shared" si="196"/>
        <v>0</v>
      </c>
      <c r="AQ717" s="78">
        <f t="shared" si="196"/>
        <v>0</v>
      </c>
      <c r="AR717" s="78">
        <f t="shared" si="196"/>
        <v>0</v>
      </c>
      <c r="AS717" s="78">
        <f t="shared" si="196"/>
        <v>0</v>
      </c>
      <c r="AT717" s="78">
        <f t="shared" si="196"/>
        <v>0</v>
      </c>
      <c r="AU717" s="78">
        <f t="shared" si="196"/>
        <v>0</v>
      </c>
      <c r="AV717" s="78">
        <f t="shared" si="196"/>
        <v>0</v>
      </c>
      <c r="AW717" s="78">
        <f t="shared" si="196"/>
        <v>0</v>
      </c>
      <c r="AX717" s="78">
        <f t="shared" si="196"/>
        <v>0</v>
      </c>
      <c r="AY717" s="78">
        <f t="shared" si="196"/>
        <v>0</v>
      </c>
      <c r="AZ717" s="78">
        <f t="shared" si="196"/>
        <v>0</v>
      </c>
      <c r="BA717" s="78">
        <f t="shared" si="196"/>
        <v>0</v>
      </c>
      <c r="BB717" s="78">
        <f t="shared" si="196"/>
        <v>0</v>
      </c>
      <c r="BC717" s="78">
        <f t="shared" si="196"/>
        <v>0</v>
      </c>
      <c r="BD717" s="78">
        <f t="shared" si="196"/>
        <v>0</v>
      </c>
      <c r="BE717" s="78">
        <f t="shared" si="196"/>
        <v>0</v>
      </c>
      <c r="BF717" s="78">
        <f>+BF713-BF715</f>
        <v>0</v>
      </c>
    </row>
    <row r="719" spans="1:59" x14ac:dyDescent="0.2">
      <c r="A719" s="1" t="s">
        <v>1563</v>
      </c>
      <c r="D719" s="1">
        <v>1</v>
      </c>
      <c r="P719" s="1">
        <v>1</v>
      </c>
      <c r="S719" s="1">
        <v>1</v>
      </c>
      <c r="T719" s="1">
        <v>1</v>
      </c>
      <c r="V719" s="1">
        <v>1</v>
      </c>
      <c r="W719" s="1">
        <v>1</v>
      </c>
      <c r="X719" s="1">
        <v>1</v>
      </c>
      <c r="AH719" s="1">
        <v>1</v>
      </c>
      <c r="AN719" s="1">
        <v>1</v>
      </c>
      <c r="AS719" s="1">
        <v>1</v>
      </c>
      <c r="AX719" s="1">
        <v>1</v>
      </c>
      <c r="BB719" s="1">
        <v>1</v>
      </c>
      <c r="BC719" s="1">
        <v>1</v>
      </c>
      <c r="BG719" s="1">
        <f>SUM(C719:BE719)</f>
        <v>13</v>
      </c>
    </row>
    <row r="722" spans="1:58" x14ac:dyDescent="0.2">
      <c r="A722" s="1228" t="s">
        <v>1568</v>
      </c>
      <c r="B722" s="1">
        <v>1</v>
      </c>
      <c r="C722" s="5">
        <f>+IFERROR(VLOOKUP(C8,'נתוני מים 2014'!$C$2:$L$188,5,0)/1000,0)</f>
        <v>17472.855</v>
      </c>
      <c r="D722" s="5">
        <f>+IFERROR(VLOOKUP(D8,'נתוני מים 2014'!$C$2:$L$188,5,0)/1000,0)</f>
        <v>1840.94</v>
      </c>
      <c r="E722" s="5">
        <f>+IFERROR(VLOOKUP(E8,'נתוני מים 2014'!$C$2:$L$188,5,0)/1000,0)</f>
        <v>16731.423999999999</v>
      </c>
      <c r="F722" s="5">
        <f>+IFERROR(VLOOKUP(F8,'נתוני מים 2014'!$C$2:$L$188,5,0)/1000,0)</f>
        <v>1405.123</v>
      </c>
      <c r="G722" s="5">
        <f>+IFERROR(VLOOKUP(G8,'נתוני מים 2014'!$C$2:$L$188,5,0)/1000,0)</f>
        <v>6495.7709999999997</v>
      </c>
      <c r="H722" s="5">
        <f>+IFERROR(VLOOKUP(H8,'נתוני מים 2014'!$C$2:$L$188,5,0)/1000,0)</f>
        <v>52298.358</v>
      </c>
      <c r="I722" s="5">
        <f>+IFERROR(VLOOKUP(I8,'נתוני מים 2014'!$C$2:$L$188,5,0)/1000,0)</f>
        <v>19861.718000000001</v>
      </c>
      <c r="J722" s="5">
        <f>+IFERROR(VLOOKUP(J8,'נתוני מים 2014'!$C$2:$L$188,5,0)/1000,0)</f>
        <v>11127.407999999999</v>
      </c>
      <c r="K722" s="5">
        <f>+IFERROR(VLOOKUP(K8,'נתוני מים 2014'!$C$2:$L$188,5,0)/1000,0)</f>
        <v>3249.8589999999999</v>
      </c>
      <c r="L722" s="5">
        <f>+IFERROR(VLOOKUP(L8,'נתוני מים 2014'!$C$2:$L$188,5,0)/1000,0)</f>
        <v>4213.8770000000004</v>
      </c>
      <c r="M722" s="5">
        <f>+IFERROR(VLOOKUP(M8,'נתוני מים 2014'!$C$2:$L$188,5,0)/1000,0)</f>
        <v>17050.637999999999</v>
      </c>
      <c r="N722" s="5">
        <f>+IFERROR(VLOOKUP(N8,'נתוני מים 2014'!$C$2:$L$188,5,0)/1000,0)</f>
        <v>18655.148000000001</v>
      </c>
      <c r="O722" s="5">
        <f>+IFERROR(VLOOKUP(O8,'נתוני מים 2014'!$C$2:$L$188,5,0)/1000,0)</f>
        <v>13805.227999999999</v>
      </c>
      <c r="P722" s="5">
        <f>+IFERROR(VLOOKUP(P8,'נתוני מים 2014'!$C$2:$L$188,5,0)/1000,0)</f>
        <v>2771.98</v>
      </c>
      <c r="Q722" s="5">
        <f>+IFERROR(VLOOKUP(Q8,'נתוני מים 2014'!$C$2:$L$188,5,0)/1000,0)</f>
        <v>10780.42</v>
      </c>
      <c r="R722" s="5">
        <f>+IFERROR(VLOOKUP(R8,'נתוני מים 2014'!$C$2:$L$188,5,0)/1000,0)</f>
        <v>3844.8330000000001</v>
      </c>
      <c r="S722" s="5">
        <f>+IFERROR(VLOOKUP(S8,'נתוני מים 2014'!$C$2:$L$188,5,0)/1000,0)</f>
        <v>5395.0429999999997</v>
      </c>
      <c r="T722" s="5">
        <f>+IFERROR(VLOOKUP(T8,'נתוני מים 2014'!$C$2:$L$188,5,0)/1000,0)</f>
        <v>4763.9189999999999</v>
      </c>
      <c r="U722" s="5">
        <f>+IFERROR(VLOOKUP(U8,'נתוני מים 2014'!$C$2:$L$188,5,0)/1000,0)</f>
        <v>7298.3680000000004</v>
      </c>
      <c r="V722" s="5">
        <f>+IFERROR(VLOOKUP(V8,'נתוני מים 2014'!$C$2:$L$188,5,0)/1000,0)</f>
        <v>1194.0429999999999</v>
      </c>
      <c r="W722" s="5">
        <f>+IFERROR(VLOOKUP(W8,'נתוני מים 2014'!$C$2:$L$188,5,0)/1000,0)</f>
        <v>3599.1579999999999</v>
      </c>
      <c r="X722" s="5">
        <f>+IFERROR(VLOOKUP(X8,'נתוני מים 2014'!$C$2:$L$188,5,0)/1000,0)</f>
        <v>5397.7569999999996</v>
      </c>
      <c r="Y722" s="5">
        <f>+IFERROR(VLOOKUP(Y8,'נתוני מים 2014'!$C$2:$L$188,5,0)/1000,0)</f>
        <v>1565.307</v>
      </c>
      <c r="Z722" s="5">
        <f>+IFERROR(VLOOKUP(Z8,'נתוני מים 2014'!$C$2:$L$188,5,0)/1000,0)</f>
        <v>3917.7660000000001</v>
      </c>
      <c r="AA722" s="5">
        <f>+IFERROR(VLOOKUP(AA8,'נתוני מים 2014'!$C$2:$L$188,5,0)/1000,0)</f>
        <v>6785.3450000000003</v>
      </c>
      <c r="AB722" s="5">
        <f>+IFERROR(VLOOKUP(AB8,'נתוני מים 2014'!$C$2:$L$188,5,0)/1000,0)</f>
        <v>6789.9260000000004</v>
      </c>
      <c r="AC722" s="5">
        <f>+IFERROR(VLOOKUP(AC8,'נתוני מים 2014'!$C$2:$L$188,5,0)/1000,0)</f>
        <v>10532.257</v>
      </c>
      <c r="AD722" s="5">
        <f>+IFERROR(VLOOKUP(AD8,'נתוני מים 2014'!$C$2:$L$188,5,0)/1000,0)</f>
        <v>5604.67</v>
      </c>
      <c r="AE722" s="5">
        <f>+IFERROR(VLOOKUP(AE8,'נתוני מים 2014'!$C$2:$L$188,5,0)/1000,0)</f>
        <v>23115.748</v>
      </c>
      <c r="AF722" s="5">
        <f>+IFERROR(VLOOKUP(AF8,'נתוני מים 2014'!$C$2:$L$188,5,0)/1000,0)</f>
        <v>3649.355</v>
      </c>
      <c r="AG722" s="5">
        <f>+IFERROR(VLOOKUP(AG8,'נתוני מים 2014'!$C$2:$L$188,5,0)/1000,0)</f>
        <v>3764.6129999999998</v>
      </c>
      <c r="AH722" s="5">
        <f>+IFERROR(VLOOKUP(AH8,'נתוני מים 2014'!$C$2:$L$188,5,0)/1000,0)</f>
        <v>3262.9279999999999</v>
      </c>
      <c r="AI722" s="5">
        <f>+IFERROR(VLOOKUP(AI8,'נתוני מים 2014'!$C$2:$L$188,5,0)/1000,0)</f>
        <v>3853.6170000000002</v>
      </c>
      <c r="AJ722" s="5">
        <f>+IFERROR(VLOOKUP(AJ8,'נתוני מים 2014'!$C$2:$L$188,5,0)/1000,0)</f>
        <v>2680.7440000000001</v>
      </c>
      <c r="AK722" s="5">
        <f>+IFERROR(VLOOKUP(AK8,'נתוני מים 2014'!$C$2:$L$188,5,0)/1000,0)</f>
        <v>2933.0459999999998</v>
      </c>
      <c r="AL722" s="5">
        <f>+IFERROR(VLOOKUP(AL8,'נתוני מים 2014'!$C$2:$L$188,5,0)/1000,0)</f>
        <v>46150.264000000003</v>
      </c>
      <c r="AM722" s="5">
        <f>+IFERROR(VLOOKUP(AM8,'נתוני מים 2014'!$C$2:$L$188,5,0)/1000,0)</f>
        <v>1362.7159999999999</v>
      </c>
      <c r="AN722" s="5">
        <f>+IFERROR(VLOOKUP(AN8,'נתוני מים 2014'!$C$2:$L$188,5,0)/1000,0)</f>
        <v>1237.6679999999999</v>
      </c>
      <c r="AO722" s="5">
        <f>+IFERROR(VLOOKUP(AO8,'נתוני מים 2014'!$C$2:$L$188,5,0)/1000,0)</f>
        <v>12033.063</v>
      </c>
      <c r="AP722" s="5">
        <f>+IFERROR(VLOOKUP(AP8,'נתוני מים 2014'!$C$2:$L$188,5,0)/1000,0)</f>
        <v>3748.2510000000002</v>
      </c>
      <c r="AQ722" s="5">
        <f>+IFERROR(VLOOKUP(AQ8,'נתוני מים 2014'!$C$2:$L$188,5,0)/1000,0)</f>
        <v>9026.4089999999997</v>
      </c>
      <c r="AR722" s="5">
        <f>+IFERROR(VLOOKUP(AR8,'נתוני מים 2014'!$C$2:$L$188,5,0)/1000,0)</f>
        <v>2835.6260000000002</v>
      </c>
      <c r="AS722" s="5">
        <f>+IFERROR(VLOOKUP(AS8,'נתוני מים 2014'!$C$2:$L$188,5,0)/1000,0)</f>
        <v>3207.38</v>
      </c>
      <c r="AT722" s="5">
        <f>+IFERROR(VLOOKUP(AT8,'נתוני מים 2014'!$C$2:$L$188,5,0)/1000,0)</f>
        <v>5761.5990000000002</v>
      </c>
      <c r="AU722" s="5">
        <f>+IFERROR(VLOOKUP(AU8,'נתוני מים 2014'!$C$2:$L$188,5,0)/1000,0)</f>
        <v>5168.8779999999997</v>
      </c>
      <c r="AV722" s="5">
        <f>+IFERROR(VLOOKUP(AV8,'נתוני מים 2014'!$C$2:$L$188,5,0)/1000,0)</f>
        <v>12239.079</v>
      </c>
      <c r="AW722" s="5">
        <f>+IFERROR(VLOOKUP(AW8,'נתוני מים 2014'!$C$2:$L$188,5,0)/1000,0)</f>
        <v>3533.7170000000001</v>
      </c>
      <c r="AX722" s="5">
        <f>+IFERROR(VLOOKUP(AX8,'נתוני מים 2014'!$C$2:$L$188,5,0)/1000,0)</f>
        <v>0</v>
      </c>
      <c r="AY722" s="5">
        <f>+IFERROR(VLOOKUP(AY8,'נתוני מים 2014'!$C$2:$L$188,5,0)/1000,0)</f>
        <v>2910.1680000000001</v>
      </c>
      <c r="AZ722" s="5">
        <f>+IFERROR(VLOOKUP(AZ8,'נתוני מים 2014'!$C$2:$L$188,5,0)/1000,0)</f>
        <v>1463.865</v>
      </c>
      <c r="BA722" s="5">
        <f>+IFERROR(VLOOKUP(BA8,'נתוני מים 2014'!$C$2:$L$188,5,0)/1000,0)</f>
        <v>2943.3470000000002</v>
      </c>
      <c r="BB722" s="5">
        <f>+IFERROR(VLOOKUP(BB8,'נתוני מים 2014'!$C$2:$L$188,5,0)/1000,0)</f>
        <v>918.71</v>
      </c>
      <c r="BC722" s="5">
        <f>+IFERROR(VLOOKUP(BC8,'נתוני מים 2014'!$C$2:$L$188,5,0)/1000,0)</f>
        <v>754.16800000000001</v>
      </c>
      <c r="BD722" s="5">
        <f>+IFERROR(VLOOKUP(BD8,'נתוני מים 2014'!$C$2:$L$188,5,0)/1000,0)</f>
        <v>0</v>
      </c>
      <c r="BE722" s="5">
        <f>+IFERROR(VLOOKUP(BE8,'נתוני מים 2014'!$C$2:$L$188,5,0)/1000,0)</f>
        <v>1173.269</v>
      </c>
      <c r="BF722" s="5">
        <f>+IFERROR(VLOOKUP(BF8,'נתוני מים 2014'!$C$2:$L$188,5,0)/1000,0)</f>
        <v>10727.455</v>
      </c>
    </row>
    <row r="723" spans="1:58" x14ac:dyDescent="0.2">
      <c r="B723" s="1">
        <v>2</v>
      </c>
      <c r="C723" s="5">
        <f>+IFERROR(VLOOKUP(C9,'נתוני מים 2014'!$C$2:$L$188,5,0)/1000,0)</f>
        <v>2040.126</v>
      </c>
      <c r="D723" s="5">
        <f>+IFERROR(VLOOKUP(D9,'נתוני מים 2014'!$C$2:$L$188,5,0)/1000,0)</f>
        <v>194.93799999999999</v>
      </c>
      <c r="E723" s="5">
        <f>+IFERROR(VLOOKUP(E9,'נתוני מים 2014'!$C$2:$L$188,5,0)/1000,0)</f>
        <v>0</v>
      </c>
      <c r="F723" s="5">
        <f>+IFERROR(VLOOKUP(F9,'נתוני מים 2014'!$C$2:$L$188,5,0)/1000,0)</f>
        <v>599.36400000000003</v>
      </c>
      <c r="G723" s="5">
        <f>+IFERROR(VLOOKUP(G9,'נתוני מים 2014'!$C$2:$L$188,5,0)/1000,0)</f>
        <v>0</v>
      </c>
      <c r="H723" s="5">
        <f>+IFERROR(VLOOKUP(H9,'נתוני מים 2014'!$C$2:$L$188,5,0)/1000,0)</f>
        <v>436.08800000000002</v>
      </c>
      <c r="I723" s="5">
        <f>+IFERROR(VLOOKUP(I9,'נתוני מים 2014'!$C$2:$L$188,5,0)/1000,0)</f>
        <v>0</v>
      </c>
      <c r="J723" s="5">
        <f>+IFERROR(VLOOKUP(J9,'נתוני מים 2014'!$C$2:$L$188,5,0)/1000,0)</f>
        <v>0</v>
      </c>
      <c r="K723" s="5">
        <f>+IFERROR(VLOOKUP(K9,'נתוני מים 2014'!$C$2:$L$188,5,0)/1000,0)</f>
        <v>2796.9670000000001</v>
      </c>
      <c r="L723" s="5">
        <f>+IFERROR(VLOOKUP(L9,'נתוני מים 2014'!$C$2:$L$188,5,0)/1000,0)</f>
        <v>287.96600000000001</v>
      </c>
      <c r="M723" s="5">
        <f>+IFERROR(VLOOKUP(M9,'נתוני מים 2014'!$C$2:$L$188,5,0)/1000,0)</f>
        <v>0</v>
      </c>
      <c r="N723" s="5">
        <f>+IFERROR(VLOOKUP(N9,'נתוני מים 2014'!$C$2:$L$188,5,0)/1000,0)</f>
        <v>2347.7510000000002</v>
      </c>
      <c r="O723" s="5">
        <f>+IFERROR(VLOOKUP(O9,'נתוני מים 2014'!$C$2:$L$188,5,0)/1000,0)</f>
        <v>1300.105</v>
      </c>
      <c r="P723" s="5">
        <f>+IFERROR(VLOOKUP(P9,'נתוני מים 2014'!$C$2:$L$188,5,0)/1000,0)</f>
        <v>744.48099999999999</v>
      </c>
      <c r="Q723" s="5">
        <f>+IFERROR(VLOOKUP(Q9,'נתוני מים 2014'!$C$2:$L$188,5,0)/1000,0)</f>
        <v>0</v>
      </c>
      <c r="R723" s="5">
        <f>+IFERROR(VLOOKUP(R9,'נתוני מים 2014'!$C$2:$L$188,5,0)/1000,0)</f>
        <v>872.88599999999997</v>
      </c>
      <c r="S723" s="5">
        <f>+IFERROR(VLOOKUP(S9,'נתוני מים 2014'!$C$2:$L$188,5,0)/1000,0)</f>
        <v>0</v>
      </c>
      <c r="T723" s="5">
        <f>+IFERROR(VLOOKUP(T9,'נתוני מים 2014'!$C$2:$L$188,5,0)/1000,0)</f>
        <v>1735.146</v>
      </c>
      <c r="U723" s="5">
        <f>+IFERROR(VLOOKUP(U9,'נתוני מים 2014'!$C$2:$L$188,5,0)/1000,0)</f>
        <v>0</v>
      </c>
      <c r="V723" s="5">
        <f>+IFERROR(VLOOKUP(V9,'נתוני מים 2014'!$C$2:$L$188,5,0)/1000,0)</f>
        <v>872.35900000000004</v>
      </c>
      <c r="W723" s="5">
        <f>+IFERROR(VLOOKUP(W9,'נתוני מים 2014'!$C$2:$L$188,5,0)/1000,0)</f>
        <v>508.90600000000001</v>
      </c>
      <c r="X723" s="5">
        <f>+IFERROR(VLOOKUP(X9,'נתוני מים 2014'!$C$2:$L$188,5,0)/1000,0)</f>
        <v>1366.9749999999999</v>
      </c>
      <c r="Y723" s="5">
        <f>+IFERROR(VLOOKUP(Y9,'נתוני מים 2014'!$C$2:$L$188,5,0)/1000,0)</f>
        <v>801.59299999999996</v>
      </c>
      <c r="Z723" s="5">
        <f>+IFERROR(VLOOKUP(Z9,'נתוני מים 2014'!$C$2:$L$188,5,0)/1000,0)</f>
        <v>0</v>
      </c>
      <c r="AA723" s="5">
        <f>+IFERROR(VLOOKUP(AA9,'נתוני מים 2014'!$C$2:$L$188,5,0)/1000,0)</f>
        <v>0</v>
      </c>
      <c r="AB723" s="5">
        <f>+IFERROR(VLOOKUP(AB9,'נתוני מים 2014'!$C$2:$L$188,5,0)/1000,0)</f>
        <v>0</v>
      </c>
      <c r="AC723" s="5">
        <f>+IFERROR(VLOOKUP(AC9,'נתוני מים 2014'!$C$2:$L$188,5,0)/1000,0)</f>
        <v>0</v>
      </c>
      <c r="AD723" s="5">
        <f>+IFERROR(VLOOKUP(AD9,'נתוני מים 2014'!$C$2:$L$188,5,0)/1000,0)</f>
        <v>0</v>
      </c>
      <c r="AE723" s="5">
        <f>+IFERROR(VLOOKUP(AE9,'נתוני מים 2014'!$C$2:$L$188,5,0)/1000,0)</f>
        <v>0</v>
      </c>
      <c r="AF723" s="5">
        <f>+IFERROR(VLOOKUP(AF9,'נתוני מים 2014'!$C$2:$L$188,5,0)/1000,0)</f>
        <v>1814.3209999999999</v>
      </c>
      <c r="AG723" s="5">
        <f>+IFERROR(VLOOKUP(AG9,'נתוני מים 2014'!$C$2:$L$188,5,0)/1000,0)</f>
        <v>0</v>
      </c>
      <c r="AH723" s="5">
        <f>+IFERROR(VLOOKUP(AH9,'נתוני מים 2014'!$C$2:$L$188,5,0)/1000,0)</f>
        <v>0</v>
      </c>
      <c r="AI723" s="5">
        <f>+IFERROR(VLOOKUP(AI9,'נתוני מים 2014'!$C$2:$L$188,5,0)/1000,0)</f>
        <v>0</v>
      </c>
      <c r="AJ723" s="5">
        <f>+IFERROR(VLOOKUP(AJ9,'נתוני מים 2014'!$C$2:$L$188,5,0)/1000,0)</f>
        <v>595.94399999999996</v>
      </c>
      <c r="AK723" s="5">
        <f>+IFERROR(VLOOKUP(AK9,'נתוני מים 2014'!$C$2:$L$188,5,0)/1000,0)</f>
        <v>0</v>
      </c>
      <c r="AL723" s="5">
        <f>+IFERROR(VLOOKUP(AL9,'נתוני מים 2014'!$C$2:$L$188,5,0)/1000,0)</f>
        <v>0</v>
      </c>
      <c r="AM723" s="5">
        <f>+IFERROR(VLOOKUP(AM9,'נתוני מים 2014'!$C$2:$L$188,5,0)/1000,0)</f>
        <v>1742.1010000000001</v>
      </c>
      <c r="AN723" s="5">
        <f>+IFERROR(VLOOKUP(AN9,'נתוני מים 2014'!$C$2:$L$188,5,0)/1000,0)</f>
        <v>879.04100000000005</v>
      </c>
      <c r="AO723" s="5">
        <f>+IFERROR(VLOOKUP(AO9,'נתוני מים 2014'!$C$2:$L$188,5,0)/1000,0)</f>
        <v>0</v>
      </c>
      <c r="AP723" s="5">
        <f>+IFERROR(VLOOKUP(AP9,'נתוני מים 2014'!$C$2:$L$188,5,0)/1000,0)</f>
        <v>0</v>
      </c>
      <c r="AQ723" s="5">
        <f>+IFERROR(VLOOKUP(AQ9,'נתוני מים 2014'!$C$2:$L$188,5,0)/1000,0)</f>
        <v>0</v>
      </c>
      <c r="AR723" s="5">
        <f>+IFERROR(VLOOKUP(AR9,'נתוני מים 2014'!$C$2:$L$188,5,0)/1000,0)</f>
        <v>2559.933</v>
      </c>
      <c r="AS723" s="5">
        <f>+IFERROR(VLOOKUP(AS9,'נתוני מים 2014'!$C$2:$L$188,5,0)/1000,0)</f>
        <v>1287.027</v>
      </c>
      <c r="AT723" s="5">
        <f>+IFERROR(VLOOKUP(AT9,'נתוני מים 2014'!$C$2:$L$188,5,0)/1000,0)</f>
        <v>0</v>
      </c>
      <c r="AU723" s="5">
        <f>+IFERROR(VLOOKUP(AU9,'נתוני מים 2014'!$C$2:$L$188,5,0)/1000,0)</f>
        <v>0</v>
      </c>
      <c r="AV723" s="5">
        <f>+IFERROR(VLOOKUP(AV9,'נתוני מים 2014'!$C$2:$L$188,5,0)/1000,0)</f>
        <v>2183.7049999999999</v>
      </c>
      <c r="AW723" s="5">
        <f>+IFERROR(VLOOKUP(AW9,'נתוני מים 2014'!$C$2:$L$188,5,0)/1000,0)</f>
        <v>0</v>
      </c>
      <c r="AX723" s="5">
        <f>+IFERROR(VLOOKUP(AX9,'נתוני מים 2014'!$C$2:$L$188,5,0)/1000,0)</f>
        <v>1179.5</v>
      </c>
      <c r="AY723" s="5">
        <f>+IFERROR(VLOOKUP(AY9,'נתוני מים 2014'!$C$2:$L$188,5,0)/1000,0)</f>
        <v>0</v>
      </c>
      <c r="AZ723" s="5">
        <f>+IFERROR(VLOOKUP(AZ9,'נתוני מים 2014'!$C$2:$L$188,5,0)/1000,0)</f>
        <v>1579.739</v>
      </c>
      <c r="BA723" s="5">
        <f>+IFERROR(VLOOKUP(BA9,'נתוני מים 2014'!$C$2:$L$188,5,0)/1000,0)</f>
        <v>2044.7429999999999</v>
      </c>
      <c r="BB723" s="5">
        <f>+IFERROR(VLOOKUP(BB9,'נתוני מים 2014'!$C$2:$L$188,5,0)/1000,0)</f>
        <v>1436.2850000000001</v>
      </c>
      <c r="BC723" s="5">
        <f>+IFERROR(VLOOKUP(BC9,'נתוני מים 2014'!$C$2:$L$188,5,0)/1000,0)</f>
        <v>619.39800000000002</v>
      </c>
      <c r="BD723" s="5">
        <f>+IFERROR(VLOOKUP(BD9,'נתוני מים 2014'!$C$2:$L$188,5,0)/1000,0)</f>
        <v>975.60500000000002</v>
      </c>
      <c r="BE723" s="5">
        <f>+IFERROR(VLOOKUP(BE9,'נתוני מים 2014'!$C$2:$L$188,5,0)/1000,0)</f>
        <v>0</v>
      </c>
      <c r="BF723" s="5">
        <f>+IFERROR(VLOOKUP(BF9,'נתוני מים 2014'!$C$2:$L$188,5,0)/1000,0)</f>
        <v>0</v>
      </c>
    </row>
    <row r="724" spans="1:58" x14ac:dyDescent="0.2">
      <c r="B724" s="1">
        <v>3</v>
      </c>
      <c r="C724" s="5">
        <f>+IFERROR(VLOOKUP(C10,'נתוני מים 2014'!$C$2:$L$188,5,0)/1000,0)</f>
        <v>198.959</v>
      </c>
      <c r="D724" s="5">
        <f>+IFERROR(VLOOKUP(D10,'נתוני מים 2014'!$C$2:$L$188,5,0)/1000,0)</f>
        <v>732.76</v>
      </c>
      <c r="E724" s="5">
        <f>+IFERROR(VLOOKUP(E10,'נתוני מים 2014'!$C$2:$L$188,5,0)/1000,0)</f>
        <v>0</v>
      </c>
      <c r="F724" s="5">
        <f>+IFERROR(VLOOKUP(F10,'נתוני מים 2014'!$C$2:$L$188,5,0)/1000,0)</f>
        <v>0</v>
      </c>
      <c r="G724" s="5">
        <f>+IFERROR(VLOOKUP(G10,'נתוני מים 2014'!$C$2:$L$188,5,0)/1000,0)</f>
        <v>0</v>
      </c>
      <c r="H724" s="5">
        <f>+IFERROR(VLOOKUP(H10,'נתוני מים 2014'!$C$2:$L$188,5,0)/1000,0)</f>
        <v>1869.9960000000001</v>
      </c>
      <c r="I724" s="5">
        <f>+IFERROR(VLOOKUP(I10,'נתוני מים 2014'!$C$2:$L$188,5,0)/1000,0)</f>
        <v>0</v>
      </c>
      <c r="J724" s="5">
        <f>+IFERROR(VLOOKUP(J10,'נתוני מים 2014'!$C$2:$L$188,5,0)/1000,0)</f>
        <v>0</v>
      </c>
      <c r="K724" s="5">
        <f>+IFERROR(VLOOKUP(K10,'נתוני מים 2014'!$C$2:$L$188,5,0)/1000,0)</f>
        <v>3907.1889999999999</v>
      </c>
      <c r="L724" s="5">
        <f>+IFERROR(VLOOKUP(L10,'נתוני מים 2014'!$C$2:$L$188,5,0)/1000,0)</f>
        <v>0</v>
      </c>
      <c r="M724" s="5">
        <f>+IFERROR(VLOOKUP(M10,'נתוני מים 2014'!$C$2:$L$188,5,0)/1000,0)</f>
        <v>0</v>
      </c>
      <c r="N724" s="5">
        <f>+IFERROR(VLOOKUP(N10,'נתוני מים 2014'!$C$2:$L$188,5,0)/1000,0)</f>
        <v>0</v>
      </c>
      <c r="O724" s="5">
        <f>+IFERROR(VLOOKUP(O10,'נתוני מים 2014'!$C$2:$L$188,5,0)/1000,0)</f>
        <v>542.67499999999995</v>
      </c>
      <c r="P724" s="5">
        <f>+IFERROR(VLOOKUP(P10,'נתוני מים 2014'!$C$2:$L$188,5,0)/1000,0)</f>
        <v>535.31399999999996</v>
      </c>
      <c r="Q724" s="5">
        <f>+IFERROR(VLOOKUP(Q10,'נתוני מים 2014'!$C$2:$L$188,5,0)/1000,0)</f>
        <v>0</v>
      </c>
      <c r="R724" s="5">
        <f>+IFERROR(VLOOKUP(R10,'נתוני מים 2014'!$C$2:$L$188,5,0)/1000,0)</f>
        <v>975.572</v>
      </c>
      <c r="S724" s="5">
        <f>+IFERROR(VLOOKUP(S10,'נתוני מים 2014'!$C$2:$L$188,5,0)/1000,0)</f>
        <v>0</v>
      </c>
      <c r="T724" s="5">
        <f>+IFERROR(VLOOKUP(T10,'נתוני מים 2014'!$C$2:$L$188,5,0)/1000,0)</f>
        <v>1844.1020000000001</v>
      </c>
      <c r="U724" s="5">
        <f>+IFERROR(VLOOKUP(U10,'נתוני מים 2014'!$C$2:$L$188,5,0)/1000,0)</f>
        <v>0</v>
      </c>
      <c r="V724" s="5">
        <f>+IFERROR(VLOOKUP(V10,'נתוני מים 2014'!$C$2:$L$188,5,0)/1000,0)</f>
        <v>420.26799999999997</v>
      </c>
      <c r="W724" s="5">
        <f>+IFERROR(VLOOKUP(W10,'נתוני מים 2014'!$C$2:$L$188,5,0)/1000,0)</f>
        <v>1553.415</v>
      </c>
      <c r="X724" s="5">
        <f>+IFERROR(VLOOKUP(X10,'נתוני מים 2014'!$C$2:$L$188,5,0)/1000,0)</f>
        <v>1177.32</v>
      </c>
      <c r="Y724" s="5">
        <f>+IFERROR(VLOOKUP(Y10,'נתוני מים 2014'!$C$2:$L$188,5,0)/1000,0)</f>
        <v>511.21800000000002</v>
      </c>
      <c r="Z724" s="5">
        <f>+IFERROR(VLOOKUP(Z10,'נתוני מים 2014'!$C$2:$L$188,5,0)/1000,0)</f>
        <v>0</v>
      </c>
      <c r="AA724" s="5">
        <f>+IFERROR(VLOOKUP(AA10,'נתוני מים 2014'!$C$2:$L$188,5,0)/1000,0)</f>
        <v>0</v>
      </c>
      <c r="AB724" s="5">
        <f>+IFERROR(VLOOKUP(AB10,'נתוני מים 2014'!$C$2:$L$188,5,0)/1000,0)</f>
        <v>0</v>
      </c>
      <c r="AC724" s="5">
        <f>+IFERROR(VLOOKUP(AC10,'נתוני מים 2014'!$C$2:$L$188,5,0)/1000,0)</f>
        <v>0</v>
      </c>
      <c r="AD724" s="5">
        <f>+IFERROR(VLOOKUP(AD10,'נתוני מים 2014'!$C$2:$L$188,5,0)/1000,0)</f>
        <v>0</v>
      </c>
      <c r="AE724" s="5">
        <f>+IFERROR(VLOOKUP(AE10,'נתוני מים 2014'!$C$2:$L$188,5,0)/1000,0)</f>
        <v>0</v>
      </c>
      <c r="AF724" s="5">
        <f>+IFERROR(VLOOKUP(AF10,'נתוני מים 2014'!$C$2:$L$188,5,0)/1000,0)</f>
        <v>0</v>
      </c>
      <c r="AG724" s="5">
        <f>+IFERROR(VLOOKUP(AG10,'נתוני מים 2014'!$C$2:$L$188,5,0)/1000,0)</f>
        <v>0</v>
      </c>
      <c r="AH724" s="5">
        <f>+IFERROR(VLOOKUP(AH10,'נתוני מים 2014'!$C$2:$L$188,5,0)/1000,0)</f>
        <v>0</v>
      </c>
      <c r="AI724" s="5">
        <f>+IFERROR(VLOOKUP(AI10,'נתוני מים 2014'!$C$2:$L$188,5,0)/1000,0)</f>
        <v>0</v>
      </c>
      <c r="AJ724" s="5">
        <f>+IFERROR(VLOOKUP(AJ10,'נתוני מים 2014'!$C$2:$L$188,5,0)/1000,0)</f>
        <v>0</v>
      </c>
      <c r="AK724" s="5">
        <f>+IFERROR(VLOOKUP(AK10,'נתוני מים 2014'!$C$2:$L$188,5,0)/1000,0)</f>
        <v>0</v>
      </c>
      <c r="AL724" s="5">
        <f>+IFERROR(VLOOKUP(AL10,'נתוני מים 2014'!$C$2:$L$188,5,0)/1000,0)</f>
        <v>0</v>
      </c>
      <c r="AM724" s="5">
        <f>+IFERROR(VLOOKUP(AM10,'נתוני מים 2014'!$C$2:$L$188,5,0)/1000,0)</f>
        <v>534.226</v>
      </c>
      <c r="AN724" s="5">
        <f>+IFERROR(VLOOKUP(AN10,'נתוני מים 2014'!$C$2:$L$188,5,0)/1000,0)</f>
        <v>1176.954</v>
      </c>
      <c r="AO724" s="5">
        <f>+IFERROR(VLOOKUP(AO10,'נתוני מים 2014'!$C$2:$L$188,5,0)/1000,0)</f>
        <v>0</v>
      </c>
      <c r="AP724" s="5">
        <f>+IFERROR(VLOOKUP(AP10,'נתוני מים 2014'!$C$2:$L$188,5,0)/1000,0)</f>
        <v>0</v>
      </c>
      <c r="AQ724" s="5">
        <f>+IFERROR(VLOOKUP(AQ10,'נתוני מים 2014'!$C$2:$L$188,5,0)/1000,0)</f>
        <v>0</v>
      </c>
      <c r="AR724" s="5">
        <f>+IFERROR(VLOOKUP(AR10,'נתוני מים 2014'!$C$2:$L$188,5,0)/1000,0)</f>
        <v>0</v>
      </c>
      <c r="AS724" s="5">
        <f>+IFERROR(VLOOKUP(AS10,'נתוני מים 2014'!$C$2:$L$188,5,0)/1000,0)</f>
        <v>482.23399999999998</v>
      </c>
      <c r="AT724" s="5">
        <f>+IFERROR(VLOOKUP(AT10,'נתוני מים 2014'!$C$2:$L$188,5,0)/1000,0)</f>
        <v>0</v>
      </c>
      <c r="AU724" s="5">
        <f>+IFERROR(VLOOKUP(AU10,'נתוני מים 2014'!$C$2:$L$188,5,0)/1000,0)</f>
        <v>0</v>
      </c>
      <c r="AV724" s="5">
        <f>+IFERROR(VLOOKUP(AV10,'נתוני מים 2014'!$C$2:$L$188,5,0)/1000,0)</f>
        <v>0</v>
      </c>
      <c r="AW724" s="5">
        <f>+IFERROR(VLOOKUP(AW10,'נתוני מים 2014'!$C$2:$L$188,5,0)/1000,0)</f>
        <v>0</v>
      </c>
      <c r="AX724" s="5">
        <f>+IFERROR(VLOOKUP(AX10,'נתוני מים 2014'!$C$2:$L$188,5,0)/1000,0)</f>
        <v>2094.306</v>
      </c>
      <c r="AY724" s="5">
        <f>+IFERROR(VLOOKUP(AY10,'נתוני מים 2014'!$C$2:$L$188,5,0)/1000,0)</f>
        <v>0</v>
      </c>
      <c r="AZ724" s="5">
        <f>+IFERROR(VLOOKUP(AZ10,'נתוני מים 2014'!$C$2:$L$188,5,0)/1000,0)</f>
        <v>542.56399999999996</v>
      </c>
      <c r="BA724" s="5">
        <f>+IFERROR(VLOOKUP(BA10,'נתוני מים 2014'!$C$2:$L$188,5,0)/1000,0)</f>
        <v>1053.5119999999999</v>
      </c>
      <c r="BB724" s="5">
        <f>+IFERROR(VLOOKUP(BB10,'נתוני מים 2014'!$C$2:$L$188,5,0)/1000,0)</f>
        <v>524.41700000000003</v>
      </c>
      <c r="BC724" s="5">
        <f>+IFERROR(VLOOKUP(BC10,'נתוני מים 2014'!$C$2:$L$188,5,0)/1000,0)</f>
        <v>622.57600000000002</v>
      </c>
      <c r="BD724" s="5">
        <f>+IFERROR(VLOOKUP(BD10,'נתוני מים 2014'!$C$2:$L$188,5,0)/1000,0)</f>
        <v>0</v>
      </c>
      <c r="BE724" s="5">
        <f>+IFERROR(VLOOKUP(BE10,'נתוני מים 2014'!$C$2:$L$188,5,0)/1000,0)</f>
        <v>0</v>
      </c>
      <c r="BF724" s="5">
        <f>+IFERROR(VLOOKUP(BF10,'נתוני מים 2014'!$C$2:$L$188,5,0)/1000,0)</f>
        <v>0</v>
      </c>
    </row>
    <row r="725" spans="1:58" x14ac:dyDescent="0.2">
      <c r="B725" s="1">
        <v>4</v>
      </c>
      <c r="C725" s="5">
        <f>+IFERROR(VLOOKUP(C11,'נתוני מים 2014'!$C$2:$L$188,5,0)/1000,0)</f>
        <v>0</v>
      </c>
      <c r="D725" s="5">
        <f>+IFERROR(VLOOKUP(D11,'נתוני מים 2014'!$C$2:$L$188,5,0)/1000,0)</f>
        <v>673.58600000000001</v>
      </c>
      <c r="E725" s="5">
        <f>+IFERROR(VLOOKUP(E11,'נתוני מים 2014'!$C$2:$L$188,5,0)/1000,0)</f>
        <v>0</v>
      </c>
      <c r="F725" s="5">
        <f>+IFERROR(VLOOKUP(F11,'נתוני מים 2014'!$C$2:$L$188,5,0)/1000,0)</f>
        <v>0</v>
      </c>
      <c r="G725" s="5">
        <f>+IFERROR(VLOOKUP(G11,'נתוני מים 2014'!$C$2:$L$188,5,0)/1000,0)</f>
        <v>0</v>
      </c>
      <c r="H725" s="5">
        <f>+IFERROR(VLOOKUP(H11,'נתוני מים 2014'!$C$2:$L$188,5,0)/1000,0)</f>
        <v>0</v>
      </c>
      <c r="I725" s="5">
        <f>+IFERROR(VLOOKUP(I11,'נתוני מים 2014'!$C$2:$L$188,5,0)/1000,0)</f>
        <v>0</v>
      </c>
      <c r="J725" s="5">
        <f>+IFERROR(VLOOKUP(J11,'נתוני מים 2014'!$C$2:$L$188,5,0)/1000,0)</f>
        <v>0</v>
      </c>
      <c r="K725" s="5">
        <f>+IFERROR(VLOOKUP(K11,'נתוני מים 2014'!$C$2:$L$188,5,0)/1000,0)</f>
        <v>0</v>
      </c>
      <c r="L725" s="5">
        <f>+IFERROR(VLOOKUP(L11,'נתוני מים 2014'!$C$2:$L$188,5,0)/1000,0)</f>
        <v>235.29599999999999</v>
      </c>
      <c r="M725" s="5">
        <f>+IFERROR(VLOOKUP(M11,'נתוני מים 2014'!$C$2:$L$188,5,0)/1000,0)</f>
        <v>0</v>
      </c>
      <c r="N725" s="5">
        <f>+IFERROR(VLOOKUP(N11,'נתוני מים 2014'!$C$2:$L$188,5,0)/1000,0)</f>
        <v>0</v>
      </c>
      <c r="O725" s="5">
        <f>+IFERROR(VLOOKUP(O11,'נתוני מים 2014'!$C$2:$L$188,5,0)/1000,0)</f>
        <v>3222.7150000000001</v>
      </c>
      <c r="P725" s="5">
        <f>+IFERROR(VLOOKUP(P11,'נתוני מים 2014'!$C$2:$L$188,5,0)/1000,0)</f>
        <v>212.87700000000001</v>
      </c>
      <c r="Q725" s="5">
        <f>+IFERROR(VLOOKUP(Q11,'נתוני מים 2014'!$C$2:$L$188,5,0)/1000,0)</f>
        <v>0</v>
      </c>
      <c r="R725" s="5">
        <f>+IFERROR(VLOOKUP(R11,'נתוני מים 2014'!$C$2:$L$188,5,0)/1000,0)</f>
        <v>0</v>
      </c>
      <c r="S725" s="5">
        <f>+IFERROR(VLOOKUP(S11,'נתוני מים 2014'!$C$2:$L$188,5,0)/1000,0)</f>
        <v>0</v>
      </c>
      <c r="T725" s="5">
        <f>+IFERROR(VLOOKUP(T11,'נתוני מים 2014'!$C$2:$L$188,5,0)/1000,0)</f>
        <v>398.14400000000001</v>
      </c>
      <c r="U725" s="5">
        <f>+IFERROR(VLOOKUP(U11,'נתוני מים 2014'!$C$2:$L$188,5,0)/1000,0)</f>
        <v>0</v>
      </c>
      <c r="V725" s="5">
        <f>+IFERROR(VLOOKUP(V11,'נתוני מים 2014'!$C$2:$L$188,5,0)/1000,0)</f>
        <v>640.48199999999997</v>
      </c>
      <c r="W725" s="5">
        <f>+IFERROR(VLOOKUP(W11,'נתוני מים 2014'!$C$2:$L$188,5,0)/1000,0)</f>
        <v>221.23400000000001</v>
      </c>
      <c r="X725" s="5">
        <f>+IFERROR(VLOOKUP(X11,'נתוני מים 2014'!$C$2:$L$188,5,0)/1000,0)</f>
        <v>578.63499999999999</v>
      </c>
      <c r="Y725" s="5">
        <f>+IFERROR(VLOOKUP(Y11,'נתוני מים 2014'!$C$2:$L$188,5,0)/1000,0)</f>
        <v>344.29300000000001</v>
      </c>
      <c r="Z725" s="5">
        <f>+IFERROR(VLOOKUP(Z11,'נתוני מים 2014'!$C$2:$L$188,5,0)/1000,0)</f>
        <v>0</v>
      </c>
      <c r="AA725" s="5">
        <f>+IFERROR(VLOOKUP(AA11,'נתוני מים 2014'!$C$2:$L$188,5,0)/1000,0)</f>
        <v>0</v>
      </c>
      <c r="AB725" s="5">
        <f>+IFERROR(VLOOKUP(AB11,'נתוני מים 2014'!$C$2:$L$188,5,0)/1000,0)</f>
        <v>0</v>
      </c>
      <c r="AC725" s="5">
        <f>+IFERROR(VLOOKUP(AC11,'נתוני מים 2014'!$C$2:$L$188,5,0)/1000,0)</f>
        <v>0</v>
      </c>
      <c r="AD725" s="5">
        <f>+IFERROR(VLOOKUP(AD11,'נתוני מים 2014'!$C$2:$L$188,5,0)/1000,0)</f>
        <v>0</v>
      </c>
      <c r="AE725" s="5">
        <f>+IFERROR(VLOOKUP(AE11,'נתוני מים 2014'!$C$2:$L$188,5,0)/1000,0)</f>
        <v>0</v>
      </c>
      <c r="AF725" s="5">
        <f>+IFERROR(VLOOKUP(AF11,'נתוני מים 2014'!$C$2:$L$188,5,0)/1000,0)</f>
        <v>0</v>
      </c>
      <c r="AG725" s="5">
        <f>+IFERROR(VLOOKUP(AG11,'נתוני מים 2014'!$C$2:$L$188,5,0)/1000,0)</f>
        <v>0</v>
      </c>
      <c r="AH725" s="5">
        <f>+IFERROR(VLOOKUP(AH11,'נתוני מים 2014'!$C$2:$L$188,5,0)/1000,0)</f>
        <v>0</v>
      </c>
      <c r="AI725" s="5">
        <f>+IFERROR(VLOOKUP(AI11,'נתוני מים 2014'!$C$2:$L$188,5,0)/1000,0)</f>
        <v>0</v>
      </c>
      <c r="AJ725" s="5">
        <f>+IFERROR(VLOOKUP(AJ11,'נתוני מים 2014'!$C$2:$L$188,5,0)/1000,0)</f>
        <v>0</v>
      </c>
      <c r="AK725" s="5">
        <f>+IFERROR(VLOOKUP(AK11,'נתוני מים 2014'!$C$2:$L$188,5,0)/1000,0)</f>
        <v>0</v>
      </c>
      <c r="AL725" s="5">
        <f>+IFERROR(VLOOKUP(AL11,'נתוני מים 2014'!$C$2:$L$188,5,0)/1000,0)</f>
        <v>0</v>
      </c>
      <c r="AM725" s="5">
        <f>+IFERROR(VLOOKUP(AM11,'נתוני מים 2014'!$C$2:$L$188,5,0)/1000,0)</f>
        <v>1313.8040000000001</v>
      </c>
      <c r="AN725" s="5">
        <f>+IFERROR(VLOOKUP(AN11,'נתוני מים 2014'!$C$2:$L$188,5,0)/1000,0)</f>
        <v>1105.162</v>
      </c>
      <c r="AO725" s="5">
        <f>+IFERROR(VLOOKUP(AO11,'נתוני מים 2014'!$C$2:$L$188,5,0)/1000,0)</f>
        <v>0</v>
      </c>
      <c r="AP725" s="5">
        <f>+IFERROR(VLOOKUP(AP11,'נתוני מים 2014'!$C$2:$L$188,5,0)/1000,0)</f>
        <v>0</v>
      </c>
      <c r="AQ725" s="5">
        <f>+IFERROR(VLOOKUP(AQ11,'נתוני מים 2014'!$C$2:$L$188,5,0)/1000,0)</f>
        <v>0</v>
      </c>
      <c r="AR725" s="5">
        <f>+IFERROR(VLOOKUP(AR11,'נתוני מים 2014'!$C$2:$L$188,5,0)/1000,0)</f>
        <v>0</v>
      </c>
      <c r="AS725" s="5">
        <f>+IFERROR(VLOOKUP(AS11,'נתוני מים 2014'!$C$2:$L$188,5,0)/1000,0)</f>
        <v>690.50300000000004</v>
      </c>
      <c r="AT725" s="5">
        <f>+IFERROR(VLOOKUP(AT11,'נתוני מים 2014'!$C$2:$L$188,5,0)/1000,0)</f>
        <v>0</v>
      </c>
      <c r="AU725" s="5">
        <f>+IFERROR(VLOOKUP(AU11,'נתוני מים 2014'!$C$2:$L$188,5,0)/1000,0)</f>
        <v>0</v>
      </c>
      <c r="AV725" s="5">
        <f>+IFERROR(VLOOKUP(AV11,'נתוני מים 2014'!$C$2:$L$188,5,0)/1000,0)</f>
        <v>0</v>
      </c>
      <c r="AW725" s="5">
        <f>+IFERROR(VLOOKUP(AW11,'נתוני מים 2014'!$C$2:$L$188,5,0)/1000,0)</f>
        <v>0</v>
      </c>
      <c r="AX725" s="5">
        <f>+IFERROR(VLOOKUP(AX11,'נתוני מים 2014'!$C$2:$L$188,5,0)/1000,0)</f>
        <v>2004.548</v>
      </c>
      <c r="AY725" s="5">
        <f>+IFERROR(VLOOKUP(AY11,'נתוני מים 2014'!$C$2:$L$188,5,0)/1000,0)</f>
        <v>0</v>
      </c>
      <c r="AZ725" s="5">
        <f>+IFERROR(VLOOKUP(AZ11,'נתוני מים 2014'!$C$2:$L$188,5,0)/1000,0)</f>
        <v>2318.0149999999999</v>
      </c>
      <c r="BA725" s="5">
        <f>+IFERROR(VLOOKUP(BA11,'נתוני מים 2014'!$C$2:$L$188,5,0)/1000,0)</f>
        <v>616.74699999999996</v>
      </c>
      <c r="BB725" s="5">
        <f>+IFERROR(VLOOKUP(BB11,'נתוני מים 2014'!$C$2:$L$188,5,0)/1000,0)</f>
        <v>672.50900000000001</v>
      </c>
      <c r="BC725" s="5">
        <f>+IFERROR(VLOOKUP(BC11,'נתוני מים 2014'!$C$2:$L$188,5,0)/1000,0)</f>
        <v>1815.6679999999999</v>
      </c>
      <c r="BD725" s="5">
        <f>+IFERROR(VLOOKUP(BD11,'נתוני מים 2014'!$C$2:$L$188,5,0)/1000,0)</f>
        <v>0</v>
      </c>
      <c r="BE725" s="5">
        <f>+IFERROR(VLOOKUP(BE11,'נתוני מים 2014'!$C$2:$L$188,5,0)/1000,0)</f>
        <v>0</v>
      </c>
      <c r="BF725" s="5">
        <f>+IFERROR(VLOOKUP(BF11,'נתוני מים 2014'!$C$2:$L$188,5,0)/1000,0)</f>
        <v>0</v>
      </c>
    </row>
    <row r="726" spans="1:58" x14ac:dyDescent="0.2">
      <c r="B726" s="1">
        <v>5</v>
      </c>
      <c r="C726" s="5">
        <f>+IFERROR(VLOOKUP(C12,'נתוני מים 2014'!$C$2:$L$188,5,0)/1000,0)</f>
        <v>0</v>
      </c>
      <c r="D726" s="5">
        <f>+IFERROR(VLOOKUP(D12,'נתוני מים 2014'!$C$2:$L$188,5,0)/1000,0)</f>
        <v>237.79900000000001</v>
      </c>
      <c r="E726" s="5">
        <f>+IFERROR(VLOOKUP(E12,'נתוני מים 2014'!$C$2:$L$188,5,0)/1000,0)</f>
        <v>0</v>
      </c>
      <c r="F726" s="5">
        <f>+IFERROR(VLOOKUP(F12,'נתוני מים 2014'!$C$2:$L$188,5,0)/1000,0)</f>
        <v>0</v>
      </c>
      <c r="G726" s="5">
        <f>+IFERROR(VLOOKUP(G12,'נתוני מים 2014'!$C$2:$L$188,5,0)/1000,0)</f>
        <v>0</v>
      </c>
      <c r="H726" s="5">
        <f>+IFERROR(VLOOKUP(H12,'נתוני מים 2014'!$C$2:$L$188,5,0)/1000,0)</f>
        <v>0</v>
      </c>
      <c r="I726" s="5">
        <f>+IFERROR(VLOOKUP(I12,'נתוני מים 2014'!$C$2:$L$188,5,0)/1000,0)</f>
        <v>0</v>
      </c>
      <c r="J726" s="5">
        <f>+IFERROR(VLOOKUP(J12,'נתוני מים 2014'!$C$2:$L$188,5,0)/1000,0)</f>
        <v>0</v>
      </c>
      <c r="K726" s="5">
        <f>+IFERROR(VLOOKUP(K12,'נתוני מים 2014'!$C$2:$L$188,5,0)/1000,0)</f>
        <v>0</v>
      </c>
      <c r="L726" s="5">
        <f>+IFERROR(VLOOKUP(L12,'נתוני מים 2014'!$C$2:$L$188,5,0)/1000,0)</f>
        <v>0</v>
      </c>
      <c r="M726" s="5">
        <f>+IFERROR(VLOOKUP(M12,'נתוני מים 2014'!$C$2:$L$188,5,0)/1000,0)</f>
        <v>0</v>
      </c>
      <c r="N726" s="5">
        <f>+IFERROR(VLOOKUP(N12,'נתוני מים 2014'!$C$2:$L$188,5,0)/1000,0)</f>
        <v>0</v>
      </c>
      <c r="O726" s="5">
        <f>+IFERROR(VLOOKUP(O12,'נתוני מים 2014'!$C$2:$L$188,5,0)/1000,0)</f>
        <v>0</v>
      </c>
      <c r="P726" s="5">
        <f>+IFERROR(VLOOKUP(P12,'נתוני מים 2014'!$C$2:$L$188,5,0)/1000,0)</f>
        <v>138.78100000000001</v>
      </c>
      <c r="Q726" s="5">
        <f>+IFERROR(VLOOKUP(Q12,'נתוני מים 2014'!$C$2:$L$188,5,0)/1000,0)</f>
        <v>0</v>
      </c>
      <c r="R726" s="5">
        <f>+IFERROR(VLOOKUP(R12,'נתוני מים 2014'!$C$2:$L$188,5,0)/1000,0)</f>
        <v>0</v>
      </c>
      <c r="S726" s="5">
        <f>+IFERROR(VLOOKUP(S12,'נתוני מים 2014'!$C$2:$L$188,5,0)/1000,0)</f>
        <v>0</v>
      </c>
      <c r="T726" s="5">
        <f>+IFERROR(VLOOKUP(T12,'נתוני מים 2014'!$C$2:$L$188,5,0)/1000,0)</f>
        <v>0</v>
      </c>
      <c r="U726" s="5">
        <f>+IFERROR(VLOOKUP(U12,'נתוני מים 2014'!$C$2:$L$188,5,0)/1000,0)</f>
        <v>0</v>
      </c>
      <c r="V726" s="5">
        <f>+IFERROR(VLOOKUP(V12,'נתוני מים 2014'!$C$2:$L$188,5,0)/1000,0)</f>
        <v>733.05499999999995</v>
      </c>
      <c r="W726" s="5">
        <f>+IFERROR(VLOOKUP(W12,'נתוני מים 2014'!$C$2:$L$188,5,0)/1000,0)</f>
        <v>169.928</v>
      </c>
      <c r="X726" s="5">
        <f>+IFERROR(VLOOKUP(X12,'נתוני מים 2014'!$C$2:$L$188,5,0)/1000,0)</f>
        <v>882.80100000000004</v>
      </c>
      <c r="Y726" s="5">
        <f>+IFERROR(VLOOKUP(Y12,'נתוני מים 2014'!$C$2:$L$188,5,0)/1000,0)</f>
        <v>0</v>
      </c>
      <c r="Z726" s="5">
        <f>+IFERROR(VLOOKUP(Z12,'נתוני מים 2014'!$C$2:$L$188,5,0)/1000,0)</f>
        <v>0</v>
      </c>
      <c r="AA726" s="5">
        <f>+IFERROR(VLOOKUP(AA12,'נתוני מים 2014'!$C$2:$L$188,5,0)/1000,0)</f>
        <v>0</v>
      </c>
      <c r="AB726" s="5">
        <f>+IFERROR(VLOOKUP(AB12,'נתוני מים 2014'!$C$2:$L$188,5,0)/1000,0)</f>
        <v>0</v>
      </c>
      <c r="AC726" s="5">
        <f>+IFERROR(VLOOKUP(AC12,'נתוני מים 2014'!$C$2:$L$188,5,0)/1000,0)</f>
        <v>0</v>
      </c>
      <c r="AD726" s="5">
        <f>+IFERROR(VLOOKUP(AD12,'נתוני מים 2014'!$C$2:$L$188,5,0)/1000,0)</f>
        <v>0</v>
      </c>
      <c r="AE726" s="5">
        <f>+IFERROR(VLOOKUP(AE12,'נתוני מים 2014'!$C$2:$L$188,5,0)/1000,0)</f>
        <v>0</v>
      </c>
      <c r="AF726" s="5">
        <f>+IFERROR(VLOOKUP(AF12,'נתוני מים 2014'!$C$2:$L$188,5,0)/1000,0)</f>
        <v>0</v>
      </c>
      <c r="AG726" s="5">
        <f>+IFERROR(VLOOKUP(AG12,'נתוני מים 2014'!$C$2:$L$188,5,0)/1000,0)</f>
        <v>0</v>
      </c>
      <c r="AH726" s="5">
        <f>+IFERROR(VLOOKUP(AH12,'נתוני מים 2014'!$C$2:$L$188,5,0)/1000,0)</f>
        <v>0</v>
      </c>
      <c r="AI726" s="5">
        <f>+IFERROR(VLOOKUP(AI12,'נתוני מים 2014'!$C$2:$L$188,5,0)/1000,0)</f>
        <v>0</v>
      </c>
      <c r="AJ726" s="5">
        <f>+IFERROR(VLOOKUP(AJ12,'נתוני מים 2014'!$C$2:$L$188,5,0)/1000,0)</f>
        <v>0</v>
      </c>
      <c r="AK726" s="5">
        <f>+IFERROR(VLOOKUP(AK12,'נתוני מים 2014'!$C$2:$L$188,5,0)/1000,0)</f>
        <v>0</v>
      </c>
      <c r="AL726" s="5">
        <f>+IFERROR(VLOOKUP(AL12,'נתוני מים 2014'!$C$2:$L$188,5,0)/1000,0)</f>
        <v>0</v>
      </c>
      <c r="AM726" s="5">
        <f>+IFERROR(VLOOKUP(AM12,'נתוני מים 2014'!$C$2:$L$188,5,0)/1000,0)</f>
        <v>1016.103</v>
      </c>
      <c r="AN726" s="5">
        <f>+IFERROR(VLOOKUP(AN12,'נתוני מים 2014'!$C$2:$L$188,5,0)/1000,0)</f>
        <v>1082.8119999999999</v>
      </c>
      <c r="AO726" s="5">
        <f>+IFERROR(VLOOKUP(AO12,'נתוני מים 2014'!$C$2:$L$188,5,0)/1000,0)</f>
        <v>0</v>
      </c>
      <c r="AP726" s="5">
        <f>+IFERROR(VLOOKUP(AP12,'נתוני מים 2014'!$C$2:$L$188,5,0)/1000,0)</f>
        <v>0</v>
      </c>
      <c r="AQ726" s="5">
        <f>+IFERROR(VLOOKUP(AQ12,'נתוני מים 2014'!$C$2:$L$188,5,0)/1000,0)</f>
        <v>0</v>
      </c>
      <c r="AR726" s="5">
        <f>+IFERROR(VLOOKUP(AR12,'נתוני מים 2014'!$C$2:$L$188,5,0)/1000,0)</f>
        <v>0</v>
      </c>
      <c r="AS726" s="5">
        <f>+IFERROR(VLOOKUP(AS12,'נתוני מים 2014'!$C$2:$L$188,5,0)/1000,0)</f>
        <v>2358.8040000000001</v>
      </c>
      <c r="AT726" s="5">
        <f>+IFERROR(VLOOKUP(AT12,'נתוני מים 2014'!$C$2:$L$188,5,0)/1000,0)</f>
        <v>0</v>
      </c>
      <c r="AU726" s="5">
        <f>+IFERROR(VLOOKUP(AU12,'נתוני מים 2014'!$C$2:$L$188,5,0)/1000,0)</f>
        <v>0</v>
      </c>
      <c r="AV726" s="5">
        <f>+IFERROR(VLOOKUP(AV12,'נתוני מים 2014'!$C$2:$L$188,5,0)/1000,0)</f>
        <v>0</v>
      </c>
      <c r="AW726" s="5">
        <f>+IFERROR(VLOOKUP(AW12,'נתוני מים 2014'!$C$2:$L$188,5,0)/1000,0)</f>
        <v>0</v>
      </c>
      <c r="AX726" s="5">
        <f>+IFERROR(VLOOKUP(AX12,'נתוני מים 2014'!$C$2:$L$188,5,0)/1000,0)</f>
        <v>0</v>
      </c>
      <c r="AY726" s="5">
        <f>+IFERROR(VLOOKUP(AY12,'נתוני מים 2014'!$C$2:$L$188,5,0)/1000,0)</f>
        <v>0</v>
      </c>
      <c r="AZ726" s="5">
        <f>+IFERROR(VLOOKUP(AZ12,'נתוני מים 2014'!$C$2:$L$188,5,0)/1000,0)</f>
        <v>0</v>
      </c>
      <c r="BA726" s="5">
        <f>+IFERROR(VLOOKUP(BA12,'נתוני מים 2014'!$C$2:$L$188,5,0)/1000,0)</f>
        <v>0</v>
      </c>
      <c r="BB726" s="5">
        <f>+IFERROR(VLOOKUP(BB12,'נתוני מים 2014'!$C$2:$L$188,5,0)/1000,0)</f>
        <v>1518.4280000000001</v>
      </c>
      <c r="BC726" s="5">
        <f>+IFERROR(VLOOKUP(BC12,'נתוני מים 2014'!$C$2:$L$188,5,0)/1000,0)</f>
        <v>1926.94</v>
      </c>
      <c r="BD726" s="5">
        <f>+IFERROR(VLOOKUP(BD12,'נתוני מים 2014'!$C$2:$L$188,5,0)/1000,0)</f>
        <v>0</v>
      </c>
      <c r="BE726" s="5">
        <f>+IFERROR(VLOOKUP(BE12,'נתוני מים 2014'!$C$2:$L$188,5,0)/1000,0)</f>
        <v>0</v>
      </c>
      <c r="BF726" s="5">
        <f>+IFERROR(VLOOKUP(BF12,'נתוני מים 2014'!$C$2:$L$188,5,0)/1000,0)</f>
        <v>0</v>
      </c>
    </row>
    <row r="727" spans="1:58" x14ac:dyDescent="0.2">
      <c r="B727" s="1">
        <v>6</v>
      </c>
      <c r="C727" s="5">
        <f>+IFERROR(VLOOKUP(C13,'נתוני מים 2014'!$C$2:$L$188,5,0)/1000,0)</f>
        <v>0</v>
      </c>
      <c r="D727" s="5">
        <f>+IFERROR(VLOOKUP(D13,'נתוני מים 2014'!$C$2:$L$188,5,0)/1000,0)</f>
        <v>134.72200000000001</v>
      </c>
      <c r="E727" s="5">
        <f>+IFERROR(VLOOKUP(E13,'נתוני מים 2014'!$C$2:$L$188,5,0)/1000,0)</f>
        <v>0</v>
      </c>
      <c r="F727" s="5">
        <f>+IFERROR(VLOOKUP(F13,'נתוני מים 2014'!$C$2:$L$188,5,0)/1000,0)</f>
        <v>0</v>
      </c>
      <c r="G727" s="5">
        <f>+IFERROR(VLOOKUP(G13,'נתוני מים 2014'!$C$2:$L$188,5,0)/1000,0)</f>
        <v>0</v>
      </c>
      <c r="H727" s="5">
        <f>+IFERROR(VLOOKUP(H13,'נתוני מים 2014'!$C$2:$L$188,5,0)/1000,0)</f>
        <v>0</v>
      </c>
      <c r="I727" s="5">
        <f>+IFERROR(VLOOKUP(I13,'נתוני מים 2014'!$C$2:$L$188,5,0)/1000,0)</f>
        <v>0</v>
      </c>
      <c r="J727" s="5">
        <f>+IFERROR(VLOOKUP(J13,'נתוני מים 2014'!$C$2:$L$188,5,0)/1000,0)</f>
        <v>0</v>
      </c>
      <c r="K727" s="5">
        <f>+IFERROR(VLOOKUP(K13,'נתוני מים 2014'!$C$2:$L$188,5,0)/1000,0)</f>
        <v>0</v>
      </c>
      <c r="L727" s="5">
        <f>+IFERROR(VLOOKUP(L13,'נתוני מים 2014'!$C$2:$L$188,5,0)/1000,0)</f>
        <v>0</v>
      </c>
      <c r="M727" s="5">
        <f>+IFERROR(VLOOKUP(M13,'נתוני מים 2014'!$C$2:$L$188,5,0)/1000,0)</f>
        <v>0</v>
      </c>
      <c r="N727" s="5">
        <f>+IFERROR(VLOOKUP(N13,'נתוני מים 2014'!$C$2:$L$188,5,0)/1000,0)</f>
        <v>0</v>
      </c>
      <c r="O727" s="5">
        <f>+IFERROR(VLOOKUP(O13,'נתוני מים 2014'!$C$2:$L$188,5,0)/1000,0)</f>
        <v>0</v>
      </c>
      <c r="P727" s="5">
        <f>+IFERROR(VLOOKUP(P13,'נתוני מים 2014'!$C$2:$L$188,5,0)/1000,0)</f>
        <v>370.12400000000002</v>
      </c>
      <c r="Q727" s="5">
        <f>+IFERROR(VLOOKUP(Q13,'נתוני מים 2014'!$C$2:$L$188,5,0)/1000,0)</f>
        <v>0</v>
      </c>
      <c r="R727" s="5">
        <f>+IFERROR(VLOOKUP(R13,'נתוני מים 2014'!$C$2:$L$188,5,0)/1000,0)</f>
        <v>0</v>
      </c>
      <c r="S727" s="5">
        <f>+IFERROR(VLOOKUP(S13,'נתוני מים 2014'!$C$2:$L$188,5,0)/1000,0)</f>
        <v>0</v>
      </c>
      <c r="T727" s="5">
        <f>+IFERROR(VLOOKUP(T13,'נתוני מים 2014'!$C$2:$L$188,5,0)/1000,0)</f>
        <v>0</v>
      </c>
      <c r="U727" s="5">
        <f>+IFERROR(VLOOKUP(U13,'נתוני מים 2014'!$C$2:$L$188,5,0)/1000,0)</f>
        <v>0</v>
      </c>
      <c r="V727" s="5">
        <f>+IFERROR(VLOOKUP(V13,'נתוני מים 2014'!$C$2:$L$188,5,0)/1000,0)</f>
        <v>433.36700000000002</v>
      </c>
      <c r="W727" s="5">
        <f>+IFERROR(VLOOKUP(W13,'נתוני מים 2014'!$C$2:$L$188,5,0)/1000,0)</f>
        <v>2919.145</v>
      </c>
      <c r="X727" s="5">
        <f>+IFERROR(VLOOKUP(X13,'נתוני מים 2014'!$C$2:$L$188,5,0)/1000,0)</f>
        <v>0</v>
      </c>
      <c r="Y727" s="5">
        <f>+IFERROR(VLOOKUP(Y13,'נתוני מים 2014'!$C$2:$L$188,5,0)/1000,0)</f>
        <v>0</v>
      </c>
      <c r="Z727" s="5">
        <f>+IFERROR(VLOOKUP(Z13,'נתוני מים 2014'!$C$2:$L$188,5,0)/1000,0)</f>
        <v>0</v>
      </c>
      <c r="AA727" s="5">
        <f>+IFERROR(VLOOKUP(AA13,'נתוני מים 2014'!$C$2:$L$188,5,0)/1000,0)</f>
        <v>0</v>
      </c>
      <c r="AB727" s="5">
        <f>+IFERROR(VLOOKUP(AB13,'נתוני מים 2014'!$C$2:$L$188,5,0)/1000,0)</f>
        <v>0</v>
      </c>
      <c r="AC727" s="5">
        <f>+IFERROR(VLOOKUP(AC13,'נתוני מים 2014'!$C$2:$L$188,5,0)/1000,0)</f>
        <v>0</v>
      </c>
      <c r="AD727" s="5">
        <f>+IFERROR(VLOOKUP(AD13,'נתוני מים 2014'!$C$2:$L$188,5,0)/1000,0)</f>
        <v>0</v>
      </c>
      <c r="AE727" s="5">
        <f>+IFERROR(VLOOKUP(AE13,'נתוני מים 2014'!$C$2:$L$188,5,0)/1000,0)</f>
        <v>0</v>
      </c>
      <c r="AF727" s="5">
        <f>+IFERROR(VLOOKUP(AF13,'נתוני מים 2014'!$C$2:$L$188,5,0)/1000,0)</f>
        <v>0</v>
      </c>
      <c r="AG727" s="5">
        <f>+IFERROR(VLOOKUP(AG13,'נתוני מים 2014'!$C$2:$L$188,5,0)/1000,0)</f>
        <v>0</v>
      </c>
      <c r="AH727" s="5">
        <f>+IFERROR(VLOOKUP(AH13,'נתוני מים 2014'!$C$2:$L$188,5,0)/1000,0)</f>
        <v>0</v>
      </c>
      <c r="AI727" s="5">
        <f>+IFERROR(VLOOKUP(AI13,'נתוני מים 2014'!$C$2:$L$188,5,0)/1000,0)</f>
        <v>0</v>
      </c>
      <c r="AJ727" s="5">
        <f>+IFERROR(VLOOKUP(AJ13,'נתוני מים 2014'!$C$2:$L$188,5,0)/1000,0)</f>
        <v>0</v>
      </c>
      <c r="AK727" s="5">
        <f>+IFERROR(VLOOKUP(AK13,'נתוני מים 2014'!$C$2:$L$188,5,0)/1000,0)</f>
        <v>0</v>
      </c>
      <c r="AL727" s="5">
        <f>+IFERROR(VLOOKUP(AL13,'נתוני מים 2014'!$C$2:$L$188,5,0)/1000,0)</f>
        <v>0</v>
      </c>
      <c r="AM727" s="5">
        <f>+IFERROR(VLOOKUP(AM13,'נתוני מים 2014'!$C$2:$L$188,5,0)/1000,0)</f>
        <v>0</v>
      </c>
      <c r="AN727" s="5">
        <f>+IFERROR(VLOOKUP(AN13,'נתוני מים 2014'!$C$2:$L$188,5,0)/1000,0)</f>
        <v>595.48599999999999</v>
      </c>
      <c r="AO727" s="5">
        <f>+IFERROR(VLOOKUP(AO13,'נתוני מים 2014'!$C$2:$L$188,5,0)/1000,0)</f>
        <v>0</v>
      </c>
      <c r="AP727" s="5">
        <f>+IFERROR(VLOOKUP(AP13,'נתוני מים 2014'!$C$2:$L$188,5,0)/1000,0)</f>
        <v>0</v>
      </c>
      <c r="AQ727" s="5">
        <f>+IFERROR(VLOOKUP(AQ13,'נתוני מים 2014'!$C$2:$L$188,5,0)/1000,0)</f>
        <v>0</v>
      </c>
      <c r="AR727" s="5">
        <f>+IFERROR(VLOOKUP(AR13,'נתוני מים 2014'!$C$2:$L$188,5,0)/1000,0)</f>
        <v>0</v>
      </c>
      <c r="AS727" s="5">
        <f>+IFERROR(VLOOKUP(AS13,'נתוני מים 2014'!$C$2:$L$188,5,0)/1000,0)</f>
        <v>542.78499999999997</v>
      </c>
      <c r="AT727" s="5">
        <f>+IFERROR(VLOOKUP(AT13,'נתוני מים 2014'!$C$2:$L$188,5,0)/1000,0)</f>
        <v>0</v>
      </c>
      <c r="AU727" s="5">
        <f>+IFERROR(VLOOKUP(AU13,'נתוני מים 2014'!$C$2:$L$188,5,0)/1000,0)</f>
        <v>0</v>
      </c>
      <c r="AV727" s="5">
        <f>+IFERROR(VLOOKUP(AV13,'נתוני מים 2014'!$C$2:$L$188,5,0)/1000,0)</f>
        <v>0</v>
      </c>
      <c r="AW727" s="5">
        <f>+IFERROR(VLOOKUP(AW13,'נתוני מים 2014'!$C$2:$L$188,5,0)/1000,0)</f>
        <v>0</v>
      </c>
      <c r="AX727" s="5">
        <f>+IFERROR(VLOOKUP(AX13,'נתוני מים 2014'!$C$2:$L$188,5,0)/1000,0)</f>
        <v>0</v>
      </c>
      <c r="AY727" s="5">
        <f>+IFERROR(VLOOKUP(AY13,'נתוני מים 2014'!$C$2:$L$188,5,0)/1000,0)</f>
        <v>0</v>
      </c>
      <c r="AZ727" s="5">
        <f>+IFERROR(VLOOKUP(AZ13,'נתוני מים 2014'!$C$2:$L$188,5,0)/1000,0)</f>
        <v>0</v>
      </c>
      <c r="BA727" s="5">
        <f>+IFERROR(VLOOKUP(BA13,'נתוני מים 2014'!$C$2:$L$188,5,0)/1000,0)</f>
        <v>0</v>
      </c>
      <c r="BB727" s="5">
        <f>+IFERROR(VLOOKUP(BB13,'נתוני מים 2014'!$C$2:$L$188,5,0)/1000,0)</f>
        <v>321.34300000000002</v>
      </c>
      <c r="BC727" s="5">
        <f>+IFERROR(VLOOKUP(BC13,'נתוני מים 2014'!$C$2:$L$188,5,0)/1000,0)</f>
        <v>726.101</v>
      </c>
      <c r="BD727" s="5">
        <f>+IFERROR(VLOOKUP(BD13,'נתוני מים 2014'!$C$2:$L$188,5,0)/1000,0)</f>
        <v>0</v>
      </c>
      <c r="BE727" s="5">
        <f>+IFERROR(VLOOKUP(BE13,'נתוני מים 2014'!$C$2:$L$188,5,0)/1000,0)</f>
        <v>0</v>
      </c>
      <c r="BF727" s="5">
        <f>+IFERROR(VLOOKUP(BF13,'נתוני מים 2014'!$C$2:$L$188,5,0)/1000,0)</f>
        <v>0</v>
      </c>
    </row>
    <row r="728" spans="1:58" x14ac:dyDescent="0.2">
      <c r="B728" s="1">
        <v>7</v>
      </c>
      <c r="C728" s="5">
        <f>+IFERROR(VLOOKUP(C14,'נתוני מים 2014'!$C$2:$L$188,5,0)/1000,0)</f>
        <v>0</v>
      </c>
      <c r="D728" s="5">
        <f>+IFERROR(VLOOKUP(D14,'נתוני מים 2014'!$C$2:$L$188,5,0)/1000,0)</f>
        <v>468.65800000000002</v>
      </c>
      <c r="E728" s="5">
        <f>+IFERROR(VLOOKUP(E14,'נתוני מים 2014'!$C$2:$L$188,5,0)/1000,0)</f>
        <v>0</v>
      </c>
      <c r="F728" s="5">
        <f>+IFERROR(VLOOKUP(F14,'נתוני מים 2014'!$C$2:$L$188,5,0)/1000,0)</f>
        <v>0</v>
      </c>
      <c r="G728" s="5">
        <f>+IFERROR(VLOOKUP(G14,'נתוני מים 2014'!$C$2:$L$188,5,0)/1000,0)</f>
        <v>0</v>
      </c>
      <c r="H728" s="5">
        <f>+IFERROR(VLOOKUP(H14,'נתוני מים 2014'!$C$2:$L$188,5,0)/1000,0)</f>
        <v>0</v>
      </c>
      <c r="I728" s="5">
        <f>+IFERROR(VLOOKUP(I14,'נתוני מים 2014'!$C$2:$L$188,5,0)/1000,0)</f>
        <v>0</v>
      </c>
      <c r="J728" s="5">
        <f>+IFERROR(VLOOKUP(J14,'נתוני מים 2014'!$C$2:$L$188,5,0)/1000,0)</f>
        <v>0</v>
      </c>
      <c r="K728" s="5">
        <f>+IFERROR(VLOOKUP(K14,'נתוני מים 2014'!$C$2:$L$188,5,0)/1000,0)</f>
        <v>0</v>
      </c>
      <c r="L728" s="5">
        <f>+IFERROR(VLOOKUP(L14,'נתוני מים 2014'!$C$2:$L$188,5,0)/1000,0)</f>
        <v>0</v>
      </c>
      <c r="M728" s="5">
        <f>+IFERROR(VLOOKUP(M14,'נתוני מים 2014'!$C$2:$L$188,5,0)/1000,0)</f>
        <v>0</v>
      </c>
      <c r="N728" s="5">
        <f>+IFERROR(VLOOKUP(N14,'נתוני מים 2014'!$C$2:$L$188,5,0)/1000,0)</f>
        <v>0</v>
      </c>
      <c r="O728" s="5">
        <f>+IFERROR(VLOOKUP(O14,'נתוני מים 2014'!$C$2:$L$188,5,0)/1000,0)</f>
        <v>0</v>
      </c>
      <c r="P728" s="5">
        <f>+IFERROR(VLOOKUP(P14,'נתוני מים 2014'!$C$2:$L$188,5,0)/1000,0)</f>
        <v>382.74299999999999</v>
      </c>
      <c r="Q728" s="5">
        <f>+IFERROR(VLOOKUP(Q14,'נתוני מים 2014'!$C$2:$L$188,5,0)/1000,0)</f>
        <v>0</v>
      </c>
      <c r="R728" s="5">
        <f>+IFERROR(VLOOKUP(R14,'נתוני מים 2014'!$C$2:$L$188,5,0)/1000,0)</f>
        <v>0</v>
      </c>
      <c r="S728" s="5">
        <f>+IFERROR(VLOOKUP(S14,'נתוני מים 2014'!$C$2:$L$188,5,0)/1000,0)</f>
        <v>0</v>
      </c>
      <c r="T728" s="5">
        <f>+IFERROR(VLOOKUP(T14,'נתוני מים 2014'!$C$2:$L$188,5,0)/1000,0)</f>
        <v>0</v>
      </c>
      <c r="U728" s="5">
        <f>+IFERROR(VLOOKUP(U14,'נתוני מים 2014'!$C$2:$L$188,5,0)/1000,0)</f>
        <v>0</v>
      </c>
      <c r="V728" s="5">
        <f>+IFERROR(VLOOKUP(V14,'נתוני מים 2014'!$C$2:$L$188,5,0)/1000,0)</f>
        <v>403.52800000000002</v>
      </c>
      <c r="W728" s="5">
        <f>+IFERROR(VLOOKUP(W14,'נתוני מים 2014'!$C$2:$L$188,5,0)/1000,0)</f>
        <v>342.53199999999998</v>
      </c>
      <c r="X728" s="5">
        <f>+IFERROR(VLOOKUP(X14,'נתוני מים 2014'!$C$2:$L$188,5,0)/1000,0)</f>
        <v>0</v>
      </c>
      <c r="Y728" s="5">
        <f>+IFERROR(VLOOKUP(Y14,'נתוני מים 2014'!$C$2:$L$188,5,0)/1000,0)</f>
        <v>0</v>
      </c>
      <c r="Z728" s="5">
        <f>+IFERROR(VLOOKUP(Z14,'נתוני מים 2014'!$C$2:$L$188,5,0)/1000,0)</f>
        <v>0</v>
      </c>
      <c r="AA728" s="5">
        <f>+IFERROR(VLOOKUP(AA14,'נתוני מים 2014'!$C$2:$L$188,5,0)/1000,0)</f>
        <v>0</v>
      </c>
      <c r="AB728" s="5">
        <f>+IFERROR(VLOOKUP(AB14,'נתוני מים 2014'!$C$2:$L$188,5,0)/1000,0)</f>
        <v>0</v>
      </c>
      <c r="AC728" s="5">
        <f>+IFERROR(VLOOKUP(AC14,'נתוני מים 2014'!$C$2:$L$188,5,0)/1000,0)</f>
        <v>0</v>
      </c>
      <c r="AD728" s="5">
        <f>+IFERROR(VLOOKUP(AD14,'נתוני מים 2014'!$C$2:$L$188,5,0)/1000,0)</f>
        <v>0</v>
      </c>
      <c r="AE728" s="5">
        <f>+IFERROR(VLOOKUP(AE14,'נתוני מים 2014'!$C$2:$L$188,5,0)/1000,0)</f>
        <v>0</v>
      </c>
      <c r="AF728" s="5">
        <f>+IFERROR(VLOOKUP(AF14,'נתוני מים 2014'!$C$2:$L$188,5,0)/1000,0)</f>
        <v>0</v>
      </c>
      <c r="AG728" s="5">
        <f>+IFERROR(VLOOKUP(AG14,'נתוני מים 2014'!$C$2:$L$188,5,0)/1000,0)</f>
        <v>0</v>
      </c>
      <c r="AH728" s="5">
        <f>+IFERROR(VLOOKUP(AH14,'נתוני מים 2014'!$C$2:$L$188,5,0)/1000,0)</f>
        <v>0</v>
      </c>
      <c r="AI728" s="5">
        <f>+IFERROR(VLOOKUP(AI14,'נתוני מים 2014'!$C$2:$L$188,5,0)/1000,0)</f>
        <v>0</v>
      </c>
      <c r="AJ728" s="5">
        <f>+IFERROR(VLOOKUP(AJ14,'נתוני מים 2014'!$C$2:$L$188,5,0)/1000,0)</f>
        <v>0</v>
      </c>
      <c r="AK728" s="5">
        <f>+IFERROR(VLOOKUP(AK14,'נתוני מים 2014'!$C$2:$L$188,5,0)/1000,0)</f>
        <v>0</v>
      </c>
      <c r="AL728" s="5">
        <f>+IFERROR(VLOOKUP(AL14,'נתוני מים 2014'!$C$2:$L$188,5,0)/1000,0)</f>
        <v>0</v>
      </c>
      <c r="AM728" s="5">
        <f>+IFERROR(VLOOKUP(AM14,'נתוני מים 2014'!$C$2:$L$188,5,0)/1000,0)</f>
        <v>0</v>
      </c>
      <c r="AN728" s="5">
        <f>+IFERROR(VLOOKUP(AN14,'נתוני מים 2014'!$C$2:$L$188,5,0)/1000,0)</f>
        <v>0</v>
      </c>
      <c r="AO728" s="5">
        <f>+IFERROR(VLOOKUP(AO14,'נתוני מים 2014'!$C$2:$L$188,5,0)/1000,0)</f>
        <v>0</v>
      </c>
      <c r="AP728" s="5">
        <f>+IFERROR(VLOOKUP(AP14,'נתוני מים 2014'!$C$2:$L$188,5,0)/1000,0)</f>
        <v>0</v>
      </c>
      <c r="AQ728" s="5">
        <f>+IFERROR(VLOOKUP(AQ14,'נתוני מים 2014'!$C$2:$L$188,5,0)/1000,0)</f>
        <v>0</v>
      </c>
      <c r="AR728" s="5">
        <f>+IFERROR(VLOOKUP(AR14,'נתוני מים 2014'!$C$2:$L$188,5,0)/1000,0)</f>
        <v>0</v>
      </c>
      <c r="AS728" s="5">
        <f>+IFERROR(VLOOKUP(AS14,'נתוני מים 2014'!$C$2:$L$188,5,0)/1000,0)</f>
        <v>386.63200000000001</v>
      </c>
      <c r="AT728" s="5">
        <f>+IFERROR(VLOOKUP(AT14,'נתוני מים 2014'!$C$2:$L$188,5,0)/1000,0)</f>
        <v>0</v>
      </c>
      <c r="AU728" s="5">
        <f>+IFERROR(VLOOKUP(AU14,'נתוני מים 2014'!$C$2:$L$188,5,0)/1000,0)</f>
        <v>0</v>
      </c>
      <c r="AV728" s="5">
        <f>+IFERROR(VLOOKUP(AV14,'נתוני מים 2014'!$C$2:$L$188,5,0)/1000,0)</f>
        <v>0</v>
      </c>
      <c r="AW728" s="5">
        <f>+IFERROR(VLOOKUP(AW14,'נתוני מים 2014'!$C$2:$L$188,5,0)/1000,0)</f>
        <v>0</v>
      </c>
      <c r="AX728" s="5">
        <f>+IFERROR(VLOOKUP(AX14,'נתוני מים 2014'!$C$2:$L$188,5,0)/1000,0)</f>
        <v>0</v>
      </c>
      <c r="AY728" s="5">
        <f>+IFERROR(VLOOKUP(AY14,'נתוני מים 2014'!$C$2:$L$188,5,0)/1000,0)</f>
        <v>0</v>
      </c>
      <c r="AZ728" s="5">
        <f>+IFERROR(VLOOKUP(AZ14,'נתוני מים 2014'!$C$2:$L$188,5,0)/1000,0)</f>
        <v>0</v>
      </c>
      <c r="BA728" s="5">
        <f>+IFERROR(VLOOKUP(BA14,'נתוני מים 2014'!$C$2:$L$188,5,0)/1000,0)</f>
        <v>0</v>
      </c>
      <c r="BB728" s="5">
        <f>+IFERROR(VLOOKUP(BB14,'נתוני מים 2014'!$C$2:$L$188,5,0)/1000,0)</f>
        <v>490.964</v>
      </c>
      <c r="BC728" s="5">
        <f>+IFERROR(VLOOKUP(BC14,'נתוני מים 2014'!$C$2:$L$188,5,0)/1000,0)</f>
        <v>960.16300000000001</v>
      </c>
      <c r="BD728" s="5">
        <f>+IFERROR(VLOOKUP(BD14,'נתוני מים 2014'!$C$2:$L$188,5,0)/1000,0)</f>
        <v>0</v>
      </c>
      <c r="BE728" s="5">
        <f>+IFERROR(VLOOKUP(BE14,'נתוני מים 2014'!$C$2:$L$188,5,0)/1000,0)</f>
        <v>0</v>
      </c>
      <c r="BF728" s="5">
        <f>+IFERROR(VLOOKUP(BF14,'נתוני מים 2014'!$C$2:$L$188,5,0)/1000,0)</f>
        <v>0</v>
      </c>
    </row>
    <row r="729" spans="1:58" x14ac:dyDescent="0.2">
      <c r="B729" s="1">
        <v>8</v>
      </c>
      <c r="C729" s="5">
        <f>+IFERROR(VLOOKUP(C15,'נתוני מים 2014'!$C$2:$L$188,5,0)/1000,0)</f>
        <v>0</v>
      </c>
      <c r="D729" s="5">
        <f>+IFERROR(VLOOKUP(D15,'נתוני מים 2014'!$C$2:$L$188,5,0)/1000,0)</f>
        <v>0</v>
      </c>
      <c r="E729" s="5">
        <f>+IFERROR(VLOOKUP(E15,'נתוני מים 2014'!$C$2:$L$188,5,0)/1000,0)</f>
        <v>0</v>
      </c>
      <c r="F729" s="5">
        <f>+IFERROR(VLOOKUP(F15,'נתוני מים 2014'!$C$2:$L$188,5,0)/1000,0)</f>
        <v>0</v>
      </c>
      <c r="G729" s="5">
        <f>+IFERROR(VLOOKUP(G15,'נתוני מים 2014'!$C$2:$L$188,5,0)/1000,0)</f>
        <v>0</v>
      </c>
      <c r="H729" s="5">
        <f>+IFERROR(VLOOKUP(H15,'נתוני מים 2014'!$C$2:$L$188,5,0)/1000,0)</f>
        <v>0</v>
      </c>
      <c r="I729" s="5">
        <f>+IFERROR(VLOOKUP(I15,'נתוני מים 2014'!$C$2:$L$188,5,0)/1000,0)</f>
        <v>0</v>
      </c>
      <c r="J729" s="5">
        <f>+IFERROR(VLOOKUP(J15,'נתוני מים 2014'!$C$2:$L$188,5,0)/1000,0)</f>
        <v>0</v>
      </c>
      <c r="K729" s="5">
        <f>+IFERROR(VLOOKUP(K15,'נתוני מים 2014'!$C$2:$L$188,5,0)/1000,0)</f>
        <v>0</v>
      </c>
      <c r="L729" s="5">
        <f>+IFERROR(VLOOKUP(L15,'נתוני מים 2014'!$C$2:$L$188,5,0)/1000,0)</f>
        <v>0</v>
      </c>
      <c r="M729" s="5">
        <f>+IFERROR(VLOOKUP(M15,'נתוני מים 2014'!$C$2:$L$188,5,0)/1000,0)</f>
        <v>0</v>
      </c>
      <c r="N729" s="5">
        <f>+IFERROR(VLOOKUP(N15,'נתוני מים 2014'!$C$2:$L$188,5,0)/1000,0)</f>
        <v>0</v>
      </c>
      <c r="O729" s="5">
        <f>+IFERROR(VLOOKUP(O15,'נתוני מים 2014'!$C$2:$L$188,5,0)/1000,0)</f>
        <v>0</v>
      </c>
      <c r="P729" s="5">
        <f>+IFERROR(VLOOKUP(P15,'נתוני מים 2014'!$C$2:$L$188,5,0)/1000,0)</f>
        <v>197.10900000000001</v>
      </c>
      <c r="Q729" s="5">
        <f>+IFERROR(VLOOKUP(Q15,'נתוני מים 2014'!$C$2:$L$188,5,0)/1000,0)</f>
        <v>0</v>
      </c>
      <c r="R729" s="5">
        <f>+IFERROR(VLOOKUP(R15,'נתוני מים 2014'!$C$2:$L$188,5,0)/1000,0)</f>
        <v>0</v>
      </c>
      <c r="S729" s="5">
        <f>+IFERROR(VLOOKUP(S15,'נתוני מים 2014'!$C$2:$L$188,5,0)/1000,0)</f>
        <v>0</v>
      </c>
      <c r="T729" s="5">
        <f>+IFERROR(VLOOKUP(T15,'נתוני מים 2014'!$C$2:$L$188,5,0)/1000,0)</f>
        <v>0</v>
      </c>
      <c r="U729" s="5">
        <f>+IFERROR(VLOOKUP(U15,'נתוני מים 2014'!$C$2:$L$188,5,0)/1000,0)</f>
        <v>0</v>
      </c>
      <c r="V729" s="5">
        <f>+IFERROR(VLOOKUP(V15,'נתוני מים 2014'!$C$2:$L$188,5,0)/1000,0)</f>
        <v>0</v>
      </c>
      <c r="W729" s="5">
        <f>+IFERROR(VLOOKUP(W15,'נתוני מים 2014'!$C$2:$L$188,5,0)/1000,0)</f>
        <v>0</v>
      </c>
      <c r="X729" s="5">
        <f>+IFERROR(VLOOKUP(X15,'נתוני מים 2014'!$C$2:$L$188,5,0)/1000,0)</f>
        <v>0</v>
      </c>
      <c r="Y729" s="5">
        <f>+IFERROR(VLOOKUP(Y15,'נתוני מים 2014'!$C$2:$L$188,5,0)/1000,0)</f>
        <v>0</v>
      </c>
      <c r="Z729" s="5">
        <f>+IFERROR(VLOOKUP(Z15,'נתוני מים 2014'!$C$2:$L$188,5,0)/1000,0)</f>
        <v>0</v>
      </c>
      <c r="AA729" s="5">
        <f>+IFERROR(VLOOKUP(AA15,'נתוני מים 2014'!$C$2:$L$188,5,0)/1000,0)</f>
        <v>0</v>
      </c>
      <c r="AB729" s="5">
        <f>+IFERROR(VLOOKUP(AB15,'נתוני מים 2014'!$C$2:$L$188,5,0)/1000,0)</f>
        <v>0</v>
      </c>
      <c r="AC729" s="5">
        <f>+IFERROR(VLOOKUP(AC15,'נתוני מים 2014'!$C$2:$L$188,5,0)/1000,0)</f>
        <v>0</v>
      </c>
      <c r="AD729" s="5">
        <f>+IFERROR(VLOOKUP(AD15,'נתוני מים 2014'!$C$2:$L$188,5,0)/1000,0)</f>
        <v>0</v>
      </c>
      <c r="AE729" s="5">
        <f>+IFERROR(VLOOKUP(AE15,'נתוני מים 2014'!$C$2:$L$188,5,0)/1000,0)</f>
        <v>0</v>
      </c>
      <c r="AF729" s="5">
        <f>+IFERROR(VLOOKUP(AF15,'נתוני מים 2014'!$C$2:$L$188,5,0)/1000,0)</f>
        <v>0</v>
      </c>
      <c r="AG729" s="5">
        <f>+IFERROR(VLOOKUP(AG15,'נתוני מים 2014'!$C$2:$L$188,5,0)/1000,0)</f>
        <v>0</v>
      </c>
      <c r="AH729" s="5">
        <f>+IFERROR(VLOOKUP(AH15,'נתוני מים 2014'!$C$2:$L$188,5,0)/1000,0)</f>
        <v>0</v>
      </c>
      <c r="AI729" s="5">
        <f>+IFERROR(VLOOKUP(AI15,'נתוני מים 2014'!$C$2:$L$188,5,0)/1000,0)</f>
        <v>0</v>
      </c>
      <c r="AJ729" s="5">
        <f>+IFERROR(VLOOKUP(AJ15,'נתוני מים 2014'!$C$2:$L$188,5,0)/1000,0)</f>
        <v>0</v>
      </c>
      <c r="AK729" s="5">
        <f>+IFERROR(VLOOKUP(AK15,'נתוני מים 2014'!$C$2:$L$188,5,0)/1000,0)</f>
        <v>0</v>
      </c>
      <c r="AL729" s="5">
        <f>+IFERROR(VLOOKUP(AL15,'נתוני מים 2014'!$C$2:$L$188,5,0)/1000,0)</f>
        <v>0</v>
      </c>
      <c r="AM729" s="5">
        <f>+IFERROR(VLOOKUP(AM15,'נתוני מים 2014'!$C$2:$L$188,5,0)/1000,0)</f>
        <v>0</v>
      </c>
      <c r="AN729" s="5">
        <f>+IFERROR(VLOOKUP(AN15,'נתוני מים 2014'!$C$2:$L$188,5,0)/1000,0)</f>
        <v>0</v>
      </c>
      <c r="AO729" s="5">
        <f>+IFERROR(VLOOKUP(AO15,'נתוני מים 2014'!$C$2:$L$188,5,0)/1000,0)</f>
        <v>0</v>
      </c>
      <c r="AP729" s="5">
        <f>+IFERROR(VLOOKUP(AP15,'נתוני מים 2014'!$C$2:$L$188,5,0)/1000,0)</f>
        <v>0</v>
      </c>
      <c r="AQ729" s="5">
        <f>+IFERROR(VLOOKUP(AQ15,'נתוני מים 2014'!$C$2:$L$188,5,0)/1000,0)</f>
        <v>0</v>
      </c>
      <c r="AR729" s="5">
        <f>+IFERROR(VLOOKUP(AR15,'נתוני מים 2014'!$C$2:$L$188,5,0)/1000,0)</f>
        <v>0</v>
      </c>
      <c r="AS729" s="5">
        <f>+IFERROR(VLOOKUP(AS15,'נתוני מים 2014'!$C$2:$L$188,5,0)/1000,0)</f>
        <v>984.78</v>
      </c>
      <c r="AT729" s="5">
        <f>+IFERROR(VLOOKUP(AT15,'נתוני מים 2014'!$C$2:$L$188,5,0)/1000,0)</f>
        <v>0</v>
      </c>
      <c r="AU729" s="5">
        <f>+IFERROR(VLOOKUP(AU15,'נתוני מים 2014'!$C$2:$L$188,5,0)/1000,0)</f>
        <v>0</v>
      </c>
      <c r="AV729" s="5">
        <f>+IFERROR(VLOOKUP(AV15,'נתוני מים 2014'!$C$2:$L$188,5,0)/1000,0)</f>
        <v>0</v>
      </c>
      <c r="AW729" s="5">
        <f>+IFERROR(VLOOKUP(AW15,'נתוני מים 2014'!$C$2:$L$188,5,0)/1000,0)</f>
        <v>0</v>
      </c>
      <c r="AX729" s="5">
        <f>+IFERROR(VLOOKUP(AX15,'נתוני מים 2014'!$C$2:$L$188,5,0)/1000,0)</f>
        <v>0</v>
      </c>
      <c r="AY729" s="5">
        <f>+IFERROR(VLOOKUP(AY15,'נתוני מים 2014'!$C$2:$L$188,5,0)/1000,0)</f>
        <v>0</v>
      </c>
      <c r="AZ729" s="5">
        <f>+IFERROR(VLOOKUP(AZ15,'נתוני מים 2014'!$C$2:$L$188,5,0)/1000,0)</f>
        <v>0</v>
      </c>
      <c r="BA729" s="5">
        <f>+IFERROR(VLOOKUP(BA15,'נתוני מים 2014'!$C$2:$L$188,5,0)/1000,0)</f>
        <v>0</v>
      </c>
      <c r="BB729" s="5">
        <f>+IFERROR(VLOOKUP(BB15,'נתוני מים 2014'!$C$2:$L$188,5,0)/1000,0)</f>
        <v>0</v>
      </c>
      <c r="BC729" s="5">
        <f>+IFERROR(VLOOKUP(BC15,'נתוני מים 2014'!$C$2:$L$188,5,0)/1000,0)</f>
        <v>0</v>
      </c>
      <c r="BD729" s="5">
        <f>+IFERROR(VLOOKUP(BD15,'נתוני מים 2014'!$C$2:$L$188,5,0)/1000,0)</f>
        <v>0</v>
      </c>
      <c r="BE729" s="5">
        <f>+IFERROR(VLOOKUP(BE15,'נתוני מים 2014'!$C$2:$L$188,5,0)/1000,0)</f>
        <v>0</v>
      </c>
      <c r="BF729" s="5">
        <f>+IFERROR(VLOOKUP(BF15,'נתוני מים 2014'!$C$2:$L$188,5,0)/1000,0)</f>
        <v>0</v>
      </c>
    </row>
    <row r="730" spans="1:58" x14ac:dyDescent="0.2">
      <c r="B730" s="1">
        <v>9</v>
      </c>
      <c r="C730" s="5">
        <f>+IFERROR(VLOOKUP(C16,'נתוני מים 2014'!$C$2:$L$188,5,0)/1000,0)</f>
        <v>0</v>
      </c>
      <c r="D730" s="5">
        <f>+IFERROR(VLOOKUP(D16,'נתוני מים 2014'!$C$2:$L$188,5,0)/1000,0)</f>
        <v>0</v>
      </c>
      <c r="E730" s="5">
        <f>+IFERROR(VLOOKUP(E16,'נתוני מים 2014'!$C$2:$L$188,5,0)/1000,0)</f>
        <v>0</v>
      </c>
      <c r="F730" s="5">
        <f>+IFERROR(VLOOKUP(F16,'נתוני מים 2014'!$C$2:$L$188,5,0)/1000,0)</f>
        <v>0</v>
      </c>
      <c r="G730" s="5">
        <f>+IFERROR(VLOOKUP(G16,'נתוני מים 2014'!$C$2:$L$188,5,0)/1000,0)</f>
        <v>0</v>
      </c>
      <c r="H730" s="5">
        <f>+IFERROR(VLOOKUP(H16,'נתוני מים 2014'!$C$2:$L$188,5,0)/1000,0)</f>
        <v>0</v>
      </c>
      <c r="I730" s="5">
        <f>+IFERROR(VLOOKUP(I16,'נתוני מים 2014'!$C$2:$L$188,5,0)/1000,0)</f>
        <v>0</v>
      </c>
      <c r="J730" s="5">
        <f>+IFERROR(VLOOKUP(J16,'נתוני מים 2014'!$C$2:$L$188,5,0)/1000,0)</f>
        <v>0</v>
      </c>
      <c r="K730" s="5">
        <f>+IFERROR(VLOOKUP(K16,'נתוני מים 2014'!$C$2:$L$188,5,0)/1000,0)</f>
        <v>0</v>
      </c>
      <c r="L730" s="5">
        <f>+IFERROR(VLOOKUP(L16,'נתוני מים 2014'!$C$2:$L$188,5,0)/1000,0)</f>
        <v>0</v>
      </c>
      <c r="M730" s="5">
        <f>+IFERROR(VLOOKUP(M16,'נתוני מים 2014'!$C$2:$L$188,5,0)/1000,0)</f>
        <v>0</v>
      </c>
      <c r="N730" s="5">
        <f>+IFERROR(VLOOKUP(N16,'נתוני מים 2014'!$C$2:$L$188,5,0)/1000,0)</f>
        <v>0</v>
      </c>
      <c r="O730" s="5">
        <f>+IFERROR(VLOOKUP(O16,'נתוני מים 2014'!$C$2:$L$188,5,0)/1000,0)</f>
        <v>0</v>
      </c>
      <c r="P730" s="5">
        <f>+IFERROR(VLOOKUP(P16,'נתוני מים 2014'!$C$2:$L$188,5,0)/1000,0)</f>
        <v>1394.2180000000001</v>
      </c>
      <c r="Q730" s="5">
        <f>+IFERROR(VLOOKUP(Q16,'נתוני מים 2014'!$C$2:$L$188,5,0)/1000,0)</f>
        <v>0</v>
      </c>
      <c r="R730" s="5">
        <f>+IFERROR(VLOOKUP(R16,'נתוני מים 2014'!$C$2:$L$188,5,0)/1000,0)</f>
        <v>0</v>
      </c>
      <c r="S730" s="5">
        <f>+IFERROR(VLOOKUP(S16,'נתוני מים 2014'!$C$2:$L$188,5,0)/1000,0)</f>
        <v>0</v>
      </c>
      <c r="T730" s="5">
        <f>+IFERROR(VLOOKUP(T16,'נתוני מים 2014'!$C$2:$L$188,5,0)/1000,0)</f>
        <v>0</v>
      </c>
      <c r="U730" s="5">
        <f>+IFERROR(VLOOKUP(U16,'נתוני מים 2014'!$C$2:$L$188,5,0)/1000,0)</f>
        <v>0</v>
      </c>
      <c r="V730" s="5">
        <f>+IFERROR(VLOOKUP(V16,'נתוני מים 2014'!$C$2:$L$188,5,0)/1000,0)</f>
        <v>0</v>
      </c>
      <c r="W730" s="5">
        <f>+IFERROR(VLOOKUP(W16,'נתוני מים 2014'!$C$2:$L$188,5,0)/1000,0)</f>
        <v>0</v>
      </c>
      <c r="X730" s="5">
        <f>+IFERROR(VLOOKUP(X16,'נתוני מים 2014'!$C$2:$L$188,5,0)/1000,0)</f>
        <v>0</v>
      </c>
      <c r="Y730" s="5">
        <f>+IFERROR(VLOOKUP(Y16,'נתוני מים 2014'!$C$2:$L$188,5,0)/1000,0)</f>
        <v>0</v>
      </c>
      <c r="Z730" s="5">
        <f>+IFERROR(VLOOKUP(Z16,'נתוני מים 2014'!$C$2:$L$188,5,0)/1000,0)</f>
        <v>0</v>
      </c>
      <c r="AA730" s="5">
        <f>+IFERROR(VLOOKUP(AA16,'נתוני מים 2014'!$C$2:$L$188,5,0)/1000,0)</f>
        <v>0</v>
      </c>
      <c r="AB730" s="5">
        <f>+IFERROR(VLOOKUP(AB16,'נתוני מים 2014'!$C$2:$L$188,5,0)/1000,0)</f>
        <v>0</v>
      </c>
      <c r="AC730" s="5">
        <f>+IFERROR(VLOOKUP(AC16,'נתוני מים 2014'!$C$2:$L$188,5,0)/1000,0)</f>
        <v>0</v>
      </c>
      <c r="AD730" s="5">
        <f>+IFERROR(VLOOKUP(AD16,'נתוני מים 2014'!$C$2:$L$188,5,0)/1000,0)</f>
        <v>0</v>
      </c>
      <c r="AE730" s="5">
        <f>+IFERROR(VLOOKUP(AE16,'נתוני מים 2014'!$C$2:$L$188,5,0)/1000,0)</f>
        <v>0</v>
      </c>
      <c r="AF730" s="5">
        <f>+IFERROR(VLOOKUP(AF16,'נתוני מים 2014'!$C$2:$L$188,5,0)/1000,0)</f>
        <v>0</v>
      </c>
      <c r="AG730" s="5">
        <f>+IFERROR(VLOOKUP(AG16,'נתוני מים 2014'!$C$2:$L$188,5,0)/1000,0)</f>
        <v>0</v>
      </c>
      <c r="AH730" s="5">
        <f>+IFERROR(VLOOKUP(AH16,'נתוני מים 2014'!$C$2:$L$188,5,0)/1000,0)</f>
        <v>0</v>
      </c>
      <c r="AI730" s="5">
        <f>+IFERROR(VLOOKUP(AI16,'נתוני מים 2014'!$C$2:$L$188,5,0)/1000,0)</f>
        <v>0</v>
      </c>
      <c r="AJ730" s="5">
        <f>+IFERROR(VLOOKUP(AJ16,'נתוני מים 2014'!$C$2:$L$188,5,0)/1000,0)</f>
        <v>0</v>
      </c>
      <c r="AK730" s="5">
        <f>+IFERROR(VLOOKUP(AK16,'נתוני מים 2014'!$C$2:$L$188,5,0)/1000,0)</f>
        <v>0</v>
      </c>
      <c r="AL730" s="5">
        <f>+IFERROR(VLOOKUP(AL16,'נתוני מים 2014'!$C$2:$L$188,5,0)/1000,0)</f>
        <v>0</v>
      </c>
      <c r="AM730" s="5">
        <f>+IFERROR(VLOOKUP(AM16,'נתוני מים 2014'!$C$2:$L$188,5,0)/1000,0)</f>
        <v>0</v>
      </c>
      <c r="AN730" s="5">
        <f>+IFERROR(VLOOKUP(AN16,'נתוני מים 2014'!$C$2:$L$188,5,0)/1000,0)</f>
        <v>0</v>
      </c>
      <c r="AO730" s="5">
        <f>+IFERROR(VLOOKUP(AO16,'נתוני מים 2014'!$C$2:$L$188,5,0)/1000,0)</f>
        <v>0</v>
      </c>
      <c r="AP730" s="5">
        <f>+IFERROR(VLOOKUP(AP16,'נתוני מים 2014'!$C$2:$L$188,5,0)/1000,0)</f>
        <v>0</v>
      </c>
      <c r="AQ730" s="5">
        <f>+IFERROR(VLOOKUP(AQ16,'נתוני מים 2014'!$C$2:$L$188,5,0)/1000,0)</f>
        <v>0</v>
      </c>
      <c r="AR730" s="5">
        <f>+IFERROR(VLOOKUP(AR16,'נתוני מים 2014'!$C$2:$L$188,5,0)/1000,0)</f>
        <v>0</v>
      </c>
      <c r="AS730" s="5">
        <f>+IFERROR(VLOOKUP(AS16,'נתוני מים 2014'!$C$2:$L$188,5,0)/1000,0)</f>
        <v>222.93199999999999</v>
      </c>
      <c r="AT730" s="5">
        <f>+IFERROR(VLOOKUP(AT16,'נתוני מים 2014'!$C$2:$L$188,5,0)/1000,0)</f>
        <v>0</v>
      </c>
      <c r="AU730" s="5">
        <f>+IFERROR(VLOOKUP(AU16,'נתוני מים 2014'!$C$2:$L$188,5,0)/1000,0)</f>
        <v>0</v>
      </c>
      <c r="AV730" s="5">
        <f>+IFERROR(VLOOKUP(AV16,'נתוני מים 2014'!$C$2:$L$188,5,0)/1000,0)</f>
        <v>0</v>
      </c>
      <c r="AW730" s="5">
        <f>+IFERROR(VLOOKUP(AW16,'נתוני מים 2014'!$C$2:$L$188,5,0)/1000,0)</f>
        <v>0</v>
      </c>
      <c r="AX730" s="5">
        <f>+IFERROR(VLOOKUP(AX16,'נתוני מים 2014'!$C$2:$L$188,5,0)/1000,0)</f>
        <v>0</v>
      </c>
      <c r="AY730" s="5">
        <f>+IFERROR(VLOOKUP(AY16,'נתוני מים 2014'!$C$2:$L$188,5,0)/1000,0)</f>
        <v>0</v>
      </c>
      <c r="AZ730" s="5">
        <f>+IFERROR(VLOOKUP(AZ16,'נתוני מים 2014'!$C$2:$L$188,5,0)/1000,0)</f>
        <v>0</v>
      </c>
      <c r="BA730" s="5">
        <f>+IFERROR(VLOOKUP(BA16,'נתוני מים 2014'!$C$2:$L$188,5,0)/1000,0)</f>
        <v>0</v>
      </c>
      <c r="BB730" s="5">
        <f>+IFERROR(VLOOKUP(BB16,'נתוני מים 2014'!$C$2:$L$188,5,0)/1000,0)</f>
        <v>0</v>
      </c>
      <c r="BC730" s="5">
        <f>+IFERROR(VLOOKUP(BC16,'נתוני מים 2014'!$C$2:$L$188,5,0)/1000,0)</f>
        <v>0</v>
      </c>
      <c r="BD730" s="5">
        <f>+IFERROR(VLOOKUP(BD16,'נתוני מים 2014'!$C$2:$L$188,5,0)/1000,0)</f>
        <v>0</v>
      </c>
      <c r="BE730" s="5">
        <f>+IFERROR(VLOOKUP(BE16,'נתוני מים 2014'!$C$2:$L$188,5,0)/1000,0)</f>
        <v>0</v>
      </c>
      <c r="BF730" s="5">
        <f>+IFERROR(VLOOKUP(BF16,'נתוני מים 2014'!$C$2:$L$188,5,0)/1000,0)</f>
        <v>0</v>
      </c>
    </row>
    <row r="731" spans="1:58" x14ac:dyDescent="0.2">
      <c r="B731" s="1">
        <v>10</v>
      </c>
      <c r="C731" s="5">
        <f>+IFERROR(VLOOKUP(C17,'נתוני מים 2014'!$C$2:$L$188,5,0)/1000,0)</f>
        <v>0</v>
      </c>
      <c r="D731" s="5">
        <f>+IFERROR(VLOOKUP(D17,'נתוני מים 2014'!$C$2:$L$188,5,0)/1000,0)</f>
        <v>0</v>
      </c>
      <c r="E731" s="5">
        <f>+IFERROR(VLOOKUP(E17,'נתוני מים 2014'!$C$2:$L$188,5,0)/1000,0)</f>
        <v>0</v>
      </c>
      <c r="F731" s="5">
        <f>+IFERROR(VLOOKUP(F17,'נתוני מים 2014'!$C$2:$L$188,5,0)/1000,0)</f>
        <v>0</v>
      </c>
      <c r="G731" s="5">
        <f>+IFERROR(VLOOKUP(G17,'נתוני מים 2014'!$C$2:$L$188,5,0)/1000,0)</f>
        <v>0</v>
      </c>
      <c r="H731" s="5">
        <f>+IFERROR(VLOOKUP(H17,'נתוני מים 2014'!$C$2:$L$188,5,0)/1000,0)</f>
        <v>0</v>
      </c>
      <c r="I731" s="5">
        <f>+IFERROR(VLOOKUP(I17,'נתוני מים 2014'!$C$2:$L$188,5,0)/1000,0)</f>
        <v>0</v>
      </c>
      <c r="J731" s="5">
        <f>+IFERROR(VLOOKUP(J17,'נתוני מים 2014'!$C$2:$L$188,5,0)/1000,0)</f>
        <v>0</v>
      </c>
      <c r="K731" s="5">
        <f>+IFERROR(VLOOKUP(K17,'נתוני מים 2014'!$C$2:$L$188,5,0)/1000,0)</f>
        <v>0</v>
      </c>
      <c r="L731" s="5">
        <f>+IFERROR(VLOOKUP(L17,'נתוני מים 2014'!$C$2:$L$188,5,0)/1000,0)</f>
        <v>0</v>
      </c>
      <c r="M731" s="5">
        <f>+IFERROR(VLOOKUP(M17,'נתוני מים 2014'!$C$2:$L$188,5,0)/1000,0)</f>
        <v>0</v>
      </c>
      <c r="N731" s="5">
        <f>+IFERROR(VLOOKUP(N17,'נתוני מים 2014'!$C$2:$L$188,5,0)/1000,0)</f>
        <v>0</v>
      </c>
      <c r="O731" s="5">
        <f>+IFERROR(VLOOKUP(O17,'נתוני מים 2014'!$C$2:$L$188,5,0)/1000,0)</f>
        <v>0</v>
      </c>
      <c r="P731" s="5">
        <f>+IFERROR(VLOOKUP(P17,'נתוני מים 2014'!$C$2:$L$188,5,0)/1000,0)</f>
        <v>642.56700000000001</v>
      </c>
      <c r="Q731" s="5">
        <f>+IFERROR(VLOOKUP(Q17,'נתוני מים 2014'!$C$2:$L$188,5,0)/1000,0)</f>
        <v>0</v>
      </c>
      <c r="R731" s="5">
        <f>+IFERROR(VLOOKUP(R17,'נתוני מים 2014'!$C$2:$L$188,5,0)/1000,0)</f>
        <v>0</v>
      </c>
      <c r="S731" s="5">
        <f>+IFERROR(VLOOKUP(S17,'נתוני מים 2014'!$C$2:$L$188,5,0)/1000,0)</f>
        <v>0</v>
      </c>
      <c r="T731" s="5">
        <f>+IFERROR(VLOOKUP(T17,'נתוני מים 2014'!$C$2:$L$188,5,0)/1000,0)</f>
        <v>0</v>
      </c>
      <c r="U731" s="5">
        <f>+IFERROR(VLOOKUP(U17,'נתוני מים 2014'!$C$2:$L$188,5,0)/1000,0)</f>
        <v>0</v>
      </c>
      <c r="V731" s="5">
        <f>+IFERROR(VLOOKUP(V17,'נתוני מים 2014'!$C$2:$L$188,5,0)/1000,0)</f>
        <v>0</v>
      </c>
      <c r="W731" s="5">
        <f>+IFERROR(VLOOKUP(W17,'נתוני מים 2014'!$C$2:$L$188,5,0)/1000,0)</f>
        <v>0</v>
      </c>
      <c r="X731" s="5">
        <f>+IFERROR(VLOOKUP(X17,'נתוני מים 2014'!$C$2:$L$188,5,0)/1000,0)</f>
        <v>0</v>
      </c>
      <c r="Y731" s="5">
        <f>+IFERROR(VLOOKUP(Y17,'נתוני מים 2014'!$C$2:$L$188,5,0)/1000,0)</f>
        <v>0</v>
      </c>
      <c r="Z731" s="5">
        <f>+IFERROR(VLOOKUP(Z17,'נתוני מים 2014'!$C$2:$L$188,5,0)/1000,0)</f>
        <v>0</v>
      </c>
      <c r="AA731" s="5">
        <f>+IFERROR(VLOOKUP(AA17,'נתוני מים 2014'!$C$2:$L$188,5,0)/1000,0)</f>
        <v>0</v>
      </c>
      <c r="AB731" s="5">
        <f>+IFERROR(VLOOKUP(AB17,'נתוני מים 2014'!$C$2:$L$188,5,0)/1000,0)</f>
        <v>0</v>
      </c>
      <c r="AC731" s="5">
        <f>+IFERROR(VLOOKUP(AC17,'נתוני מים 2014'!$C$2:$L$188,5,0)/1000,0)</f>
        <v>0</v>
      </c>
      <c r="AD731" s="5">
        <f>+IFERROR(VLOOKUP(AD17,'נתוני מים 2014'!$C$2:$L$188,5,0)/1000,0)</f>
        <v>0</v>
      </c>
      <c r="AE731" s="5">
        <f>+IFERROR(VLOOKUP(AE17,'נתוני מים 2014'!$C$2:$L$188,5,0)/1000,0)</f>
        <v>0</v>
      </c>
      <c r="AF731" s="5">
        <f>+IFERROR(VLOOKUP(AF17,'נתוני מים 2014'!$C$2:$L$188,5,0)/1000,0)</f>
        <v>0</v>
      </c>
      <c r="AG731" s="5">
        <f>+IFERROR(VLOOKUP(AG17,'נתוני מים 2014'!$C$2:$L$188,5,0)/1000,0)</f>
        <v>0</v>
      </c>
      <c r="AH731" s="5">
        <f>+IFERROR(VLOOKUP(AH17,'נתוני מים 2014'!$C$2:$L$188,5,0)/1000,0)</f>
        <v>0</v>
      </c>
      <c r="AI731" s="5">
        <f>+IFERROR(VLOOKUP(AI17,'נתוני מים 2014'!$C$2:$L$188,5,0)/1000,0)</f>
        <v>0</v>
      </c>
      <c r="AJ731" s="5">
        <f>+IFERROR(VLOOKUP(AJ17,'נתוני מים 2014'!$C$2:$L$188,5,0)/1000,0)</f>
        <v>0</v>
      </c>
      <c r="AK731" s="5">
        <f>+IFERROR(VLOOKUP(AK17,'נתוני מים 2014'!$C$2:$L$188,5,0)/1000,0)</f>
        <v>0</v>
      </c>
      <c r="AL731" s="5">
        <f>+IFERROR(VLOOKUP(AL17,'נתוני מים 2014'!$C$2:$L$188,5,0)/1000,0)</f>
        <v>0</v>
      </c>
      <c r="AM731" s="5">
        <f>+IFERROR(VLOOKUP(AM17,'נתוני מים 2014'!$C$2:$L$188,5,0)/1000,0)</f>
        <v>0</v>
      </c>
      <c r="AN731" s="5">
        <f>+IFERROR(VLOOKUP(AN17,'נתוני מים 2014'!$C$2:$L$188,5,0)/1000,0)</f>
        <v>0</v>
      </c>
      <c r="AO731" s="5">
        <f>+IFERROR(VLOOKUP(AO17,'נתוני מים 2014'!$C$2:$L$188,5,0)/1000,0)</f>
        <v>0</v>
      </c>
      <c r="AP731" s="5">
        <f>+IFERROR(VLOOKUP(AP17,'נתוני מים 2014'!$C$2:$L$188,5,0)/1000,0)</f>
        <v>0</v>
      </c>
      <c r="AQ731" s="5">
        <f>+IFERROR(VLOOKUP(AQ17,'נתוני מים 2014'!$C$2:$L$188,5,0)/1000,0)</f>
        <v>0</v>
      </c>
      <c r="AR731" s="5">
        <f>+IFERROR(VLOOKUP(AR17,'נתוני מים 2014'!$C$2:$L$188,5,0)/1000,0)</f>
        <v>0</v>
      </c>
      <c r="AS731" s="5">
        <f>+IFERROR(VLOOKUP(AS17,'נתוני מים 2014'!$C$2:$L$188,5,0)/1000,0)</f>
        <v>569.28700000000003</v>
      </c>
      <c r="AT731" s="5">
        <f>+IFERROR(VLOOKUP(AT17,'נתוני מים 2014'!$C$2:$L$188,5,0)/1000,0)</f>
        <v>0</v>
      </c>
      <c r="AU731" s="5">
        <f>+IFERROR(VLOOKUP(AU17,'נתוני מים 2014'!$C$2:$L$188,5,0)/1000,0)</f>
        <v>0</v>
      </c>
      <c r="AV731" s="5">
        <f>+IFERROR(VLOOKUP(AV17,'נתוני מים 2014'!$C$2:$L$188,5,0)/1000,0)</f>
        <v>0</v>
      </c>
      <c r="AW731" s="5">
        <f>+IFERROR(VLOOKUP(AW17,'נתוני מים 2014'!$C$2:$L$188,5,0)/1000,0)</f>
        <v>0</v>
      </c>
      <c r="AX731" s="5">
        <f>+IFERROR(VLOOKUP(AX17,'נתוני מים 2014'!$C$2:$L$188,5,0)/1000,0)</f>
        <v>0</v>
      </c>
      <c r="AY731" s="5">
        <f>+IFERROR(VLOOKUP(AY17,'נתוני מים 2014'!$C$2:$L$188,5,0)/1000,0)</f>
        <v>0</v>
      </c>
      <c r="AZ731" s="5">
        <f>+IFERROR(VLOOKUP(AZ17,'נתוני מים 2014'!$C$2:$L$188,5,0)/1000,0)</f>
        <v>0</v>
      </c>
      <c r="BA731" s="5">
        <f>+IFERROR(VLOOKUP(BA17,'נתוני מים 2014'!$C$2:$L$188,5,0)/1000,0)</f>
        <v>0</v>
      </c>
      <c r="BB731" s="5">
        <f>+IFERROR(VLOOKUP(BB17,'נתוני מים 2014'!$C$2:$L$188,5,0)/1000,0)</f>
        <v>0</v>
      </c>
      <c r="BC731" s="5">
        <f>+IFERROR(VLOOKUP(BC17,'נתוני מים 2014'!$C$2:$L$188,5,0)/1000,0)</f>
        <v>0</v>
      </c>
      <c r="BD731" s="5">
        <f>+IFERROR(VLOOKUP(BD17,'נתוני מים 2014'!$C$2:$L$188,5,0)/1000,0)</f>
        <v>0</v>
      </c>
      <c r="BE731" s="5">
        <f>+IFERROR(VLOOKUP(BE17,'נתוני מים 2014'!$C$2:$L$188,5,0)/1000,0)</f>
        <v>0</v>
      </c>
      <c r="BF731" s="5">
        <f>+IFERROR(VLOOKUP(BF17,'נתוני מים 2014'!$C$2:$L$188,5,0)/1000,0)</f>
        <v>0</v>
      </c>
    </row>
    <row r="732" spans="1:58" x14ac:dyDescent="0.2">
      <c r="B732" s="1">
        <v>11</v>
      </c>
      <c r="C732" s="5">
        <f>+IFERROR(VLOOKUP(C18,'נתוני מים 2014'!$C$2:$L$188,5,0)/1000,0)</f>
        <v>0</v>
      </c>
      <c r="D732" s="5">
        <f>+IFERROR(VLOOKUP(D18,'נתוני מים 2014'!$C$2:$L$188,5,0)/1000,0)</f>
        <v>0</v>
      </c>
      <c r="E732" s="5">
        <f>+IFERROR(VLOOKUP(E18,'נתוני מים 2014'!$C$2:$L$188,5,0)/1000,0)</f>
        <v>0</v>
      </c>
      <c r="F732" s="5">
        <f>+IFERROR(VLOOKUP(F18,'נתוני מים 2014'!$C$2:$L$188,5,0)/1000,0)</f>
        <v>0</v>
      </c>
      <c r="G732" s="5">
        <f>+IFERROR(VLOOKUP(G18,'נתוני מים 2014'!$C$2:$L$188,5,0)/1000,0)</f>
        <v>0</v>
      </c>
      <c r="H732" s="5">
        <f>+IFERROR(VLOOKUP(H18,'נתוני מים 2014'!$C$2:$L$188,5,0)/1000,0)</f>
        <v>0</v>
      </c>
      <c r="I732" s="5">
        <f>+IFERROR(VLOOKUP(I18,'נתוני מים 2014'!$C$2:$L$188,5,0)/1000,0)</f>
        <v>0</v>
      </c>
      <c r="J732" s="5">
        <f>+IFERROR(VLOOKUP(J18,'נתוני מים 2014'!$C$2:$L$188,5,0)/1000,0)</f>
        <v>0</v>
      </c>
      <c r="K732" s="5">
        <f>+IFERROR(VLOOKUP(K18,'נתוני מים 2014'!$C$2:$L$188,5,0)/1000,0)</f>
        <v>0</v>
      </c>
      <c r="L732" s="5">
        <f>+IFERROR(VLOOKUP(L18,'נתוני מים 2014'!$C$2:$L$188,5,0)/1000,0)</f>
        <v>0</v>
      </c>
      <c r="M732" s="5">
        <f>+IFERROR(VLOOKUP(M18,'נתוני מים 2014'!$C$2:$L$188,5,0)/1000,0)</f>
        <v>0</v>
      </c>
      <c r="N732" s="5">
        <f>+IFERROR(VLOOKUP(N18,'נתוני מים 2014'!$C$2:$L$188,5,0)/1000,0)</f>
        <v>0</v>
      </c>
      <c r="O732" s="5">
        <f>+IFERROR(VLOOKUP(O18,'נתוני מים 2014'!$C$2:$L$188,5,0)/1000,0)</f>
        <v>0</v>
      </c>
      <c r="P732" s="5">
        <f>+IFERROR(VLOOKUP(P18,'נתוני מים 2014'!$C$2:$L$188,5,0)/1000,0)</f>
        <v>266.988</v>
      </c>
      <c r="Q732" s="5">
        <f>+IFERROR(VLOOKUP(Q18,'נתוני מים 2014'!$C$2:$L$188,5,0)/1000,0)</f>
        <v>0</v>
      </c>
      <c r="R732" s="5">
        <f>+IFERROR(VLOOKUP(R18,'נתוני מים 2014'!$C$2:$L$188,5,0)/1000,0)</f>
        <v>0</v>
      </c>
      <c r="S732" s="5">
        <f>+IFERROR(VLOOKUP(S18,'נתוני מים 2014'!$C$2:$L$188,5,0)/1000,0)</f>
        <v>0</v>
      </c>
      <c r="T732" s="5">
        <f>+IFERROR(VLOOKUP(T18,'נתוני מים 2014'!$C$2:$L$188,5,0)/1000,0)</f>
        <v>0</v>
      </c>
      <c r="U732" s="5">
        <f>+IFERROR(VLOOKUP(U18,'נתוני מים 2014'!$C$2:$L$188,5,0)/1000,0)</f>
        <v>0</v>
      </c>
      <c r="V732" s="5">
        <f>+IFERROR(VLOOKUP(V18,'נתוני מים 2014'!$C$2:$L$188,5,0)/1000,0)</f>
        <v>0</v>
      </c>
      <c r="W732" s="5">
        <f>+IFERROR(VLOOKUP(W18,'נתוני מים 2014'!$C$2:$L$188,5,0)/1000,0)</f>
        <v>0</v>
      </c>
      <c r="X732" s="5">
        <f>+IFERROR(VLOOKUP(X18,'נתוני מים 2014'!$C$2:$L$188,5,0)/1000,0)</f>
        <v>0</v>
      </c>
      <c r="Y732" s="5">
        <f>+IFERROR(VLOOKUP(Y18,'נתוני מים 2014'!$C$2:$L$188,5,0)/1000,0)</f>
        <v>0</v>
      </c>
      <c r="Z732" s="5">
        <f>+IFERROR(VLOOKUP(Z18,'נתוני מים 2014'!$C$2:$L$188,5,0)/1000,0)</f>
        <v>0</v>
      </c>
      <c r="AA732" s="5">
        <f>+IFERROR(VLOOKUP(AA18,'נתוני מים 2014'!$C$2:$L$188,5,0)/1000,0)</f>
        <v>0</v>
      </c>
      <c r="AB732" s="5">
        <f>+IFERROR(VLOOKUP(AB18,'נתוני מים 2014'!$C$2:$L$188,5,0)/1000,0)</f>
        <v>0</v>
      </c>
      <c r="AC732" s="5">
        <f>+IFERROR(VLOOKUP(AC18,'נתוני מים 2014'!$C$2:$L$188,5,0)/1000,0)</f>
        <v>0</v>
      </c>
      <c r="AD732" s="5">
        <f>+IFERROR(VLOOKUP(AD18,'נתוני מים 2014'!$C$2:$L$188,5,0)/1000,0)</f>
        <v>0</v>
      </c>
      <c r="AE732" s="5">
        <f>+IFERROR(VLOOKUP(AE18,'נתוני מים 2014'!$C$2:$L$188,5,0)/1000,0)</f>
        <v>0</v>
      </c>
      <c r="AF732" s="5">
        <f>+IFERROR(VLOOKUP(AF18,'נתוני מים 2014'!$C$2:$L$188,5,0)/1000,0)</f>
        <v>0</v>
      </c>
      <c r="AG732" s="5">
        <f>+IFERROR(VLOOKUP(AG18,'נתוני מים 2014'!$C$2:$L$188,5,0)/1000,0)</f>
        <v>0</v>
      </c>
      <c r="AH732" s="5">
        <f>+IFERROR(VLOOKUP(AH18,'נתוני מים 2014'!$C$2:$L$188,5,0)/1000,0)</f>
        <v>0</v>
      </c>
      <c r="AI732" s="5">
        <f>+IFERROR(VLOOKUP(AI18,'נתוני מים 2014'!$C$2:$L$188,5,0)/1000,0)</f>
        <v>0</v>
      </c>
      <c r="AJ732" s="5">
        <f>+IFERROR(VLOOKUP(AJ18,'נתוני מים 2014'!$C$2:$L$188,5,0)/1000,0)</f>
        <v>0</v>
      </c>
      <c r="AK732" s="5">
        <f>+IFERROR(VLOOKUP(AK18,'נתוני מים 2014'!$C$2:$L$188,5,0)/1000,0)</f>
        <v>0</v>
      </c>
      <c r="AL732" s="5">
        <f>+IFERROR(VLOOKUP(AL18,'נתוני מים 2014'!$C$2:$L$188,5,0)/1000,0)</f>
        <v>0</v>
      </c>
      <c r="AM732" s="5">
        <f>+IFERROR(VLOOKUP(AM18,'נתוני מים 2014'!$C$2:$L$188,5,0)/1000,0)</f>
        <v>0</v>
      </c>
      <c r="AN732" s="5">
        <f>+IFERROR(VLOOKUP(AN18,'נתוני מים 2014'!$C$2:$L$188,5,0)/1000,0)</f>
        <v>0</v>
      </c>
      <c r="AO732" s="5">
        <f>+IFERROR(VLOOKUP(AO18,'נתוני מים 2014'!$C$2:$L$188,5,0)/1000,0)</f>
        <v>0</v>
      </c>
      <c r="AP732" s="5">
        <f>+IFERROR(VLOOKUP(AP18,'נתוני מים 2014'!$C$2:$L$188,5,0)/1000,0)</f>
        <v>0</v>
      </c>
      <c r="AQ732" s="5">
        <f>+IFERROR(VLOOKUP(AQ18,'נתוני מים 2014'!$C$2:$L$188,5,0)/1000,0)</f>
        <v>0</v>
      </c>
      <c r="AR732" s="5">
        <f>+IFERROR(VLOOKUP(AR18,'נתוני מים 2014'!$C$2:$L$188,5,0)/1000,0)</f>
        <v>0</v>
      </c>
      <c r="AS732" s="5">
        <f>+IFERROR(VLOOKUP(AS18,'נתוני מים 2014'!$C$2:$L$188,5,0)/1000,0)</f>
        <v>0</v>
      </c>
      <c r="AT732" s="5">
        <f>+IFERROR(VLOOKUP(AT18,'נתוני מים 2014'!$C$2:$L$188,5,0)/1000,0)</f>
        <v>0</v>
      </c>
      <c r="AU732" s="5">
        <f>+IFERROR(VLOOKUP(AU18,'נתוני מים 2014'!$C$2:$L$188,5,0)/1000,0)</f>
        <v>0</v>
      </c>
      <c r="AV732" s="5">
        <f>+IFERROR(VLOOKUP(AV18,'נתוני מים 2014'!$C$2:$L$188,5,0)/1000,0)</f>
        <v>0</v>
      </c>
      <c r="AW732" s="5">
        <f>+IFERROR(VLOOKUP(AW18,'נתוני מים 2014'!$C$2:$L$188,5,0)/1000,0)</f>
        <v>0</v>
      </c>
      <c r="AX732" s="5">
        <f>+IFERROR(VLOOKUP(AX18,'נתוני מים 2014'!$C$2:$L$188,5,0)/1000,0)</f>
        <v>0</v>
      </c>
      <c r="AY732" s="5">
        <f>+IFERROR(VLOOKUP(AY18,'נתוני מים 2014'!$C$2:$L$188,5,0)/1000,0)</f>
        <v>0</v>
      </c>
      <c r="AZ732" s="5">
        <f>+IFERROR(VLOOKUP(AZ18,'נתוני מים 2014'!$C$2:$L$188,5,0)/1000,0)</f>
        <v>0</v>
      </c>
      <c r="BA732" s="5">
        <f>+IFERROR(VLOOKUP(BA18,'נתוני מים 2014'!$C$2:$L$188,5,0)/1000,0)</f>
        <v>0</v>
      </c>
      <c r="BB732" s="5">
        <f>+IFERROR(VLOOKUP(BB18,'נתוני מים 2014'!$C$2:$L$188,5,0)/1000,0)</f>
        <v>0</v>
      </c>
      <c r="BC732" s="5">
        <f>+IFERROR(VLOOKUP(BC18,'נתוני מים 2014'!$C$2:$L$188,5,0)/1000,0)</f>
        <v>0</v>
      </c>
      <c r="BD732" s="5">
        <f>+IFERROR(VLOOKUP(BD18,'נתוני מים 2014'!$C$2:$L$188,5,0)/1000,0)</f>
        <v>0</v>
      </c>
      <c r="BE732" s="5">
        <f>+IFERROR(VLOOKUP(BE18,'נתוני מים 2014'!$C$2:$L$188,5,0)/1000,0)</f>
        <v>0</v>
      </c>
      <c r="BF732" s="5">
        <f>+IFERROR(VLOOKUP(BF18,'נתוני מים 2014'!$C$2:$L$188,5,0)/1000,0)</f>
        <v>0</v>
      </c>
    </row>
    <row r="733" spans="1:58" x14ac:dyDescent="0.2">
      <c r="B733" s="1">
        <v>12</v>
      </c>
      <c r="C733" s="5">
        <f>+IFERROR(VLOOKUP(C19,'נתוני מים 2014'!$C$2:$L$188,5,0)/1000,0)</f>
        <v>0</v>
      </c>
      <c r="D733" s="5">
        <f>+IFERROR(VLOOKUP(D19,'נתוני מים 2014'!$C$2:$L$188,5,0)/1000,0)</f>
        <v>0</v>
      </c>
      <c r="E733" s="5">
        <f>+IFERROR(VLOOKUP(E19,'נתוני מים 2014'!$C$2:$L$188,5,0)/1000,0)</f>
        <v>0</v>
      </c>
      <c r="F733" s="5">
        <f>+IFERROR(VLOOKUP(F19,'נתוני מים 2014'!$C$2:$L$188,5,0)/1000,0)</f>
        <v>0</v>
      </c>
      <c r="G733" s="5">
        <f>+IFERROR(VLOOKUP(G19,'נתוני מים 2014'!$C$2:$L$188,5,0)/1000,0)</f>
        <v>0</v>
      </c>
      <c r="H733" s="5">
        <f>+IFERROR(VLOOKUP(H19,'נתוני מים 2014'!$C$2:$L$188,5,0)/1000,0)</f>
        <v>0</v>
      </c>
      <c r="I733" s="5">
        <f>+IFERROR(VLOOKUP(I19,'נתוני מים 2014'!$C$2:$L$188,5,0)/1000,0)</f>
        <v>0</v>
      </c>
      <c r="J733" s="5">
        <f>+IFERROR(VLOOKUP(J19,'נתוני מים 2014'!$C$2:$L$188,5,0)/1000,0)</f>
        <v>0</v>
      </c>
      <c r="K733" s="5">
        <f>+IFERROR(VLOOKUP(K19,'נתוני מים 2014'!$C$2:$L$188,5,0)/1000,0)</f>
        <v>0</v>
      </c>
      <c r="L733" s="5">
        <f>+IFERROR(VLOOKUP(L19,'נתוני מים 2014'!$C$2:$L$188,5,0)/1000,0)</f>
        <v>0</v>
      </c>
      <c r="M733" s="5">
        <f>+IFERROR(VLOOKUP(M19,'נתוני מים 2014'!$C$2:$L$188,5,0)/1000,0)</f>
        <v>0</v>
      </c>
      <c r="N733" s="5">
        <f>+IFERROR(VLOOKUP(N19,'נתוני מים 2014'!$C$2:$L$188,5,0)/1000,0)</f>
        <v>0</v>
      </c>
      <c r="O733" s="5">
        <f>+IFERROR(VLOOKUP(O19,'נתוני מים 2014'!$C$2:$L$188,5,0)/1000,0)</f>
        <v>0</v>
      </c>
      <c r="P733" s="5">
        <f>+IFERROR(VLOOKUP(P19,'נתוני מים 2014'!$C$2:$L$188,5,0)/1000,0)</f>
        <v>392.18799999999999</v>
      </c>
      <c r="Q733" s="5">
        <f>+IFERROR(VLOOKUP(Q19,'נתוני מים 2014'!$C$2:$L$188,5,0)/1000,0)</f>
        <v>0</v>
      </c>
      <c r="R733" s="5">
        <f>+IFERROR(VLOOKUP(R19,'נתוני מים 2014'!$C$2:$L$188,5,0)/1000,0)</f>
        <v>0</v>
      </c>
      <c r="S733" s="5">
        <f>+IFERROR(VLOOKUP(S19,'נתוני מים 2014'!$C$2:$L$188,5,0)/1000,0)</f>
        <v>0</v>
      </c>
      <c r="T733" s="5">
        <f>+IFERROR(VLOOKUP(T19,'נתוני מים 2014'!$C$2:$L$188,5,0)/1000,0)</f>
        <v>0</v>
      </c>
      <c r="U733" s="5">
        <f>+IFERROR(VLOOKUP(U19,'נתוני מים 2014'!$C$2:$L$188,5,0)/1000,0)</f>
        <v>0</v>
      </c>
      <c r="V733" s="5">
        <f>+IFERROR(VLOOKUP(V19,'נתוני מים 2014'!$C$2:$L$188,5,0)/1000,0)</f>
        <v>0</v>
      </c>
      <c r="W733" s="5">
        <f>+IFERROR(VLOOKUP(W19,'נתוני מים 2014'!$C$2:$L$188,5,0)/1000,0)</f>
        <v>0</v>
      </c>
      <c r="X733" s="5">
        <f>+IFERROR(VLOOKUP(X19,'נתוני מים 2014'!$C$2:$L$188,5,0)/1000,0)</f>
        <v>0</v>
      </c>
      <c r="Y733" s="5">
        <f>+IFERROR(VLOOKUP(Y19,'נתוני מים 2014'!$C$2:$L$188,5,0)/1000,0)</f>
        <v>0</v>
      </c>
      <c r="Z733" s="5">
        <f>+IFERROR(VLOOKUP(Z19,'נתוני מים 2014'!$C$2:$L$188,5,0)/1000,0)</f>
        <v>0</v>
      </c>
      <c r="AA733" s="5">
        <f>+IFERROR(VLOOKUP(AA19,'נתוני מים 2014'!$C$2:$L$188,5,0)/1000,0)</f>
        <v>0</v>
      </c>
      <c r="AB733" s="5">
        <f>+IFERROR(VLOOKUP(AB19,'נתוני מים 2014'!$C$2:$L$188,5,0)/1000,0)</f>
        <v>0</v>
      </c>
      <c r="AC733" s="5">
        <f>+IFERROR(VLOOKUP(AC19,'נתוני מים 2014'!$C$2:$L$188,5,0)/1000,0)</f>
        <v>0</v>
      </c>
      <c r="AD733" s="5">
        <f>+IFERROR(VLOOKUP(AD19,'נתוני מים 2014'!$C$2:$L$188,5,0)/1000,0)</f>
        <v>0</v>
      </c>
      <c r="AE733" s="5">
        <f>+IFERROR(VLOOKUP(AE19,'נתוני מים 2014'!$C$2:$L$188,5,0)/1000,0)</f>
        <v>0</v>
      </c>
      <c r="AF733" s="5">
        <f>+IFERROR(VLOOKUP(AF19,'נתוני מים 2014'!$C$2:$L$188,5,0)/1000,0)</f>
        <v>0</v>
      </c>
      <c r="AG733" s="5">
        <f>+IFERROR(VLOOKUP(AG19,'נתוני מים 2014'!$C$2:$L$188,5,0)/1000,0)</f>
        <v>0</v>
      </c>
      <c r="AH733" s="5">
        <f>+IFERROR(VLOOKUP(AH19,'נתוני מים 2014'!$C$2:$L$188,5,0)/1000,0)</f>
        <v>0</v>
      </c>
      <c r="AI733" s="5">
        <f>+IFERROR(VLOOKUP(AI19,'נתוני מים 2014'!$C$2:$L$188,5,0)/1000,0)</f>
        <v>0</v>
      </c>
      <c r="AJ733" s="5">
        <f>+IFERROR(VLOOKUP(AJ19,'נתוני מים 2014'!$C$2:$L$188,5,0)/1000,0)</f>
        <v>0</v>
      </c>
      <c r="AK733" s="5">
        <f>+IFERROR(VLOOKUP(AK19,'נתוני מים 2014'!$C$2:$L$188,5,0)/1000,0)</f>
        <v>0</v>
      </c>
      <c r="AL733" s="5">
        <f>+IFERROR(VLOOKUP(AL19,'נתוני מים 2014'!$C$2:$L$188,5,0)/1000,0)</f>
        <v>0</v>
      </c>
      <c r="AM733" s="5">
        <f>+IFERROR(VLOOKUP(AM19,'נתוני מים 2014'!$C$2:$L$188,5,0)/1000,0)</f>
        <v>0</v>
      </c>
      <c r="AN733" s="5">
        <f>+IFERROR(VLOOKUP(AN19,'נתוני מים 2014'!$C$2:$L$188,5,0)/1000,0)</f>
        <v>0</v>
      </c>
      <c r="AO733" s="5">
        <f>+IFERROR(VLOOKUP(AO19,'נתוני מים 2014'!$C$2:$L$188,5,0)/1000,0)</f>
        <v>0</v>
      </c>
      <c r="AP733" s="5">
        <f>+IFERROR(VLOOKUP(AP19,'נתוני מים 2014'!$C$2:$L$188,5,0)/1000,0)</f>
        <v>0</v>
      </c>
      <c r="AQ733" s="5">
        <f>+IFERROR(VLOOKUP(AQ19,'נתוני מים 2014'!$C$2:$L$188,5,0)/1000,0)</f>
        <v>0</v>
      </c>
      <c r="AR733" s="5">
        <f>+IFERROR(VLOOKUP(AR19,'נתוני מים 2014'!$C$2:$L$188,5,0)/1000,0)</f>
        <v>0</v>
      </c>
      <c r="AS733" s="5">
        <f>+IFERROR(VLOOKUP(AS19,'נתוני מים 2014'!$C$2:$L$188,5,0)/1000,0)</f>
        <v>0</v>
      </c>
      <c r="AT733" s="5">
        <f>+IFERROR(VLOOKUP(AT19,'נתוני מים 2014'!$C$2:$L$188,5,0)/1000,0)</f>
        <v>0</v>
      </c>
      <c r="AU733" s="5">
        <f>+IFERROR(VLOOKUP(AU19,'נתוני מים 2014'!$C$2:$L$188,5,0)/1000,0)</f>
        <v>0</v>
      </c>
      <c r="AV733" s="5">
        <f>+IFERROR(VLOOKUP(AV19,'נתוני מים 2014'!$C$2:$L$188,5,0)/1000,0)</f>
        <v>0</v>
      </c>
      <c r="AW733" s="5">
        <f>+IFERROR(VLOOKUP(AW19,'נתוני מים 2014'!$C$2:$L$188,5,0)/1000,0)</f>
        <v>0</v>
      </c>
      <c r="AX733" s="5">
        <f>+IFERROR(VLOOKUP(AX19,'נתוני מים 2014'!$C$2:$L$188,5,0)/1000,0)</f>
        <v>0</v>
      </c>
      <c r="AY733" s="5">
        <f>+IFERROR(VLOOKUP(AY19,'נתוני מים 2014'!$C$2:$L$188,5,0)/1000,0)</f>
        <v>0</v>
      </c>
      <c r="AZ733" s="5">
        <f>+IFERROR(VLOOKUP(AZ19,'נתוני מים 2014'!$C$2:$L$188,5,0)/1000,0)</f>
        <v>0</v>
      </c>
      <c r="BA733" s="5">
        <f>+IFERROR(VLOOKUP(BA19,'נתוני מים 2014'!$C$2:$L$188,5,0)/1000,0)</f>
        <v>0</v>
      </c>
      <c r="BB733" s="5">
        <f>+IFERROR(VLOOKUP(BB19,'נתוני מים 2014'!$C$2:$L$188,5,0)/1000,0)</f>
        <v>0</v>
      </c>
      <c r="BC733" s="5">
        <f>+IFERROR(VLOOKUP(BC19,'נתוני מים 2014'!$C$2:$L$188,5,0)/1000,0)</f>
        <v>0</v>
      </c>
      <c r="BD733" s="5">
        <f>+IFERROR(VLOOKUP(BD19,'נתוני מים 2014'!$C$2:$L$188,5,0)/1000,0)</f>
        <v>0</v>
      </c>
      <c r="BE733" s="5">
        <f>+IFERROR(VLOOKUP(BE19,'נתוני מים 2014'!$C$2:$L$188,5,0)/1000,0)</f>
        <v>0</v>
      </c>
      <c r="BF733" s="5">
        <f>+IFERROR(VLOOKUP(BF19,'נתוני מים 2014'!$C$2:$L$188,5,0)/1000,0)</f>
        <v>0</v>
      </c>
    </row>
    <row r="734" spans="1:58" x14ac:dyDescent="0.2">
      <c r="B734" s="1">
        <v>13</v>
      </c>
      <c r="C734" s="5">
        <f>+IFERROR(VLOOKUP(C20,'נתוני מים 2014'!$C$2:$L$188,5,0)/1000,0)</f>
        <v>0</v>
      </c>
      <c r="D734" s="5">
        <f>+IFERROR(VLOOKUP(D20,'נתוני מים 2014'!$C$2:$L$188,5,0)/1000,0)</f>
        <v>0</v>
      </c>
      <c r="E734" s="5">
        <f>+IFERROR(VLOOKUP(E20,'נתוני מים 2014'!$C$2:$L$188,5,0)/1000,0)</f>
        <v>0</v>
      </c>
      <c r="F734" s="5">
        <f>+IFERROR(VLOOKUP(F20,'נתוני מים 2014'!$C$2:$L$188,5,0)/1000,0)</f>
        <v>0</v>
      </c>
      <c r="G734" s="5">
        <f>+IFERROR(VLOOKUP(G20,'נתוני מים 2014'!$C$2:$L$188,5,0)/1000,0)</f>
        <v>0</v>
      </c>
      <c r="H734" s="5">
        <f>+IFERROR(VLOOKUP(H20,'נתוני מים 2014'!$C$2:$L$188,5,0)/1000,0)</f>
        <v>0</v>
      </c>
      <c r="I734" s="5">
        <f>+IFERROR(VLOOKUP(I20,'נתוני מים 2014'!$C$2:$L$188,5,0)/1000,0)</f>
        <v>0</v>
      </c>
      <c r="J734" s="5">
        <f>+IFERROR(VLOOKUP(J20,'נתוני מים 2014'!$C$2:$L$188,5,0)/1000,0)</f>
        <v>0</v>
      </c>
      <c r="K734" s="5">
        <f>+IFERROR(VLOOKUP(K20,'נתוני מים 2014'!$C$2:$L$188,5,0)/1000,0)</f>
        <v>0</v>
      </c>
      <c r="L734" s="5">
        <f>+IFERROR(VLOOKUP(L20,'נתוני מים 2014'!$C$2:$L$188,5,0)/1000,0)</f>
        <v>0</v>
      </c>
      <c r="M734" s="5">
        <f>+IFERROR(VLOOKUP(M20,'נתוני מים 2014'!$C$2:$L$188,5,0)/1000,0)</f>
        <v>0</v>
      </c>
      <c r="N734" s="5">
        <f>+IFERROR(VLOOKUP(N20,'נתוני מים 2014'!$C$2:$L$188,5,0)/1000,0)</f>
        <v>0</v>
      </c>
      <c r="O734" s="5">
        <f>+IFERROR(VLOOKUP(O20,'נתוני מים 2014'!$C$2:$L$188,5,0)/1000,0)</f>
        <v>0</v>
      </c>
      <c r="P734" s="5">
        <f>+IFERROR(VLOOKUP(P20,'נתוני מים 2014'!$C$2:$L$188,5,0)/1000,0)</f>
        <v>743.50800000000004</v>
      </c>
      <c r="Q734" s="5">
        <f>+IFERROR(VLOOKUP(Q20,'נתוני מים 2014'!$C$2:$L$188,5,0)/1000,0)</f>
        <v>0</v>
      </c>
      <c r="R734" s="5">
        <f>+IFERROR(VLOOKUP(R20,'נתוני מים 2014'!$C$2:$L$188,5,0)/1000,0)</f>
        <v>0</v>
      </c>
      <c r="S734" s="5">
        <f>+IFERROR(VLOOKUP(S20,'נתוני מים 2014'!$C$2:$L$188,5,0)/1000,0)</f>
        <v>0</v>
      </c>
      <c r="T734" s="5">
        <f>+IFERROR(VLOOKUP(T20,'נתוני מים 2014'!$C$2:$L$188,5,0)/1000,0)</f>
        <v>0</v>
      </c>
      <c r="U734" s="5">
        <f>+IFERROR(VLOOKUP(U20,'נתוני מים 2014'!$C$2:$L$188,5,0)/1000,0)</f>
        <v>0</v>
      </c>
      <c r="V734" s="5">
        <f>+IFERROR(VLOOKUP(V20,'נתוני מים 2014'!$C$2:$L$188,5,0)/1000,0)</f>
        <v>0</v>
      </c>
      <c r="W734" s="5">
        <f>+IFERROR(VLOOKUP(W20,'נתוני מים 2014'!$C$2:$L$188,5,0)/1000,0)</f>
        <v>0</v>
      </c>
      <c r="X734" s="5">
        <f>+IFERROR(VLOOKUP(X20,'נתוני מים 2014'!$C$2:$L$188,5,0)/1000,0)</f>
        <v>0</v>
      </c>
      <c r="Y734" s="5">
        <f>+IFERROR(VLOOKUP(Y20,'נתוני מים 2014'!$C$2:$L$188,5,0)/1000,0)</f>
        <v>0</v>
      </c>
      <c r="Z734" s="5">
        <f>+IFERROR(VLOOKUP(Z20,'נתוני מים 2014'!$C$2:$L$188,5,0)/1000,0)</f>
        <v>0</v>
      </c>
      <c r="AA734" s="5">
        <f>+IFERROR(VLOOKUP(AA20,'נתוני מים 2014'!$C$2:$L$188,5,0)/1000,0)</f>
        <v>0</v>
      </c>
      <c r="AB734" s="5">
        <f>+IFERROR(VLOOKUP(AB20,'נתוני מים 2014'!$C$2:$L$188,5,0)/1000,0)</f>
        <v>0</v>
      </c>
      <c r="AC734" s="5">
        <f>+IFERROR(VLOOKUP(AC20,'נתוני מים 2014'!$C$2:$L$188,5,0)/1000,0)</f>
        <v>0</v>
      </c>
      <c r="AD734" s="5">
        <f>+IFERROR(VLOOKUP(AD20,'נתוני מים 2014'!$C$2:$L$188,5,0)/1000,0)</f>
        <v>0</v>
      </c>
      <c r="AE734" s="5">
        <f>+IFERROR(VLOOKUP(AE20,'נתוני מים 2014'!$C$2:$L$188,5,0)/1000,0)</f>
        <v>0</v>
      </c>
      <c r="AF734" s="5">
        <f>+IFERROR(VLOOKUP(AF20,'נתוני מים 2014'!$C$2:$L$188,5,0)/1000,0)</f>
        <v>0</v>
      </c>
      <c r="AG734" s="5">
        <f>+IFERROR(VLOOKUP(AG20,'נתוני מים 2014'!$C$2:$L$188,5,0)/1000,0)</f>
        <v>0</v>
      </c>
      <c r="AH734" s="5">
        <f>+IFERROR(VLOOKUP(AH20,'נתוני מים 2014'!$C$2:$L$188,5,0)/1000,0)</f>
        <v>0</v>
      </c>
      <c r="AI734" s="5">
        <f>+IFERROR(VLOOKUP(AI20,'נתוני מים 2014'!$C$2:$L$188,5,0)/1000,0)</f>
        <v>0</v>
      </c>
      <c r="AJ734" s="5">
        <f>+IFERROR(VLOOKUP(AJ20,'נתוני מים 2014'!$C$2:$L$188,5,0)/1000,0)</f>
        <v>0</v>
      </c>
      <c r="AK734" s="5">
        <f>+IFERROR(VLOOKUP(AK20,'נתוני מים 2014'!$C$2:$L$188,5,0)/1000,0)</f>
        <v>0</v>
      </c>
      <c r="AL734" s="5">
        <f>+IFERROR(VLOOKUP(AL20,'נתוני מים 2014'!$C$2:$L$188,5,0)/1000,0)</f>
        <v>0</v>
      </c>
      <c r="AM734" s="5">
        <f>+IFERROR(VLOOKUP(AM20,'נתוני מים 2014'!$C$2:$L$188,5,0)/1000,0)</f>
        <v>0</v>
      </c>
      <c r="AN734" s="5">
        <f>+IFERROR(VLOOKUP(AN20,'נתוני מים 2014'!$C$2:$L$188,5,0)/1000,0)</f>
        <v>0</v>
      </c>
      <c r="AO734" s="5">
        <f>+IFERROR(VLOOKUP(AO20,'נתוני מים 2014'!$C$2:$L$188,5,0)/1000,0)</f>
        <v>0</v>
      </c>
      <c r="AP734" s="5">
        <f>+IFERROR(VLOOKUP(AP20,'נתוני מים 2014'!$C$2:$L$188,5,0)/1000,0)</f>
        <v>0</v>
      </c>
      <c r="AQ734" s="5">
        <f>+IFERROR(VLOOKUP(AQ20,'נתוני מים 2014'!$C$2:$L$188,5,0)/1000,0)</f>
        <v>0</v>
      </c>
      <c r="AR734" s="5">
        <f>+IFERROR(VLOOKUP(AR20,'נתוני מים 2014'!$C$2:$L$188,5,0)/1000,0)</f>
        <v>0</v>
      </c>
      <c r="AS734" s="5">
        <f>+IFERROR(VLOOKUP(AS20,'נתוני מים 2014'!$C$2:$L$188,5,0)/1000,0)</f>
        <v>0</v>
      </c>
      <c r="AT734" s="5">
        <f>+IFERROR(VLOOKUP(AT20,'נתוני מים 2014'!$C$2:$L$188,5,0)/1000,0)</f>
        <v>0</v>
      </c>
      <c r="AU734" s="5">
        <f>+IFERROR(VLOOKUP(AU20,'נתוני מים 2014'!$C$2:$L$188,5,0)/1000,0)</f>
        <v>0</v>
      </c>
      <c r="AV734" s="5">
        <f>+IFERROR(VLOOKUP(AV20,'נתוני מים 2014'!$C$2:$L$188,5,0)/1000,0)</f>
        <v>0</v>
      </c>
      <c r="AW734" s="5">
        <f>+IFERROR(VLOOKUP(AW20,'נתוני מים 2014'!$C$2:$L$188,5,0)/1000,0)</f>
        <v>0</v>
      </c>
      <c r="AX734" s="5">
        <f>+IFERROR(VLOOKUP(AX20,'נתוני מים 2014'!$C$2:$L$188,5,0)/1000,0)</f>
        <v>0</v>
      </c>
      <c r="AY734" s="5">
        <f>+IFERROR(VLOOKUP(AY20,'נתוני מים 2014'!$C$2:$L$188,5,0)/1000,0)</f>
        <v>0</v>
      </c>
      <c r="AZ734" s="5">
        <f>+IFERROR(VLOOKUP(AZ20,'נתוני מים 2014'!$C$2:$L$188,5,0)/1000,0)</f>
        <v>0</v>
      </c>
      <c r="BA734" s="5">
        <f>+IFERROR(VLOOKUP(BA20,'נתוני מים 2014'!$C$2:$L$188,5,0)/1000,0)</f>
        <v>0</v>
      </c>
      <c r="BB734" s="5">
        <f>+IFERROR(VLOOKUP(BB20,'נתוני מים 2014'!$C$2:$L$188,5,0)/1000,0)</f>
        <v>0</v>
      </c>
      <c r="BC734" s="5">
        <f>+IFERROR(VLOOKUP(BC20,'נתוני מים 2014'!$C$2:$L$188,5,0)/1000,0)</f>
        <v>0</v>
      </c>
      <c r="BD734" s="5">
        <f>+IFERROR(VLOOKUP(BD20,'נתוני מים 2014'!$C$2:$L$188,5,0)/1000,0)</f>
        <v>0</v>
      </c>
      <c r="BE734" s="5">
        <f>+IFERROR(VLOOKUP(BE20,'נתוני מים 2014'!$C$2:$L$188,5,0)/1000,0)</f>
        <v>0</v>
      </c>
      <c r="BF734" s="5">
        <f>+IFERROR(VLOOKUP(BF20,'נתוני מים 2014'!$C$2:$L$188,5,0)/1000,0)</f>
        <v>0</v>
      </c>
    </row>
    <row r="735" spans="1:58" x14ac:dyDescent="0.2">
      <c r="B735" s="1">
        <v>14</v>
      </c>
      <c r="C735" s="5">
        <f>+IFERROR(VLOOKUP(C21,'נתוני מים 2014'!$C$2:$L$188,5,0)/1000,0)</f>
        <v>0</v>
      </c>
      <c r="D735" s="5">
        <f>+IFERROR(VLOOKUP(D21,'נתוני מים 2014'!$C$2:$L$188,5,0)/1000,0)</f>
        <v>0</v>
      </c>
      <c r="E735" s="5">
        <f>+IFERROR(VLOOKUP(E21,'נתוני מים 2014'!$C$2:$L$188,5,0)/1000,0)</f>
        <v>0</v>
      </c>
      <c r="F735" s="5">
        <f>+IFERROR(VLOOKUP(F21,'נתוני מים 2014'!$C$2:$L$188,5,0)/1000,0)</f>
        <v>0</v>
      </c>
      <c r="G735" s="5">
        <f>+IFERROR(VLOOKUP(G21,'נתוני מים 2014'!$C$2:$L$188,5,0)/1000,0)</f>
        <v>0</v>
      </c>
      <c r="H735" s="5">
        <f>+IFERROR(VLOOKUP(H21,'נתוני מים 2014'!$C$2:$L$188,5,0)/1000,0)</f>
        <v>0</v>
      </c>
      <c r="I735" s="5">
        <f>+IFERROR(VLOOKUP(I21,'נתוני מים 2014'!$C$2:$L$188,5,0)/1000,0)</f>
        <v>0</v>
      </c>
      <c r="J735" s="5">
        <f>+IFERROR(VLOOKUP(J21,'נתוני מים 2014'!$C$2:$L$188,5,0)/1000,0)</f>
        <v>0</v>
      </c>
      <c r="K735" s="5">
        <f>+IFERROR(VLOOKUP(K21,'נתוני מים 2014'!$C$2:$L$188,5,0)/1000,0)</f>
        <v>0</v>
      </c>
      <c r="L735" s="5">
        <f>+IFERROR(VLOOKUP(L21,'נתוני מים 2014'!$C$2:$L$188,5,0)/1000,0)</f>
        <v>0</v>
      </c>
      <c r="M735" s="5">
        <f>+IFERROR(VLOOKUP(M21,'נתוני מים 2014'!$C$2:$L$188,5,0)/1000,0)</f>
        <v>0</v>
      </c>
      <c r="N735" s="5">
        <f>+IFERROR(VLOOKUP(N21,'נתוני מים 2014'!$C$2:$L$188,5,0)/1000,0)</f>
        <v>0</v>
      </c>
      <c r="O735" s="5">
        <f>+IFERROR(VLOOKUP(O21,'נתוני מים 2014'!$C$2:$L$188,5,0)/1000,0)</f>
        <v>0</v>
      </c>
      <c r="P735" s="5">
        <f>+IFERROR(VLOOKUP(P21,'נתוני מים 2014'!$C$2:$L$188,5,0)/1000,0)</f>
        <v>0</v>
      </c>
      <c r="Q735" s="5">
        <f>+IFERROR(VLOOKUP(Q21,'נתוני מים 2014'!$C$2:$L$188,5,0)/1000,0)</f>
        <v>0</v>
      </c>
      <c r="R735" s="5">
        <f>+IFERROR(VLOOKUP(R21,'נתוני מים 2014'!$C$2:$L$188,5,0)/1000,0)</f>
        <v>0</v>
      </c>
      <c r="S735" s="5">
        <f>+IFERROR(VLOOKUP(S21,'נתוני מים 2014'!$C$2:$L$188,5,0)/1000,0)</f>
        <v>0</v>
      </c>
      <c r="T735" s="5">
        <f>+IFERROR(VLOOKUP(T21,'נתוני מים 2014'!$C$2:$L$188,5,0)/1000,0)</f>
        <v>0</v>
      </c>
      <c r="U735" s="5">
        <f>+IFERROR(VLOOKUP(U21,'נתוני מים 2014'!$C$2:$L$188,5,0)/1000,0)</f>
        <v>0</v>
      </c>
      <c r="V735" s="5">
        <f>+IFERROR(VLOOKUP(V21,'נתוני מים 2014'!$C$2:$L$188,5,0)/1000,0)</f>
        <v>0</v>
      </c>
      <c r="W735" s="5">
        <f>+IFERROR(VLOOKUP(W21,'נתוני מים 2014'!$C$2:$L$188,5,0)/1000,0)</f>
        <v>0</v>
      </c>
      <c r="X735" s="5">
        <f>+IFERROR(VLOOKUP(X21,'נתוני מים 2014'!$C$2:$L$188,5,0)/1000,0)</f>
        <v>0</v>
      </c>
      <c r="Y735" s="5">
        <f>+IFERROR(VLOOKUP(Y21,'נתוני מים 2014'!$C$2:$L$188,5,0)/1000,0)</f>
        <v>0</v>
      </c>
      <c r="Z735" s="5">
        <f>+IFERROR(VLOOKUP(Z21,'נתוני מים 2014'!$C$2:$L$188,5,0)/1000,0)</f>
        <v>0</v>
      </c>
      <c r="AA735" s="5">
        <f>+IFERROR(VLOOKUP(AA21,'נתוני מים 2014'!$C$2:$L$188,5,0)/1000,0)</f>
        <v>0</v>
      </c>
      <c r="AB735" s="5">
        <f>+IFERROR(VLOOKUP(AB21,'נתוני מים 2014'!$C$2:$L$188,5,0)/1000,0)</f>
        <v>0</v>
      </c>
      <c r="AC735" s="5">
        <f>+IFERROR(VLOOKUP(AC21,'נתוני מים 2014'!$C$2:$L$188,5,0)/1000,0)</f>
        <v>0</v>
      </c>
      <c r="AD735" s="5">
        <f>+IFERROR(VLOOKUP(AD21,'נתוני מים 2014'!$C$2:$L$188,5,0)/1000,0)</f>
        <v>0</v>
      </c>
      <c r="AE735" s="5">
        <f>+IFERROR(VLOOKUP(AE21,'נתוני מים 2014'!$C$2:$L$188,5,0)/1000,0)</f>
        <v>0</v>
      </c>
      <c r="AF735" s="5">
        <f>+IFERROR(VLOOKUP(AF21,'נתוני מים 2014'!$C$2:$L$188,5,0)/1000,0)</f>
        <v>0</v>
      </c>
      <c r="AG735" s="5">
        <f>+IFERROR(VLOOKUP(AG21,'נתוני מים 2014'!$C$2:$L$188,5,0)/1000,0)</f>
        <v>0</v>
      </c>
      <c r="AH735" s="5">
        <f>+IFERROR(VLOOKUP(AH21,'נתוני מים 2014'!$C$2:$L$188,5,0)/1000,0)</f>
        <v>0</v>
      </c>
      <c r="AI735" s="5">
        <f>+IFERROR(VLOOKUP(AI21,'נתוני מים 2014'!$C$2:$L$188,5,0)/1000,0)</f>
        <v>0</v>
      </c>
      <c r="AJ735" s="5">
        <f>+IFERROR(VLOOKUP(AJ21,'נתוני מים 2014'!$C$2:$L$188,5,0)/1000,0)</f>
        <v>0</v>
      </c>
      <c r="AK735" s="5">
        <f>+IFERROR(VLOOKUP(AK21,'נתוני מים 2014'!$C$2:$L$188,5,0)/1000,0)</f>
        <v>0</v>
      </c>
      <c r="AL735" s="5">
        <f>+IFERROR(VLOOKUP(AL21,'נתוני מים 2014'!$C$2:$L$188,5,0)/1000,0)</f>
        <v>0</v>
      </c>
      <c r="AM735" s="5">
        <f>+IFERROR(VLOOKUP(AM21,'נתוני מים 2014'!$C$2:$L$188,5,0)/1000,0)</f>
        <v>0</v>
      </c>
      <c r="AN735" s="5">
        <f>+IFERROR(VLOOKUP(AN21,'נתוני מים 2014'!$C$2:$L$188,5,0)/1000,0)</f>
        <v>0</v>
      </c>
      <c r="AO735" s="5">
        <f>+IFERROR(VLOOKUP(AO21,'נתוני מים 2014'!$C$2:$L$188,5,0)/1000,0)</f>
        <v>0</v>
      </c>
      <c r="AP735" s="5">
        <f>+IFERROR(VLOOKUP(AP21,'נתוני מים 2014'!$C$2:$L$188,5,0)/1000,0)</f>
        <v>0</v>
      </c>
      <c r="AQ735" s="5">
        <f>+IFERROR(VLOOKUP(AQ21,'נתוני מים 2014'!$C$2:$L$188,5,0)/1000,0)</f>
        <v>0</v>
      </c>
      <c r="AR735" s="5">
        <f>+IFERROR(VLOOKUP(AR21,'נתוני מים 2014'!$C$2:$L$188,5,0)/1000,0)</f>
        <v>0</v>
      </c>
      <c r="AS735" s="5">
        <f>+IFERROR(VLOOKUP(AS21,'נתוני מים 2014'!$C$2:$L$188,5,0)/1000,0)</f>
        <v>0</v>
      </c>
      <c r="AT735" s="5">
        <f>+IFERROR(VLOOKUP(AT21,'נתוני מים 2014'!$C$2:$L$188,5,0)/1000,0)</f>
        <v>0</v>
      </c>
      <c r="AU735" s="5">
        <f>+IFERROR(VLOOKUP(AU21,'נתוני מים 2014'!$C$2:$L$188,5,0)/1000,0)</f>
        <v>0</v>
      </c>
      <c r="AV735" s="5">
        <f>+IFERROR(VLOOKUP(AV21,'נתוני מים 2014'!$C$2:$L$188,5,0)/1000,0)</f>
        <v>0</v>
      </c>
      <c r="AW735" s="5">
        <f>+IFERROR(VLOOKUP(AW21,'נתוני מים 2014'!$C$2:$L$188,5,0)/1000,0)</f>
        <v>0</v>
      </c>
      <c r="AX735" s="5">
        <f>+IFERROR(VLOOKUP(AX21,'נתוני מים 2014'!$C$2:$L$188,5,0)/1000,0)</f>
        <v>0</v>
      </c>
      <c r="AY735" s="5">
        <f>+IFERROR(VLOOKUP(AY21,'נתוני מים 2014'!$C$2:$L$188,5,0)/1000,0)</f>
        <v>0</v>
      </c>
      <c r="AZ735" s="5">
        <f>+IFERROR(VLOOKUP(AZ21,'נתוני מים 2014'!$C$2:$L$188,5,0)/1000,0)</f>
        <v>0</v>
      </c>
      <c r="BA735" s="5">
        <f>+IFERROR(VLOOKUP(BA21,'נתוני מים 2014'!$C$2:$L$188,5,0)/1000,0)</f>
        <v>0</v>
      </c>
      <c r="BB735" s="5">
        <f>+IFERROR(VLOOKUP(BB21,'נתוני מים 2014'!$C$2:$L$188,5,0)/1000,0)</f>
        <v>0</v>
      </c>
      <c r="BC735" s="5">
        <f>+IFERROR(VLOOKUP(BC21,'נתוני מים 2014'!$C$2:$L$188,5,0)/1000,0)</f>
        <v>0</v>
      </c>
      <c r="BD735" s="5">
        <f>+IFERROR(VLOOKUP(BD21,'נתוני מים 2014'!$C$2:$L$188,5,0)/1000,0)</f>
        <v>0</v>
      </c>
      <c r="BE735" s="5">
        <f>+IFERROR(VLOOKUP(BE21,'נתוני מים 2014'!$C$2:$L$188,5,0)/1000,0)</f>
        <v>0</v>
      </c>
      <c r="BF735" s="5">
        <f>+IFERROR(VLOOKUP(BF21,'נתוני מים 2014'!$C$2:$L$188,5,0)/1000,0)</f>
        <v>0</v>
      </c>
    </row>
    <row r="736" spans="1:58" x14ac:dyDescent="0.2">
      <c r="B736" s="1">
        <v>15</v>
      </c>
      <c r="C736" s="5">
        <f>+IFERROR(VLOOKUP(C22,'נתוני מים 2014'!$C$2:$L$188,5,0)/1000,0)</f>
        <v>0</v>
      </c>
      <c r="D736" s="5">
        <f>+IFERROR(VLOOKUP(D22,'נתוני מים 2014'!$C$2:$L$188,5,0)/1000,0)</f>
        <v>0</v>
      </c>
      <c r="E736" s="5">
        <f>+IFERROR(VLOOKUP(E22,'נתוני מים 2014'!$C$2:$L$188,5,0)/1000,0)</f>
        <v>0</v>
      </c>
      <c r="F736" s="5">
        <f>+IFERROR(VLOOKUP(F22,'נתוני מים 2014'!$C$2:$L$188,5,0)/1000,0)</f>
        <v>0</v>
      </c>
      <c r="G736" s="5">
        <f>+IFERROR(VLOOKUP(G22,'נתוני מים 2014'!$C$2:$L$188,5,0)/1000,0)</f>
        <v>0</v>
      </c>
      <c r="H736" s="5">
        <f>+IFERROR(VLOOKUP(H22,'נתוני מים 2014'!$C$2:$L$188,5,0)/1000,0)</f>
        <v>0</v>
      </c>
      <c r="I736" s="5">
        <f>+IFERROR(VLOOKUP(I22,'נתוני מים 2014'!$C$2:$L$188,5,0)/1000,0)</f>
        <v>0</v>
      </c>
      <c r="J736" s="5">
        <f>+IFERROR(VLOOKUP(J22,'נתוני מים 2014'!$C$2:$L$188,5,0)/1000,0)</f>
        <v>0</v>
      </c>
      <c r="K736" s="5">
        <f>+IFERROR(VLOOKUP(K22,'נתוני מים 2014'!$C$2:$L$188,5,0)/1000,0)</f>
        <v>0</v>
      </c>
      <c r="L736" s="5">
        <f>+IFERROR(VLOOKUP(L22,'נתוני מים 2014'!$C$2:$L$188,5,0)/1000,0)</f>
        <v>0</v>
      </c>
      <c r="M736" s="5">
        <f>+IFERROR(VLOOKUP(M22,'נתוני מים 2014'!$C$2:$L$188,5,0)/1000,0)</f>
        <v>0</v>
      </c>
      <c r="N736" s="5">
        <f>+IFERROR(VLOOKUP(N22,'נתוני מים 2014'!$C$2:$L$188,5,0)/1000,0)</f>
        <v>0</v>
      </c>
      <c r="O736" s="5">
        <f>+IFERROR(VLOOKUP(O22,'נתוני מים 2014'!$C$2:$L$188,5,0)/1000,0)</f>
        <v>0</v>
      </c>
      <c r="P736" s="5">
        <f>+IFERROR(VLOOKUP(P22,'נתוני מים 2014'!$C$2:$L$188,5,0)/1000,0)</f>
        <v>0</v>
      </c>
      <c r="Q736" s="5">
        <f>+IFERROR(VLOOKUP(Q22,'נתוני מים 2014'!$C$2:$L$188,5,0)/1000,0)</f>
        <v>0</v>
      </c>
      <c r="R736" s="5">
        <f>+IFERROR(VLOOKUP(R22,'נתוני מים 2014'!$C$2:$L$188,5,0)/1000,0)</f>
        <v>0</v>
      </c>
      <c r="S736" s="5">
        <f>+IFERROR(VLOOKUP(S22,'נתוני מים 2014'!$C$2:$L$188,5,0)/1000,0)</f>
        <v>0</v>
      </c>
      <c r="T736" s="5">
        <f>+IFERROR(VLOOKUP(T22,'נתוני מים 2014'!$C$2:$L$188,5,0)/1000,0)</f>
        <v>0</v>
      </c>
      <c r="U736" s="5">
        <f>+IFERROR(VLOOKUP(U22,'נתוני מים 2014'!$C$2:$L$188,5,0)/1000,0)</f>
        <v>0</v>
      </c>
      <c r="V736" s="5">
        <f>+IFERROR(VLOOKUP(V22,'נתוני מים 2014'!$C$2:$L$188,5,0)/1000,0)</f>
        <v>0</v>
      </c>
      <c r="W736" s="5">
        <f>+IFERROR(VLOOKUP(W22,'נתוני מים 2014'!$C$2:$L$188,5,0)/1000,0)</f>
        <v>0</v>
      </c>
      <c r="X736" s="5">
        <f>+IFERROR(VLOOKUP(X22,'נתוני מים 2014'!$C$2:$L$188,5,0)/1000,0)</f>
        <v>0</v>
      </c>
      <c r="Y736" s="5">
        <f>+IFERROR(VLOOKUP(Y22,'נתוני מים 2014'!$C$2:$L$188,5,0)/1000,0)</f>
        <v>0</v>
      </c>
      <c r="Z736" s="5">
        <f>+IFERROR(VLOOKUP(Z22,'נתוני מים 2014'!$C$2:$L$188,5,0)/1000,0)</f>
        <v>0</v>
      </c>
      <c r="AA736" s="5">
        <f>+IFERROR(VLOOKUP(AA22,'נתוני מים 2014'!$C$2:$L$188,5,0)/1000,0)</f>
        <v>0</v>
      </c>
      <c r="AB736" s="5">
        <f>+IFERROR(VLOOKUP(AB22,'נתוני מים 2014'!$C$2:$L$188,5,0)/1000,0)</f>
        <v>0</v>
      </c>
      <c r="AC736" s="5">
        <f>+IFERROR(VLOOKUP(AC22,'נתוני מים 2014'!$C$2:$L$188,5,0)/1000,0)</f>
        <v>0</v>
      </c>
      <c r="AD736" s="5">
        <f>+IFERROR(VLOOKUP(AD22,'נתוני מים 2014'!$C$2:$L$188,5,0)/1000,0)</f>
        <v>0</v>
      </c>
      <c r="AE736" s="5">
        <f>+IFERROR(VLOOKUP(AE22,'נתוני מים 2014'!$C$2:$L$188,5,0)/1000,0)</f>
        <v>0</v>
      </c>
      <c r="AF736" s="5">
        <f>+IFERROR(VLOOKUP(AF22,'נתוני מים 2014'!$C$2:$L$188,5,0)/1000,0)</f>
        <v>0</v>
      </c>
      <c r="AG736" s="5">
        <f>+IFERROR(VLOOKUP(AG22,'נתוני מים 2014'!$C$2:$L$188,5,0)/1000,0)</f>
        <v>0</v>
      </c>
      <c r="AH736" s="5">
        <f>+IFERROR(VLOOKUP(AH22,'נתוני מים 2014'!$C$2:$L$188,5,0)/1000,0)</f>
        <v>0</v>
      </c>
      <c r="AI736" s="5">
        <f>+IFERROR(VLOOKUP(AI22,'נתוני מים 2014'!$C$2:$L$188,5,0)/1000,0)</f>
        <v>0</v>
      </c>
      <c r="AJ736" s="5">
        <f>+IFERROR(VLOOKUP(AJ22,'נתוני מים 2014'!$C$2:$L$188,5,0)/1000,0)</f>
        <v>0</v>
      </c>
      <c r="AK736" s="5">
        <f>+IFERROR(VLOOKUP(AK22,'נתוני מים 2014'!$C$2:$L$188,5,0)/1000,0)</f>
        <v>0</v>
      </c>
      <c r="AL736" s="5">
        <f>+IFERROR(VLOOKUP(AL22,'נתוני מים 2014'!$C$2:$L$188,5,0)/1000,0)</f>
        <v>0</v>
      </c>
      <c r="AM736" s="5">
        <f>+IFERROR(VLOOKUP(AM22,'נתוני מים 2014'!$C$2:$L$188,5,0)/1000,0)</f>
        <v>0</v>
      </c>
      <c r="AN736" s="5">
        <f>+IFERROR(VLOOKUP(AN22,'נתוני מים 2014'!$C$2:$L$188,5,0)/1000,0)</f>
        <v>0</v>
      </c>
      <c r="AO736" s="5">
        <f>+IFERROR(VLOOKUP(AO22,'נתוני מים 2014'!$C$2:$L$188,5,0)/1000,0)</f>
        <v>0</v>
      </c>
      <c r="AP736" s="5">
        <f>+IFERROR(VLOOKUP(AP22,'נתוני מים 2014'!$C$2:$L$188,5,0)/1000,0)</f>
        <v>0</v>
      </c>
      <c r="AQ736" s="5">
        <f>+IFERROR(VLOOKUP(AQ22,'נתוני מים 2014'!$C$2:$L$188,5,0)/1000,0)</f>
        <v>0</v>
      </c>
      <c r="AR736" s="5">
        <f>+IFERROR(VLOOKUP(AR22,'נתוני מים 2014'!$C$2:$L$188,5,0)/1000,0)</f>
        <v>0</v>
      </c>
      <c r="AS736" s="5">
        <f>+IFERROR(VLOOKUP(AS22,'נתוני מים 2014'!$C$2:$L$188,5,0)/1000,0)</f>
        <v>0</v>
      </c>
      <c r="AT736" s="5">
        <f>+IFERROR(VLOOKUP(AT22,'נתוני מים 2014'!$C$2:$L$188,5,0)/1000,0)</f>
        <v>0</v>
      </c>
      <c r="AU736" s="5">
        <f>+IFERROR(VLOOKUP(AU22,'נתוני מים 2014'!$C$2:$L$188,5,0)/1000,0)</f>
        <v>0</v>
      </c>
      <c r="AV736" s="5">
        <f>+IFERROR(VLOOKUP(AV22,'נתוני מים 2014'!$C$2:$L$188,5,0)/1000,0)</f>
        <v>0</v>
      </c>
      <c r="AW736" s="5">
        <f>+IFERROR(VLOOKUP(AW22,'נתוני מים 2014'!$C$2:$L$188,5,0)/1000,0)</f>
        <v>0</v>
      </c>
      <c r="AX736" s="5">
        <f>+IFERROR(VLOOKUP(AX22,'נתוני מים 2014'!$C$2:$L$188,5,0)/1000,0)</f>
        <v>0</v>
      </c>
      <c r="AY736" s="5">
        <f>+IFERROR(VLOOKUP(AY22,'נתוני מים 2014'!$C$2:$L$188,5,0)/1000,0)</f>
        <v>0</v>
      </c>
      <c r="AZ736" s="5">
        <f>+IFERROR(VLOOKUP(AZ22,'נתוני מים 2014'!$C$2:$L$188,5,0)/1000,0)</f>
        <v>0</v>
      </c>
      <c r="BA736" s="5">
        <f>+IFERROR(VLOOKUP(BA22,'נתוני מים 2014'!$C$2:$L$188,5,0)/1000,0)</f>
        <v>0</v>
      </c>
      <c r="BB736" s="5">
        <f>+IFERROR(VLOOKUP(BB22,'נתוני מים 2014'!$C$2:$L$188,5,0)/1000,0)</f>
        <v>0</v>
      </c>
      <c r="BC736" s="5">
        <f>+IFERROR(VLOOKUP(BC22,'נתוני מים 2014'!$C$2:$L$188,5,0)/1000,0)</f>
        <v>0</v>
      </c>
      <c r="BD736" s="5">
        <f>+IFERROR(VLOOKUP(BD22,'נתוני מים 2014'!$C$2:$L$188,5,0)/1000,0)</f>
        <v>0</v>
      </c>
      <c r="BE736" s="5">
        <f>+IFERROR(VLOOKUP(BE22,'נתוני מים 2014'!$C$2:$L$188,5,0)/1000,0)</f>
        <v>0</v>
      </c>
      <c r="BF736" s="5">
        <f>+IFERROR(VLOOKUP(BF22,'נתוני מים 2014'!$C$2:$L$188,5,0)/1000,0)</f>
        <v>0</v>
      </c>
    </row>
    <row r="737" spans="2:58" x14ac:dyDescent="0.2">
      <c r="B737" s="1">
        <v>16</v>
      </c>
      <c r="C737" s="5">
        <f>+IFERROR(VLOOKUP(C23,'נתוני מים 2014'!$C$2:$L$188,5,0)/1000,0)</f>
        <v>0</v>
      </c>
      <c r="D737" s="5">
        <f>+IFERROR(VLOOKUP(D23,'נתוני מים 2014'!$C$2:$L$188,5,0)/1000,0)</f>
        <v>0</v>
      </c>
      <c r="E737" s="5">
        <f>+IFERROR(VLOOKUP(E23,'נתוני מים 2014'!$C$2:$L$188,5,0)/1000,0)</f>
        <v>0</v>
      </c>
      <c r="F737" s="5">
        <f>+IFERROR(VLOOKUP(F23,'נתוני מים 2014'!$C$2:$L$188,5,0)/1000,0)</f>
        <v>0</v>
      </c>
      <c r="G737" s="5">
        <f>+IFERROR(VLOOKUP(G23,'נתוני מים 2014'!$C$2:$L$188,5,0)/1000,0)</f>
        <v>0</v>
      </c>
      <c r="H737" s="5">
        <f>+IFERROR(VLOOKUP(H23,'נתוני מים 2014'!$C$2:$L$188,5,0)/1000,0)</f>
        <v>0</v>
      </c>
      <c r="I737" s="5">
        <f>+IFERROR(VLOOKUP(I23,'נתוני מים 2014'!$C$2:$L$188,5,0)/1000,0)</f>
        <v>0</v>
      </c>
      <c r="J737" s="5">
        <f>+IFERROR(VLOOKUP(J23,'נתוני מים 2014'!$C$2:$L$188,5,0)/1000,0)</f>
        <v>0</v>
      </c>
      <c r="K737" s="5">
        <f>+IFERROR(VLOOKUP(K23,'נתוני מים 2014'!$C$2:$L$188,5,0)/1000,0)</f>
        <v>0</v>
      </c>
      <c r="L737" s="5">
        <f>+IFERROR(VLOOKUP(L23,'נתוני מים 2014'!$C$2:$L$188,5,0)/1000,0)</f>
        <v>0</v>
      </c>
      <c r="M737" s="5">
        <f>+IFERROR(VLOOKUP(M23,'נתוני מים 2014'!$C$2:$L$188,5,0)/1000,0)</f>
        <v>0</v>
      </c>
      <c r="N737" s="5">
        <f>+IFERROR(VLOOKUP(N23,'נתוני מים 2014'!$C$2:$L$188,5,0)/1000,0)</f>
        <v>0</v>
      </c>
      <c r="O737" s="5">
        <f>+IFERROR(VLOOKUP(O23,'נתוני מים 2014'!$C$2:$L$188,5,0)/1000,0)</f>
        <v>0</v>
      </c>
      <c r="P737" s="5">
        <f>+IFERROR(VLOOKUP(P23,'נתוני מים 2014'!$C$2:$L$188,5,0)/1000,0)</f>
        <v>0</v>
      </c>
      <c r="Q737" s="5">
        <f>+IFERROR(VLOOKUP(Q23,'נתוני מים 2014'!$C$2:$L$188,5,0)/1000,0)</f>
        <v>0</v>
      </c>
      <c r="R737" s="5">
        <f>+IFERROR(VLOOKUP(R23,'נתוני מים 2014'!$C$2:$L$188,5,0)/1000,0)</f>
        <v>0</v>
      </c>
      <c r="S737" s="5">
        <f>+IFERROR(VLOOKUP(S23,'נתוני מים 2014'!$C$2:$L$188,5,0)/1000,0)</f>
        <v>0</v>
      </c>
      <c r="T737" s="5">
        <f>+IFERROR(VLOOKUP(T23,'נתוני מים 2014'!$C$2:$L$188,5,0)/1000,0)</f>
        <v>0</v>
      </c>
      <c r="U737" s="5">
        <f>+IFERROR(VLOOKUP(U23,'נתוני מים 2014'!$C$2:$L$188,5,0)/1000,0)</f>
        <v>0</v>
      </c>
      <c r="V737" s="5">
        <f>+IFERROR(VLOOKUP(V23,'נתוני מים 2014'!$C$2:$L$188,5,0)/1000,0)</f>
        <v>0</v>
      </c>
      <c r="W737" s="5">
        <f>+IFERROR(VLOOKUP(W23,'נתוני מים 2014'!$C$2:$L$188,5,0)/1000,0)</f>
        <v>0</v>
      </c>
      <c r="X737" s="5">
        <f>+IFERROR(VLOOKUP(X23,'נתוני מים 2014'!$C$2:$L$188,5,0)/1000,0)</f>
        <v>0</v>
      </c>
      <c r="Y737" s="5">
        <f>+IFERROR(VLOOKUP(Y23,'נתוני מים 2014'!$C$2:$L$188,5,0)/1000,0)</f>
        <v>0</v>
      </c>
      <c r="Z737" s="5">
        <f>+IFERROR(VLOOKUP(Z23,'נתוני מים 2014'!$C$2:$L$188,5,0)/1000,0)</f>
        <v>0</v>
      </c>
      <c r="AA737" s="5">
        <f>+IFERROR(VLOOKUP(AA23,'נתוני מים 2014'!$C$2:$L$188,5,0)/1000,0)</f>
        <v>0</v>
      </c>
      <c r="AB737" s="5">
        <f>+IFERROR(VLOOKUP(AB23,'נתוני מים 2014'!$C$2:$L$188,5,0)/1000,0)</f>
        <v>0</v>
      </c>
      <c r="AC737" s="5">
        <f>+IFERROR(VLOOKUP(AC23,'נתוני מים 2014'!$C$2:$L$188,5,0)/1000,0)</f>
        <v>0</v>
      </c>
      <c r="AD737" s="5">
        <f>+IFERROR(VLOOKUP(AD23,'נתוני מים 2014'!$C$2:$L$188,5,0)/1000,0)</f>
        <v>0</v>
      </c>
      <c r="AE737" s="5">
        <f>+IFERROR(VLOOKUP(AE23,'נתוני מים 2014'!$C$2:$L$188,5,0)/1000,0)</f>
        <v>0</v>
      </c>
      <c r="AF737" s="5">
        <f>+IFERROR(VLOOKUP(AF23,'נתוני מים 2014'!$C$2:$L$188,5,0)/1000,0)</f>
        <v>0</v>
      </c>
      <c r="AG737" s="5">
        <f>+IFERROR(VLOOKUP(AG23,'נתוני מים 2014'!$C$2:$L$188,5,0)/1000,0)</f>
        <v>0</v>
      </c>
      <c r="AH737" s="5">
        <f>+IFERROR(VLOOKUP(AH23,'נתוני מים 2014'!$C$2:$L$188,5,0)/1000,0)</f>
        <v>0</v>
      </c>
      <c r="AI737" s="5">
        <f>+IFERROR(VLOOKUP(AI23,'נתוני מים 2014'!$C$2:$L$188,5,0)/1000,0)</f>
        <v>0</v>
      </c>
      <c r="AJ737" s="5">
        <f>+IFERROR(VLOOKUP(AJ23,'נתוני מים 2014'!$C$2:$L$188,5,0)/1000,0)</f>
        <v>0</v>
      </c>
      <c r="AK737" s="5">
        <f>+IFERROR(VLOOKUP(AK23,'נתוני מים 2014'!$C$2:$L$188,5,0)/1000,0)</f>
        <v>0</v>
      </c>
      <c r="AL737" s="5">
        <f>+IFERROR(VLOOKUP(AL23,'נתוני מים 2014'!$C$2:$L$188,5,0)/1000,0)</f>
        <v>0</v>
      </c>
      <c r="AM737" s="5">
        <f>+IFERROR(VLOOKUP(AM23,'נתוני מים 2014'!$C$2:$L$188,5,0)/1000,0)</f>
        <v>0</v>
      </c>
      <c r="AN737" s="5">
        <f>+IFERROR(VLOOKUP(AN23,'נתוני מים 2014'!$C$2:$L$188,5,0)/1000,0)</f>
        <v>0</v>
      </c>
      <c r="AO737" s="5">
        <f>+IFERROR(VLOOKUP(AO23,'נתוני מים 2014'!$C$2:$L$188,5,0)/1000,0)</f>
        <v>0</v>
      </c>
      <c r="AP737" s="5">
        <f>+IFERROR(VLOOKUP(AP23,'נתוני מים 2014'!$C$2:$L$188,5,0)/1000,0)</f>
        <v>0</v>
      </c>
      <c r="AQ737" s="5">
        <f>+IFERROR(VLOOKUP(AQ23,'נתוני מים 2014'!$C$2:$L$188,5,0)/1000,0)</f>
        <v>0</v>
      </c>
      <c r="AR737" s="5">
        <f>+IFERROR(VLOOKUP(AR23,'נתוני מים 2014'!$C$2:$L$188,5,0)/1000,0)</f>
        <v>0</v>
      </c>
      <c r="AS737" s="5">
        <f>+IFERROR(VLOOKUP(AS23,'נתוני מים 2014'!$C$2:$L$188,5,0)/1000,0)</f>
        <v>0</v>
      </c>
      <c r="AT737" s="5">
        <f>+IFERROR(VLOOKUP(AT23,'נתוני מים 2014'!$C$2:$L$188,5,0)/1000,0)</f>
        <v>0</v>
      </c>
      <c r="AU737" s="5">
        <f>+IFERROR(VLOOKUP(AU23,'נתוני מים 2014'!$C$2:$L$188,5,0)/1000,0)</f>
        <v>0</v>
      </c>
      <c r="AV737" s="5">
        <f>+IFERROR(VLOOKUP(AV23,'נתוני מים 2014'!$C$2:$L$188,5,0)/1000,0)</f>
        <v>0</v>
      </c>
      <c r="AW737" s="5">
        <f>+IFERROR(VLOOKUP(AW23,'נתוני מים 2014'!$C$2:$L$188,5,0)/1000,0)</f>
        <v>0</v>
      </c>
      <c r="AX737" s="5">
        <f>+IFERROR(VLOOKUP(AX23,'נתוני מים 2014'!$C$2:$L$188,5,0)/1000,0)</f>
        <v>0</v>
      </c>
      <c r="AY737" s="5">
        <f>+IFERROR(VLOOKUP(AY23,'נתוני מים 2014'!$C$2:$L$188,5,0)/1000,0)</f>
        <v>0</v>
      </c>
      <c r="AZ737" s="5">
        <f>+IFERROR(VLOOKUP(AZ23,'נתוני מים 2014'!$C$2:$L$188,5,0)/1000,0)</f>
        <v>0</v>
      </c>
      <c r="BA737" s="5">
        <f>+IFERROR(VLOOKUP(BA23,'נתוני מים 2014'!$C$2:$L$188,5,0)/1000,0)</f>
        <v>0</v>
      </c>
      <c r="BB737" s="5">
        <f>+IFERROR(VLOOKUP(BB23,'נתוני מים 2014'!$C$2:$L$188,5,0)/1000,0)</f>
        <v>0</v>
      </c>
      <c r="BC737" s="5">
        <f>+IFERROR(VLOOKUP(BC23,'נתוני מים 2014'!$C$2:$L$188,5,0)/1000,0)</f>
        <v>0</v>
      </c>
      <c r="BD737" s="5">
        <f>+IFERROR(VLOOKUP(BD23,'נתוני מים 2014'!$C$2:$L$188,5,0)/1000,0)</f>
        <v>0</v>
      </c>
      <c r="BE737" s="5">
        <f>+IFERROR(VLOOKUP(BE23,'נתוני מים 2014'!$C$2:$L$188,5,0)/1000,0)</f>
        <v>0</v>
      </c>
      <c r="BF737" s="5">
        <f>+IFERROR(VLOOKUP(BF23,'נתוני מים 2014'!$C$2:$L$188,5,0)/1000,0)</f>
        <v>0</v>
      </c>
    </row>
    <row r="738" spans="2:58" x14ac:dyDescent="0.2">
      <c r="B738" s="1">
        <v>17</v>
      </c>
      <c r="C738" s="5">
        <f>+IFERROR(VLOOKUP(C24,'נתוני מים 2014'!$C$2:$L$188,5,0)/1000,0)</f>
        <v>0</v>
      </c>
      <c r="D738" s="5">
        <f>+IFERROR(VLOOKUP(D24,'נתוני מים 2014'!$C$2:$L$188,5,0)/1000,0)</f>
        <v>0</v>
      </c>
      <c r="E738" s="5">
        <f>+IFERROR(VLOOKUP(E24,'נתוני מים 2014'!$C$2:$L$188,5,0)/1000,0)</f>
        <v>0</v>
      </c>
      <c r="F738" s="5">
        <f>+IFERROR(VLOOKUP(F24,'נתוני מים 2014'!$C$2:$L$188,5,0)/1000,0)</f>
        <v>0</v>
      </c>
      <c r="G738" s="5">
        <f>+IFERROR(VLOOKUP(G24,'נתוני מים 2014'!$C$2:$L$188,5,0)/1000,0)</f>
        <v>0</v>
      </c>
      <c r="H738" s="5">
        <f>+IFERROR(VLOOKUP(H24,'נתוני מים 2014'!$C$2:$L$188,5,0)/1000,0)</f>
        <v>0</v>
      </c>
      <c r="I738" s="5">
        <f>+IFERROR(VLOOKUP(I24,'נתוני מים 2014'!$C$2:$L$188,5,0)/1000,0)</f>
        <v>0</v>
      </c>
      <c r="J738" s="5">
        <f>+IFERROR(VLOOKUP(J24,'נתוני מים 2014'!$C$2:$L$188,5,0)/1000,0)</f>
        <v>0</v>
      </c>
      <c r="K738" s="5">
        <f>+IFERROR(VLOOKUP(K24,'נתוני מים 2014'!$C$2:$L$188,5,0)/1000,0)</f>
        <v>0</v>
      </c>
      <c r="L738" s="5">
        <f>+IFERROR(VLOOKUP(L24,'נתוני מים 2014'!$C$2:$L$188,5,0)/1000,0)</f>
        <v>0</v>
      </c>
      <c r="M738" s="5">
        <f>+IFERROR(VLOOKUP(M24,'נתוני מים 2014'!$C$2:$L$188,5,0)/1000,0)</f>
        <v>0</v>
      </c>
      <c r="N738" s="5">
        <f>+IFERROR(VLOOKUP(N24,'נתוני מים 2014'!$C$2:$L$188,5,0)/1000,0)</f>
        <v>0</v>
      </c>
      <c r="O738" s="5">
        <f>+IFERROR(VLOOKUP(O24,'נתוני מים 2014'!$C$2:$L$188,5,0)/1000,0)</f>
        <v>0</v>
      </c>
      <c r="P738" s="5">
        <f>+IFERROR(VLOOKUP(P24,'נתוני מים 2014'!$C$2:$L$188,5,0)/1000,0)</f>
        <v>0</v>
      </c>
      <c r="Q738" s="5">
        <f>+IFERROR(VLOOKUP(Q24,'נתוני מים 2014'!$C$2:$L$188,5,0)/1000,0)</f>
        <v>0</v>
      </c>
      <c r="R738" s="5">
        <f>+IFERROR(VLOOKUP(R24,'נתוני מים 2014'!$C$2:$L$188,5,0)/1000,0)</f>
        <v>0</v>
      </c>
      <c r="S738" s="5">
        <f>+IFERROR(VLOOKUP(S24,'נתוני מים 2014'!$C$2:$L$188,5,0)/1000,0)</f>
        <v>0</v>
      </c>
      <c r="T738" s="5">
        <f>+IFERROR(VLOOKUP(T24,'נתוני מים 2014'!$C$2:$L$188,5,0)/1000,0)</f>
        <v>0</v>
      </c>
      <c r="U738" s="5">
        <f>+IFERROR(VLOOKUP(U24,'נתוני מים 2014'!$C$2:$L$188,5,0)/1000,0)</f>
        <v>0</v>
      </c>
      <c r="V738" s="5">
        <f>+IFERROR(VLOOKUP(V24,'נתוני מים 2014'!$C$2:$L$188,5,0)/1000,0)</f>
        <v>0</v>
      </c>
      <c r="W738" s="5">
        <f>+IFERROR(VLOOKUP(W24,'נתוני מים 2014'!$C$2:$L$188,5,0)/1000,0)</f>
        <v>0</v>
      </c>
      <c r="X738" s="5">
        <f>+IFERROR(VLOOKUP(X24,'נתוני מים 2014'!$C$2:$L$188,5,0)/1000,0)</f>
        <v>0</v>
      </c>
      <c r="Y738" s="5">
        <f>+IFERROR(VLOOKUP(Y24,'נתוני מים 2014'!$C$2:$L$188,5,0)/1000,0)</f>
        <v>0</v>
      </c>
      <c r="Z738" s="5">
        <f>+IFERROR(VLOOKUP(Z24,'נתוני מים 2014'!$C$2:$L$188,5,0)/1000,0)</f>
        <v>0</v>
      </c>
      <c r="AA738" s="5">
        <f>+IFERROR(VLOOKUP(AA24,'נתוני מים 2014'!$C$2:$L$188,5,0)/1000,0)</f>
        <v>0</v>
      </c>
      <c r="AB738" s="5">
        <f>+IFERROR(VLOOKUP(AB24,'נתוני מים 2014'!$C$2:$L$188,5,0)/1000,0)</f>
        <v>0</v>
      </c>
      <c r="AC738" s="5">
        <f>+IFERROR(VLOOKUP(AC24,'נתוני מים 2014'!$C$2:$L$188,5,0)/1000,0)</f>
        <v>0</v>
      </c>
      <c r="AD738" s="5">
        <f>+IFERROR(VLOOKUP(AD24,'נתוני מים 2014'!$C$2:$L$188,5,0)/1000,0)</f>
        <v>0</v>
      </c>
      <c r="AE738" s="5">
        <f>+IFERROR(VLOOKUP(AE24,'נתוני מים 2014'!$C$2:$L$188,5,0)/1000,0)</f>
        <v>0</v>
      </c>
      <c r="AF738" s="5">
        <f>+IFERROR(VLOOKUP(AF24,'נתוני מים 2014'!$C$2:$L$188,5,0)/1000,0)</f>
        <v>0</v>
      </c>
      <c r="AG738" s="5">
        <f>+IFERROR(VLOOKUP(AG24,'נתוני מים 2014'!$C$2:$L$188,5,0)/1000,0)</f>
        <v>0</v>
      </c>
      <c r="AH738" s="5">
        <f>+IFERROR(VLOOKUP(AH24,'נתוני מים 2014'!$C$2:$L$188,5,0)/1000,0)</f>
        <v>0</v>
      </c>
      <c r="AI738" s="5">
        <f>+IFERROR(VLOOKUP(AI24,'נתוני מים 2014'!$C$2:$L$188,5,0)/1000,0)</f>
        <v>0</v>
      </c>
      <c r="AJ738" s="5">
        <f>+IFERROR(VLOOKUP(AJ24,'נתוני מים 2014'!$C$2:$L$188,5,0)/1000,0)</f>
        <v>0</v>
      </c>
      <c r="AK738" s="5">
        <f>+IFERROR(VLOOKUP(AK24,'נתוני מים 2014'!$C$2:$L$188,5,0)/1000,0)</f>
        <v>0</v>
      </c>
      <c r="AL738" s="5">
        <f>+IFERROR(VLOOKUP(AL24,'נתוני מים 2014'!$C$2:$L$188,5,0)/1000,0)</f>
        <v>0</v>
      </c>
      <c r="AM738" s="5">
        <f>+IFERROR(VLOOKUP(AM24,'נתוני מים 2014'!$C$2:$L$188,5,0)/1000,0)</f>
        <v>0</v>
      </c>
      <c r="AN738" s="5">
        <f>+IFERROR(VLOOKUP(AN24,'נתוני מים 2014'!$C$2:$L$188,5,0)/1000,0)</f>
        <v>0</v>
      </c>
      <c r="AO738" s="5">
        <f>+IFERROR(VLOOKUP(AO24,'נתוני מים 2014'!$C$2:$L$188,5,0)/1000,0)</f>
        <v>0</v>
      </c>
      <c r="AP738" s="5">
        <f>+IFERROR(VLOOKUP(AP24,'נתוני מים 2014'!$C$2:$L$188,5,0)/1000,0)</f>
        <v>0</v>
      </c>
      <c r="AQ738" s="5">
        <f>+IFERROR(VLOOKUP(AQ24,'נתוני מים 2014'!$C$2:$L$188,5,0)/1000,0)</f>
        <v>0</v>
      </c>
      <c r="AR738" s="5">
        <f>+IFERROR(VLOOKUP(AR24,'נתוני מים 2014'!$C$2:$L$188,5,0)/1000,0)</f>
        <v>0</v>
      </c>
      <c r="AS738" s="5">
        <f>+IFERROR(VLOOKUP(AS24,'נתוני מים 2014'!$C$2:$L$188,5,0)/1000,0)</f>
        <v>0</v>
      </c>
      <c r="AT738" s="5">
        <f>+IFERROR(VLOOKUP(AT24,'נתוני מים 2014'!$C$2:$L$188,5,0)/1000,0)</f>
        <v>0</v>
      </c>
      <c r="AU738" s="5">
        <f>+IFERROR(VLOOKUP(AU24,'נתוני מים 2014'!$C$2:$L$188,5,0)/1000,0)</f>
        <v>0</v>
      </c>
      <c r="AV738" s="5">
        <f>+IFERROR(VLOOKUP(AV24,'נתוני מים 2014'!$C$2:$L$188,5,0)/1000,0)</f>
        <v>0</v>
      </c>
      <c r="AW738" s="5">
        <f>+IFERROR(VLOOKUP(AW24,'נתוני מים 2014'!$C$2:$L$188,5,0)/1000,0)</f>
        <v>0</v>
      </c>
      <c r="AX738" s="5">
        <f>+IFERROR(VLOOKUP(AX24,'נתוני מים 2014'!$C$2:$L$188,5,0)/1000,0)</f>
        <v>0</v>
      </c>
      <c r="AY738" s="5">
        <f>+IFERROR(VLOOKUP(AY24,'נתוני מים 2014'!$C$2:$L$188,5,0)/1000,0)</f>
        <v>0</v>
      </c>
      <c r="AZ738" s="5">
        <f>+IFERROR(VLOOKUP(AZ24,'נתוני מים 2014'!$C$2:$L$188,5,0)/1000,0)</f>
        <v>0</v>
      </c>
      <c r="BA738" s="5">
        <f>+IFERROR(VLOOKUP(BA24,'נתוני מים 2014'!$C$2:$L$188,5,0)/1000,0)</f>
        <v>0</v>
      </c>
      <c r="BB738" s="5">
        <f>+IFERROR(VLOOKUP(BB24,'נתוני מים 2014'!$C$2:$L$188,5,0)/1000,0)</f>
        <v>0</v>
      </c>
      <c r="BC738" s="5">
        <f>+IFERROR(VLOOKUP(BC24,'נתוני מים 2014'!$C$2:$L$188,5,0)/1000,0)</f>
        <v>0</v>
      </c>
      <c r="BD738" s="5">
        <f>+IFERROR(VLOOKUP(BD24,'נתוני מים 2014'!$C$2:$L$188,5,0)/1000,0)</f>
        <v>0</v>
      </c>
      <c r="BE738" s="5">
        <f>+IFERROR(VLOOKUP(BE24,'נתוני מים 2014'!$C$2:$L$188,5,0)/1000,0)</f>
        <v>0</v>
      </c>
      <c r="BF738" s="5">
        <f>+IFERROR(VLOOKUP(BF24,'נתוני מים 2014'!$C$2:$L$188,5,0)/1000,0)</f>
        <v>0</v>
      </c>
    </row>
    <row r="739" spans="2:58" x14ac:dyDescent="0.2">
      <c r="B739" s="1">
        <v>18</v>
      </c>
      <c r="C739" s="5">
        <f>+IFERROR(VLOOKUP(C25,'נתוני מים 2014'!$C$2:$L$188,5,0)/1000,0)</f>
        <v>0</v>
      </c>
      <c r="D739" s="5">
        <f>+IFERROR(VLOOKUP(D25,'נתוני מים 2014'!$C$2:$L$188,5,0)/1000,0)</f>
        <v>0</v>
      </c>
      <c r="E739" s="5">
        <f>+IFERROR(VLOOKUP(E25,'נתוני מים 2014'!$C$2:$L$188,5,0)/1000,0)</f>
        <v>0</v>
      </c>
      <c r="F739" s="5">
        <f>+IFERROR(VLOOKUP(F25,'נתוני מים 2014'!$C$2:$L$188,5,0)/1000,0)</f>
        <v>0</v>
      </c>
      <c r="G739" s="5">
        <f>+IFERROR(VLOOKUP(G25,'נתוני מים 2014'!$C$2:$L$188,5,0)/1000,0)</f>
        <v>0</v>
      </c>
      <c r="H739" s="5">
        <f>+IFERROR(VLOOKUP(H25,'נתוני מים 2014'!$C$2:$L$188,5,0)/1000,0)</f>
        <v>0</v>
      </c>
      <c r="I739" s="5">
        <f>+IFERROR(VLOOKUP(I25,'נתוני מים 2014'!$C$2:$L$188,5,0)/1000,0)</f>
        <v>0</v>
      </c>
      <c r="J739" s="5">
        <f>+IFERROR(VLOOKUP(J25,'נתוני מים 2014'!$C$2:$L$188,5,0)/1000,0)</f>
        <v>0</v>
      </c>
      <c r="K739" s="5">
        <f>+IFERROR(VLOOKUP(K25,'נתוני מים 2014'!$C$2:$L$188,5,0)/1000,0)</f>
        <v>0</v>
      </c>
      <c r="L739" s="5">
        <f>+IFERROR(VLOOKUP(L25,'נתוני מים 2014'!$C$2:$L$188,5,0)/1000,0)</f>
        <v>0</v>
      </c>
      <c r="M739" s="5">
        <f>+IFERROR(VLOOKUP(M25,'נתוני מים 2014'!$C$2:$L$188,5,0)/1000,0)</f>
        <v>0</v>
      </c>
      <c r="N739" s="5">
        <f>+IFERROR(VLOOKUP(N25,'נתוני מים 2014'!$C$2:$L$188,5,0)/1000,0)</f>
        <v>0</v>
      </c>
      <c r="O739" s="5">
        <f>+IFERROR(VLOOKUP(O25,'נתוני מים 2014'!$C$2:$L$188,5,0)/1000,0)</f>
        <v>0</v>
      </c>
      <c r="P739" s="5">
        <f>+IFERROR(VLOOKUP(P25,'נתוני מים 2014'!$C$2:$L$188,5,0)/1000,0)</f>
        <v>0</v>
      </c>
      <c r="Q739" s="5">
        <f>+IFERROR(VLOOKUP(Q25,'נתוני מים 2014'!$C$2:$L$188,5,0)/1000,0)</f>
        <v>0</v>
      </c>
      <c r="R739" s="5">
        <f>+IFERROR(VLOOKUP(R25,'נתוני מים 2014'!$C$2:$L$188,5,0)/1000,0)</f>
        <v>0</v>
      </c>
      <c r="S739" s="5">
        <f>+IFERROR(VLOOKUP(S25,'נתוני מים 2014'!$C$2:$L$188,5,0)/1000,0)</f>
        <v>0</v>
      </c>
      <c r="T739" s="5">
        <f>+IFERROR(VLOOKUP(T25,'נתוני מים 2014'!$C$2:$L$188,5,0)/1000,0)</f>
        <v>0</v>
      </c>
      <c r="U739" s="5">
        <f>+IFERROR(VLOOKUP(U25,'נתוני מים 2014'!$C$2:$L$188,5,0)/1000,0)</f>
        <v>0</v>
      </c>
      <c r="V739" s="5">
        <f>+IFERROR(VLOOKUP(V25,'נתוני מים 2014'!$C$2:$L$188,5,0)/1000,0)</f>
        <v>0</v>
      </c>
      <c r="W739" s="5">
        <f>+IFERROR(VLOOKUP(W25,'נתוני מים 2014'!$C$2:$L$188,5,0)/1000,0)</f>
        <v>0</v>
      </c>
      <c r="X739" s="5">
        <f>+IFERROR(VLOOKUP(X25,'נתוני מים 2014'!$C$2:$L$188,5,0)/1000,0)</f>
        <v>0</v>
      </c>
      <c r="Y739" s="5">
        <f>+IFERROR(VLOOKUP(Y25,'נתוני מים 2014'!$C$2:$L$188,5,0)/1000,0)</f>
        <v>0</v>
      </c>
      <c r="Z739" s="5">
        <f>+IFERROR(VLOOKUP(Z25,'נתוני מים 2014'!$C$2:$L$188,5,0)/1000,0)</f>
        <v>0</v>
      </c>
      <c r="AA739" s="5">
        <f>+IFERROR(VLOOKUP(AA25,'נתוני מים 2014'!$C$2:$L$188,5,0)/1000,0)</f>
        <v>0</v>
      </c>
      <c r="AB739" s="5">
        <f>+IFERROR(VLOOKUP(AB25,'נתוני מים 2014'!$C$2:$L$188,5,0)/1000,0)</f>
        <v>0</v>
      </c>
      <c r="AC739" s="5">
        <f>+IFERROR(VLOOKUP(AC25,'נתוני מים 2014'!$C$2:$L$188,5,0)/1000,0)</f>
        <v>0</v>
      </c>
      <c r="AD739" s="5">
        <f>+IFERROR(VLOOKUP(AD25,'נתוני מים 2014'!$C$2:$L$188,5,0)/1000,0)</f>
        <v>0</v>
      </c>
      <c r="AE739" s="5">
        <f>+IFERROR(VLOOKUP(AE25,'נתוני מים 2014'!$C$2:$L$188,5,0)/1000,0)</f>
        <v>0</v>
      </c>
      <c r="AF739" s="5">
        <f>+IFERROR(VLOOKUP(AF25,'נתוני מים 2014'!$C$2:$L$188,5,0)/1000,0)</f>
        <v>0</v>
      </c>
      <c r="AG739" s="5">
        <f>+IFERROR(VLOOKUP(AG25,'נתוני מים 2014'!$C$2:$L$188,5,0)/1000,0)</f>
        <v>0</v>
      </c>
      <c r="AH739" s="5">
        <f>+IFERROR(VLOOKUP(AH25,'נתוני מים 2014'!$C$2:$L$188,5,0)/1000,0)</f>
        <v>0</v>
      </c>
      <c r="AI739" s="5">
        <f>+IFERROR(VLOOKUP(AI25,'נתוני מים 2014'!$C$2:$L$188,5,0)/1000,0)</f>
        <v>0</v>
      </c>
      <c r="AJ739" s="5">
        <f>+IFERROR(VLOOKUP(AJ25,'נתוני מים 2014'!$C$2:$L$188,5,0)/1000,0)</f>
        <v>0</v>
      </c>
      <c r="AK739" s="5">
        <f>+IFERROR(VLOOKUP(AK25,'נתוני מים 2014'!$C$2:$L$188,5,0)/1000,0)</f>
        <v>0</v>
      </c>
      <c r="AL739" s="5">
        <f>+IFERROR(VLOOKUP(AL25,'נתוני מים 2014'!$C$2:$L$188,5,0)/1000,0)</f>
        <v>0</v>
      </c>
      <c r="AM739" s="5">
        <f>+IFERROR(VLOOKUP(AM25,'נתוני מים 2014'!$C$2:$L$188,5,0)/1000,0)</f>
        <v>0</v>
      </c>
      <c r="AN739" s="5">
        <f>+IFERROR(VLOOKUP(AN25,'נתוני מים 2014'!$C$2:$L$188,5,0)/1000,0)</f>
        <v>0</v>
      </c>
      <c r="AO739" s="5">
        <f>+IFERROR(VLOOKUP(AO25,'נתוני מים 2014'!$C$2:$L$188,5,0)/1000,0)</f>
        <v>0</v>
      </c>
      <c r="AP739" s="5">
        <f>+IFERROR(VLOOKUP(AP25,'נתוני מים 2014'!$C$2:$L$188,5,0)/1000,0)</f>
        <v>0</v>
      </c>
      <c r="AQ739" s="5">
        <f>+IFERROR(VLOOKUP(AQ25,'נתוני מים 2014'!$C$2:$L$188,5,0)/1000,0)</f>
        <v>0</v>
      </c>
      <c r="AR739" s="5">
        <f>+IFERROR(VLOOKUP(AR25,'נתוני מים 2014'!$C$2:$L$188,5,0)/1000,0)</f>
        <v>0</v>
      </c>
      <c r="AS739" s="5">
        <f>+IFERROR(VLOOKUP(AS25,'נתוני מים 2014'!$C$2:$L$188,5,0)/1000,0)</f>
        <v>0</v>
      </c>
      <c r="AT739" s="5">
        <f>+IFERROR(VLOOKUP(AT25,'נתוני מים 2014'!$C$2:$L$188,5,0)/1000,0)</f>
        <v>0</v>
      </c>
      <c r="AU739" s="5">
        <f>+IFERROR(VLOOKUP(AU25,'נתוני מים 2014'!$C$2:$L$188,5,0)/1000,0)</f>
        <v>0</v>
      </c>
      <c r="AV739" s="5">
        <f>+IFERROR(VLOOKUP(AV25,'נתוני מים 2014'!$C$2:$L$188,5,0)/1000,0)</f>
        <v>0</v>
      </c>
      <c r="AW739" s="5">
        <f>+IFERROR(VLOOKUP(AW25,'נתוני מים 2014'!$C$2:$L$188,5,0)/1000,0)</f>
        <v>0</v>
      </c>
      <c r="AX739" s="5">
        <f>+IFERROR(VLOOKUP(AX25,'נתוני מים 2014'!$C$2:$L$188,5,0)/1000,0)</f>
        <v>0</v>
      </c>
      <c r="AY739" s="5">
        <f>+IFERROR(VLOOKUP(AY25,'נתוני מים 2014'!$C$2:$L$188,5,0)/1000,0)</f>
        <v>0</v>
      </c>
      <c r="AZ739" s="5">
        <f>+IFERROR(VLOOKUP(AZ25,'נתוני מים 2014'!$C$2:$L$188,5,0)/1000,0)</f>
        <v>0</v>
      </c>
      <c r="BA739" s="5">
        <f>+IFERROR(VLOOKUP(BA25,'נתוני מים 2014'!$C$2:$L$188,5,0)/1000,0)</f>
        <v>0</v>
      </c>
      <c r="BB739" s="5">
        <f>+IFERROR(VLOOKUP(BB25,'נתוני מים 2014'!$C$2:$L$188,5,0)/1000,0)</f>
        <v>0</v>
      </c>
      <c r="BC739" s="5">
        <f>+IFERROR(VLOOKUP(BC25,'נתוני מים 2014'!$C$2:$L$188,5,0)/1000,0)</f>
        <v>0</v>
      </c>
      <c r="BD739" s="5">
        <f>+IFERROR(VLOOKUP(BD25,'נתוני מים 2014'!$C$2:$L$188,5,0)/1000,0)</f>
        <v>0</v>
      </c>
      <c r="BE739" s="5">
        <f>+IFERROR(VLOOKUP(BE25,'נתוני מים 2014'!$C$2:$L$188,5,0)/1000,0)</f>
        <v>0</v>
      </c>
      <c r="BF739" s="5">
        <f>+IFERROR(VLOOKUP(BF25,'נתוני מים 2014'!$C$2:$L$188,5,0)/1000,0)</f>
        <v>0</v>
      </c>
    </row>
    <row r="740" spans="2:58" x14ac:dyDescent="0.2">
      <c r="B740" s="1">
        <v>19</v>
      </c>
      <c r="C740" s="5">
        <f>+IFERROR(VLOOKUP(C26,'נתוני מים 2014'!$C$2:$L$188,5,0)/1000,0)</f>
        <v>0</v>
      </c>
      <c r="D740" s="5">
        <f>+IFERROR(VLOOKUP(D26,'נתוני מים 2014'!$C$2:$L$188,5,0)/1000,0)</f>
        <v>0</v>
      </c>
      <c r="E740" s="5">
        <f>+IFERROR(VLOOKUP(E26,'נתוני מים 2014'!$C$2:$L$188,5,0)/1000,0)</f>
        <v>0</v>
      </c>
      <c r="F740" s="5">
        <f>+IFERROR(VLOOKUP(F26,'נתוני מים 2014'!$C$2:$L$188,5,0)/1000,0)</f>
        <v>0</v>
      </c>
      <c r="G740" s="5">
        <f>+IFERROR(VLOOKUP(G26,'נתוני מים 2014'!$C$2:$L$188,5,0)/1000,0)</f>
        <v>0</v>
      </c>
      <c r="H740" s="5">
        <f>+IFERROR(VLOOKUP(H26,'נתוני מים 2014'!$C$2:$L$188,5,0)/1000,0)</f>
        <v>0</v>
      </c>
      <c r="I740" s="5">
        <f>+IFERROR(VLOOKUP(I26,'נתוני מים 2014'!$C$2:$L$188,5,0)/1000,0)</f>
        <v>0</v>
      </c>
      <c r="J740" s="5">
        <f>+IFERROR(VLOOKUP(J26,'נתוני מים 2014'!$C$2:$L$188,5,0)/1000,0)</f>
        <v>0</v>
      </c>
      <c r="K740" s="5">
        <f>+IFERROR(VLOOKUP(K26,'נתוני מים 2014'!$C$2:$L$188,5,0)/1000,0)</f>
        <v>0</v>
      </c>
      <c r="L740" s="5">
        <f>+IFERROR(VLOOKUP(L26,'נתוני מים 2014'!$C$2:$L$188,5,0)/1000,0)</f>
        <v>0</v>
      </c>
      <c r="M740" s="5">
        <f>+IFERROR(VLOOKUP(M26,'נתוני מים 2014'!$C$2:$L$188,5,0)/1000,0)</f>
        <v>0</v>
      </c>
      <c r="N740" s="5">
        <f>+IFERROR(VLOOKUP(N26,'נתוני מים 2014'!$C$2:$L$188,5,0)/1000,0)</f>
        <v>0</v>
      </c>
      <c r="O740" s="5">
        <f>+IFERROR(VLOOKUP(O26,'נתוני מים 2014'!$C$2:$L$188,5,0)/1000,0)</f>
        <v>0</v>
      </c>
      <c r="P740" s="5">
        <f>+IFERROR(VLOOKUP(P26,'נתוני מים 2014'!$C$2:$L$188,5,0)/1000,0)</f>
        <v>0</v>
      </c>
      <c r="Q740" s="5">
        <f>+IFERROR(VLOOKUP(Q26,'נתוני מים 2014'!$C$2:$L$188,5,0)/1000,0)</f>
        <v>0</v>
      </c>
      <c r="R740" s="5">
        <f>+IFERROR(VLOOKUP(R26,'נתוני מים 2014'!$C$2:$L$188,5,0)/1000,0)</f>
        <v>0</v>
      </c>
      <c r="S740" s="5">
        <f>+IFERROR(VLOOKUP(S26,'נתוני מים 2014'!$C$2:$L$188,5,0)/1000,0)</f>
        <v>0</v>
      </c>
      <c r="T740" s="5">
        <f>+IFERROR(VLOOKUP(T26,'נתוני מים 2014'!$C$2:$L$188,5,0)/1000,0)</f>
        <v>0</v>
      </c>
      <c r="U740" s="5">
        <f>+IFERROR(VLOOKUP(U26,'נתוני מים 2014'!$C$2:$L$188,5,0)/1000,0)</f>
        <v>0</v>
      </c>
      <c r="V740" s="5">
        <f>+IFERROR(VLOOKUP(V26,'נתוני מים 2014'!$C$2:$L$188,5,0)/1000,0)</f>
        <v>0</v>
      </c>
      <c r="W740" s="5">
        <f>+IFERROR(VLOOKUP(W26,'נתוני מים 2014'!$C$2:$L$188,5,0)/1000,0)</f>
        <v>0</v>
      </c>
      <c r="X740" s="5">
        <f>+IFERROR(VLOOKUP(X26,'נתוני מים 2014'!$C$2:$L$188,5,0)/1000,0)</f>
        <v>0</v>
      </c>
      <c r="Y740" s="5">
        <f>+IFERROR(VLOOKUP(Y26,'נתוני מים 2014'!$C$2:$L$188,5,0)/1000,0)</f>
        <v>0</v>
      </c>
      <c r="Z740" s="5">
        <f>+IFERROR(VLOOKUP(Z26,'נתוני מים 2014'!$C$2:$L$188,5,0)/1000,0)</f>
        <v>0</v>
      </c>
      <c r="AA740" s="5">
        <f>+IFERROR(VLOOKUP(AA26,'נתוני מים 2014'!$C$2:$L$188,5,0)/1000,0)</f>
        <v>0</v>
      </c>
      <c r="AB740" s="5">
        <f>+IFERROR(VLOOKUP(AB26,'נתוני מים 2014'!$C$2:$L$188,5,0)/1000,0)</f>
        <v>0</v>
      </c>
      <c r="AC740" s="5">
        <f>+IFERROR(VLOOKUP(AC26,'נתוני מים 2014'!$C$2:$L$188,5,0)/1000,0)</f>
        <v>0</v>
      </c>
      <c r="AD740" s="5">
        <f>+IFERROR(VLOOKUP(AD26,'נתוני מים 2014'!$C$2:$L$188,5,0)/1000,0)</f>
        <v>0</v>
      </c>
      <c r="AE740" s="5">
        <f>+IFERROR(VLOOKUP(AE26,'נתוני מים 2014'!$C$2:$L$188,5,0)/1000,0)</f>
        <v>0</v>
      </c>
      <c r="AF740" s="5">
        <f>+IFERROR(VLOOKUP(AF26,'נתוני מים 2014'!$C$2:$L$188,5,0)/1000,0)</f>
        <v>0</v>
      </c>
      <c r="AG740" s="5">
        <f>+IFERROR(VLOOKUP(AG26,'נתוני מים 2014'!$C$2:$L$188,5,0)/1000,0)</f>
        <v>0</v>
      </c>
      <c r="AH740" s="5">
        <f>+IFERROR(VLOOKUP(AH26,'נתוני מים 2014'!$C$2:$L$188,5,0)/1000,0)</f>
        <v>0</v>
      </c>
      <c r="AI740" s="5">
        <f>+IFERROR(VLOOKUP(AI26,'נתוני מים 2014'!$C$2:$L$188,5,0)/1000,0)</f>
        <v>0</v>
      </c>
      <c r="AJ740" s="5">
        <f>+IFERROR(VLOOKUP(AJ26,'נתוני מים 2014'!$C$2:$L$188,5,0)/1000,0)</f>
        <v>0</v>
      </c>
      <c r="AK740" s="5">
        <f>+IFERROR(VLOOKUP(AK26,'נתוני מים 2014'!$C$2:$L$188,5,0)/1000,0)</f>
        <v>0</v>
      </c>
      <c r="AL740" s="5">
        <f>+IFERROR(VLOOKUP(AL26,'נתוני מים 2014'!$C$2:$L$188,5,0)/1000,0)</f>
        <v>0</v>
      </c>
      <c r="AM740" s="5">
        <f>+IFERROR(VLOOKUP(AM26,'נתוני מים 2014'!$C$2:$L$188,5,0)/1000,0)</f>
        <v>0</v>
      </c>
      <c r="AN740" s="5">
        <f>+IFERROR(VLOOKUP(AN26,'נתוני מים 2014'!$C$2:$L$188,5,0)/1000,0)</f>
        <v>0</v>
      </c>
      <c r="AO740" s="5">
        <f>+IFERROR(VLOOKUP(AO26,'נתוני מים 2014'!$C$2:$L$188,5,0)/1000,0)</f>
        <v>0</v>
      </c>
      <c r="AP740" s="5">
        <f>+IFERROR(VLOOKUP(AP26,'נתוני מים 2014'!$C$2:$L$188,5,0)/1000,0)</f>
        <v>0</v>
      </c>
      <c r="AQ740" s="5">
        <f>+IFERROR(VLOOKUP(AQ26,'נתוני מים 2014'!$C$2:$L$188,5,0)/1000,0)</f>
        <v>0</v>
      </c>
      <c r="AR740" s="5">
        <f>+IFERROR(VLOOKUP(AR26,'נתוני מים 2014'!$C$2:$L$188,5,0)/1000,0)</f>
        <v>0</v>
      </c>
      <c r="AS740" s="5">
        <f>+IFERROR(VLOOKUP(AS26,'נתוני מים 2014'!$C$2:$L$188,5,0)/1000,0)</f>
        <v>0</v>
      </c>
      <c r="AT740" s="5">
        <f>+IFERROR(VLOOKUP(AT26,'נתוני מים 2014'!$C$2:$L$188,5,0)/1000,0)</f>
        <v>0</v>
      </c>
      <c r="AU740" s="5">
        <f>+IFERROR(VLOOKUP(AU26,'נתוני מים 2014'!$C$2:$L$188,5,0)/1000,0)</f>
        <v>0</v>
      </c>
      <c r="AV740" s="5">
        <f>+IFERROR(VLOOKUP(AV26,'נתוני מים 2014'!$C$2:$L$188,5,0)/1000,0)</f>
        <v>0</v>
      </c>
      <c r="AW740" s="5">
        <f>+IFERROR(VLOOKUP(AW26,'נתוני מים 2014'!$C$2:$L$188,5,0)/1000,0)</f>
        <v>0</v>
      </c>
      <c r="AX740" s="5">
        <f>+IFERROR(VLOOKUP(AX26,'נתוני מים 2014'!$C$2:$L$188,5,0)/1000,0)</f>
        <v>0</v>
      </c>
      <c r="AY740" s="5">
        <f>+IFERROR(VLOOKUP(AY26,'נתוני מים 2014'!$C$2:$L$188,5,0)/1000,0)</f>
        <v>0</v>
      </c>
      <c r="AZ740" s="5">
        <f>+IFERROR(VLOOKUP(AZ26,'נתוני מים 2014'!$C$2:$L$188,5,0)/1000,0)</f>
        <v>0</v>
      </c>
      <c r="BA740" s="5">
        <f>+IFERROR(VLOOKUP(BA26,'נתוני מים 2014'!$C$2:$L$188,5,0)/1000,0)</f>
        <v>0</v>
      </c>
      <c r="BB740" s="5">
        <f>+IFERROR(VLOOKUP(BB26,'נתוני מים 2014'!$C$2:$L$188,5,0)/1000,0)</f>
        <v>0</v>
      </c>
      <c r="BC740" s="5">
        <f>+IFERROR(VLOOKUP(BC26,'נתוני מים 2014'!$C$2:$L$188,5,0)/1000,0)</f>
        <v>0</v>
      </c>
      <c r="BD740" s="5">
        <f>+IFERROR(VLOOKUP(BD26,'נתוני מים 2014'!$C$2:$L$188,5,0)/1000,0)</f>
        <v>0</v>
      </c>
      <c r="BE740" s="5">
        <f>+IFERROR(VLOOKUP(BE26,'נתוני מים 2014'!$C$2:$L$188,5,0)/1000,0)</f>
        <v>0</v>
      </c>
      <c r="BF740" s="5">
        <f>+IFERROR(VLOOKUP(BF26,'נתוני מים 2014'!$C$2:$L$188,5,0)/1000,0)</f>
        <v>0</v>
      </c>
    </row>
    <row r="741" spans="2:58" x14ac:dyDescent="0.2">
      <c r="B741" s="1">
        <v>20</v>
      </c>
      <c r="C741" s="5">
        <f>+IFERROR(VLOOKUP(C27,'נתוני מים 2014'!$C$2:$L$188,5,0)/1000,0)</f>
        <v>0</v>
      </c>
      <c r="D741" s="5">
        <f>+IFERROR(VLOOKUP(D27,'נתוני מים 2014'!$C$2:$L$188,5,0)/1000,0)</f>
        <v>0</v>
      </c>
      <c r="E741" s="5">
        <f>+IFERROR(VLOOKUP(E27,'נתוני מים 2014'!$C$2:$L$188,5,0)/1000,0)</f>
        <v>0</v>
      </c>
      <c r="F741" s="5">
        <f>+IFERROR(VLOOKUP(F27,'נתוני מים 2014'!$C$2:$L$188,5,0)/1000,0)</f>
        <v>0</v>
      </c>
      <c r="G741" s="5">
        <f>+IFERROR(VLOOKUP(G27,'נתוני מים 2014'!$C$2:$L$188,5,0)/1000,0)</f>
        <v>0</v>
      </c>
      <c r="H741" s="5">
        <f>+IFERROR(VLOOKUP(H27,'נתוני מים 2014'!$C$2:$L$188,5,0)/1000,0)</f>
        <v>0</v>
      </c>
      <c r="I741" s="5">
        <f>+IFERROR(VLOOKUP(I27,'נתוני מים 2014'!$C$2:$L$188,5,0)/1000,0)</f>
        <v>0</v>
      </c>
      <c r="J741" s="5">
        <f>+IFERROR(VLOOKUP(J27,'נתוני מים 2014'!$C$2:$L$188,5,0)/1000,0)</f>
        <v>0</v>
      </c>
      <c r="K741" s="5">
        <f>+IFERROR(VLOOKUP(K27,'נתוני מים 2014'!$C$2:$L$188,5,0)/1000,0)</f>
        <v>0</v>
      </c>
      <c r="L741" s="5">
        <f>+IFERROR(VLOOKUP(L27,'נתוני מים 2014'!$C$2:$L$188,5,0)/1000,0)</f>
        <v>0</v>
      </c>
      <c r="M741" s="5">
        <f>+IFERROR(VLOOKUP(M27,'נתוני מים 2014'!$C$2:$L$188,5,0)/1000,0)</f>
        <v>0</v>
      </c>
      <c r="N741" s="5">
        <f>+IFERROR(VLOOKUP(N27,'נתוני מים 2014'!$C$2:$L$188,5,0)/1000,0)</f>
        <v>0</v>
      </c>
      <c r="O741" s="5">
        <f>+IFERROR(VLOOKUP(O27,'נתוני מים 2014'!$C$2:$L$188,5,0)/1000,0)</f>
        <v>0</v>
      </c>
      <c r="P741" s="5">
        <f>+IFERROR(VLOOKUP(P27,'נתוני מים 2014'!$C$2:$L$188,5,0)/1000,0)</f>
        <v>0</v>
      </c>
      <c r="Q741" s="5">
        <f>+IFERROR(VLOOKUP(Q27,'נתוני מים 2014'!$C$2:$L$188,5,0)/1000,0)</f>
        <v>0</v>
      </c>
      <c r="R741" s="5">
        <f>+IFERROR(VLOOKUP(R27,'נתוני מים 2014'!$C$2:$L$188,5,0)/1000,0)</f>
        <v>0</v>
      </c>
      <c r="S741" s="5">
        <f>+IFERROR(VLOOKUP(S27,'נתוני מים 2014'!$C$2:$L$188,5,0)/1000,0)</f>
        <v>0</v>
      </c>
      <c r="T741" s="5">
        <f>+IFERROR(VLOOKUP(T27,'נתוני מים 2014'!$C$2:$L$188,5,0)/1000,0)</f>
        <v>0</v>
      </c>
      <c r="U741" s="5">
        <f>+IFERROR(VLOOKUP(U27,'נתוני מים 2014'!$C$2:$L$188,5,0)/1000,0)</f>
        <v>0</v>
      </c>
      <c r="V741" s="5">
        <f>+IFERROR(VLOOKUP(V27,'נתוני מים 2014'!$C$2:$L$188,5,0)/1000,0)</f>
        <v>0</v>
      </c>
      <c r="W741" s="5">
        <f>+IFERROR(VLOOKUP(W27,'נתוני מים 2014'!$C$2:$L$188,5,0)/1000,0)</f>
        <v>0</v>
      </c>
      <c r="X741" s="5">
        <f>+IFERROR(VLOOKUP(X27,'נתוני מים 2014'!$C$2:$L$188,5,0)/1000,0)</f>
        <v>0</v>
      </c>
      <c r="Y741" s="5">
        <f>+IFERROR(VLOOKUP(Y27,'נתוני מים 2014'!$C$2:$L$188,5,0)/1000,0)</f>
        <v>0</v>
      </c>
      <c r="Z741" s="5">
        <f>+IFERROR(VLOOKUP(Z27,'נתוני מים 2014'!$C$2:$L$188,5,0)/1000,0)</f>
        <v>0</v>
      </c>
      <c r="AA741" s="5">
        <f>+IFERROR(VLOOKUP(AA27,'נתוני מים 2014'!$C$2:$L$188,5,0)/1000,0)</f>
        <v>0</v>
      </c>
      <c r="AB741" s="5">
        <f>+IFERROR(VLOOKUP(AB27,'נתוני מים 2014'!$C$2:$L$188,5,0)/1000,0)</f>
        <v>0</v>
      </c>
      <c r="AC741" s="5">
        <f>+IFERROR(VLOOKUP(AC27,'נתוני מים 2014'!$C$2:$L$188,5,0)/1000,0)</f>
        <v>0</v>
      </c>
      <c r="AD741" s="5">
        <f>+IFERROR(VLOOKUP(AD27,'נתוני מים 2014'!$C$2:$L$188,5,0)/1000,0)</f>
        <v>0</v>
      </c>
      <c r="AE741" s="5">
        <f>+IFERROR(VLOOKUP(AE27,'נתוני מים 2014'!$C$2:$L$188,5,0)/1000,0)</f>
        <v>0</v>
      </c>
      <c r="AF741" s="5">
        <f>+IFERROR(VLOOKUP(AF27,'נתוני מים 2014'!$C$2:$L$188,5,0)/1000,0)</f>
        <v>0</v>
      </c>
      <c r="AG741" s="5">
        <f>+IFERROR(VLOOKUP(AG27,'נתוני מים 2014'!$C$2:$L$188,5,0)/1000,0)</f>
        <v>0</v>
      </c>
      <c r="AH741" s="5">
        <f>+IFERROR(VLOOKUP(AH27,'נתוני מים 2014'!$C$2:$L$188,5,0)/1000,0)</f>
        <v>0</v>
      </c>
      <c r="AI741" s="5">
        <f>+IFERROR(VLOOKUP(AI27,'נתוני מים 2014'!$C$2:$L$188,5,0)/1000,0)</f>
        <v>0</v>
      </c>
      <c r="AJ741" s="5">
        <f>+IFERROR(VLOOKUP(AJ27,'נתוני מים 2014'!$C$2:$L$188,5,0)/1000,0)</f>
        <v>0</v>
      </c>
      <c r="AK741" s="5">
        <f>+IFERROR(VLOOKUP(AK27,'נתוני מים 2014'!$C$2:$L$188,5,0)/1000,0)</f>
        <v>0</v>
      </c>
      <c r="AL741" s="5">
        <f>+IFERROR(VLOOKUP(AL27,'נתוני מים 2014'!$C$2:$L$188,5,0)/1000,0)</f>
        <v>0</v>
      </c>
      <c r="AM741" s="5">
        <f>+IFERROR(VLOOKUP(AM27,'נתוני מים 2014'!$C$2:$L$188,5,0)/1000,0)</f>
        <v>0</v>
      </c>
      <c r="AN741" s="5">
        <f>+IFERROR(VLOOKUP(AN27,'נתוני מים 2014'!$C$2:$L$188,5,0)/1000,0)</f>
        <v>0</v>
      </c>
      <c r="AO741" s="5">
        <f>+IFERROR(VLOOKUP(AO27,'נתוני מים 2014'!$C$2:$L$188,5,0)/1000,0)</f>
        <v>0</v>
      </c>
      <c r="AP741" s="5">
        <f>+IFERROR(VLOOKUP(AP27,'נתוני מים 2014'!$C$2:$L$188,5,0)/1000,0)</f>
        <v>0</v>
      </c>
      <c r="AQ741" s="5">
        <f>+IFERROR(VLOOKUP(AQ27,'נתוני מים 2014'!$C$2:$L$188,5,0)/1000,0)</f>
        <v>0</v>
      </c>
      <c r="AR741" s="5">
        <f>+IFERROR(VLOOKUP(AR27,'נתוני מים 2014'!$C$2:$L$188,5,0)/1000,0)</f>
        <v>0</v>
      </c>
      <c r="AS741" s="5">
        <f>+IFERROR(VLOOKUP(AS27,'נתוני מים 2014'!$C$2:$L$188,5,0)/1000,0)</f>
        <v>0</v>
      </c>
      <c r="AT741" s="5">
        <f>+IFERROR(VLOOKUP(AT27,'נתוני מים 2014'!$C$2:$L$188,5,0)/1000,0)</f>
        <v>0</v>
      </c>
      <c r="AU741" s="5">
        <f>+IFERROR(VLOOKUP(AU27,'נתוני מים 2014'!$C$2:$L$188,5,0)/1000,0)</f>
        <v>0</v>
      </c>
      <c r="AV741" s="5">
        <f>+IFERROR(VLOOKUP(AV27,'נתוני מים 2014'!$C$2:$L$188,5,0)/1000,0)</f>
        <v>0</v>
      </c>
      <c r="AW741" s="5">
        <f>+IFERROR(VLOOKUP(AW27,'נתוני מים 2014'!$C$2:$L$188,5,0)/1000,0)</f>
        <v>0</v>
      </c>
      <c r="AX741" s="5">
        <f>+IFERROR(VLOOKUP(AX27,'נתוני מים 2014'!$C$2:$L$188,5,0)/1000,0)</f>
        <v>0</v>
      </c>
      <c r="AY741" s="5">
        <f>+IFERROR(VLOOKUP(AY27,'נתוני מים 2014'!$C$2:$L$188,5,0)/1000,0)</f>
        <v>0</v>
      </c>
      <c r="AZ741" s="5">
        <f>+IFERROR(VLOOKUP(AZ27,'נתוני מים 2014'!$C$2:$L$188,5,0)/1000,0)</f>
        <v>0</v>
      </c>
      <c r="BA741" s="5">
        <f>+IFERROR(VLOOKUP(BA27,'נתוני מים 2014'!$C$2:$L$188,5,0)/1000,0)</f>
        <v>0</v>
      </c>
      <c r="BB741" s="5">
        <f>+IFERROR(VLOOKUP(BB27,'נתוני מים 2014'!$C$2:$L$188,5,0)/1000,0)</f>
        <v>0</v>
      </c>
      <c r="BC741" s="5">
        <f>+IFERROR(VLOOKUP(BC27,'נתוני מים 2014'!$C$2:$L$188,5,0)/1000,0)</f>
        <v>0</v>
      </c>
      <c r="BD741" s="5">
        <f>+IFERROR(VLOOKUP(BD27,'נתוני מים 2014'!$C$2:$L$188,5,0)/1000,0)</f>
        <v>0</v>
      </c>
      <c r="BE741" s="5">
        <f>+IFERROR(VLOOKUP(BE27,'נתוני מים 2014'!$C$2:$L$188,5,0)/1000,0)</f>
        <v>0</v>
      </c>
      <c r="BF741" s="5">
        <f>+IFERROR(VLOOKUP(BF27,'נתוני מים 2014'!$C$2:$L$188,5,0)/1000,0)</f>
        <v>0</v>
      </c>
    </row>
    <row r="742" spans="2:58" x14ac:dyDescent="0.2">
      <c r="B742" s="1">
        <v>21</v>
      </c>
      <c r="C742" s="5">
        <f>+IFERROR(VLOOKUP(C28,'נתוני מים 2014'!$C$2:$L$188,5,0)/1000,0)</f>
        <v>0</v>
      </c>
      <c r="D742" s="5">
        <f>+IFERROR(VLOOKUP(D28,'נתוני מים 2014'!$C$2:$L$188,5,0)/1000,0)</f>
        <v>0</v>
      </c>
      <c r="E742" s="5">
        <f>+IFERROR(VLOOKUP(E28,'נתוני מים 2014'!$C$2:$L$188,5,0)/1000,0)</f>
        <v>0</v>
      </c>
      <c r="F742" s="5">
        <f>+IFERROR(VLOOKUP(F28,'נתוני מים 2014'!$C$2:$L$188,5,0)/1000,0)</f>
        <v>0</v>
      </c>
      <c r="G742" s="5">
        <f>+IFERROR(VLOOKUP(G28,'נתוני מים 2014'!$C$2:$L$188,5,0)/1000,0)</f>
        <v>0</v>
      </c>
      <c r="H742" s="5">
        <f>+IFERROR(VLOOKUP(H28,'נתוני מים 2014'!$C$2:$L$188,5,0)/1000,0)</f>
        <v>0</v>
      </c>
      <c r="I742" s="5">
        <f>+IFERROR(VLOOKUP(I28,'נתוני מים 2014'!$C$2:$L$188,5,0)/1000,0)</f>
        <v>0</v>
      </c>
      <c r="J742" s="5">
        <f>+IFERROR(VLOOKUP(J28,'נתוני מים 2014'!$C$2:$L$188,5,0)/1000,0)</f>
        <v>0</v>
      </c>
      <c r="K742" s="5">
        <f>+IFERROR(VLOOKUP(K28,'נתוני מים 2014'!$C$2:$L$188,5,0)/1000,0)</f>
        <v>0</v>
      </c>
      <c r="L742" s="5">
        <f>+IFERROR(VLOOKUP(L28,'נתוני מים 2014'!$C$2:$L$188,5,0)/1000,0)</f>
        <v>0</v>
      </c>
      <c r="M742" s="5">
        <f>+IFERROR(VLOOKUP(M28,'נתוני מים 2014'!$C$2:$L$188,5,0)/1000,0)</f>
        <v>0</v>
      </c>
      <c r="N742" s="5">
        <f>+IFERROR(VLOOKUP(N28,'נתוני מים 2014'!$C$2:$L$188,5,0)/1000,0)</f>
        <v>0</v>
      </c>
      <c r="O742" s="5">
        <f>+IFERROR(VLOOKUP(O28,'נתוני מים 2014'!$C$2:$L$188,5,0)/1000,0)</f>
        <v>0</v>
      </c>
      <c r="P742" s="5">
        <f>+IFERROR(VLOOKUP(P28,'נתוני מים 2014'!$C$2:$L$188,5,0)/1000,0)</f>
        <v>0</v>
      </c>
      <c r="Q742" s="5">
        <f>+IFERROR(VLOOKUP(Q28,'נתוני מים 2014'!$C$2:$L$188,5,0)/1000,0)</f>
        <v>0</v>
      </c>
      <c r="R742" s="5">
        <f>+IFERROR(VLOOKUP(R28,'נתוני מים 2014'!$C$2:$L$188,5,0)/1000,0)</f>
        <v>0</v>
      </c>
      <c r="S742" s="5">
        <f>+IFERROR(VLOOKUP(S28,'נתוני מים 2014'!$C$2:$L$188,5,0)/1000,0)</f>
        <v>0</v>
      </c>
      <c r="T742" s="5">
        <f>+IFERROR(VLOOKUP(T28,'נתוני מים 2014'!$C$2:$L$188,5,0)/1000,0)</f>
        <v>0</v>
      </c>
      <c r="U742" s="5">
        <f>+IFERROR(VLOOKUP(U28,'נתוני מים 2014'!$C$2:$L$188,5,0)/1000,0)</f>
        <v>0</v>
      </c>
      <c r="V742" s="5">
        <f>+IFERROR(VLOOKUP(V28,'נתוני מים 2014'!$C$2:$L$188,5,0)/1000,0)</f>
        <v>0</v>
      </c>
      <c r="W742" s="5">
        <f>+IFERROR(VLOOKUP(W28,'נתוני מים 2014'!$C$2:$L$188,5,0)/1000,0)</f>
        <v>0</v>
      </c>
      <c r="X742" s="5">
        <f>+IFERROR(VLOOKUP(X28,'נתוני מים 2014'!$C$2:$L$188,5,0)/1000,0)</f>
        <v>0</v>
      </c>
      <c r="Y742" s="5">
        <f>+IFERROR(VLOOKUP(Y28,'נתוני מים 2014'!$C$2:$L$188,5,0)/1000,0)</f>
        <v>0</v>
      </c>
      <c r="Z742" s="5">
        <f>+IFERROR(VLOOKUP(Z28,'נתוני מים 2014'!$C$2:$L$188,5,0)/1000,0)</f>
        <v>0</v>
      </c>
      <c r="AA742" s="5">
        <f>+IFERROR(VLOOKUP(AA28,'נתוני מים 2014'!$C$2:$L$188,5,0)/1000,0)</f>
        <v>0</v>
      </c>
      <c r="AB742" s="5">
        <f>+IFERROR(VLOOKUP(AB28,'נתוני מים 2014'!$C$2:$L$188,5,0)/1000,0)</f>
        <v>0</v>
      </c>
      <c r="AC742" s="5">
        <f>+IFERROR(VLOOKUP(AC28,'נתוני מים 2014'!$C$2:$L$188,5,0)/1000,0)</f>
        <v>0</v>
      </c>
      <c r="AD742" s="5">
        <f>+IFERROR(VLOOKUP(AD28,'נתוני מים 2014'!$C$2:$L$188,5,0)/1000,0)</f>
        <v>0</v>
      </c>
      <c r="AE742" s="5">
        <f>+IFERROR(VLOOKUP(AE28,'נתוני מים 2014'!$C$2:$L$188,5,0)/1000,0)</f>
        <v>0</v>
      </c>
      <c r="AF742" s="5">
        <f>+IFERROR(VLOOKUP(AF28,'נתוני מים 2014'!$C$2:$L$188,5,0)/1000,0)</f>
        <v>0</v>
      </c>
      <c r="AG742" s="5">
        <f>+IFERROR(VLOOKUP(AG28,'נתוני מים 2014'!$C$2:$L$188,5,0)/1000,0)</f>
        <v>0</v>
      </c>
      <c r="AH742" s="5">
        <f>+IFERROR(VLOOKUP(AH28,'נתוני מים 2014'!$C$2:$L$188,5,0)/1000,0)</f>
        <v>0</v>
      </c>
      <c r="AI742" s="5">
        <f>+IFERROR(VLOOKUP(AI28,'נתוני מים 2014'!$C$2:$L$188,5,0)/1000,0)</f>
        <v>0</v>
      </c>
      <c r="AJ742" s="5">
        <f>+IFERROR(VLOOKUP(AJ28,'נתוני מים 2014'!$C$2:$L$188,5,0)/1000,0)</f>
        <v>0</v>
      </c>
      <c r="AK742" s="5">
        <f>+IFERROR(VLOOKUP(AK28,'נתוני מים 2014'!$C$2:$L$188,5,0)/1000,0)</f>
        <v>0</v>
      </c>
      <c r="AL742" s="5">
        <f>+IFERROR(VLOOKUP(AL28,'נתוני מים 2014'!$C$2:$L$188,5,0)/1000,0)</f>
        <v>0</v>
      </c>
      <c r="AM742" s="5">
        <f>+IFERROR(VLOOKUP(AM28,'נתוני מים 2014'!$C$2:$L$188,5,0)/1000,0)</f>
        <v>0</v>
      </c>
      <c r="AN742" s="5">
        <f>+IFERROR(VLOOKUP(AN28,'נתוני מים 2014'!$C$2:$L$188,5,0)/1000,0)</f>
        <v>0</v>
      </c>
      <c r="AO742" s="5">
        <f>+IFERROR(VLOOKUP(AO28,'נתוני מים 2014'!$C$2:$L$188,5,0)/1000,0)</f>
        <v>0</v>
      </c>
      <c r="AP742" s="5">
        <f>+IFERROR(VLOOKUP(AP28,'נתוני מים 2014'!$C$2:$L$188,5,0)/1000,0)</f>
        <v>0</v>
      </c>
      <c r="AQ742" s="5">
        <f>+IFERROR(VLOOKUP(AQ28,'נתוני מים 2014'!$C$2:$L$188,5,0)/1000,0)</f>
        <v>0</v>
      </c>
      <c r="AR742" s="5">
        <f>+IFERROR(VLOOKUP(AR28,'נתוני מים 2014'!$C$2:$L$188,5,0)/1000,0)</f>
        <v>0</v>
      </c>
      <c r="AS742" s="5">
        <f>+IFERROR(VLOOKUP(AS28,'נתוני מים 2014'!$C$2:$L$188,5,0)/1000,0)</f>
        <v>0</v>
      </c>
      <c r="AT742" s="5">
        <f>+IFERROR(VLOOKUP(AT28,'נתוני מים 2014'!$C$2:$L$188,5,0)/1000,0)</f>
        <v>0</v>
      </c>
      <c r="AU742" s="5">
        <f>+IFERROR(VLOOKUP(AU28,'נתוני מים 2014'!$C$2:$L$188,5,0)/1000,0)</f>
        <v>0</v>
      </c>
      <c r="AV742" s="5">
        <f>+IFERROR(VLOOKUP(AV28,'נתוני מים 2014'!$C$2:$L$188,5,0)/1000,0)</f>
        <v>0</v>
      </c>
      <c r="AW742" s="5">
        <f>+IFERROR(VLOOKUP(AW28,'נתוני מים 2014'!$C$2:$L$188,5,0)/1000,0)</f>
        <v>0</v>
      </c>
      <c r="AX742" s="5">
        <f>+IFERROR(VLOOKUP(AX28,'נתוני מים 2014'!$C$2:$L$188,5,0)/1000,0)</f>
        <v>0</v>
      </c>
      <c r="AY742" s="5">
        <f>+IFERROR(VLOOKUP(AY28,'נתוני מים 2014'!$C$2:$L$188,5,0)/1000,0)</f>
        <v>0</v>
      </c>
      <c r="AZ742" s="5">
        <f>+IFERROR(VLOOKUP(AZ28,'נתוני מים 2014'!$C$2:$L$188,5,0)/1000,0)</f>
        <v>0</v>
      </c>
      <c r="BA742" s="5">
        <f>+IFERROR(VLOOKUP(BA28,'נתוני מים 2014'!$C$2:$L$188,5,0)/1000,0)</f>
        <v>0</v>
      </c>
      <c r="BB742" s="5">
        <f>+IFERROR(VLOOKUP(BB28,'נתוני מים 2014'!$C$2:$L$188,5,0)/1000,0)</f>
        <v>0</v>
      </c>
      <c r="BC742" s="5">
        <f>+IFERROR(VLOOKUP(BC28,'נתוני מים 2014'!$C$2:$L$188,5,0)/1000,0)</f>
        <v>0</v>
      </c>
      <c r="BD742" s="5">
        <f>+IFERROR(VLOOKUP(BD28,'נתוני מים 2014'!$C$2:$L$188,5,0)/1000,0)</f>
        <v>0</v>
      </c>
      <c r="BE742" s="5">
        <f>+IFERROR(VLOOKUP(BE28,'נתוני מים 2014'!$C$2:$L$188,5,0)/1000,0)</f>
        <v>0</v>
      </c>
      <c r="BF742" s="5">
        <f>+IFERROR(VLOOKUP(BF28,'נתוני מים 2014'!$C$2:$L$188,5,0)/1000,0)</f>
        <v>0</v>
      </c>
    </row>
    <row r="743" spans="2:58" x14ac:dyDescent="0.2">
      <c r="B743" s="1">
        <v>22</v>
      </c>
      <c r="C743" s="5">
        <f>+IFERROR(VLOOKUP(C29,'נתוני מים 2014'!$C$2:$L$188,5,0)/1000,0)</f>
        <v>0</v>
      </c>
      <c r="D743" s="5">
        <f>+IFERROR(VLOOKUP(D29,'נתוני מים 2014'!$C$2:$L$188,5,0)/1000,0)</f>
        <v>0</v>
      </c>
      <c r="E743" s="5">
        <f>+IFERROR(VLOOKUP(E29,'נתוני מים 2014'!$C$2:$L$188,5,0)/1000,0)</f>
        <v>0</v>
      </c>
      <c r="F743" s="5">
        <f>+IFERROR(VLOOKUP(F29,'נתוני מים 2014'!$C$2:$L$188,5,0)/1000,0)</f>
        <v>0</v>
      </c>
      <c r="G743" s="5">
        <f>+IFERROR(VLOOKUP(G29,'נתוני מים 2014'!$C$2:$L$188,5,0)/1000,0)</f>
        <v>0</v>
      </c>
      <c r="H743" s="5">
        <f>+IFERROR(VLOOKUP(H29,'נתוני מים 2014'!$C$2:$L$188,5,0)/1000,0)</f>
        <v>0</v>
      </c>
      <c r="I743" s="5">
        <f>+IFERROR(VLOOKUP(I29,'נתוני מים 2014'!$C$2:$L$188,5,0)/1000,0)</f>
        <v>0</v>
      </c>
      <c r="J743" s="5">
        <f>+IFERROR(VLOOKUP(J29,'נתוני מים 2014'!$C$2:$L$188,5,0)/1000,0)</f>
        <v>0</v>
      </c>
      <c r="K743" s="5">
        <f>+IFERROR(VLOOKUP(K29,'נתוני מים 2014'!$C$2:$L$188,5,0)/1000,0)</f>
        <v>0</v>
      </c>
      <c r="L743" s="5">
        <f>+IFERROR(VLOOKUP(L29,'נתוני מים 2014'!$C$2:$L$188,5,0)/1000,0)</f>
        <v>0</v>
      </c>
      <c r="M743" s="5">
        <f>+IFERROR(VLOOKUP(M29,'נתוני מים 2014'!$C$2:$L$188,5,0)/1000,0)</f>
        <v>0</v>
      </c>
      <c r="N743" s="5">
        <f>+IFERROR(VLOOKUP(N29,'נתוני מים 2014'!$C$2:$L$188,5,0)/1000,0)</f>
        <v>0</v>
      </c>
      <c r="O743" s="5">
        <f>+IFERROR(VLOOKUP(O29,'נתוני מים 2014'!$C$2:$L$188,5,0)/1000,0)</f>
        <v>0</v>
      </c>
      <c r="P743" s="5">
        <f>+IFERROR(VLOOKUP(P29,'נתוני מים 2014'!$C$2:$L$188,5,0)/1000,0)</f>
        <v>0</v>
      </c>
      <c r="Q743" s="5">
        <f>+IFERROR(VLOOKUP(Q29,'נתוני מים 2014'!$C$2:$L$188,5,0)/1000,0)</f>
        <v>0</v>
      </c>
      <c r="R743" s="5">
        <f>+IFERROR(VLOOKUP(R29,'נתוני מים 2014'!$C$2:$L$188,5,0)/1000,0)</f>
        <v>0</v>
      </c>
      <c r="S743" s="5">
        <f>+IFERROR(VLOOKUP(S29,'נתוני מים 2014'!$C$2:$L$188,5,0)/1000,0)</f>
        <v>0</v>
      </c>
      <c r="T743" s="5">
        <f>+IFERROR(VLOOKUP(T29,'נתוני מים 2014'!$C$2:$L$188,5,0)/1000,0)</f>
        <v>0</v>
      </c>
      <c r="U743" s="5">
        <f>+IFERROR(VLOOKUP(U29,'נתוני מים 2014'!$C$2:$L$188,5,0)/1000,0)</f>
        <v>0</v>
      </c>
      <c r="V743" s="5">
        <f>+IFERROR(VLOOKUP(V29,'נתוני מים 2014'!$C$2:$L$188,5,0)/1000,0)</f>
        <v>0</v>
      </c>
      <c r="W743" s="5">
        <f>+IFERROR(VLOOKUP(W29,'נתוני מים 2014'!$C$2:$L$188,5,0)/1000,0)</f>
        <v>0</v>
      </c>
      <c r="X743" s="5">
        <f>+IFERROR(VLOOKUP(X29,'נתוני מים 2014'!$C$2:$L$188,5,0)/1000,0)</f>
        <v>0</v>
      </c>
      <c r="Y743" s="5">
        <f>+IFERROR(VLOOKUP(Y29,'נתוני מים 2014'!$C$2:$L$188,5,0)/1000,0)</f>
        <v>0</v>
      </c>
      <c r="Z743" s="5">
        <f>+IFERROR(VLOOKUP(Z29,'נתוני מים 2014'!$C$2:$L$188,5,0)/1000,0)</f>
        <v>0</v>
      </c>
      <c r="AA743" s="5">
        <f>+IFERROR(VLOOKUP(AA29,'נתוני מים 2014'!$C$2:$L$188,5,0)/1000,0)</f>
        <v>0</v>
      </c>
      <c r="AB743" s="5">
        <f>+IFERROR(VLOOKUP(AB29,'נתוני מים 2014'!$C$2:$L$188,5,0)/1000,0)</f>
        <v>0</v>
      </c>
      <c r="AC743" s="5">
        <f>+IFERROR(VLOOKUP(AC29,'נתוני מים 2014'!$C$2:$L$188,5,0)/1000,0)</f>
        <v>0</v>
      </c>
      <c r="AD743" s="5">
        <f>+IFERROR(VLOOKUP(AD29,'נתוני מים 2014'!$C$2:$L$188,5,0)/1000,0)</f>
        <v>0</v>
      </c>
      <c r="AE743" s="5">
        <f>+IFERROR(VLOOKUP(AE29,'נתוני מים 2014'!$C$2:$L$188,5,0)/1000,0)</f>
        <v>0</v>
      </c>
      <c r="AF743" s="5">
        <f>+IFERROR(VLOOKUP(AF29,'נתוני מים 2014'!$C$2:$L$188,5,0)/1000,0)</f>
        <v>0</v>
      </c>
      <c r="AG743" s="5">
        <f>+IFERROR(VLOOKUP(AG29,'נתוני מים 2014'!$C$2:$L$188,5,0)/1000,0)</f>
        <v>0</v>
      </c>
      <c r="AH743" s="5">
        <f>+IFERROR(VLOOKUP(AH29,'נתוני מים 2014'!$C$2:$L$188,5,0)/1000,0)</f>
        <v>0</v>
      </c>
      <c r="AI743" s="5">
        <f>+IFERROR(VLOOKUP(AI29,'נתוני מים 2014'!$C$2:$L$188,5,0)/1000,0)</f>
        <v>0</v>
      </c>
      <c r="AJ743" s="5">
        <f>+IFERROR(VLOOKUP(AJ29,'נתוני מים 2014'!$C$2:$L$188,5,0)/1000,0)</f>
        <v>0</v>
      </c>
      <c r="AK743" s="5">
        <f>+IFERROR(VLOOKUP(AK29,'נתוני מים 2014'!$C$2:$L$188,5,0)/1000,0)</f>
        <v>0</v>
      </c>
      <c r="AL743" s="5">
        <f>+IFERROR(VLOOKUP(AL29,'נתוני מים 2014'!$C$2:$L$188,5,0)/1000,0)</f>
        <v>0</v>
      </c>
      <c r="AM743" s="5">
        <f>+IFERROR(VLOOKUP(AM29,'נתוני מים 2014'!$C$2:$L$188,5,0)/1000,0)</f>
        <v>0</v>
      </c>
      <c r="AN743" s="5">
        <f>+IFERROR(VLOOKUP(AN29,'נתוני מים 2014'!$C$2:$L$188,5,0)/1000,0)</f>
        <v>0</v>
      </c>
      <c r="AO743" s="5">
        <f>+IFERROR(VLOOKUP(AO29,'נתוני מים 2014'!$C$2:$L$188,5,0)/1000,0)</f>
        <v>0</v>
      </c>
      <c r="AP743" s="5">
        <f>+IFERROR(VLOOKUP(AP29,'נתוני מים 2014'!$C$2:$L$188,5,0)/1000,0)</f>
        <v>0</v>
      </c>
      <c r="AQ743" s="5">
        <f>+IFERROR(VLOOKUP(AQ29,'נתוני מים 2014'!$C$2:$L$188,5,0)/1000,0)</f>
        <v>0</v>
      </c>
      <c r="AR743" s="5">
        <f>+IFERROR(VLOOKUP(AR29,'נתוני מים 2014'!$C$2:$L$188,5,0)/1000,0)</f>
        <v>0</v>
      </c>
      <c r="AS743" s="5">
        <f>+IFERROR(VLOOKUP(AS29,'נתוני מים 2014'!$C$2:$L$188,5,0)/1000,0)</f>
        <v>0</v>
      </c>
      <c r="AT743" s="5">
        <f>+IFERROR(VLOOKUP(AT29,'נתוני מים 2014'!$C$2:$L$188,5,0)/1000,0)</f>
        <v>0</v>
      </c>
      <c r="AU743" s="5">
        <f>+IFERROR(VLOOKUP(AU29,'נתוני מים 2014'!$C$2:$L$188,5,0)/1000,0)</f>
        <v>0</v>
      </c>
      <c r="AV743" s="5">
        <f>+IFERROR(VLOOKUP(AV29,'נתוני מים 2014'!$C$2:$L$188,5,0)/1000,0)</f>
        <v>0</v>
      </c>
      <c r="AW743" s="5">
        <f>+IFERROR(VLOOKUP(AW29,'נתוני מים 2014'!$C$2:$L$188,5,0)/1000,0)</f>
        <v>0</v>
      </c>
      <c r="AX743" s="5">
        <f>+IFERROR(VLOOKUP(AX29,'נתוני מים 2014'!$C$2:$L$188,5,0)/1000,0)</f>
        <v>0</v>
      </c>
      <c r="AY743" s="5">
        <f>+IFERROR(VLOOKUP(AY29,'נתוני מים 2014'!$C$2:$L$188,5,0)/1000,0)</f>
        <v>0</v>
      </c>
      <c r="AZ743" s="5">
        <f>+IFERROR(VLOOKUP(AZ29,'נתוני מים 2014'!$C$2:$L$188,5,0)/1000,0)</f>
        <v>0</v>
      </c>
      <c r="BA743" s="5">
        <f>+IFERROR(VLOOKUP(BA29,'נתוני מים 2014'!$C$2:$L$188,5,0)/1000,0)</f>
        <v>0</v>
      </c>
      <c r="BB743" s="5">
        <f>+IFERROR(VLOOKUP(BB29,'נתוני מים 2014'!$C$2:$L$188,5,0)/1000,0)</f>
        <v>0</v>
      </c>
      <c r="BC743" s="5">
        <f>+IFERROR(VLOOKUP(BC29,'נתוני מים 2014'!$C$2:$L$188,5,0)/1000,0)</f>
        <v>0</v>
      </c>
      <c r="BD743" s="5">
        <f>+IFERROR(VLOOKUP(BD29,'נתוני מים 2014'!$C$2:$L$188,5,0)/1000,0)</f>
        <v>0</v>
      </c>
      <c r="BE743" s="5">
        <f>+IFERROR(VLOOKUP(BE29,'נתוני מים 2014'!$C$2:$L$188,5,0)/1000,0)</f>
        <v>0</v>
      </c>
      <c r="BF743" s="5">
        <f>+IFERROR(VLOOKUP(BF29,'נתוני מים 2014'!$C$2:$L$188,5,0)/1000,0)</f>
        <v>0</v>
      </c>
    </row>
    <row r="744" spans="2:58" x14ac:dyDescent="0.2">
      <c r="B744" s="1">
        <v>23</v>
      </c>
      <c r="C744" s="5">
        <f>+IFERROR(VLOOKUP(C30,'נתוני מים 2014'!$C$2:$L$188,5,0)/1000,0)</f>
        <v>0</v>
      </c>
      <c r="D744" s="5">
        <f>+IFERROR(VLOOKUP(D30,'נתוני מים 2014'!$C$2:$L$188,5,0)/1000,0)</f>
        <v>0</v>
      </c>
      <c r="E744" s="5">
        <f>+IFERROR(VLOOKUP(E30,'נתוני מים 2014'!$C$2:$L$188,5,0)/1000,0)</f>
        <v>0</v>
      </c>
      <c r="F744" s="5">
        <f>+IFERROR(VLOOKUP(F30,'נתוני מים 2014'!$C$2:$L$188,5,0)/1000,0)</f>
        <v>0</v>
      </c>
      <c r="G744" s="5">
        <f>+IFERROR(VLOOKUP(G30,'נתוני מים 2014'!$C$2:$L$188,5,0)/1000,0)</f>
        <v>0</v>
      </c>
      <c r="H744" s="5">
        <f>+IFERROR(VLOOKUP(H30,'נתוני מים 2014'!$C$2:$L$188,5,0)/1000,0)</f>
        <v>0</v>
      </c>
      <c r="I744" s="5">
        <f>+IFERROR(VLOOKUP(I30,'נתוני מים 2014'!$C$2:$L$188,5,0)/1000,0)</f>
        <v>0</v>
      </c>
      <c r="J744" s="5">
        <f>+IFERROR(VLOOKUP(J30,'נתוני מים 2014'!$C$2:$L$188,5,0)/1000,0)</f>
        <v>0</v>
      </c>
      <c r="K744" s="5">
        <f>+IFERROR(VLOOKUP(K30,'נתוני מים 2014'!$C$2:$L$188,5,0)/1000,0)</f>
        <v>0</v>
      </c>
      <c r="L744" s="5">
        <f>+IFERROR(VLOOKUP(L30,'נתוני מים 2014'!$C$2:$L$188,5,0)/1000,0)</f>
        <v>0</v>
      </c>
      <c r="M744" s="5">
        <f>+IFERROR(VLOOKUP(M30,'נתוני מים 2014'!$C$2:$L$188,5,0)/1000,0)</f>
        <v>0</v>
      </c>
      <c r="N744" s="5">
        <f>+IFERROR(VLOOKUP(N30,'נתוני מים 2014'!$C$2:$L$188,5,0)/1000,0)</f>
        <v>0</v>
      </c>
      <c r="O744" s="5">
        <f>+IFERROR(VLOOKUP(O30,'נתוני מים 2014'!$C$2:$L$188,5,0)/1000,0)</f>
        <v>0</v>
      </c>
      <c r="P744" s="5">
        <f>+IFERROR(VLOOKUP(P30,'נתוני מים 2014'!$C$2:$L$188,5,0)/1000,0)</f>
        <v>0</v>
      </c>
      <c r="Q744" s="5">
        <f>+IFERROR(VLOOKUP(Q30,'נתוני מים 2014'!$C$2:$L$188,5,0)/1000,0)</f>
        <v>0</v>
      </c>
      <c r="R744" s="5">
        <f>+IFERROR(VLOOKUP(R30,'נתוני מים 2014'!$C$2:$L$188,5,0)/1000,0)</f>
        <v>0</v>
      </c>
      <c r="S744" s="5">
        <f>+IFERROR(VLOOKUP(S30,'נתוני מים 2014'!$C$2:$L$188,5,0)/1000,0)</f>
        <v>0</v>
      </c>
      <c r="T744" s="5">
        <f>+IFERROR(VLOOKUP(T30,'נתוני מים 2014'!$C$2:$L$188,5,0)/1000,0)</f>
        <v>0</v>
      </c>
      <c r="U744" s="5">
        <f>+IFERROR(VLOOKUP(U30,'נתוני מים 2014'!$C$2:$L$188,5,0)/1000,0)</f>
        <v>0</v>
      </c>
      <c r="V744" s="5">
        <f>+IFERROR(VLOOKUP(V30,'נתוני מים 2014'!$C$2:$L$188,5,0)/1000,0)</f>
        <v>0</v>
      </c>
      <c r="W744" s="5">
        <f>+IFERROR(VLOOKUP(W30,'נתוני מים 2014'!$C$2:$L$188,5,0)/1000,0)</f>
        <v>0</v>
      </c>
      <c r="X744" s="5">
        <f>+IFERROR(VLOOKUP(X30,'נתוני מים 2014'!$C$2:$L$188,5,0)/1000,0)</f>
        <v>0</v>
      </c>
      <c r="Y744" s="5">
        <f>+IFERROR(VLOOKUP(Y30,'נתוני מים 2014'!$C$2:$L$188,5,0)/1000,0)</f>
        <v>0</v>
      </c>
      <c r="Z744" s="5">
        <f>+IFERROR(VLOOKUP(Z30,'נתוני מים 2014'!$C$2:$L$188,5,0)/1000,0)</f>
        <v>0</v>
      </c>
      <c r="AA744" s="5">
        <f>+IFERROR(VLOOKUP(AA30,'נתוני מים 2014'!$C$2:$L$188,5,0)/1000,0)</f>
        <v>0</v>
      </c>
      <c r="AB744" s="5">
        <f>+IFERROR(VLOOKUP(AB30,'נתוני מים 2014'!$C$2:$L$188,5,0)/1000,0)</f>
        <v>0</v>
      </c>
      <c r="AC744" s="5">
        <f>+IFERROR(VLOOKUP(AC30,'נתוני מים 2014'!$C$2:$L$188,5,0)/1000,0)</f>
        <v>0</v>
      </c>
      <c r="AD744" s="5">
        <f>+IFERROR(VLOOKUP(AD30,'נתוני מים 2014'!$C$2:$L$188,5,0)/1000,0)</f>
        <v>0</v>
      </c>
      <c r="AE744" s="5">
        <f>+IFERROR(VLOOKUP(AE30,'נתוני מים 2014'!$C$2:$L$188,5,0)/1000,0)</f>
        <v>0</v>
      </c>
      <c r="AF744" s="5">
        <f>+IFERROR(VLOOKUP(AF30,'נתוני מים 2014'!$C$2:$L$188,5,0)/1000,0)</f>
        <v>0</v>
      </c>
      <c r="AG744" s="5">
        <f>+IFERROR(VLOOKUP(AG30,'נתוני מים 2014'!$C$2:$L$188,5,0)/1000,0)</f>
        <v>0</v>
      </c>
      <c r="AH744" s="5">
        <f>+IFERROR(VLOOKUP(AH30,'נתוני מים 2014'!$C$2:$L$188,5,0)/1000,0)</f>
        <v>0</v>
      </c>
      <c r="AI744" s="5">
        <f>+IFERROR(VLOOKUP(AI30,'נתוני מים 2014'!$C$2:$L$188,5,0)/1000,0)</f>
        <v>0</v>
      </c>
      <c r="AJ744" s="5">
        <f>+IFERROR(VLOOKUP(AJ30,'נתוני מים 2014'!$C$2:$L$188,5,0)/1000,0)</f>
        <v>0</v>
      </c>
      <c r="AK744" s="5">
        <f>+IFERROR(VLOOKUP(AK30,'נתוני מים 2014'!$C$2:$L$188,5,0)/1000,0)</f>
        <v>0</v>
      </c>
      <c r="AL744" s="5">
        <f>+IFERROR(VLOOKUP(AL30,'נתוני מים 2014'!$C$2:$L$188,5,0)/1000,0)</f>
        <v>0</v>
      </c>
      <c r="AM744" s="5">
        <f>+IFERROR(VLOOKUP(AM30,'נתוני מים 2014'!$C$2:$L$188,5,0)/1000,0)</f>
        <v>0</v>
      </c>
      <c r="AN744" s="5">
        <f>+IFERROR(VLOOKUP(AN30,'נתוני מים 2014'!$C$2:$L$188,5,0)/1000,0)</f>
        <v>0</v>
      </c>
      <c r="AO744" s="5">
        <f>+IFERROR(VLOOKUP(AO30,'נתוני מים 2014'!$C$2:$L$188,5,0)/1000,0)</f>
        <v>0</v>
      </c>
      <c r="AP744" s="5">
        <f>+IFERROR(VLOOKUP(AP30,'נתוני מים 2014'!$C$2:$L$188,5,0)/1000,0)</f>
        <v>0</v>
      </c>
      <c r="AQ744" s="5">
        <f>+IFERROR(VLOOKUP(AQ30,'נתוני מים 2014'!$C$2:$L$188,5,0)/1000,0)</f>
        <v>0</v>
      </c>
      <c r="AR744" s="5">
        <f>+IFERROR(VLOOKUP(AR30,'נתוני מים 2014'!$C$2:$L$188,5,0)/1000,0)</f>
        <v>0</v>
      </c>
      <c r="AS744" s="5">
        <f>+IFERROR(VLOOKUP(AS30,'נתוני מים 2014'!$C$2:$L$188,5,0)/1000,0)</f>
        <v>0</v>
      </c>
      <c r="AT744" s="5">
        <f>+IFERROR(VLOOKUP(AT30,'נתוני מים 2014'!$C$2:$L$188,5,0)/1000,0)</f>
        <v>0</v>
      </c>
      <c r="AU744" s="5">
        <f>+IFERROR(VLOOKUP(AU30,'נתוני מים 2014'!$C$2:$L$188,5,0)/1000,0)</f>
        <v>0</v>
      </c>
      <c r="AV744" s="5">
        <f>+IFERROR(VLOOKUP(AV30,'נתוני מים 2014'!$C$2:$L$188,5,0)/1000,0)</f>
        <v>0</v>
      </c>
      <c r="AW744" s="5">
        <f>+IFERROR(VLOOKUP(AW30,'נתוני מים 2014'!$C$2:$L$188,5,0)/1000,0)</f>
        <v>0</v>
      </c>
      <c r="AX744" s="5">
        <f>+IFERROR(VLOOKUP(AX30,'נתוני מים 2014'!$C$2:$L$188,5,0)/1000,0)</f>
        <v>0</v>
      </c>
      <c r="AY744" s="5">
        <f>+IFERROR(VLOOKUP(AY30,'נתוני מים 2014'!$C$2:$L$188,5,0)/1000,0)</f>
        <v>0</v>
      </c>
      <c r="AZ744" s="5">
        <f>+IFERROR(VLOOKUP(AZ30,'נתוני מים 2014'!$C$2:$L$188,5,0)/1000,0)</f>
        <v>0</v>
      </c>
      <c r="BA744" s="5">
        <f>+IFERROR(VLOOKUP(BA30,'נתוני מים 2014'!$C$2:$L$188,5,0)/1000,0)</f>
        <v>0</v>
      </c>
      <c r="BB744" s="5">
        <f>+IFERROR(VLOOKUP(BB30,'נתוני מים 2014'!$C$2:$L$188,5,0)/1000,0)</f>
        <v>0</v>
      </c>
      <c r="BC744" s="5">
        <f>+IFERROR(VLOOKUP(BC30,'נתוני מים 2014'!$C$2:$L$188,5,0)/1000,0)</f>
        <v>0</v>
      </c>
      <c r="BD744" s="5">
        <f>+IFERROR(VLOOKUP(BD30,'נתוני מים 2014'!$C$2:$L$188,5,0)/1000,0)</f>
        <v>0</v>
      </c>
      <c r="BE744" s="5">
        <f>+IFERROR(VLOOKUP(BE30,'נתוני מים 2014'!$C$2:$L$188,5,0)/1000,0)</f>
        <v>0</v>
      </c>
      <c r="BF744" s="5">
        <f>+IFERROR(VLOOKUP(BF30,'נתוני מים 2014'!$C$2:$L$188,5,0)/1000,0)</f>
        <v>0</v>
      </c>
    </row>
    <row r="745" spans="2:58" x14ac:dyDescent="0.2">
      <c r="B745" s="1">
        <v>24</v>
      </c>
      <c r="C745" s="5">
        <f>+IFERROR(VLOOKUP(C31,'נתוני מים 2014'!$C$2:$L$188,5,0)/1000,0)</f>
        <v>0</v>
      </c>
      <c r="D745" s="5">
        <f>+IFERROR(VLOOKUP(D31,'נתוני מים 2014'!$C$2:$L$188,5,0)/1000,0)</f>
        <v>0</v>
      </c>
      <c r="E745" s="5">
        <f>+IFERROR(VLOOKUP(E31,'נתוני מים 2014'!$C$2:$L$188,5,0)/1000,0)</f>
        <v>0</v>
      </c>
      <c r="F745" s="5">
        <f>+IFERROR(VLOOKUP(F31,'נתוני מים 2014'!$C$2:$L$188,5,0)/1000,0)</f>
        <v>0</v>
      </c>
      <c r="G745" s="5">
        <f>+IFERROR(VLOOKUP(G31,'נתוני מים 2014'!$C$2:$L$188,5,0)/1000,0)</f>
        <v>0</v>
      </c>
      <c r="H745" s="5">
        <f>+IFERROR(VLOOKUP(H31,'נתוני מים 2014'!$C$2:$L$188,5,0)/1000,0)</f>
        <v>0</v>
      </c>
      <c r="I745" s="5">
        <f>+IFERROR(VLOOKUP(I31,'נתוני מים 2014'!$C$2:$L$188,5,0)/1000,0)</f>
        <v>0</v>
      </c>
      <c r="J745" s="5">
        <f>+IFERROR(VLOOKUP(J31,'נתוני מים 2014'!$C$2:$L$188,5,0)/1000,0)</f>
        <v>0</v>
      </c>
      <c r="K745" s="5">
        <f>+IFERROR(VLOOKUP(K31,'נתוני מים 2014'!$C$2:$L$188,5,0)/1000,0)</f>
        <v>0</v>
      </c>
      <c r="L745" s="5">
        <f>+IFERROR(VLOOKUP(L31,'נתוני מים 2014'!$C$2:$L$188,5,0)/1000,0)</f>
        <v>0</v>
      </c>
      <c r="M745" s="5">
        <f>+IFERROR(VLOOKUP(M31,'נתוני מים 2014'!$C$2:$L$188,5,0)/1000,0)</f>
        <v>0</v>
      </c>
      <c r="N745" s="5">
        <f>+IFERROR(VLOOKUP(N31,'נתוני מים 2014'!$C$2:$L$188,5,0)/1000,0)</f>
        <v>0</v>
      </c>
      <c r="O745" s="5">
        <f>+IFERROR(VLOOKUP(O31,'נתוני מים 2014'!$C$2:$L$188,5,0)/1000,0)</f>
        <v>0</v>
      </c>
      <c r="P745" s="5">
        <f>+IFERROR(VLOOKUP(P31,'נתוני מים 2014'!$C$2:$L$188,5,0)/1000,0)</f>
        <v>0</v>
      </c>
      <c r="Q745" s="5">
        <f>+IFERROR(VLOOKUP(Q31,'נתוני מים 2014'!$C$2:$L$188,5,0)/1000,0)</f>
        <v>0</v>
      </c>
      <c r="R745" s="5">
        <f>+IFERROR(VLOOKUP(R31,'נתוני מים 2014'!$C$2:$L$188,5,0)/1000,0)</f>
        <v>0</v>
      </c>
      <c r="S745" s="5">
        <f>+IFERROR(VLOOKUP(S31,'נתוני מים 2014'!$C$2:$L$188,5,0)/1000,0)</f>
        <v>0</v>
      </c>
      <c r="T745" s="5">
        <f>+IFERROR(VLOOKUP(T31,'נתוני מים 2014'!$C$2:$L$188,5,0)/1000,0)</f>
        <v>0</v>
      </c>
      <c r="U745" s="5">
        <f>+IFERROR(VLOOKUP(U31,'נתוני מים 2014'!$C$2:$L$188,5,0)/1000,0)</f>
        <v>0</v>
      </c>
      <c r="V745" s="5">
        <f>+IFERROR(VLOOKUP(V31,'נתוני מים 2014'!$C$2:$L$188,5,0)/1000,0)</f>
        <v>0</v>
      </c>
      <c r="W745" s="5">
        <f>+IFERROR(VLOOKUP(W31,'נתוני מים 2014'!$C$2:$L$188,5,0)/1000,0)</f>
        <v>0</v>
      </c>
      <c r="X745" s="5">
        <f>+IFERROR(VLOOKUP(X31,'נתוני מים 2014'!$C$2:$L$188,5,0)/1000,0)</f>
        <v>0</v>
      </c>
      <c r="Y745" s="5">
        <f>+IFERROR(VLOOKUP(Y31,'נתוני מים 2014'!$C$2:$L$188,5,0)/1000,0)</f>
        <v>0</v>
      </c>
      <c r="Z745" s="5">
        <f>+IFERROR(VLOOKUP(Z31,'נתוני מים 2014'!$C$2:$L$188,5,0)/1000,0)</f>
        <v>0</v>
      </c>
      <c r="AA745" s="5">
        <f>+IFERROR(VLOOKUP(AA31,'נתוני מים 2014'!$C$2:$L$188,5,0)/1000,0)</f>
        <v>0</v>
      </c>
      <c r="AB745" s="5">
        <f>+IFERROR(VLOOKUP(AB31,'נתוני מים 2014'!$C$2:$L$188,5,0)/1000,0)</f>
        <v>0</v>
      </c>
      <c r="AC745" s="5">
        <f>+IFERROR(VLOOKUP(AC31,'נתוני מים 2014'!$C$2:$L$188,5,0)/1000,0)</f>
        <v>0</v>
      </c>
      <c r="AD745" s="5">
        <f>+IFERROR(VLOOKUP(AD31,'נתוני מים 2014'!$C$2:$L$188,5,0)/1000,0)</f>
        <v>0</v>
      </c>
      <c r="AE745" s="5">
        <f>+IFERROR(VLOOKUP(AE31,'נתוני מים 2014'!$C$2:$L$188,5,0)/1000,0)</f>
        <v>0</v>
      </c>
      <c r="AF745" s="5">
        <f>+IFERROR(VLOOKUP(AF31,'נתוני מים 2014'!$C$2:$L$188,5,0)/1000,0)</f>
        <v>0</v>
      </c>
      <c r="AG745" s="5">
        <f>+IFERROR(VLOOKUP(AG31,'נתוני מים 2014'!$C$2:$L$188,5,0)/1000,0)</f>
        <v>0</v>
      </c>
      <c r="AH745" s="5">
        <f>+IFERROR(VLOOKUP(AH31,'נתוני מים 2014'!$C$2:$L$188,5,0)/1000,0)</f>
        <v>0</v>
      </c>
      <c r="AI745" s="5">
        <f>+IFERROR(VLOOKUP(AI31,'נתוני מים 2014'!$C$2:$L$188,5,0)/1000,0)</f>
        <v>0</v>
      </c>
      <c r="AJ745" s="5">
        <f>+IFERROR(VLOOKUP(AJ31,'נתוני מים 2014'!$C$2:$L$188,5,0)/1000,0)</f>
        <v>0</v>
      </c>
      <c r="AK745" s="5">
        <f>+IFERROR(VLOOKUP(AK31,'נתוני מים 2014'!$C$2:$L$188,5,0)/1000,0)</f>
        <v>0</v>
      </c>
      <c r="AL745" s="5">
        <f>+IFERROR(VLOOKUP(AL31,'נתוני מים 2014'!$C$2:$L$188,5,0)/1000,0)</f>
        <v>0</v>
      </c>
      <c r="AM745" s="5">
        <f>+IFERROR(VLOOKUP(AM31,'נתוני מים 2014'!$C$2:$L$188,5,0)/1000,0)</f>
        <v>0</v>
      </c>
      <c r="AN745" s="5">
        <f>+IFERROR(VLOOKUP(AN31,'נתוני מים 2014'!$C$2:$L$188,5,0)/1000,0)</f>
        <v>0</v>
      </c>
      <c r="AO745" s="5">
        <f>+IFERROR(VLOOKUP(AO31,'נתוני מים 2014'!$C$2:$L$188,5,0)/1000,0)</f>
        <v>0</v>
      </c>
      <c r="AP745" s="5">
        <f>+IFERROR(VLOOKUP(AP31,'נתוני מים 2014'!$C$2:$L$188,5,0)/1000,0)</f>
        <v>0</v>
      </c>
      <c r="AQ745" s="5">
        <f>+IFERROR(VLOOKUP(AQ31,'נתוני מים 2014'!$C$2:$L$188,5,0)/1000,0)</f>
        <v>0</v>
      </c>
      <c r="AR745" s="5">
        <f>+IFERROR(VLOOKUP(AR31,'נתוני מים 2014'!$C$2:$L$188,5,0)/1000,0)</f>
        <v>0</v>
      </c>
      <c r="AS745" s="5">
        <f>+IFERROR(VLOOKUP(AS31,'נתוני מים 2014'!$C$2:$L$188,5,0)/1000,0)</f>
        <v>0</v>
      </c>
      <c r="AT745" s="5">
        <f>+IFERROR(VLOOKUP(AT31,'נתוני מים 2014'!$C$2:$L$188,5,0)/1000,0)</f>
        <v>0</v>
      </c>
      <c r="AU745" s="5">
        <f>+IFERROR(VLOOKUP(AU31,'נתוני מים 2014'!$C$2:$L$188,5,0)/1000,0)</f>
        <v>0</v>
      </c>
      <c r="AV745" s="5">
        <f>+IFERROR(VLOOKUP(AV31,'נתוני מים 2014'!$C$2:$L$188,5,0)/1000,0)</f>
        <v>0</v>
      </c>
      <c r="AW745" s="5">
        <f>+IFERROR(VLOOKUP(AW31,'נתוני מים 2014'!$C$2:$L$188,5,0)/1000,0)</f>
        <v>0</v>
      </c>
      <c r="AX745" s="5">
        <f>+IFERROR(VLOOKUP(AX31,'נתוני מים 2014'!$C$2:$L$188,5,0)/1000,0)</f>
        <v>0</v>
      </c>
      <c r="AY745" s="5">
        <f>+IFERROR(VLOOKUP(AY31,'נתוני מים 2014'!$C$2:$L$188,5,0)/1000,0)</f>
        <v>0</v>
      </c>
      <c r="AZ745" s="5">
        <f>+IFERROR(VLOOKUP(AZ31,'נתוני מים 2014'!$C$2:$L$188,5,0)/1000,0)</f>
        <v>0</v>
      </c>
      <c r="BA745" s="5">
        <f>+IFERROR(VLOOKUP(BA31,'נתוני מים 2014'!$C$2:$L$188,5,0)/1000,0)</f>
        <v>0</v>
      </c>
      <c r="BB745" s="5">
        <f>+IFERROR(VLOOKUP(BB31,'נתוני מים 2014'!$C$2:$L$188,5,0)/1000,0)</f>
        <v>0</v>
      </c>
      <c r="BC745" s="5">
        <f>+IFERROR(VLOOKUP(BC31,'נתוני מים 2014'!$C$2:$L$188,5,0)/1000,0)</f>
        <v>0</v>
      </c>
      <c r="BD745" s="5">
        <f>+IFERROR(VLOOKUP(BD31,'נתוני מים 2014'!$C$2:$L$188,5,0)/1000,0)</f>
        <v>0</v>
      </c>
      <c r="BE745" s="5">
        <f>+IFERROR(VLOOKUP(BE31,'נתוני מים 2014'!$C$2:$L$188,5,0)/1000,0)</f>
        <v>0</v>
      </c>
      <c r="BF745" s="5">
        <f>+IFERROR(VLOOKUP(BF31,'נתוני מים 2014'!$C$2:$L$188,5,0)/1000,0)</f>
        <v>0</v>
      </c>
    </row>
    <row r="746" spans="2:58" x14ac:dyDescent="0.2">
      <c r="B746" s="1">
        <v>25</v>
      </c>
      <c r="C746" s="5">
        <f>+IFERROR(VLOOKUP(C32,'נתוני מים 2014'!$C$2:$L$188,5,0)/1000,0)</f>
        <v>0</v>
      </c>
      <c r="D746" s="5">
        <f>+IFERROR(VLOOKUP(D32,'נתוני מים 2014'!$C$2:$L$188,5,0)/1000,0)</f>
        <v>0</v>
      </c>
      <c r="E746" s="5">
        <f>+IFERROR(VLOOKUP(E32,'נתוני מים 2014'!$C$2:$L$188,5,0)/1000,0)</f>
        <v>0</v>
      </c>
      <c r="F746" s="5">
        <f>+IFERROR(VLOOKUP(F32,'נתוני מים 2014'!$C$2:$L$188,5,0)/1000,0)</f>
        <v>0</v>
      </c>
      <c r="G746" s="5">
        <f>+IFERROR(VLOOKUP(G32,'נתוני מים 2014'!$C$2:$L$188,5,0)/1000,0)</f>
        <v>0</v>
      </c>
      <c r="H746" s="5">
        <f>+IFERROR(VLOOKUP(H32,'נתוני מים 2014'!$C$2:$L$188,5,0)/1000,0)</f>
        <v>0</v>
      </c>
      <c r="I746" s="5">
        <f>+IFERROR(VLOOKUP(I32,'נתוני מים 2014'!$C$2:$L$188,5,0)/1000,0)</f>
        <v>0</v>
      </c>
      <c r="J746" s="5">
        <f>+IFERROR(VLOOKUP(J32,'נתוני מים 2014'!$C$2:$L$188,5,0)/1000,0)</f>
        <v>0</v>
      </c>
      <c r="K746" s="5">
        <f>+IFERROR(VLOOKUP(K32,'נתוני מים 2014'!$C$2:$L$188,5,0)/1000,0)</f>
        <v>0</v>
      </c>
      <c r="L746" s="5">
        <f>+IFERROR(VLOOKUP(L32,'נתוני מים 2014'!$C$2:$L$188,5,0)/1000,0)</f>
        <v>0</v>
      </c>
      <c r="M746" s="5">
        <f>+IFERROR(VLOOKUP(M32,'נתוני מים 2014'!$C$2:$L$188,5,0)/1000,0)</f>
        <v>0</v>
      </c>
      <c r="N746" s="5">
        <f>+IFERROR(VLOOKUP(N32,'נתוני מים 2014'!$C$2:$L$188,5,0)/1000,0)</f>
        <v>0</v>
      </c>
      <c r="O746" s="5">
        <f>+IFERROR(VLOOKUP(O32,'נתוני מים 2014'!$C$2:$L$188,5,0)/1000,0)</f>
        <v>0</v>
      </c>
      <c r="P746" s="5">
        <f>+IFERROR(VLOOKUP(P32,'נתוני מים 2014'!$C$2:$L$188,5,0)/1000,0)</f>
        <v>0</v>
      </c>
      <c r="Q746" s="5">
        <f>+IFERROR(VLOOKUP(Q32,'נתוני מים 2014'!$C$2:$L$188,5,0)/1000,0)</f>
        <v>0</v>
      </c>
      <c r="R746" s="5">
        <f>+IFERROR(VLOOKUP(R32,'נתוני מים 2014'!$C$2:$L$188,5,0)/1000,0)</f>
        <v>0</v>
      </c>
      <c r="S746" s="5">
        <f>+IFERROR(VLOOKUP(S32,'נתוני מים 2014'!$C$2:$L$188,5,0)/1000,0)</f>
        <v>0</v>
      </c>
      <c r="T746" s="5">
        <f>+IFERROR(VLOOKUP(T32,'נתוני מים 2014'!$C$2:$L$188,5,0)/1000,0)</f>
        <v>0</v>
      </c>
      <c r="U746" s="5">
        <f>+IFERROR(VLOOKUP(U32,'נתוני מים 2014'!$C$2:$L$188,5,0)/1000,0)</f>
        <v>0</v>
      </c>
      <c r="V746" s="5">
        <f>+IFERROR(VLOOKUP(V32,'נתוני מים 2014'!$C$2:$L$188,5,0)/1000,0)</f>
        <v>0</v>
      </c>
      <c r="W746" s="5">
        <f>+IFERROR(VLOOKUP(W32,'נתוני מים 2014'!$C$2:$L$188,5,0)/1000,0)</f>
        <v>0</v>
      </c>
      <c r="X746" s="5">
        <f>+IFERROR(VLOOKUP(X32,'נתוני מים 2014'!$C$2:$L$188,5,0)/1000,0)</f>
        <v>0</v>
      </c>
      <c r="Y746" s="5">
        <f>+IFERROR(VLOOKUP(Y32,'נתוני מים 2014'!$C$2:$L$188,5,0)/1000,0)</f>
        <v>0</v>
      </c>
      <c r="Z746" s="5">
        <f>+IFERROR(VLOOKUP(Z32,'נתוני מים 2014'!$C$2:$L$188,5,0)/1000,0)</f>
        <v>0</v>
      </c>
      <c r="AA746" s="5">
        <f>+IFERROR(VLOOKUP(AA32,'נתוני מים 2014'!$C$2:$L$188,5,0)/1000,0)</f>
        <v>0</v>
      </c>
      <c r="AB746" s="5">
        <f>+IFERROR(VLOOKUP(AB32,'נתוני מים 2014'!$C$2:$L$188,5,0)/1000,0)</f>
        <v>0</v>
      </c>
      <c r="AC746" s="5">
        <f>+IFERROR(VLOOKUP(AC32,'נתוני מים 2014'!$C$2:$L$188,5,0)/1000,0)</f>
        <v>0</v>
      </c>
      <c r="AD746" s="5">
        <f>+IFERROR(VLOOKUP(AD32,'נתוני מים 2014'!$C$2:$L$188,5,0)/1000,0)</f>
        <v>0</v>
      </c>
      <c r="AE746" s="5">
        <f>+IFERROR(VLOOKUP(AE32,'נתוני מים 2014'!$C$2:$L$188,5,0)/1000,0)</f>
        <v>0</v>
      </c>
      <c r="AF746" s="5">
        <f>+IFERROR(VLOOKUP(AF32,'נתוני מים 2014'!$C$2:$L$188,5,0)/1000,0)</f>
        <v>0</v>
      </c>
      <c r="AG746" s="5">
        <f>+IFERROR(VLOOKUP(AG32,'נתוני מים 2014'!$C$2:$L$188,5,0)/1000,0)</f>
        <v>0</v>
      </c>
      <c r="AH746" s="5">
        <f>+IFERROR(VLOOKUP(AH32,'נתוני מים 2014'!$C$2:$L$188,5,0)/1000,0)</f>
        <v>0</v>
      </c>
      <c r="AI746" s="5">
        <f>+IFERROR(VLOOKUP(AI32,'נתוני מים 2014'!$C$2:$L$188,5,0)/1000,0)</f>
        <v>0</v>
      </c>
      <c r="AJ746" s="5">
        <f>+IFERROR(VLOOKUP(AJ32,'נתוני מים 2014'!$C$2:$L$188,5,0)/1000,0)</f>
        <v>0</v>
      </c>
      <c r="AK746" s="5">
        <f>+IFERROR(VLOOKUP(AK32,'נתוני מים 2014'!$C$2:$L$188,5,0)/1000,0)</f>
        <v>0</v>
      </c>
      <c r="AL746" s="5">
        <f>+IFERROR(VLOOKUP(AL32,'נתוני מים 2014'!$C$2:$L$188,5,0)/1000,0)</f>
        <v>0</v>
      </c>
      <c r="AM746" s="5">
        <f>+IFERROR(VLOOKUP(AM32,'נתוני מים 2014'!$C$2:$L$188,5,0)/1000,0)</f>
        <v>0</v>
      </c>
      <c r="AN746" s="5">
        <f>+IFERROR(VLOOKUP(AN32,'נתוני מים 2014'!$C$2:$L$188,5,0)/1000,0)</f>
        <v>0</v>
      </c>
      <c r="AO746" s="5">
        <f>+IFERROR(VLOOKUP(AO32,'נתוני מים 2014'!$C$2:$L$188,5,0)/1000,0)</f>
        <v>0</v>
      </c>
      <c r="AP746" s="5">
        <f>+IFERROR(VLOOKUP(AP32,'נתוני מים 2014'!$C$2:$L$188,5,0)/1000,0)</f>
        <v>0</v>
      </c>
      <c r="AQ746" s="5">
        <f>+IFERROR(VLOOKUP(AQ32,'נתוני מים 2014'!$C$2:$L$188,5,0)/1000,0)</f>
        <v>0</v>
      </c>
      <c r="AR746" s="5">
        <f>+IFERROR(VLOOKUP(AR32,'נתוני מים 2014'!$C$2:$L$188,5,0)/1000,0)</f>
        <v>0</v>
      </c>
      <c r="AS746" s="5">
        <f>+IFERROR(VLOOKUP(AS32,'נתוני מים 2014'!$C$2:$L$188,5,0)/1000,0)</f>
        <v>0</v>
      </c>
      <c r="AT746" s="5">
        <f>+IFERROR(VLOOKUP(AT32,'נתוני מים 2014'!$C$2:$L$188,5,0)/1000,0)</f>
        <v>0</v>
      </c>
      <c r="AU746" s="5">
        <f>+IFERROR(VLOOKUP(AU32,'נתוני מים 2014'!$C$2:$L$188,5,0)/1000,0)</f>
        <v>0</v>
      </c>
      <c r="AV746" s="5">
        <f>+IFERROR(VLOOKUP(AV32,'נתוני מים 2014'!$C$2:$L$188,5,0)/1000,0)</f>
        <v>0</v>
      </c>
      <c r="AW746" s="5">
        <f>+IFERROR(VLOOKUP(AW32,'נתוני מים 2014'!$C$2:$L$188,5,0)/1000,0)</f>
        <v>0</v>
      </c>
      <c r="AX746" s="5">
        <f>+IFERROR(VLOOKUP(AX32,'נתוני מים 2014'!$C$2:$L$188,5,0)/1000,0)</f>
        <v>0</v>
      </c>
      <c r="AY746" s="5">
        <f>+IFERROR(VLOOKUP(AY32,'נתוני מים 2014'!$C$2:$L$188,5,0)/1000,0)</f>
        <v>0</v>
      </c>
      <c r="AZ746" s="5">
        <f>+IFERROR(VLOOKUP(AZ32,'נתוני מים 2014'!$C$2:$L$188,5,0)/1000,0)</f>
        <v>0</v>
      </c>
      <c r="BA746" s="5">
        <f>+IFERROR(VLOOKUP(BA32,'נתוני מים 2014'!$C$2:$L$188,5,0)/1000,0)</f>
        <v>0</v>
      </c>
      <c r="BB746" s="5">
        <f>+IFERROR(VLOOKUP(BB32,'נתוני מים 2014'!$C$2:$L$188,5,0)/1000,0)</f>
        <v>0</v>
      </c>
      <c r="BC746" s="5">
        <f>+IFERROR(VLOOKUP(BC32,'נתוני מים 2014'!$C$2:$L$188,5,0)/1000,0)</f>
        <v>0</v>
      </c>
      <c r="BD746" s="5">
        <f>+IFERROR(VLOOKUP(BD32,'נתוני מים 2014'!$C$2:$L$188,5,0)/1000,0)</f>
        <v>0</v>
      </c>
      <c r="BE746" s="5">
        <f>+IFERROR(VLOOKUP(BE32,'נתוני מים 2014'!$C$2:$L$188,5,0)/1000,0)</f>
        <v>0</v>
      </c>
      <c r="BF746" s="5">
        <f>+IFERROR(VLOOKUP(BF32,'נתוני מים 2014'!$C$2:$L$188,5,0)/1000,0)</f>
        <v>0</v>
      </c>
    </row>
    <row r="747" spans="2:58" x14ac:dyDescent="0.2">
      <c r="B747" s="1">
        <v>26</v>
      </c>
      <c r="C747" s="5">
        <f>+IFERROR(VLOOKUP(C33,'נתוני מים 2014'!$C$2:$L$188,5,0)/1000,0)</f>
        <v>0</v>
      </c>
      <c r="D747" s="5">
        <f>+IFERROR(VLOOKUP(D33,'נתוני מים 2014'!$C$2:$L$188,5,0)/1000,0)</f>
        <v>0</v>
      </c>
      <c r="E747" s="5">
        <f>+IFERROR(VLOOKUP(E33,'נתוני מים 2014'!$C$2:$L$188,5,0)/1000,0)</f>
        <v>0</v>
      </c>
      <c r="F747" s="5">
        <f>+IFERROR(VLOOKUP(F33,'נתוני מים 2014'!$C$2:$L$188,5,0)/1000,0)</f>
        <v>0</v>
      </c>
      <c r="G747" s="5">
        <f>+IFERROR(VLOOKUP(G33,'נתוני מים 2014'!$C$2:$L$188,5,0)/1000,0)</f>
        <v>0</v>
      </c>
      <c r="H747" s="5">
        <f>+IFERROR(VLOOKUP(H33,'נתוני מים 2014'!$C$2:$L$188,5,0)/1000,0)</f>
        <v>0</v>
      </c>
      <c r="I747" s="5">
        <f>+IFERROR(VLOOKUP(I33,'נתוני מים 2014'!$C$2:$L$188,5,0)/1000,0)</f>
        <v>0</v>
      </c>
      <c r="J747" s="5">
        <f>+IFERROR(VLOOKUP(J33,'נתוני מים 2014'!$C$2:$L$188,5,0)/1000,0)</f>
        <v>0</v>
      </c>
      <c r="K747" s="5">
        <f>+IFERROR(VLOOKUP(K33,'נתוני מים 2014'!$C$2:$L$188,5,0)/1000,0)</f>
        <v>0</v>
      </c>
      <c r="L747" s="5">
        <f>+IFERROR(VLOOKUP(L33,'נתוני מים 2014'!$C$2:$L$188,5,0)/1000,0)</f>
        <v>0</v>
      </c>
      <c r="M747" s="5">
        <f>+IFERROR(VLOOKUP(M33,'נתוני מים 2014'!$C$2:$L$188,5,0)/1000,0)</f>
        <v>0</v>
      </c>
      <c r="N747" s="5">
        <f>+IFERROR(VLOOKUP(N33,'נתוני מים 2014'!$C$2:$L$188,5,0)/1000,0)</f>
        <v>0</v>
      </c>
      <c r="O747" s="5">
        <f>+IFERROR(VLOOKUP(O33,'נתוני מים 2014'!$C$2:$L$188,5,0)/1000,0)</f>
        <v>0</v>
      </c>
      <c r="P747" s="5">
        <f>+IFERROR(VLOOKUP(P33,'נתוני מים 2014'!$C$2:$L$188,5,0)/1000,0)</f>
        <v>0</v>
      </c>
      <c r="Q747" s="5">
        <f>+IFERROR(VLOOKUP(Q33,'נתוני מים 2014'!$C$2:$L$188,5,0)/1000,0)</f>
        <v>0</v>
      </c>
      <c r="R747" s="5">
        <f>+IFERROR(VLOOKUP(R33,'נתוני מים 2014'!$C$2:$L$188,5,0)/1000,0)</f>
        <v>0</v>
      </c>
      <c r="S747" s="5">
        <f>+IFERROR(VLOOKUP(S33,'נתוני מים 2014'!$C$2:$L$188,5,0)/1000,0)</f>
        <v>0</v>
      </c>
      <c r="T747" s="5">
        <f>+IFERROR(VLOOKUP(T33,'נתוני מים 2014'!$C$2:$L$188,5,0)/1000,0)</f>
        <v>0</v>
      </c>
      <c r="U747" s="5">
        <f>+IFERROR(VLOOKUP(U33,'נתוני מים 2014'!$C$2:$L$188,5,0)/1000,0)</f>
        <v>0</v>
      </c>
      <c r="V747" s="5">
        <f>+IFERROR(VLOOKUP(V33,'נתוני מים 2014'!$C$2:$L$188,5,0)/1000,0)</f>
        <v>0</v>
      </c>
      <c r="W747" s="5">
        <f>+IFERROR(VLOOKUP(W33,'נתוני מים 2014'!$C$2:$L$188,5,0)/1000,0)</f>
        <v>0</v>
      </c>
      <c r="X747" s="5">
        <f>+IFERROR(VLOOKUP(X33,'נתוני מים 2014'!$C$2:$L$188,5,0)/1000,0)</f>
        <v>0</v>
      </c>
      <c r="Y747" s="5">
        <f>+IFERROR(VLOOKUP(Y33,'נתוני מים 2014'!$C$2:$L$188,5,0)/1000,0)</f>
        <v>0</v>
      </c>
      <c r="Z747" s="5">
        <f>+IFERROR(VLOOKUP(Z33,'נתוני מים 2014'!$C$2:$L$188,5,0)/1000,0)</f>
        <v>0</v>
      </c>
      <c r="AA747" s="5">
        <f>+IFERROR(VLOOKUP(AA33,'נתוני מים 2014'!$C$2:$L$188,5,0)/1000,0)</f>
        <v>0</v>
      </c>
      <c r="AB747" s="5">
        <f>+IFERROR(VLOOKUP(AB33,'נתוני מים 2014'!$C$2:$L$188,5,0)/1000,0)</f>
        <v>0</v>
      </c>
      <c r="AC747" s="5">
        <f>+IFERROR(VLOOKUP(AC33,'נתוני מים 2014'!$C$2:$L$188,5,0)/1000,0)</f>
        <v>0</v>
      </c>
      <c r="AD747" s="5">
        <f>+IFERROR(VLOOKUP(AD33,'נתוני מים 2014'!$C$2:$L$188,5,0)/1000,0)</f>
        <v>0</v>
      </c>
      <c r="AE747" s="5">
        <f>+IFERROR(VLOOKUP(AE33,'נתוני מים 2014'!$C$2:$L$188,5,0)/1000,0)</f>
        <v>0</v>
      </c>
      <c r="AF747" s="5">
        <f>+IFERROR(VLOOKUP(AF33,'נתוני מים 2014'!$C$2:$L$188,5,0)/1000,0)</f>
        <v>0</v>
      </c>
      <c r="AG747" s="5">
        <f>+IFERROR(VLOOKUP(AG33,'נתוני מים 2014'!$C$2:$L$188,5,0)/1000,0)</f>
        <v>0</v>
      </c>
      <c r="AH747" s="5">
        <f>+IFERROR(VLOOKUP(AH33,'נתוני מים 2014'!$C$2:$L$188,5,0)/1000,0)</f>
        <v>0</v>
      </c>
      <c r="AI747" s="5">
        <f>+IFERROR(VLOOKUP(AI33,'נתוני מים 2014'!$C$2:$L$188,5,0)/1000,0)</f>
        <v>0</v>
      </c>
      <c r="AJ747" s="5">
        <f>+IFERROR(VLOOKUP(AJ33,'נתוני מים 2014'!$C$2:$L$188,5,0)/1000,0)</f>
        <v>0</v>
      </c>
      <c r="AK747" s="5">
        <f>+IFERROR(VLOOKUP(AK33,'נתוני מים 2014'!$C$2:$L$188,5,0)/1000,0)</f>
        <v>0</v>
      </c>
      <c r="AL747" s="5">
        <f>+IFERROR(VLOOKUP(AL33,'נתוני מים 2014'!$C$2:$L$188,5,0)/1000,0)</f>
        <v>0</v>
      </c>
      <c r="AM747" s="5">
        <f>+IFERROR(VLOOKUP(AM33,'נתוני מים 2014'!$C$2:$L$188,5,0)/1000,0)</f>
        <v>0</v>
      </c>
      <c r="AN747" s="5">
        <f>+IFERROR(VLOOKUP(AN33,'נתוני מים 2014'!$C$2:$L$188,5,0)/1000,0)</f>
        <v>0</v>
      </c>
      <c r="AO747" s="5">
        <f>+IFERROR(VLOOKUP(AO33,'נתוני מים 2014'!$C$2:$L$188,5,0)/1000,0)</f>
        <v>0</v>
      </c>
      <c r="AP747" s="5">
        <f>+IFERROR(VLOOKUP(AP33,'נתוני מים 2014'!$C$2:$L$188,5,0)/1000,0)</f>
        <v>0</v>
      </c>
      <c r="AQ747" s="5">
        <f>+IFERROR(VLOOKUP(AQ33,'נתוני מים 2014'!$C$2:$L$188,5,0)/1000,0)</f>
        <v>0</v>
      </c>
      <c r="AR747" s="5">
        <f>+IFERROR(VLOOKUP(AR33,'נתוני מים 2014'!$C$2:$L$188,5,0)/1000,0)</f>
        <v>0</v>
      </c>
      <c r="AS747" s="5">
        <f>+IFERROR(VLOOKUP(AS33,'נתוני מים 2014'!$C$2:$L$188,5,0)/1000,0)</f>
        <v>0</v>
      </c>
      <c r="AT747" s="5">
        <f>+IFERROR(VLOOKUP(AT33,'נתוני מים 2014'!$C$2:$L$188,5,0)/1000,0)</f>
        <v>0</v>
      </c>
      <c r="AU747" s="5">
        <f>+IFERROR(VLOOKUP(AU33,'נתוני מים 2014'!$C$2:$L$188,5,0)/1000,0)</f>
        <v>0</v>
      </c>
      <c r="AV747" s="5">
        <f>+IFERROR(VLOOKUP(AV33,'נתוני מים 2014'!$C$2:$L$188,5,0)/1000,0)</f>
        <v>0</v>
      </c>
      <c r="AW747" s="5">
        <f>+IFERROR(VLOOKUP(AW33,'נתוני מים 2014'!$C$2:$L$188,5,0)/1000,0)</f>
        <v>0</v>
      </c>
      <c r="AX747" s="5">
        <f>+IFERROR(VLOOKUP(AX33,'נתוני מים 2014'!$C$2:$L$188,5,0)/1000,0)</f>
        <v>0</v>
      </c>
      <c r="AY747" s="5">
        <f>+IFERROR(VLOOKUP(AY33,'נתוני מים 2014'!$C$2:$L$188,5,0)/1000,0)</f>
        <v>0</v>
      </c>
      <c r="AZ747" s="5">
        <f>+IFERROR(VLOOKUP(AZ33,'נתוני מים 2014'!$C$2:$L$188,5,0)/1000,0)</f>
        <v>0</v>
      </c>
      <c r="BA747" s="5">
        <f>+IFERROR(VLOOKUP(BA33,'נתוני מים 2014'!$C$2:$L$188,5,0)/1000,0)</f>
        <v>0</v>
      </c>
      <c r="BB747" s="5">
        <f>+IFERROR(VLOOKUP(BB33,'נתוני מים 2014'!$C$2:$L$188,5,0)/1000,0)</f>
        <v>0</v>
      </c>
      <c r="BC747" s="5">
        <f>+IFERROR(VLOOKUP(BC33,'נתוני מים 2014'!$C$2:$L$188,5,0)/1000,0)</f>
        <v>0</v>
      </c>
      <c r="BD747" s="5">
        <f>+IFERROR(VLOOKUP(BD33,'נתוני מים 2014'!$C$2:$L$188,5,0)/1000,0)</f>
        <v>0</v>
      </c>
      <c r="BE747" s="5">
        <f>+IFERROR(VLOOKUP(BE33,'נתוני מים 2014'!$C$2:$L$188,5,0)/1000,0)</f>
        <v>0</v>
      </c>
      <c r="BF747" s="5">
        <f>+IFERROR(VLOOKUP(BF33,'נתוני מים 2014'!$C$2:$L$188,5,0)/1000,0)</f>
        <v>0</v>
      </c>
    </row>
    <row r="748" spans="2:58" x14ac:dyDescent="0.2">
      <c r="B748" s="1">
        <v>27</v>
      </c>
      <c r="C748" s="5">
        <f>+IFERROR(VLOOKUP(C34,'נתוני מים 2014'!$C$2:$L$188,5,0)/1000,0)</f>
        <v>0</v>
      </c>
      <c r="D748" s="5">
        <f>+IFERROR(VLOOKUP(D34,'נתוני מים 2014'!$C$2:$L$188,5,0)/1000,0)</f>
        <v>0</v>
      </c>
      <c r="E748" s="5">
        <f>+IFERROR(VLOOKUP(E34,'נתוני מים 2014'!$C$2:$L$188,5,0)/1000,0)</f>
        <v>0</v>
      </c>
      <c r="F748" s="5">
        <f>+IFERROR(VLOOKUP(F34,'נתוני מים 2014'!$C$2:$L$188,5,0)/1000,0)</f>
        <v>0</v>
      </c>
      <c r="G748" s="5">
        <f>+IFERROR(VLOOKUP(G34,'נתוני מים 2014'!$C$2:$L$188,5,0)/1000,0)</f>
        <v>0</v>
      </c>
      <c r="H748" s="5">
        <f>+IFERROR(VLOOKUP(H34,'נתוני מים 2014'!$C$2:$L$188,5,0)/1000,0)</f>
        <v>0</v>
      </c>
      <c r="I748" s="5">
        <f>+IFERROR(VLOOKUP(I34,'נתוני מים 2014'!$C$2:$L$188,5,0)/1000,0)</f>
        <v>0</v>
      </c>
      <c r="J748" s="5">
        <f>+IFERROR(VLOOKUP(J34,'נתוני מים 2014'!$C$2:$L$188,5,0)/1000,0)</f>
        <v>0</v>
      </c>
      <c r="K748" s="5">
        <f>+IFERROR(VLOOKUP(K34,'נתוני מים 2014'!$C$2:$L$188,5,0)/1000,0)</f>
        <v>0</v>
      </c>
      <c r="L748" s="5">
        <f>+IFERROR(VLOOKUP(L34,'נתוני מים 2014'!$C$2:$L$188,5,0)/1000,0)</f>
        <v>0</v>
      </c>
      <c r="M748" s="5">
        <f>+IFERROR(VLOOKUP(M34,'נתוני מים 2014'!$C$2:$L$188,5,0)/1000,0)</f>
        <v>0</v>
      </c>
      <c r="N748" s="5">
        <f>+IFERROR(VLOOKUP(N34,'נתוני מים 2014'!$C$2:$L$188,5,0)/1000,0)</f>
        <v>0</v>
      </c>
      <c r="O748" s="5">
        <f>+IFERROR(VLOOKUP(O34,'נתוני מים 2014'!$C$2:$L$188,5,0)/1000,0)</f>
        <v>0</v>
      </c>
      <c r="P748" s="5">
        <f>+IFERROR(VLOOKUP(P34,'נתוני מים 2014'!$C$2:$L$188,5,0)/1000,0)</f>
        <v>0</v>
      </c>
      <c r="Q748" s="5">
        <f>+IFERROR(VLOOKUP(Q34,'נתוני מים 2014'!$C$2:$L$188,5,0)/1000,0)</f>
        <v>0</v>
      </c>
      <c r="R748" s="5">
        <f>+IFERROR(VLOOKUP(R34,'נתוני מים 2014'!$C$2:$L$188,5,0)/1000,0)</f>
        <v>0</v>
      </c>
      <c r="S748" s="5">
        <f>+IFERROR(VLOOKUP(S34,'נתוני מים 2014'!$C$2:$L$188,5,0)/1000,0)</f>
        <v>0</v>
      </c>
      <c r="T748" s="5">
        <f>+IFERROR(VLOOKUP(T34,'נתוני מים 2014'!$C$2:$L$188,5,0)/1000,0)</f>
        <v>0</v>
      </c>
      <c r="U748" s="5">
        <f>+IFERROR(VLOOKUP(U34,'נתוני מים 2014'!$C$2:$L$188,5,0)/1000,0)</f>
        <v>0</v>
      </c>
      <c r="V748" s="5">
        <f>+IFERROR(VLOOKUP(V34,'נתוני מים 2014'!$C$2:$L$188,5,0)/1000,0)</f>
        <v>0</v>
      </c>
      <c r="W748" s="5">
        <f>+IFERROR(VLOOKUP(W34,'נתוני מים 2014'!$C$2:$L$188,5,0)/1000,0)</f>
        <v>0</v>
      </c>
      <c r="X748" s="5">
        <f>+IFERROR(VLOOKUP(X34,'נתוני מים 2014'!$C$2:$L$188,5,0)/1000,0)</f>
        <v>0</v>
      </c>
      <c r="Y748" s="5">
        <f>+IFERROR(VLOOKUP(Y34,'נתוני מים 2014'!$C$2:$L$188,5,0)/1000,0)</f>
        <v>0</v>
      </c>
      <c r="Z748" s="5">
        <f>+IFERROR(VLOOKUP(Z34,'נתוני מים 2014'!$C$2:$L$188,5,0)/1000,0)</f>
        <v>0</v>
      </c>
      <c r="AA748" s="5">
        <f>+IFERROR(VLOOKUP(AA34,'נתוני מים 2014'!$C$2:$L$188,5,0)/1000,0)</f>
        <v>0</v>
      </c>
      <c r="AB748" s="5">
        <f>+IFERROR(VLOOKUP(AB34,'נתוני מים 2014'!$C$2:$L$188,5,0)/1000,0)</f>
        <v>0</v>
      </c>
      <c r="AC748" s="5">
        <f>+IFERROR(VLOOKUP(AC34,'נתוני מים 2014'!$C$2:$L$188,5,0)/1000,0)</f>
        <v>0</v>
      </c>
      <c r="AD748" s="5">
        <f>+IFERROR(VLOOKUP(AD34,'נתוני מים 2014'!$C$2:$L$188,5,0)/1000,0)</f>
        <v>0</v>
      </c>
      <c r="AE748" s="5">
        <f>+IFERROR(VLOOKUP(AE34,'נתוני מים 2014'!$C$2:$L$188,5,0)/1000,0)</f>
        <v>0</v>
      </c>
      <c r="AF748" s="5">
        <f>+IFERROR(VLOOKUP(AF34,'נתוני מים 2014'!$C$2:$L$188,5,0)/1000,0)</f>
        <v>0</v>
      </c>
      <c r="AG748" s="5">
        <f>+IFERROR(VLOOKUP(AG34,'נתוני מים 2014'!$C$2:$L$188,5,0)/1000,0)</f>
        <v>0</v>
      </c>
      <c r="AH748" s="5">
        <f>+IFERROR(VLOOKUP(AH34,'נתוני מים 2014'!$C$2:$L$188,5,0)/1000,0)</f>
        <v>0</v>
      </c>
      <c r="AI748" s="5">
        <f>+IFERROR(VLOOKUP(AI34,'נתוני מים 2014'!$C$2:$L$188,5,0)/1000,0)</f>
        <v>0</v>
      </c>
      <c r="AJ748" s="5">
        <f>+IFERROR(VLOOKUP(AJ34,'נתוני מים 2014'!$C$2:$L$188,5,0)/1000,0)</f>
        <v>0</v>
      </c>
      <c r="AK748" s="5">
        <f>+IFERROR(VLOOKUP(AK34,'נתוני מים 2014'!$C$2:$L$188,5,0)/1000,0)</f>
        <v>0</v>
      </c>
      <c r="AL748" s="5">
        <f>+IFERROR(VLOOKUP(AL34,'נתוני מים 2014'!$C$2:$L$188,5,0)/1000,0)</f>
        <v>0</v>
      </c>
      <c r="AM748" s="5">
        <f>+IFERROR(VLOOKUP(AM34,'נתוני מים 2014'!$C$2:$L$188,5,0)/1000,0)</f>
        <v>0</v>
      </c>
      <c r="AN748" s="5">
        <f>+IFERROR(VLOOKUP(AN34,'נתוני מים 2014'!$C$2:$L$188,5,0)/1000,0)</f>
        <v>0</v>
      </c>
      <c r="AO748" s="5">
        <f>+IFERROR(VLOOKUP(AO34,'נתוני מים 2014'!$C$2:$L$188,5,0)/1000,0)</f>
        <v>0</v>
      </c>
      <c r="AP748" s="5">
        <f>+IFERROR(VLOOKUP(AP34,'נתוני מים 2014'!$C$2:$L$188,5,0)/1000,0)</f>
        <v>0</v>
      </c>
      <c r="AQ748" s="5">
        <f>+IFERROR(VLOOKUP(AQ34,'נתוני מים 2014'!$C$2:$L$188,5,0)/1000,0)</f>
        <v>0</v>
      </c>
      <c r="AR748" s="5">
        <f>+IFERROR(VLOOKUP(AR34,'נתוני מים 2014'!$C$2:$L$188,5,0)/1000,0)</f>
        <v>0</v>
      </c>
      <c r="AS748" s="5">
        <f>+IFERROR(VLOOKUP(AS34,'נתוני מים 2014'!$C$2:$L$188,5,0)/1000,0)</f>
        <v>0</v>
      </c>
      <c r="AT748" s="5">
        <f>+IFERROR(VLOOKUP(AT34,'נתוני מים 2014'!$C$2:$L$188,5,0)/1000,0)</f>
        <v>0</v>
      </c>
      <c r="AU748" s="5">
        <f>+IFERROR(VLOOKUP(AU34,'נתוני מים 2014'!$C$2:$L$188,5,0)/1000,0)</f>
        <v>0</v>
      </c>
      <c r="AV748" s="5">
        <f>+IFERROR(VLOOKUP(AV34,'נתוני מים 2014'!$C$2:$L$188,5,0)/1000,0)</f>
        <v>0</v>
      </c>
      <c r="AW748" s="5">
        <f>+IFERROR(VLOOKUP(AW34,'נתוני מים 2014'!$C$2:$L$188,5,0)/1000,0)</f>
        <v>0</v>
      </c>
      <c r="AX748" s="5">
        <f>+IFERROR(VLOOKUP(AX34,'נתוני מים 2014'!$C$2:$L$188,5,0)/1000,0)</f>
        <v>0</v>
      </c>
      <c r="AY748" s="5">
        <f>+IFERROR(VLOOKUP(AY34,'נתוני מים 2014'!$C$2:$L$188,5,0)/1000,0)</f>
        <v>0</v>
      </c>
      <c r="AZ748" s="5">
        <f>+IFERROR(VLOOKUP(AZ34,'נתוני מים 2014'!$C$2:$L$188,5,0)/1000,0)</f>
        <v>0</v>
      </c>
      <c r="BA748" s="5">
        <f>+IFERROR(VLOOKUP(BA34,'נתוני מים 2014'!$C$2:$L$188,5,0)/1000,0)</f>
        <v>0</v>
      </c>
      <c r="BB748" s="5">
        <f>+IFERROR(VLOOKUP(BB34,'נתוני מים 2014'!$C$2:$L$188,5,0)/1000,0)</f>
        <v>0</v>
      </c>
      <c r="BC748" s="5">
        <f>+IFERROR(VLOOKUP(BC34,'נתוני מים 2014'!$C$2:$L$188,5,0)/1000,0)</f>
        <v>0</v>
      </c>
      <c r="BD748" s="5">
        <f>+IFERROR(VLOOKUP(BD34,'נתוני מים 2014'!$C$2:$L$188,5,0)/1000,0)</f>
        <v>0</v>
      </c>
      <c r="BE748" s="5">
        <f>+IFERROR(VLOOKUP(BE34,'נתוני מים 2014'!$C$2:$L$188,5,0)/1000,0)</f>
        <v>0</v>
      </c>
      <c r="BF748" s="5">
        <f>+IFERROR(VLOOKUP(BF34,'נתוני מים 2014'!$C$2:$L$188,5,0)/1000,0)</f>
        <v>0</v>
      </c>
    </row>
    <row r="749" spans="2:58" x14ac:dyDescent="0.2">
      <c r="B749" s="1">
        <v>28</v>
      </c>
      <c r="C749" s="5">
        <f>+IFERROR(VLOOKUP(C35,'נתוני מים 2014'!$C$2:$L$188,5,0)/1000,0)</f>
        <v>0</v>
      </c>
      <c r="D749" s="5">
        <f>+IFERROR(VLOOKUP(D35,'נתוני מים 2014'!$C$2:$L$188,5,0)/1000,0)</f>
        <v>0</v>
      </c>
      <c r="E749" s="5">
        <f>+IFERROR(VLOOKUP(E35,'נתוני מים 2014'!$C$2:$L$188,5,0)/1000,0)</f>
        <v>0</v>
      </c>
      <c r="F749" s="5">
        <f>+IFERROR(VLOOKUP(F35,'נתוני מים 2014'!$C$2:$L$188,5,0)/1000,0)</f>
        <v>0</v>
      </c>
      <c r="G749" s="5">
        <f>+IFERROR(VLOOKUP(G35,'נתוני מים 2014'!$C$2:$L$188,5,0)/1000,0)</f>
        <v>0</v>
      </c>
      <c r="H749" s="5">
        <f>+IFERROR(VLOOKUP(H35,'נתוני מים 2014'!$C$2:$L$188,5,0)/1000,0)</f>
        <v>0</v>
      </c>
      <c r="I749" s="5">
        <f>+IFERROR(VLOOKUP(I35,'נתוני מים 2014'!$C$2:$L$188,5,0)/1000,0)</f>
        <v>0</v>
      </c>
      <c r="J749" s="5">
        <f>+IFERROR(VLOOKUP(J35,'נתוני מים 2014'!$C$2:$L$188,5,0)/1000,0)</f>
        <v>0</v>
      </c>
      <c r="K749" s="5">
        <f>+IFERROR(VLOOKUP(K35,'נתוני מים 2014'!$C$2:$L$188,5,0)/1000,0)</f>
        <v>0</v>
      </c>
      <c r="L749" s="5">
        <f>+IFERROR(VLOOKUP(L35,'נתוני מים 2014'!$C$2:$L$188,5,0)/1000,0)</f>
        <v>0</v>
      </c>
      <c r="M749" s="5">
        <f>+IFERROR(VLOOKUP(M35,'נתוני מים 2014'!$C$2:$L$188,5,0)/1000,0)</f>
        <v>0</v>
      </c>
      <c r="N749" s="5">
        <f>+IFERROR(VLOOKUP(N35,'נתוני מים 2014'!$C$2:$L$188,5,0)/1000,0)</f>
        <v>0</v>
      </c>
      <c r="O749" s="5">
        <f>+IFERROR(VLOOKUP(O35,'נתוני מים 2014'!$C$2:$L$188,5,0)/1000,0)</f>
        <v>0</v>
      </c>
      <c r="P749" s="5">
        <f>+IFERROR(VLOOKUP(P35,'נתוני מים 2014'!$C$2:$L$188,5,0)/1000,0)</f>
        <v>0</v>
      </c>
      <c r="Q749" s="5">
        <f>+IFERROR(VLOOKUP(Q35,'נתוני מים 2014'!$C$2:$L$188,5,0)/1000,0)</f>
        <v>0</v>
      </c>
      <c r="R749" s="5">
        <f>+IFERROR(VLOOKUP(R35,'נתוני מים 2014'!$C$2:$L$188,5,0)/1000,0)</f>
        <v>0</v>
      </c>
      <c r="S749" s="5">
        <f>+IFERROR(VLOOKUP(S35,'נתוני מים 2014'!$C$2:$L$188,5,0)/1000,0)</f>
        <v>0</v>
      </c>
      <c r="T749" s="5">
        <f>+IFERROR(VLOOKUP(T35,'נתוני מים 2014'!$C$2:$L$188,5,0)/1000,0)</f>
        <v>0</v>
      </c>
      <c r="U749" s="5">
        <f>+IFERROR(VLOOKUP(U35,'נתוני מים 2014'!$C$2:$L$188,5,0)/1000,0)</f>
        <v>0</v>
      </c>
      <c r="V749" s="5">
        <f>+IFERROR(VLOOKUP(V35,'נתוני מים 2014'!$C$2:$L$188,5,0)/1000,0)</f>
        <v>0</v>
      </c>
      <c r="W749" s="5">
        <f>+IFERROR(VLOOKUP(W35,'נתוני מים 2014'!$C$2:$L$188,5,0)/1000,0)</f>
        <v>0</v>
      </c>
      <c r="X749" s="5">
        <f>+IFERROR(VLOOKUP(X35,'נתוני מים 2014'!$C$2:$L$188,5,0)/1000,0)</f>
        <v>0</v>
      </c>
      <c r="Y749" s="5">
        <f>+IFERROR(VLOOKUP(Y35,'נתוני מים 2014'!$C$2:$L$188,5,0)/1000,0)</f>
        <v>0</v>
      </c>
      <c r="Z749" s="5">
        <f>+IFERROR(VLOOKUP(Z35,'נתוני מים 2014'!$C$2:$L$188,5,0)/1000,0)</f>
        <v>0</v>
      </c>
      <c r="AA749" s="5">
        <f>+IFERROR(VLOOKUP(AA35,'נתוני מים 2014'!$C$2:$L$188,5,0)/1000,0)</f>
        <v>0</v>
      </c>
      <c r="AB749" s="5">
        <f>+IFERROR(VLOOKUP(AB35,'נתוני מים 2014'!$C$2:$L$188,5,0)/1000,0)</f>
        <v>0</v>
      </c>
      <c r="AC749" s="5">
        <f>+IFERROR(VLOOKUP(AC35,'נתוני מים 2014'!$C$2:$L$188,5,0)/1000,0)</f>
        <v>0</v>
      </c>
      <c r="AD749" s="5">
        <f>+IFERROR(VLOOKUP(AD35,'נתוני מים 2014'!$C$2:$L$188,5,0)/1000,0)</f>
        <v>0</v>
      </c>
      <c r="AE749" s="5">
        <f>+IFERROR(VLOOKUP(AE35,'נתוני מים 2014'!$C$2:$L$188,5,0)/1000,0)</f>
        <v>0</v>
      </c>
      <c r="AF749" s="5">
        <f>+IFERROR(VLOOKUP(AF35,'נתוני מים 2014'!$C$2:$L$188,5,0)/1000,0)</f>
        <v>0</v>
      </c>
      <c r="AG749" s="5">
        <f>+IFERROR(VLOOKUP(AG35,'נתוני מים 2014'!$C$2:$L$188,5,0)/1000,0)</f>
        <v>0</v>
      </c>
      <c r="AH749" s="5">
        <f>+IFERROR(VLOOKUP(AH35,'נתוני מים 2014'!$C$2:$L$188,5,0)/1000,0)</f>
        <v>0</v>
      </c>
      <c r="AI749" s="5">
        <f>+IFERROR(VLOOKUP(AI35,'נתוני מים 2014'!$C$2:$L$188,5,0)/1000,0)</f>
        <v>0</v>
      </c>
      <c r="AJ749" s="5">
        <f>+IFERROR(VLOOKUP(AJ35,'נתוני מים 2014'!$C$2:$L$188,5,0)/1000,0)</f>
        <v>0</v>
      </c>
      <c r="AK749" s="5">
        <f>+IFERROR(VLOOKUP(AK35,'נתוני מים 2014'!$C$2:$L$188,5,0)/1000,0)</f>
        <v>0</v>
      </c>
      <c r="AL749" s="5">
        <f>+IFERROR(VLOOKUP(AL35,'נתוני מים 2014'!$C$2:$L$188,5,0)/1000,0)</f>
        <v>0</v>
      </c>
      <c r="AM749" s="5">
        <f>+IFERROR(VLOOKUP(AM35,'נתוני מים 2014'!$C$2:$L$188,5,0)/1000,0)</f>
        <v>0</v>
      </c>
      <c r="AN749" s="5">
        <f>+IFERROR(VLOOKUP(AN35,'נתוני מים 2014'!$C$2:$L$188,5,0)/1000,0)</f>
        <v>0</v>
      </c>
      <c r="AO749" s="5">
        <f>+IFERROR(VLOOKUP(AO35,'נתוני מים 2014'!$C$2:$L$188,5,0)/1000,0)</f>
        <v>0</v>
      </c>
      <c r="AP749" s="5">
        <f>+IFERROR(VLOOKUP(AP35,'נתוני מים 2014'!$C$2:$L$188,5,0)/1000,0)</f>
        <v>0</v>
      </c>
      <c r="AQ749" s="5">
        <f>+IFERROR(VLOOKUP(AQ35,'נתוני מים 2014'!$C$2:$L$188,5,0)/1000,0)</f>
        <v>0</v>
      </c>
      <c r="AR749" s="5">
        <f>+IFERROR(VLOOKUP(AR35,'נתוני מים 2014'!$C$2:$L$188,5,0)/1000,0)</f>
        <v>0</v>
      </c>
      <c r="AS749" s="5">
        <f>+IFERROR(VLOOKUP(AS35,'נתוני מים 2014'!$C$2:$L$188,5,0)/1000,0)</f>
        <v>0</v>
      </c>
      <c r="AT749" s="5">
        <f>+IFERROR(VLOOKUP(AT35,'נתוני מים 2014'!$C$2:$L$188,5,0)/1000,0)</f>
        <v>0</v>
      </c>
      <c r="AU749" s="5">
        <f>+IFERROR(VLOOKUP(AU35,'נתוני מים 2014'!$C$2:$L$188,5,0)/1000,0)</f>
        <v>0</v>
      </c>
      <c r="AV749" s="5">
        <f>+IFERROR(VLOOKUP(AV35,'נתוני מים 2014'!$C$2:$L$188,5,0)/1000,0)</f>
        <v>0</v>
      </c>
      <c r="AW749" s="5">
        <f>+IFERROR(VLOOKUP(AW35,'נתוני מים 2014'!$C$2:$L$188,5,0)/1000,0)</f>
        <v>0</v>
      </c>
      <c r="AX749" s="5">
        <f>+IFERROR(VLOOKUP(AX35,'נתוני מים 2014'!$C$2:$L$188,5,0)/1000,0)</f>
        <v>0</v>
      </c>
      <c r="AY749" s="5">
        <f>+IFERROR(VLOOKUP(AY35,'נתוני מים 2014'!$C$2:$L$188,5,0)/1000,0)</f>
        <v>0</v>
      </c>
      <c r="AZ749" s="5">
        <f>+IFERROR(VLOOKUP(AZ35,'נתוני מים 2014'!$C$2:$L$188,5,0)/1000,0)</f>
        <v>0</v>
      </c>
      <c r="BA749" s="5">
        <f>+IFERROR(VLOOKUP(BA35,'נתוני מים 2014'!$C$2:$L$188,5,0)/1000,0)</f>
        <v>0</v>
      </c>
      <c r="BB749" s="5">
        <f>+IFERROR(VLOOKUP(BB35,'נתוני מים 2014'!$C$2:$L$188,5,0)/1000,0)</f>
        <v>0</v>
      </c>
      <c r="BC749" s="5">
        <f>+IFERROR(VLOOKUP(BC35,'נתוני מים 2014'!$C$2:$L$188,5,0)/1000,0)</f>
        <v>0</v>
      </c>
      <c r="BD749" s="5">
        <f>+IFERROR(VLOOKUP(BD35,'נתוני מים 2014'!$C$2:$L$188,5,0)/1000,0)</f>
        <v>0</v>
      </c>
      <c r="BE749" s="5">
        <f>+IFERROR(VLOOKUP(BE35,'נתוני מים 2014'!$C$2:$L$188,5,0)/1000,0)</f>
        <v>0</v>
      </c>
      <c r="BF749" s="5">
        <f>+IFERROR(VLOOKUP(BF35,'נתוני מים 2014'!$C$2:$L$188,5,0)/1000,0)</f>
        <v>0</v>
      </c>
    </row>
    <row r="750" spans="2:58" x14ac:dyDescent="0.2">
      <c r="B750" s="1">
        <v>29</v>
      </c>
      <c r="C750" s="5">
        <f>+IFERROR(VLOOKUP(C36,'נתוני מים 2014'!$C$2:$L$188,5,0)/1000,0)</f>
        <v>0</v>
      </c>
      <c r="D750" s="5">
        <f>+IFERROR(VLOOKUP(D36,'נתוני מים 2014'!$C$2:$L$188,5,0)/1000,0)</f>
        <v>0</v>
      </c>
      <c r="E750" s="5">
        <f>+IFERROR(VLOOKUP(E36,'נתוני מים 2014'!$C$2:$L$188,5,0)/1000,0)</f>
        <v>0</v>
      </c>
      <c r="F750" s="5">
        <f>+IFERROR(VLOOKUP(F36,'נתוני מים 2014'!$C$2:$L$188,5,0)/1000,0)</f>
        <v>0</v>
      </c>
      <c r="G750" s="5">
        <f>+IFERROR(VLOOKUP(G36,'נתוני מים 2014'!$C$2:$L$188,5,0)/1000,0)</f>
        <v>0</v>
      </c>
      <c r="H750" s="5">
        <f>+IFERROR(VLOOKUP(H36,'נתוני מים 2014'!$C$2:$L$188,5,0)/1000,0)</f>
        <v>0</v>
      </c>
      <c r="I750" s="5">
        <f>+IFERROR(VLOOKUP(I36,'נתוני מים 2014'!$C$2:$L$188,5,0)/1000,0)</f>
        <v>0</v>
      </c>
      <c r="J750" s="5">
        <f>+IFERROR(VLOOKUP(J36,'נתוני מים 2014'!$C$2:$L$188,5,0)/1000,0)</f>
        <v>0</v>
      </c>
      <c r="K750" s="5">
        <f>+IFERROR(VLOOKUP(K36,'נתוני מים 2014'!$C$2:$L$188,5,0)/1000,0)</f>
        <v>0</v>
      </c>
      <c r="L750" s="5">
        <f>+IFERROR(VLOOKUP(L36,'נתוני מים 2014'!$C$2:$L$188,5,0)/1000,0)</f>
        <v>0</v>
      </c>
      <c r="M750" s="5">
        <f>+IFERROR(VLOOKUP(M36,'נתוני מים 2014'!$C$2:$L$188,5,0)/1000,0)</f>
        <v>0</v>
      </c>
      <c r="N750" s="5">
        <f>+IFERROR(VLOOKUP(N36,'נתוני מים 2014'!$C$2:$L$188,5,0)/1000,0)</f>
        <v>0</v>
      </c>
      <c r="O750" s="5">
        <f>+IFERROR(VLOOKUP(O36,'נתוני מים 2014'!$C$2:$L$188,5,0)/1000,0)</f>
        <v>0</v>
      </c>
      <c r="P750" s="5">
        <f>+IFERROR(VLOOKUP(P36,'נתוני מים 2014'!$C$2:$L$188,5,0)/1000,0)</f>
        <v>0</v>
      </c>
      <c r="Q750" s="5">
        <f>+IFERROR(VLOOKUP(Q36,'נתוני מים 2014'!$C$2:$L$188,5,0)/1000,0)</f>
        <v>0</v>
      </c>
      <c r="R750" s="5">
        <f>+IFERROR(VLOOKUP(R36,'נתוני מים 2014'!$C$2:$L$188,5,0)/1000,0)</f>
        <v>0</v>
      </c>
      <c r="S750" s="5">
        <f>+IFERROR(VLOOKUP(S36,'נתוני מים 2014'!$C$2:$L$188,5,0)/1000,0)</f>
        <v>0</v>
      </c>
      <c r="T750" s="5">
        <f>+IFERROR(VLOOKUP(T36,'נתוני מים 2014'!$C$2:$L$188,5,0)/1000,0)</f>
        <v>0</v>
      </c>
      <c r="U750" s="5">
        <f>+IFERROR(VLOOKUP(U36,'נתוני מים 2014'!$C$2:$L$188,5,0)/1000,0)</f>
        <v>0</v>
      </c>
      <c r="V750" s="5">
        <f>+IFERROR(VLOOKUP(V36,'נתוני מים 2014'!$C$2:$L$188,5,0)/1000,0)</f>
        <v>0</v>
      </c>
      <c r="W750" s="5">
        <f>+IFERROR(VLOOKUP(W36,'נתוני מים 2014'!$C$2:$L$188,5,0)/1000,0)</f>
        <v>0</v>
      </c>
      <c r="X750" s="5">
        <f>+IFERROR(VLOOKUP(X36,'נתוני מים 2014'!$C$2:$L$188,5,0)/1000,0)</f>
        <v>0</v>
      </c>
      <c r="Y750" s="5">
        <f>+IFERROR(VLOOKUP(Y36,'נתוני מים 2014'!$C$2:$L$188,5,0)/1000,0)</f>
        <v>0</v>
      </c>
      <c r="Z750" s="5">
        <f>+IFERROR(VLOOKUP(Z36,'נתוני מים 2014'!$C$2:$L$188,5,0)/1000,0)</f>
        <v>0</v>
      </c>
      <c r="AA750" s="5">
        <f>+IFERROR(VLOOKUP(AA36,'נתוני מים 2014'!$C$2:$L$188,5,0)/1000,0)</f>
        <v>0</v>
      </c>
      <c r="AB750" s="5">
        <f>+IFERROR(VLOOKUP(AB36,'נתוני מים 2014'!$C$2:$L$188,5,0)/1000,0)</f>
        <v>0</v>
      </c>
      <c r="AC750" s="5">
        <f>+IFERROR(VLOOKUP(AC36,'נתוני מים 2014'!$C$2:$L$188,5,0)/1000,0)</f>
        <v>0</v>
      </c>
      <c r="AD750" s="5">
        <f>+IFERROR(VLOOKUP(AD36,'נתוני מים 2014'!$C$2:$L$188,5,0)/1000,0)</f>
        <v>0</v>
      </c>
      <c r="AE750" s="5">
        <f>+IFERROR(VLOOKUP(AE36,'נתוני מים 2014'!$C$2:$L$188,5,0)/1000,0)</f>
        <v>0</v>
      </c>
      <c r="AF750" s="5">
        <f>+IFERROR(VLOOKUP(AF36,'נתוני מים 2014'!$C$2:$L$188,5,0)/1000,0)</f>
        <v>0</v>
      </c>
      <c r="AG750" s="5">
        <f>+IFERROR(VLOOKUP(AG36,'נתוני מים 2014'!$C$2:$L$188,5,0)/1000,0)</f>
        <v>0</v>
      </c>
      <c r="AH750" s="5">
        <f>+IFERROR(VLOOKUP(AH36,'נתוני מים 2014'!$C$2:$L$188,5,0)/1000,0)</f>
        <v>0</v>
      </c>
      <c r="AI750" s="5">
        <f>+IFERROR(VLOOKUP(AI36,'נתוני מים 2014'!$C$2:$L$188,5,0)/1000,0)</f>
        <v>0</v>
      </c>
      <c r="AJ750" s="5">
        <f>+IFERROR(VLOOKUP(AJ36,'נתוני מים 2014'!$C$2:$L$188,5,0)/1000,0)</f>
        <v>0</v>
      </c>
      <c r="AK750" s="5">
        <f>+IFERROR(VLOOKUP(AK36,'נתוני מים 2014'!$C$2:$L$188,5,0)/1000,0)</f>
        <v>0</v>
      </c>
      <c r="AL750" s="5">
        <f>+IFERROR(VLOOKUP(AL36,'נתוני מים 2014'!$C$2:$L$188,5,0)/1000,0)</f>
        <v>0</v>
      </c>
      <c r="AM750" s="5">
        <f>+IFERROR(VLOOKUP(AM36,'נתוני מים 2014'!$C$2:$L$188,5,0)/1000,0)</f>
        <v>0</v>
      </c>
      <c r="AN750" s="5">
        <f>+IFERROR(VLOOKUP(AN36,'נתוני מים 2014'!$C$2:$L$188,5,0)/1000,0)</f>
        <v>0</v>
      </c>
      <c r="AO750" s="5">
        <f>+IFERROR(VLOOKUP(AO36,'נתוני מים 2014'!$C$2:$L$188,5,0)/1000,0)</f>
        <v>0</v>
      </c>
      <c r="AP750" s="5">
        <f>+IFERROR(VLOOKUP(AP36,'נתוני מים 2014'!$C$2:$L$188,5,0)/1000,0)</f>
        <v>0</v>
      </c>
      <c r="AQ750" s="5">
        <f>+IFERROR(VLOOKUP(AQ36,'נתוני מים 2014'!$C$2:$L$188,5,0)/1000,0)</f>
        <v>0</v>
      </c>
      <c r="AR750" s="5">
        <f>+IFERROR(VLOOKUP(AR36,'נתוני מים 2014'!$C$2:$L$188,5,0)/1000,0)</f>
        <v>0</v>
      </c>
      <c r="AS750" s="5">
        <f>+IFERROR(VLOOKUP(AS36,'נתוני מים 2014'!$C$2:$L$188,5,0)/1000,0)</f>
        <v>0</v>
      </c>
      <c r="AT750" s="5">
        <f>+IFERROR(VLOOKUP(AT36,'נתוני מים 2014'!$C$2:$L$188,5,0)/1000,0)</f>
        <v>0</v>
      </c>
      <c r="AU750" s="5">
        <f>+IFERROR(VLOOKUP(AU36,'נתוני מים 2014'!$C$2:$L$188,5,0)/1000,0)</f>
        <v>0</v>
      </c>
      <c r="AV750" s="5">
        <f>+IFERROR(VLOOKUP(AV36,'נתוני מים 2014'!$C$2:$L$188,5,0)/1000,0)</f>
        <v>0</v>
      </c>
      <c r="AW750" s="5">
        <f>+IFERROR(VLOOKUP(AW36,'נתוני מים 2014'!$C$2:$L$188,5,0)/1000,0)</f>
        <v>0</v>
      </c>
      <c r="AX750" s="5">
        <f>+IFERROR(VLOOKUP(AX36,'נתוני מים 2014'!$C$2:$L$188,5,0)/1000,0)</f>
        <v>0</v>
      </c>
      <c r="AY750" s="5">
        <f>+IFERROR(VLOOKUP(AY36,'נתוני מים 2014'!$C$2:$L$188,5,0)/1000,0)</f>
        <v>0</v>
      </c>
      <c r="AZ750" s="5">
        <f>+IFERROR(VLOOKUP(AZ36,'נתוני מים 2014'!$C$2:$L$188,5,0)/1000,0)</f>
        <v>0</v>
      </c>
      <c r="BA750" s="5">
        <f>+IFERROR(VLOOKUP(BA36,'נתוני מים 2014'!$C$2:$L$188,5,0)/1000,0)</f>
        <v>0</v>
      </c>
      <c r="BB750" s="5">
        <f>+IFERROR(VLOOKUP(BB36,'נתוני מים 2014'!$C$2:$L$188,5,0)/1000,0)</f>
        <v>0</v>
      </c>
      <c r="BC750" s="5">
        <f>+IFERROR(VLOOKUP(BC36,'נתוני מים 2014'!$C$2:$L$188,5,0)/1000,0)</f>
        <v>0</v>
      </c>
      <c r="BD750" s="5">
        <f>+IFERROR(VLOOKUP(BD36,'נתוני מים 2014'!$C$2:$L$188,5,0)/1000,0)</f>
        <v>0</v>
      </c>
      <c r="BE750" s="5">
        <f>+IFERROR(VLOOKUP(BE36,'נתוני מים 2014'!$C$2:$L$188,5,0)/1000,0)</f>
        <v>0</v>
      </c>
      <c r="BF750" s="5">
        <f>+IFERROR(VLOOKUP(BF36,'נתוני מים 2014'!$C$2:$L$188,5,0)/1000,0)</f>
        <v>0</v>
      </c>
    </row>
    <row r="751" spans="2:58" x14ac:dyDescent="0.2">
      <c r="B751" s="1">
        <v>30</v>
      </c>
      <c r="C751" s="5">
        <f>+IFERROR(VLOOKUP(C37,'נתוני מים 2014'!$C$2:$L$188,5,0)/1000,0)</f>
        <v>0</v>
      </c>
      <c r="D751" s="5">
        <f>+IFERROR(VLOOKUP(D37,'נתוני מים 2014'!$C$2:$L$188,5,0)/1000,0)</f>
        <v>0</v>
      </c>
      <c r="E751" s="5">
        <f>+IFERROR(VLOOKUP(E37,'נתוני מים 2014'!$C$2:$L$188,5,0)/1000,0)</f>
        <v>0</v>
      </c>
      <c r="F751" s="5">
        <f>+IFERROR(VLOOKUP(F37,'נתוני מים 2014'!$C$2:$L$188,5,0)/1000,0)</f>
        <v>0</v>
      </c>
      <c r="G751" s="5">
        <f>+IFERROR(VLOOKUP(G37,'נתוני מים 2014'!$C$2:$L$188,5,0)/1000,0)</f>
        <v>0</v>
      </c>
      <c r="H751" s="5">
        <f>+IFERROR(VLOOKUP(H37,'נתוני מים 2014'!$C$2:$L$188,5,0)/1000,0)</f>
        <v>0</v>
      </c>
      <c r="I751" s="5">
        <f>+IFERROR(VLOOKUP(I37,'נתוני מים 2014'!$C$2:$L$188,5,0)/1000,0)</f>
        <v>0</v>
      </c>
      <c r="J751" s="5">
        <f>+IFERROR(VLOOKUP(J37,'נתוני מים 2014'!$C$2:$L$188,5,0)/1000,0)</f>
        <v>0</v>
      </c>
      <c r="K751" s="5">
        <f>+IFERROR(VLOOKUP(K37,'נתוני מים 2014'!$C$2:$L$188,5,0)/1000,0)</f>
        <v>0</v>
      </c>
      <c r="L751" s="5">
        <f>+IFERROR(VLOOKUP(L37,'נתוני מים 2014'!$C$2:$L$188,5,0)/1000,0)</f>
        <v>0</v>
      </c>
      <c r="M751" s="5">
        <f>+IFERROR(VLOOKUP(M37,'נתוני מים 2014'!$C$2:$L$188,5,0)/1000,0)</f>
        <v>0</v>
      </c>
      <c r="N751" s="5">
        <f>+IFERROR(VLOOKUP(N37,'נתוני מים 2014'!$C$2:$L$188,5,0)/1000,0)</f>
        <v>0</v>
      </c>
      <c r="O751" s="5">
        <f>+IFERROR(VLOOKUP(O37,'נתוני מים 2014'!$C$2:$L$188,5,0)/1000,0)</f>
        <v>0</v>
      </c>
      <c r="P751" s="5">
        <f>+IFERROR(VLOOKUP(P37,'נתוני מים 2014'!$C$2:$L$188,5,0)/1000,0)</f>
        <v>0</v>
      </c>
      <c r="Q751" s="5">
        <f>+IFERROR(VLOOKUP(Q37,'נתוני מים 2014'!$C$2:$L$188,5,0)/1000,0)</f>
        <v>0</v>
      </c>
      <c r="R751" s="5">
        <f>+IFERROR(VLOOKUP(R37,'נתוני מים 2014'!$C$2:$L$188,5,0)/1000,0)</f>
        <v>0</v>
      </c>
      <c r="S751" s="5">
        <f>+IFERROR(VLOOKUP(S37,'נתוני מים 2014'!$C$2:$L$188,5,0)/1000,0)</f>
        <v>0</v>
      </c>
      <c r="T751" s="5">
        <f>+IFERROR(VLOOKUP(T37,'נתוני מים 2014'!$C$2:$L$188,5,0)/1000,0)</f>
        <v>0</v>
      </c>
      <c r="U751" s="5">
        <f>+IFERROR(VLOOKUP(U37,'נתוני מים 2014'!$C$2:$L$188,5,0)/1000,0)</f>
        <v>0</v>
      </c>
      <c r="V751" s="5">
        <f>+IFERROR(VLOOKUP(V37,'נתוני מים 2014'!$C$2:$L$188,5,0)/1000,0)</f>
        <v>0</v>
      </c>
      <c r="W751" s="5">
        <f>+IFERROR(VLOOKUP(W37,'נתוני מים 2014'!$C$2:$L$188,5,0)/1000,0)</f>
        <v>0</v>
      </c>
      <c r="X751" s="5">
        <f>+IFERROR(VLOOKUP(X37,'נתוני מים 2014'!$C$2:$L$188,5,0)/1000,0)</f>
        <v>0</v>
      </c>
      <c r="Y751" s="5">
        <f>+IFERROR(VLOOKUP(Y37,'נתוני מים 2014'!$C$2:$L$188,5,0)/1000,0)</f>
        <v>0</v>
      </c>
      <c r="Z751" s="5">
        <f>+IFERROR(VLOOKUP(Z37,'נתוני מים 2014'!$C$2:$L$188,5,0)/1000,0)</f>
        <v>0</v>
      </c>
      <c r="AA751" s="5">
        <f>+IFERROR(VLOOKUP(AA37,'נתוני מים 2014'!$C$2:$L$188,5,0)/1000,0)</f>
        <v>0</v>
      </c>
      <c r="AB751" s="5">
        <f>+IFERROR(VLOOKUP(AB37,'נתוני מים 2014'!$C$2:$L$188,5,0)/1000,0)</f>
        <v>0</v>
      </c>
      <c r="AC751" s="5">
        <f>+IFERROR(VLOOKUP(AC37,'נתוני מים 2014'!$C$2:$L$188,5,0)/1000,0)</f>
        <v>0</v>
      </c>
      <c r="AD751" s="5">
        <f>+IFERROR(VLOOKUP(AD37,'נתוני מים 2014'!$C$2:$L$188,5,0)/1000,0)</f>
        <v>0</v>
      </c>
      <c r="AE751" s="5">
        <f>+IFERROR(VLOOKUP(AE37,'נתוני מים 2014'!$C$2:$L$188,5,0)/1000,0)</f>
        <v>0</v>
      </c>
      <c r="AF751" s="5">
        <f>+IFERROR(VLOOKUP(AF37,'נתוני מים 2014'!$C$2:$L$188,5,0)/1000,0)</f>
        <v>0</v>
      </c>
      <c r="AG751" s="5">
        <f>+IFERROR(VLOOKUP(AG37,'נתוני מים 2014'!$C$2:$L$188,5,0)/1000,0)</f>
        <v>0</v>
      </c>
      <c r="AH751" s="5">
        <f>+IFERROR(VLOOKUP(AH37,'נתוני מים 2014'!$C$2:$L$188,5,0)/1000,0)</f>
        <v>0</v>
      </c>
      <c r="AI751" s="5">
        <f>+IFERROR(VLOOKUP(AI37,'נתוני מים 2014'!$C$2:$L$188,5,0)/1000,0)</f>
        <v>0</v>
      </c>
      <c r="AJ751" s="5">
        <f>+IFERROR(VLOOKUP(AJ37,'נתוני מים 2014'!$C$2:$L$188,5,0)/1000,0)</f>
        <v>0</v>
      </c>
      <c r="AK751" s="5">
        <f>+IFERROR(VLOOKUP(AK37,'נתוני מים 2014'!$C$2:$L$188,5,0)/1000,0)</f>
        <v>0</v>
      </c>
      <c r="AL751" s="5">
        <f>+IFERROR(VLOOKUP(AL37,'נתוני מים 2014'!$C$2:$L$188,5,0)/1000,0)</f>
        <v>0</v>
      </c>
      <c r="AM751" s="5">
        <f>+IFERROR(VLOOKUP(AM37,'נתוני מים 2014'!$C$2:$L$188,5,0)/1000,0)</f>
        <v>0</v>
      </c>
      <c r="AN751" s="5">
        <f>+IFERROR(VLOOKUP(AN37,'נתוני מים 2014'!$C$2:$L$188,5,0)/1000,0)</f>
        <v>0</v>
      </c>
      <c r="AO751" s="5">
        <f>+IFERROR(VLOOKUP(AO37,'נתוני מים 2014'!$C$2:$L$188,5,0)/1000,0)</f>
        <v>0</v>
      </c>
      <c r="AP751" s="5">
        <f>+IFERROR(VLOOKUP(AP37,'נתוני מים 2014'!$C$2:$L$188,5,0)/1000,0)</f>
        <v>0</v>
      </c>
      <c r="AQ751" s="5">
        <f>+IFERROR(VLOOKUP(AQ37,'נתוני מים 2014'!$C$2:$L$188,5,0)/1000,0)</f>
        <v>0</v>
      </c>
      <c r="AR751" s="5">
        <f>+IFERROR(VLOOKUP(AR37,'נתוני מים 2014'!$C$2:$L$188,5,0)/1000,0)</f>
        <v>0</v>
      </c>
      <c r="AS751" s="5">
        <f>+IFERROR(VLOOKUP(AS37,'נתוני מים 2014'!$C$2:$L$188,5,0)/1000,0)</f>
        <v>0</v>
      </c>
      <c r="AT751" s="5">
        <f>+IFERROR(VLOOKUP(AT37,'נתוני מים 2014'!$C$2:$L$188,5,0)/1000,0)</f>
        <v>0</v>
      </c>
      <c r="AU751" s="5">
        <f>+IFERROR(VLOOKUP(AU37,'נתוני מים 2014'!$C$2:$L$188,5,0)/1000,0)</f>
        <v>0</v>
      </c>
      <c r="AV751" s="5">
        <f>+IFERROR(VLOOKUP(AV37,'נתוני מים 2014'!$C$2:$L$188,5,0)/1000,0)</f>
        <v>0</v>
      </c>
      <c r="AW751" s="5">
        <f>+IFERROR(VLOOKUP(AW37,'נתוני מים 2014'!$C$2:$L$188,5,0)/1000,0)</f>
        <v>0</v>
      </c>
      <c r="AX751" s="5">
        <f>+IFERROR(VLOOKUP(AX37,'נתוני מים 2014'!$C$2:$L$188,5,0)/1000,0)</f>
        <v>0</v>
      </c>
      <c r="AY751" s="5">
        <f>+IFERROR(VLOOKUP(AY37,'נתוני מים 2014'!$C$2:$L$188,5,0)/1000,0)</f>
        <v>0</v>
      </c>
      <c r="AZ751" s="5">
        <f>+IFERROR(VLOOKUP(AZ37,'נתוני מים 2014'!$C$2:$L$188,5,0)/1000,0)</f>
        <v>0</v>
      </c>
      <c r="BA751" s="5">
        <f>+IFERROR(VLOOKUP(BA37,'נתוני מים 2014'!$C$2:$L$188,5,0)/1000,0)</f>
        <v>0</v>
      </c>
      <c r="BB751" s="5">
        <f>+IFERROR(VLOOKUP(BB37,'נתוני מים 2014'!$C$2:$L$188,5,0)/1000,0)</f>
        <v>0</v>
      </c>
      <c r="BC751" s="5">
        <f>+IFERROR(VLOOKUP(BC37,'נתוני מים 2014'!$C$2:$L$188,5,0)/1000,0)</f>
        <v>0</v>
      </c>
      <c r="BD751" s="5">
        <f>+IFERROR(VLOOKUP(BD37,'נתוני מים 2014'!$C$2:$L$188,5,0)/1000,0)</f>
        <v>0</v>
      </c>
      <c r="BE751" s="5">
        <f>+IFERROR(VLOOKUP(BE37,'נתוני מים 2014'!$C$2:$L$188,5,0)/1000,0)</f>
        <v>0</v>
      </c>
      <c r="BF751" s="5">
        <f>+IFERROR(VLOOKUP(BF37,'נתוני מים 2014'!$C$2:$L$188,5,0)/1000,0)</f>
        <v>0</v>
      </c>
    </row>
    <row r="753" spans="1:58" x14ac:dyDescent="0.2">
      <c r="A753" s="1228" t="s">
        <v>1569</v>
      </c>
      <c r="C753" s="78">
        <f>SUM(C722:C752)</f>
        <v>19711.939999999999</v>
      </c>
      <c r="D753" s="78">
        <f t="shared" ref="D753:BF753" si="197">SUM(D722:D752)</f>
        <v>4283.4030000000002</v>
      </c>
      <c r="E753" s="78">
        <f t="shared" si="197"/>
        <v>16731.423999999999</v>
      </c>
      <c r="F753" s="78">
        <f t="shared" si="197"/>
        <v>2004.4870000000001</v>
      </c>
      <c r="G753" s="78">
        <f t="shared" si="197"/>
        <v>6495.7709999999997</v>
      </c>
      <c r="H753" s="78">
        <f t="shared" si="197"/>
        <v>54604.442000000003</v>
      </c>
      <c r="I753" s="78">
        <f t="shared" si="197"/>
        <v>19861.718000000001</v>
      </c>
      <c r="J753" s="78">
        <f t="shared" si="197"/>
        <v>11127.407999999999</v>
      </c>
      <c r="K753" s="78">
        <f t="shared" si="197"/>
        <v>9954.0149999999994</v>
      </c>
      <c r="L753" s="78">
        <f t="shared" si="197"/>
        <v>4737.139000000001</v>
      </c>
      <c r="M753" s="78">
        <f t="shared" si="197"/>
        <v>17050.637999999999</v>
      </c>
      <c r="N753" s="78">
        <f t="shared" si="197"/>
        <v>21002.899000000001</v>
      </c>
      <c r="O753" s="78">
        <f t="shared" si="197"/>
        <v>18870.722999999998</v>
      </c>
      <c r="P753" s="78">
        <f t="shared" si="197"/>
        <v>8792.8780000000006</v>
      </c>
      <c r="Q753" s="78">
        <f t="shared" si="197"/>
        <v>10780.42</v>
      </c>
      <c r="R753" s="78">
        <f t="shared" si="197"/>
        <v>5693.2910000000002</v>
      </c>
      <c r="S753" s="78">
        <f t="shared" si="197"/>
        <v>5395.0429999999997</v>
      </c>
      <c r="T753" s="78">
        <f t="shared" si="197"/>
        <v>8741.3109999999997</v>
      </c>
      <c r="U753" s="78">
        <f t="shared" si="197"/>
        <v>7298.3680000000004</v>
      </c>
      <c r="V753" s="78">
        <f t="shared" si="197"/>
        <v>4697.1019999999999</v>
      </c>
      <c r="W753" s="78">
        <f t="shared" si="197"/>
        <v>9314.3179999999993</v>
      </c>
      <c r="X753" s="78">
        <f t="shared" si="197"/>
        <v>9403.4879999999994</v>
      </c>
      <c r="Y753" s="78">
        <f t="shared" si="197"/>
        <v>3222.4110000000001</v>
      </c>
      <c r="Z753" s="78">
        <f t="shared" si="197"/>
        <v>3917.7660000000001</v>
      </c>
      <c r="AA753" s="78">
        <f t="shared" si="197"/>
        <v>6785.3450000000003</v>
      </c>
      <c r="AB753" s="78">
        <f t="shared" si="197"/>
        <v>6789.9260000000004</v>
      </c>
      <c r="AC753" s="78">
        <f t="shared" si="197"/>
        <v>10532.257</v>
      </c>
      <c r="AD753" s="78">
        <f t="shared" si="197"/>
        <v>5604.67</v>
      </c>
      <c r="AE753" s="78">
        <f t="shared" si="197"/>
        <v>23115.748</v>
      </c>
      <c r="AF753" s="78">
        <f t="shared" si="197"/>
        <v>5463.6759999999995</v>
      </c>
      <c r="AG753" s="78">
        <f t="shared" si="197"/>
        <v>3764.6129999999998</v>
      </c>
      <c r="AH753" s="78">
        <f t="shared" si="197"/>
        <v>3262.9279999999999</v>
      </c>
      <c r="AI753" s="78">
        <f t="shared" si="197"/>
        <v>3853.6170000000002</v>
      </c>
      <c r="AJ753" s="78">
        <f t="shared" si="197"/>
        <v>3276.6880000000001</v>
      </c>
      <c r="AK753" s="78">
        <f t="shared" si="197"/>
        <v>2933.0459999999998</v>
      </c>
      <c r="AL753" s="78">
        <f t="shared" si="197"/>
        <v>46150.264000000003</v>
      </c>
      <c r="AM753" s="78">
        <f t="shared" si="197"/>
        <v>5968.95</v>
      </c>
      <c r="AN753" s="78">
        <f t="shared" si="197"/>
        <v>6077.1229999999996</v>
      </c>
      <c r="AO753" s="78">
        <f t="shared" si="197"/>
        <v>12033.063</v>
      </c>
      <c r="AP753" s="78">
        <f t="shared" si="197"/>
        <v>3748.2510000000002</v>
      </c>
      <c r="AQ753" s="78">
        <f t="shared" si="197"/>
        <v>9026.4089999999997</v>
      </c>
      <c r="AR753" s="78">
        <f t="shared" si="197"/>
        <v>5395.5590000000002</v>
      </c>
      <c r="AS753" s="78">
        <f t="shared" si="197"/>
        <v>10732.364000000001</v>
      </c>
      <c r="AT753" s="78">
        <f t="shared" si="197"/>
        <v>5761.5990000000002</v>
      </c>
      <c r="AU753" s="78">
        <f t="shared" si="197"/>
        <v>5168.8779999999997</v>
      </c>
      <c r="AV753" s="78">
        <f t="shared" si="197"/>
        <v>14422.784</v>
      </c>
      <c r="AW753" s="78">
        <f t="shared" si="197"/>
        <v>3533.7170000000001</v>
      </c>
      <c r="AX753" s="78">
        <f t="shared" si="197"/>
        <v>5278.3540000000003</v>
      </c>
      <c r="AY753" s="78">
        <f t="shared" si="197"/>
        <v>2910.1680000000001</v>
      </c>
      <c r="AZ753" s="78">
        <f t="shared" si="197"/>
        <v>5904.183</v>
      </c>
      <c r="BA753" s="78">
        <f t="shared" si="197"/>
        <v>6658.3490000000002</v>
      </c>
      <c r="BB753" s="78">
        <f t="shared" si="197"/>
        <v>5882.6559999999999</v>
      </c>
      <c r="BC753" s="78">
        <f t="shared" si="197"/>
        <v>7425.0139999999992</v>
      </c>
      <c r="BD753" s="78">
        <f t="shared" si="197"/>
        <v>975.60500000000002</v>
      </c>
      <c r="BE753" s="78">
        <f t="shared" si="197"/>
        <v>1173.269</v>
      </c>
      <c r="BF753" s="78">
        <f t="shared" si="197"/>
        <v>10727.455</v>
      </c>
    </row>
    <row r="757" spans="1:58" x14ac:dyDescent="0.2">
      <c r="A757" s="1228" t="s">
        <v>192</v>
      </c>
      <c r="B757" s="1">
        <v>1</v>
      </c>
      <c r="C757" s="1">
        <f>+IFERROR(VLOOKUP(C8,'נתוני מים 2014'!$C$2:$L$188,10,0)/1000,0)</f>
        <v>990.25199999999995</v>
      </c>
      <c r="D757" s="1">
        <f>+IFERROR(VLOOKUP(D8,'נתוני מים 2014'!$C$2:$L$188,10,0)/1000,0)</f>
        <v>130.76400000000001</v>
      </c>
      <c r="E757" s="1">
        <f>+IFERROR(VLOOKUP(E8,'נתוני מים 2014'!$C$2:$L$188,10,0)/1000,0)</f>
        <v>1401.3989999999999</v>
      </c>
      <c r="F757" s="1">
        <f>+IFERROR(VLOOKUP(F8,'נתוני מים 2014'!$C$2:$L$188,10,0)/1000,0)</f>
        <v>119.998</v>
      </c>
      <c r="G757" s="1">
        <f>+IFERROR(VLOOKUP(G8,'נתוני מים 2014'!$C$2:$L$188,10,0)/1000,0)</f>
        <v>418.471</v>
      </c>
      <c r="H757" s="1">
        <f>+IFERROR(VLOOKUP(H8,'נתוני מים 2014'!$C$2:$L$188,10,0)/1000,0)</f>
        <v>7190.3180000000002</v>
      </c>
      <c r="I757" s="1">
        <f>+IFERROR(VLOOKUP(I8,'נתוני מים 2014'!$C$2:$L$188,10,0)/1000,0)</f>
        <v>925.30499999999995</v>
      </c>
      <c r="J757" s="1">
        <f>+IFERROR(VLOOKUP(J8,'נתוני מים 2014'!$C$2:$L$188,10,0)/1000,0)</f>
        <v>577.06700000000001</v>
      </c>
      <c r="K757" s="1">
        <f>+IFERROR(VLOOKUP(K8,'נתוני מים 2014'!$C$2:$L$188,10,0)/1000,0)</f>
        <v>264.57600000000002</v>
      </c>
      <c r="L757" s="1">
        <f>+IFERROR(VLOOKUP(L8,'נתוני מים 2014'!$C$2:$L$188,10,0)/1000,0)</f>
        <v>402.45699999999999</v>
      </c>
      <c r="M757" s="1">
        <f>+IFERROR(VLOOKUP(M8,'נתוני מים 2014'!$C$2:$L$188,10,0)/1000,0)</f>
        <v>1104.731</v>
      </c>
      <c r="N757" s="1">
        <f>+IFERROR(VLOOKUP(N8,'נתוני מים 2014'!$C$2:$L$188,10,0)/1000,0)</f>
        <v>1575</v>
      </c>
      <c r="O757" s="1">
        <f>+IFERROR(VLOOKUP(O8,'נתוני מים 2014'!$C$2:$L$188,10,0)/1000,0)</f>
        <v>1121.4469999999999</v>
      </c>
      <c r="P757" s="1">
        <f>+IFERROR(VLOOKUP(P8,'נתוני מים 2014'!$C$2:$L$188,10,0)/1000,0)</f>
        <v>370.45699999999999</v>
      </c>
      <c r="Q757" s="1">
        <f>+IFERROR(VLOOKUP(Q8,'נתוני מים 2014'!$C$2:$L$188,10,0)/1000,0)</f>
        <v>335.06299999999999</v>
      </c>
      <c r="R757" s="1">
        <f>+IFERROR(VLOOKUP(R8,'נתוני מים 2014'!$C$2:$L$188,10,0)/1000,0)</f>
        <v>89.861999999999995</v>
      </c>
      <c r="S757" s="1">
        <f>+IFERROR(VLOOKUP(S8,'נתוני מים 2014'!$C$2:$L$188,10,0)/1000,0)</f>
        <v>895.89</v>
      </c>
      <c r="T757" s="1">
        <f>+IFERROR(VLOOKUP(T8,'נתוני מים 2014'!$C$2:$L$188,10,0)/1000,0)</f>
        <v>681.82299999999998</v>
      </c>
      <c r="U757" s="1">
        <f>+IFERROR(VLOOKUP(U8,'נתוני מים 2014'!$C$2:$L$188,10,0)/1000,0)</f>
        <v>798.68799999999999</v>
      </c>
      <c r="V757" s="1">
        <f>+IFERROR(VLOOKUP(V8,'נתוני מים 2014'!$C$2:$L$188,10,0)/1000,0)</f>
        <v>175.27500000000001</v>
      </c>
      <c r="W757" s="1">
        <f>+IFERROR(VLOOKUP(W8,'נתוני מים 2014'!$C$2:$L$188,10,0)/1000,0)</f>
        <v>637.45399999999995</v>
      </c>
      <c r="X757" s="1">
        <f>+IFERROR(VLOOKUP(X8,'נתוני מים 2014'!$C$2:$L$188,10,0)/1000,0)</f>
        <v>1228.5219999999999</v>
      </c>
      <c r="Y757" s="1">
        <f>+IFERROR(VLOOKUP(Y8,'נתוני מים 2014'!$C$2:$L$188,10,0)/1000,0)</f>
        <v>171.833</v>
      </c>
      <c r="Z757" s="1">
        <f>+IFERROR(VLOOKUP(Z8,'נתוני מים 2014'!$C$2:$L$188,10,0)/1000,0)</f>
        <v>248.14599999999999</v>
      </c>
      <c r="AA757" s="1">
        <f>+IFERROR(VLOOKUP(AA8,'נתוני מים 2014'!$C$2:$L$188,10,0)/1000,0)</f>
        <v>450.892</v>
      </c>
      <c r="AB757" s="1">
        <f>+IFERROR(VLOOKUP(AB8,'נתוני מים 2014'!$C$2:$L$188,10,0)/1000,0)</f>
        <v>238.19399999999999</v>
      </c>
      <c r="AC757" s="1">
        <f>+IFERROR(VLOOKUP(AC8,'נתוני מים 2014'!$C$2:$L$188,10,0)/1000,0)</f>
        <v>482.62400000000002</v>
      </c>
      <c r="AD757" s="1">
        <f>+IFERROR(VLOOKUP(AD8,'נתוני מים 2014'!$C$2:$L$188,10,0)/1000,0)</f>
        <v>200.80600000000001</v>
      </c>
      <c r="AE757" s="1">
        <f>+IFERROR(VLOOKUP(AE8,'נתוני מים 2014'!$C$2:$L$188,10,0)/1000,0)</f>
        <v>2352.4609999999998</v>
      </c>
      <c r="AF757" s="1">
        <f>+IFERROR(VLOOKUP(AF8,'נתוני מים 2014'!$C$2:$L$188,10,0)/1000,0)</f>
        <v>363.63299999999998</v>
      </c>
      <c r="AG757" s="1">
        <f>+IFERROR(VLOOKUP(AG8,'נתוני מים 2014'!$C$2:$L$188,10,0)/1000,0)</f>
        <v>179.75399999999999</v>
      </c>
      <c r="AH757" s="1">
        <f>+IFERROR(VLOOKUP(AH8,'נתוני מים 2014'!$C$2:$L$188,10,0)/1000,0)</f>
        <v>427.92500000000001</v>
      </c>
      <c r="AI757" s="1">
        <f>+IFERROR(VLOOKUP(AI8,'נתוני מים 2014'!$C$2:$L$188,10,0)/1000,0)</f>
        <v>386.07400000000001</v>
      </c>
      <c r="AJ757" s="1">
        <f>+IFERROR(VLOOKUP(AJ8,'נתוני מים 2014'!$C$2:$L$188,10,0)/1000,0)</f>
        <v>159.733</v>
      </c>
      <c r="AK757" s="1">
        <f>+IFERROR(VLOOKUP(AK8,'נתוני מים 2014'!$C$2:$L$188,10,0)/1000,0)</f>
        <v>203.762</v>
      </c>
      <c r="AL757" s="1">
        <f>+IFERROR(VLOOKUP(AL8,'נתוני מים 2014'!$C$2:$L$188,10,0)/1000,0)</f>
        <v>4092.788</v>
      </c>
      <c r="AM757" s="1">
        <f>+IFERROR(VLOOKUP(AM8,'נתוני מים 2014'!$C$2:$L$188,10,0)/1000,0)</f>
        <v>84.406000000000006</v>
      </c>
      <c r="AN757" s="1">
        <f>+IFERROR(VLOOKUP(AN8,'נתוני מים 2014'!$C$2:$L$188,10,0)/1000,0)</f>
        <v>730.16700000000003</v>
      </c>
      <c r="AO757" s="1">
        <f>+IFERROR(VLOOKUP(AO8,'נתוני מים 2014'!$C$2:$L$188,10,0)/1000,0)</f>
        <v>398.73200000000003</v>
      </c>
      <c r="AP757" s="1">
        <f>+IFERROR(VLOOKUP(AP8,'נתוני מים 2014'!$C$2:$L$188,10,0)/1000,0)</f>
        <v>79.576999999999998</v>
      </c>
      <c r="AQ757" s="1">
        <f>+IFERROR(VLOOKUP(AQ8,'נתוני מים 2014'!$C$2:$L$188,10,0)/1000,0)</f>
        <v>1008.944</v>
      </c>
      <c r="AR757" s="1">
        <f>+IFERROR(VLOOKUP(AR8,'נתוני מים 2014'!$C$2:$L$188,10,0)/1000,0)</f>
        <v>185.08</v>
      </c>
      <c r="AS757" s="1">
        <f>+IFERROR(VLOOKUP(AS8,'נתוני מים 2014'!$C$2:$L$188,10,0)/1000,0)</f>
        <v>571.17399999999998</v>
      </c>
      <c r="AT757" s="1">
        <f>+IFERROR(VLOOKUP(AT8,'נתוני מים 2014'!$C$2:$L$188,10,0)/1000,0)</f>
        <v>763.15300000000002</v>
      </c>
      <c r="AU757" s="1">
        <f>+IFERROR(VLOOKUP(AU8,'נתוני מים 2014'!$C$2:$L$188,10,0)/1000,0)</f>
        <v>353.79</v>
      </c>
      <c r="AV757" s="1">
        <f>+IFERROR(VLOOKUP(AV8,'נתוני מים 2014'!$C$2:$L$188,10,0)/1000,0)</f>
        <v>1499.9390000000001</v>
      </c>
      <c r="AW757" s="1">
        <f>+IFERROR(VLOOKUP(AW8,'נתוני מים 2014'!$C$2:$L$188,10,0)/1000,0)</f>
        <v>153.274</v>
      </c>
      <c r="AX757" s="1">
        <f>+IFERROR(VLOOKUP(AX8,'נתוני מים 2014'!$C$2:$L$188,10,0)/1000,0)</f>
        <v>0</v>
      </c>
      <c r="AY757" s="1">
        <f>+IFERROR(VLOOKUP(AY8,'נתוני מים 2014'!$C$2:$L$188,10,0)/1000,0)</f>
        <v>549.96400000000006</v>
      </c>
      <c r="AZ757" s="1">
        <f>+IFERROR(VLOOKUP(AZ8,'נתוני מים 2014'!$C$2:$L$188,10,0)/1000,0)</f>
        <v>138.60400000000001</v>
      </c>
      <c r="BA757" s="1">
        <f>+IFERROR(VLOOKUP(BA8,'נתוני מים 2014'!$C$2:$L$188,10,0)/1000,0)</f>
        <v>302.76600000000002</v>
      </c>
      <c r="BB757" s="1">
        <f>+IFERROR(VLOOKUP(BB8,'נתוני מים 2014'!$C$2:$L$188,10,0)/1000,0)</f>
        <v>192.49299999999999</v>
      </c>
      <c r="BC757" s="1">
        <f>+IFERROR(VLOOKUP(BC8,'נתוני מים 2014'!$C$2:$L$188,10,0)/1000,0)</f>
        <v>199.34700000000001</v>
      </c>
      <c r="BD757" s="1">
        <f>+IFERROR(VLOOKUP(BD8,'נתוני מים 2014'!$C$2:$L$188,10,0)/1000,0)</f>
        <v>0</v>
      </c>
      <c r="BE757" s="1">
        <f>+IFERROR(VLOOKUP(BE8,'נתוני מים 2014'!$C$2:$L$188,10,0)/1000,0)</f>
        <v>17.157</v>
      </c>
      <c r="BF757" s="1">
        <f>+IFERROR(VLOOKUP(BF8,'נתוני מים 2014'!$C$2:$L$188,10,0)/1000,0)</f>
        <v>667.06600000000003</v>
      </c>
    </row>
    <row r="758" spans="1:58" x14ac:dyDescent="0.2">
      <c r="B758" s="1">
        <v>2</v>
      </c>
      <c r="C758" s="1">
        <f>+IFERROR(VLOOKUP(C9,'נתוני מים 2014'!$C$2:$L$188,10,0)/1000,0)</f>
        <v>252.03899999999999</v>
      </c>
      <c r="D758" s="1">
        <f>+IFERROR(VLOOKUP(D9,'נתוני מים 2014'!$C$2:$L$188,10,0)/1000,0)</f>
        <v>11.481</v>
      </c>
      <c r="E758" s="1">
        <f>+IFERROR(VLOOKUP(E9,'נתוני מים 2014'!$C$2:$L$188,10,0)/1000,0)</f>
        <v>0</v>
      </c>
      <c r="F758" s="1">
        <f>+IFERROR(VLOOKUP(F9,'נתוני מים 2014'!$C$2:$L$188,10,0)/1000,0)</f>
        <v>25.141999999999999</v>
      </c>
      <c r="G758" s="1">
        <f>+IFERROR(VLOOKUP(G9,'נתוני מים 2014'!$C$2:$L$188,10,0)/1000,0)</f>
        <v>0</v>
      </c>
      <c r="H758" s="1">
        <f>+IFERROR(VLOOKUP(H9,'נתוני מים 2014'!$C$2:$L$188,10,0)/1000,0)</f>
        <v>104.666</v>
      </c>
      <c r="I758" s="1">
        <f>+IFERROR(VLOOKUP(I9,'נתוני מים 2014'!$C$2:$L$188,10,0)/1000,0)</f>
        <v>0</v>
      </c>
      <c r="J758" s="1">
        <f>+IFERROR(VLOOKUP(J9,'נתוני מים 2014'!$C$2:$L$188,10,0)/1000,0)</f>
        <v>0</v>
      </c>
      <c r="K758" s="1">
        <f>+IFERROR(VLOOKUP(K9,'נתוני מים 2014'!$C$2:$L$188,10,0)/1000,0)</f>
        <v>201.434</v>
      </c>
      <c r="L758" s="1">
        <f>+IFERROR(VLOOKUP(L9,'נתוני מים 2014'!$C$2:$L$188,10,0)/1000,0)</f>
        <v>39.142000000000003</v>
      </c>
      <c r="M758" s="1">
        <f>+IFERROR(VLOOKUP(M9,'נתוני מים 2014'!$C$2:$L$188,10,0)/1000,0)</f>
        <v>0</v>
      </c>
      <c r="N758" s="1">
        <f>+IFERROR(VLOOKUP(N9,'נתוני מים 2014'!$C$2:$L$188,10,0)/1000,0)</f>
        <v>291.30599999999998</v>
      </c>
      <c r="O758" s="1">
        <f>+IFERROR(VLOOKUP(O9,'נתוני מים 2014'!$C$2:$L$188,10,0)/1000,0)</f>
        <v>117.505</v>
      </c>
      <c r="P758" s="1">
        <f>+IFERROR(VLOOKUP(P9,'נתוני מים 2014'!$C$2:$L$188,10,0)/1000,0)</f>
        <v>54.268000000000001</v>
      </c>
      <c r="Q758" s="1">
        <f>+IFERROR(VLOOKUP(Q9,'נתוני מים 2014'!$C$2:$L$188,10,0)/1000,0)</f>
        <v>0</v>
      </c>
      <c r="R758" s="1">
        <f>+IFERROR(VLOOKUP(R9,'נתוני מים 2014'!$C$2:$L$188,10,0)/1000,0)</f>
        <v>106.86799999999999</v>
      </c>
      <c r="S758" s="1">
        <f>+IFERROR(VLOOKUP(S9,'נתוני מים 2014'!$C$2:$L$188,10,0)/1000,0)</f>
        <v>0</v>
      </c>
      <c r="T758" s="1">
        <f>+IFERROR(VLOOKUP(T9,'נתוני מים 2014'!$C$2:$L$188,10,0)/1000,0)</f>
        <v>154.24700000000001</v>
      </c>
      <c r="U758" s="1">
        <f>+IFERROR(VLOOKUP(U9,'נתוני מים 2014'!$C$2:$L$188,10,0)/1000,0)</f>
        <v>0</v>
      </c>
      <c r="V758" s="1">
        <f>+IFERROR(VLOOKUP(V9,'נתוני מים 2014'!$C$2:$L$188,10,0)/1000,0)</f>
        <v>154.67099999999999</v>
      </c>
      <c r="W758" s="1">
        <f>+IFERROR(VLOOKUP(W9,'נתוני מים 2014'!$C$2:$L$188,10,0)/1000,0)</f>
        <v>101.85299999999999</v>
      </c>
      <c r="X758" s="1">
        <f>+IFERROR(VLOOKUP(X9,'נתוני מים 2014'!$C$2:$L$188,10,0)/1000,0)</f>
        <v>328.36399999999998</v>
      </c>
      <c r="Y758" s="1">
        <f>+IFERROR(VLOOKUP(Y9,'נתוני מים 2014'!$C$2:$L$188,10,0)/1000,0)</f>
        <v>43.42</v>
      </c>
      <c r="Z758" s="1">
        <f>+IFERROR(VLOOKUP(Z9,'נתוני מים 2014'!$C$2:$L$188,10,0)/1000,0)</f>
        <v>0</v>
      </c>
      <c r="AA758" s="1">
        <f>+IFERROR(VLOOKUP(AA9,'נתוני מים 2014'!$C$2:$L$188,10,0)/1000,0)</f>
        <v>0</v>
      </c>
      <c r="AB758" s="1">
        <f>+IFERROR(VLOOKUP(AB9,'נתוני מים 2014'!$C$2:$L$188,10,0)/1000,0)</f>
        <v>0</v>
      </c>
      <c r="AC758" s="1">
        <f>+IFERROR(VLOOKUP(AC9,'נתוני מים 2014'!$C$2:$L$188,10,0)/1000,0)</f>
        <v>0</v>
      </c>
      <c r="AD758" s="1">
        <f>+IFERROR(VLOOKUP(AD9,'נתוני מים 2014'!$C$2:$L$188,10,0)/1000,0)</f>
        <v>0</v>
      </c>
      <c r="AE758" s="1">
        <f>+IFERROR(VLOOKUP(AE9,'נתוני מים 2014'!$C$2:$L$188,10,0)/1000,0)</f>
        <v>0</v>
      </c>
      <c r="AF758" s="1">
        <f>+IFERROR(VLOOKUP(AF9,'נתוני מים 2014'!$C$2:$L$188,10,0)/1000,0)</f>
        <v>154.751</v>
      </c>
      <c r="AG758" s="1">
        <f>+IFERROR(VLOOKUP(AG9,'נתוני מים 2014'!$C$2:$L$188,10,0)/1000,0)</f>
        <v>0</v>
      </c>
      <c r="AH758" s="1">
        <f>+IFERROR(VLOOKUP(AH9,'נתוני מים 2014'!$C$2:$L$188,10,0)/1000,0)</f>
        <v>0</v>
      </c>
      <c r="AI758" s="1">
        <f>+IFERROR(VLOOKUP(AI9,'נתוני מים 2014'!$C$2:$L$188,10,0)/1000,0)</f>
        <v>0</v>
      </c>
      <c r="AJ758" s="1">
        <f>+IFERROR(VLOOKUP(AJ9,'נתוני מים 2014'!$C$2:$L$188,10,0)/1000,0)</f>
        <v>54.040999999999997</v>
      </c>
      <c r="AK758" s="1">
        <f>+IFERROR(VLOOKUP(AK9,'נתוני מים 2014'!$C$2:$L$188,10,0)/1000,0)</f>
        <v>0</v>
      </c>
      <c r="AL758" s="1">
        <f>+IFERROR(VLOOKUP(AL9,'נתוני מים 2014'!$C$2:$L$188,10,0)/1000,0)</f>
        <v>0</v>
      </c>
      <c r="AM758" s="1">
        <f>+IFERROR(VLOOKUP(AM9,'נתוני מים 2014'!$C$2:$L$188,10,0)/1000,0)</f>
        <v>283.786</v>
      </c>
      <c r="AN758" s="1">
        <f>+IFERROR(VLOOKUP(AN9,'נתוני מים 2014'!$C$2:$L$188,10,0)/1000,0)</f>
        <v>117.812</v>
      </c>
      <c r="AO758" s="1">
        <f>+IFERROR(VLOOKUP(AO9,'נתוני מים 2014'!$C$2:$L$188,10,0)/1000,0)</f>
        <v>0</v>
      </c>
      <c r="AP758" s="1">
        <f>+IFERROR(VLOOKUP(AP9,'נתוני מים 2014'!$C$2:$L$188,10,0)/1000,0)</f>
        <v>0</v>
      </c>
      <c r="AQ758" s="1">
        <f>+IFERROR(VLOOKUP(AQ9,'נתוני מים 2014'!$C$2:$L$188,10,0)/1000,0)</f>
        <v>0</v>
      </c>
      <c r="AR758" s="1">
        <f>+IFERROR(VLOOKUP(AR9,'נתוני מים 2014'!$C$2:$L$188,10,0)/1000,0)</f>
        <v>384.63400000000001</v>
      </c>
      <c r="AS758" s="1">
        <f>+IFERROR(VLOOKUP(AS9,'נתוני מים 2014'!$C$2:$L$188,10,0)/1000,0)</f>
        <v>259.36200000000002</v>
      </c>
      <c r="AT758" s="1">
        <f>+IFERROR(VLOOKUP(AT9,'נתוני מים 2014'!$C$2:$L$188,10,0)/1000,0)</f>
        <v>0</v>
      </c>
      <c r="AU758" s="1">
        <f>+IFERROR(VLOOKUP(AU9,'נתוני מים 2014'!$C$2:$L$188,10,0)/1000,0)</f>
        <v>0</v>
      </c>
      <c r="AV758" s="1">
        <f>+IFERROR(VLOOKUP(AV9,'נתוני מים 2014'!$C$2:$L$188,10,0)/1000,0)</f>
        <v>373.64600000000002</v>
      </c>
      <c r="AW758" s="1">
        <f>+IFERROR(VLOOKUP(AW9,'נתוני מים 2014'!$C$2:$L$188,10,0)/1000,0)</f>
        <v>0</v>
      </c>
      <c r="AX758" s="1">
        <f>+IFERROR(VLOOKUP(AX9,'נתוני מים 2014'!$C$2:$L$188,10,0)/1000,0)</f>
        <v>406.77300000000002</v>
      </c>
      <c r="AY758" s="1">
        <f>+IFERROR(VLOOKUP(AY9,'נתוני מים 2014'!$C$2:$L$188,10,0)/1000,0)</f>
        <v>0</v>
      </c>
      <c r="AZ758" s="1">
        <f>+IFERROR(VLOOKUP(AZ9,'נתוני מים 2014'!$C$2:$L$188,10,0)/1000,0)</f>
        <v>72.747</v>
      </c>
      <c r="BA758" s="1">
        <f>+IFERROR(VLOOKUP(BA9,'נתוני מים 2014'!$C$2:$L$188,10,0)/1000,0)</f>
        <v>79.596999999999994</v>
      </c>
      <c r="BB758" s="1">
        <f>+IFERROR(VLOOKUP(BB9,'נתוני מים 2014'!$C$2:$L$188,10,0)/1000,0)</f>
        <v>435.69400000000002</v>
      </c>
      <c r="BC758" s="1">
        <f>+IFERROR(VLOOKUP(BC9,'נתוני מים 2014'!$C$2:$L$188,10,0)/1000,0)</f>
        <v>93.765000000000001</v>
      </c>
      <c r="BD758" s="1">
        <f>+IFERROR(VLOOKUP(BD9,'נתוני מים 2014'!$C$2:$L$188,10,0)/1000,0)</f>
        <v>83.075000000000003</v>
      </c>
      <c r="BE758" s="1">
        <f>+IFERROR(VLOOKUP(BE9,'נתוני מים 2014'!$C$2:$L$188,10,0)/1000,0)</f>
        <v>0</v>
      </c>
      <c r="BF758" s="1">
        <f>+IFERROR(VLOOKUP(BF9,'נתוני מים 2014'!$C$2:$L$188,10,0)/1000,0)</f>
        <v>0</v>
      </c>
    </row>
    <row r="759" spans="1:58" x14ac:dyDescent="0.2">
      <c r="B759" s="1">
        <v>3</v>
      </c>
      <c r="C759" s="1">
        <f>+IFERROR(VLOOKUP(C10,'נתוני מים 2014'!$C$2:$L$188,10,0)/1000,0)</f>
        <v>55.284999999999997</v>
      </c>
      <c r="D759" s="1">
        <f>+IFERROR(VLOOKUP(D10,'נתוני מים 2014'!$C$2:$L$188,10,0)/1000,0)</f>
        <v>73.320999999999998</v>
      </c>
      <c r="E759" s="1">
        <f>+IFERROR(VLOOKUP(E10,'נתוני מים 2014'!$C$2:$L$188,10,0)/1000,0)</f>
        <v>0</v>
      </c>
      <c r="F759" s="1">
        <f>+IFERROR(VLOOKUP(F10,'נתוני מים 2014'!$C$2:$L$188,10,0)/1000,0)</f>
        <v>0</v>
      </c>
      <c r="G759" s="1">
        <f>+IFERROR(VLOOKUP(G10,'נתוני מים 2014'!$C$2:$L$188,10,0)/1000,0)</f>
        <v>0</v>
      </c>
      <c r="H759" s="1">
        <f>+IFERROR(VLOOKUP(H10,'נתוני מים 2014'!$C$2:$L$188,10,0)/1000,0)</f>
        <v>161.08699999999999</v>
      </c>
      <c r="I759" s="1">
        <f>+IFERROR(VLOOKUP(I10,'נתוני מים 2014'!$C$2:$L$188,10,0)/1000,0)</f>
        <v>0</v>
      </c>
      <c r="J759" s="1">
        <f>+IFERROR(VLOOKUP(J10,'נתוני מים 2014'!$C$2:$L$188,10,0)/1000,0)</f>
        <v>0</v>
      </c>
      <c r="K759" s="1">
        <f>+IFERROR(VLOOKUP(K10,'נתוני מים 2014'!$C$2:$L$188,10,0)/1000,0)</f>
        <v>832.05700000000002</v>
      </c>
      <c r="L759" s="1">
        <f>+IFERROR(VLOOKUP(L10,'נתוני מים 2014'!$C$2:$L$188,10,0)/1000,0)</f>
        <v>0</v>
      </c>
      <c r="M759" s="1">
        <f>+IFERROR(VLOOKUP(M10,'נתוני מים 2014'!$C$2:$L$188,10,0)/1000,0)</f>
        <v>0</v>
      </c>
      <c r="N759" s="1">
        <f>+IFERROR(VLOOKUP(N10,'נתוני מים 2014'!$C$2:$L$188,10,0)/1000,0)</f>
        <v>0</v>
      </c>
      <c r="O759" s="1">
        <f>+IFERROR(VLOOKUP(O10,'נתוני מים 2014'!$C$2:$L$188,10,0)/1000,0)</f>
        <v>86.188999999999993</v>
      </c>
      <c r="P759" s="1">
        <f>+IFERROR(VLOOKUP(P10,'נתוני מים 2014'!$C$2:$L$188,10,0)/1000,0)</f>
        <v>128.17500000000001</v>
      </c>
      <c r="Q759" s="1">
        <f>+IFERROR(VLOOKUP(Q10,'נתוני מים 2014'!$C$2:$L$188,10,0)/1000,0)</f>
        <v>0</v>
      </c>
      <c r="R759" s="1">
        <f>+IFERROR(VLOOKUP(R10,'נתוני מים 2014'!$C$2:$L$188,10,0)/1000,0)</f>
        <v>66.168000000000006</v>
      </c>
      <c r="S759" s="1">
        <f>+IFERROR(VLOOKUP(S10,'נתוני מים 2014'!$C$2:$L$188,10,0)/1000,0)</f>
        <v>0</v>
      </c>
      <c r="T759" s="1">
        <f>+IFERROR(VLOOKUP(T10,'נתוני מים 2014'!$C$2:$L$188,10,0)/1000,0)</f>
        <v>72.06</v>
      </c>
      <c r="U759" s="1">
        <f>+IFERROR(VLOOKUP(U10,'נתוני מים 2014'!$C$2:$L$188,10,0)/1000,0)</f>
        <v>0</v>
      </c>
      <c r="V759" s="1">
        <f>+IFERROR(VLOOKUP(V10,'נתוני מים 2014'!$C$2:$L$188,10,0)/1000,0)</f>
        <v>45.694000000000003</v>
      </c>
      <c r="W759" s="1">
        <f>+IFERROR(VLOOKUP(W10,'נתוני מים 2014'!$C$2:$L$188,10,0)/1000,0)</f>
        <v>334.79599999999999</v>
      </c>
      <c r="X759" s="1">
        <f>+IFERROR(VLOOKUP(X10,'נתוני מים 2014'!$C$2:$L$188,10,0)/1000,0)</f>
        <v>262.67399999999998</v>
      </c>
      <c r="Y759" s="1">
        <f>+IFERROR(VLOOKUP(Y10,'נתוני מים 2014'!$C$2:$L$188,10,0)/1000,0)</f>
        <v>51.591999999999999</v>
      </c>
      <c r="Z759" s="1">
        <f>+IFERROR(VLOOKUP(Z10,'נתוני מים 2014'!$C$2:$L$188,10,0)/1000,0)</f>
        <v>0</v>
      </c>
      <c r="AA759" s="1">
        <f>+IFERROR(VLOOKUP(AA10,'נתוני מים 2014'!$C$2:$L$188,10,0)/1000,0)</f>
        <v>0</v>
      </c>
      <c r="AB759" s="1">
        <f>+IFERROR(VLOOKUP(AB10,'נתוני מים 2014'!$C$2:$L$188,10,0)/1000,0)</f>
        <v>0</v>
      </c>
      <c r="AC759" s="1">
        <f>+IFERROR(VLOOKUP(AC10,'נתוני מים 2014'!$C$2:$L$188,10,0)/1000,0)</f>
        <v>0</v>
      </c>
      <c r="AD759" s="1">
        <f>+IFERROR(VLOOKUP(AD10,'נתוני מים 2014'!$C$2:$L$188,10,0)/1000,0)</f>
        <v>0</v>
      </c>
      <c r="AE759" s="1">
        <f>+IFERROR(VLOOKUP(AE10,'נתוני מים 2014'!$C$2:$L$188,10,0)/1000,0)</f>
        <v>0</v>
      </c>
      <c r="AF759" s="1">
        <f>+IFERROR(VLOOKUP(AF10,'נתוני מים 2014'!$C$2:$L$188,10,0)/1000,0)</f>
        <v>0</v>
      </c>
      <c r="AG759" s="1">
        <f>+IFERROR(VLOOKUP(AG10,'נתוני מים 2014'!$C$2:$L$188,10,0)/1000,0)</f>
        <v>0</v>
      </c>
      <c r="AH759" s="1">
        <f>+IFERROR(VLOOKUP(AH10,'נתוני מים 2014'!$C$2:$L$188,10,0)/1000,0)</f>
        <v>0</v>
      </c>
      <c r="AI759" s="1">
        <f>+IFERROR(VLOOKUP(AI10,'נתוני מים 2014'!$C$2:$L$188,10,0)/1000,0)</f>
        <v>0</v>
      </c>
      <c r="AJ759" s="1">
        <f>+IFERROR(VLOOKUP(AJ10,'נתוני מים 2014'!$C$2:$L$188,10,0)/1000,0)</f>
        <v>0</v>
      </c>
      <c r="AK759" s="1">
        <f>+IFERROR(VLOOKUP(AK10,'נתוני מים 2014'!$C$2:$L$188,10,0)/1000,0)</f>
        <v>0</v>
      </c>
      <c r="AL759" s="1">
        <f>+IFERROR(VLOOKUP(AL10,'נתוני מים 2014'!$C$2:$L$188,10,0)/1000,0)</f>
        <v>0</v>
      </c>
      <c r="AM759" s="1">
        <f>+IFERROR(VLOOKUP(AM10,'נתוני מים 2014'!$C$2:$L$188,10,0)/1000,0)</f>
        <v>80.826999999999998</v>
      </c>
      <c r="AN759" s="1">
        <f>+IFERROR(VLOOKUP(AN10,'נתוני מים 2014'!$C$2:$L$188,10,0)/1000,0)</f>
        <v>681.98</v>
      </c>
      <c r="AO759" s="1">
        <f>+IFERROR(VLOOKUP(AO10,'נתוני מים 2014'!$C$2:$L$188,10,0)/1000,0)</f>
        <v>0</v>
      </c>
      <c r="AP759" s="1">
        <f>+IFERROR(VLOOKUP(AP10,'נתוני מים 2014'!$C$2:$L$188,10,0)/1000,0)</f>
        <v>0</v>
      </c>
      <c r="AQ759" s="1">
        <f>+IFERROR(VLOOKUP(AQ10,'נתוני מים 2014'!$C$2:$L$188,10,0)/1000,0)</f>
        <v>0</v>
      </c>
      <c r="AR759" s="1">
        <f>+IFERROR(VLOOKUP(AR10,'נתוני מים 2014'!$C$2:$L$188,10,0)/1000,0)</f>
        <v>0</v>
      </c>
      <c r="AS759" s="1">
        <f>+IFERROR(VLOOKUP(AS10,'נתוני מים 2014'!$C$2:$L$188,10,0)/1000,0)</f>
        <v>92.853999999999999</v>
      </c>
      <c r="AT759" s="1">
        <f>+IFERROR(VLOOKUP(AT10,'נתוני מים 2014'!$C$2:$L$188,10,0)/1000,0)</f>
        <v>0</v>
      </c>
      <c r="AU759" s="1">
        <f>+IFERROR(VLOOKUP(AU10,'נתוני מים 2014'!$C$2:$L$188,10,0)/1000,0)</f>
        <v>0</v>
      </c>
      <c r="AV759" s="1">
        <f>+IFERROR(VLOOKUP(AV10,'נתוני מים 2014'!$C$2:$L$188,10,0)/1000,0)</f>
        <v>0</v>
      </c>
      <c r="AW759" s="1">
        <f>+IFERROR(VLOOKUP(AW10,'נתוני מים 2014'!$C$2:$L$188,10,0)/1000,0)</f>
        <v>0</v>
      </c>
      <c r="AX759" s="1">
        <f>+IFERROR(VLOOKUP(AX10,'נתוני מים 2014'!$C$2:$L$188,10,0)/1000,0)</f>
        <v>668.12599999999998</v>
      </c>
      <c r="AY759" s="1">
        <f>+IFERROR(VLOOKUP(AY10,'נתוני מים 2014'!$C$2:$L$188,10,0)/1000,0)</f>
        <v>0</v>
      </c>
      <c r="AZ759" s="1">
        <f>+IFERROR(VLOOKUP(AZ10,'נתוני מים 2014'!$C$2:$L$188,10,0)/1000,0)</f>
        <v>57.26</v>
      </c>
      <c r="BA759" s="1">
        <f>+IFERROR(VLOOKUP(BA10,'נתוני מים 2014'!$C$2:$L$188,10,0)/1000,0)</f>
        <v>113.559</v>
      </c>
      <c r="BB759" s="1">
        <f>+IFERROR(VLOOKUP(BB10,'נתוני מים 2014'!$C$2:$L$188,10,0)/1000,0)</f>
        <v>158.36600000000001</v>
      </c>
      <c r="BC759" s="1">
        <f>+IFERROR(VLOOKUP(BC10,'נתוני מים 2014'!$C$2:$L$188,10,0)/1000,0)</f>
        <v>96.704999999999998</v>
      </c>
      <c r="BD759" s="1">
        <f>+IFERROR(VLOOKUP(BD10,'נתוני מים 2014'!$C$2:$L$188,10,0)/1000,0)</f>
        <v>0</v>
      </c>
      <c r="BE759" s="1">
        <f>+IFERROR(VLOOKUP(BE10,'נתוני מים 2014'!$C$2:$L$188,10,0)/1000,0)</f>
        <v>0</v>
      </c>
      <c r="BF759" s="1">
        <f>+IFERROR(VLOOKUP(BF10,'נתוני מים 2014'!$C$2:$L$188,10,0)/1000,0)</f>
        <v>0</v>
      </c>
    </row>
    <row r="760" spans="1:58" x14ac:dyDescent="0.2">
      <c r="B760" s="1">
        <v>4</v>
      </c>
      <c r="C760" s="1">
        <f>+IFERROR(VLOOKUP(C11,'נתוני מים 2014'!$C$2:$L$188,10,0)/1000,0)</f>
        <v>0</v>
      </c>
      <c r="D760" s="1">
        <f>+IFERROR(VLOOKUP(D11,'נתוני מים 2014'!$C$2:$L$188,10,0)/1000,0)</f>
        <v>147.20699999999999</v>
      </c>
      <c r="E760" s="1">
        <f>+IFERROR(VLOOKUP(E11,'נתוני מים 2014'!$C$2:$L$188,10,0)/1000,0)</f>
        <v>0</v>
      </c>
      <c r="F760" s="1">
        <f>+IFERROR(VLOOKUP(F11,'נתוני מים 2014'!$C$2:$L$188,10,0)/1000,0)</f>
        <v>0</v>
      </c>
      <c r="G760" s="1">
        <f>+IFERROR(VLOOKUP(G11,'נתוני מים 2014'!$C$2:$L$188,10,0)/1000,0)</f>
        <v>0</v>
      </c>
      <c r="H760" s="1">
        <f>+IFERROR(VLOOKUP(H11,'נתוני מים 2014'!$C$2:$L$188,10,0)/1000,0)</f>
        <v>0</v>
      </c>
      <c r="I760" s="1">
        <f>+IFERROR(VLOOKUP(I11,'נתוני מים 2014'!$C$2:$L$188,10,0)/1000,0)</f>
        <v>0</v>
      </c>
      <c r="J760" s="1">
        <f>+IFERROR(VLOOKUP(J11,'נתוני מים 2014'!$C$2:$L$188,10,0)/1000,0)</f>
        <v>0</v>
      </c>
      <c r="K760" s="1">
        <f>+IFERROR(VLOOKUP(K11,'נתוני מים 2014'!$C$2:$L$188,10,0)/1000,0)</f>
        <v>0</v>
      </c>
      <c r="L760" s="1">
        <f>+IFERROR(VLOOKUP(L11,'נתוני מים 2014'!$C$2:$L$188,10,0)/1000,0)</f>
        <v>33.546999999999997</v>
      </c>
      <c r="M760" s="1">
        <f>+IFERROR(VLOOKUP(M11,'נתוני מים 2014'!$C$2:$L$188,10,0)/1000,0)</f>
        <v>0</v>
      </c>
      <c r="N760" s="1">
        <f>+IFERROR(VLOOKUP(N11,'נתוני מים 2014'!$C$2:$L$188,10,0)/1000,0)</f>
        <v>0</v>
      </c>
      <c r="O760" s="1">
        <f>+IFERROR(VLOOKUP(O11,'נתוני מים 2014'!$C$2:$L$188,10,0)/1000,0)</f>
        <v>685.88099999999997</v>
      </c>
      <c r="P760" s="1">
        <f>+IFERROR(VLOOKUP(P11,'נתוני מים 2014'!$C$2:$L$188,10,0)/1000,0)</f>
        <v>6.415</v>
      </c>
      <c r="Q760" s="1">
        <f>+IFERROR(VLOOKUP(Q11,'נתוני מים 2014'!$C$2:$L$188,10,0)/1000,0)</f>
        <v>0</v>
      </c>
      <c r="R760" s="1">
        <f>+IFERROR(VLOOKUP(R11,'נתוני מים 2014'!$C$2:$L$188,10,0)/1000,0)</f>
        <v>0</v>
      </c>
      <c r="S760" s="1">
        <f>+IFERROR(VLOOKUP(S11,'נתוני מים 2014'!$C$2:$L$188,10,0)/1000,0)</f>
        <v>0</v>
      </c>
      <c r="T760" s="1">
        <f>+IFERROR(VLOOKUP(T11,'נתוני מים 2014'!$C$2:$L$188,10,0)/1000,0)</f>
        <v>48.042000000000002</v>
      </c>
      <c r="U760" s="1">
        <f>+IFERROR(VLOOKUP(U11,'נתוני מים 2014'!$C$2:$L$188,10,0)/1000,0)</f>
        <v>0</v>
      </c>
      <c r="V760" s="1">
        <f>+IFERROR(VLOOKUP(V11,'נתוני מים 2014'!$C$2:$L$188,10,0)/1000,0)</f>
        <v>89.772000000000006</v>
      </c>
      <c r="W760" s="1">
        <f>+IFERROR(VLOOKUP(W11,'נתוני מים 2014'!$C$2:$L$188,10,0)/1000,0)</f>
        <v>47.567999999999998</v>
      </c>
      <c r="X760" s="1">
        <f>+IFERROR(VLOOKUP(X11,'נתוני מים 2014'!$C$2:$L$188,10,0)/1000,0)</f>
        <v>162.42699999999999</v>
      </c>
      <c r="Y760" s="1">
        <f>+IFERROR(VLOOKUP(Y11,'נתוני מים 2014'!$C$2:$L$188,10,0)/1000,0)</f>
        <v>49.597000000000001</v>
      </c>
      <c r="Z760" s="1">
        <f>+IFERROR(VLOOKUP(Z11,'נתוני מים 2014'!$C$2:$L$188,10,0)/1000,0)</f>
        <v>0</v>
      </c>
      <c r="AA760" s="1">
        <f>+IFERROR(VLOOKUP(AA11,'נתוני מים 2014'!$C$2:$L$188,10,0)/1000,0)</f>
        <v>0</v>
      </c>
      <c r="AB760" s="1">
        <f>+IFERROR(VLOOKUP(AB11,'נתוני מים 2014'!$C$2:$L$188,10,0)/1000,0)</f>
        <v>0</v>
      </c>
      <c r="AC760" s="1">
        <f>+IFERROR(VLOOKUP(AC11,'נתוני מים 2014'!$C$2:$L$188,10,0)/1000,0)</f>
        <v>0</v>
      </c>
      <c r="AD760" s="1">
        <f>+IFERROR(VLOOKUP(AD11,'נתוני מים 2014'!$C$2:$L$188,10,0)/1000,0)</f>
        <v>0</v>
      </c>
      <c r="AE760" s="1">
        <f>+IFERROR(VLOOKUP(AE11,'נתוני מים 2014'!$C$2:$L$188,10,0)/1000,0)</f>
        <v>0</v>
      </c>
      <c r="AF760" s="1">
        <f>+IFERROR(VLOOKUP(AF11,'נתוני מים 2014'!$C$2:$L$188,10,0)/1000,0)</f>
        <v>0</v>
      </c>
      <c r="AG760" s="1">
        <f>+IFERROR(VLOOKUP(AG11,'נתוני מים 2014'!$C$2:$L$188,10,0)/1000,0)</f>
        <v>0</v>
      </c>
      <c r="AH760" s="1">
        <f>+IFERROR(VLOOKUP(AH11,'נתוני מים 2014'!$C$2:$L$188,10,0)/1000,0)</f>
        <v>0</v>
      </c>
      <c r="AI760" s="1">
        <f>+IFERROR(VLOOKUP(AI11,'נתוני מים 2014'!$C$2:$L$188,10,0)/1000,0)</f>
        <v>0</v>
      </c>
      <c r="AJ760" s="1">
        <f>+IFERROR(VLOOKUP(AJ11,'נתוני מים 2014'!$C$2:$L$188,10,0)/1000,0)</f>
        <v>0</v>
      </c>
      <c r="AK760" s="1">
        <f>+IFERROR(VLOOKUP(AK11,'נתוני מים 2014'!$C$2:$L$188,10,0)/1000,0)</f>
        <v>0</v>
      </c>
      <c r="AL760" s="1">
        <f>+IFERROR(VLOOKUP(AL11,'נתוני מים 2014'!$C$2:$L$188,10,0)/1000,0)</f>
        <v>0</v>
      </c>
      <c r="AM760" s="1">
        <f>+IFERROR(VLOOKUP(AM11,'נתוני מים 2014'!$C$2:$L$188,10,0)/1000,0)</f>
        <v>81.674000000000007</v>
      </c>
      <c r="AN760" s="1">
        <f>+IFERROR(VLOOKUP(AN11,'נתוני מים 2014'!$C$2:$L$188,10,0)/1000,0)</f>
        <v>509.87400000000002</v>
      </c>
      <c r="AO760" s="1">
        <f>+IFERROR(VLOOKUP(AO11,'נתוני מים 2014'!$C$2:$L$188,10,0)/1000,0)</f>
        <v>0</v>
      </c>
      <c r="AP760" s="1">
        <f>+IFERROR(VLOOKUP(AP11,'נתוני מים 2014'!$C$2:$L$188,10,0)/1000,0)</f>
        <v>0</v>
      </c>
      <c r="AQ760" s="1">
        <f>+IFERROR(VLOOKUP(AQ11,'נתוני מים 2014'!$C$2:$L$188,10,0)/1000,0)</f>
        <v>0</v>
      </c>
      <c r="AR760" s="1">
        <f>+IFERROR(VLOOKUP(AR11,'נתוני מים 2014'!$C$2:$L$188,10,0)/1000,0)</f>
        <v>0</v>
      </c>
      <c r="AS760" s="1">
        <f>+IFERROR(VLOOKUP(AS11,'נתוני מים 2014'!$C$2:$L$188,10,0)/1000,0)</f>
        <v>132.69800000000001</v>
      </c>
      <c r="AT760" s="1">
        <f>+IFERROR(VLOOKUP(AT11,'נתוני מים 2014'!$C$2:$L$188,10,0)/1000,0)</f>
        <v>0</v>
      </c>
      <c r="AU760" s="1">
        <f>+IFERROR(VLOOKUP(AU11,'נתוני מים 2014'!$C$2:$L$188,10,0)/1000,0)</f>
        <v>0</v>
      </c>
      <c r="AV760" s="1">
        <f>+IFERROR(VLOOKUP(AV11,'נתוני מים 2014'!$C$2:$L$188,10,0)/1000,0)</f>
        <v>0</v>
      </c>
      <c r="AW760" s="1">
        <f>+IFERROR(VLOOKUP(AW11,'נתוני מים 2014'!$C$2:$L$188,10,0)/1000,0)</f>
        <v>0</v>
      </c>
      <c r="AX760" s="1">
        <f>+IFERROR(VLOOKUP(AX11,'נתוני מים 2014'!$C$2:$L$188,10,0)/1000,0)</f>
        <v>598.26700000000005</v>
      </c>
      <c r="AY760" s="1">
        <f>+IFERROR(VLOOKUP(AY11,'נתוני מים 2014'!$C$2:$L$188,10,0)/1000,0)</f>
        <v>0</v>
      </c>
      <c r="AZ760" s="1">
        <f>+IFERROR(VLOOKUP(AZ11,'נתוני מים 2014'!$C$2:$L$188,10,0)/1000,0)</f>
        <v>362.52800000000002</v>
      </c>
      <c r="BA760" s="1">
        <f>+IFERROR(VLOOKUP(BA11,'נתוני מים 2014'!$C$2:$L$188,10,0)/1000,0)</f>
        <v>67.894999999999996</v>
      </c>
      <c r="BB760" s="1">
        <f>+IFERROR(VLOOKUP(BB11,'נתוני מים 2014'!$C$2:$L$188,10,0)/1000,0)</f>
        <v>86.989000000000004</v>
      </c>
      <c r="BC760" s="1">
        <f>+IFERROR(VLOOKUP(BC11,'נתוני מים 2014'!$C$2:$L$188,10,0)/1000,0)</f>
        <v>528.04499999999996</v>
      </c>
      <c r="BD760" s="1">
        <f>+IFERROR(VLOOKUP(BD11,'נתוני מים 2014'!$C$2:$L$188,10,0)/1000,0)</f>
        <v>0</v>
      </c>
      <c r="BE760" s="1">
        <f>+IFERROR(VLOOKUP(BE11,'נתוני מים 2014'!$C$2:$L$188,10,0)/1000,0)</f>
        <v>0</v>
      </c>
      <c r="BF760" s="1">
        <f>+IFERROR(VLOOKUP(BF11,'נתוני מים 2014'!$C$2:$L$188,10,0)/1000,0)</f>
        <v>0</v>
      </c>
    </row>
    <row r="761" spans="1:58" x14ac:dyDescent="0.2">
      <c r="B761" s="1">
        <v>5</v>
      </c>
      <c r="C761" s="1">
        <f>+IFERROR(VLOOKUP(C12,'נתוני מים 2014'!$C$2:$L$188,10,0)/1000,0)</f>
        <v>0</v>
      </c>
      <c r="D761" s="1">
        <f>+IFERROR(VLOOKUP(D12,'נתוני מים 2014'!$C$2:$L$188,10,0)/1000,0)</f>
        <v>36.773000000000003</v>
      </c>
      <c r="E761" s="1">
        <f>+IFERROR(VLOOKUP(E12,'נתוני מים 2014'!$C$2:$L$188,10,0)/1000,0)</f>
        <v>0</v>
      </c>
      <c r="F761" s="1">
        <f>+IFERROR(VLOOKUP(F12,'נתוני מים 2014'!$C$2:$L$188,10,0)/1000,0)</f>
        <v>0</v>
      </c>
      <c r="G761" s="1">
        <f>+IFERROR(VLOOKUP(G12,'נתוני מים 2014'!$C$2:$L$188,10,0)/1000,0)</f>
        <v>0</v>
      </c>
      <c r="H761" s="1">
        <f>+IFERROR(VLOOKUP(H12,'נתוני מים 2014'!$C$2:$L$188,10,0)/1000,0)</f>
        <v>0</v>
      </c>
      <c r="I761" s="1">
        <f>+IFERROR(VLOOKUP(I12,'נתוני מים 2014'!$C$2:$L$188,10,0)/1000,0)</f>
        <v>0</v>
      </c>
      <c r="J761" s="1">
        <f>+IFERROR(VLOOKUP(J12,'נתוני מים 2014'!$C$2:$L$188,10,0)/1000,0)</f>
        <v>0</v>
      </c>
      <c r="K761" s="1">
        <f>+IFERROR(VLOOKUP(K12,'נתוני מים 2014'!$C$2:$L$188,10,0)/1000,0)</f>
        <v>0</v>
      </c>
      <c r="L761" s="1">
        <f>+IFERROR(VLOOKUP(L12,'נתוני מים 2014'!$C$2:$L$188,10,0)/1000,0)</f>
        <v>0</v>
      </c>
      <c r="M761" s="1">
        <f>+IFERROR(VLOOKUP(M12,'נתוני מים 2014'!$C$2:$L$188,10,0)/1000,0)</f>
        <v>0</v>
      </c>
      <c r="N761" s="1">
        <f>+IFERROR(VLOOKUP(N12,'נתוני מים 2014'!$C$2:$L$188,10,0)/1000,0)</f>
        <v>0</v>
      </c>
      <c r="O761" s="1">
        <f>+IFERROR(VLOOKUP(O12,'נתוני מים 2014'!$C$2:$L$188,10,0)/1000,0)</f>
        <v>0</v>
      </c>
      <c r="P761" s="1">
        <f>+IFERROR(VLOOKUP(P12,'נתוני מים 2014'!$C$2:$L$188,10,0)/1000,0)</f>
        <v>15.189</v>
      </c>
      <c r="Q761" s="1">
        <f>+IFERROR(VLOOKUP(Q12,'נתוני מים 2014'!$C$2:$L$188,10,0)/1000,0)</f>
        <v>0</v>
      </c>
      <c r="R761" s="1">
        <f>+IFERROR(VLOOKUP(R12,'נתוני מים 2014'!$C$2:$L$188,10,0)/1000,0)</f>
        <v>0</v>
      </c>
      <c r="S761" s="1">
        <f>+IFERROR(VLOOKUP(S12,'נתוני מים 2014'!$C$2:$L$188,10,0)/1000,0)</f>
        <v>0</v>
      </c>
      <c r="T761" s="1">
        <f>+IFERROR(VLOOKUP(T12,'נתוני מים 2014'!$C$2:$L$188,10,0)/1000,0)</f>
        <v>0</v>
      </c>
      <c r="U761" s="1">
        <f>+IFERROR(VLOOKUP(U12,'נתוני מים 2014'!$C$2:$L$188,10,0)/1000,0)</f>
        <v>0</v>
      </c>
      <c r="V761" s="1">
        <f>+IFERROR(VLOOKUP(V12,'נתוני מים 2014'!$C$2:$L$188,10,0)/1000,0)</f>
        <v>171.82400000000001</v>
      </c>
      <c r="W761" s="1">
        <f>+IFERROR(VLOOKUP(W12,'נתוני מים 2014'!$C$2:$L$188,10,0)/1000,0)</f>
        <v>39.893000000000001</v>
      </c>
      <c r="X761" s="1">
        <f>+IFERROR(VLOOKUP(X12,'נתוני מים 2014'!$C$2:$L$188,10,0)/1000,0)</f>
        <v>113.765</v>
      </c>
      <c r="Y761" s="1">
        <f>+IFERROR(VLOOKUP(Y12,'נתוני מים 2014'!$C$2:$L$188,10,0)/1000,0)</f>
        <v>0</v>
      </c>
      <c r="Z761" s="1">
        <f>+IFERROR(VLOOKUP(Z12,'נתוני מים 2014'!$C$2:$L$188,10,0)/1000,0)</f>
        <v>0</v>
      </c>
      <c r="AA761" s="1">
        <f>+IFERROR(VLOOKUP(AA12,'נתוני מים 2014'!$C$2:$L$188,10,0)/1000,0)</f>
        <v>0</v>
      </c>
      <c r="AB761" s="1">
        <f>+IFERROR(VLOOKUP(AB12,'נתוני מים 2014'!$C$2:$L$188,10,0)/1000,0)</f>
        <v>0</v>
      </c>
      <c r="AC761" s="1">
        <f>+IFERROR(VLOOKUP(AC12,'נתוני מים 2014'!$C$2:$L$188,10,0)/1000,0)</f>
        <v>0</v>
      </c>
      <c r="AD761" s="1">
        <f>+IFERROR(VLOOKUP(AD12,'נתוני מים 2014'!$C$2:$L$188,10,0)/1000,0)</f>
        <v>0</v>
      </c>
      <c r="AE761" s="1">
        <f>+IFERROR(VLOOKUP(AE12,'נתוני מים 2014'!$C$2:$L$188,10,0)/1000,0)</f>
        <v>0</v>
      </c>
      <c r="AF761" s="1">
        <f>+IFERROR(VLOOKUP(AF12,'נתוני מים 2014'!$C$2:$L$188,10,0)/1000,0)</f>
        <v>0</v>
      </c>
      <c r="AG761" s="1">
        <f>+IFERROR(VLOOKUP(AG12,'נתוני מים 2014'!$C$2:$L$188,10,0)/1000,0)</f>
        <v>0</v>
      </c>
      <c r="AH761" s="1">
        <f>+IFERROR(VLOOKUP(AH12,'נתוני מים 2014'!$C$2:$L$188,10,0)/1000,0)</f>
        <v>0</v>
      </c>
      <c r="AI761" s="1">
        <f>+IFERROR(VLOOKUP(AI12,'נתוני מים 2014'!$C$2:$L$188,10,0)/1000,0)</f>
        <v>0</v>
      </c>
      <c r="AJ761" s="1">
        <f>+IFERROR(VLOOKUP(AJ12,'נתוני מים 2014'!$C$2:$L$188,10,0)/1000,0)</f>
        <v>0</v>
      </c>
      <c r="AK761" s="1">
        <f>+IFERROR(VLOOKUP(AK12,'נתוני מים 2014'!$C$2:$L$188,10,0)/1000,0)</f>
        <v>0</v>
      </c>
      <c r="AL761" s="1">
        <f>+IFERROR(VLOOKUP(AL12,'נתוני מים 2014'!$C$2:$L$188,10,0)/1000,0)</f>
        <v>0</v>
      </c>
      <c r="AM761" s="1">
        <f>+IFERROR(VLOOKUP(AM12,'נתוני מים 2014'!$C$2:$L$188,10,0)/1000,0)</f>
        <v>77.335999999999999</v>
      </c>
      <c r="AN761" s="1">
        <f>+IFERROR(VLOOKUP(AN12,'נתוני מים 2014'!$C$2:$L$188,10,0)/1000,0)</f>
        <v>435.91800000000001</v>
      </c>
      <c r="AO761" s="1">
        <f>+IFERROR(VLOOKUP(AO12,'נתוני מים 2014'!$C$2:$L$188,10,0)/1000,0)</f>
        <v>0</v>
      </c>
      <c r="AP761" s="1">
        <f>+IFERROR(VLOOKUP(AP12,'נתוני מים 2014'!$C$2:$L$188,10,0)/1000,0)</f>
        <v>0</v>
      </c>
      <c r="AQ761" s="1">
        <f>+IFERROR(VLOOKUP(AQ12,'נתוני מים 2014'!$C$2:$L$188,10,0)/1000,0)</f>
        <v>0</v>
      </c>
      <c r="AR761" s="1">
        <f>+IFERROR(VLOOKUP(AR12,'נתוני מים 2014'!$C$2:$L$188,10,0)/1000,0)</f>
        <v>0</v>
      </c>
      <c r="AS761" s="1">
        <f>+IFERROR(VLOOKUP(AS12,'נתוני מים 2014'!$C$2:$L$188,10,0)/1000,0)</f>
        <v>384.15899999999999</v>
      </c>
      <c r="AT761" s="1">
        <f>+IFERROR(VLOOKUP(AT12,'נתוני מים 2014'!$C$2:$L$188,10,0)/1000,0)</f>
        <v>0</v>
      </c>
      <c r="AU761" s="1">
        <f>+IFERROR(VLOOKUP(AU12,'נתוני מים 2014'!$C$2:$L$188,10,0)/1000,0)</f>
        <v>0</v>
      </c>
      <c r="AV761" s="1">
        <f>+IFERROR(VLOOKUP(AV12,'נתוני מים 2014'!$C$2:$L$188,10,0)/1000,0)</f>
        <v>0</v>
      </c>
      <c r="AW761" s="1">
        <f>+IFERROR(VLOOKUP(AW12,'נתוני מים 2014'!$C$2:$L$188,10,0)/1000,0)</f>
        <v>0</v>
      </c>
      <c r="AX761" s="1">
        <f>+IFERROR(VLOOKUP(AX12,'נתוני מים 2014'!$C$2:$L$188,10,0)/1000,0)</f>
        <v>0</v>
      </c>
      <c r="AY761" s="1">
        <f>+IFERROR(VLOOKUP(AY12,'נתוני מים 2014'!$C$2:$L$188,10,0)/1000,0)</f>
        <v>0</v>
      </c>
      <c r="AZ761" s="1">
        <f>+IFERROR(VLOOKUP(AZ12,'נתוני מים 2014'!$C$2:$L$188,10,0)/1000,0)</f>
        <v>0</v>
      </c>
      <c r="BA761" s="1">
        <f>+IFERROR(VLOOKUP(BA12,'נתוני מים 2014'!$C$2:$L$188,10,0)/1000,0)</f>
        <v>0</v>
      </c>
      <c r="BB761" s="1">
        <f>+IFERROR(VLOOKUP(BB12,'נתוני מים 2014'!$C$2:$L$188,10,0)/1000,0)</f>
        <v>341.11799999999999</v>
      </c>
      <c r="BC761" s="1">
        <f>+IFERROR(VLOOKUP(BC12,'נתוני מים 2014'!$C$2:$L$188,10,0)/1000,0)</f>
        <v>455.18599999999998</v>
      </c>
      <c r="BD761" s="1">
        <f>+IFERROR(VLOOKUP(BD12,'נתוני מים 2014'!$C$2:$L$188,10,0)/1000,0)</f>
        <v>0</v>
      </c>
      <c r="BE761" s="1">
        <f>+IFERROR(VLOOKUP(BE12,'נתוני מים 2014'!$C$2:$L$188,10,0)/1000,0)</f>
        <v>0</v>
      </c>
      <c r="BF761" s="1">
        <f>+IFERROR(VLOOKUP(BF12,'נתוני מים 2014'!$C$2:$L$188,10,0)/1000,0)</f>
        <v>0</v>
      </c>
    </row>
    <row r="762" spans="1:58" x14ac:dyDescent="0.2">
      <c r="B762" s="1">
        <v>6</v>
      </c>
      <c r="C762" s="1">
        <f>+IFERROR(VLOOKUP(C13,'נתוני מים 2014'!$C$2:$L$188,10,0)/1000,0)</f>
        <v>0</v>
      </c>
      <c r="D762" s="1">
        <f>+IFERROR(VLOOKUP(D13,'נתוני מים 2014'!$C$2:$L$188,10,0)/1000,0)</f>
        <v>20.878</v>
      </c>
      <c r="E762" s="1">
        <f>+IFERROR(VLOOKUP(E13,'נתוני מים 2014'!$C$2:$L$188,10,0)/1000,0)</f>
        <v>0</v>
      </c>
      <c r="F762" s="1">
        <f>+IFERROR(VLOOKUP(F13,'נתוני מים 2014'!$C$2:$L$188,10,0)/1000,0)</f>
        <v>0</v>
      </c>
      <c r="G762" s="1">
        <f>+IFERROR(VLOOKUP(G13,'נתוני מים 2014'!$C$2:$L$188,10,0)/1000,0)</f>
        <v>0</v>
      </c>
      <c r="H762" s="1">
        <f>+IFERROR(VLOOKUP(H13,'נתוני מים 2014'!$C$2:$L$188,10,0)/1000,0)</f>
        <v>0</v>
      </c>
      <c r="I762" s="1">
        <f>+IFERROR(VLOOKUP(I13,'נתוני מים 2014'!$C$2:$L$188,10,0)/1000,0)</f>
        <v>0</v>
      </c>
      <c r="J762" s="1">
        <f>+IFERROR(VLOOKUP(J13,'נתוני מים 2014'!$C$2:$L$188,10,0)/1000,0)</f>
        <v>0</v>
      </c>
      <c r="K762" s="1">
        <f>+IFERROR(VLOOKUP(K13,'נתוני מים 2014'!$C$2:$L$188,10,0)/1000,0)</f>
        <v>0</v>
      </c>
      <c r="L762" s="1">
        <f>+IFERROR(VLOOKUP(L13,'נתוני מים 2014'!$C$2:$L$188,10,0)/1000,0)</f>
        <v>0</v>
      </c>
      <c r="M762" s="1">
        <f>+IFERROR(VLOOKUP(M13,'נתוני מים 2014'!$C$2:$L$188,10,0)/1000,0)</f>
        <v>0</v>
      </c>
      <c r="N762" s="1">
        <f>+IFERROR(VLOOKUP(N13,'נתוני מים 2014'!$C$2:$L$188,10,0)/1000,0)</f>
        <v>0</v>
      </c>
      <c r="O762" s="1">
        <f>+IFERROR(VLOOKUP(O13,'נתוני מים 2014'!$C$2:$L$188,10,0)/1000,0)</f>
        <v>0</v>
      </c>
      <c r="P762" s="1">
        <f>+IFERROR(VLOOKUP(P13,'נתוני מים 2014'!$C$2:$L$188,10,0)/1000,0)</f>
        <v>81.004999999999995</v>
      </c>
      <c r="Q762" s="1">
        <f>+IFERROR(VLOOKUP(Q13,'נתוני מים 2014'!$C$2:$L$188,10,0)/1000,0)</f>
        <v>0</v>
      </c>
      <c r="R762" s="1">
        <f>+IFERROR(VLOOKUP(R13,'נתוני מים 2014'!$C$2:$L$188,10,0)/1000,0)</f>
        <v>0</v>
      </c>
      <c r="S762" s="1">
        <f>+IFERROR(VLOOKUP(S13,'נתוני מים 2014'!$C$2:$L$188,10,0)/1000,0)</f>
        <v>0</v>
      </c>
      <c r="T762" s="1">
        <f>+IFERROR(VLOOKUP(T13,'נתוני מים 2014'!$C$2:$L$188,10,0)/1000,0)</f>
        <v>0</v>
      </c>
      <c r="U762" s="1">
        <f>+IFERROR(VLOOKUP(U13,'נתוני מים 2014'!$C$2:$L$188,10,0)/1000,0)</f>
        <v>0</v>
      </c>
      <c r="V762" s="1">
        <f>+IFERROR(VLOOKUP(V13,'נתוני מים 2014'!$C$2:$L$188,10,0)/1000,0)</f>
        <v>94.841999999999999</v>
      </c>
      <c r="W762" s="1">
        <f>+IFERROR(VLOOKUP(W13,'נתוני מים 2014'!$C$2:$L$188,10,0)/1000,0)</f>
        <v>542.75199999999995</v>
      </c>
      <c r="X762" s="1">
        <f>+IFERROR(VLOOKUP(X13,'נתוני מים 2014'!$C$2:$L$188,10,0)/1000,0)</f>
        <v>0</v>
      </c>
      <c r="Y762" s="1">
        <f>+IFERROR(VLOOKUP(Y13,'נתוני מים 2014'!$C$2:$L$188,10,0)/1000,0)</f>
        <v>0</v>
      </c>
      <c r="Z762" s="1">
        <f>+IFERROR(VLOOKUP(Z13,'נתוני מים 2014'!$C$2:$L$188,10,0)/1000,0)</f>
        <v>0</v>
      </c>
      <c r="AA762" s="1">
        <f>+IFERROR(VLOOKUP(AA13,'נתוני מים 2014'!$C$2:$L$188,10,0)/1000,0)</f>
        <v>0</v>
      </c>
      <c r="AB762" s="1">
        <f>+IFERROR(VLOOKUP(AB13,'נתוני מים 2014'!$C$2:$L$188,10,0)/1000,0)</f>
        <v>0</v>
      </c>
      <c r="AC762" s="1">
        <f>+IFERROR(VLOOKUP(AC13,'נתוני מים 2014'!$C$2:$L$188,10,0)/1000,0)</f>
        <v>0</v>
      </c>
      <c r="AD762" s="1">
        <f>+IFERROR(VLOOKUP(AD13,'נתוני מים 2014'!$C$2:$L$188,10,0)/1000,0)</f>
        <v>0</v>
      </c>
      <c r="AE762" s="1">
        <f>+IFERROR(VLOOKUP(AE13,'נתוני מים 2014'!$C$2:$L$188,10,0)/1000,0)</f>
        <v>0</v>
      </c>
      <c r="AF762" s="1">
        <f>+IFERROR(VLOOKUP(AF13,'נתוני מים 2014'!$C$2:$L$188,10,0)/1000,0)</f>
        <v>0</v>
      </c>
      <c r="AG762" s="1">
        <f>+IFERROR(VLOOKUP(AG13,'נתוני מים 2014'!$C$2:$L$188,10,0)/1000,0)</f>
        <v>0</v>
      </c>
      <c r="AH762" s="1">
        <f>+IFERROR(VLOOKUP(AH13,'נתוני מים 2014'!$C$2:$L$188,10,0)/1000,0)</f>
        <v>0</v>
      </c>
      <c r="AI762" s="1">
        <f>+IFERROR(VLOOKUP(AI13,'נתוני מים 2014'!$C$2:$L$188,10,0)/1000,0)</f>
        <v>0</v>
      </c>
      <c r="AJ762" s="1">
        <f>+IFERROR(VLOOKUP(AJ13,'נתוני מים 2014'!$C$2:$L$188,10,0)/1000,0)</f>
        <v>0</v>
      </c>
      <c r="AK762" s="1">
        <f>+IFERROR(VLOOKUP(AK13,'נתוני מים 2014'!$C$2:$L$188,10,0)/1000,0)</f>
        <v>0</v>
      </c>
      <c r="AL762" s="1">
        <f>+IFERROR(VLOOKUP(AL13,'נתוני מים 2014'!$C$2:$L$188,10,0)/1000,0)</f>
        <v>0</v>
      </c>
      <c r="AM762" s="1">
        <f>+IFERROR(VLOOKUP(AM13,'נתוני מים 2014'!$C$2:$L$188,10,0)/1000,0)</f>
        <v>0</v>
      </c>
      <c r="AN762" s="1">
        <f>+IFERROR(VLOOKUP(AN13,'נתוני מים 2014'!$C$2:$L$188,10,0)/1000,0)</f>
        <v>227.46700000000001</v>
      </c>
      <c r="AO762" s="1">
        <f>+IFERROR(VLOOKUP(AO13,'נתוני מים 2014'!$C$2:$L$188,10,0)/1000,0)</f>
        <v>0</v>
      </c>
      <c r="AP762" s="1">
        <f>+IFERROR(VLOOKUP(AP13,'נתוני מים 2014'!$C$2:$L$188,10,0)/1000,0)</f>
        <v>0</v>
      </c>
      <c r="AQ762" s="1">
        <f>+IFERROR(VLOOKUP(AQ13,'נתוני מים 2014'!$C$2:$L$188,10,0)/1000,0)</f>
        <v>0</v>
      </c>
      <c r="AR762" s="1">
        <f>+IFERROR(VLOOKUP(AR13,'נתוני מים 2014'!$C$2:$L$188,10,0)/1000,0)</f>
        <v>0</v>
      </c>
      <c r="AS762" s="1">
        <f>+IFERROR(VLOOKUP(AS13,'נתוני מים 2014'!$C$2:$L$188,10,0)/1000,0)</f>
        <v>118.83499999999999</v>
      </c>
      <c r="AT762" s="1">
        <f>+IFERROR(VLOOKUP(AT13,'נתוני מים 2014'!$C$2:$L$188,10,0)/1000,0)</f>
        <v>0</v>
      </c>
      <c r="AU762" s="1">
        <f>+IFERROR(VLOOKUP(AU13,'נתוני מים 2014'!$C$2:$L$188,10,0)/1000,0)</f>
        <v>0</v>
      </c>
      <c r="AV762" s="1">
        <f>+IFERROR(VLOOKUP(AV13,'נתוני מים 2014'!$C$2:$L$188,10,0)/1000,0)</f>
        <v>0</v>
      </c>
      <c r="AW762" s="1">
        <f>+IFERROR(VLOOKUP(AW13,'נתוני מים 2014'!$C$2:$L$188,10,0)/1000,0)</f>
        <v>0</v>
      </c>
      <c r="AX762" s="1">
        <f>+IFERROR(VLOOKUP(AX13,'נתוני מים 2014'!$C$2:$L$188,10,0)/1000,0)</f>
        <v>0</v>
      </c>
      <c r="AY762" s="1">
        <f>+IFERROR(VLOOKUP(AY13,'נתוני מים 2014'!$C$2:$L$188,10,0)/1000,0)</f>
        <v>0</v>
      </c>
      <c r="AZ762" s="1">
        <f>+IFERROR(VLOOKUP(AZ13,'נתוני מים 2014'!$C$2:$L$188,10,0)/1000,0)</f>
        <v>0</v>
      </c>
      <c r="BA762" s="1">
        <f>+IFERROR(VLOOKUP(BA13,'נתוני מים 2014'!$C$2:$L$188,10,0)/1000,0)</f>
        <v>0</v>
      </c>
      <c r="BB762" s="1">
        <f>+IFERROR(VLOOKUP(BB13,'נתוני מים 2014'!$C$2:$L$188,10,0)/1000,0)</f>
        <v>63.712000000000003</v>
      </c>
      <c r="BC762" s="1">
        <f>+IFERROR(VLOOKUP(BC13,'נתוני מים 2014'!$C$2:$L$188,10,0)/1000,0)</f>
        <v>162.35599999999999</v>
      </c>
      <c r="BD762" s="1">
        <f>+IFERROR(VLOOKUP(BD13,'נתוני מים 2014'!$C$2:$L$188,10,0)/1000,0)</f>
        <v>0</v>
      </c>
      <c r="BE762" s="1">
        <f>+IFERROR(VLOOKUP(BE13,'נתוני מים 2014'!$C$2:$L$188,10,0)/1000,0)</f>
        <v>0</v>
      </c>
      <c r="BF762" s="1">
        <f>+IFERROR(VLOOKUP(BF13,'נתוני מים 2014'!$C$2:$L$188,10,0)/1000,0)</f>
        <v>0</v>
      </c>
    </row>
    <row r="763" spans="1:58" x14ac:dyDescent="0.2">
      <c r="B763" s="1">
        <v>7</v>
      </c>
      <c r="C763" s="1">
        <f>+IFERROR(VLOOKUP(C14,'נתוני מים 2014'!$C$2:$L$188,10,0)/1000,0)</f>
        <v>0</v>
      </c>
      <c r="D763" s="1">
        <f>+IFERROR(VLOOKUP(D14,'נתוני מים 2014'!$C$2:$L$188,10,0)/1000,0)</f>
        <v>58.811</v>
      </c>
      <c r="E763" s="1">
        <f>+IFERROR(VLOOKUP(E14,'נתוני מים 2014'!$C$2:$L$188,10,0)/1000,0)</f>
        <v>0</v>
      </c>
      <c r="F763" s="1">
        <f>+IFERROR(VLOOKUP(F14,'נתוני מים 2014'!$C$2:$L$188,10,0)/1000,0)</f>
        <v>0</v>
      </c>
      <c r="G763" s="1">
        <f>+IFERROR(VLOOKUP(G14,'נתוני מים 2014'!$C$2:$L$188,10,0)/1000,0)</f>
        <v>0</v>
      </c>
      <c r="H763" s="1">
        <f>+IFERROR(VLOOKUP(H14,'נתוני מים 2014'!$C$2:$L$188,10,0)/1000,0)</f>
        <v>0</v>
      </c>
      <c r="I763" s="1">
        <f>+IFERROR(VLOOKUP(I14,'נתוני מים 2014'!$C$2:$L$188,10,0)/1000,0)</f>
        <v>0</v>
      </c>
      <c r="J763" s="1">
        <f>+IFERROR(VLOOKUP(J14,'נתוני מים 2014'!$C$2:$L$188,10,0)/1000,0)</f>
        <v>0</v>
      </c>
      <c r="K763" s="1">
        <f>+IFERROR(VLOOKUP(K14,'נתוני מים 2014'!$C$2:$L$188,10,0)/1000,0)</f>
        <v>0</v>
      </c>
      <c r="L763" s="1">
        <f>+IFERROR(VLOOKUP(L14,'נתוני מים 2014'!$C$2:$L$188,10,0)/1000,0)</f>
        <v>0</v>
      </c>
      <c r="M763" s="1">
        <f>+IFERROR(VLOOKUP(M14,'נתוני מים 2014'!$C$2:$L$188,10,0)/1000,0)</f>
        <v>0</v>
      </c>
      <c r="N763" s="1">
        <f>+IFERROR(VLOOKUP(N14,'נתוני מים 2014'!$C$2:$L$188,10,0)/1000,0)</f>
        <v>0</v>
      </c>
      <c r="O763" s="1">
        <f>+IFERROR(VLOOKUP(O14,'נתוני מים 2014'!$C$2:$L$188,10,0)/1000,0)</f>
        <v>0</v>
      </c>
      <c r="P763" s="1">
        <f>+IFERROR(VLOOKUP(P14,'נתוני מים 2014'!$C$2:$L$188,10,0)/1000,0)</f>
        <v>47.866</v>
      </c>
      <c r="Q763" s="1">
        <f>+IFERROR(VLOOKUP(Q14,'נתוני מים 2014'!$C$2:$L$188,10,0)/1000,0)</f>
        <v>0</v>
      </c>
      <c r="R763" s="1">
        <f>+IFERROR(VLOOKUP(R14,'נתוני מים 2014'!$C$2:$L$188,10,0)/1000,0)</f>
        <v>0</v>
      </c>
      <c r="S763" s="1">
        <f>+IFERROR(VLOOKUP(S14,'נתוני מים 2014'!$C$2:$L$188,10,0)/1000,0)</f>
        <v>0</v>
      </c>
      <c r="T763" s="1">
        <f>+IFERROR(VLOOKUP(T14,'נתוני מים 2014'!$C$2:$L$188,10,0)/1000,0)</f>
        <v>0</v>
      </c>
      <c r="U763" s="1">
        <f>+IFERROR(VLOOKUP(U14,'נתוני מים 2014'!$C$2:$L$188,10,0)/1000,0)</f>
        <v>0</v>
      </c>
      <c r="V763" s="1">
        <f>+IFERROR(VLOOKUP(V14,'נתוני מים 2014'!$C$2:$L$188,10,0)/1000,0)</f>
        <v>116.72199999999999</v>
      </c>
      <c r="W763" s="1">
        <f>+IFERROR(VLOOKUP(W14,'נתוני מים 2014'!$C$2:$L$188,10,0)/1000,0)</f>
        <v>45.390999999999998</v>
      </c>
      <c r="X763" s="1">
        <f>+IFERROR(VLOOKUP(X14,'נתוני מים 2014'!$C$2:$L$188,10,0)/1000,0)</f>
        <v>0</v>
      </c>
      <c r="Y763" s="1">
        <f>+IFERROR(VLOOKUP(Y14,'נתוני מים 2014'!$C$2:$L$188,10,0)/1000,0)</f>
        <v>0</v>
      </c>
      <c r="Z763" s="1">
        <f>+IFERROR(VLOOKUP(Z14,'נתוני מים 2014'!$C$2:$L$188,10,0)/1000,0)</f>
        <v>0</v>
      </c>
      <c r="AA763" s="1">
        <f>+IFERROR(VLOOKUP(AA14,'נתוני מים 2014'!$C$2:$L$188,10,0)/1000,0)</f>
        <v>0</v>
      </c>
      <c r="AB763" s="1">
        <f>+IFERROR(VLOOKUP(AB14,'נתוני מים 2014'!$C$2:$L$188,10,0)/1000,0)</f>
        <v>0</v>
      </c>
      <c r="AC763" s="1">
        <f>+IFERROR(VLOOKUP(AC14,'נתוני מים 2014'!$C$2:$L$188,10,0)/1000,0)</f>
        <v>0</v>
      </c>
      <c r="AD763" s="1">
        <f>+IFERROR(VLOOKUP(AD14,'נתוני מים 2014'!$C$2:$L$188,10,0)/1000,0)</f>
        <v>0</v>
      </c>
      <c r="AE763" s="1">
        <f>+IFERROR(VLOOKUP(AE14,'נתוני מים 2014'!$C$2:$L$188,10,0)/1000,0)</f>
        <v>0</v>
      </c>
      <c r="AF763" s="1">
        <f>+IFERROR(VLOOKUP(AF14,'נתוני מים 2014'!$C$2:$L$188,10,0)/1000,0)</f>
        <v>0</v>
      </c>
      <c r="AG763" s="1">
        <f>+IFERROR(VLOOKUP(AG14,'נתוני מים 2014'!$C$2:$L$188,10,0)/1000,0)</f>
        <v>0</v>
      </c>
      <c r="AH763" s="1">
        <f>+IFERROR(VLOOKUP(AH14,'נתוני מים 2014'!$C$2:$L$188,10,0)/1000,0)</f>
        <v>0</v>
      </c>
      <c r="AI763" s="1">
        <f>+IFERROR(VLOOKUP(AI14,'נתוני מים 2014'!$C$2:$L$188,10,0)/1000,0)</f>
        <v>0</v>
      </c>
      <c r="AJ763" s="1">
        <f>+IFERROR(VLOOKUP(AJ14,'נתוני מים 2014'!$C$2:$L$188,10,0)/1000,0)</f>
        <v>0</v>
      </c>
      <c r="AK763" s="1">
        <f>+IFERROR(VLOOKUP(AK14,'נתוני מים 2014'!$C$2:$L$188,10,0)/1000,0)</f>
        <v>0</v>
      </c>
      <c r="AL763" s="1">
        <f>+IFERROR(VLOOKUP(AL14,'נתוני מים 2014'!$C$2:$L$188,10,0)/1000,0)</f>
        <v>0</v>
      </c>
      <c r="AM763" s="1">
        <f>+IFERROR(VLOOKUP(AM14,'נתוני מים 2014'!$C$2:$L$188,10,0)/1000,0)</f>
        <v>0</v>
      </c>
      <c r="AN763" s="1">
        <f>+IFERROR(VLOOKUP(AN14,'נתוני מים 2014'!$C$2:$L$188,10,0)/1000,0)</f>
        <v>0</v>
      </c>
      <c r="AO763" s="1">
        <f>+IFERROR(VLOOKUP(AO14,'נתוני מים 2014'!$C$2:$L$188,10,0)/1000,0)</f>
        <v>0</v>
      </c>
      <c r="AP763" s="1">
        <f>+IFERROR(VLOOKUP(AP14,'נתוני מים 2014'!$C$2:$L$188,10,0)/1000,0)</f>
        <v>0</v>
      </c>
      <c r="AQ763" s="1">
        <f>+IFERROR(VLOOKUP(AQ14,'נתוני מים 2014'!$C$2:$L$188,10,0)/1000,0)</f>
        <v>0</v>
      </c>
      <c r="AR763" s="1">
        <f>+IFERROR(VLOOKUP(AR14,'נתוני מים 2014'!$C$2:$L$188,10,0)/1000,0)</f>
        <v>0</v>
      </c>
      <c r="AS763" s="1">
        <f>+IFERROR(VLOOKUP(AS14,'נתוני מים 2014'!$C$2:$L$188,10,0)/1000,0)</f>
        <v>24.646999999999998</v>
      </c>
      <c r="AT763" s="1">
        <f>+IFERROR(VLOOKUP(AT14,'נתוני מים 2014'!$C$2:$L$188,10,0)/1000,0)</f>
        <v>0</v>
      </c>
      <c r="AU763" s="1">
        <f>+IFERROR(VLOOKUP(AU14,'נתוני מים 2014'!$C$2:$L$188,10,0)/1000,0)</f>
        <v>0</v>
      </c>
      <c r="AV763" s="1">
        <f>+IFERROR(VLOOKUP(AV14,'נתוני מים 2014'!$C$2:$L$188,10,0)/1000,0)</f>
        <v>0</v>
      </c>
      <c r="AW763" s="1">
        <f>+IFERROR(VLOOKUP(AW14,'נתוני מים 2014'!$C$2:$L$188,10,0)/1000,0)</f>
        <v>0</v>
      </c>
      <c r="AX763" s="1">
        <f>+IFERROR(VLOOKUP(AX14,'נתוני מים 2014'!$C$2:$L$188,10,0)/1000,0)</f>
        <v>0</v>
      </c>
      <c r="AY763" s="1">
        <f>+IFERROR(VLOOKUP(AY14,'נתוני מים 2014'!$C$2:$L$188,10,0)/1000,0)</f>
        <v>0</v>
      </c>
      <c r="AZ763" s="1">
        <f>+IFERROR(VLOOKUP(AZ14,'נתוני מים 2014'!$C$2:$L$188,10,0)/1000,0)</f>
        <v>0</v>
      </c>
      <c r="BA763" s="1">
        <f>+IFERROR(VLOOKUP(BA14,'נתוני מים 2014'!$C$2:$L$188,10,0)/1000,0)</f>
        <v>0</v>
      </c>
      <c r="BB763" s="1">
        <f>+IFERROR(VLOOKUP(BB14,'נתוני מים 2014'!$C$2:$L$188,10,0)/1000,0)</f>
        <v>177.99299999999999</v>
      </c>
      <c r="BC763" s="1">
        <f>+IFERROR(VLOOKUP(BC14,'נתוני מים 2014'!$C$2:$L$188,10,0)/1000,0)</f>
        <v>190.934</v>
      </c>
      <c r="BD763" s="1">
        <f>+IFERROR(VLOOKUP(BD14,'נתוני מים 2014'!$C$2:$L$188,10,0)/1000,0)</f>
        <v>0</v>
      </c>
      <c r="BE763" s="1">
        <f>+IFERROR(VLOOKUP(BE14,'נתוני מים 2014'!$C$2:$L$188,10,0)/1000,0)</f>
        <v>0</v>
      </c>
      <c r="BF763" s="1">
        <f>+IFERROR(VLOOKUP(BF14,'נתוני מים 2014'!$C$2:$L$188,10,0)/1000,0)</f>
        <v>0</v>
      </c>
    </row>
    <row r="764" spans="1:58" x14ac:dyDescent="0.2">
      <c r="B764" s="1">
        <v>8</v>
      </c>
      <c r="C764" s="1">
        <f>+IFERROR(VLOOKUP(C15,'נתוני מים 2014'!$C$2:$L$188,10,0)/1000,0)</f>
        <v>0</v>
      </c>
      <c r="D764" s="1">
        <f>+IFERROR(VLOOKUP(D15,'נתוני מים 2014'!$C$2:$L$188,10,0)/1000,0)</f>
        <v>0</v>
      </c>
      <c r="E764" s="1">
        <f>+IFERROR(VLOOKUP(E15,'נתוני מים 2014'!$C$2:$L$188,10,0)/1000,0)</f>
        <v>0</v>
      </c>
      <c r="F764" s="1">
        <f>+IFERROR(VLOOKUP(F15,'נתוני מים 2014'!$C$2:$L$188,10,0)/1000,0)</f>
        <v>0</v>
      </c>
      <c r="G764" s="1">
        <f>+IFERROR(VLOOKUP(G15,'נתוני מים 2014'!$C$2:$L$188,10,0)/1000,0)</f>
        <v>0</v>
      </c>
      <c r="H764" s="1">
        <f>+IFERROR(VLOOKUP(H15,'נתוני מים 2014'!$C$2:$L$188,10,0)/1000,0)</f>
        <v>0</v>
      </c>
      <c r="I764" s="1">
        <f>+IFERROR(VLOOKUP(I15,'נתוני מים 2014'!$C$2:$L$188,10,0)/1000,0)</f>
        <v>0</v>
      </c>
      <c r="J764" s="1">
        <f>+IFERROR(VLOOKUP(J15,'נתוני מים 2014'!$C$2:$L$188,10,0)/1000,0)</f>
        <v>0</v>
      </c>
      <c r="K764" s="1">
        <f>+IFERROR(VLOOKUP(K15,'נתוני מים 2014'!$C$2:$L$188,10,0)/1000,0)</f>
        <v>0</v>
      </c>
      <c r="L764" s="1">
        <f>+IFERROR(VLOOKUP(L15,'נתוני מים 2014'!$C$2:$L$188,10,0)/1000,0)</f>
        <v>0</v>
      </c>
      <c r="M764" s="1">
        <f>+IFERROR(VLOOKUP(M15,'נתוני מים 2014'!$C$2:$L$188,10,0)/1000,0)</f>
        <v>0</v>
      </c>
      <c r="N764" s="1">
        <f>+IFERROR(VLOOKUP(N15,'נתוני מים 2014'!$C$2:$L$188,10,0)/1000,0)</f>
        <v>0</v>
      </c>
      <c r="O764" s="1">
        <f>+IFERROR(VLOOKUP(O15,'נתוני מים 2014'!$C$2:$L$188,10,0)/1000,0)</f>
        <v>0</v>
      </c>
      <c r="P764" s="1">
        <f>+IFERROR(VLOOKUP(P15,'נתוני מים 2014'!$C$2:$L$188,10,0)/1000,0)</f>
        <v>8.4480000000000004</v>
      </c>
      <c r="Q764" s="1">
        <f>+IFERROR(VLOOKUP(Q15,'נתוני מים 2014'!$C$2:$L$188,10,0)/1000,0)</f>
        <v>0</v>
      </c>
      <c r="R764" s="1">
        <f>+IFERROR(VLOOKUP(R15,'נתוני מים 2014'!$C$2:$L$188,10,0)/1000,0)</f>
        <v>0</v>
      </c>
      <c r="S764" s="1">
        <f>+IFERROR(VLOOKUP(S15,'נתוני מים 2014'!$C$2:$L$188,10,0)/1000,0)</f>
        <v>0</v>
      </c>
      <c r="T764" s="1">
        <f>+IFERROR(VLOOKUP(T15,'נתוני מים 2014'!$C$2:$L$188,10,0)/1000,0)</f>
        <v>0</v>
      </c>
      <c r="U764" s="1">
        <f>+IFERROR(VLOOKUP(U15,'נתוני מים 2014'!$C$2:$L$188,10,0)/1000,0)</f>
        <v>0</v>
      </c>
      <c r="V764" s="1">
        <f>+IFERROR(VLOOKUP(V15,'נתוני מים 2014'!$C$2:$L$188,10,0)/1000,0)</f>
        <v>0</v>
      </c>
      <c r="W764" s="1">
        <f>+IFERROR(VLOOKUP(W15,'נתוני מים 2014'!$C$2:$L$188,10,0)/1000,0)</f>
        <v>0</v>
      </c>
      <c r="X764" s="1">
        <f>+IFERROR(VLOOKUP(X15,'נתוני מים 2014'!$C$2:$L$188,10,0)/1000,0)</f>
        <v>0</v>
      </c>
      <c r="Y764" s="1">
        <f>+IFERROR(VLOOKUP(Y15,'נתוני מים 2014'!$C$2:$L$188,10,0)/1000,0)</f>
        <v>0</v>
      </c>
      <c r="Z764" s="1">
        <f>+IFERROR(VLOOKUP(Z15,'נתוני מים 2014'!$C$2:$L$188,10,0)/1000,0)</f>
        <v>0</v>
      </c>
      <c r="AA764" s="1">
        <f>+IFERROR(VLOOKUP(AA15,'נתוני מים 2014'!$C$2:$L$188,10,0)/1000,0)</f>
        <v>0</v>
      </c>
      <c r="AB764" s="1">
        <f>+IFERROR(VLOOKUP(AB15,'נתוני מים 2014'!$C$2:$L$188,10,0)/1000,0)</f>
        <v>0</v>
      </c>
      <c r="AC764" s="1">
        <f>+IFERROR(VLOOKUP(AC15,'נתוני מים 2014'!$C$2:$L$188,10,0)/1000,0)</f>
        <v>0</v>
      </c>
      <c r="AD764" s="1">
        <f>+IFERROR(VLOOKUP(AD15,'נתוני מים 2014'!$C$2:$L$188,10,0)/1000,0)</f>
        <v>0</v>
      </c>
      <c r="AE764" s="1">
        <f>+IFERROR(VLOOKUP(AE15,'נתוני מים 2014'!$C$2:$L$188,10,0)/1000,0)</f>
        <v>0</v>
      </c>
      <c r="AF764" s="1">
        <f>+IFERROR(VLOOKUP(AF15,'נתוני מים 2014'!$C$2:$L$188,10,0)/1000,0)</f>
        <v>0</v>
      </c>
      <c r="AG764" s="1">
        <f>+IFERROR(VLOOKUP(AG15,'נתוני מים 2014'!$C$2:$L$188,10,0)/1000,0)</f>
        <v>0</v>
      </c>
      <c r="AH764" s="1">
        <f>+IFERROR(VLOOKUP(AH15,'נתוני מים 2014'!$C$2:$L$188,10,0)/1000,0)</f>
        <v>0</v>
      </c>
      <c r="AI764" s="1">
        <f>+IFERROR(VLOOKUP(AI15,'נתוני מים 2014'!$C$2:$L$188,10,0)/1000,0)</f>
        <v>0</v>
      </c>
      <c r="AJ764" s="1">
        <f>+IFERROR(VLOOKUP(AJ15,'נתוני מים 2014'!$C$2:$L$188,10,0)/1000,0)</f>
        <v>0</v>
      </c>
      <c r="AK764" s="1">
        <f>+IFERROR(VLOOKUP(AK15,'נתוני מים 2014'!$C$2:$L$188,10,0)/1000,0)</f>
        <v>0</v>
      </c>
      <c r="AL764" s="1">
        <f>+IFERROR(VLOOKUP(AL15,'נתוני מים 2014'!$C$2:$L$188,10,0)/1000,0)</f>
        <v>0</v>
      </c>
      <c r="AM764" s="1">
        <f>+IFERROR(VLOOKUP(AM15,'נתוני מים 2014'!$C$2:$L$188,10,0)/1000,0)</f>
        <v>0</v>
      </c>
      <c r="AN764" s="1">
        <f>+IFERROR(VLOOKUP(AN15,'נתוני מים 2014'!$C$2:$L$188,10,0)/1000,0)</f>
        <v>0</v>
      </c>
      <c r="AO764" s="1">
        <f>+IFERROR(VLOOKUP(AO15,'נתוני מים 2014'!$C$2:$L$188,10,0)/1000,0)</f>
        <v>0</v>
      </c>
      <c r="AP764" s="1">
        <f>+IFERROR(VLOOKUP(AP15,'נתוני מים 2014'!$C$2:$L$188,10,0)/1000,0)</f>
        <v>0</v>
      </c>
      <c r="AQ764" s="1">
        <f>+IFERROR(VLOOKUP(AQ15,'נתוני מים 2014'!$C$2:$L$188,10,0)/1000,0)</f>
        <v>0</v>
      </c>
      <c r="AR764" s="1">
        <f>+IFERROR(VLOOKUP(AR15,'נתוני מים 2014'!$C$2:$L$188,10,0)/1000,0)</f>
        <v>0</v>
      </c>
      <c r="AS764" s="1">
        <f>+IFERROR(VLOOKUP(AS15,'נתוני מים 2014'!$C$2:$L$188,10,0)/1000,0)</f>
        <v>153.48400000000001</v>
      </c>
      <c r="AT764" s="1">
        <f>+IFERROR(VLOOKUP(AT15,'נתוני מים 2014'!$C$2:$L$188,10,0)/1000,0)</f>
        <v>0</v>
      </c>
      <c r="AU764" s="1">
        <f>+IFERROR(VLOOKUP(AU15,'נתוני מים 2014'!$C$2:$L$188,10,0)/1000,0)</f>
        <v>0</v>
      </c>
      <c r="AV764" s="1">
        <f>+IFERROR(VLOOKUP(AV15,'נתוני מים 2014'!$C$2:$L$188,10,0)/1000,0)</f>
        <v>0</v>
      </c>
      <c r="AW764" s="1">
        <f>+IFERROR(VLOOKUP(AW15,'נתוני מים 2014'!$C$2:$L$188,10,0)/1000,0)</f>
        <v>0</v>
      </c>
      <c r="AX764" s="1">
        <f>+IFERROR(VLOOKUP(AX15,'נתוני מים 2014'!$C$2:$L$188,10,0)/1000,0)</f>
        <v>0</v>
      </c>
      <c r="AY764" s="1">
        <f>+IFERROR(VLOOKUP(AY15,'נתוני מים 2014'!$C$2:$L$188,10,0)/1000,0)</f>
        <v>0</v>
      </c>
      <c r="AZ764" s="1">
        <f>+IFERROR(VLOOKUP(AZ15,'נתוני מים 2014'!$C$2:$L$188,10,0)/1000,0)</f>
        <v>0</v>
      </c>
      <c r="BA764" s="1">
        <f>+IFERROR(VLOOKUP(BA15,'נתוני מים 2014'!$C$2:$L$188,10,0)/1000,0)</f>
        <v>0</v>
      </c>
      <c r="BB764" s="1">
        <f>+IFERROR(VLOOKUP(BB15,'נתוני מים 2014'!$C$2:$L$188,10,0)/1000,0)</f>
        <v>0</v>
      </c>
      <c r="BC764" s="1">
        <f>+IFERROR(VLOOKUP(BC15,'נתוני מים 2014'!$C$2:$L$188,10,0)/1000,0)</f>
        <v>0</v>
      </c>
      <c r="BD764" s="1">
        <f>+IFERROR(VLOOKUP(BD15,'נתוני מים 2014'!$C$2:$L$188,10,0)/1000,0)</f>
        <v>0</v>
      </c>
      <c r="BE764" s="1">
        <f>+IFERROR(VLOOKUP(BE15,'נתוני מים 2014'!$C$2:$L$188,10,0)/1000,0)</f>
        <v>0</v>
      </c>
      <c r="BF764" s="1">
        <f>+IFERROR(VLOOKUP(BF15,'נתוני מים 2014'!$C$2:$L$188,10,0)/1000,0)</f>
        <v>0</v>
      </c>
    </row>
    <row r="765" spans="1:58" x14ac:dyDescent="0.2">
      <c r="B765" s="1">
        <v>9</v>
      </c>
      <c r="C765" s="1">
        <f>+IFERROR(VLOOKUP(C16,'נתוני מים 2014'!$C$2:$L$188,10,0)/1000,0)</f>
        <v>0</v>
      </c>
      <c r="D765" s="1">
        <f>+IFERROR(VLOOKUP(D16,'נתוני מים 2014'!$C$2:$L$188,10,0)/1000,0)</f>
        <v>0</v>
      </c>
      <c r="E765" s="1">
        <f>+IFERROR(VLOOKUP(E16,'נתוני מים 2014'!$C$2:$L$188,10,0)/1000,0)</f>
        <v>0</v>
      </c>
      <c r="F765" s="1">
        <f>+IFERROR(VLOOKUP(F16,'נתוני מים 2014'!$C$2:$L$188,10,0)/1000,0)</f>
        <v>0</v>
      </c>
      <c r="G765" s="1">
        <f>+IFERROR(VLOOKUP(G16,'נתוני מים 2014'!$C$2:$L$188,10,0)/1000,0)</f>
        <v>0</v>
      </c>
      <c r="H765" s="1">
        <f>+IFERROR(VLOOKUP(H16,'נתוני מים 2014'!$C$2:$L$188,10,0)/1000,0)</f>
        <v>0</v>
      </c>
      <c r="I765" s="1">
        <f>+IFERROR(VLOOKUP(I16,'נתוני מים 2014'!$C$2:$L$188,10,0)/1000,0)</f>
        <v>0</v>
      </c>
      <c r="J765" s="1">
        <f>+IFERROR(VLOOKUP(J16,'נתוני מים 2014'!$C$2:$L$188,10,0)/1000,0)</f>
        <v>0</v>
      </c>
      <c r="K765" s="1">
        <f>+IFERROR(VLOOKUP(K16,'נתוני מים 2014'!$C$2:$L$188,10,0)/1000,0)</f>
        <v>0</v>
      </c>
      <c r="L765" s="1">
        <f>+IFERROR(VLOOKUP(L16,'נתוני מים 2014'!$C$2:$L$188,10,0)/1000,0)</f>
        <v>0</v>
      </c>
      <c r="M765" s="1">
        <f>+IFERROR(VLOOKUP(M16,'נתוני מים 2014'!$C$2:$L$188,10,0)/1000,0)</f>
        <v>0</v>
      </c>
      <c r="N765" s="1">
        <f>+IFERROR(VLOOKUP(N16,'נתוני מים 2014'!$C$2:$L$188,10,0)/1000,0)</f>
        <v>0</v>
      </c>
      <c r="O765" s="1">
        <f>+IFERROR(VLOOKUP(O16,'נתוני מים 2014'!$C$2:$L$188,10,0)/1000,0)</f>
        <v>0</v>
      </c>
      <c r="P765" s="1">
        <f>+IFERROR(VLOOKUP(P16,'נתוני מים 2014'!$C$2:$L$188,10,0)/1000,0)</f>
        <v>354.375</v>
      </c>
      <c r="Q765" s="1">
        <f>+IFERROR(VLOOKUP(Q16,'נתוני מים 2014'!$C$2:$L$188,10,0)/1000,0)</f>
        <v>0</v>
      </c>
      <c r="R765" s="1">
        <f>+IFERROR(VLOOKUP(R16,'נתוני מים 2014'!$C$2:$L$188,10,0)/1000,0)</f>
        <v>0</v>
      </c>
      <c r="S765" s="1">
        <f>+IFERROR(VLOOKUP(S16,'נתוני מים 2014'!$C$2:$L$188,10,0)/1000,0)</f>
        <v>0</v>
      </c>
      <c r="T765" s="1">
        <f>+IFERROR(VLOOKUP(T16,'נתוני מים 2014'!$C$2:$L$188,10,0)/1000,0)</f>
        <v>0</v>
      </c>
      <c r="U765" s="1">
        <f>+IFERROR(VLOOKUP(U16,'נתוני מים 2014'!$C$2:$L$188,10,0)/1000,0)</f>
        <v>0</v>
      </c>
      <c r="V765" s="1">
        <f>+IFERROR(VLOOKUP(V16,'נתוני מים 2014'!$C$2:$L$188,10,0)/1000,0)</f>
        <v>0</v>
      </c>
      <c r="W765" s="1">
        <f>+IFERROR(VLOOKUP(W16,'נתוני מים 2014'!$C$2:$L$188,10,0)/1000,0)</f>
        <v>0</v>
      </c>
      <c r="X765" s="1">
        <f>+IFERROR(VLOOKUP(X16,'נתוני מים 2014'!$C$2:$L$188,10,0)/1000,0)</f>
        <v>0</v>
      </c>
      <c r="Y765" s="1">
        <f>+IFERROR(VLOOKUP(Y16,'נתוני מים 2014'!$C$2:$L$188,10,0)/1000,0)</f>
        <v>0</v>
      </c>
      <c r="Z765" s="1">
        <f>+IFERROR(VLOOKUP(Z16,'נתוני מים 2014'!$C$2:$L$188,10,0)/1000,0)</f>
        <v>0</v>
      </c>
      <c r="AA765" s="1">
        <f>+IFERROR(VLOOKUP(AA16,'נתוני מים 2014'!$C$2:$L$188,10,0)/1000,0)</f>
        <v>0</v>
      </c>
      <c r="AB765" s="1">
        <f>+IFERROR(VLOOKUP(AB16,'נתוני מים 2014'!$C$2:$L$188,10,0)/1000,0)</f>
        <v>0</v>
      </c>
      <c r="AC765" s="1">
        <f>+IFERROR(VLOOKUP(AC16,'נתוני מים 2014'!$C$2:$L$188,10,0)/1000,0)</f>
        <v>0</v>
      </c>
      <c r="AD765" s="1">
        <f>+IFERROR(VLOOKUP(AD16,'נתוני מים 2014'!$C$2:$L$188,10,0)/1000,0)</f>
        <v>0</v>
      </c>
      <c r="AE765" s="1">
        <f>+IFERROR(VLOOKUP(AE16,'נתוני מים 2014'!$C$2:$L$188,10,0)/1000,0)</f>
        <v>0</v>
      </c>
      <c r="AF765" s="1">
        <f>+IFERROR(VLOOKUP(AF16,'נתוני מים 2014'!$C$2:$L$188,10,0)/1000,0)</f>
        <v>0</v>
      </c>
      <c r="AG765" s="1">
        <f>+IFERROR(VLOOKUP(AG16,'נתוני מים 2014'!$C$2:$L$188,10,0)/1000,0)</f>
        <v>0</v>
      </c>
      <c r="AH765" s="1">
        <f>+IFERROR(VLOOKUP(AH16,'נתוני מים 2014'!$C$2:$L$188,10,0)/1000,0)</f>
        <v>0</v>
      </c>
      <c r="AI765" s="1">
        <f>+IFERROR(VLOOKUP(AI16,'נתוני מים 2014'!$C$2:$L$188,10,0)/1000,0)</f>
        <v>0</v>
      </c>
      <c r="AJ765" s="1">
        <f>+IFERROR(VLOOKUP(AJ16,'נתוני מים 2014'!$C$2:$L$188,10,0)/1000,0)</f>
        <v>0</v>
      </c>
      <c r="AK765" s="1">
        <f>+IFERROR(VLOOKUP(AK16,'נתוני מים 2014'!$C$2:$L$188,10,0)/1000,0)</f>
        <v>0</v>
      </c>
      <c r="AL765" s="1">
        <f>+IFERROR(VLOOKUP(AL16,'נתוני מים 2014'!$C$2:$L$188,10,0)/1000,0)</f>
        <v>0</v>
      </c>
      <c r="AM765" s="1">
        <f>+IFERROR(VLOOKUP(AM16,'נתוני מים 2014'!$C$2:$L$188,10,0)/1000,0)</f>
        <v>0</v>
      </c>
      <c r="AN765" s="1">
        <f>+IFERROR(VLOOKUP(AN16,'נתוני מים 2014'!$C$2:$L$188,10,0)/1000,0)</f>
        <v>0</v>
      </c>
      <c r="AO765" s="1">
        <f>+IFERROR(VLOOKUP(AO16,'נתוני מים 2014'!$C$2:$L$188,10,0)/1000,0)</f>
        <v>0</v>
      </c>
      <c r="AP765" s="1">
        <f>+IFERROR(VLOOKUP(AP16,'נתוני מים 2014'!$C$2:$L$188,10,0)/1000,0)</f>
        <v>0</v>
      </c>
      <c r="AQ765" s="1">
        <f>+IFERROR(VLOOKUP(AQ16,'נתוני מים 2014'!$C$2:$L$188,10,0)/1000,0)</f>
        <v>0</v>
      </c>
      <c r="AR765" s="1">
        <f>+IFERROR(VLOOKUP(AR16,'נתוני מים 2014'!$C$2:$L$188,10,0)/1000,0)</f>
        <v>0</v>
      </c>
      <c r="AS765" s="1">
        <f>+IFERROR(VLOOKUP(AS16,'נתוני מים 2014'!$C$2:$L$188,10,0)/1000,0)</f>
        <v>13.35</v>
      </c>
      <c r="AT765" s="1">
        <f>+IFERROR(VLOOKUP(AT16,'נתוני מים 2014'!$C$2:$L$188,10,0)/1000,0)</f>
        <v>0</v>
      </c>
      <c r="AU765" s="1">
        <f>+IFERROR(VLOOKUP(AU16,'נתוני מים 2014'!$C$2:$L$188,10,0)/1000,0)</f>
        <v>0</v>
      </c>
      <c r="AV765" s="1">
        <f>+IFERROR(VLOOKUP(AV16,'נתוני מים 2014'!$C$2:$L$188,10,0)/1000,0)</f>
        <v>0</v>
      </c>
      <c r="AW765" s="1">
        <f>+IFERROR(VLOOKUP(AW16,'נתוני מים 2014'!$C$2:$L$188,10,0)/1000,0)</f>
        <v>0</v>
      </c>
      <c r="AX765" s="1">
        <f>+IFERROR(VLOOKUP(AX16,'נתוני מים 2014'!$C$2:$L$188,10,0)/1000,0)</f>
        <v>0</v>
      </c>
      <c r="AY765" s="1">
        <f>+IFERROR(VLOOKUP(AY16,'נתוני מים 2014'!$C$2:$L$188,10,0)/1000,0)</f>
        <v>0</v>
      </c>
      <c r="AZ765" s="1">
        <f>+IFERROR(VLOOKUP(AZ16,'נתוני מים 2014'!$C$2:$L$188,10,0)/1000,0)</f>
        <v>0</v>
      </c>
      <c r="BA765" s="1">
        <f>+IFERROR(VLOOKUP(BA16,'נתוני מים 2014'!$C$2:$L$188,10,0)/1000,0)</f>
        <v>0</v>
      </c>
      <c r="BB765" s="1">
        <f>+IFERROR(VLOOKUP(BB16,'נתוני מים 2014'!$C$2:$L$188,10,0)/1000,0)</f>
        <v>0</v>
      </c>
      <c r="BC765" s="1">
        <f>+IFERROR(VLOOKUP(BC16,'נתוני מים 2014'!$C$2:$L$188,10,0)/1000,0)</f>
        <v>0</v>
      </c>
      <c r="BD765" s="1">
        <f>+IFERROR(VLOOKUP(BD16,'נתוני מים 2014'!$C$2:$L$188,10,0)/1000,0)</f>
        <v>0</v>
      </c>
      <c r="BE765" s="1">
        <f>+IFERROR(VLOOKUP(BE16,'נתוני מים 2014'!$C$2:$L$188,10,0)/1000,0)</f>
        <v>0</v>
      </c>
      <c r="BF765" s="1">
        <f>+IFERROR(VLOOKUP(BF16,'נתוני מים 2014'!$C$2:$L$188,10,0)/1000,0)</f>
        <v>0</v>
      </c>
    </row>
    <row r="766" spans="1:58" x14ac:dyDescent="0.2">
      <c r="B766" s="1">
        <v>10</v>
      </c>
      <c r="C766" s="1">
        <f>+IFERROR(VLOOKUP(C17,'נתוני מים 2014'!$C$2:$L$188,10,0)/1000,0)</f>
        <v>0</v>
      </c>
      <c r="D766" s="1">
        <f>+IFERROR(VLOOKUP(D17,'נתוני מים 2014'!$C$2:$L$188,10,0)/1000,0)</f>
        <v>0</v>
      </c>
      <c r="E766" s="1">
        <f>+IFERROR(VLOOKUP(E17,'נתוני מים 2014'!$C$2:$L$188,10,0)/1000,0)</f>
        <v>0</v>
      </c>
      <c r="F766" s="1">
        <f>+IFERROR(VLOOKUP(F17,'נתוני מים 2014'!$C$2:$L$188,10,0)/1000,0)</f>
        <v>0</v>
      </c>
      <c r="G766" s="1">
        <f>+IFERROR(VLOOKUP(G17,'נתוני מים 2014'!$C$2:$L$188,10,0)/1000,0)</f>
        <v>0</v>
      </c>
      <c r="H766" s="1">
        <f>+IFERROR(VLOOKUP(H17,'נתוני מים 2014'!$C$2:$L$188,10,0)/1000,0)</f>
        <v>0</v>
      </c>
      <c r="I766" s="1">
        <f>+IFERROR(VLOOKUP(I17,'נתוני מים 2014'!$C$2:$L$188,10,0)/1000,0)</f>
        <v>0</v>
      </c>
      <c r="J766" s="1">
        <f>+IFERROR(VLOOKUP(J17,'נתוני מים 2014'!$C$2:$L$188,10,0)/1000,0)</f>
        <v>0</v>
      </c>
      <c r="K766" s="1">
        <f>+IFERROR(VLOOKUP(K17,'נתוני מים 2014'!$C$2:$L$188,10,0)/1000,0)</f>
        <v>0</v>
      </c>
      <c r="L766" s="1">
        <f>+IFERROR(VLOOKUP(L17,'נתוני מים 2014'!$C$2:$L$188,10,0)/1000,0)</f>
        <v>0</v>
      </c>
      <c r="M766" s="1">
        <f>+IFERROR(VLOOKUP(M17,'נתוני מים 2014'!$C$2:$L$188,10,0)/1000,0)</f>
        <v>0</v>
      </c>
      <c r="N766" s="1">
        <f>+IFERROR(VLOOKUP(N17,'נתוני מים 2014'!$C$2:$L$188,10,0)/1000,0)</f>
        <v>0</v>
      </c>
      <c r="O766" s="1">
        <f>+IFERROR(VLOOKUP(O17,'נתוני מים 2014'!$C$2:$L$188,10,0)/1000,0)</f>
        <v>0</v>
      </c>
      <c r="P766" s="1">
        <f>+IFERROR(VLOOKUP(P17,'נתוני מים 2014'!$C$2:$L$188,10,0)/1000,0)</f>
        <v>198.24299999999999</v>
      </c>
      <c r="Q766" s="1">
        <f>+IFERROR(VLOOKUP(Q17,'נתוני מים 2014'!$C$2:$L$188,10,0)/1000,0)</f>
        <v>0</v>
      </c>
      <c r="R766" s="1">
        <f>+IFERROR(VLOOKUP(R17,'נתוני מים 2014'!$C$2:$L$188,10,0)/1000,0)</f>
        <v>0</v>
      </c>
      <c r="S766" s="1">
        <f>+IFERROR(VLOOKUP(S17,'נתוני מים 2014'!$C$2:$L$188,10,0)/1000,0)</f>
        <v>0</v>
      </c>
      <c r="T766" s="1">
        <f>+IFERROR(VLOOKUP(T17,'נתוני מים 2014'!$C$2:$L$188,10,0)/1000,0)</f>
        <v>0</v>
      </c>
      <c r="U766" s="1">
        <f>+IFERROR(VLOOKUP(U17,'נתוני מים 2014'!$C$2:$L$188,10,0)/1000,0)</f>
        <v>0</v>
      </c>
      <c r="V766" s="1">
        <f>+IFERROR(VLOOKUP(V17,'נתוני מים 2014'!$C$2:$L$188,10,0)/1000,0)</f>
        <v>0</v>
      </c>
      <c r="W766" s="1">
        <f>+IFERROR(VLOOKUP(W17,'נתוני מים 2014'!$C$2:$L$188,10,0)/1000,0)</f>
        <v>0</v>
      </c>
      <c r="X766" s="1">
        <f>+IFERROR(VLOOKUP(X17,'נתוני מים 2014'!$C$2:$L$188,10,0)/1000,0)</f>
        <v>0</v>
      </c>
      <c r="Y766" s="1">
        <f>+IFERROR(VLOOKUP(Y17,'נתוני מים 2014'!$C$2:$L$188,10,0)/1000,0)</f>
        <v>0</v>
      </c>
      <c r="Z766" s="1">
        <f>+IFERROR(VLOOKUP(Z17,'נתוני מים 2014'!$C$2:$L$188,10,0)/1000,0)</f>
        <v>0</v>
      </c>
      <c r="AA766" s="1">
        <f>+IFERROR(VLOOKUP(AA17,'נתוני מים 2014'!$C$2:$L$188,10,0)/1000,0)</f>
        <v>0</v>
      </c>
      <c r="AB766" s="1">
        <f>+IFERROR(VLOOKUP(AB17,'נתוני מים 2014'!$C$2:$L$188,10,0)/1000,0)</f>
        <v>0</v>
      </c>
      <c r="AC766" s="1">
        <f>+IFERROR(VLOOKUP(AC17,'נתוני מים 2014'!$C$2:$L$188,10,0)/1000,0)</f>
        <v>0</v>
      </c>
      <c r="AD766" s="1">
        <f>+IFERROR(VLOOKUP(AD17,'נתוני מים 2014'!$C$2:$L$188,10,0)/1000,0)</f>
        <v>0</v>
      </c>
      <c r="AE766" s="1">
        <f>+IFERROR(VLOOKUP(AE17,'נתוני מים 2014'!$C$2:$L$188,10,0)/1000,0)</f>
        <v>0</v>
      </c>
      <c r="AF766" s="1">
        <f>+IFERROR(VLOOKUP(AF17,'נתוני מים 2014'!$C$2:$L$188,10,0)/1000,0)</f>
        <v>0</v>
      </c>
      <c r="AG766" s="1">
        <f>+IFERROR(VLOOKUP(AG17,'נתוני מים 2014'!$C$2:$L$188,10,0)/1000,0)</f>
        <v>0</v>
      </c>
      <c r="AH766" s="1">
        <f>+IFERROR(VLOOKUP(AH17,'נתוני מים 2014'!$C$2:$L$188,10,0)/1000,0)</f>
        <v>0</v>
      </c>
      <c r="AI766" s="1">
        <f>+IFERROR(VLOOKUP(AI17,'נתוני מים 2014'!$C$2:$L$188,10,0)/1000,0)</f>
        <v>0</v>
      </c>
      <c r="AJ766" s="1">
        <f>+IFERROR(VLOOKUP(AJ17,'נתוני מים 2014'!$C$2:$L$188,10,0)/1000,0)</f>
        <v>0</v>
      </c>
      <c r="AK766" s="1">
        <f>+IFERROR(VLOOKUP(AK17,'נתוני מים 2014'!$C$2:$L$188,10,0)/1000,0)</f>
        <v>0</v>
      </c>
      <c r="AL766" s="1">
        <f>+IFERROR(VLOOKUP(AL17,'נתוני מים 2014'!$C$2:$L$188,10,0)/1000,0)</f>
        <v>0</v>
      </c>
      <c r="AM766" s="1">
        <f>+IFERROR(VLOOKUP(AM17,'נתוני מים 2014'!$C$2:$L$188,10,0)/1000,0)</f>
        <v>0</v>
      </c>
      <c r="AN766" s="1">
        <f>+IFERROR(VLOOKUP(AN17,'נתוני מים 2014'!$C$2:$L$188,10,0)/1000,0)</f>
        <v>0</v>
      </c>
      <c r="AO766" s="1">
        <f>+IFERROR(VLOOKUP(AO17,'נתוני מים 2014'!$C$2:$L$188,10,0)/1000,0)</f>
        <v>0</v>
      </c>
      <c r="AP766" s="1">
        <f>+IFERROR(VLOOKUP(AP17,'נתוני מים 2014'!$C$2:$L$188,10,0)/1000,0)</f>
        <v>0</v>
      </c>
      <c r="AQ766" s="1">
        <f>+IFERROR(VLOOKUP(AQ17,'נתוני מים 2014'!$C$2:$L$188,10,0)/1000,0)</f>
        <v>0</v>
      </c>
      <c r="AR766" s="1">
        <f>+IFERROR(VLOOKUP(AR17,'נתוני מים 2014'!$C$2:$L$188,10,0)/1000,0)</f>
        <v>0</v>
      </c>
      <c r="AS766" s="1">
        <f>+IFERROR(VLOOKUP(AS17,'נתוני מים 2014'!$C$2:$L$188,10,0)/1000,0)</f>
        <v>104.452</v>
      </c>
      <c r="AT766" s="1">
        <f>+IFERROR(VLOOKUP(AT17,'נתוני מים 2014'!$C$2:$L$188,10,0)/1000,0)</f>
        <v>0</v>
      </c>
      <c r="AU766" s="1">
        <f>+IFERROR(VLOOKUP(AU17,'נתוני מים 2014'!$C$2:$L$188,10,0)/1000,0)</f>
        <v>0</v>
      </c>
      <c r="AV766" s="1">
        <f>+IFERROR(VLOOKUP(AV17,'נתוני מים 2014'!$C$2:$L$188,10,0)/1000,0)</f>
        <v>0</v>
      </c>
      <c r="AW766" s="1">
        <f>+IFERROR(VLOOKUP(AW17,'נתוני מים 2014'!$C$2:$L$188,10,0)/1000,0)</f>
        <v>0</v>
      </c>
      <c r="AX766" s="1">
        <f>+IFERROR(VLOOKUP(AX17,'נתוני מים 2014'!$C$2:$L$188,10,0)/1000,0)</f>
        <v>0</v>
      </c>
      <c r="AY766" s="1">
        <f>+IFERROR(VLOOKUP(AY17,'נתוני מים 2014'!$C$2:$L$188,10,0)/1000,0)</f>
        <v>0</v>
      </c>
      <c r="AZ766" s="1">
        <f>+IFERROR(VLOOKUP(AZ17,'נתוני מים 2014'!$C$2:$L$188,10,0)/1000,0)</f>
        <v>0</v>
      </c>
      <c r="BA766" s="1">
        <f>+IFERROR(VLOOKUP(BA17,'נתוני מים 2014'!$C$2:$L$188,10,0)/1000,0)</f>
        <v>0</v>
      </c>
      <c r="BB766" s="1">
        <f>+IFERROR(VLOOKUP(BB17,'נתוני מים 2014'!$C$2:$L$188,10,0)/1000,0)</f>
        <v>0</v>
      </c>
      <c r="BC766" s="1">
        <f>+IFERROR(VLOOKUP(BC17,'נתוני מים 2014'!$C$2:$L$188,10,0)/1000,0)</f>
        <v>0</v>
      </c>
      <c r="BD766" s="1">
        <f>+IFERROR(VLOOKUP(BD17,'נתוני מים 2014'!$C$2:$L$188,10,0)/1000,0)</f>
        <v>0</v>
      </c>
      <c r="BE766" s="1">
        <f>+IFERROR(VLOOKUP(BE17,'נתוני מים 2014'!$C$2:$L$188,10,0)/1000,0)</f>
        <v>0</v>
      </c>
      <c r="BF766" s="1">
        <f>+IFERROR(VLOOKUP(BF17,'נתוני מים 2014'!$C$2:$L$188,10,0)/1000,0)</f>
        <v>0</v>
      </c>
    </row>
    <row r="767" spans="1:58" x14ac:dyDescent="0.2">
      <c r="B767" s="1">
        <v>11</v>
      </c>
      <c r="C767" s="1">
        <f>+IFERROR(VLOOKUP(C18,'נתוני מים 2014'!$C$2:$L$188,10,0)/1000,0)</f>
        <v>0</v>
      </c>
      <c r="D767" s="1">
        <f>+IFERROR(VLOOKUP(D18,'נתוני מים 2014'!$C$2:$L$188,10,0)/1000,0)</f>
        <v>0</v>
      </c>
      <c r="E767" s="1">
        <f>+IFERROR(VLOOKUP(E18,'נתוני מים 2014'!$C$2:$L$188,10,0)/1000,0)</f>
        <v>0</v>
      </c>
      <c r="F767" s="1">
        <f>+IFERROR(VLOOKUP(F18,'נתוני מים 2014'!$C$2:$L$188,10,0)/1000,0)</f>
        <v>0</v>
      </c>
      <c r="G767" s="1">
        <f>+IFERROR(VLOOKUP(G18,'נתוני מים 2014'!$C$2:$L$188,10,0)/1000,0)</f>
        <v>0</v>
      </c>
      <c r="H767" s="1">
        <f>+IFERROR(VLOOKUP(H18,'נתוני מים 2014'!$C$2:$L$188,10,0)/1000,0)</f>
        <v>0</v>
      </c>
      <c r="I767" s="1">
        <f>+IFERROR(VLOOKUP(I18,'נתוני מים 2014'!$C$2:$L$188,10,0)/1000,0)</f>
        <v>0</v>
      </c>
      <c r="J767" s="1">
        <f>+IFERROR(VLOOKUP(J18,'נתוני מים 2014'!$C$2:$L$188,10,0)/1000,0)</f>
        <v>0</v>
      </c>
      <c r="K767" s="1">
        <f>+IFERROR(VLOOKUP(K18,'נתוני מים 2014'!$C$2:$L$188,10,0)/1000,0)</f>
        <v>0</v>
      </c>
      <c r="L767" s="1">
        <f>+IFERROR(VLOOKUP(L18,'נתוני מים 2014'!$C$2:$L$188,10,0)/1000,0)</f>
        <v>0</v>
      </c>
      <c r="M767" s="1">
        <f>+IFERROR(VLOOKUP(M18,'נתוני מים 2014'!$C$2:$L$188,10,0)/1000,0)</f>
        <v>0</v>
      </c>
      <c r="N767" s="1">
        <f>+IFERROR(VLOOKUP(N18,'נתוני מים 2014'!$C$2:$L$188,10,0)/1000,0)</f>
        <v>0</v>
      </c>
      <c r="O767" s="1">
        <f>+IFERROR(VLOOKUP(O18,'נתוני מים 2014'!$C$2:$L$188,10,0)/1000,0)</f>
        <v>0</v>
      </c>
      <c r="P767" s="1">
        <f>+IFERROR(VLOOKUP(P18,'נתוני מים 2014'!$C$2:$L$188,10,0)/1000,0)</f>
        <v>47.052999999999997</v>
      </c>
      <c r="Q767" s="1">
        <f>+IFERROR(VLOOKUP(Q18,'נתוני מים 2014'!$C$2:$L$188,10,0)/1000,0)</f>
        <v>0</v>
      </c>
      <c r="R767" s="1">
        <f>+IFERROR(VLOOKUP(R18,'נתוני מים 2014'!$C$2:$L$188,10,0)/1000,0)</f>
        <v>0</v>
      </c>
      <c r="S767" s="1">
        <f>+IFERROR(VLOOKUP(S18,'נתוני מים 2014'!$C$2:$L$188,10,0)/1000,0)</f>
        <v>0</v>
      </c>
      <c r="T767" s="1">
        <f>+IFERROR(VLOOKUP(T18,'נתוני מים 2014'!$C$2:$L$188,10,0)/1000,0)</f>
        <v>0</v>
      </c>
      <c r="U767" s="1">
        <f>+IFERROR(VLOOKUP(U18,'נתוני מים 2014'!$C$2:$L$188,10,0)/1000,0)</f>
        <v>0</v>
      </c>
      <c r="V767" s="1">
        <f>+IFERROR(VLOOKUP(V18,'נתוני מים 2014'!$C$2:$L$188,10,0)/1000,0)</f>
        <v>0</v>
      </c>
      <c r="W767" s="1">
        <f>+IFERROR(VLOOKUP(W18,'נתוני מים 2014'!$C$2:$L$188,10,0)/1000,0)</f>
        <v>0</v>
      </c>
      <c r="X767" s="1">
        <f>+IFERROR(VLOOKUP(X18,'נתוני מים 2014'!$C$2:$L$188,10,0)/1000,0)</f>
        <v>0</v>
      </c>
      <c r="Y767" s="1">
        <f>+IFERROR(VLOOKUP(Y18,'נתוני מים 2014'!$C$2:$L$188,10,0)/1000,0)</f>
        <v>0</v>
      </c>
      <c r="Z767" s="1">
        <f>+IFERROR(VLOOKUP(Z18,'נתוני מים 2014'!$C$2:$L$188,10,0)/1000,0)</f>
        <v>0</v>
      </c>
      <c r="AA767" s="1">
        <f>+IFERROR(VLOOKUP(AA18,'נתוני מים 2014'!$C$2:$L$188,10,0)/1000,0)</f>
        <v>0</v>
      </c>
      <c r="AB767" s="1">
        <f>+IFERROR(VLOOKUP(AB18,'נתוני מים 2014'!$C$2:$L$188,10,0)/1000,0)</f>
        <v>0</v>
      </c>
      <c r="AC767" s="1">
        <f>+IFERROR(VLOOKUP(AC18,'נתוני מים 2014'!$C$2:$L$188,10,0)/1000,0)</f>
        <v>0</v>
      </c>
      <c r="AD767" s="1">
        <f>+IFERROR(VLOOKUP(AD18,'נתוני מים 2014'!$C$2:$L$188,10,0)/1000,0)</f>
        <v>0</v>
      </c>
      <c r="AE767" s="1">
        <f>+IFERROR(VLOOKUP(AE18,'נתוני מים 2014'!$C$2:$L$188,10,0)/1000,0)</f>
        <v>0</v>
      </c>
      <c r="AF767" s="1">
        <f>+IFERROR(VLOOKUP(AF18,'נתוני מים 2014'!$C$2:$L$188,10,0)/1000,0)</f>
        <v>0</v>
      </c>
      <c r="AG767" s="1">
        <f>+IFERROR(VLOOKUP(AG18,'נתוני מים 2014'!$C$2:$L$188,10,0)/1000,0)</f>
        <v>0</v>
      </c>
      <c r="AH767" s="1">
        <f>+IFERROR(VLOOKUP(AH18,'נתוני מים 2014'!$C$2:$L$188,10,0)/1000,0)</f>
        <v>0</v>
      </c>
      <c r="AI767" s="1">
        <f>+IFERROR(VLOOKUP(AI18,'נתוני מים 2014'!$C$2:$L$188,10,0)/1000,0)</f>
        <v>0</v>
      </c>
      <c r="AJ767" s="1">
        <f>+IFERROR(VLOOKUP(AJ18,'נתוני מים 2014'!$C$2:$L$188,10,0)/1000,0)</f>
        <v>0</v>
      </c>
      <c r="AK767" s="1">
        <f>+IFERROR(VLOOKUP(AK18,'נתוני מים 2014'!$C$2:$L$188,10,0)/1000,0)</f>
        <v>0</v>
      </c>
      <c r="AL767" s="1">
        <f>+IFERROR(VLOOKUP(AL18,'נתוני מים 2014'!$C$2:$L$188,10,0)/1000,0)</f>
        <v>0</v>
      </c>
      <c r="AM767" s="1">
        <f>+IFERROR(VLOOKUP(AM18,'נתוני מים 2014'!$C$2:$L$188,10,0)/1000,0)</f>
        <v>0</v>
      </c>
      <c r="AN767" s="1">
        <f>+IFERROR(VLOOKUP(AN18,'נתוני מים 2014'!$C$2:$L$188,10,0)/1000,0)</f>
        <v>0</v>
      </c>
      <c r="AO767" s="1">
        <f>+IFERROR(VLOOKUP(AO18,'נתוני מים 2014'!$C$2:$L$188,10,0)/1000,0)</f>
        <v>0</v>
      </c>
      <c r="AP767" s="1">
        <f>+IFERROR(VLOOKUP(AP18,'נתוני מים 2014'!$C$2:$L$188,10,0)/1000,0)</f>
        <v>0</v>
      </c>
      <c r="AQ767" s="1">
        <f>+IFERROR(VLOOKUP(AQ18,'נתוני מים 2014'!$C$2:$L$188,10,0)/1000,0)</f>
        <v>0</v>
      </c>
      <c r="AR767" s="1">
        <f>+IFERROR(VLOOKUP(AR18,'נתוני מים 2014'!$C$2:$L$188,10,0)/1000,0)</f>
        <v>0</v>
      </c>
      <c r="AS767" s="1">
        <f>+IFERROR(VLOOKUP(AS18,'נתוני מים 2014'!$C$2:$L$188,10,0)/1000,0)</f>
        <v>0</v>
      </c>
      <c r="AT767" s="1">
        <f>+IFERROR(VLOOKUP(AT18,'נתוני מים 2014'!$C$2:$L$188,10,0)/1000,0)</f>
        <v>0</v>
      </c>
      <c r="AU767" s="1">
        <f>+IFERROR(VLOOKUP(AU18,'נתוני מים 2014'!$C$2:$L$188,10,0)/1000,0)</f>
        <v>0</v>
      </c>
      <c r="AV767" s="1">
        <f>+IFERROR(VLOOKUP(AV18,'נתוני מים 2014'!$C$2:$L$188,10,0)/1000,0)</f>
        <v>0</v>
      </c>
      <c r="AW767" s="1">
        <f>+IFERROR(VLOOKUP(AW18,'נתוני מים 2014'!$C$2:$L$188,10,0)/1000,0)</f>
        <v>0</v>
      </c>
      <c r="AX767" s="1">
        <f>+IFERROR(VLOOKUP(AX18,'נתוני מים 2014'!$C$2:$L$188,10,0)/1000,0)</f>
        <v>0</v>
      </c>
      <c r="AY767" s="1">
        <f>+IFERROR(VLOOKUP(AY18,'נתוני מים 2014'!$C$2:$L$188,10,0)/1000,0)</f>
        <v>0</v>
      </c>
      <c r="AZ767" s="1">
        <f>+IFERROR(VLOOKUP(AZ18,'נתוני מים 2014'!$C$2:$L$188,10,0)/1000,0)</f>
        <v>0</v>
      </c>
      <c r="BA767" s="1">
        <f>+IFERROR(VLOOKUP(BA18,'נתוני מים 2014'!$C$2:$L$188,10,0)/1000,0)</f>
        <v>0</v>
      </c>
      <c r="BB767" s="1">
        <f>+IFERROR(VLOOKUP(BB18,'נתוני מים 2014'!$C$2:$L$188,10,0)/1000,0)</f>
        <v>0</v>
      </c>
      <c r="BC767" s="1">
        <f>+IFERROR(VLOOKUP(BC18,'נתוני מים 2014'!$C$2:$L$188,10,0)/1000,0)</f>
        <v>0</v>
      </c>
      <c r="BD767" s="1">
        <f>+IFERROR(VLOOKUP(BD18,'נתוני מים 2014'!$C$2:$L$188,10,0)/1000,0)</f>
        <v>0</v>
      </c>
      <c r="BE767" s="1">
        <f>+IFERROR(VLOOKUP(BE18,'נתוני מים 2014'!$C$2:$L$188,10,0)/1000,0)</f>
        <v>0</v>
      </c>
      <c r="BF767" s="1">
        <f>+IFERROR(VLOOKUP(BF18,'נתוני מים 2014'!$C$2:$L$188,10,0)/1000,0)</f>
        <v>0</v>
      </c>
    </row>
    <row r="768" spans="1:58" x14ac:dyDescent="0.2">
      <c r="B768" s="1">
        <v>12</v>
      </c>
      <c r="C768" s="1">
        <f>+IFERROR(VLOOKUP(C19,'נתוני מים 2014'!$C$2:$L$188,10,0)/1000,0)</f>
        <v>0</v>
      </c>
      <c r="D768" s="1">
        <f>+IFERROR(VLOOKUP(D19,'נתוני מים 2014'!$C$2:$L$188,10,0)/1000,0)</f>
        <v>0</v>
      </c>
      <c r="E768" s="1">
        <f>+IFERROR(VLOOKUP(E19,'נתוני מים 2014'!$C$2:$L$188,10,0)/1000,0)</f>
        <v>0</v>
      </c>
      <c r="F768" s="1">
        <f>+IFERROR(VLOOKUP(F19,'נתוני מים 2014'!$C$2:$L$188,10,0)/1000,0)</f>
        <v>0</v>
      </c>
      <c r="G768" s="1">
        <f>+IFERROR(VLOOKUP(G19,'נתוני מים 2014'!$C$2:$L$188,10,0)/1000,0)</f>
        <v>0</v>
      </c>
      <c r="H768" s="1">
        <f>+IFERROR(VLOOKUP(H19,'נתוני מים 2014'!$C$2:$L$188,10,0)/1000,0)</f>
        <v>0</v>
      </c>
      <c r="I768" s="1">
        <f>+IFERROR(VLOOKUP(I19,'נתוני מים 2014'!$C$2:$L$188,10,0)/1000,0)</f>
        <v>0</v>
      </c>
      <c r="J768" s="1">
        <f>+IFERROR(VLOOKUP(J19,'נתוני מים 2014'!$C$2:$L$188,10,0)/1000,0)</f>
        <v>0</v>
      </c>
      <c r="K768" s="1">
        <f>+IFERROR(VLOOKUP(K19,'נתוני מים 2014'!$C$2:$L$188,10,0)/1000,0)</f>
        <v>0</v>
      </c>
      <c r="L768" s="1">
        <f>+IFERROR(VLOOKUP(L19,'נתוני מים 2014'!$C$2:$L$188,10,0)/1000,0)</f>
        <v>0</v>
      </c>
      <c r="M768" s="1">
        <f>+IFERROR(VLOOKUP(M19,'נתוני מים 2014'!$C$2:$L$188,10,0)/1000,0)</f>
        <v>0</v>
      </c>
      <c r="N768" s="1">
        <f>+IFERROR(VLOOKUP(N19,'נתוני מים 2014'!$C$2:$L$188,10,0)/1000,0)</f>
        <v>0</v>
      </c>
      <c r="O768" s="1">
        <f>+IFERROR(VLOOKUP(O19,'נתוני מים 2014'!$C$2:$L$188,10,0)/1000,0)</f>
        <v>0</v>
      </c>
      <c r="P768" s="1">
        <f>+IFERROR(VLOOKUP(P19,'נתוני מים 2014'!$C$2:$L$188,10,0)/1000,0)</f>
        <v>25.547999999999998</v>
      </c>
      <c r="Q768" s="1">
        <f>+IFERROR(VLOOKUP(Q19,'נתוני מים 2014'!$C$2:$L$188,10,0)/1000,0)</f>
        <v>0</v>
      </c>
      <c r="R768" s="1">
        <f>+IFERROR(VLOOKUP(R19,'נתוני מים 2014'!$C$2:$L$188,10,0)/1000,0)</f>
        <v>0</v>
      </c>
      <c r="S768" s="1">
        <f>+IFERROR(VLOOKUP(S19,'נתוני מים 2014'!$C$2:$L$188,10,0)/1000,0)</f>
        <v>0</v>
      </c>
      <c r="T768" s="1">
        <f>+IFERROR(VLOOKUP(T19,'נתוני מים 2014'!$C$2:$L$188,10,0)/1000,0)</f>
        <v>0</v>
      </c>
      <c r="U768" s="1">
        <f>+IFERROR(VLOOKUP(U19,'נתוני מים 2014'!$C$2:$L$188,10,0)/1000,0)</f>
        <v>0</v>
      </c>
      <c r="V768" s="1">
        <f>+IFERROR(VLOOKUP(V19,'נתוני מים 2014'!$C$2:$L$188,10,0)/1000,0)</f>
        <v>0</v>
      </c>
      <c r="W768" s="1">
        <f>+IFERROR(VLOOKUP(W19,'נתוני מים 2014'!$C$2:$L$188,10,0)/1000,0)</f>
        <v>0</v>
      </c>
      <c r="X768" s="1">
        <f>+IFERROR(VLOOKUP(X19,'נתוני מים 2014'!$C$2:$L$188,10,0)/1000,0)</f>
        <v>0</v>
      </c>
      <c r="Y768" s="1">
        <f>+IFERROR(VLOOKUP(Y19,'נתוני מים 2014'!$C$2:$L$188,10,0)/1000,0)</f>
        <v>0</v>
      </c>
      <c r="Z768" s="1">
        <f>+IFERROR(VLOOKUP(Z19,'נתוני מים 2014'!$C$2:$L$188,10,0)/1000,0)</f>
        <v>0</v>
      </c>
      <c r="AA768" s="1">
        <f>+IFERROR(VLOOKUP(AA19,'נתוני מים 2014'!$C$2:$L$188,10,0)/1000,0)</f>
        <v>0</v>
      </c>
      <c r="AB768" s="1">
        <f>+IFERROR(VLOOKUP(AB19,'נתוני מים 2014'!$C$2:$L$188,10,0)/1000,0)</f>
        <v>0</v>
      </c>
      <c r="AC768" s="1">
        <f>+IFERROR(VLOOKUP(AC19,'נתוני מים 2014'!$C$2:$L$188,10,0)/1000,0)</f>
        <v>0</v>
      </c>
      <c r="AD768" s="1">
        <f>+IFERROR(VLOOKUP(AD19,'נתוני מים 2014'!$C$2:$L$188,10,0)/1000,0)</f>
        <v>0</v>
      </c>
      <c r="AE768" s="1">
        <f>+IFERROR(VLOOKUP(AE19,'נתוני מים 2014'!$C$2:$L$188,10,0)/1000,0)</f>
        <v>0</v>
      </c>
      <c r="AF768" s="1">
        <f>+IFERROR(VLOOKUP(AF19,'נתוני מים 2014'!$C$2:$L$188,10,0)/1000,0)</f>
        <v>0</v>
      </c>
      <c r="AG768" s="1">
        <f>+IFERROR(VLOOKUP(AG19,'נתוני מים 2014'!$C$2:$L$188,10,0)/1000,0)</f>
        <v>0</v>
      </c>
      <c r="AH768" s="1">
        <f>+IFERROR(VLOOKUP(AH19,'נתוני מים 2014'!$C$2:$L$188,10,0)/1000,0)</f>
        <v>0</v>
      </c>
      <c r="AI768" s="1">
        <f>+IFERROR(VLOOKUP(AI19,'נתוני מים 2014'!$C$2:$L$188,10,0)/1000,0)</f>
        <v>0</v>
      </c>
      <c r="AJ768" s="1">
        <f>+IFERROR(VLOOKUP(AJ19,'נתוני מים 2014'!$C$2:$L$188,10,0)/1000,0)</f>
        <v>0</v>
      </c>
      <c r="AK768" s="1">
        <f>+IFERROR(VLOOKUP(AK19,'נתוני מים 2014'!$C$2:$L$188,10,0)/1000,0)</f>
        <v>0</v>
      </c>
      <c r="AL768" s="1">
        <f>+IFERROR(VLOOKUP(AL19,'נתוני מים 2014'!$C$2:$L$188,10,0)/1000,0)</f>
        <v>0</v>
      </c>
      <c r="AM768" s="1">
        <f>+IFERROR(VLOOKUP(AM19,'נתוני מים 2014'!$C$2:$L$188,10,0)/1000,0)</f>
        <v>0</v>
      </c>
      <c r="AN768" s="1">
        <f>+IFERROR(VLOOKUP(AN19,'נתוני מים 2014'!$C$2:$L$188,10,0)/1000,0)</f>
        <v>0</v>
      </c>
      <c r="AO768" s="1">
        <f>+IFERROR(VLOOKUP(AO19,'נתוני מים 2014'!$C$2:$L$188,10,0)/1000,0)</f>
        <v>0</v>
      </c>
      <c r="AP768" s="1">
        <f>+IFERROR(VLOOKUP(AP19,'נתוני מים 2014'!$C$2:$L$188,10,0)/1000,0)</f>
        <v>0</v>
      </c>
      <c r="AQ768" s="1">
        <f>+IFERROR(VLOOKUP(AQ19,'נתוני מים 2014'!$C$2:$L$188,10,0)/1000,0)</f>
        <v>0</v>
      </c>
      <c r="AR768" s="1">
        <f>+IFERROR(VLOOKUP(AR19,'נתוני מים 2014'!$C$2:$L$188,10,0)/1000,0)</f>
        <v>0</v>
      </c>
      <c r="AS768" s="1">
        <f>+IFERROR(VLOOKUP(AS19,'נתוני מים 2014'!$C$2:$L$188,10,0)/1000,0)</f>
        <v>0</v>
      </c>
      <c r="AT768" s="1">
        <f>+IFERROR(VLOOKUP(AT19,'נתוני מים 2014'!$C$2:$L$188,10,0)/1000,0)</f>
        <v>0</v>
      </c>
      <c r="AU768" s="1">
        <f>+IFERROR(VLOOKUP(AU19,'נתוני מים 2014'!$C$2:$L$188,10,0)/1000,0)</f>
        <v>0</v>
      </c>
      <c r="AV768" s="1">
        <f>+IFERROR(VLOOKUP(AV19,'נתוני מים 2014'!$C$2:$L$188,10,0)/1000,0)</f>
        <v>0</v>
      </c>
      <c r="AW768" s="1">
        <f>+IFERROR(VLOOKUP(AW19,'נתוני מים 2014'!$C$2:$L$188,10,0)/1000,0)</f>
        <v>0</v>
      </c>
      <c r="AX768" s="1">
        <f>+IFERROR(VLOOKUP(AX19,'נתוני מים 2014'!$C$2:$L$188,10,0)/1000,0)</f>
        <v>0</v>
      </c>
      <c r="AY768" s="1">
        <f>+IFERROR(VLOOKUP(AY19,'נתוני מים 2014'!$C$2:$L$188,10,0)/1000,0)</f>
        <v>0</v>
      </c>
      <c r="AZ768" s="1">
        <f>+IFERROR(VLOOKUP(AZ19,'נתוני מים 2014'!$C$2:$L$188,10,0)/1000,0)</f>
        <v>0</v>
      </c>
      <c r="BA768" s="1">
        <f>+IFERROR(VLOOKUP(BA19,'נתוני מים 2014'!$C$2:$L$188,10,0)/1000,0)</f>
        <v>0</v>
      </c>
      <c r="BB768" s="1">
        <f>+IFERROR(VLOOKUP(BB19,'נתוני מים 2014'!$C$2:$L$188,10,0)/1000,0)</f>
        <v>0</v>
      </c>
      <c r="BC768" s="1">
        <f>+IFERROR(VLOOKUP(BC19,'נתוני מים 2014'!$C$2:$L$188,10,0)/1000,0)</f>
        <v>0</v>
      </c>
      <c r="BD768" s="1">
        <f>+IFERROR(VLOOKUP(BD19,'נתוני מים 2014'!$C$2:$L$188,10,0)/1000,0)</f>
        <v>0</v>
      </c>
      <c r="BE768" s="1">
        <f>+IFERROR(VLOOKUP(BE19,'נתוני מים 2014'!$C$2:$L$188,10,0)/1000,0)</f>
        <v>0</v>
      </c>
      <c r="BF768" s="1">
        <f>+IFERROR(VLOOKUP(BF19,'נתוני מים 2014'!$C$2:$L$188,10,0)/1000,0)</f>
        <v>0</v>
      </c>
    </row>
    <row r="769" spans="2:58" x14ac:dyDescent="0.2">
      <c r="B769" s="1">
        <v>13</v>
      </c>
      <c r="C769" s="1">
        <f>+IFERROR(VLOOKUP(C20,'נתוני מים 2014'!$C$2:$L$188,10,0)/1000,0)</f>
        <v>0</v>
      </c>
      <c r="D769" s="1">
        <f>+IFERROR(VLOOKUP(D20,'נתוני מים 2014'!$C$2:$L$188,10,0)/1000,0)</f>
        <v>0</v>
      </c>
      <c r="E769" s="1">
        <f>+IFERROR(VLOOKUP(E20,'נתוני מים 2014'!$C$2:$L$188,10,0)/1000,0)</f>
        <v>0</v>
      </c>
      <c r="F769" s="1">
        <f>+IFERROR(VLOOKUP(F20,'נתוני מים 2014'!$C$2:$L$188,10,0)/1000,0)</f>
        <v>0</v>
      </c>
      <c r="G769" s="1">
        <f>+IFERROR(VLOOKUP(G20,'נתוני מים 2014'!$C$2:$L$188,10,0)/1000,0)</f>
        <v>0</v>
      </c>
      <c r="H769" s="1">
        <f>+IFERROR(VLOOKUP(H20,'נתוני מים 2014'!$C$2:$L$188,10,0)/1000,0)</f>
        <v>0</v>
      </c>
      <c r="I769" s="1">
        <f>+IFERROR(VLOOKUP(I20,'נתוני מים 2014'!$C$2:$L$188,10,0)/1000,0)</f>
        <v>0</v>
      </c>
      <c r="J769" s="1">
        <f>+IFERROR(VLOOKUP(J20,'נתוני מים 2014'!$C$2:$L$188,10,0)/1000,0)</f>
        <v>0</v>
      </c>
      <c r="K769" s="1">
        <f>+IFERROR(VLOOKUP(K20,'נתוני מים 2014'!$C$2:$L$188,10,0)/1000,0)</f>
        <v>0</v>
      </c>
      <c r="L769" s="1">
        <f>+IFERROR(VLOOKUP(L20,'נתוני מים 2014'!$C$2:$L$188,10,0)/1000,0)</f>
        <v>0</v>
      </c>
      <c r="M769" s="1">
        <f>+IFERROR(VLOOKUP(M20,'נתוני מים 2014'!$C$2:$L$188,10,0)/1000,0)</f>
        <v>0</v>
      </c>
      <c r="N769" s="1">
        <f>+IFERROR(VLOOKUP(N20,'נתוני מים 2014'!$C$2:$L$188,10,0)/1000,0)</f>
        <v>0</v>
      </c>
      <c r="O769" s="1">
        <f>+IFERROR(VLOOKUP(O20,'נתוני מים 2014'!$C$2:$L$188,10,0)/1000,0)</f>
        <v>0</v>
      </c>
      <c r="P769" s="1">
        <f>+IFERROR(VLOOKUP(P20,'נתוני מים 2014'!$C$2:$L$188,10,0)/1000,0)</f>
        <v>169.00899999999999</v>
      </c>
      <c r="Q769" s="1">
        <f>+IFERROR(VLOOKUP(Q20,'נתוני מים 2014'!$C$2:$L$188,10,0)/1000,0)</f>
        <v>0</v>
      </c>
      <c r="R769" s="1">
        <f>+IFERROR(VLOOKUP(R20,'נתוני מים 2014'!$C$2:$L$188,10,0)/1000,0)</f>
        <v>0</v>
      </c>
      <c r="S769" s="1">
        <f>+IFERROR(VLOOKUP(S20,'נתוני מים 2014'!$C$2:$L$188,10,0)/1000,0)</f>
        <v>0</v>
      </c>
      <c r="T769" s="1">
        <f>+IFERROR(VLOOKUP(T20,'נתוני מים 2014'!$C$2:$L$188,10,0)/1000,0)</f>
        <v>0</v>
      </c>
      <c r="U769" s="1">
        <f>+IFERROR(VLOOKUP(U20,'נתוני מים 2014'!$C$2:$L$188,10,0)/1000,0)</f>
        <v>0</v>
      </c>
      <c r="V769" s="1">
        <f>+IFERROR(VLOOKUP(V20,'נתוני מים 2014'!$C$2:$L$188,10,0)/1000,0)</f>
        <v>0</v>
      </c>
      <c r="W769" s="1">
        <f>+IFERROR(VLOOKUP(W20,'נתוני מים 2014'!$C$2:$L$188,10,0)/1000,0)</f>
        <v>0</v>
      </c>
      <c r="X769" s="1">
        <f>+IFERROR(VLOOKUP(X20,'נתוני מים 2014'!$C$2:$L$188,10,0)/1000,0)</f>
        <v>0</v>
      </c>
      <c r="Y769" s="1">
        <f>+IFERROR(VLOOKUP(Y20,'נתוני מים 2014'!$C$2:$L$188,10,0)/1000,0)</f>
        <v>0</v>
      </c>
      <c r="Z769" s="1">
        <f>+IFERROR(VLOOKUP(Z20,'נתוני מים 2014'!$C$2:$L$188,10,0)/1000,0)</f>
        <v>0</v>
      </c>
      <c r="AA769" s="1">
        <f>+IFERROR(VLOOKUP(AA20,'נתוני מים 2014'!$C$2:$L$188,10,0)/1000,0)</f>
        <v>0</v>
      </c>
      <c r="AB769" s="1">
        <f>+IFERROR(VLOOKUP(AB20,'נתוני מים 2014'!$C$2:$L$188,10,0)/1000,0)</f>
        <v>0</v>
      </c>
      <c r="AC769" s="1">
        <f>+IFERROR(VLOOKUP(AC20,'נתוני מים 2014'!$C$2:$L$188,10,0)/1000,0)</f>
        <v>0</v>
      </c>
      <c r="AD769" s="1">
        <f>+IFERROR(VLOOKUP(AD20,'נתוני מים 2014'!$C$2:$L$188,10,0)/1000,0)</f>
        <v>0</v>
      </c>
      <c r="AE769" s="1">
        <f>+IFERROR(VLOOKUP(AE20,'נתוני מים 2014'!$C$2:$L$188,10,0)/1000,0)</f>
        <v>0</v>
      </c>
      <c r="AF769" s="1">
        <f>+IFERROR(VLOOKUP(AF20,'נתוני מים 2014'!$C$2:$L$188,10,0)/1000,0)</f>
        <v>0</v>
      </c>
      <c r="AG769" s="1">
        <f>+IFERROR(VLOOKUP(AG20,'נתוני מים 2014'!$C$2:$L$188,10,0)/1000,0)</f>
        <v>0</v>
      </c>
      <c r="AH769" s="1">
        <f>+IFERROR(VLOOKUP(AH20,'נתוני מים 2014'!$C$2:$L$188,10,0)/1000,0)</f>
        <v>0</v>
      </c>
      <c r="AI769" s="1">
        <f>+IFERROR(VLOOKUP(AI20,'נתוני מים 2014'!$C$2:$L$188,10,0)/1000,0)</f>
        <v>0</v>
      </c>
      <c r="AJ769" s="1">
        <f>+IFERROR(VLOOKUP(AJ20,'נתוני מים 2014'!$C$2:$L$188,10,0)/1000,0)</f>
        <v>0</v>
      </c>
      <c r="AK769" s="1">
        <f>+IFERROR(VLOOKUP(AK20,'נתוני מים 2014'!$C$2:$L$188,10,0)/1000,0)</f>
        <v>0</v>
      </c>
      <c r="AL769" s="1">
        <f>+IFERROR(VLOOKUP(AL20,'נתוני מים 2014'!$C$2:$L$188,10,0)/1000,0)</f>
        <v>0</v>
      </c>
      <c r="AM769" s="1">
        <f>+IFERROR(VLOOKUP(AM20,'נתוני מים 2014'!$C$2:$L$188,10,0)/1000,0)</f>
        <v>0</v>
      </c>
      <c r="AN769" s="1">
        <f>+IFERROR(VLOOKUP(AN20,'נתוני מים 2014'!$C$2:$L$188,10,0)/1000,0)</f>
        <v>0</v>
      </c>
      <c r="AO769" s="1">
        <f>+IFERROR(VLOOKUP(AO20,'נתוני מים 2014'!$C$2:$L$188,10,0)/1000,0)</f>
        <v>0</v>
      </c>
      <c r="AP769" s="1">
        <f>+IFERROR(VLOOKUP(AP20,'נתוני מים 2014'!$C$2:$L$188,10,0)/1000,0)</f>
        <v>0</v>
      </c>
      <c r="AQ769" s="1">
        <f>+IFERROR(VLOOKUP(AQ20,'נתוני מים 2014'!$C$2:$L$188,10,0)/1000,0)</f>
        <v>0</v>
      </c>
      <c r="AR769" s="1">
        <f>+IFERROR(VLOOKUP(AR20,'נתוני מים 2014'!$C$2:$L$188,10,0)/1000,0)</f>
        <v>0</v>
      </c>
      <c r="AS769" s="1">
        <f>+IFERROR(VLOOKUP(AS20,'נתוני מים 2014'!$C$2:$L$188,10,0)/1000,0)</f>
        <v>0</v>
      </c>
      <c r="AT769" s="1">
        <f>+IFERROR(VLOOKUP(AT20,'נתוני מים 2014'!$C$2:$L$188,10,0)/1000,0)</f>
        <v>0</v>
      </c>
      <c r="AU769" s="1">
        <f>+IFERROR(VLOOKUP(AU20,'נתוני מים 2014'!$C$2:$L$188,10,0)/1000,0)</f>
        <v>0</v>
      </c>
      <c r="AV769" s="1">
        <f>+IFERROR(VLOOKUP(AV20,'נתוני מים 2014'!$C$2:$L$188,10,0)/1000,0)</f>
        <v>0</v>
      </c>
      <c r="AW769" s="1">
        <f>+IFERROR(VLOOKUP(AW20,'נתוני מים 2014'!$C$2:$L$188,10,0)/1000,0)</f>
        <v>0</v>
      </c>
      <c r="AX769" s="1">
        <f>+IFERROR(VLOOKUP(AX20,'נתוני מים 2014'!$C$2:$L$188,10,0)/1000,0)</f>
        <v>0</v>
      </c>
      <c r="AY769" s="1">
        <f>+IFERROR(VLOOKUP(AY20,'נתוני מים 2014'!$C$2:$L$188,10,0)/1000,0)</f>
        <v>0</v>
      </c>
      <c r="AZ769" s="1">
        <f>+IFERROR(VLOOKUP(AZ20,'נתוני מים 2014'!$C$2:$L$188,10,0)/1000,0)</f>
        <v>0</v>
      </c>
      <c r="BA769" s="1">
        <f>+IFERROR(VLOOKUP(BA20,'נתוני מים 2014'!$C$2:$L$188,10,0)/1000,0)</f>
        <v>0</v>
      </c>
      <c r="BB769" s="1">
        <f>+IFERROR(VLOOKUP(BB20,'נתוני מים 2014'!$C$2:$L$188,10,0)/1000,0)</f>
        <v>0</v>
      </c>
      <c r="BC769" s="1">
        <f>+IFERROR(VLOOKUP(BC20,'נתוני מים 2014'!$C$2:$L$188,10,0)/1000,0)</f>
        <v>0</v>
      </c>
      <c r="BD769" s="1">
        <f>+IFERROR(VLOOKUP(BD20,'נתוני מים 2014'!$C$2:$L$188,10,0)/1000,0)</f>
        <v>0</v>
      </c>
      <c r="BE769" s="1">
        <f>+IFERROR(VLOOKUP(BE20,'נתוני מים 2014'!$C$2:$L$188,10,0)/1000,0)</f>
        <v>0</v>
      </c>
      <c r="BF769" s="1">
        <f>+IFERROR(VLOOKUP(BF20,'נתוני מים 2014'!$C$2:$L$188,10,0)/1000,0)</f>
        <v>0</v>
      </c>
    </row>
    <row r="770" spans="2:58" x14ac:dyDescent="0.2">
      <c r="B770" s="1">
        <v>14</v>
      </c>
      <c r="C770" s="1">
        <f>+IFERROR(VLOOKUP(C21,'נתוני מים 2014'!$C$2:$L$188,10,0)/1000,0)</f>
        <v>0</v>
      </c>
      <c r="D770" s="1">
        <f>+IFERROR(VLOOKUP(D21,'נתוני מים 2014'!$C$2:$L$188,10,0)/1000,0)</f>
        <v>0</v>
      </c>
      <c r="E770" s="1">
        <f>+IFERROR(VLOOKUP(E21,'נתוני מים 2014'!$C$2:$L$188,10,0)/1000,0)</f>
        <v>0</v>
      </c>
      <c r="F770" s="1">
        <f>+IFERROR(VLOOKUP(F21,'נתוני מים 2014'!$C$2:$L$188,10,0)/1000,0)</f>
        <v>0</v>
      </c>
      <c r="G770" s="1">
        <f>+IFERROR(VLOOKUP(G21,'נתוני מים 2014'!$C$2:$L$188,10,0)/1000,0)</f>
        <v>0</v>
      </c>
      <c r="H770" s="1">
        <f>+IFERROR(VLOOKUP(H21,'נתוני מים 2014'!$C$2:$L$188,10,0)/1000,0)</f>
        <v>0</v>
      </c>
      <c r="I770" s="1">
        <f>+IFERROR(VLOOKUP(I21,'נתוני מים 2014'!$C$2:$L$188,10,0)/1000,0)</f>
        <v>0</v>
      </c>
      <c r="J770" s="1">
        <f>+IFERROR(VLOOKUP(J21,'נתוני מים 2014'!$C$2:$L$188,10,0)/1000,0)</f>
        <v>0</v>
      </c>
      <c r="K770" s="1">
        <f>+IFERROR(VLOOKUP(K21,'נתוני מים 2014'!$C$2:$L$188,10,0)/1000,0)</f>
        <v>0</v>
      </c>
      <c r="L770" s="1">
        <f>+IFERROR(VLOOKUP(L21,'נתוני מים 2014'!$C$2:$L$188,10,0)/1000,0)</f>
        <v>0</v>
      </c>
      <c r="M770" s="1">
        <f>+IFERROR(VLOOKUP(M21,'נתוני מים 2014'!$C$2:$L$188,10,0)/1000,0)</f>
        <v>0</v>
      </c>
      <c r="N770" s="1">
        <f>+IFERROR(VLOOKUP(N21,'נתוני מים 2014'!$C$2:$L$188,10,0)/1000,0)</f>
        <v>0</v>
      </c>
      <c r="O770" s="1">
        <f>+IFERROR(VLOOKUP(O21,'נתוני מים 2014'!$C$2:$L$188,10,0)/1000,0)</f>
        <v>0</v>
      </c>
      <c r="P770" s="1">
        <f>+IFERROR(VLOOKUP(P21,'נתוני מים 2014'!$C$2:$L$188,10,0)/1000,0)</f>
        <v>0</v>
      </c>
      <c r="Q770" s="1">
        <f>+IFERROR(VLOOKUP(Q21,'נתוני מים 2014'!$C$2:$L$188,10,0)/1000,0)</f>
        <v>0</v>
      </c>
      <c r="R770" s="1">
        <f>+IFERROR(VLOOKUP(R21,'נתוני מים 2014'!$C$2:$L$188,10,0)/1000,0)</f>
        <v>0</v>
      </c>
      <c r="S770" s="1">
        <f>+IFERROR(VLOOKUP(S21,'נתוני מים 2014'!$C$2:$L$188,10,0)/1000,0)</f>
        <v>0</v>
      </c>
      <c r="T770" s="1">
        <f>+IFERROR(VLOOKUP(T21,'נתוני מים 2014'!$C$2:$L$188,10,0)/1000,0)</f>
        <v>0</v>
      </c>
      <c r="U770" s="1">
        <f>+IFERROR(VLOOKUP(U21,'נתוני מים 2014'!$C$2:$L$188,10,0)/1000,0)</f>
        <v>0</v>
      </c>
      <c r="V770" s="1">
        <f>+IFERROR(VLOOKUP(V21,'נתוני מים 2014'!$C$2:$L$188,10,0)/1000,0)</f>
        <v>0</v>
      </c>
      <c r="W770" s="1">
        <f>+IFERROR(VLOOKUP(W21,'נתוני מים 2014'!$C$2:$L$188,10,0)/1000,0)</f>
        <v>0</v>
      </c>
      <c r="X770" s="1">
        <f>+IFERROR(VLOOKUP(X21,'נתוני מים 2014'!$C$2:$L$188,10,0)/1000,0)</f>
        <v>0</v>
      </c>
      <c r="Y770" s="1">
        <f>+IFERROR(VLOOKUP(Y21,'נתוני מים 2014'!$C$2:$L$188,10,0)/1000,0)</f>
        <v>0</v>
      </c>
      <c r="Z770" s="1">
        <f>+IFERROR(VLOOKUP(Z21,'נתוני מים 2014'!$C$2:$L$188,10,0)/1000,0)</f>
        <v>0</v>
      </c>
      <c r="AA770" s="1">
        <f>+IFERROR(VLOOKUP(AA21,'נתוני מים 2014'!$C$2:$L$188,10,0)/1000,0)</f>
        <v>0</v>
      </c>
      <c r="AB770" s="1">
        <f>+IFERROR(VLOOKUP(AB21,'נתוני מים 2014'!$C$2:$L$188,10,0)/1000,0)</f>
        <v>0</v>
      </c>
      <c r="AC770" s="1">
        <f>+IFERROR(VLOOKUP(AC21,'נתוני מים 2014'!$C$2:$L$188,10,0)/1000,0)</f>
        <v>0</v>
      </c>
      <c r="AD770" s="1">
        <f>+IFERROR(VLOOKUP(AD21,'נתוני מים 2014'!$C$2:$L$188,10,0)/1000,0)</f>
        <v>0</v>
      </c>
      <c r="AE770" s="1">
        <f>+IFERROR(VLOOKUP(AE21,'נתוני מים 2014'!$C$2:$L$188,10,0)/1000,0)</f>
        <v>0</v>
      </c>
      <c r="AF770" s="1">
        <f>+IFERROR(VLOOKUP(AF21,'נתוני מים 2014'!$C$2:$L$188,10,0)/1000,0)</f>
        <v>0</v>
      </c>
      <c r="AG770" s="1">
        <f>+IFERROR(VLOOKUP(AG21,'נתוני מים 2014'!$C$2:$L$188,10,0)/1000,0)</f>
        <v>0</v>
      </c>
      <c r="AH770" s="1">
        <f>+IFERROR(VLOOKUP(AH21,'נתוני מים 2014'!$C$2:$L$188,10,0)/1000,0)</f>
        <v>0</v>
      </c>
      <c r="AI770" s="1">
        <f>+IFERROR(VLOOKUP(AI21,'נתוני מים 2014'!$C$2:$L$188,10,0)/1000,0)</f>
        <v>0</v>
      </c>
      <c r="AJ770" s="1">
        <f>+IFERROR(VLOOKUP(AJ21,'נתוני מים 2014'!$C$2:$L$188,10,0)/1000,0)</f>
        <v>0</v>
      </c>
      <c r="AK770" s="1">
        <f>+IFERROR(VLOOKUP(AK21,'נתוני מים 2014'!$C$2:$L$188,10,0)/1000,0)</f>
        <v>0</v>
      </c>
      <c r="AL770" s="1">
        <f>+IFERROR(VLOOKUP(AL21,'נתוני מים 2014'!$C$2:$L$188,10,0)/1000,0)</f>
        <v>0</v>
      </c>
      <c r="AM770" s="1">
        <f>+IFERROR(VLOOKUP(AM21,'נתוני מים 2014'!$C$2:$L$188,10,0)/1000,0)</f>
        <v>0</v>
      </c>
      <c r="AN770" s="1">
        <f>+IFERROR(VLOOKUP(AN21,'נתוני מים 2014'!$C$2:$L$188,10,0)/1000,0)</f>
        <v>0</v>
      </c>
      <c r="AO770" s="1">
        <f>+IFERROR(VLOOKUP(AO21,'נתוני מים 2014'!$C$2:$L$188,10,0)/1000,0)</f>
        <v>0</v>
      </c>
      <c r="AP770" s="1">
        <f>+IFERROR(VLOOKUP(AP21,'נתוני מים 2014'!$C$2:$L$188,10,0)/1000,0)</f>
        <v>0</v>
      </c>
      <c r="AQ770" s="1">
        <f>+IFERROR(VLOOKUP(AQ21,'נתוני מים 2014'!$C$2:$L$188,10,0)/1000,0)</f>
        <v>0</v>
      </c>
      <c r="AR770" s="1">
        <f>+IFERROR(VLOOKUP(AR21,'נתוני מים 2014'!$C$2:$L$188,10,0)/1000,0)</f>
        <v>0</v>
      </c>
      <c r="AS770" s="1">
        <f>+IFERROR(VLOOKUP(AS21,'נתוני מים 2014'!$C$2:$L$188,10,0)/1000,0)</f>
        <v>0</v>
      </c>
      <c r="AT770" s="1">
        <f>+IFERROR(VLOOKUP(AT21,'נתוני מים 2014'!$C$2:$L$188,10,0)/1000,0)</f>
        <v>0</v>
      </c>
      <c r="AU770" s="1">
        <f>+IFERROR(VLOOKUP(AU21,'נתוני מים 2014'!$C$2:$L$188,10,0)/1000,0)</f>
        <v>0</v>
      </c>
      <c r="AV770" s="1">
        <f>+IFERROR(VLOOKUP(AV21,'נתוני מים 2014'!$C$2:$L$188,10,0)/1000,0)</f>
        <v>0</v>
      </c>
      <c r="AW770" s="1">
        <f>+IFERROR(VLOOKUP(AW21,'נתוני מים 2014'!$C$2:$L$188,10,0)/1000,0)</f>
        <v>0</v>
      </c>
      <c r="AX770" s="1">
        <f>+IFERROR(VLOOKUP(AX21,'נתוני מים 2014'!$C$2:$L$188,10,0)/1000,0)</f>
        <v>0</v>
      </c>
      <c r="AY770" s="1">
        <f>+IFERROR(VLOOKUP(AY21,'נתוני מים 2014'!$C$2:$L$188,10,0)/1000,0)</f>
        <v>0</v>
      </c>
      <c r="AZ770" s="1">
        <f>+IFERROR(VLOOKUP(AZ21,'נתוני מים 2014'!$C$2:$L$188,10,0)/1000,0)</f>
        <v>0</v>
      </c>
      <c r="BA770" s="1">
        <f>+IFERROR(VLOOKUP(BA21,'נתוני מים 2014'!$C$2:$L$188,10,0)/1000,0)</f>
        <v>0</v>
      </c>
      <c r="BB770" s="1">
        <f>+IFERROR(VLOOKUP(BB21,'נתוני מים 2014'!$C$2:$L$188,10,0)/1000,0)</f>
        <v>0</v>
      </c>
      <c r="BC770" s="1">
        <f>+IFERROR(VLOOKUP(BC21,'נתוני מים 2014'!$C$2:$L$188,10,0)/1000,0)</f>
        <v>0</v>
      </c>
      <c r="BD770" s="1">
        <f>+IFERROR(VLOOKUP(BD21,'נתוני מים 2014'!$C$2:$L$188,10,0)/1000,0)</f>
        <v>0</v>
      </c>
      <c r="BE770" s="1">
        <f>+IFERROR(VLOOKUP(BE21,'נתוני מים 2014'!$C$2:$L$188,10,0)/1000,0)</f>
        <v>0</v>
      </c>
      <c r="BF770" s="1">
        <f>+IFERROR(VLOOKUP(BF21,'נתוני מים 2014'!$C$2:$L$188,10,0)/1000,0)</f>
        <v>0</v>
      </c>
    </row>
    <row r="771" spans="2:58" x14ac:dyDescent="0.2">
      <c r="B771" s="1">
        <v>15</v>
      </c>
      <c r="C771" s="1">
        <f>+IFERROR(VLOOKUP(C22,'נתוני מים 2014'!$C$2:$L$188,10,0)/1000,0)</f>
        <v>0</v>
      </c>
      <c r="D771" s="1">
        <f>+IFERROR(VLOOKUP(D22,'נתוני מים 2014'!$C$2:$L$188,10,0)/1000,0)</f>
        <v>0</v>
      </c>
      <c r="E771" s="1">
        <f>+IFERROR(VLOOKUP(E22,'נתוני מים 2014'!$C$2:$L$188,10,0)/1000,0)</f>
        <v>0</v>
      </c>
      <c r="F771" s="1">
        <f>+IFERROR(VLOOKUP(F22,'נתוני מים 2014'!$C$2:$L$188,10,0)/1000,0)</f>
        <v>0</v>
      </c>
      <c r="G771" s="1">
        <f>+IFERROR(VLOOKUP(G22,'נתוני מים 2014'!$C$2:$L$188,10,0)/1000,0)</f>
        <v>0</v>
      </c>
      <c r="H771" s="1">
        <f>+IFERROR(VLOOKUP(H22,'נתוני מים 2014'!$C$2:$L$188,10,0)/1000,0)</f>
        <v>0</v>
      </c>
      <c r="I771" s="1">
        <f>+IFERROR(VLOOKUP(I22,'נתוני מים 2014'!$C$2:$L$188,10,0)/1000,0)</f>
        <v>0</v>
      </c>
      <c r="J771" s="1">
        <f>+IFERROR(VLOOKUP(J22,'נתוני מים 2014'!$C$2:$L$188,10,0)/1000,0)</f>
        <v>0</v>
      </c>
      <c r="K771" s="1">
        <f>+IFERROR(VLOOKUP(K22,'נתוני מים 2014'!$C$2:$L$188,10,0)/1000,0)</f>
        <v>0</v>
      </c>
      <c r="L771" s="1">
        <f>+IFERROR(VLOOKUP(L22,'נתוני מים 2014'!$C$2:$L$188,10,0)/1000,0)</f>
        <v>0</v>
      </c>
      <c r="M771" s="1">
        <f>+IFERROR(VLOOKUP(M22,'נתוני מים 2014'!$C$2:$L$188,10,0)/1000,0)</f>
        <v>0</v>
      </c>
      <c r="N771" s="1">
        <f>+IFERROR(VLOOKUP(N22,'נתוני מים 2014'!$C$2:$L$188,10,0)/1000,0)</f>
        <v>0</v>
      </c>
      <c r="O771" s="1">
        <f>+IFERROR(VLOOKUP(O22,'נתוני מים 2014'!$C$2:$L$188,10,0)/1000,0)</f>
        <v>0</v>
      </c>
      <c r="P771" s="1">
        <f>+IFERROR(VLOOKUP(P22,'נתוני מים 2014'!$C$2:$L$188,10,0)/1000,0)</f>
        <v>0</v>
      </c>
      <c r="Q771" s="1">
        <f>+IFERROR(VLOOKUP(Q22,'נתוני מים 2014'!$C$2:$L$188,10,0)/1000,0)</f>
        <v>0</v>
      </c>
      <c r="R771" s="1">
        <f>+IFERROR(VLOOKUP(R22,'נתוני מים 2014'!$C$2:$L$188,10,0)/1000,0)</f>
        <v>0</v>
      </c>
      <c r="S771" s="1">
        <f>+IFERROR(VLOOKUP(S22,'נתוני מים 2014'!$C$2:$L$188,10,0)/1000,0)</f>
        <v>0</v>
      </c>
      <c r="T771" s="1">
        <f>+IFERROR(VLOOKUP(T22,'נתוני מים 2014'!$C$2:$L$188,10,0)/1000,0)</f>
        <v>0</v>
      </c>
      <c r="U771" s="1">
        <f>+IFERROR(VLOOKUP(U22,'נתוני מים 2014'!$C$2:$L$188,10,0)/1000,0)</f>
        <v>0</v>
      </c>
      <c r="V771" s="1">
        <f>+IFERROR(VLOOKUP(V22,'נתוני מים 2014'!$C$2:$L$188,10,0)/1000,0)</f>
        <v>0</v>
      </c>
      <c r="W771" s="1">
        <f>+IFERROR(VLOOKUP(W22,'נתוני מים 2014'!$C$2:$L$188,10,0)/1000,0)</f>
        <v>0</v>
      </c>
      <c r="X771" s="1">
        <f>+IFERROR(VLOOKUP(X22,'נתוני מים 2014'!$C$2:$L$188,10,0)/1000,0)</f>
        <v>0</v>
      </c>
      <c r="Y771" s="1">
        <f>+IFERROR(VLOOKUP(Y22,'נתוני מים 2014'!$C$2:$L$188,10,0)/1000,0)</f>
        <v>0</v>
      </c>
      <c r="Z771" s="1">
        <f>+IFERROR(VLOOKUP(Z22,'נתוני מים 2014'!$C$2:$L$188,10,0)/1000,0)</f>
        <v>0</v>
      </c>
      <c r="AA771" s="1">
        <f>+IFERROR(VLOOKUP(AA22,'נתוני מים 2014'!$C$2:$L$188,10,0)/1000,0)</f>
        <v>0</v>
      </c>
      <c r="AB771" s="1">
        <f>+IFERROR(VLOOKUP(AB22,'נתוני מים 2014'!$C$2:$L$188,10,0)/1000,0)</f>
        <v>0</v>
      </c>
      <c r="AC771" s="1">
        <f>+IFERROR(VLOOKUP(AC22,'נתוני מים 2014'!$C$2:$L$188,10,0)/1000,0)</f>
        <v>0</v>
      </c>
      <c r="AD771" s="1">
        <f>+IFERROR(VLOOKUP(AD22,'נתוני מים 2014'!$C$2:$L$188,10,0)/1000,0)</f>
        <v>0</v>
      </c>
      <c r="AE771" s="1">
        <f>+IFERROR(VLOOKUP(AE22,'נתוני מים 2014'!$C$2:$L$188,10,0)/1000,0)</f>
        <v>0</v>
      </c>
      <c r="AF771" s="1">
        <f>+IFERROR(VLOOKUP(AF22,'נתוני מים 2014'!$C$2:$L$188,10,0)/1000,0)</f>
        <v>0</v>
      </c>
      <c r="AG771" s="1">
        <f>+IFERROR(VLOOKUP(AG22,'נתוני מים 2014'!$C$2:$L$188,10,0)/1000,0)</f>
        <v>0</v>
      </c>
      <c r="AH771" s="1">
        <f>+IFERROR(VLOOKUP(AH22,'נתוני מים 2014'!$C$2:$L$188,10,0)/1000,0)</f>
        <v>0</v>
      </c>
      <c r="AI771" s="1">
        <f>+IFERROR(VLOOKUP(AI22,'נתוני מים 2014'!$C$2:$L$188,10,0)/1000,0)</f>
        <v>0</v>
      </c>
      <c r="AJ771" s="1">
        <f>+IFERROR(VLOOKUP(AJ22,'נתוני מים 2014'!$C$2:$L$188,10,0)/1000,0)</f>
        <v>0</v>
      </c>
      <c r="AK771" s="1">
        <f>+IFERROR(VLOOKUP(AK22,'נתוני מים 2014'!$C$2:$L$188,10,0)/1000,0)</f>
        <v>0</v>
      </c>
      <c r="AL771" s="1">
        <f>+IFERROR(VLOOKUP(AL22,'נתוני מים 2014'!$C$2:$L$188,10,0)/1000,0)</f>
        <v>0</v>
      </c>
      <c r="AM771" s="1">
        <f>+IFERROR(VLOOKUP(AM22,'נתוני מים 2014'!$C$2:$L$188,10,0)/1000,0)</f>
        <v>0</v>
      </c>
      <c r="AN771" s="1">
        <f>+IFERROR(VLOOKUP(AN22,'נתוני מים 2014'!$C$2:$L$188,10,0)/1000,0)</f>
        <v>0</v>
      </c>
      <c r="AO771" s="1">
        <f>+IFERROR(VLOOKUP(AO22,'נתוני מים 2014'!$C$2:$L$188,10,0)/1000,0)</f>
        <v>0</v>
      </c>
      <c r="AP771" s="1">
        <f>+IFERROR(VLOOKUP(AP22,'נתוני מים 2014'!$C$2:$L$188,10,0)/1000,0)</f>
        <v>0</v>
      </c>
      <c r="AQ771" s="1">
        <f>+IFERROR(VLOOKUP(AQ22,'נתוני מים 2014'!$C$2:$L$188,10,0)/1000,0)</f>
        <v>0</v>
      </c>
      <c r="AR771" s="1">
        <f>+IFERROR(VLOOKUP(AR22,'נתוני מים 2014'!$C$2:$L$188,10,0)/1000,0)</f>
        <v>0</v>
      </c>
      <c r="AS771" s="1">
        <f>+IFERROR(VLOOKUP(AS22,'נתוני מים 2014'!$C$2:$L$188,10,0)/1000,0)</f>
        <v>0</v>
      </c>
      <c r="AT771" s="1">
        <f>+IFERROR(VLOOKUP(AT22,'נתוני מים 2014'!$C$2:$L$188,10,0)/1000,0)</f>
        <v>0</v>
      </c>
      <c r="AU771" s="1">
        <f>+IFERROR(VLOOKUP(AU22,'נתוני מים 2014'!$C$2:$L$188,10,0)/1000,0)</f>
        <v>0</v>
      </c>
      <c r="AV771" s="1">
        <f>+IFERROR(VLOOKUP(AV22,'נתוני מים 2014'!$C$2:$L$188,10,0)/1000,0)</f>
        <v>0</v>
      </c>
      <c r="AW771" s="1">
        <f>+IFERROR(VLOOKUP(AW22,'נתוני מים 2014'!$C$2:$L$188,10,0)/1000,0)</f>
        <v>0</v>
      </c>
      <c r="AX771" s="1">
        <f>+IFERROR(VLOOKUP(AX22,'נתוני מים 2014'!$C$2:$L$188,10,0)/1000,0)</f>
        <v>0</v>
      </c>
      <c r="AY771" s="1">
        <f>+IFERROR(VLOOKUP(AY22,'נתוני מים 2014'!$C$2:$L$188,10,0)/1000,0)</f>
        <v>0</v>
      </c>
      <c r="AZ771" s="1">
        <f>+IFERROR(VLOOKUP(AZ22,'נתוני מים 2014'!$C$2:$L$188,10,0)/1000,0)</f>
        <v>0</v>
      </c>
      <c r="BA771" s="1">
        <f>+IFERROR(VLOOKUP(BA22,'נתוני מים 2014'!$C$2:$L$188,10,0)/1000,0)</f>
        <v>0</v>
      </c>
      <c r="BB771" s="1">
        <f>+IFERROR(VLOOKUP(BB22,'נתוני מים 2014'!$C$2:$L$188,10,0)/1000,0)</f>
        <v>0</v>
      </c>
      <c r="BC771" s="1">
        <f>+IFERROR(VLOOKUP(BC22,'נתוני מים 2014'!$C$2:$L$188,10,0)/1000,0)</f>
        <v>0</v>
      </c>
      <c r="BD771" s="1">
        <f>+IFERROR(VLOOKUP(BD22,'נתוני מים 2014'!$C$2:$L$188,10,0)/1000,0)</f>
        <v>0</v>
      </c>
      <c r="BE771" s="1">
        <f>+IFERROR(VLOOKUP(BE22,'נתוני מים 2014'!$C$2:$L$188,10,0)/1000,0)</f>
        <v>0</v>
      </c>
      <c r="BF771" s="1">
        <f>+IFERROR(VLOOKUP(BF22,'נתוני מים 2014'!$C$2:$L$188,10,0)/1000,0)</f>
        <v>0</v>
      </c>
    </row>
    <row r="772" spans="2:58" x14ac:dyDescent="0.2">
      <c r="B772" s="1">
        <v>16</v>
      </c>
      <c r="C772" s="1">
        <f>+IFERROR(VLOOKUP(C23,'נתוני מים 2014'!$C$2:$L$188,10,0)/1000,0)</f>
        <v>0</v>
      </c>
      <c r="D772" s="1">
        <f>+IFERROR(VLOOKUP(D23,'נתוני מים 2014'!$C$2:$L$188,10,0)/1000,0)</f>
        <v>0</v>
      </c>
      <c r="E772" s="1">
        <f>+IFERROR(VLOOKUP(E23,'נתוני מים 2014'!$C$2:$L$188,10,0)/1000,0)</f>
        <v>0</v>
      </c>
      <c r="F772" s="1">
        <f>+IFERROR(VLOOKUP(F23,'נתוני מים 2014'!$C$2:$L$188,10,0)/1000,0)</f>
        <v>0</v>
      </c>
      <c r="G772" s="1">
        <f>+IFERROR(VLOOKUP(G23,'נתוני מים 2014'!$C$2:$L$188,10,0)/1000,0)</f>
        <v>0</v>
      </c>
      <c r="H772" s="1">
        <f>+IFERROR(VLOOKUP(H23,'נתוני מים 2014'!$C$2:$L$188,10,0)/1000,0)</f>
        <v>0</v>
      </c>
      <c r="I772" s="1">
        <f>+IFERROR(VLOOKUP(I23,'נתוני מים 2014'!$C$2:$L$188,10,0)/1000,0)</f>
        <v>0</v>
      </c>
      <c r="J772" s="1">
        <f>+IFERROR(VLOOKUP(J23,'נתוני מים 2014'!$C$2:$L$188,10,0)/1000,0)</f>
        <v>0</v>
      </c>
      <c r="K772" s="1">
        <f>+IFERROR(VLOOKUP(K23,'נתוני מים 2014'!$C$2:$L$188,10,0)/1000,0)</f>
        <v>0</v>
      </c>
      <c r="L772" s="1">
        <f>+IFERROR(VLOOKUP(L23,'נתוני מים 2014'!$C$2:$L$188,10,0)/1000,0)</f>
        <v>0</v>
      </c>
      <c r="M772" s="1">
        <f>+IFERROR(VLOOKUP(M23,'נתוני מים 2014'!$C$2:$L$188,10,0)/1000,0)</f>
        <v>0</v>
      </c>
      <c r="N772" s="1">
        <f>+IFERROR(VLOOKUP(N23,'נתוני מים 2014'!$C$2:$L$188,10,0)/1000,0)</f>
        <v>0</v>
      </c>
      <c r="O772" s="1">
        <f>+IFERROR(VLOOKUP(O23,'נתוני מים 2014'!$C$2:$L$188,10,0)/1000,0)</f>
        <v>0</v>
      </c>
      <c r="P772" s="1">
        <f>+IFERROR(VLOOKUP(P23,'נתוני מים 2014'!$C$2:$L$188,10,0)/1000,0)</f>
        <v>0</v>
      </c>
      <c r="Q772" s="1">
        <f>+IFERROR(VLOOKUP(Q23,'נתוני מים 2014'!$C$2:$L$188,10,0)/1000,0)</f>
        <v>0</v>
      </c>
      <c r="R772" s="1">
        <f>+IFERROR(VLOOKUP(R23,'נתוני מים 2014'!$C$2:$L$188,10,0)/1000,0)</f>
        <v>0</v>
      </c>
      <c r="S772" s="1">
        <f>+IFERROR(VLOOKUP(S23,'נתוני מים 2014'!$C$2:$L$188,10,0)/1000,0)</f>
        <v>0</v>
      </c>
      <c r="T772" s="1">
        <f>+IFERROR(VLOOKUP(T23,'נתוני מים 2014'!$C$2:$L$188,10,0)/1000,0)</f>
        <v>0</v>
      </c>
      <c r="U772" s="1">
        <f>+IFERROR(VLOOKUP(U23,'נתוני מים 2014'!$C$2:$L$188,10,0)/1000,0)</f>
        <v>0</v>
      </c>
      <c r="V772" s="1">
        <f>+IFERROR(VLOOKUP(V23,'נתוני מים 2014'!$C$2:$L$188,10,0)/1000,0)</f>
        <v>0</v>
      </c>
      <c r="W772" s="1">
        <f>+IFERROR(VLOOKUP(W23,'נתוני מים 2014'!$C$2:$L$188,10,0)/1000,0)</f>
        <v>0</v>
      </c>
      <c r="X772" s="1">
        <f>+IFERROR(VLOOKUP(X23,'נתוני מים 2014'!$C$2:$L$188,10,0)/1000,0)</f>
        <v>0</v>
      </c>
      <c r="Y772" s="1">
        <f>+IFERROR(VLOOKUP(Y23,'נתוני מים 2014'!$C$2:$L$188,10,0)/1000,0)</f>
        <v>0</v>
      </c>
      <c r="Z772" s="1">
        <f>+IFERROR(VLOOKUP(Z23,'נתוני מים 2014'!$C$2:$L$188,10,0)/1000,0)</f>
        <v>0</v>
      </c>
      <c r="AA772" s="1">
        <f>+IFERROR(VLOOKUP(AA23,'נתוני מים 2014'!$C$2:$L$188,10,0)/1000,0)</f>
        <v>0</v>
      </c>
      <c r="AB772" s="1">
        <f>+IFERROR(VLOOKUP(AB23,'נתוני מים 2014'!$C$2:$L$188,10,0)/1000,0)</f>
        <v>0</v>
      </c>
      <c r="AC772" s="1">
        <f>+IFERROR(VLOOKUP(AC23,'נתוני מים 2014'!$C$2:$L$188,10,0)/1000,0)</f>
        <v>0</v>
      </c>
      <c r="AD772" s="1">
        <f>+IFERROR(VLOOKUP(AD23,'נתוני מים 2014'!$C$2:$L$188,10,0)/1000,0)</f>
        <v>0</v>
      </c>
      <c r="AE772" s="1">
        <f>+IFERROR(VLOOKUP(AE23,'נתוני מים 2014'!$C$2:$L$188,10,0)/1000,0)</f>
        <v>0</v>
      </c>
      <c r="AF772" s="1">
        <f>+IFERROR(VLOOKUP(AF23,'נתוני מים 2014'!$C$2:$L$188,10,0)/1000,0)</f>
        <v>0</v>
      </c>
      <c r="AG772" s="1">
        <f>+IFERROR(VLOOKUP(AG23,'נתוני מים 2014'!$C$2:$L$188,10,0)/1000,0)</f>
        <v>0</v>
      </c>
      <c r="AH772" s="1">
        <f>+IFERROR(VLOOKUP(AH23,'נתוני מים 2014'!$C$2:$L$188,10,0)/1000,0)</f>
        <v>0</v>
      </c>
      <c r="AI772" s="1">
        <f>+IFERROR(VLOOKUP(AI23,'נתוני מים 2014'!$C$2:$L$188,10,0)/1000,0)</f>
        <v>0</v>
      </c>
      <c r="AJ772" s="1">
        <f>+IFERROR(VLOOKUP(AJ23,'נתוני מים 2014'!$C$2:$L$188,10,0)/1000,0)</f>
        <v>0</v>
      </c>
      <c r="AK772" s="1">
        <f>+IFERROR(VLOOKUP(AK23,'נתוני מים 2014'!$C$2:$L$188,10,0)/1000,0)</f>
        <v>0</v>
      </c>
      <c r="AL772" s="1">
        <f>+IFERROR(VLOOKUP(AL23,'נתוני מים 2014'!$C$2:$L$188,10,0)/1000,0)</f>
        <v>0</v>
      </c>
      <c r="AM772" s="1">
        <f>+IFERROR(VLOOKUP(AM23,'נתוני מים 2014'!$C$2:$L$188,10,0)/1000,0)</f>
        <v>0</v>
      </c>
      <c r="AN772" s="1">
        <f>+IFERROR(VLOOKUP(AN23,'נתוני מים 2014'!$C$2:$L$188,10,0)/1000,0)</f>
        <v>0</v>
      </c>
      <c r="AO772" s="1">
        <f>+IFERROR(VLOOKUP(AO23,'נתוני מים 2014'!$C$2:$L$188,10,0)/1000,0)</f>
        <v>0</v>
      </c>
      <c r="AP772" s="1">
        <f>+IFERROR(VLOOKUP(AP23,'נתוני מים 2014'!$C$2:$L$188,10,0)/1000,0)</f>
        <v>0</v>
      </c>
      <c r="AQ772" s="1">
        <f>+IFERROR(VLOOKUP(AQ23,'נתוני מים 2014'!$C$2:$L$188,10,0)/1000,0)</f>
        <v>0</v>
      </c>
      <c r="AR772" s="1">
        <f>+IFERROR(VLOOKUP(AR23,'נתוני מים 2014'!$C$2:$L$188,10,0)/1000,0)</f>
        <v>0</v>
      </c>
      <c r="AS772" s="1">
        <f>+IFERROR(VLOOKUP(AS23,'נתוני מים 2014'!$C$2:$L$188,10,0)/1000,0)</f>
        <v>0</v>
      </c>
      <c r="AT772" s="1">
        <f>+IFERROR(VLOOKUP(AT23,'נתוני מים 2014'!$C$2:$L$188,10,0)/1000,0)</f>
        <v>0</v>
      </c>
      <c r="AU772" s="1">
        <f>+IFERROR(VLOOKUP(AU23,'נתוני מים 2014'!$C$2:$L$188,10,0)/1000,0)</f>
        <v>0</v>
      </c>
      <c r="AV772" s="1">
        <f>+IFERROR(VLOOKUP(AV23,'נתוני מים 2014'!$C$2:$L$188,10,0)/1000,0)</f>
        <v>0</v>
      </c>
      <c r="AW772" s="1">
        <f>+IFERROR(VLOOKUP(AW23,'נתוני מים 2014'!$C$2:$L$188,10,0)/1000,0)</f>
        <v>0</v>
      </c>
      <c r="AX772" s="1">
        <f>+IFERROR(VLOOKUP(AX23,'נתוני מים 2014'!$C$2:$L$188,10,0)/1000,0)</f>
        <v>0</v>
      </c>
      <c r="AY772" s="1">
        <f>+IFERROR(VLOOKUP(AY23,'נתוני מים 2014'!$C$2:$L$188,10,0)/1000,0)</f>
        <v>0</v>
      </c>
      <c r="AZ772" s="1">
        <f>+IFERROR(VLOOKUP(AZ23,'נתוני מים 2014'!$C$2:$L$188,10,0)/1000,0)</f>
        <v>0</v>
      </c>
      <c r="BA772" s="1">
        <f>+IFERROR(VLOOKUP(BA23,'נתוני מים 2014'!$C$2:$L$188,10,0)/1000,0)</f>
        <v>0</v>
      </c>
      <c r="BB772" s="1">
        <f>+IFERROR(VLOOKUP(BB23,'נתוני מים 2014'!$C$2:$L$188,10,0)/1000,0)</f>
        <v>0</v>
      </c>
      <c r="BC772" s="1">
        <f>+IFERROR(VLOOKUP(BC23,'נתוני מים 2014'!$C$2:$L$188,10,0)/1000,0)</f>
        <v>0</v>
      </c>
      <c r="BD772" s="1">
        <f>+IFERROR(VLOOKUP(BD23,'נתוני מים 2014'!$C$2:$L$188,10,0)/1000,0)</f>
        <v>0</v>
      </c>
      <c r="BE772" s="1">
        <f>+IFERROR(VLOOKUP(BE23,'נתוני מים 2014'!$C$2:$L$188,10,0)/1000,0)</f>
        <v>0</v>
      </c>
      <c r="BF772" s="1">
        <f>+IFERROR(VLOOKUP(BF23,'נתוני מים 2014'!$C$2:$L$188,10,0)/1000,0)</f>
        <v>0</v>
      </c>
    </row>
    <row r="773" spans="2:58" x14ac:dyDescent="0.2">
      <c r="B773" s="1">
        <v>17</v>
      </c>
      <c r="C773" s="1">
        <f>+IFERROR(VLOOKUP(C24,'נתוני מים 2014'!$C$2:$L$188,10,0)/1000,0)</f>
        <v>0</v>
      </c>
      <c r="D773" s="1">
        <f>+IFERROR(VLOOKUP(D24,'נתוני מים 2014'!$C$2:$L$188,10,0)/1000,0)</f>
        <v>0</v>
      </c>
      <c r="E773" s="1">
        <f>+IFERROR(VLOOKUP(E24,'נתוני מים 2014'!$C$2:$L$188,10,0)/1000,0)</f>
        <v>0</v>
      </c>
      <c r="F773" s="1">
        <f>+IFERROR(VLOOKUP(F24,'נתוני מים 2014'!$C$2:$L$188,10,0)/1000,0)</f>
        <v>0</v>
      </c>
      <c r="G773" s="1">
        <f>+IFERROR(VLOOKUP(G24,'נתוני מים 2014'!$C$2:$L$188,10,0)/1000,0)</f>
        <v>0</v>
      </c>
      <c r="H773" s="1">
        <f>+IFERROR(VLOOKUP(H24,'נתוני מים 2014'!$C$2:$L$188,10,0)/1000,0)</f>
        <v>0</v>
      </c>
      <c r="I773" s="1">
        <f>+IFERROR(VLOOKUP(I24,'נתוני מים 2014'!$C$2:$L$188,10,0)/1000,0)</f>
        <v>0</v>
      </c>
      <c r="J773" s="1">
        <f>+IFERROR(VLOOKUP(J24,'נתוני מים 2014'!$C$2:$L$188,10,0)/1000,0)</f>
        <v>0</v>
      </c>
      <c r="K773" s="1">
        <f>+IFERROR(VLOOKUP(K24,'נתוני מים 2014'!$C$2:$L$188,10,0)/1000,0)</f>
        <v>0</v>
      </c>
      <c r="L773" s="1">
        <f>+IFERROR(VLOOKUP(L24,'נתוני מים 2014'!$C$2:$L$188,10,0)/1000,0)</f>
        <v>0</v>
      </c>
      <c r="M773" s="1">
        <f>+IFERROR(VLOOKUP(M24,'נתוני מים 2014'!$C$2:$L$188,10,0)/1000,0)</f>
        <v>0</v>
      </c>
      <c r="N773" s="1">
        <f>+IFERROR(VLOOKUP(N24,'נתוני מים 2014'!$C$2:$L$188,10,0)/1000,0)</f>
        <v>0</v>
      </c>
      <c r="O773" s="1">
        <f>+IFERROR(VLOOKUP(O24,'נתוני מים 2014'!$C$2:$L$188,10,0)/1000,0)</f>
        <v>0</v>
      </c>
      <c r="P773" s="1">
        <f>+IFERROR(VLOOKUP(P24,'נתוני מים 2014'!$C$2:$L$188,10,0)/1000,0)</f>
        <v>0</v>
      </c>
      <c r="Q773" s="1">
        <f>+IFERROR(VLOOKUP(Q24,'נתוני מים 2014'!$C$2:$L$188,10,0)/1000,0)</f>
        <v>0</v>
      </c>
      <c r="R773" s="1">
        <f>+IFERROR(VLOOKUP(R24,'נתוני מים 2014'!$C$2:$L$188,10,0)/1000,0)</f>
        <v>0</v>
      </c>
      <c r="S773" s="1">
        <f>+IFERROR(VLOOKUP(S24,'נתוני מים 2014'!$C$2:$L$188,10,0)/1000,0)</f>
        <v>0</v>
      </c>
      <c r="T773" s="1">
        <f>+IFERROR(VLOOKUP(T24,'נתוני מים 2014'!$C$2:$L$188,10,0)/1000,0)</f>
        <v>0</v>
      </c>
      <c r="U773" s="1">
        <f>+IFERROR(VLOOKUP(U24,'נתוני מים 2014'!$C$2:$L$188,10,0)/1000,0)</f>
        <v>0</v>
      </c>
      <c r="V773" s="1">
        <f>+IFERROR(VLOOKUP(V24,'נתוני מים 2014'!$C$2:$L$188,10,0)/1000,0)</f>
        <v>0</v>
      </c>
      <c r="W773" s="1">
        <f>+IFERROR(VLOOKUP(W24,'נתוני מים 2014'!$C$2:$L$188,10,0)/1000,0)</f>
        <v>0</v>
      </c>
      <c r="X773" s="1">
        <f>+IFERROR(VLOOKUP(X24,'נתוני מים 2014'!$C$2:$L$188,10,0)/1000,0)</f>
        <v>0</v>
      </c>
      <c r="Y773" s="1">
        <f>+IFERROR(VLOOKUP(Y24,'נתוני מים 2014'!$C$2:$L$188,10,0)/1000,0)</f>
        <v>0</v>
      </c>
      <c r="Z773" s="1">
        <f>+IFERROR(VLOOKUP(Z24,'נתוני מים 2014'!$C$2:$L$188,10,0)/1000,0)</f>
        <v>0</v>
      </c>
      <c r="AA773" s="1">
        <f>+IFERROR(VLOOKUP(AA24,'נתוני מים 2014'!$C$2:$L$188,10,0)/1000,0)</f>
        <v>0</v>
      </c>
      <c r="AB773" s="1">
        <f>+IFERROR(VLOOKUP(AB24,'נתוני מים 2014'!$C$2:$L$188,10,0)/1000,0)</f>
        <v>0</v>
      </c>
      <c r="AC773" s="1">
        <f>+IFERROR(VLOOKUP(AC24,'נתוני מים 2014'!$C$2:$L$188,10,0)/1000,0)</f>
        <v>0</v>
      </c>
      <c r="AD773" s="1">
        <f>+IFERROR(VLOOKUP(AD24,'נתוני מים 2014'!$C$2:$L$188,10,0)/1000,0)</f>
        <v>0</v>
      </c>
      <c r="AE773" s="1">
        <f>+IFERROR(VLOOKUP(AE24,'נתוני מים 2014'!$C$2:$L$188,10,0)/1000,0)</f>
        <v>0</v>
      </c>
      <c r="AF773" s="1">
        <f>+IFERROR(VLOOKUP(AF24,'נתוני מים 2014'!$C$2:$L$188,10,0)/1000,0)</f>
        <v>0</v>
      </c>
      <c r="AG773" s="1">
        <f>+IFERROR(VLOOKUP(AG24,'נתוני מים 2014'!$C$2:$L$188,10,0)/1000,0)</f>
        <v>0</v>
      </c>
      <c r="AH773" s="1">
        <f>+IFERROR(VLOOKUP(AH24,'נתוני מים 2014'!$C$2:$L$188,10,0)/1000,0)</f>
        <v>0</v>
      </c>
      <c r="AI773" s="1">
        <f>+IFERROR(VLOOKUP(AI24,'נתוני מים 2014'!$C$2:$L$188,10,0)/1000,0)</f>
        <v>0</v>
      </c>
      <c r="AJ773" s="1">
        <f>+IFERROR(VLOOKUP(AJ24,'נתוני מים 2014'!$C$2:$L$188,10,0)/1000,0)</f>
        <v>0</v>
      </c>
      <c r="AK773" s="1">
        <f>+IFERROR(VLOOKUP(AK24,'נתוני מים 2014'!$C$2:$L$188,10,0)/1000,0)</f>
        <v>0</v>
      </c>
      <c r="AL773" s="1">
        <f>+IFERROR(VLOOKUP(AL24,'נתוני מים 2014'!$C$2:$L$188,10,0)/1000,0)</f>
        <v>0</v>
      </c>
      <c r="AM773" s="1">
        <f>+IFERROR(VLOOKUP(AM24,'נתוני מים 2014'!$C$2:$L$188,10,0)/1000,0)</f>
        <v>0</v>
      </c>
      <c r="AN773" s="1">
        <f>+IFERROR(VLOOKUP(AN24,'נתוני מים 2014'!$C$2:$L$188,10,0)/1000,0)</f>
        <v>0</v>
      </c>
      <c r="AO773" s="1">
        <f>+IFERROR(VLOOKUP(AO24,'נתוני מים 2014'!$C$2:$L$188,10,0)/1000,0)</f>
        <v>0</v>
      </c>
      <c r="AP773" s="1">
        <f>+IFERROR(VLOOKUP(AP24,'נתוני מים 2014'!$C$2:$L$188,10,0)/1000,0)</f>
        <v>0</v>
      </c>
      <c r="AQ773" s="1">
        <f>+IFERROR(VLOOKUP(AQ24,'נתוני מים 2014'!$C$2:$L$188,10,0)/1000,0)</f>
        <v>0</v>
      </c>
      <c r="AR773" s="1">
        <f>+IFERROR(VLOOKUP(AR24,'נתוני מים 2014'!$C$2:$L$188,10,0)/1000,0)</f>
        <v>0</v>
      </c>
      <c r="AS773" s="1">
        <f>+IFERROR(VLOOKUP(AS24,'נתוני מים 2014'!$C$2:$L$188,10,0)/1000,0)</f>
        <v>0</v>
      </c>
      <c r="AT773" s="1">
        <f>+IFERROR(VLOOKUP(AT24,'נתוני מים 2014'!$C$2:$L$188,10,0)/1000,0)</f>
        <v>0</v>
      </c>
      <c r="AU773" s="1">
        <f>+IFERROR(VLOOKUP(AU24,'נתוני מים 2014'!$C$2:$L$188,10,0)/1000,0)</f>
        <v>0</v>
      </c>
      <c r="AV773" s="1">
        <f>+IFERROR(VLOOKUP(AV24,'נתוני מים 2014'!$C$2:$L$188,10,0)/1000,0)</f>
        <v>0</v>
      </c>
      <c r="AW773" s="1">
        <f>+IFERROR(VLOOKUP(AW24,'נתוני מים 2014'!$C$2:$L$188,10,0)/1000,0)</f>
        <v>0</v>
      </c>
      <c r="AX773" s="1">
        <f>+IFERROR(VLOOKUP(AX24,'נתוני מים 2014'!$C$2:$L$188,10,0)/1000,0)</f>
        <v>0</v>
      </c>
      <c r="AY773" s="1">
        <f>+IFERROR(VLOOKUP(AY24,'נתוני מים 2014'!$C$2:$L$188,10,0)/1000,0)</f>
        <v>0</v>
      </c>
      <c r="AZ773" s="1">
        <f>+IFERROR(VLOOKUP(AZ24,'נתוני מים 2014'!$C$2:$L$188,10,0)/1000,0)</f>
        <v>0</v>
      </c>
      <c r="BA773" s="1">
        <f>+IFERROR(VLOOKUP(BA24,'נתוני מים 2014'!$C$2:$L$188,10,0)/1000,0)</f>
        <v>0</v>
      </c>
      <c r="BB773" s="1">
        <f>+IFERROR(VLOOKUP(BB24,'נתוני מים 2014'!$C$2:$L$188,10,0)/1000,0)</f>
        <v>0</v>
      </c>
      <c r="BC773" s="1">
        <f>+IFERROR(VLOOKUP(BC24,'נתוני מים 2014'!$C$2:$L$188,10,0)/1000,0)</f>
        <v>0</v>
      </c>
      <c r="BD773" s="1">
        <f>+IFERROR(VLOOKUP(BD24,'נתוני מים 2014'!$C$2:$L$188,10,0)/1000,0)</f>
        <v>0</v>
      </c>
      <c r="BE773" s="1">
        <f>+IFERROR(VLOOKUP(BE24,'נתוני מים 2014'!$C$2:$L$188,10,0)/1000,0)</f>
        <v>0</v>
      </c>
      <c r="BF773" s="1">
        <f>+IFERROR(VLOOKUP(BF24,'נתוני מים 2014'!$C$2:$L$188,10,0)/1000,0)</f>
        <v>0</v>
      </c>
    </row>
    <row r="774" spans="2:58" x14ac:dyDescent="0.2">
      <c r="B774" s="1">
        <v>18</v>
      </c>
      <c r="C774" s="1">
        <f>+IFERROR(VLOOKUP(C25,'נתוני מים 2014'!$C$2:$L$188,10,0)/1000,0)</f>
        <v>0</v>
      </c>
      <c r="D774" s="1">
        <f>+IFERROR(VLOOKUP(D25,'נתוני מים 2014'!$C$2:$L$188,10,0)/1000,0)</f>
        <v>0</v>
      </c>
      <c r="E774" s="1">
        <f>+IFERROR(VLOOKUP(E25,'נתוני מים 2014'!$C$2:$L$188,10,0)/1000,0)</f>
        <v>0</v>
      </c>
      <c r="F774" s="1">
        <f>+IFERROR(VLOOKUP(F25,'נתוני מים 2014'!$C$2:$L$188,10,0)/1000,0)</f>
        <v>0</v>
      </c>
      <c r="G774" s="1">
        <f>+IFERROR(VLOOKUP(G25,'נתוני מים 2014'!$C$2:$L$188,10,0)/1000,0)</f>
        <v>0</v>
      </c>
      <c r="H774" s="1">
        <f>+IFERROR(VLOOKUP(H25,'נתוני מים 2014'!$C$2:$L$188,10,0)/1000,0)</f>
        <v>0</v>
      </c>
      <c r="I774" s="1">
        <f>+IFERROR(VLOOKUP(I25,'נתוני מים 2014'!$C$2:$L$188,10,0)/1000,0)</f>
        <v>0</v>
      </c>
      <c r="J774" s="1">
        <f>+IFERROR(VLOOKUP(J25,'נתוני מים 2014'!$C$2:$L$188,10,0)/1000,0)</f>
        <v>0</v>
      </c>
      <c r="K774" s="1">
        <f>+IFERROR(VLOOKUP(K25,'נתוני מים 2014'!$C$2:$L$188,10,0)/1000,0)</f>
        <v>0</v>
      </c>
      <c r="L774" s="1">
        <f>+IFERROR(VLOOKUP(L25,'נתוני מים 2014'!$C$2:$L$188,10,0)/1000,0)</f>
        <v>0</v>
      </c>
      <c r="M774" s="1">
        <f>+IFERROR(VLOOKUP(M25,'נתוני מים 2014'!$C$2:$L$188,10,0)/1000,0)</f>
        <v>0</v>
      </c>
      <c r="N774" s="1">
        <f>+IFERROR(VLOOKUP(N25,'נתוני מים 2014'!$C$2:$L$188,10,0)/1000,0)</f>
        <v>0</v>
      </c>
      <c r="O774" s="1">
        <f>+IFERROR(VLOOKUP(O25,'נתוני מים 2014'!$C$2:$L$188,10,0)/1000,0)</f>
        <v>0</v>
      </c>
      <c r="P774" s="1">
        <f>+IFERROR(VLOOKUP(P25,'נתוני מים 2014'!$C$2:$L$188,10,0)/1000,0)</f>
        <v>0</v>
      </c>
      <c r="Q774" s="1">
        <f>+IFERROR(VLOOKUP(Q25,'נתוני מים 2014'!$C$2:$L$188,10,0)/1000,0)</f>
        <v>0</v>
      </c>
      <c r="R774" s="1">
        <f>+IFERROR(VLOOKUP(R25,'נתוני מים 2014'!$C$2:$L$188,10,0)/1000,0)</f>
        <v>0</v>
      </c>
      <c r="S774" s="1">
        <f>+IFERROR(VLOOKUP(S25,'נתוני מים 2014'!$C$2:$L$188,10,0)/1000,0)</f>
        <v>0</v>
      </c>
      <c r="T774" s="1">
        <f>+IFERROR(VLOOKUP(T25,'נתוני מים 2014'!$C$2:$L$188,10,0)/1000,0)</f>
        <v>0</v>
      </c>
      <c r="U774" s="1">
        <f>+IFERROR(VLOOKUP(U25,'נתוני מים 2014'!$C$2:$L$188,10,0)/1000,0)</f>
        <v>0</v>
      </c>
      <c r="V774" s="1">
        <f>+IFERROR(VLOOKUP(V25,'נתוני מים 2014'!$C$2:$L$188,10,0)/1000,0)</f>
        <v>0</v>
      </c>
      <c r="W774" s="1">
        <f>+IFERROR(VLOOKUP(W25,'נתוני מים 2014'!$C$2:$L$188,10,0)/1000,0)</f>
        <v>0</v>
      </c>
      <c r="X774" s="1">
        <f>+IFERROR(VLOOKUP(X25,'נתוני מים 2014'!$C$2:$L$188,10,0)/1000,0)</f>
        <v>0</v>
      </c>
      <c r="Y774" s="1">
        <f>+IFERROR(VLOOKUP(Y25,'נתוני מים 2014'!$C$2:$L$188,10,0)/1000,0)</f>
        <v>0</v>
      </c>
      <c r="Z774" s="1">
        <f>+IFERROR(VLOOKUP(Z25,'נתוני מים 2014'!$C$2:$L$188,10,0)/1000,0)</f>
        <v>0</v>
      </c>
      <c r="AA774" s="1">
        <f>+IFERROR(VLOOKUP(AA25,'נתוני מים 2014'!$C$2:$L$188,10,0)/1000,0)</f>
        <v>0</v>
      </c>
      <c r="AB774" s="1">
        <f>+IFERROR(VLOOKUP(AB25,'נתוני מים 2014'!$C$2:$L$188,10,0)/1000,0)</f>
        <v>0</v>
      </c>
      <c r="AC774" s="1">
        <f>+IFERROR(VLOOKUP(AC25,'נתוני מים 2014'!$C$2:$L$188,10,0)/1000,0)</f>
        <v>0</v>
      </c>
      <c r="AD774" s="1">
        <f>+IFERROR(VLOOKUP(AD25,'נתוני מים 2014'!$C$2:$L$188,10,0)/1000,0)</f>
        <v>0</v>
      </c>
      <c r="AE774" s="1">
        <f>+IFERROR(VLOOKUP(AE25,'נתוני מים 2014'!$C$2:$L$188,10,0)/1000,0)</f>
        <v>0</v>
      </c>
      <c r="AF774" s="1">
        <f>+IFERROR(VLOOKUP(AF25,'נתוני מים 2014'!$C$2:$L$188,10,0)/1000,0)</f>
        <v>0</v>
      </c>
      <c r="AG774" s="1">
        <f>+IFERROR(VLOOKUP(AG25,'נתוני מים 2014'!$C$2:$L$188,10,0)/1000,0)</f>
        <v>0</v>
      </c>
      <c r="AH774" s="1">
        <f>+IFERROR(VLOOKUP(AH25,'נתוני מים 2014'!$C$2:$L$188,10,0)/1000,0)</f>
        <v>0</v>
      </c>
      <c r="AI774" s="1">
        <f>+IFERROR(VLOOKUP(AI25,'נתוני מים 2014'!$C$2:$L$188,10,0)/1000,0)</f>
        <v>0</v>
      </c>
      <c r="AJ774" s="1">
        <f>+IFERROR(VLOOKUP(AJ25,'נתוני מים 2014'!$C$2:$L$188,10,0)/1000,0)</f>
        <v>0</v>
      </c>
      <c r="AK774" s="1">
        <f>+IFERROR(VLOOKUP(AK25,'נתוני מים 2014'!$C$2:$L$188,10,0)/1000,0)</f>
        <v>0</v>
      </c>
      <c r="AL774" s="1">
        <f>+IFERROR(VLOOKUP(AL25,'נתוני מים 2014'!$C$2:$L$188,10,0)/1000,0)</f>
        <v>0</v>
      </c>
      <c r="AM774" s="1">
        <f>+IFERROR(VLOOKUP(AM25,'נתוני מים 2014'!$C$2:$L$188,10,0)/1000,0)</f>
        <v>0</v>
      </c>
      <c r="AN774" s="1">
        <f>+IFERROR(VLOOKUP(AN25,'נתוני מים 2014'!$C$2:$L$188,10,0)/1000,0)</f>
        <v>0</v>
      </c>
      <c r="AO774" s="1">
        <f>+IFERROR(VLOOKUP(AO25,'נתוני מים 2014'!$C$2:$L$188,10,0)/1000,0)</f>
        <v>0</v>
      </c>
      <c r="AP774" s="1">
        <f>+IFERROR(VLOOKUP(AP25,'נתוני מים 2014'!$C$2:$L$188,10,0)/1000,0)</f>
        <v>0</v>
      </c>
      <c r="AQ774" s="1">
        <f>+IFERROR(VLOOKUP(AQ25,'נתוני מים 2014'!$C$2:$L$188,10,0)/1000,0)</f>
        <v>0</v>
      </c>
      <c r="AR774" s="1">
        <f>+IFERROR(VLOOKUP(AR25,'נתוני מים 2014'!$C$2:$L$188,10,0)/1000,0)</f>
        <v>0</v>
      </c>
      <c r="AS774" s="1">
        <f>+IFERROR(VLOOKUP(AS25,'נתוני מים 2014'!$C$2:$L$188,10,0)/1000,0)</f>
        <v>0</v>
      </c>
      <c r="AT774" s="1">
        <f>+IFERROR(VLOOKUP(AT25,'נתוני מים 2014'!$C$2:$L$188,10,0)/1000,0)</f>
        <v>0</v>
      </c>
      <c r="AU774" s="1">
        <f>+IFERROR(VLOOKUP(AU25,'נתוני מים 2014'!$C$2:$L$188,10,0)/1000,0)</f>
        <v>0</v>
      </c>
      <c r="AV774" s="1">
        <f>+IFERROR(VLOOKUP(AV25,'נתוני מים 2014'!$C$2:$L$188,10,0)/1000,0)</f>
        <v>0</v>
      </c>
      <c r="AW774" s="1">
        <f>+IFERROR(VLOOKUP(AW25,'נתוני מים 2014'!$C$2:$L$188,10,0)/1000,0)</f>
        <v>0</v>
      </c>
      <c r="AX774" s="1">
        <f>+IFERROR(VLOOKUP(AX25,'נתוני מים 2014'!$C$2:$L$188,10,0)/1000,0)</f>
        <v>0</v>
      </c>
      <c r="AY774" s="1">
        <f>+IFERROR(VLOOKUP(AY25,'נתוני מים 2014'!$C$2:$L$188,10,0)/1000,0)</f>
        <v>0</v>
      </c>
      <c r="AZ774" s="1">
        <f>+IFERROR(VLOOKUP(AZ25,'נתוני מים 2014'!$C$2:$L$188,10,0)/1000,0)</f>
        <v>0</v>
      </c>
      <c r="BA774" s="1">
        <f>+IFERROR(VLOOKUP(BA25,'נתוני מים 2014'!$C$2:$L$188,10,0)/1000,0)</f>
        <v>0</v>
      </c>
      <c r="BB774" s="1">
        <f>+IFERROR(VLOOKUP(BB25,'נתוני מים 2014'!$C$2:$L$188,10,0)/1000,0)</f>
        <v>0</v>
      </c>
      <c r="BC774" s="1">
        <f>+IFERROR(VLOOKUP(BC25,'נתוני מים 2014'!$C$2:$L$188,10,0)/1000,0)</f>
        <v>0</v>
      </c>
      <c r="BD774" s="1">
        <f>+IFERROR(VLOOKUP(BD25,'נתוני מים 2014'!$C$2:$L$188,10,0)/1000,0)</f>
        <v>0</v>
      </c>
      <c r="BE774" s="1">
        <f>+IFERROR(VLOOKUP(BE25,'נתוני מים 2014'!$C$2:$L$188,10,0)/1000,0)</f>
        <v>0</v>
      </c>
      <c r="BF774" s="1">
        <f>+IFERROR(VLOOKUP(BF25,'נתוני מים 2014'!$C$2:$L$188,10,0)/1000,0)</f>
        <v>0</v>
      </c>
    </row>
    <row r="775" spans="2:58" x14ac:dyDescent="0.2">
      <c r="B775" s="1">
        <v>19</v>
      </c>
      <c r="C775" s="1">
        <f>+IFERROR(VLOOKUP(C26,'נתוני מים 2014'!$C$2:$L$188,10,0)/1000,0)</f>
        <v>0</v>
      </c>
      <c r="D775" s="1">
        <f>+IFERROR(VLOOKUP(D26,'נתוני מים 2014'!$C$2:$L$188,10,0)/1000,0)</f>
        <v>0</v>
      </c>
      <c r="E775" s="1">
        <f>+IFERROR(VLOOKUP(E26,'נתוני מים 2014'!$C$2:$L$188,10,0)/1000,0)</f>
        <v>0</v>
      </c>
      <c r="F775" s="1">
        <f>+IFERROR(VLOOKUP(F26,'נתוני מים 2014'!$C$2:$L$188,10,0)/1000,0)</f>
        <v>0</v>
      </c>
      <c r="G775" s="1">
        <f>+IFERROR(VLOOKUP(G26,'נתוני מים 2014'!$C$2:$L$188,10,0)/1000,0)</f>
        <v>0</v>
      </c>
      <c r="H775" s="1">
        <f>+IFERROR(VLOOKUP(H26,'נתוני מים 2014'!$C$2:$L$188,10,0)/1000,0)</f>
        <v>0</v>
      </c>
      <c r="I775" s="1">
        <f>+IFERROR(VLOOKUP(I26,'נתוני מים 2014'!$C$2:$L$188,10,0)/1000,0)</f>
        <v>0</v>
      </c>
      <c r="J775" s="1">
        <f>+IFERROR(VLOOKUP(J26,'נתוני מים 2014'!$C$2:$L$188,10,0)/1000,0)</f>
        <v>0</v>
      </c>
      <c r="K775" s="1">
        <f>+IFERROR(VLOOKUP(K26,'נתוני מים 2014'!$C$2:$L$188,10,0)/1000,0)</f>
        <v>0</v>
      </c>
      <c r="L775" s="1">
        <f>+IFERROR(VLOOKUP(L26,'נתוני מים 2014'!$C$2:$L$188,10,0)/1000,0)</f>
        <v>0</v>
      </c>
      <c r="M775" s="1">
        <f>+IFERROR(VLOOKUP(M26,'נתוני מים 2014'!$C$2:$L$188,10,0)/1000,0)</f>
        <v>0</v>
      </c>
      <c r="N775" s="1">
        <f>+IFERROR(VLOOKUP(N26,'נתוני מים 2014'!$C$2:$L$188,10,0)/1000,0)</f>
        <v>0</v>
      </c>
      <c r="O775" s="1">
        <f>+IFERROR(VLOOKUP(O26,'נתוני מים 2014'!$C$2:$L$188,10,0)/1000,0)</f>
        <v>0</v>
      </c>
      <c r="P775" s="1">
        <f>+IFERROR(VLOOKUP(P26,'נתוני מים 2014'!$C$2:$L$188,10,0)/1000,0)</f>
        <v>0</v>
      </c>
      <c r="Q775" s="1">
        <f>+IFERROR(VLOOKUP(Q26,'נתוני מים 2014'!$C$2:$L$188,10,0)/1000,0)</f>
        <v>0</v>
      </c>
      <c r="R775" s="1">
        <f>+IFERROR(VLOOKUP(R26,'נתוני מים 2014'!$C$2:$L$188,10,0)/1000,0)</f>
        <v>0</v>
      </c>
      <c r="S775" s="1">
        <f>+IFERROR(VLOOKUP(S26,'נתוני מים 2014'!$C$2:$L$188,10,0)/1000,0)</f>
        <v>0</v>
      </c>
      <c r="T775" s="1">
        <f>+IFERROR(VLOOKUP(T26,'נתוני מים 2014'!$C$2:$L$188,10,0)/1000,0)</f>
        <v>0</v>
      </c>
      <c r="U775" s="1">
        <f>+IFERROR(VLOOKUP(U26,'נתוני מים 2014'!$C$2:$L$188,10,0)/1000,0)</f>
        <v>0</v>
      </c>
      <c r="V775" s="1">
        <f>+IFERROR(VLOOKUP(V26,'נתוני מים 2014'!$C$2:$L$188,10,0)/1000,0)</f>
        <v>0</v>
      </c>
      <c r="W775" s="1">
        <f>+IFERROR(VLOOKUP(W26,'נתוני מים 2014'!$C$2:$L$188,10,0)/1000,0)</f>
        <v>0</v>
      </c>
      <c r="X775" s="1">
        <f>+IFERROR(VLOOKUP(X26,'נתוני מים 2014'!$C$2:$L$188,10,0)/1000,0)</f>
        <v>0</v>
      </c>
      <c r="Y775" s="1">
        <f>+IFERROR(VLOOKUP(Y26,'נתוני מים 2014'!$C$2:$L$188,10,0)/1000,0)</f>
        <v>0</v>
      </c>
      <c r="Z775" s="1">
        <f>+IFERROR(VLOOKUP(Z26,'נתוני מים 2014'!$C$2:$L$188,10,0)/1000,0)</f>
        <v>0</v>
      </c>
      <c r="AA775" s="1">
        <f>+IFERROR(VLOOKUP(AA26,'נתוני מים 2014'!$C$2:$L$188,10,0)/1000,0)</f>
        <v>0</v>
      </c>
      <c r="AB775" s="1">
        <f>+IFERROR(VLOOKUP(AB26,'נתוני מים 2014'!$C$2:$L$188,10,0)/1000,0)</f>
        <v>0</v>
      </c>
      <c r="AC775" s="1">
        <f>+IFERROR(VLOOKUP(AC26,'נתוני מים 2014'!$C$2:$L$188,10,0)/1000,0)</f>
        <v>0</v>
      </c>
      <c r="AD775" s="1">
        <f>+IFERROR(VLOOKUP(AD26,'נתוני מים 2014'!$C$2:$L$188,10,0)/1000,0)</f>
        <v>0</v>
      </c>
      <c r="AE775" s="1">
        <f>+IFERROR(VLOOKUP(AE26,'נתוני מים 2014'!$C$2:$L$188,10,0)/1000,0)</f>
        <v>0</v>
      </c>
      <c r="AF775" s="1">
        <f>+IFERROR(VLOOKUP(AF26,'נתוני מים 2014'!$C$2:$L$188,10,0)/1000,0)</f>
        <v>0</v>
      </c>
      <c r="AG775" s="1">
        <f>+IFERROR(VLOOKUP(AG26,'נתוני מים 2014'!$C$2:$L$188,10,0)/1000,0)</f>
        <v>0</v>
      </c>
      <c r="AH775" s="1">
        <f>+IFERROR(VLOOKUP(AH26,'נתוני מים 2014'!$C$2:$L$188,10,0)/1000,0)</f>
        <v>0</v>
      </c>
      <c r="AI775" s="1">
        <f>+IFERROR(VLOOKUP(AI26,'נתוני מים 2014'!$C$2:$L$188,10,0)/1000,0)</f>
        <v>0</v>
      </c>
      <c r="AJ775" s="1">
        <f>+IFERROR(VLOOKUP(AJ26,'נתוני מים 2014'!$C$2:$L$188,10,0)/1000,0)</f>
        <v>0</v>
      </c>
      <c r="AK775" s="1">
        <f>+IFERROR(VLOOKUP(AK26,'נתוני מים 2014'!$C$2:$L$188,10,0)/1000,0)</f>
        <v>0</v>
      </c>
      <c r="AL775" s="1">
        <f>+IFERROR(VLOOKUP(AL26,'נתוני מים 2014'!$C$2:$L$188,10,0)/1000,0)</f>
        <v>0</v>
      </c>
      <c r="AM775" s="1">
        <f>+IFERROR(VLOOKUP(AM26,'נתוני מים 2014'!$C$2:$L$188,10,0)/1000,0)</f>
        <v>0</v>
      </c>
      <c r="AN775" s="1">
        <f>+IFERROR(VLOOKUP(AN26,'נתוני מים 2014'!$C$2:$L$188,10,0)/1000,0)</f>
        <v>0</v>
      </c>
      <c r="AO775" s="1">
        <f>+IFERROR(VLOOKUP(AO26,'נתוני מים 2014'!$C$2:$L$188,10,0)/1000,0)</f>
        <v>0</v>
      </c>
      <c r="AP775" s="1">
        <f>+IFERROR(VLOOKUP(AP26,'נתוני מים 2014'!$C$2:$L$188,10,0)/1000,0)</f>
        <v>0</v>
      </c>
      <c r="AQ775" s="1">
        <f>+IFERROR(VLOOKUP(AQ26,'נתוני מים 2014'!$C$2:$L$188,10,0)/1000,0)</f>
        <v>0</v>
      </c>
      <c r="AR775" s="1">
        <f>+IFERROR(VLOOKUP(AR26,'נתוני מים 2014'!$C$2:$L$188,10,0)/1000,0)</f>
        <v>0</v>
      </c>
      <c r="AS775" s="1">
        <f>+IFERROR(VLOOKUP(AS26,'נתוני מים 2014'!$C$2:$L$188,10,0)/1000,0)</f>
        <v>0</v>
      </c>
      <c r="AT775" s="1">
        <f>+IFERROR(VLOOKUP(AT26,'נתוני מים 2014'!$C$2:$L$188,10,0)/1000,0)</f>
        <v>0</v>
      </c>
      <c r="AU775" s="1">
        <f>+IFERROR(VLOOKUP(AU26,'נתוני מים 2014'!$C$2:$L$188,10,0)/1000,0)</f>
        <v>0</v>
      </c>
      <c r="AV775" s="1">
        <f>+IFERROR(VLOOKUP(AV26,'נתוני מים 2014'!$C$2:$L$188,10,0)/1000,0)</f>
        <v>0</v>
      </c>
      <c r="AW775" s="1">
        <f>+IFERROR(VLOOKUP(AW26,'נתוני מים 2014'!$C$2:$L$188,10,0)/1000,0)</f>
        <v>0</v>
      </c>
      <c r="AX775" s="1">
        <f>+IFERROR(VLOOKUP(AX26,'נתוני מים 2014'!$C$2:$L$188,10,0)/1000,0)</f>
        <v>0</v>
      </c>
      <c r="AY775" s="1">
        <f>+IFERROR(VLOOKUP(AY26,'נתוני מים 2014'!$C$2:$L$188,10,0)/1000,0)</f>
        <v>0</v>
      </c>
      <c r="AZ775" s="1">
        <f>+IFERROR(VLOOKUP(AZ26,'נתוני מים 2014'!$C$2:$L$188,10,0)/1000,0)</f>
        <v>0</v>
      </c>
      <c r="BA775" s="1">
        <f>+IFERROR(VLOOKUP(BA26,'נתוני מים 2014'!$C$2:$L$188,10,0)/1000,0)</f>
        <v>0</v>
      </c>
      <c r="BB775" s="1">
        <f>+IFERROR(VLOOKUP(BB26,'נתוני מים 2014'!$C$2:$L$188,10,0)/1000,0)</f>
        <v>0</v>
      </c>
      <c r="BC775" s="1">
        <f>+IFERROR(VLOOKUP(BC26,'נתוני מים 2014'!$C$2:$L$188,10,0)/1000,0)</f>
        <v>0</v>
      </c>
      <c r="BD775" s="1">
        <f>+IFERROR(VLOOKUP(BD26,'נתוני מים 2014'!$C$2:$L$188,10,0)/1000,0)</f>
        <v>0</v>
      </c>
      <c r="BE775" s="1">
        <f>+IFERROR(VLOOKUP(BE26,'נתוני מים 2014'!$C$2:$L$188,10,0)/1000,0)</f>
        <v>0</v>
      </c>
      <c r="BF775" s="1">
        <f>+IFERROR(VLOOKUP(BF26,'נתוני מים 2014'!$C$2:$L$188,10,0)/1000,0)</f>
        <v>0</v>
      </c>
    </row>
    <row r="776" spans="2:58" x14ac:dyDescent="0.2">
      <c r="B776" s="1">
        <v>20</v>
      </c>
      <c r="C776" s="1">
        <f>+IFERROR(VLOOKUP(C27,'נתוני מים 2014'!$C$2:$L$188,10,0)/1000,0)</f>
        <v>0</v>
      </c>
      <c r="D776" s="1">
        <f>+IFERROR(VLOOKUP(D27,'נתוני מים 2014'!$C$2:$L$188,10,0)/1000,0)</f>
        <v>0</v>
      </c>
      <c r="E776" s="1">
        <f>+IFERROR(VLOOKUP(E27,'נתוני מים 2014'!$C$2:$L$188,10,0)/1000,0)</f>
        <v>0</v>
      </c>
      <c r="F776" s="1">
        <f>+IFERROR(VLOOKUP(F27,'נתוני מים 2014'!$C$2:$L$188,10,0)/1000,0)</f>
        <v>0</v>
      </c>
      <c r="G776" s="1">
        <f>+IFERROR(VLOOKUP(G27,'נתוני מים 2014'!$C$2:$L$188,10,0)/1000,0)</f>
        <v>0</v>
      </c>
      <c r="H776" s="1">
        <f>+IFERROR(VLOOKUP(H27,'נתוני מים 2014'!$C$2:$L$188,10,0)/1000,0)</f>
        <v>0</v>
      </c>
      <c r="I776" s="1">
        <f>+IFERROR(VLOOKUP(I27,'נתוני מים 2014'!$C$2:$L$188,10,0)/1000,0)</f>
        <v>0</v>
      </c>
      <c r="J776" s="1">
        <f>+IFERROR(VLOOKUP(J27,'נתוני מים 2014'!$C$2:$L$188,10,0)/1000,0)</f>
        <v>0</v>
      </c>
      <c r="K776" s="1">
        <f>+IFERROR(VLOOKUP(K27,'נתוני מים 2014'!$C$2:$L$188,10,0)/1000,0)</f>
        <v>0</v>
      </c>
      <c r="L776" s="1">
        <f>+IFERROR(VLOOKUP(L27,'נתוני מים 2014'!$C$2:$L$188,10,0)/1000,0)</f>
        <v>0</v>
      </c>
      <c r="M776" s="1">
        <f>+IFERROR(VLOOKUP(M27,'נתוני מים 2014'!$C$2:$L$188,10,0)/1000,0)</f>
        <v>0</v>
      </c>
      <c r="N776" s="1">
        <f>+IFERROR(VLOOKUP(N27,'נתוני מים 2014'!$C$2:$L$188,10,0)/1000,0)</f>
        <v>0</v>
      </c>
      <c r="O776" s="1">
        <f>+IFERROR(VLOOKUP(O27,'נתוני מים 2014'!$C$2:$L$188,10,0)/1000,0)</f>
        <v>0</v>
      </c>
      <c r="P776" s="1">
        <f>+IFERROR(VLOOKUP(P27,'נתוני מים 2014'!$C$2:$L$188,10,0)/1000,0)</f>
        <v>0</v>
      </c>
      <c r="Q776" s="1">
        <f>+IFERROR(VLOOKUP(Q27,'נתוני מים 2014'!$C$2:$L$188,10,0)/1000,0)</f>
        <v>0</v>
      </c>
      <c r="R776" s="1">
        <f>+IFERROR(VLOOKUP(R27,'נתוני מים 2014'!$C$2:$L$188,10,0)/1000,0)</f>
        <v>0</v>
      </c>
      <c r="S776" s="1">
        <f>+IFERROR(VLOOKUP(S27,'נתוני מים 2014'!$C$2:$L$188,10,0)/1000,0)</f>
        <v>0</v>
      </c>
      <c r="T776" s="1">
        <f>+IFERROR(VLOOKUP(T27,'נתוני מים 2014'!$C$2:$L$188,10,0)/1000,0)</f>
        <v>0</v>
      </c>
      <c r="U776" s="1">
        <f>+IFERROR(VLOOKUP(U27,'נתוני מים 2014'!$C$2:$L$188,10,0)/1000,0)</f>
        <v>0</v>
      </c>
      <c r="V776" s="1">
        <f>+IFERROR(VLOOKUP(V27,'נתוני מים 2014'!$C$2:$L$188,10,0)/1000,0)</f>
        <v>0</v>
      </c>
      <c r="W776" s="1">
        <f>+IFERROR(VLOOKUP(W27,'נתוני מים 2014'!$C$2:$L$188,10,0)/1000,0)</f>
        <v>0</v>
      </c>
      <c r="X776" s="1">
        <f>+IFERROR(VLOOKUP(X27,'נתוני מים 2014'!$C$2:$L$188,10,0)/1000,0)</f>
        <v>0</v>
      </c>
      <c r="Y776" s="1">
        <f>+IFERROR(VLOOKUP(Y27,'נתוני מים 2014'!$C$2:$L$188,10,0)/1000,0)</f>
        <v>0</v>
      </c>
      <c r="Z776" s="1">
        <f>+IFERROR(VLOOKUP(Z27,'נתוני מים 2014'!$C$2:$L$188,10,0)/1000,0)</f>
        <v>0</v>
      </c>
      <c r="AA776" s="1">
        <f>+IFERROR(VLOOKUP(AA27,'נתוני מים 2014'!$C$2:$L$188,10,0)/1000,0)</f>
        <v>0</v>
      </c>
      <c r="AB776" s="1">
        <f>+IFERROR(VLOOKUP(AB27,'נתוני מים 2014'!$C$2:$L$188,10,0)/1000,0)</f>
        <v>0</v>
      </c>
      <c r="AC776" s="1">
        <f>+IFERROR(VLOOKUP(AC27,'נתוני מים 2014'!$C$2:$L$188,10,0)/1000,0)</f>
        <v>0</v>
      </c>
      <c r="AD776" s="1">
        <f>+IFERROR(VLOOKUP(AD27,'נתוני מים 2014'!$C$2:$L$188,10,0)/1000,0)</f>
        <v>0</v>
      </c>
      <c r="AE776" s="1">
        <f>+IFERROR(VLOOKUP(AE27,'נתוני מים 2014'!$C$2:$L$188,10,0)/1000,0)</f>
        <v>0</v>
      </c>
      <c r="AF776" s="1">
        <f>+IFERROR(VLOOKUP(AF27,'נתוני מים 2014'!$C$2:$L$188,10,0)/1000,0)</f>
        <v>0</v>
      </c>
      <c r="AG776" s="1">
        <f>+IFERROR(VLOOKUP(AG27,'נתוני מים 2014'!$C$2:$L$188,10,0)/1000,0)</f>
        <v>0</v>
      </c>
      <c r="AH776" s="1">
        <f>+IFERROR(VLOOKUP(AH27,'נתוני מים 2014'!$C$2:$L$188,10,0)/1000,0)</f>
        <v>0</v>
      </c>
      <c r="AI776" s="1">
        <f>+IFERROR(VLOOKUP(AI27,'נתוני מים 2014'!$C$2:$L$188,10,0)/1000,0)</f>
        <v>0</v>
      </c>
      <c r="AJ776" s="1">
        <f>+IFERROR(VLOOKUP(AJ27,'נתוני מים 2014'!$C$2:$L$188,10,0)/1000,0)</f>
        <v>0</v>
      </c>
      <c r="AK776" s="1">
        <f>+IFERROR(VLOOKUP(AK27,'נתוני מים 2014'!$C$2:$L$188,10,0)/1000,0)</f>
        <v>0</v>
      </c>
      <c r="AL776" s="1">
        <f>+IFERROR(VLOOKUP(AL27,'נתוני מים 2014'!$C$2:$L$188,10,0)/1000,0)</f>
        <v>0</v>
      </c>
      <c r="AM776" s="1">
        <f>+IFERROR(VLOOKUP(AM27,'נתוני מים 2014'!$C$2:$L$188,10,0)/1000,0)</f>
        <v>0</v>
      </c>
      <c r="AN776" s="1">
        <f>+IFERROR(VLOOKUP(AN27,'נתוני מים 2014'!$C$2:$L$188,10,0)/1000,0)</f>
        <v>0</v>
      </c>
      <c r="AO776" s="1">
        <f>+IFERROR(VLOOKUP(AO27,'נתוני מים 2014'!$C$2:$L$188,10,0)/1000,0)</f>
        <v>0</v>
      </c>
      <c r="AP776" s="1">
        <f>+IFERROR(VLOOKUP(AP27,'נתוני מים 2014'!$C$2:$L$188,10,0)/1000,0)</f>
        <v>0</v>
      </c>
      <c r="AQ776" s="1">
        <f>+IFERROR(VLOOKUP(AQ27,'נתוני מים 2014'!$C$2:$L$188,10,0)/1000,0)</f>
        <v>0</v>
      </c>
      <c r="AR776" s="1">
        <f>+IFERROR(VLOOKUP(AR27,'נתוני מים 2014'!$C$2:$L$188,10,0)/1000,0)</f>
        <v>0</v>
      </c>
      <c r="AS776" s="1">
        <f>+IFERROR(VLOOKUP(AS27,'נתוני מים 2014'!$C$2:$L$188,10,0)/1000,0)</f>
        <v>0</v>
      </c>
      <c r="AT776" s="1">
        <f>+IFERROR(VLOOKUP(AT27,'נתוני מים 2014'!$C$2:$L$188,10,0)/1000,0)</f>
        <v>0</v>
      </c>
      <c r="AU776" s="1">
        <f>+IFERROR(VLOOKUP(AU27,'נתוני מים 2014'!$C$2:$L$188,10,0)/1000,0)</f>
        <v>0</v>
      </c>
      <c r="AV776" s="1">
        <f>+IFERROR(VLOOKUP(AV27,'נתוני מים 2014'!$C$2:$L$188,10,0)/1000,0)</f>
        <v>0</v>
      </c>
      <c r="AW776" s="1">
        <f>+IFERROR(VLOOKUP(AW27,'נתוני מים 2014'!$C$2:$L$188,10,0)/1000,0)</f>
        <v>0</v>
      </c>
      <c r="AX776" s="1">
        <f>+IFERROR(VLOOKUP(AX27,'נתוני מים 2014'!$C$2:$L$188,10,0)/1000,0)</f>
        <v>0</v>
      </c>
      <c r="AY776" s="1">
        <f>+IFERROR(VLOOKUP(AY27,'נתוני מים 2014'!$C$2:$L$188,10,0)/1000,0)</f>
        <v>0</v>
      </c>
      <c r="AZ776" s="1">
        <f>+IFERROR(VLOOKUP(AZ27,'נתוני מים 2014'!$C$2:$L$188,10,0)/1000,0)</f>
        <v>0</v>
      </c>
      <c r="BA776" s="1">
        <f>+IFERROR(VLOOKUP(BA27,'נתוני מים 2014'!$C$2:$L$188,10,0)/1000,0)</f>
        <v>0</v>
      </c>
      <c r="BB776" s="1">
        <f>+IFERROR(VLOOKUP(BB27,'נתוני מים 2014'!$C$2:$L$188,10,0)/1000,0)</f>
        <v>0</v>
      </c>
      <c r="BC776" s="1">
        <f>+IFERROR(VLOOKUP(BC27,'נתוני מים 2014'!$C$2:$L$188,10,0)/1000,0)</f>
        <v>0</v>
      </c>
      <c r="BD776" s="1">
        <f>+IFERROR(VLOOKUP(BD27,'נתוני מים 2014'!$C$2:$L$188,10,0)/1000,0)</f>
        <v>0</v>
      </c>
      <c r="BE776" s="1">
        <f>+IFERROR(VLOOKUP(BE27,'נתוני מים 2014'!$C$2:$L$188,10,0)/1000,0)</f>
        <v>0</v>
      </c>
      <c r="BF776" s="1">
        <f>+IFERROR(VLOOKUP(BF27,'נתוני מים 2014'!$C$2:$L$188,10,0)/1000,0)</f>
        <v>0</v>
      </c>
    </row>
    <row r="777" spans="2:58" x14ac:dyDescent="0.2">
      <c r="B777" s="1">
        <v>21</v>
      </c>
      <c r="C777" s="1">
        <f>+IFERROR(VLOOKUP(C28,'נתוני מים 2014'!$C$2:$L$188,10,0)/1000,0)</f>
        <v>0</v>
      </c>
      <c r="D777" s="1">
        <f>+IFERROR(VLOOKUP(D28,'נתוני מים 2014'!$C$2:$L$188,10,0)/1000,0)</f>
        <v>0</v>
      </c>
      <c r="E777" s="1">
        <f>+IFERROR(VLOOKUP(E28,'נתוני מים 2014'!$C$2:$L$188,10,0)/1000,0)</f>
        <v>0</v>
      </c>
      <c r="F777" s="1">
        <f>+IFERROR(VLOOKUP(F28,'נתוני מים 2014'!$C$2:$L$188,10,0)/1000,0)</f>
        <v>0</v>
      </c>
      <c r="G777" s="1">
        <f>+IFERROR(VLOOKUP(G28,'נתוני מים 2014'!$C$2:$L$188,10,0)/1000,0)</f>
        <v>0</v>
      </c>
      <c r="H777" s="1">
        <f>+IFERROR(VLOOKUP(H28,'נתוני מים 2014'!$C$2:$L$188,10,0)/1000,0)</f>
        <v>0</v>
      </c>
      <c r="I777" s="1">
        <f>+IFERROR(VLOOKUP(I28,'נתוני מים 2014'!$C$2:$L$188,10,0)/1000,0)</f>
        <v>0</v>
      </c>
      <c r="J777" s="1">
        <f>+IFERROR(VLOOKUP(J28,'נתוני מים 2014'!$C$2:$L$188,10,0)/1000,0)</f>
        <v>0</v>
      </c>
      <c r="K777" s="1">
        <f>+IFERROR(VLOOKUP(K28,'נתוני מים 2014'!$C$2:$L$188,10,0)/1000,0)</f>
        <v>0</v>
      </c>
      <c r="L777" s="1">
        <f>+IFERROR(VLOOKUP(L28,'נתוני מים 2014'!$C$2:$L$188,10,0)/1000,0)</f>
        <v>0</v>
      </c>
      <c r="M777" s="1">
        <f>+IFERROR(VLOOKUP(M28,'נתוני מים 2014'!$C$2:$L$188,10,0)/1000,0)</f>
        <v>0</v>
      </c>
      <c r="N777" s="1">
        <f>+IFERROR(VLOOKUP(N28,'נתוני מים 2014'!$C$2:$L$188,10,0)/1000,0)</f>
        <v>0</v>
      </c>
      <c r="O777" s="1">
        <f>+IFERROR(VLOOKUP(O28,'נתוני מים 2014'!$C$2:$L$188,10,0)/1000,0)</f>
        <v>0</v>
      </c>
      <c r="P777" s="1">
        <f>+IFERROR(VLOOKUP(P28,'נתוני מים 2014'!$C$2:$L$188,10,0)/1000,0)</f>
        <v>0</v>
      </c>
      <c r="Q777" s="1">
        <f>+IFERROR(VLOOKUP(Q28,'נתוני מים 2014'!$C$2:$L$188,10,0)/1000,0)</f>
        <v>0</v>
      </c>
      <c r="R777" s="1">
        <f>+IFERROR(VLOOKUP(R28,'נתוני מים 2014'!$C$2:$L$188,10,0)/1000,0)</f>
        <v>0</v>
      </c>
      <c r="S777" s="1">
        <f>+IFERROR(VLOOKUP(S28,'נתוני מים 2014'!$C$2:$L$188,10,0)/1000,0)</f>
        <v>0</v>
      </c>
      <c r="T777" s="1">
        <f>+IFERROR(VLOOKUP(T28,'נתוני מים 2014'!$C$2:$L$188,10,0)/1000,0)</f>
        <v>0</v>
      </c>
      <c r="U777" s="1">
        <f>+IFERROR(VLOOKUP(U28,'נתוני מים 2014'!$C$2:$L$188,10,0)/1000,0)</f>
        <v>0</v>
      </c>
      <c r="V777" s="1">
        <f>+IFERROR(VLOOKUP(V28,'נתוני מים 2014'!$C$2:$L$188,10,0)/1000,0)</f>
        <v>0</v>
      </c>
      <c r="W777" s="1">
        <f>+IFERROR(VLOOKUP(W28,'נתוני מים 2014'!$C$2:$L$188,10,0)/1000,0)</f>
        <v>0</v>
      </c>
      <c r="X777" s="1">
        <f>+IFERROR(VLOOKUP(X28,'נתוני מים 2014'!$C$2:$L$188,10,0)/1000,0)</f>
        <v>0</v>
      </c>
      <c r="Y777" s="1">
        <f>+IFERROR(VLOOKUP(Y28,'נתוני מים 2014'!$C$2:$L$188,10,0)/1000,0)</f>
        <v>0</v>
      </c>
      <c r="Z777" s="1">
        <f>+IFERROR(VLOOKUP(Z28,'נתוני מים 2014'!$C$2:$L$188,10,0)/1000,0)</f>
        <v>0</v>
      </c>
      <c r="AA777" s="1">
        <f>+IFERROR(VLOOKUP(AA28,'נתוני מים 2014'!$C$2:$L$188,10,0)/1000,0)</f>
        <v>0</v>
      </c>
      <c r="AB777" s="1">
        <f>+IFERROR(VLOOKUP(AB28,'נתוני מים 2014'!$C$2:$L$188,10,0)/1000,0)</f>
        <v>0</v>
      </c>
      <c r="AC777" s="1">
        <f>+IFERROR(VLOOKUP(AC28,'נתוני מים 2014'!$C$2:$L$188,10,0)/1000,0)</f>
        <v>0</v>
      </c>
      <c r="AD777" s="1">
        <f>+IFERROR(VLOOKUP(AD28,'נתוני מים 2014'!$C$2:$L$188,10,0)/1000,0)</f>
        <v>0</v>
      </c>
      <c r="AE777" s="1">
        <f>+IFERROR(VLOOKUP(AE28,'נתוני מים 2014'!$C$2:$L$188,10,0)/1000,0)</f>
        <v>0</v>
      </c>
      <c r="AF777" s="1">
        <f>+IFERROR(VLOOKUP(AF28,'נתוני מים 2014'!$C$2:$L$188,10,0)/1000,0)</f>
        <v>0</v>
      </c>
      <c r="AG777" s="1">
        <f>+IFERROR(VLOOKUP(AG28,'נתוני מים 2014'!$C$2:$L$188,10,0)/1000,0)</f>
        <v>0</v>
      </c>
      <c r="AH777" s="1">
        <f>+IFERROR(VLOOKUP(AH28,'נתוני מים 2014'!$C$2:$L$188,10,0)/1000,0)</f>
        <v>0</v>
      </c>
      <c r="AI777" s="1">
        <f>+IFERROR(VLOOKUP(AI28,'נתוני מים 2014'!$C$2:$L$188,10,0)/1000,0)</f>
        <v>0</v>
      </c>
      <c r="AJ777" s="1">
        <f>+IFERROR(VLOOKUP(AJ28,'נתוני מים 2014'!$C$2:$L$188,10,0)/1000,0)</f>
        <v>0</v>
      </c>
      <c r="AK777" s="1">
        <f>+IFERROR(VLOOKUP(AK28,'נתוני מים 2014'!$C$2:$L$188,10,0)/1000,0)</f>
        <v>0</v>
      </c>
      <c r="AL777" s="1">
        <f>+IFERROR(VLOOKUP(AL28,'נתוני מים 2014'!$C$2:$L$188,10,0)/1000,0)</f>
        <v>0</v>
      </c>
      <c r="AM777" s="1">
        <f>+IFERROR(VLOOKUP(AM28,'נתוני מים 2014'!$C$2:$L$188,10,0)/1000,0)</f>
        <v>0</v>
      </c>
      <c r="AN777" s="1">
        <f>+IFERROR(VLOOKUP(AN28,'נתוני מים 2014'!$C$2:$L$188,10,0)/1000,0)</f>
        <v>0</v>
      </c>
      <c r="AO777" s="1">
        <f>+IFERROR(VLOOKUP(AO28,'נתוני מים 2014'!$C$2:$L$188,10,0)/1000,0)</f>
        <v>0</v>
      </c>
      <c r="AP777" s="1">
        <f>+IFERROR(VLOOKUP(AP28,'נתוני מים 2014'!$C$2:$L$188,10,0)/1000,0)</f>
        <v>0</v>
      </c>
      <c r="AQ777" s="1">
        <f>+IFERROR(VLOOKUP(AQ28,'נתוני מים 2014'!$C$2:$L$188,10,0)/1000,0)</f>
        <v>0</v>
      </c>
      <c r="AR777" s="1">
        <f>+IFERROR(VLOOKUP(AR28,'נתוני מים 2014'!$C$2:$L$188,10,0)/1000,0)</f>
        <v>0</v>
      </c>
      <c r="AS777" s="1">
        <f>+IFERROR(VLOOKUP(AS28,'נתוני מים 2014'!$C$2:$L$188,10,0)/1000,0)</f>
        <v>0</v>
      </c>
      <c r="AT777" s="1">
        <f>+IFERROR(VLOOKUP(AT28,'נתוני מים 2014'!$C$2:$L$188,10,0)/1000,0)</f>
        <v>0</v>
      </c>
      <c r="AU777" s="1">
        <f>+IFERROR(VLOOKUP(AU28,'נתוני מים 2014'!$C$2:$L$188,10,0)/1000,0)</f>
        <v>0</v>
      </c>
      <c r="AV777" s="1">
        <f>+IFERROR(VLOOKUP(AV28,'נתוני מים 2014'!$C$2:$L$188,10,0)/1000,0)</f>
        <v>0</v>
      </c>
      <c r="AW777" s="1">
        <f>+IFERROR(VLOOKUP(AW28,'נתוני מים 2014'!$C$2:$L$188,10,0)/1000,0)</f>
        <v>0</v>
      </c>
      <c r="AX777" s="1">
        <f>+IFERROR(VLOOKUP(AX28,'נתוני מים 2014'!$C$2:$L$188,10,0)/1000,0)</f>
        <v>0</v>
      </c>
      <c r="AY777" s="1">
        <f>+IFERROR(VLOOKUP(AY28,'נתוני מים 2014'!$C$2:$L$188,10,0)/1000,0)</f>
        <v>0</v>
      </c>
      <c r="AZ777" s="1">
        <f>+IFERROR(VLOOKUP(AZ28,'נתוני מים 2014'!$C$2:$L$188,10,0)/1000,0)</f>
        <v>0</v>
      </c>
      <c r="BA777" s="1">
        <f>+IFERROR(VLOOKUP(BA28,'נתוני מים 2014'!$C$2:$L$188,10,0)/1000,0)</f>
        <v>0</v>
      </c>
      <c r="BB777" s="1">
        <f>+IFERROR(VLOOKUP(BB28,'נתוני מים 2014'!$C$2:$L$188,10,0)/1000,0)</f>
        <v>0</v>
      </c>
      <c r="BC777" s="1">
        <f>+IFERROR(VLOOKUP(BC28,'נתוני מים 2014'!$C$2:$L$188,10,0)/1000,0)</f>
        <v>0</v>
      </c>
      <c r="BD777" s="1">
        <f>+IFERROR(VLOOKUP(BD28,'נתוני מים 2014'!$C$2:$L$188,10,0)/1000,0)</f>
        <v>0</v>
      </c>
      <c r="BE777" s="1">
        <f>+IFERROR(VLOOKUP(BE28,'נתוני מים 2014'!$C$2:$L$188,10,0)/1000,0)</f>
        <v>0</v>
      </c>
      <c r="BF777" s="1">
        <f>+IFERROR(VLOOKUP(BF28,'נתוני מים 2014'!$C$2:$L$188,10,0)/1000,0)</f>
        <v>0</v>
      </c>
    </row>
    <row r="778" spans="2:58" x14ac:dyDescent="0.2">
      <c r="B778" s="1">
        <v>22</v>
      </c>
      <c r="C778" s="1">
        <f>+IFERROR(VLOOKUP(C29,'נתוני מים 2014'!$C$2:$L$188,10,0)/1000,0)</f>
        <v>0</v>
      </c>
      <c r="D778" s="1">
        <f>+IFERROR(VLOOKUP(D29,'נתוני מים 2014'!$C$2:$L$188,10,0)/1000,0)</f>
        <v>0</v>
      </c>
      <c r="E778" s="1">
        <f>+IFERROR(VLOOKUP(E29,'נתוני מים 2014'!$C$2:$L$188,10,0)/1000,0)</f>
        <v>0</v>
      </c>
      <c r="F778" s="1">
        <f>+IFERROR(VLOOKUP(F29,'נתוני מים 2014'!$C$2:$L$188,10,0)/1000,0)</f>
        <v>0</v>
      </c>
      <c r="G778" s="1">
        <f>+IFERROR(VLOOKUP(G29,'נתוני מים 2014'!$C$2:$L$188,10,0)/1000,0)</f>
        <v>0</v>
      </c>
      <c r="H778" s="1">
        <f>+IFERROR(VLOOKUP(H29,'נתוני מים 2014'!$C$2:$L$188,10,0)/1000,0)</f>
        <v>0</v>
      </c>
      <c r="I778" s="1">
        <f>+IFERROR(VLOOKUP(I29,'נתוני מים 2014'!$C$2:$L$188,10,0)/1000,0)</f>
        <v>0</v>
      </c>
      <c r="J778" s="1">
        <f>+IFERROR(VLOOKUP(J29,'נתוני מים 2014'!$C$2:$L$188,10,0)/1000,0)</f>
        <v>0</v>
      </c>
      <c r="K778" s="1">
        <f>+IFERROR(VLOOKUP(K29,'נתוני מים 2014'!$C$2:$L$188,10,0)/1000,0)</f>
        <v>0</v>
      </c>
      <c r="L778" s="1">
        <f>+IFERROR(VLOOKUP(L29,'נתוני מים 2014'!$C$2:$L$188,10,0)/1000,0)</f>
        <v>0</v>
      </c>
      <c r="M778" s="1">
        <f>+IFERROR(VLOOKUP(M29,'נתוני מים 2014'!$C$2:$L$188,10,0)/1000,0)</f>
        <v>0</v>
      </c>
      <c r="N778" s="1">
        <f>+IFERROR(VLOOKUP(N29,'נתוני מים 2014'!$C$2:$L$188,10,0)/1000,0)</f>
        <v>0</v>
      </c>
      <c r="O778" s="1">
        <f>+IFERROR(VLOOKUP(O29,'נתוני מים 2014'!$C$2:$L$188,10,0)/1000,0)</f>
        <v>0</v>
      </c>
      <c r="P778" s="1">
        <f>+IFERROR(VLOOKUP(P29,'נתוני מים 2014'!$C$2:$L$188,10,0)/1000,0)</f>
        <v>0</v>
      </c>
      <c r="Q778" s="1">
        <f>+IFERROR(VLOOKUP(Q29,'נתוני מים 2014'!$C$2:$L$188,10,0)/1000,0)</f>
        <v>0</v>
      </c>
      <c r="R778" s="1">
        <f>+IFERROR(VLOOKUP(R29,'נתוני מים 2014'!$C$2:$L$188,10,0)/1000,0)</f>
        <v>0</v>
      </c>
      <c r="S778" s="1">
        <f>+IFERROR(VLOOKUP(S29,'נתוני מים 2014'!$C$2:$L$188,10,0)/1000,0)</f>
        <v>0</v>
      </c>
      <c r="T778" s="1">
        <f>+IFERROR(VLOOKUP(T29,'נתוני מים 2014'!$C$2:$L$188,10,0)/1000,0)</f>
        <v>0</v>
      </c>
      <c r="U778" s="1">
        <f>+IFERROR(VLOOKUP(U29,'נתוני מים 2014'!$C$2:$L$188,10,0)/1000,0)</f>
        <v>0</v>
      </c>
      <c r="V778" s="1">
        <f>+IFERROR(VLOOKUP(V29,'נתוני מים 2014'!$C$2:$L$188,10,0)/1000,0)</f>
        <v>0</v>
      </c>
      <c r="W778" s="1">
        <f>+IFERROR(VLOOKUP(W29,'נתוני מים 2014'!$C$2:$L$188,10,0)/1000,0)</f>
        <v>0</v>
      </c>
      <c r="X778" s="1">
        <f>+IFERROR(VLOOKUP(X29,'נתוני מים 2014'!$C$2:$L$188,10,0)/1000,0)</f>
        <v>0</v>
      </c>
      <c r="Y778" s="1">
        <f>+IFERROR(VLOOKUP(Y29,'נתוני מים 2014'!$C$2:$L$188,10,0)/1000,0)</f>
        <v>0</v>
      </c>
      <c r="Z778" s="1">
        <f>+IFERROR(VLOOKUP(Z29,'נתוני מים 2014'!$C$2:$L$188,10,0)/1000,0)</f>
        <v>0</v>
      </c>
      <c r="AA778" s="1">
        <f>+IFERROR(VLOOKUP(AA29,'נתוני מים 2014'!$C$2:$L$188,10,0)/1000,0)</f>
        <v>0</v>
      </c>
      <c r="AB778" s="1">
        <f>+IFERROR(VLOOKUP(AB29,'נתוני מים 2014'!$C$2:$L$188,10,0)/1000,0)</f>
        <v>0</v>
      </c>
      <c r="AC778" s="1">
        <f>+IFERROR(VLOOKUP(AC29,'נתוני מים 2014'!$C$2:$L$188,10,0)/1000,0)</f>
        <v>0</v>
      </c>
      <c r="AD778" s="1">
        <f>+IFERROR(VLOOKUP(AD29,'נתוני מים 2014'!$C$2:$L$188,10,0)/1000,0)</f>
        <v>0</v>
      </c>
      <c r="AE778" s="1">
        <f>+IFERROR(VLOOKUP(AE29,'נתוני מים 2014'!$C$2:$L$188,10,0)/1000,0)</f>
        <v>0</v>
      </c>
      <c r="AF778" s="1">
        <f>+IFERROR(VLOOKUP(AF29,'נתוני מים 2014'!$C$2:$L$188,10,0)/1000,0)</f>
        <v>0</v>
      </c>
      <c r="AG778" s="1">
        <f>+IFERROR(VLOOKUP(AG29,'נתוני מים 2014'!$C$2:$L$188,10,0)/1000,0)</f>
        <v>0</v>
      </c>
      <c r="AH778" s="1">
        <f>+IFERROR(VLOOKUP(AH29,'נתוני מים 2014'!$C$2:$L$188,10,0)/1000,0)</f>
        <v>0</v>
      </c>
      <c r="AI778" s="1">
        <f>+IFERROR(VLOOKUP(AI29,'נתוני מים 2014'!$C$2:$L$188,10,0)/1000,0)</f>
        <v>0</v>
      </c>
      <c r="AJ778" s="1">
        <f>+IFERROR(VLOOKUP(AJ29,'נתוני מים 2014'!$C$2:$L$188,10,0)/1000,0)</f>
        <v>0</v>
      </c>
      <c r="AK778" s="1">
        <f>+IFERROR(VLOOKUP(AK29,'נתוני מים 2014'!$C$2:$L$188,10,0)/1000,0)</f>
        <v>0</v>
      </c>
      <c r="AL778" s="1">
        <f>+IFERROR(VLOOKUP(AL29,'נתוני מים 2014'!$C$2:$L$188,10,0)/1000,0)</f>
        <v>0</v>
      </c>
      <c r="AM778" s="1">
        <f>+IFERROR(VLOOKUP(AM29,'נתוני מים 2014'!$C$2:$L$188,10,0)/1000,0)</f>
        <v>0</v>
      </c>
      <c r="AN778" s="1">
        <f>+IFERROR(VLOOKUP(AN29,'נתוני מים 2014'!$C$2:$L$188,10,0)/1000,0)</f>
        <v>0</v>
      </c>
      <c r="AO778" s="1">
        <f>+IFERROR(VLOOKUP(AO29,'נתוני מים 2014'!$C$2:$L$188,10,0)/1000,0)</f>
        <v>0</v>
      </c>
      <c r="AP778" s="1">
        <f>+IFERROR(VLOOKUP(AP29,'נתוני מים 2014'!$C$2:$L$188,10,0)/1000,0)</f>
        <v>0</v>
      </c>
      <c r="AQ778" s="1">
        <f>+IFERROR(VLOOKUP(AQ29,'נתוני מים 2014'!$C$2:$L$188,10,0)/1000,0)</f>
        <v>0</v>
      </c>
      <c r="AR778" s="1">
        <f>+IFERROR(VLOOKUP(AR29,'נתוני מים 2014'!$C$2:$L$188,10,0)/1000,0)</f>
        <v>0</v>
      </c>
      <c r="AS778" s="1">
        <f>+IFERROR(VLOOKUP(AS29,'נתוני מים 2014'!$C$2:$L$188,10,0)/1000,0)</f>
        <v>0</v>
      </c>
      <c r="AT778" s="1">
        <f>+IFERROR(VLOOKUP(AT29,'נתוני מים 2014'!$C$2:$L$188,10,0)/1000,0)</f>
        <v>0</v>
      </c>
      <c r="AU778" s="1">
        <f>+IFERROR(VLOOKUP(AU29,'נתוני מים 2014'!$C$2:$L$188,10,0)/1000,0)</f>
        <v>0</v>
      </c>
      <c r="AV778" s="1">
        <f>+IFERROR(VLOOKUP(AV29,'נתוני מים 2014'!$C$2:$L$188,10,0)/1000,0)</f>
        <v>0</v>
      </c>
      <c r="AW778" s="1">
        <f>+IFERROR(VLOOKUP(AW29,'נתוני מים 2014'!$C$2:$L$188,10,0)/1000,0)</f>
        <v>0</v>
      </c>
      <c r="AX778" s="1">
        <f>+IFERROR(VLOOKUP(AX29,'נתוני מים 2014'!$C$2:$L$188,10,0)/1000,0)</f>
        <v>0</v>
      </c>
      <c r="AY778" s="1">
        <f>+IFERROR(VLOOKUP(AY29,'נתוני מים 2014'!$C$2:$L$188,10,0)/1000,0)</f>
        <v>0</v>
      </c>
      <c r="AZ778" s="1">
        <f>+IFERROR(VLOOKUP(AZ29,'נתוני מים 2014'!$C$2:$L$188,10,0)/1000,0)</f>
        <v>0</v>
      </c>
      <c r="BA778" s="1">
        <f>+IFERROR(VLOOKUP(BA29,'נתוני מים 2014'!$C$2:$L$188,10,0)/1000,0)</f>
        <v>0</v>
      </c>
      <c r="BB778" s="1">
        <f>+IFERROR(VLOOKUP(BB29,'נתוני מים 2014'!$C$2:$L$188,10,0)/1000,0)</f>
        <v>0</v>
      </c>
      <c r="BC778" s="1">
        <f>+IFERROR(VLOOKUP(BC29,'נתוני מים 2014'!$C$2:$L$188,10,0)/1000,0)</f>
        <v>0</v>
      </c>
      <c r="BD778" s="1">
        <f>+IFERROR(VLOOKUP(BD29,'נתוני מים 2014'!$C$2:$L$188,10,0)/1000,0)</f>
        <v>0</v>
      </c>
      <c r="BE778" s="1">
        <f>+IFERROR(VLOOKUP(BE29,'נתוני מים 2014'!$C$2:$L$188,10,0)/1000,0)</f>
        <v>0</v>
      </c>
      <c r="BF778" s="1">
        <f>+IFERROR(VLOOKUP(BF29,'נתוני מים 2014'!$C$2:$L$188,10,0)/1000,0)</f>
        <v>0</v>
      </c>
    </row>
    <row r="779" spans="2:58" x14ac:dyDescent="0.2">
      <c r="B779" s="1">
        <v>23</v>
      </c>
      <c r="C779" s="1">
        <f>+IFERROR(VLOOKUP(C30,'נתוני מים 2014'!$C$2:$L$188,10,0)/1000,0)</f>
        <v>0</v>
      </c>
      <c r="D779" s="1">
        <f>+IFERROR(VLOOKUP(D30,'נתוני מים 2014'!$C$2:$L$188,10,0)/1000,0)</f>
        <v>0</v>
      </c>
      <c r="E779" s="1">
        <f>+IFERROR(VLOOKUP(E30,'נתוני מים 2014'!$C$2:$L$188,10,0)/1000,0)</f>
        <v>0</v>
      </c>
      <c r="F779" s="1">
        <f>+IFERROR(VLOOKUP(F30,'נתוני מים 2014'!$C$2:$L$188,10,0)/1000,0)</f>
        <v>0</v>
      </c>
      <c r="G779" s="1">
        <f>+IFERROR(VLOOKUP(G30,'נתוני מים 2014'!$C$2:$L$188,10,0)/1000,0)</f>
        <v>0</v>
      </c>
      <c r="H779" s="1">
        <f>+IFERROR(VLOOKUP(H30,'נתוני מים 2014'!$C$2:$L$188,10,0)/1000,0)</f>
        <v>0</v>
      </c>
      <c r="I779" s="1">
        <f>+IFERROR(VLOOKUP(I30,'נתוני מים 2014'!$C$2:$L$188,10,0)/1000,0)</f>
        <v>0</v>
      </c>
      <c r="J779" s="1">
        <f>+IFERROR(VLOOKUP(J30,'נתוני מים 2014'!$C$2:$L$188,10,0)/1000,0)</f>
        <v>0</v>
      </c>
      <c r="K779" s="1">
        <f>+IFERROR(VLOOKUP(K30,'נתוני מים 2014'!$C$2:$L$188,10,0)/1000,0)</f>
        <v>0</v>
      </c>
      <c r="L779" s="1">
        <f>+IFERROR(VLOOKUP(L30,'נתוני מים 2014'!$C$2:$L$188,10,0)/1000,0)</f>
        <v>0</v>
      </c>
      <c r="M779" s="1">
        <f>+IFERROR(VLOOKUP(M30,'נתוני מים 2014'!$C$2:$L$188,10,0)/1000,0)</f>
        <v>0</v>
      </c>
      <c r="N779" s="1">
        <f>+IFERROR(VLOOKUP(N30,'נתוני מים 2014'!$C$2:$L$188,10,0)/1000,0)</f>
        <v>0</v>
      </c>
      <c r="O779" s="1">
        <f>+IFERROR(VLOOKUP(O30,'נתוני מים 2014'!$C$2:$L$188,10,0)/1000,0)</f>
        <v>0</v>
      </c>
      <c r="P779" s="1">
        <f>+IFERROR(VLOOKUP(P30,'נתוני מים 2014'!$C$2:$L$188,10,0)/1000,0)</f>
        <v>0</v>
      </c>
      <c r="Q779" s="1">
        <f>+IFERROR(VLOOKUP(Q30,'נתוני מים 2014'!$C$2:$L$188,10,0)/1000,0)</f>
        <v>0</v>
      </c>
      <c r="R779" s="1">
        <f>+IFERROR(VLOOKUP(R30,'נתוני מים 2014'!$C$2:$L$188,10,0)/1000,0)</f>
        <v>0</v>
      </c>
      <c r="S779" s="1">
        <f>+IFERROR(VLOOKUP(S30,'נתוני מים 2014'!$C$2:$L$188,10,0)/1000,0)</f>
        <v>0</v>
      </c>
      <c r="T779" s="1">
        <f>+IFERROR(VLOOKUP(T30,'נתוני מים 2014'!$C$2:$L$188,10,0)/1000,0)</f>
        <v>0</v>
      </c>
      <c r="U779" s="1">
        <f>+IFERROR(VLOOKUP(U30,'נתוני מים 2014'!$C$2:$L$188,10,0)/1000,0)</f>
        <v>0</v>
      </c>
      <c r="V779" s="1">
        <f>+IFERROR(VLOOKUP(V30,'נתוני מים 2014'!$C$2:$L$188,10,0)/1000,0)</f>
        <v>0</v>
      </c>
      <c r="W779" s="1">
        <f>+IFERROR(VLOOKUP(W30,'נתוני מים 2014'!$C$2:$L$188,10,0)/1000,0)</f>
        <v>0</v>
      </c>
      <c r="X779" s="1">
        <f>+IFERROR(VLOOKUP(X30,'נתוני מים 2014'!$C$2:$L$188,10,0)/1000,0)</f>
        <v>0</v>
      </c>
      <c r="Y779" s="1">
        <f>+IFERROR(VLOOKUP(Y30,'נתוני מים 2014'!$C$2:$L$188,10,0)/1000,0)</f>
        <v>0</v>
      </c>
      <c r="Z779" s="1">
        <f>+IFERROR(VLOOKUP(Z30,'נתוני מים 2014'!$C$2:$L$188,10,0)/1000,0)</f>
        <v>0</v>
      </c>
      <c r="AA779" s="1">
        <f>+IFERROR(VLOOKUP(AA30,'נתוני מים 2014'!$C$2:$L$188,10,0)/1000,0)</f>
        <v>0</v>
      </c>
      <c r="AB779" s="1">
        <f>+IFERROR(VLOOKUP(AB30,'נתוני מים 2014'!$C$2:$L$188,10,0)/1000,0)</f>
        <v>0</v>
      </c>
      <c r="AC779" s="1">
        <f>+IFERROR(VLOOKUP(AC30,'נתוני מים 2014'!$C$2:$L$188,10,0)/1000,0)</f>
        <v>0</v>
      </c>
      <c r="AD779" s="1">
        <f>+IFERROR(VLOOKUP(AD30,'נתוני מים 2014'!$C$2:$L$188,10,0)/1000,0)</f>
        <v>0</v>
      </c>
      <c r="AE779" s="1">
        <f>+IFERROR(VLOOKUP(AE30,'נתוני מים 2014'!$C$2:$L$188,10,0)/1000,0)</f>
        <v>0</v>
      </c>
      <c r="AF779" s="1">
        <f>+IFERROR(VLOOKUP(AF30,'נתוני מים 2014'!$C$2:$L$188,10,0)/1000,0)</f>
        <v>0</v>
      </c>
      <c r="AG779" s="1">
        <f>+IFERROR(VLOOKUP(AG30,'נתוני מים 2014'!$C$2:$L$188,10,0)/1000,0)</f>
        <v>0</v>
      </c>
      <c r="AH779" s="1">
        <f>+IFERROR(VLOOKUP(AH30,'נתוני מים 2014'!$C$2:$L$188,10,0)/1000,0)</f>
        <v>0</v>
      </c>
      <c r="AI779" s="1">
        <f>+IFERROR(VLOOKUP(AI30,'נתוני מים 2014'!$C$2:$L$188,10,0)/1000,0)</f>
        <v>0</v>
      </c>
      <c r="AJ779" s="1">
        <f>+IFERROR(VLOOKUP(AJ30,'נתוני מים 2014'!$C$2:$L$188,10,0)/1000,0)</f>
        <v>0</v>
      </c>
      <c r="AK779" s="1">
        <f>+IFERROR(VLOOKUP(AK30,'נתוני מים 2014'!$C$2:$L$188,10,0)/1000,0)</f>
        <v>0</v>
      </c>
      <c r="AL779" s="1">
        <f>+IFERROR(VLOOKUP(AL30,'נתוני מים 2014'!$C$2:$L$188,10,0)/1000,0)</f>
        <v>0</v>
      </c>
      <c r="AM779" s="1">
        <f>+IFERROR(VLOOKUP(AM30,'נתוני מים 2014'!$C$2:$L$188,10,0)/1000,0)</f>
        <v>0</v>
      </c>
      <c r="AN779" s="1">
        <f>+IFERROR(VLOOKUP(AN30,'נתוני מים 2014'!$C$2:$L$188,10,0)/1000,0)</f>
        <v>0</v>
      </c>
      <c r="AO779" s="1">
        <f>+IFERROR(VLOOKUP(AO30,'נתוני מים 2014'!$C$2:$L$188,10,0)/1000,0)</f>
        <v>0</v>
      </c>
      <c r="AP779" s="1">
        <f>+IFERROR(VLOOKUP(AP30,'נתוני מים 2014'!$C$2:$L$188,10,0)/1000,0)</f>
        <v>0</v>
      </c>
      <c r="AQ779" s="1">
        <f>+IFERROR(VLOOKUP(AQ30,'נתוני מים 2014'!$C$2:$L$188,10,0)/1000,0)</f>
        <v>0</v>
      </c>
      <c r="AR779" s="1">
        <f>+IFERROR(VLOOKUP(AR30,'נתוני מים 2014'!$C$2:$L$188,10,0)/1000,0)</f>
        <v>0</v>
      </c>
      <c r="AS779" s="1">
        <f>+IFERROR(VLOOKUP(AS30,'נתוני מים 2014'!$C$2:$L$188,10,0)/1000,0)</f>
        <v>0</v>
      </c>
      <c r="AT779" s="1">
        <f>+IFERROR(VLOOKUP(AT30,'נתוני מים 2014'!$C$2:$L$188,10,0)/1000,0)</f>
        <v>0</v>
      </c>
      <c r="AU779" s="1">
        <f>+IFERROR(VLOOKUP(AU30,'נתוני מים 2014'!$C$2:$L$188,10,0)/1000,0)</f>
        <v>0</v>
      </c>
      <c r="AV779" s="1">
        <f>+IFERROR(VLOOKUP(AV30,'נתוני מים 2014'!$C$2:$L$188,10,0)/1000,0)</f>
        <v>0</v>
      </c>
      <c r="AW779" s="1">
        <f>+IFERROR(VLOOKUP(AW30,'נתוני מים 2014'!$C$2:$L$188,10,0)/1000,0)</f>
        <v>0</v>
      </c>
      <c r="AX779" s="1">
        <f>+IFERROR(VLOOKUP(AX30,'נתוני מים 2014'!$C$2:$L$188,10,0)/1000,0)</f>
        <v>0</v>
      </c>
      <c r="AY779" s="1">
        <f>+IFERROR(VLOOKUP(AY30,'נתוני מים 2014'!$C$2:$L$188,10,0)/1000,0)</f>
        <v>0</v>
      </c>
      <c r="AZ779" s="1">
        <f>+IFERROR(VLOOKUP(AZ30,'נתוני מים 2014'!$C$2:$L$188,10,0)/1000,0)</f>
        <v>0</v>
      </c>
      <c r="BA779" s="1">
        <f>+IFERROR(VLOOKUP(BA30,'נתוני מים 2014'!$C$2:$L$188,10,0)/1000,0)</f>
        <v>0</v>
      </c>
      <c r="BB779" s="1">
        <f>+IFERROR(VLOOKUP(BB30,'נתוני מים 2014'!$C$2:$L$188,10,0)/1000,0)</f>
        <v>0</v>
      </c>
      <c r="BC779" s="1">
        <f>+IFERROR(VLOOKUP(BC30,'נתוני מים 2014'!$C$2:$L$188,10,0)/1000,0)</f>
        <v>0</v>
      </c>
      <c r="BD779" s="1">
        <f>+IFERROR(VLOOKUP(BD30,'נתוני מים 2014'!$C$2:$L$188,10,0)/1000,0)</f>
        <v>0</v>
      </c>
      <c r="BE779" s="1">
        <f>+IFERROR(VLOOKUP(BE30,'נתוני מים 2014'!$C$2:$L$188,10,0)/1000,0)</f>
        <v>0</v>
      </c>
      <c r="BF779" s="1">
        <f>+IFERROR(VLOOKUP(BF30,'נתוני מים 2014'!$C$2:$L$188,10,0)/1000,0)</f>
        <v>0</v>
      </c>
    </row>
    <row r="780" spans="2:58" x14ac:dyDescent="0.2">
      <c r="B780" s="1">
        <v>24</v>
      </c>
      <c r="C780" s="1">
        <f>+IFERROR(VLOOKUP(C31,'נתוני מים 2014'!$C$2:$L$188,10,0)/1000,0)</f>
        <v>0</v>
      </c>
      <c r="D780" s="1">
        <f>+IFERROR(VLOOKUP(D31,'נתוני מים 2014'!$C$2:$L$188,10,0)/1000,0)</f>
        <v>0</v>
      </c>
      <c r="E780" s="1">
        <f>+IFERROR(VLOOKUP(E31,'נתוני מים 2014'!$C$2:$L$188,10,0)/1000,0)</f>
        <v>0</v>
      </c>
      <c r="F780" s="1">
        <f>+IFERROR(VLOOKUP(F31,'נתוני מים 2014'!$C$2:$L$188,10,0)/1000,0)</f>
        <v>0</v>
      </c>
      <c r="G780" s="1">
        <f>+IFERROR(VLOOKUP(G31,'נתוני מים 2014'!$C$2:$L$188,10,0)/1000,0)</f>
        <v>0</v>
      </c>
      <c r="H780" s="1">
        <f>+IFERROR(VLOOKUP(H31,'נתוני מים 2014'!$C$2:$L$188,10,0)/1000,0)</f>
        <v>0</v>
      </c>
      <c r="I780" s="1">
        <f>+IFERROR(VLOOKUP(I31,'נתוני מים 2014'!$C$2:$L$188,10,0)/1000,0)</f>
        <v>0</v>
      </c>
      <c r="J780" s="1">
        <f>+IFERROR(VLOOKUP(J31,'נתוני מים 2014'!$C$2:$L$188,10,0)/1000,0)</f>
        <v>0</v>
      </c>
      <c r="K780" s="1">
        <f>+IFERROR(VLOOKUP(K31,'נתוני מים 2014'!$C$2:$L$188,10,0)/1000,0)</f>
        <v>0</v>
      </c>
      <c r="L780" s="1">
        <f>+IFERROR(VLOOKUP(L31,'נתוני מים 2014'!$C$2:$L$188,10,0)/1000,0)</f>
        <v>0</v>
      </c>
      <c r="M780" s="1">
        <f>+IFERROR(VLOOKUP(M31,'נתוני מים 2014'!$C$2:$L$188,10,0)/1000,0)</f>
        <v>0</v>
      </c>
      <c r="N780" s="1">
        <f>+IFERROR(VLOOKUP(N31,'נתוני מים 2014'!$C$2:$L$188,10,0)/1000,0)</f>
        <v>0</v>
      </c>
      <c r="O780" s="1">
        <f>+IFERROR(VLOOKUP(O31,'נתוני מים 2014'!$C$2:$L$188,10,0)/1000,0)</f>
        <v>0</v>
      </c>
      <c r="P780" s="1">
        <f>+IFERROR(VLOOKUP(P31,'נתוני מים 2014'!$C$2:$L$188,10,0)/1000,0)</f>
        <v>0</v>
      </c>
      <c r="Q780" s="1">
        <f>+IFERROR(VLOOKUP(Q31,'נתוני מים 2014'!$C$2:$L$188,10,0)/1000,0)</f>
        <v>0</v>
      </c>
      <c r="R780" s="1">
        <f>+IFERROR(VLOOKUP(R31,'נתוני מים 2014'!$C$2:$L$188,10,0)/1000,0)</f>
        <v>0</v>
      </c>
      <c r="S780" s="1">
        <f>+IFERROR(VLOOKUP(S31,'נתוני מים 2014'!$C$2:$L$188,10,0)/1000,0)</f>
        <v>0</v>
      </c>
      <c r="T780" s="1">
        <f>+IFERROR(VLOOKUP(T31,'נתוני מים 2014'!$C$2:$L$188,10,0)/1000,0)</f>
        <v>0</v>
      </c>
      <c r="U780" s="1">
        <f>+IFERROR(VLOOKUP(U31,'נתוני מים 2014'!$C$2:$L$188,10,0)/1000,0)</f>
        <v>0</v>
      </c>
      <c r="V780" s="1">
        <f>+IFERROR(VLOOKUP(V31,'נתוני מים 2014'!$C$2:$L$188,10,0)/1000,0)</f>
        <v>0</v>
      </c>
      <c r="W780" s="1">
        <f>+IFERROR(VLOOKUP(W31,'נתוני מים 2014'!$C$2:$L$188,10,0)/1000,0)</f>
        <v>0</v>
      </c>
      <c r="X780" s="1">
        <f>+IFERROR(VLOOKUP(X31,'נתוני מים 2014'!$C$2:$L$188,10,0)/1000,0)</f>
        <v>0</v>
      </c>
      <c r="Y780" s="1">
        <f>+IFERROR(VLOOKUP(Y31,'נתוני מים 2014'!$C$2:$L$188,10,0)/1000,0)</f>
        <v>0</v>
      </c>
      <c r="Z780" s="1">
        <f>+IFERROR(VLOOKUP(Z31,'נתוני מים 2014'!$C$2:$L$188,10,0)/1000,0)</f>
        <v>0</v>
      </c>
      <c r="AA780" s="1">
        <f>+IFERROR(VLOOKUP(AA31,'נתוני מים 2014'!$C$2:$L$188,10,0)/1000,0)</f>
        <v>0</v>
      </c>
      <c r="AB780" s="1">
        <f>+IFERROR(VLOOKUP(AB31,'נתוני מים 2014'!$C$2:$L$188,10,0)/1000,0)</f>
        <v>0</v>
      </c>
      <c r="AC780" s="1">
        <f>+IFERROR(VLOOKUP(AC31,'נתוני מים 2014'!$C$2:$L$188,10,0)/1000,0)</f>
        <v>0</v>
      </c>
      <c r="AD780" s="1">
        <f>+IFERROR(VLOOKUP(AD31,'נתוני מים 2014'!$C$2:$L$188,10,0)/1000,0)</f>
        <v>0</v>
      </c>
      <c r="AE780" s="1">
        <f>+IFERROR(VLOOKUP(AE31,'נתוני מים 2014'!$C$2:$L$188,10,0)/1000,0)</f>
        <v>0</v>
      </c>
      <c r="AF780" s="1">
        <f>+IFERROR(VLOOKUP(AF31,'נתוני מים 2014'!$C$2:$L$188,10,0)/1000,0)</f>
        <v>0</v>
      </c>
      <c r="AG780" s="1">
        <f>+IFERROR(VLOOKUP(AG31,'נתוני מים 2014'!$C$2:$L$188,10,0)/1000,0)</f>
        <v>0</v>
      </c>
      <c r="AH780" s="1">
        <f>+IFERROR(VLOOKUP(AH31,'נתוני מים 2014'!$C$2:$L$188,10,0)/1000,0)</f>
        <v>0</v>
      </c>
      <c r="AI780" s="1">
        <f>+IFERROR(VLOOKUP(AI31,'נתוני מים 2014'!$C$2:$L$188,10,0)/1000,0)</f>
        <v>0</v>
      </c>
      <c r="AJ780" s="1">
        <f>+IFERROR(VLOOKUP(AJ31,'נתוני מים 2014'!$C$2:$L$188,10,0)/1000,0)</f>
        <v>0</v>
      </c>
      <c r="AK780" s="1">
        <f>+IFERROR(VLOOKUP(AK31,'נתוני מים 2014'!$C$2:$L$188,10,0)/1000,0)</f>
        <v>0</v>
      </c>
      <c r="AL780" s="1">
        <f>+IFERROR(VLOOKUP(AL31,'נתוני מים 2014'!$C$2:$L$188,10,0)/1000,0)</f>
        <v>0</v>
      </c>
      <c r="AM780" s="1">
        <f>+IFERROR(VLOOKUP(AM31,'נתוני מים 2014'!$C$2:$L$188,10,0)/1000,0)</f>
        <v>0</v>
      </c>
      <c r="AN780" s="1">
        <f>+IFERROR(VLOOKUP(AN31,'נתוני מים 2014'!$C$2:$L$188,10,0)/1000,0)</f>
        <v>0</v>
      </c>
      <c r="AO780" s="1">
        <f>+IFERROR(VLOOKUP(AO31,'נתוני מים 2014'!$C$2:$L$188,10,0)/1000,0)</f>
        <v>0</v>
      </c>
      <c r="AP780" s="1">
        <f>+IFERROR(VLOOKUP(AP31,'נתוני מים 2014'!$C$2:$L$188,10,0)/1000,0)</f>
        <v>0</v>
      </c>
      <c r="AQ780" s="1">
        <f>+IFERROR(VLOOKUP(AQ31,'נתוני מים 2014'!$C$2:$L$188,10,0)/1000,0)</f>
        <v>0</v>
      </c>
      <c r="AR780" s="1">
        <f>+IFERROR(VLOOKUP(AR31,'נתוני מים 2014'!$C$2:$L$188,10,0)/1000,0)</f>
        <v>0</v>
      </c>
      <c r="AS780" s="1">
        <f>+IFERROR(VLOOKUP(AS31,'נתוני מים 2014'!$C$2:$L$188,10,0)/1000,0)</f>
        <v>0</v>
      </c>
      <c r="AT780" s="1">
        <f>+IFERROR(VLOOKUP(AT31,'נתוני מים 2014'!$C$2:$L$188,10,0)/1000,0)</f>
        <v>0</v>
      </c>
      <c r="AU780" s="1">
        <f>+IFERROR(VLOOKUP(AU31,'נתוני מים 2014'!$C$2:$L$188,10,0)/1000,0)</f>
        <v>0</v>
      </c>
      <c r="AV780" s="1">
        <f>+IFERROR(VLOOKUP(AV31,'נתוני מים 2014'!$C$2:$L$188,10,0)/1000,0)</f>
        <v>0</v>
      </c>
      <c r="AW780" s="1">
        <f>+IFERROR(VLOOKUP(AW31,'נתוני מים 2014'!$C$2:$L$188,10,0)/1000,0)</f>
        <v>0</v>
      </c>
      <c r="AX780" s="1">
        <f>+IFERROR(VLOOKUP(AX31,'נתוני מים 2014'!$C$2:$L$188,10,0)/1000,0)</f>
        <v>0</v>
      </c>
      <c r="AY780" s="1">
        <f>+IFERROR(VLOOKUP(AY31,'נתוני מים 2014'!$C$2:$L$188,10,0)/1000,0)</f>
        <v>0</v>
      </c>
      <c r="AZ780" s="1">
        <f>+IFERROR(VLOOKUP(AZ31,'נתוני מים 2014'!$C$2:$L$188,10,0)/1000,0)</f>
        <v>0</v>
      </c>
      <c r="BA780" s="1">
        <f>+IFERROR(VLOOKUP(BA31,'נתוני מים 2014'!$C$2:$L$188,10,0)/1000,0)</f>
        <v>0</v>
      </c>
      <c r="BB780" s="1">
        <f>+IFERROR(VLOOKUP(BB31,'נתוני מים 2014'!$C$2:$L$188,10,0)/1000,0)</f>
        <v>0</v>
      </c>
      <c r="BC780" s="1">
        <f>+IFERROR(VLOOKUP(BC31,'נתוני מים 2014'!$C$2:$L$188,10,0)/1000,0)</f>
        <v>0</v>
      </c>
      <c r="BD780" s="1">
        <f>+IFERROR(VLOOKUP(BD31,'נתוני מים 2014'!$C$2:$L$188,10,0)/1000,0)</f>
        <v>0</v>
      </c>
      <c r="BE780" s="1">
        <f>+IFERROR(VLOOKUP(BE31,'נתוני מים 2014'!$C$2:$L$188,10,0)/1000,0)</f>
        <v>0</v>
      </c>
      <c r="BF780" s="1">
        <f>+IFERROR(VLOOKUP(BF31,'נתוני מים 2014'!$C$2:$L$188,10,0)/1000,0)</f>
        <v>0</v>
      </c>
    </row>
    <row r="781" spans="2:58" x14ac:dyDescent="0.2">
      <c r="B781" s="1">
        <v>25</v>
      </c>
      <c r="C781" s="1">
        <f>+IFERROR(VLOOKUP(C32,'נתוני מים 2014'!$C$2:$L$188,10,0)/1000,0)</f>
        <v>0</v>
      </c>
      <c r="D781" s="1">
        <f>+IFERROR(VLOOKUP(D32,'נתוני מים 2014'!$C$2:$L$188,10,0)/1000,0)</f>
        <v>0</v>
      </c>
      <c r="E781" s="1">
        <f>+IFERROR(VLOOKUP(E32,'נתוני מים 2014'!$C$2:$L$188,10,0)/1000,0)</f>
        <v>0</v>
      </c>
      <c r="F781" s="1">
        <f>+IFERROR(VLOOKUP(F32,'נתוני מים 2014'!$C$2:$L$188,10,0)/1000,0)</f>
        <v>0</v>
      </c>
      <c r="G781" s="1">
        <f>+IFERROR(VLOOKUP(G32,'נתוני מים 2014'!$C$2:$L$188,10,0)/1000,0)</f>
        <v>0</v>
      </c>
      <c r="H781" s="1">
        <f>+IFERROR(VLOOKUP(H32,'נתוני מים 2014'!$C$2:$L$188,10,0)/1000,0)</f>
        <v>0</v>
      </c>
      <c r="I781" s="1">
        <f>+IFERROR(VLOOKUP(I32,'נתוני מים 2014'!$C$2:$L$188,10,0)/1000,0)</f>
        <v>0</v>
      </c>
      <c r="J781" s="1">
        <f>+IFERROR(VLOOKUP(J32,'נתוני מים 2014'!$C$2:$L$188,10,0)/1000,0)</f>
        <v>0</v>
      </c>
      <c r="K781" s="1">
        <f>+IFERROR(VLOOKUP(K32,'נתוני מים 2014'!$C$2:$L$188,10,0)/1000,0)</f>
        <v>0</v>
      </c>
      <c r="L781" s="1">
        <f>+IFERROR(VLOOKUP(L32,'נתוני מים 2014'!$C$2:$L$188,10,0)/1000,0)</f>
        <v>0</v>
      </c>
      <c r="M781" s="1">
        <f>+IFERROR(VLOOKUP(M32,'נתוני מים 2014'!$C$2:$L$188,10,0)/1000,0)</f>
        <v>0</v>
      </c>
      <c r="N781" s="1">
        <f>+IFERROR(VLOOKUP(N32,'נתוני מים 2014'!$C$2:$L$188,10,0)/1000,0)</f>
        <v>0</v>
      </c>
      <c r="O781" s="1">
        <f>+IFERROR(VLOOKUP(O32,'נתוני מים 2014'!$C$2:$L$188,10,0)/1000,0)</f>
        <v>0</v>
      </c>
      <c r="P781" s="1">
        <f>+IFERROR(VLOOKUP(P32,'נתוני מים 2014'!$C$2:$L$188,10,0)/1000,0)</f>
        <v>0</v>
      </c>
      <c r="Q781" s="1">
        <f>+IFERROR(VLOOKUP(Q32,'נתוני מים 2014'!$C$2:$L$188,10,0)/1000,0)</f>
        <v>0</v>
      </c>
      <c r="R781" s="1">
        <f>+IFERROR(VLOOKUP(R32,'נתוני מים 2014'!$C$2:$L$188,10,0)/1000,0)</f>
        <v>0</v>
      </c>
      <c r="S781" s="1">
        <f>+IFERROR(VLOOKUP(S32,'נתוני מים 2014'!$C$2:$L$188,10,0)/1000,0)</f>
        <v>0</v>
      </c>
      <c r="T781" s="1">
        <f>+IFERROR(VLOOKUP(T32,'נתוני מים 2014'!$C$2:$L$188,10,0)/1000,0)</f>
        <v>0</v>
      </c>
      <c r="U781" s="1">
        <f>+IFERROR(VLOOKUP(U32,'נתוני מים 2014'!$C$2:$L$188,10,0)/1000,0)</f>
        <v>0</v>
      </c>
      <c r="V781" s="1">
        <f>+IFERROR(VLOOKUP(V32,'נתוני מים 2014'!$C$2:$L$188,10,0)/1000,0)</f>
        <v>0</v>
      </c>
      <c r="W781" s="1">
        <f>+IFERROR(VLOOKUP(W32,'נתוני מים 2014'!$C$2:$L$188,10,0)/1000,0)</f>
        <v>0</v>
      </c>
      <c r="X781" s="1">
        <f>+IFERROR(VLOOKUP(X32,'נתוני מים 2014'!$C$2:$L$188,10,0)/1000,0)</f>
        <v>0</v>
      </c>
      <c r="Y781" s="1">
        <f>+IFERROR(VLOOKUP(Y32,'נתוני מים 2014'!$C$2:$L$188,10,0)/1000,0)</f>
        <v>0</v>
      </c>
      <c r="Z781" s="1">
        <f>+IFERROR(VLOOKUP(Z32,'נתוני מים 2014'!$C$2:$L$188,10,0)/1000,0)</f>
        <v>0</v>
      </c>
      <c r="AA781" s="1">
        <f>+IFERROR(VLOOKUP(AA32,'נתוני מים 2014'!$C$2:$L$188,10,0)/1000,0)</f>
        <v>0</v>
      </c>
      <c r="AB781" s="1">
        <f>+IFERROR(VLOOKUP(AB32,'נתוני מים 2014'!$C$2:$L$188,10,0)/1000,0)</f>
        <v>0</v>
      </c>
      <c r="AC781" s="1">
        <f>+IFERROR(VLOOKUP(AC32,'נתוני מים 2014'!$C$2:$L$188,10,0)/1000,0)</f>
        <v>0</v>
      </c>
      <c r="AD781" s="1">
        <f>+IFERROR(VLOOKUP(AD32,'נתוני מים 2014'!$C$2:$L$188,10,0)/1000,0)</f>
        <v>0</v>
      </c>
      <c r="AE781" s="1">
        <f>+IFERROR(VLOOKUP(AE32,'נתוני מים 2014'!$C$2:$L$188,10,0)/1000,0)</f>
        <v>0</v>
      </c>
      <c r="AF781" s="1">
        <f>+IFERROR(VLOOKUP(AF32,'נתוני מים 2014'!$C$2:$L$188,10,0)/1000,0)</f>
        <v>0</v>
      </c>
      <c r="AG781" s="1">
        <f>+IFERROR(VLOOKUP(AG32,'נתוני מים 2014'!$C$2:$L$188,10,0)/1000,0)</f>
        <v>0</v>
      </c>
      <c r="AH781" s="1">
        <f>+IFERROR(VLOOKUP(AH32,'נתוני מים 2014'!$C$2:$L$188,10,0)/1000,0)</f>
        <v>0</v>
      </c>
      <c r="AI781" s="1">
        <f>+IFERROR(VLOOKUP(AI32,'נתוני מים 2014'!$C$2:$L$188,10,0)/1000,0)</f>
        <v>0</v>
      </c>
      <c r="AJ781" s="1">
        <f>+IFERROR(VLOOKUP(AJ32,'נתוני מים 2014'!$C$2:$L$188,10,0)/1000,0)</f>
        <v>0</v>
      </c>
      <c r="AK781" s="1">
        <f>+IFERROR(VLOOKUP(AK32,'נתוני מים 2014'!$C$2:$L$188,10,0)/1000,0)</f>
        <v>0</v>
      </c>
      <c r="AL781" s="1">
        <f>+IFERROR(VLOOKUP(AL32,'נתוני מים 2014'!$C$2:$L$188,10,0)/1000,0)</f>
        <v>0</v>
      </c>
      <c r="AM781" s="1">
        <f>+IFERROR(VLOOKUP(AM32,'נתוני מים 2014'!$C$2:$L$188,10,0)/1000,0)</f>
        <v>0</v>
      </c>
      <c r="AN781" s="1">
        <f>+IFERROR(VLOOKUP(AN32,'נתוני מים 2014'!$C$2:$L$188,10,0)/1000,0)</f>
        <v>0</v>
      </c>
      <c r="AO781" s="1">
        <f>+IFERROR(VLOOKUP(AO32,'נתוני מים 2014'!$C$2:$L$188,10,0)/1000,0)</f>
        <v>0</v>
      </c>
      <c r="AP781" s="1">
        <f>+IFERROR(VLOOKUP(AP32,'נתוני מים 2014'!$C$2:$L$188,10,0)/1000,0)</f>
        <v>0</v>
      </c>
      <c r="AQ781" s="1">
        <f>+IFERROR(VLOOKUP(AQ32,'נתוני מים 2014'!$C$2:$L$188,10,0)/1000,0)</f>
        <v>0</v>
      </c>
      <c r="AR781" s="1">
        <f>+IFERROR(VLOOKUP(AR32,'נתוני מים 2014'!$C$2:$L$188,10,0)/1000,0)</f>
        <v>0</v>
      </c>
      <c r="AS781" s="1">
        <f>+IFERROR(VLOOKUP(AS32,'נתוני מים 2014'!$C$2:$L$188,10,0)/1000,0)</f>
        <v>0</v>
      </c>
      <c r="AT781" s="1">
        <f>+IFERROR(VLOOKUP(AT32,'נתוני מים 2014'!$C$2:$L$188,10,0)/1000,0)</f>
        <v>0</v>
      </c>
      <c r="AU781" s="1">
        <f>+IFERROR(VLOOKUP(AU32,'נתוני מים 2014'!$C$2:$L$188,10,0)/1000,0)</f>
        <v>0</v>
      </c>
      <c r="AV781" s="1">
        <f>+IFERROR(VLOOKUP(AV32,'נתוני מים 2014'!$C$2:$L$188,10,0)/1000,0)</f>
        <v>0</v>
      </c>
      <c r="AW781" s="1">
        <f>+IFERROR(VLOOKUP(AW32,'נתוני מים 2014'!$C$2:$L$188,10,0)/1000,0)</f>
        <v>0</v>
      </c>
      <c r="AX781" s="1">
        <f>+IFERROR(VLOOKUP(AX32,'נתוני מים 2014'!$C$2:$L$188,10,0)/1000,0)</f>
        <v>0</v>
      </c>
      <c r="AY781" s="1">
        <f>+IFERROR(VLOOKUP(AY32,'נתוני מים 2014'!$C$2:$L$188,10,0)/1000,0)</f>
        <v>0</v>
      </c>
      <c r="AZ781" s="1">
        <f>+IFERROR(VLOOKUP(AZ32,'נתוני מים 2014'!$C$2:$L$188,10,0)/1000,0)</f>
        <v>0</v>
      </c>
      <c r="BA781" s="1">
        <f>+IFERROR(VLOOKUP(BA32,'נתוני מים 2014'!$C$2:$L$188,10,0)/1000,0)</f>
        <v>0</v>
      </c>
      <c r="BB781" s="1">
        <f>+IFERROR(VLOOKUP(BB32,'נתוני מים 2014'!$C$2:$L$188,10,0)/1000,0)</f>
        <v>0</v>
      </c>
      <c r="BC781" s="1">
        <f>+IFERROR(VLOOKUP(BC32,'נתוני מים 2014'!$C$2:$L$188,10,0)/1000,0)</f>
        <v>0</v>
      </c>
      <c r="BD781" s="1">
        <f>+IFERROR(VLOOKUP(BD32,'נתוני מים 2014'!$C$2:$L$188,10,0)/1000,0)</f>
        <v>0</v>
      </c>
      <c r="BE781" s="1">
        <f>+IFERROR(VLOOKUP(BE32,'נתוני מים 2014'!$C$2:$L$188,10,0)/1000,0)</f>
        <v>0</v>
      </c>
      <c r="BF781" s="1">
        <f>+IFERROR(VLOOKUP(BF32,'נתוני מים 2014'!$C$2:$L$188,10,0)/1000,0)</f>
        <v>0</v>
      </c>
    </row>
    <row r="782" spans="2:58" x14ac:dyDescent="0.2">
      <c r="B782" s="1">
        <v>26</v>
      </c>
      <c r="C782" s="1">
        <f>+IFERROR(VLOOKUP(C33,'נתוני מים 2014'!$C$2:$L$188,10,0)/1000,0)</f>
        <v>0</v>
      </c>
      <c r="D782" s="1">
        <f>+IFERROR(VLOOKUP(D33,'נתוני מים 2014'!$C$2:$L$188,10,0)/1000,0)</f>
        <v>0</v>
      </c>
      <c r="E782" s="1">
        <f>+IFERROR(VLOOKUP(E33,'נתוני מים 2014'!$C$2:$L$188,10,0)/1000,0)</f>
        <v>0</v>
      </c>
      <c r="F782" s="1">
        <f>+IFERROR(VLOOKUP(F33,'נתוני מים 2014'!$C$2:$L$188,10,0)/1000,0)</f>
        <v>0</v>
      </c>
      <c r="G782" s="1">
        <f>+IFERROR(VLOOKUP(G33,'נתוני מים 2014'!$C$2:$L$188,10,0)/1000,0)</f>
        <v>0</v>
      </c>
      <c r="H782" s="1">
        <f>+IFERROR(VLOOKUP(H33,'נתוני מים 2014'!$C$2:$L$188,10,0)/1000,0)</f>
        <v>0</v>
      </c>
      <c r="I782" s="1">
        <f>+IFERROR(VLOOKUP(I33,'נתוני מים 2014'!$C$2:$L$188,10,0)/1000,0)</f>
        <v>0</v>
      </c>
      <c r="J782" s="1">
        <f>+IFERROR(VLOOKUP(J33,'נתוני מים 2014'!$C$2:$L$188,10,0)/1000,0)</f>
        <v>0</v>
      </c>
      <c r="K782" s="1">
        <f>+IFERROR(VLOOKUP(K33,'נתוני מים 2014'!$C$2:$L$188,10,0)/1000,0)</f>
        <v>0</v>
      </c>
      <c r="L782" s="1">
        <f>+IFERROR(VLOOKUP(L33,'נתוני מים 2014'!$C$2:$L$188,10,0)/1000,0)</f>
        <v>0</v>
      </c>
      <c r="M782" s="1">
        <f>+IFERROR(VLOOKUP(M33,'נתוני מים 2014'!$C$2:$L$188,10,0)/1000,0)</f>
        <v>0</v>
      </c>
      <c r="N782" s="1">
        <f>+IFERROR(VLOOKUP(N33,'נתוני מים 2014'!$C$2:$L$188,10,0)/1000,0)</f>
        <v>0</v>
      </c>
      <c r="O782" s="1">
        <f>+IFERROR(VLOOKUP(O33,'נתוני מים 2014'!$C$2:$L$188,10,0)/1000,0)</f>
        <v>0</v>
      </c>
      <c r="P782" s="1">
        <f>+IFERROR(VLOOKUP(P33,'נתוני מים 2014'!$C$2:$L$188,10,0)/1000,0)</f>
        <v>0</v>
      </c>
      <c r="Q782" s="1">
        <f>+IFERROR(VLOOKUP(Q33,'נתוני מים 2014'!$C$2:$L$188,10,0)/1000,0)</f>
        <v>0</v>
      </c>
      <c r="R782" s="1">
        <f>+IFERROR(VLOOKUP(R33,'נתוני מים 2014'!$C$2:$L$188,10,0)/1000,0)</f>
        <v>0</v>
      </c>
      <c r="S782" s="1">
        <f>+IFERROR(VLOOKUP(S33,'נתוני מים 2014'!$C$2:$L$188,10,0)/1000,0)</f>
        <v>0</v>
      </c>
      <c r="T782" s="1">
        <f>+IFERROR(VLOOKUP(T33,'נתוני מים 2014'!$C$2:$L$188,10,0)/1000,0)</f>
        <v>0</v>
      </c>
      <c r="U782" s="1">
        <f>+IFERROR(VLOOKUP(U33,'נתוני מים 2014'!$C$2:$L$188,10,0)/1000,0)</f>
        <v>0</v>
      </c>
      <c r="V782" s="1">
        <f>+IFERROR(VLOOKUP(V33,'נתוני מים 2014'!$C$2:$L$188,10,0)/1000,0)</f>
        <v>0</v>
      </c>
      <c r="W782" s="1">
        <f>+IFERROR(VLOOKUP(W33,'נתוני מים 2014'!$C$2:$L$188,10,0)/1000,0)</f>
        <v>0</v>
      </c>
      <c r="X782" s="1">
        <f>+IFERROR(VLOOKUP(X33,'נתוני מים 2014'!$C$2:$L$188,10,0)/1000,0)</f>
        <v>0</v>
      </c>
      <c r="Y782" s="1">
        <f>+IFERROR(VLOOKUP(Y33,'נתוני מים 2014'!$C$2:$L$188,10,0)/1000,0)</f>
        <v>0</v>
      </c>
      <c r="Z782" s="1">
        <f>+IFERROR(VLOOKUP(Z33,'נתוני מים 2014'!$C$2:$L$188,10,0)/1000,0)</f>
        <v>0</v>
      </c>
      <c r="AA782" s="1">
        <f>+IFERROR(VLOOKUP(AA33,'נתוני מים 2014'!$C$2:$L$188,10,0)/1000,0)</f>
        <v>0</v>
      </c>
      <c r="AB782" s="1">
        <f>+IFERROR(VLOOKUP(AB33,'נתוני מים 2014'!$C$2:$L$188,10,0)/1000,0)</f>
        <v>0</v>
      </c>
      <c r="AC782" s="1">
        <f>+IFERROR(VLOOKUP(AC33,'נתוני מים 2014'!$C$2:$L$188,10,0)/1000,0)</f>
        <v>0</v>
      </c>
      <c r="AD782" s="1">
        <f>+IFERROR(VLOOKUP(AD33,'נתוני מים 2014'!$C$2:$L$188,10,0)/1000,0)</f>
        <v>0</v>
      </c>
      <c r="AE782" s="1">
        <f>+IFERROR(VLOOKUP(AE33,'נתוני מים 2014'!$C$2:$L$188,10,0)/1000,0)</f>
        <v>0</v>
      </c>
      <c r="AF782" s="1">
        <f>+IFERROR(VLOOKUP(AF33,'נתוני מים 2014'!$C$2:$L$188,10,0)/1000,0)</f>
        <v>0</v>
      </c>
      <c r="AG782" s="1">
        <f>+IFERROR(VLOOKUP(AG33,'נתוני מים 2014'!$C$2:$L$188,10,0)/1000,0)</f>
        <v>0</v>
      </c>
      <c r="AH782" s="1">
        <f>+IFERROR(VLOOKUP(AH33,'נתוני מים 2014'!$C$2:$L$188,10,0)/1000,0)</f>
        <v>0</v>
      </c>
      <c r="AI782" s="1">
        <f>+IFERROR(VLOOKUP(AI33,'נתוני מים 2014'!$C$2:$L$188,10,0)/1000,0)</f>
        <v>0</v>
      </c>
      <c r="AJ782" s="1">
        <f>+IFERROR(VLOOKUP(AJ33,'נתוני מים 2014'!$C$2:$L$188,10,0)/1000,0)</f>
        <v>0</v>
      </c>
      <c r="AK782" s="1">
        <f>+IFERROR(VLOOKUP(AK33,'נתוני מים 2014'!$C$2:$L$188,10,0)/1000,0)</f>
        <v>0</v>
      </c>
      <c r="AL782" s="1">
        <f>+IFERROR(VLOOKUP(AL33,'נתוני מים 2014'!$C$2:$L$188,10,0)/1000,0)</f>
        <v>0</v>
      </c>
      <c r="AM782" s="1">
        <f>+IFERROR(VLOOKUP(AM33,'נתוני מים 2014'!$C$2:$L$188,10,0)/1000,0)</f>
        <v>0</v>
      </c>
      <c r="AN782" s="1">
        <f>+IFERROR(VLOOKUP(AN33,'נתוני מים 2014'!$C$2:$L$188,10,0)/1000,0)</f>
        <v>0</v>
      </c>
      <c r="AO782" s="1">
        <f>+IFERROR(VLOOKUP(AO33,'נתוני מים 2014'!$C$2:$L$188,10,0)/1000,0)</f>
        <v>0</v>
      </c>
      <c r="AP782" s="1">
        <f>+IFERROR(VLOOKUP(AP33,'נתוני מים 2014'!$C$2:$L$188,10,0)/1000,0)</f>
        <v>0</v>
      </c>
      <c r="AQ782" s="1">
        <f>+IFERROR(VLOOKUP(AQ33,'נתוני מים 2014'!$C$2:$L$188,10,0)/1000,0)</f>
        <v>0</v>
      </c>
      <c r="AR782" s="1">
        <f>+IFERROR(VLOOKUP(AR33,'נתוני מים 2014'!$C$2:$L$188,10,0)/1000,0)</f>
        <v>0</v>
      </c>
      <c r="AS782" s="1">
        <f>+IFERROR(VLOOKUP(AS33,'נתוני מים 2014'!$C$2:$L$188,10,0)/1000,0)</f>
        <v>0</v>
      </c>
      <c r="AT782" s="1">
        <f>+IFERROR(VLOOKUP(AT33,'נתוני מים 2014'!$C$2:$L$188,10,0)/1000,0)</f>
        <v>0</v>
      </c>
      <c r="AU782" s="1">
        <f>+IFERROR(VLOOKUP(AU33,'נתוני מים 2014'!$C$2:$L$188,10,0)/1000,0)</f>
        <v>0</v>
      </c>
      <c r="AV782" s="1">
        <f>+IFERROR(VLOOKUP(AV33,'נתוני מים 2014'!$C$2:$L$188,10,0)/1000,0)</f>
        <v>0</v>
      </c>
      <c r="AW782" s="1">
        <f>+IFERROR(VLOOKUP(AW33,'נתוני מים 2014'!$C$2:$L$188,10,0)/1000,0)</f>
        <v>0</v>
      </c>
      <c r="AX782" s="1">
        <f>+IFERROR(VLOOKUP(AX33,'נתוני מים 2014'!$C$2:$L$188,10,0)/1000,0)</f>
        <v>0</v>
      </c>
      <c r="AY782" s="1">
        <f>+IFERROR(VLOOKUP(AY33,'נתוני מים 2014'!$C$2:$L$188,10,0)/1000,0)</f>
        <v>0</v>
      </c>
      <c r="AZ782" s="1">
        <f>+IFERROR(VLOOKUP(AZ33,'נתוני מים 2014'!$C$2:$L$188,10,0)/1000,0)</f>
        <v>0</v>
      </c>
      <c r="BA782" s="1">
        <f>+IFERROR(VLOOKUP(BA33,'נתוני מים 2014'!$C$2:$L$188,10,0)/1000,0)</f>
        <v>0</v>
      </c>
      <c r="BB782" s="1">
        <f>+IFERROR(VLOOKUP(BB33,'נתוני מים 2014'!$C$2:$L$188,10,0)/1000,0)</f>
        <v>0</v>
      </c>
      <c r="BC782" s="1">
        <f>+IFERROR(VLOOKUP(BC33,'נתוני מים 2014'!$C$2:$L$188,10,0)/1000,0)</f>
        <v>0</v>
      </c>
      <c r="BD782" s="1">
        <f>+IFERROR(VLOOKUP(BD33,'נתוני מים 2014'!$C$2:$L$188,10,0)/1000,0)</f>
        <v>0</v>
      </c>
      <c r="BE782" s="1">
        <f>+IFERROR(VLOOKUP(BE33,'נתוני מים 2014'!$C$2:$L$188,10,0)/1000,0)</f>
        <v>0</v>
      </c>
      <c r="BF782" s="1">
        <f>+IFERROR(VLOOKUP(BF33,'נתוני מים 2014'!$C$2:$L$188,10,0)/1000,0)</f>
        <v>0</v>
      </c>
    </row>
    <row r="783" spans="2:58" x14ac:dyDescent="0.2">
      <c r="B783" s="1">
        <v>27</v>
      </c>
      <c r="C783" s="1">
        <f>+IFERROR(VLOOKUP(C34,'נתוני מים 2014'!$C$2:$L$188,10,0)/1000,0)</f>
        <v>0</v>
      </c>
      <c r="D783" s="1">
        <f>+IFERROR(VLOOKUP(D34,'נתוני מים 2014'!$C$2:$L$188,10,0)/1000,0)</f>
        <v>0</v>
      </c>
      <c r="E783" s="1">
        <f>+IFERROR(VLOOKUP(E34,'נתוני מים 2014'!$C$2:$L$188,10,0)/1000,0)</f>
        <v>0</v>
      </c>
      <c r="F783" s="1">
        <f>+IFERROR(VLOOKUP(F34,'נתוני מים 2014'!$C$2:$L$188,10,0)/1000,0)</f>
        <v>0</v>
      </c>
      <c r="G783" s="1">
        <f>+IFERROR(VLOOKUP(G34,'נתוני מים 2014'!$C$2:$L$188,10,0)/1000,0)</f>
        <v>0</v>
      </c>
      <c r="H783" s="1">
        <f>+IFERROR(VLOOKUP(H34,'נתוני מים 2014'!$C$2:$L$188,10,0)/1000,0)</f>
        <v>0</v>
      </c>
      <c r="I783" s="1">
        <f>+IFERROR(VLOOKUP(I34,'נתוני מים 2014'!$C$2:$L$188,10,0)/1000,0)</f>
        <v>0</v>
      </c>
      <c r="J783" s="1">
        <f>+IFERROR(VLOOKUP(J34,'נתוני מים 2014'!$C$2:$L$188,10,0)/1000,0)</f>
        <v>0</v>
      </c>
      <c r="K783" s="1">
        <f>+IFERROR(VLOOKUP(K34,'נתוני מים 2014'!$C$2:$L$188,10,0)/1000,0)</f>
        <v>0</v>
      </c>
      <c r="L783" s="1">
        <f>+IFERROR(VLOOKUP(L34,'נתוני מים 2014'!$C$2:$L$188,10,0)/1000,0)</f>
        <v>0</v>
      </c>
      <c r="M783" s="1">
        <f>+IFERROR(VLOOKUP(M34,'נתוני מים 2014'!$C$2:$L$188,10,0)/1000,0)</f>
        <v>0</v>
      </c>
      <c r="N783" s="1">
        <f>+IFERROR(VLOOKUP(N34,'נתוני מים 2014'!$C$2:$L$188,10,0)/1000,0)</f>
        <v>0</v>
      </c>
      <c r="O783" s="1">
        <f>+IFERROR(VLOOKUP(O34,'נתוני מים 2014'!$C$2:$L$188,10,0)/1000,0)</f>
        <v>0</v>
      </c>
      <c r="P783" s="1">
        <f>+IFERROR(VLOOKUP(P34,'נתוני מים 2014'!$C$2:$L$188,10,0)/1000,0)</f>
        <v>0</v>
      </c>
      <c r="Q783" s="1">
        <f>+IFERROR(VLOOKUP(Q34,'נתוני מים 2014'!$C$2:$L$188,10,0)/1000,0)</f>
        <v>0</v>
      </c>
      <c r="R783" s="1">
        <f>+IFERROR(VLOOKUP(R34,'נתוני מים 2014'!$C$2:$L$188,10,0)/1000,0)</f>
        <v>0</v>
      </c>
      <c r="S783" s="1">
        <f>+IFERROR(VLOOKUP(S34,'נתוני מים 2014'!$C$2:$L$188,10,0)/1000,0)</f>
        <v>0</v>
      </c>
      <c r="T783" s="1">
        <f>+IFERROR(VLOOKUP(T34,'נתוני מים 2014'!$C$2:$L$188,10,0)/1000,0)</f>
        <v>0</v>
      </c>
      <c r="U783" s="1">
        <f>+IFERROR(VLOOKUP(U34,'נתוני מים 2014'!$C$2:$L$188,10,0)/1000,0)</f>
        <v>0</v>
      </c>
      <c r="V783" s="1">
        <f>+IFERROR(VLOOKUP(V34,'נתוני מים 2014'!$C$2:$L$188,10,0)/1000,0)</f>
        <v>0</v>
      </c>
      <c r="W783" s="1">
        <f>+IFERROR(VLOOKUP(W34,'נתוני מים 2014'!$C$2:$L$188,10,0)/1000,0)</f>
        <v>0</v>
      </c>
      <c r="X783" s="1">
        <f>+IFERROR(VLOOKUP(X34,'נתוני מים 2014'!$C$2:$L$188,10,0)/1000,0)</f>
        <v>0</v>
      </c>
      <c r="Y783" s="1">
        <f>+IFERROR(VLOOKUP(Y34,'נתוני מים 2014'!$C$2:$L$188,10,0)/1000,0)</f>
        <v>0</v>
      </c>
      <c r="Z783" s="1">
        <f>+IFERROR(VLOOKUP(Z34,'נתוני מים 2014'!$C$2:$L$188,10,0)/1000,0)</f>
        <v>0</v>
      </c>
      <c r="AA783" s="1">
        <f>+IFERROR(VLOOKUP(AA34,'נתוני מים 2014'!$C$2:$L$188,10,0)/1000,0)</f>
        <v>0</v>
      </c>
      <c r="AB783" s="1">
        <f>+IFERROR(VLOOKUP(AB34,'נתוני מים 2014'!$C$2:$L$188,10,0)/1000,0)</f>
        <v>0</v>
      </c>
      <c r="AC783" s="1">
        <f>+IFERROR(VLOOKUP(AC34,'נתוני מים 2014'!$C$2:$L$188,10,0)/1000,0)</f>
        <v>0</v>
      </c>
      <c r="AD783" s="1">
        <f>+IFERROR(VLOOKUP(AD34,'נתוני מים 2014'!$C$2:$L$188,10,0)/1000,0)</f>
        <v>0</v>
      </c>
      <c r="AE783" s="1">
        <f>+IFERROR(VLOOKUP(AE34,'נתוני מים 2014'!$C$2:$L$188,10,0)/1000,0)</f>
        <v>0</v>
      </c>
      <c r="AF783" s="1">
        <f>+IFERROR(VLOOKUP(AF34,'נתוני מים 2014'!$C$2:$L$188,10,0)/1000,0)</f>
        <v>0</v>
      </c>
      <c r="AG783" s="1">
        <f>+IFERROR(VLOOKUP(AG34,'נתוני מים 2014'!$C$2:$L$188,10,0)/1000,0)</f>
        <v>0</v>
      </c>
      <c r="AH783" s="1">
        <f>+IFERROR(VLOOKUP(AH34,'נתוני מים 2014'!$C$2:$L$188,10,0)/1000,0)</f>
        <v>0</v>
      </c>
      <c r="AI783" s="1">
        <f>+IFERROR(VLOOKUP(AI34,'נתוני מים 2014'!$C$2:$L$188,10,0)/1000,0)</f>
        <v>0</v>
      </c>
      <c r="AJ783" s="1">
        <f>+IFERROR(VLOOKUP(AJ34,'נתוני מים 2014'!$C$2:$L$188,10,0)/1000,0)</f>
        <v>0</v>
      </c>
      <c r="AK783" s="1">
        <f>+IFERROR(VLOOKUP(AK34,'נתוני מים 2014'!$C$2:$L$188,10,0)/1000,0)</f>
        <v>0</v>
      </c>
      <c r="AL783" s="1">
        <f>+IFERROR(VLOOKUP(AL34,'נתוני מים 2014'!$C$2:$L$188,10,0)/1000,0)</f>
        <v>0</v>
      </c>
      <c r="AM783" s="1">
        <f>+IFERROR(VLOOKUP(AM34,'נתוני מים 2014'!$C$2:$L$188,10,0)/1000,0)</f>
        <v>0</v>
      </c>
      <c r="AN783" s="1">
        <f>+IFERROR(VLOOKUP(AN34,'נתוני מים 2014'!$C$2:$L$188,10,0)/1000,0)</f>
        <v>0</v>
      </c>
      <c r="AO783" s="1">
        <f>+IFERROR(VLOOKUP(AO34,'נתוני מים 2014'!$C$2:$L$188,10,0)/1000,0)</f>
        <v>0</v>
      </c>
      <c r="AP783" s="1">
        <f>+IFERROR(VLOOKUP(AP34,'נתוני מים 2014'!$C$2:$L$188,10,0)/1000,0)</f>
        <v>0</v>
      </c>
      <c r="AQ783" s="1">
        <f>+IFERROR(VLOOKUP(AQ34,'נתוני מים 2014'!$C$2:$L$188,10,0)/1000,0)</f>
        <v>0</v>
      </c>
      <c r="AR783" s="1">
        <f>+IFERROR(VLOOKUP(AR34,'נתוני מים 2014'!$C$2:$L$188,10,0)/1000,0)</f>
        <v>0</v>
      </c>
      <c r="AS783" s="1">
        <f>+IFERROR(VLOOKUP(AS34,'נתוני מים 2014'!$C$2:$L$188,10,0)/1000,0)</f>
        <v>0</v>
      </c>
      <c r="AT783" s="1">
        <f>+IFERROR(VLOOKUP(AT34,'נתוני מים 2014'!$C$2:$L$188,10,0)/1000,0)</f>
        <v>0</v>
      </c>
      <c r="AU783" s="1">
        <f>+IFERROR(VLOOKUP(AU34,'נתוני מים 2014'!$C$2:$L$188,10,0)/1000,0)</f>
        <v>0</v>
      </c>
      <c r="AV783" s="1">
        <f>+IFERROR(VLOOKUP(AV34,'נתוני מים 2014'!$C$2:$L$188,10,0)/1000,0)</f>
        <v>0</v>
      </c>
      <c r="AW783" s="1">
        <f>+IFERROR(VLOOKUP(AW34,'נתוני מים 2014'!$C$2:$L$188,10,0)/1000,0)</f>
        <v>0</v>
      </c>
      <c r="AX783" s="1">
        <f>+IFERROR(VLOOKUP(AX34,'נתוני מים 2014'!$C$2:$L$188,10,0)/1000,0)</f>
        <v>0</v>
      </c>
      <c r="AY783" s="1">
        <f>+IFERROR(VLOOKUP(AY34,'נתוני מים 2014'!$C$2:$L$188,10,0)/1000,0)</f>
        <v>0</v>
      </c>
      <c r="AZ783" s="1">
        <f>+IFERROR(VLOOKUP(AZ34,'נתוני מים 2014'!$C$2:$L$188,10,0)/1000,0)</f>
        <v>0</v>
      </c>
      <c r="BA783" s="1">
        <f>+IFERROR(VLOOKUP(BA34,'נתוני מים 2014'!$C$2:$L$188,10,0)/1000,0)</f>
        <v>0</v>
      </c>
      <c r="BB783" s="1">
        <f>+IFERROR(VLOOKUP(BB34,'נתוני מים 2014'!$C$2:$L$188,10,0)/1000,0)</f>
        <v>0</v>
      </c>
      <c r="BC783" s="1">
        <f>+IFERROR(VLOOKUP(BC34,'נתוני מים 2014'!$C$2:$L$188,10,0)/1000,0)</f>
        <v>0</v>
      </c>
      <c r="BD783" s="1">
        <f>+IFERROR(VLOOKUP(BD34,'נתוני מים 2014'!$C$2:$L$188,10,0)/1000,0)</f>
        <v>0</v>
      </c>
      <c r="BE783" s="1">
        <f>+IFERROR(VLOOKUP(BE34,'נתוני מים 2014'!$C$2:$L$188,10,0)/1000,0)</f>
        <v>0</v>
      </c>
      <c r="BF783" s="1">
        <f>+IFERROR(VLOOKUP(BF34,'נתוני מים 2014'!$C$2:$L$188,10,0)/1000,0)</f>
        <v>0</v>
      </c>
    </row>
    <row r="784" spans="2:58" x14ac:dyDescent="0.2">
      <c r="B784" s="1">
        <v>28</v>
      </c>
      <c r="C784" s="1">
        <f>+IFERROR(VLOOKUP(C35,'נתוני מים 2014'!$C$2:$L$188,10,0)/1000,0)</f>
        <v>0</v>
      </c>
      <c r="D784" s="1">
        <f>+IFERROR(VLOOKUP(D35,'נתוני מים 2014'!$C$2:$L$188,10,0)/1000,0)</f>
        <v>0</v>
      </c>
      <c r="E784" s="1">
        <f>+IFERROR(VLOOKUP(E35,'נתוני מים 2014'!$C$2:$L$188,10,0)/1000,0)</f>
        <v>0</v>
      </c>
      <c r="F784" s="1">
        <f>+IFERROR(VLOOKUP(F35,'נתוני מים 2014'!$C$2:$L$188,10,0)/1000,0)</f>
        <v>0</v>
      </c>
      <c r="G784" s="1">
        <f>+IFERROR(VLOOKUP(G35,'נתוני מים 2014'!$C$2:$L$188,10,0)/1000,0)</f>
        <v>0</v>
      </c>
      <c r="H784" s="1">
        <f>+IFERROR(VLOOKUP(H35,'נתוני מים 2014'!$C$2:$L$188,10,0)/1000,0)</f>
        <v>0</v>
      </c>
      <c r="I784" s="1">
        <f>+IFERROR(VLOOKUP(I35,'נתוני מים 2014'!$C$2:$L$188,10,0)/1000,0)</f>
        <v>0</v>
      </c>
      <c r="J784" s="1">
        <f>+IFERROR(VLOOKUP(J35,'נתוני מים 2014'!$C$2:$L$188,10,0)/1000,0)</f>
        <v>0</v>
      </c>
      <c r="K784" s="1">
        <f>+IFERROR(VLOOKUP(K35,'נתוני מים 2014'!$C$2:$L$188,10,0)/1000,0)</f>
        <v>0</v>
      </c>
      <c r="L784" s="1">
        <f>+IFERROR(VLOOKUP(L35,'נתוני מים 2014'!$C$2:$L$188,10,0)/1000,0)</f>
        <v>0</v>
      </c>
      <c r="M784" s="1">
        <f>+IFERROR(VLOOKUP(M35,'נתוני מים 2014'!$C$2:$L$188,10,0)/1000,0)</f>
        <v>0</v>
      </c>
      <c r="N784" s="1">
        <f>+IFERROR(VLOOKUP(N35,'נתוני מים 2014'!$C$2:$L$188,10,0)/1000,0)</f>
        <v>0</v>
      </c>
      <c r="O784" s="1">
        <f>+IFERROR(VLOOKUP(O35,'נתוני מים 2014'!$C$2:$L$188,10,0)/1000,0)</f>
        <v>0</v>
      </c>
      <c r="P784" s="1">
        <f>+IFERROR(VLOOKUP(P35,'נתוני מים 2014'!$C$2:$L$188,10,0)/1000,0)</f>
        <v>0</v>
      </c>
      <c r="Q784" s="1">
        <f>+IFERROR(VLOOKUP(Q35,'נתוני מים 2014'!$C$2:$L$188,10,0)/1000,0)</f>
        <v>0</v>
      </c>
      <c r="R784" s="1">
        <f>+IFERROR(VLOOKUP(R35,'נתוני מים 2014'!$C$2:$L$188,10,0)/1000,0)</f>
        <v>0</v>
      </c>
      <c r="S784" s="1">
        <f>+IFERROR(VLOOKUP(S35,'נתוני מים 2014'!$C$2:$L$188,10,0)/1000,0)</f>
        <v>0</v>
      </c>
      <c r="T784" s="1">
        <f>+IFERROR(VLOOKUP(T35,'נתוני מים 2014'!$C$2:$L$188,10,0)/1000,0)</f>
        <v>0</v>
      </c>
      <c r="U784" s="1">
        <f>+IFERROR(VLOOKUP(U35,'נתוני מים 2014'!$C$2:$L$188,10,0)/1000,0)</f>
        <v>0</v>
      </c>
      <c r="V784" s="1">
        <f>+IFERROR(VLOOKUP(V35,'נתוני מים 2014'!$C$2:$L$188,10,0)/1000,0)</f>
        <v>0</v>
      </c>
      <c r="W784" s="1">
        <f>+IFERROR(VLOOKUP(W35,'נתוני מים 2014'!$C$2:$L$188,10,0)/1000,0)</f>
        <v>0</v>
      </c>
      <c r="X784" s="1">
        <f>+IFERROR(VLOOKUP(X35,'נתוני מים 2014'!$C$2:$L$188,10,0)/1000,0)</f>
        <v>0</v>
      </c>
      <c r="Y784" s="1">
        <f>+IFERROR(VLOOKUP(Y35,'נתוני מים 2014'!$C$2:$L$188,10,0)/1000,0)</f>
        <v>0</v>
      </c>
      <c r="Z784" s="1">
        <f>+IFERROR(VLOOKUP(Z35,'נתוני מים 2014'!$C$2:$L$188,10,0)/1000,0)</f>
        <v>0</v>
      </c>
      <c r="AA784" s="1">
        <f>+IFERROR(VLOOKUP(AA35,'נתוני מים 2014'!$C$2:$L$188,10,0)/1000,0)</f>
        <v>0</v>
      </c>
      <c r="AB784" s="1">
        <f>+IFERROR(VLOOKUP(AB35,'נתוני מים 2014'!$C$2:$L$188,10,0)/1000,0)</f>
        <v>0</v>
      </c>
      <c r="AC784" s="1">
        <f>+IFERROR(VLOOKUP(AC35,'נתוני מים 2014'!$C$2:$L$188,10,0)/1000,0)</f>
        <v>0</v>
      </c>
      <c r="AD784" s="1">
        <f>+IFERROR(VLOOKUP(AD35,'נתוני מים 2014'!$C$2:$L$188,10,0)/1000,0)</f>
        <v>0</v>
      </c>
      <c r="AE784" s="1">
        <f>+IFERROR(VLOOKUP(AE35,'נתוני מים 2014'!$C$2:$L$188,10,0)/1000,0)</f>
        <v>0</v>
      </c>
      <c r="AF784" s="1">
        <f>+IFERROR(VLOOKUP(AF35,'נתוני מים 2014'!$C$2:$L$188,10,0)/1000,0)</f>
        <v>0</v>
      </c>
      <c r="AG784" s="1">
        <f>+IFERROR(VLOOKUP(AG35,'נתוני מים 2014'!$C$2:$L$188,10,0)/1000,0)</f>
        <v>0</v>
      </c>
      <c r="AH784" s="1">
        <f>+IFERROR(VLOOKUP(AH35,'נתוני מים 2014'!$C$2:$L$188,10,0)/1000,0)</f>
        <v>0</v>
      </c>
      <c r="AI784" s="1">
        <f>+IFERROR(VLOOKUP(AI35,'נתוני מים 2014'!$C$2:$L$188,10,0)/1000,0)</f>
        <v>0</v>
      </c>
      <c r="AJ784" s="1">
        <f>+IFERROR(VLOOKUP(AJ35,'נתוני מים 2014'!$C$2:$L$188,10,0)/1000,0)</f>
        <v>0</v>
      </c>
      <c r="AK784" s="1">
        <f>+IFERROR(VLOOKUP(AK35,'נתוני מים 2014'!$C$2:$L$188,10,0)/1000,0)</f>
        <v>0</v>
      </c>
      <c r="AL784" s="1">
        <f>+IFERROR(VLOOKUP(AL35,'נתוני מים 2014'!$C$2:$L$188,10,0)/1000,0)</f>
        <v>0</v>
      </c>
      <c r="AM784" s="1">
        <f>+IFERROR(VLOOKUP(AM35,'נתוני מים 2014'!$C$2:$L$188,10,0)/1000,0)</f>
        <v>0</v>
      </c>
      <c r="AN784" s="1">
        <f>+IFERROR(VLOOKUP(AN35,'נתוני מים 2014'!$C$2:$L$188,10,0)/1000,0)</f>
        <v>0</v>
      </c>
      <c r="AO784" s="1">
        <f>+IFERROR(VLOOKUP(AO35,'נתוני מים 2014'!$C$2:$L$188,10,0)/1000,0)</f>
        <v>0</v>
      </c>
      <c r="AP784" s="1">
        <f>+IFERROR(VLOOKUP(AP35,'נתוני מים 2014'!$C$2:$L$188,10,0)/1000,0)</f>
        <v>0</v>
      </c>
      <c r="AQ784" s="1">
        <f>+IFERROR(VLOOKUP(AQ35,'נתוני מים 2014'!$C$2:$L$188,10,0)/1000,0)</f>
        <v>0</v>
      </c>
      <c r="AR784" s="1">
        <f>+IFERROR(VLOOKUP(AR35,'נתוני מים 2014'!$C$2:$L$188,10,0)/1000,0)</f>
        <v>0</v>
      </c>
      <c r="AS784" s="1">
        <f>+IFERROR(VLOOKUP(AS35,'נתוני מים 2014'!$C$2:$L$188,10,0)/1000,0)</f>
        <v>0</v>
      </c>
      <c r="AT784" s="1">
        <f>+IFERROR(VLOOKUP(AT35,'נתוני מים 2014'!$C$2:$L$188,10,0)/1000,0)</f>
        <v>0</v>
      </c>
      <c r="AU784" s="1">
        <f>+IFERROR(VLOOKUP(AU35,'נתוני מים 2014'!$C$2:$L$188,10,0)/1000,0)</f>
        <v>0</v>
      </c>
      <c r="AV784" s="1">
        <f>+IFERROR(VLOOKUP(AV35,'נתוני מים 2014'!$C$2:$L$188,10,0)/1000,0)</f>
        <v>0</v>
      </c>
      <c r="AW784" s="1">
        <f>+IFERROR(VLOOKUP(AW35,'נתוני מים 2014'!$C$2:$L$188,10,0)/1000,0)</f>
        <v>0</v>
      </c>
      <c r="AX784" s="1">
        <f>+IFERROR(VLOOKUP(AX35,'נתוני מים 2014'!$C$2:$L$188,10,0)/1000,0)</f>
        <v>0</v>
      </c>
      <c r="AY784" s="1">
        <f>+IFERROR(VLOOKUP(AY35,'נתוני מים 2014'!$C$2:$L$188,10,0)/1000,0)</f>
        <v>0</v>
      </c>
      <c r="AZ784" s="1">
        <f>+IFERROR(VLOOKUP(AZ35,'נתוני מים 2014'!$C$2:$L$188,10,0)/1000,0)</f>
        <v>0</v>
      </c>
      <c r="BA784" s="1">
        <f>+IFERROR(VLOOKUP(BA35,'נתוני מים 2014'!$C$2:$L$188,10,0)/1000,0)</f>
        <v>0</v>
      </c>
      <c r="BB784" s="1">
        <f>+IFERROR(VLOOKUP(BB35,'נתוני מים 2014'!$C$2:$L$188,10,0)/1000,0)</f>
        <v>0</v>
      </c>
      <c r="BC784" s="1">
        <f>+IFERROR(VLOOKUP(BC35,'נתוני מים 2014'!$C$2:$L$188,10,0)/1000,0)</f>
        <v>0</v>
      </c>
      <c r="BD784" s="1">
        <f>+IFERROR(VLOOKUP(BD35,'נתוני מים 2014'!$C$2:$L$188,10,0)/1000,0)</f>
        <v>0</v>
      </c>
      <c r="BE784" s="1">
        <f>+IFERROR(VLOOKUP(BE35,'נתוני מים 2014'!$C$2:$L$188,10,0)/1000,0)</f>
        <v>0</v>
      </c>
      <c r="BF784" s="1">
        <f>+IFERROR(VLOOKUP(BF35,'נתוני מים 2014'!$C$2:$L$188,10,0)/1000,0)</f>
        <v>0</v>
      </c>
    </row>
    <row r="785" spans="1:58" x14ac:dyDescent="0.2">
      <c r="B785" s="1">
        <v>29</v>
      </c>
      <c r="C785" s="1">
        <f>+IFERROR(VLOOKUP(C36,'נתוני מים 2014'!$C$2:$L$188,10,0)/1000,0)</f>
        <v>0</v>
      </c>
      <c r="D785" s="1">
        <f>+IFERROR(VLOOKUP(D36,'נתוני מים 2014'!$C$2:$L$188,10,0)/1000,0)</f>
        <v>0</v>
      </c>
      <c r="E785" s="1">
        <f>+IFERROR(VLOOKUP(E36,'נתוני מים 2014'!$C$2:$L$188,10,0)/1000,0)</f>
        <v>0</v>
      </c>
      <c r="F785" s="1">
        <f>+IFERROR(VLOOKUP(F36,'נתוני מים 2014'!$C$2:$L$188,10,0)/1000,0)</f>
        <v>0</v>
      </c>
      <c r="G785" s="1">
        <f>+IFERROR(VLOOKUP(G36,'נתוני מים 2014'!$C$2:$L$188,10,0)/1000,0)</f>
        <v>0</v>
      </c>
      <c r="H785" s="1">
        <f>+IFERROR(VLOOKUP(H36,'נתוני מים 2014'!$C$2:$L$188,10,0)/1000,0)</f>
        <v>0</v>
      </c>
      <c r="I785" s="1">
        <f>+IFERROR(VLOOKUP(I36,'נתוני מים 2014'!$C$2:$L$188,10,0)/1000,0)</f>
        <v>0</v>
      </c>
      <c r="J785" s="1">
        <f>+IFERROR(VLOOKUP(J36,'נתוני מים 2014'!$C$2:$L$188,10,0)/1000,0)</f>
        <v>0</v>
      </c>
      <c r="K785" s="1">
        <f>+IFERROR(VLOOKUP(K36,'נתוני מים 2014'!$C$2:$L$188,10,0)/1000,0)</f>
        <v>0</v>
      </c>
      <c r="L785" s="1">
        <f>+IFERROR(VLOOKUP(L36,'נתוני מים 2014'!$C$2:$L$188,10,0)/1000,0)</f>
        <v>0</v>
      </c>
      <c r="M785" s="1">
        <f>+IFERROR(VLOOKUP(M36,'נתוני מים 2014'!$C$2:$L$188,10,0)/1000,0)</f>
        <v>0</v>
      </c>
      <c r="N785" s="1">
        <f>+IFERROR(VLOOKUP(N36,'נתוני מים 2014'!$C$2:$L$188,10,0)/1000,0)</f>
        <v>0</v>
      </c>
      <c r="O785" s="1">
        <f>+IFERROR(VLOOKUP(O36,'נתוני מים 2014'!$C$2:$L$188,10,0)/1000,0)</f>
        <v>0</v>
      </c>
      <c r="P785" s="1">
        <f>+IFERROR(VLOOKUP(P36,'נתוני מים 2014'!$C$2:$L$188,10,0)/1000,0)</f>
        <v>0</v>
      </c>
      <c r="Q785" s="1">
        <f>+IFERROR(VLOOKUP(Q36,'נתוני מים 2014'!$C$2:$L$188,10,0)/1000,0)</f>
        <v>0</v>
      </c>
      <c r="R785" s="1">
        <f>+IFERROR(VLOOKUP(R36,'נתוני מים 2014'!$C$2:$L$188,10,0)/1000,0)</f>
        <v>0</v>
      </c>
      <c r="S785" s="1">
        <f>+IFERROR(VLOOKUP(S36,'נתוני מים 2014'!$C$2:$L$188,10,0)/1000,0)</f>
        <v>0</v>
      </c>
      <c r="T785" s="1">
        <f>+IFERROR(VLOOKUP(T36,'נתוני מים 2014'!$C$2:$L$188,10,0)/1000,0)</f>
        <v>0</v>
      </c>
      <c r="U785" s="1">
        <f>+IFERROR(VLOOKUP(U36,'נתוני מים 2014'!$C$2:$L$188,10,0)/1000,0)</f>
        <v>0</v>
      </c>
      <c r="V785" s="1">
        <f>+IFERROR(VLOOKUP(V36,'נתוני מים 2014'!$C$2:$L$188,10,0)/1000,0)</f>
        <v>0</v>
      </c>
      <c r="W785" s="1">
        <f>+IFERROR(VLOOKUP(W36,'נתוני מים 2014'!$C$2:$L$188,10,0)/1000,0)</f>
        <v>0</v>
      </c>
      <c r="X785" s="1">
        <f>+IFERROR(VLOOKUP(X36,'נתוני מים 2014'!$C$2:$L$188,10,0)/1000,0)</f>
        <v>0</v>
      </c>
      <c r="Y785" s="1">
        <f>+IFERROR(VLOOKUP(Y36,'נתוני מים 2014'!$C$2:$L$188,10,0)/1000,0)</f>
        <v>0</v>
      </c>
      <c r="Z785" s="1">
        <f>+IFERROR(VLOOKUP(Z36,'נתוני מים 2014'!$C$2:$L$188,10,0)/1000,0)</f>
        <v>0</v>
      </c>
      <c r="AA785" s="1">
        <f>+IFERROR(VLOOKUP(AA36,'נתוני מים 2014'!$C$2:$L$188,10,0)/1000,0)</f>
        <v>0</v>
      </c>
      <c r="AB785" s="1">
        <f>+IFERROR(VLOOKUP(AB36,'נתוני מים 2014'!$C$2:$L$188,10,0)/1000,0)</f>
        <v>0</v>
      </c>
      <c r="AC785" s="1">
        <f>+IFERROR(VLOOKUP(AC36,'נתוני מים 2014'!$C$2:$L$188,10,0)/1000,0)</f>
        <v>0</v>
      </c>
      <c r="AD785" s="1">
        <f>+IFERROR(VLOOKUP(AD36,'נתוני מים 2014'!$C$2:$L$188,10,0)/1000,0)</f>
        <v>0</v>
      </c>
      <c r="AE785" s="1">
        <f>+IFERROR(VLOOKUP(AE36,'נתוני מים 2014'!$C$2:$L$188,10,0)/1000,0)</f>
        <v>0</v>
      </c>
      <c r="AF785" s="1">
        <f>+IFERROR(VLOOKUP(AF36,'נתוני מים 2014'!$C$2:$L$188,10,0)/1000,0)</f>
        <v>0</v>
      </c>
      <c r="AG785" s="1">
        <f>+IFERROR(VLOOKUP(AG36,'נתוני מים 2014'!$C$2:$L$188,10,0)/1000,0)</f>
        <v>0</v>
      </c>
      <c r="AH785" s="1">
        <f>+IFERROR(VLOOKUP(AH36,'נתוני מים 2014'!$C$2:$L$188,10,0)/1000,0)</f>
        <v>0</v>
      </c>
      <c r="AI785" s="1">
        <f>+IFERROR(VLOOKUP(AI36,'נתוני מים 2014'!$C$2:$L$188,10,0)/1000,0)</f>
        <v>0</v>
      </c>
      <c r="AJ785" s="1">
        <f>+IFERROR(VLOOKUP(AJ36,'נתוני מים 2014'!$C$2:$L$188,10,0)/1000,0)</f>
        <v>0</v>
      </c>
      <c r="AK785" s="1">
        <f>+IFERROR(VLOOKUP(AK36,'נתוני מים 2014'!$C$2:$L$188,10,0)/1000,0)</f>
        <v>0</v>
      </c>
      <c r="AL785" s="1">
        <f>+IFERROR(VLOOKUP(AL36,'נתוני מים 2014'!$C$2:$L$188,10,0)/1000,0)</f>
        <v>0</v>
      </c>
      <c r="AM785" s="1">
        <f>+IFERROR(VLOOKUP(AM36,'נתוני מים 2014'!$C$2:$L$188,10,0)/1000,0)</f>
        <v>0</v>
      </c>
      <c r="AN785" s="1">
        <f>+IFERROR(VLOOKUP(AN36,'נתוני מים 2014'!$C$2:$L$188,10,0)/1000,0)</f>
        <v>0</v>
      </c>
      <c r="AO785" s="1">
        <f>+IFERROR(VLOOKUP(AO36,'נתוני מים 2014'!$C$2:$L$188,10,0)/1000,0)</f>
        <v>0</v>
      </c>
      <c r="AP785" s="1">
        <f>+IFERROR(VLOOKUP(AP36,'נתוני מים 2014'!$C$2:$L$188,10,0)/1000,0)</f>
        <v>0</v>
      </c>
      <c r="AQ785" s="1">
        <f>+IFERROR(VLOOKUP(AQ36,'נתוני מים 2014'!$C$2:$L$188,10,0)/1000,0)</f>
        <v>0</v>
      </c>
      <c r="AR785" s="1">
        <f>+IFERROR(VLOOKUP(AR36,'נתוני מים 2014'!$C$2:$L$188,10,0)/1000,0)</f>
        <v>0</v>
      </c>
      <c r="AS785" s="1">
        <f>+IFERROR(VLOOKUP(AS36,'נתוני מים 2014'!$C$2:$L$188,10,0)/1000,0)</f>
        <v>0</v>
      </c>
      <c r="AT785" s="1">
        <f>+IFERROR(VLOOKUP(AT36,'נתוני מים 2014'!$C$2:$L$188,10,0)/1000,0)</f>
        <v>0</v>
      </c>
      <c r="AU785" s="1">
        <f>+IFERROR(VLOOKUP(AU36,'נתוני מים 2014'!$C$2:$L$188,10,0)/1000,0)</f>
        <v>0</v>
      </c>
      <c r="AV785" s="1">
        <f>+IFERROR(VLOOKUP(AV36,'נתוני מים 2014'!$C$2:$L$188,10,0)/1000,0)</f>
        <v>0</v>
      </c>
      <c r="AW785" s="1">
        <f>+IFERROR(VLOOKUP(AW36,'נתוני מים 2014'!$C$2:$L$188,10,0)/1000,0)</f>
        <v>0</v>
      </c>
      <c r="AX785" s="1">
        <f>+IFERROR(VLOOKUP(AX36,'נתוני מים 2014'!$C$2:$L$188,10,0)/1000,0)</f>
        <v>0</v>
      </c>
      <c r="AY785" s="1">
        <f>+IFERROR(VLOOKUP(AY36,'נתוני מים 2014'!$C$2:$L$188,10,0)/1000,0)</f>
        <v>0</v>
      </c>
      <c r="AZ785" s="1">
        <f>+IFERROR(VLOOKUP(AZ36,'נתוני מים 2014'!$C$2:$L$188,10,0)/1000,0)</f>
        <v>0</v>
      </c>
      <c r="BA785" s="1">
        <f>+IFERROR(VLOOKUP(BA36,'נתוני מים 2014'!$C$2:$L$188,10,0)/1000,0)</f>
        <v>0</v>
      </c>
      <c r="BB785" s="1">
        <f>+IFERROR(VLOOKUP(BB36,'נתוני מים 2014'!$C$2:$L$188,10,0)/1000,0)</f>
        <v>0</v>
      </c>
      <c r="BC785" s="1">
        <f>+IFERROR(VLOOKUP(BC36,'נתוני מים 2014'!$C$2:$L$188,10,0)/1000,0)</f>
        <v>0</v>
      </c>
      <c r="BD785" s="1">
        <f>+IFERROR(VLOOKUP(BD36,'נתוני מים 2014'!$C$2:$L$188,10,0)/1000,0)</f>
        <v>0</v>
      </c>
      <c r="BE785" s="1">
        <f>+IFERROR(VLOOKUP(BE36,'נתוני מים 2014'!$C$2:$L$188,10,0)/1000,0)</f>
        <v>0</v>
      </c>
      <c r="BF785" s="1">
        <f>+IFERROR(VLOOKUP(BF36,'נתוני מים 2014'!$C$2:$L$188,10,0)/1000,0)</f>
        <v>0</v>
      </c>
    </row>
    <row r="786" spans="1:58" x14ac:dyDescent="0.2">
      <c r="B786" s="1">
        <v>30</v>
      </c>
      <c r="C786" s="1">
        <f>+IFERROR(VLOOKUP(C37,'נתוני מים 2014'!$C$2:$L$188,10,0)/1000,0)</f>
        <v>0</v>
      </c>
      <c r="D786" s="1">
        <f>+IFERROR(VLOOKUP(D37,'נתוני מים 2014'!$C$2:$L$188,10,0)/1000,0)</f>
        <v>0</v>
      </c>
      <c r="E786" s="1">
        <f>+IFERROR(VLOOKUP(E37,'נתוני מים 2014'!$C$2:$L$188,10,0)/1000,0)</f>
        <v>0</v>
      </c>
      <c r="F786" s="1">
        <f>+IFERROR(VLOOKUP(F37,'נתוני מים 2014'!$C$2:$L$188,10,0)/1000,0)</f>
        <v>0</v>
      </c>
      <c r="G786" s="1">
        <f>+IFERROR(VLOOKUP(G37,'נתוני מים 2014'!$C$2:$L$188,10,0)/1000,0)</f>
        <v>0</v>
      </c>
      <c r="H786" s="1">
        <f>+IFERROR(VLOOKUP(H37,'נתוני מים 2014'!$C$2:$L$188,10,0)/1000,0)</f>
        <v>0</v>
      </c>
      <c r="I786" s="1">
        <f>+IFERROR(VLOOKUP(I37,'נתוני מים 2014'!$C$2:$L$188,10,0)/1000,0)</f>
        <v>0</v>
      </c>
      <c r="J786" s="1">
        <f>+IFERROR(VLOOKUP(J37,'נתוני מים 2014'!$C$2:$L$188,10,0)/1000,0)</f>
        <v>0</v>
      </c>
      <c r="K786" s="1">
        <f>+IFERROR(VLOOKUP(K37,'נתוני מים 2014'!$C$2:$L$188,10,0)/1000,0)</f>
        <v>0</v>
      </c>
      <c r="L786" s="1">
        <f>+IFERROR(VLOOKUP(L37,'נתוני מים 2014'!$C$2:$L$188,10,0)/1000,0)</f>
        <v>0</v>
      </c>
      <c r="M786" s="1">
        <f>+IFERROR(VLOOKUP(M37,'נתוני מים 2014'!$C$2:$L$188,10,0)/1000,0)</f>
        <v>0</v>
      </c>
      <c r="N786" s="1">
        <f>+IFERROR(VLOOKUP(N37,'נתוני מים 2014'!$C$2:$L$188,10,0)/1000,0)</f>
        <v>0</v>
      </c>
      <c r="O786" s="1">
        <f>+IFERROR(VLOOKUP(O37,'נתוני מים 2014'!$C$2:$L$188,10,0)/1000,0)</f>
        <v>0</v>
      </c>
      <c r="P786" s="1">
        <f>+IFERROR(VLOOKUP(P37,'נתוני מים 2014'!$C$2:$L$188,10,0)/1000,0)</f>
        <v>0</v>
      </c>
      <c r="Q786" s="1">
        <f>+IFERROR(VLOOKUP(Q37,'נתוני מים 2014'!$C$2:$L$188,10,0)/1000,0)</f>
        <v>0</v>
      </c>
      <c r="R786" s="1">
        <f>+IFERROR(VLOOKUP(R37,'נתוני מים 2014'!$C$2:$L$188,10,0)/1000,0)</f>
        <v>0</v>
      </c>
      <c r="S786" s="1">
        <f>+IFERROR(VLOOKUP(S37,'נתוני מים 2014'!$C$2:$L$188,10,0)/1000,0)</f>
        <v>0</v>
      </c>
      <c r="T786" s="1">
        <f>+IFERROR(VLOOKUP(T37,'נתוני מים 2014'!$C$2:$L$188,10,0)/1000,0)</f>
        <v>0</v>
      </c>
      <c r="U786" s="1">
        <f>+IFERROR(VLOOKUP(U37,'נתוני מים 2014'!$C$2:$L$188,10,0)/1000,0)</f>
        <v>0</v>
      </c>
      <c r="V786" s="1">
        <f>+IFERROR(VLOOKUP(V37,'נתוני מים 2014'!$C$2:$L$188,10,0)/1000,0)</f>
        <v>0</v>
      </c>
      <c r="W786" s="1">
        <f>+IFERROR(VLOOKUP(W37,'נתוני מים 2014'!$C$2:$L$188,10,0)/1000,0)</f>
        <v>0</v>
      </c>
      <c r="X786" s="1">
        <f>+IFERROR(VLOOKUP(X37,'נתוני מים 2014'!$C$2:$L$188,10,0)/1000,0)</f>
        <v>0</v>
      </c>
      <c r="Y786" s="1">
        <f>+IFERROR(VLOOKUP(Y37,'נתוני מים 2014'!$C$2:$L$188,10,0)/1000,0)</f>
        <v>0</v>
      </c>
      <c r="Z786" s="1">
        <f>+IFERROR(VLOOKUP(Z37,'נתוני מים 2014'!$C$2:$L$188,10,0)/1000,0)</f>
        <v>0</v>
      </c>
      <c r="AA786" s="1">
        <f>+IFERROR(VLOOKUP(AA37,'נתוני מים 2014'!$C$2:$L$188,10,0)/1000,0)</f>
        <v>0</v>
      </c>
      <c r="AB786" s="1">
        <f>+IFERROR(VLOOKUP(AB37,'נתוני מים 2014'!$C$2:$L$188,10,0)/1000,0)</f>
        <v>0</v>
      </c>
      <c r="AC786" s="1">
        <f>+IFERROR(VLOOKUP(AC37,'נתוני מים 2014'!$C$2:$L$188,10,0)/1000,0)</f>
        <v>0</v>
      </c>
      <c r="AD786" s="1">
        <f>+IFERROR(VLOOKUP(AD37,'נתוני מים 2014'!$C$2:$L$188,10,0)/1000,0)</f>
        <v>0</v>
      </c>
      <c r="AE786" s="1">
        <f>+IFERROR(VLOOKUP(AE37,'נתוני מים 2014'!$C$2:$L$188,10,0)/1000,0)</f>
        <v>0</v>
      </c>
      <c r="AF786" s="1">
        <f>+IFERROR(VLOOKUP(AF37,'נתוני מים 2014'!$C$2:$L$188,10,0)/1000,0)</f>
        <v>0</v>
      </c>
      <c r="AG786" s="1">
        <f>+IFERROR(VLOOKUP(AG37,'נתוני מים 2014'!$C$2:$L$188,10,0)/1000,0)</f>
        <v>0</v>
      </c>
      <c r="AH786" s="1">
        <f>+IFERROR(VLOOKUP(AH37,'נתוני מים 2014'!$C$2:$L$188,10,0)/1000,0)</f>
        <v>0</v>
      </c>
      <c r="AI786" s="1">
        <f>+IFERROR(VLOOKUP(AI37,'נתוני מים 2014'!$C$2:$L$188,10,0)/1000,0)</f>
        <v>0</v>
      </c>
      <c r="AJ786" s="1">
        <f>+IFERROR(VLOOKUP(AJ37,'נתוני מים 2014'!$C$2:$L$188,10,0)/1000,0)</f>
        <v>0</v>
      </c>
      <c r="AK786" s="1">
        <f>+IFERROR(VLOOKUP(AK37,'נתוני מים 2014'!$C$2:$L$188,10,0)/1000,0)</f>
        <v>0</v>
      </c>
      <c r="AL786" s="1">
        <f>+IFERROR(VLOOKUP(AL37,'נתוני מים 2014'!$C$2:$L$188,10,0)/1000,0)</f>
        <v>0</v>
      </c>
      <c r="AM786" s="1">
        <f>+IFERROR(VLOOKUP(AM37,'נתוני מים 2014'!$C$2:$L$188,10,0)/1000,0)</f>
        <v>0</v>
      </c>
      <c r="AN786" s="1">
        <f>+IFERROR(VLOOKUP(AN37,'נתוני מים 2014'!$C$2:$L$188,10,0)/1000,0)</f>
        <v>0</v>
      </c>
      <c r="AO786" s="1">
        <f>+IFERROR(VLOOKUP(AO37,'נתוני מים 2014'!$C$2:$L$188,10,0)/1000,0)</f>
        <v>0</v>
      </c>
      <c r="AP786" s="1">
        <f>+IFERROR(VLOOKUP(AP37,'נתוני מים 2014'!$C$2:$L$188,10,0)/1000,0)</f>
        <v>0</v>
      </c>
      <c r="AQ786" s="1">
        <f>+IFERROR(VLOOKUP(AQ37,'נתוני מים 2014'!$C$2:$L$188,10,0)/1000,0)</f>
        <v>0</v>
      </c>
      <c r="AR786" s="1">
        <f>+IFERROR(VLOOKUP(AR37,'נתוני מים 2014'!$C$2:$L$188,10,0)/1000,0)</f>
        <v>0</v>
      </c>
      <c r="AS786" s="1">
        <f>+IFERROR(VLOOKUP(AS37,'נתוני מים 2014'!$C$2:$L$188,10,0)/1000,0)</f>
        <v>0</v>
      </c>
      <c r="AT786" s="1">
        <f>+IFERROR(VLOOKUP(AT37,'נתוני מים 2014'!$C$2:$L$188,10,0)/1000,0)</f>
        <v>0</v>
      </c>
      <c r="AU786" s="1">
        <f>+IFERROR(VLOOKUP(AU37,'נתוני מים 2014'!$C$2:$L$188,10,0)/1000,0)</f>
        <v>0</v>
      </c>
      <c r="AV786" s="1">
        <f>+IFERROR(VLOOKUP(AV37,'נתוני מים 2014'!$C$2:$L$188,10,0)/1000,0)</f>
        <v>0</v>
      </c>
      <c r="AW786" s="1">
        <f>+IFERROR(VLOOKUP(AW37,'נתוני מים 2014'!$C$2:$L$188,10,0)/1000,0)</f>
        <v>0</v>
      </c>
      <c r="AX786" s="1">
        <f>+IFERROR(VLOOKUP(AX37,'נתוני מים 2014'!$C$2:$L$188,10,0)/1000,0)</f>
        <v>0</v>
      </c>
      <c r="AY786" s="1">
        <f>+IFERROR(VLOOKUP(AY37,'נתוני מים 2014'!$C$2:$L$188,10,0)/1000,0)</f>
        <v>0</v>
      </c>
      <c r="AZ786" s="1">
        <f>+IFERROR(VLOOKUP(AZ37,'נתוני מים 2014'!$C$2:$L$188,10,0)/1000,0)</f>
        <v>0</v>
      </c>
      <c r="BA786" s="1">
        <f>+IFERROR(VLOOKUP(BA37,'נתוני מים 2014'!$C$2:$L$188,10,0)/1000,0)</f>
        <v>0</v>
      </c>
      <c r="BB786" s="1">
        <f>+IFERROR(VLOOKUP(BB37,'נתוני מים 2014'!$C$2:$L$188,10,0)/1000,0)</f>
        <v>0</v>
      </c>
      <c r="BC786" s="1">
        <f>+IFERROR(VLOOKUP(BC37,'נתוני מים 2014'!$C$2:$L$188,10,0)/1000,0)</f>
        <v>0</v>
      </c>
      <c r="BD786" s="1">
        <f>+IFERROR(VLOOKUP(BD37,'נתוני מים 2014'!$C$2:$L$188,10,0)/1000,0)</f>
        <v>0</v>
      </c>
      <c r="BE786" s="1">
        <f>+IFERROR(VLOOKUP(BE37,'נתוני מים 2014'!$C$2:$L$188,10,0)/1000,0)</f>
        <v>0</v>
      </c>
      <c r="BF786" s="1">
        <f>+IFERROR(VLOOKUP(BF37,'נתוני מים 2014'!$C$2:$L$188,10,0)/1000,0)</f>
        <v>0</v>
      </c>
    </row>
    <row r="788" spans="1:58" x14ac:dyDescent="0.2">
      <c r="A788" s="1228" t="s">
        <v>1570</v>
      </c>
      <c r="C788" s="1">
        <f>SUM(C757:C787)</f>
        <v>1297.576</v>
      </c>
      <c r="D788" s="1">
        <f t="shared" ref="D788:BF788" si="198">SUM(D757:D787)</f>
        <v>479.23500000000001</v>
      </c>
      <c r="E788" s="1">
        <f t="shared" si="198"/>
        <v>1401.3989999999999</v>
      </c>
      <c r="F788" s="1">
        <f t="shared" si="198"/>
        <v>145.14000000000001</v>
      </c>
      <c r="G788" s="1">
        <f t="shared" si="198"/>
        <v>418.471</v>
      </c>
      <c r="H788" s="1">
        <f t="shared" si="198"/>
        <v>7456.0709999999999</v>
      </c>
      <c r="I788" s="1">
        <f t="shared" si="198"/>
        <v>925.30499999999995</v>
      </c>
      <c r="J788" s="1">
        <f t="shared" si="198"/>
        <v>577.06700000000001</v>
      </c>
      <c r="K788" s="1">
        <f t="shared" si="198"/>
        <v>1298.067</v>
      </c>
      <c r="L788" s="1">
        <f t="shared" si="198"/>
        <v>475.14599999999996</v>
      </c>
      <c r="M788" s="1">
        <f t="shared" si="198"/>
        <v>1104.731</v>
      </c>
      <c r="N788" s="1">
        <f t="shared" si="198"/>
        <v>1866.306</v>
      </c>
      <c r="O788" s="1">
        <f t="shared" si="198"/>
        <v>2011.0219999999999</v>
      </c>
      <c r="P788" s="1">
        <f t="shared" si="198"/>
        <v>1506.0509999999997</v>
      </c>
      <c r="Q788" s="1">
        <f t="shared" si="198"/>
        <v>335.06299999999999</v>
      </c>
      <c r="R788" s="1">
        <f t="shared" si="198"/>
        <v>262.89800000000002</v>
      </c>
      <c r="S788" s="1">
        <f t="shared" si="198"/>
        <v>895.89</v>
      </c>
      <c r="T788" s="1">
        <f t="shared" si="198"/>
        <v>956.17199999999991</v>
      </c>
      <c r="U788" s="1">
        <f t="shared" si="198"/>
        <v>798.68799999999999</v>
      </c>
      <c r="V788" s="1">
        <f t="shared" si="198"/>
        <v>848.80000000000007</v>
      </c>
      <c r="W788" s="1">
        <f t="shared" si="198"/>
        <v>1749.7069999999999</v>
      </c>
      <c r="X788" s="1">
        <f t="shared" si="198"/>
        <v>2095.752</v>
      </c>
      <c r="Y788" s="1">
        <f t="shared" si="198"/>
        <v>316.44199999999995</v>
      </c>
      <c r="Z788" s="1">
        <f t="shared" si="198"/>
        <v>248.14599999999999</v>
      </c>
      <c r="AA788" s="1">
        <f t="shared" si="198"/>
        <v>450.892</v>
      </c>
      <c r="AB788" s="1">
        <f t="shared" si="198"/>
        <v>238.19399999999999</v>
      </c>
      <c r="AC788" s="1">
        <f t="shared" si="198"/>
        <v>482.62400000000002</v>
      </c>
      <c r="AD788" s="1">
        <f t="shared" si="198"/>
        <v>200.80600000000001</v>
      </c>
      <c r="AE788" s="1">
        <f t="shared" si="198"/>
        <v>2352.4609999999998</v>
      </c>
      <c r="AF788" s="1">
        <f t="shared" si="198"/>
        <v>518.38400000000001</v>
      </c>
      <c r="AG788" s="1">
        <f t="shared" si="198"/>
        <v>179.75399999999999</v>
      </c>
      <c r="AH788" s="1">
        <f t="shared" si="198"/>
        <v>427.92500000000001</v>
      </c>
      <c r="AI788" s="1">
        <f t="shared" si="198"/>
        <v>386.07400000000001</v>
      </c>
      <c r="AJ788" s="1">
        <f t="shared" si="198"/>
        <v>213.774</v>
      </c>
      <c r="AK788" s="1">
        <f t="shared" si="198"/>
        <v>203.762</v>
      </c>
      <c r="AL788" s="1">
        <f t="shared" si="198"/>
        <v>4092.788</v>
      </c>
      <c r="AM788" s="1">
        <f t="shared" si="198"/>
        <v>608.029</v>
      </c>
      <c r="AN788" s="1">
        <f t="shared" si="198"/>
        <v>2703.2180000000003</v>
      </c>
      <c r="AO788" s="1">
        <f t="shared" si="198"/>
        <v>398.73200000000003</v>
      </c>
      <c r="AP788" s="1">
        <f t="shared" si="198"/>
        <v>79.576999999999998</v>
      </c>
      <c r="AQ788" s="1">
        <f t="shared" si="198"/>
        <v>1008.944</v>
      </c>
      <c r="AR788" s="1">
        <f t="shared" si="198"/>
        <v>569.71400000000006</v>
      </c>
      <c r="AS788" s="1">
        <f t="shared" si="198"/>
        <v>1855.0150000000001</v>
      </c>
      <c r="AT788" s="1">
        <f t="shared" si="198"/>
        <v>763.15300000000002</v>
      </c>
      <c r="AU788" s="1">
        <f t="shared" si="198"/>
        <v>353.79</v>
      </c>
      <c r="AV788" s="1">
        <f t="shared" si="198"/>
        <v>1873.585</v>
      </c>
      <c r="AW788" s="1">
        <f t="shared" si="198"/>
        <v>153.274</v>
      </c>
      <c r="AX788" s="1">
        <f t="shared" si="198"/>
        <v>1673.1659999999999</v>
      </c>
      <c r="AY788" s="1">
        <f t="shared" si="198"/>
        <v>549.96400000000006</v>
      </c>
      <c r="AZ788" s="1">
        <f t="shared" si="198"/>
        <v>631.13900000000001</v>
      </c>
      <c r="BA788" s="1">
        <f t="shared" si="198"/>
        <v>563.81700000000001</v>
      </c>
      <c r="BB788" s="1">
        <f t="shared" si="198"/>
        <v>1456.365</v>
      </c>
      <c r="BC788" s="1">
        <f t="shared" si="198"/>
        <v>1726.338</v>
      </c>
      <c r="BD788" s="1">
        <f t="shared" si="198"/>
        <v>83.075000000000003</v>
      </c>
      <c r="BE788" s="1">
        <f t="shared" si="198"/>
        <v>17.157</v>
      </c>
      <c r="BF788" s="1">
        <f t="shared" si="198"/>
        <v>667.06600000000003</v>
      </c>
    </row>
    <row r="791" spans="1:58" x14ac:dyDescent="0.2">
      <c r="A791" s="1228" t="s">
        <v>805</v>
      </c>
      <c r="B791" s="1">
        <v>1</v>
      </c>
      <c r="C791" s="1">
        <f>+IFERROR(VLOOKUP(C8,'נתוני מים 2014'!$C$2:$L$188,6,0)/1000,0)</f>
        <v>11979.141</v>
      </c>
      <c r="D791" s="1">
        <f>+IFERROR(VLOOKUP(D8,'נתוני מים 2014'!$C$2:$L$188,6,0)/1000,0)</f>
        <v>1208.3589999999999</v>
      </c>
      <c r="E791" s="1">
        <f>+IFERROR(VLOOKUP(E8,'נתוני מים 2014'!$C$2:$L$188,6,0)/1000,0)</f>
        <v>10506.584999999999</v>
      </c>
      <c r="F791" s="1">
        <f>+IFERROR(VLOOKUP(F8,'נתוני מים 2014'!$C$2:$L$188,6,0)/1000,0)</f>
        <v>792.43</v>
      </c>
      <c r="G791" s="1">
        <f>+IFERROR(VLOOKUP(G8,'נתוני מים 2014'!$C$2:$L$188,6,0)/1000,0)</f>
        <v>4543.1109999999999</v>
      </c>
      <c r="H791" s="1">
        <f>+IFERROR(VLOOKUP(H8,'נתוני מים 2014'!$C$2:$L$188,6,0)/1000,0)</f>
        <v>31342.717000000001</v>
      </c>
      <c r="I791" s="1">
        <f>+IFERROR(VLOOKUP(I8,'נתוני מים 2014'!$C$2:$L$188,6,0)/1000,0)</f>
        <v>12981.391</v>
      </c>
      <c r="J791" s="1">
        <f>+IFERROR(VLOOKUP(J8,'נתוני מים 2014'!$C$2:$L$188,6,0)/1000,0)</f>
        <v>3759.74</v>
      </c>
      <c r="K791" s="1">
        <f>+IFERROR(VLOOKUP(K8,'נתוני מים 2014'!$C$2:$L$188,6,0)/1000,0)</f>
        <v>1902.7249999999999</v>
      </c>
      <c r="L791" s="1">
        <f>+IFERROR(VLOOKUP(L8,'נתוני מים 2014'!$C$2:$L$188,6,0)/1000,0)</f>
        <v>2147.6680000000001</v>
      </c>
      <c r="M791" s="1">
        <f>+IFERROR(VLOOKUP(M8,'נתוני מים 2014'!$C$2:$L$188,6,0)/1000,0)</f>
        <v>10176.243</v>
      </c>
      <c r="N791" s="1">
        <f>+IFERROR(VLOOKUP(N8,'נתוני מים 2014'!$C$2:$L$188,6,0)/1000,0)</f>
        <v>10859.128000000001</v>
      </c>
      <c r="O791" s="1">
        <f>+IFERROR(VLOOKUP(O8,'נתוני מים 2014'!$C$2:$L$188,6,0)/1000,0)</f>
        <v>9966.5669999999991</v>
      </c>
      <c r="P791" s="1">
        <f>+IFERROR(VLOOKUP(P8,'נתוני מים 2014'!$C$2:$L$188,6,0)/1000,0)</f>
        <v>1508.722</v>
      </c>
      <c r="Q791" s="1">
        <f>+IFERROR(VLOOKUP(Q8,'נתוני מים 2014'!$C$2:$L$188,6,0)/1000,0)</f>
        <v>7385.174</v>
      </c>
      <c r="R791" s="1">
        <f>+IFERROR(VLOOKUP(R8,'נתוני מים 2014'!$C$2:$L$188,6,0)/1000,0)</f>
        <v>2542.6840000000002</v>
      </c>
      <c r="S791" s="1">
        <f>+IFERROR(VLOOKUP(S8,'נתוני מים 2014'!$C$2:$L$188,6,0)/1000,0)</f>
        <v>3351.3409999999999</v>
      </c>
      <c r="T791" s="1">
        <f>+IFERROR(VLOOKUP(T8,'נתוני מים 2014'!$C$2:$L$188,6,0)/1000,0)</f>
        <v>3186.1869999999999</v>
      </c>
      <c r="U791" s="1">
        <f>+IFERROR(VLOOKUP(U8,'נתוני מים 2014'!$C$2:$L$188,6,0)/1000,0)</f>
        <v>4647.0290000000005</v>
      </c>
      <c r="V791" s="1">
        <f>+IFERROR(VLOOKUP(V8,'נתוני מים 2014'!$C$2:$L$188,6,0)/1000,0)</f>
        <v>889.4</v>
      </c>
      <c r="W791" s="1">
        <f>+IFERROR(VLOOKUP(W8,'נתוני מים 2014'!$C$2:$L$188,6,0)/1000,0)</f>
        <v>2223.5940000000001</v>
      </c>
      <c r="X791" s="1">
        <f>+IFERROR(VLOOKUP(X8,'נתוני מים 2014'!$C$2:$L$188,6,0)/1000,0)</f>
        <v>3258.4189999999999</v>
      </c>
      <c r="Y791" s="1">
        <f>+IFERROR(VLOOKUP(Y8,'נתוני מים 2014'!$C$2:$L$188,6,0)/1000,0)</f>
        <v>955.096</v>
      </c>
      <c r="Z791" s="1">
        <f>+IFERROR(VLOOKUP(Z8,'נתוני מים 2014'!$C$2:$L$188,6,0)/1000,0)</f>
        <v>2735.971</v>
      </c>
      <c r="AA791" s="1">
        <f>+IFERROR(VLOOKUP(AA8,'נתוני מים 2014'!$C$2:$L$188,6,0)/1000,0)</f>
        <v>4159.3819999999996</v>
      </c>
      <c r="AB791" s="1">
        <f>+IFERROR(VLOOKUP(AB8,'נתוני מים 2014'!$C$2:$L$188,6,0)/1000,0)</f>
        <v>2314.6909999999998</v>
      </c>
      <c r="AC791" s="1">
        <f>+IFERROR(VLOOKUP(AC8,'נתוני מים 2014'!$C$2:$L$188,6,0)/1000,0)</f>
        <v>7016.8329999999996</v>
      </c>
      <c r="AD791" s="1">
        <f>+IFERROR(VLOOKUP(AD8,'נתוני מים 2014'!$C$2:$L$188,6,0)/1000,0)</f>
        <v>3271.636</v>
      </c>
      <c r="AE791" s="1">
        <f>+IFERROR(VLOOKUP(AE8,'נתוני מים 2014'!$C$2:$L$188,6,0)/1000,0)</f>
        <v>12027.992</v>
      </c>
      <c r="AF791" s="1">
        <f>+IFERROR(VLOOKUP(AF8,'נתוני מים 2014'!$C$2:$L$188,6,0)/1000,0)</f>
        <v>2162.5720000000001</v>
      </c>
      <c r="AG791" s="1">
        <f>+IFERROR(VLOOKUP(AG8,'נתוני מים 2014'!$C$2:$L$188,6,0)/1000,0)</f>
        <v>2091.6770000000001</v>
      </c>
      <c r="AH791" s="1">
        <f>+IFERROR(VLOOKUP(AH8,'נתוני מים 2014'!$C$2:$L$188,6,0)/1000,0)</f>
        <v>2339.6489999999999</v>
      </c>
      <c r="AI791" s="1">
        <f>+IFERROR(VLOOKUP(AI8,'נתוני מים 2014'!$C$2:$L$188,6,0)/1000,0)</f>
        <v>2530.5540000000001</v>
      </c>
      <c r="AJ791" s="1">
        <f>+IFERROR(VLOOKUP(AJ8,'נתוני מים 2014'!$C$2:$L$188,6,0)/1000,0)</f>
        <v>1997.596</v>
      </c>
      <c r="AK791" s="1">
        <f>+IFERROR(VLOOKUP(AK8,'נתוני מים 2014'!$C$2:$L$188,6,0)/1000,0)</f>
        <v>1976.7729999999999</v>
      </c>
      <c r="AL791" s="1">
        <f>+IFERROR(VLOOKUP(AL8,'נתוני מים 2014'!$C$2:$L$188,6,0)/1000,0)</f>
        <v>27144.655999999999</v>
      </c>
      <c r="AM791" s="1">
        <f>+IFERROR(VLOOKUP(AM8,'נתוני מים 2014'!$C$2:$L$188,6,0)/1000,0)</f>
        <v>923.90800000000002</v>
      </c>
      <c r="AN791" s="1">
        <f>+IFERROR(VLOOKUP(AN8,'נתוני מים 2014'!$C$2:$L$188,6,0)/1000,0)</f>
        <v>446.44099999999997</v>
      </c>
      <c r="AO791" s="1">
        <f>+IFERROR(VLOOKUP(AO8,'נתוני מים 2014'!$C$2:$L$188,6,0)/1000,0)</f>
        <v>8643.15</v>
      </c>
      <c r="AP791" s="1">
        <f>+IFERROR(VLOOKUP(AP8,'נתוני מים 2014'!$C$2:$L$188,6,0)/1000,0)</f>
        <v>3089.4780000000001</v>
      </c>
      <c r="AQ791" s="1">
        <f>+IFERROR(VLOOKUP(AQ8,'נתוני מים 2014'!$C$2:$L$188,6,0)/1000,0)</f>
        <v>6391.0119999999997</v>
      </c>
      <c r="AR791" s="1">
        <f>+IFERROR(VLOOKUP(AR8,'נתוני מים 2014'!$C$2:$L$188,6,0)/1000,0)</f>
        <v>2200.8490000000002</v>
      </c>
      <c r="AS791" s="1">
        <f>+IFERROR(VLOOKUP(AS8,'נתוני מים 2014'!$C$2:$L$188,6,0)/1000,0)</f>
        <v>1936.4860000000001</v>
      </c>
      <c r="AT791" s="1">
        <f>+IFERROR(VLOOKUP(AT8,'נתוני מים 2014'!$C$2:$L$188,6,0)/1000,0)</f>
        <v>3804.076</v>
      </c>
      <c r="AU791" s="1">
        <f>+IFERROR(VLOOKUP(AU8,'נתוני מים 2014'!$C$2:$L$188,6,0)/1000,0)</f>
        <v>3181.029</v>
      </c>
      <c r="AV791" s="1">
        <f>+IFERROR(VLOOKUP(AV8,'נתוני מים 2014'!$C$2:$L$188,6,0)/1000,0)</f>
        <v>6495.0450000000001</v>
      </c>
      <c r="AW791" s="1">
        <f>+IFERROR(VLOOKUP(AW8,'נתוני מים 2014'!$C$2:$L$188,6,0)/1000,0)</f>
        <v>2126.3539999999998</v>
      </c>
      <c r="AX791" s="1">
        <f>+IFERROR(VLOOKUP(AX8,'נתוני מים 2014'!$C$2:$L$188,6,0)/1000,0)</f>
        <v>0</v>
      </c>
      <c r="AY791" s="1">
        <f>+IFERROR(VLOOKUP(AY8,'נתוני מים 2014'!$C$2:$L$188,6,0)/1000,0)</f>
        <v>1816.7049999999999</v>
      </c>
      <c r="AZ791" s="1">
        <f>+IFERROR(VLOOKUP(AZ8,'נתוני מים 2014'!$C$2:$L$188,6,0)/1000,0)</f>
        <v>1048.297</v>
      </c>
      <c r="BA791" s="1">
        <f>+IFERROR(VLOOKUP(BA8,'נתוני מים 2014'!$C$2:$L$188,6,0)/1000,0)</f>
        <v>1727.3510000000001</v>
      </c>
      <c r="BB791" s="1">
        <f>+IFERROR(VLOOKUP(BB8,'נתוני מים 2014'!$C$2:$L$188,6,0)/1000,0)</f>
        <v>641.90300000000002</v>
      </c>
      <c r="BC791" s="1">
        <f>+IFERROR(VLOOKUP(BC8,'נתוני מים 2014'!$C$2:$L$188,6,0)/1000,0)</f>
        <v>472.22800000000001</v>
      </c>
      <c r="BD791" s="1">
        <f>+IFERROR(VLOOKUP(BD8,'נתוני מים 2014'!$C$2:$L$188,6,0)/1000,0)</f>
        <v>0</v>
      </c>
      <c r="BE791" s="1">
        <f>+IFERROR(VLOOKUP(BE8,'נתוני מים 2014'!$C$2:$L$188,6,0)/1000,0)</f>
        <v>931.44500000000005</v>
      </c>
      <c r="BF791" s="1">
        <f>+IFERROR(VLOOKUP(BF8,'נתוני מים 2014'!$C$2:$L$188,6,0)/1000,0)</f>
        <v>6870.5709999999999</v>
      </c>
    </row>
    <row r="792" spans="1:58" x14ac:dyDescent="0.2">
      <c r="B792" s="1">
        <v>2</v>
      </c>
      <c r="C792" s="1">
        <f>+IFERROR(VLOOKUP(C9,'נתוני מים 2014'!$C$2:$L$188,6,0)/1000,0)</f>
        <v>1539.51</v>
      </c>
      <c r="D792" s="1">
        <f>+IFERROR(VLOOKUP(D9,'נתוני מים 2014'!$C$2:$L$188,6,0)/1000,0)</f>
        <v>119.554</v>
      </c>
      <c r="E792" s="1">
        <f>+IFERROR(VLOOKUP(E9,'נתוני מים 2014'!$C$2:$L$188,6,0)/1000,0)</f>
        <v>0</v>
      </c>
      <c r="F792" s="1">
        <f>+IFERROR(VLOOKUP(F9,'נתוני מים 2014'!$C$2:$L$188,6,0)/1000,0)</f>
        <v>329.49599999999998</v>
      </c>
      <c r="G792" s="1">
        <f>+IFERROR(VLOOKUP(G9,'נתוני מים 2014'!$C$2:$L$188,6,0)/1000,0)</f>
        <v>0</v>
      </c>
      <c r="H792" s="1">
        <f>+IFERROR(VLOOKUP(H9,'נתוני מים 2014'!$C$2:$L$188,6,0)/1000,0)</f>
        <v>284.98099999999999</v>
      </c>
      <c r="I792" s="1">
        <f>+IFERROR(VLOOKUP(I9,'נתוני מים 2014'!$C$2:$L$188,6,0)/1000,0)</f>
        <v>0</v>
      </c>
      <c r="J792" s="1">
        <f>+IFERROR(VLOOKUP(J9,'נתוני מים 2014'!$C$2:$L$188,6,0)/1000,0)</f>
        <v>0</v>
      </c>
      <c r="K792" s="1">
        <f>+IFERROR(VLOOKUP(K9,'נתוני מים 2014'!$C$2:$L$188,6,0)/1000,0)</f>
        <v>1141.519</v>
      </c>
      <c r="L792" s="1">
        <f>+IFERROR(VLOOKUP(L9,'נתוני מים 2014'!$C$2:$L$188,6,0)/1000,0)</f>
        <v>143.41800000000001</v>
      </c>
      <c r="M792" s="1">
        <f>+IFERROR(VLOOKUP(M9,'נתוני מים 2014'!$C$2:$L$188,6,0)/1000,0)</f>
        <v>0</v>
      </c>
      <c r="N792" s="1">
        <f>+IFERROR(VLOOKUP(N9,'נתוני מים 2014'!$C$2:$L$188,6,0)/1000,0)</f>
        <v>1165.2529999999999</v>
      </c>
      <c r="O792" s="1">
        <f>+IFERROR(VLOOKUP(O9,'נתוני מים 2014'!$C$2:$L$188,6,0)/1000,0)</f>
        <v>733.38199999999995</v>
      </c>
      <c r="P792" s="1">
        <f>+IFERROR(VLOOKUP(P9,'נתוני מים 2014'!$C$2:$L$188,6,0)/1000,0)</f>
        <v>467.41399999999999</v>
      </c>
      <c r="Q792" s="1">
        <f>+IFERROR(VLOOKUP(Q9,'נתוני מים 2014'!$C$2:$L$188,6,0)/1000,0)</f>
        <v>0</v>
      </c>
      <c r="R792" s="1">
        <f>+IFERROR(VLOOKUP(R9,'נתוני מים 2014'!$C$2:$L$188,6,0)/1000,0)</f>
        <v>598.97699999999998</v>
      </c>
      <c r="S792" s="1">
        <f>+IFERROR(VLOOKUP(S9,'נתוני מים 2014'!$C$2:$L$188,6,0)/1000,0)</f>
        <v>0</v>
      </c>
      <c r="T792" s="1">
        <f>+IFERROR(VLOOKUP(T9,'נתוני מים 2014'!$C$2:$L$188,6,0)/1000,0)</f>
        <v>1192.1959999999999</v>
      </c>
      <c r="U792" s="1">
        <f>+IFERROR(VLOOKUP(U9,'נתוני מים 2014'!$C$2:$L$188,6,0)/1000,0)</f>
        <v>0</v>
      </c>
      <c r="V792" s="1">
        <f>+IFERROR(VLOOKUP(V9,'נתוני מים 2014'!$C$2:$L$188,6,0)/1000,0)</f>
        <v>587.62699999999995</v>
      </c>
      <c r="W792" s="1">
        <f>+IFERROR(VLOOKUP(W9,'נתוני מים 2014'!$C$2:$L$188,6,0)/1000,0)</f>
        <v>331.916</v>
      </c>
      <c r="X792" s="1">
        <f>+IFERROR(VLOOKUP(X9,'נתוני מים 2014'!$C$2:$L$188,6,0)/1000,0)</f>
        <v>814.69600000000003</v>
      </c>
      <c r="Y792" s="1">
        <f>+IFERROR(VLOOKUP(Y9,'נתוני מים 2014'!$C$2:$L$188,6,0)/1000,0)</f>
        <v>310.02199999999999</v>
      </c>
      <c r="Z792" s="1">
        <f>+IFERROR(VLOOKUP(Z9,'נתוני מים 2014'!$C$2:$L$188,6,0)/1000,0)</f>
        <v>0</v>
      </c>
      <c r="AA792" s="1">
        <f>+IFERROR(VLOOKUP(AA9,'נתוני מים 2014'!$C$2:$L$188,6,0)/1000,0)</f>
        <v>0</v>
      </c>
      <c r="AB792" s="1">
        <f>+IFERROR(VLOOKUP(AB9,'נתוני מים 2014'!$C$2:$L$188,6,0)/1000,0)</f>
        <v>0</v>
      </c>
      <c r="AC792" s="1">
        <f>+IFERROR(VLOOKUP(AC9,'נתוני מים 2014'!$C$2:$L$188,6,0)/1000,0)</f>
        <v>0</v>
      </c>
      <c r="AD792" s="1">
        <f>+IFERROR(VLOOKUP(AD9,'נתוני מים 2014'!$C$2:$L$188,6,0)/1000,0)</f>
        <v>0</v>
      </c>
      <c r="AE792" s="1">
        <f>+IFERROR(VLOOKUP(AE9,'נתוני מים 2014'!$C$2:$L$188,6,0)/1000,0)</f>
        <v>0</v>
      </c>
      <c r="AF792" s="1">
        <f>+IFERROR(VLOOKUP(AF9,'נתוני מים 2014'!$C$2:$L$188,6,0)/1000,0)</f>
        <v>1209.856</v>
      </c>
      <c r="AG792" s="1">
        <f>+IFERROR(VLOOKUP(AG9,'נתוני מים 2014'!$C$2:$L$188,6,0)/1000,0)</f>
        <v>0</v>
      </c>
      <c r="AH792" s="1">
        <f>+IFERROR(VLOOKUP(AH9,'נתוני מים 2014'!$C$2:$L$188,6,0)/1000,0)</f>
        <v>0</v>
      </c>
      <c r="AI792" s="1">
        <f>+IFERROR(VLOOKUP(AI9,'נתוני מים 2014'!$C$2:$L$188,6,0)/1000,0)</f>
        <v>0</v>
      </c>
      <c r="AJ792" s="1">
        <f>+IFERROR(VLOOKUP(AJ9,'נתוני מים 2014'!$C$2:$L$188,6,0)/1000,0)</f>
        <v>404.91800000000001</v>
      </c>
      <c r="AK792" s="1">
        <f>+IFERROR(VLOOKUP(AK9,'נתוני מים 2014'!$C$2:$L$188,6,0)/1000,0)</f>
        <v>0</v>
      </c>
      <c r="AL792" s="1">
        <f>+IFERROR(VLOOKUP(AL9,'נתוני מים 2014'!$C$2:$L$188,6,0)/1000,0)</f>
        <v>0</v>
      </c>
      <c r="AM792" s="1">
        <f>+IFERROR(VLOOKUP(AM9,'נתוני מים 2014'!$C$2:$L$188,6,0)/1000,0)</f>
        <v>1166.049</v>
      </c>
      <c r="AN792" s="1">
        <f>+IFERROR(VLOOKUP(AN9,'נתוני מים 2014'!$C$2:$L$188,6,0)/1000,0)</f>
        <v>654.83199999999999</v>
      </c>
      <c r="AO792" s="1">
        <f>+IFERROR(VLOOKUP(AO9,'נתוני מים 2014'!$C$2:$L$188,6,0)/1000,0)</f>
        <v>0</v>
      </c>
      <c r="AP792" s="1">
        <f>+IFERROR(VLOOKUP(AP9,'נתוני מים 2014'!$C$2:$L$188,6,0)/1000,0)</f>
        <v>0</v>
      </c>
      <c r="AQ792" s="1">
        <f>+IFERROR(VLOOKUP(AQ9,'נתוני מים 2014'!$C$2:$L$188,6,0)/1000,0)</f>
        <v>0</v>
      </c>
      <c r="AR792" s="1">
        <f>+IFERROR(VLOOKUP(AR9,'נתוני מים 2014'!$C$2:$L$188,6,0)/1000,0)</f>
        <v>1680.636</v>
      </c>
      <c r="AS792" s="1">
        <f>+IFERROR(VLOOKUP(AS9,'נתוני מים 2014'!$C$2:$L$188,6,0)/1000,0)</f>
        <v>866.45799999999997</v>
      </c>
      <c r="AT792" s="1">
        <f>+IFERROR(VLOOKUP(AT9,'נתוני מים 2014'!$C$2:$L$188,6,0)/1000,0)</f>
        <v>0</v>
      </c>
      <c r="AU792" s="1">
        <f>+IFERROR(VLOOKUP(AU9,'נתוני מים 2014'!$C$2:$L$188,6,0)/1000,0)</f>
        <v>0</v>
      </c>
      <c r="AV792" s="1">
        <f>+IFERROR(VLOOKUP(AV9,'נתוני מים 2014'!$C$2:$L$188,6,0)/1000,0)</f>
        <v>1358.9469999999999</v>
      </c>
      <c r="AW792" s="1">
        <f>+IFERROR(VLOOKUP(AW9,'נתוני מים 2014'!$C$2:$L$188,6,0)/1000,0)</f>
        <v>0</v>
      </c>
      <c r="AX792" s="1">
        <f>+IFERROR(VLOOKUP(AX9,'נתוני מים 2014'!$C$2:$L$188,6,0)/1000,0)</f>
        <v>438.78699999999998</v>
      </c>
      <c r="AY792" s="1">
        <f>+IFERROR(VLOOKUP(AY9,'נתוני מים 2014'!$C$2:$L$188,6,0)/1000,0)</f>
        <v>0</v>
      </c>
      <c r="AZ792" s="1">
        <f>+IFERROR(VLOOKUP(AZ9,'נתוני מים 2014'!$C$2:$L$188,6,0)/1000,0)</f>
        <v>1000.897</v>
      </c>
      <c r="BA792" s="1">
        <f>+IFERROR(VLOOKUP(BA9,'נתוני מים 2014'!$C$2:$L$188,6,0)/1000,0)</f>
        <v>1211.703</v>
      </c>
      <c r="BB792" s="1">
        <f>+IFERROR(VLOOKUP(BB9,'נתוני מים 2014'!$C$2:$L$188,6,0)/1000,0)</f>
        <v>863.65599999999995</v>
      </c>
      <c r="BC792" s="1">
        <f>+IFERROR(VLOOKUP(BC9,'נתוני מים 2014'!$C$2:$L$188,6,0)/1000,0)</f>
        <v>425.41500000000002</v>
      </c>
      <c r="BD792" s="1">
        <f>+IFERROR(VLOOKUP(BD9,'נתוני מים 2014'!$C$2:$L$188,6,0)/1000,0)</f>
        <v>754.89</v>
      </c>
      <c r="BE792" s="1">
        <f>+IFERROR(VLOOKUP(BE9,'נתוני מים 2014'!$C$2:$L$188,6,0)/1000,0)</f>
        <v>0</v>
      </c>
      <c r="BF792" s="1">
        <f>+IFERROR(VLOOKUP(BF9,'נתוני מים 2014'!$C$2:$L$188,6,0)/1000,0)</f>
        <v>0</v>
      </c>
    </row>
    <row r="793" spans="1:58" x14ac:dyDescent="0.2">
      <c r="B793" s="1">
        <v>3</v>
      </c>
      <c r="C793" s="1">
        <f>+IFERROR(VLOOKUP(C10,'נתוני מים 2014'!$C$2:$L$188,6,0)/1000,0)</f>
        <v>136.946</v>
      </c>
      <c r="D793" s="1">
        <f>+IFERROR(VLOOKUP(D10,'נתוני מים 2014'!$C$2:$L$188,6,0)/1000,0)</f>
        <v>340.029</v>
      </c>
      <c r="E793" s="1">
        <f>+IFERROR(VLOOKUP(E10,'נתוני מים 2014'!$C$2:$L$188,6,0)/1000,0)</f>
        <v>0</v>
      </c>
      <c r="F793" s="1">
        <f>+IFERROR(VLOOKUP(F10,'נתוני מים 2014'!$C$2:$L$188,6,0)/1000,0)</f>
        <v>0</v>
      </c>
      <c r="G793" s="1">
        <f>+IFERROR(VLOOKUP(G10,'נתוני מים 2014'!$C$2:$L$188,6,0)/1000,0)</f>
        <v>0</v>
      </c>
      <c r="H793" s="1">
        <f>+IFERROR(VLOOKUP(H10,'נתוני מים 2014'!$C$2:$L$188,6,0)/1000,0)</f>
        <v>1520.569</v>
      </c>
      <c r="I793" s="1">
        <f>+IFERROR(VLOOKUP(I10,'נתוני מים 2014'!$C$2:$L$188,6,0)/1000,0)</f>
        <v>0</v>
      </c>
      <c r="J793" s="1">
        <f>+IFERROR(VLOOKUP(J10,'נתוני מים 2014'!$C$2:$L$188,6,0)/1000,0)</f>
        <v>0</v>
      </c>
      <c r="K793" s="1">
        <f>+IFERROR(VLOOKUP(K10,'נתוני מים 2014'!$C$2:$L$188,6,0)/1000,0)</f>
        <v>2118.203</v>
      </c>
      <c r="L793" s="1">
        <f>+IFERROR(VLOOKUP(L10,'נתוני מים 2014'!$C$2:$L$188,6,0)/1000,0)</f>
        <v>0</v>
      </c>
      <c r="M793" s="1">
        <f>+IFERROR(VLOOKUP(M10,'נתוני מים 2014'!$C$2:$L$188,6,0)/1000,0)</f>
        <v>0</v>
      </c>
      <c r="N793" s="1">
        <f>+IFERROR(VLOOKUP(N10,'נתוני מים 2014'!$C$2:$L$188,6,0)/1000,0)</f>
        <v>0</v>
      </c>
      <c r="O793" s="1">
        <f>+IFERROR(VLOOKUP(O10,'נתוני מים 2014'!$C$2:$L$188,6,0)/1000,0)</f>
        <v>385.02</v>
      </c>
      <c r="P793" s="1">
        <f>+IFERROR(VLOOKUP(P10,'נתוני מים 2014'!$C$2:$L$188,6,0)/1000,0)</f>
        <v>372.33800000000002</v>
      </c>
      <c r="Q793" s="1">
        <f>+IFERROR(VLOOKUP(Q10,'נתוני מים 2014'!$C$2:$L$188,6,0)/1000,0)</f>
        <v>0</v>
      </c>
      <c r="R793" s="1">
        <f>+IFERROR(VLOOKUP(R10,'נתוני מים 2014'!$C$2:$L$188,6,0)/1000,0)</f>
        <v>733.95399999999995</v>
      </c>
      <c r="S793" s="1">
        <f>+IFERROR(VLOOKUP(S10,'נתוני מים 2014'!$C$2:$L$188,6,0)/1000,0)</f>
        <v>0</v>
      </c>
      <c r="T793" s="1">
        <f>+IFERROR(VLOOKUP(T10,'נתוני מים 2014'!$C$2:$L$188,6,0)/1000,0)</f>
        <v>959.39099999999996</v>
      </c>
      <c r="U793" s="1">
        <f>+IFERROR(VLOOKUP(U10,'נתוני מים 2014'!$C$2:$L$188,6,0)/1000,0)</f>
        <v>0</v>
      </c>
      <c r="V793" s="1">
        <f>+IFERROR(VLOOKUP(V10,'נתוני מים 2014'!$C$2:$L$188,6,0)/1000,0)</f>
        <v>251.101</v>
      </c>
      <c r="W793" s="1">
        <f>+IFERROR(VLOOKUP(W10,'נתוני מים 2014'!$C$2:$L$188,6,0)/1000,0)</f>
        <v>872.226</v>
      </c>
      <c r="X793" s="1">
        <f>+IFERROR(VLOOKUP(X10,'נתוני מים 2014'!$C$2:$L$188,6,0)/1000,0)</f>
        <v>843.41399999999999</v>
      </c>
      <c r="Y793" s="1">
        <f>+IFERROR(VLOOKUP(Y10,'נתוני מים 2014'!$C$2:$L$188,6,0)/1000,0)</f>
        <v>363.55700000000002</v>
      </c>
      <c r="Z793" s="1">
        <f>+IFERROR(VLOOKUP(Z10,'נתוני מים 2014'!$C$2:$L$188,6,0)/1000,0)</f>
        <v>0</v>
      </c>
      <c r="AA793" s="1">
        <f>+IFERROR(VLOOKUP(AA10,'נתוני מים 2014'!$C$2:$L$188,6,0)/1000,0)</f>
        <v>0</v>
      </c>
      <c r="AB793" s="1">
        <f>+IFERROR(VLOOKUP(AB10,'נתוני מים 2014'!$C$2:$L$188,6,0)/1000,0)</f>
        <v>0</v>
      </c>
      <c r="AC793" s="1">
        <f>+IFERROR(VLOOKUP(AC10,'נתוני מים 2014'!$C$2:$L$188,6,0)/1000,0)</f>
        <v>0</v>
      </c>
      <c r="AD793" s="1">
        <f>+IFERROR(VLOOKUP(AD10,'נתוני מים 2014'!$C$2:$L$188,6,0)/1000,0)</f>
        <v>0</v>
      </c>
      <c r="AE793" s="1">
        <f>+IFERROR(VLOOKUP(AE10,'נתוני מים 2014'!$C$2:$L$188,6,0)/1000,0)</f>
        <v>0</v>
      </c>
      <c r="AF793" s="1">
        <f>+IFERROR(VLOOKUP(AF10,'נתוני מים 2014'!$C$2:$L$188,6,0)/1000,0)</f>
        <v>0</v>
      </c>
      <c r="AG793" s="1">
        <f>+IFERROR(VLOOKUP(AG10,'נתוני מים 2014'!$C$2:$L$188,6,0)/1000,0)</f>
        <v>0</v>
      </c>
      <c r="AH793" s="1">
        <f>+IFERROR(VLOOKUP(AH10,'נתוני מים 2014'!$C$2:$L$188,6,0)/1000,0)</f>
        <v>0</v>
      </c>
      <c r="AI793" s="1">
        <f>+IFERROR(VLOOKUP(AI10,'נתוני מים 2014'!$C$2:$L$188,6,0)/1000,0)</f>
        <v>0</v>
      </c>
      <c r="AJ793" s="1">
        <f>+IFERROR(VLOOKUP(AJ10,'נתוני מים 2014'!$C$2:$L$188,6,0)/1000,0)</f>
        <v>0</v>
      </c>
      <c r="AK793" s="1">
        <f>+IFERROR(VLOOKUP(AK10,'נתוני מים 2014'!$C$2:$L$188,6,0)/1000,0)</f>
        <v>0</v>
      </c>
      <c r="AL793" s="1">
        <f>+IFERROR(VLOOKUP(AL10,'נתוני מים 2014'!$C$2:$L$188,6,0)/1000,0)</f>
        <v>0</v>
      </c>
      <c r="AM793" s="1">
        <f>+IFERROR(VLOOKUP(AM10,'נתוני מים 2014'!$C$2:$L$188,6,0)/1000,0)</f>
        <v>357.73200000000003</v>
      </c>
      <c r="AN793" s="1">
        <f>+IFERROR(VLOOKUP(AN10,'נתוני מים 2014'!$C$2:$L$188,6,0)/1000,0)</f>
        <v>414.98899999999998</v>
      </c>
      <c r="AO793" s="1">
        <f>+IFERROR(VLOOKUP(AO10,'נתוני מים 2014'!$C$2:$L$188,6,0)/1000,0)</f>
        <v>0</v>
      </c>
      <c r="AP793" s="1">
        <f>+IFERROR(VLOOKUP(AP10,'נתוני מים 2014'!$C$2:$L$188,6,0)/1000,0)</f>
        <v>0</v>
      </c>
      <c r="AQ793" s="1">
        <f>+IFERROR(VLOOKUP(AQ10,'נתוני מים 2014'!$C$2:$L$188,6,0)/1000,0)</f>
        <v>0</v>
      </c>
      <c r="AR793" s="1">
        <f>+IFERROR(VLOOKUP(AR10,'נתוני מים 2014'!$C$2:$L$188,6,0)/1000,0)</f>
        <v>0</v>
      </c>
      <c r="AS793" s="1">
        <f>+IFERROR(VLOOKUP(AS10,'נתוני מים 2014'!$C$2:$L$188,6,0)/1000,0)</f>
        <v>289.65199999999999</v>
      </c>
      <c r="AT793" s="1">
        <f>+IFERROR(VLOOKUP(AT10,'נתוני מים 2014'!$C$2:$L$188,6,0)/1000,0)</f>
        <v>0</v>
      </c>
      <c r="AU793" s="1">
        <f>+IFERROR(VLOOKUP(AU10,'נתוני מים 2014'!$C$2:$L$188,6,0)/1000,0)</f>
        <v>0</v>
      </c>
      <c r="AV793" s="1">
        <f>+IFERROR(VLOOKUP(AV10,'נתוני מים 2014'!$C$2:$L$188,6,0)/1000,0)</f>
        <v>0</v>
      </c>
      <c r="AW793" s="1">
        <f>+IFERROR(VLOOKUP(AW10,'נתוני מים 2014'!$C$2:$L$188,6,0)/1000,0)</f>
        <v>0</v>
      </c>
      <c r="AX793" s="1">
        <f>+IFERROR(VLOOKUP(AX10,'נתוני מים 2014'!$C$2:$L$188,6,0)/1000,0)</f>
        <v>1195.49</v>
      </c>
      <c r="AY793" s="1">
        <f>+IFERROR(VLOOKUP(AY10,'נתוני מים 2014'!$C$2:$L$188,6,0)/1000,0)</f>
        <v>0</v>
      </c>
      <c r="AZ793" s="1">
        <f>+IFERROR(VLOOKUP(AZ10,'נתוני מים 2014'!$C$2:$L$188,6,0)/1000,0)</f>
        <v>403.483</v>
      </c>
      <c r="BA793" s="1">
        <f>+IFERROR(VLOOKUP(BA10,'נתוני מים 2014'!$C$2:$L$188,6,0)/1000,0)</f>
        <v>406.51799999999997</v>
      </c>
      <c r="BB793" s="1">
        <f>+IFERROR(VLOOKUP(BB10,'נתוני מים 2014'!$C$2:$L$188,6,0)/1000,0)</f>
        <v>279.27699999999999</v>
      </c>
      <c r="BC793" s="1">
        <f>+IFERROR(VLOOKUP(BC10,'נתוני מים 2014'!$C$2:$L$188,6,0)/1000,0)</f>
        <v>453.61700000000002</v>
      </c>
      <c r="BD793" s="1">
        <f>+IFERROR(VLOOKUP(BD10,'נתוני מים 2014'!$C$2:$L$188,6,0)/1000,0)</f>
        <v>0</v>
      </c>
      <c r="BE793" s="1">
        <f>+IFERROR(VLOOKUP(BE10,'נתוני מים 2014'!$C$2:$L$188,6,0)/1000,0)</f>
        <v>0</v>
      </c>
      <c r="BF793" s="1">
        <f>+IFERROR(VLOOKUP(BF10,'נתוני מים 2014'!$C$2:$L$188,6,0)/1000,0)</f>
        <v>0</v>
      </c>
    </row>
    <row r="794" spans="1:58" x14ac:dyDescent="0.2">
      <c r="B794" s="1">
        <v>4</v>
      </c>
      <c r="C794" s="1">
        <f>+IFERROR(VLOOKUP(C11,'נתוני מים 2014'!$C$2:$L$188,6,0)/1000,0)</f>
        <v>0</v>
      </c>
      <c r="D794" s="1">
        <f>+IFERROR(VLOOKUP(D11,'נתוני מים 2014'!$C$2:$L$188,6,0)/1000,0)</f>
        <v>436.03199999999998</v>
      </c>
      <c r="E794" s="1">
        <f>+IFERROR(VLOOKUP(E11,'נתוני מים 2014'!$C$2:$L$188,6,0)/1000,0)</f>
        <v>0</v>
      </c>
      <c r="F794" s="1">
        <f>+IFERROR(VLOOKUP(F11,'נתוני מים 2014'!$C$2:$L$188,6,0)/1000,0)</f>
        <v>0</v>
      </c>
      <c r="G794" s="1">
        <f>+IFERROR(VLOOKUP(G11,'נתוני מים 2014'!$C$2:$L$188,6,0)/1000,0)</f>
        <v>0</v>
      </c>
      <c r="H794" s="1">
        <f>+IFERROR(VLOOKUP(H11,'נתוני מים 2014'!$C$2:$L$188,6,0)/1000,0)</f>
        <v>0</v>
      </c>
      <c r="I794" s="1">
        <f>+IFERROR(VLOOKUP(I11,'נתוני מים 2014'!$C$2:$L$188,6,0)/1000,0)</f>
        <v>0</v>
      </c>
      <c r="J794" s="1">
        <f>+IFERROR(VLOOKUP(J11,'נתוני מים 2014'!$C$2:$L$188,6,0)/1000,0)</f>
        <v>0</v>
      </c>
      <c r="K794" s="1">
        <f>+IFERROR(VLOOKUP(K11,'נתוני מים 2014'!$C$2:$L$188,6,0)/1000,0)</f>
        <v>0</v>
      </c>
      <c r="L794" s="1">
        <f>+IFERROR(VLOOKUP(L11,'נתוני מים 2014'!$C$2:$L$188,6,0)/1000,0)</f>
        <v>160.36500000000001</v>
      </c>
      <c r="M794" s="1">
        <f>+IFERROR(VLOOKUP(M11,'נתוני מים 2014'!$C$2:$L$188,6,0)/1000,0)</f>
        <v>0</v>
      </c>
      <c r="N794" s="1">
        <f>+IFERROR(VLOOKUP(N11,'נתוני מים 2014'!$C$2:$L$188,6,0)/1000,0)</f>
        <v>0</v>
      </c>
      <c r="O794" s="1">
        <f>+IFERROR(VLOOKUP(O11,'נתוני מים 2014'!$C$2:$L$188,6,0)/1000,0)</f>
        <v>1782.9880000000001</v>
      </c>
      <c r="P794" s="1">
        <f>+IFERROR(VLOOKUP(P11,'נתוני מים 2014'!$C$2:$L$188,6,0)/1000,0)</f>
        <v>147.56899999999999</v>
      </c>
      <c r="Q794" s="1">
        <f>+IFERROR(VLOOKUP(Q11,'נתוני מים 2014'!$C$2:$L$188,6,0)/1000,0)</f>
        <v>0</v>
      </c>
      <c r="R794" s="1">
        <f>+IFERROR(VLOOKUP(R11,'נתוני מים 2014'!$C$2:$L$188,6,0)/1000,0)</f>
        <v>0</v>
      </c>
      <c r="S794" s="1">
        <f>+IFERROR(VLOOKUP(S11,'נתוני מים 2014'!$C$2:$L$188,6,0)/1000,0)</f>
        <v>0</v>
      </c>
      <c r="T794" s="1">
        <f>+IFERROR(VLOOKUP(T11,'נתוני מים 2014'!$C$2:$L$188,6,0)/1000,0)</f>
        <v>323.54700000000003</v>
      </c>
      <c r="U794" s="1">
        <f>+IFERROR(VLOOKUP(U11,'נתוני מים 2014'!$C$2:$L$188,6,0)/1000,0)</f>
        <v>0</v>
      </c>
      <c r="V794" s="1">
        <f>+IFERROR(VLOOKUP(V11,'נתוני מים 2014'!$C$2:$L$188,6,0)/1000,0)</f>
        <v>501.96300000000002</v>
      </c>
      <c r="W794" s="1">
        <f>+IFERROR(VLOOKUP(W11,'נתוני מים 2014'!$C$2:$L$188,6,0)/1000,0)</f>
        <v>115.244</v>
      </c>
      <c r="X794" s="1">
        <f>+IFERROR(VLOOKUP(X11,'נתוני מים 2014'!$C$2:$L$188,6,0)/1000,0)</f>
        <v>324.91399999999999</v>
      </c>
      <c r="Y794" s="1">
        <f>+IFERROR(VLOOKUP(Y11,'נתוני מים 2014'!$C$2:$L$188,6,0)/1000,0)</f>
        <v>248.35400000000001</v>
      </c>
      <c r="Z794" s="1">
        <f>+IFERROR(VLOOKUP(Z11,'נתוני מים 2014'!$C$2:$L$188,6,0)/1000,0)</f>
        <v>0</v>
      </c>
      <c r="AA794" s="1">
        <f>+IFERROR(VLOOKUP(AA11,'נתוני מים 2014'!$C$2:$L$188,6,0)/1000,0)</f>
        <v>0</v>
      </c>
      <c r="AB794" s="1">
        <f>+IFERROR(VLOOKUP(AB11,'נתוני מים 2014'!$C$2:$L$188,6,0)/1000,0)</f>
        <v>0</v>
      </c>
      <c r="AC794" s="1">
        <f>+IFERROR(VLOOKUP(AC11,'נתוני מים 2014'!$C$2:$L$188,6,0)/1000,0)</f>
        <v>0</v>
      </c>
      <c r="AD794" s="1">
        <f>+IFERROR(VLOOKUP(AD11,'נתוני מים 2014'!$C$2:$L$188,6,0)/1000,0)</f>
        <v>0</v>
      </c>
      <c r="AE794" s="1">
        <f>+IFERROR(VLOOKUP(AE11,'נתוני מים 2014'!$C$2:$L$188,6,0)/1000,0)</f>
        <v>0</v>
      </c>
      <c r="AF794" s="1">
        <f>+IFERROR(VLOOKUP(AF11,'נתוני מים 2014'!$C$2:$L$188,6,0)/1000,0)</f>
        <v>0</v>
      </c>
      <c r="AG794" s="1">
        <f>+IFERROR(VLOOKUP(AG11,'נתוני מים 2014'!$C$2:$L$188,6,0)/1000,0)</f>
        <v>0</v>
      </c>
      <c r="AH794" s="1">
        <f>+IFERROR(VLOOKUP(AH11,'נתוני מים 2014'!$C$2:$L$188,6,0)/1000,0)</f>
        <v>0</v>
      </c>
      <c r="AI794" s="1">
        <f>+IFERROR(VLOOKUP(AI11,'נתוני מים 2014'!$C$2:$L$188,6,0)/1000,0)</f>
        <v>0</v>
      </c>
      <c r="AJ794" s="1">
        <f>+IFERROR(VLOOKUP(AJ11,'נתוני מים 2014'!$C$2:$L$188,6,0)/1000,0)</f>
        <v>0</v>
      </c>
      <c r="AK794" s="1">
        <f>+IFERROR(VLOOKUP(AK11,'נתוני מים 2014'!$C$2:$L$188,6,0)/1000,0)</f>
        <v>0</v>
      </c>
      <c r="AL794" s="1">
        <f>+IFERROR(VLOOKUP(AL11,'נתוני מים 2014'!$C$2:$L$188,6,0)/1000,0)</f>
        <v>0</v>
      </c>
      <c r="AM794" s="1">
        <f>+IFERROR(VLOOKUP(AM11,'נתוני מים 2014'!$C$2:$L$188,6,0)/1000,0)</f>
        <v>912.89400000000001</v>
      </c>
      <c r="AN794" s="1">
        <f>+IFERROR(VLOOKUP(AN11,'נתוני מים 2014'!$C$2:$L$188,6,0)/1000,0)</f>
        <v>554.14300000000003</v>
      </c>
      <c r="AO794" s="1">
        <f>+IFERROR(VLOOKUP(AO11,'נתוני מים 2014'!$C$2:$L$188,6,0)/1000,0)</f>
        <v>0</v>
      </c>
      <c r="AP794" s="1">
        <f>+IFERROR(VLOOKUP(AP11,'נתוני מים 2014'!$C$2:$L$188,6,0)/1000,0)</f>
        <v>0</v>
      </c>
      <c r="AQ794" s="1">
        <f>+IFERROR(VLOOKUP(AQ11,'נתוני מים 2014'!$C$2:$L$188,6,0)/1000,0)</f>
        <v>0</v>
      </c>
      <c r="AR794" s="1">
        <f>+IFERROR(VLOOKUP(AR11,'נתוני מים 2014'!$C$2:$L$188,6,0)/1000,0)</f>
        <v>0</v>
      </c>
      <c r="AS794" s="1">
        <f>+IFERROR(VLOOKUP(AS11,'נתוני מים 2014'!$C$2:$L$188,6,0)/1000,0)</f>
        <v>468.01100000000002</v>
      </c>
      <c r="AT794" s="1">
        <f>+IFERROR(VLOOKUP(AT11,'נתוני מים 2014'!$C$2:$L$188,6,0)/1000,0)</f>
        <v>0</v>
      </c>
      <c r="AU794" s="1">
        <f>+IFERROR(VLOOKUP(AU11,'נתוני מים 2014'!$C$2:$L$188,6,0)/1000,0)</f>
        <v>0</v>
      </c>
      <c r="AV794" s="1">
        <f>+IFERROR(VLOOKUP(AV11,'נתוני מים 2014'!$C$2:$L$188,6,0)/1000,0)</f>
        <v>0</v>
      </c>
      <c r="AW794" s="1">
        <f>+IFERROR(VLOOKUP(AW11,'נתוני מים 2014'!$C$2:$L$188,6,0)/1000,0)</f>
        <v>0</v>
      </c>
      <c r="AX794" s="1">
        <f>+IFERROR(VLOOKUP(AX11,'נתוני מים 2014'!$C$2:$L$188,6,0)/1000,0)</f>
        <v>1033.9690000000001</v>
      </c>
      <c r="AY794" s="1">
        <f>+IFERROR(VLOOKUP(AY11,'נתוני מים 2014'!$C$2:$L$188,6,0)/1000,0)</f>
        <v>0</v>
      </c>
      <c r="AZ794" s="1">
        <f>+IFERROR(VLOOKUP(AZ11,'נתוני מים 2014'!$C$2:$L$188,6,0)/1000,0)</f>
        <v>1454.385</v>
      </c>
      <c r="BA794" s="1">
        <f>+IFERROR(VLOOKUP(BA11,'נתוני מים 2014'!$C$2:$L$188,6,0)/1000,0)</f>
        <v>212.52699999999999</v>
      </c>
      <c r="BB794" s="1">
        <f>+IFERROR(VLOOKUP(BB11,'נתוני מים 2014'!$C$2:$L$188,6,0)/1000,0)</f>
        <v>496.048</v>
      </c>
      <c r="BC794" s="1">
        <f>+IFERROR(VLOOKUP(BC11,'נתוני מים 2014'!$C$2:$L$188,6,0)/1000,0)</f>
        <v>1084.241</v>
      </c>
      <c r="BD794" s="1">
        <f>+IFERROR(VLOOKUP(BD11,'נתוני מים 2014'!$C$2:$L$188,6,0)/1000,0)</f>
        <v>0</v>
      </c>
      <c r="BE794" s="1">
        <f>+IFERROR(VLOOKUP(BE11,'נתוני מים 2014'!$C$2:$L$188,6,0)/1000,0)</f>
        <v>0</v>
      </c>
      <c r="BF794" s="1">
        <f>+IFERROR(VLOOKUP(BF11,'נתוני מים 2014'!$C$2:$L$188,6,0)/1000,0)</f>
        <v>0</v>
      </c>
    </row>
    <row r="795" spans="1:58" x14ac:dyDescent="0.2">
      <c r="B795" s="1">
        <v>5</v>
      </c>
      <c r="C795" s="1">
        <f>+IFERROR(VLOOKUP(C12,'נתוני מים 2014'!$C$2:$L$188,6,0)/1000,0)</f>
        <v>0</v>
      </c>
      <c r="D795" s="1">
        <f>+IFERROR(VLOOKUP(D12,'נתוני מים 2014'!$C$2:$L$188,6,0)/1000,0)</f>
        <v>155.547</v>
      </c>
      <c r="E795" s="1">
        <f>+IFERROR(VLOOKUP(E12,'נתוני מים 2014'!$C$2:$L$188,6,0)/1000,0)</f>
        <v>0</v>
      </c>
      <c r="F795" s="1">
        <f>+IFERROR(VLOOKUP(F12,'נתוני מים 2014'!$C$2:$L$188,6,0)/1000,0)</f>
        <v>0</v>
      </c>
      <c r="G795" s="1">
        <f>+IFERROR(VLOOKUP(G12,'נתוני מים 2014'!$C$2:$L$188,6,0)/1000,0)</f>
        <v>0</v>
      </c>
      <c r="H795" s="1">
        <f>+IFERROR(VLOOKUP(H12,'נתוני מים 2014'!$C$2:$L$188,6,0)/1000,0)</f>
        <v>0</v>
      </c>
      <c r="I795" s="1">
        <f>+IFERROR(VLOOKUP(I12,'נתוני מים 2014'!$C$2:$L$188,6,0)/1000,0)</f>
        <v>0</v>
      </c>
      <c r="J795" s="1">
        <f>+IFERROR(VLOOKUP(J12,'נתוני מים 2014'!$C$2:$L$188,6,0)/1000,0)</f>
        <v>0</v>
      </c>
      <c r="K795" s="1">
        <f>+IFERROR(VLOOKUP(K12,'נתוני מים 2014'!$C$2:$L$188,6,0)/1000,0)</f>
        <v>0</v>
      </c>
      <c r="L795" s="1">
        <f>+IFERROR(VLOOKUP(L12,'נתוני מים 2014'!$C$2:$L$188,6,0)/1000,0)</f>
        <v>0</v>
      </c>
      <c r="M795" s="1">
        <f>+IFERROR(VLOOKUP(M12,'נתוני מים 2014'!$C$2:$L$188,6,0)/1000,0)</f>
        <v>0</v>
      </c>
      <c r="N795" s="1">
        <f>+IFERROR(VLOOKUP(N12,'נתוני מים 2014'!$C$2:$L$188,6,0)/1000,0)</f>
        <v>0</v>
      </c>
      <c r="O795" s="1">
        <f>+IFERROR(VLOOKUP(O12,'נתוני מים 2014'!$C$2:$L$188,6,0)/1000,0)</f>
        <v>0</v>
      </c>
      <c r="P795" s="1">
        <f>+IFERROR(VLOOKUP(P12,'נתוני מים 2014'!$C$2:$L$188,6,0)/1000,0)</f>
        <v>83.143000000000001</v>
      </c>
      <c r="Q795" s="1">
        <f>+IFERROR(VLOOKUP(Q12,'נתוני מים 2014'!$C$2:$L$188,6,0)/1000,0)</f>
        <v>0</v>
      </c>
      <c r="R795" s="1">
        <f>+IFERROR(VLOOKUP(R12,'נתוני מים 2014'!$C$2:$L$188,6,0)/1000,0)</f>
        <v>0</v>
      </c>
      <c r="S795" s="1">
        <f>+IFERROR(VLOOKUP(S12,'נתוני מים 2014'!$C$2:$L$188,6,0)/1000,0)</f>
        <v>0</v>
      </c>
      <c r="T795" s="1">
        <f>+IFERROR(VLOOKUP(T12,'נתוני מים 2014'!$C$2:$L$188,6,0)/1000,0)</f>
        <v>0</v>
      </c>
      <c r="U795" s="1">
        <f>+IFERROR(VLOOKUP(U12,'נתוני מים 2014'!$C$2:$L$188,6,0)/1000,0)</f>
        <v>0</v>
      </c>
      <c r="V795" s="1">
        <f>+IFERROR(VLOOKUP(V12,'נתוני מים 2014'!$C$2:$L$188,6,0)/1000,0)</f>
        <v>424.49400000000003</v>
      </c>
      <c r="W795" s="1">
        <f>+IFERROR(VLOOKUP(W12,'נתוני מים 2014'!$C$2:$L$188,6,0)/1000,0)</f>
        <v>83.631</v>
      </c>
      <c r="X795" s="1">
        <f>+IFERROR(VLOOKUP(X12,'נתוני מים 2014'!$C$2:$L$188,6,0)/1000,0)</f>
        <v>575.80200000000002</v>
      </c>
      <c r="Y795" s="1">
        <f>+IFERROR(VLOOKUP(Y12,'נתוני מים 2014'!$C$2:$L$188,6,0)/1000,0)</f>
        <v>0</v>
      </c>
      <c r="Z795" s="1">
        <f>+IFERROR(VLOOKUP(Z12,'נתוני מים 2014'!$C$2:$L$188,6,0)/1000,0)</f>
        <v>0</v>
      </c>
      <c r="AA795" s="1">
        <f>+IFERROR(VLOOKUP(AA12,'נתוני מים 2014'!$C$2:$L$188,6,0)/1000,0)</f>
        <v>0</v>
      </c>
      <c r="AB795" s="1">
        <f>+IFERROR(VLOOKUP(AB12,'נתוני מים 2014'!$C$2:$L$188,6,0)/1000,0)</f>
        <v>0</v>
      </c>
      <c r="AC795" s="1">
        <f>+IFERROR(VLOOKUP(AC12,'נתוני מים 2014'!$C$2:$L$188,6,0)/1000,0)</f>
        <v>0</v>
      </c>
      <c r="AD795" s="1">
        <f>+IFERROR(VLOOKUP(AD12,'נתוני מים 2014'!$C$2:$L$188,6,0)/1000,0)</f>
        <v>0</v>
      </c>
      <c r="AE795" s="1">
        <f>+IFERROR(VLOOKUP(AE12,'נתוני מים 2014'!$C$2:$L$188,6,0)/1000,0)</f>
        <v>0</v>
      </c>
      <c r="AF795" s="1">
        <f>+IFERROR(VLOOKUP(AF12,'נתוני מים 2014'!$C$2:$L$188,6,0)/1000,0)</f>
        <v>0</v>
      </c>
      <c r="AG795" s="1">
        <f>+IFERROR(VLOOKUP(AG12,'נתוני מים 2014'!$C$2:$L$188,6,0)/1000,0)</f>
        <v>0</v>
      </c>
      <c r="AH795" s="1">
        <f>+IFERROR(VLOOKUP(AH12,'נתוני מים 2014'!$C$2:$L$188,6,0)/1000,0)</f>
        <v>0</v>
      </c>
      <c r="AI795" s="1">
        <f>+IFERROR(VLOOKUP(AI12,'נתוני מים 2014'!$C$2:$L$188,6,0)/1000,0)</f>
        <v>0</v>
      </c>
      <c r="AJ795" s="1">
        <f>+IFERROR(VLOOKUP(AJ12,'נתוני מים 2014'!$C$2:$L$188,6,0)/1000,0)</f>
        <v>0</v>
      </c>
      <c r="AK795" s="1">
        <f>+IFERROR(VLOOKUP(AK12,'נתוני מים 2014'!$C$2:$L$188,6,0)/1000,0)</f>
        <v>0</v>
      </c>
      <c r="AL795" s="1">
        <f>+IFERROR(VLOOKUP(AL12,'נתוני מים 2014'!$C$2:$L$188,6,0)/1000,0)</f>
        <v>0</v>
      </c>
      <c r="AM795" s="1">
        <f>+IFERROR(VLOOKUP(AM12,'נתוני מים 2014'!$C$2:$L$188,6,0)/1000,0)</f>
        <v>802.91800000000001</v>
      </c>
      <c r="AN795" s="1">
        <f>+IFERROR(VLOOKUP(AN12,'נתוני מים 2014'!$C$2:$L$188,6,0)/1000,0)</f>
        <v>503.73500000000001</v>
      </c>
      <c r="AO795" s="1">
        <f>+IFERROR(VLOOKUP(AO12,'נתוני מים 2014'!$C$2:$L$188,6,0)/1000,0)</f>
        <v>0</v>
      </c>
      <c r="AP795" s="1">
        <f>+IFERROR(VLOOKUP(AP12,'נתוני מים 2014'!$C$2:$L$188,6,0)/1000,0)</f>
        <v>0</v>
      </c>
      <c r="AQ795" s="1">
        <f>+IFERROR(VLOOKUP(AQ12,'נתוני מים 2014'!$C$2:$L$188,6,0)/1000,0)</f>
        <v>0</v>
      </c>
      <c r="AR795" s="1">
        <f>+IFERROR(VLOOKUP(AR12,'נתוני מים 2014'!$C$2:$L$188,6,0)/1000,0)</f>
        <v>0</v>
      </c>
      <c r="AS795" s="1">
        <f>+IFERROR(VLOOKUP(AS12,'נתוני מים 2014'!$C$2:$L$188,6,0)/1000,0)</f>
        <v>1562.3979999999999</v>
      </c>
      <c r="AT795" s="1">
        <f>+IFERROR(VLOOKUP(AT12,'נתוני מים 2014'!$C$2:$L$188,6,0)/1000,0)</f>
        <v>0</v>
      </c>
      <c r="AU795" s="1">
        <f>+IFERROR(VLOOKUP(AU12,'נתוני מים 2014'!$C$2:$L$188,6,0)/1000,0)</f>
        <v>0</v>
      </c>
      <c r="AV795" s="1">
        <f>+IFERROR(VLOOKUP(AV12,'נתוני מים 2014'!$C$2:$L$188,6,0)/1000,0)</f>
        <v>0</v>
      </c>
      <c r="AW795" s="1">
        <f>+IFERROR(VLOOKUP(AW12,'נתוני מים 2014'!$C$2:$L$188,6,0)/1000,0)</f>
        <v>0</v>
      </c>
      <c r="AX795" s="1">
        <f>+IFERROR(VLOOKUP(AX12,'נתוני מים 2014'!$C$2:$L$188,6,0)/1000,0)</f>
        <v>0</v>
      </c>
      <c r="AY795" s="1">
        <f>+IFERROR(VLOOKUP(AY12,'נתוני מים 2014'!$C$2:$L$188,6,0)/1000,0)</f>
        <v>0</v>
      </c>
      <c r="AZ795" s="1">
        <f>+IFERROR(VLOOKUP(AZ12,'נתוני מים 2014'!$C$2:$L$188,6,0)/1000,0)</f>
        <v>0</v>
      </c>
      <c r="BA795" s="1">
        <f>+IFERROR(VLOOKUP(BA12,'נתוני מים 2014'!$C$2:$L$188,6,0)/1000,0)</f>
        <v>0</v>
      </c>
      <c r="BB795" s="1">
        <f>+IFERROR(VLOOKUP(BB12,'נתוני מים 2014'!$C$2:$L$188,6,0)/1000,0)</f>
        <v>714.077</v>
      </c>
      <c r="BC795" s="1">
        <f>+IFERROR(VLOOKUP(BC12,'נתוני מים 2014'!$C$2:$L$188,6,0)/1000,0)</f>
        <v>1155.778</v>
      </c>
      <c r="BD795" s="1">
        <f>+IFERROR(VLOOKUP(BD12,'נתוני מים 2014'!$C$2:$L$188,6,0)/1000,0)</f>
        <v>0</v>
      </c>
      <c r="BE795" s="1">
        <f>+IFERROR(VLOOKUP(BE12,'נתוני מים 2014'!$C$2:$L$188,6,0)/1000,0)</f>
        <v>0</v>
      </c>
      <c r="BF795" s="1">
        <f>+IFERROR(VLOOKUP(BF12,'נתוני מים 2014'!$C$2:$L$188,6,0)/1000,0)</f>
        <v>0</v>
      </c>
    </row>
    <row r="796" spans="1:58" x14ac:dyDescent="0.2">
      <c r="B796" s="1">
        <v>6</v>
      </c>
      <c r="C796" s="1">
        <f>+IFERROR(VLOOKUP(C13,'נתוני מים 2014'!$C$2:$L$188,6,0)/1000,0)</f>
        <v>0</v>
      </c>
      <c r="D796" s="1">
        <f>+IFERROR(VLOOKUP(D13,'נתוני מים 2014'!$C$2:$L$188,6,0)/1000,0)</f>
        <v>113.22499999999999</v>
      </c>
      <c r="E796" s="1">
        <f>+IFERROR(VLOOKUP(E13,'נתוני מים 2014'!$C$2:$L$188,6,0)/1000,0)</f>
        <v>0</v>
      </c>
      <c r="F796" s="1">
        <f>+IFERROR(VLOOKUP(F13,'נתוני מים 2014'!$C$2:$L$188,6,0)/1000,0)</f>
        <v>0</v>
      </c>
      <c r="G796" s="1">
        <f>+IFERROR(VLOOKUP(G13,'נתוני מים 2014'!$C$2:$L$188,6,0)/1000,0)</f>
        <v>0</v>
      </c>
      <c r="H796" s="1">
        <f>+IFERROR(VLOOKUP(H13,'נתוני מים 2014'!$C$2:$L$188,6,0)/1000,0)</f>
        <v>0</v>
      </c>
      <c r="I796" s="1">
        <f>+IFERROR(VLOOKUP(I13,'נתוני מים 2014'!$C$2:$L$188,6,0)/1000,0)</f>
        <v>0</v>
      </c>
      <c r="J796" s="1">
        <f>+IFERROR(VLOOKUP(J13,'נתוני מים 2014'!$C$2:$L$188,6,0)/1000,0)</f>
        <v>0</v>
      </c>
      <c r="K796" s="1">
        <f>+IFERROR(VLOOKUP(K13,'נתוני מים 2014'!$C$2:$L$188,6,0)/1000,0)</f>
        <v>0</v>
      </c>
      <c r="L796" s="1">
        <f>+IFERROR(VLOOKUP(L13,'נתוני מים 2014'!$C$2:$L$188,6,0)/1000,0)</f>
        <v>0</v>
      </c>
      <c r="M796" s="1">
        <f>+IFERROR(VLOOKUP(M13,'נתוני מים 2014'!$C$2:$L$188,6,0)/1000,0)</f>
        <v>0</v>
      </c>
      <c r="N796" s="1">
        <f>+IFERROR(VLOOKUP(N13,'נתוני מים 2014'!$C$2:$L$188,6,0)/1000,0)</f>
        <v>0</v>
      </c>
      <c r="O796" s="1">
        <f>+IFERROR(VLOOKUP(O13,'נתוני מים 2014'!$C$2:$L$188,6,0)/1000,0)</f>
        <v>0</v>
      </c>
      <c r="P796" s="1">
        <f>+IFERROR(VLOOKUP(P13,'נתוני מים 2014'!$C$2:$L$188,6,0)/1000,0)</f>
        <v>232.23699999999999</v>
      </c>
      <c r="Q796" s="1">
        <f>+IFERROR(VLOOKUP(Q13,'נתוני מים 2014'!$C$2:$L$188,6,0)/1000,0)</f>
        <v>0</v>
      </c>
      <c r="R796" s="1">
        <f>+IFERROR(VLOOKUP(R13,'נתוני מים 2014'!$C$2:$L$188,6,0)/1000,0)</f>
        <v>0</v>
      </c>
      <c r="S796" s="1">
        <f>+IFERROR(VLOOKUP(S13,'נתוני מים 2014'!$C$2:$L$188,6,0)/1000,0)</f>
        <v>0</v>
      </c>
      <c r="T796" s="1">
        <f>+IFERROR(VLOOKUP(T13,'נתוני מים 2014'!$C$2:$L$188,6,0)/1000,0)</f>
        <v>0</v>
      </c>
      <c r="U796" s="1">
        <f>+IFERROR(VLOOKUP(U13,'נתוני מים 2014'!$C$2:$L$188,6,0)/1000,0)</f>
        <v>0</v>
      </c>
      <c r="V796" s="1">
        <f>+IFERROR(VLOOKUP(V13,'נתוני מים 2014'!$C$2:$L$188,6,0)/1000,0)</f>
        <v>302.42099999999999</v>
      </c>
      <c r="W796" s="1">
        <f>+IFERROR(VLOOKUP(W13,'נתוני מים 2014'!$C$2:$L$188,6,0)/1000,0)</f>
        <v>1815.0450000000001</v>
      </c>
      <c r="X796" s="1">
        <f>+IFERROR(VLOOKUP(X13,'נתוני מים 2014'!$C$2:$L$188,6,0)/1000,0)</f>
        <v>0</v>
      </c>
      <c r="Y796" s="1">
        <f>+IFERROR(VLOOKUP(Y13,'נתוני מים 2014'!$C$2:$L$188,6,0)/1000,0)</f>
        <v>0</v>
      </c>
      <c r="Z796" s="1">
        <f>+IFERROR(VLOOKUP(Z13,'נתוני מים 2014'!$C$2:$L$188,6,0)/1000,0)</f>
        <v>0</v>
      </c>
      <c r="AA796" s="1">
        <f>+IFERROR(VLOOKUP(AA13,'נתוני מים 2014'!$C$2:$L$188,6,0)/1000,0)</f>
        <v>0</v>
      </c>
      <c r="AB796" s="1">
        <f>+IFERROR(VLOOKUP(AB13,'נתוני מים 2014'!$C$2:$L$188,6,0)/1000,0)</f>
        <v>0</v>
      </c>
      <c r="AC796" s="1">
        <f>+IFERROR(VLOOKUP(AC13,'נתוני מים 2014'!$C$2:$L$188,6,0)/1000,0)</f>
        <v>0</v>
      </c>
      <c r="AD796" s="1">
        <f>+IFERROR(VLOOKUP(AD13,'נתוני מים 2014'!$C$2:$L$188,6,0)/1000,0)</f>
        <v>0</v>
      </c>
      <c r="AE796" s="1">
        <f>+IFERROR(VLOOKUP(AE13,'נתוני מים 2014'!$C$2:$L$188,6,0)/1000,0)</f>
        <v>0</v>
      </c>
      <c r="AF796" s="1">
        <f>+IFERROR(VLOOKUP(AF13,'נתוני מים 2014'!$C$2:$L$188,6,0)/1000,0)</f>
        <v>0</v>
      </c>
      <c r="AG796" s="1">
        <f>+IFERROR(VLOOKUP(AG13,'נתוני מים 2014'!$C$2:$L$188,6,0)/1000,0)</f>
        <v>0</v>
      </c>
      <c r="AH796" s="1">
        <f>+IFERROR(VLOOKUP(AH13,'נתוני מים 2014'!$C$2:$L$188,6,0)/1000,0)</f>
        <v>0</v>
      </c>
      <c r="AI796" s="1">
        <f>+IFERROR(VLOOKUP(AI13,'נתוני מים 2014'!$C$2:$L$188,6,0)/1000,0)</f>
        <v>0</v>
      </c>
      <c r="AJ796" s="1">
        <f>+IFERROR(VLOOKUP(AJ13,'נתוני מים 2014'!$C$2:$L$188,6,0)/1000,0)</f>
        <v>0</v>
      </c>
      <c r="AK796" s="1">
        <f>+IFERROR(VLOOKUP(AK13,'נתוני מים 2014'!$C$2:$L$188,6,0)/1000,0)</f>
        <v>0</v>
      </c>
      <c r="AL796" s="1">
        <f>+IFERROR(VLOOKUP(AL13,'נתוני מים 2014'!$C$2:$L$188,6,0)/1000,0)</f>
        <v>0</v>
      </c>
      <c r="AM796" s="1">
        <f>+IFERROR(VLOOKUP(AM13,'נתוני מים 2014'!$C$2:$L$188,6,0)/1000,0)</f>
        <v>0</v>
      </c>
      <c r="AN796" s="1">
        <f>+IFERROR(VLOOKUP(AN13,'נתוני מים 2014'!$C$2:$L$188,6,0)/1000,0)</f>
        <v>320.27999999999997</v>
      </c>
      <c r="AO796" s="1">
        <f>+IFERROR(VLOOKUP(AO13,'נתוני מים 2014'!$C$2:$L$188,6,0)/1000,0)</f>
        <v>0</v>
      </c>
      <c r="AP796" s="1">
        <f>+IFERROR(VLOOKUP(AP13,'נתוני מים 2014'!$C$2:$L$188,6,0)/1000,0)</f>
        <v>0</v>
      </c>
      <c r="AQ796" s="1">
        <f>+IFERROR(VLOOKUP(AQ13,'נתוני מים 2014'!$C$2:$L$188,6,0)/1000,0)</f>
        <v>0</v>
      </c>
      <c r="AR796" s="1">
        <f>+IFERROR(VLOOKUP(AR13,'נתוני מים 2014'!$C$2:$L$188,6,0)/1000,0)</f>
        <v>0</v>
      </c>
      <c r="AS796" s="1">
        <f>+IFERROR(VLOOKUP(AS13,'נתוני מים 2014'!$C$2:$L$188,6,0)/1000,0)</f>
        <v>373.73099999999999</v>
      </c>
      <c r="AT796" s="1">
        <f>+IFERROR(VLOOKUP(AT13,'נתוני מים 2014'!$C$2:$L$188,6,0)/1000,0)</f>
        <v>0</v>
      </c>
      <c r="AU796" s="1">
        <f>+IFERROR(VLOOKUP(AU13,'נתוני מים 2014'!$C$2:$L$188,6,0)/1000,0)</f>
        <v>0</v>
      </c>
      <c r="AV796" s="1">
        <f>+IFERROR(VLOOKUP(AV13,'נתוני מים 2014'!$C$2:$L$188,6,0)/1000,0)</f>
        <v>0</v>
      </c>
      <c r="AW796" s="1">
        <f>+IFERROR(VLOOKUP(AW13,'נתוני מים 2014'!$C$2:$L$188,6,0)/1000,0)</f>
        <v>0</v>
      </c>
      <c r="AX796" s="1">
        <f>+IFERROR(VLOOKUP(AX13,'נתוני מים 2014'!$C$2:$L$188,6,0)/1000,0)</f>
        <v>0</v>
      </c>
      <c r="AY796" s="1">
        <f>+IFERROR(VLOOKUP(AY13,'נתוני מים 2014'!$C$2:$L$188,6,0)/1000,0)</f>
        <v>0</v>
      </c>
      <c r="AZ796" s="1">
        <f>+IFERROR(VLOOKUP(AZ13,'נתוני מים 2014'!$C$2:$L$188,6,0)/1000,0)</f>
        <v>0</v>
      </c>
      <c r="BA796" s="1">
        <f>+IFERROR(VLOOKUP(BA13,'נתוני מים 2014'!$C$2:$L$188,6,0)/1000,0)</f>
        <v>0</v>
      </c>
      <c r="BB796" s="1">
        <f>+IFERROR(VLOOKUP(BB13,'נתוני מים 2014'!$C$2:$L$188,6,0)/1000,0)</f>
        <v>180.095</v>
      </c>
      <c r="BC796" s="1">
        <f>+IFERROR(VLOOKUP(BC13,'נתוני מים 2014'!$C$2:$L$188,6,0)/1000,0)</f>
        <v>377.72500000000002</v>
      </c>
      <c r="BD796" s="1">
        <f>+IFERROR(VLOOKUP(BD13,'נתוני מים 2014'!$C$2:$L$188,6,0)/1000,0)</f>
        <v>0</v>
      </c>
      <c r="BE796" s="1">
        <f>+IFERROR(VLOOKUP(BE13,'נתוני מים 2014'!$C$2:$L$188,6,0)/1000,0)</f>
        <v>0</v>
      </c>
      <c r="BF796" s="1">
        <f>+IFERROR(VLOOKUP(BF13,'נתוני מים 2014'!$C$2:$L$188,6,0)/1000,0)</f>
        <v>0</v>
      </c>
    </row>
    <row r="797" spans="1:58" x14ac:dyDescent="0.2">
      <c r="B797" s="1">
        <v>7</v>
      </c>
      <c r="C797" s="1">
        <f>+IFERROR(VLOOKUP(C14,'נתוני מים 2014'!$C$2:$L$188,6,0)/1000,0)</f>
        <v>0</v>
      </c>
      <c r="D797" s="1">
        <f>+IFERROR(VLOOKUP(D14,'נתוני מים 2014'!$C$2:$L$188,6,0)/1000,0)</f>
        <v>243.61500000000001</v>
      </c>
      <c r="E797" s="1">
        <f>+IFERROR(VLOOKUP(E14,'נתוני מים 2014'!$C$2:$L$188,6,0)/1000,0)</f>
        <v>0</v>
      </c>
      <c r="F797" s="1">
        <f>+IFERROR(VLOOKUP(F14,'נתוני מים 2014'!$C$2:$L$188,6,0)/1000,0)</f>
        <v>0</v>
      </c>
      <c r="G797" s="1">
        <f>+IFERROR(VLOOKUP(G14,'נתוני מים 2014'!$C$2:$L$188,6,0)/1000,0)</f>
        <v>0</v>
      </c>
      <c r="H797" s="1">
        <f>+IFERROR(VLOOKUP(H14,'נתוני מים 2014'!$C$2:$L$188,6,0)/1000,0)</f>
        <v>0</v>
      </c>
      <c r="I797" s="1">
        <f>+IFERROR(VLOOKUP(I14,'נתוני מים 2014'!$C$2:$L$188,6,0)/1000,0)</f>
        <v>0</v>
      </c>
      <c r="J797" s="1">
        <f>+IFERROR(VLOOKUP(J14,'נתוני מים 2014'!$C$2:$L$188,6,0)/1000,0)</f>
        <v>0</v>
      </c>
      <c r="K797" s="1">
        <f>+IFERROR(VLOOKUP(K14,'נתוני מים 2014'!$C$2:$L$188,6,0)/1000,0)</f>
        <v>0</v>
      </c>
      <c r="L797" s="1">
        <f>+IFERROR(VLOOKUP(L14,'נתוני מים 2014'!$C$2:$L$188,6,0)/1000,0)</f>
        <v>0</v>
      </c>
      <c r="M797" s="1">
        <f>+IFERROR(VLOOKUP(M14,'נתוני מים 2014'!$C$2:$L$188,6,0)/1000,0)</f>
        <v>0</v>
      </c>
      <c r="N797" s="1">
        <f>+IFERROR(VLOOKUP(N14,'נתוני מים 2014'!$C$2:$L$188,6,0)/1000,0)</f>
        <v>0</v>
      </c>
      <c r="O797" s="1">
        <f>+IFERROR(VLOOKUP(O14,'נתוני מים 2014'!$C$2:$L$188,6,0)/1000,0)</f>
        <v>0</v>
      </c>
      <c r="P797" s="1">
        <f>+IFERROR(VLOOKUP(P14,'נתוני מים 2014'!$C$2:$L$188,6,0)/1000,0)</f>
        <v>286.20699999999999</v>
      </c>
      <c r="Q797" s="1">
        <f>+IFERROR(VLOOKUP(Q14,'נתוני מים 2014'!$C$2:$L$188,6,0)/1000,0)</f>
        <v>0</v>
      </c>
      <c r="R797" s="1">
        <f>+IFERROR(VLOOKUP(R14,'נתוני מים 2014'!$C$2:$L$188,6,0)/1000,0)</f>
        <v>0</v>
      </c>
      <c r="S797" s="1">
        <f>+IFERROR(VLOOKUP(S14,'נתוני מים 2014'!$C$2:$L$188,6,0)/1000,0)</f>
        <v>0</v>
      </c>
      <c r="T797" s="1">
        <f>+IFERROR(VLOOKUP(T14,'נתוני מים 2014'!$C$2:$L$188,6,0)/1000,0)</f>
        <v>0</v>
      </c>
      <c r="U797" s="1">
        <f>+IFERROR(VLOOKUP(U14,'נתוני מים 2014'!$C$2:$L$188,6,0)/1000,0)</f>
        <v>0</v>
      </c>
      <c r="V797" s="1">
        <f>+IFERROR(VLOOKUP(V14,'נתוני מים 2014'!$C$2:$L$188,6,0)/1000,0)</f>
        <v>243.87899999999999</v>
      </c>
      <c r="W797" s="1">
        <f>+IFERROR(VLOOKUP(W14,'נתוני מים 2014'!$C$2:$L$188,6,0)/1000,0)</f>
        <v>238.661</v>
      </c>
      <c r="X797" s="1">
        <f>+IFERROR(VLOOKUP(X14,'נתוני מים 2014'!$C$2:$L$188,6,0)/1000,0)</f>
        <v>0</v>
      </c>
      <c r="Y797" s="1">
        <f>+IFERROR(VLOOKUP(Y14,'נתוני מים 2014'!$C$2:$L$188,6,0)/1000,0)</f>
        <v>0</v>
      </c>
      <c r="Z797" s="1">
        <f>+IFERROR(VLOOKUP(Z14,'נתוני מים 2014'!$C$2:$L$188,6,0)/1000,0)</f>
        <v>0</v>
      </c>
      <c r="AA797" s="1">
        <f>+IFERROR(VLOOKUP(AA14,'נתוני מים 2014'!$C$2:$L$188,6,0)/1000,0)</f>
        <v>0</v>
      </c>
      <c r="AB797" s="1">
        <f>+IFERROR(VLOOKUP(AB14,'נתוני מים 2014'!$C$2:$L$188,6,0)/1000,0)</f>
        <v>0</v>
      </c>
      <c r="AC797" s="1">
        <f>+IFERROR(VLOOKUP(AC14,'נתוני מים 2014'!$C$2:$L$188,6,0)/1000,0)</f>
        <v>0</v>
      </c>
      <c r="AD797" s="1">
        <f>+IFERROR(VLOOKUP(AD14,'נתוני מים 2014'!$C$2:$L$188,6,0)/1000,0)</f>
        <v>0</v>
      </c>
      <c r="AE797" s="1">
        <f>+IFERROR(VLOOKUP(AE14,'נתוני מים 2014'!$C$2:$L$188,6,0)/1000,0)</f>
        <v>0</v>
      </c>
      <c r="AF797" s="1">
        <f>+IFERROR(VLOOKUP(AF14,'נתוני מים 2014'!$C$2:$L$188,6,0)/1000,0)</f>
        <v>0</v>
      </c>
      <c r="AG797" s="1">
        <f>+IFERROR(VLOOKUP(AG14,'נתוני מים 2014'!$C$2:$L$188,6,0)/1000,0)</f>
        <v>0</v>
      </c>
      <c r="AH797" s="1">
        <f>+IFERROR(VLOOKUP(AH14,'נתוני מים 2014'!$C$2:$L$188,6,0)/1000,0)</f>
        <v>0</v>
      </c>
      <c r="AI797" s="1">
        <f>+IFERROR(VLOOKUP(AI14,'נתוני מים 2014'!$C$2:$L$188,6,0)/1000,0)</f>
        <v>0</v>
      </c>
      <c r="AJ797" s="1">
        <f>+IFERROR(VLOOKUP(AJ14,'נתוני מים 2014'!$C$2:$L$188,6,0)/1000,0)</f>
        <v>0</v>
      </c>
      <c r="AK797" s="1">
        <f>+IFERROR(VLOOKUP(AK14,'נתוני מים 2014'!$C$2:$L$188,6,0)/1000,0)</f>
        <v>0</v>
      </c>
      <c r="AL797" s="1">
        <f>+IFERROR(VLOOKUP(AL14,'נתוני מים 2014'!$C$2:$L$188,6,0)/1000,0)</f>
        <v>0</v>
      </c>
      <c r="AM797" s="1">
        <f>+IFERROR(VLOOKUP(AM14,'נתוני מים 2014'!$C$2:$L$188,6,0)/1000,0)</f>
        <v>0</v>
      </c>
      <c r="AN797" s="1">
        <f>+IFERROR(VLOOKUP(AN14,'נתוני מים 2014'!$C$2:$L$188,6,0)/1000,0)</f>
        <v>0</v>
      </c>
      <c r="AO797" s="1">
        <f>+IFERROR(VLOOKUP(AO14,'נתוני מים 2014'!$C$2:$L$188,6,0)/1000,0)</f>
        <v>0</v>
      </c>
      <c r="AP797" s="1">
        <f>+IFERROR(VLOOKUP(AP14,'נתוני מים 2014'!$C$2:$L$188,6,0)/1000,0)</f>
        <v>0</v>
      </c>
      <c r="AQ797" s="1">
        <f>+IFERROR(VLOOKUP(AQ14,'נתוני מים 2014'!$C$2:$L$188,6,0)/1000,0)</f>
        <v>0</v>
      </c>
      <c r="AR797" s="1">
        <f>+IFERROR(VLOOKUP(AR14,'נתוני מים 2014'!$C$2:$L$188,6,0)/1000,0)</f>
        <v>0</v>
      </c>
      <c r="AS797" s="1">
        <f>+IFERROR(VLOOKUP(AS14,'נתוני מים 2014'!$C$2:$L$188,6,0)/1000,0)</f>
        <v>311.25299999999999</v>
      </c>
      <c r="AT797" s="1">
        <f>+IFERROR(VLOOKUP(AT14,'נתוני מים 2014'!$C$2:$L$188,6,0)/1000,0)</f>
        <v>0</v>
      </c>
      <c r="AU797" s="1">
        <f>+IFERROR(VLOOKUP(AU14,'נתוני מים 2014'!$C$2:$L$188,6,0)/1000,0)</f>
        <v>0</v>
      </c>
      <c r="AV797" s="1">
        <f>+IFERROR(VLOOKUP(AV14,'נתוני מים 2014'!$C$2:$L$188,6,0)/1000,0)</f>
        <v>0</v>
      </c>
      <c r="AW797" s="1">
        <f>+IFERROR(VLOOKUP(AW14,'נתוני מים 2014'!$C$2:$L$188,6,0)/1000,0)</f>
        <v>0</v>
      </c>
      <c r="AX797" s="1">
        <f>+IFERROR(VLOOKUP(AX14,'נתוני מים 2014'!$C$2:$L$188,6,0)/1000,0)</f>
        <v>0</v>
      </c>
      <c r="AY797" s="1">
        <f>+IFERROR(VLOOKUP(AY14,'נתוני מים 2014'!$C$2:$L$188,6,0)/1000,0)</f>
        <v>0</v>
      </c>
      <c r="AZ797" s="1">
        <f>+IFERROR(VLOOKUP(AZ14,'נתוני מים 2014'!$C$2:$L$188,6,0)/1000,0)</f>
        <v>0</v>
      </c>
      <c r="BA797" s="1">
        <f>+IFERROR(VLOOKUP(BA14,'נתוני מים 2014'!$C$2:$L$188,6,0)/1000,0)</f>
        <v>0</v>
      </c>
      <c r="BB797" s="1">
        <f>+IFERROR(VLOOKUP(BB14,'נתוני מים 2014'!$C$2:$L$188,6,0)/1000,0)</f>
        <v>267.56799999999998</v>
      </c>
      <c r="BC797" s="1">
        <f>+IFERROR(VLOOKUP(BC14,'נתוני מים 2014'!$C$2:$L$188,6,0)/1000,0)</f>
        <v>684.43399999999997</v>
      </c>
      <c r="BD797" s="1">
        <f>+IFERROR(VLOOKUP(BD14,'נתוני מים 2014'!$C$2:$L$188,6,0)/1000,0)</f>
        <v>0</v>
      </c>
      <c r="BE797" s="1">
        <f>+IFERROR(VLOOKUP(BE14,'נתוני מים 2014'!$C$2:$L$188,6,0)/1000,0)</f>
        <v>0</v>
      </c>
      <c r="BF797" s="1">
        <f>+IFERROR(VLOOKUP(BF14,'נתוני מים 2014'!$C$2:$L$188,6,0)/1000,0)</f>
        <v>0</v>
      </c>
    </row>
    <row r="798" spans="1:58" x14ac:dyDescent="0.2">
      <c r="B798" s="1">
        <v>8</v>
      </c>
      <c r="C798" s="1">
        <f>+IFERROR(VLOOKUP(C15,'נתוני מים 2014'!$C$2:$L$188,6,0)/1000,0)</f>
        <v>0</v>
      </c>
      <c r="D798" s="1">
        <f>+IFERROR(VLOOKUP(D15,'נתוני מים 2014'!$C$2:$L$188,6,0)/1000,0)</f>
        <v>0</v>
      </c>
      <c r="E798" s="1">
        <f>+IFERROR(VLOOKUP(E15,'נתוני מים 2014'!$C$2:$L$188,6,0)/1000,0)</f>
        <v>0</v>
      </c>
      <c r="F798" s="1">
        <f>+IFERROR(VLOOKUP(F15,'נתוני מים 2014'!$C$2:$L$188,6,0)/1000,0)</f>
        <v>0</v>
      </c>
      <c r="G798" s="1">
        <f>+IFERROR(VLOOKUP(G15,'נתוני מים 2014'!$C$2:$L$188,6,0)/1000,0)</f>
        <v>0</v>
      </c>
      <c r="H798" s="1">
        <f>+IFERROR(VLOOKUP(H15,'נתוני מים 2014'!$C$2:$L$188,6,0)/1000,0)</f>
        <v>0</v>
      </c>
      <c r="I798" s="1">
        <f>+IFERROR(VLOOKUP(I15,'נתוני מים 2014'!$C$2:$L$188,6,0)/1000,0)</f>
        <v>0</v>
      </c>
      <c r="J798" s="1">
        <f>+IFERROR(VLOOKUP(J15,'נתוני מים 2014'!$C$2:$L$188,6,0)/1000,0)</f>
        <v>0</v>
      </c>
      <c r="K798" s="1">
        <f>+IFERROR(VLOOKUP(K15,'נתוני מים 2014'!$C$2:$L$188,6,0)/1000,0)</f>
        <v>0</v>
      </c>
      <c r="L798" s="1">
        <f>+IFERROR(VLOOKUP(L15,'נתוני מים 2014'!$C$2:$L$188,6,0)/1000,0)</f>
        <v>0</v>
      </c>
      <c r="M798" s="1">
        <f>+IFERROR(VLOOKUP(M15,'נתוני מים 2014'!$C$2:$L$188,6,0)/1000,0)</f>
        <v>0</v>
      </c>
      <c r="N798" s="1">
        <f>+IFERROR(VLOOKUP(N15,'נתוני מים 2014'!$C$2:$L$188,6,0)/1000,0)</f>
        <v>0</v>
      </c>
      <c r="O798" s="1">
        <f>+IFERROR(VLOOKUP(O15,'נתוני מים 2014'!$C$2:$L$188,6,0)/1000,0)</f>
        <v>0</v>
      </c>
      <c r="P798" s="1">
        <f>+IFERROR(VLOOKUP(P15,'נתוני מים 2014'!$C$2:$L$188,6,0)/1000,0)</f>
        <v>158.52000000000001</v>
      </c>
      <c r="Q798" s="1">
        <f>+IFERROR(VLOOKUP(Q15,'נתוני מים 2014'!$C$2:$L$188,6,0)/1000,0)</f>
        <v>0</v>
      </c>
      <c r="R798" s="1">
        <f>+IFERROR(VLOOKUP(R15,'נתוני מים 2014'!$C$2:$L$188,6,0)/1000,0)</f>
        <v>0</v>
      </c>
      <c r="S798" s="1">
        <f>+IFERROR(VLOOKUP(S15,'נתוני מים 2014'!$C$2:$L$188,6,0)/1000,0)</f>
        <v>0</v>
      </c>
      <c r="T798" s="1">
        <f>+IFERROR(VLOOKUP(T15,'נתוני מים 2014'!$C$2:$L$188,6,0)/1000,0)</f>
        <v>0</v>
      </c>
      <c r="U798" s="1">
        <f>+IFERROR(VLOOKUP(U15,'נתוני מים 2014'!$C$2:$L$188,6,0)/1000,0)</f>
        <v>0</v>
      </c>
      <c r="V798" s="1">
        <f>+IFERROR(VLOOKUP(V15,'נתוני מים 2014'!$C$2:$L$188,6,0)/1000,0)</f>
        <v>0</v>
      </c>
      <c r="W798" s="1">
        <f>+IFERROR(VLOOKUP(W15,'נתוני מים 2014'!$C$2:$L$188,6,0)/1000,0)</f>
        <v>0</v>
      </c>
      <c r="X798" s="1">
        <f>+IFERROR(VLOOKUP(X15,'נתוני מים 2014'!$C$2:$L$188,6,0)/1000,0)</f>
        <v>0</v>
      </c>
      <c r="Y798" s="1">
        <f>+IFERROR(VLOOKUP(Y15,'נתוני מים 2014'!$C$2:$L$188,6,0)/1000,0)</f>
        <v>0</v>
      </c>
      <c r="Z798" s="1">
        <f>+IFERROR(VLOOKUP(Z15,'נתוני מים 2014'!$C$2:$L$188,6,0)/1000,0)</f>
        <v>0</v>
      </c>
      <c r="AA798" s="1">
        <f>+IFERROR(VLOOKUP(AA15,'נתוני מים 2014'!$C$2:$L$188,6,0)/1000,0)</f>
        <v>0</v>
      </c>
      <c r="AB798" s="1">
        <f>+IFERROR(VLOOKUP(AB15,'נתוני מים 2014'!$C$2:$L$188,6,0)/1000,0)</f>
        <v>0</v>
      </c>
      <c r="AC798" s="1">
        <f>+IFERROR(VLOOKUP(AC15,'נתוני מים 2014'!$C$2:$L$188,6,0)/1000,0)</f>
        <v>0</v>
      </c>
      <c r="AD798" s="1">
        <f>+IFERROR(VLOOKUP(AD15,'נתוני מים 2014'!$C$2:$L$188,6,0)/1000,0)</f>
        <v>0</v>
      </c>
      <c r="AE798" s="1">
        <f>+IFERROR(VLOOKUP(AE15,'נתוני מים 2014'!$C$2:$L$188,6,0)/1000,0)</f>
        <v>0</v>
      </c>
      <c r="AF798" s="1">
        <f>+IFERROR(VLOOKUP(AF15,'נתוני מים 2014'!$C$2:$L$188,6,0)/1000,0)</f>
        <v>0</v>
      </c>
      <c r="AG798" s="1">
        <f>+IFERROR(VLOOKUP(AG15,'נתוני מים 2014'!$C$2:$L$188,6,0)/1000,0)</f>
        <v>0</v>
      </c>
      <c r="AH798" s="1">
        <f>+IFERROR(VLOOKUP(AH15,'נתוני מים 2014'!$C$2:$L$188,6,0)/1000,0)</f>
        <v>0</v>
      </c>
      <c r="AI798" s="1">
        <f>+IFERROR(VLOOKUP(AI15,'נתוני מים 2014'!$C$2:$L$188,6,0)/1000,0)</f>
        <v>0</v>
      </c>
      <c r="AJ798" s="1">
        <f>+IFERROR(VLOOKUP(AJ15,'נתוני מים 2014'!$C$2:$L$188,6,0)/1000,0)</f>
        <v>0</v>
      </c>
      <c r="AK798" s="1">
        <f>+IFERROR(VLOOKUP(AK15,'נתוני מים 2014'!$C$2:$L$188,6,0)/1000,0)</f>
        <v>0</v>
      </c>
      <c r="AL798" s="1">
        <f>+IFERROR(VLOOKUP(AL15,'נתוני מים 2014'!$C$2:$L$188,6,0)/1000,0)</f>
        <v>0</v>
      </c>
      <c r="AM798" s="1">
        <f>+IFERROR(VLOOKUP(AM15,'נתוני מים 2014'!$C$2:$L$188,6,0)/1000,0)</f>
        <v>0</v>
      </c>
      <c r="AN798" s="1">
        <f>+IFERROR(VLOOKUP(AN15,'נתוני מים 2014'!$C$2:$L$188,6,0)/1000,0)</f>
        <v>0</v>
      </c>
      <c r="AO798" s="1">
        <f>+IFERROR(VLOOKUP(AO15,'נתוני מים 2014'!$C$2:$L$188,6,0)/1000,0)</f>
        <v>0</v>
      </c>
      <c r="AP798" s="1">
        <f>+IFERROR(VLOOKUP(AP15,'נתוני מים 2014'!$C$2:$L$188,6,0)/1000,0)</f>
        <v>0</v>
      </c>
      <c r="AQ798" s="1">
        <f>+IFERROR(VLOOKUP(AQ15,'נתוני מים 2014'!$C$2:$L$188,6,0)/1000,0)</f>
        <v>0</v>
      </c>
      <c r="AR798" s="1">
        <f>+IFERROR(VLOOKUP(AR15,'נתוני מים 2014'!$C$2:$L$188,6,0)/1000,0)</f>
        <v>0</v>
      </c>
      <c r="AS798" s="1">
        <f>+IFERROR(VLOOKUP(AS15,'נתוני מים 2014'!$C$2:$L$188,6,0)/1000,0)</f>
        <v>640.03899999999999</v>
      </c>
      <c r="AT798" s="1">
        <f>+IFERROR(VLOOKUP(AT15,'נתוני מים 2014'!$C$2:$L$188,6,0)/1000,0)</f>
        <v>0</v>
      </c>
      <c r="AU798" s="1">
        <f>+IFERROR(VLOOKUP(AU15,'נתוני מים 2014'!$C$2:$L$188,6,0)/1000,0)</f>
        <v>0</v>
      </c>
      <c r="AV798" s="1">
        <f>+IFERROR(VLOOKUP(AV15,'נתוני מים 2014'!$C$2:$L$188,6,0)/1000,0)</f>
        <v>0</v>
      </c>
      <c r="AW798" s="1">
        <f>+IFERROR(VLOOKUP(AW15,'נתוני מים 2014'!$C$2:$L$188,6,0)/1000,0)</f>
        <v>0</v>
      </c>
      <c r="AX798" s="1">
        <f>+IFERROR(VLOOKUP(AX15,'נתוני מים 2014'!$C$2:$L$188,6,0)/1000,0)</f>
        <v>0</v>
      </c>
      <c r="AY798" s="1">
        <f>+IFERROR(VLOOKUP(AY15,'נתוני מים 2014'!$C$2:$L$188,6,0)/1000,0)</f>
        <v>0</v>
      </c>
      <c r="AZ798" s="1">
        <f>+IFERROR(VLOOKUP(AZ15,'נתוני מים 2014'!$C$2:$L$188,6,0)/1000,0)</f>
        <v>0</v>
      </c>
      <c r="BA798" s="1">
        <f>+IFERROR(VLOOKUP(BA15,'נתוני מים 2014'!$C$2:$L$188,6,0)/1000,0)</f>
        <v>0</v>
      </c>
      <c r="BB798" s="1">
        <f>+IFERROR(VLOOKUP(BB15,'נתוני מים 2014'!$C$2:$L$188,6,0)/1000,0)</f>
        <v>0</v>
      </c>
      <c r="BC798" s="1">
        <f>+IFERROR(VLOOKUP(BC15,'נתוני מים 2014'!$C$2:$L$188,6,0)/1000,0)</f>
        <v>0</v>
      </c>
      <c r="BD798" s="1">
        <f>+IFERROR(VLOOKUP(BD15,'נתוני מים 2014'!$C$2:$L$188,6,0)/1000,0)</f>
        <v>0</v>
      </c>
      <c r="BE798" s="1">
        <f>+IFERROR(VLOOKUP(BE15,'נתוני מים 2014'!$C$2:$L$188,6,0)/1000,0)</f>
        <v>0</v>
      </c>
      <c r="BF798" s="1">
        <f>+IFERROR(VLOOKUP(BF15,'נתוני מים 2014'!$C$2:$L$188,6,0)/1000,0)</f>
        <v>0</v>
      </c>
    </row>
    <row r="799" spans="1:58" x14ac:dyDescent="0.2">
      <c r="B799" s="1">
        <v>9</v>
      </c>
      <c r="C799" s="1">
        <f>+IFERROR(VLOOKUP(C16,'נתוני מים 2014'!$C$2:$L$188,6,0)/1000,0)</f>
        <v>0</v>
      </c>
      <c r="D799" s="1">
        <f>+IFERROR(VLOOKUP(D16,'נתוני מים 2014'!$C$2:$L$188,6,0)/1000,0)</f>
        <v>0</v>
      </c>
      <c r="E799" s="1">
        <f>+IFERROR(VLOOKUP(E16,'נתוני מים 2014'!$C$2:$L$188,6,0)/1000,0)</f>
        <v>0</v>
      </c>
      <c r="F799" s="1">
        <f>+IFERROR(VLOOKUP(F16,'נתוני מים 2014'!$C$2:$L$188,6,0)/1000,0)</f>
        <v>0</v>
      </c>
      <c r="G799" s="1">
        <f>+IFERROR(VLOOKUP(G16,'נתוני מים 2014'!$C$2:$L$188,6,0)/1000,0)</f>
        <v>0</v>
      </c>
      <c r="H799" s="1">
        <f>+IFERROR(VLOOKUP(H16,'נתוני מים 2014'!$C$2:$L$188,6,0)/1000,0)</f>
        <v>0</v>
      </c>
      <c r="I799" s="1">
        <f>+IFERROR(VLOOKUP(I16,'נתוני מים 2014'!$C$2:$L$188,6,0)/1000,0)</f>
        <v>0</v>
      </c>
      <c r="J799" s="1">
        <f>+IFERROR(VLOOKUP(J16,'נתוני מים 2014'!$C$2:$L$188,6,0)/1000,0)</f>
        <v>0</v>
      </c>
      <c r="K799" s="1">
        <f>+IFERROR(VLOOKUP(K16,'נתוני מים 2014'!$C$2:$L$188,6,0)/1000,0)</f>
        <v>0</v>
      </c>
      <c r="L799" s="1">
        <f>+IFERROR(VLOOKUP(L16,'נתוני מים 2014'!$C$2:$L$188,6,0)/1000,0)</f>
        <v>0</v>
      </c>
      <c r="M799" s="1">
        <f>+IFERROR(VLOOKUP(M16,'נתוני מים 2014'!$C$2:$L$188,6,0)/1000,0)</f>
        <v>0</v>
      </c>
      <c r="N799" s="1">
        <f>+IFERROR(VLOOKUP(N16,'נתוני מים 2014'!$C$2:$L$188,6,0)/1000,0)</f>
        <v>0</v>
      </c>
      <c r="O799" s="1">
        <f>+IFERROR(VLOOKUP(O16,'נתוני מים 2014'!$C$2:$L$188,6,0)/1000,0)</f>
        <v>0</v>
      </c>
      <c r="P799" s="1">
        <f>+IFERROR(VLOOKUP(P16,'נתוני מים 2014'!$C$2:$L$188,6,0)/1000,0)</f>
        <v>921.95799999999997</v>
      </c>
      <c r="Q799" s="1">
        <f>+IFERROR(VLOOKUP(Q16,'נתוני מים 2014'!$C$2:$L$188,6,0)/1000,0)</f>
        <v>0</v>
      </c>
      <c r="R799" s="1">
        <f>+IFERROR(VLOOKUP(R16,'נתוני מים 2014'!$C$2:$L$188,6,0)/1000,0)</f>
        <v>0</v>
      </c>
      <c r="S799" s="1">
        <f>+IFERROR(VLOOKUP(S16,'נתוני מים 2014'!$C$2:$L$188,6,0)/1000,0)</f>
        <v>0</v>
      </c>
      <c r="T799" s="1">
        <f>+IFERROR(VLOOKUP(T16,'נתוני מים 2014'!$C$2:$L$188,6,0)/1000,0)</f>
        <v>0</v>
      </c>
      <c r="U799" s="1">
        <f>+IFERROR(VLOOKUP(U16,'נתוני מים 2014'!$C$2:$L$188,6,0)/1000,0)</f>
        <v>0</v>
      </c>
      <c r="V799" s="1">
        <f>+IFERROR(VLOOKUP(V16,'נתוני מים 2014'!$C$2:$L$188,6,0)/1000,0)</f>
        <v>0</v>
      </c>
      <c r="W799" s="1">
        <f>+IFERROR(VLOOKUP(W16,'נתוני מים 2014'!$C$2:$L$188,6,0)/1000,0)</f>
        <v>0</v>
      </c>
      <c r="X799" s="1">
        <f>+IFERROR(VLOOKUP(X16,'נתוני מים 2014'!$C$2:$L$188,6,0)/1000,0)</f>
        <v>0</v>
      </c>
      <c r="Y799" s="1">
        <f>+IFERROR(VLOOKUP(Y16,'נתוני מים 2014'!$C$2:$L$188,6,0)/1000,0)</f>
        <v>0</v>
      </c>
      <c r="Z799" s="1">
        <f>+IFERROR(VLOOKUP(Z16,'נתוני מים 2014'!$C$2:$L$188,6,0)/1000,0)</f>
        <v>0</v>
      </c>
      <c r="AA799" s="1">
        <f>+IFERROR(VLOOKUP(AA16,'נתוני מים 2014'!$C$2:$L$188,6,0)/1000,0)</f>
        <v>0</v>
      </c>
      <c r="AB799" s="1">
        <f>+IFERROR(VLOOKUP(AB16,'נתוני מים 2014'!$C$2:$L$188,6,0)/1000,0)</f>
        <v>0</v>
      </c>
      <c r="AC799" s="1">
        <f>+IFERROR(VLOOKUP(AC16,'נתוני מים 2014'!$C$2:$L$188,6,0)/1000,0)</f>
        <v>0</v>
      </c>
      <c r="AD799" s="1">
        <f>+IFERROR(VLOOKUP(AD16,'נתוני מים 2014'!$C$2:$L$188,6,0)/1000,0)</f>
        <v>0</v>
      </c>
      <c r="AE799" s="1">
        <f>+IFERROR(VLOOKUP(AE16,'נתוני מים 2014'!$C$2:$L$188,6,0)/1000,0)</f>
        <v>0</v>
      </c>
      <c r="AF799" s="1">
        <f>+IFERROR(VLOOKUP(AF16,'נתוני מים 2014'!$C$2:$L$188,6,0)/1000,0)</f>
        <v>0</v>
      </c>
      <c r="AG799" s="1">
        <f>+IFERROR(VLOOKUP(AG16,'נתוני מים 2014'!$C$2:$L$188,6,0)/1000,0)</f>
        <v>0</v>
      </c>
      <c r="AH799" s="1">
        <f>+IFERROR(VLOOKUP(AH16,'נתוני מים 2014'!$C$2:$L$188,6,0)/1000,0)</f>
        <v>0</v>
      </c>
      <c r="AI799" s="1">
        <f>+IFERROR(VLOOKUP(AI16,'נתוני מים 2014'!$C$2:$L$188,6,0)/1000,0)</f>
        <v>0</v>
      </c>
      <c r="AJ799" s="1">
        <f>+IFERROR(VLOOKUP(AJ16,'נתוני מים 2014'!$C$2:$L$188,6,0)/1000,0)</f>
        <v>0</v>
      </c>
      <c r="AK799" s="1">
        <f>+IFERROR(VLOOKUP(AK16,'נתוני מים 2014'!$C$2:$L$188,6,0)/1000,0)</f>
        <v>0</v>
      </c>
      <c r="AL799" s="1">
        <f>+IFERROR(VLOOKUP(AL16,'נתוני מים 2014'!$C$2:$L$188,6,0)/1000,0)</f>
        <v>0</v>
      </c>
      <c r="AM799" s="1">
        <f>+IFERROR(VLOOKUP(AM16,'נתוני מים 2014'!$C$2:$L$188,6,0)/1000,0)</f>
        <v>0</v>
      </c>
      <c r="AN799" s="1">
        <f>+IFERROR(VLOOKUP(AN16,'נתוני מים 2014'!$C$2:$L$188,6,0)/1000,0)</f>
        <v>0</v>
      </c>
      <c r="AO799" s="1">
        <f>+IFERROR(VLOOKUP(AO16,'נתוני מים 2014'!$C$2:$L$188,6,0)/1000,0)</f>
        <v>0</v>
      </c>
      <c r="AP799" s="1">
        <f>+IFERROR(VLOOKUP(AP16,'נתוני מים 2014'!$C$2:$L$188,6,0)/1000,0)</f>
        <v>0</v>
      </c>
      <c r="AQ799" s="1">
        <f>+IFERROR(VLOOKUP(AQ16,'נתוני מים 2014'!$C$2:$L$188,6,0)/1000,0)</f>
        <v>0</v>
      </c>
      <c r="AR799" s="1">
        <f>+IFERROR(VLOOKUP(AR16,'נתוני מים 2014'!$C$2:$L$188,6,0)/1000,0)</f>
        <v>0</v>
      </c>
      <c r="AS799" s="1">
        <f>+IFERROR(VLOOKUP(AS16,'נתוני מים 2014'!$C$2:$L$188,6,0)/1000,0)</f>
        <v>189.40899999999999</v>
      </c>
      <c r="AT799" s="1">
        <f>+IFERROR(VLOOKUP(AT16,'נתוני מים 2014'!$C$2:$L$188,6,0)/1000,0)</f>
        <v>0</v>
      </c>
      <c r="AU799" s="1">
        <f>+IFERROR(VLOOKUP(AU16,'נתוני מים 2014'!$C$2:$L$188,6,0)/1000,0)</f>
        <v>0</v>
      </c>
      <c r="AV799" s="1">
        <f>+IFERROR(VLOOKUP(AV16,'נתוני מים 2014'!$C$2:$L$188,6,0)/1000,0)</f>
        <v>0</v>
      </c>
      <c r="AW799" s="1">
        <f>+IFERROR(VLOOKUP(AW16,'נתוני מים 2014'!$C$2:$L$188,6,0)/1000,0)</f>
        <v>0</v>
      </c>
      <c r="AX799" s="1">
        <f>+IFERROR(VLOOKUP(AX16,'נתוני מים 2014'!$C$2:$L$188,6,0)/1000,0)</f>
        <v>0</v>
      </c>
      <c r="AY799" s="1">
        <f>+IFERROR(VLOOKUP(AY16,'נתוני מים 2014'!$C$2:$L$188,6,0)/1000,0)</f>
        <v>0</v>
      </c>
      <c r="AZ799" s="1">
        <f>+IFERROR(VLOOKUP(AZ16,'נתוני מים 2014'!$C$2:$L$188,6,0)/1000,0)</f>
        <v>0</v>
      </c>
      <c r="BA799" s="1">
        <f>+IFERROR(VLOOKUP(BA16,'נתוני מים 2014'!$C$2:$L$188,6,0)/1000,0)</f>
        <v>0</v>
      </c>
      <c r="BB799" s="1">
        <f>+IFERROR(VLOOKUP(BB16,'נתוני מים 2014'!$C$2:$L$188,6,0)/1000,0)</f>
        <v>0</v>
      </c>
      <c r="BC799" s="1">
        <f>+IFERROR(VLOOKUP(BC16,'נתוני מים 2014'!$C$2:$L$188,6,0)/1000,0)</f>
        <v>0</v>
      </c>
      <c r="BD799" s="1">
        <f>+IFERROR(VLOOKUP(BD16,'נתוני מים 2014'!$C$2:$L$188,6,0)/1000,0)</f>
        <v>0</v>
      </c>
      <c r="BE799" s="1">
        <f>+IFERROR(VLOOKUP(BE16,'נתוני מים 2014'!$C$2:$L$188,6,0)/1000,0)</f>
        <v>0</v>
      </c>
      <c r="BF799" s="1">
        <f>+IFERROR(VLOOKUP(BF16,'נתוני מים 2014'!$C$2:$L$188,6,0)/1000,0)</f>
        <v>0</v>
      </c>
    </row>
    <row r="800" spans="1:58" x14ac:dyDescent="0.2">
      <c r="B800" s="1">
        <v>10</v>
      </c>
      <c r="C800" s="1">
        <f>+IFERROR(VLOOKUP(C17,'נתוני מים 2014'!$C$2:$L$188,6,0)/1000,0)</f>
        <v>0</v>
      </c>
      <c r="D800" s="1">
        <f>+IFERROR(VLOOKUP(D17,'נתוני מים 2014'!$C$2:$L$188,6,0)/1000,0)</f>
        <v>0</v>
      </c>
      <c r="E800" s="1">
        <f>+IFERROR(VLOOKUP(E17,'נתוני מים 2014'!$C$2:$L$188,6,0)/1000,0)</f>
        <v>0</v>
      </c>
      <c r="F800" s="1">
        <f>+IFERROR(VLOOKUP(F17,'נתוני מים 2014'!$C$2:$L$188,6,0)/1000,0)</f>
        <v>0</v>
      </c>
      <c r="G800" s="1">
        <f>+IFERROR(VLOOKUP(G17,'נתוני מים 2014'!$C$2:$L$188,6,0)/1000,0)</f>
        <v>0</v>
      </c>
      <c r="H800" s="1">
        <f>+IFERROR(VLOOKUP(H17,'נתוני מים 2014'!$C$2:$L$188,6,0)/1000,0)</f>
        <v>0</v>
      </c>
      <c r="I800" s="1">
        <f>+IFERROR(VLOOKUP(I17,'נתוני מים 2014'!$C$2:$L$188,6,0)/1000,0)</f>
        <v>0</v>
      </c>
      <c r="J800" s="1">
        <f>+IFERROR(VLOOKUP(J17,'נתוני מים 2014'!$C$2:$L$188,6,0)/1000,0)</f>
        <v>0</v>
      </c>
      <c r="K800" s="1">
        <f>+IFERROR(VLOOKUP(K17,'נתוני מים 2014'!$C$2:$L$188,6,0)/1000,0)</f>
        <v>0</v>
      </c>
      <c r="L800" s="1">
        <f>+IFERROR(VLOOKUP(L17,'נתוני מים 2014'!$C$2:$L$188,6,0)/1000,0)</f>
        <v>0</v>
      </c>
      <c r="M800" s="1">
        <f>+IFERROR(VLOOKUP(M17,'נתוני מים 2014'!$C$2:$L$188,6,0)/1000,0)</f>
        <v>0</v>
      </c>
      <c r="N800" s="1">
        <f>+IFERROR(VLOOKUP(N17,'נתוני מים 2014'!$C$2:$L$188,6,0)/1000,0)</f>
        <v>0</v>
      </c>
      <c r="O800" s="1">
        <f>+IFERROR(VLOOKUP(O17,'נתוני מים 2014'!$C$2:$L$188,6,0)/1000,0)</f>
        <v>0</v>
      </c>
      <c r="P800" s="1">
        <f>+IFERROR(VLOOKUP(P17,'נתוני מים 2014'!$C$2:$L$188,6,0)/1000,0)</f>
        <v>383.44299999999998</v>
      </c>
      <c r="Q800" s="1">
        <f>+IFERROR(VLOOKUP(Q17,'נתוני מים 2014'!$C$2:$L$188,6,0)/1000,0)</f>
        <v>0</v>
      </c>
      <c r="R800" s="1">
        <f>+IFERROR(VLOOKUP(R17,'נתוני מים 2014'!$C$2:$L$188,6,0)/1000,0)</f>
        <v>0</v>
      </c>
      <c r="S800" s="1">
        <f>+IFERROR(VLOOKUP(S17,'נתוני מים 2014'!$C$2:$L$188,6,0)/1000,0)</f>
        <v>0</v>
      </c>
      <c r="T800" s="1">
        <f>+IFERROR(VLOOKUP(T17,'נתוני מים 2014'!$C$2:$L$188,6,0)/1000,0)</f>
        <v>0</v>
      </c>
      <c r="U800" s="1">
        <f>+IFERROR(VLOOKUP(U17,'נתוני מים 2014'!$C$2:$L$188,6,0)/1000,0)</f>
        <v>0</v>
      </c>
      <c r="V800" s="1">
        <f>+IFERROR(VLOOKUP(V17,'נתוני מים 2014'!$C$2:$L$188,6,0)/1000,0)</f>
        <v>0</v>
      </c>
      <c r="W800" s="1">
        <f>+IFERROR(VLOOKUP(W17,'נתוני מים 2014'!$C$2:$L$188,6,0)/1000,0)</f>
        <v>0</v>
      </c>
      <c r="X800" s="1">
        <f>+IFERROR(VLOOKUP(X17,'נתוני מים 2014'!$C$2:$L$188,6,0)/1000,0)</f>
        <v>0</v>
      </c>
      <c r="Y800" s="1">
        <f>+IFERROR(VLOOKUP(Y17,'נתוני מים 2014'!$C$2:$L$188,6,0)/1000,0)</f>
        <v>0</v>
      </c>
      <c r="Z800" s="1">
        <f>+IFERROR(VLOOKUP(Z17,'נתוני מים 2014'!$C$2:$L$188,6,0)/1000,0)</f>
        <v>0</v>
      </c>
      <c r="AA800" s="1">
        <f>+IFERROR(VLOOKUP(AA17,'נתוני מים 2014'!$C$2:$L$188,6,0)/1000,0)</f>
        <v>0</v>
      </c>
      <c r="AB800" s="1">
        <f>+IFERROR(VLOOKUP(AB17,'נתוני מים 2014'!$C$2:$L$188,6,0)/1000,0)</f>
        <v>0</v>
      </c>
      <c r="AC800" s="1">
        <f>+IFERROR(VLOOKUP(AC17,'נתוני מים 2014'!$C$2:$L$188,6,0)/1000,0)</f>
        <v>0</v>
      </c>
      <c r="AD800" s="1">
        <f>+IFERROR(VLOOKUP(AD17,'נתוני מים 2014'!$C$2:$L$188,6,0)/1000,0)</f>
        <v>0</v>
      </c>
      <c r="AE800" s="1">
        <f>+IFERROR(VLOOKUP(AE17,'נתוני מים 2014'!$C$2:$L$188,6,0)/1000,0)</f>
        <v>0</v>
      </c>
      <c r="AF800" s="1">
        <f>+IFERROR(VLOOKUP(AF17,'נתוני מים 2014'!$C$2:$L$188,6,0)/1000,0)</f>
        <v>0</v>
      </c>
      <c r="AG800" s="1">
        <f>+IFERROR(VLOOKUP(AG17,'נתוני מים 2014'!$C$2:$L$188,6,0)/1000,0)</f>
        <v>0</v>
      </c>
      <c r="AH800" s="1">
        <f>+IFERROR(VLOOKUP(AH17,'נתוני מים 2014'!$C$2:$L$188,6,0)/1000,0)</f>
        <v>0</v>
      </c>
      <c r="AI800" s="1">
        <f>+IFERROR(VLOOKUP(AI17,'נתוני מים 2014'!$C$2:$L$188,6,0)/1000,0)</f>
        <v>0</v>
      </c>
      <c r="AJ800" s="1">
        <f>+IFERROR(VLOOKUP(AJ17,'נתוני מים 2014'!$C$2:$L$188,6,0)/1000,0)</f>
        <v>0</v>
      </c>
      <c r="AK800" s="1">
        <f>+IFERROR(VLOOKUP(AK17,'נתוני מים 2014'!$C$2:$L$188,6,0)/1000,0)</f>
        <v>0</v>
      </c>
      <c r="AL800" s="1">
        <f>+IFERROR(VLOOKUP(AL17,'נתוני מים 2014'!$C$2:$L$188,6,0)/1000,0)</f>
        <v>0</v>
      </c>
      <c r="AM800" s="1">
        <f>+IFERROR(VLOOKUP(AM17,'נתוני מים 2014'!$C$2:$L$188,6,0)/1000,0)</f>
        <v>0</v>
      </c>
      <c r="AN800" s="1">
        <f>+IFERROR(VLOOKUP(AN17,'נתוני מים 2014'!$C$2:$L$188,6,0)/1000,0)</f>
        <v>0</v>
      </c>
      <c r="AO800" s="1">
        <f>+IFERROR(VLOOKUP(AO17,'נתוני מים 2014'!$C$2:$L$188,6,0)/1000,0)</f>
        <v>0</v>
      </c>
      <c r="AP800" s="1">
        <f>+IFERROR(VLOOKUP(AP17,'נתוני מים 2014'!$C$2:$L$188,6,0)/1000,0)</f>
        <v>0</v>
      </c>
      <c r="AQ800" s="1">
        <f>+IFERROR(VLOOKUP(AQ17,'נתוני מים 2014'!$C$2:$L$188,6,0)/1000,0)</f>
        <v>0</v>
      </c>
      <c r="AR800" s="1">
        <f>+IFERROR(VLOOKUP(AR17,'נתוני מים 2014'!$C$2:$L$188,6,0)/1000,0)</f>
        <v>0</v>
      </c>
      <c r="AS800" s="1">
        <f>+IFERROR(VLOOKUP(AS17,'נתוני מים 2014'!$C$2:$L$188,6,0)/1000,0)</f>
        <v>395.53899999999999</v>
      </c>
      <c r="AT800" s="1">
        <f>+IFERROR(VLOOKUP(AT17,'נתוני מים 2014'!$C$2:$L$188,6,0)/1000,0)</f>
        <v>0</v>
      </c>
      <c r="AU800" s="1">
        <f>+IFERROR(VLOOKUP(AU17,'נתוני מים 2014'!$C$2:$L$188,6,0)/1000,0)</f>
        <v>0</v>
      </c>
      <c r="AV800" s="1">
        <f>+IFERROR(VLOOKUP(AV17,'נתוני מים 2014'!$C$2:$L$188,6,0)/1000,0)</f>
        <v>0</v>
      </c>
      <c r="AW800" s="1">
        <f>+IFERROR(VLOOKUP(AW17,'נתוני מים 2014'!$C$2:$L$188,6,0)/1000,0)</f>
        <v>0</v>
      </c>
      <c r="AX800" s="1">
        <f>+IFERROR(VLOOKUP(AX17,'נתוני מים 2014'!$C$2:$L$188,6,0)/1000,0)</f>
        <v>0</v>
      </c>
      <c r="AY800" s="1">
        <f>+IFERROR(VLOOKUP(AY17,'נתוני מים 2014'!$C$2:$L$188,6,0)/1000,0)</f>
        <v>0</v>
      </c>
      <c r="AZ800" s="1">
        <f>+IFERROR(VLOOKUP(AZ17,'נתוני מים 2014'!$C$2:$L$188,6,0)/1000,0)</f>
        <v>0</v>
      </c>
      <c r="BA800" s="1">
        <f>+IFERROR(VLOOKUP(BA17,'נתוני מים 2014'!$C$2:$L$188,6,0)/1000,0)</f>
        <v>0</v>
      </c>
      <c r="BB800" s="1">
        <f>+IFERROR(VLOOKUP(BB17,'נתוני מים 2014'!$C$2:$L$188,6,0)/1000,0)</f>
        <v>0</v>
      </c>
      <c r="BC800" s="1">
        <f>+IFERROR(VLOOKUP(BC17,'נתוני מים 2014'!$C$2:$L$188,6,0)/1000,0)</f>
        <v>0</v>
      </c>
      <c r="BD800" s="1">
        <f>+IFERROR(VLOOKUP(BD17,'נתוני מים 2014'!$C$2:$L$188,6,0)/1000,0)</f>
        <v>0</v>
      </c>
      <c r="BE800" s="1">
        <f>+IFERROR(VLOOKUP(BE17,'נתוני מים 2014'!$C$2:$L$188,6,0)/1000,0)</f>
        <v>0</v>
      </c>
      <c r="BF800" s="1">
        <f>+IFERROR(VLOOKUP(BF17,'נתוני מים 2014'!$C$2:$L$188,6,0)/1000,0)</f>
        <v>0</v>
      </c>
    </row>
    <row r="801" spans="2:58" x14ac:dyDescent="0.2">
      <c r="B801" s="1">
        <v>11</v>
      </c>
      <c r="C801" s="1">
        <f>+IFERROR(VLOOKUP(C18,'נתוני מים 2014'!$C$2:$L$188,6,0)/1000,0)</f>
        <v>0</v>
      </c>
      <c r="D801" s="1">
        <f>+IFERROR(VLOOKUP(D18,'נתוני מים 2014'!$C$2:$L$188,6,0)/1000,0)</f>
        <v>0</v>
      </c>
      <c r="E801" s="1">
        <f>+IFERROR(VLOOKUP(E18,'נתוני מים 2014'!$C$2:$L$188,6,0)/1000,0)</f>
        <v>0</v>
      </c>
      <c r="F801" s="1">
        <f>+IFERROR(VLOOKUP(F18,'נתוני מים 2014'!$C$2:$L$188,6,0)/1000,0)</f>
        <v>0</v>
      </c>
      <c r="G801" s="1">
        <f>+IFERROR(VLOOKUP(G18,'נתוני מים 2014'!$C$2:$L$188,6,0)/1000,0)</f>
        <v>0</v>
      </c>
      <c r="H801" s="1">
        <f>+IFERROR(VLOOKUP(H18,'נתוני מים 2014'!$C$2:$L$188,6,0)/1000,0)</f>
        <v>0</v>
      </c>
      <c r="I801" s="1">
        <f>+IFERROR(VLOOKUP(I18,'נתוני מים 2014'!$C$2:$L$188,6,0)/1000,0)</f>
        <v>0</v>
      </c>
      <c r="J801" s="1">
        <f>+IFERROR(VLOOKUP(J18,'נתוני מים 2014'!$C$2:$L$188,6,0)/1000,0)</f>
        <v>0</v>
      </c>
      <c r="K801" s="1">
        <f>+IFERROR(VLOOKUP(K18,'נתוני מים 2014'!$C$2:$L$188,6,0)/1000,0)</f>
        <v>0</v>
      </c>
      <c r="L801" s="1">
        <f>+IFERROR(VLOOKUP(L18,'נתוני מים 2014'!$C$2:$L$188,6,0)/1000,0)</f>
        <v>0</v>
      </c>
      <c r="M801" s="1">
        <f>+IFERROR(VLOOKUP(M18,'נתוני מים 2014'!$C$2:$L$188,6,0)/1000,0)</f>
        <v>0</v>
      </c>
      <c r="N801" s="1">
        <f>+IFERROR(VLOOKUP(N18,'נתוני מים 2014'!$C$2:$L$188,6,0)/1000,0)</f>
        <v>0</v>
      </c>
      <c r="O801" s="1">
        <f>+IFERROR(VLOOKUP(O18,'נתוני מים 2014'!$C$2:$L$188,6,0)/1000,0)</f>
        <v>0</v>
      </c>
      <c r="P801" s="1">
        <f>+IFERROR(VLOOKUP(P18,'נתוני מים 2014'!$C$2:$L$188,6,0)/1000,0)</f>
        <v>196.19499999999999</v>
      </c>
      <c r="Q801" s="1">
        <f>+IFERROR(VLOOKUP(Q18,'נתוני מים 2014'!$C$2:$L$188,6,0)/1000,0)</f>
        <v>0</v>
      </c>
      <c r="R801" s="1">
        <f>+IFERROR(VLOOKUP(R18,'נתוני מים 2014'!$C$2:$L$188,6,0)/1000,0)</f>
        <v>0</v>
      </c>
      <c r="S801" s="1">
        <f>+IFERROR(VLOOKUP(S18,'נתוני מים 2014'!$C$2:$L$188,6,0)/1000,0)</f>
        <v>0</v>
      </c>
      <c r="T801" s="1">
        <f>+IFERROR(VLOOKUP(T18,'נתוני מים 2014'!$C$2:$L$188,6,0)/1000,0)</f>
        <v>0</v>
      </c>
      <c r="U801" s="1">
        <f>+IFERROR(VLOOKUP(U18,'נתוני מים 2014'!$C$2:$L$188,6,0)/1000,0)</f>
        <v>0</v>
      </c>
      <c r="V801" s="1">
        <f>+IFERROR(VLOOKUP(V18,'נתוני מים 2014'!$C$2:$L$188,6,0)/1000,0)</f>
        <v>0</v>
      </c>
      <c r="W801" s="1">
        <f>+IFERROR(VLOOKUP(W18,'נתוני מים 2014'!$C$2:$L$188,6,0)/1000,0)</f>
        <v>0</v>
      </c>
      <c r="X801" s="1">
        <f>+IFERROR(VLOOKUP(X18,'נתוני מים 2014'!$C$2:$L$188,6,0)/1000,0)</f>
        <v>0</v>
      </c>
      <c r="Y801" s="1">
        <f>+IFERROR(VLOOKUP(Y18,'נתוני מים 2014'!$C$2:$L$188,6,0)/1000,0)</f>
        <v>0</v>
      </c>
      <c r="Z801" s="1">
        <f>+IFERROR(VLOOKUP(Z18,'נתוני מים 2014'!$C$2:$L$188,6,0)/1000,0)</f>
        <v>0</v>
      </c>
      <c r="AA801" s="1">
        <f>+IFERROR(VLOOKUP(AA18,'נתוני מים 2014'!$C$2:$L$188,6,0)/1000,0)</f>
        <v>0</v>
      </c>
      <c r="AB801" s="1">
        <f>+IFERROR(VLOOKUP(AB18,'נתוני מים 2014'!$C$2:$L$188,6,0)/1000,0)</f>
        <v>0</v>
      </c>
      <c r="AC801" s="1">
        <f>+IFERROR(VLOOKUP(AC18,'נתוני מים 2014'!$C$2:$L$188,6,0)/1000,0)</f>
        <v>0</v>
      </c>
      <c r="AD801" s="1">
        <f>+IFERROR(VLOOKUP(AD18,'נתוני מים 2014'!$C$2:$L$188,6,0)/1000,0)</f>
        <v>0</v>
      </c>
      <c r="AE801" s="1">
        <f>+IFERROR(VLOOKUP(AE18,'נתוני מים 2014'!$C$2:$L$188,6,0)/1000,0)</f>
        <v>0</v>
      </c>
      <c r="AF801" s="1">
        <f>+IFERROR(VLOOKUP(AF18,'נתוני מים 2014'!$C$2:$L$188,6,0)/1000,0)</f>
        <v>0</v>
      </c>
      <c r="AG801" s="1">
        <f>+IFERROR(VLOOKUP(AG18,'נתוני מים 2014'!$C$2:$L$188,6,0)/1000,0)</f>
        <v>0</v>
      </c>
      <c r="AH801" s="1">
        <f>+IFERROR(VLOOKUP(AH18,'נתוני מים 2014'!$C$2:$L$188,6,0)/1000,0)</f>
        <v>0</v>
      </c>
      <c r="AI801" s="1">
        <f>+IFERROR(VLOOKUP(AI18,'נתוני מים 2014'!$C$2:$L$188,6,0)/1000,0)</f>
        <v>0</v>
      </c>
      <c r="AJ801" s="1">
        <f>+IFERROR(VLOOKUP(AJ18,'נתוני מים 2014'!$C$2:$L$188,6,0)/1000,0)</f>
        <v>0</v>
      </c>
      <c r="AK801" s="1">
        <f>+IFERROR(VLOOKUP(AK18,'נתוני מים 2014'!$C$2:$L$188,6,0)/1000,0)</f>
        <v>0</v>
      </c>
      <c r="AL801" s="1">
        <f>+IFERROR(VLOOKUP(AL18,'נתוני מים 2014'!$C$2:$L$188,6,0)/1000,0)</f>
        <v>0</v>
      </c>
      <c r="AM801" s="1">
        <f>+IFERROR(VLOOKUP(AM18,'נתוני מים 2014'!$C$2:$L$188,6,0)/1000,0)</f>
        <v>0</v>
      </c>
      <c r="AN801" s="1">
        <f>+IFERROR(VLOOKUP(AN18,'נתוני מים 2014'!$C$2:$L$188,6,0)/1000,0)</f>
        <v>0</v>
      </c>
      <c r="AO801" s="1">
        <f>+IFERROR(VLOOKUP(AO18,'נתוני מים 2014'!$C$2:$L$188,6,0)/1000,0)</f>
        <v>0</v>
      </c>
      <c r="AP801" s="1">
        <f>+IFERROR(VLOOKUP(AP18,'נתוני מים 2014'!$C$2:$L$188,6,0)/1000,0)</f>
        <v>0</v>
      </c>
      <c r="AQ801" s="1">
        <f>+IFERROR(VLOOKUP(AQ18,'נתוני מים 2014'!$C$2:$L$188,6,0)/1000,0)</f>
        <v>0</v>
      </c>
      <c r="AR801" s="1">
        <f>+IFERROR(VLOOKUP(AR18,'נתוני מים 2014'!$C$2:$L$188,6,0)/1000,0)</f>
        <v>0</v>
      </c>
      <c r="AS801" s="1">
        <f>+IFERROR(VLOOKUP(AS18,'נתוני מים 2014'!$C$2:$L$188,6,0)/1000,0)</f>
        <v>0</v>
      </c>
      <c r="AT801" s="1">
        <f>+IFERROR(VLOOKUP(AT18,'נתוני מים 2014'!$C$2:$L$188,6,0)/1000,0)</f>
        <v>0</v>
      </c>
      <c r="AU801" s="1">
        <f>+IFERROR(VLOOKUP(AU18,'נתוני מים 2014'!$C$2:$L$188,6,0)/1000,0)</f>
        <v>0</v>
      </c>
      <c r="AV801" s="1">
        <f>+IFERROR(VLOOKUP(AV18,'נתוני מים 2014'!$C$2:$L$188,6,0)/1000,0)</f>
        <v>0</v>
      </c>
      <c r="AW801" s="1">
        <f>+IFERROR(VLOOKUP(AW18,'נתוני מים 2014'!$C$2:$L$188,6,0)/1000,0)</f>
        <v>0</v>
      </c>
      <c r="AX801" s="1">
        <f>+IFERROR(VLOOKUP(AX18,'נתוני מים 2014'!$C$2:$L$188,6,0)/1000,0)</f>
        <v>0</v>
      </c>
      <c r="AY801" s="1">
        <f>+IFERROR(VLOOKUP(AY18,'נתוני מים 2014'!$C$2:$L$188,6,0)/1000,0)</f>
        <v>0</v>
      </c>
      <c r="AZ801" s="1">
        <f>+IFERROR(VLOOKUP(AZ18,'נתוני מים 2014'!$C$2:$L$188,6,0)/1000,0)</f>
        <v>0</v>
      </c>
      <c r="BA801" s="1">
        <f>+IFERROR(VLOOKUP(BA18,'נתוני מים 2014'!$C$2:$L$188,6,0)/1000,0)</f>
        <v>0</v>
      </c>
      <c r="BB801" s="1">
        <f>+IFERROR(VLOOKUP(BB18,'נתוני מים 2014'!$C$2:$L$188,6,0)/1000,0)</f>
        <v>0</v>
      </c>
      <c r="BC801" s="1">
        <f>+IFERROR(VLOOKUP(BC18,'נתוני מים 2014'!$C$2:$L$188,6,0)/1000,0)</f>
        <v>0</v>
      </c>
      <c r="BD801" s="1">
        <f>+IFERROR(VLOOKUP(BD18,'נתוני מים 2014'!$C$2:$L$188,6,0)/1000,0)</f>
        <v>0</v>
      </c>
      <c r="BE801" s="1">
        <f>+IFERROR(VLOOKUP(BE18,'נתוני מים 2014'!$C$2:$L$188,6,0)/1000,0)</f>
        <v>0</v>
      </c>
      <c r="BF801" s="1">
        <f>+IFERROR(VLOOKUP(BF18,'נתוני מים 2014'!$C$2:$L$188,6,0)/1000,0)</f>
        <v>0</v>
      </c>
    </row>
    <row r="802" spans="2:58" x14ac:dyDescent="0.2">
      <c r="B802" s="1">
        <v>12</v>
      </c>
      <c r="C802" s="1">
        <f>+IFERROR(VLOOKUP(C19,'נתוני מים 2014'!$C$2:$L$188,6,0)/1000,0)</f>
        <v>0</v>
      </c>
      <c r="D802" s="1">
        <f>+IFERROR(VLOOKUP(D19,'נתוני מים 2014'!$C$2:$L$188,6,0)/1000,0)</f>
        <v>0</v>
      </c>
      <c r="E802" s="1">
        <f>+IFERROR(VLOOKUP(E19,'נתוני מים 2014'!$C$2:$L$188,6,0)/1000,0)</f>
        <v>0</v>
      </c>
      <c r="F802" s="1">
        <f>+IFERROR(VLOOKUP(F19,'נתוני מים 2014'!$C$2:$L$188,6,0)/1000,0)</f>
        <v>0</v>
      </c>
      <c r="G802" s="1">
        <f>+IFERROR(VLOOKUP(G19,'נתוני מים 2014'!$C$2:$L$188,6,0)/1000,0)</f>
        <v>0</v>
      </c>
      <c r="H802" s="1">
        <f>+IFERROR(VLOOKUP(H19,'נתוני מים 2014'!$C$2:$L$188,6,0)/1000,0)</f>
        <v>0</v>
      </c>
      <c r="I802" s="1">
        <f>+IFERROR(VLOOKUP(I19,'נתוני מים 2014'!$C$2:$L$188,6,0)/1000,0)</f>
        <v>0</v>
      </c>
      <c r="J802" s="1">
        <f>+IFERROR(VLOOKUP(J19,'נתוני מים 2014'!$C$2:$L$188,6,0)/1000,0)</f>
        <v>0</v>
      </c>
      <c r="K802" s="1">
        <f>+IFERROR(VLOOKUP(K19,'נתוני מים 2014'!$C$2:$L$188,6,0)/1000,0)</f>
        <v>0</v>
      </c>
      <c r="L802" s="1">
        <f>+IFERROR(VLOOKUP(L19,'נתוני מים 2014'!$C$2:$L$188,6,0)/1000,0)</f>
        <v>0</v>
      </c>
      <c r="M802" s="1">
        <f>+IFERROR(VLOOKUP(M19,'נתוני מים 2014'!$C$2:$L$188,6,0)/1000,0)</f>
        <v>0</v>
      </c>
      <c r="N802" s="1">
        <f>+IFERROR(VLOOKUP(N19,'נתוני מים 2014'!$C$2:$L$188,6,0)/1000,0)</f>
        <v>0</v>
      </c>
      <c r="O802" s="1">
        <f>+IFERROR(VLOOKUP(O19,'נתוני מים 2014'!$C$2:$L$188,6,0)/1000,0)</f>
        <v>0</v>
      </c>
      <c r="P802" s="1">
        <f>+IFERROR(VLOOKUP(P19,'נתוני מים 2014'!$C$2:$L$188,6,0)/1000,0)</f>
        <v>259.149</v>
      </c>
      <c r="Q802" s="1">
        <f>+IFERROR(VLOOKUP(Q19,'נתוני מים 2014'!$C$2:$L$188,6,0)/1000,0)</f>
        <v>0</v>
      </c>
      <c r="R802" s="1">
        <f>+IFERROR(VLOOKUP(R19,'נתוני מים 2014'!$C$2:$L$188,6,0)/1000,0)</f>
        <v>0</v>
      </c>
      <c r="S802" s="1">
        <f>+IFERROR(VLOOKUP(S19,'נתוני מים 2014'!$C$2:$L$188,6,0)/1000,0)</f>
        <v>0</v>
      </c>
      <c r="T802" s="1">
        <f>+IFERROR(VLOOKUP(T19,'נתוני מים 2014'!$C$2:$L$188,6,0)/1000,0)</f>
        <v>0</v>
      </c>
      <c r="U802" s="1">
        <f>+IFERROR(VLOOKUP(U19,'נתוני מים 2014'!$C$2:$L$188,6,0)/1000,0)</f>
        <v>0</v>
      </c>
      <c r="V802" s="1">
        <f>+IFERROR(VLOOKUP(V19,'נתוני מים 2014'!$C$2:$L$188,6,0)/1000,0)</f>
        <v>0</v>
      </c>
      <c r="W802" s="1">
        <f>+IFERROR(VLOOKUP(W19,'נתוני מים 2014'!$C$2:$L$188,6,0)/1000,0)</f>
        <v>0</v>
      </c>
      <c r="X802" s="1">
        <f>+IFERROR(VLOOKUP(X19,'נתוני מים 2014'!$C$2:$L$188,6,0)/1000,0)</f>
        <v>0</v>
      </c>
      <c r="Y802" s="1">
        <f>+IFERROR(VLOOKUP(Y19,'נתוני מים 2014'!$C$2:$L$188,6,0)/1000,0)</f>
        <v>0</v>
      </c>
      <c r="Z802" s="1">
        <f>+IFERROR(VLOOKUP(Z19,'נתוני מים 2014'!$C$2:$L$188,6,0)/1000,0)</f>
        <v>0</v>
      </c>
      <c r="AA802" s="1">
        <f>+IFERROR(VLOOKUP(AA19,'נתוני מים 2014'!$C$2:$L$188,6,0)/1000,0)</f>
        <v>0</v>
      </c>
      <c r="AB802" s="1">
        <f>+IFERROR(VLOOKUP(AB19,'נתוני מים 2014'!$C$2:$L$188,6,0)/1000,0)</f>
        <v>0</v>
      </c>
      <c r="AC802" s="1">
        <f>+IFERROR(VLOOKUP(AC19,'נתוני מים 2014'!$C$2:$L$188,6,0)/1000,0)</f>
        <v>0</v>
      </c>
      <c r="AD802" s="1">
        <f>+IFERROR(VLOOKUP(AD19,'נתוני מים 2014'!$C$2:$L$188,6,0)/1000,0)</f>
        <v>0</v>
      </c>
      <c r="AE802" s="1">
        <f>+IFERROR(VLOOKUP(AE19,'נתוני מים 2014'!$C$2:$L$188,6,0)/1000,0)</f>
        <v>0</v>
      </c>
      <c r="AF802" s="1">
        <f>+IFERROR(VLOOKUP(AF19,'נתוני מים 2014'!$C$2:$L$188,6,0)/1000,0)</f>
        <v>0</v>
      </c>
      <c r="AG802" s="1">
        <f>+IFERROR(VLOOKUP(AG19,'נתוני מים 2014'!$C$2:$L$188,6,0)/1000,0)</f>
        <v>0</v>
      </c>
      <c r="AH802" s="1">
        <f>+IFERROR(VLOOKUP(AH19,'נתוני מים 2014'!$C$2:$L$188,6,0)/1000,0)</f>
        <v>0</v>
      </c>
      <c r="AI802" s="1">
        <f>+IFERROR(VLOOKUP(AI19,'נתוני מים 2014'!$C$2:$L$188,6,0)/1000,0)</f>
        <v>0</v>
      </c>
      <c r="AJ802" s="1">
        <f>+IFERROR(VLOOKUP(AJ19,'נתוני מים 2014'!$C$2:$L$188,6,0)/1000,0)</f>
        <v>0</v>
      </c>
      <c r="AK802" s="1">
        <f>+IFERROR(VLOOKUP(AK19,'נתוני מים 2014'!$C$2:$L$188,6,0)/1000,0)</f>
        <v>0</v>
      </c>
      <c r="AL802" s="1">
        <f>+IFERROR(VLOOKUP(AL19,'נתוני מים 2014'!$C$2:$L$188,6,0)/1000,0)</f>
        <v>0</v>
      </c>
      <c r="AM802" s="1">
        <f>+IFERROR(VLOOKUP(AM19,'נתוני מים 2014'!$C$2:$L$188,6,0)/1000,0)</f>
        <v>0</v>
      </c>
      <c r="AN802" s="1">
        <f>+IFERROR(VLOOKUP(AN19,'נתוני מים 2014'!$C$2:$L$188,6,0)/1000,0)</f>
        <v>0</v>
      </c>
      <c r="AO802" s="1">
        <f>+IFERROR(VLOOKUP(AO19,'נתוני מים 2014'!$C$2:$L$188,6,0)/1000,0)</f>
        <v>0</v>
      </c>
      <c r="AP802" s="1">
        <f>+IFERROR(VLOOKUP(AP19,'נתוני מים 2014'!$C$2:$L$188,6,0)/1000,0)</f>
        <v>0</v>
      </c>
      <c r="AQ802" s="1">
        <f>+IFERROR(VLOOKUP(AQ19,'נתוני מים 2014'!$C$2:$L$188,6,0)/1000,0)</f>
        <v>0</v>
      </c>
      <c r="AR802" s="1">
        <f>+IFERROR(VLOOKUP(AR19,'נתוני מים 2014'!$C$2:$L$188,6,0)/1000,0)</f>
        <v>0</v>
      </c>
      <c r="AS802" s="1">
        <f>+IFERROR(VLOOKUP(AS19,'נתוני מים 2014'!$C$2:$L$188,6,0)/1000,0)</f>
        <v>0</v>
      </c>
      <c r="AT802" s="1">
        <f>+IFERROR(VLOOKUP(AT19,'נתוני מים 2014'!$C$2:$L$188,6,0)/1000,0)</f>
        <v>0</v>
      </c>
      <c r="AU802" s="1">
        <f>+IFERROR(VLOOKUP(AU19,'נתוני מים 2014'!$C$2:$L$188,6,0)/1000,0)</f>
        <v>0</v>
      </c>
      <c r="AV802" s="1">
        <f>+IFERROR(VLOOKUP(AV19,'נתוני מים 2014'!$C$2:$L$188,6,0)/1000,0)</f>
        <v>0</v>
      </c>
      <c r="AW802" s="1">
        <f>+IFERROR(VLOOKUP(AW19,'נתוני מים 2014'!$C$2:$L$188,6,0)/1000,0)</f>
        <v>0</v>
      </c>
      <c r="AX802" s="1">
        <f>+IFERROR(VLOOKUP(AX19,'נתוני מים 2014'!$C$2:$L$188,6,0)/1000,0)</f>
        <v>0</v>
      </c>
      <c r="AY802" s="1">
        <f>+IFERROR(VLOOKUP(AY19,'נתוני מים 2014'!$C$2:$L$188,6,0)/1000,0)</f>
        <v>0</v>
      </c>
      <c r="AZ802" s="1">
        <f>+IFERROR(VLOOKUP(AZ19,'נתוני מים 2014'!$C$2:$L$188,6,0)/1000,0)</f>
        <v>0</v>
      </c>
      <c r="BA802" s="1">
        <f>+IFERROR(VLOOKUP(BA19,'נתוני מים 2014'!$C$2:$L$188,6,0)/1000,0)</f>
        <v>0</v>
      </c>
      <c r="BB802" s="1">
        <f>+IFERROR(VLOOKUP(BB19,'נתוני מים 2014'!$C$2:$L$188,6,0)/1000,0)</f>
        <v>0</v>
      </c>
      <c r="BC802" s="1">
        <f>+IFERROR(VLOOKUP(BC19,'נתוני מים 2014'!$C$2:$L$188,6,0)/1000,0)</f>
        <v>0</v>
      </c>
      <c r="BD802" s="1">
        <f>+IFERROR(VLOOKUP(BD19,'נתוני מים 2014'!$C$2:$L$188,6,0)/1000,0)</f>
        <v>0</v>
      </c>
      <c r="BE802" s="1">
        <f>+IFERROR(VLOOKUP(BE19,'נתוני מים 2014'!$C$2:$L$188,6,0)/1000,0)</f>
        <v>0</v>
      </c>
      <c r="BF802" s="1">
        <f>+IFERROR(VLOOKUP(BF19,'נתוני מים 2014'!$C$2:$L$188,6,0)/1000,0)</f>
        <v>0</v>
      </c>
    </row>
    <row r="803" spans="2:58" x14ac:dyDescent="0.2">
      <c r="B803" s="1">
        <v>13</v>
      </c>
      <c r="C803" s="1">
        <f>+IFERROR(VLOOKUP(C20,'נתוני מים 2014'!$C$2:$L$188,6,0)/1000,0)</f>
        <v>0</v>
      </c>
      <c r="D803" s="1">
        <f>+IFERROR(VLOOKUP(D20,'נתוני מים 2014'!$C$2:$L$188,6,0)/1000,0)</f>
        <v>0</v>
      </c>
      <c r="E803" s="1">
        <f>+IFERROR(VLOOKUP(E20,'נתוני מים 2014'!$C$2:$L$188,6,0)/1000,0)</f>
        <v>0</v>
      </c>
      <c r="F803" s="1">
        <f>+IFERROR(VLOOKUP(F20,'נתוני מים 2014'!$C$2:$L$188,6,0)/1000,0)</f>
        <v>0</v>
      </c>
      <c r="G803" s="1">
        <f>+IFERROR(VLOOKUP(G20,'נתוני מים 2014'!$C$2:$L$188,6,0)/1000,0)</f>
        <v>0</v>
      </c>
      <c r="H803" s="1">
        <f>+IFERROR(VLOOKUP(H20,'נתוני מים 2014'!$C$2:$L$188,6,0)/1000,0)</f>
        <v>0</v>
      </c>
      <c r="I803" s="1">
        <f>+IFERROR(VLOOKUP(I20,'נתוני מים 2014'!$C$2:$L$188,6,0)/1000,0)</f>
        <v>0</v>
      </c>
      <c r="J803" s="1">
        <f>+IFERROR(VLOOKUP(J20,'נתוני מים 2014'!$C$2:$L$188,6,0)/1000,0)</f>
        <v>0</v>
      </c>
      <c r="K803" s="1">
        <f>+IFERROR(VLOOKUP(K20,'נתוני מים 2014'!$C$2:$L$188,6,0)/1000,0)</f>
        <v>0</v>
      </c>
      <c r="L803" s="1">
        <f>+IFERROR(VLOOKUP(L20,'נתוני מים 2014'!$C$2:$L$188,6,0)/1000,0)</f>
        <v>0</v>
      </c>
      <c r="M803" s="1">
        <f>+IFERROR(VLOOKUP(M20,'נתוני מים 2014'!$C$2:$L$188,6,0)/1000,0)</f>
        <v>0</v>
      </c>
      <c r="N803" s="1">
        <f>+IFERROR(VLOOKUP(N20,'נתוני מים 2014'!$C$2:$L$188,6,0)/1000,0)</f>
        <v>0</v>
      </c>
      <c r="O803" s="1">
        <f>+IFERROR(VLOOKUP(O20,'נתוני מים 2014'!$C$2:$L$188,6,0)/1000,0)</f>
        <v>0</v>
      </c>
      <c r="P803" s="1">
        <f>+IFERROR(VLOOKUP(P20,'נתוני מים 2014'!$C$2:$L$188,6,0)/1000,0)</f>
        <v>469.13400000000001</v>
      </c>
      <c r="Q803" s="1">
        <f>+IFERROR(VLOOKUP(Q20,'נתוני מים 2014'!$C$2:$L$188,6,0)/1000,0)</f>
        <v>0</v>
      </c>
      <c r="R803" s="1">
        <f>+IFERROR(VLOOKUP(R20,'נתוני מים 2014'!$C$2:$L$188,6,0)/1000,0)</f>
        <v>0</v>
      </c>
      <c r="S803" s="1">
        <f>+IFERROR(VLOOKUP(S20,'נתוני מים 2014'!$C$2:$L$188,6,0)/1000,0)</f>
        <v>0</v>
      </c>
      <c r="T803" s="1">
        <f>+IFERROR(VLOOKUP(T20,'נתוני מים 2014'!$C$2:$L$188,6,0)/1000,0)</f>
        <v>0</v>
      </c>
      <c r="U803" s="1">
        <f>+IFERROR(VLOOKUP(U20,'נתוני מים 2014'!$C$2:$L$188,6,0)/1000,0)</f>
        <v>0</v>
      </c>
      <c r="V803" s="1">
        <f>+IFERROR(VLOOKUP(V20,'נתוני מים 2014'!$C$2:$L$188,6,0)/1000,0)</f>
        <v>0</v>
      </c>
      <c r="W803" s="1">
        <f>+IFERROR(VLOOKUP(W20,'נתוני מים 2014'!$C$2:$L$188,6,0)/1000,0)</f>
        <v>0</v>
      </c>
      <c r="X803" s="1">
        <f>+IFERROR(VLOOKUP(X20,'נתוני מים 2014'!$C$2:$L$188,6,0)/1000,0)</f>
        <v>0</v>
      </c>
      <c r="Y803" s="1">
        <f>+IFERROR(VLOOKUP(Y20,'נתוני מים 2014'!$C$2:$L$188,6,0)/1000,0)</f>
        <v>0</v>
      </c>
      <c r="Z803" s="1">
        <f>+IFERROR(VLOOKUP(Z20,'נתוני מים 2014'!$C$2:$L$188,6,0)/1000,0)</f>
        <v>0</v>
      </c>
      <c r="AA803" s="1">
        <f>+IFERROR(VLOOKUP(AA20,'נתוני מים 2014'!$C$2:$L$188,6,0)/1000,0)</f>
        <v>0</v>
      </c>
      <c r="AB803" s="1">
        <f>+IFERROR(VLOOKUP(AB20,'נתוני מים 2014'!$C$2:$L$188,6,0)/1000,0)</f>
        <v>0</v>
      </c>
      <c r="AC803" s="1">
        <f>+IFERROR(VLOOKUP(AC20,'נתוני מים 2014'!$C$2:$L$188,6,0)/1000,0)</f>
        <v>0</v>
      </c>
      <c r="AD803" s="1">
        <f>+IFERROR(VLOOKUP(AD20,'נתוני מים 2014'!$C$2:$L$188,6,0)/1000,0)</f>
        <v>0</v>
      </c>
      <c r="AE803" s="1">
        <f>+IFERROR(VLOOKUP(AE20,'נתוני מים 2014'!$C$2:$L$188,6,0)/1000,0)</f>
        <v>0</v>
      </c>
      <c r="AF803" s="1">
        <f>+IFERROR(VLOOKUP(AF20,'נתוני מים 2014'!$C$2:$L$188,6,0)/1000,0)</f>
        <v>0</v>
      </c>
      <c r="AG803" s="1">
        <f>+IFERROR(VLOOKUP(AG20,'נתוני מים 2014'!$C$2:$L$188,6,0)/1000,0)</f>
        <v>0</v>
      </c>
      <c r="AH803" s="1">
        <f>+IFERROR(VLOOKUP(AH20,'נתוני מים 2014'!$C$2:$L$188,6,0)/1000,0)</f>
        <v>0</v>
      </c>
      <c r="AI803" s="1">
        <f>+IFERROR(VLOOKUP(AI20,'נתוני מים 2014'!$C$2:$L$188,6,0)/1000,0)</f>
        <v>0</v>
      </c>
      <c r="AJ803" s="1">
        <f>+IFERROR(VLOOKUP(AJ20,'נתוני מים 2014'!$C$2:$L$188,6,0)/1000,0)</f>
        <v>0</v>
      </c>
      <c r="AK803" s="1">
        <f>+IFERROR(VLOOKUP(AK20,'נתוני מים 2014'!$C$2:$L$188,6,0)/1000,0)</f>
        <v>0</v>
      </c>
      <c r="AL803" s="1">
        <f>+IFERROR(VLOOKUP(AL20,'נתוני מים 2014'!$C$2:$L$188,6,0)/1000,0)</f>
        <v>0</v>
      </c>
      <c r="AM803" s="1">
        <f>+IFERROR(VLOOKUP(AM20,'נתוני מים 2014'!$C$2:$L$188,6,0)/1000,0)</f>
        <v>0</v>
      </c>
      <c r="AN803" s="1">
        <f>+IFERROR(VLOOKUP(AN20,'נתוני מים 2014'!$C$2:$L$188,6,0)/1000,0)</f>
        <v>0</v>
      </c>
      <c r="AO803" s="1">
        <f>+IFERROR(VLOOKUP(AO20,'נתוני מים 2014'!$C$2:$L$188,6,0)/1000,0)</f>
        <v>0</v>
      </c>
      <c r="AP803" s="1">
        <f>+IFERROR(VLOOKUP(AP20,'נתוני מים 2014'!$C$2:$L$188,6,0)/1000,0)</f>
        <v>0</v>
      </c>
      <c r="AQ803" s="1">
        <f>+IFERROR(VLOOKUP(AQ20,'נתוני מים 2014'!$C$2:$L$188,6,0)/1000,0)</f>
        <v>0</v>
      </c>
      <c r="AR803" s="1">
        <f>+IFERROR(VLOOKUP(AR20,'נתוני מים 2014'!$C$2:$L$188,6,0)/1000,0)</f>
        <v>0</v>
      </c>
      <c r="AS803" s="1">
        <f>+IFERROR(VLOOKUP(AS20,'נתוני מים 2014'!$C$2:$L$188,6,0)/1000,0)</f>
        <v>0</v>
      </c>
      <c r="AT803" s="1">
        <f>+IFERROR(VLOOKUP(AT20,'נתוני מים 2014'!$C$2:$L$188,6,0)/1000,0)</f>
        <v>0</v>
      </c>
      <c r="AU803" s="1">
        <f>+IFERROR(VLOOKUP(AU20,'נתוני מים 2014'!$C$2:$L$188,6,0)/1000,0)</f>
        <v>0</v>
      </c>
      <c r="AV803" s="1">
        <f>+IFERROR(VLOOKUP(AV20,'נתוני מים 2014'!$C$2:$L$188,6,0)/1000,0)</f>
        <v>0</v>
      </c>
      <c r="AW803" s="1">
        <f>+IFERROR(VLOOKUP(AW20,'נתוני מים 2014'!$C$2:$L$188,6,0)/1000,0)</f>
        <v>0</v>
      </c>
      <c r="AX803" s="1">
        <f>+IFERROR(VLOOKUP(AX20,'נתוני מים 2014'!$C$2:$L$188,6,0)/1000,0)</f>
        <v>0</v>
      </c>
      <c r="AY803" s="1">
        <f>+IFERROR(VLOOKUP(AY20,'נתוני מים 2014'!$C$2:$L$188,6,0)/1000,0)</f>
        <v>0</v>
      </c>
      <c r="AZ803" s="1">
        <f>+IFERROR(VLOOKUP(AZ20,'נתוני מים 2014'!$C$2:$L$188,6,0)/1000,0)</f>
        <v>0</v>
      </c>
      <c r="BA803" s="1">
        <f>+IFERROR(VLOOKUP(BA20,'נתוני מים 2014'!$C$2:$L$188,6,0)/1000,0)</f>
        <v>0</v>
      </c>
      <c r="BB803" s="1">
        <f>+IFERROR(VLOOKUP(BB20,'נתוני מים 2014'!$C$2:$L$188,6,0)/1000,0)</f>
        <v>0</v>
      </c>
      <c r="BC803" s="1">
        <f>+IFERROR(VLOOKUP(BC20,'נתוני מים 2014'!$C$2:$L$188,6,0)/1000,0)</f>
        <v>0</v>
      </c>
      <c r="BD803" s="1">
        <f>+IFERROR(VLOOKUP(BD20,'נתוני מים 2014'!$C$2:$L$188,6,0)/1000,0)</f>
        <v>0</v>
      </c>
      <c r="BE803" s="1">
        <f>+IFERROR(VLOOKUP(BE20,'נתוני מים 2014'!$C$2:$L$188,6,0)/1000,0)</f>
        <v>0</v>
      </c>
      <c r="BF803" s="1">
        <f>+IFERROR(VLOOKUP(BF20,'נתוני מים 2014'!$C$2:$L$188,6,0)/1000,0)</f>
        <v>0</v>
      </c>
    </row>
    <row r="804" spans="2:58" x14ac:dyDescent="0.2">
      <c r="B804" s="1">
        <v>14</v>
      </c>
      <c r="C804" s="1">
        <f>+IFERROR(VLOOKUP(C21,'נתוני מים 2014'!$C$2:$L$188,6,0)/1000,0)</f>
        <v>0</v>
      </c>
      <c r="D804" s="1">
        <f>+IFERROR(VLOOKUP(D21,'נתוני מים 2014'!$C$2:$L$188,6,0)/1000,0)</f>
        <v>0</v>
      </c>
      <c r="E804" s="1">
        <f>+IFERROR(VLOOKUP(E21,'נתוני מים 2014'!$C$2:$L$188,6,0)/1000,0)</f>
        <v>0</v>
      </c>
      <c r="F804" s="1">
        <f>+IFERROR(VLOOKUP(F21,'נתוני מים 2014'!$C$2:$L$188,6,0)/1000,0)</f>
        <v>0</v>
      </c>
      <c r="G804" s="1">
        <f>+IFERROR(VLOOKUP(G21,'נתוני מים 2014'!$C$2:$L$188,6,0)/1000,0)</f>
        <v>0</v>
      </c>
      <c r="H804" s="1">
        <f>+IFERROR(VLOOKUP(H21,'נתוני מים 2014'!$C$2:$L$188,6,0)/1000,0)</f>
        <v>0</v>
      </c>
      <c r="I804" s="1">
        <f>+IFERROR(VLOOKUP(I21,'נתוני מים 2014'!$C$2:$L$188,6,0)/1000,0)</f>
        <v>0</v>
      </c>
      <c r="J804" s="1">
        <f>+IFERROR(VLOOKUP(J21,'נתוני מים 2014'!$C$2:$L$188,6,0)/1000,0)</f>
        <v>0</v>
      </c>
      <c r="K804" s="1">
        <f>+IFERROR(VLOOKUP(K21,'נתוני מים 2014'!$C$2:$L$188,6,0)/1000,0)</f>
        <v>0</v>
      </c>
      <c r="L804" s="1">
        <f>+IFERROR(VLOOKUP(L21,'נתוני מים 2014'!$C$2:$L$188,6,0)/1000,0)</f>
        <v>0</v>
      </c>
      <c r="M804" s="1">
        <f>+IFERROR(VLOOKUP(M21,'נתוני מים 2014'!$C$2:$L$188,6,0)/1000,0)</f>
        <v>0</v>
      </c>
      <c r="N804" s="1">
        <f>+IFERROR(VLOOKUP(N21,'נתוני מים 2014'!$C$2:$L$188,6,0)/1000,0)</f>
        <v>0</v>
      </c>
      <c r="O804" s="1">
        <f>+IFERROR(VLOOKUP(O21,'נתוני מים 2014'!$C$2:$L$188,6,0)/1000,0)</f>
        <v>0</v>
      </c>
      <c r="P804" s="1">
        <f>+IFERROR(VLOOKUP(P21,'נתוני מים 2014'!$C$2:$L$188,6,0)/1000,0)</f>
        <v>0</v>
      </c>
      <c r="Q804" s="1">
        <f>+IFERROR(VLOOKUP(Q21,'נתוני מים 2014'!$C$2:$L$188,6,0)/1000,0)</f>
        <v>0</v>
      </c>
      <c r="R804" s="1">
        <f>+IFERROR(VLOOKUP(R21,'נתוני מים 2014'!$C$2:$L$188,6,0)/1000,0)</f>
        <v>0</v>
      </c>
      <c r="S804" s="1">
        <f>+IFERROR(VLOOKUP(S21,'נתוני מים 2014'!$C$2:$L$188,6,0)/1000,0)</f>
        <v>0</v>
      </c>
      <c r="T804" s="1">
        <f>+IFERROR(VLOOKUP(T21,'נתוני מים 2014'!$C$2:$L$188,6,0)/1000,0)</f>
        <v>0</v>
      </c>
      <c r="U804" s="1">
        <f>+IFERROR(VLOOKUP(U21,'נתוני מים 2014'!$C$2:$L$188,6,0)/1000,0)</f>
        <v>0</v>
      </c>
      <c r="V804" s="1">
        <f>+IFERROR(VLOOKUP(V21,'נתוני מים 2014'!$C$2:$L$188,6,0)/1000,0)</f>
        <v>0</v>
      </c>
      <c r="W804" s="1">
        <f>+IFERROR(VLOOKUP(W21,'נתוני מים 2014'!$C$2:$L$188,6,0)/1000,0)</f>
        <v>0</v>
      </c>
      <c r="X804" s="1">
        <f>+IFERROR(VLOOKUP(X21,'נתוני מים 2014'!$C$2:$L$188,6,0)/1000,0)</f>
        <v>0</v>
      </c>
      <c r="Y804" s="1">
        <f>+IFERROR(VLOOKUP(Y21,'נתוני מים 2014'!$C$2:$L$188,6,0)/1000,0)</f>
        <v>0</v>
      </c>
      <c r="Z804" s="1">
        <f>+IFERROR(VLOOKUP(Z21,'נתוני מים 2014'!$C$2:$L$188,6,0)/1000,0)</f>
        <v>0</v>
      </c>
      <c r="AA804" s="1">
        <f>+IFERROR(VLOOKUP(AA21,'נתוני מים 2014'!$C$2:$L$188,6,0)/1000,0)</f>
        <v>0</v>
      </c>
      <c r="AB804" s="1">
        <f>+IFERROR(VLOOKUP(AB21,'נתוני מים 2014'!$C$2:$L$188,6,0)/1000,0)</f>
        <v>0</v>
      </c>
      <c r="AC804" s="1">
        <f>+IFERROR(VLOOKUP(AC21,'נתוני מים 2014'!$C$2:$L$188,6,0)/1000,0)</f>
        <v>0</v>
      </c>
      <c r="AD804" s="1">
        <f>+IFERROR(VLOOKUP(AD21,'נתוני מים 2014'!$C$2:$L$188,6,0)/1000,0)</f>
        <v>0</v>
      </c>
      <c r="AE804" s="1">
        <f>+IFERROR(VLOOKUP(AE21,'נתוני מים 2014'!$C$2:$L$188,6,0)/1000,0)</f>
        <v>0</v>
      </c>
      <c r="AF804" s="1">
        <f>+IFERROR(VLOOKUP(AF21,'נתוני מים 2014'!$C$2:$L$188,6,0)/1000,0)</f>
        <v>0</v>
      </c>
      <c r="AG804" s="1">
        <f>+IFERROR(VLOOKUP(AG21,'נתוני מים 2014'!$C$2:$L$188,6,0)/1000,0)</f>
        <v>0</v>
      </c>
      <c r="AH804" s="1">
        <f>+IFERROR(VLOOKUP(AH21,'נתוני מים 2014'!$C$2:$L$188,6,0)/1000,0)</f>
        <v>0</v>
      </c>
      <c r="AI804" s="1">
        <f>+IFERROR(VLOOKUP(AI21,'נתוני מים 2014'!$C$2:$L$188,6,0)/1000,0)</f>
        <v>0</v>
      </c>
      <c r="AJ804" s="1">
        <f>+IFERROR(VLOOKUP(AJ21,'נתוני מים 2014'!$C$2:$L$188,6,0)/1000,0)</f>
        <v>0</v>
      </c>
      <c r="AK804" s="1">
        <f>+IFERROR(VLOOKUP(AK21,'נתוני מים 2014'!$C$2:$L$188,6,0)/1000,0)</f>
        <v>0</v>
      </c>
      <c r="AL804" s="1">
        <f>+IFERROR(VLOOKUP(AL21,'נתוני מים 2014'!$C$2:$L$188,6,0)/1000,0)</f>
        <v>0</v>
      </c>
      <c r="AM804" s="1">
        <f>+IFERROR(VLOOKUP(AM21,'נתוני מים 2014'!$C$2:$L$188,6,0)/1000,0)</f>
        <v>0</v>
      </c>
      <c r="AN804" s="1">
        <f>+IFERROR(VLOOKUP(AN21,'נתוני מים 2014'!$C$2:$L$188,6,0)/1000,0)</f>
        <v>0</v>
      </c>
      <c r="AO804" s="1">
        <f>+IFERROR(VLOOKUP(AO21,'נתוני מים 2014'!$C$2:$L$188,6,0)/1000,0)</f>
        <v>0</v>
      </c>
      <c r="AP804" s="1">
        <f>+IFERROR(VLOOKUP(AP21,'נתוני מים 2014'!$C$2:$L$188,6,0)/1000,0)</f>
        <v>0</v>
      </c>
      <c r="AQ804" s="1">
        <f>+IFERROR(VLOOKUP(AQ21,'נתוני מים 2014'!$C$2:$L$188,6,0)/1000,0)</f>
        <v>0</v>
      </c>
      <c r="AR804" s="1">
        <f>+IFERROR(VLOOKUP(AR21,'נתוני מים 2014'!$C$2:$L$188,6,0)/1000,0)</f>
        <v>0</v>
      </c>
      <c r="AS804" s="1">
        <f>+IFERROR(VLOOKUP(AS21,'נתוני מים 2014'!$C$2:$L$188,6,0)/1000,0)</f>
        <v>0</v>
      </c>
      <c r="AT804" s="1">
        <f>+IFERROR(VLOOKUP(AT21,'נתוני מים 2014'!$C$2:$L$188,6,0)/1000,0)</f>
        <v>0</v>
      </c>
      <c r="AU804" s="1">
        <f>+IFERROR(VLOOKUP(AU21,'נתוני מים 2014'!$C$2:$L$188,6,0)/1000,0)</f>
        <v>0</v>
      </c>
      <c r="AV804" s="1">
        <f>+IFERROR(VLOOKUP(AV21,'נתוני מים 2014'!$C$2:$L$188,6,0)/1000,0)</f>
        <v>0</v>
      </c>
      <c r="AW804" s="1">
        <f>+IFERROR(VLOOKUP(AW21,'נתוני מים 2014'!$C$2:$L$188,6,0)/1000,0)</f>
        <v>0</v>
      </c>
      <c r="AX804" s="1">
        <f>+IFERROR(VLOOKUP(AX21,'נתוני מים 2014'!$C$2:$L$188,6,0)/1000,0)</f>
        <v>0</v>
      </c>
      <c r="AY804" s="1">
        <f>+IFERROR(VLOOKUP(AY21,'נתוני מים 2014'!$C$2:$L$188,6,0)/1000,0)</f>
        <v>0</v>
      </c>
      <c r="AZ804" s="1">
        <f>+IFERROR(VLOOKUP(AZ21,'נתוני מים 2014'!$C$2:$L$188,6,0)/1000,0)</f>
        <v>0</v>
      </c>
      <c r="BA804" s="1">
        <f>+IFERROR(VLOOKUP(BA21,'נתוני מים 2014'!$C$2:$L$188,6,0)/1000,0)</f>
        <v>0</v>
      </c>
      <c r="BB804" s="1">
        <f>+IFERROR(VLOOKUP(BB21,'נתוני מים 2014'!$C$2:$L$188,6,0)/1000,0)</f>
        <v>0</v>
      </c>
      <c r="BC804" s="1">
        <f>+IFERROR(VLOOKUP(BC21,'נתוני מים 2014'!$C$2:$L$188,6,0)/1000,0)</f>
        <v>0</v>
      </c>
      <c r="BD804" s="1">
        <f>+IFERROR(VLOOKUP(BD21,'נתוני מים 2014'!$C$2:$L$188,6,0)/1000,0)</f>
        <v>0</v>
      </c>
      <c r="BE804" s="1">
        <f>+IFERROR(VLOOKUP(BE21,'נתוני מים 2014'!$C$2:$L$188,6,0)/1000,0)</f>
        <v>0</v>
      </c>
      <c r="BF804" s="1">
        <f>+IFERROR(VLOOKUP(BF21,'נתוני מים 2014'!$C$2:$L$188,6,0)/1000,0)</f>
        <v>0</v>
      </c>
    </row>
    <row r="805" spans="2:58" x14ac:dyDescent="0.2">
      <c r="B805" s="1">
        <v>15</v>
      </c>
      <c r="C805" s="1">
        <f>+IFERROR(VLOOKUP(C22,'נתוני מים 2014'!$C$2:$L$188,6,0)/1000,0)</f>
        <v>0</v>
      </c>
      <c r="D805" s="1">
        <f>+IFERROR(VLOOKUP(D22,'נתוני מים 2014'!$C$2:$L$188,6,0)/1000,0)</f>
        <v>0</v>
      </c>
      <c r="E805" s="1">
        <f>+IFERROR(VLOOKUP(E22,'נתוני מים 2014'!$C$2:$L$188,6,0)/1000,0)</f>
        <v>0</v>
      </c>
      <c r="F805" s="1">
        <f>+IFERROR(VLOOKUP(F22,'נתוני מים 2014'!$C$2:$L$188,6,0)/1000,0)</f>
        <v>0</v>
      </c>
      <c r="G805" s="1">
        <f>+IFERROR(VLOOKUP(G22,'נתוני מים 2014'!$C$2:$L$188,6,0)/1000,0)</f>
        <v>0</v>
      </c>
      <c r="H805" s="1">
        <f>+IFERROR(VLOOKUP(H22,'נתוני מים 2014'!$C$2:$L$188,6,0)/1000,0)</f>
        <v>0</v>
      </c>
      <c r="I805" s="1">
        <f>+IFERROR(VLOOKUP(I22,'נתוני מים 2014'!$C$2:$L$188,6,0)/1000,0)</f>
        <v>0</v>
      </c>
      <c r="J805" s="1">
        <f>+IFERROR(VLOOKUP(J22,'נתוני מים 2014'!$C$2:$L$188,6,0)/1000,0)</f>
        <v>0</v>
      </c>
      <c r="K805" s="1">
        <f>+IFERROR(VLOOKUP(K22,'נתוני מים 2014'!$C$2:$L$188,6,0)/1000,0)</f>
        <v>0</v>
      </c>
      <c r="L805" s="1">
        <f>+IFERROR(VLOOKUP(L22,'נתוני מים 2014'!$C$2:$L$188,6,0)/1000,0)</f>
        <v>0</v>
      </c>
      <c r="M805" s="1">
        <f>+IFERROR(VLOOKUP(M22,'נתוני מים 2014'!$C$2:$L$188,6,0)/1000,0)</f>
        <v>0</v>
      </c>
      <c r="N805" s="1">
        <f>+IFERROR(VLOOKUP(N22,'נתוני מים 2014'!$C$2:$L$188,6,0)/1000,0)</f>
        <v>0</v>
      </c>
      <c r="O805" s="1">
        <f>+IFERROR(VLOOKUP(O22,'נתוני מים 2014'!$C$2:$L$188,6,0)/1000,0)</f>
        <v>0</v>
      </c>
      <c r="P805" s="1">
        <f>+IFERROR(VLOOKUP(P22,'נתוני מים 2014'!$C$2:$L$188,6,0)/1000,0)</f>
        <v>0</v>
      </c>
      <c r="Q805" s="1">
        <f>+IFERROR(VLOOKUP(Q22,'נתוני מים 2014'!$C$2:$L$188,6,0)/1000,0)</f>
        <v>0</v>
      </c>
      <c r="R805" s="1">
        <f>+IFERROR(VLOOKUP(R22,'נתוני מים 2014'!$C$2:$L$188,6,0)/1000,0)</f>
        <v>0</v>
      </c>
      <c r="S805" s="1">
        <f>+IFERROR(VLOOKUP(S22,'נתוני מים 2014'!$C$2:$L$188,6,0)/1000,0)</f>
        <v>0</v>
      </c>
      <c r="T805" s="1">
        <f>+IFERROR(VLOOKUP(T22,'נתוני מים 2014'!$C$2:$L$188,6,0)/1000,0)</f>
        <v>0</v>
      </c>
      <c r="U805" s="1">
        <f>+IFERROR(VLOOKUP(U22,'נתוני מים 2014'!$C$2:$L$188,6,0)/1000,0)</f>
        <v>0</v>
      </c>
      <c r="V805" s="1">
        <f>+IFERROR(VLOOKUP(V22,'נתוני מים 2014'!$C$2:$L$188,6,0)/1000,0)</f>
        <v>0</v>
      </c>
      <c r="W805" s="1">
        <f>+IFERROR(VLOOKUP(W22,'נתוני מים 2014'!$C$2:$L$188,6,0)/1000,0)</f>
        <v>0</v>
      </c>
      <c r="X805" s="1">
        <f>+IFERROR(VLOOKUP(X22,'נתוני מים 2014'!$C$2:$L$188,6,0)/1000,0)</f>
        <v>0</v>
      </c>
      <c r="Y805" s="1">
        <f>+IFERROR(VLOOKUP(Y22,'נתוני מים 2014'!$C$2:$L$188,6,0)/1000,0)</f>
        <v>0</v>
      </c>
      <c r="Z805" s="1">
        <f>+IFERROR(VLOOKUP(Z22,'נתוני מים 2014'!$C$2:$L$188,6,0)/1000,0)</f>
        <v>0</v>
      </c>
      <c r="AA805" s="1">
        <f>+IFERROR(VLOOKUP(AA22,'נתוני מים 2014'!$C$2:$L$188,6,0)/1000,0)</f>
        <v>0</v>
      </c>
      <c r="AB805" s="1">
        <f>+IFERROR(VLOOKUP(AB22,'נתוני מים 2014'!$C$2:$L$188,6,0)/1000,0)</f>
        <v>0</v>
      </c>
      <c r="AC805" s="1">
        <f>+IFERROR(VLOOKUP(AC22,'נתוני מים 2014'!$C$2:$L$188,6,0)/1000,0)</f>
        <v>0</v>
      </c>
      <c r="AD805" s="1">
        <f>+IFERROR(VLOOKUP(AD22,'נתוני מים 2014'!$C$2:$L$188,6,0)/1000,0)</f>
        <v>0</v>
      </c>
      <c r="AE805" s="1">
        <f>+IFERROR(VLOOKUP(AE22,'נתוני מים 2014'!$C$2:$L$188,6,0)/1000,0)</f>
        <v>0</v>
      </c>
      <c r="AF805" s="1">
        <f>+IFERROR(VLOOKUP(AF22,'נתוני מים 2014'!$C$2:$L$188,6,0)/1000,0)</f>
        <v>0</v>
      </c>
      <c r="AG805" s="1">
        <f>+IFERROR(VLOOKUP(AG22,'נתוני מים 2014'!$C$2:$L$188,6,0)/1000,0)</f>
        <v>0</v>
      </c>
      <c r="AH805" s="1">
        <f>+IFERROR(VLOOKUP(AH22,'נתוני מים 2014'!$C$2:$L$188,6,0)/1000,0)</f>
        <v>0</v>
      </c>
      <c r="AI805" s="1">
        <f>+IFERROR(VLOOKUP(AI22,'נתוני מים 2014'!$C$2:$L$188,6,0)/1000,0)</f>
        <v>0</v>
      </c>
      <c r="AJ805" s="1">
        <f>+IFERROR(VLOOKUP(AJ22,'נתוני מים 2014'!$C$2:$L$188,6,0)/1000,0)</f>
        <v>0</v>
      </c>
      <c r="AK805" s="1">
        <f>+IFERROR(VLOOKUP(AK22,'נתוני מים 2014'!$C$2:$L$188,6,0)/1000,0)</f>
        <v>0</v>
      </c>
      <c r="AL805" s="1">
        <f>+IFERROR(VLOOKUP(AL22,'נתוני מים 2014'!$C$2:$L$188,6,0)/1000,0)</f>
        <v>0</v>
      </c>
      <c r="AM805" s="1">
        <f>+IFERROR(VLOOKUP(AM22,'נתוני מים 2014'!$C$2:$L$188,6,0)/1000,0)</f>
        <v>0</v>
      </c>
      <c r="AN805" s="1">
        <f>+IFERROR(VLOOKUP(AN22,'נתוני מים 2014'!$C$2:$L$188,6,0)/1000,0)</f>
        <v>0</v>
      </c>
      <c r="AO805" s="1">
        <f>+IFERROR(VLOOKUP(AO22,'נתוני מים 2014'!$C$2:$L$188,6,0)/1000,0)</f>
        <v>0</v>
      </c>
      <c r="AP805" s="1">
        <f>+IFERROR(VLOOKUP(AP22,'נתוני מים 2014'!$C$2:$L$188,6,0)/1000,0)</f>
        <v>0</v>
      </c>
      <c r="AQ805" s="1">
        <f>+IFERROR(VLOOKUP(AQ22,'נתוני מים 2014'!$C$2:$L$188,6,0)/1000,0)</f>
        <v>0</v>
      </c>
      <c r="AR805" s="1">
        <f>+IFERROR(VLOOKUP(AR22,'נתוני מים 2014'!$C$2:$L$188,6,0)/1000,0)</f>
        <v>0</v>
      </c>
      <c r="AS805" s="1">
        <f>+IFERROR(VLOOKUP(AS22,'נתוני מים 2014'!$C$2:$L$188,6,0)/1000,0)</f>
        <v>0</v>
      </c>
      <c r="AT805" s="1">
        <f>+IFERROR(VLOOKUP(AT22,'נתוני מים 2014'!$C$2:$L$188,6,0)/1000,0)</f>
        <v>0</v>
      </c>
      <c r="AU805" s="1">
        <f>+IFERROR(VLOOKUP(AU22,'נתוני מים 2014'!$C$2:$L$188,6,0)/1000,0)</f>
        <v>0</v>
      </c>
      <c r="AV805" s="1">
        <f>+IFERROR(VLOOKUP(AV22,'נתוני מים 2014'!$C$2:$L$188,6,0)/1000,0)</f>
        <v>0</v>
      </c>
      <c r="AW805" s="1">
        <f>+IFERROR(VLOOKUP(AW22,'נתוני מים 2014'!$C$2:$L$188,6,0)/1000,0)</f>
        <v>0</v>
      </c>
      <c r="AX805" s="1">
        <f>+IFERROR(VLOOKUP(AX22,'נתוני מים 2014'!$C$2:$L$188,6,0)/1000,0)</f>
        <v>0</v>
      </c>
      <c r="AY805" s="1">
        <f>+IFERROR(VLOOKUP(AY22,'נתוני מים 2014'!$C$2:$L$188,6,0)/1000,0)</f>
        <v>0</v>
      </c>
      <c r="AZ805" s="1">
        <f>+IFERROR(VLOOKUP(AZ22,'נתוני מים 2014'!$C$2:$L$188,6,0)/1000,0)</f>
        <v>0</v>
      </c>
      <c r="BA805" s="1">
        <f>+IFERROR(VLOOKUP(BA22,'נתוני מים 2014'!$C$2:$L$188,6,0)/1000,0)</f>
        <v>0</v>
      </c>
      <c r="BB805" s="1">
        <f>+IFERROR(VLOOKUP(BB22,'נתוני מים 2014'!$C$2:$L$188,6,0)/1000,0)</f>
        <v>0</v>
      </c>
      <c r="BC805" s="1">
        <f>+IFERROR(VLOOKUP(BC22,'נתוני מים 2014'!$C$2:$L$188,6,0)/1000,0)</f>
        <v>0</v>
      </c>
      <c r="BD805" s="1">
        <f>+IFERROR(VLOOKUP(BD22,'נתוני מים 2014'!$C$2:$L$188,6,0)/1000,0)</f>
        <v>0</v>
      </c>
      <c r="BE805" s="1">
        <f>+IFERROR(VLOOKUP(BE22,'נתוני מים 2014'!$C$2:$L$188,6,0)/1000,0)</f>
        <v>0</v>
      </c>
      <c r="BF805" s="1">
        <f>+IFERROR(VLOOKUP(BF22,'נתוני מים 2014'!$C$2:$L$188,6,0)/1000,0)</f>
        <v>0</v>
      </c>
    </row>
    <row r="806" spans="2:58" x14ac:dyDescent="0.2">
      <c r="B806" s="1">
        <v>16</v>
      </c>
      <c r="C806" s="1">
        <f>+IFERROR(VLOOKUP(C23,'נתוני מים 2014'!$C$2:$L$188,6,0)/1000,0)</f>
        <v>0</v>
      </c>
      <c r="D806" s="1">
        <f>+IFERROR(VLOOKUP(D23,'נתוני מים 2014'!$C$2:$L$188,6,0)/1000,0)</f>
        <v>0</v>
      </c>
      <c r="E806" s="1">
        <f>+IFERROR(VLOOKUP(E23,'נתוני מים 2014'!$C$2:$L$188,6,0)/1000,0)</f>
        <v>0</v>
      </c>
      <c r="F806" s="1">
        <f>+IFERROR(VLOOKUP(F23,'נתוני מים 2014'!$C$2:$L$188,6,0)/1000,0)</f>
        <v>0</v>
      </c>
      <c r="G806" s="1">
        <f>+IFERROR(VLOOKUP(G23,'נתוני מים 2014'!$C$2:$L$188,6,0)/1000,0)</f>
        <v>0</v>
      </c>
      <c r="H806" s="1">
        <f>+IFERROR(VLOOKUP(H23,'נתוני מים 2014'!$C$2:$L$188,6,0)/1000,0)</f>
        <v>0</v>
      </c>
      <c r="I806" s="1">
        <f>+IFERROR(VLOOKUP(I23,'נתוני מים 2014'!$C$2:$L$188,6,0)/1000,0)</f>
        <v>0</v>
      </c>
      <c r="J806" s="1">
        <f>+IFERROR(VLOOKUP(J23,'נתוני מים 2014'!$C$2:$L$188,6,0)/1000,0)</f>
        <v>0</v>
      </c>
      <c r="K806" s="1">
        <f>+IFERROR(VLOOKUP(K23,'נתוני מים 2014'!$C$2:$L$188,6,0)/1000,0)</f>
        <v>0</v>
      </c>
      <c r="L806" s="1">
        <f>+IFERROR(VLOOKUP(L23,'נתוני מים 2014'!$C$2:$L$188,6,0)/1000,0)</f>
        <v>0</v>
      </c>
      <c r="M806" s="1">
        <f>+IFERROR(VLOOKUP(M23,'נתוני מים 2014'!$C$2:$L$188,6,0)/1000,0)</f>
        <v>0</v>
      </c>
      <c r="N806" s="1">
        <f>+IFERROR(VLOOKUP(N23,'נתוני מים 2014'!$C$2:$L$188,6,0)/1000,0)</f>
        <v>0</v>
      </c>
      <c r="O806" s="1">
        <f>+IFERROR(VLOOKUP(O23,'נתוני מים 2014'!$C$2:$L$188,6,0)/1000,0)</f>
        <v>0</v>
      </c>
      <c r="P806" s="1">
        <f>+IFERROR(VLOOKUP(P23,'נתוני מים 2014'!$C$2:$L$188,6,0)/1000,0)</f>
        <v>0</v>
      </c>
      <c r="Q806" s="1">
        <f>+IFERROR(VLOOKUP(Q23,'נתוני מים 2014'!$C$2:$L$188,6,0)/1000,0)</f>
        <v>0</v>
      </c>
      <c r="R806" s="1">
        <f>+IFERROR(VLOOKUP(R23,'נתוני מים 2014'!$C$2:$L$188,6,0)/1000,0)</f>
        <v>0</v>
      </c>
      <c r="S806" s="1">
        <f>+IFERROR(VLOOKUP(S23,'נתוני מים 2014'!$C$2:$L$188,6,0)/1000,0)</f>
        <v>0</v>
      </c>
      <c r="T806" s="1">
        <f>+IFERROR(VLOOKUP(T23,'נתוני מים 2014'!$C$2:$L$188,6,0)/1000,0)</f>
        <v>0</v>
      </c>
      <c r="U806" s="1">
        <f>+IFERROR(VLOOKUP(U23,'נתוני מים 2014'!$C$2:$L$188,6,0)/1000,0)</f>
        <v>0</v>
      </c>
      <c r="V806" s="1">
        <f>+IFERROR(VLOOKUP(V23,'נתוני מים 2014'!$C$2:$L$188,6,0)/1000,0)</f>
        <v>0</v>
      </c>
      <c r="W806" s="1">
        <f>+IFERROR(VLOOKUP(W23,'נתוני מים 2014'!$C$2:$L$188,6,0)/1000,0)</f>
        <v>0</v>
      </c>
      <c r="X806" s="1">
        <f>+IFERROR(VLOOKUP(X23,'נתוני מים 2014'!$C$2:$L$188,6,0)/1000,0)</f>
        <v>0</v>
      </c>
      <c r="Y806" s="1">
        <f>+IFERROR(VLOOKUP(Y23,'נתוני מים 2014'!$C$2:$L$188,6,0)/1000,0)</f>
        <v>0</v>
      </c>
      <c r="Z806" s="1">
        <f>+IFERROR(VLOOKUP(Z23,'נתוני מים 2014'!$C$2:$L$188,6,0)/1000,0)</f>
        <v>0</v>
      </c>
      <c r="AA806" s="1">
        <f>+IFERROR(VLOOKUP(AA23,'נתוני מים 2014'!$C$2:$L$188,6,0)/1000,0)</f>
        <v>0</v>
      </c>
      <c r="AB806" s="1">
        <f>+IFERROR(VLOOKUP(AB23,'נתוני מים 2014'!$C$2:$L$188,6,0)/1000,0)</f>
        <v>0</v>
      </c>
      <c r="AC806" s="1">
        <f>+IFERROR(VLOOKUP(AC23,'נתוני מים 2014'!$C$2:$L$188,6,0)/1000,0)</f>
        <v>0</v>
      </c>
      <c r="AD806" s="1">
        <f>+IFERROR(VLOOKUP(AD23,'נתוני מים 2014'!$C$2:$L$188,6,0)/1000,0)</f>
        <v>0</v>
      </c>
      <c r="AE806" s="1">
        <f>+IFERROR(VLOOKUP(AE23,'נתוני מים 2014'!$C$2:$L$188,6,0)/1000,0)</f>
        <v>0</v>
      </c>
      <c r="AF806" s="1">
        <f>+IFERROR(VLOOKUP(AF23,'נתוני מים 2014'!$C$2:$L$188,6,0)/1000,0)</f>
        <v>0</v>
      </c>
      <c r="AG806" s="1">
        <f>+IFERROR(VLOOKUP(AG23,'נתוני מים 2014'!$C$2:$L$188,6,0)/1000,0)</f>
        <v>0</v>
      </c>
      <c r="AH806" s="1">
        <f>+IFERROR(VLOOKUP(AH23,'נתוני מים 2014'!$C$2:$L$188,6,0)/1000,0)</f>
        <v>0</v>
      </c>
      <c r="AI806" s="1">
        <f>+IFERROR(VLOOKUP(AI23,'נתוני מים 2014'!$C$2:$L$188,6,0)/1000,0)</f>
        <v>0</v>
      </c>
      <c r="AJ806" s="1">
        <f>+IFERROR(VLOOKUP(AJ23,'נתוני מים 2014'!$C$2:$L$188,6,0)/1000,0)</f>
        <v>0</v>
      </c>
      <c r="AK806" s="1">
        <f>+IFERROR(VLOOKUP(AK23,'נתוני מים 2014'!$C$2:$L$188,6,0)/1000,0)</f>
        <v>0</v>
      </c>
      <c r="AL806" s="1">
        <f>+IFERROR(VLOOKUP(AL23,'נתוני מים 2014'!$C$2:$L$188,6,0)/1000,0)</f>
        <v>0</v>
      </c>
      <c r="AM806" s="1">
        <f>+IFERROR(VLOOKUP(AM23,'נתוני מים 2014'!$C$2:$L$188,6,0)/1000,0)</f>
        <v>0</v>
      </c>
      <c r="AN806" s="1">
        <f>+IFERROR(VLOOKUP(AN23,'נתוני מים 2014'!$C$2:$L$188,6,0)/1000,0)</f>
        <v>0</v>
      </c>
      <c r="AO806" s="1">
        <f>+IFERROR(VLOOKUP(AO23,'נתוני מים 2014'!$C$2:$L$188,6,0)/1000,0)</f>
        <v>0</v>
      </c>
      <c r="AP806" s="1">
        <f>+IFERROR(VLOOKUP(AP23,'נתוני מים 2014'!$C$2:$L$188,6,0)/1000,0)</f>
        <v>0</v>
      </c>
      <c r="AQ806" s="1">
        <f>+IFERROR(VLOOKUP(AQ23,'נתוני מים 2014'!$C$2:$L$188,6,0)/1000,0)</f>
        <v>0</v>
      </c>
      <c r="AR806" s="1">
        <f>+IFERROR(VLOOKUP(AR23,'נתוני מים 2014'!$C$2:$L$188,6,0)/1000,0)</f>
        <v>0</v>
      </c>
      <c r="AS806" s="1">
        <f>+IFERROR(VLOOKUP(AS23,'נתוני מים 2014'!$C$2:$L$188,6,0)/1000,0)</f>
        <v>0</v>
      </c>
      <c r="AT806" s="1">
        <f>+IFERROR(VLOOKUP(AT23,'נתוני מים 2014'!$C$2:$L$188,6,0)/1000,0)</f>
        <v>0</v>
      </c>
      <c r="AU806" s="1">
        <f>+IFERROR(VLOOKUP(AU23,'נתוני מים 2014'!$C$2:$L$188,6,0)/1000,0)</f>
        <v>0</v>
      </c>
      <c r="AV806" s="1">
        <f>+IFERROR(VLOOKUP(AV23,'נתוני מים 2014'!$C$2:$L$188,6,0)/1000,0)</f>
        <v>0</v>
      </c>
      <c r="AW806" s="1">
        <f>+IFERROR(VLOOKUP(AW23,'נתוני מים 2014'!$C$2:$L$188,6,0)/1000,0)</f>
        <v>0</v>
      </c>
      <c r="AX806" s="1">
        <f>+IFERROR(VLOOKUP(AX23,'נתוני מים 2014'!$C$2:$L$188,6,0)/1000,0)</f>
        <v>0</v>
      </c>
      <c r="AY806" s="1">
        <f>+IFERROR(VLOOKUP(AY23,'נתוני מים 2014'!$C$2:$L$188,6,0)/1000,0)</f>
        <v>0</v>
      </c>
      <c r="AZ806" s="1">
        <f>+IFERROR(VLOOKUP(AZ23,'נתוני מים 2014'!$C$2:$L$188,6,0)/1000,0)</f>
        <v>0</v>
      </c>
      <c r="BA806" s="1">
        <f>+IFERROR(VLOOKUP(BA23,'נתוני מים 2014'!$C$2:$L$188,6,0)/1000,0)</f>
        <v>0</v>
      </c>
      <c r="BB806" s="1">
        <f>+IFERROR(VLOOKUP(BB23,'נתוני מים 2014'!$C$2:$L$188,6,0)/1000,0)</f>
        <v>0</v>
      </c>
      <c r="BC806" s="1">
        <f>+IFERROR(VLOOKUP(BC23,'נתוני מים 2014'!$C$2:$L$188,6,0)/1000,0)</f>
        <v>0</v>
      </c>
      <c r="BD806" s="1">
        <f>+IFERROR(VLOOKUP(BD23,'נתוני מים 2014'!$C$2:$L$188,6,0)/1000,0)</f>
        <v>0</v>
      </c>
      <c r="BE806" s="1">
        <f>+IFERROR(VLOOKUP(BE23,'נתוני מים 2014'!$C$2:$L$188,6,0)/1000,0)</f>
        <v>0</v>
      </c>
      <c r="BF806" s="1">
        <f>+IFERROR(VLOOKUP(BF23,'נתוני מים 2014'!$C$2:$L$188,6,0)/1000,0)</f>
        <v>0</v>
      </c>
    </row>
    <row r="807" spans="2:58" x14ac:dyDescent="0.2">
      <c r="B807" s="1">
        <v>17</v>
      </c>
      <c r="C807" s="1">
        <f>+IFERROR(VLOOKUP(C24,'נתוני מים 2014'!$C$2:$L$188,6,0)/1000,0)</f>
        <v>0</v>
      </c>
      <c r="D807" s="1">
        <f>+IFERROR(VLOOKUP(D24,'נתוני מים 2014'!$C$2:$L$188,6,0)/1000,0)</f>
        <v>0</v>
      </c>
      <c r="E807" s="1">
        <f>+IFERROR(VLOOKUP(E24,'נתוני מים 2014'!$C$2:$L$188,6,0)/1000,0)</f>
        <v>0</v>
      </c>
      <c r="F807" s="1">
        <f>+IFERROR(VLOOKUP(F24,'נתוני מים 2014'!$C$2:$L$188,6,0)/1000,0)</f>
        <v>0</v>
      </c>
      <c r="G807" s="1">
        <f>+IFERROR(VLOOKUP(G24,'נתוני מים 2014'!$C$2:$L$188,6,0)/1000,0)</f>
        <v>0</v>
      </c>
      <c r="H807" s="1">
        <f>+IFERROR(VLOOKUP(H24,'נתוני מים 2014'!$C$2:$L$188,6,0)/1000,0)</f>
        <v>0</v>
      </c>
      <c r="I807" s="1">
        <f>+IFERROR(VLOOKUP(I24,'נתוני מים 2014'!$C$2:$L$188,6,0)/1000,0)</f>
        <v>0</v>
      </c>
      <c r="J807" s="1">
        <f>+IFERROR(VLOOKUP(J24,'נתוני מים 2014'!$C$2:$L$188,6,0)/1000,0)</f>
        <v>0</v>
      </c>
      <c r="K807" s="1">
        <f>+IFERROR(VLOOKUP(K24,'נתוני מים 2014'!$C$2:$L$188,6,0)/1000,0)</f>
        <v>0</v>
      </c>
      <c r="L807" s="1">
        <f>+IFERROR(VLOOKUP(L24,'נתוני מים 2014'!$C$2:$L$188,6,0)/1000,0)</f>
        <v>0</v>
      </c>
      <c r="M807" s="1">
        <f>+IFERROR(VLOOKUP(M24,'נתוני מים 2014'!$C$2:$L$188,6,0)/1000,0)</f>
        <v>0</v>
      </c>
      <c r="N807" s="1">
        <f>+IFERROR(VLOOKUP(N24,'נתוני מים 2014'!$C$2:$L$188,6,0)/1000,0)</f>
        <v>0</v>
      </c>
      <c r="O807" s="1">
        <f>+IFERROR(VLOOKUP(O24,'נתוני מים 2014'!$C$2:$L$188,6,0)/1000,0)</f>
        <v>0</v>
      </c>
      <c r="P807" s="1">
        <f>+IFERROR(VLOOKUP(P24,'נתוני מים 2014'!$C$2:$L$188,6,0)/1000,0)</f>
        <v>0</v>
      </c>
      <c r="Q807" s="1">
        <f>+IFERROR(VLOOKUP(Q24,'נתוני מים 2014'!$C$2:$L$188,6,0)/1000,0)</f>
        <v>0</v>
      </c>
      <c r="R807" s="1">
        <f>+IFERROR(VLOOKUP(R24,'נתוני מים 2014'!$C$2:$L$188,6,0)/1000,0)</f>
        <v>0</v>
      </c>
      <c r="S807" s="1">
        <f>+IFERROR(VLOOKUP(S24,'נתוני מים 2014'!$C$2:$L$188,6,0)/1000,0)</f>
        <v>0</v>
      </c>
      <c r="T807" s="1">
        <f>+IFERROR(VLOOKUP(T24,'נתוני מים 2014'!$C$2:$L$188,6,0)/1000,0)</f>
        <v>0</v>
      </c>
      <c r="U807" s="1">
        <f>+IFERROR(VLOOKUP(U24,'נתוני מים 2014'!$C$2:$L$188,6,0)/1000,0)</f>
        <v>0</v>
      </c>
      <c r="V807" s="1">
        <f>+IFERROR(VLOOKUP(V24,'נתוני מים 2014'!$C$2:$L$188,6,0)/1000,0)</f>
        <v>0</v>
      </c>
      <c r="W807" s="1">
        <f>+IFERROR(VLOOKUP(W24,'נתוני מים 2014'!$C$2:$L$188,6,0)/1000,0)</f>
        <v>0</v>
      </c>
      <c r="X807" s="1">
        <f>+IFERROR(VLOOKUP(X24,'נתוני מים 2014'!$C$2:$L$188,6,0)/1000,0)</f>
        <v>0</v>
      </c>
      <c r="Y807" s="1">
        <f>+IFERROR(VLOOKUP(Y24,'נתוני מים 2014'!$C$2:$L$188,6,0)/1000,0)</f>
        <v>0</v>
      </c>
      <c r="Z807" s="1">
        <f>+IFERROR(VLOOKUP(Z24,'נתוני מים 2014'!$C$2:$L$188,6,0)/1000,0)</f>
        <v>0</v>
      </c>
      <c r="AA807" s="1">
        <f>+IFERROR(VLOOKUP(AA24,'נתוני מים 2014'!$C$2:$L$188,6,0)/1000,0)</f>
        <v>0</v>
      </c>
      <c r="AB807" s="1">
        <f>+IFERROR(VLOOKUP(AB24,'נתוני מים 2014'!$C$2:$L$188,6,0)/1000,0)</f>
        <v>0</v>
      </c>
      <c r="AC807" s="1">
        <f>+IFERROR(VLOOKUP(AC24,'נתוני מים 2014'!$C$2:$L$188,6,0)/1000,0)</f>
        <v>0</v>
      </c>
      <c r="AD807" s="1">
        <f>+IFERROR(VLOOKUP(AD24,'נתוני מים 2014'!$C$2:$L$188,6,0)/1000,0)</f>
        <v>0</v>
      </c>
      <c r="AE807" s="1">
        <f>+IFERROR(VLOOKUP(AE24,'נתוני מים 2014'!$C$2:$L$188,6,0)/1000,0)</f>
        <v>0</v>
      </c>
      <c r="AF807" s="1">
        <f>+IFERROR(VLOOKUP(AF24,'נתוני מים 2014'!$C$2:$L$188,6,0)/1000,0)</f>
        <v>0</v>
      </c>
      <c r="AG807" s="1">
        <f>+IFERROR(VLOOKUP(AG24,'נתוני מים 2014'!$C$2:$L$188,6,0)/1000,0)</f>
        <v>0</v>
      </c>
      <c r="AH807" s="1">
        <f>+IFERROR(VLOOKUP(AH24,'נתוני מים 2014'!$C$2:$L$188,6,0)/1000,0)</f>
        <v>0</v>
      </c>
      <c r="AI807" s="1">
        <f>+IFERROR(VLOOKUP(AI24,'נתוני מים 2014'!$C$2:$L$188,6,0)/1000,0)</f>
        <v>0</v>
      </c>
      <c r="AJ807" s="1">
        <f>+IFERROR(VLOOKUP(AJ24,'נתוני מים 2014'!$C$2:$L$188,6,0)/1000,0)</f>
        <v>0</v>
      </c>
      <c r="AK807" s="1">
        <f>+IFERROR(VLOOKUP(AK24,'נתוני מים 2014'!$C$2:$L$188,6,0)/1000,0)</f>
        <v>0</v>
      </c>
      <c r="AL807" s="1">
        <f>+IFERROR(VLOOKUP(AL24,'נתוני מים 2014'!$C$2:$L$188,6,0)/1000,0)</f>
        <v>0</v>
      </c>
      <c r="AM807" s="1">
        <f>+IFERROR(VLOOKUP(AM24,'נתוני מים 2014'!$C$2:$L$188,6,0)/1000,0)</f>
        <v>0</v>
      </c>
      <c r="AN807" s="1">
        <f>+IFERROR(VLOOKUP(AN24,'נתוני מים 2014'!$C$2:$L$188,6,0)/1000,0)</f>
        <v>0</v>
      </c>
      <c r="AO807" s="1">
        <f>+IFERROR(VLOOKUP(AO24,'נתוני מים 2014'!$C$2:$L$188,6,0)/1000,0)</f>
        <v>0</v>
      </c>
      <c r="AP807" s="1">
        <f>+IFERROR(VLOOKUP(AP24,'נתוני מים 2014'!$C$2:$L$188,6,0)/1000,0)</f>
        <v>0</v>
      </c>
      <c r="AQ807" s="1">
        <f>+IFERROR(VLOOKUP(AQ24,'נתוני מים 2014'!$C$2:$L$188,6,0)/1000,0)</f>
        <v>0</v>
      </c>
      <c r="AR807" s="1">
        <f>+IFERROR(VLOOKUP(AR24,'נתוני מים 2014'!$C$2:$L$188,6,0)/1000,0)</f>
        <v>0</v>
      </c>
      <c r="AS807" s="1">
        <f>+IFERROR(VLOOKUP(AS24,'נתוני מים 2014'!$C$2:$L$188,6,0)/1000,0)</f>
        <v>0</v>
      </c>
      <c r="AT807" s="1">
        <f>+IFERROR(VLOOKUP(AT24,'נתוני מים 2014'!$C$2:$L$188,6,0)/1000,0)</f>
        <v>0</v>
      </c>
      <c r="AU807" s="1">
        <f>+IFERROR(VLOOKUP(AU24,'נתוני מים 2014'!$C$2:$L$188,6,0)/1000,0)</f>
        <v>0</v>
      </c>
      <c r="AV807" s="1">
        <f>+IFERROR(VLOOKUP(AV24,'נתוני מים 2014'!$C$2:$L$188,6,0)/1000,0)</f>
        <v>0</v>
      </c>
      <c r="AW807" s="1">
        <f>+IFERROR(VLOOKUP(AW24,'נתוני מים 2014'!$C$2:$L$188,6,0)/1000,0)</f>
        <v>0</v>
      </c>
      <c r="AX807" s="1">
        <f>+IFERROR(VLOOKUP(AX24,'נתוני מים 2014'!$C$2:$L$188,6,0)/1000,0)</f>
        <v>0</v>
      </c>
      <c r="AY807" s="1">
        <f>+IFERROR(VLOOKUP(AY24,'נתוני מים 2014'!$C$2:$L$188,6,0)/1000,0)</f>
        <v>0</v>
      </c>
      <c r="AZ807" s="1">
        <f>+IFERROR(VLOOKUP(AZ24,'נתוני מים 2014'!$C$2:$L$188,6,0)/1000,0)</f>
        <v>0</v>
      </c>
      <c r="BA807" s="1">
        <f>+IFERROR(VLOOKUP(BA24,'נתוני מים 2014'!$C$2:$L$188,6,0)/1000,0)</f>
        <v>0</v>
      </c>
      <c r="BB807" s="1">
        <f>+IFERROR(VLOOKUP(BB24,'נתוני מים 2014'!$C$2:$L$188,6,0)/1000,0)</f>
        <v>0</v>
      </c>
      <c r="BC807" s="1">
        <f>+IFERROR(VLOOKUP(BC24,'נתוני מים 2014'!$C$2:$L$188,6,0)/1000,0)</f>
        <v>0</v>
      </c>
      <c r="BD807" s="1">
        <f>+IFERROR(VLOOKUP(BD24,'נתוני מים 2014'!$C$2:$L$188,6,0)/1000,0)</f>
        <v>0</v>
      </c>
      <c r="BE807" s="1">
        <f>+IFERROR(VLOOKUP(BE24,'נתוני מים 2014'!$C$2:$L$188,6,0)/1000,0)</f>
        <v>0</v>
      </c>
      <c r="BF807" s="1">
        <f>+IFERROR(VLOOKUP(BF24,'נתוני מים 2014'!$C$2:$L$188,6,0)/1000,0)</f>
        <v>0</v>
      </c>
    </row>
    <row r="808" spans="2:58" x14ac:dyDescent="0.2">
      <c r="B808" s="1">
        <v>18</v>
      </c>
      <c r="C808" s="1">
        <f>+IFERROR(VLOOKUP(C25,'נתוני מים 2014'!$C$2:$L$188,6,0)/1000,0)</f>
        <v>0</v>
      </c>
      <c r="D808" s="1">
        <f>+IFERROR(VLOOKUP(D25,'נתוני מים 2014'!$C$2:$L$188,6,0)/1000,0)</f>
        <v>0</v>
      </c>
      <c r="E808" s="1">
        <f>+IFERROR(VLOOKUP(E25,'נתוני מים 2014'!$C$2:$L$188,6,0)/1000,0)</f>
        <v>0</v>
      </c>
      <c r="F808" s="1">
        <f>+IFERROR(VLOOKUP(F25,'נתוני מים 2014'!$C$2:$L$188,6,0)/1000,0)</f>
        <v>0</v>
      </c>
      <c r="G808" s="1">
        <f>+IFERROR(VLOOKUP(G25,'נתוני מים 2014'!$C$2:$L$188,6,0)/1000,0)</f>
        <v>0</v>
      </c>
      <c r="H808" s="1">
        <f>+IFERROR(VLOOKUP(H25,'נתוני מים 2014'!$C$2:$L$188,6,0)/1000,0)</f>
        <v>0</v>
      </c>
      <c r="I808" s="1">
        <f>+IFERROR(VLOOKUP(I25,'נתוני מים 2014'!$C$2:$L$188,6,0)/1000,0)</f>
        <v>0</v>
      </c>
      <c r="J808" s="1">
        <f>+IFERROR(VLOOKUP(J25,'נתוני מים 2014'!$C$2:$L$188,6,0)/1000,0)</f>
        <v>0</v>
      </c>
      <c r="K808" s="1">
        <f>+IFERROR(VLOOKUP(K25,'נתוני מים 2014'!$C$2:$L$188,6,0)/1000,0)</f>
        <v>0</v>
      </c>
      <c r="L808" s="1">
        <f>+IFERROR(VLOOKUP(L25,'נתוני מים 2014'!$C$2:$L$188,6,0)/1000,0)</f>
        <v>0</v>
      </c>
      <c r="M808" s="1">
        <f>+IFERROR(VLOOKUP(M25,'נתוני מים 2014'!$C$2:$L$188,6,0)/1000,0)</f>
        <v>0</v>
      </c>
      <c r="N808" s="1">
        <f>+IFERROR(VLOOKUP(N25,'נתוני מים 2014'!$C$2:$L$188,6,0)/1000,0)</f>
        <v>0</v>
      </c>
      <c r="O808" s="1">
        <f>+IFERROR(VLOOKUP(O25,'נתוני מים 2014'!$C$2:$L$188,6,0)/1000,0)</f>
        <v>0</v>
      </c>
      <c r="P808" s="1">
        <f>+IFERROR(VLOOKUP(P25,'נתוני מים 2014'!$C$2:$L$188,6,0)/1000,0)</f>
        <v>0</v>
      </c>
      <c r="Q808" s="1">
        <f>+IFERROR(VLOOKUP(Q25,'נתוני מים 2014'!$C$2:$L$188,6,0)/1000,0)</f>
        <v>0</v>
      </c>
      <c r="R808" s="1">
        <f>+IFERROR(VLOOKUP(R25,'נתוני מים 2014'!$C$2:$L$188,6,0)/1000,0)</f>
        <v>0</v>
      </c>
      <c r="S808" s="1">
        <f>+IFERROR(VLOOKUP(S25,'נתוני מים 2014'!$C$2:$L$188,6,0)/1000,0)</f>
        <v>0</v>
      </c>
      <c r="T808" s="1">
        <f>+IFERROR(VLOOKUP(T25,'נתוני מים 2014'!$C$2:$L$188,6,0)/1000,0)</f>
        <v>0</v>
      </c>
      <c r="U808" s="1">
        <f>+IFERROR(VLOOKUP(U25,'נתוני מים 2014'!$C$2:$L$188,6,0)/1000,0)</f>
        <v>0</v>
      </c>
      <c r="V808" s="1">
        <f>+IFERROR(VLOOKUP(V25,'נתוני מים 2014'!$C$2:$L$188,6,0)/1000,0)</f>
        <v>0</v>
      </c>
      <c r="W808" s="1">
        <f>+IFERROR(VLOOKUP(W25,'נתוני מים 2014'!$C$2:$L$188,6,0)/1000,0)</f>
        <v>0</v>
      </c>
      <c r="X808" s="1">
        <f>+IFERROR(VLOOKUP(X25,'נתוני מים 2014'!$C$2:$L$188,6,0)/1000,0)</f>
        <v>0</v>
      </c>
      <c r="Y808" s="1">
        <f>+IFERROR(VLOOKUP(Y25,'נתוני מים 2014'!$C$2:$L$188,6,0)/1000,0)</f>
        <v>0</v>
      </c>
      <c r="Z808" s="1">
        <f>+IFERROR(VLOOKUP(Z25,'נתוני מים 2014'!$C$2:$L$188,6,0)/1000,0)</f>
        <v>0</v>
      </c>
      <c r="AA808" s="1">
        <f>+IFERROR(VLOOKUP(AA25,'נתוני מים 2014'!$C$2:$L$188,6,0)/1000,0)</f>
        <v>0</v>
      </c>
      <c r="AB808" s="1">
        <f>+IFERROR(VLOOKUP(AB25,'נתוני מים 2014'!$C$2:$L$188,6,0)/1000,0)</f>
        <v>0</v>
      </c>
      <c r="AC808" s="1">
        <f>+IFERROR(VLOOKUP(AC25,'נתוני מים 2014'!$C$2:$L$188,6,0)/1000,0)</f>
        <v>0</v>
      </c>
      <c r="AD808" s="1">
        <f>+IFERROR(VLOOKUP(AD25,'נתוני מים 2014'!$C$2:$L$188,6,0)/1000,0)</f>
        <v>0</v>
      </c>
      <c r="AE808" s="1">
        <f>+IFERROR(VLOOKUP(AE25,'נתוני מים 2014'!$C$2:$L$188,6,0)/1000,0)</f>
        <v>0</v>
      </c>
      <c r="AF808" s="1">
        <f>+IFERROR(VLOOKUP(AF25,'נתוני מים 2014'!$C$2:$L$188,6,0)/1000,0)</f>
        <v>0</v>
      </c>
      <c r="AG808" s="1">
        <f>+IFERROR(VLOOKUP(AG25,'נתוני מים 2014'!$C$2:$L$188,6,0)/1000,0)</f>
        <v>0</v>
      </c>
      <c r="AH808" s="1">
        <f>+IFERROR(VLOOKUP(AH25,'נתוני מים 2014'!$C$2:$L$188,6,0)/1000,0)</f>
        <v>0</v>
      </c>
      <c r="AI808" s="1">
        <f>+IFERROR(VLOOKUP(AI25,'נתוני מים 2014'!$C$2:$L$188,6,0)/1000,0)</f>
        <v>0</v>
      </c>
      <c r="AJ808" s="1">
        <f>+IFERROR(VLOOKUP(AJ25,'נתוני מים 2014'!$C$2:$L$188,6,0)/1000,0)</f>
        <v>0</v>
      </c>
      <c r="AK808" s="1">
        <f>+IFERROR(VLOOKUP(AK25,'נתוני מים 2014'!$C$2:$L$188,6,0)/1000,0)</f>
        <v>0</v>
      </c>
      <c r="AL808" s="1">
        <f>+IFERROR(VLOOKUP(AL25,'נתוני מים 2014'!$C$2:$L$188,6,0)/1000,0)</f>
        <v>0</v>
      </c>
      <c r="AM808" s="1">
        <f>+IFERROR(VLOOKUP(AM25,'נתוני מים 2014'!$C$2:$L$188,6,0)/1000,0)</f>
        <v>0</v>
      </c>
      <c r="AN808" s="1">
        <f>+IFERROR(VLOOKUP(AN25,'נתוני מים 2014'!$C$2:$L$188,6,0)/1000,0)</f>
        <v>0</v>
      </c>
      <c r="AO808" s="1">
        <f>+IFERROR(VLOOKUP(AO25,'נתוני מים 2014'!$C$2:$L$188,6,0)/1000,0)</f>
        <v>0</v>
      </c>
      <c r="AP808" s="1">
        <f>+IFERROR(VLOOKUP(AP25,'נתוני מים 2014'!$C$2:$L$188,6,0)/1000,0)</f>
        <v>0</v>
      </c>
      <c r="AQ808" s="1">
        <f>+IFERROR(VLOOKUP(AQ25,'נתוני מים 2014'!$C$2:$L$188,6,0)/1000,0)</f>
        <v>0</v>
      </c>
      <c r="AR808" s="1">
        <f>+IFERROR(VLOOKUP(AR25,'נתוני מים 2014'!$C$2:$L$188,6,0)/1000,0)</f>
        <v>0</v>
      </c>
      <c r="AS808" s="1">
        <f>+IFERROR(VLOOKUP(AS25,'נתוני מים 2014'!$C$2:$L$188,6,0)/1000,0)</f>
        <v>0</v>
      </c>
      <c r="AT808" s="1">
        <f>+IFERROR(VLOOKUP(AT25,'נתוני מים 2014'!$C$2:$L$188,6,0)/1000,0)</f>
        <v>0</v>
      </c>
      <c r="AU808" s="1">
        <f>+IFERROR(VLOOKUP(AU25,'נתוני מים 2014'!$C$2:$L$188,6,0)/1000,0)</f>
        <v>0</v>
      </c>
      <c r="AV808" s="1">
        <f>+IFERROR(VLOOKUP(AV25,'נתוני מים 2014'!$C$2:$L$188,6,0)/1000,0)</f>
        <v>0</v>
      </c>
      <c r="AW808" s="1">
        <f>+IFERROR(VLOOKUP(AW25,'נתוני מים 2014'!$C$2:$L$188,6,0)/1000,0)</f>
        <v>0</v>
      </c>
      <c r="AX808" s="1">
        <f>+IFERROR(VLOOKUP(AX25,'נתוני מים 2014'!$C$2:$L$188,6,0)/1000,0)</f>
        <v>0</v>
      </c>
      <c r="AY808" s="1">
        <f>+IFERROR(VLOOKUP(AY25,'נתוני מים 2014'!$C$2:$L$188,6,0)/1000,0)</f>
        <v>0</v>
      </c>
      <c r="AZ808" s="1">
        <f>+IFERROR(VLOOKUP(AZ25,'נתוני מים 2014'!$C$2:$L$188,6,0)/1000,0)</f>
        <v>0</v>
      </c>
      <c r="BA808" s="1">
        <f>+IFERROR(VLOOKUP(BA25,'נתוני מים 2014'!$C$2:$L$188,6,0)/1000,0)</f>
        <v>0</v>
      </c>
      <c r="BB808" s="1">
        <f>+IFERROR(VLOOKUP(BB25,'נתוני מים 2014'!$C$2:$L$188,6,0)/1000,0)</f>
        <v>0</v>
      </c>
      <c r="BC808" s="1">
        <f>+IFERROR(VLOOKUP(BC25,'נתוני מים 2014'!$C$2:$L$188,6,0)/1000,0)</f>
        <v>0</v>
      </c>
      <c r="BD808" s="1">
        <f>+IFERROR(VLOOKUP(BD25,'נתוני מים 2014'!$C$2:$L$188,6,0)/1000,0)</f>
        <v>0</v>
      </c>
      <c r="BE808" s="1">
        <f>+IFERROR(VLOOKUP(BE25,'נתוני מים 2014'!$C$2:$L$188,6,0)/1000,0)</f>
        <v>0</v>
      </c>
      <c r="BF808" s="1">
        <f>+IFERROR(VLOOKUP(BF25,'נתוני מים 2014'!$C$2:$L$188,6,0)/1000,0)</f>
        <v>0</v>
      </c>
    </row>
    <row r="809" spans="2:58" x14ac:dyDescent="0.2">
      <c r="B809" s="1">
        <v>19</v>
      </c>
      <c r="C809" s="1">
        <f>+IFERROR(VLOOKUP(C26,'נתוני מים 2014'!$C$2:$L$188,6,0)/1000,0)</f>
        <v>0</v>
      </c>
      <c r="D809" s="1">
        <f>+IFERROR(VLOOKUP(D26,'נתוני מים 2014'!$C$2:$L$188,6,0)/1000,0)</f>
        <v>0</v>
      </c>
      <c r="E809" s="1">
        <f>+IFERROR(VLOOKUP(E26,'נתוני מים 2014'!$C$2:$L$188,6,0)/1000,0)</f>
        <v>0</v>
      </c>
      <c r="F809" s="1">
        <f>+IFERROR(VLOOKUP(F26,'נתוני מים 2014'!$C$2:$L$188,6,0)/1000,0)</f>
        <v>0</v>
      </c>
      <c r="G809" s="1">
        <f>+IFERROR(VLOOKUP(G26,'נתוני מים 2014'!$C$2:$L$188,6,0)/1000,0)</f>
        <v>0</v>
      </c>
      <c r="H809" s="1">
        <f>+IFERROR(VLOOKUP(H26,'נתוני מים 2014'!$C$2:$L$188,6,0)/1000,0)</f>
        <v>0</v>
      </c>
      <c r="I809" s="1">
        <f>+IFERROR(VLOOKUP(I26,'נתוני מים 2014'!$C$2:$L$188,6,0)/1000,0)</f>
        <v>0</v>
      </c>
      <c r="J809" s="1">
        <f>+IFERROR(VLOOKUP(J26,'נתוני מים 2014'!$C$2:$L$188,6,0)/1000,0)</f>
        <v>0</v>
      </c>
      <c r="K809" s="1">
        <f>+IFERROR(VLOOKUP(K26,'נתוני מים 2014'!$C$2:$L$188,6,0)/1000,0)</f>
        <v>0</v>
      </c>
      <c r="L809" s="1">
        <f>+IFERROR(VLOOKUP(L26,'נתוני מים 2014'!$C$2:$L$188,6,0)/1000,0)</f>
        <v>0</v>
      </c>
      <c r="M809" s="1">
        <f>+IFERROR(VLOOKUP(M26,'נתוני מים 2014'!$C$2:$L$188,6,0)/1000,0)</f>
        <v>0</v>
      </c>
      <c r="N809" s="1">
        <f>+IFERROR(VLOOKUP(N26,'נתוני מים 2014'!$C$2:$L$188,6,0)/1000,0)</f>
        <v>0</v>
      </c>
      <c r="O809" s="1">
        <f>+IFERROR(VLOOKUP(O26,'נתוני מים 2014'!$C$2:$L$188,6,0)/1000,0)</f>
        <v>0</v>
      </c>
      <c r="P809" s="1">
        <f>+IFERROR(VLOOKUP(P26,'נתוני מים 2014'!$C$2:$L$188,6,0)/1000,0)</f>
        <v>0</v>
      </c>
      <c r="Q809" s="1">
        <f>+IFERROR(VLOOKUP(Q26,'נתוני מים 2014'!$C$2:$L$188,6,0)/1000,0)</f>
        <v>0</v>
      </c>
      <c r="R809" s="1">
        <f>+IFERROR(VLOOKUP(R26,'נתוני מים 2014'!$C$2:$L$188,6,0)/1000,0)</f>
        <v>0</v>
      </c>
      <c r="S809" s="1">
        <f>+IFERROR(VLOOKUP(S26,'נתוני מים 2014'!$C$2:$L$188,6,0)/1000,0)</f>
        <v>0</v>
      </c>
      <c r="T809" s="1">
        <f>+IFERROR(VLOOKUP(T26,'נתוני מים 2014'!$C$2:$L$188,6,0)/1000,0)</f>
        <v>0</v>
      </c>
      <c r="U809" s="1">
        <f>+IFERROR(VLOOKUP(U26,'נתוני מים 2014'!$C$2:$L$188,6,0)/1000,0)</f>
        <v>0</v>
      </c>
      <c r="V809" s="1">
        <f>+IFERROR(VLOOKUP(V26,'נתוני מים 2014'!$C$2:$L$188,6,0)/1000,0)</f>
        <v>0</v>
      </c>
      <c r="W809" s="1">
        <f>+IFERROR(VLOOKUP(W26,'נתוני מים 2014'!$C$2:$L$188,6,0)/1000,0)</f>
        <v>0</v>
      </c>
      <c r="X809" s="1">
        <f>+IFERROR(VLOOKUP(X26,'נתוני מים 2014'!$C$2:$L$188,6,0)/1000,0)</f>
        <v>0</v>
      </c>
      <c r="Y809" s="1">
        <f>+IFERROR(VLOOKUP(Y26,'נתוני מים 2014'!$C$2:$L$188,6,0)/1000,0)</f>
        <v>0</v>
      </c>
      <c r="Z809" s="1">
        <f>+IFERROR(VLOOKUP(Z26,'נתוני מים 2014'!$C$2:$L$188,6,0)/1000,0)</f>
        <v>0</v>
      </c>
      <c r="AA809" s="1">
        <f>+IFERROR(VLOOKUP(AA26,'נתוני מים 2014'!$C$2:$L$188,6,0)/1000,0)</f>
        <v>0</v>
      </c>
      <c r="AB809" s="1">
        <f>+IFERROR(VLOOKUP(AB26,'נתוני מים 2014'!$C$2:$L$188,6,0)/1000,0)</f>
        <v>0</v>
      </c>
      <c r="AC809" s="1">
        <f>+IFERROR(VLOOKUP(AC26,'נתוני מים 2014'!$C$2:$L$188,6,0)/1000,0)</f>
        <v>0</v>
      </c>
      <c r="AD809" s="1">
        <f>+IFERROR(VLOOKUP(AD26,'נתוני מים 2014'!$C$2:$L$188,6,0)/1000,0)</f>
        <v>0</v>
      </c>
      <c r="AE809" s="1">
        <f>+IFERROR(VLOOKUP(AE26,'נתוני מים 2014'!$C$2:$L$188,6,0)/1000,0)</f>
        <v>0</v>
      </c>
      <c r="AF809" s="1">
        <f>+IFERROR(VLOOKUP(AF26,'נתוני מים 2014'!$C$2:$L$188,6,0)/1000,0)</f>
        <v>0</v>
      </c>
      <c r="AG809" s="1">
        <f>+IFERROR(VLOOKUP(AG26,'נתוני מים 2014'!$C$2:$L$188,6,0)/1000,0)</f>
        <v>0</v>
      </c>
      <c r="AH809" s="1">
        <f>+IFERROR(VLOOKUP(AH26,'נתוני מים 2014'!$C$2:$L$188,6,0)/1000,0)</f>
        <v>0</v>
      </c>
      <c r="AI809" s="1">
        <f>+IFERROR(VLOOKUP(AI26,'נתוני מים 2014'!$C$2:$L$188,6,0)/1000,0)</f>
        <v>0</v>
      </c>
      <c r="AJ809" s="1">
        <f>+IFERROR(VLOOKUP(AJ26,'נתוני מים 2014'!$C$2:$L$188,6,0)/1000,0)</f>
        <v>0</v>
      </c>
      <c r="AK809" s="1">
        <f>+IFERROR(VLOOKUP(AK26,'נתוני מים 2014'!$C$2:$L$188,6,0)/1000,0)</f>
        <v>0</v>
      </c>
      <c r="AL809" s="1">
        <f>+IFERROR(VLOOKUP(AL26,'נתוני מים 2014'!$C$2:$L$188,6,0)/1000,0)</f>
        <v>0</v>
      </c>
      <c r="AM809" s="1">
        <f>+IFERROR(VLOOKUP(AM26,'נתוני מים 2014'!$C$2:$L$188,6,0)/1000,0)</f>
        <v>0</v>
      </c>
      <c r="AN809" s="1">
        <f>+IFERROR(VLOOKUP(AN26,'נתוני מים 2014'!$C$2:$L$188,6,0)/1000,0)</f>
        <v>0</v>
      </c>
      <c r="AO809" s="1">
        <f>+IFERROR(VLOOKUP(AO26,'נתוני מים 2014'!$C$2:$L$188,6,0)/1000,0)</f>
        <v>0</v>
      </c>
      <c r="AP809" s="1">
        <f>+IFERROR(VLOOKUP(AP26,'נתוני מים 2014'!$C$2:$L$188,6,0)/1000,0)</f>
        <v>0</v>
      </c>
      <c r="AQ809" s="1">
        <f>+IFERROR(VLOOKUP(AQ26,'נתוני מים 2014'!$C$2:$L$188,6,0)/1000,0)</f>
        <v>0</v>
      </c>
      <c r="AR809" s="1">
        <f>+IFERROR(VLOOKUP(AR26,'נתוני מים 2014'!$C$2:$L$188,6,0)/1000,0)</f>
        <v>0</v>
      </c>
      <c r="AS809" s="1">
        <f>+IFERROR(VLOOKUP(AS26,'נתוני מים 2014'!$C$2:$L$188,6,0)/1000,0)</f>
        <v>0</v>
      </c>
      <c r="AT809" s="1">
        <f>+IFERROR(VLOOKUP(AT26,'נתוני מים 2014'!$C$2:$L$188,6,0)/1000,0)</f>
        <v>0</v>
      </c>
      <c r="AU809" s="1">
        <f>+IFERROR(VLOOKUP(AU26,'נתוני מים 2014'!$C$2:$L$188,6,0)/1000,0)</f>
        <v>0</v>
      </c>
      <c r="AV809" s="1">
        <f>+IFERROR(VLOOKUP(AV26,'נתוני מים 2014'!$C$2:$L$188,6,0)/1000,0)</f>
        <v>0</v>
      </c>
      <c r="AW809" s="1">
        <f>+IFERROR(VLOOKUP(AW26,'נתוני מים 2014'!$C$2:$L$188,6,0)/1000,0)</f>
        <v>0</v>
      </c>
      <c r="AX809" s="1">
        <f>+IFERROR(VLOOKUP(AX26,'נתוני מים 2014'!$C$2:$L$188,6,0)/1000,0)</f>
        <v>0</v>
      </c>
      <c r="AY809" s="1">
        <f>+IFERROR(VLOOKUP(AY26,'נתוני מים 2014'!$C$2:$L$188,6,0)/1000,0)</f>
        <v>0</v>
      </c>
      <c r="AZ809" s="1">
        <f>+IFERROR(VLOOKUP(AZ26,'נתוני מים 2014'!$C$2:$L$188,6,0)/1000,0)</f>
        <v>0</v>
      </c>
      <c r="BA809" s="1">
        <f>+IFERROR(VLOOKUP(BA26,'נתוני מים 2014'!$C$2:$L$188,6,0)/1000,0)</f>
        <v>0</v>
      </c>
      <c r="BB809" s="1">
        <f>+IFERROR(VLOOKUP(BB26,'נתוני מים 2014'!$C$2:$L$188,6,0)/1000,0)</f>
        <v>0</v>
      </c>
      <c r="BC809" s="1">
        <f>+IFERROR(VLOOKUP(BC26,'נתוני מים 2014'!$C$2:$L$188,6,0)/1000,0)</f>
        <v>0</v>
      </c>
      <c r="BD809" s="1">
        <f>+IFERROR(VLOOKUP(BD26,'נתוני מים 2014'!$C$2:$L$188,6,0)/1000,0)</f>
        <v>0</v>
      </c>
      <c r="BE809" s="1">
        <f>+IFERROR(VLOOKUP(BE26,'נתוני מים 2014'!$C$2:$L$188,6,0)/1000,0)</f>
        <v>0</v>
      </c>
      <c r="BF809" s="1">
        <f>+IFERROR(VLOOKUP(BF26,'נתוני מים 2014'!$C$2:$L$188,6,0)/1000,0)</f>
        <v>0</v>
      </c>
    </row>
    <row r="810" spans="2:58" x14ac:dyDescent="0.2">
      <c r="B810" s="1">
        <v>20</v>
      </c>
      <c r="C810" s="1">
        <f>+IFERROR(VLOOKUP(C27,'נתוני מים 2014'!$C$2:$L$188,6,0)/1000,0)</f>
        <v>0</v>
      </c>
      <c r="D810" s="1">
        <f>+IFERROR(VLOOKUP(D27,'נתוני מים 2014'!$C$2:$L$188,6,0)/1000,0)</f>
        <v>0</v>
      </c>
      <c r="E810" s="1">
        <f>+IFERROR(VLOOKUP(E27,'נתוני מים 2014'!$C$2:$L$188,6,0)/1000,0)</f>
        <v>0</v>
      </c>
      <c r="F810" s="1">
        <f>+IFERROR(VLOOKUP(F27,'נתוני מים 2014'!$C$2:$L$188,6,0)/1000,0)</f>
        <v>0</v>
      </c>
      <c r="G810" s="1">
        <f>+IFERROR(VLOOKUP(G27,'נתוני מים 2014'!$C$2:$L$188,6,0)/1000,0)</f>
        <v>0</v>
      </c>
      <c r="H810" s="1">
        <f>+IFERROR(VLOOKUP(H27,'נתוני מים 2014'!$C$2:$L$188,6,0)/1000,0)</f>
        <v>0</v>
      </c>
      <c r="I810" s="1">
        <f>+IFERROR(VLOOKUP(I27,'נתוני מים 2014'!$C$2:$L$188,6,0)/1000,0)</f>
        <v>0</v>
      </c>
      <c r="J810" s="1">
        <f>+IFERROR(VLOOKUP(J27,'נתוני מים 2014'!$C$2:$L$188,6,0)/1000,0)</f>
        <v>0</v>
      </c>
      <c r="K810" s="1">
        <f>+IFERROR(VLOOKUP(K27,'נתוני מים 2014'!$C$2:$L$188,6,0)/1000,0)</f>
        <v>0</v>
      </c>
      <c r="L810" s="1">
        <f>+IFERROR(VLOOKUP(L27,'נתוני מים 2014'!$C$2:$L$188,6,0)/1000,0)</f>
        <v>0</v>
      </c>
      <c r="M810" s="1">
        <f>+IFERROR(VLOOKUP(M27,'נתוני מים 2014'!$C$2:$L$188,6,0)/1000,0)</f>
        <v>0</v>
      </c>
      <c r="N810" s="1">
        <f>+IFERROR(VLOOKUP(N27,'נתוני מים 2014'!$C$2:$L$188,6,0)/1000,0)</f>
        <v>0</v>
      </c>
      <c r="O810" s="1">
        <f>+IFERROR(VLOOKUP(O27,'נתוני מים 2014'!$C$2:$L$188,6,0)/1000,0)</f>
        <v>0</v>
      </c>
      <c r="P810" s="1">
        <f>+IFERROR(VLOOKUP(P27,'נתוני מים 2014'!$C$2:$L$188,6,0)/1000,0)</f>
        <v>0</v>
      </c>
      <c r="Q810" s="1">
        <f>+IFERROR(VLOOKUP(Q27,'נתוני מים 2014'!$C$2:$L$188,6,0)/1000,0)</f>
        <v>0</v>
      </c>
      <c r="R810" s="1">
        <f>+IFERROR(VLOOKUP(R27,'נתוני מים 2014'!$C$2:$L$188,6,0)/1000,0)</f>
        <v>0</v>
      </c>
      <c r="S810" s="1">
        <f>+IFERROR(VLOOKUP(S27,'נתוני מים 2014'!$C$2:$L$188,6,0)/1000,0)</f>
        <v>0</v>
      </c>
      <c r="T810" s="1">
        <f>+IFERROR(VLOOKUP(T27,'נתוני מים 2014'!$C$2:$L$188,6,0)/1000,0)</f>
        <v>0</v>
      </c>
      <c r="U810" s="1">
        <f>+IFERROR(VLOOKUP(U27,'נתוני מים 2014'!$C$2:$L$188,6,0)/1000,0)</f>
        <v>0</v>
      </c>
      <c r="V810" s="1">
        <f>+IFERROR(VLOOKUP(V27,'נתוני מים 2014'!$C$2:$L$188,6,0)/1000,0)</f>
        <v>0</v>
      </c>
      <c r="W810" s="1">
        <f>+IFERROR(VLOOKUP(W27,'נתוני מים 2014'!$C$2:$L$188,6,0)/1000,0)</f>
        <v>0</v>
      </c>
      <c r="X810" s="1">
        <f>+IFERROR(VLOOKUP(X27,'נתוני מים 2014'!$C$2:$L$188,6,0)/1000,0)</f>
        <v>0</v>
      </c>
      <c r="Y810" s="1">
        <f>+IFERROR(VLOOKUP(Y27,'נתוני מים 2014'!$C$2:$L$188,6,0)/1000,0)</f>
        <v>0</v>
      </c>
      <c r="Z810" s="1">
        <f>+IFERROR(VLOOKUP(Z27,'נתוני מים 2014'!$C$2:$L$188,6,0)/1000,0)</f>
        <v>0</v>
      </c>
      <c r="AA810" s="1">
        <f>+IFERROR(VLOOKUP(AA27,'נתוני מים 2014'!$C$2:$L$188,6,0)/1000,0)</f>
        <v>0</v>
      </c>
      <c r="AB810" s="1">
        <f>+IFERROR(VLOOKUP(AB27,'נתוני מים 2014'!$C$2:$L$188,6,0)/1000,0)</f>
        <v>0</v>
      </c>
      <c r="AC810" s="1">
        <f>+IFERROR(VLOOKUP(AC27,'נתוני מים 2014'!$C$2:$L$188,6,0)/1000,0)</f>
        <v>0</v>
      </c>
      <c r="AD810" s="1">
        <f>+IFERROR(VLOOKUP(AD27,'נתוני מים 2014'!$C$2:$L$188,6,0)/1000,0)</f>
        <v>0</v>
      </c>
      <c r="AE810" s="1">
        <f>+IFERROR(VLOOKUP(AE27,'נתוני מים 2014'!$C$2:$L$188,6,0)/1000,0)</f>
        <v>0</v>
      </c>
      <c r="AF810" s="1">
        <f>+IFERROR(VLOOKUP(AF27,'נתוני מים 2014'!$C$2:$L$188,6,0)/1000,0)</f>
        <v>0</v>
      </c>
      <c r="AG810" s="1">
        <f>+IFERROR(VLOOKUP(AG27,'נתוני מים 2014'!$C$2:$L$188,6,0)/1000,0)</f>
        <v>0</v>
      </c>
      <c r="AH810" s="1">
        <f>+IFERROR(VLOOKUP(AH27,'נתוני מים 2014'!$C$2:$L$188,6,0)/1000,0)</f>
        <v>0</v>
      </c>
      <c r="AI810" s="1">
        <f>+IFERROR(VLOOKUP(AI27,'נתוני מים 2014'!$C$2:$L$188,6,0)/1000,0)</f>
        <v>0</v>
      </c>
      <c r="AJ810" s="1">
        <f>+IFERROR(VLOOKUP(AJ27,'נתוני מים 2014'!$C$2:$L$188,6,0)/1000,0)</f>
        <v>0</v>
      </c>
      <c r="AK810" s="1">
        <f>+IFERROR(VLOOKUP(AK27,'נתוני מים 2014'!$C$2:$L$188,6,0)/1000,0)</f>
        <v>0</v>
      </c>
      <c r="AL810" s="1">
        <f>+IFERROR(VLOOKUP(AL27,'נתוני מים 2014'!$C$2:$L$188,6,0)/1000,0)</f>
        <v>0</v>
      </c>
      <c r="AM810" s="1">
        <f>+IFERROR(VLOOKUP(AM27,'נתוני מים 2014'!$C$2:$L$188,6,0)/1000,0)</f>
        <v>0</v>
      </c>
      <c r="AN810" s="1">
        <f>+IFERROR(VLOOKUP(AN27,'נתוני מים 2014'!$C$2:$L$188,6,0)/1000,0)</f>
        <v>0</v>
      </c>
      <c r="AO810" s="1">
        <f>+IFERROR(VLOOKUP(AO27,'נתוני מים 2014'!$C$2:$L$188,6,0)/1000,0)</f>
        <v>0</v>
      </c>
      <c r="AP810" s="1">
        <f>+IFERROR(VLOOKUP(AP27,'נתוני מים 2014'!$C$2:$L$188,6,0)/1000,0)</f>
        <v>0</v>
      </c>
      <c r="AQ810" s="1">
        <f>+IFERROR(VLOOKUP(AQ27,'נתוני מים 2014'!$C$2:$L$188,6,0)/1000,0)</f>
        <v>0</v>
      </c>
      <c r="AR810" s="1">
        <f>+IFERROR(VLOOKUP(AR27,'נתוני מים 2014'!$C$2:$L$188,6,0)/1000,0)</f>
        <v>0</v>
      </c>
      <c r="AS810" s="1">
        <f>+IFERROR(VLOOKUP(AS27,'נתוני מים 2014'!$C$2:$L$188,6,0)/1000,0)</f>
        <v>0</v>
      </c>
      <c r="AT810" s="1">
        <f>+IFERROR(VLOOKUP(AT27,'נתוני מים 2014'!$C$2:$L$188,6,0)/1000,0)</f>
        <v>0</v>
      </c>
      <c r="AU810" s="1">
        <f>+IFERROR(VLOOKUP(AU27,'נתוני מים 2014'!$C$2:$L$188,6,0)/1000,0)</f>
        <v>0</v>
      </c>
      <c r="AV810" s="1">
        <f>+IFERROR(VLOOKUP(AV27,'נתוני מים 2014'!$C$2:$L$188,6,0)/1000,0)</f>
        <v>0</v>
      </c>
      <c r="AW810" s="1">
        <f>+IFERROR(VLOOKUP(AW27,'נתוני מים 2014'!$C$2:$L$188,6,0)/1000,0)</f>
        <v>0</v>
      </c>
      <c r="AX810" s="1">
        <f>+IFERROR(VLOOKUP(AX27,'נתוני מים 2014'!$C$2:$L$188,6,0)/1000,0)</f>
        <v>0</v>
      </c>
      <c r="AY810" s="1">
        <f>+IFERROR(VLOOKUP(AY27,'נתוני מים 2014'!$C$2:$L$188,6,0)/1000,0)</f>
        <v>0</v>
      </c>
      <c r="AZ810" s="1">
        <f>+IFERROR(VLOOKUP(AZ27,'נתוני מים 2014'!$C$2:$L$188,6,0)/1000,0)</f>
        <v>0</v>
      </c>
      <c r="BA810" s="1">
        <f>+IFERROR(VLOOKUP(BA27,'נתוני מים 2014'!$C$2:$L$188,6,0)/1000,0)</f>
        <v>0</v>
      </c>
      <c r="BB810" s="1">
        <f>+IFERROR(VLOOKUP(BB27,'נתוני מים 2014'!$C$2:$L$188,6,0)/1000,0)</f>
        <v>0</v>
      </c>
      <c r="BC810" s="1">
        <f>+IFERROR(VLOOKUP(BC27,'נתוני מים 2014'!$C$2:$L$188,6,0)/1000,0)</f>
        <v>0</v>
      </c>
      <c r="BD810" s="1">
        <f>+IFERROR(VLOOKUP(BD27,'נתוני מים 2014'!$C$2:$L$188,6,0)/1000,0)</f>
        <v>0</v>
      </c>
      <c r="BE810" s="1">
        <f>+IFERROR(VLOOKUP(BE27,'נתוני מים 2014'!$C$2:$L$188,6,0)/1000,0)</f>
        <v>0</v>
      </c>
      <c r="BF810" s="1">
        <f>+IFERROR(VLOOKUP(BF27,'נתוני מים 2014'!$C$2:$L$188,6,0)/1000,0)</f>
        <v>0</v>
      </c>
    </row>
    <row r="811" spans="2:58" x14ac:dyDescent="0.2">
      <c r="B811" s="1">
        <v>21</v>
      </c>
      <c r="C811" s="1">
        <f>+IFERROR(VLOOKUP(C28,'נתוני מים 2014'!$C$2:$L$188,6,0)/1000,0)</f>
        <v>0</v>
      </c>
      <c r="D811" s="1">
        <f>+IFERROR(VLOOKUP(D28,'נתוני מים 2014'!$C$2:$L$188,6,0)/1000,0)</f>
        <v>0</v>
      </c>
      <c r="E811" s="1">
        <f>+IFERROR(VLOOKUP(E28,'נתוני מים 2014'!$C$2:$L$188,6,0)/1000,0)</f>
        <v>0</v>
      </c>
      <c r="F811" s="1">
        <f>+IFERROR(VLOOKUP(F28,'נתוני מים 2014'!$C$2:$L$188,6,0)/1000,0)</f>
        <v>0</v>
      </c>
      <c r="G811" s="1">
        <f>+IFERROR(VLOOKUP(G28,'נתוני מים 2014'!$C$2:$L$188,6,0)/1000,0)</f>
        <v>0</v>
      </c>
      <c r="H811" s="1">
        <f>+IFERROR(VLOOKUP(H28,'נתוני מים 2014'!$C$2:$L$188,6,0)/1000,0)</f>
        <v>0</v>
      </c>
      <c r="I811" s="1">
        <f>+IFERROR(VLOOKUP(I28,'נתוני מים 2014'!$C$2:$L$188,6,0)/1000,0)</f>
        <v>0</v>
      </c>
      <c r="J811" s="1">
        <f>+IFERROR(VLOOKUP(J28,'נתוני מים 2014'!$C$2:$L$188,6,0)/1000,0)</f>
        <v>0</v>
      </c>
      <c r="K811" s="1">
        <f>+IFERROR(VLOOKUP(K28,'נתוני מים 2014'!$C$2:$L$188,6,0)/1000,0)</f>
        <v>0</v>
      </c>
      <c r="L811" s="1">
        <f>+IFERROR(VLOOKUP(L28,'נתוני מים 2014'!$C$2:$L$188,6,0)/1000,0)</f>
        <v>0</v>
      </c>
      <c r="M811" s="1">
        <f>+IFERROR(VLOOKUP(M28,'נתוני מים 2014'!$C$2:$L$188,6,0)/1000,0)</f>
        <v>0</v>
      </c>
      <c r="N811" s="1">
        <f>+IFERROR(VLOOKUP(N28,'נתוני מים 2014'!$C$2:$L$188,6,0)/1000,0)</f>
        <v>0</v>
      </c>
      <c r="O811" s="1">
        <f>+IFERROR(VLOOKUP(O28,'נתוני מים 2014'!$C$2:$L$188,6,0)/1000,0)</f>
        <v>0</v>
      </c>
      <c r="P811" s="1">
        <f>+IFERROR(VLOOKUP(P28,'נתוני מים 2014'!$C$2:$L$188,6,0)/1000,0)</f>
        <v>0</v>
      </c>
      <c r="Q811" s="1">
        <f>+IFERROR(VLOOKUP(Q28,'נתוני מים 2014'!$C$2:$L$188,6,0)/1000,0)</f>
        <v>0</v>
      </c>
      <c r="R811" s="1">
        <f>+IFERROR(VLOOKUP(R28,'נתוני מים 2014'!$C$2:$L$188,6,0)/1000,0)</f>
        <v>0</v>
      </c>
      <c r="S811" s="1">
        <f>+IFERROR(VLOOKUP(S28,'נתוני מים 2014'!$C$2:$L$188,6,0)/1000,0)</f>
        <v>0</v>
      </c>
      <c r="T811" s="1">
        <f>+IFERROR(VLOOKUP(T28,'נתוני מים 2014'!$C$2:$L$188,6,0)/1000,0)</f>
        <v>0</v>
      </c>
      <c r="U811" s="1">
        <f>+IFERROR(VLOOKUP(U28,'נתוני מים 2014'!$C$2:$L$188,6,0)/1000,0)</f>
        <v>0</v>
      </c>
      <c r="V811" s="1">
        <f>+IFERROR(VLOOKUP(V28,'נתוני מים 2014'!$C$2:$L$188,6,0)/1000,0)</f>
        <v>0</v>
      </c>
      <c r="W811" s="1">
        <f>+IFERROR(VLOOKUP(W28,'נתוני מים 2014'!$C$2:$L$188,6,0)/1000,0)</f>
        <v>0</v>
      </c>
      <c r="X811" s="1">
        <f>+IFERROR(VLOOKUP(X28,'נתוני מים 2014'!$C$2:$L$188,6,0)/1000,0)</f>
        <v>0</v>
      </c>
      <c r="Y811" s="1">
        <f>+IFERROR(VLOOKUP(Y28,'נתוני מים 2014'!$C$2:$L$188,6,0)/1000,0)</f>
        <v>0</v>
      </c>
      <c r="Z811" s="1">
        <f>+IFERROR(VLOOKUP(Z28,'נתוני מים 2014'!$C$2:$L$188,6,0)/1000,0)</f>
        <v>0</v>
      </c>
      <c r="AA811" s="1">
        <f>+IFERROR(VLOOKUP(AA28,'נתוני מים 2014'!$C$2:$L$188,6,0)/1000,0)</f>
        <v>0</v>
      </c>
      <c r="AB811" s="1">
        <f>+IFERROR(VLOOKUP(AB28,'נתוני מים 2014'!$C$2:$L$188,6,0)/1000,0)</f>
        <v>0</v>
      </c>
      <c r="AC811" s="1">
        <f>+IFERROR(VLOOKUP(AC28,'נתוני מים 2014'!$C$2:$L$188,6,0)/1000,0)</f>
        <v>0</v>
      </c>
      <c r="AD811" s="1">
        <f>+IFERROR(VLOOKUP(AD28,'נתוני מים 2014'!$C$2:$L$188,6,0)/1000,0)</f>
        <v>0</v>
      </c>
      <c r="AE811" s="1">
        <f>+IFERROR(VLOOKUP(AE28,'נתוני מים 2014'!$C$2:$L$188,6,0)/1000,0)</f>
        <v>0</v>
      </c>
      <c r="AF811" s="1">
        <f>+IFERROR(VLOOKUP(AF28,'נתוני מים 2014'!$C$2:$L$188,6,0)/1000,0)</f>
        <v>0</v>
      </c>
      <c r="AG811" s="1">
        <f>+IFERROR(VLOOKUP(AG28,'נתוני מים 2014'!$C$2:$L$188,6,0)/1000,0)</f>
        <v>0</v>
      </c>
      <c r="AH811" s="1">
        <f>+IFERROR(VLOOKUP(AH28,'נתוני מים 2014'!$C$2:$L$188,6,0)/1000,0)</f>
        <v>0</v>
      </c>
      <c r="AI811" s="1">
        <f>+IFERROR(VLOOKUP(AI28,'נתוני מים 2014'!$C$2:$L$188,6,0)/1000,0)</f>
        <v>0</v>
      </c>
      <c r="AJ811" s="1">
        <f>+IFERROR(VLOOKUP(AJ28,'נתוני מים 2014'!$C$2:$L$188,6,0)/1000,0)</f>
        <v>0</v>
      </c>
      <c r="AK811" s="1">
        <f>+IFERROR(VLOOKUP(AK28,'נתוני מים 2014'!$C$2:$L$188,6,0)/1000,0)</f>
        <v>0</v>
      </c>
      <c r="AL811" s="1">
        <f>+IFERROR(VLOOKUP(AL28,'נתוני מים 2014'!$C$2:$L$188,6,0)/1000,0)</f>
        <v>0</v>
      </c>
      <c r="AM811" s="1">
        <f>+IFERROR(VLOOKUP(AM28,'נתוני מים 2014'!$C$2:$L$188,6,0)/1000,0)</f>
        <v>0</v>
      </c>
      <c r="AN811" s="1">
        <f>+IFERROR(VLOOKUP(AN28,'נתוני מים 2014'!$C$2:$L$188,6,0)/1000,0)</f>
        <v>0</v>
      </c>
      <c r="AO811" s="1">
        <f>+IFERROR(VLOOKUP(AO28,'נתוני מים 2014'!$C$2:$L$188,6,0)/1000,0)</f>
        <v>0</v>
      </c>
      <c r="AP811" s="1">
        <f>+IFERROR(VLOOKUP(AP28,'נתוני מים 2014'!$C$2:$L$188,6,0)/1000,0)</f>
        <v>0</v>
      </c>
      <c r="AQ811" s="1">
        <f>+IFERROR(VLOOKUP(AQ28,'נתוני מים 2014'!$C$2:$L$188,6,0)/1000,0)</f>
        <v>0</v>
      </c>
      <c r="AR811" s="1">
        <f>+IFERROR(VLOOKUP(AR28,'נתוני מים 2014'!$C$2:$L$188,6,0)/1000,0)</f>
        <v>0</v>
      </c>
      <c r="AS811" s="1">
        <f>+IFERROR(VLOOKUP(AS28,'נתוני מים 2014'!$C$2:$L$188,6,0)/1000,0)</f>
        <v>0</v>
      </c>
      <c r="AT811" s="1">
        <f>+IFERROR(VLOOKUP(AT28,'נתוני מים 2014'!$C$2:$L$188,6,0)/1000,0)</f>
        <v>0</v>
      </c>
      <c r="AU811" s="1">
        <f>+IFERROR(VLOOKUP(AU28,'נתוני מים 2014'!$C$2:$L$188,6,0)/1000,0)</f>
        <v>0</v>
      </c>
      <c r="AV811" s="1">
        <f>+IFERROR(VLOOKUP(AV28,'נתוני מים 2014'!$C$2:$L$188,6,0)/1000,0)</f>
        <v>0</v>
      </c>
      <c r="AW811" s="1">
        <f>+IFERROR(VLOOKUP(AW28,'נתוני מים 2014'!$C$2:$L$188,6,0)/1000,0)</f>
        <v>0</v>
      </c>
      <c r="AX811" s="1">
        <f>+IFERROR(VLOOKUP(AX28,'נתוני מים 2014'!$C$2:$L$188,6,0)/1000,0)</f>
        <v>0</v>
      </c>
      <c r="AY811" s="1">
        <f>+IFERROR(VLOOKUP(AY28,'נתוני מים 2014'!$C$2:$L$188,6,0)/1000,0)</f>
        <v>0</v>
      </c>
      <c r="AZ811" s="1">
        <f>+IFERROR(VLOOKUP(AZ28,'נתוני מים 2014'!$C$2:$L$188,6,0)/1000,0)</f>
        <v>0</v>
      </c>
      <c r="BA811" s="1">
        <f>+IFERROR(VLOOKUP(BA28,'נתוני מים 2014'!$C$2:$L$188,6,0)/1000,0)</f>
        <v>0</v>
      </c>
      <c r="BB811" s="1">
        <f>+IFERROR(VLOOKUP(BB28,'נתוני מים 2014'!$C$2:$L$188,6,0)/1000,0)</f>
        <v>0</v>
      </c>
      <c r="BC811" s="1">
        <f>+IFERROR(VLOOKUP(BC28,'נתוני מים 2014'!$C$2:$L$188,6,0)/1000,0)</f>
        <v>0</v>
      </c>
      <c r="BD811" s="1">
        <f>+IFERROR(VLOOKUP(BD28,'נתוני מים 2014'!$C$2:$L$188,6,0)/1000,0)</f>
        <v>0</v>
      </c>
      <c r="BE811" s="1">
        <f>+IFERROR(VLOOKUP(BE28,'נתוני מים 2014'!$C$2:$L$188,6,0)/1000,0)</f>
        <v>0</v>
      </c>
      <c r="BF811" s="1">
        <f>+IFERROR(VLOOKUP(BF28,'נתוני מים 2014'!$C$2:$L$188,6,0)/1000,0)</f>
        <v>0</v>
      </c>
    </row>
    <row r="812" spans="2:58" x14ac:dyDescent="0.2">
      <c r="B812" s="1">
        <v>22</v>
      </c>
      <c r="C812" s="1">
        <f>+IFERROR(VLOOKUP(C29,'נתוני מים 2014'!$C$2:$L$188,6,0)/1000,0)</f>
        <v>0</v>
      </c>
      <c r="D812" s="1">
        <f>+IFERROR(VLOOKUP(D29,'נתוני מים 2014'!$C$2:$L$188,6,0)/1000,0)</f>
        <v>0</v>
      </c>
      <c r="E812" s="1">
        <f>+IFERROR(VLOOKUP(E29,'נתוני מים 2014'!$C$2:$L$188,6,0)/1000,0)</f>
        <v>0</v>
      </c>
      <c r="F812" s="1">
        <f>+IFERROR(VLOOKUP(F29,'נתוני מים 2014'!$C$2:$L$188,6,0)/1000,0)</f>
        <v>0</v>
      </c>
      <c r="G812" s="1">
        <f>+IFERROR(VLOOKUP(G29,'נתוני מים 2014'!$C$2:$L$188,6,0)/1000,0)</f>
        <v>0</v>
      </c>
      <c r="H812" s="1">
        <f>+IFERROR(VLOOKUP(H29,'נתוני מים 2014'!$C$2:$L$188,6,0)/1000,0)</f>
        <v>0</v>
      </c>
      <c r="I812" s="1">
        <f>+IFERROR(VLOOKUP(I29,'נתוני מים 2014'!$C$2:$L$188,6,0)/1000,0)</f>
        <v>0</v>
      </c>
      <c r="J812" s="1">
        <f>+IFERROR(VLOOKUP(J29,'נתוני מים 2014'!$C$2:$L$188,6,0)/1000,0)</f>
        <v>0</v>
      </c>
      <c r="K812" s="1">
        <f>+IFERROR(VLOOKUP(K29,'נתוני מים 2014'!$C$2:$L$188,6,0)/1000,0)</f>
        <v>0</v>
      </c>
      <c r="L812" s="1">
        <f>+IFERROR(VLOOKUP(L29,'נתוני מים 2014'!$C$2:$L$188,6,0)/1000,0)</f>
        <v>0</v>
      </c>
      <c r="M812" s="1">
        <f>+IFERROR(VLOOKUP(M29,'נתוני מים 2014'!$C$2:$L$188,6,0)/1000,0)</f>
        <v>0</v>
      </c>
      <c r="N812" s="1">
        <f>+IFERROR(VLOOKUP(N29,'נתוני מים 2014'!$C$2:$L$188,6,0)/1000,0)</f>
        <v>0</v>
      </c>
      <c r="O812" s="1">
        <f>+IFERROR(VLOOKUP(O29,'נתוני מים 2014'!$C$2:$L$188,6,0)/1000,0)</f>
        <v>0</v>
      </c>
      <c r="P812" s="1">
        <f>+IFERROR(VLOOKUP(P29,'נתוני מים 2014'!$C$2:$L$188,6,0)/1000,0)</f>
        <v>0</v>
      </c>
      <c r="Q812" s="1">
        <f>+IFERROR(VLOOKUP(Q29,'נתוני מים 2014'!$C$2:$L$188,6,0)/1000,0)</f>
        <v>0</v>
      </c>
      <c r="R812" s="1">
        <f>+IFERROR(VLOOKUP(R29,'נתוני מים 2014'!$C$2:$L$188,6,0)/1000,0)</f>
        <v>0</v>
      </c>
      <c r="S812" s="1">
        <f>+IFERROR(VLOOKUP(S29,'נתוני מים 2014'!$C$2:$L$188,6,0)/1000,0)</f>
        <v>0</v>
      </c>
      <c r="T812" s="1">
        <f>+IFERROR(VLOOKUP(T29,'נתוני מים 2014'!$C$2:$L$188,6,0)/1000,0)</f>
        <v>0</v>
      </c>
      <c r="U812" s="1">
        <f>+IFERROR(VLOOKUP(U29,'נתוני מים 2014'!$C$2:$L$188,6,0)/1000,0)</f>
        <v>0</v>
      </c>
      <c r="V812" s="1">
        <f>+IFERROR(VLOOKUP(V29,'נתוני מים 2014'!$C$2:$L$188,6,0)/1000,0)</f>
        <v>0</v>
      </c>
      <c r="W812" s="1">
        <f>+IFERROR(VLOOKUP(W29,'נתוני מים 2014'!$C$2:$L$188,6,0)/1000,0)</f>
        <v>0</v>
      </c>
      <c r="X812" s="1">
        <f>+IFERROR(VLOOKUP(X29,'נתוני מים 2014'!$C$2:$L$188,6,0)/1000,0)</f>
        <v>0</v>
      </c>
      <c r="Y812" s="1">
        <f>+IFERROR(VLOOKUP(Y29,'נתוני מים 2014'!$C$2:$L$188,6,0)/1000,0)</f>
        <v>0</v>
      </c>
      <c r="Z812" s="1">
        <f>+IFERROR(VLOOKUP(Z29,'נתוני מים 2014'!$C$2:$L$188,6,0)/1000,0)</f>
        <v>0</v>
      </c>
      <c r="AA812" s="1">
        <f>+IFERROR(VLOOKUP(AA29,'נתוני מים 2014'!$C$2:$L$188,6,0)/1000,0)</f>
        <v>0</v>
      </c>
      <c r="AB812" s="1">
        <f>+IFERROR(VLOOKUP(AB29,'נתוני מים 2014'!$C$2:$L$188,6,0)/1000,0)</f>
        <v>0</v>
      </c>
      <c r="AC812" s="1">
        <f>+IFERROR(VLOOKUP(AC29,'נתוני מים 2014'!$C$2:$L$188,6,0)/1000,0)</f>
        <v>0</v>
      </c>
      <c r="AD812" s="1">
        <f>+IFERROR(VLOOKUP(AD29,'נתוני מים 2014'!$C$2:$L$188,6,0)/1000,0)</f>
        <v>0</v>
      </c>
      <c r="AE812" s="1">
        <f>+IFERROR(VLOOKUP(AE29,'נתוני מים 2014'!$C$2:$L$188,6,0)/1000,0)</f>
        <v>0</v>
      </c>
      <c r="AF812" s="1">
        <f>+IFERROR(VLOOKUP(AF29,'נתוני מים 2014'!$C$2:$L$188,6,0)/1000,0)</f>
        <v>0</v>
      </c>
      <c r="AG812" s="1">
        <f>+IFERROR(VLOOKUP(AG29,'נתוני מים 2014'!$C$2:$L$188,6,0)/1000,0)</f>
        <v>0</v>
      </c>
      <c r="AH812" s="1">
        <f>+IFERROR(VLOOKUP(AH29,'נתוני מים 2014'!$C$2:$L$188,6,0)/1000,0)</f>
        <v>0</v>
      </c>
      <c r="AI812" s="1">
        <f>+IFERROR(VLOOKUP(AI29,'נתוני מים 2014'!$C$2:$L$188,6,0)/1000,0)</f>
        <v>0</v>
      </c>
      <c r="AJ812" s="1">
        <f>+IFERROR(VLOOKUP(AJ29,'נתוני מים 2014'!$C$2:$L$188,6,0)/1000,0)</f>
        <v>0</v>
      </c>
      <c r="AK812" s="1">
        <f>+IFERROR(VLOOKUP(AK29,'נתוני מים 2014'!$C$2:$L$188,6,0)/1000,0)</f>
        <v>0</v>
      </c>
      <c r="AL812" s="1">
        <f>+IFERROR(VLOOKUP(AL29,'נתוני מים 2014'!$C$2:$L$188,6,0)/1000,0)</f>
        <v>0</v>
      </c>
      <c r="AM812" s="1">
        <f>+IFERROR(VLOOKUP(AM29,'נתוני מים 2014'!$C$2:$L$188,6,0)/1000,0)</f>
        <v>0</v>
      </c>
      <c r="AN812" s="1">
        <f>+IFERROR(VLOOKUP(AN29,'נתוני מים 2014'!$C$2:$L$188,6,0)/1000,0)</f>
        <v>0</v>
      </c>
      <c r="AO812" s="1">
        <f>+IFERROR(VLOOKUP(AO29,'נתוני מים 2014'!$C$2:$L$188,6,0)/1000,0)</f>
        <v>0</v>
      </c>
      <c r="AP812" s="1">
        <f>+IFERROR(VLOOKUP(AP29,'נתוני מים 2014'!$C$2:$L$188,6,0)/1000,0)</f>
        <v>0</v>
      </c>
      <c r="AQ812" s="1">
        <f>+IFERROR(VLOOKUP(AQ29,'נתוני מים 2014'!$C$2:$L$188,6,0)/1000,0)</f>
        <v>0</v>
      </c>
      <c r="AR812" s="1">
        <f>+IFERROR(VLOOKUP(AR29,'נתוני מים 2014'!$C$2:$L$188,6,0)/1000,0)</f>
        <v>0</v>
      </c>
      <c r="AS812" s="1">
        <f>+IFERROR(VLOOKUP(AS29,'נתוני מים 2014'!$C$2:$L$188,6,0)/1000,0)</f>
        <v>0</v>
      </c>
      <c r="AT812" s="1">
        <f>+IFERROR(VLOOKUP(AT29,'נתוני מים 2014'!$C$2:$L$188,6,0)/1000,0)</f>
        <v>0</v>
      </c>
      <c r="AU812" s="1">
        <f>+IFERROR(VLOOKUP(AU29,'נתוני מים 2014'!$C$2:$L$188,6,0)/1000,0)</f>
        <v>0</v>
      </c>
      <c r="AV812" s="1">
        <f>+IFERROR(VLOOKUP(AV29,'נתוני מים 2014'!$C$2:$L$188,6,0)/1000,0)</f>
        <v>0</v>
      </c>
      <c r="AW812" s="1">
        <f>+IFERROR(VLOOKUP(AW29,'נתוני מים 2014'!$C$2:$L$188,6,0)/1000,0)</f>
        <v>0</v>
      </c>
      <c r="AX812" s="1">
        <f>+IFERROR(VLOOKUP(AX29,'נתוני מים 2014'!$C$2:$L$188,6,0)/1000,0)</f>
        <v>0</v>
      </c>
      <c r="AY812" s="1">
        <f>+IFERROR(VLOOKUP(AY29,'נתוני מים 2014'!$C$2:$L$188,6,0)/1000,0)</f>
        <v>0</v>
      </c>
      <c r="AZ812" s="1">
        <f>+IFERROR(VLOOKUP(AZ29,'נתוני מים 2014'!$C$2:$L$188,6,0)/1000,0)</f>
        <v>0</v>
      </c>
      <c r="BA812" s="1">
        <f>+IFERROR(VLOOKUP(BA29,'נתוני מים 2014'!$C$2:$L$188,6,0)/1000,0)</f>
        <v>0</v>
      </c>
      <c r="BB812" s="1">
        <f>+IFERROR(VLOOKUP(BB29,'נתוני מים 2014'!$C$2:$L$188,6,0)/1000,0)</f>
        <v>0</v>
      </c>
      <c r="BC812" s="1">
        <f>+IFERROR(VLOOKUP(BC29,'נתוני מים 2014'!$C$2:$L$188,6,0)/1000,0)</f>
        <v>0</v>
      </c>
      <c r="BD812" s="1">
        <f>+IFERROR(VLOOKUP(BD29,'נתוני מים 2014'!$C$2:$L$188,6,0)/1000,0)</f>
        <v>0</v>
      </c>
      <c r="BE812" s="1">
        <f>+IFERROR(VLOOKUP(BE29,'נתוני מים 2014'!$C$2:$L$188,6,0)/1000,0)</f>
        <v>0</v>
      </c>
      <c r="BF812" s="1">
        <f>+IFERROR(VLOOKUP(BF29,'נתוני מים 2014'!$C$2:$L$188,6,0)/1000,0)</f>
        <v>0</v>
      </c>
    </row>
    <row r="813" spans="2:58" x14ac:dyDescent="0.2">
      <c r="B813" s="1">
        <v>23</v>
      </c>
      <c r="C813" s="1">
        <f>+IFERROR(VLOOKUP(C30,'נתוני מים 2014'!$C$2:$L$188,6,0)/1000,0)</f>
        <v>0</v>
      </c>
      <c r="D813" s="1">
        <f>+IFERROR(VLOOKUP(D30,'נתוני מים 2014'!$C$2:$L$188,6,0)/1000,0)</f>
        <v>0</v>
      </c>
      <c r="E813" s="1">
        <f>+IFERROR(VLOOKUP(E30,'נתוני מים 2014'!$C$2:$L$188,6,0)/1000,0)</f>
        <v>0</v>
      </c>
      <c r="F813" s="1">
        <f>+IFERROR(VLOOKUP(F30,'נתוני מים 2014'!$C$2:$L$188,6,0)/1000,0)</f>
        <v>0</v>
      </c>
      <c r="G813" s="1">
        <f>+IFERROR(VLOOKUP(G30,'נתוני מים 2014'!$C$2:$L$188,6,0)/1000,0)</f>
        <v>0</v>
      </c>
      <c r="H813" s="1">
        <f>+IFERROR(VLOOKUP(H30,'נתוני מים 2014'!$C$2:$L$188,6,0)/1000,0)</f>
        <v>0</v>
      </c>
      <c r="I813" s="1">
        <f>+IFERROR(VLOOKUP(I30,'נתוני מים 2014'!$C$2:$L$188,6,0)/1000,0)</f>
        <v>0</v>
      </c>
      <c r="J813" s="1">
        <f>+IFERROR(VLOOKUP(J30,'נתוני מים 2014'!$C$2:$L$188,6,0)/1000,0)</f>
        <v>0</v>
      </c>
      <c r="K813" s="1">
        <f>+IFERROR(VLOOKUP(K30,'נתוני מים 2014'!$C$2:$L$188,6,0)/1000,0)</f>
        <v>0</v>
      </c>
      <c r="L813" s="1">
        <f>+IFERROR(VLOOKUP(L30,'נתוני מים 2014'!$C$2:$L$188,6,0)/1000,0)</f>
        <v>0</v>
      </c>
      <c r="M813" s="1">
        <f>+IFERROR(VLOOKUP(M30,'נתוני מים 2014'!$C$2:$L$188,6,0)/1000,0)</f>
        <v>0</v>
      </c>
      <c r="N813" s="1">
        <f>+IFERROR(VLOOKUP(N30,'נתוני מים 2014'!$C$2:$L$188,6,0)/1000,0)</f>
        <v>0</v>
      </c>
      <c r="O813" s="1">
        <f>+IFERROR(VLOOKUP(O30,'נתוני מים 2014'!$C$2:$L$188,6,0)/1000,0)</f>
        <v>0</v>
      </c>
      <c r="P813" s="1">
        <f>+IFERROR(VLOOKUP(P30,'נתוני מים 2014'!$C$2:$L$188,6,0)/1000,0)</f>
        <v>0</v>
      </c>
      <c r="Q813" s="1">
        <f>+IFERROR(VLOOKUP(Q30,'נתוני מים 2014'!$C$2:$L$188,6,0)/1000,0)</f>
        <v>0</v>
      </c>
      <c r="R813" s="1">
        <f>+IFERROR(VLOOKUP(R30,'נתוני מים 2014'!$C$2:$L$188,6,0)/1000,0)</f>
        <v>0</v>
      </c>
      <c r="S813" s="1">
        <f>+IFERROR(VLOOKUP(S30,'נתוני מים 2014'!$C$2:$L$188,6,0)/1000,0)</f>
        <v>0</v>
      </c>
      <c r="T813" s="1">
        <f>+IFERROR(VLOOKUP(T30,'נתוני מים 2014'!$C$2:$L$188,6,0)/1000,0)</f>
        <v>0</v>
      </c>
      <c r="U813" s="1">
        <f>+IFERROR(VLOOKUP(U30,'נתוני מים 2014'!$C$2:$L$188,6,0)/1000,0)</f>
        <v>0</v>
      </c>
      <c r="V813" s="1">
        <f>+IFERROR(VLOOKUP(V30,'נתוני מים 2014'!$C$2:$L$188,6,0)/1000,0)</f>
        <v>0</v>
      </c>
      <c r="W813" s="1">
        <f>+IFERROR(VLOOKUP(W30,'נתוני מים 2014'!$C$2:$L$188,6,0)/1000,0)</f>
        <v>0</v>
      </c>
      <c r="X813" s="1">
        <f>+IFERROR(VLOOKUP(X30,'נתוני מים 2014'!$C$2:$L$188,6,0)/1000,0)</f>
        <v>0</v>
      </c>
      <c r="Y813" s="1">
        <f>+IFERROR(VLOOKUP(Y30,'נתוני מים 2014'!$C$2:$L$188,6,0)/1000,0)</f>
        <v>0</v>
      </c>
      <c r="Z813" s="1">
        <f>+IFERROR(VLOOKUP(Z30,'נתוני מים 2014'!$C$2:$L$188,6,0)/1000,0)</f>
        <v>0</v>
      </c>
      <c r="AA813" s="1">
        <f>+IFERROR(VLOOKUP(AA30,'נתוני מים 2014'!$C$2:$L$188,6,0)/1000,0)</f>
        <v>0</v>
      </c>
      <c r="AB813" s="1">
        <f>+IFERROR(VLOOKUP(AB30,'נתוני מים 2014'!$C$2:$L$188,6,0)/1000,0)</f>
        <v>0</v>
      </c>
      <c r="AC813" s="1">
        <f>+IFERROR(VLOOKUP(AC30,'נתוני מים 2014'!$C$2:$L$188,6,0)/1000,0)</f>
        <v>0</v>
      </c>
      <c r="AD813" s="1">
        <f>+IFERROR(VLOOKUP(AD30,'נתוני מים 2014'!$C$2:$L$188,6,0)/1000,0)</f>
        <v>0</v>
      </c>
      <c r="AE813" s="1">
        <f>+IFERROR(VLOOKUP(AE30,'נתוני מים 2014'!$C$2:$L$188,6,0)/1000,0)</f>
        <v>0</v>
      </c>
      <c r="AF813" s="1">
        <f>+IFERROR(VLOOKUP(AF30,'נתוני מים 2014'!$C$2:$L$188,6,0)/1000,0)</f>
        <v>0</v>
      </c>
      <c r="AG813" s="1">
        <f>+IFERROR(VLOOKUP(AG30,'נתוני מים 2014'!$C$2:$L$188,6,0)/1000,0)</f>
        <v>0</v>
      </c>
      <c r="AH813" s="1">
        <f>+IFERROR(VLOOKUP(AH30,'נתוני מים 2014'!$C$2:$L$188,6,0)/1000,0)</f>
        <v>0</v>
      </c>
      <c r="AI813" s="1">
        <f>+IFERROR(VLOOKUP(AI30,'נתוני מים 2014'!$C$2:$L$188,6,0)/1000,0)</f>
        <v>0</v>
      </c>
      <c r="AJ813" s="1">
        <f>+IFERROR(VLOOKUP(AJ30,'נתוני מים 2014'!$C$2:$L$188,6,0)/1000,0)</f>
        <v>0</v>
      </c>
      <c r="AK813" s="1">
        <f>+IFERROR(VLOOKUP(AK30,'נתוני מים 2014'!$C$2:$L$188,6,0)/1000,0)</f>
        <v>0</v>
      </c>
      <c r="AL813" s="1">
        <f>+IFERROR(VLOOKUP(AL30,'נתוני מים 2014'!$C$2:$L$188,6,0)/1000,0)</f>
        <v>0</v>
      </c>
      <c r="AM813" s="1">
        <f>+IFERROR(VLOOKUP(AM30,'נתוני מים 2014'!$C$2:$L$188,6,0)/1000,0)</f>
        <v>0</v>
      </c>
      <c r="AN813" s="1">
        <f>+IFERROR(VLOOKUP(AN30,'נתוני מים 2014'!$C$2:$L$188,6,0)/1000,0)</f>
        <v>0</v>
      </c>
      <c r="AO813" s="1">
        <f>+IFERROR(VLOOKUP(AO30,'נתוני מים 2014'!$C$2:$L$188,6,0)/1000,0)</f>
        <v>0</v>
      </c>
      <c r="AP813" s="1">
        <f>+IFERROR(VLOOKUP(AP30,'נתוני מים 2014'!$C$2:$L$188,6,0)/1000,0)</f>
        <v>0</v>
      </c>
      <c r="AQ813" s="1">
        <f>+IFERROR(VLOOKUP(AQ30,'נתוני מים 2014'!$C$2:$L$188,6,0)/1000,0)</f>
        <v>0</v>
      </c>
      <c r="AR813" s="1">
        <f>+IFERROR(VLOOKUP(AR30,'נתוני מים 2014'!$C$2:$L$188,6,0)/1000,0)</f>
        <v>0</v>
      </c>
      <c r="AS813" s="1">
        <f>+IFERROR(VLOOKUP(AS30,'נתוני מים 2014'!$C$2:$L$188,6,0)/1000,0)</f>
        <v>0</v>
      </c>
      <c r="AT813" s="1">
        <f>+IFERROR(VLOOKUP(AT30,'נתוני מים 2014'!$C$2:$L$188,6,0)/1000,0)</f>
        <v>0</v>
      </c>
      <c r="AU813" s="1">
        <f>+IFERROR(VLOOKUP(AU30,'נתוני מים 2014'!$C$2:$L$188,6,0)/1000,0)</f>
        <v>0</v>
      </c>
      <c r="AV813" s="1">
        <f>+IFERROR(VLOOKUP(AV30,'נתוני מים 2014'!$C$2:$L$188,6,0)/1000,0)</f>
        <v>0</v>
      </c>
      <c r="AW813" s="1">
        <f>+IFERROR(VLOOKUP(AW30,'נתוני מים 2014'!$C$2:$L$188,6,0)/1000,0)</f>
        <v>0</v>
      </c>
      <c r="AX813" s="1">
        <f>+IFERROR(VLOOKUP(AX30,'נתוני מים 2014'!$C$2:$L$188,6,0)/1000,0)</f>
        <v>0</v>
      </c>
      <c r="AY813" s="1">
        <f>+IFERROR(VLOOKUP(AY30,'נתוני מים 2014'!$C$2:$L$188,6,0)/1000,0)</f>
        <v>0</v>
      </c>
      <c r="AZ813" s="1">
        <f>+IFERROR(VLOOKUP(AZ30,'נתוני מים 2014'!$C$2:$L$188,6,0)/1000,0)</f>
        <v>0</v>
      </c>
      <c r="BA813" s="1">
        <f>+IFERROR(VLOOKUP(BA30,'נתוני מים 2014'!$C$2:$L$188,6,0)/1000,0)</f>
        <v>0</v>
      </c>
      <c r="BB813" s="1">
        <f>+IFERROR(VLOOKUP(BB30,'נתוני מים 2014'!$C$2:$L$188,6,0)/1000,0)</f>
        <v>0</v>
      </c>
      <c r="BC813" s="1">
        <f>+IFERROR(VLOOKUP(BC30,'נתוני מים 2014'!$C$2:$L$188,6,0)/1000,0)</f>
        <v>0</v>
      </c>
      <c r="BD813" s="1">
        <f>+IFERROR(VLOOKUP(BD30,'נתוני מים 2014'!$C$2:$L$188,6,0)/1000,0)</f>
        <v>0</v>
      </c>
      <c r="BE813" s="1">
        <f>+IFERROR(VLOOKUP(BE30,'נתוני מים 2014'!$C$2:$L$188,6,0)/1000,0)</f>
        <v>0</v>
      </c>
      <c r="BF813" s="1">
        <f>+IFERROR(VLOOKUP(BF30,'נתוני מים 2014'!$C$2:$L$188,6,0)/1000,0)</f>
        <v>0</v>
      </c>
    </row>
    <row r="814" spans="2:58" x14ac:dyDescent="0.2">
      <c r="B814" s="1">
        <v>24</v>
      </c>
      <c r="C814" s="1">
        <f>+IFERROR(VLOOKUP(C31,'נתוני מים 2014'!$C$2:$L$188,6,0)/1000,0)</f>
        <v>0</v>
      </c>
      <c r="D814" s="1">
        <f>+IFERROR(VLOOKUP(D31,'נתוני מים 2014'!$C$2:$L$188,6,0)/1000,0)</f>
        <v>0</v>
      </c>
      <c r="E814" s="1">
        <f>+IFERROR(VLOOKUP(E31,'נתוני מים 2014'!$C$2:$L$188,6,0)/1000,0)</f>
        <v>0</v>
      </c>
      <c r="F814" s="1">
        <f>+IFERROR(VLOOKUP(F31,'נתוני מים 2014'!$C$2:$L$188,6,0)/1000,0)</f>
        <v>0</v>
      </c>
      <c r="G814" s="1">
        <f>+IFERROR(VLOOKUP(G31,'נתוני מים 2014'!$C$2:$L$188,6,0)/1000,0)</f>
        <v>0</v>
      </c>
      <c r="H814" s="1">
        <f>+IFERROR(VLOOKUP(H31,'נתוני מים 2014'!$C$2:$L$188,6,0)/1000,0)</f>
        <v>0</v>
      </c>
      <c r="I814" s="1">
        <f>+IFERROR(VLOOKUP(I31,'נתוני מים 2014'!$C$2:$L$188,6,0)/1000,0)</f>
        <v>0</v>
      </c>
      <c r="J814" s="1">
        <f>+IFERROR(VLOOKUP(J31,'נתוני מים 2014'!$C$2:$L$188,6,0)/1000,0)</f>
        <v>0</v>
      </c>
      <c r="K814" s="1">
        <f>+IFERROR(VLOOKUP(K31,'נתוני מים 2014'!$C$2:$L$188,6,0)/1000,0)</f>
        <v>0</v>
      </c>
      <c r="L814" s="1">
        <f>+IFERROR(VLOOKUP(L31,'נתוני מים 2014'!$C$2:$L$188,6,0)/1000,0)</f>
        <v>0</v>
      </c>
      <c r="M814" s="1">
        <f>+IFERROR(VLOOKUP(M31,'נתוני מים 2014'!$C$2:$L$188,6,0)/1000,0)</f>
        <v>0</v>
      </c>
      <c r="N814" s="1">
        <f>+IFERROR(VLOOKUP(N31,'נתוני מים 2014'!$C$2:$L$188,6,0)/1000,0)</f>
        <v>0</v>
      </c>
      <c r="O814" s="1">
        <f>+IFERROR(VLOOKUP(O31,'נתוני מים 2014'!$C$2:$L$188,6,0)/1000,0)</f>
        <v>0</v>
      </c>
      <c r="P814" s="1">
        <f>+IFERROR(VLOOKUP(P31,'נתוני מים 2014'!$C$2:$L$188,6,0)/1000,0)</f>
        <v>0</v>
      </c>
      <c r="Q814" s="1">
        <f>+IFERROR(VLOOKUP(Q31,'נתוני מים 2014'!$C$2:$L$188,6,0)/1000,0)</f>
        <v>0</v>
      </c>
      <c r="R814" s="1">
        <f>+IFERROR(VLOOKUP(R31,'נתוני מים 2014'!$C$2:$L$188,6,0)/1000,0)</f>
        <v>0</v>
      </c>
      <c r="S814" s="1">
        <f>+IFERROR(VLOOKUP(S31,'נתוני מים 2014'!$C$2:$L$188,6,0)/1000,0)</f>
        <v>0</v>
      </c>
      <c r="T814" s="1">
        <f>+IFERROR(VLOOKUP(T31,'נתוני מים 2014'!$C$2:$L$188,6,0)/1000,0)</f>
        <v>0</v>
      </c>
      <c r="U814" s="1">
        <f>+IFERROR(VLOOKUP(U31,'נתוני מים 2014'!$C$2:$L$188,6,0)/1000,0)</f>
        <v>0</v>
      </c>
      <c r="V814" s="1">
        <f>+IFERROR(VLOOKUP(V31,'נתוני מים 2014'!$C$2:$L$188,6,0)/1000,0)</f>
        <v>0</v>
      </c>
      <c r="W814" s="1">
        <f>+IFERROR(VLOOKUP(W31,'נתוני מים 2014'!$C$2:$L$188,6,0)/1000,0)</f>
        <v>0</v>
      </c>
      <c r="X814" s="1">
        <f>+IFERROR(VLOOKUP(X31,'נתוני מים 2014'!$C$2:$L$188,6,0)/1000,0)</f>
        <v>0</v>
      </c>
      <c r="Y814" s="1">
        <f>+IFERROR(VLOOKUP(Y31,'נתוני מים 2014'!$C$2:$L$188,6,0)/1000,0)</f>
        <v>0</v>
      </c>
      <c r="Z814" s="1">
        <f>+IFERROR(VLOOKUP(Z31,'נתוני מים 2014'!$C$2:$L$188,6,0)/1000,0)</f>
        <v>0</v>
      </c>
      <c r="AA814" s="1">
        <f>+IFERROR(VLOOKUP(AA31,'נתוני מים 2014'!$C$2:$L$188,6,0)/1000,0)</f>
        <v>0</v>
      </c>
      <c r="AB814" s="1">
        <f>+IFERROR(VLOOKUP(AB31,'נתוני מים 2014'!$C$2:$L$188,6,0)/1000,0)</f>
        <v>0</v>
      </c>
      <c r="AC814" s="1">
        <f>+IFERROR(VLOOKUP(AC31,'נתוני מים 2014'!$C$2:$L$188,6,0)/1000,0)</f>
        <v>0</v>
      </c>
      <c r="AD814" s="1">
        <f>+IFERROR(VLOOKUP(AD31,'נתוני מים 2014'!$C$2:$L$188,6,0)/1000,0)</f>
        <v>0</v>
      </c>
      <c r="AE814" s="1">
        <f>+IFERROR(VLOOKUP(AE31,'נתוני מים 2014'!$C$2:$L$188,6,0)/1000,0)</f>
        <v>0</v>
      </c>
      <c r="AF814" s="1">
        <f>+IFERROR(VLOOKUP(AF31,'נתוני מים 2014'!$C$2:$L$188,6,0)/1000,0)</f>
        <v>0</v>
      </c>
      <c r="AG814" s="1">
        <f>+IFERROR(VLOOKUP(AG31,'נתוני מים 2014'!$C$2:$L$188,6,0)/1000,0)</f>
        <v>0</v>
      </c>
      <c r="AH814" s="1">
        <f>+IFERROR(VLOOKUP(AH31,'נתוני מים 2014'!$C$2:$L$188,6,0)/1000,0)</f>
        <v>0</v>
      </c>
      <c r="AI814" s="1">
        <f>+IFERROR(VLOOKUP(AI31,'נתוני מים 2014'!$C$2:$L$188,6,0)/1000,0)</f>
        <v>0</v>
      </c>
      <c r="AJ814" s="1">
        <f>+IFERROR(VLOOKUP(AJ31,'נתוני מים 2014'!$C$2:$L$188,6,0)/1000,0)</f>
        <v>0</v>
      </c>
      <c r="AK814" s="1">
        <f>+IFERROR(VLOOKUP(AK31,'נתוני מים 2014'!$C$2:$L$188,6,0)/1000,0)</f>
        <v>0</v>
      </c>
      <c r="AL814" s="1">
        <f>+IFERROR(VLOOKUP(AL31,'נתוני מים 2014'!$C$2:$L$188,6,0)/1000,0)</f>
        <v>0</v>
      </c>
      <c r="AM814" s="1">
        <f>+IFERROR(VLOOKUP(AM31,'נתוני מים 2014'!$C$2:$L$188,6,0)/1000,0)</f>
        <v>0</v>
      </c>
      <c r="AN814" s="1">
        <f>+IFERROR(VLOOKUP(AN31,'נתוני מים 2014'!$C$2:$L$188,6,0)/1000,0)</f>
        <v>0</v>
      </c>
      <c r="AO814" s="1">
        <f>+IFERROR(VLOOKUP(AO31,'נתוני מים 2014'!$C$2:$L$188,6,0)/1000,0)</f>
        <v>0</v>
      </c>
      <c r="AP814" s="1">
        <f>+IFERROR(VLOOKUP(AP31,'נתוני מים 2014'!$C$2:$L$188,6,0)/1000,0)</f>
        <v>0</v>
      </c>
      <c r="AQ814" s="1">
        <f>+IFERROR(VLOOKUP(AQ31,'נתוני מים 2014'!$C$2:$L$188,6,0)/1000,0)</f>
        <v>0</v>
      </c>
      <c r="AR814" s="1">
        <f>+IFERROR(VLOOKUP(AR31,'נתוני מים 2014'!$C$2:$L$188,6,0)/1000,0)</f>
        <v>0</v>
      </c>
      <c r="AS814" s="1">
        <f>+IFERROR(VLOOKUP(AS31,'נתוני מים 2014'!$C$2:$L$188,6,0)/1000,0)</f>
        <v>0</v>
      </c>
      <c r="AT814" s="1">
        <f>+IFERROR(VLOOKUP(AT31,'נתוני מים 2014'!$C$2:$L$188,6,0)/1000,0)</f>
        <v>0</v>
      </c>
      <c r="AU814" s="1">
        <f>+IFERROR(VLOOKUP(AU31,'נתוני מים 2014'!$C$2:$L$188,6,0)/1000,0)</f>
        <v>0</v>
      </c>
      <c r="AV814" s="1">
        <f>+IFERROR(VLOOKUP(AV31,'נתוני מים 2014'!$C$2:$L$188,6,0)/1000,0)</f>
        <v>0</v>
      </c>
      <c r="AW814" s="1">
        <f>+IFERROR(VLOOKUP(AW31,'נתוני מים 2014'!$C$2:$L$188,6,0)/1000,0)</f>
        <v>0</v>
      </c>
      <c r="AX814" s="1">
        <f>+IFERROR(VLOOKUP(AX31,'נתוני מים 2014'!$C$2:$L$188,6,0)/1000,0)</f>
        <v>0</v>
      </c>
      <c r="AY814" s="1">
        <f>+IFERROR(VLOOKUP(AY31,'נתוני מים 2014'!$C$2:$L$188,6,0)/1000,0)</f>
        <v>0</v>
      </c>
      <c r="AZ814" s="1">
        <f>+IFERROR(VLOOKUP(AZ31,'נתוני מים 2014'!$C$2:$L$188,6,0)/1000,0)</f>
        <v>0</v>
      </c>
      <c r="BA814" s="1">
        <f>+IFERROR(VLOOKUP(BA31,'נתוני מים 2014'!$C$2:$L$188,6,0)/1000,0)</f>
        <v>0</v>
      </c>
      <c r="BB814" s="1">
        <f>+IFERROR(VLOOKUP(BB31,'נתוני מים 2014'!$C$2:$L$188,6,0)/1000,0)</f>
        <v>0</v>
      </c>
      <c r="BC814" s="1">
        <f>+IFERROR(VLOOKUP(BC31,'נתוני מים 2014'!$C$2:$L$188,6,0)/1000,0)</f>
        <v>0</v>
      </c>
      <c r="BD814" s="1">
        <f>+IFERROR(VLOOKUP(BD31,'נתוני מים 2014'!$C$2:$L$188,6,0)/1000,0)</f>
        <v>0</v>
      </c>
      <c r="BE814" s="1">
        <f>+IFERROR(VLOOKUP(BE31,'נתוני מים 2014'!$C$2:$L$188,6,0)/1000,0)</f>
        <v>0</v>
      </c>
      <c r="BF814" s="1">
        <f>+IFERROR(VLOOKUP(BF31,'נתוני מים 2014'!$C$2:$L$188,6,0)/1000,0)</f>
        <v>0</v>
      </c>
    </row>
    <row r="815" spans="2:58" x14ac:dyDescent="0.2">
      <c r="B815" s="1">
        <v>25</v>
      </c>
      <c r="C815" s="1">
        <f>+IFERROR(VLOOKUP(C32,'נתוני מים 2014'!$C$2:$L$188,6,0)/1000,0)</f>
        <v>0</v>
      </c>
      <c r="D815" s="1">
        <f>+IFERROR(VLOOKUP(D32,'נתוני מים 2014'!$C$2:$L$188,6,0)/1000,0)</f>
        <v>0</v>
      </c>
      <c r="E815" s="1">
        <f>+IFERROR(VLOOKUP(E32,'נתוני מים 2014'!$C$2:$L$188,6,0)/1000,0)</f>
        <v>0</v>
      </c>
      <c r="F815" s="1">
        <f>+IFERROR(VLOOKUP(F32,'נתוני מים 2014'!$C$2:$L$188,6,0)/1000,0)</f>
        <v>0</v>
      </c>
      <c r="G815" s="1">
        <f>+IFERROR(VLOOKUP(G32,'נתוני מים 2014'!$C$2:$L$188,6,0)/1000,0)</f>
        <v>0</v>
      </c>
      <c r="H815" s="1">
        <f>+IFERROR(VLOOKUP(H32,'נתוני מים 2014'!$C$2:$L$188,6,0)/1000,0)</f>
        <v>0</v>
      </c>
      <c r="I815" s="1">
        <f>+IFERROR(VLOOKUP(I32,'נתוני מים 2014'!$C$2:$L$188,6,0)/1000,0)</f>
        <v>0</v>
      </c>
      <c r="J815" s="1">
        <f>+IFERROR(VLOOKUP(J32,'נתוני מים 2014'!$C$2:$L$188,6,0)/1000,0)</f>
        <v>0</v>
      </c>
      <c r="K815" s="1">
        <f>+IFERROR(VLOOKUP(K32,'נתוני מים 2014'!$C$2:$L$188,6,0)/1000,0)</f>
        <v>0</v>
      </c>
      <c r="L815" s="1">
        <f>+IFERROR(VLOOKUP(L32,'נתוני מים 2014'!$C$2:$L$188,6,0)/1000,0)</f>
        <v>0</v>
      </c>
      <c r="M815" s="1">
        <f>+IFERROR(VLOOKUP(M32,'נתוני מים 2014'!$C$2:$L$188,6,0)/1000,0)</f>
        <v>0</v>
      </c>
      <c r="N815" s="1">
        <f>+IFERROR(VLOOKUP(N32,'נתוני מים 2014'!$C$2:$L$188,6,0)/1000,0)</f>
        <v>0</v>
      </c>
      <c r="O815" s="1">
        <f>+IFERROR(VLOOKUP(O32,'נתוני מים 2014'!$C$2:$L$188,6,0)/1000,0)</f>
        <v>0</v>
      </c>
      <c r="P815" s="1">
        <f>+IFERROR(VLOOKUP(P32,'נתוני מים 2014'!$C$2:$L$188,6,0)/1000,0)</f>
        <v>0</v>
      </c>
      <c r="Q815" s="1">
        <f>+IFERROR(VLOOKUP(Q32,'נתוני מים 2014'!$C$2:$L$188,6,0)/1000,0)</f>
        <v>0</v>
      </c>
      <c r="R815" s="1">
        <f>+IFERROR(VLOOKUP(R32,'נתוני מים 2014'!$C$2:$L$188,6,0)/1000,0)</f>
        <v>0</v>
      </c>
      <c r="S815" s="1">
        <f>+IFERROR(VLOOKUP(S32,'נתוני מים 2014'!$C$2:$L$188,6,0)/1000,0)</f>
        <v>0</v>
      </c>
      <c r="T815" s="1">
        <f>+IFERROR(VLOOKUP(T32,'נתוני מים 2014'!$C$2:$L$188,6,0)/1000,0)</f>
        <v>0</v>
      </c>
      <c r="U815" s="1">
        <f>+IFERROR(VLOOKUP(U32,'נתוני מים 2014'!$C$2:$L$188,6,0)/1000,0)</f>
        <v>0</v>
      </c>
      <c r="V815" s="1">
        <f>+IFERROR(VLOOKUP(V32,'נתוני מים 2014'!$C$2:$L$188,6,0)/1000,0)</f>
        <v>0</v>
      </c>
      <c r="W815" s="1">
        <f>+IFERROR(VLOOKUP(W32,'נתוני מים 2014'!$C$2:$L$188,6,0)/1000,0)</f>
        <v>0</v>
      </c>
      <c r="X815" s="1">
        <f>+IFERROR(VLOOKUP(X32,'נתוני מים 2014'!$C$2:$L$188,6,0)/1000,0)</f>
        <v>0</v>
      </c>
      <c r="Y815" s="1">
        <f>+IFERROR(VLOOKUP(Y32,'נתוני מים 2014'!$C$2:$L$188,6,0)/1000,0)</f>
        <v>0</v>
      </c>
      <c r="Z815" s="1">
        <f>+IFERROR(VLOOKUP(Z32,'נתוני מים 2014'!$C$2:$L$188,6,0)/1000,0)</f>
        <v>0</v>
      </c>
      <c r="AA815" s="1">
        <f>+IFERROR(VLOOKUP(AA32,'נתוני מים 2014'!$C$2:$L$188,6,0)/1000,0)</f>
        <v>0</v>
      </c>
      <c r="AB815" s="1">
        <f>+IFERROR(VLOOKUP(AB32,'נתוני מים 2014'!$C$2:$L$188,6,0)/1000,0)</f>
        <v>0</v>
      </c>
      <c r="AC815" s="1">
        <f>+IFERROR(VLOOKUP(AC32,'נתוני מים 2014'!$C$2:$L$188,6,0)/1000,0)</f>
        <v>0</v>
      </c>
      <c r="AD815" s="1">
        <f>+IFERROR(VLOOKUP(AD32,'נתוני מים 2014'!$C$2:$L$188,6,0)/1000,0)</f>
        <v>0</v>
      </c>
      <c r="AE815" s="1">
        <f>+IFERROR(VLOOKUP(AE32,'נתוני מים 2014'!$C$2:$L$188,6,0)/1000,0)</f>
        <v>0</v>
      </c>
      <c r="AF815" s="1">
        <f>+IFERROR(VLOOKUP(AF32,'נתוני מים 2014'!$C$2:$L$188,6,0)/1000,0)</f>
        <v>0</v>
      </c>
      <c r="AG815" s="1">
        <f>+IFERROR(VLOOKUP(AG32,'נתוני מים 2014'!$C$2:$L$188,6,0)/1000,0)</f>
        <v>0</v>
      </c>
      <c r="AH815" s="1">
        <f>+IFERROR(VLOOKUP(AH32,'נתוני מים 2014'!$C$2:$L$188,6,0)/1000,0)</f>
        <v>0</v>
      </c>
      <c r="AI815" s="1">
        <f>+IFERROR(VLOOKUP(AI32,'נתוני מים 2014'!$C$2:$L$188,6,0)/1000,0)</f>
        <v>0</v>
      </c>
      <c r="AJ815" s="1">
        <f>+IFERROR(VLOOKUP(AJ32,'נתוני מים 2014'!$C$2:$L$188,6,0)/1000,0)</f>
        <v>0</v>
      </c>
      <c r="AK815" s="1">
        <f>+IFERROR(VLOOKUP(AK32,'נתוני מים 2014'!$C$2:$L$188,6,0)/1000,0)</f>
        <v>0</v>
      </c>
      <c r="AL815" s="1">
        <f>+IFERROR(VLOOKUP(AL32,'נתוני מים 2014'!$C$2:$L$188,6,0)/1000,0)</f>
        <v>0</v>
      </c>
      <c r="AM815" s="1">
        <f>+IFERROR(VLOOKUP(AM32,'נתוני מים 2014'!$C$2:$L$188,6,0)/1000,0)</f>
        <v>0</v>
      </c>
      <c r="AN815" s="1">
        <f>+IFERROR(VLOOKUP(AN32,'נתוני מים 2014'!$C$2:$L$188,6,0)/1000,0)</f>
        <v>0</v>
      </c>
      <c r="AO815" s="1">
        <f>+IFERROR(VLOOKUP(AO32,'נתוני מים 2014'!$C$2:$L$188,6,0)/1000,0)</f>
        <v>0</v>
      </c>
      <c r="AP815" s="1">
        <f>+IFERROR(VLOOKUP(AP32,'נתוני מים 2014'!$C$2:$L$188,6,0)/1000,0)</f>
        <v>0</v>
      </c>
      <c r="AQ815" s="1">
        <f>+IFERROR(VLOOKUP(AQ32,'נתוני מים 2014'!$C$2:$L$188,6,0)/1000,0)</f>
        <v>0</v>
      </c>
      <c r="AR815" s="1">
        <f>+IFERROR(VLOOKUP(AR32,'נתוני מים 2014'!$C$2:$L$188,6,0)/1000,0)</f>
        <v>0</v>
      </c>
      <c r="AS815" s="1">
        <f>+IFERROR(VLOOKUP(AS32,'נתוני מים 2014'!$C$2:$L$188,6,0)/1000,0)</f>
        <v>0</v>
      </c>
      <c r="AT815" s="1">
        <f>+IFERROR(VLOOKUP(AT32,'נתוני מים 2014'!$C$2:$L$188,6,0)/1000,0)</f>
        <v>0</v>
      </c>
      <c r="AU815" s="1">
        <f>+IFERROR(VLOOKUP(AU32,'נתוני מים 2014'!$C$2:$L$188,6,0)/1000,0)</f>
        <v>0</v>
      </c>
      <c r="AV815" s="1">
        <f>+IFERROR(VLOOKUP(AV32,'נתוני מים 2014'!$C$2:$L$188,6,0)/1000,0)</f>
        <v>0</v>
      </c>
      <c r="AW815" s="1">
        <f>+IFERROR(VLOOKUP(AW32,'נתוני מים 2014'!$C$2:$L$188,6,0)/1000,0)</f>
        <v>0</v>
      </c>
      <c r="AX815" s="1">
        <f>+IFERROR(VLOOKUP(AX32,'נתוני מים 2014'!$C$2:$L$188,6,0)/1000,0)</f>
        <v>0</v>
      </c>
      <c r="AY815" s="1">
        <f>+IFERROR(VLOOKUP(AY32,'נתוני מים 2014'!$C$2:$L$188,6,0)/1000,0)</f>
        <v>0</v>
      </c>
      <c r="AZ815" s="1">
        <f>+IFERROR(VLOOKUP(AZ32,'נתוני מים 2014'!$C$2:$L$188,6,0)/1000,0)</f>
        <v>0</v>
      </c>
      <c r="BA815" s="1">
        <f>+IFERROR(VLOOKUP(BA32,'נתוני מים 2014'!$C$2:$L$188,6,0)/1000,0)</f>
        <v>0</v>
      </c>
      <c r="BB815" s="1">
        <f>+IFERROR(VLOOKUP(BB32,'נתוני מים 2014'!$C$2:$L$188,6,0)/1000,0)</f>
        <v>0</v>
      </c>
      <c r="BC815" s="1">
        <f>+IFERROR(VLOOKUP(BC32,'נתוני מים 2014'!$C$2:$L$188,6,0)/1000,0)</f>
        <v>0</v>
      </c>
      <c r="BD815" s="1">
        <f>+IFERROR(VLOOKUP(BD32,'נתוני מים 2014'!$C$2:$L$188,6,0)/1000,0)</f>
        <v>0</v>
      </c>
      <c r="BE815" s="1">
        <f>+IFERROR(VLOOKUP(BE32,'נתוני מים 2014'!$C$2:$L$188,6,0)/1000,0)</f>
        <v>0</v>
      </c>
      <c r="BF815" s="1">
        <f>+IFERROR(VLOOKUP(BF32,'נתוני מים 2014'!$C$2:$L$188,6,0)/1000,0)</f>
        <v>0</v>
      </c>
    </row>
    <row r="816" spans="2:58" x14ac:dyDescent="0.2">
      <c r="B816" s="1">
        <v>26</v>
      </c>
      <c r="C816" s="1">
        <f>+IFERROR(VLOOKUP(C33,'נתוני מים 2014'!$C$2:$L$188,6,0)/1000,0)</f>
        <v>0</v>
      </c>
      <c r="D816" s="1">
        <f>+IFERROR(VLOOKUP(D33,'נתוני מים 2014'!$C$2:$L$188,6,0)/1000,0)</f>
        <v>0</v>
      </c>
      <c r="E816" s="1">
        <f>+IFERROR(VLOOKUP(E33,'נתוני מים 2014'!$C$2:$L$188,6,0)/1000,0)</f>
        <v>0</v>
      </c>
      <c r="F816" s="1">
        <f>+IFERROR(VLOOKUP(F33,'נתוני מים 2014'!$C$2:$L$188,6,0)/1000,0)</f>
        <v>0</v>
      </c>
      <c r="G816" s="1">
        <f>+IFERROR(VLOOKUP(G33,'נתוני מים 2014'!$C$2:$L$188,6,0)/1000,0)</f>
        <v>0</v>
      </c>
      <c r="H816" s="1">
        <f>+IFERROR(VLOOKUP(H33,'נתוני מים 2014'!$C$2:$L$188,6,0)/1000,0)</f>
        <v>0</v>
      </c>
      <c r="I816" s="1">
        <f>+IFERROR(VLOOKUP(I33,'נתוני מים 2014'!$C$2:$L$188,6,0)/1000,0)</f>
        <v>0</v>
      </c>
      <c r="J816" s="1">
        <f>+IFERROR(VLOOKUP(J33,'נתוני מים 2014'!$C$2:$L$188,6,0)/1000,0)</f>
        <v>0</v>
      </c>
      <c r="K816" s="1">
        <f>+IFERROR(VLOOKUP(K33,'נתוני מים 2014'!$C$2:$L$188,6,0)/1000,0)</f>
        <v>0</v>
      </c>
      <c r="L816" s="1">
        <f>+IFERROR(VLOOKUP(L33,'נתוני מים 2014'!$C$2:$L$188,6,0)/1000,0)</f>
        <v>0</v>
      </c>
      <c r="M816" s="1">
        <f>+IFERROR(VLOOKUP(M33,'נתוני מים 2014'!$C$2:$L$188,6,0)/1000,0)</f>
        <v>0</v>
      </c>
      <c r="N816" s="1">
        <f>+IFERROR(VLOOKUP(N33,'נתוני מים 2014'!$C$2:$L$188,6,0)/1000,0)</f>
        <v>0</v>
      </c>
      <c r="O816" s="1">
        <f>+IFERROR(VLOOKUP(O33,'נתוני מים 2014'!$C$2:$L$188,6,0)/1000,0)</f>
        <v>0</v>
      </c>
      <c r="P816" s="1">
        <f>+IFERROR(VLOOKUP(P33,'נתוני מים 2014'!$C$2:$L$188,6,0)/1000,0)</f>
        <v>0</v>
      </c>
      <c r="Q816" s="1">
        <f>+IFERROR(VLOOKUP(Q33,'נתוני מים 2014'!$C$2:$L$188,6,0)/1000,0)</f>
        <v>0</v>
      </c>
      <c r="R816" s="1">
        <f>+IFERROR(VLOOKUP(R33,'נתוני מים 2014'!$C$2:$L$188,6,0)/1000,0)</f>
        <v>0</v>
      </c>
      <c r="S816" s="1">
        <f>+IFERROR(VLOOKUP(S33,'נתוני מים 2014'!$C$2:$L$188,6,0)/1000,0)</f>
        <v>0</v>
      </c>
      <c r="T816" s="1">
        <f>+IFERROR(VLOOKUP(T33,'נתוני מים 2014'!$C$2:$L$188,6,0)/1000,0)</f>
        <v>0</v>
      </c>
      <c r="U816" s="1">
        <f>+IFERROR(VLOOKUP(U33,'נתוני מים 2014'!$C$2:$L$188,6,0)/1000,0)</f>
        <v>0</v>
      </c>
      <c r="V816" s="1">
        <f>+IFERROR(VLOOKUP(V33,'נתוני מים 2014'!$C$2:$L$188,6,0)/1000,0)</f>
        <v>0</v>
      </c>
      <c r="W816" s="1">
        <f>+IFERROR(VLOOKUP(W33,'נתוני מים 2014'!$C$2:$L$188,6,0)/1000,0)</f>
        <v>0</v>
      </c>
      <c r="X816" s="1">
        <f>+IFERROR(VLOOKUP(X33,'נתוני מים 2014'!$C$2:$L$188,6,0)/1000,0)</f>
        <v>0</v>
      </c>
      <c r="Y816" s="1">
        <f>+IFERROR(VLOOKUP(Y33,'נתוני מים 2014'!$C$2:$L$188,6,0)/1000,0)</f>
        <v>0</v>
      </c>
      <c r="Z816" s="1">
        <f>+IFERROR(VLOOKUP(Z33,'נתוני מים 2014'!$C$2:$L$188,6,0)/1000,0)</f>
        <v>0</v>
      </c>
      <c r="AA816" s="1">
        <f>+IFERROR(VLOOKUP(AA33,'נתוני מים 2014'!$C$2:$L$188,6,0)/1000,0)</f>
        <v>0</v>
      </c>
      <c r="AB816" s="1">
        <f>+IFERROR(VLOOKUP(AB33,'נתוני מים 2014'!$C$2:$L$188,6,0)/1000,0)</f>
        <v>0</v>
      </c>
      <c r="AC816" s="1">
        <f>+IFERROR(VLOOKUP(AC33,'נתוני מים 2014'!$C$2:$L$188,6,0)/1000,0)</f>
        <v>0</v>
      </c>
      <c r="AD816" s="1">
        <f>+IFERROR(VLOOKUP(AD33,'נתוני מים 2014'!$C$2:$L$188,6,0)/1000,0)</f>
        <v>0</v>
      </c>
      <c r="AE816" s="1">
        <f>+IFERROR(VLOOKUP(AE33,'נתוני מים 2014'!$C$2:$L$188,6,0)/1000,0)</f>
        <v>0</v>
      </c>
      <c r="AF816" s="1">
        <f>+IFERROR(VLOOKUP(AF33,'נתוני מים 2014'!$C$2:$L$188,6,0)/1000,0)</f>
        <v>0</v>
      </c>
      <c r="AG816" s="1">
        <f>+IFERROR(VLOOKUP(AG33,'נתוני מים 2014'!$C$2:$L$188,6,0)/1000,0)</f>
        <v>0</v>
      </c>
      <c r="AH816" s="1">
        <f>+IFERROR(VLOOKUP(AH33,'נתוני מים 2014'!$C$2:$L$188,6,0)/1000,0)</f>
        <v>0</v>
      </c>
      <c r="AI816" s="1">
        <f>+IFERROR(VLOOKUP(AI33,'נתוני מים 2014'!$C$2:$L$188,6,0)/1000,0)</f>
        <v>0</v>
      </c>
      <c r="AJ816" s="1">
        <f>+IFERROR(VLOOKUP(AJ33,'נתוני מים 2014'!$C$2:$L$188,6,0)/1000,0)</f>
        <v>0</v>
      </c>
      <c r="AK816" s="1">
        <f>+IFERROR(VLOOKUP(AK33,'נתוני מים 2014'!$C$2:$L$188,6,0)/1000,0)</f>
        <v>0</v>
      </c>
      <c r="AL816" s="1">
        <f>+IFERROR(VLOOKUP(AL33,'נתוני מים 2014'!$C$2:$L$188,6,0)/1000,0)</f>
        <v>0</v>
      </c>
      <c r="AM816" s="1">
        <f>+IFERROR(VLOOKUP(AM33,'נתוני מים 2014'!$C$2:$L$188,6,0)/1000,0)</f>
        <v>0</v>
      </c>
      <c r="AN816" s="1">
        <f>+IFERROR(VLOOKUP(AN33,'נתוני מים 2014'!$C$2:$L$188,6,0)/1000,0)</f>
        <v>0</v>
      </c>
      <c r="AO816" s="1">
        <f>+IFERROR(VLOOKUP(AO33,'נתוני מים 2014'!$C$2:$L$188,6,0)/1000,0)</f>
        <v>0</v>
      </c>
      <c r="AP816" s="1">
        <f>+IFERROR(VLOOKUP(AP33,'נתוני מים 2014'!$C$2:$L$188,6,0)/1000,0)</f>
        <v>0</v>
      </c>
      <c r="AQ816" s="1">
        <f>+IFERROR(VLOOKUP(AQ33,'נתוני מים 2014'!$C$2:$L$188,6,0)/1000,0)</f>
        <v>0</v>
      </c>
      <c r="AR816" s="1">
        <f>+IFERROR(VLOOKUP(AR33,'נתוני מים 2014'!$C$2:$L$188,6,0)/1000,0)</f>
        <v>0</v>
      </c>
      <c r="AS816" s="1">
        <f>+IFERROR(VLOOKUP(AS33,'נתוני מים 2014'!$C$2:$L$188,6,0)/1000,0)</f>
        <v>0</v>
      </c>
      <c r="AT816" s="1">
        <f>+IFERROR(VLOOKUP(AT33,'נתוני מים 2014'!$C$2:$L$188,6,0)/1000,0)</f>
        <v>0</v>
      </c>
      <c r="AU816" s="1">
        <f>+IFERROR(VLOOKUP(AU33,'נתוני מים 2014'!$C$2:$L$188,6,0)/1000,0)</f>
        <v>0</v>
      </c>
      <c r="AV816" s="1">
        <f>+IFERROR(VLOOKUP(AV33,'נתוני מים 2014'!$C$2:$L$188,6,0)/1000,0)</f>
        <v>0</v>
      </c>
      <c r="AW816" s="1">
        <f>+IFERROR(VLOOKUP(AW33,'נתוני מים 2014'!$C$2:$L$188,6,0)/1000,0)</f>
        <v>0</v>
      </c>
      <c r="AX816" s="1">
        <f>+IFERROR(VLOOKUP(AX33,'נתוני מים 2014'!$C$2:$L$188,6,0)/1000,0)</f>
        <v>0</v>
      </c>
      <c r="AY816" s="1">
        <f>+IFERROR(VLOOKUP(AY33,'נתוני מים 2014'!$C$2:$L$188,6,0)/1000,0)</f>
        <v>0</v>
      </c>
      <c r="AZ816" s="1">
        <f>+IFERROR(VLOOKUP(AZ33,'נתוני מים 2014'!$C$2:$L$188,6,0)/1000,0)</f>
        <v>0</v>
      </c>
      <c r="BA816" s="1">
        <f>+IFERROR(VLOOKUP(BA33,'נתוני מים 2014'!$C$2:$L$188,6,0)/1000,0)</f>
        <v>0</v>
      </c>
      <c r="BB816" s="1">
        <f>+IFERROR(VLOOKUP(BB33,'נתוני מים 2014'!$C$2:$L$188,6,0)/1000,0)</f>
        <v>0</v>
      </c>
      <c r="BC816" s="1">
        <f>+IFERROR(VLOOKUP(BC33,'נתוני מים 2014'!$C$2:$L$188,6,0)/1000,0)</f>
        <v>0</v>
      </c>
      <c r="BD816" s="1">
        <f>+IFERROR(VLOOKUP(BD33,'נתוני מים 2014'!$C$2:$L$188,6,0)/1000,0)</f>
        <v>0</v>
      </c>
      <c r="BE816" s="1">
        <f>+IFERROR(VLOOKUP(BE33,'נתוני מים 2014'!$C$2:$L$188,6,0)/1000,0)</f>
        <v>0</v>
      </c>
      <c r="BF816" s="1">
        <f>+IFERROR(VLOOKUP(BF33,'נתוני מים 2014'!$C$2:$L$188,6,0)/1000,0)</f>
        <v>0</v>
      </c>
    </row>
    <row r="817" spans="1:58" x14ac:dyDescent="0.2">
      <c r="B817" s="1">
        <v>27</v>
      </c>
      <c r="C817" s="1">
        <f>+IFERROR(VLOOKUP(C34,'נתוני מים 2014'!$C$2:$L$188,6,0)/1000,0)</f>
        <v>0</v>
      </c>
      <c r="D817" s="1">
        <f>+IFERROR(VLOOKUP(D34,'נתוני מים 2014'!$C$2:$L$188,6,0)/1000,0)</f>
        <v>0</v>
      </c>
      <c r="E817" s="1">
        <f>+IFERROR(VLOOKUP(E34,'נתוני מים 2014'!$C$2:$L$188,6,0)/1000,0)</f>
        <v>0</v>
      </c>
      <c r="F817" s="1">
        <f>+IFERROR(VLOOKUP(F34,'נתוני מים 2014'!$C$2:$L$188,6,0)/1000,0)</f>
        <v>0</v>
      </c>
      <c r="G817" s="1">
        <f>+IFERROR(VLOOKUP(G34,'נתוני מים 2014'!$C$2:$L$188,6,0)/1000,0)</f>
        <v>0</v>
      </c>
      <c r="H817" s="1">
        <f>+IFERROR(VLOOKUP(H34,'נתוני מים 2014'!$C$2:$L$188,6,0)/1000,0)</f>
        <v>0</v>
      </c>
      <c r="I817" s="1">
        <f>+IFERROR(VLOOKUP(I34,'נתוני מים 2014'!$C$2:$L$188,6,0)/1000,0)</f>
        <v>0</v>
      </c>
      <c r="J817" s="1">
        <f>+IFERROR(VLOOKUP(J34,'נתוני מים 2014'!$C$2:$L$188,6,0)/1000,0)</f>
        <v>0</v>
      </c>
      <c r="K817" s="1">
        <f>+IFERROR(VLOOKUP(K34,'נתוני מים 2014'!$C$2:$L$188,6,0)/1000,0)</f>
        <v>0</v>
      </c>
      <c r="L817" s="1">
        <f>+IFERROR(VLOOKUP(L34,'נתוני מים 2014'!$C$2:$L$188,6,0)/1000,0)</f>
        <v>0</v>
      </c>
      <c r="M817" s="1">
        <f>+IFERROR(VLOOKUP(M34,'נתוני מים 2014'!$C$2:$L$188,6,0)/1000,0)</f>
        <v>0</v>
      </c>
      <c r="N817" s="1">
        <f>+IFERROR(VLOOKUP(N34,'נתוני מים 2014'!$C$2:$L$188,6,0)/1000,0)</f>
        <v>0</v>
      </c>
      <c r="O817" s="1">
        <f>+IFERROR(VLOOKUP(O34,'נתוני מים 2014'!$C$2:$L$188,6,0)/1000,0)</f>
        <v>0</v>
      </c>
      <c r="P817" s="1">
        <f>+IFERROR(VLOOKUP(P34,'נתוני מים 2014'!$C$2:$L$188,6,0)/1000,0)</f>
        <v>0</v>
      </c>
      <c r="Q817" s="1">
        <f>+IFERROR(VLOOKUP(Q34,'נתוני מים 2014'!$C$2:$L$188,6,0)/1000,0)</f>
        <v>0</v>
      </c>
      <c r="R817" s="1">
        <f>+IFERROR(VLOOKUP(R34,'נתוני מים 2014'!$C$2:$L$188,6,0)/1000,0)</f>
        <v>0</v>
      </c>
      <c r="S817" s="1">
        <f>+IFERROR(VLOOKUP(S34,'נתוני מים 2014'!$C$2:$L$188,6,0)/1000,0)</f>
        <v>0</v>
      </c>
      <c r="T817" s="1">
        <f>+IFERROR(VLOOKUP(T34,'נתוני מים 2014'!$C$2:$L$188,6,0)/1000,0)</f>
        <v>0</v>
      </c>
      <c r="U817" s="1">
        <f>+IFERROR(VLOOKUP(U34,'נתוני מים 2014'!$C$2:$L$188,6,0)/1000,0)</f>
        <v>0</v>
      </c>
      <c r="V817" s="1">
        <f>+IFERROR(VLOOKUP(V34,'נתוני מים 2014'!$C$2:$L$188,6,0)/1000,0)</f>
        <v>0</v>
      </c>
      <c r="W817" s="1">
        <f>+IFERROR(VLOOKUP(W34,'נתוני מים 2014'!$C$2:$L$188,6,0)/1000,0)</f>
        <v>0</v>
      </c>
      <c r="X817" s="1">
        <f>+IFERROR(VLOOKUP(X34,'נתוני מים 2014'!$C$2:$L$188,6,0)/1000,0)</f>
        <v>0</v>
      </c>
      <c r="Y817" s="1">
        <f>+IFERROR(VLOOKUP(Y34,'נתוני מים 2014'!$C$2:$L$188,6,0)/1000,0)</f>
        <v>0</v>
      </c>
      <c r="Z817" s="1">
        <f>+IFERROR(VLOOKUP(Z34,'נתוני מים 2014'!$C$2:$L$188,6,0)/1000,0)</f>
        <v>0</v>
      </c>
      <c r="AA817" s="1">
        <f>+IFERROR(VLOOKUP(AA34,'נתוני מים 2014'!$C$2:$L$188,6,0)/1000,0)</f>
        <v>0</v>
      </c>
      <c r="AB817" s="1">
        <f>+IFERROR(VLOOKUP(AB34,'נתוני מים 2014'!$C$2:$L$188,6,0)/1000,0)</f>
        <v>0</v>
      </c>
      <c r="AC817" s="1">
        <f>+IFERROR(VLOOKUP(AC34,'נתוני מים 2014'!$C$2:$L$188,6,0)/1000,0)</f>
        <v>0</v>
      </c>
      <c r="AD817" s="1">
        <f>+IFERROR(VLOOKUP(AD34,'נתוני מים 2014'!$C$2:$L$188,6,0)/1000,0)</f>
        <v>0</v>
      </c>
      <c r="AE817" s="1">
        <f>+IFERROR(VLOOKUP(AE34,'נתוני מים 2014'!$C$2:$L$188,6,0)/1000,0)</f>
        <v>0</v>
      </c>
      <c r="AF817" s="1">
        <f>+IFERROR(VLOOKUP(AF34,'נתוני מים 2014'!$C$2:$L$188,6,0)/1000,0)</f>
        <v>0</v>
      </c>
      <c r="AG817" s="1">
        <f>+IFERROR(VLOOKUP(AG34,'נתוני מים 2014'!$C$2:$L$188,6,0)/1000,0)</f>
        <v>0</v>
      </c>
      <c r="AH817" s="1">
        <f>+IFERROR(VLOOKUP(AH34,'נתוני מים 2014'!$C$2:$L$188,6,0)/1000,0)</f>
        <v>0</v>
      </c>
      <c r="AI817" s="1">
        <f>+IFERROR(VLOOKUP(AI34,'נתוני מים 2014'!$C$2:$L$188,6,0)/1000,0)</f>
        <v>0</v>
      </c>
      <c r="AJ817" s="1">
        <f>+IFERROR(VLOOKUP(AJ34,'נתוני מים 2014'!$C$2:$L$188,6,0)/1000,0)</f>
        <v>0</v>
      </c>
      <c r="AK817" s="1">
        <f>+IFERROR(VLOOKUP(AK34,'נתוני מים 2014'!$C$2:$L$188,6,0)/1000,0)</f>
        <v>0</v>
      </c>
      <c r="AL817" s="1">
        <f>+IFERROR(VLOOKUP(AL34,'נתוני מים 2014'!$C$2:$L$188,6,0)/1000,0)</f>
        <v>0</v>
      </c>
      <c r="AM817" s="1">
        <f>+IFERROR(VLOOKUP(AM34,'נתוני מים 2014'!$C$2:$L$188,6,0)/1000,0)</f>
        <v>0</v>
      </c>
      <c r="AN817" s="1">
        <f>+IFERROR(VLOOKUP(AN34,'נתוני מים 2014'!$C$2:$L$188,6,0)/1000,0)</f>
        <v>0</v>
      </c>
      <c r="AO817" s="1">
        <f>+IFERROR(VLOOKUP(AO34,'נתוני מים 2014'!$C$2:$L$188,6,0)/1000,0)</f>
        <v>0</v>
      </c>
      <c r="AP817" s="1">
        <f>+IFERROR(VLOOKUP(AP34,'נתוני מים 2014'!$C$2:$L$188,6,0)/1000,0)</f>
        <v>0</v>
      </c>
      <c r="AQ817" s="1">
        <f>+IFERROR(VLOOKUP(AQ34,'נתוני מים 2014'!$C$2:$L$188,6,0)/1000,0)</f>
        <v>0</v>
      </c>
      <c r="AR817" s="1">
        <f>+IFERROR(VLOOKUP(AR34,'נתוני מים 2014'!$C$2:$L$188,6,0)/1000,0)</f>
        <v>0</v>
      </c>
      <c r="AS817" s="1">
        <f>+IFERROR(VLOOKUP(AS34,'נתוני מים 2014'!$C$2:$L$188,6,0)/1000,0)</f>
        <v>0</v>
      </c>
      <c r="AT817" s="1">
        <f>+IFERROR(VLOOKUP(AT34,'נתוני מים 2014'!$C$2:$L$188,6,0)/1000,0)</f>
        <v>0</v>
      </c>
      <c r="AU817" s="1">
        <f>+IFERROR(VLOOKUP(AU34,'נתוני מים 2014'!$C$2:$L$188,6,0)/1000,0)</f>
        <v>0</v>
      </c>
      <c r="AV817" s="1">
        <f>+IFERROR(VLOOKUP(AV34,'נתוני מים 2014'!$C$2:$L$188,6,0)/1000,0)</f>
        <v>0</v>
      </c>
      <c r="AW817" s="1">
        <f>+IFERROR(VLOOKUP(AW34,'נתוני מים 2014'!$C$2:$L$188,6,0)/1000,0)</f>
        <v>0</v>
      </c>
      <c r="AX817" s="1">
        <f>+IFERROR(VLOOKUP(AX34,'נתוני מים 2014'!$C$2:$L$188,6,0)/1000,0)</f>
        <v>0</v>
      </c>
      <c r="AY817" s="1">
        <f>+IFERROR(VLOOKUP(AY34,'נתוני מים 2014'!$C$2:$L$188,6,0)/1000,0)</f>
        <v>0</v>
      </c>
      <c r="AZ817" s="1">
        <f>+IFERROR(VLOOKUP(AZ34,'נתוני מים 2014'!$C$2:$L$188,6,0)/1000,0)</f>
        <v>0</v>
      </c>
      <c r="BA817" s="1">
        <f>+IFERROR(VLOOKUP(BA34,'נתוני מים 2014'!$C$2:$L$188,6,0)/1000,0)</f>
        <v>0</v>
      </c>
      <c r="BB817" s="1">
        <f>+IFERROR(VLOOKUP(BB34,'נתוני מים 2014'!$C$2:$L$188,6,0)/1000,0)</f>
        <v>0</v>
      </c>
      <c r="BC817" s="1">
        <f>+IFERROR(VLOOKUP(BC34,'נתוני מים 2014'!$C$2:$L$188,6,0)/1000,0)</f>
        <v>0</v>
      </c>
      <c r="BD817" s="1">
        <f>+IFERROR(VLOOKUP(BD34,'נתוני מים 2014'!$C$2:$L$188,6,0)/1000,0)</f>
        <v>0</v>
      </c>
      <c r="BE817" s="1">
        <f>+IFERROR(VLOOKUP(BE34,'נתוני מים 2014'!$C$2:$L$188,6,0)/1000,0)</f>
        <v>0</v>
      </c>
      <c r="BF817" s="1">
        <f>+IFERROR(VLOOKUP(BF34,'נתוני מים 2014'!$C$2:$L$188,6,0)/1000,0)</f>
        <v>0</v>
      </c>
    </row>
    <row r="818" spans="1:58" x14ac:dyDescent="0.2">
      <c r="B818" s="1">
        <v>28</v>
      </c>
      <c r="C818" s="1">
        <f>+IFERROR(VLOOKUP(C35,'נתוני מים 2014'!$C$2:$L$188,6,0)/1000,0)</f>
        <v>0</v>
      </c>
      <c r="D818" s="1">
        <f>+IFERROR(VLOOKUP(D35,'נתוני מים 2014'!$C$2:$L$188,6,0)/1000,0)</f>
        <v>0</v>
      </c>
      <c r="E818" s="1">
        <f>+IFERROR(VLOOKUP(E35,'נתוני מים 2014'!$C$2:$L$188,6,0)/1000,0)</f>
        <v>0</v>
      </c>
      <c r="F818" s="1">
        <f>+IFERROR(VLOOKUP(F35,'נתוני מים 2014'!$C$2:$L$188,6,0)/1000,0)</f>
        <v>0</v>
      </c>
      <c r="G818" s="1">
        <f>+IFERROR(VLOOKUP(G35,'נתוני מים 2014'!$C$2:$L$188,6,0)/1000,0)</f>
        <v>0</v>
      </c>
      <c r="H818" s="1">
        <f>+IFERROR(VLOOKUP(H35,'נתוני מים 2014'!$C$2:$L$188,6,0)/1000,0)</f>
        <v>0</v>
      </c>
      <c r="I818" s="1">
        <f>+IFERROR(VLOOKUP(I35,'נתוני מים 2014'!$C$2:$L$188,6,0)/1000,0)</f>
        <v>0</v>
      </c>
      <c r="J818" s="1">
        <f>+IFERROR(VLOOKUP(J35,'נתוני מים 2014'!$C$2:$L$188,6,0)/1000,0)</f>
        <v>0</v>
      </c>
      <c r="K818" s="1">
        <f>+IFERROR(VLOOKUP(K35,'נתוני מים 2014'!$C$2:$L$188,6,0)/1000,0)</f>
        <v>0</v>
      </c>
      <c r="L818" s="1">
        <f>+IFERROR(VLOOKUP(L35,'נתוני מים 2014'!$C$2:$L$188,6,0)/1000,0)</f>
        <v>0</v>
      </c>
      <c r="M818" s="1">
        <f>+IFERROR(VLOOKUP(M35,'נתוני מים 2014'!$C$2:$L$188,6,0)/1000,0)</f>
        <v>0</v>
      </c>
      <c r="N818" s="1">
        <f>+IFERROR(VLOOKUP(N35,'נתוני מים 2014'!$C$2:$L$188,6,0)/1000,0)</f>
        <v>0</v>
      </c>
      <c r="O818" s="1">
        <f>+IFERROR(VLOOKUP(O35,'נתוני מים 2014'!$C$2:$L$188,6,0)/1000,0)</f>
        <v>0</v>
      </c>
      <c r="P818" s="1">
        <f>+IFERROR(VLOOKUP(P35,'נתוני מים 2014'!$C$2:$L$188,6,0)/1000,0)</f>
        <v>0</v>
      </c>
      <c r="Q818" s="1">
        <f>+IFERROR(VLOOKUP(Q35,'נתוני מים 2014'!$C$2:$L$188,6,0)/1000,0)</f>
        <v>0</v>
      </c>
      <c r="R818" s="1">
        <f>+IFERROR(VLOOKUP(R35,'נתוני מים 2014'!$C$2:$L$188,6,0)/1000,0)</f>
        <v>0</v>
      </c>
      <c r="S818" s="1">
        <f>+IFERROR(VLOOKUP(S35,'נתוני מים 2014'!$C$2:$L$188,6,0)/1000,0)</f>
        <v>0</v>
      </c>
      <c r="T818" s="1">
        <f>+IFERROR(VLOOKUP(T35,'נתוני מים 2014'!$C$2:$L$188,6,0)/1000,0)</f>
        <v>0</v>
      </c>
      <c r="U818" s="1">
        <f>+IFERROR(VLOOKUP(U35,'נתוני מים 2014'!$C$2:$L$188,6,0)/1000,0)</f>
        <v>0</v>
      </c>
      <c r="V818" s="1">
        <f>+IFERROR(VLOOKUP(V35,'נתוני מים 2014'!$C$2:$L$188,6,0)/1000,0)</f>
        <v>0</v>
      </c>
      <c r="W818" s="1">
        <f>+IFERROR(VLOOKUP(W35,'נתוני מים 2014'!$C$2:$L$188,6,0)/1000,0)</f>
        <v>0</v>
      </c>
      <c r="X818" s="1">
        <f>+IFERROR(VLOOKUP(X35,'נתוני מים 2014'!$C$2:$L$188,6,0)/1000,0)</f>
        <v>0</v>
      </c>
      <c r="Y818" s="1">
        <f>+IFERROR(VLOOKUP(Y35,'נתוני מים 2014'!$C$2:$L$188,6,0)/1000,0)</f>
        <v>0</v>
      </c>
      <c r="Z818" s="1">
        <f>+IFERROR(VLOOKUP(Z35,'נתוני מים 2014'!$C$2:$L$188,6,0)/1000,0)</f>
        <v>0</v>
      </c>
      <c r="AA818" s="1">
        <f>+IFERROR(VLOOKUP(AA35,'נתוני מים 2014'!$C$2:$L$188,6,0)/1000,0)</f>
        <v>0</v>
      </c>
      <c r="AB818" s="1">
        <f>+IFERROR(VLOOKUP(AB35,'נתוני מים 2014'!$C$2:$L$188,6,0)/1000,0)</f>
        <v>0</v>
      </c>
      <c r="AC818" s="1">
        <f>+IFERROR(VLOOKUP(AC35,'נתוני מים 2014'!$C$2:$L$188,6,0)/1000,0)</f>
        <v>0</v>
      </c>
      <c r="AD818" s="1">
        <f>+IFERROR(VLOOKUP(AD35,'נתוני מים 2014'!$C$2:$L$188,6,0)/1000,0)</f>
        <v>0</v>
      </c>
      <c r="AE818" s="1">
        <f>+IFERROR(VLOOKUP(AE35,'נתוני מים 2014'!$C$2:$L$188,6,0)/1000,0)</f>
        <v>0</v>
      </c>
      <c r="AF818" s="1">
        <f>+IFERROR(VLOOKUP(AF35,'נתוני מים 2014'!$C$2:$L$188,6,0)/1000,0)</f>
        <v>0</v>
      </c>
      <c r="AG818" s="1">
        <f>+IFERROR(VLOOKUP(AG35,'נתוני מים 2014'!$C$2:$L$188,6,0)/1000,0)</f>
        <v>0</v>
      </c>
      <c r="AH818" s="1">
        <f>+IFERROR(VLOOKUP(AH35,'נתוני מים 2014'!$C$2:$L$188,6,0)/1000,0)</f>
        <v>0</v>
      </c>
      <c r="AI818" s="1">
        <f>+IFERROR(VLOOKUP(AI35,'נתוני מים 2014'!$C$2:$L$188,6,0)/1000,0)</f>
        <v>0</v>
      </c>
      <c r="AJ818" s="1">
        <f>+IFERROR(VLOOKUP(AJ35,'נתוני מים 2014'!$C$2:$L$188,6,0)/1000,0)</f>
        <v>0</v>
      </c>
      <c r="AK818" s="1">
        <f>+IFERROR(VLOOKUP(AK35,'נתוני מים 2014'!$C$2:$L$188,6,0)/1000,0)</f>
        <v>0</v>
      </c>
      <c r="AL818" s="1">
        <f>+IFERROR(VLOOKUP(AL35,'נתוני מים 2014'!$C$2:$L$188,6,0)/1000,0)</f>
        <v>0</v>
      </c>
      <c r="AM818" s="1">
        <f>+IFERROR(VLOOKUP(AM35,'נתוני מים 2014'!$C$2:$L$188,6,0)/1000,0)</f>
        <v>0</v>
      </c>
      <c r="AN818" s="1">
        <f>+IFERROR(VLOOKUP(AN35,'נתוני מים 2014'!$C$2:$L$188,6,0)/1000,0)</f>
        <v>0</v>
      </c>
      <c r="AO818" s="1">
        <f>+IFERROR(VLOOKUP(AO35,'נתוני מים 2014'!$C$2:$L$188,6,0)/1000,0)</f>
        <v>0</v>
      </c>
      <c r="AP818" s="1">
        <f>+IFERROR(VLOOKUP(AP35,'נתוני מים 2014'!$C$2:$L$188,6,0)/1000,0)</f>
        <v>0</v>
      </c>
      <c r="AQ818" s="1">
        <f>+IFERROR(VLOOKUP(AQ35,'נתוני מים 2014'!$C$2:$L$188,6,0)/1000,0)</f>
        <v>0</v>
      </c>
      <c r="AR818" s="1">
        <f>+IFERROR(VLOOKUP(AR35,'נתוני מים 2014'!$C$2:$L$188,6,0)/1000,0)</f>
        <v>0</v>
      </c>
      <c r="AS818" s="1">
        <f>+IFERROR(VLOOKUP(AS35,'נתוני מים 2014'!$C$2:$L$188,6,0)/1000,0)</f>
        <v>0</v>
      </c>
      <c r="AT818" s="1">
        <f>+IFERROR(VLOOKUP(AT35,'נתוני מים 2014'!$C$2:$L$188,6,0)/1000,0)</f>
        <v>0</v>
      </c>
      <c r="AU818" s="1">
        <f>+IFERROR(VLOOKUP(AU35,'נתוני מים 2014'!$C$2:$L$188,6,0)/1000,0)</f>
        <v>0</v>
      </c>
      <c r="AV818" s="1">
        <f>+IFERROR(VLOOKUP(AV35,'נתוני מים 2014'!$C$2:$L$188,6,0)/1000,0)</f>
        <v>0</v>
      </c>
      <c r="AW818" s="1">
        <f>+IFERROR(VLOOKUP(AW35,'נתוני מים 2014'!$C$2:$L$188,6,0)/1000,0)</f>
        <v>0</v>
      </c>
      <c r="AX818" s="1">
        <f>+IFERROR(VLOOKUP(AX35,'נתוני מים 2014'!$C$2:$L$188,6,0)/1000,0)</f>
        <v>0</v>
      </c>
      <c r="AY818" s="1">
        <f>+IFERROR(VLOOKUP(AY35,'נתוני מים 2014'!$C$2:$L$188,6,0)/1000,0)</f>
        <v>0</v>
      </c>
      <c r="AZ818" s="1">
        <f>+IFERROR(VLOOKUP(AZ35,'נתוני מים 2014'!$C$2:$L$188,6,0)/1000,0)</f>
        <v>0</v>
      </c>
      <c r="BA818" s="1">
        <f>+IFERROR(VLOOKUP(BA35,'נתוני מים 2014'!$C$2:$L$188,6,0)/1000,0)</f>
        <v>0</v>
      </c>
      <c r="BB818" s="1">
        <f>+IFERROR(VLOOKUP(BB35,'נתוני מים 2014'!$C$2:$L$188,6,0)/1000,0)</f>
        <v>0</v>
      </c>
      <c r="BC818" s="1">
        <f>+IFERROR(VLOOKUP(BC35,'נתוני מים 2014'!$C$2:$L$188,6,0)/1000,0)</f>
        <v>0</v>
      </c>
      <c r="BD818" s="1">
        <f>+IFERROR(VLOOKUP(BD35,'נתוני מים 2014'!$C$2:$L$188,6,0)/1000,0)</f>
        <v>0</v>
      </c>
      <c r="BE818" s="1">
        <f>+IFERROR(VLOOKUP(BE35,'נתוני מים 2014'!$C$2:$L$188,6,0)/1000,0)</f>
        <v>0</v>
      </c>
      <c r="BF818" s="1">
        <f>+IFERROR(VLOOKUP(BF35,'נתוני מים 2014'!$C$2:$L$188,6,0)/1000,0)</f>
        <v>0</v>
      </c>
    </row>
    <row r="819" spans="1:58" x14ac:dyDescent="0.2">
      <c r="B819" s="1">
        <v>29</v>
      </c>
      <c r="C819" s="1">
        <f>+IFERROR(VLOOKUP(C36,'נתוני מים 2014'!$C$2:$L$188,6,0)/1000,0)</f>
        <v>0</v>
      </c>
      <c r="D819" s="1">
        <f>+IFERROR(VLOOKUP(D36,'נתוני מים 2014'!$C$2:$L$188,6,0)/1000,0)</f>
        <v>0</v>
      </c>
      <c r="E819" s="1">
        <f>+IFERROR(VLOOKUP(E36,'נתוני מים 2014'!$C$2:$L$188,6,0)/1000,0)</f>
        <v>0</v>
      </c>
      <c r="F819" s="1">
        <f>+IFERROR(VLOOKUP(F36,'נתוני מים 2014'!$C$2:$L$188,6,0)/1000,0)</f>
        <v>0</v>
      </c>
      <c r="G819" s="1">
        <f>+IFERROR(VLOOKUP(G36,'נתוני מים 2014'!$C$2:$L$188,6,0)/1000,0)</f>
        <v>0</v>
      </c>
      <c r="H819" s="1">
        <f>+IFERROR(VLOOKUP(H36,'נתוני מים 2014'!$C$2:$L$188,6,0)/1000,0)</f>
        <v>0</v>
      </c>
      <c r="I819" s="1">
        <f>+IFERROR(VLOOKUP(I36,'נתוני מים 2014'!$C$2:$L$188,6,0)/1000,0)</f>
        <v>0</v>
      </c>
      <c r="J819" s="1">
        <f>+IFERROR(VLOOKUP(J36,'נתוני מים 2014'!$C$2:$L$188,6,0)/1000,0)</f>
        <v>0</v>
      </c>
      <c r="K819" s="1">
        <f>+IFERROR(VLOOKUP(K36,'נתוני מים 2014'!$C$2:$L$188,6,0)/1000,0)</f>
        <v>0</v>
      </c>
      <c r="L819" s="1">
        <f>+IFERROR(VLOOKUP(L36,'נתוני מים 2014'!$C$2:$L$188,6,0)/1000,0)</f>
        <v>0</v>
      </c>
      <c r="M819" s="1">
        <f>+IFERROR(VLOOKUP(M36,'נתוני מים 2014'!$C$2:$L$188,6,0)/1000,0)</f>
        <v>0</v>
      </c>
      <c r="N819" s="1">
        <f>+IFERROR(VLOOKUP(N36,'נתוני מים 2014'!$C$2:$L$188,6,0)/1000,0)</f>
        <v>0</v>
      </c>
      <c r="O819" s="1">
        <f>+IFERROR(VLOOKUP(O36,'נתוני מים 2014'!$C$2:$L$188,6,0)/1000,0)</f>
        <v>0</v>
      </c>
      <c r="P819" s="1">
        <f>+IFERROR(VLOOKUP(P36,'נתוני מים 2014'!$C$2:$L$188,6,0)/1000,0)</f>
        <v>0</v>
      </c>
      <c r="Q819" s="1">
        <f>+IFERROR(VLOOKUP(Q36,'נתוני מים 2014'!$C$2:$L$188,6,0)/1000,0)</f>
        <v>0</v>
      </c>
      <c r="R819" s="1">
        <f>+IFERROR(VLOOKUP(R36,'נתוני מים 2014'!$C$2:$L$188,6,0)/1000,0)</f>
        <v>0</v>
      </c>
      <c r="S819" s="1">
        <f>+IFERROR(VLOOKUP(S36,'נתוני מים 2014'!$C$2:$L$188,6,0)/1000,0)</f>
        <v>0</v>
      </c>
      <c r="T819" s="1">
        <f>+IFERROR(VLOOKUP(T36,'נתוני מים 2014'!$C$2:$L$188,6,0)/1000,0)</f>
        <v>0</v>
      </c>
      <c r="U819" s="1">
        <f>+IFERROR(VLOOKUP(U36,'נתוני מים 2014'!$C$2:$L$188,6,0)/1000,0)</f>
        <v>0</v>
      </c>
      <c r="V819" s="1">
        <f>+IFERROR(VLOOKUP(V36,'נתוני מים 2014'!$C$2:$L$188,6,0)/1000,0)</f>
        <v>0</v>
      </c>
      <c r="W819" s="1">
        <f>+IFERROR(VLOOKUP(W36,'נתוני מים 2014'!$C$2:$L$188,6,0)/1000,0)</f>
        <v>0</v>
      </c>
      <c r="X819" s="1">
        <f>+IFERROR(VLOOKUP(X36,'נתוני מים 2014'!$C$2:$L$188,6,0)/1000,0)</f>
        <v>0</v>
      </c>
      <c r="Y819" s="1">
        <f>+IFERROR(VLOOKUP(Y36,'נתוני מים 2014'!$C$2:$L$188,6,0)/1000,0)</f>
        <v>0</v>
      </c>
      <c r="Z819" s="1">
        <f>+IFERROR(VLOOKUP(Z36,'נתוני מים 2014'!$C$2:$L$188,6,0)/1000,0)</f>
        <v>0</v>
      </c>
      <c r="AA819" s="1">
        <f>+IFERROR(VLOOKUP(AA36,'נתוני מים 2014'!$C$2:$L$188,6,0)/1000,0)</f>
        <v>0</v>
      </c>
      <c r="AB819" s="1">
        <f>+IFERROR(VLOOKUP(AB36,'נתוני מים 2014'!$C$2:$L$188,6,0)/1000,0)</f>
        <v>0</v>
      </c>
      <c r="AC819" s="1">
        <f>+IFERROR(VLOOKUP(AC36,'נתוני מים 2014'!$C$2:$L$188,6,0)/1000,0)</f>
        <v>0</v>
      </c>
      <c r="AD819" s="1">
        <f>+IFERROR(VLOOKUP(AD36,'נתוני מים 2014'!$C$2:$L$188,6,0)/1000,0)</f>
        <v>0</v>
      </c>
      <c r="AE819" s="1">
        <f>+IFERROR(VLOOKUP(AE36,'נתוני מים 2014'!$C$2:$L$188,6,0)/1000,0)</f>
        <v>0</v>
      </c>
      <c r="AF819" s="1">
        <f>+IFERROR(VLOOKUP(AF36,'נתוני מים 2014'!$C$2:$L$188,6,0)/1000,0)</f>
        <v>0</v>
      </c>
      <c r="AG819" s="1">
        <f>+IFERROR(VLOOKUP(AG36,'נתוני מים 2014'!$C$2:$L$188,6,0)/1000,0)</f>
        <v>0</v>
      </c>
      <c r="AH819" s="1">
        <f>+IFERROR(VLOOKUP(AH36,'נתוני מים 2014'!$C$2:$L$188,6,0)/1000,0)</f>
        <v>0</v>
      </c>
      <c r="AI819" s="1">
        <f>+IFERROR(VLOOKUP(AI36,'נתוני מים 2014'!$C$2:$L$188,6,0)/1000,0)</f>
        <v>0</v>
      </c>
      <c r="AJ819" s="1">
        <f>+IFERROR(VLOOKUP(AJ36,'נתוני מים 2014'!$C$2:$L$188,6,0)/1000,0)</f>
        <v>0</v>
      </c>
      <c r="AK819" s="1">
        <f>+IFERROR(VLOOKUP(AK36,'נתוני מים 2014'!$C$2:$L$188,6,0)/1000,0)</f>
        <v>0</v>
      </c>
      <c r="AL819" s="1">
        <f>+IFERROR(VLOOKUP(AL36,'נתוני מים 2014'!$C$2:$L$188,6,0)/1000,0)</f>
        <v>0</v>
      </c>
      <c r="AM819" s="1">
        <f>+IFERROR(VLOOKUP(AM36,'נתוני מים 2014'!$C$2:$L$188,6,0)/1000,0)</f>
        <v>0</v>
      </c>
      <c r="AN819" s="1">
        <f>+IFERROR(VLOOKUP(AN36,'נתוני מים 2014'!$C$2:$L$188,6,0)/1000,0)</f>
        <v>0</v>
      </c>
      <c r="AO819" s="1">
        <f>+IFERROR(VLOOKUP(AO36,'נתוני מים 2014'!$C$2:$L$188,6,0)/1000,0)</f>
        <v>0</v>
      </c>
      <c r="AP819" s="1">
        <f>+IFERROR(VLOOKUP(AP36,'נתוני מים 2014'!$C$2:$L$188,6,0)/1000,0)</f>
        <v>0</v>
      </c>
      <c r="AQ819" s="1">
        <f>+IFERROR(VLOOKUP(AQ36,'נתוני מים 2014'!$C$2:$L$188,6,0)/1000,0)</f>
        <v>0</v>
      </c>
      <c r="AR819" s="1">
        <f>+IFERROR(VLOOKUP(AR36,'נתוני מים 2014'!$C$2:$L$188,6,0)/1000,0)</f>
        <v>0</v>
      </c>
      <c r="AS819" s="1">
        <f>+IFERROR(VLOOKUP(AS36,'נתוני מים 2014'!$C$2:$L$188,6,0)/1000,0)</f>
        <v>0</v>
      </c>
      <c r="AT819" s="1">
        <f>+IFERROR(VLOOKUP(AT36,'נתוני מים 2014'!$C$2:$L$188,6,0)/1000,0)</f>
        <v>0</v>
      </c>
      <c r="AU819" s="1">
        <f>+IFERROR(VLOOKUP(AU36,'נתוני מים 2014'!$C$2:$L$188,6,0)/1000,0)</f>
        <v>0</v>
      </c>
      <c r="AV819" s="1">
        <f>+IFERROR(VLOOKUP(AV36,'נתוני מים 2014'!$C$2:$L$188,6,0)/1000,0)</f>
        <v>0</v>
      </c>
      <c r="AW819" s="1">
        <f>+IFERROR(VLOOKUP(AW36,'נתוני מים 2014'!$C$2:$L$188,6,0)/1000,0)</f>
        <v>0</v>
      </c>
      <c r="AX819" s="1">
        <f>+IFERROR(VLOOKUP(AX36,'נתוני מים 2014'!$C$2:$L$188,6,0)/1000,0)</f>
        <v>0</v>
      </c>
      <c r="AY819" s="1">
        <f>+IFERROR(VLOOKUP(AY36,'נתוני מים 2014'!$C$2:$L$188,6,0)/1000,0)</f>
        <v>0</v>
      </c>
      <c r="AZ819" s="1">
        <f>+IFERROR(VLOOKUP(AZ36,'נתוני מים 2014'!$C$2:$L$188,6,0)/1000,0)</f>
        <v>0</v>
      </c>
      <c r="BA819" s="1">
        <f>+IFERROR(VLOOKUP(BA36,'נתוני מים 2014'!$C$2:$L$188,6,0)/1000,0)</f>
        <v>0</v>
      </c>
      <c r="BB819" s="1">
        <f>+IFERROR(VLOOKUP(BB36,'נתוני מים 2014'!$C$2:$L$188,6,0)/1000,0)</f>
        <v>0</v>
      </c>
      <c r="BC819" s="1">
        <f>+IFERROR(VLOOKUP(BC36,'נתוני מים 2014'!$C$2:$L$188,6,0)/1000,0)</f>
        <v>0</v>
      </c>
      <c r="BD819" s="1">
        <f>+IFERROR(VLOOKUP(BD36,'נתוני מים 2014'!$C$2:$L$188,6,0)/1000,0)</f>
        <v>0</v>
      </c>
      <c r="BE819" s="1">
        <f>+IFERROR(VLOOKUP(BE36,'נתוני מים 2014'!$C$2:$L$188,6,0)/1000,0)</f>
        <v>0</v>
      </c>
      <c r="BF819" s="1">
        <f>+IFERROR(VLOOKUP(BF36,'נתוני מים 2014'!$C$2:$L$188,6,0)/1000,0)</f>
        <v>0</v>
      </c>
    </row>
    <row r="820" spans="1:58" x14ac:dyDescent="0.2">
      <c r="B820" s="1">
        <v>30</v>
      </c>
      <c r="C820" s="1">
        <f>+IFERROR(VLOOKUP(C37,'נתוני מים 2014'!$C$2:$L$188,6,0)/1000,0)</f>
        <v>0</v>
      </c>
      <c r="D820" s="1">
        <f>+IFERROR(VLOOKUP(D37,'נתוני מים 2014'!$C$2:$L$188,6,0)/1000,0)</f>
        <v>0</v>
      </c>
      <c r="E820" s="1">
        <f>+IFERROR(VLOOKUP(E37,'נתוני מים 2014'!$C$2:$L$188,6,0)/1000,0)</f>
        <v>0</v>
      </c>
      <c r="F820" s="1">
        <f>+IFERROR(VLOOKUP(F37,'נתוני מים 2014'!$C$2:$L$188,6,0)/1000,0)</f>
        <v>0</v>
      </c>
      <c r="G820" s="1">
        <f>+IFERROR(VLOOKUP(G37,'נתוני מים 2014'!$C$2:$L$188,6,0)/1000,0)</f>
        <v>0</v>
      </c>
      <c r="H820" s="1">
        <f>+IFERROR(VLOOKUP(H37,'נתוני מים 2014'!$C$2:$L$188,6,0)/1000,0)</f>
        <v>0</v>
      </c>
      <c r="I820" s="1">
        <f>+IFERROR(VLOOKUP(I37,'נתוני מים 2014'!$C$2:$L$188,6,0)/1000,0)</f>
        <v>0</v>
      </c>
      <c r="J820" s="1">
        <f>+IFERROR(VLOOKUP(J37,'נתוני מים 2014'!$C$2:$L$188,6,0)/1000,0)</f>
        <v>0</v>
      </c>
      <c r="K820" s="1">
        <f>+IFERROR(VLOOKUP(K37,'נתוני מים 2014'!$C$2:$L$188,6,0)/1000,0)</f>
        <v>0</v>
      </c>
      <c r="L820" s="1">
        <f>+IFERROR(VLOOKUP(L37,'נתוני מים 2014'!$C$2:$L$188,6,0)/1000,0)</f>
        <v>0</v>
      </c>
      <c r="M820" s="1">
        <f>+IFERROR(VLOOKUP(M37,'נתוני מים 2014'!$C$2:$L$188,6,0)/1000,0)</f>
        <v>0</v>
      </c>
      <c r="N820" s="1">
        <f>+IFERROR(VLOOKUP(N37,'נתוני מים 2014'!$C$2:$L$188,6,0)/1000,0)</f>
        <v>0</v>
      </c>
      <c r="O820" s="1">
        <f>+IFERROR(VLOOKUP(O37,'נתוני מים 2014'!$C$2:$L$188,6,0)/1000,0)</f>
        <v>0</v>
      </c>
      <c r="P820" s="1">
        <f>+IFERROR(VLOOKUP(P37,'נתוני מים 2014'!$C$2:$L$188,6,0)/1000,0)</f>
        <v>0</v>
      </c>
      <c r="Q820" s="1">
        <f>+IFERROR(VLOOKUP(Q37,'נתוני מים 2014'!$C$2:$L$188,6,0)/1000,0)</f>
        <v>0</v>
      </c>
      <c r="R820" s="1">
        <f>+IFERROR(VLOOKUP(R37,'נתוני מים 2014'!$C$2:$L$188,6,0)/1000,0)</f>
        <v>0</v>
      </c>
      <c r="S820" s="1">
        <f>+IFERROR(VLOOKUP(S37,'נתוני מים 2014'!$C$2:$L$188,6,0)/1000,0)</f>
        <v>0</v>
      </c>
      <c r="T820" s="1">
        <f>+IFERROR(VLOOKUP(T37,'נתוני מים 2014'!$C$2:$L$188,6,0)/1000,0)</f>
        <v>0</v>
      </c>
      <c r="U820" s="1">
        <f>+IFERROR(VLOOKUP(U37,'נתוני מים 2014'!$C$2:$L$188,6,0)/1000,0)</f>
        <v>0</v>
      </c>
      <c r="V820" s="1">
        <f>+IFERROR(VLOOKUP(V37,'נתוני מים 2014'!$C$2:$L$188,6,0)/1000,0)</f>
        <v>0</v>
      </c>
      <c r="W820" s="1">
        <f>+IFERROR(VLOOKUP(W37,'נתוני מים 2014'!$C$2:$L$188,6,0)/1000,0)</f>
        <v>0</v>
      </c>
      <c r="X820" s="1">
        <f>+IFERROR(VLOOKUP(X37,'נתוני מים 2014'!$C$2:$L$188,6,0)/1000,0)</f>
        <v>0</v>
      </c>
      <c r="Y820" s="1">
        <f>+IFERROR(VLOOKUP(Y37,'נתוני מים 2014'!$C$2:$L$188,6,0)/1000,0)</f>
        <v>0</v>
      </c>
      <c r="Z820" s="1">
        <f>+IFERROR(VLOOKUP(Z37,'נתוני מים 2014'!$C$2:$L$188,6,0)/1000,0)</f>
        <v>0</v>
      </c>
      <c r="AA820" s="1">
        <f>+IFERROR(VLOOKUP(AA37,'נתוני מים 2014'!$C$2:$L$188,6,0)/1000,0)</f>
        <v>0</v>
      </c>
      <c r="AB820" s="1">
        <f>+IFERROR(VLOOKUP(AB37,'נתוני מים 2014'!$C$2:$L$188,6,0)/1000,0)</f>
        <v>0</v>
      </c>
      <c r="AC820" s="1">
        <f>+IFERROR(VLOOKUP(AC37,'נתוני מים 2014'!$C$2:$L$188,6,0)/1000,0)</f>
        <v>0</v>
      </c>
      <c r="AD820" s="1">
        <f>+IFERROR(VLOOKUP(AD37,'נתוני מים 2014'!$C$2:$L$188,6,0)/1000,0)</f>
        <v>0</v>
      </c>
      <c r="AE820" s="1">
        <f>+IFERROR(VLOOKUP(AE37,'נתוני מים 2014'!$C$2:$L$188,6,0)/1000,0)</f>
        <v>0</v>
      </c>
      <c r="AF820" s="1">
        <f>+IFERROR(VLOOKUP(AF37,'נתוני מים 2014'!$C$2:$L$188,6,0)/1000,0)</f>
        <v>0</v>
      </c>
      <c r="AG820" s="1">
        <f>+IFERROR(VLOOKUP(AG37,'נתוני מים 2014'!$C$2:$L$188,6,0)/1000,0)</f>
        <v>0</v>
      </c>
      <c r="AH820" s="1">
        <f>+IFERROR(VLOOKUP(AH37,'נתוני מים 2014'!$C$2:$L$188,6,0)/1000,0)</f>
        <v>0</v>
      </c>
      <c r="AI820" s="1">
        <f>+IFERROR(VLOOKUP(AI37,'נתוני מים 2014'!$C$2:$L$188,6,0)/1000,0)</f>
        <v>0</v>
      </c>
      <c r="AJ820" s="1">
        <f>+IFERROR(VLOOKUP(AJ37,'נתוני מים 2014'!$C$2:$L$188,6,0)/1000,0)</f>
        <v>0</v>
      </c>
      <c r="AK820" s="1">
        <f>+IFERROR(VLOOKUP(AK37,'נתוני מים 2014'!$C$2:$L$188,6,0)/1000,0)</f>
        <v>0</v>
      </c>
      <c r="AL820" s="1">
        <f>+IFERROR(VLOOKUP(AL37,'נתוני מים 2014'!$C$2:$L$188,6,0)/1000,0)</f>
        <v>0</v>
      </c>
      <c r="AM820" s="1">
        <f>+IFERROR(VLOOKUP(AM37,'נתוני מים 2014'!$C$2:$L$188,6,0)/1000,0)</f>
        <v>0</v>
      </c>
      <c r="AN820" s="1">
        <f>+IFERROR(VLOOKUP(AN37,'נתוני מים 2014'!$C$2:$L$188,6,0)/1000,0)</f>
        <v>0</v>
      </c>
      <c r="AO820" s="1">
        <f>+IFERROR(VLOOKUP(AO37,'נתוני מים 2014'!$C$2:$L$188,6,0)/1000,0)</f>
        <v>0</v>
      </c>
      <c r="AP820" s="1">
        <f>+IFERROR(VLOOKUP(AP37,'נתוני מים 2014'!$C$2:$L$188,6,0)/1000,0)</f>
        <v>0</v>
      </c>
      <c r="AQ820" s="1">
        <f>+IFERROR(VLOOKUP(AQ37,'נתוני מים 2014'!$C$2:$L$188,6,0)/1000,0)</f>
        <v>0</v>
      </c>
      <c r="AR820" s="1">
        <f>+IFERROR(VLOOKUP(AR37,'נתוני מים 2014'!$C$2:$L$188,6,0)/1000,0)</f>
        <v>0</v>
      </c>
      <c r="AS820" s="1">
        <f>+IFERROR(VLOOKUP(AS37,'נתוני מים 2014'!$C$2:$L$188,6,0)/1000,0)</f>
        <v>0</v>
      </c>
      <c r="AT820" s="1">
        <f>+IFERROR(VLOOKUP(AT37,'נתוני מים 2014'!$C$2:$L$188,6,0)/1000,0)</f>
        <v>0</v>
      </c>
      <c r="AU820" s="1">
        <f>+IFERROR(VLOOKUP(AU37,'נתוני מים 2014'!$C$2:$L$188,6,0)/1000,0)</f>
        <v>0</v>
      </c>
      <c r="AV820" s="1">
        <f>+IFERROR(VLOOKUP(AV37,'נתוני מים 2014'!$C$2:$L$188,6,0)/1000,0)</f>
        <v>0</v>
      </c>
      <c r="AW820" s="1">
        <f>+IFERROR(VLOOKUP(AW37,'נתוני מים 2014'!$C$2:$L$188,6,0)/1000,0)</f>
        <v>0</v>
      </c>
      <c r="AX820" s="1">
        <f>+IFERROR(VLOOKUP(AX37,'נתוני מים 2014'!$C$2:$L$188,6,0)/1000,0)</f>
        <v>0</v>
      </c>
      <c r="AY820" s="1">
        <f>+IFERROR(VLOOKUP(AY37,'נתוני מים 2014'!$C$2:$L$188,6,0)/1000,0)</f>
        <v>0</v>
      </c>
      <c r="AZ820" s="1">
        <f>+IFERROR(VLOOKUP(AZ37,'נתוני מים 2014'!$C$2:$L$188,6,0)/1000,0)</f>
        <v>0</v>
      </c>
      <c r="BA820" s="1">
        <f>+IFERROR(VLOOKUP(BA37,'נתוני מים 2014'!$C$2:$L$188,6,0)/1000,0)</f>
        <v>0</v>
      </c>
      <c r="BB820" s="1">
        <f>+IFERROR(VLOOKUP(BB37,'נתוני מים 2014'!$C$2:$L$188,6,0)/1000,0)</f>
        <v>0</v>
      </c>
      <c r="BC820" s="1">
        <f>+IFERROR(VLOOKUP(BC37,'נתוני מים 2014'!$C$2:$L$188,6,0)/1000,0)</f>
        <v>0</v>
      </c>
      <c r="BD820" s="1">
        <f>+IFERROR(VLOOKUP(BD37,'נתוני מים 2014'!$C$2:$L$188,6,0)/1000,0)</f>
        <v>0</v>
      </c>
      <c r="BE820" s="1">
        <f>+IFERROR(VLOOKUP(BE37,'נתוני מים 2014'!$C$2:$L$188,6,0)/1000,0)</f>
        <v>0</v>
      </c>
      <c r="BF820" s="1">
        <f>+IFERROR(VLOOKUP(BF37,'נתוני מים 2014'!$C$2:$L$188,6,0)/1000,0)</f>
        <v>0</v>
      </c>
    </row>
    <row r="822" spans="1:58" x14ac:dyDescent="0.2">
      <c r="A822" s="1228" t="s">
        <v>1571</v>
      </c>
      <c r="C822" s="1">
        <f>SUM(C791:C821)</f>
        <v>13655.597</v>
      </c>
      <c r="D822" s="1">
        <f t="shared" ref="D822:BF822" si="199">SUM(D791:D821)</f>
        <v>2616.3609999999999</v>
      </c>
      <c r="E822" s="1">
        <f t="shared" si="199"/>
        <v>10506.584999999999</v>
      </c>
      <c r="F822" s="1">
        <f t="shared" si="199"/>
        <v>1121.9259999999999</v>
      </c>
      <c r="G822" s="1">
        <f t="shared" si="199"/>
        <v>4543.1109999999999</v>
      </c>
      <c r="H822" s="1">
        <f t="shared" si="199"/>
        <v>33148.267</v>
      </c>
      <c r="I822" s="1">
        <f t="shared" si="199"/>
        <v>12981.391</v>
      </c>
      <c r="J822" s="1">
        <f t="shared" si="199"/>
        <v>3759.74</v>
      </c>
      <c r="K822" s="1">
        <f t="shared" si="199"/>
        <v>5162.4470000000001</v>
      </c>
      <c r="L822" s="1">
        <f t="shared" si="199"/>
        <v>2451.451</v>
      </c>
      <c r="M822" s="1">
        <f t="shared" si="199"/>
        <v>10176.243</v>
      </c>
      <c r="N822" s="1">
        <f t="shared" si="199"/>
        <v>12024.381000000001</v>
      </c>
      <c r="O822" s="1">
        <f t="shared" si="199"/>
        <v>12867.956999999999</v>
      </c>
      <c r="P822" s="1">
        <f t="shared" si="199"/>
        <v>5486.0290000000005</v>
      </c>
      <c r="Q822" s="1">
        <f t="shared" si="199"/>
        <v>7385.174</v>
      </c>
      <c r="R822" s="1">
        <f t="shared" si="199"/>
        <v>3875.6149999999998</v>
      </c>
      <c r="S822" s="1">
        <f t="shared" si="199"/>
        <v>3351.3409999999999</v>
      </c>
      <c r="T822" s="1">
        <f t="shared" si="199"/>
        <v>5661.3209999999999</v>
      </c>
      <c r="U822" s="1">
        <f t="shared" si="199"/>
        <v>4647.0290000000005</v>
      </c>
      <c r="V822" s="1">
        <f t="shared" si="199"/>
        <v>3200.8850000000002</v>
      </c>
      <c r="W822" s="1">
        <f t="shared" si="199"/>
        <v>5680.3170000000009</v>
      </c>
      <c r="X822" s="1">
        <f t="shared" si="199"/>
        <v>5817.244999999999</v>
      </c>
      <c r="Y822" s="1">
        <f t="shared" si="199"/>
        <v>1877.029</v>
      </c>
      <c r="Z822" s="1">
        <f t="shared" si="199"/>
        <v>2735.971</v>
      </c>
      <c r="AA822" s="1">
        <f t="shared" si="199"/>
        <v>4159.3819999999996</v>
      </c>
      <c r="AB822" s="1">
        <f t="shared" si="199"/>
        <v>2314.6909999999998</v>
      </c>
      <c r="AC822" s="1">
        <f t="shared" si="199"/>
        <v>7016.8329999999996</v>
      </c>
      <c r="AD822" s="1">
        <f t="shared" si="199"/>
        <v>3271.636</v>
      </c>
      <c r="AE822" s="1">
        <f t="shared" si="199"/>
        <v>12027.992</v>
      </c>
      <c r="AF822" s="1">
        <f t="shared" si="199"/>
        <v>3372.4279999999999</v>
      </c>
      <c r="AG822" s="1">
        <f t="shared" si="199"/>
        <v>2091.6770000000001</v>
      </c>
      <c r="AH822" s="1">
        <f t="shared" si="199"/>
        <v>2339.6489999999999</v>
      </c>
      <c r="AI822" s="1">
        <f t="shared" si="199"/>
        <v>2530.5540000000001</v>
      </c>
      <c r="AJ822" s="1">
        <f t="shared" si="199"/>
        <v>2402.5140000000001</v>
      </c>
      <c r="AK822" s="1">
        <f t="shared" si="199"/>
        <v>1976.7729999999999</v>
      </c>
      <c r="AL822" s="1">
        <f t="shared" si="199"/>
        <v>27144.655999999999</v>
      </c>
      <c r="AM822" s="1">
        <f t="shared" si="199"/>
        <v>4163.5009999999993</v>
      </c>
      <c r="AN822" s="1">
        <f t="shared" si="199"/>
        <v>2894.42</v>
      </c>
      <c r="AO822" s="1">
        <f t="shared" si="199"/>
        <v>8643.15</v>
      </c>
      <c r="AP822" s="1">
        <f t="shared" si="199"/>
        <v>3089.4780000000001</v>
      </c>
      <c r="AQ822" s="1">
        <f t="shared" si="199"/>
        <v>6391.0119999999997</v>
      </c>
      <c r="AR822" s="1">
        <f t="shared" si="199"/>
        <v>3881.4850000000001</v>
      </c>
      <c r="AS822" s="1">
        <f t="shared" si="199"/>
        <v>7032.9759999999987</v>
      </c>
      <c r="AT822" s="1">
        <f t="shared" si="199"/>
        <v>3804.076</v>
      </c>
      <c r="AU822" s="1">
        <f t="shared" si="199"/>
        <v>3181.029</v>
      </c>
      <c r="AV822" s="1">
        <f t="shared" si="199"/>
        <v>7853.9920000000002</v>
      </c>
      <c r="AW822" s="1">
        <f t="shared" si="199"/>
        <v>2126.3539999999998</v>
      </c>
      <c r="AX822" s="1">
        <f t="shared" si="199"/>
        <v>2668.2460000000001</v>
      </c>
      <c r="AY822" s="1">
        <f t="shared" si="199"/>
        <v>1816.7049999999999</v>
      </c>
      <c r="AZ822" s="1">
        <f t="shared" si="199"/>
        <v>3907.0619999999999</v>
      </c>
      <c r="BA822" s="1">
        <f t="shared" si="199"/>
        <v>3558.0990000000002</v>
      </c>
      <c r="BB822" s="1">
        <f t="shared" si="199"/>
        <v>3442.6239999999998</v>
      </c>
      <c r="BC822" s="1">
        <f t="shared" si="199"/>
        <v>4653.4380000000001</v>
      </c>
      <c r="BD822" s="1">
        <f t="shared" si="199"/>
        <v>754.89</v>
      </c>
      <c r="BE822" s="1">
        <f t="shared" si="199"/>
        <v>931.44500000000005</v>
      </c>
      <c r="BF822" s="1">
        <f t="shared" si="199"/>
        <v>6870.5709999999999</v>
      </c>
    </row>
    <row r="825" spans="1:58" x14ac:dyDescent="0.2">
      <c r="A825" s="1228" t="s">
        <v>292</v>
      </c>
      <c r="B825" s="1">
        <v>1</v>
      </c>
      <c r="C825" s="1">
        <f>+IFERROR(VLOOKUP(C8,'נתוני מים 2014'!$C$2:$L$188,3,0)/1000,0)</f>
        <v>8395.6299999999992</v>
      </c>
      <c r="D825" s="1">
        <f>+IFERROR(VLOOKUP(D8,'נתוני מים 2014'!$C$2:$L$188,3,0)/1000,0)</f>
        <v>0</v>
      </c>
      <c r="E825" s="1">
        <f>+IFERROR(VLOOKUP(E8,'נתוני מים 2014'!$C$2:$L$188,3,0)/1000,0)</f>
        <v>5978.83</v>
      </c>
      <c r="F825" s="1">
        <f>+IFERROR(VLOOKUP(F8,'נתוני מים 2014'!$C$2:$L$188,3,0)/1000,0)</f>
        <v>0</v>
      </c>
      <c r="G825" s="1">
        <f>+IFERROR(VLOOKUP(G8,'נתוני מים 2014'!$C$2:$L$188,3,0)/1000,0)</f>
        <v>0</v>
      </c>
      <c r="H825" s="1">
        <f>+IFERROR(VLOOKUP(H8,'נתוני מים 2014'!$C$2:$L$188,3,0)/1000,0)</f>
        <v>0</v>
      </c>
      <c r="I825" s="1">
        <f>+IFERROR(VLOOKUP(I8,'נתוני מים 2014'!$C$2:$L$188,3,0)/1000,0)</f>
        <v>10106.977000000001</v>
      </c>
      <c r="J825" s="1">
        <f>+IFERROR(VLOOKUP(J8,'נתוני מים 2014'!$C$2:$L$188,3,0)/1000,0)</f>
        <v>0</v>
      </c>
      <c r="K825" s="1">
        <f>+IFERROR(VLOOKUP(K8,'נתוני מים 2014'!$C$2:$L$188,3,0)/1000,0)</f>
        <v>0</v>
      </c>
      <c r="L825" s="1">
        <f>+IFERROR(VLOOKUP(L8,'נתוני מים 2014'!$C$2:$L$188,3,0)/1000,0)</f>
        <v>4179.84</v>
      </c>
      <c r="M825" s="1">
        <f>+IFERROR(VLOOKUP(M8,'נתוני מים 2014'!$C$2:$L$188,3,0)/1000,0)</f>
        <v>358.3</v>
      </c>
      <c r="N825" s="1">
        <f>+IFERROR(VLOOKUP(N8,'נתוני מים 2014'!$C$2:$L$188,3,0)/1000,0)</f>
        <v>0</v>
      </c>
      <c r="O825" s="1">
        <f>+IFERROR(VLOOKUP(O8,'נתוני מים 2014'!$C$2:$L$188,3,0)/1000,0)</f>
        <v>0</v>
      </c>
      <c r="P825" s="1">
        <f>+IFERROR(VLOOKUP(P8,'נתוני מים 2014'!$C$2:$L$188,3,0)/1000,0)</f>
        <v>0</v>
      </c>
      <c r="Q825" s="1">
        <f>+IFERROR(VLOOKUP(Q8,'נתוני מים 2014'!$C$2:$L$188,3,0)/1000,0)</f>
        <v>3214.047</v>
      </c>
      <c r="R825" s="1">
        <f>+IFERROR(VLOOKUP(R8,'נתוני מים 2014'!$C$2:$L$188,3,0)/1000,0)</f>
        <v>2012.6479999999999</v>
      </c>
      <c r="S825" s="1">
        <f>+IFERROR(VLOOKUP(S8,'נתוני מים 2014'!$C$2:$L$188,3,0)/1000,0)</f>
        <v>0</v>
      </c>
      <c r="T825" s="1">
        <f>+IFERROR(VLOOKUP(T8,'נתוני מים 2014'!$C$2:$L$188,3,0)/1000,0)</f>
        <v>0</v>
      </c>
      <c r="U825" s="1">
        <f>+IFERROR(VLOOKUP(U8,'נתוני מים 2014'!$C$2:$L$188,3,0)/1000,0)</f>
        <v>2528.88</v>
      </c>
      <c r="V825" s="1">
        <f>+IFERROR(VLOOKUP(V8,'נתוני מים 2014'!$C$2:$L$188,3,0)/1000,0)</f>
        <v>0</v>
      </c>
      <c r="W825" s="1">
        <f>+IFERROR(VLOOKUP(W8,'נתוני מים 2014'!$C$2:$L$188,3,0)/1000,0)</f>
        <v>0</v>
      </c>
      <c r="X825" s="1">
        <f>+IFERROR(VLOOKUP(X8,'נתוני מים 2014'!$C$2:$L$188,3,0)/1000,0)</f>
        <v>0</v>
      </c>
      <c r="Y825" s="1">
        <f>+IFERROR(VLOOKUP(Y8,'נתוני מים 2014'!$C$2:$L$188,3,0)/1000,0)</f>
        <v>0</v>
      </c>
      <c r="Z825" s="1">
        <f>+IFERROR(VLOOKUP(Z8,'נתוני מים 2014'!$C$2:$L$188,3,0)/1000,0)</f>
        <v>0</v>
      </c>
      <c r="AA825" s="1">
        <f>+IFERROR(VLOOKUP(AA8,'נתוני מים 2014'!$C$2:$L$188,3,0)/1000,0)</f>
        <v>4157.9780000000001</v>
      </c>
      <c r="AB825" s="1">
        <f>+IFERROR(VLOOKUP(AB8,'נתוני מים 2014'!$C$2:$L$188,3,0)/1000,0)</f>
        <v>0</v>
      </c>
      <c r="AC825" s="1">
        <f>+IFERROR(VLOOKUP(AC8,'נתוני מים 2014'!$C$2:$L$188,3,0)/1000,0)</f>
        <v>3170.33</v>
      </c>
      <c r="AD825" s="1">
        <f>+IFERROR(VLOOKUP(AD8,'נתוני מים 2014'!$C$2:$L$188,3,0)/1000,0)</f>
        <v>0</v>
      </c>
      <c r="AE825" s="1">
        <f>+IFERROR(VLOOKUP(AE8,'נתוני מים 2014'!$C$2:$L$188,3,0)/1000,0)</f>
        <v>0</v>
      </c>
      <c r="AF825" s="1">
        <f>+IFERROR(VLOOKUP(AF8,'נתוני מים 2014'!$C$2:$L$188,3,0)/1000,0)</f>
        <v>0</v>
      </c>
      <c r="AG825" s="1">
        <f>+IFERROR(VLOOKUP(AG8,'נתוני מים 2014'!$C$2:$L$188,3,0)/1000,0)</f>
        <v>0</v>
      </c>
      <c r="AH825" s="1">
        <f>+IFERROR(VLOOKUP(AH8,'נתוני מים 2014'!$C$2:$L$188,3,0)/1000,0)</f>
        <v>0</v>
      </c>
      <c r="AI825" s="1">
        <f>+IFERROR(VLOOKUP(AI8,'נתוני מים 2014'!$C$2:$L$188,3,0)/1000,0)</f>
        <v>0</v>
      </c>
      <c r="AJ825" s="1">
        <f>+IFERROR(VLOOKUP(AJ8,'נתוני מים 2014'!$C$2:$L$188,3,0)/1000,0)</f>
        <v>0</v>
      </c>
      <c r="AK825" s="1">
        <f>+IFERROR(VLOOKUP(AK8,'נתוני מים 2014'!$C$2:$L$188,3,0)/1000,0)</f>
        <v>0</v>
      </c>
      <c r="AL825" s="1">
        <f>+IFERROR(VLOOKUP(AL8,'נתוני מים 2014'!$C$2:$L$188,3,0)/1000,0)</f>
        <v>2880.26</v>
      </c>
      <c r="AM825" s="1">
        <f>+IFERROR(VLOOKUP(AM8,'נתוני מים 2014'!$C$2:$L$188,3,0)/1000,0)</f>
        <v>0</v>
      </c>
      <c r="AN825" s="1">
        <f>+IFERROR(VLOOKUP(AN8,'נתוני מים 2014'!$C$2:$L$188,3,0)/1000,0)</f>
        <v>0</v>
      </c>
      <c r="AO825" s="1">
        <f>+IFERROR(VLOOKUP(AO8,'נתוני מים 2014'!$C$2:$L$188,3,0)/1000,0)</f>
        <v>4300.45</v>
      </c>
      <c r="AP825" s="1">
        <f>+IFERROR(VLOOKUP(AP8,'נתוני מים 2014'!$C$2:$L$188,3,0)/1000,0)</f>
        <v>1552.9</v>
      </c>
      <c r="AQ825" s="1">
        <f>+IFERROR(VLOOKUP(AQ8,'נתוני מים 2014'!$C$2:$L$188,3,0)/1000,0)</f>
        <v>5761.5619999999999</v>
      </c>
      <c r="AR825" s="1">
        <f>+IFERROR(VLOOKUP(AR8,'נתוני מים 2014'!$C$2:$L$188,3,0)/1000,0)</f>
        <v>718.62900000000002</v>
      </c>
      <c r="AS825" s="1">
        <f>+IFERROR(VLOOKUP(AS8,'נתוני מים 2014'!$C$2:$L$188,3,0)/1000,0)</f>
        <v>0</v>
      </c>
      <c r="AT825" s="1">
        <f>+IFERROR(VLOOKUP(AT8,'נתוני מים 2014'!$C$2:$L$188,3,0)/1000,0)</f>
        <v>0</v>
      </c>
      <c r="AU825" s="1">
        <f>+IFERROR(VLOOKUP(AU8,'נתוני מים 2014'!$C$2:$L$188,3,0)/1000,0)</f>
        <v>0</v>
      </c>
      <c r="AV825" s="1">
        <f>+IFERROR(VLOOKUP(AV8,'נתוני מים 2014'!$C$2:$L$188,3,0)/1000,0)</f>
        <v>0</v>
      </c>
      <c r="AW825" s="1">
        <f>+IFERROR(VLOOKUP(AW8,'נתוני מים 2014'!$C$2:$L$188,3,0)/1000,0)</f>
        <v>0</v>
      </c>
      <c r="AX825" s="1">
        <f>+IFERROR(VLOOKUP(AX8,'נתוני מים 2014'!$C$2:$L$188,3,0)/1000,0)</f>
        <v>0</v>
      </c>
      <c r="AY825" s="1">
        <f>+IFERROR(VLOOKUP(AY8,'נתוני מים 2014'!$C$2:$L$188,3,0)/1000,0)</f>
        <v>0</v>
      </c>
      <c r="AZ825" s="1">
        <f>+IFERROR(VLOOKUP(AZ8,'נתוני מים 2014'!$C$2:$L$188,3,0)/1000,0)</f>
        <v>0</v>
      </c>
      <c r="BA825" s="1">
        <f>+IFERROR(VLOOKUP(BA8,'נתוני מים 2014'!$C$2:$L$188,3,0)/1000,0)</f>
        <v>0</v>
      </c>
      <c r="BB825" s="1">
        <f>+IFERROR(VLOOKUP(BB8,'נתוני מים 2014'!$C$2:$L$188,3,0)/1000,0)</f>
        <v>0</v>
      </c>
      <c r="BC825" s="1">
        <f>+IFERROR(VLOOKUP(BC8,'נתוני מים 2014'!$C$2:$L$188,3,0)/1000,0)</f>
        <v>0</v>
      </c>
      <c r="BD825" s="1">
        <f>+IFERROR(VLOOKUP(BD8,'נתוני מים 2014'!$C$2:$L$188,3,0)/1000,0)</f>
        <v>0</v>
      </c>
      <c r="BE825" s="1">
        <f>+IFERROR(VLOOKUP(BE8,'נתוני מים 2014'!$C$2:$L$188,3,0)/1000,0)</f>
        <v>0</v>
      </c>
      <c r="BF825" s="1">
        <f>+IFERROR(VLOOKUP(BF8,'נתוני מים 2014'!$C$2:$L$188,3,0)/1000,0)</f>
        <v>3201</v>
      </c>
    </row>
    <row r="826" spans="1:58" x14ac:dyDescent="0.2">
      <c r="B826" s="1">
        <v>2</v>
      </c>
      <c r="C826" s="1">
        <f>+IFERROR(VLOOKUP(C9,'נתוני מים 2014'!$C$2:$L$188,3,0)/1000,0)</f>
        <v>0</v>
      </c>
      <c r="D826" s="1">
        <f>+IFERROR(VLOOKUP(D9,'נתוני מים 2014'!$C$2:$L$188,3,0)/1000,0)</f>
        <v>0</v>
      </c>
      <c r="E826" s="1">
        <f>+IFERROR(VLOOKUP(E9,'נתוני מים 2014'!$C$2:$L$188,3,0)/1000,0)</f>
        <v>0</v>
      </c>
      <c r="F826" s="1">
        <f>+IFERROR(VLOOKUP(F9,'נתוני מים 2014'!$C$2:$L$188,3,0)/1000,0)</f>
        <v>0</v>
      </c>
      <c r="G826" s="1">
        <f>+IFERROR(VLOOKUP(G9,'נתוני מים 2014'!$C$2:$L$188,3,0)/1000,0)</f>
        <v>0</v>
      </c>
      <c r="H826" s="1">
        <f>+IFERROR(VLOOKUP(H9,'נתוני מים 2014'!$C$2:$L$188,3,0)/1000,0)</f>
        <v>0</v>
      </c>
      <c r="I826" s="1">
        <f>+IFERROR(VLOOKUP(I9,'נתוני מים 2014'!$C$2:$L$188,3,0)/1000,0)</f>
        <v>0</v>
      </c>
      <c r="J826" s="1">
        <f>+IFERROR(VLOOKUP(J9,'נתוני מים 2014'!$C$2:$L$188,3,0)/1000,0)</f>
        <v>0</v>
      </c>
      <c r="K826" s="1">
        <f>+IFERROR(VLOOKUP(K9,'נתוני מים 2014'!$C$2:$L$188,3,0)/1000,0)</f>
        <v>0</v>
      </c>
      <c r="L826" s="1">
        <f>+IFERROR(VLOOKUP(L9,'נתוני מים 2014'!$C$2:$L$188,3,0)/1000,0)</f>
        <v>0</v>
      </c>
      <c r="M826" s="1">
        <f>+IFERROR(VLOOKUP(M9,'נתוני מים 2014'!$C$2:$L$188,3,0)/1000,0)</f>
        <v>0</v>
      </c>
      <c r="N826" s="1">
        <f>+IFERROR(VLOOKUP(N9,'נתוני מים 2014'!$C$2:$L$188,3,0)/1000,0)</f>
        <v>0</v>
      </c>
      <c r="O826" s="1">
        <f>+IFERROR(VLOOKUP(O9,'נתוני מים 2014'!$C$2:$L$188,3,0)/1000,0)</f>
        <v>0</v>
      </c>
      <c r="P826" s="1">
        <f>+IFERROR(VLOOKUP(P9,'נתוני מים 2014'!$C$2:$L$188,3,0)/1000,0)</f>
        <v>0</v>
      </c>
      <c r="Q826" s="1">
        <f>+IFERROR(VLOOKUP(Q9,'נתוני מים 2014'!$C$2:$L$188,3,0)/1000,0)</f>
        <v>0</v>
      </c>
      <c r="R826" s="1">
        <f>+IFERROR(VLOOKUP(R9,'נתוני מים 2014'!$C$2:$L$188,3,0)/1000,0)</f>
        <v>0</v>
      </c>
      <c r="S826" s="1">
        <f>+IFERROR(VLOOKUP(S9,'נתוני מים 2014'!$C$2:$L$188,3,0)/1000,0)</f>
        <v>0</v>
      </c>
      <c r="T826" s="1">
        <f>+IFERROR(VLOOKUP(T9,'נתוני מים 2014'!$C$2:$L$188,3,0)/1000,0)</f>
        <v>0</v>
      </c>
      <c r="U826" s="1">
        <f>+IFERROR(VLOOKUP(U9,'נתוני מים 2014'!$C$2:$L$188,3,0)/1000,0)</f>
        <v>0</v>
      </c>
      <c r="V826" s="1">
        <f>+IFERROR(VLOOKUP(V9,'נתוני מים 2014'!$C$2:$L$188,3,0)/1000,0)</f>
        <v>0</v>
      </c>
      <c r="W826" s="1">
        <f>+IFERROR(VLOOKUP(W9,'נתוני מים 2014'!$C$2:$L$188,3,0)/1000,0)</f>
        <v>0</v>
      </c>
      <c r="X826" s="1">
        <f>+IFERROR(VLOOKUP(X9,'נתוני מים 2014'!$C$2:$L$188,3,0)/1000,0)</f>
        <v>0</v>
      </c>
      <c r="Y826" s="1">
        <f>+IFERROR(VLOOKUP(Y9,'נתוני מים 2014'!$C$2:$L$188,3,0)/1000,0)</f>
        <v>0</v>
      </c>
      <c r="Z826" s="1">
        <f>+IFERROR(VLOOKUP(Z9,'נתוני מים 2014'!$C$2:$L$188,3,0)/1000,0)</f>
        <v>0</v>
      </c>
      <c r="AA826" s="1">
        <f>+IFERROR(VLOOKUP(AA9,'נתוני מים 2014'!$C$2:$L$188,3,0)/1000,0)</f>
        <v>0</v>
      </c>
      <c r="AB826" s="1">
        <f>+IFERROR(VLOOKUP(AB9,'נתוני מים 2014'!$C$2:$L$188,3,0)/1000,0)</f>
        <v>0</v>
      </c>
      <c r="AC826" s="1">
        <f>+IFERROR(VLOOKUP(AC9,'נתוני מים 2014'!$C$2:$L$188,3,0)/1000,0)</f>
        <v>0</v>
      </c>
      <c r="AD826" s="1">
        <f>+IFERROR(VLOOKUP(AD9,'נתוני מים 2014'!$C$2:$L$188,3,0)/1000,0)</f>
        <v>0</v>
      </c>
      <c r="AE826" s="1">
        <f>+IFERROR(VLOOKUP(AE9,'נתוני מים 2014'!$C$2:$L$188,3,0)/1000,0)</f>
        <v>0</v>
      </c>
      <c r="AF826" s="1">
        <f>+IFERROR(VLOOKUP(AF9,'נתוני מים 2014'!$C$2:$L$188,3,0)/1000,0)</f>
        <v>704.45</v>
      </c>
      <c r="AG826" s="1">
        <f>+IFERROR(VLOOKUP(AG9,'נתוני מים 2014'!$C$2:$L$188,3,0)/1000,0)</f>
        <v>0</v>
      </c>
      <c r="AH826" s="1">
        <f>+IFERROR(VLOOKUP(AH9,'נתוני מים 2014'!$C$2:$L$188,3,0)/1000,0)</f>
        <v>0</v>
      </c>
      <c r="AI826" s="1">
        <f>+IFERROR(VLOOKUP(AI9,'נתוני מים 2014'!$C$2:$L$188,3,0)/1000,0)</f>
        <v>0</v>
      </c>
      <c r="AJ826" s="1">
        <f>+IFERROR(VLOOKUP(AJ9,'נתוני מים 2014'!$C$2:$L$188,3,0)/1000,0)</f>
        <v>0</v>
      </c>
      <c r="AK826" s="1">
        <f>+IFERROR(VLOOKUP(AK9,'נתוני מים 2014'!$C$2:$L$188,3,0)/1000,0)</f>
        <v>0</v>
      </c>
      <c r="AL826" s="1">
        <f>+IFERROR(VLOOKUP(AL9,'נתוני מים 2014'!$C$2:$L$188,3,0)/1000,0)</f>
        <v>0</v>
      </c>
      <c r="AM826" s="1">
        <f>+IFERROR(VLOOKUP(AM9,'נתוני מים 2014'!$C$2:$L$188,3,0)/1000,0)</f>
        <v>318.47000000000003</v>
      </c>
      <c r="AN826" s="1">
        <f>+IFERROR(VLOOKUP(AN9,'נתוני מים 2014'!$C$2:$L$188,3,0)/1000,0)</f>
        <v>0</v>
      </c>
      <c r="AO826" s="1">
        <f>+IFERROR(VLOOKUP(AO9,'נתוני מים 2014'!$C$2:$L$188,3,0)/1000,0)</f>
        <v>0</v>
      </c>
      <c r="AP826" s="1">
        <f>+IFERROR(VLOOKUP(AP9,'נתוני מים 2014'!$C$2:$L$188,3,0)/1000,0)</f>
        <v>0</v>
      </c>
      <c r="AQ826" s="1">
        <f>+IFERROR(VLOOKUP(AQ9,'נתוני מים 2014'!$C$2:$L$188,3,0)/1000,0)</f>
        <v>0</v>
      </c>
      <c r="AR826" s="1">
        <f>+IFERROR(VLOOKUP(AR9,'נתוני מים 2014'!$C$2:$L$188,3,0)/1000,0)</f>
        <v>0</v>
      </c>
      <c r="AS826" s="1">
        <f>+IFERROR(VLOOKUP(AS9,'נתוני מים 2014'!$C$2:$L$188,3,0)/1000,0)</f>
        <v>0</v>
      </c>
      <c r="AT826" s="1">
        <f>+IFERROR(VLOOKUP(AT9,'נתוני מים 2014'!$C$2:$L$188,3,0)/1000,0)</f>
        <v>0</v>
      </c>
      <c r="AU826" s="1">
        <f>+IFERROR(VLOOKUP(AU9,'נתוני מים 2014'!$C$2:$L$188,3,0)/1000,0)</f>
        <v>0</v>
      </c>
      <c r="AV826" s="1">
        <f>+IFERROR(VLOOKUP(AV9,'נתוני מים 2014'!$C$2:$L$188,3,0)/1000,0)</f>
        <v>0</v>
      </c>
      <c r="AW826" s="1">
        <f>+IFERROR(VLOOKUP(AW9,'נתוני מים 2014'!$C$2:$L$188,3,0)/1000,0)</f>
        <v>0</v>
      </c>
      <c r="AX826" s="1">
        <f>+IFERROR(VLOOKUP(AX9,'נתוני מים 2014'!$C$2:$L$188,3,0)/1000,0)</f>
        <v>1179.5</v>
      </c>
      <c r="AY826" s="1">
        <f>+IFERROR(VLOOKUP(AY9,'נתוני מים 2014'!$C$2:$L$188,3,0)/1000,0)</f>
        <v>0</v>
      </c>
      <c r="AZ826" s="1">
        <f>+IFERROR(VLOOKUP(AZ9,'נתוני מים 2014'!$C$2:$L$188,3,0)/1000,0)</f>
        <v>0</v>
      </c>
      <c r="BA826" s="1">
        <f>+IFERROR(VLOOKUP(BA9,'נתוני מים 2014'!$C$2:$L$188,3,0)/1000,0)</f>
        <v>0</v>
      </c>
      <c r="BB826" s="1">
        <f>+IFERROR(VLOOKUP(BB9,'נתוני מים 2014'!$C$2:$L$188,3,0)/1000,0)</f>
        <v>0</v>
      </c>
      <c r="BC826" s="1">
        <f>+IFERROR(VLOOKUP(BC9,'נתוני מים 2014'!$C$2:$L$188,3,0)/1000,0)</f>
        <v>0</v>
      </c>
      <c r="BD826" s="1">
        <f>+IFERROR(VLOOKUP(BD9,'נתוני מים 2014'!$C$2:$L$188,3,0)/1000,0)</f>
        <v>0</v>
      </c>
      <c r="BE826" s="1">
        <f>+IFERROR(VLOOKUP(BE9,'נתוני מים 2014'!$C$2:$L$188,3,0)/1000,0)</f>
        <v>0</v>
      </c>
      <c r="BF826" s="1">
        <f>+IFERROR(VLOOKUP(BF9,'נתוני מים 2014'!$C$2:$L$188,3,0)/1000,0)</f>
        <v>0</v>
      </c>
    </row>
    <row r="827" spans="1:58" x14ac:dyDescent="0.2">
      <c r="B827" s="1">
        <v>3</v>
      </c>
      <c r="C827" s="1">
        <f>+IFERROR(VLOOKUP(C10,'נתוני מים 2014'!$C$2:$L$188,3,0)/1000,0)</f>
        <v>0</v>
      </c>
      <c r="D827" s="1">
        <f>+IFERROR(VLOOKUP(D10,'נתוני מים 2014'!$C$2:$L$188,3,0)/1000,0)</f>
        <v>0</v>
      </c>
      <c r="E827" s="1">
        <f>+IFERROR(VLOOKUP(E10,'נתוני מים 2014'!$C$2:$L$188,3,0)/1000,0)</f>
        <v>0</v>
      </c>
      <c r="F827" s="1">
        <f>+IFERROR(VLOOKUP(F10,'נתוני מים 2014'!$C$2:$L$188,3,0)/1000,0)</f>
        <v>0</v>
      </c>
      <c r="G827" s="1">
        <f>+IFERROR(VLOOKUP(G10,'נתוני מים 2014'!$C$2:$L$188,3,0)/1000,0)</f>
        <v>0</v>
      </c>
      <c r="H827" s="1">
        <f>+IFERROR(VLOOKUP(H10,'נתוני מים 2014'!$C$2:$L$188,3,0)/1000,0)</f>
        <v>0</v>
      </c>
      <c r="I827" s="1">
        <f>+IFERROR(VLOOKUP(I10,'נתוני מים 2014'!$C$2:$L$188,3,0)/1000,0)</f>
        <v>0</v>
      </c>
      <c r="J827" s="1">
        <f>+IFERROR(VLOOKUP(J10,'נתוני מים 2014'!$C$2:$L$188,3,0)/1000,0)</f>
        <v>0</v>
      </c>
      <c r="K827" s="1">
        <f>+IFERROR(VLOOKUP(K10,'נתוני מים 2014'!$C$2:$L$188,3,0)/1000,0)</f>
        <v>0</v>
      </c>
      <c r="L827" s="1">
        <f>+IFERROR(VLOOKUP(L10,'נתוני מים 2014'!$C$2:$L$188,3,0)/1000,0)</f>
        <v>0</v>
      </c>
      <c r="M827" s="1">
        <f>+IFERROR(VLOOKUP(M10,'נתוני מים 2014'!$C$2:$L$188,3,0)/1000,0)</f>
        <v>0</v>
      </c>
      <c r="N827" s="1">
        <f>+IFERROR(VLOOKUP(N10,'נתוני מים 2014'!$C$2:$L$188,3,0)/1000,0)</f>
        <v>0</v>
      </c>
      <c r="O827" s="1">
        <f>+IFERROR(VLOOKUP(O10,'נתוני מים 2014'!$C$2:$L$188,3,0)/1000,0)</f>
        <v>0</v>
      </c>
      <c r="P827" s="1">
        <f>+IFERROR(VLOOKUP(P10,'נתוני מים 2014'!$C$2:$L$188,3,0)/1000,0)</f>
        <v>0</v>
      </c>
      <c r="Q827" s="1">
        <f>+IFERROR(VLOOKUP(Q10,'נתוני מים 2014'!$C$2:$L$188,3,0)/1000,0)</f>
        <v>0</v>
      </c>
      <c r="R827" s="1">
        <f>+IFERROR(VLOOKUP(R10,'נתוני מים 2014'!$C$2:$L$188,3,0)/1000,0)</f>
        <v>0</v>
      </c>
      <c r="S827" s="1">
        <f>+IFERROR(VLOOKUP(S10,'נתוני מים 2014'!$C$2:$L$188,3,0)/1000,0)</f>
        <v>0</v>
      </c>
      <c r="T827" s="1">
        <f>+IFERROR(VLOOKUP(T10,'נתוני מים 2014'!$C$2:$L$188,3,0)/1000,0)</f>
        <v>0</v>
      </c>
      <c r="U827" s="1">
        <f>+IFERROR(VLOOKUP(U10,'נתוני מים 2014'!$C$2:$L$188,3,0)/1000,0)</f>
        <v>0</v>
      </c>
      <c r="V827" s="1">
        <f>+IFERROR(VLOOKUP(V10,'נתוני מים 2014'!$C$2:$L$188,3,0)/1000,0)</f>
        <v>0</v>
      </c>
      <c r="W827" s="1">
        <f>+IFERROR(VLOOKUP(W10,'נתוני מים 2014'!$C$2:$L$188,3,0)/1000,0)</f>
        <v>0</v>
      </c>
      <c r="X827" s="1">
        <f>+IFERROR(VLOOKUP(X10,'נתוני מים 2014'!$C$2:$L$188,3,0)/1000,0)</f>
        <v>0</v>
      </c>
      <c r="Y827" s="1">
        <f>+IFERROR(VLOOKUP(Y10,'נתוני מים 2014'!$C$2:$L$188,3,0)/1000,0)</f>
        <v>0</v>
      </c>
      <c r="Z827" s="1">
        <f>+IFERROR(VLOOKUP(Z10,'נתוני מים 2014'!$C$2:$L$188,3,0)/1000,0)</f>
        <v>0</v>
      </c>
      <c r="AA827" s="1">
        <f>+IFERROR(VLOOKUP(AA10,'נתוני מים 2014'!$C$2:$L$188,3,0)/1000,0)</f>
        <v>0</v>
      </c>
      <c r="AB827" s="1">
        <f>+IFERROR(VLOOKUP(AB10,'נתוני מים 2014'!$C$2:$L$188,3,0)/1000,0)</f>
        <v>0</v>
      </c>
      <c r="AC827" s="1">
        <f>+IFERROR(VLOOKUP(AC10,'נתוני מים 2014'!$C$2:$L$188,3,0)/1000,0)</f>
        <v>0</v>
      </c>
      <c r="AD827" s="1">
        <f>+IFERROR(VLOOKUP(AD10,'נתוני מים 2014'!$C$2:$L$188,3,0)/1000,0)</f>
        <v>0</v>
      </c>
      <c r="AE827" s="1">
        <f>+IFERROR(VLOOKUP(AE10,'נתוני מים 2014'!$C$2:$L$188,3,0)/1000,0)</f>
        <v>0</v>
      </c>
      <c r="AF827" s="1">
        <f>+IFERROR(VLOOKUP(AF10,'נתוני מים 2014'!$C$2:$L$188,3,0)/1000,0)</f>
        <v>0</v>
      </c>
      <c r="AG827" s="1">
        <f>+IFERROR(VLOOKUP(AG10,'נתוני מים 2014'!$C$2:$L$188,3,0)/1000,0)</f>
        <v>0</v>
      </c>
      <c r="AH827" s="1">
        <f>+IFERROR(VLOOKUP(AH10,'נתוני מים 2014'!$C$2:$L$188,3,0)/1000,0)</f>
        <v>0</v>
      </c>
      <c r="AI827" s="1">
        <f>+IFERROR(VLOOKUP(AI10,'נתוני מים 2014'!$C$2:$L$188,3,0)/1000,0)</f>
        <v>0</v>
      </c>
      <c r="AJ827" s="1">
        <f>+IFERROR(VLOOKUP(AJ10,'נתוני מים 2014'!$C$2:$L$188,3,0)/1000,0)</f>
        <v>0</v>
      </c>
      <c r="AK827" s="1">
        <f>+IFERROR(VLOOKUP(AK10,'נתוני מים 2014'!$C$2:$L$188,3,0)/1000,0)</f>
        <v>0</v>
      </c>
      <c r="AL827" s="1">
        <f>+IFERROR(VLOOKUP(AL10,'נתוני מים 2014'!$C$2:$L$188,3,0)/1000,0)</f>
        <v>0</v>
      </c>
      <c r="AM827" s="1">
        <f>+IFERROR(VLOOKUP(AM10,'נתוני מים 2014'!$C$2:$L$188,3,0)/1000,0)</f>
        <v>27.4</v>
      </c>
      <c r="AN827" s="1">
        <f>+IFERROR(VLOOKUP(AN10,'נתוני מים 2014'!$C$2:$L$188,3,0)/1000,0)</f>
        <v>0</v>
      </c>
      <c r="AO827" s="1">
        <f>+IFERROR(VLOOKUP(AO10,'נתוני מים 2014'!$C$2:$L$188,3,0)/1000,0)</f>
        <v>0</v>
      </c>
      <c r="AP827" s="1">
        <f>+IFERROR(VLOOKUP(AP10,'נתוני מים 2014'!$C$2:$L$188,3,0)/1000,0)</f>
        <v>0</v>
      </c>
      <c r="AQ827" s="1">
        <f>+IFERROR(VLOOKUP(AQ10,'נתוני מים 2014'!$C$2:$L$188,3,0)/1000,0)</f>
        <v>0</v>
      </c>
      <c r="AR827" s="1">
        <f>+IFERROR(VLOOKUP(AR10,'נתוני מים 2014'!$C$2:$L$188,3,0)/1000,0)</f>
        <v>0</v>
      </c>
      <c r="AS827" s="1">
        <f>+IFERROR(VLOOKUP(AS10,'נתוני מים 2014'!$C$2:$L$188,3,0)/1000,0)</f>
        <v>0</v>
      </c>
      <c r="AT827" s="1">
        <f>+IFERROR(VLOOKUP(AT10,'נתוני מים 2014'!$C$2:$L$188,3,0)/1000,0)</f>
        <v>0</v>
      </c>
      <c r="AU827" s="1">
        <f>+IFERROR(VLOOKUP(AU10,'נתוני מים 2014'!$C$2:$L$188,3,0)/1000,0)</f>
        <v>0</v>
      </c>
      <c r="AV827" s="1">
        <f>+IFERROR(VLOOKUP(AV10,'נתוני מים 2014'!$C$2:$L$188,3,0)/1000,0)</f>
        <v>0</v>
      </c>
      <c r="AW827" s="1">
        <f>+IFERROR(VLOOKUP(AW10,'נתוני מים 2014'!$C$2:$L$188,3,0)/1000,0)</f>
        <v>0</v>
      </c>
      <c r="AX827" s="1">
        <f>+IFERROR(VLOOKUP(AX10,'נתוני מים 2014'!$C$2:$L$188,3,0)/1000,0)</f>
        <v>1305.82</v>
      </c>
      <c r="AY827" s="1">
        <f>+IFERROR(VLOOKUP(AY10,'נתוני מים 2014'!$C$2:$L$188,3,0)/1000,0)</f>
        <v>0</v>
      </c>
      <c r="AZ827" s="1">
        <f>+IFERROR(VLOOKUP(AZ10,'נתוני מים 2014'!$C$2:$L$188,3,0)/1000,0)</f>
        <v>0</v>
      </c>
      <c r="BA827" s="1">
        <f>+IFERROR(VLOOKUP(BA10,'נתוני מים 2014'!$C$2:$L$188,3,0)/1000,0)</f>
        <v>0</v>
      </c>
      <c r="BB827" s="1">
        <f>+IFERROR(VLOOKUP(BB10,'נתוני מים 2014'!$C$2:$L$188,3,0)/1000,0)</f>
        <v>0</v>
      </c>
      <c r="BC827" s="1">
        <f>+IFERROR(VLOOKUP(BC10,'נתוני מים 2014'!$C$2:$L$188,3,0)/1000,0)</f>
        <v>0</v>
      </c>
      <c r="BD827" s="1">
        <f>+IFERROR(VLOOKUP(BD10,'נתוני מים 2014'!$C$2:$L$188,3,0)/1000,0)</f>
        <v>0</v>
      </c>
      <c r="BE827" s="1">
        <f>+IFERROR(VLOOKUP(BE10,'נתוני מים 2014'!$C$2:$L$188,3,0)/1000,0)</f>
        <v>0</v>
      </c>
      <c r="BF827" s="1">
        <f>+IFERROR(VLOOKUP(BF10,'נתוני מים 2014'!$C$2:$L$188,3,0)/1000,0)</f>
        <v>0</v>
      </c>
    </row>
    <row r="828" spans="1:58" x14ac:dyDescent="0.2">
      <c r="B828" s="1">
        <v>4</v>
      </c>
      <c r="C828" s="1">
        <f>+IFERROR(VLOOKUP(C11,'נתוני מים 2014'!$C$2:$L$188,3,0)/1000,0)</f>
        <v>0</v>
      </c>
      <c r="D828" s="1">
        <f>+IFERROR(VLOOKUP(D11,'נתוני מים 2014'!$C$2:$L$188,3,0)/1000,0)</f>
        <v>0</v>
      </c>
      <c r="E828" s="1">
        <f>+IFERROR(VLOOKUP(E11,'נתוני מים 2014'!$C$2:$L$188,3,0)/1000,0)</f>
        <v>0</v>
      </c>
      <c r="F828" s="1">
        <f>+IFERROR(VLOOKUP(F11,'נתוני מים 2014'!$C$2:$L$188,3,0)/1000,0)</f>
        <v>0</v>
      </c>
      <c r="G828" s="1">
        <f>+IFERROR(VLOOKUP(G11,'נתוני מים 2014'!$C$2:$L$188,3,0)/1000,0)</f>
        <v>0</v>
      </c>
      <c r="H828" s="1">
        <f>+IFERROR(VLOOKUP(H11,'נתוני מים 2014'!$C$2:$L$188,3,0)/1000,0)</f>
        <v>0</v>
      </c>
      <c r="I828" s="1">
        <f>+IFERROR(VLOOKUP(I11,'נתוני מים 2014'!$C$2:$L$188,3,0)/1000,0)</f>
        <v>0</v>
      </c>
      <c r="J828" s="1">
        <f>+IFERROR(VLOOKUP(J11,'נתוני מים 2014'!$C$2:$L$188,3,0)/1000,0)</f>
        <v>0</v>
      </c>
      <c r="K828" s="1">
        <f>+IFERROR(VLOOKUP(K11,'נתוני מים 2014'!$C$2:$L$188,3,0)/1000,0)</f>
        <v>0</v>
      </c>
      <c r="L828" s="1">
        <f>+IFERROR(VLOOKUP(L11,'נתוני מים 2014'!$C$2:$L$188,3,0)/1000,0)</f>
        <v>0</v>
      </c>
      <c r="M828" s="1">
        <f>+IFERROR(VLOOKUP(M11,'נתוני מים 2014'!$C$2:$L$188,3,0)/1000,0)</f>
        <v>0</v>
      </c>
      <c r="N828" s="1">
        <f>+IFERROR(VLOOKUP(N11,'נתוני מים 2014'!$C$2:$L$188,3,0)/1000,0)</f>
        <v>0</v>
      </c>
      <c r="O828" s="1">
        <f>+IFERROR(VLOOKUP(O11,'נתוני מים 2014'!$C$2:$L$188,3,0)/1000,0)</f>
        <v>0</v>
      </c>
      <c r="P828" s="1">
        <f>+IFERROR(VLOOKUP(P11,'נתוני מים 2014'!$C$2:$L$188,3,0)/1000,0)</f>
        <v>0</v>
      </c>
      <c r="Q828" s="1">
        <f>+IFERROR(VLOOKUP(Q11,'נתוני מים 2014'!$C$2:$L$188,3,0)/1000,0)</f>
        <v>0</v>
      </c>
      <c r="R828" s="1">
        <f>+IFERROR(VLOOKUP(R11,'נתוני מים 2014'!$C$2:$L$188,3,0)/1000,0)</f>
        <v>0</v>
      </c>
      <c r="S828" s="1">
        <f>+IFERROR(VLOOKUP(S11,'נתוני מים 2014'!$C$2:$L$188,3,0)/1000,0)</f>
        <v>0</v>
      </c>
      <c r="T828" s="1">
        <f>+IFERROR(VLOOKUP(T11,'נתוני מים 2014'!$C$2:$L$188,3,0)/1000,0)</f>
        <v>0</v>
      </c>
      <c r="U828" s="1">
        <f>+IFERROR(VLOOKUP(U11,'נתוני מים 2014'!$C$2:$L$188,3,0)/1000,0)</f>
        <v>0</v>
      </c>
      <c r="V828" s="1">
        <f>+IFERROR(VLOOKUP(V11,'נתוני מים 2014'!$C$2:$L$188,3,0)/1000,0)</f>
        <v>0</v>
      </c>
      <c r="W828" s="1">
        <f>+IFERROR(VLOOKUP(W11,'נתוני מים 2014'!$C$2:$L$188,3,0)/1000,0)</f>
        <v>0</v>
      </c>
      <c r="X828" s="1">
        <f>+IFERROR(VLOOKUP(X11,'נתוני מים 2014'!$C$2:$L$188,3,0)/1000,0)</f>
        <v>0</v>
      </c>
      <c r="Y828" s="1">
        <f>+IFERROR(VLOOKUP(Y11,'נתוני מים 2014'!$C$2:$L$188,3,0)/1000,0)</f>
        <v>0</v>
      </c>
      <c r="Z828" s="1">
        <f>+IFERROR(VLOOKUP(Z11,'נתוני מים 2014'!$C$2:$L$188,3,0)/1000,0)</f>
        <v>0</v>
      </c>
      <c r="AA828" s="1">
        <f>+IFERROR(VLOOKUP(AA11,'נתוני מים 2014'!$C$2:$L$188,3,0)/1000,0)</f>
        <v>0</v>
      </c>
      <c r="AB828" s="1">
        <f>+IFERROR(VLOOKUP(AB11,'נתוני מים 2014'!$C$2:$L$188,3,0)/1000,0)</f>
        <v>0</v>
      </c>
      <c r="AC828" s="1">
        <f>+IFERROR(VLOOKUP(AC11,'נתוני מים 2014'!$C$2:$L$188,3,0)/1000,0)</f>
        <v>0</v>
      </c>
      <c r="AD828" s="1">
        <f>+IFERROR(VLOOKUP(AD11,'נתוני מים 2014'!$C$2:$L$188,3,0)/1000,0)</f>
        <v>0</v>
      </c>
      <c r="AE828" s="1">
        <f>+IFERROR(VLOOKUP(AE11,'נתוני מים 2014'!$C$2:$L$188,3,0)/1000,0)</f>
        <v>0</v>
      </c>
      <c r="AF828" s="1">
        <f>+IFERROR(VLOOKUP(AF11,'נתוני מים 2014'!$C$2:$L$188,3,0)/1000,0)</f>
        <v>0</v>
      </c>
      <c r="AG828" s="1">
        <f>+IFERROR(VLOOKUP(AG11,'נתוני מים 2014'!$C$2:$L$188,3,0)/1000,0)</f>
        <v>0</v>
      </c>
      <c r="AH828" s="1">
        <f>+IFERROR(VLOOKUP(AH11,'נתוני מים 2014'!$C$2:$L$188,3,0)/1000,0)</f>
        <v>0</v>
      </c>
      <c r="AI828" s="1">
        <f>+IFERROR(VLOOKUP(AI11,'נתוני מים 2014'!$C$2:$L$188,3,0)/1000,0)</f>
        <v>0</v>
      </c>
      <c r="AJ828" s="1">
        <f>+IFERROR(VLOOKUP(AJ11,'נתוני מים 2014'!$C$2:$L$188,3,0)/1000,0)</f>
        <v>0</v>
      </c>
      <c r="AK828" s="1">
        <f>+IFERROR(VLOOKUP(AK11,'נתוני מים 2014'!$C$2:$L$188,3,0)/1000,0)</f>
        <v>0</v>
      </c>
      <c r="AL828" s="1">
        <f>+IFERROR(VLOOKUP(AL11,'נתוני מים 2014'!$C$2:$L$188,3,0)/1000,0)</f>
        <v>0</v>
      </c>
      <c r="AM828" s="1">
        <f>+IFERROR(VLOOKUP(AM11,'נתוני מים 2014'!$C$2:$L$188,3,0)/1000,0)</f>
        <v>301.3</v>
      </c>
      <c r="AN828" s="1">
        <f>+IFERROR(VLOOKUP(AN11,'נתוני מים 2014'!$C$2:$L$188,3,0)/1000,0)</f>
        <v>0</v>
      </c>
      <c r="AO828" s="1">
        <f>+IFERROR(VLOOKUP(AO11,'נתוני מים 2014'!$C$2:$L$188,3,0)/1000,0)</f>
        <v>0</v>
      </c>
      <c r="AP828" s="1">
        <f>+IFERROR(VLOOKUP(AP11,'נתוני מים 2014'!$C$2:$L$188,3,0)/1000,0)</f>
        <v>0</v>
      </c>
      <c r="AQ828" s="1">
        <f>+IFERROR(VLOOKUP(AQ11,'נתוני מים 2014'!$C$2:$L$188,3,0)/1000,0)</f>
        <v>0</v>
      </c>
      <c r="AR828" s="1">
        <f>+IFERROR(VLOOKUP(AR11,'נתוני מים 2014'!$C$2:$L$188,3,0)/1000,0)</f>
        <v>0</v>
      </c>
      <c r="AS828" s="1">
        <f>+IFERROR(VLOOKUP(AS11,'נתוני מים 2014'!$C$2:$L$188,3,0)/1000,0)</f>
        <v>0</v>
      </c>
      <c r="AT828" s="1">
        <f>+IFERROR(VLOOKUP(AT11,'נתוני מים 2014'!$C$2:$L$188,3,0)/1000,0)</f>
        <v>0</v>
      </c>
      <c r="AU828" s="1">
        <f>+IFERROR(VLOOKUP(AU11,'נתוני מים 2014'!$C$2:$L$188,3,0)/1000,0)</f>
        <v>0</v>
      </c>
      <c r="AV828" s="1">
        <f>+IFERROR(VLOOKUP(AV11,'נתוני מים 2014'!$C$2:$L$188,3,0)/1000,0)</f>
        <v>0</v>
      </c>
      <c r="AW828" s="1">
        <f>+IFERROR(VLOOKUP(AW11,'נתוני מים 2014'!$C$2:$L$188,3,0)/1000,0)</f>
        <v>0</v>
      </c>
      <c r="AX828" s="1">
        <f>+IFERROR(VLOOKUP(AX11,'נתוני מים 2014'!$C$2:$L$188,3,0)/1000,0)</f>
        <v>1525.4</v>
      </c>
      <c r="AY828" s="1">
        <f>+IFERROR(VLOOKUP(AY11,'נתוני מים 2014'!$C$2:$L$188,3,0)/1000,0)</f>
        <v>0</v>
      </c>
      <c r="AZ828" s="1">
        <f>+IFERROR(VLOOKUP(AZ11,'נתוני מים 2014'!$C$2:$L$188,3,0)/1000,0)</f>
        <v>0</v>
      </c>
      <c r="BA828" s="1">
        <f>+IFERROR(VLOOKUP(BA11,'נתוני מים 2014'!$C$2:$L$188,3,0)/1000,0)</f>
        <v>0</v>
      </c>
      <c r="BB828" s="1">
        <f>+IFERROR(VLOOKUP(BB11,'נתוני מים 2014'!$C$2:$L$188,3,0)/1000,0)</f>
        <v>0</v>
      </c>
      <c r="BC828" s="1">
        <f>+IFERROR(VLOOKUP(BC11,'נתוני מים 2014'!$C$2:$L$188,3,0)/1000,0)</f>
        <v>0</v>
      </c>
      <c r="BD828" s="1">
        <f>+IFERROR(VLOOKUP(BD11,'נתוני מים 2014'!$C$2:$L$188,3,0)/1000,0)</f>
        <v>0</v>
      </c>
      <c r="BE828" s="1">
        <f>+IFERROR(VLOOKUP(BE11,'נתוני מים 2014'!$C$2:$L$188,3,0)/1000,0)</f>
        <v>0</v>
      </c>
      <c r="BF828" s="1">
        <f>+IFERROR(VLOOKUP(BF11,'נתוני מים 2014'!$C$2:$L$188,3,0)/1000,0)</f>
        <v>0</v>
      </c>
    </row>
    <row r="829" spans="1:58" x14ac:dyDescent="0.2">
      <c r="B829" s="1">
        <v>5</v>
      </c>
      <c r="C829" s="1">
        <f>+IFERROR(VLOOKUP(C12,'נתוני מים 2014'!$C$2:$L$188,3,0)/1000,0)</f>
        <v>0</v>
      </c>
      <c r="D829" s="1">
        <f>+IFERROR(VLOOKUP(D12,'נתוני מים 2014'!$C$2:$L$188,3,0)/1000,0)</f>
        <v>0</v>
      </c>
      <c r="E829" s="1">
        <f>+IFERROR(VLOOKUP(E12,'נתוני מים 2014'!$C$2:$L$188,3,0)/1000,0)</f>
        <v>0</v>
      </c>
      <c r="F829" s="1">
        <f>+IFERROR(VLOOKUP(F12,'נתוני מים 2014'!$C$2:$L$188,3,0)/1000,0)</f>
        <v>0</v>
      </c>
      <c r="G829" s="1">
        <f>+IFERROR(VLOOKUP(G12,'נתוני מים 2014'!$C$2:$L$188,3,0)/1000,0)</f>
        <v>0</v>
      </c>
      <c r="H829" s="1">
        <f>+IFERROR(VLOOKUP(H12,'נתוני מים 2014'!$C$2:$L$188,3,0)/1000,0)</f>
        <v>0</v>
      </c>
      <c r="I829" s="1">
        <f>+IFERROR(VLOOKUP(I12,'נתוני מים 2014'!$C$2:$L$188,3,0)/1000,0)</f>
        <v>0</v>
      </c>
      <c r="J829" s="1">
        <f>+IFERROR(VLOOKUP(J12,'נתוני מים 2014'!$C$2:$L$188,3,0)/1000,0)</f>
        <v>0</v>
      </c>
      <c r="K829" s="1">
        <f>+IFERROR(VLOOKUP(K12,'נתוני מים 2014'!$C$2:$L$188,3,0)/1000,0)</f>
        <v>0</v>
      </c>
      <c r="L829" s="1">
        <f>+IFERROR(VLOOKUP(L12,'נתוני מים 2014'!$C$2:$L$188,3,0)/1000,0)</f>
        <v>0</v>
      </c>
      <c r="M829" s="1">
        <f>+IFERROR(VLOOKUP(M12,'נתוני מים 2014'!$C$2:$L$188,3,0)/1000,0)</f>
        <v>0</v>
      </c>
      <c r="N829" s="1">
        <f>+IFERROR(VLOOKUP(N12,'נתוני מים 2014'!$C$2:$L$188,3,0)/1000,0)</f>
        <v>0</v>
      </c>
      <c r="O829" s="1">
        <f>+IFERROR(VLOOKUP(O12,'נתוני מים 2014'!$C$2:$L$188,3,0)/1000,0)</f>
        <v>0</v>
      </c>
      <c r="P829" s="1">
        <f>+IFERROR(VLOOKUP(P12,'נתוני מים 2014'!$C$2:$L$188,3,0)/1000,0)</f>
        <v>0</v>
      </c>
      <c r="Q829" s="1">
        <f>+IFERROR(VLOOKUP(Q12,'נתוני מים 2014'!$C$2:$L$188,3,0)/1000,0)</f>
        <v>0</v>
      </c>
      <c r="R829" s="1">
        <f>+IFERROR(VLOOKUP(R12,'נתוני מים 2014'!$C$2:$L$188,3,0)/1000,0)</f>
        <v>0</v>
      </c>
      <c r="S829" s="1">
        <f>+IFERROR(VLOOKUP(S12,'נתוני מים 2014'!$C$2:$L$188,3,0)/1000,0)</f>
        <v>0</v>
      </c>
      <c r="T829" s="1">
        <f>+IFERROR(VLOOKUP(T12,'נתוני מים 2014'!$C$2:$L$188,3,0)/1000,0)</f>
        <v>0</v>
      </c>
      <c r="U829" s="1">
        <f>+IFERROR(VLOOKUP(U12,'נתוני מים 2014'!$C$2:$L$188,3,0)/1000,0)</f>
        <v>0</v>
      </c>
      <c r="V829" s="1">
        <f>+IFERROR(VLOOKUP(V12,'נתוני מים 2014'!$C$2:$L$188,3,0)/1000,0)</f>
        <v>0</v>
      </c>
      <c r="W829" s="1">
        <f>+IFERROR(VLOOKUP(W12,'נתוני מים 2014'!$C$2:$L$188,3,0)/1000,0)</f>
        <v>0</v>
      </c>
      <c r="X829" s="1">
        <f>+IFERROR(VLOOKUP(X12,'נתוני מים 2014'!$C$2:$L$188,3,0)/1000,0)</f>
        <v>0</v>
      </c>
      <c r="Y829" s="1">
        <f>+IFERROR(VLOOKUP(Y12,'נתוני מים 2014'!$C$2:$L$188,3,0)/1000,0)</f>
        <v>0</v>
      </c>
      <c r="Z829" s="1">
        <f>+IFERROR(VLOOKUP(Z12,'נתוני מים 2014'!$C$2:$L$188,3,0)/1000,0)</f>
        <v>0</v>
      </c>
      <c r="AA829" s="1">
        <f>+IFERROR(VLOOKUP(AA12,'נתוני מים 2014'!$C$2:$L$188,3,0)/1000,0)</f>
        <v>0</v>
      </c>
      <c r="AB829" s="1">
        <f>+IFERROR(VLOOKUP(AB12,'נתוני מים 2014'!$C$2:$L$188,3,0)/1000,0)</f>
        <v>0</v>
      </c>
      <c r="AC829" s="1">
        <f>+IFERROR(VLOOKUP(AC12,'נתוני מים 2014'!$C$2:$L$188,3,0)/1000,0)</f>
        <v>0</v>
      </c>
      <c r="AD829" s="1">
        <f>+IFERROR(VLOOKUP(AD12,'נתוני מים 2014'!$C$2:$L$188,3,0)/1000,0)</f>
        <v>0</v>
      </c>
      <c r="AE829" s="1">
        <f>+IFERROR(VLOOKUP(AE12,'נתוני מים 2014'!$C$2:$L$188,3,0)/1000,0)</f>
        <v>0</v>
      </c>
      <c r="AF829" s="1">
        <f>+IFERROR(VLOOKUP(AF12,'נתוני מים 2014'!$C$2:$L$188,3,0)/1000,0)</f>
        <v>0</v>
      </c>
      <c r="AG829" s="1">
        <f>+IFERROR(VLOOKUP(AG12,'נתוני מים 2014'!$C$2:$L$188,3,0)/1000,0)</f>
        <v>0</v>
      </c>
      <c r="AH829" s="1">
        <f>+IFERROR(VLOOKUP(AH12,'נתוני מים 2014'!$C$2:$L$188,3,0)/1000,0)</f>
        <v>0</v>
      </c>
      <c r="AI829" s="1">
        <f>+IFERROR(VLOOKUP(AI12,'נתוני מים 2014'!$C$2:$L$188,3,0)/1000,0)</f>
        <v>0</v>
      </c>
      <c r="AJ829" s="1">
        <f>+IFERROR(VLOOKUP(AJ12,'נתוני מים 2014'!$C$2:$L$188,3,0)/1000,0)</f>
        <v>0</v>
      </c>
      <c r="AK829" s="1">
        <f>+IFERROR(VLOOKUP(AK12,'נתוני מים 2014'!$C$2:$L$188,3,0)/1000,0)</f>
        <v>0</v>
      </c>
      <c r="AL829" s="1">
        <f>+IFERROR(VLOOKUP(AL12,'נתוני מים 2014'!$C$2:$L$188,3,0)/1000,0)</f>
        <v>0</v>
      </c>
      <c r="AM829" s="1">
        <f>+IFERROR(VLOOKUP(AM12,'נתוני מים 2014'!$C$2:$L$188,3,0)/1000,0)</f>
        <v>0</v>
      </c>
      <c r="AN829" s="1">
        <f>+IFERROR(VLOOKUP(AN12,'נתוני מים 2014'!$C$2:$L$188,3,0)/1000,0)</f>
        <v>0</v>
      </c>
      <c r="AO829" s="1">
        <f>+IFERROR(VLOOKUP(AO12,'נתוני מים 2014'!$C$2:$L$188,3,0)/1000,0)</f>
        <v>0</v>
      </c>
      <c r="AP829" s="1">
        <f>+IFERROR(VLOOKUP(AP12,'נתוני מים 2014'!$C$2:$L$188,3,0)/1000,0)</f>
        <v>0</v>
      </c>
      <c r="AQ829" s="1">
        <f>+IFERROR(VLOOKUP(AQ12,'נתוני מים 2014'!$C$2:$L$188,3,0)/1000,0)</f>
        <v>0</v>
      </c>
      <c r="AR829" s="1">
        <f>+IFERROR(VLOOKUP(AR12,'נתוני מים 2014'!$C$2:$L$188,3,0)/1000,0)</f>
        <v>0</v>
      </c>
      <c r="AS829" s="1">
        <f>+IFERROR(VLOOKUP(AS12,'נתוני מים 2014'!$C$2:$L$188,3,0)/1000,0)</f>
        <v>0</v>
      </c>
      <c r="AT829" s="1">
        <f>+IFERROR(VLOOKUP(AT12,'נתוני מים 2014'!$C$2:$L$188,3,0)/1000,0)</f>
        <v>0</v>
      </c>
      <c r="AU829" s="1">
        <f>+IFERROR(VLOOKUP(AU12,'נתוני מים 2014'!$C$2:$L$188,3,0)/1000,0)</f>
        <v>0</v>
      </c>
      <c r="AV829" s="1">
        <f>+IFERROR(VLOOKUP(AV12,'נתוני מים 2014'!$C$2:$L$188,3,0)/1000,0)</f>
        <v>0</v>
      </c>
      <c r="AW829" s="1">
        <f>+IFERROR(VLOOKUP(AW12,'נתוני מים 2014'!$C$2:$L$188,3,0)/1000,0)</f>
        <v>0</v>
      </c>
      <c r="AX829" s="1">
        <f>+IFERROR(VLOOKUP(AX12,'נתוני מים 2014'!$C$2:$L$188,3,0)/1000,0)</f>
        <v>0</v>
      </c>
      <c r="AY829" s="1">
        <f>+IFERROR(VLOOKUP(AY12,'נתוני מים 2014'!$C$2:$L$188,3,0)/1000,0)</f>
        <v>0</v>
      </c>
      <c r="AZ829" s="1">
        <f>+IFERROR(VLOOKUP(AZ12,'נתוני מים 2014'!$C$2:$L$188,3,0)/1000,0)</f>
        <v>0</v>
      </c>
      <c r="BA829" s="1">
        <f>+IFERROR(VLOOKUP(BA12,'נתוני מים 2014'!$C$2:$L$188,3,0)/1000,0)</f>
        <v>0</v>
      </c>
      <c r="BB829" s="1">
        <f>+IFERROR(VLOOKUP(BB12,'נתוני מים 2014'!$C$2:$L$188,3,0)/1000,0)</f>
        <v>0</v>
      </c>
      <c r="BC829" s="1">
        <f>+IFERROR(VLOOKUP(BC12,'נתוני מים 2014'!$C$2:$L$188,3,0)/1000,0)</f>
        <v>0</v>
      </c>
      <c r="BD829" s="1">
        <f>+IFERROR(VLOOKUP(BD12,'נתוני מים 2014'!$C$2:$L$188,3,0)/1000,0)</f>
        <v>0</v>
      </c>
      <c r="BE829" s="1">
        <f>+IFERROR(VLOOKUP(BE12,'נתוני מים 2014'!$C$2:$L$188,3,0)/1000,0)</f>
        <v>0</v>
      </c>
      <c r="BF829" s="1">
        <f>+IFERROR(VLOOKUP(BF12,'נתוני מים 2014'!$C$2:$L$188,3,0)/1000,0)</f>
        <v>0</v>
      </c>
    </row>
    <row r="830" spans="1:58" x14ac:dyDescent="0.2">
      <c r="B830" s="1">
        <v>6</v>
      </c>
      <c r="C830" s="1">
        <f>+IFERROR(VLOOKUP(C13,'נתוני מים 2014'!$C$2:$L$188,3,0)/1000,0)</f>
        <v>0</v>
      </c>
      <c r="D830" s="1">
        <f>+IFERROR(VLOOKUP(D13,'נתוני מים 2014'!$C$2:$L$188,3,0)/1000,0)</f>
        <v>0</v>
      </c>
      <c r="E830" s="1">
        <f>+IFERROR(VLOOKUP(E13,'נתוני מים 2014'!$C$2:$L$188,3,0)/1000,0)</f>
        <v>0</v>
      </c>
      <c r="F830" s="1">
        <f>+IFERROR(VLOOKUP(F13,'נתוני מים 2014'!$C$2:$L$188,3,0)/1000,0)</f>
        <v>0</v>
      </c>
      <c r="G830" s="1">
        <f>+IFERROR(VLOOKUP(G13,'נתוני מים 2014'!$C$2:$L$188,3,0)/1000,0)</f>
        <v>0</v>
      </c>
      <c r="H830" s="1">
        <f>+IFERROR(VLOOKUP(H13,'נתוני מים 2014'!$C$2:$L$188,3,0)/1000,0)</f>
        <v>0</v>
      </c>
      <c r="I830" s="1">
        <f>+IFERROR(VLOOKUP(I13,'נתוני מים 2014'!$C$2:$L$188,3,0)/1000,0)</f>
        <v>0</v>
      </c>
      <c r="J830" s="1">
        <f>+IFERROR(VLOOKUP(J13,'נתוני מים 2014'!$C$2:$L$188,3,0)/1000,0)</f>
        <v>0</v>
      </c>
      <c r="K830" s="1">
        <f>+IFERROR(VLOOKUP(K13,'נתוני מים 2014'!$C$2:$L$188,3,0)/1000,0)</f>
        <v>0</v>
      </c>
      <c r="L830" s="1">
        <f>+IFERROR(VLOOKUP(L13,'נתוני מים 2014'!$C$2:$L$188,3,0)/1000,0)</f>
        <v>0</v>
      </c>
      <c r="M830" s="1">
        <f>+IFERROR(VLOOKUP(M13,'נתוני מים 2014'!$C$2:$L$188,3,0)/1000,0)</f>
        <v>0</v>
      </c>
      <c r="N830" s="1">
        <f>+IFERROR(VLOOKUP(N13,'נתוני מים 2014'!$C$2:$L$188,3,0)/1000,0)</f>
        <v>0</v>
      </c>
      <c r="O830" s="1">
        <f>+IFERROR(VLOOKUP(O13,'נתוני מים 2014'!$C$2:$L$188,3,0)/1000,0)</f>
        <v>0</v>
      </c>
      <c r="P830" s="1">
        <f>+IFERROR(VLOOKUP(P13,'נתוני מים 2014'!$C$2:$L$188,3,0)/1000,0)</f>
        <v>0</v>
      </c>
      <c r="Q830" s="1">
        <f>+IFERROR(VLOOKUP(Q13,'נתוני מים 2014'!$C$2:$L$188,3,0)/1000,0)</f>
        <v>0</v>
      </c>
      <c r="R830" s="1">
        <f>+IFERROR(VLOOKUP(R13,'נתוני מים 2014'!$C$2:$L$188,3,0)/1000,0)</f>
        <v>0</v>
      </c>
      <c r="S830" s="1">
        <f>+IFERROR(VLOOKUP(S13,'נתוני מים 2014'!$C$2:$L$188,3,0)/1000,0)</f>
        <v>0</v>
      </c>
      <c r="T830" s="1">
        <f>+IFERROR(VLOOKUP(T13,'נתוני מים 2014'!$C$2:$L$188,3,0)/1000,0)</f>
        <v>0</v>
      </c>
      <c r="U830" s="1">
        <f>+IFERROR(VLOOKUP(U13,'נתוני מים 2014'!$C$2:$L$188,3,0)/1000,0)</f>
        <v>0</v>
      </c>
      <c r="V830" s="1">
        <f>+IFERROR(VLOOKUP(V13,'נתוני מים 2014'!$C$2:$L$188,3,0)/1000,0)</f>
        <v>0</v>
      </c>
      <c r="W830" s="1">
        <f>+IFERROR(VLOOKUP(W13,'נתוני מים 2014'!$C$2:$L$188,3,0)/1000,0)</f>
        <v>0</v>
      </c>
      <c r="X830" s="1">
        <f>+IFERROR(VLOOKUP(X13,'נתוני מים 2014'!$C$2:$L$188,3,0)/1000,0)</f>
        <v>0</v>
      </c>
      <c r="Y830" s="1">
        <f>+IFERROR(VLOOKUP(Y13,'נתוני מים 2014'!$C$2:$L$188,3,0)/1000,0)</f>
        <v>0</v>
      </c>
      <c r="Z830" s="1">
        <f>+IFERROR(VLOOKUP(Z13,'נתוני מים 2014'!$C$2:$L$188,3,0)/1000,0)</f>
        <v>0</v>
      </c>
      <c r="AA830" s="1">
        <f>+IFERROR(VLOOKUP(AA13,'נתוני מים 2014'!$C$2:$L$188,3,0)/1000,0)</f>
        <v>0</v>
      </c>
      <c r="AB830" s="1">
        <f>+IFERROR(VLOOKUP(AB13,'נתוני מים 2014'!$C$2:$L$188,3,0)/1000,0)</f>
        <v>0</v>
      </c>
      <c r="AC830" s="1">
        <f>+IFERROR(VLOOKUP(AC13,'נתוני מים 2014'!$C$2:$L$188,3,0)/1000,0)</f>
        <v>0</v>
      </c>
      <c r="AD830" s="1">
        <f>+IFERROR(VLOOKUP(AD13,'נתוני מים 2014'!$C$2:$L$188,3,0)/1000,0)</f>
        <v>0</v>
      </c>
      <c r="AE830" s="1">
        <f>+IFERROR(VLOOKUP(AE13,'נתוני מים 2014'!$C$2:$L$188,3,0)/1000,0)</f>
        <v>0</v>
      </c>
      <c r="AF830" s="1">
        <f>+IFERROR(VLOOKUP(AF13,'נתוני מים 2014'!$C$2:$L$188,3,0)/1000,0)</f>
        <v>0</v>
      </c>
      <c r="AG830" s="1">
        <f>+IFERROR(VLOOKUP(AG13,'נתוני מים 2014'!$C$2:$L$188,3,0)/1000,0)</f>
        <v>0</v>
      </c>
      <c r="AH830" s="1">
        <f>+IFERROR(VLOOKUP(AH13,'נתוני מים 2014'!$C$2:$L$188,3,0)/1000,0)</f>
        <v>0</v>
      </c>
      <c r="AI830" s="1">
        <f>+IFERROR(VLOOKUP(AI13,'נתוני מים 2014'!$C$2:$L$188,3,0)/1000,0)</f>
        <v>0</v>
      </c>
      <c r="AJ830" s="1">
        <f>+IFERROR(VLOOKUP(AJ13,'נתוני מים 2014'!$C$2:$L$188,3,0)/1000,0)</f>
        <v>0</v>
      </c>
      <c r="AK830" s="1">
        <f>+IFERROR(VLOOKUP(AK13,'נתוני מים 2014'!$C$2:$L$188,3,0)/1000,0)</f>
        <v>0</v>
      </c>
      <c r="AL830" s="1">
        <f>+IFERROR(VLOOKUP(AL13,'נתוני מים 2014'!$C$2:$L$188,3,0)/1000,0)</f>
        <v>0</v>
      </c>
      <c r="AM830" s="1">
        <f>+IFERROR(VLOOKUP(AM13,'נתוני מים 2014'!$C$2:$L$188,3,0)/1000,0)</f>
        <v>0</v>
      </c>
      <c r="AN830" s="1">
        <f>+IFERROR(VLOOKUP(AN13,'נתוני מים 2014'!$C$2:$L$188,3,0)/1000,0)</f>
        <v>0</v>
      </c>
      <c r="AO830" s="1">
        <f>+IFERROR(VLOOKUP(AO13,'נתוני מים 2014'!$C$2:$L$188,3,0)/1000,0)</f>
        <v>0</v>
      </c>
      <c r="AP830" s="1">
        <f>+IFERROR(VLOOKUP(AP13,'נתוני מים 2014'!$C$2:$L$188,3,0)/1000,0)</f>
        <v>0</v>
      </c>
      <c r="AQ830" s="1">
        <f>+IFERROR(VLOOKUP(AQ13,'נתוני מים 2014'!$C$2:$L$188,3,0)/1000,0)</f>
        <v>0</v>
      </c>
      <c r="AR830" s="1">
        <f>+IFERROR(VLOOKUP(AR13,'נתוני מים 2014'!$C$2:$L$188,3,0)/1000,0)</f>
        <v>0</v>
      </c>
      <c r="AS830" s="1">
        <f>+IFERROR(VLOOKUP(AS13,'נתוני מים 2014'!$C$2:$L$188,3,0)/1000,0)</f>
        <v>0</v>
      </c>
      <c r="AT830" s="1">
        <f>+IFERROR(VLOOKUP(AT13,'נתוני מים 2014'!$C$2:$L$188,3,0)/1000,0)</f>
        <v>0</v>
      </c>
      <c r="AU830" s="1">
        <f>+IFERROR(VLOOKUP(AU13,'נתוני מים 2014'!$C$2:$L$188,3,0)/1000,0)</f>
        <v>0</v>
      </c>
      <c r="AV830" s="1">
        <f>+IFERROR(VLOOKUP(AV13,'נתוני מים 2014'!$C$2:$L$188,3,0)/1000,0)</f>
        <v>0</v>
      </c>
      <c r="AW830" s="1">
        <f>+IFERROR(VLOOKUP(AW13,'נתוני מים 2014'!$C$2:$L$188,3,0)/1000,0)</f>
        <v>0</v>
      </c>
      <c r="AX830" s="1">
        <f>+IFERROR(VLOOKUP(AX13,'נתוני מים 2014'!$C$2:$L$188,3,0)/1000,0)</f>
        <v>0</v>
      </c>
      <c r="AY830" s="1">
        <f>+IFERROR(VLOOKUP(AY13,'נתוני מים 2014'!$C$2:$L$188,3,0)/1000,0)</f>
        <v>0</v>
      </c>
      <c r="AZ830" s="1">
        <f>+IFERROR(VLOOKUP(AZ13,'נתוני מים 2014'!$C$2:$L$188,3,0)/1000,0)</f>
        <v>0</v>
      </c>
      <c r="BA830" s="1">
        <f>+IFERROR(VLOOKUP(BA13,'נתוני מים 2014'!$C$2:$L$188,3,0)/1000,0)</f>
        <v>0</v>
      </c>
      <c r="BB830" s="1">
        <f>+IFERROR(VLOOKUP(BB13,'נתוני מים 2014'!$C$2:$L$188,3,0)/1000,0)</f>
        <v>0</v>
      </c>
      <c r="BC830" s="1">
        <f>+IFERROR(VLOOKUP(BC13,'נתוני מים 2014'!$C$2:$L$188,3,0)/1000,0)</f>
        <v>0</v>
      </c>
      <c r="BD830" s="1">
        <f>+IFERROR(VLOOKUP(BD13,'נתוני מים 2014'!$C$2:$L$188,3,0)/1000,0)</f>
        <v>0</v>
      </c>
      <c r="BE830" s="1">
        <f>+IFERROR(VLOOKUP(BE13,'נתוני מים 2014'!$C$2:$L$188,3,0)/1000,0)</f>
        <v>0</v>
      </c>
      <c r="BF830" s="1">
        <f>+IFERROR(VLOOKUP(BF13,'נתוני מים 2014'!$C$2:$L$188,3,0)/1000,0)</f>
        <v>0</v>
      </c>
    </row>
    <row r="831" spans="1:58" x14ac:dyDescent="0.2">
      <c r="B831" s="1">
        <v>7</v>
      </c>
      <c r="C831" s="1">
        <f>+IFERROR(VLOOKUP(C14,'נתוני מים 2014'!$C$2:$L$188,3,0)/1000,0)</f>
        <v>0</v>
      </c>
      <c r="D831" s="1">
        <f>+IFERROR(VLOOKUP(D14,'נתוני מים 2014'!$C$2:$L$188,3,0)/1000,0)</f>
        <v>0</v>
      </c>
      <c r="E831" s="1">
        <f>+IFERROR(VLOOKUP(E14,'נתוני מים 2014'!$C$2:$L$188,3,0)/1000,0)</f>
        <v>0</v>
      </c>
      <c r="F831" s="1">
        <f>+IFERROR(VLOOKUP(F14,'נתוני מים 2014'!$C$2:$L$188,3,0)/1000,0)</f>
        <v>0</v>
      </c>
      <c r="G831" s="1">
        <f>+IFERROR(VLOOKUP(G14,'נתוני מים 2014'!$C$2:$L$188,3,0)/1000,0)</f>
        <v>0</v>
      </c>
      <c r="H831" s="1">
        <f>+IFERROR(VLOOKUP(H14,'נתוני מים 2014'!$C$2:$L$188,3,0)/1000,0)</f>
        <v>0</v>
      </c>
      <c r="I831" s="1">
        <f>+IFERROR(VLOOKUP(I14,'נתוני מים 2014'!$C$2:$L$188,3,0)/1000,0)</f>
        <v>0</v>
      </c>
      <c r="J831" s="1">
        <f>+IFERROR(VLOOKUP(J14,'נתוני מים 2014'!$C$2:$L$188,3,0)/1000,0)</f>
        <v>0</v>
      </c>
      <c r="K831" s="1">
        <f>+IFERROR(VLOOKUP(K14,'נתוני מים 2014'!$C$2:$L$188,3,0)/1000,0)</f>
        <v>0</v>
      </c>
      <c r="L831" s="1">
        <f>+IFERROR(VLOOKUP(L14,'נתוני מים 2014'!$C$2:$L$188,3,0)/1000,0)</f>
        <v>0</v>
      </c>
      <c r="M831" s="1">
        <f>+IFERROR(VLOOKUP(M14,'נתוני מים 2014'!$C$2:$L$188,3,0)/1000,0)</f>
        <v>0</v>
      </c>
      <c r="N831" s="1">
        <f>+IFERROR(VLOOKUP(N14,'נתוני מים 2014'!$C$2:$L$188,3,0)/1000,0)</f>
        <v>0</v>
      </c>
      <c r="O831" s="1">
        <f>+IFERROR(VLOOKUP(O14,'נתוני מים 2014'!$C$2:$L$188,3,0)/1000,0)</f>
        <v>0</v>
      </c>
      <c r="P831" s="1">
        <f>+IFERROR(VLOOKUP(P14,'נתוני מים 2014'!$C$2:$L$188,3,0)/1000,0)</f>
        <v>0</v>
      </c>
      <c r="Q831" s="1">
        <f>+IFERROR(VLOOKUP(Q14,'נתוני מים 2014'!$C$2:$L$188,3,0)/1000,0)</f>
        <v>0</v>
      </c>
      <c r="R831" s="1">
        <f>+IFERROR(VLOOKUP(R14,'נתוני מים 2014'!$C$2:$L$188,3,0)/1000,0)</f>
        <v>0</v>
      </c>
      <c r="S831" s="1">
        <f>+IFERROR(VLOOKUP(S14,'נתוני מים 2014'!$C$2:$L$188,3,0)/1000,0)</f>
        <v>0</v>
      </c>
      <c r="T831" s="1">
        <f>+IFERROR(VLOOKUP(T14,'נתוני מים 2014'!$C$2:$L$188,3,0)/1000,0)</f>
        <v>0</v>
      </c>
      <c r="U831" s="1">
        <f>+IFERROR(VLOOKUP(U14,'נתוני מים 2014'!$C$2:$L$188,3,0)/1000,0)</f>
        <v>0</v>
      </c>
      <c r="V831" s="1">
        <f>+IFERROR(VLOOKUP(V14,'נתוני מים 2014'!$C$2:$L$188,3,0)/1000,0)</f>
        <v>0</v>
      </c>
      <c r="W831" s="1">
        <f>+IFERROR(VLOOKUP(W14,'נתוני מים 2014'!$C$2:$L$188,3,0)/1000,0)</f>
        <v>0</v>
      </c>
      <c r="X831" s="1">
        <f>+IFERROR(VLOOKUP(X14,'נתוני מים 2014'!$C$2:$L$188,3,0)/1000,0)</f>
        <v>0</v>
      </c>
      <c r="Y831" s="1">
        <f>+IFERROR(VLOOKUP(Y14,'נתוני מים 2014'!$C$2:$L$188,3,0)/1000,0)</f>
        <v>0</v>
      </c>
      <c r="Z831" s="1">
        <f>+IFERROR(VLOOKUP(Z14,'נתוני מים 2014'!$C$2:$L$188,3,0)/1000,0)</f>
        <v>0</v>
      </c>
      <c r="AA831" s="1">
        <f>+IFERROR(VLOOKUP(AA14,'נתוני מים 2014'!$C$2:$L$188,3,0)/1000,0)</f>
        <v>0</v>
      </c>
      <c r="AB831" s="1">
        <f>+IFERROR(VLOOKUP(AB14,'נתוני מים 2014'!$C$2:$L$188,3,0)/1000,0)</f>
        <v>0</v>
      </c>
      <c r="AC831" s="1">
        <f>+IFERROR(VLOOKUP(AC14,'נתוני מים 2014'!$C$2:$L$188,3,0)/1000,0)</f>
        <v>0</v>
      </c>
      <c r="AD831" s="1">
        <f>+IFERROR(VLOOKUP(AD14,'נתוני מים 2014'!$C$2:$L$188,3,0)/1000,0)</f>
        <v>0</v>
      </c>
      <c r="AE831" s="1">
        <f>+IFERROR(VLOOKUP(AE14,'נתוני מים 2014'!$C$2:$L$188,3,0)/1000,0)</f>
        <v>0</v>
      </c>
      <c r="AF831" s="1">
        <f>+IFERROR(VLOOKUP(AF14,'נתוני מים 2014'!$C$2:$L$188,3,0)/1000,0)</f>
        <v>0</v>
      </c>
      <c r="AG831" s="1">
        <f>+IFERROR(VLOOKUP(AG14,'נתוני מים 2014'!$C$2:$L$188,3,0)/1000,0)</f>
        <v>0</v>
      </c>
      <c r="AH831" s="1">
        <f>+IFERROR(VLOOKUP(AH14,'נתוני מים 2014'!$C$2:$L$188,3,0)/1000,0)</f>
        <v>0</v>
      </c>
      <c r="AI831" s="1">
        <f>+IFERROR(VLOOKUP(AI14,'נתוני מים 2014'!$C$2:$L$188,3,0)/1000,0)</f>
        <v>0</v>
      </c>
      <c r="AJ831" s="1">
        <f>+IFERROR(VLOOKUP(AJ14,'נתוני מים 2014'!$C$2:$L$188,3,0)/1000,0)</f>
        <v>0</v>
      </c>
      <c r="AK831" s="1">
        <f>+IFERROR(VLOOKUP(AK14,'נתוני מים 2014'!$C$2:$L$188,3,0)/1000,0)</f>
        <v>0</v>
      </c>
      <c r="AL831" s="1">
        <f>+IFERROR(VLOOKUP(AL14,'נתוני מים 2014'!$C$2:$L$188,3,0)/1000,0)</f>
        <v>0</v>
      </c>
      <c r="AM831" s="1">
        <f>+IFERROR(VLOOKUP(AM14,'נתוני מים 2014'!$C$2:$L$188,3,0)/1000,0)</f>
        <v>0</v>
      </c>
      <c r="AN831" s="1">
        <f>+IFERROR(VLOOKUP(AN14,'נתוני מים 2014'!$C$2:$L$188,3,0)/1000,0)</f>
        <v>0</v>
      </c>
      <c r="AO831" s="1">
        <f>+IFERROR(VLOOKUP(AO14,'נתוני מים 2014'!$C$2:$L$188,3,0)/1000,0)</f>
        <v>0</v>
      </c>
      <c r="AP831" s="1">
        <f>+IFERROR(VLOOKUP(AP14,'נתוני מים 2014'!$C$2:$L$188,3,0)/1000,0)</f>
        <v>0</v>
      </c>
      <c r="AQ831" s="1">
        <f>+IFERROR(VLOOKUP(AQ14,'נתוני מים 2014'!$C$2:$L$188,3,0)/1000,0)</f>
        <v>0</v>
      </c>
      <c r="AR831" s="1">
        <f>+IFERROR(VLOOKUP(AR14,'נתוני מים 2014'!$C$2:$L$188,3,0)/1000,0)</f>
        <v>0</v>
      </c>
      <c r="AS831" s="1">
        <f>+IFERROR(VLOOKUP(AS14,'נתוני מים 2014'!$C$2:$L$188,3,0)/1000,0)</f>
        <v>0</v>
      </c>
      <c r="AT831" s="1">
        <f>+IFERROR(VLOOKUP(AT14,'נתוני מים 2014'!$C$2:$L$188,3,0)/1000,0)</f>
        <v>0</v>
      </c>
      <c r="AU831" s="1">
        <f>+IFERROR(VLOOKUP(AU14,'נתוני מים 2014'!$C$2:$L$188,3,0)/1000,0)</f>
        <v>0</v>
      </c>
      <c r="AV831" s="1">
        <f>+IFERROR(VLOOKUP(AV14,'נתוני מים 2014'!$C$2:$L$188,3,0)/1000,0)</f>
        <v>0</v>
      </c>
      <c r="AW831" s="1">
        <f>+IFERROR(VLOOKUP(AW14,'נתוני מים 2014'!$C$2:$L$188,3,0)/1000,0)</f>
        <v>0</v>
      </c>
      <c r="AX831" s="1">
        <f>+IFERROR(VLOOKUP(AX14,'נתוני מים 2014'!$C$2:$L$188,3,0)/1000,0)</f>
        <v>0</v>
      </c>
      <c r="AY831" s="1">
        <f>+IFERROR(VLOOKUP(AY14,'נתוני מים 2014'!$C$2:$L$188,3,0)/1000,0)</f>
        <v>0</v>
      </c>
      <c r="AZ831" s="1">
        <f>+IFERROR(VLOOKUP(AZ14,'נתוני מים 2014'!$C$2:$L$188,3,0)/1000,0)</f>
        <v>0</v>
      </c>
      <c r="BA831" s="1">
        <f>+IFERROR(VLOOKUP(BA14,'נתוני מים 2014'!$C$2:$L$188,3,0)/1000,0)</f>
        <v>0</v>
      </c>
      <c r="BB831" s="1">
        <f>+IFERROR(VLOOKUP(BB14,'נתוני מים 2014'!$C$2:$L$188,3,0)/1000,0)</f>
        <v>0</v>
      </c>
      <c r="BC831" s="1">
        <f>+IFERROR(VLOOKUP(BC14,'נתוני מים 2014'!$C$2:$L$188,3,0)/1000,0)</f>
        <v>0</v>
      </c>
      <c r="BD831" s="1">
        <f>+IFERROR(VLOOKUP(BD14,'נתוני מים 2014'!$C$2:$L$188,3,0)/1000,0)</f>
        <v>0</v>
      </c>
      <c r="BE831" s="1">
        <f>+IFERROR(VLOOKUP(BE14,'נתוני מים 2014'!$C$2:$L$188,3,0)/1000,0)</f>
        <v>0</v>
      </c>
      <c r="BF831" s="1">
        <f>+IFERROR(VLOOKUP(BF14,'נתוני מים 2014'!$C$2:$L$188,3,0)/1000,0)</f>
        <v>0</v>
      </c>
    </row>
    <row r="832" spans="1:58" x14ac:dyDescent="0.2">
      <c r="B832" s="1">
        <v>8</v>
      </c>
      <c r="C832" s="1">
        <f>+IFERROR(VLOOKUP(C15,'נתוני מים 2014'!$C$2:$L$188,3,0)/1000,0)</f>
        <v>0</v>
      </c>
      <c r="D832" s="1">
        <f>+IFERROR(VLOOKUP(D15,'נתוני מים 2014'!$C$2:$L$188,3,0)/1000,0)</f>
        <v>0</v>
      </c>
      <c r="E832" s="1">
        <f>+IFERROR(VLOOKUP(E15,'נתוני מים 2014'!$C$2:$L$188,3,0)/1000,0)</f>
        <v>0</v>
      </c>
      <c r="F832" s="1">
        <f>+IFERROR(VLOOKUP(F15,'נתוני מים 2014'!$C$2:$L$188,3,0)/1000,0)</f>
        <v>0</v>
      </c>
      <c r="G832" s="1">
        <f>+IFERROR(VLOOKUP(G15,'נתוני מים 2014'!$C$2:$L$188,3,0)/1000,0)</f>
        <v>0</v>
      </c>
      <c r="H832" s="1">
        <f>+IFERROR(VLOOKUP(H15,'נתוני מים 2014'!$C$2:$L$188,3,0)/1000,0)</f>
        <v>0</v>
      </c>
      <c r="I832" s="1">
        <f>+IFERROR(VLOOKUP(I15,'נתוני מים 2014'!$C$2:$L$188,3,0)/1000,0)</f>
        <v>0</v>
      </c>
      <c r="J832" s="1">
        <f>+IFERROR(VLOOKUP(J15,'נתוני מים 2014'!$C$2:$L$188,3,0)/1000,0)</f>
        <v>0</v>
      </c>
      <c r="K832" s="1">
        <f>+IFERROR(VLOOKUP(K15,'נתוני מים 2014'!$C$2:$L$188,3,0)/1000,0)</f>
        <v>0</v>
      </c>
      <c r="L832" s="1">
        <f>+IFERROR(VLOOKUP(L15,'נתוני מים 2014'!$C$2:$L$188,3,0)/1000,0)</f>
        <v>0</v>
      </c>
      <c r="M832" s="1">
        <f>+IFERROR(VLOOKUP(M15,'נתוני מים 2014'!$C$2:$L$188,3,0)/1000,0)</f>
        <v>0</v>
      </c>
      <c r="N832" s="1">
        <f>+IFERROR(VLOOKUP(N15,'נתוני מים 2014'!$C$2:$L$188,3,0)/1000,0)</f>
        <v>0</v>
      </c>
      <c r="O832" s="1">
        <f>+IFERROR(VLOOKUP(O15,'נתוני מים 2014'!$C$2:$L$188,3,0)/1000,0)</f>
        <v>0</v>
      </c>
      <c r="P832" s="1">
        <f>+IFERROR(VLOOKUP(P15,'נתוני מים 2014'!$C$2:$L$188,3,0)/1000,0)</f>
        <v>0</v>
      </c>
      <c r="Q832" s="1">
        <f>+IFERROR(VLOOKUP(Q15,'נתוני מים 2014'!$C$2:$L$188,3,0)/1000,0)</f>
        <v>0</v>
      </c>
      <c r="R832" s="1">
        <f>+IFERROR(VLOOKUP(R15,'נתוני מים 2014'!$C$2:$L$188,3,0)/1000,0)</f>
        <v>0</v>
      </c>
      <c r="S832" s="1">
        <f>+IFERROR(VLOOKUP(S15,'נתוני מים 2014'!$C$2:$L$188,3,0)/1000,0)</f>
        <v>0</v>
      </c>
      <c r="T832" s="1">
        <f>+IFERROR(VLOOKUP(T15,'נתוני מים 2014'!$C$2:$L$188,3,0)/1000,0)</f>
        <v>0</v>
      </c>
      <c r="U832" s="1">
        <f>+IFERROR(VLOOKUP(U15,'נתוני מים 2014'!$C$2:$L$188,3,0)/1000,0)</f>
        <v>0</v>
      </c>
      <c r="V832" s="1">
        <f>+IFERROR(VLOOKUP(V15,'נתוני מים 2014'!$C$2:$L$188,3,0)/1000,0)</f>
        <v>0</v>
      </c>
      <c r="W832" s="1">
        <f>+IFERROR(VLOOKUP(W15,'נתוני מים 2014'!$C$2:$L$188,3,0)/1000,0)</f>
        <v>0</v>
      </c>
      <c r="X832" s="1">
        <f>+IFERROR(VLOOKUP(X15,'נתוני מים 2014'!$C$2:$L$188,3,0)/1000,0)</f>
        <v>0</v>
      </c>
      <c r="Y832" s="1">
        <f>+IFERROR(VLOOKUP(Y15,'נתוני מים 2014'!$C$2:$L$188,3,0)/1000,0)</f>
        <v>0</v>
      </c>
      <c r="Z832" s="1">
        <f>+IFERROR(VLOOKUP(Z15,'נתוני מים 2014'!$C$2:$L$188,3,0)/1000,0)</f>
        <v>0</v>
      </c>
      <c r="AA832" s="1">
        <f>+IFERROR(VLOOKUP(AA15,'נתוני מים 2014'!$C$2:$L$188,3,0)/1000,0)</f>
        <v>0</v>
      </c>
      <c r="AB832" s="1">
        <f>+IFERROR(VLOOKUP(AB15,'נתוני מים 2014'!$C$2:$L$188,3,0)/1000,0)</f>
        <v>0</v>
      </c>
      <c r="AC832" s="1">
        <f>+IFERROR(VLOOKUP(AC15,'נתוני מים 2014'!$C$2:$L$188,3,0)/1000,0)</f>
        <v>0</v>
      </c>
      <c r="AD832" s="1">
        <f>+IFERROR(VLOOKUP(AD15,'נתוני מים 2014'!$C$2:$L$188,3,0)/1000,0)</f>
        <v>0</v>
      </c>
      <c r="AE832" s="1">
        <f>+IFERROR(VLOOKUP(AE15,'נתוני מים 2014'!$C$2:$L$188,3,0)/1000,0)</f>
        <v>0</v>
      </c>
      <c r="AF832" s="1">
        <f>+IFERROR(VLOOKUP(AF15,'נתוני מים 2014'!$C$2:$L$188,3,0)/1000,0)</f>
        <v>0</v>
      </c>
      <c r="AG832" s="1">
        <f>+IFERROR(VLOOKUP(AG15,'נתוני מים 2014'!$C$2:$L$188,3,0)/1000,0)</f>
        <v>0</v>
      </c>
      <c r="AH832" s="1">
        <f>+IFERROR(VLOOKUP(AH15,'נתוני מים 2014'!$C$2:$L$188,3,0)/1000,0)</f>
        <v>0</v>
      </c>
      <c r="AI832" s="1">
        <f>+IFERROR(VLOOKUP(AI15,'נתוני מים 2014'!$C$2:$L$188,3,0)/1000,0)</f>
        <v>0</v>
      </c>
      <c r="AJ832" s="1">
        <f>+IFERROR(VLOOKUP(AJ15,'נתוני מים 2014'!$C$2:$L$188,3,0)/1000,0)</f>
        <v>0</v>
      </c>
      <c r="AK832" s="1">
        <f>+IFERROR(VLOOKUP(AK15,'נתוני מים 2014'!$C$2:$L$188,3,0)/1000,0)</f>
        <v>0</v>
      </c>
      <c r="AL832" s="1">
        <f>+IFERROR(VLOOKUP(AL15,'נתוני מים 2014'!$C$2:$L$188,3,0)/1000,0)</f>
        <v>0</v>
      </c>
      <c r="AM832" s="1">
        <f>+IFERROR(VLOOKUP(AM15,'נתוני מים 2014'!$C$2:$L$188,3,0)/1000,0)</f>
        <v>0</v>
      </c>
      <c r="AN832" s="1">
        <f>+IFERROR(VLOOKUP(AN15,'נתוני מים 2014'!$C$2:$L$188,3,0)/1000,0)</f>
        <v>0</v>
      </c>
      <c r="AO832" s="1">
        <f>+IFERROR(VLOOKUP(AO15,'נתוני מים 2014'!$C$2:$L$188,3,0)/1000,0)</f>
        <v>0</v>
      </c>
      <c r="AP832" s="1">
        <f>+IFERROR(VLOOKUP(AP15,'נתוני מים 2014'!$C$2:$L$188,3,0)/1000,0)</f>
        <v>0</v>
      </c>
      <c r="AQ832" s="1">
        <f>+IFERROR(VLOOKUP(AQ15,'נתוני מים 2014'!$C$2:$L$188,3,0)/1000,0)</f>
        <v>0</v>
      </c>
      <c r="AR832" s="1">
        <f>+IFERROR(VLOOKUP(AR15,'נתוני מים 2014'!$C$2:$L$188,3,0)/1000,0)</f>
        <v>0</v>
      </c>
      <c r="AS832" s="1">
        <f>+IFERROR(VLOOKUP(AS15,'נתוני מים 2014'!$C$2:$L$188,3,0)/1000,0)</f>
        <v>0</v>
      </c>
      <c r="AT832" s="1">
        <f>+IFERROR(VLOOKUP(AT15,'נתוני מים 2014'!$C$2:$L$188,3,0)/1000,0)</f>
        <v>0</v>
      </c>
      <c r="AU832" s="1">
        <f>+IFERROR(VLOOKUP(AU15,'נתוני מים 2014'!$C$2:$L$188,3,0)/1000,0)</f>
        <v>0</v>
      </c>
      <c r="AV832" s="1">
        <f>+IFERROR(VLOOKUP(AV15,'נתוני מים 2014'!$C$2:$L$188,3,0)/1000,0)</f>
        <v>0</v>
      </c>
      <c r="AW832" s="1">
        <f>+IFERROR(VLOOKUP(AW15,'נתוני מים 2014'!$C$2:$L$188,3,0)/1000,0)</f>
        <v>0</v>
      </c>
      <c r="AX832" s="1">
        <f>+IFERROR(VLOOKUP(AX15,'נתוני מים 2014'!$C$2:$L$188,3,0)/1000,0)</f>
        <v>0</v>
      </c>
      <c r="AY832" s="1">
        <f>+IFERROR(VLOOKUP(AY15,'נתוני מים 2014'!$C$2:$L$188,3,0)/1000,0)</f>
        <v>0</v>
      </c>
      <c r="AZ832" s="1">
        <f>+IFERROR(VLOOKUP(AZ15,'נתוני מים 2014'!$C$2:$L$188,3,0)/1000,0)</f>
        <v>0</v>
      </c>
      <c r="BA832" s="1">
        <f>+IFERROR(VLOOKUP(BA15,'נתוני מים 2014'!$C$2:$L$188,3,0)/1000,0)</f>
        <v>0</v>
      </c>
      <c r="BB832" s="1">
        <f>+IFERROR(VLOOKUP(BB15,'נתוני מים 2014'!$C$2:$L$188,3,0)/1000,0)</f>
        <v>0</v>
      </c>
      <c r="BC832" s="1">
        <f>+IFERROR(VLOOKUP(BC15,'נתוני מים 2014'!$C$2:$L$188,3,0)/1000,0)</f>
        <v>0</v>
      </c>
      <c r="BD832" s="1">
        <f>+IFERROR(VLOOKUP(BD15,'נתוני מים 2014'!$C$2:$L$188,3,0)/1000,0)</f>
        <v>0</v>
      </c>
      <c r="BE832" s="1">
        <f>+IFERROR(VLOOKUP(BE15,'נתוני מים 2014'!$C$2:$L$188,3,0)/1000,0)</f>
        <v>0</v>
      </c>
      <c r="BF832" s="1">
        <f>+IFERROR(VLOOKUP(BF15,'נתוני מים 2014'!$C$2:$L$188,3,0)/1000,0)</f>
        <v>0</v>
      </c>
    </row>
    <row r="833" spans="2:58" x14ac:dyDescent="0.2">
      <c r="B833" s="1">
        <v>9</v>
      </c>
      <c r="C833" s="1">
        <f>+IFERROR(VLOOKUP(C16,'נתוני מים 2014'!$C$2:$L$188,3,0)/1000,0)</f>
        <v>0</v>
      </c>
      <c r="D833" s="1">
        <f>+IFERROR(VLOOKUP(D16,'נתוני מים 2014'!$C$2:$L$188,3,0)/1000,0)</f>
        <v>0</v>
      </c>
      <c r="E833" s="1">
        <f>+IFERROR(VLOOKUP(E16,'נתוני מים 2014'!$C$2:$L$188,3,0)/1000,0)</f>
        <v>0</v>
      </c>
      <c r="F833" s="1">
        <f>+IFERROR(VLOOKUP(F16,'נתוני מים 2014'!$C$2:$L$188,3,0)/1000,0)</f>
        <v>0</v>
      </c>
      <c r="G833" s="1">
        <f>+IFERROR(VLOOKUP(G16,'נתוני מים 2014'!$C$2:$L$188,3,0)/1000,0)</f>
        <v>0</v>
      </c>
      <c r="H833" s="1">
        <f>+IFERROR(VLOOKUP(H16,'נתוני מים 2014'!$C$2:$L$188,3,0)/1000,0)</f>
        <v>0</v>
      </c>
      <c r="I833" s="1">
        <f>+IFERROR(VLOOKUP(I16,'נתוני מים 2014'!$C$2:$L$188,3,0)/1000,0)</f>
        <v>0</v>
      </c>
      <c r="J833" s="1">
        <f>+IFERROR(VLOOKUP(J16,'נתוני מים 2014'!$C$2:$L$188,3,0)/1000,0)</f>
        <v>0</v>
      </c>
      <c r="K833" s="1">
        <f>+IFERROR(VLOOKUP(K16,'נתוני מים 2014'!$C$2:$L$188,3,0)/1000,0)</f>
        <v>0</v>
      </c>
      <c r="L833" s="1">
        <f>+IFERROR(VLOOKUP(L16,'נתוני מים 2014'!$C$2:$L$188,3,0)/1000,0)</f>
        <v>0</v>
      </c>
      <c r="M833" s="1">
        <f>+IFERROR(VLOOKUP(M16,'נתוני מים 2014'!$C$2:$L$188,3,0)/1000,0)</f>
        <v>0</v>
      </c>
      <c r="N833" s="1">
        <f>+IFERROR(VLOOKUP(N16,'נתוני מים 2014'!$C$2:$L$188,3,0)/1000,0)</f>
        <v>0</v>
      </c>
      <c r="O833" s="1">
        <f>+IFERROR(VLOOKUP(O16,'נתוני מים 2014'!$C$2:$L$188,3,0)/1000,0)</f>
        <v>0</v>
      </c>
      <c r="P833" s="1">
        <f>+IFERROR(VLOOKUP(P16,'נתוני מים 2014'!$C$2:$L$188,3,0)/1000,0)</f>
        <v>0</v>
      </c>
      <c r="Q833" s="1">
        <f>+IFERROR(VLOOKUP(Q16,'נתוני מים 2014'!$C$2:$L$188,3,0)/1000,0)</f>
        <v>0</v>
      </c>
      <c r="R833" s="1">
        <f>+IFERROR(VLOOKUP(R16,'נתוני מים 2014'!$C$2:$L$188,3,0)/1000,0)</f>
        <v>0</v>
      </c>
      <c r="S833" s="1">
        <f>+IFERROR(VLOOKUP(S16,'נתוני מים 2014'!$C$2:$L$188,3,0)/1000,0)</f>
        <v>0</v>
      </c>
      <c r="T833" s="1">
        <f>+IFERROR(VLOOKUP(T16,'נתוני מים 2014'!$C$2:$L$188,3,0)/1000,0)</f>
        <v>0</v>
      </c>
      <c r="U833" s="1">
        <f>+IFERROR(VLOOKUP(U16,'נתוני מים 2014'!$C$2:$L$188,3,0)/1000,0)</f>
        <v>0</v>
      </c>
      <c r="V833" s="1">
        <f>+IFERROR(VLOOKUP(V16,'נתוני מים 2014'!$C$2:$L$188,3,0)/1000,0)</f>
        <v>0</v>
      </c>
      <c r="W833" s="1">
        <f>+IFERROR(VLOOKUP(W16,'נתוני מים 2014'!$C$2:$L$188,3,0)/1000,0)</f>
        <v>0</v>
      </c>
      <c r="X833" s="1">
        <f>+IFERROR(VLOOKUP(X16,'נתוני מים 2014'!$C$2:$L$188,3,0)/1000,0)</f>
        <v>0</v>
      </c>
      <c r="Y833" s="1">
        <f>+IFERROR(VLOOKUP(Y16,'נתוני מים 2014'!$C$2:$L$188,3,0)/1000,0)</f>
        <v>0</v>
      </c>
      <c r="Z833" s="1">
        <f>+IFERROR(VLOOKUP(Z16,'נתוני מים 2014'!$C$2:$L$188,3,0)/1000,0)</f>
        <v>0</v>
      </c>
      <c r="AA833" s="1">
        <f>+IFERROR(VLOOKUP(AA16,'נתוני מים 2014'!$C$2:$L$188,3,0)/1000,0)</f>
        <v>0</v>
      </c>
      <c r="AB833" s="1">
        <f>+IFERROR(VLOOKUP(AB16,'נתוני מים 2014'!$C$2:$L$188,3,0)/1000,0)</f>
        <v>0</v>
      </c>
      <c r="AC833" s="1">
        <f>+IFERROR(VLOOKUP(AC16,'נתוני מים 2014'!$C$2:$L$188,3,0)/1000,0)</f>
        <v>0</v>
      </c>
      <c r="AD833" s="1">
        <f>+IFERROR(VLOOKUP(AD16,'נתוני מים 2014'!$C$2:$L$188,3,0)/1000,0)</f>
        <v>0</v>
      </c>
      <c r="AE833" s="1">
        <f>+IFERROR(VLOOKUP(AE16,'נתוני מים 2014'!$C$2:$L$188,3,0)/1000,0)</f>
        <v>0</v>
      </c>
      <c r="AF833" s="1">
        <f>+IFERROR(VLOOKUP(AF16,'נתוני מים 2014'!$C$2:$L$188,3,0)/1000,0)</f>
        <v>0</v>
      </c>
      <c r="AG833" s="1">
        <f>+IFERROR(VLOOKUP(AG16,'נתוני מים 2014'!$C$2:$L$188,3,0)/1000,0)</f>
        <v>0</v>
      </c>
      <c r="AH833" s="1">
        <f>+IFERROR(VLOOKUP(AH16,'נתוני מים 2014'!$C$2:$L$188,3,0)/1000,0)</f>
        <v>0</v>
      </c>
      <c r="AI833" s="1">
        <f>+IFERROR(VLOOKUP(AI16,'נתוני מים 2014'!$C$2:$L$188,3,0)/1000,0)</f>
        <v>0</v>
      </c>
      <c r="AJ833" s="1">
        <f>+IFERROR(VLOOKUP(AJ16,'נתוני מים 2014'!$C$2:$L$188,3,0)/1000,0)</f>
        <v>0</v>
      </c>
      <c r="AK833" s="1">
        <f>+IFERROR(VLOOKUP(AK16,'נתוני מים 2014'!$C$2:$L$188,3,0)/1000,0)</f>
        <v>0</v>
      </c>
      <c r="AL833" s="1">
        <f>+IFERROR(VLOOKUP(AL16,'נתוני מים 2014'!$C$2:$L$188,3,0)/1000,0)</f>
        <v>0</v>
      </c>
      <c r="AM833" s="1">
        <f>+IFERROR(VLOOKUP(AM16,'נתוני מים 2014'!$C$2:$L$188,3,0)/1000,0)</f>
        <v>0</v>
      </c>
      <c r="AN833" s="1">
        <f>+IFERROR(VLOOKUP(AN16,'נתוני מים 2014'!$C$2:$L$188,3,0)/1000,0)</f>
        <v>0</v>
      </c>
      <c r="AO833" s="1">
        <f>+IFERROR(VLOOKUP(AO16,'נתוני מים 2014'!$C$2:$L$188,3,0)/1000,0)</f>
        <v>0</v>
      </c>
      <c r="AP833" s="1">
        <f>+IFERROR(VLOOKUP(AP16,'נתוני מים 2014'!$C$2:$L$188,3,0)/1000,0)</f>
        <v>0</v>
      </c>
      <c r="AQ833" s="1">
        <f>+IFERROR(VLOOKUP(AQ16,'נתוני מים 2014'!$C$2:$L$188,3,0)/1000,0)</f>
        <v>0</v>
      </c>
      <c r="AR833" s="1">
        <f>+IFERROR(VLOOKUP(AR16,'נתוני מים 2014'!$C$2:$L$188,3,0)/1000,0)</f>
        <v>0</v>
      </c>
      <c r="AS833" s="1">
        <f>+IFERROR(VLOOKUP(AS16,'נתוני מים 2014'!$C$2:$L$188,3,0)/1000,0)</f>
        <v>0</v>
      </c>
      <c r="AT833" s="1">
        <f>+IFERROR(VLOOKUP(AT16,'נתוני מים 2014'!$C$2:$L$188,3,0)/1000,0)</f>
        <v>0</v>
      </c>
      <c r="AU833" s="1">
        <f>+IFERROR(VLOOKUP(AU16,'נתוני מים 2014'!$C$2:$L$188,3,0)/1000,0)</f>
        <v>0</v>
      </c>
      <c r="AV833" s="1">
        <f>+IFERROR(VLOOKUP(AV16,'נתוני מים 2014'!$C$2:$L$188,3,0)/1000,0)</f>
        <v>0</v>
      </c>
      <c r="AW833" s="1">
        <f>+IFERROR(VLOOKUP(AW16,'נתוני מים 2014'!$C$2:$L$188,3,0)/1000,0)</f>
        <v>0</v>
      </c>
      <c r="AX833" s="1">
        <f>+IFERROR(VLOOKUP(AX16,'נתוני מים 2014'!$C$2:$L$188,3,0)/1000,0)</f>
        <v>0</v>
      </c>
      <c r="AY833" s="1">
        <f>+IFERROR(VLOOKUP(AY16,'נתוני מים 2014'!$C$2:$L$188,3,0)/1000,0)</f>
        <v>0</v>
      </c>
      <c r="AZ833" s="1">
        <f>+IFERROR(VLOOKUP(AZ16,'נתוני מים 2014'!$C$2:$L$188,3,0)/1000,0)</f>
        <v>0</v>
      </c>
      <c r="BA833" s="1">
        <f>+IFERROR(VLOOKUP(BA16,'נתוני מים 2014'!$C$2:$L$188,3,0)/1000,0)</f>
        <v>0</v>
      </c>
      <c r="BB833" s="1">
        <f>+IFERROR(VLOOKUP(BB16,'נתוני מים 2014'!$C$2:$L$188,3,0)/1000,0)</f>
        <v>0</v>
      </c>
      <c r="BC833" s="1">
        <f>+IFERROR(VLOOKUP(BC16,'נתוני מים 2014'!$C$2:$L$188,3,0)/1000,0)</f>
        <v>0</v>
      </c>
      <c r="BD833" s="1">
        <f>+IFERROR(VLOOKUP(BD16,'נתוני מים 2014'!$C$2:$L$188,3,0)/1000,0)</f>
        <v>0</v>
      </c>
      <c r="BE833" s="1">
        <f>+IFERROR(VLOOKUP(BE16,'נתוני מים 2014'!$C$2:$L$188,3,0)/1000,0)</f>
        <v>0</v>
      </c>
      <c r="BF833" s="1">
        <f>+IFERROR(VLOOKUP(BF16,'נתוני מים 2014'!$C$2:$L$188,3,0)/1000,0)</f>
        <v>0</v>
      </c>
    </row>
    <row r="834" spans="2:58" x14ac:dyDescent="0.2">
      <c r="B834" s="1">
        <v>10</v>
      </c>
      <c r="C834" s="1">
        <f>+IFERROR(VLOOKUP(C17,'נתוני מים 2014'!$C$2:$L$188,3,0)/1000,0)</f>
        <v>0</v>
      </c>
      <c r="D834" s="1">
        <f>+IFERROR(VLOOKUP(D17,'נתוני מים 2014'!$C$2:$L$188,3,0)/1000,0)</f>
        <v>0</v>
      </c>
      <c r="E834" s="1">
        <f>+IFERROR(VLOOKUP(E17,'נתוני מים 2014'!$C$2:$L$188,3,0)/1000,0)</f>
        <v>0</v>
      </c>
      <c r="F834" s="1">
        <f>+IFERROR(VLOOKUP(F17,'נתוני מים 2014'!$C$2:$L$188,3,0)/1000,0)</f>
        <v>0</v>
      </c>
      <c r="G834" s="1">
        <f>+IFERROR(VLOOKUP(G17,'נתוני מים 2014'!$C$2:$L$188,3,0)/1000,0)</f>
        <v>0</v>
      </c>
      <c r="H834" s="1">
        <f>+IFERROR(VLOOKUP(H17,'נתוני מים 2014'!$C$2:$L$188,3,0)/1000,0)</f>
        <v>0</v>
      </c>
      <c r="I834" s="1">
        <f>+IFERROR(VLOOKUP(I17,'נתוני מים 2014'!$C$2:$L$188,3,0)/1000,0)</f>
        <v>0</v>
      </c>
      <c r="J834" s="1">
        <f>+IFERROR(VLOOKUP(J17,'נתוני מים 2014'!$C$2:$L$188,3,0)/1000,0)</f>
        <v>0</v>
      </c>
      <c r="K834" s="1">
        <f>+IFERROR(VLOOKUP(K17,'נתוני מים 2014'!$C$2:$L$188,3,0)/1000,0)</f>
        <v>0</v>
      </c>
      <c r="L834" s="1">
        <f>+IFERROR(VLOOKUP(L17,'נתוני מים 2014'!$C$2:$L$188,3,0)/1000,0)</f>
        <v>0</v>
      </c>
      <c r="M834" s="1">
        <f>+IFERROR(VLOOKUP(M17,'נתוני מים 2014'!$C$2:$L$188,3,0)/1000,0)</f>
        <v>0</v>
      </c>
      <c r="N834" s="1">
        <f>+IFERROR(VLOOKUP(N17,'נתוני מים 2014'!$C$2:$L$188,3,0)/1000,0)</f>
        <v>0</v>
      </c>
      <c r="O834" s="1">
        <f>+IFERROR(VLOOKUP(O17,'נתוני מים 2014'!$C$2:$L$188,3,0)/1000,0)</f>
        <v>0</v>
      </c>
      <c r="P834" s="1">
        <f>+IFERROR(VLOOKUP(P17,'נתוני מים 2014'!$C$2:$L$188,3,0)/1000,0)</f>
        <v>0</v>
      </c>
      <c r="Q834" s="1">
        <f>+IFERROR(VLOOKUP(Q17,'נתוני מים 2014'!$C$2:$L$188,3,0)/1000,0)</f>
        <v>0</v>
      </c>
      <c r="R834" s="1">
        <f>+IFERROR(VLOOKUP(R17,'נתוני מים 2014'!$C$2:$L$188,3,0)/1000,0)</f>
        <v>0</v>
      </c>
      <c r="S834" s="1">
        <f>+IFERROR(VLOOKUP(S17,'נתוני מים 2014'!$C$2:$L$188,3,0)/1000,0)</f>
        <v>0</v>
      </c>
      <c r="T834" s="1">
        <f>+IFERROR(VLOOKUP(T17,'נתוני מים 2014'!$C$2:$L$188,3,0)/1000,0)</f>
        <v>0</v>
      </c>
      <c r="U834" s="1">
        <f>+IFERROR(VLOOKUP(U17,'נתוני מים 2014'!$C$2:$L$188,3,0)/1000,0)</f>
        <v>0</v>
      </c>
      <c r="V834" s="1">
        <f>+IFERROR(VLOOKUP(V17,'נתוני מים 2014'!$C$2:$L$188,3,0)/1000,0)</f>
        <v>0</v>
      </c>
      <c r="W834" s="1">
        <f>+IFERROR(VLOOKUP(W17,'נתוני מים 2014'!$C$2:$L$188,3,0)/1000,0)</f>
        <v>0</v>
      </c>
      <c r="X834" s="1">
        <f>+IFERROR(VLOOKUP(X17,'נתוני מים 2014'!$C$2:$L$188,3,0)/1000,0)</f>
        <v>0</v>
      </c>
      <c r="Y834" s="1">
        <f>+IFERROR(VLOOKUP(Y17,'נתוני מים 2014'!$C$2:$L$188,3,0)/1000,0)</f>
        <v>0</v>
      </c>
      <c r="Z834" s="1">
        <f>+IFERROR(VLOOKUP(Z17,'נתוני מים 2014'!$C$2:$L$188,3,0)/1000,0)</f>
        <v>0</v>
      </c>
      <c r="AA834" s="1">
        <f>+IFERROR(VLOOKUP(AA17,'נתוני מים 2014'!$C$2:$L$188,3,0)/1000,0)</f>
        <v>0</v>
      </c>
      <c r="AB834" s="1">
        <f>+IFERROR(VLOOKUP(AB17,'נתוני מים 2014'!$C$2:$L$188,3,0)/1000,0)</f>
        <v>0</v>
      </c>
      <c r="AC834" s="1">
        <f>+IFERROR(VLOOKUP(AC17,'נתוני מים 2014'!$C$2:$L$188,3,0)/1000,0)</f>
        <v>0</v>
      </c>
      <c r="AD834" s="1">
        <f>+IFERROR(VLOOKUP(AD17,'נתוני מים 2014'!$C$2:$L$188,3,0)/1000,0)</f>
        <v>0</v>
      </c>
      <c r="AE834" s="1">
        <f>+IFERROR(VLOOKUP(AE17,'נתוני מים 2014'!$C$2:$L$188,3,0)/1000,0)</f>
        <v>0</v>
      </c>
      <c r="AF834" s="1">
        <f>+IFERROR(VLOOKUP(AF17,'נתוני מים 2014'!$C$2:$L$188,3,0)/1000,0)</f>
        <v>0</v>
      </c>
      <c r="AG834" s="1">
        <f>+IFERROR(VLOOKUP(AG17,'נתוני מים 2014'!$C$2:$L$188,3,0)/1000,0)</f>
        <v>0</v>
      </c>
      <c r="AH834" s="1">
        <f>+IFERROR(VLOOKUP(AH17,'נתוני מים 2014'!$C$2:$L$188,3,0)/1000,0)</f>
        <v>0</v>
      </c>
      <c r="AI834" s="1">
        <f>+IFERROR(VLOOKUP(AI17,'נתוני מים 2014'!$C$2:$L$188,3,0)/1000,0)</f>
        <v>0</v>
      </c>
      <c r="AJ834" s="1">
        <f>+IFERROR(VLOOKUP(AJ17,'נתוני מים 2014'!$C$2:$L$188,3,0)/1000,0)</f>
        <v>0</v>
      </c>
      <c r="AK834" s="1">
        <f>+IFERROR(VLOOKUP(AK17,'נתוני מים 2014'!$C$2:$L$188,3,0)/1000,0)</f>
        <v>0</v>
      </c>
      <c r="AL834" s="1">
        <f>+IFERROR(VLOOKUP(AL17,'נתוני מים 2014'!$C$2:$L$188,3,0)/1000,0)</f>
        <v>0</v>
      </c>
      <c r="AM834" s="1">
        <f>+IFERROR(VLOOKUP(AM17,'נתוני מים 2014'!$C$2:$L$188,3,0)/1000,0)</f>
        <v>0</v>
      </c>
      <c r="AN834" s="1">
        <f>+IFERROR(VLOOKUP(AN17,'נתוני מים 2014'!$C$2:$L$188,3,0)/1000,0)</f>
        <v>0</v>
      </c>
      <c r="AO834" s="1">
        <f>+IFERROR(VLOOKUP(AO17,'נתוני מים 2014'!$C$2:$L$188,3,0)/1000,0)</f>
        <v>0</v>
      </c>
      <c r="AP834" s="1">
        <f>+IFERROR(VLOOKUP(AP17,'נתוני מים 2014'!$C$2:$L$188,3,0)/1000,0)</f>
        <v>0</v>
      </c>
      <c r="AQ834" s="1">
        <f>+IFERROR(VLOOKUP(AQ17,'נתוני מים 2014'!$C$2:$L$188,3,0)/1000,0)</f>
        <v>0</v>
      </c>
      <c r="AR834" s="1">
        <f>+IFERROR(VLOOKUP(AR17,'נתוני מים 2014'!$C$2:$L$188,3,0)/1000,0)</f>
        <v>0</v>
      </c>
      <c r="AS834" s="1">
        <f>+IFERROR(VLOOKUP(AS17,'נתוני מים 2014'!$C$2:$L$188,3,0)/1000,0)</f>
        <v>0</v>
      </c>
      <c r="AT834" s="1">
        <f>+IFERROR(VLOOKUP(AT17,'נתוני מים 2014'!$C$2:$L$188,3,0)/1000,0)</f>
        <v>0</v>
      </c>
      <c r="AU834" s="1">
        <f>+IFERROR(VLOOKUP(AU17,'נתוני מים 2014'!$C$2:$L$188,3,0)/1000,0)</f>
        <v>0</v>
      </c>
      <c r="AV834" s="1">
        <f>+IFERROR(VLOOKUP(AV17,'נתוני מים 2014'!$C$2:$L$188,3,0)/1000,0)</f>
        <v>0</v>
      </c>
      <c r="AW834" s="1">
        <f>+IFERROR(VLOOKUP(AW17,'נתוני מים 2014'!$C$2:$L$188,3,0)/1000,0)</f>
        <v>0</v>
      </c>
      <c r="AX834" s="1">
        <f>+IFERROR(VLOOKUP(AX17,'נתוני מים 2014'!$C$2:$L$188,3,0)/1000,0)</f>
        <v>0</v>
      </c>
      <c r="AY834" s="1">
        <f>+IFERROR(VLOOKUP(AY17,'נתוני מים 2014'!$C$2:$L$188,3,0)/1000,0)</f>
        <v>0</v>
      </c>
      <c r="AZ834" s="1">
        <f>+IFERROR(VLOOKUP(AZ17,'נתוני מים 2014'!$C$2:$L$188,3,0)/1000,0)</f>
        <v>0</v>
      </c>
      <c r="BA834" s="1">
        <f>+IFERROR(VLOOKUP(BA17,'נתוני מים 2014'!$C$2:$L$188,3,0)/1000,0)</f>
        <v>0</v>
      </c>
      <c r="BB834" s="1">
        <f>+IFERROR(VLOOKUP(BB17,'נתוני מים 2014'!$C$2:$L$188,3,0)/1000,0)</f>
        <v>0</v>
      </c>
      <c r="BC834" s="1">
        <f>+IFERROR(VLOOKUP(BC17,'נתוני מים 2014'!$C$2:$L$188,3,0)/1000,0)</f>
        <v>0</v>
      </c>
      <c r="BD834" s="1">
        <f>+IFERROR(VLOOKUP(BD17,'נתוני מים 2014'!$C$2:$L$188,3,0)/1000,0)</f>
        <v>0</v>
      </c>
      <c r="BE834" s="1">
        <f>+IFERROR(VLOOKUP(BE17,'נתוני מים 2014'!$C$2:$L$188,3,0)/1000,0)</f>
        <v>0</v>
      </c>
      <c r="BF834" s="1">
        <f>+IFERROR(VLOOKUP(BF17,'נתוני מים 2014'!$C$2:$L$188,3,0)/1000,0)</f>
        <v>0</v>
      </c>
    </row>
    <row r="835" spans="2:58" x14ac:dyDescent="0.2">
      <c r="B835" s="1">
        <v>11</v>
      </c>
      <c r="C835" s="1">
        <f>+IFERROR(VLOOKUP(C18,'נתוני מים 2014'!$C$2:$L$188,3,0)/1000,0)</f>
        <v>0</v>
      </c>
      <c r="D835" s="1">
        <f>+IFERROR(VLOOKUP(D18,'נתוני מים 2014'!$C$2:$L$188,3,0)/1000,0)</f>
        <v>0</v>
      </c>
      <c r="E835" s="1">
        <f>+IFERROR(VLOOKUP(E18,'נתוני מים 2014'!$C$2:$L$188,3,0)/1000,0)</f>
        <v>0</v>
      </c>
      <c r="F835" s="1">
        <f>+IFERROR(VLOOKUP(F18,'נתוני מים 2014'!$C$2:$L$188,3,0)/1000,0)</f>
        <v>0</v>
      </c>
      <c r="G835" s="1">
        <f>+IFERROR(VLOOKUP(G18,'נתוני מים 2014'!$C$2:$L$188,3,0)/1000,0)</f>
        <v>0</v>
      </c>
      <c r="H835" s="1">
        <f>+IFERROR(VLOOKUP(H18,'נתוני מים 2014'!$C$2:$L$188,3,0)/1000,0)</f>
        <v>0</v>
      </c>
      <c r="I835" s="1">
        <f>+IFERROR(VLOOKUP(I18,'נתוני מים 2014'!$C$2:$L$188,3,0)/1000,0)</f>
        <v>0</v>
      </c>
      <c r="J835" s="1">
        <f>+IFERROR(VLOOKUP(J18,'נתוני מים 2014'!$C$2:$L$188,3,0)/1000,0)</f>
        <v>0</v>
      </c>
      <c r="K835" s="1">
        <f>+IFERROR(VLOOKUP(K18,'נתוני מים 2014'!$C$2:$L$188,3,0)/1000,0)</f>
        <v>0</v>
      </c>
      <c r="L835" s="1">
        <f>+IFERROR(VLOOKUP(L18,'נתוני מים 2014'!$C$2:$L$188,3,0)/1000,0)</f>
        <v>0</v>
      </c>
      <c r="M835" s="1">
        <f>+IFERROR(VLOOKUP(M18,'נתוני מים 2014'!$C$2:$L$188,3,0)/1000,0)</f>
        <v>0</v>
      </c>
      <c r="N835" s="1">
        <f>+IFERROR(VLOOKUP(N18,'נתוני מים 2014'!$C$2:$L$188,3,0)/1000,0)</f>
        <v>0</v>
      </c>
      <c r="O835" s="1">
        <f>+IFERROR(VLOOKUP(O18,'נתוני מים 2014'!$C$2:$L$188,3,0)/1000,0)</f>
        <v>0</v>
      </c>
      <c r="P835" s="1">
        <f>+IFERROR(VLOOKUP(P18,'נתוני מים 2014'!$C$2:$L$188,3,0)/1000,0)</f>
        <v>0</v>
      </c>
      <c r="Q835" s="1">
        <f>+IFERROR(VLOOKUP(Q18,'נתוני מים 2014'!$C$2:$L$188,3,0)/1000,0)</f>
        <v>0</v>
      </c>
      <c r="R835" s="1">
        <f>+IFERROR(VLOOKUP(R18,'נתוני מים 2014'!$C$2:$L$188,3,0)/1000,0)</f>
        <v>0</v>
      </c>
      <c r="S835" s="1">
        <f>+IFERROR(VLOOKUP(S18,'נתוני מים 2014'!$C$2:$L$188,3,0)/1000,0)</f>
        <v>0</v>
      </c>
      <c r="T835" s="1">
        <f>+IFERROR(VLOOKUP(T18,'נתוני מים 2014'!$C$2:$L$188,3,0)/1000,0)</f>
        <v>0</v>
      </c>
      <c r="U835" s="1">
        <f>+IFERROR(VLOOKUP(U18,'נתוני מים 2014'!$C$2:$L$188,3,0)/1000,0)</f>
        <v>0</v>
      </c>
      <c r="V835" s="1">
        <f>+IFERROR(VLOOKUP(V18,'נתוני מים 2014'!$C$2:$L$188,3,0)/1000,0)</f>
        <v>0</v>
      </c>
      <c r="W835" s="1">
        <f>+IFERROR(VLOOKUP(W18,'נתוני מים 2014'!$C$2:$L$188,3,0)/1000,0)</f>
        <v>0</v>
      </c>
      <c r="X835" s="1">
        <f>+IFERROR(VLOOKUP(X18,'נתוני מים 2014'!$C$2:$L$188,3,0)/1000,0)</f>
        <v>0</v>
      </c>
      <c r="Y835" s="1">
        <f>+IFERROR(VLOOKUP(Y18,'נתוני מים 2014'!$C$2:$L$188,3,0)/1000,0)</f>
        <v>0</v>
      </c>
      <c r="Z835" s="1">
        <f>+IFERROR(VLOOKUP(Z18,'נתוני מים 2014'!$C$2:$L$188,3,0)/1000,0)</f>
        <v>0</v>
      </c>
      <c r="AA835" s="1">
        <f>+IFERROR(VLOOKUP(AA18,'נתוני מים 2014'!$C$2:$L$188,3,0)/1000,0)</f>
        <v>0</v>
      </c>
      <c r="AB835" s="1">
        <f>+IFERROR(VLOOKUP(AB18,'נתוני מים 2014'!$C$2:$L$188,3,0)/1000,0)</f>
        <v>0</v>
      </c>
      <c r="AC835" s="1">
        <f>+IFERROR(VLOOKUP(AC18,'נתוני מים 2014'!$C$2:$L$188,3,0)/1000,0)</f>
        <v>0</v>
      </c>
      <c r="AD835" s="1">
        <f>+IFERROR(VLOOKUP(AD18,'נתוני מים 2014'!$C$2:$L$188,3,0)/1000,0)</f>
        <v>0</v>
      </c>
      <c r="AE835" s="1">
        <f>+IFERROR(VLOOKUP(AE18,'נתוני מים 2014'!$C$2:$L$188,3,0)/1000,0)</f>
        <v>0</v>
      </c>
      <c r="AF835" s="1">
        <f>+IFERROR(VLOOKUP(AF18,'נתוני מים 2014'!$C$2:$L$188,3,0)/1000,0)</f>
        <v>0</v>
      </c>
      <c r="AG835" s="1">
        <f>+IFERROR(VLOOKUP(AG18,'נתוני מים 2014'!$C$2:$L$188,3,0)/1000,0)</f>
        <v>0</v>
      </c>
      <c r="AH835" s="1">
        <f>+IFERROR(VLOOKUP(AH18,'נתוני מים 2014'!$C$2:$L$188,3,0)/1000,0)</f>
        <v>0</v>
      </c>
      <c r="AI835" s="1">
        <f>+IFERROR(VLOOKUP(AI18,'נתוני מים 2014'!$C$2:$L$188,3,0)/1000,0)</f>
        <v>0</v>
      </c>
      <c r="AJ835" s="1">
        <f>+IFERROR(VLOOKUP(AJ18,'נתוני מים 2014'!$C$2:$L$188,3,0)/1000,0)</f>
        <v>0</v>
      </c>
      <c r="AK835" s="1">
        <f>+IFERROR(VLOOKUP(AK18,'נתוני מים 2014'!$C$2:$L$188,3,0)/1000,0)</f>
        <v>0</v>
      </c>
      <c r="AL835" s="1">
        <f>+IFERROR(VLOOKUP(AL18,'נתוני מים 2014'!$C$2:$L$188,3,0)/1000,0)</f>
        <v>0</v>
      </c>
      <c r="AM835" s="1">
        <f>+IFERROR(VLOOKUP(AM18,'נתוני מים 2014'!$C$2:$L$188,3,0)/1000,0)</f>
        <v>0</v>
      </c>
      <c r="AN835" s="1">
        <f>+IFERROR(VLOOKUP(AN18,'נתוני מים 2014'!$C$2:$L$188,3,0)/1000,0)</f>
        <v>0</v>
      </c>
      <c r="AO835" s="1">
        <f>+IFERROR(VLOOKUP(AO18,'נתוני מים 2014'!$C$2:$L$188,3,0)/1000,0)</f>
        <v>0</v>
      </c>
      <c r="AP835" s="1">
        <f>+IFERROR(VLOOKUP(AP18,'נתוני מים 2014'!$C$2:$L$188,3,0)/1000,0)</f>
        <v>0</v>
      </c>
      <c r="AQ835" s="1">
        <f>+IFERROR(VLOOKUP(AQ18,'נתוני מים 2014'!$C$2:$L$188,3,0)/1000,0)</f>
        <v>0</v>
      </c>
      <c r="AR835" s="1">
        <f>+IFERROR(VLOOKUP(AR18,'נתוני מים 2014'!$C$2:$L$188,3,0)/1000,0)</f>
        <v>0</v>
      </c>
      <c r="AS835" s="1">
        <f>+IFERROR(VLOOKUP(AS18,'נתוני מים 2014'!$C$2:$L$188,3,0)/1000,0)</f>
        <v>0</v>
      </c>
      <c r="AT835" s="1">
        <f>+IFERROR(VLOOKUP(AT18,'נתוני מים 2014'!$C$2:$L$188,3,0)/1000,0)</f>
        <v>0</v>
      </c>
      <c r="AU835" s="1">
        <f>+IFERROR(VLOOKUP(AU18,'נתוני מים 2014'!$C$2:$L$188,3,0)/1000,0)</f>
        <v>0</v>
      </c>
      <c r="AV835" s="1">
        <f>+IFERROR(VLOOKUP(AV18,'נתוני מים 2014'!$C$2:$L$188,3,0)/1000,0)</f>
        <v>0</v>
      </c>
      <c r="AW835" s="1">
        <f>+IFERROR(VLOOKUP(AW18,'נתוני מים 2014'!$C$2:$L$188,3,0)/1000,0)</f>
        <v>0</v>
      </c>
      <c r="AX835" s="1">
        <f>+IFERROR(VLOOKUP(AX18,'נתוני מים 2014'!$C$2:$L$188,3,0)/1000,0)</f>
        <v>0</v>
      </c>
      <c r="AY835" s="1">
        <f>+IFERROR(VLOOKUP(AY18,'נתוני מים 2014'!$C$2:$L$188,3,0)/1000,0)</f>
        <v>0</v>
      </c>
      <c r="AZ835" s="1">
        <f>+IFERROR(VLOOKUP(AZ18,'נתוני מים 2014'!$C$2:$L$188,3,0)/1000,0)</f>
        <v>0</v>
      </c>
      <c r="BA835" s="1">
        <f>+IFERROR(VLOOKUP(BA18,'נתוני מים 2014'!$C$2:$L$188,3,0)/1000,0)</f>
        <v>0</v>
      </c>
      <c r="BB835" s="1">
        <f>+IFERROR(VLOOKUP(BB18,'נתוני מים 2014'!$C$2:$L$188,3,0)/1000,0)</f>
        <v>0</v>
      </c>
      <c r="BC835" s="1">
        <f>+IFERROR(VLOOKUP(BC18,'נתוני מים 2014'!$C$2:$L$188,3,0)/1000,0)</f>
        <v>0</v>
      </c>
      <c r="BD835" s="1">
        <f>+IFERROR(VLOOKUP(BD18,'נתוני מים 2014'!$C$2:$L$188,3,0)/1000,0)</f>
        <v>0</v>
      </c>
      <c r="BE835" s="1">
        <f>+IFERROR(VLOOKUP(BE18,'נתוני מים 2014'!$C$2:$L$188,3,0)/1000,0)</f>
        <v>0</v>
      </c>
      <c r="BF835" s="1">
        <f>+IFERROR(VLOOKUP(BF18,'נתוני מים 2014'!$C$2:$L$188,3,0)/1000,0)</f>
        <v>0</v>
      </c>
    </row>
    <row r="836" spans="2:58" x14ac:dyDescent="0.2">
      <c r="B836" s="1">
        <v>12</v>
      </c>
      <c r="C836" s="1">
        <f>+IFERROR(VLOOKUP(C19,'נתוני מים 2014'!$C$2:$L$188,3,0)/1000,0)</f>
        <v>0</v>
      </c>
      <c r="D836" s="1">
        <f>+IFERROR(VLOOKUP(D19,'נתוני מים 2014'!$C$2:$L$188,3,0)/1000,0)</f>
        <v>0</v>
      </c>
      <c r="E836" s="1">
        <f>+IFERROR(VLOOKUP(E19,'נתוני מים 2014'!$C$2:$L$188,3,0)/1000,0)</f>
        <v>0</v>
      </c>
      <c r="F836" s="1">
        <f>+IFERROR(VLOOKUP(F19,'נתוני מים 2014'!$C$2:$L$188,3,0)/1000,0)</f>
        <v>0</v>
      </c>
      <c r="G836" s="1">
        <f>+IFERROR(VLOOKUP(G19,'נתוני מים 2014'!$C$2:$L$188,3,0)/1000,0)</f>
        <v>0</v>
      </c>
      <c r="H836" s="1">
        <f>+IFERROR(VLOOKUP(H19,'נתוני מים 2014'!$C$2:$L$188,3,0)/1000,0)</f>
        <v>0</v>
      </c>
      <c r="I836" s="1">
        <f>+IFERROR(VLOOKUP(I19,'נתוני מים 2014'!$C$2:$L$188,3,0)/1000,0)</f>
        <v>0</v>
      </c>
      <c r="J836" s="1">
        <f>+IFERROR(VLOOKUP(J19,'נתוני מים 2014'!$C$2:$L$188,3,0)/1000,0)</f>
        <v>0</v>
      </c>
      <c r="K836" s="1">
        <f>+IFERROR(VLOOKUP(K19,'נתוני מים 2014'!$C$2:$L$188,3,0)/1000,0)</f>
        <v>0</v>
      </c>
      <c r="L836" s="1">
        <f>+IFERROR(VLOOKUP(L19,'נתוני מים 2014'!$C$2:$L$188,3,0)/1000,0)</f>
        <v>0</v>
      </c>
      <c r="M836" s="1">
        <f>+IFERROR(VLOOKUP(M19,'נתוני מים 2014'!$C$2:$L$188,3,0)/1000,0)</f>
        <v>0</v>
      </c>
      <c r="N836" s="1">
        <f>+IFERROR(VLOOKUP(N19,'נתוני מים 2014'!$C$2:$L$188,3,0)/1000,0)</f>
        <v>0</v>
      </c>
      <c r="O836" s="1">
        <f>+IFERROR(VLOOKUP(O19,'נתוני מים 2014'!$C$2:$L$188,3,0)/1000,0)</f>
        <v>0</v>
      </c>
      <c r="P836" s="1">
        <f>+IFERROR(VLOOKUP(P19,'נתוני מים 2014'!$C$2:$L$188,3,0)/1000,0)</f>
        <v>0</v>
      </c>
      <c r="Q836" s="1">
        <f>+IFERROR(VLOOKUP(Q19,'נתוני מים 2014'!$C$2:$L$188,3,0)/1000,0)</f>
        <v>0</v>
      </c>
      <c r="R836" s="1">
        <f>+IFERROR(VLOOKUP(R19,'נתוני מים 2014'!$C$2:$L$188,3,0)/1000,0)</f>
        <v>0</v>
      </c>
      <c r="S836" s="1">
        <f>+IFERROR(VLOOKUP(S19,'נתוני מים 2014'!$C$2:$L$188,3,0)/1000,0)</f>
        <v>0</v>
      </c>
      <c r="T836" s="1">
        <f>+IFERROR(VLOOKUP(T19,'נתוני מים 2014'!$C$2:$L$188,3,0)/1000,0)</f>
        <v>0</v>
      </c>
      <c r="U836" s="1">
        <f>+IFERROR(VLOOKUP(U19,'נתוני מים 2014'!$C$2:$L$188,3,0)/1000,0)</f>
        <v>0</v>
      </c>
      <c r="V836" s="1">
        <f>+IFERROR(VLOOKUP(V19,'נתוני מים 2014'!$C$2:$L$188,3,0)/1000,0)</f>
        <v>0</v>
      </c>
      <c r="W836" s="1">
        <f>+IFERROR(VLOOKUP(W19,'נתוני מים 2014'!$C$2:$L$188,3,0)/1000,0)</f>
        <v>0</v>
      </c>
      <c r="X836" s="1">
        <f>+IFERROR(VLOOKUP(X19,'נתוני מים 2014'!$C$2:$L$188,3,0)/1000,0)</f>
        <v>0</v>
      </c>
      <c r="Y836" s="1">
        <f>+IFERROR(VLOOKUP(Y19,'נתוני מים 2014'!$C$2:$L$188,3,0)/1000,0)</f>
        <v>0</v>
      </c>
      <c r="Z836" s="1">
        <f>+IFERROR(VLOOKUP(Z19,'נתוני מים 2014'!$C$2:$L$188,3,0)/1000,0)</f>
        <v>0</v>
      </c>
      <c r="AA836" s="1">
        <f>+IFERROR(VLOOKUP(AA19,'נתוני מים 2014'!$C$2:$L$188,3,0)/1000,0)</f>
        <v>0</v>
      </c>
      <c r="AB836" s="1">
        <f>+IFERROR(VLOOKUP(AB19,'נתוני מים 2014'!$C$2:$L$188,3,0)/1000,0)</f>
        <v>0</v>
      </c>
      <c r="AC836" s="1">
        <f>+IFERROR(VLOOKUP(AC19,'נתוני מים 2014'!$C$2:$L$188,3,0)/1000,0)</f>
        <v>0</v>
      </c>
      <c r="AD836" s="1">
        <f>+IFERROR(VLOOKUP(AD19,'נתוני מים 2014'!$C$2:$L$188,3,0)/1000,0)</f>
        <v>0</v>
      </c>
      <c r="AE836" s="1">
        <f>+IFERROR(VLOOKUP(AE19,'נתוני מים 2014'!$C$2:$L$188,3,0)/1000,0)</f>
        <v>0</v>
      </c>
      <c r="AF836" s="1">
        <f>+IFERROR(VLOOKUP(AF19,'נתוני מים 2014'!$C$2:$L$188,3,0)/1000,0)</f>
        <v>0</v>
      </c>
      <c r="AG836" s="1">
        <f>+IFERROR(VLOOKUP(AG19,'נתוני מים 2014'!$C$2:$L$188,3,0)/1000,0)</f>
        <v>0</v>
      </c>
      <c r="AH836" s="1">
        <f>+IFERROR(VLOOKUP(AH19,'נתוני מים 2014'!$C$2:$L$188,3,0)/1000,0)</f>
        <v>0</v>
      </c>
      <c r="AI836" s="1">
        <f>+IFERROR(VLOOKUP(AI19,'נתוני מים 2014'!$C$2:$L$188,3,0)/1000,0)</f>
        <v>0</v>
      </c>
      <c r="AJ836" s="1">
        <f>+IFERROR(VLOOKUP(AJ19,'נתוני מים 2014'!$C$2:$L$188,3,0)/1000,0)</f>
        <v>0</v>
      </c>
      <c r="AK836" s="1">
        <f>+IFERROR(VLOOKUP(AK19,'נתוני מים 2014'!$C$2:$L$188,3,0)/1000,0)</f>
        <v>0</v>
      </c>
      <c r="AL836" s="1">
        <f>+IFERROR(VLOOKUP(AL19,'נתוני מים 2014'!$C$2:$L$188,3,0)/1000,0)</f>
        <v>0</v>
      </c>
      <c r="AM836" s="1">
        <f>+IFERROR(VLOOKUP(AM19,'נתוני מים 2014'!$C$2:$L$188,3,0)/1000,0)</f>
        <v>0</v>
      </c>
      <c r="AN836" s="1">
        <f>+IFERROR(VLOOKUP(AN19,'נתוני מים 2014'!$C$2:$L$188,3,0)/1000,0)</f>
        <v>0</v>
      </c>
      <c r="AO836" s="1">
        <f>+IFERROR(VLOOKUP(AO19,'נתוני מים 2014'!$C$2:$L$188,3,0)/1000,0)</f>
        <v>0</v>
      </c>
      <c r="AP836" s="1">
        <f>+IFERROR(VLOOKUP(AP19,'נתוני מים 2014'!$C$2:$L$188,3,0)/1000,0)</f>
        <v>0</v>
      </c>
      <c r="AQ836" s="1">
        <f>+IFERROR(VLOOKUP(AQ19,'נתוני מים 2014'!$C$2:$L$188,3,0)/1000,0)</f>
        <v>0</v>
      </c>
      <c r="AR836" s="1">
        <f>+IFERROR(VLOOKUP(AR19,'נתוני מים 2014'!$C$2:$L$188,3,0)/1000,0)</f>
        <v>0</v>
      </c>
      <c r="AS836" s="1">
        <f>+IFERROR(VLOOKUP(AS19,'נתוני מים 2014'!$C$2:$L$188,3,0)/1000,0)</f>
        <v>0</v>
      </c>
      <c r="AT836" s="1">
        <f>+IFERROR(VLOOKUP(AT19,'נתוני מים 2014'!$C$2:$L$188,3,0)/1000,0)</f>
        <v>0</v>
      </c>
      <c r="AU836" s="1">
        <f>+IFERROR(VLOOKUP(AU19,'נתוני מים 2014'!$C$2:$L$188,3,0)/1000,0)</f>
        <v>0</v>
      </c>
      <c r="AV836" s="1">
        <f>+IFERROR(VLOOKUP(AV19,'נתוני מים 2014'!$C$2:$L$188,3,0)/1000,0)</f>
        <v>0</v>
      </c>
      <c r="AW836" s="1">
        <f>+IFERROR(VLOOKUP(AW19,'נתוני מים 2014'!$C$2:$L$188,3,0)/1000,0)</f>
        <v>0</v>
      </c>
      <c r="AX836" s="1">
        <f>+IFERROR(VLOOKUP(AX19,'נתוני מים 2014'!$C$2:$L$188,3,0)/1000,0)</f>
        <v>0</v>
      </c>
      <c r="AY836" s="1">
        <f>+IFERROR(VLOOKUP(AY19,'נתוני מים 2014'!$C$2:$L$188,3,0)/1000,0)</f>
        <v>0</v>
      </c>
      <c r="AZ836" s="1">
        <f>+IFERROR(VLOOKUP(AZ19,'נתוני מים 2014'!$C$2:$L$188,3,0)/1000,0)</f>
        <v>0</v>
      </c>
      <c r="BA836" s="1">
        <f>+IFERROR(VLOOKUP(BA19,'נתוני מים 2014'!$C$2:$L$188,3,0)/1000,0)</f>
        <v>0</v>
      </c>
      <c r="BB836" s="1">
        <f>+IFERROR(VLOOKUP(BB19,'נתוני מים 2014'!$C$2:$L$188,3,0)/1000,0)</f>
        <v>0</v>
      </c>
      <c r="BC836" s="1">
        <f>+IFERROR(VLOOKUP(BC19,'נתוני מים 2014'!$C$2:$L$188,3,0)/1000,0)</f>
        <v>0</v>
      </c>
      <c r="BD836" s="1">
        <f>+IFERROR(VLOOKUP(BD19,'נתוני מים 2014'!$C$2:$L$188,3,0)/1000,0)</f>
        <v>0</v>
      </c>
      <c r="BE836" s="1">
        <f>+IFERROR(VLOOKUP(BE19,'נתוני מים 2014'!$C$2:$L$188,3,0)/1000,0)</f>
        <v>0</v>
      </c>
      <c r="BF836" s="1">
        <f>+IFERROR(VLOOKUP(BF19,'נתוני מים 2014'!$C$2:$L$188,3,0)/1000,0)</f>
        <v>0</v>
      </c>
    </row>
    <row r="837" spans="2:58" x14ac:dyDescent="0.2">
      <c r="B837" s="1">
        <v>13</v>
      </c>
      <c r="C837" s="1">
        <f>+IFERROR(VLOOKUP(C20,'נתוני מים 2014'!$C$2:$L$188,3,0)/1000,0)</f>
        <v>0</v>
      </c>
      <c r="D837" s="1">
        <f>+IFERROR(VLOOKUP(D20,'נתוני מים 2014'!$C$2:$L$188,3,0)/1000,0)</f>
        <v>0</v>
      </c>
      <c r="E837" s="1">
        <f>+IFERROR(VLOOKUP(E20,'נתוני מים 2014'!$C$2:$L$188,3,0)/1000,0)</f>
        <v>0</v>
      </c>
      <c r="F837" s="1">
        <f>+IFERROR(VLOOKUP(F20,'נתוני מים 2014'!$C$2:$L$188,3,0)/1000,0)</f>
        <v>0</v>
      </c>
      <c r="G837" s="1">
        <f>+IFERROR(VLOOKUP(G20,'נתוני מים 2014'!$C$2:$L$188,3,0)/1000,0)</f>
        <v>0</v>
      </c>
      <c r="H837" s="1">
        <f>+IFERROR(VLOOKUP(H20,'נתוני מים 2014'!$C$2:$L$188,3,0)/1000,0)</f>
        <v>0</v>
      </c>
      <c r="I837" s="1">
        <f>+IFERROR(VLOOKUP(I20,'נתוני מים 2014'!$C$2:$L$188,3,0)/1000,0)</f>
        <v>0</v>
      </c>
      <c r="J837" s="1">
        <f>+IFERROR(VLOOKUP(J20,'נתוני מים 2014'!$C$2:$L$188,3,0)/1000,0)</f>
        <v>0</v>
      </c>
      <c r="K837" s="1">
        <f>+IFERROR(VLOOKUP(K20,'נתוני מים 2014'!$C$2:$L$188,3,0)/1000,0)</f>
        <v>0</v>
      </c>
      <c r="L837" s="1">
        <f>+IFERROR(VLOOKUP(L20,'נתוני מים 2014'!$C$2:$L$188,3,0)/1000,0)</f>
        <v>0</v>
      </c>
      <c r="M837" s="1">
        <f>+IFERROR(VLOOKUP(M20,'נתוני מים 2014'!$C$2:$L$188,3,0)/1000,0)</f>
        <v>0</v>
      </c>
      <c r="N837" s="1">
        <f>+IFERROR(VLOOKUP(N20,'נתוני מים 2014'!$C$2:$L$188,3,0)/1000,0)</f>
        <v>0</v>
      </c>
      <c r="O837" s="1">
        <f>+IFERROR(VLOOKUP(O20,'נתוני מים 2014'!$C$2:$L$188,3,0)/1000,0)</f>
        <v>0</v>
      </c>
      <c r="P837" s="1">
        <f>+IFERROR(VLOOKUP(P20,'נתוני מים 2014'!$C$2:$L$188,3,0)/1000,0)</f>
        <v>0</v>
      </c>
      <c r="Q837" s="1">
        <f>+IFERROR(VLOOKUP(Q20,'נתוני מים 2014'!$C$2:$L$188,3,0)/1000,0)</f>
        <v>0</v>
      </c>
      <c r="R837" s="1">
        <f>+IFERROR(VLOOKUP(R20,'נתוני מים 2014'!$C$2:$L$188,3,0)/1000,0)</f>
        <v>0</v>
      </c>
      <c r="S837" s="1">
        <f>+IFERROR(VLOOKUP(S20,'נתוני מים 2014'!$C$2:$L$188,3,0)/1000,0)</f>
        <v>0</v>
      </c>
      <c r="T837" s="1">
        <f>+IFERROR(VLOOKUP(T20,'נתוני מים 2014'!$C$2:$L$188,3,0)/1000,0)</f>
        <v>0</v>
      </c>
      <c r="U837" s="1">
        <f>+IFERROR(VLOOKUP(U20,'נתוני מים 2014'!$C$2:$L$188,3,0)/1000,0)</f>
        <v>0</v>
      </c>
      <c r="V837" s="1">
        <f>+IFERROR(VLOOKUP(V20,'נתוני מים 2014'!$C$2:$L$188,3,0)/1000,0)</f>
        <v>0</v>
      </c>
      <c r="W837" s="1">
        <f>+IFERROR(VLOOKUP(W20,'נתוני מים 2014'!$C$2:$L$188,3,0)/1000,0)</f>
        <v>0</v>
      </c>
      <c r="X837" s="1">
        <f>+IFERROR(VLOOKUP(X20,'נתוני מים 2014'!$C$2:$L$188,3,0)/1000,0)</f>
        <v>0</v>
      </c>
      <c r="Y837" s="1">
        <f>+IFERROR(VLOOKUP(Y20,'נתוני מים 2014'!$C$2:$L$188,3,0)/1000,0)</f>
        <v>0</v>
      </c>
      <c r="Z837" s="1">
        <f>+IFERROR(VLOOKUP(Z20,'נתוני מים 2014'!$C$2:$L$188,3,0)/1000,0)</f>
        <v>0</v>
      </c>
      <c r="AA837" s="1">
        <f>+IFERROR(VLOOKUP(AA20,'נתוני מים 2014'!$C$2:$L$188,3,0)/1000,0)</f>
        <v>0</v>
      </c>
      <c r="AB837" s="1">
        <f>+IFERROR(VLOOKUP(AB20,'נתוני מים 2014'!$C$2:$L$188,3,0)/1000,0)</f>
        <v>0</v>
      </c>
      <c r="AC837" s="1">
        <f>+IFERROR(VLOOKUP(AC20,'נתוני מים 2014'!$C$2:$L$188,3,0)/1000,0)</f>
        <v>0</v>
      </c>
      <c r="AD837" s="1">
        <f>+IFERROR(VLOOKUP(AD20,'נתוני מים 2014'!$C$2:$L$188,3,0)/1000,0)</f>
        <v>0</v>
      </c>
      <c r="AE837" s="1">
        <f>+IFERROR(VLOOKUP(AE20,'נתוני מים 2014'!$C$2:$L$188,3,0)/1000,0)</f>
        <v>0</v>
      </c>
      <c r="AF837" s="1">
        <f>+IFERROR(VLOOKUP(AF20,'נתוני מים 2014'!$C$2:$L$188,3,0)/1000,0)</f>
        <v>0</v>
      </c>
      <c r="AG837" s="1">
        <f>+IFERROR(VLOOKUP(AG20,'נתוני מים 2014'!$C$2:$L$188,3,0)/1000,0)</f>
        <v>0</v>
      </c>
      <c r="AH837" s="1">
        <f>+IFERROR(VLOOKUP(AH20,'נתוני מים 2014'!$C$2:$L$188,3,0)/1000,0)</f>
        <v>0</v>
      </c>
      <c r="AI837" s="1">
        <f>+IFERROR(VLOOKUP(AI20,'נתוני מים 2014'!$C$2:$L$188,3,0)/1000,0)</f>
        <v>0</v>
      </c>
      <c r="AJ837" s="1">
        <f>+IFERROR(VLOOKUP(AJ20,'נתוני מים 2014'!$C$2:$L$188,3,0)/1000,0)</f>
        <v>0</v>
      </c>
      <c r="AK837" s="1">
        <f>+IFERROR(VLOOKUP(AK20,'נתוני מים 2014'!$C$2:$L$188,3,0)/1000,0)</f>
        <v>0</v>
      </c>
      <c r="AL837" s="1">
        <f>+IFERROR(VLOOKUP(AL20,'נתוני מים 2014'!$C$2:$L$188,3,0)/1000,0)</f>
        <v>0</v>
      </c>
      <c r="AM837" s="1">
        <f>+IFERROR(VLOOKUP(AM20,'נתוני מים 2014'!$C$2:$L$188,3,0)/1000,0)</f>
        <v>0</v>
      </c>
      <c r="AN837" s="1">
        <f>+IFERROR(VLOOKUP(AN20,'נתוני מים 2014'!$C$2:$L$188,3,0)/1000,0)</f>
        <v>0</v>
      </c>
      <c r="AO837" s="1">
        <f>+IFERROR(VLOOKUP(AO20,'נתוני מים 2014'!$C$2:$L$188,3,0)/1000,0)</f>
        <v>0</v>
      </c>
      <c r="AP837" s="1">
        <f>+IFERROR(VLOOKUP(AP20,'נתוני מים 2014'!$C$2:$L$188,3,0)/1000,0)</f>
        <v>0</v>
      </c>
      <c r="AQ837" s="1">
        <f>+IFERROR(VLOOKUP(AQ20,'נתוני מים 2014'!$C$2:$L$188,3,0)/1000,0)</f>
        <v>0</v>
      </c>
      <c r="AR837" s="1">
        <f>+IFERROR(VLOOKUP(AR20,'נתוני מים 2014'!$C$2:$L$188,3,0)/1000,0)</f>
        <v>0</v>
      </c>
      <c r="AS837" s="1">
        <f>+IFERROR(VLOOKUP(AS20,'נתוני מים 2014'!$C$2:$L$188,3,0)/1000,0)</f>
        <v>0</v>
      </c>
      <c r="AT837" s="1">
        <f>+IFERROR(VLOOKUP(AT20,'נתוני מים 2014'!$C$2:$L$188,3,0)/1000,0)</f>
        <v>0</v>
      </c>
      <c r="AU837" s="1">
        <f>+IFERROR(VLOOKUP(AU20,'נתוני מים 2014'!$C$2:$L$188,3,0)/1000,0)</f>
        <v>0</v>
      </c>
      <c r="AV837" s="1">
        <f>+IFERROR(VLOOKUP(AV20,'נתוני מים 2014'!$C$2:$L$188,3,0)/1000,0)</f>
        <v>0</v>
      </c>
      <c r="AW837" s="1">
        <f>+IFERROR(VLOOKUP(AW20,'נתוני מים 2014'!$C$2:$L$188,3,0)/1000,0)</f>
        <v>0</v>
      </c>
      <c r="AX837" s="1">
        <f>+IFERROR(VLOOKUP(AX20,'נתוני מים 2014'!$C$2:$L$188,3,0)/1000,0)</f>
        <v>0</v>
      </c>
      <c r="AY837" s="1">
        <f>+IFERROR(VLOOKUP(AY20,'נתוני מים 2014'!$C$2:$L$188,3,0)/1000,0)</f>
        <v>0</v>
      </c>
      <c r="AZ837" s="1">
        <f>+IFERROR(VLOOKUP(AZ20,'נתוני מים 2014'!$C$2:$L$188,3,0)/1000,0)</f>
        <v>0</v>
      </c>
      <c r="BA837" s="1">
        <f>+IFERROR(VLOOKUP(BA20,'נתוני מים 2014'!$C$2:$L$188,3,0)/1000,0)</f>
        <v>0</v>
      </c>
      <c r="BB837" s="1">
        <f>+IFERROR(VLOOKUP(BB20,'נתוני מים 2014'!$C$2:$L$188,3,0)/1000,0)</f>
        <v>0</v>
      </c>
      <c r="BC837" s="1">
        <f>+IFERROR(VLOOKUP(BC20,'נתוני מים 2014'!$C$2:$L$188,3,0)/1000,0)</f>
        <v>0</v>
      </c>
      <c r="BD837" s="1">
        <f>+IFERROR(VLOOKUP(BD20,'נתוני מים 2014'!$C$2:$L$188,3,0)/1000,0)</f>
        <v>0</v>
      </c>
      <c r="BE837" s="1">
        <f>+IFERROR(VLOOKUP(BE20,'נתוני מים 2014'!$C$2:$L$188,3,0)/1000,0)</f>
        <v>0</v>
      </c>
      <c r="BF837" s="1">
        <f>+IFERROR(VLOOKUP(BF20,'נתוני מים 2014'!$C$2:$L$188,3,0)/1000,0)</f>
        <v>0</v>
      </c>
    </row>
    <row r="838" spans="2:58" x14ac:dyDescent="0.2">
      <c r="B838" s="1">
        <v>14</v>
      </c>
      <c r="C838" s="1">
        <f>+IFERROR(VLOOKUP(C21,'נתוני מים 2014'!$C$2:$L$188,3,0)/1000,0)</f>
        <v>0</v>
      </c>
      <c r="D838" s="1">
        <f>+IFERROR(VLOOKUP(D21,'נתוני מים 2014'!$C$2:$L$188,3,0)/1000,0)</f>
        <v>0</v>
      </c>
      <c r="E838" s="1">
        <f>+IFERROR(VLOOKUP(E21,'נתוני מים 2014'!$C$2:$L$188,3,0)/1000,0)</f>
        <v>0</v>
      </c>
      <c r="F838" s="1">
        <f>+IFERROR(VLOOKUP(F21,'נתוני מים 2014'!$C$2:$L$188,3,0)/1000,0)</f>
        <v>0</v>
      </c>
      <c r="G838" s="1">
        <f>+IFERROR(VLOOKUP(G21,'נתוני מים 2014'!$C$2:$L$188,3,0)/1000,0)</f>
        <v>0</v>
      </c>
      <c r="H838" s="1">
        <f>+IFERROR(VLOOKUP(H21,'נתוני מים 2014'!$C$2:$L$188,3,0)/1000,0)</f>
        <v>0</v>
      </c>
      <c r="I838" s="1">
        <f>+IFERROR(VLOOKUP(I21,'נתוני מים 2014'!$C$2:$L$188,3,0)/1000,0)</f>
        <v>0</v>
      </c>
      <c r="J838" s="1">
        <f>+IFERROR(VLOOKUP(J21,'נתוני מים 2014'!$C$2:$L$188,3,0)/1000,0)</f>
        <v>0</v>
      </c>
      <c r="K838" s="1">
        <f>+IFERROR(VLOOKUP(K21,'נתוני מים 2014'!$C$2:$L$188,3,0)/1000,0)</f>
        <v>0</v>
      </c>
      <c r="L838" s="1">
        <f>+IFERROR(VLOOKUP(L21,'נתוני מים 2014'!$C$2:$L$188,3,0)/1000,0)</f>
        <v>0</v>
      </c>
      <c r="M838" s="1">
        <f>+IFERROR(VLOOKUP(M21,'נתוני מים 2014'!$C$2:$L$188,3,0)/1000,0)</f>
        <v>0</v>
      </c>
      <c r="N838" s="1">
        <f>+IFERROR(VLOOKUP(N21,'נתוני מים 2014'!$C$2:$L$188,3,0)/1000,0)</f>
        <v>0</v>
      </c>
      <c r="O838" s="1">
        <f>+IFERROR(VLOOKUP(O21,'נתוני מים 2014'!$C$2:$L$188,3,0)/1000,0)</f>
        <v>0</v>
      </c>
      <c r="P838" s="1">
        <f>+IFERROR(VLOOKUP(P21,'נתוני מים 2014'!$C$2:$L$188,3,0)/1000,0)</f>
        <v>0</v>
      </c>
      <c r="Q838" s="1">
        <f>+IFERROR(VLOOKUP(Q21,'נתוני מים 2014'!$C$2:$L$188,3,0)/1000,0)</f>
        <v>0</v>
      </c>
      <c r="R838" s="1">
        <f>+IFERROR(VLOOKUP(R21,'נתוני מים 2014'!$C$2:$L$188,3,0)/1000,0)</f>
        <v>0</v>
      </c>
      <c r="S838" s="1">
        <f>+IFERROR(VLOOKUP(S21,'נתוני מים 2014'!$C$2:$L$188,3,0)/1000,0)</f>
        <v>0</v>
      </c>
      <c r="T838" s="1">
        <f>+IFERROR(VLOOKUP(T21,'נתוני מים 2014'!$C$2:$L$188,3,0)/1000,0)</f>
        <v>0</v>
      </c>
      <c r="U838" s="1">
        <f>+IFERROR(VLOOKUP(U21,'נתוני מים 2014'!$C$2:$L$188,3,0)/1000,0)</f>
        <v>0</v>
      </c>
      <c r="V838" s="1">
        <f>+IFERROR(VLOOKUP(V21,'נתוני מים 2014'!$C$2:$L$188,3,0)/1000,0)</f>
        <v>0</v>
      </c>
      <c r="W838" s="1">
        <f>+IFERROR(VLOOKUP(W21,'נתוני מים 2014'!$C$2:$L$188,3,0)/1000,0)</f>
        <v>0</v>
      </c>
      <c r="X838" s="1">
        <f>+IFERROR(VLOOKUP(X21,'נתוני מים 2014'!$C$2:$L$188,3,0)/1000,0)</f>
        <v>0</v>
      </c>
      <c r="Y838" s="1">
        <f>+IFERROR(VLOOKUP(Y21,'נתוני מים 2014'!$C$2:$L$188,3,0)/1000,0)</f>
        <v>0</v>
      </c>
      <c r="Z838" s="1">
        <f>+IFERROR(VLOOKUP(Z21,'נתוני מים 2014'!$C$2:$L$188,3,0)/1000,0)</f>
        <v>0</v>
      </c>
      <c r="AA838" s="1">
        <f>+IFERROR(VLOOKUP(AA21,'נתוני מים 2014'!$C$2:$L$188,3,0)/1000,0)</f>
        <v>0</v>
      </c>
      <c r="AB838" s="1">
        <f>+IFERROR(VLOOKUP(AB21,'נתוני מים 2014'!$C$2:$L$188,3,0)/1000,0)</f>
        <v>0</v>
      </c>
      <c r="AC838" s="1">
        <f>+IFERROR(VLOOKUP(AC21,'נתוני מים 2014'!$C$2:$L$188,3,0)/1000,0)</f>
        <v>0</v>
      </c>
      <c r="AD838" s="1">
        <f>+IFERROR(VLOOKUP(AD21,'נתוני מים 2014'!$C$2:$L$188,3,0)/1000,0)</f>
        <v>0</v>
      </c>
      <c r="AE838" s="1">
        <f>+IFERROR(VLOOKUP(AE21,'נתוני מים 2014'!$C$2:$L$188,3,0)/1000,0)</f>
        <v>0</v>
      </c>
      <c r="AF838" s="1">
        <f>+IFERROR(VLOOKUP(AF21,'נתוני מים 2014'!$C$2:$L$188,3,0)/1000,0)</f>
        <v>0</v>
      </c>
      <c r="AG838" s="1">
        <f>+IFERROR(VLOOKUP(AG21,'נתוני מים 2014'!$C$2:$L$188,3,0)/1000,0)</f>
        <v>0</v>
      </c>
      <c r="AH838" s="1">
        <f>+IFERROR(VLOOKUP(AH21,'נתוני מים 2014'!$C$2:$L$188,3,0)/1000,0)</f>
        <v>0</v>
      </c>
      <c r="AI838" s="1">
        <f>+IFERROR(VLOOKUP(AI21,'נתוני מים 2014'!$C$2:$L$188,3,0)/1000,0)</f>
        <v>0</v>
      </c>
      <c r="AJ838" s="1">
        <f>+IFERROR(VLOOKUP(AJ21,'נתוני מים 2014'!$C$2:$L$188,3,0)/1000,0)</f>
        <v>0</v>
      </c>
      <c r="AK838" s="1">
        <f>+IFERROR(VLOOKUP(AK21,'נתוני מים 2014'!$C$2:$L$188,3,0)/1000,0)</f>
        <v>0</v>
      </c>
      <c r="AL838" s="1">
        <f>+IFERROR(VLOOKUP(AL21,'נתוני מים 2014'!$C$2:$L$188,3,0)/1000,0)</f>
        <v>0</v>
      </c>
      <c r="AM838" s="1">
        <f>+IFERROR(VLOOKUP(AM21,'נתוני מים 2014'!$C$2:$L$188,3,0)/1000,0)</f>
        <v>0</v>
      </c>
      <c r="AN838" s="1">
        <f>+IFERROR(VLOOKUP(AN21,'נתוני מים 2014'!$C$2:$L$188,3,0)/1000,0)</f>
        <v>0</v>
      </c>
      <c r="AO838" s="1">
        <f>+IFERROR(VLOOKUP(AO21,'נתוני מים 2014'!$C$2:$L$188,3,0)/1000,0)</f>
        <v>0</v>
      </c>
      <c r="AP838" s="1">
        <f>+IFERROR(VLOOKUP(AP21,'נתוני מים 2014'!$C$2:$L$188,3,0)/1000,0)</f>
        <v>0</v>
      </c>
      <c r="AQ838" s="1">
        <f>+IFERROR(VLOOKUP(AQ21,'נתוני מים 2014'!$C$2:$L$188,3,0)/1000,0)</f>
        <v>0</v>
      </c>
      <c r="AR838" s="1">
        <f>+IFERROR(VLOOKUP(AR21,'נתוני מים 2014'!$C$2:$L$188,3,0)/1000,0)</f>
        <v>0</v>
      </c>
      <c r="AS838" s="1">
        <f>+IFERROR(VLOOKUP(AS21,'נתוני מים 2014'!$C$2:$L$188,3,0)/1000,0)</f>
        <v>0</v>
      </c>
      <c r="AT838" s="1">
        <f>+IFERROR(VLOOKUP(AT21,'נתוני מים 2014'!$C$2:$L$188,3,0)/1000,0)</f>
        <v>0</v>
      </c>
      <c r="AU838" s="1">
        <f>+IFERROR(VLOOKUP(AU21,'נתוני מים 2014'!$C$2:$L$188,3,0)/1000,0)</f>
        <v>0</v>
      </c>
      <c r="AV838" s="1">
        <f>+IFERROR(VLOOKUP(AV21,'נתוני מים 2014'!$C$2:$L$188,3,0)/1000,0)</f>
        <v>0</v>
      </c>
      <c r="AW838" s="1">
        <f>+IFERROR(VLOOKUP(AW21,'נתוני מים 2014'!$C$2:$L$188,3,0)/1000,0)</f>
        <v>0</v>
      </c>
      <c r="AX838" s="1">
        <f>+IFERROR(VLOOKUP(AX21,'נתוני מים 2014'!$C$2:$L$188,3,0)/1000,0)</f>
        <v>0</v>
      </c>
      <c r="AY838" s="1">
        <f>+IFERROR(VLOOKUP(AY21,'נתוני מים 2014'!$C$2:$L$188,3,0)/1000,0)</f>
        <v>0</v>
      </c>
      <c r="AZ838" s="1">
        <f>+IFERROR(VLOOKUP(AZ21,'נתוני מים 2014'!$C$2:$L$188,3,0)/1000,0)</f>
        <v>0</v>
      </c>
      <c r="BA838" s="1">
        <f>+IFERROR(VLOOKUP(BA21,'נתוני מים 2014'!$C$2:$L$188,3,0)/1000,0)</f>
        <v>0</v>
      </c>
      <c r="BB838" s="1">
        <f>+IFERROR(VLOOKUP(BB21,'נתוני מים 2014'!$C$2:$L$188,3,0)/1000,0)</f>
        <v>0</v>
      </c>
      <c r="BC838" s="1">
        <f>+IFERROR(VLOOKUP(BC21,'נתוני מים 2014'!$C$2:$L$188,3,0)/1000,0)</f>
        <v>0</v>
      </c>
      <c r="BD838" s="1">
        <f>+IFERROR(VLOOKUP(BD21,'נתוני מים 2014'!$C$2:$L$188,3,0)/1000,0)</f>
        <v>0</v>
      </c>
      <c r="BE838" s="1">
        <f>+IFERROR(VLOOKUP(BE21,'נתוני מים 2014'!$C$2:$L$188,3,0)/1000,0)</f>
        <v>0</v>
      </c>
      <c r="BF838" s="1">
        <f>+IFERROR(VLOOKUP(BF21,'נתוני מים 2014'!$C$2:$L$188,3,0)/1000,0)</f>
        <v>0</v>
      </c>
    </row>
    <row r="839" spans="2:58" x14ac:dyDescent="0.2">
      <c r="B839" s="1">
        <v>15</v>
      </c>
      <c r="C839" s="1">
        <f>+IFERROR(VLOOKUP(C22,'נתוני מים 2014'!$C$2:$L$188,3,0)/1000,0)</f>
        <v>0</v>
      </c>
      <c r="D839" s="1">
        <f>+IFERROR(VLOOKUP(D22,'נתוני מים 2014'!$C$2:$L$188,3,0)/1000,0)</f>
        <v>0</v>
      </c>
      <c r="E839" s="1">
        <f>+IFERROR(VLOOKUP(E22,'נתוני מים 2014'!$C$2:$L$188,3,0)/1000,0)</f>
        <v>0</v>
      </c>
      <c r="F839" s="1">
        <f>+IFERROR(VLOOKUP(F22,'נתוני מים 2014'!$C$2:$L$188,3,0)/1000,0)</f>
        <v>0</v>
      </c>
      <c r="G839" s="1">
        <f>+IFERROR(VLOOKUP(G22,'נתוני מים 2014'!$C$2:$L$188,3,0)/1000,0)</f>
        <v>0</v>
      </c>
      <c r="H839" s="1">
        <f>+IFERROR(VLOOKUP(H22,'נתוני מים 2014'!$C$2:$L$188,3,0)/1000,0)</f>
        <v>0</v>
      </c>
      <c r="I839" s="1">
        <f>+IFERROR(VLOOKUP(I22,'נתוני מים 2014'!$C$2:$L$188,3,0)/1000,0)</f>
        <v>0</v>
      </c>
      <c r="J839" s="1">
        <f>+IFERROR(VLOOKUP(J22,'נתוני מים 2014'!$C$2:$L$188,3,0)/1000,0)</f>
        <v>0</v>
      </c>
      <c r="K839" s="1">
        <f>+IFERROR(VLOOKUP(K22,'נתוני מים 2014'!$C$2:$L$188,3,0)/1000,0)</f>
        <v>0</v>
      </c>
      <c r="L839" s="1">
        <f>+IFERROR(VLOOKUP(L22,'נתוני מים 2014'!$C$2:$L$188,3,0)/1000,0)</f>
        <v>0</v>
      </c>
      <c r="M839" s="1">
        <f>+IFERROR(VLOOKUP(M22,'נתוני מים 2014'!$C$2:$L$188,3,0)/1000,0)</f>
        <v>0</v>
      </c>
      <c r="N839" s="1">
        <f>+IFERROR(VLOOKUP(N22,'נתוני מים 2014'!$C$2:$L$188,3,0)/1000,0)</f>
        <v>0</v>
      </c>
      <c r="O839" s="1">
        <f>+IFERROR(VLOOKUP(O22,'נתוני מים 2014'!$C$2:$L$188,3,0)/1000,0)</f>
        <v>0</v>
      </c>
      <c r="P839" s="1">
        <f>+IFERROR(VLOOKUP(P22,'נתוני מים 2014'!$C$2:$L$188,3,0)/1000,0)</f>
        <v>0</v>
      </c>
      <c r="Q839" s="1">
        <f>+IFERROR(VLOOKUP(Q22,'נתוני מים 2014'!$C$2:$L$188,3,0)/1000,0)</f>
        <v>0</v>
      </c>
      <c r="R839" s="1">
        <f>+IFERROR(VLOOKUP(R22,'נתוני מים 2014'!$C$2:$L$188,3,0)/1000,0)</f>
        <v>0</v>
      </c>
      <c r="S839" s="1">
        <f>+IFERROR(VLOOKUP(S22,'נתוני מים 2014'!$C$2:$L$188,3,0)/1000,0)</f>
        <v>0</v>
      </c>
      <c r="T839" s="1">
        <f>+IFERROR(VLOOKUP(T22,'נתוני מים 2014'!$C$2:$L$188,3,0)/1000,0)</f>
        <v>0</v>
      </c>
      <c r="U839" s="1">
        <f>+IFERROR(VLOOKUP(U22,'נתוני מים 2014'!$C$2:$L$188,3,0)/1000,0)</f>
        <v>0</v>
      </c>
      <c r="V839" s="1">
        <f>+IFERROR(VLOOKUP(V22,'נתוני מים 2014'!$C$2:$L$188,3,0)/1000,0)</f>
        <v>0</v>
      </c>
      <c r="W839" s="1">
        <f>+IFERROR(VLOOKUP(W22,'נתוני מים 2014'!$C$2:$L$188,3,0)/1000,0)</f>
        <v>0</v>
      </c>
      <c r="X839" s="1">
        <f>+IFERROR(VLOOKUP(X22,'נתוני מים 2014'!$C$2:$L$188,3,0)/1000,0)</f>
        <v>0</v>
      </c>
      <c r="Y839" s="1">
        <f>+IFERROR(VLOOKUP(Y22,'נתוני מים 2014'!$C$2:$L$188,3,0)/1000,0)</f>
        <v>0</v>
      </c>
      <c r="Z839" s="1">
        <f>+IFERROR(VLOOKUP(Z22,'נתוני מים 2014'!$C$2:$L$188,3,0)/1000,0)</f>
        <v>0</v>
      </c>
      <c r="AA839" s="1">
        <f>+IFERROR(VLOOKUP(AA22,'נתוני מים 2014'!$C$2:$L$188,3,0)/1000,0)</f>
        <v>0</v>
      </c>
      <c r="AB839" s="1">
        <f>+IFERROR(VLOOKUP(AB22,'נתוני מים 2014'!$C$2:$L$188,3,0)/1000,0)</f>
        <v>0</v>
      </c>
      <c r="AC839" s="1">
        <f>+IFERROR(VLOOKUP(AC22,'נתוני מים 2014'!$C$2:$L$188,3,0)/1000,0)</f>
        <v>0</v>
      </c>
      <c r="AD839" s="1">
        <f>+IFERROR(VLOOKUP(AD22,'נתוני מים 2014'!$C$2:$L$188,3,0)/1000,0)</f>
        <v>0</v>
      </c>
      <c r="AE839" s="1">
        <f>+IFERROR(VLOOKUP(AE22,'נתוני מים 2014'!$C$2:$L$188,3,0)/1000,0)</f>
        <v>0</v>
      </c>
      <c r="AF839" s="1">
        <f>+IFERROR(VLOOKUP(AF22,'נתוני מים 2014'!$C$2:$L$188,3,0)/1000,0)</f>
        <v>0</v>
      </c>
      <c r="AG839" s="1">
        <f>+IFERROR(VLOOKUP(AG22,'נתוני מים 2014'!$C$2:$L$188,3,0)/1000,0)</f>
        <v>0</v>
      </c>
      <c r="AH839" s="1">
        <f>+IFERROR(VLOOKUP(AH22,'נתוני מים 2014'!$C$2:$L$188,3,0)/1000,0)</f>
        <v>0</v>
      </c>
      <c r="AI839" s="1">
        <f>+IFERROR(VLOOKUP(AI22,'נתוני מים 2014'!$C$2:$L$188,3,0)/1000,0)</f>
        <v>0</v>
      </c>
      <c r="AJ839" s="1">
        <f>+IFERROR(VLOOKUP(AJ22,'נתוני מים 2014'!$C$2:$L$188,3,0)/1000,0)</f>
        <v>0</v>
      </c>
      <c r="AK839" s="1">
        <f>+IFERROR(VLOOKUP(AK22,'נתוני מים 2014'!$C$2:$L$188,3,0)/1000,0)</f>
        <v>0</v>
      </c>
      <c r="AL839" s="1">
        <f>+IFERROR(VLOOKUP(AL22,'נתוני מים 2014'!$C$2:$L$188,3,0)/1000,0)</f>
        <v>0</v>
      </c>
      <c r="AM839" s="1">
        <f>+IFERROR(VLOOKUP(AM22,'נתוני מים 2014'!$C$2:$L$188,3,0)/1000,0)</f>
        <v>0</v>
      </c>
      <c r="AN839" s="1">
        <f>+IFERROR(VLOOKUP(AN22,'נתוני מים 2014'!$C$2:$L$188,3,0)/1000,0)</f>
        <v>0</v>
      </c>
      <c r="AO839" s="1">
        <f>+IFERROR(VLOOKUP(AO22,'נתוני מים 2014'!$C$2:$L$188,3,0)/1000,0)</f>
        <v>0</v>
      </c>
      <c r="AP839" s="1">
        <f>+IFERROR(VLOOKUP(AP22,'נתוני מים 2014'!$C$2:$L$188,3,0)/1000,0)</f>
        <v>0</v>
      </c>
      <c r="AQ839" s="1">
        <f>+IFERROR(VLOOKUP(AQ22,'נתוני מים 2014'!$C$2:$L$188,3,0)/1000,0)</f>
        <v>0</v>
      </c>
      <c r="AR839" s="1">
        <f>+IFERROR(VLOOKUP(AR22,'נתוני מים 2014'!$C$2:$L$188,3,0)/1000,0)</f>
        <v>0</v>
      </c>
      <c r="AS839" s="1">
        <f>+IFERROR(VLOOKUP(AS22,'נתוני מים 2014'!$C$2:$L$188,3,0)/1000,0)</f>
        <v>0</v>
      </c>
      <c r="AT839" s="1">
        <f>+IFERROR(VLOOKUP(AT22,'נתוני מים 2014'!$C$2:$L$188,3,0)/1000,0)</f>
        <v>0</v>
      </c>
      <c r="AU839" s="1">
        <f>+IFERROR(VLOOKUP(AU22,'נתוני מים 2014'!$C$2:$L$188,3,0)/1000,0)</f>
        <v>0</v>
      </c>
      <c r="AV839" s="1">
        <f>+IFERROR(VLOOKUP(AV22,'נתוני מים 2014'!$C$2:$L$188,3,0)/1000,0)</f>
        <v>0</v>
      </c>
      <c r="AW839" s="1">
        <f>+IFERROR(VLOOKUP(AW22,'נתוני מים 2014'!$C$2:$L$188,3,0)/1000,0)</f>
        <v>0</v>
      </c>
      <c r="AX839" s="1">
        <f>+IFERROR(VLOOKUP(AX22,'נתוני מים 2014'!$C$2:$L$188,3,0)/1000,0)</f>
        <v>0</v>
      </c>
      <c r="AY839" s="1">
        <f>+IFERROR(VLOOKUP(AY22,'נתוני מים 2014'!$C$2:$L$188,3,0)/1000,0)</f>
        <v>0</v>
      </c>
      <c r="AZ839" s="1">
        <f>+IFERROR(VLOOKUP(AZ22,'נתוני מים 2014'!$C$2:$L$188,3,0)/1000,0)</f>
        <v>0</v>
      </c>
      <c r="BA839" s="1">
        <f>+IFERROR(VLOOKUP(BA22,'נתוני מים 2014'!$C$2:$L$188,3,0)/1000,0)</f>
        <v>0</v>
      </c>
      <c r="BB839" s="1">
        <f>+IFERROR(VLOOKUP(BB22,'נתוני מים 2014'!$C$2:$L$188,3,0)/1000,0)</f>
        <v>0</v>
      </c>
      <c r="BC839" s="1">
        <f>+IFERROR(VLOOKUP(BC22,'נתוני מים 2014'!$C$2:$L$188,3,0)/1000,0)</f>
        <v>0</v>
      </c>
      <c r="BD839" s="1">
        <f>+IFERROR(VLOOKUP(BD22,'נתוני מים 2014'!$C$2:$L$188,3,0)/1000,0)</f>
        <v>0</v>
      </c>
      <c r="BE839" s="1">
        <f>+IFERROR(VLOOKUP(BE22,'נתוני מים 2014'!$C$2:$L$188,3,0)/1000,0)</f>
        <v>0</v>
      </c>
      <c r="BF839" s="1">
        <f>+IFERROR(VLOOKUP(BF22,'נתוני מים 2014'!$C$2:$L$188,3,0)/1000,0)</f>
        <v>0</v>
      </c>
    </row>
    <row r="840" spans="2:58" x14ac:dyDescent="0.2">
      <c r="B840" s="1">
        <v>16</v>
      </c>
      <c r="C840" s="1">
        <f>+IFERROR(VLOOKUP(C23,'נתוני מים 2014'!$C$2:$L$188,3,0)/1000,0)</f>
        <v>0</v>
      </c>
      <c r="D840" s="1">
        <f>+IFERROR(VLOOKUP(D23,'נתוני מים 2014'!$C$2:$L$188,3,0)/1000,0)</f>
        <v>0</v>
      </c>
      <c r="E840" s="1">
        <f>+IFERROR(VLOOKUP(E23,'נתוני מים 2014'!$C$2:$L$188,3,0)/1000,0)</f>
        <v>0</v>
      </c>
      <c r="F840" s="1">
        <f>+IFERROR(VLOOKUP(F23,'נתוני מים 2014'!$C$2:$L$188,3,0)/1000,0)</f>
        <v>0</v>
      </c>
      <c r="G840" s="1">
        <f>+IFERROR(VLOOKUP(G23,'נתוני מים 2014'!$C$2:$L$188,3,0)/1000,0)</f>
        <v>0</v>
      </c>
      <c r="H840" s="1">
        <f>+IFERROR(VLOOKUP(H23,'נתוני מים 2014'!$C$2:$L$188,3,0)/1000,0)</f>
        <v>0</v>
      </c>
      <c r="I840" s="1">
        <f>+IFERROR(VLOOKUP(I23,'נתוני מים 2014'!$C$2:$L$188,3,0)/1000,0)</f>
        <v>0</v>
      </c>
      <c r="J840" s="1">
        <f>+IFERROR(VLOOKUP(J23,'נתוני מים 2014'!$C$2:$L$188,3,0)/1000,0)</f>
        <v>0</v>
      </c>
      <c r="K840" s="1">
        <f>+IFERROR(VLOOKUP(K23,'נתוני מים 2014'!$C$2:$L$188,3,0)/1000,0)</f>
        <v>0</v>
      </c>
      <c r="L840" s="1">
        <f>+IFERROR(VLOOKUP(L23,'נתוני מים 2014'!$C$2:$L$188,3,0)/1000,0)</f>
        <v>0</v>
      </c>
      <c r="M840" s="1">
        <f>+IFERROR(VLOOKUP(M23,'נתוני מים 2014'!$C$2:$L$188,3,0)/1000,0)</f>
        <v>0</v>
      </c>
      <c r="N840" s="1">
        <f>+IFERROR(VLOOKUP(N23,'נתוני מים 2014'!$C$2:$L$188,3,0)/1000,0)</f>
        <v>0</v>
      </c>
      <c r="O840" s="1">
        <f>+IFERROR(VLOOKUP(O23,'נתוני מים 2014'!$C$2:$L$188,3,0)/1000,0)</f>
        <v>0</v>
      </c>
      <c r="P840" s="1">
        <f>+IFERROR(VLOOKUP(P23,'נתוני מים 2014'!$C$2:$L$188,3,0)/1000,0)</f>
        <v>0</v>
      </c>
      <c r="Q840" s="1">
        <f>+IFERROR(VLOOKUP(Q23,'נתוני מים 2014'!$C$2:$L$188,3,0)/1000,0)</f>
        <v>0</v>
      </c>
      <c r="R840" s="1">
        <f>+IFERROR(VLOOKUP(R23,'נתוני מים 2014'!$C$2:$L$188,3,0)/1000,0)</f>
        <v>0</v>
      </c>
      <c r="S840" s="1">
        <f>+IFERROR(VLOOKUP(S23,'נתוני מים 2014'!$C$2:$L$188,3,0)/1000,0)</f>
        <v>0</v>
      </c>
      <c r="T840" s="1">
        <f>+IFERROR(VLOOKUP(T23,'נתוני מים 2014'!$C$2:$L$188,3,0)/1000,0)</f>
        <v>0</v>
      </c>
      <c r="U840" s="1">
        <f>+IFERROR(VLOOKUP(U23,'נתוני מים 2014'!$C$2:$L$188,3,0)/1000,0)</f>
        <v>0</v>
      </c>
      <c r="V840" s="1">
        <f>+IFERROR(VLOOKUP(V23,'נתוני מים 2014'!$C$2:$L$188,3,0)/1000,0)</f>
        <v>0</v>
      </c>
      <c r="W840" s="1">
        <f>+IFERROR(VLOOKUP(W23,'נתוני מים 2014'!$C$2:$L$188,3,0)/1000,0)</f>
        <v>0</v>
      </c>
      <c r="X840" s="1">
        <f>+IFERROR(VLOOKUP(X23,'נתוני מים 2014'!$C$2:$L$188,3,0)/1000,0)</f>
        <v>0</v>
      </c>
      <c r="Y840" s="1">
        <f>+IFERROR(VLOOKUP(Y23,'נתוני מים 2014'!$C$2:$L$188,3,0)/1000,0)</f>
        <v>0</v>
      </c>
      <c r="Z840" s="1">
        <f>+IFERROR(VLOOKUP(Z23,'נתוני מים 2014'!$C$2:$L$188,3,0)/1000,0)</f>
        <v>0</v>
      </c>
      <c r="AA840" s="1">
        <f>+IFERROR(VLOOKUP(AA23,'נתוני מים 2014'!$C$2:$L$188,3,0)/1000,0)</f>
        <v>0</v>
      </c>
      <c r="AB840" s="1">
        <f>+IFERROR(VLOOKUP(AB23,'נתוני מים 2014'!$C$2:$L$188,3,0)/1000,0)</f>
        <v>0</v>
      </c>
      <c r="AC840" s="1">
        <f>+IFERROR(VLOOKUP(AC23,'נתוני מים 2014'!$C$2:$L$188,3,0)/1000,0)</f>
        <v>0</v>
      </c>
      <c r="AD840" s="1">
        <f>+IFERROR(VLOOKUP(AD23,'נתוני מים 2014'!$C$2:$L$188,3,0)/1000,0)</f>
        <v>0</v>
      </c>
      <c r="AE840" s="1">
        <f>+IFERROR(VLOOKUP(AE23,'נתוני מים 2014'!$C$2:$L$188,3,0)/1000,0)</f>
        <v>0</v>
      </c>
      <c r="AF840" s="1">
        <f>+IFERROR(VLOOKUP(AF23,'נתוני מים 2014'!$C$2:$L$188,3,0)/1000,0)</f>
        <v>0</v>
      </c>
      <c r="AG840" s="1">
        <f>+IFERROR(VLOOKUP(AG23,'נתוני מים 2014'!$C$2:$L$188,3,0)/1000,0)</f>
        <v>0</v>
      </c>
      <c r="AH840" s="1">
        <f>+IFERROR(VLOOKUP(AH23,'נתוני מים 2014'!$C$2:$L$188,3,0)/1000,0)</f>
        <v>0</v>
      </c>
      <c r="AI840" s="1">
        <f>+IFERROR(VLOOKUP(AI23,'נתוני מים 2014'!$C$2:$L$188,3,0)/1000,0)</f>
        <v>0</v>
      </c>
      <c r="AJ840" s="1">
        <f>+IFERROR(VLOOKUP(AJ23,'נתוני מים 2014'!$C$2:$L$188,3,0)/1000,0)</f>
        <v>0</v>
      </c>
      <c r="AK840" s="1">
        <f>+IFERROR(VLOOKUP(AK23,'נתוני מים 2014'!$C$2:$L$188,3,0)/1000,0)</f>
        <v>0</v>
      </c>
      <c r="AL840" s="1">
        <f>+IFERROR(VLOOKUP(AL23,'נתוני מים 2014'!$C$2:$L$188,3,0)/1000,0)</f>
        <v>0</v>
      </c>
      <c r="AM840" s="1">
        <f>+IFERROR(VLOOKUP(AM23,'נתוני מים 2014'!$C$2:$L$188,3,0)/1000,0)</f>
        <v>0</v>
      </c>
      <c r="AN840" s="1">
        <f>+IFERROR(VLOOKUP(AN23,'נתוני מים 2014'!$C$2:$L$188,3,0)/1000,0)</f>
        <v>0</v>
      </c>
      <c r="AO840" s="1">
        <f>+IFERROR(VLOOKUP(AO23,'נתוני מים 2014'!$C$2:$L$188,3,0)/1000,0)</f>
        <v>0</v>
      </c>
      <c r="AP840" s="1">
        <f>+IFERROR(VLOOKUP(AP23,'נתוני מים 2014'!$C$2:$L$188,3,0)/1000,0)</f>
        <v>0</v>
      </c>
      <c r="AQ840" s="1">
        <f>+IFERROR(VLOOKUP(AQ23,'נתוני מים 2014'!$C$2:$L$188,3,0)/1000,0)</f>
        <v>0</v>
      </c>
      <c r="AR840" s="1">
        <f>+IFERROR(VLOOKUP(AR23,'נתוני מים 2014'!$C$2:$L$188,3,0)/1000,0)</f>
        <v>0</v>
      </c>
      <c r="AS840" s="1">
        <f>+IFERROR(VLOOKUP(AS23,'נתוני מים 2014'!$C$2:$L$188,3,0)/1000,0)</f>
        <v>0</v>
      </c>
      <c r="AT840" s="1">
        <f>+IFERROR(VLOOKUP(AT23,'נתוני מים 2014'!$C$2:$L$188,3,0)/1000,0)</f>
        <v>0</v>
      </c>
      <c r="AU840" s="1">
        <f>+IFERROR(VLOOKUP(AU23,'נתוני מים 2014'!$C$2:$L$188,3,0)/1000,0)</f>
        <v>0</v>
      </c>
      <c r="AV840" s="1">
        <f>+IFERROR(VLOOKUP(AV23,'נתוני מים 2014'!$C$2:$L$188,3,0)/1000,0)</f>
        <v>0</v>
      </c>
      <c r="AW840" s="1">
        <f>+IFERROR(VLOOKUP(AW23,'נתוני מים 2014'!$C$2:$L$188,3,0)/1000,0)</f>
        <v>0</v>
      </c>
      <c r="AX840" s="1">
        <f>+IFERROR(VLOOKUP(AX23,'נתוני מים 2014'!$C$2:$L$188,3,0)/1000,0)</f>
        <v>0</v>
      </c>
      <c r="AY840" s="1">
        <f>+IFERROR(VLOOKUP(AY23,'נתוני מים 2014'!$C$2:$L$188,3,0)/1000,0)</f>
        <v>0</v>
      </c>
      <c r="AZ840" s="1">
        <f>+IFERROR(VLOOKUP(AZ23,'נתוני מים 2014'!$C$2:$L$188,3,0)/1000,0)</f>
        <v>0</v>
      </c>
      <c r="BA840" s="1">
        <f>+IFERROR(VLOOKUP(BA23,'נתוני מים 2014'!$C$2:$L$188,3,0)/1000,0)</f>
        <v>0</v>
      </c>
      <c r="BB840" s="1">
        <f>+IFERROR(VLOOKUP(BB23,'נתוני מים 2014'!$C$2:$L$188,3,0)/1000,0)</f>
        <v>0</v>
      </c>
      <c r="BC840" s="1">
        <f>+IFERROR(VLOOKUP(BC23,'נתוני מים 2014'!$C$2:$L$188,3,0)/1000,0)</f>
        <v>0</v>
      </c>
      <c r="BD840" s="1">
        <f>+IFERROR(VLOOKUP(BD23,'נתוני מים 2014'!$C$2:$L$188,3,0)/1000,0)</f>
        <v>0</v>
      </c>
      <c r="BE840" s="1">
        <f>+IFERROR(VLOOKUP(BE23,'נתוני מים 2014'!$C$2:$L$188,3,0)/1000,0)</f>
        <v>0</v>
      </c>
      <c r="BF840" s="1">
        <f>+IFERROR(VLOOKUP(BF23,'נתוני מים 2014'!$C$2:$L$188,3,0)/1000,0)</f>
        <v>0</v>
      </c>
    </row>
    <row r="841" spans="2:58" x14ac:dyDescent="0.2">
      <c r="B841" s="1">
        <v>17</v>
      </c>
      <c r="C841" s="1">
        <f>+IFERROR(VLOOKUP(C24,'נתוני מים 2014'!$C$2:$L$188,3,0)/1000,0)</f>
        <v>0</v>
      </c>
      <c r="D841" s="1">
        <f>+IFERROR(VLOOKUP(D24,'נתוני מים 2014'!$C$2:$L$188,3,0)/1000,0)</f>
        <v>0</v>
      </c>
      <c r="E841" s="1">
        <f>+IFERROR(VLOOKUP(E24,'נתוני מים 2014'!$C$2:$L$188,3,0)/1000,0)</f>
        <v>0</v>
      </c>
      <c r="F841" s="1">
        <f>+IFERROR(VLOOKUP(F24,'נתוני מים 2014'!$C$2:$L$188,3,0)/1000,0)</f>
        <v>0</v>
      </c>
      <c r="G841" s="1">
        <f>+IFERROR(VLOOKUP(G24,'נתוני מים 2014'!$C$2:$L$188,3,0)/1000,0)</f>
        <v>0</v>
      </c>
      <c r="H841" s="1">
        <f>+IFERROR(VLOOKUP(H24,'נתוני מים 2014'!$C$2:$L$188,3,0)/1000,0)</f>
        <v>0</v>
      </c>
      <c r="I841" s="1">
        <f>+IFERROR(VLOOKUP(I24,'נתוני מים 2014'!$C$2:$L$188,3,0)/1000,0)</f>
        <v>0</v>
      </c>
      <c r="J841" s="1">
        <f>+IFERROR(VLOOKUP(J24,'נתוני מים 2014'!$C$2:$L$188,3,0)/1000,0)</f>
        <v>0</v>
      </c>
      <c r="K841" s="1">
        <f>+IFERROR(VLOOKUP(K24,'נתוני מים 2014'!$C$2:$L$188,3,0)/1000,0)</f>
        <v>0</v>
      </c>
      <c r="L841" s="1">
        <f>+IFERROR(VLOOKUP(L24,'נתוני מים 2014'!$C$2:$L$188,3,0)/1000,0)</f>
        <v>0</v>
      </c>
      <c r="M841" s="1">
        <f>+IFERROR(VLOOKUP(M24,'נתוני מים 2014'!$C$2:$L$188,3,0)/1000,0)</f>
        <v>0</v>
      </c>
      <c r="N841" s="1">
        <f>+IFERROR(VLOOKUP(N24,'נתוני מים 2014'!$C$2:$L$188,3,0)/1000,0)</f>
        <v>0</v>
      </c>
      <c r="O841" s="1">
        <f>+IFERROR(VLOOKUP(O24,'נתוני מים 2014'!$C$2:$L$188,3,0)/1000,0)</f>
        <v>0</v>
      </c>
      <c r="P841" s="1">
        <f>+IFERROR(VLOOKUP(P24,'נתוני מים 2014'!$C$2:$L$188,3,0)/1000,0)</f>
        <v>0</v>
      </c>
      <c r="Q841" s="1">
        <f>+IFERROR(VLOOKUP(Q24,'נתוני מים 2014'!$C$2:$L$188,3,0)/1000,0)</f>
        <v>0</v>
      </c>
      <c r="R841" s="1">
        <f>+IFERROR(VLOOKUP(R24,'נתוני מים 2014'!$C$2:$L$188,3,0)/1000,0)</f>
        <v>0</v>
      </c>
      <c r="S841" s="1">
        <f>+IFERROR(VLOOKUP(S24,'נתוני מים 2014'!$C$2:$L$188,3,0)/1000,0)</f>
        <v>0</v>
      </c>
      <c r="T841" s="1">
        <f>+IFERROR(VLOOKUP(T24,'נתוני מים 2014'!$C$2:$L$188,3,0)/1000,0)</f>
        <v>0</v>
      </c>
      <c r="U841" s="1">
        <f>+IFERROR(VLOOKUP(U24,'נתוני מים 2014'!$C$2:$L$188,3,0)/1000,0)</f>
        <v>0</v>
      </c>
      <c r="V841" s="1">
        <f>+IFERROR(VLOOKUP(V24,'נתוני מים 2014'!$C$2:$L$188,3,0)/1000,0)</f>
        <v>0</v>
      </c>
      <c r="W841" s="1">
        <f>+IFERROR(VLOOKUP(W24,'נתוני מים 2014'!$C$2:$L$188,3,0)/1000,0)</f>
        <v>0</v>
      </c>
      <c r="X841" s="1">
        <f>+IFERROR(VLOOKUP(X24,'נתוני מים 2014'!$C$2:$L$188,3,0)/1000,0)</f>
        <v>0</v>
      </c>
      <c r="Y841" s="1">
        <f>+IFERROR(VLOOKUP(Y24,'נתוני מים 2014'!$C$2:$L$188,3,0)/1000,0)</f>
        <v>0</v>
      </c>
      <c r="Z841" s="1">
        <f>+IFERROR(VLOOKUP(Z24,'נתוני מים 2014'!$C$2:$L$188,3,0)/1000,0)</f>
        <v>0</v>
      </c>
      <c r="AA841" s="1">
        <f>+IFERROR(VLOOKUP(AA24,'נתוני מים 2014'!$C$2:$L$188,3,0)/1000,0)</f>
        <v>0</v>
      </c>
      <c r="AB841" s="1">
        <f>+IFERROR(VLOOKUP(AB24,'נתוני מים 2014'!$C$2:$L$188,3,0)/1000,0)</f>
        <v>0</v>
      </c>
      <c r="AC841" s="1">
        <f>+IFERROR(VLOOKUP(AC24,'נתוני מים 2014'!$C$2:$L$188,3,0)/1000,0)</f>
        <v>0</v>
      </c>
      <c r="AD841" s="1">
        <f>+IFERROR(VLOOKUP(AD24,'נתוני מים 2014'!$C$2:$L$188,3,0)/1000,0)</f>
        <v>0</v>
      </c>
      <c r="AE841" s="1">
        <f>+IFERROR(VLOOKUP(AE24,'נתוני מים 2014'!$C$2:$L$188,3,0)/1000,0)</f>
        <v>0</v>
      </c>
      <c r="AF841" s="1">
        <f>+IFERROR(VLOOKUP(AF24,'נתוני מים 2014'!$C$2:$L$188,3,0)/1000,0)</f>
        <v>0</v>
      </c>
      <c r="AG841" s="1">
        <f>+IFERROR(VLOOKUP(AG24,'נתוני מים 2014'!$C$2:$L$188,3,0)/1000,0)</f>
        <v>0</v>
      </c>
      <c r="AH841" s="1">
        <f>+IFERROR(VLOOKUP(AH24,'נתוני מים 2014'!$C$2:$L$188,3,0)/1000,0)</f>
        <v>0</v>
      </c>
      <c r="AI841" s="1">
        <f>+IFERROR(VLOOKUP(AI24,'נתוני מים 2014'!$C$2:$L$188,3,0)/1000,0)</f>
        <v>0</v>
      </c>
      <c r="AJ841" s="1">
        <f>+IFERROR(VLOOKUP(AJ24,'נתוני מים 2014'!$C$2:$L$188,3,0)/1000,0)</f>
        <v>0</v>
      </c>
      <c r="AK841" s="1">
        <f>+IFERROR(VLOOKUP(AK24,'נתוני מים 2014'!$C$2:$L$188,3,0)/1000,0)</f>
        <v>0</v>
      </c>
      <c r="AL841" s="1">
        <f>+IFERROR(VLOOKUP(AL24,'נתוני מים 2014'!$C$2:$L$188,3,0)/1000,0)</f>
        <v>0</v>
      </c>
      <c r="AM841" s="1">
        <f>+IFERROR(VLOOKUP(AM24,'נתוני מים 2014'!$C$2:$L$188,3,0)/1000,0)</f>
        <v>0</v>
      </c>
      <c r="AN841" s="1">
        <f>+IFERROR(VLOOKUP(AN24,'נתוני מים 2014'!$C$2:$L$188,3,0)/1000,0)</f>
        <v>0</v>
      </c>
      <c r="AO841" s="1">
        <f>+IFERROR(VLOOKUP(AO24,'נתוני מים 2014'!$C$2:$L$188,3,0)/1000,0)</f>
        <v>0</v>
      </c>
      <c r="AP841" s="1">
        <f>+IFERROR(VLOOKUP(AP24,'נתוני מים 2014'!$C$2:$L$188,3,0)/1000,0)</f>
        <v>0</v>
      </c>
      <c r="AQ841" s="1">
        <f>+IFERROR(VLOOKUP(AQ24,'נתוני מים 2014'!$C$2:$L$188,3,0)/1000,0)</f>
        <v>0</v>
      </c>
      <c r="AR841" s="1">
        <f>+IFERROR(VLOOKUP(AR24,'נתוני מים 2014'!$C$2:$L$188,3,0)/1000,0)</f>
        <v>0</v>
      </c>
      <c r="AS841" s="1">
        <f>+IFERROR(VLOOKUP(AS24,'נתוני מים 2014'!$C$2:$L$188,3,0)/1000,0)</f>
        <v>0</v>
      </c>
      <c r="AT841" s="1">
        <f>+IFERROR(VLOOKUP(AT24,'נתוני מים 2014'!$C$2:$L$188,3,0)/1000,0)</f>
        <v>0</v>
      </c>
      <c r="AU841" s="1">
        <f>+IFERROR(VLOOKUP(AU24,'נתוני מים 2014'!$C$2:$L$188,3,0)/1000,0)</f>
        <v>0</v>
      </c>
      <c r="AV841" s="1">
        <f>+IFERROR(VLOOKUP(AV24,'נתוני מים 2014'!$C$2:$L$188,3,0)/1000,0)</f>
        <v>0</v>
      </c>
      <c r="AW841" s="1">
        <f>+IFERROR(VLOOKUP(AW24,'נתוני מים 2014'!$C$2:$L$188,3,0)/1000,0)</f>
        <v>0</v>
      </c>
      <c r="AX841" s="1">
        <f>+IFERROR(VLOOKUP(AX24,'נתוני מים 2014'!$C$2:$L$188,3,0)/1000,0)</f>
        <v>0</v>
      </c>
      <c r="AY841" s="1">
        <f>+IFERROR(VLOOKUP(AY24,'נתוני מים 2014'!$C$2:$L$188,3,0)/1000,0)</f>
        <v>0</v>
      </c>
      <c r="AZ841" s="1">
        <f>+IFERROR(VLOOKUP(AZ24,'נתוני מים 2014'!$C$2:$L$188,3,0)/1000,0)</f>
        <v>0</v>
      </c>
      <c r="BA841" s="1">
        <f>+IFERROR(VLOOKUP(BA24,'נתוני מים 2014'!$C$2:$L$188,3,0)/1000,0)</f>
        <v>0</v>
      </c>
      <c r="BB841" s="1">
        <f>+IFERROR(VLOOKUP(BB24,'נתוני מים 2014'!$C$2:$L$188,3,0)/1000,0)</f>
        <v>0</v>
      </c>
      <c r="BC841" s="1">
        <f>+IFERROR(VLOOKUP(BC24,'נתוני מים 2014'!$C$2:$L$188,3,0)/1000,0)</f>
        <v>0</v>
      </c>
      <c r="BD841" s="1">
        <f>+IFERROR(VLOOKUP(BD24,'נתוני מים 2014'!$C$2:$L$188,3,0)/1000,0)</f>
        <v>0</v>
      </c>
      <c r="BE841" s="1">
        <f>+IFERROR(VLOOKUP(BE24,'נתוני מים 2014'!$C$2:$L$188,3,0)/1000,0)</f>
        <v>0</v>
      </c>
      <c r="BF841" s="1">
        <f>+IFERROR(VLOOKUP(BF24,'נתוני מים 2014'!$C$2:$L$188,3,0)/1000,0)</f>
        <v>0</v>
      </c>
    </row>
    <row r="842" spans="2:58" x14ac:dyDescent="0.2">
      <c r="B842" s="1">
        <v>18</v>
      </c>
      <c r="C842" s="1">
        <f>+IFERROR(VLOOKUP(C25,'נתוני מים 2014'!$C$2:$L$188,3,0)/1000,0)</f>
        <v>0</v>
      </c>
      <c r="D842" s="1">
        <f>+IFERROR(VLOOKUP(D25,'נתוני מים 2014'!$C$2:$L$188,3,0)/1000,0)</f>
        <v>0</v>
      </c>
      <c r="E842" s="1">
        <f>+IFERROR(VLOOKUP(E25,'נתוני מים 2014'!$C$2:$L$188,3,0)/1000,0)</f>
        <v>0</v>
      </c>
      <c r="F842" s="1">
        <f>+IFERROR(VLOOKUP(F25,'נתוני מים 2014'!$C$2:$L$188,3,0)/1000,0)</f>
        <v>0</v>
      </c>
      <c r="G842" s="1">
        <f>+IFERROR(VLOOKUP(G25,'נתוני מים 2014'!$C$2:$L$188,3,0)/1000,0)</f>
        <v>0</v>
      </c>
      <c r="H842" s="1">
        <f>+IFERROR(VLOOKUP(H25,'נתוני מים 2014'!$C$2:$L$188,3,0)/1000,0)</f>
        <v>0</v>
      </c>
      <c r="I842" s="1">
        <f>+IFERROR(VLOOKUP(I25,'נתוני מים 2014'!$C$2:$L$188,3,0)/1000,0)</f>
        <v>0</v>
      </c>
      <c r="J842" s="1">
        <f>+IFERROR(VLOOKUP(J25,'נתוני מים 2014'!$C$2:$L$188,3,0)/1000,0)</f>
        <v>0</v>
      </c>
      <c r="K842" s="1">
        <f>+IFERROR(VLOOKUP(K25,'נתוני מים 2014'!$C$2:$L$188,3,0)/1000,0)</f>
        <v>0</v>
      </c>
      <c r="L842" s="1">
        <f>+IFERROR(VLOOKUP(L25,'נתוני מים 2014'!$C$2:$L$188,3,0)/1000,0)</f>
        <v>0</v>
      </c>
      <c r="M842" s="1">
        <f>+IFERROR(VLOOKUP(M25,'נתוני מים 2014'!$C$2:$L$188,3,0)/1000,0)</f>
        <v>0</v>
      </c>
      <c r="N842" s="1">
        <f>+IFERROR(VLOOKUP(N25,'נתוני מים 2014'!$C$2:$L$188,3,0)/1000,0)</f>
        <v>0</v>
      </c>
      <c r="O842" s="1">
        <f>+IFERROR(VLOOKUP(O25,'נתוני מים 2014'!$C$2:$L$188,3,0)/1000,0)</f>
        <v>0</v>
      </c>
      <c r="P842" s="1">
        <f>+IFERROR(VLOOKUP(P25,'נתוני מים 2014'!$C$2:$L$188,3,0)/1000,0)</f>
        <v>0</v>
      </c>
      <c r="Q842" s="1">
        <f>+IFERROR(VLOOKUP(Q25,'נתוני מים 2014'!$C$2:$L$188,3,0)/1000,0)</f>
        <v>0</v>
      </c>
      <c r="R842" s="1">
        <f>+IFERROR(VLOOKUP(R25,'נתוני מים 2014'!$C$2:$L$188,3,0)/1000,0)</f>
        <v>0</v>
      </c>
      <c r="S842" s="1">
        <f>+IFERROR(VLOOKUP(S25,'נתוני מים 2014'!$C$2:$L$188,3,0)/1000,0)</f>
        <v>0</v>
      </c>
      <c r="T842" s="1">
        <f>+IFERROR(VLOOKUP(T25,'נתוני מים 2014'!$C$2:$L$188,3,0)/1000,0)</f>
        <v>0</v>
      </c>
      <c r="U842" s="1">
        <f>+IFERROR(VLOOKUP(U25,'נתוני מים 2014'!$C$2:$L$188,3,0)/1000,0)</f>
        <v>0</v>
      </c>
      <c r="V842" s="1">
        <f>+IFERROR(VLOOKUP(V25,'נתוני מים 2014'!$C$2:$L$188,3,0)/1000,0)</f>
        <v>0</v>
      </c>
      <c r="W842" s="1">
        <f>+IFERROR(VLOOKUP(W25,'נתוני מים 2014'!$C$2:$L$188,3,0)/1000,0)</f>
        <v>0</v>
      </c>
      <c r="X842" s="1">
        <f>+IFERROR(VLOOKUP(X25,'נתוני מים 2014'!$C$2:$L$188,3,0)/1000,0)</f>
        <v>0</v>
      </c>
      <c r="Y842" s="1">
        <f>+IFERROR(VLOOKUP(Y25,'נתוני מים 2014'!$C$2:$L$188,3,0)/1000,0)</f>
        <v>0</v>
      </c>
      <c r="Z842" s="1">
        <f>+IFERROR(VLOOKUP(Z25,'נתוני מים 2014'!$C$2:$L$188,3,0)/1000,0)</f>
        <v>0</v>
      </c>
      <c r="AA842" s="1">
        <f>+IFERROR(VLOOKUP(AA25,'נתוני מים 2014'!$C$2:$L$188,3,0)/1000,0)</f>
        <v>0</v>
      </c>
      <c r="AB842" s="1">
        <f>+IFERROR(VLOOKUP(AB25,'נתוני מים 2014'!$C$2:$L$188,3,0)/1000,0)</f>
        <v>0</v>
      </c>
      <c r="AC842" s="1">
        <f>+IFERROR(VLOOKUP(AC25,'נתוני מים 2014'!$C$2:$L$188,3,0)/1000,0)</f>
        <v>0</v>
      </c>
      <c r="AD842" s="1">
        <f>+IFERROR(VLOOKUP(AD25,'נתוני מים 2014'!$C$2:$L$188,3,0)/1000,0)</f>
        <v>0</v>
      </c>
      <c r="AE842" s="1">
        <f>+IFERROR(VLOOKUP(AE25,'נתוני מים 2014'!$C$2:$L$188,3,0)/1000,0)</f>
        <v>0</v>
      </c>
      <c r="AF842" s="1">
        <f>+IFERROR(VLOOKUP(AF25,'נתוני מים 2014'!$C$2:$L$188,3,0)/1000,0)</f>
        <v>0</v>
      </c>
      <c r="AG842" s="1">
        <f>+IFERROR(VLOOKUP(AG25,'נתוני מים 2014'!$C$2:$L$188,3,0)/1000,0)</f>
        <v>0</v>
      </c>
      <c r="AH842" s="1">
        <f>+IFERROR(VLOOKUP(AH25,'נתוני מים 2014'!$C$2:$L$188,3,0)/1000,0)</f>
        <v>0</v>
      </c>
      <c r="AI842" s="1">
        <f>+IFERROR(VLOOKUP(AI25,'נתוני מים 2014'!$C$2:$L$188,3,0)/1000,0)</f>
        <v>0</v>
      </c>
      <c r="AJ842" s="1">
        <f>+IFERROR(VLOOKUP(AJ25,'נתוני מים 2014'!$C$2:$L$188,3,0)/1000,0)</f>
        <v>0</v>
      </c>
      <c r="AK842" s="1">
        <f>+IFERROR(VLOOKUP(AK25,'נתוני מים 2014'!$C$2:$L$188,3,0)/1000,0)</f>
        <v>0</v>
      </c>
      <c r="AL842" s="1">
        <f>+IFERROR(VLOOKUP(AL25,'נתוני מים 2014'!$C$2:$L$188,3,0)/1000,0)</f>
        <v>0</v>
      </c>
      <c r="AM842" s="1">
        <f>+IFERROR(VLOOKUP(AM25,'נתוני מים 2014'!$C$2:$L$188,3,0)/1000,0)</f>
        <v>0</v>
      </c>
      <c r="AN842" s="1">
        <f>+IFERROR(VLOOKUP(AN25,'נתוני מים 2014'!$C$2:$L$188,3,0)/1000,0)</f>
        <v>0</v>
      </c>
      <c r="AO842" s="1">
        <f>+IFERROR(VLOOKUP(AO25,'נתוני מים 2014'!$C$2:$L$188,3,0)/1000,0)</f>
        <v>0</v>
      </c>
      <c r="AP842" s="1">
        <f>+IFERROR(VLOOKUP(AP25,'נתוני מים 2014'!$C$2:$L$188,3,0)/1000,0)</f>
        <v>0</v>
      </c>
      <c r="AQ842" s="1">
        <f>+IFERROR(VLOOKUP(AQ25,'נתוני מים 2014'!$C$2:$L$188,3,0)/1000,0)</f>
        <v>0</v>
      </c>
      <c r="AR842" s="1">
        <f>+IFERROR(VLOOKUP(AR25,'נתוני מים 2014'!$C$2:$L$188,3,0)/1000,0)</f>
        <v>0</v>
      </c>
      <c r="AS842" s="1">
        <f>+IFERROR(VLOOKUP(AS25,'נתוני מים 2014'!$C$2:$L$188,3,0)/1000,0)</f>
        <v>0</v>
      </c>
      <c r="AT842" s="1">
        <f>+IFERROR(VLOOKUP(AT25,'נתוני מים 2014'!$C$2:$L$188,3,0)/1000,0)</f>
        <v>0</v>
      </c>
      <c r="AU842" s="1">
        <f>+IFERROR(VLOOKUP(AU25,'נתוני מים 2014'!$C$2:$L$188,3,0)/1000,0)</f>
        <v>0</v>
      </c>
      <c r="AV842" s="1">
        <f>+IFERROR(VLOOKUP(AV25,'נתוני מים 2014'!$C$2:$L$188,3,0)/1000,0)</f>
        <v>0</v>
      </c>
      <c r="AW842" s="1">
        <f>+IFERROR(VLOOKUP(AW25,'נתוני מים 2014'!$C$2:$L$188,3,0)/1000,0)</f>
        <v>0</v>
      </c>
      <c r="AX842" s="1">
        <f>+IFERROR(VLOOKUP(AX25,'נתוני מים 2014'!$C$2:$L$188,3,0)/1000,0)</f>
        <v>0</v>
      </c>
      <c r="AY842" s="1">
        <f>+IFERROR(VLOOKUP(AY25,'נתוני מים 2014'!$C$2:$L$188,3,0)/1000,0)</f>
        <v>0</v>
      </c>
      <c r="AZ842" s="1">
        <f>+IFERROR(VLOOKUP(AZ25,'נתוני מים 2014'!$C$2:$L$188,3,0)/1000,0)</f>
        <v>0</v>
      </c>
      <c r="BA842" s="1">
        <f>+IFERROR(VLOOKUP(BA25,'נתוני מים 2014'!$C$2:$L$188,3,0)/1000,0)</f>
        <v>0</v>
      </c>
      <c r="BB842" s="1">
        <f>+IFERROR(VLOOKUP(BB25,'נתוני מים 2014'!$C$2:$L$188,3,0)/1000,0)</f>
        <v>0</v>
      </c>
      <c r="BC842" s="1">
        <f>+IFERROR(VLOOKUP(BC25,'נתוני מים 2014'!$C$2:$L$188,3,0)/1000,0)</f>
        <v>0</v>
      </c>
      <c r="BD842" s="1">
        <f>+IFERROR(VLOOKUP(BD25,'נתוני מים 2014'!$C$2:$L$188,3,0)/1000,0)</f>
        <v>0</v>
      </c>
      <c r="BE842" s="1">
        <f>+IFERROR(VLOOKUP(BE25,'נתוני מים 2014'!$C$2:$L$188,3,0)/1000,0)</f>
        <v>0</v>
      </c>
      <c r="BF842" s="1">
        <f>+IFERROR(VLOOKUP(BF25,'נתוני מים 2014'!$C$2:$L$188,3,0)/1000,0)</f>
        <v>0</v>
      </c>
    </row>
    <row r="843" spans="2:58" x14ac:dyDescent="0.2">
      <c r="B843" s="1">
        <v>19</v>
      </c>
      <c r="C843" s="1">
        <f>+IFERROR(VLOOKUP(C26,'נתוני מים 2014'!$C$2:$L$188,3,0)/1000,0)</f>
        <v>0</v>
      </c>
      <c r="D843" s="1">
        <f>+IFERROR(VLOOKUP(D26,'נתוני מים 2014'!$C$2:$L$188,3,0)/1000,0)</f>
        <v>0</v>
      </c>
      <c r="E843" s="1">
        <f>+IFERROR(VLOOKUP(E26,'נתוני מים 2014'!$C$2:$L$188,3,0)/1000,0)</f>
        <v>0</v>
      </c>
      <c r="F843" s="1">
        <f>+IFERROR(VLOOKUP(F26,'נתוני מים 2014'!$C$2:$L$188,3,0)/1000,0)</f>
        <v>0</v>
      </c>
      <c r="G843" s="1">
        <f>+IFERROR(VLOOKUP(G26,'נתוני מים 2014'!$C$2:$L$188,3,0)/1000,0)</f>
        <v>0</v>
      </c>
      <c r="H843" s="1">
        <f>+IFERROR(VLOOKUP(H26,'נתוני מים 2014'!$C$2:$L$188,3,0)/1000,0)</f>
        <v>0</v>
      </c>
      <c r="I843" s="1">
        <f>+IFERROR(VLOOKUP(I26,'נתוני מים 2014'!$C$2:$L$188,3,0)/1000,0)</f>
        <v>0</v>
      </c>
      <c r="J843" s="1">
        <f>+IFERROR(VLOOKUP(J26,'נתוני מים 2014'!$C$2:$L$188,3,0)/1000,0)</f>
        <v>0</v>
      </c>
      <c r="K843" s="1">
        <f>+IFERROR(VLOOKUP(K26,'נתוני מים 2014'!$C$2:$L$188,3,0)/1000,0)</f>
        <v>0</v>
      </c>
      <c r="L843" s="1">
        <f>+IFERROR(VLOOKUP(L26,'נתוני מים 2014'!$C$2:$L$188,3,0)/1000,0)</f>
        <v>0</v>
      </c>
      <c r="M843" s="1">
        <f>+IFERROR(VLOOKUP(M26,'נתוני מים 2014'!$C$2:$L$188,3,0)/1000,0)</f>
        <v>0</v>
      </c>
      <c r="N843" s="1">
        <f>+IFERROR(VLOOKUP(N26,'נתוני מים 2014'!$C$2:$L$188,3,0)/1000,0)</f>
        <v>0</v>
      </c>
      <c r="O843" s="1">
        <f>+IFERROR(VLOOKUP(O26,'נתוני מים 2014'!$C$2:$L$188,3,0)/1000,0)</f>
        <v>0</v>
      </c>
      <c r="P843" s="1">
        <f>+IFERROR(VLOOKUP(P26,'נתוני מים 2014'!$C$2:$L$188,3,0)/1000,0)</f>
        <v>0</v>
      </c>
      <c r="Q843" s="1">
        <f>+IFERROR(VLOOKUP(Q26,'נתוני מים 2014'!$C$2:$L$188,3,0)/1000,0)</f>
        <v>0</v>
      </c>
      <c r="R843" s="1">
        <f>+IFERROR(VLOOKUP(R26,'נתוני מים 2014'!$C$2:$L$188,3,0)/1000,0)</f>
        <v>0</v>
      </c>
      <c r="S843" s="1">
        <f>+IFERROR(VLOOKUP(S26,'נתוני מים 2014'!$C$2:$L$188,3,0)/1000,0)</f>
        <v>0</v>
      </c>
      <c r="T843" s="1">
        <f>+IFERROR(VLOOKUP(T26,'נתוני מים 2014'!$C$2:$L$188,3,0)/1000,0)</f>
        <v>0</v>
      </c>
      <c r="U843" s="1">
        <f>+IFERROR(VLOOKUP(U26,'נתוני מים 2014'!$C$2:$L$188,3,0)/1000,0)</f>
        <v>0</v>
      </c>
      <c r="V843" s="1">
        <f>+IFERROR(VLOOKUP(V26,'נתוני מים 2014'!$C$2:$L$188,3,0)/1000,0)</f>
        <v>0</v>
      </c>
      <c r="W843" s="1">
        <f>+IFERROR(VLOOKUP(W26,'נתוני מים 2014'!$C$2:$L$188,3,0)/1000,0)</f>
        <v>0</v>
      </c>
      <c r="X843" s="1">
        <f>+IFERROR(VLOOKUP(X26,'נתוני מים 2014'!$C$2:$L$188,3,0)/1000,0)</f>
        <v>0</v>
      </c>
      <c r="Y843" s="1">
        <f>+IFERROR(VLOOKUP(Y26,'נתוני מים 2014'!$C$2:$L$188,3,0)/1000,0)</f>
        <v>0</v>
      </c>
      <c r="Z843" s="1">
        <f>+IFERROR(VLOOKUP(Z26,'נתוני מים 2014'!$C$2:$L$188,3,0)/1000,0)</f>
        <v>0</v>
      </c>
      <c r="AA843" s="1">
        <f>+IFERROR(VLOOKUP(AA26,'נתוני מים 2014'!$C$2:$L$188,3,0)/1000,0)</f>
        <v>0</v>
      </c>
      <c r="AB843" s="1">
        <f>+IFERROR(VLOOKUP(AB26,'נתוני מים 2014'!$C$2:$L$188,3,0)/1000,0)</f>
        <v>0</v>
      </c>
      <c r="AC843" s="1">
        <f>+IFERROR(VLOOKUP(AC26,'נתוני מים 2014'!$C$2:$L$188,3,0)/1000,0)</f>
        <v>0</v>
      </c>
      <c r="AD843" s="1">
        <f>+IFERROR(VLOOKUP(AD26,'נתוני מים 2014'!$C$2:$L$188,3,0)/1000,0)</f>
        <v>0</v>
      </c>
      <c r="AE843" s="1">
        <f>+IFERROR(VLOOKUP(AE26,'נתוני מים 2014'!$C$2:$L$188,3,0)/1000,0)</f>
        <v>0</v>
      </c>
      <c r="AF843" s="1">
        <f>+IFERROR(VLOOKUP(AF26,'נתוני מים 2014'!$C$2:$L$188,3,0)/1000,0)</f>
        <v>0</v>
      </c>
      <c r="AG843" s="1">
        <f>+IFERROR(VLOOKUP(AG26,'נתוני מים 2014'!$C$2:$L$188,3,0)/1000,0)</f>
        <v>0</v>
      </c>
      <c r="AH843" s="1">
        <f>+IFERROR(VLOOKUP(AH26,'נתוני מים 2014'!$C$2:$L$188,3,0)/1000,0)</f>
        <v>0</v>
      </c>
      <c r="AI843" s="1">
        <f>+IFERROR(VLOOKUP(AI26,'נתוני מים 2014'!$C$2:$L$188,3,0)/1000,0)</f>
        <v>0</v>
      </c>
      <c r="AJ843" s="1">
        <f>+IFERROR(VLOOKUP(AJ26,'נתוני מים 2014'!$C$2:$L$188,3,0)/1000,0)</f>
        <v>0</v>
      </c>
      <c r="AK843" s="1">
        <f>+IFERROR(VLOOKUP(AK26,'נתוני מים 2014'!$C$2:$L$188,3,0)/1000,0)</f>
        <v>0</v>
      </c>
      <c r="AL843" s="1">
        <f>+IFERROR(VLOOKUP(AL26,'נתוני מים 2014'!$C$2:$L$188,3,0)/1000,0)</f>
        <v>0</v>
      </c>
      <c r="AM843" s="1">
        <f>+IFERROR(VLOOKUP(AM26,'נתוני מים 2014'!$C$2:$L$188,3,0)/1000,0)</f>
        <v>0</v>
      </c>
      <c r="AN843" s="1">
        <f>+IFERROR(VLOOKUP(AN26,'נתוני מים 2014'!$C$2:$L$188,3,0)/1000,0)</f>
        <v>0</v>
      </c>
      <c r="AO843" s="1">
        <f>+IFERROR(VLOOKUP(AO26,'נתוני מים 2014'!$C$2:$L$188,3,0)/1000,0)</f>
        <v>0</v>
      </c>
      <c r="AP843" s="1">
        <f>+IFERROR(VLOOKUP(AP26,'נתוני מים 2014'!$C$2:$L$188,3,0)/1000,0)</f>
        <v>0</v>
      </c>
      <c r="AQ843" s="1">
        <f>+IFERROR(VLOOKUP(AQ26,'נתוני מים 2014'!$C$2:$L$188,3,0)/1000,0)</f>
        <v>0</v>
      </c>
      <c r="AR843" s="1">
        <f>+IFERROR(VLOOKUP(AR26,'נתוני מים 2014'!$C$2:$L$188,3,0)/1000,0)</f>
        <v>0</v>
      </c>
      <c r="AS843" s="1">
        <f>+IFERROR(VLOOKUP(AS26,'נתוני מים 2014'!$C$2:$L$188,3,0)/1000,0)</f>
        <v>0</v>
      </c>
      <c r="AT843" s="1">
        <f>+IFERROR(VLOOKUP(AT26,'נתוני מים 2014'!$C$2:$L$188,3,0)/1000,0)</f>
        <v>0</v>
      </c>
      <c r="AU843" s="1">
        <f>+IFERROR(VLOOKUP(AU26,'נתוני מים 2014'!$C$2:$L$188,3,0)/1000,0)</f>
        <v>0</v>
      </c>
      <c r="AV843" s="1">
        <f>+IFERROR(VLOOKUP(AV26,'נתוני מים 2014'!$C$2:$L$188,3,0)/1000,0)</f>
        <v>0</v>
      </c>
      <c r="AW843" s="1">
        <f>+IFERROR(VLOOKUP(AW26,'נתוני מים 2014'!$C$2:$L$188,3,0)/1000,0)</f>
        <v>0</v>
      </c>
      <c r="AX843" s="1">
        <f>+IFERROR(VLOOKUP(AX26,'נתוני מים 2014'!$C$2:$L$188,3,0)/1000,0)</f>
        <v>0</v>
      </c>
      <c r="AY843" s="1">
        <f>+IFERROR(VLOOKUP(AY26,'נתוני מים 2014'!$C$2:$L$188,3,0)/1000,0)</f>
        <v>0</v>
      </c>
      <c r="AZ843" s="1">
        <f>+IFERROR(VLOOKUP(AZ26,'נתוני מים 2014'!$C$2:$L$188,3,0)/1000,0)</f>
        <v>0</v>
      </c>
      <c r="BA843" s="1">
        <f>+IFERROR(VLOOKUP(BA26,'נתוני מים 2014'!$C$2:$L$188,3,0)/1000,0)</f>
        <v>0</v>
      </c>
      <c r="BB843" s="1">
        <f>+IFERROR(VLOOKUP(BB26,'נתוני מים 2014'!$C$2:$L$188,3,0)/1000,0)</f>
        <v>0</v>
      </c>
      <c r="BC843" s="1">
        <f>+IFERROR(VLOOKUP(BC26,'נתוני מים 2014'!$C$2:$L$188,3,0)/1000,0)</f>
        <v>0</v>
      </c>
      <c r="BD843" s="1">
        <f>+IFERROR(VLOOKUP(BD26,'נתוני מים 2014'!$C$2:$L$188,3,0)/1000,0)</f>
        <v>0</v>
      </c>
      <c r="BE843" s="1">
        <f>+IFERROR(VLOOKUP(BE26,'נתוני מים 2014'!$C$2:$L$188,3,0)/1000,0)</f>
        <v>0</v>
      </c>
      <c r="BF843" s="1">
        <f>+IFERROR(VLOOKUP(BF26,'נתוני מים 2014'!$C$2:$L$188,3,0)/1000,0)</f>
        <v>0</v>
      </c>
    </row>
    <row r="844" spans="2:58" x14ac:dyDescent="0.2">
      <c r="B844" s="1">
        <v>20</v>
      </c>
      <c r="C844" s="1">
        <f>+IFERROR(VLOOKUP(C27,'נתוני מים 2014'!$C$2:$L$188,3,0)/1000,0)</f>
        <v>0</v>
      </c>
      <c r="D844" s="1">
        <f>+IFERROR(VLOOKUP(D27,'נתוני מים 2014'!$C$2:$L$188,3,0)/1000,0)</f>
        <v>0</v>
      </c>
      <c r="E844" s="1">
        <f>+IFERROR(VLOOKUP(E27,'נתוני מים 2014'!$C$2:$L$188,3,0)/1000,0)</f>
        <v>0</v>
      </c>
      <c r="F844" s="1">
        <f>+IFERROR(VLOOKUP(F27,'נתוני מים 2014'!$C$2:$L$188,3,0)/1000,0)</f>
        <v>0</v>
      </c>
      <c r="G844" s="1">
        <f>+IFERROR(VLOOKUP(G27,'נתוני מים 2014'!$C$2:$L$188,3,0)/1000,0)</f>
        <v>0</v>
      </c>
      <c r="H844" s="1">
        <f>+IFERROR(VLOOKUP(H27,'נתוני מים 2014'!$C$2:$L$188,3,0)/1000,0)</f>
        <v>0</v>
      </c>
      <c r="I844" s="1">
        <f>+IFERROR(VLOOKUP(I27,'נתוני מים 2014'!$C$2:$L$188,3,0)/1000,0)</f>
        <v>0</v>
      </c>
      <c r="J844" s="1">
        <f>+IFERROR(VLOOKUP(J27,'נתוני מים 2014'!$C$2:$L$188,3,0)/1000,0)</f>
        <v>0</v>
      </c>
      <c r="K844" s="1">
        <f>+IFERROR(VLOOKUP(K27,'נתוני מים 2014'!$C$2:$L$188,3,0)/1000,0)</f>
        <v>0</v>
      </c>
      <c r="L844" s="1">
        <f>+IFERROR(VLOOKUP(L27,'נתוני מים 2014'!$C$2:$L$188,3,0)/1000,0)</f>
        <v>0</v>
      </c>
      <c r="M844" s="1">
        <f>+IFERROR(VLOOKUP(M27,'נתוני מים 2014'!$C$2:$L$188,3,0)/1000,0)</f>
        <v>0</v>
      </c>
      <c r="N844" s="1">
        <f>+IFERROR(VLOOKUP(N27,'נתוני מים 2014'!$C$2:$L$188,3,0)/1000,0)</f>
        <v>0</v>
      </c>
      <c r="O844" s="1">
        <f>+IFERROR(VLOOKUP(O27,'נתוני מים 2014'!$C$2:$L$188,3,0)/1000,0)</f>
        <v>0</v>
      </c>
      <c r="P844" s="1">
        <f>+IFERROR(VLOOKUP(P27,'נתוני מים 2014'!$C$2:$L$188,3,0)/1000,0)</f>
        <v>0</v>
      </c>
      <c r="Q844" s="1">
        <f>+IFERROR(VLOOKUP(Q27,'נתוני מים 2014'!$C$2:$L$188,3,0)/1000,0)</f>
        <v>0</v>
      </c>
      <c r="R844" s="1">
        <f>+IFERROR(VLOOKUP(R27,'נתוני מים 2014'!$C$2:$L$188,3,0)/1000,0)</f>
        <v>0</v>
      </c>
      <c r="S844" s="1">
        <f>+IFERROR(VLOOKUP(S27,'נתוני מים 2014'!$C$2:$L$188,3,0)/1000,0)</f>
        <v>0</v>
      </c>
      <c r="T844" s="1">
        <f>+IFERROR(VLOOKUP(T27,'נתוני מים 2014'!$C$2:$L$188,3,0)/1000,0)</f>
        <v>0</v>
      </c>
      <c r="U844" s="1">
        <f>+IFERROR(VLOOKUP(U27,'נתוני מים 2014'!$C$2:$L$188,3,0)/1000,0)</f>
        <v>0</v>
      </c>
      <c r="V844" s="1">
        <f>+IFERROR(VLOOKUP(V27,'נתוני מים 2014'!$C$2:$L$188,3,0)/1000,0)</f>
        <v>0</v>
      </c>
      <c r="W844" s="1">
        <f>+IFERROR(VLOOKUP(W27,'נתוני מים 2014'!$C$2:$L$188,3,0)/1000,0)</f>
        <v>0</v>
      </c>
      <c r="X844" s="1">
        <f>+IFERROR(VLOOKUP(X27,'נתוני מים 2014'!$C$2:$L$188,3,0)/1000,0)</f>
        <v>0</v>
      </c>
      <c r="Y844" s="1">
        <f>+IFERROR(VLOOKUP(Y27,'נתוני מים 2014'!$C$2:$L$188,3,0)/1000,0)</f>
        <v>0</v>
      </c>
      <c r="Z844" s="1">
        <f>+IFERROR(VLOOKUP(Z27,'נתוני מים 2014'!$C$2:$L$188,3,0)/1000,0)</f>
        <v>0</v>
      </c>
      <c r="AA844" s="1">
        <f>+IFERROR(VLOOKUP(AA27,'נתוני מים 2014'!$C$2:$L$188,3,0)/1000,0)</f>
        <v>0</v>
      </c>
      <c r="AB844" s="1">
        <f>+IFERROR(VLOOKUP(AB27,'נתוני מים 2014'!$C$2:$L$188,3,0)/1000,0)</f>
        <v>0</v>
      </c>
      <c r="AC844" s="1">
        <f>+IFERROR(VLOOKUP(AC27,'נתוני מים 2014'!$C$2:$L$188,3,0)/1000,0)</f>
        <v>0</v>
      </c>
      <c r="AD844" s="1">
        <f>+IFERROR(VLOOKUP(AD27,'נתוני מים 2014'!$C$2:$L$188,3,0)/1000,0)</f>
        <v>0</v>
      </c>
      <c r="AE844" s="1">
        <f>+IFERROR(VLOOKUP(AE27,'נתוני מים 2014'!$C$2:$L$188,3,0)/1000,0)</f>
        <v>0</v>
      </c>
      <c r="AF844" s="1">
        <f>+IFERROR(VLOOKUP(AF27,'נתוני מים 2014'!$C$2:$L$188,3,0)/1000,0)</f>
        <v>0</v>
      </c>
      <c r="AG844" s="1">
        <f>+IFERROR(VLOOKUP(AG27,'נתוני מים 2014'!$C$2:$L$188,3,0)/1000,0)</f>
        <v>0</v>
      </c>
      <c r="AH844" s="1">
        <f>+IFERROR(VLOOKUP(AH27,'נתוני מים 2014'!$C$2:$L$188,3,0)/1000,0)</f>
        <v>0</v>
      </c>
      <c r="AI844" s="1">
        <f>+IFERROR(VLOOKUP(AI27,'נתוני מים 2014'!$C$2:$L$188,3,0)/1000,0)</f>
        <v>0</v>
      </c>
      <c r="AJ844" s="1">
        <f>+IFERROR(VLOOKUP(AJ27,'נתוני מים 2014'!$C$2:$L$188,3,0)/1000,0)</f>
        <v>0</v>
      </c>
      <c r="AK844" s="1">
        <f>+IFERROR(VLOOKUP(AK27,'נתוני מים 2014'!$C$2:$L$188,3,0)/1000,0)</f>
        <v>0</v>
      </c>
      <c r="AL844" s="1">
        <f>+IFERROR(VLOOKUP(AL27,'נתוני מים 2014'!$C$2:$L$188,3,0)/1000,0)</f>
        <v>0</v>
      </c>
      <c r="AM844" s="1">
        <f>+IFERROR(VLOOKUP(AM27,'נתוני מים 2014'!$C$2:$L$188,3,0)/1000,0)</f>
        <v>0</v>
      </c>
      <c r="AN844" s="1">
        <f>+IFERROR(VLOOKUP(AN27,'נתוני מים 2014'!$C$2:$L$188,3,0)/1000,0)</f>
        <v>0</v>
      </c>
      <c r="AO844" s="1">
        <f>+IFERROR(VLOOKUP(AO27,'נתוני מים 2014'!$C$2:$L$188,3,0)/1000,0)</f>
        <v>0</v>
      </c>
      <c r="AP844" s="1">
        <f>+IFERROR(VLOOKUP(AP27,'נתוני מים 2014'!$C$2:$L$188,3,0)/1000,0)</f>
        <v>0</v>
      </c>
      <c r="AQ844" s="1">
        <f>+IFERROR(VLOOKUP(AQ27,'נתוני מים 2014'!$C$2:$L$188,3,0)/1000,0)</f>
        <v>0</v>
      </c>
      <c r="AR844" s="1">
        <f>+IFERROR(VLOOKUP(AR27,'נתוני מים 2014'!$C$2:$L$188,3,0)/1000,0)</f>
        <v>0</v>
      </c>
      <c r="AS844" s="1">
        <f>+IFERROR(VLOOKUP(AS27,'נתוני מים 2014'!$C$2:$L$188,3,0)/1000,0)</f>
        <v>0</v>
      </c>
      <c r="AT844" s="1">
        <f>+IFERROR(VLOOKUP(AT27,'נתוני מים 2014'!$C$2:$L$188,3,0)/1000,0)</f>
        <v>0</v>
      </c>
      <c r="AU844" s="1">
        <f>+IFERROR(VLOOKUP(AU27,'נתוני מים 2014'!$C$2:$L$188,3,0)/1000,0)</f>
        <v>0</v>
      </c>
      <c r="AV844" s="1">
        <f>+IFERROR(VLOOKUP(AV27,'נתוני מים 2014'!$C$2:$L$188,3,0)/1000,0)</f>
        <v>0</v>
      </c>
      <c r="AW844" s="1">
        <f>+IFERROR(VLOOKUP(AW27,'נתוני מים 2014'!$C$2:$L$188,3,0)/1000,0)</f>
        <v>0</v>
      </c>
      <c r="AX844" s="1">
        <f>+IFERROR(VLOOKUP(AX27,'נתוני מים 2014'!$C$2:$L$188,3,0)/1000,0)</f>
        <v>0</v>
      </c>
      <c r="AY844" s="1">
        <f>+IFERROR(VLOOKUP(AY27,'נתוני מים 2014'!$C$2:$L$188,3,0)/1000,0)</f>
        <v>0</v>
      </c>
      <c r="AZ844" s="1">
        <f>+IFERROR(VLOOKUP(AZ27,'נתוני מים 2014'!$C$2:$L$188,3,0)/1000,0)</f>
        <v>0</v>
      </c>
      <c r="BA844" s="1">
        <f>+IFERROR(VLOOKUP(BA27,'נתוני מים 2014'!$C$2:$L$188,3,0)/1000,0)</f>
        <v>0</v>
      </c>
      <c r="BB844" s="1">
        <f>+IFERROR(VLOOKUP(BB27,'נתוני מים 2014'!$C$2:$L$188,3,0)/1000,0)</f>
        <v>0</v>
      </c>
      <c r="BC844" s="1">
        <f>+IFERROR(VLOOKUP(BC27,'נתוני מים 2014'!$C$2:$L$188,3,0)/1000,0)</f>
        <v>0</v>
      </c>
      <c r="BD844" s="1">
        <f>+IFERROR(VLOOKUP(BD27,'נתוני מים 2014'!$C$2:$L$188,3,0)/1000,0)</f>
        <v>0</v>
      </c>
      <c r="BE844" s="1">
        <f>+IFERROR(VLOOKUP(BE27,'נתוני מים 2014'!$C$2:$L$188,3,0)/1000,0)</f>
        <v>0</v>
      </c>
      <c r="BF844" s="1">
        <f>+IFERROR(VLOOKUP(BF27,'נתוני מים 2014'!$C$2:$L$188,3,0)/1000,0)</f>
        <v>0</v>
      </c>
    </row>
    <row r="845" spans="2:58" x14ac:dyDescent="0.2">
      <c r="B845" s="1">
        <v>21</v>
      </c>
      <c r="C845" s="1">
        <f>+IFERROR(VLOOKUP(C28,'נתוני מים 2014'!$C$2:$L$188,3,0)/1000,0)</f>
        <v>0</v>
      </c>
      <c r="D845" s="1">
        <f>+IFERROR(VLOOKUP(D28,'נתוני מים 2014'!$C$2:$L$188,3,0)/1000,0)</f>
        <v>0</v>
      </c>
      <c r="E845" s="1">
        <f>+IFERROR(VLOOKUP(E28,'נתוני מים 2014'!$C$2:$L$188,3,0)/1000,0)</f>
        <v>0</v>
      </c>
      <c r="F845" s="1">
        <f>+IFERROR(VLOOKUP(F28,'נתוני מים 2014'!$C$2:$L$188,3,0)/1000,0)</f>
        <v>0</v>
      </c>
      <c r="G845" s="1">
        <f>+IFERROR(VLOOKUP(G28,'נתוני מים 2014'!$C$2:$L$188,3,0)/1000,0)</f>
        <v>0</v>
      </c>
      <c r="H845" s="1">
        <f>+IFERROR(VLOOKUP(H28,'נתוני מים 2014'!$C$2:$L$188,3,0)/1000,0)</f>
        <v>0</v>
      </c>
      <c r="I845" s="1">
        <f>+IFERROR(VLOOKUP(I28,'נתוני מים 2014'!$C$2:$L$188,3,0)/1000,0)</f>
        <v>0</v>
      </c>
      <c r="J845" s="1">
        <f>+IFERROR(VLOOKUP(J28,'נתוני מים 2014'!$C$2:$L$188,3,0)/1000,0)</f>
        <v>0</v>
      </c>
      <c r="K845" s="1">
        <f>+IFERROR(VLOOKUP(K28,'נתוני מים 2014'!$C$2:$L$188,3,0)/1000,0)</f>
        <v>0</v>
      </c>
      <c r="L845" s="1">
        <f>+IFERROR(VLOOKUP(L28,'נתוני מים 2014'!$C$2:$L$188,3,0)/1000,0)</f>
        <v>0</v>
      </c>
      <c r="M845" s="1">
        <f>+IFERROR(VLOOKUP(M28,'נתוני מים 2014'!$C$2:$L$188,3,0)/1000,0)</f>
        <v>0</v>
      </c>
      <c r="N845" s="1">
        <f>+IFERROR(VLOOKUP(N28,'נתוני מים 2014'!$C$2:$L$188,3,0)/1000,0)</f>
        <v>0</v>
      </c>
      <c r="O845" s="1">
        <f>+IFERROR(VLOOKUP(O28,'נתוני מים 2014'!$C$2:$L$188,3,0)/1000,0)</f>
        <v>0</v>
      </c>
      <c r="P845" s="1">
        <f>+IFERROR(VLOOKUP(P28,'נתוני מים 2014'!$C$2:$L$188,3,0)/1000,0)</f>
        <v>0</v>
      </c>
      <c r="Q845" s="1">
        <f>+IFERROR(VLOOKUP(Q28,'נתוני מים 2014'!$C$2:$L$188,3,0)/1000,0)</f>
        <v>0</v>
      </c>
      <c r="R845" s="1">
        <f>+IFERROR(VLOOKUP(R28,'נתוני מים 2014'!$C$2:$L$188,3,0)/1000,0)</f>
        <v>0</v>
      </c>
      <c r="S845" s="1">
        <f>+IFERROR(VLOOKUP(S28,'נתוני מים 2014'!$C$2:$L$188,3,0)/1000,0)</f>
        <v>0</v>
      </c>
      <c r="T845" s="1">
        <f>+IFERROR(VLOOKUP(T28,'נתוני מים 2014'!$C$2:$L$188,3,0)/1000,0)</f>
        <v>0</v>
      </c>
      <c r="U845" s="1">
        <f>+IFERROR(VLOOKUP(U28,'נתוני מים 2014'!$C$2:$L$188,3,0)/1000,0)</f>
        <v>0</v>
      </c>
      <c r="V845" s="1">
        <f>+IFERROR(VLOOKUP(V28,'נתוני מים 2014'!$C$2:$L$188,3,0)/1000,0)</f>
        <v>0</v>
      </c>
      <c r="W845" s="1">
        <f>+IFERROR(VLOOKUP(W28,'נתוני מים 2014'!$C$2:$L$188,3,0)/1000,0)</f>
        <v>0</v>
      </c>
      <c r="X845" s="1">
        <f>+IFERROR(VLOOKUP(X28,'נתוני מים 2014'!$C$2:$L$188,3,0)/1000,0)</f>
        <v>0</v>
      </c>
      <c r="Y845" s="1">
        <f>+IFERROR(VLOOKUP(Y28,'נתוני מים 2014'!$C$2:$L$188,3,0)/1000,0)</f>
        <v>0</v>
      </c>
      <c r="Z845" s="1">
        <f>+IFERROR(VLOOKUP(Z28,'נתוני מים 2014'!$C$2:$L$188,3,0)/1000,0)</f>
        <v>0</v>
      </c>
      <c r="AA845" s="1">
        <f>+IFERROR(VLOOKUP(AA28,'נתוני מים 2014'!$C$2:$L$188,3,0)/1000,0)</f>
        <v>0</v>
      </c>
      <c r="AB845" s="1">
        <f>+IFERROR(VLOOKUP(AB28,'נתוני מים 2014'!$C$2:$L$188,3,0)/1000,0)</f>
        <v>0</v>
      </c>
      <c r="AC845" s="1">
        <f>+IFERROR(VLOOKUP(AC28,'נתוני מים 2014'!$C$2:$L$188,3,0)/1000,0)</f>
        <v>0</v>
      </c>
      <c r="AD845" s="1">
        <f>+IFERROR(VLOOKUP(AD28,'נתוני מים 2014'!$C$2:$L$188,3,0)/1000,0)</f>
        <v>0</v>
      </c>
      <c r="AE845" s="1">
        <f>+IFERROR(VLOOKUP(AE28,'נתוני מים 2014'!$C$2:$L$188,3,0)/1000,0)</f>
        <v>0</v>
      </c>
      <c r="AF845" s="1">
        <f>+IFERROR(VLOOKUP(AF28,'נתוני מים 2014'!$C$2:$L$188,3,0)/1000,0)</f>
        <v>0</v>
      </c>
      <c r="AG845" s="1">
        <f>+IFERROR(VLOOKUP(AG28,'נתוני מים 2014'!$C$2:$L$188,3,0)/1000,0)</f>
        <v>0</v>
      </c>
      <c r="AH845" s="1">
        <f>+IFERROR(VLOOKUP(AH28,'נתוני מים 2014'!$C$2:$L$188,3,0)/1000,0)</f>
        <v>0</v>
      </c>
      <c r="AI845" s="1">
        <f>+IFERROR(VLOOKUP(AI28,'נתוני מים 2014'!$C$2:$L$188,3,0)/1000,0)</f>
        <v>0</v>
      </c>
      <c r="AJ845" s="1">
        <f>+IFERROR(VLOOKUP(AJ28,'נתוני מים 2014'!$C$2:$L$188,3,0)/1000,0)</f>
        <v>0</v>
      </c>
      <c r="AK845" s="1">
        <f>+IFERROR(VLOOKUP(AK28,'נתוני מים 2014'!$C$2:$L$188,3,0)/1000,0)</f>
        <v>0</v>
      </c>
      <c r="AL845" s="1">
        <f>+IFERROR(VLOOKUP(AL28,'נתוני מים 2014'!$C$2:$L$188,3,0)/1000,0)</f>
        <v>0</v>
      </c>
      <c r="AM845" s="1">
        <f>+IFERROR(VLOOKUP(AM28,'נתוני מים 2014'!$C$2:$L$188,3,0)/1000,0)</f>
        <v>0</v>
      </c>
      <c r="AN845" s="1">
        <f>+IFERROR(VLOOKUP(AN28,'נתוני מים 2014'!$C$2:$L$188,3,0)/1000,0)</f>
        <v>0</v>
      </c>
      <c r="AO845" s="1">
        <f>+IFERROR(VLOOKUP(AO28,'נתוני מים 2014'!$C$2:$L$188,3,0)/1000,0)</f>
        <v>0</v>
      </c>
      <c r="AP845" s="1">
        <f>+IFERROR(VLOOKUP(AP28,'נתוני מים 2014'!$C$2:$L$188,3,0)/1000,0)</f>
        <v>0</v>
      </c>
      <c r="AQ845" s="1">
        <f>+IFERROR(VLOOKUP(AQ28,'נתוני מים 2014'!$C$2:$L$188,3,0)/1000,0)</f>
        <v>0</v>
      </c>
      <c r="AR845" s="1">
        <f>+IFERROR(VLOOKUP(AR28,'נתוני מים 2014'!$C$2:$L$188,3,0)/1000,0)</f>
        <v>0</v>
      </c>
      <c r="AS845" s="1">
        <f>+IFERROR(VLOOKUP(AS28,'נתוני מים 2014'!$C$2:$L$188,3,0)/1000,0)</f>
        <v>0</v>
      </c>
      <c r="AT845" s="1">
        <f>+IFERROR(VLOOKUP(AT28,'נתוני מים 2014'!$C$2:$L$188,3,0)/1000,0)</f>
        <v>0</v>
      </c>
      <c r="AU845" s="1">
        <f>+IFERROR(VLOOKUP(AU28,'נתוני מים 2014'!$C$2:$L$188,3,0)/1000,0)</f>
        <v>0</v>
      </c>
      <c r="AV845" s="1">
        <f>+IFERROR(VLOOKUP(AV28,'נתוני מים 2014'!$C$2:$L$188,3,0)/1000,0)</f>
        <v>0</v>
      </c>
      <c r="AW845" s="1">
        <f>+IFERROR(VLOOKUP(AW28,'נתוני מים 2014'!$C$2:$L$188,3,0)/1000,0)</f>
        <v>0</v>
      </c>
      <c r="AX845" s="1">
        <f>+IFERROR(VLOOKUP(AX28,'נתוני מים 2014'!$C$2:$L$188,3,0)/1000,0)</f>
        <v>0</v>
      </c>
      <c r="AY845" s="1">
        <f>+IFERROR(VLOOKUP(AY28,'נתוני מים 2014'!$C$2:$L$188,3,0)/1000,0)</f>
        <v>0</v>
      </c>
      <c r="AZ845" s="1">
        <f>+IFERROR(VLOOKUP(AZ28,'נתוני מים 2014'!$C$2:$L$188,3,0)/1000,0)</f>
        <v>0</v>
      </c>
      <c r="BA845" s="1">
        <f>+IFERROR(VLOOKUP(BA28,'נתוני מים 2014'!$C$2:$L$188,3,0)/1000,0)</f>
        <v>0</v>
      </c>
      <c r="BB845" s="1">
        <f>+IFERROR(VLOOKUP(BB28,'נתוני מים 2014'!$C$2:$L$188,3,0)/1000,0)</f>
        <v>0</v>
      </c>
      <c r="BC845" s="1">
        <f>+IFERROR(VLOOKUP(BC28,'נתוני מים 2014'!$C$2:$L$188,3,0)/1000,0)</f>
        <v>0</v>
      </c>
      <c r="BD845" s="1">
        <f>+IFERROR(VLOOKUP(BD28,'נתוני מים 2014'!$C$2:$L$188,3,0)/1000,0)</f>
        <v>0</v>
      </c>
      <c r="BE845" s="1">
        <f>+IFERROR(VLOOKUP(BE28,'נתוני מים 2014'!$C$2:$L$188,3,0)/1000,0)</f>
        <v>0</v>
      </c>
      <c r="BF845" s="1">
        <f>+IFERROR(VLOOKUP(BF28,'נתוני מים 2014'!$C$2:$L$188,3,0)/1000,0)</f>
        <v>0</v>
      </c>
    </row>
    <row r="846" spans="2:58" x14ac:dyDescent="0.2">
      <c r="B846" s="1">
        <v>22</v>
      </c>
      <c r="C846" s="1">
        <f>+IFERROR(VLOOKUP(C29,'נתוני מים 2014'!$C$2:$L$188,3,0)/1000,0)</f>
        <v>0</v>
      </c>
      <c r="D846" s="1">
        <f>+IFERROR(VLOOKUP(D29,'נתוני מים 2014'!$C$2:$L$188,3,0)/1000,0)</f>
        <v>0</v>
      </c>
      <c r="E846" s="1">
        <f>+IFERROR(VLOOKUP(E29,'נתוני מים 2014'!$C$2:$L$188,3,0)/1000,0)</f>
        <v>0</v>
      </c>
      <c r="F846" s="1">
        <f>+IFERROR(VLOOKUP(F29,'נתוני מים 2014'!$C$2:$L$188,3,0)/1000,0)</f>
        <v>0</v>
      </c>
      <c r="G846" s="1">
        <f>+IFERROR(VLOOKUP(G29,'נתוני מים 2014'!$C$2:$L$188,3,0)/1000,0)</f>
        <v>0</v>
      </c>
      <c r="H846" s="1">
        <f>+IFERROR(VLOOKUP(H29,'נתוני מים 2014'!$C$2:$L$188,3,0)/1000,0)</f>
        <v>0</v>
      </c>
      <c r="I846" s="1">
        <f>+IFERROR(VLOOKUP(I29,'נתוני מים 2014'!$C$2:$L$188,3,0)/1000,0)</f>
        <v>0</v>
      </c>
      <c r="J846" s="1">
        <f>+IFERROR(VLOOKUP(J29,'נתוני מים 2014'!$C$2:$L$188,3,0)/1000,0)</f>
        <v>0</v>
      </c>
      <c r="K846" s="1">
        <f>+IFERROR(VLOOKUP(K29,'נתוני מים 2014'!$C$2:$L$188,3,0)/1000,0)</f>
        <v>0</v>
      </c>
      <c r="L846" s="1">
        <f>+IFERROR(VLOOKUP(L29,'נתוני מים 2014'!$C$2:$L$188,3,0)/1000,0)</f>
        <v>0</v>
      </c>
      <c r="M846" s="1">
        <f>+IFERROR(VLOOKUP(M29,'נתוני מים 2014'!$C$2:$L$188,3,0)/1000,0)</f>
        <v>0</v>
      </c>
      <c r="N846" s="1">
        <f>+IFERROR(VLOOKUP(N29,'נתוני מים 2014'!$C$2:$L$188,3,0)/1000,0)</f>
        <v>0</v>
      </c>
      <c r="O846" s="1">
        <f>+IFERROR(VLOOKUP(O29,'נתוני מים 2014'!$C$2:$L$188,3,0)/1000,0)</f>
        <v>0</v>
      </c>
      <c r="P846" s="1">
        <f>+IFERROR(VLOOKUP(P29,'נתוני מים 2014'!$C$2:$L$188,3,0)/1000,0)</f>
        <v>0</v>
      </c>
      <c r="Q846" s="1">
        <f>+IFERROR(VLOOKUP(Q29,'נתוני מים 2014'!$C$2:$L$188,3,0)/1000,0)</f>
        <v>0</v>
      </c>
      <c r="R846" s="1">
        <f>+IFERROR(VLOOKUP(R29,'נתוני מים 2014'!$C$2:$L$188,3,0)/1000,0)</f>
        <v>0</v>
      </c>
      <c r="S846" s="1">
        <f>+IFERROR(VLOOKUP(S29,'נתוני מים 2014'!$C$2:$L$188,3,0)/1000,0)</f>
        <v>0</v>
      </c>
      <c r="T846" s="1">
        <f>+IFERROR(VLOOKUP(T29,'נתוני מים 2014'!$C$2:$L$188,3,0)/1000,0)</f>
        <v>0</v>
      </c>
      <c r="U846" s="1">
        <f>+IFERROR(VLOOKUP(U29,'נתוני מים 2014'!$C$2:$L$188,3,0)/1000,0)</f>
        <v>0</v>
      </c>
      <c r="V846" s="1">
        <f>+IFERROR(VLOOKUP(V29,'נתוני מים 2014'!$C$2:$L$188,3,0)/1000,0)</f>
        <v>0</v>
      </c>
      <c r="W846" s="1">
        <f>+IFERROR(VLOOKUP(W29,'נתוני מים 2014'!$C$2:$L$188,3,0)/1000,0)</f>
        <v>0</v>
      </c>
      <c r="X846" s="1">
        <f>+IFERROR(VLOOKUP(X29,'נתוני מים 2014'!$C$2:$L$188,3,0)/1000,0)</f>
        <v>0</v>
      </c>
      <c r="Y846" s="1">
        <f>+IFERROR(VLOOKUP(Y29,'נתוני מים 2014'!$C$2:$L$188,3,0)/1000,0)</f>
        <v>0</v>
      </c>
      <c r="Z846" s="1">
        <f>+IFERROR(VLOOKUP(Z29,'נתוני מים 2014'!$C$2:$L$188,3,0)/1000,0)</f>
        <v>0</v>
      </c>
      <c r="AA846" s="1">
        <f>+IFERROR(VLOOKUP(AA29,'נתוני מים 2014'!$C$2:$L$188,3,0)/1000,0)</f>
        <v>0</v>
      </c>
      <c r="AB846" s="1">
        <f>+IFERROR(VLOOKUP(AB29,'נתוני מים 2014'!$C$2:$L$188,3,0)/1000,0)</f>
        <v>0</v>
      </c>
      <c r="AC846" s="1">
        <f>+IFERROR(VLOOKUP(AC29,'נתוני מים 2014'!$C$2:$L$188,3,0)/1000,0)</f>
        <v>0</v>
      </c>
      <c r="AD846" s="1">
        <f>+IFERROR(VLOOKUP(AD29,'נתוני מים 2014'!$C$2:$L$188,3,0)/1000,0)</f>
        <v>0</v>
      </c>
      <c r="AE846" s="1">
        <f>+IFERROR(VLOOKUP(AE29,'נתוני מים 2014'!$C$2:$L$188,3,0)/1000,0)</f>
        <v>0</v>
      </c>
      <c r="AF846" s="1">
        <f>+IFERROR(VLOOKUP(AF29,'נתוני מים 2014'!$C$2:$L$188,3,0)/1000,0)</f>
        <v>0</v>
      </c>
      <c r="AG846" s="1">
        <f>+IFERROR(VLOOKUP(AG29,'נתוני מים 2014'!$C$2:$L$188,3,0)/1000,0)</f>
        <v>0</v>
      </c>
      <c r="AH846" s="1">
        <f>+IFERROR(VLOOKUP(AH29,'נתוני מים 2014'!$C$2:$L$188,3,0)/1000,0)</f>
        <v>0</v>
      </c>
      <c r="AI846" s="1">
        <f>+IFERROR(VLOOKUP(AI29,'נתוני מים 2014'!$C$2:$L$188,3,0)/1000,0)</f>
        <v>0</v>
      </c>
      <c r="AJ846" s="1">
        <f>+IFERROR(VLOOKUP(AJ29,'נתוני מים 2014'!$C$2:$L$188,3,0)/1000,0)</f>
        <v>0</v>
      </c>
      <c r="AK846" s="1">
        <f>+IFERROR(VLOOKUP(AK29,'נתוני מים 2014'!$C$2:$L$188,3,0)/1000,0)</f>
        <v>0</v>
      </c>
      <c r="AL846" s="1">
        <f>+IFERROR(VLOOKUP(AL29,'נתוני מים 2014'!$C$2:$L$188,3,0)/1000,0)</f>
        <v>0</v>
      </c>
      <c r="AM846" s="1">
        <f>+IFERROR(VLOOKUP(AM29,'נתוני מים 2014'!$C$2:$L$188,3,0)/1000,0)</f>
        <v>0</v>
      </c>
      <c r="AN846" s="1">
        <f>+IFERROR(VLOOKUP(AN29,'נתוני מים 2014'!$C$2:$L$188,3,0)/1000,0)</f>
        <v>0</v>
      </c>
      <c r="AO846" s="1">
        <f>+IFERROR(VLOOKUP(AO29,'נתוני מים 2014'!$C$2:$L$188,3,0)/1000,0)</f>
        <v>0</v>
      </c>
      <c r="AP846" s="1">
        <f>+IFERROR(VLOOKUP(AP29,'נתוני מים 2014'!$C$2:$L$188,3,0)/1000,0)</f>
        <v>0</v>
      </c>
      <c r="AQ846" s="1">
        <f>+IFERROR(VLOOKUP(AQ29,'נתוני מים 2014'!$C$2:$L$188,3,0)/1000,0)</f>
        <v>0</v>
      </c>
      <c r="AR846" s="1">
        <f>+IFERROR(VLOOKUP(AR29,'נתוני מים 2014'!$C$2:$L$188,3,0)/1000,0)</f>
        <v>0</v>
      </c>
      <c r="AS846" s="1">
        <f>+IFERROR(VLOOKUP(AS29,'נתוני מים 2014'!$C$2:$L$188,3,0)/1000,0)</f>
        <v>0</v>
      </c>
      <c r="AT846" s="1">
        <f>+IFERROR(VLOOKUP(AT29,'נתוני מים 2014'!$C$2:$L$188,3,0)/1000,0)</f>
        <v>0</v>
      </c>
      <c r="AU846" s="1">
        <f>+IFERROR(VLOOKUP(AU29,'נתוני מים 2014'!$C$2:$L$188,3,0)/1000,0)</f>
        <v>0</v>
      </c>
      <c r="AV846" s="1">
        <f>+IFERROR(VLOOKUP(AV29,'נתוני מים 2014'!$C$2:$L$188,3,0)/1000,0)</f>
        <v>0</v>
      </c>
      <c r="AW846" s="1">
        <f>+IFERROR(VLOOKUP(AW29,'נתוני מים 2014'!$C$2:$L$188,3,0)/1000,0)</f>
        <v>0</v>
      </c>
      <c r="AX846" s="1">
        <f>+IFERROR(VLOOKUP(AX29,'נתוני מים 2014'!$C$2:$L$188,3,0)/1000,0)</f>
        <v>0</v>
      </c>
      <c r="AY846" s="1">
        <f>+IFERROR(VLOOKUP(AY29,'נתוני מים 2014'!$C$2:$L$188,3,0)/1000,0)</f>
        <v>0</v>
      </c>
      <c r="AZ846" s="1">
        <f>+IFERROR(VLOOKUP(AZ29,'נתוני מים 2014'!$C$2:$L$188,3,0)/1000,0)</f>
        <v>0</v>
      </c>
      <c r="BA846" s="1">
        <f>+IFERROR(VLOOKUP(BA29,'נתוני מים 2014'!$C$2:$L$188,3,0)/1000,0)</f>
        <v>0</v>
      </c>
      <c r="BB846" s="1">
        <f>+IFERROR(VLOOKUP(BB29,'נתוני מים 2014'!$C$2:$L$188,3,0)/1000,0)</f>
        <v>0</v>
      </c>
      <c r="BC846" s="1">
        <f>+IFERROR(VLOOKUP(BC29,'נתוני מים 2014'!$C$2:$L$188,3,0)/1000,0)</f>
        <v>0</v>
      </c>
      <c r="BD846" s="1">
        <f>+IFERROR(VLOOKUP(BD29,'נתוני מים 2014'!$C$2:$L$188,3,0)/1000,0)</f>
        <v>0</v>
      </c>
      <c r="BE846" s="1">
        <f>+IFERROR(VLOOKUP(BE29,'נתוני מים 2014'!$C$2:$L$188,3,0)/1000,0)</f>
        <v>0</v>
      </c>
      <c r="BF846" s="1">
        <f>+IFERROR(VLOOKUP(BF29,'נתוני מים 2014'!$C$2:$L$188,3,0)/1000,0)</f>
        <v>0</v>
      </c>
    </row>
    <row r="847" spans="2:58" x14ac:dyDescent="0.2">
      <c r="B847" s="1">
        <v>23</v>
      </c>
      <c r="C847" s="1">
        <f>+IFERROR(VLOOKUP(C30,'נתוני מים 2014'!$C$2:$L$188,3,0)/1000,0)</f>
        <v>0</v>
      </c>
      <c r="D847" s="1">
        <f>+IFERROR(VLOOKUP(D30,'נתוני מים 2014'!$C$2:$L$188,3,0)/1000,0)</f>
        <v>0</v>
      </c>
      <c r="E847" s="1">
        <f>+IFERROR(VLOOKUP(E30,'נתוני מים 2014'!$C$2:$L$188,3,0)/1000,0)</f>
        <v>0</v>
      </c>
      <c r="F847" s="1">
        <f>+IFERROR(VLOOKUP(F30,'נתוני מים 2014'!$C$2:$L$188,3,0)/1000,0)</f>
        <v>0</v>
      </c>
      <c r="G847" s="1">
        <f>+IFERROR(VLOOKUP(G30,'נתוני מים 2014'!$C$2:$L$188,3,0)/1000,0)</f>
        <v>0</v>
      </c>
      <c r="H847" s="1">
        <f>+IFERROR(VLOOKUP(H30,'נתוני מים 2014'!$C$2:$L$188,3,0)/1000,0)</f>
        <v>0</v>
      </c>
      <c r="I847" s="1">
        <f>+IFERROR(VLOOKUP(I30,'נתוני מים 2014'!$C$2:$L$188,3,0)/1000,0)</f>
        <v>0</v>
      </c>
      <c r="J847" s="1">
        <f>+IFERROR(VLOOKUP(J30,'נתוני מים 2014'!$C$2:$L$188,3,0)/1000,0)</f>
        <v>0</v>
      </c>
      <c r="K847" s="1">
        <f>+IFERROR(VLOOKUP(K30,'נתוני מים 2014'!$C$2:$L$188,3,0)/1000,0)</f>
        <v>0</v>
      </c>
      <c r="L847" s="1">
        <f>+IFERROR(VLOOKUP(L30,'נתוני מים 2014'!$C$2:$L$188,3,0)/1000,0)</f>
        <v>0</v>
      </c>
      <c r="M847" s="1">
        <f>+IFERROR(VLOOKUP(M30,'נתוני מים 2014'!$C$2:$L$188,3,0)/1000,0)</f>
        <v>0</v>
      </c>
      <c r="N847" s="1">
        <f>+IFERROR(VLOOKUP(N30,'נתוני מים 2014'!$C$2:$L$188,3,0)/1000,0)</f>
        <v>0</v>
      </c>
      <c r="O847" s="1">
        <f>+IFERROR(VLOOKUP(O30,'נתוני מים 2014'!$C$2:$L$188,3,0)/1000,0)</f>
        <v>0</v>
      </c>
      <c r="P847" s="1">
        <f>+IFERROR(VLOOKUP(P30,'נתוני מים 2014'!$C$2:$L$188,3,0)/1000,0)</f>
        <v>0</v>
      </c>
      <c r="Q847" s="1">
        <f>+IFERROR(VLOOKUP(Q30,'נתוני מים 2014'!$C$2:$L$188,3,0)/1000,0)</f>
        <v>0</v>
      </c>
      <c r="R847" s="1">
        <f>+IFERROR(VLOOKUP(R30,'נתוני מים 2014'!$C$2:$L$188,3,0)/1000,0)</f>
        <v>0</v>
      </c>
      <c r="S847" s="1">
        <f>+IFERROR(VLOOKUP(S30,'נתוני מים 2014'!$C$2:$L$188,3,0)/1000,0)</f>
        <v>0</v>
      </c>
      <c r="T847" s="1">
        <f>+IFERROR(VLOOKUP(T30,'נתוני מים 2014'!$C$2:$L$188,3,0)/1000,0)</f>
        <v>0</v>
      </c>
      <c r="U847" s="1">
        <f>+IFERROR(VLOOKUP(U30,'נתוני מים 2014'!$C$2:$L$188,3,0)/1000,0)</f>
        <v>0</v>
      </c>
      <c r="V847" s="1">
        <f>+IFERROR(VLOOKUP(V30,'נתוני מים 2014'!$C$2:$L$188,3,0)/1000,0)</f>
        <v>0</v>
      </c>
      <c r="W847" s="1">
        <f>+IFERROR(VLOOKUP(W30,'נתוני מים 2014'!$C$2:$L$188,3,0)/1000,0)</f>
        <v>0</v>
      </c>
      <c r="X847" s="1">
        <f>+IFERROR(VLOOKUP(X30,'נתוני מים 2014'!$C$2:$L$188,3,0)/1000,0)</f>
        <v>0</v>
      </c>
      <c r="Y847" s="1">
        <f>+IFERROR(VLOOKUP(Y30,'נתוני מים 2014'!$C$2:$L$188,3,0)/1000,0)</f>
        <v>0</v>
      </c>
      <c r="Z847" s="1">
        <f>+IFERROR(VLOOKUP(Z30,'נתוני מים 2014'!$C$2:$L$188,3,0)/1000,0)</f>
        <v>0</v>
      </c>
      <c r="AA847" s="1">
        <f>+IFERROR(VLOOKUP(AA30,'נתוני מים 2014'!$C$2:$L$188,3,0)/1000,0)</f>
        <v>0</v>
      </c>
      <c r="AB847" s="1">
        <f>+IFERROR(VLOOKUP(AB30,'נתוני מים 2014'!$C$2:$L$188,3,0)/1000,0)</f>
        <v>0</v>
      </c>
      <c r="AC847" s="1">
        <f>+IFERROR(VLOOKUP(AC30,'נתוני מים 2014'!$C$2:$L$188,3,0)/1000,0)</f>
        <v>0</v>
      </c>
      <c r="AD847" s="1">
        <f>+IFERROR(VLOOKUP(AD30,'נתוני מים 2014'!$C$2:$L$188,3,0)/1000,0)</f>
        <v>0</v>
      </c>
      <c r="AE847" s="1">
        <f>+IFERROR(VLOOKUP(AE30,'נתוני מים 2014'!$C$2:$L$188,3,0)/1000,0)</f>
        <v>0</v>
      </c>
      <c r="AF847" s="1">
        <f>+IFERROR(VLOOKUP(AF30,'נתוני מים 2014'!$C$2:$L$188,3,0)/1000,0)</f>
        <v>0</v>
      </c>
      <c r="AG847" s="1">
        <f>+IFERROR(VLOOKUP(AG30,'נתוני מים 2014'!$C$2:$L$188,3,0)/1000,0)</f>
        <v>0</v>
      </c>
      <c r="AH847" s="1">
        <f>+IFERROR(VLOOKUP(AH30,'נתוני מים 2014'!$C$2:$L$188,3,0)/1000,0)</f>
        <v>0</v>
      </c>
      <c r="AI847" s="1">
        <f>+IFERROR(VLOOKUP(AI30,'נתוני מים 2014'!$C$2:$L$188,3,0)/1000,0)</f>
        <v>0</v>
      </c>
      <c r="AJ847" s="1">
        <f>+IFERROR(VLOOKUP(AJ30,'נתוני מים 2014'!$C$2:$L$188,3,0)/1000,0)</f>
        <v>0</v>
      </c>
      <c r="AK847" s="1">
        <f>+IFERROR(VLOOKUP(AK30,'נתוני מים 2014'!$C$2:$L$188,3,0)/1000,0)</f>
        <v>0</v>
      </c>
      <c r="AL847" s="1">
        <f>+IFERROR(VLOOKUP(AL30,'נתוני מים 2014'!$C$2:$L$188,3,0)/1000,0)</f>
        <v>0</v>
      </c>
      <c r="AM847" s="1">
        <f>+IFERROR(VLOOKUP(AM30,'נתוני מים 2014'!$C$2:$L$188,3,0)/1000,0)</f>
        <v>0</v>
      </c>
      <c r="AN847" s="1">
        <f>+IFERROR(VLOOKUP(AN30,'נתוני מים 2014'!$C$2:$L$188,3,0)/1000,0)</f>
        <v>0</v>
      </c>
      <c r="AO847" s="1">
        <f>+IFERROR(VLOOKUP(AO30,'נתוני מים 2014'!$C$2:$L$188,3,0)/1000,0)</f>
        <v>0</v>
      </c>
      <c r="AP847" s="1">
        <f>+IFERROR(VLOOKUP(AP30,'נתוני מים 2014'!$C$2:$L$188,3,0)/1000,0)</f>
        <v>0</v>
      </c>
      <c r="AQ847" s="1">
        <f>+IFERROR(VLOOKUP(AQ30,'נתוני מים 2014'!$C$2:$L$188,3,0)/1000,0)</f>
        <v>0</v>
      </c>
      <c r="AR847" s="1">
        <f>+IFERROR(VLOOKUP(AR30,'נתוני מים 2014'!$C$2:$L$188,3,0)/1000,0)</f>
        <v>0</v>
      </c>
      <c r="AS847" s="1">
        <f>+IFERROR(VLOOKUP(AS30,'נתוני מים 2014'!$C$2:$L$188,3,0)/1000,0)</f>
        <v>0</v>
      </c>
      <c r="AT847" s="1">
        <f>+IFERROR(VLOOKUP(AT30,'נתוני מים 2014'!$C$2:$L$188,3,0)/1000,0)</f>
        <v>0</v>
      </c>
      <c r="AU847" s="1">
        <f>+IFERROR(VLOOKUP(AU30,'נתוני מים 2014'!$C$2:$L$188,3,0)/1000,0)</f>
        <v>0</v>
      </c>
      <c r="AV847" s="1">
        <f>+IFERROR(VLOOKUP(AV30,'נתוני מים 2014'!$C$2:$L$188,3,0)/1000,0)</f>
        <v>0</v>
      </c>
      <c r="AW847" s="1">
        <f>+IFERROR(VLOOKUP(AW30,'נתוני מים 2014'!$C$2:$L$188,3,0)/1000,0)</f>
        <v>0</v>
      </c>
      <c r="AX847" s="1">
        <f>+IFERROR(VLOOKUP(AX30,'נתוני מים 2014'!$C$2:$L$188,3,0)/1000,0)</f>
        <v>0</v>
      </c>
      <c r="AY847" s="1">
        <f>+IFERROR(VLOOKUP(AY30,'נתוני מים 2014'!$C$2:$L$188,3,0)/1000,0)</f>
        <v>0</v>
      </c>
      <c r="AZ847" s="1">
        <f>+IFERROR(VLOOKUP(AZ30,'נתוני מים 2014'!$C$2:$L$188,3,0)/1000,0)</f>
        <v>0</v>
      </c>
      <c r="BA847" s="1">
        <f>+IFERROR(VLOOKUP(BA30,'נתוני מים 2014'!$C$2:$L$188,3,0)/1000,0)</f>
        <v>0</v>
      </c>
      <c r="BB847" s="1">
        <f>+IFERROR(VLOOKUP(BB30,'נתוני מים 2014'!$C$2:$L$188,3,0)/1000,0)</f>
        <v>0</v>
      </c>
      <c r="BC847" s="1">
        <f>+IFERROR(VLOOKUP(BC30,'נתוני מים 2014'!$C$2:$L$188,3,0)/1000,0)</f>
        <v>0</v>
      </c>
      <c r="BD847" s="1">
        <f>+IFERROR(VLOOKUP(BD30,'נתוני מים 2014'!$C$2:$L$188,3,0)/1000,0)</f>
        <v>0</v>
      </c>
      <c r="BE847" s="1">
        <f>+IFERROR(VLOOKUP(BE30,'נתוני מים 2014'!$C$2:$L$188,3,0)/1000,0)</f>
        <v>0</v>
      </c>
      <c r="BF847" s="1">
        <f>+IFERROR(VLOOKUP(BF30,'נתוני מים 2014'!$C$2:$L$188,3,0)/1000,0)</f>
        <v>0</v>
      </c>
    </row>
    <row r="848" spans="2:58" x14ac:dyDescent="0.2">
      <c r="B848" s="1">
        <v>24</v>
      </c>
      <c r="C848" s="1">
        <f>+IFERROR(VLOOKUP(C31,'נתוני מים 2014'!$C$2:$L$188,3,0)/1000,0)</f>
        <v>0</v>
      </c>
      <c r="D848" s="1">
        <f>+IFERROR(VLOOKUP(D31,'נתוני מים 2014'!$C$2:$L$188,3,0)/1000,0)</f>
        <v>0</v>
      </c>
      <c r="E848" s="1">
        <f>+IFERROR(VLOOKUP(E31,'נתוני מים 2014'!$C$2:$L$188,3,0)/1000,0)</f>
        <v>0</v>
      </c>
      <c r="F848" s="1">
        <f>+IFERROR(VLOOKUP(F31,'נתוני מים 2014'!$C$2:$L$188,3,0)/1000,0)</f>
        <v>0</v>
      </c>
      <c r="G848" s="1">
        <f>+IFERROR(VLOOKUP(G31,'נתוני מים 2014'!$C$2:$L$188,3,0)/1000,0)</f>
        <v>0</v>
      </c>
      <c r="H848" s="1">
        <f>+IFERROR(VLOOKUP(H31,'נתוני מים 2014'!$C$2:$L$188,3,0)/1000,0)</f>
        <v>0</v>
      </c>
      <c r="I848" s="1">
        <f>+IFERROR(VLOOKUP(I31,'נתוני מים 2014'!$C$2:$L$188,3,0)/1000,0)</f>
        <v>0</v>
      </c>
      <c r="J848" s="1">
        <f>+IFERROR(VLOOKUP(J31,'נתוני מים 2014'!$C$2:$L$188,3,0)/1000,0)</f>
        <v>0</v>
      </c>
      <c r="K848" s="1">
        <f>+IFERROR(VLOOKUP(K31,'נתוני מים 2014'!$C$2:$L$188,3,0)/1000,0)</f>
        <v>0</v>
      </c>
      <c r="L848" s="1">
        <f>+IFERROR(VLOOKUP(L31,'נתוני מים 2014'!$C$2:$L$188,3,0)/1000,0)</f>
        <v>0</v>
      </c>
      <c r="M848" s="1">
        <f>+IFERROR(VLOOKUP(M31,'נתוני מים 2014'!$C$2:$L$188,3,0)/1000,0)</f>
        <v>0</v>
      </c>
      <c r="N848" s="1">
        <f>+IFERROR(VLOOKUP(N31,'נתוני מים 2014'!$C$2:$L$188,3,0)/1000,0)</f>
        <v>0</v>
      </c>
      <c r="O848" s="1">
        <f>+IFERROR(VLOOKUP(O31,'נתוני מים 2014'!$C$2:$L$188,3,0)/1000,0)</f>
        <v>0</v>
      </c>
      <c r="P848" s="1">
        <f>+IFERROR(VLOOKUP(P31,'נתוני מים 2014'!$C$2:$L$188,3,0)/1000,0)</f>
        <v>0</v>
      </c>
      <c r="Q848" s="1">
        <f>+IFERROR(VLOOKUP(Q31,'נתוני מים 2014'!$C$2:$L$188,3,0)/1000,0)</f>
        <v>0</v>
      </c>
      <c r="R848" s="1">
        <f>+IFERROR(VLOOKUP(R31,'נתוני מים 2014'!$C$2:$L$188,3,0)/1000,0)</f>
        <v>0</v>
      </c>
      <c r="S848" s="1">
        <f>+IFERROR(VLOOKUP(S31,'נתוני מים 2014'!$C$2:$L$188,3,0)/1000,0)</f>
        <v>0</v>
      </c>
      <c r="T848" s="1">
        <f>+IFERROR(VLOOKUP(T31,'נתוני מים 2014'!$C$2:$L$188,3,0)/1000,0)</f>
        <v>0</v>
      </c>
      <c r="U848" s="1">
        <f>+IFERROR(VLOOKUP(U31,'נתוני מים 2014'!$C$2:$L$188,3,0)/1000,0)</f>
        <v>0</v>
      </c>
      <c r="V848" s="1">
        <f>+IFERROR(VLOOKUP(V31,'נתוני מים 2014'!$C$2:$L$188,3,0)/1000,0)</f>
        <v>0</v>
      </c>
      <c r="W848" s="1">
        <f>+IFERROR(VLOOKUP(W31,'נתוני מים 2014'!$C$2:$L$188,3,0)/1000,0)</f>
        <v>0</v>
      </c>
      <c r="X848" s="1">
        <f>+IFERROR(VLOOKUP(X31,'נתוני מים 2014'!$C$2:$L$188,3,0)/1000,0)</f>
        <v>0</v>
      </c>
      <c r="Y848" s="1">
        <f>+IFERROR(VLOOKUP(Y31,'נתוני מים 2014'!$C$2:$L$188,3,0)/1000,0)</f>
        <v>0</v>
      </c>
      <c r="Z848" s="1">
        <f>+IFERROR(VLOOKUP(Z31,'נתוני מים 2014'!$C$2:$L$188,3,0)/1000,0)</f>
        <v>0</v>
      </c>
      <c r="AA848" s="1">
        <f>+IFERROR(VLOOKUP(AA31,'נתוני מים 2014'!$C$2:$L$188,3,0)/1000,0)</f>
        <v>0</v>
      </c>
      <c r="AB848" s="1">
        <f>+IFERROR(VLOOKUP(AB31,'נתוני מים 2014'!$C$2:$L$188,3,0)/1000,0)</f>
        <v>0</v>
      </c>
      <c r="AC848" s="1">
        <f>+IFERROR(VLOOKUP(AC31,'נתוני מים 2014'!$C$2:$L$188,3,0)/1000,0)</f>
        <v>0</v>
      </c>
      <c r="AD848" s="1">
        <f>+IFERROR(VLOOKUP(AD31,'נתוני מים 2014'!$C$2:$L$188,3,0)/1000,0)</f>
        <v>0</v>
      </c>
      <c r="AE848" s="1">
        <f>+IFERROR(VLOOKUP(AE31,'נתוני מים 2014'!$C$2:$L$188,3,0)/1000,0)</f>
        <v>0</v>
      </c>
      <c r="AF848" s="1">
        <f>+IFERROR(VLOOKUP(AF31,'נתוני מים 2014'!$C$2:$L$188,3,0)/1000,0)</f>
        <v>0</v>
      </c>
      <c r="AG848" s="1">
        <f>+IFERROR(VLOOKUP(AG31,'נתוני מים 2014'!$C$2:$L$188,3,0)/1000,0)</f>
        <v>0</v>
      </c>
      <c r="AH848" s="1">
        <f>+IFERROR(VLOOKUP(AH31,'נתוני מים 2014'!$C$2:$L$188,3,0)/1000,0)</f>
        <v>0</v>
      </c>
      <c r="AI848" s="1">
        <f>+IFERROR(VLOOKUP(AI31,'נתוני מים 2014'!$C$2:$L$188,3,0)/1000,0)</f>
        <v>0</v>
      </c>
      <c r="AJ848" s="1">
        <f>+IFERROR(VLOOKUP(AJ31,'נתוני מים 2014'!$C$2:$L$188,3,0)/1000,0)</f>
        <v>0</v>
      </c>
      <c r="AK848" s="1">
        <f>+IFERROR(VLOOKUP(AK31,'נתוני מים 2014'!$C$2:$L$188,3,0)/1000,0)</f>
        <v>0</v>
      </c>
      <c r="AL848" s="1">
        <f>+IFERROR(VLOOKUP(AL31,'נתוני מים 2014'!$C$2:$L$188,3,0)/1000,0)</f>
        <v>0</v>
      </c>
      <c r="AM848" s="1">
        <f>+IFERROR(VLOOKUP(AM31,'נתוני מים 2014'!$C$2:$L$188,3,0)/1000,0)</f>
        <v>0</v>
      </c>
      <c r="AN848" s="1">
        <f>+IFERROR(VLOOKUP(AN31,'נתוני מים 2014'!$C$2:$L$188,3,0)/1000,0)</f>
        <v>0</v>
      </c>
      <c r="AO848" s="1">
        <f>+IFERROR(VLOOKUP(AO31,'נתוני מים 2014'!$C$2:$L$188,3,0)/1000,0)</f>
        <v>0</v>
      </c>
      <c r="AP848" s="1">
        <f>+IFERROR(VLOOKUP(AP31,'נתוני מים 2014'!$C$2:$L$188,3,0)/1000,0)</f>
        <v>0</v>
      </c>
      <c r="AQ848" s="1">
        <f>+IFERROR(VLOOKUP(AQ31,'נתוני מים 2014'!$C$2:$L$188,3,0)/1000,0)</f>
        <v>0</v>
      </c>
      <c r="AR848" s="1">
        <f>+IFERROR(VLOOKUP(AR31,'נתוני מים 2014'!$C$2:$L$188,3,0)/1000,0)</f>
        <v>0</v>
      </c>
      <c r="AS848" s="1">
        <f>+IFERROR(VLOOKUP(AS31,'נתוני מים 2014'!$C$2:$L$188,3,0)/1000,0)</f>
        <v>0</v>
      </c>
      <c r="AT848" s="1">
        <f>+IFERROR(VLOOKUP(AT31,'נתוני מים 2014'!$C$2:$L$188,3,0)/1000,0)</f>
        <v>0</v>
      </c>
      <c r="AU848" s="1">
        <f>+IFERROR(VLOOKUP(AU31,'נתוני מים 2014'!$C$2:$L$188,3,0)/1000,0)</f>
        <v>0</v>
      </c>
      <c r="AV848" s="1">
        <f>+IFERROR(VLOOKUP(AV31,'נתוני מים 2014'!$C$2:$L$188,3,0)/1000,0)</f>
        <v>0</v>
      </c>
      <c r="AW848" s="1">
        <f>+IFERROR(VLOOKUP(AW31,'נתוני מים 2014'!$C$2:$L$188,3,0)/1000,0)</f>
        <v>0</v>
      </c>
      <c r="AX848" s="1">
        <f>+IFERROR(VLOOKUP(AX31,'נתוני מים 2014'!$C$2:$L$188,3,0)/1000,0)</f>
        <v>0</v>
      </c>
      <c r="AY848" s="1">
        <f>+IFERROR(VLOOKUP(AY31,'נתוני מים 2014'!$C$2:$L$188,3,0)/1000,0)</f>
        <v>0</v>
      </c>
      <c r="AZ848" s="1">
        <f>+IFERROR(VLOOKUP(AZ31,'נתוני מים 2014'!$C$2:$L$188,3,0)/1000,0)</f>
        <v>0</v>
      </c>
      <c r="BA848" s="1">
        <f>+IFERROR(VLOOKUP(BA31,'נתוני מים 2014'!$C$2:$L$188,3,0)/1000,0)</f>
        <v>0</v>
      </c>
      <c r="BB848" s="1">
        <f>+IFERROR(VLOOKUP(BB31,'נתוני מים 2014'!$C$2:$L$188,3,0)/1000,0)</f>
        <v>0</v>
      </c>
      <c r="BC848" s="1">
        <f>+IFERROR(VLOOKUP(BC31,'נתוני מים 2014'!$C$2:$L$188,3,0)/1000,0)</f>
        <v>0</v>
      </c>
      <c r="BD848" s="1">
        <f>+IFERROR(VLOOKUP(BD31,'נתוני מים 2014'!$C$2:$L$188,3,0)/1000,0)</f>
        <v>0</v>
      </c>
      <c r="BE848" s="1">
        <f>+IFERROR(VLOOKUP(BE31,'נתוני מים 2014'!$C$2:$L$188,3,0)/1000,0)</f>
        <v>0</v>
      </c>
      <c r="BF848" s="1">
        <f>+IFERROR(VLOOKUP(BF31,'נתוני מים 2014'!$C$2:$L$188,3,0)/1000,0)</f>
        <v>0</v>
      </c>
    </row>
    <row r="849" spans="1:58" x14ac:dyDescent="0.2">
      <c r="B849" s="1">
        <v>25</v>
      </c>
      <c r="C849" s="1">
        <f>+IFERROR(VLOOKUP(C32,'נתוני מים 2014'!$C$2:$L$188,3,0)/1000,0)</f>
        <v>0</v>
      </c>
      <c r="D849" s="1">
        <f>+IFERROR(VLOOKUP(D32,'נתוני מים 2014'!$C$2:$L$188,3,0)/1000,0)</f>
        <v>0</v>
      </c>
      <c r="E849" s="1">
        <f>+IFERROR(VLOOKUP(E32,'נתוני מים 2014'!$C$2:$L$188,3,0)/1000,0)</f>
        <v>0</v>
      </c>
      <c r="F849" s="1">
        <f>+IFERROR(VLOOKUP(F32,'נתוני מים 2014'!$C$2:$L$188,3,0)/1000,0)</f>
        <v>0</v>
      </c>
      <c r="G849" s="1">
        <f>+IFERROR(VLOOKUP(G32,'נתוני מים 2014'!$C$2:$L$188,3,0)/1000,0)</f>
        <v>0</v>
      </c>
      <c r="H849" s="1">
        <f>+IFERROR(VLOOKUP(H32,'נתוני מים 2014'!$C$2:$L$188,3,0)/1000,0)</f>
        <v>0</v>
      </c>
      <c r="I849" s="1">
        <f>+IFERROR(VLOOKUP(I32,'נתוני מים 2014'!$C$2:$L$188,3,0)/1000,0)</f>
        <v>0</v>
      </c>
      <c r="J849" s="1">
        <f>+IFERROR(VLOOKUP(J32,'נתוני מים 2014'!$C$2:$L$188,3,0)/1000,0)</f>
        <v>0</v>
      </c>
      <c r="K849" s="1">
        <f>+IFERROR(VLOOKUP(K32,'נתוני מים 2014'!$C$2:$L$188,3,0)/1000,0)</f>
        <v>0</v>
      </c>
      <c r="L849" s="1">
        <f>+IFERROR(VLOOKUP(L32,'נתוני מים 2014'!$C$2:$L$188,3,0)/1000,0)</f>
        <v>0</v>
      </c>
      <c r="M849" s="1">
        <f>+IFERROR(VLOOKUP(M32,'נתוני מים 2014'!$C$2:$L$188,3,0)/1000,0)</f>
        <v>0</v>
      </c>
      <c r="N849" s="1">
        <f>+IFERROR(VLOOKUP(N32,'נתוני מים 2014'!$C$2:$L$188,3,0)/1000,0)</f>
        <v>0</v>
      </c>
      <c r="O849" s="1">
        <f>+IFERROR(VLOOKUP(O32,'נתוני מים 2014'!$C$2:$L$188,3,0)/1000,0)</f>
        <v>0</v>
      </c>
      <c r="P849" s="1">
        <f>+IFERROR(VLOOKUP(P32,'נתוני מים 2014'!$C$2:$L$188,3,0)/1000,0)</f>
        <v>0</v>
      </c>
      <c r="Q849" s="1">
        <f>+IFERROR(VLOOKUP(Q32,'נתוני מים 2014'!$C$2:$L$188,3,0)/1000,0)</f>
        <v>0</v>
      </c>
      <c r="R849" s="1">
        <f>+IFERROR(VLOOKUP(R32,'נתוני מים 2014'!$C$2:$L$188,3,0)/1000,0)</f>
        <v>0</v>
      </c>
      <c r="S849" s="1">
        <f>+IFERROR(VLOOKUP(S32,'נתוני מים 2014'!$C$2:$L$188,3,0)/1000,0)</f>
        <v>0</v>
      </c>
      <c r="T849" s="1">
        <f>+IFERROR(VLOOKUP(T32,'נתוני מים 2014'!$C$2:$L$188,3,0)/1000,0)</f>
        <v>0</v>
      </c>
      <c r="U849" s="1">
        <f>+IFERROR(VLOOKUP(U32,'נתוני מים 2014'!$C$2:$L$188,3,0)/1000,0)</f>
        <v>0</v>
      </c>
      <c r="V849" s="1">
        <f>+IFERROR(VLOOKUP(V32,'נתוני מים 2014'!$C$2:$L$188,3,0)/1000,0)</f>
        <v>0</v>
      </c>
      <c r="W849" s="1">
        <f>+IFERROR(VLOOKUP(W32,'נתוני מים 2014'!$C$2:$L$188,3,0)/1000,0)</f>
        <v>0</v>
      </c>
      <c r="X849" s="1">
        <f>+IFERROR(VLOOKUP(X32,'נתוני מים 2014'!$C$2:$L$188,3,0)/1000,0)</f>
        <v>0</v>
      </c>
      <c r="Y849" s="1">
        <f>+IFERROR(VLOOKUP(Y32,'נתוני מים 2014'!$C$2:$L$188,3,0)/1000,0)</f>
        <v>0</v>
      </c>
      <c r="Z849" s="1">
        <f>+IFERROR(VLOOKUP(Z32,'נתוני מים 2014'!$C$2:$L$188,3,0)/1000,0)</f>
        <v>0</v>
      </c>
      <c r="AA849" s="1">
        <f>+IFERROR(VLOOKUP(AA32,'נתוני מים 2014'!$C$2:$L$188,3,0)/1000,0)</f>
        <v>0</v>
      </c>
      <c r="AB849" s="1">
        <f>+IFERROR(VLOOKUP(AB32,'נתוני מים 2014'!$C$2:$L$188,3,0)/1000,0)</f>
        <v>0</v>
      </c>
      <c r="AC849" s="1">
        <f>+IFERROR(VLOOKUP(AC32,'נתוני מים 2014'!$C$2:$L$188,3,0)/1000,0)</f>
        <v>0</v>
      </c>
      <c r="AD849" s="1">
        <f>+IFERROR(VLOOKUP(AD32,'נתוני מים 2014'!$C$2:$L$188,3,0)/1000,0)</f>
        <v>0</v>
      </c>
      <c r="AE849" s="1">
        <f>+IFERROR(VLOOKUP(AE32,'נתוני מים 2014'!$C$2:$L$188,3,0)/1000,0)</f>
        <v>0</v>
      </c>
      <c r="AF849" s="1">
        <f>+IFERROR(VLOOKUP(AF32,'נתוני מים 2014'!$C$2:$L$188,3,0)/1000,0)</f>
        <v>0</v>
      </c>
      <c r="AG849" s="1">
        <f>+IFERROR(VLOOKUP(AG32,'נתוני מים 2014'!$C$2:$L$188,3,0)/1000,0)</f>
        <v>0</v>
      </c>
      <c r="AH849" s="1">
        <f>+IFERROR(VLOOKUP(AH32,'נתוני מים 2014'!$C$2:$L$188,3,0)/1000,0)</f>
        <v>0</v>
      </c>
      <c r="AI849" s="1">
        <f>+IFERROR(VLOOKUP(AI32,'נתוני מים 2014'!$C$2:$L$188,3,0)/1000,0)</f>
        <v>0</v>
      </c>
      <c r="AJ849" s="1">
        <f>+IFERROR(VLOOKUP(AJ32,'נתוני מים 2014'!$C$2:$L$188,3,0)/1000,0)</f>
        <v>0</v>
      </c>
      <c r="AK849" s="1">
        <f>+IFERROR(VLOOKUP(AK32,'נתוני מים 2014'!$C$2:$L$188,3,0)/1000,0)</f>
        <v>0</v>
      </c>
      <c r="AL849" s="1">
        <f>+IFERROR(VLOOKUP(AL32,'נתוני מים 2014'!$C$2:$L$188,3,0)/1000,0)</f>
        <v>0</v>
      </c>
      <c r="AM849" s="1">
        <f>+IFERROR(VLOOKUP(AM32,'נתוני מים 2014'!$C$2:$L$188,3,0)/1000,0)</f>
        <v>0</v>
      </c>
      <c r="AN849" s="1">
        <f>+IFERROR(VLOOKUP(AN32,'נתוני מים 2014'!$C$2:$L$188,3,0)/1000,0)</f>
        <v>0</v>
      </c>
      <c r="AO849" s="1">
        <f>+IFERROR(VLOOKUP(AO32,'נתוני מים 2014'!$C$2:$L$188,3,0)/1000,0)</f>
        <v>0</v>
      </c>
      <c r="AP849" s="1">
        <f>+IFERROR(VLOOKUP(AP32,'נתוני מים 2014'!$C$2:$L$188,3,0)/1000,0)</f>
        <v>0</v>
      </c>
      <c r="AQ849" s="1">
        <f>+IFERROR(VLOOKUP(AQ32,'נתוני מים 2014'!$C$2:$L$188,3,0)/1000,0)</f>
        <v>0</v>
      </c>
      <c r="AR849" s="1">
        <f>+IFERROR(VLOOKUP(AR32,'נתוני מים 2014'!$C$2:$L$188,3,0)/1000,0)</f>
        <v>0</v>
      </c>
      <c r="AS849" s="1">
        <f>+IFERROR(VLOOKUP(AS32,'נתוני מים 2014'!$C$2:$L$188,3,0)/1000,0)</f>
        <v>0</v>
      </c>
      <c r="AT849" s="1">
        <f>+IFERROR(VLOOKUP(AT32,'נתוני מים 2014'!$C$2:$L$188,3,0)/1000,0)</f>
        <v>0</v>
      </c>
      <c r="AU849" s="1">
        <f>+IFERROR(VLOOKUP(AU32,'נתוני מים 2014'!$C$2:$L$188,3,0)/1000,0)</f>
        <v>0</v>
      </c>
      <c r="AV849" s="1">
        <f>+IFERROR(VLOOKUP(AV32,'נתוני מים 2014'!$C$2:$L$188,3,0)/1000,0)</f>
        <v>0</v>
      </c>
      <c r="AW849" s="1">
        <f>+IFERROR(VLOOKUP(AW32,'נתוני מים 2014'!$C$2:$L$188,3,0)/1000,0)</f>
        <v>0</v>
      </c>
      <c r="AX849" s="1">
        <f>+IFERROR(VLOOKUP(AX32,'נתוני מים 2014'!$C$2:$L$188,3,0)/1000,0)</f>
        <v>0</v>
      </c>
      <c r="AY849" s="1">
        <f>+IFERROR(VLOOKUP(AY32,'נתוני מים 2014'!$C$2:$L$188,3,0)/1000,0)</f>
        <v>0</v>
      </c>
      <c r="AZ849" s="1">
        <f>+IFERROR(VLOOKUP(AZ32,'נתוני מים 2014'!$C$2:$L$188,3,0)/1000,0)</f>
        <v>0</v>
      </c>
      <c r="BA849" s="1">
        <f>+IFERROR(VLOOKUP(BA32,'נתוני מים 2014'!$C$2:$L$188,3,0)/1000,0)</f>
        <v>0</v>
      </c>
      <c r="BB849" s="1">
        <f>+IFERROR(VLOOKUP(BB32,'נתוני מים 2014'!$C$2:$L$188,3,0)/1000,0)</f>
        <v>0</v>
      </c>
      <c r="BC849" s="1">
        <f>+IFERROR(VLOOKUP(BC32,'נתוני מים 2014'!$C$2:$L$188,3,0)/1000,0)</f>
        <v>0</v>
      </c>
      <c r="BD849" s="1">
        <f>+IFERROR(VLOOKUP(BD32,'נתוני מים 2014'!$C$2:$L$188,3,0)/1000,0)</f>
        <v>0</v>
      </c>
      <c r="BE849" s="1">
        <f>+IFERROR(VLOOKUP(BE32,'נתוני מים 2014'!$C$2:$L$188,3,0)/1000,0)</f>
        <v>0</v>
      </c>
      <c r="BF849" s="1">
        <f>+IFERROR(VLOOKUP(BF32,'נתוני מים 2014'!$C$2:$L$188,3,0)/1000,0)</f>
        <v>0</v>
      </c>
    </row>
    <row r="850" spans="1:58" x14ac:dyDescent="0.2">
      <c r="B850" s="1">
        <v>26</v>
      </c>
      <c r="C850" s="1">
        <f>+IFERROR(VLOOKUP(C33,'נתוני מים 2014'!$C$2:$L$188,3,0)/1000,0)</f>
        <v>0</v>
      </c>
      <c r="D850" s="1">
        <f>+IFERROR(VLOOKUP(D33,'נתוני מים 2014'!$C$2:$L$188,3,0)/1000,0)</f>
        <v>0</v>
      </c>
      <c r="E850" s="1">
        <f>+IFERROR(VLOOKUP(E33,'נתוני מים 2014'!$C$2:$L$188,3,0)/1000,0)</f>
        <v>0</v>
      </c>
      <c r="F850" s="1">
        <f>+IFERROR(VLOOKUP(F33,'נתוני מים 2014'!$C$2:$L$188,3,0)/1000,0)</f>
        <v>0</v>
      </c>
      <c r="G850" s="1">
        <f>+IFERROR(VLOOKUP(G33,'נתוני מים 2014'!$C$2:$L$188,3,0)/1000,0)</f>
        <v>0</v>
      </c>
      <c r="H850" s="1">
        <f>+IFERROR(VLOOKUP(H33,'נתוני מים 2014'!$C$2:$L$188,3,0)/1000,0)</f>
        <v>0</v>
      </c>
      <c r="I850" s="1">
        <f>+IFERROR(VLOOKUP(I33,'נתוני מים 2014'!$C$2:$L$188,3,0)/1000,0)</f>
        <v>0</v>
      </c>
      <c r="J850" s="1">
        <f>+IFERROR(VLOOKUP(J33,'נתוני מים 2014'!$C$2:$L$188,3,0)/1000,0)</f>
        <v>0</v>
      </c>
      <c r="K850" s="1">
        <f>+IFERROR(VLOOKUP(K33,'נתוני מים 2014'!$C$2:$L$188,3,0)/1000,0)</f>
        <v>0</v>
      </c>
      <c r="L850" s="1">
        <f>+IFERROR(VLOOKUP(L33,'נתוני מים 2014'!$C$2:$L$188,3,0)/1000,0)</f>
        <v>0</v>
      </c>
      <c r="M850" s="1">
        <f>+IFERROR(VLOOKUP(M33,'נתוני מים 2014'!$C$2:$L$188,3,0)/1000,0)</f>
        <v>0</v>
      </c>
      <c r="N850" s="1">
        <f>+IFERROR(VLOOKUP(N33,'נתוני מים 2014'!$C$2:$L$188,3,0)/1000,0)</f>
        <v>0</v>
      </c>
      <c r="O850" s="1">
        <f>+IFERROR(VLOOKUP(O33,'נתוני מים 2014'!$C$2:$L$188,3,0)/1000,0)</f>
        <v>0</v>
      </c>
      <c r="P850" s="1">
        <f>+IFERROR(VLOOKUP(P33,'נתוני מים 2014'!$C$2:$L$188,3,0)/1000,0)</f>
        <v>0</v>
      </c>
      <c r="Q850" s="1">
        <f>+IFERROR(VLOOKUP(Q33,'נתוני מים 2014'!$C$2:$L$188,3,0)/1000,0)</f>
        <v>0</v>
      </c>
      <c r="R850" s="1">
        <f>+IFERROR(VLOOKUP(R33,'נתוני מים 2014'!$C$2:$L$188,3,0)/1000,0)</f>
        <v>0</v>
      </c>
      <c r="S850" s="1">
        <f>+IFERROR(VLOOKUP(S33,'נתוני מים 2014'!$C$2:$L$188,3,0)/1000,0)</f>
        <v>0</v>
      </c>
      <c r="T850" s="1">
        <f>+IFERROR(VLOOKUP(T33,'נתוני מים 2014'!$C$2:$L$188,3,0)/1000,0)</f>
        <v>0</v>
      </c>
      <c r="U850" s="1">
        <f>+IFERROR(VLOOKUP(U33,'נתוני מים 2014'!$C$2:$L$188,3,0)/1000,0)</f>
        <v>0</v>
      </c>
      <c r="V850" s="1">
        <f>+IFERROR(VLOOKUP(V33,'נתוני מים 2014'!$C$2:$L$188,3,0)/1000,0)</f>
        <v>0</v>
      </c>
      <c r="W850" s="1">
        <f>+IFERROR(VLOOKUP(W33,'נתוני מים 2014'!$C$2:$L$188,3,0)/1000,0)</f>
        <v>0</v>
      </c>
      <c r="X850" s="1">
        <f>+IFERROR(VLOOKUP(X33,'נתוני מים 2014'!$C$2:$L$188,3,0)/1000,0)</f>
        <v>0</v>
      </c>
      <c r="Y850" s="1">
        <f>+IFERROR(VLOOKUP(Y33,'נתוני מים 2014'!$C$2:$L$188,3,0)/1000,0)</f>
        <v>0</v>
      </c>
      <c r="Z850" s="1">
        <f>+IFERROR(VLOOKUP(Z33,'נתוני מים 2014'!$C$2:$L$188,3,0)/1000,0)</f>
        <v>0</v>
      </c>
      <c r="AA850" s="1">
        <f>+IFERROR(VLOOKUP(AA33,'נתוני מים 2014'!$C$2:$L$188,3,0)/1000,0)</f>
        <v>0</v>
      </c>
      <c r="AB850" s="1">
        <f>+IFERROR(VLOOKUP(AB33,'נתוני מים 2014'!$C$2:$L$188,3,0)/1000,0)</f>
        <v>0</v>
      </c>
      <c r="AC850" s="1">
        <f>+IFERROR(VLOOKUP(AC33,'נתוני מים 2014'!$C$2:$L$188,3,0)/1000,0)</f>
        <v>0</v>
      </c>
      <c r="AD850" s="1">
        <f>+IFERROR(VLOOKUP(AD33,'נתוני מים 2014'!$C$2:$L$188,3,0)/1000,0)</f>
        <v>0</v>
      </c>
      <c r="AE850" s="1">
        <f>+IFERROR(VLOOKUP(AE33,'נתוני מים 2014'!$C$2:$L$188,3,0)/1000,0)</f>
        <v>0</v>
      </c>
      <c r="AF850" s="1">
        <f>+IFERROR(VLOOKUP(AF33,'נתוני מים 2014'!$C$2:$L$188,3,0)/1000,0)</f>
        <v>0</v>
      </c>
      <c r="AG850" s="1">
        <f>+IFERROR(VLOOKUP(AG33,'נתוני מים 2014'!$C$2:$L$188,3,0)/1000,0)</f>
        <v>0</v>
      </c>
      <c r="AH850" s="1">
        <f>+IFERROR(VLOOKUP(AH33,'נתוני מים 2014'!$C$2:$L$188,3,0)/1000,0)</f>
        <v>0</v>
      </c>
      <c r="AI850" s="1">
        <f>+IFERROR(VLOOKUP(AI33,'נתוני מים 2014'!$C$2:$L$188,3,0)/1000,0)</f>
        <v>0</v>
      </c>
      <c r="AJ850" s="1">
        <f>+IFERROR(VLOOKUP(AJ33,'נתוני מים 2014'!$C$2:$L$188,3,0)/1000,0)</f>
        <v>0</v>
      </c>
      <c r="AK850" s="1">
        <f>+IFERROR(VLOOKUP(AK33,'נתוני מים 2014'!$C$2:$L$188,3,0)/1000,0)</f>
        <v>0</v>
      </c>
      <c r="AL850" s="1">
        <f>+IFERROR(VLOOKUP(AL33,'נתוני מים 2014'!$C$2:$L$188,3,0)/1000,0)</f>
        <v>0</v>
      </c>
      <c r="AM850" s="1">
        <f>+IFERROR(VLOOKUP(AM33,'נתוני מים 2014'!$C$2:$L$188,3,0)/1000,0)</f>
        <v>0</v>
      </c>
      <c r="AN850" s="1">
        <f>+IFERROR(VLOOKUP(AN33,'נתוני מים 2014'!$C$2:$L$188,3,0)/1000,0)</f>
        <v>0</v>
      </c>
      <c r="AO850" s="1">
        <f>+IFERROR(VLOOKUP(AO33,'נתוני מים 2014'!$C$2:$L$188,3,0)/1000,0)</f>
        <v>0</v>
      </c>
      <c r="AP850" s="1">
        <f>+IFERROR(VLOOKUP(AP33,'נתוני מים 2014'!$C$2:$L$188,3,0)/1000,0)</f>
        <v>0</v>
      </c>
      <c r="AQ850" s="1">
        <f>+IFERROR(VLOOKUP(AQ33,'נתוני מים 2014'!$C$2:$L$188,3,0)/1000,0)</f>
        <v>0</v>
      </c>
      <c r="AR850" s="1">
        <f>+IFERROR(VLOOKUP(AR33,'נתוני מים 2014'!$C$2:$L$188,3,0)/1000,0)</f>
        <v>0</v>
      </c>
      <c r="AS850" s="1">
        <f>+IFERROR(VLOOKUP(AS33,'נתוני מים 2014'!$C$2:$L$188,3,0)/1000,0)</f>
        <v>0</v>
      </c>
      <c r="AT850" s="1">
        <f>+IFERROR(VLOOKUP(AT33,'נתוני מים 2014'!$C$2:$L$188,3,0)/1000,0)</f>
        <v>0</v>
      </c>
      <c r="AU850" s="1">
        <f>+IFERROR(VLOOKUP(AU33,'נתוני מים 2014'!$C$2:$L$188,3,0)/1000,0)</f>
        <v>0</v>
      </c>
      <c r="AV850" s="1">
        <f>+IFERROR(VLOOKUP(AV33,'נתוני מים 2014'!$C$2:$L$188,3,0)/1000,0)</f>
        <v>0</v>
      </c>
      <c r="AW850" s="1">
        <f>+IFERROR(VLOOKUP(AW33,'נתוני מים 2014'!$C$2:$L$188,3,0)/1000,0)</f>
        <v>0</v>
      </c>
      <c r="AX850" s="1">
        <f>+IFERROR(VLOOKUP(AX33,'נתוני מים 2014'!$C$2:$L$188,3,0)/1000,0)</f>
        <v>0</v>
      </c>
      <c r="AY850" s="1">
        <f>+IFERROR(VLOOKUP(AY33,'נתוני מים 2014'!$C$2:$L$188,3,0)/1000,0)</f>
        <v>0</v>
      </c>
      <c r="AZ850" s="1">
        <f>+IFERROR(VLOOKUP(AZ33,'נתוני מים 2014'!$C$2:$L$188,3,0)/1000,0)</f>
        <v>0</v>
      </c>
      <c r="BA850" s="1">
        <f>+IFERROR(VLOOKUP(BA33,'נתוני מים 2014'!$C$2:$L$188,3,0)/1000,0)</f>
        <v>0</v>
      </c>
      <c r="BB850" s="1">
        <f>+IFERROR(VLOOKUP(BB33,'נתוני מים 2014'!$C$2:$L$188,3,0)/1000,0)</f>
        <v>0</v>
      </c>
      <c r="BC850" s="1">
        <f>+IFERROR(VLOOKUP(BC33,'נתוני מים 2014'!$C$2:$L$188,3,0)/1000,0)</f>
        <v>0</v>
      </c>
      <c r="BD850" s="1">
        <f>+IFERROR(VLOOKUP(BD33,'נתוני מים 2014'!$C$2:$L$188,3,0)/1000,0)</f>
        <v>0</v>
      </c>
      <c r="BE850" s="1">
        <f>+IFERROR(VLOOKUP(BE33,'נתוני מים 2014'!$C$2:$L$188,3,0)/1000,0)</f>
        <v>0</v>
      </c>
      <c r="BF850" s="1">
        <f>+IFERROR(VLOOKUP(BF33,'נתוני מים 2014'!$C$2:$L$188,3,0)/1000,0)</f>
        <v>0</v>
      </c>
    </row>
    <row r="851" spans="1:58" x14ac:dyDescent="0.2">
      <c r="B851" s="1">
        <v>27</v>
      </c>
      <c r="C851" s="1">
        <f>+IFERROR(VLOOKUP(C34,'נתוני מים 2014'!$C$2:$L$188,3,0)/1000,0)</f>
        <v>0</v>
      </c>
      <c r="D851" s="1">
        <f>+IFERROR(VLOOKUP(D34,'נתוני מים 2014'!$C$2:$L$188,3,0)/1000,0)</f>
        <v>0</v>
      </c>
      <c r="E851" s="1">
        <f>+IFERROR(VLOOKUP(E34,'נתוני מים 2014'!$C$2:$L$188,3,0)/1000,0)</f>
        <v>0</v>
      </c>
      <c r="F851" s="1">
        <f>+IFERROR(VLOOKUP(F34,'נתוני מים 2014'!$C$2:$L$188,3,0)/1000,0)</f>
        <v>0</v>
      </c>
      <c r="G851" s="1">
        <f>+IFERROR(VLOOKUP(G34,'נתוני מים 2014'!$C$2:$L$188,3,0)/1000,0)</f>
        <v>0</v>
      </c>
      <c r="H851" s="1">
        <f>+IFERROR(VLOOKUP(H34,'נתוני מים 2014'!$C$2:$L$188,3,0)/1000,0)</f>
        <v>0</v>
      </c>
      <c r="I851" s="1">
        <f>+IFERROR(VLOOKUP(I34,'נתוני מים 2014'!$C$2:$L$188,3,0)/1000,0)</f>
        <v>0</v>
      </c>
      <c r="J851" s="1">
        <f>+IFERROR(VLOOKUP(J34,'נתוני מים 2014'!$C$2:$L$188,3,0)/1000,0)</f>
        <v>0</v>
      </c>
      <c r="K851" s="1">
        <f>+IFERROR(VLOOKUP(K34,'נתוני מים 2014'!$C$2:$L$188,3,0)/1000,0)</f>
        <v>0</v>
      </c>
      <c r="L851" s="1">
        <f>+IFERROR(VLOOKUP(L34,'נתוני מים 2014'!$C$2:$L$188,3,0)/1000,0)</f>
        <v>0</v>
      </c>
      <c r="M851" s="1">
        <f>+IFERROR(VLOOKUP(M34,'נתוני מים 2014'!$C$2:$L$188,3,0)/1000,0)</f>
        <v>0</v>
      </c>
      <c r="N851" s="1">
        <f>+IFERROR(VLOOKUP(N34,'נתוני מים 2014'!$C$2:$L$188,3,0)/1000,0)</f>
        <v>0</v>
      </c>
      <c r="O851" s="1">
        <f>+IFERROR(VLOOKUP(O34,'נתוני מים 2014'!$C$2:$L$188,3,0)/1000,0)</f>
        <v>0</v>
      </c>
      <c r="P851" s="1">
        <f>+IFERROR(VLOOKUP(P34,'נתוני מים 2014'!$C$2:$L$188,3,0)/1000,0)</f>
        <v>0</v>
      </c>
      <c r="Q851" s="1">
        <f>+IFERROR(VLOOKUP(Q34,'נתוני מים 2014'!$C$2:$L$188,3,0)/1000,0)</f>
        <v>0</v>
      </c>
      <c r="R851" s="1">
        <f>+IFERROR(VLOOKUP(R34,'נתוני מים 2014'!$C$2:$L$188,3,0)/1000,0)</f>
        <v>0</v>
      </c>
      <c r="S851" s="1">
        <f>+IFERROR(VLOOKUP(S34,'נתוני מים 2014'!$C$2:$L$188,3,0)/1000,0)</f>
        <v>0</v>
      </c>
      <c r="T851" s="1">
        <f>+IFERROR(VLOOKUP(T34,'נתוני מים 2014'!$C$2:$L$188,3,0)/1000,0)</f>
        <v>0</v>
      </c>
      <c r="U851" s="1">
        <f>+IFERROR(VLOOKUP(U34,'נתוני מים 2014'!$C$2:$L$188,3,0)/1000,0)</f>
        <v>0</v>
      </c>
      <c r="V851" s="1">
        <f>+IFERROR(VLOOKUP(V34,'נתוני מים 2014'!$C$2:$L$188,3,0)/1000,0)</f>
        <v>0</v>
      </c>
      <c r="W851" s="1">
        <f>+IFERROR(VLOOKUP(W34,'נתוני מים 2014'!$C$2:$L$188,3,0)/1000,0)</f>
        <v>0</v>
      </c>
      <c r="X851" s="1">
        <f>+IFERROR(VLOOKUP(X34,'נתוני מים 2014'!$C$2:$L$188,3,0)/1000,0)</f>
        <v>0</v>
      </c>
      <c r="Y851" s="1">
        <f>+IFERROR(VLOOKUP(Y34,'נתוני מים 2014'!$C$2:$L$188,3,0)/1000,0)</f>
        <v>0</v>
      </c>
      <c r="Z851" s="1">
        <f>+IFERROR(VLOOKUP(Z34,'נתוני מים 2014'!$C$2:$L$188,3,0)/1000,0)</f>
        <v>0</v>
      </c>
      <c r="AA851" s="1">
        <f>+IFERROR(VLOOKUP(AA34,'נתוני מים 2014'!$C$2:$L$188,3,0)/1000,0)</f>
        <v>0</v>
      </c>
      <c r="AB851" s="1">
        <f>+IFERROR(VLOOKUP(AB34,'נתוני מים 2014'!$C$2:$L$188,3,0)/1000,0)</f>
        <v>0</v>
      </c>
      <c r="AC851" s="1">
        <f>+IFERROR(VLOOKUP(AC34,'נתוני מים 2014'!$C$2:$L$188,3,0)/1000,0)</f>
        <v>0</v>
      </c>
      <c r="AD851" s="1">
        <f>+IFERROR(VLOOKUP(AD34,'נתוני מים 2014'!$C$2:$L$188,3,0)/1000,0)</f>
        <v>0</v>
      </c>
      <c r="AE851" s="1">
        <f>+IFERROR(VLOOKUP(AE34,'נתוני מים 2014'!$C$2:$L$188,3,0)/1000,0)</f>
        <v>0</v>
      </c>
      <c r="AF851" s="1">
        <f>+IFERROR(VLOOKUP(AF34,'נתוני מים 2014'!$C$2:$L$188,3,0)/1000,0)</f>
        <v>0</v>
      </c>
      <c r="AG851" s="1">
        <f>+IFERROR(VLOOKUP(AG34,'נתוני מים 2014'!$C$2:$L$188,3,0)/1000,0)</f>
        <v>0</v>
      </c>
      <c r="AH851" s="1">
        <f>+IFERROR(VLOOKUP(AH34,'נתוני מים 2014'!$C$2:$L$188,3,0)/1000,0)</f>
        <v>0</v>
      </c>
      <c r="AI851" s="1">
        <f>+IFERROR(VLOOKUP(AI34,'נתוני מים 2014'!$C$2:$L$188,3,0)/1000,0)</f>
        <v>0</v>
      </c>
      <c r="AJ851" s="1">
        <f>+IFERROR(VLOOKUP(AJ34,'נתוני מים 2014'!$C$2:$L$188,3,0)/1000,0)</f>
        <v>0</v>
      </c>
      <c r="AK851" s="1">
        <f>+IFERROR(VLOOKUP(AK34,'נתוני מים 2014'!$C$2:$L$188,3,0)/1000,0)</f>
        <v>0</v>
      </c>
      <c r="AL851" s="1">
        <f>+IFERROR(VLOOKUP(AL34,'נתוני מים 2014'!$C$2:$L$188,3,0)/1000,0)</f>
        <v>0</v>
      </c>
      <c r="AM851" s="1">
        <f>+IFERROR(VLOOKUP(AM34,'נתוני מים 2014'!$C$2:$L$188,3,0)/1000,0)</f>
        <v>0</v>
      </c>
      <c r="AN851" s="1">
        <f>+IFERROR(VLOOKUP(AN34,'נתוני מים 2014'!$C$2:$L$188,3,0)/1000,0)</f>
        <v>0</v>
      </c>
      <c r="AO851" s="1">
        <f>+IFERROR(VLOOKUP(AO34,'נתוני מים 2014'!$C$2:$L$188,3,0)/1000,0)</f>
        <v>0</v>
      </c>
      <c r="AP851" s="1">
        <f>+IFERROR(VLOOKUP(AP34,'נתוני מים 2014'!$C$2:$L$188,3,0)/1000,0)</f>
        <v>0</v>
      </c>
      <c r="AQ851" s="1">
        <f>+IFERROR(VLOOKUP(AQ34,'נתוני מים 2014'!$C$2:$L$188,3,0)/1000,0)</f>
        <v>0</v>
      </c>
      <c r="AR851" s="1">
        <f>+IFERROR(VLOOKUP(AR34,'נתוני מים 2014'!$C$2:$L$188,3,0)/1000,0)</f>
        <v>0</v>
      </c>
      <c r="AS851" s="1">
        <f>+IFERROR(VLOOKUP(AS34,'נתוני מים 2014'!$C$2:$L$188,3,0)/1000,0)</f>
        <v>0</v>
      </c>
      <c r="AT851" s="1">
        <f>+IFERROR(VLOOKUP(AT34,'נתוני מים 2014'!$C$2:$L$188,3,0)/1000,0)</f>
        <v>0</v>
      </c>
      <c r="AU851" s="1">
        <f>+IFERROR(VLOOKUP(AU34,'נתוני מים 2014'!$C$2:$L$188,3,0)/1000,0)</f>
        <v>0</v>
      </c>
      <c r="AV851" s="1">
        <f>+IFERROR(VLOOKUP(AV34,'נתוני מים 2014'!$C$2:$L$188,3,0)/1000,0)</f>
        <v>0</v>
      </c>
      <c r="AW851" s="1">
        <f>+IFERROR(VLOOKUP(AW34,'נתוני מים 2014'!$C$2:$L$188,3,0)/1000,0)</f>
        <v>0</v>
      </c>
      <c r="AX851" s="1">
        <f>+IFERROR(VLOOKUP(AX34,'נתוני מים 2014'!$C$2:$L$188,3,0)/1000,0)</f>
        <v>0</v>
      </c>
      <c r="AY851" s="1">
        <f>+IFERROR(VLOOKUP(AY34,'נתוני מים 2014'!$C$2:$L$188,3,0)/1000,0)</f>
        <v>0</v>
      </c>
      <c r="AZ851" s="1">
        <f>+IFERROR(VLOOKUP(AZ34,'נתוני מים 2014'!$C$2:$L$188,3,0)/1000,0)</f>
        <v>0</v>
      </c>
      <c r="BA851" s="1">
        <f>+IFERROR(VLOOKUP(BA34,'נתוני מים 2014'!$C$2:$L$188,3,0)/1000,0)</f>
        <v>0</v>
      </c>
      <c r="BB851" s="1">
        <f>+IFERROR(VLOOKUP(BB34,'נתוני מים 2014'!$C$2:$L$188,3,0)/1000,0)</f>
        <v>0</v>
      </c>
      <c r="BC851" s="1">
        <f>+IFERROR(VLOOKUP(BC34,'נתוני מים 2014'!$C$2:$L$188,3,0)/1000,0)</f>
        <v>0</v>
      </c>
      <c r="BD851" s="1">
        <f>+IFERROR(VLOOKUP(BD34,'נתוני מים 2014'!$C$2:$L$188,3,0)/1000,0)</f>
        <v>0</v>
      </c>
      <c r="BE851" s="1">
        <f>+IFERROR(VLOOKUP(BE34,'נתוני מים 2014'!$C$2:$L$188,3,0)/1000,0)</f>
        <v>0</v>
      </c>
      <c r="BF851" s="1">
        <f>+IFERROR(VLOOKUP(BF34,'נתוני מים 2014'!$C$2:$L$188,3,0)/1000,0)</f>
        <v>0</v>
      </c>
    </row>
    <row r="852" spans="1:58" x14ac:dyDescent="0.2">
      <c r="B852" s="1">
        <v>28</v>
      </c>
      <c r="C852" s="1">
        <f>+IFERROR(VLOOKUP(C35,'נתוני מים 2014'!$C$2:$L$188,3,0)/1000,0)</f>
        <v>0</v>
      </c>
      <c r="D852" s="1">
        <f>+IFERROR(VLOOKUP(D35,'נתוני מים 2014'!$C$2:$L$188,3,0)/1000,0)</f>
        <v>0</v>
      </c>
      <c r="E852" s="1">
        <f>+IFERROR(VLOOKUP(E35,'נתוני מים 2014'!$C$2:$L$188,3,0)/1000,0)</f>
        <v>0</v>
      </c>
      <c r="F852" s="1">
        <f>+IFERROR(VLOOKUP(F35,'נתוני מים 2014'!$C$2:$L$188,3,0)/1000,0)</f>
        <v>0</v>
      </c>
      <c r="G852" s="1">
        <f>+IFERROR(VLOOKUP(G35,'נתוני מים 2014'!$C$2:$L$188,3,0)/1000,0)</f>
        <v>0</v>
      </c>
      <c r="H852" s="1">
        <f>+IFERROR(VLOOKUP(H35,'נתוני מים 2014'!$C$2:$L$188,3,0)/1000,0)</f>
        <v>0</v>
      </c>
      <c r="I852" s="1">
        <f>+IFERROR(VLOOKUP(I35,'נתוני מים 2014'!$C$2:$L$188,3,0)/1000,0)</f>
        <v>0</v>
      </c>
      <c r="J852" s="1">
        <f>+IFERROR(VLOOKUP(J35,'נתוני מים 2014'!$C$2:$L$188,3,0)/1000,0)</f>
        <v>0</v>
      </c>
      <c r="K852" s="1">
        <f>+IFERROR(VLOOKUP(K35,'נתוני מים 2014'!$C$2:$L$188,3,0)/1000,0)</f>
        <v>0</v>
      </c>
      <c r="L852" s="1">
        <f>+IFERROR(VLOOKUP(L35,'נתוני מים 2014'!$C$2:$L$188,3,0)/1000,0)</f>
        <v>0</v>
      </c>
      <c r="M852" s="1">
        <f>+IFERROR(VLOOKUP(M35,'נתוני מים 2014'!$C$2:$L$188,3,0)/1000,0)</f>
        <v>0</v>
      </c>
      <c r="N852" s="1">
        <f>+IFERROR(VLOOKUP(N35,'נתוני מים 2014'!$C$2:$L$188,3,0)/1000,0)</f>
        <v>0</v>
      </c>
      <c r="O852" s="1">
        <f>+IFERROR(VLOOKUP(O35,'נתוני מים 2014'!$C$2:$L$188,3,0)/1000,0)</f>
        <v>0</v>
      </c>
      <c r="P852" s="1">
        <f>+IFERROR(VLOOKUP(P35,'נתוני מים 2014'!$C$2:$L$188,3,0)/1000,0)</f>
        <v>0</v>
      </c>
      <c r="Q852" s="1">
        <f>+IFERROR(VLOOKUP(Q35,'נתוני מים 2014'!$C$2:$L$188,3,0)/1000,0)</f>
        <v>0</v>
      </c>
      <c r="R852" s="1">
        <f>+IFERROR(VLOOKUP(R35,'נתוני מים 2014'!$C$2:$L$188,3,0)/1000,0)</f>
        <v>0</v>
      </c>
      <c r="S852" s="1">
        <f>+IFERROR(VLOOKUP(S35,'נתוני מים 2014'!$C$2:$L$188,3,0)/1000,0)</f>
        <v>0</v>
      </c>
      <c r="T852" s="1">
        <f>+IFERROR(VLOOKUP(T35,'נתוני מים 2014'!$C$2:$L$188,3,0)/1000,0)</f>
        <v>0</v>
      </c>
      <c r="U852" s="1">
        <f>+IFERROR(VLOOKUP(U35,'נתוני מים 2014'!$C$2:$L$188,3,0)/1000,0)</f>
        <v>0</v>
      </c>
      <c r="V852" s="1">
        <f>+IFERROR(VLOOKUP(V35,'נתוני מים 2014'!$C$2:$L$188,3,0)/1000,0)</f>
        <v>0</v>
      </c>
      <c r="W852" s="1">
        <f>+IFERROR(VLOOKUP(W35,'נתוני מים 2014'!$C$2:$L$188,3,0)/1000,0)</f>
        <v>0</v>
      </c>
      <c r="X852" s="1">
        <f>+IFERROR(VLOOKUP(X35,'נתוני מים 2014'!$C$2:$L$188,3,0)/1000,0)</f>
        <v>0</v>
      </c>
      <c r="Y852" s="1">
        <f>+IFERROR(VLOOKUP(Y35,'נתוני מים 2014'!$C$2:$L$188,3,0)/1000,0)</f>
        <v>0</v>
      </c>
      <c r="Z852" s="1">
        <f>+IFERROR(VLOOKUP(Z35,'נתוני מים 2014'!$C$2:$L$188,3,0)/1000,0)</f>
        <v>0</v>
      </c>
      <c r="AA852" s="1">
        <f>+IFERROR(VLOOKUP(AA35,'נתוני מים 2014'!$C$2:$L$188,3,0)/1000,0)</f>
        <v>0</v>
      </c>
      <c r="AB852" s="1">
        <f>+IFERROR(VLOOKUP(AB35,'נתוני מים 2014'!$C$2:$L$188,3,0)/1000,0)</f>
        <v>0</v>
      </c>
      <c r="AC852" s="1">
        <f>+IFERROR(VLOOKUP(AC35,'נתוני מים 2014'!$C$2:$L$188,3,0)/1000,0)</f>
        <v>0</v>
      </c>
      <c r="AD852" s="1">
        <f>+IFERROR(VLOOKUP(AD35,'נתוני מים 2014'!$C$2:$L$188,3,0)/1000,0)</f>
        <v>0</v>
      </c>
      <c r="AE852" s="1">
        <f>+IFERROR(VLOOKUP(AE35,'נתוני מים 2014'!$C$2:$L$188,3,0)/1000,0)</f>
        <v>0</v>
      </c>
      <c r="AF852" s="1">
        <f>+IFERROR(VLOOKUP(AF35,'נתוני מים 2014'!$C$2:$L$188,3,0)/1000,0)</f>
        <v>0</v>
      </c>
      <c r="AG852" s="1">
        <f>+IFERROR(VLOOKUP(AG35,'נתוני מים 2014'!$C$2:$L$188,3,0)/1000,0)</f>
        <v>0</v>
      </c>
      <c r="AH852" s="1">
        <f>+IFERROR(VLOOKUP(AH35,'נתוני מים 2014'!$C$2:$L$188,3,0)/1000,0)</f>
        <v>0</v>
      </c>
      <c r="AI852" s="1">
        <f>+IFERROR(VLOOKUP(AI35,'נתוני מים 2014'!$C$2:$L$188,3,0)/1000,0)</f>
        <v>0</v>
      </c>
      <c r="AJ852" s="1">
        <f>+IFERROR(VLOOKUP(AJ35,'נתוני מים 2014'!$C$2:$L$188,3,0)/1000,0)</f>
        <v>0</v>
      </c>
      <c r="AK852" s="1">
        <f>+IFERROR(VLOOKUP(AK35,'נתוני מים 2014'!$C$2:$L$188,3,0)/1000,0)</f>
        <v>0</v>
      </c>
      <c r="AL852" s="1">
        <f>+IFERROR(VLOOKUP(AL35,'נתוני מים 2014'!$C$2:$L$188,3,0)/1000,0)</f>
        <v>0</v>
      </c>
      <c r="AM852" s="1">
        <f>+IFERROR(VLOOKUP(AM35,'נתוני מים 2014'!$C$2:$L$188,3,0)/1000,0)</f>
        <v>0</v>
      </c>
      <c r="AN852" s="1">
        <f>+IFERROR(VLOOKUP(AN35,'נתוני מים 2014'!$C$2:$L$188,3,0)/1000,0)</f>
        <v>0</v>
      </c>
      <c r="AO852" s="1">
        <f>+IFERROR(VLOOKUP(AO35,'נתוני מים 2014'!$C$2:$L$188,3,0)/1000,0)</f>
        <v>0</v>
      </c>
      <c r="AP852" s="1">
        <f>+IFERROR(VLOOKUP(AP35,'נתוני מים 2014'!$C$2:$L$188,3,0)/1000,0)</f>
        <v>0</v>
      </c>
      <c r="AQ852" s="1">
        <f>+IFERROR(VLOOKUP(AQ35,'נתוני מים 2014'!$C$2:$L$188,3,0)/1000,0)</f>
        <v>0</v>
      </c>
      <c r="AR852" s="1">
        <f>+IFERROR(VLOOKUP(AR35,'נתוני מים 2014'!$C$2:$L$188,3,0)/1000,0)</f>
        <v>0</v>
      </c>
      <c r="AS852" s="1">
        <f>+IFERROR(VLOOKUP(AS35,'נתוני מים 2014'!$C$2:$L$188,3,0)/1000,0)</f>
        <v>0</v>
      </c>
      <c r="AT852" s="1">
        <f>+IFERROR(VLOOKUP(AT35,'נתוני מים 2014'!$C$2:$L$188,3,0)/1000,0)</f>
        <v>0</v>
      </c>
      <c r="AU852" s="1">
        <f>+IFERROR(VLOOKUP(AU35,'נתוני מים 2014'!$C$2:$L$188,3,0)/1000,0)</f>
        <v>0</v>
      </c>
      <c r="AV852" s="1">
        <f>+IFERROR(VLOOKUP(AV35,'נתוני מים 2014'!$C$2:$L$188,3,0)/1000,0)</f>
        <v>0</v>
      </c>
      <c r="AW852" s="1">
        <f>+IFERROR(VLOOKUP(AW35,'נתוני מים 2014'!$C$2:$L$188,3,0)/1000,0)</f>
        <v>0</v>
      </c>
      <c r="AX852" s="1">
        <f>+IFERROR(VLOOKUP(AX35,'נתוני מים 2014'!$C$2:$L$188,3,0)/1000,0)</f>
        <v>0</v>
      </c>
      <c r="AY852" s="1">
        <f>+IFERROR(VLOOKUP(AY35,'נתוני מים 2014'!$C$2:$L$188,3,0)/1000,0)</f>
        <v>0</v>
      </c>
      <c r="AZ852" s="1">
        <f>+IFERROR(VLOOKUP(AZ35,'נתוני מים 2014'!$C$2:$L$188,3,0)/1000,0)</f>
        <v>0</v>
      </c>
      <c r="BA852" s="1">
        <f>+IFERROR(VLOOKUP(BA35,'נתוני מים 2014'!$C$2:$L$188,3,0)/1000,0)</f>
        <v>0</v>
      </c>
      <c r="BB852" s="1">
        <f>+IFERROR(VLOOKUP(BB35,'נתוני מים 2014'!$C$2:$L$188,3,0)/1000,0)</f>
        <v>0</v>
      </c>
      <c r="BC852" s="1">
        <f>+IFERROR(VLOOKUP(BC35,'נתוני מים 2014'!$C$2:$L$188,3,0)/1000,0)</f>
        <v>0</v>
      </c>
      <c r="BD852" s="1">
        <f>+IFERROR(VLOOKUP(BD35,'נתוני מים 2014'!$C$2:$L$188,3,0)/1000,0)</f>
        <v>0</v>
      </c>
      <c r="BE852" s="1">
        <f>+IFERROR(VLOOKUP(BE35,'נתוני מים 2014'!$C$2:$L$188,3,0)/1000,0)</f>
        <v>0</v>
      </c>
      <c r="BF852" s="1">
        <f>+IFERROR(VLOOKUP(BF35,'נתוני מים 2014'!$C$2:$L$188,3,0)/1000,0)</f>
        <v>0</v>
      </c>
    </row>
    <row r="853" spans="1:58" x14ac:dyDescent="0.2">
      <c r="B853" s="1">
        <v>29</v>
      </c>
      <c r="C853" s="1">
        <f>+IFERROR(VLOOKUP(C36,'נתוני מים 2014'!$C$2:$L$188,3,0)/1000,0)</f>
        <v>0</v>
      </c>
      <c r="D853" s="1">
        <f>+IFERROR(VLOOKUP(D36,'נתוני מים 2014'!$C$2:$L$188,3,0)/1000,0)</f>
        <v>0</v>
      </c>
      <c r="E853" s="1">
        <f>+IFERROR(VLOOKUP(E36,'נתוני מים 2014'!$C$2:$L$188,3,0)/1000,0)</f>
        <v>0</v>
      </c>
      <c r="F853" s="1">
        <f>+IFERROR(VLOOKUP(F36,'נתוני מים 2014'!$C$2:$L$188,3,0)/1000,0)</f>
        <v>0</v>
      </c>
      <c r="G853" s="1">
        <f>+IFERROR(VLOOKUP(G36,'נתוני מים 2014'!$C$2:$L$188,3,0)/1000,0)</f>
        <v>0</v>
      </c>
      <c r="H853" s="1">
        <f>+IFERROR(VLOOKUP(H36,'נתוני מים 2014'!$C$2:$L$188,3,0)/1000,0)</f>
        <v>0</v>
      </c>
      <c r="I853" s="1">
        <f>+IFERROR(VLOOKUP(I36,'נתוני מים 2014'!$C$2:$L$188,3,0)/1000,0)</f>
        <v>0</v>
      </c>
      <c r="J853" s="1">
        <f>+IFERROR(VLOOKUP(J36,'נתוני מים 2014'!$C$2:$L$188,3,0)/1000,0)</f>
        <v>0</v>
      </c>
      <c r="K853" s="1">
        <f>+IFERROR(VLOOKUP(K36,'נתוני מים 2014'!$C$2:$L$188,3,0)/1000,0)</f>
        <v>0</v>
      </c>
      <c r="L853" s="1">
        <f>+IFERROR(VLOOKUP(L36,'נתוני מים 2014'!$C$2:$L$188,3,0)/1000,0)</f>
        <v>0</v>
      </c>
      <c r="M853" s="1">
        <f>+IFERROR(VLOOKUP(M36,'נתוני מים 2014'!$C$2:$L$188,3,0)/1000,0)</f>
        <v>0</v>
      </c>
      <c r="N853" s="1">
        <f>+IFERROR(VLOOKUP(N36,'נתוני מים 2014'!$C$2:$L$188,3,0)/1000,0)</f>
        <v>0</v>
      </c>
      <c r="O853" s="1">
        <f>+IFERROR(VLOOKUP(O36,'נתוני מים 2014'!$C$2:$L$188,3,0)/1000,0)</f>
        <v>0</v>
      </c>
      <c r="P853" s="1">
        <f>+IFERROR(VLOOKUP(P36,'נתוני מים 2014'!$C$2:$L$188,3,0)/1000,0)</f>
        <v>0</v>
      </c>
      <c r="Q853" s="1">
        <f>+IFERROR(VLOOKUP(Q36,'נתוני מים 2014'!$C$2:$L$188,3,0)/1000,0)</f>
        <v>0</v>
      </c>
      <c r="R853" s="1">
        <f>+IFERROR(VLOOKUP(R36,'נתוני מים 2014'!$C$2:$L$188,3,0)/1000,0)</f>
        <v>0</v>
      </c>
      <c r="S853" s="1">
        <f>+IFERROR(VLOOKUP(S36,'נתוני מים 2014'!$C$2:$L$188,3,0)/1000,0)</f>
        <v>0</v>
      </c>
      <c r="T853" s="1">
        <f>+IFERROR(VLOOKUP(T36,'נתוני מים 2014'!$C$2:$L$188,3,0)/1000,0)</f>
        <v>0</v>
      </c>
      <c r="U853" s="1">
        <f>+IFERROR(VLOOKUP(U36,'נתוני מים 2014'!$C$2:$L$188,3,0)/1000,0)</f>
        <v>0</v>
      </c>
      <c r="V853" s="1">
        <f>+IFERROR(VLOOKUP(V36,'נתוני מים 2014'!$C$2:$L$188,3,0)/1000,0)</f>
        <v>0</v>
      </c>
      <c r="W853" s="1">
        <f>+IFERROR(VLOOKUP(W36,'נתוני מים 2014'!$C$2:$L$188,3,0)/1000,0)</f>
        <v>0</v>
      </c>
      <c r="X853" s="1">
        <f>+IFERROR(VLOOKUP(X36,'נתוני מים 2014'!$C$2:$L$188,3,0)/1000,0)</f>
        <v>0</v>
      </c>
      <c r="Y853" s="1">
        <f>+IFERROR(VLOOKUP(Y36,'נתוני מים 2014'!$C$2:$L$188,3,0)/1000,0)</f>
        <v>0</v>
      </c>
      <c r="Z853" s="1">
        <f>+IFERROR(VLOOKUP(Z36,'נתוני מים 2014'!$C$2:$L$188,3,0)/1000,0)</f>
        <v>0</v>
      </c>
      <c r="AA853" s="1">
        <f>+IFERROR(VLOOKUP(AA36,'נתוני מים 2014'!$C$2:$L$188,3,0)/1000,0)</f>
        <v>0</v>
      </c>
      <c r="AB853" s="1">
        <f>+IFERROR(VLOOKUP(AB36,'נתוני מים 2014'!$C$2:$L$188,3,0)/1000,0)</f>
        <v>0</v>
      </c>
      <c r="AC853" s="1">
        <f>+IFERROR(VLOOKUP(AC36,'נתוני מים 2014'!$C$2:$L$188,3,0)/1000,0)</f>
        <v>0</v>
      </c>
      <c r="AD853" s="1">
        <f>+IFERROR(VLOOKUP(AD36,'נתוני מים 2014'!$C$2:$L$188,3,0)/1000,0)</f>
        <v>0</v>
      </c>
      <c r="AE853" s="1">
        <f>+IFERROR(VLOOKUP(AE36,'נתוני מים 2014'!$C$2:$L$188,3,0)/1000,0)</f>
        <v>0</v>
      </c>
      <c r="AF853" s="1">
        <f>+IFERROR(VLOOKUP(AF36,'נתוני מים 2014'!$C$2:$L$188,3,0)/1000,0)</f>
        <v>0</v>
      </c>
      <c r="AG853" s="1">
        <f>+IFERROR(VLOOKUP(AG36,'נתוני מים 2014'!$C$2:$L$188,3,0)/1000,0)</f>
        <v>0</v>
      </c>
      <c r="AH853" s="1">
        <f>+IFERROR(VLOOKUP(AH36,'נתוני מים 2014'!$C$2:$L$188,3,0)/1000,0)</f>
        <v>0</v>
      </c>
      <c r="AI853" s="1">
        <f>+IFERROR(VLOOKUP(AI36,'נתוני מים 2014'!$C$2:$L$188,3,0)/1000,0)</f>
        <v>0</v>
      </c>
      <c r="AJ853" s="1">
        <f>+IFERROR(VLOOKUP(AJ36,'נתוני מים 2014'!$C$2:$L$188,3,0)/1000,0)</f>
        <v>0</v>
      </c>
      <c r="AK853" s="1">
        <f>+IFERROR(VLOOKUP(AK36,'נתוני מים 2014'!$C$2:$L$188,3,0)/1000,0)</f>
        <v>0</v>
      </c>
      <c r="AL853" s="1">
        <f>+IFERROR(VLOOKUP(AL36,'נתוני מים 2014'!$C$2:$L$188,3,0)/1000,0)</f>
        <v>0</v>
      </c>
      <c r="AM853" s="1">
        <f>+IFERROR(VLOOKUP(AM36,'נתוני מים 2014'!$C$2:$L$188,3,0)/1000,0)</f>
        <v>0</v>
      </c>
      <c r="AN853" s="1">
        <f>+IFERROR(VLOOKUP(AN36,'נתוני מים 2014'!$C$2:$L$188,3,0)/1000,0)</f>
        <v>0</v>
      </c>
      <c r="AO853" s="1">
        <f>+IFERROR(VLOOKUP(AO36,'נתוני מים 2014'!$C$2:$L$188,3,0)/1000,0)</f>
        <v>0</v>
      </c>
      <c r="AP853" s="1">
        <f>+IFERROR(VLOOKUP(AP36,'נתוני מים 2014'!$C$2:$L$188,3,0)/1000,0)</f>
        <v>0</v>
      </c>
      <c r="AQ853" s="1">
        <f>+IFERROR(VLOOKUP(AQ36,'נתוני מים 2014'!$C$2:$L$188,3,0)/1000,0)</f>
        <v>0</v>
      </c>
      <c r="AR853" s="1">
        <f>+IFERROR(VLOOKUP(AR36,'נתוני מים 2014'!$C$2:$L$188,3,0)/1000,0)</f>
        <v>0</v>
      </c>
      <c r="AS853" s="1">
        <f>+IFERROR(VLOOKUP(AS36,'נתוני מים 2014'!$C$2:$L$188,3,0)/1000,0)</f>
        <v>0</v>
      </c>
      <c r="AT853" s="1">
        <f>+IFERROR(VLOOKUP(AT36,'נתוני מים 2014'!$C$2:$L$188,3,0)/1000,0)</f>
        <v>0</v>
      </c>
      <c r="AU853" s="1">
        <f>+IFERROR(VLOOKUP(AU36,'נתוני מים 2014'!$C$2:$L$188,3,0)/1000,0)</f>
        <v>0</v>
      </c>
      <c r="AV853" s="1">
        <f>+IFERROR(VLOOKUP(AV36,'נתוני מים 2014'!$C$2:$L$188,3,0)/1000,0)</f>
        <v>0</v>
      </c>
      <c r="AW853" s="1">
        <f>+IFERROR(VLOOKUP(AW36,'נתוני מים 2014'!$C$2:$L$188,3,0)/1000,0)</f>
        <v>0</v>
      </c>
      <c r="AX853" s="1">
        <f>+IFERROR(VLOOKUP(AX36,'נתוני מים 2014'!$C$2:$L$188,3,0)/1000,0)</f>
        <v>0</v>
      </c>
      <c r="AY853" s="1">
        <f>+IFERROR(VLOOKUP(AY36,'נתוני מים 2014'!$C$2:$L$188,3,0)/1000,0)</f>
        <v>0</v>
      </c>
      <c r="AZ853" s="1">
        <f>+IFERROR(VLOOKUP(AZ36,'נתוני מים 2014'!$C$2:$L$188,3,0)/1000,0)</f>
        <v>0</v>
      </c>
      <c r="BA853" s="1">
        <f>+IFERROR(VLOOKUP(BA36,'נתוני מים 2014'!$C$2:$L$188,3,0)/1000,0)</f>
        <v>0</v>
      </c>
      <c r="BB853" s="1">
        <f>+IFERROR(VLOOKUP(BB36,'נתוני מים 2014'!$C$2:$L$188,3,0)/1000,0)</f>
        <v>0</v>
      </c>
      <c r="BC853" s="1">
        <f>+IFERROR(VLOOKUP(BC36,'נתוני מים 2014'!$C$2:$L$188,3,0)/1000,0)</f>
        <v>0</v>
      </c>
      <c r="BD853" s="1">
        <f>+IFERROR(VLOOKUP(BD36,'נתוני מים 2014'!$C$2:$L$188,3,0)/1000,0)</f>
        <v>0</v>
      </c>
      <c r="BE853" s="1">
        <f>+IFERROR(VLOOKUP(BE36,'נתוני מים 2014'!$C$2:$L$188,3,0)/1000,0)</f>
        <v>0</v>
      </c>
      <c r="BF853" s="1">
        <f>+IFERROR(VLOOKUP(BF36,'נתוני מים 2014'!$C$2:$L$188,3,0)/1000,0)</f>
        <v>0</v>
      </c>
    </row>
    <row r="854" spans="1:58" x14ac:dyDescent="0.2">
      <c r="B854" s="1">
        <v>30</v>
      </c>
      <c r="C854" s="1">
        <f>+IFERROR(VLOOKUP(C37,'נתוני מים 2014'!$C$2:$L$188,3,0)/1000,0)</f>
        <v>0</v>
      </c>
      <c r="D854" s="1">
        <f>+IFERROR(VLOOKUP(D37,'נתוני מים 2014'!$C$2:$L$188,3,0)/1000,0)</f>
        <v>0</v>
      </c>
      <c r="E854" s="1">
        <f>+IFERROR(VLOOKUP(E37,'נתוני מים 2014'!$C$2:$L$188,3,0)/1000,0)</f>
        <v>0</v>
      </c>
      <c r="F854" s="1">
        <f>+IFERROR(VLOOKUP(F37,'נתוני מים 2014'!$C$2:$L$188,3,0)/1000,0)</f>
        <v>0</v>
      </c>
      <c r="G854" s="1">
        <f>+IFERROR(VLOOKUP(G37,'נתוני מים 2014'!$C$2:$L$188,3,0)/1000,0)</f>
        <v>0</v>
      </c>
      <c r="H854" s="1">
        <f>+IFERROR(VLOOKUP(H37,'נתוני מים 2014'!$C$2:$L$188,3,0)/1000,0)</f>
        <v>0</v>
      </c>
      <c r="I854" s="1">
        <f>+IFERROR(VLOOKUP(I37,'נתוני מים 2014'!$C$2:$L$188,3,0)/1000,0)</f>
        <v>0</v>
      </c>
      <c r="J854" s="1">
        <f>+IFERROR(VLOOKUP(J37,'נתוני מים 2014'!$C$2:$L$188,3,0)/1000,0)</f>
        <v>0</v>
      </c>
      <c r="K854" s="1">
        <f>+IFERROR(VLOOKUP(K37,'נתוני מים 2014'!$C$2:$L$188,3,0)/1000,0)</f>
        <v>0</v>
      </c>
      <c r="L854" s="1">
        <f>+IFERROR(VLOOKUP(L37,'נתוני מים 2014'!$C$2:$L$188,3,0)/1000,0)</f>
        <v>0</v>
      </c>
      <c r="M854" s="1">
        <f>+IFERROR(VLOOKUP(M37,'נתוני מים 2014'!$C$2:$L$188,3,0)/1000,0)</f>
        <v>0</v>
      </c>
      <c r="N854" s="1">
        <f>+IFERROR(VLOOKUP(N37,'נתוני מים 2014'!$C$2:$L$188,3,0)/1000,0)</f>
        <v>0</v>
      </c>
      <c r="O854" s="1">
        <f>+IFERROR(VLOOKUP(O37,'נתוני מים 2014'!$C$2:$L$188,3,0)/1000,0)</f>
        <v>0</v>
      </c>
      <c r="P854" s="1">
        <f>+IFERROR(VLOOKUP(P37,'נתוני מים 2014'!$C$2:$L$188,3,0)/1000,0)</f>
        <v>0</v>
      </c>
      <c r="Q854" s="1">
        <f>+IFERROR(VLOOKUP(Q37,'נתוני מים 2014'!$C$2:$L$188,3,0)/1000,0)</f>
        <v>0</v>
      </c>
      <c r="R854" s="1">
        <f>+IFERROR(VLOOKUP(R37,'נתוני מים 2014'!$C$2:$L$188,3,0)/1000,0)</f>
        <v>0</v>
      </c>
      <c r="S854" s="1">
        <f>+IFERROR(VLOOKUP(S37,'נתוני מים 2014'!$C$2:$L$188,3,0)/1000,0)</f>
        <v>0</v>
      </c>
      <c r="T854" s="1">
        <f>+IFERROR(VLOOKUP(T37,'נתוני מים 2014'!$C$2:$L$188,3,0)/1000,0)</f>
        <v>0</v>
      </c>
      <c r="U854" s="1">
        <f>+IFERROR(VLOOKUP(U37,'נתוני מים 2014'!$C$2:$L$188,3,0)/1000,0)</f>
        <v>0</v>
      </c>
      <c r="V854" s="1">
        <f>+IFERROR(VLOOKUP(V37,'נתוני מים 2014'!$C$2:$L$188,3,0)/1000,0)</f>
        <v>0</v>
      </c>
      <c r="W854" s="1">
        <f>+IFERROR(VLOOKUP(W37,'נתוני מים 2014'!$C$2:$L$188,3,0)/1000,0)</f>
        <v>0</v>
      </c>
      <c r="X854" s="1">
        <f>+IFERROR(VLOOKUP(X37,'נתוני מים 2014'!$C$2:$L$188,3,0)/1000,0)</f>
        <v>0</v>
      </c>
      <c r="Y854" s="1">
        <f>+IFERROR(VLOOKUP(Y37,'נתוני מים 2014'!$C$2:$L$188,3,0)/1000,0)</f>
        <v>0</v>
      </c>
      <c r="Z854" s="1">
        <f>+IFERROR(VLOOKUP(Z37,'נתוני מים 2014'!$C$2:$L$188,3,0)/1000,0)</f>
        <v>0</v>
      </c>
      <c r="AA854" s="1">
        <f>+IFERROR(VLOOKUP(AA37,'נתוני מים 2014'!$C$2:$L$188,3,0)/1000,0)</f>
        <v>0</v>
      </c>
      <c r="AB854" s="1">
        <f>+IFERROR(VLOOKUP(AB37,'נתוני מים 2014'!$C$2:$L$188,3,0)/1000,0)</f>
        <v>0</v>
      </c>
      <c r="AC854" s="1">
        <f>+IFERROR(VLOOKUP(AC37,'נתוני מים 2014'!$C$2:$L$188,3,0)/1000,0)</f>
        <v>0</v>
      </c>
      <c r="AD854" s="1">
        <f>+IFERROR(VLOOKUP(AD37,'נתוני מים 2014'!$C$2:$L$188,3,0)/1000,0)</f>
        <v>0</v>
      </c>
      <c r="AE854" s="1">
        <f>+IFERROR(VLOOKUP(AE37,'נתוני מים 2014'!$C$2:$L$188,3,0)/1000,0)</f>
        <v>0</v>
      </c>
      <c r="AF854" s="1">
        <f>+IFERROR(VLOOKUP(AF37,'נתוני מים 2014'!$C$2:$L$188,3,0)/1000,0)</f>
        <v>0</v>
      </c>
      <c r="AG854" s="1">
        <f>+IFERROR(VLOOKUP(AG37,'נתוני מים 2014'!$C$2:$L$188,3,0)/1000,0)</f>
        <v>0</v>
      </c>
      <c r="AH854" s="1">
        <f>+IFERROR(VLOOKUP(AH37,'נתוני מים 2014'!$C$2:$L$188,3,0)/1000,0)</f>
        <v>0</v>
      </c>
      <c r="AI854" s="1">
        <f>+IFERROR(VLOOKUP(AI37,'נתוני מים 2014'!$C$2:$L$188,3,0)/1000,0)</f>
        <v>0</v>
      </c>
      <c r="AJ854" s="1">
        <f>+IFERROR(VLOOKUP(AJ37,'נתוני מים 2014'!$C$2:$L$188,3,0)/1000,0)</f>
        <v>0</v>
      </c>
      <c r="AK854" s="1">
        <f>+IFERROR(VLOOKUP(AK37,'נתוני מים 2014'!$C$2:$L$188,3,0)/1000,0)</f>
        <v>0</v>
      </c>
      <c r="AL854" s="1">
        <f>+IFERROR(VLOOKUP(AL37,'נתוני מים 2014'!$C$2:$L$188,3,0)/1000,0)</f>
        <v>0</v>
      </c>
      <c r="AM854" s="1">
        <f>+IFERROR(VLOOKUP(AM37,'נתוני מים 2014'!$C$2:$L$188,3,0)/1000,0)</f>
        <v>0</v>
      </c>
      <c r="AN854" s="1">
        <f>+IFERROR(VLOOKUP(AN37,'נתוני מים 2014'!$C$2:$L$188,3,0)/1000,0)</f>
        <v>0</v>
      </c>
      <c r="AO854" s="1">
        <f>+IFERROR(VLOOKUP(AO37,'נתוני מים 2014'!$C$2:$L$188,3,0)/1000,0)</f>
        <v>0</v>
      </c>
      <c r="AP854" s="1">
        <f>+IFERROR(VLOOKUP(AP37,'נתוני מים 2014'!$C$2:$L$188,3,0)/1000,0)</f>
        <v>0</v>
      </c>
      <c r="AQ854" s="1">
        <f>+IFERROR(VLOOKUP(AQ37,'נתוני מים 2014'!$C$2:$L$188,3,0)/1000,0)</f>
        <v>0</v>
      </c>
      <c r="AR854" s="1">
        <f>+IFERROR(VLOOKUP(AR37,'נתוני מים 2014'!$C$2:$L$188,3,0)/1000,0)</f>
        <v>0</v>
      </c>
      <c r="AS854" s="1">
        <f>+IFERROR(VLOOKUP(AS37,'נתוני מים 2014'!$C$2:$L$188,3,0)/1000,0)</f>
        <v>0</v>
      </c>
      <c r="AT854" s="1">
        <f>+IFERROR(VLOOKUP(AT37,'נתוני מים 2014'!$C$2:$L$188,3,0)/1000,0)</f>
        <v>0</v>
      </c>
      <c r="AU854" s="1">
        <f>+IFERROR(VLOOKUP(AU37,'נתוני מים 2014'!$C$2:$L$188,3,0)/1000,0)</f>
        <v>0</v>
      </c>
      <c r="AV854" s="1">
        <f>+IFERROR(VLOOKUP(AV37,'נתוני מים 2014'!$C$2:$L$188,3,0)/1000,0)</f>
        <v>0</v>
      </c>
      <c r="AW854" s="1">
        <f>+IFERROR(VLOOKUP(AW37,'נתוני מים 2014'!$C$2:$L$188,3,0)/1000,0)</f>
        <v>0</v>
      </c>
      <c r="AX854" s="1">
        <f>+IFERROR(VLOOKUP(AX37,'נתוני מים 2014'!$C$2:$L$188,3,0)/1000,0)</f>
        <v>0</v>
      </c>
      <c r="AY854" s="1">
        <f>+IFERROR(VLOOKUP(AY37,'נתוני מים 2014'!$C$2:$L$188,3,0)/1000,0)</f>
        <v>0</v>
      </c>
      <c r="AZ854" s="1">
        <f>+IFERROR(VLOOKUP(AZ37,'נתוני מים 2014'!$C$2:$L$188,3,0)/1000,0)</f>
        <v>0</v>
      </c>
      <c r="BA854" s="1">
        <f>+IFERROR(VLOOKUP(BA37,'נתוני מים 2014'!$C$2:$L$188,3,0)/1000,0)</f>
        <v>0</v>
      </c>
      <c r="BB854" s="1">
        <f>+IFERROR(VLOOKUP(BB37,'נתוני מים 2014'!$C$2:$L$188,3,0)/1000,0)</f>
        <v>0</v>
      </c>
      <c r="BC854" s="1">
        <f>+IFERROR(VLOOKUP(BC37,'נתוני מים 2014'!$C$2:$L$188,3,0)/1000,0)</f>
        <v>0</v>
      </c>
      <c r="BD854" s="1">
        <f>+IFERROR(VLOOKUP(BD37,'נתוני מים 2014'!$C$2:$L$188,3,0)/1000,0)</f>
        <v>0</v>
      </c>
      <c r="BE854" s="1">
        <f>+IFERROR(VLOOKUP(BE37,'נתוני מים 2014'!$C$2:$L$188,3,0)/1000,0)</f>
        <v>0</v>
      </c>
      <c r="BF854" s="1">
        <f>+IFERROR(VLOOKUP(BF37,'נתוני מים 2014'!$C$2:$L$188,3,0)/1000,0)</f>
        <v>0</v>
      </c>
    </row>
    <row r="856" spans="1:58" x14ac:dyDescent="0.2">
      <c r="A856" s="1228" t="s">
        <v>1572</v>
      </c>
      <c r="C856" s="1">
        <f>SUM(C825:C855)</f>
        <v>8395.6299999999992</v>
      </c>
      <c r="D856" s="1">
        <f t="shared" ref="D856:BF856" si="200">SUM(D825:D855)</f>
        <v>0</v>
      </c>
      <c r="E856" s="1">
        <f t="shared" si="200"/>
        <v>5978.83</v>
      </c>
      <c r="F856" s="1">
        <f t="shared" si="200"/>
        <v>0</v>
      </c>
      <c r="G856" s="1">
        <f t="shared" si="200"/>
        <v>0</v>
      </c>
      <c r="H856" s="1">
        <f t="shared" si="200"/>
        <v>0</v>
      </c>
      <c r="I856" s="1">
        <f t="shared" si="200"/>
        <v>10106.977000000001</v>
      </c>
      <c r="J856" s="1">
        <f t="shared" si="200"/>
        <v>0</v>
      </c>
      <c r="K856" s="1">
        <f t="shared" si="200"/>
        <v>0</v>
      </c>
      <c r="L856" s="1">
        <f t="shared" si="200"/>
        <v>4179.84</v>
      </c>
      <c r="M856" s="1">
        <f t="shared" si="200"/>
        <v>358.3</v>
      </c>
      <c r="N856" s="1">
        <f t="shared" si="200"/>
        <v>0</v>
      </c>
      <c r="O856" s="1">
        <f t="shared" si="200"/>
        <v>0</v>
      </c>
      <c r="P856" s="1">
        <f t="shared" si="200"/>
        <v>0</v>
      </c>
      <c r="Q856" s="1">
        <f t="shared" si="200"/>
        <v>3214.047</v>
      </c>
      <c r="R856" s="1">
        <f t="shared" si="200"/>
        <v>2012.6479999999999</v>
      </c>
      <c r="S856" s="1">
        <f t="shared" si="200"/>
        <v>0</v>
      </c>
      <c r="T856" s="1">
        <f t="shared" si="200"/>
        <v>0</v>
      </c>
      <c r="U856" s="1">
        <f t="shared" si="200"/>
        <v>2528.88</v>
      </c>
      <c r="V856" s="1">
        <f t="shared" si="200"/>
        <v>0</v>
      </c>
      <c r="W856" s="1">
        <f t="shared" si="200"/>
        <v>0</v>
      </c>
      <c r="X856" s="1">
        <f t="shared" si="200"/>
        <v>0</v>
      </c>
      <c r="Y856" s="1">
        <f t="shared" si="200"/>
        <v>0</v>
      </c>
      <c r="Z856" s="1">
        <f t="shared" si="200"/>
        <v>0</v>
      </c>
      <c r="AA856" s="1">
        <f t="shared" si="200"/>
        <v>4157.9780000000001</v>
      </c>
      <c r="AB856" s="1">
        <f t="shared" si="200"/>
        <v>0</v>
      </c>
      <c r="AC856" s="1">
        <f t="shared" si="200"/>
        <v>3170.33</v>
      </c>
      <c r="AD856" s="1">
        <f t="shared" si="200"/>
        <v>0</v>
      </c>
      <c r="AE856" s="1">
        <f t="shared" si="200"/>
        <v>0</v>
      </c>
      <c r="AF856" s="1">
        <f t="shared" si="200"/>
        <v>704.45</v>
      </c>
      <c r="AG856" s="1">
        <f t="shared" si="200"/>
        <v>0</v>
      </c>
      <c r="AH856" s="1">
        <f t="shared" si="200"/>
        <v>0</v>
      </c>
      <c r="AI856" s="1">
        <f t="shared" si="200"/>
        <v>0</v>
      </c>
      <c r="AJ856" s="1">
        <f t="shared" si="200"/>
        <v>0</v>
      </c>
      <c r="AK856" s="1">
        <f t="shared" si="200"/>
        <v>0</v>
      </c>
      <c r="AL856" s="1">
        <f t="shared" si="200"/>
        <v>2880.26</v>
      </c>
      <c r="AM856" s="1">
        <f t="shared" si="200"/>
        <v>647.17000000000007</v>
      </c>
      <c r="AN856" s="1">
        <f t="shared" si="200"/>
        <v>0</v>
      </c>
      <c r="AO856" s="1">
        <f t="shared" si="200"/>
        <v>4300.45</v>
      </c>
      <c r="AP856" s="1">
        <f t="shared" si="200"/>
        <v>1552.9</v>
      </c>
      <c r="AQ856" s="1">
        <f t="shared" si="200"/>
        <v>5761.5619999999999</v>
      </c>
      <c r="AR856" s="1">
        <f t="shared" si="200"/>
        <v>718.62900000000002</v>
      </c>
      <c r="AS856" s="1">
        <f t="shared" si="200"/>
        <v>0</v>
      </c>
      <c r="AT856" s="1">
        <f t="shared" si="200"/>
        <v>0</v>
      </c>
      <c r="AU856" s="1">
        <f t="shared" si="200"/>
        <v>0</v>
      </c>
      <c r="AV856" s="1">
        <f t="shared" si="200"/>
        <v>0</v>
      </c>
      <c r="AW856" s="1">
        <f t="shared" si="200"/>
        <v>0</v>
      </c>
      <c r="AX856" s="1">
        <f t="shared" si="200"/>
        <v>4010.72</v>
      </c>
      <c r="AY856" s="1">
        <f t="shared" si="200"/>
        <v>0</v>
      </c>
      <c r="AZ856" s="1">
        <f t="shared" si="200"/>
        <v>0</v>
      </c>
      <c r="BA856" s="1">
        <f t="shared" si="200"/>
        <v>0</v>
      </c>
      <c r="BB856" s="1">
        <f t="shared" si="200"/>
        <v>0</v>
      </c>
      <c r="BC856" s="1">
        <f t="shared" si="200"/>
        <v>0</v>
      </c>
      <c r="BD856" s="1">
        <f t="shared" si="200"/>
        <v>0</v>
      </c>
      <c r="BE856" s="1">
        <f t="shared" si="200"/>
        <v>0</v>
      </c>
      <c r="BF856" s="1">
        <f t="shared" si="200"/>
        <v>3201</v>
      </c>
    </row>
    <row r="859" spans="1:58" x14ac:dyDescent="0.2">
      <c r="A859" s="1228" t="s">
        <v>657</v>
      </c>
      <c r="B859" s="1">
        <v>1</v>
      </c>
      <c r="C859" s="1">
        <f>+IFERROR(VLOOKUP(C8,'נתוני מים 2014'!$C$2:$L$188,2,0)/1000,0)</f>
        <v>225.35599999999999</v>
      </c>
      <c r="D859" s="1">
        <f>+IFERROR(VLOOKUP(D8,'נתוני מים 2014'!$C$2:$L$188,2,0)/1000,0)</f>
        <v>23.074000000000002</v>
      </c>
      <c r="E859" s="1">
        <f>+IFERROR(VLOOKUP(E8,'נתוני מים 2014'!$C$2:$L$188,2,0)/1000,0)</f>
        <v>202.428</v>
      </c>
      <c r="F859" s="1">
        <f>+IFERROR(VLOOKUP(F8,'נתוני מים 2014'!$C$2:$L$188,2,0)/1000,0)</f>
        <v>18.390999999999998</v>
      </c>
      <c r="G859" s="1">
        <f>+IFERROR(VLOOKUP(G8,'נתוני מים 2014'!$C$2:$L$188,2,0)/1000,0)</f>
        <v>86.97</v>
      </c>
      <c r="H859" s="1">
        <f>+IFERROR(VLOOKUP(H8,'נתוני מים 2014'!$C$2:$L$188,2,0)/1000,0)</f>
        <v>849.78200000000004</v>
      </c>
      <c r="I859" s="1">
        <f>+IFERROR(VLOOKUP(I8,'נתוני מים 2014'!$C$2:$L$188,2,0)/1000,0)</f>
        <v>240.666</v>
      </c>
      <c r="J859" s="1">
        <f>+IFERROR(VLOOKUP(J8,'נתוני מים 2014'!$C$2:$L$188,2,0)/1000,0)</f>
        <v>48.945999999999998</v>
      </c>
      <c r="K859" s="1">
        <f>+IFERROR(VLOOKUP(K8,'נתוני מים 2014'!$C$2:$L$188,2,0)/1000,0)</f>
        <v>40.311999999999998</v>
      </c>
      <c r="L859" s="1">
        <f>+IFERROR(VLOOKUP(L8,'נתוני מים 2014'!$C$2:$L$188,2,0)/1000,0)</f>
        <v>42.286999999999999</v>
      </c>
      <c r="M859" s="1">
        <f>+IFERROR(VLOOKUP(M8,'נתוני מים 2014'!$C$2:$L$188,2,0)/1000,0)</f>
        <v>217.959</v>
      </c>
      <c r="N859" s="1">
        <f>+IFERROR(VLOOKUP(N8,'נתוני מים 2014'!$C$2:$L$188,2,0)/1000,0)</f>
        <v>201.08600000000001</v>
      </c>
      <c r="O859" s="1">
        <f>+IFERROR(VLOOKUP(O8,'נתוני מים 2014'!$C$2:$L$188,2,0)/1000,0)</f>
        <v>187.29400000000001</v>
      </c>
      <c r="P859" s="1">
        <f>+IFERROR(VLOOKUP(P8,'נתוני מים 2014'!$C$2:$L$188,2,0)/1000,0)</f>
        <v>32.896000000000001</v>
      </c>
      <c r="Q859" s="1">
        <f>+IFERROR(VLOOKUP(Q8,'נתוני מים 2014'!$C$2:$L$188,2,0)/1000,0)</f>
        <v>178.28800000000001</v>
      </c>
      <c r="R859" s="1">
        <f>+IFERROR(VLOOKUP(R8,'נתוני מים 2014'!$C$2:$L$188,2,0)/1000,0)</f>
        <v>45.783999999999999</v>
      </c>
      <c r="S859" s="1">
        <f>+IFERROR(VLOOKUP(S8,'נתוני מים 2014'!$C$2:$L$188,2,0)/1000,0)</f>
        <v>72.155000000000001</v>
      </c>
      <c r="T859" s="1">
        <f>+IFERROR(VLOOKUP(T8,'נתוני מים 2014'!$C$2:$L$188,2,0)/1000,0)</f>
        <v>72.293000000000006</v>
      </c>
      <c r="U859" s="1">
        <f>+IFERROR(VLOOKUP(U8,'נתוני מים 2014'!$C$2:$L$188,2,0)/1000,0)</f>
        <v>86.774000000000001</v>
      </c>
      <c r="V859" s="1">
        <f>+IFERROR(VLOOKUP(V8,'נתוני מים 2014'!$C$2:$L$188,2,0)/1000,0)</f>
        <v>20.832000000000001</v>
      </c>
      <c r="W859" s="1">
        <f>+IFERROR(VLOOKUP(W8,'נתוני מים 2014'!$C$2:$L$188,2,0)/1000,0)</f>
        <v>51.366999999999997</v>
      </c>
      <c r="X859" s="1">
        <f>+IFERROR(VLOOKUP(X8,'נתוני מים 2014'!$C$2:$L$188,2,0)/1000,0)</f>
        <v>74.619</v>
      </c>
      <c r="Y859" s="1">
        <f>+IFERROR(VLOOKUP(Y8,'נתוני מים 2014'!$C$2:$L$188,2,0)/1000,0)</f>
        <v>21.152999999999999</v>
      </c>
      <c r="Z859" s="1">
        <f>+IFERROR(VLOOKUP(Z8,'נתוני מים 2014'!$C$2:$L$188,2,0)/1000,0)</f>
        <v>54.326999999999998</v>
      </c>
      <c r="AA859" s="1">
        <f>+IFERROR(VLOOKUP(AA8,'נתוני מים 2014'!$C$2:$L$188,2,0)/1000,0)</f>
        <v>70.206000000000003</v>
      </c>
      <c r="AB859" s="1">
        <f>+IFERROR(VLOOKUP(AB8,'נתוני מים 2014'!$C$2:$L$188,2,0)/1000,0)</f>
        <v>50.57</v>
      </c>
      <c r="AC859" s="1">
        <f>+IFERROR(VLOOKUP(AC8,'נתוני מים 2014'!$C$2:$L$188,2,0)/1000,0)</f>
        <v>90.733000000000004</v>
      </c>
      <c r="AD859" s="1">
        <f>+IFERROR(VLOOKUP(AD8,'נתוני מים 2014'!$C$2:$L$188,2,0)/1000,0)</f>
        <v>44.05</v>
      </c>
      <c r="AE859" s="1">
        <f>+IFERROR(VLOOKUP(AE8,'נתוני מים 2014'!$C$2:$L$188,2,0)/1000,0)</f>
        <v>277.08199999999999</v>
      </c>
      <c r="AF859" s="1">
        <f>+IFERROR(VLOOKUP(AF8,'נתוני מים 2014'!$C$2:$L$188,2,0)/1000,0)</f>
        <v>39.68</v>
      </c>
      <c r="AG859" s="1">
        <f>+IFERROR(VLOOKUP(AG8,'נתוני מים 2014'!$C$2:$L$188,2,0)/1000,0)</f>
        <v>44.633000000000003</v>
      </c>
      <c r="AH859" s="1">
        <f>+IFERROR(VLOOKUP(AH8,'נתוני מים 2014'!$C$2:$L$188,2,0)/1000,0)</f>
        <v>60.426000000000002</v>
      </c>
      <c r="AI859" s="1">
        <f>+IFERROR(VLOOKUP(AI8,'נתוני מים 2014'!$C$2:$L$188,2,0)/1000,0)</f>
        <v>42.164999999999999</v>
      </c>
      <c r="AJ859" s="1">
        <f>+IFERROR(VLOOKUP(AJ8,'נתוני מים 2014'!$C$2:$L$188,2,0)/1000,0)</f>
        <v>39.590000000000003</v>
      </c>
      <c r="AK859" s="1">
        <f>+IFERROR(VLOOKUP(AK8,'נתוני מים 2014'!$C$2:$L$188,2,0)/1000,0)</f>
        <v>39.031999999999996</v>
      </c>
      <c r="AL859" s="1">
        <f>+IFERROR(VLOOKUP(AL8,'נתוני מים 2014'!$C$2:$L$188,2,0)/1000,0)</f>
        <v>426.13799999999998</v>
      </c>
      <c r="AM859" s="1">
        <f>+IFERROR(VLOOKUP(AM8,'נתוני מים 2014'!$C$2:$L$188,2,0)/1000,0)</f>
        <v>12.973000000000001</v>
      </c>
      <c r="AN859" s="1">
        <f>+IFERROR(VLOOKUP(AN8,'נתוני מים 2014'!$C$2:$L$188,2,0)/1000,0)</f>
        <v>18.082999999999998</v>
      </c>
      <c r="AO859" s="1">
        <f>+IFERROR(VLOOKUP(AO8,'נתוני מים 2014'!$C$2:$L$188,2,0)/1000,0)</f>
        <v>150.917</v>
      </c>
      <c r="AP859" s="1">
        <f>+IFERROR(VLOOKUP(AP8,'נתוני מים 2014'!$C$2:$L$188,2,0)/1000,0)</f>
        <v>56.848999999999997</v>
      </c>
      <c r="AQ859" s="1">
        <f>+IFERROR(VLOOKUP(AQ8,'נתוני מים 2014'!$C$2:$L$188,2,0)/1000,0)</f>
        <v>128.49799999999999</v>
      </c>
      <c r="AR859" s="1">
        <f>+IFERROR(VLOOKUP(AR8,'נתוני מים 2014'!$C$2:$L$188,2,0)/1000,0)</f>
        <v>36.601999999999997</v>
      </c>
      <c r="AS859" s="1">
        <f>+IFERROR(VLOOKUP(AS8,'נתוני מים 2014'!$C$2:$L$188,2,0)/1000,0)</f>
        <v>39.246000000000002</v>
      </c>
      <c r="AT859" s="1">
        <f>+IFERROR(VLOOKUP(AT8,'נתוני מים 2014'!$C$2:$L$188,2,0)/1000,0)</f>
        <v>98.084000000000003</v>
      </c>
      <c r="AU859" s="1">
        <f>+IFERROR(VLOOKUP(AU8,'נתוני מים 2014'!$C$2:$L$188,2,0)/1000,0)</f>
        <v>54.134</v>
      </c>
      <c r="AV859" s="1">
        <f>+IFERROR(VLOOKUP(AV8,'נתוני מים 2014'!$C$2:$L$188,2,0)/1000,0)</f>
        <v>126.819</v>
      </c>
      <c r="AW859" s="1">
        <f>+IFERROR(VLOOKUP(AW8,'נתוני מים 2014'!$C$2:$L$188,2,0)/1000,0)</f>
        <v>47.463999999999999</v>
      </c>
      <c r="AX859" s="1">
        <f>+IFERROR(VLOOKUP(AX8,'נתוני מים 2014'!$C$2:$L$188,2,0)/1000,0)</f>
        <v>0</v>
      </c>
      <c r="AY859" s="1">
        <f>+IFERROR(VLOOKUP(AY8,'נתוני מים 2014'!$C$2:$L$188,2,0)/1000,0)</f>
        <v>38.945</v>
      </c>
      <c r="AZ859" s="1">
        <f>+IFERROR(VLOOKUP(AZ8,'נתוני מים 2014'!$C$2:$L$188,2,0)/1000,0)</f>
        <v>17.605</v>
      </c>
      <c r="BA859" s="1">
        <f>+IFERROR(VLOOKUP(BA8,'נתוני מים 2014'!$C$2:$L$188,2,0)/1000,0)</f>
        <v>33.195</v>
      </c>
      <c r="BB859" s="1">
        <f>+IFERROR(VLOOKUP(BB8,'נתוני מים 2014'!$C$2:$L$188,2,0)/1000,0)</f>
        <v>13.151</v>
      </c>
      <c r="BC859" s="1">
        <f>+IFERROR(VLOOKUP(BC8,'נתוני מים 2014'!$C$2:$L$188,2,0)/1000,0)</f>
        <v>11.478999999999999</v>
      </c>
      <c r="BD859" s="1">
        <f>+IFERROR(VLOOKUP(BD8,'נתוני מים 2014'!$C$2:$L$188,2,0)/1000,0)</f>
        <v>0</v>
      </c>
      <c r="BE859" s="1">
        <f>+IFERROR(VLOOKUP(BE8,'נתוני מים 2014'!$C$2:$L$188,2,0)/1000,0)</f>
        <v>15.606</v>
      </c>
      <c r="BF859" s="1">
        <f>+IFERROR(VLOOKUP(BF8,'נתוני מים 2014'!$C$2:$L$188,2,0)/1000,0)</f>
        <v>128.892</v>
      </c>
    </row>
    <row r="860" spans="1:58" x14ac:dyDescent="0.2">
      <c r="B860" s="1">
        <v>2</v>
      </c>
      <c r="C860" s="1">
        <f>+IFERROR(VLOOKUP(C9,'נתוני מים 2014'!$C$2:$L$188,2,0)/1000,0)</f>
        <v>43.627000000000002</v>
      </c>
      <c r="D860" s="1">
        <f>+IFERROR(VLOOKUP(D9,'נתוני מים 2014'!$C$2:$L$188,2,0)/1000,0)</f>
        <v>1.593</v>
      </c>
      <c r="E860" s="1">
        <f>+IFERROR(VLOOKUP(E9,'נתוני מים 2014'!$C$2:$L$188,2,0)/1000,0)</f>
        <v>0</v>
      </c>
      <c r="F860" s="1">
        <f>+IFERROR(VLOOKUP(F9,'נתוני מים 2014'!$C$2:$L$188,2,0)/1000,0)</f>
        <v>6.65</v>
      </c>
      <c r="G860" s="1">
        <f>+IFERROR(VLOOKUP(G9,'נתוני מים 2014'!$C$2:$L$188,2,0)/1000,0)</f>
        <v>0</v>
      </c>
      <c r="H860" s="1">
        <f>+IFERROR(VLOOKUP(H9,'נתוני מים 2014'!$C$2:$L$188,2,0)/1000,0)</f>
        <v>6.7949999999999999</v>
      </c>
      <c r="I860" s="1">
        <f>+IFERROR(VLOOKUP(I9,'נתוני מים 2014'!$C$2:$L$188,2,0)/1000,0)</f>
        <v>0</v>
      </c>
      <c r="J860" s="1">
        <f>+IFERROR(VLOOKUP(J9,'נתוני מים 2014'!$C$2:$L$188,2,0)/1000,0)</f>
        <v>0</v>
      </c>
      <c r="K860" s="1">
        <f>+IFERROR(VLOOKUP(K9,'נתוני מים 2014'!$C$2:$L$188,2,0)/1000,0)</f>
        <v>24.765999999999998</v>
      </c>
      <c r="L860" s="1">
        <f>+IFERROR(VLOOKUP(L9,'נתוני מים 2014'!$C$2:$L$188,2,0)/1000,0)</f>
        <v>1.8140000000000001</v>
      </c>
      <c r="M860" s="1">
        <f>+IFERROR(VLOOKUP(M9,'נתוני מים 2014'!$C$2:$L$188,2,0)/1000,0)</f>
        <v>0</v>
      </c>
      <c r="N860" s="1">
        <f>+IFERROR(VLOOKUP(N9,'נתוני מים 2014'!$C$2:$L$188,2,0)/1000,0)</f>
        <v>25.295000000000002</v>
      </c>
      <c r="O860" s="1">
        <f>+IFERROR(VLOOKUP(O9,'נתוני מים 2014'!$C$2:$L$188,2,0)/1000,0)</f>
        <v>11.978999999999999</v>
      </c>
      <c r="P860" s="1">
        <f>+IFERROR(VLOOKUP(P9,'נתוני מים 2014'!$C$2:$L$188,2,0)/1000,0)</f>
        <v>8.8390000000000004</v>
      </c>
      <c r="Q860" s="1">
        <f>+IFERROR(VLOOKUP(Q9,'נתוני מים 2014'!$C$2:$L$188,2,0)/1000,0)</f>
        <v>0</v>
      </c>
      <c r="R860" s="1">
        <f>+IFERROR(VLOOKUP(R9,'נתוני מים 2014'!$C$2:$L$188,2,0)/1000,0)</f>
        <v>10.699</v>
      </c>
      <c r="S860" s="1">
        <f>+IFERROR(VLOOKUP(S9,'נתוני מים 2014'!$C$2:$L$188,2,0)/1000,0)</f>
        <v>0</v>
      </c>
      <c r="T860" s="1">
        <f>+IFERROR(VLOOKUP(T9,'נתוני מים 2014'!$C$2:$L$188,2,0)/1000,0)</f>
        <v>25.835000000000001</v>
      </c>
      <c r="U860" s="1">
        <f>+IFERROR(VLOOKUP(U9,'נתוני מים 2014'!$C$2:$L$188,2,0)/1000,0)</f>
        <v>0</v>
      </c>
      <c r="V860" s="1">
        <f>+IFERROR(VLOOKUP(V9,'נתוני מים 2014'!$C$2:$L$188,2,0)/1000,0)</f>
        <v>13.021000000000001</v>
      </c>
      <c r="W860" s="1">
        <f>+IFERROR(VLOOKUP(W9,'נתוני מים 2014'!$C$2:$L$188,2,0)/1000,0)</f>
        <v>9</v>
      </c>
      <c r="X860" s="1">
        <f>+IFERROR(VLOOKUP(X9,'נתוני מים 2014'!$C$2:$L$188,2,0)/1000,0)</f>
        <v>18.152000000000001</v>
      </c>
      <c r="Y860" s="1">
        <f>+IFERROR(VLOOKUP(Y9,'נתוני מים 2014'!$C$2:$L$188,2,0)/1000,0)</f>
        <v>6.2539999999999996</v>
      </c>
      <c r="Z860" s="1">
        <f>+IFERROR(VLOOKUP(Z9,'נתוני מים 2014'!$C$2:$L$188,2,0)/1000,0)</f>
        <v>0</v>
      </c>
      <c r="AA860" s="1">
        <f>+IFERROR(VLOOKUP(AA9,'נתוני מים 2014'!$C$2:$L$188,2,0)/1000,0)</f>
        <v>0</v>
      </c>
      <c r="AB860" s="1">
        <f>+IFERROR(VLOOKUP(AB9,'נתוני מים 2014'!$C$2:$L$188,2,0)/1000,0)</f>
        <v>0</v>
      </c>
      <c r="AC860" s="1">
        <f>+IFERROR(VLOOKUP(AC9,'נתוני מים 2014'!$C$2:$L$188,2,0)/1000,0)</f>
        <v>0</v>
      </c>
      <c r="AD860" s="1">
        <f>+IFERROR(VLOOKUP(AD9,'נתוני מים 2014'!$C$2:$L$188,2,0)/1000,0)</f>
        <v>0</v>
      </c>
      <c r="AE860" s="1">
        <f>+IFERROR(VLOOKUP(AE9,'נתוני מים 2014'!$C$2:$L$188,2,0)/1000,0)</f>
        <v>0</v>
      </c>
      <c r="AF860" s="1">
        <f>+IFERROR(VLOOKUP(AF9,'נתוני מים 2014'!$C$2:$L$188,2,0)/1000,0)</f>
        <v>21.762</v>
      </c>
      <c r="AG860" s="1">
        <f>+IFERROR(VLOOKUP(AG9,'נתוני מים 2014'!$C$2:$L$188,2,0)/1000,0)</f>
        <v>0</v>
      </c>
      <c r="AH860" s="1">
        <f>+IFERROR(VLOOKUP(AH9,'נתוני מים 2014'!$C$2:$L$188,2,0)/1000,0)</f>
        <v>0</v>
      </c>
      <c r="AI860" s="1">
        <f>+IFERROR(VLOOKUP(AI9,'נתוני מים 2014'!$C$2:$L$188,2,0)/1000,0)</f>
        <v>0</v>
      </c>
      <c r="AJ860" s="1">
        <f>+IFERROR(VLOOKUP(AJ9,'נתוני מים 2014'!$C$2:$L$188,2,0)/1000,0)</f>
        <v>10.302</v>
      </c>
      <c r="AK860" s="1">
        <f>+IFERROR(VLOOKUP(AK9,'נתוני מים 2014'!$C$2:$L$188,2,0)/1000,0)</f>
        <v>0</v>
      </c>
      <c r="AL860" s="1">
        <f>+IFERROR(VLOOKUP(AL9,'נתוני מים 2014'!$C$2:$L$188,2,0)/1000,0)</f>
        <v>0</v>
      </c>
      <c r="AM860" s="1">
        <f>+IFERROR(VLOOKUP(AM9,'נתוני מים 2014'!$C$2:$L$188,2,0)/1000,0)</f>
        <v>21.225999999999999</v>
      </c>
      <c r="AN860" s="1">
        <f>+IFERROR(VLOOKUP(AN9,'נתוני מים 2014'!$C$2:$L$188,2,0)/1000,0)</f>
        <v>18.585999999999999</v>
      </c>
      <c r="AO860" s="1">
        <f>+IFERROR(VLOOKUP(AO9,'נתוני מים 2014'!$C$2:$L$188,2,0)/1000,0)</f>
        <v>0</v>
      </c>
      <c r="AP860" s="1">
        <f>+IFERROR(VLOOKUP(AP9,'נתוני מים 2014'!$C$2:$L$188,2,0)/1000,0)</f>
        <v>0</v>
      </c>
      <c r="AQ860" s="1">
        <f>+IFERROR(VLOOKUP(AQ9,'נתוני מים 2014'!$C$2:$L$188,2,0)/1000,0)</f>
        <v>0</v>
      </c>
      <c r="AR860" s="1">
        <f>+IFERROR(VLOOKUP(AR9,'נתוני מים 2014'!$C$2:$L$188,2,0)/1000,0)</f>
        <v>28.477</v>
      </c>
      <c r="AS860" s="1">
        <f>+IFERROR(VLOOKUP(AS9,'נתוני מים 2014'!$C$2:$L$188,2,0)/1000,0)</f>
        <v>18.053000000000001</v>
      </c>
      <c r="AT860" s="1">
        <f>+IFERROR(VLOOKUP(AT9,'נתוני מים 2014'!$C$2:$L$188,2,0)/1000,0)</f>
        <v>0</v>
      </c>
      <c r="AU860" s="1">
        <f>+IFERROR(VLOOKUP(AU9,'נתוני מים 2014'!$C$2:$L$188,2,0)/1000,0)</f>
        <v>0</v>
      </c>
      <c r="AV860" s="1">
        <f>+IFERROR(VLOOKUP(AV9,'נתוני מים 2014'!$C$2:$L$188,2,0)/1000,0)</f>
        <v>30.3</v>
      </c>
      <c r="AW860" s="1">
        <f>+IFERROR(VLOOKUP(AW9,'נתוני מים 2014'!$C$2:$L$188,2,0)/1000,0)</f>
        <v>0</v>
      </c>
      <c r="AX860" s="1">
        <f>+IFERROR(VLOOKUP(AX9,'נתוני מים 2014'!$C$2:$L$188,2,0)/1000,0)</f>
        <v>9.2159999999999993</v>
      </c>
      <c r="AY860" s="1">
        <f>+IFERROR(VLOOKUP(AY9,'נתוני מים 2014'!$C$2:$L$188,2,0)/1000,0)</f>
        <v>0</v>
      </c>
      <c r="AZ860" s="1">
        <f>+IFERROR(VLOOKUP(AZ9,'נתוני מים 2014'!$C$2:$L$188,2,0)/1000,0)</f>
        <v>21.06</v>
      </c>
      <c r="BA860" s="1">
        <f>+IFERROR(VLOOKUP(BA9,'נתוני מים 2014'!$C$2:$L$188,2,0)/1000,0)</f>
        <v>24.228999999999999</v>
      </c>
      <c r="BB860" s="1">
        <f>+IFERROR(VLOOKUP(BB9,'נתוני מים 2014'!$C$2:$L$188,2,0)/1000,0)</f>
        <v>19.736000000000001</v>
      </c>
      <c r="BC860" s="1">
        <f>+IFERROR(VLOOKUP(BC9,'נתוני מים 2014'!$C$2:$L$188,2,0)/1000,0)</f>
        <v>9.6240000000000006</v>
      </c>
      <c r="BD860" s="1">
        <f>+IFERROR(VLOOKUP(BD9,'נתוני מים 2014'!$C$2:$L$188,2,0)/1000,0)</f>
        <v>9.1120000000000001</v>
      </c>
      <c r="BE860" s="1">
        <f>+IFERROR(VLOOKUP(BE9,'נתוני מים 2014'!$C$2:$L$188,2,0)/1000,0)</f>
        <v>0</v>
      </c>
      <c r="BF860" s="1">
        <f>+IFERROR(VLOOKUP(BF9,'נתוני מים 2014'!$C$2:$L$188,2,0)/1000,0)</f>
        <v>0</v>
      </c>
    </row>
    <row r="861" spans="1:58" x14ac:dyDescent="0.2">
      <c r="B861" s="1">
        <v>3</v>
      </c>
      <c r="C861" s="1">
        <f>+IFERROR(VLOOKUP(C10,'נתוני מים 2014'!$C$2:$L$188,2,0)/1000,0)</f>
        <v>3.274</v>
      </c>
      <c r="D861" s="1">
        <f>+IFERROR(VLOOKUP(D10,'נתוני מים 2014'!$C$2:$L$188,2,0)/1000,0)</f>
        <v>6.8289999999999997</v>
      </c>
      <c r="E861" s="1">
        <f>+IFERROR(VLOOKUP(E10,'נתוני מים 2014'!$C$2:$L$188,2,0)/1000,0)</f>
        <v>0</v>
      </c>
      <c r="F861" s="1">
        <f>+IFERROR(VLOOKUP(F10,'נתוני מים 2014'!$C$2:$L$188,2,0)/1000,0)</f>
        <v>0</v>
      </c>
      <c r="G861" s="1">
        <f>+IFERROR(VLOOKUP(G10,'נתוני מים 2014'!$C$2:$L$188,2,0)/1000,0)</f>
        <v>0</v>
      </c>
      <c r="H861" s="1">
        <f>+IFERROR(VLOOKUP(H10,'נתוני מים 2014'!$C$2:$L$188,2,0)/1000,0)</f>
        <v>24.254999999999999</v>
      </c>
      <c r="I861" s="1">
        <f>+IFERROR(VLOOKUP(I10,'נתוני מים 2014'!$C$2:$L$188,2,0)/1000,0)</f>
        <v>0</v>
      </c>
      <c r="J861" s="1">
        <f>+IFERROR(VLOOKUP(J10,'נתוני מים 2014'!$C$2:$L$188,2,0)/1000,0)</f>
        <v>0</v>
      </c>
      <c r="K861" s="1">
        <f>+IFERROR(VLOOKUP(K10,'נתוני מים 2014'!$C$2:$L$188,2,0)/1000,0)</f>
        <v>43.832000000000001</v>
      </c>
      <c r="L861" s="1">
        <f>+IFERROR(VLOOKUP(L10,'נתוני מים 2014'!$C$2:$L$188,2,0)/1000,0)</f>
        <v>0</v>
      </c>
      <c r="M861" s="1">
        <f>+IFERROR(VLOOKUP(M10,'נתוני מים 2014'!$C$2:$L$188,2,0)/1000,0)</f>
        <v>0</v>
      </c>
      <c r="N861" s="1">
        <f>+IFERROR(VLOOKUP(N10,'נתוני מים 2014'!$C$2:$L$188,2,0)/1000,0)</f>
        <v>0</v>
      </c>
      <c r="O861" s="1">
        <f>+IFERROR(VLOOKUP(O10,'נתוני מים 2014'!$C$2:$L$188,2,0)/1000,0)</f>
        <v>7.0780000000000003</v>
      </c>
      <c r="P861" s="1">
        <f>+IFERROR(VLOOKUP(P10,'נתוני מים 2014'!$C$2:$L$188,2,0)/1000,0)</f>
        <v>6.1139999999999999</v>
      </c>
      <c r="Q861" s="1">
        <f>+IFERROR(VLOOKUP(Q10,'נתוני מים 2014'!$C$2:$L$188,2,0)/1000,0)</f>
        <v>0</v>
      </c>
      <c r="R861" s="1">
        <f>+IFERROR(VLOOKUP(R10,'נתוני מים 2014'!$C$2:$L$188,2,0)/1000,0)</f>
        <v>11.856999999999999</v>
      </c>
      <c r="S861" s="1">
        <f>+IFERROR(VLOOKUP(S10,'נתוני מים 2014'!$C$2:$L$188,2,0)/1000,0)</f>
        <v>0</v>
      </c>
      <c r="T861" s="1">
        <f>+IFERROR(VLOOKUP(T10,'נתוני מים 2014'!$C$2:$L$188,2,0)/1000,0)</f>
        <v>21.347999999999999</v>
      </c>
      <c r="U861" s="1">
        <f>+IFERROR(VLOOKUP(U10,'נתוני מים 2014'!$C$2:$L$188,2,0)/1000,0)</f>
        <v>0</v>
      </c>
      <c r="V861" s="1">
        <f>+IFERROR(VLOOKUP(V10,'נתוני מים 2014'!$C$2:$L$188,2,0)/1000,0)</f>
        <v>8.8960000000000008</v>
      </c>
      <c r="W861" s="1">
        <f>+IFERROR(VLOOKUP(W10,'נתוני מים 2014'!$C$2:$L$188,2,0)/1000,0)</f>
        <v>17.350000000000001</v>
      </c>
      <c r="X861" s="1">
        <f>+IFERROR(VLOOKUP(X10,'נתוני מים 2014'!$C$2:$L$188,2,0)/1000,0)</f>
        <v>17.93</v>
      </c>
      <c r="Y861" s="1">
        <f>+IFERROR(VLOOKUP(Y10,'נתוני מים 2014'!$C$2:$L$188,2,0)/1000,0)</f>
        <v>5.4820000000000002</v>
      </c>
      <c r="Z861" s="1">
        <f>+IFERROR(VLOOKUP(Z10,'נתוני מים 2014'!$C$2:$L$188,2,0)/1000,0)</f>
        <v>0</v>
      </c>
      <c r="AA861" s="1">
        <f>+IFERROR(VLOOKUP(AA10,'נתוני מים 2014'!$C$2:$L$188,2,0)/1000,0)</f>
        <v>0</v>
      </c>
      <c r="AB861" s="1">
        <f>+IFERROR(VLOOKUP(AB10,'נתוני מים 2014'!$C$2:$L$188,2,0)/1000,0)</f>
        <v>0</v>
      </c>
      <c r="AC861" s="1">
        <f>+IFERROR(VLOOKUP(AC10,'נתוני מים 2014'!$C$2:$L$188,2,0)/1000,0)</f>
        <v>0</v>
      </c>
      <c r="AD861" s="1">
        <f>+IFERROR(VLOOKUP(AD10,'נתוני מים 2014'!$C$2:$L$188,2,0)/1000,0)</f>
        <v>0</v>
      </c>
      <c r="AE861" s="1">
        <f>+IFERROR(VLOOKUP(AE10,'נתוני מים 2014'!$C$2:$L$188,2,0)/1000,0)</f>
        <v>0</v>
      </c>
      <c r="AF861" s="1">
        <f>+IFERROR(VLOOKUP(AF10,'נתוני מים 2014'!$C$2:$L$188,2,0)/1000,0)</f>
        <v>0</v>
      </c>
      <c r="AG861" s="1">
        <f>+IFERROR(VLOOKUP(AG10,'נתוני מים 2014'!$C$2:$L$188,2,0)/1000,0)</f>
        <v>0</v>
      </c>
      <c r="AH861" s="1">
        <f>+IFERROR(VLOOKUP(AH10,'נתוני מים 2014'!$C$2:$L$188,2,0)/1000,0)</f>
        <v>0</v>
      </c>
      <c r="AI861" s="1">
        <f>+IFERROR(VLOOKUP(AI10,'נתוני מים 2014'!$C$2:$L$188,2,0)/1000,0)</f>
        <v>0</v>
      </c>
      <c r="AJ861" s="1">
        <f>+IFERROR(VLOOKUP(AJ10,'נתוני מים 2014'!$C$2:$L$188,2,0)/1000,0)</f>
        <v>0</v>
      </c>
      <c r="AK861" s="1">
        <f>+IFERROR(VLOOKUP(AK10,'נתוני מים 2014'!$C$2:$L$188,2,0)/1000,0)</f>
        <v>0</v>
      </c>
      <c r="AL861" s="1">
        <f>+IFERROR(VLOOKUP(AL10,'נתוני מים 2014'!$C$2:$L$188,2,0)/1000,0)</f>
        <v>0</v>
      </c>
      <c r="AM861" s="1">
        <f>+IFERROR(VLOOKUP(AM10,'נתוני מים 2014'!$C$2:$L$188,2,0)/1000,0)</f>
        <v>5.43</v>
      </c>
      <c r="AN861" s="1">
        <f>+IFERROR(VLOOKUP(AN10,'נתוני מים 2014'!$C$2:$L$188,2,0)/1000,0)</f>
        <v>15.298</v>
      </c>
      <c r="AO861" s="1">
        <f>+IFERROR(VLOOKUP(AO10,'נתוני מים 2014'!$C$2:$L$188,2,0)/1000,0)</f>
        <v>0</v>
      </c>
      <c r="AP861" s="1">
        <f>+IFERROR(VLOOKUP(AP10,'נתוני מים 2014'!$C$2:$L$188,2,0)/1000,0)</f>
        <v>0</v>
      </c>
      <c r="AQ861" s="1">
        <f>+IFERROR(VLOOKUP(AQ10,'נתוני מים 2014'!$C$2:$L$188,2,0)/1000,0)</f>
        <v>0</v>
      </c>
      <c r="AR861" s="1">
        <f>+IFERROR(VLOOKUP(AR10,'נתוני מים 2014'!$C$2:$L$188,2,0)/1000,0)</f>
        <v>0</v>
      </c>
      <c r="AS861" s="1">
        <f>+IFERROR(VLOOKUP(AS10,'נתוני מים 2014'!$C$2:$L$188,2,0)/1000,0)</f>
        <v>7.2320000000000002</v>
      </c>
      <c r="AT861" s="1">
        <f>+IFERROR(VLOOKUP(AT10,'נתוני מים 2014'!$C$2:$L$188,2,0)/1000,0)</f>
        <v>0</v>
      </c>
      <c r="AU861" s="1">
        <f>+IFERROR(VLOOKUP(AU10,'נתוני מים 2014'!$C$2:$L$188,2,0)/1000,0)</f>
        <v>0</v>
      </c>
      <c r="AV861" s="1">
        <f>+IFERROR(VLOOKUP(AV10,'נתוני מים 2014'!$C$2:$L$188,2,0)/1000,0)</f>
        <v>0</v>
      </c>
      <c r="AW861" s="1">
        <f>+IFERROR(VLOOKUP(AW10,'נתוני מים 2014'!$C$2:$L$188,2,0)/1000,0)</f>
        <v>0</v>
      </c>
      <c r="AX861" s="1">
        <f>+IFERROR(VLOOKUP(AX10,'נתוני מים 2014'!$C$2:$L$188,2,0)/1000,0)</f>
        <v>21.361000000000001</v>
      </c>
      <c r="AY861" s="1">
        <f>+IFERROR(VLOOKUP(AY10,'נתוני מים 2014'!$C$2:$L$188,2,0)/1000,0)</f>
        <v>0</v>
      </c>
      <c r="AZ861" s="1">
        <f>+IFERROR(VLOOKUP(AZ10,'נתוני מים 2014'!$C$2:$L$188,2,0)/1000,0)</f>
        <v>7.46</v>
      </c>
      <c r="BA861" s="1">
        <f>+IFERROR(VLOOKUP(BA10,'נתוני מים 2014'!$C$2:$L$188,2,0)/1000,0)</f>
        <v>8.9589999999999996</v>
      </c>
      <c r="BB861" s="1">
        <f>+IFERROR(VLOOKUP(BB10,'נתוני מים 2014'!$C$2:$L$188,2,0)/1000,0)</f>
        <v>6.0359999999999996</v>
      </c>
      <c r="BC861" s="1">
        <f>+IFERROR(VLOOKUP(BC10,'נתוני מים 2014'!$C$2:$L$188,2,0)/1000,0)</f>
        <v>11.866</v>
      </c>
      <c r="BD861" s="1">
        <f>+IFERROR(VLOOKUP(BD10,'נתוני מים 2014'!$C$2:$L$188,2,0)/1000,0)</f>
        <v>0</v>
      </c>
      <c r="BE861" s="1">
        <f>+IFERROR(VLOOKUP(BE10,'נתוני מים 2014'!$C$2:$L$188,2,0)/1000,0)</f>
        <v>0</v>
      </c>
      <c r="BF861" s="1">
        <f>+IFERROR(VLOOKUP(BF10,'נתוני מים 2014'!$C$2:$L$188,2,0)/1000,0)</f>
        <v>0</v>
      </c>
    </row>
    <row r="862" spans="1:58" x14ac:dyDescent="0.2">
      <c r="B862" s="1">
        <v>4</v>
      </c>
      <c r="C862" s="1">
        <f>+IFERROR(VLOOKUP(C11,'נתוני מים 2014'!$C$2:$L$188,2,0)/1000,0)</f>
        <v>0</v>
      </c>
      <c r="D862" s="1">
        <f>+IFERROR(VLOOKUP(D11,'נתוני מים 2014'!$C$2:$L$188,2,0)/1000,0)</f>
        <v>10.484999999999999</v>
      </c>
      <c r="E862" s="1">
        <f>+IFERROR(VLOOKUP(E11,'נתוני מים 2014'!$C$2:$L$188,2,0)/1000,0)</f>
        <v>0</v>
      </c>
      <c r="F862" s="1">
        <f>+IFERROR(VLOOKUP(F11,'נתוני מים 2014'!$C$2:$L$188,2,0)/1000,0)</f>
        <v>0</v>
      </c>
      <c r="G862" s="1">
        <f>+IFERROR(VLOOKUP(G11,'נתוני מים 2014'!$C$2:$L$188,2,0)/1000,0)</f>
        <v>0</v>
      </c>
      <c r="H862" s="1">
        <f>+IFERROR(VLOOKUP(H11,'נתוני מים 2014'!$C$2:$L$188,2,0)/1000,0)</f>
        <v>0</v>
      </c>
      <c r="I862" s="1">
        <f>+IFERROR(VLOOKUP(I11,'נתוני מים 2014'!$C$2:$L$188,2,0)/1000,0)</f>
        <v>0</v>
      </c>
      <c r="J862" s="1">
        <f>+IFERROR(VLOOKUP(J11,'נתוני מים 2014'!$C$2:$L$188,2,0)/1000,0)</f>
        <v>0</v>
      </c>
      <c r="K862" s="1">
        <f>+IFERROR(VLOOKUP(K11,'נתוני מים 2014'!$C$2:$L$188,2,0)/1000,0)</f>
        <v>0</v>
      </c>
      <c r="L862" s="1">
        <f>+IFERROR(VLOOKUP(L11,'נתוני מים 2014'!$C$2:$L$188,2,0)/1000,0)</f>
        <v>3.1419999999999999</v>
      </c>
      <c r="M862" s="1">
        <f>+IFERROR(VLOOKUP(M11,'נתוני מים 2014'!$C$2:$L$188,2,0)/1000,0)</f>
        <v>0</v>
      </c>
      <c r="N862" s="1">
        <f>+IFERROR(VLOOKUP(N11,'נתוני מים 2014'!$C$2:$L$188,2,0)/1000,0)</f>
        <v>0</v>
      </c>
      <c r="O862" s="1">
        <f>+IFERROR(VLOOKUP(O11,'נתוני מים 2014'!$C$2:$L$188,2,0)/1000,0)</f>
        <v>35.914999999999999</v>
      </c>
      <c r="P862" s="1">
        <f>+IFERROR(VLOOKUP(P11,'נתוני מים 2014'!$C$2:$L$188,2,0)/1000,0)</f>
        <v>3.0150000000000001</v>
      </c>
      <c r="Q862" s="1">
        <f>+IFERROR(VLOOKUP(Q11,'נתוני מים 2014'!$C$2:$L$188,2,0)/1000,0)</f>
        <v>0</v>
      </c>
      <c r="R862" s="1">
        <f>+IFERROR(VLOOKUP(R11,'נתוני מים 2014'!$C$2:$L$188,2,0)/1000,0)</f>
        <v>0</v>
      </c>
      <c r="S862" s="1">
        <f>+IFERROR(VLOOKUP(S11,'נתוני מים 2014'!$C$2:$L$188,2,0)/1000,0)</f>
        <v>0</v>
      </c>
      <c r="T862" s="1">
        <f>+IFERROR(VLOOKUP(T11,'נתוני מים 2014'!$C$2:$L$188,2,0)/1000,0)</f>
        <v>6.9290000000000003</v>
      </c>
      <c r="U862" s="1">
        <f>+IFERROR(VLOOKUP(U11,'נתוני מים 2014'!$C$2:$L$188,2,0)/1000,0)</f>
        <v>0</v>
      </c>
      <c r="V862" s="1">
        <f>+IFERROR(VLOOKUP(V11,'נתוני מים 2014'!$C$2:$L$188,2,0)/1000,0)</f>
        <v>9.6989999999999998</v>
      </c>
      <c r="W862" s="1">
        <f>+IFERROR(VLOOKUP(W11,'נתוני מים 2014'!$C$2:$L$188,2,0)/1000,0)</f>
        <v>2.1</v>
      </c>
      <c r="X862" s="1">
        <f>+IFERROR(VLOOKUP(X11,'נתוני מים 2014'!$C$2:$L$188,2,0)/1000,0)</f>
        <v>7.4219999999999997</v>
      </c>
      <c r="Y862" s="1">
        <f>+IFERROR(VLOOKUP(Y11,'נתוני מים 2014'!$C$2:$L$188,2,0)/1000,0)</f>
        <v>8.016</v>
      </c>
      <c r="Z862" s="1">
        <f>+IFERROR(VLOOKUP(Z11,'נתוני מים 2014'!$C$2:$L$188,2,0)/1000,0)</f>
        <v>0</v>
      </c>
      <c r="AA862" s="1">
        <f>+IFERROR(VLOOKUP(AA11,'נתוני מים 2014'!$C$2:$L$188,2,0)/1000,0)</f>
        <v>0</v>
      </c>
      <c r="AB862" s="1">
        <f>+IFERROR(VLOOKUP(AB11,'נתוני מים 2014'!$C$2:$L$188,2,0)/1000,0)</f>
        <v>0</v>
      </c>
      <c r="AC862" s="1">
        <f>+IFERROR(VLOOKUP(AC11,'נתוני מים 2014'!$C$2:$L$188,2,0)/1000,0)</f>
        <v>0</v>
      </c>
      <c r="AD862" s="1">
        <f>+IFERROR(VLOOKUP(AD11,'נתוני מים 2014'!$C$2:$L$188,2,0)/1000,0)</f>
        <v>0</v>
      </c>
      <c r="AE862" s="1">
        <f>+IFERROR(VLOOKUP(AE11,'נתוני מים 2014'!$C$2:$L$188,2,0)/1000,0)</f>
        <v>0</v>
      </c>
      <c r="AF862" s="1">
        <f>+IFERROR(VLOOKUP(AF11,'נתוני מים 2014'!$C$2:$L$188,2,0)/1000,0)</f>
        <v>0</v>
      </c>
      <c r="AG862" s="1">
        <f>+IFERROR(VLOOKUP(AG11,'נתוני מים 2014'!$C$2:$L$188,2,0)/1000,0)</f>
        <v>0</v>
      </c>
      <c r="AH862" s="1">
        <f>+IFERROR(VLOOKUP(AH11,'נתוני מים 2014'!$C$2:$L$188,2,0)/1000,0)</f>
        <v>0</v>
      </c>
      <c r="AI862" s="1">
        <f>+IFERROR(VLOOKUP(AI11,'נתוני מים 2014'!$C$2:$L$188,2,0)/1000,0)</f>
        <v>0</v>
      </c>
      <c r="AJ862" s="1">
        <f>+IFERROR(VLOOKUP(AJ11,'נתוני מים 2014'!$C$2:$L$188,2,0)/1000,0)</f>
        <v>0</v>
      </c>
      <c r="AK862" s="1">
        <f>+IFERROR(VLOOKUP(AK11,'נתוני מים 2014'!$C$2:$L$188,2,0)/1000,0)</f>
        <v>0</v>
      </c>
      <c r="AL862" s="1">
        <f>+IFERROR(VLOOKUP(AL11,'נתוני מים 2014'!$C$2:$L$188,2,0)/1000,0)</f>
        <v>0</v>
      </c>
      <c r="AM862" s="1">
        <f>+IFERROR(VLOOKUP(AM11,'נתוני מים 2014'!$C$2:$L$188,2,0)/1000,0)</f>
        <v>19.603000000000002</v>
      </c>
      <c r="AN862" s="1">
        <f>+IFERROR(VLOOKUP(AN11,'נתוני מים 2014'!$C$2:$L$188,2,0)/1000,0)</f>
        <v>11.249000000000001</v>
      </c>
      <c r="AO862" s="1">
        <f>+IFERROR(VLOOKUP(AO11,'נתוני מים 2014'!$C$2:$L$188,2,0)/1000,0)</f>
        <v>0</v>
      </c>
      <c r="AP862" s="1">
        <f>+IFERROR(VLOOKUP(AP11,'נתוני מים 2014'!$C$2:$L$188,2,0)/1000,0)</f>
        <v>0</v>
      </c>
      <c r="AQ862" s="1">
        <f>+IFERROR(VLOOKUP(AQ11,'נתוני מים 2014'!$C$2:$L$188,2,0)/1000,0)</f>
        <v>0</v>
      </c>
      <c r="AR862" s="1">
        <f>+IFERROR(VLOOKUP(AR11,'נתוני מים 2014'!$C$2:$L$188,2,0)/1000,0)</f>
        <v>0</v>
      </c>
      <c r="AS862" s="1">
        <f>+IFERROR(VLOOKUP(AS11,'נתוני מים 2014'!$C$2:$L$188,2,0)/1000,0)</f>
        <v>12.984999999999999</v>
      </c>
      <c r="AT862" s="1">
        <f>+IFERROR(VLOOKUP(AT11,'נתוני מים 2014'!$C$2:$L$188,2,0)/1000,0)</f>
        <v>0</v>
      </c>
      <c r="AU862" s="1">
        <f>+IFERROR(VLOOKUP(AU11,'נתוני מים 2014'!$C$2:$L$188,2,0)/1000,0)</f>
        <v>0</v>
      </c>
      <c r="AV862" s="1">
        <f>+IFERROR(VLOOKUP(AV11,'נתוני מים 2014'!$C$2:$L$188,2,0)/1000,0)</f>
        <v>0</v>
      </c>
      <c r="AW862" s="1">
        <f>+IFERROR(VLOOKUP(AW11,'נתוני מים 2014'!$C$2:$L$188,2,0)/1000,0)</f>
        <v>0</v>
      </c>
      <c r="AX862" s="1">
        <f>+IFERROR(VLOOKUP(AX11,'נתוני מים 2014'!$C$2:$L$188,2,0)/1000,0)</f>
        <v>24.427</v>
      </c>
      <c r="AY862" s="1">
        <f>+IFERROR(VLOOKUP(AY11,'נתוני מים 2014'!$C$2:$L$188,2,0)/1000,0)</f>
        <v>0</v>
      </c>
      <c r="AZ862" s="1">
        <f>+IFERROR(VLOOKUP(AZ11,'נתוני מים 2014'!$C$2:$L$188,2,0)/1000,0)</f>
        <v>22.027999999999999</v>
      </c>
      <c r="BA862" s="1">
        <f>+IFERROR(VLOOKUP(BA11,'נתוני מים 2014'!$C$2:$L$188,2,0)/1000,0)</f>
        <v>5.0069999999999997</v>
      </c>
      <c r="BB862" s="1">
        <f>+IFERROR(VLOOKUP(BB11,'נתוני מים 2014'!$C$2:$L$188,2,0)/1000,0)</f>
        <v>9.3710000000000004</v>
      </c>
      <c r="BC862" s="1">
        <f>+IFERROR(VLOOKUP(BC11,'נתוני מים 2014'!$C$2:$L$188,2,0)/1000,0)</f>
        <v>23.492999999999999</v>
      </c>
      <c r="BD862" s="1">
        <f>+IFERROR(VLOOKUP(BD11,'נתוני מים 2014'!$C$2:$L$188,2,0)/1000,0)</f>
        <v>0</v>
      </c>
      <c r="BE862" s="1">
        <f>+IFERROR(VLOOKUP(BE11,'נתוני מים 2014'!$C$2:$L$188,2,0)/1000,0)</f>
        <v>0</v>
      </c>
      <c r="BF862" s="1">
        <f>+IFERROR(VLOOKUP(BF11,'נתוני מים 2014'!$C$2:$L$188,2,0)/1000,0)</f>
        <v>0</v>
      </c>
    </row>
    <row r="863" spans="1:58" x14ac:dyDescent="0.2">
      <c r="B863" s="1">
        <v>5</v>
      </c>
      <c r="C863" s="1">
        <f>+IFERROR(VLOOKUP(C12,'נתוני מים 2014'!$C$2:$L$188,2,0)/1000,0)</f>
        <v>0</v>
      </c>
      <c r="D863" s="1">
        <f>+IFERROR(VLOOKUP(D12,'נתוני מים 2014'!$C$2:$L$188,2,0)/1000,0)</f>
        <v>3.4470000000000001</v>
      </c>
      <c r="E863" s="1">
        <f>+IFERROR(VLOOKUP(E12,'נתוני מים 2014'!$C$2:$L$188,2,0)/1000,0)</f>
        <v>0</v>
      </c>
      <c r="F863" s="1">
        <f>+IFERROR(VLOOKUP(F12,'נתוני מים 2014'!$C$2:$L$188,2,0)/1000,0)</f>
        <v>0</v>
      </c>
      <c r="G863" s="1">
        <f>+IFERROR(VLOOKUP(G12,'נתוני מים 2014'!$C$2:$L$188,2,0)/1000,0)</f>
        <v>0</v>
      </c>
      <c r="H863" s="1">
        <f>+IFERROR(VLOOKUP(H12,'נתוני מים 2014'!$C$2:$L$188,2,0)/1000,0)</f>
        <v>0</v>
      </c>
      <c r="I863" s="1">
        <f>+IFERROR(VLOOKUP(I12,'נתוני מים 2014'!$C$2:$L$188,2,0)/1000,0)</f>
        <v>0</v>
      </c>
      <c r="J863" s="1">
        <f>+IFERROR(VLOOKUP(J12,'נתוני מים 2014'!$C$2:$L$188,2,0)/1000,0)</f>
        <v>0</v>
      </c>
      <c r="K863" s="1">
        <f>+IFERROR(VLOOKUP(K12,'נתוני מים 2014'!$C$2:$L$188,2,0)/1000,0)</f>
        <v>0</v>
      </c>
      <c r="L863" s="1">
        <f>+IFERROR(VLOOKUP(L12,'נתוני מים 2014'!$C$2:$L$188,2,0)/1000,0)</f>
        <v>0</v>
      </c>
      <c r="M863" s="1">
        <f>+IFERROR(VLOOKUP(M12,'נתוני מים 2014'!$C$2:$L$188,2,0)/1000,0)</f>
        <v>0</v>
      </c>
      <c r="N863" s="1">
        <f>+IFERROR(VLOOKUP(N12,'נתוני מים 2014'!$C$2:$L$188,2,0)/1000,0)</f>
        <v>0</v>
      </c>
      <c r="O863" s="1">
        <f>+IFERROR(VLOOKUP(O12,'נתוני מים 2014'!$C$2:$L$188,2,0)/1000,0)</f>
        <v>0</v>
      </c>
      <c r="P863" s="1">
        <f>+IFERROR(VLOOKUP(P12,'נתוני מים 2014'!$C$2:$L$188,2,0)/1000,0)</f>
        <v>1.6539999999999999</v>
      </c>
      <c r="Q863" s="1">
        <f>+IFERROR(VLOOKUP(Q12,'נתוני מים 2014'!$C$2:$L$188,2,0)/1000,0)</f>
        <v>0</v>
      </c>
      <c r="R863" s="1">
        <f>+IFERROR(VLOOKUP(R12,'נתוני מים 2014'!$C$2:$L$188,2,0)/1000,0)</f>
        <v>0</v>
      </c>
      <c r="S863" s="1">
        <f>+IFERROR(VLOOKUP(S12,'נתוני מים 2014'!$C$2:$L$188,2,0)/1000,0)</f>
        <v>0</v>
      </c>
      <c r="T863" s="1">
        <f>+IFERROR(VLOOKUP(T12,'נתוני מים 2014'!$C$2:$L$188,2,0)/1000,0)</f>
        <v>0</v>
      </c>
      <c r="U863" s="1">
        <f>+IFERROR(VLOOKUP(U12,'נתוני מים 2014'!$C$2:$L$188,2,0)/1000,0)</f>
        <v>0</v>
      </c>
      <c r="V863" s="1">
        <f>+IFERROR(VLOOKUP(V12,'נתוני מים 2014'!$C$2:$L$188,2,0)/1000,0)</f>
        <v>12.266999999999999</v>
      </c>
      <c r="W863" s="1">
        <f>+IFERROR(VLOOKUP(W12,'נתוני מים 2014'!$C$2:$L$188,2,0)/1000,0)</f>
        <v>2</v>
      </c>
      <c r="X863" s="1">
        <f>+IFERROR(VLOOKUP(X12,'נתוני מים 2014'!$C$2:$L$188,2,0)/1000,0)</f>
        <v>13.403</v>
      </c>
      <c r="Y863" s="1">
        <f>+IFERROR(VLOOKUP(Y12,'נתוני מים 2014'!$C$2:$L$188,2,0)/1000,0)</f>
        <v>0</v>
      </c>
      <c r="Z863" s="1">
        <f>+IFERROR(VLOOKUP(Z12,'נתוני מים 2014'!$C$2:$L$188,2,0)/1000,0)</f>
        <v>0</v>
      </c>
      <c r="AA863" s="1">
        <f>+IFERROR(VLOOKUP(AA12,'נתוני מים 2014'!$C$2:$L$188,2,0)/1000,0)</f>
        <v>0</v>
      </c>
      <c r="AB863" s="1">
        <f>+IFERROR(VLOOKUP(AB12,'נתוני מים 2014'!$C$2:$L$188,2,0)/1000,0)</f>
        <v>0</v>
      </c>
      <c r="AC863" s="1">
        <f>+IFERROR(VLOOKUP(AC12,'נתוני מים 2014'!$C$2:$L$188,2,0)/1000,0)</f>
        <v>0</v>
      </c>
      <c r="AD863" s="1">
        <f>+IFERROR(VLOOKUP(AD12,'נתוני מים 2014'!$C$2:$L$188,2,0)/1000,0)</f>
        <v>0</v>
      </c>
      <c r="AE863" s="1">
        <f>+IFERROR(VLOOKUP(AE12,'נתוני מים 2014'!$C$2:$L$188,2,0)/1000,0)</f>
        <v>0</v>
      </c>
      <c r="AF863" s="1">
        <f>+IFERROR(VLOOKUP(AF12,'נתוני מים 2014'!$C$2:$L$188,2,0)/1000,0)</f>
        <v>0</v>
      </c>
      <c r="AG863" s="1">
        <f>+IFERROR(VLOOKUP(AG12,'נתוני מים 2014'!$C$2:$L$188,2,0)/1000,0)</f>
        <v>0</v>
      </c>
      <c r="AH863" s="1">
        <f>+IFERROR(VLOOKUP(AH12,'נתוני מים 2014'!$C$2:$L$188,2,0)/1000,0)</f>
        <v>0</v>
      </c>
      <c r="AI863" s="1">
        <f>+IFERROR(VLOOKUP(AI12,'נתוני מים 2014'!$C$2:$L$188,2,0)/1000,0)</f>
        <v>0</v>
      </c>
      <c r="AJ863" s="1">
        <f>+IFERROR(VLOOKUP(AJ12,'נתוני מים 2014'!$C$2:$L$188,2,0)/1000,0)</f>
        <v>0</v>
      </c>
      <c r="AK863" s="1">
        <f>+IFERROR(VLOOKUP(AK12,'נתוני מים 2014'!$C$2:$L$188,2,0)/1000,0)</f>
        <v>0</v>
      </c>
      <c r="AL863" s="1">
        <f>+IFERROR(VLOOKUP(AL12,'נתוני מים 2014'!$C$2:$L$188,2,0)/1000,0)</f>
        <v>0</v>
      </c>
      <c r="AM863" s="1">
        <f>+IFERROR(VLOOKUP(AM12,'נתוני מים 2014'!$C$2:$L$188,2,0)/1000,0)</f>
        <v>11.673999999999999</v>
      </c>
      <c r="AN863" s="1">
        <f>+IFERROR(VLOOKUP(AN12,'נתוני מים 2014'!$C$2:$L$188,2,0)/1000,0)</f>
        <v>18.79</v>
      </c>
      <c r="AO863" s="1">
        <f>+IFERROR(VLOOKUP(AO12,'נתוני מים 2014'!$C$2:$L$188,2,0)/1000,0)</f>
        <v>0</v>
      </c>
      <c r="AP863" s="1">
        <f>+IFERROR(VLOOKUP(AP12,'נתוני מים 2014'!$C$2:$L$188,2,0)/1000,0)</f>
        <v>0</v>
      </c>
      <c r="AQ863" s="1">
        <f>+IFERROR(VLOOKUP(AQ12,'נתוני מים 2014'!$C$2:$L$188,2,0)/1000,0)</f>
        <v>0</v>
      </c>
      <c r="AR863" s="1">
        <f>+IFERROR(VLOOKUP(AR12,'נתוני מים 2014'!$C$2:$L$188,2,0)/1000,0)</f>
        <v>0</v>
      </c>
      <c r="AS863" s="1">
        <f>+IFERROR(VLOOKUP(AS12,'נתוני מים 2014'!$C$2:$L$188,2,0)/1000,0)</f>
        <v>31.672999999999998</v>
      </c>
      <c r="AT863" s="1">
        <f>+IFERROR(VLOOKUP(AT12,'נתוני מים 2014'!$C$2:$L$188,2,0)/1000,0)</f>
        <v>0</v>
      </c>
      <c r="AU863" s="1">
        <f>+IFERROR(VLOOKUP(AU12,'נתוני מים 2014'!$C$2:$L$188,2,0)/1000,0)</f>
        <v>0</v>
      </c>
      <c r="AV863" s="1">
        <f>+IFERROR(VLOOKUP(AV12,'נתוני מים 2014'!$C$2:$L$188,2,0)/1000,0)</f>
        <v>0</v>
      </c>
      <c r="AW863" s="1">
        <f>+IFERROR(VLOOKUP(AW12,'נתוני מים 2014'!$C$2:$L$188,2,0)/1000,0)</f>
        <v>0</v>
      </c>
      <c r="AX863" s="1">
        <f>+IFERROR(VLOOKUP(AX12,'נתוני מים 2014'!$C$2:$L$188,2,0)/1000,0)</f>
        <v>0</v>
      </c>
      <c r="AY863" s="1">
        <f>+IFERROR(VLOOKUP(AY12,'נתוני מים 2014'!$C$2:$L$188,2,0)/1000,0)</f>
        <v>0</v>
      </c>
      <c r="AZ863" s="1">
        <f>+IFERROR(VLOOKUP(AZ12,'נתוני מים 2014'!$C$2:$L$188,2,0)/1000,0)</f>
        <v>0</v>
      </c>
      <c r="BA863" s="1">
        <f>+IFERROR(VLOOKUP(BA12,'נתוני מים 2014'!$C$2:$L$188,2,0)/1000,0)</f>
        <v>0</v>
      </c>
      <c r="BB863" s="1">
        <f>+IFERROR(VLOOKUP(BB12,'נתוני מים 2014'!$C$2:$L$188,2,0)/1000,0)</f>
        <v>16.047999999999998</v>
      </c>
      <c r="BC863" s="1">
        <f>+IFERROR(VLOOKUP(BC12,'נתוני מים 2014'!$C$2:$L$188,2,0)/1000,0)</f>
        <v>28.556000000000001</v>
      </c>
      <c r="BD863" s="1">
        <f>+IFERROR(VLOOKUP(BD12,'נתוני מים 2014'!$C$2:$L$188,2,0)/1000,0)</f>
        <v>0</v>
      </c>
      <c r="BE863" s="1">
        <f>+IFERROR(VLOOKUP(BE12,'נתוני מים 2014'!$C$2:$L$188,2,0)/1000,0)</f>
        <v>0</v>
      </c>
      <c r="BF863" s="1">
        <f>+IFERROR(VLOOKUP(BF12,'נתוני מים 2014'!$C$2:$L$188,2,0)/1000,0)</f>
        <v>0</v>
      </c>
    </row>
    <row r="864" spans="1:58" x14ac:dyDescent="0.2">
      <c r="B864" s="1">
        <v>6</v>
      </c>
      <c r="C864" s="1">
        <f>+IFERROR(VLOOKUP(C13,'נתוני מים 2014'!$C$2:$L$188,2,0)/1000,0)</f>
        <v>0</v>
      </c>
      <c r="D864" s="1">
        <f>+IFERROR(VLOOKUP(D13,'נתוני מים 2014'!$C$2:$L$188,2,0)/1000,0)</f>
        <v>1.92</v>
      </c>
      <c r="E864" s="1">
        <f>+IFERROR(VLOOKUP(E13,'נתוני מים 2014'!$C$2:$L$188,2,0)/1000,0)</f>
        <v>0</v>
      </c>
      <c r="F864" s="1">
        <f>+IFERROR(VLOOKUP(F13,'נתוני מים 2014'!$C$2:$L$188,2,0)/1000,0)</f>
        <v>0</v>
      </c>
      <c r="G864" s="1">
        <f>+IFERROR(VLOOKUP(G13,'נתוני מים 2014'!$C$2:$L$188,2,0)/1000,0)</f>
        <v>0</v>
      </c>
      <c r="H864" s="1">
        <f>+IFERROR(VLOOKUP(H13,'נתוני מים 2014'!$C$2:$L$188,2,0)/1000,0)</f>
        <v>0</v>
      </c>
      <c r="I864" s="1">
        <f>+IFERROR(VLOOKUP(I13,'נתוני מים 2014'!$C$2:$L$188,2,0)/1000,0)</f>
        <v>0</v>
      </c>
      <c r="J864" s="1">
        <f>+IFERROR(VLOOKUP(J13,'נתוני מים 2014'!$C$2:$L$188,2,0)/1000,0)</f>
        <v>0</v>
      </c>
      <c r="K864" s="1">
        <f>+IFERROR(VLOOKUP(K13,'נתוני מים 2014'!$C$2:$L$188,2,0)/1000,0)</f>
        <v>0</v>
      </c>
      <c r="L864" s="1">
        <f>+IFERROR(VLOOKUP(L13,'נתוני מים 2014'!$C$2:$L$188,2,0)/1000,0)</f>
        <v>0</v>
      </c>
      <c r="M864" s="1">
        <f>+IFERROR(VLOOKUP(M13,'נתוני מים 2014'!$C$2:$L$188,2,0)/1000,0)</f>
        <v>0</v>
      </c>
      <c r="N864" s="1">
        <f>+IFERROR(VLOOKUP(N13,'נתוני מים 2014'!$C$2:$L$188,2,0)/1000,0)</f>
        <v>0</v>
      </c>
      <c r="O864" s="1">
        <f>+IFERROR(VLOOKUP(O13,'נתוני מים 2014'!$C$2:$L$188,2,0)/1000,0)</f>
        <v>0</v>
      </c>
      <c r="P864" s="1">
        <f>+IFERROR(VLOOKUP(P13,'נתוני מים 2014'!$C$2:$L$188,2,0)/1000,0)</f>
        <v>5.609</v>
      </c>
      <c r="Q864" s="1">
        <f>+IFERROR(VLOOKUP(Q13,'נתוני מים 2014'!$C$2:$L$188,2,0)/1000,0)</f>
        <v>0</v>
      </c>
      <c r="R864" s="1">
        <f>+IFERROR(VLOOKUP(R13,'נתוני מים 2014'!$C$2:$L$188,2,0)/1000,0)</f>
        <v>0</v>
      </c>
      <c r="S864" s="1">
        <f>+IFERROR(VLOOKUP(S13,'נתוני מים 2014'!$C$2:$L$188,2,0)/1000,0)</f>
        <v>0</v>
      </c>
      <c r="T864" s="1">
        <f>+IFERROR(VLOOKUP(T13,'נתוני מים 2014'!$C$2:$L$188,2,0)/1000,0)</f>
        <v>0</v>
      </c>
      <c r="U864" s="1">
        <f>+IFERROR(VLOOKUP(U13,'נתוני מים 2014'!$C$2:$L$188,2,0)/1000,0)</f>
        <v>0</v>
      </c>
      <c r="V864" s="1">
        <f>+IFERROR(VLOOKUP(V13,'נתוני מים 2014'!$C$2:$L$188,2,0)/1000,0)</f>
        <v>7.6669999999999998</v>
      </c>
      <c r="W864" s="1">
        <f>+IFERROR(VLOOKUP(W13,'נתוני מים 2014'!$C$2:$L$188,2,0)/1000,0)</f>
        <v>38.42</v>
      </c>
      <c r="X864" s="1">
        <f>+IFERROR(VLOOKUP(X13,'נתוני מים 2014'!$C$2:$L$188,2,0)/1000,0)</f>
        <v>0</v>
      </c>
      <c r="Y864" s="1">
        <f>+IFERROR(VLOOKUP(Y13,'נתוני מים 2014'!$C$2:$L$188,2,0)/1000,0)</f>
        <v>0</v>
      </c>
      <c r="Z864" s="1">
        <f>+IFERROR(VLOOKUP(Z13,'נתוני מים 2014'!$C$2:$L$188,2,0)/1000,0)</f>
        <v>0</v>
      </c>
      <c r="AA864" s="1">
        <f>+IFERROR(VLOOKUP(AA13,'נתוני מים 2014'!$C$2:$L$188,2,0)/1000,0)</f>
        <v>0</v>
      </c>
      <c r="AB864" s="1">
        <f>+IFERROR(VLOOKUP(AB13,'נתוני מים 2014'!$C$2:$L$188,2,0)/1000,0)</f>
        <v>0</v>
      </c>
      <c r="AC864" s="1">
        <f>+IFERROR(VLOOKUP(AC13,'נתוני מים 2014'!$C$2:$L$188,2,0)/1000,0)</f>
        <v>0</v>
      </c>
      <c r="AD864" s="1">
        <f>+IFERROR(VLOOKUP(AD13,'נתוני מים 2014'!$C$2:$L$188,2,0)/1000,0)</f>
        <v>0</v>
      </c>
      <c r="AE864" s="1">
        <f>+IFERROR(VLOOKUP(AE13,'נתוני מים 2014'!$C$2:$L$188,2,0)/1000,0)</f>
        <v>0</v>
      </c>
      <c r="AF864" s="1">
        <f>+IFERROR(VLOOKUP(AF13,'נתוני מים 2014'!$C$2:$L$188,2,0)/1000,0)</f>
        <v>0</v>
      </c>
      <c r="AG864" s="1">
        <f>+IFERROR(VLOOKUP(AG13,'נתוני מים 2014'!$C$2:$L$188,2,0)/1000,0)</f>
        <v>0</v>
      </c>
      <c r="AH864" s="1">
        <f>+IFERROR(VLOOKUP(AH13,'נתוני מים 2014'!$C$2:$L$188,2,0)/1000,0)</f>
        <v>0</v>
      </c>
      <c r="AI864" s="1">
        <f>+IFERROR(VLOOKUP(AI13,'נתוני מים 2014'!$C$2:$L$188,2,0)/1000,0)</f>
        <v>0</v>
      </c>
      <c r="AJ864" s="1">
        <f>+IFERROR(VLOOKUP(AJ13,'נתוני מים 2014'!$C$2:$L$188,2,0)/1000,0)</f>
        <v>0</v>
      </c>
      <c r="AK864" s="1">
        <f>+IFERROR(VLOOKUP(AK13,'נתוני מים 2014'!$C$2:$L$188,2,0)/1000,0)</f>
        <v>0</v>
      </c>
      <c r="AL864" s="1">
        <f>+IFERROR(VLOOKUP(AL13,'נתוני מים 2014'!$C$2:$L$188,2,0)/1000,0)</f>
        <v>0</v>
      </c>
      <c r="AM864" s="1">
        <f>+IFERROR(VLOOKUP(AM13,'נתוני מים 2014'!$C$2:$L$188,2,0)/1000,0)</f>
        <v>0</v>
      </c>
      <c r="AN864" s="1">
        <f>+IFERROR(VLOOKUP(AN13,'נתוני מים 2014'!$C$2:$L$188,2,0)/1000,0)</f>
        <v>8.7539999999999996</v>
      </c>
      <c r="AO864" s="1">
        <f>+IFERROR(VLOOKUP(AO13,'נתוני מים 2014'!$C$2:$L$188,2,0)/1000,0)</f>
        <v>0</v>
      </c>
      <c r="AP864" s="1">
        <f>+IFERROR(VLOOKUP(AP13,'נתוני מים 2014'!$C$2:$L$188,2,0)/1000,0)</f>
        <v>0</v>
      </c>
      <c r="AQ864" s="1">
        <f>+IFERROR(VLOOKUP(AQ13,'נתוני מים 2014'!$C$2:$L$188,2,0)/1000,0)</f>
        <v>0</v>
      </c>
      <c r="AR864" s="1">
        <f>+IFERROR(VLOOKUP(AR13,'נתוני מים 2014'!$C$2:$L$188,2,0)/1000,0)</f>
        <v>0</v>
      </c>
      <c r="AS864" s="1">
        <f>+IFERROR(VLOOKUP(AS13,'נתוני מים 2014'!$C$2:$L$188,2,0)/1000,0)</f>
        <v>7.3209999999999997</v>
      </c>
      <c r="AT864" s="1">
        <f>+IFERROR(VLOOKUP(AT13,'נתוני מים 2014'!$C$2:$L$188,2,0)/1000,0)</f>
        <v>0</v>
      </c>
      <c r="AU864" s="1">
        <f>+IFERROR(VLOOKUP(AU13,'נתוני מים 2014'!$C$2:$L$188,2,0)/1000,0)</f>
        <v>0</v>
      </c>
      <c r="AV864" s="1">
        <f>+IFERROR(VLOOKUP(AV13,'נתוני מים 2014'!$C$2:$L$188,2,0)/1000,0)</f>
        <v>0</v>
      </c>
      <c r="AW864" s="1">
        <f>+IFERROR(VLOOKUP(AW13,'נתוני מים 2014'!$C$2:$L$188,2,0)/1000,0)</f>
        <v>0</v>
      </c>
      <c r="AX864" s="1">
        <f>+IFERROR(VLOOKUP(AX13,'נתוני מים 2014'!$C$2:$L$188,2,0)/1000,0)</f>
        <v>0</v>
      </c>
      <c r="AY864" s="1">
        <f>+IFERROR(VLOOKUP(AY13,'נתוני מים 2014'!$C$2:$L$188,2,0)/1000,0)</f>
        <v>0</v>
      </c>
      <c r="AZ864" s="1">
        <f>+IFERROR(VLOOKUP(AZ13,'נתוני מים 2014'!$C$2:$L$188,2,0)/1000,0)</f>
        <v>0</v>
      </c>
      <c r="BA864" s="1">
        <f>+IFERROR(VLOOKUP(BA13,'נתוני מים 2014'!$C$2:$L$188,2,0)/1000,0)</f>
        <v>0</v>
      </c>
      <c r="BB864" s="1">
        <f>+IFERROR(VLOOKUP(BB13,'נתוני מים 2014'!$C$2:$L$188,2,0)/1000,0)</f>
        <v>3.5960000000000001</v>
      </c>
      <c r="BC864" s="1">
        <f>+IFERROR(VLOOKUP(BC13,'נתוני מים 2014'!$C$2:$L$188,2,0)/1000,0)</f>
        <v>7.7510000000000003</v>
      </c>
      <c r="BD864" s="1">
        <f>+IFERROR(VLOOKUP(BD13,'נתוני מים 2014'!$C$2:$L$188,2,0)/1000,0)</f>
        <v>0</v>
      </c>
      <c r="BE864" s="1">
        <f>+IFERROR(VLOOKUP(BE13,'נתוני מים 2014'!$C$2:$L$188,2,0)/1000,0)</f>
        <v>0</v>
      </c>
      <c r="BF864" s="1">
        <f>+IFERROR(VLOOKUP(BF13,'נתוני מים 2014'!$C$2:$L$188,2,0)/1000,0)</f>
        <v>0</v>
      </c>
    </row>
    <row r="865" spans="2:58" x14ac:dyDescent="0.2">
      <c r="B865" s="1">
        <v>7</v>
      </c>
      <c r="C865" s="1">
        <f>+IFERROR(VLOOKUP(C14,'נתוני מים 2014'!$C$2:$L$188,2,0)/1000,0)</f>
        <v>0</v>
      </c>
      <c r="D865" s="1">
        <f>+IFERROR(VLOOKUP(D14,'נתוני מים 2014'!$C$2:$L$188,2,0)/1000,0)</f>
        <v>6.2380000000000004</v>
      </c>
      <c r="E865" s="1">
        <f>+IFERROR(VLOOKUP(E14,'נתוני מים 2014'!$C$2:$L$188,2,0)/1000,0)</f>
        <v>0</v>
      </c>
      <c r="F865" s="1">
        <f>+IFERROR(VLOOKUP(F14,'נתוני מים 2014'!$C$2:$L$188,2,0)/1000,0)</f>
        <v>0</v>
      </c>
      <c r="G865" s="1">
        <f>+IFERROR(VLOOKUP(G14,'נתוני מים 2014'!$C$2:$L$188,2,0)/1000,0)</f>
        <v>0</v>
      </c>
      <c r="H865" s="1">
        <f>+IFERROR(VLOOKUP(H14,'נתוני מים 2014'!$C$2:$L$188,2,0)/1000,0)</f>
        <v>0</v>
      </c>
      <c r="I865" s="1">
        <f>+IFERROR(VLOOKUP(I14,'נתוני מים 2014'!$C$2:$L$188,2,0)/1000,0)</f>
        <v>0</v>
      </c>
      <c r="J865" s="1">
        <f>+IFERROR(VLOOKUP(J14,'נתוני מים 2014'!$C$2:$L$188,2,0)/1000,0)</f>
        <v>0</v>
      </c>
      <c r="K865" s="1">
        <f>+IFERROR(VLOOKUP(K14,'נתוני מים 2014'!$C$2:$L$188,2,0)/1000,0)</f>
        <v>0</v>
      </c>
      <c r="L865" s="1">
        <f>+IFERROR(VLOOKUP(L14,'נתוני מים 2014'!$C$2:$L$188,2,0)/1000,0)</f>
        <v>0</v>
      </c>
      <c r="M865" s="1">
        <f>+IFERROR(VLOOKUP(M14,'נתוני מים 2014'!$C$2:$L$188,2,0)/1000,0)</f>
        <v>0</v>
      </c>
      <c r="N865" s="1">
        <f>+IFERROR(VLOOKUP(N14,'נתוני מים 2014'!$C$2:$L$188,2,0)/1000,0)</f>
        <v>0</v>
      </c>
      <c r="O865" s="1">
        <f>+IFERROR(VLOOKUP(O14,'נתוני מים 2014'!$C$2:$L$188,2,0)/1000,0)</f>
        <v>0</v>
      </c>
      <c r="P865" s="1">
        <f>+IFERROR(VLOOKUP(P14,'נתוני מים 2014'!$C$2:$L$188,2,0)/1000,0)</f>
        <v>5.96</v>
      </c>
      <c r="Q865" s="1">
        <f>+IFERROR(VLOOKUP(Q14,'נתוני מים 2014'!$C$2:$L$188,2,0)/1000,0)</f>
        <v>0</v>
      </c>
      <c r="R865" s="1">
        <f>+IFERROR(VLOOKUP(R14,'נתוני מים 2014'!$C$2:$L$188,2,0)/1000,0)</f>
        <v>0</v>
      </c>
      <c r="S865" s="1">
        <f>+IFERROR(VLOOKUP(S14,'נתוני מים 2014'!$C$2:$L$188,2,0)/1000,0)</f>
        <v>0</v>
      </c>
      <c r="T865" s="1">
        <f>+IFERROR(VLOOKUP(T14,'נתוני מים 2014'!$C$2:$L$188,2,0)/1000,0)</f>
        <v>0</v>
      </c>
      <c r="U865" s="1">
        <f>+IFERROR(VLOOKUP(U14,'נתוני מים 2014'!$C$2:$L$188,2,0)/1000,0)</f>
        <v>0</v>
      </c>
      <c r="V865" s="1">
        <f>+IFERROR(VLOOKUP(V14,'נתוני מים 2014'!$C$2:$L$188,2,0)/1000,0)</f>
        <v>5.5679999999999996</v>
      </c>
      <c r="W865" s="1">
        <f>+IFERROR(VLOOKUP(W14,'נתוני מים 2014'!$C$2:$L$188,2,0)/1000,0)</f>
        <v>6.375</v>
      </c>
      <c r="X865" s="1">
        <f>+IFERROR(VLOOKUP(X14,'נתוני מים 2014'!$C$2:$L$188,2,0)/1000,0)</f>
        <v>0</v>
      </c>
      <c r="Y865" s="1">
        <f>+IFERROR(VLOOKUP(Y14,'נתוני מים 2014'!$C$2:$L$188,2,0)/1000,0)</f>
        <v>0</v>
      </c>
      <c r="Z865" s="1">
        <f>+IFERROR(VLOOKUP(Z14,'נתוני מים 2014'!$C$2:$L$188,2,0)/1000,0)</f>
        <v>0</v>
      </c>
      <c r="AA865" s="1">
        <f>+IFERROR(VLOOKUP(AA14,'נתוני מים 2014'!$C$2:$L$188,2,0)/1000,0)</f>
        <v>0</v>
      </c>
      <c r="AB865" s="1">
        <f>+IFERROR(VLOOKUP(AB14,'נתוני מים 2014'!$C$2:$L$188,2,0)/1000,0)</f>
        <v>0</v>
      </c>
      <c r="AC865" s="1">
        <f>+IFERROR(VLOOKUP(AC14,'נתוני מים 2014'!$C$2:$L$188,2,0)/1000,0)</f>
        <v>0</v>
      </c>
      <c r="AD865" s="1">
        <f>+IFERROR(VLOOKUP(AD14,'נתוני מים 2014'!$C$2:$L$188,2,0)/1000,0)</f>
        <v>0</v>
      </c>
      <c r="AE865" s="1">
        <f>+IFERROR(VLOOKUP(AE14,'נתוני מים 2014'!$C$2:$L$188,2,0)/1000,0)</f>
        <v>0</v>
      </c>
      <c r="AF865" s="1">
        <f>+IFERROR(VLOOKUP(AF14,'נתוני מים 2014'!$C$2:$L$188,2,0)/1000,0)</f>
        <v>0</v>
      </c>
      <c r="AG865" s="1">
        <f>+IFERROR(VLOOKUP(AG14,'נתוני מים 2014'!$C$2:$L$188,2,0)/1000,0)</f>
        <v>0</v>
      </c>
      <c r="AH865" s="1">
        <f>+IFERROR(VLOOKUP(AH14,'נתוני מים 2014'!$C$2:$L$188,2,0)/1000,0)</f>
        <v>0</v>
      </c>
      <c r="AI865" s="1">
        <f>+IFERROR(VLOOKUP(AI14,'נתוני מים 2014'!$C$2:$L$188,2,0)/1000,0)</f>
        <v>0</v>
      </c>
      <c r="AJ865" s="1">
        <f>+IFERROR(VLOOKUP(AJ14,'נתוני מים 2014'!$C$2:$L$188,2,0)/1000,0)</f>
        <v>0</v>
      </c>
      <c r="AK865" s="1">
        <f>+IFERROR(VLOOKUP(AK14,'נתוני מים 2014'!$C$2:$L$188,2,0)/1000,0)</f>
        <v>0</v>
      </c>
      <c r="AL865" s="1">
        <f>+IFERROR(VLOOKUP(AL14,'נתוני מים 2014'!$C$2:$L$188,2,0)/1000,0)</f>
        <v>0</v>
      </c>
      <c r="AM865" s="1">
        <f>+IFERROR(VLOOKUP(AM14,'נתוני מים 2014'!$C$2:$L$188,2,0)/1000,0)</f>
        <v>0</v>
      </c>
      <c r="AN865" s="1">
        <f>+IFERROR(VLOOKUP(AN14,'נתוני מים 2014'!$C$2:$L$188,2,0)/1000,0)</f>
        <v>0</v>
      </c>
      <c r="AO865" s="1">
        <f>+IFERROR(VLOOKUP(AO14,'נתוני מים 2014'!$C$2:$L$188,2,0)/1000,0)</f>
        <v>0</v>
      </c>
      <c r="AP865" s="1">
        <f>+IFERROR(VLOOKUP(AP14,'נתוני מים 2014'!$C$2:$L$188,2,0)/1000,0)</f>
        <v>0</v>
      </c>
      <c r="AQ865" s="1">
        <f>+IFERROR(VLOOKUP(AQ14,'נתוני מים 2014'!$C$2:$L$188,2,0)/1000,0)</f>
        <v>0</v>
      </c>
      <c r="AR865" s="1">
        <f>+IFERROR(VLOOKUP(AR14,'נתוני מים 2014'!$C$2:$L$188,2,0)/1000,0)</f>
        <v>0</v>
      </c>
      <c r="AS865" s="1">
        <f>+IFERROR(VLOOKUP(AS14,'נתוני מים 2014'!$C$2:$L$188,2,0)/1000,0)</f>
        <v>6.48</v>
      </c>
      <c r="AT865" s="1">
        <f>+IFERROR(VLOOKUP(AT14,'נתוני מים 2014'!$C$2:$L$188,2,0)/1000,0)</f>
        <v>0</v>
      </c>
      <c r="AU865" s="1">
        <f>+IFERROR(VLOOKUP(AU14,'נתוני מים 2014'!$C$2:$L$188,2,0)/1000,0)</f>
        <v>0</v>
      </c>
      <c r="AV865" s="1">
        <f>+IFERROR(VLOOKUP(AV14,'נתוני מים 2014'!$C$2:$L$188,2,0)/1000,0)</f>
        <v>0</v>
      </c>
      <c r="AW865" s="1">
        <f>+IFERROR(VLOOKUP(AW14,'נתוני מים 2014'!$C$2:$L$188,2,0)/1000,0)</f>
        <v>0</v>
      </c>
      <c r="AX865" s="1">
        <f>+IFERROR(VLOOKUP(AX14,'נתוני מים 2014'!$C$2:$L$188,2,0)/1000,0)</f>
        <v>0</v>
      </c>
      <c r="AY865" s="1">
        <f>+IFERROR(VLOOKUP(AY14,'נתוני מים 2014'!$C$2:$L$188,2,0)/1000,0)</f>
        <v>0</v>
      </c>
      <c r="AZ865" s="1">
        <f>+IFERROR(VLOOKUP(AZ14,'נתוני מים 2014'!$C$2:$L$188,2,0)/1000,0)</f>
        <v>0</v>
      </c>
      <c r="BA865" s="1">
        <f>+IFERROR(VLOOKUP(BA14,'נתוני מים 2014'!$C$2:$L$188,2,0)/1000,0)</f>
        <v>0</v>
      </c>
      <c r="BB865" s="1">
        <f>+IFERROR(VLOOKUP(BB14,'נתוני מים 2014'!$C$2:$L$188,2,0)/1000,0)</f>
        <v>6.1790000000000003</v>
      </c>
      <c r="BC865" s="1">
        <f>+IFERROR(VLOOKUP(BC14,'נתוני מים 2014'!$C$2:$L$188,2,0)/1000,0)</f>
        <v>14.505000000000001</v>
      </c>
      <c r="BD865" s="1">
        <f>+IFERROR(VLOOKUP(BD14,'נתוני מים 2014'!$C$2:$L$188,2,0)/1000,0)</f>
        <v>0</v>
      </c>
      <c r="BE865" s="1">
        <f>+IFERROR(VLOOKUP(BE14,'נתוני מים 2014'!$C$2:$L$188,2,0)/1000,0)</f>
        <v>0</v>
      </c>
      <c r="BF865" s="1">
        <f>+IFERROR(VLOOKUP(BF14,'נתוני מים 2014'!$C$2:$L$188,2,0)/1000,0)</f>
        <v>0</v>
      </c>
    </row>
    <row r="866" spans="2:58" x14ac:dyDescent="0.2">
      <c r="B866" s="1">
        <v>8</v>
      </c>
      <c r="C866" s="1">
        <f>+IFERROR(VLOOKUP(C15,'נתוני מים 2014'!$C$2:$L$188,2,0)/1000,0)</f>
        <v>0</v>
      </c>
      <c r="D866" s="1">
        <f>+IFERROR(VLOOKUP(D15,'נתוני מים 2014'!$C$2:$L$188,2,0)/1000,0)</f>
        <v>0</v>
      </c>
      <c r="E866" s="1">
        <f>+IFERROR(VLOOKUP(E15,'נתוני מים 2014'!$C$2:$L$188,2,0)/1000,0)</f>
        <v>0</v>
      </c>
      <c r="F866" s="1">
        <f>+IFERROR(VLOOKUP(F15,'נתוני מים 2014'!$C$2:$L$188,2,0)/1000,0)</f>
        <v>0</v>
      </c>
      <c r="G866" s="1">
        <f>+IFERROR(VLOOKUP(G15,'נתוני מים 2014'!$C$2:$L$188,2,0)/1000,0)</f>
        <v>0</v>
      </c>
      <c r="H866" s="1">
        <f>+IFERROR(VLOOKUP(H15,'נתוני מים 2014'!$C$2:$L$188,2,0)/1000,0)</f>
        <v>0</v>
      </c>
      <c r="I866" s="1">
        <f>+IFERROR(VLOOKUP(I15,'נתוני מים 2014'!$C$2:$L$188,2,0)/1000,0)</f>
        <v>0</v>
      </c>
      <c r="J866" s="1">
        <f>+IFERROR(VLOOKUP(J15,'נתוני מים 2014'!$C$2:$L$188,2,0)/1000,0)</f>
        <v>0</v>
      </c>
      <c r="K866" s="1">
        <f>+IFERROR(VLOOKUP(K15,'נתוני מים 2014'!$C$2:$L$188,2,0)/1000,0)</f>
        <v>0</v>
      </c>
      <c r="L866" s="1">
        <f>+IFERROR(VLOOKUP(L15,'נתוני מים 2014'!$C$2:$L$188,2,0)/1000,0)</f>
        <v>0</v>
      </c>
      <c r="M866" s="1">
        <f>+IFERROR(VLOOKUP(M15,'נתוני מים 2014'!$C$2:$L$188,2,0)/1000,0)</f>
        <v>0</v>
      </c>
      <c r="N866" s="1">
        <f>+IFERROR(VLOOKUP(N15,'נתוני מים 2014'!$C$2:$L$188,2,0)/1000,0)</f>
        <v>0</v>
      </c>
      <c r="O866" s="1">
        <f>+IFERROR(VLOOKUP(O15,'נתוני מים 2014'!$C$2:$L$188,2,0)/1000,0)</f>
        <v>0</v>
      </c>
      <c r="P866" s="1">
        <f>+IFERROR(VLOOKUP(P15,'נתוני מים 2014'!$C$2:$L$188,2,0)/1000,0)</f>
        <v>2.9769999999999999</v>
      </c>
      <c r="Q866" s="1">
        <f>+IFERROR(VLOOKUP(Q15,'נתוני מים 2014'!$C$2:$L$188,2,0)/1000,0)</f>
        <v>0</v>
      </c>
      <c r="R866" s="1">
        <f>+IFERROR(VLOOKUP(R15,'נתוני מים 2014'!$C$2:$L$188,2,0)/1000,0)</f>
        <v>0</v>
      </c>
      <c r="S866" s="1">
        <f>+IFERROR(VLOOKUP(S15,'נתוני מים 2014'!$C$2:$L$188,2,0)/1000,0)</f>
        <v>0</v>
      </c>
      <c r="T866" s="1">
        <f>+IFERROR(VLOOKUP(T15,'נתוני מים 2014'!$C$2:$L$188,2,0)/1000,0)</f>
        <v>0</v>
      </c>
      <c r="U866" s="1">
        <f>+IFERROR(VLOOKUP(U15,'נתוני מים 2014'!$C$2:$L$188,2,0)/1000,0)</f>
        <v>0</v>
      </c>
      <c r="V866" s="1">
        <f>+IFERROR(VLOOKUP(V15,'נתוני מים 2014'!$C$2:$L$188,2,0)/1000,0)</f>
        <v>0</v>
      </c>
      <c r="W866" s="1">
        <f>+IFERROR(VLOOKUP(W15,'נתוני מים 2014'!$C$2:$L$188,2,0)/1000,0)</f>
        <v>0</v>
      </c>
      <c r="X866" s="1">
        <f>+IFERROR(VLOOKUP(X15,'נתוני מים 2014'!$C$2:$L$188,2,0)/1000,0)</f>
        <v>0</v>
      </c>
      <c r="Y866" s="1">
        <f>+IFERROR(VLOOKUP(Y15,'נתוני מים 2014'!$C$2:$L$188,2,0)/1000,0)</f>
        <v>0</v>
      </c>
      <c r="Z866" s="1">
        <f>+IFERROR(VLOOKUP(Z15,'נתוני מים 2014'!$C$2:$L$188,2,0)/1000,0)</f>
        <v>0</v>
      </c>
      <c r="AA866" s="1">
        <f>+IFERROR(VLOOKUP(AA15,'נתוני מים 2014'!$C$2:$L$188,2,0)/1000,0)</f>
        <v>0</v>
      </c>
      <c r="AB866" s="1">
        <f>+IFERROR(VLOOKUP(AB15,'נתוני מים 2014'!$C$2:$L$188,2,0)/1000,0)</f>
        <v>0</v>
      </c>
      <c r="AC866" s="1">
        <f>+IFERROR(VLOOKUP(AC15,'נתוני מים 2014'!$C$2:$L$188,2,0)/1000,0)</f>
        <v>0</v>
      </c>
      <c r="AD866" s="1">
        <f>+IFERROR(VLOOKUP(AD15,'נתוני מים 2014'!$C$2:$L$188,2,0)/1000,0)</f>
        <v>0</v>
      </c>
      <c r="AE866" s="1">
        <f>+IFERROR(VLOOKUP(AE15,'נתוני מים 2014'!$C$2:$L$188,2,0)/1000,0)</f>
        <v>0</v>
      </c>
      <c r="AF866" s="1">
        <f>+IFERROR(VLOOKUP(AF15,'נתוני מים 2014'!$C$2:$L$188,2,0)/1000,0)</f>
        <v>0</v>
      </c>
      <c r="AG866" s="1">
        <f>+IFERROR(VLOOKUP(AG15,'נתוני מים 2014'!$C$2:$L$188,2,0)/1000,0)</f>
        <v>0</v>
      </c>
      <c r="AH866" s="1">
        <f>+IFERROR(VLOOKUP(AH15,'נתוני מים 2014'!$C$2:$L$188,2,0)/1000,0)</f>
        <v>0</v>
      </c>
      <c r="AI866" s="1">
        <f>+IFERROR(VLOOKUP(AI15,'נתוני מים 2014'!$C$2:$L$188,2,0)/1000,0)</f>
        <v>0</v>
      </c>
      <c r="AJ866" s="1">
        <f>+IFERROR(VLOOKUP(AJ15,'נתוני מים 2014'!$C$2:$L$188,2,0)/1000,0)</f>
        <v>0</v>
      </c>
      <c r="AK866" s="1">
        <f>+IFERROR(VLOOKUP(AK15,'נתוני מים 2014'!$C$2:$L$188,2,0)/1000,0)</f>
        <v>0</v>
      </c>
      <c r="AL866" s="1">
        <f>+IFERROR(VLOOKUP(AL15,'נתוני מים 2014'!$C$2:$L$188,2,0)/1000,0)</f>
        <v>0</v>
      </c>
      <c r="AM866" s="1">
        <f>+IFERROR(VLOOKUP(AM15,'נתוני מים 2014'!$C$2:$L$188,2,0)/1000,0)</f>
        <v>0</v>
      </c>
      <c r="AN866" s="1">
        <f>+IFERROR(VLOOKUP(AN15,'נתוני מים 2014'!$C$2:$L$188,2,0)/1000,0)</f>
        <v>0</v>
      </c>
      <c r="AO866" s="1">
        <f>+IFERROR(VLOOKUP(AO15,'נתוני מים 2014'!$C$2:$L$188,2,0)/1000,0)</f>
        <v>0</v>
      </c>
      <c r="AP866" s="1">
        <f>+IFERROR(VLOOKUP(AP15,'נתוני מים 2014'!$C$2:$L$188,2,0)/1000,0)</f>
        <v>0</v>
      </c>
      <c r="AQ866" s="1">
        <f>+IFERROR(VLOOKUP(AQ15,'נתוני מים 2014'!$C$2:$L$188,2,0)/1000,0)</f>
        <v>0</v>
      </c>
      <c r="AR866" s="1">
        <f>+IFERROR(VLOOKUP(AR15,'נתוני מים 2014'!$C$2:$L$188,2,0)/1000,0)</f>
        <v>0</v>
      </c>
      <c r="AS866" s="1">
        <f>+IFERROR(VLOOKUP(AS15,'נתוני מים 2014'!$C$2:$L$188,2,0)/1000,0)</f>
        <v>12.478999999999999</v>
      </c>
      <c r="AT866" s="1">
        <f>+IFERROR(VLOOKUP(AT15,'נתוני מים 2014'!$C$2:$L$188,2,0)/1000,0)</f>
        <v>0</v>
      </c>
      <c r="AU866" s="1">
        <f>+IFERROR(VLOOKUP(AU15,'נתוני מים 2014'!$C$2:$L$188,2,0)/1000,0)</f>
        <v>0</v>
      </c>
      <c r="AV866" s="1">
        <f>+IFERROR(VLOOKUP(AV15,'נתוני מים 2014'!$C$2:$L$188,2,0)/1000,0)</f>
        <v>0</v>
      </c>
      <c r="AW866" s="1">
        <f>+IFERROR(VLOOKUP(AW15,'נתוני מים 2014'!$C$2:$L$188,2,0)/1000,0)</f>
        <v>0</v>
      </c>
      <c r="AX866" s="1">
        <f>+IFERROR(VLOOKUP(AX15,'נתוני מים 2014'!$C$2:$L$188,2,0)/1000,0)</f>
        <v>0</v>
      </c>
      <c r="AY866" s="1">
        <f>+IFERROR(VLOOKUP(AY15,'נתוני מים 2014'!$C$2:$L$188,2,0)/1000,0)</f>
        <v>0</v>
      </c>
      <c r="AZ866" s="1">
        <f>+IFERROR(VLOOKUP(AZ15,'נתוני מים 2014'!$C$2:$L$188,2,0)/1000,0)</f>
        <v>0</v>
      </c>
      <c r="BA866" s="1">
        <f>+IFERROR(VLOOKUP(BA15,'נתוני מים 2014'!$C$2:$L$188,2,0)/1000,0)</f>
        <v>0</v>
      </c>
      <c r="BB866" s="1">
        <f>+IFERROR(VLOOKUP(BB15,'נתוני מים 2014'!$C$2:$L$188,2,0)/1000,0)</f>
        <v>0</v>
      </c>
      <c r="BC866" s="1">
        <f>+IFERROR(VLOOKUP(BC15,'נתוני מים 2014'!$C$2:$L$188,2,0)/1000,0)</f>
        <v>0</v>
      </c>
      <c r="BD866" s="1">
        <f>+IFERROR(VLOOKUP(BD15,'נתוני מים 2014'!$C$2:$L$188,2,0)/1000,0)</f>
        <v>0</v>
      </c>
      <c r="BE866" s="1">
        <f>+IFERROR(VLOOKUP(BE15,'נתוני מים 2014'!$C$2:$L$188,2,0)/1000,0)</f>
        <v>0</v>
      </c>
      <c r="BF866" s="1">
        <f>+IFERROR(VLOOKUP(BF15,'נתוני מים 2014'!$C$2:$L$188,2,0)/1000,0)</f>
        <v>0</v>
      </c>
    </row>
    <row r="867" spans="2:58" x14ac:dyDescent="0.2">
      <c r="B867" s="1">
        <v>9</v>
      </c>
      <c r="C867" s="1">
        <f>+IFERROR(VLOOKUP(C16,'נתוני מים 2014'!$C$2:$L$188,2,0)/1000,0)</f>
        <v>0</v>
      </c>
      <c r="D867" s="1">
        <f>+IFERROR(VLOOKUP(D16,'נתוני מים 2014'!$C$2:$L$188,2,0)/1000,0)</f>
        <v>0</v>
      </c>
      <c r="E867" s="1">
        <f>+IFERROR(VLOOKUP(E16,'נתוני מים 2014'!$C$2:$L$188,2,0)/1000,0)</f>
        <v>0</v>
      </c>
      <c r="F867" s="1">
        <f>+IFERROR(VLOOKUP(F16,'נתוני מים 2014'!$C$2:$L$188,2,0)/1000,0)</f>
        <v>0</v>
      </c>
      <c r="G867" s="1">
        <f>+IFERROR(VLOOKUP(G16,'נתוני מים 2014'!$C$2:$L$188,2,0)/1000,0)</f>
        <v>0</v>
      </c>
      <c r="H867" s="1">
        <f>+IFERROR(VLOOKUP(H16,'נתוני מים 2014'!$C$2:$L$188,2,0)/1000,0)</f>
        <v>0</v>
      </c>
      <c r="I867" s="1">
        <f>+IFERROR(VLOOKUP(I16,'נתוני מים 2014'!$C$2:$L$188,2,0)/1000,0)</f>
        <v>0</v>
      </c>
      <c r="J867" s="1">
        <f>+IFERROR(VLOOKUP(J16,'נתוני מים 2014'!$C$2:$L$188,2,0)/1000,0)</f>
        <v>0</v>
      </c>
      <c r="K867" s="1">
        <f>+IFERROR(VLOOKUP(K16,'נתוני מים 2014'!$C$2:$L$188,2,0)/1000,0)</f>
        <v>0</v>
      </c>
      <c r="L867" s="1">
        <f>+IFERROR(VLOOKUP(L16,'נתוני מים 2014'!$C$2:$L$188,2,0)/1000,0)</f>
        <v>0</v>
      </c>
      <c r="M867" s="1">
        <f>+IFERROR(VLOOKUP(M16,'נתוני מים 2014'!$C$2:$L$188,2,0)/1000,0)</f>
        <v>0</v>
      </c>
      <c r="N867" s="1">
        <f>+IFERROR(VLOOKUP(N16,'נתוני מים 2014'!$C$2:$L$188,2,0)/1000,0)</f>
        <v>0</v>
      </c>
      <c r="O867" s="1">
        <f>+IFERROR(VLOOKUP(O16,'נתוני מים 2014'!$C$2:$L$188,2,0)/1000,0)</f>
        <v>0</v>
      </c>
      <c r="P867" s="1">
        <f>+IFERROR(VLOOKUP(P16,'נתוני מים 2014'!$C$2:$L$188,2,0)/1000,0)</f>
        <v>21.312000000000001</v>
      </c>
      <c r="Q867" s="1">
        <f>+IFERROR(VLOOKUP(Q16,'נתוני מים 2014'!$C$2:$L$188,2,0)/1000,0)</f>
        <v>0</v>
      </c>
      <c r="R867" s="1">
        <f>+IFERROR(VLOOKUP(R16,'נתוני מים 2014'!$C$2:$L$188,2,0)/1000,0)</f>
        <v>0</v>
      </c>
      <c r="S867" s="1">
        <f>+IFERROR(VLOOKUP(S16,'נתוני מים 2014'!$C$2:$L$188,2,0)/1000,0)</f>
        <v>0</v>
      </c>
      <c r="T867" s="1">
        <f>+IFERROR(VLOOKUP(T16,'נתוני מים 2014'!$C$2:$L$188,2,0)/1000,0)</f>
        <v>0</v>
      </c>
      <c r="U867" s="1">
        <f>+IFERROR(VLOOKUP(U16,'נתוני מים 2014'!$C$2:$L$188,2,0)/1000,0)</f>
        <v>0</v>
      </c>
      <c r="V867" s="1">
        <f>+IFERROR(VLOOKUP(V16,'נתוני מים 2014'!$C$2:$L$188,2,0)/1000,0)</f>
        <v>0</v>
      </c>
      <c r="W867" s="1">
        <f>+IFERROR(VLOOKUP(W16,'נתוני מים 2014'!$C$2:$L$188,2,0)/1000,0)</f>
        <v>0</v>
      </c>
      <c r="X867" s="1">
        <f>+IFERROR(VLOOKUP(X16,'נתוני מים 2014'!$C$2:$L$188,2,0)/1000,0)</f>
        <v>0</v>
      </c>
      <c r="Y867" s="1">
        <f>+IFERROR(VLOOKUP(Y16,'נתוני מים 2014'!$C$2:$L$188,2,0)/1000,0)</f>
        <v>0</v>
      </c>
      <c r="Z867" s="1">
        <f>+IFERROR(VLOOKUP(Z16,'נתוני מים 2014'!$C$2:$L$188,2,0)/1000,0)</f>
        <v>0</v>
      </c>
      <c r="AA867" s="1">
        <f>+IFERROR(VLOOKUP(AA16,'נתוני מים 2014'!$C$2:$L$188,2,0)/1000,0)</f>
        <v>0</v>
      </c>
      <c r="AB867" s="1">
        <f>+IFERROR(VLOOKUP(AB16,'נתוני מים 2014'!$C$2:$L$188,2,0)/1000,0)</f>
        <v>0</v>
      </c>
      <c r="AC867" s="1">
        <f>+IFERROR(VLOOKUP(AC16,'נתוני מים 2014'!$C$2:$L$188,2,0)/1000,0)</f>
        <v>0</v>
      </c>
      <c r="AD867" s="1">
        <f>+IFERROR(VLOOKUP(AD16,'נתוני מים 2014'!$C$2:$L$188,2,0)/1000,0)</f>
        <v>0</v>
      </c>
      <c r="AE867" s="1">
        <f>+IFERROR(VLOOKUP(AE16,'נתוני מים 2014'!$C$2:$L$188,2,0)/1000,0)</f>
        <v>0</v>
      </c>
      <c r="AF867" s="1">
        <f>+IFERROR(VLOOKUP(AF16,'נתוני מים 2014'!$C$2:$L$188,2,0)/1000,0)</f>
        <v>0</v>
      </c>
      <c r="AG867" s="1">
        <f>+IFERROR(VLOOKUP(AG16,'נתוני מים 2014'!$C$2:$L$188,2,0)/1000,0)</f>
        <v>0</v>
      </c>
      <c r="AH867" s="1">
        <f>+IFERROR(VLOOKUP(AH16,'נתוני מים 2014'!$C$2:$L$188,2,0)/1000,0)</f>
        <v>0</v>
      </c>
      <c r="AI867" s="1">
        <f>+IFERROR(VLOOKUP(AI16,'נתוני מים 2014'!$C$2:$L$188,2,0)/1000,0)</f>
        <v>0</v>
      </c>
      <c r="AJ867" s="1">
        <f>+IFERROR(VLOOKUP(AJ16,'נתוני מים 2014'!$C$2:$L$188,2,0)/1000,0)</f>
        <v>0</v>
      </c>
      <c r="AK867" s="1">
        <f>+IFERROR(VLOOKUP(AK16,'נתוני מים 2014'!$C$2:$L$188,2,0)/1000,0)</f>
        <v>0</v>
      </c>
      <c r="AL867" s="1">
        <f>+IFERROR(VLOOKUP(AL16,'נתוני מים 2014'!$C$2:$L$188,2,0)/1000,0)</f>
        <v>0</v>
      </c>
      <c r="AM867" s="1">
        <f>+IFERROR(VLOOKUP(AM16,'נתוני מים 2014'!$C$2:$L$188,2,0)/1000,0)</f>
        <v>0</v>
      </c>
      <c r="AN867" s="1">
        <f>+IFERROR(VLOOKUP(AN16,'נתוני מים 2014'!$C$2:$L$188,2,0)/1000,0)</f>
        <v>0</v>
      </c>
      <c r="AO867" s="1">
        <f>+IFERROR(VLOOKUP(AO16,'נתוני מים 2014'!$C$2:$L$188,2,0)/1000,0)</f>
        <v>0</v>
      </c>
      <c r="AP867" s="1">
        <f>+IFERROR(VLOOKUP(AP16,'נתוני מים 2014'!$C$2:$L$188,2,0)/1000,0)</f>
        <v>0</v>
      </c>
      <c r="AQ867" s="1">
        <f>+IFERROR(VLOOKUP(AQ16,'נתוני מים 2014'!$C$2:$L$188,2,0)/1000,0)</f>
        <v>0</v>
      </c>
      <c r="AR867" s="1">
        <f>+IFERROR(VLOOKUP(AR16,'נתוני מים 2014'!$C$2:$L$188,2,0)/1000,0)</f>
        <v>0</v>
      </c>
      <c r="AS867" s="1">
        <f>+IFERROR(VLOOKUP(AS16,'נתוני מים 2014'!$C$2:$L$188,2,0)/1000,0)</f>
        <v>3.2370000000000001</v>
      </c>
      <c r="AT867" s="1">
        <f>+IFERROR(VLOOKUP(AT16,'נתוני מים 2014'!$C$2:$L$188,2,0)/1000,0)</f>
        <v>0</v>
      </c>
      <c r="AU867" s="1">
        <f>+IFERROR(VLOOKUP(AU16,'נתוני מים 2014'!$C$2:$L$188,2,0)/1000,0)</f>
        <v>0</v>
      </c>
      <c r="AV867" s="1">
        <f>+IFERROR(VLOOKUP(AV16,'נתוני מים 2014'!$C$2:$L$188,2,0)/1000,0)</f>
        <v>0</v>
      </c>
      <c r="AW867" s="1">
        <f>+IFERROR(VLOOKUP(AW16,'נתוני מים 2014'!$C$2:$L$188,2,0)/1000,0)</f>
        <v>0</v>
      </c>
      <c r="AX867" s="1">
        <f>+IFERROR(VLOOKUP(AX16,'נתוני מים 2014'!$C$2:$L$188,2,0)/1000,0)</f>
        <v>0</v>
      </c>
      <c r="AY867" s="1">
        <f>+IFERROR(VLOOKUP(AY16,'נתוני מים 2014'!$C$2:$L$188,2,0)/1000,0)</f>
        <v>0</v>
      </c>
      <c r="AZ867" s="1">
        <f>+IFERROR(VLOOKUP(AZ16,'נתוני מים 2014'!$C$2:$L$188,2,0)/1000,0)</f>
        <v>0</v>
      </c>
      <c r="BA867" s="1">
        <f>+IFERROR(VLOOKUP(BA16,'נתוני מים 2014'!$C$2:$L$188,2,0)/1000,0)</f>
        <v>0</v>
      </c>
      <c r="BB867" s="1">
        <f>+IFERROR(VLOOKUP(BB16,'נתוני מים 2014'!$C$2:$L$188,2,0)/1000,0)</f>
        <v>0</v>
      </c>
      <c r="BC867" s="1">
        <f>+IFERROR(VLOOKUP(BC16,'נתוני מים 2014'!$C$2:$L$188,2,0)/1000,0)</f>
        <v>0</v>
      </c>
      <c r="BD867" s="1">
        <f>+IFERROR(VLOOKUP(BD16,'נתוני מים 2014'!$C$2:$L$188,2,0)/1000,0)</f>
        <v>0</v>
      </c>
      <c r="BE867" s="1">
        <f>+IFERROR(VLOOKUP(BE16,'נתוני מים 2014'!$C$2:$L$188,2,0)/1000,0)</f>
        <v>0</v>
      </c>
      <c r="BF867" s="1">
        <f>+IFERROR(VLOOKUP(BF16,'נתוני מים 2014'!$C$2:$L$188,2,0)/1000,0)</f>
        <v>0</v>
      </c>
    </row>
    <row r="868" spans="2:58" x14ac:dyDescent="0.2">
      <c r="B868" s="1">
        <v>10</v>
      </c>
      <c r="C868" s="1">
        <f>+IFERROR(VLOOKUP(C17,'נתוני מים 2014'!$C$2:$L$188,2,0)/1000,0)</f>
        <v>0</v>
      </c>
      <c r="D868" s="1">
        <f>+IFERROR(VLOOKUP(D17,'נתוני מים 2014'!$C$2:$L$188,2,0)/1000,0)</f>
        <v>0</v>
      </c>
      <c r="E868" s="1">
        <f>+IFERROR(VLOOKUP(E17,'נתוני מים 2014'!$C$2:$L$188,2,0)/1000,0)</f>
        <v>0</v>
      </c>
      <c r="F868" s="1">
        <f>+IFERROR(VLOOKUP(F17,'נתוני מים 2014'!$C$2:$L$188,2,0)/1000,0)</f>
        <v>0</v>
      </c>
      <c r="G868" s="1">
        <f>+IFERROR(VLOOKUP(G17,'נתוני מים 2014'!$C$2:$L$188,2,0)/1000,0)</f>
        <v>0</v>
      </c>
      <c r="H868" s="1">
        <f>+IFERROR(VLOOKUP(H17,'נתוני מים 2014'!$C$2:$L$188,2,0)/1000,0)</f>
        <v>0</v>
      </c>
      <c r="I868" s="1">
        <f>+IFERROR(VLOOKUP(I17,'נתוני מים 2014'!$C$2:$L$188,2,0)/1000,0)</f>
        <v>0</v>
      </c>
      <c r="J868" s="1">
        <f>+IFERROR(VLOOKUP(J17,'נתוני מים 2014'!$C$2:$L$188,2,0)/1000,0)</f>
        <v>0</v>
      </c>
      <c r="K868" s="1">
        <f>+IFERROR(VLOOKUP(K17,'נתוני מים 2014'!$C$2:$L$188,2,0)/1000,0)</f>
        <v>0</v>
      </c>
      <c r="L868" s="1">
        <f>+IFERROR(VLOOKUP(L17,'נתוני מים 2014'!$C$2:$L$188,2,0)/1000,0)</f>
        <v>0</v>
      </c>
      <c r="M868" s="1">
        <f>+IFERROR(VLOOKUP(M17,'נתוני מים 2014'!$C$2:$L$188,2,0)/1000,0)</f>
        <v>0</v>
      </c>
      <c r="N868" s="1">
        <f>+IFERROR(VLOOKUP(N17,'נתוני מים 2014'!$C$2:$L$188,2,0)/1000,0)</f>
        <v>0</v>
      </c>
      <c r="O868" s="1">
        <f>+IFERROR(VLOOKUP(O17,'נתוני מים 2014'!$C$2:$L$188,2,0)/1000,0)</f>
        <v>0</v>
      </c>
      <c r="P868" s="1">
        <f>+IFERROR(VLOOKUP(P17,'נתוני מים 2014'!$C$2:$L$188,2,0)/1000,0)</f>
        <v>7.3410000000000002</v>
      </c>
      <c r="Q868" s="1">
        <f>+IFERROR(VLOOKUP(Q17,'נתוני מים 2014'!$C$2:$L$188,2,0)/1000,0)</f>
        <v>0</v>
      </c>
      <c r="R868" s="1">
        <f>+IFERROR(VLOOKUP(R17,'נתוני מים 2014'!$C$2:$L$188,2,0)/1000,0)</f>
        <v>0</v>
      </c>
      <c r="S868" s="1">
        <f>+IFERROR(VLOOKUP(S17,'נתוני מים 2014'!$C$2:$L$188,2,0)/1000,0)</f>
        <v>0</v>
      </c>
      <c r="T868" s="1">
        <f>+IFERROR(VLOOKUP(T17,'נתוני מים 2014'!$C$2:$L$188,2,0)/1000,0)</f>
        <v>0</v>
      </c>
      <c r="U868" s="1">
        <f>+IFERROR(VLOOKUP(U17,'נתוני מים 2014'!$C$2:$L$188,2,0)/1000,0)</f>
        <v>0</v>
      </c>
      <c r="V868" s="1">
        <f>+IFERROR(VLOOKUP(V17,'נתוני מים 2014'!$C$2:$L$188,2,0)/1000,0)</f>
        <v>0</v>
      </c>
      <c r="W868" s="1">
        <f>+IFERROR(VLOOKUP(W17,'נתוני מים 2014'!$C$2:$L$188,2,0)/1000,0)</f>
        <v>0</v>
      </c>
      <c r="X868" s="1">
        <f>+IFERROR(VLOOKUP(X17,'נתוני מים 2014'!$C$2:$L$188,2,0)/1000,0)</f>
        <v>0</v>
      </c>
      <c r="Y868" s="1">
        <f>+IFERROR(VLOOKUP(Y17,'נתוני מים 2014'!$C$2:$L$188,2,0)/1000,0)</f>
        <v>0</v>
      </c>
      <c r="Z868" s="1">
        <f>+IFERROR(VLOOKUP(Z17,'נתוני מים 2014'!$C$2:$L$188,2,0)/1000,0)</f>
        <v>0</v>
      </c>
      <c r="AA868" s="1">
        <f>+IFERROR(VLOOKUP(AA17,'נתוני מים 2014'!$C$2:$L$188,2,0)/1000,0)</f>
        <v>0</v>
      </c>
      <c r="AB868" s="1">
        <f>+IFERROR(VLOOKUP(AB17,'נתוני מים 2014'!$C$2:$L$188,2,0)/1000,0)</f>
        <v>0</v>
      </c>
      <c r="AC868" s="1">
        <f>+IFERROR(VLOOKUP(AC17,'נתוני מים 2014'!$C$2:$L$188,2,0)/1000,0)</f>
        <v>0</v>
      </c>
      <c r="AD868" s="1">
        <f>+IFERROR(VLOOKUP(AD17,'נתוני מים 2014'!$C$2:$L$188,2,0)/1000,0)</f>
        <v>0</v>
      </c>
      <c r="AE868" s="1">
        <f>+IFERROR(VLOOKUP(AE17,'נתוני מים 2014'!$C$2:$L$188,2,0)/1000,0)</f>
        <v>0</v>
      </c>
      <c r="AF868" s="1">
        <f>+IFERROR(VLOOKUP(AF17,'נתוני מים 2014'!$C$2:$L$188,2,0)/1000,0)</f>
        <v>0</v>
      </c>
      <c r="AG868" s="1">
        <f>+IFERROR(VLOOKUP(AG17,'נתוני מים 2014'!$C$2:$L$188,2,0)/1000,0)</f>
        <v>0</v>
      </c>
      <c r="AH868" s="1">
        <f>+IFERROR(VLOOKUP(AH17,'נתוני מים 2014'!$C$2:$L$188,2,0)/1000,0)</f>
        <v>0</v>
      </c>
      <c r="AI868" s="1">
        <f>+IFERROR(VLOOKUP(AI17,'נתוני מים 2014'!$C$2:$L$188,2,0)/1000,0)</f>
        <v>0</v>
      </c>
      <c r="AJ868" s="1">
        <f>+IFERROR(VLOOKUP(AJ17,'נתוני מים 2014'!$C$2:$L$188,2,0)/1000,0)</f>
        <v>0</v>
      </c>
      <c r="AK868" s="1">
        <f>+IFERROR(VLOOKUP(AK17,'נתוני מים 2014'!$C$2:$L$188,2,0)/1000,0)</f>
        <v>0</v>
      </c>
      <c r="AL868" s="1">
        <f>+IFERROR(VLOOKUP(AL17,'נתוני מים 2014'!$C$2:$L$188,2,0)/1000,0)</f>
        <v>0</v>
      </c>
      <c r="AM868" s="1">
        <f>+IFERROR(VLOOKUP(AM17,'נתוני מים 2014'!$C$2:$L$188,2,0)/1000,0)</f>
        <v>0</v>
      </c>
      <c r="AN868" s="1">
        <f>+IFERROR(VLOOKUP(AN17,'נתוני מים 2014'!$C$2:$L$188,2,0)/1000,0)</f>
        <v>0</v>
      </c>
      <c r="AO868" s="1">
        <f>+IFERROR(VLOOKUP(AO17,'נתוני מים 2014'!$C$2:$L$188,2,0)/1000,0)</f>
        <v>0</v>
      </c>
      <c r="AP868" s="1">
        <f>+IFERROR(VLOOKUP(AP17,'נתוני מים 2014'!$C$2:$L$188,2,0)/1000,0)</f>
        <v>0</v>
      </c>
      <c r="AQ868" s="1">
        <f>+IFERROR(VLOOKUP(AQ17,'נתוני מים 2014'!$C$2:$L$188,2,0)/1000,0)</f>
        <v>0</v>
      </c>
      <c r="AR868" s="1">
        <f>+IFERROR(VLOOKUP(AR17,'נתוני מים 2014'!$C$2:$L$188,2,0)/1000,0)</f>
        <v>0</v>
      </c>
      <c r="AS868" s="1">
        <f>+IFERROR(VLOOKUP(AS17,'נתוני מים 2014'!$C$2:$L$188,2,0)/1000,0)</f>
        <v>8.4890000000000008</v>
      </c>
      <c r="AT868" s="1">
        <f>+IFERROR(VLOOKUP(AT17,'נתוני מים 2014'!$C$2:$L$188,2,0)/1000,0)</f>
        <v>0</v>
      </c>
      <c r="AU868" s="1">
        <f>+IFERROR(VLOOKUP(AU17,'נתוני מים 2014'!$C$2:$L$188,2,0)/1000,0)</f>
        <v>0</v>
      </c>
      <c r="AV868" s="1">
        <f>+IFERROR(VLOOKUP(AV17,'נתוני מים 2014'!$C$2:$L$188,2,0)/1000,0)</f>
        <v>0</v>
      </c>
      <c r="AW868" s="1">
        <f>+IFERROR(VLOOKUP(AW17,'נתוני מים 2014'!$C$2:$L$188,2,0)/1000,0)</f>
        <v>0</v>
      </c>
      <c r="AX868" s="1">
        <f>+IFERROR(VLOOKUP(AX17,'נתוני מים 2014'!$C$2:$L$188,2,0)/1000,0)</f>
        <v>0</v>
      </c>
      <c r="AY868" s="1">
        <f>+IFERROR(VLOOKUP(AY17,'נתוני מים 2014'!$C$2:$L$188,2,0)/1000,0)</f>
        <v>0</v>
      </c>
      <c r="AZ868" s="1">
        <f>+IFERROR(VLOOKUP(AZ17,'נתוני מים 2014'!$C$2:$L$188,2,0)/1000,0)</f>
        <v>0</v>
      </c>
      <c r="BA868" s="1">
        <f>+IFERROR(VLOOKUP(BA17,'נתוני מים 2014'!$C$2:$L$188,2,0)/1000,0)</f>
        <v>0</v>
      </c>
      <c r="BB868" s="1">
        <f>+IFERROR(VLOOKUP(BB17,'נתוני מים 2014'!$C$2:$L$188,2,0)/1000,0)</f>
        <v>0</v>
      </c>
      <c r="BC868" s="1">
        <f>+IFERROR(VLOOKUP(BC17,'נתוני מים 2014'!$C$2:$L$188,2,0)/1000,0)</f>
        <v>0</v>
      </c>
      <c r="BD868" s="1">
        <f>+IFERROR(VLOOKUP(BD17,'נתוני מים 2014'!$C$2:$L$188,2,0)/1000,0)</f>
        <v>0</v>
      </c>
      <c r="BE868" s="1">
        <f>+IFERROR(VLOOKUP(BE17,'נתוני מים 2014'!$C$2:$L$188,2,0)/1000,0)</f>
        <v>0</v>
      </c>
      <c r="BF868" s="1">
        <f>+IFERROR(VLOOKUP(BF17,'נתוני מים 2014'!$C$2:$L$188,2,0)/1000,0)</f>
        <v>0</v>
      </c>
    </row>
    <row r="869" spans="2:58" x14ac:dyDescent="0.2">
      <c r="B869" s="1">
        <v>11</v>
      </c>
      <c r="C869" s="1">
        <f>+IFERROR(VLOOKUP(C18,'נתוני מים 2014'!$C$2:$L$188,2,0)/1000,0)</f>
        <v>0</v>
      </c>
      <c r="D869" s="1">
        <f>+IFERROR(VLOOKUP(D18,'נתוני מים 2014'!$C$2:$L$188,2,0)/1000,0)</f>
        <v>0</v>
      </c>
      <c r="E869" s="1">
        <f>+IFERROR(VLOOKUP(E18,'נתוני מים 2014'!$C$2:$L$188,2,0)/1000,0)</f>
        <v>0</v>
      </c>
      <c r="F869" s="1">
        <f>+IFERROR(VLOOKUP(F18,'נתוני מים 2014'!$C$2:$L$188,2,0)/1000,0)</f>
        <v>0</v>
      </c>
      <c r="G869" s="1">
        <f>+IFERROR(VLOOKUP(G18,'נתוני מים 2014'!$C$2:$L$188,2,0)/1000,0)</f>
        <v>0</v>
      </c>
      <c r="H869" s="1">
        <f>+IFERROR(VLOOKUP(H18,'נתוני מים 2014'!$C$2:$L$188,2,0)/1000,0)</f>
        <v>0</v>
      </c>
      <c r="I869" s="1">
        <f>+IFERROR(VLOOKUP(I18,'נתוני מים 2014'!$C$2:$L$188,2,0)/1000,0)</f>
        <v>0</v>
      </c>
      <c r="J869" s="1">
        <f>+IFERROR(VLOOKUP(J18,'נתוני מים 2014'!$C$2:$L$188,2,0)/1000,0)</f>
        <v>0</v>
      </c>
      <c r="K869" s="1">
        <f>+IFERROR(VLOOKUP(K18,'נתוני מים 2014'!$C$2:$L$188,2,0)/1000,0)</f>
        <v>0</v>
      </c>
      <c r="L869" s="1">
        <f>+IFERROR(VLOOKUP(L18,'נתוני מים 2014'!$C$2:$L$188,2,0)/1000,0)</f>
        <v>0</v>
      </c>
      <c r="M869" s="1">
        <f>+IFERROR(VLOOKUP(M18,'נתוני מים 2014'!$C$2:$L$188,2,0)/1000,0)</f>
        <v>0</v>
      </c>
      <c r="N869" s="1">
        <f>+IFERROR(VLOOKUP(N18,'נתוני מים 2014'!$C$2:$L$188,2,0)/1000,0)</f>
        <v>0</v>
      </c>
      <c r="O869" s="1">
        <f>+IFERROR(VLOOKUP(O18,'נתוני מים 2014'!$C$2:$L$188,2,0)/1000,0)</f>
        <v>0</v>
      </c>
      <c r="P869" s="1">
        <f>+IFERROR(VLOOKUP(P18,'נתוני מים 2014'!$C$2:$L$188,2,0)/1000,0)</f>
        <v>3.968</v>
      </c>
      <c r="Q869" s="1">
        <f>+IFERROR(VLOOKUP(Q18,'נתוני מים 2014'!$C$2:$L$188,2,0)/1000,0)</f>
        <v>0</v>
      </c>
      <c r="R869" s="1">
        <f>+IFERROR(VLOOKUP(R18,'נתוני מים 2014'!$C$2:$L$188,2,0)/1000,0)</f>
        <v>0</v>
      </c>
      <c r="S869" s="1">
        <f>+IFERROR(VLOOKUP(S18,'נתוני מים 2014'!$C$2:$L$188,2,0)/1000,0)</f>
        <v>0</v>
      </c>
      <c r="T869" s="1">
        <f>+IFERROR(VLOOKUP(T18,'נתוני מים 2014'!$C$2:$L$188,2,0)/1000,0)</f>
        <v>0</v>
      </c>
      <c r="U869" s="1">
        <f>+IFERROR(VLOOKUP(U18,'נתוני מים 2014'!$C$2:$L$188,2,0)/1000,0)</f>
        <v>0</v>
      </c>
      <c r="V869" s="1">
        <f>+IFERROR(VLOOKUP(V18,'נתוני מים 2014'!$C$2:$L$188,2,0)/1000,0)</f>
        <v>0</v>
      </c>
      <c r="W869" s="1">
        <f>+IFERROR(VLOOKUP(W18,'נתוני מים 2014'!$C$2:$L$188,2,0)/1000,0)</f>
        <v>0</v>
      </c>
      <c r="X869" s="1">
        <f>+IFERROR(VLOOKUP(X18,'נתוני מים 2014'!$C$2:$L$188,2,0)/1000,0)</f>
        <v>0</v>
      </c>
      <c r="Y869" s="1">
        <f>+IFERROR(VLOOKUP(Y18,'נתוני מים 2014'!$C$2:$L$188,2,0)/1000,0)</f>
        <v>0</v>
      </c>
      <c r="Z869" s="1">
        <f>+IFERROR(VLOOKUP(Z18,'נתוני מים 2014'!$C$2:$L$188,2,0)/1000,0)</f>
        <v>0</v>
      </c>
      <c r="AA869" s="1">
        <f>+IFERROR(VLOOKUP(AA18,'נתוני מים 2014'!$C$2:$L$188,2,0)/1000,0)</f>
        <v>0</v>
      </c>
      <c r="AB869" s="1">
        <f>+IFERROR(VLOOKUP(AB18,'נתוני מים 2014'!$C$2:$L$188,2,0)/1000,0)</f>
        <v>0</v>
      </c>
      <c r="AC869" s="1">
        <f>+IFERROR(VLOOKUP(AC18,'נתוני מים 2014'!$C$2:$L$188,2,0)/1000,0)</f>
        <v>0</v>
      </c>
      <c r="AD869" s="1">
        <f>+IFERROR(VLOOKUP(AD18,'נתוני מים 2014'!$C$2:$L$188,2,0)/1000,0)</f>
        <v>0</v>
      </c>
      <c r="AE869" s="1">
        <f>+IFERROR(VLOOKUP(AE18,'נתוני מים 2014'!$C$2:$L$188,2,0)/1000,0)</f>
        <v>0</v>
      </c>
      <c r="AF869" s="1">
        <f>+IFERROR(VLOOKUP(AF18,'נתוני מים 2014'!$C$2:$L$188,2,0)/1000,0)</f>
        <v>0</v>
      </c>
      <c r="AG869" s="1">
        <f>+IFERROR(VLOOKUP(AG18,'נתוני מים 2014'!$C$2:$L$188,2,0)/1000,0)</f>
        <v>0</v>
      </c>
      <c r="AH869" s="1">
        <f>+IFERROR(VLOOKUP(AH18,'נתוני מים 2014'!$C$2:$L$188,2,0)/1000,0)</f>
        <v>0</v>
      </c>
      <c r="AI869" s="1">
        <f>+IFERROR(VLOOKUP(AI18,'נתוני מים 2014'!$C$2:$L$188,2,0)/1000,0)</f>
        <v>0</v>
      </c>
      <c r="AJ869" s="1">
        <f>+IFERROR(VLOOKUP(AJ18,'נתוני מים 2014'!$C$2:$L$188,2,0)/1000,0)</f>
        <v>0</v>
      </c>
      <c r="AK869" s="1">
        <f>+IFERROR(VLOOKUP(AK18,'נתוני מים 2014'!$C$2:$L$188,2,0)/1000,0)</f>
        <v>0</v>
      </c>
      <c r="AL869" s="1">
        <f>+IFERROR(VLOOKUP(AL18,'נתוני מים 2014'!$C$2:$L$188,2,0)/1000,0)</f>
        <v>0</v>
      </c>
      <c r="AM869" s="1">
        <f>+IFERROR(VLOOKUP(AM18,'נתוני מים 2014'!$C$2:$L$188,2,0)/1000,0)</f>
        <v>0</v>
      </c>
      <c r="AN869" s="1">
        <f>+IFERROR(VLOOKUP(AN18,'נתוני מים 2014'!$C$2:$L$188,2,0)/1000,0)</f>
        <v>0</v>
      </c>
      <c r="AO869" s="1">
        <f>+IFERROR(VLOOKUP(AO18,'נתוני מים 2014'!$C$2:$L$188,2,0)/1000,0)</f>
        <v>0</v>
      </c>
      <c r="AP869" s="1">
        <f>+IFERROR(VLOOKUP(AP18,'נתוני מים 2014'!$C$2:$L$188,2,0)/1000,0)</f>
        <v>0</v>
      </c>
      <c r="AQ869" s="1">
        <f>+IFERROR(VLOOKUP(AQ18,'נתוני מים 2014'!$C$2:$L$188,2,0)/1000,0)</f>
        <v>0</v>
      </c>
      <c r="AR869" s="1">
        <f>+IFERROR(VLOOKUP(AR18,'נתוני מים 2014'!$C$2:$L$188,2,0)/1000,0)</f>
        <v>0</v>
      </c>
      <c r="AS869" s="1">
        <f>+IFERROR(VLOOKUP(AS18,'נתוני מים 2014'!$C$2:$L$188,2,0)/1000,0)</f>
        <v>0</v>
      </c>
      <c r="AT869" s="1">
        <f>+IFERROR(VLOOKUP(AT18,'נתוני מים 2014'!$C$2:$L$188,2,0)/1000,0)</f>
        <v>0</v>
      </c>
      <c r="AU869" s="1">
        <f>+IFERROR(VLOOKUP(AU18,'נתוני מים 2014'!$C$2:$L$188,2,0)/1000,0)</f>
        <v>0</v>
      </c>
      <c r="AV869" s="1">
        <f>+IFERROR(VLOOKUP(AV18,'נתוני מים 2014'!$C$2:$L$188,2,0)/1000,0)</f>
        <v>0</v>
      </c>
      <c r="AW869" s="1">
        <f>+IFERROR(VLOOKUP(AW18,'נתוני מים 2014'!$C$2:$L$188,2,0)/1000,0)</f>
        <v>0</v>
      </c>
      <c r="AX869" s="1">
        <f>+IFERROR(VLOOKUP(AX18,'נתוני מים 2014'!$C$2:$L$188,2,0)/1000,0)</f>
        <v>0</v>
      </c>
      <c r="AY869" s="1">
        <f>+IFERROR(VLOOKUP(AY18,'נתוני מים 2014'!$C$2:$L$188,2,0)/1000,0)</f>
        <v>0</v>
      </c>
      <c r="AZ869" s="1">
        <f>+IFERROR(VLOOKUP(AZ18,'נתוני מים 2014'!$C$2:$L$188,2,0)/1000,0)</f>
        <v>0</v>
      </c>
      <c r="BA869" s="1">
        <f>+IFERROR(VLOOKUP(BA18,'נתוני מים 2014'!$C$2:$L$188,2,0)/1000,0)</f>
        <v>0</v>
      </c>
      <c r="BB869" s="1">
        <f>+IFERROR(VLOOKUP(BB18,'נתוני מים 2014'!$C$2:$L$188,2,0)/1000,0)</f>
        <v>0</v>
      </c>
      <c r="BC869" s="1">
        <f>+IFERROR(VLOOKUP(BC18,'נתוני מים 2014'!$C$2:$L$188,2,0)/1000,0)</f>
        <v>0</v>
      </c>
      <c r="BD869" s="1">
        <f>+IFERROR(VLOOKUP(BD18,'נתוני מים 2014'!$C$2:$L$188,2,0)/1000,0)</f>
        <v>0</v>
      </c>
      <c r="BE869" s="1">
        <f>+IFERROR(VLOOKUP(BE18,'נתוני מים 2014'!$C$2:$L$188,2,0)/1000,0)</f>
        <v>0</v>
      </c>
      <c r="BF869" s="1">
        <f>+IFERROR(VLOOKUP(BF18,'נתוני מים 2014'!$C$2:$L$188,2,0)/1000,0)</f>
        <v>0</v>
      </c>
    </row>
    <row r="870" spans="2:58" x14ac:dyDescent="0.2">
      <c r="B870" s="1">
        <v>12</v>
      </c>
      <c r="C870" s="1">
        <f>+IFERROR(VLOOKUP(C19,'נתוני מים 2014'!$C$2:$L$188,2,0)/1000,0)</f>
        <v>0</v>
      </c>
      <c r="D870" s="1">
        <f>+IFERROR(VLOOKUP(D19,'נתוני מים 2014'!$C$2:$L$188,2,0)/1000,0)</f>
        <v>0</v>
      </c>
      <c r="E870" s="1">
        <f>+IFERROR(VLOOKUP(E19,'נתוני מים 2014'!$C$2:$L$188,2,0)/1000,0)</f>
        <v>0</v>
      </c>
      <c r="F870" s="1">
        <f>+IFERROR(VLOOKUP(F19,'נתוני מים 2014'!$C$2:$L$188,2,0)/1000,0)</f>
        <v>0</v>
      </c>
      <c r="G870" s="1">
        <f>+IFERROR(VLOOKUP(G19,'נתוני מים 2014'!$C$2:$L$188,2,0)/1000,0)</f>
        <v>0</v>
      </c>
      <c r="H870" s="1">
        <f>+IFERROR(VLOOKUP(H19,'נתוני מים 2014'!$C$2:$L$188,2,0)/1000,0)</f>
        <v>0</v>
      </c>
      <c r="I870" s="1">
        <f>+IFERROR(VLOOKUP(I19,'נתוני מים 2014'!$C$2:$L$188,2,0)/1000,0)</f>
        <v>0</v>
      </c>
      <c r="J870" s="1">
        <f>+IFERROR(VLOOKUP(J19,'נתוני מים 2014'!$C$2:$L$188,2,0)/1000,0)</f>
        <v>0</v>
      </c>
      <c r="K870" s="1">
        <f>+IFERROR(VLOOKUP(K19,'נתוני מים 2014'!$C$2:$L$188,2,0)/1000,0)</f>
        <v>0</v>
      </c>
      <c r="L870" s="1">
        <f>+IFERROR(VLOOKUP(L19,'נתוני מים 2014'!$C$2:$L$188,2,0)/1000,0)</f>
        <v>0</v>
      </c>
      <c r="M870" s="1">
        <f>+IFERROR(VLOOKUP(M19,'נתוני מים 2014'!$C$2:$L$188,2,0)/1000,0)</f>
        <v>0</v>
      </c>
      <c r="N870" s="1">
        <f>+IFERROR(VLOOKUP(N19,'נתוני מים 2014'!$C$2:$L$188,2,0)/1000,0)</f>
        <v>0</v>
      </c>
      <c r="O870" s="1">
        <f>+IFERROR(VLOOKUP(O19,'נתוני מים 2014'!$C$2:$L$188,2,0)/1000,0)</f>
        <v>0</v>
      </c>
      <c r="P870" s="1">
        <f>+IFERROR(VLOOKUP(P19,'נתוני מים 2014'!$C$2:$L$188,2,0)/1000,0)</f>
        <v>5.423</v>
      </c>
      <c r="Q870" s="1">
        <f>+IFERROR(VLOOKUP(Q19,'נתוני מים 2014'!$C$2:$L$188,2,0)/1000,0)</f>
        <v>0</v>
      </c>
      <c r="R870" s="1">
        <f>+IFERROR(VLOOKUP(R19,'נתוני מים 2014'!$C$2:$L$188,2,0)/1000,0)</f>
        <v>0</v>
      </c>
      <c r="S870" s="1">
        <f>+IFERROR(VLOOKUP(S19,'נתוני מים 2014'!$C$2:$L$188,2,0)/1000,0)</f>
        <v>0</v>
      </c>
      <c r="T870" s="1">
        <f>+IFERROR(VLOOKUP(T19,'נתוני מים 2014'!$C$2:$L$188,2,0)/1000,0)</f>
        <v>0</v>
      </c>
      <c r="U870" s="1">
        <f>+IFERROR(VLOOKUP(U19,'נתוני מים 2014'!$C$2:$L$188,2,0)/1000,0)</f>
        <v>0</v>
      </c>
      <c r="V870" s="1">
        <f>+IFERROR(VLOOKUP(V19,'נתוני מים 2014'!$C$2:$L$188,2,0)/1000,0)</f>
        <v>0</v>
      </c>
      <c r="W870" s="1">
        <f>+IFERROR(VLOOKUP(W19,'נתוני מים 2014'!$C$2:$L$188,2,0)/1000,0)</f>
        <v>0</v>
      </c>
      <c r="X870" s="1">
        <f>+IFERROR(VLOOKUP(X19,'נתוני מים 2014'!$C$2:$L$188,2,0)/1000,0)</f>
        <v>0</v>
      </c>
      <c r="Y870" s="1">
        <f>+IFERROR(VLOOKUP(Y19,'נתוני מים 2014'!$C$2:$L$188,2,0)/1000,0)</f>
        <v>0</v>
      </c>
      <c r="Z870" s="1">
        <f>+IFERROR(VLOOKUP(Z19,'נתוני מים 2014'!$C$2:$L$188,2,0)/1000,0)</f>
        <v>0</v>
      </c>
      <c r="AA870" s="1">
        <f>+IFERROR(VLOOKUP(AA19,'נתוני מים 2014'!$C$2:$L$188,2,0)/1000,0)</f>
        <v>0</v>
      </c>
      <c r="AB870" s="1">
        <f>+IFERROR(VLOOKUP(AB19,'נתוני מים 2014'!$C$2:$L$188,2,0)/1000,0)</f>
        <v>0</v>
      </c>
      <c r="AC870" s="1">
        <f>+IFERROR(VLOOKUP(AC19,'נתוני מים 2014'!$C$2:$L$188,2,0)/1000,0)</f>
        <v>0</v>
      </c>
      <c r="AD870" s="1">
        <f>+IFERROR(VLOOKUP(AD19,'נתוני מים 2014'!$C$2:$L$188,2,0)/1000,0)</f>
        <v>0</v>
      </c>
      <c r="AE870" s="1">
        <f>+IFERROR(VLOOKUP(AE19,'נתוני מים 2014'!$C$2:$L$188,2,0)/1000,0)</f>
        <v>0</v>
      </c>
      <c r="AF870" s="1">
        <f>+IFERROR(VLOOKUP(AF19,'נתוני מים 2014'!$C$2:$L$188,2,0)/1000,0)</f>
        <v>0</v>
      </c>
      <c r="AG870" s="1">
        <f>+IFERROR(VLOOKUP(AG19,'נתוני מים 2014'!$C$2:$L$188,2,0)/1000,0)</f>
        <v>0</v>
      </c>
      <c r="AH870" s="1">
        <f>+IFERROR(VLOOKUP(AH19,'נתוני מים 2014'!$C$2:$L$188,2,0)/1000,0)</f>
        <v>0</v>
      </c>
      <c r="AI870" s="1">
        <f>+IFERROR(VLOOKUP(AI19,'נתוני מים 2014'!$C$2:$L$188,2,0)/1000,0)</f>
        <v>0</v>
      </c>
      <c r="AJ870" s="1">
        <f>+IFERROR(VLOOKUP(AJ19,'נתוני מים 2014'!$C$2:$L$188,2,0)/1000,0)</f>
        <v>0</v>
      </c>
      <c r="AK870" s="1">
        <f>+IFERROR(VLOOKUP(AK19,'נתוני מים 2014'!$C$2:$L$188,2,0)/1000,0)</f>
        <v>0</v>
      </c>
      <c r="AL870" s="1">
        <f>+IFERROR(VLOOKUP(AL19,'נתוני מים 2014'!$C$2:$L$188,2,0)/1000,0)</f>
        <v>0</v>
      </c>
      <c r="AM870" s="1">
        <f>+IFERROR(VLOOKUP(AM19,'נתוני מים 2014'!$C$2:$L$188,2,0)/1000,0)</f>
        <v>0</v>
      </c>
      <c r="AN870" s="1">
        <f>+IFERROR(VLOOKUP(AN19,'נתוני מים 2014'!$C$2:$L$188,2,0)/1000,0)</f>
        <v>0</v>
      </c>
      <c r="AO870" s="1">
        <f>+IFERROR(VLOOKUP(AO19,'נתוני מים 2014'!$C$2:$L$188,2,0)/1000,0)</f>
        <v>0</v>
      </c>
      <c r="AP870" s="1">
        <f>+IFERROR(VLOOKUP(AP19,'נתוני מים 2014'!$C$2:$L$188,2,0)/1000,0)</f>
        <v>0</v>
      </c>
      <c r="AQ870" s="1">
        <f>+IFERROR(VLOOKUP(AQ19,'נתוני מים 2014'!$C$2:$L$188,2,0)/1000,0)</f>
        <v>0</v>
      </c>
      <c r="AR870" s="1">
        <f>+IFERROR(VLOOKUP(AR19,'נתוני מים 2014'!$C$2:$L$188,2,0)/1000,0)</f>
        <v>0</v>
      </c>
      <c r="AS870" s="1">
        <f>+IFERROR(VLOOKUP(AS19,'נתוני מים 2014'!$C$2:$L$188,2,0)/1000,0)</f>
        <v>0</v>
      </c>
      <c r="AT870" s="1">
        <f>+IFERROR(VLOOKUP(AT19,'נתוני מים 2014'!$C$2:$L$188,2,0)/1000,0)</f>
        <v>0</v>
      </c>
      <c r="AU870" s="1">
        <f>+IFERROR(VLOOKUP(AU19,'נתוני מים 2014'!$C$2:$L$188,2,0)/1000,0)</f>
        <v>0</v>
      </c>
      <c r="AV870" s="1">
        <f>+IFERROR(VLOOKUP(AV19,'נתוני מים 2014'!$C$2:$L$188,2,0)/1000,0)</f>
        <v>0</v>
      </c>
      <c r="AW870" s="1">
        <f>+IFERROR(VLOOKUP(AW19,'נתוני מים 2014'!$C$2:$L$188,2,0)/1000,0)</f>
        <v>0</v>
      </c>
      <c r="AX870" s="1">
        <f>+IFERROR(VLOOKUP(AX19,'נתוני מים 2014'!$C$2:$L$188,2,0)/1000,0)</f>
        <v>0</v>
      </c>
      <c r="AY870" s="1">
        <f>+IFERROR(VLOOKUP(AY19,'נתוני מים 2014'!$C$2:$L$188,2,0)/1000,0)</f>
        <v>0</v>
      </c>
      <c r="AZ870" s="1">
        <f>+IFERROR(VLOOKUP(AZ19,'נתוני מים 2014'!$C$2:$L$188,2,0)/1000,0)</f>
        <v>0</v>
      </c>
      <c r="BA870" s="1">
        <f>+IFERROR(VLOOKUP(BA19,'נתוני מים 2014'!$C$2:$L$188,2,0)/1000,0)</f>
        <v>0</v>
      </c>
      <c r="BB870" s="1">
        <f>+IFERROR(VLOOKUP(BB19,'נתוני מים 2014'!$C$2:$L$188,2,0)/1000,0)</f>
        <v>0</v>
      </c>
      <c r="BC870" s="1">
        <f>+IFERROR(VLOOKUP(BC19,'נתוני מים 2014'!$C$2:$L$188,2,0)/1000,0)</f>
        <v>0</v>
      </c>
      <c r="BD870" s="1">
        <f>+IFERROR(VLOOKUP(BD19,'נתוני מים 2014'!$C$2:$L$188,2,0)/1000,0)</f>
        <v>0</v>
      </c>
      <c r="BE870" s="1">
        <f>+IFERROR(VLOOKUP(BE19,'נתוני מים 2014'!$C$2:$L$188,2,0)/1000,0)</f>
        <v>0</v>
      </c>
      <c r="BF870" s="1">
        <f>+IFERROR(VLOOKUP(BF19,'נתוני מים 2014'!$C$2:$L$188,2,0)/1000,0)</f>
        <v>0</v>
      </c>
    </row>
    <row r="871" spans="2:58" x14ac:dyDescent="0.2">
      <c r="B871" s="1">
        <v>13</v>
      </c>
      <c r="C871" s="1">
        <f>+IFERROR(VLOOKUP(C20,'נתוני מים 2014'!$C$2:$L$188,2,0)/1000,0)</f>
        <v>0</v>
      </c>
      <c r="D871" s="1">
        <f>+IFERROR(VLOOKUP(D20,'נתוני מים 2014'!$C$2:$L$188,2,0)/1000,0)</f>
        <v>0</v>
      </c>
      <c r="E871" s="1">
        <f>+IFERROR(VLOOKUP(E20,'נתוני מים 2014'!$C$2:$L$188,2,0)/1000,0)</f>
        <v>0</v>
      </c>
      <c r="F871" s="1">
        <f>+IFERROR(VLOOKUP(F20,'נתוני מים 2014'!$C$2:$L$188,2,0)/1000,0)</f>
        <v>0</v>
      </c>
      <c r="G871" s="1">
        <f>+IFERROR(VLOOKUP(G20,'נתוני מים 2014'!$C$2:$L$188,2,0)/1000,0)</f>
        <v>0</v>
      </c>
      <c r="H871" s="1">
        <f>+IFERROR(VLOOKUP(H20,'נתוני מים 2014'!$C$2:$L$188,2,0)/1000,0)</f>
        <v>0</v>
      </c>
      <c r="I871" s="1">
        <f>+IFERROR(VLOOKUP(I20,'נתוני מים 2014'!$C$2:$L$188,2,0)/1000,0)</f>
        <v>0</v>
      </c>
      <c r="J871" s="1">
        <f>+IFERROR(VLOOKUP(J20,'נתוני מים 2014'!$C$2:$L$188,2,0)/1000,0)</f>
        <v>0</v>
      </c>
      <c r="K871" s="1">
        <f>+IFERROR(VLOOKUP(K20,'נתוני מים 2014'!$C$2:$L$188,2,0)/1000,0)</f>
        <v>0</v>
      </c>
      <c r="L871" s="1">
        <f>+IFERROR(VLOOKUP(L20,'נתוני מים 2014'!$C$2:$L$188,2,0)/1000,0)</f>
        <v>0</v>
      </c>
      <c r="M871" s="1">
        <f>+IFERROR(VLOOKUP(M20,'נתוני מים 2014'!$C$2:$L$188,2,0)/1000,0)</f>
        <v>0</v>
      </c>
      <c r="N871" s="1">
        <f>+IFERROR(VLOOKUP(N20,'נתוני מים 2014'!$C$2:$L$188,2,0)/1000,0)</f>
        <v>0</v>
      </c>
      <c r="O871" s="1">
        <f>+IFERROR(VLOOKUP(O20,'נתוני מים 2014'!$C$2:$L$188,2,0)/1000,0)</f>
        <v>0</v>
      </c>
      <c r="P871" s="1">
        <f>+IFERROR(VLOOKUP(P20,'נתוני מים 2014'!$C$2:$L$188,2,0)/1000,0)</f>
        <v>11.253</v>
      </c>
      <c r="Q871" s="1">
        <f>+IFERROR(VLOOKUP(Q20,'נתוני מים 2014'!$C$2:$L$188,2,0)/1000,0)</f>
        <v>0</v>
      </c>
      <c r="R871" s="1">
        <f>+IFERROR(VLOOKUP(R20,'נתוני מים 2014'!$C$2:$L$188,2,0)/1000,0)</f>
        <v>0</v>
      </c>
      <c r="S871" s="1">
        <f>+IFERROR(VLOOKUP(S20,'נתוני מים 2014'!$C$2:$L$188,2,0)/1000,0)</f>
        <v>0</v>
      </c>
      <c r="T871" s="1">
        <f>+IFERROR(VLOOKUP(T20,'נתוני מים 2014'!$C$2:$L$188,2,0)/1000,0)</f>
        <v>0</v>
      </c>
      <c r="U871" s="1">
        <f>+IFERROR(VLOOKUP(U20,'נתוני מים 2014'!$C$2:$L$188,2,0)/1000,0)</f>
        <v>0</v>
      </c>
      <c r="V871" s="1">
        <f>+IFERROR(VLOOKUP(V20,'נתוני מים 2014'!$C$2:$L$188,2,0)/1000,0)</f>
        <v>0</v>
      </c>
      <c r="W871" s="1">
        <f>+IFERROR(VLOOKUP(W20,'נתוני מים 2014'!$C$2:$L$188,2,0)/1000,0)</f>
        <v>0</v>
      </c>
      <c r="X871" s="1">
        <f>+IFERROR(VLOOKUP(X20,'נתוני מים 2014'!$C$2:$L$188,2,0)/1000,0)</f>
        <v>0</v>
      </c>
      <c r="Y871" s="1">
        <f>+IFERROR(VLOOKUP(Y20,'נתוני מים 2014'!$C$2:$L$188,2,0)/1000,0)</f>
        <v>0</v>
      </c>
      <c r="Z871" s="1">
        <f>+IFERROR(VLOOKUP(Z20,'נתוני מים 2014'!$C$2:$L$188,2,0)/1000,0)</f>
        <v>0</v>
      </c>
      <c r="AA871" s="1">
        <f>+IFERROR(VLOOKUP(AA20,'נתוני מים 2014'!$C$2:$L$188,2,0)/1000,0)</f>
        <v>0</v>
      </c>
      <c r="AB871" s="1">
        <f>+IFERROR(VLOOKUP(AB20,'נתוני מים 2014'!$C$2:$L$188,2,0)/1000,0)</f>
        <v>0</v>
      </c>
      <c r="AC871" s="1">
        <f>+IFERROR(VLOOKUP(AC20,'נתוני מים 2014'!$C$2:$L$188,2,0)/1000,0)</f>
        <v>0</v>
      </c>
      <c r="AD871" s="1">
        <f>+IFERROR(VLOOKUP(AD20,'נתוני מים 2014'!$C$2:$L$188,2,0)/1000,0)</f>
        <v>0</v>
      </c>
      <c r="AE871" s="1">
        <f>+IFERROR(VLOOKUP(AE20,'נתוני מים 2014'!$C$2:$L$188,2,0)/1000,0)</f>
        <v>0</v>
      </c>
      <c r="AF871" s="1">
        <f>+IFERROR(VLOOKUP(AF20,'נתוני מים 2014'!$C$2:$L$188,2,0)/1000,0)</f>
        <v>0</v>
      </c>
      <c r="AG871" s="1">
        <f>+IFERROR(VLOOKUP(AG20,'נתוני מים 2014'!$C$2:$L$188,2,0)/1000,0)</f>
        <v>0</v>
      </c>
      <c r="AH871" s="1">
        <f>+IFERROR(VLOOKUP(AH20,'נתוני מים 2014'!$C$2:$L$188,2,0)/1000,0)</f>
        <v>0</v>
      </c>
      <c r="AI871" s="1">
        <f>+IFERROR(VLOOKUP(AI20,'נתוני מים 2014'!$C$2:$L$188,2,0)/1000,0)</f>
        <v>0</v>
      </c>
      <c r="AJ871" s="1">
        <f>+IFERROR(VLOOKUP(AJ20,'נתוני מים 2014'!$C$2:$L$188,2,0)/1000,0)</f>
        <v>0</v>
      </c>
      <c r="AK871" s="1">
        <f>+IFERROR(VLOOKUP(AK20,'נתוני מים 2014'!$C$2:$L$188,2,0)/1000,0)</f>
        <v>0</v>
      </c>
      <c r="AL871" s="1">
        <f>+IFERROR(VLOOKUP(AL20,'נתוני מים 2014'!$C$2:$L$188,2,0)/1000,0)</f>
        <v>0</v>
      </c>
      <c r="AM871" s="1">
        <f>+IFERROR(VLOOKUP(AM20,'נתוני מים 2014'!$C$2:$L$188,2,0)/1000,0)</f>
        <v>0</v>
      </c>
      <c r="AN871" s="1">
        <f>+IFERROR(VLOOKUP(AN20,'נתוני מים 2014'!$C$2:$L$188,2,0)/1000,0)</f>
        <v>0</v>
      </c>
      <c r="AO871" s="1">
        <f>+IFERROR(VLOOKUP(AO20,'נתוני מים 2014'!$C$2:$L$188,2,0)/1000,0)</f>
        <v>0</v>
      </c>
      <c r="AP871" s="1">
        <f>+IFERROR(VLOOKUP(AP20,'נתוני מים 2014'!$C$2:$L$188,2,0)/1000,0)</f>
        <v>0</v>
      </c>
      <c r="AQ871" s="1">
        <f>+IFERROR(VLOOKUP(AQ20,'נתוני מים 2014'!$C$2:$L$188,2,0)/1000,0)</f>
        <v>0</v>
      </c>
      <c r="AR871" s="1">
        <f>+IFERROR(VLOOKUP(AR20,'נתוני מים 2014'!$C$2:$L$188,2,0)/1000,0)</f>
        <v>0</v>
      </c>
      <c r="AS871" s="1">
        <f>+IFERROR(VLOOKUP(AS20,'נתוני מים 2014'!$C$2:$L$188,2,0)/1000,0)</f>
        <v>0</v>
      </c>
      <c r="AT871" s="1">
        <f>+IFERROR(VLOOKUP(AT20,'נתוני מים 2014'!$C$2:$L$188,2,0)/1000,0)</f>
        <v>0</v>
      </c>
      <c r="AU871" s="1">
        <f>+IFERROR(VLOOKUP(AU20,'נתוני מים 2014'!$C$2:$L$188,2,0)/1000,0)</f>
        <v>0</v>
      </c>
      <c r="AV871" s="1">
        <f>+IFERROR(VLOOKUP(AV20,'נתוני מים 2014'!$C$2:$L$188,2,0)/1000,0)</f>
        <v>0</v>
      </c>
      <c r="AW871" s="1">
        <f>+IFERROR(VLOOKUP(AW20,'נתוני מים 2014'!$C$2:$L$188,2,0)/1000,0)</f>
        <v>0</v>
      </c>
      <c r="AX871" s="1">
        <f>+IFERROR(VLOOKUP(AX20,'נתוני מים 2014'!$C$2:$L$188,2,0)/1000,0)</f>
        <v>0</v>
      </c>
      <c r="AY871" s="1">
        <f>+IFERROR(VLOOKUP(AY20,'נתוני מים 2014'!$C$2:$L$188,2,0)/1000,0)</f>
        <v>0</v>
      </c>
      <c r="AZ871" s="1">
        <f>+IFERROR(VLOOKUP(AZ20,'נתוני מים 2014'!$C$2:$L$188,2,0)/1000,0)</f>
        <v>0</v>
      </c>
      <c r="BA871" s="1">
        <f>+IFERROR(VLOOKUP(BA20,'נתוני מים 2014'!$C$2:$L$188,2,0)/1000,0)</f>
        <v>0</v>
      </c>
      <c r="BB871" s="1">
        <f>+IFERROR(VLOOKUP(BB20,'נתוני מים 2014'!$C$2:$L$188,2,0)/1000,0)</f>
        <v>0</v>
      </c>
      <c r="BC871" s="1">
        <f>+IFERROR(VLOOKUP(BC20,'נתוני מים 2014'!$C$2:$L$188,2,0)/1000,0)</f>
        <v>0</v>
      </c>
      <c r="BD871" s="1">
        <f>+IFERROR(VLOOKUP(BD20,'נתוני מים 2014'!$C$2:$L$188,2,0)/1000,0)</f>
        <v>0</v>
      </c>
      <c r="BE871" s="1">
        <f>+IFERROR(VLOOKUP(BE20,'נתוני מים 2014'!$C$2:$L$188,2,0)/1000,0)</f>
        <v>0</v>
      </c>
      <c r="BF871" s="1">
        <f>+IFERROR(VLOOKUP(BF20,'נתוני מים 2014'!$C$2:$L$188,2,0)/1000,0)</f>
        <v>0</v>
      </c>
    </row>
    <row r="872" spans="2:58" x14ac:dyDescent="0.2">
      <c r="B872" s="1">
        <v>14</v>
      </c>
      <c r="C872" s="1">
        <f>+IFERROR(VLOOKUP(C21,'נתוני מים 2014'!$C$2:$L$188,2,0)/1000,0)</f>
        <v>0</v>
      </c>
      <c r="D872" s="1">
        <f>+IFERROR(VLOOKUP(D21,'נתוני מים 2014'!$C$2:$L$188,2,0)/1000,0)</f>
        <v>0</v>
      </c>
      <c r="E872" s="1">
        <f>+IFERROR(VLOOKUP(E21,'נתוני מים 2014'!$C$2:$L$188,2,0)/1000,0)</f>
        <v>0</v>
      </c>
      <c r="F872" s="1">
        <f>+IFERROR(VLOOKUP(F21,'נתוני מים 2014'!$C$2:$L$188,2,0)/1000,0)</f>
        <v>0</v>
      </c>
      <c r="G872" s="1">
        <f>+IFERROR(VLOOKUP(G21,'נתוני מים 2014'!$C$2:$L$188,2,0)/1000,0)</f>
        <v>0</v>
      </c>
      <c r="H872" s="1">
        <f>+IFERROR(VLOOKUP(H21,'נתוני מים 2014'!$C$2:$L$188,2,0)/1000,0)</f>
        <v>0</v>
      </c>
      <c r="I872" s="1">
        <f>+IFERROR(VLOOKUP(I21,'נתוני מים 2014'!$C$2:$L$188,2,0)/1000,0)</f>
        <v>0</v>
      </c>
      <c r="J872" s="1">
        <f>+IFERROR(VLOOKUP(J21,'נתוני מים 2014'!$C$2:$L$188,2,0)/1000,0)</f>
        <v>0</v>
      </c>
      <c r="K872" s="1">
        <f>+IFERROR(VLOOKUP(K21,'נתוני מים 2014'!$C$2:$L$188,2,0)/1000,0)</f>
        <v>0</v>
      </c>
      <c r="L872" s="1">
        <f>+IFERROR(VLOOKUP(L21,'נתוני מים 2014'!$C$2:$L$188,2,0)/1000,0)</f>
        <v>0</v>
      </c>
      <c r="M872" s="1">
        <f>+IFERROR(VLOOKUP(M21,'נתוני מים 2014'!$C$2:$L$188,2,0)/1000,0)</f>
        <v>0</v>
      </c>
      <c r="N872" s="1">
        <f>+IFERROR(VLOOKUP(N21,'נתוני מים 2014'!$C$2:$L$188,2,0)/1000,0)</f>
        <v>0</v>
      </c>
      <c r="O872" s="1">
        <f>+IFERROR(VLOOKUP(O21,'נתוני מים 2014'!$C$2:$L$188,2,0)/1000,0)</f>
        <v>0</v>
      </c>
      <c r="P872" s="1">
        <f>+IFERROR(VLOOKUP(P21,'נתוני מים 2014'!$C$2:$L$188,2,0)/1000,0)</f>
        <v>0</v>
      </c>
      <c r="Q872" s="1">
        <f>+IFERROR(VLOOKUP(Q21,'נתוני מים 2014'!$C$2:$L$188,2,0)/1000,0)</f>
        <v>0</v>
      </c>
      <c r="R872" s="1">
        <f>+IFERROR(VLOOKUP(R21,'נתוני מים 2014'!$C$2:$L$188,2,0)/1000,0)</f>
        <v>0</v>
      </c>
      <c r="S872" s="1">
        <f>+IFERROR(VLOOKUP(S21,'נתוני מים 2014'!$C$2:$L$188,2,0)/1000,0)</f>
        <v>0</v>
      </c>
      <c r="T872" s="1">
        <f>+IFERROR(VLOOKUP(T21,'נתוני מים 2014'!$C$2:$L$188,2,0)/1000,0)</f>
        <v>0</v>
      </c>
      <c r="U872" s="1">
        <f>+IFERROR(VLOOKUP(U21,'נתוני מים 2014'!$C$2:$L$188,2,0)/1000,0)</f>
        <v>0</v>
      </c>
      <c r="V872" s="1">
        <f>+IFERROR(VLOOKUP(V21,'נתוני מים 2014'!$C$2:$L$188,2,0)/1000,0)</f>
        <v>0</v>
      </c>
      <c r="W872" s="1">
        <f>+IFERROR(VLOOKUP(W21,'נתוני מים 2014'!$C$2:$L$188,2,0)/1000,0)</f>
        <v>0</v>
      </c>
      <c r="X872" s="1">
        <f>+IFERROR(VLOOKUP(X21,'נתוני מים 2014'!$C$2:$L$188,2,0)/1000,0)</f>
        <v>0</v>
      </c>
      <c r="Y872" s="1">
        <f>+IFERROR(VLOOKUP(Y21,'נתוני מים 2014'!$C$2:$L$188,2,0)/1000,0)</f>
        <v>0</v>
      </c>
      <c r="Z872" s="1">
        <f>+IFERROR(VLOOKUP(Z21,'נתוני מים 2014'!$C$2:$L$188,2,0)/1000,0)</f>
        <v>0</v>
      </c>
      <c r="AA872" s="1">
        <f>+IFERROR(VLOOKUP(AA21,'נתוני מים 2014'!$C$2:$L$188,2,0)/1000,0)</f>
        <v>0</v>
      </c>
      <c r="AB872" s="1">
        <f>+IFERROR(VLOOKUP(AB21,'נתוני מים 2014'!$C$2:$L$188,2,0)/1000,0)</f>
        <v>0</v>
      </c>
      <c r="AC872" s="1">
        <f>+IFERROR(VLOOKUP(AC21,'נתוני מים 2014'!$C$2:$L$188,2,0)/1000,0)</f>
        <v>0</v>
      </c>
      <c r="AD872" s="1">
        <f>+IFERROR(VLOOKUP(AD21,'נתוני מים 2014'!$C$2:$L$188,2,0)/1000,0)</f>
        <v>0</v>
      </c>
      <c r="AE872" s="1">
        <f>+IFERROR(VLOOKUP(AE21,'נתוני מים 2014'!$C$2:$L$188,2,0)/1000,0)</f>
        <v>0</v>
      </c>
      <c r="AF872" s="1">
        <f>+IFERROR(VLOOKUP(AF21,'נתוני מים 2014'!$C$2:$L$188,2,0)/1000,0)</f>
        <v>0</v>
      </c>
      <c r="AG872" s="1">
        <f>+IFERROR(VLOOKUP(AG21,'נתוני מים 2014'!$C$2:$L$188,2,0)/1000,0)</f>
        <v>0</v>
      </c>
      <c r="AH872" s="1">
        <f>+IFERROR(VLOOKUP(AH21,'נתוני מים 2014'!$C$2:$L$188,2,0)/1000,0)</f>
        <v>0</v>
      </c>
      <c r="AI872" s="1">
        <f>+IFERROR(VLOOKUP(AI21,'נתוני מים 2014'!$C$2:$L$188,2,0)/1000,0)</f>
        <v>0</v>
      </c>
      <c r="AJ872" s="1">
        <f>+IFERROR(VLOOKUP(AJ21,'נתוני מים 2014'!$C$2:$L$188,2,0)/1000,0)</f>
        <v>0</v>
      </c>
      <c r="AK872" s="1">
        <f>+IFERROR(VLOOKUP(AK21,'נתוני מים 2014'!$C$2:$L$188,2,0)/1000,0)</f>
        <v>0</v>
      </c>
      <c r="AL872" s="1">
        <f>+IFERROR(VLOOKUP(AL21,'נתוני מים 2014'!$C$2:$L$188,2,0)/1000,0)</f>
        <v>0</v>
      </c>
      <c r="AM872" s="1">
        <f>+IFERROR(VLOOKUP(AM21,'נתוני מים 2014'!$C$2:$L$188,2,0)/1000,0)</f>
        <v>0</v>
      </c>
      <c r="AN872" s="1">
        <f>+IFERROR(VLOOKUP(AN21,'נתוני מים 2014'!$C$2:$L$188,2,0)/1000,0)</f>
        <v>0</v>
      </c>
      <c r="AO872" s="1">
        <f>+IFERROR(VLOOKUP(AO21,'נתוני מים 2014'!$C$2:$L$188,2,0)/1000,0)</f>
        <v>0</v>
      </c>
      <c r="AP872" s="1">
        <f>+IFERROR(VLOOKUP(AP21,'נתוני מים 2014'!$C$2:$L$188,2,0)/1000,0)</f>
        <v>0</v>
      </c>
      <c r="AQ872" s="1">
        <f>+IFERROR(VLOOKUP(AQ21,'נתוני מים 2014'!$C$2:$L$188,2,0)/1000,0)</f>
        <v>0</v>
      </c>
      <c r="AR872" s="1">
        <f>+IFERROR(VLOOKUP(AR21,'נתוני מים 2014'!$C$2:$L$188,2,0)/1000,0)</f>
        <v>0</v>
      </c>
      <c r="AS872" s="1">
        <f>+IFERROR(VLOOKUP(AS21,'נתוני מים 2014'!$C$2:$L$188,2,0)/1000,0)</f>
        <v>0</v>
      </c>
      <c r="AT872" s="1">
        <f>+IFERROR(VLOOKUP(AT21,'נתוני מים 2014'!$C$2:$L$188,2,0)/1000,0)</f>
        <v>0</v>
      </c>
      <c r="AU872" s="1">
        <f>+IFERROR(VLOOKUP(AU21,'נתוני מים 2014'!$C$2:$L$188,2,0)/1000,0)</f>
        <v>0</v>
      </c>
      <c r="AV872" s="1">
        <f>+IFERROR(VLOOKUP(AV21,'נתוני מים 2014'!$C$2:$L$188,2,0)/1000,0)</f>
        <v>0</v>
      </c>
      <c r="AW872" s="1">
        <f>+IFERROR(VLOOKUP(AW21,'נתוני מים 2014'!$C$2:$L$188,2,0)/1000,0)</f>
        <v>0</v>
      </c>
      <c r="AX872" s="1">
        <f>+IFERROR(VLOOKUP(AX21,'נתוני מים 2014'!$C$2:$L$188,2,0)/1000,0)</f>
        <v>0</v>
      </c>
      <c r="AY872" s="1">
        <f>+IFERROR(VLOOKUP(AY21,'נתוני מים 2014'!$C$2:$L$188,2,0)/1000,0)</f>
        <v>0</v>
      </c>
      <c r="AZ872" s="1">
        <f>+IFERROR(VLOOKUP(AZ21,'נתוני מים 2014'!$C$2:$L$188,2,0)/1000,0)</f>
        <v>0</v>
      </c>
      <c r="BA872" s="1">
        <f>+IFERROR(VLOOKUP(BA21,'נתוני מים 2014'!$C$2:$L$188,2,0)/1000,0)</f>
        <v>0</v>
      </c>
      <c r="BB872" s="1">
        <f>+IFERROR(VLOOKUP(BB21,'נתוני מים 2014'!$C$2:$L$188,2,0)/1000,0)</f>
        <v>0</v>
      </c>
      <c r="BC872" s="1">
        <f>+IFERROR(VLOOKUP(BC21,'נתוני מים 2014'!$C$2:$L$188,2,0)/1000,0)</f>
        <v>0</v>
      </c>
      <c r="BD872" s="1">
        <f>+IFERROR(VLOOKUP(BD21,'נתוני מים 2014'!$C$2:$L$188,2,0)/1000,0)</f>
        <v>0</v>
      </c>
      <c r="BE872" s="1">
        <f>+IFERROR(VLOOKUP(BE21,'נתוני מים 2014'!$C$2:$L$188,2,0)/1000,0)</f>
        <v>0</v>
      </c>
      <c r="BF872" s="1">
        <f>+IFERROR(VLOOKUP(BF21,'נתוני מים 2014'!$C$2:$L$188,2,0)/1000,0)</f>
        <v>0</v>
      </c>
    </row>
    <row r="873" spans="2:58" x14ac:dyDescent="0.2">
      <c r="B873" s="1">
        <v>15</v>
      </c>
      <c r="C873" s="1">
        <f>+IFERROR(VLOOKUP(C22,'נתוני מים 2014'!$C$2:$L$188,2,0)/1000,0)</f>
        <v>0</v>
      </c>
      <c r="D873" s="1">
        <f>+IFERROR(VLOOKUP(D22,'נתוני מים 2014'!$C$2:$L$188,2,0)/1000,0)</f>
        <v>0</v>
      </c>
      <c r="E873" s="1">
        <f>+IFERROR(VLOOKUP(E22,'נתוני מים 2014'!$C$2:$L$188,2,0)/1000,0)</f>
        <v>0</v>
      </c>
      <c r="F873" s="1">
        <f>+IFERROR(VLOOKUP(F22,'נתוני מים 2014'!$C$2:$L$188,2,0)/1000,0)</f>
        <v>0</v>
      </c>
      <c r="G873" s="1">
        <f>+IFERROR(VLOOKUP(G22,'נתוני מים 2014'!$C$2:$L$188,2,0)/1000,0)</f>
        <v>0</v>
      </c>
      <c r="H873" s="1">
        <f>+IFERROR(VLOOKUP(H22,'נתוני מים 2014'!$C$2:$L$188,2,0)/1000,0)</f>
        <v>0</v>
      </c>
      <c r="I873" s="1">
        <f>+IFERROR(VLOOKUP(I22,'נתוני מים 2014'!$C$2:$L$188,2,0)/1000,0)</f>
        <v>0</v>
      </c>
      <c r="J873" s="1">
        <f>+IFERROR(VLOOKUP(J22,'נתוני מים 2014'!$C$2:$L$188,2,0)/1000,0)</f>
        <v>0</v>
      </c>
      <c r="K873" s="1">
        <f>+IFERROR(VLOOKUP(K22,'נתוני מים 2014'!$C$2:$L$188,2,0)/1000,0)</f>
        <v>0</v>
      </c>
      <c r="L873" s="1">
        <f>+IFERROR(VLOOKUP(L22,'נתוני מים 2014'!$C$2:$L$188,2,0)/1000,0)</f>
        <v>0</v>
      </c>
      <c r="M873" s="1">
        <f>+IFERROR(VLOOKUP(M22,'נתוני מים 2014'!$C$2:$L$188,2,0)/1000,0)</f>
        <v>0</v>
      </c>
      <c r="N873" s="1">
        <f>+IFERROR(VLOOKUP(N22,'נתוני מים 2014'!$C$2:$L$188,2,0)/1000,0)</f>
        <v>0</v>
      </c>
      <c r="O873" s="1">
        <f>+IFERROR(VLOOKUP(O22,'נתוני מים 2014'!$C$2:$L$188,2,0)/1000,0)</f>
        <v>0</v>
      </c>
      <c r="P873" s="1">
        <f>+IFERROR(VLOOKUP(P22,'נתוני מים 2014'!$C$2:$L$188,2,0)/1000,0)</f>
        <v>0</v>
      </c>
      <c r="Q873" s="1">
        <f>+IFERROR(VLOOKUP(Q22,'נתוני מים 2014'!$C$2:$L$188,2,0)/1000,0)</f>
        <v>0</v>
      </c>
      <c r="R873" s="1">
        <f>+IFERROR(VLOOKUP(R22,'נתוני מים 2014'!$C$2:$L$188,2,0)/1000,0)</f>
        <v>0</v>
      </c>
      <c r="S873" s="1">
        <f>+IFERROR(VLOOKUP(S22,'נתוני מים 2014'!$C$2:$L$188,2,0)/1000,0)</f>
        <v>0</v>
      </c>
      <c r="T873" s="1">
        <f>+IFERROR(VLOOKUP(T22,'נתוני מים 2014'!$C$2:$L$188,2,0)/1000,0)</f>
        <v>0</v>
      </c>
      <c r="U873" s="1">
        <f>+IFERROR(VLOOKUP(U22,'נתוני מים 2014'!$C$2:$L$188,2,0)/1000,0)</f>
        <v>0</v>
      </c>
      <c r="V873" s="1">
        <f>+IFERROR(VLOOKUP(V22,'נתוני מים 2014'!$C$2:$L$188,2,0)/1000,0)</f>
        <v>0</v>
      </c>
      <c r="W873" s="1">
        <f>+IFERROR(VLOOKUP(W22,'נתוני מים 2014'!$C$2:$L$188,2,0)/1000,0)</f>
        <v>0</v>
      </c>
      <c r="X873" s="1">
        <f>+IFERROR(VLOOKUP(X22,'נתוני מים 2014'!$C$2:$L$188,2,0)/1000,0)</f>
        <v>0</v>
      </c>
      <c r="Y873" s="1">
        <f>+IFERROR(VLOOKUP(Y22,'נתוני מים 2014'!$C$2:$L$188,2,0)/1000,0)</f>
        <v>0</v>
      </c>
      <c r="Z873" s="1">
        <f>+IFERROR(VLOOKUP(Z22,'נתוני מים 2014'!$C$2:$L$188,2,0)/1000,0)</f>
        <v>0</v>
      </c>
      <c r="AA873" s="1">
        <f>+IFERROR(VLOOKUP(AA22,'נתוני מים 2014'!$C$2:$L$188,2,0)/1000,0)</f>
        <v>0</v>
      </c>
      <c r="AB873" s="1">
        <f>+IFERROR(VLOOKUP(AB22,'נתוני מים 2014'!$C$2:$L$188,2,0)/1000,0)</f>
        <v>0</v>
      </c>
      <c r="AC873" s="1">
        <f>+IFERROR(VLOOKUP(AC22,'נתוני מים 2014'!$C$2:$L$188,2,0)/1000,0)</f>
        <v>0</v>
      </c>
      <c r="AD873" s="1">
        <f>+IFERROR(VLOOKUP(AD22,'נתוני מים 2014'!$C$2:$L$188,2,0)/1000,0)</f>
        <v>0</v>
      </c>
      <c r="AE873" s="1">
        <f>+IFERROR(VLOOKUP(AE22,'נתוני מים 2014'!$C$2:$L$188,2,0)/1000,0)</f>
        <v>0</v>
      </c>
      <c r="AF873" s="1">
        <f>+IFERROR(VLOOKUP(AF22,'נתוני מים 2014'!$C$2:$L$188,2,0)/1000,0)</f>
        <v>0</v>
      </c>
      <c r="AG873" s="1">
        <f>+IFERROR(VLOOKUP(AG22,'נתוני מים 2014'!$C$2:$L$188,2,0)/1000,0)</f>
        <v>0</v>
      </c>
      <c r="AH873" s="1">
        <f>+IFERROR(VLOOKUP(AH22,'נתוני מים 2014'!$C$2:$L$188,2,0)/1000,0)</f>
        <v>0</v>
      </c>
      <c r="AI873" s="1">
        <f>+IFERROR(VLOOKUP(AI22,'נתוני מים 2014'!$C$2:$L$188,2,0)/1000,0)</f>
        <v>0</v>
      </c>
      <c r="AJ873" s="1">
        <f>+IFERROR(VLOOKUP(AJ22,'נתוני מים 2014'!$C$2:$L$188,2,0)/1000,0)</f>
        <v>0</v>
      </c>
      <c r="AK873" s="1">
        <f>+IFERROR(VLOOKUP(AK22,'נתוני מים 2014'!$C$2:$L$188,2,0)/1000,0)</f>
        <v>0</v>
      </c>
      <c r="AL873" s="1">
        <f>+IFERROR(VLOOKUP(AL22,'נתוני מים 2014'!$C$2:$L$188,2,0)/1000,0)</f>
        <v>0</v>
      </c>
      <c r="AM873" s="1">
        <f>+IFERROR(VLOOKUP(AM22,'נתוני מים 2014'!$C$2:$L$188,2,0)/1000,0)</f>
        <v>0</v>
      </c>
      <c r="AN873" s="1">
        <f>+IFERROR(VLOOKUP(AN22,'נתוני מים 2014'!$C$2:$L$188,2,0)/1000,0)</f>
        <v>0</v>
      </c>
      <c r="AO873" s="1">
        <f>+IFERROR(VLOOKUP(AO22,'נתוני מים 2014'!$C$2:$L$188,2,0)/1000,0)</f>
        <v>0</v>
      </c>
      <c r="AP873" s="1">
        <f>+IFERROR(VLOOKUP(AP22,'נתוני מים 2014'!$C$2:$L$188,2,0)/1000,0)</f>
        <v>0</v>
      </c>
      <c r="AQ873" s="1">
        <f>+IFERROR(VLOOKUP(AQ22,'נתוני מים 2014'!$C$2:$L$188,2,0)/1000,0)</f>
        <v>0</v>
      </c>
      <c r="AR873" s="1">
        <f>+IFERROR(VLOOKUP(AR22,'נתוני מים 2014'!$C$2:$L$188,2,0)/1000,0)</f>
        <v>0</v>
      </c>
      <c r="AS873" s="1">
        <f>+IFERROR(VLOOKUP(AS22,'נתוני מים 2014'!$C$2:$L$188,2,0)/1000,0)</f>
        <v>0</v>
      </c>
      <c r="AT873" s="1">
        <f>+IFERROR(VLOOKUP(AT22,'נתוני מים 2014'!$C$2:$L$188,2,0)/1000,0)</f>
        <v>0</v>
      </c>
      <c r="AU873" s="1">
        <f>+IFERROR(VLOOKUP(AU22,'נתוני מים 2014'!$C$2:$L$188,2,0)/1000,0)</f>
        <v>0</v>
      </c>
      <c r="AV873" s="1">
        <f>+IFERROR(VLOOKUP(AV22,'נתוני מים 2014'!$C$2:$L$188,2,0)/1000,0)</f>
        <v>0</v>
      </c>
      <c r="AW873" s="1">
        <f>+IFERROR(VLOOKUP(AW22,'נתוני מים 2014'!$C$2:$L$188,2,0)/1000,0)</f>
        <v>0</v>
      </c>
      <c r="AX873" s="1">
        <f>+IFERROR(VLOOKUP(AX22,'נתוני מים 2014'!$C$2:$L$188,2,0)/1000,0)</f>
        <v>0</v>
      </c>
      <c r="AY873" s="1">
        <f>+IFERROR(VLOOKUP(AY22,'נתוני מים 2014'!$C$2:$L$188,2,0)/1000,0)</f>
        <v>0</v>
      </c>
      <c r="AZ873" s="1">
        <f>+IFERROR(VLOOKUP(AZ22,'נתוני מים 2014'!$C$2:$L$188,2,0)/1000,0)</f>
        <v>0</v>
      </c>
      <c r="BA873" s="1">
        <f>+IFERROR(VLOOKUP(BA22,'נתוני מים 2014'!$C$2:$L$188,2,0)/1000,0)</f>
        <v>0</v>
      </c>
      <c r="BB873" s="1">
        <f>+IFERROR(VLOOKUP(BB22,'נתוני מים 2014'!$C$2:$L$188,2,0)/1000,0)</f>
        <v>0</v>
      </c>
      <c r="BC873" s="1">
        <f>+IFERROR(VLOOKUP(BC22,'נתוני מים 2014'!$C$2:$L$188,2,0)/1000,0)</f>
        <v>0</v>
      </c>
      <c r="BD873" s="1">
        <f>+IFERROR(VLOOKUP(BD22,'נתוני מים 2014'!$C$2:$L$188,2,0)/1000,0)</f>
        <v>0</v>
      </c>
      <c r="BE873" s="1">
        <f>+IFERROR(VLOOKUP(BE22,'נתוני מים 2014'!$C$2:$L$188,2,0)/1000,0)</f>
        <v>0</v>
      </c>
      <c r="BF873" s="1">
        <f>+IFERROR(VLOOKUP(BF22,'נתוני מים 2014'!$C$2:$L$188,2,0)/1000,0)</f>
        <v>0</v>
      </c>
    </row>
    <row r="874" spans="2:58" x14ac:dyDescent="0.2">
      <c r="B874" s="1">
        <v>16</v>
      </c>
      <c r="C874" s="1">
        <f>+IFERROR(VLOOKUP(C23,'נתוני מים 2014'!$C$2:$L$188,2,0)/1000,0)</f>
        <v>0</v>
      </c>
      <c r="D874" s="1">
        <f>+IFERROR(VLOOKUP(D23,'נתוני מים 2014'!$C$2:$L$188,2,0)/1000,0)</f>
        <v>0</v>
      </c>
      <c r="E874" s="1">
        <f>+IFERROR(VLOOKUP(E23,'נתוני מים 2014'!$C$2:$L$188,2,0)/1000,0)</f>
        <v>0</v>
      </c>
      <c r="F874" s="1">
        <f>+IFERROR(VLOOKUP(F23,'נתוני מים 2014'!$C$2:$L$188,2,0)/1000,0)</f>
        <v>0</v>
      </c>
      <c r="G874" s="1">
        <f>+IFERROR(VLOOKUP(G23,'נתוני מים 2014'!$C$2:$L$188,2,0)/1000,0)</f>
        <v>0</v>
      </c>
      <c r="H874" s="1">
        <f>+IFERROR(VLOOKUP(H23,'נתוני מים 2014'!$C$2:$L$188,2,0)/1000,0)</f>
        <v>0</v>
      </c>
      <c r="I874" s="1">
        <f>+IFERROR(VLOOKUP(I23,'נתוני מים 2014'!$C$2:$L$188,2,0)/1000,0)</f>
        <v>0</v>
      </c>
      <c r="J874" s="1">
        <f>+IFERROR(VLOOKUP(J23,'נתוני מים 2014'!$C$2:$L$188,2,0)/1000,0)</f>
        <v>0</v>
      </c>
      <c r="K874" s="1">
        <f>+IFERROR(VLOOKUP(K23,'נתוני מים 2014'!$C$2:$L$188,2,0)/1000,0)</f>
        <v>0</v>
      </c>
      <c r="L874" s="1">
        <f>+IFERROR(VLOOKUP(L23,'נתוני מים 2014'!$C$2:$L$188,2,0)/1000,0)</f>
        <v>0</v>
      </c>
      <c r="M874" s="1">
        <f>+IFERROR(VLOOKUP(M23,'נתוני מים 2014'!$C$2:$L$188,2,0)/1000,0)</f>
        <v>0</v>
      </c>
      <c r="N874" s="1">
        <f>+IFERROR(VLOOKUP(N23,'נתוני מים 2014'!$C$2:$L$188,2,0)/1000,0)</f>
        <v>0</v>
      </c>
      <c r="O874" s="1">
        <f>+IFERROR(VLOOKUP(O23,'נתוני מים 2014'!$C$2:$L$188,2,0)/1000,0)</f>
        <v>0</v>
      </c>
      <c r="P874" s="1">
        <f>+IFERROR(VLOOKUP(P23,'נתוני מים 2014'!$C$2:$L$188,2,0)/1000,0)</f>
        <v>0</v>
      </c>
      <c r="Q874" s="1">
        <f>+IFERROR(VLOOKUP(Q23,'נתוני מים 2014'!$C$2:$L$188,2,0)/1000,0)</f>
        <v>0</v>
      </c>
      <c r="R874" s="1">
        <f>+IFERROR(VLOOKUP(R23,'נתוני מים 2014'!$C$2:$L$188,2,0)/1000,0)</f>
        <v>0</v>
      </c>
      <c r="S874" s="1">
        <f>+IFERROR(VLOOKUP(S23,'נתוני מים 2014'!$C$2:$L$188,2,0)/1000,0)</f>
        <v>0</v>
      </c>
      <c r="T874" s="1">
        <f>+IFERROR(VLOOKUP(T23,'נתוני מים 2014'!$C$2:$L$188,2,0)/1000,0)</f>
        <v>0</v>
      </c>
      <c r="U874" s="1">
        <f>+IFERROR(VLOOKUP(U23,'נתוני מים 2014'!$C$2:$L$188,2,0)/1000,0)</f>
        <v>0</v>
      </c>
      <c r="V874" s="1">
        <f>+IFERROR(VLOOKUP(V23,'נתוני מים 2014'!$C$2:$L$188,2,0)/1000,0)</f>
        <v>0</v>
      </c>
      <c r="W874" s="1">
        <f>+IFERROR(VLOOKUP(W23,'נתוני מים 2014'!$C$2:$L$188,2,0)/1000,0)</f>
        <v>0</v>
      </c>
      <c r="X874" s="1">
        <f>+IFERROR(VLOOKUP(X23,'נתוני מים 2014'!$C$2:$L$188,2,0)/1000,0)</f>
        <v>0</v>
      </c>
      <c r="Y874" s="1">
        <f>+IFERROR(VLOOKUP(Y23,'נתוני מים 2014'!$C$2:$L$188,2,0)/1000,0)</f>
        <v>0</v>
      </c>
      <c r="Z874" s="1">
        <f>+IFERROR(VLOOKUP(Z23,'נתוני מים 2014'!$C$2:$L$188,2,0)/1000,0)</f>
        <v>0</v>
      </c>
      <c r="AA874" s="1">
        <f>+IFERROR(VLOOKUP(AA23,'נתוני מים 2014'!$C$2:$L$188,2,0)/1000,0)</f>
        <v>0</v>
      </c>
      <c r="AB874" s="1">
        <f>+IFERROR(VLOOKUP(AB23,'נתוני מים 2014'!$C$2:$L$188,2,0)/1000,0)</f>
        <v>0</v>
      </c>
      <c r="AC874" s="1">
        <f>+IFERROR(VLOOKUP(AC23,'נתוני מים 2014'!$C$2:$L$188,2,0)/1000,0)</f>
        <v>0</v>
      </c>
      <c r="AD874" s="1">
        <f>+IFERROR(VLOOKUP(AD23,'נתוני מים 2014'!$C$2:$L$188,2,0)/1000,0)</f>
        <v>0</v>
      </c>
      <c r="AE874" s="1">
        <f>+IFERROR(VLOOKUP(AE23,'נתוני מים 2014'!$C$2:$L$188,2,0)/1000,0)</f>
        <v>0</v>
      </c>
      <c r="AF874" s="1">
        <f>+IFERROR(VLOOKUP(AF23,'נתוני מים 2014'!$C$2:$L$188,2,0)/1000,0)</f>
        <v>0</v>
      </c>
      <c r="AG874" s="1">
        <f>+IFERROR(VLOOKUP(AG23,'נתוני מים 2014'!$C$2:$L$188,2,0)/1000,0)</f>
        <v>0</v>
      </c>
      <c r="AH874" s="1">
        <f>+IFERROR(VLOOKUP(AH23,'נתוני מים 2014'!$C$2:$L$188,2,0)/1000,0)</f>
        <v>0</v>
      </c>
      <c r="AI874" s="1">
        <f>+IFERROR(VLOOKUP(AI23,'נתוני מים 2014'!$C$2:$L$188,2,0)/1000,0)</f>
        <v>0</v>
      </c>
      <c r="AJ874" s="1">
        <f>+IFERROR(VLOOKUP(AJ23,'נתוני מים 2014'!$C$2:$L$188,2,0)/1000,0)</f>
        <v>0</v>
      </c>
      <c r="AK874" s="1">
        <f>+IFERROR(VLOOKUP(AK23,'נתוני מים 2014'!$C$2:$L$188,2,0)/1000,0)</f>
        <v>0</v>
      </c>
      <c r="AL874" s="1">
        <f>+IFERROR(VLOOKUP(AL23,'נתוני מים 2014'!$C$2:$L$188,2,0)/1000,0)</f>
        <v>0</v>
      </c>
      <c r="AM874" s="1">
        <f>+IFERROR(VLOOKUP(AM23,'נתוני מים 2014'!$C$2:$L$188,2,0)/1000,0)</f>
        <v>0</v>
      </c>
      <c r="AN874" s="1">
        <f>+IFERROR(VLOOKUP(AN23,'נתוני מים 2014'!$C$2:$L$188,2,0)/1000,0)</f>
        <v>0</v>
      </c>
      <c r="AO874" s="1">
        <f>+IFERROR(VLOOKUP(AO23,'נתוני מים 2014'!$C$2:$L$188,2,0)/1000,0)</f>
        <v>0</v>
      </c>
      <c r="AP874" s="1">
        <f>+IFERROR(VLOOKUP(AP23,'נתוני מים 2014'!$C$2:$L$188,2,0)/1000,0)</f>
        <v>0</v>
      </c>
      <c r="AQ874" s="1">
        <f>+IFERROR(VLOOKUP(AQ23,'נתוני מים 2014'!$C$2:$L$188,2,0)/1000,0)</f>
        <v>0</v>
      </c>
      <c r="AR874" s="1">
        <f>+IFERROR(VLOOKUP(AR23,'נתוני מים 2014'!$C$2:$L$188,2,0)/1000,0)</f>
        <v>0</v>
      </c>
      <c r="AS874" s="1">
        <f>+IFERROR(VLOOKUP(AS23,'נתוני מים 2014'!$C$2:$L$188,2,0)/1000,0)</f>
        <v>0</v>
      </c>
      <c r="AT874" s="1">
        <f>+IFERROR(VLOOKUP(AT23,'נתוני מים 2014'!$C$2:$L$188,2,0)/1000,0)</f>
        <v>0</v>
      </c>
      <c r="AU874" s="1">
        <f>+IFERROR(VLOOKUP(AU23,'נתוני מים 2014'!$C$2:$L$188,2,0)/1000,0)</f>
        <v>0</v>
      </c>
      <c r="AV874" s="1">
        <f>+IFERROR(VLOOKUP(AV23,'נתוני מים 2014'!$C$2:$L$188,2,0)/1000,0)</f>
        <v>0</v>
      </c>
      <c r="AW874" s="1">
        <f>+IFERROR(VLOOKUP(AW23,'נתוני מים 2014'!$C$2:$L$188,2,0)/1000,0)</f>
        <v>0</v>
      </c>
      <c r="AX874" s="1">
        <f>+IFERROR(VLOOKUP(AX23,'נתוני מים 2014'!$C$2:$L$188,2,0)/1000,0)</f>
        <v>0</v>
      </c>
      <c r="AY874" s="1">
        <f>+IFERROR(VLOOKUP(AY23,'נתוני מים 2014'!$C$2:$L$188,2,0)/1000,0)</f>
        <v>0</v>
      </c>
      <c r="AZ874" s="1">
        <f>+IFERROR(VLOOKUP(AZ23,'נתוני מים 2014'!$C$2:$L$188,2,0)/1000,0)</f>
        <v>0</v>
      </c>
      <c r="BA874" s="1">
        <f>+IFERROR(VLOOKUP(BA23,'נתוני מים 2014'!$C$2:$L$188,2,0)/1000,0)</f>
        <v>0</v>
      </c>
      <c r="BB874" s="1">
        <f>+IFERROR(VLOOKUP(BB23,'נתוני מים 2014'!$C$2:$L$188,2,0)/1000,0)</f>
        <v>0</v>
      </c>
      <c r="BC874" s="1">
        <f>+IFERROR(VLOOKUP(BC23,'נתוני מים 2014'!$C$2:$L$188,2,0)/1000,0)</f>
        <v>0</v>
      </c>
      <c r="BD874" s="1">
        <f>+IFERROR(VLOOKUP(BD23,'נתוני מים 2014'!$C$2:$L$188,2,0)/1000,0)</f>
        <v>0</v>
      </c>
      <c r="BE874" s="1">
        <f>+IFERROR(VLOOKUP(BE23,'נתוני מים 2014'!$C$2:$L$188,2,0)/1000,0)</f>
        <v>0</v>
      </c>
      <c r="BF874" s="1">
        <f>+IFERROR(VLOOKUP(BF23,'נתוני מים 2014'!$C$2:$L$188,2,0)/1000,0)</f>
        <v>0</v>
      </c>
    </row>
    <row r="875" spans="2:58" x14ac:dyDescent="0.2">
      <c r="B875" s="1">
        <v>17</v>
      </c>
      <c r="C875" s="1">
        <f>+IFERROR(VLOOKUP(C24,'נתוני מים 2014'!$C$2:$L$188,2,0)/1000,0)</f>
        <v>0</v>
      </c>
      <c r="D875" s="1">
        <f>+IFERROR(VLOOKUP(D24,'נתוני מים 2014'!$C$2:$L$188,2,0)/1000,0)</f>
        <v>0</v>
      </c>
      <c r="E875" s="1">
        <f>+IFERROR(VLOOKUP(E24,'נתוני מים 2014'!$C$2:$L$188,2,0)/1000,0)</f>
        <v>0</v>
      </c>
      <c r="F875" s="1">
        <f>+IFERROR(VLOOKUP(F24,'נתוני מים 2014'!$C$2:$L$188,2,0)/1000,0)</f>
        <v>0</v>
      </c>
      <c r="G875" s="1">
        <f>+IFERROR(VLOOKUP(G24,'נתוני מים 2014'!$C$2:$L$188,2,0)/1000,0)</f>
        <v>0</v>
      </c>
      <c r="H875" s="1">
        <f>+IFERROR(VLOOKUP(H24,'נתוני מים 2014'!$C$2:$L$188,2,0)/1000,0)</f>
        <v>0</v>
      </c>
      <c r="I875" s="1">
        <f>+IFERROR(VLOOKUP(I24,'נתוני מים 2014'!$C$2:$L$188,2,0)/1000,0)</f>
        <v>0</v>
      </c>
      <c r="J875" s="1">
        <f>+IFERROR(VLOOKUP(J24,'נתוני מים 2014'!$C$2:$L$188,2,0)/1000,0)</f>
        <v>0</v>
      </c>
      <c r="K875" s="1">
        <f>+IFERROR(VLOOKUP(K24,'נתוני מים 2014'!$C$2:$L$188,2,0)/1000,0)</f>
        <v>0</v>
      </c>
      <c r="L875" s="1">
        <f>+IFERROR(VLOOKUP(L24,'נתוני מים 2014'!$C$2:$L$188,2,0)/1000,0)</f>
        <v>0</v>
      </c>
      <c r="M875" s="1">
        <f>+IFERROR(VLOOKUP(M24,'נתוני מים 2014'!$C$2:$L$188,2,0)/1000,0)</f>
        <v>0</v>
      </c>
      <c r="N875" s="1">
        <f>+IFERROR(VLOOKUP(N24,'נתוני מים 2014'!$C$2:$L$188,2,0)/1000,0)</f>
        <v>0</v>
      </c>
      <c r="O875" s="1">
        <f>+IFERROR(VLOOKUP(O24,'נתוני מים 2014'!$C$2:$L$188,2,0)/1000,0)</f>
        <v>0</v>
      </c>
      <c r="P875" s="1">
        <f>+IFERROR(VLOOKUP(P24,'נתוני מים 2014'!$C$2:$L$188,2,0)/1000,0)</f>
        <v>0</v>
      </c>
      <c r="Q875" s="1">
        <f>+IFERROR(VLOOKUP(Q24,'נתוני מים 2014'!$C$2:$L$188,2,0)/1000,0)</f>
        <v>0</v>
      </c>
      <c r="R875" s="1">
        <f>+IFERROR(VLOOKUP(R24,'נתוני מים 2014'!$C$2:$L$188,2,0)/1000,0)</f>
        <v>0</v>
      </c>
      <c r="S875" s="1">
        <f>+IFERROR(VLOOKUP(S24,'נתוני מים 2014'!$C$2:$L$188,2,0)/1000,0)</f>
        <v>0</v>
      </c>
      <c r="T875" s="1">
        <f>+IFERROR(VLOOKUP(T24,'נתוני מים 2014'!$C$2:$L$188,2,0)/1000,0)</f>
        <v>0</v>
      </c>
      <c r="U875" s="1">
        <f>+IFERROR(VLOOKUP(U24,'נתוני מים 2014'!$C$2:$L$188,2,0)/1000,0)</f>
        <v>0</v>
      </c>
      <c r="V875" s="1">
        <f>+IFERROR(VLOOKUP(V24,'נתוני מים 2014'!$C$2:$L$188,2,0)/1000,0)</f>
        <v>0</v>
      </c>
      <c r="W875" s="1">
        <f>+IFERROR(VLOOKUP(W24,'נתוני מים 2014'!$C$2:$L$188,2,0)/1000,0)</f>
        <v>0</v>
      </c>
      <c r="X875" s="1">
        <f>+IFERROR(VLOOKUP(X24,'נתוני מים 2014'!$C$2:$L$188,2,0)/1000,0)</f>
        <v>0</v>
      </c>
      <c r="Y875" s="1">
        <f>+IFERROR(VLOOKUP(Y24,'נתוני מים 2014'!$C$2:$L$188,2,0)/1000,0)</f>
        <v>0</v>
      </c>
      <c r="Z875" s="1">
        <f>+IFERROR(VLOOKUP(Z24,'נתוני מים 2014'!$C$2:$L$188,2,0)/1000,0)</f>
        <v>0</v>
      </c>
      <c r="AA875" s="1">
        <f>+IFERROR(VLOOKUP(AA24,'נתוני מים 2014'!$C$2:$L$188,2,0)/1000,0)</f>
        <v>0</v>
      </c>
      <c r="AB875" s="1">
        <f>+IFERROR(VLOOKUP(AB24,'נתוני מים 2014'!$C$2:$L$188,2,0)/1000,0)</f>
        <v>0</v>
      </c>
      <c r="AC875" s="1">
        <f>+IFERROR(VLOOKUP(AC24,'נתוני מים 2014'!$C$2:$L$188,2,0)/1000,0)</f>
        <v>0</v>
      </c>
      <c r="AD875" s="1">
        <f>+IFERROR(VLOOKUP(AD24,'נתוני מים 2014'!$C$2:$L$188,2,0)/1000,0)</f>
        <v>0</v>
      </c>
      <c r="AE875" s="1">
        <f>+IFERROR(VLOOKUP(AE24,'נתוני מים 2014'!$C$2:$L$188,2,0)/1000,0)</f>
        <v>0</v>
      </c>
      <c r="AF875" s="1">
        <f>+IFERROR(VLOOKUP(AF24,'נתוני מים 2014'!$C$2:$L$188,2,0)/1000,0)</f>
        <v>0</v>
      </c>
      <c r="AG875" s="1">
        <f>+IFERROR(VLOOKUP(AG24,'נתוני מים 2014'!$C$2:$L$188,2,0)/1000,0)</f>
        <v>0</v>
      </c>
      <c r="AH875" s="1">
        <f>+IFERROR(VLOOKUP(AH24,'נתוני מים 2014'!$C$2:$L$188,2,0)/1000,0)</f>
        <v>0</v>
      </c>
      <c r="AI875" s="1">
        <f>+IFERROR(VLOOKUP(AI24,'נתוני מים 2014'!$C$2:$L$188,2,0)/1000,0)</f>
        <v>0</v>
      </c>
      <c r="AJ875" s="1">
        <f>+IFERROR(VLOOKUP(AJ24,'נתוני מים 2014'!$C$2:$L$188,2,0)/1000,0)</f>
        <v>0</v>
      </c>
      <c r="AK875" s="1">
        <f>+IFERROR(VLOOKUP(AK24,'נתוני מים 2014'!$C$2:$L$188,2,0)/1000,0)</f>
        <v>0</v>
      </c>
      <c r="AL875" s="1">
        <f>+IFERROR(VLOOKUP(AL24,'נתוני מים 2014'!$C$2:$L$188,2,0)/1000,0)</f>
        <v>0</v>
      </c>
      <c r="AM875" s="1">
        <f>+IFERROR(VLOOKUP(AM24,'נתוני מים 2014'!$C$2:$L$188,2,0)/1000,0)</f>
        <v>0</v>
      </c>
      <c r="AN875" s="1">
        <f>+IFERROR(VLOOKUP(AN24,'נתוני מים 2014'!$C$2:$L$188,2,0)/1000,0)</f>
        <v>0</v>
      </c>
      <c r="AO875" s="1">
        <f>+IFERROR(VLOOKUP(AO24,'נתוני מים 2014'!$C$2:$L$188,2,0)/1000,0)</f>
        <v>0</v>
      </c>
      <c r="AP875" s="1">
        <f>+IFERROR(VLOOKUP(AP24,'נתוני מים 2014'!$C$2:$L$188,2,0)/1000,0)</f>
        <v>0</v>
      </c>
      <c r="AQ875" s="1">
        <f>+IFERROR(VLOOKUP(AQ24,'נתוני מים 2014'!$C$2:$L$188,2,0)/1000,0)</f>
        <v>0</v>
      </c>
      <c r="AR875" s="1">
        <f>+IFERROR(VLOOKUP(AR24,'נתוני מים 2014'!$C$2:$L$188,2,0)/1000,0)</f>
        <v>0</v>
      </c>
      <c r="AS875" s="1">
        <f>+IFERROR(VLOOKUP(AS24,'נתוני מים 2014'!$C$2:$L$188,2,0)/1000,0)</f>
        <v>0</v>
      </c>
      <c r="AT875" s="1">
        <f>+IFERROR(VLOOKUP(AT24,'נתוני מים 2014'!$C$2:$L$188,2,0)/1000,0)</f>
        <v>0</v>
      </c>
      <c r="AU875" s="1">
        <f>+IFERROR(VLOOKUP(AU24,'נתוני מים 2014'!$C$2:$L$188,2,0)/1000,0)</f>
        <v>0</v>
      </c>
      <c r="AV875" s="1">
        <f>+IFERROR(VLOOKUP(AV24,'נתוני מים 2014'!$C$2:$L$188,2,0)/1000,0)</f>
        <v>0</v>
      </c>
      <c r="AW875" s="1">
        <f>+IFERROR(VLOOKUP(AW24,'נתוני מים 2014'!$C$2:$L$188,2,0)/1000,0)</f>
        <v>0</v>
      </c>
      <c r="AX875" s="1">
        <f>+IFERROR(VLOOKUP(AX24,'נתוני מים 2014'!$C$2:$L$188,2,0)/1000,0)</f>
        <v>0</v>
      </c>
      <c r="AY875" s="1">
        <f>+IFERROR(VLOOKUP(AY24,'נתוני מים 2014'!$C$2:$L$188,2,0)/1000,0)</f>
        <v>0</v>
      </c>
      <c r="AZ875" s="1">
        <f>+IFERROR(VLOOKUP(AZ24,'נתוני מים 2014'!$C$2:$L$188,2,0)/1000,0)</f>
        <v>0</v>
      </c>
      <c r="BA875" s="1">
        <f>+IFERROR(VLOOKUP(BA24,'נתוני מים 2014'!$C$2:$L$188,2,0)/1000,0)</f>
        <v>0</v>
      </c>
      <c r="BB875" s="1">
        <f>+IFERROR(VLOOKUP(BB24,'נתוני מים 2014'!$C$2:$L$188,2,0)/1000,0)</f>
        <v>0</v>
      </c>
      <c r="BC875" s="1">
        <f>+IFERROR(VLOOKUP(BC24,'נתוני מים 2014'!$C$2:$L$188,2,0)/1000,0)</f>
        <v>0</v>
      </c>
      <c r="BD875" s="1">
        <f>+IFERROR(VLOOKUP(BD24,'נתוני מים 2014'!$C$2:$L$188,2,0)/1000,0)</f>
        <v>0</v>
      </c>
      <c r="BE875" s="1">
        <f>+IFERROR(VLOOKUP(BE24,'נתוני מים 2014'!$C$2:$L$188,2,0)/1000,0)</f>
        <v>0</v>
      </c>
      <c r="BF875" s="1">
        <f>+IFERROR(VLOOKUP(BF24,'נתוני מים 2014'!$C$2:$L$188,2,0)/1000,0)</f>
        <v>0</v>
      </c>
    </row>
    <row r="876" spans="2:58" x14ac:dyDescent="0.2">
      <c r="B876" s="1">
        <v>18</v>
      </c>
      <c r="C876" s="1">
        <f>+IFERROR(VLOOKUP(C25,'נתוני מים 2014'!$C$2:$L$188,2,0)/1000,0)</f>
        <v>0</v>
      </c>
      <c r="D876" s="1">
        <f>+IFERROR(VLOOKUP(D25,'נתוני מים 2014'!$C$2:$L$188,2,0)/1000,0)</f>
        <v>0</v>
      </c>
      <c r="E876" s="1">
        <f>+IFERROR(VLOOKUP(E25,'נתוני מים 2014'!$C$2:$L$188,2,0)/1000,0)</f>
        <v>0</v>
      </c>
      <c r="F876" s="1">
        <f>+IFERROR(VLOOKUP(F25,'נתוני מים 2014'!$C$2:$L$188,2,0)/1000,0)</f>
        <v>0</v>
      </c>
      <c r="G876" s="1">
        <f>+IFERROR(VLOOKUP(G25,'נתוני מים 2014'!$C$2:$L$188,2,0)/1000,0)</f>
        <v>0</v>
      </c>
      <c r="H876" s="1">
        <f>+IFERROR(VLOOKUP(H25,'נתוני מים 2014'!$C$2:$L$188,2,0)/1000,0)</f>
        <v>0</v>
      </c>
      <c r="I876" s="1">
        <f>+IFERROR(VLOOKUP(I25,'נתוני מים 2014'!$C$2:$L$188,2,0)/1000,0)</f>
        <v>0</v>
      </c>
      <c r="J876" s="1">
        <f>+IFERROR(VLOOKUP(J25,'נתוני מים 2014'!$C$2:$L$188,2,0)/1000,0)</f>
        <v>0</v>
      </c>
      <c r="K876" s="1">
        <f>+IFERROR(VLOOKUP(K25,'נתוני מים 2014'!$C$2:$L$188,2,0)/1000,0)</f>
        <v>0</v>
      </c>
      <c r="L876" s="1">
        <f>+IFERROR(VLOOKUP(L25,'נתוני מים 2014'!$C$2:$L$188,2,0)/1000,0)</f>
        <v>0</v>
      </c>
      <c r="M876" s="1">
        <f>+IFERROR(VLOOKUP(M25,'נתוני מים 2014'!$C$2:$L$188,2,0)/1000,0)</f>
        <v>0</v>
      </c>
      <c r="N876" s="1">
        <f>+IFERROR(VLOOKUP(N25,'נתוני מים 2014'!$C$2:$L$188,2,0)/1000,0)</f>
        <v>0</v>
      </c>
      <c r="O876" s="1">
        <f>+IFERROR(VLOOKUP(O25,'נתוני מים 2014'!$C$2:$L$188,2,0)/1000,0)</f>
        <v>0</v>
      </c>
      <c r="P876" s="1">
        <f>+IFERROR(VLOOKUP(P25,'נתוני מים 2014'!$C$2:$L$188,2,0)/1000,0)</f>
        <v>0</v>
      </c>
      <c r="Q876" s="1">
        <f>+IFERROR(VLOOKUP(Q25,'נתוני מים 2014'!$C$2:$L$188,2,0)/1000,0)</f>
        <v>0</v>
      </c>
      <c r="R876" s="1">
        <f>+IFERROR(VLOOKUP(R25,'נתוני מים 2014'!$C$2:$L$188,2,0)/1000,0)</f>
        <v>0</v>
      </c>
      <c r="S876" s="1">
        <f>+IFERROR(VLOOKUP(S25,'נתוני מים 2014'!$C$2:$L$188,2,0)/1000,0)</f>
        <v>0</v>
      </c>
      <c r="T876" s="1">
        <f>+IFERROR(VLOOKUP(T25,'נתוני מים 2014'!$C$2:$L$188,2,0)/1000,0)</f>
        <v>0</v>
      </c>
      <c r="U876" s="1">
        <f>+IFERROR(VLOOKUP(U25,'נתוני מים 2014'!$C$2:$L$188,2,0)/1000,0)</f>
        <v>0</v>
      </c>
      <c r="V876" s="1">
        <f>+IFERROR(VLOOKUP(V25,'נתוני מים 2014'!$C$2:$L$188,2,0)/1000,0)</f>
        <v>0</v>
      </c>
      <c r="W876" s="1">
        <f>+IFERROR(VLOOKUP(W25,'נתוני מים 2014'!$C$2:$L$188,2,0)/1000,0)</f>
        <v>0</v>
      </c>
      <c r="X876" s="1">
        <f>+IFERROR(VLOOKUP(X25,'נתוני מים 2014'!$C$2:$L$188,2,0)/1000,0)</f>
        <v>0</v>
      </c>
      <c r="Y876" s="1">
        <f>+IFERROR(VLOOKUP(Y25,'נתוני מים 2014'!$C$2:$L$188,2,0)/1000,0)</f>
        <v>0</v>
      </c>
      <c r="Z876" s="1">
        <f>+IFERROR(VLOOKUP(Z25,'נתוני מים 2014'!$C$2:$L$188,2,0)/1000,0)</f>
        <v>0</v>
      </c>
      <c r="AA876" s="1">
        <f>+IFERROR(VLOOKUP(AA25,'נתוני מים 2014'!$C$2:$L$188,2,0)/1000,0)</f>
        <v>0</v>
      </c>
      <c r="AB876" s="1">
        <f>+IFERROR(VLOOKUP(AB25,'נתוני מים 2014'!$C$2:$L$188,2,0)/1000,0)</f>
        <v>0</v>
      </c>
      <c r="AC876" s="1">
        <f>+IFERROR(VLOOKUP(AC25,'נתוני מים 2014'!$C$2:$L$188,2,0)/1000,0)</f>
        <v>0</v>
      </c>
      <c r="AD876" s="1">
        <f>+IFERROR(VLOOKUP(AD25,'נתוני מים 2014'!$C$2:$L$188,2,0)/1000,0)</f>
        <v>0</v>
      </c>
      <c r="AE876" s="1">
        <f>+IFERROR(VLOOKUP(AE25,'נתוני מים 2014'!$C$2:$L$188,2,0)/1000,0)</f>
        <v>0</v>
      </c>
      <c r="AF876" s="1">
        <f>+IFERROR(VLOOKUP(AF25,'נתוני מים 2014'!$C$2:$L$188,2,0)/1000,0)</f>
        <v>0</v>
      </c>
      <c r="AG876" s="1">
        <f>+IFERROR(VLOOKUP(AG25,'נתוני מים 2014'!$C$2:$L$188,2,0)/1000,0)</f>
        <v>0</v>
      </c>
      <c r="AH876" s="1">
        <f>+IFERROR(VLOOKUP(AH25,'נתוני מים 2014'!$C$2:$L$188,2,0)/1000,0)</f>
        <v>0</v>
      </c>
      <c r="AI876" s="1">
        <f>+IFERROR(VLOOKUP(AI25,'נתוני מים 2014'!$C$2:$L$188,2,0)/1000,0)</f>
        <v>0</v>
      </c>
      <c r="AJ876" s="1">
        <f>+IFERROR(VLOOKUP(AJ25,'נתוני מים 2014'!$C$2:$L$188,2,0)/1000,0)</f>
        <v>0</v>
      </c>
      <c r="AK876" s="1">
        <f>+IFERROR(VLOOKUP(AK25,'נתוני מים 2014'!$C$2:$L$188,2,0)/1000,0)</f>
        <v>0</v>
      </c>
      <c r="AL876" s="1">
        <f>+IFERROR(VLOOKUP(AL25,'נתוני מים 2014'!$C$2:$L$188,2,0)/1000,0)</f>
        <v>0</v>
      </c>
      <c r="AM876" s="1">
        <f>+IFERROR(VLOOKUP(AM25,'נתוני מים 2014'!$C$2:$L$188,2,0)/1000,0)</f>
        <v>0</v>
      </c>
      <c r="AN876" s="1">
        <f>+IFERROR(VLOOKUP(AN25,'נתוני מים 2014'!$C$2:$L$188,2,0)/1000,0)</f>
        <v>0</v>
      </c>
      <c r="AO876" s="1">
        <f>+IFERROR(VLOOKUP(AO25,'נתוני מים 2014'!$C$2:$L$188,2,0)/1000,0)</f>
        <v>0</v>
      </c>
      <c r="AP876" s="1">
        <f>+IFERROR(VLOOKUP(AP25,'נתוני מים 2014'!$C$2:$L$188,2,0)/1000,0)</f>
        <v>0</v>
      </c>
      <c r="AQ876" s="1">
        <f>+IFERROR(VLOOKUP(AQ25,'נתוני מים 2014'!$C$2:$L$188,2,0)/1000,0)</f>
        <v>0</v>
      </c>
      <c r="AR876" s="1">
        <f>+IFERROR(VLOOKUP(AR25,'נתוני מים 2014'!$C$2:$L$188,2,0)/1000,0)</f>
        <v>0</v>
      </c>
      <c r="AS876" s="1">
        <f>+IFERROR(VLOOKUP(AS25,'נתוני מים 2014'!$C$2:$L$188,2,0)/1000,0)</f>
        <v>0</v>
      </c>
      <c r="AT876" s="1">
        <f>+IFERROR(VLOOKUP(AT25,'נתוני מים 2014'!$C$2:$L$188,2,0)/1000,0)</f>
        <v>0</v>
      </c>
      <c r="AU876" s="1">
        <f>+IFERROR(VLOOKUP(AU25,'נתוני מים 2014'!$C$2:$L$188,2,0)/1000,0)</f>
        <v>0</v>
      </c>
      <c r="AV876" s="1">
        <f>+IFERROR(VLOOKUP(AV25,'נתוני מים 2014'!$C$2:$L$188,2,0)/1000,0)</f>
        <v>0</v>
      </c>
      <c r="AW876" s="1">
        <f>+IFERROR(VLOOKUP(AW25,'נתוני מים 2014'!$C$2:$L$188,2,0)/1000,0)</f>
        <v>0</v>
      </c>
      <c r="AX876" s="1">
        <f>+IFERROR(VLOOKUP(AX25,'נתוני מים 2014'!$C$2:$L$188,2,0)/1000,0)</f>
        <v>0</v>
      </c>
      <c r="AY876" s="1">
        <f>+IFERROR(VLOOKUP(AY25,'נתוני מים 2014'!$C$2:$L$188,2,0)/1000,0)</f>
        <v>0</v>
      </c>
      <c r="AZ876" s="1">
        <f>+IFERROR(VLOOKUP(AZ25,'נתוני מים 2014'!$C$2:$L$188,2,0)/1000,0)</f>
        <v>0</v>
      </c>
      <c r="BA876" s="1">
        <f>+IFERROR(VLOOKUP(BA25,'נתוני מים 2014'!$C$2:$L$188,2,0)/1000,0)</f>
        <v>0</v>
      </c>
      <c r="BB876" s="1">
        <f>+IFERROR(VLOOKUP(BB25,'נתוני מים 2014'!$C$2:$L$188,2,0)/1000,0)</f>
        <v>0</v>
      </c>
      <c r="BC876" s="1">
        <f>+IFERROR(VLOOKUP(BC25,'נתוני מים 2014'!$C$2:$L$188,2,0)/1000,0)</f>
        <v>0</v>
      </c>
      <c r="BD876" s="1">
        <f>+IFERROR(VLOOKUP(BD25,'נתוני מים 2014'!$C$2:$L$188,2,0)/1000,0)</f>
        <v>0</v>
      </c>
      <c r="BE876" s="1">
        <f>+IFERROR(VLOOKUP(BE25,'נתוני מים 2014'!$C$2:$L$188,2,0)/1000,0)</f>
        <v>0</v>
      </c>
      <c r="BF876" s="1">
        <f>+IFERROR(VLOOKUP(BF25,'נתוני מים 2014'!$C$2:$L$188,2,0)/1000,0)</f>
        <v>0</v>
      </c>
    </row>
    <row r="877" spans="2:58" x14ac:dyDescent="0.2">
      <c r="B877" s="1">
        <v>19</v>
      </c>
      <c r="C877" s="1">
        <f>+IFERROR(VLOOKUP(C26,'נתוני מים 2014'!$C$2:$L$188,2,0)/1000,0)</f>
        <v>0</v>
      </c>
      <c r="D877" s="1">
        <f>+IFERROR(VLOOKUP(D26,'נתוני מים 2014'!$C$2:$L$188,2,0)/1000,0)</f>
        <v>0</v>
      </c>
      <c r="E877" s="1">
        <f>+IFERROR(VLOOKUP(E26,'נתוני מים 2014'!$C$2:$L$188,2,0)/1000,0)</f>
        <v>0</v>
      </c>
      <c r="F877" s="1">
        <f>+IFERROR(VLOOKUP(F26,'נתוני מים 2014'!$C$2:$L$188,2,0)/1000,0)</f>
        <v>0</v>
      </c>
      <c r="G877" s="1">
        <f>+IFERROR(VLOOKUP(G26,'נתוני מים 2014'!$C$2:$L$188,2,0)/1000,0)</f>
        <v>0</v>
      </c>
      <c r="H877" s="1">
        <f>+IFERROR(VLOOKUP(H26,'נתוני מים 2014'!$C$2:$L$188,2,0)/1000,0)</f>
        <v>0</v>
      </c>
      <c r="I877" s="1">
        <f>+IFERROR(VLOOKUP(I26,'נתוני מים 2014'!$C$2:$L$188,2,0)/1000,0)</f>
        <v>0</v>
      </c>
      <c r="J877" s="1">
        <f>+IFERROR(VLOOKUP(J26,'נתוני מים 2014'!$C$2:$L$188,2,0)/1000,0)</f>
        <v>0</v>
      </c>
      <c r="K877" s="1">
        <f>+IFERROR(VLOOKUP(K26,'נתוני מים 2014'!$C$2:$L$188,2,0)/1000,0)</f>
        <v>0</v>
      </c>
      <c r="L877" s="1">
        <f>+IFERROR(VLOOKUP(L26,'נתוני מים 2014'!$C$2:$L$188,2,0)/1000,0)</f>
        <v>0</v>
      </c>
      <c r="M877" s="1">
        <f>+IFERROR(VLOOKUP(M26,'נתוני מים 2014'!$C$2:$L$188,2,0)/1000,0)</f>
        <v>0</v>
      </c>
      <c r="N877" s="1">
        <f>+IFERROR(VLOOKUP(N26,'נתוני מים 2014'!$C$2:$L$188,2,0)/1000,0)</f>
        <v>0</v>
      </c>
      <c r="O877" s="1">
        <f>+IFERROR(VLOOKUP(O26,'נתוני מים 2014'!$C$2:$L$188,2,0)/1000,0)</f>
        <v>0</v>
      </c>
      <c r="P877" s="1">
        <f>+IFERROR(VLOOKUP(P26,'נתוני מים 2014'!$C$2:$L$188,2,0)/1000,0)</f>
        <v>0</v>
      </c>
      <c r="Q877" s="1">
        <f>+IFERROR(VLOOKUP(Q26,'נתוני מים 2014'!$C$2:$L$188,2,0)/1000,0)</f>
        <v>0</v>
      </c>
      <c r="R877" s="1">
        <f>+IFERROR(VLOOKUP(R26,'נתוני מים 2014'!$C$2:$L$188,2,0)/1000,0)</f>
        <v>0</v>
      </c>
      <c r="S877" s="1">
        <f>+IFERROR(VLOOKUP(S26,'נתוני מים 2014'!$C$2:$L$188,2,0)/1000,0)</f>
        <v>0</v>
      </c>
      <c r="T877" s="1">
        <f>+IFERROR(VLOOKUP(T26,'נתוני מים 2014'!$C$2:$L$188,2,0)/1000,0)</f>
        <v>0</v>
      </c>
      <c r="U877" s="1">
        <f>+IFERROR(VLOOKUP(U26,'נתוני מים 2014'!$C$2:$L$188,2,0)/1000,0)</f>
        <v>0</v>
      </c>
      <c r="V877" s="1">
        <f>+IFERROR(VLOOKUP(V26,'נתוני מים 2014'!$C$2:$L$188,2,0)/1000,0)</f>
        <v>0</v>
      </c>
      <c r="W877" s="1">
        <f>+IFERROR(VLOOKUP(W26,'נתוני מים 2014'!$C$2:$L$188,2,0)/1000,0)</f>
        <v>0</v>
      </c>
      <c r="X877" s="1">
        <f>+IFERROR(VLOOKUP(X26,'נתוני מים 2014'!$C$2:$L$188,2,0)/1000,0)</f>
        <v>0</v>
      </c>
      <c r="Y877" s="1">
        <f>+IFERROR(VLOOKUP(Y26,'נתוני מים 2014'!$C$2:$L$188,2,0)/1000,0)</f>
        <v>0</v>
      </c>
      <c r="Z877" s="1">
        <f>+IFERROR(VLOOKUP(Z26,'נתוני מים 2014'!$C$2:$L$188,2,0)/1000,0)</f>
        <v>0</v>
      </c>
      <c r="AA877" s="1">
        <f>+IFERROR(VLOOKUP(AA26,'נתוני מים 2014'!$C$2:$L$188,2,0)/1000,0)</f>
        <v>0</v>
      </c>
      <c r="AB877" s="1">
        <f>+IFERROR(VLOOKUP(AB26,'נתוני מים 2014'!$C$2:$L$188,2,0)/1000,0)</f>
        <v>0</v>
      </c>
      <c r="AC877" s="1">
        <f>+IFERROR(VLOOKUP(AC26,'נתוני מים 2014'!$C$2:$L$188,2,0)/1000,0)</f>
        <v>0</v>
      </c>
      <c r="AD877" s="1">
        <f>+IFERROR(VLOOKUP(AD26,'נתוני מים 2014'!$C$2:$L$188,2,0)/1000,0)</f>
        <v>0</v>
      </c>
      <c r="AE877" s="1">
        <f>+IFERROR(VLOOKUP(AE26,'נתוני מים 2014'!$C$2:$L$188,2,0)/1000,0)</f>
        <v>0</v>
      </c>
      <c r="AF877" s="1">
        <f>+IFERROR(VLOOKUP(AF26,'נתוני מים 2014'!$C$2:$L$188,2,0)/1000,0)</f>
        <v>0</v>
      </c>
      <c r="AG877" s="1">
        <f>+IFERROR(VLOOKUP(AG26,'נתוני מים 2014'!$C$2:$L$188,2,0)/1000,0)</f>
        <v>0</v>
      </c>
      <c r="AH877" s="1">
        <f>+IFERROR(VLOOKUP(AH26,'נתוני מים 2014'!$C$2:$L$188,2,0)/1000,0)</f>
        <v>0</v>
      </c>
      <c r="AI877" s="1">
        <f>+IFERROR(VLOOKUP(AI26,'נתוני מים 2014'!$C$2:$L$188,2,0)/1000,0)</f>
        <v>0</v>
      </c>
      <c r="AJ877" s="1">
        <f>+IFERROR(VLOOKUP(AJ26,'נתוני מים 2014'!$C$2:$L$188,2,0)/1000,0)</f>
        <v>0</v>
      </c>
      <c r="AK877" s="1">
        <f>+IFERROR(VLOOKUP(AK26,'נתוני מים 2014'!$C$2:$L$188,2,0)/1000,0)</f>
        <v>0</v>
      </c>
      <c r="AL877" s="1">
        <f>+IFERROR(VLOOKUP(AL26,'נתוני מים 2014'!$C$2:$L$188,2,0)/1000,0)</f>
        <v>0</v>
      </c>
      <c r="AM877" s="1">
        <f>+IFERROR(VLOOKUP(AM26,'נתוני מים 2014'!$C$2:$L$188,2,0)/1000,0)</f>
        <v>0</v>
      </c>
      <c r="AN877" s="1">
        <f>+IFERROR(VLOOKUP(AN26,'נתוני מים 2014'!$C$2:$L$188,2,0)/1000,0)</f>
        <v>0</v>
      </c>
      <c r="AO877" s="1">
        <f>+IFERROR(VLOOKUP(AO26,'נתוני מים 2014'!$C$2:$L$188,2,0)/1000,0)</f>
        <v>0</v>
      </c>
      <c r="AP877" s="1">
        <f>+IFERROR(VLOOKUP(AP26,'נתוני מים 2014'!$C$2:$L$188,2,0)/1000,0)</f>
        <v>0</v>
      </c>
      <c r="AQ877" s="1">
        <f>+IFERROR(VLOOKUP(AQ26,'נתוני מים 2014'!$C$2:$L$188,2,0)/1000,0)</f>
        <v>0</v>
      </c>
      <c r="AR877" s="1">
        <f>+IFERROR(VLOOKUP(AR26,'נתוני מים 2014'!$C$2:$L$188,2,0)/1000,0)</f>
        <v>0</v>
      </c>
      <c r="AS877" s="1">
        <f>+IFERROR(VLOOKUP(AS26,'נתוני מים 2014'!$C$2:$L$188,2,0)/1000,0)</f>
        <v>0</v>
      </c>
      <c r="AT877" s="1">
        <f>+IFERROR(VLOOKUP(AT26,'נתוני מים 2014'!$C$2:$L$188,2,0)/1000,0)</f>
        <v>0</v>
      </c>
      <c r="AU877" s="1">
        <f>+IFERROR(VLOOKUP(AU26,'נתוני מים 2014'!$C$2:$L$188,2,0)/1000,0)</f>
        <v>0</v>
      </c>
      <c r="AV877" s="1">
        <f>+IFERROR(VLOOKUP(AV26,'נתוני מים 2014'!$C$2:$L$188,2,0)/1000,0)</f>
        <v>0</v>
      </c>
      <c r="AW877" s="1">
        <f>+IFERROR(VLOOKUP(AW26,'נתוני מים 2014'!$C$2:$L$188,2,0)/1000,0)</f>
        <v>0</v>
      </c>
      <c r="AX877" s="1">
        <f>+IFERROR(VLOOKUP(AX26,'נתוני מים 2014'!$C$2:$L$188,2,0)/1000,0)</f>
        <v>0</v>
      </c>
      <c r="AY877" s="1">
        <f>+IFERROR(VLOOKUP(AY26,'נתוני מים 2014'!$C$2:$L$188,2,0)/1000,0)</f>
        <v>0</v>
      </c>
      <c r="AZ877" s="1">
        <f>+IFERROR(VLOOKUP(AZ26,'נתוני מים 2014'!$C$2:$L$188,2,0)/1000,0)</f>
        <v>0</v>
      </c>
      <c r="BA877" s="1">
        <f>+IFERROR(VLOOKUP(BA26,'נתוני מים 2014'!$C$2:$L$188,2,0)/1000,0)</f>
        <v>0</v>
      </c>
      <c r="BB877" s="1">
        <f>+IFERROR(VLOOKUP(BB26,'נתוני מים 2014'!$C$2:$L$188,2,0)/1000,0)</f>
        <v>0</v>
      </c>
      <c r="BC877" s="1">
        <f>+IFERROR(VLOOKUP(BC26,'נתוני מים 2014'!$C$2:$L$188,2,0)/1000,0)</f>
        <v>0</v>
      </c>
      <c r="BD877" s="1">
        <f>+IFERROR(VLOOKUP(BD26,'נתוני מים 2014'!$C$2:$L$188,2,0)/1000,0)</f>
        <v>0</v>
      </c>
      <c r="BE877" s="1">
        <f>+IFERROR(VLOOKUP(BE26,'נתוני מים 2014'!$C$2:$L$188,2,0)/1000,0)</f>
        <v>0</v>
      </c>
      <c r="BF877" s="1">
        <f>+IFERROR(VLOOKUP(BF26,'נתוני מים 2014'!$C$2:$L$188,2,0)/1000,0)</f>
        <v>0</v>
      </c>
    </row>
    <row r="878" spans="2:58" x14ac:dyDescent="0.2">
      <c r="B878" s="1">
        <v>20</v>
      </c>
      <c r="C878" s="1">
        <f>+IFERROR(VLOOKUP(C27,'נתוני מים 2014'!$C$2:$L$188,2,0)/1000,0)</f>
        <v>0</v>
      </c>
      <c r="D878" s="1">
        <f>+IFERROR(VLOOKUP(D27,'נתוני מים 2014'!$C$2:$L$188,2,0)/1000,0)</f>
        <v>0</v>
      </c>
      <c r="E878" s="1">
        <f>+IFERROR(VLOOKUP(E27,'נתוני מים 2014'!$C$2:$L$188,2,0)/1000,0)</f>
        <v>0</v>
      </c>
      <c r="F878" s="1">
        <f>+IFERROR(VLOOKUP(F27,'נתוני מים 2014'!$C$2:$L$188,2,0)/1000,0)</f>
        <v>0</v>
      </c>
      <c r="G878" s="1">
        <f>+IFERROR(VLOOKUP(G27,'נתוני מים 2014'!$C$2:$L$188,2,0)/1000,0)</f>
        <v>0</v>
      </c>
      <c r="H878" s="1">
        <f>+IFERROR(VLOOKUP(H27,'נתוני מים 2014'!$C$2:$L$188,2,0)/1000,0)</f>
        <v>0</v>
      </c>
      <c r="I878" s="1">
        <f>+IFERROR(VLOOKUP(I27,'נתוני מים 2014'!$C$2:$L$188,2,0)/1000,0)</f>
        <v>0</v>
      </c>
      <c r="J878" s="1">
        <f>+IFERROR(VLOOKUP(J27,'נתוני מים 2014'!$C$2:$L$188,2,0)/1000,0)</f>
        <v>0</v>
      </c>
      <c r="K878" s="1">
        <f>+IFERROR(VLOOKUP(K27,'נתוני מים 2014'!$C$2:$L$188,2,0)/1000,0)</f>
        <v>0</v>
      </c>
      <c r="L878" s="1">
        <f>+IFERROR(VLOOKUP(L27,'נתוני מים 2014'!$C$2:$L$188,2,0)/1000,0)</f>
        <v>0</v>
      </c>
      <c r="M878" s="1">
        <f>+IFERROR(VLOOKUP(M27,'נתוני מים 2014'!$C$2:$L$188,2,0)/1000,0)</f>
        <v>0</v>
      </c>
      <c r="N878" s="1">
        <f>+IFERROR(VLOOKUP(N27,'נתוני מים 2014'!$C$2:$L$188,2,0)/1000,0)</f>
        <v>0</v>
      </c>
      <c r="O878" s="1">
        <f>+IFERROR(VLOOKUP(O27,'נתוני מים 2014'!$C$2:$L$188,2,0)/1000,0)</f>
        <v>0</v>
      </c>
      <c r="P878" s="1">
        <f>+IFERROR(VLOOKUP(P27,'נתוני מים 2014'!$C$2:$L$188,2,0)/1000,0)</f>
        <v>0</v>
      </c>
      <c r="Q878" s="1">
        <f>+IFERROR(VLOOKUP(Q27,'נתוני מים 2014'!$C$2:$L$188,2,0)/1000,0)</f>
        <v>0</v>
      </c>
      <c r="R878" s="1">
        <f>+IFERROR(VLOOKUP(R27,'נתוני מים 2014'!$C$2:$L$188,2,0)/1000,0)</f>
        <v>0</v>
      </c>
      <c r="S878" s="1">
        <f>+IFERROR(VLOOKUP(S27,'נתוני מים 2014'!$C$2:$L$188,2,0)/1000,0)</f>
        <v>0</v>
      </c>
      <c r="T878" s="1">
        <f>+IFERROR(VLOOKUP(T27,'נתוני מים 2014'!$C$2:$L$188,2,0)/1000,0)</f>
        <v>0</v>
      </c>
      <c r="U878" s="1">
        <f>+IFERROR(VLOOKUP(U27,'נתוני מים 2014'!$C$2:$L$188,2,0)/1000,0)</f>
        <v>0</v>
      </c>
      <c r="V878" s="1">
        <f>+IFERROR(VLOOKUP(V27,'נתוני מים 2014'!$C$2:$L$188,2,0)/1000,0)</f>
        <v>0</v>
      </c>
      <c r="W878" s="1">
        <f>+IFERROR(VLOOKUP(W27,'נתוני מים 2014'!$C$2:$L$188,2,0)/1000,0)</f>
        <v>0</v>
      </c>
      <c r="X878" s="1">
        <f>+IFERROR(VLOOKUP(X27,'נתוני מים 2014'!$C$2:$L$188,2,0)/1000,0)</f>
        <v>0</v>
      </c>
      <c r="Y878" s="1">
        <f>+IFERROR(VLOOKUP(Y27,'נתוני מים 2014'!$C$2:$L$188,2,0)/1000,0)</f>
        <v>0</v>
      </c>
      <c r="Z878" s="1">
        <f>+IFERROR(VLOOKUP(Z27,'נתוני מים 2014'!$C$2:$L$188,2,0)/1000,0)</f>
        <v>0</v>
      </c>
      <c r="AA878" s="1">
        <f>+IFERROR(VLOOKUP(AA27,'נתוני מים 2014'!$C$2:$L$188,2,0)/1000,0)</f>
        <v>0</v>
      </c>
      <c r="AB878" s="1">
        <f>+IFERROR(VLOOKUP(AB27,'נתוני מים 2014'!$C$2:$L$188,2,0)/1000,0)</f>
        <v>0</v>
      </c>
      <c r="AC878" s="1">
        <f>+IFERROR(VLOOKUP(AC27,'נתוני מים 2014'!$C$2:$L$188,2,0)/1000,0)</f>
        <v>0</v>
      </c>
      <c r="AD878" s="1">
        <f>+IFERROR(VLOOKUP(AD27,'נתוני מים 2014'!$C$2:$L$188,2,0)/1000,0)</f>
        <v>0</v>
      </c>
      <c r="AE878" s="1">
        <f>+IFERROR(VLOOKUP(AE27,'נתוני מים 2014'!$C$2:$L$188,2,0)/1000,0)</f>
        <v>0</v>
      </c>
      <c r="AF878" s="1">
        <f>+IFERROR(VLOOKUP(AF27,'נתוני מים 2014'!$C$2:$L$188,2,0)/1000,0)</f>
        <v>0</v>
      </c>
      <c r="AG878" s="1">
        <f>+IFERROR(VLOOKUP(AG27,'נתוני מים 2014'!$C$2:$L$188,2,0)/1000,0)</f>
        <v>0</v>
      </c>
      <c r="AH878" s="1">
        <f>+IFERROR(VLOOKUP(AH27,'נתוני מים 2014'!$C$2:$L$188,2,0)/1000,0)</f>
        <v>0</v>
      </c>
      <c r="AI878" s="1">
        <f>+IFERROR(VLOOKUP(AI27,'נתוני מים 2014'!$C$2:$L$188,2,0)/1000,0)</f>
        <v>0</v>
      </c>
      <c r="AJ878" s="1">
        <f>+IFERROR(VLOOKUP(AJ27,'נתוני מים 2014'!$C$2:$L$188,2,0)/1000,0)</f>
        <v>0</v>
      </c>
      <c r="AK878" s="1">
        <f>+IFERROR(VLOOKUP(AK27,'נתוני מים 2014'!$C$2:$L$188,2,0)/1000,0)</f>
        <v>0</v>
      </c>
      <c r="AL878" s="1">
        <f>+IFERROR(VLOOKUP(AL27,'נתוני מים 2014'!$C$2:$L$188,2,0)/1000,0)</f>
        <v>0</v>
      </c>
      <c r="AM878" s="1">
        <f>+IFERROR(VLOOKUP(AM27,'נתוני מים 2014'!$C$2:$L$188,2,0)/1000,0)</f>
        <v>0</v>
      </c>
      <c r="AN878" s="1">
        <f>+IFERROR(VLOOKUP(AN27,'נתוני מים 2014'!$C$2:$L$188,2,0)/1000,0)</f>
        <v>0</v>
      </c>
      <c r="AO878" s="1">
        <f>+IFERROR(VLOOKUP(AO27,'נתוני מים 2014'!$C$2:$L$188,2,0)/1000,0)</f>
        <v>0</v>
      </c>
      <c r="AP878" s="1">
        <f>+IFERROR(VLOOKUP(AP27,'נתוני מים 2014'!$C$2:$L$188,2,0)/1000,0)</f>
        <v>0</v>
      </c>
      <c r="AQ878" s="1">
        <f>+IFERROR(VLOOKUP(AQ27,'נתוני מים 2014'!$C$2:$L$188,2,0)/1000,0)</f>
        <v>0</v>
      </c>
      <c r="AR878" s="1">
        <f>+IFERROR(VLOOKUP(AR27,'נתוני מים 2014'!$C$2:$L$188,2,0)/1000,0)</f>
        <v>0</v>
      </c>
      <c r="AS878" s="1">
        <f>+IFERROR(VLOOKUP(AS27,'נתוני מים 2014'!$C$2:$L$188,2,0)/1000,0)</f>
        <v>0</v>
      </c>
      <c r="AT878" s="1">
        <f>+IFERROR(VLOOKUP(AT27,'נתוני מים 2014'!$C$2:$L$188,2,0)/1000,0)</f>
        <v>0</v>
      </c>
      <c r="AU878" s="1">
        <f>+IFERROR(VLOOKUP(AU27,'נתוני מים 2014'!$C$2:$L$188,2,0)/1000,0)</f>
        <v>0</v>
      </c>
      <c r="AV878" s="1">
        <f>+IFERROR(VLOOKUP(AV27,'נתוני מים 2014'!$C$2:$L$188,2,0)/1000,0)</f>
        <v>0</v>
      </c>
      <c r="AW878" s="1">
        <f>+IFERROR(VLOOKUP(AW27,'נתוני מים 2014'!$C$2:$L$188,2,0)/1000,0)</f>
        <v>0</v>
      </c>
      <c r="AX878" s="1">
        <f>+IFERROR(VLOOKUP(AX27,'נתוני מים 2014'!$C$2:$L$188,2,0)/1000,0)</f>
        <v>0</v>
      </c>
      <c r="AY878" s="1">
        <f>+IFERROR(VLOOKUP(AY27,'נתוני מים 2014'!$C$2:$L$188,2,0)/1000,0)</f>
        <v>0</v>
      </c>
      <c r="AZ878" s="1">
        <f>+IFERROR(VLOOKUP(AZ27,'נתוני מים 2014'!$C$2:$L$188,2,0)/1000,0)</f>
        <v>0</v>
      </c>
      <c r="BA878" s="1">
        <f>+IFERROR(VLOOKUP(BA27,'נתוני מים 2014'!$C$2:$L$188,2,0)/1000,0)</f>
        <v>0</v>
      </c>
      <c r="BB878" s="1">
        <f>+IFERROR(VLOOKUP(BB27,'נתוני מים 2014'!$C$2:$L$188,2,0)/1000,0)</f>
        <v>0</v>
      </c>
      <c r="BC878" s="1">
        <f>+IFERROR(VLOOKUP(BC27,'נתוני מים 2014'!$C$2:$L$188,2,0)/1000,0)</f>
        <v>0</v>
      </c>
      <c r="BD878" s="1">
        <f>+IFERROR(VLOOKUP(BD27,'נתוני מים 2014'!$C$2:$L$188,2,0)/1000,0)</f>
        <v>0</v>
      </c>
      <c r="BE878" s="1">
        <f>+IFERROR(VLOOKUP(BE27,'נתוני מים 2014'!$C$2:$L$188,2,0)/1000,0)</f>
        <v>0</v>
      </c>
      <c r="BF878" s="1">
        <f>+IFERROR(VLOOKUP(BF27,'נתוני מים 2014'!$C$2:$L$188,2,0)/1000,0)</f>
        <v>0</v>
      </c>
    </row>
    <row r="879" spans="2:58" x14ac:dyDescent="0.2">
      <c r="B879" s="1">
        <v>21</v>
      </c>
      <c r="C879" s="1">
        <f>+IFERROR(VLOOKUP(C28,'נתוני מים 2014'!$C$2:$L$188,2,0)/1000,0)</f>
        <v>0</v>
      </c>
      <c r="D879" s="1">
        <f>+IFERROR(VLOOKUP(D28,'נתוני מים 2014'!$C$2:$L$188,2,0)/1000,0)</f>
        <v>0</v>
      </c>
      <c r="E879" s="1">
        <f>+IFERROR(VLOOKUP(E28,'נתוני מים 2014'!$C$2:$L$188,2,0)/1000,0)</f>
        <v>0</v>
      </c>
      <c r="F879" s="1">
        <f>+IFERROR(VLOOKUP(F28,'נתוני מים 2014'!$C$2:$L$188,2,0)/1000,0)</f>
        <v>0</v>
      </c>
      <c r="G879" s="1">
        <f>+IFERROR(VLOOKUP(G28,'נתוני מים 2014'!$C$2:$L$188,2,0)/1000,0)</f>
        <v>0</v>
      </c>
      <c r="H879" s="1">
        <f>+IFERROR(VLOOKUP(H28,'נתוני מים 2014'!$C$2:$L$188,2,0)/1000,0)</f>
        <v>0</v>
      </c>
      <c r="I879" s="1">
        <f>+IFERROR(VLOOKUP(I28,'נתוני מים 2014'!$C$2:$L$188,2,0)/1000,0)</f>
        <v>0</v>
      </c>
      <c r="J879" s="1">
        <f>+IFERROR(VLOOKUP(J28,'נתוני מים 2014'!$C$2:$L$188,2,0)/1000,0)</f>
        <v>0</v>
      </c>
      <c r="K879" s="1">
        <f>+IFERROR(VLOOKUP(K28,'נתוני מים 2014'!$C$2:$L$188,2,0)/1000,0)</f>
        <v>0</v>
      </c>
      <c r="L879" s="1">
        <f>+IFERROR(VLOOKUP(L28,'נתוני מים 2014'!$C$2:$L$188,2,0)/1000,0)</f>
        <v>0</v>
      </c>
      <c r="M879" s="1">
        <f>+IFERROR(VLOOKUP(M28,'נתוני מים 2014'!$C$2:$L$188,2,0)/1000,0)</f>
        <v>0</v>
      </c>
      <c r="N879" s="1">
        <f>+IFERROR(VLOOKUP(N28,'נתוני מים 2014'!$C$2:$L$188,2,0)/1000,0)</f>
        <v>0</v>
      </c>
      <c r="O879" s="1">
        <f>+IFERROR(VLOOKUP(O28,'נתוני מים 2014'!$C$2:$L$188,2,0)/1000,0)</f>
        <v>0</v>
      </c>
      <c r="P879" s="1">
        <f>+IFERROR(VLOOKUP(P28,'נתוני מים 2014'!$C$2:$L$188,2,0)/1000,0)</f>
        <v>0</v>
      </c>
      <c r="Q879" s="1">
        <f>+IFERROR(VLOOKUP(Q28,'נתוני מים 2014'!$C$2:$L$188,2,0)/1000,0)</f>
        <v>0</v>
      </c>
      <c r="R879" s="1">
        <f>+IFERROR(VLOOKUP(R28,'נתוני מים 2014'!$C$2:$L$188,2,0)/1000,0)</f>
        <v>0</v>
      </c>
      <c r="S879" s="1">
        <f>+IFERROR(VLOOKUP(S28,'נתוני מים 2014'!$C$2:$L$188,2,0)/1000,0)</f>
        <v>0</v>
      </c>
      <c r="T879" s="1">
        <f>+IFERROR(VLOOKUP(T28,'נתוני מים 2014'!$C$2:$L$188,2,0)/1000,0)</f>
        <v>0</v>
      </c>
      <c r="U879" s="1">
        <f>+IFERROR(VLOOKUP(U28,'נתוני מים 2014'!$C$2:$L$188,2,0)/1000,0)</f>
        <v>0</v>
      </c>
      <c r="V879" s="1">
        <f>+IFERROR(VLOOKUP(V28,'נתוני מים 2014'!$C$2:$L$188,2,0)/1000,0)</f>
        <v>0</v>
      </c>
      <c r="W879" s="1">
        <f>+IFERROR(VLOOKUP(W28,'נתוני מים 2014'!$C$2:$L$188,2,0)/1000,0)</f>
        <v>0</v>
      </c>
      <c r="X879" s="1">
        <f>+IFERROR(VLOOKUP(X28,'נתוני מים 2014'!$C$2:$L$188,2,0)/1000,0)</f>
        <v>0</v>
      </c>
      <c r="Y879" s="1">
        <f>+IFERROR(VLOOKUP(Y28,'נתוני מים 2014'!$C$2:$L$188,2,0)/1000,0)</f>
        <v>0</v>
      </c>
      <c r="Z879" s="1">
        <f>+IFERROR(VLOOKUP(Z28,'נתוני מים 2014'!$C$2:$L$188,2,0)/1000,0)</f>
        <v>0</v>
      </c>
      <c r="AA879" s="1">
        <f>+IFERROR(VLOOKUP(AA28,'נתוני מים 2014'!$C$2:$L$188,2,0)/1000,0)</f>
        <v>0</v>
      </c>
      <c r="AB879" s="1">
        <f>+IFERROR(VLOOKUP(AB28,'נתוני מים 2014'!$C$2:$L$188,2,0)/1000,0)</f>
        <v>0</v>
      </c>
      <c r="AC879" s="1">
        <f>+IFERROR(VLOOKUP(AC28,'נתוני מים 2014'!$C$2:$L$188,2,0)/1000,0)</f>
        <v>0</v>
      </c>
      <c r="AD879" s="1">
        <f>+IFERROR(VLOOKUP(AD28,'נתוני מים 2014'!$C$2:$L$188,2,0)/1000,0)</f>
        <v>0</v>
      </c>
      <c r="AE879" s="1">
        <f>+IFERROR(VLOOKUP(AE28,'נתוני מים 2014'!$C$2:$L$188,2,0)/1000,0)</f>
        <v>0</v>
      </c>
      <c r="AF879" s="1">
        <f>+IFERROR(VLOOKUP(AF28,'נתוני מים 2014'!$C$2:$L$188,2,0)/1000,0)</f>
        <v>0</v>
      </c>
      <c r="AG879" s="1">
        <f>+IFERROR(VLOOKUP(AG28,'נתוני מים 2014'!$C$2:$L$188,2,0)/1000,0)</f>
        <v>0</v>
      </c>
      <c r="AH879" s="1">
        <f>+IFERROR(VLOOKUP(AH28,'נתוני מים 2014'!$C$2:$L$188,2,0)/1000,0)</f>
        <v>0</v>
      </c>
      <c r="AI879" s="1">
        <f>+IFERROR(VLOOKUP(AI28,'נתוני מים 2014'!$C$2:$L$188,2,0)/1000,0)</f>
        <v>0</v>
      </c>
      <c r="AJ879" s="1">
        <f>+IFERROR(VLOOKUP(AJ28,'נתוני מים 2014'!$C$2:$L$188,2,0)/1000,0)</f>
        <v>0</v>
      </c>
      <c r="AK879" s="1">
        <f>+IFERROR(VLOOKUP(AK28,'נתוני מים 2014'!$C$2:$L$188,2,0)/1000,0)</f>
        <v>0</v>
      </c>
      <c r="AL879" s="1">
        <f>+IFERROR(VLOOKUP(AL28,'נתוני מים 2014'!$C$2:$L$188,2,0)/1000,0)</f>
        <v>0</v>
      </c>
      <c r="AM879" s="1">
        <f>+IFERROR(VLOOKUP(AM28,'נתוני מים 2014'!$C$2:$L$188,2,0)/1000,0)</f>
        <v>0</v>
      </c>
      <c r="AN879" s="1">
        <f>+IFERROR(VLOOKUP(AN28,'נתוני מים 2014'!$C$2:$L$188,2,0)/1000,0)</f>
        <v>0</v>
      </c>
      <c r="AO879" s="1">
        <f>+IFERROR(VLOOKUP(AO28,'נתוני מים 2014'!$C$2:$L$188,2,0)/1000,0)</f>
        <v>0</v>
      </c>
      <c r="AP879" s="1">
        <f>+IFERROR(VLOOKUP(AP28,'נתוני מים 2014'!$C$2:$L$188,2,0)/1000,0)</f>
        <v>0</v>
      </c>
      <c r="AQ879" s="1">
        <f>+IFERROR(VLOOKUP(AQ28,'נתוני מים 2014'!$C$2:$L$188,2,0)/1000,0)</f>
        <v>0</v>
      </c>
      <c r="AR879" s="1">
        <f>+IFERROR(VLOOKUP(AR28,'נתוני מים 2014'!$C$2:$L$188,2,0)/1000,0)</f>
        <v>0</v>
      </c>
      <c r="AS879" s="1">
        <f>+IFERROR(VLOOKUP(AS28,'נתוני מים 2014'!$C$2:$L$188,2,0)/1000,0)</f>
        <v>0</v>
      </c>
      <c r="AT879" s="1">
        <f>+IFERROR(VLOOKUP(AT28,'נתוני מים 2014'!$C$2:$L$188,2,0)/1000,0)</f>
        <v>0</v>
      </c>
      <c r="AU879" s="1">
        <f>+IFERROR(VLOOKUP(AU28,'נתוני מים 2014'!$C$2:$L$188,2,0)/1000,0)</f>
        <v>0</v>
      </c>
      <c r="AV879" s="1">
        <f>+IFERROR(VLOOKUP(AV28,'נתוני מים 2014'!$C$2:$L$188,2,0)/1000,0)</f>
        <v>0</v>
      </c>
      <c r="AW879" s="1">
        <f>+IFERROR(VLOOKUP(AW28,'נתוני מים 2014'!$C$2:$L$188,2,0)/1000,0)</f>
        <v>0</v>
      </c>
      <c r="AX879" s="1">
        <f>+IFERROR(VLOOKUP(AX28,'נתוני מים 2014'!$C$2:$L$188,2,0)/1000,0)</f>
        <v>0</v>
      </c>
      <c r="AY879" s="1">
        <f>+IFERROR(VLOOKUP(AY28,'נתוני מים 2014'!$C$2:$L$188,2,0)/1000,0)</f>
        <v>0</v>
      </c>
      <c r="AZ879" s="1">
        <f>+IFERROR(VLOOKUP(AZ28,'נתוני מים 2014'!$C$2:$L$188,2,0)/1000,0)</f>
        <v>0</v>
      </c>
      <c r="BA879" s="1">
        <f>+IFERROR(VLOOKUP(BA28,'נתוני מים 2014'!$C$2:$L$188,2,0)/1000,0)</f>
        <v>0</v>
      </c>
      <c r="BB879" s="1">
        <f>+IFERROR(VLOOKUP(BB28,'נתוני מים 2014'!$C$2:$L$188,2,0)/1000,0)</f>
        <v>0</v>
      </c>
      <c r="BC879" s="1">
        <f>+IFERROR(VLOOKUP(BC28,'נתוני מים 2014'!$C$2:$L$188,2,0)/1000,0)</f>
        <v>0</v>
      </c>
      <c r="BD879" s="1">
        <f>+IFERROR(VLOOKUP(BD28,'נתוני מים 2014'!$C$2:$L$188,2,0)/1000,0)</f>
        <v>0</v>
      </c>
      <c r="BE879" s="1">
        <f>+IFERROR(VLOOKUP(BE28,'נתוני מים 2014'!$C$2:$L$188,2,0)/1000,0)</f>
        <v>0</v>
      </c>
      <c r="BF879" s="1">
        <f>+IFERROR(VLOOKUP(BF28,'נתוני מים 2014'!$C$2:$L$188,2,0)/1000,0)</f>
        <v>0</v>
      </c>
    </row>
    <row r="880" spans="2:58" x14ac:dyDescent="0.2">
      <c r="B880" s="1">
        <v>22</v>
      </c>
      <c r="C880" s="1">
        <f>+IFERROR(VLOOKUP(C29,'נתוני מים 2014'!$C$2:$L$188,2,0)/1000,0)</f>
        <v>0</v>
      </c>
      <c r="D880" s="1">
        <f>+IFERROR(VLOOKUP(D29,'נתוני מים 2014'!$C$2:$L$188,2,0)/1000,0)</f>
        <v>0</v>
      </c>
      <c r="E880" s="1">
        <f>+IFERROR(VLOOKUP(E29,'נתוני מים 2014'!$C$2:$L$188,2,0)/1000,0)</f>
        <v>0</v>
      </c>
      <c r="F880" s="1">
        <f>+IFERROR(VLOOKUP(F29,'נתוני מים 2014'!$C$2:$L$188,2,0)/1000,0)</f>
        <v>0</v>
      </c>
      <c r="G880" s="1">
        <f>+IFERROR(VLOOKUP(G29,'נתוני מים 2014'!$C$2:$L$188,2,0)/1000,0)</f>
        <v>0</v>
      </c>
      <c r="H880" s="1">
        <f>+IFERROR(VLOOKUP(H29,'נתוני מים 2014'!$C$2:$L$188,2,0)/1000,0)</f>
        <v>0</v>
      </c>
      <c r="I880" s="1">
        <f>+IFERROR(VLOOKUP(I29,'נתוני מים 2014'!$C$2:$L$188,2,0)/1000,0)</f>
        <v>0</v>
      </c>
      <c r="J880" s="1">
        <f>+IFERROR(VLOOKUP(J29,'נתוני מים 2014'!$C$2:$L$188,2,0)/1000,0)</f>
        <v>0</v>
      </c>
      <c r="K880" s="1">
        <f>+IFERROR(VLOOKUP(K29,'נתוני מים 2014'!$C$2:$L$188,2,0)/1000,0)</f>
        <v>0</v>
      </c>
      <c r="L880" s="1">
        <f>+IFERROR(VLOOKUP(L29,'נתוני מים 2014'!$C$2:$L$188,2,0)/1000,0)</f>
        <v>0</v>
      </c>
      <c r="M880" s="1">
        <f>+IFERROR(VLOOKUP(M29,'נתוני מים 2014'!$C$2:$L$188,2,0)/1000,0)</f>
        <v>0</v>
      </c>
      <c r="N880" s="1">
        <f>+IFERROR(VLOOKUP(N29,'נתוני מים 2014'!$C$2:$L$188,2,0)/1000,0)</f>
        <v>0</v>
      </c>
      <c r="O880" s="1">
        <f>+IFERROR(VLOOKUP(O29,'נתוני מים 2014'!$C$2:$L$188,2,0)/1000,0)</f>
        <v>0</v>
      </c>
      <c r="P880" s="1">
        <f>+IFERROR(VLOOKUP(P29,'נתוני מים 2014'!$C$2:$L$188,2,0)/1000,0)</f>
        <v>0</v>
      </c>
      <c r="Q880" s="1">
        <f>+IFERROR(VLOOKUP(Q29,'נתוני מים 2014'!$C$2:$L$188,2,0)/1000,0)</f>
        <v>0</v>
      </c>
      <c r="R880" s="1">
        <f>+IFERROR(VLOOKUP(R29,'נתוני מים 2014'!$C$2:$L$188,2,0)/1000,0)</f>
        <v>0</v>
      </c>
      <c r="S880" s="1">
        <f>+IFERROR(VLOOKUP(S29,'נתוני מים 2014'!$C$2:$L$188,2,0)/1000,0)</f>
        <v>0</v>
      </c>
      <c r="T880" s="1">
        <f>+IFERROR(VLOOKUP(T29,'נתוני מים 2014'!$C$2:$L$188,2,0)/1000,0)</f>
        <v>0</v>
      </c>
      <c r="U880" s="1">
        <f>+IFERROR(VLOOKUP(U29,'נתוני מים 2014'!$C$2:$L$188,2,0)/1000,0)</f>
        <v>0</v>
      </c>
      <c r="V880" s="1">
        <f>+IFERROR(VLOOKUP(V29,'נתוני מים 2014'!$C$2:$L$188,2,0)/1000,0)</f>
        <v>0</v>
      </c>
      <c r="W880" s="1">
        <f>+IFERROR(VLOOKUP(W29,'נתוני מים 2014'!$C$2:$L$188,2,0)/1000,0)</f>
        <v>0</v>
      </c>
      <c r="X880" s="1">
        <f>+IFERROR(VLOOKUP(X29,'נתוני מים 2014'!$C$2:$L$188,2,0)/1000,0)</f>
        <v>0</v>
      </c>
      <c r="Y880" s="1">
        <f>+IFERROR(VLOOKUP(Y29,'נתוני מים 2014'!$C$2:$L$188,2,0)/1000,0)</f>
        <v>0</v>
      </c>
      <c r="Z880" s="1">
        <f>+IFERROR(VLOOKUP(Z29,'נתוני מים 2014'!$C$2:$L$188,2,0)/1000,0)</f>
        <v>0</v>
      </c>
      <c r="AA880" s="1">
        <f>+IFERROR(VLOOKUP(AA29,'נתוני מים 2014'!$C$2:$L$188,2,0)/1000,0)</f>
        <v>0</v>
      </c>
      <c r="AB880" s="1">
        <f>+IFERROR(VLOOKUP(AB29,'נתוני מים 2014'!$C$2:$L$188,2,0)/1000,0)</f>
        <v>0</v>
      </c>
      <c r="AC880" s="1">
        <f>+IFERROR(VLOOKUP(AC29,'נתוני מים 2014'!$C$2:$L$188,2,0)/1000,0)</f>
        <v>0</v>
      </c>
      <c r="AD880" s="1">
        <f>+IFERROR(VLOOKUP(AD29,'נתוני מים 2014'!$C$2:$L$188,2,0)/1000,0)</f>
        <v>0</v>
      </c>
      <c r="AE880" s="1">
        <f>+IFERROR(VLOOKUP(AE29,'נתוני מים 2014'!$C$2:$L$188,2,0)/1000,0)</f>
        <v>0</v>
      </c>
      <c r="AF880" s="1">
        <f>+IFERROR(VLOOKUP(AF29,'נתוני מים 2014'!$C$2:$L$188,2,0)/1000,0)</f>
        <v>0</v>
      </c>
      <c r="AG880" s="1">
        <f>+IFERROR(VLOOKUP(AG29,'נתוני מים 2014'!$C$2:$L$188,2,0)/1000,0)</f>
        <v>0</v>
      </c>
      <c r="AH880" s="1">
        <f>+IFERROR(VLOOKUP(AH29,'נתוני מים 2014'!$C$2:$L$188,2,0)/1000,0)</f>
        <v>0</v>
      </c>
      <c r="AI880" s="1">
        <f>+IFERROR(VLOOKUP(AI29,'נתוני מים 2014'!$C$2:$L$188,2,0)/1000,0)</f>
        <v>0</v>
      </c>
      <c r="AJ880" s="1">
        <f>+IFERROR(VLOOKUP(AJ29,'נתוני מים 2014'!$C$2:$L$188,2,0)/1000,0)</f>
        <v>0</v>
      </c>
      <c r="AK880" s="1">
        <f>+IFERROR(VLOOKUP(AK29,'נתוני מים 2014'!$C$2:$L$188,2,0)/1000,0)</f>
        <v>0</v>
      </c>
      <c r="AL880" s="1">
        <f>+IFERROR(VLOOKUP(AL29,'נתוני מים 2014'!$C$2:$L$188,2,0)/1000,0)</f>
        <v>0</v>
      </c>
      <c r="AM880" s="1">
        <f>+IFERROR(VLOOKUP(AM29,'נתוני מים 2014'!$C$2:$L$188,2,0)/1000,0)</f>
        <v>0</v>
      </c>
      <c r="AN880" s="1">
        <f>+IFERROR(VLOOKUP(AN29,'נתוני מים 2014'!$C$2:$L$188,2,0)/1000,0)</f>
        <v>0</v>
      </c>
      <c r="AO880" s="1">
        <f>+IFERROR(VLOOKUP(AO29,'נתוני מים 2014'!$C$2:$L$188,2,0)/1000,0)</f>
        <v>0</v>
      </c>
      <c r="AP880" s="1">
        <f>+IFERROR(VLOOKUP(AP29,'נתוני מים 2014'!$C$2:$L$188,2,0)/1000,0)</f>
        <v>0</v>
      </c>
      <c r="AQ880" s="1">
        <f>+IFERROR(VLOOKUP(AQ29,'נתוני מים 2014'!$C$2:$L$188,2,0)/1000,0)</f>
        <v>0</v>
      </c>
      <c r="AR880" s="1">
        <f>+IFERROR(VLOOKUP(AR29,'נתוני מים 2014'!$C$2:$L$188,2,0)/1000,0)</f>
        <v>0</v>
      </c>
      <c r="AS880" s="1">
        <f>+IFERROR(VLOOKUP(AS29,'נתוני מים 2014'!$C$2:$L$188,2,0)/1000,0)</f>
        <v>0</v>
      </c>
      <c r="AT880" s="1">
        <f>+IFERROR(VLOOKUP(AT29,'נתוני מים 2014'!$C$2:$L$188,2,0)/1000,0)</f>
        <v>0</v>
      </c>
      <c r="AU880" s="1">
        <f>+IFERROR(VLOOKUP(AU29,'נתוני מים 2014'!$C$2:$L$188,2,0)/1000,0)</f>
        <v>0</v>
      </c>
      <c r="AV880" s="1">
        <f>+IFERROR(VLOOKUP(AV29,'נתוני מים 2014'!$C$2:$L$188,2,0)/1000,0)</f>
        <v>0</v>
      </c>
      <c r="AW880" s="1">
        <f>+IFERROR(VLOOKUP(AW29,'נתוני מים 2014'!$C$2:$L$188,2,0)/1000,0)</f>
        <v>0</v>
      </c>
      <c r="AX880" s="1">
        <f>+IFERROR(VLOOKUP(AX29,'נתוני מים 2014'!$C$2:$L$188,2,0)/1000,0)</f>
        <v>0</v>
      </c>
      <c r="AY880" s="1">
        <f>+IFERROR(VLOOKUP(AY29,'נתוני מים 2014'!$C$2:$L$188,2,0)/1000,0)</f>
        <v>0</v>
      </c>
      <c r="AZ880" s="1">
        <f>+IFERROR(VLOOKUP(AZ29,'נתוני מים 2014'!$C$2:$L$188,2,0)/1000,0)</f>
        <v>0</v>
      </c>
      <c r="BA880" s="1">
        <f>+IFERROR(VLOOKUP(BA29,'נתוני מים 2014'!$C$2:$L$188,2,0)/1000,0)</f>
        <v>0</v>
      </c>
      <c r="BB880" s="1">
        <f>+IFERROR(VLOOKUP(BB29,'נתוני מים 2014'!$C$2:$L$188,2,0)/1000,0)</f>
        <v>0</v>
      </c>
      <c r="BC880" s="1">
        <f>+IFERROR(VLOOKUP(BC29,'נתוני מים 2014'!$C$2:$L$188,2,0)/1000,0)</f>
        <v>0</v>
      </c>
      <c r="BD880" s="1">
        <f>+IFERROR(VLOOKUP(BD29,'נתוני מים 2014'!$C$2:$L$188,2,0)/1000,0)</f>
        <v>0</v>
      </c>
      <c r="BE880" s="1">
        <f>+IFERROR(VLOOKUP(BE29,'נתוני מים 2014'!$C$2:$L$188,2,0)/1000,0)</f>
        <v>0</v>
      </c>
      <c r="BF880" s="1">
        <f>+IFERROR(VLOOKUP(BF29,'נתוני מים 2014'!$C$2:$L$188,2,0)/1000,0)</f>
        <v>0</v>
      </c>
    </row>
    <row r="881" spans="1:58" x14ac:dyDescent="0.2">
      <c r="B881" s="1">
        <v>23</v>
      </c>
      <c r="C881" s="1">
        <f>+IFERROR(VLOOKUP(C30,'נתוני מים 2014'!$C$2:$L$188,2,0)/1000,0)</f>
        <v>0</v>
      </c>
      <c r="D881" s="1">
        <f>+IFERROR(VLOOKUP(D30,'נתוני מים 2014'!$C$2:$L$188,2,0)/1000,0)</f>
        <v>0</v>
      </c>
      <c r="E881" s="1">
        <f>+IFERROR(VLOOKUP(E30,'נתוני מים 2014'!$C$2:$L$188,2,0)/1000,0)</f>
        <v>0</v>
      </c>
      <c r="F881" s="1">
        <f>+IFERROR(VLOOKUP(F30,'נתוני מים 2014'!$C$2:$L$188,2,0)/1000,0)</f>
        <v>0</v>
      </c>
      <c r="G881" s="1">
        <f>+IFERROR(VLOOKUP(G30,'נתוני מים 2014'!$C$2:$L$188,2,0)/1000,0)</f>
        <v>0</v>
      </c>
      <c r="H881" s="1">
        <f>+IFERROR(VLOOKUP(H30,'נתוני מים 2014'!$C$2:$L$188,2,0)/1000,0)</f>
        <v>0</v>
      </c>
      <c r="I881" s="1">
        <f>+IFERROR(VLOOKUP(I30,'נתוני מים 2014'!$C$2:$L$188,2,0)/1000,0)</f>
        <v>0</v>
      </c>
      <c r="J881" s="1">
        <f>+IFERROR(VLOOKUP(J30,'נתוני מים 2014'!$C$2:$L$188,2,0)/1000,0)</f>
        <v>0</v>
      </c>
      <c r="K881" s="1">
        <f>+IFERROR(VLOOKUP(K30,'נתוני מים 2014'!$C$2:$L$188,2,0)/1000,0)</f>
        <v>0</v>
      </c>
      <c r="L881" s="1">
        <f>+IFERROR(VLOOKUP(L30,'נתוני מים 2014'!$C$2:$L$188,2,0)/1000,0)</f>
        <v>0</v>
      </c>
      <c r="M881" s="1">
        <f>+IFERROR(VLOOKUP(M30,'נתוני מים 2014'!$C$2:$L$188,2,0)/1000,0)</f>
        <v>0</v>
      </c>
      <c r="N881" s="1">
        <f>+IFERROR(VLOOKUP(N30,'נתוני מים 2014'!$C$2:$L$188,2,0)/1000,0)</f>
        <v>0</v>
      </c>
      <c r="O881" s="1">
        <f>+IFERROR(VLOOKUP(O30,'נתוני מים 2014'!$C$2:$L$188,2,0)/1000,0)</f>
        <v>0</v>
      </c>
      <c r="P881" s="1">
        <f>+IFERROR(VLOOKUP(P30,'נתוני מים 2014'!$C$2:$L$188,2,0)/1000,0)</f>
        <v>0</v>
      </c>
      <c r="Q881" s="1">
        <f>+IFERROR(VLOOKUP(Q30,'נתוני מים 2014'!$C$2:$L$188,2,0)/1000,0)</f>
        <v>0</v>
      </c>
      <c r="R881" s="1">
        <f>+IFERROR(VLOOKUP(R30,'נתוני מים 2014'!$C$2:$L$188,2,0)/1000,0)</f>
        <v>0</v>
      </c>
      <c r="S881" s="1">
        <f>+IFERROR(VLOOKUP(S30,'נתוני מים 2014'!$C$2:$L$188,2,0)/1000,0)</f>
        <v>0</v>
      </c>
      <c r="T881" s="1">
        <f>+IFERROR(VLOOKUP(T30,'נתוני מים 2014'!$C$2:$L$188,2,0)/1000,0)</f>
        <v>0</v>
      </c>
      <c r="U881" s="1">
        <f>+IFERROR(VLOOKUP(U30,'נתוני מים 2014'!$C$2:$L$188,2,0)/1000,0)</f>
        <v>0</v>
      </c>
      <c r="V881" s="1">
        <f>+IFERROR(VLOOKUP(V30,'נתוני מים 2014'!$C$2:$L$188,2,0)/1000,0)</f>
        <v>0</v>
      </c>
      <c r="W881" s="1">
        <f>+IFERROR(VLOOKUP(W30,'נתוני מים 2014'!$C$2:$L$188,2,0)/1000,0)</f>
        <v>0</v>
      </c>
      <c r="X881" s="1">
        <f>+IFERROR(VLOOKUP(X30,'נתוני מים 2014'!$C$2:$L$188,2,0)/1000,0)</f>
        <v>0</v>
      </c>
      <c r="Y881" s="1">
        <f>+IFERROR(VLOOKUP(Y30,'נתוני מים 2014'!$C$2:$L$188,2,0)/1000,0)</f>
        <v>0</v>
      </c>
      <c r="Z881" s="1">
        <f>+IFERROR(VLOOKUP(Z30,'נתוני מים 2014'!$C$2:$L$188,2,0)/1000,0)</f>
        <v>0</v>
      </c>
      <c r="AA881" s="1">
        <f>+IFERROR(VLOOKUP(AA30,'נתוני מים 2014'!$C$2:$L$188,2,0)/1000,0)</f>
        <v>0</v>
      </c>
      <c r="AB881" s="1">
        <f>+IFERROR(VLOOKUP(AB30,'נתוני מים 2014'!$C$2:$L$188,2,0)/1000,0)</f>
        <v>0</v>
      </c>
      <c r="AC881" s="1">
        <f>+IFERROR(VLOOKUP(AC30,'נתוני מים 2014'!$C$2:$L$188,2,0)/1000,0)</f>
        <v>0</v>
      </c>
      <c r="AD881" s="1">
        <f>+IFERROR(VLOOKUP(AD30,'נתוני מים 2014'!$C$2:$L$188,2,0)/1000,0)</f>
        <v>0</v>
      </c>
      <c r="AE881" s="1">
        <f>+IFERROR(VLOOKUP(AE30,'נתוני מים 2014'!$C$2:$L$188,2,0)/1000,0)</f>
        <v>0</v>
      </c>
      <c r="AF881" s="1">
        <f>+IFERROR(VLOOKUP(AF30,'נתוני מים 2014'!$C$2:$L$188,2,0)/1000,0)</f>
        <v>0</v>
      </c>
      <c r="AG881" s="1">
        <f>+IFERROR(VLOOKUP(AG30,'נתוני מים 2014'!$C$2:$L$188,2,0)/1000,0)</f>
        <v>0</v>
      </c>
      <c r="AH881" s="1">
        <f>+IFERROR(VLOOKUP(AH30,'נתוני מים 2014'!$C$2:$L$188,2,0)/1000,0)</f>
        <v>0</v>
      </c>
      <c r="AI881" s="1">
        <f>+IFERROR(VLOOKUP(AI30,'נתוני מים 2014'!$C$2:$L$188,2,0)/1000,0)</f>
        <v>0</v>
      </c>
      <c r="AJ881" s="1">
        <f>+IFERROR(VLOOKUP(AJ30,'נתוני מים 2014'!$C$2:$L$188,2,0)/1000,0)</f>
        <v>0</v>
      </c>
      <c r="AK881" s="1">
        <f>+IFERROR(VLOOKUP(AK30,'נתוני מים 2014'!$C$2:$L$188,2,0)/1000,0)</f>
        <v>0</v>
      </c>
      <c r="AL881" s="1">
        <f>+IFERROR(VLOOKUP(AL30,'נתוני מים 2014'!$C$2:$L$188,2,0)/1000,0)</f>
        <v>0</v>
      </c>
      <c r="AM881" s="1">
        <f>+IFERROR(VLOOKUP(AM30,'נתוני מים 2014'!$C$2:$L$188,2,0)/1000,0)</f>
        <v>0</v>
      </c>
      <c r="AN881" s="1">
        <f>+IFERROR(VLOOKUP(AN30,'נתוני מים 2014'!$C$2:$L$188,2,0)/1000,0)</f>
        <v>0</v>
      </c>
      <c r="AO881" s="1">
        <f>+IFERROR(VLOOKUP(AO30,'נתוני מים 2014'!$C$2:$L$188,2,0)/1000,0)</f>
        <v>0</v>
      </c>
      <c r="AP881" s="1">
        <f>+IFERROR(VLOOKUP(AP30,'נתוני מים 2014'!$C$2:$L$188,2,0)/1000,0)</f>
        <v>0</v>
      </c>
      <c r="AQ881" s="1">
        <f>+IFERROR(VLOOKUP(AQ30,'נתוני מים 2014'!$C$2:$L$188,2,0)/1000,0)</f>
        <v>0</v>
      </c>
      <c r="AR881" s="1">
        <f>+IFERROR(VLOOKUP(AR30,'נתוני מים 2014'!$C$2:$L$188,2,0)/1000,0)</f>
        <v>0</v>
      </c>
      <c r="AS881" s="1">
        <f>+IFERROR(VLOOKUP(AS30,'נתוני מים 2014'!$C$2:$L$188,2,0)/1000,0)</f>
        <v>0</v>
      </c>
      <c r="AT881" s="1">
        <f>+IFERROR(VLOOKUP(AT30,'נתוני מים 2014'!$C$2:$L$188,2,0)/1000,0)</f>
        <v>0</v>
      </c>
      <c r="AU881" s="1">
        <f>+IFERROR(VLOOKUP(AU30,'נתוני מים 2014'!$C$2:$L$188,2,0)/1000,0)</f>
        <v>0</v>
      </c>
      <c r="AV881" s="1">
        <f>+IFERROR(VLOOKUP(AV30,'נתוני מים 2014'!$C$2:$L$188,2,0)/1000,0)</f>
        <v>0</v>
      </c>
      <c r="AW881" s="1">
        <f>+IFERROR(VLOOKUP(AW30,'נתוני מים 2014'!$C$2:$L$188,2,0)/1000,0)</f>
        <v>0</v>
      </c>
      <c r="AX881" s="1">
        <f>+IFERROR(VLOOKUP(AX30,'נתוני מים 2014'!$C$2:$L$188,2,0)/1000,0)</f>
        <v>0</v>
      </c>
      <c r="AY881" s="1">
        <f>+IFERROR(VLOOKUP(AY30,'נתוני מים 2014'!$C$2:$L$188,2,0)/1000,0)</f>
        <v>0</v>
      </c>
      <c r="AZ881" s="1">
        <f>+IFERROR(VLOOKUP(AZ30,'נתוני מים 2014'!$C$2:$L$188,2,0)/1000,0)</f>
        <v>0</v>
      </c>
      <c r="BA881" s="1">
        <f>+IFERROR(VLOOKUP(BA30,'נתוני מים 2014'!$C$2:$L$188,2,0)/1000,0)</f>
        <v>0</v>
      </c>
      <c r="BB881" s="1">
        <f>+IFERROR(VLOOKUP(BB30,'נתוני מים 2014'!$C$2:$L$188,2,0)/1000,0)</f>
        <v>0</v>
      </c>
      <c r="BC881" s="1">
        <f>+IFERROR(VLOOKUP(BC30,'נתוני מים 2014'!$C$2:$L$188,2,0)/1000,0)</f>
        <v>0</v>
      </c>
      <c r="BD881" s="1">
        <f>+IFERROR(VLOOKUP(BD30,'נתוני מים 2014'!$C$2:$L$188,2,0)/1000,0)</f>
        <v>0</v>
      </c>
      <c r="BE881" s="1">
        <f>+IFERROR(VLOOKUP(BE30,'נתוני מים 2014'!$C$2:$L$188,2,0)/1000,0)</f>
        <v>0</v>
      </c>
      <c r="BF881" s="1">
        <f>+IFERROR(VLOOKUP(BF30,'נתוני מים 2014'!$C$2:$L$188,2,0)/1000,0)</f>
        <v>0</v>
      </c>
    </row>
    <row r="882" spans="1:58" x14ac:dyDescent="0.2">
      <c r="B882" s="1">
        <v>24</v>
      </c>
      <c r="C882" s="1">
        <f>+IFERROR(VLOOKUP(C31,'נתוני מים 2014'!$C$2:$L$188,2,0)/1000,0)</f>
        <v>0</v>
      </c>
      <c r="D882" s="1">
        <f>+IFERROR(VLOOKUP(D31,'נתוני מים 2014'!$C$2:$L$188,2,0)/1000,0)</f>
        <v>0</v>
      </c>
      <c r="E882" s="1">
        <f>+IFERROR(VLOOKUP(E31,'נתוני מים 2014'!$C$2:$L$188,2,0)/1000,0)</f>
        <v>0</v>
      </c>
      <c r="F882" s="1">
        <f>+IFERROR(VLOOKUP(F31,'נתוני מים 2014'!$C$2:$L$188,2,0)/1000,0)</f>
        <v>0</v>
      </c>
      <c r="G882" s="1">
        <f>+IFERROR(VLOOKUP(G31,'נתוני מים 2014'!$C$2:$L$188,2,0)/1000,0)</f>
        <v>0</v>
      </c>
      <c r="H882" s="1">
        <f>+IFERROR(VLOOKUP(H31,'נתוני מים 2014'!$C$2:$L$188,2,0)/1000,0)</f>
        <v>0</v>
      </c>
      <c r="I882" s="1">
        <f>+IFERROR(VLOOKUP(I31,'נתוני מים 2014'!$C$2:$L$188,2,0)/1000,0)</f>
        <v>0</v>
      </c>
      <c r="J882" s="1">
        <f>+IFERROR(VLOOKUP(J31,'נתוני מים 2014'!$C$2:$L$188,2,0)/1000,0)</f>
        <v>0</v>
      </c>
      <c r="K882" s="1">
        <f>+IFERROR(VLOOKUP(K31,'נתוני מים 2014'!$C$2:$L$188,2,0)/1000,0)</f>
        <v>0</v>
      </c>
      <c r="L882" s="1">
        <f>+IFERROR(VLOOKUP(L31,'נתוני מים 2014'!$C$2:$L$188,2,0)/1000,0)</f>
        <v>0</v>
      </c>
      <c r="M882" s="1">
        <f>+IFERROR(VLOOKUP(M31,'נתוני מים 2014'!$C$2:$L$188,2,0)/1000,0)</f>
        <v>0</v>
      </c>
      <c r="N882" s="1">
        <f>+IFERROR(VLOOKUP(N31,'נתוני מים 2014'!$C$2:$L$188,2,0)/1000,0)</f>
        <v>0</v>
      </c>
      <c r="O882" s="1">
        <f>+IFERROR(VLOOKUP(O31,'נתוני מים 2014'!$C$2:$L$188,2,0)/1000,0)</f>
        <v>0</v>
      </c>
      <c r="P882" s="1">
        <f>+IFERROR(VLOOKUP(P31,'נתוני מים 2014'!$C$2:$L$188,2,0)/1000,0)</f>
        <v>0</v>
      </c>
      <c r="Q882" s="1">
        <f>+IFERROR(VLOOKUP(Q31,'נתוני מים 2014'!$C$2:$L$188,2,0)/1000,0)</f>
        <v>0</v>
      </c>
      <c r="R882" s="1">
        <f>+IFERROR(VLOOKUP(R31,'נתוני מים 2014'!$C$2:$L$188,2,0)/1000,0)</f>
        <v>0</v>
      </c>
      <c r="S882" s="1">
        <f>+IFERROR(VLOOKUP(S31,'נתוני מים 2014'!$C$2:$L$188,2,0)/1000,0)</f>
        <v>0</v>
      </c>
      <c r="T882" s="1">
        <f>+IFERROR(VLOOKUP(T31,'נתוני מים 2014'!$C$2:$L$188,2,0)/1000,0)</f>
        <v>0</v>
      </c>
      <c r="U882" s="1">
        <f>+IFERROR(VLOOKUP(U31,'נתוני מים 2014'!$C$2:$L$188,2,0)/1000,0)</f>
        <v>0</v>
      </c>
      <c r="V882" s="1">
        <f>+IFERROR(VLOOKUP(V31,'נתוני מים 2014'!$C$2:$L$188,2,0)/1000,0)</f>
        <v>0</v>
      </c>
      <c r="W882" s="1">
        <f>+IFERROR(VLOOKUP(W31,'נתוני מים 2014'!$C$2:$L$188,2,0)/1000,0)</f>
        <v>0</v>
      </c>
      <c r="X882" s="1">
        <f>+IFERROR(VLOOKUP(X31,'נתוני מים 2014'!$C$2:$L$188,2,0)/1000,0)</f>
        <v>0</v>
      </c>
      <c r="Y882" s="1">
        <f>+IFERROR(VLOOKUP(Y31,'נתוני מים 2014'!$C$2:$L$188,2,0)/1000,0)</f>
        <v>0</v>
      </c>
      <c r="Z882" s="1">
        <f>+IFERROR(VLOOKUP(Z31,'נתוני מים 2014'!$C$2:$L$188,2,0)/1000,0)</f>
        <v>0</v>
      </c>
      <c r="AA882" s="1">
        <f>+IFERROR(VLOOKUP(AA31,'נתוני מים 2014'!$C$2:$L$188,2,0)/1000,0)</f>
        <v>0</v>
      </c>
      <c r="AB882" s="1">
        <f>+IFERROR(VLOOKUP(AB31,'נתוני מים 2014'!$C$2:$L$188,2,0)/1000,0)</f>
        <v>0</v>
      </c>
      <c r="AC882" s="1">
        <f>+IFERROR(VLOOKUP(AC31,'נתוני מים 2014'!$C$2:$L$188,2,0)/1000,0)</f>
        <v>0</v>
      </c>
      <c r="AD882" s="1">
        <f>+IFERROR(VLOOKUP(AD31,'נתוני מים 2014'!$C$2:$L$188,2,0)/1000,0)</f>
        <v>0</v>
      </c>
      <c r="AE882" s="1">
        <f>+IFERROR(VLOOKUP(AE31,'נתוני מים 2014'!$C$2:$L$188,2,0)/1000,0)</f>
        <v>0</v>
      </c>
      <c r="AF882" s="1">
        <f>+IFERROR(VLOOKUP(AF31,'נתוני מים 2014'!$C$2:$L$188,2,0)/1000,0)</f>
        <v>0</v>
      </c>
      <c r="AG882" s="1">
        <f>+IFERROR(VLOOKUP(AG31,'נתוני מים 2014'!$C$2:$L$188,2,0)/1000,0)</f>
        <v>0</v>
      </c>
      <c r="AH882" s="1">
        <f>+IFERROR(VLOOKUP(AH31,'נתוני מים 2014'!$C$2:$L$188,2,0)/1000,0)</f>
        <v>0</v>
      </c>
      <c r="AI882" s="1">
        <f>+IFERROR(VLOOKUP(AI31,'נתוני מים 2014'!$C$2:$L$188,2,0)/1000,0)</f>
        <v>0</v>
      </c>
      <c r="AJ882" s="1">
        <f>+IFERROR(VLOOKUP(AJ31,'נתוני מים 2014'!$C$2:$L$188,2,0)/1000,0)</f>
        <v>0</v>
      </c>
      <c r="AK882" s="1">
        <f>+IFERROR(VLOOKUP(AK31,'נתוני מים 2014'!$C$2:$L$188,2,0)/1000,0)</f>
        <v>0</v>
      </c>
      <c r="AL882" s="1">
        <f>+IFERROR(VLOOKUP(AL31,'נתוני מים 2014'!$C$2:$L$188,2,0)/1000,0)</f>
        <v>0</v>
      </c>
      <c r="AM882" s="1">
        <f>+IFERROR(VLOOKUP(AM31,'נתוני מים 2014'!$C$2:$L$188,2,0)/1000,0)</f>
        <v>0</v>
      </c>
      <c r="AN882" s="1">
        <f>+IFERROR(VLOOKUP(AN31,'נתוני מים 2014'!$C$2:$L$188,2,0)/1000,0)</f>
        <v>0</v>
      </c>
      <c r="AO882" s="1">
        <f>+IFERROR(VLOOKUP(AO31,'נתוני מים 2014'!$C$2:$L$188,2,0)/1000,0)</f>
        <v>0</v>
      </c>
      <c r="AP882" s="1">
        <f>+IFERROR(VLOOKUP(AP31,'נתוני מים 2014'!$C$2:$L$188,2,0)/1000,0)</f>
        <v>0</v>
      </c>
      <c r="AQ882" s="1">
        <f>+IFERROR(VLOOKUP(AQ31,'נתוני מים 2014'!$C$2:$L$188,2,0)/1000,0)</f>
        <v>0</v>
      </c>
      <c r="AR882" s="1">
        <f>+IFERROR(VLOOKUP(AR31,'נתוני מים 2014'!$C$2:$L$188,2,0)/1000,0)</f>
        <v>0</v>
      </c>
      <c r="AS882" s="1">
        <f>+IFERROR(VLOOKUP(AS31,'נתוני מים 2014'!$C$2:$L$188,2,0)/1000,0)</f>
        <v>0</v>
      </c>
      <c r="AT882" s="1">
        <f>+IFERROR(VLOOKUP(AT31,'נתוני מים 2014'!$C$2:$L$188,2,0)/1000,0)</f>
        <v>0</v>
      </c>
      <c r="AU882" s="1">
        <f>+IFERROR(VLOOKUP(AU31,'נתוני מים 2014'!$C$2:$L$188,2,0)/1000,0)</f>
        <v>0</v>
      </c>
      <c r="AV882" s="1">
        <f>+IFERROR(VLOOKUP(AV31,'נתוני מים 2014'!$C$2:$L$188,2,0)/1000,0)</f>
        <v>0</v>
      </c>
      <c r="AW882" s="1">
        <f>+IFERROR(VLOOKUP(AW31,'נתוני מים 2014'!$C$2:$L$188,2,0)/1000,0)</f>
        <v>0</v>
      </c>
      <c r="AX882" s="1">
        <f>+IFERROR(VLOOKUP(AX31,'נתוני מים 2014'!$C$2:$L$188,2,0)/1000,0)</f>
        <v>0</v>
      </c>
      <c r="AY882" s="1">
        <f>+IFERROR(VLOOKUP(AY31,'נתוני מים 2014'!$C$2:$L$188,2,0)/1000,0)</f>
        <v>0</v>
      </c>
      <c r="AZ882" s="1">
        <f>+IFERROR(VLOOKUP(AZ31,'נתוני מים 2014'!$C$2:$L$188,2,0)/1000,0)</f>
        <v>0</v>
      </c>
      <c r="BA882" s="1">
        <f>+IFERROR(VLOOKUP(BA31,'נתוני מים 2014'!$C$2:$L$188,2,0)/1000,0)</f>
        <v>0</v>
      </c>
      <c r="BB882" s="1">
        <f>+IFERROR(VLOOKUP(BB31,'נתוני מים 2014'!$C$2:$L$188,2,0)/1000,0)</f>
        <v>0</v>
      </c>
      <c r="BC882" s="1">
        <f>+IFERROR(VLOOKUP(BC31,'נתוני מים 2014'!$C$2:$L$188,2,0)/1000,0)</f>
        <v>0</v>
      </c>
      <c r="BD882" s="1">
        <f>+IFERROR(VLOOKUP(BD31,'נתוני מים 2014'!$C$2:$L$188,2,0)/1000,0)</f>
        <v>0</v>
      </c>
      <c r="BE882" s="1">
        <f>+IFERROR(VLOOKUP(BE31,'נתוני מים 2014'!$C$2:$L$188,2,0)/1000,0)</f>
        <v>0</v>
      </c>
      <c r="BF882" s="1">
        <f>+IFERROR(VLOOKUP(BF31,'נתוני מים 2014'!$C$2:$L$188,2,0)/1000,0)</f>
        <v>0</v>
      </c>
    </row>
    <row r="883" spans="1:58" x14ac:dyDescent="0.2">
      <c r="B883" s="1">
        <v>25</v>
      </c>
      <c r="C883" s="1">
        <f>+IFERROR(VLOOKUP(C32,'נתוני מים 2014'!$C$2:$L$188,2,0)/1000,0)</f>
        <v>0</v>
      </c>
      <c r="D883" s="1">
        <f>+IFERROR(VLOOKUP(D32,'נתוני מים 2014'!$C$2:$L$188,2,0)/1000,0)</f>
        <v>0</v>
      </c>
      <c r="E883" s="1">
        <f>+IFERROR(VLOOKUP(E32,'נתוני מים 2014'!$C$2:$L$188,2,0)/1000,0)</f>
        <v>0</v>
      </c>
      <c r="F883" s="1">
        <f>+IFERROR(VLOOKUP(F32,'נתוני מים 2014'!$C$2:$L$188,2,0)/1000,0)</f>
        <v>0</v>
      </c>
      <c r="G883" s="1">
        <f>+IFERROR(VLOOKUP(G32,'נתוני מים 2014'!$C$2:$L$188,2,0)/1000,0)</f>
        <v>0</v>
      </c>
      <c r="H883" s="1">
        <f>+IFERROR(VLOOKUP(H32,'נתוני מים 2014'!$C$2:$L$188,2,0)/1000,0)</f>
        <v>0</v>
      </c>
      <c r="I883" s="1">
        <f>+IFERROR(VLOOKUP(I32,'נתוני מים 2014'!$C$2:$L$188,2,0)/1000,0)</f>
        <v>0</v>
      </c>
      <c r="J883" s="1">
        <f>+IFERROR(VLOOKUP(J32,'נתוני מים 2014'!$C$2:$L$188,2,0)/1000,0)</f>
        <v>0</v>
      </c>
      <c r="K883" s="1">
        <f>+IFERROR(VLOOKUP(K32,'נתוני מים 2014'!$C$2:$L$188,2,0)/1000,0)</f>
        <v>0</v>
      </c>
      <c r="L883" s="1">
        <f>+IFERROR(VLOOKUP(L32,'נתוני מים 2014'!$C$2:$L$188,2,0)/1000,0)</f>
        <v>0</v>
      </c>
      <c r="M883" s="1">
        <f>+IFERROR(VLOOKUP(M32,'נתוני מים 2014'!$C$2:$L$188,2,0)/1000,0)</f>
        <v>0</v>
      </c>
      <c r="N883" s="1">
        <f>+IFERROR(VLOOKUP(N32,'נתוני מים 2014'!$C$2:$L$188,2,0)/1000,0)</f>
        <v>0</v>
      </c>
      <c r="O883" s="1">
        <f>+IFERROR(VLOOKUP(O32,'נתוני מים 2014'!$C$2:$L$188,2,0)/1000,0)</f>
        <v>0</v>
      </c>
      <c r="P883" s="1">
        <f>+IFERROR(VLOOKUP(P32,'נתוני מים 2014'!$C$2:$L$188,2,0)/1000,0)</f>
        <v>0</v>
      </c>
      <c r="Q883" s="1">
        <f>+IFERROR(VLOOKUP(Q32,'נתוני מים 2014'!$C$2:$L$188,2,0)/1000,0)</f>
        <v>0</v>
      </c>
      <c r="R883" s="1">
        <f>+IFERROR(VLOOKUP(R32,'נתוני מים 2014'!$C$2:$L$188,2,0)/1000,0)</f>
        <v>0</v>
      </c>
      <c r="S883" s="1">
        <f>+IFERROR(VLOOKUP(S32,'נתוני מים 2014'!$C$2:$L$188,2,0)/1000,0)</f>
        <v>0</v>
      </c>
      <c r="T883" s="1">
        <f>+IFERROR(VLOOKUP(T32,'נתוני מים 2014'!$C$2:$L$188,2,0)/1000,0)</f>
        <v>0</v>
      </c>
      <c r="U883" s="1">
        <f>+IFERROR(VLOOKUP(U32,'נתוני מים 2014'!$C$2:$L$188,2,0)/1000,0)</f>
        <v>0</v>
      </c>
      <c r="V883" s="1">
        <f>+IFERROR(VLOOKUP(V32,'נתוני מים 2014'!$C$2:$L$188,2,0)/1000,0)</f>
        <v>0</v>
      </c>
      <c r="W883" s="1">
        <f>+IFERROR(VLOOKUP(W32,'נתוני מים 2014'!$C$2:$L$188,2,0)/1000,0)</f>
        <v>0</v>
      </c>
      <c r="X883" s="1">
        <f>+IFERROR(VLOOKUP(X32,'נתוני מים 2014'!$C$2:$L$188,2,0)/1000,0)</f>
        <v>0</v>
      </c>
      <c r="Y883" s="1">
        <f>+IFERROR(VLOOKUP(Y32,'נתוני מים 2014'!$C$2:$L$188,2,0)/1000,0)</f>
        <v>0</v>
      </c>
      <c r="Z883" s="1">
        <f>+IFERROR(VLOOKUP(Z32,'נתוני מים 2014'!$C$2:$L$188,2,0)/1000,0)</f>
        <v>0</v>
      </c>
      <c r="AA883" s="1">
        <f>+IFERROR(VLOOKUP(AA32,'נתוני מים 2014'!$C$2:$L$188,2,0)/1000,0)</f>
        <v>0</v>
      </c>
      <c r="AB883" s="1">
        <f>+IFERROR(VLOOKUP(AB32,'נתוני מים 2014'!$C$2:$L$188,2,0)/1000,0)</f>
        <v>0</v>
      </c>
      <c r="AC883" s="1">
        <f>+IFERROR(VLOOKUP(AC32,'נתוני מים 2014'!$C$2:$L$188,2,0)/1000,0)</f>
        <v>0</v>
      </c>
      <c r="AD883" s="1">
        <f>+IFERROR(VLOOKUP(AD32,'נתוני מים 2014'!$C$2:$L$188,2,0)/1000,0)</f>
        <v>0</v>
      </c>
      <c r="AE883" s="1">
        <f>+IFERROR(VLOOKUP(AE32,'נתוני מים 2014'!$C$2:$L$188,2,0)/1000,0)</f>
        <v>0</v>
      </c>
      <c r="AF883" s="1">
        <f>+IFERROR(VLOOKUP(AF32,'נתוני מים 2014'!$C$2:$L$188,2,0)/1000,0)</f>
        <v>0</v>
      </c>
      <c r="AG883" s="1">
        <f>+IFERROR(VLOOKUP(AG32,'נתוני מים 2014'!$C$2:$L$188,2,0)/1000,0)</f>
        <v>0</v>
      </c>
      <c r="AH883" s="1">
        <f>+IFERROR(VLOOKUP(AH32,'נתוני מים 2014'!$C$2:$L$188,2,0)/1000,0)</f>
        <v>0</v>
      </c>
      <c r="AI883" s="1">
        <f>+IFERROR(VLOOKUP(AI32,'נתוני מים 2014'!$C$2:$L$188,2,0)/1000,0)</f>
        <v>0</v>
      </c>
      <c r="AJ883" s="1">
        <f>+IFERROR(VLOOKUP(AJ32,'נתוני מים 2014'!$C$2:$L$188,2,0)/1000,0)</f>
        <v>0</v>
      </c>
      <c r="AK883" s="1">
        <f>+IFERROR(VLOOKUP(AK32,'נתוני מים 2014'!$C$2:$L$188,2,0)/1000,0)</f>
        <v>0</v>
      </c>
      <c r="AL883" s="1">
        <f>+IFERROR(VLOOKUP(AL32,'נתוני מים 2014'!$C$2:$L$188,2,0)/1000,0)</f>
        <v>0</v>
      </c>
      <c r="AM883" s="1">
        <f>+IFERROR(VLOOKUP(AM32,'נתוני מים 2014'!$C$2:$L$188,2,0)/1000,0)</f>
        <v>0</v>
      </c>
      <c r="AN883" s="1">
        <f>+IFERROR(VLOOKUP(AN32,'נתוני מים 2014'!$C$2:$L$188,2,0)/1000,0)</f>
        <v>0</v>
      </c>
      <c r="AO883" s="1">
        <f>+IFERROR(VLOOKUP(AO32,'נתוני מים 2014'!$C$2:$L$188,2,0)/1000,0)</f>
        <v>0</v>
      </c>
      <c r="AP883" s="1">
        <f>+IFERROR(VLOOKUP(AP32,'נתוני מים 2014'!$C$2:$L$188,2,0)/1000,0)</f>
        <v>0</v>
      </c>
      <c r="AQ883" s="1">
        <f>+IFERROR(VLOOKUP(AQ32,'נתוני מים 2014'!$C$2:$L$188,2,0)/1000,0)</f>
        <v>0</v>
      </c>
      <c r="AR883" s="1">
        <f>+IFERROR(VLOOKUP(AR32,'נתוני מים 2014'!$C$2:$L$188,2,0)/1000,0)</f>
        <v>0</v>
      </c>
      <c r="AS883" s="1">
        <f>+IFERROR(VLOOKUP(AS32,'נתוני מים 2014'!$C$2:$L$188,2,0)/1000,0)</f>
        <v>0</v>
      </c>
      <c r="AT883" s="1">
        <f>+IFERROR(VLOOKUP(AT32,'נתוני מים 2014'!$C$2:$L$188,2,0)/1000,0)</f>
        <v>0</v>
      </c>
      <c r="AU883" s="1">
        <f>+IFERROR(VLOOKUP(AU32,'נתוני מים 2014'!$C$2:$L$188,2,0)/1000,0)</f>
        <v>0</v>
      </c>
      <c r="AV883" s="1">
        <f>+IFERROR(VLOOKUP(AV32,'נתוני מים 2014'!$C$2:$L$188,2,0)/1000,0)</f>
        <v>0</v>
      </c>
      <c r="AW883" s="1">
        <f>+IFERROR(VLOOKUP(AW32,'נתוני מים 2014'!$C$2:$L$188,2,0)/1000,0)</f>
        <v>0</v>
      </c>
      <c r="AX883" s="1">
        <f>+IFERROR(VLOOKUP(AX32,'נתוני מים 2014'!$C$2:$L$188,2,0)/1000,0)</f>
        <v>0</v>
      </c>
      <c r="AY883" s="1">
        <f>+IFERROR(VLOOKUP(AY32,'נתוני מים 2014'!$C$2:$L$188,2,0)/1000,0)</f>
        <v>0</v>
      </c>
      <c r="AZ883" s="1">
        <f>+IFERROR(VLOOKUP(AZ32,'נתוני מים 2014'!$C$2:$L$188,2,0)/1000,0)</f>
        <v>0</v>
      </c>
      <c r="BA883" s="1">
        <f>+IFERROR(VLOOKUP(BA32,'נתוני מים 2014'!$C$2:$L$188,2,0)/1000,0)</f>
        <v>0</v>
      </c>
      <c r="BB883" s="1">
        <f>+IFERROR(VLOOKUP(BB32,'נתוני מים 2014'!$C$2:$L$188,2,0)/1000,0)</f>
        <v>0</v>
      </c>
      <c r="BC883" s="1">
        <f>+IFERROR(VLOOKUP(BC32,'נתוני מים 2014'!$C$2:$L$188,2,0)/1000,0)</f>
        <v>0</v>
      </c>
      <c r="BD883" s="1">
        <f>+IFERROR(VLOOKUP(BD32,'נתוני מים 2014'!$C$2:$L$188,2,0)/1000,0)</f>
        <v>0</v>
      </c>
      <c r="BE883" s="1">
        <f>+IFERROR(VLOOKUP(BE32,'נתוני מים 2014'!$C$2:$L$188,2,0)/1000,0)</f>
        <v>0</v>
      </c>
      <c r="BF883" s="1">
        <f>+IFERROR(VLOOKUP(BF32,'נתוני מים 2014'!$C$2:$L$188,2,0)/1000,0)</f>
        <v>0</v>
      </c>
    </row>
    <row r="884" spans="1:58" x14ac:dyDescent="0.2">
      <c r="B884" s="1">
        <v>26</v>
      </c>
      <c r="C884" s="1">
        <f>+IFERROR(VLOOKUP(C33,'נתוני מים 2014'!$C$2:$L$188,2,0)/1000,0)</f>
        <v>0</v>
      </c>
      <c r="D884" s="1">
        <f>+IFERROR(VLOOKUP(D33,'נתוני מים 2014'!$C$2:$L$188,2,0)/1000,0)</f>
        <v>0</v>
      </c>
      <c r="E884" s="1">
        <f>+IFERROR(VLOOKUP(E33,'נתוני מים 2014'!$C$2:$L$188,2,0)/1000,0)</f>
        <v>0</v>
      </c>
      <c r="F884" s="1">
        <f>+IFERROR(VLOOKUP(F33,'נתוני מים 2014'!$C$2:$L$188,2,0)/1000,0)</f>
        <v>0</v>
      </c>
      <c r="G884" s="1">
        <f>+IFERROR(VLOOKUP(G33,'נתוני מים 2014'!$C$2:$L$188,2,0)/1000,0)</f>
        <v>0</v>
      </c>
      <c r="H884" s="1">
        <f>+IFERROR(VLOOKUP(H33,'נתוני מים 2014'!$C$2:$L$188,2,0)/1000,0)</f>
        <v>0</v>
      </c>
      <c r="I884" s="1">
        <f>+IFERROR(VLOOKUP(I33,'נתוני מים 2014'!$C$2:$L$188,2,0)/1000,0)</f>
        <v>0</v>
      </c>
      <c r="J884" s="1">
        <f>+IFERROR(VLOOKUP(J33,'נתוני מים 2014'!$C$2:$L$188,2,0)/1000,0)</f>
        <v>0</v>
      </c>
      <c r="K884" s="1">
        <f>+IFERROR(VLOOKUP(K33,'נתוני מים 2014'!$C$2:$L$188,2,0)/1000,0)</f>
        <v>0</v>
      </c>
      <c r="L884" s="1">
        <f>+IFERROR(VLOOKUP(L33,'נתוני מים 2014'!$C$2:$L$188,2,0)/1000,0)</f>
        <v>0</v>
      </c>
      <c r="M884" s="1">
        <f>+IFERROR(VLOOKUP(M33,'נתוני מים 2014'!$C$2:$L$188,2,0)/1000,0)</f>
        <v>0</v>
      </c>
      <c r="N884" s="1">
        <f>+IFERROR(VLOOKUP(N33,'נתוני מים 2014'!$C$2:$L$188,2,0)/1000,0)</f>
        <v>0</v>
      </c>
      <c r="O884" s="1">
        <f>+IFERROR(VLOOKUP(O33,'נתוני מים 2014'!$C$2:$L$188,2,0)/1000,0)</f>
        <v>0</v>
      </c>
      <c r="P884" s="1">
        <f>+IFERROR(VLOOKUP(P33,'נתוני מים 2014'!$C$2:$L$188,2,0)/1000,0)</f>
        <v>0</v>
      </c>
      <c r="Q884" s="1">
        <f>+IFERROR(VLOOKUP(Q33,'נתוני מים 2014'!$C$2:$L$188,2,0)/1000,0)</f>
        <v>0</v>
      </c>
      <c r="R884" s="1">
        <f>+IFERROR(VLOOKUP(R33,'נתוני מים 2014'!$C$2:$L$188,2,0)/1000,0)</f>
        <v>0</v>
      </c>
      <c r="S884" s="1">
        <f>+IFERROR(VLOOKUP(S33,'נתוני מים 2014'!$C$2:$L$188,2,0)/1000,0)</f>
        <v>0</v>
      </c>
      <c r="T884" s="1">
        <f>+IFERROR(VLOOKUP(T33,'נתוני מים 2014'!$C$2:$L$188,2,0)/1000,0)</f>
        <v>0</v>
      </c>
      <c r="U884" s="1">
        <f>+IFERROR(VLOOKUP(U33,'נתוני מים 2014'!$C$2:$L$188,2,0)/1000,0)</f>
        <v>0</v>
      </c>
      <c r="V884" s="1">
        <f>+IFERROR(VLOOKUP(V33,'נתוני מים 2014'!$C$2:$L$188,2,0)/1000,0)</f>
        <v>0</v>
      </c>
      <c r="W884" s="1">
        <f>+IFERROR(VLOOKUP(W33,'נתוני מים 2014'!$C$2:$L$188,2,0)/1000,0)</f>
        <v>0</v>
      </c>
      <c r="X884" s="1">
        <f>+IFERROR(VLOOKUP(X33,'נתוני מים 2014'!$C$2:$L$188,2,0)/1000,0)</f>
        <v>0</v>
      </c>
      <c r="Y884" s="1">
        <f>+IFERROR(VLOOKUP(Y33,'נתוני מים 2014'!$C$2:$L$188,2,0)/1000,0)</f>
        <v>0</v>
      </c>
      <c r="Z884" s="1">
        <f>+IFERROR(VLOOKUP(Z33,'נתוני מים 2014'!$C$2:$L$188,2,0)/1000,0)</f>
        <v>0</v>
      </c>
      <c r="AA884" s="1">
        <f>+IFERROR(VLOOKUP(AA33,'נתוני מים 2014'!$C$2:$L$188,2,0)/1000,0)</f>
        <v>0</v>
      </c>
      <c r="AB884" s="1">
        <f>+IFERROR(VLOOKUP(AB33,'נתוני מים 2014'!$C$2:$L$188,2,0)/1000,0)</f>
        <v>0</v>
      </c>
      <c r="AC884" s="1">
        <f>+IFERROR(VLOOKUP(AC33,'נתוני מים 2014'!$C$2:$L$188,2,0)/1000,0)</f>
        <v>0</v>
      </c>
      <c r="AD884" s="1">
        <f>+IFERROR(VLOOKUP(AD33,'נתוני מים 2014'!$C$2:$L$188,2,0)/1000,0)</f>
        <v>0</v>
      </c>
      <c r="AE884" s="1">
        <f>+IFERROR(VLOOKUP(AE33,'נתוני מים 2014'!$C$2:$L$188,2,0)/1000,0)</f>
        <v>0</v>
      </c>
      <c r="AF884" s="1">
        <f>+IFERROR(VLOOKUP(AF33,'נתוני מים 2014'!$C$2:$L$188,2,0)/1000,0)</f>
        <v>0</v>
      </c>
      <c r="AG884" s="1">
        <f>+IFERROR(VLOOKUP(AG33,'נתוני מים 2014'!$C$2:$L$188,2,0)/1000,0)</f>
        <v>0</v>
      </c>
      <c r="AH884" s="1">
        <f>+IFERROR(VLOOKUP(AH33,'נתוני מים 2014'!$C$2:$L$188,2,0)/1000,0)</f>
        <v>0</v>
      </c>
      <c r="AI884" s="1">
        <f>+IFERROR(VLOOKUP(AI33,'נתוני מים 2014'!$C$2:$L$188,2,0)/1000,0)</f>
        <v>0</v>
      </c>
      <c r="AJ884" s="1">
        <f>+IFERROR(VLOOKUP(AJ33,'נתוני מים 2014'!$C$2:$L$188,2,0)/1000,0)</f>
        <v>0</v>
      </c>
      <c r="AK884" s="1">
        <f>+IFERROR(VLOOKUP(AK33,'נתוני מים 2014'!$C$2:$L$188,2,0)/1000,0)</f>
        <v>0</v>
      </c>
      <c r="AL884" s="1">
        <f>+IFERROR(VLOOKUP(AL33,'נתוני מים 2014'!$C$2:$L$188,2,0)/1000,0)</f>
        <v>0</v>
      </c>
      <c r="AM884" s="1">
        <f>+IFERROR(VLOOKUP(AM33,'נתוני מים 2014'!$C$2:$L$188,2,0)/1000,0)</f>
        <v>0</v>
      </c>
      <c r="AN884" s="1">
        <f>+IFERROR(VLOOKUP(AN33,'נתוני מים 2014'!$C$2:$L$188,2,0)/1000,0)</f>
        <v>0</v>
      </c>
      <c r="AO884" s="1">
        <f>+IFERROR(VLOOKUP(AO33,'נתוני מים 2014'!$C$2:$L$188,2,0)/1000,0)</f>
        <v>0</v>
      </c>
      <c r="AP884" s="1">
        <f>+IFERROR(VLOOKUP(AP33,'נתוני מים 2014'!$C$2:$L$188,2,0)/1000,0)</f>
        <v>0</v>
      </c>
      <c r="AQ884" s="1">
        <f>+IFERROR(VLOOKUP(AQ33,'נתוני מים 2014'!$C$2:$L$188,2,0)/1000,0)</f>
        <v>0</v>
      </c>
      <c r="AR884" s="1">
        <f>+IFERROR(VLOOKUP(AR33,'נתוני מים 2014'!$C$2:$L$188,2,0)/1000,0)</f>
        <v>0</v>
      </c>
      <c r="AS884" s="1">
        <f>+IFERROR(VLOOKUP(AS33,'נתוני מים 2014'!$C$2:$L$188,2,0)/1000,0)</f>
        <v>0</v>
      </c>
      <c r="AT884" s="1">
        <f>+IFERROR(VLOOKUP(AT33,'נתוני מים 2014'!$C$2:$L$188,2,0)/1000,0)</f>
        <v>0</v>
      </c>
      <c r="AU884" s="1">
        <f>+IFERROR(VLOOKUP(AU33,'נתוני מים 2014'!$C$2:$L$188,2,0)/1000,0)</f>
        <v>0</v>
      </c>
      <c r="AV884" s="1">
        <f>+IFERROR(VLOOKUP(AV33,'נתוני מים 2014'!$C$2:$L$188,2,0)/1000,0)</f>
        <v>0</v>
      </c>
      <c r="AW884" s="1">
        <f>+IFERROR(VLOOKUP(AW33,'נתוני מים 2014'!$C$2:$L$188,2,0)/1000,0)</f>
        <v>0</v>
      </c>
      <c r="AX884" s="1">
        <f>+IFERROR(VLOOKUP(AX33,'נתוני מים 2014'!$C$2:$L$188,2,0)/1000,0)</f>
        <v>0</v>
      </c>
      <c r="AY884" s="1">
        <f>+IFERROR(VLOOKUP(AY33,'נתוני מים 2014'!$C$2:$L$188,2,0)/1000,0)</f>
        <v>0</v>
      </c>
      <c r="AZ884" s="1">
        <f>+IFERROR(VLOOKUP(AZ33,'נתוני מים 2014'!$C$2:$L$188,2,0)/1000,0)</f>
        <v>0</v>
      </c>
      <c r="BA884" s="1">
        <f>+IFERROR(VLOOKUP(BA33,'נתוני מים 2014'!$C$2:$L$188,2,0)/1000,0)</f>
        <v>0</v>
      </c>
      <c r="BB884" s="1">
        <f>+IFERROR(VLOOKUP(BB33,'נתוני מים 2014'!$C$2:$L$188,2,0)/1000,0)</f>
        <v>0</v>
      </c>
      <c r="BC884" s="1">
        <f>+IFERROR(VLOOKUP(BC33,'נתוני מים 2014'!$C$2:$L$188,2,0)/1000,0)</f>
        <v>0</v>
      </c>
      <c r="BD884" s="1">
        <f>+IFERROR(VLOOKUP(BD33,'נתוני מים 2014'!$C$2:$L$188,2,0)/1000,0)</f>
        <v>0</v>
      </c>
      <c r="BE884" s="1">
        <f>+IFERROR(VLOOKUP(BE33,'נתוני מים 2014'!$C$2:$L$188,2,0)/1000,0)</f>
        <v>0</v>
      </c>
      <c r="BF884" s="1">
        <f>+IFERROR(VLOOKUP(BF33,'נתוני מים 2014'!$C$2:$L$188,2,0)/1000,0)</f>
        <v>0</v>
      </c>
    </row>
    <row r="885" spans="1:58" x14ac:dyDescent="0.2">
      <c r="B885" s="1">
        <v>27</v>
      </c>
      <c r="C885" s="1">
        <f>+IFERROR(VLOOKUP(C34,'נתוני מים 2014'!$C$2:$L$188,2,0)/1000,0)</f>
        <v>0</v>
      </c>
      <c r="D885" s="1">
        <f>+IFERROR(VLOOKUP(D34,'נתוני מים 2014'!$C$2:$L$188,2,0)/1000,0)</f>
        <v>0</v>
      </c>
      <c r="E885" s="1">
        <f>+IFERROR(VLOOKUP(E34,'נתוני מים 2014'!$C$2:$L$188,2,0)/1000,0)</f>
        <v>0</v>
      </c>
      <c r="F885" s="1">
        <f>+IFERROR(VLOOKUP(F34,'נתוני מים 2014'!$C$2:$L$188,2,0)/1000,0)</f>
        <v>0</v>
      </c>
      <c r="G885" s="1">
        <f>+IFERROR(VLOOKUP(G34,'נתוני מים 2014'!$C$2:$L$188,2,0)/1000,0)</f>
        <v>0</v>
      </c>
      <c r="H885" s="1">
        <f>+IFERROR(VLOOKUP(H34,'נתוני מים 2014'!$C$2:$L$188,2,0)/1000,0)</f>
        <v>0</v>
      </c>
      <c r="I885" s="1">
        <f>+IFERROR(VLOOKUP(I34,'נתוני מים 2014'!$C$2:$L$188,2,0)/1000,0)</f>
        <v>0</v>
      </c>
      <c r="J885" s="1">
        <f>+IFERROR(VLOOKUP(J34,'נתוני מים 2014'!$C$2:$L$188,2,0)/1000,0)</f>
        <v>0</v>
      </c>
      <c r="K885" s="1">
        <f>+IFERROR(VLOOKUP(K34,'נתוני מים 2014'!$C$2:$L$188,2,0)/1000,0)</f>
        <v>0</v>
      </c>
      <c r="L885" s="1">
        <f>+IFERROR(VLOOKUP(L34,'נתוני מים 2014'!$C$2:$L$188,2,0)/1000,0)</f>
        <v>0</v>
      </c>
      <c r="M885" s="1">
        <f>+IFERROR(VLOOKUP(M34,'נתוני מים 2014'!$C$2:$L$188,2,0)/1000,0)</f>
        <v>0</v>
      </c>
      <c r="N885" s="1">
        <f>+IFERROR(VLOOKUP(N34,'נתוני מים 2014'!$C$2:$L$188,2,0)/1000,0)</f>
        <v>0</v>
      </c>
      <c r="O885" s="1">
        <f>+IFERROR(VLOOKUP(O34,'נתוני מים 2014'!$C$2:$L$188,2,0)/1000,0)</f>
        <v>0</v>
      </c>
      <c r="P885" s="1">
        <f>+IFERROR(VLOOKUP(P34,'נתוני מים 2014'!$C$2:$L$188,2,0)/1000,0)</f>
        <v>0</v>
      </c>
      <c r="Q885" s="1">
        <f>+IFERROR(VLOOKUP(Q34,'נתוני מים 2014'!$C$2:$L$188,2,0)/1000,0)</f>
        <v>0</v>
      </c>
      <c r="R885" s="1">
        <f>+IFERROR(VLOOKUP(R34,'נתוני מים 2014'!$C$2:$L$188,2,0)/1000,0)</f>
        <v>0</v>
      </c>
      <c r="S885" s="1">
        <f>+IFERROR(VLOOKUP(S34,'נתוני מים 2014'!$C$2:$L$188,2,0)/1000,0)</f>
        <v>0</v>
      </c>
      <c r="T885" s="1">
        <f>+IFERROR(VLOOKUP(T34,'נתוני מים 2014'!$C$2:$L$188,2,0)/1000,0)</f>
        <v>0</v>
      </c>
      <c r="U885" s="1">
        <f>+IFERROR(VLOOKUP(U34,'נתוני מים 2014'!$C$2:$L$188,2,0)/1000,0)</f>
        <v>0</v>
      </c>
      <c r="V885" s="1">
        <f>+IFERROR(VLOOKUP(V34,'נתוני מים 2014'!$C$2:$L$188,2,0)/1000,0)</f>
        <v>0</v>
      </c>
      <c r="W885" s="1">
        <f>+IFERROR(VLOOKUP(W34,'נתוני מים 2014'!$C$2:$L$188,2,0)/1000,0)</f>
        <v>0</v>
      </c>
      <c r="X885" s="1">
        <f>+IFERROR(VLOOKUP(X34,'נתוני מים 2014'!$C$2:$L$188,2,0)/1000,0)</f>
        <v>0</v>
      </c>
      <c r="Y885" s="1">
        <f>+IFERROR(VLOOKUP(Y34,'נתוני מים 2014'!$C$2:$L$188,2,0)/1000,0)</f>
        <v>0</v>
      </c>
      <c r="Z885" s="1">
        <f>+IFERROR(VLOOKUP(Z34,'נתוני מים 2014'!$C$2:$L$188,2,0)/1000,0)</f>
        <v>0</v>
      </c>
      <c r="AA885" s="1">
        <f>+IFERROR(VLOOKUP(AA34,'נתוני מים 2014'!$C$2:$L$188,2,0)/1000,0)</f>
        <v>0</v>
      </c>
      <c r="AB885" s="1">
        <f>+IFERROR(VLOOKUP(AB34,'נתוני מים 2014'!$C$2:$L$188,2,0)/1000,0)</f>
        <v>0</v>
      </c>
      <c r="AC885" s="1">
        <f>+IFERROR(VLOOKUP(AC34,'נתוני מים 2014'!$C$2:$L$188,2,0)/1000,0)</f>
        <v>0</v>
      </c>
      <c r="AD885" s="1">
        <f>+IFERROR(VLOOKUP(AD34,'נתוני מים 2014'!$C$2:$L$188,2,0)/1000,0)</f>
        <v>0</v>
      </c>
      <c r="AE885" s="1">
        <f>+IFERROR(VLOOKUP(AE34,'נתוני מים 2014'!$C$2:$L$188,2,0)/1000,0)</f>
        <v>0</v>
      </c>
      <c r="AF885" s="1">
        <f>+IFERROR(VLOOKUP(AF34,'נתוני מים 2014'!$C$2:$L$188,2,0)/1000,0)</f>
        <v>0</v>
      </c>
      <c r="AG885" s="1">
        <f>+IFERROR(VLOOKUP(AG34,'נתוני מים 2014'!$C$2:$L$188,2,0)/1000,0)</f>
        <v>0</v>
      </c>
      <c r="AH885" s="1">
        <f>+IFERROR(VLOOKUP(AH34,'נתוני מים 2014'!$C$2:$L$188,2,0)/1000,0)</f>
        <v>0</v>
      </c>
      <c r="AI885" s="1">
        <f>+IFERROR(VLOOKUP(AI34,'נתוני מים 2014'!$C$2:$L$188,2,0)/1000,0)</f>
        <v>0</v>
      </c>
      <c r="AJ885" s="1">
        <f>+IFERROR(VLOOKUP(AJ34,'נתוני מים 2014'!$C$2:$L$188,2,0)/1000,0)</f>
        <v>0</v>
      </c>
      <c r="AK885" s="1">
        <f>+IFERROR(VLOOKUP(AK34,'נתוני מים 2014'!$C$2:$L$188,2,0)/1000,0)</f>
        <v>0</v>
      </c>
      <c r="AL885" s="1">
        <f>+IFERROR(VLOOKUP(AL34,'נתוני מים 2014'!$C$2:$L$188,2,0)/1000,0)</f>
        <v>0</v>
      </c>
      <c r="AM885" s="1">
        <f>+IFERROR(VLOOKUP(AM34,'נתוני מים 2014'!$C$2:$L$188,2,0)/1000,0)</f>
        <v>0</v>
      </c>
      <c r="AN885" s="1">
        <f>+IFERROR(VLOOKUP(AN34,'נתוני מים 2014'!$C$2:$L$188,2,0)/1000,0)</f>
        <v>0</v>
      </c>
      <c r="AO885" s="1">
        <f>+IFERROR(VLOOKUP(AO34,'נתוני מים 2014'!$C$2:$L$188,2,0)/1000,0)</f>
        <v>0</v>
      </c>
      <c r="AP885" s="1">
        <f>+IFERROR(VLOOKUP(AP34,'נתוני מים 2014'!$C$2:$L$188,2,0)/1000,0)</f>
        <v>0</v>
      </c>
      <c r="AQ885" s="1">
        <f>+IFERROR(VLOOKUP(AQ34,'נתוני מים 2014'!$C$2:$L$188,2,0)/1000,0)</f>
        <v>0</v>
      </c>
      <c r="AR885" s="1">
        <f>+IFERROR(VLOOKUP(AR34,'נתוני מים 2014'!$C$2:$L$188,2,0)/1000,0)</f>
        <v>0</v>
      </c>
      <c r="AS885" s="1">
        <f>+IFERROR(VLOOKUP(AS34,'נתוני מים 2014'!$C$2:$L$188,2,0)/1000,0)</f>
        <v>0</v>
      </c>
      <c r="AT885" s="1">
        <f>+IFERROR(VLOOKUP(AT34,'נתוני מים 2014'!$C$2:$L$188,2,0)/1000,0)</f>
        <v>0</v>
      </c>
      <c r="AU885" s="1">
        <f>+IFERROR(VLOOKUP(AU34,'נתוני מים 2014'!$C$2:$L$188,2,0)/1000,0)</f>
        <v>0</v>
      </c>
      <c r="AV885" s="1">
        <f>+IFERROR(VLOOKUP(AV34,'נתוני מים 2014'!$C$2:$L$188,2,0)/1000,0)</f>
        <v>0</v>
      </c>
      <c r="AW885" s="1">
        <f>+IFERROR(VLOOKUP(AW34,'נתוני מים 2014'!$C$2:$L$188,2,0)/1000,0)</f>
        <v>0</v>
      </c>
      <c r="AX885" s="1">
        <f>+IFERROR(VLOOKUP(AX34,'נתוני מים 2014'!$C$2:$L$188,2,0)/1000,0)</f>
        <v>0</v>
      </c>
      <c r="AY885" s="1">
        <f>+IFERROR(VLOOKUP(AY34,'נתוני מים 2014'!$C$2:$L$188,2,0)/1000,0)</f>
        <v>0</v>
      </c>
      <c r="AZ885" s="1">
        <f>+IFERROR(VLOOKUP(AZ34,'נתוני מים 2014'!$C$2:$L$188,2,0)/1000,0)</f>
        <v>0</v>
      </c>
      <c r="BA885" s="1">
        <f>+IFERROR(VLOOKUP(BA34,'נתוני מים 2014'!$C$2:$L$188,2,0)/1000,0)</f>
        <v>0</v>
      </c>
      <c r="BB885" s="1">
        <f>+IFERROR(VLOOKUP(BB34,'נתוני מים 2014'!$C$2:$L$188,2,0)/1000,0)</f>
        <v>0</v>
      </c>
      <c r="BC885" s="1">
        <f>+IFERROR(VLOOKUP(BC34,'נתוני מים 2014'!$C$2:$L$188,2,0)/1000,0)</f>
        <v>0</v>
      </c>
      <c r="BD885" s="1">
        <f>+IFERROR(VLOOKUP(BD34,'נתוני מים 2014'!$C$2:$L$188,2,0)/1000,0)</f>
        <v>0</v>
      </c>
      <c r="BE885" s="1">
        <f>+IFERROR(VLOOKUP(BE34,'נתוני מים 2014'!$C$2:$L$188,2,0)/1000,0)</f>
        <v>0</v>
      </c>
      <c r="BF885" s="1">
        <f>+IFERROR(VLOOKUP(BF34,'נתוני מים 2014'!$C$2:$L$188,2,0)/1000,0)</f>
        <v>0</v>
      </c>
    </row>
    <row r="886" spans="1:58" x14ac:dyDescent="0.2">
      <c r="B886" s="1">
        <v>28</v>
      </c>
      <c r="C886" s="1">
        <f>+IFERROR(VLOOKUP(C35,'נתוני מים 2014'!$C$2:$L$188,2,0)/1000,0)</f>
        <v>0</v>
      </c>
      <c r="D886" s="1">
        <f>+IFERROR(VLOOKUP(D35,'נתוני מים 2014'!$C$2:$L$188,2,0)/1000,0)</f>
        <v>0</v>
      </c>
      <c r="E886" s="1">
        <f>+IFERROR(VLOOKUP(E35,'נתוני מים 2014'!$C$2:$L$188,2,0)/1000,0)</f>
        <v>0</v>
      </c>
      <c r="F886" s="1">
        <f>+IFERROR(VLOOKUP(F35,'נתוני מים 2014'!$C$2:$L$188,2,0)/1000,0)</f>
        <v>0</v>
      </c>
      <c r="G886" s="1">
        <f>+IFERROR(VLOOKUP(G35,'נתוני מים 2014'!$C$2:$L$188,2,0)/1000,0)</f>
        <v>0</v>
      </c>
      <c r="H886" s="1">
        <f>+IFERROR(VLOOKUP(H35,'נתוני מים 2014'!$C$2:$L$188,2,0)/1000,0)</f>
        <v>0</v>
      </c>
      <c r="I886" s="1">
        <f>+IFERROR(VLOOKUP(I35,'נתוני מים 2014'!$C$2:$L$188,2,0)/1000,0)</f>
        <v>0</v>
      </c>
      <c r="J886" s="1">
        <f>+IFERROR(VLOOKUP(J35,'נתוני מים 2014'!$C$2:$L$188,2,0)/1000,0)</f>
        <v>0</v>
      </c>
      <c r="K886" s="1">
        <f>+IFERROR(VLOOKUP(K35,'נתוני מים 2014'!$C$2:$L$188,2,0)/1000,0)</f>
        <v>0</v>
      </c>
      <c r="L886" s="1">
        <f>+IFERROR(VLOOKUP(L35,'נתוני מים 2014'!$C$2:$L$188,2,0)/1000,0)</f>
        <v>0</v>
      </c>
      <c r="M886" s="1">
        <f>+IFERROR(VLOOKUP(M35,'נתוני מים 2014'!$C$2:$L$188,2,0)/1000,0)</f>
        <v>0</v>
      </c>
      <c r="N886" s="1">
        <f>+IFERROR(VLOOKUP(N35,'נתוני מים 2014'!$C$2:$L$188,2,0)/1000,0)</f>
        <v>0</v>
      </c>
      <c r="O886" s="1">
        <f>+IFERROR(VLOOKUP(O35,'נתוני מים 2014'!$C$2:$L$188,2,0)/1000,0)</f>
        <v>0</v>
      </c>
      <c r="P886" s="1">
        <f>+IFERROR(VLOOKUP(P35,'נתוני מים 2014'!$C$2:$L$188,2,0)/1000,0)</f>
        <v>0</v>
      </c>
      <c r="Q886" s="1">
        <f>+IFERROR(VLOOKUP(Q35,'נתוני מים 2014'!$C$2:$L$188,2,0)/1000,0)</f>
        <v>0</v>
      </c>
      <c r="R886" s="1">
        <f>+IFERROR(VLOOKUP(R35,'נתוני מים 2014'!$C$2:$L$188,2,0)/1000,0)</f>
        <v>0</v>
      </c>
      <c r="S886" s="1">
        <f>+IFERROR(VLOOKUP(S35,'נתוני מים 2014'!$C$2:$L$188,2,0)/1000,0)</f>
        <v>0</v>
      </c>
      <c r="T886" s="1">
        <f>+IFERROR(VLOOKUP(T35,'נתוני מים 2014'!$C$2:$L$188,2,0)/1000,0)</f>
        <v>0</v>
      </c>
      <c r="U886" s="1">
        <f>+IFERROR(VLOOKUP(U35,'נתוני מים 2014'!$C$2:$L$188,2,0)/1000,0)</f>
        <v>0</v>
      </c>
      <c r="V886" s="1">
        <f>+IFERROR(VLOOKUP(V35,'נתוני מים 2014'!$C$2:$L$188,2,0)/1000,0)</f>
        <v>0</v>
      </c>
      <c r="W886" s="1">
        <f>+IFERROR(VLOOKUP(W35,'נתוני מים 2014'!$C$2:$L$188,2,0)/1000,0)</f>
        <v>0</v>
      </c>
      <c r="X886" s="1">
        <f>+IFERROR(VLOOKUP(X35,'נתוני מים 2014'!$C$2:$L$188,2,0)/1000,0)</f>
        <v>0</v>
      </c>
      <c r="Y886" s="1">
        <f>+IFERROR(VLOOKUP(Y35,'נתוני מים 2014'!$C$2:$L$188,2,0)/1000,0)</f>
        <v>0</v>
      </c>
      <c r="Z886" s="1">
        <f>+IFERROR(VLOOKUP(Z35,'נתוני מים 2014'!$C$2:$L$188,2,0)/1000,0)</f>
        <v>0</v>
      </c>
      <c r="AA886" s="1">
        <f>+IFERROR(VLOOKUP(AA35,'נתוני מים 2014'!$C$2:$L$188,2,0)/1000,0)</f>
        <v>0</v>
      </c>
      <c r="AB886" s="1">
        <f>+IFERROR(VLOOKUP(AB35,'נתוני מים 2014'!$C$2:$L$188,2,0)/1000,0)</f>
        <v>0</v>
      </c>
      <c r="AC886" s="1">
        <f>+IFERROR(VLOOKUP(AC35,'נתוני מים 2014'!$C$2:$L$188,2,0)/1000,0)</f>
        <v>0</v>
      </c>
      <c r="AD886" s="1">
        <f>+IFERROR(VLOOKUP(AD35,'נתוני מים 2014'!$C$2:$L$188,2,0)/1000,0)</f>
        <v>0</v>
      </c>
      <c r="AE886" s="1">
        <f>+IFERROR(VLOOKUP(AE35,'נתוני מים 2014'!$C$2:$L$188,2,0)/1000,0)</f>
        <v>0</v>
      </c>
      <c r="AF886" s="1">
        <f>+IFERROR(VLOOKUP(AF35,'נתוני מים 2014'!$C$2:$L$188,2,0)/1000,0)</f>
        <v>0</v>
      </c>
      <c r="AG886" s="1">
        <f>+IFERROR(VLOOKUP(AG35,'נתוני מים 2014'!$C$2:$L$188,2,0)/1000,0)</f>
        <v>0</v>
      </c>
      <c r="AH886" s="1">
        <f>+IFERROR(VLOOKUP(AH35,'נתוני מים 2014'!$C$2:$L$188,2,0)/1000,0)</f>
        <v>0</v>
      </c>
      <c r="AI886" s="1">
        <f>+IFERROR(VLOOKUP(AI35,'נתוני מים 2014'!$C$2:$L$188,2,0)/1000,0)</f>
        <v>0</v>
      </c>
      <c r="AJ886" s="1">
        <f>+IFERROR(VLOOKUP(AJ35,'נתוני מים 2014'!$C$2:$L$188,2,0)/1000,0)</f>
        <v>0</v>
      </c>
      <c r="AK886" s="1">
        <f>+IFERROR(VLOOKUP(AK35,'נתוני מים 2014'!$C$2:$L$188,2,0)/1000,0)</f>
        <v>0</v>
      </c>
      <c r="AL886" s="1">
        <f>+IFERROR(VLOOKUP(AL35,'נתוני מים 2014'!$C$2:$L$188,2,0)/1000,0)</f>
        <v>0</v>
      </c>
      <c r="AM886" s="1">
        <f>+IFERROR(VLOOKUP(AM35,'נתוני מים 2014'!$C$2:$L$188,2,0)/1000,0)</f>
        <v>0</v>
      </c>
      <c r="AN886" s="1">
        <f>+IFERROR(VLOOKUP(AN35,'נתוני מים 2014'!$C$2:$L$188,2,0)/1000,0)</f>
        <v>0</v>
      </c>
      <c r="AO886" s="1">
        <f>+IFERROR(VLOOKUP(AO35,'נתוני מים 2014'!$C$2:$L$188,2,0)/1000,0)</f>
        <v>0</v>
      </c>
      <c r="AP886" s="1">
        <f>+IFERROR(VLOOKUP(AP35,'נתוני מים 2014'!$C$2:$L$188,2,0)/1000,0)</f>
        <v>0</v>
      </c>
      <c r="AQ886" s="1">
        <f>+IFERROR(VLOOKUP(AQ35,'נתוני מים 2014'!$C$2:$L$188,2,0)/1000,0)</f>
        <v>0</v>
      </c>
      <c r="AR886" s="1">
        <f>+IFERROR(VLOOKUP(AR35,'נתוני מים 2014'!$C$2:$L$188,2,0)/1000,0)</f>
        <v>0</v>
      </c>
      <c r="AS886" s="1">
        <f>+IFERROR(VLOOKUP(AS35,'נתוני מים 2014'!$C$2:$L$188,2,0)/1000,0)</f>
        <v>0</v>
      </c>
      <c r="AT886" s="1">
        <f>+IFERROR(VLOOKUP(AT35,'נתוני מים 2014'!$C$2:$L$188,2,0)/1000,0)</f>
        <v>0</v>
      </c>
      <c r="AU886" s="1">
        <f>+IFERROR(VLOOKUP(AU35,'נתוני מים 2014'!$C$2:$L$188,2,0)/1000,0)</f>
        <v>0</v>
      </c>
      <c r="AV886" s="1">
        <f>+IFERROR(VLOOKUP(AV35,'נתוני מים 2014'!$C$2:$L$188,2,0)/1000,0)</f>
        <v>0</v>
      </c>
      <c r="AW886" s="1">
        <f>+IFERROR(VLOOKUP(AW35,'נתוני מים 2014'!$C$2:$L$188,2,0)/1000,0)</f>
        <v>0</v>
      </c>
      <c r="AX886" s="1">
        <f>+IFERROR(VLOOKUP(AX35,'נתוני מים 2014'!$C$2:$L$188,2,0)/1000,0)</f>
        <v>0</v>
      </c>
      <c r="AY886" s="1">
        <f>+IFERROR(VLOOKUP(AY35,'נתוני מים 2014'!$C$2:$L$188,2,0)/1000,0)</f>
        <v>0</v>
      </c>
      <c r="AZ886" s="1">
        <f>+IFERROR(VLOOKUP(AZ35,'נתוני מים 2014'!$C$2:$L$188,2,0)/1000,0)</f>
        <v>0</v>
      </c>
      <c r="BA886" s="1">
        <f>+IFERROR(VLOOKUP(BA35,'נתוני מים 2014'!$C$2:$L$188,2,0)/1000,0)</f>
        <v>0</v>
      </c>
      <c r="BB886" s="1">
        <f>+IFERROR(VLOOKUP(BB35,'נתוני מים 2014'!$C$2:$L$188,2,0)/1000,0)</f>
        <v>0</v>
      </c>
      <c r="BC886" s="1">
        <f>+IFERROR(VLOOKUP(BC35,'נתוני מים 2014'!$C$2:$L$188,2,0)/1000,0)</f>
        <v>0</v>
      </c>
      <c r="BD886" s="1">
        <f>+IFERROR(VLOOKUP(BD35,'נתוני מים 2014'!$C$2:$L$188,2,0)/1000,0)</f>
        <v>0</v>
      </c>
      <c r="BE886" s="1">
        <f>+IFERROR(VLOOKUP(BE35,'נתוני מים 2014'!$C$2:$L$188,2,0)/1000,0)</f>
        <v>0</v>
      </c>
      <c r="BF886" s="1">
        <f>+IFERROR(VLOOKUP(BF35,'נתוני מים 2014'!$C$2:$L$188,2,0)/1000,0)</f>
        <v>0</v>
      </c>
    </row>
    <row r="887" spans="1:58" x14ac:dyDescent="0.2">
      <c r="B887" s="1">
        <v>29</v>
      </c>
      <c r="C887" s="1">
        <f>+IFERROR(VLOOKUP(C36,'נתוני מים 2014'!$C$2:$L$188,2,0)/1000,0)</f>
        <v>0</v>
      </c>
      <c r="D887" s="1">
        <f>+IFERROR(VLOOKUP(D36,'נתוני מים 2014'!$C$2:$L$188,2,0)/1000,0)</f>
        <v>0</v>
      </c>
      <c r="E887" s="1">
        <f>+IFERROR(VLOOKUP(E36,'נתוני מים 2014'!$C$2:$L$188,2,0)/1000,0)</f>
        <v>0</v>
      </c>
      <c r="F887" s="1">
        <f>+IFERROR(VLOOKUP(F36,'נתוני מים 2014'!$C$2:$L$188,2,0)/1000,0)</f>
        <v>0</v>
      </c>
      <c r="G887" s="1">
        <f>+IFERROR(VLOOKUP(G36,'נתוני מים 2014'!$C$2:$L$188,2,0)/1000,0)</f>
        <v>0</v>
      </c>
      <c r="H887" s="1">
        <f>+IFERROR(VLOOKUP(H36,'נתוני מים 2014'!$C$2:$L$188,2,0)/1000,0)</f>
        <v>0</v>
      </c>
      <c r="I887" s="1">
        <f>+IFERROR(VLOOKUP(I36,'נתוני מים 2014'!$C$2:$L$188,2,0)/1000,0)</f>
        <v>0</v>
      </c>
      <c r="J887" s="1">
        <f>+IFERROR(VLOOKUP(J36,'נתוני מים 2014'!$C$2:$L$188,2,0)/1000,0)</f>
        <v>0</v>
      </c>
      <c r="K887" s="1">
        <f>+IFERROR(VLOOKUP(K36,'נתוני מים 2014'!$C$2:$L$188,2,0)/1000,0)</f>
        <v>0</v>
      </c>
      <c r="L887" s="1">
        <f>+IFERROR(VLOOKUP(L36,'נתוני מים 2014'!$C$2:$L$188,2,0)/1000,0)</f>
        <v>0</v>
      </c>
      <c r="M887" s="1">
        <f>+IFERROR(VLOOKUP(M36,'נתוני מים 2014'!$C$2:$L$188,2,0)/1000,0)</f>
        <v>0</v>
      </c>
      <c r="N887" s="1">
        <f>+IFERROR(VLOOKUP(N36,'נתוני מים 2014'!$C$2:$L$188,2,0)/1000,0)</f>
        <v>0</v>
      </c>
      <c r="O887" s="1">
        <f>+IFERROR(VLOOKUP(O36,'נתוני מים 2014'!$C$2:$L$188,2,0)/1000,0)</f>
        <v>0</v>
      </c>
      <c r="P887" s="1">
        <f>+IFERROR(VLOOKUP(P36,'נתוני מים 2014'!$C$2:$L$188,2,0)/1000,0)</f>
        <v>0</v>
      </c>
      <c r="Q887" s="1">
        <f>+IFERROR(VLOOKUP(Q36,'נתוני מים 2014'!$C$2:$L$188,2,0)/1000,0)</f>
        <v>0</v>
      </c>
      <c r="R887" s="1">
        <f>+IFERROR(VLOOKUP(R36,'נתוני מים 2014'!$C$2:$L$188,2,0)/1000,0)</f>
        <v>0</v>
      </c>
      <c r="S887" s="1">
        <f>+IFERROR(VLOOKUP(S36,'נתוני מים 2014'!$C$2:$L$188,2,0)/1000,0)</f>
        <v>0</v>
      </c>
      <c r="T887" s="1">
        <f>+IFERROR(VLOOKUP(T36,'נתוני מים 2014'!$C$2:$L$188,2,0)/1000,0)</f>
        <v>0</v>
      </c>
      <c r="U887" s="1">
        <f>+IFERROR(VLOOKUP(U36,'נתוני מים 2014'!$C$2:$L$188,2,0)/1000,0)</f>
        <v>0</v>
      </c>
      <c r="V887" s="1">
        <f>+IFERROR(VLOOKUP(V36,'נתוני מים 2014'!$C$2:$L$188,2,0)/1000,0)</f>
        <v>0</v>
      </c>
      <c r="W887" s="1">
        <f>+IFERROR(VLOOKUP(W36,'נתוני מים 2014'!$C$2:$L$188,2,0)/1000,0)</f>
        <v>0</v>
      </c>
      <c r="X887" s="1">
        <f>+IFERROR(VLOOKUP(X36,'נתוני מים 2014'!$C$2:$L$188,2,0)/1000,0)</f>
        <v>0</v>
      </c>
      <c r="Y887" s="1">
        <f>+IFERROR(VLOOKUP(Y36,'נתוני מים 2014'!$C$2:$L$188,2,0)/1000,0)</f>
        <v>0</v>
      </c>
      <c r="Z887" s="1">
        <f>+IFERROR(VLOOKUP(Z36,'נתוני מים 2014'!$C$2:$L$188,2,0)/1000,0)</f>
        <v>0</v>
      </c>
      <c r="AA887" s="1">
        <f>+IFERROR(VLOOKUP(AA36,'נתוני מים 2014'!$C$2:$L$188,2,0)/1000,0)</f>
        <v>0</v>
      </c>
      <c r="AB887" s="1">
        <f>+IFERROR(VLOOKUP(AB36,'נתוני מים 2014'!$C$2:$L$188,2,0)/1000,0)</f>
        <v>0</v>
      </c>
      <c r="AC887" s="1">
        <f>+IFERROR(VLOOKUP(AC36,'נתוני מים 2014'!$C$2:$L$188,2,0)/1000,0)</f>
        <v>0</v>
      </c>
      <c r="AD887" s="1">
        <f>+IFERROR(VLOOKUP(AD36,'נתוני מים 2014'!$C$2:$L$188,2,0)/1000,0)</f>
        <v>0</v>
      </c>
      <c r="AE887" s="1">
        <f>+IFERROR(VLOOKUP(AE36,'נתוני מים 2014'!$C$2:$L$188,2,0)/1000,0)</f>
        <v>0</v>
      </c>
      <c r="AF887" s="1">
        <f>+IFERROR(VLOOKUP(AF36,'נתוני מים 2014'!$C$2:$L$188,2,0)/1000,0)</f>
        <v>0</v>
      </c>
      <c r="AG887" s="1">
        <f>+IFERROR(VLOOKUP(AG36,'נתוני מים 2014'!$C$2:$L$188,2,0)/1000,0)</f>
        <v>0</v>
      </c>
      <c r="AH887" s="1">
        <f>+IFERROR(VLOOKUP(AH36,'נתוני מים 2014'!$C$2:$L$188,2,0)/1000,0)</f>
        <v>0</v>
      </c>
      <c r="AI887" s="1">
        <f>+IFERROR(VLOOKUP(AI36,'נתוני מים 2014'!$C$2:$L$188,2,0)/1000,0)</f>
        <v>0</v>
      </c>
      <c r="AJ887" s="1">
        <f>+IFERROR(VLOOKUP(AJ36,'נתוני מים 2014'!$C$2:$L$188,2,0)/1000,0)</f>
        <v>0</v>
      </c>
      <c r="AK887" s="1">
        <f>+IFERROR(VLOOKUP(AK36,'נתוני מים 2014'!$C$2:$L$188,2,0)/1000,0)</f>
        <v>0</v>
      </c>
      <c r="AL887" s="1">
        <f>+IFERROR(VLOOKUP(AL36,'נתוני מים 2014'!$C$2:$L$188,2,0)/1000,0)</f>
        <v>0</v>
      </c>
      <c r="AM887" s="1">
        <f>+IFERROR(VLOOKUP(AM36,'נתוני מים 2014'!$C$2:$L$188,2,0)/1000,0)</f>
        <v>0</v>
      </c>
      <c r="AN887" s="1">
        <f>+IFERROR(VLOOKUP(AN36,'נתוני מים 2014'!$C$2:$L$188,2,0)/1000,0)</f>
        <v>0</v>
      </c>
      <c r="AO887" s="1">
        <f>+IFERROR(VLOOKUP(AO36,'נתוני מים 2014'!$C$2:$L$188,2,0)/1000,0)</f>
        <v>0</v>
      </c>
      <c r="AP887" s="1">
        <f>+IFERROR(VLOOKUP(AP36,'נתוני מים 2014'!$C$2:$L$188,2,0)/1000,0)</f>
        <v>0</v>
      </c>
      <c r="AQ887" s="1">
        <f>+IFERROR(VLOOKUP(AQ36,'נתוני מים 2014'!$C$2:$L$188,2,0)/1000,0)</f>
        <v>0</v>
      </c>
      <c r="AR887" s="1">
        <f>+IFERROR(VLOOKUP(AR36,'נתוני מים 2014'!$C$2:$L$188,2,0)/1000,0)</f>
        <v>0</v>
      </c>
      <c r="AS887" s="1">
        <f>+IFERROR(VLOOKUP(AS36,'נתוני מים 2014'!$C$2:$L$188,2,0)/1000,0)</f>
        <v>0</v>
      </c>
      <c r="AT887" s="1">
        <f>+IFERROR(VLOOKUP(AT36,'נתוני מים 2014'!$C$2:$L$188,2,0)/1000,0)</f>
        <v>0</v>
      </c>
      <c r="AU887" s="1">
        <f>+IFERROR(VLOOKUP(AU36,'נתוני מים 2014'!$C$2:$L$188,2,0)/1000,0)</f>
        <v>0</v>
      </c>
      <c r="AV887" s="1">
        <f>+IFERROR(VLOOKUP(AV36,'נתוני מים 2014'!$C$2:$L$188,2,0)/1000,0)</f>
        <v>0</v>
      </c>
      <c r="AW887" s="1">
        <f>+IFERROR(VLOOKUP(AW36,'נתוני מים 2014'!$C$2:$L$188,2,0)/1000,0)</f>
        <v>0</v>
      </c>
      <c r="AX887" s="1">
        <f>+IFERROR(VLOOKUP(AX36,'נתוני מים 2014'!$C$2:$L$188,2,0)/1000,0)</f>
        <v>0</v>
      </c>
      <c r="AY887" s="1">
        <f>+IFERROR(VLOOKUP(AY36,'נתוני מים 2014'!$C$2:$L$188,2,0)/1000,0)</f>
        <v>0</v>
      </c>
      <c r="AZ887" s="1">
        <f>+IFERROR(VLOOKUP(AZ36,'נתוני מים 2014'!$C$2:$L$188,2,0)/1000,0)</f>
        <v>0</v>
      </c>
      <c r="BA887" s="1">
        <f>+IFERROR(VLOOKUP(BA36,'נתוני מים 2014'!$C$2:$L$188,2,0)/1000,0)</f>
        <v>0</v>
      </c>
      <c r="BB887" s="1">
        <f>+IFERROR(VLOOKUP(BB36,'נתוני מים 2014'!$C$2:$L$188,2,0)/1000,0)</f>
        <v>0</v>
      </c>
      <c r="BC887" s="1">
        <f>+IFERROR(VLOOKUP(BC36,'נתוני מים 2014'!$C$2:$L$188,2,0)/1000,0)</f>
        <v>0</v>
      </c>
      <c r="BD887" s="1">
        <f>+IFERROR(VLOOKUP(BD36,'נתוני מים 2014'!$C$2:$L$188,2,0)/1000,0)</f>
        <v>0</v>
      </c>
      <c r="BE887" s="1">
        <f>+IFERROR(VLOOKUP(BE36,'נתוני מים 2014'!$C$2:$L$188,2,0)/1000,0)</f>
        <v>0</v>
      </c>
      <c r="BF887" s="1">
        <f>+IFERROR(VLOOKUP(BF36,'נתוני מים 2014'!$C$2:$L$188,2,0)/1000,0)</f>
        <v>0</v>
      </c>
    </row>
    <row r="888" spans="1:58" x14ac:dyDescent="0.2">
      <c r="B888" s="1">
        <v>30</v>
      </c>
      <c r="C888" s="1">
        <f>+IFERROR(VLOOKUP(C37,'נתוני מים 2014'!$C$2:$L$188,2,0)/1000,0)</f>
        <v>0</v>
      </c>
      <c r="D888" s="1">
        <f>+IFERROR(VLOOKUP(D37,'נתוני מים 2014'!$C$2:$L$188,2,0)/1000,0)</f>
        <v>0</v>
      </c>
      <c r="E888" s="1">
        <f>+IFERROR(VLOOKUP(E37,'נתוני מים 2014'!$C$2:$L$188,2,0)/1000,0)</f>
        <v>0</v>
      </c>
      <c r="F888" s="1">
        <f>+IFERROR(VLOOKUP(F37,'נתוני מים 2014'!$C$2:$L$188,2,0)/1000,0)</f>
        <v>0</v>
      </c>
      <c r="G888" s="1">
        <f>+IFERROR(VLOOKUP(G37,'נתוני מים 2014'!$C$2:$L$188,2,0)/1000,0)</f>
        <v>0</v>
      </c>
      <c r="H888" s="1">
        <f>+IFERROR(VLOOKUP(H37,'נתוני מים 2014'!$C$2:$L$188,2,0)/1000,0)</f>
        <v>0</v>
      </c>
      <c r="I888" s="1">
        <f>+IFERROR(VLOOKUP(I37,'נתוני מים 2014'!$C$2:$L$188,2,0)/1000,0)</f>
        <v>0</v>
      </c>
      <c r="J888" s="1">
        <f>+IFERROR(VLOOKUP(J37,'נתוני מים 2014'!$C$2:$L$188,2,0)/1000,0)</f>
        <v>0</v>
      </c>
      <c r="K888" s="1">
        <f>+IFERROR(VLOOKUP(K37,'נתוני מים 2014'!$C$2:$L$188,2,0)/1000,0)</f>
        <v>0</v>
      </c>
      <c r="L888" s="1">
        <f>+IFERROR(VLOOKUP(L37,'נתוני מים 2014'!$C$2:$L$188,2,0)/1000,0)</f>
        <v>0</v>
      </c>
      <c r="M888" s="1">
        <f>+IFERROR(VLOOKUP(M37,'נתוני מים 2014'!$C$2:$L$188,2,0)/1000,0)</f>
        <v>0</v>
      </c>
      <c r="N888" s="1">
        <f>+IFERROR(VLOOKUP(N37,'נתוני מים 2014'!$C$2:$L$188,2,0)/1000,0)</f>
        <v>0</v>
      </c>
      <c r="O888" s="1">
        <f>+IFERROR(VLOOKUP(O37,'נתוני מים 2014'!$C$2:$L$188,2,0)/1000,0)</f>
        <v>0</v>
      </c>
      <c r="P888" s="1">
        <f>+IFERROR(VLOOKUP(P37,'נתוני מים 2014'!$C$2:$L$188,2,0)/1000,0)</f>
        <v>0</v>
      </c>
      <c r="Q888" s="1">
        <f>+IFERROR(VLOOKUP(Q37,'נתוני מים 2014'!$C$2:$L$188,2,0)/1000,0)</f>
        <v>0</v>
      </c>
      <c r="R888" s="1">
        <f>+IFERROR(VLOOKUP(R37,'נתוני מים 2014'!$C$2:$L$188,2,0)/1000,0)</f>
        <v>0</v>
      </c>
      <c r="S888" s="1">
        <f>+IFERROR(VLOOKUP(S37,'נתוני מים 2014'!$C$2:$L$188,2,0)/1000,0)</f>
        <v>0</v>
      </c>
      <c r="T888" s="1">
        <f>+IFERROR(VLOOKUP(T37,'נתוני מים 2014'!$C$2:$L$188,2,0)/1000,0)</f>
        <v>0</v>
      </c>
      <c r="U888" s="1">
        <f>+IFERROR(VLOOKUP(U37,'נתוני מים 2014'!$C$2:$L$188,2,0)/1000,0)</f>
        <v>0</v>
      </c>
      <c r="V888" s="1">
        <f>+IFERROR(VLOOKUP(V37,'נתוני מים 2014'!$C$2:$L$188,2,0)/1000,0)</f>
        <v>0</v>
      </c>
      <c r="W888" s="1">
        <f>+IFERROR(VLOOKUP(W37,'נתוני מים 2014'!$C$2:$L$188,2,0)/1000,0)</f>
        <v>0</v>
      </c>
      <c r="X888" s="1">
        <f>+IFERROR(VLOOKUP(X37,'נתוני מים 2014'!$C$2:$L$188,2,0)/1000,0)</f>
        <v>0</v>
      </c>
      <c r="Y888" s="1">
        <f>+IFERROR(VLOOKUP(Y37,'נתוני מים 2014'!$C$2:$L$188,2,0)/1000,0)</f>
        <v>0</v>
      </c>
      <c r="Z888" s="1">
        <f>+IFERROR(VLOOKUP(Z37,'נתוני מים 2014'!$C$2:$L$188,2,0)/1000,0)</f>
        <v>0</v>
      </c>
      <c r="AA888" s="1">
        <f>+IFERROR(VLOOKUP(AA37,'נתוני מים 2014'!$C$2:$L$188,2,0)/1000,0)</f>
        <v>0</v>
      </c>
      <c r="AB888" s="1">
        <f>+IFERROR(VLOOKUP(AB37,'נתוני מים 2014'!$C$2:$L$188,2,0)/1000,0)</f>
        <v>0</v>
      </c>
      <c r="AC888" s="1">
        <f>+IFERROR(VLOOKUP(AC37,'נתוני מים 2014'!$C$2:$L$188,2,0)/1000,0)</f>
        <v>0</v>
      </c>
      <c r="AD888" s="1">
        <f>+IFERROR(VLOOKUP(AD37,'נתוני מים 2014'!$C$2:$L$188,2,0)/1000,0)</f>
        <v>0</v>
      </c>
      <c r="AE888" s="1">
        <f>+IFERROR(VLOOKUP(AE37,'נתוני מים 2014'!$C$2:$L$188,2,0)/1000,0)</f>
        <v>0</v>
      </c>
      <c r="AF888" s="1">
        <f>+IFERROR(VLOOKUP(AF37,'נתוני מים 2014'!$C$2:$L$188,2,0)/1000,0)</f>
        <v>0</v>
      </c>
      <c r="AG888" s="1">
        <f>+IFERROR(VLOOKUP(AG37,'נתוני מים 2014'!$C$2:$L$188,2,0)/1000,0)</f>
        <v>0</v>
      </c>
      <c r="AH888" s="1">
        <f>+IFERROR(VLOOKUP(AH37,'נתוני מים 2014'!$C$2:$L$188,2,0)/1000,0)</f>
        <v>0</v>
      </c>
      <c r="AI888" s="1">
        <f>+IFERROR(VLOOKUP(AI37,'נתוני מים 2014'!$C$2:$L$188,2,0)/1000,0)</f>
        <v>0</v>
      </c>
      <c r="AJ888" s="1">
        <f>+IFERROR(VLOOKUP(AJ37,'נתוני מים 2014'!$C$2:$L$188,2,0)/1000,0)</f>
        <v>0</v>
      </c>
      <c r="AK888" s="1">
        <f>+IFERROR(VLOOKUP(AK37,'נתוני מים 2014'!$C$2:$L$188,2,0)/1000,0)</f>
        <v>0</v>
      </c>
      <c r="AL888" s="1">
        <f>+IFERROR(VLOOKUP(AL37,'נתוני מים 2014'!$C$2:$L$188,2,0)/1000,0)</f>
        <v>0</v>
      </c>
      <c r="AM888" s="1">
        <f>+IFERROR(VLOOKUP(AM37,'נתוני מים 2014'!$C$2:$L$188,2,0)/1000,0)</f>
        <v>0</v>
      </c>
      <c r="AN888" s="1">
        <f>+IFERROR(VLOOKUP(AN37,'נתוני מים 2014'!$C$2:$L$188,2,0)/1000,0)</f>
        <v>0</v>
      </c>
      <c r="AO888" s="1">
        <f>+IFERROR(VLOOKUP(AO37,'נתוני מים 2014'!$C$2:$L$188,2,0)/1000,0)</f>
        <v>0</v>
      </c>
      <c r="AP888" s="1">
        <f>+IFERROR(VLOOKUP(AP37,'נתוני מים 2014'!$C$2:$L$188,2,0)/1000,0)</f>
        <v>0</v>
      </c>
      <c r="AQ888" s="1">
        <f>+IFERROR(VLOOKUP(AQ37,'נתוני מים 2014'!$C$2:$L$188,2,0)/1000,0)</f>
        <v>0</v>
      </c>
      <c r="AR888" s="1">
        <f>+IFERROR(VLOOKUP(AR37,'נתוני מים 2014'!$C$2:$L$188,2,0)/1000,0)</f>
        <v>0</v>
      </c>
      <c r="AS888" s="1">
        <f>+IFERROR(VLOOKUP(AS37,'נתוני מים 2014'!$C$2:$L$188,2,0)/1000,0)</f>
        <v>0</v>
      </c>
      <c r="AT888" s="1">
        <f>+IFERROR(VLOOKUP(AT37,'נתוני מים 2014'!$C$2:$L$188,2,0)/1000,0)</f>
        <v>0</v>
      </c>
      <c r="AU888" s="1">
        <f>+IFERROR(VLOOKUP(AU37,'נתוני מים 2014'!$C$2:$L$188,2,0)/1000,0)</f>
        <v>0</v>
      </c>
      <c r="AV888" s="1">
        <f>+IFERROR(VLOOKUP(AV37,'נתוני מים 2014'!$C$2:$L$188,2,0)/1000,0)</f>
        <v>0</v>
      </c>
      <c r="AW888" s="1">
        <f>+IFERROR(VLOOKUP(AW37,'נתוני מים 2014'!$C$2:$L$188,2,0)/1000,0)</f>
        <v>0</v>
      </c>
      <c r="AX888" s="1">
        <f>+IFERROR(VLOOKUP(AX37,'נתוני מים 2014'!$C$2:$L$188,2,0)/1000,0)</f>
        <v>0</v>
      </c>
      <c r="AY888" s="1">
        <f>+IFERROR(VLOOKUP(AY37,'נתוני מים 2014'!$C$2:$L$188,2,0)/1000,0)</f>
        <v>0</v>
      </c>
      <c r="AZ888" s="1">
        <f>+IFERROR(VLOOKUP(AZ37,'נתוני מים 2014'!$C$2:$L$188,2,0)/1000,0)</f>
        <v>0</v>
      </c>
      <c r="BA888" s="1">
        <f>+IFERROR(VLOOKUP(BA37,'נתוני מים 2014'!$C$2:$L$188,2,0)/1000,0)</f>
        <v>0</v>
      </c>
      <c r="BB888" s="1">
        <f>+IFERROR(VLOOKUP(BB37,'נתוני מים 2014'!$C$2:$L$188,2,0)/1000,0)</f>
        <v>0</v>
      </c>
      <c r="BC888" s="1">
        <f>+IFERROR(VLOOKUP(BC37,'נתוני מים 2014'!$C$2:$L$188,2,0)/1000,0)</f>
        <v>0</v>
      </c>
      <c r="BD888" s="1">
        <f>+IFERROR(VLOOKUP(BD37,'נתוני מים 2014'!$C$2:$L$188,2,0)/1000,0)</f>
        <v>0</v>
      </c>
      <c r="BE888" s="1">
        <f>+IFERROR(VLOOKUP(BE37,'נתוני מים 2014'!$C$2:$L$188,2,0)/1000,0)</f>
        <v>0</v>
      </c>
      <c r="BF888" s="1">
        <f>+IFERROR(VLOOKUP(BF37,'נתוני מים 2014'!$C$2:$L$188,2,0)/1000,0)</f>
        <v>0</v>
      </c>
    </row>
    <row r="890" spans="1:58" x14ac:dyDescent="0.2">
      <c r="A890" s="1228" t="s">
        <v>663</v>
      </c>
      <c r="C890" s="1">
        <f>SUM(C859:C889)</f>
        <v>272.25700000000001</v>
      </c>
      <c r="D890" s="1">
        <f t="shared" ref="D890:BF890" si="201">SUM(D859:D889)</f>
        <v>53.586000000000006</v>
      </c>
      <c r="E890" s="1">
        <f t="shared" si="201"/>
        <v>202.428</v>
      </c>
      <c r="F890" s="1">
        <f t="shared" si="201"/>
        <v>25.040999999999997</v>
      </c>
      <c r="G890" s="1">
        <f t="shared" si="201"/>
        <v>86.97</v>
      </c>
      <c r="H890" s="1">
        <f t="shared" si="201"/>
        <v>880.83199999999999</v>
      </c>
      <c r="I890" s="1">
        <f t="shared" si="201"/>
        <v>240.666</v>
      </c>
      <c r="J890" s="1">
        <f t="shared" si="201"/>
        <v>48.945999999999998</v>
      </c>
      <c r="K890" s="1">
        <f t="shared" si="201"/>
        <v>108.91</v>
      </c>
      <c r="L890" s="1">
        <f t="shared" si="201"/>
        <v>47.243000000000002</v>
      </c>
      <c r="M890" s="1">
        <f t="shared" si="201"/>
        <v>217.959</v>
      </c>
      <c r="N890" s="1">
        <f t="shared" si="201"/>
        <v>226.38100000000003</v>
      </c>
      <c r="O890" s="1">
        <f t="shared" si="201"/>
        <v>242.26600000000002</v>
      </c>
      <c r="P890" s="1">
        <f t="shared" si="201"/>
        <v>116.361</v>
      </c>
      <c r="Q890" s="1">
        <f t="shared" si="201"/>
        <v>178.28800000000001</v>
      </c>
      <c r="R890" s="1">
        <f t="shared" si="201"/>
        <v>68.34</v>
      </c>
      <c r="S890" s="1">
        <f t="shared" si="201"/>
        <v>72.155000000000001</v>
      </c>
      <c r="T890" s="1">
        <f t="shared" si="201"/>
        <v>126.40500000000002</v>
      </c>
      <c r="U890" s="1">
        <f t="shared" si="201"/>
        <v>86.774000000000001</v>
      </c>
      <c r="V890" s="1">
        <f t="shared" si="201"/>
        <v>77.95</v>
      </c>
      <c r="W890" s="1">
        <f t="shared" si="201"/>
        <v>126.61199999999999</v>
      </c>
      <c r="X890" s="1">
        <f t="shared" si="201"/>
        <v>131.52599999999998</v>
      </c>
      <c r="Y890" s="1">
        <f t="shared" si="201"/>
        <v>40.904999999999994</v>
      </c>
      <c r="Z890" s="1">
        <f t="shared" si="201"/>
        <v>54.326999999999998</v>
      </c>
      <c r="AA890" s="1">
        <f t="shared" si="201"/>
        <v>70.206000000000003</v>
      </c>
      <c r="AB890" s="1">
        <f t="shared" si="201"/>
        <v>50.57</v>
      </c>
      <c r="AC890" s="1">
        <f t="shared" si="201"/>
        <v>90.733000000000004</v>
      </c>
      <c r="AD890" s="1">
        <f t="shared" si="201"/>
        <v>44.05</v>
      </c>
      <c r="AE890" s="1">
        <f t="shared" si="201"/>
        <v>277.08199999999999</v>
      </c>
      <c r="AF890" s="1">
        <f t="shared" si="201"/>
        <v>61.442</v>
      </c>
      <c r="AG890" s="1">
        <f t="shared" si="201"/>
        <v>44.633000000000003</v>
      </c>
      <c r="AH890" s="1">
        <f t="shared" si="201"/>
        <v>60.426000000000002</v>
      </c>
      <c r="AI890" s="1">
        <f t="shared" si="201"/>
        <v>42.164999999999999</v>
      </c>
      <c r="AJ890" s="1">
        <f t="shared" si="201"/>
        <v>49.892000000000003</v>
      </c>
      <c r="AK890" s="1">
        <f t="shared" si="201"/>
        <v>39.031999999999996</v>
      </c>
      <c r="AL890" s="1">
        <f t="shared" si="201"/>
        <v>426.13799999999998</v>
      </c>
      <c r="AM890" s="1">
        <f t="shared" si="201"/>
        <v>70.906000000000006</v>
      </c>
      <c r="AN890" s="1">
        <f t="shared" si="201"/>
        <v>90.76</v>
      </c>
      <c r="AO890" s="1">
        <f t="shared" si="201"/>
        <v>150.917</v>
      </c>
      <c r="AP890" s="1">
        <f t="shared" si="201"/>
        <v>56.848999999999997</v>
      </c>
      <c r="AQ890" s="1">
        <f t="shared" si="201"/>
        <v>128.49799999999999</v>
      </c>
      <c r="AR890" s="1">
        <f t="shared" si="201"/>
        <v>65.078999999999994</v>
      </c>
      <c r="AS890" s="1">
        <f t="shared" si="201"/>
        <v>147.19499999999999</v>
      </c>
      <c r="AT890" s="1">
        <f t="shared" si="201"/>
        <v>98.084000000000003</v>
      </c>
      <c r="AU890" s="1">
        <f t="shared" si="201"/>
        <v>54.134</v>
      </c>
      <c r="AV890" s="1">
        <f t="shared" si="201"/>
        <v>157.119</v>
      </c>
      <c r="AW890" s="1">
        <f t="shared" si="201"/>
        <v>47.463999999999999</v>
      </c>
      <c r="AX890" s="1">
        <f t="shared" si="201"/>
        <v>55.003999999999998</v>
      </c>
      <c r="AY890" s="1">
        <f t="shared" si="201"/>
        <v>38.945</v>
      </c>
      <c r="AZ890" s="1">
        <f t="shared" si="201"/>
        <v>68.152999999999992</v>
      </c>
      <c r="BA890" s="1">
        <f t="shared" si="201"/>
        <v>71.39</v>
      </c>
      <c r="BB890" s="1">
        <f t="shared" si="201"/>
        <v>74.117000000000004</v>
      </c>
      <c r="BC890" s="1">
        <f t="shared" si="201"/>
        <v>107.274</v>
      </c>
      <c r="BD890" s="1">
        <f t="shared" si="201"/>
        <v>9.1120000000000001</v>
      </c>
      <c r="BE890" s="1">
        <f t="shared" si="201"/>
        <v>15.606</v>
      </c>
      <c r="BF890" s="1">
        <f t="shared" si="201"/>
        <v>128.892</v>
      </c>
    </row>
    <row r="893" spans="1:58" x14ac:dyDescent="0.2">
      <c r="A893" s="1228" t="s">
        <v>502</v>
      </c>
      <c r="B893" s="1">
        <v>1</v>
      </c>
      <c r="C893" s="1">
        <f>+IFERROR(VLOOKUP(C8,'נתוני מים 2014'!$C$2:$N$188,11,0)/1000,0)</f>
        <v>789.98</v>
      </c>
      <c r="D893" s="1">
        <f>+IFERROR(VLOOKUP(D8,'נתוני מים 2014'!$C$2:$N$188,11,0)/1000,0)</f>
        <v>81.39</v>
      </c>
      <c r="E893" s="1">
        <f>+IFERROR(VLOOKUP(E8,'נתוני מים 2014'!$C$2:$N$188,11,0)/1000,0)</f>
        <v>1086.79</v>
      </c>
      <c r="F893" s="1">
        <f>+IFERROR(VLOOKUP(F8,'נתוני מים 2014'!$C$2:$N$188,11,0)/1000,0)</f>
        <v>173.59200000000001</v>
      </c>
      <c r="G893" s="1">
        <f>+IFERROR(VLOOKUP(G8,'נתוני מים 2014'!$C$2:$N$188,11,0)/1000,0)</f>
        <v>662.77300000000002</v>
      </c>
      <c r="H893" s="1">
        <f>+IFERROR(VLOOKUP(H8,'נתוני מים 2014'!$C$2:$N$188,11,0)/1000,0)</f>
        <v>1528.826</v>
      </c>
      <c r="I893" s="1">
        <f>+IFERROR(VLOOKUP(I8,'נתוני מים 2014'!$C$2:$N$188,11,0)/1000,0)</f>
        <v>1376.9939999999999</v>
      </c>
      <c r="J893" s="1">
        <f>+IFERROR(VLOOKUP(J8,'נתוני מים 2014'!$C$2:$N$188,11,0)/1000,0)</f>
        <v>1297.3019999999999</v>
      </c>
      <c r="K893" s="1">
        <f>+IFERROR(VLOOKUP(K8,'נתוני מים 2014'!$C$2:$N$188,11,0)/1000,0)</f>
        <v>119.32299999999999</v>
      </c>
      <c r="L893" s="1">
        <f>+IFERROR(VLOOKUP(L8,'נתוני מים 2014'!$C$2:$N$188,11,0)/1000,0)</f>
        <v>135.33799999999999</v>
      </c>
      <c r="M893" s="1">
        <f>+IFERROR(VLOOKUP(M8,'נתוני מים 2014'!$C$2:$N$188,11,0)/1000,0)</f>
        <v>1044.114</v>
      </c>
      <c r="N893" s="1">
        <f>+IFERROR(VLOOKUP(N8,'נתוני מים 2014'!$C$2:$N$188,11,0)/1000,0)</f>
        <v>1422.2429999999999</v>
      </c>
      <c r="O893" s="1">
        <f>+IFERROR(VLOOKUP(O8,'נתוני מים 2014'!$C$2:$N$188,11,0)/1000,0)</f>
        <v>701.34900000000005</v>
      </c>
      <c r="P893" s="1">
        <f>+IFERROR(VLOOKUP(P8,'נתוני מים 2014'!$C$2:$N$188,11,0)/1000,0)</f>
        <v>94.43</v>
      </c>
      <c r="Q893" s="1">
        <f>+IFERROR(VLOOKUP(Q8,'נתוני מים 2014'!$C$2:$N$188,11,0)/1000,0)</f>
        <v>92.564999999999998</v>
      </c>
      <c r="R893" s="1">
        <f>+IFERROR(VLOOKUP(R8,'נתוני מים 2014'!$C$2:$N$188,11,0)/1000,0)</f>
        <v>302.13799999999998</v>
      </c>
      <c r="S893" s="1">
        <f>+IFERROR(VLOOKUP(S8,'נתוני מים 2014'!$C$2:$N$188,11,0)/1000,0)</f>
        <v>204.05699999999999</v>
      </c>
      <c r="T893" s="1">
        <f>+IFERROR(VLOOKUP(T8,'נתוני מים 2014'!$C$2:$N$188,11,0)/1000,0)</f>
        <v>191.73400000000001</v>
      </c>
      <c r="U893" s="1">
        <f>+IFERROR(VLOOKUP(U8,'נתוני מים 2014'!$C$2:$N$188,11,0)/1000,0)</f>
        <v>361.63200000000001</v>
      </c>
      <c r="V893" s="1">
        <f>+IFERROR(VLOOKUP(V8,'נתוני מים 2014'!$C$2:$N$188,11,0)/1000,0)</f>
        <v>6.157</v>
      </c>
      <c r="W893" s="1">
        <f>+IFERROR(VLOOKUP(W8,'נתוני מים 2014'!$C$2:$N$188,11,0)/1000,0)</f>
        <v>6.0709999999999997</v>
      </c>
      <c r="X893" s="1">
        <f>+IFERROR(VLOOKUP(X8,'נתוני מים 2014'!$C$2:$N$188,11,0)/1000,0)</f>
        <v>234.06899999999999</v>
      </c>
      <c r="Y893" s="1">
        <f>+IFERROR(VLOOKUP(Y8,'נתוני מים 2014'!$C$2:$N$188,11,0)/1000,0)</f>
        <v>152.928</v>
      </c>
      <c r="Z893" s="1">
        <f>+IFERROR(VLOOKUP(Z8,'נתוני מים 2014'!$C$2:$N$188,11,0)/1000,0)</f>
        <v>472.08600000000001</v>
      </c>
      <c r="AA893" s="1">
        <f>+IFERROR(VLOOKUP(AA8,'נתוני מים 2014'!$C$2:$N$188,11,0)/1000,0)</f>
        <v>637.78800000000001</v>
      </c>
      <c r="AB893" s="1">
        <f>+IFERROR(VLOOKUP(AB8,'נתוני מים 2014'!$C$2:$N$188,11,0)/1000,0)</f>
        <v>296.70699999999999</v>
      </c>
      <c r="AC893" s="1">
        <f>+IFERROR(VLOOKUP(AC8,'נתוני מים 2014'!$C$2:$N$188,11,0)/1000,0)</f>
        <v>737.82500000000005</v>
      </c>
      <c r="AD893" s="1">
        <f>+IFERROR(VLOOKUP(AD8,'נתוני מים 2014'!$C$2:$N$188,11,0)/1000,0)</f>
        <v>345.56299999999999</v>
      </c>
      <c r="AE893" s="1">
        <f>+IFERROR(VLOOKUP(AE8,'נתוני מים 2014'!$C$2:$N$188,11,0)/1000,0)</f>
        <v>1004.064</v>
      </c>
      <c r="AF893" s="1">
        <f>+IFERROR(VLOOKUP(AF8,'נתוני מים 2014'!$C$2:$N$188,11,0)/1000,0)</f>
        <v>298.67200000000003</v>
      </c>
      <c r="AG893" s="1">
        <f>+IFERROR(VLOOKUP(AG8,'נתוני מים 2014'!$C$2:$N$188,11,0)/1000,0)</f>
        <v>487.988</v>
      </c>
      <c r="AH893" s="1">
        <f>+IFERROR(VLOOKUP(AH8,'נתוני מים 2014'!$C$2:$N$188,11,0)/1000,0)</f>
        <v>45.677999999999997</v>
      </c>
      <c r="AI893" s="1">
        <f>+IFERROR(VLOOKUP(AI8,'נתוני מים 2014'!$C$2:$N$188,11,0)/1000,0)</f>
        <v>406.613</v>
      </c>
      <c r="AJ893" s="1">
        <f>+IFERROR(VLOOKUP(AJ8,'נתוני מים 2014'!$C$2:$N$188,11,0)/1000,0)</f>
        <v>218.58799999999999</v>
      </c>
      <c r="AK893" s="1">
        <f>+IFERROR(VLOOKUP(AK8,'נתוני מים 2014'!$C$2:$N$188,11,0)/1000,0)</f>
        <v>236.36799999999999</v>
      </c>
      <c r="AL893" s="1">
        <f>+IFERROR(VLOOKUP(AL8,'נתוני מים 2014'!$C$2:$N$188,11,0)/1000,0)</f>
        <v>3443.5680000000002</v>
      </c>
      <c r="AM893" s="1">
        <f>+IFERROR(VLOOKUP(AM8,'נתוני מים 2014'!$C$2:$N$188,11,0)/1000,0)</f>
        <v>115.991</v>
      </c>
      <c r="AN893" s="1">
        <f>+IFERROR(VLOOKUP(AN8,'נתוני מים 2014'!$C$2:$N$188,11,0)/1000,0)</f>
        <v>6.8419999999999996</v>
      </c>
      <c r="AO893" s="1">
        <f>+IFERROR(VLOOKUP(AO8,'נתוני מים 2014'!$C$2:$N$188,11,0)/1000,0)</f>
        <v>805.48599999999999</v>
      </c>
      <c r="AP893" s="1">
        <f>+IFERROR(VLOOKUP(AP8,'נתוני מים 2014'!$C$2:$N$188,11,0)/1000,0)</f>
        <v>146.07</v>
      </c>
      <c r="AQ893" s="1">
        <f>+IFERROR(VLOOKUP(AQ8,'נתוני מים 2014'!$C$2:$N$188,11,0)/1000,0)</f>
        <v>458.58199999999999</v>
      </c>
      <c r="AR893" s="1">
        <f>+IFERROR(VLOOKUP(AR8,'נתוני מים 2014'!$C$2:$N$188,11,0)/1000,0)</f>
        <v>159.773</v>
      </c>
      <c r="AS893" s="1">
        <f>+IFERROR(VLOOKUP(AS8,'נתוני מים 2014'!$C$2:$N$188,11,0)/1000,0)</f>
        <v>96.658000000000001</v>
      </c>
      <c r="AT893" s="1">
        <f>+IFERROR(VLOOKUP(AT8,'נתוני מים 2014'!$C$2:$N$188,11,0)/1000,0)</f>
        <v>212.76599999999999</v>
      </c>
      <c r="AU893" s="1">
        <f>+IFERROR(VLOOKUP(AU8,'נתוני מים 2014'!$C$2:$N$188,11,0)/1000,0)</f>
        <v>456.81799999999998</v>
      </c>
      <c r="AV893" s="1">
        <f>+IFERROR(VLOOKUP(AV8,'נתוני מים 2014'!$C$2:$N$188,11,0)/1000,0)</f>
        <v>712.71</v>
      </c>
      <c r="AW893" s="1">
        <f>+IFERROR(VLOOKUP(AW8,'נתוני מים 2014'!$C$2:$N$188,11,0)/1000,0)</f>
        <v>253.14400000000001</v>
      </c>
      <c r="AX893" s="1">
        <f>+IFERROR(VLOOKUP(AX8,'נתוני מים 2014'!$C$2:$N$188,11,0)/1000,0)</f>
        <v>0</v>
      </c>
      <c r="AY893" s="1">
        <f>+IFERROR(VLOOKUP(AY8,'נתוני מים 2014'!$C$2:$N$188,11,0)/1000,0)</f>
        <v>347.35199999999998</v>
      </c>
      <c r="AZ893" s="1">
        <f>+IFERROR(VLOOKUP(AZ8,'נתוני מים 2014'!$C$2:$N$188,11,0)/1000,0)</f>
        <v>72.954999999999998</v>
      </c>
      <c r="BA893" s="1">
        <f>+IFERROR(VLOOKUP(BA8,'נתוני מים 2014'!$C$2:$N$188,11,0)/1000,0)</f>
        <v>331.15699999999998</v>
      </c>
      <c r="BB893" s="1">
        <f>+IFERROR(VLOOKUP(BB8,'נתוני מים 2014'!$C$2:$N$188,11,0)/1000,0)</f>
        <v>0</v>
      </c>
      <c r="BC893" s="1">
        <f>+IFERROR(VLOOKUP(BC8,'נתוני מים 2014'!$C$2:$N$188,11,0)/1000,0)</f>
        <v>0</v>
      </c>
      <c r="BD893" s="1">
        <f>+IFERROR(VLOOKUP(BD8,'נתוני מים 2014'!$C$2:$N$188,11,0)/1000,0)</f>
        <v>0</v>
      </c>
      <c r="BE893" s="1">
        <f>+IFERROR(VLOOKUP(BE8,'נתוני מים 2014'!$C$2:$N$188,11,0)/1000,0)</f>
        <v>111.572</v>
      </c>
      <c r="BF893" s="1">
        <f>+IFERROR(VLOOKUP(BF8,'נתוני מים 2014'!$C$2:$N$188,11,0)/1000,0)</f>
        <v>870.52700000000004</v>
      </c>
    </row>
    <row r="894" spans="1:58" x14ac:dyDescent="0.2">
      <c r="B894" s="1">
        <v>2</v>
      </c>
      <c r="C894" s="1">
        <f>+IFERROR(VLOOKUP(C9,'נתוני מים 2014'!$C$2:$N$188,11,0)/1000,0)</f>
        <v>37.14</v>
      </c>
      <c r="D894" s="1">
        <f>+IFERROR(VLOOKUP(D9,'נתוני מים 2014'!$C$2:$N$188,11,0)/1000,0)</f>
        <v>7.7910000000000004</v>
      </c>
      <c r="E894" s="1">
        <f>+IFERROR(VLOOKUP(E9,'נתוני מים 2014'!$C$2:$N$188,11,0)/1000,0)</f>
        <v>0</v>
      </c>
      <c r="F894" s="1">
        <f>+IFERROR(VLOOKUP(F9,'נתוני מים 2014'!$C$2:$N$188,11,0)/1000,0)</f>
        <v>42.716999999999999</v>
      </c>
      <c r="G894" s="1">
        <f>+IFERROR(VLOOKUP(G9,'נתוני מים 2014'!$C$2:$N$188,11,0)/1000,0)</f>
        <v>0</v>
      </c>
      <c r="H894" s="1">
        <f>+IFERROR(VLOOKUP(H9,'נתוני מים 2014'!$C$2:$N$188,11,0)/1000,0)</f>
        <v>0.32100000000000001</v>
      </c>
      <c r="I894" s="1">
        <f>+IFERROR(VLOOKUP(I9,'נתוני מים 2014'!$C$2:$N$188,11,0)/1000,0)</f>
        <v>0</v>
      </c>
      <c r="J894" s="1">
        <f>+IFERROR(VLOOKUP(J9,'נתוני מים 2014'!$C$2:$N$188,11,0)/1000,0)</f>
        <v>0</v>
      </c>
      <c r="K894" s="1">
        <f>+IFERROR(VLOOKUP(K9,'נתוני מים 2014'!$C$2:$N$188,11,0)/1000,0)</f>
        <v>55.847999999999999</v>
      </c>
      <c r="L894" s="1">
        <f>+IFERROR(VLOOKUP(L9,'נתוני מים 2014'!$C$2:$N$188,11,0)/1000,0)</f>
        <v>15.859</v>
      </c>
      <c r="M894" s="1">
        <f>+IFERROR(VLOOKUP(M9,'נתוני מים 2014'!$C$2:$N$188,11,0)/1000,0)</f>
        <v>0</v>
      </c>
      <c r="N894" s="1">
        <f>+IFERROR(VLOOKUP(N9,'נתוני מים 2014'!$C$2:$N$188,11,0)/1000,0)</f>
        <v>52.722000000000001</v>
      </c>
      <c r="O894" s="1">
        <f>+IFERROR(VLOOKUP(O9,'נתוני מים 2014'!$C$2:$N$188,11,0)/1000,0)</f>
        <v>75.099999999999994</v>
      </c>
      <c r="P894" s="1">
        <f>+IFERROR(VLOOKUP(P9,'נתוני מים 2014'!$C$2:$N$188,11,0)/1000,0)</f>
        <v>32.86</v>
      </c>
      <c r="Q894" s="1">
        <f>+IFERROR(VLOOKUP(Q9,'נתוני מים 2014'!$C$2:$N$188,11,0)/1000,0)</f>
        <v>0</v>
      </c>
      <c r="R894" s="1">
        <f>+IFERROR(VLOOKUP(R9,'נתוני מים 2014'!$C$2:$N$188,11,0)/1000,0)</f>
        <v>31.12</v>
      </c>
      <c r="S894" s="1">
        <f>+IFERROR(VLOOKUP(S9,'נתוני מים 2014'!$C$2:$N$188,11,0)/1000,0)</f>
        <v>0</v>
      </c>
      <c r="T894" s="1">
        <f>+IFERROR(VLOOKUP(T9,'נתוני מים 2014'!$C$2:$N$188,11,0)/1000,0)</f>
        <v>185.41499999999999</v>
      </c>
      <c r="U894" s="1">
        <f>+IFERROR(VLOOKUP(U9,'נתוני מים 2014'!$C$2:$N$188,11,0)/1000,0)</f>
        <v>0</v>
      </c>
      <c r="V894" s="1">
        <f>+IFERROR(VLOOKUP(V9,'נתוני מים 2014'!$C$2:$N$188,11,0)/1000,0)</f>
        <v>9.9990000000000006</v>
      </c>
      <c r="W894" s="1">
        <f>+IFERROR(VLOOKUP(W9,'נתוני מים 2014'!$C$2:$N$188,11,0)/1000,0)</f>
        <v>0</v>
      </c>
      <c r="X894" s="1">
        <f>+IFERROR(VLOOKUP(X9,'נתוני מים 2014'!$C$2:$N$188,11,0)/1000,0)</f>
        <v>0</v>
      </c>
      <c r="Y894" s="1">
        <f>+IFERROR(VLOOKUP(Y9,'נתוני מים 2014'!$C$2:$N$188,11,0)/1000,0)</f>
        <v>22.571999999999999</v>
      </c>
      <c r="Z894" s="1">
        <f>+IFERROR(VLOOKUP(Z9,'נתוני מים 2014'!$C$2:$N$188,11,0)/1000,0)</f>
        <v>0</v>
      </c>
      <c r="AA894" s="1">
        <f>+IFERROR(VLOOKUP(AA9,'נתוני מים 2014'!$C$2:$N$188,11,0)/1000,0)</f>
        <v>0</v>
      </c>
      <c r="AB894" s="1">
        <f>+IFERROR(VLOOKUP(AB9,'נתוני מים 2014'!$C$2:$N$188,11,0)/1000,0)</f>
        <v>0</v>
      </c>
      <c r="AC894" s="1">
        <f>+IFERROR(VLOOKUP(AC9,'נתוני מים 2014'!$C$2:$N$188,11,0)/1000,0)</f>
        <v>0</v>
      </c>
      <c r="AD894" s="1">
        <f>+IFERROR(VLOOKUP(AD9,'נתוני מים 2014'!$C$2:$N$188,11,0)/1000,0)</f>
        <v>0</v>
      </c>
      <c r="AE894" s="1">
        <f>+IFERROR(VLOOKUP(AE9,'נתוני מים 2014'!$C$2:$N$188,11,0)/1000,0)</f>
        <v>0</v>
      </c>
      <c r="AF894" s="1">
        <f>+IFERROR(VLOOKUP(AF9,'נתוני מים 2014'!$C$2:$N$188,11,0)/1000,0)</f>
        <v>128.16300000000001</v>
      </c>
      <c r="AG894" s="1">
        <f>+IFERROR(VLOOKUP(AG9,'נתוני מים 2014'!$C$2:$N$188,11,0)/1000,0)</f>
        <v>0</v>
      </c>
      <c r="AH894" s="1">
        <f>+IFERROR(VLOOKUP(AH9,'נתוני מים 2014'!$C$2:$N$188,11,0)/1000,0)</f>
        <v>0</v>
      </c>
      <c r="AI894" s="1">
        <f>+IFERROR(VLOOKUP(AI9,'נתוני מים 2014'!$C$2:$N$188,11,0)/1000,0)</f>
        <v>0</v>
      </c>
      <c r="AJ894" s="1">
        <f>+IFERROR(VLOOKUP(AJ9,'נתוני מים 2014'!$C$2:$N$188,11,0)/1000,0)</f>
        <v>1.825</v>
      </c>
      <c r="AK894" s="1">
        <f>+IFERROR(VLOOKUP(AK9,'נתוני מים 2014'!$C$2:$N$188,11,0)/1000,0)</f>
        <v>0</v>
      </c>
      <c r="AL894" s="1">
        <f>+IFERROR(VLOOKUP(AL9,'נתוני מים 2014'!$C$2:$N$188,11,0)/1000,0)</f>
        <v>0</v>
      </c>
      <c r="AM894" s="1">
        <f>+IFERROR(VLOOKUP(AM9,'נתוני מים 2014'!$C$2:$N$188,11,0)/1000,0)</f>
        <v>108.45</v>
      </c>
      <c r="AN894" s="1">
        <f>+IFERROR(VLOOKUP(AN9,'נתוני מים 2014'!$C$2:$N$188,11,0)/1000,0)</f>
        <v>4.9909999999999997</v>
      </c>
      <c r="AO894" s="1">
        <f>+IFERROR(VLOOKUP(AO9,'נתוני מים 2014'!$C$2:$N$188,11,0)/1000,0)</f>
        <v>0</v>
      </c>
      <c r="AP894" s="1">
        <f>+IFERROR(VLOOKUP(AP9,'נתוני מים 2014'!$C$2:$N$188,11,0)/1000,0)</f>
        <v>0</v>
      </c>
      <c r="AQ894" s="1">
        <f>+IFERROR(VLOOKUP(AQ9,'נתוני מים 2014'!$C$2:$N$188,11,0)/1000,0)</f>
        <v>0</v>
      </c>
      <c r="AR894" s="1">
        <f>+IFERROR(VLOOKUP(AR9,'נתוני מים 2014'!$C$2:$N$188,11,0)/1000,0)</f>
        <v>143.04300000000001</v>
      </c>
      <c r="AS894" s="1">
        <f>+IFERROR(VLOOKUP(AS9,'נתוני מים 2014'!$C$2:$N$188,11,0)/1000,0)</f>
        <v>61.738999999999997</v>
      </c>
      <c r="AT894" s="1">
        <f>+IFERROR(VLOOKUP(AT9,'נתוני מים 2014'!$C$2:$N$188,11,0)/1000,0)</f>
        <v>0</v>
      </c>
      <c r="AU894" s="1">
        <f>+IFERROR(VLOOKUP(AU9,'נתוני מים 2014'!$C$2:$N$188,11,0)/1000,0)</f>
        <v>0</v>
      </c>
      <c r="AV894" s="1">
        <f>+IFERROR(VLOOKUP(AV9,'נתוני מים 2014'!$C$2:$N$188,11,0)/1000,0)</f>
        <v>94.477999999999994</v>
      </c>
      <c r="AW894" s="1">
        <f>+IFERROR(VLOOKUP(AW9,'נתוני מים 2014'!$C$2:$N$188,11,0)/1000,0)</f>
        <v>0</v>
      </c>
      <c r="AX894" s="1">
        <f>+IFERROR(VLOOKUP(AX9,'נתוני מים 2014'!$C$2:$N$188,11,0)/1000,0)</f>
        <v>0.63200000000000001</v>
      </c>
      <c r="AY894" s="1">
        <f>+IFERROR(VLOOKUP(AY9,'נתוני מים 2014'!$C$2:$N$188,11,0)/1000,0)</f>
        <v>0</v>
      </c>
      <c r="AZ894" s="1">
        <f>+IFERROR(VLOOKUP(AZ9,'נתוני מים 2014'!$C$2:$N$188,11,0)/1000,0)</f>
        <v>141.72</v>
      </c>
      <c r="BA894" s="1">
        <f>+IFERROR(VLOOKUP(BA9,'נתוני מים 2014'!$C$2:$N$188,11,0)/1000,0)</f>
        <v>267.89</v>
      </c>
      <c r="BB894" s="1">
        <f>+IFERROR(VLOOKUP(BB9,'נתוני מים 2014'!$C$2:$N$188,11,0)/1000,0)</f>
        <v>0</v>
      </c>
      <c r="BC894" s="1">
        <f>+IFERROR(VLOOKUP(BC9,'נתוני מים 2014'!$C$2:$N$188,11,0)/1000,0)</f>
        <v>3.9289999999999998</v>
      </c>
      <c r="BD894" s="1">
        <f>+IFERROR(VLOOKUP(BD9,'נתוני מים 2014'!$C$2:$N$188,11,0)/1000,0)</f>
        <v>58.918999999999997</v>
      </c>
      <c r="BE894" s="1">
        <f>+IFERROR(VLOOKUP(BE9,'נתוני מים 2014'!$C$2:$N$188,11,0)/1000,0)</f>
        <v>0</v>
      </c>
      <c r="BF894" s="1">
        <f>+IFERROR(VLOOKUP(BF9,'נתוני מים 2014'!$C$2:$N$188,11,0)/1000,0)</f>
        <v>0</v>
      </c>
    </row>
    <row r="895" spans="1:58" x14ac:dyDescent="0.2">
      <c r="B895" s="1">
        <v>3</v>
      </c>
      <c r="C895" s="1">
        <f>+IFERROR(VLOOKUP(C10,'נתוני מים 2014'!$C$2:$N$188,11,0)/1000,0)</f>
        <v>0.56999999999999995</v>
      </c>
      <c r="D895" s="1">
        <f>+IFERROR(VLOOKUP(D10,'נתוני מים 2014'!$C$2:$N$188,11,0)/1000,0)</f>
        <v>90.289000000000001</v>
      </c>
      <c r="E895" s="1">
        <f>+IFERROR(VLOOKUP(E10,'נתוני מים 2014'!$C$2:$N$188,11,0)/1000,0)</f>
        <v>0</v>
      </c>
      <c r="F895" s="1">
        <f>+IFERROR(VLOOKUP(F10,'נתוני מים 2014'!$C$2:$N$188,11,0)/1000,0)</f>
        <v>0</v>
      </c>
      <c r="G895" s="1">
        <f>+IFERROR(VLOOKUP(G10,'נתוני מים 2014'!$C$2:$N$188,11,0)/1000,0)</f>
        <v>0</v>
      </c>
      <c r="H895" s="1">
        <f>+IFERROR(VLOOKUP(H10,'נתוני מים 2014'!$C$2:$N$188,11,0)/1000,0)</f>
        <v>57.134999999999998</v>
      </c>
      <c r="I895" s="1">
        <f>+IFERROR(VLOOKUP(I10,'נתוני מים 2014'!$C$2:$N$188,11,0)/1000,0)</f>
        <v>0</v>
      </c>
      <c r="J895" s="1">
        <f>+IFERROR(VLOOKUP(J10,'נתוני מים 2014'!$C$2:$N$188,11,0)/1000,0)</f>
        <v>0</v>
      </c>
      <c r="K895" s="1">
        <f>+IFERROR(VLOOKUP(K10,'נתוני מים 2014'!$C$2:$N$188,11,0)/1000,0)</f>
        <v>130.64599999999999</v>
      </c>
      <c r="L895" s="1">
        <f>+IFERROR(VLOOKUP(L10,'נתוני מים 2014'!$C$2:$N$188,11,0)/1000,0)</f>
        <v>0</v>
      </c>
      <c r="M895" s="1">
        <f>+IFERROR(VLOOKUP(M10,'נתוני מים 2014'!$C$2:$N$188,11,0)/1000,0)</f>
        <v>0</v>
      </c>
      <c r="N895" s="1">
        <f>+IFERROR(VLOOKUP(N10,'נתוני מים 2014'!$C$2:$N$188,11,0)/1000,0)</f>
        <v>0</v>
      </c>
      <c r="O895" s="1">
        <f>+IFERROR(VLOOKUP(O10,'נתוני מים 2014'!$C$2:$N$188,11,0)/1000,0)</f>
        <v>29.939</v>
      </c>
      <c r="P895" s="1">
        <f>+IFERROR(VLOOKUP(P10,'נתוני מים 2014'!$C$2:$N$188,11,0)/1000,0)</f>
        <v>0</v>
      </c>
      <c r="Q895" s="1">
        <f>+IFERROR(VLOOKUP(Q10,'נתוני מים 2014'!$C$2:$N$188,11,0)/1000,0)</f>
        <v>0</v>
      </c>
      <c r="R895" s="1">
        <f>+IFERROR(VLOOKUP(R10,'נתוני מים 2014'!$C$2:$N$188,11,0)/1000,0)</f>
        <v>65.557000000000002</v>
      </c>
      <c r="S895" s="1">
        <f>+IFERROR(VLOOKUP(S10,'נתוני מים 2014'!$C$2:$N$188,11,0)/1000,0)</f>
        <v>0</v>
      </c>
      <c r="T895" s="1">
        <f>+IFERROR(VLOOKUP(T10,'נתוני מים 2014'!$C$2:$N$188,11,0)/1000,0)</f>
        <v>106.455</v>
      </c>
      <c r="U895" s="1">
        <f>+IFERROR(VLOOKUP(U10,'נתוני מים 2014'!$C$2:$N$188,11,0)/1000,0)</f>
        <v>0</v>
      </c>
      <c r="V895" s="1">
        <f>+IFERROR(VLOOKUP(V10,'נתוני מים 2014'!$C$2:$N$188,11,0)/1000,0)</f>
        <v>3.952</v>
      </c>
      <c r="W895" s="1">
        <f>+IFERROR(VLOOKUP(W10,'נתוני מים 2014'!$C$2:$N$188,11,0)/1000,0)</f>
        <v>1.7390000000000001</v>
      </c>
      <c r="X895" s="1">
        <f>+IFERROR(VLOOKUP(X10,'נתוני מים 2014'!$C$2:$N$188,11,0)/1000,0)</f>
        <v>0</v>
      </c>
      <c r="Y895" s="1">
        <f>+IFERROR(VLOOKUP(Y10,'נתוני מים 2014'!$C$2:$N$188,11,0)/1000,0)</f>
        <v>54.973999999999997</v>
      </c>
      <c r="Z895" s="1">
        <f>+IFERROR(VLOOKUP(Z10,'נתוני מים 2014'!$C$2:$N$188,11,0)/1000,0)</f>
        <v>0</v>
      </c>
      <c r="AA895" s="1">
        <f>+IFERROR(VLOOKUP(AA10,'נתוני מים 2014'!$C$2:$N$188,11,0)/1000,0)</f>
        <v>0</v>
      </c>
      <c r="AB895" s="1">
        <f>+IFERROR(VLOOKUP(AB10,'נתוני מים 2014'!$C$2:$N$188,11,0)/1000,0)</f>
        <v>0</v>
      </c>
      <c r="AC895" s="1">
        <f>+IFERROR(VLOOKUP(AC10,'נתוני מים 2014'!$C$2:$N$188,11,0)/1000,0)</f>
        <v>0</v>
      </c>
      <c r="AD895" s="1">
        <f>+IFERROR(VLOOKUP(AD10,'נתוני מים 2014'!$C$2:$N$188,11,0)/1000,0)</f>
        <v>0</v>
      </c>
      <c r="AE895" s="1">
        <f>+IFERROR(VLOOKUP(AE10,'נתוני מים 2014'!$C$2:$N$188,11,0)/1000,0)</f>
        <v>0</v>
      </c>
      <c r="AF895" s="1">
        <f>+IFERROR(VLOOKUP(AF10,'נתוני מים 2014'!$C$2:$N$188,11,0)/1000,0)</f>
        <v>0</v>
      </c>
      <c r="AG895" s="1">
        <f>+IFERROR(VLOOKUP(AG10,'נתוני מים 2014'!$C$2:$N$188,11,0)/1000,0)</f>
        <v>0</v>
      </c>
      <c r="AH895" s="1">
        <f>+IFERROR(VLOOKUP(AH10,'נתוני מים 2014'!$C$2:$N$188,11,0)/1000,0)</f>
        <v>0</v>
      </c>
      <c r="AI895" s="1">
        <f>+IFERROR(VLOOKUP(AI10,'נתוני מים 2014'!$C$2:$N$188,11,0)/1000,0)</f>
        <v>0</v>
      </c>
      <c r="AJ895" s="1">
        <f>+IFERROR(VLOOKUP(AJ10,'נתוני מים 2014'!$C$2:$N$188,11,0)/1000,0)</f>
        <v>0</v>
      </c>
      <c r="AK895" s="1">
        <f>+IFERROR(VLOOKUP(AK10,'נתוני מים 2014'!$C$2:$N$188,11,0)/1000,0)</f>
        <v>0</v>
      </c>
      <c r="AL895" s="1">
        <f>+IFERROR(VLOOKUP(AL10,'נתוני מים 2014'!$C$2:$N$188,11,0)/1000,0)</f>
        <v>0</v>
      </c>
      <c r="AM895" s="1">
        <f>+IFERROR(VLOOKUP(AM10,'נתוני מים 2014'!$C$2:$N$188,11,0)/1000,0)</f>
        <v>69.046999999999997</v>
      </c>
      <c r="AN895" s="1">
        <f>+IFERROR(VLOOKUP(AN10,'נתוני מים 2014'!$C$2:$N$188,11,0)/1000,0)</f>
        <v>4.62</v>
      </c>
      <c r="AO895" s="1">
        <f>+IFERROR(VLOOKUP(AO10,'נתוני מים 2014'!$C$2:$N$188,11,0)/1000,0)</f>
        <v>0</v>
      </c>
      <c r="AP895" s="1">
        <f>+IFERROR(VLOOKUP(AP10,'נתוני מים 2014'!$C$2:$N$188,11,0)/1000,0)</f>
        <v>0</v>
      </c>
      <c r="AQ895" s="1">
        <f>+IFERROR(VLOOKUP(AQ10,'נתוני מים 2014'!$C$2:$N$188,11,0)/1000,0)</f>
        <v>0</v>
      </c>
      <c r="AR895" s="1">
        <f>+IFERROR(VLOOKUP(AR10,'נתוני מים 2014'!$C$2:$N$188,11,0)/1000,0)</f>
        <v>0</v>
      </c>
      <c r="AS895" s="1">
        <f>+IFERROR(VLOOKUP(AS10,'נתוני מים 2014'!$C$2:$N$188,11,0)/1000,0)</f>
        <v>20.399999999999999</v>
      </c>
      <c r="AT895" s="1">
        <f>+IFERROR(VLOOKUP(AT10,'נתוני מים 2014'!$C$2:$N$188,11,0)/1000,0)</f>
        <v>0</v>
      </c>
      <c r="AU895" s="1">
        <f>+IFERROR(VLOOKUP(AU10,'נתוני מים 2014'!$C$2:$N$188,11,0)/1000,0)</f>
        <v>0</v>
      </c>
      <c r="AV895" s="1">
        <f>+IFERROR(VLOOKUP(AV10,'נתוני מים 2014'!$C$2:$N$188,11,0)/1000,0)</f>
        <v>0</v>
      </c>
      <c r="AW895" s="1">
        <f>+IFERROR(VLOOKUP(AW10,'נתוני מים 2014'!$C$2:$N$188,11,0)/1000,0)</f>
        <v>0</v>
      </c>
      <c r="AX895" s="1">
        <f>+IFERROR(VLOOKUP(AX10,'נתוני מים 2014'!$C$2:$N$188,11,0)/1000,0)</f>
        <v>21.245000000000001</v>
      </c>
      <c r="AY895" s="1">
        <f>+IFERROR(VLOOKUP(AY10,'נתוני מים 2014'!$C$2:$N$188,11,0)/1000,0)</f>
        <v>0</v>
      </c>
      <c r="AZ895" s="1">
        <f>+IFERROR(VLOOKUP(AZ10,'נתוני מים 2014'!$C$2:$N$188,11,0)/1000,0)</f>
        <v>4.657</v>
      </c>
      <c r="BA895" s="1">
        <f>+IFERROR(VLOOKUP(BA10,'נתוני מים 2014'!$C$2:$N$188,11,0)/1000,0)</f>
        <v>154.28</v>
      </c>
      <c r="BB895" s="1">
        <f>+IFERROR(VLOOKUP(BB10,'נתוני מים 2014'!$C$2:$N$188,11,0)/1000,0)</f>
        <v>0.41499999999999998</v>
      </c>
      <c r="BC895" s="1">
        <f>+IFERROR(VLOOKUP(BC10,'נתוני מים 2014'!$C$2:$N$188,11,0)/1000,0)</f>
        <v>3.2080000000000002</v>
      </c>
      <c r="BD895" s="1">
        <f>+IFERROR(VLOOKUP(BD10,'נתוני מים 2014'!$C$2:$N$188,11,0)/1000,0)</f>
        <v>0</v>
      </c>
      <c r="BE895" s="1">
        <f>+IFERROR(VLOOKUP(BE10,'נתוני מים 2014'!$C$2:$N$188,11,0)/1000,0)</f>
        <v>0</v>
      </c>
      <c r="BF895" s="1">
        <f>+IFERROR(VLOOKUP(BF10,'נתוני מים 2014'!$C$2:$N$188,11,0)/1000,0)</f>
        <v>0</v>
      </c>
    </row>
    <row r="896" spans="1:58" x14ac:dyDescent="0.2">
      <c r="B896" s="1">
        <v>4</v>
      </c>
      <c r="C896" s="1">
        <f>+IFERROR(VLOOKUP(C11,'נתוני מים 2014'!$C$2:$N$188,11,0)/1000,0)</f>
        <v>0</v>
      </c>
      <c r="D896" s="1">
        <f>+IFERROR(VLOOKUP(D11,'נתוני מים 2014'!$C$2:$N$188,11,0)/1000,0)</f>
        <v>11.353999999999999</v>
      </c>
      <c r="E896" s="1">
        <f>+IFERROR(VLOOKUP(E11,'נתוני מים 2014'!$C$2:$N$188,11,0)/1000,0)</f>
        <v>0</v>
      </c>
      <c r="F896" s="1">
        <f>+IFERROR(VLOOKUP(F11,'נתוני מים 2014'!$C$2:$N$188,11,0)/1000,0)</f>
        <v>0</v>
      </c>
      <c r="G896" s="1">
        <f>+IFERROR(VLOOKUP(G11,'נתוני מים 2014'!$C$2:$N$188,11,0)/1000,0)</f>
        <v>0</v>
      </c>
      <c r="H896" s="1">
        <f>+IFERROR(VLOOKUP(H11,'נתוני מים 2014'!$C$2:$N$188,11,0)/1000,0)</f>
        <v>0</v>
      </c>
      <c r="I896" s="1">
        <f>+IFERROR(VLOOKUP(I11,'נתוני מים 2014'!$C$2:$N$188,11,0)/1000,0)</f>
        <v>0</v>
      </c>
      <c r="J896" s="1">
        <f>+IFERROR(VLOOKUP(J11,'נתוני מים 2014'!$C$2:$N$188,11,0)/1000,0)</f>
        <v>0</v>
      </c>
      <c r="K896" s="1">
        <f>+IFERROR(VLOOKUP(K11,'נתוני מים 2014'!$C$2:$N$188,11,0)/1000,0)</f>
        <v>0</v>
      </c>
      <c r="L896" s="1">
        <f>+IFERROR(VLOOKUP(L11,'נתוני מים 2014'!$C$2:$N$188,11,0)/1000,0)</f>
        <v>25.239000000000001</v>
      </c>
      <c r="M896" s="1">
        <f>+IFERROR(VLOOKUP(M11,'נתוני מים 2014'!$C$2:$N$188,11,0)/1000,0)</f>
        <v>0</v>
      </c>
      <c r="N896" s="1">
        <f>+IFERROR(VLOOKUP(N11,'נתוני מים 2014'!$C$2:$N$188,11,0)/1000,0)</f>
        <v>0</v>
      </c>
      <c r="O896" s="1">
        <f>+IFERROR(VLOOKUP(O11,'נתוני מים 2014'!$C$2:$N$188,11,0)/1000,0)</f>
        <v>162.05500000000001</v>
      </c>
      <c r="P896" s="1">
        <f>+IFERROR(VLOOKUP(P11,'נתוני מים 2014'!$C$2:$N$188,11,0)/1000,0)</f>
        <v>0</v>
      </c>
      <c r="Q896" s="1">
        <f>+IFERROR(VLOOKUP(Q11,'נתוני מים 2014'!$C$2:$N$188,11,0)/1000,0)</f>
        <v>0</v>
      </c>
      <c r="R896" s="1">
        <f>+IFERROR(VLOOKUP(R11,'נתוני מים 2014'!$C$2:$N$188,11,0)/1000,0)</f>
        <v>0</v>
      </c>
      <c r="S896" s="1">
        <f>+IFERROR(VLOOKUP(S11,'נתוני מים 2014'!$C$2:$N$188,11,0)/1000,0)</f>
        <v>0</v>
      </c>
      <c r="T896" s="1">
        <f>+IFERROR(VLOOKUP(T11,'נתוני מים 2014'!$C$2:$N$188,11,0)/1000,0)</f>
        <v>17.201000000000001</v>
      </c>
      <c r="U896" s="1">
        <f>+IFERROR(VLOOKUP(U11,'נתוני מים 2014'!$C$2:$N$188,11,0)/1000,0)</f>
        <v>0</v>
      </c>
      <c r="V896" s="1">
        <f>+IFERROR(VLOOKUP(V11,'נתוני מים 2014'!$C$2:$N$188,11,0)/1000,0)</f>
        <v>0</v>
      </c>
      <c r="W896" s="1">
        <f>+IFERROR(VLOOKUP(W11,'נתוני מים 2014'!$C$2:$N$188,11,0)/1000,0)</f>
        <v>0</v>
      </c>
      <c r="X896" s="1">
        <f>+IFERROR(VLOOKUP(X11,'נתוני מים 2014'!$C$2:$N$188,11,0)/1000,0)</f>
        <v>0</v>
      </c>
      <c r="Y896" s="1">
        <f>+IFERROR(VLOOKUP(Y11,'נתוני מים 2014'!$C$2:$N$188,11,0)/1000,0)</f>
        <v>17.640999999999998</v>
      </c>
      <c r="Z896" s="1">
        <f>+IFERROR(VLOOKUP(Z11,'נתוני מים 2014'!$C$2:$N$188,11,0)/1000,0)</f>
        <v>0</v>
      </c>
      <c r="AA896" s="1">
        <f>+IFERROR(VLOOKUP(AA11,'נתוני מים 2014'!$C$2:$N$188,11,0)/1000,0)</f>
        <v>0</v>
      </c>
      <c r="AB896" s="1">
        <f>+IFERROR(VLOOKUP(AB11,'נתוני מים 2014'!$C$2:$N$188,11,0)/1000,0)</f>
        <v>0</v>
      </c>
      <c r="AC896" s="1">
        <f>+IFERROR(VLOOKUP(AC11,'נתוני מים 2014'!$C$2:$N$188,11,0)/1000,0)</f>
        <v>0</v>
      </c>
      <c r="AD896" s="1">
        <f>+IFERROR(VLOOKUP(AD11,'נתוני מים 2014'!$C$2:$N$188,11,0)/1000,0)</f>
        <v>0</v>
      </c>
      <c r="AE896" s="1">
        <f>+IFERROR(VLOOKUP(AE11,'נתוני מים 2014'!$C$2:$N$188,11,0)/1000,0)</f>
        <v>0</v>
      </c>
      <c r="AF896" s="1">
        <f>+IFERROR(VLOOKUP(AF11,'נתוני מים 2014'!$C$2:$N$188,11,0)/1000,0)</f>
        <v>0</v>
      </c>
      <c r="AG896" s="1">
        <f>+IFERROR(VLOOKUP(AG11,'נתוני מים 2014'!$C$2:$N$188,11,0)/1000,0)</f>
        <v>0</v>
      </c>
      <c r="AH896" s="1">
        <f>+IFERROR(VLOOKUP(AH11,'נתוני מים 2014'!$C$2:$N$188,11,0)/1000,0)</f>
        <v>0</v>
      </c>
      <c r="AI896" s="1">
        <f>+IFERROR(VLOOKUP(AI11,'נתוני מים 2014'!$C$2:$N$188,11,0)/1000,0)</f>
        <v>0</v>
      </c>
      <c r="AJ896" s="1">
        <f>+IFERROR(VLOOKUP(AJ11,'נתוני מים 2014'!$C$2:$N$188,11,0)/1000,0)</f>
        <v>0</v>
      </c>
      <c r="AK896" s="1">
        <f>+IFERROR(VLOOKUP(AK11,'נתוני מים 2014'!$C$2:$N$188,11,0)/1000,0)</f>
        <v>0</v>
      </c>
      <c r="AL896" s="1">
        <f>+IFERROR(VLOOKUP(AL11,'נתוני מים 2014'!$C$2:$N$188,11,0)/1000,0)</f>
        <v>0</v>
      </c>
      <c r="AM896" s="1">
        <f>+IFERROR(VLOOKUP(AM11,'נתוני מים 2014'!$C$2:$N$188,11,0)/1000,0)</f>
        <v>65.037999999999997</v>
      </c>
      <c r="AN896" s="1">
        <f>+IFERROR(VLOOKUP(AN11,'נתוני מים 2014'!$C$2:$N$188,11,0)/1000,0)</f>
        <v>0</v>
      </c>
      <c r="AO896" s="1">
        <f>+IFERROR(VLOOKUP(AO11,'נתוני מים 2014'!$C$2:$N$188,11,0)/1000,0)</f>
        <v>0</v>
      </c>
      <c r="AP896" s="1">
        <f>+IFERROR(VLOOKUP(AP11,'נתוני מים 2014'!$C$2:$N$188,11,0)/1000,0)</f>
        <v>0</v>
      </c>
      <c r="AQ896" s="1">
        <f>+IFERROR(VLOOKUP(AQ11,'נתוני מים 2014'!$C$2:$N$188,11,0)/1000,0)</f>
        <v>0</v>
      </c>
      <c r="AR896" s="1">
        <f>+IFERROR(VLOOKUP(AR11,'נתוני מים 2014'!$C$2:$N$188,11,0)/1000,0)</f>
        <v>0</v>
      </c>
      <c r="AS896" s="1">
        <f>+IFERROR(VLOOKUP(AS11,'נתוני מים 2014'!$C$2:$N$188,11,0)/1000,0)</f>
        <v>18.376999999999999</v>
      </c>
      <c r="AT896" s="1">
        <f>+IFERROR(VLOOKUP(AT11,'נתוני מים 2014'!$C$2:$N$188,11,0)/1000,0)</f>
        <v>0</v>
      </c>
      <c r="AU896" s="1">
        <f>+IFERROR(VLOOKUP(AU11,'נתוני מים 2014'!$C$2:$N$188,11,0)/1000,0)</f>
        <v>0</v>
      </c>
      <c r="AV896" s="1">
        <f>+IFERROR(VLOOKUP(AV11,'נתוני מים 2014'!$C$2:$N$188,11,0)/1000,0)</f>
        <v>0</v>
      </c>
      <c r="AW896" s="1">
        <f>+IFERROR(VLOOKUP(AW11,'נתוני מים 2014'!$C$2:$N$188,11,0)/1000,0)</f>
        <v>0</v>
      </c>
      <c r="AX896" s="1">
        <f>+IFERROR(VLOOKUP(AX11,'נתוני מים 2014'!$C$2:$N$188,11,0)/1000,0)</f>
        <v>3.6669999999999998</v>
      </c>
      <c r="AY896" s="1">
        <f>+IFERROR(VLOOKUP(AY11,'נתוני מים 2014'!$C$2:$N$188,11,0)/1000,0)</f>
        <v>0</v>
      </c>
      <c r="AZ896" s="1">
        <f>+IFERROR(VLOOKUP(AZ11,'נתוני מים 2014'!$C$2:$N$188,11,0)/1000,0)</f>
        <v>151.827</v>
      </c>
      <c r="BA896" s="1">
        <f>+IFERROR(VLOOKUP(BA11,'נתוני מים 2014'!$C$2:$N$188,11,0)/1000,0)</f>
        <v>81.819000000000003</v>
      </c>
      <c r="BB896" s="1">
        <f>+IFERROR(VLOOKUP(BB11,'נתוני מים 2014'!$C$2:$N$188,11,0)/1000,0)</f>
        <v>0</v>
      </c>
      <c r="BC896" s="1">
        <f>+IFERROR(VLOOKUP(BC11,'נתוני מים 2014'!$C$2:$N$188,11,0)/1000,0)</f>
        <v>0.33600000000000002</v>
      </c>
      <c r="BD896" s="1">
        <f>+IFERROR(VLOOKUP(BD11,'נתוני מים 2014'!$C$2:$N$188,11,0)/1000,0)</f>
        <v>0</v>
      </c>
      <c r="BE896" s="1">
        <f>+IFERROR(VLOOKUP(BE11,'נתוני מים 2014'!$C$2:$N$188,11,0)/1000,0)</f>
        <v>0</v>
      </c>
      <c r="BF896" s="1">
        <f>+IFERROR(VLOOKUP(BF11,'נתוני מים 2014'!$C$2:$N$188,11,0)/1000,0)</f>
        <v>0</v>
      </c>
    </row>
    <row r="897" spans="2:58" x14ac:dyDescent="0.2">
      <c r="B897" s="1">
        <v>5</v>
      </c>
      <c r="C897" s="1">
        <f>+IFERROR(VLOOKUP(C12,'נתוני מים 2014'!$C$2:$N$188,11,0)/1000,0)</f>
        <v>0</v>
      </c>
      <c r="D897" s="1">
        <f>+IFERROR(VLOOKUP(D12,'נתוני מים 2014'!$C$2:$N$188,11,0)/1000,0)</f>
        <v>19.536000000000001</v>
      </c>
      <c r="E897" s="1">
        <f>+IFERROR(VLOOKUP(E12,'נתוני מים 2014'!$C$2:$N$188,11,0)/1000,0)</f>
        <v>0</v>
      </c>
      <c r="F897" s="1">
        <f>+IFERROR(VLOOKUP(F12,'נתוני מים 2014'!$C$2:$N$188,11,0)/1000,0)</f>
        <v>0</v>
      </c>
      <c r="G897" s="1">
        <f>+IFERROR(VLOOKUP(G12,'נתוני מים 2014'!$C$2:$N$188,11,0)/1000,0)</f>
        <v>0</v>
      </c>
      <c r="H897" s="1">
        <f>+IFERROR(VLOOKUP(H12,'נתוני מים 2014'!$C$2:$N$188,11,0)/1000,0)</f>
        <v>0</v>
      </c>
      <c r="I897" s="1">
        <f>+IFERROR(VLOOKUP(I12,'נתוני מים 2014'!$C$2:$N$188,11,0)/1000,0)</f>
        <v>0</v>
      </c>
      <c r="J897" s="1">
        <f>+IFERROR(VLOOKUP(J12,'נתוני מים 2014'!$C$2:$N$188,11,0)/1000,0)</f>
        <v>0</v>
      </c>
      <c r="K897" s="1">
        <f>+IFERROR(VLOOKUP(K12,'נתוני מים 2014'!$C$2:$N$188,11,0)/1000,0)</f>
        <v>0</v>
      </c>
      <c r="L897" s="1">
        <f>+IFERROR(VLOOKUP(L12,'נתוני מים 2014'!$C$2:$N$188,11,0)/1000,0)</f>
        <v>0</v>
      </c>
      <c r="M897" s="1">
        <f>+IFERROR(VLOOKUP(M12,'נתוני מים 2014'!$C$2:$N$188,11,0)/1000,0)</f>
        <v>0</v>
      </c>
      <c r="N897" s="1">
        <f>+IFERROR(VLOOKUP(N12,'נתוני מים 2014'!$C$2:$N$188,11,0)/1000,0)</f>
        <v>0</v>
      </c>
      <c r="O897" s="1">
        <f>+IFERROR(VLOOKUP(O12,'נתוני מים 2014'!$C$2:$N$188,11,0)/1000,0)</f>
        <v>0</v>
      </c>
      <c r="P897" s="1">
        <f>+IFERROR(VLOOKUP(P12,'נתוני מים 2014'!$C$2:$N$188,11,0)/1000,0)</f>
        <v>3.8860000000000001</v>
      </c>
      <c r="Q897" s="1">
        <f>+IFERROR(VLOOKUP(Q12,'נתוני מים 2014'!$C$2:$N$188,11,0)/1000,0)</f>
        <v>0</v>
      </c>
      <c r="R897" s="1">
        <f>+IFERROR(VLOOKUP(R12,'נתוני מים 2014'!$C$2:$N$188,11,0)/1000,0)</f>
        <v>0</v>
      </c>
      <c r="S897" s="1">
        <f>+IFERROR(VLOOKUP(S12,'נתוני מים 2014'!$C$2:$N$188,11,0)/1000,0)</f>
        <v>0</v>
      </c>
      <c r="T897" s="1">
        <f>+IFERROR(VLOOKUP(T12,'נתוני מים 2014'!$C$2:$N$188,11,0)/1000,0)</f>
        <v>0</v>
      </c>
      <c r="U897" s="1">
        <f>+IFERROR(VLOOKUP(U12,'נתוני מים 2014'!$C$2:$N$188,11,0)/1000,0)</f>
        <v>0</v>
      </c>
      <c r="V897" s="1">
        <f>+IFERROR(VLOOKUP(V12,'נתוני מים 2014'!$C$2:$N$188,11,0)/1000,0)</f>
        <v>0.13800000000000001</v>
      </c>
      <c r="W897" s="1">
        <f>+IFERROR(VLOOKUP(W12,'נתוני מים 2014'!$C$2:$N$188,11,0)/1000,0)</f>
        <v>1.4999999999999999E-2</v>
      </c>
      <c r="X897" s="1">
        <f>+IFERROR(VLOOKUP(X12,'נתוני מים 2014'!$C$2:$N$188,11,0)/1000,0)</f>
        <v>51.088000000000001</v>
      </c>
      <c r="Y897" s="1">
        <f>+IFERROR(VLOOKUP(Y12,'נתוני מים 2014'!$C$2:$N$188,11,0)/1000,0)</f>
        <v>0</v>
      </c>
      <c r="Z897" s="1">
        <f>+IFERROR(VLOOKUP(Z12,'נתוני מים 2014'!$C$2:$N$188,11,0)/1000,0)</f>
        <v>0</v>
      </c>
      <c r="AA897" s="1">
        <f>+IFERROR(VLOOKUP(AA12,'נתוני מים 2014'!$C$2:$N$188,11,0)/1000,0)</f>
        <v>0</v>
      </c>
      <c r="AB897" s="1">
        <f>+IFERROR(VLOOKUP(AB12,'נתוני מים 2014'!$C$2:$N$188,11,0)/1000,0)</f>
        <v>0</v>
      </c>
      <c r="AC897" s="1">
        <f>+IFERROR(VLOOKUP(AC12,'נתוני מים 2014'!$C$2:$N$188,11,0)/1000,0)</f>
        <v>0</v>
      </c>
      <c r="AD897" s="1">
        <f>+IFERROR(VLOOKUP(AD12,'נתוני מים 2014'!$C$2:$N$188,11,0)/1000,0)</f>
        <v>0</v>
      </c>
      <c r="AE897" s="1">
        <f>+IFERROR(VLOOKUP(AE12,'נתוני מים 2014'!$C$2:$N$188,11,0)/1000,0)</f>
        <v>0</v>
      </c>
      <c r="AF897" s="1">
        <f>+IFERROR(VLOOKUP(AF12,'נתוני מים 2014'!$C$2:$N$188,11,0)/1000,0)</f>
        <v>0</v>
      </c>
      <c r="AG897" s="1">
        <f>+IFERROR(VLOOKUP(AG12,'נתוני מים 2014'!$C$2:$N$188,11,0)/1000,0)</f>
        <v>0</v>
      </c>
      <c r="AH897" s="1">
        <f>+IFERROR(VLOOKUP(AH12,'נתוני מים 2014'!$C$2:$N$188,11,0)/1000,0)</f>
        <v>0</v>
      </c>
      <c r="AI897" s="1">
        <f>+IFERROR(VLOOKUP(AI12,'נתוני מים 2014'!$C$2:$N$188,11,0)/1000,0)</f>
        <v>0</v>
      </c>
      <c r="AJ897" s="1">
        <f>+IFERROR(VLOOKUP(AJ12,'נתוני מים 2014'!$C$2:$N$188,11,0)/1000,0)</f>
        <v>0</v>
      </c>
      <c r="AK897" s="1">
        <f>+IFERROR(VLOOKUP(AK12,'נתוני מים 2014'!$C$2:$N$188,11,0)/1000,0)</f>
        <v>0</v>
      </c>
      <c r="AL897" s="1">
        <f>+IFERROR(VLOOKUP(AL12,'נתוני מים 2014'!$C$2:$N$188,11,0)/1000,0)</f>
        <v>0</v>
      </c>
      <c r="AM897" s="1">
        <f>+IFERROR(VLOOKUP(AM12,'נתוני מים 2014'!$C$2:$N$188,11,0)/1000,0)</f>
        <v>56.579000000000001</v>
      </c>
      <c r="AN897" s="1">
        <f>+IFERROR(VLOOKUP(AN12,'נתוני מים 2014'!$C$2:$N$188,11,0)/1000,0)</f>
        <v>12.247</v>
      </c>
      <c r="AO897" s="1">
        <f>+IFERROR(VLOOKUP(AO12,'נתוני מים 2014'!$C$2:$N$188,11,0)/1000,0)</f>
        <v>0</v>
      </c>
      <c r="AP897" s="1">
        <f>+IFERROR(VLOOKUP(AP12,'נתוני מים 2014'!$C$2:$N$188,11,0)/1000,0)</f>
        <v>0</v>
      </c>
      <c r="AQ897" s="1">
        <f>+IFERROR(VLOOKUP(AQ12,'נתוני מים 2014'!$C$2:$N$188,11,0)/1000,0)</f>
        <v>0</v>
      </c>
      <c r="AR897" s="1">
        <f>+IFERROR(VLOOKUP(AR12,'נתוני מים 2014'!$C$2:$N$188,11,0)/1000,0)</f>
        <v>0</v>
      </c>
      <c r="AS897" s="1">
        <f>+IFERROR(VLOOKUP(AS12,'נתוני מים 2014'!$C$2:$N$188,11,0)/1000,0)</f>
        <v>5.2430000000000003</v>
      </c>
      <c r="AT897" s="1">
        <f>+IFERROR(VLOOKUP(AT12,'נתוני מים 2014'!$C$2:$N$188,11,0)/1000,0)</f>
        <v>0</v>
      </c>
      <c r="AU897" s="1">
        <f>+IFERROR(VLOOKUP(AU12,'נתוני מים 2014'!$C$2:$N$188,11,0)/1000,0)</f>
        <v>0</v>
      </c>
      <c r="AV897" s="1">
        <f>+IFERROR(VLOOKUP(AV12,'נתוני מים 2014'!$C$2:$N$188,11,0)/1000,0)</f>
        <v>0</v>
      </c>
      <c r="AW897" s="1">
        <f>+IFERROR(VLOOKUP(AW12,'נתוני מים 2014'!$C$2:$N$188,11,0)/1000,0)</f>
        <v>0</v>
      </c>
      <c r="AX897" s="1">
        <f>+IFERROR(VLOOKUP(AX12,'נתוני מים 2014'!$C$2:$N$188,11,0)/1000,0)</f>
        <v>0</v>
      </c>
      <c r="AY897" s="1">
        <f>+IFERROR(VLOOKUP(AY12,'נתוני מים 2014'!$C$2:$N$188,11,0)/1000,0)</f>
        <v>0</v>
      </c>
      <c r="AZ897" s="1">
        <f>+IFERROR(VLOOKUP(AZ12,'נתוני מים 2014'!$C$2:$N$188,11,0)/1000,0)</f>
        <v>0</v>
      </c>
      <c r="BA897" s="1">
        <f>+IFERROR(VLOOKUP(BA12,'נתוני מים 2014'!$C$2:$N$188,11,0)/1000,0)</f>
        <v>0</v>
      </c>
      <c r="BB897" s="1">
        <f>+IFERROR(VLOOKUP(BB12,'נתוני מים 2014'!$C$2:$N$188,11,0)/1000,0)</f>
        <v>1.1719999999999999</v>
      </c>
      <c r="BC897" s="1">
        <f>+IFERROR(VLOOKUP(BC12,'נתוני מים 2014'!$C$2:$N$188,11,0)/1000,0)</f>
        <v>0.54400000000000004</v>
      </c>
      <c r="BD897" s="1">
        <f>+IFERROR(VLOOKUP(BD12,'נתוני מים 2014'!$C$2:$N$188,11,0)/1000,0)</f>
        <v>0</v>
      </c>
      <c r="BE897" s="1">
        <f>+IFERROR(VLOOKUP(BE12,'נתוני מים 2014'!$C$2:$N$188,11,0)/1000,0)</f>
        <v>0</v>
      </c>
      <c r="BF897" s="1">
        <f>+IFERROR(VLOOKUP(BF12,'נתוני מים 2014'!$C$2:$N$188,11,0)/1000,0)</f>
        <v>0</v>
      </c>
    </row>
    <row r="898" spans="2:58" x14ac:dyDescent="0.2">
      <c r="B898" s="1">
        <v>6</v>
      </c>
      <c r="C898" s="1">
        <f>+IFERROR(VLOOKUP(C13,'נתוני מים 2014'!$C$2:$N$188,11,0)/1000,0)</f>
        <v>0</v>
      </c>
      <c r="D898" s="1">
        <f>+IFERROR(VLOOKUP(D13,'נתוני מים 2014'!$C$2:$N$188,11,0)/1000,0)</f>
        <v>0.61899999999999999</v>
      </c>
      <c r="E898" s="1">
        <f>+IFERROR(VLOOKUP(E13,'נתוני מים 2014'!$C$2:$N$188,11,0)/1000,0)</f>
        <v>0</v>
      </c>
      <c r="F898" s="1">
        <f>+IFERROR(VLOOKUP(F13,'נתוני מים 2014'!$C$2:$N$188,11,0)/1000,0)</f>
        <v>0</v>
      </c>
      <c r="G898" s="1">
        <f>+IFERROR(VLOOKUP(G13,'נתוני מים 2014'!$C$2:$N$188,11,0)/1000,0)</f>
        <v>0</v>
      </c>
      <c r="H898" s="1">
        <f>+IFERROR(VLOOKUP(H13,'נתוני מים 2014'!$C$2:$N$188,11,0)/1000,0)</f>
        <v>0</v>
      </c>
      <c r="I898" s="1">
        <f>+IFERROR(VLOOKUP(I13,'נתוני מים 2014'!$C$2:$N$188,11,0)/1000,0)</f>
        <v>0</v>
      </c>
      <c r="J898" s="1">
        <f>+IFERROR(VLOOKUP(J13,'נתוני מים 2014'!$C$2:$N$188,11,0)/1000,0)</f>
        <v>0</v>
      </c>
      <c r="K898" s="1">
        <f>+IFERROR(VLOOKUP(K13,'נתוני מים 2014'!$C$2:$N$188,11,0)/1000,0)</f>
        <v>0</v>
      </c>
      <c r="L898" s="1">
        <f>+IFERROR(VLOOKUP(L13,'נתוני מים 2014'!$C$2:$N$188,11,0)/1000,0)</f>
        <v>0</v>
      </c>
      <c r="M898" s="1">
        <f>+IFERROR(VLOOKUP(M13,'נתוני מים 2014'!$C$2:$N$188,11,0)/1000,0)</f>
        <v>0</v>
      </c>
      <c r="N898" s="1">
        <f>+IFERROR(VLOOKUP(N13,'נתוני מים 2014'!$C$2:$N$188,11,0)/1000,0)</f>
        <v>0</v>
      </c>
      <c r="O898" s="1">
        <f>+IFERROR(VLOOKUP(O13,'נתוני מים 2014'!$C$2:$N$188,11,0)/1000,0)</f>
        <v>0</v>
      </c>
      <c r="P898" s="1">
        <f>+IFERROR(VLOOKUP(P13,'נתוני מים 2014'!$C$2:$N$188,11,0)/1000,0)</f>
        <v>0.02</v>
      </c>
      <c r="Q898" s="1">
        <f>+IFERROR(VLOOKUP(Q13,'נתוני מים 2014'!$C$2:$N$188,11,0)/1000,0)</f>
        <v>0</v>
      </c>
      <c r="R898" s="1">
        <f>+IFERROR(VLOOKUP(R13,'נתוני מים 2014'!$C$2:$N$188,11,0)/1000,0)</f>
        <v>0</v>
      </c>
      <c r="S898" s="1">
        <f>+IFERROR(VLOOKUP(S13,'נתוני מים 2014'!$C$2:$N$188,11,0)/1000,0)</f>
        <v>0</v>
      </c>
      <c r="T898" s="1">
        <f>+IFERROR(VLOOKUP(T13,'נתוני מים 2014'!$C$2:$N$188,11,0)/1000,0)</f>
        <v>0</v>
      </c>
      <c r="U898" s="1">
        <f>+IFERROR(VLOOKUP(U13,'נתוני מים 2014'!$C$2:$N$188,11,0)/1000,0)</f>
        <v>0</v>
      </c>
      <c r="V898" s="1">
        <f>+IFERROR(VLOOKUP(V13,'נתוני מים 2014'!$C$2:$N$188,11,0)/1000,0)</f>
        <v>0</v>
      </c>
      <c r="W898" s="1">
        <f>+IFERROR(VLOOKUP(W13,'נתוני מים 2014'!$C$2:$N$188,11,0)/1000,0)</f>
        <v>5.524</v>
      </c>
      <c r="X898" s="1">
        <f>+IFERROR(VLOOKUP(X13,'נתוני מים 2014'!$C$2:$N$188,11,0)/1000,0)</f>
        <v>0</v>
      </c>
      <c r="Y898" s="1">
        <f>+IFERROR(VLOOKUP(Y13,'נתוני מים 2014'!$C$2:$N$188,11,0)/1000,0)</f>
        <v>0</v>
      </c>
      <c r="Z898" s="1">
        <f>+IFERROR(VLOOKUP(Z13,'נתוני מים 2014'!$C$2:$N$188,11,0)/1000,0)</f>
        <v>0</v>
      </c>
      <c r="AA898" s="1">
        <f>+IFERROR(VLOOKUP(AA13,'נתוני מים 2014'!$C$2:$N$188,11,0)/1000,0)</f>
        <v>0</v>
      </c>
      <c r="AB898" s="1">
        <f>+IFERROR(VLOOKUP(AB13,'נתוני מים 2014'!$C$2:$N$188,11,0)/1000,0)</f>
        <v>0</v>
      </c>
      <c r="AC898" s="1">
        <f>+IFERROR(VLOOKUP(AC13,'נתוני מים 2014'!$C$2:$N$188,11,0)/1000,0)</f>
        <v>0</v>
      </c>
      <c r="AD898" s="1">
        <f>+IFERROR(VLOOKUP(AD13,'נתוני מים 2014'!$C$2:$N$188,11,0)/1000,0)</f>
        <v>0</v>
      </c>
      <c r="AE898" s="1">
        <f>+IFERROR(VLOOKUP(AE13,'נתוני מים 2014'!$C$2:$N$188,11,0)/1000,0)</f>
        <v>0</v>
      </c>
      <c r="AF898" s="1">
        <f>+IFERROR(VLOOKUP(AF13,'נתוני מים 2014'!$C$2:$N$188,11,0)/1000,0)</f>
        <v>0</v>
      </c>
      <c r="AG898" s="1">
        <f>+IFERROR(VLOOKUP(AG13,'נתוני מים 2014'!$C$2:$N$188,11,0)/1000,0)</f>
        <v>0</v>
      </c>
      <c r="AH898" s="1">
        <f>+IFERROR(VLOOKUP(AH13,'נתוני מים 2014'!$C$2:$N$188,11,0)/1000,0)</f>
        <v>0</v>
      </c>
      <c r="AI898" s="1">
        <f>+IFERROR(VLOOKUP(AI13,'נתוני מים 2014'!$C$2:$N$188,11,0)/1000,0)</f>
        <v>0</v>
      </c>
      <c r="AJ898" s="1">
        <f>+IFERROR(VLOOKUP(AJ13,'נתוני מים 2014'!$C$2:$N$188,11,0)/1000,0)</f>
        <v>0</v>
      </c>
      <c r="AK898" s="1">
        <f>+IFERROR(VLOOKUP(AK13,'נתוני מים 2014'!$C$2:$N$188,11,0)/1000,0)</f>
        <v>0</v>
      </c>
      <c r="AL898" s="1">
        <f>+IFERROR(VLOOKUP(AL13,'נתוני מים 2014'!$C$2:$N$188,11,0)/1000,0)</f>
        <v>0</v>
      </c>
      <c r="AM898" s="1">
        <f>+IFERROR(VLOOKUP(AM13,'נתוני מים 2014'!$C$2:$N$188,11,0)/1000,0)</f>
        <v>0</v>
      </c>
      <c r="AN898" s="1">
        <f>+IFERROR(VLOOKUP(AN13,'נתוני מים 2014'!$C$2:$N$188,11,0)/1000,0)</f>
        <v>2.7690000000000001</v>
      </c>
      <c r="AO898" s="1">
        <f>+IFERROR(VLOOKUP(AO13,'נתוני מים 2014'!$C$2:$N$188,11,0)/1000,0)</f>
        <v>0</v>
      </c>
      <c r="AP898" s="1">
        <f>+IFERROR(VLOOKUP(AP13,'נתוני מים 2014'!$C$2:$N$188,11,0)/1000,0)</f>
        <v>0</v>
      </c>
      <c r="AQ898" s="1">
        <f>+IFERROR(VLOOKUP(AQ13,'נתוני מים 2014'!$C$2:$N$188,11,0)/1000,0)</f>
        <v>0</v>
      </c>
      <c r="AR898" s="1">
        <f>+IFERROR(VLOOKUP(AR13,'נתוני מים 2014'!$C$2:$N$188,11,0)/1000,0)</f>
        <v>0</v>
      </c>
      <c r="AS898" s="1">
        <f>+IFERROR(VLOOKUP(AS13,'נתוני מים 2014'!$C$2:$N$188,11,0)/1000,0)</f>
        <v>10.022</v>
      </c>
      <c r="AT898" s="1">
        <f>+IFERROR(VLOOKUP(AT13,'נתוני מים 2014'!$C$2:$N$188,11,0)/1000,0)</f>
        <v>0</v>
      </c>
      <c r="AU898" s="1">
        <f>+IFERROR(VLOOKUP(AU13,'נתוני מים 2014'!$C$2:$N$188,11,0)/1000,0)</f>
        <v>0</v>
      </c>
      <c r="AV898" s="1">
        <f>+IFERROR(VLOOKUP(AV13,'נתוני מים 2014'!$C$2:$N$188,11,0)/1000,0)</f>
        <v>0</v>
      </c>
      <c r="AW898" s="1">
        <f>+IFERROR(VLOOKUP(AW13,'נתוני מים 2014'!$C$2:$N$188,11,0)/1000,0)</f>
        <v>0</v>
      </c>
      <c r="AX898" s="1">
        <f>+IFERROR(VLOOKUP(AX13,'נתוני מים 2014'!$C$2:$N$188,11,0)/1000,0)</f>
        <v>0</v>
      </c>
      <c r="AY898" s="1">
        <f>+IFERROR(VLOOKUP(AY13,'נתוני מים 2014'!$C$2:$N$188,11,0)/1000,0)</f>
        <v>0</v>
      </c>
      <c r="AZ898" s="1">
        <f>+IFERROR(VLOOKUP(AZ13,'נתוני מים 2014'!$C$2:$N$188,11,0)/1000,0)</f>
        <v>0</v>
      </c>
      <c r="BA898" s="1">
        <f>+IFERROR(VLOOKUP(BA13,'נתוני מים 2014'!$C$2:$N$188,11,0)/1000,0)</f>
        <v>0</v>
      </c>
      <c r="BB898" s="1">
        <f>+IFERROR(VLOOKUP(BB13,'נתוני מים 2014'!$C$2:$N$188,11,0)/1000,0)</f>
        <v>0</v>
      </c>
      <c r="BC898" s="1">
        <f>+IFERROR(VLOOKUP(BC13,'נתוני מים 2014'!$C$2:$N$188,11,0)/1000,0)</f>
        <v>0</v>
      </c>
      <c r="BD898" s="1">
        <f>+IFERROR(VLOOKUP(BD13,'נתוני מים 2014'!$C$2:$N$188,11,0)/1000,0)</f>
        <v>0</v>
      </c>
      <c r="BE898" s="1">
        <f>+IFERROR(VLOOKUP(BE13,'נתוני מים 2014'!$C$2:$N$188,11,0)/1000,0)</f>
        <v>0</v>
      </c>
      <c r="BF898" s="1">
        <f>+IFERROR(VLOOKUP(BF13,'נתוני מים 2014'!$C$2:$N$188,11,0)/1000,0)</f>
        <v>0</v>
      </c>
    </row>
    <row r="899" spans="2:58" x14ac:dyDescent="0.2">
      <c r="B899" s="1">
        <v>7</v>
      </c>
      <c r="C899" s="1">
        <f>+IFERROR(VLOOKUP(C14,'נתוני מים 2014'!$C$2:$N$188,11,0)/1000,0)</f>
        <v>0</v>
      </c>
      <c r="D899" s="1">
        <f>+IFERROR(VLOOKUP(D14,'נתוני מים 2014'!$C$2:$N$188,11,0)/1000,0)</f>
        <v>21.3</v>
      </c>
      <c r="E899" s="1">
        <f>+IFERROR(VLOOKUP(E14,'נתוני מים 2014'!$C$2:$N$188,11,0)/1000,0)</f>
        <v>0</v>
      </c>
      <c r="F899" s="1">
        <f>+IFERROR(VLOOKUP(F14,'נתוני מים 2014'!$C$2:$N$188,11,0)/1000,0)</f>
        <v>0</v>
      </c>
      <c r="G899" s="1">
        <f>+IFERROR(VLOOKUP(G14,'נתוני מים 2014'!$C$2:$N$188,11,0)/1000,0)</f>
        <v>0</v>
      </c>
      <c r="H899" s="1">
        <f>+IFERROR(VLOOKUP(H14,'נתוני מים 2014'!$C$2:$N$188,11,0)/1000,0)</f>
        <v>0</v>
      </c>
      <c r="I899" s="1">
        <f>+IFERROR(VLOOKUP(I14,'נתוני מים 2014'!$C$2:$N$188,11,0)/1000,0)</f>
        <v>0</v>
      </c>
      <c r="J899" s="1">
        <f>+IFERROR(VLOOKUP(J14,'נתוני מים 2014'!$C$2:$N$188,11,0)/1000,0)</f>
        <v>0</v>
      </c>
      <c r="K899" s="1">
        <f>+IFERROR(VLOOKUP(K14,'נתוני מים 2014'!$C$2:$N$188,11,0)/1000,0)</f>
        <v>0</v>
      </c>
      <c r="L899" s="1">
        <f>+IFERROR(VLOOKUP(L14,'נתוני מים 2014'!$C$2:$N$188,11,0)/1000,0)</f>
        <v>0</v>
      </c>
      <c r="M899" s="1">
        <f>+IFERROR(VLOOKUP(M14,'נתוני מים 2014'!$C$2:$N$188,11,0)/1000,0)</f>
        <v>0</v>
      </c>
      <c r="N899" s="1">
        <f>+IFERROR(VLOOKUP(N14,'נתוני מים 2014'!$C$2:$N$188,11,0)/1000,0)</f>
        <v>0</v>
      </c>
      <c r="O899" s="1">
        <f>+IFERROR(VLOOKUP(O14,'נתוני מים 2014'!$C$2:$N$188,11,0)/1000,0)</f>
        <v>0</v>
      </c>
      <c r="P899" s="1">
        <f>+IFERROR(VLOOKUP(P14,'נתוני מים 2014'!$C$2:$N$188,11,0)/1000,0)</f>
        <v>0</v>
      </c>
      <c r="Q899" s="1">
        <f>+IFERROR(VLOOKUP(Q14,'נתוני מים 2014'!$C$2:$N$188,11,0)/1000,0)</f>
        <v>0</v>
      </c>
      <c r="R899" s="1">
        <f>+IFERROR(VLOOKUP(R14,'נתוני מים 2014'!$C$2:$N$188,11,0)/1000,0)</f>
        <v>0</v>
      </c>
      <c r="S899" s="1">
        <f>+IFERROR(VLOOKUP(S14,'נתוני מים 2014'!$C$2:$N$188,11,0)/1000,0)</f>
        <v>0</v>
      </c>
      <c r="T899" s="1">
        <f>+IFERROR(VLOOKUP(T14,'נתוני מים 2014'!$C$2:$N$188,11,0)/1000,0)</f>
        <v>0</v>
      </c>
      <c r="U899" s="1">
        <f>+IFERROR(VLOOKUP(U14,'נתוני מים 2014'!$C$2:$N$188,11,0)/1000,0)</f>
        <v>0</v>
      </c>
      <c r="V899" s="1">
        <f>+IFERROR(VLOOKUP(V14,'נתוני מים 2014'!$C$2:$N$188,11,0)/1000,0)</f>
        <v>4.8129999999999997</v>
      </c>
      <c r="W899" s="1">
        <f>+IFERROR(VLOOKUP(W14,'נתוני מים 2014'!$C$2:$N$188,11,0)/1000,0)</f>
        <v>46.917000000000002</v>
      </c>
      <c r="X899" s="1">
        <f>+IFERROR(VLOOKUP(X14,'נתוני מים 2014'!$C$2:$N$188,11,0)/1000,0)</f>
        <v>0</v>
      </c>
      <c r="Y899" s="1">
        <f>+IFERROR(VLOOKUP(Y14,'נתוני מים 2014'!$C$2:$N$188,11,0)/1000,0)</f>
        <v>0</v>
      </c>
      <c r="Z899" s="1">
        <f>+IFERROR(VLOOKUP(Z14,'נתוני מים 2014'!$C$2:$N$188,11,0)/1000,0)</f>
        <v>0</v>
      </c>
      <c r="AA899" s="1">
        <f>+IFERROR(VLOOKUP(AA14,'נתוני מים 2014'!$C$2:$N$188,11,0)/1000,0)</f>
        <v>0</v>
      </c>
      <c r="AB899" s="1">
        <f>+IFERROR(VLOOKUP(AB14,'נתוני מים 2014'!$C$2:$N$188,11,0)/1000,0)</f>
        <v>0</v>
      </c>
      <c r="AC899" s="1">
        <f>+IFERROR(VLOOKUP(AC14,'נתוני מים 2014'!$C$2:$N$188,11,0)/1000,0)</f>
        <v>0</v>
      </c>
      <c r="AD899" s="1">
        <f>+IFERROR(VLOOKUP(AD14,'נתוני מים 2014'!$C$2:$N$188,11,0)/1000,0)</f>
        <v>0</v>
      </c>
      <c r="AE899" s="1">
        <f>+IFERROR(VLOOKUP(AE14,'נתוני מים 2014'!$C$2:$N$188,11,0)/1000,0)</f>
        <v>0</v>
      </c>
      <c r="AF899" s="1">
        <f>+IFERROR(VLOOKUP(AF14,'נתוני מים 2014'!$C$2:$N$188,11,0)/1000,0)</f>
        <v>0</v>
      </c>
      <c r="AG899" s="1">
        <f>+IFERROR(VLOOKUP(AG14,'נתוני מים 2014'!$C$2:$N$188,11,0)/1000,0)</f>
        <v>0</v>
      </c>
      <c r="AH899" s="1">
        <f>+IFERROR(VLOOKUP(AH14,'נתוני מים 2014'!$C$2:$N$188,11,0)/1000,0)</f>
        <v>0</v>
      </c>
      <c r="AI899" s="1">
        <f>+IFERROR(VLOOKUP(AI14,'נתוני מים 2014'!$C$2:$N$188,11,0)/1000,0)</f>
        <v>0</v>
      </c>
      <c r="AJ899" s="1">
        <f>+IFERROR(VLOOKUP(AJ14,'נתוני מים 2014'!$C$2:$N$188,11,0)/1000,0)</f>
        <v>0</v>
      </c>
      <c r="AK899" s="1">
        <f>+IFERROR(VLOOKUP(AK14,'נתוני מים 2014'!$C$2:$N$188,11,0)/1000,0)</f>
        <v>0</v>
      </c>
      <c r="AL899" s="1">
        <f>+IFERROR(VLOOKUP(AL14,'נתוני מים 2014'!$C$2:$N$188,11,0)/1000,0)</f>
        <v>0</v>
      </c>
      <c r="AM899" s="1">
        <f>+IFERROR(VLOOKUP(AM14,'נתוני מים 2014'!$C$2:$N$188,11,0)/1000,0)</f>
        <v>0</v>
      </c>
      <c r="AN899" s="1">
        <f>+IFERROR(VLOOKUP(AN14,'נתוני מים 2014'!$C$2:$N$188,11,0)/1000,0)</f>
        <v>0</v>
      </c>
      <c r="AO899" s="1">
        <f>+IFERROR(VLOOKUP(AO14,'נתוני מים 2014'!$C$2:$N$188,11,0)/1000,0)</f>
        <v>0</v>
      </c>
      <c r="AP899" s="1">
        <f>+IFERROR(VLOOKUP(AP14,'נתוני מים 2014'!$C$2:$N$188,11,0)/1000,0)</f>
        <v>0</v>
      </c>
      <c r="AQ899" s="1">
        <f>+IFERROR(VLOOKUP(AQ14,'נתוני מים 2014'!$C$2:$N$188,11,0)/1000,0)</f>
        <v>0</v>
      </c>
      <c r="AR899" s="1">
        <f>+IFERROR(VLOOKUP(AR14,'נתוני מים 2014'!$C$2:$N$188,11,0)/1000,0)</f>
        <v>0</v>
      </c>
      <c r="AS899" s="1">
        <f>+IFERROR(VLOOKUP(AS14,'נתוני מים 2014'!$C$2:$N$188,11,0)/1000,0)</f>
        <v>5.1970000000000001</v>
      </c>
      <c r="AT899" s="1">
        <f>+IFERROR(VLOOKUP(AT14,'נתוני מים 2014'!$C$2:$N$188,11,0)/1000,0)</f>
        <v>0</v>
      </c>
      <c r="AU899" s="1">
        <f>+IFERROR(VLOOKUP(AU14,'נתוני מים 2014'!$C$2:$N$188,11,0)/1000,0)</f>
        <v>0</v>
      </c>
      <c r="AV899" s="1">
        <f>+IFERROR(VLOOKUP(AV14,'נתוני מים 2014'!$C$2:$N$188,11,0)/1000,0)</f>
        <v>0</v>
      </c>
      <c r="AW899" s="1">
        <f>+IFERROR(VLOOKUP(AW14,'נתוני מים 2014'!$C$2:$N$188,11,0)/1000,0)</f>
        <v>0</v>
      </c>
      <c r="AX899" s="1">
        <f>+IFERROR(VLOOKUP(AX14,'נתוני מים 2014'!$C$2:$N$188,11,0)/1000,0)</f>
        <v>0</v>
      </c>
      <c r="AY899" s="1">
        <f>+IFERROR(VLOOKUP(AY14,'נתוני מים 2014'!$C$2:$N$188,11,0)/1000,0)</f>
        <v>0</v>
      </c>
      <c r="AZ899" s="1">
        <f>+IFERROR(VLOOKUP(AZ14,'נתוני מים 2014'!$C$2:$N$188,11,0)/1000,0)</f>
        <v>0</v>
      </c>
      <c r="BA899" s="1">
        <f>+IFERROR(VLOOKUP(BA14,'נתוני מים 2014'!$C$2:$N$188,11,0)/1000,0)</f>
        <v>0</v>
      </c>
      <c r="BB899" s="1">
        <f>+IFERROR(VLOOKUP(BB14,'נתוני מים 2014'!$C$2:$N$188,11,0)/1000,0)</f>
        <v>1.0529999999999999</v>
      </c>
      <c r="BC899" s="1">
        <f>+IFERROR(VLOOKUP(BC14,'נתוני מים 2014'!$C$2:$N$188,11,0)/1000,0)</f>
        <v>0</v>
      </c>
      <c r="BD899" s="1">
        <f>+IFERROR(VLOOKUP(BD14,'נתוני מים 2014'!$C$2:$N$188,11,0)/1000,0)</f>
        <v>0</v>
      </c>
      <c r="BE899" s="1">
        <f>+IFERROR(VLOOKUP(BE14,'נתוני מים 2014'!$C$2:$N$188,11,0)/1000,0)</f>
        <v>0</v>
      </c>
      <c r="BF899" s="1">
        <f>+IFERROR(VLOOKUP(BF14,'נתוני מים 2014'!$C$2:$N$188,11,0)/1000,0)</f>
        <v>0</v>
      </c>
    </row>
    <row r="900" spans="2:58" x14ac:dyDescent="0.2">
      <c r="B900" s="1">
        <v>8</v>
      </c>
      <c r="C900" s="1">
        <f>+IFERROR(VLOOKUP(C15,'נתוני מים 2014'!$C$2:$N$188,11,0)/1000,0)</f>
        <v>0</v>
      </c>
      <c r="D900" s="1">
        <f>+IFERROR(VLOOKUP(D15,'נתוני מים 2014'!$C$2:$N$188,11,0)/1000,0)</f>
        <v>0</v>
      </c>
      <c r="E900" s="1">
        <f>+IFERROR(VLOOKUP(E15,'נתוני מים 2014'!$C$2:$N$188,11,0)/1000,0)</f>
        <v>0</v>
      </c>
      <c r="F900" s="1">
        <f>+IFERROR(VLOOKUP(F15,'נתוני מים 2014'!$C$2:$N$188,11,0)/1000,0)</f>
        <v>0</v>
      </c>
      <c r="G900" s="1">
        <f>+IFERROR(VLOOKUP(G15,'נתוני מים 2014'!$C$2:$N$188,11,0)/1000,0)</f>
        <v>0</v>
      </c>
      <c r="H900" s="1">
        <f>+IFERROR(VLOOKUP(H15,'נתוני מים 2014'!$C$2:$N$188,11,0)/1000,0)</f>
        <v>0</v>
      </c>
      <c r="I900" s="1">
        <f>+IFERROR(VLOOKUP(I15,'נתוני מים 2014'!$C$2:$N$188,11,0)/1000,0)</f>
        <v>0</v>
      </c>
      <c r="J900" s="1">
        <f>+IFERROR(VLOOKUP(J15,'נתוני מים 2014'!$C$2:$N$188,11,0)/1000,0)</f>
        <v>0</v>
      </c>
      <c r="K900" s="1">
        <f>+IFERROR(VLOOKUP(K15,'נתוני מים 2014'!$C$2:$N$188,11,0)/1000,0)</f>
        <v>0</v>
      </c>
      <c r="L900" s="1">
        <f>+IFERROR(VLOOKUP(L15,'נתוני מים 2014'!$C$2:$N$188,11,0)/1000,0)</f>
        <v>0</v>
      </c>
      <c r="M900" s="1">
        <f>+IFERROR(VLOOKUP(M15,'נתוני מים 2014'!$C$2:$N$188,11,0)/1000,0)</f>
        <v>0</v>
      </c>
      <c r="N900" s="1">
        <f>+IFERROR(VLOOKUP(N15,'נתוני מים 2014'!$C$2:$N$188,11,0)/1000,0)</f>
        <v>0</v>
      </c>
      <c r="O900" s="1">
        <f>+IFERROR(VLOOKUP(O15,'נתוני מים 2014'!$C$2:$N$188,11,0)/1000,0)</f>
        <v>0</v>
      </c>
      <c r="P900" s="1">
        <f>+IFERROR(VLOOKUP(P15,'נתוני מים 2014'!$C$2:$N$188,11,0)/1000,0)</f>
        <v>6.1950000000000003</v>
      </c>
      <c r="Q900" s="1">
        <f>+IFERROR(VLOOKUP(Q15,'נתוני מים 2014'!$C$2:$N$188,11,0)/1000,0)</f>
        <v>0</v>
      </c>
      <c r="R900" s="1">
        <f>+IFERROR(VLOOKUP(R15,'נתוני מים 2014'!$C$2:$N$188,11,0)/1000,0)</f>
        <v>0</v>
      </c>
      <c r="S900" s="1">
        <f>+IFERROR(VLOOKUP(S15,'נתוני מים 2014'!$C$2:$N$188,11,0)/1000,0)</f>
        <v>0</v>
      </c>
      <c r="T900" s="1">
        <f>+IFERROR(VLOOKUP(T15,'נתוני מים 2014'!$C$2:$N$188,11,0)/1000,0)</f>
        <v>0</v>
      </c>
      <c r="U900" s="1">
        <f>+IFERROR(VLOOKUP(U15,'נתוני מים 2014'!$C$2:$N$188,11,0)/1000,0)</f>
        <v>0</v>
      </c>
      <c r="V900" s="1">
        <f>+IFERROR(VLOOKUP(V15,'נתוני מים 2014'!$C$2:$N$188,11,0)/1000,0)</f>
        <v>0</v>
      </c>
      <c r="W900" s="1">
        <f>+IFERROR(VLOOKUP(W15,'נתוני מים 2014'!$C$2:$N$188,11,0)/1000,0)</f>
        <v>0</v>
      </c>
      <c r="X900" s="1">
        <f>+IFERROR(VLOOKUP(X15,'נתוני מים 2014'!$C$2:$N$188,11,0)/1000,0)</f>
        <v>0</v>
      </c>
      <c r="Y900" s="1">
        <f>+IFERROR(VLOOKUP(Y15,'נתוני מים 2014'!$C$2:$N$188,11,0)/1000,0)</f>
        <v>0</v>
      </c>
      <c r="Z900" s="1">
        <f>+IFERROR(VLOOKUP(Z15,'נתוני מים 2014'!$C$2:$N$188,11,0)/1000,0)</f>
        <v>0</v>
      </c>
      <c r="AA900" s="1">
        <f>+IFERROR(VLOOKUP(AA15,'נתוני מים 2014'!$C$2:$N$188,11,0)/1000,0)</f>
        <v>0</v>
      </c>
      <c r="AB900" s="1">
        <f>+IFERROR(VLOOKUP(AB15,'נתוני מים 2014'!$C$2:$N$188,11,0)/1000,0)</f>
        <v>0</v>
      </c>
      <c r="AC900" s="1">
        <f>+IFERROR(VLOOKUP(AC15,'נתוני מים 2014'!$C$2:$N$188,11,0)/1000,0)</f>
        <v>0</v>
      </c>
      <c r="AD900" s="1">
        <f>+IFERROR(VLOOKUP(AD15,'נתוני מים 2014'!$C$2:$N$188,11,0)/1000,0)</f>
        <v>0</v>
      </c>
      <c r="AE900" s="1">
        <f>+IFERROR(VLOOKUP(AE15,'נתוני מים 2014'!$C$2:$N$188,11,0)/1000,0)</f>
        <v>0</v>
      </c>
      <c r="AF900" s="1">
        <f>+IFERROR(VLOOKUP(AF15,'נתוני מים 2014'!$C$2:$N$188,11,0)/1000,0)</f>
        <v>0</v>
      </c>
      <c r="AG900" s="1">
        <f>+IFERROR(VLOOKUP(AG15,'נתוני מים 2014'!$C$2:$N$188,11,0)/1000,0)</f>
        <v>0</v>
      </c>
      <c r="AH900" s="1">
        <f>+IFERROR(VLOOKUP(AH15,'נתוני מים 2014'!$C$2:$N$188,11,0)/1000,0)</f>
        <v>0</v>
      </c>
      <c r="AI900" s="1">
        <f>+IFERROR(VLOOKUP(AI15,'נתוני מים 2014'!$C$2:$N$188,11,0)/1000,0)</f>
        <v>0</v>
      </c>
      <c r="AJ900" s="1">
        <f>+IFERROR(VLOOKUP(AJ15,'נתוני מים 2014'!$C$2:$N$188,11,0)/1000,0)</f>
        <v>0</v>
      </c>
      <c r="AK900" s="1">
        <f>+IFERROR(VLOOKUP(AK15,'נתוני מים 2014'!$C$2:$N$188,11,0)/1000,0)</f>
        <v>0</v>
      </c>
      <c r="AL900" s="1">
        <f>+IFERROR(VLOOKUP(AL15,'נתוני מים 2014'!$C$2:$N$188,11,0)/1000,0)</f>
        <v>0</v>
      </c>
      <c r="AM900" s="1">
        <f>+IFERROR(VLOOKUP(AM15,'נתוני מים 2014'!$C$2:$N$188,11,0)/1000,0)</f>
        <v>0</v>
      </c>
      <c r="AN900" s="1">
        <f>+IFERROR(VLOOKUP(AN15,'נתוני מים 2014'!$C$2:$N$188,11,0)/1000,0)</f>
        <v>0</v>
      </c>
      <c r="AO900" s="1">
        <f>+IFERROR(VLOOKUP(AO15,'נתוני מים 2014'!$C$2:$N$188,11,0)/1000,0)</f>
        <v>0</v>
      </c>
      <c r="AP900" s="1">
        <f>+IFERROR(VLOOKUP(AP15,'נתוני מים 2014'!$C$2:$N$188,11,0)/1000,0)</f>
        <v>0</v>
      </c>
      <c r="AQ900" s="1">
        <f>+IFERROR(VLOOKUP(AQ15,'נתוני מים 2014'!$C$2:$N$188,11,0)/1000,0)</f>
        <v>0</v>
      </c>
      <c r="AR900" s="1">
        <f>+IFERROR(VLOOKUP(AR15,'נתוני מים 2014'!$C$2:$N$188,11,0)/1000,0)</f>
        <v>0</v>
      </c>
      <c r="AS900" s="1">
        <f>+IFERROR(VLOOKUP(AS15,'נתוני מים 2014'!$C$2:$N$188,11,0)/1000,0)</f>
        <v>1.0349999999999999</v>
      </c>
      <c r="AT900" s="1">
        <f>+IFERROR(VLOOKUP(AT15,'נתוני מים 2014'!$C$2:$N$188,11,0)/1000,0)</f>
        <v>0</v>
      </c>
      <c r="AU900" s="1">
        <f>+IFERROR(VLOOKUP(AU15,'נתוני מים 2014'!$C$2:$N$188,11,0)/1000,0)</f>
        <v>0</v>
      </c>
      <c r="AV900" s="1">
        <f>+IFERROR(VLOOKUP(AV15,'נתוני מים 2014'!$C$2:$N$188,11,0)/1000,0)</f>
        <v>0</v>
      </c>
      <c r="AW900" s="1">
        <f>+IFERROR(VLOOKUP(AW15,'נתוני מים 2014'!$C$2:$N$188,11,0)/1000,0)</f>
        <v>0</v>
      </c>
      <c r="AX900" s="1">
        <f>+IFERROR(VLOOKUP(AX15,'נתוני מים 2014'!$C$2:$N$188,11,0)/1000,0)</f>
        <v>0</v>
      </c>
      <c r="AY900" s="1">
        <f>+IFERROR(VLOOKUP(AY15,'נתוני מים 2014'!$C$2:$N$188,11,0)/1000,0)</f>
        <v>0</v>
      </c>
      <c r="AZ900" s="1">
        <f>+IFERROR(VLOOKUP(AZ15,'נתוני מים 2014'!$C$2:$N$188,11,0)/1000,0)</f>
        <v>0</v>
      </c>
      <c r="BA900" s="1">
        <f>+IFERROR(VLOOKUP(BA15,'נתוני מים 2014'!$C$2:$N$188,11,0)/1000,0)</f>
        <v>0</v>
      </c>
      <c r="BB900" s="1">
        <f>+IFERROR(VLOOKUP(BB15,'נתוני מים 2014'!$C$2:$N$188,11,0)/1000,0)</f>
        <v>0</v>
      </c>
      <c r="BC900" s="1">
        <f>+IFERROR(VLOOKUP(BC15,'נתוני מים 2014'!$C$2:$N$188,11,0)/1000,0)</f>
        <v>0</v>
      </c>
      <c r="BD900" s="1">
        <f>+IFERROR(VLOOKUP(BD15,'נתוני מים 2014'!$C$2:$N$188,11,0)/1000,0)</f>
        <v>0</v>
      </c>
      <c r="BE900" s="1">
        <f>+IFERROR(VLOOKUP(BE15,'נתוני מים 2014'!$C$2:$N$188,11,0)/1000,0)</f>
        <v>0</v>
      </c>
      <c r="BF900" s="1">
        <f>+IFERROR(VLOOKUP(BF15,'נתוני מים 2014'!$C$2:$N$188,11,0)/1000,0)</f>
        <v>0</v>
      </c>
    </row>
    <row r="901" spans="2:58" x14ac:dyDescent="0.2">
      <c r="B901" s="1">
        <v>9</v>
      </c>
      <c r="C901" s="1">
        <f>+IFERROR(VLOOKUP(C16,'נתוני מים 2014'!$C$2:$N$188,11,0)/1000,0)</f>
        <v>0</v>
      </c>
      <c r="D901" s="1">
        <f>+IFERROR(VLOOKUP(D16,'נתוני מים 2014'!$C$2:$N$188,11,0)/1000,0)</f>
        <v>0</v>
      </c>
      <c r="E901" s="1">
        <f>+IFERROR(VLOOKUP(E16,'נתוני מים 2014'!$C$2:$N$188,11,0)/1000,0)</f>
        <v>0</v>
      </c>
      <c r="F901" s="1">
        <f>+IFERROR(VLOOKUP(F16,'נתוני מים 2014'!$C$2:$N$188,11,0)/1000,0)</f>
        <v>0</v>
      </c>
      <c r="G901" s="1">
        <f>+IFERROR(VLOOKUP(G16,'נתוני מים 2014'!$C$2:$N$188,11,0)/1000,0)</f>
        <v>0</v>
      </c>
      <c r="H901" s="1">
        <f>+IFERROR(VLOOKUP(H16,'נתוני מים 2014'!$C$2:$N$188,11,0)/1000,0)</f>
        <v>0</v>
      </c>
      <c r="I901" s="1">
        <f>+IFERROR(VLOOKUP(I16,'נתוני מים 2014'!$C$2:$N$188,11,0)/1000,0)</f>
        <v>0</v>
      </c>
      <c r="J901" s="1">
        <f>+IFERROR(VLOOKUP(J16,'נתוני מים 2014'!$C$2:$N$188,11,0)/1000,0)</f>
        <v>0</v>
      </c>
      <c r="K901" s="1">
        <f>+IFERROR(VLOOKUP(K16,'נתוני מים 2014'!$C$2:$N$188,11,0)/1000,0)</f>
        <v>0</v>
      </c>
      <c r="L901" s="1">
        <f>+IFERROR(VLOOKUP(L16,'נתוני מים 2014'!$C$2:$N$188,11,0)/1000,0)</f>
        <v>0</v>
      </c>
      <c r="M901" s="1">
        <f>+IFERROR(VLOOKUP(M16,'נתוני מים 2014'!$C$2:$N$188,11,0)/1000,0)</f>
        <v>0</v>
      </c>
      <c r="N901" s="1">
        <f>+IFERROR(VLOOKUP(N16,'נתוני מים 2014'!$C$2:$N$188,11,0)/1000,0)</f>
        <v>0</v>
      </c>
      <c r="O901" s="1">
        <f>+IFERROR(VLOOKUP(O16,'נתוני מים 2014'!$C$2:$N$188,11,0)/1000,0)</f>
        <v>0</v>
      </c>
      <c r="P901" s="1">
        <f>+IFERROR(VLOOKUP(P16,'נתוני מים 2014'!$C$2:$N$188,11,0)/1000,0)</f>
        <v>1.6240000000000001</v>
      </c>
      <c r="Q901" s="1">
        <f>+IFERROR(VLOOKUP(Q16,'נתוני מים 2014'!$C$2:$N$188,11,0)/1000,0)</f>
        <v>0</v>
      </c>
      <c r="R901" s="1">
        <f>+IFERROR(VLOOKUP(R16,'נתוני מים 2014'!$C$2:$N$188,11,0)/1000,0)</f>
        <v>0</v>
      </c>
      <c r="S901" s="1">
        <f>+IFERROR(VLOOKUP(S16,'נתוני מים 2014'!$C$2:$N$188,11,0)/1000,0)</f>
        <v>0</v>
      </c>
      <c r="T901" s="1">
        <f>+IFERROR(VLOOKUP(T16,'נתוני מים 2014'!$C$2:$N$188,11,0)/1000,0)</f>
        <v>0</v>
      </c>
      <c r="U901" s="1">
        <f>+IFERROR(VLOOKUP(U16,'נתוני מים 2014'!$C$2:$N$188,11,0)/1000,0)</f>
        <v>0</v>
      </c>
      <c r="V901" s="1">
        <f>+IFERROR(VLOOKUP(V16,'נתוני מים 2014'!$C$2:$N$188,11,0)/1000,0)</f>
        <v>0</v>
      </c>
      <c r="W901" s="1">
        <f>+IFERROR(VLOOKUP(W16,'נתוני מים 2014'!$C$2:$N$188,11,0)/1000,0)</f>
        <v>0</v>
      </c>
      <c r="X901" s="1">
        <f>+IFERROR(VLOOKUP(X16,'נתוני מים 2014'!$C$2:$N$188,11,0)/1000,0)</f>
        <v>0</v>
      </c>
      <c r="Y901" s="1">
        <f>+IFERROR(VLOOKUP(Y16,'נתוני מים 2014'!$C$2:$N$188,11,0)/1000,0)</f>
        <v>0</v>
      </c>
      <c r="Z901" s="1">
        <f>+IFERROR(VLOOKUP(Z16,'נתוני מים 2014'!$C$2:$N$188,11,0)/1000,0)</f>
        <v>0</v>
      </c>
      <c r="AA901" s="1">
        <f>+IFERROR(VLOOKUP(AA16,'נתוני מים 2014'!$C$2:$N$188,11,0)/1000,0)</f>
        <v>0</v>
      </c>
      <c r="AB901" s="1">
        <f>+IFERROR(VLOOKUP(AB16,'נתוני מים 2014'!$C$2:$N$188,11,0)/1000,0)</f>
        <v>0</v>
      </c>
      <c r="AC901" s="1">
        <f>+IFERROR(VLOOKUP(AC16,'נתוני מים 2014'!$C$2:$N$188,11,0)/1000,0)</f>
        <v>0</v>
      </c>
      <c r="AD901" s="1">
        <f>+IFERROR(VLOOKUP(AD16,'נתוני מים 2014'!$C$2:$N$188,11,0)/1000,0)</f>
        <v>0</v>
      </c>
      <c r="AE901" s="1">
        <f>+IFERROR(VLOOKUP(AE16,'נתוני מים 2014'!$C$2:$N$188,11,0)/1000,0)</f>
        <v>0</v>
      </c>
      <c r="AF901" s="1">
        <f>+IFERROR(VLOOKUP(AF16,'נתוני מים 2014'!$C$2:$N$188,11,0)/1000,0)</f>
        <v>0</v>
      </c>
      <c r="AG901" s="1">
        <f>+IFERROR(VLOOKUP(AG16,'נתוני מים 2014'!$C$2:$N$188,11,0)/1000,0)</f>
        <v>0</v>
      </c>
      <c r="AH901" s="1">
        <f>+IFERROR(VLOOKUP(AH16,'נתוני מים 2014'!$C$2:$N$188,11,0)/1000,0)</f>
        <v>0</v>
      </c>
      <c r="AI901" s="1">
        <f>+IFERROR(VLOOKUP(AI16,'נתוני מים 2014'!$C$2:$N$188,11,0)/1000,0)</f>
        <v>0</v>
      </c>
      <c r="AJ901" s="1">
        <f>+IFERROR(VLOOKUP(AJ16,'נתוני מים 2014'!$C$2:$N$188,11,0)/1000,0)</f>
        <v>0</v>
      </c>
      <c r="AK901" s="1">
        <f>+IFERROR(VLOOKUP(AK16,'נתוני מים 2014'!$C$2:$N$188,11,0)/1000,0)</f>
        <v>0</v>
      </c>
      <c r="AL901" s="1">
        <f>+IFERROR(VLOOKUP(AL16,'נתוני מים 2014'!$C$2:$N$188,11,0)/1000,0)</f>
        <v>0</v>
      </c>
      <c r="AM901" s="1">
        <f>+IFERROR(VLOOKUP(AM16,'נתוני מים 2014'!$C$2:$N$188,11,0)/1000,0)</f>
        <v>0</v>
      </c>
      <c r="AN901" s="1">
        <f>+IFERROR(VLOOKUP(AN16,'נתוני מים 2014'!$C$2:$N$188,11,0)/1000,0)</f>
        <v>0</v>
      </c>
      <c r="AO901" s="1">
        <f>+IFERROR(VLOOKUP(AO16,'נתוני מים 2014'!$C$2:$N$188,11,0)/1000,0)</f>
        <v>0</v>
      </c>
      <c r="AP901" s="1">
        <f>+IFERROR(VLOOKUP(AP16,'נתוני מים 2014'!$C$2:$N$188,11,0)/1000,0)</f>
        <v>0</v>
      </c>
      <c r="AQ901" s="1">
        <f>+IFERROR(VLOOKUP(AQ16,'נתוני מים 2014'!$C$2:$N$188,11,0)/1000,0)</f>
        <v>0</v>
      </c>
      <c r="AR901" s="1">
        <f>+IFERROR(VLOOKUP(AR16,'נתוני מים 2014'!$C$2:$N$188,11,0)/1000,0)</f>
        <v>0</v>
      </c>
      <c r="AS901" s="1">
        <f>+IFERROR(VLOOKUP(AS16,'נתוני מים 2014'!$C$2:$N$188,11,0)/1000,0)</f>
        <v>10.673999999999999</v>
      </c>
      <c r="AT901" s="1">
        <f>+IFERROR(VLOOKUP(AT16,'נתוני מים 2014'!$C$2:$N$188,11,0)/1000,0)</f>
        <v>0</v>
      </c>
      <c r="AU901" s="1">
        <f>+IFERROR(VLOOKUP(AU16,'נתוני מים 2014'!$C$2:$N$188,11,0)/1000,0)</f>
        <v>0</v>
      </c>
      <c r="AV901" s="1">
        <f>+IFERROR(VLOOKUP(AV16,'נתוני מים 2014'!$C$2:$N$188,11,0)/1000,0)</f>
        <v>0</v>
      </c>
      <c r="AW901" s="1">
        <f>+IFERROR(VLOOKUP(AW16,'נתוני מים 2014'!$C$2:$N$188,11,0)/1000,0)</f>
        <v>0</v>
      </c>
      <c r="AX901" s="1">
        <f>+IFERROR(VLOOKUP(AX16,'נתוני מים 2014'!$C$2:$N$188,11,0)/1000,0)</f>
        <v>0</v>
      </c>
      <c r="AY901" s="1">
        <f>+IFERROR(VLOOKUP(AY16,'נתוני מים 2014'!$C$2:$N$188,11,0)/1000,0)</f>
        <v>0</v>
      </c>
      <c r="AZ901" s="1">
        <f>+IFERROR(VLOOKUP(AZ16,'נתוני מים 2014'!$C$2:$N$188,11,0)/1000,0)</f>
        <v>0</v>
      </c>
      <c r="BA901" s="1">
        <f>+IFERROR(VLOOKUP(BA16,'נתוני מים 2014'!$C$2:$N$188,11,0)/1000,0)</f>
        <v>0</v>
      </c>
      <c r="BB901" s="1">
        <f>+IFERROR(VLOOKUP(BB16,'נתוני מים 2014'!$C$2:$N$188,11,0)/1000,0)</f>
        <v>0</v>
      </c>
      <c r="BC901" s="1">
        <f>+IFERROR(VLOOKUP(BC16,'נתוני מים 2014'!$C$2:$N$188,11,0)/1000,0)</f>
        <v>0</v>
      </c>
      <c r="BD901" s="1">
        <f>+IFERROR(VLOOKUP(BD16,'נתוני מים 2014'!$C$2:$N$188,11,0)/1000,0)</f>
        <v>0</v>
      </c>
      <c r="BE901" s="1">
        <f>+IFERROR(VLOOKUP(BE16,'נתוני מים 2014'!$C$2:$N$188,11,0)/1000,0)</f>
        <v>0</v>
      </c>
      <c r="BF901" s="1">
        <f>+IFERROR(VLOOKUP(BF16,'נתוני מים 2014'!$C$2:$N$188,11,0)/1000,0)</f>
        <v>0</v>
      </c>
    </row>
    <row r="902" spans="2:58" x14ac:dyDescent="0.2">
      <c r="B902" s="1">
        <v>10</v>
      </c>
      <c r="C902" s="1">
        <f>+IFERROR(VLOOKUP(C17,'נתוני מים 2014'!$C$2:$N$188,11,0)/1000,0)</f>
        <v>0</v>
      </c>
      <c r="D902" s="1">
        <f>+IFERROR(VLOOKUP(D17,'נתוני מים 2014'!$C$2:$N$188,11,0)/1000,0)</f>
        <v>0</v>
      </c>
      <c r="E902" s="1">
        <f>+IFERROR(VLOOKUP(E17,'נתוני מים 2014'!$C$2:$N$188,11,0)/1000,0)</f>
        <v>0</v>
      </c>
      <c r="F902" s="1">
        <f>+IFERROR(VLOOKUP(F17,'נתוני מים 2014'!$C$2:$N$188,11,0)/1000,0)</f>
        <v>0</v>
      </c>
      <c r="G902" s="1">
        <f>+IFERROR(VLOOKUP(G17,'נתוני מים 2014'!$C$2:$N$188,11,0)/1000,0)</f>
        <v>0</v>
      </c>
      <c r="H902" s="1">
        <f>+IFERROR(VLOOKUP(H17,'נתוני מים 2014'!$C$2:$N$188,11,0)/1000,0)</f>
        <v>0</v>
      </c>
      <c r="I902" s="1">
        <f>+IFERROR(VLOOKUP(I17,'נתוני מים 2014'!$C$2:$N$188,11,0)/1000,0)</f>
        <v>0</v>
      </c>
      <c r="J902" s="1">
        <f>+IFERROR(VLOOKUP(J17,'נתוני מים 2014'!$C$2:$N$188,11,0)/1000,0)</f>
        <v>0</v>
      </c>
      <c r="K902" s="1">
        <f>+IFERROR(VLOOKUP(K17,'נתוני מים 2014'!$C$2:$N$188,11,0)/1000,0)</f>
        <v>0</v>
      </c>
      <c r="L902" s="1">
        <f>+IFERROR(VLOOKUP(L17,'נתוני מים 2014'!$C$2:$N$188,11,0)/1000,0)</f>
        <v>0</v>
      </c>
      <c r="M902" s="1">
        <f>+IFERROR(VLOOKUP(M17,'נתוני מים 2014'!$C$2:$N$188,11,0)/1000,0)</f>
        <v>0</v>
      </c>
      <c r="N902" s="1">
        <f>+IFERROR(VLOOKUP(N17,'נתוני מים 2014'!$C$2:$N$188,11,0)/1000,0)</f>
        <v>0</v>
      </c>
      <c r="O902" s="1">
        <f>+IFERROR(VLOOKUP(O17,'נתוני מים 2014'!$C$2:$N$188,11,0)/1000,0)</f>
        <v>0</v>
      </c>
      <c r="P902" s="1">
        <f>+IFERROR(VLOOKUP(P17,'נתוני מים 2014'!$C$2:$N$188,11,0)/1000,0)</f>
        <v>0</v>
      </c>
      <c r="Q902" s="1">
        <f>+IFERROR(VLOOKUP(Q17,'נתוני מים 2014'!$C$2:$N$188,11,0)/1000,0)</f>
        <v>0</v>
      </c>
      <c r="R902" s="1">
        <f>+IFERROR(VLOOKUP(R17,'נתוני מים 2014'!$C$2:$N$188,11,0)/1000,0)</f>
        <v>0</v>
      </c>
      <c r="S902" s="1">
        <f>+IFERROR(VLOOKUP(S17,'נתוני מים 2014'!$C$2:$N$188,11,0)/1000,0)</f>
        <v>0</v>
      </c>
      <c r="T902" s="1">
        <f>+IFERROR(VLOOKUP(T17,'נתוני מים 2014'!$C$2:$N$188,11,0)/1000,0)</f>
        <v>0</v>
      </c>
      <c r="U902" s="1">
        <f>+IFERROR(VLOOKUP(U17,'נתוני מים 2014'!$C$2:$N$188,11,0)/1000,0)</f>
        <v>0</v>
      </c>
      <c r="V902" s="1">
        <f>+IFERROR(VLOOKUP(V17,'נתוני מים 2014'!$C$2:$N$188,11,0)/1000,0)</f>
        <v>0</v>
      </c>
      <c r="W902" s="1">
        <f>+IFERROR(VLOOKUP(W17,'נתוני מים 2014'!$C$2:$N$188,11,0)/1000,0)</f>
        <v>0</v>
      </c>
      <c r="X902" s="1">
        <f>+IFERROR(VLOOKUP(X17,'נתוני מים 2014'!$C$2:$N$188,11,0)/1000,0)</f>
        <v>0</v>
      </c>
      <c r="Y902" s="1">
        <f>+IFERROR(VLOOKUP(Y17,'נתוני מים 2014'!$C$2:$N$188,11,0)/1000,0)</f>
        <v>0</v>
      </c>
      <c r="Z902" s="1">
        <f>+IFERROR(VLOOKUP(Z17,'נתוני מים 2014'!$C$2:$N$188,11,0)/1000,0)</f>
        <v>0</v>
      </c>
      <c r="AA902" s="1">
        <f>+IFERROR(VLOOKUP(AA17,'נתוני מים 2014'!$C$2:$N$188,11,0)/1000,0)</f>
        <v>0</v>
      </c>
      <c r="AB902" s="1">
        <f>+IFERROR(VLOOKUP(AB17,'נתוני מים 2014'!$C$2:$N$188,11,0)/1000,0)</f>
        <v>0</v>
      </c>
      <c r="AC902" s="1">
        <f>+IFERROR(VLOOKUP(AC17,'נתוני מים 2014'!$C$2:$N$188,11,0)/1000,0)</f>
        <v>0</v>
      </c>
      <c r="AD902" s="1">
        <f>+IFERROR(VLOOKUP(AD17,'נתוני מים 2014'!$C$2:$N$188,11,0)/1000,0)</f>
        <v>0</v>
      </c>
      <c r="AE902" s="1">
        <f>+IFERROR(VLOOKUP(AE17,'נתוני מים 2014'!$C$2:$N$188,11,0)/1000,0)</f>
        <v>0</v>
      </c>
      <c r="AF902" s="1">
        <f>+IFERROR(VLOOKUP(AF17,'נתוני מים 2014'!$C$2:$N$188,11,0)/1000,0)</f>
        <v>0</v>
      </c>
      <c r="AG902" s="1">
        <f>+IFERROR(VLOOKUP(AG17,'נתוני מים 2014'!$C$2:$N$188,11,0)/1000,0)</f>
        <v>0</v>
      </c>
      <c r="AH902" s="1">
        <f>+IFERROR(VLOOKUP(AH17,'נתוני מים 2014'!$C$2:$N$188,11,0)/1000,0)</f>
        <v>0</v>
      </c>
      <c r="AI902" s="1">
        <f>+IFERROR(VLOOKUP(AI17,'נתוני מים 2014'!$C$2:$N$188,11,0)/1000,0)</f>
        <v>0</v>
      </c>
      <c r="AJ902" s="1">
        <f>+IFERROR(VLOOKUP(AJ17,'נתוני מים 2014'!$C$2:$N$188,11,0)/1000,0)</f>
        <v>0</v>
      </c>
      <c r="AK902" s="1">
        <f>+IFERROR(VLOOKUP(AK17,'נתוני מים 2014'!$C$2:$N$188,11,0)/1000,0)</f>
        <v>0</v>
      </c>
      <c r="AL902" s="1">
        <f>+IFERROR(VLOOKUP(AL17,'נתוני מים 2014'!$C$2:$N$188,11,0)/1000,0)</f>
        <v>0</v>
      </c>
      <c r="AM902" s="1">
        <f>+IFERROR(VLOOKUP(AM17,'נתוני מים 2014'!$C$2:$N$188,11,0)/1000,0)</f>
        <v>0</v>
      </c>
      <c r="AN902" s="1">
        <f>+IFERROR(VLOOKUP(AN17,'נתוני מים 2014'!$C$2:$N$188,11,0)/1000,0)</f>
        <v>0</v>
      </c>
      <c r="AO902" s="1">
        <f>+IFERROR(VLOOKUP(AO17,'נתוני מים 2014'!$C$2:$N$188,11,0)/1000,0)</f>
        <v>0</v>
      </c>
      <c r="AP902" s="1">
        <f>+IFERROR(VLOOKUP(AP17,'נתוני מים 2014'!$C$2:$N$188,11,0)/1000,0)</f>
        <v>0</v>
      </c>
      <c r="AQ902" s="1">
        <f>+IFERROR(VLOOKUP(AQ17,'נתוני מים 2014'!$C$2:$N$188,11,0)/1000,0)</f>
        <v>0</v>
      </c>
      <c r="AR902" s="1">
        <f>+IFERROR(VLOOKUP(AR17,'נתוני מים 2014'!$C$2:$N$188,11,0)/1000,0)</f>
        <v>0</v>
      </c>
      <c r="AS902" s="1">
        <f>+IFERROR(VLOOKUP(AS17,'נתוני מים 2014'!$C$2:$N$188,11,0)/1000,0)</f>
        <v>6.7519999999999998</v>
      </c>
      <c r="AT902" s="1">
        <f>+IFERROR(VLOOKUP(AT17,'נתוני מים 2014'!$C$2:$N$188,11,0)/1000,0)</f>
        <v>0</v>
      </c>
      <c r="AU902" s="1">
        <f>+IFERROR(VLOOKUP(AU17,'נתוני מים 2014'!$C$2:$N$188,11,0)/1000,0)</f>
        <v>0</v>
      </c>
      <c r="AV902" s="1">
        <f>+IFERROR(VLOOKUP(AV17,'נתוני מים 2014'!$C$2:$N$188,11,0)/1000,0)</f>
        <v>0</v>
      </c>
      <c r="AW902" s="1">
        <f>+IFERROR(VLOOKUP(AW17,'נתוני מים 2014'!$C$2:$N$188,11,0)/1000,0)</f>
        <v>0</v>
      </c>
      <c r="AX902" s="1">
        <f>+IFERROR(VLOOKUP(AX17,'נתוני מים 2014'!$C$2:$N$188,11,0)/1000,0)</f>
        <v>0</v>
      </c>
      <c r="AY902" s="1">
        <f>+IFERROR(VLOOKUP(AY17,'נתוני מים 2014'!$C$2:$N$188,11,0)/1000,0)</f>
        <v>0</v>
      </c>
      <c r="AZ902" s="1">
        <f>+IFERROR(VLOOKUP(AZ17,'נתוני מים 2014'!$C$2:$N$188,11,0)/1000,0)</f>
        <v>0</v>
      </c>
      <c r="BA902" s="1">
        <f>+IFERROR(VLOOKUP(BA17,'נתוני מים 2014'!$C$2:$N$188,11,0)/1000,0)</f>
        <v>0</v>
      </c>
      <c r="BB902" s="1">
        <f>+IFERROR(VLOOKUP(BB17,'נתוני מים 2014'!$C$2:$N$188,11,0)/1000,0)</f>
        <v>0</v>
      </c>
      <c r="BC902" s="1">
        <f>+IFERROR(VLOOKUP(BC17,'נתוני מים 2014'!$C$2:$N$188,11,0)/1000,0)</f>
        <v>0</v>
      </c>
      <c r="BD902" s="1">
        <f>+IFERROR(VLOOKUP(BD17,'נתוני מים 2014'!$C$2:$N$188,11,0)/1000,0)</f>
        <v>0</v>
      </c>
      <c r="BE902" s="1">
        <f>+IFERROR(VLOOKUP(BE17,'נתוני מים 2014'!$C$2:$N$188,11,0)/1000,0)</f>
        <v>0</v>
      </c>
      <c r="BF902" s="1">
        <f>+IFERROR(VLOOKUP(BF17,'נתוני מים 2014'!$C$2:$N$188,11,0)/1000,0)</f>
        <v>0</v>
      </c>
    </row>
    <row r="903" spans="2:58" x14ac:dyDescent="0.2">
      <c r="B903" s="1">
        <v>11</v>
      </c>
      <c r="C903" s="1">
        <f>+IFERROR(VLOOKUP(C18,'נתוני מים 2014'!$C$2:$N$188,11,0)/1000,0)</f>
        <v>0</v>
      </c>
      <c r="D903" s="1">
        <f>+IFERROR(VLOOKUP(D18,'נתוני מים 2014'!$C$2:$N$188,11,0)/1000,0)</f>
        <v>0</v>
      </c>
      <c r="E903" s="1">
        <f>+IFERROR(VLOOKUP(E18,'נתוני מים 2014'!$C$2:$N$188,11,0)/1000,0)</f>
        <v>0</v>
      </c>
      <c r="F903" s="1">
        <f>+IFERROR(VLOOKUP(F18,'נתוני מים 2014'!$C$2:$N$188,11,0)/1000,0)</f>
        <v>0</v>
      </c>
      <c r="G903" s="1">
        <f>+IFERROR(VLOOKUP(G18,'נתוני מים 2014'!$C$2:$N$188,11,0)/1000,0)</f>
        <v>0</v>
      </c>
      <c r="H903" s="1">
        <f>+IFERROR(VLOOKUP(H18,'נתוני מים 2014'!$C$2:$N$188,11,0)/1000,0)</f>
        <v>0</v>
      </c>
      <c r="I903" s="1">
        <f>+IFERROR(VLOOKUP(I18,'נתוני מים 2014'!$C$2:$N$188,11,0)/1000,0)</f>
        <v>0</v>
      </c>
      <c r="J903" s="1">
        <f>+IFERROR(VLOOKUP(J18,'נתוני מים 2014'!$C$2:$N$188,11,0)/1000,0)</f>
        <v>0</v>
      </c>
      <c r="K903" s="1">
        <f>+IFERROR(VLOOKUP(K18,'נתוני מים 2014'!$C$2:$N$188,11,0)/1000,0)</f>
        <v>0</v>
      </c>
      <c r="L903" s="1">
        <f>+IFERROR(VLOOKUP(L18,'נתוני מים 2014'!$C$2:$N$188,11,0)/1000,0)</f>
        <v>0</v>
      </c>
      <c r="M903" s="1">
        <f>+IFERROR(VLOOKUP(M18,'נתוני מים 2014'!$C$2:$N$188,11,0)/1000,0)</f>
        <v>0</v>
      </c>
      <c r="N903" s="1">
        <f>+IFERROR(VLOOKUP(N18,'נתוני מים 2014'!$C$2:$N$188,11,0)/1000,0)</f>
        <v>0</v>
      </c>
      <c r="O903" s="1">
        <f>+IFERROR(VLOOKUP(O18,'נתוני מים 2014'!$C$2:$N$188,11,0)/1000,0)</f>
        <v>0</v>
      </c>
      <c r="P903" s="1">
        <f>+IFERROR(VLOOKUP(P18,'נתוני מים 2014'!$C$2:$N$188,11,0)/1000,0)</f>
        <v>1.2</v>
      </c>
      <c r="Q903" s="1">
        <f>+IFERROR(VLOOKUP(Q18,'נתוני מים 2014'!$C$2:$N$188,11,0)/1000,0)</f>
        <v>0</v>
      </c>
      <c r="R903" s="1">
        <f>+IFERROR(VLOOKUP(R18,'נתוני מים 2014'!$C$2:$N$188,11,0)/1000,0)</f>
        <v>0</v>
      </c>
      <c r="S903" s="1">
        <f>+IFERROR(VLOOKUP(S18,'נתוני מים 2014'!$C$2:$N$188,11,0)/1000,0)</f>
        <v>0</v>
      </c>
      <c r="T903" s="1">
        <f>+IFERROR(VLOOKUP(T18,'נתוני מים 2014'!$C$2:$N$188,11,0)/1000,0)</f>
        <v>0</v>
      </c>
      <c r="U903" s="1">
        <f>+IFERROR(VLOOKUP(U18,'נתוני מים 2014'!$C$2:$N$188,11,0)/1000,0)</f>
        <v>0</v>
      </c>
      <c r="V903" s="1">
        <f>+IFERROR(VLOOKUP(V18,'נתוני מים 2014'!$C$2:$N$188,11,0)/1000,0)</f>
        <v>0</v>
      </c>
      <c r="W903" s="1">
        <f>+IFERROR(VLOOKUP(W18,'נתוני מים 2014'!$C$2:$N$188,11,0)/1000,0)</f>
        <v>0</v>
      </c>
      <c r="X903" s="1">
        <f>+IFERROR(VLOOKUP(X18,'נתוני מים 2014'!$C$2:$N$188,11,0)/1000,0)</f>
        <v>0</v>
      </c>
      <c r="Y903" s="1">
        <f>+IFERROR(VLOOKUP(Y18,'נתוני מים 2014'!$C$2:$N$188,11,0)/1000,0)</f>
        <v>0</v>
      </c>
      <c r="Z903" s="1">
        <f>+IFERROR(VLOOKUP(Z18,'נתוני מים 2014'!$C$2:$N$188,11,0)/1000,0)</f>
        <v>0</v>
      </c>
      <c r="AA903" s="1">
        <f>+IFERROR(VLOOKUP(AA18,'נתוני מים 2014'!$C$2:$N$188,11,0)/1000,0)</f>
        <v>0</v>
      </c>
      <c r="AB903" s="1">
        <f>+IFERROR(VLOOKUP(AB18,'נתוני מים 2014'!$C$2:$N$188,11,0)/1000,0)</f>
        <v>0</v>
      </c>
      <c r="AC903" s="1">
        <f>+IFERROR(VLOOKUP(AC18,'נתוני מים 2014'!$C$2:$N$188,11,0)/1000,0)</f>
        <v>0</v>
      </c>
      <c r="AD903" s="1">
        <f>+IFERROR(VLOOKUP(AD18,'נתוני מים 2014'!$C$2:$N$188,11,0)/1000,0)</f>
        <v>0</v>
      </c>
      <c r="AE903" s="1">
        <f>+IFERROR(VLOOKUP(AE18,'נתוני מים 2014'!$C$2:$N$188,11,0)/1000,0)</f>
        <v>0</v>
      </c>
      <c r="AF903" s="1">
        <f>+IFERROR(VLOOKUP(AF18,'נתוני מים 2014'!$C$2:$N$188,11,0)/1000,0)</f>
        <v>0</v>
      </c>
      <c r="AG903" s="1">
        <f>+IFERROR(VLOOKUP(AG18,'נתוני מים 2014'!$C$2:$N$188,11,0)/1000,0)</f>
        <v>0</v>
      </c>
      <c r="AH903" s="1">
        <f>+IFERROR(VLOOKUP(AH18,'נתוני מים 2014'!$C$2:$N$188,11,0)/1000,0)</f>
        <v>0</v>
      </c>
      <c r="AI903" s="1">
        <f>+IFERROR(VLOOKUP(AI18,'נתוני מים 2014'!$C$2:$N$188,11,0)/1000,0)</f>
        <v>0</v>
      </c>
      <c r="AJ903" s="1">
        <f>+IFERROR(VLOOKUP(AJ18,'נתוני מים 2014'!$C$2:$N$188,11,0)/1000,0)</f>
        <v>0</v>
      </c>
      <c r="AK903" s="1">
        <f>+IFERROR(VLOOKUP(AK18,'נתוני מים 2014'!$C$2:$N$188,11,0)/1000,0)</f>
        <v>0</v>
      </c>
      <c r="AL903" s="1">
        <f>+IFERROR(VLOOKUP(AL18,'נתוני מים 2014'!$C$2:$N$188,11,0)/1000,0)</f>
        <v>0</v>
      </c>
      <c r="AM903" s="1">
        <f>+IFERROR(VLOOKUP(AM18,'נתוני מים 2014'!$C$2:$N$188,11,0)/1000,0)</f>
        <v>0</v>
      </c>
      <c r="AN903" s="1">
        <f>+IFERROR(VLOOKUP(AN18,'נתוני מים 2014'!$C$2:$N$188,11,0)/1000,0)</f>
        <v>0</v>
      </c>
      <c r="AO903" s="1">
        <f>+IFERROR(VLOOKUP(AO18,'נתוני מים 2014'!$C$2:$N$188,11,0)/1000,0)</f>
        <v>0</v>
      </c>
      <c r="AP903" s="1">
        <f>+IFERROR(VLOOKUP(AP18,'נתוני מים 2014'!$C$2:$N$188,11,0)/1000,0)</f>
        <v>0</v>
      </c>
      <c r="AQ903" s="1">
        <f>+IFERROR(VLOOKUP(AQ18,'נתוני מים 2014'!$C$2:$N$188,11,0)/1000,0)</f>
        <v>0</v>
      </c>
      <c r="AR903" s="1">
        <f>+IFERROR(VLOOKUP(AR18,'נתוני מים 2014'!$C$2:$N$188,11,0)/1000,0)</f>
        <v>0</v>
      </c>
      <c r="AS903" s="1">
        <f>+IFERROR(VLOOKUP(AS18,'נתוני מים 2014'!$C$2:$N$188,11,0)/1000,0)</f>
        <v>0</v>
      </c>
      <c r="AT903" s="1">
        <f>+IFERROR(VLOOKUP(AT18,'נתוני מים 2014'!$C$2:$N$188,11,0)/1000,0)</f>
        <v>0</v>
      </c>
      <c r="AU903" s="1">
        <f>+IFERROR(VLOOKUP(AU18,'נתוני מים 2014'!$C$2:$N$188,11,0)/1000,0)</f>
        <v>0</v>
      </c>
      <c r="AV903" s="1">
        <f>+IFERROR(VLOOKUP(AV18,'נתוני מים 2014'!$C$2:$N$188,11,0)/1000,0)</f>
        <v>0</v>
      </c>
      <c r="AW903" s="1">
        <f>+IFERROR(VLOOKUP(AW18,'נתוני מים 2014'!$C$2:$N$188,11,0)/1000,0)</f>
        <v>0</v>
      </c>
      <c r="AX903" s="1">
        <f>+IFERROR(VLOOKUP(AX18,'נתוני מים 2014'!$C$2:$N$188,11,0)/1000,0)</f>
        <v>0</v>
      </c>
      <c r="AY903" s="1">
        <f>+IFERROR(VLOOKUP(AY18,'נתוני מים 2014'!$C$2:$N$188,11,0)/1000,0)</f>
        <v>0</v>
      </c>
      <c r="AZ903" s="1">
        <f>+IFERROR(VLOOKUP(AZ18,'נתוני מים 2014'!$C$2:$N$188,11,0)/1000,0)</f>
        <v>0</v>
      </c>
      <c r="BA903" s="1">
        <f>+IFERROR(VLOOKUP(BA18,'נתוני מים 2014'!$C$2:$N$188,11,0)/1000,0)</f>
        <v>0</v>
      </c>
      <c r="BB903" s="1">
        <f>+IFERROR(VLOOKUP(BB18,'נתוני מים 2014'!$C$2:$N$188,11,0)/1000,0)</f>
        <v>0</v>
      </c>
      <c r="BC903" s="1">
        <f>+IFERROR(VLOOKUP(BC18,'נתוני מים 2014'!$C$2:$N$188,11,0)/1000,0)</f>
        <v>0</v>
      </c>
      <c r="BD903" s="1">
        <f>+IFERROR(VLOOKUP(BD18,'נתוני מים 2014'!$C$2:$N$188,11,0)/1000,0)</f>
        <v>0</v>
      </c>
      <c r="BE903" s="1">
        <f>+IFERROR(VLOOKUP(BE18,'נתוני מים 2014'!$C$2:$N$188,11,0)/1000,0)</f>
        <v>0</v>
      </c>
      <c r="BF903" s="1">
        <f>+IFERROR(VLOOKUP(BF18,'נתוני מים 2014'!$C$2:$N$188,11,0)/1000,0)</f>
        <v>0</v>
      </c>
    </row>
    <row r="904" spans="2:58" x14ac:dyDescent="0.2">
      <c r="B904" s="1">
        <v>12</v>
      </c>
      <c r="C904" s="1">
        <f>+IFERROR(VLOOKUP(C19,'נתוני מים 2014'!$C$2:$N$188,11,0)/1000,0)</f>
        <v>0</v>
      </c>
      <c r="D904" s="1">
        <f>+IFERROR(VLOOKUP(D19,'נתוני מים 2014'!$C$2:$N$188,11,0)/1000,0)</f>
        <v>0</v>
      </c>
      <c r="E904" s="1">
        <f>+IFERROR(VLOOKUP(E19,'נתוני מים 2014'!$C$2:$N$188,11,0)/1000,0)</f>
        <v>0</v>
      </c>
      <c r="F904" s="1">
        <f>+IFERROR(VLOOKUP(F19,'נתוני מים 2014'!$C$2:$N$188,11,0)/1000,0)</f>
        <v>0</v>
      </c>
      <c r="G904" s="1">
        <f>+IFERROR(VLOOKUP(G19,'נתוני מים 2014'!$C$2:$N$188,11,0)/1000,0)</f>
        <v>0</v>
      </c>
      <c r="H904" s="1">
        <f>+IFERROR(VLOOKUP(H19,'נתוני מים 2014'!$C$2:$N$188,11,0)/1000,0)</f>
        <v>0</v>
      </c>
      <c r="I904" s="1">
        <f>+IFERROR(VLOOKUP(I19,'נתוני מים 2014'!$C$2:$N$188,11,0)/1000,0)</f>
        <v>0</v>
      </c>
      <c r="J904" s="1">
        <f>+IFERROR(VLOOKUP(J19,'נתוני מים 2014'!$C$2:$N$188,11,0)/1000,0)</f>
        <v>0</v>
      </c>
      <c r="K904" s="1">
        <f>+IFERROR(VLOOKUP(K19,'נתוני מים 2014'!$C$2:$N$188,11,0)/1000,0)</f>
        <v>0</v>
      </c>
      <c r="L904" s="1">
        <f>+IFERROR(VLOOKUP(L19,'נתוני מים 2014'!$C$2:$N$188,11,0)/1000,0)</f>
        <v>0</v>
      </c>
      <c r="M904" s="1">
        <f>+IFERROR(VLOOKUP(M19,'נתוני מים 2014'!$C$2:$N$188,11,0)/1000,0)</f>
        <v>0</v>
      </c>
      <c r="N904" s="1">
        <f>+IFERROR(VLOOKUP(N19,'נתוני מים 2014'!$C$2:$N$188,11,0)/1000,0)</f>
        <v>0</v>
      </c>
      <c r="O904" s="1">
        <f>+IFERROR(VLOOKUP(O19,'נתוני מים 2014'!$C$2:$N$188,11,0)/1000,0)</f>
        <v>0</v>
      </c>
      <c r="P904" s="1">
        <f>+IFERROR(VLOOKUP(P19,'נתוני מים 2014'!$C$2:$N$188,11,0)/1000,0)</f>
        <v>0.38400000000000001</v>
      </c>
      <c r="Q904" s="1">
        <f>+IFERROR(VLOOKUP(Q19,'נתוני מים 2014'!$C$2:$N$188,11,0)/1000,0)</f>
        <v>0</v>
      </c>
      <c r="R904" s="1">
        <f>+IFERROR(VLOOKUP(R19,'נתוני מים 2014'!$C$2:$N$188,11,0)/1000,0)</f>
        <v>0</v>
      </c>
      <c r="S904" s="1">
        <f>+IFERROR(VLOOKUP(S19,'נתוני מים 2014'!$C$2:$N$188,11,0)/1000,0)</f>
        <v>0</v>
      </c>
      <c r="T904" s="1">
        <f>+IFERROR(VLOOKUP(T19,'נתוני מים 2014'!$C$2:$N$188,11,0)/1000,0)</f>
        <v>0</v>
      </c>
      <c r="U904" s="1">
        <f>+IFERROR(VLOOKUP(U19,'נתוני מים 2014'!$C$2:$N$188,11,0)/1000,0)</f>
        <v>0</v>
      </c>
      <c r="V904" s="1">
        <f>+IFERROR(VLOOKUP(V19,'נתוני מים 2014'!$C$2:$N$188,11,0)/1000,0)</f>
        <v>0</v>
      </c>
      <c r="W904" s="1">
        <f>+IFERROR(VLOOKUP(W19,'נתוני מים 2014'!$C$2:$N$188,11,0)/1000,0)</f>
        <v>0</v>
      </c>
      <c r="X904" s="1">
        <f>+IFERROR(VLOOKUP(X19,'נתוני מים 2014'!$C$2:$N$188,11,0)/1000,0)</f>
        <v>0</v>
      </c>
      <c r="Y904" s="1">
        <f>+IFERROR(VLOOKUP(Y19,'נתוני מים 2014'!$C$2:$N$188,11,0)/1000,0)</f>
        <v>0</v>
      </c>
      <c r="Z904" s="1">
        <f>+IFERROR(VLOOKUP(Z19,'נתוני מים 2014'!$C$2:$N$188,11,0)/1000,0)</f>
        <v>0</v>
      </c>
      <c r="AA904" s="1">
        <f>+IFERROR(VLOOKUP(AA19,'נתוני מים 2014'!$C$2:$N$188,11,0)/1000,0)</f>
        <v>0</v>
      </c>
      <c r="AB904" s="1">
        <f>+IFERROR(VLOOKUP(AB19,'נתוני מים 2014'!$C$2:$N$188,11,0)/1000,0)</f>
        <v>0</v>
      </c>
      <c r="AC904" s="1">
        <f>+IFERROR(VLOOKUP(AC19,'נתוני מים 2014'!$C$2:$N$188,11,0)/1000,0)</f>
        <v>0</v>
      </c>
      <c r="AD904" s="1">
        <f>+IFERROR(VLOOKUP(AD19,'נתוני מים 2014'!$C$2:$N$188,11,0)/1000,0)</f>
        <v>0</v>
      </c>
      <c r="AE904" s="1">
        <f>+IFERROR(VLOOKUP(AE19,'נתוני מים 2014'!$C$2:$N$188,11,0)/1000,0)</f>
        <v>0</v>
      </c>
      <c r="AF904" s="1">
        <f>+IFERROR(VLOOKUP(AF19,'נתוני מים 2014'!$C$2:$N$188,11,0)/1000,0)</f>
        <v>0</v>
      </c>
      <c r="AG904" s="1">
        <f>+IFERROR(VLOOKUP(AG19,'נתוני מים 2014'!$C$2:$N$188,11,0)/1000,0)</f>
        <v>0</v>
      </c>
      <c r="AH904" s="1">
        <f>+IFERROR(VLOOKUP(AH19,'נתוני מים 2014'!$C$2:$N$188,11,0)/1000,0)</f>
        <v>0</v>
      </c>
      <c r="AI904" s="1">
        <f>+IFERROR(VLOOKUP(AI19,'נתוני מים 2014'!$C$2:$N$188,11,0)/1000,0)</f>
        <v>0</v>
      </c>
      <c r="AJ904" s="1">
        <f>+IFERROR(VLOOKUP(AJ19,'נתוני מים 2014'!$C$2:$N$188,11,0)/1000,0)</f>
        <v>0</v>
      </c>
      <c r="AK904" s="1">
        <f>+IFERROR(VLOOKUP(AK19,'נתוני מים 2014'!$C$2:$N$188,11,0)/1000,0)</f>
        <v>0</v>
      </c>
      <c r="AL904" s="1">
        <f>+IFERROR(VLOOKUP(AL19,'נתוני מים 2014'!$C$2:$N$188,11,0)/1000,0)</f>
        <v>0</v>
      </c>
      <c r="AM904" s="1">
        <f>+IFERROR(VLOOKUP(AM19,'נתוני מים 2014'!$C$2:$N$188,11,0)/1000,0)</f>
        <v>0</v>
      </c>
      <c r="AN904" s="1">
        <f>+IFERROR(VLOOKUP(AN19,'נתוני מים 2014'!$C$2:$N$188,11,0)/1000,0)</f>
        <v>0</v>
      </c>
      <c r="AO904" s="1">
        <f>+IFERROR(VLOOKUP(AO19,'נתוני מים 2014'!$C$2:$N$188,11,0)/1000,0)</f>
        <v>0</v>
      </c>
      <c r="AP904" s="1">
        <f>+IFERROR(VLOOKUP(AP19,'נתוני מים 2014'!$C$2:$N$188,11,0)/1000,0)</f>
        <v>0</v>
      </c>
      <c r="AQ904" s="1">
        <f>+IFERROR(VLOOKUP(AQ19,'נתוני מים 2014'!$C$2:$N$188,11,0)/1000,0)</f>
        <v>0</v>
      </c>
      <c r="AR904" s="1">
        <f>+IFERROR(VLOOKUP(AR19,'נתוני מים 2014'!$C$2:$N$188,11,0)/1000,0)</f>
        <v>0</v>
      </c>
      <c r="AS904" s="1">
        <f>+IFERROR(VLOOKUP(AS19,'נתוני מים 2014'!$C$2:$N$188,11,0)/1000,0)</f>
        <v>0</v>
      </c>
      <c r="AT904" s="1">
        <f>+IFERROR(VLOOKUP(AT19,'נתוני מים 2014'!$C$2:$N$188,11,0)/1000,0)</f>
        <v>0</v>
      </c>
      <c r="AU904" s="1">
        <f>+IFERROR(VLOOKUP(AU19,'נתוני מים 2014'!$C$2:$N$188,11,0)/1000,0)</f>
        <v>0</v>
      </c>
      <c r="AV904" s="1">
        <f>+IFERROR(VLOOKUP(AV19,'נתוני מים 2014'!$C$2:$N$188,11,0)/1000,0)</f>
        <v>0</v>
      </c>
      <c r="AW904" s="1">
        <f>+IFERROR(VLOOKUP(AW19,'נתוני מים 2014'!$C$2:$N$188,11,0)/1000,0)</f>
        <v>0</v>
      </c>
      <c r="AX904" s="1">
        <f>+IFERROR(VLOOKUP(AX19,'נתוני מים 2014'!$C$2:$N$188,11,0)/1000,0)</f>
        <v>0</v>
      </c>
      <c r="AY904" s="1">
        <f>+IFERROR(VLOOKUP(AY19,'נתוני מים 2014'!$C$2:$N$188,11,0)/1000,0)</f>
        <v>0</v>
      </c>
      <c r="AZ904" s="1">
        <f>+IFERROR(VLOOKUP(AZ19,'נתוני מים 2014'!$C$2:$N$188,11,0)/1000,0)</f>
        <v>0</v>
      </c>
      <c r="BA904" s="1">
        <f>+IFERROR(VLOOKUP(BA19,'נתוני מים 2014'!$C$2:$N$188,11,0)/1000,0)</f>
        <v>0</v>
      </c>
      <c r="BB904" s="1">
        <f>+IFERROR(VLOOKUP(BB19,'נתוני מים 2014'!$C$2:$N$188,11,0)/1000,0)</f>
        <v>0</v>
      </c>
      <c r="BC904" s="1">
        <f>+IFERROR(VLOOKUP(BC19,'נתוני מים 2014'!$C$2:$N$188,11,0)/1000,0)</f>
        <v>0</v>
      </c>
      <c r="BD904" s="1">
        <f>+IFERROR(VLOOKUP(BD19,'נתוני מים 2014'!$C$2:$N$188,11,0)/1000,0)</f>
        <v>0</v>
      </c>
      <c r="BE904" s="1">
        <f>+IFERROR(VLOOKUP(BE19,'נתוני מים 2014'!$C$2:$N$188,11,0)/1000,0)</f>
        <v>0</v>
      </c>
      <c r="BF904" s="1">
        <f>+IFERROR(VLOOKUP(BF19,'נתוני מים 2014'!$C$2:$N$188,11,0)/1000,0)</f>
        <v>0</v>
      </c>
    </row>
    <row r="905" spans="2:58" x14ac:dyDescent="0.2">
      <c r="B905" s="1">
        <v>13</v>
      </c>
      <c r="C905" s="1">
        <f>+IFERROR(VLOOKUP(C20,'נתוני מים 2014'!$C$2:$N$188,11,0)/1000,0)</f>
        <v>0</v>
      </c>
      <c r="D905" s="1">
        <f>+IFERROR(VLOOKUP(D20,'נתוני מים 2014'!$C$2:$N$188,11,0)/1000,0)</f>
        <v>0</v>
      </c>
      <c r="E905" s="1">
        <f>+IFERROR(VLOOKUP(E20,'נתוני מים 2014'!$C$2:$N$188,11,0)/1000,0)</f>
        <v>0</v>
      </c>
      <c r="F905" s="1">
        <f>+IFERROR(VLOOKUP(F20,'נתוני מים 2014'!$C$2:$N$188,11,0)/1000,0)</f>
        <v>0</v>
      </c>
      <c r="G905" s="1">
        <f>+IFERROR(VLOOKUP(G20,'נתוני מים 2014'!$C$2:$N$188,11,0)/1000,0)</f>
        <v>0</v>
      </c>
      <c r="H905" s="1">
        <f>+IFERROR(VLOOKUP(H20,'נתוני מים 2014'!$C$2:$N$188,11,0)/1000,0)</f>
        <v>0</v>
      </c>
      <c r="I905" s="1">
        <f>+IFERROR(VLOOKUP(I20,'נתוני מים 2014'!$C$2:$N$188,11,0)/1000,0)</f>
        <v>0</v>
      </c>
      <c r="J905" s="1">
        <f>+IFERROR(VLOOKUP(J20,'נתוני מים 2014'!$C$2:$N$188,11,0)/1000,0)</f>
        <v>0</v>
      </c>
      <c r="K905" s="1">
        <f>+IFERROR(VLOOKUP(K20,'נתוני מים 2014'!$C$2:$N$188,11,0)/1000,0)</f>
        <v>0</v>
      </c>
      <c r="L905" s="1">
        <f>+IFERROR(VLOOKUP(L20,'נתוני מים 2014'!$C$2:$N$188,11,0)/1000,0)</f>
        <v>0</v>
      </c>
      <c r="M905" s="1">
        <f>+IFERROR(VLOOKUP(M20,'נתוני מים 2014'!$C$2:$N$188,11,0)/1000,0)</f>
        <v>0</v>
      </c>
      <c r="N905" s="1">
        <f>+IFERROR(VLOOKUP(N20,'נתוני מים 2014'!$C$2:$N$188,11,0)/1000,0)</f>
        <v>0</v>
      </c>
      <c r="O905" s="1">
        <f>+IFERROR(VLOOKUP(O20,'נתוני מים 2014'!$C$2:$N$188,11,0)/1000,0)</f>
        <v>0</v>
      </c>
      <c r="P905" s="1">
        <f>+IFERROR(VLOOKUP(P20,'נתוני מים 2014'!$C$2:$N$188,11,0)/1000,0)</f>
        <v>0.59299999999999997</v>
      </c>
      <c r="Q905" s="1">
        <f>+IFERROR(VLOOKUP(Q20,'נתוני מים 2014'!$C$2:$N$188,11,0)/1000,0)</f>
        <v>0</v>
      </c>
      <c r="R905" s="1">
        <f>+IFERROR(VLOOKUP(R20,'נתוני מים 2014'!$C$2:$N$188,11,0)/1000,0)</f>
        <v>0</v>
      </c>
      <c r="S905" s="1">
        <f>+IFERROR(VLOOKUP(S20,'נתוני מים 2014'!$C$2:$N$188,11,0)/1000,0)</f>
        <v>0</v>
      </c>
      <c r="T905" s="1">
        <f>+IFERROR(VLOOKUP(T20,'נתוני מים 2014'!$C$2:$N$188,11,0)/1000,0)</f>
        <v>0</v>
      </c>
      <c r="U905" s="1">
        <f>+IFERROR(VLOOKUP(U20,'נתוני מים 2014'!$C$2:$N$188,11,0)/1000,0)</f>
        <v>0</v>
      </c>
      <c r="V905" s="1">
        <f>+IFERROR(VLOOKUP(V20,'נתוני מים 2014'!$C$2:$N$188,11,0)/1000,0)</f>
        <v>0</v>
      </c>
      <c r="W905" s="1">
        <f>+IFERROR(VLOOKUP(W20,'נתוני מים 2014'!$C$2:$N$188,11,0)/1000,0)</f>
        <v>0</v>
      </c>
      <c r="X905" s="1">
        <f>+IFERROR(VLOOKUP(X20,'נתוני מים 2014'!$C$2:$N$188,11,0)/1000,0)</f>
        <v>0</v>
      </c>
      <c r="Y905" s="1">
        <f>+IFERROR(VLOOKUP(Y20,'נתוני מים 2014'!$C$2:$N$188,11,0)/1000,0)</f>
        <v>0</v>
      </c>
      <c r="Z905" s="1">
        <f>+IFERROR(VLOOKUP(Z20,'נתוני מים 2014'!$C$2:$N$188,11,0)/1000,0)</f>
        <v>0</v>
      </c>
      <c r="AA905" s="1">
        <f>+IFERROR(VLOOKUP(AA20,'נתוני מים 2014'!$C$2:$N$188,11,0)/1000,0)</f>
        <v>0</v>
      </c>
      <c r="AB905" s="1">
        <f>+IFERROR(VLOOKUP(AB20,'נתוני מים 2014'!$C$2:$N$188,11,0)/1000,0)</f>
        <v>0</v>
      </c>
      <c r="AC905" s="1">
        <f>+IFERROR(VLOOKUP(AC20,'נתוני מים 2014'!$C$2:$N$188,11,0)/1000,0)</f>
        <v>0</v>
      </c>
      <c r="AD905" s="1">
        <f>+IFERROR(VLOOKUP(AD20,'נתוני מים 2014'!$C$2:$N$188,11,0)/1000,0)</f>
        <v>0</v>
      </c>
      <c r="AE905" s="1">
        <f>+IFERROR(VLOOKUP(AE20,'נתוני מים 2014'!$C$2:$N$188,11,0)/1000,0)</f>
        <v>0</v>
      </c>
      <c r="AF905" s="1">
        <f>+IFERROR(VLOOKUP(AF20,'נתוני מים 2014'!$C$2:$N$188,11,0)/1000,0)</f>
        <v>0</v>
      </c>
      <c r="AG905" s="1">
        <f>+IFERROR(VLOOKUP(AG20,'נתוני מים 2014'!$C$2:$N$188,11,0)/1000,0)</f>
        <v>0</v>
      </c>
      <c r="AH905" s="1">
        <f>+IFERROR(VLOOKUP(AH20,'נתוני מים 2014'!$C$2:$N$188,11,0)/1000,0)</f>
        <v>0</v>
      </c>
      <c r="AI905" s="1">
        <f>+IFERROR(VLOOKUP(AI20,'נתוני מים 2014'!$C$2:$N$188,11,0)/1000,0)</f>
        <v>0</v>
      </c>
      <c r="AJ905" s="1">
        <f>+IFERROR(VLOOKUP(AJ20,'נתוני מים 2014'!$C$2:$N$188,11,0)/1000,0)</f>
        <v>0</v>
      </c>
      <c r="AK905" s="1">
        <f>+IFERROR(VLOOKUP(AK20,'נתוני מים 2014'!$C$2:$N$188,11,0)/1000,0)</f>
        <v>0</v>
      </c>
      <c r="AL905" s="1">
        <f>+IFERROR(VLOOKUP(AL20,'נתוני מים 2014'!$C$2:$N$188,11,0)/1000,0)</f>
        <v>0</v>
      </c>
      <c r="AM905" s="1">
        <f>+IFERROR(VLOOKUP(AM20,'נתוני מים 2014'!$C$2:$N$188,11,0)/1000,0)</f>
        <v>0</v>
      </c>
      <c r="AN905" s="1">
        <f>+IFERROR(VLOOKUP(AN20,'נתוני מים 2014'!$C$2:$N$188,11,0)/1000,0)</f>
        <v>0</v>
      </c>
      <c r="AO905" s="1">
        <f>+IFERROR(VLOOKUP(AO20,'נתוני מים 2014'!$C$2:$N$188,11,0)/1000,0)</f>
        <v>0</v>
      </c>
      <c r="AP905" s="1">
        <f>+IFERROR(VLOOKUP(AP20,'נתוני מים 2014'!$C$2:$N$188,11,0)/1000,0)</f>
        <v>0</v>
      </c>
      <c r="AQ905" s="1">
        <f>+IFERROR(VLOOKUP(AQ20,'נתוני מים 2014'!$C$2:$N$188,11,0)/1000,0)</f>
        <v>0</v>
      </c>
      <c r="AR905" s="1">
        <f>+IFERROR(VLOOKUP(AR20,'נתוני מים 2014'!$C$2:$N$188,11,0)/1000,0)</f>
        <v>0</v>
      </c>
      <c r="AS905" s="1">
        <f>+IFERROR(VLOOKUP(AS20,'נתוני מים 2014'!$C$2:$N$188,11,0)/1000,0)</f>
        <v>0</v>
      </c>
      <c r="AT905" s="1">
        <f>+IFERROR(VLOOKUP(AT20,'נתוני מים 2014'!$C$2:$N$188,11,0)/1000,0)</f>
        <v>0</v>
      </c>
      <c r="AU905" s="1">
        <f>+IFERROR(VLOOKUP(AU20,'נתוני מים 2014'!$C$2:$N$188,11,0)/1000,0)</f>
        <v>0</v>
      </c>
      <c r="AV905" s="1">
        <f>+IFERROR(VLOOKUP(AV20,'נתוני מים 2014'!$C$2:$N$188,11,0)/1000,0)</f>
        <v>0</v>
      </c>
      <c r="AW905" s="1">
        <f>+IFERROR(VLOOKUP(AW20,'נתוני מים 2014'!$C$2:$N$188,11,0)/1000,0)</f>
        <v>0</v>
      </c>
      <c r="AX905" s="1">
        <f>+IFERROR(VLOOKUP(AX20,'נתוני מים 2014'!$C$2:$N$188,11,0)/1000,0)</f>
        <v>0</v>
      </c>
      <c r="AY905" s="1">
        <f>+IFERROR(VLOOKUP(AY20,'נתוני מים 2014'!$C$2:$N$188,11,0)/1000,0)</f>
        <v>0</v>
      </c>
      <c r="AZ905" s="1">
        <f>+IFERROR(VLOOKUP(AZ20,'נתוני מים 2014'!$C$2:$N$188,11,0)/1000,0)</f>
        <v>0</v>
      </c>
      <c r="BA905" s="1">
        <f>+IFERROR(VLOOKUP(BA20,'נתוני מים 2014'!$C$2:$N$188,11,0)/1000,0)</f>
        <v>0</v>
      </c>
      <c r="BB905" s="1">
        <f>+IFERROR(VLOOKUP(BB20,'נתוני מים 2014'!$C$2:$N$188,11,0)/1000,0)</f>
        <v>0</v>
      </c>
      <c r="BC905" s="1">
        <f>+IFERROR(VLOOKUP(BC20,'נתוני מים 2014'!$C$2:$N$188,11,0)/1000,0)</f>
        <v>0</v>
      </c>
      <c r="BD905" s="1">
        <f>+IFERROR(VLOOKUP(BD20,'נתוני מים 2014'!$C$2:$N$188,11,0)/1000,0)</f>
        <v>0</v>
      </c>
      <c r="BE905" s="1">
        <f>+IFERROR(VLOOKUP(BE20,'נתוני מים 2014'!$C$2:$N$188,11,0)/1000,0)</f>
        <v>0</v>
      </c>
      <c r="BF905" s="1">
        <f>+IFERROR(VLOOKUP(BF20,'נתוני מים 2014'!$C$2:$N$188,11,0)/1000,0)</f>
        <v>0</v>
      </c>
    </row>
    <row r="906" spans="2:58" x14ac:dyDescent="0.2">
      <c r="B906" s="1">
        <v>14</v>
      </c>
      <c r="C906" s="1">
        <f>+IFERROR(VLOOKUP(C21,'נתוני מים 2014'!$C$2:$N$188,11,0)/1000,0)</f>
        <v>0</v>
      </c>
      <c r="D906" s="1">
        <f>+IFERROR(VLOOKUP(D21,'נתוני מים 2014'!$C$2:$N$188,11,0)/1000,0)</f>
        <v>0</v>
      </c>
      <c r="E906" s="1">
        <f>+IFERROR(VLOOKUP(E21,'נתוני מים 2014'!$C$2:$N$188,11,0)/1000,0)</f>
        <v>0</v>
      </c>
      <c r="F906" s="1">
        <f>+IFERROR(VLOOKUP(F21,'נתוני מים 2014'!$C$2:$N$188,11,0)/1000,0)</f>
        <v>0</v>
      </c>
      <c r="G906" s="1">
        <f>+IFERROR(VLOOKUP(G21,'נתוני מים 2014'!$C$2:$N$188,11,0)/1000,0)</f>
        <v>0</v>
      </c>
      <c r="H906" s="1">
        <f>+IFERROR(VLOOKUP(H21,'נתוני מים 2014'!$C$2:$N$188,11,0)/1000,0)</f>
        <v>0</v>
      </c>
      <c r="I906" s="1">
        <f>+IFERROR(VLOOKUP(I21,'נתוני מים 2014'!$C$2:$N$188,11,0)/1000,0)</f>
        <v>0</v>
      </c>
      <c r="J906" s="1">
        <f>+IFERROR(VLOOKUP(J21,'נתוני מים 2014'!$C$2:$N$188,11,0)/1000,0)</f>
        <v>0</v>
      </c>
      <c r="K906" s="1">
        <f>+IFERROR(VLOOKUP(K21,'נתוני מים 2014'!$C$2:$N$188,11,0)/1000,0)</f>
        <v>0</v>
      </c>
      <c r="L906" s="1">
        <f>+IFERROR(VLOOKUP(L21,'נתוני מים 2014'!$C$2:$N$188,11,0)/1000,0)</f>
        <v>0</v>
      </c>
      <c r="M906" s="1">
        <f>+IFERROR(VLOOKUP(M21,'נתוני מים 2014'!$C$2:$N$188,11,0)/1000,0)</f>
        <v>0</v>
      </c>
      <c r="N906" s="1">
        <f>+IFERROR(VLOOKUP(N21,'נתוני מים 2014'!$C$2:$N$188,11,0)/1000,0)</f>
        <v>0</v>
      </c>
      <c r="O906" s="1">
        <f>+IFERROR(VLOOKUP(O21,'נתוני מים 2014'!$C$2:$N$188,11,0)/1000,0)</f>
        <v>0</v>
      </c>
      <c r="P906" s="1">
        <f>+IFERROR(VLOOKUP(P21,'נתוני מים 2014'!$C$2:$N$188,11,0)/1000,0)</f>
        <v>0</v>
      </c>
      <c r="Q906" s="1">
        <f>+IFERROR(VLOOKUP(Q21,'נתוני מים 2014'!$C$2:$N$188,11,0)/1000,0)</f>
        <v>0</v>
      </c>
      <c r="R906" s="1">
        <f>+IFERROR(VLOOKUP(R21,'נתוני מים 2014'!$C$2:$N$188,11,0)/1000,0)</f>
        <v>0</v>
      </c>
      <c r="S906" s="1">
        <f>+IFERROR(VLOOKUP(S21,'נתוני מים 2014'!$C$2:$N$188,11,0)/1000,0)</f>
        <v>0</v>
      </c>
      <c r="T906" s="1">
        <f>+IFERROR(VLOOKUP(T21,'נתוני מים 2014'!$C$2:$N$188,11,0)/1000,0)</f>
        <v>0</v>
      </c>
      <c r="U906" s="1">
        <f>+IFERROR(VLOOKUP(U21,'נתוני מים 2014'!$C$2:$N$188,11,0)/1000,0)</f>
        <v>0</v>
      </c>
      <c r="V906" s="1">
        <f>+IFERROR(VLOOKUP(V21,'נתוני מים 2014'!$C$2:$N$188,11,0)/1000,0)</f>
        <v>0</v>
      </c>
      <c r="W906" s="1">
        <f>+IFERROR(VLOOKUP(W21,'נתוני מים 2014'!$C$2:$N$188,11,0)/1000,0)</f>
        <v>0</v>
      </c>
      <c r="X906" s="1">
        <f>+IFERROR(VLOOKUP(X21,'נתוני מים 2014'!$C$2:$N$188,11,0)/1000,0)</f>
        <v>0</v>
      </c>
      <c r="Y906" s="1">
        <f>+IFERROR(VLOOKUP(Y21,'נתוני מים 2014'!$C$2:$N$188,11,0)/1000,0)</f>
        <v>0</v>
      </c>
      <c r="Z906" s="1">
        <f>+IFERROR(VLOOKUP(Z21,'נתוני מים 2014'!$C$2:$N$188,11,0)/1000,0)</f>
        <v>0</v>
      </c>
      <c r="AA906" s="1">
        <f>+IFERROR(VLOOKUP(AA21,'נתוני מים 2014'!$C$2:$N$188,11,0)/1000,0)</f>
        <v>0</v>
      </c>
      <c r="AB906" s="1">
        <f>+IFERROR(VLOOKUP(AB21,'נתוני מים 2014'!$C$2:$N$188,11,0)/1000,0)</f>
        <v>0</v>
      </c>
      <c r="AC906" s="1">
        <f>+IFERROR(VLOOKUP(AC21,'נתוני מים 2014'!$C$2:$N$188,11,0)/1000,0)</f>
        <v>0</v>
      </c>
      <c r="AD906" s="1">
        <f>+IFERROR(VLOOKUP(AD21,'נתוני מים 2014'!$C$2:$N$188,11,0)/1000,0)</f>
        <v>0</v>
      </c>
      <c r="AE906" s="1">
        <f>+IFERROR(VLOOKUP(AE21,'נתוני מים 2014'!$C$2:$N$188,11,0)/1000,0)</f>
        <v>0</v>
      </c>
      <c r="AF906" s="1">
        <f>+IFERROR(VLOOKUP(AF21,'נתוני מים 2014'!$C$2:$N$188,11,0)/1000,0)</f>
        <v>0</v>
      </c>
      <c r="AG906" s="1">
        <f>+IFERROR(VLOOKUP(AG21,'נתוני מים 2014'!$C$2:$N$188,11,0)/1000,0)</f>
        <v>0</v>
      </c>
      <c r="AH906" s="1">
        <f>+IFERROR(VLOOKUP(AH21,'נתוני מים 2014'!$C$2:$N$188,11,0)/1000,0)</f>
        <v>0</v>
      </c>
      <c r="AI906" s="1">
        <f>+IFERROR(VLOOKUP(AI21,'נתוני מים 2014'!$C$2:$N$188,11,0)/1000,0)</f>
        <v>0</v>
      </c>
      <c r="AJ906" s="1">
        <f>+IFERROR(VLOOKUP(AJ21,'נתוני מים 2014'!$C$2:$N$188,11,0)/1000,0)</f>
        <v>0</v>
      </c>
      <c r="AK906" s="1">
        <f>+IFERROR(VLOOKUP(AK21,'נתוני מים 2014'!$C$2:$N$188,11,0)/1000,0)</f>
        <v>0</v>
      </c>
      <c r="AL906" s="1">
        <f>+IFERROR(VLOOKUP(AL21,'נתוני מים 2014'!$C$2:$N$188,11,0)/1000,0)</f>
        <v>0</v>
      </c>
      <c r="AM906" s="1">
        <f>+IFERROR(VLOOKUP(AM21,'נתוני מים 2014'!$C$2:$N$188,11,0)/1000,0)</f>
        <v>0</v>
      </c>
      <c r="AN906" s="1">
        <f>+IFERROR(VLOOKUP(AN21,'נתוני מים 2014'!$C$2:$N$188,11,0)/1000,0)</f>
        <v>0</v>
      </c>
      <c r="AO906" s="1">
        <f>+IFERROR(VLOOKUP(AO21,'נתוני מים 2014'!$C$2:$N$188,11,0)/1000,0)</f>
        <v>0</v>
      </c>
      <c r="AP906" s="1">
        <f>+IFERROR(VLOOKUP(AP21,'נתוני מים 2014'!$C$2:$N$188,11,0)/1000,0)</f>
        <v>0</v>
      </c>
      <c r="AQ906" s="1">
        <f>+IFERROR(VLOOKUP(AQ21,'נתוני מים 2014'!$C$2:$N$188,11,0)/1000,0)</f>
        <v>0</v>
      </c>
      <c r="AR906" s="1">
        <f>+IFERROR(VLOOKUP(AR21,'נתוני מים 2014'!$C$2:$N$188,11,0)/1000,0)</f>
        <v>0</v>
      </c>
      <c r="AS906" s="1">
        <f>+IFERROR(VLOOKUP(AS21,'נתוני מים 2014'!$C$2:$N$188,11,0)/1000,0)</f>
        <v>0</v>
      </c>
      <c r="AT906" s="1">
        <f>+IFERROR(VLOOKUP(AT21,'נתוני מים 2014'!$C$2:$N$188,11,0)/1000,0)</f>
        <v>0</v>
      </c>
      <c r="AU906" s="1">
        <f>+IFERROR(VLOOKUP(AU21,'נתוני מים 2014'!$C$2:$N$188,11,0)/1000,0)</f>
        <v>0</v>
      </c>
      <c r="AV906" s="1">
        <f>+IFERROR(VLOOKUP(AV21,'נתוני מים 2014'!$C$2:$N$188,11,0)/1000,0)</f>
        <v>0</v>
      </c>
      <c r="AW906" s="1">
        <f>+IFERROR(VLOOKUP(AW21,'נתוני מים 2014'!$C$2:$N$188,11,0)/1000,0)</f>
        <v>0</v>
      </c>
      <c r="AX906" s="1">
        <f>+IFERROR(VLOOKUP(AX21,'נתוני מים 2014'!$C$2:$N$188,11,0)/1000,0)</f>
        <v>0</v>
      </c>
      <c r="AY906" s="1">
        <f>+IFERROR(VLOOKUP(AY21,'נתוני מים 2014'!$C$2:$N$188,11,0)/1000,0)</f>
        <v>0</v>
      </c>
      <c r="AZ906" s="1">
        <f>+IFERROR(VLOOKUP(AZ21,'נתוני מים 2014'!$C$2:$N$188,11,0)/1000,0)</f>
        <v>0</v>
      </c>
      <c r="BA906" s="1">
        <f>+IFERROR(VLOOKUP(BA21,'נתוני מים 2014'!$C$2:$N$188,11,0)/1000,0)</f>
        <v>0</v>
      </c>
      <c r="BB906" s="1">
        <f>+IFERROR(VLOOKUP(BB21,'נתוני מים 2014'!$C$2:$N$188,11,0)/1000,0)</f>
        <v>0</v>
      </c>
      <c r="BC906" s="1">
        <f>+IFERROR(VLOOKUP(BC21,'נתוני מים 2014'!$C$2:$N$188,11,0)/1000,0)</f>
        <v>0</v>
      </c>
      <c r="BD906" s="1">
        <f>+IFERROR(VLOOKUP(BD21,'נתוני מים 2014'!$C$2:$N$188,11,0)/1000,0)</f>
        <v>0</v>
      </c>
      <c r="BE906" s="1">
        <f>+IFERROR(VLOOKUP(BE21,'נתוני מים 2014'!$C$2:$N$188,11,0)/1000,0)</f>
        <v>0</v>
      </c>
      <c r="BF906" s="1">
        <f>+IFERROR(VLOOKUP(BF21,'נתוני מים 2014'!$C$2:$N$188,11,0)/1000,0)</f>
        <v>0</v>
      </c>
    </row>
    <row r="907" spans="2:58" x14ac:dyDescent="0.2">
      <c r="B907" s="1">
        <v>15</v>
      </c>
      <c r="C907" s="1">
        <f>+IFERROR(VLOOKUP(C22,'נתוני מים 2014'!$C$2:$N$188,11,0)/1000,0)</f>
        <v>0</v>
      </c>
      <c r="D907" s="1">
        <f>+IFERROR(VLOOKUP(D22,'נתוני מים 2014'!$C$2:$N$188,11,0)/1000,0)</f>
        <v>0</v>
      </c>
      <c r="E907" s="1">
        <f>+IFERROR(VLOOKUP(E22,'נתוני מים 2014'!$C$2:$N$188,11,0)/1000,0)</f>
        <v>0</v>
      </c>
      <c r="F907" s="1">
        <f>+IFERROR(VLOOKUP(F22,'נתוני מים 2014'!$C$2:$N$188,11,0)/1000,0)</f>
        <v>0</v>
      </c>
      <c r="G907" s="1">
        <f>+IFERROR(VLOOKUP(G22,'נתוני מים 2014'!$C$2:$N$188,11,0)/1000,0)</f>
        <v>0</v>
      </c>
      <c r="H907" s="1">
        <f>+IFERROR(VLOOKUP(H22,'נתוני מים 2014'!$C$2:$N$188,11,0)/1000,0)</f>
        <v>0</v>
      </c>
      <c r="I907" s="1">
        <f>+IFERROR(VLOOKUP(I22,'נתוני מים 2014'!$C$2:$N$188,11,0)/1000,0)</f>
        <v>0</v>
      </c>
      <c r="J907" s="1">
        <f>+IFERROR(VLOOKUP(J22,'נתוני מים 2014'!$C$2:$N$188,11,0)/1000,0)</f>
        <v>0</v>
      </c>
      <c r="K907" s="1">
        <f>+IFERROR(VLOOKUP(K22,'נתוני מים 2014'!$C$2:$N$188,11,0)/1000,0)</f>
        <v>0</v>
      </c>
      <c r="L907" s="1">
        <f>+IFERROR(VLOOKUP(L22,'נתוני מים 2014'!$C$2:$N$188,11,0)/1000,0)</f>
        <v>0</v>
      </c>
      <c r="M907" s="1">
        <f>+IFERROR(VLOOKUP(M22,'נתוני מים 2014'!$C$2:$N$188,11,0)/1000,0)</f>
        <v>0</v>
      </c>
      <c r="N907" s="1">
        <f>+IFERROR(VLOOKUP(N22,'נתוני מים 2014'!$C$2:$N$188,11,0)/1000,0)</f>
        <v>0</v>
      </c>
      <c r="O907" s="1">
        <f>+IFERROR(VLOOKUP(O22,'נתוני מים 2014'!$C$2:$N$188,11,0)/1000,0)</f>
        <v>0</v>
      </c>
      <c r="P907" s="1">
        <f>+IFERROR(VLOOKUP(P22,'נתוני מים 2014'!$C$2:$N$188,11,0)/1000,0)</f>
        <v>0</v>
      </c>
      <c r="Q907" s="1">
        <f>+IFERROR(VLOOKUP(Q22,'נתוני מים 2014'!$C$2:$N$188,11,0)/1000,0)</f>
        <v>0</v>
      </c>
      <c r="R907" s="1">
        <f>+IFERROR(VLOOKUP(R22,'נתוני מים 2014'!$C$2:$N$188,11,0)/1000,0)</f>
        <v>0</v>
      </c>
      <c r="S907" s="1">
        <f>+IFERROR(VLOOKUP(S22,'נתוני מים 2014'!$C$2:$N$188,11,0)/1000,0)</f>
        <v>0</v>
      </c>
      <c r="T907" s="1">
        <f>+IFERROR(VLOOKUP(T22,'נתוני מים 2014'!$C$2:$N$188,11,0)/1000,0)</f>
        <v>0</v>
      </c>
      <c r="U907" s="1">
        <f>+IFERROR(VLOOKUP(U22,'נתוני מים 2014'!$C$2:$N$188,11,0)/1000,0)</f>
        <v>0</v>
      </c>
      <c r="V907" s="1">
        <f>+IFERROR(VLOOKUP(V22,'נתוני מים 2014'!$C$2:$N$188,11,0)/1000,0)</f>
        <v>0</v>
      </c>
      <c r="W907" s="1">
        <f>+IFERROR(VLOOKUP(W22,'נתוני מים 2014'!$C$2:$N$188,11,0)/1000,0)</f>
        <v>0</v>
      </c>
      <c r="X907" s="1">
        <f>+IFERROR(VLOOKUP(X22,'נתוני מים 2014'!$C$2:$N$188,11,0)/1000,0)</f>
        <v>0</v>
      </c>
      <c r="Y907" s="1">
        <f>+IFERROR(VLOOKUP(Y22,'נתוני מים 2014'!$C$2:$N$188,11,0)/1000,0)</f>
        <v>0</v>
      </c>
      <c r="Z907" s="1">
        <f>+IFERROR(VLOOKUP(Z22,'נתוני מים 2014'!$C$2:$N$188,11,0)/1000,0)</f>
        <v>0</v>
      </c>
      <c r="AA907" s="1">
        <f>+IFERROR(VLOOKUP(AA22,'נתוני מים 2014'!$C$2:$N$188,11,0)/1000,0)</f>
        <v>0</v>
      </c>
      <c r="AB907" s="1">
        <f>+IFERROR(VLOOKUP(AB22,'נתוני מים 2014'!$C$2:$N$188,11,0)/1000,0)</f>
        <v>0</v>
      </c>
      <c r="AC907" s="1">
        <f>+IFERROR(VLOOKUP(AC22,'נתוני מים 2014'!$C$2:$N$188,11,0)/1000,0)</f>
        <v>0</v>
      </c>
      <c r="AD907" s="1">
        <f>+IFERROR(VLOOKUP(AD22,'נתוני מים 2014'!$C$2:$N$188,11,0)/1000,0)</f>
        <v>0</v>
      </c>
      <c r="AE907" s="1">
        <f>+IFERROR(VLOOKUP(AE22,'נתוני מים 2014'!$C$2:$N$188,11,0)/1000,0)</f>
        <v>0</v>
      </c>
      <c r="AF907" s="1">
        <f>+IFERROR(VLOOKUP(AF22,'נתוני מים 2014'!$C$2:$N$188,11,0)/1000,0)</f>
        <v>0</v>
      </c>
      <c r="AG907" s="1">
        <f>+IFERROR(VLOOKUP(AG22,'נתוני מים 2014'!$C$2:$N$188,11,0)/1000,0)</f>
        <v>0</v>
      </c>
      <c r="AH907" s="1">
        <f>+IFERROR(VLOOKUP(AH22,'נתוני מים 2014'!$C$2:$N$188,11,0)/1000,0)</f>
        <v>0</v>
      </c>
      <c r="AI907" s="1">
        <f>+IFERROR(VLOOKUP(AI22,'נתוני מים 2014'!$C$2:$N$188,11,0)/1000,0)</f>
        <v>0</v>
      </c>
      <c r="AJ907" s="1">
        <f>+IFERROR(VLOOKUP(AJ22,'נתוני מים 2014'!$C$2:$N$188,11,0)/1000,0)</f>
        <v>0</v>
      </c>
      <c r="AK907" s="1">
        <f>+IFERROR(VLOOKUP(AK22,'נתוני מים 2014'!$C$2:$N$188,11,0)/1000,0)</f>
        <v>0</v>
      </c>
      <c r="AL907" s="1">
        <f>+IFERROR(VLOOKUP(AL22,'נתוני מים 2014'!$C$2:$N$188,11,0)/1000,0)</f>
        <v>0</v>
      </c>
      <c r="AM907" s="1">
        <f>+IFERROR(VLOOKUP(AM22,'נתוני מים 2014'!$C$2:$N$188,11,0)/1000,0)</f>
        <v>0</v>
      </c>
      <c r="AN907" s="1">
        <f>+IFERROR(VLOOKUP(AN22,'נתוני מים 2014'!$C$2:$N$188,11,0)/1000,0)</f>
        <v>0</v>
      </c>
      <c r="AO907" s="1">
        <f>+IFERROR(VLOOKUP(AO22,'נתוני מים 2014'!$C$2:$N$188,11,0)/1000,0)</f>
        <v>0</v>
      </c>
      <c r="AP907" s="1">
        <f>+IFERROR(VLOOKUP(AP22,'נתוני מים 2014'!$C$2:$N$188,11,0)/1000,0)</f>
        <v>0</v>
      </c>
      <c r="AQ907" s="1">
        <f>+IFERROR(VLOOKUP(AQ22,'נתוני מים 2014'!$C$2:$N$188,11,0)/1000,0)</f>
        <v>0</v>
      </c>
      <c r="AR907" s="1">
        <f>+IFERROR(VLOOKUP(AR22,'נתוני מים 2014'!$C$2:$N$188,11,0)/1000,0)</f>
        <v>0</v>
      </c>
      <c r="AS907" s="1">
        <f>+IFERROR(VLOOKUP(AS22,'נתוני מים 2014'!$C$2:$N$188,11,0)/1000,0)</f>
        <v>0</v>
      </c>
      <c r="AT907" s="1">
        <f>+IFERROR(VLOOKUP(AT22,'נתוני מים 2014'!$C$2:$N$188,11,0)/1000,0)</f>
        <v>0</v>
      </c>
      <c r="AU907" s="1">
        <f>+IFERROR(VLOOKUP(AU22,'נתוני מים 2014'!$C$2:$N$188,11,0)/1000,0)</f>
        <v>0</v>
      </c>
      <c r="AV907" s="1">
        <f>+IFERROR(VLOOKUP(AV22,'נתוני מים 2014'!$C$2:$N$188,11,0)/1000,0)</f>
        <v>0</v>
      </c>
      <c r="AW907" s="1">
        <f>+IFERROR(VLOOKUP(AW22,'נתוני מים 2014'!$C$2:$N$188,11,0)/1000,0)</f>
        <v>0</v>
      </c>
      <c r="AX907" s="1">
        <f>+IFERROR(VLOOKUP(AX22,'נתוני מים 2014'!$C$2:$N$188,11,0)/1000,0)</f>
        <v>0</v>
      </c>
      <c r="AY907" s="1">
        <f>+IFERROR(VLOOKUP(AY22,'נתוני מים 2014'!$C$2:$N$188,11,0)/1000,0)</f>
        <v>0</v>
      </c>
      <c r="AZ907" s="1">
        <f>+IFERROR(VLOOKUP(AZ22,'נתוני מים 2014'!$C$2:$N$188,11,0)/1000,0)</f>
        <v>0</v>
      </c>
      <c r="BA907" s="1">
        <f>+IFERROR(VLOOKUP(BA22,'נתוני מים 2014'!$C$2:$N$188,11,0)/1000,0)</f>
        <v>0</v>
      </c>
      <c r="BB907" s="1">
        <f>+IFERROR(VLOOKUP(BB22,'נתוני מים 2014'!$C$2:$N$188,11,0)/1000,0)</f>
        <v>0</v>
      </c>
      <c r="BC907" s="1">
        <f>+IFERROR(VLOOKUP(BC22,'נתוני מים 2014'!$C$2:$N$188,11,0)/1000,0)</f>
        <v>0</v>
      </c>
      <c r="BD907" s="1">
        <f>+IFERROR(VLOOKUP(BD22,'נתוני מים 2014'!$C$2:$N$188,11,0)/1000,0)</f>
        <v>0</v>
      </c>
      <c r="BE907" s="1">
        <f>+IFERROR(VLOOKUP(BE22,'נתוני מים 2014'!$C$2:$N$188,11,0)/1000,0)</f>
        <v>0</v>
      </c>
      <c r="BF907" s="1">
        <f>+IFERROR(VLOOKUP(BF22,'נתוני מים 2014'!$C$2:$N$188,11,0)/1000,0)</f>
        <v>0</v>
      </c>
    </row>
    <row r="908" spans="2:58" x14ac:dyDescent="0.2">
      <c r="B908" s="1">
        <v>16</v>
      </c>
      <c r="C908" s="1">
        <f>+IFERROR(VLOOKUP(C23,'נתוני מים 2014'!$C$2:$N$188,11,0)/1000,0)</f>
        <v>0</v>
      </c>
      <c r="D908" s="1">
        <f>+IFERROR(VLOOKUP(D23,'נתוני מים 2014'!$C$2:$N$188,11,0)/1000,0)</f>
        <v>0</v>
      </c>
      <c r="E908" s="1">
        <f>+IFERROR(VLOOKUP(E23,'נתוני מים 2014'!$C$2:$N$188,11,0)/1000,0)</f>
        <v>0</v>
      </c>
      <c r="F908" s="1">
        <f>+IFERROR(VLOOKUP(F23,'נתוני מים 2014'!$C$2:$N$188,11,0)/1000,0)</f>
        <v>0</v>
      </c>
      <c r="G908" s="1">
        <f>+IFERROR(VLOOKUP(G23,'נתוני מים 2014'!$C$2:$N$188,11,0)/1000,0)</f>
        <v>0</v>
      </c>
      <c r="H908" s="1">
        <f>+IFERROR(VLOOKUP(H23,'נתוני מים 2014'!$C$2:$N$188,11,0)/1000,0)</f>
        <v>0</v>
      </c>
      <c r="I908" s="1">
        <f>+IFERROR(VLOOKUP(I23,'נתוני מים 2014'!$C$2:$N$188,11,0)/1000,0)</f>
        <v>0</v>
      </c>
      <c r="J908" s="1">
        <f>+IFERROR(VLOOKUP(J23,'נתוני מים 2014'!$C$2:$N$188,11,0)/1000,0)</f>
        <v>0</v>
      </c>
      <c r="K908" s="1">
        <f>+IFERROR(VLOOKUP(K23,'נתוני מים 2014'!$C$2:$N$188,11,0)/1000,0)</f>
        <v>0</v>
      </c>
      <c r="L908" s="1">
        <f>+IFERROR(VLOOKUP(L23,'נתוני מים 2014'!$C$2:$N$188,11,0)/1000,0)</f>
        <v>0</v>
      </c>
      <c r="M908" s="1">
        <f>+IFERROR(VLOOKUP(M23,'נתוני מים 2014'!$C$2:$N$188,11,0)/1000,0)</f>
        <v>0</v>
      </c>
      <c r="N908" s="1">
        <f>+IFERROR(VLOOKUP(N23,'נתוני מים 2014'!$C$2:$N$188,11,0)/1000,0)</f>
        <v>0</v>
      </c>
      <c r="O908" s="1">
        <f>+IFERROR(VLOOKUP(O23,'נתוני מים 2014'!$C$2:$N$188,11,0)/1000,0)</f>
        <v>0</v>
      </c>
      <c r="P908" s="1">
        <f>+IFERROR(VLOOKUP(P23,'נתוני מים 2014'!$C$2:$N$188,11,0)/1000,0)</f>
        <v>0</v>
      </c>
      <c r="Q908" s="1">
        <f>+IFERROR(VLOOKUP(Q23,'נתוני מים 2014'!$C$2:$N$188,11,0)/1000,0)</f>
        <v>0</v>
      </c>
      <c r="R908" s="1">
        <f>+IFERROR(VLOOKUP(R23,'נתוני מים 2014'!$C$2:$N$188,11,0)/1000,0)</f>
        <v>0</v>
      </c>
      <c r="S908" s="1">
        <f>+IFERROR(VLOOKUP(S23,'נתוני מים 2014'!$C$2:$N$188,11,0)/1000,0)</f>
        <v>0</v>
      </c>
      <c r="T908" s="1">
        <f>+IFERROR(VLOOKUP(T23,'נתוני מים 2014'!$C$2:$N$188,11,0)/1000,0)</f>
        <v>0</v>
      </c>
      <c r="U908" s="1">
        <f>+IFERROR(VLOOKUP(U23,'נתוני מים 2014'!$C$2:$N$188,11,0)/1000,0)</f>
        <v>0</v>
      </c>
      <c r="V908" s="1">
        <f>+IFERROR(VLOOKUP(V23,'נתוני מים 2014'!$C$2:$N$188,11,0)/1000,0)</f>
        <v>0</v>
      </c>
      <c r="W908" s="1">
        <f>+IFERROR(VLOOKUP(W23,'נתוני מים 2014'!$C$2:$N$188,11,0)/1000,0)</f>
        <v>0</v>
      </c>
      <c r="X908" s="1">
        <f>+IFERROR(VLOOKUP(X23,'נתוני מים 2014'!$C$2:$N$188,11,0)/1000,0)</f>
        <v>0</v>
      </c>
      <c r="Y908" s="1">
        <f>+IFERROR(VLOOKUP(Y23,'נתוני מים 2014'!$C$2:$N$188,11,0)/1000,0)</f>
        <v>0</v>
      </c>
      <c r="Z908" s="1">
        <f>+IFERROR(VLOOKUP(Z23,'נתוני מים 2014'!$C$2:$N$188,11,0)/1000,0)</f>
        <v>0</v>
      </c>
      <c r="AA908" s="1">
        <f>+IFERROR(VLOOKUP(AA23,'נתוני מים 2014'!$C$2:$N$188,11,0)/1000,0)</f>
        <v>0</v>
      </c>
      <c r="AB908" s="1">
        <f>+IFERROR(VLOOKUP(AB23,'נתוני מים 2014'!$C$2:$N$188,11,0)/1000,0)</f>
        <v>0</v>
      </c>
      <c r="AC908" s="1">
        <f>+IFERROR(VLOOKUP(AC23,'נתוני מים 2014'!$C$2:$N$188,11,0)/1000,0)</f>
        <v>0</v>
      </c>
      <c r="AD908" s="1">
        <f>+IFERROR(VLOOKUP(AD23,'נתוני מים 2014'!$C$2:$N$188,11,0)/1000,0)</f>
        <v>0</v>
      </c>
      <c r="AE908" s="1">
        <f>+IFERROR(VLOOKUP(AE23,'נתוני מים 2014'!$C$2:$N$188,11,0)/1000,0)</f>
        <v>0</v>
      </c>
      <c r="AF908" s="1">
        <f>+IFERROR(VLOOKUP(AF23,'נתוני מים 2014'!$C$2:$N$188,11,0)/1000,0)</f>
        <v>0</v>
      </c>
      <c r="AG908" s="1">
        <f>+IFERROR(VLOOKUP(AG23,'נתוני מים 2014'!$C$2:$N$188,11,0)/1000,0)</f>
        <v>0</v>
      </c>
      <c r="AH908" s="1">
        <f>+IFERROR(VLOOKUP(AH23,'נתוני מים 2014'!$C$2:$N$188,11,0)/1000,0)</f>
        <v>0</v>
      </c>
      <c r="AI908" s="1">
        <f>+IFERROR(VLOOKUP(AI23,'נתוני מים 2014'!$C$2:$N$188,11,0)/1000,0)</f>
        <v>0</v>
      </c>
      <c r="AJ908" s="1">
        <f>+IFERROR(VLOOKUP(AJ23,'נתוני מים 2014'!$C$2:$N$188,11,0)/1000,0)</f>
        <v>0</v>
      </c>
      <c r="AK908" s="1">
        <f>+IFERROR(VLOOKUP(AK23,'נתוני מים 2014'!$C$2:$N$188,11,0)/1000,0)</f>
        <v>0</v>
      </c>
      <c r="AL908" s="1">
        <f>+IFERROR(VLOOKUP(AL23,'נתוני מים 2014'!$C$2:$N$188,11,0)/1000,0)</f>
        <v>0</v>
      </c>
      <c r="AM908" s="1">
        <f>+IFERROR(VLOOKUP(AM23,'נתוני מים 2014'!$C$2:$N$188,11,0)/1000,0)</f>
        <v>0</v>
      </c>
      <c r="AN908" s="1">
        <f>+IFERROR(VLOOKUP(AN23,'נתוני מים 2014'!$C$2:$N$188,11,0)/1000,0)</f>
        <v>0</v>
      </c>
      <c r="AO908" s="1">
        <f>+IFERROR(VLOOKUP(AO23,'נתוני מים 2014'!$C$2:$N$188,11,0)/1000,0)</f>
        <v>0</v>
      </c>
      <c r="AP908" s="1">
        <f>+IFERROR(VLOOKUP(AP23,'נתוני מים 2014'!$C$2:$N$188,11,0)/1000,0)</f>
        <v>0</v>
      </c>
      <c r="AQ908" s="1">
        <f>+IFERROR(VLOOKUP(AQ23,'נתוני מים 2014'!$C$2:$N$188,11,0)/1000,0)</f>
        <v>0</v>
      </c>
      <c r="AR908" s="1">
        <f>+IFERROR(VLOOKUP(AR23,'נתוני מים 2014'!$C$2:$N$188,11,0)/1000,0)</f>
        <v>0</v>
      </c>
      <c r="AS908" s="1">
        <f>+IFERROR(VLOOKUP(AS23,'נתוני מים 2014'!$C$2:$N$188,11,0)/1000,0)</f>
        <v>0</v>
      </c>
      <c r="AT908" s="1">
        <f>+IFERROR(VLOOKUP(AT23,'נתוני מים 2014'!$C$2:$N$188,11,0)/1000,0)</f>
        <v>0</v>
      </c>
      <c r="AU908" s="1">
        <f>+IFERROR(VLOOKUP(AU23,'נתוני מים 2014'!$C$2:$N$188,11,0)/1000,0)</f>
        <v>0</v>
      </c>
      <c r="AV908" s="1">
        <f>+IFERROR(VLOOKUP(AV23,'נתוני מים 2014'!$C$2:$N$188,11,0)/1000,0)</f>
        <v>0</v>
      </c>
      <c r="AW908" s="1">
        <f>+IFERROR(VLOOKUP(AW23,'נתוני מים 2014'!$C$2:$N$188,11,0)/1000,0)</f>
        <v>0</v>
      </c>
      <c r="AX908" s="1">
        <f>+IFERROR(VLOOKUP(AX23,'נתוני מים 2014'!$C$2:$N$188,11,0)/1000,0)</f>
        <v>0</v>
      </c>
      <c r="AY908" s="1">
        <f>+IFERROR(VLOOKUP(AY23,'נתוני מים 2014'!$C$2:$N$188,11,0)/1000,0)</f>
        <v>0</v>
      </c>
      <c r="AZ908" s="1">
        <f>+IFERROR(VLOOKUP(AZ23,'נתוני מים 2014'!$C$2:$N$188,11,0)/1000,0)</f>
        <v>0</v>
      </c>
      <c r="BA908" s="1">
        <f>+IFERROR(VLOOKUP(BA23,'נתוני מים 2014'!$C$2:$N$188,11,0)/1000,0)</f>
        <v>0</v>
      </c>
      <c r="BB908" s="1">
        <f>+IFERROR(VLOOKUP(BB23,'נתוני מים 2014'!$C$2:$N$188,11,0)/1000,0)</f>
        <v>0</v>
      </c>
      <c r="BC908" s="1">
        <f>+IFERROR(VLOOKUP(BC23,'נתוני מים 2014'!$C$2:$N$188,11,0)/1000,0)</f>
        <v>0</v>
      </c>
      <c r="BD908" s="1">
        <f>+IFERROR(VLOOKUP(BD23,'נתוני מים 2014'!$C$2:$N$188,11,0)/1000,0)</f>
        <v>0</v>
      </c>
      <c r="BE908" s="1">
        <f>+IFERROR(VLOOKUP(BE23,'נתוני מים 2014'!$C$2:$N$188,11,0)/1000,0)</f>
        <v>0</v>
      </c>
      <c r="BF908" s="1">
        <f>+IFERROR(VLOOKUP(BF23,'נתוני מים 2014'!$C$2:$N$188,11,0)/1000,0)</f>
        <v>0</v>
      </c>
    </row>
    <row r="909" spans="2:58" x14ac:dyDescent="0.2">
      <c r="B909" s="1">
        <v>17</v>
      </c>
      <c r="C909" s="1">
        <f>+IFERROR(VLOOKUP(C24,'נתוני מים 2014'!$C$2:$N$188,11,0)/1000,0)</f>
        <v>0</v>
      </c>
      <c r="D909" s="1">
        <f>+IFERROR(VLOOKUP(D24,'נתוני מים 2014'!$C$2:$N$188,11,0)/1000,0)</f>
        <v>0</v>
      </c>
      <c r="E909" s="1">
        <f>+IFERROR(VLOOKUP(E24,'נתוני מים 2014'!$C$2:$N$188,11,0)/1000,0)</f>
        <v>0</v>
      </c>
      <c r="F909" s="1">
        <f>+IFERROR(VLOOKUP(F24,'נתוני מים 2014'!$C$2:$N$188,11,0)/1000,0)</f>
        <v>0</v>
      </c>
      <c r="G909" s="1">
        <f>+IFERROR(VLOOKUP(G24,'נתוני מים 2014'!$C$2:$N$188,11,0)/1000,0)</f>
        <v>0</v>
      </c>
      <c r="H909" s="1">
        <f>+IFERROR(VLOOKUP(H24,'נתוני מים 2014'!$C$2:$N$188,11,0)/1000,0)</f>
        <v>0</v>
      </c>
      <c r="I909" s="1">
        <f>+IFERROR(VLOOKUP(I24,'נתוני מים 2014'!$C$2:$N$188,11,0)/1000,0)</f>
        <v>0</v>
      </c>
      <c r="J909" s="1">
        <f>+IFERROR(VLOOKUP(J24,'נתוני מים 2014'!$C$2:$N$188,11,0)/1000,0)</f>
        <v>0</v>
      </c>
      <c r="K909" s="1">
        <f>+IFERROR(VLOOKUP(K24,'נתוני מים 2014'!$C$2:$N$188,11,0)/1000,0)</f>
        <v>0</v>
      </c>
      <c r="L909" s="1">
        <f>+IFERROR(VLOOKUP(L24,'נתוני מים 2014'!$C$2:$N$188,11,0)/1000,0)</f>
        <v>0</v>
      </c>
      <c r="M909" s="1">
        <f>+IFERROR(VLOOKUP(M24,'נתוני מים 2014'!$C$2:$N$188,11,0)/1000,0)</f>
        <v>0</v>
      </c>
      <c r="N909" s="1">
        <f>+IFERROR(VLOOKUP(N24,'נתוני מים 2014'!$C$2:$N$188,11,0)/1000,0)</f>
        <v>0</v>
      </c>
      <c r="O909" s="1">
        <f>+IFERROR(VLOOKUP(O24,'נתוני מים 2014'!$C$2:$N$188,11,0)/1000,0)</f>
        <v>0</v>
      </c>
      <c r="P909" s="1">
        <f>+IFERROR(VLOOKUP(P24,'נתוני מים 2014'!$C$2:$N$188,11,0)/1000,0)</f>
        <v>0</v>
      </c>
      <c r="Q909" s="1">
        <f>+IFERROR(VLOOKUP(Q24,'נתוני מים 2014'!$C$2:$N$188,11,0)/1000,0)</f>
        <v>0</v>
      </c>
      <c r="R909" s="1">
        <f>+IFERROR(VLOOKUP(R24,'נתוני מים 2014'!$C$2:$N$188,11,0)/1000,0)</f>
        <v>0</v>
      </c>
      <c r="S909" s="1">
        <f>+IFERROR(VLOOKUP(S24,'נתוני מים 2014'!$C$2:$N$188,11,0)/1000,0)</f>
        <v>0</v>
      </c>
      <c r="T909" s="1">
        <f>+IFERROR(VLOOKUP(T24,'נתוני מים 2014'!$C$2:$N$188,11,0)/1000,0)</f>
        <v>0</v>
      </c>
      <c r="U909" s="1">
        <f>+IFERROR(VLOOKUP(U24,'נתוני מים 2014'!$C$2:$N$188,11,0)/1000,0)</f>
        <v>0</v>
      </c>
      <c r="V909" s="1">
        <f>+IFERROR(VLOOKUP(V24,'נתוני מים 2014'!$C$2:$N$188,11,0)/1000,0)</f>
        <v>0</v>
      </c>
      <c r="W909" s="1">
        <f>+IFERROR(VLOOKUP(W24,'נתוני מים 2014'!$C$2:$N$188,11,0)/1000,0)</f>
        <v>0</v>
      </c>
      <c r="X909" s="1">
        <f>+IFERROR(VLOOKUP(X24,'נתוני מים 2014'!$C$2:$N$188,11,0)/1000,0)</f>
        <v>0</v>
      </c>
      <c r="Y909" s="1">
        <f>+IFERROR(VLOOKUP(Y24,'נתוני מים 2014'!$C$2:$N$188,11,0)/1000,0)</f>
        <v>0</v>
      </c>
      <c r="Z909" s="1">
        <f>+IFERROR(VLOOKUP(Z24,'נתוני מים 2014'!$C$2:$N$188,11,0)/1000,0)</f>
        <v>0</v>
      </c>
      <c r="AA909" s="1">
        <f>+IFERROR(VLOOKUP(AA24,'נתוני מים 2014'!$C$2:$N$188,11,0)/1000,0)</f>
        <v>0</v>
      </c>
      <c r="AB909" s="1">
        <f>+IFERROR(VLOOKUP(AB24,'נתוני מים 2014'!$C$2:$N$188,11,0)/1000,0)</f>
        <v>0</v>
      </c>
      <c r="AC909" s="1">
        <f>+IFERROR(VLOOKUP(AC24,'נתוני מים 2014'!$C$2:$N$188,11,0)/1000,0)</f>
        <v>0</v>
      </c>
      <c r="AD909" s="1">
        <f>+IFERROR(VLOOKUP(AD24,'נתוני מים 2014'!$C$2:$N$188,11,0)/1000,0)</f>
        <v>0</v>
      </c>
      <c r="AE909" s="1">
        <f>+IFERROR(VLOOKUP(AE24,'נתוני מים 2014'!$C$2:$N$188,11,0)/1000,0)</f>
        <v>0</v>
      </c>
      <c r="AF909" s="1">
        <f>+IFERROR(VLOOKUP(AF24,'נתוני מים 2014'!$C$2:$N$188,11,0)/1000,0)</f>
        <v>0</v>
      </c>
      <c r="AG909" s="1">
        <f>+IFERROR(VLOOKUP(AG24,'נתוני מים 2014'!$C$2:$N$188,11,0)/1000,0)</f>
        <v>0</v>
      </c>
      <c r="AH909" s="1">
        <f>+IFERROR(VLOOKUP(AH24,'נתוני מים 2014'!$C$2:$N$188,11,0)/1000,0)</f>
        <v>0</v>
      </c>
      <c r="AI909" s="1">
        <f>+IFERROR(VLOOKUP(AI24,'נתוני מים 2014'!$C$2:$N$188,11,0)/1000,0)</f>
        <v>0</v>
      </c>
      <c r="AJ909" s="1">
        <f>+IFERROR(VLOOKUP(AJ24,'נתוני מים 2014'!$C$2:$N$188,11,0)/1000,0)</f>
        <v>0</v>
      </c>
      <c r="AK909" s="1">
        <f>+IFERROR(VLOOKUP(AK24,'נתוני מים 2014'!$C$2:$N$188,11,0)/1000,0)</f>
        <v>0</v>
      </c>
      <c r="AL909" s="1">
        <f>+IFERROR(VLOOKUP(AL24,'נתוני מים 2014'!$C$2:$N$188,11,0)/1000,0)</f>
        <v>0</v>
      </c>
      <c r="AM909" s="1">
        <f>+IFERROR(VLOOKUP(AM24,'נתוני מים 2014'!$C$2:$N$188,11,0)/1000,0)</f>
        <v>0</v>
      </c>
      <c r="AN909" s="1">
        <f>+IFERROR(VLOOKUP(AN24,'נתוני מים 2014'!$C$2:$N$188,11,0)/1000,0)</f>
        <v>0</v>
      </c>
      <c r="AO909" s="1">
        <f>+IFERROR(VLOOKUP(AO24,'נתוני מים 2014'!$C$2:$N$188,11,0)/1000,0)</f>
        <v>0</v>
      </c>
      <c r="AP909" s="1">
        <f>+IFERROR(VLOOKUP(AP24,'נתוני מים 2014'!$C$2:$N$188,11,0)/1000,0)</f>
        <v>0</v>
      </c>
      <c r="AQ909" s="1">
        <f>+IFERROR(VLOOKUP(AQ24,'נתוני מים 2014'!$C$2:$N$188,11,0)/1000,0)</f>
        <v>0</v>
      </c>
      <c r="AR909" s="1">
        <f>+IFERROR(VLOOKUP(AR24,'נתוני מים 2014'!$C$2:$N$188,11,0)/1000,0)</f>
        <v>0</v>
      </c>
      <c r="AS909" s="1">
        <f>+IFERROR(VLOOKUP(AS24,'נתוני מים 2014'!$C$2:$N$188,11,0)/1000,0)</f>
        <v>0</v>
      </c>
      <c r="AT909" s="1">
        <f>+IFERROR(VLOOKUP(AT24,'נתוני מים 2014'!$C$2:$N$188,11,0)/1000,0)</f>
        <v>0</v>
      </c>
      <c r="AU909" s="1">
        <f>+IFERROR(VLOOKUP(AU24,'נתוני מים 2014'!$C$2:$N$188,11,0)/1000,0)</f>
        <v>0</v>
      </c>
      <c r="AV909" s="1">
        <f>+IFERROR(VLOOKUP(AV24,'נתוני מים 2014'!$C$2:$N$188,11,0)/1000,0)</f>
        <v>0</v>
      </c>
      <c r="AW909" s="1">
        <f>+IFERROR(VLOOKUP(AW24,'נתוני מים 2014'!$C$2:$N$188,11,0)/1000,0)</f>
        <v>0</v>
      </c>
      <c r="AX909" s="1">
        <f>+IFERROR(VLOOKUP(AX24,'נתוני מים 2014'!$C$2:$N$188,11,0)/1000,0)</f>
        <v>0</v>
      </c>
      <c r="AY909" s="1">
        <f>+IFERROR(VLOOKUP(AY24,'נתוני מים 2014'!$C$2:$N$188,11,0)/1000,0)</f>
        <v>0</v>
      </c>
      <c r="AZ909" s="1">
        <f>+IFERROR(VLOOKUP(AZ24,'נתוני מים 2014'!$C$2:$N$188,11,0)/1000,0)</f>
        <v>0</v>
      </c>
      <c r="BA909" s="1">
        <f>+IFERROR(VLOOKUP(BA24,'נתוני מים 2014'!$C$2:$N$188,11,0)/1000,0)</f>
        <v>0</v>
      </c>
      <c r="BB909" s="1">
        <f>+IFERROR(VLOOKUP(BB24,'נתוני מים 2014'!$C$2:$N$188,11,0)/1000,0)</f>
        <v>0</v>
      </c>
      <c r="BC909" s="1">
        <f>+IFERROR(VLOOKUP(BC24,'נתוני מים 2014'!$C$2:$N$188,11,0)/1000,0)</f>
        <v>0</v>
      </c>
      <c r="BD909" s="1">
        <f>+IFERROR(VLOOKUP(BD24,'נתוני מים 2014'!$C$2:$N$188,11,0)/1000,0)</f>
        <v>0</v>
      </c>
      <c r="BE909" s="1">
        <f>+IFERROR(VLOOKUP(BE24,'נתוני מים 2014'!$C$2:$N$188,11,0)/1000,0)</f>
        <v>0</v>
      </c>
      <c r="BF909" s="1">
        <f>+IFERROR(VLOOKUP(BF24,'נתוני מים 2014'!$C$2:$N$188,11,0)/1000,0)</f>
        <v>0</v>
      </c>
    </row>
    <row r="910" spans="2:58" x14ac:dyDescent="0.2">
      <c r="B910" s="1">
        <v>18</v>
      </c>
      <c r="C910" s="1">
        <f>+IFERROR(VLOOKUP(C25,'נתוני מים 2014'!$C$2:$N$188,11,0)/1000,0)</f>
        <v>0</v>
      </c>
      <c r="D910" s="1">
        <f>+IFERROR(VLOOKUP(D25,'נתוני מים 2014'!$C$2:$N$188,11,0)/1000,0)</f>
        <v>0</v>
      </c>
      <c r="E910" s="1">
        <f>+IFERROR(VLOOKUP(E25,'נתוני מים 2014'!$C$2:$N$188,11,0)/1000,0)</f>
        <v>0</v>
      </c>
      <c r="F910" s="1">
        <f>+IFERROR(VLOOKUP(F25,'נתוני מים 2014'!$C$2:$N$188,11,0)/1000,0)</f>
        <v>0</v>
      </c>
      <c r="G910" s="1">
        <f>+IFERROR(VLOOKUP(G25,'נתוני מים 2014'!$C$2:$N$188,11,0)/1000,0)</f>
        <v>0</v>
      </c>
      <c r="H910" s="1">
        <f>+IFERROR(VLOOKUP(H25,'נתוני מים 2014'!$C$2:$N$188,11,0)/1000,0)</f>
        <v>0</v>
      </c>
      <c r="I910" s="1">
        <f>+IFERROR(VLOOKUP(I25,'נתוני מים 2014'!$C$2:$N$188,11,0)/1000,0)</f>
        <v>0</v>
      </c>
      <c r="J910" s="1">
        <f>+IFERROR(VLOOKUP(J25,'נתוני מים 2014'!$C$2:$N$188,11,0)/1000,0)</f>
        <v>0</v>
      </c>
      <c r="K910" s="1">
        <f>+IFERROR(VLOOKUP(K25,'נתוני מים 2014'!$C$2:$N$188,11,0)/1000,0)</f>
        <v>0</v>
      </c>
      <c r="L910" s="1">
        <f>+IFERROR(VLOOKUP(L25,'נתוני מים 2014'!$C$2:$N$188,11,0)/1000,0)</f>
        <v>0</v>
      </c>
      <c r="M910" s="1">
        <f>+IFERROR(VLOOKUP(M25,'נתוני מים 2014'!$C$2:$N$188,11,0)/1000,0)</f>
        <v>0</v>
      </c>
      <c r="N910" s="1">
        <f>+IFERROR(VLOOKUP(N25,'נתוני מים 2014'!$C$2:$N$188,11,0)/1000,0)</f>
        <v>0</v>
      </c>
      <c r="O910" s="1">
        <f>+IFERROR(VLOOKUP(O25,'נתוני מים 2014'!$C$2:$N$188,11,0)/1000,0)</f>
        <v>0</v>
      </c>
      <c r="P910" s="1">
        <f>+IFERROR(VLOOKUP(P25,'נתוני מים 2014'!$C$2:$N$188,11,0)/1000,0)</f>
        <v>0</v>
      </c>
      <c r="Q910" s="1">
        <f>+IFERROR(VLOOKUP(Q25,'נתוני מים 2014'!$C$2:$N$188,11,0)/1000,0)</f>
        <v>0</v>
      </c>
      <c r="R910" s="1">
        <f>+IFERROR(VLOOKUP(R25,'נתוני מים 2014'!$C$2:$N$188,11,0)/1000,0)</f>
        <v>0</v>
      </c>
      <c r="S910" s="1">
        <f>+IFERROR(VLOOKUP(S25,'נתוני מים 2014'!$C$2:$N$188,11,0)/1000,0)</f>
        <v>0</v>
      </c>
      <c r="T910" s="1">
        <f>+IFERROR(VLOOKUP(T25,'נתוני מים 2014'!$C$2:$N$188,11,0)/1000,0)</f>
        <v>0</v>
      </c>
      <c r="U910" s="1">
        <f>+IFERROR(VLOOKUP(U25,'נתוני מים 2014'!$C$2:$N$188,11,0)/1000,0)</f>
        <v>0</v>
      </c>
      <c r="V910" s="1">
        <f>+IFERROR(VLOOKUP(V25,'נתוני מים 2014'!$C$2:$N$188,11,0)/1000,0)</f>
        <v>0</v>
      </c>
      <c r="W910" s="1">
        <f>+IFERROR(VLOOKUP(W25,'נתוני מים 2014'!$C$2:$N$188,11,0)/1000,0)</f>
        <v>0</v>
      </c>
      <c r="X910" s="1">
        <f>+IFERROR(VLOOKUP(X25,'נתוני מים 2014'!$C$2:$N$188,11,0)/1000,0)</f>
        <v>0</v>
      </c>
      <c r="Y910" s="1">
        <f>+IFERROR(VLOOKUP(Y25,'נתוני מים 2014'!$C$2:$N$188,11,0)/1000,0)</f>
        <v>0</v>
      </c>
      <c r="Z910" s="1">
        <f>+IFERROR(VLOOKUP(Z25,'נתוני מים 2014'!$C$2:$N$188,11,0)/1000,0)</f>
        <v>0</v>
      </c>
      <c r="AA910" s="1">
        <f>+IFERROR(VLOOKUP(AA25,'נתוני מים 2014'!$C$2:$N$188,11,0)/1000,0)</f>
        <v>0</v>
      </c>
      <c r="AB910" s="1">
        <f>+IFERROR(VLOOKUP(AB25,'נתוני מים 2014'!$C$2:$N$188,11,0)/1000,0)</f>
        <v>0</v>
      </c>
      <c r="AC910" s="1">
        <f>+IFERROR(VLOOKUP(AC25,'נתוני מים 2014'!$C$2:$N$188,11,0)/1000,0)</f>
        <v>0</v>
      </c>
      <c r="AD910" s="1">
        <f>+IFERROR(VLOOKUP(AD25,'נתוני מים 2014'!$C$2:$N$188,11,0)/1000,0)</f>
        <v>0</v>
      </c>
      <c r="AE910" s="1">
        <f>+IFERROR(VLOOKUP(AE25,'נתוני מים 2014'!$C$2:$N$188,11,0)/1000,0)</f>
        <v>0</v>
      </c>
      <c r="AF910" s="1">
        <f>+IFERROR(VLOOKUP(AF25,'נתוני מים 2014'!$C$2:$N$188,11,0)/1000,0)</f>
        <v>0</v>
      </c>
      <c r="AG910" s="1">
        <f>+IFERROR(VLOOKUP(AG25,'נתוני מים 2014'!$C$2:$N$188,11,0)/1000,0)</f>
        <v>0</v>
      </c>
      <c r="AH910" s="1">
        <f>+IFERROR(VLOOKUP(AH25,'נתוני מים 2014'!$C$2:$N$188,11,0)/1000,0)</f>
        <v>0</v>
      </c>
      <c r="AI910" s="1">
        <f>+IFERROR(VLOOKUP(AI25,'נתוני מים 2014'!$C$2:$N$188,11,0)/1000,0)</f>
        <v>0</v>
      </c>
      <c r="AJ910" s="1">
        <f>+IFERROR(VLOOKUP(AJ25,'נתוני מים 2014'!$C$2:$N$188,11,0)/1000,0)</f>
        <v>0</v>
      </c>
      <c r="AK910" s="1">
        <f>+IFERROR(VLOOKUP(AK25,'נתוני מים 2014'!$C$2:$N$188,11,0)/1000,0)</f>
        <v>0</v>
      </c>
      <c r="AL910" s="1">
        <f>+IFERROR(VLOOKUP(AL25,'נתוני מים 2014'!$C$2:$N$188,11,0)/1000,0)</f>
        <v>0</v>
      </c>
      <c r="AM910" s="1">
        <f>+IFERROR(VLOOKUP(AM25,'נתוני מים 2014'!$C$2:$N$188,11,0)/1000,0)</f>
        <v>0</v>
      </c>
      <c r="AN910" s="1">
        <f>+IFERROR(VLOOKUP(AN25,'נתוני מים 2014'!$C$2:$N$188,11,0)/1000,0)</f>
        <v>0</v>
      </c>
      <c r="AO910" s="1">
        <f>+IFERROR(VLOOKUP(AO25,'נתוני מים 2014'!$C$2:$N$188,11,0)/1000,0)</f>
        <v>0</v>
      </c>
      <c r="AP910" s="1">
        <f>+IFERROR(VLOOKUP(AP25,'נתוני מים 2014'!$C$2:$N$188,11,0)/1000,0)</f>
        <v>0</v>
      </c>
      <c r="AQ910" s="1">
        <f>+IFERROR(VLOOKUP(AQ25,'נתוני מים 2014'!$C$2:$N$188,11,0)/1000,0)</f>
        <v>0</v>
      </c>
      <c r="AR910" s="1">
        <f>+IFERROR(VLOOKUP(AR25,'נתוני מים 2014'!$C$2:$N$188,11,0)/1000,0)</f>
        <v>0</v>
      </c>
      <c r="AS910" s="1">
        <f>+IFERROR(VLOOKUP(AS25,'נתוני מים 2014'!$C$2:$N$188,11,0)/1000,0)</f>
        <v>0</v>
      </c>
      <c r="AT910" s="1">
        <f>+IFERROR(VLOOKUP(AT25,'נתוני מים 2014'!$C$2:$N$188,11,0)/1000,0)</f>
        <v>0</v>
      </c>
      <c r="AU910" s="1">
        <f>+IFERROR(VLOOKUP(AU25,'נתוני מים 2014'!$C$2:$N$188,11,0)/1000,0)</f>
        <v>0</v>
      </c>
      <c r="AV910" s="1">
        <f>+IFERROR(VLOOKUP(AV25,'נתוני מים 2014'!$C$2:$N$188,11,0)/1000,0)</f>
        <v>0</v>
      </c>
      <c r="AW910" s="1">
        <f>+IFERROR(VLOOKUP(AW25,'נתוני מים 2014'!$C$2:$N$188,11,0)/1000,0)</f>
        <v>0</v>
      </c>
      <c r="AX910" s="1">
        <f>+IFERROR(VLOOKUP(AX25,'נתוני מים 2014'!$C$2:$N$188,11,0)/1000,0)</f>
        <v>0</v>
      </c>
      <c r="AY910" s="1">
        <f>+IFERROR(VLOOKUP(AY25,'נתוני מים 2014'!$C$2:$N$188,11,0)/1000,0)</f>
        <v>0</v>
      </c>
      <c r="AZ910" s="1">
        <f>+IFERROR(VLOOKUP(AZ25,'נתוני מים 2014'!$C$2:$N$188,11,0)/1000,0)</f>
        <v>0</v>
      </c>
      <c r="BA910" s="1">
        <f>+IFERROR(VLOOKUP(BA25,'נתוני מים 2014'!$C$2:$N$188,11,0)/1000,0)</f>
        <v>0</v>
      </c>
      <c r="BB910" s="1">
        <f>+IFERROR(VLOOKUP(BB25,'נתוני מים 2014'!$C$2:$N$188,11,0)/1000,0)</f>
        <v>0</v>
      </c>
      <c r="BC910" s="1">
        <f>+IFERROR(VLOOKUP(BC25,'נתוני מים 2014'!$C$2:$N$188,11,0)/1000,0)</f>
        <v>0</v>
      </c>
      <c r="BD910" s="1">
        <f>+IFERROR(VLOOKUP(BD25,'נתוני מים 2014'!$C$2:$N$188,11,0)/1000,0)</f>
        <v>0</v>
      </c>
      <c r="BE910" s="1">
        <f>+IFERROR(VLOOKUP(BE25,'נתוני מים 2014'!$C$2:$N$188,11,0)/1000,0)</f>
        <v>0</v>
      </c>
      <c r="BF910" s="1">
        <f>+IFERROR(VLOOKUP(BF25,'נתוני מים 2014'!$C$2:$N$188,11,0)/1000,0)</f>
        <v>0</v>
      </c>
    </row>
    <row r="911" spans="2:58" x14ac:dyDescent="0.2">
      <c r="B911" s="1">
        <v>19</v>
      </c>
      <c r="C911" s="1">
        <f>+IFERROR(VLOOKUP(C26,'נתוני מים 2014'!$C$2:$N$188,11,0)/1000,0)</f>
        <v>0</v>
      </c>
      <c r="D911" s="1">
        <f>+IFERROR(VLOOKUP(D26,'נתוני מים 2014'!$C$2:$N$188,11,0)/1000,0)</f>
        <v>0</v>
      </c>
      <c r="E911" s="1">
        <f>+IFERROR(VLOOKUP(E26,'נתוני מים 2014'!$C$2:$N$188,11,0)/1000,0)</f>
        <v>0</v>
      </c>
      <c r="F911" s="1">
        <f>+IFERROR(VLOOKUP(F26,'נתוני מים 2014'!$C$2:$N$188,11,0)/1000,0)</f>
        <v>0</v>
      </c>
      <c r="G911" s="1">
        <f>+IFERROR(VLOOKUP(G26,'נתוני מים 2014'!$C$2:$N$188,11,0)/1000,0)</f>
        <v>0</v>
      </c>
      <c r="H911" s="1">
        <f>+IFERROR(VLOOKUP(H26,'נתוני מים 2014'!$C$2:$N$188,11,0)/1000,0)</f>
        <v>0</v>
      </c>
      <c r="I911" s="1">
        <f>+IFERROR(VLOOKUP(I26,'נתוני מים 2014'!$C$2:$N$188,11,0)/1000,0)</f>
        <v>0</v>
      </c>
      <c r="J911" s="1">
        <f>+IFERROR(VLOOKUP(J26,'נתוני מים 2014'!$C$2:$N$188,11,0)/1000,0)</f>
        <v>0</v>
      </c>
      <c r="K911" s="1">
        <f>+IFERROR(VLOOKUP(K26,'נתוני מים 2014'!$C$2:$N$188,11,0)/1000,0)</f>
        <v>0</v>
      </c>
      <c r="L911" s="1">
        <f>+IFERROR(VLOOKUP(L26,'נתוני מים 2014'!$C$2:$N$188,11,0)/1000,0)</f>
        <v>0</v>
      </c>
      <c r="M911" s="1">
        <f>+IFERROR(VLOOKUP(M26,'נתוני מים 2014'!$C$2:$N$188,11,0)/1000,0)</f>
        <v>0</v>
      </c>
      <c r="N911" s="1">
        <f>+IFERROR(VLOOKUP(N26,'נתוני מים 2014'!$C$2:$N$188,11,0)/1000,0)</f>
        <v>0</v>
      </c>
      <c r="O911" s="1">
        <f>+IFERROR(VLOOKUP(O26,'נתוני מים 2014'!$C$2:$N$188,11,0)/1000,0)</f>
        <v>0</v>
      </c>
      <c r="P911" s="1">
        <f>+IFERROR(VLOOKUP(P26,'נתוני מים 2014'!$C$2:$N$188,11,0)/1000,0)</f>
        <v>0</v>
      </c>
      <c r="Q911" s="1">
        <f>+IFERROR(VLOOKUP(Q26,'נתוני מים 2014'!$C$2:$N$188,11,0)/1000,0)</f>
        <v>0</v>
      </c>
      <c r="R911" s="1">
        <f>+IFERROR(VLOOKUP(R26,'נתוני מים 2014'!$C$2:$N$188,11,0)/1000,0)</f>
        <v>0</v>
      </c>
      <c r="S911" s="1">
        <f>+IFERROR(VLOOKUP(S26,'נתוני מים 2014'!$C$2:$N$188,11,0)/1000,0)</f>
        <v>0</v>
      </c>
      <c r="T911" s="1">
        <f>+IFERROR(VLOOKUP(T26,'נתוני מים 2014'!$C$2:$N$188,11,0)/1000,0)</f>
        <v>0</v>
      </c>
      <c r="U911" s="1">
        <f>+IFERROR(VLOOKUP(U26,'נתוני מים 2014'!$C$2:$N$188,11,0)/1000,0)</f>
        <v>0</v>
      </c>
      <c r="V911" s="1">
        <f>+IFERROR(VLOOKUP(V26,'נתוני מים 2014'!$C$2:$N$188,11,0)/1000,0)</f>
        <v>0</v>
      </c>
      <c r="W911" s="1">
        <f>+IFERROR(VLOOKUP(W26,'נתוני מים 2014'!$C$2:$N$188,11,0)/1000,0)</f>
        <v>0</v>
      </c>
      <c r="X911" s="1">
        <f>+IFERROR(VLOOKUP(X26,'נתוני מים 2014'!$C$2:$N$188,11,0)/1000,0)</f>
        <v>0</v>
      </c>
      <c r="Y911" s="1">
        <f>+IFERROR(VLOOKUP(Y26,'נתוני מים 2014'!$C$2:$N$188,11,0)/1000,0)</f>
        <v>0</v>
      </c>
      <c r="Z911" s="1">
        <f>+IFERROR(VLOOKUP(Z26,'נתוני מים 2014'!$C$2:$N$188,11,0)/1000,0)</f>
        <v>0</v>
      </c>
      <c r="AA911" s="1">
        <f>+IFERROR(VLOOKUP(AA26,'נתוני מים 2014'!$C$2:$N$188,11,0)/1000,0)</f>
        <v>0</v>
      </c>
      <c r="AB911" s="1">
        <f>+IFERROR(VLOOKUP(AB26,'נתוני מים 2014'!$C$2:$N$188,11,0)/1000,0)</f>
        <v>0</v>
      </c>
      <c r="AC911" s="1">
        <f>+IFERROR(VLOOKUP(AC26,'נתוני מים 2014'!$C$2:$N$188,11,0)/1000,0)</f>
        <v>0</v>
      </c>
      <c r="AD911" s="1">
        <f>+IFERROR(VLOOKUP(AD26,'נתוני מים 2014'!$C$2:$N$188,11,0)/1000,0)</f>
        <v>0</v>
      </c>
      <c r="AE911" s="1">
        <f>+IFERROR(VLOOKUP(AE26,'נתוני מים 2014'!$C$2:$N$188,11,0)/1000,0)</f>
        <v>0</v>
      </c>
      <c r="AF911" s="1">
        <f>+IFERROR(VLOOKUP(AF26,'נתוני מים 2014'!$C$2:$N$188,11,0)/1000,0)</f>
        <v>0</v>
      </c>
      <c r="AG911" s="1">
        <f>+IFERROR(VLOOKUP(AG26,'נתוני מים 2014'!$C$2:$N$188,11,0)/1000,0)</f>
        <v>0</v>
      </c>
      <c r="AH911" s="1">
        <f>+IFERROR(VLOOKUP(AH26,'נתוני מים 2014'!$C$2:$N$188,11,0)/1000,0)</f>
        <v>0</v>
      </c>
      <c r="AI911" s="1">
        <f>+IFERROR(VLOOKUP(AI26,'נתוני מים 2014'!$C$2:$N$188,11,0)/1000,0)</f>
        <v>0</v>
      </c>
      <c r="AJ911" s="1">
        <f>+IFERROR(VLOOKUP(AJ26,'נתוני מים 2014'!$C$2:$N$188,11,0)/1000,0)</f>
        <v>0</v>
      </c>
      <c r="AK911" s="1">
        <f>+IFERROR(VLOOKUP(AK26,'נתוני מים 2014'!$C$2:$N$188,11,0)/1000,0)</f>
        <v>0</v>
      </c>
      <c r="AL911" s="1">
        <f>+IFERROR(VLOOKUP(AL26,'נתוני מים 2014'!$C$2:$N$188,11,0)/1000,0)</f>
        <v>0</v>
      </c>
      <c r="AM911" s="1">
        <f>+IFERROR(VLOOKUP(AM26,'נתוני מים 2014'!$C$2:$N$188,11,0)/1000,0)</f>
        <v>0</v>
      </c>
      <c r="AN911" s="1">
        <f>+IFERROR(VLOOKUP(AN26,'נתוני מים 2014'!$C$2:$N$188,11,0)/1000,0)</f>
        <v>0</v>
      </c>
      <c r="AO911" s="1">
        <f>+IFERROR(VLOOKUP(AO26,'נתוני מים 2014'!$C$2:$N$188,11,0)/1000,0)</f>
        <v>0</v>
      </c>
      <c r="AP911" s="1">
        <f>+IFERROR(VLOOKUP(AP26,'נתוני מים 2014'!$C$2:$N$188,11,0)/1000,0)</f>
        <v>0</v>
      </c>
      <c r="AQ911" s="1">
        <f>+IFERROR(VLOOKUP(AQ26,'נתוני מים 2014'!$C$2:$N$188,11,0)/1000,0)</f>
        <v>0</v>
      </c>
      <c r="AR911" s="1">
        <f>+IFERROR(VLOOKUP(AR26,'נתוני מים 2014'!$C$2:$N$188,11,0)/1000,0)</f>
        <v>0</v>
      </c>
      <c r="AS911" s="1">
        <f>+IFERROR(VLOOKUP(AS26,'נתוני מים 2014'!$C$2:$N$188,11,0)/1000,0)</f>
        <v>0</v>
      </c>
      <c r="AT911" s="1">
        <f>+IFERROR(VLOOKUP(AT26,'נתוני מים 2014'!$C$2:$N$188,11,0)/1000,0)</f>
        <v>0</v>
      </c>
      <c r="AU911" s="1">
        <f>+IFERROR(VLOOKUP(AU26,'נתוני מים 2014'!$C$2:$N$188,11,0)/1000,0)</f>
        <v>0</v>
      </c>
      <c r="AV911" s="1">
        <f>+IFERROR(VLOOKUP(AV26,'נתוני מים 2014'!$C$2:$N$188,11,0)/1000,0)</f>
        <v>0</v>
      </c>
      <c r="AW911" s="1">
        <f>+IFERROR(VLOOKUP(AW26,'נתוני מים 2014'!$C$2:$N$188,11,0)/1000,0)</f>
        <v>0</v>
      </c>
      <c r="AX911" s="1">
        <f>+IFERROR(VLOOKUP(AX26,'נתוני מים 2014'!$C$2:$N$188,11,0)/1000,0)</f>
        <v>0</v>
      </c>
      <c r="AY911" s="1">
        <f>+IFERROR(VLOOKUP(AY26,'נתוני מים 2014'!$C$2:$N$188,11,0)/1000,0)</f>
        <v>0</v>
      </c>
      <c r="AZ911" s="1">
        <f>+IFERROR(VLOOKUP(AZ26,'נתוני מים 2014'!$C$2:$N$188,11,0)/1000,0)</f>
        <v>0</v>
      </c>
      <c r="BA911" s="1">
        <f>+IFERROR(VLOOKUP(BA26,'נתוני מים 2014'!$C$2:$N$188,11,0)/1000,0)</f>
        <v>0</v>
      </c>
      <c r="BB911" s="1">
        <f>+IFERROR(VLOOKUP(BB26,'נתוני מים 2014'!$C$2:$N$188,11,0)/1000,0)</f>
        <v>0</v>
      </c>
      <c r="BC911" s="1">
        <f>+IFERROR(VLOOKUP(BC26,'נתוני מים 2014'!$C$2:$N$188,11,0)/1000,0)</f>
        <v>0</v>
      </c>
      <c r="BD911" s="1">
        <f>+IFERROR(VLOOKUP(BD26,'נתוני מים 2014'!$C$2:$N$188,11,0)/1000,0)</f>
        <v>0</v>
      </c>
      <c r="BE911" s="1">
        <f>+IFERROR(VLOOKUP(BE26,'נתוני מים 2014'!$C$2:$N$188,11,0)/1000,0)</f>
        <v>0</v>
      </c>
      <c r="BF911" s="1">
        <f>+IFERROR(VLOOKUP(BF26,'נתוני מים 2014'!$C$2:$N$188,11,0)/1000,0)</f>
        <v>0</v>
      </c>
    </row>
    <row r="912" spans="2:58" x14ac:dyDescent="0.2">
      <c r="B912" s="1">
        <v>20</v>
      </c>
      <c r="C912" s="1">
        <f>+IFERROR(VLOOKUP(C27,'נתוני מים 2014'!$C$2:$N$188,11,0)/1000,0)</f>
        <v>0</v>
      </c>
      <c r="D912" s="1">
        <f>+IFERROR(VLOOKUP(D27,'נתוני מים 2014'!$C$2:$N$188,11,0)/1000,0)</f>
        <v>0</v>
      </c>
      <c r="E912" s="1">
        <f>+IFERROR(VLOOKUP(E27,'נתוני מים 2014'!$C$2:$N$188,11,0)/1000,0)</f>
        <v>0</v>
      </c>
      <c r="F912" s="1">
        <f>+IFERROR(VLOOKUP(F27,'נתוני מים 2014'!$C$2:$N$188,11,0)/1000,0)</f>
        <v>0</v>
      </c>
      <c r="G912" s="1">
        <f>+IFERROR(VLOOKUP(G27,'נתוני מים 2014'!$C$2:$N$188,11,0)/1000,0)</f>
        <v>0</v>
      </c>
      <c r="H912" s="1">
        <f>+IFERROR(VLOOKUP(H27,'נתוני מים 2014'!$C$2:$N$188,11,0)/1000,0)</f>
        <v>0</v>
      </c>
      <c r="I912" s="1">
        <f>+IFERROR(VLOOKUP(I27,'נתוני מים 2014'!$C$2:$N$188,11,0)/1000,0)</f>
        <v>0</v>
      </c>
      <c r="J912" s="1">
        <f>+IFERROR(VLOOKUP(J27,'נתוני מים 2014'!$C$2:$N$188,11,0)/1000,0)</f>
        <v>0</v>
      </c>
      <c r="K912" s="1">
        <f>+IFERROR(VLOOKUP(K27,'נתוני מים 2014'!$C$2:$N$188,11,0)/1000,0)</f>
        <v>0</v>
      </c>
      <c r="L912" s="1">
        <f>+IFERROR(VLOOKUP(L27,'נתוני מים 2014'!$C$2:$N$188,11,0)/1000,0)</f>
        <v>0</v>
      </c>
      <c r="M912" s="1">
        <f>+IFERROR(VLOOKUP(M27,'נתוני מים 2014'!$C$2:$N$188,11,0)/1000,0)</f>
        <v>0</v>
      </c>
      <c r="N912" s="1">
        <f>+IFERROR(VLOOKUP(N27,'נתוני מים 2014'!$C$2:$N$188,11,0)/1000,0)</f>
        <v>0</v>
      </c>
      <c r="O912" s="1">
        <f>+IFERROR(VLOOKUP(O27,'נתוני מים 2014'!$C$2:$N$188,11,0)/1000,0)</f>
        <v>0</v>
      </c>
      <c r="P912" s="1">
        <f>+IFERROR(VLOOKUP(P27,'נתוני מים 2014'!$C$2:$N$188,11,0)/1000,0)</f>
        <v>0</v>
      </c>
      <c r="Q912" s="1">
        <f>+IFERROR(VLOOKUP(Q27,'נתוני מים 2014'!$C$2:$N$188,11,0)/1000,0)</f>
        <v>0</v>
      </c>
      <c r="R912" s="1">
        <f>+IFERROR(VLOOKUP(R27,'נתוני מים 2014'!$C$2:$N$188,11,0)/1000,0)</f>
        <v>0</v>
      </c>
      <c r="S912" s="1">
        <f>+IFERROR(VLOOKUP(S27,'נתוני מים 2014'!$C$2:$N$188,11,0)/1000,0)</f>
        <v>0</v>
      </c>
      <c r="T912" s="1">
        <f>+IFERROR(VLOOKUP(T27,'נתוני מים 2014'!$C$2:$N$188,11,0)/1000,0)</f>
        <v>0</v>
      </c>
      <c r="U912" s="1">
        <f>+IFERROR(VLOOKUP(U27,'נתוני מים 2014'!$C$2:$N$188,11,0)/1000,0)</f>
        <v>0</v>
      </c>
      <c r="V912" s="1">
        <f>+IFERROR(VLOOKUP(V27,'נתוני מים 2014'!$C$2:$N$188,11,0)/1000,0)</f>
        <v>0</v>
      </c>
      <c r="W912" s="1">
        <f>+IFERROR(VLOOKUP(W27,'נתוני מים 2014'!$C$2:$N$188,11,0)/1000,0)</f>
        <v>0</v>
      </c>
      <c r="X912" s="1">
        <f>+IFERROR(VLOOKUP(X27,'נתוני מים 2014'!$C$2:$N$188,11,0)/1000,0)</f>
        <v>0</v>
      </c>
      <c r="Y912" s="1">
        <f>+IFERROR(VLOOKUP(Y27,'נתוני מים 2014'!$C$2:$N$188,11,0)/1000,0)</f>
        <v>0</v>
      </c>
      <c r="Z912" s="1">
        <f>+IFERROR(VLOOKUP(Z27,'נתוני מים 2014'!$C$2:$N$188,11,0)/1000,0)</f>
        <v>0</v>
      </c>
      <c r="AA912" s="1">
        <f>+IFERROR(VLOOKUP(AA27,'נתוני מים 2014'!$C$2:$N$188,11,0)/1000,0)</f>
        <v>0</v>
      </c>
      <c r="AB912" s="1">
        <f>+IFERROR(VLOOKUP(AB27,'נתוני מים 2014'!$C$2:$N$188,11,0)/1000,0)</f>
        <v>0</v>
      </c>
      <c r="AC912" s="1">
        <f>+IFERROR(VLOOKUP(AC27,'נתוני מים 2014'!$C$2:$N$188,11,0)/1000,0)</f>
        <v>0</v>
      </c>
      <c r="AD912" s="1">
        <f>+IFERROR(VLOOKUP(AD27,'נתוני מים 2014'!$C$2:$N$188,11,0)/1000,0)</f>
        <v>0</v>
      </c>
      <c r="AE912" s="1">
        <f>+IFERROR(VLOOKUP(AE27,'נתוני מים 2014'!$C$2:$N$188,11,0)/1000,0)</f>
        <v>0</v>
      </c>
      <c r="AF912" s="1">
        <f>+IFERROR(VLOOKUP(AF27,'נתוני מים 2014'!$C$2:$N$188,11,0)/1000,0)</f>
        <v>0</v>
      </c>
      <c r="AG912" s="1">
        <f>+IFERROR(VLOOKUP(AG27,'נתוני מים 2014'!$C$2:$N$188,11,0)/1000,0)</f>
        <v>0</v>
      </c>
      <c r="AH912" s="1">
        <f>+IFERROR(VLOOKUP(AH27,'נתוני מים 2014'!$C$2:$N$188,11,0)/1000,0)</f>
        <v>0</v>
      </c>
      <c r="AI912" s="1">
        <f>+IFERROR(VLOOKUP(AI27,'נתוני מים 2014'!$C$2:$N$188,11,0)/1000,0)</f>
        <v>0</v>
      </c>
      <c r="AJ912" s="1">
        <f>+IFERROR(VLOOKUP(AJ27,'נתוני מים 2014'!$C$2:$N$188,11,0)/1000,0)</f>
        <v>0</v>
      </c>
      <c r="AK912" s="1">
        <f>+IFERROR(VLOOKUP(AK27,'נתוני מים 2014'!$C$2:$N$188,11,0)/1000,0)</f>
        <v>0</v>
      </c>
      <c r="AL912" s="1">
        <f>+IFERROR(VLOOKUP(AL27,'נתוני מים 2014'!$C$2:$N$188,11,0)/1000,0)</f>
        <v>0</v>
      </c>
      <c r="AM912" s="1">
        <f>+IFERROR(VLOOKUP(AM27,'נתוני מים 2014'!$C$2:$N$188,11,0)/1000,0)</f>
        <v>0</v>
      </c>
      <c r="AN912" s="1">
        <f>+IFERROR(VLOOKUP(AN27,'נתוני מים 2014'!$C$2:$N$188,11,0)/1000,0)</f>
        <v>0</v>
      </c>
      <c r="AO912" s="1">
        <f>+IFERROR(VLOOKUP(AO27,'נתוני מים 2014'!$C$2:$N$188,11,0)/1000,0)</f>
        <v>0</v>
      </c>
      <c r="AP912" s="1">
        <f>+IFERROR(VLOOKUP(AP27,'נתוני מים 2014'!$C$2:$N$188,11,0)/1000,0)</f>
        <v>0</v>
      </c>
      <c r="AQ912" s="1">
        <f>+IFERROR(VLOOKUP(AQ27,'נתוני מים 2014'!$C$2:$N$188,11,0)/1000,0)</f>
        <v>0</v>
      </c>
      <c r="AR912" s="1">
        <f>+IFERROR(VLOOKUP(AR27,'נתוני מים 2014'!$C$2:$N$188,11,0)/1000,0)</f>
        <v>0</v>
      </c>
      <c r="AS912" s="1">
        <f>+IFERROR(VLOOKUP(AS27,'נתוני מים 2014'!$C$2:$N$188,11,0)/1000,0)</f>
        <v>0</v>
      </c>
      <c r="AT912" s="1">
        <f>+IFERROR(VLOOKUP(AT27,'נתוני מים 2014'!$C$2:$N$188,11,0)/1000,0)</f>
        <v>0</v>
      </c>
      <c r="AU912" s="1">
        <f>+IFERROR(VLOOKUP(AU27,'נתוני מים 2014'!$C$2:$N$188,11,0)/1000,0)</f>
        <v>0</v>
      </c>
      <c r="AV912" s="1">
        <f>+IFERROR(VLOOKUP(AV27,'נתוני מים 2014'!$C$2:$N$188,11,0)/1000,0)</f>
        <v>0</v>
      </c>
      <c r="AW912" s="1">
        <f>+IFERROR(VLOOKUP(AW27,'נתוני מים 2014'!$C$2:$N$188,11,0)/1000,0)</f>
        <v>0</v>
      </c>
      <c r="AX912" s="1">
        <f>+IFERROR(VLOOKUP(AX27,'נתוני מים 2014'!$C$2:$N$188,11,0)/1000,0)</f>
        <v>0</v>
      </c>
      <c r="AY912" s="1">
        <f>+IFERROR(VLOOKUP(AY27,'נתוני מים 2014'!$C$2:$N$188,11,0)/1000,0)</f>
        <v>0</v>
      </c>
      <c r="AZ912" s="1">
        <f>+IFERROR(VLOOKUP(AZ27,'נתוני מים 2014'!$C$2:$N$188,11,0)/1000,0)</f>
        <v>0</v>
      </c>
      <c r="BA912" s="1">
        <f>+IFERROR(VLOOKUP(BA27,'נתוני מים 2014'!$C$2:$N$188,11,0)/1000,0)</f>
        <v>0</v>
      </c>
      <c r="BB912" s="1">
        <f>+IFERROR(VLOOKUP(BB27,'נתוני מים 2014'!$C$2:$N$188,11,0)/1000,0)</f>
        <v>0</v>
      </c>
      <c r="BC912" s="1">
        <f>+IFERROR(VLOOKUP(BC27,'נתוני מים 2014'!$C$2:$N$188,11,0)/1000,0)</f>
        <v>0</v>
      </c>
      <c r="BD912" s="1">
        <f>+IFERROR(VLOOKUP(BD27,'נתוני מים 2014'!$C$2:$N$188,11,0)/1000,0)</f>
        <v>0</v>
      </c>
      <c r="BE912" s="1">
        <f>+IFERROR(VLOOKUP(BE27,'נתוני מים 2014'!$C$2:$N$188,11,0)/1000,0)</f>
        <v>0</v>
      </c>
      <c r="BF912" s="1">
        <f>+IFERROR(VLOOKUP(BF27,'נתוני מים 2014'!$C$2:$N$188,11,0)/1000,0)</f>
        <v>0</v>
      </c>
    </row>
    <row r="913" spans="1:58" x14ac:dyDescent="0.2">
      <c r="B913" s="1">
        <v>21</v>
      </c>
      <c r="C913" s="1">
        <f>+IFERROR(VLOOKUP(C28,'נתוני מים 2014'!$C$2:$N$188,11,0)/1000,0)</f>
        <v>0</v>
      </c>
      <c r="D913" s="1">
        <f>+IFERROR(VLOOKUP(D28,'נתוני מים 2014'!$C$2:$N$188,11,0)/1000,0)</f>
        <v>0</v>
      </c>
      <c r="E913" s="1">
        <f>+IFERROR(VLOOKUP(E28,'נתוני מים 2014'!$C$2:$N$188,11,0)/1000,0)</f>
        <v>0</v>
      </c>
      <c r="F913" s="1">
        <f>+IFERROR(VLOOKUP(F28,'נתוני מים 2014'!$C$2:$N$188,11,0)/1000,0)</f>
        <v>0</v>
      </c>
      <c r="G913" s="1">
        <f>+IFERROR(VLOOKUP(G28,'נתוני מים 2014'!$C$2:$N$188,11,0)/1000,0)</f>
        <v>0</v>
      </c>
      <c r="H913" s="1">
        <f>+IFERROR(VLOOKUP(H28,'נתוני מים 2014'!$C$2:$N$188,11,0)/1000,0)</f>
        <v>0</v>
      </c>
      <c r="I913" s="1">
        <f>+IFERROR(VLOOKUP(I28,'נתוני מים 2014'!$C$2:$N$188,11,0)/1000,0)</f>
        <v>0</v>
      </c>
      <c r="J913" s="1">
        <f>+IFERROR(VLOOKUP(J28,'נתוני מים 2014'!$C$2:$N$188,11,0)/1000,0)</f>
        <v>0</v>
      </c>
      <c r="K913" s="1">
        <f>+IFERROR(VLOOKUP(K28,'נתוני מים 2014'!$C$2:$N$188,11,0)/1000,0)</f>
        <v>0</v>
      </c>
      <c r="L913" s="1">
        <f>+IFERROR(VLOOKUP(L28,'נתוני מים 2014'!$C$2:$N$188,11,0)/1000,0)</f>
        <v>0</v>
      </c>
      <c r="M913" s="1">
        <f>+IFERROR(VLOOKUP(M28,'נתוני מים 2014'!$C$2:$N$188,11,0)/1000,0)</f>
        <v>0</v>
      </c>
      <c r="N913" s="1">
        <f>+IFERROR(VLOOKUP(N28,'נתוני מים 2014'!$C$2:$N$188,11,0)/1000,0)</f>
        <v>0</v>
      </c>
      <c r="O913" s="1">
        <f>+IFERROR(VLOOKUP(O28,'נתוני מים 2014'!$C$2:$N$188,11,0)/1000,0)</f>
        <v>0</v>
      </c>
      <c r="P913" s="1">
        <f>+IFERROR(VLOOKUP(P28,'נתוני מים 2014'!$C$2:$N$188,11,0)/1000,0)</f>
        <v>0</v>
      </c>
      <c r="Q913" s="1">
        <f>+IFERROR(VLOOKUP(Q28,'נתוני מים 2014'!$C$2:$N$188,11,0)/1000,0)</f>
        <v>0</v>
      </c>
      <c r="R913" s="1">
        <f>+IFERROR(VLOOKUP(R28,'נתוני מים 2014'!$C$2:$N$188,11,0)/1000,0)</f>
        <v>0</v>
      </c>
      <c r="S913" s="1">
        <f>+IFERROR(VLOOKUP(S28,'נתוני מים 2014'!$C$2:$N$188,11,0)/1000,0)</f>
        <v>0</v>
      </c>
      <c r="T913" s="1">
        <f>+IFERROR(VLOOKUP(T28,'נתוני מים 2014'!$C$2:$N$188,11,0)/1000,0)</f>
        <v>0</v>
      </c>
      <c r="U913" s="1">
        <f>+IFERROR(VLOOKUP(U28,'נתוני מים 2014'!$C$2:$N$188,11,0)/1000,0)</f>
        <v>0</v>
      </c>
      <c r="V913" s="1">
        <f>+IFERROR(VLOOKUP(V28,'נתוני מים 2014'!$C$2:$N$188,11,0)/1000,0)</f>
        <v>0</v>
      </c>
      <c r="W913" s="1">
        <f>+IFERROR(VLOOKUP(W28,'נתוני מים 2014'!$C$2:$N$188,11,0)/1000,0)</f>
        <v>0</v>
      </c>
      <c r="X913" s="1">
        <f>+IFERROR(VLOOKUP(X28,'נתוני מים 2014'!$C$2:$N$188,11,0)/1000,0)</f>
        <v>0</v>
      </c>
      <c r="Y913" s="1">
        <f>+IFERROR(VLOOKUP(Y28,'נתוני מים 2014'!$C$2:$N$188,11,0)/1000,0)</f>
        <v>0</v>
      </c>
      <c r="Z913" s="1">
        <f>+IFERROR(VLOOKUP(Z28,'נתוני מים 2014'!$C$2:$N$188,11,0)/1000,0)</f>
        <v>0</v>
      </c>
      <c r="AA913" s="1">
        <f>+IFERROR(VLOOKUP(AA28,'נתוני מים 2014'!$C$2:$N$188,11,0)/1000,0)</f>
        <v>0</v>
      </c>
      <c r="AB913" s="1">
        <f>+IFERROR(VLOOKUP(AB28,'נתוני מים 2014'!$C$2:$N$188,11,0)/1000,0)</f>
        <v>0</v>
      </c>
      <c r="AC913" s="1">
        <f>+IFERROR(VLOOKUP(AC28,'נתוני מים 2014'!$C$2:$N$188,11,0)/1000,0)</f>
        <v>0</v>
      </c>
      <c r="AD913" s="1">
        <f>+IFERROR(VLOOKUP(AD28,'נתוני מים 2014'!$C$2:$N$188,11,0)/1000,0)</f>
        <v>0</v>
      </c>
      <c r="AE913" s="1">
        <f>+IFERROR(VLOOKUP(AE28,'נתוני מים 2014'!$C$2:$N$188,11,0)/1000,0)</f>
        <v>0</v>
      </c>
      <c r="AF913" s="1">
        <f>+IFERROR(VLOOKUP(AF28,'נתוני מים 2014'!$C$2:$N$188,11,0)/1000,0)</f>
        <v>0</v>
      </c>
      <c r="AG913" s="1">
        <f>+IFERROR(VLOOKUP(AG28,'נתוני מים 2014'!$C$2:$N$188,11,0)/1000,0)</f>
        <v>0</v>
      </c>
      <c r="AH913" s="1">
        <f>+IFERROR(VLOOKUP(AH28,'נתוני מים 2014'!$C$2:$N$188,11,0)/1000,0)</f>
        <v>0</v>
      </c>
      <c r="AI913" s="1">
        <f>+IFERROR(VLOOKUP(AI28,'נתוני מים 2014'!$C$2:$N$188,11,0)/1000,0)</f>
        <v>0</v>
      </c>
      <c r="AJ913" s="1">
        <f>+IFERROR(VLOOKUP(AJ28,'נתוני מים 2014'!$C$2:$N$188,11,0)/1000,0)</f>
        <v>0</v>
      </c>
      <c r="AK913" s="1">
        <f>+IFERROR(VLOOKUP(AK28,'נתוני מים 2014'!$C$2:$N$188,11,0)/1000,0)</f>
        <v>0</v>
      </c>
      <c r="AL913" s="1">
        <f>+IFERROR(VLOOKUP(AL28,'נתוני מים 2014'!$C$2:$N$188,11,0)/1000,0)</f>
        <v>0</v>
      </c>
      <c r="AM913" s="1">
        <f>+IFERROR(VLOOKUP(AM28,'נתוני מים 2014'!$C$2:$N$188,11,0)/1000,0)</f>
        <v>0</v>
      </c>
      <c r="AN913" s="1">
        <f>+IFERROR(VLOOKUP(AN28,'נתוני מים 2014'!$C$2:$N$188,11,0)/1000,0)</f>
        <v>0</v>
      </c>
      <c r="AO913" s="1">
        <f>+IFERROR(VLOOKUP(AO28,'נתוני מים 2014'!$C$2:$N$188,11,0)/1000,0)</f>
        <v>0</v>
      </c>
      <c r="AP913" s="1">
        <f>+IFERROR(VLOOKUP(AP28,'נתוני מים 2014'!$C$2:$N$188,11,0)/1000,0)</f>
        <v>0</v>
      </c>
      <c r="AQ913" s="1">
        <f>+IFERROR(VLOOKUP(AQ28,'נתוני מים 2014'!$C$2:$N$188,11,0)/1000,0)</f>
        <v>0</v>
      </c>
      <c r="AR913" s="1">
        <f>+IFERROR(VLOOKUP(AR28,'נתוני מים 2014'!$C$2:$N$188,11,0)/1000,0)</f>
        <v>0</v>
      </c>
      <c r="AS913" s="1">
        <f>+IFERROR(VLOOKUP(AS28,'נתוני מים 2014'!$C$2:$N$188,11,0)/1000,0)</f>
        <v>0</v>
      </c>
      <c r="AT913" s="1">
        <f>+IFERROR(VLOOKUP(AT28,'נתוני מים 2014'!$C$2:$N$188,11,0)/1000,0)</f>
        <v>0</v>
      </c>
      <c r="AU913" s="1">
        <f>+IFERROR(VLOOKUP(AU28,'נתוני מים 2014'!$C$2:$N$188,11,0)/1000,0)</f>
        <v>0</v>
      </c>
      <c r="AV913" s="1">
        <f>+IFERROR(VLOOKUP(AV28,'נתוני מים 2014'!$C$2:$N$188,11,0)/1000,0)</f>
        <v>0</v>
      </c>
      <c r="AW913" s="1">
        <f>+IFERROR(VLOOKUP(AW28,'נתוני מים 2014'!$C$2:$N$188,11,0)/1000,0)</f>
        <v>0</v>
      </c>
      <c r="AX913" s="1">
        <f>+IFERROR(VLOOKUP(AX28,'נתוני מים 2014'!$C$2:$N$188,11,0)/1000,0)</f>
        <v>0</v>
      </c>
      <c r="AY913" s="1">
        <f>+IFERROR(VLOOKUP(AY28,'נתוני מים 2014'!$C$2:$N$188,11,0)/1000,0)</f>
        <v>0</v>
      </c>
      <c r="AZ913" s="1">
        <f>+IFERROR(VLOOKUP(AZ28,'נתוני מים 2014'!$C$2:$N$188,11,0)/1000,0)</f>
        <v>0</v>
      </c>
      <c r="BA913" s="1">
        <f>+IFERROR(VLOOKUP(BA28,'נתוני מים 2014'!$C$2:$N$188,11,0)/1000,0)</f>
        <v>0</v>
      </c>
      <c r="BB913" s="1">
        <f>+IFERROR(VLOOKUP(BB28,'נתוני מים 2014'!$C$2:$N$188,11,0)/1000,0)</f>
        <v>0</v>
      </c>
      <c r="BC913" s="1">
        <f>+IFERROR(VLOOKUP(BC28,'נתוני מים 2014'!$C$2:$N$188,11,0)/1000,0)</f>
        <v>0</v>
      </c>
      <c r="BD913" s="1">
        <f>+IFERROR(VLOOKUP(BD28,'נתוני מים 2014'!$C$2:$N$188,11,0)/1000,0)</f>
        <v>0</v>
      </c>
      <c r="BE913" s="1">
        <f>+IFERROR(VLOOKUP(BE28,'נתוני מים 2014'!$C$2:$N$188,11,0)/1000,0)</f>
        <v>0</v>
      </c>
      <c r="BF913" s="1">
        <f>+IFERROR(VLOOKUP(BF28,'נתוני מים 2014'!$C$2:$N$188,11,0)/1000,0)</f>
        <v>0</v>
      </c>
    </row>
    <row r="914" spans="1:58" x14ac:dyDescent="0.2">
      <c r="B914" s="1">
        <v>22</v>
      </c>
      <c r="C914" s="1">
        <f>+IFERROR(VLOOKUP(C29,'נתוני מים 2014'!$C$2:$N$188,11,0)/1000,0)</f>
        <v>0</v>
      </c>
      <c r="D914" s="1">
        <f>+IFERROR(VLOOKUP(D29,'נתוני מים 2014'!$C$2:$N$188,11,0)/1000,0)</f>
        <v>0</v>
      </c>
      <c r="E914" s="1">
        <f>+IFERROR(VLOOKUP(E29,'נתוני מים 2014'!$C$2:$N$188,11,0)/1000,0)</f>
        <v>0</v>
      </c>
      <c r="F914" s="1">
        <f>+IFERROR(VLOOKUP(F29,'נתוני מים 2014'!$C$2:$N$188,11,0)/1000,0)</f>
        <v>0</v>
      </c>
      <c r="G914" s="1">
        <f>+IFERROR(VLOOKUP(G29,'נתוני מים 2014'!$C$2:$N$188,11,0)/1000,0)</f>
        <v>0</v>
      </c>
      <c r="H914" s="1">
        <f>+IFERROR(VLOOKUP(H29,'נתוני מים 2014'!$C$2:$N$188,11,0)/1000,0)</f>
        <v>0</v>
      </c>
      <c r="I914" s="1">
        <f>+IFERROR(VLOOKUP(I29,'נתוני מים 2014'!$C$2:$N$188,11,0)/1000,0)</f>
        <v>0</v>
      </c>
      <c r="J914" s="1">
        <f>+IFERROR(VLOOKUP(J29,'נתוני מים 2014'!$C$2:$N$188,11,0)/1000,0)</f>
        <v>0</v>
      </c>
      <c r="K914" s="1">
        <f>+IFERROR(VLOOKUP(K29,'נתוני מים 2014'!$C$2:$N$188,11,0)/1000,0)</f>
        <v>0</v>
      </c>
      <c r="L914" s="1">
        <f>+IFERROR(VLOOKUP(L29,'נתוני מים 2014'!$C$2:$N$188,11,0)/1000,0)</f>
        <v>0</v>
      </c>
      <c r="M914" s="1">
        <f>+IFERROR(VLOOKUP(M29,'נתוני מים 2014'!$C$2:$N$188,11,0)/1000,0)</f>
        <v>0</v>
      </c>
      <c r="N914" s="1">
        <f>+IFERROR(VLOOKUP(N29,'נתוני מים 2014'!$C$2:$N$188,11,0)/1000,0)</f>
        <v>0</v>
      </c>
      <c r="O914" s="1">
        <f>+IFERROR(VLOOKUP(O29,'נתוני מים 2014'!$C$2:$N$188,11,0)/1000,0)</f>
        <v>0</v>
      </c>
      <c r="P914" s="1">
        <f>+IFERROR(VLOOKUP(P29,'נתוני מים 2014'!$C$2:$N$188,11,0)/1000,0)</f>
        <v>0</v>
      </c>
      <c r="Q914" s="1">
        <f>+IFERROR(VLOOKUP(Q29,'נתוני מים 2014'!$C$2:$N$188,11,0)/1000,0)</f>
        <v>0</v>
      </c>
      <c r="R914" s="1">
        <f>+IFERROR(VLOOKUP(R29,'נתוני מים 2014'!$C$2:$N$188,11,0)/1000,0)</f>
        <v>0</v>
      </c>
      <c r="S914" s="1">
        <f>+IFERROR(VLOOKUP(S29,'נתוני מים 2014'!$C$2:$N$188,11,0)/1000,0)</f>
        <v>0</v>
      </c>
      <c r="T914" s="1">
        <f>+IFERROR(VLOOKUP(T29,'נתוני מים 2014'!$C$2:$N$188,11,0)/1000,0)</f>
        <v>0</v>
      </c>
      <c r="U914" s="1">
        <f>+IFERROR(VLOOKUP(U29,'נתוני מים 2014'!$C$2:$N$188,11,0)/1000,0)</f>
        <v>0</v>
      </c>
      <c r="V914" s="1">
        <f>+IFERROR(VLOOKUP(V29,'נתוני מים 2014'!$C$2:$N$188,11,0)/1000,0)</f>
        <v>0</v>
      </c>
      <c r="W914" s="1">
        <f>+IFERROR(VLOOKUP(W29,'נתוני מים 2014'!$C$2:$N$188,11,0)/1000,0)</f>
        <v>0</v>
      </c>
      <c r="X914" s="1">
        <f>+IFERROR(VLOOKUP(X29,'נתוני מים 2014'!$C$2:$N$188,11,0)/1000,0)</f>
        <v>0</v>
      </c>
      <c r="Y914" s="1">
        <f>+IFERROR(VLOOKUP(Y29,'נתוני מים 2014'!$C$2:$N$188,11,0)/1000,0)</f>
        <v>0</v>
      </c>
      <c r="Z914" s="1">
        <f>+IFERROR(VLOOKUP(Z29,'נתוני מים 2014'!$C$2:$N$188,11,0)/1000,0)</f>
        <v>0</v>
      </c>
      <c r="AA914" s="1">
        <f>+IFERROR(VLOOKUP(AA29,'נתוני מים 2014'!$C$2:$N$188,11,0)/1000,0)</f>
        <v>0</v>
      </c>
      <c r="AB914" s="1">
        <f>+IFERROR(VLOOKUP(AB29,'נתוני מים 2014'!$C$2:$N$188,11,0)/1000,0)</f>
        <v>0</v>
      </c>
      <c r="AC914" s="1">
        <f>+IFERROR(VLOOKUP(AC29,'נתוני מים 2014'!$C$2:$N$188,11,0)/1000,0)</f>
        <v>0</v>
      </c>
      <c r="AD914" s="1">
        <f>+IFERROR(VLOOKUP(AD29,'נתוני מים 2014'!$C$2:$N$188,11,0)/1000,0)</f>
        <v>0</v>
      </c>
      <c r="AE914" s="1">
        <f>+IFERROR(VLOOKUP(AE29,'נתוני מים 2014'!$C$2:$N$188,11,0)/1000,0)</f>
        <v>0</v>
      </c>
      <c r="AF914" s="1">
        <f>+IFERROR(VLOOKUP(AF29,'נתוני מים 2014'!$C$2:$N$188,11,0)/1000,0)</f>
        <v>0</v>
      </c>
      <c r="AG914" s="1">
        <f>+IFERROR(VLOOKUP(AG29,'נתוני מים 2014'!$C$2:$N$188,11,0)/1000,0)</f>
        <v>0</v>
      </c>
      <c r="AH914" s="1">
        <f>+IFERROR(VLOOKUP(AH29,'נתוני מים 2014'!$C$2:$N$188,11,0)/1000,0)</f>
        <v>0</v>
      </c>
      <c r="AI914" s="1">
        <f>+IFERROR(VLOOKUP(AI29,'נתוני מים 2014'!$C$2:$N$188,11,0)/1000,0)</f>
        <v>0</v>
      </c>
      <c r="AJ914" s="1">
        <f>+IFERROR(VLOOKUP(AJ29,'נתוני מים 2014'!$C$2:$N$188,11,0)/1000,0)</f>
        <v>0</v>
      </c>
      <c r="AK914" s="1">
        <f>+IFERROR(VLOOKUP(AK29,'נתוני מים 2014'!$C$2:$N$188,11,0)/1000,0)</f>
        <v>0</v>
      </c>
      <c r="AL914" s="1">
        <f>+IFERROR(VLOOKUP(AL29,'נתוני מים 2014'!$C$2:$N$188,11,0)/1000,0)</f>
        <v>0</v>
      </c>
      <c r="AM914" s="1">
        <f>+IFERROR(VLOOKUP(AM29,'נתוני מים 2014'!$C$2:$N$188,11,0)/1000,0)</f>
        <v>0</v>
      </c>
      <c r="AN914" s="1">
        <f>+IFERROR(VLOOKUP(AN29,'נתוני מים 2014'!$C$2:$N$188,11,0)/1000,0)</f>
        <v>0</v>
      </c>
      <c r="AO914" s="1">
        <f>+IFERROR(VLOOKUP(AO29,'נתוני מים 2014'!$C$2:$N$188,11,0)/1000,0)</f>
        <v>0</v>
      </c>
      <c r="AP914" s="1">
        <f>+IFERROR(VLOOKUP(AP29,'נתוני מים 2014'!$C$2:$N$188,11,0)/1000,0)</f>
        <v>0</v>
      </c>
      <c r="AQ914" s="1">
        <f>+IFERROR(VLOOKUP(AQ29,'נתוני מים 2014'!$C$2:$N$188,11,0)/1000,0)</f>
        <v>0</v>
      </c>
      <c r="AR914" s="1">
        <f>+IFERROR(VLOOKUP(AR29,'נתוני מים 2014'!$C$2:$N$188,11,0)/1000,0)</f>
        <v>0</v>
      </c>
      <c r="AS914" s="1">
        <f>+IFERROR(VLOOKUP(AS29,'נתוני מים 2014'!$C$2:$N$188,11,0)/1000,0)</f>
        <v>0</v>
      </c>
      <c r="AT914" s="1">
        <f>+IFERROR(VLOOKUP(AT29,'נתוני מים 2014'!$C$2:$N$188,11,0)/1000,0)</f>
        <v>0</v>
      </c>
      <c r="AU914" s="1">
        <f>+IFERROR(VLOOKUP(AU29,'נתוני מים 2014'!$C$2:$N$188,11,0)/1000,0)</f>
        <v>0</v>
      </c>
      <c r="AV914" s="1">
        <f>+IFERROR(VLOOKUP(AV29,'נתוני מים 2014'!$C$2:$N$188,11,0)/1000,0)</f>
        <v>0</v>
      </c>
      <c r="AW914" s="1">
        <f>+IFERROR(VLOOKUP(AW29,'נתוני מים 2014'!$C$2:$N$188,11,0)/1000,0)</f>
        <v>0</v>
      </c>
      <c r="AX914" s="1">
        <f>+IFERROR(VLOOKUP(AX29,'נתוני מים 2014'!$C$2:$N$188,11,0)/1000,0)</f>
        <v>0</v>
      </c>
      <c r="AY914" s="1">
        <f>+IFERROR(VLOOKUP(AY29,'נתוני מים 2014'!$C$2:$N$188,11,0)/1000,0)</f>
        <v>0</v>
      </c>
      <c r="AZ914" s="1">
        <f>+IFERROR(VLOOKUP(AZ29,'נתוני מים 2014'!$C$2:$N$188,11,0)/1000,0)</f>
        <v>0</v>
      </c>
      <c r="BA914" s="1">
        <f>+IFERROR(VLOOKUP(BA29,'נתוני מים 2014'!$C$2:$N$188,11,0)/1000,0)</f>
        <v>0</v>
      </c>
      <c r="BB914" s="1">
        <f>+IFERROR(VLOOKUP(BB29,'נתוני מים 2014'!$C$2:$N$188,11,0)/1000,0)</f>
        <v>0</v>
      </c>
      <c r="BC914" s="1">
        <f>+IFERROR(VLOOKUP(BC29,'נתוני מים 2014'!$C$2:$N$188,11,0)/1000,0)</f>
        <v>0</v>
      </c>
      <c r="BD914" s="1">
        <f>+IFERROR(VLOOKUP(BD29,'נתוני מים 2014'!$C$2:$N$188,11,0)/1000,0)</f>
        <v>0</v>
      </c>
      <c r="BE914" s="1">
        <f>+IFERROR(VLOOKUP(BE29,'נתוני מים 2014'!$C$2:$N$188,11,0)/1000,0)</f>
        <v>0</v>
      </c>
      <c r="BF914" s="1">
        <f>+IFERROR(VLOOKUP(BF29,'נתוני מים 2014'!$C$2:$N$188,11,0)/1000,0)</f>
        <v>0</v>
      </c>
    </row>
    <row r="915" spans="1:58" x14ac:dyDescent="0.2">
      <c r="B915" s="1">
        <v>23</v>
      </c>
      <c r="C915" s="1">
        <f>+IFERROR(VLOOKUP(C30,'נתוני מים 2014'!$C$2:$N$188,11,0)/1000,0)</f>
        <v>0</v>
      </c>
      <c r="D915" s="1">
        <f>+IFERROR(VLOOKUP(D30,'נתוני מים 2014'!$C$2:$N$188,11,0)/1000,0)</f>
        <v>0</v>
      </c>
      <c r="E915" s="1">
        <f>+IFERROR(VLOOKUP(E30,'נתוני מים 2014'!$C$2:$N$188,11,0)/1000,0)</f>
        <v>0</v>
      </c>
      <c r="F915" s="1">
        <f>+IFERROR(VLOOKUP(F30,'נתוני מים 2014'!$C$2:$N$188,11,0)/1000,0)</f>
        <v>0</v>
      </c>
      <c r="G915" s="1">
        <f>+IFERROR(VLOOKUP(G30,'נתוני מים 2014'!$C$2:$N$188,11,0)/1000,0)</f>
        <v>0</v>
      </c>
      <c r="H915" s="1">
        <f>+IFERROR(VLOOKUP(H30,'נתוני מים 2014'!$C$2:$N$188,11,0)/1000,0)</f>
        <v>0</v>
      </c>
      <c r="I915" s="1">
        <f>+IFERROR(VLOOKUP(I30,'נתוני מים 2014'!$C$2:$N$188,11,0)/1000,0)</f>
        <v>0</v>
      </c>
      <c r="J915" s="1">
        <f>+IFERROR(VLOOKUP(J30,'נתוני מים 2014'!$C$2:$N$188,11,0)/1000,0)</f>
        <v>0</v>
      </c>
      <c r="K915" s="1">
        <f>+IFERROR(VLOOKUP(K30,'נתוני מים 2014'!$C$2:$N$188,11,0)/1000,0)</f>
        <v>0</v>
      </c>
      <c r="L915" s="1">
        <f>+IFERROR(VLOOKUP(L30,'נתוני מים 2014'!$C$2:$N$188,11,0)/1000,0)</f>
        <v>0</v>
      </c>
      <c r="M915" s="1">
        <f>+IFERROR(VLOOKUP(M30,'נתוני מים 2014'!$C$2:$N$188,11,0)/1000,0)</f>
        <v>0</v>
      </c>
      <c r="N915" s="1">
        <f>+IFERROR(VLOOKUP(N30,'נתוני מים 2014'!$C$2:$N$188,11,0)/1000,0)</f>
        <v>0</v>
      </c>
      <c r="O915" s="1">
        <f>+IFERROR(VLOOKUP(O30,'נתוני מים 2014'!$C$2:$N$188,11,0)/1000,0)</f>
        <v>0</v>
      </c>
      <c r="P915" s="1">
        <f>+IFERROR(VLOOKUP(P30,'נתוני מים 2014'!$C$2:$N$188,11,0)/1000,0)</f>
        <v>0</v>
      </c>
      <c r="Q915" s="1">
        <f>+IFERROR(VLOOKUP(Q30,'נתוני מים 2014'!$C$2:$N$188,11,0)/1000,0)</f>
        <v>0</v>
      </c>
      <c r="R915" s="1">
        <f>+IFERROR(VLOOKUP(R30,'נתוני מים 2014'!$C$2:$N$188,11,0)/1000,0)</f>
        <v>0</v>
      </c>
      <c r="S915" s="1">
        <f>+IFERROR(VLOOKUP(S30,'נתוני מים 2014'!$C$2:$N$188,11,0)/1000,0)</f>
        <v>0</v>
      </c>
      <c r="T915" s="1">
        <f>+IFERROR(VLOOKUP(T30,'נתוני מים 2014'!$C$2:$N$188,11,0)/1000,0)</f>
        <v>0</v>
      </c>
      <c r="U915" s="1">
        <f>+IFERROR(VLOOKUP(U30,'נתוני מים 2014'!$C$2:$N$188,11,0)/1000,0)</f>
        <v>0</v>
      </c>
      <c r="V915" s="1">
        <f>+IFERROR(VLOOKUP(V30,'נתוני מים 2014'!$C$2:$N$188,11,0)/1000,0)</f>
        <v>0</v>
      </c>
      <c r="W915" s="1">
        <f>+IFERROR(VLOOKUP(W30,'נתוני מים 2014'!$C$2:$N$188,11,0)/1000,0)</f>
        <v>0</v>
      </c>
      <c r="X915" s="1">
        <f>+IFERROR(VLOOKUP(X30,'נתוני מים 2014'!$C$2:$N$188,11,0)/1000,0)</f>
        <v>0</v>
      </c>
      <c r="Y915" s="1">
        <f>+IFERROR(VLOOKUP(Y30,'נתוני מים 2014'!$C$2:$N$188,11,0)/1000,0)</f>
        <v>0</v>
      </c>
      <c r="Z915" s="1">
        <f>+IFERROR(VLOOKUP(Z30,'נתוני מים 2014'!$C$2:$N$188,11,0)/1000,0)</f>
        <v>0</v>
      </c>
      <c r="AA915" s="1">
        <f>+IFERROR(VLOOKUP(AA30,'נתוני מים 2014'!$C$2:$N$188,11,0)/1000,0)</f>
        <v>0</v>
      </c>
      <c r="AB915" s="1">
        <f>+IFERROR(VLOOKUP(AB30,'נתוני מים 2014'!$C$2:$N$188,11,0)/1000,0)</f>
        <v>0</v>
      </c>
      <c r="AC915" s="1">
        <f>+IFERROR(VLOOKUP(AC30,'נתוני מים 2014'!$C$2:$N$188,11,0)/1000,0)</f>
        <v>0</v>
      </c>
      <c r="AD915" s="1">
        <f>+IFERROR(VLOOKUP(AD30,'נתוני מים 2014'!$C$2:$N$188,11,0)/1000,0)</f>
        <v>0</v>
      </c>
      <c r="AE915" s="1">
        <f>+IFERROR(VLOOKUP(AE30,'נתוני מים 2014'!$C$2:$N$188,11,0)/1000,0)</f>
        <v>0</v>
      </c>
      <c r="AF915" s="1">
        <f>+IFERROR(VLOOKUP(AF30,'נתוני מים 2014'!$C$2:$N$188,11,0)/1000,0)</f>
        <v>0</v>
      </c>
      <c r="AG915" s="1">
        <f>+IFERROR(VLOOKUP(AG30,'נתוני מים 2014'!$C$2:$N$188,11,0)/1000,0)</f>
        <v>0</v>
      </c>
      <c r="AH915" s="1">
        <f>+IFERROR(VLOOKUP(AH30,'נתוני מים 2014'!$C$2:$N$188,11,0)/1000,0)</f>
        <v>0</v>
      </c>
      <c r="AI915" s="1">
        <f>+IFERROR(VLOOKUP(AI30,'נתוני מים 2014'!$C$2:$N$188,11,0)/1000,0)</f>
        <v>0</v>
      </c>
      <c r="AJ915" s="1">
        <f>+IFERROR(VLOOKUP(AJ30,'נתוני מים 2014'!$C$2:$N$188,11,0)/1000,0)</f>
        <v>0</v>
      </c>
      <c r="AK915" s="1">
        <f>+IFERROR(VLOOKUP(AK30,'נתוני מים 2014'!$C$2:$N$188,11,0)/1000,0)</f>
        <v>0</v>
      </c>
      <c r="AL915" s="1">
        <f>+IFERROR(VLOOKUP(AL30,'נתוני מים 2014'!$C$2:$N$188,11,0)/1000,0)</f>
        <v>0</v>
      </c>
      <c r="AM915" s="1">
        <f>+IFERROR(VLOOKUP(AM30,'נתוני מים 2014'!$C$2:$N$188,11,0)/1000,0)</f>
        <v>0</v>
      </c>
      <c r="AN915" s="1">
        <f>+IFERROR(VLOOKUP(AN30,'נתוני מים 2014'!$C$2:$N$188,11,0)/1000,0)</f>
        <v>0</v>
      </c>
      <c r="AO915" s="1">
        <f>+IFERROR(VLOOKUP(AO30,'נתוני מים 2014'!$C$2:$N$188,11,0)/1000,0)</f>
        <v>0</v>
      </c>
      <c r="AP915" s="1">
        <f>+IFERROR(VLOOKUP(AP30,'נתוני מים 2014'!$C$2:$N$188,11,0)/1000,0)</f>
        <v>0</v>
      </c>
      <c r="AQ915" s="1">
        <f>+IFERROR(VLOOKUP(AQ30,'נתוני מים 2014'!$C$2:$N$188,11,0)/1000,0)</f>
        <v>0</v>
      </c>
      <c r="AR915" s="1">
        <f>+IFERROR(VLOOKUP(AR30,'נתוני מים 2014'!$C$2:$N$188,11,0)/1000,0)</f>
        <v>0</v>
      </c>
      <c r="AS915" s="1">
        <f>+IFERROR(VLOOKUP(AS30,'נתוני מים 2014'!$C$2:$N$188,11,0)/1000,0)</f>
        <v>0</v>
      </c>
      <c r="AT915" s="1">
        <f>+IFERROR(VLOOKUP(AT30,'נתוני מים 2014'!$C$2:$N$188,11,0)/1000,0)</f>
        <v>0</v>
      </c>
      <c r="AU915" s="1">
        <f>+IFERROR(VLOOKUP(AU30,'נתוני מים 2014'!$C$2:$N$188,11,0)/1000,0)</f>
        <v>0</v>
      </c>
      <c r="AV915" s="1">
        <f>+IFERROR(VLOOKUP(AV30,'נתוני מים 2014'!$C$2:$N$188,11,0)/1000,0)</f>
        <v>0</v>
      </c>
      <c r="AW915" s="1">
        <f>+IFERROR(VLOOKUP(AW30,'נתוני מים 2014'!$C$2:$N$188,11,0)/1000,0)</f>
        <v>0</v>
      </c>
      <c r="AX915" s="1">
        <f>+IFERROR(VLOOKUP(AX30,'נתוני מים 2014'!$C$2:$N$188,11,0)/1000,0)</f>
        <v>0</v>
      </c>
      <c r="AY915" s="1">
        <f>+IFERROR(VLOOKUP(AY30,'נתוני מים 2014'!$C$2:$N$188,11,0)/1000,0)</f>
        <v>0</v>
      </c>
      <c r="AZ915" s="1">
        <f>+IFERROR(VLOOKUP(AZ30,'נתוני מים 2014'!$C$2:$N$188,11,0)/1000,0)</f>
        <v>0</v>
      </c>
      <c r="BA915" s="1">
        <f>+IFERROR(VLOOKUP(BA30,'נתוני מים 2014'!$C$2:$N$188,11,0)/1000,0)</f>
        <v>0</v>
      </c>
      <c r="BB915" s="1">
        <f>+IFERROR(VLOOKUP(BB30,'נתוני מים 2014'!$C$2:$N$188,11,0)/1000,0)</f>
        <v>0</v>
      </c>
      <c r="BC915" s="1">
        <f>+IFERROR(VLOOKUP(BC30,'נתוני מים 2014'!$C$2:$N$188,11,0)/1000,0)</f>
        <v>0</v>
      </c>
      <c r="BD915" s="1">
        <f>+IFERROR(VLOOKUP(BD30,'נתוני מים 2014'!$C$2:$N$188,11,0)/1000,0)</f>
        <v>0</v>
      </c>
      <c r="BE915" s="1">
        <f>+IFERROR(VLOOKUP(BE30,'נתוני מים 2014'!$C$2:$N$188,11,0)/1000,0)</f>
        <v>0</v>
      </c>
      <c r="BF915" s="1">
        <f>+IFERROR(VLOOKUP(BF30,'נתוני מים 2014'!$C$2:$N$188,11,0)/1000,0)</f>
        <v>0</v>
      </c>
    </row>
    <row r="916" spans="1:58" x14ac:dyDescent="0.2">
      <c r="B916" s="1">
        <v>24</v>
      </c>
      <c r="C916" s="1">
        <f>+IFERROR(VLOOKUP(C31,'נתוני מים 2014'!$C$2:$N$188,11,0)/1000,0)</f>
        <v>0</v>
      </c>
      <c r="D916" s="1">
        <f>+IFERROR(VLOOKUP(D31,'נתוני מים 2014'!$C$2:$N$188,11,0)/1000,0)</f>
        <v>0</v>
      </c>
      <c r="E916" s="1">
        <f>+IFERROR(VLOOKUP(E31,'נתוני מים 2014'!$C$2:$N$188,11,0)/1000,0)</f>
        <v>0</v>
      </c>
      <c r="F916" s="1">
        <f>+IFERROR(VLOOKUP(F31,'נתוני מים 2014'!$C$2:$N$188,11,0)/1000,0)</f>
        <v>0</v>
      </c>
      <c r="G916" s="1">
        <f>+IFERROR(VLOOKUP(G31,'נתוני מים 2014'!$C$2:$N$188,11,0)/1000,0)</f>
        <v>0</v>
      </c>
      <c r="H916" s="1">
        <f>+IFERROR(VLOOKUP(H31,'נתוני מים 2014'!$C$2:$N$188,11,0)/1000,0)</f>
        <v>0</v>
      </c>
      <c r="I916" s="1">
        <f>+IFERROR(VLOOKUP(I31,'נתוני מים 2014'!$C$2:$N$188,11,0)/1000,0)</f>
        <v>0</v>
      </c>
      <c r="J916" s="1">
        <f>+IFERROR(VLOOKUP(J31,'נתוני מים 2014'!$C$2:$N$188,11,0)/1000,0)</f>
        <v>0</v>
      </c>
      <c r="K916" s="1">
        <f>+IFERROR(VLOOKUP(K31,'נתוני מים 2014'!$C$2:$N$188,11,0)/1000,0)</f>
        <v>0</v>
      </c>
      <c r="L916" s="1">
        <f>+IFERROR(VLOOKUP(L31,'נתוני מים 2014'!$C$2:$N$188,11,0)/1000,0)</f>
        <v>0</v>
      </c>
      <c r="M916" s="1">
        <f>+IFERROR(VLOOKUP(M31,'נתוני מים 2014'!$C$2:$N$188,11,0)/1000,0)</f>
        <v>0</v>
      </c>
      <c r="N916" s="1">
        <f>+IFERROR(VLOOKUP(N31,'נתוני מים 2014'!$C$2:$N$188,11,0)/1000,0)</f>
        <v>0</v>
      </c>
      <c r="O916" s="1">
        <f>+IFERROR(VLOOKUP(O31,'נתוני מים 2014'!$C$2:$N$188,11,0)/1000,0)</f>
        <v>0</v>
      </c>
      <c r="P916" s="1">
        <f>+IFERROR(VLOOKUP(P31,'נתוני מים 2014'!$C$2:$N$188,11,0)/1000,0)</f>
        <v>0</v>
      </c>
      <c r="Q916" s="1">
        <f>+IFERROR(VLOOKUP(Q31,'נתוני מים 2014'!$C$2:$N$188,11,0)/1000,0)</f>
        <v>0</v>
      </c>
      <c r="R916" s="1">
        <f>+IFERROR(VLOOKUP(R31,'נתוני מים 2014'!$C$2:$N$188,11,0)/1000,0)</f>
        <v>0</v>
      </c>
      <c r="S916" s="1">
        <f>+IFERROR(VLOOKUP(S31,'נתוני מים 2014'!$C$2:$N$188,11,0)/1000,0)</f>
        <v>0</v>
      </c>
      <c r="T916" s="1">
        <f>+IFERROR(VLOOKUP(T31,'נתוני מים 2014'!$C$2:$N$188,11,0)/1000,0)</f>
        <v>0</v>
      </c>
      <c r="U916" s="1">
        <f>+IFERROR(VLOOKUP(U31,'נתוני מים 2014'!$C$2:$N$188,11,0)/1000,0)</f>
        <v>0</v>
      </c>
      <c r="V916" s="1">
        <f>+IFERROR(VLOOKUP(V31,'נתוני מים 2014'!$C$2:$N$188,11,0)/1000,0)</f>
        <v>0</v>
      </c>
      <c r="W916" s="1">
        <f>+IFERROR(VLOOKUP(W31,'נתוני מים 2014'!$C$2:$N$188,11,0)/1000,0)</f>
        <v>0</v>
      </c>
      <c r="X916" s="1">
        <f>+IFERROR(VLOOKUP(X31,'נתוני מים 2014'!$C$2:$N$188,11,0)/1000,0)</f>
        <v>0</v>
      </c>
      <c r="Y916" s="1">
        <f>+IFERROR(VLOOKUP(Y31,'נתוני מים 2014'!$C$2:$N$188,11,0)/1000,0)</f>
        <v>0</v>
      </c>
      <c r="Z916" s="1">
        <f>+IFERROR(VLOOKUP(Z31,'נתוני מים 2014'!$C$2:$N$188,11,0)/1000,0)</f>
        <v>0</v>
      </c>
      <c r="AA916" s="1">
        <f>+IFERROR(VLOOKUP(AA31,'נתוני מים 2014'!$C$2:$N$188,11,0)/1000,0)</f>
        <v>0</v>
      </c>
      <c r="AB916" s="1">
        <f>+IFERROR(VLOOKUP(AB31,'נתוני מים 2014'!$C$2:$N$188,11,0)/1000,0)</f>
        <v>0</v>
      </c>
      <c r="AC916" s="1">
        <f>+IFERROR(VLOOKUP(AC31,'נתוני מים 2014'!$C$2:$N$188,11,0)/1000,0)</f>
        <v>0</v>
      </c>
      <c r="AD916" s="1">
        <f>+IFERROR(VLOOKUP(AD31,'נתוני מים 2014'!$C$2:$N$188,11,0)/1000,0)</f>
        <v>0</v>
      </c>
      <c r="AE916" s="1">
        <f>+IFERROR(VLOOKUP(AE31,'נתוני מים 2014'!$C$2:$N$188,11,0)/1000,0)</f>
        <v>0</v>
      </c>
      <c r="AF916" s="1">
        <f>+IFERROR(VLOOKUP(AF31,'נתוני מים 2014'!$C$2:$N$188,11,0)/1000,0)</f>
        <v>0</v>
      </c>
      <c r="AG916" s="1">
        <f>+IFERROR(VLOOKUP(AG31,'נתוני מים 2014'!$C$2:$N$188,11,0)/1000,0)</f>
        <v>0</v>
      </c>
      <c r="AH916" s="1">
        <f>+IFERROR(VLOOKUP(AH31,'נתוני מים 2014'!$C$2:$N$188,11,0)/1000,0)</f>
        <v>0</v>
      </c>
      <c r="AI916" s="1">
        <f>+IFERROR(VLOOKUP(AI31,'נתוני מים 2014'!$C$2:$N$188,11,0)/1000,0)</f>
        <v>0</v>
      </c>
      <c r="AJ916" s="1">
        <f>+IFERROR(VLOOKUP(AJ31,'נתוני מים 2014'!$C$2:$N$188,11,0)/1000,0)</f>
        <v>0</v>
      </c>
      <c r="AK916" s="1">
        <f>+IFERROR(VLOOKUP(AK31,'נתוני מים 2014'!$C$2:$N$188,11,0)/1000,0)</f>
        <v>0</v>
      </c>
      <c r="AL916" s="1">
        <f>+IFERROR(VLOOKUP(AL31,'נתוני מים 2014'!$C$2:$N$188,11,0)/1000,0)</f>
        <v>0</v>
      </c>
      <c r="AM916" s="1">
        <f>+IFERROR(VLOOKUP(AM31,'נתוני מים 2014'!$C$2:$N$188,11,0)/1000,0)</f>
        <v>0</v>
      </c>
      <c r="AN916" s="1">
        <f>+IFERROR(VLOOKUP(AN31,'נתוני מים 2014'!$C$2:$N$188,11,0)/1000,0)</f>
        <v>0</v>
      </c>
      <c r="AO916" s="1">
        <f>+IFERROR(VLOOKUP(AO31,'נתוני מים 2014'!$C$2:$N$188,11,0)/1000,0)</f>
        <v>0</v>
      </c>
      <c r="AP916" s="1">
        <f>+IFERROR(VLOOKUP(AP31,'נתוני מים 2014'!$C$2:$N$188,11,0)/1000,0)</f>
        <v>0</v>
      </c>
      <c r="AQ916" s="1">
        <f>+IFERROR(VLOOKUP(AQ31,'נתוני מים 2014'!$C$2:$N$188,11,0)/1000,0)</f>
        <v>0</v>
      </c>
      <c r="AR916" s="1">
        <f>+IFERROR(VLOOKUP(AR31,'נתוני מים 2014'!$C$2:$N$188,11,0)/1000,0)</f>
        <v>0</v>
      </c>
      <c r="AS916" s="1">
        <f>+IFERROR(VLOOKUP(AS31,'נתוני מים 2014'!$C$2:$N$188,11,0)/1000,0)</f>
        <v>0</v>
      </c>
      <c r="AT916" s="1">
        <f>+IFERROR(VLOOKUP(AT31,'נתוני מים 2014'!$C$2:$N$188,11,0)/1000,0)</f>
        <v>0</v>
      </c>
      <c r="AU916" s="1">
        <f>+IFERROR(VLOOKUP(AU31,'נתוני מים 2014'!$C$2:$N$188,11,0)/1000,0)</f>
        <v>0</v>
      </c>
      <c r="AV916" s="1">
        <f>+IFERROR(VLOOKUP(AV31,'נתוני מים 2014'!$C$2:$N$188,11,0)/1000,0)</f>
        <v>0</v>
      </c>
      <c r="AW916" s="1">
        <f>+IFERROR(VLOOKUP(AW31,'נתוני מים 2014'!$C$2:$N$188,11,0)/1000,0)</f>
        <v>0</v>
      </c>
      <c r="AX916" s="1">
        <f>+IFERROR(VLOOKUP(AX31,'נתוני מים 2014'!$C$2:$N$188,11,0)/1000,0)</f>
        <v>0</v>
      </c>
      <c r="AY916" s="1">
        <f>+IFERROR(VLOOKUP(AY31,'נתוני מים 2014'!$C$2:$N$188,11,0)/1000,0)</f>
        <v>0</v>
      </c>
      <c r="AZ916" s="1">
        <f>+IFERROR(VLOOKUP(AZ31,'נתוני מים 2014'!$C$2:$N$188,11,0)/1000,0)</f>
        <v>0</v>
      </c>
      <c r="BA916" s="1">
        <f>+IFERROR(VLOOKUP(BA31,'נתוני מים 2014'!$C$2:$N$188,11,0)/1000,0)</f>
        <v>0</v>
      </c>
      <c r="BB916" s="1">
        <f>+IFERROR(VLOOKUP(BB31,'נתוני מים 2014'!$C$2:$N$188,11,0)/1000,0)</f>
        <v>0</v>
      </c>
      <c r="BC916" s="1">
        <f>+IFERROR(VLOOKUP(BC31,'נתוני מים 2014'!$C$2:$N$188,11,0)/1000,0)</f>
        <v>0</v>
      </c>
      <c r="BD916" s="1">
        <f>+IFERROR(VLOOKUP(BD31,'נתוני מים 2014'!$C$2:$N$188,11,0)/1000,0)</f>
        <v>0</v>
      </c>
      <c r="BE916" s="1">
        <f>+IFERROR(VLOOKUP(BE31,'נתוני מים 2014'!$C$2:$N$188,11,0)/1000,0)</f>
        <v>0</v>
      </c>
      <c r="BF916" s="1">
        <f>+IFERROR(VLOOKUP(BF31,'נתוני מים 2014'!$C$2:$N$188,11,0)/1000,0)</f>
        <v>0</v>
      </c>
    </row>
    <row r="917" spans="1:58" x14ac:dyDescent="0.2">
      <c r="B917" s="1">
        <v>25</v>
      </c>
      <c r="C917" s="1">
        <f>+IFERROR(VLOOKUP(C32,'נתוני מים 2014'!$C$2:$N$188,11,0)/1000,0)</f>
        <v>0</v>
      </c>
      <c r="D917" s="1">
        <f>+IFERROR(VLOOKUP(D32,'נתוני מים 2014'!$C$2:$N$188,11,0)/1000,0)</f>
        <v>0</v>
      </c>
      <c r="E917" s="1">
        <f>+IFERROR(VLOOKUP(E32,'נתוני מים 2014'!$C$2:$N$188,11,0)/1000,0)</f>
        <v>0</v>
      </c>
      <c r="F917" s="1">
        <f>+IFERROR(VLOOKUP(F32,'נתוני מים 2014'!$C$2:$N$188,11,0)/1000,0)</f>
        <v>0</v>
      </c>
      <c r="G917" s="1">
        <f>+IFERROR(VLOOKUP(G32,'נתוני מים 2014'!$C$2:$N$188,11,0)/1000,0)</f>
        <v>0</v>
      </c>
      <c r="H917" s="1">
        <f>+IFERROR(VLOOKUP(H32,'נתוני מים 2014'!$C$2:$N$188,11,0)/1000,0)</f>
        <v>0</v>
      </c>
      <c r="I917" s="1">
        <f>+IFERROR(VLOOKUP(I32,'נתוני מים 2014'!$C$2:$N$188,11,0)/1000,0)</f>
        <v>0</v>
      </c>
      <c r="J917" s="1">
        <f>+IFERROR(VLOOKUP(J32,'נתוני מים 2014'!$C$2:$N$188,11,0)/1000,0)</f>
        <v>0</v>
      </c>
      <c r="K917" s="1">
        <f>+IFERROR(VLOOKUP(K32,'נתוני מים 2014'!$C$2:$N$188,11,0)/1000,0)</f>
        <v>0</v>
      </c>
      <c r="L917" s="1">
        <f>+IFERROR(VLOOKUP(L32,'נתוני מים 2014'!$C$2:$N$188,11,0)/1000,0)</f>
        <v>0</v>
      </c>
      <c r="M917" s="1">
        <f>+IFERROR(VLOOKUP(M32,'נתוני מים 2014'!$C$2:$N$188,11,0)/1000,0)</f>
        <v>0</v>
      </c>
      <c r="N917" s="1">
        <f>+IFERROR(VLOOKUP(N32,'נתוני מים 2014'!$C$2:$N$188,11,0)/1000,0)</f>
        <v>0</v>
      </c>
      <c r="O917" s="1">
        <f>+IFERROR(VLOOKUP(O32,'נתוני מים 2014'!$C$2:$N$188,11,0)/1000,0)</f>
        <v>0</v>
      </c>
      <c r="P917" s="1">
        <f>+IFERROR(VLOOKUP(P32,'נתוני מים 2014'!$C$2:$N$188,11,0)/1000,0)</f>
        <v>0</v>
      </c>
      <c r="Q917" s="1">
        <f>+IFERROR(VLOOKUP(Q32,'נתוני מים 2014'!$C$2:$N$188,11,0)/1000,0)</f>
        <v>0</v>
      </c>
      <c r="R917" s="1">
        <f>+IFERROR(VLOOKUP(R32,'נתוני מים 2014'!$C$2:$N$188,11,0)/1000,0)</f>
        <v>0</v>
      </c>
      <c r="S917" s="1">
        <f>+IFERROR(VLOOKUP(S32,'נתוני מים 2014'!$C$2:$N$188,11,0)/1000,0)</f>
        <v>0</v>
      </c>
      <c r="T917" s="1">
        <f>+IFERROR(VLOOKUP(T32,'נתוני מים 2014'!$C$2:$N$188,11,0)/1000,0)</f>
        <v>0</v>
      </c>
      <c r="U917" s="1">
        <f>+IFERROR(VLOOKUP(U32,'נתוני מים 2014'!$C$2:$N$188,11,0)/1000,0)</f>
        <v>0</v>
      </c>
      <c r="V917" s="1">
        <f>+IFERROR(VLOOKUP(V32,'נתוני מים 2014'!$C$2:$N$188,11,0)/1000,0)</f>
        <v>0</v>
      </c>
      <c r="W917" s="1">
        <f>+IFERROR(VLOOKUP(W32,'נתוני מים 2014'!$C$2:$N$188,11,0)/1000,0)</f>
        <v>0</v>
      </c>
      <c r="X917" s="1">
        <f>+IFERROR(VLOOKUP(X32,'נתוני מים 2014'!$C$2:$N$188,11,0)/1000,0)</f>
        <v>0</v>
      </c>
      <c r="Y917" s="1">
        <f>+IFERROR(VLOOKUP(Y32,'נתוני מים 2014'!$C$2:$N$188,11,0)/1000,0)</f>
        <v>0</v>
      </c>
      <c r="Z917" s="1">
        <f>+IFERROR(VLOOKUP(Z32,'נתוני מים 2014'!$C$2:$N$188,11,0)/1000,0)</f>
        <v>0</v>
      </c>
      <c r="AA917" s="1">
        <f>+IFERROR(VLOOKUP(AA32,'נתוני מים 2014'!$C$2:$N$188,11,0)/1000,0)</f>
        <v>0</v>
      </c>
      <c r="AB917" s="1">
        <f>+IFERROR(VLOOKUP(AB32,'נתוני מים 2014'!$C$2:$N$188,11,0)/1000,0)</f>
        <v>0</v>
      </c>
      <c r="AC917" s="1">
        <f>+IFERROR(VLOOKUP(AC32,'נתוני מים 2014'!$C$2:$N$188,11,0)/1000,0)</f>
        <v>0</v>
      </c>
      <c r="AD917" s="1">
        <f>+IFERROR(VLOOKUP(AD32,'נתוני מים 2014'!$C$2:$N$188,11,0)/1000,0)</f>
        <v>0</v>
      </c>
      <c r="AE917" s="1">
        <f>+IFERROR(VLOOKUP(AE32,'נתוני מים 2014'!$C$2:$N$188,11,0)/1000,0)</f>
        <v>0</v>
      </c>
      <c r="AF917" s="1">
        <f>+IFERROR(VLOOKUP(AF32,'נתוני מים 2014'!$C$2:$N$188,11,0)/1000,0)</f>
        <v>0</v>
      </c>
      <c r="AG917" s="1">
        <f>+IFERROR(VLOOKUP(AG32,'נתוני מים 2014'!$C$2:$N$188,11,0)/1000,0)</f>
        <v>0</v>
      </c>
      <c r="AH917" s="1">
        <f>+IFERROR(VLOOKUP(AH32,'נתוני מים 2014'!$C$2:$N$188,11,0)/1000,0)</f>
        <v>0</v>
      </c>
      <c r="AI917" s="1">
        <f>+IFERROR(VLOOKUP(AI32,'נתוני מים 2014'!$C$2:$N$188,11,0)/1000,0)</f>
        <v>0</v>
      </c>
      <c r="AJ917" s="1">
        <f>+IFERROR(VLOOKUP(AJ32,'נתוני מים 2014'!$C$2:$N$188,11,0)/1000,0)</f>
        <v>0</v>
      </c>
      <c r="AK917" s="1">
        <f>+IFERROR(VLOOKUP(AK32,'נתוני מים 2014'!$C$2:$N$188,11,0)/1000,0)</f>
        <v>0</v>
      </c>
      <c r="AL917" s="1">
        <f>+IFERROR(VLOOKUP(AL32,'נתוני מים 2014'!$C$2:$N$188,11,0)/1000,0)</f>
        <v>0</v>
      </c>
      <c r="AM917" s="1">
        <f>+IFERROR(VLOOKUP(AM32,'נתוני מים 2014'!$C$2:$N$188,11,0)/1000,0)</f>
        <v>0</v>
      </c>
      <c r="AN917" s="1">
        <f>+IFERROR(VLOOKUP(AN32,'נתוני מים 2014'!$C$2:$N$188,11,0)/1000,0)</f>
        <v>0</v>
      </c>
      <c r="AO917" s="1">
        <f>+IFERROR(VLOOKUP(AO32,'נתוני מים 2014'!$C$2:$N$188,11,0)/1000,0)</f>
        <v>0</v>
      </c>
      <c r="AP917" s="1">
        <f>+IFERROR(VLOOKUP(AP32,'נתוני מים 2014'!$C$2:$N$188,11,0)/1000,0)</f>
        <v>0</v>
      </c>
      <c r="AQ917" s="1">
        <f>+IFERROR(VLOOKUP(AQ32,'נתוני מים 2014'!$C$2:$N$188,11,0)/1000,0)</f>
        <v>0</v>
      </c>
      <c r="AR917" s="1">
        <f>+IFERROR(VLOOKUP(AR32,'נתוני מים 2014'!$C$2:$N$188,11,0)/1000,0)</f>
        <v>0</v>
      </c>
      <c r="AS917" s="1">
        <f>+IFERROR(VLOOKUP(AS32,'נתוני מים 2014'!$C$2:$N$188,11,0)/1000,0)</f>
        <v>0</v>
      </c>
      <c r="AT917" s="1">
        <f>+IFERROR(VLOOKUP(AT32,'נתוני מים 2014'!$C$2:$N$188,11,0)/1000,0)</f>
        <v>0</v>
      </c>
      <c r="AU917" s="1">
        <f>+IFERROR(VLOOKUP(AU32,'נתוני מים 2014'!$C$2:$N$188,11,0)/1000,0)</f>
        <v>0</v>
      </c>
      <c r="AV917" s="1">
        <f>+IFERROR(VLOOKUP(AV32,'נתוני מים 2014'!$C$2:$N$188,11,0)/1000,0)</f>
        <v>0</v>
      </c>
      <c r="AW917" s="1">
        <f>+IFERROR(VLOOKUP(AW32,'נתוני מים 2014'!$C$2:$N$188,11,0)/1000,0)</f>
        <v>0</v>
      </c>
      <c r="AX917" s="1">
        <f>+IFERROR(VLOOKUP(AX32,'נתוני מים 2014'!$C$2:$N$188,11,0)/1000,0)</f>
        <v>0</v>
      </c>
      <c r="AY917" s="1">
        <f>+IFERROR(VLOOKUP(AY32,'נתוני מים 2014'!$C$2:$N$188,11,0)/1000,0)</f>
        <v>0</v>
      </c>
      <c r="AZ917" s="1">
        <f>+IFERROR(VLOOKUP(AZ32,'נתוני מים 2014'!$C$2:$N$188,11,0)/1000,0)</f>
        <v>0</v>
      </c>
      <c r="BA917" s="1">
        <f>+IFERROR(VLOOKUP(BA32,'נתוני מים 2014'!$C$2:$N$188,11,0)/1000,0)</f>
        <v>0</v>
      </c>
      <c r="BB917" s="1">
        <f>+IFERROR(VLOOKUP(BB32,'נתוני מים 2014'!$C$2:$N$188,11,0)/1000,0)</f>
        <v>0</v>
      </c>
      <c r="BC917" s="1">
        <f>+IFERROR(VLOOKUP(BC32,'נתוני מים 2014'!$C$2:$N$188,11,0)/1000,0)</f>
        <v>0</v>
      </c>
      <c r="BD917" s="1">
        <f>+IFERROR(VLOOKUP(BD32,'נתוני מים 2014'!$C$2:$N$188,11,0)/1000,0)</f>
        <v>0</v>
      </c>
      <c r="BE917" s="1">
        <f>+IFERROR(VLOOKUP(BE32,'נתוני מים 2014'!$C$2:$N$188,11,0)/1000,0)</f>
        <v>0</v>
      </c>
      <c r="BF917" s="1">
        <f>+IFERROR(VLOOKUP(BF32,'נתוני מים 2014'!$C$2:$N$188,11,0)/1000,0)</f>
        <v>0</v>
      </c>
    </row>
    <row r="918" spans="1:58" x14ac:dyDescent="0.2">
      <c r="B918" s="1">
        <v>26</v>
      </c>
      <c r="C918" s="1">
        <f>+IFERROR(VLOOKUP(C33,'נתוני מים 2014'!$C$2:$N$188,11,0)/1000,0)</f>
        <v>0</v>
      </c>
      <c r="D918" s="1">
        <f>+IFERROR(VLOOKUP(D33,'נתוני מים 2014'!$C$2:$N$188,11,0)/1000,0)</f>
        <v>0</v>
      </c>
      <c r="E918" s="1">
        <f>+IFERROR(VLOOKUP(E33,'נתוני מים 2014'!$C$2:$N$188,11,0)/1000,0)</f>
        <v>0</v>
      </c>
      <c r="F918" s="1">
        <f>+IFERROR(VLOOKUP(F33,'נתוני מים 2014'!$C$2:$N$188,11,0)/1000,0)</f>
        <v>0</v>
      </c>
      <c r="G918" s="1">
        <f>+IFERROR(VLOOKUP(G33,'נתוני מים 2014'!$C$2:$N$188,11,0)/1000,0)</f>
        <v>0</v>
      </c>
      <c r="H918" s="1">
        <f>+IFERROR(VLOOKUP(H33,'נתוני מים 2014'!$C$2:$N$188,11,0)/1000,0)</f>
        <v>0</v>
      </c>
      <c r="I918" s="1">
        <f>+IFERROR(VLOOKUP(I33,'נתוני מים 2014'!$C$2:$N$188,11,0)/1000,0)</f>
        <v>0</v>
      </c>
      <c r="J918" s="1">
        <f>+IFERROR(VLOOKUP(J33,'נתוני מים 2014'!$C$2:$N$188,11,0)/1000,0)</f>
        <v>0</v>
      </c>
      <c r="K918" s="1">
        <f>+IFERROR(VLOOKUP(K33,'נתוני מים 2014'!$C$2:$N$188,11,0)/1000,0)</f>
        <v>0</v>
      </c>
      <c r="L918" s="1">
        <f>+IFERROR(VLOOKUP(L33,'נתוני מים 2014'!$C$2:$N$188,11,0)/1000,0)</f>
        <v>0</v>
      </c>
      <c r="M918" s="1">
        <f>+IFERROR(VLOOKUP(M33,'נתוני מים 2014'!$C$2:$N$188,11,0)/1000,0)</f>
        <v>0</v>
      </c>
      <c r="N918" s="1">
        <f>+IFERROR(VLOOKUP(N33,'נתוני מים 2014'!$C$2:$N$188,11,0)/1000,0)</f>
        <v>0</v>
      </c>
      <c r="O918" s="1">
        <f>+IFERROR(VLOOKUP(O33,'נתוני מים 2014'!$C$2:$N$188,11,0)/1000,0)</f>
        <v>0</v>
      </c>
      <c r="P918" s="1">
        <f>+IFERROR(VLOOKUP(P33,'נתוני מים 2014'!$C$2:$N$188,11,0)/1000,0)</f>
        <v>0</v>
      </c>
      <c r="Q918" s="1">
        <f>+IFERROR(VLOOKUP(Q33,'נתוני מים 2014'!$C$2:$N$188,11,0)/1000,0)</f>
        <v>0</v>
      </c>
      <c r="R918" s="1">
        <f>+IFERROR(VLOOKUP(R33,'נתוני מים 2014'!$C$2:$N$188,11,0)/1000,0)</f>
        <v>0</v>
      </c>
      <c r="S918" s="1">
        <f>+IFERROR(VLOOKUP(S33,'נתוני מים 2014'!$C$2:$N$188,11,0)/1000,0)</f>
        <v>0</v>
      </c>
      <c r="T918" s="1">
        <f>+IFERROR(VLOOKUP(T33,'נתוני מים 2014'!$C$2:$N$188,11,0)/1000,0)</f>
        <v>0</v>
      </c>
      <c r="U918" s="1">
        <f>+IFERROR(VLOOKUP(U33,'נתוני מים 2014'!$C$2:$N$188,11,0)/1000,0)</f>
        <v>0</v>
      </c>
      <c r="V918" s="1">
        <f>+IFERROR(VLOOKUP(V33,'נתוני מים 2014'!$C$2:$N$188,11,0)/1000,0)</f>
        <v>0</v>
      </c>
      <c r="W918" s="1">
        <f>+IFERROR(VLOOKUP(W33,'נתוני מים 2014'!$C$2:$N$188,11,0)/1000,0)</f>
        <v>0</v>
      </c>
      <c r="X918" s="1">
        <f>+IFERROR(VLOOKUP(X33,'נתוני מים 2014'!$C$2:$N$188,11,0)/1000,0)</f>
        <v>0</v>
      </c>
      <c r="Y918" s="1">
        <f>+IFERROR(VLOOKUP(Y33,'נתוני מים 2014'!$C$2:$N$188,11,0)/1000,0)</f>
        <v>0</v>
      </c>
      <c r="Z918" s="1">
        <f>+IFERROR(VLOOKUP(Z33,'נתוני מים 2014'!$C$2:$N$188,11,0)/1000,0)</f>
        <v>0</v>
      </c>
      <c r="AA918" s="1">
        <f>+IFERROR(VLOOKUP(AA33,'נתוני מים 2014'!$C$2:$N$188,11,0)/1000,0)</f>
        <v>0</v>
      </c>
      <c r="AB918" s="1">
        <f>+IFERROR(VLOOKUP(AB33,'נתוני מים 2014'!$C$2:$N$188,11,0)/1000,0)</f>
        <v>0</v>
      </c>
      <c r="AC918" s="1">
        <f>+IFERROR(VLOOKUP(AC33,'נתוני מים 2014'!$C$2:$N$188,11,0)/1000,0)</f>
        <v>0</v>
      </c>
      <c r="AD918" s="1">
        <f>+IFERROR(VLOOKUP(AD33,'נתוני מים 2014'!$C$2:$N$188,11,0)/1000,0)</f>
        <v>0</v>
      </c>
      <c r="AE918" s="1">
        <f>+IFERROR(VLOOKUP(AE33,'נתוני מים 2014'!$C$2:$N$188,11,0)/1000,0)</f>
        <v>0</v>
      </c>
      <c r="AF918" s="1">
        <f>+IFERROR(VLOOKUP(AF33,'נתוני מים 2014'!$C$2:$N$188,11,0)/1000,0)</f>
        <v>0</v>
      </c>
      <c r="AG918" s="1">
        <f>+IFERROR(VLOOKUP(AG33,'נתוני מים 2014'!$C$2:$N$188,11,0)/1000,0)</f>
        <v>0</v>
      </c>
      <c r="AH918" s="1">
        <f>+IFERROR(VLOOKUP(AH33,'נתוני מים 2014'!$C$2:$N$188,11,0)/1000,0)</f>
        <v>0</v>
      </c>
      <c r="AI918" s="1">
        <f>+IFERROR(VLOOKUP(AI33,'נתוני מים 2014'!$C$2:$N$188,11,0)/1000,0)</f>
        <v>0</v>
      </c>
      <c r="AJ918" s="1">
        <f>+IFERROR(VLOOKUP(AJ33,'נתוני מים 2014'!$C$2:$N$188,11,0)/1000,0)</f>
        <v>0</v>
      </c>
      <c r="AK918" s="1">
        <f>+IFERROR(VLOOKUP(AK33,'נתוני מים 2014'!$C$2:$N$188,11,0)/1000,0)</f>
        <v>0</v>
      </c>
      <c r="AL918" s="1">
        <f>+IFERROR(VLOOKUP(AL33,'נתוני מים 2014'!$C$2:$N$188,11,0)/1000,0)</f>
        <v>0</v>
      </c>
      <c r="AM918" s="1">
        <f>+IFERROR(VLOOKUP(AM33,'נתוני מים 2014'!$C$2:$N$188,11,0)/1000,0)</f>
        <v>0</v>
      </c>
      <c r="AN918" s="1">
        <f>+IFERROR(VLOOKUP(AN33,'נתוני מים 2014'!$C$2:$N$188,11,0)/1000,0)</f>
        <v>0</v>
      </c>
      <c r="AO918" s="1">
        <f>+IFERROR(VLOOKUP(AO33,'נתוני מים 2014'!$C$2:$N$188,11,0)/1000,0)</f>
        <v>0</v>
      </c>
      <c r="AP918" s="1">
        <f>+IFERROR(VLOOKUP(AP33,'נתוני מים 2014'!$C$2:$N$188,11,0)/1000,0)</f>
        <v>0</v>
      </c>
      <c r="AQ918" s="1">
        <f>+IFERROR(VLOOKUP(AQ33,'נתוני מים 2014'!$C$2:$N$188,11,0)/1000,0)</f>
        <v>0</v>
      </c>
      <c r="AR918" s="1">
        <f>+IFERROR(VLOOKUP(AR33,'נתוני מים 2014'!$C$2:$N$188,11,0)/1000,0)</f>
        <v>0</v>
      </c>
      <c r="AS918" s="1">
        <f>+IFERROR(VLOOKUP(AS33,'נתוני מים 2014'!$C$2:$N$188,11,0)/1000,0)</f>
        <v>0</v>
      </c>
      <c r="AT918" s="1">
        <f>+IFERROR(VLOOKUP(AT33,'נתוני מים 2014'!$C$2:$N$188,11,0)/1000,0)</f>
        <v>0</v>
      </c>
      <c r="AU918" s="1">
        <f>+IFERROR(VLOOKUP(AU33,'נתוני מים 2014'!$C$2:$N$188,11,0)/1000,0)</f>
        <v>0</v>
      </c>
      <c r="AV918" s="1">
        <f>+IFERROR(VLOOKUP(AV33,'נתוני מים 2014'!$C$2:$N$188,11,0)/1000,0)</f>
        <v>0</v>
      </c>
      <c r="AW918" s="1">
        <f>+IFERROR(VLOOKUP(AW33,'נתוני מים 2014'!$C$2:$N$188,11,0)/1000,0)</f>
        <v>0</v>
      </c>
      <c r="AX918" s="1">
        <f>+IFERROR(VLOOKUP(AX33,'נתוני מים 2014'!$C$2:$N$188,11,0)/1000,0)</f>
        <v>0</v>
      </c>
      <c r="AY918" s="1">
        <f>+IFERROR(VLOOKUP(AY33,'נתוני מים 2014'!$C$2:$N$188,11,0)/1000,0)</f>
        <v>0</v>
      </c>
      <c r="AZ918" s="1">
        <f>+IFERROR(VLOOKUP(AZ33,'נתוני מים 2014'!$C$2:$N$188,11,0)/1000,0)</f>
        <v>0</v>
      </c>
      <c r="BA918" s="1">
        <f>+IFERROR(VLOOKUP(BA33,'נתוני מים 2014'!$C$2:$N$188,11,0)/1000,0)</f>
        <v>0</v>
      </c>
      <c r="BB918" s="1">
        <f>+IFERROR(VLOOKUP(BB33,'נתוני מים 2014'!$C$2:$N$188,11,0)/1000,0)</f>
        <v>0</v>
      </c>
      <c r="BC918" s="1">
        <f>+IFERROR(VLOOKUP(BC33,'נתוני מים 2014'!$C$2:$N$188,11,0)/1000,0)</f>
        <v>0</v>
      </c>
      <c r="BD918" s="1">
        <f>+IFERROR(VLOOKUP(BD33,'נתוני מים 2014'!$C$2:$N$188,11,0)/1000,0)</f>
        <v>0</v>
      </c>
      <c r="BE918" s="1">
        <f>+IFERROR(VLOOKUP(BE33,'נתוני מים 2014'!$C$2:$N$188,11,0)/1000,0)</f>
        <v>0</v>
      </c>
      <c r="BF918" s="1">
        <f>+IFERROR(VLOOKUP(BF33,'נתוני מים 2014'!$C$2:$N$188,11,0)/1000,0)</f>
        <v>0</v>
      </c>
    </row>
    <row r="919" spans="1:58" x14ac:dyDescent="0.2">
      <c r="B919" s="1">
        <v>27</v>
      </c>
      <c r="C919" s="1">
        <f>+IFERROR(VLOOKUP(C34,'נתוני מים 2014'!$C$2:$N$188,11,0)/1000,0)</f>
        <v>0</v>
      </c>
      <c r="D919" s="1">
        <f>+IFERROR(VLOOKUP(D34,'נתוני מים 2014'!$C$2:$N$188,11,0)/1000,0)</f>
        <v>0</v>
      </c>
      <c r="E919" s="1">
        <f>+IFERROR(VLOOKUP(E34,'נתוני מים 2014'!$C$2:$N$188,11,0)/1000,0)</f>
        <v>0</v>
      </c>
      <c r="F919" s="1">
        <f>+IFERROR(VLOOKUP(F34,'נתוני מים 2014'!$C$2:$N$188,11,0)/1000,0)</f>
        <v>0</v>
      </c>
      <c r="G919" s="1">
        <f>+IFERROR(VLOOKUP(G34,'נתוני מים 2014'!$C$2:$N$188,11,0)/1000,0)</f>
        <v>0</v>
      </c>
      <c r="H919" s="1">
        <f>+IFERROR(VLOOKUP(H34,'נתוני מים 2014'!$C$2:$N$188,11,0)/1000,0)</f>
        <v>0</v>
      </c>
      <c r="I919" s="1">
        <f>+IFERROR(VLOOKUP(I34,'נתוני מים 2014'!$C$2:$N$188,11,0)/1000,0)</f>
        <v>0</v>
      </c>
      <c r="J919" s="1">
        <f>+IFERROR(VLOOKUP(J34,'נתוני מים 2014'!$C$2:$N$188,11,0)/1000,0)</f>
        <v>0</v>
      </c>
      <c r="K919" s="1">
        <f>+IFERROR(VLOOKUP(K34,'נתוני מים 2014'!$C$2:$N$188,11,0)/1000,0)</f>
        <v>0</v>
      </c>
      <c r="L919" s="1">
        <f>+IFERROR(VLOOKUP(L34,'נתוני מים 2014'!$C$2:$N$188,11,0)/1000,0)</f>
        <v>0</v>
      </c>
      <c r="M919" s="1">
        <f>+IFERROR(VLOOKUP(M34,'נתוני מים 2014'!$C$2:$N$188,11,0)/1000,0)</f>
        <v>0</v>
      </c>
      <c r="N919" s="1">
        <f>+IFERROR(VLOOKUP(N34,'נתוני מים 2014'!$C$2:$N$188,11,0)/1000,0)</f>
        <v>0</v>
      </c>
      <c r="O919" s="1">
        <f>+IFERROR(VLOOKUP(O34,'נתוני מים 2014'!$C$2:$N$188,11,0)/1000,0)</f>
        <v>0</v>
      </c>
      <c r="P919" s="1">
        <f>+IFERROR(VLOOKUP(P34,'נתוני מים 2014'!$C$2:$N$188,11,0)/1000,0)</f>
        <v>0</v>
      </c>
      <c r="Q919" s="1">
        <f>+IFERROR(VLOOKUP(Q34,'נתוני מים 2014'!$C$2:$N$188,11,0)/1000,0)</f>
        <v>0</v>
      </c>
      <c r="R919" s="1">
        <f>+IFERROR(VLOOKUP(R34,'נתוני מים 2014'!$C$2:$N$188,11,0)/1000,0)</f>
        <v>0</v>
      </c>
      <c r="S919" s="1">
        <f>+IFERROR(VLOOKUP(S34,'נתוני מים 2014'!$C$2:$N$188,11,0)/1000,0)</f>
        <v>0</v>
      </c>
      <c r="T919" s="1">
        <f>+IFERROR(VLOOKUP(T34,'נתוני מים 2014'!$C$2:$N$188,11,0)/1000,0)</f>
        <v>0</v>
      </c>
      <c r="U919" s="1">
        <f>+IFERROR(VLOOKUP(U34,'נתוני מים 2014'!$C$2:$N$188,11,0)/1000,0)</f>
        <v>0</v>
      </c>
      <c r="V919" s="1">
        <f>+IFERROR(VLOOKUP(V34,'נתוני מים 2014'!$C$2:$N$188,11,0)/1000,0)</f>
        <v>0</v>
      </c>
      <c r="W919" s="1">
        <f>+IFERROR(VLOOKUP(W34,'נתוני מים 2014'!$C$2:$N$188,11,0)/1000,0)</f>
        <v>0</v>
      </c>
      <c r="X919" s="1">
        <f>+IFERROR(VLOOKUP(X34,'נתוני מים 2014'!$C$2:$N$188,11,0)/1000,0)</f>
        <v>0</v>
      </c>
      <c r="Y919" s="1">
        <f>+IFERROR(VLOOKUP(Y34,'נתוני מים 2014'!$C$2:$N$188,11,0)/1000,0)</f>
        <v>0</v>
      </c>
      <c r="Z919" s="1">
        <f>+IFERROR(VLOOKUP(Z34,'נתוני מים 2014'!$C$2:$N$188,11,0)/1000,0)</f>
        <v>0</v>
      </c>
      <c r="AA919" s="1">
        <f>+IFERROR(VLOOKUP(AA34,'נתוני מים 2014'!$C$2:$N$188,11,0)/1000,0)</f>
        <v>0</v>
      </c>
      <c r="AB919" s="1">
        <f>+IFERROR(VLOOKUP(AB34,'נתוני מים 2014'!$C$2:$N$188,11,0)/1000,0)</f>
        <v>0</v>
      </c>
      <c r="AC919" s="1">
        <f>+IFERROR(VLOOKUP(AC34,'נתוני מים 2014'!$C$2:$N$188,11,0)/1000,0)</f>
        <v>0</v>
      </c>
      <c r="AD919" s="1">
        <f>+IFERROR(VLOOKUP(AD34,'נתוני מים 2014'!$C$2:$N$188,11,0)/1000,0)</f>
        <v>0</v>
      </c>
      <c r="AE919" s="1">
        <f>+IFERROR(VLOOKUP(AE34,'נתוני מים 2014'!$C$2:$N$188,11,0)/1000,0)</f>
        <v>0</v>
      </c>
      <c r="AF919" s="1">
        <f>+IFERROR(VLOOKUP(AF34,'נתוני מים 2014'!$C$2:$N$188,11,0)/1000,0)</f>
        <v>0</v>
      </c>
      <c r="AG919" s="1">
        <f>+IFERROR(VLOOKUP(AG34,'נתוני מים 2014'!$C$2:$N$188,11,0)/1000,0)</f>
        <v>0</v>
      </c>
      <c r="AH919" s="1">
        <f>+IFERROR(VLOOKUP(AH34,'נתוני מים 2014'!$C$2:$N$188,11,0)/1000,0)</f>
        <v>0</v>
      </c>
      <c r="AI919" s="1">
        <f>+IFERROR(VLOOKUP(AI34,'נתוני מים 2014'!$C$2:$N$188,11,0)/1000,0)</f>
        <v>0</v>
      </c>
      <c r="AJ919" s="1">
        <f>+IFERROR(VLOOKUP(AJ34,'נתוני מים 2014'!$C$2:$N$188,11,0)/1000,0)</f>
        <v>0</v>
      </c>
      <c r="AK919" s="1">
        <f>+IFERROR(VLOOKUP(AK34,'נתוני מים 2014'!$C$2:$N$188,11,0)/1000,0)</f>
        <v>0</v>
      </c>
      <c r="AL919" s="1">
        <f>+IFERROR(VLOOKUP(AL34,'נתוני מים 2014'!$C$2:$N$188,11,0)/1000,0)</f>
        <v>0</v>
      </c>
      <c r="AM919" s="1">
        <f>+IFERROR(VLOOKUP(AM34,'נתוני מים 2014'!$C$2:$N$188,11,0)/1000,0)</f>
        <v>0</v>
      </c>
      <c r="AN919" s="1">
        <f>+IFERROR(VLOOKUP(AN34,'נתוני מים 2014'!$C$2:$N$188,11,0)/1000,0)</f>
        <v>0</v>
      </c>
      <c r="AO919" s="1">
        <f>+IFERROR(VLOOKUP(AO34,'נתוני מים 2014'!$C$2:$N$188,11,0)/1000,0)</f>
        <v>0</v>
      </c>
      <c r="AP919" s="1">
        <f>+IFERROR(VLOOKUP(AP34,'נתוני מים 2014'!$C$2:$N$188,11,0)/1000,0)</f>
        <v>0</v>
      </c>
      <c r="AQ919" s="1">
        <f>+IFERROR(VLOOKUP(AQ34,'נתוני מים 2014'!$C$2:$N$188,11,0)/1000,0)</f>
        <v>0</v>
      </c>
      <c r="AR919" s="1">
        <f>+IFERROR(VLOOKUP(AR34,'נתוני מים 2014'!$C$2:$N$188,11,0)/1000,0)</f>
        <v>0</v>
      </c>
      <c r="AS919" s="1">
        <f>+IFERROR(VLOOKUP(AS34,'נתוני מים 2014'!$C$2:$N$188,11,0)/1000,0)</f>
        <v>0</v>
      </c>
      <c r="AT919" s="1">
        <f>+IFERROR(VLOOKUP(AT34,'נתוני מים 2014'!$C$2:$N$188,11,0)/1000,0)</f>
        <v>0</v>
      </c>
      <c r="AU919" s="1">
        <f>+IFERROR(VLOOKUP(AU34,'נתוני מים 2014'!$C$2:$N$188,11,0)/1000,0)</f>
        <v>0</v>
      </c>
      <c r="AV919" s="1">
        <f>+IFERROR(VLOOKUP(AV34,'נתוני מים 2014'!$C$2:$N$188,11,0)/1000,0)</f>
        <v>0</v>
      </c>
      <c r="AW919" s="1">
        <f>+IFERROR(VLOOKUP(AW34,'נתוני מים 2014'!$C$2:$N$188,11,0)/1000,0)</f>
        <v>0</v>
      </c>
      <c r="AX919" s="1">
        <f>+IFERROR(VLOOKUP(AX34,'נתוני מים 2014'!$C$2:$N$188,11,0)/1000,0)</f>
        <v>0</v>
      </c>
      <c r="AY919" s="1">
        <f>+IFERROR(VLOOKUP(AY34,'נתוני מים 2014'!$C$2:$N$188,11,0)/1000,0)</f>
        <v>0</v>
      </c>
      <c r="AZ919" s="1">
        <f>+IFERROR(VLOOKUP(AZ34,'נתוני מים 2014'!$C$2:$N$188,11,0)/1000,0)</f>
        <v>0</v>
      </c>
      <c r="BA919" s="1">
        <f>+IFERROR(VLOOKUP(BA34,'נתוני מים 2014'!$C$2:$N$188,11,0)/1000,0)</f>
        <v>0</v>
      </c>
      <c r="BB919" s="1">
        <f>+IFERROR(VLOOKUP(BB34,'נתוני מים 2014'!$C$2:$N$188,11,0)/1000,0)</f>
        <v>0</v>
      </c>
      <c r="BC919" s="1">
        <f>+IFERROR(VLOOKUP(BC34,'נתוני מים 2014'!$C$2:$N$188,11,0)/1000,0)</f>
        <v>0</v>
      </c>
      <c r="BD919" s="1">
        <f>+IFERROR(VLOOKUP(BD34,'נתוני מים 2014'!$C$2:$N$188,11,0)/1000,0)</f>
        <v>0</v>
      </c>
      <c r="BE919" s="1">
        <f>+IFERROR(VLOOKUP(BE34,'נתוני מים 2014'!$C$2:$N$188,11,0)/1000,0)</f>
        <v>0</v>
      </c>
      <c r="BF919" s="1">
        <f>+IFERROR(VLOOKUP(BF34,'נתוני מים 2014'!$C$2:$N$188,11,0)/1000,0)</f>
        <v>0</v>
      </c>
    </row>
    <row r="920" spans="1:58" x14ac:dyDescent="0.2">
      <c r="B920" s="1">
        <v>28</v>
      </c>
      <c r="C920" s="1">
        <f>+IFERROR(VLOOKUP(C35,'נתוני מים 2014'!$C$2:$N$188,11,0)/1000,0)</f>
        <v>0</v>
      </c>
      <c r="D920" s="1">
        <f>+IFERROR(VLOOKUP(D35,'נתוני מים 2014'!$C$2:$N$188,11,0)/1000,0)</f>
        <v>0</v>
      </c>
      <c r="E920" s="1">
        <f>+IFERROR(VLOOKUP(E35,'נתוני מים 2014'!$C$2:$N$188,11,0)/1000,0)</f>
        <v>0</v>
      </c>
      <c r="F920" s="1">
        <f>+IFERROR(VLOOKUP(F35,'נתוני מים 2014'!$C$2:$N$188,11,0)/1000,0)</f>
        <v>0</v>
      </c>
      <c r="G920" s="1">
        <f>+IFERROR(VLOOKUP(G35,'נתוני מים 2014'!$C$2:$N$188,11,0)/1000,0)</f>
        <v>0</v>
      </c>
      <c r="H920" s="1">
        <f>+IFERROR(VLOOKUP(H35,'נתוני מים 2014'!$C$2:$N$188,11,0)/1000,0)</f>
        <v>0</v>
      </c>
      <c r="I920" s="1">
        <f>+IFERROR(VLOOKUP(I35,'נתוני מים 2014'!$C$2:$N$188,11,0)/1000,0)</f>
        <v>0</v>
      </c>
      <c r="J920" s="1">
        <f>+IFERROR(VLOOKUP(J35,'נתוני מים 2014'!$C$2:$N$188,11,0)/1000,0)</f>
        <v>0</v>
      </c>
      <c r="K920" s="1">
        <f>+IFERROR(VLOOKUP(K35,'נתוני מים 2014'!$C$2:$N$188,11,0)/1000,0)</f>
        <v>0</v>
      </c>
      <c r="L920" s="1">
        <f>+IFERROR(VLOOKUP(L35,'נתוני מים 2014'!$C$2:$N$188,11,0)/1000,0)</f>
        <v>0</v>
      </c>
      <c r="M920" s="1">
        <f>+IFERROR(VLOOKUP(M35,'נתוני מים 2014'!$C$2:$N$188,11,0)/1000,0)</f>
        <v>0</v>
      </c>
      <c r="N920" s="1">
        <f>+IFERROR(VLOOKUP(N35,'נתוני מים 2014'!$C$2:$N$188,11,0)/1000,0)</f>
        <v>0</v>
      </c>
      <c r="O920" s="1">
        <f>+IFERROR(VLOOKUP(O35,'נתוני מים 2014'!$C$2:$N$188,11,0)/1000,0)</f>
        <v>0</v>
      </c>
      <c r="P920" s="1">
        <f>+IFERROR(VLOOKUP(P35,'נתוני מים 2014'!$C$2:$N$188,11,0)/1000,0)</f>
        <v>0</v>
      </c>
      <c r="Q920" s="1">
        <f>+IFERROR(VLOOKUP(Q35,'נתוני מים 2014'!$C$2:$N$188,11,0)/1000,0)</f>
        <v>0</v>
      </c>
      <c r="R920" s="1">
        <f>+IFERROR(VLOOKUP(R35,'נתוני מים 2014'!$C$2:$N$188,11,0)/1000,0)</f>
        <v>0</v>
      </c>
      <c r="S920" s="1">
        <f>+IFERROR(VLOOKUP(S35,'נתוני מים 2014'!$C$2:$N$188,11,0)/1000,0)</f>
        <v>0</v>
      </c>
      <c r="T920" s="1">
        <f>+IFERROR(VLOOKUP(T35,'נתוני מים 2014'!$C$2:$N$188,11,0)/1000,0)</f>
        <v>0</v>
      </c>
      <c r="U920" s="1">
        <f>+IFERROR(VLOOKUP(U35,'נתוני מים 2014'!$C$2:$N$188,11,0)/1000,0)</f>
        <v>0</v>
      </c>
      <c r="V920" s="1">
        <f>+IFERROR(VLOOKUP(V35,'נתוני מים 2014'!$C$2:$N$188,11,0)/1000,0)</f>
        <v>0</v>
      </c>
      <c r="W920" s="1">
        <f>+IFERROR(VLOOKUP(W35,'נתוני מים 2014'!$C$2:$N$188,11,0)/1000,0)</f>
        <v>0</v>
      </c>
      <c r="X920" s="1">
        <f>+IFERROR(VLOOKUP(X35,'נתוני מים 2014'!$C$2:$N$188,11,0)/1000,0)</f>
        <v>0</v>
      </c>
      <c r="Y920" s="1">
        <f>+IFERROR(VLOOKUP(Y35,'נתוני מים 2014'!$C$2:$N$188,11,0)/1000,0)</f>
        <v>0</v>
      </c>
      <c r="Z920" s="1">
        <f>+IFERROR(VLOOKUP(Z35,'נתוני מים 2014'!$C$2:$N$188,11,0)/1000,0)</f>
        <v>0</v>
      </c>
      <c r="AA920" s="1">
        <f>+IFERROR(VLOOKUP(AA35,'נתוני מים 2014'!$C$2:$N$188,11,0)/1000,0)</f>
        <v>0</v>
      </c>
      <c r="AB920" s="1">
        <f>+IFERROR(VLOOKUP(AB35,'נתוני מים 2014'!$C$2:$N$188,11,0)/1000,0)</f>
        <v>0</v>
      </c>
      <c r="AC920" s="1">
        <f>+IFERROR(VLOOKUP(AC35,'נתוני מים 2014'!$C$2:$N$188,11,0)/1000,0)</f>
        <v>0</v>
      </c>
      <c r="AD920" s="1">
        <f>+IFERROR(VLOOKUP(AD35,'נתוני מים 2014'!$C$2:$N$188,11,0)/1000,0)</f>
        <v>0</v>
      </c>
      <c r="AE920" s="1">
        <f>+IFERROR(VLOOKUP(AE35,'נתוני מים 2014'!$C$2:$N$188,11,0)/1000,0)</f>
        <v>0</v>
      </c>
      <c r="AF920" s="1">
        <f>+IFERROR(VLOOKUP(AF35,'נתוני מים 2014'!$C$2:$N$188,11,0)/1000,0)</f>
        <v>0</v>
      </c>
      <c r="AG920" s="1">
        <f>+IFERROR(VLOOKUP(AG35,'נתוני מים 2014'!$C$2:$N$188,11,0)/1000,0)</f>
        <v>0</v>
      </c>
      <c r="AH920" s="1">
        <f>+IFERROR(VLOOKUP(AH35,'נתוני מים 2014'!$C$2:$N$188,11,0)/1000,0)</f>
        <v>0</v>
      </c>
      <c r="AI920" s="1">
        <f>+IFERROR(VLOOKUP(AI35,'נתוני מים 2014'!$C$2:$N$188,11,0)/1000,0)</f>
        <v>0</v>
      </c>
      <c r="AJ920" s="1">
        <f>+IFERROR(VLOOKUP(AJ35,'נתוני מים 2014'!$C$2:$N$188,11,0)/1000,0)</f>
        <v>0</v>
      </c>
      <c r="AK920" s="1">
        <f>+IFERROR(VLOOKUP(AK35,'נתוני מים 2014'!$C$2:$N$188,11,0)/1000,0)</f>
        <v>0</v>
      </c>
      <c r="AL920" s="1">
        <f>+IFERROR(VLOOKUP(AL35,'נתוני מים 2014'!$C$2:$N$188,11,0)/1000,0)</f>
        <v>0</v>
      </c>
      <c r="AM920" s="1">
        <f>+IFERROR(VLOOKUP(AM35,'נתוני מים 2014'!$C$2:$N$188,11,0)/1000,0)</f>
        <v>0</v>
      </c>
      <c r="AN920" s="1">
        <f>+IFERROR(VLOOKUP(AN35,'נתוני מים 2014'!$C$2:$N$188,11,0)/1000,0)</f>
        <v>0</v>
      </c>
      <c r="AO920" s="1">
        <f>+IFERROR(VLOOKUP(AO35,'נתוני מים 2014'!$C$2:$N$188,11,0)/1000,0)</f>
        <v>0</v>
      </c>
      <c r="AP920" s="1">
        <f>+IFERROR(VLOOKUP(AP35,'נתוני מים 2014'!$C$2:$N$188,11,0)/1000,0)</f>
        <v>0</v>
      </c>
      <c r="AQ920" s="1">
        <f>+IFERROR(VLOOKUP(AQ35,'נתוני מים 2014'!$C$2:$N$188,11,0)/1000,0)</f>
        <v>0</v>
      </c>
      <c r="AR920" s="1">
        <f>+IFERROR(VLOOKUP(AR35,'נתוני מים 2014'!$C$2:$N$188,11,0)/1000,0)</f>
        <v>0</v>
      </c>
      <c r="AS920" s="1">
        <f>+IFERROR(VLOOKUP(AS35,'נתוני מים 2014'!$C$2:$N$188,11,0)/1000,0)</f>
        <v>0</v>
      </c>
      <c r="AT920" s="1">
        <f>+IFERROR(VLOOKUP(AT35,'נתוני מים 2014'!$C$2:$N$188,11,0)/1000,0)</f>
        <v>0</v>
      </c>
      <c r="AU920" s="1">
        <f>+IFERROR(VLOOKUP(AU35,'נתוני מים 2014'!$C$2:$N$188,11,0)/1000,0)</f>
        <v>0</v>
      </c>
      <c r="AV920" s="1">
        <f>+IFERROR(VLOOKUP(AV35,'נתוני מים 2014'!$C$2:$N$188,11,0)/1000,0)</f>
        <v>0</v>
      </c>
      <c r="AW920" s="1">
        <f>+IFERROR(VLOOKUP(AW35,'נתוני מים 2014'!$C$2:$N$188,11,0)/1000,0)</f>
        <v>0</v>
      </c>
      <c r="AX920" s="1">
        <f>+IFERROR(VLOOKUP(AX35,'נתוני מים 2014'!$C$2:$N$188,11,0)/1000,0)</f>
        <v>0</v>
      </c>
      <c r="AY920" s="1">
        <f>+IFERROR(VLOOKUP(AY35,'נתוני מים 2014'!$C$2:$N$188,11,0)/1000,0)</f>
        <v>0</v>
      </c>
      <c r="AZ920" s="1">
        <f>+IFERROR(VLOOKUP(AZ35,'נתוני מים 2014'!$C$2:$N$188,11,0)/1000,0)</f>
        <v>0</v>
      </c>
      <c r="BA920" s="1">
        <f>+IFERROR(VLOOKUP(BA35,'נתוני מים 2014'!$C$2:$N$188,11,0)/1000,0)</f>
        <v>0</v>
      </c>
      <c r="BB920" s="1">
        <f>+IFERROR(VLOOKUP(BB35,'נתוני מים 2014'!$C$2:$N$188,11,0)/1000,0)</f>
        <v>0</v>
      </c>
      <c r="BC920" s="1">
        <f>+IFERROR(VLOOKUP(BC35,'נתוני מים 2014'!$C$2:$N$188,11,0)/1000,0)</f>
        <v>0</v>
      </c>
      <c r="BD920" s="1">
        <f>+IFERROR(VLOOKUP(BD35,'נתוני מים 2014'!$C$2:$N$188,11,0)/1000,0)</f>
        <v>0</v>
      </c>
      <c r="BE920" s="1">
        <f>+IFERROR(VLOOKUP(BE35,'נתוני מים 2014'!$C$2:$N$188,11,0)/1000,0)</f>
        <v>0</v>
      </c>
      <c r="BF920" s="1">
        <f>+IFERROR(VLOOKUP(BF35,'נתוני מים 2014'!$C$2:$N$188,11,0)/1000,0)</f>
        <v>0</v>
      </c>
    </row>
    <row r="921" spans="1:58" x14ac:dyDescent="0.2">
      <c r="B921" s="1">
        <v>29</v>
      </c>
      <c r="C921" s="1">
        <f>+IFERROR(VLOOKUP(C36,'נתוני מים 2014'!$C$2:$N$188,11,0)/1000,0)</f>
        <v>0</v>
      </c>
      <c r="D921" s="1">
        <f>+IFERROR(VLOOKUP(D36,'נתוני מים 2014'!$C$2:$N$188,11,0)/1000,0)</f>
        <v>0</v>
      </c>
      <c r="E921" s="1">
        <f>+IFERROR(VLOOKUP(E36,'נתוני מים 2014'!$C$2:$N$188,11,0)/1000,0)</f>
        <v>0</v>
      </c>
      <c r="F921" s="1">
        <f>+IFERROR(VLOOKUP(F36,'נתוני מים 2014'!$C$2:$N$188,11,0)/1000,0)</f>
        <v>0</v>
      </c>
      <c r="G921" s="1">
        <f>+IFERROR(VLOOKUP(G36,'נתוני מים 2014'!$C$2:$N$188,11,0)/1000,0)</f>
        <v>0</v>
      </c>
      <c r="H921" s="1">
        <f>+IFERROR(VLOOKUP(H36,'נתוני מים 2014'!$C$2:$N$188,11,0)/1000,0)</f>
        <v>0</v>
      </c>
      <c r="I921" s="1">
        <f>+IFERROR(VLOOKUP(I36,'נתוני מים 2014'!$C$2:$N$188,11,0)/1000,0)</f>
        <v>0</v>
      </c>
      <c r="J921" s="1">
        <f>+IFERROR(VLOOKUP(J36,'נתוני מים 2014'!$C$2:$N$188,11,0)/1000,0)</f>
        <v>0</v>
      </c>
      <c r="K921" s="1">
        <f>+IFERROR(VLOOKUP(K36,'נתוני מים 2014'!$C$2:$N$188,11,0)/1000,0)</f>
        <v>0</v>
      </c>
      <c r="L921" s="1">
        <f>+IFERROR(VLOOKUP(L36,'נתוני מים 2014'!$C$2:$N$188,11,0)/1000,0)</f>
        <v>0</v>
      </c>
      <c r="M921" s="1">
        <f>+IFERROR(VLOOKUP(M36,'נתוני מים 2014'!$C$2:$N$188,11,0)/1000,0)</f>
        <v>0</v>
      </c>
      <c r="N921" s="1">
        <f>+IFERROR(VLOOKUP(N36,'נתוני מים 2014'!$C$2:$N$188,11,0)/1000,0)</f>
        <v>0</v>
      </c>
      <c r="O921" s="1">
        <f>+IFERROR(VLOOKUP(O36,'נתוני מים 2014'!$C$2:$N$188,11,0)/1000,0)</f>
        <v>0</v>
      </c>
      <c r="P921" s="1">
        <f>+IFERROR(VLOOKUP(P36,'נתוני מים 2014'!$C$2:$N$188,11,0)/1000,0)</f>
        <v>0</v>
      </c>
      <c r="Q921" s="1">
        <f>+IFERROR(VLOOKUP(Q36,'נתוני מים 2014'!$C$2:$N$188,11,0)/1000,0)</f>
        <v>0</v>
      </c>
      <c r="R921" s="1">
        <f>+IFERROR(VLOOKUP(R36,'נתוני מים 2014'!$C$2:$N$188,11,0)/1000,0)</f>
        <v>0</v>
      </c>
      <c r="S921" s="1">
        <f>+IFERROR(VLOOKUP(S36,'נתוני מים 2014'!$C$2:$N$188,11,0)/1000,0)</f>
        <v>0</v>
      </c>
      <c r="T921" s="1">
        <f>+IFERROR(VLOOKUP(T36,'נתוני מים 2014'!$C$2:$N$188,11,0)/1000,0)</f>
        <v>0</v>
      </c>
      <c r="U921" s="1">
        <f>+IFERROR(VLOOKUP(U36,'נתוני מים 2014'!$C$2:$N$188,11,0)/1000,0)</f>
        <v>0</v>
      </c>
      <c r="V921" s="1">
        <f>+IFERROR(VLOOKUP(V36,'נתוני מים 2014'!$C$2:$N$188,11,0)/1000,0)</f>
        <v>0</v>
      </c>
      <c r="W921" s="1">
        <f>+IFERROR(VLOOKUP(W36,'נתוני מים 2014'!$C$2:$N$188,11,0)/1000,0)</f>
        <v>0</v>
      </c>
      <c r="X921" s="1">
        <f>+IFERROR(VLOOKUP(X36,'נתוני מים 2014'!$C$2:$N$188,11,0)/1000,0)</f>
        <v>0</v>
      </c>
      <c r="Y921" s="1">
        <f>+IFERROR(VLOOKUP(Y36,'נתוני מים 2014'!$C$2:$N$188,11,0)/1000,0)</f>
        <v>0</v>
      </c>
      <c r="Z921" s="1">
        <f>+IFERROR(VLOOKUP(Z36,'נתוני מים 2014'!$C$2:$N$188,11,0)/1000,0)</f>
        <v>0</v>
      </c>
      <c r="AA921" s="1">
        <f>+IFERROR(VLOOKUP(AA36,'נתוני מים 2014'!$C$2:$N$188,11,0)/1000,0)</f>
        <v>0</v>
      </c>
      <c r="AB921" s="1">
        <f>+IFERROR(VLOOKUP(AB36,'נתוני מים 2014'!$C$2:$N$188,11,0)/1000,0)</f>
        <v>0</v>
      </c>
      <c r="AC921" s="1">
        <f>+IFERROR(VLOOKUP(AC36,'נתוני מים 2014'!$C$2:$N$188,11,0)/1000,0)</f>
        <v>0</v>
      </c>
      <c r="AD921" s="1">
        <f>+IFERROR(VLOOKUP(AD36,'נתוני מים 2014'!$C$2:$N$188,11,0)/1000,0)</f>
        <v>0</v>
      </c>
      <c r="AE921" s="1">
        <f>+IFERROR(VLOOKUP(AE36,'נתוני מים 2014'!$C$2:$N$188,11,0)/1000,0)</f>
        <v>0</v>
      </c>
      <c r="AF921" s="1">
        <f>+IFERROR(VLOOKUP(AF36,'נתוני מים 2014'!$C$2:$N$188,11,0)/1000,0)</f>
        <v>0</v>
      </c>
      <c r="AG921" s="1">
        <f>+IFERROR(VLOOKUP(AG36,'נתוני מים 2014'!$C$2:$N$188,11,0)/1000,0)</f>
        <v>0</v>
      </c>
      <c r="AH921" s="1">
        <f>+IFERROR(VLOOKUP(AH36,'נתוני מים 2014'!$C$2:$N$188,11,0)/1000,0)</f>
        <v>0</v>
      </c>
      <c r="AI921" s="1">
        <f>+IFERROR(VLOOKUP(AI36,'נתוני מים 2014'!$C$2:$N$188,11,0)/1000,0)</f>
        <v>0</v>
      </c>
      <c r="AJ921" s="1">
        <f>+IFERROR(VLOOKUP(AJ36,'נתוני מים 2014'!$C$2:$N$188,11,0)/1000,0)</f>
        <v>0</v>
      </c>
      <c r="AK921" s="1">
        <f>+IFERROR(VLOOKUP(AK36,'נתוני מים 2014'!$C$2:$N$188,11,0)/1000,0)</f>
        <v>0</v>
      </c>
      <c r="AL921" s="1">
        <f>+IFERROR(VLOOKUP(AL36,'נתוני מים 2014'!$C$2:$N$188,11,0)/1000,0)</f>
        <v>0</v>
      </c>
      <c r="AM921" s="1">
        <f>+IFERROR(VLOOKUP(AM36,'נתוני מים 2014'!$C$2:$N$188,11,0)/1000,0)</f>
        <v>0</v>
      </c>
      <c r="AN921" s="1">
        <f>+IFERROR(VLOOKUP(AN36,'נתוני מים 2014'!$C$2:$N$188,11,0)/1000,0)</f>
        <v>0</v>
      </c>
      <c r="AO921" s="1">
        <f>+IFERROR(VLOOKUP(AO36,'נתוני מים 2014'!$C$2:$N$188,11,0)/1000,0)</f>
        <v>0</v>
      </c>
      <c r="AP921" s="1">
        <f>+IFERROR(VLOOKUP(AP36,'נתוני מים 2014'!$C$2:$N$188,11,0)/1000,0)</f>
        <v>0</v>
      </c>
      <c r="AQ921" s="1">
        <f>+IFERROR(VLOOKUP(AQ36,'נתוני מים 2014'!$C$2:$N$188,11,0)/1000,0)</f>
        <v>0</v>
      </c>
      <c r="AR921" s="1">
        <f>+IFERROR(VLOOKUP(AR36,'נתוני מים 2014'!$C$2:$N$188,11,0)/1000,0)</f>
        <v>0</v>
      </c>
      <c r="AS921" s="1">
        <f>+IFERROR(VLOOKUP(AS36,'נתוני מים 2014'!$C$2:$N$188,11,0)/1000,0)</f>
        <v>0</v>
      </c>
      <c r="AT921" s="1">
        <f>+IFERROR(VLOOKUP(AT36,'נתוני מים 2014'!$C$2:$N$188,11,0)/1000,0)</f>
        <v>0</v>
      </c>
      <c r="AU921" s="1">
        <f>+IFERROR(VLOOKUP(AU36,'נתוני מים 2014'!$C$2:$N$188,11,0)/1000,0)</f>
        <v>0</v>
      </c>
      <c r="AV921" s="1">
        <f>+IFERROR(VLOOKUP(AV36,'נתוני מים 2014'!$C$2:$N$188,11,0)/1000,0)</f>
        <v>0</v>
      </c>
      <c r="AW921" s="1">
        <f>+IFERROR(VLOOKUP(AW36,'נתוני מים 2014'!$C$2:$N$188,11,0)/1000,0)</f>
        <v>0</v>
      </c>
      <c r="AX921" s="1">
        <f>+IFERROR(VLOOKUP(AX36,'נתוני מים 2014'!$C$2:$N$188,11,0)/1000,0)</f>
        <v>0</v>
      </c>
      <c r="AY921" s="1">
        <f>+IFERROR(VLOOKUP(AY36,'נתוני מים 2014'!$C$2:$N$188,11,0)/1000,0)</f>
        <v>0</v>
      </c>
      <c r="AZ921" s="1">
        <f>+IFERROR(VLOOKUP(AZ36,'נתוני מים 2014'!$C$2:$N$188,11,0)/1000,0)</f>
        <v>0</v>
      </c>
      <c r="BA921" s="1">
        <f>+IFERROR(VLOOKUP(BA36,'נתוני מים 2014'!$C$2:$N$188,11,0)/1000,0)</f>
        <v>0</v>
      </c>
      <c r="BB921" s="1">
        <f>+IFERROR(VLOOKUP(BB36,'נתוני מים 2014'!$C$2:$N$188,11,0)/1000,0)</f>
        <v>0</v>
      </c>
      <c r="BC921" s="1">
        <f>+IFERROR(VLOOKUP(BC36,'נתוני מים 2014'!$C$2:$N$188,11,0)/1000,0)</f>
        <v>0</v>
      </c>
      <c r="BD921" s="1">
        <f>+IFERROR(VLOOKUP(BD36,'נתוני מים 2014'!$C$2:$N$188,11,0)/1000,0)</f>
        <v>0</v>
      </c>
      <c r="BE921" s="1">
        <f>+IFERROR(VLOOKUP(BE36,'נתוני מים 2014'!$C$2:$N$188,11,0)/1000,0)</f>
        <v>0</v>
      </c>
      <c r="BF921" s="1">
        <f>+IFERROR(VLOOKUP(BF36,'נתוני מים 2014'!$C$2:$N$188,11,0)/1000,0)</f>
        <v>0</v>
      </c>
    </row>
    <row r="922" spans="1:58" x14ac:dyDescent="0.2">
      <c r="B922" s="1">
        <v>30</v>
      </c>
      <c r="C922" s="1">
        <f>+IFERROR(VLOOKUP(C37,'נתוני מים 2014'!$C$2:$N$188,11,0)/1000,0)</f>
        <v>0</v>
      </c>
      <c r="D922" s="1">
        <f>+IFERROR(VLOOKUP(D37,'נתוני מים 2014'!$C$2:$N$188,11,0)/1000,0)</f>
        <v>0</v>
      </c>
      <c r="E922" s="1">
        <f>+IFERROR(VLOOKUP(E37,'נתוני מים 2014'!$C$2:$N$188,11,0)/1000,0)</f>
        <v>0</v>
      </c>
      <c r="F922" s="1">
        <f>+IFERROR(VLOOKUP(F37,'נתוני מים 2014'!$C$2:$N$188,11,0)/1000,0)</f>
        <v>0</v>
      </c>
      <c r="G922" s="1">
        <f>+IFERROR(VLOOKUP(G37,'נתוני מים 2014'!$C$2:$N$188,11,0)/1000,0)</f>
        <v>0</v>
      </c>
      <c r="H922" s="1">
        <f>+IFERROR(VLOOKUP(H37,'נתוני מים 2014'!$C$2:$N$188,11,0)/1000,0)</f>
        <v>0</v>
      </c>
      <c r="I922" s="1">
        <f>+IFERROR(VLOOKUP(I37,'נתוני מים 2014'!$C$2:$N$188,11,0)/1000,0)</f>
        <v>0</v>
      </c>
      <c r="J922" s="1">
        <f>+IFERROR(VLOOKUP(J37,'נתוני מים 2014'!$C$2:$N$188,11,0)/1000,0)</f>
        <v>0</v>
      </c>
      <c r="K922" s="1">
        <f>+IFERROR(VLOOKUP(K37,'נתוני מים 2014'!$C$2:$N$188,11,0)/1000,0)</f>
        <v>0</v>
      </c>
      <c r="L922" s="1">
        <f>+IFERROR(VLOOKUP(L37,'נתוני מים 2014'!$C$2:$N$188,11,0)/1000,0)</f>
        <v>0</v>
      </c>
      <c r="M922" s="1">
        <f>+IFERROR(VLOOKUP(M37,'נתוני מים 2014'!$C$2:$N$188,11,0)/1000,0)</f>
        <v>0</v>
      </c>
      <c r="N922" s="1">
        <f>+IFERROR(VLOOKUP(N37,'נתוני מים 2014'!$C$2:$N$188,11,0)/1000,0)</f>
        <v>0</v>
      </c>
      <c r="O922" s="1">
        <f>+IFERROR(VLOOKUP(O37,'נתוני מים 2014'!$C$2:$N$188,11,0)/1000,0)</f>
        <v>0</v>
      </c>
      <c r="P922" s="1">
        <f>+IFERROR(VLOOKUP(P37,'נתוני מים 2014'!$C$2:$N$188,11,0)/1000,0)</f>
        <v>0</v>
      </c>
      <c r="Q922" s="1">
        <f>+IFERROR(VLOOKUP(Q37,'נתוני מים 2014'!$C$2:$N$188,11,0)/1000,0)</f>
        <v>0</v>
      </c>
      <c r="R922" s="1">
        <f>+IFERROR(VLOOKUP(R37,'נתוני מים 2014'!$C$2:$N$188,11,0)/1000,0)</f>
        <v>0</v>
      </c>
      <c r="S922" s="1">
        <f>+IFERROR(VLOOKUP(S37,'נתוני מים 2014'!$C$2:$N$188,11,0)/1000,0)</f>
        <v>0</v>
      </c>
      <c r="T922" s="1">
        <f>+IFERROR(VLOOKUP(T37,'נתוני מים 2014'!$C$2:$N$188,11,0)/1000,0)</f>
        <v>0</v>
      </c>
      <c r="U922" s="1">
        <f>+IFERROR(VLOOKUP(U37,'נתוני מים 2014'!$C$2:$N$188,11,0)/1000,0)</f>
        <v>0</v>
      </c>
      <c r="V922" s="1">
        <f>+IFERROR(VLOOKUP(V37,'נתוני מים 2014'!$C$2:$N$188,11,0)/1000,0)</f>
        <v>0</v>
      </c>
      <c r="W922" s="1">
        <f>+IFERROR(VLOOKUP(W37,'נתוני מים 2014'!$C$2:$N$188,11,0)/1000,0)</f>
        <v>0</v>
      </c>
      <c r="X922" s="1">
        <f>+IFERROR(VLOOKUP(X37,'נתוני מים 2014'!$C$2:$N$188,11,0)/1000,0)</f>
        <v>0</v>
      </c>
      <c r="Y922" s="1">
        <f>+IFERROR(VLOOKUP(Y37,'נתוני מים 2014'!$C$2:$N$188,11,0)/1000,0)</f>
        <v>0</v>
      </c>
      <c r="Z922" s="1">
        <f>+IFERROR(VLOOKUP(Z37,'נתוני מים 2014'!$C$2:$N$188,11,0)/1000,0)</f>
        <v>0</v>
      </c>
      <c r="AA922" s="1">
        <f>+IFERROR(VLOOKUP(AA37,'נתוני מים 2014'!$C$2:$N$188,11,0)/1000,0)</f>
        <v>0</v>
      </c>
      <c r="AB922" s="1">
        <f>+IFERROR(VLOOKUP(AB37,'נתוני מים 2014'!$C$2:$N$188,11,0)/1000,0)</f>
        <v>0</v>
      </c>
      <c r="AC922" s="1">
        <f>+IFERROR(VLOOKUP(AC37,'נתוני מים 2014'!$C$2:$N$188,11,0)/1000,0)</f>
        <v>0</v>
      </c>
      <c r="AD922" s="1">
        <f>+IFERROR(VLOOKUP(AD37,'נתוני מים 2014'!$C$2:$N$188,11,0)/1000,0)</f>
        <v>0</v>
      </c>
      <c r="AE922" s="1">
        <f>+IFERROR(VLOOKUP(AE37,'נתוני מים 2014'!$C$2:$N$188,11,0)/1000,0)</f>
        <v>0</v>
      </c>
      <c r="AF922" s="1">
        <f>+IFERROR(VLOOKUP(AF37,'נתוני מים 2014'!$C$2:$N$188,11,0)/1000,0)</f>
        <v>0</v>
      </c>
      <c r="AG922" s="1">
        <f>+IFERROR(VLOOKUP(AG37,'נתוני מים 2014'!$C$2:$N$188,11,0)/1000,0)</f>
        <v>0</v>
      </c>
      <c r="AH922" s="1">
        <f>+IFERROR(VLOOKUP(AH37,'נתוני מים 2014'!$C$2:$N$188,11,0)/1000,0)</f>
        <v>0</v>
      </c>
      <c r="AI922" s="1">
        <f>+IFERROR(VLOOKUP(AI37,'נתוני מים 2014'!$C$2:$N$188,11,0)/1000,0)</f>
        <v>0</v>
      </c>
      <c r="AJ922" s="1">
        <f>+IFERROR(VLOOKUP(AJ37,'נתוני מים 2014'!$C$2:$N$188,11,0)/1000,0)</f>
        <v>0</v>
      </c>
      <c r="AK922" s="1">
        <f>+IFERROR(VLOOKUP(AK37,'נתוני מים 2014'!$C$2:$N$188,11,0)/1000,0)</f>
        <v>0</v>
      </c>
      <c r="AL922" s="1">
        <f>+IFERROR(VLOOKUP(AL37,'נתוני מים 2014'!$C$2:$N$188,11,0)/1000,0)</f>
        <v>0</v>
      </c>
      <c r="AM922" s="1">
        <f>+IFERROR(VLOOKUP(AM37,'נתוני מים 2014'!$C$2:$N$188,11,0)/1000,0)</f>
        <v>0</v>
      </c>
      <c r="AN922" s="1">
        <f>+IFERROR(VLOOKUP(AN37,'נתוני מים 2014'!$C$2:$N$188,11,0)/1000,0)</f>
        <v>0</v>
      </c>
      <c r="AO922" s="1">
        <f>+IFERROR(VLOOKUP(AO37,'נתוני מים 2014'!$C$2:$N$188,11,0)/1000,0)</f>
        <v>0</v>
      </c>
      <c r="AP922" s="1">
        <f>+IFERROR(VLOOKUP(AP37,'נתוני מים 2014'!$C$2:$N$188,11,0)/1000,0)</f>
        <v>0</v>
      </c>
      <c r="AQ922" s="1">
        <f>+IFERROR(VLOOKUP(AQ37,'נתוני מים 2014'!$C$2:$N$188,11,0)/1000,0)</f>
        <v>0</v>
      </c>
      <c r="AR922" s="1">
        <f>+IFERROR(VLOOKUP(AR37,'נתוני מים 2014'!$C$2:$N$188,11,0)/1000,0)</f>
        <v>0</v>
      </c>
      <c r="AS922" s="1">
        <f>+IFERROR(VLOOKUP(AS37,'נתוני מים 2014'!$C$2:$N$188,11,0)/1000,0)</f>
        <v>0</v>
      </c>
      <c r="AT922" s="1">
        <f>+IFERROR(VLOOKUP(AT37,'נתוני מים 2014'!$C$2:$N$188,11,0)/1000,0)</f>
        <v>0</v>
      </c>
      <c r="AU922" s="1">
        <f>+IFERROR(VLOOKUP(AU37,'נתוני מים 2014'!$C$2:$N$188,11,0)/1000,0)</f>
        <v>0</v>
      </c>
      <c r="AV922" s="1">
        <f>+IFERROR(VLOOKUP(AV37,'נתוני מים 2014'!$C$2:$N$188,11,0)/1000,0)</f>
        <v>0</v>
      </c>
      <c r="AW922" s="1">
        <f>+IFERROR(VLOOKUP(AW37,'נתוני מים 2014'!$C$2:$N$188,11,0)/1000,0)</f>
        <v>0</v>
      </c>
      <c r="AX922" s="1">
        <f>+IFERROR(VLOOKUP(AX37,'נתוני מים 2014'!$C$2:$N$188,11,0)/1000,0)</f>
        <v>0</v>
      </c>
      <c r="AY922" s="1">
        <f>+IFERROR(VLOOKUP(AY37,'נתוני מים 2014'!$C$2:$N$188,11,0)/1000,0)</f>
        <v>0</v>
      </c>
      <c r="AZ922" s="1">
        <f>+IFERROR(VLOOKUP(AZ37,'נתוני מים 2014'!$C$2:$N$188,11,0)/1000,0)</f>
        <v>0</v>
      </c>
      <c r="BA922" s="1">
        <f>+IFERROR(VLOOKUP(BA37,'נתוני מים 2014'!$C$2:$N$188,11,0)/1000,0)</f>
        <v>0</v>
      </c>
      <c r="BB922" s="1">
        <f>+IFERROR(VLOOKUP(BB37,'נתוני מים 2014'!$C$2:$N$188,11,0)/1000,0)</f>
        <v>0</v>
      </c>
      <c r="BC922" s="1">
        <f>+IFERROR(VLOOKUP(BC37,'נתוני מים 2014'!$C$2:$N$188,11,0)/1000,0)</f>
        <v>0</v>
      </c>
      <c r="BD922" s="1">
        <f>+IFERROR(VLOOKUP(BD37,'נתוני מים 2014'!$C$2:$N$188,11,0)/1000,0)</f>
        <v>0</v>
      </c>
      <c r="BE922" s="1">
        <f>+IFERROR(VLOOKUP(BE37,'נתוני מים 2014'!$C$2:$N$188,11,0)/1000,0)</f>
        <v>0</v>
      </c>
      <c r="BF922" s="1">
        <f>+IFERROR(VLOOKUP(BF37,'נתוני מים 2014'!$C$2:$N$188,11,0)/1000,0)</f>
        <v>0</v>
      </c>
    </row>
    <row r="924" spans="1:58" x14ac:dyDescent="0.2">
      <c r="A924" s="1228" t="s">
        <v>2067</v>
      </c>
      <c r="C924" s="1">
        <f>SUM(C893:C922)</f>
        <v>827.69</v>
      </c>
      <c r="D924" s="1">
        <f t="shared" ref="D924:BF924" si="202">SUM(D893:D922)</f>
        <v>232.27900000000002</v>
      </c>
      <c r="E924" s="1">
        <f t="shared" si="202"/>
        <v>1086.79</v>
      </c>
      <c r="F924" s="1">
        <f t="shared" si="202"/>
        <v>216.30900000000003</v>
      </c>
      <c r="G924" s="1">
        <f t="shared" si="202"/>
        <v>662.77300000000002</v>
      </c>
      <c r="H924" s="1">
        <f t="shared" si="202"/>
        <v>1586.2819999999999</v>
      </c>
      <c r="I924" s="1">
        <f t="shared" si="202"/>
        <v>1376.9939999999999</v>
      </c>
      <c r="J924" s="1">
        <f t="shared" si="202"/>
        <v>1297.3019999999999</v>
      </c>
      <c r="K924" s="1">
        <f t="shared" si="202"/>
        <v>305.81700000000001</v>
      </c>
      <c r="L924" s="1">
        <f t="shared" si="202"/>
        <v>176.43600000000001</v>
      </c>
      <c r="M924" s="1">
        <f t="shared" si="202"/>
        <v>1044.114</v>
      </c>
      <c r="N924" s="1">
        <f t="shared" si="202"/>
        <v>1474.9649999999999</v>
      </c>
      <c r="O924" s="1">
        <f t="shared" si="202"/>
        <v>968.44299999999998</v>
      </c>
      <c r="P924" s="1">
        <f t="shared" si="202"/>
        <v>141.19199999999998</v>
      </c>
      <c r="Q924" s="1">
        <f t="shared" si="202"/>
        <v>92.564999999999998</v>
      </c>
      <c r="R924" s="1">
        <f t="shared" si="202"/>
        <v>398.815</v>
      </c>
      <c r="S924" s="1">
        <f t="shared" si="202"/>
        <v>204.05699999999999</v>
      </c>
      <c r="T924" s="1">
        <f t="shared" si="202"/>
        <v>500.80500000000001</v>
      </c>
      <c r="U924" s="1">
        <f t="shared" si="202"/>
        <v>361.63200000000001</v>
      </c>
      <c r="V924" s="1">
        <f t="shared" si="202"/>
        <v>25.058999999999997</v>
      </c>
      <c r="W924" s="1">
        <f t="shared" si="202"/>
        <v>60.266000000000005</v>
      </c>
      <c r="X924" s="1">
        <f t="shared" si="202"/>
        <v>285.15699999999998</v>
      </c>
      <c r="Y924" s="1">
        <f t="shared" si="202"/>
        <v>248.11499999999998</v>
      </c>
      <c r="Z924" s="1">
        <f t="shared" si="202"/>
        <v>472.08600000000001</v>
      </c>
      <c r="AA924" s="1">
        <f t="shared" si="202"/>
        <v>637.78800000000001</v>
      </c>
      <c r="AB924" s="1">
        <f t="shared" si="202"/>
        <v>296.70699999999999</v>
      </c>
      <c r="AC924" s="1">
        <f t="shared" si="202"/>
        <v>737.82500000000005</v>
      </c>
      <c r="AD924" s="1">
        <f t="shared" si="202"/>
        <v>345.56299999999999</v>
      </c>
      <c r="AE924" s="1">
        <f t="shared" si="202"/>
        <v>1004.064</v>
      </c>
      <c r="AF924" s="1">
        <f t="shared" si="202"/>
        <v>426.83500000000004</v>
      </c>
      <c r="AG924" s="1">
        <f t="shared" si="202"/>
        <v>487.988</v>
      </c>
      <c r="AH924" s="1">
        <f t="shared" si="202"/>
        <v>45.677999999999997</v>
      </c>
      <c r="AI924" s="1">
        <f t="shared" si="202"/>
        <v>406.613</v>
      </c>
      <c r="AJ924" s="1">
        <f t="shared" si="202"/>
        <v>220.41299999999998</v>
      </c>
      <c r="AK924" s="1">
        <f t="shared" si="202"/>
        <v>236.36799999999999</v>
      </c>
      <c r="AL924" s="1">
        <f t="shared" si="202"/>
        <v>3443.5680000000002</v>
      </c>
      <c r="AM924" s="1">
        <f t="shared" si="202"/>
        <v>415.10500000000002</v>
      </c>
      <c r="AN924" s="1">
        <f t="shared" si="202"/>
        <v>31.469000000000001</v>
      </c>
      <c r="AO924" s="1">
        <f t="shared" si="202"/>
        <v>805.48599999999999</v>
      </c>
      <c r="AP924" s="1">
        <f t="shared" si="202"/>
        <v>146.07</v>
      </c>
      <c r="AQ924" s="1">
        <f t="shared" si="202"/>
        <v>458.58199999999999</v>
      </c>
      <c r="AR924" s="1">
        <f t="shared" si="202"/>
        <v>302.81600000000003</v>
      </c>
      <c r="AS924" s="1">
        <f t="shared" si="202"/>
        <v>236.09700000000001</v>
      </c>
      <c r="AT924" s="1">
        <f t="shared" si="202"/>
        <v>212.76599999999999</v>
      </c>
      <c r="AU924" s="1">
        <f t="shared" si="202"/>
        <v>456.81799999999998</v>
      </c>
      <c r="AV924" s="1">
        <f t="shared" si="202"/>
        <v>807.18799999999999</v>
      </c>
      <c r="AW924" s="1">
        <f t="shared" si="202"/>
        <v>253.14400000000001</v>
      </c>
      <c r="AX924" s="1">
        <f t="shared" si="202"/>
        <v>25.544000000000004</v>
      </c>
      <c r="AY924" s="1">
        <f t="shared" si="202"/>
        <v>347.35199999999998</v>
      </c>
      <c r="AZ924" s="1">
        <f t="shared" si="202"/>
        <v>371.15899999999999</v>
      </c>
      <c r="BA924" s="1">
        <f t="shared" si="202"/>
        <v>835.14599999999996</v>
      </c>
      <c r="BB924" s="1">
        <f t="shared" si="202"/>
        <v>2.6399999999999997</v>
      </c>
      <c r="BC924" s="1">
        <f t="shared" si="202"/>
        <v>8.0170000000000012</v>
      </c>
      <c r="BD924" s="1">
        <f t="shared" si="202"/>
        <v>58.918999999999997</v>
      </c>
      <c r="BE924" s="1">
        <f t="shared" si="202"/>
        <v>111.572</v>
      </c>
      <c r="BF924" s="1">
        <f t="shared" si="202"/>
        <v>870.52700000000004</v>
      </c>
    </row>
    <row r="927" spans="1:58" x14ac:dyDescent="0.2">
      <c r="A927" s="1228" t="s">
        <v>2068</v>
      </c>
      <c r="B927" s="1">
        <v>1</v>
      </c>
      <c r="C927" s="1">
        <f>+IFERROR(VLOOKUP(C8,'נתוני מים 2014'!$C$2:$N$188,12,0)/1000,0)</f>
        <v>776.07</v>
      </c>
      <c r="D927" s="1">
        <f>+IFERROR(VLOOKUP(D8,'נתוני מים 2014'!$C$2:$N$188,12,0)/1000,0)</f>
        <v>105.054</v>
      </c>
      <c r="E927" s="1">
        <f>+IFERROR(VLOOKUP(E8,'נתוני מים 2014'!$C$2:$N$188,12,0)/1000,0)</f>
        <v>324.185</v>
      </c>
      <c r="F927" s="1">
        <f>+IFERROR(VLOOKUP(F8,'נתוני מים 2014'!$C$2:$N$188,12,0)/1000,0)</f>
        <v>149.239</v>
      </c>
      <c r="G927" s="1">
        <f>+IFERROR(VLOOKUP(G8,'נתוני מים 2014'!$C$2:$N$188,12,0)/1000,0)</f>
        <v>325.93099999999998</v>
      </c>
      <c r="H927" s="1">
        <f>+IFERROR(VLOOKUP(H8,'נתוני מים 2014'!$C$2:$N$188,12,0)/1000,0)</f>
        <v>508.44200000000001</v>
      </c>
      <c r="I927" s="1">
        <f>+IFERROR(VLOOKUP(I8,'נתוני מים 2014'!$C$2:$N$188,12,0)/1000,0)</f>
        <v>781.22799999999995</v>
      </c>
      <c r="J927" s="1">
        <f>+IFERROR(VLOOKUP(J8,'נתוני מים 2014'!$C$2:$N$188,12,0)/1000,0)</f>
        <v>337.57499999999999</v>
      </c>
      <c r="K927" s="1">
        <f>+IFERROR(VLOOKUP(K8,'נתוני מים 2014'!$C$2:$N$188,12,0)/1000,0)</f>
        <v>104.952</v>
      </c>
      <c r="L927" s="1">
        <f>+IFERROR(VLOOKUP(L8,'נתוני מים 2014'!$C$2:$N$188,12,0)/1000,0)</f>
        <v>131.59700000000001</v>
      </c>
      <c r="M927" s="1">
        <f>+IFERROR(VLOOKUP(M8,'נתוני מים 2014'!$C$2:$N$188,12,0)/1000,0)</f>
        <v>686.74099999999999</v>
      </c>
      <c r="N927" s="1">
        <f>+IFERROR(VLOOKUP(N8,'נתוני מים 2014'!$C$2:$N$188,12,0)/1000,0)</f>
        <v>815.39599999999996</v>
      </c>
      <c r="O927" s="1">
        <f>+IFERROR(VLOOKUP(O8,'נתוני מים 2014'!$C$2:$N$188,12,0)/1000,0)</f>
        <v>43.033000000000001</v>
      </c>
      <c r="P927" s="1">
        <f>+IFERROR(VLOOKUP(P8,'נתוני מים 2014'!$C$2:$N$188,12,0)/1000,0)</f>
        <v>145.09399999999999</v>
      </c>
      <c r="Q927" s="1">
        <f>+IFERROR(VLOOKUP(Q8,'נתוני מים 2014'!$C$2:$N$188,12,0)/1000,0)</f>
        <v>619.61300000000006</v>
      </c>
      <c r="R927" s="1">
        <f>+IFERROR(VLOOKUP(R8,'נתוני מים 2014'!$C$2:$N$188,12,0)/1000,0)</f>
        <v>130.434</v>
      </c>
      <c r="S927" s="1">
        <f>+IFERROR(VLOOKUP(S8,'נתוני מים 2014'!$C$2:$N$188,12,0)/1000,0)</f>
        <v>224.06399999999999</v>
      </c>
      <c r="T927" s="1">
        <f>+IFERROR(VLOOKUP(T8,'נתוני מים 2014'!$C$2:$N$188,12,0)/1000,0)</f>
        <v>61.024999999999999</v>
      </c>
      <c r="U927" s="1">
        <f>+IFERROR(VLOOKUP(U8,'נתוני מים 2014'!$C$2:$N$188,12,0)/1000,0)</f>
        <v>329.23700000000002</v>
      </c>
      <c r="V927" s="1">
        <f>+IFERROR(VLOOKUP(V8,'נתוני מים 2014'!$C$2:$N$188,12,0)/1000,0)</f>
        <v>15.106999999999999</v>
      </c>
      <c r="W927" s="1">
        <f>+IFERROR(VLOOKUP(W8,'נתוני מים 2014'!$C$2:$N$188,12,0)/1000,0)</f>
        <v>146.518</v>
      </c>
      <c r="X927" s="1">
        <f>+IFERROR(VLOOKUP(X8,'נתוני מים 2014'!$C$2:$N$188,12,0)/1000,0)</f>
        <v>196.15199999999999</v>
      </c>
      <c r="Y927" s="1">
        <f>+IFERROR(VLOOKUP(Y8,'נתוני מים 2014'!$C$2:$N$188,12,0)/1000,0)</f>
        <v>50.765999999999998</v>
      </c>
      <c r="Z927" s="1">
        <f>+IFERROR(VLOOKUP(Z8,'נתוני מים 2014'!$C$2:$N$188,12,0)/1000,0)</f>
        <v>43.951999999999998</v>
      </c>
      <c r="AA927" s="1">
        <f>+IFERROR(VLOOKUP(AA8,'נתוני מים 2014'!$C$2:$N$188,12,0)/1000,0)</f>
        <v>114.905</v>
      </c>
      <c r="AB927" s="1">
        <f>+IFERROR(VLOOKUP(AB8,'נתוני מים 2014'!$C$2:$N$188,12,0)/1000,0)</f>
        <v>123.56100000000001</v>
      </c>
      <c r="AC927" s="1">
        <f>+IFERROR(VLOOKUP(AC8,'נתוני מים 2014'!$C$2:$N$188,12,0)/1000,0)</f>
        <v>477.03399999999999</v>
      </c>
      <c r="AD927" s="1">
        <f>+IFERROR(VLOOKUP(AD8,'נתוני מים 2014'!$C$2:$N$188,12,0)/1000,0)</f>
        <v>137.14699999999999</v>
      </c>
      <c r="AE927" s="1">
        <f>+IFERROR(VLOOKUP(AE8,'נתוני מים 2014'!$C$2:$N$188,12,0)/1000,0)</f>
        <v>2131.62</v>
      </c>
      <c r="AF927" s="1">
        <f>+IFERROR(VLOOKUP(AF8,'נתוני מים 2014'!$C$2:$N$188,12,0)/1000,0)</f>
        <v>89.724999999999994</v>
      </c>
      <c r="AG927" s="1">
        <f>+IFERROR(VLOOKUP(AG8,'נתוני מים 2014'!$C$2:$N$188,12,0)/1000,0)</f>
        <v>144.37899999999999</v>
      </c>
      <c r="AH927" s="1">
        <f>+IFERROR(VLOOKUP(AH8,'נתוני מים 2014'!$C$2:$N$188,12,0)/1000,0)</f>
        <v>138.916</v>
      </c>
      <c r="AI927" s="1">
        <f>+IFERROR(VLOOKUP(AI8,'נתוני מים 2014'!$C$2:$N$188,12,0)/1000,0)</f>
        <v>107.675</v>
      </c>
      <c r="AJ927" s="1">
        <f>+IFERROR(VLOOKUP(AJ8,'נתוני מים 2014'!$C$2:$N$188,12,0)/1000,0)</f>
        <v>174.99600000000001</v>
      </c>
      <c r="AK927" s="1">
        <f>+IFERROR(VLOOKUP(AK8,'נתוני מים 2014'!$C$2:$N$188,12,0)/1000,0)</f>
        <v>146.25</v>
      </c>
      <c r="AL927" s="1">
        <f>+IFERROR(VLOOKUP(AL8,'נתוני מים 2014'!$C$2:$N$188,12,0)/1000,0)</f>
        <v>753.81899999999996</v>
      </c>
      <c r="AM927" s="1">
        <f>+IFERROR(VLOOKUP(AM8,'נתוני מים 2014'!$C$2:$N$188,12,0)/1000,0)</f>
        <v>100.063</v>
      </c>
      <c r="AN927" s="1">
        <f>+IFERROR(VLOOKUP(AN8,'נתוני מים 2014'!$C$2:$N$188,12,0)/1000,0)</f>
        <v>42.457000000000001</v>
      </c>
      <c r="AO927" s="1">
        <f>+IFERROR(VLOOKUP(AO8,'נתוני מים 2014'!$C$2:$N$188,12,0)/1000,0)</f>
        <v>311.48599999999999</v>
      </c>
      <c r="AP927" s="1">
        <f>+IFERROR(VLOOKUP(AP8,'נתוני מים 2014'!$C$2:$N$188,12,0)/1000,0)</f>
        <v>65.736000000000004</v>
      </c>
      <c r="AQ927" s="1">
        <f>+IFERROR(VLOOKUP(AQ8,'נתוני מים 2014'!$C$2:$N$188,12,0)/1000,0)</f>
        <v>382.08699999999999</v>
      </c>
      <c r="AR927" s="1">
        <f>+IFERROR(VLOOKUP(AR8,'נתוני מים 2014'!$C$2:$N$188,12,0)/1000,0)</f>
        <v>79.641000000000005</v>
      </c>
      <c r="AS927" s="1">
        <f>+IFERROR(VLOOKUP(AS8,'נתוני מים 2014'!$C$2:$N$188,12,0)/1000,0)</f>
        <v>136.79599999999999</v>
      </c>
      <c r="AT927" s="1">
        <f>+IFERROR(VLOOKUP(AT8,'נתוני מים 2014'!$C$2:$N$188,12,0)/1000,0)</f>
        <v>379.44099999999997</v>
      </c>
      <c r="AU927" s="1">
        <f>+IFERROR(VLOOKUP(AU8,'נתוני מים 2014'!$C$2:$N$188,12,0)/1000,0)</f>
        <v>184.73</v>
      </c>
      <c r="AV927" s="1">
        <f>+IFERROR(VLOOKUP(AV8,'נתוני מים 2014'!$C$2:$N$188,12,0)/1000,0)</f>
        <v>474.43200000000002</v>
      </c>
      <c r="AW927" s="1">
        <f>+IFERROR(VLOOKUP(AW8,'נתוני מים 2014'!$C$2:$N$188,12,0)/1000,0)</f>
        <v>170.38900000000001</v>
      </c>
      <c r="AX927" s="1">
        <f>+IFERROR(VLOOKUP(AX8,'נתוני מים 2014'!$C$2:$N$188,12,0)/1000,0)</f>
        <v>0</v>
      </c>
      <c r="AY927" s="1">
        <f>+IFERROR(VLOOKUP(AY8,'נתוני מים 2014'!$C$2:$N$188,12,0)/1000,0)</f>
        <v>112.015</v>
      </c>
      <c r="AZ927" s="1">
        <f>+IFERROR(VLOOKUP(AZ8,'נתוני מים 2014'!$C$2:$N$188,12,0)/1000,0)</f>
        <v>84.322999999999993</v>
      </c>
      <c r="BA927" s="1">
        <f>+IFERROR(VLOOKUP(BA8,'נתוני מים 2014'!$C$2:$N$188,12,0)/1000,0)</f>
        <v>116.69199999999999</v>
      </c>
      <c r="BB927" s="1">
        <f>+IFERROR(VLOOKUP(BB8,'נתוני מים 2014'!$C$2:$N$188,12,0)/1000,0)</f>
        <v>21.361999999999998</v>
      </c>
      <c r="BC927" s="1">
        <f>+IFERROR(VLOOKUP(BC8,'נתוני מים 2014'!$C$2:$N$188,12,0)/1000,0)</f>
        <v>31.428000000000001</v>
      </c>
      <c r="BD927" s="1">
        <f>+IFERROR(VLOOKUP(BD8,'נתוני מים 2014'!$C$2:$N$188,12,0)/1000,0)</f>
        <v>0</v>
      </c>
      <c r="BE927" s="1">
        <f>+IFERROR(VLOOKUP(BE8,'נתוני מים 2014'!$C$2:$N$188,12,0)/1000,0)</f>
        <v>47.991</v>
      </c>
      <c r="BF927" s="1">
        <f>+IFERROR(VLOOKUP(BF8,'נתוני מים 2014'!$C$2:$N$188,12,0)/1000,0)</f>
        <v>867.947</v>
      </c>
    </row>
    <row r="928" spans="1:58" x14ac:dyDescent="0.2">
      <c r="B928" s="1">
        <v>2</v>
      </c>
      <c r="C928" s="1">
        <f>+IFERROR(VLOOKUP(C9,'נתוני מים 2014'!$C$2:$N$188,12,0)/1000,0)</f>
        <v>102.806</v>
      </c>
      <c r="D928" s="1">
        <f>+IFERROR(VLOOKUP(D9,'נתוני מים 2014'!$C$2:$N$188,12,0)/1000,0)</f>
        <v>25.327000000000002</v>
      </c>
      <c r="E928" s="1">
        <f>+IFERROR(VLOOKUP(E9,'נתוני מים 2014'!$C$2:$N$188,12,0)/1000,0)</f>
        <v>0</v>
      </c>
      <c r="F928" s="1">
        <f>+IFERROR(VLOOKUP(F9,'נתוני מים 2014'!$C$2:$N$188,12,0)/1000,0)</f>
        <v>43.076000000000001</v>
      </c>
      <c r="G928" s="1">
        <f>+IFERROR(VLOOKUP(G9,'נתוני מים 2014'!$C$2:$N$188,12,0)/1000,0)</f>
        <v>0</v>
      </c>
      <c r="H928" s="1">
        <f>+IFERROR(VLOOKUP(H9,'נתוני מים 2014'!$C$2:$N$188,12,0)/1000,0)</f>
        <v>8.4760000000000009</v>
      </c>
      <c r="I928" s="1">
        <f>+IFERROR(VLOOKUP(I9,'נתוני מים 2014'!$C$2:$N$188,12,0)/1000,0)</f>
        <v>0</v>
      </c>
      <c r="J928" s="1">
        <f>+IFERROR(VLOOKUP(J9,'נתוני מים 2014'!$C$2:$N$188,12,0)/1000,0)</f>
        <v>0</v>
      </c>
      <c r="K928" s="1">
        <f>+IFERROR(VLOOKUP(K9,'נתוני מים 2014'!$C$2:$N$188,12,0)/1000,0)</f>
        <v>89.903999999999996</v>
      </c>
      <c r="L928" s="1">
        <f>+IFERROR(VLOOKUP(L9,'נתוני מים 2014'!$C$2:$N$188,12,0)/1000,0)</f>
        <v>34.494999999999997</v>
      </c>
      <c r="M928" s="1">
        <f>+IFERROR(VLOOKUP(M9,'נתוני מים 2014'!$C$2:$N$188,12,0)/1000,0)</f>
        <v>0</v>
      </c>
      <c r="N928" s="1">
        <f>+IFERROR(VLOOKUP(N9,'נתוני מים 2014'!$C$2:$N$188,12,0)/1000,0)</f>
        <v>119.19499999999999</v>
      </c>
      <c r="O928" s="1">
        <f>+IFERROR(VLOOKUP(O9,'נתוני מים 2014'!$C$2:$N$188,12,0)/1000,0)</f>
        <v>7.7519999999999998</v>
      </c>
      <c r="P928" s="1">
        <f>+IFERROR(VLOOKUP(P9,'נתוני מים 2014'!$C$2:$N$188,12,0)/1000,0)</f>
        <v>56.475000000000001</v>
      </c>
      <c r="Q928" s="1">
        <f>+IFERROR(VLOOKUP(Q9,'נתוני מים 2014'!$C$2:$N$188,12,0)/1000,0)</f>
        <v>0</v>
      </c>
      <c r="R928" s="1">
        <f>+IFERROR(VLOOKUP(R9,'נתוני מים 2014'!$C$2:$N$188,12,0)/1000,0)</f>
        <v>25.709</v>
      </c>
      <c r="S928" s="1">
        <f>+IFERROR(VLOOKUP(S9,'נתוני מים 2014'!$C$2:$N$188,12,0)/1000,0)</f>
        <v>0</v>
      </c>
      <c r="T928" s="1">
        <f>+IFERROR(VLOOKUP(T9,'נתוני מים 2014'!$C$2:$N$188,12,0)/1000,0)</f>
        <v>46.119</v>
      </c>
      <c r="U928" s="1">
        <f>+IFERROR(VLOOKUP(U9,'נתוני מים 2014'!$C$2:$N$188,12,0)/1000,0)</f>
        <v>0</v>
      </c>
      <c r="V928" s="1">
        <f>+IFERROR(VLOOKUP(V9,'נתוני מים 2014'!$C$2:$N$188,12,0)/1000,0)</f>
        <v>12.641999999999999</v>
      </c>
      <c r="W928" s="1">
        <f>+IFERROR(VLOOKUP(W9,'נתוני מים 2014'!$C$2:$N$188,12,0)/1000,0)</f>
        <v>14.291</v>
      </c>
      <c r="X928" s="1">
        <f>+IFERROR(VLOOKUP(X9,'נתוני מים 2014'!$C$2:$N$188,12,0)/1000,0)</f>
        <v>21.407</v>
      </c>
      <c r="Y928" s="1">
        <f>+IFERROR(VLOOKUP(Y9,'נתוני מים 2014'!$C$2:$N$188,12,0)/1000,0)</f>
        <v>18.5</v>
      </c>
      <c r="Z928" s="1">
        <f>+IFERROR(VLOOKUP(Z9,'נתוני מים 2014'!$C$2:$N$188,12,0)/1000,0)</f>
        <v>0</v>
      </c>
      <c r="AA928" s="1">
        <f>+IFERROR(VLOOKUP(AA9,'נתוני מים 2014'!$C$2:$N$188,12,0)/1000,0)</f>
        <v>0</v>
      </c>
      <c r="AB928" s="1">
        <f>+IFERROR(VLOOKUP(AB9,'נתוני מים 2014'!$C$2:$N$188,12,0)/1000,0)</f>
        <v>0</v>
      </c>
      <c r="AC928" s="1">
        <f>+IFERROR(VLOOKUP(AC9,'נתוני מים 2014'!$C$2:$N$188,12,0)/1000,0)</f>
        <v>0</v>
      </c>
      <c r="AD928" s="1">
        <f>+IFERROR(VLOOKUP(AD9,'נתוני מים 2014'!$C$2:$N$188,12,0)/1000,0)</f>
        <v>0</v>
      </c>
      <c r="AE928" s="1">
        <f>+IFERROR(VLOOKUP(AE9,'נתוני מים 2014'!$C$2:$N$188,12,0)/1000,0)</f>
        <v>0</v>
      </c>
      <c r="AF928" s="1">
        <f>+IFERROR(VLOOKUP(AF9,'נתוני מים 2014'!$C$2:$N$188,12,0)/1000,0)</f>
        <v>111.435</v>
      </c>
      <c r="AG928" s="1">
        <f>+IFERROR(VLOOKUP(AG9,'נתוני מים 2014'!$C$2:$N$188,12,0)/1000,0)</f>
        <v>0</v>
      </c>
      <c r="AH928" s="1">
        <f>+IFERROR(VLOOKUP(AH9,'נתוני מים 2014'!$C$2:$N$188,12,0)/1000,0)</f>
        <v>0</v>
      </c>
      <c r="AI928" s="1">
        <f>+IFERROR(VLOOKUP(AI9,'נתוני מים 2014'!$C$2:$N$188,12,0)/1000,0)</f>
        <v>0</v>
      </c>
      <c r="AJ928" s="1">
        <f>+IFERROR(VLOOKUP(AJ9,'נתוני מים 2014'!$C$2:$N$188,12,0)/1000,0)</f>
        <v>111.899</v>
      </c>
      <c r="AK928" s="1">
        <f>+IFERROR(VLOOKUP(AK9,'נתוני מים 2014'!$C$2:$N$188,12,0)/1000,0)</f>
        <v>0</v>
      </c>
      <c r="AL928" s="1">
        <f>+IFERROR(VLOOKUP(AL9,'נתוני מים 2014'!$C$2:$N$188,12,0)/1000,0)</f>
        <v>0</v>
      </c>
      <c r="AM928" s="1">
        <f>+IFERROR(VLOOKUP(AM9,'נתוני מים 2014'!$C$2:$N$188,12,0)/1000,0)</f>
        <v>91.468999999999994</v>
      </c>
      <c r="AN928" s="1">
        <f>+IFERROR(VLOOKUP(AN9,'נתוני מים 2014'!$C$2:$N$188,12,0)/1000,0)</f>
        <v>64.322000000000003</v>
      </c>
      <c r="AO928" s="1">
        <f>+IFERROR(VLOOKUP(AO9,'נתוני מים 2014'!$C$2:$N$188,12,0)/1000,0)</f>
        <v>0</v>
      </c>
      <c r="AP928" s="1">
        <f>+IFERROR(VLOOKUP(AP9,'נתוני מים 2014'!$C$2:$N$188,12,0)/1000,0)</f>
        <v>0</v>
      </c>
      <c r="AQ928" s="1">
        <f>+IFERROR(VLOOKUP(AQ9,'נתוני מים 2014'!$C$2:$N$188,12,0)/1000,0)</f>
        <v>0</v>
      </c>
      <c r="AR928" s="1">
        <f>+IFERROR(VLOOKUP(AR9,'נתוני מים 2014'!$C$2:$N$188,12,0)/1000,0)</f>
        <v>31.023</v>
      </c>
      <c r="AS928" s="1">
        <f>+IFERROR(VLOOKUP(AS9,'נתוני מים 2014'!$C$2:$N$188,12,0)/1000,0)</f>
        <v>56.972000000000001</v>
      </c>
      <c r="AT928" s="1">
        <f>+IFERROR(VLOOKUP(AT9,'נתוני מים 2014'!$C$2:$N$188,12,0)/1000,0)</f>
        <v>0</v>
      </c>
      <c r="AU928" s="1">
        <f>+IFERROR(VLOOKUP(AU9,'נתוני מים 2014'!$C$2:$N$188,12,0)/1000,0)</f>
        <v>0</v>
      </c>
      <c r="AV928" s="1">
        <f>+IFERROR(VLOOKUP(AV9,'נתוני מים 2014'!$C$2:$N$188,12,0)/1000,0)</f>
        <v>121.95399999999999</v>
      </c>
      <c r="AW928" s="1">
        <f>+IFERROR(VLOOKUP(AW9,'נתוני מים 2014'!$C$2:$N$188,12,0)/1000,0)</f>
        <v>0</v>
      </c>
      <c r="AX928" s="1">
        <f>+IFERROR(VLOOKUP(AX9,'נתוני מים 2014'!$C$2:$N$188,12,0)/1000,0)</f>
        <v>37.878999999999998</v>
      </c>
      <c r="AY928" s="1">
        <f>+IFERROR(VLOOKUP(AY9,'נתוני מים 2014'!$C$2:$N$188,12,0)/1000,0)</f>
        <v>0</v>
      </c>
      <c r="AZ928" s="1">
        <f>+IFERROR(VLOOKUP(AZ9,'נתוני מים 2014'!$C$2:$N$188,12,0)/1000,0)</f>
        <v>44.494</v>
      </c>
      <c r="BA928" s="1">
        <f>+IFERROR(VLOOKUP(BA9,'נתוני מים 2014'!$C$2:$N$188,12,0)/1000,0)</f>
        <v>15.853999999999999</v>
      </c>
      <c r="BB928" s="1">
        <f>+IFERROR(VLOOKUP(BB9,'נתוני מים 2014'!$C$2:$N$188,12,0)/1000,0)</f>
        <v>32.634999999999998</v>
      </c>
      <c r="BC928" s="1">
        <f>+IFERROR(VLOOKUP(BC9,'נתוני מים 2014'!$C$2:$N$188,12,0)/1000,0)</f>
        <v>50.046999999999997</v>
      </c>
      <c r="BD928" s="1">
        <f>+IFERROR(VLOOKUP(BD9,'נתוני מים 2014'!$C$2:$N$188,12,0)/1000,0)</f>
        <v>18.347000000000001</v>
      </c>
      <c r="BE928" s="1">
        <f>+IFERROR(VLOOKUP(BE9,'נתוני מים 2014'!$C$2:$N$188,12,0)/1000,0)</f>
        <v>0</v>
      </c>
      <c r="BF928" s="1">
        <f>+IFERROR(VLOOKUP(BF9,'נתוני מים 2014'!$C$2:$N$188,12,0)/1000,0)</f>
        <v>0</v>
      </c>
    </row>
    <row r="929" spans="2:58" x14ac:dyDescent="0.2">
      <c r="B929" s="1">
        <v>3</v>
      </c>
      <c r="C929" s="1">
        <f>+IFERROR(VLOOKUP(C10,'נתוני מים 2014'!$C$2:$N$188,12,0)/1000,0)</f>
        <v>3.6589999999999998</v>
      </c>
      <c r="D929" s="1">
        <f>+IFERROR(VLOOKUP(D10,'נתוני מים 2014'!$C$2:$N$188,12,0)/1000,0)</f>
        <v>61.746000000000002</v>
      </c>
      <c r="E929" s="1">
        <f>+IFERROR(VLOOKUP(E10,'נתוני מים 2014'!$C$2:$N$188,12,0)/1000,0)</f>
        <v>0</v>
      </c>
      <c r="F929" s="1">
        <f>+IFERROR(VLOOKUP(F10,'נתוני מים 2014'!$C$2:$N$188,12,0)/1000,0)</f>
        <v>0</v>
      </c>
      <c r="G929" s="1">
        <f>+IFERROR(VLOOKUP(G10,'נתוני מים 2014'!$C$2:$N$188,12,0)/1000,0)</f>
        <v>0</v>
      </c>
      <c r="H929" s="1">
        <f>+IFERROR(VLOOKUP(H10,'נתוני מים 2014'!$C$2:$N$188,12,0)/1000,0)</f>
        <v>36.567</v>
      </c>
      <c r="I929" s="1">
        <f>+IFERROR(VLOOKUP(I10,'נתוני מים 2014'!$C$2:$N$188,12,0)/1000,0)</f>
        <v>0</v>
      </c>
      <c r="J929" s="1">
        <f>+IFERROR(VLOOKUP(J10,'נתוני מים 2014'!$C$2:$N$188,12,0)/1000,0)</f>
        <v>0</v>
      </c>
      <c r="K929" s="1">
        <f>+IFERROR(VLOOKUP(K10,'נתוני מים 2014'!$C$2:$N$188,12,0)/1000,0)</f>
        <v>133.07599999999999</v>
      </c>
      <c r="L929" s="1">
        <f>+IFERROR(VLOOKUP(L10,'נתוני מים 2014'!$C$2:$N$188,12,0)/1000,0)</f>
        <v>0</v>
      </c>
      <c r="M929" s="1">
        <f>+IFERROR(VLOOKUP(M10,'נתוני מים 2014'!$C$2:$N$188,12,0)/1000,0)</f>
        <v>0</v>
      </c>
      <c r="N929" s="1">
        <f>+IFERROR(VLOOKUP(N10,'נתוני מים 2014'!$C$2:$N$188,12,0)/1000,0)</f>
        <v>0</v>
      </c>
      <c r="O929" s="1">
        <f>+IFERROR(VLOOKUP(O10,'נתוני מים 2014'!$C$2:$N$188,12,0)/1000,0)</f>
        <v>16.463000000000001</v>
      </c>
      <c r="P929" s="1">
        <f>+IFERROR(VLOOKUP(P10,'נתוני מים 2014'!$C$2:$N$188,12,0)/1000,0)</f>
        <v>13.972</v>
      </c>
      <c r="Q929" s="1">
        <f>+IFERROR(VLOOKUP(Q10,'נתוני מים 2014'!$C$2:$N$188,12,0)/1000,0)</f>
        <v>0</v>
      </c>
      <c r="R929" s="1">
        <f>+IFERROR(VLOOKUP(R10,'נתוני מים 2014'!$C$2:$N$188,12,0)/1000,0)</f>
        <v>62.406999999999996</v>
      </c>
      <c r="S929" s="1">
        <f>+IFERROR(VLOOKUP(S10,'נתוני מים 2014'!$C$2:$N$188,12,0)/1000,0)</f>
        <v>0</v>
      </c>
      <c r="T929" s="1">
        <f>+IFERROR(VLOOKUP(T10,'נתוני מים 2014'!$C$2:$N$188,12,0)/1000,0)</f>
        <v>114.84699999999999</v>
      </c>
      <c r="U929" s="1">
        <f>+IFERROR(VLOOKUP(U10,'נתוני מים 2014'!$C$2:$N$188,12,0)/1000,0)</f>
        <v>0</v>
      </c>
      <c r="V929" s="1">
        <f>+IFERROR(VLOOKUP(V10,'נתוני מים 2014'!$C$2:$N$188,12,0)/1000,0)</f>
        <v>10.108000000000001</v>
      </c>
      <c r="W929" s="1">
        <f>+IFERROR(VLOOKUP(W10,'נתוני מים 2014'!$C$2:$N$188,12,0)/1000,0)</f>
        <v>79.747</v>
      </c>
      <c r="X929" s="1">
        <f>+IFERROR(VLOOKUP(X10,'נתוני מים 2014'!$C$2:$N$188,12,0)/1000,0)</f>
        <v>34.000999999999998</v>
      </c>
      <c r="Y929" s="1">
        <f>+IFERROR(VLOOKUP(Y10,'נתוני מים 2014'!$C$2:$N$188,12,0)/1000,0)</f>
        <v>12.622</v>
      </c>
      <c r="Z929" s="1">
        <f>+IFERROR(VLOOKUP(Z10,'נתוני מים 2014'!$C$2:$N$188,12,0)/1000,0)</f>
        <v>0</v>
      </c>
      <c r="AA929" s="1">
        <f>+IFERROR(VLOOKUP(AA10,'נתוני מים 2014'!$C$2:$N$188,12,0)/1000,0)</f>
        <v>0</v>
      </c>
      <c r="AB929" s="1">
        <f>+IFERROR(VLOOKUP(AB10,'נתוני מים 2014'!$C$2:$N$188,12,0)/1000,0)</f>
        <v>0</v>
      </c>
      <c r="AC929" s="1">
        <f>+IFERROR(VLOOKUP(AC10,'נתוני מים 2014'!$C$2:$N$188,12,0)/1000,0)</f>
        <v>0</v>
      </c>
      <c r="AD929" s="1">
        <f>+IFERROR(VLOOKUP(AD10,'נתוני מים 2014'!$C$2:$N$188,12,0)/1000,0)</f>
        <v>0</v>
      </c>
      <c r="AE929" s="1">
        <f>+IFERROR(VLOOKUP(AE10,'נתוני מים 2014'!$C$2:$N$188,12,0)/1000,0)</f>
        <v>0</v>
      </c>
      <c r="AF929" s="1">
        <f>+IFERROR(VLOOKUP(AF10,'נתוני מים 2014'!$C$2:$N$188,12,0)/1000,0)</f>
        <v>0</v>
      </c>
      <c r="AG929" s="1">
        <f>+IFERROR(VLOOKUP(AG10,'נתוני מים 2014'!$C$2:$N$188,12,0)/1000,0)</f>
        <v>0</v>
      </c>
      <c r="AH929" s="1">
        <f>+IFERROR(VLOOKUP(AH10,'נתוני מים 2014'!$C$2:$N$188,12,0)/1000,0)</f>
        <v>0</v>
      </c>
      <c r="AI929" s="1">
        <f>+IFERROR(VLOOKUP(AI10,'נתוני מים 2014'!$C$2:$N$188,12,0)/1000,0)</f>
        <v>0</v>
      </c>
      <c r="AJ929" s="1">
        <f>+IFERROR(VLOOKUP(AJ10,'נתוני מים 2014'!$C$2:$N$188,12,0)/1000,0)</f>
        <v>0</v>
      </c>
      <c r="AK929" s="1">
        <f>+IFERROR(VLOOKUP(AK10,'נתוני מים 2014'!$C$2:$N$188,12,0)/1000,0)</f>
        <v>0</v>
      </c>
      <c r="AL929" s="1">
        <f>+IFERROR(VLOOKUP(AL10,'נתוני מים 2014'!$C$2:$N$188,12,0)/1000,0)</f>
        <v>0</v>
      </c>
      <c r="AM929" s="1">
        <f>+IFERROR(VLOOKUP(AM10,'נתוני מים 2014'!$C$2:$N$188,12,0)/1000,0)</f>
        <v>6.7809999999999997</v>
      </c>
      <c r="AN929" s="1">
        <f>+IFERROR(VLOOKUP(AN10,'נתוני מים 2014'!$C$2:$N$188,12,0)/1000,0)</f>
        <v>57.093000000000004</v>
      </c>
      <c r="AO929" s="1">
        <f>+IFERROR(VLOOKUP(AO10,'נתוני מים 2014'!$C$2:$N$188,12,0)/1000,0)</f>
        <v>0</v>
      </c>
      <c r="AP929" s="1">
        <f>+IFERROR(VLOOKUP(AP10,'נתוני מים 2014'!$C$2:$N$188,12,0)/1000,0)</f>
        <v>0</v>
      </c>
      <c r="AQ929" s="1">
        <f>+IFERROR(VLOOKUP(AQ10,'נתוני מים 2014'!$C$2:$N$188,12,0)/1000,0)</f>
        <v>0</v>
      </c>
      <c r="AR929" s="1">
        <f>+IFERROR(VLOOKUP(AR10,'נתוני מים 2014'!$C$2:$N$188,12,0)/1000,0)</f>
        <v>0</v>
      </c>
      <c r="AS929" s="1">
        <f>+IFERROR(VLOOKUP(AS10,'נתוני מים 2014'!$C$2:$N$188,12,0)/1000,0)</f>
        <v>19.777000000000001</v>
      </c>
      <c r="AT929" s="1">
        <f>+IFERROR(VLOOKUP(AT10,'נתוני מים 2014'!$C$2:$N$188,12,0)/1000,0)</f>
        <v>0</v>
      </c>
      <c r="AU929" s="1">
        <f>+IFERROR(VLOOKUP(AU10,'נתוני מים 2014'!$C$2:$N$188,12,0)/1000,0)</f>
        <v>0</v>
      </c>
      <c r="AV929" s="1">
        <f>+IFERROR(VLOOKUP(AV10,'נתוני מים 2014'!$C$2:$N$188,12,0)/1000,0)</f>
        <v>0</v>
      </c>
      <c r="AW929" s="1">
        <f>+IFERROR(VLOOKUP(AW10,'נתוני מים 2014'!$C$2:$N$188,12,0)/1000,0)</f>
        <v>0</v>
      </c>
      <c r="AX929" s="1">
        <f>+IFERROR(VLOOKUP(AX10,'נתוני מים 2014'!$C$2:$N$188,12,0)/1000,0)</f>
        <v>77.340999999999994</v>
      </c>
      <c r="AY929" s="1">
        <f>+IFERROR(VLOOKUP(AY10,'נתוני מים 2014'!$C$2:$N$188,12,0)/1000,0)</f>
        <v>0</v>
      </c>
      <c r="AZ929" s="1">
        <f>+IFERROR(VLOOKUP(AZ10,'נתוני מים 2014'!$C$2:$N$188,12,0)/1000,0)</f>
        <v>14.412000000000001</v>
      </c>
      <c r="BA929" s="1">
        <f>+IFERROR(VLOOKUP(BA10,'נתוני מים 2014'!$C$2:$N$188,12,0)/1000,0)</f>
        <v>44.786000000000001</v>
      </c>
      <c r="BB929" s="1">
        <f>+IFERROR(VLOOKUP(BB10,'נתוני מים 2014'!$C$2:$N$188,12,0)/1000,0)</f>
        <v>7.6660000000000004</v>
      </c>
      <c r="BC929" s="1">
        <f>+IFERROR(VLOOKUP(BC10,'נתוני מים 2014'!$C$2:$N$188,12,0)/1000,0)</f>
        <v>37.526000000000003</v>
      </c>
      <c r="BD929" s="1">
        <f>+IFERROR(VLOOKUP(BD10,'נתוני מים 2014'!$C$2:$N$188,12,0)/1000,0)</f>
        <v>0</v>
      </c>
      <c r="BE929" s="1">
        <f>+IFERROR(VLOOKUP(BE10,'נתוני מים 2014'!$C$2:$N$188,12,0)/1000,0)</f>
        <v>0</v>
      </c>
      <c r="BF929" s="1">
        <f>+IFERROR(VLOOKUP(BF10,'נתוני מים 2014'!$C$2:$N$188,12,0)/1000,0)</f>
        <v>0</v>
      </c>
    </row>
    <row r="930" spans="2:58" x14ac:dyDescent="0.2">
      <c r="B930" s="1">
        <v>4</v>
      </c>
      <c r="C930" s="1">
        <f>+IFERROR(VLOOKUP(C11,'נתוני מים 2014'!$C$2:$N$188,12,0)/1000,0)</f>
        <v>0</v>
      </c>
      <c r="D930" s="1">
        <f>+IFERROR(VLOOKUP(D11,'נתוני מים 2014'!$C$2:$N$188,12,0)/1000,0)</f>
        <v>29.11</v>
      </c>
      <c r="E930" s="1">
        <f>+IFERROR(VLOOKUP(E11,'נתוני מים 2014'!$C$2:$N$188,12,0)/1000,0)</f>
        <v>0</v>
      </c>
      <c r="F930" s="1">
        <f>+IFERROR(VLOOKUP(F11,'נתוני מים 2014'!$C$2:$N$188,12,0)/1000,0)</f>
        <v>0</v>
      </c>
      <c r="G930" s="1">
        <f>+IFERROR(VLOOKUP(G11,'נתוני מים 2014'!$C$2:$N$188,12,0)/1000,0)</f>
        <v>0</v>
      </c>
      <c r="H930" s="1">
        <f>+IFERROR(VLOOKUP(H11,'נתוני מים 2014'!$C$2:$N$188,12,0)/1000,0)</f>
        <v>0</v>
      </c>
      <c r="I930" s="1">
        <f>+IFERROR(VLOOKUP(I11,'נתוני מים 2014'!$C$2:$N$188,12,0)/1000,0)</f>
        <v>0</v>
      </c>
      <c r="J930" s="1">
        <f>+IFERROR(VLOOKUP(J11,'נתוני מים 2014'!$C$2:$N$188,12,0)/1000,0)</f>
        <v>0</v>
      </c>
      <c r="K930" s="1">
        <f>+IFERROR(VLOOKUP(K11,'נתוני מים 2014'!$C$2:$N$188,12,0)/1000,0)</f>
        <v>0</v>
      </c>
      <c r="L930" s="1">
        <f>+IFERROR(VLOOKUP(L11,'נתוני מים 2014'!$C$2:$N$188,12,0)/1000,0)</f>
        <v>4.1000000000000002E-2</v>
      </c>
      <c r="M930" s="1">
        <f>+IFERROR(VLOOKUP(M11,'נתוני מים 2014'!$C$2:$N$188,12,0)/1000,0)</f>
        <v>0</v>
      </c>
      <c r="N930" s="1">
        <f>+IFERROR(VLOOKUP(N11,'נתוני מים 2014'!$C$2:$N$188,12,0)/1000,0)</f>
        <v>0</v>
      </c>
      <c r="O930" s="1">
        <f>+IFERROR(VLOOKUP(O11,'נתוני מים 2014'!$C$2:$N$188,12,0)/1000,0)</f>
        <v>258.32400000000001</v>
      </c>
      <c r="P930" s="1">
        <f>+IFERROR(VLOOKUP(P11,'נתוני מים 2014'!$C$2:$N$188,12,0)/1000,0)</f>
        <v>15.36</v>
      </c>
      <c r="Q930" s="1">
        <f>+IFERROR(VLOOKUP(Q11,'נתוני מים 2014'!$C$2:$N$188,12,0)/1000,0)</f>
        <v>0</v>
      </c>
      <c r="R930" s="1">
        <f>+IFERROR(VLOOKUP(R11,'נתוני מים 2014'!$C$2:$N$188,12,0)/1000,0)</f>
        <v>0</v>
      </c>
      <c r="S930" s="1">
        <f>+IFERROR(VLOOKUP(S11,'נתוני מים 2014'!$C$2:$N$188,12,0)/1000,0)</f>
        <v>0</v>
      </c>
      <c r="T930" s="1">
        <f>+IFERROR(VLOOKUP(T11,'נתוני מים 2014'!$C$2:$N$188,12,0)/1000,0)</f>
        <v>5.2549999999999999</v>
      </c>
      <c r="U930" s="1">
        <f>+IFERROR(VLOOKUP(U11,'נתוני מים 2014'!$C$2:$N$188,12,0)/1000,0)</f>
        <v>0</v>
      </c>
      <c r="V930" s="1">
        <f>+IFERROR(VLOOKUP(V11,'נתוני מים 2014'!$C$2:$N$188,12,0)/1000,0)</f>
        <v>10.045</v>
      </c>
      <c r="W930" s="1">
        <f>+IFERROR(VLOOKUP(W11,'נתוני מים 2014'!$C$2:$N$188,12,0)/1000,0)</f>
        <v>7.7439999999999998</v>
      </c>
      <c r="X930" s="1">
        <f>+IFERROR(VLOOKUP(X11,'נתוני מים 2014'!$C$2:$N$188,12,0)/1000,0)</f>
        <v>37.53</v>
      </c>
      <c r="Y930" s="1">
        <f>+IFERROR(VLOOKUP(Y11,'נתוני מים 2014'!$C$2:$N$188,12,0)/1000,0)</f>
        <v>6.4690000000000003</v>
      </c>
      <c r="Z930" s="1">
        <f>+IFERROR(VLOOKUP(Z11,'נתוני מים 2014'!$C$2:$N$188,12,0)/1000,0)</f>
        <v>0</v>
      </c>
      <c r="AA930" s="1">
        <f>+IFERROR(VLOOKUP(AA11,'נתוני מים 2014'!$C$2:$N$188,12,0)/1000,0)</f>
        <v>0</v>
      </c>
      <c r="AB930" s="1">
        <f>+IFERROR(VLOOKUP(AB11,'נתוני מים 2014'!$C$2:$N$188,12,0)/1000,0)</f>
        <v>0</v>
      </c>
      <c r="AC930" s="1">
        <f>+IFERROR(VLOOKUP(AC11,'נתוני מים 2014'!$C$2:$N$188,12,0)/1000,0)</f>
        <v>0</v>
      </c>
      <c r="AD930" s="1">
        <f>+IFERROR(VLOOKUP(AD11,'נתוני מים 2014'!$C$2:$N$188,12,0)/1000,0)</f>
        <v>0</v>
      </c>
      <c r="AE930" s="1">
        <f>+IFERROR(VLOOKUP(AE11,'נתוני מים 2014'!$C$2:$N$188,12,0)/1000,0)</f>
        <v>0</v>
      </c>
      <c r="AF930" s="1">
        <f>+IFERROR(VLOOKUP(AF11,'נתוני מים 2014'!$C$2:$N$188,12,0)/1000,0)</f>
        <v>0</v>
      </c>
      <c r="AG930" s="1">
        <f>+IFERROR(VLOOKUP(AG11,'נתוני מים 2014'!$C$2:$N$188,12,0)/1000,0)</f>
        <v>0</v>
      </c>
      <c r="AH930" s="1">
        <f>+IFERROR(VLOOKUP(AH11,'נתוני מים 2014'!$C$2:$N$188,12,0)/1000,0)</f>
        <v>0</v>
      </c>
      <c r="AI930" s="1">
        <f>+IFERROR(VLOOKUP(AI11,'נתוני מים 2014'!$C$2:$N$188,12,0)/1000,0)</f>
        <v>0</v>
      </c>
      <c r="AJ930" s="1">
        <f>+IFERROR(VLOOKUP(AJ11,'נתוני מים 2014'!$C$2:$N$188,12,0)/1000,0)</f>
        <v>0</v>
      </c>
      <c r="AK930" s="1">
        <f>+IFERROR(VLOOKUP(AK11,'נתוני מים 2014'!$C$2:$N$188,12,0)/1000,0)</f>
        <v>0</v>
      </c>
      <c r="AL930" s="1">
        <f>+IFERROR(VLOOKUP(AL11,'נתוני מים 2014'!$C$2:$N$188,12,0)/1000,0)</f>
        <v>0</v>
      </c>
      <c r="AM930" s="1">
        <f>+IFERROR(VLOOKUP(AM11,'נתוני מים 2014'!$C$2:$N$188,12,0)/1000,0)</f>
        <v>34.371000000000002</v>
      </c>
      <c r="AN930" s="1">
        <f>+IFERROR(VLOOKUP(AN11,'נתוני מים 2014'!$C$2:$N$188,12,0)/1000,0)</f>
        <v>27.388000000000002</v>
      </c>
      <c r="AO930" s="1">
        <f>+IFERROR(VLOOKUP(AO11,'נתוני מים 2014'!$C$2:$N$188,12,0)/1000,0)</f>
        <v>0</v>
      </c>
      <c r="AP930" s="1">
        <f>+IFERROR(VLOOKUP(AP11,'נתוני מים 2014'!$C$2:$N$188,12,0)/1000,0)</f>
        <v>0</v>
      </c>
      <c r="AQ930" s="1">
        <f>+IFERROR(VLOOKUP(AQ11,'נתוני מים 2014'!$C$2:$N$188,12,0)/1000,0)</f>
        <v>0</v>
      </c>
      <c r="AR930" s="1">
        <f>+IFERROR(VLOOKUP(AR11,'נתוני מים 2014'!$C$2:$N$188,12,0)/1000,0)</f>
        <v>0</v>
      </c>
      <c r="AS930" s="1">
        <f>+IFERROR(VLOOKUP(AS11,'נתוני מים 2014'!$C$2:$N$188,12,0)/1000,0)</f>
        <v>22.59</v>
      </c>
      <c r="AT930" s="1">
        <f>+IFERROR(VLOOKUP(AT11,'נתוני מים 2014'!$C$2:$N$188,12,0)/1000,0)</f>
        <v>0</v>
      </c>
      <c r="AU930" s="1">
        <f>+IFERROR(VLOOKUP(AU11,'נתוני מים 2014'!$C$2:$N$188,12,0)/1000,0)</f>
        <v>0</v>
      </c>
      <c r="AV930" s="1">
        <f>+IFERROR(VLOOKUP(AV11,'נתוני מים 2014'!$C$2:$N$188,12,0)/1000,0)</f>
        <v>0</v>
      </c>
      <c r="AW930" s="1">
        <f>+IFERROR(VLOOKUP(AW11,'נתוני מים 2014'!$C$2:$N$188,12,0)/1000,0)</f>
        <v>0</v>
      </c>
      <c r="AX930" s="1">
        <f>+IFERROR(VLOOKUP(AX11,'נתוני מים 2014'!$C$2:$N$188,12,0)/1000,0)</f>
        <v>39.360999999999997</v>
      </c>
      <c r="AY930" s="1">
        <f>+IFERROR(VLOOKUP(AY11,'נתוני מים 2014'!$C$2:$N$188,12,0)/1000,0)</f>
        <v>0</v>
      </c>
      <c r="AZ930" s="1">
        <f>+IFERROR(VLOOKUP(AZ11,'נתוני מים 2014'!$C$2:$N$188,12,0)/1000,0)</f>
        <v>68.376999999999995</v>
      </c>
      <c r="BA930" s="1">
        <f>+IFERROR(VLOOKUP(BA11,'נתוני מים 2014'!$C$2:$N$188,12,0)/1000,0)</f>
        <v>30.484999999999999</v>
      </c>
      <c r="BB930" s="1">
        <f>+IFERROR(VLOOKUP(BB11,'נתוני מים 2014'!$C$2:$N$188,12,0)/1000,0)</f>
        <v>18.815999999999999</v>
      </c>
      <c r="BC930" s="1">
        <f>+IFERROR(VLOOKUP(BC11,'נתוני מים 2014'!$C$2:$N$188,12,0)/1000,0)</f>
        <v>67.712999999999994</v>
      </c>
      <c r="BD930" s="1">
        <f>+IFERROR(VLOOKUP(BD11,'נתוני מים 2014'!$C$2:$N$188,12,0)/1000,0)</f>
        <v>0</v>
      </c>
      <c r="BE930" s="1">
        <f>+IFERROR(VLOOKUP(BE11,'נתוני מים 2014'!$C$2:$N$188,12,0)/1000,0)</f>
        <v>0</v>
      </c>
      <c r="BF930" s="1">
        <f>+IFERROR(VLOOKUP(BF11,'נתוני מים 2014'!$C$2:$N$188,12,0)/1000,0)</f>
        <v>0</v>
      </c>
    </row>
    <row r="931" spans="2:58" x14ac:dyDescent="0.2">
      <c r="B931" s="1">
        <v>5</v>
      </c>
      <c r="C931" s="1">
        <f>+IFERROR(VLOOKUP(C12,'נתוני מים 2014'!$C$2:$N$188,12,0)/1000,0)</f>
        <v>0</v>
      </c>
      <c r="D931" s="1">
        <f>+IFERROR(VLOOKUP(D12,'נתוני מים 2014'!$C$2:$N$188,12,0)/1000,0)</f>
        <v>12.249000000000001</v>
      </c>
      <c r="E931" s="1">
        <f>+IFERROR(VLOOKUP(E12,'נתוני מים 2014'!$C$2:$N$188,12,0)/1000,0)</f>
        <v>0</v>
      </c>
      <c r="F931" s="1">
        <f>+IFERROR(VLOOKUP(F12,'נתוני מים 2014'!$C$2:$N$188,12,0)/1000,0)</f>
        <v>0</v>
      </c>
      <c r="G931" s="1">
        <f>+IFERROR(VLOOKUP(G12,'נתוני מים 2014'!$C$2:$N$188,12,0)/1000,0)</f>
        <v>0</v>
      </c>
      <c r="H931" s="1">
        <f>+IFERROR(VLOOKUP(H12,'נתוני מים 2014'!$C$2:$N$188,12,0)/1000,0)</f>
        <v>0</v>
      </c>
      <c r="I931" s="1">
        <f>+IFERROR(VLOOKUP(I12,'נתוני מים 2014'!$C$2:$N$188,12,0)/1000,0)</f>
        <v>0</v>
      </c>
      <c r="J931" s="1">
        <f>+IFERROR(VLOOKUP(J12,'נתוני מים 2014'!$C$2:$N$188,12,0)/1000,0)</f>
        <v>0</v>
      </c>
      <c r="K931" s="1">
        <f>+IFERROR(VLOOKUP(K12,'נתוני מים 2014'!$C$2:$N$188,12,0)/1000,0)</f>
        <v>0</v>
      </c>
      <c r="L931" s="1">
        <f>+IFERROR(VLOOKUP(L12,'נתוני מים 2014'!$C$2:$N$188,12,0)/1000,0)</f>
        <v>0</v>
      </c>
      <c r="M931" s="1">
        <f>+IFERROR(VLOOKUP(M12,'נתוני מים 2014'!$C$2:$N$188,12,0)/1000,0)</f>
        <v>0</v>
      </c>
      <c r="N931" s="1">
        <f>+IFERROR(VLOOKUP(N12,'נתוני מים 2014'!$C$2:$N$188,12,0)/1000,0)</f>
        <v>0</v>
      </c>
      <c r="O931" s="1">
        <f>+IFERROR(VLOOKUP(O12,'נתוני מים 2014'!$C$2:$N$188,12,0)/1000,0)</f>
        <v>0</v>
      </c>
      <c r="P931" s="1">
        <f>+IFERROR(VLOOKUP(P12,'נתוני מים 2014'!$C$2:$N$188,12,0)/1000,0)</f>
        <v>5.3150000000000004</v>
      </c>
      <c r="Q931" s="1">
        <f>+IFERROR(VLOOKUP(Q12,'נתוני מים 2014'!$C$2:$N$188,12,0)/1000,0)</f>
        <v>0</v>
      </c>
      <c r="R931" s="1">
        <f>+IFERROR(VLOOKUP(R12,'נתוני מים 2014'!$C$2:$N$188,12,0)/1000,0)</f>
        <v>0</v>
      </c>
      <c r="S931" s="1">
        <f>+IFERROR(VLOOKUP(S12,'נתוני מים 2014'!$C$2:$N$188,12,0)/1000,0)</f>
        <v>0</v>
      </c>
      <c r="T931" s="1">
        <f>+IFERROR(VLOOKUP(T12,'נתוני מים 2014'!$C$2:$N$188,12,0)/1000,0)</f>
        <v>0</v>
      </c>
      <c r="U931" s="1">
        <f>+IFERROR(VLOOKUP(U12,'נתוני מים 2014'!$C$2:$N$188,12,0)/1000,0)</f>
        <v>0</v>
      </c>
      <c r="V931" s="1">
        <f>+IFERROR(VLOOKUP(V12,'נתוני מים 2014'!$C$2:$N$188,12,0)/1000,0)</f>
        <v>10.327</v>
      </c>
      <c r="W931" s="1">
        <f>+IFERROR(VLOOKUP(W12,'נתוני מים 2014'!$C$2:$N$188,12,0)/1000,0)</f>
        <v>2.1059999999999999</v>
      </c>
      <c r="X931" s="1">
        <f>+IFERROR(VLOOKUP(X12,'נתוני מים 2014'!$C$2:$N$188,12,0)/1000,0)</f>
        <v>0.52500000000000002</v>
      </c>
      <c r="Y931" s="1">
        <f>+IFERROR(VLOOKUP(Y12,'נתוני מים 2014'!$C$2:$N$188,12,0)/1000,0)</f>
        <v>0</v>
      </c>
      <c r="Z931" s="1">
        <f>+IFERROR(VLOOKUP(Z12,'נתוני מים 2014'!$C$2:$N$188,12,0)/1000,0)</f>
        <v>0</v>
      </c>
      <c r="AA931" s="1">
        <f>+IFERROR(VLOOKUP(AA12,'נתוני מים 2014'!$C$2:$N$188,12,0)/1000,0)</f>
        <v>0</v>
      </c>
      <c r="AB931" s="1">
        <f>+IFERROR(VLOOKUP(AB12,'נתוני מים 2014'!$C$2:$N$188,12,0)/1000,0)</f>
        <v>0</v>
      </c>
      <c r="AC931" s="1">
        <f>+IFERROR(VLOOKUP(AC12,'נתוני מים 2014'!$C$2:$N$188,12,0)/1000,0)</f>
        <v>0</v>
      </c>
      <c r="AD931" s="1">
        <f>+IFERROR(VLOOKUP(AD12,'נתוני מים 2014'!$C$2:$N$188,12,0)/1000,0)</f>
        <v>0</v>
      </c>
      <c r="AE931" s="1">
        <f>+IFERROR(VLOOKUP(AE12,'נתוני מים 2014'!$C$2:$N$188,12,0)/1000,0)</f>
        <v>0</v>
      </c>
      <c r="AF931" s="1">
        <f>+IFERROR(VLOOKUP(AF12,'נתוני מים 2014'!$C$2:$N$188,12,0)/1000,0)</f>
        <v>0</v>
      </c>
      <c r="AG931" s="1">
        <f>+IFERROR(VLOOKUP(AG12,'נתוני מים 2014'!$C$2:$N$188,12,0)/1000,0)</f>
        <v>0</v>
      </c>
      <c r="AH931" s="1">
        <f>+IFERROR(VLOOKUP(AH12,'נתוני מים 2014'!$C$2:$N$188,12,0)/1000,0)</f>
        <v>0</v>
      </c>
      <c r="AI931" s="1">
        <f>+IFERROR(VLOOKUP(AI12,'נתוני מים 2014'!$C$2:$N$188,12,0)/1000,0)</f>
        <v>0</v>
      </c>
      <c r="AJ931" s="1">
        <f>+IFERROR(VLOOKUP(AJ12,'נתוני מים 2014'!$C$2:$N$188,12,0)/1000,0)</f>
        <v>0</v>
      </c>
      <c r="AK931" s="1">
        <f>+IFERROR(VLOOKUP(AK12,'נתוני מים 2014'!$C$2:$N$188,12,0)/1000,0)</f>
        <v>0</v>
      </c>
      <c r="AL931" s="1">
        <f>+IFERROR(VLOOKUP(AL12,'נתוני מים 2014'!$C$2:$N$188,12,0)/1000,0)</f>
        <v>0</v>
      </c>
      <c r="AM931" s="1">
        <f>+IFERROR(VLOOKUP(AM12,'נתוני מים 2014'!$C$2:$N$188,12,0)/1000,0)</f>
        <v>40.222000000000001</v>
      </c>
      <c r="AN931" s="1">
        <f>+IFERROR(VLOOKUP(AN12,'נתוני מים 2014'!$C$2:$N$188,12,0)/1000,0)</f>
        <v>54.656999999999996</v>
      </c>
      <c r="AO931" s="1">
        <f>+IFERROR(VLOOKUP(AO12,'נתוני מים 2014'!$C$2:$N$188,12,0)/1000,0)</f>
        <v>0</v>
      </c>
      <c r="AP931" s="1">
        <f>+IFERROR(VLOOKUP(AP12,'נתוני מים 2014'!$C$2:$N$188,12,0)/1000,0)</f>
        <v>0</v>
      </c>
      <c r="AQ931" s="1">
        <f>+IFERROR(VLOOKUP(AQ12,'נתוני מים 2014'!$C$2:$N$188,12,0)/1000,0)</f>
        <v>0</v>
      </c>
      <c r="AR931" s="1">
        <f>+IFERROR(VLOOKUP(AR12,'נתוני מים 2014'!$C$2:$N$188,12,0)/1000,0)</f>
        <v>0</v>
      </c>
      <c r="AS931" s="1">
        <f>+IFERROR(VLOOKUP(AS12,'נתוני מים 2014'!$C$2:$N$188,12,0)/1000,0)</f>
        <v>84.45</v>
      </c>
      <c r="AT931" s="1">
        <f>+IFERROR(VLOOKUP(AT12,'נתוני מים 2014'!$C$2:$N$188,12,0)/1000,0)</f>
        <v>0</v>
      </c>
      <c r="AU931" s="1">
        <f>+IFERROR(VLOOKUP(AU12,'נתוני מים 2014'!$C$2:$N$188,12,0)/1000,0)</f>
        <v>0</v>
      </c>
      <c r="AV931" s="1">
        <f>+IFERROR(VLOOKUP(AV12,'נתוני מים 2014'!$C$2:$N$188,12,0)/1000,0)</f>
        <v>0</v>
      </c>
      <c r="AW931" s="1">
        <f>+IFERROR(VLOOKUP(AW12,'נתוני מים 2014'!$C$2:$N$188,12,0)/1000,0)</f>
        <v>0</v>
      </c>
      <c r="AX931" s="1">
        <f>+IFERROR(VLOOKUP(AX12,'נתוני מים 2014'!$C$2:$N$188,12,0)/1000,0)</f>
        <v>0</v>
      </c>
      <c r="AY931" s="1">
        <f>+IFERROR(VLOOKUP(AY12,'נתוני מים 2014'!$C$2:$N$188,12,0)/1000,0)</f>
        <v>0</v>
      </c>
      <c r="AZ931" s="1">
        <f>+IFERROR(VLOOKUP(AZ12,'נתוני מים 2014'!$C$2:$N$188,12,0)/1000,0)</f>
        <v>0</v>
      </c>
      <c r="BA931" s="1">
        <f>+IFERROR(VLOOKUP(BA12,'נתוני מים 2014'!$C$2:$N$188,12,0)/1000,0)</f>
        <v>0</v>
      </c>
      <c r="BB931" s="1">
        <f>+IFERROR(VLOOKUP(BB12,'נתוני מים 2014'!$C$2:$N$188,12,0)/1000,0)</f>
        <v>33.17</v>
      </c>
      <c r="BC931" s="1">
        <f>+IFERROR(VLOOKUP(BC12,'נתוני מים 2014'!$C$2:$N$188,12,0)/1000,0)</f>
        <v>120.917</v>
      </c>
      <c r="BD931" s="1">
        <f>+IFERROR(VLOOKUP(BD12,'נתוני מים 2014'!$C$2:$N$188,12,0)/1000,0)</f>
        <v>0</v>
      </c>
      <c r="BE931" s="1">
        <f>+IFERROR(VLOOKUP(BE12,'נתוני מים 2014'!$C$2:$N$188,12,0)/1000,0)</f>
        <v>0</v>
      </c>
      <c r="BF931" s="1">
        <f>+IFERROR(VLOOKUP(BF12,'נתוני מים 2014'!$C$2:$N$188,12,0)/1000,0)</f>
        <v>0</v>
      </c>
    </row>
    <row r="932" spans="2:58" x14ac:dyDescent="0.2">
      <c r="B932" s="1">
        <v>6</v>
      </c>
      <c r="C932" s="1">
        <f>+IFERROR(VLOOKUP(C13,'נתוני מים 2014'!$C$2:$N$188,12,0)/1000,0)</f>
        <v>0</v>
      </c>
      <c r="D932" s="1">
        <f>+IFERROR(VLOOKUP(D13,'נתוני מים 2014'!$C$2:$N$188,12,0)/1000,0)</f>
        <v>0</v>
      </c>
      <c r="E932" s="1">
        <f>+IFERROR(VLOOKUP(E13,'נתוני מים 2014'!$C$2:$N$188,12,0)/1000,0)</f>
        <v>0</v>
      </c>
      <c r="F932" s="1">
        <f>+IFERROR(VLOOKUP(F13,'נתוני מים 2014'!$C$2:$N$188,12,0)/1000,0)</f>
        <v>0</v>
      </c>
      <c r="G932" s="1">
        <f>+IFERROR(VLOOKUP(G13,'נתוני מים 2014'!$C$2:$N$188,12,0)/1000,0)</f>
        <v>0</v>
      </c>
      <c r="H932" s="1">
        <f>+IFERROR(VLOOKUP(H13,'נתוני מים 2014'!$C$2:$N$188,12,0)/1000,0)</f>
        <v>0</v>
      </c>
      <c r="I932" s="1">
        <f>+IFERROR(VLOOKUP(I13,'נתוני מים 2014'!$C$2:$N$188,12,0)/1000,0)</f>
        <v>0</v>
      </c>
      <c r="J932" s="1">
        <f>+IFERROR(VLOOKUP(J13,'נתוני מים 2014'!$C$2:$N$188,12,0)/1000,0)</f>
        <v>0</v>
      </c>
      <c r="K932" s="1">
        <f>+IFERROR(VLOOKUP(K13,'נתוני מים 2014'!$C$2:$N$188,12,0)/1000,0)</f>
        <v>0</v>
      </c>
      <c r="L932" s="1">
        <f>+IFERROR(VLOOKUP(L13,'נתוני מים 2014'!$C$2:$N$188,12,0)/1000,0)</f>
        <v>0</v>
      </c>
      <c r="M932" s="1">
        <f>+IFERROR(VLOOKUP(M13,'נתוני מים 2014'!$C$2:$N$188,12,0)/1000,0)</f>
        <v>0</v>
      </c>
      <c r="N932" s="1">
        <f>+IFERROR(VLOOKUP(N13,'נתוני מים 2014'!$C$2:$N$188,12,0)/1000,0)</f>
        <v>0</v>
      </c>
      <c r="O932" s="1">
        <f>+IFERROR(VLOOKUP(O13,'נתוני מים 2014'!$C$2:$N$188,12,0)/1000,0)</f>
        <v>0</v>
      </c>
      <c r="P932" s="1">
        <f>+IFERROR(VLOOKUP(P13,'נתוני מים 2014'!$C$2:$N$188,12,0)/1000,0)</f>
        <v>15.605</v>
      </c>
      <c r="Q932" s="1">
        <f>+IFERROR(VLOOKUP(Q13,'נתוני מים 2014'!$C$2:$N$188,12,0)/1000,0)</f>
        <v>0</v>
      </c>
      <c r="R932" s="1">
        <f>+IFERROR(VLOOKUP(R13,'נתוני מים 2014'!$C$2:$N$188,12,0)/1000,0)</f>
        <v>0</v>
      </c>
      <c r="S932" s="1">
        <f>+IFERROR(VLOOKUP(S13,'נתוני מים 2014'!$C$2:$N$188,12,0)/1000,0)</f>
        <v>0</v>
      </c>
      <c r="T932" s="1">
        <f>+IFERROR(VLOOKUP(T13,'נתוני מים 2014'!$C$2:$N$188,12,0)/1000,0)</f>
        <v>0</v>
      </c>
      <c r="U932" s="1">
        <f>+IFERROR(VLOOKUP(U13,'נתוני מים 2014'!$C$2:$N$188,12,0)/1000,0)</f>
        <v>0</v>
      </c>
      <c r="V932" s="1">
        <f>+IFERROR(VLOOKUP(V13,'נתוני מים 2014'!$C$2:$N$188,12,0)/1000,0)</f>
        <v>10.554</v>
      </c>
      <c r="W932" s="1">
        <f>+IFERROR(VLOOKUP(W13,'נתוני מים 2014'!$C$2:$N$188,12,0)/1000,0)</f>
        <v>101.04600000000001</v>
      </c>
      <c r="X932" s="1">
        <f>+IFERROR(VLOOKUP(X13,'נתוני מים 2014'!$C$2:$N$188,12,0)/1000,0)</f>
        <v>0</v>
      </c>
      <c r="Y932" s="1">
        <f>+IFERROR(VLOOKUP(Y13,'נתוני מים 2014'!$C$2:$N$188,12,0)/1000,0)</f>
        <v>0</v>
      </c>
      <c r="Z932" s="1">
        <f>+IFERROR(VLOOKUP(Z13,'נתוני מים 2014'!$C$2:$N$188,12,0)/1000,0)</f>
        <v>0</v>
      </c>
      <c r="AA932" s="1">
        <f>+IFERROR(VLOOKUP(AA13,'נתוני מים 2014'!$C$2:$N$188,12,0)/1000,0)</f>
        <v>0</v>
      </c>
      <c r="AB932" s="1">
        <f>+IFERROR(VLOOKUP(AB13,'נתוני מים 2014'!$C$2:$N$188,12,0)/1000,0)</f>
        <v>0</v>
      </c>
      <c r="AC932" s="1">
        <f>+IFERROR(VLOOKUP(AC13,'נתוני מים 2014'!$C$2:$N$188,12,0)/1000,0)</f>
        <v>0</v>
      </c>
      <c r="AD932" s="1">
        <f>+IFERROR(VLOOKUP(AD13,'נתוני מים 2014'!$C$2:$N$188,12,0)/1000,0)</f>
        <v>0</v>
      </c>
      <c r="AE932" s="1">
        <f>+IFERROR(VLOOKUP(AE13,'נתוני מים 2014'!$C$2:$N$188,12,0)/1000,0)</f>
        <v>0</v>
      </c>
      <c r="AF932" s="1">
        <f>+IFERROR(VLOOKUP(AF13,'נתוני מים 2014'!$C$2:$N$188,12,0)/1000,0)</f>
        <v>0</v>
      </c>
      <c r="AG932" s="1">
        <f>+IFERROR(VLOOKUP(AG13,'נתוני מים 2014'!$C$2:$N$188,12,0)/1000,0)</f>
        <v>0</v>
      </c>
      <c r="AH932" s="1">
        <f>+IFERROR(VLOOKUP(AH13,'נתוני מים 2014'!$C$2:$N$188,12,0)/1000,0)</f>
        <v>0</v>
      </c>
      <c r="AI932" s="1">
        <f>+IFERROR(VLOOKUP(AI13,'נתוני מים 2014'!$C$2:$N$188,12,0)/1000,0)</f>
        <v>0</v>
      </c>
      <c r="AJ932" s="1">
        <f>+IFERROR(VLOOKUP(AJ13,'נתוני מים 2014'!$C$2:$N$188,12,0)/1000,0)</f>
        <v>0</v>
      </c>
      <c r="AK932" s="1">
        <f>+IFERROR(VLOOKUP(AK13,'נתוני מים 2014'!$C$2:$N$188,12,0)/1000,0)</f>
        <v>0</v>
      </c>
      <c r="AL932" s="1">
        <f>+IFERROR(VLOOKUP(AL13,'נתוני מים 2014'!$C$2:$N$188,12,0)/1000,0)</f>
        <v>0</v>
      </c>
      <c r="AM932" s="1">
        <f>+IFERROR(VLOOKUP(AM13,'נתוני מים 2014'!$C$2:$N$188,12,0)/1000,0)</f>
        <v>0</v>
      </c>
      <c r="AN932" s="1">
        <f>+IFERROR(VLOOKUP(AN13,'נתוני מים 2014'!$C$2:$N$188,12,0)/1000,0)</f>
        <v>24.923999999999999</v>
      </c>
      <c r="AO932" s="1">
        <f>+IFERROR(VLOOKUP(AO13,'נתוני מים 2014'!$C$2:$N$188,12,0)/1000,0)</f>
        <v>0</v>
      </c>
      <c r="AP932" s="1">
        <f>+IFERROR(VLOOKUP(AP13,'נתוני מים 2014'!$C$2:$N$188,12,0)/1000,0)</f>
        <v>0</v>
      </c>
      <c r="AQ932" s="1">
        <f>+IFERROR(VLOOKUP(AQ13,'נתוני מים 2014'!$C$2:$N$188,12,0)/1000,0)</f>
        <v>0</v>
      </c>
      <c r="AR932" s="1">
        <f>+IFERROR(VLOOKUP(AR13,'נתוני מים 2014'!$C$2:$N$188,12,0)/1000,0)</f>
        <v>0</v>
      </c>
      <c r="AS932" s="1">
        <f>+IFERROR(VLOOKUP(AS13,'נתוני מים 2014'!$C$2:$N$188,12,0)/1000,0)</f>
        <v>13.324999999999999</v>
      </c>
      <c r="AT932" s="1">
        <f>+IFERROR(VLOOKUP(AT13,'נתוני מים 2014'!$C$2:$N$188,12,0)/1000,0)</f>
        <v>0</v>
      </c>
      <c r="AU932" s="1">
        <f>+IFERROR(VLOOKUP(AU13,'נתוני מים 2014'!$C$2:$N$188,12,0)/1000,0)</f>
        <v>0</v>
      </c>
      <c r="AV932" s="1">
        <f>+IFERROR(VLOOKUP(AV13,'נתוני מים 2014'!$C$2:$N$188,12,0)/1000,0)</f>
        <v>0</v>
      </c>
      <c r="AW932" s="1">
        <f>+IFERROR(VLOOKUP(AW13,'נתוני מים 2014'!$C$2:$N$188,12,0)/1000,0)</f>
        <v>0</v>
      </c>
      <c r="AX932" s="1">
        <f>+IFERROR(VLOOKUP(AX13,'נתוני מים 2014'!$C$2:$N$188,12,0)/1000,0)</f>
        <v>0</v>
      </c>
      <c r="AY932" s="1">
        <f>+IFERROR(VLOOKUP(AY13,'נתוני מים 2014'!$C$2:$N$188,12,0)/1000,0)</f>
        <v>0</v>
      </c>
      <c r="AZ932" s="1">
        <f>+IFERROR(VLOOKUP(AZ13,'נתוני מים 2014'!$C$2:$N$188,12,0)/1000,0)</f>
        <v>0</v>
      </c>
      <c r="BA932" s="1">
        <f>+IFERROR(VLOOKUP(BA13,'נתוני מים 2014'!$C$2:$N$188,12,0)/1000,0)</f>
        <v>0</v>
      </c>
      <c r="BB932" s="1">
        <f>+IFERROR(VLOOKUP(BB13,'נתוני מים 2014'!$C$2:$N$188,12,0)/1000,0)</f>
        <v>4.5419999999999998</v>
      </c>
      <c r="BC932" s="1">
        <f>+IFERROR(VLOOKUP(BC13,'נתוני מים 2014'!$C$2:$N$188,12,0)/1000,0)</f>
        <v>23.852</v>
      </c>
      <c r="BD932" s="1">
        <f>+IFERROR(VLOOKUP(BD13,'נתוני מים 2014'!$C$2:$N$188,12,0)/1000,0)</f>
        <v>0</v>
      </c>
      <c r="BE932" s="1">
        <f>+IFERROR(VLOOKUP(BE13,'נתוני מים 2014'!$C$2:$N$188,12,0)/1000,0)</f>
        <v>0</v>
      </c>
      <c r="BF932" s="1">
        <f>+IFERROR(VLOOKUP(BF13,'נתוני מים 2014'!$C$2:$N$188,12,0)/1000,0)</f>
        <v>0</v>
      </c>
    </row>
    <row r="933" spans="2:58" x14ac:dyDescent="0.2">
      <c r="B933" s="1">
        <v>7</v>
      </c>
      <c r="C933" s="1">
        <f>+IFERROR(VLOOKUP(C14,'נתוני מים 2014'!$C$2:$N$188,12,0)/1000,0)</f>
        <v>0</v>
      </c>
      <c r="D933" s="1">
        <f>+IFERROR(VLOOKUP(D14,'נתוני מים 2014'!$C$2:$N$188,12,0)/1000,0)</f>
        <v>30.195</v>
      </c>
      <c r="E933" s="1">
        <f>+IFERROR(VLOOKUP(E14,'נתוני מים 2014'!$C$2:$N$188,12,0)/1000,0)</f>
        <v>0</v>
      </c>
      <c r="F933" s="1">
        <f>+IFERROR(VLOOKUP(F14,'נתוני מים 2014'!$C$2:$N$188,12,0)/1000,0)</f>
        <v>0</v>
      </c>
      <c r="G933" s="1">
        <f>+IFERROR(VLOOKUP(G14,'נתוני מים 2014'!$C$2:$N$188,12,0)/1000,0)</f>
        <v>0</v>
      </c>
      <c r="H933" s="1">
        <f>+IFERROR(VLOOKUP(H14,'נתוני מים 2014'!$C$2:$N$188,12,0)/1000,0)</f>
        <v>0</v>
      </c>
      <c r="I933" s="1">
        <f>+IFERROR(VLOOKUP(I14,'נתוני מים 2014'!$C$2:$N$188,12,0)/1000,0)</f>
        <v>0</v>
      </c>
      <c r="J933" s="1">
        <f>+IFERROR(VLOOKUP(J14,'נתוני מים 2014'!$C$2:$N$188,12,0)/1000,0)</f>
        <v>0</v>
      </c>
      <c r="K933" s="1">
        <f>+IFERROR(VLOOKUP(K14,'נתוני מים 2014'!$C$2:$N$188,12,0)/1000,0)</f>
        <v>0</v>
      </c>
      <c r="L933" s="1">
        <f>+IFERROR(VLOOKUP(L14,'נתוני מים 2014'!$C$2:$N$188,12,0)/1000,0)</f>
        <v>0</v>
      </c>
      <c r="M933" s="1">
        <f>+IFERROR(VLOOKUP(M14,'נתוני מים 2014'!$C$2:$N$188,12,0)/1000,0)</f>
        <v>0</v>
      </c>
      <c r="N933" s="1">
        <f>+IFERROR(VLOOKUP(N14,'נתוני מים 2014'!$C$2:$N$188,12,0)/1000,0)</f>
        <v>0</v>
      </c>
      <c r="O933" s="1">
        <f>+IFERROR(VLOOKUP(O14,'נתוני מים 2014'!$C$2:$N$188,12,0)/1000,0)</f>
        <v>0</v>
      </c>
      <c r="P933" s="1">
        <f>+IFERROR(VLOOKUP(P14,'נתוני מים 2014'!$C$2:$N$188,12,0)/1000,0)</f>
        <v>14.803000000000001</v>
      </c>
      <c r="Q933" s="1">
        <f>+IFERROR(VLOOKUP(Q14,'נתוני מים 2014'!$C$2:$N$188,12,0)/1000,0)</f>
        <v>0</v>
      </c>
      <c r="R933" s="1">
        <f>+IFERROR(VLOOKUP(R14,'נתוני מים 2014'!$C$2:$N$188,12,0)/1000,0)</f>
        <v>0</v>
      </c>
      <c r="S933" s="1">
        <f>+IFERROR(VLOOKUP(S14,'נתוני מים 2014'!$C$2:$N$188,12,0)/1000,0)</f>
        <v>0</v>
      </c>
      <c r="T933" s="1">
        <f>+IFERROR(VLOOKUP(T14,'נתוני מים 2014'!$C$2:$N$188,12,0)/1000,0)</f>
        <v>0</v>
      </c>
      <c r="U933" s="1">
        <f>+IFERROR(VLOOKUP(U14,'נתוני מים 2014'!$C$2:$N$188,12,0)/1000,0)</f>
        <v>0</v>
      </c>
      <c r="V933" s="1">
        <f>+IFERROR(VLOOKUP(V14,'נתוני מים 2014'!$C$2:$N$188,12,0)/1000,0)</f>
        <v>8.3610000000000007</v>
      </c>
      <c r="W933" s="1">
        <f>+IFERROR(VLOOKUP(W14,'נתוני מים 2014'!$C$2:$N$188,12,0)/1000,0)</f>
        <v>10.933</v>
      </c>
      <c r="X933" s="1">
        <f>+IFERROR(VLOOKUP(X14,'נתוני מים 2014'!$C$2:$N$188,12,0)/1000,0)</f>
        <v>0</v>
      </c>
      <c r="Y933" s="1">
        <f>+IFERROR(VLOOKUP(Y14,'נתוני מים 2014'!$C$2:$N$188,12,0)/1000,0)</f>
        <v>0</v>
      </c>
      <c r="Z933" s="1">
        <f>+IFERROR(VLOOKUP(Z14,'נתוני מים 2014'!$C$2:$N$188,12,0)/1000,0)</f>
        <v>0</v>
      </c>
      <c r="AA933" s="1">
        <f>+IFERROR(VLOOKUP(AA14,'נתוני מים 2014'!$C$2:$N$188,12,0)/1000,0)</f>
        <v>0</v>
      </c>
      <c r="AB933" s="1">
        <f>+IFERROR(VLOOKUP(AB14,'נתוני מים 2014'!$C$2:$N$188,12,0)/1000,0)</f>
        <v>0</v>
      </c>
      <c r="AC933" s="1">
        <f>+IFERROR(VLOOKUP(AC14,'נתוני מים 2014'!$C$2:$N$188,12,0)/1000,0)</f>
        <v>0</v>
      </c>
      <c r="AD933" s="1">
        <f>+IFERROR(VLOOKUP(AD14,'נתוני מים 2014'!$C$2:$N$188,12,0)/1000,0)</f>
        <v>0</v>
      </c>
      <c r="AE933" s="1">
        <f>+IFERROR(VLOOKUP(AE14,'נתוני מים 2014'!$C$2:$N$188,12,0)/1000,0)</f>
        <v>0</v>
      </c>
      <c r="AF933" s="1">
        <f>+IFERROR(VLOOKUP(AF14,'נתוני מים 2014'!$C$2:$N$188,12,0)/1000,0)</f>
        <v>0</v>
      </c>
      <c r="AG933" s="1">
        <f>+IFERROR(VLOOKUP(AG14,'נתוני מים 2014'!$C$2:$N$188,12,0)/1000,0)</f>
        <v>0</v>
      </c>
      <c r="AH933" s="1">
        <f>+IFERROR(VLOOKUP(AH14,'נתוני מים 2014'!$C$2:$N$188,12,0)/1000,0)</f>
        <v>0</v>
      </c>
      <c r="AI933" s="1">
        <f>+IFERROR(VLOOKUP(AI14,'נתוני מים 2014'!$C$2:$N$188,12,0)/1000,0)</f>
        <v>0</v>
      </c>
      <c r="AJ933" s="1">
        <f>+IFERROR(VLOOKUP(AJ14,'נתוני מים 2014'!$C$2:$N$188,12,0)/1000,0)</f>
        <v>0</v>
      </c>
      <c r="AK933" s="1">
        <f>+IFERROR(VLOOKUP(AK14,'נתוני מים 2014'!$C$2:$N$188,12,0)/1000,0)</f>
        <v>0</v>
      </c>
      <c r="AL933" s="1">
        <f>+IFERROR(VLOOKUP(AL14,'נתוני מים 2014'!$C$2:$N$188,12,0)/1000,0)</f>
        <v>0</v>
      </c>
      <c r="AM933" s="1">
        <f>+IFERROR(VLOOKUP(AM14,'נתוני מים 2014'!$C$2:$N$188,12,0)/1000,0)</f>
        <v>0</v>
      </c>
      <c r="AN933" s="1">
        <f>+IFERROR(VLOOKUP(AN14,'נתוני מים 2014'!$C$2:$N$188,12,0)/1000,0)</f>
        <v>0</v>
      </c>
      <c r="AO933" s="1">
        <f>+IFERROR(VLOOKUP(AO14,'נתוני מים 2014'!$C$2:$N$188,12,0)/1000,0)</f>
        <v>0</v>
      </c>
      <c r="AP933" s="1">
        <f>+IFERROR(VLOOKUP(AP14,'נתוני מים 2014'!$C$2:$N$188,12,0)/1000,0)</f>
        <v>0</v>
      </c>
      <c r="AQ933" s="1">
        <f>+IFERROR(VLOOKUP(AQ14,'נתוני מים 2014'!$C$2:$N$188,12,0)/1000,0)</f>
        <v>0</v>
      </c>
      <c r="AR933" s="1">
        <f>+IFERROR(VLOOKUP(AR14,'נתוני מים 2014'!$C$2:$N$188,12,0)/1000,0)</f>
        <v>0</v>
      </c>
      <c r="AS933" s="1">
        <f>+IFERROR(VLOOKUP(AS14,'נתוני מים 2014'!$C$2:$N$188,12,0)/1000,0)</f>
        <v>33.53</v>
      </c>
      <c r="AT933" s="1">
        <f>+IFERROR(VLOOKUP(AT14,'נתוני מים 2014'!$C$2:$N$188,12,0)/1000,0)</f>
        <v>0</v>
      </c>
      <c r="AU933" s="1">
        <f>+IFERROR(VLOOKUP(AU14,'נתוני מים 2014'!$C$2:$N$188,12,0)/1000,0)</f>
        <v>0</v>
      </c>
      <c r="AV933" s="1">
        <f>+IFERROR(VLOOKUP(AV14,'נתוני מים 2014'!$C$2:$N$188,12,0)/1000,0)</f>
        <v>0</v>
      </c>
      <c r="AW933" s="1">
        <f>+IFERROR(VLOOKUP(AW14,'נתוני מים 2014'!$C$2:$N$188,12,0)/1000,0)</f>
        <v>0</v>
      </c>
      <c r="AX933" s="1">
        <f>+IFERROR(VLOOKUP(AX14,'נתוני מים 2014'!$C$2:$N$188,12,0)/1000,0)</f>
        <v>0</v>
      </c>
      <c r="AY933" s="1">
        <f>+IFERROR(VLOOKUP(AY14,'נתוני מים 2014'!$C$2:$N$188,12,0)/1000,0)</f>
        <v>0</v>
      </c>
      <c r="AZ933" s="1">
        <f>+IFERROR(VLOOKUP(AZ14,'נתוני מים 2014'!$C$2:$N$188,12,0)/1000,0)</f>
        <v>0</v>
      </c>
      <c r="BA933" s="1">
        <f>+IFERROR(VLOOKUP(BA14,'נתוני מים 2014'!$C$2:$N$188,12,0)/1000,0)</f>
        <v>0</v>
      </c>
      <c r="BB933" s="1">
        <f>+IFERROR(VLOOKUP(BB14,'נתוני מים 2014'!$C$2:$N$188,12,0)/1000,0)</f>
        <v>9.1080000000000005</v>
      </c>
      <c r="BC933" s="1">
        <f>+IFERROR(VLOOKUP(BC14,'נתוני מים 2014'!$C$2:$N$188,12,0)/1000,0)</f>
        <v>39.682000000000002</v>
      </c>
      <c r="BD933" s="1">
        <f>+IFERROR(VLOOKUP(BD14,'נתוני מים 2014'!$C$2:$N$188,12,0)/1000,0)</f>
        <v>0</v>
      </c>
      <c r="BE933" s="1">
        <f>+IFERROR(VLOOKUP(BE14,'נתוני מים 2014'!$C$2:$N$188,12,0)/1000,0)</f>
        <v>0</v>
      </c>
      <c r="BF933" s="1">
        <f>+IFERROR(VLOOKUP(BF14,'נתוני מים 2014'!$C$2:$N$188,12,0)/1000,0)</f>
        <v>0</v>
      </c>
    </row>
    <row r="934" spans="2:58" x14ac:dyDescent="0.2">
      <c r="B934" s="1">
        <v>8</v>
      </c>
      <c r="C934" s="1">
        <f>+IFERROR(VLOOKUP(C15,'נתוני מים 2014'!$C$2:$N$188,12,0)/1000,0)</f>
        <v>0</v>
      </c>
      <c r="D934" s="1">
        <f>+IFERROR(VLOOKUP(D15,'נתוני מים 2014'!$C$2:$N$188,12,0)/1000,0)</f>
        <v>0</v>
      </c>
      <c r="E934" s="1">
        <f>+IFERROR(VLOOKUP(E15,'נתוני מים 2014'!$C$2:$N$188,12,0)/1000,0)</f>
        <v>0</v>
      </c>
      <c r="F934" s="1">
        <f>+IFERROR(VLOOKUP(F15,'נתוני מים 2014'!$C$2:$N$188,12,0)/1000,0)</f>
        <v>0</v>
      </c>
      <c r="G934" s="1">
        <f>+IFERROR(VLOOKUP(G15,'נתוני מים 2014'!$C$2:$N$188,12,0)/1000,0)</f>
        <v>0</v>
      </c>
      <c r="H934" s="1">
        <f>+IFERROR(VLOOKUP(H15,'נתוני מים 2014'!$C$2:$N$188,12,0)/1000,0)</f>
        <v>0</v>
      </c>
      <c r="I934" s="1">
        <f>+IFERROR(VLOOKUP(I15,'נתוני מים 2014'!$C$2:$N$188,12,0)/1000,0)</f>
        <v>0</v>
      </c>
      <c r="J934" s="1">
        <f>+IFERROR(VLOOKUP(J15,'נתוני מים 2014'!$C$2:$N$188,12,0)/1000,0)</f>
        <v>0</v>
      </c>
      <c r="K934" s="1">
        <f>+IFERROR(VLOOKUP(K15,'נתוני מים 2014'!$C$2:$N$188,12,0)/1000,0)</f>
        <v>0</v>
      </c>
      <c r="L934" s="1">
        <f>+IFERROR(VLOOKUP(L15,'נתוני מים 2014'!$C$2:$N$188,12,0)/1000,0)</f>
        <v>0</v>
      </c>
      <c r="M934" s="1">
        <f>+IFERROR(VLOOKUP(M15,'נתוני מים 2014'!$C$2:$N$188,12,0)/1000,0)</f>
        <v>0</v>
      </c>
      <c r="N934" s="1">
        <f>+IFERROR(VLOOKUP(N15,'נתוני מים 2014'!$C$2:$N$188,12,0)/1000,0)</f>
        <v>0</v>
      </c>
      <c r="O934" s="1">
        <f>+IFERROR(VLOOKUP(O15,'נתוני מים 2014'!$C$2:$N$188,12,0)/1000,0)</f>
        <v>0</v>
      </c>
      <c r="P934" s="1">
        <f>+IFERROR(VLOOKUP(P15,'נתוני מים 2014'!$C$2:$N$188,12,0)/1000,0)</f>
        <v>4.6760000000000002</v>
      </c>
      <c r="Q934" s="1">
        <f>+IFERROR(VLOOKUP(Q15,'נתוני מים 2014'!$C$2:$N$188,12,0)/1000,0)</f>
        <v>0</v>
      </c>
      <c r="R934" s="1">
        <f>+IFERROR(VLOOKUP(R15,'נתוני מים 2014'!$C$2:$N$188,12,0)/1000,0)</f>
        <v>0</v>
      </c>
      <c r="S934" s="1">
        <f>+IFERROR(VLOOKUP(S15,'נתוני מים 2014'!$C$2:$N$188,12,0)/1000,0)</f>
        <v>0</v>
      </c>
      <c r="T934" s="1">
        <f>+IFERROR(VLOOKUP(T15,'נתוני מים 2014'!$C$2:$N$188,12,0)/1000,0)</f>
        <v>0</v>
      </c>
      <c r="U934" s="1">
        <f>+IFERROR(VLOOKUP(U15,'נתוני מים 2014'!$C$2:$N$188,12,0)/1000,0)</f>
        <v>0</v>
      </c>
      <c r="V934" s="1">
        <f>+IFERROR(VLOOKUP(V15,'נתוני מים 2014'!$C$2:$N$188,12,0)/1000,0)</f>
        <v>0</v>
      </c>
      <c r="W934" s="1">
        <f>+IFERROR(VLOOKUP(W15,'נתוני מים 2014'!$C$2:$N$188,12,0)/1000,0)</f>
        <v>0</v>
      </c>
      <c r="X934" s="1">
        <f>+IFERROR(VLOOKUP(X15,'נתוני מים 2014'!$C$2:$N$188,12,0)/1000,0)</f>
        <v>0</v>
      </c>
      <c r="Y934" s="1">
        <f>+IFERROR(VLOOKUP(Y15,'נתוני מים 2014'!$C$2:$N$188,12,0)/1000,0)</f>
        <v>0</v>
      </c>
      <c r="Z934" s="1">
        <f>+IFERROR(VLOOKUP(Z15,'נתוני מים 2014'!$C$2:$N$188,12,0)/1000,0)</f>
        <v>0</v>
      </c>
      <c r="AA934" s="1">
        <f>+IFERROR(VLOOKUP(AA15,'נתוני מים 2014'!$C$2:$N$188,12,0)/1000,0)</f>
        <v>0</v>
      </c>
      <c r="AB934" s="1">
        <f>+IFERROR(VLOOKUP(AB15,'נתוני מים 2014'!$C$2:$N$188,12,0)/1000,0)</f>
        <v>0</v>
      </c>
      <c r="AC934" s="1">
        <f>+IFERROR(VLOOKUP(AC15,'נתוני מים 2014'!$C$2:$N$188,12,0)/1000,0)</f>
        <v>0</v>
      </c>
      <c r="AD934" s="1">
        <f>+IFERROR(VLOOKUP(AD15,'נתוני מים 2014'!$C$2:$N$188,12,0)/1000,0)</f>
        <v>0</v>
      </c>
      <c r="AE934" s="1">
        <f>+IFERROR(VLOOKUP(AE15,'נתוני מים 2014'!$C$2:$N$188,12,0)/1000,0)</f>
        <v>0</v>
      </c>
      <c r="AF934" s="1">
        <f>+IFERROR(VLOOKUP(AF15,'נתוני מים 2014'!$C$2:$N$188,12,0)/1000,0)</f>
        <v>0</v>
      </c>
      <c r="AG934" s="1">
        <f>+IFERROR(VLOOKUP(AG15,'נתוני מים 2014'!$C$2:$N$188,12,0)/1000,0)</f>
        <v>0</v>
      </c>
      <c r="AH934" s="1">
        <f>+IFERROR(VLOOKUP(AH15,'נתוני מים 2014'!$C$2:$N$188,12,0)/1000,0)</f>
        <v>0</v>
      </c>
      <c r="AI934" s="1">
        <f>+IFERROR(VLOOKUP(AI15,'נתוני מים 2014'!$C$2:$N$188,12,0)/1000,0)</f>
        <v>0</v>
      </c>
      <c r="AJ934" s="1">
        <f>+IFERROR(VLOOKUP(AJ15,'נתוני מים 2014'!$C$2:$N$188,12,0)/1000,0)</f>
        <v>0</v>
      </c>
      <c r="AK934" s="1">
        <f>+IFERROR(VLOOKUP(AK15,'נתוני מים 2014'!$C$2:$N$188,12,0)/1000,0)</f>
        <v>0</v>
      </c>
      <c r="AL934" s="1">
        <f>+IFERROR(VLOOKUP(AL15,'נתוני מים 2014'!$C$2:$N$188,12,0)/1000,0)</f>
        <v>0</v>
      </c>
      <c r="AM934" s="1">
        <f>+IFERROR(VLOOKUP(AM15,'נתוני מים 2014'!$C$2:$N$188,12,0)/1000,0)</f>
        <v>0</v>
      </c>
      <c r="AN934" s="1">
        <f>+IFERROR(VLOOKUP(AN15,'נתוני מים 2014'!$C$2:$N$188,12,0)/1000,0)</f>
        <v>0</v>
      </c>
      <c r="AO934" s="1">
        <f>+IFERROR(VLOOKUP(AO15,'נתוני מים 2014'!$C$2:$N$188,12,0)/1000,0)</f>
        <v>0</v>
      </c>
      <c r="AP934" s="1">
        <f>+IFERROR(VLOOKUP(AP15,'נתוני מים 2014'!$C$2:$N$188,12,0)/1000,0)</f>
        <v>0</v>
      </c>
      <c r="AQ934" s="1">
        <f>+IFERROR(VLOOKUP(AQ15,'נתוני מים 2014'!$C$2:$N$188,12,0)/1000,0)</f>
        <v>0</v>
      </c>
      <c r="AR934" s="1">
        <f>+IFERROR(VLOOKUP(AR15,'נתוני מים 2014'!$C$2:$N$188,12,0)/1000,0)</f>
        <v>0</v>
      </c>
      <c r="AS934" s="1">
        <f>+IFERROR(VLOOKUP(AS15,'נתוני מים 2014'!$C$2:$N$188,12,0)/1000,0)</f>
        <v>19.881</v>
      </c>
      <c r="AT934" s="1">
        <f>+IFERROR(VLOOKUP(AT15,'נתוני מים 2014'!$C$2:$N$188,12,0)/1000,0)</f>
        <v>0</v>
      </c>
      <c r="AU934" s="1">
        <f>+IFERROR(VLOOKUP(AU15,'נתוני מים 2014'!$C$2:$N$188,12,0)/1000,0)</f>
        <v>0</v>
      </c>
      <c r="AV934" s="1">
        <f>+IFERROR(VLOOKUP(AV15,'נתוני מים 2014'!$C$2:$N$188,12,0)/1000,0)</f>
        <v>0</v>
      </c>
      <c r="AW934" s="1">
        <f>+IFERROR(VLOOKUP(AW15,'נתוני מים 2014'!$C$2:$N$188,12,0)/1000,0)</f>
        <v>0</v>
      </c>
      <c r="AX934" s="1">
        <f>+IFERROR(VLOOKUP(AX15,'נתוני מים 2014'!$C$2:$N$188,12,0)/1000,0)</f>
        <v>0</v>
      </c>
      <c r="AY934" s="1">
        <f>+IFERROR(VLOOKUP(AY15,'נתוני מים 2014'!$C$2:$N$188,12,0)/1000,0)</f>
        <v>0</v>
      </c>
      <c r="AZ934" s="1">
        <f>+IFERROR(VLOOKUP(AZ15,'נתוני מים 2014'!$C$2:$N$188,12,0)/1000,0)</f>
        <v>0</v>
      </c>
      <c r="BA934" s="1">
        <f>+IFERROR(VLOOKUP(BA15,'נתוני מים 2014'!$C$2:$N$188,12,0)/1000,0)</f>
        <v>0</v>
      </c>
      <c r="BB934" s="1">
        <f>+IFERROR(VLOOKUP(BB15,'נתוני מים 2014'!$C$2:$N$188,12,0)/1000,0)</f>
        <v>0</v>
      </c>
      <c r="BC934" s="1">
        <f>+IFERROR(VLOOKUP(BC15,'נתוני מים 2014'!$C$2:$N$188,12,0)/1000,0)</f>
        <v>0</v>
      </c>
      <c r="BD934" s="1">
        <f>+IFERROR(VLOOKUP(BD15,'נתוני מים 2014'!$C$2:$N$188,12,0)/1000,0)</f>
        <v>0</v>
      </c>
      <c r="BE934" s="1">
        <f>+IFERROR(VLOOKUP(BE15,'נתוני מים 2014'!$C$2:$N$188,12,0)/1000,0)</f>
        <v>0</v>
      </c>
      <c r="BF934" s="1">
        <f>+IFERROR(VLOOKUP(BF15,'נתוני מים 2014'!$C$2:$N$188,12,0)/1000,0)</f>
        <v>0</v>
      </c>
    </row>
    <row r="935" spans="2:58" x14ac:dyDescent="0.2">
      <c r="B935" s="1">
        <v>9</v>
      </c>
      <c r="C935" s="1">
        <f>+IFERROR(VLOOKUP(C16,'נתוני מים 2014'!$C$2:$N$188,12,0)/1000,0)</f>
        <v>0</v>
      </c>
      <c r="D935" s="1">
        <f>+IFERROR(VLOOKUP(D16,'נתוני מים 2014'!$C$2:$N$188,12,0)/1000,0)</f>
        <v>0</v>
      </c>
      <c r="E935" s="1">
        <f>+IFERROR(VLOOKUP(E16,'נתוני מים 2014'!$C$2:$N$188,12,0)/1000,0)</f>
        <v>0</v>
      </c>
      <c r="F935" s="1">
        <f>+IFERROR(VLOOKUP(F16,'נתוני מים 2014'!$C$2:$N$188,12,0)/1000,0)</f>
        <v>0</v>
      </c>
      <c r="G935" s="1">
        <f>+IFERROR(VLOOKUP(G16,'נתוני מים 2014'!$C$2:$N$188,12,0)/1000,0)</f>
        <v>0</v>
      </c>
      <c r="H935" s="1">
        <f>+IFERROR(VLOOKUP(H16,'נתוני מים 2014'!$C$2:$N$188,12,0)/1000,0)</f>
        <v>0</v>
      </c>
      <c r="I935" s="1">
        <f>+IFERROR(VLOOKUP(I16,'נתוני מים 2014'!$C$2:$N$188,12,0)/1000,0)</f>
        <v>0</v>
      </c>
      <c r="J935" s="1">
        <f>+IFERROR(VLOOKUP(J16,'נתוני מים 2014'!$C$2:$N$188,12,0)/1000,0)</f>
        <v>0</v>
      </c>
      <c r="K935" s="1">
        <f>+IFERROR(VLOOKUP(K16,'נתוני מים 2014'!$C$2:$N$188,12,0)/1000,0)</f>
        <v>0</v>
      </c>
      <c r="L935" s="1">
        <f>+IFERROR(VLOOKUP(L16,'נתוני מים 2014'!$C$2:$N$188,12,0)/1000,0)</f>
        <v>0</v>
      </c>
      <c r="M935" s="1">
        <f>+IFERROR(VLOOKUP(M16,'נתוני מים 2014'!$C$2:$N$188,12,0)/1000,0)</f>
        <v>0</v>
      </c>
      <c r="N935" s="1">
        <f>+IFERROR(VLOOKUP(N16,'נתוני מים 2014'!$C$2:$N$188,12,0)/1000,0)</f>
        <v>0</v>
      </c>
      <c r="O935" s="1">
        <f>+IFERROR(VLOOKUP(O16,'נתוני מים 2014'!$C$2:$N$188,12,0)/1000,0)</f>
        <v>0</v>
      </c>
      <c r="P935" s="1">
        <f>+IFERROR(VLOOKUP(P16,'נתוני מים 2014'!$C$2:$N$188,12,0)/1000,0)</f>
        <v>45.502000000000002</v>
      </c>
      <c r="Q935" s="1">
        <f>+IFERROR(VLOOKUP(Q16,'נתוני מים 2014'!$C$2:$N$188,12,0)/1000,0)</f>
        <v>0</v>
      </c>
      <c r="R935" s="1">
        <f>+IFERROR(VLOOKUP(R16,'נתוני מים 2014'!$C$2:$N$188,12,0)/1000,0)</f>
        <v>0</v>
      </c>
      <c r="S935" s="1">
        <f>+IFERROR(VLOOKUP(S16,'נתוני מים 2014'!$C$2:$N$188,12,0)/1000,0)</f>
        <v>0</v>
      </c>
      <c r="T935" s="1">
        <f>+IFERROR(VLOOKUP(T16,'נתוני מים 2014'!$C$2:$N$188,12,0)/1000,0)</f>
        <v>0</v>
      </c>
      <c r="U935" s="1">
        <f>+IFERROR(VLOOKUP(U16,'נתוני מים 2014'!$C$2:$N$188,12,0)/1000,0)</f>
        <v>0</v>
      </c>
      <c r="V935" s="1">
        <f>+IFERROR(VLOOKUP(V16,'נתוני מים 2014'!$C$2:$N$188,12,0)/1000,0)</f>
        <v>0</v>
      </c>
      <c r="W935" s="1">
        <f>+IFERROR(VLOOKUP(W16,'נתוני מים 2014'!$C$2:$N$188,12,0)/1000,0)</f>
        <v>0</v>
      </c>
      <c r="X935" s="1">
        <f>+IFERROR(VLOOKUP(X16,'נתוני מים 2014'!$C$2:$N$188,12,0)/1000,0)</f>
        <v>0</v>
      </c>
      <c r="Y935" s="1">
        <f>+IFERROR(VLOOKUP(Y16,'נתוני מים 2014'!$C$2:$N$188,12,0)/1000,0)</f>
        <v>0</v>
      </c>
      <c r="Z935" s="1">
        <f>+IFERROR(VLOOKUP(Z16,'נתוני מים 2014'!$C$2:$N$188,12,0)/1000,0)</f>
        <v>0</v>
      </c>
      <c r="AA935" s="1">
        <f>+IFERROR(VLOOKUP(AA16,'נתוני מים 2014'!$C$2:$N$188,12,0)/1000,0)</f>
        <v>0</v>
      </c>
      <c r="AB935" s="1">
        <f>+IFERROR(VLOOKUP(AB16,'נתוני מים 2014'!$C$2:$N$188,12,0)/1000,0)</f>
        <v>0</v>
      </c>
      <c r="AC935" s="1">
        <f>+IFERROR(VLOOKUP(AC16,'נתוני מים 2014'!$C$2:$N$188,12,0)/1000,0)</f>
        <v>0</v>
      </c>
      <c r="AD935" s="1">
        <f>+IFERROR(VLOOKUP(AD16,'נתוני מים 2014'!$C$2:$N$188,12,0)/1000,0)</f>
        <v>0</v>
      </c>
      <c r="AE935" s="1">
        <f>+IFERROR(VLOOKUP(AE16,'נתוני מים 2014'!$C$2:$N$188,12,0)/1000,0)</f>
        <v>0</v>
      </c>
      <c r="AF935" s="1">
        <f>+IFERROR(VLOOKUP(AF16,'נתוני מים 2014'!$C$2:$N$188,12,0)/1000,0)</f>
        <v>0</v>
      </c>
      <c r="AG935" s="1">
        <f>+IFERROR(VLOOKUP(AG16,'נתוני מים 2014'!$C$2:$N$188,12,0)/1000,0)</f>
        <v>0</v>
      </c>
      <c r="AH935" s="1">
        <f>+IFERROR(VLOOKUP(AH16,'נתוני מים 2014'!$C$2:$N$188,12,0)/1000,0)</f>
        <v>0</v>
      </c>
      <c r="AI935" s="1">
        <f>+IFERROR(VLOOKUP(AI16,'נתוני מים 2014'!$C$2:$N$188,12,0)/1000,0)</f>
        <v>0</v>
      </c>
      <c r="AJ935" s="1">
        <f>+IFERROR(VLOOKUP(AJ16,'נתוני מים 2014'!$C$2:$N$188,12,0)/1000,0)</f>
        <v>0</v>
      </c>
      <c r="AK935" s="1">
        <f>+IFERROR(VLOOKUP(AK16,'נתוני מים 2014'!$C$2:$N$188,12,0)/1000,0)</f>
        <v>0</v>
      </c>
      <c r="AL935" s="1">
        <f>+IFERROR(VLOOKUP(AL16,'נתוני מים 2014'!$C$2:$N$188,12,0)/1000,0)</f>
        <v>0</v>
      </c>
      <c r="AM935" s="1">
        <f>+IFERROR(VLOOKUP(AM16,'נתוני מים 2014'!$C$2:$N$188,12,0)/1000,0)</f>
        <v>0</v>
      </c>
      <c r="AN935" s="1">
        <f>+IFERROR(VLOOKUP(AN16,'נתוני מים 2014'!$C$2:$N$188,12,0)/1000,0)</f>
        <v>0</v>
      </c>
      <c r="AO935" s="1">
        <f>+IFERROR(VLOOKUP(AO16,'נתוני מים 2014'!$C$2:$N$188,12,0)/1000,0)</f>
        <v>0</v>
      </c>
      <c r="AP935" s="1">
        <f>+IFERROR(VLOOKUP(AP16,'נתוני מים 2014'!$C$2:$N$188,12,0)/1000,0)</f>
        <v>0</v>
      </c>
      <c r="AQ935" s="1">
        <f>+IFERROR(VLOOKUP(AQ16,'נתוני מים 2014'!$C$2:$N$188,12,0)/1000,0)</f>
        <v>0</v>
      </c>
      <c r="AR935" s="1">
        <f>+IFERROR(VLOOKUP(AR16,'נתוני מים 2014'!$C$2:$N$188,12,0)/1000,0)</f>
        <v>0</v>
      </c>
      <c r="AS935" s="1">
        <f>+IFERROR(VLOOKUP(AS16,'נתוני מים 2014'!$C$2:$N$188,12,0)/1000,0)</f>
        <v>6.3250000000000002</v>
      </c>
      <c r="AT935" s="1">
        <f>+IFERROR(VLOOKUP(AT16,'נתוני מים 2014'!$C$2:$N$188,12,0)/1000,0)</f>
        <v>0</v>
      </c>
      <c r="AU935" s="1">
        <f>+IFERROR(VLOOKUP(AU16,'נתוני מים 2014'!$C$2:$N$188,12,0)/1000,0)</f>
        <v>0</v>
      </c>
      <c r="AV935" s="1">
        <f>+IFERROR(VLOOKUP(AV16,'נתוני מים 2014'!$C$2:$N$188,12,0)/1000,0)</f>
        <v>0</v>
      </c>
      <c r="AW935" s="1">
        <f>+IFERROR(VLOOKUP(AW16,'נתוני מים 2014'!$C$2:$N$188,12,0)/1000,0)</f>
        <v>0</v>
      </c>
      <c r="AX935" s="1">
        <f>+IFERROR(VLOOKUP(AX16,'נתוני מים 2014'!$C$2:$N$188,12,0)/1000,0)</f>
        <v>0</v>
      </c>
      <c r="AY935" s="1">
        <f>+IFERROR(VLOOKUP(AY16,'נתוני מים 2014'!$C$2:$N$188,12,0)/1000,0)</f>
        <v>0</v>
      </c>
      <c r="AZ935" s="1">
        <f>+IFERROR(VLOOKUP(AZ16,'נתוני מים 2014'!$C$2:$N$188,12,0)/1000,0)</f>
        <v>0</v>
      </c>
      <c r="BA935" s="1">
        <f>+IFERROR(VLOOKUP(BA16,'נתוני מים 2014'!$C$2:$N$188,12,0)/1000,0)</f>
        <v>0</v>
      </c>
      <c r="BB935" s="1">
        <f>+IFERROR(VLOOKUP(BB16,'נתוני מים 2014'!$C$2:$N$188,12,0)/1000,0)</f>
        <v>0</v>
      </c>
      <c r="BC935" s="1">
        <f>+IFERROR(VLOOKUP(BC16,'נתוני מים 2014'!$C$2:$N$188,12,0)/1000,0)</f>
        <v>0</v>
      </c>
      <c r="BD935" s="1">
        <f>+IFERROR(VLOOKUP(BD16,'נתוני מים 2014'!$C$2:$N$188,12,0)/1000,0)</f>
        <v>0</v>
      </c>
      <c r="BE935" s="1">
        <f>+IFERROR(VLOOKUP(BE16,'נתוני מים 2014'!$C$2:$N$188,12,0)/1000,0)</f>
        <v>0</v>
      </c>
      <c r="BF935" s="1">
        <f>+IFERROR(VLOOKUP(BF16,'נתוני מים 2014'!$C$2:$N$188,12,0)/1000,0)</f>
        <v>0</v>
      </c>
    </row>
    <row r="936" spans="2:58" x14ac:dyDescent="0.2">
      <c r="B936" s="1">
        <v>10</v>
      </c>
      <c r="C936" s="1">
        <f>+IFERROR(VLOOKUP(C17,'נתוני מים 2014'!$C$2:$N$188,12,0)/1000,0)</f>
        <v>0</v>
      </c>
      <c r="D936" s="1">
        <f>+IFERROR(VLOOKUP(D17,'נתוני מים 2014'!$C$2:$N$188,12,0)/1000,0)</f>
        <v>0</v>
      </c>
      <c r="E936" s="1">
        <f>+IFERROR(VLOOKUP(E17,'נתוני מים 2014'!$C$2:$N$188,12,0)/1000,0)</f>
        <v>0</v>
      </c>
      <c r="F936" s="1">
        <f>+IFERROR(VLOOKUP(F17,'נתוני מים 2014'!$C$2:$N$188,12,0)/1000,0)</f>
        <v>0</v>
      </c>
      <c r="G936" s="1">
        <f>+IFERROR(VLOOKUP(G17,'נתוני מים 2014'!$C$2:$N$188,12,0)/1000,0)</f>
        <v>0</v>
      </c>
      <c r="H936" s="1">
        <f>+IFERROR(VLOOKUP(H17,'נתוני מים 2014'!$C$2:$N$188,12,0)/1000,0)</f>
        <v>0</v>
      </c>
      <c r="I936" s="1">
        <f>+IFERROR(VLOOKUP(I17,'נתוני מים 2014'!$C$2:$N$188,12,0)/1000,0)</f>
        <v>0</v>
      </c>
      <c r="J936" s="1">
        <f>+IFERROR(VLOOKUP(J17,'נתוני מים 2014'!$C$2:$N$188,12,0)/1000,0)</f>
        <v>0</v>
      </c>
      <c r="K936" s="1">
        <f>+IFERROR(VLOOKUP(K17,'נתוני מים 2014'!$C$2:$N$188,12,0)/1000,0)</f>
        <v>0</v>
      </c>
      <c r="L936" s="1">
        <f>+IFERROR(VLOOKUP(L17,'נתוני מים 2014'!$C$2:$N$188,12,0)/1000,0)</f>
        <v>0</v>
      </c>
      <c r="M936" s="1">
        <f>+IFERROR(VLOOKUP(M17,'נתוני מים 2014'!$C$2:$N$188,12,0)/1000,0)</f>
        <v>0</v>
      </c>
      <c r="N936" s="1">
        <f>+IFERROR(VLOOKUP(N17,'נתוני מים 2014'!$C$2:$N$188,12,0)/1000,0)</f>
        <v>0</v>
      </c>
      <c r="O936" s="1">
        <f>+IFERROR(VLOOKUP(O17,'נתוני מים 2014'!$C$2:$N$188,12,0)/1000,0)</f>
        <v>0</v>
      </c>
      <c r="P936" s="1">
        <f>+IFERROR(VLOOKUP(P17,'נתוני מים 2014'!$C$2:$N$188,12,0)/1000,0)</f>
        <v>17.114000000000001</v>
      </c>
      <c r="Q936" s="1">
        <f>+IFERROR(VLOOKUP(Q17,'נתוני מים 2014'!$C$2:$N$188,12,0)/1000,0)</f>
        <v>0</v>
      </c>
      <c r="R936" s="1">
        <f>+IFERROR(VLOOKUP(R17,'נתוני מים 2014'!$C$2:$N$188,12,0)/1000,0)</f>
        <v>0</v>
      </c>
      <c r="S936" s="1">
        <f>+IFERROR(VLOOKUP(S17,'נתוני מים 2014'!$C$2:$N$188,12,0)/1000,0)</f>
        <v>0</v>
      </c>
      <c r="T936" s="1">
        <f>+IFERROR(VLOOKUP(T17,'נתוני מים 2014'!$C$2:$N$188,12,0)/1000,0)</f>
        <v>0</v>
      </c>
      <c r="U936" s="1">
        <f>+IFERROR(VLOOKUP(U17,'נתוני מים 2014'!$C$2:$N$188,12,0)/1000,0)</f>
        <v>0</v>
      </c>
      <c r="V936" s="1">
        <f>+IFERROR(VLOOKUP(V17,'נתוני מים 2014'!$C$2:$N$188,12,0)/1000,0)</f>
        <v>0</v>
      </c>
      <c r="W936" s="1">
        <f>+IFERROR(VLOOKUP(W17,'נתוני מים 2014'!$C$2:$N$188,12,0)/1000,0)</f>
        <v>0</v>
      </c>
      <c r="X936" s="1">
        <f>+IFERROR(VLOOKUP(X17,'נתוני מים 2014'!$C$2:$N$188,12,0)/1000,0)</f>
        <v>0</v>
      </c>
      <c r="Y936" s="1">
        <f>+IFERROR(VLOOKUP(Y17,'נתוני מים 2014'!$C$2:$N$188,12,0)/1000,0)</f>
        <v>0</v>
      </c>
      <c r="Z936" s="1">
        <f>+IFERROR(VLOOKUP(Z17,'נתוני מים 2014'!$C$2:$N$188,12,0)/1000,0)</f>
        <v>0</v>
      </c>
      <c r="AA936" s="1">
        <f>+IFERROR(VLOOKUP(AA17,'נתוני מים 2014'!$C$2:$N$188,12,0)/1000,0)</f>
        <v>0</v>
      </c>
      <c r="AB936" s="1">
        <f>+IFERROR(VLOOKUP(AB17,'נתוני מים 2014'!$C$2:$N$188,12,0)/1000,0)</f>
        <v>0</v>
      </c>
      <c r="AC936" s="1">
        <f>+IFERROR(VLOOKUP(AC17,'נתוני מים 2014'!$C$2:$N$188,12,0)/1000,0)</f>
        <v>0</v>
      </c>
      <c r="AD936" s="1">
        <f>+IFERROR(VLOOKUP(AD17,'נתוני מים 2014'!$C$2:$N$188,12,0)/1000,0)</f>
        <v>0</v>
      </c>
      <c r="AE936" s="1">
        <f>+IFERROR(VLOOKUP(AE17,'נתוני מים 2014'!$C$2:$N$188,12,0)/1000,0)</f>
        <v>0</v>
      </c>
      <c r="AF936" s="1">
        <f>+IFERROR(VLOOKUP(AF17,'נתוני מים 2014'!$C$2:$N$188,12,0)/1000,0)</f>
        <v>0</v>
      </c>
      <c r="AG936" s="1">
        <f>+IFERROR(VLOOKUP(AG17,'נתוני מים 2014'!$C$2:$N$188,12,0)/1000,0)</f>
        <v>0</v>
      </c>
      <c r="AH936" s="1">
        <f>+IFERROR(VLOOKUP(AH17,'נתוני מים 2014'!$C$2:$N$188,12,0)/1000,0)</f>
        <v>0</v>
      </c>
      <c r="AI936" s="1">
        <f>+IFERROR(VLOOKUP(AI17,'נתוני מים 2014'!$C$2:$N$188,12,0)/1000,0)</f>
        <v>0</v>
      </c>
      <c r="AJ936" s="1">
        <f>+IFERROR(VLOOKUP(AJ17,'נתוני מים 2014'!$C$2:$N$188,12,0)/1000,0)</f>
        <v>0</v>
      </c>
      <c r="AK936" s="1">
        <f>+IFERROR(VLOOKUP(AK17,'נתוני מים 2014'!$C$2:$N$188,12,0)/1000,0)</f>
        <v>0</v>
      </c>
      <c r="AL936" s="1">
        <f>+IFERROR(VLOOKUP(AL17,'נתוני מים 2014'!$C$2:$N$188,12,0)/1000,0)</f>
        <v>0</v>
      </c>
      <c r="AM936" s="1">
        <f>+IFERROR(VLOOKUP(AM17,'נתוני מים 2014'!$C$2:$N$188,12,0)/1000,0)</f>
        <v>0</v>
      </c>
      <c r="AN936" s="1">
        <f>+IFERROR(VLOOKUP(AN17,'נתוני מים 2014'!$C$2:$N$188,12,0)/1000,0)</f>
        <v>0</v>
      </c>
      <c r="AO936" s="1">
        <f>+IFERROR(VLOOKUP(AO17,'נתוני מים 2014'!$C$2:$N$188,12,0)/1000,0)</f>
        <v>0</v>
      </c>
      <c r="AP936" s="1">
        <f>+IFERROR(VLOOKUP(AP17,'נתוני מים 2014'!$C$2:$N$188,12,0)/1000,0)</f>
        <v>0</v>
      </c>
      <c r="AQ936" s="1">
        <f>+IFERROR(VLOOKUP(AQ17,'נתוני מים 2014'!$C$2:$N$188,12,0)/1000,0)</f>
        <v>0</v>
      </c>
      <c r="AR936" s="1">
        <f>+IFERROR(VLOOKUP(AR17,'נתוני מים 2014'!$C$2:$N$188,12,0)/1000,0)</f>
        <v>0</v>
      </c>
      <c r="AS936" s="1">
        <f>+IFERROR(VLOOKUP(AS17,'נתוני מים 2014'!$C$2:$N$188,12,0)/1000,0)</f>
        <v>34.771000000000001</v>
      </c>
      <c r="AT936" s="1">
        <f>+IFERROR(VLOOKUP(AT17,'נתוני מים 2014'!$C$2:$N$188,12,0)/1000,0)</f>
        <v>0</v>
      </c>
      <c r="AU936" s="1">
        <f>+IFERROR(VLOOKUP(AU17,'נתוני מים 2014'!$C$2:$N$188,12,0)/1000,0)</f>
        <v>0</v>
      </c>
      <c r="AV936" s="1">
        <f>+IFERROR(VLOOKUP(AV17,'נתוני מים 2014'!$C$2:$N$188,12,0)/1000,0)</f>
        <v>0</v>
      </c>
      <c r="AW936" s="1">
        <f>+IFERROR(VLOOKUP(AW17,'נתוני מים 2014'!$C$2:$N$188,12,0)/1000,0)</f>
        <v>0</v>
      </c>
      <c r="AX936" s="1">
        <f>+IFERROR(VLOOKUP(AX17,'נתוני מים 2014'!$C$2:$N$188,12,0)/1000,0)</f>
        <v>0</v>
      </c>
      <c r="AY936" s="1">
        <f>+IFERROR(VLOOKUP(AY17,'נתוני מים 2014'!$C$2:$N$188,12,0)/1000,0)</f>
        <v>0</v>
      </c>
      <c r="AZ936" s="1">
        <f>+IFERROR(VLOOKUP(AZ17,'נתוני מים 2014'!$C$2:$N$188,12,0)/1000,0)</f>
        <v>0</v>
      </c>
      <c r="BA936" s="1">
        <f>+IFERROR(VLOOKUP(BA17,'נתוני מים 2014'!$C$2:$N$188,12,0)/1000,0)</f>
        <v>0</v>
      </c>
      <c r="BB936" s="1">
        <f>+IFERROR(VLOOKUP(BB17,'נתוני מים 2014'!$C$2:$N$188,12,0)/1000,0)</f>
        <v>0</v>
      </c>
      <c r="BC936" s="1">
        <f>+IFERROR(VLOOKUP(BC17,'נתוני מים 2014'!$C$2:$N$188,12,0)/1000,0)</f>
        <v>0</v>
      </c>
      <c r="BD936" s="1">
        <f>+IFERROR(VLOOKUP(BD17,'נתוני מים 2014'!$C$2:$N$188,12,0)/1000,0)</f>
        <v>0</v>
      </c>
      <c r="BE936" s="1">
        <f>+IFERROR(VLOOKUP(BE17,'נתוני מים 2014'!$C$2:$N$188,12,0)/1000,0)</f>
        <v>0</v>
      </c>
      <c r="BF936" s="1">
        <f>+IFERROR(VLOOKUP(BF17,'נתוני מים 2014'!$C$2:$N$188,12,0)/1000,0)</f>
        <v>0</v>
      </c>
    </row>
    <row r="937" spans="2:58" x14ac:dyDescent="0.2">
      <c r="B937" s="1">
        <v>11</v>
      </c>
      <c r="C937" s="1">
        <f>+IFERROR(VLOOKUP(C18,'נתוני מים 2014'!$C$2:$N$188,12,0)/1000,0)</f>
        <v>0</v>
      </c>
      <c r="D937" s="1">
        <f>+IFERROR(VLOOKUP(D18,'נתוני מים 2014'!$C$2:$N$188,12,0)/1000,0)</f>
        <v>0</v>
      </c>
      <c r="E937" s="1">
        <f>+IFERROR(VLOOKUP(E18,'נתוני מים 2014'!$C$2:$N$188,12,0)/1000,0)</f>
        <v>0</v>
      </c>
      <c r="F937" s="1">
        <f>+IFERROR(VLOOKUP(F18,'נתוני מים 2014'!$C$2:$N$188,12,0)/1000,0)</f>
        <v>0</v>
      </c>
      <c r="G937" s="1">
        <f>+IFERROR(VLOOKUP(G18,'נתוני מים 2014'!$C$2:$N$188,12,0)/1000,0)</f>
        <v>0</v>
      </c>
      <c r="H937" s="1">
        <f>+IFERROR(VLOOKUP(H18,'נתוני מים 2014'!$C$2:$N$188,12,0)/1000,0)</f>
        <v>0</v>
      </c>
      <c r="I937" s="1">
        <f>+IFERROR(VLOOKUP(I18,'נתוני מים 2014'!$C$2:$N$188,12,0)/1000,0)</f>
        <v>0</v>
      </c>
      <c r="J937" s="1">
        <f>+IFERROR(VLOOKUP(J18,'נתוני מים 2014'!$C$2:$N$188,12,0)/1000,0)</f>
        <v>0</v>
      </c>
      <c r="K937" s="1">
        <f>+IFERROR(VLOOKUP(K18,'נתוני מים 2014'!$C$2:$N$188,12,0)/1000,0)</f>
        <v>0</v>
      </c>
      <c r="L937" s="1">
        <f>+IFERROR(VLOOKUP(L18,'נתוני מים 2014'!$C$2:$N$188,12,0)/1000,0)</f>
        <v>0</v>
      </c>
      <c r="M937" s="1">
        <f>+IFERROR(VLOOKUP(M18,'נתוני מים 2014'!$C$2:$N$188,12,0)/1000,0)</f>
        <v>0</v>
      </c>
      <c r="N937" s="1">
        <f>+IFERROR(VLOOKUP(N18,'נתוני מים 2014'!$C$2:$N$188,12,0)/1000,0)</f>
        <v>0</v>
      </c>
      <c r="O937" s="1">
        <f>+IFERROR(VLOOKUP(O18,'נתוני מים 2014'!$C$2:$N$188,12,0)/1000,0)</f>
        <v>0</v>
      </c>
      <c r="P937" s="1">
        <f>+IFERROR(VLOOKUP(P18,'נתוני מים 2014'!$C$2:$N$188,12,0)/1000,0)</f>
        <v>11.769</v>
      </c>
      <c r="Q937" s="1">
        <f>+IFERROR(VLOOKUP(Q18,'נתוני מים 2014'!$C$2:$N$188,12,0)/1000,0)</f>
        <v>0</v>
      </c>
      <c r="R937" s="1">
        <f>+IFERROR(VLOOKUP(R18,'נתוני מים 2014'!$C$2:$N$188,12,0)/1000,0)</f>
        <v>0</v>
      </c>
      <c r="S937" s="1">
        <f>+IFERROR(VLOOKUP(S18,'נתוני מים 2014'!$C$2:$N$188,12,0)/1000,0)</f>
        <v>0</v>
      </c>
      <c r="T937" s="1">
        <f>+IFERROR(VLOOKUP(T18,'נתוני מים 2014'!$C$2:$N$188,12,0)/1000,0)</f>
        <v>0</v>
      </c>
      <c r="U937" s="1">
        <f>+IFERROR(VLOOKUP(U18,'נתוני מים 2014'!$C$2:$N$188,12,0)/1000,0)</f>
        <v>0</v>
      </c>
      <c r="V937" s="1">
        <f>+IFERROR(VLOOKUP(V18,'נתוני מים 2014'!$C$2:$N$188,12,0)/1000,0)</f>
        <v>0</v>
      </c>
      <c r="W937" s="1">
        <f>+IFERROR(VLOOKUP(W18,'נתוני מים 2014'!$C$2:$N$188,12,0)/1000,0)</f>
        <v>0</v>
      </c>
      <c r="X937" s="1">
        <f>+IFERROR(VLOOKUP(X18,'נתוני מים 2014'!$C$2:$N$188,12,0)/1000,0)</f>
        <v>0</v>
      </c>
      <c r="Y937" s="1">
        <f>+IFERROR(VLOOKUP(Y18,'נתוני מים 2014'!$C$2:$N$188,12,0)/1000,0)</f>
        <v>0</v>
      </c>
      <c r="Z937" s="1">
        <f>+IFERROR(VLOOKUP(Z18,'נתוני מים 2014'!$C$2:$N$188,12,0)/1000,0)</f>
        <v>0</v>
      </c>
      <c r="AA937" s="1">
        <f>+IFERROR(VLOOKUP(AA18,'נתוני מים 2014'!$C$2:$N$188,12,0)/1000,0)</f>
        <v>0</v>
      </c>
      <c r="AB937" s="1">
        <f>+IFERROR(VLOOKUP(AB18,'נתוני מים 2014'!$C$2:$N$188,12,0)/1000,0)</f>
        <v>0</v>
      </c>
      <c r="AC937" s="1">
        <f>+IFERROR(VLOOKUP(AC18,'נתוני מים 2014'!$C$2:$N$188,12,0)/1000,0)</f>
        <v>0</v>
      </c>
      <c r="AD937" s="1">
        <f>+IFERROR(VLOOKUP(AD18,'נתוני מים 2014'!$C$2:$N$188,12,0)/1000,0)</f>
        <v>0</v>
      </c>
      <c r="AE937" s="1">
        <f>+IFERROR(VLOOKUP(AE18,'נתוני מים 2014'!$C$2:$N$188,12,0)/1000,0)</f>
        <v>0</v>
      </c>
      <c r="AF937" s="1">
        <f>+IFERROR(VLOOKUP(AF18,'נתוני מים 2014'!$C$2:$N$188,12,0)/1000,0)</f>
        <v>0</v>
      </c>
      <c r="AG937" s="1">
        <f>+IFERROR(VLOOKUP(AG18,'נתוני מים 2014'!$C$2:$N$188,12,0)/1000,0)</f>
        <v>0</v>
      </c>
      <c r="AH937" s="1">
        <f>+IFERROR(VLOOKUP(AH18,'נתוני מים 2014'!$C$2:$N$188,12,0)/1000,0)</f>
        <v>0</v>
      </c>
      <c r="AI937" s="1">
        <f>+IFERROR(VLOOKUP(AI18,'נתוני מים 2014'!$C$2:$N$188,12,0)/1000,0)</f>
        <v>0</v>
      </c>
      <c r="AJ937" s="1">
        <f>+IFERROR(VLOOKUP(AJ18,'נתוני מים 2014'!$C$2:$N$188,12,0)/1000,0)</f>
        <v>0</v>
      </c>
      <c r="AK937" s="1">
        <f>+IFERROR(VLOOKUP(AK18,'נתוני מים 2014'!$C$2:$N$188,12,0)/1000,0)</f>
        <v>0</v>
      </c>
      <c r="AL937" s="1">
        <f>+IFERROR(VLOOKUP(AL18,'נתוני מים 2014'!$C$2:$N$188,12,0)/1000,0)</f>
        <v>0</v>
      </c>
      <c r="AM937" s="1">
        <f>+IFERROR(VLOOKUP(AM18,'נתוני מים 2014'!$C$2:$N$188,12,0)/1000,0)</f>
        <v>0</v>
      </c>
      <c r="AN937" s="1">
        <f>+IFERROR(VLOOKUP(AN18,'נתוני מים 2014'!$C$2:$N$188,12,0)/1000,0)</f>
        <v>0</v>
      </c>
      <c r="AO937" s="1">
        <f>+IFERROR(VLOOKUP(AO18,'נתוני מים 2014'!$C$2:$N$188,12,0)/1000,0)</f>
        <v>0</v>
      </c>
      <c r="AP937" s="1">
        <f>+IFERROR(VLOOKUP(AP18,'נתוני מים 2014'!$C$2:$N$188,12,0)/1000,0)</f>
        <v>0</v>
      </c>
      <c r="AQ937" s="1">
        <f>+IFERROR(VLOOKUP(AQ18,'נתוני מים 2014'!$C$2:$N$188,12,0)/1000,0)</f>
        <v>0</v>
      </c>
      <c r="AR937" s="1">
        <f>+IFERROR(VLOOKUP(AR18,'נתוני מים 2014'!$C$2:$N$188,12,0)/1000,0)</f>
        <v>0</v>
      </c>
      <c r="AS937" s="1">
        <f>+IFERROR(VLOOKUP(AS18,'נתוני מים 2014'!$C$2:$N$188,12,0)/1000,0)</f>
        <v>0</v>
      </c>
      <c r="AT937" s="1">
        <f>+IFERROR(VLOOKUP(AT18,'נתוני מים 2014'!$C$2:$N$188,12,0)/1000,0)</f>
        <v>0</v>
      </c>
      <c r="AU937" s="1">
        <f>+IFERROR(VLOOKUP(AU18,'נתוני מים 2014'!$C$2:$N$188,12,0)/1000,0)</f>
        <v>0</v>
      </c>
      <c r="AV937" s="1">
        <f>+IFERROR(VLOOKUP(AV18,'נתוני מים 2014'!$C$2:$N$188,12,0)/1000,0)</f>
        <v>0</v>
      </c>
      <c r="AW937" s="1">
        <f>+IFERROR(VLOOKUP(AW18,'נתוני מים 2014'!$C$2:$N$188,12,0)/1000,0)</f>
        <v>0</v>
      </c>
      <c r="AX937" s="1">
        <f>+IFERROR(VLOOKUP(AX18,'נתוני מים 2014'!$C$2:$N$188,12,0)/1000,0)</f>
        <v>0</v>
      </c>
      <c r="AY937" s="1">
        <f>+IFERROR(VLOOKUP(AY18,'נתוני מים 2014'!$C$2:$N$188,12,0)/1000,0)</f>
        <v>0</v>
      </c>
      <c r="AZ937" s="1">
        <f>+IFERROR(VLOOKUP(AZ18,'נתוני מים 2014'!$C$2:$N$188,12,0)/1000,0)</f>
        <v>0</v>
      </c>
      <c r="BA937" s="1">
        <f>+IFERROR(VLOOKUP(BA18,'נתוני מים 2014'!$C$2:$N$188,12,0)/1000,0)</f>
        <v>0</v>
      </c>
      <c r="BB937" s="1">
        <f>+IFERROR(VLOOKUP(BB18,'נתוני מים 2014'!$C$2:$N$188,12,0)/1000,0)</f>
        <v>0</v>
      </c>
      <c r="BC937" s="1">
        <f>+IFERROR(VLOOKUP(BC18,'נתוני מים 2014'!$C$2:$N$188,12,0)/1000,0)</f>
        <v>0</v>
      </c>
      <c r="BD937" s="1">
        <f>+IFERROR(VLOOKUP(BD18,'נתוני מים 2014'!$C$2:$N$188,12,0)/1000,0)</f>
        <v>0</v>
      </c>
      <c r="BE937" s="1">
        <f>+IFERROR(VLOOKUP(BE18,'נתוני מים 2014'!$C$2:$N$188,12,0)/1000,0)</f>
        <v>0</v>
      </c>
      <c r="BF937" s="1">
        <f>+IFERROR(VLOOKUP(BF18,'נתוני מים 2014'!$C$2:$N$188,12,0)/1000,0)</f>
        <v>0</v>
      </c>
    </row>
    <row r="938" spans="2:58" x14ac:dyDescent="0.2">
      <c r="B938" s="1">
        <v>12</v>
      </c>
      <c r="C938" s="1">
        <f>+IFERROR(VLOOKUP(C19,'נתוני מים 2014'!$C$2:$N$188,12,0)/1000,0)</f>
        <v>0</v>
      </c>
      <c r="D938" s="1">
        <f>+IFERROR(VLOOKUP(D19,'נתוני מים 2014'!$C$2:$N$188,12,0)/1000,0)</f>
        <v>0</v>
      </c>
      <c r="E938" s="1">
        <f>+IFERROR(VLOOKUP(E19,'נתוני מים 2014'!$C$2:$N$188,12,0)/1000,0)</f>
        <v>0</v>
      </c>
      <c r="F938" s="1">
        <f>+IFERROR(VLOOKUP(F19,'נתוני מים 2014'!$C$2:$N$188,12,0)/1000,0)</f>
        <v>0</v>
      </c>
      <c r="G938" s="1">
        <f>+IFERROR(VLOOKUP(G19,'נתוני מים 2014'!$C$2:$N$188,12,0)/1000,0)</f>
        <v>0</v>
      </c>
      <c r="H938" s="1">
        <f>+IFERROR(VLOOKUP(H19,'נתוני מים 2014'!$C$2:$N$188,12,0)/1000,0)</f>
        <v>0</v>
      </c>
      <c r="I938" s="1">
        <f>+IFERROR(VLOOKUP(I19,'נתוני מים 2014'!$C$2:$N$188,12,0)/1000,0)</f>
        <v>0</v>
      </c>
      <c r="J938" s="1">
        <f>+IFERROR(VLOOKUP(J19,'נתוני מים 2014'!$C$2:$N$188,12,0)/1000,0)</f>
        <v>0</v>
      </c>
      <c r="K938" s="1">
        <f>+IFERROR(VLOOKUP(K19,'נתוני מים 2014'!$C$2:$N$188,12,0)/1000,0)</f>
        <v>0</v>
      </c>
      <c r="L938" s="1">
        <f>+IFERROR(VLOOKUP(L19,'נתוני מים 2014'!$C$2:$N$188,12,0)/1000,0)</f>
        <v>0</v>
      </c>
      <c r="M938" s="1">
        <f>+IFERROR(VLOOKUP(M19,'נתוני מים 2014'!$C$2:$N$188,12,0)/1000,0)</f>
        <v>0</v>
      </c>
      <c r="N938" s="1">
        <f>+IFERROR(VLOOKUP(N19,'נתוני מים 2014'!$C$2:$N$188,12,0)/1000,0)</f>
        <v>0</v>
      </c>
      <c r="O938" s="1">
        <f>+IFERROR(VLOOKUP(O19,'נתוני מים 2014'!$C$2:$N$188,12,0)/1000,0)</f>
        <v>0</v>
      </c>
      <c r="P938" s="1">
        <f>+IFERROR(VLOOKUP(P19,'נתוני מים 2014'!$C$2:$N$188,12,0)/1000,0)</f>
        <v>7.7480000000000002</v>
      </c>
      <c r="Q938" s="1">
        <f>+IFERROR(VLOOKUP(Q19,'נתוני מים 2014'!$C$2:$N$188,12,0)/1000,0)</f>
        <v>0</v>
      </c>
      <c r="R938" s="1">
        <f>+IFERROR(VLOOKUP(R19,'נתוני מים 2014'!$C$2:$N$188,12,0)/1000,0)</f>
        <v>0</v>
      </c>
      <c r="S938" s="1">
        <f>+IFERROR(VLOOKUP(S19,'נתוני מים 2014'!$C$2:$N$188,12,0)/1000,0)</f>
        <v>0</v>
      </c>
      <c r="T938" s="1">
        <f>+IFERROR(VLOOKUP(T19,'נתוני מים 2014'!$C$2:$N$188,12,0)/1000,0)</f>
        <v>0</v>
      </c>
      <c r="U938" s="1">
        <f>+IFERROR(VLOOKUP(U19,'נתוני מים 2014'!$C$2:$N$188,12,0)/1000,0)</f>
        <v>0</v>
      </c>
      <c r="V938" s="1">
        <f>+IFERROR(VLOOKUP(V19,'נתוני מים 2014'!$C$2:$N$188,12,0)/1000,0)</f>
        <v>0</v>
      </c>
      <c r="W938" s="1">
        <f>+IFERROR(VLOOKUP(W19,'נתוני מים 2014'!$C$2:$N$188,12,0)/1000,0)</f>
        <v>0</v>
      </c>
      <c r="X938" s="1">
        <f>+IFERROR(VLOOKUP(X19,'נתוני מים 2014'!$C$2:$N$188,12,0)/1000,0)</f>
        <v>0</v>
      </c>
      <c r="Y938" s="1">
        <f>+IFERROR(VLOOKUP(Y19,'נתוני מים 2014'!$C$2:$N$188,12,0)/1000,0)</f>
        <v>0</v>
      </c>
      <c r="Z938" s="1">
        <f>+IFERROR(VLOOKUP(Z19,'נתוני מים 2014'!$C$2:$N$188,12,0)/1000,0)</f>
        <v>0</v>
      </c>
      <c r="AA938" s="1">
        <f>+IFERROR(VLOOKUP(AA19,'נתוני מים 2014'!$C$2:$N$188,12,0)/1000,0)</f>
        <v>0</v>
      </c>
      <c r="AB938" s="1">
        <f>+IFERROR(VLOOKUP(AB19,'נתוני מים 2014'!$C$2:$N$188,12,0)/1000,0)</f>
        <v>0</v>
      </c>
      <c r="AC938" s="1">
        <f>+IFERROR(VLOOKUP(AC19,'נתוני מים 2014'!$C$2:$N$188,12,0)/1000,0)</f>
        <v>0</v>
      </c>
      <c r="AD938" s="1">
        <f>+IFERROR(VLOOKUP(AD19,'נתוני מים 2014'!$C$2:$N$188,12,0)/1000,0)</f>
        <v>0</v>
      </c>
      <c r="AE938" s="1">
        <f>+IFERROR(VLOOKUP(AE19,'נתוני מים 2014'!$C$2:$N$188,12,0)/1000,0)</f>
        <v>0</v>
      </c>
      <c r="AF938" s="1">
        <f>+IFERROR(VLOOKUP(AF19,'נתוני מים 2014'!$C$2:$N$188,12,0)/1000,0)</f>
        <v>0</v>
      </c>
      <c r="AG938" s="1">
        <f>+IFERROR(VLOOKUP(AG19,'נתוני מים 2014'!$C$2:$N$188,12,0)/1000,0)</f>
        <v>0</v>
      </c>
      <c r="AH938" s="1">
        <f>+IFERROR(VLOOKUP(AH19,'נתוני מים 2014'!$C$2:$N$188,12,0)/1000,0)</f>
        <v>0</v>
      </c>
      <c r="AI938" s="1">
        <f>+IFERROR(VLOOKUP(AI19,'נתוני מים 2014'!$C$2:$N$188,12,0)/1000,0)</f>
        <v>0</v>
      </c>
      <c r="AJ938" s="1">
        <f>+IFERROR(VLOOKUP(AJ19,'נתוני מים 2014'!$C$2:$N$188,12,0)/1000,0)</f>
        <v>0</v>
      </c>
      <c r="AK938" s="1">
        <f>+IFERROR(VLOOKUP(AK19,'נתוני מים 2014'!$C$2:$N$188,12,0)/1000,0)</f>
        <v>0</v>
      </c>
      <c r="AL938" s="1">
        <f>+IFERROR(VLOOKUP(AL19,'נתוני מים 2014'!$C$2:$N$188,12,0)/1000,0)</f>
        <v>0</v>
      </c>
      <c r="AM938" s="1">
        <f>+IFERROR(VLOOKUP(AM19,'נתוני מים 2014'!$C$2:$N$188,12,0)/1000,0)</f>
        <v>0</v>
      </c>
      <c r="AN938" s="1">
        <f>+IFERROR(VLOOKUP(AN19,'נתוני מים 2014'!$C$2:$N$188,12,0)/1000,0)</f>
        <v>0</v>
      </c>
      <c r="AO938" s="1">
        <f>+IFERROR(VLOOKUP(AO19,'נתוני מים 2014'!$C$2:$N$188,12,0)/1000,0)</f>
        <v>0</v>
      </c>
      <c r="AP938" s="1">
        <f>+IFERROR(VLOOKUP(AP19,'נתוני מים 2014'!$C$2:$N$188,12,0)/1000,0)</f>
        <v>0</v>
      </c>
      <c r="AQ938" s="1">
        <f>+IFERROR(VLOOKUP(AQ19,'נתוני מים 2014'!$C$2:$N$188,12,0)/1000,0)</f>
        <v>0</v>
      </c>
      <c r="AR938" s="1">
        <f>+IFERROR(VLOOKUP(AR19,'נתוני מים 2014'!$C$2:$N$188,12,0)/1000,0)</f>
        <v>0</v>
      </c>
      <c r="AS938" s="1">
        <f>+IFERROR(VLOOKUP(AS19,'נתוני מים 2014'!$C$2:$N$188,12,0)/1000,0)</f>
        <v>0</v>
      </c>
      <c r="AT938" s="1">
        <f>+IFERROR(VLOOKUP(AT19,'נתוני מים 2014'!$C$2:$N$188,12,0)/1000,0)</f>
        <v>0</v>
      </c>
      <c r="AU938" s="1">
        <f>+IFERROR(VLOOKUP(AU19,'נתוני מים 2014'!$C$2:$N$188,12,0)/1000,0)</f>
        <v>0</v>
      </c>
      <c r="AV938" s="1">
        <f>+IFERROR(VLOOKUP(AV19,'נתוני מים 2014'!$C$2:$N$188,12,0)/1000,0)</f>
        <v>0</v>
      </c>
      <c r="AW938" s="1">
        <f>+IFERROR(VLOOKUP(AW19,'נתוני מים 2014'!$C$2:$N$188,12,0)/1000,0)</f>
        <v>0</v>
      </c>
      <c r="AX938" s="1">
        <f>+IFERROR(VLOOKUP(AX19,'נתוני מים 2014'!$C$2:$N$188,12,0)/1000,0)</f>
        <v>0</v>
      </c>
      <c r="AY938" s="1">
        <f>+IFERROR(VLOOKUP(AY19,'נתוני מים 2014'!$C$2:$N$188,12,0)/1000,0)</f>
        <v>0</v>
      </c>
      <c r="AZ938" s="1">
        <f>+IFERROR(VLOOKUP(AZ19,'נתוני מים 2014'!$C$2:$N$188,12,0)/1000,0)</f>
        <v>0</v>
      </c>
      <c r="BA938" s="1">
        <f>+IFERROR(VLOOKUP(BA19,'נתוני מים 2014'!$C$2:$N$188,12,0)/1000,0)</f>
        <v>0</v>
      </c>
      <c r="BB938" s="1">
        <f>+IFERROR(VLOOKUP(BB19,'נתוני מים 2014'!$C$2:$N$188,12,0)/1000,0)</f>
        <v>0</v>
      </c>
      <c r="BC938" s="1">
        <f>+IFERROR(VLOOKUP(BC19,'נתוני מים 2014'!$C$2:$N$188,12,0)/1000,0)</f>
        <v>0</v>
      </c>
      <c r="BD938" s="1">
        <f>+IFERROR(VLOOKUP(BD19,'נתוני מים 2014'!$C$2:$N$188,12,0)/1000,0)</f>
        <v>0</v>
      </c>
      <c r="BE938" s="1">
        <f>+IFERROR(VLOOKUP(BE19,'נתוני מים 2014'!$C$2:$N$188,12,0)/1000,0)</f>
        <v>0</v>
      </c>
      <c r="BF938" s="1">
        <f>+IFERROR(VLOOKUP(BF19,'נתוני מים 2014'!$C$2:$N$188,12,0)/1000,0)</f>
        <v>0</v>
      </c>
    </row>
    <row r="939" spans="2:58" x14ac:dyDescent="0.2">
      <c r="B939" s="1">
        <v>13</v>
      </c>
      <c r="C939" s="1">
        <f>+IFERROR(VLOOKUP(C20,'נתוני מים 2014'!$C$2:$N$188,12,0)/1000,0)</f>
        <v>0</v>
      </c>
      <c r="D939" s="1">
        <f>+IFERROR(VLOOKUP(D20,'נתוני מים 2014'!$C$2:$N$188,12,0)/1000,0)</f>
        <v>0</v>
      </c>
      <c r="E939" s="1">
        <f>+IFERROR(VLOOKUP(E20,'נתוני מים 2014'!$C$2:$N$188,12,0)/1000,0)</f>
        <v>0</v>
      </c>
      <c r="F939" s="1">
        <f>+IFERROR(VLOOKUP(F20,'נתוני מים 2014'!$C$2:$N$188,12,0)/1000,0)</f>
        <v>0</v>
      </c>
      <c r="G939" s="1">
        <f>+IFERROR(VLOOKUP(G20,'נתוני מים 2014'!$C$2:$N$188,12,0)/1000,0)</f>
        <v>0</v>
      </c>
      <c r="H939" s="1">
        <f>+IFERROR(VLOOKUP(H20,'נתוני מים 2014'!$C$2:$N$188,12,0)/1000,0)</f>
        <v>0</v>
      </c>
      <c r="I939" s="1">
        <f>+IFERROR(VLOOKUP(I20,'נתוני מים 2014'!$C$2:$N$188,12,0)/1000,0)</f>
        <v>0</v>
      </c>
      <c r="J939" s="1">
        <f>+IFERROR(VLOOKUP(J20,'נתוני מים 2014'!$C$2:$N$188,12,0)/1000,0)</f>
        <v>0</v>
      </c>
      <c r="K939" s="1">
        <f>+IFERROR(VLOOKUP(K20,'נתוני מים 2014'!$C$2:$N$188,12,0)/1000,0)</f>
        <v>0</v>
      </c>
      <c r="L939" s="1">
        <f>+IFERROR(VLOOKUP(L20,'נתוני מים 2014'!$C$2:$N$188,12,0)/1000,0)</f>
        <v>0</v>
      </c>
      <c r="M939" s="1">
        <f>+IFERROR(VLOOKUP(M20,'נתוני מים 2014'!$C$2:$N$188,12,0)/1000,0)</f>
        <v>0</v>
      </c>
      <c r="N939" s="1">
        <f>+IFERROR(VLOOKUP(N20,'נתוני מים 2014'!$C$2:$N$188,12,0)/1000,0)</f>
        <v>0</v>
      </c>
      <c r="O939" s="1">
        <f>+IFERROR(VLOOKUP(O20,'נתוני מים 2014'!$C$2:$N$188,12,0)/1000,0)</f>
        <v>0</v>
      </c>
      <c r="P939" s="1">
        <f>+IFERROR(VLOOKUP(P20,'נתוני מים 2014'!$C$2:$N$188,12,0)/1000,0)</f>
        <v>13.148999999999999</v>
      </c>
      <c r="Q939" s="1">
        <f>+IFERROR(VLOOKUP(Q20,'נתוני מים 2014'!$C$2:$N$188,12,0)/1000,0)</f>
        <v>0</v>
      </c>
      <c r="R939" s="1">
        <f>+IFERROR(VLOOKUP(R20,'נתוני מים 2014'!$C$2:$N$188,12,0)/1000,0)</f>
        <v>0</v>
      </c>
      <c r="S939" s="1">
        <f>+IFERROR(VLOOKUP(S20,'נתוני מים 2014'!$C$2:$N$188,12,0)/1000,0)</f>
        <v>0</v>
      </c>
      <c r="T939" s="1">
        <f>+IFERROR(VLOOKUP(T20,'נתוני מים 2014'!$C$2:$N$188,12,0)/1000,0)</f>
        <v>0</v>
      </c>
      <c r="U939" s="1">
        <f>+IFERROR(VLOOKUP(U20,'נתוני מים 2014'!$C$2:$N$188,12,0)/1000,0)</f>
        <v>0</v>
      </c>
      <c r="V939" s="1">
        <f>+IFERROR(VLOOKUP(V20,'נתוני מים 2014'!$C$2:$N$188,12,0)/1000,0)</f>
        <v>0</v>
      </c>
      <c r="W939" s="1">
        <f>+IFERROR(VLOOKUP(W20,'נתוני מים 2014'!$C$2:$N$188,12,0)/1000,0)</f>
        <v>0</v>
      </c>
      <c r="X939" s="1">
        <f>+IFERROR(VLOOKUP(X20,'נתוני מים 2014'!$C$2:$N$188,12,0)/1000,0)</f>
        <v>0</v>
      </c>
      <c r="Y939" s="1">
        <f>+IFERROR(VLOOKUP(Y20,'נתוני מים 2014'!$C$2:$N$188,12,0)/1000,0)</f>
        <v>0</v>
      </c>
      <c r="Z939" s="1">
        <f>+IFERROR(VLOOKUP(Z20,'נתוני מים 2014'!$C$2:$N$188,12,0)/1000,0)</f>
        <v>0</v>
      </c>
      <c r="AA939" s="1">
        <f>+IFERROR(VLOOKUP(AA20,'נתוני מים 2014'!$C$2:$N$188,12,0)/1000,0)</f>
        <v>0</v>
      </c>
      <c r="AB939" s="1">
        <f>+IFERROR(VLOOKUP(AB20,'נתוני מים 2014'!$C$2:$N$188,12,0)/1000,0)</f>
        <v>0</v>
      </c>
      <c r="AC939" s="1">
        <f>+IFERROR(VLOOKUP(AC20,'נתוני מים 2014'!$C$2:$N$188,12,0)/1000,0)</f>
        <v>0</v>
      </c>
      <c r="AD939" s="1">
        <f>+IFERROR(VLOOKUP(AD20,'נתוני מים 2014'!$C$2:$N$188,12,0)/1000,0)</f>
        <v>0</v>
      </c>
      <c r="AE939" s="1">
        <f>+IFERROR(VLOOKUP(AE20,'נתוני מים 2014'!$C$2:$N$188,12,0)/1000,0)</f>
        <v>0</v>
      </c>
      <c r="AF939" s="1">
        <f>+IFERROR(VLOOKUP(AF20,'נתוני מים 2014'!$C$2:$N$188,12,0)/1000,0)</f>
        <v>0</v>
      </c>
      <c r="AG939" s="1">
        <f>+IFERROR(VLOOKUP(AG20,'נתוני מים 2014'!$C$2:$N$188,12,0)/1000,0)</f>
        <v>0</v>
      </c>
      <c r="AH939" s="1">
        <f>+IFERROR(VLOOKUP(AH20,'נתוני מים 2014'!$C$2:$N$188,12,0)/1000,0)</f>
        <v>0</v>
      </c>
      <c r="AI939" s="1">
        <f>+IFERROR(VLOOKUP(AI20,'נתוני מים 2014'!$C$2:$N$188,12,0)/1000,0)</f>
        <v>0</v>
      </c>
      <c r="AJ939" s="1">
        <f>+IFERROR(VLOOKUP(AJ20,'נתוני מים 2014'!$C$2:$N$188,12,0)/1000,0)</f>
        <v>0</v>
      </c>
      <c r="AK939" s="1">
        <f>+IFERROR(VLOOKUP(AK20,'נתוני מים 2014'!$C$2:$N$188,12,0)/1000,0)</f>
        <v>0</v>
      </c>
      <c r="AL939" s="1">
        <f>+IFERROR(VLOOKUP(AL20,'נתוני מים 2014'!$C$2:$N$188,12,0)/1000,0)</f>
        <v>0</v>
      </c>
      <c r="AM939" s="1">
        <f>+IFERROR(VLOOKUP(AM20,'נתוני מים 2014'!$C$2:$N$188,12,0)/1000,0)</f>
        <v>0</v>
      </c>
      <c r="AN939" s="1">
        <f>+IFERROR(VLOOKUP(AN20,'נתוני מים 2014'!$C$2:$N$188,12,0)/1000,0)</f>
        <v>0</v>
      </c>
      <c r="AO939" s="1">
        <f>+IFERROR(VLOOKUP(AO20,'נתוני מים 2014'!$C$2:$N$188,12,0)/1000,0)</f>
        <v>0</v>
      </c>
      <c r="AP939" s="1">
        <f>+IFERROR(VLOOKUP(AP20,'נתוני מים 2014'!$C$2:$N$188,12,0)/1000,0)</f>
        <v>0</v>
      </c>
      <c r="AQ939" s="1">
        <f>+IFERROR(VLOOKUP(AQ20,'נתוני מים 2014'!$C$2:$N$188,12,0)/1000,0)</f>
        <v>0</v>
      </c>
      <c r="AR939" s="1">
        <f>+IFERROR(VLOOKUP(AR20,'נתוני מים 2014'!$C$2:$N$188,12,0)/1000,0)</f>
        <v>0</v>
      </c>
      <c r="AS939" s="1">
        <f>+IFERROR(VLOOKUP(AS20,'נתוני מים 2014'!$C$2:$N$188,12,0)/1000,0)</f>
        <v>0</v>
      </c>
      <c r="AT939" s="1">
        <f>+IFERROR(VLOOKUP(AT20,'נתוני מים 2014'!$C$2:$N$188,12,0)/1000,0)</f>
        <v>0</v>
      </c>
      <c r="AU939" s="1">
        <f>+IFERROR(VLOOKUP(AU20,'נתוני מים 2014'!$C$2:$N$188,12,0)/1000,0)</f>
        <v>0</v>
      </c>
      <c r="AV939" s="1">
        <f>+IFERROR(VLOOKUP(AV20,'נתוני מים 2014'!$C$2:$N$188,12,0)/1000,0)</f>
        <v>0</v>
      </c>
      <c r="AW939" s="1">
        <f>+IFERROR(VLOOKUP(AW20,'נתוני מים 2014'!$C$2:$N$188,12,0)/1000,0)</f>
        <v>0</v>
      </c>
      <c r="AX939" s="1">
        <f>+IFERROR(VLOOKUP(AX20,'נתוני מים 2014'!$C$2:$N$188,12,0)/1000,0)</f>
        <v>0</v>
      </c>
      <c r="AY939" s="1">
        <f>+IFERROR(VLOOKUP(AY20,'נתוני מים 2014'!$C$2:$N$188,12,0)/1000,0)</f>
        <v>0</v>
      </c>
      <c r="AZ939" s="1">
        <f>+IFERROR(VLOOKUP(AZ20,'נתוני מים 2014'!$C$2:$N$188,12,0)/1000,0)</f>
        <v>0</v>
      </c>
      <c r="BA939" s="1">
        <f>+IFERROR(VLOOKUP(BA20,'נתוני מים 2014'!$C$2:$N$188,12,0)/1000,0)</f>
        <v>0</v>
      </c>
      <c r="BB939" s="1">
        <f>+IFERROR(VLOOKUP(BB20,'נתוני מים 2014'!$C$2:$N$188,12,0)/1000,0)</f>
        <v>0</v>
      </c>
      <c r="BC939" s="1">
        <f>+IFERROR(VLOOKUP(BC20,'נתוני מים 2014'!$C$2:$N$188,12,0)/1000,0)</f>
        <v>0</v>
      </c>
      <c r="BD939" s="1">
        <f>+IFERROR(VLOOKUP(BD20,'נתוני מים 2014'!$C$2:$N$188,12,0)/1000,0)</f>
        <v>0</v>
      </c>
      <c r="BE939" s="1">
        <f>+IFERROR(VLOOKUP(BE20,'נתוני מים 2014'!$C$2:$N$188,12,0)/1000,0)</f>
        <v>0</v>
      </c>
      <c r="BF939" s="1">
        <f>+IFERROR(VLOOKUP(BF20,'נתוני מים 2014'!$C$2:$N$188,12,0)/1000,0)</f>
        <v>0</v>
      </c>
    </row>
    <row r="940" spans="2:58" x14ac:dyDescent="0.2">
      <c r="B940" s="1">
        <v>14</v>
      </c>
      <c r="C940" s="1">
        <f>+IFERROR(VLOOKUP(C21,'נתוני מים 2014'!$C$2:$N$188,12,0)/1000,0)</f>
        <v>0</v>
      </c>
      <c r="D940" s="1">
        <f>+IFERROR(VLOOKUP(D21,'נתוני מים 2014'!$C$2:$N$188,12,0)/1000,0)</f>
        <v>0</v>
      </c>
      <c r="E940" s="1">
        <f>+IFERROR(VLOOKUP(E21,'נתוני מים 2014'!$C$2:$N$188,12,0)/1000,0)</f>
        <v>0</v>
      </c>
      <c r="F940" s="1">
        <f>+IFERROR(VLOOKUP(F21,'נתוני מים 2014'!$C$2:$N$188,12,0)/1000,0)</f>
        <v>0</v>
      </c>
      <c r="G940" s="1">
        <f>+IFERROR(VLOOKUP(G21,'נתוני מים 2014'!$C$2:$N$188,12,0)/1000,0)</f>
        <v>0</v>
      </c>
      <c r="H940" s="1">
        <f>+IFERROR(VLOOKUP(H21,'נתוני מים 2014'!$C$2:$N$188,12,0)/1000,0)</f>
        <v>0</v>
      </c>
      <c r="I940" s="1">
        <f>+IFERROR(VLOOKUP(I21,'נתוני מים 2014'!$C$2:$N$188,12,0)/1000,0)</f>
        <v>0</v>
      </c>
      <c r="J940" s="1">
        <f>+IFERROR(VLOOKUP(J21,'נתוני מים 2014'!$C$2:$N$188,12,0)/1000,0)</f>
        <v>0</v>
      </c>
      <c r="K940" s="1">
        <f>+IFERROR(VLOOKUP(K21,'נתוני מים 2014'!$C$2:$N$188,12,0)/1000,0)</f>
        <v>0</v>
      </c>
      <c r="L940" s="1">
        <f>+IFERROR(VLOOKUP(L21,'נתוני מים 2014'!$C$2:$N$188,12,0)/1000,0)</f>
        <v>0</v>
      </c>
      <c r="M940" s="1">
        <f>+IFERROR(VLOOKUP(M21,'נתוני מים 2014'!$C$2:$N$188,12,0)/1000,0)</f>
        <v>0</v>
      </c>
      <c r="N940" s="1">
        <f>+IFERROR(VLOOKUP(N21,'נתוני מים 2014'!$C$2:$N$188,12,0)/1000,0)</f>
        <v>0</v>
      </c>
      <c r="O940" s="1">
        <f>+IFERROR(VLOOKUP(O21,'נתוני מים 2014'!$C$2:$N$188,12,0)/1000,0)</f>
        <v>0</v>
      </c>
      <c r="P940" s="1">
        <f>+IFERROR(VLOOKUP(P21,'נתוני מים 2014'!$C$2:$N$188,12,0)/1000,0)</f>
        <v>0</v>
      </c>
      <c r="Q940" s="1">
        <f>+IFERROR(VLOOKUP(Q21,'נתוני מים 2014'!$C$2:$N$188,12,0)/1000,0)</f>
        <v>0</v>
      </c>
      <c r="R940" s="1">
        <f>+IFERROR(VLOOKUP(R21,'נתוני מים 2014'!$C$2:$N$188,12,0)/1000,0)</f>
        <v>0</v>
      </c>
      <c r="S940" s="1">
        <f>+IFERROR(VLOOKUP(S21,'נתוני מים 2014'!$C$2:$N$188,12,0)/1000,0)</f>
        <v>0</v>
      </c>
      <c r="T940" s="1">
        <f>+IFERROR(VLOOKUP(T21,'נתוני מים 2014'!$C$2:$N$188,12,0)/1000,0)</f>
        <v>0</v>
      </c>
      <c r="U940" s="1">
        <f>+IFERROR(VLOOKUP(U21,'נתוני מים 2014'!$C$2:$N$188,12,0)/1000,0)</f>
        <v>0</v>
      </c>
      <c r="V940" s="1">
        <f>+IFERROR(VLOOKUP(V21,'נתוני מים 2014'!$C$2:$N$188,12,0)/1000,0)</f>
        <v>0</v>
      </c>
      <c r="W940" s="1">
        <f>+IFERROR(VLOOKUP(W21,'נתוני מים 2014'!$C$2:$N$188,12,0)/1000,0)</f>
        <v>0</v>
      </c>
      <c r="X940" s="1">
        <f>+IFERROR(VLOOKUP(X21,'נתוני מים 2014'!$C$2:$N$188,12,0)/1000,0)</f>
        <v>0</v>
      </c>
      <c r="Y940" s="1">
        <f>+IFERROR(VLOOKUP(Y21,'נתוני מים 2014'!$C$2:$N$188,12,0)/1000,0)</f>
        <v>0</v>
      </c>
      <c r="Z940" s="1">
        <f>+IFERROR(VLOOKUP(Z21,'נתוני מים 2014'!$C$2:$N$188,12,0)/1000,0)</f>
        <v>0</v>
      </c>
      <c r="AA940" s="1">
        <f>+IFERROR(VLOOKUP(AA21,'נתוני מים 2014'!$C$2:$N$188,12,0)/1000,0)</f>
        <v>0</v>
      </c>
      <c r="AB940" s="1">
        <f>+IFERROR(VLOOKUP(AB21,'נתוני מים 2014'!$C$2:$N$188,12,0)/1000,0)</f>
        <v>0</v>
      </c>
      <c r="AC940" s="1">
        <f>+IFERROR(VLOOKUP(AC21,'נתוני מים 2014'!$C$2:$N$188,12,0)/1000,0)</f>
        <v>0</v>
      </c>
      <c r="AD940" s="1">
        <f>+IFERROR(VLOOKUP(AD21,'נתוני מים 2014'!$C$2:$N$188,12,0)/1000,0)</f>
        <v>0</v>
      </c>
      <c r="AE940" s="1">
        <f>+IFERROR(VLOOKUP(AE21,'נתוני מים 2014'!$C$2:$N$188,12,0)/1000,0)</f>
        <v>0</v>
      </c>
      <c r="AF940" s="1">
        <f>+IFERROR(VLOOKUP(AF21,'נתוני מים 2014'!$C$2:$N$188,12,0)/1000,0)</f>
        <v>0</v>
      </c>
      <c r="AG940" s="1">
        <f>+IFERROR(VLOOKUP(AG21,'נתוני מים 2014'!$C$2:$N$188,12,0)/1000,0)</f>
        <v>0</v>
      </c>
      <c r="AH940" s="1">
        <f>+IFERROR(VLOOKUP(AH21,'נתוני מים 2014'!$C$2:$N$188,12,0)/1000,0)</f>
        <v>0</v>
      </c>
      <c r="AI940" s="1">
        <f>+IFERROR(VLOOKUP(AI21,'נתוני מים 2014'!$C$2:$N$188,12,0)/1000,0)</f>
        <v>0</v>
      </c>
      <c r="AJ940" s="1">
        <f>+IFERROR(VLOOKUP(AJ21,'נתוני מים 2014'!$C$2:$N$188,12,0)/1000,0)</f>
        <v>0</v>
      </c>
      <c r="AK940" s="1">
        <f>+IFERROR(VLOOKUP(AK21,'נתוני מים 2014'!$C$2:$N$188,12,0)/1000,0)</f>
        <v>0</v>
      </c>
      <c r="AL940" s="1">
        <f>+IFERROR(VLOOKUP(AL21,'נתוני מים 2014'!$C$2:$N$188,12,0)/1000,0)</f>
        <v>0</v>
      </c>
      <c r="AM940" s="1">
        <f>+IFERROR(VLOOKUP(AM21,'נתוני מים 2014'!$C$2:$N$188,12,0)/1000,0)</f>
        <v>0</v>
      </c>
      <c r="AN940" s="1">
        <f>+IFERROR(VLOOKUP(AN21,'נתוני מים 2014'!$C$2:$N$188,12,0)/1000,0)</f>
        <v>0</v>
      </c>
      <c r="AO940" s="1">
        <f>+IFERROR(VLOOKUP(AO21,'נתוני מים 2014'!$C$2:$N$188,12,0)/1000,0)</f>
        <v>0</v>
      </c>
      <c r="AP940" s="1">
        <f>+IFERROR(VLOOKUP(AP21,'נתוני מים 2014'!$C$2:$N$188,12,0)/1000,0)</f>
        <v>0</v>
      </c>
      <c r="AQ940" s="1">
        <f>+IFERROR(VLOOKUP(AQ21,'נתוני מים 2014'!$C$2:$N$188,12,0)/1000,0)</f>
        <v>0</v>
      </c>
      <c r="AR940" s="1">
        <f>+IFERROR(VLOOKUP(AR21,'נתוני מים 2014'!$C$2:$N$188,12,0)/1000,0)</f>
        <v>0</v>
      </c>
      <c r="AS940" s="1">
        <f>+IFERROR(VLOOKUP(AS21,'נתוני מים 2014'!$C$2:$N$188,12,0)/1000,0)</f>
        <v>0</v>
      </c>
      <c r="AT940" s="1">
        <f>+IFERROR(VLOOKUP(AT21,'נתוני מים 2014'!$C$2:$N$188,12,0)/1000,0)</f>
        <v>0</v>
      </c>
      <c r="AU940" s="1">
        <f>+IFERROR(VLOOKUP(AU21,'נתוני מים 2014'!$C$2:$N$188,12,0)/1000,0)</f>
        <v>0</v>
      </c>
      <c r="AV940" s="1">
        <f>+IFERROR(VLOOKUP(AV21,'נתוני מים 2014'!$C$2:$N$188,12,0)/1000,0)</f>
        <v>0</v>
      </c>
      <c r="AW940" s="1">
        <f>+IFERROR(VLOOKUP(AW21,'נתוני מים 2014'!$C$2:$N$188,12,0)/1000,0)</f>
        <v>0</v>
      </c>
      <c r="AX940" s="1">
        <f>+IFERROR(VLOOKUP(AX21,'נתוני מים 2014'!$C$2:$N$188,12,0)/1000,0)</f>
        <v>0</v>
      </c>
      <c r="AY940" s="1">
        <f>+IFERROR(VLOOKUP(AY21,'נתוני מים 2014'!$C$2:$N$188,12,0)/1000,0)</f>
        <v>0</v>
      </c>
      <c r="AZ940" s="1">
        <f>+IFERROR(VLOOKUP(AZ21,'נתוני מים 2014'!$C$2:$N$188,12,0)/1000,0)</f>
        <v>0</v>
      </c>
      <c r="BA940" s="1">
        <f>+IFERROR(VLOOKUP(BA21,'נתוני מים 2014'!$C$2:$N$188,12,0)/1000,0)</f>
        <v>0</v>
      </c>
      <c r="BB940" s="1">
        <f>+IFERROR(VLOOKUP(BB21,'נתוני מים 2014'!$C$2:$N$188,12,0)/1000,0)</f>
        <v>0</v>
      </c>
      <c r="BC940" s="1">
        <f>+IFERROR(VLOOKUP(BC21,'נתוני מים 2014'!$C$2:$N$188,12,0)/1000,0)</f>
        <v>0</v>
      </c>
      <c r="BD940" s="1">
        <f>+IFERROR(VLOOKUP(BD21,'נתוני מים 2014'!$C$2:$N$188,12,0)/1000,0)</f>
        <v>0</v>
      </c>
      <c r="BE940" s="1">
        <f>+IFERROR(VLOOKUP(BE21,'נתוני מים 2014'!$C$2:$N$188,12,0)/1000,0)</f>
        <v>0</v>
      </c>
      <c r="BF940" s="1">
        <f>+IFERROR(VLOOKUP(BF21,'נתוני מים 2014'!$C$2:$N$188,12,0)/1000,0)</f>
        <v>0</v>
      </c>
    </row>
    <row r="941" spans="2:58" x14ac:dyDescent="0.2">
      <c r="B941" s="1">
        <v>15</v>
      </c>
      <c r="C941" s="1">
        <f>+IFERROR(VLOOKUP(C22,'נתוני מים 2014'!$C$2:$N$188,12,0)/1000,0)</f>
        <v>0</v>
      </c>
      <c r="D941" s="1">
        <f>+IFERROR(VLOOKUP(D22,'נתוני מים 2014'!$C$2:$N$188,12,0)/1000,0)</f>
        <v>0</v>
      </c>
      <c r="E941" s="1">
        <f>+IFERROR(VLOOKUP(E22,'נתוני מים 2014'!$C$2:$N$188,12,0)/1000,0)</f>
        <v>0</v>
      </c>
      <c r="F941" s="1">
        <f>+IFERROR(VLOOKUP(F22,'נתוני מים 2014'!$C$2:$N$188,12,0)/1000,0)</f>
        <v>0</v>
      </c>
      <c r="G941" s="1">
        <f>+IFERROR(VLOOKUP(G22,'נתוני מים 2014'!$C$2:$N$188,12,0)/1000,0)</f>
        <v>0</v>
      </c>
      <c r="H941" s="1">
        <f>+IFERROR(VLOOKUP(H22,'נתוני מים 2014'!$C$2:$N$188,12,0)/1000,0)</f>
        <v>0</v>
      </c>
      <c r="I941" s="1">
        <f>+IFERROR(VLOOKUP(I22,'נתוני מים 2014'!$C$2:$N$188,12,0)/1000,0)</f>
        <v>0</v>
      </c>
      <c r="J941" s="1">
        <f>+IFERROR(VLOOKUP(J22,'נתוני מים 2014'!$C$2:$N$188,12,0)/1000,0)</f>
        <v>0</v>
      </c>
      <c r="K941" s="1">
        <f>+IFERROR(VLOOKUP(K22,'נתוני מים 2014'!$C$2:$N$188,12,0)/1000,0)</f>
        <v>0</v>
      </c>
      <c r="L941" s="1">
        <f>+IFERROR(VLOOKUP(L22,'נתוני מים 2014'!$C$2:$N$188,12,0)/1000,0)</f>
        <v>0</v>
      </c>
      <c r="M941" s="1">
        <f>+IFERROR(VLOOKUP(M22,'נתוני מים 2014'!$C$2:$N$188,12,0)/1000,0)</f>
        <v>0</v>
      </c>
      <c r="N941" s="1">
        <f>+IFERROR(VLOOKUP(N22,'נתוני מים 2014'!$C$2:$N$188,12,0)/1000,0)</f>
        <v>0</v>
      </c>
      <c r="O941" s="1">
        <f>+IFERROR(VLOOKUP(O22,'נתוני מים 2014'!$C$2:$N$188,12,0)/1000,0)</f>
        <v>0</v>
      </c>
      <c r="P941" s="1">
        <f>+IFERROR(VLOOKUP(P22,'נתוני מים 2014'!$C$2:$N$188,12,0)/1000,0)</f>
        <v>0</v>
      </c>
      <c r="Q941" s="1">
        <f>+IFERROR(VLOOKUP(Q22,'נתוני מים 2014'!$C$2:$N$188,12,0)/1000,0)</f>
        <v>0</v>
      </c>
      <c r="R941" s="1">
        <f>+IFERROR(VLOOKUP(R22,'נתוני מים 2014'!$C$2:$N$188,12,0)/1000,0)</f>
        <v>0</v>
      </c>
      <c r="S941" s="1">
        <f>+IFERROR(VLOOKUP(S22,'נתוני מים 2014'!$C$2:$N$188,12,0)/1000,0)</f>
        <v>0</v>
      </c>
      <c r="T941" s="1">
        <f>+IFERROR(VLOOKUP(T22,'נתוני מים 2014'!$C$2:$N$188,12,0)/1000,0)</f>
        <v>0</v>
      </c>
      <c r="U941" s="1">
        <f>+IFERROR(VLOOKUP(U22,'נתוני מים 2014'!$C$2:$N$188,12,0)/1000,0)</f>
        <v>0</v>
      </c>
      <c r="V941" s="1">
        <f>+IFERROR(VLOOKUP(V22,'נתוני מים 2014'!$C$2:$N$188,12,0)/1000,0)</f>
        <v>0</v>
      </c>
      <c r="W941" s="1">
        <f>+IFERROR(VLOOKUP(W22,'נתוני מים 2014'!$C$2:$N$188,12,0)/1000,0)</f>
        <v>0</v>
      </c>
      <c r="X941" s="1">
        <f>+IFERROR(VLOOKUP(X22,'נתוני מים 2014'!$C$2:$N$188,12,0)/1000,0)</f>
        <v>0</v>
      </c>
      <c r="Y941" s="1">
        <f>+IFERROR(VLOOKUP(Y22,'נתוני מים 2014'!$C$2:$N$188,12,0)/1000,0)</f>
        <v>0</v>
      </c>
      <c r="Z941" s="1">
        <f>+IFERROR(VLOOKUP(Z22,'נתוני מים 2014'!$C$2:$N$188,12,0)/1000,0)</f>
        <v>0</v>
      </c>
      <c r="AA941" s="1">
        <f>+IFERROR(VLOOKUP(AA22,'נתוני מים 2014'!$C$2:$N$188,12,0)/1000,0)</f>
        <v>0</v>
      </c>
      <c r="AB941" s="1">
        <f>+IFERROR(VLOOKUP(AB22,'נתוני מים 2014'!$C$2:$N$188,12,0)/1000,0)</f>
        <v>0</v>
      </c>
      <c r="AC941" s="1">
        <f>+IFERROR(VLOOKUP(AC22,'נתוני מים 2014'!$C$2:$N$188,12,0)/1000,0)</f>
        <v>0</v>
      </c>
      <c r="AD941" s="1">
        <f>+IFERROR(VLOOKUP(AD22,'נתוני מים 2014'!$C$2:$N$188,12,0)/1000,0)</f>
        <v>0</v>
      </c>
      <c r="AE941" s="1">
        <f>+IFERROR(VLOOKUP(AE22,'נתוני מים 2014'!$C$2:$N$188,12,0)/1000,0)</f>
        <v>0</v>
      </c>
      <c r="AF941" s="1">
        <f>+IFERROR(VLOOKUP(AF22,'נתוני מים 2014'!$C$2:$N$188,12,0)/1000,0)</f>
        <v>0</v>
      </c>
      <c r="AG941" s="1">
        <f>+IFERROR(VLOOKUP(AG22,'נתוני מים 2014'!$C$2:$N$188,12,0)/1000,0)</f>
        <v>0</v>
      </c>
      <c r="AH941" s="1">
        <f>+IFERROR(VLOOKUP(AH22,'נתוני מים 2014'!$C$2:$N$188,12,0)/1000,0)</f>
        <v>0</v>
      </c>
      <c r="AI941" s="1">
        <f>+IFERROR(VLOOKUP(AI22,'נתוני מים 2014'!$C$2:$N$188,12,0)/1000,0)</f>
        <v>0</v>
      </c>
      <c r="AJ941" s="1">
        <f>+IFERROR(VLOOKUP(AJ22,'נתוני מים 2014'!$C$2:$N$188,12,0)/1000,0)</f>
        <v>0</v>
      </c>
      <c r="AK941" s="1">
        <f>+IFERROR(VLOOKUP(AK22,'נתוני מים 2014'!$C$2:$N$188,12,0)/1000,0)</f>
        <v>0</v>
      </c>
      <c r="AL941" s="1">
        <f>+IFERROR(VLOOKUP(AL22,'נתוני מים 2014'!$C$2:$N$188,12,0)/1000,0)</f>
        <v>0</v>
      </c>
      <c r="AM941" s="1">
        <f>+IFERROR(VLOOKUP(AM22,'נתוני מים 2014'!$C$2:$N$188,12,0)/1000,0)</f>
        <v>0</v>
      </c>
      <c r="AN941" s="1">
        <f>+IFERROR(VLOOKUP(AN22,'נתוני מים 2014'!$C$2:$N$188,12,0)/1000,0)</f>
        <v>0</v>
      </c>
      <c r="AO941" s="1">
        <f>+IFERROR(VLOOKUP(AO22,'נתוני מים 2014'!$C$2:$N$188,12,0)/1000,0)</f>
        <v>0</v>
      </c>
      <c r="AP941" s="1">
        <f>+IFERROR(VLOOKUP(AP22,'נתוני מים 2014'!$C$2:$N$188,12,0)/1000,0)</f>
        <v>0</v>
      </c>
      <c r="AQ941" s="1">
        <f>+IFERROR(VLOOKUP(AQ22,'נתוני מים 2014'!$C$2:$N$188,12,0)/1000,0)</f>
        <v>0</v>
      </c>
      <c r="AR941" s="1">
        <f>+IFERROR(VLOOKUP(AR22,'נתוני מים 2014'!$C$2:$N$188,12,0)/1000,0)</f>
        <v>0</v>
      </c>
      <c r="AS941" s="1">
        <f>+IFERROR(VLOOKUP(AS22,'נתוני מים 2014'!$C$2:$N$188,12,0)/1000,0)</f>
        <v>0</v>
      </c>
      <c r="AT941" s="1">
        <f>+IFERROR(VLOOKUP(AT22,'נתוני מים 2014'!$C$2:$N$188,12,0)/1000,0)</f>
        <v>0</v>
      </c>
      <c r="AU941" s="1">
        <f>+IFERROR(VLOOKUP(AU22,'נתוני מים 2014'!$C$2:$N$188,12,0)/1000,0)</f>
        <v>0</v>
      </c>
      <c r="AV941" s="1">
        <f>+IFERROR(VLOOKUP(AV22,'נתוני מים 2014'!$C$2:$N$188,12,0)/1000,0)</f>
        <v>0</v>
      </c>
      <c r="AW941" s="1">
        <f>+IFERROR(VLOOKUP(AW22,'נתוני מים 2014'!$C$2:$N$188,12,0)/1000,0)</f>
        <v>0</v>
      </c>
      <c r="AX941" s="1">
        <f>+IFERROR(VLOOKUP(AX22,'נתוני מים 2014'!$C$2:$N$188,12,0)/1000,0)</f>
        <v>0</v>
      </c>
      <c r="AY941" s="1">
        <f>+IFERROR(VLOOKUP(AY22,'נתוני מים 2014'!$C$2:$N$188,12,0)/1000,0)</f>
        <v>0</v>
      </c>
      <c r="AZ941" s="1">
        <f>+IFERROR(VLOOKUP(AZ22,'נתוני מים 2014'!$C$2:$N$188,12,0)/1000,0)</f>
        <v>0</v>
      </c>
      <c r="BA941" s="1">
        <f>+IFERROR(VLOOKUP(BA22,'נתוני מים 2014'!$C$2:$N$188,12,0)/1000,0)</f>
        <v>0</v>
      </c>
      <c r="BB941" s="1">
        <f>+IFERROR(VLOOKUP(BB22,'נתוני מים 2014'!$C$2:$N$188,12,0)/1000,0)</f>
        <v>0</v>
      </c>
      <c r="BC941" s="1">
        <f>+IFERROR(VLOOKUP(BC22,'נתוני מים 2014'!$C$2:$N$188,12,0)/1000,0)</f>
        <v>0</v>
      </c>
      <c r="BD941" s="1">
        <f>+IFERROR(VLOOKUP(BD22,'נתוני מים 2014'!$C$2:$N$188,12,0)/1000,0)</f>
        <v>0</v>
      </c>
      <c r="BE941" s="1">
        <f>+IFERROR(VLOOKUP(BE22,'נתוני מים 2014'!$C$2:$N$188,12,0)/1000,0)</f>
        <v>0</v>
      </c>
      <c r="BF941" s="1">
        <f>+IFERROR(VLOOKUP(BF22,'נתוני מים 2014'!$C$2:$N$188,12,0)/1000,0)</f>
        <v>0</v>
      </c>
    </row>
    <row r="942" spans="2:58" x14ac:dyDescent="0.2">
      <c r="B942" s="1">
        <v>16</v>
      </c>
      <c r="C942" s="1">
        <f>+IFERROR(VLOOKUP(C23,'נתוני מים 2014'!$C$2:$N$188,12,0)/1000,0)</f>
        <v>0</v>
      </c>
      <c r="D942" s="1">
        <f>+IFERROR(VLOOKUP(D23,'נתוני מים 2014'!$C$2:$N$188,12,0)/1000,0)</f>
        <v>0</v>
      </c>
      <c r="E942" s="1">
        <f>+IFERROR(VLOOKUP(E23,'נתוני מים 2014'!$C$2:$N$188,12,0)/1000,0)</f>
        <v>0</v>
      </c>
      <c r="F942" s="1">
        <f>+IFERROR(VLOOKUP(F23,'נתוני מים 2014'!$C$2:$N$188,12,0)/1000,0)</f>
        <v>0</v>
      </c>
      <c r="G942" s="1">
        <f>+IFERROR(VLOOKUP(G23,'נתוני מים 2014'!$C$2:$N$188,12,0)/1000,0)</f>
        <v>0</v>
      </c>
      <c r="H942" s="1">
        <f>+IFERROR(VLOOKUP(H23,'נתוני מים 2014'!$C$2:$N$188,12,0)/1000,0)</f>
        <v>0</v>
      </c>
      <c r="I942" s="1">
        <f>+IFERROR(VLOOKUP(I23,'נתוני מים 2014'!$C$2:$N$188,12,0)/1000,0)</f>
        <v>0</v>
      </c>
      <c r="J942" s="1">
        <f>+IFERROR(VLOOKUP(J23,'נתוני מים 2014'!$C$2:$N$188,12,0)/1000,0)</f>
        <v>0</v>
      </c>
      <c r="K942" s="1">
        <f>+IFERROR(VLOOKUP(K23,'נתוני מים 2014'!$C$2:$N$188,12,0)/1000,0)</f>
        <v>0</v>
      </c>
      <c r="L942" s="1">
        <f>+IFERROR(VLOOKUP(L23,'נתוני מים 2014'!$C$2:$N$188,12,0)/1000,0)</f>
        <v>0</v>
      </c>
      <c r="M942" s="1">
        <f>+IFERROR(VLOOKUP(M23,'נתוני מים 2014'!$C$2:$N$188,12,0)/1000,0)</f>
        <v>0</v>
      </c>
      <c r="N942" s="1">
        <f>+IFERROR(VLOOKUP(N23,'נתוני מים 2014'!$C$2:$N$188,12,0)/1000,0)</f>
        <v>0</v>
      </c>
      <c r="O942" s="1">
        <f>+IFERROR(VLOOKUP(O23,'נתוני מים 2014'!$C$2:$N$188,12,0)/1000,0)</f>
        <v>0</v>
      </c>
      <c r="P942" s="1">
        <f>+IFERROR(VLOOKUP(P23,'נתוני מים 2014'!$C$2:$N$188,12,0)/1000,0)</f>
        <v>0</v>
      </c>
      <c r="Q942" s="1">
        <f>+IFERROR(VLOOKUP(Q23,'נתוני מים 2014'!$C$2:$N$188,12,0)/1000,0)</f>
        <v>0</v>
      </c>
      <c r="R942" s="1">
        <f>+IFERROR(VLOOKUP(R23,'נתוני מים 2014'!$C$2:$N$188,12,0)/1000,0)</f>
        <v>0</v>
      </c>
      <c r="S942" s="1">
        <f>+IFERROR(VLOOKUP(S23,'נתוני מים 2014'!$C$2:$N$188,12,0)/1000,0)</f>
        <v>0</v>
      </c>
      <c r="T942" s="1">
        <f>+IFERROR(VLOOKUP(T23,'נתוני מים 2014'!$C$2:$N$188,12,0)/1000,0)</f>
        <v>0</v>
      </c>
      <c r="U942" s="1">
        <f>+IFERROR(VLOOKUP(U23,'נתוני מים 2014'!$C$2:$N$188,12,0)/1000,0)</f>
        <v>0</v>
      </c>
      <c r="V942" s="1">
        <f>+IFERROR(VLOOKUP(V23,'נתוני מים 2014'!$C$2:$N$188,12,0)/1000,0)</f>
        <v>0</v>
      </c>
      <c r="W942" s="1">
        <f>+IFERROR(VLOOKUP(W23,'נתוני מים 2014'!$C$2:$N$188,12,0)/1000,0)</f>
        <v>0</v>
      </c>
      <c r="X942" s="1">
        <f>+IFERROR(VLOOKUP(X23,'נתוני מים 2014'!$C$2:$N$188,12,0)/1000,0)</f>
        <v>0</v>
      </c>
      <c r="Y942" s="1">
        <f>+IFERROR(VLOOKUP(Y23,'נתוני מים 2014'!$C$2:$N$188,12,0)/1000,0)</f>
        <v>0</v>
      </c>
      <c r="Z942" s="1">
        <f>+IFERROR(VLOOKUP(Z23,'נתוני מים 2014'!$C$2:$N$188,12,0)/1000,0)</f>
        <v>0</v>
      </c>
      <c r="AA942" s="1">
        <f>+IFERROR(VLOOKUP(AA23,'נתוני מים 2014'!$C$2:$N$188,12,0)/1000,0)</f>
        <v>0</v>
      </c>
      <c r="AB942" s="1">
        <f>+IFERROR(VLOOKUP(AB23,'נתוני מים 2014'!$C$2:$N$188,12,0)/1000,0)</f>
        <v>0</v>
      </c>
      <c r="AC942" s="1">
        <f>+IFERROR(VLOOKUP(AC23,'נתוני מים 2014'!$C$2:$N$188,12,0)/1000,0)</f>
        <v>0</v>
      </c>
      <c r="AD942" s="1">
        <f>+IFERROR(VLOOKUP(AD23,'נתוני מים 2014'!$C$2:$N$188,12,0)/1000,0)</f>
        <v>0</v>
      </c>
      <c r="AE942" s="1">
        <f>+IFERROR(VLOOKUP(AE23,'נתוני מים 2014'!$C$2:$N$188,12,0)/1000,0)</f>
        <v>0</v>
      </c>
      <c r="AF942" s="1">
        <f>+IFERROR(VLOOKUP(AF23,'נתוני מים 2014'!$C$2:$N$188,12,0)/1000,0)</f>
        <v>0</v>
      </c>
      <c r="AG942" s="1">
        <f>+IFERROR(VLOOKUP(AG23,'נתוני מים 2014'!$C$2:$N$188,12,0)/1000,0)</f>
        <v>0</v>
      </c>
      <c r="AH942" s="1">
        <f>+IFERROR(VLOOKUP(AH23,'נתוני מים 2014'!$C$2:$N$188,12,0)/1000,0)</f>
        <v>0</v>
      </c>
      <c r="AI942" s="1">
        <f>+IFERROR(VLOOKUP(AI23,'נתוני מים 2014'!$C$2:$N$188,12,0)/1000,0)</f>
        <v>0</v>
      </c>
      <c r="AJ942" s="1">
        <f>+IFERROR(VLOOKUP(AJ23,'נתוני מים 2014'!$C$2:$N$188,12,0)/1000,0)</f>
        <v>0</v>
      </c>
      <c r="AK942" s="1">
        <f>+IFERROR(VLOOKUP(AK23,'נתוני מים 2014'!$C$2:$N$188,12,0)/1000,0)</f>
        <v>0</v>
      </c>
      <c r="AL942" s="1">
        <f>+IFERROR(VLOOKUP(AL23,'נתוני מים 2014'!$C$2:$N$188,12,0)/1000,0)</f>
        <v>0</v>
      </c>
      <c r="AM942" s="1">
        <f>+IFERROR(VLOOKUP(AM23,'נתוני מים 2014'!$C$2:$N$188,12,0)/1000,0)</f>
        <v>0</v>
      </c>
      <c r="AN942" s="1">
        <f>+IFERROR(VLOOKUP(AN23,'נתוני מים 2014'!$C$2:$N$188,12,0)/1000,0)</f>
        <v>0</v>
      </c>
      <c r="AO942" s="1">
        <f>+IFERROR(VLOOKUP(AO23,'נתוני מים 2014'!$C$2:$N$188,12,0)/1000,0)</f>
        <v>0</v>
      </c>
      <c r="AP942" s="1">
        <f>+IFERROR(VLOOKUP(AP23,'נתוני מים 2014'!$C$2:$N$188,12,0)/1000,0)</f>
        <v>0</v>
      </c>
      <c r="AQ942" s="1">
        <f>+IFERROR(VLOOKUP(AQ23,'נתוני מים 2014'!$C$2:$N$188,12,0)/1000,0)</f>
        <v>0</v>
      </c>
      <c r="AR942" s="1">
        <f>+IFERROR(VLOOKUP(AR23,'נתוני מים 2014'!$C$2:$N$188,12,0)/1000,0)</f>
        <v>0</v>
      </c>
      <c r="AS942" s="1">
        <f>+IFERROR(VLOOKUP(AS23,'נתוני מים 2014'!$C$2:$N$188,12,0)/1000,0)</f>
        <v>0</v>
      </c>
      <c r="AT942" s="1">
        <f>+IFERROR(VLOOKUP(AT23,'נתוני מים 2014'!$C$2:$N$188,12,0)/1000,0)</f>
        <v>0</v>
      </c>
      <c r="AU942" s="1">
        <f>+IFERROR(VLOOKUP(AU23,'נתוני מים 2014'!$C$2:$N$188,12,0)/1000,0)</f>
        <v>0</v>
      </c>
      <c r="AV942" s="1">
        <f>+IFERROR(VLOOKUP(AV23,'נתוני מים 2014'!$C$2:$N$188,12,0)/1000,0)</f>
        <v>0</v>
      </c>
      <c r="AW942" s="1">
        <f>+IFERROR(VLOOKUP(AW23,'נתוני מים 2014'!$C$2:$N$188,12,0)/1000,0)</f>
        <v>0</v>
      </c>
      <c r="AX942" s="1">
        <f>+IFERROR(VLOOKUP(AX23,'נתוני מים 2014'!$C$2:$N$188,12,0)/1000,0)</f>
        <v>0</v>
      </c>
      <c r="AY942" s="1">
        <f>+IFERROR(VLOOKUP(AY23,'נתוני מים 2014'!$C$2:$N$188,12,0)/1000,0)</f>
        <v>0</v>
      </c>
      <c r="AZ942" s="1">
        <f>+IFERROR(VLOOKUP(AZ23,'נתוני מים 2014'!$C$2:$N$188,12,0)/1000,0)</f>
        <v>0</v>
      </c>
      <c r="BA942" s="1">
        <f>+IFERROR(VLOOKUP(BA23,'נתוני מים 2014'!$C$2:$N$188,12,0)/1000,0)</f>
        <v>0</v>
      </c>
      <c r="BB942" s="1">
        <f>+IFERROR(VLOOKUP(BB23,'נתוני מים 2014'!$C$2:$N$188,12,0)/1000,0)</f>
        <v>0</v>
      </c>
      <c r="BC942" s="1">
        <f>+IFERROR(VLOOKUP(BC23,'נתוני מים 2014'!$C$2:$N$188,12,0)/1000,0)</f>
        <v>0</v>
      </c>
      <c r="BD942" s="1">
        <f>+IFERROR(VLOOKUP(BD23,'נתוני מים 2014'!$C$2:$N$188,12,0)/1000,0)</f>
        <v>0</v>
      </c>
      <c r="BE942" s="1">
        <f>+IFERROR(VLOOKUP(BE23,'נתוני מים 2014'!$C$2:$N$188,12,0)/1000,0)</f>
        <v>0</v>
      </c>
      <c r="BF942" s="1">
        <f>+IFERROR(VLOOKUP(BF23,'נתוני מים 2014'!$C$2:$N$188,12,0)/1000,0)</f>
        <v>0</v>
      </c>
    </row>
    <row r="943" spans="2:58" x14ac:dyDescent="0.2">
      <c r="B943" s="1">
        <v>17</v>
      </c>
      <c r="C943" s="1">
        <f>+IFERROR(VLOOKUP(C24,'נתוני מים 2014'!$C$2:$N$188,12,0)/1000,0)</f>
        <v>0</v>
      </c>
      <c r="D943" s="1">
        <f>+IFERROR(VLOOKUP(D24,'נתוני מים 2014'!$C$2:$N$188,12,0)/1000,0)</f>
        <v>0</v>
      </c>
      <c r="E943" s="1">
        <f>+IFERROR(VLOOKUP(E24,'נתוני מים 2014'!$C$2:$N$188,12,0)/1000,0)</f>
        <v>0</v>
      </c>
      <c r="F943" s="1">
        <f>+IFERROR(VLOOKUP(F24,'נתוני מים 2014'!$C$2:$N$188,12,0)/1000,0)</f>
        <v>0</v>
      </c>
      <c r="G943" s="1">
        <f>+IFERROR(VLOOKUP(G24,'נתוני מים 2014'!$C$2:$N$188,12,0)/1000,0)</f>
        <v>0</v>
      </c>
      <c r="H943" s="1">
        <f>+IFERROR(VLOOKUP(H24,'נתוני מים 2014'!$C$2:$N$188,12,0)/1000,0)</f>
        <v>0</v>
      </c>
      <c r="I943" s="1">
        <f>+IFERROR(VLOOKUP(I24,'נתוני מים 2014'!$C$2:$N$188,12,0)/1000,0)</f>
        <v>0</v>
      </c>
      <c r="J943" s="1">
        <f>+IFERROR(VLOOKUP(J24,'נתוני מים 2014'!$C$2:$N$188,12,0)/1000,0)</f>
        <v>0</v>
      </c>
      <c r="K943" s="1">
        <f>+IFERROR(VLOOKUP(K24,'נתוני מים 2014'!$C$2:$N$188,12,0)/1000,0)</f>
        <v>0</v>
      </c>
      <c r="L943" s="1">
        <f>+IFERROR(VLOOKUP(L24,'נתוני מים 2014'!$C$2:$N$188,12,0)/1000,0)</f>
        <v>0</v>
      </c>
      <c r="M943" s="1">
        <f>+IFERROR(VLOOKUP(M24,'נתוני מים 2014'!$C$2:$N$188,12,0)/1000,0)</f>
        <v>0</v>
      </c>
      <c r="N943" s="1">
        <f>+IFERROR(VLOOKUP(N24,'נתוני מים 2014'!$C$2:$N$188,12,0)/1000,0)</f>
        <v>0</v>
      </c>
      <c r="O943" s="1">
        <f>+IFERROR(VLOOKUP(O24,'נתוני מים 2014'!$C$2:$N$188,12,0)/1000,0)</f>
        <v>0</v>
      </c>
      <c r="P943" s="1">
        <f>+IFERROR(VLOOKUP(P24,'נתוני מים 2014'!$C$2:$N$188,12,0)/1000,0)</f>
        <v>0</v>
      </c>
      <c r="Q943" s="1">
        <f>+IFERROR(VLOOKUP(Q24,'נתוני מים 2014'!$C$2:$N$188,12,0)/1000,0)</f>
        <v>0</v>
      </c>
      <c r="R943" s="1">
        <f>+IFERROR(VLOOKUP(R24,'נתוני מים 2014'!$C$2:$N$188,12,0)/1000,0)</f>
        <v>0</v>
      </c>
      <c r="S943" s="1">
        <f>+IFERROR(VLOOKUP(S24,'נתוני מים 2014'!$C$2:$N$188,12,0)/1000,0)</f>
        <v>0</v>
      </c>
      <c r="T943" s="1">
        <f>+IFERROR(VLOOKUP(T24,'נתוני מים 2014'!$C$2:$N$188,12,0)/1000,0)</f>
        <v>0</v>
      </c>
      <c r="U943" s="1">
        <f>+IFERROR(VLOOKUP(U24,'נתוני מים 2014'!$C$2:$N$188,12,0)/1000,0)</f>
        <v>0</v>
      </c>
      <c r="V943" s="1">
        <f>+IFERROR(VLOOKUP(V24,'נתוני מים 2014'!$C$2:$N$188,12,0)/1000,0)</f>
        <v>0</v>
      </c>
      <c r="W943" s="1">
        <f>+IFERROR(VLOOKUP(W24,'נתוני מים 2014'!$C$2:$N$188,12,0)/1000,0)</f>
        <v>0</v>
      </c>
      <c r="X943" s="1">
        <f>+IFERROR(VLOOKUP(X24,'נתוני מים 2014'!$C$2:$N$188,12,0)/1000,0)</f>
        <v>0</v>
      </c>
      <c r="Y943" s="1">
        <f>+IFERROR(VLOOKUP(Y24,'נתוני מים 2014'!$C$2:$N$188,12,0)/1000,0)</f>
        <v>0</v>
      </c>
      <c r="Z943" s="1">
        <f>+IFERROR(VLOOKUP(Z24,'נתוני מים 2014'!$C$2:$N$188,12,0)/1000,0)</f>
        <v>0</v>
      </c>
      <c r="AA943" s="1">
        <f>+IFERROR(VLOOKUP(AA24,'נתוני מים 2014'!$C$2:$N$188,12,0)/1000,0)</f>
        <v>0</v>
      </c>
      <c r="AB943" s="1">
        <f>+IFERROR(VLOOKUP(AB24,'נתוני מים 2014'!$C$2:$N$188,12,0)/1000,0)</f>
        <v>0</v>
      </c>
      <c r="AC943" s="1">
        <f>+IFERROR(VLOOKUP(AC24,'נתוני מים 2014'!$C$2:$N$188,12,0)/1000,0)</f>
        <v>0</v>
      </c>
      <c r="AD943" s="1">
        <f>+IFERROR(VLOOKUP(AD24,'נתוני מים 2014'!$C$2:$N$188,12,0)/1000,0)</f>
        <v>0</v>
      </c>
      <c r="AE943" s="1">
        <f>+IFERROR(VLOOKUP(AE24,'נתוני מים 2014'!$C$2:$N$188,12,0)/1000,0)</f>
        <v>0</v>
      </c>
      <c r="AF943" s="1">
        <f>+IFERROR(VLOOKUP(AF24,'נתוני מים 2014'!$C$2:$N$188,12,0)/1000,0)</f>
        <v>0</v>
      </c>
      <c r="AG943" s="1">
        <f>+IFERROR(VLOOKUP(AG24,'נתוני מים 2014'!$C$2:$N$188,12,0)/1000,0)</f>
        <v>0</v>
      </c>
      <c r="AH943" s="1">
        <f>+IFERROR(VLOOKUP(AH24,'נתוני מים 2014'!$C$2:$N$188,12,0)/1000,0)</f>
        <v>0</v>
      </c>
      <c r="AI943" s="1">
        <f>+IFERROR(VLOOKUP(AI24,'נתוני מים 2014'!$C$2:$N$188,12,0)/1000,0)</f>
        <v>0</v>
      </c>
      <c r="AJ943" s="1">
        <f>+IFERROR(VLOOKUP(AJ24,'נתוני מים 2014'!$C$2:$N$188,12,0)/1000,0)</f>
        <v>0</v>
      </c>
      <c r="AK943" s="1">
        <f>+IFERROR(VLOOKUP(AK24,'נתוני מים 2014'!$C$2:$N$188,12,0)/1000,0)</f>
        <v>0</v>
      </c>
      <c r="AL943" s="1">
        <f>+IFERROR(VLOOKUP(AL24,'נתוני מים 2014'!$C$2:$N$188,12,0)/1000,0)</f>
        <v>0</v>
      </c>
      <c r="AM943" s="1">
        <f>+IFERROR(VLOOKUP(AM24,'נתוני מים 2014'!$C$2:$N$188,12,0)/1000,0)</f>
        <v>0</v>
      </c>
      <c r="AN943" s="1">
        <f>+IFERROR(VLOOKUP(AN24,'נתוני מים 2014'!$C$2:$N$188,12,0)/1000,0)</f>
        <v>0</v>
      </c>
      <c r="AO943" s="1">
        <f>+IFERROR(VLOOKUP(AO24,'נתוני מים 2014'!$C$2:$N$188,12,0)/1000,0)</f>
        <v>0</v>
      </c>
      <c r="AP943" s="1">
        <f>+IFERROR(VLOOKUP(AP24,'נתוני מים 2014'!$C$2:$N$188,12,0)/1000,0)</f>
        <v>0</v>
      </c>
      <c r="AQ943" s="1">
        <f>+IFERROR(VLOOKUP(AQ24,'נתוני מים 2014'!$C$2:$N$188,12,0)/1000,0)</f>
        <v>0</v>
      </c>
      <c r="AR943" s="1">
        <f>+IFERROR(VLOOKUP(AR24,'נתוני מים 2014'!$C$2:$N$188,12,0)/1000,0)</f>
        <v>0</v>
      </c>
      <c r="AS943" s="1">
        <f>+IFERROR(VLOOKUP(AS24,'נתוני מים 2014'!$C$2:$N$188,12,0)/1000,0)</f>
        <v>0</v>
      </c>
      <c r="AT943" s="1">
        <f>+IFERROR(VLOOKUP(AT24,'נתוני מים 2014'!$C$2:$N$188,12,0)/1000,0)</f>
        <v>0</v>
      </c>
      <c r="AU943" s="1">
        <f>+IFERROR(VLOOKUP(AU24,'נתוני מים 2014'!$C$2:$N$188,12,0)/1000,0)</f>
        <v>0</v>
      </c>
      <c r="AV943" s="1">
        <f>+IFERROR(VLOOKUP(AV24,'נתוני מים 2014'!$C$2:$N$188,12,0)/1000,0)</f>
        <v>0</v>
      </c>
      <c r="AW943" s="1">
        <f>+IFERROR(VLOOKUP(AW24,'נתוני מים 2014'!$C$2:$N$188,12,0)/1000,0)</f>
        <v>0</v>
      </c>
      <c r="AX943" s="1">
        <f>+IFERROR(VLOOKUP(AX24,'נתוני מים 2014'!$C$2:$N$188,12,0)/1000,0)</f>
        <v>0</v>
      </c>
      <c r="AY943" s="1">
        <f>+IFERROR(VLOOKUP(AY24,'נתוני מים 2014'!$C$2:$N$188,12,0)/1000,0)</f>
        <v>0</v>
      </c>
      <c r="AZ943" s="1">
        <f>+IFERROR(VLOOKUP(AZ24,'נתוני מים 2014'!$C$2:$N$188,12,0)/1000,0)</f>
        <v>0</v>
      </c>
      <c r="BA943" s="1">
        <f>+IFERROR(VLOOKUP(BA24,'נתוני מים 2014'!$C$2:$N$188,12,0)/1000,0)</f>
        <v>0</v>
      </c>
      <c r="BB943" s="1">
        <f>+IFERROR(VLOOKUP(BB24,'נתוני מים 2014'!$C$2:$N$188,12,0)/1000,0)</f>
        <v>0</v>
      </c>
      <c r="BC943" s="1">
        <f>+IFERROR(VLOOKUP(BC24,'נתוני מים 2014'!$C$2:$N$188,12,0)/1000,0)</f>
        <v>0</v>
      </c>
      <c r="BD943" s="1">
        <f>+IFERROR(VLOOKUP(BD24,'נתוני מים 2014'!$C$2:$N$188,12,0)/1000,0)</f>
        <v>0</v>
      </c>
      <c r="BE943" s="1">
        <f>+IFERROR(VLOOKUP(BE24,'נתוני מים 2014'!$C$2:$N$188,12,0)/1000,0)</f>
        <v>0</v>
      </c>
      <c r="BF943" s="1">
        <f>+IFERROR(VLOOKUP(BF24,'נתוני מים 2014'!$C$2:$N$188,12,0)/1000,0)</f>
        <v>0</v>
      </c>
    </row>
    <row r="944" spans="2:58" x14ac:dyDescent="0.2">
      <c r="B944" s="1">
        <v>18</v>
      </c>
      <c r="C944" s="1">
        <f>+IFERROR(VLOOKUP(C25,'נתוני מים 2014'!$C$2:$N$188,12,0)/1000,0)</f>
        <v>0</v>
      </c>
      <c r="D944" s="1">
        <f>+IFERROR(VLOOKUP(D25,'נתוני מים 2014'!$C$2:$N$188,12,0)/1000,0)</f>
        <v>0</v>
      </c>
      <c r="E944" s="1">
        <f>+IFERROR(VLOOKUP(E25,'נתוני מים 2014'!$C$2:$N$188,12,0)/1000,0)</f>
        <v>0</v>
      </c>
      <c r="F944" s="1">
        <f>+IFERROR(VLOOKUP(F25,'נתוני מים 2014'!$C$2:$N$188,12,0)/1000,0)</f>
        <v>0</v>
      </c>
      <c r="G944" s="1">
        <f>+IFERROR(VLOOKUP(G25,'נתוני מים 2014'!$C$2:$N$188,12,0)/1000,0)</f>
        <v>0</v>
      </c>
      <c r="H944" s="1">
        <f>+IFERROR(VLOOKUP(H25,'נתוני מים 2014'!$C$2:$N$188,12,0)/1000,0)</f>
        <v>0</v>
      </c>
      <c r="I944" s="1">
        <f>+IFERROR(VLOOKUP(I25,'נתוני מים 2014'!$C$2:$N$188,12,0)/1000,0)</f>
        <v>0</v>
      </c>
      <c r="J944" s="1">
        <f>+IFERROR(VLOOKUP(J25,'נתוני מים 2014'!$C$2:$N$188,12,0)/1000,0)</f>
        <v>0</v>
      </c>
      <c r="K944" s="1">
        <f>+IFERROR(VLOOKUP(K25,'נתוני מים 2014'!$C$2:$N$188,12,0)/1000,0)</f>
        <v>0</v>
      </c>
      <c r="L944" s="1">
        <f>+IFERROR(VLOOKUP(L25,'נתוני מים 2014'!$C$2:$N$188,12,0)/1000,0)</f>
        <v>0</v>
      </c>
      <c r="M944" s="1">
        <f>+IFERROR(VLOOKUP(M25,'נתוני מים 2014'!$C$2:$N$188,12,0)/1000,0)</f>
        <v>0</v>
      </c>
      <c r="N944" s="1">
        <f>+IFERROR(VLOOKUP(N25,'נתוני מים 2014'!$C$2:$N$188,12,0)/1000,0)</f>
        <v>0</v>
      </c>
      <c r="O944" s="1">
        <f>+IFERROR(VLOOKUP(O25,'נתוני מים 2014'!$C$2:$N$188,12,0)/1000,0)</f>
        <v>0</v>
      </c>
      <c r="P944" s="1">
        <f>+IFERROR(VLOOKUP(P25,'נתוני מים 2014'!$C$2:$N$188,12,0)/1000,0)</f>
        <v>0</v>
      </c>
      <c r="Q944" s="1">
        <f>+IFERROR(VLOOKUP(Q25,'נתוני מים 2014'!$C$2:$N$188,12,0)/1000,0)</f>
        <v>0</v>
      </c>
      <c r="R944" s="1">
        <f>+IFERROR(VLOOKUP(R25,'נתוני מים 2014'!$C$2:$N$188,12,0)/1000,0)</f>
        <v>0</v>
      </c>
      <c r="S944" s="1">
        <f>+IFERROR(VLOOKUP(S25,'נתוני מים 2014'!$C$2:$N$188,12,0)/1000,0)</f>
        <v>0</v>
      </c>
      <c r="T944" s="1">
        <f>+IFERROR(VLOOKUP(T25,'נתוני מים 2014'!$C$2:$N$188,12,0)/1000,0)</f>
        <v>0</v>
      </c>
      <c r="U944" s="1">
        <f>+IFERROR(VLOOKUP(U25,'נתוני מים 2014'!$C$2:$N$188,12,0)/1000,0)</f>
        <v>0</v>
      </c>
      <c r="V944" s="1">
        <f>+IFERROR(VLOOKUP(V25,'נתוני מים 2014'!$C$2:$N$188,12,0)/1000,0)</f>
        <v>0</v>
      </c>
      <c r="W944" s="1">
        <f>+IFERROR(VLOOKUP(W25,'נתוני מים 2014'!$C$2:$N$188,12,0)/1000,0)</f>
        <v>0</v>
      </c>
      <c r="X944" s="1">
        <f>+IFERROR(VLOOKUP(X25,'נתוני מים 2014'!$C$2:$N$188,12,0)/1000,0)</f>
        <v>0</v>
      </c>
      <c r="Y944" s="1">
        <f>+IFERROR(VLOOKUP(Y25,'נתוני מים 2014'!$C$2:$N$188,12,0)/1000,0)</f>
        <v>0</v>
      </c>
      <c r="Z944" s="1">
        <f>+IFERROR(VLOOKUP(Z25,'נתוני מים 2014'!$C$2:$N$188,12,0)/1000,0)</f>
        <v>0</v>
      </c>
      <c r="AA944" s="1">
        <f>+IFERROR(VLOOKUP(AA25,'נתוני מים 2014'!$C$2:$N$188,12,0)/1000,0)</f>
        <v>0</v>
      </c>
      <c r="AB944" s="1">
        <f>+IFERROR(VLOOKUP(AB25,'נתוני מים 2014'!$C$2:$N$188,12,0)/1000,0)</f>
        <v>0</v>
      </c>
      <c r="AC944" s="1">
        <f>+IFERROR(VLOOKUP(AC25,'נתוני מים 2014'!$C$2:$N$188,12,0)/1000,0)</f>
        <v>0</v>
      </c>
      <c r="AD944" s="1">
        <f>+IFERROR(VLOOKUP(AD25,'נתוני מים 2014'!$C$2:$N$188,12,0)/1000,0)</f>
        <v>0</v>
      </c>
      <c r="AE944" s="1">
        <f>+IFERROR(VLOOKUP(AE25,'נתוני מים 2014'!$C$2:$N$188,12,0)/1000,0)</f>
        <v>0</v>
      </c>
      <c r="AF944" s="1">
        <f>+IFERROR(VLOOKUP(AF25,'נתוני מים 2014'!$C$2:$N$188,12,0)/1000,0)</f>
        <v>0</v>
      </c>
      <c r="AG944" s="1">
        <f>+IFERROR(VLOOKUP(AG25,'נתוני מים 2014'!$C$2:$N$188,12,0)/1000,0)</f>
        <v>0</v>
      </c>
      <c r="AH944" s="1">
        <f>+IFERROR(VLOOKUP(AH25,'נתוני מים 2014'!$C$2:$N$188,12,0)/1000,0)</f>
        <v>0</v>
      </c>
      <c r="AI944" s="1">
        <f>+IFERROR(VLOOKUP(AI25,'נתוני מים 2014'!$C$2:$N$188,12,0)/1000,0)</f>
        <v>0</v>
      </c>
      <c r="AJ944" s="1">
        <f>+IFERROR(VLOOKUP(AJ25,'נתוני מים 2014'!$C$2:$N$188,12,0)/1000,0)</f>
        <v>0</v>
      </c>
      <c r="AK944" s="1">
        <f>+IFERROR(VLOOKUP(AK25,'נתוני מים 2014'!$C$2:$N$188,12,0)/1000,0)</f>
        <v>0</v>
      </c>
      <c r="AL944" s="1">
        <f>+IFERROR(VLOOKUP(AL25,'נתוני מים 2014'!$C$2:$N$188,12,0)/1000,0)</f>
        <v>0</v>
      </c>
      <c r="AM944" s="1">
        <f>+IFERROR(VLOOKUP(AM25,'נתוני מים 2014'!$C$2:$N$188,12,0)/1000,0)</f>
        <v>0</v>
      </c>
      <c r="AN944" s="1">
        <f>+IFERROR(VLOOKUP(AN25,'נתוני מים 2014'!$C$2:$N$188,12,0)/1000,0)</f>
        <v>0</v>
      </c>
      <c r="AO944" s="1">
        <f>+IFERROR(VLOOKUP(AO25,'נתוני מים 2014'!$C$2:$N$188,12,0)/1000,0)</f>
        <v>0</v>
      </c>
      <c r="AP944" s="1">
        <f>+IFERROR(VLOOKUP(AP25,'נתוני מים 2014'!$C$2:$N$188,12,0)/1000,0)</f>
        <v>0</v>
      </c>
      <c r="AQ944" s="1">
        <f>+IFERROR(VLOOKUP(AQ25,'נתוני מים 2014'!$C$2:$N$188,12,0)/1000,0)</f>
        <v>0</v>
      </c>
      <c r="AR944" s="1">
        <f>+IFERROR(VLOOKUP(AR25,'נתוני מים 2014'!$C$2:$N$188,12,0)/1000,0)</f>
        <v>0</v>
      </c>
      <c r="AS944" s="1">
        <f>+IFERROR(VLOOKUP(AS25,'נתוני מים 2014'!$C$2:$N$188,12,0)/1000,0)</f>
        <v>0</v>
      </c>
      <c r="AT944" s="1">
        <f>+IFERROR(VLOOKUP(AT25,'נתוני מים 2014'!$C$2:$N$188,12,0)/1000,0)</f>
        <v>0</v>
      </c>
      <c r="AU944" s="1">
        <f>+IFERROR(VLOOKUP(AU25,'נתוני מים 2014'!$C$2:$N$188,12,0)/1000,0)</f>
        <v>0</v>
      </c>
      <c r="AV944" s="1">
        <f>+IFERROR(VLOOKUP(AV25,'נתוני מים 2014'!$C$2:$N$188,12,0)/1000,0)</f>
        <v>0</v>
      </c>
      <c r="AW944" s="1">
        <f>+IFERROR(VLOOKUP(AW25,'נתוני מים 2014'!$C$2:$N$188,12,0)/1000,0)</f>
        <v>0</v>
      </c>
      <c r="AX944" s="1">
        <f>+IFERROR(VLOOKUP(AX25,'נתוני מים 2014'!$C$2:$N$188,12,0)/1000,0)</f>
        <v>0</v>
      </c>
      <c r="AY944" s="1">
        <f>+IFERROR(VLOOKUP(AY25,'נתוני מים 2014'!$C$2:$N$188,12,0)/1000,0)</f>
        <v>0</v>
      </c>
      <c r="AZ944" s="1">
        <f>+IFERROR(VLOOKUP(AZ25,'נתוני מים 2014'!$C$2:$N$188,12,0)/1000,0)</f>
        <v>0</v>
      </c>
      <c r="BA944" s="1">
        <f>+IFERROR(VLOOKUP(BA25,'נתוני מים 2014'!$C$2:$N$188,12,0)/1000,0)</f>
        <v>0</v>
      </c>
      <c r="BB944" s="1">
        <f>+IFERROR(VLOOKUP(BB25,'נתוני מים 2014'!$C$2:$N$188,12,0)/1000,0)</f>
        <v>0</v>
      </c>
      <c r="BC944" s="1">
        <f>+IFERROR(VLOOKUP(BC25,'נתוני מים 2014'!$C$2:$N$188,12,0)/1000,0)</f>
        <v>0</v>
      </c>
      <c r="BD944" s="1">
        <f>+IFERROR(VLOOKUP(BD25,'נתוני מים 2014'!$C$2:$N$188,12,0)/1000,0)</f>
        <v>0</v>
      </c>
      <c r="BE944" s="1">
        <f>+IFERROR(VLOOKUP(BE25,'נתוני מים 2014'!$C$2:$N$188,12,0)/1000,0)</f>
        <v>0</v>
      </c>
      <c r="BF944" s="1">
        <f>+IFERROR(VLOOKUP(BF25,'נתוני מים 2014'!$C$2:$N$188,12,0)/1000,0)</f>
        <v>0</v>
      </c>
    </row>
    <row r="945" spans="1:58" x14ac:dyDescent="0.2">
      <c r="B945" s="1">
        <v>19</v>
      </c>
      <c r="C945" s="1">
        <f>+IFERROR(VLOOKUP(C26,'נתוני מים 2014'!$C$2:$N$188,12,0)/1000,0)</f>
        <v>0</v>
      </c>
      <c r="D945" s="1">
        <f>+IFERROR(VLOOKUP(D26,'נתוני מים 2014'!$C$2:$N$188,12,0)/1000,0)</f>
        <v>0</v>
      </c>
      <c r="E945" s="1">
        <f>+IFERROR(VLOOKUP(E26,'נתוני מים 2014'!$C$2:$N$188,12,0)/1000,0)</f>
        <v>0</v>
      </c>
      <c r="F945" s="1">
        <f>+IFERROR(VLOOKUP(F26,'נתוני מים 2014'!$C$2:$N$188,12,0)/1000,0)</f>
        <v>0</v>
      </c>
      <c r="G945" s="1">
        <f>+IFERROR(VLOOKUP(G26,'נתוני מים 2014'!$C$2:$N$188,12,0)/1000,0)</f>
        <v>0</v>
      </c>
      <c r="H945" s="1">
        <f>+IFERROR(VLOOKUP(H26,'נתוני מים 2014'!$C$2:$N$188,12,0)/1000,0)</f>
        <v>0</v>
      </c>
      <c r="I945" s="1">
        <f>+IFERROR(VLOOKUP(I26,'נתוני מים 2014'!$C$2:$N$188,12,0)/1000,0)</f>
        <v>0</v>
      </c>
      <c r="J945" s="1">
        <f>+IFERROR(VLOOKUP(J26,'נתוני מים 2014'!$C$2:$N$188,12,0)/1000,0)</f>
        <v>0</v>
      </c>
      <c r="K945" s="1">
        <f>+IFERROR(VLOOKUP(K26,'נתוני מים 2014'!$C$2:$N$188,12,0)/1000,0)</f>
        <v>0</v>
      </c>
      <c r="L945" s="1">
        <f>+IFERROR(VLOOKUP(L26,'נתוני מים 2014'!$C$2:$N$188,12,0)/1000,0)</f>
        <v>0</v>
      </c>
      <c r="M945" s="1">
        <f>+IFERROR(VLOOKUP(M26,'נתוני מים 2014'!$C$2:$N$188,12,0)/1000,0)</f>
        <v>0</v>
      </c>
      <c r="N945" s="1">
        <f>+IFERROR(VLOOKUP(N26,'נתוני מים 2014'!$C$2:$N$188,12,0)/1000,0)</f>
        <v>0</v>
      </c>
      <c r="O945" s="1">
        <f>+IFERROR(VLOOKUP(O26,'נתוני מים 2014'!$C$2:$N$188,12,0)/1000,0)</f>
        <v>0</v>
      </c>
      <c r="P945" s="1">
        <f>+IFERROR(VLOOKUP(P26,'נתוני מים 2014'!$C$2:$N$188,12,0)/1000,0)</f>
        <v>0</v>
      </c>
      <c r="Q945" s="1">
        <f>+IFERROR(VLOOKUP(Q26,'נתוני מים 2014'!$C$2:$N$188,12,0)/1000,0)</f>
        <v>0</v>
      </c>
      <c r="R945" s="1">
        <f>+IFERROR(VLOOKUP(R26,'נתוני מים 2014'!$C$2:$N$188,12,0)/1000,0)</f>
        <v>0</v>
      </c>
      <c r="S945" s="1">
        <f>+IFERROR(VLOOKUP(S26,'נתוני מים 2014'!$C$2:$N$188,12,0)/1000,0)</f>
        <v>0</v>
      </c>
      <c r="T945" s="1">
        <f>+IFERROR(VLOOKUP(T26,'נתוני מים 2014'!$C$2:$N$188,12,0)/1000,0)</f>
        <v>0</v>
      </c>
      <c r="U945" s="1">
        <f>+IFERROR(VLOOKUP(U26,'נתוני מים 2014'!$C$2:$N$188,12,0)/1000,0)</f>
        <v>0</v>
      </c>
      <c r="V945" s="1">
        <f>+IFERROR(VLOOKUP(V26,'נתוני מים 2014'!$C$2:$N$188,12,0)/1000,0)</f>
        <v>0</v>
      </c>
      <c r="W945" s="1">
        <f>+IFERROR(VLOOKUP(W26,'נתוני מים 2014'!$C$2:$N$188,12,0)/1000,0)</f>
        <v>0</v>
      </c>
      <c r="X945" s="1">
        <f>+IFERROR(VLOOKUP(X26,'נתוני מים 2014'!$C$2:$N$188,12,0)/1000,0)</f>
        <v>0</v>
      </c>
      <c r="Y945" s="1">
        <f>+IFERROR(VLOOKUP(Y26,'נתוני מים 2014'!$C$2:$N$188,12,0)/1000,0)</f>
        <v>0</v>
      </c>
      <c r="Z945" s="1">
        <f>+IFERROR(VLOOKUP(Z26,'נתוני מים 2014'!$C$2:$N$188,12,0)/1000,0)</f>
        <v>0</v>
      </c>
      <c r="AA945" s="1">
        <f>+IFERROR(VLOOKUP(AA26,'נתוני מים 2014'!$C$2:$N$188,12,0)/1000,0)</f>
        <v>0</v>
      </c>
      <c r="AB945" s="1">
        <f>+IFERROR(VLOOKUP(AB26,'נתוני מים 2014'!$C$2:$N$188,12,0)/1000,0)</f>
        <v>0</v>
      </c>
      <c r="AC945" s="1">
        <f>+IFERROR(VLOOKUP(AC26,'נתוני מים 2014'!$C$2:$N$188,12,0)/1000,0)</f>
        <v>0</v>
      </c>
      <c r="AD945" s="1">
        <f>+IFERROR(VLOOKUP(AD26,'נתוני מים 2014'!$C$2:$N$188,12,0)/1000,0)</f>
        <v>0</v>
      </c>
      <c r="AE945" s="1">
        <f>+IFERROR(VLOOKUP(AE26,'נתוני מים 2014'!$C$2:$N$188,12,0)/1000,0)</f>
        <v>0</v>
      </c>
      <c r="AF945" s="1">
        <f>+IFERROR(VLOOKUP(AF26,'נתוני מים 2014'!$C$2:$N$188,12,0)/1000,0)</f>
        <v>0</v>
      </c>
      <c r="AG945" s="1">
        <f>+IFERROR(VLOOKUP(AG26,'נתוני מים 2014'!$C$2:$N$188,12,0)/1000,0)</f>
        <v>0</v>
      </c>
      <c r="AH945" s="1">
        <f>+IFERROR(VLOOKUP(AH26,'נתוני מים 2014'!$C$2:$N$188,12,0)/1000,0)</f>
        <v>0</v>
      </c>
      <c r="AI945" s="1">
        <f>+IFERROR(VLOOKUP(AI26,'נתוני מים 2014'!$C$2:$N$188,12,0)/1000,0)</f>
        <v>0</v>
      </c>
      <c r="AJ945" s="1">
        <f>+IFERROR(VLOOKUP(AJ26,'נתוני מים 2014'!$C$2:$N$188,12,0)/1000,0)</f>
        <v>0</v>
      </c>
      <c r="AK945" s="1">
        <f>+IFERROR(VLOOKUP(AK26,'נתוני מים 2014'!$C$2:$N$188,12,0)/1000,0)</f>
        <v>0</v>
      </c>
      <c r="AL945" s="1">
        <f>+IFERROR(VLOOKUP(AL26,'נתוני מים 2014'!$C$2:$N$188,12,0)/1000,0)</f>
        <v>0</v>
      </c>
      <c r="AM945" s="1">
        <f>+IFERROR(VLOOKUP(AM26,'נתוני מים 2014'!$C$2:$N$188,12,0)/1000,0)</f>
        <v>0</v>
      </c>
      <c r="AN945" s="1">
        <f>+IFERROR(VLOOKUP(AN26,'נתוני מים 2014'!$C$2:$N$188,12,0)/1000,0)</f>
        <v>0</v>
      </c>
      <c r="AO945" s="1">
        <f>+IFERROR(VLOOKUP(AO26,'נתוני מים 2014'!$C$2:$N$188,12,0)/1000,0)</f>
        <v>0</v>
      </c>
      <c r="AP945" s="1">
        <f>+IFERROR(VLOOKUP(AP26,'נתוני מים 2014'!$C$2:$N$188,12,0)/1000,0)</f>
        <v>0</v>
      </c>
      <c r="AQ945" s="1">
        <f>+IFERROR(VLOOKUP(AQ26,'נתוני מים 2014'!$C$2:$N$188,12,0)/1000,0)</f>
        <v>0</v>
      </c>
      <c r="AR945" s="1">
        <f>+IFERROR(VLOOKUP(AR26,'נתוני מים 2014'!$C$2:$N$188,12,0)/1000,0)</f>
        <v>0</v>
      </c>
      <c r="AS945" s="1">
        <f>+IFERROR(VLOOKUP(AS26,'נתוני מים 2014'!$C$2:$N$188,12,0)/1000,0)</f>
        <v>0</v>
      </c>
      <c r="AT945" s="1">
        <f>+IFERROR(VLOOKUP(AT26,'נתוני מים 2014'!$C$2:$N$188,12,0)/1000,0)</f>
        <v>0</v>
      </c>
      <c r="AU945" s="1">
        <f>+IFERROR(VLOOKUP(AU26,'נתוני מים 2014'!$C$2:$N$188,12,0)/1000,0)</f>
        <v>0</v>
      </c>
      <c r="AV945" s="1">
        <f>+IFERROR(VLOOKUP(AV26,'נתוני מים 2014'!$C$2:$N$188,12,0)/1000,0)</f>
        <v>0</v>
      </c>
      <c r="AW945" s="1">
        <f>+IFERROR(VLOOKUP(AW26,'נתוני מים 2014'!$C$2:$N$188,12,0)/1000,0)</f>
        <v>0</v>
      </c>
      <c r="AX945" s="1">
        <f>+IFERROR(VLOOKUP(AX26,'נתוני מים 2014'!$C$2:$N$188,12,0)/1000,0)</f>
        <v>0</v>
      </c>
      <c r="AY945" s="1">
        <f>+IFERROR(VLOOKUP(AY26,'נתוני מים 2014'!$C$2:$N$188,12,0)/1000,0)</f>
        <v>0</v>
      </c>
      <c r="AZ945" s="1">
        <f>+IFERROR(VLOOKUP(AZ26,'נתוני מים 2014'!$C$2:$N$188,12,0)/1000,0)</f>
        <v>0</v>
      </c>
      <c r="BA945" s="1">
        <f>+IFERROR(VLOOKUP(BA26,'נתוני מים 2014'!$C$2:$N$188,12,0)/1000,0)</f>
        <v>0</v>
      </c>
      <c r="BB945" s="1">
        <f>+IFERROR(VLOOKUP(BB26,'נתוני מים 2014'!$C$2:$N$188,12,0)/1000,0)</f>
        <v>0</v>
      </c>
      <c r="BC945" s="1">
        <f>+IFERROR(VLOOKUP(BC26,'נתוני מים 2014'!$C$2:$N$188,12,0)/1000,0)</f>
        <v>0</v>
      </c>
      <c r="BD945" s="1">
        <f>+IFERROR(VLOOKUP(BD26,'נתוני מים 2014'!$C$2:$N$188,12,0)/1000,0)</f>
        <v>0</v>
      </c>
      <c r="BE945" s="1">
        <f>+IFERROR(VLOOKUP(BE26,'נתוני מים 2014'!$C$2:$N$188,12,0)/1000,0)</f>
        <v>0</v>
      </c>
      <c r="BF945" s="1">
        <f>+IFERROR(VLOOKUP(BF26,'נתוני מים 2014'!$C$2:$N$188,12,0)/1000,0)</f>
        <v>0</v>
      </c>
    </row>
    <row r="946" spans="1:58" x14ac:dyDescent="0.2">
      <c r="B946" s="1">
        <v>20</v>
      </c>
      <c r="C946" s="1">
        <f>+IFERROR(VLOOKUP(C27,'נתוני מים 2014'!$C$2:$N$188,12,0)/1000,0)</f>
        <v>0</v>
      </c>
      <c r="D946" s="1">
        <f>+IFERROR(VLOOKUP(D27,'נתוני מים 2014'!$C$2:$N$188,12,0)/1000,0)</f>
        <v>0</v>
      </c>
      <c r="E946" s="1">
        <f>+IFERROR(VLOOKUP(E27,'נתוני מים 2014'!$C$2:$N$188,12,0)/1000,0)</f>
        <v>0</v>
      </c>
      <c r="F946" s="1">
        <f>+IFERROR(VLOOKUP(F27,'נתוני מים 2014'!$C$2:$N$188,12,0)/1000,0)</f>
        <v>0</v>
      </c>
      <c r="G946" s="1">
        <f>+IFERROR(VLOOKUP(G27,'נתוני מים 2014'!$C$2:$N$188,12,0)/1000,0)</f>
        <v>0</v>
      </c>
      <c r="H946" s="1">
        <f>+IFERROR(VLOOKUP(H27,'נתוני מים 2014'!$C$2:$N$188,12,0)/1000,0)</f>
        <v>0</v>
      </c>
      <c r="I946" s="1">
        <f>+IFERROR(VLOOKUP(I27,'נתוני מים 2014'!$C$2:$N$188,12,0)/1000,0)</f>
        <v>0</v>
      </c>
      <c r="J946" s="1">
        <f>+IFERROR(VLOOKUP(J27,'נתוני מים 2014'!$C$2:$N$188,12,0)/1000,0)</f>
        <v>0</v>
      </c>
      <c r="K946" s="1">
        <f>+IFERROR(VLOOKUP(K27,'נתוני מים 2014'!$C$2:$N$188,12,0)/1000,0)</f>
        <v>0</v>
      </c>
      <c r="L946" s="1">
        <f>+IFERROR(VLOOKUP(L27,'נתוני מים 2014'!$C$2:$N$188,12,0)/1000,0)</f>
        <v>0</v>
      </c>
      <c r="M946" s="1">
        <f>+IFERROR(VLOOKUP(M27,'נתוני מים 2014'!$C$2:$N$188,12,0)/1000,0)</f>
        <v>0</v>
      </c>
      <c r="N946" s="1">
        <f>+IFERROR(VLOOKUP(N27,'נתוני מים 2014'!$C$2:$N$188,12,0)/1000,0)</f>
        <v>0</v>
      </c>
      <c r="O946" s="1">
        <f>+IFERROR(VLOOKUP(O27,'נתוני מים 2014'!$C$2:$N$188,12,0)/1000,0)</f>
        <v>0</v>
      </c>
      <c r="P946" s="1">
        <f>+IFERROR(VLOOKUP(P27,'נתוני מים 2014'!$C$2:$N$188,12,0)/1000,0)</f>
        <v>0</v>
      </c>
      <c r="Q946" s="1">
        <f>+IFERROR(VLOOKUP(Q27,'נתוני מים 2014'!$C$2:$N$188,12,0)/1000,0)</f>
        <v>0</v>
      </c>
      <c r="R946" s="1">
        <f>+IFERROR(VLOOKUP(R27,'נתוני מים 2014'!$C$2:$N$188,12,0)/1000,0)</f>
        <v>0</v>
      </c>
      <c r="S946" s="1">
        <f>+IFERROR(VLOOKUP(S27,'נתוני מים 2014'!$C$2:$N$188,12,0)/1000,0)</f>
        <v>0</v>
      </c>
      <c r="T946" s="1">
        <f>+IFERROR(VLOOKUP(T27,'נתוני מים 2014'!$C$2:$N$188,12,0)/1000,0)</f>
        <v>0</v>
      </c>
      <c r="U946" s="1">
        <f>+IFERROR(VLOOKUP(U27,'נתוני מים 2014'!$C$2:$N$188,12,0)/1000,0)</f>
        <v>0</v>
      </c>
      <c r="V946" s="1">
        <f>+IFERROR(VLOOKUP(V27,'נתוני מים 2014'!$C$2:$N$188,12,0)/1000,0)</f>
        <v>0</v>
      </c>
      <c r="W946" s="1">
        <f>+IFERROR(VLOOKUP(W27,'נתוני מים 2014'!$C$2:$N$188,12,0)/1000,0)</f>
        <v>0</v>
      </c>
      <c r="X946" s="1">
        <f>+IFERROR(VLOOKUP(X27,'נתוני מים 2014'!$C$2:$N$188,12,0)/1000,0)</f>
        <v>0</v>
      </c>
      <c r="Y946" s="1">
        <f>+IFERROR(VLOOKUP(Y27,'נתוני מים 2014'!$C$2:$N$188,12,0)/1000,0)</f>
        <v>0</v>
      </c>
      <c r="Z946" s="1">
        <f>+IFERROR(VLOOKUP(Z27,'נתוני מים 2014'!$C$2:$N$188,12,0)/1000,0)</f>
        <v>0</v>
      </c>
      <c r="AA946" s="1">
        <f>+IFERROR(VLOOKUP(AA27,'נתוני מים 2014'!$C$2:$N$188,12,0)/1000,0)</f>
        <v>0</v>
      </c>
      <c r="AB946" s="1">
        <f>+IFERROR(VLOOKUP(AB27,'נתוני מים 2014'!$C$2:$N$188,12,0)/1000,0)</f>
        <v>0</v>
      </c>
      <c r="AC946" s="1">
        <f>+IFERROR(VLOOKUP(AC27,'נתוני מים 2014'!$C$2:$N$188,12,0)/1000,0)</f>
        <v>0</v>
      </c>
      <c r="AD946" s="1">
        <f>+IFERROR(VLOOKUP(AD27,'נתוני מים 2014'!$C$2:$N$188,12,0)/1000,0)</f>
        <v>0</v>
      </c>
      <c r="AE946" s="1">
        <f>+IFERROR(VLOOKUP(AE27,'נתוני מים 2014'!$C$2:$N$188,12,0)/1000,0)</f>
        <v>0</v>
      </c>
      <c r="AF946" s="1">
        <f>+IFERROR(VLOOKUP(AF27,'נתוני מים 2014'!$C$2:$N$188,12,0)/1000,0)</f>
        <v>0</v>
      </c>
      <c r="AG946" s="1">
        <f>+IFERROR(VLOOKUP(AG27,'נתוני מים 2014'!$C$2:$N$188,12,0)/1000,0)</f>
        <v>0</v>
      </c>
      <c r="AH946" s="1">
        <f>+IFERROR(VLOOKUP(AH27,'נתוני מים 2014'!$C$2:$N$188,12,0)/1000,0)</f>
        <v>0</v>
      </c>
      <c r="AI946" s="1">
        <f>+IFERROR(VLOOKUP(AI27,'נתוני מים 2014'!$C$2:$N$188,12,0)/1000,0)</f>
        <v>0</v>
      </c>
      <c r="AJ946" s="1">
        <f>+IFERROR(VLOOKUP(AJ27,'נתוני מים 2014'!$C$2:$N$188,12,0)/1000,0)</f>
        <v>0</v>
      </c>
      <c r="AK946" s="1">
        <f>+IFERROR(VLOOKUP(AK27,'נתוני מים 2014'!$C$2:$N$188,12,0)/1000,0)</f>
        <v>0</v>
      </c>
      <c r="AL946" s="1">
        <f>+IFERROR(VLOOKUP(AL27,'נתוני מים 2014'!$C$2:$N$188,12,0)/1000,0)</f>
        <v>0</v>
      </c>
      <c r="AM946" s="1">
        <f>+IFERROR(VLOOKUP(AM27,'נתוני מים 2014'!$C$2:$N$188,12,0)/1000,0)</f>
        <v>0</v>
      </c>
      <c r="AN946" s="1">
        <f>+IFERROR(VLOOKUP(AN27,'נתוני מים 2014'!$C$2:$N$188,12,0)/1000,0)</f>
        <v>0</v>
      </c>
      <c r="AO946" s="1">
        <f>+IFERROR(VLOOKUP(AO27,'נתוני מים 2014'!$C$2:$N$188,12,0)/1000,0)</f>
        <v>0</v>
      </c>
      <c r="AP946" s="1">
        <f>+IFERROR(VLOOKUP(AP27,'נתוני מים 2014'!$C$2:$N$188,12,0)/1000,0)</f>
        <v>0</v>
      </c>
      <c r="AQ946" s="1">
        <f>+IFERROR(VLOOKUP(AQ27,'נתוני מים 2014'!$C$2:$N$188,12,0)/1000,0)</f>
        <v>0</v>
      </c>
      <c r="AR946" s="1">
        <f>+IFERROR(VLOOKUP(AR27,'נתוני מים 2014'!$C$2:$N$188,12,0)/1000,0)</f>
        <v>0</v>
      </c>
      <c r="AS946" s="1">
        <f>+IFERROR(VLOOKUP(AS27,'נתוני מים 2014'!$C$2:$N$188,12,0)/1000,0)</f>
        <v>0</v>
      </c>
      <c r="AT946" s="1">
        <f>+IFERROR(VLOOKUP(AT27,'נתוני מים 2014'!$C$2:$N$188,12,0)/1000,0)</f>
        <v>0</v>
      </c>
      <c r="AU946" s="1">
        <f>+IFERROR(VLOOKUP(AU27,'נתוני מים 2014'!$C$2:$N$188,12,0)/1000,0)</f>
        <v>0</v>
      </c>
      <c r="AV946" s="1">
        <f>+IFERROR(VLOOKUP(AV27,'נתוני מים 2014'!$C$2:$N$188,12,0)/1000,0)</f>
        <v>0</v>
      </c>
      <c r="AW946" s="1">
        <f>+IFERROR(VLOOKUP(AW27,'נתוני מים 2014'!$C$2:$N$188,12,0)/1000,0)</f>
        <v>0</v>
      </c>
      <c r="AX946" s="1">
        <f>+IFERROR(VLOOKUP(AX27,'נתוני מים 2014'!$C$2:$N$188,12,0)/1000,0)</f>
        <v>0</v>
      </c>
      <c r="AY946" s="1">
        <f>+IFERROR(VLOOKUP(AY27,'נתוני מים 2014'!$C$2:$N$188,12,0)/1000,0)</f>
        <v>0</v>
      </c>
      <c r="AZ946" s="1">
        <f>+IFERROR(VLOOKUP(AZ27,'נתוני מים 2014'!$C$2:$N$188,12,0)/1000,0)</f>
        <v>0</v>
      </c>
      <c r="BA946" s="1">
        <f>+IFERROR(VLOOKUP(BA27,'נתוני מים 2014'!$C$2:$N$188,12,0)/1000,0)</f>
        <v>0</v>
      </c>
      <c r="BB946" s="1">
        <f>+IFERROR(VLOOKUP(BB27,'נתוני מים 2014'!$C$2:$N$188,12,0)/1000,0)</f>
        <v>0</v>
      </c>
      <c r="BC946" s="1">
        <f>+IFERROR(VLOOKUP(BC27,'נתוני מים 2014'!$C$2:$N$188,12,0)/1000,0)</f>
        <v>0</v>
      </c>
      <c r="BD946" s="1">
        <f>+IFERROR(VLOOKUP(BD27,'נתוני מים 2014'!$C$2:$N$188,12,0)/1000,0)</f>
        <v>0</v>
      </c>
      <c r="BE946" s="1">
        <f>+IFERROR(VLOOKUP(BE27,'נתוני מים 2014'!$C$2:$N$188,12,0)/1000,0)</f>
        <v>0</v>
      </c>
      <c r="BF946" s="1">
        <f>+IFERROR(VLOOKUP(BF27,'נתוני מים 2014'!$C$2:$N$188,12,0)/1000,0)</f>
        <v>0</v>
      </c>
    </row>
    <row r="947" spans="1:58" x14ac:dyDescent="0.2">
      <c r="B947" s="1">
        <v>21</v>
      </c>
      <c r="C947" s="1">
        <f>+IFERROR(VLOOKUP(C28,'נתוני מים 2014'!$C$2:$N$188,12,0)/1000,0)</f>
        <v>0</v>
      </c>
      <c r="D947" s="1">
        <f>+IFERROR(VLOOKUP(D28,'נתוני מים 2014'!$C$2:$N$188,12,0)/1000,0)</f>
        <v>0</v>
      </c>
      <c r="E947" s="1">
        <f>+IFERROR(VLOOKUP(E28,'נתוני מים 2014'!$C$2:$N$188,12,0)/1000,0)</f>
        <v>0</v>
      </c>
      <c r="F947" s="1">
        <f>+IFERROR(VLOOKUP(F28,'נתוני מים 2014'!$C$2:$N$188,12,0)/1000,0)</f>
        <v>0</v>
      </c>
      <c r="G947" s="1">
        <f>+IFERROR(VLOOKUP(G28,'נתוני מים 2014'!$C$2:$N$188,12,0)/1000,0)</f>
        <v>0</v>
      </c>
      <c r="H947" s="1">
        <f>+IFERROR(VLOOKUP(H28,'נתוני מים 2014'!$C$2:$N$188,12,0)/1000,0)</f>
        <v>0</v>
      </c>
      <c r="I947" s="1">
        <f>+IFERROR(VLOOKUP(I28,'נתוני מים 2014'!$C$2:$N$188,12,0)/1000,0)</f>
        <v>0</v>
      </c>
      <c r="J947" s="1">
        <f>+IFERROR(VLOOKUP(J28,'נתוני מים 2014'!$C$2:$N$188,12,0)/1000,0)</f>
        <v>0</v>
      </c>
      <c r="K947" s="1">
        <f>+IFERROR(VLOOKUP(K28,'נתוני מים 2014'!$C$2:$N$188,12,0)/1000,0)</f>
        <v>0</v>
      </c>
      <c r="L947" s="1">
        <f>+IFERROR(VLOOKUP(L28,'נתוני מים 2014'!$C$2:$N$188,12,0)/1000,0)</f>
        <v>0</v>
      </c>
      <c r="M947" s="1">
        <f>+IFERROR(VLOOKUP(M28,'נתוני מים 2014'!$C$2:$N$188,12,0)/1000,0)</f>
        <v>0</v>
      </c>
      <c r="N947" s="1">
        <f>+IFERROR(VLOOKUP(N28,'נתוני מים 2014'!$C$2:$N$188,12,0)/1000,0)</f>
        <v>0</v>
      </c>
      <c r="O947" s="1">
        <f>+IFERROR(VLOOKUP(O28,'נתוני מים 2014'!$C$2:$N$188,12,0)/1000,0)</f>
        <v>0</v>
      </c>
      <c r="P947" s="1">
        <f>+IFERROR(VLOOKUP(P28,'נתוני מים 2014'!$C$2:$N$188,12,0)/1000,0)</f>
        <v>0</v>
      </c>
      <c r="Q947" s="1">
        <f>+IFERROR(VLOOKUP(Q28,'נתוני מים 2014'!$C$2:$N$188,12,0)/1000,0)</f>
        <v>0</v>
      </c>
      <c r="R947" s="1">
        <f>+IFERROR(VLOOKUP(R28,'נתוני מים 2014'!$C$2:$N$188,12,0)/1000,0)</f>
        <v>0</v>
      </c>
      <c r="S947" s="1">
        <f>+IFERROR(VLOOKUP(S28,'נתוני מים 2014'!$C$2:$N$188,12,0)/1000,0)</f>
        <v>0</v>
      </c>
      <c r="T947" s="1">
        <f>+IFERROR(VLOOKUP(T28,'נתוני מים 2014'!$C$2:$N$188,12,0)/1000,0)</f>
        <v>0</v>
      </c>
      <c r="U947" s="1">
        <f>+IFERROR(VLOOKUP(U28,'נתוני מים 2014'!$C$2:$N$188,12,0)/1000,0)</f>
        <v>0</v>
      </c>
      <c r="V947" s="1">
        <f>+IFERROR(VLOOKUP(V28,'נתוני מים 2014'!$C$2:$N$188,12,0)/1000,0)</f>
        <v>0</v>
      </c>
      <c r="W947" s="1">
        <f>+IFERROR(VLOOKUP(W28,'נתוני מים 2014'!$C$2:$N$188,12,0)/1000,0)</f>
        <v>0</v>
      </c>
      <c r="X947" s="1">
        <f>+IFERROR(VLOOKUP(X28,'נתוני מים 2014'!$C$2:$N$188,12,0)/1000,0)</f>
        <v>0</v>
      </c>
      <c r="Y947" s="1">
        <f>+IFERROR(VLOOKUP(Y28,'נתוני מים 2014'!$C$2:$N$188,12,0)/1000,0)</f>
        <v>0</v>
      </c>
      <c r="Z947" s="1">
        <f>+IFERROR(VLOOKUP(Z28,'נתוני מים 2014'!$C$2:$N$188,12,0)/1000,0)</f>
        <v>0</v>
      </c>
      <c r="AA947" s="1">
        <f>+IFERROR(VLOOKUP(AA28,'נתוני מים 2014'!$C$2:$N$188,12,0)/1000,0)</f>
        <v>0</v>
      </c>
      <c r="AB947" s="1">
        <f>+IFERROR(VLOOKUP(AB28,'נתוני מים 2014'!$C$2:$N$188,12,0)/1000,0)</f>
        <v>0</v>
      </c>
      <c r="AC947" s="1">
        <f>+IFERROR(VLOOKUP(AC28,'נתוני מים 2014'!$C$2:$N$188,12,0)/1000,0)</f>
        <v>0</v>
      </c>
      <c r="AD947" s="1">
        <f>+IFERROR(VLOOKUP(AD28,'נתוני מים 2014'!$C$2:$N$188,12,0)/1000,0)</f>
        <v>0</v>
      </c>
      <c r="AE947" s="1">
        <f>+IFERROR(VLOOKUP(AE28,'נתוני מים 2014'!$C$2:$N$188,12,0)/1000,0)</f>
        <v>0</v>
      </c>
      <c r="AF947" s="1">
        <f>+IFERROR(VLOOKUP(AF28,'נתוני מים 2014'!$C$2:$N$188,12,0)/1000,0)</f>
        <v>0</v>
      </c>
      <c r="AG947" s="1">
        <f>+IFERROR(VLOOKUP(AG28,'נתוני מים 2014'!$C$2:$N$188,12,0)/1000,0)</f>
        <v>0</v>
      </c>
      <c r="AH947" s="1">
        <f>+IFERROR(VLOOKUP(AH28,'נתוני מים 2014'!$C$2:$N$188,12,0)/1000,0)</f>
        <v>0</v>
      </c>
      <c r="AI947" s="1">
        <f>+IFERROR(VLOOKUP(AI28,'נתוני מים 2014'!$C$2:$N$188,12,0)/1000,0)</f>
        <v>0</v>
      </c>
      <c r="AJ947" s="1">
        <f>+IFERROR(VLOOKUP(AJ28,'נתוני מים 2014'!$C$2:$N$188,12,0)/1000,0)</f>
        <v>0</v>
      </c>
      <c r="AK947" s="1">
        <f>+IFERROR(VLOOKUP(AK28,'נתוני מים 2014'!$C$2:$N$188,12,0)/1000,0)</f>
        <v>0</v>
      </c>
      <c r="AL947" s="1">
        <f>+IFERROR(VLOOKUP(AL28,'נתוני מים 2014'!$C$2:$N$188,12,0)/1000,0)</f>
        <v>0</v>
      </c>
      <c r="AM947" s="1">
        <f>+IFERROR(VLOOKUP(AM28,'נתוני מים 2014'!$C$2:$N$188,12,0)/1000,0)</f>
        <v>0</v>
      </c>
      <c r="AN947" s="1">
        <f>+IFERROR(VLOOKUP(AN28,'נתוני מים 2014'!$C$2:$N$188,12,0)/1000,0)</f>
        <v>0</v>
      </c>
      <c r="AO947" s="1">
        <f>+IFERROR(VLOOKUP(AO28,'נתוני מים 2014'!$C$2:$N$188,12,0)/1000,0)</f>
        <v>0</v>
      </c>
      <c r="AP947" s="1">
        <f>+IFERROR(VLOOKUP(AP28,'נתוני מים 2014'!$C$2:$N$188,12,0)/1000,0)</f>
        <v>0</v>
      </c>
      <c r="AQ947" s="1">
        <f>+IFERROR(VLOOKUP(AQ28,'נתוני מים 2014'!$C$2:$N$188,12,0)/1000,0)</f>
        <v>0</v>
      </c>
      <c r="AR947" s="1">
        <f>+IFERROR(VLOOKUP(AR28,'נתוני מים 2014'!$C$2:$N$188,12,0)/1000,0)</f>
        <v>0</v>
      </c>
      <c r="AS947" s="1">
        <f>+IFERROR(VLOOKUP(AS28,'נתוני מים 2014'!$C$2:$N$188,12,0)/1000,0)</f>
        <v>0</v>
      </c>
      <c r="AT947" s="1">
        <f>+IFERROR(VLOOKUP(AT28,'נתוני מים 2014'!$C$2:$N$188,12,0)/1000,0)</f>
        <v>0</v>
      </c>
      <c r="AU947" s="1">
        <f>+IFERROR(VLOOKUP(AU28,'נתוני מים 2014'!$C$2:$N$188,12,0)/1000,0)</f>
        <v>0</v>
      </c>
      <c r="AV947" s="1">
        <f>+IFERROR(VLOOKUP(AV28,'נתוני מים 2014'!$C$2:$N$188,12,0)/1000,0)</f>
        <v>0</v>
      </c>
      <c r="AW947" s="1">
        <f>+IFERROR(VLOOKUP(AW28,'נתוני מים 2014'!$C$2:$N$188,12,0)/1000,0)</f>
        <v>0</v>
      </c>
      <c r="AX947" s="1">
        <f>+IFERROR(VLOOKUP(AX28,'נתוני מים 2014'!$C$2:$N$188,12,0)/1000,0)</f>
        <v>0</v>
      </c>
      <c r="AY947" s="1">
        <f>+IFERROR(VLOOKUP(AY28,'נתוני מים 2014'!$C$2:$N$188,12,0)/1000,0)</f>
        <v>0</v>
      </c>
      <c r="AZ947" s="1">
        <f>+IFERROR(VLOOKUP(AZ28,'נתוני מים 2014'!$C$2:$N$188,12,0)/1000,0)</f>
        <v>0</v>
      </c>
      <c r="BA947" s="1">
        <f>+IFERROR(VLOOKUP(BA28,'נתוני מים 2014'!$C$2:$N$188,12,0)/1000,0)</f>
        <v>0</v>
      </c>
      <c r="BB947" s="1">
        <f>+IFERROR(VLOOKUP(BB28,'נתוני מים 2014'!$C$2:$N$188,12,0)/1000,0)</f>
        <v>0</v>
      </c>
      <c r="BC947" s="1">
        <f>+IFERROR(VLOOKUP(BC28,'נתוני מים 2014'!$C$2:$N$188,12,0)/1000,0)</f>
        <v>0</v>
      </c>
      <c r="BD947" s="1">
        <f>+IFERROR(VLOOKUP(BD28,'נתוני מים 2014'!$C$2:$N$188,12,0)/1000,0)</f>
        <v>0</v>
      </c>
      <c r="BE947" s="1">
        <f>+IFERROR(VLOOKUP(BE28,'נתוני מים 2014'!$C$2:$N$188,12,0)/1000,0)</f>
        <v>0</v>
      </c>
      <c r="BF947" s="1">
        <f>+IFERROR(VLOOKUP(BF28,'נתוני מים 2014'!$C$2:$N$188,12,0)/1000,0)</f>
        <v>0</v>
      </c>
    </row>
    <row r="948" spans="1:58" x14ac:dyDescent="0.2">
      <c r="B948" s="1">
        <v>22</v>
      </c>
      <c r="C948" s="1">
        <f>+IFERROR(VLOOKUP(C29,'נתוני מים 2014'!$C$2:$N$188,12,0)/1000,0)</f>
        <v>0</v>
      </c>
      <c r="D948" s="1">
        <f>+IFERROR(VLOOKUP(D29,'נתוני מים 2014'!$C$2:$N$188,12,0)/1000,0)</f>
        <v>0</v>
      </c>
      <c r="E948" s="1">
        <f>+IFERROR(VLOOKUP(E29,'נתוני מים 2014'!$C$2:$N$188,12,0)/1000,0)</f>
        <v>0</v>
      </c>
      <c r="F948" s="1">
        <f>+IFERROR(VLOOKUP(F29,'נתוני מים 2014'!$C$2:$N$188,12,0)/1000,0)</f>
        <v>0</v>
      </c>
      <c r="G948" s="1">
        <f>+IFERROR(VLOOKUP(G29,'נתוני מים 2014'!$C$2:$N$188,12,0)/1000,0)</f>
        <v>0</v>
      </c>
      <c r="H948" s="1">
        <f>+IFERROR(VLOOKUP(H29,'נתוני מים 2014'!$C$2:$N$188,12,0)/1000,0)</f>
        <v>0</v>
      </c>
      <c r="I948" s="1">
        <f>+IFERROR(VLOOKUP(I29,'נתוני מים 2014'!$C$2:$N$188,12,0)/1000,0)</f>
        <v>0</v>
      </c>
      <c r="J948" s="1">
        <f>+IFERROR(VLOOKUP(J29,'נתוני מים 2014'!$C$2:$N$188,12,0)/1000,0)</f>
        <v>0</v>
      </c>
      <c r="K948" s="1">
        <f>+IFERROR(VLOOKUP(K29,'נתוני מים 2014'!$C$2:$N$188,12,0)/1000,0)</f>
        <v>0</v>
      </c>
      <c r="L948" s="1">
        <f>+IFERROR(VLOOKUP(L29,'נתוני מים 2014'!$C$2:$N$188,12,0)/1000,0)</f>
        <v>0</v>
      </c>
      <c r="M948" s="1">
        <f>+IFERROR(VLOOKUP(M29,'נתוני מים 2014'!$C$2:$N$188,12,0)/1000,0)</f>
        <v>0</v>
      </c>
      <c r="N948" s="1">
        <f>+IFERROR(VLOOKUP(N29,'נתוני מים 2014'!$C$2:$N$188,12,0)/1000,0)</f>
        <v>0</v>
      </c>
      <c r="O948" s="1">
        <f>+IFERROR(VLOOKUP(O29,'נתוני מים 2014'!$C$2:$N$188,12,0)/1000,0)</f>
        <v>0</v>
      </c>
      <c r="P948" s="1">
        <f>+IFERROR(VLOOKUP(P29,'נתוני מים 2014'!$C$2:$N$188,12,0)/1000,0)</f>
        <v>0</v>
      </c>
      <c r="Q948" s="1">
        <f>+IFERROR(VLOOKUP(Q29,'נתוני מים 2014'!$C$2:$N$188,12,0)/1000,0)</f>
        <v>0</v>
      </c>
      <c r="R948" s="1">
        <f>+IFERROR(VLOOKUP(R29,'נתוני מים 2014'!$C$2:$N$188,12,0)/1000,0)</f>
        <v>0</v>
      </c>
      <c r="S948" s="1">
        <f>+IFERROR(VLOOKUP(S29,'נתוני מים 2014'!$C$2:$N$188,12,0)/1000,0)</f>
        <v>0</v>
      </c>
      <c r="T948" s="1">
        <f>+IFERROR(VLOOKUP(T29,'נתוני מים 2014'!$C$2:$N$188,12,0)/1000,0)</f>
        <v>0</v>
      </c>
      <c r="U948" s="1">
        <f>+IFERROR(VLOOKUP(U29,'נתוני מים 2014'!$C$2:$N$188,12,0)/1000,0)</f>
        <v>0</v>
      </c>
      <c r="V948" s="1">
        <f>+IFERROR(VLOOKUP(V29,'נתוני מים 2014'!$C$2:$N$188,12,0)/1000,0)</f>
        <v>0</v>
      </c>
      <c r="W948" s="1">
        <f>+IFERROR(VLOOKUP(W29,'נתוני מים 2014'!$C$2:$N$188,12,0)/1000,0)</f>
        <v>0</v>
      </c>
      <c r="X948" s="1">
        <f>+IFERROR(VLOOKUP(X29,'נתוני מים 2014'!$C$2:$N$188,12,0)/1000,0)</f>
        <v>0</v>
      </c>
      <c r="Y948" s="1">
        <f>+IFERROR(VLOOKUP(Y29,'נתוני מים 2014'!$C$2:$N$188,12,0)/1000,0)</f>
        <v>0</v>
      </c>
      <c r="Z948" s="1">
        <f>+IFERROR(VLOOKUP(Z29,'נתוני מים 2014'!$C$2:$N$188,12,0)/1000,0)</f>
        <v>0</v>
      </c>
      <c r="AA948" s="1">
        <f>+IFERROR(VLOOKUP(AA29,'נתוני מים 2014'!$C$2:$N$188,12,0)/1000,0)</f>
        <v>0</v>
      </c>
      <c r="AB948" s="1">
        <f>+IFERROR(VLOOKUP(AB29,'נתוני מים 2014'!$C$2:$N$188,12,0)/1000,0)</f>
        <v>0</v>
      </c>
      <c r="AC948" s="1">
        <f>+IFERROR(VLOOKUP(AC29,'נתוני מים 2014'!$C$2:$N$188,12,0)/1000,0)</f>
        <v>0</v>
      </c>
      <c r="AD948" s="1">
        <f>+IFERROR(VLOOKUP(AD29,'נתוני מים 2014'!$C$2:$N$188,12,0)/1000,0)</f>
        <v>0</v>
      </c>
      <c r="AE948" s="1">
        <f>+IFERROR(VLOOKUP(AE29,'נתוני מים 2014'!$C$2:$N$188,12,0)/1000,0)</f>
        <v>0</v>
      </c>
      <c r="AF948" s="1">
        <f>+IFERROR(VLOOKUP(AF29,'נתוני מים 2014'!$C$2:$N$188,12,0)/1000,0)</f>
        <v>0</v>
      </c>
      <c r="AG948" s="1">
        <f>+IFERROR(VLOOKUP(AG29,'נתוני מים 2014'!$C$2:$N$188,12,0)/1000,0)</f>
        <v>0</v>
      </c>
      <c r="AH948" s="1">
        <f>+IFERROR(VLOOKUP(AH29,'נתוני מים 2014'!$C$2:$N$188,12,0)/1000,0)</f>
        <v>0</v>
      </c>
      <c r="AI948" s="1">
        <f>+IFERROR(VLOOKUP(AI29,'נתוני מים 2014'!$C$2:$N$188,12,0)/1000,0)</f>
        <v>0</v>
      </c>
      <c r="AJ948" s="1">
        <f>+IFERROR(VLOOKUP(AJ29,'נתוני מים 2014'!$C$2:$N$188,12,0)/1000,0)</f>
        <v>0</v>
      </c>
      <c r="AK948" s="1">
        <f>+IFERROR(VLOOKUP(AK29,'נתוני מים 2014'!$C$2:$N$188,12,0)/1000,0)</f>
        <v>0</v>
      </c>
      <c r="AL948" s="1">
        <f>+IFERROR(VLOOKUP(AL29,'נתוני מים 2014'!$C$2:$N$188,12,0)/1000,0)</f>
        <v>0</v>
      </c>
      <c r="AM948" s="1">
        <f>+IFERROR(VLOOKUP(AM29,'נתוני מים 2014'!$C$2:$N$188,12,0)/1000,0)</f>
        <v>0</v>
      </c>
      <c r="AN948" s="1">
        <f>+IFERROR(VLOOKUP(AN29,'נתוני מים 2014'!$C$2:$N$188,12,0)/1000,0)</f>
        <v>0</v>
      </c>
      <c r="AO948" s="1">
        <f>+IFERROR(VLOOKUP(AO29,'נתוני מים 2014'!$C$2:$N$188,12,0)/1000,0)</f>
        <v>0</v>
      </c>
      <c r="AP948" s="1">
        <f>+IFERROR(VLOOKUP(AP29,'נתוני מים 2014'!$C$2:$N$188,12,0)/1000,0)</f>
        <v>0</v>
      </c>
      <c r="AQ948" s="1">
        <f>+IFERROR(VLOOKUP(AQ29,'נתוני מים 2014'!$C$2:$N$188,12,0)/1000,0)</f>
        <v>0</v>
      </c>
      <c r="AR948" s="1">
        <f>+IFERROR(VLOOKUP(AR29,'נתוני מים 2014'!$C$2:$N$188,12,0)/1000,0)</f>
        <v>0</v>
      </c>
      <c r="AS948" s="1">
        <f>+IFERROR(VLOOKUP(AS29,'נתוני מים 2014'!$C$2:$N$188,12,0)/1000,0)</f>
        <v>0</v>
      </c>
      <c r="AT948" s="1">
        <f>+IFERROR(VLOOKUP(AT29,'נתוני מים 2014'!$C$2:$N$188,12,0)/1000,0)</f>
        <v>0</v>
      </c>
      <c r="AU948" s="1">
        <f>+IFERROR(VLOOKUP(AU29,'נתוני מים 2014'!$C$2:$N$188,12,0)/1000,0)</f>
        <v>0</v>
      </c>
      <c r="AV948" s="1">
        <f>+IFERROR(VLOOKUP(AV29,'נתוני מים 2014'!$C$2:$N$188,12,0)/1000,0)</f>
        <v>0</v>
      </c>
      <c r="AW948" s="1">
        <f>+IFERROR(VLOOKUP(AW29,'נתוני מים 2014'!$C$2:$N$188,12,0)/1000,0)</f>
        <v>0</v>
      </c>
      <c r="AX948" s="1">
        <f>+IFERROR(VLOOKUP(AX29,'נתוני מים 2014'!$C$2:$N$188,12,0)/1000,0)</f>
        <v>0</v>
      </c>
      <c r="AY948" s="1">
        <f>+IFERROR(VLOOKUP(AY29,'נתוני מים 2014'!$C$2:$N$188,12,0)/1000,0)</f>
        <v>0</v>
      </c>
      <c r="AZ948" s="1">
        <f>+IFERROR(VLOOKUP(AZ29,'נתוני מים 2014'!$C$2:$N$188,12,0)/1000,0)</f>
        <v>0</v>
      </c>
      <c r="BA948" s="1">
        <f>+IFERROR(VLOOKUP(BA29,'נתוני מים 2014'!$C$2:$N$188,12,0)/1000,0)</f>
        <v>0</v>
      </c>
      <c r="BB948" s="1">
        <f>+IFERROR(VLOOKUP(BB29,'נתוני מים 2014'!$C$2:$N$188,12,0)/1000,0)</f>
        <v>0</v>
      </c>
      <c r="BC948" s="1">
        <f>+IFERROR(VLOOKUP(BC29,'נתוני מים 2014'!$C$2:$N$188,12,0)/1000,0)</f>
        <v>0</v>
      </c>
      <c r="BD948" s="1">
        <f>+IFERROR(VLOOKUP(BD29,'נתוני מים 2014'!$C$2:$N$188,12,0)/1000,0)</f>
        <v>0</v>
      </c>
      <c r="BE948" s="1">
        <f>+IFERROR(VLOOKUP(BE29,'נתוני מים 2014'!$C$2:$N$188,12,0)/1000,0)</f>
        <v>0</v>
      </c>
      <c r="BF948" s="1">
        <f>+IFERROR(VLOOKUP(BF29,'נתוני מים 2014'!$C$2:$N$188,12,0)/1000,0)</f>
        <v>0</v>
      </c>
    </row>
    <row r="949" spans="1:58" x14ac:dyDescent="0.2">
      <c r="B949" s="1">
        <v>23</v>
      </c>
      <c r="C949" s="1">
        <f>+IFERROR(VLOOKUP(C30,'נתוני מים 2014'!$C$2:$N$188,12,0)/1000,0)</f>
        <v>0</v>
      </c>
      <c r="D949" s="1">
        <f>+IFERROR(VLOOKUP(D30,'נתוני מים 2014'!$C$2:$N$188,12,0)/1000,0)</f>
        <v>0</v>
      </c>
      <c r="E949" s="1">
        <f>+IFERROR(VLOOKUP(E30,'נתוני מים 2014'!$C$2:$N$188,12,0)/1000,0)</f>
        <v>0</v>
      </c>
      <c r="F949" s="1">
        <f>+IFERROR(VLOOKUP(F30,'נתוני מים 2014'!$C$2:$N$188,12,0)/1000,0)</f>
        <v>0</v>
      </c>
      <c r="G949" s="1">
        <f>+IFERROR(VLOOKUP(G30,'נתוני מים 2014'!$C$2:$N$188,12,0)/1000,0)</f>
        <v>0</v>
      </c>
      <c r="H949" s="1">
        <f>+IFERROR(VLOOKUP(H30,'נתוני מים 2014'!$C$2:$N$188,12,0)/1000,0)</f>
        <v>0</v>
      </c>
      <c r="I949" s="1">
        <f>+IFERROR(VLOOKUP(I30,'נתוני מים 2014'!$C$2:$N$188,12,0)/1000,0)</f>
        <v>0</v>
      </c>
      <c r="J949" s="1">
        <f>+IFERROR(VLOOKUP(J30,'נתוני מים 2014'!$C$2:$N$188,12,0)/1000,0)</f>
        <v>0</v>
      </c>
      <c r="K949" s="1">
        <f>+IFERROR(VLOOKUP(K30,'נתוני מים 2014'!$C$2:$N$188,12,0)/1000,0)</f>
        <v>0</v>
      </c>
      <c r="L949" s="1">
        <f>+IFERROR(VLOOKUP(L30,'נתוני מים 2014'!$C$2:$N$188,12,0)/1000,0)</f>
        <v>0</v>
      </c>
      <c r="M949" s="1">
        <f>+IFERROR(VLOOKUP(M30,'נתוני מים 2014'!$C$2:$N$188,12,0)/1000,0)</f>
        <v>0</v>
      </c>
      <c r="N949" s="1">
        <f>+IFERROR(VLOOKUP(N30,'נתוני מים 2014'!$C$2:$N$188,12,0)/1000,0)</f>
        <v>0</v>
      </c>
      <c r="O949" s="1">
        <f>+IFERROR(VLOOKUP(O30,'נתוני מים 2014'!$C$2:$N$188,12,0)/1000,0)</f>
        <v>0</v>
      </c>
      <c r="P949" s="1">
        <f>+IFERROR(VLOOKUP(P30,'נתוני מים 2014'!$C$2:$N$188,12,0)/1000,0)</f>
        <v>0</v>
      </c>
      <c r="Q949" s="1">
        <f>+IFERROR(VLOOKUP(Q30,'נתוני מים 2014'!$C$2:$N$188,12,0)/1000,0)</f>
        <v>0</v>
      </c>
      <c r="R949" s="1">
        <f>+IFERROR(VLOOKUP(R30,'נתוני מים 2014'!$C$2:$N$188,12,0)/1000,0)</f>
        <v>0</v>
      </c>
      <c r="S949" s="1">
        <f>+IFERROR(VLOOKUP(S30,'נתוני מים 2014'!$C$2:$N$188,12,0)/1000,0)</f>
        <v>0</v>
      </c>
      <c r="T949" s="1">
        <f>+IFERROR(VLOOKUP(T30,'נתוני מים 2014'!$C$2:$N$188,12,0)/1000,0)</f>
        <v>0</v>
      </c>
      <c r="U949" s="1">
        <f>+IFERROR(VLOOKUP(U30,'נתוני מים 2014'!$C$2:$N$188,12,0)/1000,0)</f>
        <v>0</v>
      </c>
      <c r="V949" s="1">
        <f>+IFERROR(VLOOKUP(V30,'נתוני מים 2014'!$C$2:$N$188,12,0)/1000,0)</f>
        <v>0</v>
      </c>
      <c r="W949" s="1">
        <f>+IFERROR(VLOOKUP(W30,'נתוני מים 2014'!$C$2:$N$188,12,0)/1000,0)</f>
        <v>0</v>
      </c>
      <c r="X949" s="1">
        <f>+IFERROR(VLOOKUP(X30,'נתוני מים 2014'!$C$2:$N$188,12,0)/1000,0)</f>
        <v>0</v>
      </c>
      <c r="Y949" s="1">
        <f>+IFERROR(VLOOKUP(Y30,'נתוני מים 2014'!$C$2:$N$188,12,0)/1000,0)</f>
        <v>0</v>
      </c>
      <c r="Z949" s="1">
        <f>+IFERROR(VLOOKUP(Z30,'נתוני מים 2014'!$C$2:$N$188,12,0)/1000,0)</f>
        <v>0</v>
      </c>
      <c r="AA949" s="1">
        <f>+IFERROR(VLOOKUP(AA30,'נתוני מים 2014'!$C$2:$N$188,12,0)/1000,0)</f>
        <v>0</v>
      </c>
      <c r="AB949" s="1">
        <f>+IFERROR(VLOOKUP(AB30,'נתוני מים 2014'!$C$2:$N$188,12,0)/1000,0)</f>
        <v>0</v>
      </c>
      <c r="AC949" s="1">
        <f>+IFERROR(VLOOKUP(AC30,'נתוני מים 2014'!$C$2:$N$188,12,0)/1000,0)</f>
        <v>0</v>
      </c>
      <c r="AD949" s="1">
        <f>+IFERROR(VLOOKUP(AD30,'נתוני מים 2014'!$C$2:$N$188,12,0)/1000,0)</f>
        <v>0</v>
      </c>
      <c r="AE949" s="1">
        <f>+IFERROR(VLOOKUP(AE30,'נתוני מים 2014'!$C$2:$N$188,12,0)/1000,0)</f>
        <v>0</v>
      </c>
      <c r="AF949" s="1">
        <f>+IFERROR(VLOOKUP(AF30,'נתוני מים 2014'!$C$2:$N$188,12,0)/1000,0)</f>
        <v>0</v>
      </c>
      <c r="AG949" s="1">
        <f>+IFERROR(VLOOKUP(AG30,'נתוני מים 2014'!$C$2:$N$188,12,0)/1000,0)</f>
        <v>0</v>
      </c>
      <c r="AH949" s="1">
        <f>+IFERROR(VLOOKUP(AH30,'נתוני מים 2014'!$C$2:$N$188,12,0)/1000,0)</f>
        <v>0</v>
      </c>
      <c r="AI949" s="1">
        <f>+IFERROR(VLOOKUP(AI30,'נתוני מים 2014'!$C$2:$N$188,12,0)/1000,0)</f>
        <v>0</v>
      </c>
      <c r="AJ949" s="1">
        <f>+IFERROR(VLOOKUP(AJ30,'נתוני מים 2014'!$C$2:$N$188,12,0)/1000,0)</f>
        <v>0</v>
      </c>
      <c r="AK949" s="1">
        <f>+IFERROR(VLOOKUP(AK30,'נתוני מים 2014'!$C$2:$N$188,12,0)/1000,0)</f>
        <v>0</v>
      </c>
      <c r="AL949" s="1">
        <f>+IFERROR(VLOOKUP(AL30,'נתוני מים 2014'!$C$2:$N$188,12,0)/1000,0)</f>
        <v>0</v>
      </c>
      <c r="AM949" s="1">
        <f>+IFERROR(VLOOKUP(AM30,'נתוני מים 2014'!$C$2:$N$188,12,0)/1000,0)</f>
        <v>0</v>
      </c>
      <c r="AN949" s="1">
        <f>+IFERROR(VLOOKUP(AN30,'נתוני מים 2014'!$C$2:$N$188,12,0)/1000,0)</f>
        <v>0</v>
      </c>
      <c r="AO949" s="1">
        <f>+IFERROR(VLOOKUP(AO30,'נתוני מים 2014'!$C$2:$N$188,12,0)/1000,0)</f>
        <v>0</v>
      </c>
      <c r="AP949" s="1">
        <f>+IFERROR(VLOOKUP(AP30,'נתוני מים 2014'!$C$2:$N$188,12,0)/1000,0)</f>
        <v>0</v>
      </c>
      <c r="AQ949" s="1">
        <f>+IFERROR(VLOOKUP(AQ30,'נתוני מים 2014'!$C$2:$N$188,12,0)/1000,0)</f>
        <v>0</v>
      </c>
      <c r="AR949" s="1">
        <f>+IFERROR(VLOOKUP(AR30,'נתוני מים 2014'!$C$2:$N$188,12,0)/1000,0)</f>
        <v>0</v>
      </c>
      <c r="AS949" s="1">
        <f>+IFERROR(VLOOKUP(AS30,'נתוני מים 2014'!$C$2:$N$188,12,0)/1000,0)</f>
        <v>0</v>
      </c>
      <c r="AT949" s="1">
        <f>+IFERROR(VLOOKUP(AT30,'נתוני מים 2014'!$C$2:$N$188,12,0)/1000,0)</f>
        <v>0</v>
      </c>
      <c r="AU949" s="1">
        <f>+IFERROR(VLOOKUP(AU30,'נתוני מים 2014'!$C$2:$N$188,12,0)/1000,0)</f>
        <v>0</v>
      </c>
      <c r="AV949" s="1">
        <f>+IFERROR(VLOOKUP(AV30,'נתוני מים 2014'!$C$2:$N$188,12,0)/1000,0)</f>
        <v>0</v>
      </c>
      <c r="AW949" s="1">
        <f>+IFERROR(VLOOKUP(AW30,'נתוני מים 2014'!$C$2:$N$188,12,0)/1000,0)</f>
        <v>0</v>
      </c>
      <c r="AX949" s="1">
        <f>+IFERROR(VLOOKUP(AX30,'נתוני מים 2014'!$C$2:$N$188,12,0)/1000,0)</f>
        <v>0</v>
      </c>
      <c r="AY949" s="1">
        <f>+IFERROR(VLOOKUP(AY30,'נתוני מים 2014'!$C$2:$N$188,12,0)/1000,0)</f>
        <v>0</v>
      </c>
      <c r="AZ949" s="1">
        <f>+IFERROR(VLOOKUP(AZ30,'נתוני מים 2014'!$C$2:$N$188,12,0)/1000,0)</f>
        <v>0</v>
      </c>
      <c r="BA949" s="1">
        <f>+IFERROR(VLOOKUP(BA30,'נתוני מים 2014'!$C$2:$N$188,12,0)/1000,0)</f>
        <v>0</v>
      </c>
      <c r="BB949" s="1">
        <f>+IFERROR(VLOOKUP(BB30,'נתוני מים 2014'!$C$2:$N$188,12,0)/1000,0)</f>
        <v>0</v>
      </c>
      <c r="BC949" s="1">
        <f>+IFERROR(VLOOKUP(BC30,'נתוני מים 2014'!$C$2:$N$188,12,0)/1000,0)</f>
        <v>0</v>
      </c>
      <c r="BD949" s="1">
        <f>+IFERROR(VLOOKUP(BD30,'נתוני מים 2014'!$C$2:$N$188,12,0)/1000,0)</f>
        <v>0</v>
      </c>
      <c r="BE949" s="1">
        <f>+IFERROR(VLOOKUP(BE30,'נתוני מים 2014'!$C$2:$N$188,12,0)/1000,0)</f>
        <v>0</v>
      </c>
      <c r="BF949" s="1">
        <f>+IFERROR(VLOOKUP(BF30,'נתוני מים 2014'!$C$2:$N$188,12,0)/1000,0)</f>
        <v>0</v>
      </c>
    </row>
    <row r="950" spans="1:58" x14ac:dyDescent="0.2">
      <c r="B950" s="1">
        <v>24</v>
      </c>
      <c r="C950" s="1">
        <f>+IFERROR(VLOOKUP(C31,'נתוני מים 2014'!$C$2:$N$188,12,0)/1000,0)</f>
        <v>0</v>
      </c>
      <c r="D950" s="1">
        <f>+IFERROR(VLOOKUP(D31,'נתוני מים 2014'!$C$2:$N$188,12,0)/1000,0)</f>
        <v>0</v>
      </c>
      <c r="E950" s="1">
        <f>+IFERROR(VLOOKUP(E31,'נתוני מים 2014'!$C$2:$N$188,12,0)/1000,0)</f>
        <v>0</v>
      </c>
      <c r="F950" s="1">
        <f>+IFERROR(VLOOKUP(F31,'נתוני מים 2014'!$C$2:$N$188,12,0)/1000,0)</f>
        <v>0</v>
      </c>
      <c r="G950" s="1">
        <f>+IFERROR(VLOOKUP(G31,'נתוני מים 2014'!$C$2:$N$188,12,0)/1000,0)</f>
        <v>0</v>
      </c>
      <c r="H950" s="1">
        <f>+IFERROR(VLOOKUP(H31,'נתוני מים 2014'!$C$2:$N$188,12,0)/1000,0)</f>
        <v>0</v>
      </c>
      <c r="I950" s="1">
        <f>+IFERROR(VLOOKUP(I31,'נתוני מים 2014'!$C$2:$N$188,12,0)/1000,0)</f>
        <v>0</v>
      </c>
      <c r="J950" s="1">
        <f>+IFERROR(VLOOKUP(J31,'נתוני מים 2014'!$C$2:$N$188,12,0)/1000,0)</f>
        <v>0</v>
      </c>
      <c r="K950" s="1">
        <f>+IFERROR(VLOOKUP(K31,'נתוני מים 2014'!$C$2:$N$188,12,0)/1000,0)</f>
        <v>0</v>
      </c>
      <c r="L950" s="1">
        <f>+IFERROR(VLOOKUP(L31,'נתוני מים 2014'!$C$2:$N$188,12,0)/1000,0)</f>
        <v>0</v>
      </c>
      <c r="M950" s="1">
        <f>+IFERROR(VLOOKUP(M31,'נתוני מים 2014'!$C$2:$N$188,12,0)/1000,0)</f>
        <v>0</v>
      </c>
      <c r="N950" s="1">
        <f>+IFERROR(VLOOKUP(N31,'נתוני מים 2014'!$C$2:$N$188,12,0)/1000,0)</f>
        <v>0</v>
      </c>
      <c r="O950" s="1">
        <f>+IFERROR(VLOOKUP(O31,'נתוני מים 2014'!$C$2:$N$188,12,0)/1000,0)</f>
        <v>0</v>
      </c>
      <c r="P950" s="1">
        <f>+IFERROR(VLOOKUP(P31,'נתוני מים 2014'!$C$2:$N$188,12,0)/1000,0)</f>
        <v>0</v>
      </c>
      <c r="Q950" s="1">
        <f>+IFERROR(VLOOKUP(Q31,'נתוני מים 2014'!$C$2:$N$188,12,0)/1000,0)</f>
        <v>0</v>
      </c>
      <c r="R950" s="1">
        <f>+IFERROR(VLOOKUP(R31,'נתוני מים 2014'!$C$2:$N$188,12,0)/1000,0)</f>
        <v>0</v>
      </c>
      <c r="S950" s="1">
        <f>+IFERROR(VLOOKUP(S31,'נתוני מים 2014'!$C$2:$N$188,12,0)/1000,0)</f>
        <v>0</v>
      </c>
      <c r="T950" s="1">
        <f>+IFERROR(VLOOKUP(T31,'נתוני מים 2014'!$C$2:$N$188,12,0)/1000,0)</f>
        <v>0</v>
      </c>
      <c r="U950" s="1">
        <f>+IFERROR(VLOOKUP(U31,'נתוני מים 2014'!$C$2:$N$188,12,0)/1000,0)</f>
        <v>0</v>
      </c>
      <c r="V950" s="1">
        <f>+IFERROR(VLOOKUP(V31,'נתוני מים 2014'!$C$2:$N$188,12,0)/1000,0)</f>
        <v>0</v>
      </c>
      <c r="W950" s="1">
        <f>+IFERROR(VLOOKUP(W31,'נתוני מים 2014'!$C$2:$N$188,12,0)/1000,0)</f>
        <v>0</v>
      </c>
      <c r="X950" s="1">
        <f>+IFERROR(VLOOKUP(X31,'נתוני מים 2014'!$C$2:$N$188,12,0)/1000,0)</f>
        <v>0</v>
      </c>
      <c r="Y950" s="1">
        <f>+IFERROR(VLOOKUP(Y31,'נתוני מים 2014'!$C$2:$N$188,12,0)/1000,0)</f>
        <v>0</v>
      </c>
      <c r="Z950" s="1">
        <f>+IFERROR(VLOOKUP(Z31,'נתוני מים 2014'!$C$2:$N$188,12,0)/1000,0)</f>
        <v>0</v>
      </c>
      <c r="AA950" s="1">
        <f>+IFERROR(VLOOKUP(AA31,'נתוני מים 2014'!$C$2:$N$188,12,0)/1000,0)</f>
        <v>0</v>
      </c>
      <c r="AB950" s="1">
        <f>+IFERROR(VLOOKUP(AB31,'נתוני מים 2014'!$C$2:$N$188,12,0)/1000,0)</f>
        <v>0</v>
      </c>
      <c r="AC950" s="1">
        <f>+IFERROR(VLOOKUP(AC31,'נתוני מים 2014'!$C$2:$N$188,12,0)/1000,0)</f>
        <v>0</v>
      </c>
      <c r="AD950" s="1">
        <f>+IFERROR(VLOOKUP(AD31,'נתוני מים 2014'!$C$2:$N$188,12,0)/1000,0)</f>
        <v>0</v>
      </c>
      <c r="AE950" s="1">
        <f>+IFERROR(VLOOKUP(AE31,'נתוני מים 2014'!$C$2:$N$188,12,0)/1000,0)</f>
        <v>0</v>
      </c>
      <c r="AF950" s="1">
        <f>+IFERROR(VLOOKUP(AF31,'נתוני מים 2014'!$C$2:$N$188,12,0)/1000,0)</f>
        <v>0</v>
      </c>
      <c r="AG950" s="1">
        <f>+IFERROR(VLOOKUP(AG31,'נתוני מים 2014'!$C$2:$N$188,12,0)/1000,0)</f>
        <v>0</v>
      </c>
      <c r="AH950" s="1">
        <f>+IFERROR(VLOOKUP(AH31,'נתוני מים 2014'!$C$2:$N$188,12,0)/1000,0)</f>
        <v>0</v>
      </c>
      <c r="AI950" s="1">
        <f>+IFERROR(VLOOKUP(AI31,'נתוני מים 2014'!$C$2:$N$188,12,0)/1000,0)</f>
        <v>0</v>
      </c>
      <c r="AJ950" s="1">
        <f>+IFERROR(VLOOKUP(AJ31,'נתוני מים 2014'!$C$2:$N$188,12,0)/1000,0)</f>
        <v>0</v>
      </c>
      <c r="AK950" s="1">
        <f>+IFERROR(VLOOKUP(AK31,'נתוני מים 2014'!$C$2:$N$188,12,0)/1000,0)</f>
        <v>0</v>
      </c>
      <c r="AL950" s="1">
        <f>+IFERROR(VLOOKUP(AL31,'נתוני מים 2014'!$C$2:$N$188,12,0)/1000,0)</f>
        <v>0</v>
      </c>
      <c r="AM950" s="1">
        <f>+IFERROR(VLOOKUP(AM31,'נתוני מים 2014'!$C$2:$N$188,12,0)/1000,0)</f>
        <v>0</v>
      </c>
      <c r="AN950" s="1">
        <f>+IFERROR(VLOOKUP(AN31,'נתוני מים 2014'!$C$2:$N$188,12,0)/1000,0)</f>
        <v>0</v>
      </c>
      <c r="AO950" s="1">
        <f>+IFERROR(VLOOKUP(AO31,'נתוני מים 2014'!$C$2:$N$188,12,0)/1000,0)</f>
        <v>0</v>
      </c>
      <c r="AP950" s="1">
        <f>+IFERROR(VLOOKUP(AP31,'נתוני מים 2014'!$C$2:$N$188,12,0)/1000,0)</f>
        <v>0</v>
      </c>
      <c r="AQ950" s="1">
        <f>+IFERROR(VLOOKUP(AQ31,'נתוני מים 2014'!$C$2:$N$188,12,0)/1000,0)</f>
        <v>0</v>
      </c>
      <c r="AR950" s="1">
        <f>+IFERROR(VLOOKUP(AR31,'נתוני מים 2014'!$C$2:$N$188,12,0)/1000,0)</f>
        <v>0</v>
      </c>
      <c r="AS950" s="1">
        <f>+IFERROR(VLOOKUP(AS31,'נתוני מים 2014'!$C$2:$N$188,12,0)/1000,0)</f>
        <v>0</v>
      </c>
      <c r="AT950" s="1">
        <f>+IFERROR(VLOOKUP(AT31,'נתוני מים 2014'!$C$2:$N$188,12,0)/1000,0)</f>
        <v>0</v>
      </c>
      <c r="AU950" s="1">
        <f>+IFERROR(VLOOKUP(AU31,'נתוני מים 2014'!$C$2:$N$188,12,0)/1000,0)</f>
        <v>0</v>
      </c>
      <c r="AV950" s="1">
        <f>+IFERROR(VLOOKUP(AV31,'נתוני מים 2014'!$C$2:$N$188,12,0)/1000,0)</f>
        <v>0</v>
      </c>
      <c r="AW950" s="1">
        <f>+IFERROR(VLOOKUP(AW31,'נתוני מים 2014'!$C$2:$N$188,12,0)/1000,0)</f>
        <v>0</v>
      </c>
      <c r="AX950" s="1">
        <f>+IFERROR(VLOOKUP(AX31,'נתוני מים 2014'!$C$2:$N$188,12,0)/1000,0)</f>
        <v>0</v>
      </c>
      <c r="AY950" s="1">
        <f>+IFERROR(VLOOKUP(AY31,'נתוני מים 2014'!$C$2:$N$188,12,0)/1000,0)</f>
        <v>0</v>
      </c>
      <c r="AZ950" s="1">
        <f>+IFERROR(VLOOKUP(AZ31,'נתוני מים 2014'!$C$2:$N$188,12,0)/1000,0)</f>
        <v>0</v>
      </c>
      <c r="BA950" s="1">
        <f>+IFERROR(VLOOKUP(BA31,'נתוני מים 2014'!$C$2:$N$188,12,0)/1000,0)</f>
        <v>0</v>
      </c>
      <c r="BB950" s="1">
        <f>+IFERROR(VLOOKUP(BB31,'נתוני מים 2014'!$C$2:$N$188,12,0)/1000,0)</f>
        <v>0</v>
      </c>
      <c r="BC950" s="1">
        <f>+IFERROR(VLOOKUP(BC31,'נתוני מים 2014'!$C$2:$N$188,12,0)/1000,0)</f>
        <v>0</v>
      </c>
      <c r="BD950" s="1">
        <f>+IFERROR(VLOOKUP(BD31,'נתוני מים 2014'!$C$2:$N$188,12,0)/1000,0)</f>
        <v>0</v>
      </c>
      <c r="BE950" s="1">
        <f>+IFERROR(VLOOKUP(BE31,'נתוני מים 2014'!$C$2:$N$188,12,0)/1000,0)</f>
        <v>0</v>
      </c>
      <c r="BF950" s="1">
        <f>+IFERROR(VLOOKUP(BF31,'נתוני מים 2014'!$C$2:$N$188,12,0)/1000,0)</f>
        <v>0</v>
      </c>
    </row>
    <row r="951" spans="1:58" x14ac:dyDescent="0.2">
      <c r="B951" s="1">
        <v>25</v>
      </c>
      <c r="C951" s="1">
        <f>+IFERROR(VLOOKUP(C32,'נתוני מים 2014'!$C$2:$N$188,12,0)/1000,0)</f>
        <v>0</v>
      </c>
      <c r="D951" s="1">
        <f>+IFERROR(VLOOKUP(D32,'נתוני מים 2014'!$C$2:$N$188,12,0)/1000,0)</f>
        <v>0</v>
      </c>
      <c r="E951" s="1">
        <f>+IFERROR(VLOOKUP(E32,'נתוני מים 2014'!$C$2:$N$188,12,0)/1000,0)</f>
        <v>0</v>
      </c>
      <c r="F951" s="1">
        <f>+IFERROR(VLOOKUP(F32,'נתוני מים 2014'!$C$2:$N$188,12,0)/1000,0)</f>
        <v>0</v>
      </c>
      <c r="G951" s="1">
        <f>+IFERROR(VLOOKUP(G32,'נתוני מים 2014'!$C$2:$N$188,12,0)/1000,0)</f>
        <v>0</v>
      </c>
      <c r="H951" s="1">
        <f>+IFERROR(VLOOKUP(H32,'נתוני מים 2014'!$C$2:$N$188,12,0)/1000,0)</f>
        <v>0</v>
      </c>
      <c r="I951" s="1">
        <f>+IFERROR(VLOOKUP(I32,'נתוני מים 2014'!$C$2:$N$188,12,0)/1000,0)</f>
        <v>0</v>
      </c>
      <c r="J951" s="1">
        <f>+IFERROR(VLOOKUP(J32,'נתוני מים 2014'!$C$2:$N$188,12,0)/1000,0)</f>
        <v>0</v>
      </c>
      <c r="K951" s="1">
        <f>+IFERROR(VLOOKUP(K32,'נתוני מים 2014'!$C$2:$N$188,12,0)/1000,0)</f>
        <v>0</v>
      </c>
      <c r="L951" s="1">
        <f>+IFERROR(VLOOKUP(L32,'נתוני מים 2014'!$C$2:$N$188,12,0)/1000,0)</f>
        <v>0</v>
      </c>
      <c r="M951" s="1">
        <f>+IFERROR(VLOOKUP(M32,'נתוני מים 2014'!$C$2:$N$188,12,0)/1000,0)</f>
        <v>0</v>
      </c>
      <c r="N951" s="1">
        <f>+IFERROR(VLOOKUP(N32,'נתוני מים 2014'!$C$2:$N$188,12,0)/1000,0)</f>
        <v>0</v>
      </c>
      <c r="O951" s="1">
        <f>+IFERROR(VLOOKUP(O32,'נתוני מים 2014'!$C$2:$N$188,12,0)/1000,0)</f>
        <v>0</v>
      </c>
      <c r="P951" s="1">
        <f>+IFERROR(VLOOKUP(P32,'נתוני מים 2014'!$C$2:$N$188,12,0)/1000,0)</f>
        <v>0</v>
      </c>
      <c r="Q951" s="1">
        <f>+IFERROR(VLOOKUP(Q32,'נתוני מים 2014'!$C$2:$N$188,12,0)/1000,0)</f>
        <v>0</v>
      </c>
      <c r="R951" s="1">
        <f>+IFERROR(VLOOKUP(R32,'נתוני מים 2014'!$C$2:$N$188,12,0)/1000,0)</f>
        <v>0</v>
      </c>
      <c r="S951" s="1">
        <f>+IFERROR(VLOOKUP(S32,'נתוני מים 2014'!$C$2:$N$188,12,0)/1000,0)</f>
        <v>0</v>
      </c>
      <c r="T951" s="1">
        <f>+IFERROR(VLOOKUP(T32,'נתוני מים 2014'!$C$2:$N$188,12,0)/1000,0)</f>
        <v>0</v>
      </c>
      <c r="U951" s="1">
        <f>+IFERROR(VLOOKUP(U32,'נתוני מים 2014'!$C$2:$N$188,12,0)/1000,0)</f>
        <v>0</v>
      </c>
      <c r="V951" s="1">
        <f>+IFERROR(VLOOKUP(V32,'נתוני מים 2014'!$C$2:$N$188,12,0)/1000,0)</f>
        <v>0</v>
      </c>
      <c r="W951" s="1">
        <f>+IFERROR(VLOOKUP(W32,'נתוני מים 2014'!$C$2:$N$188,12,0)/1000,0)</f>
        <v>0</v>
      </c>
      <c r="X951" s="1">
        <f>+IFERROR(VLOOKUP(X32,'נתוני מים 2014'!$C$2:$N$188,12,0)/1000,0)</f>
        <v>0</v>
      </c>
      <c r="Y951" s="1">
        <f>+IFERROR(VLOOKUP(Y32,'נתוני מים 2014'!$C$2:$N$188,12,0)/1000,0)</f>
        <v>0</v>
      </c>
      <c r="Z951" s="1">
        <f>+IFERROR(VLOOKUP(Z32,'נתוני מים 2014'!$C$2:$N$188,12,0)/1000,0)</f>
        <v>0</v>
      </c>
      <c r="AA951" s="1">
        <f>+IFERROR(VLOOKUP(AA32,'נתוני מים 2014'!$C$2:$N$188,12,0)/1000,0)</f>
        <v>0</v>
      </c>
      <c r="AB951" s="1">
        <f>+IFERROR(VLOOKUP(AB32,'נתוני מים 2014'!$C$2:$N$188,12,0)/1000,0)</f>
        <v>0</v>
      </c>
      <c r="AC951" s="1">
        <f>+IFERROR(VLOOKUP(AC32,'נתוני מים 2014'!$C$2:$N$188,12,0)/1000,0)</f>
        <v>0</v>
      </c>
      <c r="AD951" s="1">
        <f>+IFERROR(VLOOKUP(AD32,'נתוני מים 2014'!$C$2:$N$188,12,0)/1000,0)</f>
        <v>0</v>
      </c>
      <c r="AE951" s="1">
        <f>+IFERROR(VLOOKUP(AE32,'נתוני מים 2014'!$C$2:$N$188,12,0)/1000,0)</f>
        <v>0</v>
      </c>
      <c r="AF951" s="1">
        <f>+IFERROR(VLOOKUP(AF32,'נתוני מים 2014'!$C$2:$N$188,12,0)/1000,0)</f>
        <v>0</v>
      </c>
      <c r="AG951" s="1">
        <f>+IFERROR(VLOOKUP(AG32,'נתוני מים 2014'!$C$2:$N$188,12,0)/1000,0)</f>
        <v>0</v>
      </c>
      <c r="AH951" s="1">
        <f>+IFERROR(VLOOKUP(AH32,'נתוני מים 2014'!$C$2:$N$188,12,0)/1000,0)</f>
        <v>0</v>
      </c>
      <c r="AI951" s="1">
        <f>+IFERROR(VLOOKUP(AI32,'נתוני מים 2014'!$C$2:$N$188,12,0)/1000,0)</f>
        <v>0</v>
      </c>
      <c r="AJ951" s="1">
        <f>+IFERROR(VLOOKUP(AJ32,'נתוני מים 2014'!$C$2:$N$188,12,0)/1000,0)</f>
        <v>0</v>
      </c>
      <c r="AK951" s="1">
        <f>+IFERROR(VLOOKUP(AK32,'נתוני מים 2014'!$C$2:$N$188,12,0)/1000,0)</f>
        <v>0</v>
      </c>
      <c r="AL951" s="1">
        <f>+IFERROR(VLOOKUP(AL32,'נתוני מים 2014'!$C$2:$N$188,12,0)/1000,0)</f>
        <v>0</v>
      </c>
      <c r="AM951" s="1">
        <f>+IFERROR(VLOOKUP(AM32,'נתוני מים 2014'!$C$2:$N$188,12,0)/1000,0)</f>
        <v>0</v>
      </c>
      <c r="AN951" s="1">
        <f>+IFERROR(VLOOKUP(AN32,'נתוני מים 2014'!$C$2:$N$188,12,0)/1000,0)</f>
        <v>0</v>
      </c>
      <c r="AO951" s="1">
        <f>+IFERROR(VLOOKUP(AO32,'נתוני מים 2014'!$C$2:$N$188,12,0)/1000,0)</f>
        <v>0</v>
      </c>
      <c r="AP951" s="1">
        <f>+IFERROR(VLOOKUP(AP32,'נתוני מים 2014'!$C$2:$N$188,12,0)/1000,0)</f>
        <v>0</v>
      </c>
      <c r="AQ951" s="1">
        <f>+IFERROR(VLOOKUP(AQ32,'נתוני מים 2014'!$C$2:$N$188,12,0)/1000,0)</f>
        <v>0</v>
      </c>
      <c r="AR951" s="1">
        <f>+IFERROR(VLOOKUP(AR32,'נתוני מים 2014'!$C$2:$N$188,12,0)/1000,0)</f>
        <v>0</v>
      </c>
      <c r="AS951" s="1">
        <f>+IFERROR(VLOOKUP(AS32,'נתוני מים 2014'!$C$2:$N$188,12,0)/1000,0)</f>
        <v>0</v>
      </c>
      <c r="AT951" s="1">
        <f>+IFERROR(VLOOKUP(AT32,'נתוני מים 2014'!$C$2:$N$188,12,0)/1000,0)</f>
        <v>0</v>
      </c>
      <c r="AU951" s="1">
        <f>+IFERROR(VLOOKUP(AU32,'נתוני מים 2014'!$C$2:$N$188,12,0)/1000,0)</f>
        <v>0</v>
      </c>
      <c r="AV951" s="1">
        <f>+IFERROR(VLOOKUP(AV32,'נתוני מים 2014'!$C$2:$N$188,12,0)/1000,0)</f>
        <v>0</v>
      </c>
      <c r="AW951" s="1">
        <f>+IFERROR(VLOOKUP(AW32,'נתוני מים 2014'!$C$2:$N$188,12,0)/1000,0)</f>
        <v>0</v>
      </c>
      <c r="AX951" s="1">
        <f>+IFERROR(VLOOKUP(AX32,'נתוני מים 2014'!$C$2:$N$188,12,0)/1000,0)</f>
        <v>0</v>
      </c>
      <c r="AY951" s="1">
        <f>+IFERROR(VLOOKUP(AY32,'נתוני מים 2014'!$C$2:$N$188,12,0)/1000,0)</f>
        <v>0</v>
      </c>
      <c r="AZ951" s="1">
        <f>+IFERROR(VLOOKUP(AZ32,'נתוני מים 2014'!$C$2:$N$188,12,0)/1000,0)</f>
        <v>0</v>
      </c>
      <c r="BA951" s="1">
        <f>+IFERROR(VLOOKUP(BA32,'נתוני מים 2014'!$C$2:$N$188,12,0)/1000,0)</f>
        <v>0</v>
      </c>
      <c r="BB951" s="1">
        <f>+IFERROR(VLOOKUP(BB32,'נתוני מים 2014'!$C$2:$N$188,12,0)/1000,0)</f>
        <v>0</v>
      </c>
      <c r="BC951" s="1">
        <f>+IFERROR(VLOOKUP(BC32,'נתוני מים 2014'!$C$2:$N$188,12,0)/1000,0)</f>
        <v>0</v>
      </c>
      <c r="BD951" s="1">
        <f>+IFERROR(VLOOKUP(BD32,'נתוני מים 2014'!$C$2:$N$188,12,0)/1000,0)</f>
        <v>0</v>
      </c>
      <c r="BE951" s="1">
        <f>+IFERROR(VLOOKUP(BE32,'נתוני מים 2014'!$C$2:$N$188,12,0)/1000,0)</f>
        <v>0</v>
      </c>
      <c r="BF951" s="1">
        <f>+IFERROR(VLOOKUP(BF32,'נתוני מים 2014'!$C$2:$N$188,12,0)/1000,0)</f>
        <v>0</v>
      </c>
    </row>
    <row r="952" spans="1:58" x14ac:dyDescent="0.2">
      <c r="B952" s="1">
        <v>26</v>
      </c>
      <c r="C952" s="1">
        <f>+IFERROR(VLOOKUP(C33,'נתוני מים 2014'!$C$2:$N$188,12,0)/1000,0)</f>
        <v>0</v>
      </c>
      <c r="D952" s="1">
        <f>+IFERROR(VLOOKUP(D33,'נתוני מים 2014'!$C$2:$N$188,12,0)/1000,0)</f>
        <v>0</v>
      </c>
      <c r="E952" s="1">
        <f>+IFERROR(VLOOKUP(E33,'נתוני מים 2014'!$C$2:$N$188,12,0)/1000,0)</f>
        <v>0</v>
      </c>
      <c r="F952" s="1">
        <f>+IFERROR(VLOOKUP(F33,'נתוני מים 2014'!$C$2:$N$188,12,0)/1000,0)</f>
        <v>0</v>
      </c>
      <c r="G952" s="1">
        <f>+IFERROR(VLOOKUP(G33,'נתוני מים 2014'!$C$2:$N$188,12,0)/1000,0)</f>
        <v>0</v>
      </c>
      <c r="H952" s="1">
        <f>+IFERROR(VLOOKUP(H33,'נתוני מים 2014'!$C$2:$N$188,12,0)/1000,0)</f>
        <v>0</v>
      </c>
      <c r="I952" s="1">
        <f>+IFERROR(VLOOKUP(I33,'נתוני מים 2014'!$C$2:$N$188,12,0)/1000,0)</f>
        <v>0</v>
      </c>
      <c r="J952" s="1">
        <f>+IFERROR(VLOOKUP(J33,'נתוני מים 2014'!$C$2:$N$188,12,0)/1000,0)</f>
        <v>0</v>
      </c>
      <c r="K952" s="1">
        <f>+IFERROR(VLOOKUP(K33,'נתוני מים 2014'!$C$2:$N$188,12,0)/1000,0)</f>
        <v>0</v>
      </c>
      <c r="L952" s="1">
        <f>+IFERROR(VLOOKUP(L33,'נתוני מים 2014'!$C$2:$N$188,12,0)/1000,0)</f>
        <v>0</v>
      </c>
      <c r="M952" s="1">
        <f>+IFERROR(VLOOKUP(M33,'נתוני מים 2014'!$C$2:$N$188,12,0)/1000,0)</f>
        <v>0</v>
      </c>
      <c r="N952" s="1">
        <f>+IFERROR(VLOOKUP(N33,'נתוני מים 2014'!$C$2:$N$188,12,0)/1000,0)</f>
        <v>0</v>
      </c>
      <c r="O952" s="1">
        <f>+IFERROR(VLOOKUP(O33,'נתוני מים 2014'!$C$2:$N$188,12,0)/1000,0)</f>
        <v>0</v>
      </c>
      <c r="P952" s="1">
        <f>+IFERROR(VLOOKUP(P33,'נתוני מים 2014'!$C$2:$N$188,12,0)/1000,0)</f>
        <v>0</v>
      </c>
      <c r="Q952" s="1">
        <f>+IFERROR(VLOOKUP(Q33,'נתוני מים 2014'!$C$2:$N$188,12,0)/1000,0)</f>
        <v>0</v>
      </c>
      <c r="R952" s="1">
        <f>+IFERROR(VLOOKUP(R33,'נתוני מים 2014'!$C$2:$N$188,12,0)/1000,0)</f>
        <v>0</v>
      </c>
      <c r="S952" s="1">
        <f>+IFERROR(VLOOKUP(S33,'נתוני מים 2014'!$C$2:$N$188,12,0)/1000,0)</f>
        <v>0</v>
      </c>
      <c r="T952" s="1">
        <f>+IFERROR(VLOOKUP(T33,'נתוני מים 2014'!$C$2:$N$188,12,0)/1000,0)</f>
        <v>0</v>
      </c>
      <c r="U952" s="1">
        <f>+IFERROR(VLOOKUP(U33,'נתוני מים 2014'!$C$2:$N$188,12,0)/1000,0)</f>
        <v>0</v>
      </c>
      <c r="V952" s="1">
        <f>+IFERROR(VLOOKUP(V33,'נתוני מים 2014'!$C$2:$N$188,12,0)/1000,0)</f>
        <v>0</v>
      </c>
      <c r="W952" s="1">
        <f>+IFERROR(VLOOKUP(W33,'נתוני מים 2014'!$C$2:$N$188,12,0)/1000,0)</f>
        <v>0</v>
      </c>
      <c r="X952" s="1">
        <f>+IFERROR(VLOOKUP(X33,'נתוני מים 2014'!$C$2:$N$188,12,0)/1000,0)</f>
        <v>0</v>
      </c>
      <c r="Y952" s="1">
        <f>+IFERROR(VLOOKUP(Y33,'נתוני מים 2014'!$C$2:$N$188,12,0)/1000,0)</f>
        <v>0</v>
      </c>
      <c r="Z952" s="1">
        <f>+IFERROR(VLOOKUP(Z33,'נתוני מים 2014'!$C$2:$N$188,12,0)/1000,0)</f>
        <v>0</v>
      </c>
      <c r="AA952" s="1">
        <f>+IFERROR(VLOOKUP(AA33,'נתוני מים 2014'!$C$2:$N$188,12,0)/1000,0)</f>
        <v>0</v>
      </c>
      <c r="AB952" s="1">
        <f>+IFERROR(VLOOKUP(AB33,'נתוני מים 2014'!$C$2:$N$188,12,0)/1000,0)</f>
        <v>0</v>
      </c>
      <c r="AC952" s="1">
        <f>+IFERROR(VLOOKUP(AC33,'נתוני מים 2014'!$C$2:$N$188,12,0)/1000,0)</f>
        <v>0</v>
      </c>
      <c r="AD952" s="1">
        <f>+IFERROR(VLOOKUP(AD33,'נתוני מים 2014'!$C$2:$N$188,12,0)/1000,0)</f>
        <v>0</v>
      </c>
      <c r="AE952" s="1">
        <f>+IFERROR(VLOOKUP(AE33,'נתוני מים 2014'!$C$2:$N$188,12,0)/1000,0)</f>
        <v>0</v>
      </c>
      <c r="AF952" s="1">
        <f>+IFERROR(VLOOKUP(AF33,'נתוני מים 2014'!$C$2:$N$188,12,0)/1000,0)</f>
        <v>0</v>
      </c>
      <c r="AG952" s="1">
        <f>+IFERROR(VLOOKUP(AG33,'נתוני מים 2014'!$C$2:$N$188,12,0)/1000,0)</f>
        <v>0</v>
      </c>
      <c r="AH952" s="1">
        <f>+IFERROR(VLOOKUP(AH33,'נתוני מים 2014'!$C$2:$N$188,12,0)/1000,0)</f>
        <v>0</v>
      </c>
      <c r="AI952" s="1">
        <f>+IFERROR(VLOOKUP(AI33,'נתוני מים 2014'!$C$2:$N$188,12,0)/1000,0)</f>
        <v>0</v>
      </c>
      <c r="AJ952" s="1">
        <f>+IFERROR(VLOOKUP(AJ33,'נתוני מים 2014'!$C$2:$N$188,12,0)/1000,0)</f>
        <v>0</v>
      </c>
      <c r="AK952" s="1">
        <f>+IFERROR(VLOOKUP(AK33,'נתוני מים 2014'!$C$2:$N$188,12,0)/1000,0)</f>
        <v>0</v>
      </c>
      <c r="AL952" s="1">
        <f>+IFERROR(VLOOKUP(AL33,'נתוני מים 2014'!$C$2:$N$188,12,0)/1000,0)</f>
        <v>0</v>
      </c>
      <c r="AM952" s="1">
        <f>+IFERROR(VLOOKUP(AM33,'נתוני מים 2014'!$C$2:$N$188,12,0)/1000,0)</f>
        <v>0</v>
      </c>
      <c r="AN952" s="1">
        <f>+IFERROR(VLOOKUP(AN33,'נתוני מים 2014'!$C$2:$N$188,12,0)/1000,0)</f>
        <v>0</v>
      </c>
      <c r="AO952" s="1">
        <f>+IFERROR(VLOOKUP(AO33,'נתוני מים 2014'!$C$2:$N$188,12,0)/1000,0)</f>
        <v>0</v>
      </c>
      <c r="AP952" s="1">
        <f>+IFERROR(VLOOKUP(AP33,'נתוני מים 2014'!$C$2:$N$188,12,0)/1000,0)</f>
        <v>0</v>
      </c>
      <c r="AQ952" s="1">
        <f>+IFERROR(VLOOKUP(AQ33,'נתוני מים 2014'!$C$2:$N$188,12,0)/1000,0)</f>
        <v>0</v>
      </c>
      <c r="AR952" s="1">
        <f>+IFERROR(VLOOKUP(AR33,'נתוני מים 2014'!$C$2:$N$188,12,0)/1000,0)</f>
        <v>0</v>
      </c>
      <c r="AS952" s="1">
        <f>+IFERROR(VLOOKUP(AS33,'נתוני מים 2014'!$C$2:$N$188,12,0)/1000,0)</f>
        <v>0</v>
      </c>
      <c r="AT952" s="1">
        <f>+IFERROR(VLOOKUP(AT33,'נתוני מים 2014'!$C$2:$N$188,12,0)/1000,0)</f>
        <v>0</v>
      </c>
      <c r="AU952" s="1">
        <f>+IFERROR(VLOOKUP(AU33,'נתוני מים 2014'!$C$2:$N$188,12,0)/1000,0)</f>
        <v>0</v>
      </c>
      <c r="AV952" s="1">
        <f>+IFERROR(VLOOKUP(AV33,'נתוני מים 2014'!$C$2:$N$188,12,0)/1000,0)</f>
        <v>0</v>
      </c>
      <c r="AW952" s="1">
        <f>+IFERROR(VLOOKUP(AW33,'נתוני מים 2014'!$C$2:$N$188,12,0)/1000,0)</f>
        <v>0</v>
      </c>
      <c r="AX952" s="1">
        <f>+IFERROR(VLOOKUP(AX33,'נתוני מים 2014'!$C$2:$N$188,12,0)/1000,0)</f>
        <v>0</v>
      </c>
      <c r="AY952" s="1">
        <f>+IFERROR(VLOOKUP(AY33,'נתוני מים 2014'!$C$2:$N$188,12,0)/1000,0)</f>
        <v>0</v>
      </c>
      <c r="AZ952" s="1">
        <f>+IFERROR(VLOOKUP(AZ33,'נתוני מים 2014'!$C$2:$N$188,12,0)/1000,0)</f>
        <v>0</v>
      </c>
      <c r="BA952" s="1">
        <f>+IFERROR(VLOOKUP(BA33,'נתוני מים 2014'!$C$2:$N$188,12,0)/1000,0)</f>
        <v>0</v>
      </c>
      <c r="BB952" s="1">
        <f>+IFERROR(VLOOKUP(BB33,'נתוני מים 2014'!$C$2:$N$188,12,0)/1000,0)</f>
        <v>0</v>
      </c>
      <c r="BC952" s="1">
        <f>+IFERROR(VLOOKUP(BC33,'נתוני מים 2014'!$C$2:$N$188,12,0)/1000,0)</f>
        <v>0</v>
      </c>
      <c r="BD952" s="1">
        <f>+IFERROR(VLOOKUP(BD33,'נתוני מים 2014'!$C$2:$N$188,12,0)/1000,0)</f>
        <v>0</v>
      </c>
      <c r="BE952" s="1">
        <f>+IFERROR(VLOOKUP(BE33,'נתוני מים 2014'!$C$2:$N$188,12,0)/1000,0)</f>
        <v>0</v>
      </c>
      <c r="BF952" s="1">
        <f>+IFERROR(VLOOKUP(BF33,'נתוני מים 2014'!$C$2:$N$188,12,0)/1000,0)</f>
        <v>0</v>
      </c>
    </row>
    <row r="953" spans="1:58" x14ac:dyDescent="0.2">
      <c r="B953" s="1">
        <v>27</v>
      </c>
      <c r="C953" s="1">
        <f>+IFERROR(VLOOKUP(C34,'נתוני מים 2014'!$C$2:$N$188,12,0)/1000,0)</f>
        <v>0</v>
      </c>
      <c r="D953" s="1">
        <f>+IFERROR(VLOOKUP(D34,'נתוני מים 2014'!$C$2:$N$188,12,0)/1000,0)</f>
        <v>0</v>
      </c>
      <c r="E953" s="1">
        <f>+IFERROR(VLOOKUP(E34,'נתוני מים 2014'!$C$2:$N$188,12,0)/1000,0)</f>
        <v>0</v>
      </c>
      <c r="F953" s="1">
        <f>+IFERROR(VLOOKUP(F34,'נתוני מים 2014'!$C$2:$N$188,12,0)/1000,0)</f>
        <v>0</v>
      </c>
      <c r="G953" s="1">
        <f>+IFERROR(VLOOKUP(G34,'נתוני מים 2014'!$C$2:$N$188,12,0)/1000,0)</f>
        <v>0</v>
      </c>
      <c r="H953" s="1">
        <f>+IFERROR(VLOOKUP(H34,'נתוני מים 2014'!$C$2:$N$188,12,0)/1000,0)</f>
        <v>0</v>
      </c>
      <c r="I953" s="1">
        <f>+IFERROR(VLOOKUP(I34,'נתוני מים 2014'!$C$2:$N$188,12,0)/1000,0)</f>
        <v>0</v>
      </c>
      <c r="J953" s="1">
        <f>+IFERROR(VLOOKUP(J34,'נתוני מים 2014'!$C$2:$N$188,12,0)/1000,0)</f>
        <v>0</v>
      </c>
      <c r="K953" s="1">
        <f>+IFERROR(VLOOKUP(K34,'נתוני מים 2014'!$C$2:$N$188,12,0)/1000,0)</f>
        <v>0</v>
      </c>
      <c r="L953" s="1">
        <f>+IFERROR(VLOOKUP(L34,'נתוני מים 2014'!$C$2:$N$188,12,0)/1000,0)</f>
        <v>0</v>
      </c>
      <c r="M953" s="1">
        <f>+IFERROR(VLOOKUP(M34,'נתוני מים 2014'!$C$2:$N$188,12,0)/1000,0)</f>
        <v>0</v>
      </c>
      <c r="N953" s="1">
        <f>+IFERROR(VLOOKUP(N34,'נתוני מים 2014'!$C$2:$N$188,12,0)/1000,0)</f>
        <v>0</v>
      </c>
      <c r="O953" s="1">
        <f>+IFERROR(VLOOKUP(O34,'נתוני מים 2014'!$C$2:$N$188,12,0)/1000,0)</f>
        <v>0</v>
      </c>
      <c r="P953" s="1">
        <f>+IFERROR(VLOOKUP(P34,'נתוני מים 2014'!$C$2:$N$188,12,0)/1000,0)</f>
        <v>0</v>
      </c>
      <c r="Q953" s="1">
        <f>+IFERROR(VLOOKUP(Q34,'נתוני מים 2014'!$C$2:$N$188,12,0)/1000,0)</f>
        <v>0</v>
      </c>
      <c r="R953" s="1">
        <f>+IFERROR(VLOOKUP(R34,'נתוני מים 2014'!$C$2:$N$188,12,0)/1000,0)</f>
        <v>0</v>
      </c>
      <c r="S953" s="1">
        <f>+IFERROR(VLOOKUP(S34,'נתוני מים 2014'!$C$2:$N$188,12,0)/1000,0)</f>
        <v>0</v>
      </c>
      <c r="T953" s="1">
        <f>+IFERROR(VLOOKUP(T34,'נתוני מים 2014'!$C$2:$N$188,12,0)/1000,0)</f>
        <v>0</v>
      </c>
      <c r="U953" s="1">
        <f>+IFERROR(VLOOKUP(U34,'נתוני מים 2014'!$C$2:$N$188,12,0)/1000,0)</f>
        <v>0</v>
      </c>
      <c r="V953" s="1">
        <f>+IFERROR(VLOOKUP(V34,'נתוני מים 2014'!$C$2:$N$188,12,0)/1000,0)</f>
        <v>0</v>
      </c>
      <c r="W953" s="1">
        <f>+IFERROR(VLOOKUP(W34,'נתוני מים 2014'!$C$2:$N$188,12,0)/1000,0)</f>
        <v>0</v>
      </c>
      <c r="X953" s="1">
        <f>+IFERROR(VLOOKUP(X34,'נתוני מים 2014'!$C$2:$N$188,12,0)/1000,0)</f>
        <v>0</v>
      </c>
      <c r="Y953" s="1">
        <f>+IFERROR(VLOOKUP(Y34,'נתוני מים 2014'!$C$2:$N$188,12,0)/1000,0)</f>
        <v>0</v>
      </c>
      <c r="Z953" s="1">
        <f>+IFERROR(VLOOKUP(Z34,'נתוני מים 2014'!$C$2:$N$188,12,0)/1000,0)</f>
        <v>0</v>
      </c>
      <c r="AA953" s="1">
        <f>+IFERROR(VLOOKUP(AA34,'נתוני מים 2014'!$C$2:$N$188,12,0)/1000,0)</f>
        <v>0</v>
      </c>
      <c r="AB953" s="1">
        <f>+IFERROR(VLOOKUP(AB34,'נתוני מים 2014'!$C$2:$N$188,12,0)/1000,0)</f>
        <v>0</v>
      </c>
      <c r="AC953" s="1">
        <f>+IFERROR(VLOOKUP(AC34,'נתוני מים 2014'!$C$2:$N$188,12,0)/1000,0)</f>
        <v>0</v>
      </c>
      <c r="AD953" s="1">
        <f>+IFERROR(VLOOKUP(AD34,'נתוני מים 2014'!$C$2:$N$188,12,0)/1000,0)</f>
        <v>0</v>
      </c>
      <c r="AE953" s="1">
        <f>+IFERROR(VLOOKUP(AE34,'נתוני מים 2014'!$C$2:$N$188,12,0)/1000,0)</f>
        <v>0</v>
      </c>
      <c r="AF953" s="1">
        <f>+IFERROR(VLOOKUP(AF34,'נתוני מים 2014'!$C$2:$N$188,12,0)/1000,0)</f>
        <v>0</v>
      </c>
      <c r="AG953" s="1">
        <f>+IFERROR(VLOOKUP(AG34,'נתוני מים 2014'!$C$2:$N$188,12,0)/1000,0)</f>
        <v>0</v>
      </c>
      <c r="AH953" s="1">
        <f>+IFERROR(VLOOKUP(AH34,'נתוני מים 2014'!$C$2:$N$188,12,0)/1000,0)</f>
        <v>0</v>
      </c>
      <c r="AI953" s="1">
        <f>+IFERROR(VLOOKUP(AI34,'נתוני מים 2014'!$C$2:$N$188,12,0)/1000,0)</f>
        <v>0</v>
      </c>
      <c r="AJ953" s="1">
        <f>+IFERROR(VLOOKUP(AJ34,'נתוני מים 2014'!$C$2:$N$188,12,0)/1000,0)</f>
        <v>0</v>
      </c>
      <c r="AK953" s="1">
        <f>+IFERROR(VLOOKUP(AK34,'נתוני מים 2014'!$C$2:$N$188,12,0)/1000,0)</f>
        <v>0</v>
      </c>
      <c r="AL953" s="1">
        <f>+IFERROR(VLOOKUP(AL34,'נתוני מים 2014'!$C$2:$N$188,12,0)/1000,0)</f>
        <v>0</v>
      </c>
      <c r="AM953" s="1">
        <f>+IFERROR(VLOOKUP(AM34,'נתוני מים 2014'!$C$2:$N$188,12,0)/1000,0)</f>
        <v>0</v>
      </c>
      <c r="AN953" s="1">
        <f>+IFERROR(VLOOKUP(AN34,'נתוני מים 2014'!$C$2:$N$188,12,0)/1000,0)</f>
        <v>0</v>
      </c>
      <c r="AO953" s="1">
        <f>+IFERROR(VLOOKUP(AO34,'נתוני מים 2014'!$C$2:$N$188,12,0)/1000,0)</f>
        <v>0</v>
      </c>
      <c r="AP953" s="1">
        <f>+IFERROR(VLOOKUP(AP34,'נתוני מים 2014'!$C$2:$N$188,12,0)/1000,0)</f>
        <v>0</v>
      </c>
      <c r="AQ953" s="1">
        <f>+IFERROR(VLOOKUP(AQ34,'נתוני מים 2014'!$C$2:$N$188,12,0)/1000,0)</f>
        <v>0</v>
      </c>
      <c r="AR953" s="1">
        <f>+IFERROR(VLOOKUP(AR34,'נתוני מים 2014'!$C$2:$N$188,12,0)/1000,0)</f>
        <v>0</v>
      </c>
      <c r="AS953" s="1">
        <f>+IFERROR(VLOOKUP(AS34,'נתוני מים 2014'!$C$2:$N$188,12,0)/1000,0)</f>
        <v>0</v>
      </c>
      <c r="AT953" s="1">
        <f>+IFERROR(VLOOKUP(AT34,'נתוני מים 2014'!$C$2:$N$188,12,0)/1000,0)</f>
        <v>0</v>
      </c>
      <c r="AU953" s="1">
        <f>+IFERROR(VLOOKUP(AU34,'נתוני מים 2014'!$C$2:$N$188,12,0)/1000,0)</f>
        <v>0</v>
      </c>
      <c r="AV953" s="1">
        <f>+IFERROR(VLOOKUP(AV34,'נתוני מים 2014'!$C$2:$N$188,12,0)/1000,0)</f>
        <v>0</v>
      </c>
      <c r="AW953" s="1">
        <f>+IFERROR(VLOOKUP(AW34,'נתוני מים 2014'!$C$2:$N$188,12,0)/1000,0)</f>
        <v>0</v>
      </c>
      <c r="AX953" s="1">
        <f>+IFERROR(VLOOKUP(AX34,'נתוני מים 2014'!$C$2:$N$188,12,0)/1000,0)</f>
        <v>0</v>
      </c>
      <c r="AY953" s="1">
        <f>+IFERROR(VLOOKUP(AY34,'נתוני מים 2014'!$C$2:$N$188,12,0)/1000,0)</f>
        <v>0</v>
      </c>
      <c r="AZ953" s="1">
        <f>+IFERROR(VLOOKUP(AZ34,'נתוני מים 2014'!$C$2:$N$188,12,0)/1000,0)</f>
        <v>0</v>
      </c>
      <c r="BA953" s="1">
        <f>+IFERROR(VLOOKUP(BA34,'נתוני מים 2014'!$C$2:$N$188,12,0)/1000,0)</f>
        <v>0</v>
      </c>
      <c r="BB953" s="1">
        <f>+IFERROR(VLOOKUP(BB34,'נתוני מים 2014'!$C$2:$N$188,12,0)/1000,0)</f>
        <v>0</v>
      </c>
      <c r="BC953" s="1">
        <f>+IFERROR(VLOOKUP(BC34,'נתוני מים 2014'!$C$2:$N$188,12,0)/1000,0)</f>
        <v>0</v>
      </c>
      <c r="BD953" s="1">
        <f>+IFERROR(VLOOKUP(BD34,'נתוני מים 2014'!$C$2:$N$188,12,0)/1000,0)</f>
        <v>0</v>
      </c>
      <c r="BE953" s="1">
        <f>+IFERROR(VLOOKUP(BE34,'נתוני מים 2014'!$C$2:$N$188,12,0)/1000,0)</f>
        <v>0</v>
      </c>
      <c r="BF953" s="1">
        <f>+IFERROR(VLOOKUP(BF34,'נתוני מים 2014'!$C$2:$N$188,12,0)/1000,0)</f>
        <v>0</v>
      </c>
    </row>
    <row r="954" spans="1:58" x14ac:dyDescent="0.2">
      <c r="B954" s="1">
        <v>28</v>
      </c>
      <c r="C954" s="1">
        <f>+IFERROR(VLOOKUP(C35,'נתוני מים 2014'!$C$2:$N$188,12,0)/1000,0)</f>
        <v>0</v>
      </c>
      <c r="D954" s="1">
        <f>+IFERROR(VLOOKUP(D35,'נתוני מים 2014'!$C$2:$N$188,12,0)/1000,0)</f>
        <v>0</v>
      </c>
      <c r="E954" s="1">
        <f>+IFERROR(VLOOKUP(E35,'נתוני מים 2014'!$C$2:$N$188,12,0)/1000,0)</f>
        <v>0</v>
      </c>
      <c r="F954" s="1">
        <f>+IFERROR(VLOOKUP(F35,'נתוני מים 2014'!$C$2:$N$188,12,0)/1000,0)</f>
        <v>0</v>
      </c>
      <c r="G954" s="1">
        <f>+IFERROR(VLOOKUP(G35,'נתוני מים 2014'!$C$2:$N$188,12,0)/1000,0)</f>
        <v>0</v>
      </c>
      <c r="H954" s="1">
        <f>+IFERROR(VLOOKUP(H35,'נתוני מים 2014'!$C$2:$N$188,12,0)/1000,0)</f>
        <v>0</v>
      </c>
      <c r="I954" s="1">
        <f>+IFERROR(VLOOKUP(I35,'נתוני מים 2014'!$C$2:$N$188,12,0)/1000,0)</f>
        <v>0</v>
      </c>
      <c r="J954" s="1">
        <f>+IFERROR(VLOOKUP(J35,'נתוני מים 2014'!$C$2:$N$188,12,0)/1000,0)</f>
        <v>0</v>
      </c>
      <c r="K954" s="1">
        <f>+IFERROR(VLOOKUP(K35,'נתוני מים 2014'!$C$2:$N$188,12,0)/1000,0)</f>
        <v>0</v>
      </c>
      <c r="L954" s="1">
        <f>+IFERROR(VLOOKUP(L35,'נתוני מים 2014'!$C$2:$N$188,12,0)/1000,0)</f>
        <v>0</v>
      </c>
      <c r="M954" s="1">
        <f>+IFERROR(VLOOKUP(M35,'נתוני מים 2014'!$C$2:$N$188,12,0)/1000,0)</f>
        <v>0</v>
      </c>
      <c r="N954" s="1">
        <f>+IFERROR(VLOOKUP(N35,'נתוני מים 2014'!$C$2:$N$188,12,0)/1000,0)</f>
        <v>0</v>
      </c>
      <c r="O954" s="1">
        <f>+IFERROR(VLOOKUP(O35,'נתוני מים 2014'!$C$2:$N$188,12,0)/1000,0)</f>
        <v>0</v>
      </c>
      <c r="P954" s="1">
        <f>+IFERROR(VLOOKUP(P35,'נתוני מים 2014'!$C$2:$N$188,12,0)/1000,0)</f>
        <v>0</v>
      </c>
      <c r="Q954" s="1">
        <f>+IFERROR(VLOOKUP(Q35,'נתוני מים 2014'!$C$2:$N$188,12,0)/1000,0)</f>
        <v>0</v>
      </c>
      <c r="R954" s="1">
        <f>+IFERROR(VLOOKUP(R35,'נתוני מים 2014'!$C$2:$N$188,12,0)/1000,0)</f>
        <v>0</v>
      </c>
      <c r="S954" s="1">
        <f>+IFERROR(VLOOKUP(S35,'נתוני מים 2014'!$C$2:$N$188,12,0)/1000,0)</f>
        <v>0</v>
      </c>
      <c r="T954" s="1">
        <f>+IFERROR(VLOOKUP(T35,'נתוני מים 2014'!$C$2:$N$188,12,0)/1000,0)</f>
        <v>0</v>
      </c>
      <c r="U954" s="1">
        <f>+IFERROR(VLOOKUP(U35,'נתוני מים 2014'!$C$2:$N$188,12,0)/1000,0)</f>
        <v>0</v>
      </c>
      <c r="V954" s="1">
        <f>+IFERROR(VLOOKUP(V35,'נתוני מים 2014'!$C$2:$N$188,12,0)/1000,0)</f>
        <v>0</v>
      </c>
      <c r="W954" s="1">
        <f>+IFERROR(VLOOKUP(W35,'נתוני מים 2014'!$C$2:$N$188,12,0)/1000,0)</f>
        <v>0</v>
      </c>
      <c r="X954" s="1">
        <f>+IFERROR(VLOOKUP(X35,'נתוני מים 2014'!$C$2:$N$188,12,0)/1000,0)</f>
        <v>0</v>
      </c>
      <c r="Y954" s="1">
        <f>+IFERROR(VLOOKUP(Y35,'נתוני מים 2014'!$C$2:$N$188,12,0)/1000,0)</f>
        <v>0</v>
      </c>
      <c r="Z954" s="1">
        <f>+IFERROR(VLOOKUP(Z35,'נתוני מים 2014'!$C$2:$N$188,12,0)/1000,0)</f>
        <v>0</v>
      </c>
      <c r="AA954" s="1">
        <f>+IFERROR(VLOOKUP(AA35,'נתוני מים 2014'!$C$2:$N$188,12,0)/1000,0)</f>
        <v>0</v>
      </c>
      <c r="AB954" s="1">
        <f>+IFERROR(VLOOKUP(AB35,'נתוני מים 2014'!$C$2:$N$188,12,0)/1000,0)</f>
        <v>0</v>
      </c>
      <c r="AC954" s="1">
        <f>+IFERROR(VLOOKUP(AC35,'נתוני מים 2014'!$C$2:$N$188,12,0)/1000,0)</f>
        <v>0</v>
      </c>
      <c r="AD954" s="1">
        <f>+IFERROR(VLOOKUP(AD35,'נתוני מים 2014'!$C$2:$N$188,12,0)/1000,0)</f>
        <v>0</v>
      </c>
      <c r="AE954" s="1">
        <f>+IFERROR(VLOOKUP(AE35,'נתוני מים 2014'!$C$2:$N$188,12,0)/1000,0)</f>
        <v>0</v>
      </c>
      <c r="AF954" s="1">
        <f>+IFERROR(VLOOKUP(AF35,'נתוני מים 2014'!$C$2:$N$188,12,0)/1000,0)</f>
        <v>0</v>
      </c>
      <c r="AG954" s="1">
        <f>+IFERROR(VLOOKUP(AG35,'נתוני מים 2014'!$C$2:$N$188,12,0)/1000,0)</f>
        <v>0</v>
      </c>
      <c r="AH954" s="1">
        <f>+IFERROR(VLOOKUP(AH35,'נתוני מים 2014'!$C$2:$N$188,12,0)/1000,0)</f>
        <v>0</v>
      </c>
      <c r="AI954" s="1">
        <f>+IFERROR(VLOOKUP(AI35,'נתוני מים 2014'!$C$2:$N$188,12,0)/1000,0)</f>
        <v>0</v>
      </c>
      <c r="AJ954" s="1">
        <f>+IFERROR(VLOOKUP(AJ35,'נתוני מים 2014'!$C$2:$N$188,12,0)/1000,0)</f>
        <v>0</v>
      </c>
      <c r="AK954" s="1">
        <f>+IFERROR(VLOOKUP(AK35,'נתוני מים 2014'!$C$2:$N$188,12,0)/1000,0)</f>
        <v>0</v>
      </c>
      <c r="AL954" s="1">
        <f>+IFERROR(VLOOKUP(AL35,'נתוני מים 2014'!$C$2:$N$188,12,0)/1000,0)</f>
        <v>0</v>
      </c>
      <c r="AM954" s="1">
        <f>+IFERROR(VLOOKUP(AM35,'נתוני מים 2014'!$C$2:$N$188,12,0)/1000,0)</f>
        <v>0</v>
      </c>
      <c r="AN954" s="1">
        <f>+IFERROR(VLOOKUP(AN35,'נתוני מים 2014'!$C$2:$N$188,12,0)/1000,0)</f>
        <v>0</v>
      </c>
      <c r="AO954" s="1">
        <f>+IFERROR(VLOOKUP(AO35,'נתוני מים 2014'!$C$2:$N$188,12,0)/1000,0)</f>
        <v>0</v>
      </c>
      <c r="AP954" s="1">
        <f>+IFERROR(VLOOKUP(AP35,'נתוני מים 2014'!$C$2:$N$188,12,0)/1000,0)</f>
        <v>0</v>
      </c>
      <c r="AQ954" s="1">
        <f>+IFERROR(VLOOKUP(AQ35,'נתוני מים 2014'!$C$2:$N$188,12,0)/1000,0)</f>
        <v>0</v>
      </c>
      <c r="AR954" s="1">
        <f>+IFERROR(VLOOKUP(AR35,'נתוני מים 2014'!$C$2:$N$188,12,0)/1000,0)</f>
        <v>0</v>
      </c>
      <c r="AS954" s="1">
        <f>+IFERROR(VLOOKUP(AS35,'נתוני מים 2014'!$C$2:$N$188,12,0)/1000,0)</f>
        <v>0</v>
      </c>
      <c r="AT954" s="1">
        <f>+IFERROR(VLOOKUP(AT35,'נתוני מים 2014'!$C$2:$N$188,12,0)/1000,0)</f>
        <v>0</v>
      </c>
      <c r="AU954" s="1">
        <f>+IFERROR(VLOOKUP(AU35,'נתוני מים 2014'!$C$2:$N$188,12,0)/1000,0)</f>
        <v>0</v>
      </c>
      <c r="AV954" s="1">
        <f>+IFERROR(VLOOKUP(AV35,'נתוני מים 2014'!$C$2:$N$188,12,0)/1000,0)</f>
        <v>0</v>
      </c>
      <c r="AW954" s="1">
        <f>+IFERROR(VLOOKUP(AW35,'נתוני מים 2014'!$C$2:$N$188,12,0)/1000,0)</f>
        <v>0</v>
      </c>
      <c r="AX954" s="1">
        <f>+IFERROR(VLOOKUP(AX35,'נתוני מים 2014'!$C$2:$N$188,12,0)/1000,0)</f>
        <v>0</v>
      </c>
      <c r="AY954" s="1">
        <f>+IFERROR(VLOOKUP(AY35,'נתוני מים 2014'!$C$2:$N$188,12,0)/1000,0)</f>
        <v>0</v>
      </c>
      <c r="AZ954" s="1">
        <f>+IFERROR(VLOOKUP(AZ35,'נתוני מים 2014'!$C$2:$N$188,12,0)/1000,0)</f>
        <v>0</v>
      </c>
      <c r="BA954" s="1">
        <f>+IFERROR(VLOOKUP(BA35,'נתוני מים 2014'!$C$2:$N$188,12,0)/1000,0)</f>
        <v>0</v>
      </c>
      <c r="BB954" s="1">
        <f>+IFERROR(VLOOKUP(BB35,'נתוני מים 2014'!$C$2:$N$188,12,0)/1000,0)</f>
        <v>0</v>
      </c>
      <c r="BC954" s="1">
        <f>+IFERROR(VLOOKUP(BC35,'נתוני מים 2014'!$C$2:$N$188,12,0)/1000,0)</f>
        <v>0</v>
      </c>
      <c r="BD954" s="1">
        <f>+IFERROR(VLOOKUP(BD35,'נתוני מים 2014'!$C$2:$N$188,12,0)/1000,0)</f>
        <v>0</v>
      </c>
      <c r="BE954" s="1">
        <f>+IFERROR(VLOOKUP(BE35,'נתוני מים 2014'!$C$2:$N$188,12,0)/1000,0)</f>
        <v>0</v>
      </c>
      <c r="BF954" s="1">
        <f>+IFERROR(VLOOKUP(BF35,'נתוני מים 2014'!$C$2:$N$188,12,0)/1000,0)</f>
        <v>0</v>
      </c>
    </row>
    <row r="955" spans="1:58" x14ac:dyDescent="0.2">
      <c r="B955" s="1">
        <v>29</v>
      </c>
      <c r="C955" s="1">
        <f>+IFERROR(VLOOKUP(C36,'נתוני מים 2014'!$C$2:$N$188,12,0)/1000,0)</f>
        <v>0</v>
      </c>
      <c r="D955" s="1">
        <f>+IFERROR(VLOOKUP(D36,'נתוני מים 2014'!$C$2:$N$188,12,0)/1000,0)</f>
        <v>0</v>
      </c>
      <c r="E955" s="1">
        <f>+IFERROR(VLOOKUP(E36,'נתוני מים 2014'!$C$2:$N$188,12,0)/1000,0)</f>
        <v>0</v>
      </c>
      <c r="F955" s="1">
        <f>+IFERROR(VLOOKUP(F36,'נתוני מים 2014'!$C$2:$N$188,12,0)/1000,0)</f>
        <v>0</v>
      </c>
      <c r="G955" s="1">
        <f>+IFERROR(VLOOKUP(G36,'נתוני מים 2014'!$C$2:$N$188,12,0)/1000,0)</f>
        <v>0</v>
      </c>
      <c r="H955" s="1">
        <f>+IFERROR(VLOOKUP(H36,'נתוני מים 2014'!$C$2:$N$188,12,0)/1000,0)</f>
        <v>0</v>
      </c>
      <c r="I955" s="1">
        <f>+IFERROR(VLOOKUP(I36,'נתוני מים 2014'!$C$2:$N$188,12,0)/1000,0)</f>
        <v>0</v>
      </c>
      <c r="J955" s="1">
        <f>+IFERROR(VLOOKUP(J36,'נתוני מים 2014'!$C$2:$N$188,12,0)/1000,0)</f>
        <v>0</v>
      </c>
      <c r="K955" s="1">
        <f>+IFERROR(VLOOKUP(K36,'נתוני מים 2014'!$C$2:$N$188,12,0)/1000,0)</f>
        <v>0</v>
      </c>
      <c r="L955" s="1">
        <f>+IFERROR(VLOOKUP(L36,'נתוני מים 2014'!$C$2:$N$188,12,0)/1000,0)</f>
        <v>0</v>
      </c>
      <c r="M955" s="1">
        <f>+IFERROR(VLOOKUP(M36,'נתוני מים 2014'!$C$2:$N$188,12,0)/1000,0)</f>
        <v>0</v>
      </c>
      <c r="N955" s="1">
        <f>+IFERROR(VLOOKUP(N36,'נתוני מים 2014'!$C$2:$N$188,12,0)/1000,0)</f>
        <v>0</v>
      </c>
      <c r="O955" s="1">
        <f>+IFERROR(VLOOKUP(O36,'נתוני מים 2014'!$C$2:$N$188,12,0)/1000,0)</f>
        <v>0</v>
      </c>
      <c r="P955" s="1">
        <f>+IFERROR(VLOOKUP(P36,'נתוני מים 2014'!$C$2:$N$188,12,0)/1000,0)</f>
        <v>0</v>
      </c>
      <c r="Q955" s="1">
        <f>+IFERROR(VLOOKUP(Q36,'נתוני מים 2014'!$C$2:$N$188,12,0)/1000,0)</f>
        <v>0</v>
      </c>
      <c r="R955" s="1">
        <f>+IFERROR(VLOOKUP(R36,'נתוני מים 2014'!$C$2:$N$188,12,0)/1000,0)</f>
        <v>0</v>
      </c>
      <c r="S955" s="1">
        <f>+IFERROR(VLOOKUP(S36,'נתוני מים 2014'!$C$2:$N$188,12,0)/1000,0)</f>
        <v>0</v>
      </c>
      <c r="T955" s="1">
        <f>+IFERROR(VLOOKUP(T36,'נתוני מים 2014'!$C$2:$N$188,12,0)/1000,0)</f>
        <v>0</v>
      </c>
      <c r="U955" s="1">
        <f>+IFERROR(VLOOKUP(U36,'נתוני מים 2014'!$C$2:$N$188,12,0)/1000,0)</f>
        <v>0</v>
      </c>
      <c r="V955" s="1">
        <f>+IFERROR(VLOOKUP(V36,'נתוני מים 2014'!$C$2:$N$188,12,0)/1000,0)</f>
        <v>0</v>
      </c>
      <c r="W955" s="1">
        <f>+IFERROR(VLOOKUP(W36,'נתוני מים 2014'!$C$2:$N$188,12,0)/1000,0)</f>
        <v>0</v>
      </c>
      <c r="X955" s="1">
        <f>+IFERROR(VLOOKUP(X36,'נתוני מים 2014'!$C$2:$N$188,12,0)/1000,0)</f>
        <v>0</v>
      </c>
      <c r="Y955" s="1">
        <f>+IFERROR(VLOOKUP(Y36,'נתוני מים 2014'!$C$2:$N$188,12,0)/1000,0)</f>
        <v>0</v>
      </c>
      <c r="Z955" s="1">
        <f>+IFERROR(VLOOKUP(Z36,'נתוני מים 2014'!$C$2:$N$188,12,0)/1000,0)</f>
        <v>0</v>
      </c>
      <c r="AA955" s="1">
        <f>+IFERROR(VLOOKUP(AA36,'נתוני מים 2014'!$C$2:$N$188,12,0)/1000,0)</f>
        <v>0</v>
      </c>
      <c r="AB955" s="1">
        <f>+IFERROR(VLOOKUP(AB36,'נתוני מים 2014'!$C$2:$N$188,12,0)/1000,0)</f>
        <v>0</v>
      </c>
      <c r="AC955" s="1">
        <f>+IFERROR(VLOOKUP(AC36,'נתוני מים 2014'!$C$2:$N$188,12,0)/1000,0)</f>
        <v>0</v>
      </c>
      <c r="AD955" s="1">
        <f>+IFERROR(VLOOKUP(AD36,'נתוני מים 2014'!$C$2:$N$188,12,0)/1000,0)</f>
        <v>0</v>
      </c>
      <c r="AE955" s="1">
        <f>+IFERROR(VLOOKUP(AE36,'נתוני מים 2014'!$C$2:$N$188,12,0)/1000,0)</f>
        <v>0</v>
      </c>
      <c r="AF955" s="1">
        <f>+IFERROR(VLOOKUP(AF36,'נתוני מים 2014'!$C$2:$N$188,12,0)/1000,0)</f>
        <v>0</v>
      </c>
      <c r="AG955" s="1">
        <f>+IFERROR(VLOOKUP(AG36,'נתוני מים 2014'!$C$2:$N$188,12,0)/1000,0)</f>
        <v>0</v>
      </c>
      <c r="AH955" s="1">
        <f>+IFERROR(VLOOKUP(AH36,'נתוני מים 2014'!$C$2:$N$188,12,0)/1000,0)</f>
        <v>0</v>
      </c>
      <c r="AI955" s="1">
        <f>+IFERROR(VLOOKUP(AI36,'נתוני מים 2014'!$C$2:$N$188,12,0)/1000,0)</f>
        <v>0</v>
      </c>
      <c r="AJ955" s="1">
        <f>+IFERROR(VLOOKUP(AJ36,'נתוני מים 2014'!$C$2:$N$188,12,0)/1000,0)</f>
        <v>0</v>
      </c>
      <c r="AK955" s="1">
        <f>+IFERROR(VLOOKUP(AK36,'נתוני מים 2014'!$C$2:$N$188,12,0)/1000,0)</f>
        <v>0</v>
      </c>
      <c r="AL955" s="1">
        <f>+IFERROR(VLOOKUP(AL36,'נתוני מים 2014'!$C$2:$N$188,12,0)/1000,0)</f>
        <v>0</v>
      </c>
      <c r="AM955" s="1">
        <f>+IFERROR(VLOOKUP(AM36,'נתוני מים 2014'!$C$2:$N$188,12,0)/1000,0)</f>
        <v>0</v>
      </c>
      <c r="AN955" s="1">
        <f>+IFERROR(VLOOKUP(AN36,'נתוני מים 2014'!$C$2:$N$188,12,0)/1000,0)</f>
        <v>0</v>
      </c>
      <c r="AO955" s="1">
        <f>+IFERROR(VLOOKUP(AO36,'נתוני מים 2014'!$C$2:$N$188,12,0)/1000,0)</f>
        <v>0</v>
      </c>
      <c r="AP955" s="1">
        <f>+IFERROR(VLOOKUP(AP36,'נתוני מים 2014'!$C$2:$N$188,12,0)/1000,0)</f>
        <v>0</v>
      </c>
      <c r="AQ955" s="1">
        <f>+IFERROR(VLOOKUP(AQ36,'נתוני מים 2014'!$C$2:$N$188,12,0)/1000,0)</f>
        <v>0</v>
      </c>
      <c r="AR955" s="1">
        <f>+IFERROR(VLOOKUP(AR36,'נתוני מים 2014'!$C$2:$N$188,12,0)/1000,0)</f>
        <v>0</v>
      </c>
      <c r="AS955" s="1">
        <f>+IFERROR(VLOOKUP(AS36,'נתוני מים 2014'!$C$2:$N$188,12,0)/1000,0)</f>
        <v>0</v>
      </c>
      <c r="AT955" s="1">
        <f>+IFERROR(VLOOKUP(AT36,'נתוני מים 2014'!$C$2:$N$188,12,0)/1000,0)</f>
        <v>0</v>
      </c>
      <c r="AU955" s="1">
        <f>+IFERROR(VLOOKUP(AU36,'נתוני מים 2014'!$C$2:$N$188,12,0)/1000,0)</f>
        <v>0</v>
      </c>
      <c r="AV955" s="1">
        <f>+IFERROR(VLOOKUP(AV36,'נתוני מים 2014'!$C$2:$N$188,12,0)/1000,0)</f>
        <v>0</v>
      </c>
      <c r="AW955" s="1">
        <f>+IFERROR(VLOOKUP(AW36,'נתוני מים 2014'!$C$2:$N$188,12,0)/1000,0)</f>
        <v>0</v>
      </c>
      <c r="AX955" s="1">
        <f>+IFERROR(VLOOKUP(AX36,'נתוני מים 2014'!$C$2:$N$188,12,0)/1000,0)</f>
        <v>0</v>
      </c>
      <c r="AY955" s="1">
        <f>+IFERROR(VLOOKUP(AY36,'נתוני מים 2014'!$C$2:$N$188,12,0)/1000,0)</f>
        <v>0</v>
      </c>
      <c r="AZ955" s="1">
        <f>+IFERROR(VLOOKUP(AZ36,'נתוני מים 2014'!$C$2:$N$188,12,0)/1000,0)</f>
        <v>0</v>
      </c>
      <c r="BA955" s="1">
        <f>+IFERROR(VLOOKUP(BA36,'נתוני מים 2014'!$C$2:$N$188,12,0)/1000,0)</f>
        <v>0</v>
      </c>
      <c r="BB955" s="1">
        <f>+IFERROR(VLOOKUP(BB36,'נתוני מים 2014'!$C$2:$N$188,12,0)/1000,0)</f>
        <v>0</v>
      </c>
      <c r="BC955" s="1">
        <f>+IFERROR(VLOOKUP(BC36,'נתוני מים 2014'!$C$2:$N$188,12,0)/1000,0)</f>
        <v>0</v>
      </c>
      <c r="BD955" s="1">
        <f>+IFERROR(VLOOKUP(BD36,'נתוני מים 2014'!$C$2:$N$188,12,0)/1000,0)</f>
        <v>0</v>
      </c>
      <c r="BE955" s="1">
        <f>+IFERROR(VLOOKUP(BE36,'נתוני מים 2014'!$C$2:$N$188,12,0)/1000,0)</f>
        <v>0</v>
      </c>
      <c r="BF955" s="1">
        <f>+IFERROR(VLOOKUP(BF36,'נתוני מים 2014'!$C$2:$N$188,12,0)/1000,0)</f>
        <v>0</v>
      </c>
    </row>
    <row r="956" spans="1:58" x14ac:dyDescent="0.2">
      <c r="B956" s="1">
        <v>30</v>
      </c>
      <c r="C956" s="1">
        <f>+IFERROR(VLOOKUP(C37,'נתוני מים 2014'!$C$2:$N$188,12,0)/1000,0)</f>
        <v>0</v>
      </c>
      <c r="D956" s="1">
        <f>+IFERROR(VLOOKUP(D37,'נתוני מים 2014'!$C$2:$N$188,12,0)/1000,0)</f>
        <v>0</v>
      </c>
      <c r="E956" s="1">
        <f>+IFERROR(VLOOKUP(E37,'נתוני מים 2014'!$C$2:$N$188,12,0)/1000,0)</f>
        <v>0</v>
      </c>
      <c r="F956" s="1">
        <f>+IFERROR(VLOOKUP(F37,'נתוני מים 2014'!$C$2:$N$188,12,0)/1000,0)</f>
        <v>0</v>
      </c>
      <c r="G956" s="1">
        <f>+IFERROR(VLOOKUP(G37,'נתוני מים 2014'!$C$2:$N$188,12,0)/1000,0)</f>
        <v>0</v>
      </c>
      <c r="H956" s="1">
        <f>+IFERROR(VLOOKUP(H37,'נתוני מים 2014'!$C$2:$N$188,12,0)/1000,0)</f>
        <v>0</v>
      </c>
      <c r="I956" s="1">
        <f>+IFERROR(VLOOKUP(I37,'נתוני מים 2014'!$C$2:$N$188,12,0)/1000,0)</f>
        <v>0</v>
      </c>
      <c r="J956" s="1">
        <f>+IFERROR(VLOOKUP(J37,'נתוני מים 2014'!$C$2:$N$188,12,0)/1000,0)</f>
        <v>0</v>
      </c>
      <c r="K956" s="1">
        <f>+IFERROR(VLOOKUP(K37,'נתוני מים 2014'!$C$2:$N$188,12,0)/1000,0)</f>
        <v>0</v>
      </c>
      <c r="L956" s="1">
        <f>+IFERROR(VLOOKUP(L37,'נתוני מים 2014'!$C$2:$N$188,12,0)/1000,0)</f>
        <v>0</v>
      </c>
      <c r="M956" s="1">
        <f>+IFERROR(VLOOKUP(M37,'נתוני מים 2014'!$C$2:$N$188,12,0)/1000,0)</f>
        <v>0</v>
      </c>
      <c r="N956" s="1">
        <f>+IFERROR(VLOOKUP(N37,'נתוני מים 2014'!$C$2:$N$188,12,0)/1000,0)</f>
        <v>0</v>
      </c>
      <c r="O956" s="1">
        <f>+IFERROR(VLOOKUP(O37,'נתוני מים 2014'!$C$2:$N$188,12,0)/1000,0)</f>
        <v>0</v>
      </c>
      <c r="P956" s="1">
        <f>+IFERROR(VLOOKUP(P37,'נתוני מים 2014'!$C$2:$N$188,12,0)/1000,0)</f>
        <v>0</v>
      </c>
      <c r="Q956" s="1">
        <f>+IFERROR(VLOOKUP(Q37,'נתוני מים 2014'!$C$2:$N$188,12,0)/1000,0)</f>
        <v>0</v>
      </c>
      <c r="R956" s="1">
        <f>+IFERROR(VLOOKUP(R37,'נתוני מים 2014'!$C$2:$N$188,12,0)/1000,0)</f>
        <v>0</v>
      </c>
      <c r="S956" s="1">
        <f>+IFERROR(VLOOKUP(S37,'נתוני מים 2014'!$C$2:$N$188,12,0)/1000,0)</f>
        <v>0</v>
      </c>
      <c r="T956" s="1">
        <f>+IFERROR(VLOOKUP(T37,'נתוני מים 2014'!$C$2:$N$188,12,0)/1000,0)</f>
        <v>0</v>
      </c>
      <c r="U956" s="1">
        <f>+IFERROR(VLOOKUP(U37,'נתוני מים 2014'!$C$2:$N$188,12,0)/1000,0)</f>
        <v>0</v>
      </c>
      <c r="V956" s="1">
        <f>+IFERROR(VLOOKUP(V37,'נתוני מים 2014'!$C$2:$N$188,12,0)/1000,0)</f>
        <v>0</v>
      </c>
      <c r="W956" s="1">
        <f>+IFERROR(VLOOKUP(W37,'נתוני מים 2014'!$C$2:$N$188,12,0)/1000,0)</f>
        <v>0</v>
      </c>
      <c r="X956" s="1">
        <f>+IFERROR(VLOOKUP(X37,'נתוני מים 2014'!$C$2:$N$188,12,0)/1000,0)</f>
        <v>0</v>
      </c>
      <c r="Y956" s="1">
        <f>+IFERROR(VLOOKUP(Y37,'נתוני מים 2014'!$C$2:$N$188,12,0)/1000,0)</f>
        <v>0</v>
      </c>
      <c r="Z956" s="1">
        <f>+IFERROR(VLOOKUP(Z37,'נתוני מים 2014'!$C$2:$N$188,12,0)/1000,0)</f>
        <v>0</v>
      </c>
      <c r="AA956" s="1">
        <f>+IFERROR(VLOOKUP(AA37,'נתוני מים 2014'!$C$2:$N$188,12,0)/1000,0)</f>
        <v>0</v>
      </c>
      <c r="AB956" s="1">
        <f>+IFERROR(VLOOKUP(AB37,'נתוני מים 2014'!$C$2:$N$188,12,0)/1000,0)</f>
        <v>0</v>
      </c>
      <c r="AC956" s="1">
        <f>+IFERROR(VLOOKUP(AC37,'נתוני מים 2014'!$C$2:$N$188,12,0)/1000,0)</f>
        <v>0</v>
      </c>
      <c r="AD956" s="1">
        <f>+IFERROR(VLOOKUP(AD37,'נתוני מים 2014'!$C$2:$N$188,12,0)/1000,0)</f>
        <v>0</v>
      </c>
      <c r="AE956" s="1">
        <f>+IFERROR(VLOOKUP(AE37,'נתוני מים 2014'!$C$2:$N$188,12,0)/1000,0)</f>
        <v>0</v>
      </c>
      <c r="AF956" s="1">
        <f>+IFERROR(VLOOKUP(AF37,'נתוני מים 2014'!$C$2:$N$188,12,0)/1000,0)</f>
        <v>0</v>
      </c>
      <c r="AG956" s="1">
        <f>+IFERROR(VLOOKUP(AG37,'נתוני מים 2014'!$C$2:$N$188,12,0)/1000,0)</f>
        <v>0</v>
      </c>
      <c r="AH956" s="1">
        <f>+IFERROR(VLOOKUP(AH37,'נתוני מים 2014'!$C$2:$N$188,12,0)/1000,0)</f>
        <v>0</v>
      </c>
      <c r="AI956" s="1">
        <f>+IFERROR(VLOOKUP(AI37,'נתוני מים 2014'!$C$2:$N$188,12,0)/1000,0)</f>
        <v>0</v>
      </c>
      <c r="AJ956" s="1">
        <f>+IFERROR(VLOOKUP(AJ37,'נתוני מים 2014'!$C$2:$N$188,12,0)/1000,0)</f>
        <v>0</v>
      </c>
      <c r="AK956" s="1">
        <f>+IFERROR(VLOOKUP(AK37,'נתוני מים 2014'!$C$2:$N$188,12,0)/1000,0)</f>
        <v>0</v>
      </c>
      <c r="AL956" s="1">
        <f>+IFERROR(VLOOKUP(AL37,'נתוני מים 2014'!$C$2:$N$188,12,0)/1000,0)</f>
        <v>0</v>
      </c>
      <c r="AM956" s="1">
        <f>+IFERROR(VLOOKUP(AM37,'נתוני מים 2014'!$C$2:$N$188,12,0)/1000,0)</f>
        <v>0</v>
      </c>
      <c r="AN956" s="1">
        <f>+IFERROR(VLOOKUP(AN37,'נתוני מים 2014'!$C$2:$N$188,12,0)/1000,0)</f>
        <v>0</v>
      </c>
      <c r="AO956" s="1">
        <f>+IFERROR(VLOOKUP(AO37,'נתוני מים 2014'!$C$2:$N$188,12,0)/1000,0)</f>
        <v>0</v>
      </c>
      <c r="AP956" s="1">
        <f>+IFERROR(VLOOKUP(AP37,'נתוני מים 2014'!$C$2:$N$188,12,0)/1000,0)</f>
        <v>0</v>
      </c>
      <c r="AQ956" s="1">
        <f>+IFERROR(VLOOKUP(AQ37,'נתוני מים 2014'!$C$2:$N$188,12,0)/1000,0)</f>
        <v>0</v>
      </c>
      <c r="AR956" s="1">
        <f>+IFERROR(VLOOKUP(AR37,'נתוני מים 2014'!$C$2:$N$188,12,0)/1000,0)</f>
        <v>0</v>
      </c>
      <c r="AS956" s="1">
        <f>+IFERROR(VLOOKUP(AS37,'נתוני מים 2014'!$C$2:$N$188,12,0)/1000,0)</f>
        <v>0</v>
      </c>
      <c r="AT956" s="1">
        <f>+IFERROR(VLOOKUP(AT37,'נתוני מים 2014'!$C$2:$N$188,12,0)/1000,0)</f>
        <v>0</v>
      </c>
      <c r="AU956" s="1">
        <f>+IFERROR(VLOOKUP(AU37,'נתוני מים 2014'!$C$2:$N$188,12,0)/1000,0)</f>
        <v>0</v>
      </c>
      <c r="AV956" s="1">
        <f>+IFERROR(VLOOKUP(AV37,'נתוני מים 2014'!$C$2:$N$188,12,0)/1000,0)</f>
        <v>0</v>
      </c>
      <c r="AW956" s="1">
        <f>+IFERROR(VLOOKUP(AW37,'נתוני מים 2014'!$C$2:$N$188,12,0)/1000,0)</f>
        <v>0</v>
      </c>
      <c r="AX956" s="1">
        <f>+IFERROR(VLOOKUP(AX37,'נתוני מים 2014'!$C$2:$N$188,12,0)/1000,0)</f>
        <v>0</v>
      </c>
      <c r="AY956" s="1">
        <f>+IFERROR(VLOOKUP(AY37,'נתוני מים 2014'!$C$2:$N$188,12,0)/1000,0)</f>
        <v>0</v>
      </c>
      <c r="AZ956" s="1">
        <f>+IFERROR(VLOOKUP(AZ37,'נתוני מים 2014'!$C$2:$N$188,12,0)/1000,0)</f>
        <v>0</v>
      </c>
      <c r="BA956" s="1">
        <f>+IFERROR(VLOOKUP(BA37,'נתוני מים 2014'!$C$2:$N$188,12,0)/1000,0)</f>
        <v>0</v>
      </c>
      <c r="BB956" s="1">
        <f>+IFERROR(VLOOKUP(BB37,'נתוני מים 2014'!$C$2:$N$188,12,0)/1000,0)</f>
        <v>0</v>
      </c>
      <c r="BC956" s="1">
        <f>+IFERROR(VLOOKUP(BC37,'נתוני מים 2014'!$C$2:$N$188,12,0)/1000,0)</f>
        <v>0</v>
      </c>
      <c r="BD956" s="1">
        <f>+IFERROR(VLOOKUP(BD37,'נתוני מים 2014'!$C$2:$N$188,12,0)/1000,0)</f>
        <v>0</v>
      </c>
      <c r="BE956" s="1">
        <f>+IFERROR(VLOOKUP(BE37,'נתוני מים 2014'!$C$2:$N$188,12,0)/1000,0)</f>
        <v>0</v>
      </c>
      <c r="BF956" s="1">
        <f>+IFERROR(VLOOKUP(BF37,'נתוני מים 2014'!$C$2:$N$188,12,0)/1000,0)</f>
        <v>0</v>
      </c>
    </row>
    <row r="958" spans="1:58" x14ac:dyDescent="0.2">
      <c r="A958" s="1228" t="s">
        <v>2069</v>
      </c>
      <c r="C958" s="1">
        <f t="shared" ref="C958:AH958" si="203">SUM(C927:C956)</f>
        <v>882.53500000000008</v>
      </c>
      <c r="D958" s="1">
        <f t="shared" si="203"/>
        <v>263.68100000000004</v>
      </c>
      <c r="E958" s="1">
        <f t="shared" si="203"/>
        <v>324.185</v>
      </c>
      <c r="F958" s="1">
        <f t="shared" si="203"/>
        <v>192.315</v>
      </c>
      <c r="G958" s="1">
        <f t="shared" si="203"/>
        <v>325.93099999999998</v>
      </c>
      <c r="H958" s="1">
        <f t="shared" si="203"/>
        <v>553.48500000000001</v>
      </c>
      <c r="I958" s="1">
        <f t="shared" si="203"/>
        <v>781.22799999999995</v>
      </c>
      <c r="J958" s="1">
        <f t="shared" si="203"/>
        <v>337.57499999999999</v>
      </c>
      <c r="K958" s="1">
        <f t="shared" si="203"/>
        <v>327.93200000000002</v>
      </c>
      <c r="L958" s="1">
        <f t="shared" si="203"/>
        <v>166.13300000000001</v>
      </c>
      <c r="M958" s="1">
        <f t="shared" si="203"/>
        <v>686.74099999999999</v>
      </c>
      <c r="N958" s="1">
        <f t="shared" si="203"/>
        <v>934.59099999999989</v>
      </c>
      <c r="O958" s="1">
        <f t="shared" si="203"/>
        <v>325.572</v>
      </c>
      <c r="P958" s="1">
        <f t="shared" si="203"/>
        <v>366.58199999999999</v>
      </c>
      <c r="Q958" s="1">
        <f t="shared" si="203"/>
        <v>619.61300000000006</v>
      </c>
      <c r="R958" s="1">
        <f t="shared" si="203"/>
        <v>218.55</v>
      </c>
      <c r="S958" s="1">
        <f t="shared" si="203"/>
        <v>224.06399999999999</v>
      </c>
      <c r="T958" s="1">
        <f t="shared" si="203"/>
        <v>227.24599999999998</v>
      </c>
      <c r="U958" s="1">
        <f t="shared" si="203"/>
        <v>329.23700000000002</v>
      </c>
      <c r="V958" s="1">
        <f t="shared" si="203"/>
        <v>77.144000000000005</v>
      </c>
      <c r="W958" s="1">
        <f t="shared" si="203"/>
        <v>362.38499999999999</v>
      </c>
      <c r="X958" s="1">
        <f t="shared" si="203"/>
        <v>289.61500000000001</v>
      </c>
      <c r="Y958" s="1">
        <f t="shared" si="203"/>
        <v>88.356999999999985</v>
      </c>
      <c r="Z958" s="1">
        <f t="shared" si="203"/>
        <v>43.951999999999998</v>
      </c>
      <c r="AA958" s="1">
        <f t="shared" si="203"/>
        <v>114.905</v>
      </c>
      <c r="AB958" s="1">
        <f t="shared" si="203"/>
        <v>123.56100000000001</v>
      </c>
      <c r="AC958" s="1">
        <f t="shared" si="203"/>
        <v>477.03399999999999</v>
      </c>
      <c r="AD958" s="1">
        <f t="shared" si="203"/>
        <v>137.14699999999999</v>
      </c>
      <c r="AE958" s="1">
        <f t="shared" si="203"/>
        <v>2131.62</v>
      </c>
      <c r="AF958" s="1">
        <f t="shared" si="203"/>
        <v>201.16</v>
      </c>
      <c r="AG958" s="1">
        <f t="shared" si="203"/>
        <v>144.37899999999999</v>
      </c>
      <c r="AH958" s="1">
        <f t="shared" si="203"/>
        <v>138.916</v>
      </c>
      <c r="AI958" s="1">
        <f t="shared" ref="AI958:BF958" si="204">SUM(AI927:AI956)</f>
        <v>107.675</v>
      </c>
      <c r="AJ958" s="1">
        <f t="shared" si="204"/>
        <v>286.89499999999998</v>
      </c>
      <c r="AK958" s="1">
        <f t="shared" si="204"/>
        <v>146.25</v>
      </c>
      <c r="AL958" s="1">
        <f t="shared" si="204"/>
        <v>753.81899999999996</v>
      </c>
      <c r="AM958" s="1">
        <f t="shared" si="204"/>
        <v>272.90600000000001</v>
      </c>
      <c r="AN958" s="1">
        <f t="shared" si="204"/>
        <v>270.84100000000001</v>
      </c>
      <c r="AO958" s="1">
        <f t="shared" si="204"/>
        <v>311.48599999999999</v>
      </c>
      <c r="AP958" s="1">
        <f t="shared" si="204"/>
        <v>65.736000000000004</v>
      </c>
      <c r="AQ958" s="1">
        <f t="shared" si="204"/>
        <v>382.08699999999999</v>
      </c>
      <c r="AR958" s="1">
        <f t="shared" si="204"/>
        <v>110.664</v>
      </c>
      <c r="AS958" s="1">
        <f t="shared" si="204"/>
        <v>428.41700000000003</v>
      </c>
      <c r="AT958" s="1">
        <f t="shared" si="204"/>
        <v>379.44099999999997</v>
      </c>
      <c r="AU958" s="1">
        <f t="shared" si="204"/>
        <v>184.73</v>
      </c>
      <c r="AV958" s="1">
        <f t="shared" si="204"/>
        <v>596.38599999999997</v>
      </c>
      <c r="AW958" s="1">
        <f t="shared" si="204"/>
        <v>170.38900000000001</v>
      </c>
      <c r="AX958" s="1">
        <f t="shared" si="204"/>
        <v>154.58099999999999</v>
      </c>
      <c r="AY958" s="1">
        <f t="shared" si="204"/>
        <v>112.015</v>
      </c>
      <c r="AZ958" s="1">
        <f t="shared" si="204"/>
        <v>211.60599999999999</v>
      </c>
      <c r="BA958" s="1">
        <f t="shared" si="204"/>
        <v>207.81700000000001</v>
      </c>
      <c r="BB958" s="1">
        <f t="shared" si="204"/>
        <v>127.29900000000001</v>
      </c>
      <c r="BC958" s="1">
        <f t="shared" si="204"/>
        <v>371.16499999999996</v>
      </c>
      <c r="BD958" s="1">
        <f t="shared" si="204"/>
        <v>18.347000000000001</v>
      </c>
      <c r="BE958" s="1">
        <f t="shared" si="204"/>
        <v>47.991</v>
      </c>
      <c r="BF958" s="1">
        <f t="shared" si="204"/>
        <v>867.947</v>
      </c>
    </row>
  </sheetData>
  <pageMargins left="0.7" right="0.7" top="0.75" bottom="0.75" header="0.3" footer="0.3"/>
  <pageSetup paperSize="9" orientation="portrait" r:id="rId1"/>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F4:I8"/>
  <sheetViews>
    <sheetView rightToLeft="1" workbookViewId="0">
      <selection activeCell="F14" sqref="F14"/>
    </sheetView>
  </sheetViews>
  <sheetFormatPr defaultRowHeight="12.75" x14ac:dyDescent="0.2"/>
  <cols>
    <col min="6" max="6" width="11" bestFit="1" customWidth="1"/>
    <col min="7" max="7" width="13" bestFit="1" customWidth="1"/>
    <col min="8" max="8" width="12.85546875" bestFit="1" customWidth="1"/>
    <col min="9" max="9" width="17.28515625" customWidth="1"/>
  </cols>
  <sheetData>
    <row r="4" spans="6:9" x14ac:dyDescent="0.2">
      <c r="F4" s="353"/>
      <c r="G4" s="353" t="s">
        <v>153</v>
      </c>
      <c r="H4" s="353" t="s">
        <v>168</v>
      </c>
      <c r="I4" s="353" t="s">
        <v>1500</v>
      </c>
    </row>
    <row r="5" spans="6:9" x14ac:dyDescent="0.2">
      <c r="F5" s="353" t="s">
        <v>79</v>
      </c>
      <c r="G5" s="353">
        <f>+'[14]בני עייש '!$H$31</f>
        <v>1113630</v>
      </c>
      <c r="H5" s="353">
        <f>+'[14]בני עייש '!$H$23+'[14]בני עייש '!$H$27</f>
        <v>453969.5</v>
      </c>
      <c r="I5" s="353"/>
    </row>
    <row r="6" spans="6:9" x14ac:dyDescent="0.2">
      <c r="F6" s="353" t="s">
        <v>211</v>
      </c>
      <c r="G6" s="353">
        <f>+'[14]גדרה תשתיות שנוספו'!$M$29+'[14]גדרה תשתיות שנוספו'!$M$31</f>
        <v>3742814.0220000008</v>
      </c>
      <c r="H6" s="353">
        <f>+'[14]גדרה תשתיות שנוספו'!$M$30</f>
        <v>4411724.3280000007</v>
      </c>
      <c r="I6" s="353"/>
    </row>
    <row r="7" spans="6:9" x14ac:dyDescent="0.2">
      <c r="F7" s="353" t="s">
        <v>244</v>
      </c>
      <c r="G7" s="353">
        <f>+'[14]קריית מלאכי תשתיות נוספות '!$K$7+'[14]קריית מלאכי תשתיות נוספות '!$K$15</f>
        <v>4646484</v>
      </c>
      <c r="H7" s="353">
        <f>+'[14]קריית מלאכי תשתיות נוספות '!$K$5+'[14]קריית מלאכי תשתיות נוספות '!$K$16</f>
        <v>3992568.5</v>
      </c>
      <c r="I7" s="353">
        <f>+'[14]קריית מלאכי תשתיות נוספות '!$K$8</f>
        <v>881490.6</v>
      </c>
    </row>
    <row r="8" spans="6:9" ht="15" x14ac:dyDescent="0.35">
      <c r="F8" s="1059" t="s">
        <v>164</v>
      </c>
      <c r="G8" s="1060">
        <f>SUM(G5:G7)</f>
        <v>9502928.0219999999</v>
      </c>
      <c r="H8" s="1060">
        <f>SUM(H5:H7)</f>
        <v>8858262.3280000016</v>
      </c>
      <c r="I8" s="1060">
        <f>SUM(I5:I7)</f>
        <v>881490.6</v>
      </c>
    </row>
  </sheetData>
  <pageMargins left="0.7" right="0.7" top="0.75" bottom="0.75" header="0.3" footer="0.3"/>
  <pageSetup paperSize="9" orientation="portrait" verticalDpi="300"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5"/>
  <dimension ref="A1:BG131"/>
  <sheetViews>
    <sheetView rightToLeft="1" topLeftCell="A4" zoomScaleNormal="100" workbookViewId="0">
      <pane xSplit="2" ySplit="1" topLeftCell="C45" activePane="bottomRight" state="frozen"/>
      <selection activeCell="E49" sqref="E49"/>
      <selection pane="topRight" activeCell="E49" sqref="E49"/>
      <selection pane="bottomLeft" activeCell="E49" sqref="E49"/>
      <selection pane="bottomRight" activeCell="C69" sqref="C69"/>
    </sheetView>
  </sheetViews>
  <sheetFormatPr defaultRowHeight="12.75" x14ac:dyDescent="0.2"/>
  <cols>
    <col min="1" max="1" width="27.42578125" style="374" bestFit="1" customWidth="1"/>
    <col min="2" max="2" width="43.140625" style="374" customWidth="1"/>
    <col min="3" max="3" width="12.140625" style="374" customWidth="1"/>
    <col min="4" max="4" width="18.5703125" style="374" customWidth="1"/>
    <col min="5" max="5" width="14.5703125" style="374" customWidth="1"/>
    <col min="6" max="6" width="11.28515625" style="374" customWidth="1"/>
    <col min="7" max="7" width="12.140625" style="374" customWidth="1"/>
    <col min="8" max="8" width="12.42578125" style="374" customWidth="1"/>
    <col min="9" max="9" width="14.140625" style="374" customWidth="1"/>
    <col min="10" max="10" width="13.28515625" style="374" bestFit="1" customWidth="1"/>
    <col min="11" max="11" width="10.85546875" style="374" bestFit="1" customWidth="1"/>
    <col min="12" max="14" width="9.5703125" style="374" bestFit="1" customWidth="1"/>
    <col min="15" max="15" width="9.28515625" style="374" bestFit="1" customWidth="1"/>
    <col min="16" max="22" width="9.5703125" style="374" bestFit="1" customWidth="1"/>
    <col min="23" max="23" width="9.28515625" style="374" bestFit="1" customWidth="1"/>
    <col min="24" max="24" width="9.5703125" style="374" bestFit="1" customWidth="1"/>
    <col min="25" max="26" width="9.28515625" style="374" bestFit="1" customWidth="1"/>
    <col min="27" max="27" width="9.5703125" style="374" bestFit="1" customWidth="1"/>
    <col min="28" max="28" width="9.28515625" style="374" bestFit="1" customWidth="1"/>
    <col min="29" max="29" width="9.5703125" style="374" bestFit="1" customWidth="1"/>
    <col min="30" max="30" width="9.28515625" style="374" bestFit="1" customWidth="1"/>
    <col min="31" max="31" width="9.5703125" style="374" bestFit="1" customWidth="1"/>
    <col min="32" max="37" width="9.28515625" style="374" bestFit="1" customWidth="1"/>
    <col min="38" max="40" width="9.5703125" style="374" bestFit="1" customWidth="1"/>
    <col min="41" max="43" width="9.28515625" style="374" bestFit="1" customWidth="1"/>
    <col min="44" max="44" width="9.5703125" style="374" bestFit="1" customWidth="1"/>
    <col min="45" max="47" width="9.28515625" style="374" bestFit="1" customWidth="1"/>
    <col min="48" max="51" width="9.5703125" style="374" bestFit="1" customWidth="1"/>
    <col min="52" max="52" width="13.7109375" style="374" bestFit="1" customWidth="1"/>
    <col min="53" max="53" width="9.28515625" style="374" bestFit="1" customWidth="1"/>
    <col min="54" max="54" width="14.140625" style="374" bestFit="1" customWidth="1"/>
    <col min="55" max="55" width="9.5703125" style="374" bestFit="1" customWidth="1"/>
    <col min="56" max="56" width="12" style="374" bestFit="1" customWidth="1"/>
    <col min="57" max="58" width="9.28515625" style="374" bestFit="1" customWidth="1"/>
    <col min="59" max="16384" width="9.140625" style="374"/>
  </cols>
  <sheetData>
    <row r="1" spans="1:59" hidden="1" x14ac:dyDescent="0.2"/>
    <row r="2" spans="1:59" hidden="1" x14ac:dyDescent="0.2"/>
    <row r="3" spans="1:59" hidden="1" x14ac:dyDescent="0.2"/>
    <row r="4" spans="1:59" ht="16.5" customHeight="1" x14ac:dyDescent="0.2">
      <c r="A4" s="621" t="s">
        <v>839</v>
      </c>
      <c r="B4" s="612" t="s">
        <v>188</v>
      </c>
      <c r="C4" s="613" t="s">
        <v>691</v>
      </c>
      <c r="D4" s="613" t="s">
        <v>439</v>
      </c>
      <c r="E4" s="613" t="s">
        <v>440</v>
      </c>
      <c r="F4" s="613" t="s">
        <v>441</v>
      </c>
      <c r="G4" s="613" t="s">
        <v>442</v>
      </c>
      <c r="H4" s="613" t="s">
        <v>443</v>
      </c>
      <c r="I4" s="613" t="s">
        <v>444</v>
      </c>
      <c r="J4" s="613" t="s">
        <v>445</v>
      </c>
      <c r="K4" s="613" t="s">
        <v>446</v>
      </c>
      <c r="L4" s="613" t="s">
        <v>447</v>
      </c>
      <c r="M4" s="613" t="s">
        <v>448</v>
      </c>
      <c r="N4" s="613" t="s">
        <v>449</v>
      </c>
      <c r="O4" s="613" t="s">
        <v>450</v>
      </c>
      <c r="P4" s="613" t="s">
        <v>828</v>
      </c>
      <c r="Q4" s="613" t="s">
        <v>452</v>
      </c>
      <c r="R4" s="613" t="s">
        <v>453</v>
      </c>
      <c r="S4" s="613" t="s">
        <v>454</v>
      </c>
      <c r="T4" s="613" t="s">
        <v>455</v>
      </c>
      <c r="U4" s="613" t="s">
        <v>456</v>
      </c>
      <c r="V4" s="613" t="s">
        <v>457</v>
      </c>
      <c r="W4" s="613" t="s">
        <v>458</v>
      </c>
      <c r="X4" s="613" t="s">
        <v>257</v>
      </c>
      <c r="Y4" s="613" t="s">
        <v>260</v>
      </c>
      <c r="Z4" s="613" t="s">
        <v>658</v>
      </c>
      <c r="AA4" s="613" t="s">
        <v>258</v>
      </c>
      <c r="AB4" s="613" t="s">
        <v>659</v>
      </c>
      <c r="AC4" s="613" t="s">
        <v>254</v>
      </c>
      <c r="AD4" s="613" t="s">
        <v>264</v>
      </c>
      <c r="AE4" s="613" t="s">
        <v>256</v>
      </c>
      <c r="AF4" s="613" t="s">
        <v>255</v>
      </c>
      <c r="AG4" s="613" t="s">
        <v>660</v>
      </c>
      <c r="AH4" s="613" t="s">
        <v>269</v>
      </c>
      <c r="AI4" s="613" t="s">
        <v>262</v>
      </c>
      <c r="AJ4" s="613" t="s">
        <v>263</v>
      </c>
      <c r="AK4" s="613" t="s">
        <v>275</v>
      </c>
      <c r="AL4" s="613" t="s">
        <v>687</v>
      </c>
      <c r="AM4" s="613" t="s">
        <v>259</v>
      </c>
      <c r="AN4" s="613" t="s">
        <v>281</v>
      </c>
      <c r="AO4" s="613" t="s">
        <v>529</v>
      </c>
      <c r="AP4" s="613" t="s">
        <v>530</v>
      </c>
      <c r="AQ4" s="613" t="s">
        <v>266</v>
      </c>
      <c r="AR4" s="613" t="s">
        <v>261</v>
      </c>
      <c r="AS4" s="613" t="s">
        <v>268</v>
      </c>
      <c r="AT4" s="613" t="s">
        <v>265</v>
      </c>
      <c r="AU4" s="613" t="s">
        <v>253</v>
      </c>
      <c r="AV4" s="613" t="s">
        <v>250</v>
      </c>
      <c r="AW4" s="613" t="s">
        <v>252</v>
      </c>
      <c r="AX4" s="613" t="s">
        <v>271</v>
      </c>
      <c r="AY4" s="613" t="s">
        <v>267</v>
      </c>
      <c r="AZ4" s="613" t="s">
        <v>270</v>
      </c>
      <c r="BA4" s="613" t="s">
        <v>531</v>
      </c>
      <c r="BB4" s="613" t="s">
        <v>661</v>
      </c>
      <c r="BC4" s="613" t="s">
        <v>578</v>
      </c>
      <c r="BD4" s="613" t="s">
        <v>272</v>
      </c>
      <c r="BE4" s="613" t="s">
        <v>681</v>
      </c>
      <c r="BF4" s="613" t="s">
        <v>274</v>
      </c>
    </row>
    <row r="5" spans="1:59" x14ac:dyDescent="0.2">
      <c r="A5" s="622"/>
      <c r="B5" s="654" t="s">
        <v>671</v>
      </c>
      <c r="C5" s="377" t="str">
        <f>+HLOOKUP(C4,'נתוני תאגידים'!$1:$530,466,0)</f>
        <v>חלש</v>
      </c>
      <c r="D5" s="377" t="str">
        <f>+HLOOKUP(D4,'נתוני תאגידים'!$1:$530,466,0)</f>
        <v>חלש</v>
      </c>
      <c r="E5" s="377" t="str">
        <f>+HLOOKUP(E4,'נתוני תאגידים'!$1:$530,466,0)</f>
        <v>בינוני</v>
      </c>
      <c r="F5" s="377" t="str">
        <f>+HLOOKUP(F4,'נתוני תאגידים'!$1:$530,466,0)</f>
        <v>בינוני</v>
      </c>
      <c r="G5" s="377" t="str">
        <f>+HLOOKUP(G4,'נתוני תאגידים'!$1:$530,466,0)</f>
        <v xml:space="preserve">חזק </v>
      </c>
      <c r="H5" s="377" t="str">
        <f>+HLOOKUP(H4,'נתוני תאגידים'!$1:$530,466,0)</f>
        <v xml:space="preserve">חזק </v>
      </c>
      <c r="I5" s="377" t="str">
        <f>+HLOOKUP(I4,'נתוני תאגידים'!$1:$530,466,0)</f>
        <v>חלש</v>
      </c>
      <c r="J5" s="377" t="str">
        <f>+HLOOKUP(J4,'נתוני תאגידים'!$1:$530,466,0)</f>
        <v xml:space="preserve">חזק </v>
      </c>
      <c r="K5" s="377" t="str">
        <f>+HLOOKUP(K4,'נתוני תאגידים'!$1:$530,466,0)</f>
        <v>חלש</v>
      </c>
      <c r="L5" s="377" t="str">
        <f>+HLOOKUP(L4,'נתוני תאגידים'!$1:$530,466,0)</f>
        <v xml:space="preserve">חזק </v>
      </c>
      <c r="M5" s="377" t="str">
        <f>+HLOOKUP(M4,'נתוני תאגידים'!$1:$530,466,0)</f>
        <v xml:space="preserve">חזק </v>
      </c>
      <c r="N5" s="377" t="str">
        <f>+HLOOKUP(N4,'נתוני תאגידים'!$1:$530,466,0)</f>
        <v>חלש</v>
      </c>
      <c r="O5" s="377" t="str">
        <f>+HLOOKUP(O4,'נתוני תאגידים'!$1:$530,466,0)</f>
        <v>חזק מאוד</v>
      </c>
      <c r="P5" s="377" t="str">
        <f>+HLOOKUP(P4,'נתוני תאגידים'!$1:$530,466,0)</f>
        <v>חלש</v>
      </c>
      <c r="Q5" s="377" t="str">
        <f>+HLOOKUP(Q4,'נתוני תאגידים'!$1:$530,466,0)</f>
        <v>בינוני</v>
      </c>
      <c r="R5" s="377" t="str">
        <f>+HLOOKUP(R4,'נתוני תאגידים'!$1:$530,466,0)</f>
        <v xml:space="preserve">חזק </v>
      </c>
      <c r="S5" s="377" t="str">
        <f>+HLOOKUP(S4,'נתוני תאגידים'!$1:$530,466,0)</f>
        <v>בינוני</v>
      </c>
      <c r="T5" s="377" t="str">
        <f>+HLOOKUP(T4,'נתוני תאגידים'!$1:$530,466,0)</f>
        <v xml:space="preserve">חזק </v>
      </c>
      <c r="U5" s="377" t="str">
        <f>+HLOOKUP(U4,'נתוני תאגידים'!$1:$530,466,0)</f>
        <v xml:space="preserve">חזק </v>
      </c>
      <c r="V5" s="377" t="str">
        <f>+HLOOKUP(V4,'נתוני תאגידים'!$1:$530,466,0)</f>
        <v>חלש</v>
      </c>
      <c r="W5" s="377" t="str">
        <f>+HLOOKUP(W4,'נתוני תאגידים'!$1:$530,466,0)</f>
        <v>חלש</v>
      </c>
      <c r="X5" s="377" t="str">
        <f>+HLOOKUP(X4,'נתוני תאגידים'!$1:$530,466,0)</f>
        <v>חזק מאוד</v>
      </c>
      <c r="Y5" s="377" t="str">
        <f>+HLOOKUP(Y4,'נתוני תאגידים'!$1:$530,466,0)</f>
        <v>בינוני</v>
      </c>
      <c r="Z5" s="377" t="str">
        <f>+HLOOKUP(Z4,'נתוני תאגידים'!$1:$530,466,0)</f>
        <v xml:space="preserve">חזק </v>
      </c>
      <c r="AA5" s="377" t="str">
        <f>+HLOOKUP(AA4,'נתוני תאגידים'!$1:$530,466,0)</f>
        <v>חזק מאוד</v>
      </c>
      <c r="AB5" s="377" t="str">
        <f>+HLOOKUP(AB4,'נתוני תאגידים'!$1:$530,466,0)</f>
        <v>חלש</v>
      </c>
      <c r="AC5" s="377" t="str">
        <f>+HLOOKUP(AC4,'נתוני תאגידים'!$1:$530,466,0)</f>
        <v>חזק מאוד</v>
      </c>
      <c r="AD5" s="377" t="str">
        <f>+HLOOKUP(AD4,'נתוני תאגידים'!$1:$530,466,0)</f>
        <v>חזק מאוד</v>
      </c>
      <c r="AE5" s="377" t="str">
        <f>+HLOOKUP(AE4,'נתוני תאגידים'!$1:$530,466,0)</f>
        <v>חזק מאוד</v>
      </c>
      <c r="AF5" s="377" t="str">
        <f>+HLOOKUP(AF4,'נתוני תאגידים'!$1:$530,466,0)</f>
        <v xml:space="preserve">חזק </v>
      </c>
      <c r="AG5" s="377" t="str">
        <f>+HLOOKUP(AG4,'נתוני תאגידים'!$1:$530,466,0)</f>
        <v xml:space="preserve">חזק </v>
      </c>
      <c r="AH5" s="377" t="str">
        <f>+HLOOKUP(AH4,'נתוני תאגידים'!$1:$530,466,0)</f>
        <v>חלש</v>
      </c>
      <c r="AI5" s="377" t="str">
        <f>+HLOOKUP(AI4,'נתוני תאגידים'!$1:$530,466,0)</f>
        <v xml:space="preserve">חזק </v>
      </c>
      <c r="AJ5" s="377" t="str">
        <f>+HLOOKUP(AJ4,'נתוני תאגידים'!$1:$530,466,0)</f>
        <v>בינוני</v>
      </c>
      <c r="AK5" s="377" t="str">
        <f>+HLOOKUP(AK4,'נתוני תאגידים'!$1:$530,466,0)</f>
        <v xml:space="preserve">חזק </v>
      </c>
      <c r="AL5" s="377" t="str">
        <f>+HLOOKUP(AL4,'נתוני תאגידים'!$1:$530,466,0)</f>
        <v>חזק מאוד</v>
      </c>
      <c r="AM5" s="377" t="str">
        <f>+HLOOKUP(AM4,'נתוני תאגידים'!$1:$530,466,0)</f>
        <v>חזק מאוד</v>
      </c>
      <c r="AN5" s="377" t="str">
        <f>+HLOOKUP(AN4,'נתוני תאגידים'!$1:$530,466,0)</f>
        <v>חזק מאוד</v>
      </c>
      <c r="AO5" s="377" t="str">
        <f>+HLOOKUP(AO4,'נתוני תאגידים'!$1:$530,466,0)</f>
        <v>חזק מאוד</v>
      </c>
      <c r="AP5" s="377" t="str">
        <f>+HLOOKUP(AP4,'נתוני תאגידים'!$1:$530,466,0)</f>
        <v xml:space="preserve">חזק </v>
      </c>
      <c r="AQ5" s="377" t="str">
        <f>+HLOOKUP(AQ4,'נתוני תאגידים'!$1:$530,466,0)</f>
        <v>חזק מאוד</v>
      </c>
      <c r="AR5" s="377" t="str">
        <f>+HLOOKUP(AR4,'נתוני תאגידים'!$1:$530,466,0)</f>
        <v>חלש</v>
      </c>
      <c r="AS5" s="377" t="str">
        <f>+HLOOKUP(AS4,'נתוני תאגידים'!$1:$530,466,0)</f>
        <v>חלש</v>
      </c>
      <c r="AT5" s="377" t="str">
        <f>+HLOOKUP(AT4,'נתוני תאגידים'!$1:$530,466,0)</f>
        <v xml:space="preserve">חזק </v>
      </c>
      <c r="AU5" s="377" t="str">
        <f>+HLOOKUP(AU4,'נתוני תאגידים'!$1:$530,466,0)</f>
        <v>חזק מאוד</v>
      </c>
      <c r="AV5" s="377" t="str">
        <f>+HLOOKUP(AV4,'נתוני תאגידים'!$1:$530,466,0)</f>
        <v>חלש</v>
      </c>
      <c r="AW5" s="377" t="str">
        <f>+HLOOKUP(AW4,'נתוני תאגידים'!$1:$530,466,0)</f>
        <v>חלש</v>
      </c>
      <c r="AX5" s="377" t="str">
        <f>+HLOOKUP(AX4,'נתוני תאגידים'!$1:$530,466,0)</f>
        <v>בינוני</v>
      </c>
      <c r="AY5" s="377" t="str">
        <f>+HLOOKUP(AY4,'נתוני תאגידים'!$1:$530,466,0)</f>
        <v>חלש</v>
      </c>
      <c r="AZ5" s="377" t="str">
        <f>+HLOOKUP(AZ4,'נתוני תאגידים'!$1:$530,466,0)</f>
        <v>חזק מאוד</v>
      </c>
      <c r="BA5" s="377" t="str">
        <f>+HLOOKUP(BA4,'נתוני תאגידים'!$1:$530,466,0)</f>
        <v>חלש</v>
      </c>
      <c r="BB5" s="377" t="str">
        <f>+HLOOKUP(BB4,'נתוני תאגידים'!$1:$530,466,0)</f>
        <v>חלש</v>
      </c>
      <c r="BC5" s="377" t="str">
        <f>+HLOOKUP(BC4,'נתוני תאגידים'!$1:$530,466,0)</f>
        <v>חלש</v>
      </c>
      <c r="BD5" s="377" t="str">
        <f>+HLOOKUP(BD4,'נתוני תאגידים'!$1:$530,466,0)</f>
        <v>חזק מאוד</v>
      </c>
      <c r="BE5" s="377" t="str">
        <f>+HLOOKUP(BE4,'נתוני תאגידים'!$1:$530,466,0)</f>
        <v>חזק מאוד</v>
      </c>
      <c r="BF5" s="377" t="str">
        <f>+HLOOKUP(BF4,'נתוני תאגידים'!$1:$530,466,0)</f>
        <v xml:space="preserve">חזק </v>
      </c>
    </row>
    <row r="6" spans="1:59" x14ac:dyDescent="0.2">
      <c r="A6" s="622"/>
      <c r="B6" s="654" t="s">
        <v>190</v>
      </c>
      <c r="C6" s="377">
        <f>+ROUND(HLOOKUP(C4,'נתוני תאגידים'!$1:$530,392,0),0)</f>
        <v>3</v>
      </c>
      <c r="D6" s="377">
        <f>+ROUND(HLOOKUP(D4,'נתוני תאגידים'!$1:$530,392,0),0)</f>
        <v>3</v>
      </c>
      <c r="E6" s="377">
        <f>+ROUND(HLOOKUP(E4,'נתוני תאגידים'!$1:$530,392,0),0)</f>
        <v>4</v>
      </c>
      <c r="F6" s="377">
        <f>+ROUND(HLOOKUP(F4,'נתוני תאגידים'!$1:$530,392,0),0)</f>
        <v>5</v>
      </c>
      <c r="G6" s="377">
        <f>+ROUND(HLOOKUP(G4,'נתוני תאגידים'!$1:$530,392,0),0)</f>
        <v>5</v>
      </c>
      <c r="H6" s="377">
        <f>+ROUND(HLOOKUP(H4,'נתוני תאגידים'!$1:$530,392,0),0)</f>
        <v>5</v>
      </c>
      <c r="I6" s="377">
        <f>+ROUND(HLOOKUP(I4,'נתוני תאגידים'!$1:$530,392,0),0)</f>
        <v>2</v>
      </c>
      <c r="J6" s="377">
        <f>+ROUND(HLOOKUP(J4,'נתוני תאגידים'!$1:$530,392,0),0)</f>
        <v>5</v>
      </c>
      <c r="K6" s="377">
        <f>+ROUND(HLOOKUP(K4,'נתוני תאגידים'!$1:$530,392,0),0)</f>
        <v>4</v>
      </c>
      <c r="L6" s="377">
        <f>+ROUND(HLOOKUP(L4,'נתוני תאגידים'!$1:$530,392,0),0)</f>
        <v>5</v>
      </c>
      <c r="M6" s="377">
        <f>+ROUND(HLOOKUP(M4,'נתוני תאגידים'!$1:$530,392,0),0)</f>
        <v>5</v>
      </c>
      <c r="N6" s="377">
        <f>+ROUND(HLOOKUP(N4,'נתוני תאגידים'!$1:$530,392,0),0)</f>
        <v>3</v>
      </c>
      <c r="O6" s="377">
        <f>+ROUND(HLOOKUP(O4,'נתוני תאגידים'!$1:$530,392,0),0)</f>
        <v>7</v>
      </c>
      <c r="P6" s="377">
        <f>+ROUND(HLOOKUP(P4,'נתוני תאגידים'!$1:$530,392,0),0)</f>
        <v>4</v>
      </c>
      <c r="Q6" s="377">
        <f>+ROUND(HLOOKUP(Q4,'נתוני תאגידים'!$1:$530,392,0),0)</f>
        <v>5</v>
      </c>
      <c r="R6" s="377">
        <f>+ROUND(HLOOKUP(R4,'נתוני תאגידים'!$1:$530,392,0),0)</f>
        <v>5</v>
      </c>
      <c r="S6" s="377">
        <f>+ROUND(HLOOKUP(S4,'נתוני תאגידים'!$1:$530,392,0),0)</f>
        <v>5</v>
      </c>
      <c r="T6" s="377">
        <f>+ROUND(HLOOKUP(T4,'נתוני תאגידים'!$1:$530,392,0),0)</f>
        <v>6</v>
      </c>
      <c r="U6" s="377">
        <f>+ROUND(HLOOKUP(U4,'נתוני תאגידים'!$1:$530,392,0),0)</f>
        <v>5</v>
      </c>
      <c r="V6" s="377">
        <f>+ROUND(HLOOKUP(V4,'נתוני תאגידים'!$1:$530,392,0),0)</f>
        <v>3</v>
      </c>
      <c r="W6" s="377">
        <f>+ROUND(HLOOKUP(W4,'נתוני תאגידים'!$1:$530,392,0),0)</f>
        <v>4</v>
      </c>
      <c r="X6" s="377">
        <f>+ROUND(HLOOKUP(X4,'נתוני תאגידים'!$1:$530,392,0),0)</f>
        <v>8</v>
      </c>
      <c r="Y6" s="377">
        <f>+ROUND(HLOOKUP(Y4,'נתוני תאגידים'!$1:$530,392,0),0)</f>
        <v>5</v>
      </c>
      <c r="Z6" s="377">
        <f>+ROUND(HLOOKUP(Z4,'נתוני תאגידים'!$1:$530,392,0),0)</f>
        <v>5</v>
      </c>
      <c r="AA6" s="377">
        <f>+ROUND(HLOOKUP(AA4,'נתוני תאגידים'!$1:$530,392,0),0)</f>
        <v>8</v>
      </c>
      <c r="AB6" s="377">
        <f>+ROUND(HLOOKUP(AB4,'נתוני תאגידים'!$1:$530,392,0),0)</f>
        <v>4</v>
      </c>
      <c r="AC6" s="377">
        <f>+ROUND(HLOOKUP(AC4,'נתוני תאגידים'!$1:$530,392,0),0)</f>
        <v>8</v>
      </c>
      <c r="AD6" s="377">
        <f>+ROUND(HLOOKUP(AD4,'נתוני תאגידים'!$1:$530,392,0),0)</f>
        <v>9</v>
      </c>
      <c r="AE6" s="377">
        <f>+ROUND(HLOOKUP(AE4,'נתוני תאגידים'!$1:$530,392,0),0)</f>
        <v>7</v>
      </c>
      <c r="AF6" s="377">
        <f>+ROUND(HLOOKUP(AF4,'נתוני תאגידים'!$1:$530,392,0),0)</f>
        <v>5</v>
      </c>
      <c r="AG6" s="377">
        <f>+ROUND(HLOOKUP(AG4,'נתוני תאגידים'!$1:$530,392,0),0)</f>
        <v>5</v>
      </c>
      <c r="AH6" s="377">
        <f>+ROUND(HLOOKUP(AH4,'נתוני תאגידים'!$1:$530,392,0),0)</f>
        <v>2</v>
      </c>
      <c r="AI6" s="377">
        <f>+ROUND(HLOOKUP(AI4,'נתוני תאגידים'!$1:$530,392,0),0)</f>
        <v>6</v>
      </c>
      <c r="AJ6" s="377">
        <f>+ROUND(HLOOKUP(AJ4,'נתוני תאגידים'!$1:$530,392,0),0)</f>
        <v>5</v>
      </c>
      <c r="AK6" s="377">
        <f>+ROUND(HLOOKUP(AK4,'נתוני תאגידים'!$1:$530,392,0),0)</f>
        <v>6</v>
      </c>
      <c r="AL6" s="377">
        <f>+ROUND(HLOOKUP(AL4,'נתוני תאגידים'!$1:$530,392,0),0)</f>
        <v>8</v>
      </c>
      <c r="AM6" s="377">
        <f>+ROUND(HLOOKUP(AM4,'נתוני תאגידים'!$1:$530,392,0),0)</f>
        <v>7</v>
      </c>
      <c r="AN6" s="377">
        <f>+ROUND(HLOOKUP(AN4,'נתוני תאגידים'!$1:$530,392,0),0)</f>
        <v>7</v>
      </c>
      <c r="AO6" s="377">
        <f>+ROUND(HLOOKUP(AO4,'נתוני תאגידים'!$1:$530,392,0),0)</f>
        <v>8</v>
      </c>
      <c r="AP6" s="377">
        <f>+ROUND(HLOOKUP(AP4,'נתוני תאגידים'!$1:$530,392,0),0)</f>
        <v>5</v>
      </c>
      <c r="AQ6" s="377">
        <f>+ROUND(HLOOKUP(AQ4,'נתוני תאגידים'!$1:$530,392,0),0)</f>
        <v>8</v>
      </c>
      <c r="AR6" s="377">
        <f>+ROUND(HLOOKUP(AR4,'נתוני תאגידים'!$1:$530,392,0),0)</f>
        <v>3</v>
      </c>
      <c r="AS6" s="377">
        <f>+ROUND(HLOOKUP(AS4,'נתוני תאגידים'!$1:$530,392,0),0)</f>
        <v>4</v>
      </c>
      <c r="AT6" s="377">
        <f>+ROUND(HLOOKUP(AT4,'נתוני תאגידים'!$1:$530,392,0),0)</f>
        <v>5</v>
      </c>
      <c r="AU6" s="377">
        <f>+ROUND(HLOOKUP(AU4,'נתוני תאגידים'!$1:$530,392,0),0)</f>
        <v>8</v>
      </c>
      <c r="AV6" s="377">
        <f>+ROUND(HLOOKUP(AV4,'נתוני תאגידים'!$1:$530,392,0),0)</f>
        <v>3</v>
      </c>
      <c r="AW6" s="377">
        <f>+ROUND(HLOOKUP(AW4,'נתוני תאגידים'!$1:$530,392,0),0)</f>
        <v>2</v>
      </c>
      <c r="AX6" s="377">
        <f>+ROUND(HLOOKUP(AX4,'נתוני תאגידים'!$1:$530,392,0),0)</f>
        <v>5</v>
      </c>
      <c r="AY6" s="377">
        <f>+ROUND(HLOOKUP(AY4,'נתוני תאגידים'!$1:$530,392,0),0)</f>
        <v>4</v>
      </c>
      <c r="AZ6" s="377">
        <f>+ROUND(HLOOKUP(AZ4,'נתוני תאגידים'!$1:$530,392,0),0)</f>
        <v>7</v>
      </c>
      <c r="BA6" s="377">
        <f>+ROUND(HLOOKUP(BA4,'נתוני תאגידים'!$1:$530,392,0),0)</f>
        <v>3</v>
      </c>
      <c r="BB6" s="377">
        <f>+ROUND(HLOOKUP(BB4,'נתוני תאגידים'!$1:$530,392,0),0)</f>
        <v>3</v>
      </c>
      <c r="BC6" s="377">
        <f>+ROUND(HLOOKUP(BC4,'נתוני תאגידים'!$1:$530,392,0),0)</f>
        <v>2</v>
      </c>
      <c r="BD6" s="377">
        <f>+ROUND(HLOOKUP(BD4,'נתוני תאגידים'!$1:$530,392,0),0)</f>
        <v>9</v>
      </c>
      <c r="BE6" s="377">
        <f>+ROUND(HLOOKUP(BE4,'נתוני תאגידים'!$1:$530,392,0),0)</f>
        <v>8</v>
      </c>
      <c r="BF6" s="377">
        <f>+ROUND(HLOOKUP(BF4,'נתוני תאגידים'!$1:$530,392,0),0)</f>
        <v>6</v>
      </c>
    </row>
    <row r="7" spans="1:59" hidden="1" x14ac:dyDescent="0.2">
      <c r="A7" s="622"/>
      <c r="B7" s="654" t="s">
        <v>191</v>
      </c>
      <c r="C7" s="377">
        <f>+HLOOKUP(C4,'נתוני תאגידים'!$1:$530,6,0)</f>
        <v>2009</v>
      </c>
      <c r="D7" s="377">
        <f>+HLOOKUP(D4,'נתוני תאגידים'!$1:$530,6,0)</f>
        <v>2009</v>
      </c>
      <c r="E7" s="377">
        <f>+HLOOKUP(E4,'נתוני תאגידים'!$1:$530,6,0)</f>
        <v>2008</v>
      </c>
      <c r="F7" s="377">
        <f>+HLOOKUP(F4,'נתוני תאגידים'!$1:$530,6,0)</f>
        <v>2003</v>
      </c>
      <c r="G7" s="377">
        <f>+HLOOKUP(G4,'נתוני תאגידים'!$1:$530,6,0)</f>
        <v>2008</v>
      </c>
      <c r="H7" s="377">
        <f>+HLOOKUP(H4,'נתוני תאגידים'!$1:$530,6,0)</f>
        <v>2008</v>
      </c>
      <c r="I7" s="377">
        <f>+HLOOKUP(I4,'נתוני תאגידים'!$1:$530,6,0)</f>
        <v>2009</v>
      </c>
      <c r="J7" s="377">
        <f>+HLOOKUP(J4,'נתוני תאגידים'!$1:$530,6,0)</f>
        <v>2009</v>
      </c>
      <c r="K7" s="377">
        <f>+HLOOKUP(K4,'נתוני תאגידים'!$1:$530,6,0)</f>
        <v>2009</v>
      </c>
      <c r="L7" s="377">
        <f>+HLOOKUP(L4,'נתוני תאגידים'!$1:$530,6,0)</f>
        <v>2003</v>
      </c>
      <c r="M7" s="377">
        <f>+HLOOKUP(M4,'נתוני תאגידים'!$1:$530,6,0)</f>
        <v>2003</v>
      </c>
      <c r="N7" s="377">
        <f>+HLOOKUP(N4,'נתוני תאגידים'!$1:$530,6,0)</f>
        <v>2009</v>
      </c>
      <c r="O7" s="377">
        <f>+HLOOKUP(O4,'נתוני תאגידים'!$1:$530,6,0)</f>
        <v>2009</v>
      </c>
      <c r="P7" s="377">
        <f>+HLOOKUP(P4,'נתוני תאגידים'!$1:$530,6,0)</f>
        <v>2008</v>
      </c>
      <c r="Q7" s="377">
        <f>+HLOOKUP(Q4,'נתוני תאגידים'!$1:$530,6,0)</f>
        <v>2007</v>
      </c>
      <c r="R7" s="377">
        <f>+HLOOKUP(R4,'נתוני תאגידים'!$1:$530,6,0)</f>
        <v>2008</v>
      </c>
      <c r="S7" s="377">
        <f>+HLOOKUP(S4,'נתוני תאגידים'!$1:$530,6,0)</f>
        <v>2004</v>
      </c>
      <c r="T7" s="377">
        <f>+HLOOKUP(T4,'נתוני תאגידים'!$1:$530,6,0)</f>
        <v>2003</v>
      </c>
      <c r="U7" s="377">
        <f>+HLOOKUP(U4,'נתוני תאגידים'!$1:$530,6,0)</f>
        <v>2006</v>
      </c>
      <c r="V7" s="377">
        <f>+HLOOKUP(V4,'נתוני תאגידים'!$1:$530,6,0)</f>
        <v>2008</v>
      </c>
      <c r="W7" s="377">
        <f>+HLOOKUP(W4,'נתוני תאגידים'!$1:$530,6,0)</f>
        <v>2009</v>
      </c>
      <c r="X7" s="377">
        <f>+HLOOKUP(X4,'נתוני תאגידים'!$1:$530,6,0)</f>
        <v>2006</v>
      </c>
      <c r="Y7" s="377">
        <f>+HLOOKUP(Y4,'נתוני תאגידים'!$1:$530,6,0)</f>
        <v>2009</v>
      </c>
      <c r="Z7" s="377">
        <f>+HLOOKUP(Z4,'נתוני תאגידים'!$1:$530,6,0)</f>
        <v>2009</v>
      </c>
      <c r="AA7" s="377">
        <f>+HLOOKUP(AA4,'נתוני תאגידים'!$1:$530,6,0)</f>
        <v>2010</v>
      </c>
      <c r="AB7" s="377">
        <f>+HLOOKUP(AB4,'נתוני תאגידים'!$1:$530,6,0)</f>
        <v>2009</v>
      </c>
      <c r="AC7" s="377">
        <f>+HLOOKUP(AC4,'נתוני תאגידים'!$1:$530,6,0)</f>
        <v>2010</v>
      </c>
      <c r="AD7" s="377">
        <f>+HLOOKUP(AD4,'נתוני תאגידים'!$1:$530,6,0)</f>
        <v>2009</v>
      </c>
      <c r="AE7" s="377">
        <f>+HLOOKUP(AE4,'נתוני תאגידים'!$1:$530,6,0)</f>
        <v>2010</v>
      </c>
      <c r="AF7" s="377">
        <f>+HLOOKUP(AF4,'נתוני תאגידים'!$1:$530,6,0)</f>
        <v>2009</v>
      </c>
      <c r="AG7" s="377">
        <f>+HLOOKUP(AG4,'נתוני תאגידים'!$1:$530,6,0)</f>
        <v>2010</v>
      </c>
      <c r="AH7" s="377">
        <f>+HLOOKUP(AH4,'נתוני תאגידים'!$1:$530,6,0)</f>
        <v>2010</v>
      </c>
      <c r="AI7" s="377">
        <f>+HLOOKUP(AI4,'נתוני תאגידים'!$1:$530,6,0)</f>
        <v>2009</v>
      </c>
      <c r="AJ7" s="377">
        <f>+HLOOKUP(AJ4,'נתוני תאגידים'!$1:$530,6,0)</f>
        <v>2009</v>
      </c>
      <c r="AK7" s="377">
        <f>+HLOOKUP(AK4,'נתוני תאגידים'!$1:$530,6,0)</f>
        <v>2013</v>
      </c>
      <c r="AL7" s="377">
        <f>+HLOOKUP(AL4,'נתוני תאגידים'!$1:$530,6,0)</f>
        <v>2010</v>
      </c>
      <c r="AM7" s="377">
        <f>+HLOOKUP(AM4,'נתוני תאגידים'!$1:$530,6,0)</f>
        <v>2010</v>
      </c>
      <c r="AN7" s="377">
        <f>+HLOOKUP(AN4,'נתוני תאגידים'!$1:$530,6,0)</f>
        <v>2012</v>
      </c>
      <c r="AO7" s="377">
        <f>+HLOOKUP(AO4,'נתוני תאגידים'!$1:$530,6,0)</f>
        <v>2010</v>
      </c>
      <c r="AP7" s="377">
        <f>+HLOOKUP(AP4,'נתוני תאגידים'!$1:$530,6,0)</f>
        <v>2009</v>
      </c>
      <c r="AQ7" s="377">
        <f>+HLOOKUP(AQ4,'נתוני תאגידים'!$1:$530,6,0)</f>
        <v>2010</v>
      </c>
      <c r="AR7" s="377">
        <f>+HLOOKUP(AR4,'נתוני תאגידים'!$1:$530,6,0)</f>
        <v>2010</v>
      </c>
      <c r="AS7" s="377">
        <f>+HLOOKUP(AS4,'נתוני תאגידים'!$1:$530,6,0)</f>
        <v>2010</v>
      </c>
      <c r="AT7" s="377">
        <f>+HLOOKUP(AT4,'נתוני תאגידים'!$1:$530,6,0)</f>
        <v>2010</v>
      </c>
      <c r="AU7" s="377">
        <f>+HLOOKUP(AU4,'נתוני תאגידים'!$1:$530,6,0)</f>
        <v>2010</v>
      </c>
      <c r="AV7" s="377">
        <f>+HLOOKUP(AV4,'נתוני תאגידים'!$1:$530,6,0)</f>
        <v>2010</v>
      </c>
      <c r="AW7" s="377">
        <f>+HLOOKUP(AW4,'נתוני תאגידים'!$1:$530,6,0)</f>
        <v>2010</v>
      </c>
      <c r="AX7" s="377">
        <f>+HLOOKUP(AX4,'נתוני תאגידים'!$1:$530,6,0)</f>
        <v>2010</v>
      </c>
      <c r="AY7" s="377">
        <f>+HLOOKUP(AY4,'נתוני תאגידים'!$1:$530,6,0)</f>
        <v>2010</v>
      </c>
      <c r="AZ7" s="377">
        <f>+HLOOKUP(AZ4,'נתוני תאגידים'!$1:$530,6,0)</f>
        <v>2010</v>
      </c>
      <c r="BA7" s="377">
        <f>+HLOOKUP(BA4,'נתוני תאגידים'!$1:$530,6,0)</f>
        <v>2010</v>
      </c>
      <c r="BB7" s="377">
        <f>+HLOOKUP(BB4,'נתוני תאגידים'!$1:$530,6,0)</f>
        <v>2010</v>
      </c>
      <c r="BC7" s="377">
        <f>+HLOOKUP(BC4,'נתוני תאגידים'!$1:$530,6,0)</f>
        <v>2011</v>
      </c>
      <c r="BD7" s="377">
        <f>+HLOOKUP(BD4,'נתוני תאגידים'!$1:$530,6,0)</f>
        <v>2011</v>
      </c>
      <c r="BE7" s="377">
        <f>+HLOOKUP(BE4,'נתוני תאגידים'!$1:$530,6,0)</f>
        <v>2013</v>
      </c>
      <c r="BF7" s="377">
        <f>+HLOOKUP(BF4,'נתוני תאגידים'!$1:$530,6,0)</f>
        <v>2013</v>
      </c>
    </row>
    <row r="8" spans="1:59" x14ac:dyDescent="0.2">
      <c r="A8" s="622"/>
      <c r="B8" s="654" t="s">
        <v>919</v>
      </c>
      <c r="C8" s="406">
        <f>+IFERROR(HLOOKUP(C4,'נתוני תאגידים'!$1:$530,107,0),C12)</f>
        <v>42979.930999999997</v>
      </c>
      <c r="D8" s="406">
        <f>+IFERROR(HLOOKUP(D4,'נתוני תאגידים'!$1:$530,107,0),D12)</f>
        <v>71428.73</v>
      </c>
      <c r="E8" s="406">
        <f>+IFERROR(HLOOKUP(E4,'נתוני תאגידים'!$1:$530,107,0),E12)</f>
        <v>42029.707000000002</v>
      </c>
      <c r="F8" s="406">
        <f>+IFERROR(HLOOKUP(F4,'נתוני תאגידים'!$1:$530,107,0),F12)</f>
        <v>499262.51899999997</v>
      </c>
      <c r="G8" s="406">
        <f>+IFERROR(HLOOKUP(G4,'נתוני תאגידים'!$1:$530,107,0),G12)</f>
        <v>87816</v>
      </c>
      <c r="H8" s="406">
        <f>+IFERROR(HLOOKUP(H4,'נתוני תאגידים'!$1:$530,107,0),H12)</f>
        <v>25936.188333333332</v>
      </c>
      <c r="I8" s="406">
        <f>+IFERROR(HLOOKUP(I4,'נתוני תאגידים'!$1:$530,107,0),I12)</f>
        <v>48457.552000000003</v>
      </c>
      <c r="J8" s="406">
        <f>+IFERROR(HLOOKUP(J4,'נתוני תאגידים'!$1:$530,107,0),J12)</f>
        <v>62864.678</v>
      </c>
      <c r="K8" s="406">
        <f>+IFERROR(HLOOKUP(K4,'נתוני תאגידים'!$1:$530,107,0),K12)</f>
        <v>20382.365000000002</v>
      </c>
      <c r="L8" s="406">
        <f>+IFERROR(HLOOKUP(L4,'נתוני תאגידים'!$1:$530,107,0),L12)</f>
        <v>73250.597999999998</v>
      </c>
      <c r="M8" s="406">
        <f>+IFERROR(HLOOKUP(M4,'נתוני תאגידים'!$1:$530,107,0),M12)</f>
        <v>128230.59600000001</v>
      </c>
      <c r="N8" s="406">
        <f>+IFERROR(HLOOKUP(N4,'נתוני תאגידים'!$1:$530,107,0),N12)</f>
        <v>77134.452999999994</v>
      </c>
      <c r="O8" s="406">
        <f>+IFERROR(HLOOKUP(O4,'נתוני תאגידים'!$1:$530,107,0),O12)</f>
        <v>48461.557000000001</v>
      </c>
      <c r="P8" s="406">
        <f>+IFERROR(HLOOKUP(P4,'נתוני תאגידים'!$1:$530,107,0),P12)</f>
        <v>63011.004999999997</v>
      </c>
      <c r="Q8" s="406">
        <f>+IFERROR(HLOOKUP(Q4,'נתוני תאגידים'!$1:$530,107,0),Q12)</f>
        <v>114210.69500000001</v>
      </c>
      <c r="R8" s="406">
        <f>+IFERROR(HLOOKUP(R4,'נתוני תאגידים'!$1:$530,107,0),R12)</f>
        <v>98914.097999999998</v>
      </c>
      <c r="S8" s="406">
        <f>+IFERROR(HLOOKUP(S4,'נתוני תאגידים'!$1:$530,107,0),S12)</f>
        <v>155168.929</v>
      </c>
      <c r="T8" s="406">
        <f>+IFERROR(HLOOKUP(T4,'נתוני תאגידים'!$1:$530,107,0),T12)</f>
        <v>156462.40299999999</v>
      </c>
      <c r="U8" s="406">
        <f>+IFERROR(HLOOKUP(U4,'נתוני תאגידים'!$1:$530,107,0),U12)</f>
        <v>58288.302000000003</v>
      </c>
      <c r="V8" s="406">
        <f>+IFERROR(HLOOKUP(V4,'נתוני תאגידים'!$1:$530,107,0),V12)</f>
        <v>83905.163</v>
      </c>
      <c r="W8" s="406">
        <f>+IFERROR(HLOOKUP(W4,'נתוני תאגידים'!$1:$530,107,0),W12)</f>
        <v>57104.091999999997</v>
      </c>
      <c r="X8" s="406">
        <f>+IFERROR(HLOOKUP(X4,'נתוני תאגידים'!$1:$530,107,0),X12)</f>
        <v>82392.178</v>
      </c>
      <c r="Y8" s="406">
        <f>+IFERROR(HLOOKUP(Y4,'נתוני תאגידים'!$1:$530,107,0),Y12)</f>
        <v>40072.712</v>
      </c>
      <c r="Z8" s="406">
        <f>+IFERROR(HLOOKUP(Z4,'נתוני תאגידים'!$1:$530,107,0),Z12)</f>
        <v>36539.423999999999</v>
      </c>
      <c r="AA8" s="406">
        <f>+IFERROR(HLOOKUP(AA4,'נתוני תאגידים'!$1:$530,107,0),AA12)</f>
        <v>85636.524999999994</v>
      </c>
      <c r="AB8" s="406">
        <f>+IFERROR(HLOOKUP(AB4,'נתוני תאגידים'!$1:$530,107,0),AB12)</f>
        <v>35205.489000000001</v>
      </c>
      <c r="AC8" s="406">
        <f>+IFERROR(HLOOKUP(AC4,'נתוני תאגידים'!$1:$530,107,0),AC12)</f>
        <v>68351.183000000005</v>
      </c>
      <c r="AD8" s="406">
        <f>+IFERROR(HLOOKUP(AD4,'נתוני תאגידים'!$1:$530,107,0),AD12)</f>
        <v>28317.245999999999</v>
      </c>
      <c r="AE8" s="406">
        <f>+IFERROR(HLOOKUP(AE4,'נתוני תאגידים'!$1:$530,107,0),AE12)</f>
        <v>214592.11199999999</v>
      </c>
      <c r="AF8" s="406">
        <f>+IFERROR(HLOOKUP(AF4,'נתוני תאגידים'!$1:$530,107,0),AF12)</f>
        <v>34353.266000000003</v>
      </c>
      <c r="AG8" s="406">
        <f>+IFERROR(HLOOKUP(AG4,'נתוני תאגידים'!$1:$530,107,0),AG12)</f>
        <v>36080.231</v>
      </c>
      <c r="AH8" s="406">
        <f>+IFERROR(HLOOKUP(AH4,'נתוני תאגידים'!$1:$530,107,0),AH12)</f>
        <v>35375.936999999998</v>
      </c>
      <c r="AI8" s="406">
        <f>+IFERROR(HLOOKUP(AI4,'נתוני תאגידים'!$1:$530,107,0),AI12)</f>
        <v>34588.705000000002</v>
      </c>
      <c r="AJ8" s="406">
        <f>+IFERROR(HLOOKUP(AJ4,'נתוני תאגידים'!$1:$530,107,0),AJ12)</f>
        <v>22482.293000000001</v>
      </c>
      <c r="AK8" s="406">
        <f>+IFERROR(HLOOKUP(AK4,'נתוני תאגידים'!$1:$530,107,0),AK12)</f>
        <v>10808.652</v>
      </c>
      <c r="AL8" s="406">
        <f>+IFERROR(HLOOKUP(AL4,'נתוני תאגידים'!$1:$530,107,0),AL12)</f>
        <v>195693.476</v>
      </c>
      <c r="AM8" s="406">
        <f>+IFERROR(HLOOKUP(AM4,'נתוני תאגידים'!$1:$530,107,0),AM12)</f>
        <v>59811.722000000002</v>
      </c>
      <c r="AN8" s="406">
        <f>+IFERROR(HLOOKUP(AN4,'נתוני תאגידים'!$1:$530,107,0),AN12)</f>
        <v>67732.403000000006</v>
      </c>
      <c r="AO8" s="406">
        <f>+IFERROR(HLOOKUP(AO4,'נתוני תאגידים'!$1:$530,107,0),AO12)</f>
        <v>23560.257000000001</v>
      </c>
      <c r="AP8" s="406">
        <f>+IFERROR(HLOOKUP(AP4,'נתוני תאגידים'!$1:$530,107,0),AP12)</f>
        <v>37063.226999999999</v>
      </c>
      <c r="AQ8" s="406">
        <f>+IFERROR(HLOOKUP(AQ4,'נתוני תאגידים'!$1:$530,107,0),AQ12)</f>
        <v>41766.243000000002</v>
      </c>
      <c r="AR8" s="406">
        <f>+IFERROR(HLOOKUP(AR4,'נתוני תאגידים'!$1:$530,107,0),AR12)</f>
        <v>87686.123000000007</v>
      </c>
      <c r="AS8" s="406">
        <f>+IFERROR(HLOOKUP(AS4,'נתוני תאגידים'!$1:$530,107,0),AS12)</f>
        <v>34816.701000000001</v>
      </c>
      <c r="AT8" s="406">
        <f>+IFERROR(HLOOKUP(AT4,'נתוני תאגידים'!$1:$530,107,0),AT12)</f>
        <v>15354.864</v>
      </c>
      <c r="AU8" s="406">
        <f>+IFERROR(HLOOKUP(AU4,'נתוני תאגידים'!$1:$530,107,0),AU12)</f>
        <v>45332.273999999998</v>
      </c>
      <c r="AV8" s="406">
        <f>+IFERROR(HLOOKUP(AV4,'נתוני תאגידים'!$1:$530,107,0),AV12)</f>
        <v>62597.707000000002</v>
      </c>
      <c r="AW8" s="406">
        <f>+IFERROR(HLOOKUP(AW4,'נתוני תאגידים'!$1:$530,107,0),AW12)</f>
        <v>52249.180999999997</v>
      </c>
      <c r="AX8" s="406">
        <f>+IFERROR(HLOOKUP(AX4,'נתוני תאגידים'!$1:$530,107,0),AX12)</f>
        <v>69583.839000000007</v>
      </c>
      <c r="AY8" s="406">
        <f>+IFERROR(HLOOKUP(AY4,'נתוני תאגידים'!$1:$530,107,0),AY12)</f>
        <v>41699.828999999998</v>
      </c>
      <c r="AZ8" s="406">
        <f>+IFERROR(HLOOKUP(AZ4,'נתוני תאגידים'!$1:$530,107,0),AZ12)</f>
        <v>59108.214</v>
      </c>
      <c r="BA8" s="406">
        <f>+IFERROR(HLOOKUP(BA4,'נתוני תאגידים'!$1:$530,107,0),BA12)</f>
        <v>34929.398000000001</v>
      </c>
      <c r="BB8" s="406">
        <f>+IFERROR(HLOOKUP(BB4,'נתוני תאגידים'!$1:$530,107,0),BB12)</f>
        <v>27474.741999999998</v>
      </c>
      <c r="BC8" s="406">
        <f>+IFERROR(HLOOKUP(BC4,'נתוני תאגידים'!$1:$530,107,0),BC12)</f>
        <v>46846.951000000001</v>
      </c>
      <c r="BD8" s="406">
        <f>+IFERROR(HLOOKUP(BD4,'נתוני תאגידים'!$1:$530,107,0),BD12)</f>
        <v>5673.4089999999997</v>
      </c>
      <c r="BE8" s="406">
        <f>+IFERROR(HLOOKUP(BE4,'נתוני תאגידים'!$1:$530,107,0),BE12)</f>
        <v>9665.0560000000005</v>
      </c>
      <c r="BF8" s="406">
        <f>+IFERROR(HLOOKUP(BF4,'נתוני תאגידים'!$1:$530,107,0),BF12)</f>
        <v>40311.868000000002</v>
      </c>
    </row>
    <row r="9" spans="1:59" x14ac:dyDescent="0.2">
      <c r="A9" s="622"/>
      <c r="B9" s="654" t="s">
        <v>920</v>
      </c>
      <c r="C9" s="406">
        <f>+IFERROR(HLOOKUP(C4,'נתוני תאגידים'!$1:$530,173,0),C11)</f>
        <v>6102.7640000000001</v>
      </c>
      <c r="D9" s="406">
        <f>+IFERROR(HLOOKUP(D4,'נתוני תאגידים'!$1:$530,173,0),D11)</f>
        <v>65275.46</v>
      </c>
      <c r="E9" s="406">
        <f>+IFERROR(HLOOKUP(E4,'נתוני תאגידים'!$1:$530,173,0),E11)</f>
        <v>57816.067000000003</v>
      </c>
      <c r="F9" s="406">
        <f>+IFERROR(HLOOKUP(F4,'נתוני תאגידים'!$1:$530,173,0),F11)</f>
        <v>361302.761</v>
      </c>
      <c r="G9" s="406">
        <f>+IFERROR(HLOOKUP(G4,'נתוני תאגידים'!$1:$530,173,0),G11)</f>
        <v>82342</v>
      </c>
      <c r="H9" s="406">
        <f>+IFERROR(HLOOKUP(H4,'נתוני תאגידים'!$1:$530,173,0),H11)</f>
        <v>28778.249</v>
      </c>
      <c r="I9" s="406">
        <f>+IFERROR(HLOOKUP(I4,'נתוני תאגידים'!$1:$530,173,0),I11)</f>
        <v>93143.39</v>
      </c>
      <c r="J9" s="406">
        <f>+IFERROR(HLOOKUP(J4,'נתוני תאגידים'!$1:$530,173,0),J11)</f>
        <v>36293.538</v>
      </c>
      <c r="K9" s="406">
        <f>+IFERROR(HLOOKUP(K4,'נתוני תאגידים'!$1:$530,173,0),K11)</f>
        <v>27211.388999999999</v>
      </c>
      <c r="L9" s="406">
        <f>+IFERROR(HLOOKUP(L4,'נתוני תאגידים'!$1:$530,173,0),L11)</f>
        <v>57485.114000000001</v>
      </c>
      <c r="M9" s="406">
        <f>+IFERROR(HLOOKUP(M4,'נתוני תאגידים'!$1:$530,173,0),M11)</f>
        <v>134563.84299999999</v>
      </c>
      <c r="N9" s="406">
        <f>+IFERROR(HLOOKUP(N4,'נתוני תאגידים'!$1:$530,173,0),N11)</f>
        <v>84223.501000000004</v>
      </c>
      <c r="O9" s="406">
        <f>+IFERROR(HLOOKUP(O4,'נתוני תאגידים'!$1:$530,173,0),O11)</f>
        <v>49363.417999999998</v>
      </c>
      <c r="P9" s="406">
        <f>+IFERROR(HLOOKUP(P4,'נתוני תאגידים'!$1:$530,173,0),P11)</f>
        <v>40427.741999999998</v>
      </c>
      <c r="Q9" s="406">
        <f>+IFERROR(HLOOKUP(Q4,'נתוני תאגידים'!$1:$530,173,0),Q11)</f>
        <v>170640.55600000001</v>
      </c>
      <c r="R9" s="406">
        <f>+IFERROR(HLOOKUP(R4,'נתוני תאגידים'!$1:$530,173,0),R11)</f>
        <v>48314.368000000002</v>
      </c>
      <c r="S9" s="406">
        <f>+IFERROR(HLOOKUP(S4,'נתוני תאגידים'!$1:$530,173,0),S11)</f>
        <v>79215.255000000005</v>
      </c>
      <c r="T9" s="406">
        <f>+IFERROR(HLOOKUP(T4,'נתוני תאגידים'!$1:$530,173,0),T11)</f>
        <v>147487.68299999999</v>
      </c>
      <c r="U9" s="406">
        <f>+IFERROR(HLOOKUP(U4,'נתוני תאגידים'!$1:$530,173,0),U11)</f>
        <v>47257.506999999998</v>
      </c>
      <c r="V9" s="406">
        <f>+IFERROR(HLOOKUP(V4,'נתוני תאגידים'!$1:$530,173,0),V11)</f>
        <v>113414.981</v>
      </c>
      <c r="W9" s="406">
        <f>+IFERROR(HLOOKUP(W4,'נתוני תאגידים'!$1:$530,173,0),W11)</f>
        <v>53611.313000000002</v>
      </c>
      <c r="X9" s="406">
        <f>+IFERROR(HLOOKUP(X4,'נתוני תאגידים'!$1:$530,173,0),X11)</f>
        <v>83146.259999999995</v>
      </c>
      <c r="Y9" s="406">
        <f>+IFERROR(HLOOKUP(Y4,'נתוני תאגידים'!$1:$530,173,0),Y11)</f>
        <v>66362.804000000004</v>
      </c>
      <c r="Z9" s="406">
        <f>+IFERROR(HLOOKUP(Z4,'נתוני תאגידים'!$1:$530,173,0),Z11)</f>
        <v>30555.172999999999</v>
      </c>
      <c r="AA9" s="406">
        <f>+IFERROR(HLOOKUP(AA4,'נתוני תאגידים'!$1:$530,173,0),AA11)</f>
        <v>42980.559000000001</v>
      </c>
      <c r="AB9" s="406">
        <f>+IFERROR(HLOOKUP(AB4,'נתוני תאגידים'!$1:$530,173,0),AB11)</f>
        <v>28159.125</v>
      </c>
      <c r="AC9" s="406">
        <f>+IFERROR(HLOOKUP(AC4,'נתוני תאגידים'!$1:$530,173,0),AC11)</f>
        <v>55224.294999999998</v>
      </c>
      <c r="AD9" s="406">
        <f>+IFERROR(HLOOKUP(AD4,'נתוני תאגידים'!$1:$530,173,0),AD11)</f>
        <v>23392.981</v>
      </c>
      <c r="AE9" s="406">
        <f>+IFERROR(HLOOKUP(AE4,'נתוני תאגידים'!$1:$530,173,0),AE11)</f>
        <v>147519.829</v>
      </c>
      <c r="AF9" s="406">
        <f>+IFERROR(HLOOKUP(AF4,'נתוני תאגידים'!$1:$530,173,0),AF11)</f>
        <v>34713.739000000001</v>
      </c>
      <c r="AG9" s="406">
        <f>+IFERROR(HLOOKUP(AG4,'נתוני תאגידים'!$1:$530,173,0),AG11)</f>
        <v>17120.713</v>
      </c>
      <c r="AH9" s="406">
        <f>+IFERROR(HLOOKUP(AH4,'נתוני תאגידים'!$1:$530,173,0),AH11)</f>
        <v>42084.207999999999</v>
      </c>
      <c r="AI9" s="406">
        <f>+IFERROR(HLOOKUP(AI4,'נתוני תאגידים'!$1:$530,173,0),AI11)</f>
        <v>37136.536999999997</v>
      </c>
      <c r="AJ9" s="406">
        <f>+IFERROR(HLOOKUP(AJ4,'נתוני תאגידים'!$1:$530,173,0),AJ11)</f>
        <v>15947.710999999999</v>
      </c>
      <c r="AK9" s="406">
        <f>+IFERROR(HLOOKUP(AK4,'נתוני תאגידים'!$1:$530,173,0),AK11)</f>
        <v>7505.799</v>
      </c>
      <c r="AL9" s="406">
        <f>+IFERROR(HLOOKUP(AL4,'נתוני תאגידים'!$1:$530,173,0),AL11)</f>
        <v>175531.37</v>
      </c>
      <c r="AM9" s="406">
        <f>+IFERROR(HLOOKUP(AM4,'נתוני תאגידים'!$1:$530,173,0),AM11)</f>
        <v>76354.798999999999</v>
      </c>
      <c r="AN9" s="406">
        <f>+IFERROR(HLOOKUP(AN4,'נתוני תאגידים'!$1:$530,173,0),AN11)</f>
        <v>7135.4570000000003</v>
      </c>
      <c r="AO9" s="406">
        <f>+IFERROR(HLOOKUP(AO4,'נתוני תאגידים'!$1:$530,173,0),AO11)</f>
        <v>2328.8939999999998</v>
      </c>
      <c r="AP9" s="406">
        <f>+IFERROR(HLOOKUP(AP4,'נתוני תאגידים'!$1:$530,173,0),AP11)</f>
        <v>21448.785</v>
      </c>
      <c r="AQ9" s="406">
        <f>+IFERROR(HLOOKUP(AQ4,'נתוני תאגידים'!$1:$530,173,0),AQ11)</f>
        <v>25077.946</v>
      </c>
      <c r="AR9" s="406">
        <f>+IFERROR(HLOOKUP(AR4,'נתוני תאגידים'!$1:$530,173,0),AR11)</f>
        <v>141842.78899999999</v>
      </c>
      <c r="AS9" s="406">
        <f>+IFERROR(HLOOKUP(AS4,'נתוני תאגידים'!$1:$530,173,0),AS11)</f>
        <v>32214.217000000001</v>
      </c>
      <c r="AT9" s="406">
        <f>+IFERROR(HLOOKUP(AT4,'נתוני תאגידים'!$1:$530,173,0),AT11)</f>
        <v>7134.1149999999998</v>
      </c>
      <c r="AU9" s="406">
        <f>+IFERROR(HLOOKUP(AU4,'נתוני תאגידים'!$1:$530,173,0),AU11)</f>
        <v>38501.900999999998</v>
      </c>
      <c r="AV9" s="406">
        <f>+IFERROR(HLOOKUP(AV4,'נתוני תאגידים'!$1:$530,173,0),AV11)</f>
        <v>99723.12</v>
      </c>
      <c r="AW9" s="406">
        <f>+IFERROR(HLOOKUP(AW4,'נתוני תאגידים'!$1:$530,173,0),AW11)</f>
        <v>91318.942999999985</v>
      </c>
      <c r="AX9" s="406">
        <f>+IFERROR(HLOOKUP(AX4,'נתוני תאגידים'!$1:$530,173,0),AX11)</f>
        <v>80912.463000000003</v>
      </c>
      <c r="AY9" s="406">
        <f>+IFERROR(HLOOKUP(AY4,'נתוני תאגידים'!$1:$530,173,0),AY11)</f>
        <v>41485.478999999999</v>
      </c>
      <c r="AZ9" s="406">
        <f>+IFERROR(HLOOKUP(AZ4,'נתוני תאגידים'!$1:$530,173,0),AZ11)</f>
        <v>66835.607000000004</v>
      </c>
      <c r="BA9" s="406">
        <f>+IFERROR(HLOOKUP(BA4,'נתוני תאגידים'!$1:$530,173,0),BA11)</f>
        <v>27289.263999999999</v>
      </c>
      <c r="BB9" s="406">
        <f>+IFERROR(HLOOKUP(BB4,'נתוני תאגידים'!$1:$530,173,0),BB11)</f>
        <v>42313.864000000001</v>
      </c>
      <c r="BC9" s="406">
        <f>+IFERROR(HLOOKUP(BC4,'נתוני תאגידים'!$1:$530,173,0),BC11)</f>
        <v>102039.398</v>
      </c>
      <c r="BD9" s="406">
        <f>+IFERROR(HLOOKUP(BD4,'נתוני תאגידים'!$1:$530,173,0),BD11)</f>
        <v>56916.987999999998</v>
      </c>
      <c r="BE9" s="406">
        <f>+IFERROR(HLOOKUP(BE4,'נתוני תאגידים'!$1:$530,173,0),BE11)</f>
        <v>10505.34</v>
      </c>
      <c r="BF9" s="406">
        <f>+IFERROR(HLOOKUP(BF4,'נתוני תאגידים'!$1:$530,173,0),BF11)</f>
        <v>62407.262999999999</v>
      </c>
    </row>
    <row r="10" spans="1:59" x14ac:dyDescent="0.2">
      <c r="A10" s="622"/>
      <c r="B10" s="654" t="s">
        <v>834</v>
      </c>
      <c r="C10" s="378">
        <f>+HLOOKUP(C4,'נתוני תאגידים'!$1:$530,244,0)</f>
        <v>94051.764314285727</v>
      </c>
      <c r="D10" s="378">
        <f>+HLOOKUP(D4,'נתוני תאגידים'!$1:$530,244,0)</f>
        <v>111110.74591428571</v>
      </c>
      <c r="E10" s="378">
        <f>+HLOOKUP(E4,'נתוני תאגידים'!$1:$530,244,0)</f>
        <v>73887.085214285733</v>
      </c>
      <c r="F10" s="378">
        <f>+HLOOKUP(F4,'נתוני תאגידים'!$1:$530,244,0)</f>
        <v>1013432.9548142855</v>
      </c>
      <c r="G10" s="378">
        <f>+HLOOKUP(G4,'נתוני תאגידים'!$1:$530,244,0)</f>
        <v>118312.02857142859</v>
      </c>
      <c r="H10" s="378">
        <f>+HLOOKUP(H4,'נתוני תאגידים'!$1:$530,244,0)</f>
        <v>40504.981885714282</v>
      </c>
      <c r="I10" s="378">
        <f>+HLOOKUP(I4,'נתוני תאגידים'!$1:$530,244,0)</f>
        <v>83916.13768571429</v>
      </c>
      <c r="J10" s="378">
        <f>+HLOOKUP(J4,'נתוני תאגידים'!$1:$530,244,0)</f>
        <v>85312.876171428579</v>
      </c>
      <c r="K10" s="378">
        <f>+HLOOKUP(K4,'נתוני תאגידים'!$1:$530,244,0)</f>
        <v>40775.937599999997</v>
      </c>
      <c r="L10" s="378">
        <f>+HLOOKUP(L4,'נתוני תאגידים'!$1:$530,244,0)</f>
        <v>118441.35081428569</v>
      </c>
      <c r="M10" s="378">
        <f>+HLOOKUP(M4,'נתוני תאגידים'!$1:$530,244,0)</f>
        <v>218053.42902857141</v>
      </c>
      <c r="N10" s="378">
        <f>+HLOOKUP(N4,'נתוני תאגידים'!$1:$530,244,0)</f>
        <v>126917.12490000001</v>
      </c>
      <c r="O10" s="378">
        <f>+HLOOKUP(O4,'נתוני תאגידים'!$1:$530,244,0)</f>
        <v>79400.487557142842</v>
      </c>
      <c r="P10" s="378">
        <f>+HLOOKUP(P4,'נתוני תאגידים'!$1:$530,244,0)</f>
        <v>147004.22365714287</v>
      </c>
      <c r="Q10" s="378">
        <f>+HLOOKUP(Q4,'נתוני תאגידים'!$1:$530,244,0)</f>
        <v>257328.43378571421</v>
      </c>
      <c r="R10" s="378">
        <f>+HLOOKUP(R4,'נתוני תאגידים'!$1:$530,244,0)</f>
        <v>158331.44815714288</v>
      </c>
      <c r="S10" s="378">
        <f>+HLOOKUP(S4,'נתוני תאגידים'!$1:$530,244,0)</f>
        <v>248205.94735714287</v>
      </c>
      <c r="T10" s="378">
        <f>+HLOOKUP(T4,'נתוני תאגידים'!$1:$530,244,0)</f>
        <v>393843.71721428575</v>
      </c>
      <c r="U10" s="378">
        <f>+HLOOKUP(U4,'נתוני תאגידים'!$1:$530,244,0)</f>
        <v>77260.120000000024</v>
      </c>
      <c r="V10" s="378">
        <f>+HLOOKUP(V4,'נתוני תאגידים'!$1:$530,244,0)</f>
        <v>169639.4975142857</v>
      </c>
      <c r="W10" s="378">
        <f>+HLOOKUP(W4,'נתוני תאגידים'!$1:$530,244,0)</f>
        <v>93761.693085714272</v>
      </c>
      <c r="X10" s="378">
        <f>+HLOOKUP(X4,'נתוני תאגידים'!$1:$530,244,0)</f>
        <v>111640.61324285714</v>
      </c>
      <c r="Y10" s="378">
        <f>+HLOOKUP(Y4,'נתוני תאגידים'!$1:$530,244,0)</f>
        <v>56302.827014285707</v>
      </c>
      <c r="Z10" s="378">
        <f>+HLOOKUP(Z4,'נתוני תאגידים'!$1:$530,244,0)</f>
        <v>57646.09565714284</v>
      </c>
      <c r="AA10" s="378">
        <f>+HLOOKUP(AA4,'נתוני תאגידים'!$1:$530,244,0)</f>
        <v>130575.69785714286</v>
      </c>
      <c r="AB10" s="378">
        <f>+HLOOKUP(AB4,'נתוני תאגידים'!$1:$530,244,0)</f>
        <v>47268.586714285724</v>
      </c>
      <c r="AC10" s="378">
        <f>+HLOOKUP(AC4,'נתוני תאגידים'!$1:$530,244,0)</f>
        <v>112415.6458</v>
      </c>
      <c r="AD10" s="378">
        <f>+HLOOKUP(AD4,'נתוני תאגידים'!$1:$530,244,0)</f>
        <v>71254.543828571448</v>
      </c>
      <c r="AE10" s="378">
        <f>+HLOOKUP(AE4,'נתוני תאגידים'!$1:$530,244,0)</f>
        <v>494824.81540000008</v>
      </c>
      <c r="AF10" s="378">
        <f>+HLOOKUP(AF4,'נתוני תאגידים'!$1:$530,244,0)</f>
        <v>92475.99144285715</v>
      </c>
      <c r="AG10" s="378">
        <f>+HLOOKUP(AG4,'נתוני תאגידים'!$1:$530,244,0)</f>
        <v>58787.23137142857</v>
      </c>
      <c r="AH10" s="378">
        <f>+HLOOKUP(AH4,'נתוני תאגידים'!$1:$530,244,0)</f>
        <v>52819.187142857139</v>
      </c>
      <c r="AI10" s="378">
        <f>+HLOOKUP(AI4,'נתוני תאגידים'!$1:$530,244,0)</f>
        <v>52898.071857142866</v>
      </c>
      <c r="AJ10" s="378">
        <f>+HLOOKUP(AJ4,'נתוני תאגידים'!$1:$530,244,0)</f>
        <v>26411.616571428571</v>
      </c>
      <c r="AK10" s="378">
        <f>+HLOOKUP(AK4,'נתוני תאגידים'!$1:$530,244,0)</f>
        <v>26719.448971428574</v>
      </c>
      <c r="AL10" s="378">
        <f>+HLOOKUP(AL4,'נתוני תאגידים'!$1:$530,244,0)</f>
        <v>455763.96939999994</v>
      </c>
      <c r="AM10" s="378">
        <f>+HLOOKUP(AM4,'נתוני תאגידים'!$1:$530,244,0)</f>
        <v>100107.56638571428</v>
      </c>
      <c r="AN10" s="378">
        <f>+HLOOKUP(AN4,'נתוני תאגידים'!$1:$530,244,0)</f>
        <v>145901.1605714286</v>
      </c>
      <c r="AO10" s="378">
        <f>+HLOOKUP(AO4,'נתוני תאגידים'!$1:$530,244,0)</f>
        <v>52118.798457142853</v>
      </c>
      <c r="AP10" s="378">
        <f>+HLOOKUP(AP4,'נתוני תאגידים'!$1:$530,244,0)</f>
        <v>97911.011557142861</v>
      </c>
      <c r="AQ10" s="378">
        <f>+HLOOKUP(AQ4,'נתוני תאגידים'!$1:$530,244,0)</f>
        <v>77479.042757142859</v>
      </c>
      <c r="AR10" s="378">
        <f>+HLOOKUP(AR4,'נתוני תאגידים'!$1:$530,244,0)</f>
        <v>153924.54845714287</v>
      </c>
      <c r="AS10" s="378">
        <f>+HLOOKUP(AS4,'נתוני תאגידים'!$1:$530,244,0)</f>
        <v>66446.068257142862</v>
      </c>
      <c r="AT10" s="378">
        <f>+HLOOKUP(AT4,'נתוני תאגידים'!$1:$530,244,0)</f>
        <v>21424.9745</v>
      </c>
      <c r="AU10" s="378">
        <f>+HLOOKUP(AU4,'נתוני תאגידים'!$1:$530,244,0)</f>
        <v>51390.57114285713</v>
      </c>
      <c r="AV10" s="378">
        <f>+HLOOKUP(AV4,'נתוני תאגידים'!$1:$530,244,0)</f>
        <v>95198.194214285701</v>
      </c>
      <c r="AW10" s="378">
        <f>+HLOOKUP(AW4,'נתוני תאגידים'!$1:$530,244,0)</f>
        <v>105519.12499999997</v>
      </c>
      <c r="AX10" s="378">
        <f>+HLOOKUP(AX4,'נתוני תאגידים'!$1:$530,244,0)</f>
        <v>88382.943228571457</v>
      </c>
      <c r="AY10" s="378">
        <f>+HLOOKUP(AY4,'נתוני תאגידים'!$1:$530,244,0)</f>
        <v>103929.53557142857</v>
      </c>
      <c r="AZ10" s="378">
        <f>+HLOOKUP(AZ4,'נתוני תאגידים'!$1:$530,244,0)</f>
        <v>104119.52181428572</v>
      </c>
      <c r="BA10" s="378">
        <f>+HLOOKUP(BA4,'נתוני תאגידים'!$1:$530,244,0)</f>
        <v>52337.80825714286</v>
      </c>
      <c r="BB10" s="378">
        <f>+HLOOKUP(BB4,'נתוני תאגידים'!$1:$530,244,0)</f>
        <v>52098.6394</v>
      </c>
      <c r="BC10" s="378">
        <f>+HLOOKUP(BC4,'נתוני תאגידים'!$1:$530,244,0)</f>
        <v>82892.657585714274</v>
      </c>
      <c r="BD10" s="378">
        <f>+HLOOKUP(BD4,'נתוני תאגידים'!$1:$530,244,0)</f>
        <v>26262.737142857142</v>
      </c>
      <c r="BE10" s="378">
        <f>+HLOOKUP(BE4,'נתוני תאגידים'!$1:$530,244,0)</f>
        <v>18628.395142857142</v>
      </c>
      <c r="BF10" s="378">
        <f>+HLOOKUP(BF4,'נתוני תאגידים'!$1:$530,244,0)</f>
        <v>94580.448999999993</v>
      </c>
    </row>
    <row r="11" spans="1:59" x14ac:dyDescent="0.2">
      <c r="A11" s="622"/>
      <c r="B11" s="654" t="s">
        <v>833</v>
      </c>
      <c r="C11" s="378">
        <f>+HLOOKUP(C4,'נתוני תאגידים'!$1:$530,280,0)</f>
        <v>78671.974771428562</v>
      </c>
      <c r="D11" s="378">
        <f>+HLOOKUP(D4,'נתוני תאגידים'!$1:$530,280,0)</f>
        <v>126377.20995714287</v>
      </c>
      <c r="E11" s="378">
        <f>+HLOOKUP(E4,'נתוני תאגידים'!$1:$530,280,0)</f>
        <v>90361.973542857144</v>
      </c>
      <c r="F11" s="378">
        <f>+HLOOKUP(F4,'נתוני תאגידים'!$1:$530,280,0)</f>
        <v>817762.35344285704</v>
      </c>
      <c r="G11" s="378">
        <f>+HLOOKUP(G4,'נתוני תאגידים'!$1:$530,280,0)</f>
        <v>144341.87142857147</v>
      </c>
      <c r="H11" s="378">
        <f>+HLOOKUP(H4,'נתוני תאגידים'!$1:$530,280,0)</f>
        <v>47320.576857142856</v>
      </c>
      <c r="I11" s="378">
        <f>+HLOOKUP(I4,'נתוני תאגידים'!$1:$530,280,0)</f>
        <v>136151.20345714287</v>
      </c>
      <c r="J11" s="378">
        <f>+HLOOKUP(J4,'נתוני תאגידים'!$1:$530,280,0)</f>
        <v>74555.993428571426</v>
      </c>
      <c r="K11" s="378">
        <f>+HLOOKUP(K4,'נתוני תאגידים'!$1:$530,280,0)</f>
        <v>86306.640014285716</v>
      </c>
      <c r="L11" s="378">
        <f>+HLOOKUP(L4,'נתוני תאגידים'!$1:$530,280,0)</f>
        <v>139385.61554285712</v>
      </c>
      <c r="M11" s="378">
        <f>+HLOOKUP(M4,'נתוני תאגידים'!$1:$530,280,0)</f>
        <v>273911.0635571428</v>
      </c>
      <c r="N11" s="378">
        <f>+HLOOKUP(N4,'נתוני תאגידים'!$1:$530,280,0)</f>
        <v>202107.09767142855</v>
      </c>
      <c r="O11" s="378">
        <f>+HLOOKUP(O4,'נתוני תאגידים'!$1:$530,280,0)</f>
        <v>67463.587257142863</v>
      </c>
      <c r="P11" s="378">
        <f>+HLOOKUP(P4,'נתוני תאגידים'!$1:$530,280,0)</f>
        <v>118066.58004285715</v>
      </c>
      <c r="Q11" s="378">
        <f>+HLOOKUP(Q4,'נתוני תאגידים'!$1:$530,280,0)</f>
        <v>364597.09958571428</v>
      </c>
      <c r="R11" s="378">
        <f>+HLOOKUP(R4,'נתוני תאגידים'!$1:$530,280,0)</f>
        <v>186985.42915714288</v>
      </c>
      <c r="S11" s="378">
        <f>+HLOOKUP(S4,'נתוני תאגידים'!$1:$530,280,0)</f>
        <v>223941.31539534242</v>
      </c>
      <c r="T11" s="378">
        <f>+HLOOKUP(T4,'נתוני תאגידים'!$1:$530,280,0)</f>
        <v>312145.17254285712</v>
      </c>
      <c r="U11" s="378">
        <f>+HLOOKUP(U4,'נתוני תאגידים'!$1:$530,280,0)</f>
        <v>154282.45171428571</v>
      </c>
      <c r="V11" s="378">
        <f>+HLOOKUP(V4,'נתוני תאגידים'!$1:$530,280,0)</f>
        <v>204228.42265714286</v>
      </c>
      <c r="W11" s="378">
        <f>+HLOOKUP(W4,'נתוני תאגידים'!$1:$530,280,0)</f>
        <v>100859.0253142857</v>
      </c>
      <c r="X11" s="378">
        <f>+HLOOKUP(X4,'נתוני תאגידים'!$1:$530,280,0)</f>
        <v>107421.69930000001</v>
      </c>
      <c r="Y11" s="378">
        <f>+HLOOKUP(Y4,'נתוני תאגידים'!$1:$530,280,0)</f>
        <v>94526.031799999997</v>
      </c>
      <c r="Z11" s="378">
        <f>+HLOOKUP(Z4,'נתוני תאגידים'!$1:$530,280,0)</f>
        <v>89124.914042857155</v>
      </c>
      <c r="AA11" s="378">
        <f>+HLOOKUP(AA4,'נתוני תאגידים'!$1:$530,280,0)</f>
        <v>98223.789285714287</v>
      </c>
      <c r="AB11" s="378">
        <f>+HLOOKUP(AB4,'נתוני תאגידים'!$1:$530,280,0)</f>
        <v>49271.856785714277</v>
      </c>
      <c r="AC11" s="378">
        <f>+HLOOKUP(AC4,'נתוני תאגידים'!$1:$530,280,0)</f>
        <v>129918.8707857143</v>
      </c>
      <c r="AD11" s="378">
        <f>+HLOOKUP(AD4,'נתוני תאגידים'!$1:$530,280,0)</f>
        <v>48207.637457142875</v>
      </c>
      <c r="AE11" s="378">
        <f>+HLOOKUP(AE4,'נתוני תאגידים'!$1:$530,280,0)</f>
        <v>522931.73797142855</v>
      </c>
      <c r="AF11" s="378">
        <f>+HLOOKUP(AF4,'נתוני תאגידים'!$1:$530,280,0)</f>
        <v>78387.38785714285</v>
      </c>
      <c r="AG11" s="378">
        <f>+HLOOKUP(AG4,'נתוני תאגידים'!$1:$530,280,0)</f>
        <v>50155.586471428578</v>
      </c>
      <c r="AH11" s="378">
        <f>+HLOOKUP(AH4,'נתוני תאגידים'!$1:$530,280,0)</f>
        <v>53744.541771428572</v>
      </c>
      <c r="AI11" s="378">
        <f>+HLOOKUP(AI4,'נתוני תאגידים'!$1:$530,280,0)</f>
        <v>70115.468428571417</v>
      </c>
      <c r="AJ11" s="378">
        <f>+HLOOKUP(AJ4,'נתוני תאגידים'!$1:$530,280,0)</f>
        <v>70893.98462857143</v>
      </c>
      <c r="AK11" s="378">
        <f>+HLOOKUP(AK4,'נתוני תאגידים'!$1:$530,280,0)</f>
        <v>44909.259571428578</v>
      </c>
      <c r="AL11" s="378">
        <f>+HLOOKUP(AL4,'נתוני תאגידים'!$1:$530,280,0)</f>
        <v>624872.179140097</v>
      </c>
      <c r="AM11" s="378">
        <f>+HLOOKUP(AM4,'נתוני תאגידים'!$1:$530,280,0)</f>
        <v>85709.951414285722</v>
      </c>
      <c r="AN11" s="378">
        <f>+HLOOKUP(AN4,'נתוני תאגידים'!$1:$530,280,0)</f>
        <v>170864.89634285719</v>
      </c>
      <c r="AO11" s="378">
        <f>+HLOOKUP(AO4,'נתוני תאגידים'!$1:$530,280,0)</f>
        <v>43208.341484704579</v>
      </c>
      <c r="AP11" s="378">
        <f>+HLOOKUP(AP4,'נתוני תאגידים'!$1:$530,280,0)</f>
        <v>62231.059898978041</v>
      </c>
      <c r="AQ11" s="378">
        <f>+HLOOKUP(AQ4,'נתוני תאגידים'!$1:$530,280,0)</f>
        <v>65032.452742857145</v>
      </c>
      <c r="AR11" s="378">
        <f>+HLOOKUP(AR4,'נתוני תאגידים'!$1:$530,280,0)</f>
        <v>202122.67704285716</v>
      </c>
      <c r="AS11" s="378">
        <f>+HLOOKUP(AS4,'נתוני תאגידים'!$1:$530,280,0)</f>
        <v>64586.333500000008</v>
      </c>
      <c r="AT11" s="378">
        <f>+HLOOKUP(AT4,'נתוני תאגידים'!$1:$530,280,0)</f>
        <v>44656.596714285704</v>
      </c>
      <c r="AU11" s="378">
        <f>+HLOOKUP(AU4,'נתוני תאגידים'!$1:$530,280,0)</f>
        <v>75602.801714285713</v>
      </c>
      <c r="AV11" s="378">
        <f>+HLOOKUP(AV4,'נתוני תאגידים'!$1:$530,280,0)</f>
        <v>120778.65090000001</v>
      </c>
      <c r="AW11" s="378">
        <f>+HLOOKUP(AW4,'נתוני תאגידים'!$1:$530,280,0)</f>
        <v>144573.00771428569</v>
      </c>
      <c r="AX11" s="378">
        <f>+HLOOKUP(AX4,'נתוני תאגידים'!$1:$530,280,0)</f>
        <v>159035.81294285716</v>
      </c>
      <c r="AY11" s="378">
        <f>+HLOOKUP(AY4,'נתוני תאגידים'!$1:$530,280,0)</f>
        <v>129240.94548571426</v>
      </c>
      <c r="AZ11" s="378">
        <f>+HLOOKUP(AZ4,'נתוני תאגידים'!$1:$530,280,0)</f>
        <v>137421.44587142859</v>
      </c>
      <c r="BA11" s="378">
        <f>+HLOOKUP(BA4,'נתוני תאגידים'!$1:$530,280,0)</f>
        <v>30092.601928571436</v>
      </c>
      <c r="BB11" s="378">
        <f>+HLOOKUP(BB4,'נתוני תאגידים'!$1:$530,280,0)</f>
        <v>91648.006057142848</v>
      </c>
      <c r="BC11" s="378">
        <f>+HLOOKUP(BC4,'נתוני תאגידים'!$1:$530,280,0)</f>
        <v>137476.38305714287</v>
      </c>
      <c r="BD11" s="378">
        <f>+HLOOKUP(BD4,'נתוני תאגידים'!$1:$530,280,0)</f>
        <v>124277.80834285717</v>
      </c>
      <c r="BE11" s="378">
        <f>+HLOOKUP(BE4,'נתוני תאגידים'!$1:$530,280,0)</f>
        <v>14713.535885714286</v>
      </c>
      <c r="BF11" s="378">
        <f>+HLOOKUP(BF4,'נתוני תאגידים'!$1:$530,280,0)</f>
        <v>139366.43100000001</v>
      </c>
    </row>
    <row r="12" spans="1:59" x14ac:dyDescent="0.2">
      <c r="A12" s="622"/>
      <c r="B12" s="654" t="s">
        <v>835</v>
      </c>
      <c r="C12" s="378">
        <f>+HLOOKUP(C4,'נתוני תאגידים'!$1:$530,313,0)</f>
        <v>60377.362999999998</v>
      </c>
      <c r="D12" s="378">
        <f>+HLOOKUP(D4,'נתוני תאגידים'!$1:$530,313,0)</f>
        <v>82435.670999999988</v>
      </c>
      <c r="E12" s="378">
        <f>+HLOOKUP(E4,'נתוני תאגידים'!$1:$530,313,0)</f>
        <v>51136.306999999993</v>
      </c>
      <c r="F12" s="378">
        <f>+HLOOKUP(F4,'נתוני תאגידים'!$1:$530,313,0)</f>
        <v>404829.76307999995</v>
      </c>
      <c r="G12" s="378">
        <f>+HLOOKUP(G4,'נתוני תאגידים'!$1:$530,313,0)</f>
        <v>47584.368000000002</v>
      </c>
      <c r="H12" s="378">
        <f>+HLOOKUP(H4,'נתוני תאגידים'!$1:$530,313,0)</f>
        <v>25744.532333333333</v>
      </c>
      <c r="I12" s="378">
        <f>+HLOOKUP(I4,'נתוני תאגידים'!$1:$530,313,0)</f>
        <v>58006.123999999996</v>
      </c>
      <c r="J12" s="378">
        <f>+HLOOKUP(J4,'נתוני תאגידים'!$1:$530,313,0)</f>
        <v>50616.565999999999</v>
      </c>
      <c r="K12" s="378">
        <f>+HLOOKUP(K4,'נתוני תאגידים'!$1:$530,313,0)</f>
        <v>25707.525000000005</v>
      </c>
      <c r="L12" s="378">
        <f>+HLOOKUP(L4,'נתוני תאגידים'!$1:$530,313,0)</f>
        <v>56775.606</v>
      </c>
      <c r="M12" s="378">
        <f>+HLOOKUP(M4,'נתוני תאגידים'!$1:$530,313,0)</f>
        <v>125199.06800000001</v>
      </c>
      <c r="N12" s="378">
        <f>+HLOOKUP(N4,'נתוני תאגידים'!$1:$530,313,0)</f>
        <v>96848.205999999976</v>
      </c>
      <c r="O12" s="378">
        <f>+HLOOKUP(O4,'נתוני תאגידים'!$1:$530,313,0)</f>
        <v>52765.786000000007</v>
      </c>
      <c r="P12" s="378">
        <f>+HLOOKUP(P4,'נתוני תאגידים'!$1:$530,313,0)</f>
        <v>81755.069000000003</v>
      </c>
      <c r="Q12" s="378">
        <f>+HLOOKUP(Q4,'נתוני תאגידים'!$1:$530,313,0)</f>
        <v>93324.942999999999</v>
      </c>
      <c r="R12" s="378">
        <f>+HLOOKUP(R4,'נתוני תאגידים'!$1:$530,313,0)</f>
        <v>81389.72199999998</v>
      </c>
      <c r="S12" s="378">
        <f>+HLOOKUP(S4,'נתוני תאגידים'!$1:$530,313,0)</f>
        <v>112132.79150829</v>
      </c>
      <c r="T12" s="378">
        <f>+HLOOKUP(T4,'נתוני תאגידים'!$1:$530,313,0)</f>
        <v>214720.72063232923</v>
      </c>
      <c r="U12" s="378">
        <f>+HLOOKUP(U4,'נתוני תאגידים'!$1:$530,313,0)</f>
        <v>56806.005999999994</v>
      </c>
      <c r="V12" s="378">
        <f>+HLOOKUP(V4,'נתוני תאגידים'!$1:$530,313,0)</f>
        <v>107385.571</v>
      </c>
      <c r="W12" s="378">
        <f>+HLOOKUP(W4,'נתוני תאגידים'!$1:$530,313,0)</f>
        <v>51355.164000000004</v>
      </c>
      <c r="X12" s="378">
        <f>+HLOOKUP(X4,'נתוני תאגידים'!$1:$530,313,0)</f>
        <v>87984.89081948853</v>
      </c>
      <c r="Y12" s="378">
        <f>+HLOOKUP(Y4,'נתוני תאגידים'!$1:$530,313,0)</f>
        <v>31522.799999999999</v>
      </c>
      <c r="Z12" s="378">
        <f>+HLOOKUP(Z4,'נתוני תאגידים'!$1:$530,313,0)</f>
        <v>30471.515672000005</v>
      </c>
      <c r="AA12" s="378">
        <f>+HLOOKUP(AA4,'נתוני תאגידים'!$1:$530,313,0)</f>
        <v>72298.444999999992</v>
      </c>
      <c r="AB12" s="378">
        <f>+HLOOKUP(AB4,'נתוני תאגידים'!$1:$530,313,0)</f>
        <v>24139.936999999998</v>
      </c>
      <c r="AC12" s="378">
        <f>+HLOOKUP(AC4,'נתוני תאגידים'!$1:$530,313,0)</f>
        <v>39096.341000000008</v>
      </c>
      <c r="AD12" s="378">
        <f>+HLOOKUP(AD4,'נתוני תאגידים'!$1:$530,313,0)</f>
        <v>36541.79</v>
      </c>
      <c r="AE12" s="378">
        <f>+HLOOKUP(AE4,'נתוני תאגידים'!$1:$530,313,0)</f>
        <v>207983.35199999996</v>
      </c>
      <c r="AF12" s="378">
        <f>+HLOOKUP(AF4,'נתוני תאגידים'!$1:$530,313,0)</f>
        <v>63991.034</v>
      </c>
      <c r="AG12" s="378">
        <f>+HLOOKUP(AG4,'נתוני תאגידים'!$1:$530,313,0)</f>
        <v>34186.231</v>
      </c>
      <c r="AH12" s="378">
        <f>+HLOOKUP(AH4,'נתוני תאגידים'!$1:$530,313,0)</f>
        <v>32863.936999999998</v>
      </c>
      <c r="AI12" s="378">
        <f>+HLOOKUP(AI4,'נתוני תאגידים'!$1:$530,313,0)</f>
        <v>32211.265000000003</v>
      </c>
      <c r="AJ12" s="378">
        <f>+HLOOKUP(AJ4,'נתוני תאגידים'!$1:$530,313,0)</f>
        <v>16834.989000000001</v>
      </c>
      <c r="AK12" s="378">
        <f>+HLOOKUP(AK4,'נתוני תאגידים'!$1:$530,313,0)</f>
        <v>9141.0519999999997</v>
      </c>
      <c r="AL12" s="378">
        <f>+HLOOKUP(AL4,'נתוני תאגידים'!$1:$530,313,0)</f>
        <v>71096.892000000051</v>
      </c>
      <c r="AM12" s="378">
        <f>+HLOOKUP(AM4,'נתוני תאגידים'!$1:$530,313,0)</f>
        <v>56139.594000000012</v>
      </c>
      <c r="AN12" s="378">
        <f>+HLOOKUP(AN4,'נתוני תאגידים'!$1:$530,313,0)</f>
        <v>39530.971000000005</v>
      </c>
      <c r="AO12" s="378">
        <f>+HLOOKUP(AO4,'נתוני תאגידים'!$1:$530,313,0)</f>
        <v>21354.499999999996</v>
      </c>
      <c r="AP12" s="378">
        <f>+HLOOKUP(AP4,'נתוני תאגידים'!$1:$530,313,0)</f>
        <v>56713.620215999996</v>
      </c>
      <c r="AQ12" s="378">
        <f>+HLOOKUP(AQ4,'נתוני תאגידים'!$1:$530,313,0)</f>
        <v>42615.499000000003</v>
      </c>
      <c r="AR12" s="378">
        <f>+HLOOKUP(AR4,'נתוני תאגידים'!$1:$530,313,0)</f>
        <v>114015.10700000002</v>
      </c>
      <c r="AS12" s="378">
        <f>+HLOOKUP(AS4,'נתוני תאגידים'!$1:$530,313,0)</f>
        <v>33919.853000000003</v>
      </c>
      <c r="AT12" s="378">
        <f>+HLOOKUP(AT4,'נתוני תאגידים'!$1:$530,313,0)</f>
        <v>12085.743999999999</v>
      </c>
      <c r="AU12" s="378">
        <f>+HLOOKUP(AU4,'נתוני תאגידים'!$1:$530,313,0)</f>
        <v>27661.449999999997</v>
      </c>
      <c r="AV12" s="378">
        <f>+HLOOKUP(AV4,'נתוני תאגידים'!$1:$530,313,0)</f>
        <v>64670.334999999985</v>
      </c>
      <c r="AW12" s="378">
        <f>+HLOOKUP(AW4,'נתוני תאגידים'!$1:$530,313,0)</f>
        <v>64886.524999999994</v>
      </c>
      <c r="AX12" s="378">
        <f>+HLOOKUP(AX4,'נתוני תאגידים'!$1:$530,313,0)</f>
        <v>26352.023000000001</v>
      </c>
      <c r="AY12" s="378">
        <f>+HLOOKUP(AY4,'נתוני תאגידים'!$1:$530,313,0)</f>
        <v>44446.532999999996</v>
      </c>
      <c r="AZ12" s="378">
        <f>+HLOOKUP(AZ4,'נתוני תאגידים'!$1:$530,313,0)</f>
        <v>61352.702000000005</v>
      </c>
      <c r="BA12" s="378">
        <f>+HLOOKUP(BA4,'נתוני תאגידים'!$1:$530,313,0)</f>
        <v>32793.766000000003</v>
      </c>
      <c r="BB12" s="378">
        <f>+HLOOKUP(BB4,'נתוני תאגידים'!$1:$530,313,0)</f>
        <v>38821.385000000002</v>
      </c>
      <c r="BC12" s="378">
        <f>+HLOOKUP(BC4,'נתוני תאגידים'!$1:$530,313,0)</f>
        <v>51515.951000000001</v>
      </c>
      <c r="BD12" s="378">
        <f>+HLOOKUP(BD4,'נתוני תאגידים'!$1:$530,313,0)</f>
        <v>15030.409</v>
      </c>
      <c r="BE12" s="378">
        <f>+HLOOKUP(BE4,'נתוני תאגידים'!$1:$530,313,0)</f>
        <v>9234.9760000000006</v>
      </c>
      <c r="BF12" s="378">
        <f>+HLOOKUP(BF4,'נתוני תאגידים'!$1:$530,313,0)</f>
        <v>40311.868000000002</v>
      </c>
    </row>
    <row r="13" spans="1:59" x14ac:dyDescent="0.2">
      <c r="A13" s="622"/>
      <c r="B13" s="654" t="s">
        <v>836</v>
      </c>
      <c r="C13" s="378">
        <f>+HLOOKUP(C4,'נתוני תאגידים'!$1:$530,346,0)</f>
        <v>12560.46</v>
      </c>
      <c r="D13" s="378">
        <f>+HLOOKUP(D4,'נתוני תאגידים'!$1:$530,346,0)</f>
        <v>81060.055999999997</v>
      </c>
      <c r="E13" s="378">
        <f>+HLOOKUP(E4,'נתוני תאגידים'!$1:$530,346,0)</f>
        <v>57911.763000000006</v>
      </c>
      <c r="F13" s="378">
        <f>+HLOOKUP(F4,'נתוני תאגידים'!$1:$530,346,0)</f>
        <v>280811.56507999997</v>
      </c>
      <c r="G13" s="378">
        <f>+HLOOKUP(G4,'נתוני תאגידים'!$1:$530,346,0)</f>
        <v>38510.063999999998</v>
      </c>
      <c r="H13" s="378">
        <f>+HLOOKUP(H4,'נתוני תאגידים'!$1:$530,346,0)</f>
        <v>30272.016999999996</v>
      </c>
      <c r="I13" s="378">
        <f>+HLOOKUP(I4,'נתוני תאגידים'!$1:$530,346,0)</f>
        <v>93887.038</v>
      </c>
      <c r="J13" s="378">
        <f>+HLOOKUP(J4,'נתוני תאגידים'!$1:$530,346,0)</f>
        <v>26781.505999999998</v>
      </c>
      <c r="K13" s="378">
        <f>+HLOOKUP(K4,'נתוני תאגידים'!$1:$530,346,0)</f>
        <v>62327.380999999994</v>
      </c>
      <c r="L13" s="378">
        <f>+HLOOKUP(L4,'נתוני תאגידים'!$1:$530,346,0)</f>
        <v>49086.233999999997</v>
      </c>
      <c r="M13" s="378">
        <f>+HLOOKUP(M4,'נתוני תאגידים'!$1:$530,346,0)</f>
        <v>170315.435</v>
      </c>
      <c r="N13" s="378">
        <f>+HLOOKUP(N4,'נתוני תאגידים'!$1:$530,346,0)</f>
        <v>183779.01800000001</v>
      </c>
      <c r="O13" s="378">
        <f>+HLOOKUP(O4,'נתוני תאגידים'!$1:$530,346,0)</f>
        <v>41640.328999999998</v>
      </c>
      <c r="P13" s="378">
        <f>+HLOOKUP(P4,'נתוני תאגידים'!$1:$530,346,0)</f>
        <v>68649.245999999999</v>
      </c>
      <c r="Q13" s="378">
        <f>+HLOOKUP(Q4,'נתוני תאגידים'!$1:$530,346,0)</f>
        <v>161342.69200000001</v>
      </c>
      <c r="R13" s="378">
        <f>+HLOOKUP(R4,'נתוני תאגידים'!$1:$530,346,0)</f>
        <v>78274.768000000011</v>
      </c>
      <c r="S13" s="378">
        <f>+HLOOKUP(S4,'נתוני תאגידים'!$1:$530,346,0)</f>
        <v>89319.091563251102</v>
      </c>
      <c r="T13" s="378">
        <f>+HLOOKUP(T4,'נתוני תאגידים'!$1:$530,346,0)</f>
        <v>214392.01377383445</v>
      </c>
      <c r="U13" s="378">
        <f>+HLOOKUP(U4,'נתוני תאגידים'!$1:$530,346,0)</f>
        <v>79303.058999999994</v>
      </c>
      <c r="V13" s="378">
        <f>+HLOOKUP(V4,'נתוני תאגידים'!$1:$530,346,0)</f>
        <v>137097.693</v>
      </c>
      <c r="W13" s="378">
        <f>+HLOOKUP(W4,'נתוני תאגידים'!$1:$530,346,0)</f>
        <v>40619.152999999991</v>
      </c>
      <c r="X13" s="378">
        <f>+HLOOKUP(X4,'נתוני תאגידים'!$1:$530,346,0)</f>
        <v>74199.259999999995</v>
      </c>
      <c r="Y13" s="378">
        <f>+HLOOKUP(Y4,'נתוני תאגידים'!$1:$530,346,0)</f>
        <v>63433.22</v>
      </c>
      <c r="Z13" s="378">
        <f>+HLOOKUP(Z4,'נתוני תאגידים'!$1:$530,346,0)</f>
        <v>52492.184967999987</v>
      </c>
      <c r="AA13" s="378">
        <f>+HLOOKUP(AA4,'נתוני תאגידים'!$1:$530,346,0)</f>
        <v>20781.727000000006</v>
      </c>
      <c r="AB13" s="378">
        <f>+HLOOKUP(AB4,'נתוני תאגידים'!$1:$530,346,0)</f>
        <v>21205.044999999998</v>
      </c>
      <c r="AC13" s="378">
        <f>+HLOOKUP(AC4,'נתוני תאגידים'!$1:$530,346,0)</f>
        <v>53544.398999999998</v>
      </c>
      <c r="AD13" s="378">
        <f>+HLOOKUP(AD4,'נתוני תאגידים'!$1:$530,346,0)</f>
        <v>20187.220999999998</v>
      </c>
      <c r="AE13" s="378">
        <f>+HLOOKUP(AE4,'נתוני תאגידים'!$1:$530,346,0)</f>
        <v>163668.02899999998</v>
      </c>
      <c r="AF13" s="378">
        <f>+HLOOKUP(AF4,'נתוני תאגידים'!$1:$530,346,0)</f>
        <v>36330.290999999997</v>
      </c>
      <c r="AG13" s="378">
        <f>+HLOOKUP(AG4,'נתוני תאגידים'!$1:$530,346,0)</f>
        <v>25434.713</v>
      </c>
      <c r="AH13" s="378">
        <f>+HLOOKUP(AH4,'נתוני תאגידים'!$1:$530,346,0)</f>
        <v>41278.207999999999</v>
      </c>
      <c r="AI13" s="378">
        <f>+HLOOKUP(AI4,'נתוני תאגידים'!$1:$530,346,0)</f>
        <v>37659.304999999993</v>
      </c>
      <c r="AJ13" s="378">
        <f>+HLOOKUP(AJ4,'נתוני תאגידים'!$1:$530,346,0)</f>
        <v>32161.636999999995</v>
      </c>
      <c r="AK13" s="378">
        <f>+HLOOKUP(AK4,'נתוני תאגידים'!$1:$530,346,0)</f>
        <v>16018.846</v>
      </c>
      <c r="AL13" s="378">
        <f>+HLOOKUP(AL4,'נתוני תאגידים'!$1:$530,346,0)</f>
        <v>272985.05145725061</v>
      </c>
      <c r="AM13" s="378">
        <f>+HLOOKUP(AM4,'נתוני תאגידים'!$1:$530,346,0)</f>
        <v>50507.591</v>
      </c>
      <c r="AN13" s="378">
        <f>+HLOOKUP(AN4,'נתוני תאגידים'!$1:$530,346,0)</f>
        <v>23048.697000000004</v>
      </c>
      <c r="AO13" s="378">
        <f>+HLOOKUP(AO4,'נתוני תאגידים'!$1:$530,346,0)</f>
        <v>7091.9392687193722</v>
      </c>
      <c r="AP13" s="378">
        <f>+HLOOKUP(AP4,'נתוני תאגידים'!$1:$530,346,0)</f>
        <v>16836.364379816878</v>
      </c>
      <c r="AQ13" s="378">
        <f>+HLOOKUP(AQ4,'נתוני תאגידים'!$1:$530,346,0)</f>
        <v>26478.129999999997</v>
      </c>
      <c r="AR13" s="378">
        <f>+HLOOKUP(AR4,'נתוני תאגידים'!$1:$530,346,0)</f>
        <v>157698.17299999998</v>
      </c>
      <c r="AS13" s="378">
        <f>+HLOOKUP(AS4,'נתוני תאגידים'!$1:$530,346,0)</f>
        <v>26219.761000000006</v>
      </c>
      <c r="AT13" s="378">
        <f>+HLOOKUP(AT4,'נתוני תאגידים'!$1:$530,346,0)</f>
        <v>22337.924999999996</v>
      </c>
      <c r="AU13" s="378">
        <f>+HLOOKUP(AU4,'נתוני תאגידים'!$1:$530,346,0)</f>
        <v>38598.716999999997</v>
      </c>
      <c r="AV13" s="378">
        <f>+HLOOKUP(AV4,'נתוני תאגידים'!$1:$530,346,0)</f>
        <v>91017.648000000001</v>
      </c>
      <c r="AW13" s="378">
        <f>+HLOOKUP(AW4,'נתוני תאגידים'!$1:$530,346,0)</f>
        <v>113537.68699999998</v>
      </c>
      <c r="AX13" s="378">
        <f>+HLOOKUP(AX4,'נתוני תאגידים'!$1:$530,346,0)</f>
        <v>85892.463000000003</v>
      </c>
      <c r="AY13" s="378">
        <f>+HLOOKUP(AY4,'נתוני תאגידים'!$1:$530,346,0)</f>
        <v>41725.398999999998</v>
      </c>
      <c r="AZ13" s="378">
        <f>+HLOOKUP(AZ4,'נתוני תאגידים'!$1:$530,346,0)</f>
        <v>65336.471000000005</v>
      </c>
      <c r="BA13" s="378">
        <f>+HLOOKUP(BA4,'נתוני תאגידים'!$1:$530,346,0)</f>
        <v>9405.8199999999961</v>
      </c>
      <c r="BB13" s="378">
        <f>+HLOOKUP(BB4,'נתוני תאגידים'!$1:$530,346,0)</f>
        <v>77293.33</v>
      </c>
      <c r="BC13" s="378">
        <f>+HLOOKUP(BC4,'נתוני תאגידים'!$1:$530,346,0)</f>
        <v>111409.398</v>
      </c>
      <c r="BD13" s="378">
        <f>+HLOOKUP(BD4,'נתוני תאגידים'!$1:$530,346,0)</f>
        <v>43166.443999999996</v>
      </c>
      <c r="BE13" s="378">
        <f>+HLOOKUP(BE4,'נתוני תאגידים'!$1:$530,346,0)</f>
        <v>7566.58</v>
      </c>
      <c r="BF13" s="378">
        <f>+HLOOKUP(BF4,'נתוני תאגידים'!$1:$530,346,0)</f>
        <v>62407.262999999999</v>
      </c>
    </row>
    <row r="14" spans="1:59" x14ac:dyDescent="0.2">
      <c r="A14" s="622"/>
      <c r="B14" s="654" t="s">
        <v>837</v>
      </c>
      <c r="C14" s="378">
        <f>+HLOOKUP(C4,'נתוני תאגידים'!$1:$530,206,0)</f>
        <v>14179.218000000001</v>
      </c>
      <c r="D14" s="378">
        <f>+HLOOKUP(D4,'נתוני תאגידים'!$1:$530,206,0)</f>
        <v>10085.833000000001</v>
      </c>
      <c r="E14" s="378">
        <f>+HLOOKUP(E4,'נתוני תאגידים'!$1:$530,206,0)</f>
        <v>10172.431</v>
      </c>
      <c r="F14" s="378">
        <f>+HLOOKUP(F4,'נתוני תאגידים'!$1:$530,206,0)</f>
        <v>183331.80300000001</v>
      </c>
      <c r="G14" s="378">
        <f>+HLOOKUP(G4,'נתוני תאגידים'!$1:$530,206,0)</f>
        <v>49855</v>
      </c>
      <c r="H14" s="378">
        <f>+HLOOKUP(H4,'נתוני תאגידים'!$1:$530,206,0)</f>
        <v>0</v>
      </c>
      <c r="I14" s="378">
        <f>+HLOOKUP(I4,'נתוני תאגידים'!$1:$530,206,0)</f>
        <v>2689.8090000000002</v>
      </c>
      <c r="J14" s="378">
        <f>+HLOOKUP(J4,'נתוני תאגידים'!$1:$530,206,0)</f>
        <v>5569.509</v>
      </c>
      <c r="K14" s="378">
        <f>+HLOOKUP(K4,'נתוני תאגידים'!$1:$530,206,0)</f>
        <v>11086.181</v>
      </c>
      <c r="L14" s="378">
        <f>+HLOOKUP(L4,'נתוני תאגידים'!$1:$530,206,0)</f>
        <v>31785.965</v>
      </c>
      <c r="M14" s="378">
        <f>+HLOOKUP(M4,'נתוני תאגידים'!$1:$530,206,0)</f>
        <v>16885</v>
      </c>
      <c r="N14" s="378">
        <f>+HLOOKUP(N4,'נתוני תאגידים'!$1:$530,206,0)</f>
        <v>6137.8320000000003</v>
      </c>
      <c r="O14" s="378">
        <f>+HLOOKUP(O4,'נתוני תאגידים'!$1:$530,206,0)</f>
        <v>1999.348</v>
      </c>
      <c r="P14" s="378">
        <f>+HLOOKUP(P4,'נתוני תאגידים'!$1:$530,206,0)</f>
        <v>670.64700000000005</v>
      </c>
      <c r="Q14" s="378">
        <f>+HLOOKUP(Q4,'נתוני תאגידים'!$1:$530,206,0)</f>
        <v>42698.936999999998</v>
      </c>
      <c r="R14" s="378">
        <f>+HLOOKUP(R4,'נתוני תאגידים'!$1:$530,206,0)</f>
        <v>62353.892999999996</v>
      </c>
      <c r="S14" s="378">
        <f>+HLOOKUP(S4,'נתוני תאגידים'!$1:$530,206,0)</f>
        <v>26132.474999999999</v>
      </c>
      <c r="T14" s="378">
        <f>+HLOOKUP(T4,'נתוני תאגידים'!$1:$530,206,0)</f>
        <v>24083.142</v>
      </c>
      <c r="U14" s="378">
        <f>+HLOOKUP(U4,'נתוני תאגידים'!$1:$530,206,0)</f>
        <v>17756.685000000001</v>
      </c>
      <c r="V14" s="378">
        <f>+HLOOKUP(V4,'נתוני תאגידים'!$1:$530,206,0)</f>
        <v>13539.29</v>
      </c>
      <c r="W14" s="378">
        <f>+HLOOKUP(W4,'נתוני תאגידים'!$1:$530,206,0)</f>
        <v>18840.456999999999</v>
      </c>
      <c r="X14" s="378">
        <f>+HLOOKUP(X4,'נתוני תאגידים'!$1:$530,206,0)</f>
        <v>15517.846</v>
      </c>
      <c r="Y14" s="378">
        <f>+HLOOKUP(Y4,'נתוני תאגידים'!$1:$530,206,0)</f>
        <v>9121.2029999999995</v>
      </c>
      <c r="Z14" s="378">
        <f>+HLOOKUP(Z4,'נתוני תאגידים'!$1:$530,206,0)</f>
        <v>8509.6880000000001</v>
      </c>
      <c r="AA14" s="378">
        <f>+HLOOKUP(AA4,'נתוני תאגידים'!$1:$530,206,0)</f>
        <v>0</v>
      </c>
      <c r="AB14" s="378">
        <f>+HLOOKUP(AB4,'נתוני תאגידים'!$1:$530,206,0)</f>
        <v>12980.66</v>
      </c>
      <c r="AC14" s="378">
        <f>+HLOOKUP(AC4,'נתוני תאגידים'!$1:$530,206,0)</f>
        <v>7224.95</v>
      </c>
      <c r="AD14" s="378">
        <f>+HLOOKUP(AD4,'נתוני תאגידים'!$1:$530,206,0)</f>
        <v>19136</v>
      </c>
      <c r="AE14" s="378">
        <f>+HLOOKUP(AE4,'נתוני תאגידים'!$1:$530,206,0)</f>
        <v>74480</v>
      </c>
      <c r="AF14" s="378">
        <f>+HLOOKUP(AF4,'נתוני תאגידים'!$1:$530,206,0)</f>
        <v>8788.7669999999998</v>
      </c>
      <c r="AG14" s="378">
        <f>+HLOOKUP(AG4,'נתוני תאגידים'!$1:$530,206,0)</f>
        <v>16834.659</v>
      </c>
      <c r="AH14" s="378">
        <f>+HLOOKUP(AH4,'נתוני תאגידים'!$1:$530,206,0)</f>
        <v>4058.7759999999998</v>
      </c>
      <c r="AI14" s="378">
        <f>+HLOOKUP(AI4,'נתוני תאגידים'!$1:$530,206,0)</f>
        <v>3789.81</v>
      </c>
      <c r="AJ14" s="378">
        <f>+HLOOKUP(AJ4,'נתוני תאגידים'!$1:$530,206,0)</f>
        <v>7694.1639999999998</v>
      </c>
      <c r="AK14" s="378">
        <f>+HLOOKUP(AK4,'נתוני תאגידים'!$1:$530,206,0)</f>
        <v>7288.5680000000002</v>
      </c>
      <c r="AL14" s="378">
        <f>+HLOOKUP(AL4,'נתוני תאגידים'!$1:$530,206,0)</f>
        <v>132397</v>
      </c>
      <c r="AM14" s="378">
        <f>+HLOOKUP(AM4,'נתוני תאגידים'!$1:$530,206,0)</f>
        <v>7447.7290000000003</v>
      </c>
      <c r="AN14" s="378">
        <f>+HLOOKUP(AN4,'נתוני תאגידים'!$1:$530,206,0)</f>
        <v>16492.634999999998</v>
      </c>
      <c r="AO14" s="378">
        <f>+HLOOKUP(AO4,'נתוני תאגידים'!$1:$530,206,0)</f>
        <v>9000</v>
      </c>
      <c r="AP14" s="378">
        <f>+HLOOKUP(AP4,'נתוני תאגידים'!$1:$530,206,0)</f>
        <v>0</v>
      </c>
      <c r="AQ14" s="378">
        <f>+HLOOKUP(AQ4,'נתוני תאגידים'!$1:$530,206,0)</f>
        <v>5063.335</v>
      </c>
      <c r="AR14" s="378">
        <f>+HLOOKUP(AR4,'נתוני תאגידים'!$1:$530,206,0)</f>
        <v>8469.7909999999993</v>
      </c>
      <c r="AS14" s="378">
        <f>+HLOOKUP(AS4,'נתוני תאגידים'!$1:$530,206,0)</f>
        <v>13124.655000000001</v>
      </c>
      <c r="AT14" s="378">
        <f>+HLOOKUP(AT4,'נתוני תאגידים'!$1:$530,206,0)</f>
        <v>7233.38</v>
      </c>
      <c r="AU14" s="378">
        <f>+HLOOKUP(AU4,'נתוני תאגידים'!$1:$530,206,0)</f>
        <v>0</v>
      </c>
      <c r="AV14" s="378">
        <f>+HLOOKUP(AV4,'נתוני תאגידים'!$1:$530,206,0)</f>
        <v>7377.9719999999998</v>
      </c>
      <c r="AW14" s="378">
        <f>+HLOOKUP(AW4,'נתוני תאגידים'!$1:$530,206,0)</f>
        <v>4136.0529999999999</v>
      </c>
      <c r="AX14" s="378">
        <f>+HLOOKUP(AX4,'נתוני תאגידים'!$1:$530,206,0)</f>
        <v>36753.584000000003</v>
      </c>
      <c r="AY14" s="378">
        <f>+HLOOKUP(AY4,'נתוני תאגידים'!$1:$530,206,0)</f>
        <v>25538.787</v>
      </c>
      <c r="AZ14" s="378">
        <f>+HLOOKUP(AZ4,'נתוני תאגידים'!$1:$530,206,0)</f>
        <v>7151.5159999999996</v>
      </c>
      <c r="BA14" s="378">
        <f>+HLOOKUP(BA4,'נתוני תאגידים'!$1:$530,206,0)</f>
        <v>8248.2649999999994</v>
      </c>
      <c r="BB14" s="378">
        <f>+HLOOKUP(BB4,'נתוני תאגידים'!$1:$530,206,0)</f>
        <v>35.124000000000002</v>
      </c>
      <c r="BC14" s="378">
        <f>+HLOOKUP(BC4,'נתוני תאגידים'!$1:$530,206,0)</f>
        <v>9236.1610000000001</v>
      </c>
      <c r="BD14" s="378">
        <f>+HLOOKUP(BD4,'נתוני תאגידים'!$1:$530,206,0)</f>
        <v>2472</v>
      </c>
      <c r="BE14" s="378">
        <f>+HLOOKUP(BE4,'נתוני תאגידים'!$1:$530,206,0)</f>
        <v>2772</v>
      </c>
      <c r="BF14" s="378">
        <f>+HLOOKUP(BF4,'נתוני תאגידים'!$1:$530,206,0)</f>
        <v>6898.5069999999996</v>
      </c>
    </row>
    <row r="15" spans="1:59" x14ac:dyDescent="0.2">
      <c r="A15" s="622"/>
      <c r="B15" s="654" t="s">
        <v>791</v>
      </c>
      <c r="C15" s="378">
        <f>+HLOOKUP(C4,'נתוני תאגידים'!$1:$530,354,0)</f>
        <v>10780.42</v>
      </c>
      <c r="D15" s="378">
        <f>+HLOOKUP(D4,'נתוני תאגידים'!$1:$530,354,0)</f>
        <v>9340.4369999999999</v>
      </c>
      <c r="E15" s="378">
        <f>+HLOOKUP(E4,'נתוני תאגידים'!$1:$530,354,0)</f>
        <v>4262.473</v>
      </c>
      <c r="F15" s="378">
        <f>+HLOOKUP(F4,'נתוני תאגידים'!$1:$530,354,0)</f>
        <v>54306.558000000005</v>
      </c>
      <c r="G15" s="378">
        <f>+HLOOKUP(G4,'נתוני תאגידים'!$1:$530,354,0)</f>
        <v>17049.447</v>
      </c>
      <c r="H15" s="378">
        <f>+HLOOKUP(H4,'נתוני תאגידים'!$1:$530,354,0)</f>
        <v>2004.4870000000001</v>
      </c>
      <c r="I15" s="378">
        <f>+HLOOKUP(I4,'נתוני תאגידים'!$1:$530,354,0)</f>
        <v>4334.6769999999997</v>
      </c>
      <c r="J15" s="378">
        <f>+HLOOKUP(J4,'נתוני תאגידים'!$1:$530,354,0)</f>
        <v>7271.4120000000003</v>
      </c>
      <c r="K15" s="378">
        <f>+HLOOKUP(K4,'נתוני תאגידים'!$1:$530,354,0)</f>
        <v>5391.3759999999993</v>
      </c>
      <c r="L15" s="378">
        <f>+HLOOKUP(L4,'נתוני תאגידים'!$1:$530,354,0)</f>
        <v>9928.9809999999998</v>
      </c>
      <c r="M15" s="378">
        <f>+HLOOKUP(M4,'נתוני תאגידים'!$1:$530,354,0)</f>
        <v>16724.746999999999</v>
      </c>
      <c r="N15" s="378">
        <f>+HLOOKUP(N4,'נתוני תאגידים'!$1:$530,354,0)</f>
        <v>9228.0609999999997</v>
      </c>
      <c r="O15" s="378">
        <f>+HLOOKUP(O4,'נתוני תאגידים'!$1:$530,354,0)</f>
        <v>5681.5389999999998</v>
      </c>
      <c r="P15" s="378">
        <f>+HLOOKUP(P4,'נתוני תאגידים'!$1:$530,354,0)</f>
        <v>4715.7889999999998</v>
      </c>
      <c r="Q15" s="378">
        <f>+HLOOKUP(Q4,'נתוני תאגידים'!$1:$530,354,0)</f>
        <v>20929.161</v>
      </c>
      <c r="R15" s="378">
        <f>+HLOOKUP(R4,'נתוני תאגידים'!$1:$530,354,0)</f>
        <v>18659.955999999998</v>
      </c>
      <c r="S15" s="378">
        <f>+HLOOKUP(S4,'נתוני תאגידים'!$1:$530,354,0)</f>
        <v>19665.205999999998</v>
      </c>
      <c r="T15" s="378">
        <f>+HLOOKUP(T4,'נתוני תאגידים'!$1:$530,354,0)</f>
        <v>19849.735000000001</v>
      </c>
      <c r="U15" s="378">
        <f>+HLOOKUP(U4,'נתוני תאגידים'!$1:$530,354,0)</f>
        <v>11081.690999999999</v>
      </c>
      <c r="V15" s="378">
        <f>+HLOOKUP(V4,'נתוני תאגידים'!$1:$530,354,0)</f>
        <v>8586.9550000000017</v>
      </c>
      <c r="W15" s="378">
        <f>+HLOOKUP(W4,'נתוני תאגידים'!$1:$530,354,0)</f>
        <v>8741.3060000000005</v>
      </c>
      <c r="X15" s="378">
        <f>+HLOOKUP(X4,'נתוני תאגידים'!$1:$530,354,0)</f>
        <v>6495.7709999999997</v>
      </c>
      <c r="Y15" s="378">
        <f>+HLOOKUP(Y4,'נתוני תאגידים'!$1:$530,354,0)</f>
        <v>3201.0769999999998</v>
      </c>
      <c r="Z15" s="378">
        <f>+HLOOKUP(Z4,'נתוני תאגידים'!$1:$530,354,0)</f>
        <v>3917.029</v>
      </c>
      <c r="AA15" s="378">
        <f>+HLOOKUP(AA4,'נתוני תאגידים'!$1:$530,354,0)</f>
        <v>6640.0940000000001</v>
      </c>
      <c r="AB15" s="378">
        <f>+HLOOKUP(AB4,'נתוני תאגידים'!$1:$530,354,0)</f>
        <v>6789.9260000000004</v>
      </c>
      <c r="AC15" s="378">
        <f>+HLOOKUP(AC4,'נתוני תאגידים'!$1:$530,354,0)</f>
        <v>10469.824999999999</v>
      </c>
      <c r="AD15" s="378">
        <f>+HLOOKUP(AD4,'נתוני תאגידים'!$1:$530,354,0)</f>
        <v>4708.6639999999998</v>
      </c>
      <c r="AE15" s="378">
        <f>+HLOOKUP(AE4,'נתוני תאגידים'!$1:$530,354,0)</f>
        <v>23115.748</v>
      </c>
      <c r="AF15" s="378">
        <f>+HLOOKUP(AF4,'נתוני תאגידים'!$1:$530,354,0)</f>
        <v>5412.576</v>
      </c>
      <c r="AG15" s="378">
        <f>+HLOOKUP(AG4,'נתוני תאגידים'!$1:$530,354,0)</f>
        <v>3747.5639999999999</v>
      </c>
      <c r="AH15" s="378">
        <f>+HLOOKUP(AH4,'נתוני תאגידים'!$1:$530,354,0)</f>
        <v>3174.326</v>
      </c>
      <c r="AI15" s="378">
        <f>+HLOOKUP(AI4,'נתוני תאגידים'!$1:$530,354,0)</f>
        <v>3853.471</v>
      </c>
      <c r="AJ15" s="378">
        <f>+HLOOKUP(AJ4,'נתוני תאגידים'!$1:$530,354,0)</f>
        <v>3276.6880000000001</v>
      </c>
      <c r="AK15" s="378">
        <f>+HLOOKUP(AK4,'נתוני תאגידים'!$1:$530,354,0)</f>
        <v>2922.759</v>
      </c>
      <c r="AL15" s="378">
        <f>+HLOOKUP(AL4,'נתוני תאגידים'!$1:$530,354,0)</f>
        <v>46124.361000000004</v>
      </c>
      <c r="AM15" s="378">
        <f>+HLOOKUP(AM4,'נתוני תאגידים'!$1:$530,354,0)</f>
        <v>5738.3119999999999</v>
      </c>
      <c r="AN15" s="378">
        <f>+HLOOKUP(AN4,'נתוני תאגידים'!$1:$530,354,0)</f>
        <v>12026.431</v>
      </c>
      <c r="AO15" s="378">
        <f>+HLOOKUP(AO4,'נתוני תאגידים'!$1:$530,354,0)</f>
        <v>3748.2510000000002</v>
      </c>
      <c r="AP15" s="378">
        <f>+HLOOKUP(AP4,'נתוני תאגידים'!$1:$530,354,0)</f>
        <v>9026.4089999999997</v>
      </c>
      <c r="AQ15" s="378">
        <f>+HLOOKUP(AQ4,'נתוני תאגידים'!$1:$530,354,0)</f>
        <v>5354.7740000000003</v>
      </c>
      <c r="AR15" s="378">
        <f>+HLOOKUP(AR4,'נתוני תאגידים'!$1:$530,354,0)</f>
        <v>10326.152000000002</v>
      </c>
      <c r="AS15" s="378">
        <f>+HLOOKUP(AS4,'נתוני תאגידים'!$1:$530,354,0)</f>
        <v>3423.1089999999999</v>
      </c>
      <c r="AT15" s="378">
        <f>+HLOOKUP(AT4,'נתוני תאגידים'!$1:$530,354,0)</f>
        <v>2910.1680000000001</v>
      </c>
      <c r="AU15" s="378">
        <f>+HLOOKUP(AU4,'נתוני תאגידים'!$1:$530,354,0)</f>
        <v>4710.6399999999994</v>
      </c>
      <c r="AV15" s="378">
        <f>+HLOOKUP(AV4,'נתוני תאגידים'!$1:$530,354,0)</f>
        <v>5711.9690000000001</v>
      </c>
      <c r="AW15" s="378">
        <f>+HLOOKUP(AW4,'נתוני תאגידים'!$1:$530,354,0)</f>
        <v>7207.7849999999999</v>
      </c>
      <c r="AX15" s="378">
        <f>+HLOOKUP(AX4,'נתוני תאגידים'!$1:$530,354,0)</f>
        <v>14360.366</v>
      </c>
      <c r="AY15" s="378">
        <f>+HLOOKUP(AY4,'נתוני תאגידים'!$1:$530,354,0)</f>
        <v>6640.4369999999999</v>
      </c>
      <c r="AZ15" s="378">
        <f>+HLOOKUP(AZ4,'נתוני תאגידים'!$1:$530,354,0)</f>
        <v>5883.2190000000001</v>
      </c>
      <c r="BA15" s="378">
        <f>+HLOOKUP(BA4,'נתוני תאגידים'!$1:$530,354,0)</f>
        <v>5761.5990000000002</v>
      </c>
      <c r="BB15" s="378">
        <f>+HLOOKUP(BB4,'נתוני תאגידים'!$1:$530,354,0)</f>
        <v>4786.3330000000005</v>
      </c>
      <c r="BC15" s="378">
        <f>+HLOOKUP(BC4,'נתוני תאגידים'!$1:$530,354,0)</f>
        <v>6044.5029999999997</v>
      </c>
      <c r="BD15" s="378">
        <f>+HLOOKUP(BD4,'נתוני תאגידים'!$1:$530,354,0)</f>
        <v>975.60500000000002</v>
      </c>
      <c r="BE15" s="378">
        <f>+HLOOKUP(BE4,'נתוני תאגידים'!$1:$530,354,0)</f>
        <v>1173.269</v>
      </c>
      <c r="BF15" s="378">
        <f>+HLOOKUP(BF4,'נתוני תאגידים'!$1:$530,354,0)</f>
        <v>10422.161</v>
      </c>
      <c r="BG15" s="762">
        <f>SUM(C15:BE15)</f>
        <v>518193.62399999972</v>
      </c>
    </row>
    <row r="16" spans="1:59" x14ac:dyDescent="0.2">
      <c r="A16" s="622"/>
      <c r="B16" s="654" t="s">
        <v>486</v>
      </c>
      <c r="C16" s="378">
        <f>C15-HLOOKUP(C4,'נתוני תאגידים'!$1:$530,356,0)</f>
        <v>10687.855</v>
      </c>
      <c r="D16" s="378">
        <f>D15-HLOOKUP(D4,'נתוני תאגידים'!$1:$530,356,0)</f>
        <v>9055.2800000000007</v>
      </c>
      <c r="E16" s="378">
        <f>E15-HLOOKUP(E4,'נתוני תאגידים'!$1:$530,356,0)</f>
        <v>4030.194</v>
      </c>
      <c r="F16" s="378">
        <f>F15-HLOOKUP(F4,'נתוני תאגידים'!$1:$530,356,0)</f>
        <v>52720.276000000005</v>
      </c>
      <c r="G16" s="378">
        <f>G15-HLOOKUP(G4,'נתוני תאגידים'!$1:$530,356,0)</f>
        <v>16005.333000000001</v>
      </c>
      <c r="H16" s="378">
        <f>H15-HLOOKUP(H4,'נתוני תאגידים'!$1:$530,356,0)</f>
        <v>1788.1780000000001</v>
      </c>
      <c r="I16" s="378">
        <f>I15-HLOOKUP(I4,'נתוני תאגידים'!$1:$530,356,0)</f>
        <v>4309.6179999999995</v>
      </c>
      <c r="J16" s="378">
        <f>J15-HLOOKUP(J4,'נתוני תאגידים'!$1:$530,356,0)</f>
        <v>6909.7800000000007</v>
      </c>
      <c r="K16" s="378">
        <f>K15-HLOOKUP(K4,'נתוני תאגידים'!$1:$530,356,0)</f>
        <v>5187.3189999999995</v>
      </c>
      <c r="L16" s="378">
        <f>L15-HLOOKUP(L4,'נתוני תאגידים'!$1:$530,356,0)</f>
        <v>9623.1640000000007</v>
      </c>
      <c r="M16" s="378">
        <f>M15-HLOOKUP(M4,'נתוני תאגידים'!$1:$530,356,0)</f>
        <v>15637.956999999999</v>
      </c>
      <c r="N16" s="378">
        <f>N15-HLOOKUP(N4,'נתוני תאגידים'!$1:$530,356,0)</f>
        <v>9167.7950000000001</v>
      </c>
      <c r="O16" s="378">
        <f>O15-HLOOKUP(O4,'נתוני תאגידים'!$1:$530,356,0)</f>
        <v>5282.7240000000002</v>
      </c>
      <c r="P16" s="378">
        <f>P15-HLOOKUP(P4,'נתוני תאגידים'!$1:$530,356,0)</f>
        <v>4539.3530000000001</v>
      </c>
      <c r="Q16" s="378">
        <f>Q15-HLOOKUP(Q4,'נתוני תאגידים'!$1:$530,356,0)</f>
        <v>19454.196</v>
      </c>
      <c r="R16" s="378">
        <f>R15-HLOOKUP(R4,'נתוני תאגידים'!$1:$530,356,0)</f>
        <v>17691.512999999999</v>
      </c>
      <c r="S16" s="378">
        <f>S15-HLOOKUP(S4,'נתוני תאגידים'!$1:$530,356,0)</f>
        <v>18837.516</v>
      </c>
      <c r="T16" s="378">
        <f>T15-HLOOKUP(T4,'נתוני תאגידים'!$1:$530,356,0)</f>
        <v>18472.741000000002</v>
      </c>
      <c r="U16" s="378">
        <f>U15-HLOOKUP(U4,'נתוני תאגידים'!$1:$530,356,0)</f>
        <v>9784.3889999999992</v>
      </c>
      <c r="V16" s="378">
        <f>V15-HLOOKUP(V4,'נתוני תאגידים'!$1:$530,356,0)</f>
        <v>8445.7630000000026</v>
      </c>
      <c r="W16" s="378">
        <f>W15-HLOOKUP(W4,'נתוני תאגידים'!$1:$530,356,0)</f>
        <v>8240.5010000000002</v>
      </c>
      <c r="X16" s="378">
        <f>X15-HLOOKUP(X4,'נתוני תאגידים'!$1:$530,356,0)</f>
        <v>5832.9979999999996</v>
      </c>
      <c r="Y16" s="378">
        <f>Y15-HLOOKUP(Y4,'נתוני תאגידים'!$1:$530,356,0)</f>
        <v>2952.962</v>
      </c>
      <c r="Z16" s="378">
        <f>Z15-HLOOKUP(Z4,'נתוני תאגידים'!$1:$530,356,0)</f>
        <v>3444.9430000000002</v>
      </c>
      <c r="AA16" s="378">
        <f>AA15-HLOOKUP(AA4,'נתוני תאגידים'!$1:$530,356,0)</f>
        <v>6002.3060000000005</v>
      </c>
      <c r="AB16" s="378">
        <f>AB15-HLOOKUP(AB4,'נתוני תאגידים'!$1:$530,356,0)</f>
        <v>6493.2190000000001</v>
      </c>
      <c r="AC16" s="378">
        <f>AC15-HLOOKUP(AC4,'נתוני תאגידים'!$1:$530,356,0)</f>
        <v>9731.9999999999982</v>
      </c>
      <c r="AD16" s="378">
        <f>AD15-HLOOKUP(AD4,'נתוני תאגידים'!$1:$530,356,0)</f>
        <v>4363.1009999999997</v>
      </c>
      <c r="AE16" s="378">
        <f>AE15-HLOOKUP(AE4,'נתוני תאגידים'!$1:$530,356,0)</f>
        <v>22111.684000000001</v>
      </c>
      <c r="AF16" s="378">
        <f>AF15-HLOOKUP(AF4,'נתוני תאגידים'!$1:$530,356,0)</f>
        <v>4985.741</v>
      </c>
      <c r="AG16" s="378">
        <f>AG15-HLOOKUP(AG4,'נתוני תאגידים'!$1:$530,356,0)</f>
        <v>3259.576</v>
      </c>
      <c r="AH16" s="378">
        <f>AH15-HLOOKUP(AH4,'נתוני תאגידים'!$1:$530,356,0)</f>
        <v>3128.6480000000001</v>
      </c>
      <c r="AI16" s="378">
        <f>AI15-HLOOKUP(AI4,'נתוני תאגידים'!$1:$530,356,0)</f>
        <v>3446.8580000000002</v>
      </c>
      <c r="AJ16" s="378">
        <f>AJ15-HLOOKUP(AJ4,'נתוני תאגידים'!$1:$530,356,0)</f>
        <v>3056.2750000000001</v>
      </c>
      <c r="AK16" s="378">
        <f>AK15-HLOOKUP(AK4,'נתוני תאגידים'!$1:$530,356,0)</f>
        <v>2686.3910000000001</v>
      </c>
      <c r="AL16" s="378">
        <f>AL15-HLOOKUP(AL4,'נתוני תאגידים'!$1:$530,356,0)</f>
        <v>42680.793000000005</v>
      </c>
      <c r="AM16" s="378">
        <f>AM15-HLOOKUP(AM4,'נתוני תאגידים'!$1:$530,356,0)</f>
        <v>5323.2070000000003</v>
      </c>
      <c r="AN16" s="378">
        <f>AN15-HLOOKUP(AN4,'נתוני תאגידים'!$1:$530,356,0)</f>
        <v>11220.945</v>
      </c>
      <c r="AO16" s="378">
        <f>AO15-HLOOKUP(AO4,'נתוני תאגידים'!$1:$530,356,0)</f>
        <v>3602.181</v>
      </c>
      <c r="AP16" s="378">
        <f>AP15-HLOOKUP(AP4,'נתוני תאגידים'!$1:$530,356,0)</f>
        <v>8567.8269999999993</v>
      </c>
      <c r="AQ16" s="378">
        <f>AQ15-HLOOKUP(AQ4,'נתוני תאגידים'!$1:$530,356,0)</f>
        <v>5051.9580000000005</v>
      </c>
      <c r="AR16" s="378">
        <f>AR15-HLOOKUP(AR4,'נתוני תאגידים'!$1:$530,356,0)</f>
        <v>10090.055000000002</v>
      </c>
      <c r="AS16" s="378">
        <f>AS15-HLOOKUP(AS4,'נתוני תאגידים'!$1:$530,356,0)</f>
        <v>3169.9650000000001</v>
      </c>
      <c r="AT16" s="378">
        <f>AT15-HLOOKUP(AT4,'נתוני תאגידים'!$1:$530,356,0)</f>
        <v>2562.8160000000003</v>
      </c>
      <c r="AU16" s="378">
        <f>AU15-HLOOKUP(AU4,'נתוני תאגידים'!$1:$530,356,0)</f>
        <v>4253.8219999999992</v>
      </c>
      <c r="AV16" s="378">
        <f>AV15-HLOOKUP(AV4,'נתוני תאגידים'!$1:$530,356,0)</f>
        <v>5709.3289999999997</v>
      </c>
      <c r="AW16" s="378">
        <f>AW15-HLOOKUP(AW4,'נתוני תאגידים'!$1:$530,356,0)</f>
        <v>7199.768</v>
      </c>
      <c r="AX16" s="378">
        <f>AX15-HLOOKUP(AX4,'נתוני תאגידים'!$1:$530,356,0)-1400</f>
        <v>12153.178</v>
      </c>
      <c r="AY16" s="378">
        <f>AY15-HLOOKUP(AY4,'נתוני תאגידים'!$1:$530,356,0)</f>
        <v>5805.2910000000002</v>
      </c>
      <c r="AZ16" s="378">
        <f>AZ15-HLOOKUP(AZ4,'נתוני תאגידים'!$1:$530,356,0)</f>
        <v>5512.06</v>
      </c>
      <c r="BA16" s="378">
        <f>BA15-HLOOKUP(BA4,'נתוני תאגידים'!$1:$530,356,0)</f>
        <v>5548.8330000000005</v>
      </c>
      <c r="BB16" s="378">
        <f>BB15-HLOOKUP(BB4,'נתוני תאגידים'!$1:$530,356,0)</f>
        <v>4760.7890000000007</v>
      </c>
      <c r="BC16" s="378">
        <f>(BC15-HLOOKUP(BC4,'נתוני תאגידים'!$1:$530,356,0))*0.8</f>
        <v>4810.4272000000001</v>
      </c>
      <c r="BD16" s="378">
        <f>(BD15-HLOOKUP(BD4,'נתוני תאגידים'!$1:$530,356,0))+'נתוני מים 2014'!G179/1000-'נתוני מים 2014'!K179/1000-'נתוני מים 2014'!M179/1000</f>
        <v>7956.9939999999997</v>
      </c>
      <c r="BE16" s="378">
        <f>BE15-HLOOKUP(BE4,'נתוני תאגידים'!$1:$530,356,0)</f>
        <v>1061.6970000000001</v>
      </c>
      <c r="BF16" s="378">
        <f>BF15-HLOOKUP(BF4,'נתוני תאגידים'!$1:$530,356,0)</f>
        <v>9551.634</v>
      </c>
    </row>
    <row r="17" spans="1:58" x14ac:dyDescent="0.2">
      <c r="A17" s="622"/>
      <c r="B17" s="654" t="s">
        <v>798</v>
      </c>
      <c r="C17" s="379">
        <f>+HLOOKUP(C4,'נתוני תאגידים'!$1:$530,468,0)</f>
        <v>0.7</v>
      </c>
      <c r="D17" s="379">
        <f>+HLOOKUP(D4,'נתוני תאגידים'!$1:$530,468,0)</f>
        <v>0.7</v>
      </c>
      <c r="E17" s="379">
        <f>+HLOOKUP(E4,'נתוני תאגידים'!$1:$530,468,0)</f>
        <v>0.7</v>
      </c>
      <c r="F17" s="379">
        <f>+HLOOKUP(F4,'נתוני תאגידים'!$1:$530,468,0)</f>
        <v>0.7</v>
      </c>
      <c r="G17" s="379">
        <f>+HLOOKUP(G4,'נתוני תאגידים'!$1:$530,468,0)</f>
        <v>0.7</v>
      </c>
      <c r="H17" s="379">
        <f>+HLOOKUP(H4,'נתוני תאגידים'!$1:$530,468,0)</f>
        <v>0.7</v>
      </c>
      <c r="I17" s="379">
        <f>+HLOOKUP(I4,'נתוני תאגידים'!$1:$530,468,0)</f>
        <v>0.7</v>
      </c>
      <c r="J17" s="379">
        <f>+HLOOKUP(J4,'נתוני תאגידים'!$1:$530,468,0)</f>
        <v>0.7</v>
      </c>
      <c r="K17" s="379">
        <f>+HLOOKUP(K4,'נתוני תאגידים'!$1:$530,468,0)</f>
        <v>0.7</v>
      </c>
      <c r="L17" s="379">
        <f>+HLOOKUP(L4,'נתוני תאגידים'!$1:$530,468,0)</f>
        <v>0.7</v>
      </c>
      <c r="M17" s="379">
        <f>+HLOOKUP(M4,'נתוני תאגידים'!$1:$530,468,0)</f>
        <v>0.7</v>
      </c>
      <c r="N17" s="379">
        <f>+HLOOKUP(N4,'נתוני תאגידים'!$1:$530,468,0)</f>
        <v>0.7</v>
      </c>
      <c r="O17" s="379">
        <f>+HLOOKUP(O4,'נתוני תאגידים'!$1:$530,468,0)</f>
        <v>0.7</v>
      </c>
      <c r="P17" s="379">
        <f>+HLOOKUP(P4,'נתוני תאגידים'!$1:$530,468,0)</f>
        <v>0.7</v>
      </c>
      <c r="Q17" s="379">
        <f>+HLOOKUP(Q4,'נתוני תאגידים'!$1:$530,468,0)</f>
        <v>0.7</v>
      </c>
      <c r="R17" s="379">
        <f>+HLOOKUP(R4,'נתוני תאגידים'!$1:$530,468,0)</f>
        <v>0.7</v>
      </c>
      <c r="S17" s="379">
        <f>+HLOOKUP(S4,'נתוני תאגידים'!$1:$530,468,0)</f>
        <v>0.7</v>
      </c>
      <c r="T17" s="379">
        <f>+HLOOKUP(T4,'נתוני תאגידים'!$1:$530,468,0)</f>
        <v>0.7</v>
      </c>
      <c r="U17" s="379">
        <f>+HLOOKUP(U4,'נתוני תאגידים'!$1:$530,468,0)</f>
        <v>0.7</v>
      </c>
      <c r="V17" s="379">
        <f>+HLOOKUP(V4,'נתוני תאגידים'!$1:$530,468,0)</f>
        <v>0.7</v>
      </c>
      <c r="W17" s="379">
        <f>+HLOOKUP(W4,'נתוני תאגידים'!$1:$530,468,0)</f>
        <v>0.7</v>
      </c>
      <c r="X17" s="379">
        <f>+HLOOKUP(X4,'נתוני תאגידים'!$1:$530,468,0)</f>
        <v>0.7</v>
      </c>
      <c r="Y17" s="379">
        <f>+HLOOKUP(Y4,'נתוני תאגידים'!$1:$530,468,0)</f>
        <v>0.7</v>
      </c>
      <c r="Z17" s="379">
        <f>+HLOOKUP(Z4,'נתוני תאגידים'!$1:$530,468,0)</f>
        <v>0.7</v>
      </c>
      <c r="AA17" s="379">
        <f>+HLOOKUP(AA4,'נתוני תאגידים'!$1:$530,468,0)</f>
        <v>0.7</v>
      </c>
      <c r="AB17" s="379">
        <f>+HLOOKUP(AB4,'נתוני תאגידים'!$1:$530,468,0)</f>
        <v>0.7</v>
      </c>
      <c r="AC17" s="379">
        <f>+HLOOKUP(AC4,'נתוני תאגידים'!$1:$530,468,0)</f>
        <v>0.7</v>
      </c>
      <c r="AD17" s="379">
        <f>+HLOOKUP(AD4,'נתוני תאגידים'!$1:$530,468,0)</f>
        <v>0.7</v>
      </c>
      <c r="AE17" s="379">
        <f>+HLOOKUP(AE4,'נתוני תאגידים'!$1:$530,468,0)</f>
        <v>0.7</v>
      </c>
      <c r="AF17" s="379">
        <f>+HLOOKUP(AF4,'נתוני תאגידים'!$1:$530,468,0)</f>
        <v>0.7</v>
      </c>
      <c r="AG17" s="379">
        <f>+HLOOKUP(AG4,'נתוני תאגידים'!$1:$530,468,0)</f>
        <v>0.7</v>
      </c>
      <c r="AH17" s="379">
        <f>+HLOOKUP(AH4,'נתוני תאגידים'!$1:$530,468,0)</f>
        <v>0.7</v>
      </c>
      <c r="AI17" s="379">
        <f>+HLOOKUP(AI4,'נתוני תאגידים'!$1:$530,468,0)</f>
        <v>0.7</v>
      </c>
      <c r="AJ17" s="379">
        <f>+HLOOKUP(AJ4,'נתוני תאגידים'!$1:$530,468,0)</f>
        <v>0.7</v>
      </c>
      <c r="AK17" s="379">
        <f>+HLOOKUP(AK4,'נתוני תאגידים'!$1:$530,468,0)</f>
        <v>0.7</v>
      </c>
      <c r="AL17" s="379">
        <f>+HLOOKUP(AL4,'נתוני תאגידים'!$1:$530,468,0)</f>
        <v>0.7</v>
      </c>
      <c r="AM17" s="379">
        <f>+HLOOKUP(AM4,'נתוני תאגידים'!$1:$530,468,0)</f>
        <v>0.7</v>
      </c>
      <c r="AN17" s="379">
        <f>+HLOOKUP(AN4,'נתוני תאגידים'!$1:$530,468,0)</f>
        <v>0.7</v>
      </c>
      <c r="AO17" s="379">
        <f>+HLOOKUP(AO4,'נתוני תאגידים'!$1:$530,468,0)</f>
        <v>0.7</v>
      </c>
      <c r="AP17" s="379">
        <f>+HLOOKUP(AP4,'נתוני תאגידים'!$1:$530,468,0)</f>
        <v>0.7</v>
      </c>
      <c r="AQ17" s="379">
        <f>+HLOOKUP(AQ4,'נתוני תאגידים'!$1:$530,468,0)</f>
        <v>0.7</v>
      </c>
      <c r="AR17" s="379">
        <f>+HLOOKUP(AR4,'נתוני תאגידים'!$1:$530,468,0)</f>
        <v>0.7</v>
      </c>
      <c r="AS17" s="379">
        <f>+HLOOKUP(AS4,'נתוני תאגידים'!$1:$530,468,0)</f>
        <v>0.7</v>
      </c>
      <c r="AT17" s="379">
        <f>+HLOOKUP(AT4,'נתוני תאגידים'!$1:$530,468,0)</f>
        <v>0.7</v>
      </c>
      <c r="AU17" s="379">
        <f>+HLOOKUP(AU4,'נתוני תאגידים'!$1:$530,468,0)</f>
        <v>0.7</v>
      </c>
      <c r="AV17" s="379">
        <f>+HLOOKUP(AV4,'נתוני תאגידים'!$1:$530,468,0)</f>
        <v>0.7</v>
      </c>
      <c r="AW17" s="379">
        <f>+HLOOKUP(AW4,'נתוני תאגידים'!$1:$530,468,0)</f>
        <v>0.7</v>
      </c>
      <c r="AX17" s="379">
        <f>+HLOOKUP(AX4,'נתוני תאגידים'!$1:$530,468,0)</f>
        <v>0.7</v>
      </c>
      <c r="AY17" s="379">
        <f>+HLOOKUP(AY4,'נתוני תאגידים'!$1:$530,468,0)</f>
        <v>0.7</v>
      </c>
      <c r="AZ17" s="379">
        <f>+HLOOKUP(AZ4,'נתוני תאגידים'!$1:$530,468,0)</f>
        <v>0.7</v>
      </c>
      <c r="BA17" s="379">
        <f>+HLOOKUP(BA4,'נתוני תאגידים'!$1:$530,468,0)</f>
        <v>0.7</v>
      </c>
      <c r="BB17" s="379">
        <f>+HLOOKUP(BB4,'נתוני תאגידים'!$1:$530,468,0)</f>
        <v>0.7</v>
      </c>
      <c r="BC17" s="379">
        <f>+HLOOKUP(BC4,'נתוני תאגידים'!$1:$530,468,0)</f>
        <v>0.7</v>
      </c>
      <c r="BD17" s="379">
        <f>+HLOOKUP(BD4,'נתוני תאגידים'!$1:$530,468,0)</f>
        <v>0.7</v>
      </c>
      <c r="BE17" s="379">
        <f>+HLOOKUP(BE4,'נתוני תאגידים'!$1:$530,468,0)</f>
        <v>0.7</v>
      </c>
      <c r="BF17" s="379">
        <f>+HLOOKUP(BF4,'נתוני תאגידים'!$1:$530,468,0)</f>
        <v>0.7</v>
      </c>
    </row>
    <row r="18" spans="1:58" x14ac:dyDescent="0.2">
      <c r="A18" s="622"/>
      <c r="B18" s="654" t="s">
        <v>953</v>
      </c>
      <c r="C18" s="379">
        <f>+IFERROR(VLOOKUP(C4,'בדיקת החזר צרכנים'!$B$3:$G$16,6,0),1-HLOOKUP(C4,'נתוני תאגידים'!$1:$530,469,0))</f>
        <v>0.7</v>
      </c>
      <c r="D18" s="379">
        <f>+IFERROR(VLOOKUP(D4,'בדיקת החזר צרכנים'!$B$3:$G$16,6,0),1-HLOOKUP(D4,'נתוני תאגידים'!$1:$530,469,0))</f>
        <v>0.6</v>
      </c>
      <c r="E18" s="379">
        <f>+IFERROR(VLOOKUP(E4,'בדיקת החזר צרכנים'!$B$3:$G$16,6,0),1-HLOOKUP(E4,'נתוני תאגידים'!$1:$530,469,0))</f>
        <v>0.6</v>
      </c>
      <c r="F18" s="379">
        <f>+IFERROR(VLOOKUP(F4,'בדיקת החזר צרכנים'!$B$3:$G$16,6,0),1-HLOOKUP(F4,'נתוני תאגידים'!$1:$530,469,0))</f>
        <v>0.71774493376813964</v>
      </c>
      <c r="G18" s="379">
        <f>+IFERROR(VLOOKUP(G4,'בדיקת החזר צרכנים'!$B$3:$G$16,6,0),1-HLOOKUP(G4,'נתוני תאגידים'!$1:$530,469,0))</f>
        <v>0.65</v>
      </c>
      <c r="H18" s="379">
        <f>+IFERROR(VLOOKUP(H4,'בדיקת החזר צרכנים'!$B$3:$G$16,6,0),1-HLOOKUP(H4,'נתוני תאגידים'!$1:$530,469,0))</f>
        <v>0.65371567860597479</v>
      </c>
      <c r="I18" s="379">
        <f>+IFERROR(VLOOKUP(I4,'בדיקת החזר צרכנים'!$B$3:$G$16,6,0),1-HLOOKUP(I4,'נתוני תאגידים'!$1:$530,469,0))</f>
        <v>0.6</v>
      </c>
      <c r="J18" s="379">
        <f>+IFERROR(VLOOKUP(J4,'בדיקת החזר צרכנים'!$B$3:$G$16,6,0),1-HLOOKUP(J4,'נתוני תאגידים'!$1:$530,469,0))</f>
        <v>0.7</v>
      </c>
      <c r="K18" s="379">
        <f>+IFERROR(VLOOKUP(K4,'בדיקת החזר צרכנים'!$B$3:$G$16,6,0),1-HLOOKUP(K4,'נתוני תאגידים'!$1:$530,469,0))</f>
        <v>0.7</v>
      </c>
      <c r="L18" s="379">
        <f>+IFERROR(VLOOKUP(L4,'בדיקת החזר צרכנים'!$B$3:$G$16,6,0),1-HLOOKUP(L4,'נתוני תאגידים'!$1:$530,469,0))</f>
        <v>0.67655638520011818</v>
      </c>
      <c r="M18" s="379">
        <f>+IFERROR(VLOOKUP(M4,'בדיקת החזר צרכנים'!$B$3:$G$16,6,0),1-HLOOKUP(M4,'נתוני תאגידים'!$1:$530,469,0))</f>
        <v>0.75594257396593889</v>
      </c>
      <c r="N18" s="379">
        <f>+IFERROR(VLOOKUP(N4,'בדיקת החזר צרכנים'!$B$3:$G$16,6,0),1-HLOOKUP(N4,'נתוני תאגידים'!$1:$530,469,0))</f>
        <v>0.6</v>
      </c>
      <c r="O18" s="379">
        <f>+IFERROR(VLOOKUP(O4,'בדיקת החזר צרכנים'!$B$3:$G$16,6,0),1-HLOOKUP(O4,'נתוני תאגידים'!$1:$530,469,0))</f>
        <v>0.6</v>
      </c>
      <c r="P18" s="379">
        <f>+IFERROR(VLOOKUP(P4,'בדיקת החזר צרכנים'!$B$3:$G$16,6,0),1-HLOOKUP(P4,'נתוני תאגידים'!$1:$530,469,0))</f>
        <v>0.59058312941030078</v>
      </c>
      <c r="Q18" s="379">
        <f>+IFERROR(VLOOKUP(Q4,'בדיקת החזר צרכנים'!$B$3:$G$16,6,0),1-HLOOKUP(Q4,'נתוני תאגידים'!$1:$530,469,0))</f>
        <v>0.6</v>
      </c>
      <c r="R18" s="379">
        <f>+IFERROR(VLOOKUP(R4,'בדיקת החזר צרכנים'!$B$3:$G$16,6,0),1-HLOOKUP(R4,'נתוני תאגידים'!$1:$530,469,0))</f>
        <v>0.5869215406440258</v>
      </c>
      <c r="S18" s="379">
        <f>+IFERROR(VLOOKUP(S4,'בדיקת החזר צרכנים'!$B$3:$G$16,6,0),1-HLOOKUP(S4,'נתוני תאגידים'!$1:$530,469,0))</f>
        <v>0.74585889570552144</v>
      </c>
      <c r="T18" s="379">
        <f>+IFERROR(VLOOKUP(T4,'בדיקת החזר צרכנים'!$B$3:$G$16,6,0),1-HLOOKUP(T4,'נתוני תאגידים'!$1:$530,469,0))</f>
        <v>0.6739868222961285</v>
      </c>
      <c r="U18" s="379">
        <f>+IFERROR(VLOOKUP(U4,'בדיקת החזר צרכנים'!$B$3:$G$16,6,0),1-HLOOKUP(U4,'נתוני תאגידים'!$1:$530,469,0))</f>
        <v>0.71387467590740061</v>
      </c>
      <c r="V18" s="379">
        <f>+IFERROR(VLOOKUP(V4,'בדיקת החזר צרכנים'!$B$3:$G$16,6,0),1-HLOOKUP(V4,'נתוני תאגידים'!$1:$530,469,0))</f>
        <v>0.6</v>
      </c>
      <c r="W18" s="379">
        <f>+IFERROR(VLOOKUP(W4,'בדיקת החזר צרכנים'!$B$3:$G$16,6,0),1-HLOOKUP(W4,'נתוני תאגידים'!$1:$530,469,0))</f>
        <v>0.6</v>
      </c>
      <c r="X18" s="379">
        <f>+IFERROR(VLOOKUP(X4,'בדיקת החזר צרכנים'!$B$3:$G$16,6,0),1-HLOOKUP(X4,'נתוני תאגידים'!$1:$530,469,0))</f>
        <v>0.80050017910121529</v>
      </c>
      <c r="Y18" s="379">
        <f>+IFERROR(VLOOKUP(Y4,'בדיקת החזר צרכנים'!$B$3:$G$16,6,0),1-HLOOKUP(Y4,'נתוני תאגידים'!$1:$530,469,0))</f>
        <v>0.6</v>
      </c>
      <c r="Z18" s="379">
        <f>+IFERROR(VLOOKUP(Z4,'בדיקת החזר צרכנים'!$B$3:$G$16,6,0),1-HLOOKUP(Z4,'נתוני תאגידים'!$1:$530,469,0))</f>
        <v>0.7</v>
      </c>
      <c r="AA18" s="379">
        <f>+IFERROR(VLOOKUP(AA4,'בדיקת החזר צרכנים'!$B$3:$G$16,6,0),1-HLOOKUP(AA4,'נתוני תאגידים'!$1:$530,469,0))</f>
        <v>0.7</v>
      </c>
      <c r="AB18" s="379">
        <f>+IFERROR(VLOOKUP(AB4,'בדיקת החזר צרכנים'!$B$3:$G$16,6,0),1-HLOOKUP(AB4,'נתוני תאגידים'!$1:$530,469,0))</f>
        <v>0.7</v>
      </c>
      <c r="AC18" s="379">
        <f>+IFERROR(VLOOKUP(AC4,'בדיקת החזר צרכנים'!$B$3:$G$16,6,0),1-HLOOKUP(AC4,'נתוני תאגידים'!$1:$530,469,0))</f>
        <v>0.65</v>
      </c>
      <c r="AD18" s="379">
        <f>+IFERROR(VLOOKUP(AD4,'בדיקת החזר צרכנים'!$B$3:$G$16,6,0),1-HLOOKUP(AD4,'נתוני תאגידים'!$1:$530,469,0))</f>
        <v>0.7</v>
      </c>
      <c r="AE18" s="379">
        <f>+IFERROR(VLOOKUP(AE4,'בדיקת החזר צרכנים'!$B$3:$G$16,6,0),1-HLOOKUP(AE4,'נתוני תאגידים'!$1:$530,469,0))</f>
        <v>0.6</v>
      </c>
      <c r="AF18" s="379">
        <f>+IFERROR(VLOOKUP(AF4,'בדיקת החזר צרכנים'!$B$3:$G$16,6,0),1-HLOOKUP(AF4,'נתוני תאגידים'!$1:$530,469,0))</f>
        <v>0.6</v>
      </c>
      <c r="AG18" s="379">
        <f>+IFERROR(VLOOKUP(AG4,'בדיקת החזר צרכנים'!$B$3:$G$16,6,0),1-HLOOKUP(AG4,'נתוני תאגידים'!$1:$530,469,0))</f>
        <v>0.7</v>
      </c>
      <c r="AH18" s="379">
        <f>+IFERROR(VLOOKUP(AH4,'בדיקת החזר צרכנים'!$B$3:$G$16,6,0),1-HLOOKUP(AH4,'נתוני תאגידים'!$1:$530,469,0))</f>
        <v>0.7</v>
      </c>
      <c r="AI18" s="379">
        <f>+IFERROR(VLOOKUP(AI4,'בדיקת החזר צרכנים'!$B$3:$G$16,6,0),1-HLOOKUP(AI4,'נתוני תאגידים'!$1:$530,469,0))</f>
        <v>0.7</v>
      </c>
      <c r="AJ18" s="379">
        <f>+IFERROR(VLOOKUP(AJ4,'בדיקת החזר צרכנים'!$B$3:$G$16,6,0),1-HLOOKUP(AJ4,'נתוני תאגידים'!$1:$530,469,0))</f>
        <v>0.6</v>
      </c>
      <c r="AK18" s="379">
        <f>+IFERROR(VLOOKUP(AK4,'בדיקת החזר צרכנים'!$B$3:$G$16,6,0),1-HLOOKUP(AK4,'נתוני תאגידים'!$1:$530,469,0))</f>
        <v>0.7</v>
      </c>
      <c r="AL18" s="379">
        <f>+IFERROR(VLOOKUP(AL4,'בדיקת החזר צרכנים'!$B$3:$G$16,6,0),1-HLOOKUP(AL4,'נתוני תאגידים'!$1:$530,469,0))</f>
        <v>0.6</v>
      </c>
      <c r="AM18" s="379">
        <f>+IFERROR(VLOOKUP(AM4,'בדיקת החזר צרכנים'!$B$3:$G$16,6,0),1-HLOOKUP(AM4,'נתוני תאגידים'!$1:$530,469,0))</f>
        <v>0.6</v>
      </c>
      <c r="AN18" s="379">
        <f>+IFERROR(VLOOKUP(AN4,'בדיקת החזר צרכנים'!$B$3:$G$16,6,0),1-HLOOKUP(AN4,'נתוני תאגידים'!$1:$530,469,0))</f>
        <v>0.7</v>
      </c>
      <c r="AO18" s="379">
        <f>+IFERROR(VLOOKUP(AO4,'בדיקת החזר צרכנים'!$B$3:$G$16,6,0),1-HLOOKUP(AO4,'נתוני תאגידים'!$1:$530,469,0))</f>
        <v>0.7</v>
      </c>
      <c r="AP18" s="379">
        <f>+IFERROR(VLOOKUP(AP4,'בדיקת החזר צרכנים'!$B$3:$G$16,6,0),1-HLOOKUP(AP4,'נתוני תאגידים'!$1:$530,469,0))</f>
        <v>0.7</v>
      </c>
      <c r="AQ18" s="379">
        <f>+IFERROR(VLOOKUP(AQ4,'בדיקת החזר צרכנים'!$B$3:$G$16,6,0),1-HLOOKUP(AQ4,'נתוני תאגידים'!$1:$530,469,0))</f>
        <v>0.6</v>
      </c>
      <c r="AR18" s="379">
        <f>+IFERROR(VLOOKUP(AR4,'בדיקת החזר צרכנים'!$B$3:$G$16,6,0),1-HLOOKUP(AR4,'נתוני תאגידים'!$1:$530,469,0))</f>
        <v>0.6</v>
      </c>
      <c r="AS18" s="379">
        <f>+IFERROR(VLOOKUP(AS4,'בדיקת החזר צרכנים'!$B$3:$G$16,6,0),1-HLOOKUP(AS4,'נתוני תאגידים'!$1:$530,469,0))</f>
        <v>0.7</v>
      </c>
      <c r="AT18" s="379">
        <f>+IFERROR(VLOOKUP(AT4,'בדיקת החזר צרכנים'!$B$3:$G$16,6,0),1-HLOOKUP(AT4,'נתוני תאגידים'!$1:$530,469,0))</f>
        <v>0.7</v>
      </c>
      <c r="AU18" s="379">
        <f>+IFERROR(VLOOKUP(AU4,'בדיקת החזר צרכנים'!$B$3:$G$16,6,0),1-HLOOKUP(AU4,'נתוני תאגידים'!$1:$530,469,0))</f>
        <v>0.7</v>
      </c>
      <c r="AV18" s="379">
        <f>+IFERROR(VLOOKUP(AV4,'בדיקת החזר צרכנים'!$B$3:$G$16,6,0),1-HLOOKUP(AV4,'נתוני תאגידים'!$1:$530,469,0))</f>
        <v>0.6</v>
      </c>
      <c r="AW18" s="379">
        <f>+IFERROR(VLOOKUP(AW4,'בדיקת החזר צרכנים'!$B$3:$G$16,6,0),1-HLOOKUP(AW4,'נתוני תאגידים'!$1:$530,469,0))</f>
        <v>0.6</v>
      </c>
      <c r="AX18" s="379">
        <f>+IFERROR(VLOOKUP(AX4,'בדיקת החזר צרכנים'!$B$3:$G$16,6,0),1-HLOOKUP(AX4,'נתוני תאגידים'!$1:$530,469,0))</f>
        <v>0.6</v>
      </c>
      <c r="AY18" s="379">
        <f>+IFERROR(VLOOKUP(AY4,'בדיקת החזר צרכנים'!$B$3:$G$16,6,0),1-HLOOKUP(AY4,'נתוני תאגידים'!$1:$530,469,0))</f>
        <v>0.6</v>
      </c>
      <c r="AZ18" s="379">
        <f>+IFERROR(VLOOKUP(AZ4,'בדיקת החזר צרכנים'!$B$3:$G$16,6,0),1-HLOOKUP(AZ4,'נתוני תאגידים'!$1:$530,469,0))</f>
        <v>0.6</v>
      </c>
      <c r="BA18" s="379">
        <f>+IFERROR(VLOOKUP(BA4,'בדיקת החזר צרכנים'!$B$3:$G$16,6,0),1-HLOOKUP(BA4,'נתוני תאגידים'!$1:$530,469,0))</f>
        <v>0.7</v>
      </c>
      <c r="BB18" s="379">
        <f>+IFERROR(VLOOKUP(BB4,'בדיקת החזר צרכנים'!$B$3:$G$16,6,0),1-HLOOKUP(BB4,'נתוני תאגידים'!$1:$530,469,0))</f>
        <v>0.6</v>
      </c>
      <c r="BC18" s="379">
        <f>+IFERROR(VLOOKUP(BC4,'בדיקת החזר צרכנים'!$B$3:$G$16,6,0),1-HLOOKUP(BC4,'נתוני תאגידים'!$1:$530,469,0))</f>
        <v>0.6</v>
      </c>
      <c r="BD18" s="379">
        <f>+IFERROR(VLOOKUP(BD4,'בדיקת החזר צרכנים'!$B$3:$G$16,6,0),1-HLOOKUP(BD4,'נתוני תאגידים'!$1:$530,469,0))</f>
        <v>0.6</v>
      </c>
      <c r="BE18" s="379">
        <f>+IFERROR(VLOOKUP(BE4,'בדיקת החזר צרכנים'!$B$3:$G$16,6,0),1-HLOOKUP(BE4,'נתוני תאגידים'!$1:$530,469,0))</f>
        <v>0.6</v>
      </c>
      <c r="BF18" s="379">
        <f>+IFERROR(VLOOKUP(BF4,'בדיקת החזר צרכנים'!$B$3:$G$16,6,0),1-HLOOKUP(BF4,'נתוני תאגידים'!$1:$530,469,0))</f>
        <v>0.6</v>
      </c>
    </row>
    <row r="19" spans="1:58" x14ac:dyDescent="0.2">
      <c r="A19" s="622"/>
      <c r="B19" s="654" t="s">
        <v>878</v>
      </c>
      <c r="C19" s="407">
        <f>+'הנחות עבודה'!$D$29</f>
        <v>16.833333333333336</v>
      </c>
      <c r="D19" s="407">
        <f>+'הנחות עבודה'!$D$29</f>
        <v>16.833333333333336</v>
      </c>
      <c r="E19" s="407">
        <f>+'הנחות עבודה'!$D$29</f>
        <v>16.833333333333336</v>
      </c>
      <c r="F19" s="407">
        <f>+'הנחות עבודה'!$D$29</f>
        <v>16.833333333333336</v>
      </c>
      <c r="G19" s="407">
        <f>+'הנחות עבודה'!$D$29</f>
        <v>16.833333333333336</v>
      </c>
      <c r="H19" s="407">
        <f>+'הנחות עבודה'!$D$29</f>
        <v>16.833333333333336</v>
      </c>
      <c r="I19" s="407">
        <f>+'הנחות עבודה'!$D$29</f>
        <v>16.833333333333336</v>
      </c>
      <c r="J19" s="407">
        <f>+'הנחות עבודה'!$D$29</f>
        <v>16.833333333333336</v>
      </c>
      <c r="K19" s="407">
        <f>+'הנחות עבודה'!$D$29</f>
        <v>16.833333333333336</v>
      </c>
      <c r="L19" s="407">
        <f>+'הנחות עבודה'!$D$29</f>
        <v>16.833333333333336</v>
      </c>
      <c r="M19" s="407">
        <f>+'הנחות עבודה'!$D$29</f>
        <v>16.833333333333336</v>
      </c>
      <c r="N19" s="407">
        <f>+'הנחות עבודה'!$D$29</f>
        <v>16.833333333333336</v>
      </c>
      <c r="O19" s="407">
        <f>+'הנחות עבודה'!$D$29</f>
        <v>16.833333333333336</v>
      </c>
      <c r="P19" s="407">
        <f>+'הנחות עבודה'!$D$29</f>
        <v>16.833333333333336</v>
      </c>
      <c r="Q19" s="407">
        <f>+'הנחות עבודה'!$D$29</f>
        <v>16.833333333333336</v>
      </c>
      <c r="R19" s="407">
        <f>+'הנחות עבודה'!$D$29</f>
        <v>16.833333333333336</v>
      </c>
      <c r="S19" s="407">
        <f>+'הנחות עבודה'!$D$29</f>
        <v>16.833333333333336</v>
      </c>
      <c r="T19" s="407">
        <f>+'הנחות עבודה'!$D$29</f>
        <v>16.833333333333336</v>
      </c>
      <c r="U19" s="407">
        <f>+'הנחות עבודה'!$D$29</f>
        <v>16.833333333333336</v>
      </c>
      <c r="V19" s="407">
        <f>+'הנחות עבודה'!$D$29</f>
        <v>16.833333333333336</v>
      </c>
      <c r="W19" s="407">
        <f>+'הנחות עבודה'!$D$29</f>
        <v>16.833333333333336</v>
      </c>
      <c r="X19" s="407">
        <f>+'הנחות עבודה'!$D$29</f>
        <v>16.833333333333336</v>
      </c>
      <c r="Y19" s="407">
        <f>+'הנחות עבודה'!$D$29</f>
        <v>16.833333333333336</v>
      </c>
      <c r="Z19" s="407">
        <f>+'הנחות עבודה'!$D$29</f>
        <v>16.833333333333336</v>
      </c>
      <c r="AA19" s="407">
        <f>+'הנחות עבודה'!$D$29</f>
        <v>16.833333333333336</v>
      </c>
      <c r="AB19" s="407">
        <f>+'הנחות עבודה'!$D$29</f>
        <v>16.833333333333336</v>
      </c>
      <c r="AC19" s="407">
        <f>+'הנחות עבודה'!$D$29</f>
        <v>16.833333333333336</v>
      </c>
      <c r="AD19" s="407">
        <f>+'הנחות עבודה'!$D$29</f>
        <v>16.833333333333336</v>
      </c>
      <c r="AE19" s="407">
        <f>+'הנחות עבודה'!$D$29</f>
        <v>16.833333333333336</v>
      </c>
      <c r="AF19" s="407">
        <f>+'הנחות עבודה'!$D$29</f>
        <v>16.833333333333336</v>
      </c>
      <c r="AG19" s="407">
        <f>+'הנחות עבודה'!$D$29</f>
        <v>16.833333333333336</v>
      </c>
      <c r="AH19" s="407">
        <f>+'הנחות עבודה'!$D$29</f>
        <v>16.833333333333336</v>
      </c>
      <c r="AI19" s="407">
        <f>+'הנחות עבודה'!$D$29</f>
        <v>16.833333333333336</v>
      </c>
      <c r="AJ19" s="407">
        <f>+'הנחות עבודה'!$D$29</f>
        <v>16.833333333333336</v>
      </c>
      <c r="AK19" s="407">
        <f>+'הנחות עבודה'!$D$29</f>
        <v>16.833333333333336</v>
      </c>
      <c r="AL19" s="407">
        <f>+'הנחות עבודה'!$D$29</f>
        <v>16.833333333333336</v>
      </c>
      <c r="AM19" s="407">
        <f>+'הנחות עבודה'!$D$29</f>
        <v>16.833333333333336</v>
      </c>
      <c r="AN19" s="407">
        <f>+'הנחות עבודה'!$D$29</f>
        <v>16.833333333333336</v>
      </c>
      <c r="AO19" s="407">
        <f>+'הנחות עבודה'!$D$29</f>
        <v>16.833333333333336</v>
      </c>
      <c r="AP19" s="407">
        <f>+'הנחות עבודה'!$D$29</f>
        <v>16.833333333333336</v>
      </c>
      <c r="AQ19" s="407">
        <f>+'הנחות עבודה'!$D$29</f>
        <v>16.833333333333336</v>
      </c>
      <c r="AR19" s="407">
        <f>+'הנחות עבודה'!$D$29</f>
        <v>16.833333333333336</v>
      </c>
      <c r="AS19" s="407">
        <f>+'הנחות עבודה'!$D$29</f>
        <v>16.833333333333336</v>
      </c>
      <c r="AT19" s="407">
        <f>+'הנחות עבודה'!$D$29</f>
        <v>16.833333333333336</v>
      </c>
      <c r="AU19" s="407">
        <f>+'הנחות עבודה'!$D$29</f>
        <v>16.833333333333336</v>
      </c>
      <c r="AV19" s="407">
        <f>+'הנחות עבודה'!$D$29</f>
        <v>16.833333333333336</v>
      </c>
      <c r="AW19" s="407">
        <f>+'הנחות עבודה'!$D$29</f>
        <v>16.833333333333336</v>
      </c>
      <c r="AX19" s="407">
        <f>+'הנחות עבודה'!$D$29</f>
        <v>16.833333333333336</v>
      </c>
      <c r="AY19" s="407">
        <f>+'הנחות עבודה'!$D$29</f>
        <v>16.833333333333336</v>
      </c>
      <c r="AZ19" s="407">
        <f>+'הנחות עבודה'!$D$29</f>
        <v>16.833333333333336</v>
      </c>
      <c r="BA19" s="407">
        <f>+'הנחות עבודה'!$D$29</f>
        <v>16.833333333333336</v>
      </c>
      <c r="BB19" s="407">
        <f>+'הנחות עבודה'!$D$29</f>
        <v>16.833333333333336</v>
      </c>
      <c r="BC19" s="407">
        <f>+'הנחות עבודה'!$D$29</f>
        <v>16.833333333333336</v>
      </c>
      <c r="BD19" s="407">
        <f>+'הנחות עבודה'!$D$29</f>
        <v>16.833333333333336</v>
      </c>
      <c r="BE19" s="407">
        <f>+'הנחות עבודה'!$D$29</f>
        <v>16.833333333333336</v>
      </c>
      <c r="BF19" s="407">
        <f>+'הנחות עבודה'!$D$29</f>
        <v>16.833333333333336</v>
      </c>
    </row>
    <row r="20" spans="1:58" ht="12" customHeight="1" x14ac:dyDescent="0.2">
      <c r="A20" s="622"/>
      <c r="B20" s="654" t="s">
        <v>192</v>
      </c>
      <c r="C20" s="381">
        <f>+VLOOKUP(C4,'פחת מים וגביה'!$A:$N,8,0)</f>
        <v>9.6984818710599358E-2</v>
      </c>
      <c r="D20" s="381">
        <f>+VLOOKUP(D4,'פחת מים וגביה'!$A:$N,8,0)</f>
        <v>0.11505582399254707</v>
      </c>
      <c r="E20" s="381">
        <f>+VLOOKUP(E4,'פחת מים וגביה'!$A:$N,8,0)</f>
        <v>0.10746985561863323</v>
      </c>
      <c r="F20" s="381">
        <f>+VLOOKUP(F4,'פחת מים וגביה'!$A:$N,8,0)</f>
        <v>8.145992407881919E-2</v>
      </c>
      <c r="G20" s="381">
        <f>+VLOOKUP(G4,'פחת מים וגביה'!$A:$N,8,0)</f>
        <v>6.9579722471382013E-2</v>
      </c>
      <c r="H20" s="381">
        <f>+VLOOKUP(H4,'פחת מים וגביה'!$A:$N,8,0)</f>
        <v>7.0000000000000007E-2</v>
      </c>
      <c r="I20" s="381">
        <f>+VLOOKUP(I4,'פחת מים וגביה'!$A:$N,8,0)</f>
        <v>0.11707792969470691</v>
      </c>
      <c r="J20" s="381">
        <f>+VLOOKUP(J4,'פחת מים וגביה'!$A:$N,8,0)</f>
        <v>6.3070012364408054E-2</v>
      </c>
      <c r="K20" s="381">
        <f>+VLOOKUP(K4,'פחת מים וגביה'!$A:$N,8,0)</f>
        <v>0.10471153139268657</v>
      </c>
      <c r="L20" s="381">
        <f>+VLOOKUP(L4,'פחת מים וגביה'!$A:$N,8,0)</f>
        <v>7.0000000000000007E-2</v>
      </c>
      <c r="M20" s="381">
        <f>+VLOOKUP(M4,'פחת מים וגביה'!$A:$N,8,0)</f>
        <v>6.2853172569172833E-2</v>
      </c>
      <c r="N20" s="381">
        <f>+VLOOKUP(N4,'פחת מים וגביה'!$A:$N,8,0)</f>
        <v>0.11367952445778497</v>
      </c>
      <c r="O20" s="381">
        <f>+VLOOKUP(O4,'פחת מים וגביה'!$A:$N,8,0)</f>
        <v>6.2929755391038331E-2</v>
      </c>
      <c r="P20" s="381">
        <f>+VLOOKUP(P4,'פחת מים וגביה'!$A:$N,8,0)</f>
        <v>8.4908583618578296E-2</v>
      </c>
      <c r="Q20" s="381">
        <f>+VLOOKUP(Q4,'פחת מים וגביה'!$A:$N,8,0)</f>
        <v>8.0242022197995228E-2</v>
      </c>
      <c r="R20" s="381">
        <f>+VLOOKUP(R4,'פחת מים וגביה'!$A:$N,8,0)</f>
        <v>7.0000000000000007E-2</v>
      </c>
      <c r="S20" s="381">
        <f>+VLOOKUP(S4,'פחת מים וגביה'!$A:$N,8,0)</f>
        <v>7.3569322179882657E-2</v>
      </c>
      <c r="T20" s="381">
        <f>+VLOOKUP(T4,'פחת מים וגביה'!$A:$N,8,0)</f>
        <v>5.9822655824637132E-2</v>
      </c>
      <c r="U20" s="381">
        <f>+VLOOKUP(U4,'פחת מים וגביה'!$A:$N,8,0)</f>
        <v>7.0000000000000007E-2</v>
      </c>
      <c r="V20" s="381">
        <f>+VLOOKUP(V4,'פחת מים וגביה'!$A:$N,8,0)</f>
        <v>0.11261240748545284</v>
      </c>
      <c r="W20" s="381">
        <f>+VLOOKUP(W4,'פחת מים וגביה'!$A:$N,8,0)</f>
        <v>0.11511121271647599</v>
      </c>
      <c r="X20" s="381">
        <f>+VLOOKUP(X4,'פחת מים וגביה'!$A:$N,8,0)</f>
        <v>7.0000000000000007E-2</v>
      </c>
      <c r="Y20" s="381">
        <f>+VLOOKUP(Y4,'פחת מים וגביה'!$A:$N,8,0)</f>
        <v>8.0528526870038877E-2</v>
      </c>
      <c r="Z20" s="381">
        <f>+VLOOKUP(Z4,'פחת מים וגביה'!$A:$N,8,0)</f>
        <v>7.0000000000000007E-2</v>
      </c>
      <c r="AA20" s="381">
        <f>+VLOOKUP(AA4,'פחת מים וגביה'!$A:$N,8,0)</f>
        <v>5.7744239976007125E-2</v>
      </c>
      <c r="AB20" s="381">
        <f>+VLOOKUP(AB4,'פחת מים וגביה'!$A:$N,8,0)</f>
        <v>8.6463524545875803E-2</v>
      </c>
      <c r="AC20" s="381">
        <f>+VLOOKUP(AC4,'פחת מים וגביה'!$A:$N,8,0)</f>
        <v>6.3979770907603192E-2</v>
      </c>
      <c r="AD20" s="381">
        <f>+VLOOKUP(AD4,'פחת מים וגביה'!$A:$N,8,0)</f>
        <v>7.0000000000000007E-2</v>
      </c>
      <c r="AE20" s="381">
        <f>+VLOOKUP(AE4,'פחת מים וגביה'!$A:$N,8,0)</f>
        <v>7.0000000000000007E-2</v>
      </c>
      <c r="AF20" s="381">
        <f>+VLOOKUP(AF4,'פחת מים וגביה'!$A:$N,8,0)</f>
        <v>6.7421333183007193E-2</v>
      </c>
      <c r="AG20" s="381">
        <f>+VLOOKUP(AG4,'פחת מים וגביה'!$A:$N,8,0)</f>
        <v>7.0000000000000007E-2</v>
      </c>
      <c r="AH20" s="381">
        <f>+VLOOKUP(AH4,'פחת מים וגביה'!$A:$N,8,0)</f>
        <v>0.10845768184372293</v>
      </c>
      <c r="AI20" s="381">
        <f>+VLOOKUP(AI4,'פחת מים וגביה'!$A:$N,8,0)</f>
        <v>7.0000000000000007E-2</v>
      </c>
      <c r="AJ20" s="381">
        <f>+VLOOKUP(AJ4,'פחת מים וגביה'!$A:$N,8,0)</f>
        <v>8.2785529792870446E-2</v>
      </c>
      <c r="AK20" s="381">
        <f>+VLOOKUP(AK4,'פחת מים וגביה'!$A:$N,8,0)</f>
        <v>7.0000000000000007E-2</v>
      </c>
      <c r="AL20" s="381">
        <f>+VLOOKUP(AL4,'פחת מים וגביה'!$A:$N,8,0)</f>
        <v>6.8751790455629902E-2</v>
      </c>
      <c r="AM20" s="381">
        <f>+VLOOKUP(AM4,'פחת מים וגביה'!$A:$N,8,0)</f>
        <v>6.7831544911584121E-2</v>
      </c>
      <c r="AN20" s="381">
        <f>+VLOOKUP(AN4,'פחת מים וגביה'!$A:$N,8,0)</f>
        <v>6.2852277096862211E-2</v>
      </c>
      <c r="AO20" s="381">
        <f>+VLOOKUP(AO4,'פחת מים וגביה'!$A:$N,8,0)</f>
        <v>6.17140020772355E-2</v>
      </c>
      <c r="AP20" s="381">
        <f>+VLOOKUP(AP4,'פחת מים וגביה'!$A:$N,8,0)</f>
        <v>5.7233988621610214E-2</v>
      </c>
      <c r="AQ20" s="381">
        <f>+VLOOKUP(AQ4,'פחת מים וגביה'!$A:$N,8,0)</f>
        <v>7.6087737785596535E-2</v>
      </c>
      <c r="AR20" s="381">
        <f>+VLOOKUP(AR4,'פחת מים וגביה'!$A:$N,8,0)</f>
        <v>0.11484068854339283</v>
      </c>
      <c r="AS20" s="381">
        <f>+VLOOKUP(AS4,'פחת מים וגביה'!$A:$N,8,0)</f>
        <v>9.931216305081908E-2</v>
      </c>
      <c r="AT20" s="381">
        <f>+VLOOKUP(AT4,'פחת מים וגביה'!$A:$N,8,0)</f>
        <v>0.10249999999999999</v>
      </c>
      <c r="AU20" s="381">
        <f>+VLOOKUP(AU4,'פחת מים וגביה'!$A:$N,8,0)</f>
        <v>7.0000000000000007E-2</v>
      </c>
      <c r="AV20" s="381">
        <f>+VLOOKUP(AV4,'פחת מים וגביה'!$A:$N,8,0)</f>
        <v>0.11402162406403013</v>
      </c>
      <c r="AW20" s="381">
        <f>+VLOOKUP(AW4,'פחת מים וגביה'!$A:$N,8,0)</f>
        <v>0.11621855862660029</v>
      </c>
      <c r="AX20" s="381">
        <f>+VLOOKUP(AX4,'פחת מים וגביה'!$A:$N,8,0)</f>
        <v>8.0201453463284791E-2</v>
      </c>
      <c r="AY20" s="381">
        <f>+VLOOKUP(AY4,'פחת מים וגביה'!$A:$N,8,0)</f>
        <v>0.10304411288676472</v>
      </c>
      <c r="AZ20" s="381">
        <f>+VLOOKUP(AZ4,'פחת מים וגביה'!$A:$N,8,0)</f>
        <v>7.6464278901882538E-2</v>
      </c>
      <c r="BA20" s="381">
        <f>+VLOOKUP(BA4,'פחת מים וגביה'!$A:$N,8,0)</f>
        <v>0.10546501084537074</v>
      </c>
      <c r="BB20" s="381">
        <f>+VLOOKUP(BB4,'פחת מים וגביה'!$A:$N,8,0)</f>
        <v>9.6693529134474293E-2</v>
      </c>
      <c r="BC20" s="381">
        <f>+VLOOKUP(BC4,'פחת מים וגביה'!$A:$N,8,0)</f>
        <v>0.11855624921270752</v>
      </c>
      <c r="BD20" s="381">
        <f>+VLOOKUP(BD4,'פחת מים וגביה'!$A:$N,8,0)</f>
        <v>7.0000000000000007E-2</v>
      </c>
      <c r="BE20" s="381">
        <f>+VLOOKUP(BE4,'פחת מים וגביה'!$A:$N,8,0)</f>
        <v>7.0000000000000007E-2</v>
      </c>
      <c r="BF20" s="381">
        <f>+VLOOKUP(BF4,'פחת מים וגביה'!$A:$N,8,0)</f>
        <v>0.10403213530142984</v>
      </c>
    </row>
    <row r="21" spans="1:58" x14ac:dyDescent="0.2">
      <c r="A21" s="622"/>
      <c r="B21" s="654" t="s">
        <v>496</v>
      </c>
      <c r="C21" s="381">
        <f>+VLOOKUP(C4,'פחת מים וגביה'!$A:$N,9,0)</f>
        <v>5.1553417542358766E-2</v>
      </c>
      <c r="D21" s="381">
        <f>+VLOOKUP(D4,'פחת מים וגביה'!$A:$N,9,0)</f>
        <v>5.6155231456089812E-2</v>
      </c>
      <c r="E21" s="381">
        <f>+VLOOKUP(E4,'פחת מים וגביה'!$A:$N,9,0)</f>
        <v>5.8284626581569812E-2</v>
      </c>
      <c r="F21" s="381">
        <f>+VLOOKUP(F4,'פחת מים וגביה'!$A:$N,9,0)</f>
        <v>1.4999999999999999E-2</v>
      </c>
      <c r="G21" s="381">
        <f>+VLOOKUP(G4,'פחת מים וגביה'!$A:$N,9,0)</f>
        <v>1.4999999999999999E-2</v>
      </c>
      <c r="H21" s="381">
        <f>+VLOOKUP(H4,'פחת מים וגביה'!$A:$N,9,0)</f>
        <v>1.4999999999999999E-2</v>
      </c>
      <c r="I21" s="381">
        <f>+VLOOKUP(I4,'פחת מים וגביה'!$A:$N,9,0)</f>
        <v>5.8002278537391302E-2</v>
      </c>
      <c r="J21" s="381">
        <f>+VLOOKUP(J4,'פחת מים וגביה'!$A:$N,9,0)</f>
        <v>1.4999999999999999E-2</v>
      </c>
      <c r="K21" s="381">
        <f>+VLOOKUP(K4,'פחת מים וגביה'!$A:$N,9,0)</f>
        <v>5.3510432897036393E-2</v>
      </c>
      <c r="L21" s="381">
        <f>+VLOOKUP(L4,'פחת מים וגביה'!$A:$N,9,0)</f>
        <v>1.4999999999999999E-2</v>
      </c>
      <c r="M21" s="381">
        <f>+VLOOKUP(M4,'פחת מים וגביה'!$A:$N,9,0)</f>
        <v>1.4999999999999999E-2</v>
      </c>
      <c r="N21" s="381">
        <f>+VLOOKUP(N4,'פחת מים וגביה'!$A:$N,9,0)</f>
        <v>5.6505566943475305E-2</v>
      </c>
      <c r="O21" s="381">
        <f>+VLOOKUP(O4,'פחת מים וגביה'!$A:$N,9,0)</f>
        <v>1.4999999999999999E-2</v>
      </c>
      <c r="P21" s="381">
        <f>+VLOOKUP(P4,'פחת מים וגביה'!$A:$N,9,0)</f>
        <v>4.4737265335724384E-2</v>
      </c>
      <c r="Q21" s="381">
        <f>+VLOOKUP(Q4,'פחת מים וגביה'!$A:$N,9,0)</f>
        <v>1.4999999999999999E-2</v>
      </c>
      <c r="R21" s="381">
        <f>+VLOOKUP(R4,'פחת מים וגביה'!$A:$N,9,0)</f>
        <v>1.4999999999999999E-2</v>
      </c>
      <c r="S21" s="381">
        <f>+VLOOKUP(S4,'פחת מים וגביה'!$A:$N,9,0)</f>
        <v>1.4999999999999999E-2</v>
      </c>
      <c r="T21" s="381">
        <f>+VLOOKUP(T4,'פחת מים וגביה'!$A:$N,9,0)</f>
        <v>1.4999999999999999E-2</v>
      </c>
      <c r="U21" s="381">
        <f>+VLOOKUP(U4,'פחת מים וגביה'!$A:$N,9,0)</f>
        <v>1.4999999999999999E-2</v>
      </c>
      <c r="V21" s="381">
        <f>+VLOOKUP(V4,'פחת מים וגביה'!$A:$N,9,0)</f>
        <v>5.392334747346135E-2</v>
      </c>
      <c r="W21" s="381">
        <f>+VLOOKUP(W4,'פחת מים וגביה'!$A:$N,9,0)</f>
        <v>6.1597636069536964E-2</v>
      </c>
      <c r="X21" s="381">
        <f>+VLOOKUP(X4,'פחת מים וגביה'!$A:$N,9,0)</f>
        <v>1.4999999999999999E-2</v>
      </c>
      <c r="Y21" s="381">
        <f>+VLOOKUP(Y4,'פחת מים וגביה'!$A:$N,9,0)</f>
        <v>1.4999999999999999E-2</v>
      </c>
      <c r="Z21" s="381">
        <f>+VLOOKUP(Z4,'פחת מים וגביה'!$A:$N,9,0)</f>
        <v>1.4999999999999999E-2</v>
      </c>
      <c r="AA21" s="381">
        <f>+VLOOKUP(AA4,'פחת מים וגביה'!$A:$N,9,0)</f>
        <v>1.4999999999999999E-2</v>
      </c>
      <c r="AB21" s="381">
        <f>+VLOOKUP(AB4,'פחת מים וגביה'!$A:$N,9,0)</f>
        <v>3.3265326588450196E-2</v>
      </c>
      <c r="AC21" s="381">
        <f>+VLOOKUP(AC4,'פחת מים וגביה'!$A:$N,9,0)</f>
        <v>1.4999999999999999E-2</v>
      </c>
      <c r="AD21" s="381">
        <f>+VLOOKUP(AD4,'פחת מים וגביה'!$A:$N,9,0)</f>
        <v>1.4999999999999999E-2</v>
      </c>
      <c r="AE21" s="381">
        <f>+VLOOKUP(AE4,'פחת מים וגביה'!$A:$N,9,0)</f>
        <v>1.4999999999999999E-2</v>
      </c>
      <c r="AF21" s="381">
        <f>+VLOOKUP(AF4,'פחת מים וגביה'!$A:$N,9,0)</f>
        <v>1.4999999999999999E-2</v>
      </c>
      <c r="AG21" s="381">
        <f>+VLOOKUP(AG4,'פחת מים וגביה'!$A:$N,9,0)</f>
        <v>1.4999999999999999E-2</v>
      </c>
      <c r="AH21" s="381">
        <f>+VLOOKUP(AH4,'פחת מים וגביה'!$A:$N,9,0)</f>
        <v>5.766656977082564E-2</v>
      </c>
      <c r="AI21" s="381">
        <f>+VLOOKUP(AI4,'פחת מים וגביה'!$A:$N,9,0)</f>
        <v>1.4999999999999999E-2</v>
      </c>
      <c r="AJ21" s="381">
        <f>+VLOOKUP(AJ4,'פחת מים וגביה'!$A:$N,9,0)</f>
        <v>1.4999999999999999E-2</v>
      </c>
      <c r="AK21" s="381">
        <f>+VLOOKUP(AK4,'פחת מים וגביה'!$A:$N,9,0)</f>
        <v>1.4999999999999999E-2</v>
      </c>
      <c r="AL21" s="381">
        <f>+VLOOKUP(AL4,'פחת מים וגביה'!$A:$N,9,0)</f>
        <v>1.4999999999999999E-2</v>
      </c>
      <c r="AM21" s="381">
        <f>+VLOOKUP(AM4,'פחת מים וגביה'!$A:$N,9,0)</f>
        <v>1.4999999999999999E-2</v>
      </c>
      <c r="AN21" s="381">
        <f>+VLOOKUP(AN4,'פחת מים וגביה'!$A:$N,9,0)</f>
        <v>1.4999999999999999E-2</v>
      </c>
      <c r="AO21" s="381">
        <f>+VLOOKUP(AO4,'פחת מים וגביה'!$A:$N,9,0)</f>
        <v>1.4999999999999999E-2</v>
      </c>
      <c r="AP21" s="381">
        <f>+VLOOKUP(AP4,'פחת מים וגביה'!$A:$N,9,0)</f>
        <v>1.4999999999999999E-2</v>
      </c>
      <c r="AQ21" s="381">
        <f>+VLOOKUP(AQ4,'פחת מים וגביה'!$A:$N,9,0)</f>
        <v>1.9375758693280475E-2</v>
      </c>
      <c r="AR21" s="381">
        <f>+VLOOKUP(AR4,'פחת מים וגביה'!$A:$N,9,0)</f>
        <v>5.5958720807304053E-2</v>
      </c>
      <c r="AS21" s="381">
        <f>+VLOOKUP(AS4,'פחת מים וגביה'!$A:$N,9,0)</f>
        <v>4.752014656067266E-2</v>
      </c>
      <c r="AT21" s="381">
        <f>+VLOOKUP(AT4,'פחת מים וגביה'!$A:$N,9,0)</f>
        <v>0.04</v>
      </c>
      <c r="AU21" s="381">
        <f>+VLOOKUP(AU4,'פחת מים וגביה'!$A:$N,9,0)</f>
        <v>1.4999999999999999E-2</v>
      </c>
      <c r="AV21" s="381">
        <f>+VLOOKUP(AV4,'פחת מים וגביה'!$A:$N,9,0)</f>
        <v>5.5210564736932116E-2</v>
      </c>
      <c r="AW21" s="381">
        <f>+VLOOKUP(AW4,'פחת מים וגביה'!$A:$N,9,0)</f>
        <v>5.7217305317937013E-2</v>
      </c>
      <c r="AX21" s="381">
        <f>+VLOOKUP(AX4,'פחת מים וגביה'!$A:$N,9,0)</f>
        <v>1.4999999999999999E-2</v>
      </c>
      <c r="AY21" s="381">
        <f>+VLOOKUP(AY4,'פחת מים וגביה'!$A:$N,9,0)</f>
        <v>4.5183403467239154E-2</v>
      </c>
      <c r="AZ21" s="381">
        <f>+VLOOKUP(AZ4,'פחת מים וגביה'!$A:$N,9,0)</f>
        <v>1.8232139450941265E-2</v>
      </c>
      <c r="BA21" s="381">
        <f>+VLOOKUP(BA4,'פחת מים וגביה'!$A:$N,9,0)</f>
        <v>5.4346374693254665E-2</v>
      </c>
      <c r="BB21" s="381">
        <f>+VLOOKUP(BB4,'פחת מים וגביה'!$A:$N,9,0)</f>
        <v>5.3263834840235794E-2</v>
      </c>
      <c r="BC21" s="381">
        <f>+VLOOKUP(BC4,'פחת מים וגביה'!$A:$N,9,0)</f>
        <v>5.9352616330335332E-2</v>
      </c>
      <c r="BD21" s="381">
        <f>+VLOOKUP(BD4,'פחת מים וגביה'!$A:$N,9,0)</f>
        <v>1.4999999999999999E-2</v>
      </c>
      <c r="BE21" s="381">
        <f>+VLOOKUP(BE4,'פחת מים וגביה'!$A:$N,9,0)</f>
        <v>1.4999999999999999E-2</v>
      </c>
      <c r="BF21" s="381">
        <f>+VLOOKUP(BF4,'פחת מים וגביה'!$A:$N,9,0)</f>
        <v>0.05</v>
      </c>
    </row>
    <row r="22" spans="1:58" x14ac:dyDescent="0.2">
      <c r="A22" s="622"/>
      <c r="B22" s="654" t="s">
        <v>843</v>
      </c>
      <c r="C22" s="376">
        <f>+'הנחות עבודה'!$D$22</f>
        <v>35</v>
      </c>
      <c r="D22" s="376">
        <f>+'הנחות עבודה'!$D$22</f>
        <v>35</v>
      </c>
      <c r="E22" s="376">
        <f>+'הנחות עבודה'!$D$22</f>
        <v>35</v>
      </c>
      <c r="F22" s="376">
        <f>+'הנחות עבודה'!$D$22</f>
        <v>35</v>
      </c>
      <c r="G22" s="376">
        <f>+'הנחות עבודה'!$D$22</f>
        <v>35</v>
      </c>
      <c r="H22" s="376">
        <f>+'הנחות עבודה'!$D$22</f>
        <v>35</v>
      </c>
      <c r="I22" s="376">
        <f>+'הנחות עבודה'!$D$22</f>
        <v>35</v>
      </c>
      <c r="J22" s="376">
        <f>+'הנחות עבודה'!$D$22</f>
        <v>35</v>
      </c>
      <c r="K22" s="376">
        <f>+'הנחות עבודה'!$D$22</f>
        <v>35</v>
      </c>
      <c r="L22" s="376">
        <f>+'הנחות עבודה'!$D$22</f>
        <v>35</v>
      </c>
      <c r="M22" s="376">
        <f>+'הנחות עבודה'!$D$22</f>
        <v>35</v>
      </c>
      <c r="N22" s="376">
        <f>+'הנחות עבודה'!$D$22</f>
        <v>35</v>
      </c>
      <c r="O22" s="376">
        <f>+'הנחות עבודה'!$D$22</f>
        <v>35</v>
      </c>
      <c r="P22" s="376">
        <f>+'הנחות עבודה'!$D$22</f>
        <v>35</v>
      </c>
      <c r="Q22" s="376">
        <f>+'הנחות עבודה'!$D$22</f>
        <v>35</v>
      </c>
      <c r="R22" s="376">
        <f>+'הנחות עבודה'!$D$22</f>
        <v>35</v>
      </c>
      <c r="S22" s="376">
        <f>+'הנחות עבודה'!$D$22</f>
        <v>35</v>
      </c>
      <c r="T22" s="376">
        <f>+'הנחות עבודה'!$D$22</f>
        <v>35</v>
      </c>
      <c r="U22" s="376">
        <f>+'הנחות עבודה'!$D$22</f>
        <v>35</v>
      </c>
      <c r="V22" s="376">
        <f>+'הנחות עבודה'!$D$22</f>
        <v>35</v>
      </c>
      <c r="W22" s="376">
        <f>+'הנחות עבודה'!$D$22</f>
        <v>35</v>
      </c>
      <c r="X22" s="376">
        <f>+'הנחות עבודה'!$D$22</f>
        <v>35</v>
      </c>
      <c r="Y22" s="376">
        <f>+'הנחות עבודה'!$D$22</f>
        <v>35</v>
      </c>
      <c r="Z22" s="376">
        <f>+'הנחות עבודה'!$D$22</f>
        <v>35</v>
      </c>
      <c r="AA22" s="376">
        <f>+'הנחות עבודה'!$D$22</f>
        <v>35</v>
      </c>
      <c r="AB22" s="376">
        <f>+'הנחות עבודה'!$D$22</f>
        <v>35</v>
      </c>
      <c r="AC22" s="376">
        <f>+'הנחות עבודה'!$D$22</f>
        <v>35</v>
      </c>
      <c r="AD22" s="376">
        <f>+'הנחות עבודה'!$D$22</f>
        <v>35</v>
      </c>
      <c r="AE22" s="376">
        <f>+'הנחות עבודה'!$D$22</f>
        <v>35</v>
      </c>
      <c r="AF22" s="376">
        <f>+'הנחות עבודה'!$D$22</f>
        <v>35</v>
      </c>
      <c r="AG22" s="376">
        <f>+'הנחות עבודה'!$D$22</f>
        <v>35</v>
      </c>
      <c r="AH22" s="376">
        <f>+'הנחות עבודה'!$D$22</f>
        <v>35</v>
      </c>
      <c r="AI22" s="376">
        <f>+'הנחות עבודה'!$D$22</f>
        <v>35</v>
      </c>
      <c r="AJ22" s="376">
        <f>+'הנחות עבודה'!$D$22</f>
        <v>35</v>
      </c>
      <c r="AK22" s="376">
        <f>+'הנחות עבודה'!$D$22</f>
        <v>35</v>
      </c>
      <c r="AL22" s="376">
        <f>+'הנחות עבודה'!$D$22</f>
        <v>35</v>
      </c>
      <c r="AM22" s="376">
        <f>+'הנחות עבודה'!$D$22</f>
        <v>35</v>
      </c>
      <c r="AN22" s="376">
        <f>+'הנחות עבודה'!$D$22</f>
        <v>35</v>
      </c>
      <c r="AO22" s="376">
        <f>+'הנחות עבודה'!$D$22</f>
        <v>35</v>
      </c>
      <c r="AP22" s="376">
        <f>+'הנחות עבודה'!$D$22</f>
        <v>35</v>
      </c>
      <c r="AQ22" s="376">
        <f>+'הנחות עבודה'!$D$22</f>
        <v>35</v>
      </c>
      <c r="AR22" s="376">
        <f>+'הנחות עבודה'!$D$22</f>
        <v>35</v>
      </c>
      <c r="AS22" s="376">
        <f>+'הנחות עבודה'!$D$22</f>
        <v>35</v>
      </c>
      <c r="AT22" s="376">
        <f>+'הנחות עבודה'!$D$22</f>
        <v>35</v>
      </c>
      <c r="AU22" s="376">
        <f>+'הנחות עבודה'!$D$22</f>
        <v>35</v>
      </c>
      <c r="AV22" s="376">
        <f>+'הנחות עבודה'!$D$22</f>
        <v>35</v>
      </c>
      <c r="AW22" s="376">
        <f>+'הנחות עבודה'!$D$22</f>
        <v>35</v>
      </c>
      <c r="AX22" s="376">
        <f>+'הנחות עבודה'!$D$22</f>
        <v>35</v>
      </c>
      <c r="AY22" s="376">
        <f>+'הנחות עבודה'!$D$22</f>
        <v>35</v>
      </c>
      <c r="AZ22" s="376">
        <f>+'הנחות עבודה'!$D$22</f>
        <v>35</v>
      </c>
      <c r="BA22" s="376">
        <f>+'הנחות עבודה'!$D$22</f>
        <v>35</v>
      </c>
      <c r="BB22" s="376">
        <f>+'הנחות עבודה'!$D$22</f>
        <v>35</v>
      </c>
      <c r="BC22" s="376">
        <f>+'הנחות עבודה'!$D$22</f>
        <v>35</v>
      </c>
      <c r="BD22" s="376">
        <f>+'הנחות עבודה'!$D$22</f>
        <v>35</v>
      </c>
      <c r="BE22" s="376">
        <f>+'הנחות עבודה'!$D$22</f>
        <v>35</v>
      </c>
      <c r="BF22" s="376">
        <f>+'הנחות עבודה'!$D$22</f>
        <v>35</v>
      </c>
    </row>
    <row r="23" spans="1:58" x14ac:dyDescent="0.2">
      <c r="A23" s="622"/>
      <c r="B23" s="654" t="s">
        <v>844</v>
      </c>
      <c r="C23" s="509">
        <f>+HLOOKUP(C4,'נתוני תאגידים'!$1:$530,512,0)</f>
        <v>2.9172521528580027E-2</v>
      </c>
      <c r="D23" s="509">
        <f>+HLOOKUP(D4,'נתוני תאגידים'!$1:$530,512,0)</f>
        <v>2.9172521528580027E-2</v>
      </c>
      <c r="E23" s="509">
        <f>+HLOOKUP(E4,'נתוני תאגידים'!$1:$530,512,0)</f>
        <v>7.8148625434053154E-2</v>
      </c>
      <c r="F23" s="509">
        <f>+HLOOKUP(F4,'נתוני תאגידים'!$1:$530,512,0)</f>
        <v>7.0560351519886988E-2</v>
      </c>
      <c r="G23" s="509">
        <f>+HLOOKUP(G4,'נתוני תאגידים'!$1:$530,512,0)</f>
        <v>2.9172521528580027E-2</v>
      </c>
      <c r="H23" s="509">
        <f>+HLOOKUP(H4,'נתוני תאגידים'!$1:$530,512,0)</f>
        <v>2.9172521528580027E-2</v>
      </c>
      <c r="I23" s="509">
        <f>+HLOOKUP(I4,'נתוני תאגידים'!$1:$530,512,0)</f>
        <v>2.9172521528580027E-2</v>
      </c>
      <c r="J23" s="509">
        <f>+HLOOKUP(J4,'נתוני תאגידים'!$1:$530,512,0)</f>
        <v>2.9172521528580027E-2</v>
      </c>
      <c r="K23" s="509">
        <f>+HLOOKUP(K4,'נתוני תאגידים'!$1:$530,512,0)</f>
        <v>2.9172521528580027E-2</v>
      </c>
      <c r="L23" s="509">
        <f>+HLOOKUP(L4,'נתוני תאגידים'!$1:$530,512,0)</f>
        <v>0.11591525663680319</v>
      </c>
      <c r="M23" s="509">
        <f>+HLOOKUP(M4,'נתוני תאגידים'!$1:$530,512,0)</f>
        <v>1.8638754540273812E-2</v>
      </c>
      <c r="N23" s="509">
        <f>+HLOOKUP(N4,'נתוני תאגידים'!$1:$530,512,0)</f>
        <v>2.9172521528580027E-2</v>
      </c>
      <c r="O23" s="509">
        <f>+HLOOKUP(O4,'נתוני תאגידים'!$1:$530,512,0)</f>
        <v>2.9172521528580027E-2</v>
      </c>
      <c r="P23" s="509">
        <f>+HLOOKUP(P4,'נתוני תאגידים'!$1:$530,512,0)</f>
        <v>2.9172521528580027E-2</v>
      </c>
      <c r="Q23" s="509">
        <f>+HLOOKUP(Q4,'נתוני תאגידים'!$1:$530,512,0)</f>
        <v>2.9172521528580027E-2</v>
      </c>
      <c r="R23" s="509">
        <f>+HLOOKUP(R4,'נתוני תאגידים'!$1:$530,512,0)</f>
        <v>2.9172521528580027E-2</v>
      </c>
      <c r="S23" s="509">
        <f>+HLOOKUP(S4,'נתוני תאגידים'!$1:$530,512,0)</f>
        <v>1.8638754540273812E-2</v>
      </c>
      <c r="T23" s="509">
        <f>+HLOOKUP(T4,'נתוני תאגידים'!$1:$530,512,0)</f>
        <v>0.11591525663680319</v>
      </c>
      <c r="U23" s="509">
        <f>+HLOOKUP(U4,'נתוני תאגידים'!$1:$530,512,0)</f>
        <v>9.9505769124979493E-2</v>
      </c>
      <c r="V23" s="509">
        <f>+HLOOKUP(V4,'נתוני תאגידים'!$1:$530,512,0)</f>
        <v>2.9172521528580027E-2</v>
      </c>
      <c r="W23" s="509">
        <f>+HLOOKUP(W4,'נתוני תאגידים'!$1:$530,512,0)</f>
        <v>2.9172521528580027E-2</v>
      </c>
      <c r="X23" s="509">
        <f>+HLOOKUP(X4,'נתוני תאגידים'!$1:$530,512,0)</f>
        <v>9.9505769124979493E-2</v>
      </c>
      <c r="Y23" s="509">
        <f>+HLOOKUP(Y4,'נתוני תאגידים'!$1:$530,512,0)</f>
        <v>2.9172521528580027E-2</v>
      </c>
      <c r="Z23" s="509">
        <f>+HLOOKUP(Z4,'נתוני תאגידים'!$1:$530,512,0)</f>
        <v>2.9172521528580027E-2</v>
      </c>
      <c r="AA23" s="509">
        <f>+HLOOKUP(AA4,'נתוני תאגידים'!$1:$530,512,0)</f>
        <v>2.9172521528580027E-2</v>
      </c>
      <c r="AB23" s="509">
        <f>+HLOOKUP(AB4,'נתוני תאגידים'!$1:$530,512,0)</f>
        <v>2.9172521528580027E-2</v>
      </c>
      <c r="AC23" s="509">
        <f>+HLOOKUP(AC4,'נתוני תאגידים'!$1:$530,512,0)</f>
        <v>2.9172521528580027E-2</v>
      </c>
      <c r="AD23" s="509">
        <f>+HLOOKUP(AD4,'נתוני תאגידים'!$1:$530,512,0)</f>
        <v>2.9172521528580027E-2</v>
      </c>
      <c r="AE23" s="509">
        <f>+HLOOKUP(AE4,'נתוני תאגידים'!$1:$530,512,0)</f>
        <v>2.9172521528580027E-2</v>
      </c>
      <c r="AF23" s="509">
        <f>+HLOOKUP(AF4,'נתוני תאגידים'!$1:$530,512,0)</f>
        <v>2.9172521528580027E-2</v>
      </c>
      <c r="AG23" s="509">
        <f>+HLOOKUP(AG4,'נתוני תאגידים'!$1:$530,512,0)</f>
        <v>2.9172521528580027E-2</v>
      </c>
      <c r="AH23" s="509">
        <f>+HLOOKUP(AH4,'נתוני תאגידים'!$1:$530,512,0)</f>
        <v>2.9172521528580027E-2</v>
      </c>
      <c r="AI23" s="509">
        <f>+HLOOKUP(AI4,'נתוני תאגידים'!$1:$530,512,0)</f>
        <v>2.9172521528580027E-2</v>
      </c>
      <c r="AJ23" s="509">
        <f>+HLOOKUP(AJ4,'נתוני תאגידים'!$1:$530,512,0)</f>
        <v>2.9172521528580027E-2</v>
      </c>
      <c r="AK23" s="509">
        <f>+HLOOKUP(AK4,'נתוני תאגידים'!$1:$530,512,0)</f>
        <v>2.9172521528580027E-2</v>
      </c>
      <c r="AL23" s="509">
        <f>+HLOOKUP(AL4,'נתוני תאגידים'!$1:$530,512,0)</f>
        <v>2.9172521528580027E-2</v>
      </c>
      <c r="AM23" s="509">
        <f>+HLOOKUP(AM4,'נתוני תאגידים'!$1:$530,512,0)</f>
        <v>2.9172521528580027E-2</v>
      </c>
      <c r="AN23" s="509">
        <f>+HLOOKUP(AN4,'נתוני תאגידים'!$1:$530,512,0)</f>
        <v>2.9172521528580027E-2</v>
      </c>
      <c r="AO23" s="509">
        <f>+HLOOKUP(AO4,'נתוני תאגידים'!$1:$530,512,0)</f>
        <v>2.9172521528580027E-2</v>
      </c>
      <c r="AP23" s="509">
        <f>+HLOOKUP(AP4,'נתוני תאגידים'!$1:$530,512,0)</f>
        <v>2.9172521528580027E-2</v>
      </c>
      <c r="AQ23" s="509">
        <f>+HLOOKUP(AQ4,'נתוני תאגידים'!$1:$530,512,0)</f>
        <v>2.9172521528580027E-2</v>
      </c>
      <c r="AR23" s="509">
        <f>+HLOOKUP(AR4,'נתוני תאגידים'!$1:$530,512,0)</f>
        <v>2.9172521528580027E-2</v>
      </c>
      <c r="AS23" s="509">
        <f>+HLOOKUP(AS4,'נתוני תאגידים'!$1:$530,512,0)</f>
        <v>2.9172521528580027E-2</v>
      </c>
      <c r="AT23" s="509">
        <f>+HLOOKUP(AT4,'נתוני תאגידים'!$1:$530,512,0)</f>
        <v>2.9172521528580027E-2</v>
      </c>
      <c r="AU23" s="509">
        <f>+HLOOKUP(AU4,'נתוני תאגידים'!$1:$530,512,0)</f>
        <v>1.8638754540273812E-2</v>
      </c>
      <c r="AV23" s="509">
        <f>+HLOOKUP(AV4,'נתוני תאגידים'!$1:$530,512,0)</f>
        <v>2.9172521528580027E-2</v>
      </c>
      <c r="AW23" s="509">
        <f>+HLOOKUP(AW4,'נתוני תאגידים'!$1:$530,512,0)</f>
        <v>2.9172521528580027E-2</v>
      </c>
      <c r="AX23" s="509">
        <f>+HLOOKUP(AX4,'נתוני תאגידים'!$1:$530,512,0)</f>
        <v>2.9172521528580027E-2</v>
      </c>
      <c r="AY23" s="509">
        <f>+HLOOKUP(AY4,'נתוני תאגידים'!$1:$530,512,0)</f>
        <v>2.9172521528580027E-2</v>
      </c>
      <c r="AZ23" s="509">
        <f>+HLOOKUP(AZ4,'נתוני תאגידים'!$1:$530,512,0)</f>
        <v>1.8638754540273812E-2</v>
      </c>
      <c r="BA23" s="509">
        <f>+HLOOKUP(BA4,'נתוני תאגידים'!$1:$530,512,0)</f>
        <v>1.8638754540273812E-2</v>
      </c>
      <c r="BB23" s="509">
        <f>+HLOOKUP(BB4,'נתוני תאגידים'!$1:$530,512,0)</f>
        <v>2.9172521528580027E-2</v>
      </c>
      <c r="BC23" s="509">
        <f>+HLOOKUP(BC4,'נתוני תאגידים'!$1:$530,512,0)</f>
        <v>2.9172521528580027E-2</v>
      </c>
      <c r="BD23" s="509">
        <f>+HLOOKUP(BD4,'נתוני תאגידים'!$1:$530,512,0)</f>
        <v>9.3917791915317184E-2</v>
      </c>
      <c r="BE23" s="509">
        <f>+HLOOKUP(BE4,'נתוני תאגידים'!$1:$530,512,0)</f>
        <v>1.8638754540273812E-2</v>
      </c>
      <c r="BF23" s="509">
        <f>+HLOOKUP(BF4,'נתוני תאגידים'!$1:$530,512,0)</f>
        <v>1.8638754540273812E-2</v>
      </c>
    </row>
    <row r="24" spans="1:58" x14ac:dyDescent="0.2">
      <c r="A24" s="622"/>
      <c r="B24" s="654" t="s">
        <v>872</v>
      </c>
      <c r="C24" s="405">
        <f>+IF(C6&gt;'הנחות עבודה'!$E$18,'הנחות עבודה'!$F$19,'הנחות עבודה'!$F$18)</f>
        <v>0.05</v>
      </c>
      <c r="D24" s="405">
        <f>+IF(D6&gt;'הנחות עבודה'!$E$18,'הנחות עבודה'!$F$19,'הנחות עבודה'!$F$18)</f>
        <v>0.05</v>
      </c>
      <c r="E24" s="405">
        <f>+IF(E6&gt;'הנחות עבודה'!$E$18,'הנחות עבודה'!$F$19,'הנחות עבודה'!$F$18)</f>
        <v>0.04</v>
      </c>
      <c r="F24" s="405">
        <f>+IF(F6&gt;'הנחות עבודה'!$E$18,'הנחות עבודה'!$F$19,'הנחות עבודה'!$F$18)</f>
        <v>0.04</v>
      </c>
      <c r="G24" s="405">
        <f>+IF(G6&gt;'הנחות עבודה'!$E$18,'הנחות עבודה'!$F$19,'הנחות עבודה'!$F$18)</f>
        <v>0.04</v>
      </c>
      <c r="H24" s="405">
        <f>+IF(H6&gt;'הנחות עבודה'!$E$18,'הנחות עבודה'!$F$19,'הנחות עבודה'!$F$18)</f>
        <v>0.04</v>
      </c>
      <c r="I24" s="405">
        <f>+IF(I6&gt;'הנחות עבודה'!$E$18,'הנחות עבודה'!$F$19,'הנחות עבודה'!$F$18)</f>
        <v>0.05</v>
      </c>
      <c r="J24" s="405">
        <f>+IF(J6&gt;'הנחות עבודה'!$E$18,'הנחות עבודה'!$F$19,'הנחות עבודה'!$F$18)</f>
        <v>0.04</v>
      </c>
      <c r="K24" s="405">
        <f>+IF(K6&gt;'הנחות עבודה'!$E$18,'הנחות עבודה'!$F$19,'הנחות עבודה'!$F$18)</f>
        <v>0.04</v>
      </c>
      <c r="L24" s="405">
        <f>+IF(L6&gt;'הנחות עבודה'!$E$18,'הנחות עבודה'!$F$19,'הנחות עבודה'!$F$18)</f>
        <v>0.04</v>
      </c>
      <c r="M24" s="405">
        <f>+IF(M6&gt;'הנחות עבודה'!$E$18,'הנחות עבודה'!$F$19,'הנחות עבודה'!$F$18)</f>
        <v>0.04</v>
      </c>
      <c r="N24" s="405">
        <f>+IF(N6&gt;'הנחות עבודה'!$E$18,'הנחות עבודה'!$F$19,'הנחות עבודה'!$F$18)</f>
        <v>0.05</v>
      </c>
      <c r="O24" s="405">
        <f>+IF(O6&gt;'הנחות עבודה'!$E$18,'הנחות עבודה'!$F$19,'הנחות עבודה'!$F$18)</f>
        <v>0.04</v>
      </c>
      <c r="P24" s="405">
        <f>+IF(P6&gt;'הנחות עבודה'!$E$18,'הנחות עבודה'!$F$19,'הנחות עבודה'!$F$18)</f>
        <v>0.04</v>
      </c>
      <c r="Q24" s="405">
        <f>+IF(Q6&gt;'הנחות עבודה'!$E$18,'הנחות עבודה'!$F$19,'הנחות עבודה'!$F$18)</f>
        <v>0.04</v>
      </c>
      <c r="R24" s="405">
        <f>+IF(R6&gt;'הנחות עבודה'!$E$18,'הנחות עבודה'!$F$19,'הנחות עבודה'!$F$18)</f>
        <v>0.04</v>
      </c>
      <c r="S24" s="405">
        <f>+IF(S6&gt;'הנחות עבודה'!$E$18,'הנחות עבודה'!$F$19,'הנחות עבודה'!$F$18)</f>
        <v>0.04</v>
      </c>
      <c r="T24" s="405">
        <f>+IF(T6&gt;'הנחות עבודה'!$E$18,'הנחות עבודה'!$F$19,'הנחות עבודה'!$F$18)</f>
        <v>0.04</v>
      </c>
      <c r="U24" s="405">
        <f>+IF(U6&gt;'הנחות עבודה'!$E$18,'הנחות עבודה'!$F$19,'הנחות עבודה'!$F$18)</f>
        <v>0.04</v>
      </c>
      <c r="V24" s="405">
        <f>+IF(V6&gt;'הנחות עבודה'!$E$18,'הנחות עבודה'!$F$19,'הנחות עבודה'!$F$18)</f>
        <v>0.05</v>
      </c>
      <c r="W24" s="405">
        <f>+IF(W6&gt;'הנחות עבודה'!$E$18,'הנחות עבודה'!$F$19,'הנחות עבודה'!$F$18)</f>
        <v>0.04</v>
      </c>
      <c r="X24" s="405">
        <f>+IF(X6&gt;'הנחות עבודה'!$E$18,'הנחות עבודה'!$F$19,'הנחות עבודה'!$F$18)</f>
        <v>0.04</v>
      </c>
      <c r="Y24" s="405">
        <f>+IF(Y6&gt;'הנחות עבודה'!$E$18,'הנחות עבודה'!$F$19,'הנחות עבודה'!$F$18)</f>
        <v>0.04</v>
      </c>
      <c r="Z24" s="405">
        <f>+IF(Z6&gt;'הנחות עבודה'!$E$18,'הנחות עבודה'!$F$19,'הנחות עבודה'!$F$18)</f>
        <v>0.04</v>
      </c>
      <c r="AA24" s="405">
        <f>+IF(AA6&gt;'הנחות עבודה'!$E$18,'הנחות עבודה'!$F$19,'הנחות עבודה'!$F$18)</f>
        <v>0.04</v>
      </c>
      <c r="AB24" s="405">
        <f>+IF(AB6&gt;'הנחות עבודה'!$E$18,'הנחות עבודה'!$F$19,'הנחות עבודה'!$F$18)</f>
        <v>0.04</v>
      </c>
      <c r="AC24" s="405">
        <f>+IF(AC6&gt;'הנחות עבודה'!$E$18,'הנחות עבודה'!$F$19,'הנחות עבודה'!$F$18)</f>
        <v>0.04</v>
      </c>
      <c r="AD24" s="405">
        <f>+IF(AD6&gt;'הנחות עבודה'!$E$18,'הנחות עבודה'!$F$19,'הנחות עבודה'!$F$18)</f>
        <v>0.04</v>
      </c>
      <c r="AE24" s="405">
        <f>+IF(AE6&gt;'הנחות עבודה'!$E$18,'הנחות עבודה'!$F$19,'הנחות עבודה'!$F$18)</f>
        <v>0.04</v>
      </c>
      <c r="AF24" s="405">
        <f>+IF(AF6&gt;'הנחות עבודה'!$E$18,'הנחות עבודה'!$F$19,'הנחות עבודה'!$F$18)</f>
        <v>0.04</v>
      </c>
      <c r="AG24" s="405">
        <f>+IF(AG6&gt;'הנחות עבודה'!$E$18,'הנחות עבודה'!$F$19,'הנחות עבודה'!$F$18)</f>
        <v>0.04</v>
      </c>
      <c r="AH24" s="405">
        <f>+IF(AH6&gt;'הנחות עבודה'!$E$18,'הנחות עבודה'!$F$19,'הנחות עבודה'!$F$18)</f>
        <v>0.05</v>
      </c>
      <c r="AI24" s="405">
        <f>+IF(AI6&gt;'הנחות עבודה'!$E$18,'הנחות עבודה'!$F$19,'הנחות עבודה'!$F$18)</f>
        <v>0.04</v>
      </c>
      <c r="AJ24" s="405">
        <f>+IF(AJ6&gt;'הנחות עבודה'!$E$18,'הנחות עבודה'!$F$19,'הנחות עבודה'!$F$18)</f>
        <v>0.04</v>
      </c>
      <c r="AK24" s="405">
        <f>+IF(AK6&gt;'הנחות עבודה'!$E$18,'הנחות עבודה'!$F$19,'הנחות עבודה'!$F$18)</f>
        <v>0.04</v>
      </c>
      <c r="AL24" s="405">
        <f>+IF(AL6&gt;'הנחות עבודה'!$E$18,'הנחות עבודה'!$F$19,'הנחות עבודה'!$F$18)</f>
        <v>0.04</v>
      </c>
      <c r="AM24" s="405">
        <f>+IF(AM6&gt;'הנחות עבודה'!$E$18,'הנחות עבודה'!$F$19,'הנחות עבודה'!$F$18)</f>
        <v>0.04</v>
      </c>
      <c r="AN24" s="405">
        <f>+IF(AN6&gt;'הנחות עבודה'!$E$18,'הנחות עבודה'!$F$19,'הנחות עבודה'!$F$18)</f>
        <v>0.04</v>
      </c>
      <c r="AO24" s="405">
        <f>+IF(AO6&gt;'הנחות עבודה'!$E$18,'הנחות עבודה'!$F$19,'הנחות עבודה'!$F$18)</f>
        <v>0.04</v>
      </c>
      <c r="AP24" s="405">
        <f>+IF(AP6&gt;'הנחות עבודה'!$E$18,'הנחות עבודה'!$F$19,'הנחות עבודה'!$F$18)</f>
        <v>0.04</v>
      </c>
      <c r="AQ24" s="405">
        <f>+IF(AQ6&gt;'הנחות עבודה'!$E$18,'הנחות עבודה'!$F$19,'הנחות עבודה'!$F$18)</f>
        <v>0.04</v>
      </c>
      <c r="AR24" s="405">
        <f>+IF(AR6&gt;'הנחות עבודה'!$E$18,'הנחות עבודה'!$F$19,'הנחות עבודה'!$F$18)</f>
        <v>0.05</v>
      </c>
      <c r="AS24" s="405">
        <f>+IF(AS6&gt;'הנחות עבודה'!$E$18,'הנחות עבודה'!$F$19,'הנחות עבודה'!$F$18)</f>
        <v>0.04</v>
      </c>
      <c r="AT24" s="405">
        <f>+IF(AT6&gt;'הנחות עבודה'!$E$18,'הנחות עבודה'!$F$19,'הנחות עבודה'!$F$18)</f>
        <v>0.04</v>
      </c>
      <c r="AU24" s="405">
        <f>+IF(AU6&gt;'הנחות עבודה'!$E$18,'הנחות עבודה'!$F$19,'הנחות עבודה'!$F$18)</f>
        <v>0.04</v>
      </c>
      <c r="AV24" s="405">
        <f>+IF(AV6&gt;'הנחות עבודה'!$E$18,'הנחות עבודה'!$F$19,'הנחות עבודה'!$F$18)</f>
        <v>0.05</v>
      </c>
      <c r="AW24" s="405">
        <f>+IF(AW6&gt;'הנחות עבודה'!$E$18,'הנחות עבודה'!$F$19,'הנחות עבודה'!$F$18)</f>
        <v>0.05</v>
      </c>
      <c r="AX24" s="405">
        <f>+IF(AX6&gt;'הנחות עבודה'!$E$18,'הנחות עבודה'!$F$19,'הנחות עבודה'!$F$18)</f>
        <v>0.04</v>
      </c>
      <c r="AY24" s="405">
        <f>+IF(AY6&gt;'הנחות עבודה'!$E$18,'הנחות עבודה'!$F$19,'הנחות עבודה'!$F$18)</f>
        <v>0.04</v>
      </c>
      <c r="AZ24" s="405">
        <f>+IF(AZ6&gt;'הנחות עבודה'!$E$18,'הנחות עבודה'!$F$19,'הנחות עבודה'!$F$18)</f>
        <v>0.04</v>
      </c>
      <c r="BA24" s="405">
        <f>+IF(BA6&gt;'הנחות עבודה'!$E$18,'הנחות עבודה'!$F$19,'הנחות עבודה'!$F$18)</f>
        <v>0.05</v>
      </c>
      <c r="BB24" s="405">
        <f>+IF(BB6&gt;'הנחות עבודה'!$E$18,'הנחות עבודה'!$F$19,'הנחות עבודה'!$F$18)</f>
        <v>0.05</v>
      </c>
      <c r="BC24" s="405">
        <f>+IF(BC6&gt;'הנחות עבודה'!$E$18,'הנחות עבודה'!$F$19,'הנחות עבודה'!$F$18)</f>
        <v>0.05</v>
      </c>
      <c r="BD24" s="405">
        <f>+IF(BD6&gt;'הנחות עבודה'!$E$18,'הנחות עבודה'!$F$19,'הנחות עבודה'!$F$18)</f>
        <v>0.04</v>
      </c>
      <c r="BE24" s="405">
        <f>+IF(BE6&gt;'הנחות עבודה'!$E$18,'הנחות עבודה'!$F$19,'הנחות עבודה'!$F$18)</f>
        <v>0.04</v>
      </c>
      <c r="BF24" s="405">
        <f>+IF(BF6&gt;'הנחות עבודה'!$E$18,'הנחות עבודה'!$F$19,'הנחות עבודה'!$F$18)</f>
        <v>0.04</v>
      </c>
    </row>
    <row r="25" spans="1:58" x14ac:dyDescent="0.2">
      <c r="A25" s="622"/>
      <c r="B25" s="654" t="s">
        <v>880</v>
      </c>
      <c r="C25" s="408">
        <f>+IF(C6&gt;'הנחות עבודה'!$E$18,'הנחות עבודה'!$G$19,'הנחות עבודה'!$G$18)</f>
        <v>5.6000000000000001E-2</v>
      </c>
      <c r="D25" s="408">
        <f>+IF(D6&gt;'הנחות עבודה'!$E$18,'הנחות עבודה'!$G$19,'הנחות עבודה'!$G$18)</f>
        <v>5.6000000000000001E-2</v>
      </c>
      <c r="E25" s="408">
        <f>+IF(E6&gt;'הנחות עבודה'!$E$18,'הנחות עבודה'!$G$19,'הנחות עבודה'!$G$18)</f>
        <v>4.9000000000000002E-2</v>
      </c>
      <c r="F25" s="408">
        <f>+IF(F6&gt;'הנחות עבודה'!$E$18,'הנחות עבודה'!$G$19,'הנחות עבודה'!$G$18)</f>
        <v>4.9000000000000002E-2</v>
      </c>
      <c r="G25" s="408">
        <f>+IF(G6&gt;'הנחות עבודה'!$E$18,'הנחות עבודה'!$G$19,'הנחות עבודה'!$G$18)</f>
        <v>4.9000000000000002E-2</v>
      </c>
      <c r="H25" s="408">
        <f>+IF(H6&gt;'הנחות עבודה'!$E$18,'הנחות עבודה'!$G$19,'הנחות עבודה'!$G$18)</f>
        <v>4.9000000000000002E-2</v>
      </c>
      <c r="I25" s="408">
        <f>+IF(I6&gt;'הנחות עבודה'!$E$18,'הנחות עבודה'!$G$19,'הנחות עבודה'!$G$18)</f>
        <v>5.6000000000000001E-2</v>
      </c>
      <c r="J25" s="408">
        <f>+IF(J6&gt;'הנחות עבודה'!$E$18,'הנחות עבודה'!$G$19,'הנחות עבודה'!$G$18)</f>
        <v>4.9000000000000002E-2</v>
      </c>
      <c r="K25" s="408">
        <f>+IF(K6&gt;'הנחות עבודה'!$E$18,'הנחות עבודה'!$G$19,'הנחות עבודה'!$G$18)</f>
        <v>4.9000000000000002E-2</v>
      </c>
      <c r="L25" s="408">
        <f>+IF(L6&gt;'הנחות עבודה'!$E$18,'הנחות עבודה'!$G$19,'הנחות עבודה'!$G$18)</f>
        <v>4.9000000000000002E-2</v>
      </c>
      <c r="M25" s="408">
        <f>+IF(M6&gt;'הנחות עבודה'!$E$18,'הנחות עבודה'!$G$19,'הנחות עבודה'!$G$18)</f>
        <v>4.9000000000000002E-2</v>
      </c>
      <c r="N25" s="408">
        <f>+IF(N6&gt;'הנחות עבודה'!$E$18,'הנחות עבודה'!$G$19,'הנחות עבודה'!$G$18)</f>
        <v>5.6000000000000001E-2</v>
      </c>
      <c r="O25" s="408">
        <f>+IF(O6&gt;'הנחות עבודה'!$E$18,'הנחות עבודה'!$G$19,'הנחות עבודה'!$G$18)</f>
        <v>4.9000000000000002E-2</v>
      </c>
      <c r="P25" s="408">
        <f>+IF(P6&gt;'הנחות עבודה'!$E$18,'הנחות עבודה'!$G$19,'הנחות עבודה'!$G$18)</f>
        <v>4.9000000000000002E-2</v>
      </c>
      <c r="Q25" s="408">
        <f>+IF(Q6&gt;'הנחות עבודה'!$E$18,'הנחות עבודה'!$G$19,'הנחות עבודה'!$G$18)</f>
        <v>4.9000000000000002E-2</v>
      </c>
      <c r="R25" s="408">
        <f>+IF(R6&gt;'הנחות עבודה'!$E$18,'הנחות עבודה'!$G$19,'הנחות עבודה'!$G$18)</f>
        <v>4.9000000000000002E-2</v>
      </c>
      <c r="S25" s="408">
        <f>+IF(S6&gt;'הנחות עבודה'!$E$18,'הנחות עבודה'!$G$19,'הנחות עבודה'!$G$18)</f>
        <v>4.9000000000000002E-2</v>
      </c>
      <c r="T25" s="408">
        <f>+IF(T6&gt;'הנחות עבודה'!$E$18,'הנחות עבודה'!$G$19,'הנחות עבודה'!$G$18)</f>
        <v>4.9000000000000002E-2</v>
      </c>
      <c r="U25" s="408">
        <f>+IF(U6&gt;'הנחות עבודה'!$E$18,'הנחות עבודה'!$G$19,'הנחות עבודה'!$G$18)</f>
        <v>4.9000000000000002E-2</v>
      </c>
      <c r="V25" s="408">
        <f>+IF(V6&gt;'הנחות עבודה'!$E$18,'הנחות עבודה'!$G$19,'הנחות עבודה'!$G$18)</f>
        <v>5.6000000000000001E-2</v>
      </c>
      <c r="W25" s="408">
        <f>+IF(W6&gt;'הנחות עבודה'!$E$18,'הנחות עבודה'!$G$19,'הנחות עבודה'!$G$18)</f>
        <v>4.9000000000000002E-2</v>
      </c>
      <c r="X25" s="408">
        <f>+IF(X6&gt;'הנחות עבודה'!$E$18,'הנחות עבודה'!$G$19,'הנחות עבודה'!$G$18)</f>
        <v>4.9000000000000002E-2</v>
      </c>
      <c r="Y25" s="408">
        <f>+IF(Y6&gt;'הנחות עבודה'!$E$18,'הנחות עבודה'!$G$19,'הנחות עבודה'!$G$18)</f>
        <v>4.9000000000000002E-2</v>
      </c>
      <c r="Z25" s="408">
        <f>+IF(Z6&gt;'הנחות עבודה'!$E$18,'הנחות עבודה'!$G$19,'הנחות עבודה'!$G$18)</f>
        <v>4.9000000000000002E-2</v>
      </c>
      <c r="AA25" s="408">
        <f>+IF(AA6&gt;'הנחות עבודה'!$E$18,'הנחות עבודה'!$G$19,'הנחות עבודה'!$G$18)</f>
        <v>4.9000000000000002E-2</v>
      </c>
      <c r="AB25" s="408">
        <f>+IF(AB6&gt;'הנחות עבודה'!$E$18,'הנחות עבודה'!$G$19,'הנחות עבודה'!$G$18)</f>
        <v>4.9000000000000002E-2</v>
      </c>
      <c r="AC25" s="408">
        <f>+IF(AC6&gt;'הנחות עבודה'!$E$18,'הנחות עבודה'!$G$19,'הנחות עבודה'!$G$18)</f>
        <v>4.9000000000000002E-2</v>
      </c>
      <c r="AD25" s="408">
        <f>+IF(AD6&gt;'הנחות עבודה'!$E$18,'הנחות עבודה'!$G$19,'הנחות עבודה'!$G$18)</f>
        <v>4.9000000000000002E-2</v>
      </c>
      <c r="AE25" s="408">
        <f>+IF(AE6&gt;'הנחות עבודה'!$E$18,'הנחות עבודה'!$G$19,'הנחות עבודה'!$G$18)</f>
        <v>4.9000000000000002E-2</v>
      </c>
      <c r="AF25" s="408">
        <f>+IF(AF6&gt;'הנחות עבודה'!$E$18,'הנחות עבודה'!$G$19,'הנחות עבודה'!$G$18)</f>
        <v>4.9000000000000002E-2</v>
      </c>
      <c r="AG25" s="408">
        <f>+IF(AG6&gt;'הנחות עבודה'!$E$18,'הנחות עבודה'!$G$19,'הנחות עבודה'!$G$18)</f>
        <v>4.9000000000000002E-2</v>
      </c>
      <c r="AH25" s="408">
        <f>+IF(AH6&gt;'הנחות עבודה'!$E$18,'הנחות עבודה'!$G$19,'הנחות עבודה'!$G$18)</f>
        <v>5.6000000000000001E-2</v>
      </c>
      <c r="AI25" s="408">
        <f>+IF(AI6&gt;'הנחות עבודה'!$E$18,'הנחות עבודה'!$G$19,'הנחות עבודה'!$G$18)</f>
        <v>4.9000000000000002E-2</v>
      </c>
      <c r="AJ25" s="408">
        <f>+IF(AJ6&gt;'הנחות עבודה'!$E$18,'הנחות עבודה'!$G$19,'הנחות עבודה'!$G$18)</f>
        <v>4.9000000000000002E-2</v>
      </c>
      <c r="AK25" s="408">
        <f>+IF(AK6&gt;'הנחות עבודה'!$E$18,'הנחות עבודה'!$G$19,'הנחות עבודה'!$G$18)</f>
        <v>4.9000000000000002E-2</v>
      </c>
      <c r="AL25" s="408">
        <f>+IF(AL6&gt;'הנחות עבודה'!$E$18,'הנחות עבודה'!$G$19,'הנחות עבודה'!$G$18)</f>
        <v>4.9000000000000002E-2</v>
      </c>
      <c r="AM25" s="408">
        <f>+IF(AM6&gt;'הנחות עבודה'!$E$18,'הנחות עבודה'!$G$19,'הנחות עבודה'!$G$18)</f>
        <v>4.9000000000000002E-2</v>
      </c>
      <c r="AN25" s="408">
        <f>+IF(AN6&gt;'הנחות עבודה'!$E$18,'הנחות עבודה'!$G$19,'הנחות עבודה'!$G$18)</f>
        <v>4.9000000000000002E-2</v>
      </c>
      <c r="AO25" s="408">
        <f>+IF(AO6&gt;'הנחות עבודה'!$E$18,'הנחות עבודה'!$G$19,'הנחות עבודה'!$G$18)</f>
        <v>4.9000000000000002E-2</v>
      </c>
      <c r="AP25" s="408">
        <f>+IF(AP6&gt;'הנחות עבודה'!$E$18,'הנחות עבודה'!$G$19,'הנחות עבודה'!$G$18)</f>
        <v>4.9000000000000002E-2</v>
      </c>
      <c r="AQ25" s="408">
        <f>+IF(AQ6&gt;'הנחות עבודה'!$E$18,'הנחות עבודה'!$G$19,'הנחות עבודה'!$G$18)</f>
        <v>4.9000000000000002E-2</v>
      </c>
      <c r="AR25" s="408">
        <f>+IF(AR6&gt;'הנחות עבודה'!$E$18,'הנחות עבודה'!$G$19,'הנחות עבודה'!$G$18)</f>
        <v>5.6000000000000001E-2</v>
      </c>
      <c r="AS25" s="408">
        <f>+IF(AS6&gt;'הנחות עבודה'!$E$18,'הנחות עבודה'!$G$19,'הנחות עבודה'!$G$18)</f>
        <v>4.9000000000000002E-2</v>
      </c>
      <c r="AT25" s="408">
        <f>+IF(AT6&gt;'הנחות עבודה'!$E$18,'הנחות עבודה'!$G$19,'הנחות עבודה'!$G$18)</f>
        <v>4.9000000000000002E-2</v>
      </c>
      <c r="AU25" s="408">
        <f>+IF(AU6&gt;'הנחות עבודה'!$E$18,'הנחות עבודה'!$G$19,'הנחות עבודה'!$G$18)</f>
        <v>4.9000000000000002E-2</v>
      </c>
      <c r="AV25" s="408">
        <f>+IF(AV6&gt;'הנחות עבודה'!$E$18,'הנחות עבודה'!$G$19,'הנחות עבודה'!$G$18)</f>
        <v>5.6000000000000001E-2</v>
      </c>
      <c r="AW25" s="408">
        <f>+IF(AW6&gt;'הנחות עבודה'!$E$18,'הנחות עבודה'!$G$19,'הנחות עבודה'!$G$18)</f>
        <v>5.6000000000000001E-2</v>
      </c>
      <c r="AX25" s="408">
        <f>+IF(AX6&gt;'הנחות עבודה'!$E$18,'הנחות עבודה'!$G$19,'הנחות עבודה'!$G$18)</f>
        <v>4.9000000000000002E-2</v>
      </c>
      <c r="AY25" s="408">
        <f>+IF(AY6&gt;'הנחות עבודה'!$E$18,'הנחות עבודה'!$G$19,'הנחות עבודה'!$G$18)</f>
        <v>4.9000000000000002E-2</v>
      </c>
      <c r="AZ25" s="408">
        <f>+IF(AZ6&gt;'הנחות עבודה'!$E$18,'הנחות עבודה'!$G$19,'הנחות עבודה'!$G$18)</f>
        <v>4.9000000000000002E-2</v>
      </c>
      <c r="BA25" s="408">
        <f>+IF(BA6&gt;'הנחות עבודה'!$E$18,'הנחות עבודה'!$G$19,'הנחות עבודה'!$G$18)</f>
        <v>5.6000000000000001E-2</v>
      </c>
      <c r="BB25" s="408">
        <f>+IF(BB6&gt;'הנחות עבודה'!$E$18,'הנחות עבודה'!$G$19,'הנחות עבודה'!$G$18)</f>
        <v>5.6000000000000001E-2</v>
      </c>
      <c r="BC25" s="408">
        <f>+IF(BC6&gt;'הנחות עבודה'!$E$18,'הנחות עבודה'!$G$19,'הנחות עבודה'!$G$18)</f>
        <v>5.6000000000000001E-2</v>
      </c>
      <c r="BD25" s="408">
        <f>+IF(BD6&gt;'הנחות עבודה'!$E$18,'הנחות עבודה'!$G$19,'הנחות עבודה'!$G$18)</f>
        <v>4.9000000000000002E-2</v>
      </c>
      <c r="BE25" s="408">
        <f>+IF(BE6&gt;'הנחות עבודה'!$E$18,'הנחות עבודה'!$G$19,'הנחות עבודה'!$G$18)</f>
        <v>4.9000000000000002E-2</v>
      </c>
      <c r="BF25" s="408">
        <f>+IF(BF6&gt;'הנחות עבודה'!$E$18,'הנחות עבודה'!$G$19,'הנחות עבודה'!$G$18)</f>
        <v>4.9000000000000002E-2</v>
      </c>
    </row>
    <row r="26" spans="1:58" x14ac:dyDescent="0.2">
      <c r="A26" s="622"/>
      <c r="B26" s="654" t="s">
        <v>875</v>
      </c>
      <c r="C26" s="405">
        <f>+'הנחות עבודה'!$D$13</f>
        <v>7.0000000000000007E-2</v>
      </c>
      <c r="D26" s="405">
        <f>+'הנחות עבודה'!$D$13</f>
        <v>7.0000000000000007E-2</v>
      </c>
      <c r="E26" s="405">
        <f>+'הנחות עבודה'!$D$13</f>
        <v>7.0000000000000007E-2</v>
      </c>
      <c r="F26" s="405">
        <f>+'הנחות עבודה'!$D$13</f>
        <v>7.0000000000000007E-2</v>
      </c>
      <c r="G26" s="405">
        <f>+'הנחות עבודה'!$D$13</f>
        <v>7.0000000000000007E-2</v>
      </c>
      <c r="H26" s="405">
        <f>+'הנחות עבודה'!$D$13</f>
        <v>7.0000000000000007E-2</v>
      </c>
      <c r="I26" s="405">
        <f>+'הנחות עבודה'!$D$13</f>
        <v>7.0000000000000007E-2</v>
      </c>
      <c r="J26" s="405">
        <f>+'הנחות עבודה'!$D$13</f>
        <v>7.0000000000000007E-2</v>
      </c>
      <c r="K26" s="405">
        <f>+'הנחות עבודה'!$D$13</f>
        <v>7.0000000000000007E-2</v>
      </c>
      <c r="L26" s="405">
        <f>+'הנחות עבודה'!$D$13</f>
        <v>7.0000000000000007E-2</v>
      </c>
      <c r="M26" s="405">
        <f>+'הנחות עבודה'!$D$13</f>
        <v>7.0000000000000007E-2</v>
      </c>
      <c r="N26" s="405">
        <f>+'הנחות עבודה'!$D$13</f>
        <v>7.0000000000000007E-2</v>
      </c>
      <c r="O26" s="405">
        <f>+'הנחות עבודה'!$D$13</f>
        <v>7.0000000000000007E-2</v>
      </c>
      <c r="P26" s="405">
        <f>+'הנחות עבודה'!$D$13</f>
        <v>7.0000000000000007E-2</v>
      </c>
      <c r="Q26" s="405">
        <f>+'הנחות עבודה'!$D$13</f>
        <v>7.0000000000000007E-2</v>
      </c>
      <c r="R26" s="405">
        <f>+'הנחות עבודה'!$D$13</f>
        <v>7.0000000000000007E-2</v>
      </c>
      <c r="S26" s="405">
        <f>+'הנחות עבודה'!$D$13</f>
        <v>7.0000000000000007E-2</v>
      </c>
      <c r="T26" s="405">
        <f>+'הנחות עבודה'!$D$13</f>
        <v>7.0000000000000007E-2</v>
      </c>
      <c r="U26" s="405">
        <f>+'הנחות עבודה'!$D$13</f>
        <v>7.0000000000000007E-2</v>
      </c>
      <c r="V26" s="405">
        <f>+'הנחות עבודה'!$D$13</f>
        <v>7.0000000000000007E-2</v>
      </c>
      <c r="W26" s="405">
        <f>+'הנחות עבודה'!$D$13</f>
        <v>7.0000000000000007E-2</v>
      </c>
      <c r="X26" s="405">
        <f>+'הנחות עבודה'!$D$13</f>
        <v>7.0000000000000007E-2</v>
      </c>
      <c r="Y26" s="405">
        <f>+'הנחות עבודה'!$D$13</f>
        <v>7.0000000000000007E-2</v>
      </c>
      <c r="Z26" s="405">
        <f>+'הנחות עבודה'!$D$13</f>
        <v>7.0000000000000007E-2</v>
      </c>
      <c r="AA26" s="405">
        <f>+'הנחות עבודה'!$D$13</f>
        <v>7.0000000000000007E-2</v>
      </c>
      <c r="AB26" s="405">
        <f>+'הנחות עבודה'!$D$13</f>
        <v>7.0000000000000007E-2</v>
      </c>
      <c r="AC26" s="405">
        <f>+'הנחות עבודה'!$D$13</f>
        <v>7.0000000000000007E-2</v>
      </c>
      <c r="AD26" s="405">
        <f>+'הנחות עבודה'!$D$13</f>
        <v>7.0000000000000007E-2</v>
      </c>
      <c r="AE26" s="405">
        <f>+'הנחות עבודה'!$D$13</f>
        <v>7.0000000000000007E-2</v>
      </c>
      <c r="AF26" s="405">
        <f>+'הנחות עבודה'!$D$13</f>
        <v>7.0000000000000007E-2</v>
      </c>
      <c r="AG26" s="405">
        <f>+'הנחות עבודה'!$D$13</f>
        <v>7.0000000000000007E-2</v>
      </c>
      <c r="AH26" s="405">
        <f>+'הנחות עבודה'!$D$13</f>
        <v>7.0000000000000007E-2</v>
      </c>
      <c r="AI26" s="405">
        <f>+'הנחות עבודה'!$D$13</f>
        <v>7.0000000000000007E-2</v>
      </c>
      <c r="AJ26" s="405">
        <f>+'הנחות עבודה'!$D$13</f>
        <v>7.0000000000000007E-2</v>
      </c>
      <c r="AK26" s="405">
        <f>+'הנחות עבודה'!$D$13</f>
        <v>7.0000000000000007E-2</v>
      </c>
      <c r="AL26" s="405">
        <f>+'הנחות עבודה'!$D$13</f>
        <v>7.0000000000000007E-2</v>
      </c>
      <c r="AM26" s="405">
        <f>+'הנחות עבודה'!$D$13</f>
        <v>7.0000000000000007E-2</v>
      </c>
      <c r="AN26" s="405">
        <f>+'הנחות עבודה'!$D$13</f>
        <v>7.0000000000000007E-2</v>
      </c>
      <c r="AO26" s="405">
        <f>+'הנחות עבודה'!$D$13</f>
        <v>7.0000000000000007E-2</v>
      </c>
      <c r="AP26" s="405">
        <f>+'הנחות עבודה'!$D$13</f>
        <v>7.0000000000000007E-2</v>
      </c>
      <c r="AQ26" s="405">
        <f>+'הנחות עבודה'!$D$13</f>
        <v>7.0000000000000007E-2</v>
      </c>
      <c r="AR26" s="405">
        <f>+'הנחות עבודה'!$D$13</f>
        <v>7.0000000000000007E-2</v>
      </c>
      <c r="AS26" s="405">
        <f>+'הנחות עבודה'!$D$13</f>
        <v>7.0000000000000007E-2</v>
      </c>
      <c r="AT26" s="405">
        <f>+'הנחות עבודה'!$D$13</f>
        <v>7.0000000000000007E-2</v>
      </c>
      <c r="AU26" s="405">
        <f>+'הנחות עבודה'!$D$13</f>
        <v>7.0000000000000007E-2</v>
      </c>
      <c r="AV26" s="405">
        <f>+'הנחות עבודה'!$D$13</f>
        <v>7.0000000000000007E-2</v>
      </c>
      <c r="AW26" s="405">
        <f>+'הנחות עבודה'!$D$13</f>
        <v>7.0000000000000007E-2</v>
      </c>
      <c r="AX26" s="405">
        <f>+'הנחות עבודה'!$D$13</f>
        <v>7.0000000000000007E-2</v>
      </c>
      <c r="AY26" s="405">
        <f>+'הנחות עבודה'!$D$13</f>
        <v>7.0000000000000007E-2</v>
      </c>
      <c r="AZ26" s="405">
        <f>+'הנחות עבודה'!$D$13</f>
        <v>7.0000000000000007E-2</v>
      </c>
      <c r="BA26" s="405">
        <f>+'הנחות עבודה'!$D$13</f>
        <v>7.0000000000000007E-2</v>
      </c>
      <c r="BB26" s="405">
        <f>+'הנחות עבודה'!$D$13</f>
        <v>7.0000000000000007E-2</v>
      </c>
      <c r="BC26" s="405">
        <f>+'הנחות עבודה'!$D$13</f>
        <v>7.0000000000000007E-2</v>
      </c>
      <c r="BD26" s="405">
        <f>+'הנחות עבודה'!$D$13</f>
        <v>7.0000000000000007E-2</v>
      </c>
      <c r="BE26" s="405">
        <f>+'הנחות עבודה'!$D$13</f>
        <v>7.0000000000000007E-2</v>
      </c>
      <c r="BF26" s="405">
        <f>+'הנחות עבודה'!$D$13</f>
        <v>7.0000000000000007E-2</v>
      </c>
    </row>
    <row r="27" spans="1:58" x14ac:dyDescent="0.2">
      <c r="B27" s="375"/>
      <c r="C27" s="1014"/>
      <c r="D27" s="1014"/>
      <c r="E27" s="1014"/>
      <c r="F27" s="1014"/>
      <c r="G27" s="1014"/>
      <c r="H27" s="1014"/>
      <c r="I27" s="1014"/>
      <c r="J27" s="1014"/>
      <c r="K27" s="1014"/>
      <c r="L27" s="1014"/>
      <c r="M27" s="1014"/>
      <c r="N27" s="1014"/>
      <c r="O27" s="1014"/>
      <c r="P27" s="1014"/>
      <c r="Q27" s="1014"/>
      <c r="R27" s="1014"/>
      <c r="S27" s="1014"/>
      <c r="T27" s="1014"/>
    </row>
    <row r="28" spans="1:58" hidden="1" x14ac:dyDescent="0.2">
      <c r="B28" s="375" t="s">
        <v>1092</v>
      </c>
      <c r="C28" s="760"/>
    </row>
    <row r="29" spans="1:58" hidden="1" x14ac:dyDescent="0.2">
      <c r="B29" s="375" t="s">
        <v>997</v>
      </c>
      <c r="C29" s="760"/>
    </row>
    <row r="30" spans="1:58" x14ac:dyDescent="0.2">
      <c r="B30" s="375"/>
      <c r="C30" s="1014"/>
      <c r="U30" s="1068"/>
      <c r="V30" s="375"/>
      <c r="W30" s="1068"/>
    </row>
    <row r="31" spans="1:58" x14ac:dyDescent="0.2">
      <c r="B31" s="375"/>
      <c r="C31" s="380"/>
    </row>
    <row r="32" spans="1:58" ht="14.25" x14ac:dyDescent="0.2">
      <c r="A32" s="621" t="s">
        <v>838</v>
      </c>
      <c r="B32" s="376" t="s">
        <v>943</v>
      </c>
      <c r="C32" s="622"/>
      <c r="D32" s="622"/>
      <c r="E32" s="622"/>
      <c r="F32" s="622"/>
      <c r="G32" s="622"/>
      <c r="H32" s="622"/>
      <c r="I32" s="622"/>
      <c r="J32" s="622"/>
      <c r="K32" s="622"/>
      <c r="L32" s="622"/>
      <c r="M32" s="622"/>
      <c r="N32" s="622"/>
      <c r="O32" s="622"/>
      <c r="P32" s="622"/>
      <c r="Q32" s="622"/>
      <c r="R32" s="622"/>
      <c r="S32" s="624"/>
      <c r="T32" s="622"/>
      <c r="U32" s="622"/>
      <c r="V32" s="622"/>
      <c r="W32" s="622"/>
      <c r="X32" s="622"/>
      <c r="Y32" s="622"/>
      <c r="Z32" s="622"/>
      <c r="AA32" s="622"/>
      <c r="AB32" s="622"/>
      <c r="AC32" s="622"/>
      <c r="AD32" s="622"/>
      <c r="AE32" s="622"/>
      <c r="AF32" s="622"/>
      <c r="AG32" s="622"/>
      <c r="AH32" s="622"/>
      <c r="AI32" s="622"/>
      <c r="AJ32" s="622"/>
      <c r="AK32" s="622"/>
      <c r="AL32" s="622"/>
      <c r="AM32" s="622"/>
      <c r="AN32" s="622"/>
      <c r="AO32" s="622"/>
      <c r="AP32" s="622"/>
      <c r="AQ32" s="622"/>
      <c r="AR32" s="622"/>
      <c r="AS32" s="622"/>
      <c r="AT32" s="622"/>
      <c r="AU32" s="622"/>
      <c r="AV32" s="622"/>
      <c r="AW32" s="622"/>
      <c r="AX32" s="622"/>
      <c r="AY32" s="622"/>
      <c r="AZ32" s="622"/>
      <c r="BA32" s="622"/>
      <c r="BB32" s="622"/>
      <c r="BC32" s="622"/>
      <c r="BD32" s="622"/>
      <c r="BE32" s="622"/>
      <c r="BF32" s="622"/>
    </row>
    <row r="33" spans="1:58" x14ac:dyDescent="0.2">
      <c r="A33" s="622"/>
      <c r="B33" s="376" t="s">
        <v>673</v>
      </c>
      <c r="C33" s="624">
        <f>+HLOOKUP(C4,'נתוני תאגידים'!$1:$530,348,0)/(1-C20)</f>
        <v>0.91869263176766125</v>
      </c>
      <c r="D33" s="624">
        <f>+HLOOKUP(D4,'נתוני תאגידים'!$1:$530,348,0)/(1-D20)</f>
        <v>0.99356598636790927</v>
      </c>
      <c r="E33" s="624">
        <f>+HLOOKUP(E4,'נתוני תאגידים'!$1:$530,348,0)/(1-E20)</f>
        <v>1.4680219258449279</v>
      </c>
      <c r="F33" s="624">
        <f>+HLOOKUP(F4,'נתוני תאגידים'!$1:$530,348,0)/(1-F20)</f>
        <v>1.0255260268241253</v>
      </c>
      <c r="G33" s="624">
        <f>+HLOOKUP(G4,'נתוני תאגידים'!$1:$530,348,0)/(1-G20)</f>
        <v>0.9687341917963328</v>
      </c>
      <c r="H33" s="624">
        <f>+HLOOKUP(H4,'נתוני תאגידים'!$1:$530,348,0)/(1-H20)</f>
        <v>1.6680776306918264</v>
      </c>
      <c r="I33" s="624">
        <f>+HLOOKUP(I4,'נתוני תאגידים'!$1:$530,348,0)/(1-I20)</f>
        <v>1.2990770067110269</v>
      </c>
      <c r="J33" s="624">
        <f>+HLOOKUP(J4,'נתוני תאגידים'!$1:$530,348,0)/(1-J20)</f>
        <v>0.973558287312002</v>
      </c>
      <c r="K33" s="624">
        <f>+HLOOKUP(K4,'נתוני תאגידים'!$1:$530,348,0)/(1-K20)</f>
        <v>0.85800703458539662</v>
      </c>
      <c r="L33" s="1592">
        <f>+HLOOKUP(L4,'נתוני תאגידים'!$1:$530,348,0)/(1-L20)</f>
        <v>1.115146072092086</v>
      </c>
      <c r="M33" s="624">
        <f>+HLOOKUP(M4,'נתוני תאגידים'!$1:$530,348,0)/(1-M20)</f>
        <v>0.95174205067682083</v>
      </c>
      <c r="N33" s="624">
        <f>+HLOOKUP(N4,'נתוני תאגידים'!$1:$530,348,0)/(1-N20)</f>
        <v>1.0793616413590494</v>
      </c>
      <c r="O33" s="624">
        <f>+HLOOKUP(O4,'נתוני תאגידים'!$1:$530,348,0)/(1-O20)</f>
        <v>0.94249201998781773</v>
      </c>
      <c r="P33" s="624">
        <f>+HLOOKUP(P4,'נתוני תאגידים'!$1:$530,348,0)/(1-P20)</f>
        <v>1.9599590274913559</v>
      </c>
      <c r="Q33" s="624">
        <f>+HLOOKUP(Q4,'נתוני תאגידים'!$1:$530,348,0)/(1-Q20)</f>
        <v>1.0547557300741903</v>
      </c>
      <c r="R33" s="624">
        <f>+HLOOKUP(R4,'נתוני תאגידים'!$1:$530,348,0)/(1-R20)</f>
        <v>0.9442158006971374</v>
      </c>
      <c r="S33" s="624">
        <f>+HLOOKUP(S4,'נתוני תאגידים'!$1:$530,348,0)/(1-S20)</f>
        <v>1.1416792771099264</v>
      </c>
      <c r="T33" s="624">
        <f>+HLOOKUP(T4,'נתוני תאגידים'!$1:$530,348,0)/(1-T20)</f>
        <v>1.1289315600304837</v>
      </c>
      <c r="U33" s="624">
        <f>+HLOOKUP(U4,'נתוני תאגידים'!$1:$530,348,0)/(1-U20)</f>
        <v>1.0701875206400988</v>
      </c>
      <c r="V33" s="624">
        <f>+HLOOKUP(V4,'נתוני תאגידים'!$1:$530,348,0)/(1-V20)</f>
        <v>1.5743478294356357</v>
      </c>
      <c r="W33" s="624">
        <f>+HLOOKUP(W4,'נתוני תאגידים'!$1:$530,348,0)/(1-W20)</f>
        <v>1.1802428121569117</v>
      </c>
      <c r="X33" s="624">
        <f>+HLOOKUP(X4,'נתוני תאגידים'!$1:$530,348,0)/(1-X20)</f>
        <v>1.0465697246544472</v>
      </c>
      <c r="Y33" s="624">
        <f>+HLOOKUP(Y4,'נתוני תאגידים'!$1:$530,348,0)/(1-Y20)</f>
        <v>1.2690792050339916</v>
      </c>
      <c r="Z33" s="624">
        <f>+HLOOKUP(Z4,'נתוני תאגידים'!$1:$530,348,0)/(1-Z20)</f>
        <v>1.118391757787504</v>
      </c>
      <c r="AA33" s="624">
        <f>+HLOOKUP(AA4,'נתוני תאגידים'!$1:$530,348,0)/(1-AA20)</f>
        <v>1.161852550877938</v>
      </c>
      <c r="AB33" s="624">
        <f>+HLOOKUP(AB4,'נתוני תאגידים'!$1:$530,348,0)/(1-AB20)</f>
        <v>1.4643187271241414</v>
      </c>
      <c r="AC33" s="624">
        <f>+HLOOKUP(AC4,'נתוני תאגידים'!$1:$530,348,0)/(1-AC20)</f>
        <v>0.91970817562246743</v>
      </c>
      <c r="AD33" s="624">
        <f>+HLOOKUP(AD4,'נתוני תאגידים'!$1:$530,348,0)/(1-AD20)</f>
        <v>1.1752031030704524</v>
      </c>
      <c r="AE33" s="624">
        <f>+HLOOKUP(AE4,'נתוני תאגידים'!$1:$530,348,0)/(1-AE20)</f>
        <v>1.5076117036674077</v>
      </c>
      <c r="AF33" s="624">
        <f>+HLOOKUP(AF4,'נתוני תאגידים'!$1:$530,348,0)/(1-AF20)</f>
        <v>1.0108189807859551</v>
      </c>
      <c r="AG33" s="624">
        <f>+HLOOKUP(AG4,'נתוני תאגידים'!$1:$530,348,0)/(1-AG20)</f>
        <v>1.1277635739074543</v>
      </c>
      <c r="AH33" s="624">
        <f>+HLOOKUP(AH4,'נתוני תאגידים'!$1:$530,348,0)/(1-AH20)</f>
        <v>1.0725633742371672</v>
      </c>
      <c r="AI33" s="624">
        <f>+HLOOKUP(AI4,'נתוני תאגידים'!$1:$530,348,0)/(1-AI20)</f>
        <v>1.0722150891213464</v>
      </c>
      <c r="AJ33" s="624">
        <f>+HLOOKUP(AJ4,'נתוני תאגידים'!$1:$530,348,0)/(1-AJ20)</f>
        <v>0.91589731770500804</v>
      </c>
      <c r="AK33" s="624">
        <f>+HLOOKUP(AK4,'נתוני תאגידים'!$1:$530,348,0)/(1-AK20)</f>
        <v>0.90071649586179192</v>
      </c>
      <c r="AL33" s="624">
        <f>+HLOOKUP(AL4,'נתוני תאגידים'!$1:$530,348,0)/(1-AL20)</f>
        <v>0.92896123733011526</v>
      </c>
      <c r="AM33" s="624">
        <f>+HLOOKUP(AM4,'נתוני תאגידים'!$1:$530,348,0)/(1-AM20)</f>
        <v>1.0677941037810472</v>
      </c>
      <c r="AN33" s="624">
        <f>+HLOOKUP(AN4,'נתוני תאגידים'!$1:$530,348,0)/(1-AN20)</f>
        <v>1.024791774057455</v>
      </c>
      <c r="AO33" s="624">
        <f>+HLOOKUP(AO4,'נתוני תאגידים'!$1:$530,348,0)/(1-AO20)</f>
        <v>1.0672938472826341</v>
      </c>
      <c r="AP33" s="624">
        <f>+HLOOKUP(AP4,'נתוני תאגידים'!$1:$530,348,0)/(1-AP20)</f>
        <v>0.94691265028919325</v>
      </c>
      <c r="AQ33" s="624">
        <f>+HLOOKUP(AQ4,'נתוני תאגידים'!$1:$530,348,0)/(1-AQ20)</f>
        <v>1.1098393948993874</v>
      </c>
      <c r="AR33" s="624">
        <f>+HLOOKUP(AR4,'נתוני תאגידים'!$1:$530,348,0)/(1-AR20)</f>
        <v>1.4339741063955114</v>
      </c>
      <c r="AS33" s="624">
        <f>+HLOOKUP(AS4,'נתוני תאגידים'!$1:$530,348,0)/(1-AS20)</f>
        <v>1.2251211078474504</v>
      </c>
      <c r="AT33" s="624">
        <f>+HLOOKUP(AT4,'נתוני תאגידים'!$1:$530,348,0)/(1-AT20)</f>
        <v>0.85116389354645916</v>
      </c>
      <c r="AU33" s="624">
        <f>+HLOOKUP(AU4,'נתוני תאגידים'!$1:$530,348,0)/(1-AU20)</f>
        <v>1.1640518669858078</v>
      </c>
      <c r="AV33" s="624">
        <f>+HLOOKUP(AV4,'נתוני תאגידים'!$1:$530,348,0)/(1-AV20)</f>
        <v>1.3107012881664695</v>
      </c>
      <c r="AW33" s="624">
        <f>+HLOOKUP(AW4,'נתוני תאגידים'!$1:$530,348,0)/(1-AW20)</f>
        <v>1.1904472583912238</v>
      </c>
      <c r="AX33" s="624">
        <f>+HLOOKUP(AX4,'נתוני תאגידים'!$1:$530,348,0)/(1-AX20)</f>
        <v>0.88073098323536703</v>
      </c>
      <c r="AY33" s="624">
        <f>+HLOOKUP(AY4,'נתוני תאגידים'!$1:$530,348,0)/(1-AY20)</f>
        <v>1.0669354734573371</v>
      </c>
      <c r="AZ33" s="624">
        <f>+HLOOKUP(AZ4,'נתוני תאגידים'!$1:$530,348,0)/(1-AZ20)</f>
        <v>1.1620117912731609</v>
      </c>
      <c r="BA33" s="624">
        <f>+HLOOKUP(BA4,'נתוני תאגידים'!$1:$530,348,0)/(1-BA20)</f>
        <v>0.92046412314806569</v>
      </c>
      <c r="BB33" s="624">
        <f>+HLOOKUP(BB4,'נתוני תאגידים'!$1:$530,348,0)/(1-BB20)</f>
        <v>0.87269722495234181</v>
      </c>
      <c r="BC33" s="624">
        <f>+HLOOKUP(BC4,'נתוני תאגידים'!$1:$530,348,0)/(1-BC20)</f>
        <v>0.89271672019485548</v>
      </c>
      <c r="BD33" s="624">
        <f>+HLOOKUP(BD4,'נתוני תאגידים'!$1:$530,348,0)/(1-BD20)</f>
        <v>1.2025187720127795</v>
      </c>
      <c r="BE33" s="624">
        <f>+HLOOKUP(BE4,'נתוני תאגידים'!$1:$530,348,0)/(1-BE20)</f>
        <v>1.1449907611844901</v>
      </c>
      <c r="BF33" s="624">
        <f>+HLOOKUP(BF4,'נתוני תאגידים'!$1:$530,348,0)/(1-BF20)</f>
        <v>0.82091042842033113</v>
      </c>
    </row>
    <row r="34" spans="1:58" x14ac:dyDescent="0.2">
      <c r="A34" s="622"/>
      <c r="B34" s="376" t="s">
        <v>674</v>
      </c>
      <c r="C34" s="624">
        <f>+HLOOKUP(C4,'נתוני תאגידים'!$1:$530,350,0)/(1-C20)</f>
        <v>0.55462266562692264</v>
      </c>
      <c r="D34" s="624">
        <f>+HLOOKUP(D4,'נתוני תאגידים'!$1:$530,350,0)/(1-D20)</f>
        <v>0.64995595930660799</v>
      </c>
      <c r="E34" s="624">
        <f>+HLOOKUP(E4,'נתוני תאגידים'!$1:$530,350,0)/(1-E20)</f>
        <v>1.1891620684358157</v>
      </c>
      <c r="F34" s="624">
        <f>+HLOOKUP(F4,'נתוני תאגידים'!$1:$530,350,0)/(1-F20)</f>
        <v>0.64832733426448286</v>
      </c>
      <c r="G34" s="624">
        <f>+HLOOKUP(G4,'נתוני תאגידים'!$1:$530,350,0)/(1-G20)</f>
        <v>0.86899986511146232</v>
      </c>
      <c r="H34" s="624">
        <f>+HLOOKUP(H4,'נתוני תאגידים'!$1:$530,350,0)/(1-H20)</f>
        <v>1.6341241507623652</v>
      </c>
      <c r="I34" s="624">
        <f>+HLOOKUP(I4,'נתוני תאגידים'!$1:$530,350,0)/(1-I20)</f>
        <v>1.2634050427612742</v>
      </c>
      <c r="J34" s="624">
        <f>+HLOOKUP(J4,'נתוני תאגידים'!$1:$530,350,0)/(1-J20)</f>
        <v>0.69074487968563369</v>
      </c>
      <c r="K34" s="624">
        <f>+HLOOKUP(K4,'נתוני תאגידים'!$1:$530,350,0)/(1-K20)</f>
        <v>1.107549536573377</v>
      </c>
      <c r="L34" s="624">
        <f>+HLOOKUP(L4,'נתוני תאגידים'!$1:$530,350,0)/(1-L20)</f>
        <v>0.90475178412636337</v>
      </c>
      <c r="M34" s="624">
        <f>+HLOOKUP(M4,'נתוני תאגידים'!$1:$530,350,0)/(1-M20)</f>
        <v>0.84083225214312884</v>
      </c>
      <c r="N34" s="624">
        <f>+HLOOKUP(N4,'נתוני תאגידים'!$1:$530,350,0)/(1-N20)</f>
        <v>1.1072624309880064</v>
      </c>
      <c r="O34" s="624">
        <f>+HLOOKUP(O4,'נתוני תאגידים'!$1:$530,350,0)/(1-O20)</f>
        <v>0.85038253282373999</v>
      </c>
      <c r="P34" s="624">
        <f>+HLOOKUP(P4,'נתוני תאגידים'!$1:$530,350,0)/(1-P20)</f>
        <v>1.3361101648661717</v>
      </c>
      <c r="Q34" s="624">
        <f>+HLOOKUP(Q4,'נתוני תאגידים'!$1:$530,350,0)/(1-Q20)</f>
        <v>0.82260746498554971</v>
      </c>
      <c r="R34" s="624">
        <f>+HLOOKUP(R4,'נתוני תאגידים'!$1:$530,350,0)/(1-R20)</f>
        <v>0.6879991226627743</v>
      </c>
      <c r="S34" s="624">
        <f>+HLOOKUP(S4,'נתוני תאגידים'!$1:$530,350,0)/(1-S20)</f>
        <v>0.64893125358907189</v>
      </c>
      <c r="T34" s="624">
        <f>+HLOOKUP(T4,'נתוני תאגידים'!$1:$530,350,0)/(1-T20)</f>
        <v>0.81104403179408069</v>
      </c>
      <c r="U34" s="624">
        <f>+HLOOKUP(U4,'נתוני תאגידים'!$1:$530,350,0)/(1-U20)</f>
        <v>1.1885563271984798</v>
      </c>
      <c r="V34" s="624">
        <f>+HLOOKUP(V4,'נתוני תאגידים'!$1:$530,350,0)/(1-V20)</f>
        <v>1.39829484337606</v>
      </c>
      <c r="W34" s="624">
        <f>+HLOOKUP(W4,'נתוני תאגידים'!$1:$530,350,0)/(1-W20)</f>
        <v>0.78432754622345857</v>
      </c>
      <c r="X34" s="624">
        <f>+HLOOKUP(X4,'נתוני תאגידים'!$1:$530,350,0)/(1-X20)</f>
        <v>0.72140794754046356</v>
      </c>
      <c r="Y34" s="624">
        <f>+HLOOKUP(Y4,'נתוני תאגידים'!$1:$530,350,0)/(1-Y20)</f>
        <v>1.5463690042541152</v>
      </c>
      <c r="Z34" s="624">
        <f>+HLOOKUP(Z4,'נתוני תאגידים'!$1:$530,350,0)/(1-Z20)</f>
        <v>0.97584482005251627</v>
      </c>
      <c r="AA34" s="624">
        <f>+HLOOKUP(AA4,'נתוני תאגידים'!$1:$530,350,0)/(1-AA20)</f>
        <v>0.91417501496823517</v>
      </c>
      <c r="AB34" s="624">
        <f>+HLOOKUP(AB4,'נתוני תאגידים'!$1:$530,350,0)/(1-AB20)</f>
        <v>1.2873303734629913</v>
      </c>
      <c r="AC34" s="624">
        <f>+HLOOKUP(AC4,'נתוני תאגידים'!$1:$530,350,0)/(1-AC20)</f>
        <v>0.78096308893360167</v>
      </c>
      <c r="AD34" s="624">
        <f>+HLOOKUP(AD4,'נתוני תאגידים'!$1:$530,350,0)/(1-AD20)</f>
        <v>0.86099651795098764</v>
      </c>
      <c r="AE34" s="624">
        <f>+HLOOKUP(AE4,'נתוני תאגידים'!$1:$530,350,0)/(1-AE20)</f>
        <v>0.98975801818179354</v>
      </c>
      <c r="AF34" s="624">
        <f>+HLOOKUP(AF4,'נתוני תאגידים'!$1:$530,350,0)/(1-AF20)</f>
        <v>0.95687360171059288</v>
      </c>
      <c r="AG34" s="624">
        <f>+HLOOKUP(AG4,'נתוני תאגידים'!$1:$530,350,0)/(1-AG20)</f>
        <v>0.81744518273299083</v>
      </c>
      <c r="AH34" s="624">
        <f>+HLOOKUP(AH4,'נתוני תאגידים'!$1:$530,350,0)/(1-AH20)</f>
        <v>0.70283175667223607</v>
      </c>
      <c r="AI34" s="624">
        <f>+HLOOKUP(AI4,'נתוני תאגידים'!$1:$530,350,0)/(1-AI20)</f>
        <v>1.2437629414904281</v>
      </c>
      <c r="AJ34" s="624">
        <f>+HLOOKUP(AJ4,'נתוני תאגידים'!$1:$530,350,0)/(1-AJ20)</f>
        <v>1.1081043263810906</v>
      </c>
      <c r="AK34" s="624">
        <f>+HLOOKUP(AK4,'נתוני תאגידים'!$1:$530,350,0)/(1-AK20)</f>
        <v>0.73347984871290939</v>
      </c>
      <c r="AL34" s="624">
        <f>+HLOOKUP(AL4,'נתוני תאגידים'!$1:$530,350,0)/(1-AL20)</f>
        <v>0.67851512563385019</v>
      </c>
      <c r="AM34" s="624">
        <f>+HLOOKUP(AM4,'נתוני תאגידים'!$1:$530,350,0)/(1-AM20)</f>
        <v>0.94030551334441859</v>
      </c>
      <c r="AN34" s="624">
        <f>+HLOOKUP(AN4,'נתוני תאגידים'!$1:$530,350,0)/(1-AN20)</f>
        <v>0.64769788792576122</v>
      </c>
      <c r="AO34" s="624">
        <f>+HLOOKUP(AO4,'נתוני תאגידים'!$1:$530,350,0)/(1-AO20)</f>
        <v>0.68259224196361457</v>
      </c>
      <c r="AP34" s="624">
        <f>+HLOOKUP(AP4,'נתוני תאגידים'!$1:$530,350,0)/(1-AP20)</f>
        <v>0.67172165812892715</v>
      </c>
      <c r="AQ34" s="624">
        <f>+HLOOKUP(AQ4,'נתוני תאגידים'!$1:$530,350,0)/(1-AQ20)</f>
        <v>0.64434123075474414</v>
      </c>
      <c r="AR34" s="624">
        <f>+HLOOKUP(AR4,'נתוני תאגידים'!$1:$530,350,0)/(1-AR20)</f>
        <v>1.2629598246894251</v>
      </c>
      <c r="AS34" s="624">
        <f>+HLOOKUP(AS4,'נתוני תאגידים'!$1:$530,350,0)/(1-AS20)</f>
        <v>1.1780892466733048</v>
      </c>
      <c r="AT34" s="624">
        <f>+HLOOKUP(AT4,'נתוני תאגידים'!$1:$530,350,0)/(1-AT20)</f>
        <v>0.89895673922300046</v>
      </c>
      <c r="AU34" s="624">
        <f>+HLOOKUP(AU4,'נתוני תאגידים'!$1:$530,350,0)/(1-AU20)</f>
        <v>0.86029232748808371</v>
      </c>
      <c r="AV34" s="624">
        <f>+HLOOKUP(AV4,'נתוני תאגידים'!$1:$530,350,0)/(1-AV20)</f>
        <v>0.94905802499598679</v>
      </c>
      <c r="AW34" s="624">
        <f>+HLOOKUP(AW4,'נתוני תאגידים'!$1:$530,350,0)/(1-AW20)</f>
        <v>0.89891651435619102</v>
      </c>
      <c r="AX34" s="624">
        <f>+HLOOKUP(AX4,'נתוני תאגידים'!$1:$530,350,0)/(1-AX20)</f>
        <v>0.74269508557273856</v>
      </c>
      <c r="AY34" s="624">
        <f>+HLOOKUP(AY4,'נתוני תאגידים'!$1:$530,350,0)/(1-AY20)</f>
        <v>1.0144282072462372</v>
      </c>
      <c r="AZ34" s="624">
        <f>+HLOOKUP(AZ4,'נתוני תאגידים'!$1:$530,350,0)/(1-AZ20)</f>
        <v>0.96066290187870684</v>
      </c>
      <c r="BA34" s="624">
        <f>+HLOOKUP(BA4,'נתוני תאגידים'!$1:$530,350,0)/(1-BA20)</f>
        <v>0.70759921856236374</v>
      </c>
      <c r="BB34" s="624">
        <f>+HLOOKUP(BB4,'נתוני תאגידים'!$1:$530,350,0)/(1-BB20)</f>
        <v>0.97059159778593362</v>
      </c>
      <c r="BC34" s="624">
        <f>+HLOOKUP(BC4,'נתוני תאגידים'!$1:$530,350,0)/(1-BC20)</f>
        <v>1.6833371069172303</v>
      </c>
      <c r="BD34" s="624">
        <f>+HLOOKUP(BD4,'נתוני תאגידים'!$1:$530,350,0)/(1-BD20)</f>
        <v>0.90477511905907337</v>
      </c>
      <c r="BE34" s="624">
        <f>+HLOOKUP(BE4,'נתוני תאגידים'!$1:$530,350,0)/(1-BE20)</f>
        <v>0.86137807605616112</v>
      </c>
      <c r="BF34" s="624">
        <f>+HLOOKUP(BF4,'נתוני תאגידים'!$1:$530,350,0)/(1-BF20)</f>
        <v>1.0592649977577624</v>
      </c>
    </row>
    <row r="35" spans="1:58" x14ac:dyDescent="0.2">
      <c r="A35" s="622"/>
      <c r="B35" s="622"/>
      <c r="C35" s="622"/>
      <c r="D35" s="622"/>
      <c r="E35" s="625"/>
      <c r="F35" s="622"/>
      <c r="G35" s="622"/>
      <c r="H35" s="622"/>
      <c r="I35" s="622"/>
      <c r="J35" s="622"/>
      <c r="K35" s="622"/>
      <c r="L35" s="622"/>
      <c r="M35" s="622"/>
      <c r="N35" s="622"/>
      <c r="O35" s="622"/>
      <c r="P35" s="622"/>
      <c r="Q35" s="622"/>
      <c r="R35" s="622"/>
      <c r="S35" s="622"/>
      <c r="T35" s="622"/>
      <c r="U35" s="622"/>
      <c r="V35" s="622"/>
      <c r="W35" s="622"/>
      <c r="X35" s="622"/>
      <c r="Y35" s="622"/>
      <c r="Z35" s="622"/>
      <c r="AA35" s="622"/>
      <c r="AB35" s="622"/>
      <c r="AC35" s="622"/>
      <c r="AD35" s="622"/>
      <c r="AE35" s="622"/>
      <c r="AF35" s="622"/>
      <c r="AG35" s="622"/>
      <c r="AH35" s="622"/>
      <c r="AI35" s="622"/>
      <c r="AJ35" s="622"/>
      <c r="AK35" s="622"/>
      <c r="AL35" s="622"/>
      <c r="AM35" s="622"/>
      <c r="AN35" s="622"/>
      <c r="AO35" s="622"/>
      <c r="AP35" s="622"/>
      <c r="AQ35" s="622"/>
      <c r="AR35" s="622"/>
      <c r="AS35" s="622"/>
      <c r="AT35" s="622"/>
      <c r="AU35" s="622"/>
      <c r="AV35" s="622"/>
      <c r="AW35" s="622"/>
      <c r="AX35" s="622"/>
      <c r="AY35" s="622"/>
      <c r="AZ35" s="622"/>
      <c r="BA35" s="622"/>
      <c r="BB35" s="622"/>
      <c r="BC35" s="622"/>
      <c r="BD35" s="622"/>
      <c r="BE35" s="622"/>
      <c r="BF35" s="622"/>
    </row>
    <row r="36" spans="1:58" x14ac:dyDescent="0.2">
      <c r="A36" s="622"/>
      <c r="B36" s="622"/>
      <c r="C36" s="622"/>
      <c r="D36" s="622"/>
      <c r="E36" s="622"/>
      <c r="F36" s="622"/>
      <c r="G36" s="622"/>
      <c r="H36" s="622"/>
      <c r="I36" s="622"/>
      <c r="J36" s="622"/>
      <c r="K36" s="622"/>
      <c r="L36" s="622"/>
      <c r="M36" s="622"/>
      <c r="N36" s="622"/>
      <c r="O36" s="622"/>
      <c r="P36" s="622"/>
      <c r="Q36" s="622"/>
      <c r="R36" s="622"/>
      <c r="S36" s="622"/>
      <c r="T36" s="622"/>
      <c r="U36" s="622"/>
      <c r="V36" s="622"/>
      <c r="W36" s="622"/>
      <c r="X36" s="622"/>
      <c r="Y36" s="622"/>
      <c r="Z36" s="622"/>
      <c r="AA36" s="622"/>
      <c r="AB36" s="622"/>
      <c r="AC36" s="622"/>
      <c r="AD36" s="622"/>
      <c r="AE36" s="622"/>
      <c r="AF36" s="622"/>
      <c r="AG36" s="622"/>
      <c r="AH36" s="622"/>
      <c r="AI36" s="622"/>
      <c r="AJ36" s="622"/>
      <c r="AK36" s="622"/>
      <c r="AL36" s="622"/>
      <c r="AM36" s="622"/>
      <c r="AN36" s="622"/>
      <c r="AO36" s="622"/>
      <c r="AP36" s="622"/>
      <c r="AQ36" s="622"/>
      <c r="AR36" s="622"/>
      <c r="AS36" s="622"/>
      <c r="AT36" s="622"/>
      <c r="AU36" s="622"/>
      <c r="AV36" s="622"/>
      <c r="AW36" s="622"/>
      <c r="AX36" s="622"/>
      <c r="AY36" s="622"/>
      <c r="AZ36" s="622"/>
      <c r="BA36" s="622"/>
      <c r="BB36" s="622"/>
      <c r="BC36" s="622"/>
      <c r="BD36" s="622"/>
      <c r="BE36" s="622"/>
      <c r="BF36" s="622"/>
    </row>
    <row r="37" spans="1:58" x14ac:dyDescent="0.2">
      <c r="A37" s="623" t="s">
        <v>887</v>
      </c>
      <c r="B37" s="376" t="s">
        <v>842</v>
      </c>
      <c r="C37" s="626">
        <f>+C10/C15/C22/(1-C20)*(1+C23)</f>
        <v>0.28409026508742558</v>
      </c>
      <c r="D37" s="627">
        <f t="shared" ref="D37:BE37" si="0">+D10/D15/D22/(1-D20)*(1+D23)</f>
        <v>0.39526934133761987</v>
      </c>
      <c r="E37" s="627">
        <f>+E10/E15/E22/(1-E20)*(1+E23)</f>
        <v>0.59826636830715207</v>
      </c>
      <c r="F37" s="627">
        <f t="shared" si="0"/>
        <v>0.6214236054069372</v>
      </c>
      <c r="G37" s="627">
        <f>+G10/G15/G22/(1-G20)*(1+G23)</f>
        <v>0.21931057556743869</v>
      </c>
      <c r="H37" s="628">
        <f t="shared" si="0"/>
        <v>0.6389139750191648</v>
      </c>
      <c r="I37" s="628">
        <f t="shared" si="0"/>
        <v>0.64474281392782429</v>
      </c>
      <c r="J37" s="628">
        <f t="shared" si="0"/>
        <v>0.36822123445747451</v>
      </c>
      <c r="K37" s="628">
        <f t="shared" si="0"/>
        <v>0.24840565707575157</v>
      </c>
      <c r="L37" s="1600">
        <f>+L10/L15/L22/(1-L20)*(1+L23)</f>
        <v>0.40895817542807955</v>
      </c>
      <c r="M37" s="627">
        <f t="shared" si="0"/>
        <v>0.40490009182760861</v>
      </c>
      <c r="N37" s="628">
        <f t="shared" si="0"/>
        <v>0.45628808068627769</v>
      </c>
      <c r="O37" s="628">
        <f t="shared" si="0"/>
        <v>0.43853591544891446</v>
      </c>
      <c r="P37" s="627">
        <f>+P10/P15/P22/(1-P20)*(1+P23)</f>
        <v>1.0016848469204127</v>
      </c>
      <c r="Q37" s="627">
        <f t="shared" si="0"/>
        <v>0.39308143442464039</v>
      </c>
      <c r="R37" s="627">
        <f t="shared" si="0"/>
        <v>0.26828337304897454</v>
      </c>
      <c r="S37" s="627">
        <f t="shared" si="0"/>
        <v>0.39650886932720136</v>
      </c>
      <c r="T37" s="627">
        <f t="shared" si="0"/>
        <v>0.67285672573356836</v>
      </c>
      <c r="U37" s="628">
        <f t="shared" si="0"/>
        <v>0.23550268432559313</v>
      </c>
      <c r="V37" s="627">
        <f t="shared" si="0"/>
        <v>0.65462799845616748</v>
      </c>
      <c r="W37" s="627">
        <f t="shared" si="0"/>
        <v>0.35643518089545423</v>
      </c>
      <c r="X37" s="628">
        <f t="shared" si="0"/>
        <v>0.58054785789897612</v>
      </c>
      <c r="Y37" s="628">
        <f t="shared" si="0"/>
        <v>0.56249149335853854</v>
      </c>
      <c r="Z37" s="628">
        <f t="shared" si="0"/>
        <v>0.4653184797008002</v>
      </c>
      <c r="AA37" s="628">
        <f t="shared" si="0"/>
        <v>0.61367646069250326</v>
      </c>
      <c r="AB37" s="628">
        <f t="shared" si="0"/>
        <v>0.22407934264834772</v>
      </c>
      <c r="AC37" s="628">
        <f t="shared" si="0"/>
        <v>0.33730458159397358</v>
      </c>
      <c r="AD37" s="628">
        <f t="shared" si="0"/>
        <v>0.47846706875357581</v>
      </c>
      <c r="AE37" s="628">
        <f t="shared" si="0"/>
        <v>0.67683172847085826</v>
      </c>
      <c r="AF37" s="628">
        <f t="shared" si="0"/>
        <v>0.5387157215934163</v>
      </c>
      <c r="AG37" s="628">
        <f t="shared" si="0"/>
        <v>0.495987964548527</v>
      </c>
      <c r="AH37" s="628">
        <f t="shared" si="0"/>
        <v>0.54880538310534088</v>
      </c>
      <c r="AI37" s="628">
        <f t="shared" si="0"/>
        <v>0.43403518460169171</v>
      </c>
      <c r="AJ37" s="628">
        <f t="shared" si="0"/>
        <v>0.25840989129554859</v>
      </c>
      <c r="AK37" s="628">
        <f t="shared" si="0"/>
        <v>0.28904913919325392</v>
      </c>
      <c r="AL37" s="628">
        <f t="shared" si="0"/>
        <v>0.3120069825605436</v>
      </c>
      <c r="AM37" s="628">
        <f t="shared" si="0"/>
        <v>0.55031136478282805</v>
      </c>
      <c r="AN37" s="628">
        <f t="shared" si="0"/>
        <v>0.38065721529281432</v>
      </c>
      <c r="AO37" s="628">
        <f t="shared" si="0"/>
        <v>0.43576328069591036</v>
      </c>
      <c r="AP37" s="627">
        <f t="shared" si="0"/>
        <v>0.33832395590464887</v>
      </c>
      <c r="AQ37" s="628">
        <f t="shared" si="0"/>
        <v>0.46050304596730485</v>
      </c>
      <c r="AR37" s="628">
        <f t="shared" si="0"/>
        <v>0.49518567226420551</v>
      </c>
      <c r="AS37" s="627">
        <f t="shared" si="0"/>
        <v>0.63371560199018118</v>
      </c>
      <c r="AT37" s="627">
        <f t="shared" si="0"/>
        <v>0.24120590374926995</v>
      </c>
      <c r="AU37" s="628">
        <f t="shared" si="0"/>
        <v>0.34140724339415074</v>
      </c>
      <c r="AV37" s="628">
        <f t="shared" si="0"/>
        <v>0.55314613776107735</v>
      </c>
      <c r="AW37" s="628">
        <f t="shared" si="0"/>
        <v>0.48708484571621519</v>
      </c>
      <c r="AX37" s="627">
        <f t="shared" si="0"/>
        <v>0.19675708053719246</v>
      </c>
      <c r="AY37" s="628">
        <f t="shared" si="0"/>
        <v>0.51308743457883876</v>
      </c>
      <c r="AZ37" s="628">
        <f t="shared" si="0"/>
        <v>0.55771920866441349</v>
      </c>
      <c r="BA37" s="628">
        <f t="shared" si="0"/>
        <v>0.29554752138834922</v>
      </c>
      <c r="BB37" s="628">
        <f t="shared" si="0"/>
        <v>0.35433045954043291</v>
      </c>
      <c r="BC37" s="628">
        <f t="shared" si="0"/>
        <v>0.45748936309324073</v>
      </c>
      <c r="BD37" s="628">
        <f t="shared" si="0"/>
        <v>0.90468973480457193</v>
      </c>
      <c r="BE37" s="628">
        <f t="shared" si="0"/>
        <v>0.4968748876273178</v>
      </c>
      <c r="BF37" s="628">
        <f t="shared" ref="BF37" si="1">+BF10/BF15/BF22/(1-BF20)*(1+BF23)</f>
        <v>0.2947835950672556</v>
      </c>
    </row>
    <row r="38" spans="1:58" x14ac:dyDescent="0.2">
      <c r="A38" s="1811" t="s">
        <v>944</v>
      </c>
      <c r="B38" s="376" t="s">
        <v>870</v>
      </c>
      <c r="C38" s="626">
        <f>+C12*C17*C24/C15*(1+C23)/(1-C20)</f>
        <v>0.2234084703421863</v>
      </c>
      <c r="D38" s="626">
        <f>+D12*D17*D24/D15*(1+D23)/(1-D20)</f>
        <v>0.35924301525199287</v>
      </c>
      <c r="E38" s="627">
        <f>+E12*E17*E24/E15*(1+E23)/(1-E20)</f>
        <v>0.4057714543350569</v>
      </c>
      <c r="F38" s="627">
        <f t="shared" ref="F38:AH38" si="2">+F12*F17*F24/F15*(1+F23)/(1-F20)</f>
        <v>0.24327150045698348</v>
      </c>
      <c r="G38" s="627">
        <f t="shared" si="2"/>
        <v>8.644125331040689E-2</v>
      </c>
      <c r="H38" s="627">
        <f t="shared" si="2"/>
        <v>0.39796513682734524</v>
      </c>
      <c r="I38" s="627">
        <f t="shared" si="2"/>
        <v>0.54594759707925589</v>
      </c>
      <c r="J38" s="627">
        <f t="shared" si="2"/>
        <v>0.21409819183080075</v>
      </c>
      <c r="K38" s="627">
        <f t="shared" si="2"/>
        <v>0.15347720040232712</v>
      </c>
      <c r="L38" s="627">
        <f>+L12*L17*L24/L15*(1+L23)/(1-L20)</f>
        <v>0.19211593854151948</v>
      </c>
      <c r="M38" s="627">
        <f t="shared" si="2"/>
        <v>0.22783063797094863</v>
      </c>
      <c r="N38" s="627">
        <f t="shared" si="2"/>
        <v>0.42652703907272577</v>
      </c>
      <c r="O38" s="627">
        <f t="shared" si="2"/>
        <v>0.28560150095065351</v>
      </c>
      <c r="P38" s="627">
        <f>+P12*P17*P24/P15*(1+P23)/(1-P20)</f>
        <v>0.54593640579937563</v>
      </c>
      <c r="Q38" s="627">
        <f t="shared" si="2"/>
        <v>0.13970712790617729</v>
      </c>
      <c r="R38" s="627">
        <f t="shared" si="2"/>
        <v>0.13515191843282198</v>
      </c>
      <c r="S38" s="627">
        <f t="shared" si="2"/>
        <v>0.17554943349221824</v>
      </c>
      <c r="T38" s="627">
        <f t="shared" si="2"/>
        <v>0.35949984530069107</v>
      </c>
      <c r="U38" s="627">
        <f t="shared" si="2"/>
        <v>0.16969178355973857</v>
      </c>
      <c r="V38" s="627">
        <f t="shared" si="2"/>
        <v>0.50763273285504373</v>
      </c>
      <c r="W38" s="627">
        <f>+W12*W17*W24/W15*(1+W23)/(1-W20)</f>
        <v>0.19132217898893489</v>
      </c>
      <c r="X38" s="627">
        <f t="shared" si="2"/>
        <v>0.44838387788126466</v>
      </c>
      <c r="Y38" s="627">
        <f t="shared" si="2"/>
        <v>0.30862892027600503</v>
      </c>
      <c r="Z38" s="627">
        <f t="shared" si="2"/>
        <v>0.24104633629283628</v>
      </c>
      <c r="AA38" s="627">
        <f t="shared" si="2"/>
        <v>0.33299072858043055</v>
      </c>
      <c r="AB38" s="627">
        <f t="shared" si="2"/>
        <v>0.11214796884629007</v>
      </c>
      <c r="AC38" s="627">
        <f t="shared" si="2"/>
        <v>0.11496288930275494</v>
      </c>
      <c r="AD38" s="627">
        <f t="shared" si="2"/>
        <v>0.24046694238286689</v>
      </c>
      <c r="AE38" s="627">
        <f t="shared" si="2"/>
        <v>0.27879429790371096</v>
      </c>
      <c r="AF38" s="627">
        <f t="shared" si="2"/>
        <v>0.36532202584232903</v>
      </c>
      <c r="AG38" s="627">
        <f t="shared" si="2"/>
        <v>0.28266069959481471</v>
      </c>
      <c r="AH38" s="627">
        <f t="shared" si="2"/>
        <v>0.4182946666974679</v>
      </c>
      <c r="AI38" s="627">
        <f t="shared" ref="AI38:BE38" si="3">+AI12*AI17*AI24/AI15*(1+AI23)/(1-AI20)</f>
        <v>0.25901144261968689</v>
      </c>
      <c r="AJ38" s="627">
        <f t="shared" si="3"/>
        <v>0.16141840891763801</v>
      </c>
      <c r="AK38" s="627">
        <f t="shared" si="3"/>
        <v>9.6909518996862523E-2</v>
      </c>
      <c r="AL38" s="627">
        <f t="shared" si="3"/>
        <v>4.7698093019780972E-2</v>
      </c>
      <c r="AM38" s="627">
        <f t="shared" si="3"/>
        <v>0.30243839255855232</v>
      </c>
      <c r="AN38" s="627">
        <f t="shared" si="3"/>
        <v>0.1010738659936006</v>
      </c>
      <c r="AO38" s="627">
        <f t="shared" si="3"/>
        <v>0.17497327467300025</v>
      </c>
      <c r="AP38" s="627">
        <f t="shared" si="3"/>
        <v>0.19205015369771422</v>
      </c>
      <c r="AQ38" s="627">
        <f t="shared" si="3"/>
        <v>0.24822293963157258</v>
      </c>
      <c r="AR38" s="627">
        <f t="shared" si="3"/>
        <v>0.44932302071454738</v>
      </c>
      <c r="AS38" s="627">
        <f t="shared" si="3"/>
        <v>0.31703349520282054</v>
      </c>
      <c r="AT38" s="627">
        <f>+AT12*AT17*AT24/AT15*(1+AT23)/(1-AT20)</f>
        <v>0.13334203725293908</v>
      </c>
      <c r="AU38" s="627">
        <f t="shared" si="3"/>
        <v>0.18009029281270769</v>
      </c>
      <c r="AV38" s="627">
        <f t="shared" si="3"/>
        <v>0.46031208104372068</v>
      </c>
      <c r="AW38" s="627">
        <f t="shared" si="3"/>
        <v>0.36691379593880036</v>
      </c>
      <c r="AX38" s="627">
        <f t="shared" si="3"/>
        <v>5.7491275848932807E-2</v>
      </c>
      <c r="AY38" s="627">
        <f t="shared" si="3"/>
        <v>0.21503856741162788</v>
      </c>
      <c r="AZ38" s="627">
        <f t="shared" si="3"/>
        <v>0.3220647599640184</v>
      </c>
      <c r="BA38" s="627">
        <f t="shared" si="3"/>
        <v>0.2268502027840324</v>
      </c>
      <c r="BB38" s="627">
        <f t="shared" si="3"/>
        <v>0.32343664245733517</v>
      </c>
      <c r="BC38" s="627">
        <f t="shared" si="3"/>
        <v>0.34829139716034435</v>
      </c>
      <c r="BD38" s="627">
        <f t="shared" si="3"/>
        <v>0.50740711164579833</v>
      </c>
      <c r="BE38" s="627">
        <f t="shared" si="3"/>
        <v>0.24139788073587365</v>
      </c>
      <c r="BF38" s="627">
        <f t="shared" ref="BF38" si="4">+BF12*BF17*BF24/BF15*(1+BF23)/(1-BF20)</f>
        <v>0.12312916621339286</v>
      </c>
    </row>
    <row r="39" spans="1:58" x14ac:dyDescent="0.2">
      <c r="A39" s="1812"/>
      <c r="B39" s="376" t="s">
        <v>873</v>
      </c>
      <c r="C39" s="629">
        <f>+C12*C26*(1-C17)/C15*(1+C23)/(1-C20)</f>
        <v>0.13404508220531186</v>
      </c>
      <c r="D39" s="630">
        <f t="shared" ref="D39:AH39" si="5">+D12*D26*(1-D17)/D15*(1+D23)/(1-D20)</f>
        <v>0.21554580915119573</v>
      </c>
      <c r="E39" s="624">
        <f t="shared" si="5"/>
        <v>0.30432859075129276</v>
      </c>
      <c r="F39" s="624">
        <f t="shared" si="5"/>
        <v>0.18245362534273768</v>
      </c>
      <c r="G39" s="624">
        <f t="shared" si="5"/>
        <v>6.4830939982805189E-2</v>
      </c>
      <c r="H39" s="624">
        <f t="shared" si="5"/>
        <v>0.29847385262050896</v>
      </c>
      <c r="I39" s="624">
        <f t="shared" si="5"/>
        <v>0.32756855824755371</v>
      </c>
      <c r="J39" s="624">
        <f t="shared" si="5"/>
        <v>0.16057364387310058</v>
      </c>
      <c r="K39" s="624">
        <f t="shared" si="5"/>
        <v>0.11510790030174538</v>
      </c>
      <c r="L39" s="624">
        <f t="shared" si="5"/>
        <v>0.14408695390613965</v>
      </c>
      <c r="M39" s="624">
        <f t="shared" si="5"/>
        <v>0.17087297847821153</v>
      </c>
      <c r="N39" s="624">
        <f t="shared" si="5"/>
        <v>0.25591622344363546</v>
      </c>
      <c r="O39" s="624">
        <f t="shared" si="5"/>
        <v>0.21420112571299021</v>
      </c>
      <c r="P39" s="624">
        <f t="shared" si="5"/>
        <v>0.40945230434953184</v>
      </c>
      <c r="Q39" s="627">
        <f t="shared" si="5"/>
        <v>0.10478034592963298</v>
      </c>
      <c r="R39" s="624">
        <f t="shared" si="5"/>
        <v>0.10136393882461653</v>
      </c>
      <c r="S39" s="624">
        <f t="shared" si="5"/>
        <v>0.13166207511916375</v>
      </c>
      <c r="T39" s="624">
        <f t="shared" si="5"/>
        <v>0.26962488397551843</v>
      </c>
      <c r="U39" s="624">
        <f t="shared" si="5"/>
        <v>0.12726883766980393</v>
      </c>
      <c r="V39" s="627">
        <f t="shared" si="5"/>
        <v>0.30457963971302632</v>
      </c>
      <c r="W39" s="624">
        <f t="shared" si="5"/>
        <v>0.14349163424170122</v>
      </c>
      <c r="X39" s="624">
        <f t="shared" si="5"/>
        <v>0.33628790841094869</v>
      </c>
      <c r="Y39" s="624">
        <f t="shared" si="5"/>
        <v>0.23147169020700384</v>
      </c>
      <c r="Z39" s="624">
        <f t="shared" si="5"/>
        <v>0.18078475221962728</v>
      </c>
      <c r="AA39" s="624">
        <f t="shared" si="5"/>
        <v>0.24974304643532302</v>
      </c>
      <c r="AB39" s="624">
        <f t="shared" si="5"/>
        <v>8.4110976634717574E-2</v>
      </c>
      <c r="AC39" s="624">
        <f t="shared" si="5"/>
        <v>8.6222166977066236E-2</v>
      </c>
      <c r="AD39" s="624">
        <f t="shared" si="5"/>
        <v>0.18035020678715022</v>
      </c>
      <c r="AE39" s="624">
        <f t="shared" si="5"/>
        <v>0.20909572342778335</v>
      </c>
      <c r="AF39" s="624">
        <f t="shared" si="5"/>
        <v>0.27399151938174687</v>
      </c>
      <c r="AG39" s="624">
        <f t="shared" si="5"/>
        <v>0.21199552469611113</v>
      </c>
      <c r="AH39" s="624">
        <f t="shared" si="5"/>
        <v>0.25097680001848083</v>
      </c>
      <c r="AI39" s="624">
        <f t="shared" ref="AI39:BE39" si="6">+AI12*AI26*(1-AI17)/AI15*(1+AI23)/(1-AI20)</f>
        <v>0.19425858196476517</v>
      </c>
      <c r="AJ39" s="624">
        <f t="shared" si="6"/>
        <v>0.12106380668822853</v>
      </c>
      <c r="AK39" s="624">
        <f t="shared" si="6"/>
        <v>7.2682139247646924E-2</v>
      </c>
      <c r="AL39" s="624">
        <f t="shared" si="6"/>
        <v>3.5773569764835735E-2</v>
      </c>
      <c r="AM39" s="624">
        <f t="shared" si="6"/>
        <v>0.22682879441891426</v>
      </c>
      <c r="AN39" s="624">
        <f t="shared" si="6"/>
        <v>7.5805399495200473E-2</v>
      </c>
      <c r="AO39" s="624">
        <f t="shared" si="6"/>
        <v>0.13122995600475021</v>
      </c>
      <c r="AP39" s="624">
        <f t="shared" si="6"/>
        <v>0.14403761527328574</v>
      </c>
      <c r="AQ39" s="624">
        <f t="shared" si="6"/>
        <v>0.18616720472367951</v>
      </c>
      <c r="AR39" s="624">
        <f t="shared" si="6"/>
        <v>0.26959381242872849</v>
      </c>
      <c r="AS39" s="627">
        <f t="shared" si="6"/>
        <v>0.23777512140211546</v>
      </c>
      <c r="AT39" s="627">
        <f t="shared" si="6"/>
        <v>0.10000652793970434</v>
      </c>
      <c r="AU39" s="624">
        <f t="shared" si="6"/>
        <v>0.13506771960953079</v>
      </c>
      <c r="AV39" s="624">
        <f t="shared" si="6"/>
        <v>0.27618724862623251</v>
      </c>
      <c r="AW39" s="624">
        <f t="shared" si="6"/>
        <v>0.22014827756328029</v>
      </c>
      <c r="AX39" s="624">
        <f t="shared" si="6"/>
        <v>4.3118456886699616E-2</v>
      </c>
      <c r="AY39" s="624">
        <f t="shared" si="6"/>
        <v>0.16127892555872095</v>
      </c>
      <c r="AZ39" s="624">
        <f t="shared" si="6"/>
        <v>0.24154856997301388</v>
      </c>
      <c r="BA39" s="624">
        <f t="shared" si="6"/>
        <v>0.13611012167041947</v>
      </c>
      <c r="BB39" s="624">
        <f t="shared" si="6"/>
        <v>0.19406198547440112</v>
      </c>
      <c r="BC39" s="624">
        <f t="shared" si="6"/>
        <v>0.20897483829620664</v>
      </c>
      <c r="BD39" s="624">
        <f t="shared" si="6"/>
        <v>0.38055533373434874</v>
      </c>
      <c r="BE39" s="624">
        <f t="shared" si="6"/>
        <v>0.18104841055190535</v>
      </c>
      <c r="BF39" s="624">
        <f t="shared" ref="BF39" si="7">+BF12*BF26*(1-BF17)/BF15*(1+BF23)/(1-BF20)</f>
        <v>9.2346874660044653E-2</v>
      </c>
    </row>
    <row r="40" spans="1:58" x14ac:dyDescent="0.2">
      <c r="A40" s="1812"/>
      <c r="B40" s="376" t="s">
        <v>876</v>
      </c>
      <c r="C40" s="626">
        <f>-((C8+C14/2)*C18/C15*(1+C23)/(1-C20)/C19)</f>
        <v>-0.22011972803997717</v>
      </c>
      <c r="D40" s="627">
        <f t="shared" ref="D40:BE40" si="8">-((D8+D14/2)*D18/D15*(1+D23)/(1-D20)/D19)</f>
        <v>-0.33938033909954374</v>
      </c>
      <c r="E40" s="627">
        <f>-((E8+E14/2)*E18/E15*(1+E23)/(1-E20)/E19)</f>
        <v>-0.47592982917652815</v>
      </c>
      <c r="F40" s="627">
        <f t="shared" si="8"/>
        <v>-0.540748916790316</v>
      </c>
      <c r="G40" s="627">
        <f t="shared" si="8"/>
        <v>-0.28244472251969588</v>
      </c>
      <c r="H40" s="627">
        <f t="shared" si="8"/>
        <v>-0.55606673883462232</v>
      </c>
      <c r="I40" s="627">
        <f t="shared" si="8"/>
        <v>-0.47735443255276105</v>
      </c>
      <c r="J40" s="627">
        <f t="shared" si="8"/>
        <v>-0.41240239918455684</v>
      </c>
      <c r="K40" s="627">
        <f t="shared" si="8"/>
        <v>-0.22986872266376099</v>
      </c>
      <c r="L40" s="627">
        <f t="shared" si="8"/>
        <v>-0.43297969941458031</v>
      </c>
      <c r="M40" s="627">
        <f>-((M8+M14/2)*M18/M15*(1+M23)/(1-M20)/M19)</f>
        <v>-0.39889143671515792</v>
      </c>
      <c r="N40" s="627">
        <f t="shared" si="8"/>
        <v>-0.35971676716079809</v>
      </c>
      <c r="O40" s="627">
        <f t="shared" si="8"/>
        <v>-0.34079725680486056</v>
      </c>
      <c r="P40" s="627">
        <f t="shared" si="8"/>
        <v>-0.53003152044987634</v>
      </c>
      <c r="Q40" s="627">
        <f>-((Q8+Q14/2)*Q18/Q15*(1+Q23)/(1-Q20)/Q19)</f>
        <v>-0.25833069407623299</v>
      </c>
      <c r="R40" s="627">
        <f t="shared" si="8"/>
        <v>-0.2689997921521064</v>
      </c>
      <c r="S40" s="627">
        <f t="shared" si="8"/>
        <v>-0.41678501862037165</v>
      </c>
      <c r="T40" s="627">
        <f t="shared" si="8"/>
        <v>-0.40342067353868366</v>
      </c>
      <c r="U40" s="627">
        <f t="shared" si="8"/>
        <v>-0.30388833715782643</v>
      </c>
      <c r="V40" s="627">
        <f t="shared" si="8"/>
        <v>-0.43651926448876199</v>
      </c>
      <c r="W40" s="627">
        <f t="shared" si="8"/>
        <v>-0.31548937728365051</v>
      </c>
      <c r="X40" s="627">
        <f t="shared" si="8"/>
        <v>-0.78027232410309877</v>
      </c>
      <c r="Y40" s="627">
        <f t="shared" si="8"/>
        <v>-0.55628078376053469</v>
      </c>
      <c r="Z40" s="627">
        <f t="shared" si="8"/>
        <v>-0.47926477244112842</v>
      </c>
      <c r="AA40" s="627">
        <f t="shared" si="8"/>
        <v>-0.58577671789564478</v>
      </c>
      <c r="AB40" s="627">
        <f t="shared" si="8"/>
        <v>-0.28768530194183212</v>
      </c>
      <c r="AC40" s="627">
        <f t="shared" si="8"/>
        <v>-0.29182331666148192</v>
      </c>
      <c r="AD40" s="627">
        <f t="shared" si="8"/>
        <v>-0.37025894610044741</v>
      </c>
      <c r="AE40" s="627">
        <f t="shared" si="8"/>
        <v>-0.42972390842963581</v>
      </c>
      <c r="AF40" s="627">
        <f t="shared" si="8"/>
        <v>-0.28159516115182059</v>
      </c>
      <c r="AG40" s="627">
        <f t="shared" si="8"/>
        <v>-0.54641208254394891</v>
      </c>
      <c r="AH40" s="627">
        <f t="shared" si="8"/>
        <v>-0.56566074699981339</v>
      </c>
      <c r="AI40" s="627">
        <f t="shared" si="8"/>
        <v>-0.43569127188707524</v>
      </c>
      <c r="AJ40" s="627">
        <f t="shared" si="8"/>
        <v>-0.32136891827218322</v>
      </c>
      <c r="AK40" s="627">
        <f t="shared" si="8"/>
        <v>-0.22756015626680898</v>
      </c>
      <c r="AL40" s="627">
        <f t="shared" si="8"/>
        <v>-0.22366379440723633</v>
      </c>
      <c r="AM40" s="627">
        <f t="shared" si="8"/>
        <v>-0.43572029857207634</v>
      </c>
      <c r="AN40" s="627">
        <f t="shared" si="8"/>
        <v>-0.28851158476146854</v>
      </c>
      <c r="AO40" s="627">
        <f t="shared" si="8"/>
        <v>-0.34146314991386417</v>
      </c>
      <c r="AP40" s="627">
        <f t="shared" si="8"/>
        <v>-0.18639763736499693</v>
      </c>
      <c r="AQ40" s="627">
        <f t="shared" si="8"/>
        <v>-0.32845862720267893</v>
      </c>
      <c r="AR40" s="627">
        <f t="shared" si="8"/>
        <v>-0.36891318831013414</v>
      </c>
      <c r="AS40" s="627">
        <f t="shared" si="8"/>
        <v>-0.5743827155561122</v>
      </c>
      <c r="AT40" s="627">
        <f t="shared" si="8"/>
        <v>-0.3108611769600973</v>
      </c>
      <c r="AU40" s="627">
        <f t="shared" si="8"/>
        <v>-0.43832147884792955</v>
      </c>
      <c r="AV40" s="627">
        <f t="shared" si="8"/>
        <v>-0.48049259399584027</v>
      </c>
      <c r="AW40" s="627">
        <f t="shared" si="8"/>
        <v>-0.31279517291709735</v>
      </c>
      <c r="AX40" s="627">
        <f t="shared" si="8"/>
        <v>-0.24428647207441095</v>
      </c>
      <c r="AY40" s="627">
        <f t="shared" si="8"/>
        <v>-0.33546926711832981</v>
      </c>
      <c r="AZ40" s="627">
        <f t="shared" si="8"/>
        <v>-0.41887951005261753</v>
      </c>
      <c r="BA40" s="627">
        <f t="shared" si="8"/>
        <v>-0.3209726675040504</v>
      </c>
      <c r="BB40" s="627">
        <f t="shared" si="8"/>
        <v>-0.23326115132089401</v>
      </c>
      <c r="BC40" s="627">
        <f t="shared" si="8"/>
        <v>-0.35434503473690565</v>
      </c>
      <c r="BD40" s="627">
        <f t="shared" si="8"/>
        <v>-0.29692703957186906</v>
      </c>
      <c r="BE40" s="627">
        <f t="shared" si="8"/>
        <v>-0.36772618590060985</v>
      </c>
      <c r="BF40" s="627">
        <f t="shared" ref="BF40" si="9">-((BF8+BF14/2)*BF18/BF15*(1+BF23)/(1-BF20)/BF19)</f>
        <v>-0.17015297798559842</v>
      </c>
    </row>
    <row r="41" spans="1:58" x14ac:dyDescent="0.2">
      <c r="A41" s="1812"/>
      <c r="B41" s="376" t="s">
        <v>879</v>
      </c>
      <c r="C41" s="626">
        <f>+C14*C25/C15*(1+C23)/(1-C20)</f>
        <v>8.3945564937068076E-2</v>
      </c>
      <c r="D41" s="627">
        <f t="shared" ref="D41:BE41" si="10">+D14*D25/D15*(1+D23)/(1-D20)</f>
        <v>7.0324217937121958E-2</v>
      </c>
      <c r="E41" s="627">
        <f t="shared" si="10"/>
        <v>0.14125861125907629</v>
      </c>
      <c r="F41" s="627">
        <f t="shared" si="10"/>
        <v>0.1927945077492762</v>
      </c>
      <c r="G41" s="627">
        <f t="shared" si="10"/>
        <v>0.15849060339801271</v>
      </c>
      <c r="H41" s="627">
        <f t="shared" si="10"/>
        <v>0</v>
      </c>
      <c r="I41" s="627">
        <f t="shared" si="10"/>
        <v>4.0505923413249448E-2</v>
      </c>
      <c r="J41" s="627">
        <f t="shared" si="10"/>
        <v>4.122638744397239E-2</v>
      </c>
      <c r="K41" s="627">
        <f t="shared" si="10"/>
        <v>0.11582534842652394</v>
      </c>
      <c r="L41" s="627">
        <f t="shared" si="10"/>
        <v>0.18822403009207964</v>
      </c>
      <c r="M41" s="627">
        <f t="shared" si="10"/>
        <v>5.3771251426121394E-2</v>
      </c>
      <c r="N41" s="627">
        <f t="shared" si="10"/>
        <v>4.325038395504531E-2</v>
      </c>
      <c r="O41" s="627">
        <f t="shared" si="10"/>
        <v>1.8938017563401837E-2</v>
      </c>
      <c r="P41" s="627">
        <f t="shared" si="10"/>
        <v>7.837172424076045E-3</v>
      </c>
      <c r="Q41" s="627">
        <f t="shared" si="10"/>
        <v>0.11186029058281247</v>
      </c>
      <c r="R41" s="627">
        <f t="shared" si="10"/>
        <v>0.18119836379627385</v>
      </c>
      <c r="S41" s="627">
        <f t="shared" si="10"/>
        <v>7.1595444655506491E-2</v>
      </c>
      <c r="T41" s="627">
        <f t="shared" si="10"/>
        <v>7.0562822936936748E-2</v>
      </c>
      <c r="U41" s="627">
        <f t="shared" si="10"/>
        <v>9.2825329219190303E-2</v>
      </c>
      <c r="V41" s="627">
        <f t="shared" si="10"/>
        <v>0.10240462244026381</v>
      </c>
      <c r="W41" s="627">
        <f t="shared" si="10"/>
        <v>0.12283176140140123</v>
      </c>
      <c r="X41" s="627">
        <f t="shared" si="10"/>
        <v>0.13839212422515637</v>
      </c>
      <c r="Y41" s="627">
        <f t="shared" si="10"/>
        <v>0.1562794963848215</v>
      </c>
      <c r="Z41" s="627">
        <f t="shared" si="10"/>
        <v>0.11780349197529241</v>
      </c>
      <c r="AA41" s="627">
        <f t="shared" si="10"/>
        <v>0</v>
      </c>
      <c r="AB41" s="627">
        <f t="shared" si="10"/>
        <v>0.10553344208178742</v>
      </c>
      <c r="AC41" s="627">
        <f t="shared" si="10"/>
        <v>3.7178721465747751E-2</v>
      </c>
      <c r="AD41" s="627">
        <f t="shared" si="10"/>
        <v>0.22037116864054679</v>
      </c>
      <c r="AE41" s="627">
        <f t="shared" si="10"/>
        <v>0.17471614164949942</v>
      </c>
      <c r="AF41" s="627">
        <f t="shared" si="10"/>
        <v>8.7805703982191716E-2</v>
      </c>
      <c r="AG41" s="627">
        <f t="shared" si="10"/>
        <v>0.2435883867445128</v>
      </c>
      <c r="AH41" s="627">
        <f t="shared" si="10"/>
        <v>8.2656650862965433E-2</v>
      </c>
      <c r="AI41" s="627">
        <f t="shared" si="10"/>
        <v>5.3329394914183037E-2</v>
      </c>
      <c r="AJ41" s="627">
        <f t="shared" si="10"/>
        <v>0.1291040044014817</v>
      </c>
      <c r="AK41" s="627">
        <f t="shared" si="10"/>
        <v>0.13522298454793472</v>
      </c>
      <c r="AL41" s="627">
        <f t="shared" si="10"/>
        <v>0.15544136215820645</v>
      </c>
      <c r="AM41" s="627">
        <f t="shared" si="10"/>
        <v>7.021494628551285E-2</v>
      </c>
      <c r="AN41" s="627">
        <f t="shared" si="10"/>
        <v>7.3795434085717052E-2</v>
      </c>
      <c r="AO41" s="627">
        <f t="shared" si="10"/>
        <v>0.12905144471187593</v>
      </c>
      <c r="AP41" s="627">
        <f t="shared" si="10"/>
        <v>0</v>
      </c>
      <c r="AQ41" s="627">
        <f t="shared" si="10"/>
        <v>5.1611804934373763E-2</v>
      </c>
      <c r="AR41" s="627">
        <f t="shared" si="10"/>
        <v>5.3405864216795565E-2</v>
      </c>
      <c r="AS41" s="627">
        <f t="shared" si="10"/>
        <v>0.21467285497867741</v>
      </c>
      <c r="AT41" s="627">
        <f t="shared" si="10"/>
        <v>0.13966031751898464</v>
      </c>
      <c r="AU41" s="627">
        <f t="shared" si="10"/>
        <v>0</v>
      </c>
      <c r="AV41" s="627">
        <f t="shared" si="10"/>
        <v>8.4024173252290779E-2</v>
      </c>
      <c r="AW41" s="627">
        <f t="shared" si="10"/>
        <v>3.7421018467154801E-2</v>
      </c>
      <c r="AX41" s="627">
        <f t="shared" si="10"/>
        <v>0.14032198830870088</v>
      </c>
      <c r="AY41" s="627">
        <f t="shared" si="10"/>
        <v>0.21623041548243455</v>
      </c>
      <c r="AZ41" s="627">
        <f t="shared" si="10"/>
        <v>6.5697020921066607E-2</v>
      </c>
      <c r="BA41" s="627">
        <f t="shared" si="10"/>
        <v>9.1291525974366516E-2</v>
      </c>
      <c r="BB41" s="627">
        <f t="shared" si="10"/>
        <v>4.6821157481821696E-4</v>
      </c>
      <c r="BC41" s="627">
        <f t="shared" si="10"/>
        <v>9.9910815400469102E-2</v>
      </c>
      <c r="BD41" s="627">
        <f t="shared" si="10"/>
        <v>0.14604014867324788</v>
      </c>
      <c r="BE41" s="627">
        <f t="shared" si="10"/>
        <v>0.12680283299596268</v>
      </c>
      <c r="BF41" s="627">
        <f t="shared" ref="BF41" si="11">+BF14*BF25/BF15*(1+BF23)/(1-BF20)</f>
        <v>3.6874078281306504E-2</v>
      </c>
    </row>
    <row r="42" spans="1:58" x14ac:dyDescent="0.2">
      <c r="A42" s="1812"/>
      <c r="B42" s="376" t="s">
        <v>881</v>
      </c>
      <c r="C42" s="629">
        <f>+'הנחות עבודה'!$D$8/(1-C20)</f>
        <v>5.4391941879403074</v>
      </c>
      <c r="D42" s="624">
        <f>+'הנחות עבודה'!$D$8/(1-D20)</f>
        <v>5.5502652696703043</v>
      </c>
      <c r="E42" s="624">
        <f>+'הנחות עבודה'!$D$8/(1-E20)</f>
        <v>5.5030913595591393</v>
      </c>
      <c r="F42" s="624">
        <f>+'הנחות עבודה'!$D$8/(1-F20)</f>
        <v>5.3472625250078227</v>
      </c>
      <c r="G42" s="624">
        <f>+'הנחות עבודה'!$D$8/(1-G20)</f>
        <v>5.2789852546395055</v>
      </c>
      <c r="H42" s="624">
        <f>+'הנחות עבודה'!$D$8/(1-H20)</f>
        <v>5.2813708878399686</v>
      </c>
      <c r="I42" s="624">
        <f>+'הנחות עבודה'!$D$8/(1-I20)</f>
        <v>5.5629767234075729</v>
      </c>
      <c r="J42" s="624">
        <f>+'הנחות עבודה'!$D$8/(1-J20)</f>
        <v>5.2423073127226125</v>
      </c>
      <c r="K42" s="624">
        <f>+'הנחות עבודה'!$D$8/(1-K20)</f>
        <v>5.4861367010921507</v>
      </c>
      <c r="L42" s="624">
        <f>+'הנחות עבודה'!$D$8/(1-L20)</f>
        <v>5.2813708878399686</v>
      </c>
      <c r="M42" s="624">
        <f>+'הנחות עבודה'!$D$8/(1-M20)</f>
        <v>5.2410943322045354</v>
      </c>
      <c r="N42" s="624">
        <f>+'הנחות עבודה'!$D$8/(1-N20)</f>
        <v>5.541646685626219</v>
      </c>
      <c r="O42" s="624">
        <f>+'הנחות עבודה'!$D$8/(1-O20)</f>
        <v>5.2415226648678903</v>
      </c>
      <c r="P42" s="624">
        <f>+'הנחות עבודה'!$D$8/(1-P20)</f>
        <v>5.367414487520362</v>
      </c>
      <c r="Q42" s="627">
        <f>+'הנחות עבודה'!$D$8/(1-Q20)</f>
        <v>5.3401819220191653</v>
      </c>
      <c r="R42" s="624">
        <f>+'הנחות עבודה'!$D$8/(1-R20)</f>
        <v>5.2813708878399686</v>
      </c>
      <c r="S42" s="624">
        <f>+'הנחות עבודה'!$D$8/(1-S20)</f>
        <v>5.3017187829404522</v>
      </c>
      <c r="T42" s="624">
        <f>+'הנחות עבודה'!$D$8/(1-T20)</f>
        <v>5.2242004725174906</v>
      </c>
      <c r="U42" s="624">
        <f>+'הנחות עבודה'!$D$8/(1-U20)</f>
        <v>5.2813708878399686</v>
      </c>
      <c r="V42" s="627">
        <f>+'הנחות עבודה'!$D$8/(1-V20)</f>
        <v>5.5349826469549743</v>
      </c>
      <c r="W42" s="624">
        <f>+'הנחות עבודה'!$D$8/(1-W20)</f>
        <v>5.5506126829443465</v>
      </c>
      <c r="X42" s="624">
        <f>+'הנחות עבודה'!$D$8/(1-X20)</f>
        <v>5.2813708878399686</v>
      </c>
      <c r="Y42" s="624">
        <f>+'הנחות עבודה'!$D$8/(1-Y20)</f>
        <v>5.3418459073791604</v>
      </c>
      <c r="Z42" s="624">
        <f>+'הנחות עבודה'!$D$8/(1-Z20)</f>
        <v>5.2813708878399686</v>
      </c>
      <c r="AA42" s="624">
        <f>+'הנחות עבודה'!$D$8/(1-AA20)</f>
        <v>5.2126769971309095</v>
      </c>
      <c r="AB42" s="624">
        <f>+'הנחות עבודה'!$D$8/(1-AB20)</f>
        <v>5.3765504253670322</v>
      </c>
      <c r="AC42" s="624">
        <f>+'הנחות עבודה'!$D$8/(1-AC20)</f>
        <v>5.2474025379277647</v>
      </c>
      <c r="AD42" s="624">
        <f>+'הנחות עבודה'!$D$8/(1-AD20)</f>
        <v>5.2813708878399686</v>
      </c>
      <c r="AE42" s="624">
        <f>+'הנחות עבודה'!$D$8/(1-AE20)</f>
        <v>5.2813708878399686</v>
      </c>
      <c r="AF42" s="624">
        <f>+'הנחות עבודה'!$D$8/(1-AF20)</f>
        <v>5.2667674057517626</v>
      </c>
      <c r="AG42" s="624">
        <f>+'הנחות עבודה'!$D$8/(1-AG20)</f>
        <v>5.2813708878399686</v>
      </c>
      <c r="AH42" s="624">
        <f>+'הנחות עבודה'!$D$8/(1-AH20)</f>
        <v>5.5091887683453864</v>
      </c>
      <c r="AI42" s="624">
        <f>+'הנחות עבודה'!$D$8/(1-AI20)</f>
        <v>5.2813708878399686</v>
      </c>
      <c r="AJ42" s="624">
        <f>+'הנחות עבודה'!$D$8/(1-AJ20)</f>
        <v>5.3549906649226697</v>
      </c>
      <c r="AK42" s="624">
        <f>+'הנחות עבודה'!$D$8/(1-AK20)</f>
        <v>5.2813708878399686</v>
      </c>
      <c r="AL42" s="624">
        <f>+'הנחות עבודה'!$D$8/(1-AL20)</f>
        <v>5.2742919399483146</v>
      </c>
      <c r="AM42" s="624">
        <f>+'הנחות עבודה'!$D$8/(1-AM20)</f>
        <v>5.2690851088983699</v>
      </c>
      <c r="AN42" s="624">
        <f>+'הנחות עבודה'!$D$8/(1-AN20)</f>
        <v>5.2410893241842027</v>
      </c>
      <c r="AO42" s="624">
        <f>+'הנחות עבודה'!$D$8/(1-AO20)</f>
        <v>5.2347311337533968</v>
      </c>
      <c r="AP42" s="624">
        <f>+'הנחות עבודה'!$D$8/(1-AP20)</f>
        <v>5.2098557504316032</v>
      </c>
      <c r="AQ42" s="624">
        <f>+'הנחות עבודה'!$D$8/(1-AQ20)</f>
        <v>5.316170297295356</v>
      </c>
      <c r="AR42" s="624">
        <f>+'הנחות עבודה'!$D$8/(1-AR20)</f>
        <v>5.5489162935071867</v>
      </c>
      <c r="AS42" s="627">
        <f>+'הנחות עבודה'!$D$8/(1-AS20)</f>
        <v>5.4532488662532028</v>
      </c>
      <c r="AT42" s="627">
        <f>+'הנחות עבודה'!$D$8/(1-AT20)</f>
        <v>5.4726183016057615</v>
      </c>
      <c r="AU42" s="624">
        <f>+'הנחות עבודה'!$D$8/(1-AU20)</f>
        <v>5.2813708878399686</v>
      </c>
      <c r="AV42" s="624">
        <f>+'הנחות עבודה'!$D$8/(1-AV20)</f>
        <v>5.5437864614950154</v>
      </c>
      <c r="AW42" s="624">
        <f>+'הנחות עבודה'!$D$8/(1-AW20)</f>
        <v>5.5575673981775502</v>
      </c>
      <c r="AX42" s="624">
        <f>+'הנחות עבודה'!$D$8/(1-AX20)</f>
        <v>5.3399463873746331</v>
      </c>
      <c r="AY42" s="624">
        <f>+'הנחות עבודה'!$D$8/(1-AY20)</f>
        <v>5.4759381105116729</v>
      </c>
      <c r="AZ42" s="624">
        <f>+'הנחות עבודה'!$D$8/(1-AZ20)</f>
        <v>5.3183377897402941</v>
      </c>
      <c r="BA42" s="624">
        <f>+'הנחות עבודה'!$D$8/(1-BA20)</f>
        <v>5.4907577515027066</v>
      </c>
      <c r="BB42" s="624">
        <f>+'הנחות עבודה'!$D$8/(1-BB20)</f>
        <v>5.4374402089524789</v>
      </c>
      <c r="BC42" s="624">
        <f>+'הנחות עבודה'!$D$8/(1-BC20)</f>
        <v>5.572306708515586</v>
      </c>
      <c r="BD42" s="624">
        <f>+'הנחות עבודה'!$D$8/(1-BD20)</f>
        <v>5.2813708878399686</v>
      </c>
      <c r="BE42" s="624">
        <f>+'הנחות עבודה'!$D$8/(1-BE20)</f>
        <v>5.2813708878399686</v>
      </c>
      <c r="BF42" s="624">
        <f>+'הנחות עבודה'!$D$8/(1-BF20)</f>
        <v>5.4819766636871536</v>
      </c>
    </row>
    <row r="43" spans="1:58" x14ac:dyDescent="0.2">
      <c r="A43" s="1812"/>
      <c r="B43" s="376" t="s">
        <v>882</v>
      </c>
      <c r="C43" s="629">
        <f>+'הנחות עבודה'!$D$9/(1-C20)</f>
        <v>1.108148507827214</v>
      </c>
      <c r="D43" s="624">
        <f>+'הנחות עבודה'!$D$9/(1-D20)</f>
        <v>1.130777457857119</v>
      </c>
      <c r="E43" s="624">
        <f>+'הנחות עבודה'!$D$9/(1-E20)</f>
        <v>1.1211665308904062</v>
      </c>
      <c r="F43" s="624">
        <f>+'הנחות עבודה'!$D$9/(1-F20)</f>
        <v>1.0894189071583171</v>
      </c>
      <c r="G43" s="624">
        <f>+'הנחות עבודה'!$D$9/(1-G20)</f>
        <v>1.0755085092826682</v>
      </c>
      <c r="H43" s="624">
        <f>+'הנחות עבודה'!$D$9/(1-H20)</f>
        <v>1.0759945437539469</v>
      </c>
      <c r="I43" s="624">
        <f>+'הנחות עבודה'!$D$9/(1-I20)</f>
        <v>1.1333672125164582</v>
      </c>
      <c r="J43" s="624">
        <f>+'הנחות עבודה'!$D$9/(1-J20)</f>
        <v>1.0680359673580768</v>
      </c>
      <c r="K43" s="624">
        <f>+'הנחות עבודה'!$D$9/(1-K20)</f>
        <v>1.1177122913777648</v>
      </c>
      <c r="L43" s="624">
        <f>+'הנחות עבודה'!$D$9/(1-L20)</f>
        <v>1.0759945437539469</v>
      </c>
      <c r="M43" s="624">
        <f>+'הנחות עבודה'!$D$9/(1-M20)</f>
        <v>1.0677888420478405</v>
      </c>
      <c r="N43" s="624">
        <f>+'הנחות עבודה'!$D$9/(1-N20)</f>
        <v>1.1290215597005113</v>
      </c>
      <c r="O43" s="624">
        <f>+'הנחות עבודה'!$D$9/(1-O20)</f>
        <v>1.0678761079525589</v>
      </c>
      <c r="P43" s="624">
        <f>+'הנחות עבודה'!$D$9/(1-P20)</f>
        <v>1.0935245460482785</v>
      </c>
      <c r="Q43" s="627">
        <f>+'הנחות עבודה'!$D$9/(1-Q20)</f>
        <v>1.0879763479546405</v>
      </c>
      <c r="R43" s="624">
        <f>+'הנחות עבודה'!$D$9/(1-R20)</f>
        <v>1.0759945437539469</v>
      </c>
      <c r="S43" s="624">
        <f>+'הנחות עבודה'!$D$9/(1-S20)</f>
        <v>1.0801401007636633</v>
      </c>
      <c r="T43" s="624">
        <f>+'הנחות עבודה'!$D$9/(1-T20)</f>
        <v>1.0643469893106927</v>
      </c>
      <c r="U43" s="624">
        <f>+'הנחות עבודה'!$D$9/(1-U20)</f>
        <v>1.0759945437539469</v>
      </c>
      <c r="V43" s="627">
        <f>+'הנחות עבודה'!$D$9/(1-V20)</f>
        <v>1.1276638687899687</v>
      </c>
      <c r="W43" s="624">
        <f>+'הנחות עבודה'!$D$9/(1-W20)</f>
        <v>1.1308482377351536</v>
      </c>
      <c r="X43" s="624">
        <f>+'הנחות עבודה'!$D$9/(1-X20)</f>
        <v>1.0759945437539469</v>
      </c>
      <c r="Y43" s="624">
        <f>+'הנחות עבודה'!$D$9/(1-Y20)</f>
        <v>1.0883153582620522</v>
      </c>
      <c r="Z43" s="624">
        <f>+'הנחות עבודה'!$D$9/(1-Z20)</f>
        <v>1.0759945437539469</v>
      </c>
      <c r="AA43" s="624">
        <f>+'הנחות עבודה'!$D$9/(1-AA20)</f>
        <v>1.06199926617131</v>
      </c>
      <c r="AB43" s="624">
        <f>+'הנחות עבודה'!$D$9/(1-AB20)</f>
        <v>1.0953858467377882</v>
      </c>
      <c r="AC43" s="624">
        <f>+'הנחות עבודה'!$D$9/(1-AC20)</f>
        <v>1.0690740377069259</v>
      </c>
      <c r="AD43" s="624">
        <f>+'הנחות עבודה'!$D$9/(1-AD20)</f>
        <v>1.0759945437539469</v>
      </c>
      <c r="AE43" s="624">
        <f>+'הנחות עבודה'!$D$9/(1-AE20)</f>
        <v>1.0759945437539469</v>
      </c>
      <c r="AF43" s="624">
        <f>+'הנחות עבודה'!$D$9/(1-AF20)</f>
        <v>1.0730193186882546</v>
      </c>
      <c r="AG43" s="624">
        <f>+'הנחות עבודה'!$D$9/(1-AG20)</f>
        <v>1.0759945437539469</v>
      </c>
      <c r="AH43" s="624">
        <f>+'הנחות עבודה'!$D$9/(1-AH20)</f>
        <v>1.1224087800572173</v>
      </c>
      <c r="AI43" s="624">
        <f>+'הנחות עבודה'!$D$9/(1-AI20)</f>
        <v>1.0759945437539469</v>
      </c>
      <c r="AJ43" s="624">
        <f>+'הנחות עבודה'!$D$9/(1-AJ20)</f>
        <v>1.0909933916166776</v>
      </c>
      <c r="AK43" s="624">
        <f>+'הנחות עבודה'!$D$9/(1-AK20)</f>
        <v>1.0759945437539469</v>
      </c>
      <c r="AL43" s="624">
        <f>+'הנחות עבודה'!$D$9/(1-AL20)</f>
        <v>1.0745523217497175</v>
      </c>
      <c r="AM43" s="624">
        <f>+'הנחות עבודה'!$D$9/(1-AM20)</f>
        <v>1.0734915135014484</v>
      </c>
      <c r="AN43" s="624">
        <f>+'הנחות עבודה'!$D$9/(1-AN20)</f>
        <v>1.0677878217440846</v>
      </c>
      <c r="AO43" s="624">
        <f>+'הנחות עבודה'!$D$9/(1-AO20)</f>
        <v>1.066492442503167</v>
      </c>
      <c r="AP43" s="624">
        <f>+'הנחות עבודה'!$D$9/(1-AP20)</f>
        <v>1.0614244824419516</v>
      </c>
      <c r="AQ43" s="624">
        <f>+'הנחות עבודה'!$D$9/(1-AQ20)</f>
        <v>1.0830843648430259</v>
      </c>
      <c r="AR43" s="624">
        <f>+'הנחות עבודה'!$D$9/(1-AR20)</f>
        <v>1.1305026256171584</v>
      </c>
      <c r="AS43" s="627">
        <f>+'הנחות עבודה'!$D$9/(1-AS20)</f>
        <v>1.1110119229328852</v>
      </c>
      <c r="AT43" s="624">
        <f>+'הנחות עבודה'!$D$9/(1-AT20)</f>
        <v>1.1149581344748418</v>
      </c>
      <c r="AU43" s="624">
        <f>+'הנחות עבודה'!$D$9/(1-AU20)</f>
        <v>1.0759945437539469</v>
      </c>
      <c r="AV43" s="624">
        <f>+'הנחות עבודה'!$D$9/(1-AV20)</f>
        <v>1.1294575046868749</v>
      </c>
      <c r="AW43" s="624">
        <f>+'הנחות עבודה'!$D$9/(1-AW20)</f>
        <v>1.1322651493293612</v>
      </c>
      <c r="AX43" s="624">
        <f>+'הנחות עבודה'!$D$9/(1-AX20)</f>
        <v>1.0879283615515334</v>
      </c>
      <c r="AY43" s="624">
        <f>+'הנחות עבודה'!$D$9/(1-AY20)</f>
        <v>1.1156344922510568</v>
      </c>
      <c r="AZ43" s="624">
        <f>+'הנחות עבודה'!$D$9/(1-AZ20)</f>
        <v>1.0835259566368822</v>
      </c>
      <c r="BA43" s="624">
        <f>+'הנחות עבודה'!$D$9/(1-BA20)</f>
        <v>1.1186537562234962</v>
      </c>
      <c r="BB43" s="624">
        <f>+'הנחות עבודה'!$D$9/(1-BB20)</f>
        <v>1.1077911627626764</v>
      </c>
      <c r="BC43" s="624">
        <f>+'הנחות עבודה'!$D$9/(1-BC20)</f>
        <v>1.1352680472206904</v>
      </c>
      <c r="BD43" s="624">
        <f>+'הנחות עבודה'!$D$9/(1-BD20)</f>
        <v>1.0759945437539469</v>
      </c>
      <c r="BE43" s="624">
        <f>+'הנחות עבודה'!$D$9/(1-BE20)</f>
        <v>1.0759945437539469</v>
      </c>
      <c r="BF43" s="624">
        <f>+'הנחות עבודה'!$D$9/(1-BF20)</f>
        <v>1.1168647505319031</v>
      </c>
    </row>
    <row r="44" spans="1:58" x14ac:dyDescent="0.2">
      <c r="A44" s="1813"/>
      <c r="B44" s="623"/>
      <c r="C44" s="627"/>
      <c r="D44" s="628"/>
      <c r="E44" s="628"/>
      <c r="F44" s="628"/>
      <c r="G44" s="628"/>
      <c r="H44" s="628"/>
      <c r="I44" s="628"/>
      <c r="J44" s="628"/>
      <c r="K44" s="628"/>
      <c r="L44" s="628"/>
      <c r="M44" s="628"/>
      <c r="N44" s="628"/>
      <c r="O44" s="628"/>
      <c r="P44" s="628"/>
      <c r="Q44" s="628"/>
      <c r="R44" s="628"/>
      <c r="S44" s="628"/>
      <c r="T44" s="628"/>
      <c r="U44" s="628"/>
      <c r="V44" s="628"/>
      <c r="W44" s="628"/>
      <c r="X44" s="628"/>
      <c r="Y44" s="628"/>
      <c r="Z44" s="628"/>
      <c r="AA44" s="628"/>
      <c r="AB44" s="628"/>
      <c r="AC44" s="628"/>
      <c r="AD44" s="628"/>
      <c r="AE44" s="628"/>
      <c r="AF44" s="628"/>
      <c r="AG44" s="628"/>
      <c r="AH44" s="628"/>
      <c r="AI44" s="628"/>
      <c r="AJ44" s="628"/>
      <c r="AK44" s="628"/>
      <c r="AL44" s="628"/>
      <c r="AM44" s="628"/>
      <c r="AN44" s="628"/>
      <c r="AO44" s="628"/>
      <c r="AP44" s="628"/>
      <c r="AQ44" s="628"/>
      <c r="AR44" s="628"/>
      <c r="AS44" s="628"/>
      <c r="AT44" s="628"/>
      <c r="AU44" s="628"/>
      <c r="AV44" s="628"/>
      <c r="AW44" s="628"/>
      <c r="AX44" s="628"/>
      <c r="AY44" s="628"/>
      <c r="AZ44" s="628"/>
      <c r="BA44" s="628"/>
      <c r="BB44" s="628"/>
      <c r="BC44" s="628"/>
      <c r="BD44" s="628"/>
      <c r="BE44" s="628"/>
      <c r="BF44" s="628"/>
    </row>
    <row r="45" spans="1:58" x14ac:dyDescent="0.2">
      <c r="A45" s="623" t="s">
        <v>888</v>
      </c>
      <c r="B45" s="376" t="s">
        <v>869</v>
      </c>
      <c r="C45" s="631">
        <f>+C11/C16/C22/(1-C20)*(1+C23)</f>
        <v>0.23969257703926214</v>
      </c>
      <c r="D45" s="631">
        <f t="shared" ref="D45:BE45" si="12">+D11/D16/D22/(1-D20)*(1+D23)</f>
        <v>0.46373635258636187</v>
      </c>
      <c r="E45" s="631">
        <f t="shared" si="12"/>
        <v>0.77383336608184949</v>
      </c>
      <c r="F45" s="631">
        <f t="shared" si="12"/>
        <v>0.51652867906457867</v>
      </c>
      <c r="G45" s="631">
        <f t="shared" si="12"/>
        <v>0.28501557191309845</v>
      </c>
      <c r="H45" s="631">
        <f t="shared" si="12"/>
        <v>0.83671291410735571</v>
      </c>
      <c r="I45" s="631">
        <f t="shared" si="12"/>
        <v>1.0521568159227297</v>
      </c>
      <c r="J45" s="631">
        <f t="shared" si="12"/>
        <v>0.33863460757269176</v>
      </c>
      <c r="K45" s="631">
        <f t="shared" si="12"/>
        <v>0.54646002839865926</v>
      </c>
      <c r="L45" s="631">
        <f>+L11/L16/L22/(1-L20)*(1+L23)</f>
        <v>0.49656978744168789</v>
      </c>
      <c r="M45" s="631">
        <f t="shared" si="12"/>
        <v>0.54396890036820422</v>
      </c>
      <c r="N45" s="631">
        <f>+N11/N16/N22/(1-N20)*(1+N23)</f>
        <v>0.731384963500882</v>
      </c>
      <c r="O45" s="631">
        <f t="shared" si="12"/>
        <v>0.40073705225861112</v>
      </c>
      <c r="P45" s="631">
        <f t="shared" si="12"/>
        <v>0.83577366592595348</v>
      </c>
      <c r="Q45" s="631">
        <f t="shared" si="12"/>
        <v>0.59916508345066244</v>
      </c>
      <c r="R45" s="631">
        <f t="shared" si="12"/>
        <v>0.33417963386506283</v>
      </c>
      <c r="S45" s="631">
        <f t="shared" si="12"/>
        <v>0.37346491936058235</v>
      </c>
      <c r="T45" s="631">
        <f t="shared" si="12"/>
        <v>0.57303173053898859</v>
      </c>
      <c r="U45" s="631">
        <f t="shared" si="12"/>
        <v>0.53263455788648639</v>
      </c>
      <c r="V45" s="631">
        <f t="shared" si="12"/>
        <v>0.8012795861212324</v>
      </c>
      <c r="W45" s="631">
        <f t="shared" si="12"/>
        <v>0.40671725361707295</v>
      </c>
      <c r="X45" s="631">
        <f t="shared" si="12"/>
        <v>0.62208067508800757</v>
      </c>
      <c r="Y45" s="631">
        <f t="shared" si="12"/>
        <v>1.0237064661782069</v>
      </c>
      <c r="Z45" s="631">
        <f>+Z11/Z16/Z22/(1-Z20)*(1+Z23)</f>
        <v>0.81800182544832978</v>
      </c>
      <c r="AA45" s="631">
        <f t="shared" si="12"/>
        <v>0.51068122219252232</v>
      </c>
      <c r="AB45" s="631">
        <f t="shared" si="12"/>
        <v>0.24424918508065915</v>
      </c>
      <c r="AC45" s="631">
        <f t="shared" si="12"/>
        <v>0.41937741656020927</v>
      </c>
      <c r="AD45" s="631">
        <f t="shared" si="12"/>
        <v>0.34934760571093543</v>
      </c>
      <c r="AE45" s="631">
        <f t="shared" si="12"/>
        <v>0.74775679994746858</v>
      </c>
      <c r="AF45" s="631">
        <f t="shared" si="12"/>
        <v>0.49573677805946742</v>
      </c>
      <c r="AG45" s="631">
        <f t="shared" si="12"/>
        <v>0.48651405459571573</v>
      </c>
      <c r="AH45" s="631">
        <f t="shared" si="12"/>
        <v>0.56657294984637818</v>
      </c>
      <c r="AI45" s="631">
        <f t="shared" si="12"/>
        <v>0.64317275156397624</v>
      </c>
      <c r="AJ45" s="631">
        <f t="shared" si="12"/>
        <v>0.74364591738274022</v>
      </c>
      <c r="AK45" s="631">
        <f t="shared" si="12"/>
        <v>0.52857164309194338</v>
      </c>
      <c r="AL45" s="631">
        <f t="shared" si="12"/>
        <v>0.46228882619740796</v>
      </c>
      <c r="AM45" s="631">
        <f t="shared" si="12"/>
        <v>0.50790633532269891</v>
      </c>
      <c r="AN45" s="631">
        <f t="shared" si="12"/>
        <v>0.47778828544701391</v>
      </c>
      <c r="AO45" s="631">
        <f>+AO11/AO16/AO22/(1-AO20)*(1+AO23)</f>
        <v>0.37591267365255887</v>
      </c>
      <c r="AP45" s="631">
        <f t="shared" si="12"/>
        <v>0.22654408638433357</v>
      </c>
      <c r="AQ45" s="631">
        <f t="shared" si="12"/>
        <v>0.40969419404296387</v>
      </c>
      <c r="AR45" s="631">
        <f t="shared" si="12"/>
        <v>0.66545731550301479</v>
      </c>
      <c r="AS45" s="631">
        <f t="shared" si="12"/>
        <v>0.66516900407913226</v>
      </c>
      <c r="AT45" s="631">
        <f t="shared" si="12"/>
        <v>0.57089189361020332</v>
      </c>
      <c r="AU45" s="631">
        <f t="shared" si="12"/>
        <v>0.5561958949371657</v>
      </c>
      <c r="AV45" s="631">
        <f t="shared" si="12"/>
        <v>0.70210508745997025</v>
      </c>
      <c r="AW45" s="631">
        <f t="shared" si="12"/>
        <v>0.66810384981758419</v>
      </c>
      <c r="AX45" s="631">
        <f t="shared" si="12"/>
        <v>0.41834298732025699</v>
      </c>
      <c r="AY45" s="631">
        <f t="shared" si="12"/>
        <v>0.72983583818086195</v>
      </c>
      <c r="AZ45" s="631">
        <f t="shared" si="12"/>
        <v>0.78566793701638127</v>
      </c>
      <c r="BA45" s="631">
        <f t="shared" si="12"/>
        <v>0.17644644156274372</v>
      </c>
      <c r="BB45" s="631">
        <f t="shared" si="12"/>
        <v>0.62665585737959983</v>
      </c>
      <c r="BC45" s="631">
        <f t="shared" si="12"/>
        <v>0.95338866845579695</v>
      </c>
      <c r="BD45" s="631">
        <f>+BD11/BD16/BD22/(1-BD20)*(1+BD23)</f>
        <v>0.52490202503532835</v>
      </c>
      <c r="BE45" s="631">
        <f t="shared" si="12"/>
        <v>0.43369624780667881</v>
      </c>
      <c r="BF45" s="631">
        <f t="shared" ref="BF45" si="13">+BF11/BF16/BF22/(1-BF20)*(1+BF23)</f>
        <v>0.47395839824360242</v>
      </c>
    </row>
    <row r="46" spans="1:58" x14ac:dyDescent="0.2">
      <c r="A46" s="622"/>
      <c r="B46" s="376" t="s">
        <v>871</v>
      </c>
      <c r="C46" s="624">
        <f t="shared" ref="C46:AH46" si="14">+C13*C17*C24/C16*(1+C23)/(1-C20)</f>
        <v>4.6878765504595445E-2</v>
      </c>
      <c r="D46" s="624">
        <f t="shared" si="14"/>
        <v>0.36437231076098758</v>
      </c>
      <c r="E46" s="624">
        <f t="shared" si="14"/>
        <v>0.48602052042648636</v>
      </c>
      <c r="F46" s="624">
        <f>+F13*F17*F24/F16*(1+F23)/(1-F20)</f>
        <v>0.17382346062134485</v>
      </c>
      <c r="G46" s="624">
        <f t="shared" si="14"/>
        <v>7.4520639441657224E-2</v>
      </c>
      <c r="H46" s="624">
        <f t="shared" si="14"/>
        <v>0.52455843646443234</v>
      </c>
      <c r="I46" s="624">
        <f>+I13*I17*I24/I16*(1+I23)/(1-I20)</f>
        <v>0.88879318325121615</v>
      </c>
      <c r="J46" s="624">
        <f t="shared" si="14"/>
        <v>0.11920922075218972</v>
      </c>
      <c r="K46" s="624">
        <f t="shared" si="14"/>
        <v>0.38674004616474139</v>
      </c>
      <c r="L46" s="624">
        <f>+L13*L17*L24/L16*(1+L23)/(1-L20)</f>
        <v>0.17137525902502071</v>
      </c>
      <c r="M46" s="624">
        <f t="shared" si="14"/>
        <v>0.33147026891043258</v>
      </c>
      <c r="N46" s="624">
        <f t="shared" si="14"/>
        <v>0.81469767565303364</v>
      </c>
      <c r="O46" s="624">
        <f t="shared" si="14"/>
        <v>0.24239870587131518</v>
      </c>
      <c r="P46" s="624">
        <f>+P13*P17*P24/P16*(1+P23)/(1-P20)</f>
        <v>0.47623745290337838</v>
      </c>
      <c r="Q46" s="624">
        <f t="shared" si="14"/>
        <v>0.2598415880808061</v>
      </c>
      <c r="R46" s="624">
        <f t="shared" si="14"/>
        <v>0.13709451458566357</v>
      </c>
      <c r="S46" s="624">
        <f t="shared" si="14"/>
        <v>0.14597751345596202</v>
      </c>
      <c r="T46" s="624">
        <f t="shared" si="14"/>
        <v>0.38570629541514873</v>
      </c>
      <c r="U46" s="624">
        <f t="shared" si="14"/>
        <v>0.26830503608264733</v>
      </c>
      <c r="V46" s="624">
        <f t="shared" si="14"/>
        <v>0.65892218655483381</v>
      </c>
      <c r="W46" s="624">
        <f t="shared" si="14"/>
        <v>0.16052207618419528</v>
      </c>
      <c r="X46" s="624">
        <f t="shared" si="14"/>
        <v>0.42109524920533425</v>
      </c>
      <c r="Y46" s="624">
        <f t="shared" si="14"/>
        <v>0.67323525935650952</v>
      </c>
      <c r="Z46" s="624">
        <f t="shared" si="14"/>
        <v>0.47214552199005366</v>
      </c>
      <c r="AA46" s="624">
        <f t="shared" si="14"/>
        <v>0.10588657864242447</v>
      </c>
      <c r="AB46" s="624">
        <f t="shared" si="14"/>
        <v>0.10301476324925858</v>
      </c>
      <c r="AC46" s="624">
        <f t="shared" si="14"/>
        <v>0.16938421151849362</v>
      </c>
      <c r="AD46" s="624">
        <f t="shared" si="14"/>
        <v>0.14336546116796525</v>
      </c>
      <c r="AE46" s="624">
        <f t="shared" si="14"/>
        <v>0.22935346103037149</v>
      </c>
      <c r="AF46" s="624">
        <f t="shared" si="14"/>
        <v>0.22516448960313828</v>
      </c>
      <c r="AG46" s="624">
        <f t="shared" si="14"/>
        <v>0.24178479996509117</v>
      </c>
      <c r="AH46" s="624">
        <f t="shared" si="14"/>
        <v>0.53306282354653012</v>
      </c>
      <c r="AI46" s="624">
        <f t="shared" ref="AI46:BE46" si="15">+AI13*AI17*AI24/AI16*(1+AI23)/(1-AI20)</f>
        <v>0.33854170234406716</v>
      </c>
      <c r="AJ46" s="624">
        <f>+AJ13*AJ17*AJ24/AJ16*(1+AJ23)/(1-AJ20)</f>
        <v>0.33061384224863627</v>
      </c>
      <c r="AK46" s="624">
        <f t="shared" si="15"/>
        <v>0.18476736590248166</v>
      </c>
      <c r="AL46" s="624">
        <f t="shared" si="15"/>
        <v>0.19791884541515384</v>
      </c>
      <c r="AM46" s="624">
        <f t="shared" si="15"/>
        <v>0.2933155663600312</v>
      </c>
      <c r="AN46" s="624">
        <f t="shared" si="15"/>
        <v>6.3161888158313528E-2</v>
      </c>
      <c r="AO46" s="624">
        <f t="shared" si="15"/>
        <v>6.0465890730219449E-2</v>
      </c>
      <c r="AP46" s="624">
        <f t="shared" si="15"/>
        <v>6.006478463966429E-2</v>
      </c>
      <c r="AQ46" s="624">
        <f t="shared" si="15"/>
        <v>0.16347188148581987</v>
      </c>
      <c r="AR46" s="624">
        <f>+AR13*AR17*AR24/AR16*(1+AR23)/(1-AR20)</f>
        <v>0.63601581173161426</v>
      </c>
      <c r="AS46" s="624">
        <f t="shared" si="15"/>
        <v>0.26463432647607432</v>
      </c>
      <c r="AT46" s="624">
        <f>+AT13*AT17*AT24/AT16*(1+AT23)/(1-AT20)</f>
        <v>0.27985763394556396</v>
      </c>
      <c r="AU46" s="624">
        <f t="shared" si="15"/>
        <v>0.2782843824471794</v>
      </c>
      <c r="AV46" s="624">
        <f t="shared" si="15"/>
        <v>0.64814719083821903</v>
      </c>
      <c r="AW46" s="624">
        <f t="shared" si="15"/>
        <v>0.64273639010915307</v>
      </c>
      <c r="AX46" s="624">
        <f t="shared" si="15"/>
        <v>0.22142094108811186</v>
      </c>
      <c r="AY46" s="624">
        <f t="shared" si="15"/>
        <v>0.23091472759956524</v>
      </c>
      <c r="AZ46" s="624">
        <f t="shared" si="15"/>
        <v>0.36607179218531127</v>
      </c>
      <c r="BA46" s="624">
        <f t="shared" si="15"/>
        <v>6.7559420562096531E-2</v>
      </c>
      <c r="BB46" s="624">
        <f t="shared" si="15"/>
        <v>0.64741713518105137</v>
      </c>
      <c r="BC46" s="624">
        <f t="shared" si="15"/>
        <v>0.94645463956854481</v>
      </c>
      <c r="BD46" s="624">
        <f t="shared" si="15"/>
        <v>0.17867221097536229</v>
      </c>
      <c r="BE46" s="624">
        <f t="shared" si="15"/>
        <v>0.21857189411261324</v>
      </c>
      <c r="BF46" s="624">
        <f t="shared" ref="BF46" si="16">+BF13*BF17*BF24/BF16*(1+BF23)/(1-BF20)</f>
        <v>0.20799038386828092</v>
      </c>
    </row>
    <row r="47" spans="1:58" x14ac:dyDescent="0.2">
      <c r="A47" s="622"/>
      <c r="B47" s="376" t="s">
        <v>874</v>
      </c>
      <c r="C47" s="624">
        <f t="shared" ref="C47:AH47" si="17">+C13*C26*(1-C17)/C16*(1+C23)/(1-C20)</f>
        <v>2.8127259302757272E-2</v>
      </c>
      <c r="D47" s="624">
        <f t="shared" si="17"/>
        <v>0.21862338645659257</v>
      </c>
      <c r="E47" s="624">
        <f t="shared" si="17"/>
        <v>0.36451539031986485</v>
      </c>
      <c r="F47" s="624">
        <f t="shared" si="17"/>
        <v>0.13036759546600871</v>
      </c>
      <c r="G47" s="624">
        <f t="shared" si="17"/>
        <v>5.5890479581242943E-2</v>
      </c>
      <c r="H47" s="624">
        <f t="shared" si="17"/>
        <v>0.3934188273483244</v>
      </c>
      <c r="I47" s="624">
        <f t="shared" si="17"/>
        <v>0.53327590995072982</v>
      </c>
      <c r="J47" s="624">
        <f t="shared" si="17"/>
        <v>8.9406915564142292E-2</v>
      </c>
      <c r="K47" s="624">
        <f t="shared" si="17"/>
        <v>0.29005503462355609</v>
      </c>
      <c r="L47" s="624">
        <f t="shared" si="17"/>
        <v>0.12853144426876556</v>
      </c>
      <c r="M47" s="624">
        <f t="shared" si="17"/>
        <v>0.24860270168282456</v>
      </c>
      <c r="N47" s="624">
        <f t="shared" si="17"/>
        <v>0.48881860539182026</v>
      </c>
      <c r="O47" s="624">
        <f t="shared" si="17"/>
        <v>0.18179902940348647</v>
      </c>
      <c r="P47" s="624">
        <f t="shared" si="17"/>
        <v>0.35717808967753395</v>
      </c>
      <c r="Q47" s="624">
        <f t="shared" si="17"/>
        <v>0.19488119106060461</v>
      </c>
      <c r="R47" s="624">
        <f t="shared" si="17"/>
        <v>0.10282088593924771</v>
      </c>
      <c r="S47" s="624">
        <f t="shared" si="17"/>
        <v>0.10948313509197156</v>
      </c>
      <c r="T47" s="624">
        <f t="shared" si="17"/>
        <v>0.28927972156136161</v>
      </c>
      <c r="U47" s="624">
        <f t="shared" si="17"/>
        <v>0.20122877706198558</v>
      </c>
      <c r="V47" s="624">
        <f t="shared" si="17"/>
        <v>0.39535331193290035</v>
      </c>
      <c r="W47" s="624">
        <f t="shared" si="17"/>
        <v>0.12039155713814652</v>
      </c>
      <c r="X47" s="624">
        <f t="shared" si="17"/>
        <v>0.31582143690400072</v>
      </c>
      <c r="Y47" s="624">
        <f t="shared" si="17"/>
        <v>0.50492644451738233</v>
      </c>
      <c r="Z47" s="624">
        <f t="shared" si="17"/>
        <v>0.35410914149254041</v>
      </c>
      <c r="AA47" s="624">
        <f t="shared" si="17"/>
        <v>7.941493398181837E-2</v>
      </c>
      <c r="AB47" s="624">
        <f t="shared" si="17"/>
        <v>7.7261072436943953E-2</v>
      </c>
      <c r="AC47" s="624">
        <f t="shared" si="17"/>
        <v>0.12703815863887025</v>
      </c>
      <c r="AD47" s="624">
        <f t="shared" si="17"/>
        <v>0.10752409587597399</v>
      </c>
      <c r="AE47" s="624">
        <f t="shared" si="17"/>
        <v>0.17201509577277868</v>
      </c>
      <c r="AF47" s="624">
        <f t="shared" si="17"/>
        <v>0.16887336720235374</v>
      </c>
      <c r="AG47" s="624">
        <f t="shared" si="17"/>
        <v>0.1813385999738184</v>
      </c>
      <c r="AH47" s="624">
        <f t="shared" si="17"/>
        <v>0.31983769412791813</v>
      </c>
      <c r="AI47" s="624">
        <f t="shared" ref="AI47:BE47" si="18">+AI13*AI26*(1-AI17)/AI16*(1+AI23)/(1-AI20)</f>
        <v>0.25390627675805044</v>
      </c>
      <c r="AJ47" s="624">
        <f t="shared" si="18"/>
        <v>0.2479603816864773</v>
      </c>
      <c r="AK47" s="624">
        <f t="shared" si="18"/>
        <v>0.1385755244268613</v>
      </c>
      <c r="AL47" s="624">
        <f t="shared" si="18"/>
        <v>0.14843913406136541</v>
      </c>
      <c r="AM47" s="624">
        <f t="shared" si="18"/>
        <v>0.2199866747700234</v>
      </c>
      <c r="AN47" s="624">
        <f t="shared" si="18"/>
        <v>4.7371416118735167E-2</v>
      </c>
      <c r="AO47" s="624">
        <f t="shared" si="18"/>
        <v>4.5349418047664597E-2</v>
      </c>
      <c r="AP47" s="624">
        <f t="shared" si="18"/>
        <v>4.5048588479748221E-2</v>
      </c>
      <c r="AQ47" s="624">
        <f t="shared" si="18"/>
        <v>0.12260391111436492</v>
      </c>
      <c r="AR47" s="624">
        <f t="shared" si="18"/>
        <v>0.3816094870389688</v>
      </c>
      <c r="AS47" s="624">
        <f t="shared" si="18"/>
        <v>0.1984757448570558</v>
      </c>
      <c r="AT47" s="624">
        <f t="shared" si="18"/>
        <v>0.20989322545917305</v>
      </c>
      <c r="AU47" s="624">
        <f t="shared" si="18"/>
        <v>0.20871328683538465</v>
      </c>
      <c r="AV47" s="624">
        <f t="shared" si="18"/>
        <v>0.38888831450293154</v>
      </c>
      <c r="AW47" s="624">
        <f t="shared" si="18"/>
        <v>0.38564183406549196</v>
      </c>
      <c r="AX47" s="624">
        <f t="shared" si="18"/>
        <v>0.16606570581608393</v>
      </c>
      <c r="AY47" s="624">
        <f t="shared" si="18"/>
        <v>0.17318604569967405</v>
      </c>
      <c r="AZ47" s="624">
        <f t="shared" si="18"/>
        <v>0.27455384413898359</v>
      </c>
      <c r="BA47" s="624">
        <f t="shared" si="18"/>
        <v>4.0535652337257928E-2</v>
      </c>
      <c r="BB47" s="624">
        <f t="shared" si="18"/>
        <v>0.38845028110863083</v>
      </c>
      <c r="BC47" s="624">
        <f t="shared" si="18"/>
        <v>0.56787278374112715</v>
      </c>
      <c r="BD47" s="624">
        <f t="shared" si="18"/>
        <v>0.13400415823152176</v>
      </c>
      <c r="BE47" s="624">
        <f t="shared" si="18"/>
        <v>0.16392892058446001</v>
      </c>
      <c r="BF47" s="624">
        <f t="shared" ref="BF47" si="19">+BF13*BF26*(1-BF17)/BF16*(1+BF23)/(1-BF20)</f>
        <v>0.15599278790121074</v>
      </c>
    </row>
    <row r="48" spans="1:58" x14ac:dyDescent="0.2">
      <c r="A48" s="622"/>
      <c r="B48" s="376" t="s">
        <v>877</v>
      </c>
      <c r="C48" s="627">
        <f>-(C9*C18/C16*(1+C23)/(1-C20)/C19)</f>
        <v>-2.7061824277882382E-2</v>
      </c>
      <c r="D48" s="627">
        <f t="shared" ref="D48:BE48" si="20">-(D9*D18/D16*(1+D23)/(1-D20)/D19)</f>
        <v>-0.29881437834470059</v>
      </c>
      <c r="E48" s="627">
        <f t="shared" si="20"/>
        <v>-0.61767419865219075</v>
      </c>
      <c r="F48" s="627">
        <f>-(F9*F18/F16*(1+F23)/(1-F20)/F19)</f>
        <v>-0.34057021480757249</v>
      </c>
      <c r="G48" s="627">
        <f t="shared" si="20"/>
        <v>-0.21973991170355986</v>
      </c>
      <c r="H48" s="627">
        <f t="shared" si="20"/>
        <v>-0.69163606285316526</v>
      </c>
      <c r="I48" s="627">
        <f t="shared" si="20"/>
        <v>-0.89796663452710312</v>
      </c>
      <c r="J48" s="627">
        <f t="shared" si="20"/>
        <v>-0.23992419479160035</v>
      </c>
      <c r="K48" s="627">
        <f t="shared" si="20"/>
        <v>-0.25076150208039594</v>
      </c>
      <c r="L48" s="627">
        <f t="shared" si="20"/>
        <v>-0.28808433943666828</v>
      </c>
      <c r="M48" s="627">
        <f t="shared" si="20"/>
        <v>-0.42002931734057508</v>
      </c>
      <c r="N48" s="627">
        <f t="shared" si="20"/>
        <v>-0.38023047623494188</v>
      </c>
      <c r="O48" s="627">
        <f t="shared" si="20"/>
        <v>-0.36580064220562075</v>
      </c>
      <c r="P48" s="627">
        <f t="shared" si="20"/>
        <v>-0.35141487656864961</v>
      </c>
      <c r="Q48" s="627">
        <f t="shared" si="20"/>
        <v>-0.34983617518195959</v>
      </c>
      <c r="R48" s="627">
        <f t="shared" si="20"/>
        <v>-0.10537230642651356</v>
      </c>
      <c r="S48" s="627">
        <f t="shared" si="20"/>
        <v>-0.2048703021900678</v>
      </c>
      <c r="T48" s="627">
        <f>-(T9*T18/T16*(1+T23)/(1-T20)/T19)</f>
        <v>-0.37942603493019522</v>
      </c>
      <c r="U48" s="627">
        <f t="shared" si="20"/>
        <v>-0.24216061624660973</v>
      </c>
      <c r="V48" s="627">
        <f t="shared" si="20"/>
        <v>-0.55512078818561061</v>
      </c>
      <c r="W48" s="627">
        <f t="shared" si="20"/>
        <v>-0.26970155126859391</v>
      </c>
      <c r="X48" s="627">
        <f t="shared" si="20"/>
        <v>-0.80141370567199333</v>
      </c>
      <c r="Y48" s="627">
        <f t="shared" si="20"/>
        <v>-0.89659831638743059</v>
      </c>
      <c r="Z48" s="627">
        <f t="shared" si="20"/>
        <v>-0.40816508967169318</v>
      </c>
      <c r="AA48" s="627">
        <f t="shared" si="20"/>
        <v>-0.32523795767831093</v>
      </c>
      <c r="AB48" s="627">
        <f t="shared" si="20"/>
        <v>-0.2031651959029728</v>
      </c>
      <c r="AC48" s="627">
        <f t="shared" si="20"/>
        <v>-0.24092078012703078</v>
      </c>
      <c r="AD48" s="627">
        <f t="shared" si="20"/>
        <v>-0.24673084829836206</v>
      </c>
      <c r="AE48" s="627">
        <f t="shared" si="20"/>
        <v>-0.26315700906328632</v>
      </c>
      <c r="AF48" s="627">
        <f t="shared" si="20"/>
        <v>-0.27387696878528905</v>
      </c>
      <c r="AG48" s="627">
        <f t="shared" si="20"/>
        <v>-0.24170959235273132</v>
      </c>
      <c r="AH48" s="627">
        <f t="shared" si="20"/>
        <v>-0.6457086300944801</v>
      </c>
      <c r="AI48" s="627">
        <f t="shared" si="20"/>
        <v>-0.49580529577413651</v>
      </c>
      <c r="AJ48" s="627">
        <f t="shared" si="20"/>
        <v>-0.20869129762921712</v>
      </c>
      <c r="AK48" s="627">
        <f t="shared" si="20"/>
        <v>-0.12857628002945864</v>
      </c>
      <c r="AL48" s="627">
        <f t="shared" si="20"/>
        <v>-0.16200414295696483</v>
      </c>
      <c r="AM48" s="627">
        <f t="shared" si="20"/>
        <v>-0.56446613368327214</v>
      </c>
      <c r="AN48" s="627">
        <f t="shared" si="20"/>
        <v>-2.9040253574175556E-2</v>
      </c>
      <c r="AO48" s="627">
        <f t="shared" si="20"/>
        <v>-2.9489340104878844E-2</v>
      </c>
      <c r="AP48" s="627">
        <f t="shared" si="20"/>
        <v>-0.11364339229815956</v>
      </c>
      <c r="AQ48" s="627">
        <f t="shared" si="20"/>
        <v>-0.19709282280923604</v>
      </c>
      <c r="AR48" s="627">
        <f t="shared" si="20"/>
        <v>-0.58258808117014427</v>
      </c>
      <c r="AS48" s="627">
        <f t="shared" si="20"/>
        <v>-0.48287521389354104</v>
      </c>
      <c r="AT48" s="627">
        <f t="shared" si="20"/>
        <v>-0.13274076636297902</v>
      </c>
      <c r="AU48" s="627">
        <f t="shared" si="20"/>
        <v>-0.41225698530781385</v>
      </c>
      <c r="AV48" s="627">
        <f t="shared" si="20"/>
        <v>-0.72319759749055001</v>
      </c>
      <c r="AW48" s="627">
        <f t="shared" si="20"/>
        <v>-0.52646172854929241</v>
      </c>
      <c r="AX48" s="627">
        <f t="shared" si="20"/>
        <v>-0.26552300402659651</v>
      </c>
      <c r="AY48" s="627">
        <f t="shared" si="20"/>
        <v>-0.29226064543906083</v>
      </c>
      <c r="AZ48" s="627">
        <f t="shared" si="20"/>
        <v>-0.47669608412821396</v>
      </c>
      <c r="BA48" s="627">
        <f t="shared" si="20"/>
        <v>-0.23288469488875096</v>
      </c>
      <c r="BB48" s="627">
        <f t="shared" si="20"/>
        <v>-0.36094243174111373</v>
      </c>
      <c r="BC48" s="627">
        <f t="shared" si="20"/>
        <v>-0.88279313525282888</v>
      </c>
      <c r="BD48" s="627">
        <f t="shared" si="20"/>
        <v>-0.29989950110571967</v>
      </c>
      <c r="BE48" s="627">
        <f t="shared" si="20"/>
        <v>-0.38630283557434691</v>
      </c>
      <c r="BF48" s="627">
        <f t="shared" ref="BF48" si="21">-(BF9*BF18/BF16*(1+BF23)/(1-BF20)/BF19)</f>
        <v>-0.26476852260460088</v>
      </c>
    </row>
    <row r="49" spans="1:58" x14ac:dyDescent="0.2">
      <c r="A49" s="622"/>
      <c r="B49" s="376" t="s">
        <v>889</v>
      </c>
      <c r="C49" s="624">
        <f>+VLOOKUP(C4,'מטשים 2016'!$B$10:$K$130,10,0)/(1-C20)</f>
        <v>2.4775710084553761</v>
      </c>
      <c r="D49" s="624">
        <f>+VLOOKUP(D4,'מטשים 2016'!$B$10:$K$130,10,0)/(1-D20)</f>
        <v>1.6188552553262239</v>
      </c>
      <c r="E49" s="624">
        <f>+VLOOKUP(E4,'מטשים 2016'!$B$10:$K$130,10,0)/(1-E20)</f>
        <v>1.2797241955247125</v>
      </c>
      <c r="F49" s="624">
        <f>+VLOOKUP(F4,'מטשים 2016'!$B$10:$K$130,10,0)/(1-F20)</f>
        <v>1.2860950590699858</v>
      </c>
      <c r="G49" s="624">
        <f>+VLOOKUP(G4,'מטשים 2016'!$B$10:$K$130,10,0)/(1-G20)</f>
        <v>1.3701043827054706</v>
      </c>
      <c r="H49" s="624">
        <f>+VLOOKUP(H4,'מטשים 2016'!$B$10:$K$130,10,0)/(1-H20)</f>
        <v>1.7287757253657678</v>
      </c>
      <c r="I49" s="624">
        <f>+VLOOKUP(I4,'מטשים 2016'!$B$10:$K$130,10,0)/(1-I20)</f>
        <v>1.2910161391598107</v>
      </c>
      <c r="J49" s="624">
        <f>+VLOOKUP(J4,'מטשים 2016'!$B$10:$K$130,10,0)/(1-J20)</f>
        <v>1.7437513171319656</v>
      </c>
      <c r="K49" s="624">
        <f>+VLOOKUP(K4,'מטשים 2016'!$B$10:$K$130,10,0)/(1-K20)</f>
        <v>1.2806435075818217</v>
      </c>
      <c r="L49" s="624">
        <f>+VLOOKUP(L4,'מטשים 2016'!$B$10:$K$130,10,0)/(1-L20)</f>
        <v>1.0391305440860217</v>
      </c>
      <c r="M49" s="624">
        <f>+VLOOKUP(M4,'מטשים 2016'!$B$10:$K$130,10,0)/(1-M20)</f>
        <v>1.4938067521662128</v>
      </c>
      <c r="N49" s="624">
        <f>+VLOOKUP(N4,'מטשים 2016'!$B$10:$K$130,10,0)/(1-N20)</f>
        <v>2.0886551671589215</v>
      </c>
      <c r="O49" s="624">
        <f>+VLOOKUP(O4,'מטשים 2016'!$B$10:$K$130,10,0)/(1-O20)</f>
        <v>1.7814600863255174</v>
      </c>
      <c r="P49" s="624">
        <f>+VLOOKUP(P4,'מטשים 2016'!$B$10:$K$130,10,0)/(1-P20)</f>
        <v>1.6964726904129048</v>
      </c>
      <c r="Q49" s="624">
        <f>+VLOOKUP(Q4,'מטשים 2016'!$B$10:$K$130,10,0)/(1-Q20)</f>
        <v>1.6055091765024136</v>
      </c>
      <c r="R49" s="624">
        <f>+VLOOKUP(R4,'מטשים 2016'!$B$10:$K$130,10,0)/(1-R20)</f>
        <v>2.3730078626253213</v>
      </c>
      <c r="S49" s="624">
        <f>+VLOOKUP(S4,'מטשים 2016'!$B$10:$K$130,10,0)/(1-S20)</f>
        <v>2.2351662080890495</v>
      </c>
      <c r="T49" s="624">
        <f>+VLOOKUP(T4,'מטשים 2016'!$B$10:$K$130,10,0)/(1-T20)</f>
        <v>0.87471846446079882</v>
      </c>
      <c r="U49" s="624">
        <f>+VLOOKUP(U4,'מטשים 2016'!$B$10:$K$130,10,0)/(1-U20)</f>
        <v>1.6674977419354839</v>
      </c>
      <c r="V49" s="624">
        <f>+VLOOKUP(V4,'מטשים 2016'!$B$10:$K$130,10,0)/(1-V20)</f>
        <v>1.7915955543176061</v>
      </c>
      <c r="W49" s="624">
        <f>+VLOOKUP(W4,'מטשים 2016'!$B$10:$K$130,10,0)/(1-W20)</f>
        <v>1.6118671701792424</v>
      </c>
      <c r="X49" s="624">
        <f>+VLOOKUP(X4,'מטשים 2016'!$B$10:$K$130,10,0)/(1-X20)</f>
        <v>0.88300630741349606</v>
      </c>
      <c r="Y49" s="624">
        <f>+VLOOKUP(Y4,'מטשים 2016'!$B$10:$K$130,10,0)/(1-Y20)</f>
        <v>1.761328116546744</v>
      </c>
      <c r="Z49" s="624">
        <f>+VLOOKUP(Z4,'מטשים 2016'!$B$10:$K$130,10,0)/(1-Z20)</f>
        <v>1.6460981780177519</v>
      </c>
      <c r="AA49" s="624">
        <f>+VLOOKUP(AA4,'מטשים 2016'!$B$10:$K$130,10,0)/(1-AA20)</f>
        <v>1.785346393814468</v>
      </c>
      <c r="AB49" s="624">
        <f>+VLOOKUP(AB4,'מטשים 2016'!$B$10:$K$130,10,0)/(1-AB20)</f>
        <v>1.6450059087711446</v>
      </c>
      <c r="AC49" s="624">
        <f>+VLOOKUP(AC4,'מטשים 2016'!$B$10:$K$130,10,0)/(1-AC20)</f>
        <v>1.8444407308853068</v>
      </c>
      <c r="AD49" s="624">
        <f>+VLOOKUP(AD4,'מטשים 2016'!$B$10:$K$130,10,0)/(1-AD20)</f>
        <v>2.2799103956296323</v>
      </c>
      <c r="AE49" s="624">
        <f>+VLOOKUP(AE4,'מטשים 2016'!$B$10:$K$130,10,0)/(1-AE20)</f>
        <v>1.6460981780177519</v>
      </c>
      <c r="AF49" s="624">
        <f>+VLOOKUP(AF4,'מטשים 2016'!$B$10:$K$130,10,0)/(1-AF20)</f>
        <v>1.3372573799521292</v>
      </c>
      <c r="AG49" s="624">
        <f>+VLOOKUP(AG4,'מטשים 2016'!$B$10:$K$130,10,0)/(1-AG20)</f>
        <v>1.9670844987100049</v>
      </c>
      <c r="AH49" s="624">
        <f>+VLOOKUP(AH4,'מטשים 2016'!$B$10:$K$130,10,0)/(1-AH20)</f>
        <v>1.8228780248602019</v>
      </c>
      <c r="AI49" s="624">
        <f>+VLOOKUP(AI4,'מטשים 2016'!$B$10:$K$130,10,0)/(1-AI20)</f>
        <v>1.7147126518550102</v>
      </c>
      <c r="AJ49" s="624">
        <f>+VLOOKUP(AJ4,'מטשים 2016'!$B$10:$K$130,10,0)/(1-AJ20)</f>
        <v>1.6460981780177519</v>
      </c>
      <c r="AK49" s="624">
        <f>+VLOOKUP(AK4,'מטשים 2016'!$B$10:$K$130,10,0)/(1-AK20)</f>
        <v>1.6460981780177519</v>
      </c>
      <c r="AL49" s="624">
        <f>+VLOOKUP(AL4,'מטשים 2016'!$B$10:$K$130,10,0)/(1-AL20)</f>
        <v>2.4775710084553761</v>
      </c>
      <c r="AM49" s="624">
        <f>+VLOOKUP(AM4,'מטשים 2016'!$B$10:$K$130,10,0)/(1-AM20)</f>
        <v>1.6521101972155694</v>
      </c>
      <c r="AN49" s="624">
        <f>+VLOOKUP(AN4,'מטשים 2016'!$B$10:$K$130,10,0)/(1-AN20)</f>
        <v>2.4775710084553761</v>
      </c>
      <c r="AO49" s="624">
        <f>+VLOOKUP(AO4,'מטשים 2016'!$B$10:$K$130,10,0)/(1-AO20)</f>
        <v>2.4775710084553761</v>
      </c>
      <c r="AP49" s="624">
        <f>+VLOOKUP(AP4,'מטשים 2016'!$B$10:$K$130,10,0)/(1-AP20)</f>
        <v>2.4775710084553761</v>
      </c>
      <c r="AQ49" s="624">
        <f>+VLOOKUP(AQ4,'מטשים 2016'!$B$10:$K$130,10,0)/(1-AQ20)</f>
        <v>2.1625155025259852</v>
      </c>
      <c r="AR49" s="624">
        <f>+VLOOKUP(AR4,'מטשים 2016'!$B$10:$K$130,10,0)/(1-AR20)</f>
        <v>1.6873041250854186</v>
      </c>
      <c r="AS49" s="624">
        <f>+VLOOKUP(AS4,'מטשים 2016'!$B$10:$K$130,10,0)/(1-AS20)</f>
        <v>1.9527352628158521</v>
      </c>
      <c r="AT49" s="624">
        <f>+VLOOKUP(AT4,'מטשים 2016'!$B$10:$K$130,10,0)/(1-AT20)</f>
        <v>1.6460981780177519</v>
      </c>
      <c r="AU49" s="624">
        <f>+VLOOKUP(AU4,'מטשים 2016'!$B$10:$K$130,10,0)/(1-AU20)</f>
        <v>2.06038311827957</v>
      </c>
      <c r="AV49" s="624">
        <f>+VLOOKUP(AV4,'מטשים 2016'!$B$10:$K$130,10,0)/(1-AV20)</f>
        <v>1.8697735298866494</v>
      </c>
      <c r="AW49" s="624">
        <f>+VLOOKUP(AW4,'מטשים 2016'!$B$10:$K$130,10,0)/(1-AW20)</f>
        <v>1.7739408420540494</v>
      </c>
      <c r="AX49" s="624">
        <f>+VLOOKUP(AX4,'מטשים 2016'!$B$10:$K$130,10,0)/(1-AX20)</f>
        <v>1.5956460308903255</v>
      </c>
      <c r="AY49" s="624">
        <f>+VLOOKUP(AY4,'מטשים 2016'!$B$10:$K$130,10,0)/(1-AY20)</f>
        <v>1.9682868793637853</v>
      </c>
      <c r="AZ49" s="624">
        <f>+VLOOKUP(AZ4,'מטשים 2016'!$B$10:$K$130,10,0)/(1-AZ20)</f>
        <v>1.7726823778694039</v>
      </c>
      <c r="BA49" s="624">
        <f>+VLOOKUP(BA4,'מטשים 2016'!$B$10:$K$130,10,0)/(1-BA20)</f>
        <v>1.6799487087924638</v>
      </c>
      <c r="BB49" s="624">
        <f>+VLOOKUP(BB4,'מטשים 2016'!$B$10:$K$130,10,0)/(1-BB20)</f>
        <v>1.020568509950639</v>
      </c>
      <c r="BC49" s="624">
        <f>+VLOOKUP(BC4,'מטשים 2016'!$B$10:$K$130,10,0)/(1-BC20)</f>
        <v>2.0142492251728181</v>
      </c>
      <c r="BD49" s="624">
        <f>+VLOOKUP(BD4,'מטשים 2016'!$B$10:$K$130,10,0)/(1-BD20)</f>
        <v>1.9936332741935483</v>
      </c>
      <c r="BE49" s="624">
        <f>+VLOOKUP(BE4,'מטשים 2016'!$B$10:$K$130,10,0)/(1-BE20)</f>
        <v>2.293863846271853</v>
      </c>
      <c r="BF49" s="624">
        <f>+VLOOKUP(BF4,'מטשים 2016'!$B$10:$K$130,10,0)/(1-BF20)</f>
        <v>1.8440821906390328</v>
      </c>
    </row>
    <row r="50" spans="1:58" x14ac:dyDescent="0.2">
      <c r="A50" s="622"/>
      <c r="B50" s="622"/>
      <c r="C50" s="622"/>
      <c r="D50" s="622"/>
      <c r="E50" s="622"/>
      <c r="F50" s="622"/>
      <c r="G50" s="622"/>
      <c r="H50" s="622"/>
      <c r="I50" s="622"/>
      <c r="J50" s="622"/>
      <c r="K50" s="622"/>
      <c r="L50" s="622"/>
      <c r="M50" s="622"/>
      <c r="N50" s="622"/>
      <c r="O50" s="622"/>
      <c r="P50" s="622"/>
      <c r="Q50" s="622"/>
      <c r="R50" s="622"/>
      <c r="S50" s="624"/>
      <c r="T50" s="624"/>
      <c r="U50" s="624"/>
      <c r="V50" s="622"/>
      <c r="W50" s="622"/>
      <c r="X50" s="622"/>
      <c r="Y50" s="622"/>
      <c r="Z50" s="622"/>
      <c r="AA50" s="622"/>
      <c r="AB50" s="622"/>
      <c r="AC50" s="622"/>
      <c r="AD50" s="622"/>
      <c r="AE50" s="622"/>
      <c r="AF50" s="622"/>
      <c r="AG50" s="622"/>
      <c r="AH50" s="622"/>
      <c r="AI50" s="622"/>
      <c r="AJ50" s="622"/>
      <c r="AK50" s="622"/>
      <c r="AL50" s="622"/>
      <c r="AM50" s="622"/>
      <c r="AN50" s="622"/>
      <c r="AO50" s="622"/>
      <c r="AP50" s="622"/>
      <c r="AQ50" s="622"/>
      <c r="AR50" s="622"/>
      <c r="AS50" s="622"/>
      <c r="AT50" s="622"/>
      <c r="AU50" s="622"/>
      <c r="AV50" s="622"/>
      <c r="AW50" s="622"/>
      <c r="AX50" s="622"/>
      <c r="AY50" s="622"/>
      <c r="AZ50" s="622"/>
      <c r="BA50" s="622"/>
      <c r="BB50" s="622"/>
      <c r="BC50" s="622"/>
      <c r="BD50" s="622"/>
      <c r="BE50" s="622"/>
      <c r="BF50" s="622"/>
    </row>
    <row r="51" spans="1:58" ht="14.25" x14ac:dyDescent="0.2">
      <c r="A51" s="621" t="s">
        <v>883</v>
      </c>
      <c r="B51" s="376" t="s">
        <v>884</v>
      </c>
      <c r="C51" s="624">
        <f>+C33+C37+C38+C39+C40+C41+C42</f>
        <v>6.863256474239984</v>
      </c>
      <c r="D51" s="624">
        <f t="shared" ref="D51:BE51" si="22">+D33+D37+D38+D39+D40+D41+D42</f>
        <v>7.2448333006165999</v>
      </c>
      <c r="E51" s="624">
        <f>+E33+E37+E38+E39+E40+E41+E42</f>
        <v>7.9448084808801163</v>
      </c>
      <c r="F51" s="624">
        <f>+F33+F37+F38+F39+F40+F41+F42</f>
        <v>7.0719828739975661</v>
      </c>
      <c r="G51" s="624">
        <f>+G33+G37+G38+G39+G40+G41+G42</f>
        <v>6.4943480961748055</v>
      </c>
      <c r="H51" s="624">
        <f t="shared" si="22"/>
        <v>7.7287347441641909</v>
      </c>
      <c r="I51" s="624">
        <f t="shared" si="22"/>
        <v>7.9434641902337217</v>
      </c>
      <c r="J51" s="624">
        <f t="shared" si="22"/>
        <v>6.587582658455406</v>
      </c>
      <c r="K51" s="624">
        <f t="shared" si="22"/>
        <v>6.7470911192201344</v>
      </c>
      <c r="L51" s="779">
        <f>+L33+L37+L38+L39+L40+L41+L42</f>
        <v>6.896922358485293</v>
      </c>
      <c r="M51" s="624">
        <f t="shared" si="22"/>
        <v>6.6513199058690891</v>
      </c>
      <c r="N51" s="624">
        <f t="shared" si="22"/>
        <v>7.443273286982155</v>
      </c>
      <c r="O51" s="624">
        <f t="shared" si="22"/>
        <v>6.8004939877268074</v>
      </c>
      <c r="P51" s="624">
        <f t="shared" si="22"/>
        <v>8.7622527240552373</v>
      </c>
      <c r="Q51" s="624">
        <f t="shared" si="22"/>
        <v>6.8860361568603858</v>
      </c>
      <c r="R51" s="624">
        <f t="shared" si="22"/>
        <v>6.6425844904876872</v>
      </c>
      <c r="S51" s="624">
        <f>+S33+S37+S38+S39+S40+S41+S42</f>
        <v>6.8019288640240969</v>
      </c>
      <c r="T51" s="624">
        <f t="shared" si="22"/>
        <v>7.3222556369560055</v>
      </c>
      <c r="U51" s="624">
        <f t="shared" si="22"/>
        <v>6.6729587060965665</v>
      </c>
      <c r="V51" s="624">
        <f t="shared" si="22"/>
        <v>8.2420562053663495</v>
      </c>
      <c r="W51" s="624">
        <f t="shared" si="22"/>
        <v>7.2294468733450996</v>
      </c>
      <c r="X51" s="624">
        <f t="shared" si="22"/>
        <v>7.0512800568076628</v>
      </c>
      <c r="Y51" s="624">
        <f t="shared" si="22"/>
        <v>7.3135159288789859</v>
      </c>
      <c r="Z51" s="624">
        <f t="shared" si="22"/>
        <v>6.9254509333749006</v>
      </c>
      <c r="AA51" s="624">
        <f t="shared" si="22"/>
        <v>6.9851630658214594</v>
      </c>
      <c r="AB51" s="624">
        <f t="shared" si="22"/>
        <v>7.0790555807604845</v>
      </c>
      <c r="AC51" s="624">
        <f t="shared" si="22"/>
        <v>6.4509557562282929</v>
      </c>
      <c r="AD51" s="624">
        <f t="shared" si="22"/>
        <v>7.2059704313741131</v>
      </c>
      <c r="AE51" s="624">
        <f t="shared" si="22"/>
        <v>7.6986965745295928</v>
      </c>
      <c r="AF51" s="624">
        <f t="shared" si="22"/>
        <v>7.2618261961855817</v>
      </c>
      <c r="AG51" s="624">
        <f t="shared" si="22"/>
        <v>7.0969549547874395</v>
      </c>
      <c r="AH51" s="624">
        <f t="shared" si="22"/>
        <v>7.3168248962669953</v>
      </c>
      <c r="AI51" s="624">
        <f t="shared" si="22"/>
        <v>6.8585293091745667</v>
      </c>
      <c r="AJ51" s="624">
        <f t="shared" si="22"/>
        <v>6.6195151756583916</v>
      </c>
      <c r="AK51" s="624">
        <f t="shared" si="22"/>
        <v>6.5483910094206497</v>
      </c>
      <c r="AL51" s="624">
        <f t="shared" si="22"/>
        <v>6.5305093903745606</v>
      </c>
      <c r="AM51" s="624">
        <f t="shared" si="22"/>
        <v>7.0509524121531486</v>
      </c>
      <c r="AN51" s="624">
        <f t="shared" si="22"/>
        <v>6.6087014283475209</v>
      </c>
      <c r="AO51" s="624">
        <f t="shared" si="22"/>
        <v>6.831579787207704</v>
      </c>
      <c r="AP51" s="624">
        <f t="shared" si="22"/>
        <v>6.6447824882314483</v>
      </c>
      <c r="AQ51" s="624">
        <f t="shared" si="22"/>
        <v>7.0440560602489946</v>
      </c>
      <c r="AR51" s="624">
        <f t="shared" si="22"/>
        <v>7.8814855812168414</v>
      </c>
      <c r="AS51" s="624">
        <f t="shared" si="22"/>
        <v>7.5071843321183351</v>
      </c>
      <c r="AT51" s="624">
        <f t="shared" si="22"/>
        <v>6.6271358046530215</v>
      </c>
      <c r="AU51" s="624">
        <f t="shared" si="22"/>
        <v>6.6636665317942363</v>
      </c>
      <c r="AV51" s="624">
        <f t="shared" si="22"/>
        <v>7.7476647963489658</v>
      </c>
      <c r="AW51" s="624">
        <f t="shared" si="22"/>
        <v>7.5467874213371271</v>
      </c>
      <c r="AX51" s="624">
        <f t="shared" si="22"/>
        <v>6.4140797001171146</v>
      </c>
      <c r="AY51" s="624">
        <f t="shared" si="22"/>
        <v>7.3130396598823024</v>
      </c>
      <c r="AZ51" s="624">
        <f t="shared" si="22"/>
        <v>7.2484996304833498</v>
      </c>
      <c r="BA51" s="624">
        <f t="shared" si="22"/>
        <v>6.8400485789638896</v>
      </c>
      <c r="BB51" s="624">
        <f t="shared" si="22"/>
        <v>6.9491735816309141</v>
      </c>
      <c r="BC51" s="624">
        <f t="shared" si="22"/>
        <v>7.225344807923797</v>
      </c>
      <c r="BD51" s="624">
        <f t="shared" si="22"/>
        <v>8.1256549491388448</v>
      </c>
      <c r="BE51" s="624">
        <f t="shared" si="22"/>
        <v>7.1047594750349088</v>
      </c>
      <c r="BF51" s="624">
        <f t="shared" ref="BF51" si="23">+BF33+BF37+BF38+BF39+BF40+BF41+BF42</f>
        <v>6.6798678283438857</v>
      </c>
    </row>
    <row r="52" spans="1:58" x14ac:dyDescent="0.2">
      <c r="A52" s="622"/>
      <c r="B52" s="376" t="s">
        <v>885</v>
      </c>
      <c r="C52" s="624">
        <f>+C51+(-C42*(1-C20)+(C43*(1-C20)))</f>
        <v>2.9522564742399839</v>
      </c>
      <c r="D52" s="624">
        <f t="shared" ref="D52:AI52" si="24">+D51+(-D42*(1-D20)+(D43*(1-D20)))</f>
        <v>3.3338333006165999</v>
      </c>
      <c r="E52" s="624">
        <f t="shared" si="24"/>
        <v>4.0338084808801167</v>
      </c>
      <c r="F52" s="624">
        <f t="shared" si="24"/>
        <v>3.1609828739975661</v>
      </c>
      <c r="G52" s="624">
        <f t="shared" si="24"/>
        <v>2.5833480961748054</v>
      </c>
      <c r="H52" s="624">
        <f t="shared" si="24"/>
        <v>3.8177347441641909</v>
      </c>
      <c r="I52" s="624">
        <f t="shared" si="24"/>
        <v>4.0324641902337213</v>
      </c>
      <c r="J52" s="624">
        <f t="shared" si="24"/>
        <v>2.676582658455406</v>
      </c>
      <c r="K52" s="624">
        <f t="shared" si="24"/>
        <v>2.8360911192201343</v>
      </c>
      <c r="L52" s="779">
        <f>+L51+(-L42*(1-L20)+(L43*(1-L20)))</f>
        <v>2.985922358485293</v>
      </c>
      <c r="M52" s="624">
        <f t="shared" si="24"/>
        <v>2.740319905869089</v>
      </c>
      <c r="N52" s="624">
        <f t="shared" si="24"/>
        <v>3.5322732869821549</v>
      </c>
      <c r="O52" s="624">
        <f t="shared" si="24"/>
        <v>2.8894939877268073</v>
      </c>
      <c r="P52" s="624">
        <f t="shared" si="24"/>
        <v>4.8512527240552377</v>
      </c>
      <c r="Q52" s="624">
        <f t="shared" si="24"/>
        <v>2.9750361568603858</v>
      </c>
      <c r="R52" s="624">
        <f t="shared" si="24"/>
        <v>2.7315844904876871</v>
      </c>
      <c r="S52" s="624">
        <f t="shared" si="24"/>
        <v>2.8909288640240969</v>
      </c>
      <c r="T52" s="624">
        <f t="shared" si="24"/>
        <v>3.4112556369560054</v>
      </c>
      <c r="U52" s="624">
        <f t="shared" si="24"/>
        <v>2.7619587060965665</v>
      </c>
      <c r="V52" s="624">
        <f t="shared" si="24"/>
        <v>4.3310562053663499</v>
      </c>
      <c r="W52" s="624">
        <f t="shared" si="24"/>
        <v>3.3184468733450996</v>
      </c>
      <c r="X52" s="624">
        <f t="shared" si="24"/>
        <v>3.1402800568076628</v>
      </c>
      <c r="Y52" s="624">
        <f t="shared" si="24"/>
        <v>3.4025159288789859</v>
      </c>
      <c r="Z52" s="624">
        <f t="shared" si="24"/>
        <v>3.0144509333749006</v>
      </c>
      <c r="AA52" s="624">
        <f t="shared" si="24"/>
        <v>3.0741630658214594</v>
      </c>
      <c r="AB52" s="624">
        <f t="shared" si="24"/>
        <v>3.1680555807604844</v>
      </c>
      <c r="AC52" s="624">
        <f t="shared" si="24"/>
        <v>2.5399557562282928</v>
      </c>
      <c r="AD52" s="624">
        <f t="shared" si="24"/>
        <v>3.2949704313741131</v>
      </c>
      <c r="AE52" s="624">
        <f t="shared" si="24"/>
        <v>3.7876965745295927</v>
      </c>
      <c r="AF52" s="624">
        <f t="shared" si="24"/>
        <v>3.3508261961855816</v>
      </c>
      <c r="AG52" s="624">
        <f t="shared" si="24"/>
        <v>3.1859549547874395</v>
      </c>
      <c r="AH52" s="624">
        <f t="shared" si="24"/>
        <v>3.4058248962669952</v>
      </c>
      <c r="AI52" s="624">
        <f t="shared" si="24"/>
        <v>2.9475293091745667</v>
      </c>
      <c r="AJ52" s="624">
        <f t="shared" ref="AJ52:BE52" si="25">+AJ51+(-AJ42*(1-AJ20)+(AJ43*(1-AJ20)))</f>
        <v>2.7085151756583916</v>
      </c>
      <c r="AK52" s="624">
        <f t="shared" si="25"/>
        <v>2.6373910094206496</v>
      </c>
      <c r="AL52" s="624">
        <f t="shared" si="25"/>
        <v>2.6195093903745605</v>
      </c>
      <c r="AM52" s="624">
        <f t="shared" si="25"/>
        <v>3.1399524121531486</v>
      </c>
      <c r="AN52" s="624">
        <f t="shared" si="25"/>
        <v>2.6977014283475209</v>
      </c>
      <c r="AO52" s="624">
        <f t="shared" si="25"/>
        <v>2.9205797872077039</v>
      </c>
      <c r="AP52" s="624">
        <f t="shared" si="25"/>
        <v>2.7337824882314483</v>
      </c>
      <c r="AQ52" s="624">
        <f t="shared" si="25"/>
        <v>3.1330560602489945</v>
      </c>
      <c r="AR52" s="624">
        <f t="shared" si="25"/>
        <v>3.9704855812168414</v>
      </c>
      <c r="AS52" s="624">
        <f t="shared" si="25"/>
        <v>3.5961843321183351</v>
      </c>
      <c r="AT52" s="624">
        <f t="shared" si="25"/>
        <v>2.7161358046530215</v>
      </c>
      <c r="AU52" s="624">
        <f t="shared" si="25"/>
        <v>2.7526665317942363</v>
      </c>
      <c r="AV52" s="624">
        <f t="shared" si="25"/>
        <v>3.8366647963489657</v>
      </c>
      <c r="AW52" s="624">
        <f t="shared" si="25"/>
        <v>3.6357874213371271</v>
      </c>
      <c r="AX52" s="624">
        <f t="shared" si="25"/>
        <v>2.5030797001171146</v>
      </c>
      <c r="AY52" s="624">
        <f t="shared" si="25"/>
        <v>3.4020396598823024</v>
      </c>
      <c r="AZ52" s="624">
        <f t="shared" si="25"/>
        <v>3.3374996304833497</v>
      </c>
      <c r="BA52" s="624">
        <f t="shared" si="25"/>
        <v>2.9290485789638896</v>
      </c>
      <c r="BB52" s="624">
        <f t="shared" si="25"/>
        <v>3.0381735816309141</v>
      </c>
      <c r="BC52" s="624">
        <f t="shared" si="25"/>
        <v>3.3143448079237969</v>
      </c>
      <c r="BD52" s="624">
        <f t="shared" si="25"/>
        <v>4.2146549491388452</v>
      </c>
      <c r="BE52" s="624">
        <f t="shared" si="25"/>
        <v>3.1937594750349088</v>
      </c>
      <c r="BF52" s="624">
        <f t="shared" ref="BF52" si="26">+BF51+(-BF42*(1-BF20)+(BF43*(1-BF20)))</f>
        <v>2.7688678283438857</v>
      </c>
    </row>
    <row r="53" spans="1:58" x14ac:dyDescent="0.2">
      <c r="A53" s="622"/>
      <c r="B53" s="376" t="s">
        <v>886</v>
      </c>
      <c r="C53" s="627">
        <f>+C34+C45+C46+C47+C48+C49</f>
        <v>3.3198304516510313</v>
      </c>
      <c r="D53" s="627">
        <f t="shared" ref="D53:BE53" si="27">+D34+D45+D46+D47+D48+D49</f>
        <v>3.0167288860920731</v>
      </c>
      <c r="E53" s="627">
        <f t="shared" si="27"/>
        <v>3.4755813421365378</v>
      </c>
      <c r="F53" s="627">
        <f t="shared" si="27"/>
        <v>2.4145719136788282</v>
      </c>
      <c r="G53" s="627">
        <f t="shared" si="27"/>
        <v>2.4347910270493718</v>
      </c>
      <c r="H53" s="627">
        <f t="shared" si="27"/>
        <v>4.4259539911950805</v>
      </c>
      <c r="I53" s="627">
        <f t="shared" si="27"/>
        <v>4.1306804565186575</v>
      </c>
      <c r="J53" s="627">
        <f t="shared" si="27"/>
        <v>2.7418227459150231</v>
      </c>
      <c r="K53" s="627">
        <f t="shared" si="27"/>
        <v>3.3606866512617595</v>
      </c>
      <c r="L53" s="627">
        <f>+L34+L45+L46+L47+L48+L49</f>
        <v>2.4522744795111908</v>
      </c>
      <c r="M53" s="627">
        <f t="shared" si="27"/>
        <v>3.038651557930228</v>
      </c>
      <c r="N53" s="627">
        <f t="shared" si="27"/>
        <v>4.8505883664577221</v>
      </c>
      <c r="O53" s="627">
        <f t="shared" si="27"/>
        <v>3.0909767644770496</v>
      </c>
      <c r="P53" s="627">
        <f>+P34+P45+P46+P47+P48+P49</f>
        <v>4.3503571872172921</v>
      </c>
      <c r="Q53" s="627">
        <f t="shared" si="27"/>
        <v>3.1321683288980768</v>
      </c>
      <c r="R53" s="627">
        <f t="shared" si="27"/>
        <v>3.5297297132515562</v>
      </c>
      <c r="S53" s="627">
        <f>+S34+S45+S46+S47+S48+S49</f>
        <v>3.3081527273965694</v>
      </c>
      <c r="T53" s="627">
        <f t="shared" si="27"/>
        <v>2.5543542088401829</v>
      </c>
      <c r="U53" s="627">
        <f t="shared" si="27"/>
        <v>3.6160618239184732</v>
      </c>
      <c r="V53" s="627">
        <f t="shared" si="27"/>
        <v>4.4903246941170227</v>
      </c>
      <c r="W53" s="627">
        <f t="shared" si="27"/>
        <v>2.814124052073522</v>
      </c>
      <c r="X53" s="627">
        <f t="shared" si="27"/>
        <v>2.1619979104793088</v>
      </c>
      <c r="Y53" s="627">
        <f t="shared" si="27"/>
        <v>4.6129669744655271</v>
      </c>
      <c r="Z53" s="627">
        <f t="shared" si="27"/>
        <v>3.858034397329499</v>
      </c>
      <c r="AA53" s="627">
        <f t="shared" si="27"/>
        <v>3.0702661859211577</v>
      </c>
      <c r="AB53" s="627">
        <f t="shared" si="27"/>
        <v>3.1536961070980247</v>
      </c>
      <c r="AC53" s="627">
        <f t="shared" si="27"/>
        <v>3.1002828264094511</v>
      </c>
      <c r="AD53" s="627">
        <f t="shared" si="27"/>
        <v>3.4944132280371325</v>
      </c>
      <c r="AE53" s="627">
        <f t="shared" si="27"/>
        <v>3.5218245438868783</v>
      </c>
      <c r="AF53" s="627">
        <f t="shared" si="27"/>
        <v>2.9100286477423927</v>
      </c>
      <c r="AG53" s="627">
        <f t="shared" si="27"/>
        <v>3.4524575436248899</v>
      </c>
      <c r="AH53" s="627">
        <f t="shared" si="27"/>
        <v>3.2994746189587838</v>
      </c>
      <c r="AI53" s="627">
        <f t="shared" si="27"/>
        <v>3.6982910282373958</v>
      </c>
      <c r="AJ53" s="627">
        <f>+AJ34+AJ45+AJ46+AJ47+AJ48+AJ49</f>
        <v>3.8677313480874793</v>
      </c>
      <c r="AK53" s="627">
        <f t="shared" si="27"/>
        <v>3.1029162801224892</v>
      </c>
      <c r="AL53" s="627">
        <f t="shared" si="27"/>
        <v>3.8027287968061891</v>
      </c>
      <c r="AM53" s="627">
        <f t="shared" si="27"/>
        <v>3.0491581533294694</v>
      </c>
      <c r="AN53" s="627">
        <f t="shared" si="27"/>
        <v>3.6845502325310244</v>
      </c>
      <c r="AO53" s="627">
        <f>+AO34+AO45+AO46+AO47+AO48+AO49</f>
        <v>3.6124018927445549</v>
      </c>
      <c r="AP53" s="627">
        <f t="shared" si="27"/>
        <v>3.3673067337898899</v>
      </c>
      <c r="AQ53" s="627">
        <f t="shared" si="27"/>
        <v>3.3055338971146417</v>
      </c>
      <c r="AR53" s="627">
        <f t="shared" si="27"/>
        <v>4.0507584828782974</v>
      </c>
      <c r="AS53" s="627">
        <f t="shared" si="27"/>
        <v>3.7762283710078783</v>
      </c>
      <c r="AT53" s="627">
        <f t="shared" si="27"/>
        <v>3.4729569038927135</v>
      </c>
      <c r="AU53" s="627">
        <f t="shared" si="27"/>
        <v>3.5516120246795699</v>
      </c>
      <c r="AV53" s="627">
        <f t="shared" si="27"/>
        <v>3.8347745501932065</v>
      </c>
      <c r="AW53" s="627">
        <f t="shared" si="27"/>
        <v>3.842877701853177</v>
      </c>
      <c r="AX53" s="627">
        <f t="shared" si="27"/>
        <v>2.8786477466609206</v>
      </c>
      <c r="AY53" s="627">
        <f t="shared" si="27"/>
        <v>3.8243910526510634</v>
      </c>
      <c r="AZ53" s="627">
        <f>+AZ34+AZ45+AZ46+AZ47+AZ48+AZ49</f>
        <v>3.6829427689605732</v>
      </c>
      <c r="BA53" s="627">
        <f t="shared" si="27"/>
        <v>2.4392047469281746</v>
      </c>
      <c r="BB53" s="627">
        <f>+BB34+BB45+BB46+BB47+BB48+BB49</f>
        <v>3.2927409496647413</v>
      </c>
      <c r="BC53" s="627">
        <f t="shared" si="27"/>
        <v>5.2825092886026894</v>
      </c>
      <c r="BD53" s="627">
        <f t="shared" si="27"/>
        <v>3.4360872863891139</v>
      </c>
      <c r="BE53" s="627">
        <f t="shared" si="27"/>
        <v>3.5851361492574192</v>
      </c>
      <c r="BF53" s="627">
        <f t="shared" ref="BF53" si="28">+BF34+BF45+BF46+BF47+BF48+BF49</f>
        <v>3.476520235805288</v>
      </c>
    </row>
    <row r="54" spans="1:58" x14ac:dyDescent="0.2">
      <c r="A54" s="622"/>
      <c r="B54" s="622"/>
      <c r="C54" s="627"/>
      <c r="D54" s="627"/>
      <c r="E54" s="627"/>
      <c r="F54" s="627"/>
      <c r="G54" s="627"/>
      <c r="H54" s="627"/>
      <c r="I54" s="627"/>
      <c r="J54" s="627"/>
      <c r="K54" s="627"/>
      <c r="L54" s="627"/>
      <c r="M54" s="627"/>
      <c r="N54" s="627"/>
      <c r="O54" s="627"/>
      <c r="P54" s="627"/>
      <c r="Q54" s="627"/>
      <c r="R54" s="627"/>
      <c r="S54" s="627"/>
      <c r="T54" s="627"/>
      <c r="U54" s="627"/>
      <c r="V54" s="627"/>
      <c r="W54" s="627"/>
      <c r="X54" s="627"/>
      <c r="Y54" s="627"/>
      <c r="Z54" s="627"/>
      <c r="AA54" s="627"/>
      <c r="AB54" s="627"/>
      <c r="AC54" s="627"/>
      <c r="AD54" s="627"/>
      <c r="AE54" s="627"/>
      <c r="AF54" s="627"/>
      <c r="AG54" s="627"/>
      <c r="AH54" s="627"/>
      <c r="AI54" s="627"/>
      <c r="AJ54" s="627"/>
      <c r="AK54" s="627"/>
      <c r="AL54" s="627"/>
      <c r="AM54" s="627"/>
      <c r="AN54" s="627"/>
      <c r="AO54" s="627"/>
      <c r="AP54" s="627"/>
      <c r="AQ54" s="627"/>
      <c r="AR54" s="627"/>
      <c r="AS54" s="627"/>
      <c r="AT54" s="627"/>
      <c r="AU54" s="627"/>
      <c r="AV54" s="627"/>
      <c r="AW54" s="627"/>
      <c r="AX54" s="627"/>
      <c r="AY54" s="627"/>
      <c r="AZ54" s="627"/>
      <c r="BA54" s="627"/>
      <c r="BB54" s="627"/>
      <c r="BC54" s="627"/>
      <c r="BD54" s="627"/>
      <c r="BE54" s="627"/>
      <c r="BF54" s="627"/>
    </row>
    <row r="55" spans="1:58" x14ac:dyDescent="0.2">
      <c r="A55" s="622"/>
      <c r="B55" s="622"/>
      <c r="C55" s="624"/>
      <c r="D55" s="622"/>
      <c r="E55" s="622"/>
      <c r="F55" s="622"/>
      <c r="G55" s="622"/>
      <c r="H55" s="622"/>
      <c r="I55" s="622"/>
      <c r="J55" s="1592">
        <f>+J56-'[7]תחשיב תעריף 2016'!$J$56</f>
        <v>0</v>
      </c>
      <c r="K55" s="622"/>
      <c r="L55" s="622"/>
      <c r="M55" s="622"/>
      <c r="N55" s="622"/>
      <c r="O55" s="622"/>
      <c r="P55" s="622"/>
      <c r="Q55" s="622"/>
      <c r="R55" s="622"/>
      <c r="S55" s="1599"/>
      <c r="T55" s="622"/>
      <c r="U55" s="622"/>
      <c r="V55" s="622"/>
      <c r="W55" s="622"/>
      <c r="X55" s="622"/>
      <c r="Y55" s="622"/>
      <c r="Z55" s="622"/>
      <c r="AA55" s="622"/>
      <c r="AB55" s="622"/>
      <c r="AC55" s="622"/>
      <c r="AD55" s="622"/>
      <c r="AE55" s="622"/>
      <c r="AF55" s="622"/>
      <c r="AG55" s="622"/>
      <c r="AH55" s="622"/>
      <c r="AI55" s="622"/>
      <c r="AJ55" s="622"/>
      <c r="AK55" s="622"/>
      <c r="AL55" s="622"/>
      <c r="AM55" s="622"/>
      <c r="AN55" s="622"/>
      <c r="AO55" s="622"/>
      <c r="AP55" s="622"/>
      <c r="AQ55" s="622"/>
      <c r="AR55" s="622"/>
      <c r="AS55" s="622"/>
      <c r="AT55" s="622"/>
      <c r="AU55" s="622"/>
      <c r="AV55" s="622"/>
      <c r="AW55" s="622"/>
      <c r="AX55" s="622"/>
      <c r="AY55" s="622"/>
      <c r="AZ55" s="622"/>
      <c r="BA55" s="622"/>
      <c r="BB55" s="622"/>
      <c r="BC55" s="622"/>
      <c r="BD55" s="622"/>
      <c r="BE55" s="622"/>
      <c r="BF55" s="622"/>
    </row>
    <row r="56" spans="1:58" ht="14.25" x14ac:dyDescent="0.2">
      <c r="A56" s="621" t="s">
        <v>890</v>
      </c>
      <c r="B56" s="376" t="s">
        <v>895</v>
      </c>
      <c r="C56" s="723">
        <f>+'ריכוז עלויות'!$C$62</f>
        <v>10.5597463205149</v>
      </c>
      <c r="D56" s="723">
        <f>+'ריכוז עלויות'!$C$62</f>
        <v>10.5597463205149</v>
      </c>
      <c r="E56" s="723">
        <f>+'ריכוז עלויות'!$C$62</f>
        <v>10.5597463205149</v>
      </c>
      <c r="F56" s="723">
        <f>+'ריכוז עלויות'!$C$62</f>
        <v>10.5597463205149</v>
      </c>
      <c r="G56" s="723">
        <f>+'ריכוז עלויות'!$C$62</f>
        <v>10.5597463205149</v>
      </c>
      <c r="H56" s="723">
        <f>+'ריכוז עלויות'!$C$62</f>
        <v>10.5597463205149</v>
      </c>
      <c r="I56" s="723">
        <f>+'ריכוז עלויות'!$C$62</f>
        <v>10.5597463205149</v>
      </c>
      <c r="J56" s="723">
        <f>+'ריכוז עלויות'!$C$62</f>
        <v>10.5597463205149</v>
      </c>
      <c r="K56" s="723">
        <f>+'ריכוז עלויות'!$C$62</f>
        <v>10.5597463205149</v>
      </c>
      <c r="L56" s="723">
        <f>+'ריכוז עלויות'!$C$62</f>
        <v>10.5597463205149</v>
      </c>
      <c r="M56" s="723">
        <f>+'ריכוז עלויות'!$C$62</f>
        <v>10.5597463205149</v>
      </c>
      <c r="N56" s="723">
        <f>+'ריכוז עלויות'!$C$62</f>
        <v>10.5597463205149</v>
      </c>
      <c r="O56" s="723">
        <f>+'ריכוז עלויות'!$C$62</f>
        <v>10.5597463205149</v>
      </c>
      <c r="P56" s="723">
        <f>+'ריכוז עלויות'!$C$62</f>
        <v>10.5597463205149</v>
      </c>
      <c r="Q56" s="723">
        <f>+'ריכוז עלויות'!$C$62</f>
        <v>10.5597463205149</v>
      </c>
      <c r="R56" s="723">
        <f>+'ריכוז עלויות'!$C$62</f>
        <v>10.5597463205149</v>
      </c>
      <c r="S56" s="723">
        <f>+'ריכוז עלויות'!$C$62</f>
        <v>10.5597463205149</v>
      </c>
      <c r="T56" s="723">
        <f>+'ריכוז עלויות'!$C$62</f>
        <v>10.5597463205149</v>
      </c>
      <c r="U56" s="723">
        <f>+'ריכוז עלויות'!$C$62</f>
        <v>10.5597463205149</v>
      </c>
      <c r="V56" s="723">
        <f>+'ריכוז עלויות'!$C$62</f>
        <v>10.5597463205149</v>
      </c>
      <c r="W56" s="723">
        <f>+'ריכוז עלויות'!$C$62</f>
        <v>10.5597463205149</v>
      </c>
      <c r="X56" s="723">
        <f>+'ריכוז עלויות'!$C$62</f>
        <v>10.5597463205149</v>
      </c>
      <c r="Y56" s="723">
        <f>+'ריכוז עלויות'!$C$62</f>
        <v>10.5597463205149</v>
      </c>
      <c r="Z56" s="723">
        <f>+'ריכוז עלויות'!$C$62</f>
        <v>10.5597463205149</v>
      </c>
      <c r="AA56" s="723">
        <f>+'ריכוז עלויות'!$C$62</f>
        <v>10.5597463205149</v>
      </c>
      <c r="AB56" s="723">
        <f>+'ריכוז עלויות'!$C$62</f>
        <v>10.5597463205149</v>
      </c>
      <c r="AC56" s="723">
        <f>+'ריכוז עלויות'!$C$62</f>
        <v>10.5597463205149</v>
      </c>
      <c r="AD56" s="723">
        <f>+'ריכוז עלויות'!$C$62</f>
        <v>10.5597463205149</v>
      </c>
      <c r="AE56" s="723">
        <f>+'ריכוז עלויות'!$C$62</f>
        <v>10.5597463205149</v>
      </c>
      <c r="AF56" s="723">
        <f>+'ריכוז עלויות'!$C$62</f>
        <v>10.5597463205149</v>
      </c>
      <c r="AG56" s="723">
        <f>+'ריכוז עלויות'!$C$62</f>
        <v>10.5597463205149</v>
      </c>
      <c r="AH56" s="723">
        <f>+'ריכוז עלויות'!$C$62</f>
        <v>10.5597463205149</v>
      </c>
      <c r="AI56" s="723">
        <f>+'ריכוז עלויות'!$C$62</f>
        <v>10.5597463205149</v>
      </c>
      <c r="AJ56" s="723">
        <f>+'ריכוז עלויות'!$C$62</f>
        <v>10.5597463205149</v>
      </c>
      <c r="AK56" s="723">
        <f>+'ריכוז עלויות'!$C$62</f>
        <v>10.5597463205149</v>
      </c>
      <c r="AL56" s="723">
        <f>+'ריכוז עלויות'!$C$62</f>
        <v>10.5597463205149</v>
      </c>
      <c r="AM56" s="723">
        <f>+'ריכוז עלויות'!$C$62</f>
        <v>10.5597463205149</v>
      </c>
      <c r="AN56" s="723">
        <f>+'ריכוז עלויות'!$C$62</f>
        <v>10.5597463205149</v>
      </c>
      <c r="AO56" s="723">
        <f>+'ריכוז עלויות'!$C$62</f>
        <v>10.5597463205149</v>
      </c>
      <c r="AP56" s="723">
        <f>+'ריכוז עלויות'!$C$62</f>
        <v>10.5597463205149</v>
      </c>
      <c r="AQ56" s="723">
        <f>+'ריכוז עלויות'!$C$62</f>
        <v>10.5597463205149</v>
      </c>
      <c r="AR56" s="723">
        <f>+'ריכוז עלויות'!$C$62</f>
        <v>10.5597463205149</v>
      </c>
      <c r="AS56" s="723">
        <f>+'ריכוז עלויות'!$C$62</f>
        <v>10.5597463205149</v>
      </c>
      <c r="AT56" s="723">
        <f>+'ריכוז עלויות'!$C$62</f>
        <v>10.5597463205149</v>
      </c>
      <c r="AU56" s="723">
        <f>+'ריכוז עלויות'!$C$62</f>
        <v>10.5597463205149</v>
      </c>
      <c r="AV56" s="723">
        <f>+'ריכוז עלויות'!$C$62</f>
        <v>10.5597463205149</v>
      </c>
      <c r="AW56" s="723">
        <f>+'ריכוז עלויות'!$C$62</f>
        <v>10.5597463205149</v>
      </c>
      <c r="AX56" s="723">
        <f>+'ריכוז עלויות'!$C$62</f>
        <v>10.5597463205149</v>
      </c>
      <c r="AY56" s="723">
        <f>+'ריכוז עלויות'!$C$62</f>
        <v>10.5597463205149</v>
      </c>
      <c r="AZ56" s="723">
        <f>+'ריכוז עלויות'!$C$62</f>
        <v>10.5597463205149</v>
      </c>
      <c r="BA56" s="723">
        <f>+'ריכוז עלויות'!$C$62</f>
        <v>10.5597463205149</v>
      </c>
      <c r="BB56" s="723">
        <f>+'ריכוז עלויות'!$C$62</f>
        <v>10.5597463205149</v>
      </c>
      <c r="BC56" s="723">
        <f>+'ריכוז עלויות'!$C$62</f>
        <v>10.5597463205149</v>
      </c>
      <c r="BD56" s="723">
        <f>+'ריכוז עלויות'!$C$62</f>
        <v>10.5597463205149</v>
      </c>
      <c r="BE56" s="723">
        <f>+'ריכוז עלויות'!$C$62</f>
        <v>10.5597463205149</v>
      </c>
      <c r="BF56" s="723">
        <f>+'ריכוז עלויות'!$C$62</f>
        <v>10.5597463205149</v>
      </c>
    </row>
    <row r="57" spans="1:58" x14ac:dyDescent="0.2">
      <c r="A57" s="622"/>
      <c r="B57" s="376" t="s">
        <v>891</v>
      </c>
      <c r="C57" s="624">
        <f>+C53/(1-C21)</f>
        <v>3.5002819484557519</v>
      </c>
      <c r="D57" s="624">
        <f t="shared" ref="D57:BE57" si="29">+D53/(1-D21)</f>
        <v>3.1962129649201172</v>
      </c>
      <c r="E57" s="624">
        <f t="shared" si="29"/>
        <v>3.6906919439152461</v>
      </c>
      <c r="F57" s="624">
        <f>+F53/(1-F21)</f>
        <v>2.4513420443439879</v>
      </c>
      <c r="G57" s="624">
        <f t="shared" si="29"/>
        <v>2.4718690629942861</v>
      </c>
      <c r="H57" s="624">
        <f t="shared" si="29"/>
        <v>4.4933543057818079</v>
      </c>
      <c r="I57" s="624">
        <f>+I53/(1-I21)</f>
        <v>4.3850217069581507</v>
      </c>
      <c r="J57" s="624">
        <f t="shared" si="29"/>
        <v>2.7835763917919016</v>
      </c>
      <c r="K57" s="624">
        <f t="shared" si="29"/>
        <v>3.5506853620671426</v>
      </c>
      <c r="L57" s="624">
        <f t="shared" si="29"/>
        <v>2.4896187609250671</v>
      </c>
      <c r="M57" s="624">
        <f t="shared" si="29"/>
        <v>3.0849254395230741</v>
      </c>
      <c r="N57" s="624">
        <f t="shared" si="29"/>
        <v>5.1410884860696617</v>
      </c>
      <c r="O57" s="624">
        <f t="shared" si="29"/>
        <v>3.1380474766264466</v>
      </c>
      <c r="P57" s="624">
        <f>+P53/(1-P21)</f>
        <v>4.5540949409548706</v>
      </c>
      <c r="Q57" s="624">
        <f t="shared" si="29"/>
        <v>3.1798663237543927</v>
      </c>
      <c r="R57" s="624">
        <f t="shared" si="29"/>
        <v>3.5834819423873667</v>
      </c>
      <c r="S57" s="624">
        <f t="shared" si="29"/>
        <v>3.3585306877122534</v>
      </c>
      <c r="T57" s="624">
        <f t="shared" si="29"/>
        <v>2.593253003898663</v>
      </c>
      <c r="U57" s="624">
        <f t="shared" si="29"/>
        <v>3.6711287552471807</v>
      </c>
      <c r="V57" s="624">
        <f t="shared" si="29"/>
        <v>4.7462588598137545</v>
      </c>
      <c r="W57" s="624">
        <f t="shared" si="29"/>
        <v>2.9988458685106769</v>
      </c>
      <c r="X57" s="624">
        <f t="shared" si="29"/>
        <v>2.1949217365272169</v>
      </c>
      <c r="Y57" s="624">
        <f t="shared" si="29"/>
        <v>4.6832152025030735</v>
      </c>
      <c r="Z57" s="624">
        <f t="shared" si="29"/>
        <v>3.9167861901822327</v>
      </c>
      <c r="AA57" s="624">
        <f t="shared" si="29"/>
        <v>3.1170215085493989</v>
      </c>
      <c r="AB57" s="624">
        <f t="shared" si="29"/>
        <v>3.2622147460262458</v>
      </c>
      <c r="AC57" s="624">
        <f t="shared" si="29"/>
        <v>3.1474952552380215</v>
      </c>
      <c r="AD57" s="624">
        <f t="shared" si="29"/>
        <v>3.5476276426772921</v>
      </c>
      <c r="AE57" s="624">
        <f t="shared" si="29"/>
        <v>3.5754563897328713</v>
      </c>
      <c r="AF57" s="624">
        <f t="shared" si="29"/>
        <v>2.954343804814612</v>
      </c>
      <c r="AG57" s="624">
        <f t="shared" si="29"/>
        <v>3.5050330392130862</v>
      </c>
      <c r="AH57" s="624">
        <f t="shared" si="29"/>
        <v>3.5013876332036267</v>
      </c>
      <c r="AI57" s="624">
        <f t="shared" si="29"/>
        <v>3.754610180951671</v>
      </c>
      <c r="AJ57" s="624">
        <f t="shared" si="29"/>
        <v>3.9266308102410958</v>
      </c>
      <c r="AK57" s="624">
        <f t="shared" si="29"/>
        <v>3.1501688123070957</v>
      </c>
      <c r="AL57" s="624">
        <f t="shared" si="29"/>
        <v>3.8606383723920703</v>
      </c>
      <c r="AM57" s="624">
        <f t="shared" si="29"/>
        <v>3.0955920338370246</v>
      </c>
      <c r="AN57" s="624">
        <f t="shared" si="29"/>
        <v>3.7406601345492634</v>
      </c>
      <c r="AO57" s="624">
        <f>+AO53/(1-AO21)</f>
        <v>3.6674130890807666</v>
      </c>
      <c r="AP57" s="624">
        <f t="shared" si="29"/>
        <v>3.4185855165379593</v>
      </c>
      <c r="AQ57" s="624">
        <f t="shared" si="29"/>
        <v>3.3708466075750794</v>
      </c>
      <c r="AR57" s="624">
        <f t="shared" si="29"/>
        <v>4.290870083925074</v>
      </c>
      <c r="AS57" s="624">
        <f t="shared" si="29"/>
        <v>3.9646280783496102</v>
      </c>
      <c r="AT57" s="624">
        <f t="shared" si="29"/>
        <v>3.6176634415549098</v>
      </c>
      <c r="AU57" s="624">
        <f t="shared" si="29"/>
        <v>3.6056974869843348</v>
      </c>
      <c r="AV57" s="624">
        <f t="shared" si="29"/>
        <v>4.0588668829954146</v>
      </c>
      <c r="AW57" s="624">
        <f t="shared" si="29"/>
        <v>4.0761012304634212</v>
      </c>
      <c r="AX57" s="624">
        <f t="shared" si="29"/>
        <v>2.9224850219907825</v>
      </c>
      <c r="AY57" s="624">
        <f t="shared" si="29"/>
        <v>4.0053671736945393</v>
      </c>
      <c r="AZ57" s="624">
        <f t="shared" si="29"/>
        <v>3.7513376806823442</v>
      </c>
      <c r="BA57" s="624">
        <f t="shared" si="29"/>
        <v>2.5793849689276667</v>
      </c>
      <c r="BB57" s="624">
        <f t="shared" si="29"/>
        <v>3.477992149068355</v>
      </c>
      <c r="BC57" s="624">
        <f t="shared" si="29"/>
        <v>5.6158230813277781</v>
      </c>
      <c r="BD57" s="624">
        <f>+BD53/(1-BD21)</f>
        <v>3.4884134887199125</v>
      </c>
      <c r="BE57" s="624">
        <f t="shared" si="29"/>
        <v>3.6397321312258062</v>
      </c>
      <c r="BF57" s="624">
        <f t="shared" ref="BF57" si="30">+BF53/(1-BF21)</f>
        <v>3.6594949850581981</v>
      </c>
    </row>
    <row r="58" spans="1:58" x14ac:dyDescent="0.2">
      <c r="A58" s="622"/>
      <c r="B58" s="376" t="s">
        <v>892</v>
      </c>
      <c r="C58" s="627">
        <f>+(C51-C42)/(1-C21)</f>
        <v>1.5014680980868809</v>
      </c>
      <c r="D58" s="628">
        <f>+(D51-D42)/(1-D21)</f>
        <v>1.7953884869866286</v>
      </c>
      <c r="E58" s="628">
        <f>+(E51-E42)/(1-E21)</f>
        <v>2.5928398221402453</v>
      </c>
      <c r="F58" s="628">
        <f t="shared" ref="F58:BE58" si="31">+(F51-F42)/(1-F21)</f>
        <v>1.7509851258779121</v>
      </c>
      <c r="G58" s="628">
        <f t="shared" si="31"/>
        <v>1.2338709051119796</v>
      </c>
      <c r="H58" s="628">
        <f t="shared" si="31"/>
        <v>2.4846333566743373</v>
      </c>
      <c r="I58" s="628">
        <f t="shared" si="31"/>
        <v>2.527062871373027</v>
      </c>
      <c r="J58" s="628">
        <f t="shared" si="31"/>
        <v>1.3657617723175568</v>
      </c>
      <c r="K58" s="628">
        <f t="shared" si="31"/>
        <v>1.3322433357480539</v>
      </c>
      <c r="L58" s="628">
        <f t="shared" si="31"/>
        <v>1.640153777304898</v>
      </c>
      <c r="M58" s="628">
        <f t="shared" si="31"/>
        <v>1.4317010900147753</v>
      </c>
      <c r="N58" s="628">
        <f t="shared" si="31"/>
        <v>2.0155143843249466</v>
      </c>
      <c r="O58" s="628">
        <f t="shared" si="31"/>
        <v>1.582712002902454</v>
      </c>
      <c r="P58" s="628">
        <f t="shared" si="31"/>
        <v>3.5538267257206275</v>
      </c>
      <c r="Q58" s="628">
        <f t="shared" si="31"/>
        <v>1.5693951622753508</v>
      </c>
      <c r="R58" s="628">
        <f t="shared" si="31"/>
        <v>1.3819427438047904</v>
      </c>
      <c r="S58" s="628">
        <f t="shared" si="31"/>
        <v>1.5230559198818729</v>
      </c>
      <c r="T58" s="628">
        <f t="shared" si="31"/>
        <v>2.1300052430847867</v>
      </c>
      <c r="U58" s="628">
        <f t="shared" si="31"/>
        <v>1.412779510920404</v>
      </c>
      <c r="V58" s="628">
        <f t="shared" si="31"/>
        <v>2.861368104986016</v>
      </c>
      <c r="W58" s="628">
        <f t="shared" si="31"/>
        <v>1.7890344855580065</v>
      </c>
      <c r="X58" s="628">
        <f t="shared" si="31"/>
        <v>1.7968621004748164</v>
      </c>
      <c r="Y58" s="628">
        <f t="shared" si="31"/>
        <v>2.0016954532993152</v>
      </c>
      <c r="Z58" s="628">
        <f t="shared" si="31"/>
        <v>1.6691167974973931</v>
      </c>
      <c r="AA58" s="628">
        <f t="shared" si="31"/>
        <v>1.7994782423254314</v>
      </c>
      <c r="AB58" s="628">
        <f t="shared" si="31"/>
        <v>1.761088333974214</v>
      </c>
      <c r="AC58" s="628">
        <f t="shared" si="31"/>
        <v>1.2218814398990134</v>
      </c>
      <c r="AD58" s="628">
        <f t="shared" si="31"/>
        <v>1.9539081660245123</v>
      </c>
      <c r="AE58" s="628">
        <f t="shared" si="31"/>
        <v>2.4541377529843902</v>
      </c>
      <c r="AF58" s="628">
        <f t="shared" si="31"/>
        <v>2.0254403963795116</v>
      </c>
      <c r="AG58" s="628">
        <f t="shared" si="31"/>
        <v>1.8432325552766202</v>
      </c>
      <c r="AH58" s="628">
        <f t="shared" si="31"/>
        <v>1.9182553329154353</v>
      </c>
      <c r="AI58" s="628">
        <f t="shared" si="31"/>
        <v>1.6011760622686275</v>
      </c>
      <c r="AJ58" s="628">
        <f t="shared" si="31"/>
        <v>1.2837812291733217</v>
      </c>
      <c r="AK58" s="628">
        <f t="shared" si="31"/>
        <v>1.2863148442443464</v>
      </c>
      <c r="AL58" s="628">
        <f t="shared" si="31"/>
        <v>1.2753476654073563</v>
      </c>
      <c r="AM58" s="628">
        <f t="shared" si="31"/>
        <v>1.8090023383297247</v>
      </c>
      <c r="AN58" s="628">
        <f t="shared" si="31"/>
        <v>1.3884386844297647</v>
      </c>
      <c r="AO58" s="628">
        <f t="shared" si="31"/>
        <v>1.6211661456388906</v>
      </c>
      <c r="AP58" s="628">
        <f t="shared" si="31"/>
        <v>1.4567784140099951</v>
      </c>
      <c r="AQ58" s="628">
        <f t="shared" si="31"/>
        <v>1.7620263605263973</v>
      </c>
      <c r="AR58" s="628">
        <f t="shared" si="31"/>
        <v>2.4708339975391422</v>
      </c>
      <c r="AS58" s="628">
        <f t="shared" si="31"/>
        <v>2.1564083045416012</v>
      </c>
      <c r="AT58" s="628">
        <f t="shared" si="31"/>
        <v>1.2026223990075626</v>
      </c>
      <c r="AU58" s="628">
        <f t="shared" si="31"/>
        <v>1.4033458314256526</v>
      </c>
      <c r="AV58" s="628">
        <f t="shared" si="31"/>
        <v>2.3326661503579373</v>
      </c>
      <c r="AW58" s="628">
        <f t="shared" si="31"/>
        <v>2.109945414123672</v>
      </c>
      <c r="AX58" s="628">
        <f t="shared" si="31"/>
        <v>1.0904906728350066</v>
      </c>
      <c r="AY58" s="628">
        <f t="shared" si="31"/>
        <v>1.924036046337823</v>
      </c>
      <c r="AZ58" s="628">
        <f t="shared" si="31"/>
        <v>1.9660063425417111</v>
      </c>
      <c r="BA58" s="628">
        <f t="shared" si="31"/>
        <v>1.4268340874001391</v>
      </c>
      <c r="BB58" s="628">
        <f t="shared" si="31"/>
        <v>1.5967842238532488</v>
      </c>
      <c r="BC58" s="628">
        <f t="shared" si="31"/>
        <v>1.7573408783207998</v>
      </c>
      <c r="BD58" s="628">
        <f t="shared" si="31"/>
        <v>2.887598031775509</v>
      </c>
      <c r="BE58" s="628">
        <f t="shared" si="31"/>
        <v>1.8511559260862338</v>
      </c>
      <c r="BF58" s="628">
        <f t="shared" ref="BF58" si="32">+(BF51-BF42)/(1-BF21)</f>
        <v>1.260938068059718</v>
      </c>
    </row>
    <row r="59" spans="1:58" x14ac:dyDescent="0.2">
      <c r="A59" s="622"/>
      <c r="B59" s="376" t="s">
        <v>893</v>
      </c>
      <c r="C59" s="628">
        <f>+C56-C57-C58</f>
        <v>5.5579962739722673</v>
      </c>
      <c r="D59" s="628">
        <f t="shared" ref="D59:BE59" si="33">+D56-D57-D58</f>
        <v>5.5681448686081545</v>
      </c>
      <c r="E59" s="628">
        <f>+E56-E57-E58</f>
        <v>4.2762145544594095</v>
      </c>
      <c r="F59" s="628">
        <f t="shared" si="33"/>
        <v>6.3574191502929995</v>
      </c>
      <c r="G59" s="628">
        <f t="shared" si="33"/>
        <v>6.8540063524086339</v>
      </c>
      <c r="H59" s="628">
        <f t="shared" si="33"/>
        <v>3.5817586580587553</v>
      </c>
      <c r="I59" s="628">
        <f t="shared" si="33"/>
        <v>3.6476617421837227</v>
      </c>
      <c r="J59" s="628">
        <f t="shared" si="33"/>
        <v>6.4104081564054418</v>
      </c>
      <c r="K59" s="628">
        <f t="shared" si="33"/>
        <v>5.6768176226997049</v>
      </c>
      <c r="L59" s="628">
        <f t="shared" si="33"/>
        <v>6.4299737822849359</v>
      </c>
      <c r="M59" s="628">
        <f t="shared" si="33"/>
        <v>6.0431197909770509</v>
      </c>
      <c r="N59" s="628">
        <f t="shared" si="33"/>
        <v>3.4031434501202922</v>
      </c>
      <c r="O59" s="628">
        <f t="shared" si="33"/>
        <v>5.8389868409859993</v>
      </c>
      <c r="P59" s="628">
        <f t="shared" si="33"/>
        <v>2.4518246538394024</v>
      </c>
      <c r="Q59" s="628">
        <f t="shared" si="33"/>
        <v>5.8104848344851572</v>
      </c>
      <c r="R59" s="628">
        <f t="shared" si="33"/>
        <v>5.5943216343227427</v>
      </c>
      <c r="S59" s="628">
        <f t="shared" si="33"/>
        <v>5.6781597129207739</v>
      </c>
      <c r="T59" s="628">
        <f t="shared" si="33"/>
        <v>5.8364880735314504</v>
      </c>
      <c r="U59" s="628">
        <f t="shared" si="33"/>
        <v>5.4758380543473155</v>
      </c>
      <c r="V59" s="628">
        <f t="shared" si="33"/>
        <v>2.95211935571513</v>
      </c>
      <c r="W59" s="628">
        <f t="shared" si="33"/>
        <v>5.7718659664462173</v>
      </c>
      <c r="X59" s="628">
        <f t="shared" si="33"/>
        <v>6.5679624835128667</v>
      </c>
      <c r="Y59" s="628">
        <f t="shared" si="33"/>
        <v>3.8748356647125117</v>
      </c>
      <c r="Z59" s="628">
        <f t="shared" si="33"/>
        <v>4.9738433328352745</v>
      </c>
      <c r="AA59" s="628">
        <f t="shared" si="33"/>
        <v>5.6432465696400698</v>
      </c>
      <c r="AB59" s="628">
        <f t="shared" si="33"/>
        <v>5.5364432405144406</v>
      </c>
      <c r="AC59" s="628">
        <f t="shared" si="33"/>
        <v>6.1903696253778655</v>
      </c>
      <c r="AD59" s="628">
        <f t="shared" si="33"/>
        <v>5.0582105118130958</v>
      </c>
      <c r="AE59" s="628">
        <f t="shared" si="33"/>
        <v>4.530152177797639</v>
      </c>
      <c r="AF59" s="628">
        <f t="shared" si="33"/>
        <v>5.5799621193207773</v>
      </c>
      <c r="AG59" s="628">
        <f t="shared" si="33"/>
        <v>5.2114807260251936</v>
      </c>
      <c r="AH59" s="628">
        <f t="shared" si="33"/>
        <v>5.1401033543958388</v>
      </c>
      <c r="AI59" s="628">
        <f t="shared" si="33"/>
        <v>5.2039600772946022</v>
      </c>
      <c r="AJ59" s="628">
        <f t="shared" si="33"/>
        <v>5.3493342811004831</v>
      </c>
      <c r="AK59" s="628">
        <f t="shared" si="33"/>
        <v>6.1232626639634589</v>
      </c>
      <c r="AL59" s="628">
        <f t="shared" si="33"/>
        <v>5.4237602827154738</v>
      </c>
      <c r="AM59" s="628">
        <f t="shared" si="33"/>
        <v>5.6551519483481512</v>
      </c>
      <c r="AN59" s="628">
        <f t="shared" si="33"/>
        <v>5.4306475015358728</v>
      </c>
      <c r="AO59" s="628">
        <f t="shared" si="33"/>
        <v>5.2711670857952431</v>
      </c>
      <c r="AP59" s="628">
        <f t="shared" si="33"/>
        <v>5.6843823899669461</v>
      </c>
      <c r="AQ59" s="628">
        <f t="shared" si="33"/>
        <v>5.4268733524134234</v>
      </c>
      <c r="AR59" s="628">
        <f t="shared" si="33"/>
        <v>3.7980422390506843</v>
      </c>
      <c r="AS59" s="628">
        <f t="shared" si="33"/>
        <v>4.4387099376236883</v>
      </c>
      <c r="AT59" s="628">
        <f t="shared" si="33"/>
        <v>5.7394604799524274</v>
      </c>
      <c r="AU59" s="628">
        <f t="shared" si="33"/>
        <v>5.5507030021049131</v>
      </c>
      <c r="AV59" s="628">
        <f t="shared" si="33"/>
        <v>4.1682132871615485</v>
      </c>
      <c r="AW59" s="628">
        <f t="shared" si="33"/>
        <v>4.3736996759278073</v>
      </c>
      <c r="AX59" s="628">
        <f t="shared" si="33"/>
        <v>6.5467706256891116</v>
      </c>
      <c r="AY59" s="628">
        <f t="shared" si="33"/>
        <v>4.6303431004825377</v>
      </c>
      <c r="AZ59" s="628">
        <f t="shared" si="33"/>
        <v>4.842402297290846</v>
      </c>
      <c r="BA59" s="628">
        <f t="shared" si="33"/>
        <v>6.5535272641870952</v>
      </c>
      <c r="BB59" s="628">
        <f t="shared" si="33"/>
        <v>5.4849699475932976</v>
      </c>
      <c r="BC59" s="628">
        <f t="shared" si="33"/>
        <v>3.1865823608663226</v>
      </c>
      <c r="BD59" s="628">
        <f t="shared" si="33"/>
        <v>4.1837348000194794</v>
      </c>
      <c r="BE59" s="628">
        <f t="shared" si="33"/>
        <v>5.0688582632028609</v>
      </c>
      <c r="BF59" s="628">
        <f t="shared" ref="BF59" si="34">+BF56-BF57-BF58</f>
        <v>5.6393132673969841</v>
      </c>
    </row>
    <row r="60" spans="1:58" s="637" customFormat="1" x14ac:dyDescent="0.2">
      <c r="A60" s="634"/>
      <c r="B60" s="635" t="s">
        <v>896</v>
      </c>
      <c r="C60" s="636">
        <f>+C59*(1-C20)*(1-C21)</f>
        <v>4.7602107295381151</v>
      </c>
      <c r="D60" s="636">
        <f t="shared" ref="D60:BE60" si="35">+D59*(1-D20)*(1-D21)</f>
        <v>4.6507926171806648</v>
      </c>
      <c r="E60" s="636">
        <f>+E59*(1-E20)*(1-E21)</f>
        <v>3.5941983507083068</v>
      </c>
      <c r="F60" s="636">
        <f t="shared" si="35"/>
        <v>5.751951104938307</v>
      </c>
      <c r="G60" s="636">
        <f t="shared" si="35"/>
        <v>6.281449895202087</v>
      </c>
      <c r="H60" s="636">
        <f t="shared" si="35"/>
        <v>3.2810700187147224</v>
      </c>
      <c r="I60" s="636">
        <f t="shared" si="35"/>
        <v>3.0337988576057624</v>
      </c>
      <c r="J60" s="636">
        <f t="shared" si="35"/>
        <v>5.9160120801992475</v>
      </c>
      <c r="K60" s="636">
        <f t="shared" si="35"/>
        <v>4.8104285013995227</v>
      </c>
      <c r="L60" s="636">
        <f t="shared" si="35"/>
        <v>5.8901774832621152</v>
      </c>
      <c r="M60" s="636">
        <f t="shared" si="35"/>
        <v>5.5783411818001083</v>
      </c>
      <c r="N60" s="636">
        <f t="shared" si="35"/>
        <v>2.8458393513732787</v>
      </c>
      <c r="O60" s="636">
        <f t="shared" si="35"/>
        <v>5.3894677149409898</v>
      </c>
      <c r="P60" s="636">
        <f>+P59*(1-P20)*(1-P21)</f>
        <v>2.1432692118897649</v>
      </c>
      <c r="Q60" s="636">
        <f t="shared" si="35"/>
        <v>5.2640761846940549</v>
      </c>
      <c r="R60" s="636">
        <f t="shared" si="35"/>
        <v>5.1246783331213477</v>
      </c>
      <c r="S60" s="636">
        <f t="shared" si="35"/>
        <v>5.1815150313378942</v>
      </c>
      <c r="T60" s="636">
        <f t="shared" si="35"/>
        <v>5.4050238484397193</v>
      </c>
      <c r="U60" s="636">
        <f t="shared" si="35"/>
        <v>5.0161414496848584</v>
      </c>
      <c r="V60" s="636">
        <f>+V59*(1-V20)*(1-V21)</f>
        <v>2.4784124917754724</v>
      </c>
      <c r="W60" s="636">
        <f t="shared" si="35"/>
        <v>4.7928520454053247</v>
      </c>
      <c r="X60" s="636">
        <f t="shared" si="35"/>
        <v>6.0165820330219617</v>
      </c>
      <c r="Y60" s="636">
        <f t="shared" si="35"/>
        <v>3.5093588439181791</v>
      </c>
      <c r="Z60" s="636">
        <f t="shared" si="35"/>
        <v>4.5562891850437532</v>
      </c>
      <c r="AA60" s="636">
        <f t="shared" si="35"/>
        <v>5.2376208616968105</v>
      </c>
      <c r="AB60" s="636">
        <f t="shared" si="35"/>
        <v>4.88949537696897</v>
      </c>
      <c r="AC60" s="636">
        <f t="shared" si="35"/>
        <v>5.707396526989112</v>
      </c>
      <c r="AD60" s="636">
        <f t="shared" si="35"/>
        <v>4.6335737393463861</v>
      </c>
      <c r="AE60" s="636">
        <f t="shared" si="35"/>
        <v>4.1498459024715268</v>
      </c>
      <c r="AF60" s="636">
        <f t="shared" si="35"/>
        <v>5.1256973296136099</v>
      </c>
      <c r="AG60" s="636">
        <f t="shared" si="35"/>
        <v>4.7739769190753787</v>
      </c>
      <c r="AH60" s="636">
        <f t="shared" si="35"/>
        <v>4.3183557037762483</v>
      </c>
      <c r="AI60" s="636">
        <f t="shared" si="35"/>
        <v>4.7670876288057205</v>
      </c>
      <c r="AJ60" s="636">
        <f t="shared" si="35"/>
        <v>4.8328895064714095</v>
      </c>
      <c r="AK60" s="636">
        <f t="shared" si="35"/>
        <v>5.6092147633237257</v>
      </c>
      <c r="AL60" s="636">
        <f t="shared" si="35"/>
        <v>4.9751040464925023</v>
      </c>
      <c r="AM60" s="636">
        <f t="shared" si="35"/>
        <v>5.1924809411572115</v>
      </c>
      <c r="AN60" s="636">
        <f t="shared" si="35"/>
        <v>5.0129791558546479</v>
      </c>
      <c r="AO60" s="636">
        <f t="shared" si="35"/>
        <v>4.8716743352733243</v>
      </c>
      <c r="AP60" s="636">
        <f t="shared" si="35"/>
        <v>5.2786568752446161</v>
      </c>
      <c r="AQ60" s="636">
        <f t="shared" si="35"/>
        <v>4.9168056567822829</v>
      </c>
      <c r="AR60" s="636">
        <f t="shared" si="35"/>
        <v>3.1737463712027614</v>
      </c>
      <c r="AS60" s="636">
        <f t="shared" si="35"/>
        <v>3.8079116362915655</v>
      </c>
      <c r="AT60" s="636">
        <f t="shared" si="35"/>
        <v>4.9451191495270104</v>
      </c>
      <c r="AU60" s="636">
        <f t="shared" si="35"/>
        <v>5.0847214850782052</v>
      </c>
      <c r="AV60" s="636">
        <f t="shared" si="35"/>
        <v>3.4890571582052443</v>
      </c>
      <c r="AW60" s="636">
        <f t="shared" si="35"/>
        <v>3.6442271405101612</v>
      </c>
      <c r="AX60" s="636">
        <f t="shared" si="35"/>
        <v>5.9313844544278354</v>
      </c>
      <c r="AY60" s="636">
        <f t="shared" si="35"/>
        <v>3.965557181925329</v>
      </c>
      <c r="AZ60" s="636">
        <f t="shared" si="35"/>
        <v>4.3905949723707582</v>
      </c>
      <c r="BA60" s="636">
        <f t="shared" si="35"/>
        <v>5.5437614574708398</v>
      </c>
      <c r="BB60" s="636">
        <f t="shared" si="35"/>
        <v>4.6907073788839204</v>
      </c>
      <c r="BC60" s="636">
        <f t="shared" si="35"/>
        <v>2.6420838886431746</v>
      </c>
      <c r="BD60" s="636">
        <f t="shared" si="35"/>
        <v>3.8325102635578441</v>
      </c>
      <c r="BE60" s="636">
        <f t="shared" si="35"/>
        <v>4.6433276120069804</v>
      </c>
      <c r="BF60" s="636">
        <f t="shared" ref="BF60" si="36">+BF59*(1-BF20)*(1-BF21)</f>
        <v>4.8000112932281924</v>
      </c>
    </row>
    <row r="61" spans="1:58" x14ac:dyDescent="0.2">
      <c r="A61" s="622"/>
      <c r="B61" s="622"/>
      <c r="C61" s="622"/>
      <c r="D61" s="622"/>
      <c r="E61" s="622"/>
      <c r="F61" s="622"/>
      <c r="G61" s="622"/>
      <c r="H61" s="622"/>
      <c r="I61" s="622"/>
      <c r="J61" s="622"/>
      <c r="K61" s="622"/>
      <c r="L61" s="622"/>
      <c r="M61" s="622"/>
      <c r="N61" s="622"/>
      <c r="O61" s="622"/>
      <c r="P61" s="622"/>
      <c r="Q61" s="622"/>
      <c r="R61" s="622"/>
      <c r="S61" s="622"/>
      <c r="T61" s="622"/>
      <c r="U61" s="622"/>
      <c r="V61" s="622"/>
      <c r="W61" s="622"/>
      <c r="X61" s="622"/>
      <c r="Y61" s="622"/>
      <c r="Z61" s="622"/>
      <c r="AA61" s="622"/>
      <c r="AB61" s="622"/>
      <c r="AC61" s="622"/>
      <c r="AD61" s="622"/>
      <c r="AE61" s="622"/>
      <c r="AF61" s="622"/>
      <c r="AG61" s="622"/>
      <c r="AH61" s="622"/>
      <c r="AI61" s="622"/>
      <c r="AJ61" s="622"/>
      <c r="AK61" s="622"/>
      <c r="AL61" s="622"/>
      <c r="AM61" s="622"/>
      <c r="AN61" s="622"/>
      <c r="AO61" s="622"/>
      <c r="AP61" s="622"/>
      <c r="AQ61" s="622"/>
      <c r="AR61" s="622"/>
      <c r="AS61" s="622"/>
      <c r="AT61" s="622"/>
      <c r="AU61" s="622"/>
      <c r="AV61" s="622"/>
      <c r="AW61" s="622"/>
      <c r="AX61" s="622"/>
      <c r="AY61" s="622"/>
      <c r="AZ61" s="622"/>
      <c r="BA61" s="622"/>
      <c r="BB61" s="622"/>
      <c r="BC61" s="622"/>
      <c r="BD61" s="622"/>
      <c r="BE61" s="622"/>
      <c r="BF61" s="622"/>
    </row>
    <row r="62" spans="1:58" x14ac:dyDescent="0.2">
      <c r="A62" s="622"/>
      <c r="B62" s="622"/>
      <c r="C62" s="622"/>
      <c r="D62" s="622"/>
      <c r="E62" s="622"/>
      <c r="F62" s="622"/>
      <c r="G62" s="622"/>
      <c r="H62" s="622"/>
      <c r="I62" s="622"/>
      <c r="J62" s="1592">
        <f>+J63-'[7]תחשיב תעריף 2016'!$J$63</f>
        <v>0</v>
      </c>
      <c r="K62" s="622"/>
      <c r="L62" s="622"/>
      <c r="M62" s="622"/>
      <c r="N62" s="622"/>
      <c r="O62" s="622"/>
      <c r="P62" s="622"/>
      <c r="Q62" s="622"/>
      <c r="R62" s="622"/>
      <c r="S62" s="1599"/>
      <c r="T62" s="624"/>
      <c r="U62" s="622"/>
      <c r="V62" s="622"/>
      <c r="W62" s="622"/>
      <c r="X62" s="622"/>
      <c r="Y62" s="622"/>
      <c r="Z62" s="622"/>
      <c r="AA62" s="622"/>
      <c r="AB62" s="622"/>
      <c r="AC62" s="622"/>
      <c r="AD62" s="622"/>
      <c r="AE62" s="622"/>
      <c r="AF62" s="622"/>
      <c r="AG62" s="622"/>
      <c r="AH62" s="622"/>
      <c r="AI62" s="622"/>
      <c r="AJ62" s="622"/>
      <c r="AK62" s="622"/>
      <c r="AL62" s="622"/>
      <c r="AM62" s="622"/>
      <c r="AN62" s="622"/>
      <c r="AO62" s="622"/>
      <c r="AP62" s="622"/>
      <c r="AQ62" s="622"/>
      <c r="AR62" s="622"/>
      <c r="AS62" s="622"/>
      <c r="AT62" s="622"/>
      <c r="AU62" s="622"/>
      <c r="AV62" s="622"/>
      <c r="AW62" s="622"/>
      <c r="AX62" s="622"/>
      <c r="AY62" s="622"/>
      <c r="AZ62" s="622"/>
      <c r="BA62" s="622"/>
      <c r="BB62" s="622"/>
      <c r="BC62" s="622"/>
      <c r="BD62" s="622"/>
      <c r="BE62" s="622"/>
      <c r="BF62" s="622"/>
    </row>
    <row r="63" spans="1:58" x14ac:dyDescent="0.2">
      <c r="A63" s="622"/>
      <c r="B63" s="376" t="s">
        <v>894</v>
      </c>
      <c r="C63" s="723">
        <f>+'ריכוז עלויות'!$E$62</f>
        <v>6.5610803233590609</v>
      </c>
      <c r="D63" s="723">
        <f>+'ריכוז עלויות'!$E$62</f>
        <v>6.5610803233590609</v>
      </c>
      <c r="E63" s="723">
        <f>+'ריכוז עלויות'!$E$62</f>
        <v>6.5610803233590609</v>
      </c>
      <c r="F63" s="723">
        <f>+'ריכוז עלויות'!$E$62</f>
        <v>6.5610803233590609</v>
      </c>
      <c r="G63" s="723">
        <f>+'ריכוז עלויות'!$E$62</f>
        <v>6.5610803233590609</v>
      </c>
      <c r="H63" s="723">
        <f>+'ריכוז עלויות'!$E$62</f>
        <v>6.5610803233590609</v>
      </c>
      <c r="I63" s="723">
        <f>+'ריכוז עלויות'!$E$62</f>
        <v>6.5610803233590609</v>
      </c>
      <c r="J63" s="723">
        <f>+'ריכוז עלויות'!$E$62</f>
        <v>6.5610803233590609</v>
      </c>
      <c r="K63" s="723">
        <f>+'ריכוז עלויות'!$E$62</f>
        <v>6.5610803233590609</v>
      </c>
      <c r="L63" s="723">
        <f>+'ריכוז עלויות'!$E$62</f>
        <v>6.5610803233590609</v>
      </c>
      <c r="M63" s="723">
        <f>+'ריכוז עלויות'!$E$62</f>
        <v>6.5610803233590609</v>
      </c>
      <c r="N63" s="723">
        <f>+'ריכוז עלויות'!$E$62</f>
        <v>6.5610803233590609</v>
      </c>
      <c r="O63" s="723">
        <f>+'ריכוז עלויות'!$E$62</f>
        <v>6.5610803233590609</v>
      </c>
      <c r="P63" s="723">
        <f>+'ריכוז עלויות'!$E$62</f>
        <v>6.5610803233590609</v>
      </c>
      <c r="Q63" s="723">
        <f>+'ריכוז עלויות'!$E$62</f>
        <v>6.5610803233590609</v>
      </c>
      <c r="R63" s="723">
        <f>+'ריכוז עלויות'!$E$62</f>
        <v>6.5610803233590609</v>
      </c>
      <c r="S63" s="723">
        <f>+'ריכוז עלויות'!$E$62</f>
        <v>6.5610803233590609</v>
      </c>
      <c r="T63" s="723">
        <f>+'ריכוז עלויות'!$E$62</f>
        <v>6.5610803233590609</v>
      </c>
      <c r="U63" s="723">
        <f>+'ריכוז עלויות'!$E$62</f>
        <v>6.5610803233590609</v>
      </c>
      <c r="V63" s="723">
        <f>+'ריכוז עלויות'!$E$62</f>
        <v>6.5610803233590609</v>
      </c>
      <c r="W63" s="723">
        <f>+'ריכוז עלויות'!$E$62</f>
        <v>6.5610803233590609</v>
      </c>
      <c r="X63" s="723">
        <f>+'ריכוז עלויות'!$E$62</f>
        <v>6.5610803233590609</v>
      </c>
      <c r="Y63" s="723">
        <f>+'ריכוז עלויות'!$E$62</f>
        <v>6.5610803233590609</v>
      </c>
      <c r="Z63" s="723">
        <f>+'ריכוז עלויות'!$E$62</f>
        <v>6.5610803233590609</v>
      </c>
      <c r="AA63" s="723">
        <f>+'ריכוז עלויות'!$E$62</f>
        <v>6.5610803233590609</v>
      </c>
      <c r="AB63" s="723">
        <f>+'ריכוז עלויות'!$E$62</f>
        <v>6.5610803233590609</v>
      </c>
      <c r="AC63" s="723">
        <f>+'ריכוז עלויות'!$E$62</f>
        <v>6.5610803233590609</v>
      </c>
      <c r="AD63" s="723">
        <f>+'ריכוז עלויות'!$E$62</f>
        <v>6.5610803233590609</v>
      </c>
      <c r="AE63" s="723">
        <f>+'ריכוז עלויות'!$E$62</f>
        <v>6.5610803233590609</v>
      </c>
      <c r="AF63" s="723">
        <f>+'ריכוז עלויות'!$E$62</f>
        <v>6.5610803233590609</v>
      </c>
      <c r="AG63" s="723">
        <f>+'ריכוז עלויות'!$E$62</f>
        <v>6.5610803233590609</v>
      </c>
      <c r="AH63" s="723">
        <f>+'ריכוז עלויות'!$E$62</f>
        <v>6.5610803233590609</v>
      </c>
      <c r="AI63" s="723">
        <f>+'ריכוז עלויות'!$E$62</f>
        <v>6.5610803233590609</v>
      </c>
      <c r="AJ63" s="723">
        <f>+'ריכוז עלויות'!$E$62</f>
        <v>6.5610803233590609</v>
      </c>
      <c r="AK63" s="723">
        <f>+'ריכוז עלויות'!$E$62</f>
        <v>6.5610803233590609</v>
      </c>
      <c r="AL63" s="723">
        <f>+'ריכוז עלויות'!$E$62</f>
        <v>6.5610803233590609</v>
      </c>
      <c r="AM63" s="723">
        <f>+'ריכוז עלויות'!$E$62</f>
        <v>6.5610803233590609</v>
      </c>
      <c r="AN63" s="723">
        <f>+'ריכוז עלויות'!$E$62</f>
        <v>6.5610803233590609</v>
      </c>
      <c r="AO63" s="723">
        <f>+'ריכוז עלויות'!$E$62</f>
        <v>6.5610803233590609</v>
      </c>
      <c r="AP63" s="723">
        <f>+'ריכוז עלויות'!$E$62</f>
        <v>6.5610803233590609</v>
      </c>
      <c r="AQ63" s="723">
        <f>+'ריכוז עלויות'!$E$62</f>
        <v>6.5610803233590609</v>
      </c>
      <c r="AR63" s="723">
        <f>+'ריכוז עלויות'!$E$62</f>
        <v>6.5610803233590609</v>
      </c>
      <c r="AS63" s="723">
        <f>+'ריכוז עלויות'!$E$62</f>
        <v>6.5610803233590609</v>
      </c>
      <c r="AT63" s="723">
        <f>+'ריכוז עלויות'!$E$62</f>
        <v>6.5610803233590609</v>
      </c>
      <c r="AU63" s="723">
        <f>+'ריכוז עלויות'!$E$62</f>
        <v>6.5610803233590609</v>
      </c>
      <c r="AV63" s="723">
        <f>+'ריכוז עלויות'!$E$62</f>
        <v>6.5610803233590609</v>
      </c>
      <c r="AW63" s="723">
        <f>+'ריכוז עלויות'!$E$62</f>
        <v>6.5610803233590609</v>
      </c>
      <c r="AX63" s="723">
        <f>+'ריכוז עלויות'!$E$62</f>
        <v>6.5610803233590609</v>
      </c>
      <c r="AY63" s="723">
        <f>+'ריכוז עלויות'!$E$62</f>
        <v>6.5610803233590609</v>
      </c>
      <c r="AZ63" s="723">
        <f>+'ריכוז עלויות'!$E$62</f>
        <v>6.5610803233590609</v>
      </c>
      <c r="BA63" s="723">
        <f>+'ריכוז עלויות'!$E$62</f>
        <v>6.5610803233590609</v>
      </c>
      <c r="BB63" s="723">
        <f>+'ריכוז עלויות'!$E$62</f>
        <v>6.5610803233590609</v>
      </c>
      <c r="BC63" s="723">
        <f>+'ריכוז עלויות'!$E$62</f>
        <v>6.5610803233590609</v>
      </c>
      <c r="BD63" s="723">
        <f>+'ריכוז עלויות'!$E$62</f>
        <v>6.5610803233590609</v>
      </c>
      <c r="BE63" s="723">
        <f>+'ריכוז עלויות'!$E$62</f>
        <v>6.5610803233590609</v>
      </c>
      <c r="BF63" s="723">
        <f>+'ריכוז עלויות'!$E$62</f>
        <v>6.5610803233590609</v>
      </c>
    </row>
    <row r="64" spans="1:58" x14ac:dyDescent="0.2">
      <c r="A64" s="622"/>
      <c r="B64" s="376" t="s">
        <v>891</v>
      </c>
      <c r="C64" s="624">
        <f>+C57</f>
        <v>3.5002819484557519</v>
      </c>
      <c r="D64" s="624">
        <f t="shared" ref="D64:BE64" si="37">+D57</f>
        <v>3.1962129649201172</v>
      </c>
      <c r="E64" s="624">
        <f t="shared" si="37"/>
        <v>3.6906919439152461</v>
      </c>
      <c r="F64" s="624">
        <f t="shared" si="37"/>
        <v>2.4513420443439879</v>
      </c>
      <c r="G64" s="624">
        <f t="shared" si="37"/>
        <v>2.4718690629942861</v>
      </c>
      <c r="H64" s="624">
        <f t="shared" si="37"/>
        <v>4.4933543057818079</v>
      </c>
      <c r="I64" s="624">
        <f t="shared" si="37"/>
        <v>4.3850217069581507</v>
      </c>
      <c r="J64" s="624">
        <f t="shared" si="37"/>
        <v>2.7835763917919016</v>
      </c>
      <c r="K64" s="624">
        <f t="shared" si="37"/>
        <v>3.5506853620671426</v>
      </c>
      <c r="L64" s="624">
        <f t="shared" si="37"/>
        <v>2.4896187609250671</v>
      </c>
      <c r="M64" s="624">
        <f t="shared" si="37"/>
        <v>3.0849254395230741</v>
      </c>
      <c r="N64" s="624">
        <f t="shared" si="37"/>
        <v>5.1410884860696617</v>
      </c>
      <c r="O64" s="624">
        <f t="shared" si="37"/>
        <v>3.1380474766264466</v>
      </c>
      <c r="P64" s="624">
        <f t="shared" si="37"/>
        <v>4.5540949409548706</v>
      </c>
      <c r="Q64" s="624">
        <f t="shared" si="37"/>
        <v>3.1798663237543927</v>
      </c>
      <c r="R64" s="624">
        <f t="shared" si="37"/>
        <v>3.5834819423873667</v>
      </c>
      <c r="S64" s="624">
        <f t="shared" si="37"/>
        <v>3.3585306877122534</v>
      </c>
      <c r="T64" s="624">
        <f t="shared" si="37"/>
        <v>2.593253003898663</v>
      </c>
      <c r="U64" s="624">
        <f t="shared" si="37"/>
        <v>3.6711287552471807</v>
      </c>
      <c r="V64" s="624">
        <f t="shared" si="37"/>
        <v>4.7462588598137545</v>
      </c>
      <c r="W64" s="624">
        <f t="shared" si="37"/>
        <v>2.9988458685106769</v>
      </c>
      <c r="X64" s="624">
        <f t="shared" si="37"/>
        <v>2.1949217365272169</v>
      </c>
      <c r="Y64" s="624">
        <f t="shared" si="37"/>
        <v>4.6832152025030735</v>
      </c>
      <c r="Z64" s="624">
        <f t="shared" si="37"/>
        <v>3.9167861901822327</v>
      </c>
      <c r="AA64" s="624">
        <f t="shared" si="37"/>
        <v>3.1170215085493989</v>
      </c>
      <c r="AB64" s="624">
        <f t="shared" si="37"/>
        <v>3.2622147460262458</v>
      </c>
      <c r="AC64" s="624">
        <f t="shared" si="37"/>
        <v>3.1474952552380215</v>
      </c>
      <c r="AD64" s="624">
        <f t="shared" si="37"/>
        <v>3.5476276426772921</v>
      </c>
      <c r="AE64" s="624">
        <f t="shared" si="37"/>
        <v>3.5754563897328713</v>
      </c>
      <c r="AF64" s="624">
        <f t="shared" si="37"/>
        <v>2.954343804814612</v>
      </c>
      <c r="AG64" s="624">
        <f t="shared" si="37"/>
        <v>3.5050330392130862</v>
      </c>
      <c r="AH64" s="624">
        <f t="shared" si="37"/>
        <v>3.5013876332036267</v>
      </c>
      <c r="AI64" s="624">
        <f t="shared" si="37"/>
        <v>3.754610180951671</v>
      </c>
      <c r="AJ64" s="624">
        <f t="shared" si="37"/>
        <v>3.9266308102410958</v>
      </c>
      <c r="AK64" s="624">
        <f t="shared" si="37"/>
        <v>3.1501688123070957</v>
      </c>
      <c r="AL64" s="624">
        <f t="shared" si="37"/>
        <v>3.8606383723920703</v>
      </c>
      <c r="AM64" s="624">
        <f t="shared" si="37"/>
        <v>3.0955920338370246</v>
      </c>
      <c r="AN64" s="624">
        <f t="shared" si="37"/>
        <v>3.7406601345492634</v>
      </c>
      <c r="AO64" s="624">
        <f t="shared" si="37"/>
        <v>3.6674130890807666</v>
      </c>
      <c r="AP64" s="624">
        <f t="shared" si="37"/>
        <v>3.4185855165379593</v>
      </c>
      <c r="AQ64" s="624">
        <f t="shared" si="37"/>
        <v>3.3708466075750794</v>
      </c>
      <c r="AR64" s="624">
        <f t="shared" si="37"/>
        <v>4.290870083925074</v>
      </c>
      <c r="AS64" s="624">
        <f t="shared" si="37"/>
        <v>3.9646280783496102</v>
      </c>
      <c r="AT64" s="624">
        <f t="shared" si="37"/>
        <v>3.6176634415549098</v>
      </c>
      <c r="AU64" s="624">
        <f t="shared" si="37"/>
        <v>3.6056974869843348</v>
      </c>
      <c r="AV64" s="624">
        <f t="shared" si="37"/>
        <v>4.0588668829954146</v>
      </c>
      <c r="AW64" s="624">
        <f t="shared" si="37"/>
        <v>4.0761012304634212</v>
      </c>
      <c r="AX64" s="624">
        <f t="shared" si="37"/>
        <v>2.9224850219907825</v>
      </c>
      <c r="AY64" s="624">
        <f t="shared" si="37"/>
        <v>4.0053671736945393</v>
      </c>
      <c r="AZ64" s="624">
        <f t="shared" si="37"/>
        <v>3.7513376806823442</v>
      </c>
      <c r="BA64" s="624">
        <f t="shared" si="37"/>
        <v>2.5793849689276667</v>
      </c>
      <c r="BB64" s="624">
        <f t="shared" si="37"/>
        <v>3.477992149068355</v>
      </c>
      <c r="BC64" s="624">
        <f t="shared" si="37"/>
        <v>5.6158230813277781</v>
      </c>
      <c r="BD64" s="624">
        <f t="shared" si="37"/>
        <v>3.4884134887199125</v>
      </c>
      <c r="BE64" s="624">
        <f t="shared" si="37"/>
        <v>3.6397321312258062</v>
      </c>
      <c r="BF64" s="624">
        <f t="shared" ref="BF64" si="38">+BF57</f>
        <v>3.6594949850581981</v>
      </c>
    </row>
    <row r="65" spans="1:58" x14ac:dyDescent="0.2">
      <c r="A65" s="622"/>
      <c r="B65" s="376" t="s">
        <v>892</v>
      </c>
      <c r="C65" s="627">
        <f>+C58</f>
        <v>1.5014680980868809</v>
      </c>
      <c r="D65" s="628">
        <f t="shared" ref="D65:BE65" si="39">+D58</f>
        <v>1.7953884869866286</v>
      </c>
      <c r="E65" s="628">
        <f t="shared" si="39"/>
        <v>2.5928398221402453</v>
      </c>
      <c r="F65" s="628">
        <f t="shared" si="39"/>
        <v>1.7509851258779121</v>
      </c>
      <c r="G65" s="628">
        <f t="shared" si="39"/>
        <v>1.2338709051119796</v>
      </c>
      <c r="H65" s="628">
        <f t="shared" si="39"/>
        <v>2.4846333566743373</v>
      </c>
      <c r="I65" s="628">
        <f t="shared" si="39"/>
        <v>2.527062871373027</v>
      </c>
      <c r="J65" s="628">
        <f t="shared" si="39"/>
        <v>1.3657617723175568</v>
      </c>
      <c r="K65" s="628">
        <f t="shared" si="39"/>
        <v>1.3322433357480539</v>
      </c>
      <c r="L65" s="628">
        <f t="shared" si="39"/>
        <v>1.640153777304898</v>
      </c>
      <c r="M65" s="628">
        <f t="shared" si="39"/>
        <v>1.4317010900147753</v>
      </c>
      <c r="N65" s="628">
        <f t="shared" si="39"/>
        <v>2.0155143843249466</v>
      </c>
      <c r="O65" s="628">
        <f t="shared" si="39"/>
        <v>1.582712002902454</v>
      </c>
      <c r="P65" s="628">
        <f t="shared" si="39"/>
        <v>3.5538267257206275</v>
      </c>
      <c r="Q65" s="628">
        <f t="shared" si="39"/>
        <v>1.5693951622753508</v>
      </c>
      <c r="R65" s="628">
        <f t="shared" si="39"/>
        <v>1.3819427438047904</v>
      </c>
      <c r="S65" s="628">
        <f t="shared" si="39"/>
        <v>1.5230559198818729</v>
      </c>
      <c r="T65" s="628">
        <f t="shared" si="39"/>
        <v>2.1300052430847867</v>
      </c>
      <c r="U65" s="628">
        <f t="shared" si="39"/>
        <v>1.412779510920404</v>
      </c>
      <c r="V65" s="628">
        <f t="shared" si="39"/>
        <v>2.861368104986016</v>
      </c>
      <c r="W65" s="628">
        <f t="shared" si="39"/>
        <v>1.7890344855580065</v>
      </c>
      <c r="X65" s="628">
        <f t="shared" si="39"/>
        <v>1.7968621004748164</v>
      </c>
      <c r="Y65" s="628">
        <f t="shared" si="39"/>
        <v>2.0016954532993152</v>
      </c>
      <c r="Z65" s="628">
        <f t="shared" si="39"/>
        <v>1.6691167974973931</v>
      </c>
      <c r="AA65" s="628">
        <f t="shared" si="39"/>
        <v>1.7994782423254314</v>
      </c>
      <c r="AB65" s="628">
        <f t="shared" si="39"/>
        <v>1.761088333974214</v>
      </c>
      <c r="AC65" s="628">
        <f t="shared" si="39"/>
        <v>1.2218814398990134</v>
      </c>
      <c r="AD65" s="628">
        <f t="shared" si="39"/>
        <v>1.9539081660245123</v>
      </c>
      <c r="AE65" s="628">
        <f t="shared" si="39"/>
        <v>2.4541377529843902</v>
      </c>
      <c r="AF65" s="628">
        <f t="shared" si="39"/>
        <v>2.0254403963795116</v>
      </c>
      <c r="AG65" s="628">
        <f t="shared" si="39"/>
        <v>1.8432325552766202</v>
      </c>
      <c r="AH65" s="628">
        <f t="shared" si="39"/>
        <v>1.9182553329154353</v>
      </c>
      <c r="AI65" s="628">
        <f t="shared" si="39"/>
        <v>1.6011760622686275</v>
      </c>
      <c r="AJ65" s="628">
        <f t="shared" si="39"/>
        <v>1.2837812291733217</v>
      </c>
      <c r="AK65" s="628">
        <f t="shared" si="39"/>
        <v>1.2863148442443464</v>
      </c>
      <c r="AL65" s="628">
        <f t="shared" si="39"/>
        <v>1.2753476654073563</v>
      </c>
      <c r="AM65" s="628">
        <f t="shared" si="39"/>
        <v>1.8090023383297247</v>
      </c>
      <c r="AN65" s="628">
        <f t="shared" si="39"/>
        <v>1.3884386844297647</v>
      </c>
      <c r="AO65" s="628">
        <f t="shared" si="39"/>
        <v>1.6211661456388906</v>
      </c>
      <c r="AP65" s="628">
        <f t="shared" si="39"/>
        <v>1.4567784140099951</v>
      </c>
      <c r="AQ65" s="628">
        <f t="shared" si="39"/>
        <v>1.7620263605263973</v>
      </c>
      <c r="AR65" s="628">
        <f t="shared" si="39"/>
        <v>2.4708339975391422</v>
      </c>
      <c r="AS65" s="628">
        <f t="shared" si="39"/>
        <v>2.1564083045416012</v>
      </c>
      <c r="AT65" s="628">
        <f t="shared" si="39"/>
        <v>1.2026223990075626</v>
      </c>
      <c r="AU65" s="628">
        <f t="shared" si="39"/>
        <v>1.4033458314256526</v>
      </c>
      <c r="AV65" s="628">
        <f t="shared" si="39"/>
        <v>2.3326661503579373</v>
      </c>
      <c r="AW65" s="628">
        <f t="shared" si="39"/>
        <v>2.109945414123672</v>
      </c>
      <c r="AX65" s="628">
        <f t="shared" si="39"/>
        <v>1.0904906728350066</v>
      </c>
      <c r="AY65" s="628">
        <f t="shared" si="39"/>
        <v>1.924036046337823</v>
      </c>
      <c r="AZ65" s="628">
        <f t="shared" si="39"/>
        <v>1.9660063425417111</v>
      </c>
      <c r="BA65" s="628">
        <f t="shared" si="39"/>
        <v>1.4268340874001391</v>
      </c>
      <c r="BB65" s="628">
        <f t="shared" si="39"/>
        <v>1.5967842238532488</v>
      </c>
      <c r="BC65" s="628">
        <f t="shared" si="39"/>
        <v>1.7573408783207998</v>
      </c>
      <c r="BD65" s="628">
        <f t="shared" si="39"/>
        <v>2.887598031775509</v>
      </c>
      <c r="BE65" s="628">
        <f t="shared" si="39"/>
        <v>1.8511559260862338</v>
      </c>
      <c r="BF65" s="628">
        <f t="shared" ref="BF65" si="40">+BF58</f>
        <v>1.260938068059718</v>
      </c>
    </row>
    <row r="66" spans="1:58" x14ac:dyDescent="0.2">
      <c r="A66" s="622"/>
      <c r="B66" s="376" t="s">
        <v>893</v>
      </c>
      <c r="C66" s="627">
        <f>+(C63-C64-C65)-(C60/(1-C20)-C60)/(1-C21)</f>
        <v>1.0202890157910409</v>
      </c>
      <c r="D66" s="628">
        <f t="shared" ref="D66:BE66" si="41">+(D63-D64-D65)-(D60/(1-D20)-D60)/(1-D21)</f>
        <v>0.92883137548473083</v>
      </c>
      <c r="E66" s="628">
        <f t="shared" si="41"/>
        <v>-0.18201560345848095</v>
      </c>
      <c r="F66" s="628">
        <f t="shared" si="41"/>
        <v>1.8408782718170613</v>
      </c>
      <c r="G66" s="628">
        <f t="shared" si="41"/>
        <v>2.3784404954351128</v>
      </c>
      <c r="H66" s="628">
        <f t="shared" si="41"/>
        <v>-0.66763044516119741</v>
      </c>
      <c r="I66" s="628">
        <f t="shared" si="41"/>
        <v>-0.77806493997357462</v>
      </c>
      <c r="J66" s="628">
        <f t="shared" si="41"/>
        <v>2.0074376375642093</v>
      </c>
      <c r="K66" s="628">
        <f t="shared" si="41"/>
        <v>1.0837233588339881</v>
      </c>
      <c r="L66" s="628">
        <f t="shared" si="41"/>
        <v>1.98120962036915</v>
      </c>
      <c r="M66" s="628">
        <f t="shared" si="41"/>
        <v>1.6646245427427473</v>
      </c>
      <c r="N66" s="628">
        <f t="shared" si="41"/>
        <v>-0.98239027610684782</v>
      </c>
      <c r="O66" s="628">
        <f t="shared" si="41"/>
        <v>1.47287483019542</v>
      </c>
      <c r="P66" s="628">
        <f>+(P63-P64-P65)-(P60/(1-P20)-P60)/(1-P21)</f>
        <v>-1.7550223019550519</v>
      </c>
      <c r="Q66" s="628">
        <f t="shared" si="41"/>
        <v>1.3455737842594446</v>
      </c>
      <c r="R66" s="628">
        <f t="shared" si="41"/>
        <v>1.2040531227643112</v>
      </c>
      <c r="S66" s="628">
        <f t="shared" si="41"/>
        <v>1.2617553544562363</v>
      </c>
      <c r="T66" s="628">
        <f t="shared" si="41"/>
        <v>1.4886678591281406</v>
      </c>
      <c r="U66" s="628">
        <f t="shared" si="41"/>
        <v>1.093863393387164</v>
      </c>
      <c r="V66" s="628">
        <f t="shared" si="41"/>
        <v>-1.3789919092721947</v>
      </c>
      <c r="W66" s="628">
        <f t="shared" si="41"/>
        <v>1.1087934782557987</v>
      </c>
      <c r="X66" s="628">
        <f t="shared" si="41"/>
        <v>2.1095391125111265</v>
      </c>
      <c r="Y66" s="628">
        <f t="shared" si="41"/>
        <v>-0.43586514038611407</v>
      </c>
      <c r="Z66" s="628">
        <f t="shared" si="41"/>
        <v>0.62700830238096539</v>
      </c>
      <c r="AA66" s="628">
        <f t="shared" si="41"/>
        <v>1.3187155883231556</v>
      </c>
      <c r="AB66" s="628">
        <f t="shared" si="41"/>
        <v>1.059076847335533</v>
      </c>
      <c r="AC66" s="628">
        <f t="shared" si="41"/>
        <v>1.7956451977569643</v>
      </c>
      <c r="AD66" s="628">
        <f t="shared" si="41"/>
        <v>0.70546977883033923</v>
      </c>
      <c r="AE66" s="628">
        <f t="shared" si="41"/>
        <v>0.21437552819596423</v>
      </c>
      <c r="AF66" s="628">
        <f t="shared" si="41"/>
        <v>1.2050876369696528</v>
      </c>
      <c r="AG66" s="628">
        <f t="shared" si="41"/>
        <v>0.84801107804759057</v>
      </c>
      <c r="AH66" s="628">
        <f t="shared" si="41"/>
        <v>0.58395366298508167</v>
      </c>
      <c r="AI66" s="628">
        <f t="shared" si="41"/>
        <v>0.84101687472813946</v>
      </c>
      <c r="AJ66" s="628">
        <f t="shared" si="41"/>
        <v>0.9078208114445756</v>
      </c>
      <c r="AK66" s="628">
        <f t="shared" si="41"/>
        <v>1.6959682803301761</v>
      </c>
      <c r="AL66" s="628">
        <f t="shared" si="41"/>
        <v>1.0522010551208123</v>
      </c>
      <c r="AM66" s="628">
        <f t="shared" si="41"/>
        <v>1.2728882578261009</v>
      </c>
      <c r="AN66" s="628">
        <f t="shared" si="41"/>
        <v>1.0906529427981178</v>
      </c>
      <c r="AO66" s="628">
        <f t="shared" si="41"/>
        <v>0.94719627215718061</v>
      </c>
      <c r="AP66" s="628">
        <f t="shared" si="41"/>
        <v>1.3603765157828565</v>
      </c>
      <c r="AQ66" s="628">
        <f t="shared" si="41"/>
        <v>1.0152888386235106</v>
      </c>
      <c r="AR66" s="628">
        <f t="shared" si="41"/>
        <v>-0.63679354395462529</v>
      </c>
      <c r="AS66" s="628">
        <f t="shared" si="41"/>
        <v>-7.7394459272545069E-4</v>
      </c>
      <c r="AT66" s="628">
        <f t="shared" si="41"/>
        <v>1.1524997836014641</v>
      </c>
      <c r="AU66" s="628">
        <f t="shared" si="41"/>
        <v>1.1634877948017293</v>
      </c>
      <c r="AV66" s="628">
        <f t="shared" si="41"/>
        <v>-0.30571915844172048</v>
      </c>
      <c r="AW66" s="628">
        <f t="shared" si="41"/>
        <v>-0.13327139342999084</v>
      </c>
      <c r="AX66" s="628">
        <f t="shared" si="41"/>
        <v>2.0230441088622664</v>
      </c>
      <c r="AY66" s="628">
        <f t="shared" si="41"/>
        <v>0.15454750617612401</v>
      </c>
      <c r="AZ66" s="628">
        <f t="shared" si="41"/>
        <v>0.47346550031984114</v>
      </c>
      <c r="BA66" s="628">
        <f t="shared" si="41"/>
        <v>1.8636934430383305</v>
      </c>
      <c r="BB66" s="628">
        <f t="shared" si="41"/>
        <v>0.95594284900812843</v>
      </c>
      <c r="BC66" s="628">
        <f t="shared" si="41"/>
        <v>-1.1898728888012027</v>
      </c>
      <c r="BD66" s="628">
        <f t="shared" si="41"/>
        <v>-0.1077926331377248</v>
      </c>
      <c r="BE66" s="628">
        <f t="shared" si="41"/>
        <v>0.71537218762282073</v>
      </c>
      <c r="BF66" s="628">
        <f t="shared" ref="BF66" si="42">+(BF63-BF64-BF65)-(BF60/(1-BF20)-BF60)/(1-BF21)</f>
        <v>1.0539774694001536</v>
      </c>
    </row>
    <row r="67" spans="1:58" s="637" customFormat="1" x14ac:dyDescent="0.2">
      <c r="A67" s="634"/>
      <c r="B67" s="635" t="s">
        <v>897</v>
      </c>
      <c r="C67" s="636">
        <f>+C66*(1-C21)</f>
        <v>0.96768963014608311</v>
      </c>
      <c r="D67" s="636">
        <f>+D66*(1-D21)</f>
        <v>0.87667263461070755</v>
      </c>
      <c r="E67" s="636">
        <f t="shared" ref="E67:BE67" si="43">+E66*(1-E21)</f>
        <v>-0.17140689197888428</v>
      </c>
      <c r="F67" s="636">
        <f t="shared" si="43"/>
        <v>1.8132650977398053</v>
      </c>
      <c r="G67" s="636">
        <f t="shared" si="43"/>
        <v>2.3427638880035859</v>
      </c>
      <c r="H67" s="636">
        <f t="shared" si="43"/>
        <v>-0.65761598848377945</v>
      </c>
      <c r="I67" s="636">
        <f t="shared" si="43"/>
        <v>-0.73293540060504869</v>
      </c>
      <c r="J67" s="636">
        <f t="shared" si="43"/>
        <v>1.9773260730007463</v>
      </c>
      <c r="K67" s="636">
        <f t="shared" si="43"/>
        <v>1.025732852762151</v>
      </c>
      <c r="L67" s="636">
        <f t="shared" si="43"/>
        <v>1.9514914760636128</v>
      </c>
      <c r="M67" s="636">
        <f>+M66*(1-M21)</f>
        <v>1.6396551746016061</v>
      </c>
      <c r="N67" s="636">
        <f t="shared" si="43"/>
        <v>-0.92687975659567312</v>
      </c>
      <c r="O67" s="636">
        <f t="shared" si="43"/>
        <v>1.4507817077424887</v>
      </c>
      <c r="P67" s="636">
        <f>+P66*(1-P21)</f>
        <v>-1.6765074035623748</v>
      </c>
      <c r="Q67" s="636">
        <f t="shared" si="43"/>
        <v>1.325390177495553</v>
      </c>
      <c r="R67" s="636">
        <f t="shared" si="43"/>
        <v>1.1859923259228464</v>
      </c>
      <c r="S67" s="636">
        <f t="shared" si="43"/>
        <v>1.2428290241393927</v>
      </c>
      <c r="T67" s="636">
        <f t="shared" si="43"/>
        <v>1.4663378412412185</v>
      </c>
      <c r="U67" s="636">
        <f t="shared" si="43"/>
        <v>1.0774554424863565</v>
      </c>
      <c r="V67" s="636">
        <f t="shared" si="43"/>
        <v>-1.3046320493854182</v>
      </c>
      <c r="W67" s="636">
        <f t="shared" si="43"/>
        <v>1.0404944211059219</v>
      </c>
      <c r="X67" s="636">
        <f t="shared" si="43"/>
        <v>2.0778960258234593</v>
      </c>
      <c r="Y67" s="636">
        <f t="shared" si="43"/>
        <v>-0.42932716328032233</v>
      </c>
      <c r="Z67" s="636">
        <f t="shared" si="43"/>
        <v>0.61760317784525087</v>
      </c>
      <c r="AA67" s="636">
        <f t="shared" si="43"/>
        <v>1.2989348544983084</v>
      </c>
      <c r="AB67" s="636">
        <f t="shared" si="43"/>
        <v>1.0238463101266504</v>
      </c>
      <c r="AC67" s="636">
        <f t="shared" si="43"/>
        <v>1.7687105197906099</v>
      </c>
      <c r="AD67" s="636">
        <f t="shared" si="43"/>
        <v>0.69488773214788413</v>
      </c>
      <c r="AE67" s="636">
        <f t="shared" si="43"/>
        <v>0.21115989527302476</v>
      </c>
      <c r="AF67" s="636">
        <f t="shared" si="43"/>
        <v>1.187011322415108</v>
      </c>
      <c r="AG67" s="636">
        <f t="shared" si="43"/>
        <v>0.83529091187687665</v>
      </c>
      <c r="AH67" s="636">
        <f t="shared" si="43"/>
        <v>0.55027905833562329</v>
      </c>
      <c r="AI67" s="636">
        <f t="shared" si="43"/>
        <v>0.82840162160721731</v>
      </c>
      <c r="AJ67" s="636">
        <f t="shared" si="43"/>
        <v>0.89420349927290699</v>
      </c>
      <c r="AK67" s="636">
        <f t="shared" si="43"/>
        <v>1.6705287561252233</v>
      </c>
      <c r="AL67" s="636">
        <f t="shared" si="43"/>
        <v>1.0364180392940001</v>
      </c>
      <c r="AM67" s="636">
        <f t="shared" si="43"/>
        <v>1.2537949339587093</v>
      </c>
      <c r="AN67" s="636">
        <f t="shared" si="43"/>
        <v>1.074293148656146</v>
      </c>
      <c r="AO67" s="636">
        <f t="shared" si="43"/>
        <v>0.9329883280748229</v>
      </c>
      <c r="AP67" s="636">
        <f t="shared" si="43"/>
        <v>1.3399708680461135</v>
      </c>
      <c r="AQ67" s="636">
        <f t="shared" si="43"/>
        <v>0.99561684708236053</v>
      </c>
      <c r="AR67" s="636">
        <f t="shared" si="43"/>
        <v>-0.60115939181657474</v>
      </c>
      <c r="AS67" s="636">
        <f t="shared" si="43"/>
        <v>-7.3716663224929712E-4</v>
      </c>
      <c r="AT67" s="636">
        <f t="shared" si="43"/>
        <v>1.1063997922574056</v>
      </c>
      <c r="AU67" s="636">
        <f t="shared" si="43"/>
        <v>1.1460354778797033</v>
      </c>
      <c r="AV67" s="636">
        <f t="shared" si="43"/>
        <v>-0.28884023105325346</v>
      </c>
      <c r="AW67" s="636">
        <f t="shared" si="43"/>
        <v>-0.12564596342196016</v>
      </c>
      <c r="AX67" s="636">
        <f t="shared" si="43"/>
        <v>1.9926984472293323</v>
      </c>
      <c r="AY67" s="636">
        <f t="shared" si="43"/>
        <v>0.14756452384971255</v>
      </c>
      <c r="AZ67" s="636">
        <f t="shared" si="43"/>
        <v>0.46483321129280014</v>
      </c>
      <c r="BA67" s="636">
        <f t="shared" si="43"/>
        <v>1.7624084608696076</v>
      </c>
      <c r="BB67" s="636">
        <f t="shared" si="43"/>
        <v>0.90502566698185505</v>
      </c>
      <c r="BC67" s="636">
        <f t="shared" si="43"/>
        <v>-1.1192508197503173</v>
      </c>
      <c r="BD67" s="636">
        <f t="shared" si="43"/>
        <v>-0.10617574364065893</v>
      </c>
      <c r="BE67" s="636">
        <f t="shared" si="43"/>
        <v>0.70464160480847837</v>
      </c>
      <c r="BF67" s="636">
        <f t="shared" ref="BF67" si="44">+BF66*(1-BF21)</f>
        <v>1.0012785959301458</v>
      </c>
    </row>
    <row r="68" spans="1:58" x14ac:dyDescent="0.2">
      <c r="A68" s="622"/>
      <c r="B68" s="622"/>
      <c r="C68" s="628"/>
      <c r="D68" s="622"/>
      <c r="E68" s="622"/>
      <c r="F68" s="622"/>
      <c r="G68" s="622"/>
      <c r="H68" s="622"/>
      <c r="I68" s="622"/>
      <c r="J68" s="622"/>
      <c r="K68" s="622"/>
      <c r="L68" s="622"/>
      <c r="M68" s="622"/>
      <c r="N68" s="622"/>
      <c r="O68" s="622"/>
      <c r="P68" s="622"/>
      <c r="Q68" s="622"/>
      <c r="R68" s="622"/>
      <c r="S68" s="622"/>
      <c r="T68" s="622"/>
      <c r="U68" s="622"/>
      <c r="V68" s="622"/>
      <c r="W68" s="622"/>
      <c r="X68" s="622"/>
      <c r="Y68" s="622"/>
      <c r="Z68" s="622"/>
      <c r="AA68" s="622"/>
      <c r="AB68" s="622"/>
      <c r="AC68" s="622"/>
      <c r="AD68" s="622"/>
      <c r="AE68" s="622"/>
      <c r="AF68" s="622"/>
      <c r="AG68" s="622"/>
      <c r="AH68" s="622"/>
      <c r="AI68" s="622"/>
      <c r="AJ68" s="622"/>
      <c r="AK68" s="622"/>
      <c r="AL68" s="622"/>
      <c r="AM68" s="622"/>
      <c r="AN68" s="622"/>
      <c r="AO68" s="622"/>
      <c r="AP68" s="622"/>
      <c r="AQ68" s="622"/>
      <c r="AR68" s="622"/>
      <c r="AS68" s="622"/>
      <c r="AT68" s="622"/>
      <c r="AU68" s="622"/>
      <c r="AV68" s="622"/>
      <c r="AW68" s="622"/>
      <c r="AX68" s="622"/>
      <c r="AY68" s="622"/>
      <c r="AZ68" s="622"/>
      <c r="BA68" s="622"/>
      <c r="BB68" s="622"/>
      <c r="BC68" s="622"/>
      <c r="BD68" s="622"/>
      <c r="BE68" s="622"/>
      <c r="BF68" s="622"/>
    </row>
    <row r="69" spans="1:58" x14ac:dyDescent="0.2">
      <c r="A69" s="622"/>
      <c r="B69" s="622"/>
      <c r="C69" s="628"/>
      <c r="D69" s="622"/>
      <c r="E69" s="622"/>
      <c r="F69" s="622"/>
      <c r="G69" s="622"/>
      <c r="H69" s="622"/>
      <c r="I69" s="622"/>
      <c r="J69" s="622"/>
      <c r="K69" s="622"/>
      <c r="L69" s="622"/>
      <c r="M69" s="622"/>
      <c r="N69" s="622"/>
      <c r="O69" s="622"/>
      <c r="P69" s="622"/>
      <c r="Q69" s="622"/>
      <c r="R69" s="622"/>
      <c r="S69" s="622"/>
      <c r="T69" s="622"/>
      <c r="U69" s="622"/>
      <c r="V69" s="622"/>
      <c r="W69" s="622"/>
      <c r="X69" s="622"/>
      <c r="Y69" s="622"/>
      <c r="Z69" s="622"/>
      <c r="AA69" s="622"/>
      <c r="AB69" s="622"/>
      <c r="AC69" s="622"/>
      <c r="AD69" s="622"/>
      <c r="AE69" s="622"/>
      <c r="AF69" s="622"/>
      <c r="AG69" s="622"/>
      <c r="AH69" s="622"/>
      <c r="AI69" s="622"/>
      <c r="AJ69" s="622"/>
      <c r="AK69" s="622"/>
      <c r="AL69" s="622"/>
      <c r="AM69" s="622"/>
      <c r="AN69" s="622"/>
      <c r="AO69" s="622"/>
      <c r="AP69" s="622"/>
      <c r="AQ69" s="622"/>
      <c r="AR69" s="622"/>
      <c r="AS69" s="622"/>
      <c r="AT69" s="622"/>
      <c r="AU69" s="622"/>
      <c r="AV69" s="622"/>
      <c r="AW69" s="622"/>
      <c r="AX69" s="622"/>
      <c r="AY69" s="622"/>
      <c r="AZ69" s="622"/>
      <c r="BA69" s="622"/>
      <c r="BB69" s="622"/>
      <c r="BC69" s="622"/>
      <c r="BD69" s="622"/>
      <c r="BE69" s="622"/>
      <c r="BF69" s="622"/>
    </row>
    <row r="70" spans="1:58" x14ac:dyDescent="0.2">
      <c r="A70" s="622"/>
      <c r="B70" s="622"/>
      <c r="C70" s="622"/>
      <c r="D70" s="622"/>
      <c r="E70" s="622"/>
      <c r="F70" s="622"/>
      <c r="G70" s="622"/>
      <c r="H70" s="622"/>
      <c r="I70" s="622"/>
      <c r="J70" s="622"/>
      <c r="K70" s="622"/>
      <c r="L70" s="622"/>
      <c r="M70" s="622"/>
      <c r="N70" s="622"/>
      <c r="O70" s="622"/>
      <c r="P70" s="622"/>
      <c r="Q70" s="622"/>
      <c r="R70" s="622"/>
      <c r="S70" s="622"/>
      <c r="T70" s="622"/>
      <c r="U70" s="622"/>
      <c r="V70" s="622"/>
      <c r="W70" s="622"/>
      <c r="X70" s="622"/>
      <c r="Y70" s="622"/>
      <c r="Z70" s="622"/>
      <c r="AA70" s="622"/>
      <c r="AB70" s="622"/>
      <c r="AC70" s="622"/>
      <c r="AD70" s="622"/>
      <c r="AE70" s="622"/>
      <c r="AF70" s="622"/>
      <c r="AG70" s="622"/>
      <c r="AH70" s="622"/>
      <c r="AI70" s="622"/>
      <c r="AJ70" s="622"/>
      <c r="AK70" s="622"/>
      <c r="AL70" s="622"/>
      <c r="AM70" s="622"/>
      <c r="AN70" s="622"/>
      <c r="AO70" s="622"/>
      <c r="AP70" s="622"/>
      <c r="AQ70" s="622"/>
      <c r="AR70" s="622"/>
      <c r="AS70" s="622"/>
      <c r="AT70" s="622"/>
      <c r="AU70" s="622"/>
      <c r="AV70" s="622"/>
      <c r="AW70" s="622"/>
      <c r="AX70" s="622"/>
      <c r="AY70" s="622"/>
      <c r="AZ70" s="622"/>
      <c r="BA70" s="622"/>
      <c r="BB70" s="622"/>
      <c r="BC70" s="622"/>
      <c r="BD70" s="622"/>
      <c r="BE70" s="622"/>
      <c r="BF70" s="622"/>
    </row>
    <row r="71" spans="1:58" x14ac:dyDescent="0.2">
      <c r="A71" s="622"/>
      <c r="B71" s="622"/>
      <c r="C71" s="622"/>
      <c r="D71" s="622"/>
      <c r="E71" s="622"/>
      <c r="F71" s="622"/>
      <c r="G71" s="622"/>
      <c r="H71" s="622"/>
      <c r="I71" s="622"/>
      <c r="J71" s="622"/>
      <c r="K71" s="622"/>
      <c r="L71" s="622"/>
      <c r="M71" s="622"/>
      <c r="N71" s="622"/>
      <c r="O71" s="622"/>
      <c r="P71" s="622"/>
      <c r="Q71" s="622"/>
      <c r="R71" s="622"/>
      <c r="S71" s="622"/>
      <c r="T71" s="622"/>
      <c r="U71" s="622"/>
      <c r="V71" s="622"/>
      <c r="W71" s="622"/>
      <c r="X71" s="622"/>
      <c r="Y71" s="622"/>
      <c r="Z71" s="622"/>
      <c r="AA71" s="622"/>
      <c r="AB71" s="622"/>
      <c r="AC71" s="622"/>
      <c r="AD71" s="622"/>
      <c r="AE71" s="622"/>
      <c r="AF71" s="622"/>
      <c r="AG71" s="622"/>
      <c r="AH71" s="622"/>
      <c r="AI71" s="622"/>
      <c r="AJ71" s="622"/>
      <c r="AK71" s="622"/>
      <c r="AL71" s="622"/>
      <c r="AM71" s="622"/>
      <c r="AN71" s="622"/>
      <c r="AO71" s="622"/>
      <c r="AP71" s="622"/>
      <c r="AQ71" s="622"/>
      <c r="AR71" s="622"/>
      <c r="AS71" s="622"/>
      <c r="AT71" s="622"/>
      <c r="AU71" s="622"/>
      <c r="AV71" s="622"/>
      <c r="AW71" s="622"/>
      <c r="AX71" s="622"/>
      <c r="AY71" s="622"/>
      <c r="AZ71" s="622"/>
      <c r="BA71" s="622"/>
      <c r="BB71" s="622"/>
      <c r="BC71" s="622"/>
      <c r="BD71" s="622"/>
      <c r="BE71" s="622"/>
      <c r="BF71" s="622"/>
    </row>
    <row r="72" spans="1:58" ht="14.25" x14ac:dyDescent="0.2">
      <c r="A72" s="621" t="s">
        <v>898</v>
      </c>
      <c r="B72" s="376" t="s">
        <v>884</v>
      </c>
      <c r="C72" s="624">
        <f>+C51</f>
        <v>6.863256474239984</v>
      </c>
      <c r="D72" s="624">
        <f t="shared" ref="D72:BE72" si="45">+D51</f>
        <v>7.2448333006165999</v>
      </c>
      <c r="E72" s="624">
        <f t="shared" si="45"/>
        <v>7.9448084808801163</v>
      </c>
      <c r="F72" s="624">
        <f t="shared" si="45"/>
        <v>7.0719828739975661</v>
      </c>
      <c r="G72" s="624">
        <f t="shared" si="45"/>
        <v>6.4943480961748055</v>
      </c>
      <c r="H72" s="624">
        <f t="shared" si="45"/>
        <v>7.7287347441641909</v>
      </c>
      <c r="I72" s="624">
        <f t="shared" si="45"/>
        <v>7.9434641902337217</v>
      </c>
      <c r="J72" s="624">
        <f t="shared" si="45"/>
        <v>6.587582658455406</v>
      </c>
      <c r="K72" s="624">
        <f t="shared" si="45"/>
        <v>6.7470911192201344</v>
      </c>
      <c r="L72" s="624">
        <f t="shared" si="45"/>
        <v>6.896922358485293</v>
      </c>
      <c r="M72" s="624">
        <f t="shared" si="45"/>
        <v>6.6513199058690891</v>
      </c>
      <c r="N72" s="624">
        <f t="shared" si="45"/>
        <v>7.443273286982155</v>
      </c>
      <c r="O72" s="624">
        <f t="shared" si="45"/>
        <v>6.8004939877268074</v>
      </c>
      <c r="P72" s="624">
        <f t="shared" si="45"/>
        <v>8.7622527240552373</v>
      </c>
      <c r="Q72" s="624">
        <f t="shared" si="45"/>
        <v>6.8860361568603858</v>
      </c>
      <c r="R72" s="624">
        <f t="shared" si="45"/>
        <v>6.6425844904876872</v>
      </c>
      <c r="S72" s="624">
        <f t="shared" si="45"/>
        <v>6.8019288640240969</v>
      </c>
      <c r="T72" s="624">
        <f t="shared" si="45"/>
        <v>7.3222556369560055</v>
      </c>
      <c r="U72" s="624">
        <f t="shared" si="45"/>
        <v>6.6729587060965665</v>
      </c>
      <c r="V72" s="624">
        <f t="shared" si="45"/>
        <v>8.2420562053663495</v>
      </c>
      <c r="W72" s="624">
        <f t="shared" si="45"/>
        <v>7.2294468733450996</v>
      </c>
      <c r="X72" s="624">
        <f t="shared" si="45"/>
        <v>7.0512800568076628</v>
      </c>
      <c r="Y72" s="624">
        <f t="shared" si="45"/>
        <v>7.3135159288789859</v>
      </c>
      <c r="Z72" s="624">
        <f t="shared" si="45"/>
        <v>6.9254509333749006</v>
      </c>
      <c r="AA72" s="624">
        <f t="shared" si="45"/>
        <v>6.9851630658214594</v>
      </c>
      <c r="AB72" s="624">
        <f t="shared" si="45"/>
        <v>7.0790555807604845</v>
      </c>
      <c r="AC72" s="624">
        <f t="shared" si="45"/>
        <v>6.4509557562282929</v>
      </c>
      <c r="AD72" s="624">
        <f t="shared" si="45"/>
        <v>7.2059704313741131</v>
      </c>
      <c r="AE72" s="624">
        <f t="shared" si="45"/>
        <v>7.6986965745295928</v>
      </c>
      <c r="AF72" s="624">
        <f t="shared" si="45"/>
        <v>7.2618261961855817</v>
      </c>
      <c r="AG72" s="624">
        <f t="shared" si="45"/>
        <v>7.0969549547874395</v>
      </c>
      <c r="AH72" s="624">
        <f t="shared" si="45"/>
        <v>7.3168248962669953</v>
      </c>
      <c r="AI72" s="624">
        <f t="shared" si="45"/>
        <v>6.8585293091745667</v>
      </c>
      <c r="AJ72" s="624">
        <f t="shared" si="45"/>
        <v>6.6195151756583916</v>
      </c>
      <c r="AK72" s="624">
        <f t="shared" si="45"/>
        <v>6.5483910094206497</v>
      </c>
      <c r="AL72" s="624">
        <f t="shared" si="45"/>
        <v>6.5305093903745606</v>
      </c>
      <c r="AM72" s="624">
        <f t="shared" si="45"/>
        <v>7.0509524121531486</v>
      </c>
      <c r="AN72" s="624">
        <f t="shared" si="45"/>
        <v>6.6087014283475209</v>
      </c>
      <c r="AO72" s="624">
        <f t="shared" si="45"/>
        <v>6.831579787207704</v>
      </c>
      <c r="AP72" s="624">
        <f t="shared" si="45"/>
        <v>6.6447824882314483</v>
      </c>
      <c r="AQ72" s="624">
        <f t="shared" si="45"/>
        <v>7.0440560602489946</v>
      </c>
      <c r="AR72" s="624">
        <f t="shared" si="45"/>
        <v>7.8814855812168414</v>
      </c>
      <c r="AS72" s="624">
        <f t="shared" si="45"/>
        <v>7.5071843321183351</v>
      </c>
      <c r="AT72" s="624">
        <f t="shared" si="45"/>
        <v>6.6271358046530215</v>
      </c>
      <c r="AU72" s="624">
        <f t="shared" si="45"/>
        <v>6.6636665317942363</v>
      </c>
      <c r="AV72" s="624">
        <f t="shared" si="45"/>
        <v>7.7476647963489658</v>
      </c>
      <c r="AW72" s="624">
        <f t="shared" si="45"/>
        <v>7.5467874213371271</v>
      </c>
      <c r="AX72" s="624">
        <f t="shared" si="45"/>
        <v>6.4140797001171146</v>
      </c>
      <c r="AY72" s="624">
        <f t="shared" si="45"/>
        <v>7.3130396598823024</v>
      </c>
      <c r="AZ72" s="624">
        <f t="shared" si="45"/>
        <v>7.2484996304833498</v>
      </c>
      <c r="BA72" s="624">
        <f t="shared" si="45"/>
        <v>6.8400485789638896</v>
      </c>
      <c r="BB72" s="624">
        <f t="shared" si="45"/>
        <v>6.9491735816309141</v>
      </c>
      <c r="BC72" s="624">
        <f t="shared" si="45"/>
        <v>7.225344807923797</v>
      </c>
      <c r="BD72" s="624">
        <f t="shared" si="45"/>
        <v>8.1256549491388448</v>
      </c>
      <c r="BE72" s="624">
        <f t="shared" si="45"/>
        <v>7.1047594750349088</v>
      </c>
      <c r="BF72" s="624">
        <f t="shared" ref="BF72" si="46">+BF51</f>
        <v>6.6798678283438857</v>
      </c>
    </row>
    <row r="73" spans="1:58" x14ac:dyDescent="0.2">
      <c r="A73" s="622"/>
      <c r="B73" s="376" t="s">
        <v>881</v>
      </c>
      <c r="C73" s="624">
        <f>+'הנחות עבודה'!$D$8</f>
        <v>4.9116749256911705</v>
      </c>
      <c r="D73" s="624">
        <f>+'הנחות עבודה'!$D$8</f>
        <v>4.9116749256911705</v>
      </c>
      <c r="E73" s="624">
        <f>+'הנחות עבודה'!$D$8</f>
        <v>4.9116749256911705</v>
      </c>
      <c r="F73" s="624">
        <f>+'הנחות עבודה'!$D$8</f>
        <v>4.9116749256911705</v>
      </c>
      <c r="G73" s="624">
        <f>+'הנחות עבודה'!$D$8</f>
        <v>4.9116749256911705</v>
      </c>
      <c r="H73" s="624">
        <f>+'הנחות עבודה'!$D$8</f>
        <v>4.9116749256911705</v>
      </c>
      <c r="I73" s="624">
        <f>+'הנחות עבודה'!$D$8</f>
        <v>4.9116749256911705</v>
      </c>
      <c r="J73" s="624">
        <f>+'הנחות עבודה'!$D$8</f>
        <v>4.9116749256911705</v>
      </c>
      <c r="K73" s="624">
        <f>+'הנחות עבודה'!$D$8</f>
        <v>4.9116749256911705</v>
      </c>
      <c r="L73" s="624">
        <f>+'הנחות עבודה'!$D$8</f>
        <v>4.9116749256911705</v>
      </c>
      <c r="M73" s="624">
        <f>+'הנחות עבודה'!$D$8</f>
        <v>4.9116749256911705</v>
      </c>
      <c r="N73" s="624">
        <f>+'הנחות עבודה'!$D$8</f>
        <v>4.9116749256911705</v>
      </c>
      <c r="O73" s="624">
        <f>+'הנחות עבודה'!$D$8</f>
        <v>4.9116749256911705</v>
      </c>
      <c r="P73" s="624">
        <f>+'הנחות עבודה'!$D$8</f>
        <v>4.9116749256911705</v>
      </c>
      <c r="Q73" s="624">
        <f>+'הנחות עבודה'!$D$8</f>
        <v>4.9116749256911705</v>
      </c>
      <c r="R73" s="624">
        <f>+'הנחות עבודה'!$D$8</f>
        <v>4.9116749256911705</v>
      </c>
      <c r="S73" s="624">
        <f>+'הנחות עבודה'!$D$8</f>
        <v>4.9116749256911705</v>
      </c>
      <c r="T73" s="624">
        <f>+'הנחות עבודה'!$D$8</f>
        <v>4.9116749256911705</v>
      </c>
      <c r="U73" s="624">
        <f>+'הנחות עבודה'!$D$8</f>
        <v>4.9116749256911705</v>
      </c>
      <c r="V73" s="624">
        <f>+'הנחות עבודה'!$D$8</f>
        <v>4.9116749256911705</v>
      </c>
      <c r="W73" s="624">
        <f>+'הנחות עבודה'!$D$8</f>
        <v>4.9116749256911705</v>
      </c>
      <c r="X73" s="624">
        <f>+'הנחות עבודה'!$D$8</f>
        <v>4.9116749256911705</v>
      </c>
      <c r="Y73" s="624">
        <f>+'הנחות עבודה'!$D$8</f>
        <v>4.9116749256911705</v>
      </c>
      <c r="Z73" s="624">
        <f>+'הנחות עבודה'!$D$8</f>
        <v>4.9116749256911705</v>
      </c>
      <c r="AA73" s="624">
        <f>+'הנחות עבודה'!$D$8</f>
        <v>4.9116749256911705</v>
      </c>
      <c r="AB73" s="624">
        <f>+'הנחות עבודה'!$D$8</f>
        <v>4.9116749256911705</v>
      </c>
      <c r="AC73" s="624">
        <f>+'הנחות עבודה'!$D$8</f>
        <v>4.9116749256911705</v>
      </c>
      <c r="AD73" s="624">
        <f>+'הנחות עבודה'!$D$8</f>
        <v>4.9116749256911705</v>
      </c>
      <c r="AE73" s="624">
        <f>+'הנחות עבודה'!$D$8</f>
        <v>4.9116749256911705</v>
      </c>
      <c r="AF73" s="624">
        <f>+'הנחות עבודה'!$D$8</f>
        <v>4.9116749256911705</v>
      </c>
      <c r="AG73" s="624">
        <f>+'הנחות עבודה'!$D$8</f>
        <v>4.9116749256911705</v>
      </c>
      <c r="AH73" s="624">
        <f>+'הנחות עבודה'!$D$8</f>
        <v>4.9116749256911705</v>
      </c>
      <c r="AI73" s="624">
        <f>+'הנחות עבודה'!$D$8</f>
        <v>4.9116749256911705</v>
      </c>
      <c r="AJ73" s="624">
        <f>+'הנחות עבודה'!$D$8</f>
        <v>4.9116749256911705</v>
      </c>
      <c r="AK73" s="624">
        <f>+'הנחות עבודה'!$D$8</f>
        <v>4.9116749256911705</v>
      </c>
      <c r="AL73" s="624">
        <f>+'הנחות עבודה'!$D$8</f>
        <v>4.9116749256911705</v>
      </c>
      <c r="AM73" s="624">
        <f>+'הנחות עבודה'!$D$8</f>
        <v>4.9116749256911705</v>
      </c>
      <c r="AN73" s="624">
        <f>+'הנחות עבודה'!$D$8</f>
        <v>4.9116749256911705</v>
      </c>
      <c r="AO73" s="624">
        <f>+'הנחות עבודה'!$D$8</f>
        <v>4.9116749256911705</v>
      </c>
      <c r="AP73" s="624">
        <f>+'הנחות עבודה'!$D$8</f>
        <v>4.9116749256911705</v>
      </c>
      <c r="AQ73" s="624">
        <f>+'הנחות עבודה'!$D$8</f>
        <v>4.9116749256911705</v>
      </c>
      <c r="AR73" s="624">
        <f>+'הנחות עבודה'!$D$8</f>
        <v>4.9116749256911705</v>
      </c>
      <c r="AS73" s="624">
        <f>+'הנחות עבודה'!$D$8</f>
        <v>4.9116749256911705</v>
      </c>
      <c r="AT73" s="624">
        <f>+'הנחות עבודה'!$D$8</f>
        <v>4.9116749256911705</v>
      </c>
      <c r="AU73" s="624">
        <f>+'הנחות עבודה'!$D$8</f>
        <v>4.9116749256911705</v>
      </c>
      <c r="AV73" s="624">
        <f>+'הנחות עבודה'!$D$8</f>
        <v>4.9116749256911705</v>
      </c>
      <c r="AW73" s="624">
        <f>+'הנחות עבודה'!$D$8</f>
        <v>4.9116749256911705</v>
      </c>
      <c r="AX73" s="624">
        <f>+'הנחות עבודה'!$D$8</f>
        <v>4.9116749256911705</v>
      </c>
      <c r="AY73" s="624">
        <f>+'הנחות עבודה'!$D$8</f>
        <v>4.9116749256911705</v>
      </c>
      <c r="AZ73" s="624">
        <f>+'הנחות עבודה'!$D$8</f>
        <v>4.9116749256911705</v>
      </c>
      <c r="BA73" s="624">
        <f>+'הנחות עבודה'!$D$8</f>
        <v>4.9116749256911705</v>
      </c>
      <c r="BB73" s="624">
        <f>+'הנחות עבודה'!$D$8</f>
        <v>4.9116749256911705</v>
      </c>
      <c r="BC73" s="624">
        <f>+'הנחות עבודה'!$D$8</f>
        <v>4.9116749256911705</v>
      </c>
      <c r="BD73" s="624">
        <f>+'הנחות עבודה'!$D$8</f>
        <v>4.9116749256911705</v>
      </c>
      <c r="BE73" s="624">
        <f>+'הנחות עבודה'!$D$8</f>
        <v>4.9116749256911705</v>
      </c>
      <c r="BF73" s="624">
        <f>+'הנחות עבודה'!$D$8</f>
        <v>4.9116749256911705</v>
      </c>
    </row>
    <row r="74" spans="1:58" x14ac:dyDescent="0.2">
      <c r="A74" s="622"/>
      <c r="B74" s="376" t="s">
        <v>499</v>
      </c>
      <c r="C74" s="632">
        <f>+'הנחות עבודה'!$D$31</f>
        <v>3.8111733748363652</v>
      </c>
      <c r="D74" s="632">
        <f>+'הנחות עבודה'!$D$31</f>
        <v>3.8111733748363652</v>
      </c>
      <c r="E74" s="632">
        <f>+'הנחות עבודה'!$D$31</f>
        <v>3.8111733748363652</v>
      </c>
      <c r="F74" s="632">
        <f>+'הנחות עבודה'!$D$31</f>
        <v>3.8111733748363652</v>
      </c>
      <c r="G74" s="632">
        <f>+'הנחות עבודה'!$D$31</f>
        <v>3.8111733748363652</v>
      </c>
      <c r="H74" s="632">
        <f>+'הנחות עבודה'!$D$31</f>
        <v>3.8111733748363652</v>
      </c>
      <c r="I74" s="632">
        <f>+'הנחות עבודה'!$D$31</f>
        <v>3.8111733748363652</v>
      </c>
      <c r="J74" s="632">
        <f>+'הנחות עבודה'!$D$31</f>
        <v>3.8111733748363652</v>
      </c>
      <c r="K74" s="632">
        <f>+'הנחות עבודה'!$D$31</f>
        <v>3.8111733748363652</v>
      </c>
      <c r="L74" s="632">
        <f>+'הנחות עבודה'!$D$31</f>
        <v>3.8111733748363652</v>
      </c>
      <c r="M74" s="632">
        <f>+'הנחות עבודה'!$D$31</f>
        <v>3.8111733748363652</v>
      </c>
      <c r="N74" s="632">
        <f>+'הנחות עבודה'!$D$31</f>
        <v>3.8111733748363652</v>
      </c>
      <c r="O74" s="632">
        <f>+'הנחות עבודה'!$D$31</f>
        <v>3.8111733748363652</v>
      </c>
      <c r="P74" s="632">
        <f>+'הנחות עבודה'!$D$31</f>
        <v>3.8111733748363652</v>
      </c>
      <c r="Q74" s="632">
        <f>+'הנחות עבודה'!$D$31</f>
        <v>3.8111733748363652</v>
      </c>
      <c r="R74" s="632">
        <f>+'הנחות עבודה'!$D$31</f>
        <v>3.8111733748363652</v>
      </c>
      <c r="S74" s="632">
        <f>+'הנחות עבודה'!$D$31</f>
        <v>3.8111733748363652</v>
      </c>
      <c r="T74" s="632">
        <f>+'הנחות עבודה'!$D$31</f>
        <v>3.8111733748363652</v>
      </c>
      <c r="U74" s="632">
        <f>+'הנחות עבודה'!$D$31</f>
        <v>3.8111733748363652</v>
      </c>
      <c r="V74" s="632">
        <f>+'הנחות עבודה'!$D$31</f>
        <v>3.8111733748363652</v>
      </c>
      <c r="W74" s="632">
        <f>+'הנחות עבודה'!$D$31</f>
        <v>3.8111733748363652</v>
      </c>
      <c r="X74" s="632">
        <f>+'הנחות עבודה'!$D$31</f>
        <v>3.8111733748363652</v>
      </c>
      <c r="Y74" s="632">
        <f>+'הנחות עבודה'!$D$31</f>
        <v>3.8111733748363652</v>
      </c>
      <c r="Z74" s="632">
        <f>+'הנחות עבודה'!$D$31</f>
        <v>3.8111733748363652</v>
      </c>
      <c r="AA74" s="632">
        <f>+'הנחות עבודה'!$D$31</f>
        <v>3.8111733748363652</v>
      </c>
      <c r="AB74" s="632">
        <f>+'הנחות עבודה'!$D$31</f>
        <v>3.8111733748363652</v>
      </c>
      <c r="AC74" s="632">
        <f>+'הנחות עבודה'!$D$31</f>
        <v>3.8111733748363652</v>
      </c>
      <c r="AD74" s="632">
        <f>+'הנחות עבודה'!$D$31</f>
        <v>3.8111733748363652</v>
      </c>
      <c r="AE74" s="632">
        <f>+'הנחות עבודה'!$D$31</f>
        <v>3.8111733748363652</v>
      </c>
      <c r="AF74" s="632">
        <f>+'הנחות עבודה'!$D$31</f>
        <v>3.8111733748363652</v>
      </c>
      <c r="AG74" s="632">
        <f>+'הנחות עבודה'!$D$31</f>
        <v>3.8111733748363652</v>
      </c>
      <c r="AH74" s="632">
        <f>+'הנחות עבודה'!$D$31</f>
        <v>3.8111733748363652</v>
      </c>
      <c r="AI74" s="632">
        <f>+'הנחות עבודה'!$D$31</f>
        <v>3.8111733748363652</v>
      </c>
      <c r="AJ74" s="632">
        <f>+'הנחות עבודה'!$D$31</f>
        <v>3.8111733748363652</v>
      </c>
      <c r="AK74" s="632">
        <f>+'הנחות עבודה'!$D$31</f>
        <v>3.8111733748363652</v>
      </c>
      <c r="AL74" s="632">
        <f>+'הנחות עבודה'!$D$31</f>
        <v>3.8111733748363652</v>
      </c>
      <c r="AM74" s="632">
        <f>+'הנחות עבודה'!$D$31</f>
        <v>3.8111733748363652</v>
      </c>
      <c r="AN74" s="632">
        <f>+'הנחות עבודה'!$D$31</f>
        <v>3.8111733748363652</v>
      </c>
      <c r="AO74" s="632">
        <f>+'הנחות עבודה'!$D$31</f>
        <v>3.8111733748363652</v>
      </c>
      <c r="AP74" s="632">
        <f>+'הנחות עבודה'!$D$31</f>
        <v>3.8111733748363652</v>
      </c>
      <c r="AQ74" s="632">
        <f>+'הנחות עבודה'!$D$31</f>
        <v>3.8111733748363652</v>
      </c>
      <c r="AR74" s="632">
        <f>+'הנחות עבודה'!$D$31</f>
        <v>3.8111733748363652</v>
      </c>
      <c r="AS74" s="632">
        <f>+'הנחות עבודה'!$D$31</f>
        <v>3.8111733748363652</v>
      </c>
      <c r="AT74" s="632">
        <f>+'הנחות עבודה'!$D$31</f>
        <v>3.8111733748363652</v>
      </c>
      <c r="AU74" s="632">
        <f>+'הנחות עבודה'!$D$31</f>
        <v>3.8111733748363652</v>
      </c>
      <c r="AV74" s="632">
        <f>+'הנחות עבודה'!$D$31</f>
        <v>3.8111733748363652</v>
      </c>
      <c r="AW74" s="632">
        <f>+'הנחות עבודה'!$D$31</f>
        <v>3.8111733748363652</v>
      </c>
      <c r="AX74" s="632">
        <f>+'הנחות עבודה'!$D$31</f>
        <v>3.8111733748363652</v>
      </c>
      <c r="AY74" s="632">
        <f>+'הנחות עבודה'!$D$31</f>
        <v>3.8111733748363652</v>
      </c>
      <c r="AZ74" s="632">
        <f>+'הנחות עבודה'!$D$31</f>
        <v>3.8111733748363652</v>
      </c>
      <c r="BA74" s="632">
        <f>+'הנחות עבודה'!$D$31</f>
        <v>3.8111733748363652</v>
      </c>
      <c r="BB74" s="632">
        <f>+'הנחות עבודה'!$D$31</f>
        <v>3.8111733748363652</v>
      </c>
      <c r="BC74" s="632">
        <f>+'הנחות עבודה'!$D$31</f>
        <v>3.8111733748363652</v>
      </c>
      <c r="BD74" s="632">
        <f>+'הנחות עבודה'!$D$31</f>
        <v>3.8111733748363652</v>
      </c>
      <c r="BE74" s="632">
        <f>+'הנחות עבודה'!$D$31</f>
        <v>3.8111733748363652</v>
      </c>
      <c r="BF74" s="632">
        <f>+'הנחות עבודה'!$D$31</f>
        <v>3.8111733748363652</v>
      </c>
    </row>
    <row r="75" spans="1:58" x14ac:dyDescent="0.2">
      <c r="A75" s="622"/>
      <c r="B75" s="376" t="s">
        <v>500</v>
      </c>
      <c r="C75" s="624">
        <f>+C72-C73+C74</f>
        <v>5.7627549233851791</v>
      </c>
      <c r="D75" s="624">
        <f t="shared" ref="D75:BE75" si="47">+D72-D73+D74</f>
        <v>6.1443317497617951</v>
      </c>
      <c r="E75" s="624">
        <f t="shared" si="47"/>
        <v>6.8443069300253114</v>
      </c>
      <c r="F75" s="624">
        <f t="shared" si="47"/>
        <v>5.9714813231427613</v>
      </c>
      <c r="G75" s="624">
        <f t="shared" si="47"/>
        <v>5.3938465453200006</v>
      </c>
      <c r="H75" s="624">
        <f t="shared" si="47"/>
        <v>6.6282331933093861</v>
      </c>
      <c r="I75" s="624">
        <f t="shared" si="47"/>
        <v>6.842962639378916</v>
      </c>
      <c r="J75" s="624">
        <f t="shared" si="47"/>
        <v>5.4870811076006003</v>
      </c>
      <c r="K75" s="624">
        <f t="shared" si="47"/>
        <v>5.6465895683653287</v>
      </c>
      <c r="L75" s="624">
        <f t="shared" si="47"/>
        <v>5.7964208076304882</v>
      </c>
      <c r="M75" s="624">
        <f t="shared" si="47"/>
        <v>5.5508183550142842</v>
      </c>
      <c r="N75" s="624">
        <f t="shared" si="47"/>
        <v>6.3427717361273501</v>
      </c>
      <c r="O75" s="624">
        <f t="shared" si="47"/>
        <v>5.6999924368720016</v>
      </c>
      <c r="P75" s="624">
        <f t="shared" si="47"/>
        <v>7.6617511732004324</v>
      </c>
      <c r="Q75" s="624">
        <f t="shared" si="47"/>
        <v>5.7855346060055801</v>
      </c>
      <c r="R75" s="624">
        <f t="shared" si="47"/>
        <v>5.5420829396328823</v>
      </c>
      <c r="S75" s="624">
        <f t="shared" si="47"/>
        <v>5.7014273131692921</v>
      </c>
      <c r="T75" s="624">
        <f t="shared" si="47"/>
        <v>6.2217540861011997</v>
      </c>
      <c r="U75" s="624">
        <f t="shared" si="47"/>
        <v>5.5724571552417608</v>
      </c>
      <c r="V75" s="624">
        <f t="shared" si="47"/>
        <v>7.1415546545115447</v>
      </c>
      <c r="W75" s="624">
        <f t="shared" si="47"/>
        <v>6.1289453224902939</v>
      </c>
      <c r="X75" s="624">
        <f t="shared" si="47"/>
        <v>5.950778505952858</v>
      </c>
      <c r="Y75" s="624">
        <f t="shared" si="47"/>
        <v>6.2130143780241802</v>
      </c>
      <c r="Z75" s="624">
        <f t="shared" si="47"/>
        <v>5.8249493825200958</v>
      </c>
      <c r="AA75" s="624">
        <f t="shared" si="47"/>
        <v>5.8846615149666537</v>
      </c>
      <c r="AB75" s="624">
        <f t="shared" si="47"/>
        <v>5.9785540299056787</v>
      </c>
      <c r="AC75" s="624">
        <f t="shared" si="47"/>
        <v>5.350454205373488</v>
      </c>
      <c r="AD75" s="624">
        <f t="shared" si="47"/>
        <v>6.1054688805193074</v>
      </c>
      <c r="AE75" s="624">
        <f t="shared" si="47"/>
        <v>6.5981950236747871</v>
      </c>
      <c r="AF75" s="624">
        <f t="shared" si="47"/>
        <v>6.161324645330776</v>
      </c>
      <c r="AG75" s="624">
        <f t="shared" si="47"/>
        <v>5.9964534039326338</v>
      </c>
      <c r="AH75" s="624">
        <f t="shared" si="47"/>
        <v>6.2163233454121904</v>
      </c>
      <c r="AI75" s="624">
        <f t="shared" si="47"/>
        <v>5.758027758319761</v>
      </c>
      <c r="AJ75" s="624">
        <f t="shared" si="47"/>
        <v>5.5190136248035859</v>
      </c>
      <c r="AK75" s="624">
        <f t="shared" si="47"/>
        <v>5.4478894585658448</v>
      </c>
      <c r="AL75" s="624">
        <f t="shared" si="47"/>
        <v>5.4300078395197549</v>
      </c>
      <c r="AM75" s="624">
        <f t="shared" si="47"/>
        <v>5.9504508612983429</v>
      </c>
      <c r="AN75" s="624">
        <f t="shared" si="47"/>
        <v>5.5081998774927161</v>
      </c>
      <c r="AO75" s="624">
        <f t="shared" si="47"/>
        <v>5.7310782363528983</v>
      </c>
      <c r="AP75" s="624">
        <f t="shared" si="47"/>
        <v>5.5442809373766426</v>
      </c>
      <c r="AQ75" s="624">
        <f t="shared" si="47"/>
        <v>5.9435545093941897</v>
      </c>
      <c r="AR75" s="624">
        <f t="shared" si="47"/>
        <v>6.7809840303620366</v>
      </c>
      <c r="AS75" s="624">
        <f t="shared" si="47"/>
        <v>6.4066827812635303</v>
      </c>
      <c r="AT75" s="624">
        <f t="shared" si="47"/>
        <v>5.5266342537982158</v>
      </c>
      <c r="AU75" s="624">
        <f t="shared" si="47"/>
        <v>5.5631649809394315</v>
      </c>
      <c r="AV75" s="624">
        <f t="shared" si="47"/>
        <v>6.6471632454941609</v>
      </c>
      <c r="AW75" s="624">
        <f t="shared" si="47"/>
        <v>6.4462858704823223</v>
      </c>
      <c r="AX75" s="624">
        <f t="shared" si="47"/>
        <v>5.3135781492623089</v>
      </c>
      <c r="AY75" s="624">
        <f t="shared" si="47"/>
        <v>6.2125381090274967</v>
      </c>
      <c r="AZ75" s="624">
        <f t="shared" si="47"/>
        <v>6.1479980796285449</v>
      </c>
      <c r="BA75" s="624">
        <f t="shared" si="47"/>
        <v>5.7395470281090848</v>
      </c>
      <c r="BB75" s="624">
        <f t="shared" si="47"/>
        <v>5.8486720307761093</v>
      </c>
      <c r="BC75" s="624">
        <f t="shared" si="47"/>
        <v>6.1248432570689921</v>
      </c>
      <c r="BD75" s="624">
        <f t="shared" si="47"/>
        <v>7.02515339828404</v>
      </c>
      <c r="BE75" s="624">
        <f t="shared" si="47"/>
        <v>6.004257924180104</v>
      </c>
      <c r="BF75" s="624">
        <f t="shared" ref="BF75" si="48">+BF72-BF73+BF74</f>
        <v>5.5793662774890809</v>
      </c>
    </row>
    <row r="76" spans="1:58" x14ac:dyDescent="0.2">
      <c r="A76" s="622"/>
      <c r="B76" s="376" t="s">
        <v>496</v>
      </c>
      <c r="C76" s="633">
        <f>+C21</f>
        <v>5.1553417542358766E-2</v>
      </c>
      <c r="D76" s="633">
        <f t="shared" ref="D76:BE76" si="49">+D21</f>
        <v>5.6155231456089812E-2</v>
      </c>
      <c r="E76" s="633">
        <f t="shared" si="49"/>
        <v>5.8284626581569812E-2</v>
      </c>
      <c r="F76" s="633">
        <f t="shared" si="49"/>
        <v>1.4999999999999999E-2</v>
      </c>
      <c r="G76" s="633">
        <f t="shared" si="49"/>
        <v>1.4999999999999999E-2</v>
      </c>
      <c r="H76" s="633">
        <f t="shared" si="49"/>
        <v>1.4999999999999999E-2</v>
      </c>
      <c r="I76" s="633">
        <f t="shared" si="49"/>
        <v>5.8002278537391302E-2</v>
      </c>
      <c r="J76" s="633">
        <f t="shared" si="49"/>
        <v>1.4999999999999999E-2</v>
      </c>
      <c r="K76" s="633">
        <f t="shared" si="49"/>
        <v>5.3510432897036393E-2</v>
      </c>
      <c r="L76" s="633">
        <f t="shared" si="49"/>
        <v>1.4999999999999999E-2</v>
      </c>
      <c r="M76" s="633">
        <f t="shared" si="49"/>
        <v>1.4999999999999999E-2</v>
      </c>
      <c r="N76" s="633">
        <f t="shared" si="49"/>
        <v>5.6505566943475305E-2</v>
      </c>
      <c r="O76" s="633">
        <f t="shared" si="49"/>
        <v>1.4999999999999999E-2</v>
      </c>
      <c r="P76" s="633">
        <f t="shared" si="49"/>
        <v>4.4737265335724384E-2</v>
      </c>
      <c r="Q76" s="633">
        <f t="shared" si="49"/>
        <v>1.4999999999999999E-2</v>
      </c>
      <c r="R76" s="633">
        <f t="shared" si="49"/>
        <v>1.4999999999999999E-2</v>
      </c>
      <c r="S76" s="633">
        <f t="shared" si="49"/>
        <v>1.4999999999999999E-2</v>
      </c>
      <c r="T76" s="633">
        <f t="shared" si="49"/>
        <v>1.4999999999999999E-2</v>
      </c>
      <c r="U76" s="633">
        <f t="shared" si="49"/>
        <v>1.4999999999999999E-2</v>
      </c>
      <c r="V76" s="633">
        <f t="shared" si="49"/>
        <v>5.392334747346135E-2</v>
      </c>
      <c r="W76" s="633">
        <f t="shared" si="49"/>
        <v>6.1597636069536964E-2</v>
      </c>
      <c r="X76" s="633">
        <f t="shared" si="49"/>
        <v>1.4999999999999999E-2</v>
      </c>
      <c r="Y76" s="633">
        <f t="shared" si="49"/>
        <v>1.4999999999999999E-2</v>
      </c>
      <c r="Z76" s="633">
        <f t="shared" si="49"/>
        <v>1.4999999999999999E-2</v>
      </c>
      <c r="AA76" s="633">
        <f t="shared" si="49"/>
        <v>1.4999999999999999E-2</v>
      </c>
      <c r="AB76" s="633">
        <f t="shared" si="49"/>
        <v>3.3265326588450196E-2</v>
      </c>
      <c r="AC76" s="633">
        <f t="shared" si="49"/>
        <v>1.4999999999999999E-2</v>
      </c>
      <c r="AD76" s="633">
        <f t="shared" si="49"/>
        <v>1.4999999999999999E-2</v>
      </c>
      <c r="AE76" s="633">
        <f t="shared" si="49"/>
        <v>1.4999999999999999E-2</v>
      </c>
      <c r="AF76" s="633">
        <f t="shared" si="49"/>
        <v>1.4999999999999999E-2</v>
      </c>
      <c r="AG76" s="633">
        <f t="shared" si="49"/>
        <v>1.4999999999999999E-2</v>
      </c>
      <c r="AH76" s="633">
        <f t="shared" si="49"/>
        <v>5.766656977082564E-2</v>
      </c>
      <c r="AI76" s="633">
        <f t="shared" si="49"/>
        <v>1.4999999999999999E-2</v>
      </c>
      <c r="AJ76" s="633">
        <f t="shared" si="49"/>
        <v>1.4999999999999999E-2</v>
      </c>
      <c r="AK76" s="633">
        <f t="shared" si="49"/>
        <v>1.4999999999999999E-2</v>
      </c>
      <c r="AL76" s="633">
        <f t="shared" si="49"/>
        <v>1.4999999999999999E-2</v>
      </c>
      <c r="AM76" s="633">
        <f t="shared" si="49"/>
        <v>1.4999999999999999E-2</v>
      </c>
      <c r="AN76" s="633">
        <f t="shared" si="49"/>
        <v>1.4999999999999999E-2</v>
      </c>
      <c r="AO76" s="633">
        <f t="shared" si="49"/>
        <v>1.4999999999999999E-2</v>
      </c>
      <c r="AP76" s="633">
        <f t="shared" si="49"/>
        <v>1.4999999999999999E-2</v>
      </c>
      <c r="AQ76" s="633">
        <f t="shared" si="49"/>
        <v>1.9375758693280475E-2</v>
      </c>
      <c r="AR76" s="633">
        <f t="shared" si="49"/>
        <v>5.5958720807304053E-2</v>
      </c>
      <c r="AS76" s="633">
        <f t="shared" si="49"/>
        <v>4.752014656067266E-2</v>
      </c>
      <c r="AT76" s="633">
        <f t="shared" si="49"/>
        <v>0.04</v>
      </c>
      <c r="AU76" s="633">
        <f t="shared" si="49"/>
        <v>1.4999999999999999E-2</v>
      </c>
      <c r="AV76" s="633">
        <f t="shared" si="49"/>
        <v>5.5210564736932116E-2</v>
      </c>
      <c r="AW76" s="633">
        <f t="shared" si="49"/>
        <v>5.7217305317937013E-2</v>
      </c>
      <c r="AX76" s="633">
        <f t="shared" si="49"/>
        <v>1.4999999999999999E-2</v>
      </c>
      <c r="AY76" s="633">
        <f t="shared" si="49"/>
        <v>4.5183403467239154E-2</v>
      </c>
      <c r="AZ76" s="633">
        <f t="shared" si="49"/>
        <v>1.8232139450941265E-2</v>
      </c>
      <c r="BA76" s="633">
        <f t="shared" si="49"/>
        <v>5.4346374693254665E-2</v>
      </c>
      <c r="BB76" s="633">
        <f t="shared" si="49"/>
        <v>5.3263834840235794E-2</v>
      </c>
      <c r="BC76" s="633">
        <f t="shared" si="49"/>
        <v>5.9352616330335332E-2</v>
      </c>
      <c r="BD76" s="633">
        <f t="shared" si="49"/>
        <v>1.4999999999999999E-2</v>
      </c>
      <c r="BE76" s="633">
        <f t="shared" si="49"/>
        <v>1.4999999999999999E-2</v>
      </c>
      <c r="BF76" s="633">
        <f t="shared" ref="BF76" si="50">+BF21</f>
        <v>0.05</v>
      </c>
    </row>
    <row r="77" spans="1:58" x14ac:dyDescent="0.2">
      <c r="A77" s="622"/>
      <c r="B77" s="376" t="s">
        <v>899</v>
      </c>
      <c r="C77" s="624">
        <f>+C75/(1-C76)</f>
        <v>6.0759931344288969</v>
      </c>
      <c r="D77" s="624">
        <f>+D75/(1-D76)</f>
        <v>6.5098964941457362</v>
      </c>
      <c r="E77" s="624">
        <f t="shared" ref="E77:BE77" si="51">+E75/(1-E76)</f>
        <v>7.2679146196588604</v>
      </c>
      <c r="F77" s="624">
        <f t="shared" si="51"/>
        <v>6.0624175869469656</v>
      </c>
      <c r="G77" s="624">
        <f t="shared" si="51"/>
        <v>5.4759863404263971</v>
      </c>
      <c r="H77" s="624">
        <f t="shared" si="51"/>
        <v>6.7291707546288189</v>
      </c>
      <c r="I77" s="624">
        <f t="shared" si="51"/>
        <v>7.2643091203597328</v>
      </c>
      <c r="J77" s="624">
        <f t="shared" si="51"/>
        <v>5.5706407183762439</v>
      </c>
      <c r="K77" s="624">
        <f t="shared" si="51"/>
        <v>5.9658233588866025</v>
      </c>
      <c r="L77" s="624">
        <f t="shared" si="51"/>
        <v>5.8846911752593787</v>
      </c>
      <c r="M77" s="624">
        <f t="shared" si="51"/>
        <v>5.6353485837708472</v>
      </c>
      <c r="N77" s="624">
        <f t="shared" si="51"/>
        <v>6.7226382201105741</v>
      </c>
      <c r="O77" s="624">
        <f t="shared" si="51"/>
        <v>5.7867943521543168</v>
      </c>
      <c r="P77" s="624">
        <f t="shared" si="51"/>
        <v>8.0205695199584373</v>
      </c>
      <c r="Q77" s="624">
        <f t="shared" si="51"/>
        <v>5.8736391939142942</v>
      </c>
      <c r="R77" s="624">
        <f t="shared" si="51"/>
        <v>5.6264801417592718</v>
      </c>
      <c r="S77" s="624">
        <f t="shared" si="51"/>
        <v>5.7882510793596875</v>
      </c>
      <c r="T77" s="624">
        <f t="shared" si="51"/>
        <v>6.3165016102550249</v>
      </c>
      <c r="U77" s="624">
        <f t="shared" si="51"/>
        <v>5.6573169088748845</v>
      </c>
      <c r="V77" s="624">
        <f t="shared" si="51"/>
        <v>7.5486004600575587</v>
      </c>
      <c r="W77" s="624">
        <f t="shared" si="51"/>
        <v>6.5312552035988451</v>
      </c>
      <c r="X77" s="624">
        <f t="shared" si="51"/>
        <v>6.0413994984292971</v>
      </c>
      <c r="Y77" s="624">
        <f t="shared" si="51"/>
        <v>6.3076288101768325</v>
      </c>
      <c r="Z77" s="624">
        <f t="shared" si="51"/>
        <v>5.9136541954518735</v>
      </c>
      <c r="AA77" s="624">
        <f t="shared" si="51"/>
        <v>5.9742756497123386</v>
      </c>
      <c r="AB77" s="624">
        <f t="shared" si="51"/>
        <v>6.1842759904408036</v>
      </c>
      <c r="AC77" s="624">
        <f t="shared" si="51"/>
        <v>5.4319332034248609</v>
      </c>
      <c r="AD77" s="624">
        <f t="shared" si="51"/>
        <v>6.1984455639789919</v>
      </c>
      <c r="AE77" s="624">
        <f t="shared" si="51"/>
        <v>6.69867515093887</v>
      </c>
      <c r="AF77" s="624">
        <f t="shared" si="51"/>
        <v>6.2551519241936813</v>
      </c>
      <c r="AG77" s="624">
        <f t="shared" si="51"/>
        <v>6.0877699532311</v>
      </c>
      <c r="AH77" s="624">
        <f t="shared" si="51"/>
        <v>6.596734389334344</v>
      </c>
      <c r="AI77" s="624">
        <f t="shared" si="51"/>
        <v>5.8457134602231076</v>
      </c>
      <c r="AJ77" s="624">
        <f t="shared" si="51"/>
        <v>5.6030595175670923</v>
      </c>
      <c r="AK77" s="624">
        <f t="shared" si="51"/>
        <v>5.5308522421988275</v>
      </c>
      <c r="AL77" s="624">
        <f t="shared" si="51"/>
        <v>5.512698314233254</v>
      </c>
      <c r="AM77" s="624">
        <f t="shared" si="51"/>
        <v>6.0410668642622767</v>
      </c>
      <c r="AN77" s="624">
        <f t="shared" si="51"/>
        <v>5.5920810939012346</v>
      </c>
      <c r="AO77" s="624">
        <f t="shared" si="51"/>
        <v>5.8183535394445665</v>
      </c>
      <c r="AP77" s="624">
        <f t="shared" si="51"/>
        <v>5.6287116115498907</v>
      </c>
      <c r="AQ77" s="624">
        <f t="shared" si="51"/>
        <v>6.0609908046676209</v>
      </c>
      <c r="AR77" s="624">
        <f t="shared" si="51"/>
        <v>7.1829316999367299</v>
      </c>
      <c r="AS77" s="624">
        <f t="shared" si="51"/>
        <v>6.7263184183156417</v>
      </c>
      <c r="AT77" s="624">
        <f t="shared" si="51"/>
        <v>5.7569106810398081</v>
      </c>
      <c r="AU77" s="624">
        <f t="shared" si="51"/>
        <v>5.6478832293801338</v>
      </c>
      <c r="AV77" s="624">
        <f t="shared" si="51"/>
        <v>7.0356028522305811</v>
      </c>
      <c r="AW77" s="624">
        <f t="shared" si="51"/>
        <v>6.8375097536725784</v>
      </c>
      <c r="AX77" s="624">
        <f t="shared" si="51"/>
        <v>5.3944955830074202</v>
      </c>
      <c r="AY77" s="624">
        <f t="shared" si="51"/>
        <v>6.5065250557930971</v>
      </c>
      <c r="AZ77" s="624">
        <f t="shared" si="51"/>
        <v>6.262170851865374</v>
      </c>
      <c r="BA77" s="624">
        <f t="shared" si="51"/>
        <v>6.06939673735965</v>
      </c>
      <c r="BB77" s="624">
        <f t="shared" si="51"/>
        <v>6.177721149787418</v>
      </c>
      <c r="BC77" s="624">
        <f t="shared" si="51"/>
        <v>6.511306323071544</v>
      </c>
      <c r="BD77" s="624">
        <f t="shared" si="51"/>
        <v>7.1321354297299902</v>
      </c>
      <c r="BE77" s="624">
        <f t="shared" si="51"/>
        <v>6.095693324040715</v>
      </c>
      <c r="BF77" s="624">
        <f t="shared" ref="BF77" si="52">+BF75/(1-BF76)</f>
        <v>5.8730171341990332</v>
      </c>
    </row>
    <row r="78" spans="1:58" x14ac:dyDescent="0.2">
      <c r="A78" s="622"/>
      <c r="B78" s="622"/>
      <c r="C78" s="622"/>
      <c r="D78" s="622"/>
      <c r="E78" s="624"/>
      <c r="F78" s="624"/>
      <c r="G78" s="622"/>
      <c r="H78" s="622"/>
      <c r="I78" s="622"/>
      <c r="J78" s="622"/>
      <c r="K78" s="622"/>
      <c r="L78" s="622"/>
      <c r="M78" s="622"/>
      <c r="N78" s="622"/>
      <c r="O78" s="622"/>
      <c r="P78" s="622"/>
      <c r="Q78" s="622"/>
      <c r="R78" s="622"/>
      <c r="S78" s="622"/>
      <c r="T78" s="622"/>
      <c r="U78" s="622"/>
      <c r="V78" s="622"/>
      <c r="W78" s="622"/>
      <c r="X78" s="622"/>
      <c r="Y78" s="622"/>
      <c r="Z78" s="622"/>
      <c r="AA78" s="622"/>
      <c r="AB78" s="622"/>
      <c r="AC78" s="622"/>
      <c r="AD78" s="622"/>
      <c r="AE78" s="622"/>
      <c r="AF78" s="622"/>
      <c r="AG78" s="622"/>
      <c r="AH78" s="622"/>
      <c r="AI78" s="622"/>
      <c r="AJ78" s="622"/>
      <c r="AK78" s="622"/>
      <c r="AL78" s="622"/>
      <c r="AM78" s="622"/>
      <c r="AN78" s="622"/>
      <c r="AO78" s="622"/>
      <c r="AP78" s="622"/>
      <c r="AQ78" s="622"/>
      <c r="AR78" s="622"/>
      <c r="AS78" s="622"/>
      <c r="AT78" s="622"/>
      <c r="AU78" s="622"/>
      <c r="AV78" s="622"/>
      <c r="AW78" s="622"/>
      <c r="AX78" s="622"/>
      <c r="AY78" s="622"/>
      <c r="AZ78" s="622"/>
      <c r="BA78" s="622"/>
      <c r="BB78" s="622"/>
      <c r="BC78" s="622"/>
      <c r="BD78" s="622"/>
      <c r="BE78" s="622"/>
      <c r="BF78" s="622"/>
    </row>
    <row r="79" spans="1:58" x14ac:dyDescent="0.2">
      <c r="A79" s="622"/>
      <c r="B79" s="622"/>
      <c r="C79" s="622"/>
      <c r="D79" s="624"/>
      <c r="E79" s="622"/>
      <c r="F79" s="622"/>
      <c r="G79" s="622"/>
      <c r="H79" s="622"/>
      <c r="I79" s="622"/>
      <c r="J79" s="622"/>
      <c r="K79" s="622"/>
      <c r="L79" s="622"/>
      <c r="M79" s="622"/>
      <c r="N79" s="622"/>
      <c r="O79" s="622"/>
      <c r="P79" s="622"/>
      <c r="Q79" s="622"/>
      <c r="R79" s="622"/>
      <c r="S79" s="622"/>
      <c r="T79" s="622"/>
      <c r="U79" s="622"/>
      <c r="V79" s="622"/>
      <c r="W79" s="622"/>
      <c r="X79" s="622"/>
      <c r="Y79" s="622"/>
      <c r="Z79" s="622"/>
      <c r="AA79" s="622"/>
      <c r="AB79" s="622"/>
      <c r="AC79" s="622"/>
      <c r="AD79" s="622"/>
      <c r="AE79" s="622"/>
      <c r="AF79" s="622"/>
      <c r="AG79" s="622"/>
      <c r="AH79" s="622"/>
      <c r="AI79" s="622"/>
      <c r="AJ79" s="622"/>
      <c r="AK79" s="622"/>
      <c r="AL79" s="622"/>
      <c r="AM79" s="622"/>
      <c r="AN79" s="622"/>
      <c r="AO79" s="622"/>
      <c r="AP79" s="622"/>
      <c r="AQ79" s="622"/>
      <c r="AR79" s="622"/>
      <c r="AS79" s="622"/>
      <c r="AT79" s="622"/>
      <c r="AU79" s="622"/>
      <c r="AV79" s="622"/>
      <c r="AW79" s="622"/>
      <c r="AX79" s="622"/>
      <c r="AY79" s="622"/>
      <c r="AZ79" s="622"/>
      <c r="BA79" s="622"/>
      <c r="BB79" s="622"/>
      <c r="BC79" s="622"/>
      <c r="BD79" s="622"/>
      <c r="BE79" s="622"/>
      <c r="BF79" s="622"/>
    </row>
    <row r="80" spans="1:58" x14ac:dyDescent="0.2">
      <c r="A80" s="622"/>
      <c r="B80" s="376" t="s">
        <v>900</v>
      </c>
      <c r="C80" s="622">
        <f>+'ריכוז עלויות'!$B$68</f>
        <v>5.8829401268363268</v>
      </c>
      <c r="D80" s="622">
        <f>+'ריכוז עלויות'!$B$68</f>
        <v>5.8829401268363268</v>
      </c>
      <c r="E80" s="622">
        <f>+'ריכוז עלויות'!$B$68</f>
        <v>5.8829401268363268</v>
      </c>
      <c r="F80" s="624">
        <f>+'ריכוז עלויות'!$B$68</f>
        <v>5.8829401268363268</v>
      </c>
      <c r="G80" s="622">
        <f>+'ריכוז עלויות'!$B$68</f>
        <v>5.8829401268363268</v>
      </c>
      <c r="H80" s="622">
        <f>+'ריכוז עלויות'!$B$68</f>
        <v>5.8829401268363268</v>
      </c>
      <c r="I80" s="622">
        <f>+'ריכוז עלויות'!$B$68</f>
        <v>5.8829401268363268</v>
      </c>
      <c r="J80" s="622">
        <f>+'ריכוז עלויות'!$B$68</f>
        <v>5.8829401268363268</v>
      </c>
      <c r="K80" s="622">
        <f>+'ריכוז עלויות'!$B$68</f>
        <v>5.8829401268363268</v>
      </c>
      <c r="L80" s="622">
        <f>+'ריכוז עלויות'!$B$68</f>
        <v>5.8829401268363268</v>
      </c>
      <c r="M80" s="622">
        <f>+'ריכוז עלויות'!$B$68</f>
        <v>5.8829401268363268</v>
      </c>
      <c r="N80" s="622">
        <f>+'ריכוז עלויות'!$B$68</f>
        <v>5.8829401268363268</v>
      </c>
      <c r="O80" s="622">
        <f>+'ריכוז עלויות'!$B$68</f>
        <v>5.8829401268363268</v>
      </c>
      <c r="P80" s="622">
        <f>+'ריכוז עלויות'!$B$68</f>
        <v>5.8829401268363268</v>
      </c>
      <c r="Q80" s="622">
        <f>+'ריכוז עלויות'!$B$68</f>
        <v>5.8829401268363268</v>
      </c>
      <c r="R80" s="622">
        <f>+'ריכוז עלויות'!$B$68</f>
        <v>5.8829401268363268</v>
      </c>
      <c r="S80" s="622">
        <f>+'ריכוז עלויות'!$B$68</f>
        <v>5.8829401268363268</v>
      </c>
      <c r="T80" s="624">
        <f>+'ריכוז עלויות'!$B$68</f>
        <v>5.8829401268363268</v>
      </c>
      <c r="U80" s="622">
        <f>+'ריכוז עלויות'!$B$68</f>
        <v>5.8829401268363268</v>
      </c>
      <c r="V80" s="622">
        <f>+'ריכוז עלויות'!$B$68</f>
        <v>5.8829401268363268</v>
      </c>
      <c r="W80" s="622">
        <f>+'ריכוז עלויות'!$B$68</f>
        <v>5.8829401268363268</v>
      </c>
      <c r="X80" s="622">
        <f>+'ריכוז עלויות'!$B$68</f>
        <v>5.8829401268363268</v>
      </c>
      <c r="Y80" s="622">
        <f>+'ריכוז עלויות'!$B$68</f>
        <v>5.8829401268363268</v>
      </c>
      <c r="Z80" s="622">
        <f>+'ריכוז עלויות'!$B$68</f>
        <v>5.8829401268363268</v>
      </c>
      <c r="AA80" s="622">
        <f>+'ריכוז עלויות'!$B$68</f>
        <v>5.8829401268363268</v>
      </c>
      <c r="AB80" s="622">
        <f>+'ריכוז עלויות'!$B$68</f>
        <v>5.8829401268363268</v>
      </c>
      <c r="AC80" s="622">
        <f>+'ריכוז עלויות'!$B$68</f>
        <v>5.8829401268363268</v>
      </c>
      <c r="AD80" s="622">
        <f>+'ריכוז עלויות'!$B$68</f>
        <v>5.8829401268363268</v>
      </c>
      <c r="AE80" s="622">
        <f>+'ריכוז עלויות'!$B$68</f>
        <v>5.8829401268363268</v>
      </c>
      <c r="AF80" s="622">
        <f>+'ריכוז עלויות'!$B$68</f>
        <v>5.8829401268363268</v>
      </c>
      <c r="AG80" s="622">
        <f>+'ריכוז עלויות'!$B$68</f>
        <v>5.8829401268363268</v>
      </c>
      <c r="AH80" s="622">
        <f>+'ריכוז עלויות'!$B$68</f>
        <v>5.8829401268363268</v>
      </c>
      <c r="AI80" s="622">
        <f>+'ריכוז עלויות'!$B$68</f>
        <v>5.8829401268363268</v>
      </c>
      <c r="AJ80" s="622">
        <f>+'ריכוז עלויות'!$B$68</f>
        <v>5.8829401268363268</v>
      </c>
      <c r="AK80" s="622">
        <f>+'ריכוז עלויות'!$B$68</f>
        <v>5.8829401268363268</v>
      </c>
      <c r="AL80" s="622">
        <f>+'ריכוז עלויות'!$B$68</f>
        <v>5.8829401268363268</v>
      </c>
      <c r="AM80" s="622">
        <f>+'ריכוז עלויות'!$B$68</f>
        <v>5.8829401268363268</v>
      </c>
      <c r="AN80" s="622">
        <f>+'ריכוז עלויות'!$B$68</f>
        <v>5.8829401268363268</v>
      </c>
      <c r="AO80" s="622">
        <f>+'ריכוז עלויות'!$B$68</f>
        <v>5.8829401268363268</v>
      </c>
      <c r="AP80" s="622">
        <f>+'ריכוז עלויות'!$B$68</f>
        <v>5.8829401268363268</v>
      </c>
      <c r="AQ80" s="622">
        <f>+'ריכוז עלויות'!$B$68</f>
        <v>5.8829401268363268</v>
      </c>
      <c r="AR80" s="622">
        <f>+'ריכוז עלויות'!$B$68</f>
        <v>5.8829401268363268</v>
      </c>
      <c r="AS80" s="622">
        <f>+'ריכוז עלויות'!$B$68</f>
        <v>5.8829401268363268</v>
      </c>
      <c r="AT80" s="624">
        <f>+'ריכוז עלויות'!$B$68</f>
        <v>5.8829401268363268</v>
      </c>
      <c r="AU80" s="624">
        <f>+'ריכוז עלויות'!$B$68</f>
        <v>5.8829401268363268</v>
      </c>
      <c r="AV80" s="624">
        <f>+'ריכוז עלויות'!$B$68</f>
        <v>5.8829401268363268</v>
      </c>
      <c r="AW80" s="624">
        <f>+'ריכוז עלויות'!$B$68</f>
        <v>5.8829401268363268</v>
      </c>
      <c r="AX80" s="622">
        <f>+'ריכוז עלויות'!$B$68</f>
        <v>5.8829401268363268</v>
      </c>
      <c r="AY80" s="622">
        <f>+'ריכוז עלויות'!$B$68</f>
        <v>5.8829401268363268</v>
      </c>
      <c r="AZ80" s="622">
        <f>+'ריכוז עלויות'!$B$68</f>
        <v>5.8829401268363268</v>
      </c>
      <c r="BA80" s="622">
        <f>+'ריכוז עלויות'!$B$68</f>
        <v>5.8829401268363268</v>
      </c>
      <c r="BB80" s="622">
        <f>+'ריכוז עלויות'!$B$68</f>
        <v>5.8829401268363268</v>
      </c>
      <c r="BC80" s="622">
        <f>+'ריכוז עלויות'!$B$68</f>
        <v>5.8829401268363268</v>
      </c>
      <c r="BD80" s="622">
        <f>+'ריכוז עלויות'!$B$68</f>
        <v>5.8829401268363268</v>
      </c>
      <c r="BE80" s="622">
        <f>+'ריכוז עלויות'!$B$68</f>
        <v>5.8829401268363268</v>
      </c>
      <c r="BF80" s="622">
        <f>+'ריכוז עלויות'!$B$68</f>
        <v>5.8829401268363268</v>
      </c>
    </row>
    <row r="81" spans="1:58" x14ac:dyDescent="0.2">
      <c r="A81" s="622"/>
      <c r="B81" s="376" t="s">
        <v>901</v>
      </c>
      <c r="C81" s="627">
        <f>+C80-C58-(C60/(1-C20)-C60)/(1-C21)</f>
        <v>3.8424307677240588</v>
      </c>
      <c r="D81" s="627">
        <f t="shared" ref="D81:BE81" si="53">+D80-D58-(D60/(1-D20)-D60)/(1-D21)</f>
        <v>3.4469041438821137</v>
      </c>
      <c r="E81" s="627">
        <f t="shared" si="53"/>
        <v>2.8305361439340313</v>
      </c>
      <c r="F81" s="627">
        <f t="shared" si="53"/>
        <v>3.6140801196383161</v>
      </c>
      <c r="G81" s="627">
        <f t="shared" si="53"/>
        <v>4.1721693619066649</v>
      </c>
      <c r="H81" s="627">
        <f t="shared" si="53"/>
        <v>3.1475836640978767</v>
      </c>
      <c r="I81" s="627">
        <f t="shared" si="53"/>
        <v>2.9288165704618421</v>
      </c>
      <c r="J81" s="627">
        <f t="shared" si="53"/>
        <v>4.1128738328333769</v>
      </c>
      <c r="K81" s="627">
        <f t="shared" si="53"/>
        <v>3.9562685243783964</v>
      </c>
      <c r="L81" s="627">
        <f t="shared" si="53"/>
        <v>3.7926881847714826</v>
      </c>
      <c r="M81" s="627">
        <f t="shared" si="53"/>
        <v>4.0714097857430875</v>
      </c>
      <c r="N81" s="627">
        <f t="shared" si="53"/>
        <v>3.48055801344008</v>
      </c>
      <c r="O81" s="627">
        <f t="shared" si="53"/>
        <v>3.9327821102991321</v>
      </c>
      <c r="P81" s="627">
        <f t="shared" si="53"/>
        <v>2.1209324424770846</v>
      </c>
      <c r="Q81" s="627">
        <f t="shared" si="53"/>
        <v>3.8472999114911035</v>
      </c>
      <c r="R81" s="627">
        <f t="shared" si="53"/>
        <v>4.1093948686289439</v>
      </c>
      <c r="S81" s="627">
        <f t="shared" si="53"/>
        <v>3.9421458456457552</v>
      </c>
      <c r="T81" s="627">
        <f t="shared" si="53"/>
        <v>3.4037806665040695</v>
      </c>
      <c r="U81" s="627">
        <f t="shared" si="53"/>
        <v>4.0868519521116102</v>
      </c>
      <c r="V81" s="627">
        <f t="shared" si="53"/>
        <v>2.6891267540188259</v>
      </c>
      <c r="W81" s="627">
        <f t="shared" si="53"/>
        <v>3.4294991502437417</v>
      </c>
      <c r="X81" s="627">
        <f t="shared" si="53"/>
        <v>3.6263206525156098</v>
      </c>
      <c r="Y81" s="627">
        <f t="shared" si="53"/>
        <v>3.5692098655942255</v>
      </c>
      <c r="Z81" s="627">
        <f t="shared" si="53"/>
        <v>3.8656542960404638</v>
      </c>
      <c r="AA81" s="627">
        <f t="shared" si="53"/>
        <v>3.7575969003498204</v>
      </c>
      <c r="AB81" s="627">
        <f t="shared" si="53"/>
        <v>3.6431513968390452</v>
      </c>
      <c r="AC81" s="627">
        <f t="shared" si="53"/>
        <v>4.2650002564722511</v>
      </c>
      <c r="AD81" s="627">
        <f t="shared" si="53"/>
        <v>3.5749572249848969</v>
      </c>
      <c r="AE81" s="627">
        <f t="shared" si="53"/>
        <v>3.1116917214061015</v>
      </c>
      <c r="AF81" s="627">
        <f t="shared" si="53"/>
        <v>3.4812912452615308</v>
      </c>
      <c r="AG81" s="627">
        <f t="shared" si="53"/>
        <v>3.6749039207379424</v>
      </c>
      <c r="AH81" s="627">
        <f t="shared" si="53"/>
        <v>3.4072010996659747</v>
      </c>
      <c r="AI81" s="627">
        <f t="shared" si="53"/>
        <v>3.9174868591570768</v>
      </c>
      <c r="AJ81" s="627">
        <f t="shared" si="53"/>
        <v>4.1563114251629374</v>
      </c>
      <c r="AK81" s="627">
        <f t="shared" si="53"/>
        <v>4.1679968961145377</v>
      </c>
      <c r="AL81" s="627">
        <f t="shared" si="53"/>
        <v>4.2346992309901479</v>
      </c>
      <c r="AM81" s="627">
        <f t="shared" si="53"/>
        <v>3.6903400951403915</v>
      </c>
      <c r="AN81" s="627">
        <f t="shared" si="53"/>
        <v>4.1531728808246475</v>
      </c>
      <c r="AO81" s="627">
        <f t="shared" si="53"/>
        <v>3.9364691647152128</v>
      </c>
      <c r="AP81" s="627">
        <f t="shared" si="53"/>
        <v>4.1008218357980821</v>
      </c>
      <c r="AQ81" s="627">
        <f t="shared" si="53"/>
        <v>3.7079952496758555</v>
      </c>
      <c r="AR81" s="627">
        <f t="shared" si="53"/>
        <v>2.9759363434477146</v>
      </c>
      <c r="AS81" s="627">
        <f t="shared" si="53"/>
        <v>3.2857139372341506</v>
      </c>
      <c r="AT81" s="627">
        <f t="shared" si="53"/>
        <v>4.0920230286336396</v>
      </c>
      <c r="AU81" s="627">
        <f t="shared" si="53"/>
        <v>4.09104508526333</v>
      </c>
      <c r="AV81" s="627">
        <f t="shared" si="53"/>
        <v>3.0750075280309601</v>
      </c>
      <c r="AW81" s="627">
        <f t="shared" si="53"/>
        <v>3.2646896405106962</v>
      </c>
      <c r="AX81" s="627">
        <f t="shared" si="53"/>
        <v>4.2673889343303149</v>
      </c>
      <c r="AY81" s="627">
        <f t="shared" si="53"/>
        <v>3.4817744833479294</v>
      </c>
      <c r="AZ81" s="627">
        <f t="shared" si="53"/>
        <v>3.5466629844794513</v>
      </c>
      <c r="BA81" s="627">
        <f t="shared" si="53"/>
        <v>3.7649382154432631</v>
      </c>
      <c r="BB81" s="627">
        <f t="shared" si="53"/>
        <v>3.755794801553749</v>
      </c>
      <c r="BC81" s="627">
        <f t="shared" si="53"/>
        <v>3.7478099960038418</v>
      </c>
      <c r="BD81" s="627">
        <f t="shared" si="53"/>
        <v>2.7024806590594537</v>
      </c>
      <c r="BE81" s="627">
        <f t="shared" si="53"/>
        <v>3.6769641223258929</v>
      </c>
      <c r="BF81" s="627">
        <f t="shared" ref="BF81" si="54">+BF80-BF58-(BF60/(1-BF20)-BF60)/(1-BF21)</f>
        <v>4.0353322579356172</v>
      </c>
    </row>
    <row r="82" spans="1:58" s="637" customFormat="1" x14ac:dyDescent="0.2">
      <c r="A82" s="634"/>
      <c r="B82" s="635" t="s">
        <v>902</v>
      </c>
      <c r="C82" s="636">
        <f>+C81*(1-C21)</f>
        <v>3.6443403299779744</v>
      </c>
      <c r="D82" s="636">
        <f t="shared" ref="D82:BE82" si="55">+D81*(1-D21)</f>
        <v>3.2533424438754586</v>
      </c>
      <c r="E82" s="636">
        <f t="shared" si="55"/>
        <v>2.6655594017591997</v>
      </c>
      <c r="F82" s="636">
        <f t="shared" si="55"/>
        <v>3.5598689178437413</v>
      </c>
      <c r="G82" s="636">
        <f t="shared" si="55"/>
        <v>4.1095868214780644</v>
      </c>
      <c r="H82" s="636">
        <f t="shared" si="55"/>
        <v>3.1003699091364085</v>
      </c>
      <c r="I82" s="636">
        <f t="shared" si="55"/>
        <v>2.7589385359569873</v>
      </c>
      <c r="J82" s="636">
        <f t="shared" si="55"/>
        <v>4.0511807253408758</v>
      </c>
      <c r="K82" s="636">
        <f t="shared" si="55"/>
        <v>3.7445668829819891</v>
      </c>
      <c r="L82" s="636">
        <f t="shared" si="55"/>
        <v>3.7357978619999104</v>
      </c>
      <c r="M82" s="636">
        <f t="shared" si="55"/>
        <v>4.0103386389569415</v>
      </c>
      <c r="N82" s="636">
        <f t="shared" si="55"/>
        <v>3.2838871096109923</v>
      </c>
      <c r="O82" s="636">
        <f t="shared" si="55"/>
        <v>3.873790378644645</v>
      </c>
      <c r="P82" s="636">
        <f t="shared" si="55"/>
        <v>2.0260477250388411</v>
      </c>
      <c r="Q82" s="636">
        <f t="shared" si="55"/>
        <v>3.789590412818737</v>
      </c>
      <c r="R82" s="636">
        <f t="shared" si="55"/>
        <v>4.04775394559951</v>
      </c>
      <c r="S82" s="636">
        <f t="shared" si="55"/>
        <v>3.8830136579610688</v>
      </c>
      <c r="T82" s="636">
        <f t="shared" si="55"/>
        <v>3.3527239565065083</v>
      </c>
      <c r="U82" s="636">
        <f t="shared" si="55"/>
        <v>4.025549172829936</v>
      </c>
      <c r="V82" s="636">
        <f t="shared" si="55"/>
        <v>2.5441200376616875</v>
      </c>
      <c r="W82" s="636">
        <f t="shared" si="55"/>
        <v>3.2182501096862417</v>
      </c>
      <c r="X82" s="636">
        <f t="shared" si="55"/>
        <v>3.5719258427278757</v>
      </c>
      <c r="Y82" s="636">
        <f t="shared" si="55"/>
        <v>3.5156717176103123</v>
      </c>
      <c r="Z82" s="636">
        <f t="shared" si="55"/>
        <v>3.8076694815998566</v>
      </c>
      <c r="AA82" s="636">
        <f t="shared" si="55"/>
        <v>3.701232946844573</v>
      </c>
      <c r="AB82" s="636">
        <f t="shared" si="55"/>
        <v>3.5219607758120262</v>
      </c>
      <c r="AC82" s="636">
        <f t="shared" si="55"/>
        <v>4.2010252526251675</v>
      </c>
      <c r="AD82" s="636">
        <f t="shared" si="55"/>
        <v>3.5213328666101233</v>
      </c>
      <c r="AE82" s="636">
        <f t="shared" si="55"/>
        <v>3.0650163455850099</v>
      </c>
      <c r="AF82" s="636">
        <f t="shared" si="55"/>
        <v>3.4290718765826078</v>
      </c>
      <c r="AG82" s="636">
        <f t="shared" si="55"/>
        <v>3.6197803619268734</v>
      </c>
      <c r="AH82" s="636">
        <f t="shared" si="55"/>
        <v>3.2107194997288531</v>
      </c>
      <c r="AI82" s="636">
        <f t="shared" si="55"/>
        <v>3.8587245562697206</v>
      </c>
      <c r="AJ82" s="636">
        <f t="shared" si="55"/>
        <v>4.0939667537854936</v>
      </c>
      <c r="AK82" s="636">
        <f t="shared" si="55"/>
        <v>4.1054769426728193</v>
      </c>
      <c r="AL82" s="636">
        <f t="shared" si="55"/>
        <v>4.1711787425252957</v>
      </c>
      <c r="AM82" s="636">
        <f t="shared" si="55"/>
        <v>3.6349849937132857</v>
      </c>
      <c r="AN82" s="636">
        <f t="shared" si="55"/>
        <v>4.0908752876122776</v>
      </c>
      <c r="AO82" s="636">
        <f t="shared" si="55"/>
        <v>3.8774221272444844</v>
      </c>
      <c r="AP82" s="636">
        <f t="shared" si="55"/>
        <v>4.0393095082611108</v>
      </c>
      <c r="AQ82" s="636">
        <f t="shared" si="55"/>
        <v>3.6361500284823061</v>
      </c>
      <c r="AR82" s="636">
        <f t="shared" si="55"/>
        <v>2.8094067524644148</v>
      </c>
      <c r="AS82" s="636">
        <f t="shared" si="55"/>
        <v>3.1295763293803387</v>
      </c>
      <c r="AT82" s="636">
        <f t="shared" si="55"/>
        <v>3.928342107488294</v>
      </c>
      <c r="AU82" s="636">
        <f t="shared" si="55"/>
        <v>4.0296794089843804</v>
      </c>
      <c r="AV82" s="636">
        <f t="shared" si="55"/>
        <v>2.9052346258380535</v>
      </c>
      <c r="AW82" s="636">
        <f t="shared" si="55"/>
        <v>3.0778928965812895</v>
      </c>
      <c r="AX82" s="636">
        <f t="shared" si="55"/>
        <v>4.2033781003153603</v>
      </c>
      <c r="AY82" s="636">
        <f t="shared" si="55"/>
        <v>3.3244560620848818</v>
      </c>
      <c r="AZ82" s="636">
        <f t="shared" si="55"/>
        <v>3.4819997303609305</v>
      </c>
      <c r="BA82" s="636">
        <f t="shared" si="55"/>
        <v>3.5603274724898299</v>
      </c>
      <c r="BB82" s="636">
        <f t="shared" si="55"/>
        <v>3.5557467675499739</v>
      </c>
      <c r="BC82" s="636">
        <f t="shared" si="55"/>
        <v>3.5253676672320302</v>
      </c>
      <c r="BD82" s="636">
        <f t="shared" si="55"/>
        <v>2.6619434491735618</v>
      </c>
      <c r="BE82" s="636">
        <f t="shared" si="55"/>
        <v>3.6218096604910044</v>
      </c>
      <c r="BF82" s="636">
        <f t="shared" ref="BF82" si="56">+BF81*(1-BF21)</f>
        <v>3.8335656450388362</v>
      </c>
    </row>
    <row r="85" spans="1:58" x14ac:dyDescent="0.2">
      <c r="B85" s="1231" t="s">
        <v>1557</v>
      </c>
      <c r="C85" s="1232">
        <f>+C37+C45</f>
        <v>0.52378284212668769</v>
      </c>
      <c r="D85" s="1232">
        <f t="shared" ref="D85:BE85" si="57">+D37++D45</f>
        <v>0.85900569392398174</v>
      </c>
      <c r="E85" s="1232">
        <f t="shared" si="57"/>
        <v>1.3720997343890016</v>
      </c>
      <c r="F85" s="1232">
        <f t="shared" si="57"/>
        <v>1.137952284471516</v>
      </c>
      <c r="G85" s="1232">
        <f t="shared" si="57"/>
        <v>0.50432614748053717</v>
      </c>
      <c r="H85" s="1232">
        <f t="shared" si="57"/>
        <v>1.4756268891265205</v>
      </c>
      <c r="I85" s="1232">
        <f t="shared" si="57"/>
        <v>1.6968996298505541</v>
      </c>
      <c r="J85" s="1232">
        <f t="shared" si="57"/>
        <v>0.70685584203016627</v>
      </c>
      <c r="K85" s="1232">
        <f t="shared" si="57"/>
        <v>0.79486568547441083</v>
      </c>
      <c r="L85" s="1232">
        <f t="shared" si="57"/>
        <v>0.90552796286976744</v>
      </c>
      <c r="M85" s="1232">
        <f t="shared" si="57"/>
        <v>0.94886899219581289</v>
      </c>
      <c r="N85" s="1232">
        <f t="shared" si="57"/>
        <v>1.1876730441871597</v>
      </c>
      <c r="O85" s="1232">
        <f t="shared" si="57"/>
        <v>0.83927296770752557</v>
      </c>
      <c r="P85" s="1232">
        <f t="shared" si="57"/>
        <v>1.8374585128463661</v>
      </c>
      <c r="Q85" s="1232">
        <f t="shared" si="57"/>
        <v>0.99224651787530282</v>
      </c>
      <c r="R85" s="1232">
        <f t="shared" si="57"/>
        <v>0.60246300691403731</v>
      </c>
      <c r="S85" s="1232">
        <f t="shared" si="57"/>
        <v>0.76997378868778377</v>
      </c>
      <c r="T85" s="1232">
        <f t="shared" si="57"/>
        <v>1.245888456272557</v>
      </c>
      <c r="U85" s="1232">
        <f t="shared" si="57"/>
        <v>0.76813724221207957</v>
      </c>
      <c r="V85" s="1232">
        <f t="shared" si="57"/>
        <v>1.4559075845773999</v>
      </c>
      <c r="W85" s="1232">
        <f t="shared" si="57"/>
        <v>0.76315243451252712</v>
      </c>
      <c r="X85" s="1232">
        <f t="shared" si="57"/>
        <v>1.2026285329869837</v>
      </c>
      <c r="Y85" s="1232">
        <f t="shared" si="57"/>
        <v>1.5861979595367455</v>
      </c>
      <c r="Z85" s="1232">
        <f t="shared" si="57"/>
        <v>1.28332030514913</v>
      </c>
      <c r="AA85" s="1232">
        <f t="shared" si="57"/>
        <v>1.1243576828850257</v>
      </c>
      <c r="AB85" s="1232">
        <f t="shared" si="57"/>
        <v>0.4683285277290069</v>
      </c>
      <c r="AC85" s="1232">
        <f t="shared" si="57"/>
        <v>0.7566819981541828</v>
      </c>
      <c r="AD85" s="1232">
        <f t="shared" si="57"/>
        <v>0.82781467446451118</v>
      </c>
      <c r="AE85" s="1232">
        <f t="shared" si="57"/>
        <v>1.4245885284183268</v>
      </c>
      <c r="AF85" s="1232">
        <f t="shared" si="57"/>
        <v>1.0344524996528837</v>
      </c>
      <c r="AG85" s="1232">
        <f t="shared" si="57"/>
        <v>0.98250201914424273</v>
      </c>
      <c r="AH85" s="1232">
        <f t="shared" si="57"/>
        <v>1.1153783329517191</v>
      </c>
      <c r="AI85" s="1232">
        <f t="shared" si="57"/>
        <v>1.0772079361656679</v>
      </c>
      <c r="AJ85" s="1232">
        <f t="shared" si="57"/>
        <v>1.0020558086782887</v>
      </c>
      <c r="AK85" s="1232">
        <f t="shared" si="57"/>
        <v>0.8176207822851973</v>
      </c>
      <c r="AL85" s="1232">
        <f t="shared" si="57"/>
        <v>0.77429580875795156</v>
      </c>
      <c r="AM85" s="1232">
        <f t="shared" si="57"/>
        <v>1.0582177001055268</v>
      </c>
      <c r="AN85" s="1232">
        <f t="shared" si="57"/>
        <v>0.85844550073982817</v>
      </c>
      <c r="AO85" s="1232">
        <f t="shared" si="57"/>
        <v>0.81167595434846929</v>
      </c>
      <c r="AP85" s="1232">
        <f t="shared" si="57"/>
        <v>0.56486804228898246</v>
      </c>
      <c r="AQ85" s="1232">
        <f t="shared" si="57"/>
        <v>0.87019724001026866</v>
      </c>
      <c r="AR85" s="1232">
        <f t="shared" si="57"/>
        <v>1.1606429877672202</v>
      </c>
      <c r="AS85" s="1232">
        <f t="shared" si="57"/>
        <v>1.2988846060693136</v>
      </c>
      <c r="AT85" s="1232">
        <f t="shared" si="57"/>
        <v>0.81209779735947329</v>
      </c>
      <c r="AU85" s="1232">
        <f t="shared" si="57"/>
        <v>0.89760313833131644</v>
      </c>
      <c r="AV85" s="1232">
        <f t="shared" si="57"/>
        <v>1.2552512252210475</v>
      </c>
      <c r="AW85" s="1232">
        <f t="shared" si="57"/>
        <v>1.1551886955337993</v>
      </c>
      <c r="AX85" s="1232">
        <f t="shared" si="57"/>
        <v>0.61510006785744942</v>
      </c>
      <c r="AY85" s="1232">
        <f t="shared" si="57"/>
        <v>1.2429232727597008</v>
      </c>
      <c r="AZ85" s="1232">
        <f t="shared" si="57"/>
        <v>1.3433871456807949</v>
      </c>
      <c r="BA85" s="1232">
        <f t="shared" si="57"/>
        <v>0.47199396295109297</v>
      </c>
      <c r="BB85" s="1232">
        <f t="shared" si="57"/>
        <v>0.9809863169200328</v>
      </c>
      <c r="BC85" s="1232">
        <f t="shared" si="57"/>
        <v>1.4108780315490377</v>
      </c>
      <c r="BD85" s="1232">
        <f t="shared" si="57"/>
        <v>1.4295917598399002</v>
      </c>
      <c r="BE85" s="1232">
        <f t="shared" si="57"/>
        <v>0.93057113543399661</v>
      </c>
      <c r="BF85" s="1232">
        <f t="shared" ref="BF85" si="58">+BF37++BF45</f>
        <v>0.76874199331085802</v>
      </c>
    </row>
    <row r="86" spans="1:58" x14ac:dyDescent="0.2">
      <c r="B86" s="1231" t="s">
        <v>1558</v>
      </c>
      <c r="C86" s="1232">
        <f>+C38+C46</f>
        <v>0.27028723584678177</v>
      </c>
      <c r="D86" s="1232">
        <f t="shared" ref="D86:BE86" si="59">+D38+D46</f>
        <v>0.72361532601298051</v>
      </c>
      <c r="E86" s="1232">
        <f t="shared" si="59"/>
        <v>0.89179197476154326</v>
      </c>
      <c r="F86" s="1232">
        <f t="shared" si="59"/>
        <v>0.41709496107832833</v>
      </c>
      <c r="G86" s="1232">
        <f t="shared" si="59"/>
        <v>0.16096189275206413</v>
      </c>
      <c r="H86" s="1232">
        <f t="shared" si="59"/>
        <v>0.92252357329177759</v>
      </c>
      <c r="I86" s="1232">
        <f t="shared" si="59"/>
        <v>1.4347407803304719</v>
      </c>
      <c r="J86" s="1232">
        <f t="shared" si="59"/>
        <v>0.33330741258299046</v>
      </c>
      <c r="K86" s="1232">
        <f t="shared" si="59"/>
        <v>0.54021724656706849</v>
      </c>
      <c r="L86" s="1232">
        <f t="shared" si="59"/>
        <v>0.36349119756654019</v>
      </c>
      <c r="M86" s="1232">
        <f t="shared" si="59"/>
        <v>0.55930090688138123</v>
      </c>
      <c r="N86" s="1232">
        <f t="shared" si="59"/>
        <v>1.2412247147257593</v>
      </c>
      <c r="O86" s="1232">
        <f t="shared" si="59"/>
        <v>0.52800020682196869</v>
      </c>
      <c r="P86" s="1232">
        <f t="shared" si="59"/>
        <v>1.022173858702754</v>
      </c>
      <c r="Q86" s="1232">
        <f t="shared" si="59"/>
        <v>0.39954871598698338</v>
      </c>
      <c r="R86" s="1232">
        <f t="shared" si="59"/>
        <v>0.27224643301848556</v>
      </c>
      <c r="S86" s="1232">
        <f t="shared" si="59"/>
        <v>0.32152694694818029</v>
      </c>
      <c r="T86" s="1232">
        <f t="shared" si="59"/>
        <v>0.74520614071583979</v>
      </c>
      <c r="U86" s="1232">
        <f t="shared" si="59"/>
        <v>0.4379968196423859</v>
      </c>
      <c r="V86" s="1232">
        <f t="shared" si="59"/>
        <v>1.1665549194098777</v>
      </c>
      <c r="W86" s="1232">
        <f t="shared" si="59"/>
        <v>0.35184425517313017</v>
      </c>
      <c r="X86" s="1232">
        <f t="shared" si="59"/>
        <v>0.86947912708659891</v>
      </c>
      <c r="Y86" s="1232">
        <f t="shared" si="59"/>
        <v>0.98186417963251449</v>
      </c>
      <c r="Z86" s="1232">
        <f t="shared" si="59"/>
        <v>0.71319185828289</v>
      </c>
      <c r="AA86" s="1232">
        <f t="shared" si="59"/>
        <v>0.43887730722285501</v>
      </c>
      <c r="AB86" s="1232">
        <f t="shared" si="59"/>
        <v>0.21516273209554865</v>
      </c>
      <c r="AC86" s="1232">
        <f t="shared" si="59"/>
        <v>0.28434710082124859</v>
      </c>
      <c r="AD86" s="1232">
        <f t="shared" si="59"/>
        <v>0.38383240355083215</v>
      </c>
      <c r="AE86" s="1232">
        <f t="shared" si="59"/>
        <v>0.50814775893408248</v>
      </c>
      <c r="AF86" s="1232">
        <f t="shared" si="59"/>
        <v>0.59048651544546726</v>
      </c>
      <c r="AG86" s="1232">
        <f t="shared" si="59"/>
        <v>0.52444549955990594</v>
      </c>
      <c r="AH86" s="1232">
        <f t="shared" si="59"/>
        <v>0.95135749024399807</v>
      </c>
      <c r="AI86" s="1232">
        <f t="shared" si="59"/>
        <v>0.59755314496375411</v>
      </c>
      <c r="AJ86" s="1232">
        <f t="shared" si="59"/>
        <v>0.49203225116627425</v>
      </c>
      <c r="AK86" s="1232">
        <f t="shared" si="59"/>
        <v>0.28167688489934417</v>
      </c>
      <c r="AL86" s="1232">
        <f t="shared" si="59"/>
        <v>0.24561693843493482</v>
      </c>
      <c r="AM86" s="1232">
        <f t="shared" si="59"/>
        <v>0.59575395891858351</v>
      </c>
      <c r="AN86" s="1232">
        <f t="shared" si="59"/>
        <v>0.16423575415191413</v>
      </c>
      <c r="AO86" s="1232">
        <f t="shared" si="59"/>
        <v>0.23543916540321969</v>
      </c>
      <c r="AP86" s="1232">
        <f t="shared" si="59"/>
        <v>0.25211493833737852</v>
      </c>
      <c r="AQ86" s="1232">
        <f t="shared" si="59"/>
        <v>0.41169482111739242</v>
      </c>
      <c r="AR86" s="1232">
        <f t="shared" si="59"/>
        <v>1.0853388324461617</v>
      </c>
      <c r="AS86" s="1232">
        <f t="shared" si="59"/>
        <v>0.58166782167889486</v>
      </c>
      <c r="AT86" s="1232">
        <f t="shared" si="59"/>
        <v>0.41319967119850304</v>
      </c>
      <c r="AU86" s="1232">
        <f t="shared" si="59"/>
        <v>0.45837467525988707</v>
      </c>
      <c r="AV86" s="1232">
        <f t="shared" si="59"/>
        <v>1.1084592718819397</v>
      </c>
      <c r="AW86" s="1232">
        <f t="shared" si="59"/>
        <v>1.0096501860479534</v>
      </c>
      <c r="AX86" s="1232">
        <f t="shared" si="59"/>
        <v>0.27891221693704465</v>
      </c>
      <c r="AY86" s="1232">
        <f t="shared" si="59"/>
        <v>0.44595329501119313</v>
      </c>
      <c r="AZ86" s="1232">
        <f t="shared" si="59"/>
        <v>0.68813655214932967</v>
      </c>
      <c r="BA86" s="1232">
        <f t="shared" si="59"/>
        <v>0.29440962334612891</v>
      </c>
      <c r="BB86" s="1232">
        <f t="shared" si="59"/>
        <v>0.97085377763838654</v>
      </c>
      <c r="BC86" s="1232">
        <f t="shared" si="59"/>
        <v>1.2947460367288892</v>
      </c>
      <c r="BD86" s="1232">
        <f t="shared" si="59"/>
        <v>0.68607932262116056</v>
      </c>
      <c r="BE86" s="1232">
        <f t="shared" si="59"/>
        <v>0.45996977484848689</v>
      </c>
      <c r="BF86" s="1232">
        <f t="shared" ref="BF86" si="60">+BF38+BF46</f>
        <v>0.33111955008167376</v>
      </c>
    </row>
    <row r="87" spans="1:58" x14ac:dyDescent="0.2">
      <c r="B87" s="1231" t="s">
        <v>1559</v>
      </c>
      <c r="C87" s="1232">
        <f>+C39+C40+C41+C47+C48</f>
        <v>-1.0636458727223477E-3</v>
      </c>
      <c r="D87" s="1232">
        <f t="shared" ref="D87:BE87" si="61">+D39+D40+D41+D47+D48</f>
        <v>-0.13370130389933407</v>
      </c>
      <c r="E87" s="1232">
        <f t="shared" si="61"/>
        <v>-0.283501435498485</v>
      </c>
      <c r="F87" s="1232">
        <f t="shared" si="61"/>
        <v>-0.37570340303986594</v>
      </c>
      <c r="G87" s="1232">
        <f t="shared" si="61"/>
        <v>-0.22297261126119489</v>
      </c>
      <c r="H87" s="1232">
        <f t="shared" si="61"/>
        <v>-0.55581012171895416</v>
      </c>
      <c r="I87" s="1232">
        <f t="shared" si="61"/>
        <v>-0.47397067546833122</v>
      </c>
      <c r="J87" s="1232">
        <f t="shared" si="61"/>
        <v>-0.36111964709494193</v>
      </c>
      <c r="K87" s="1232">
        <f t="shared" si="61"/>
        <v>4.0358058607668501E-2</v>
      </c>
      <c r="L87" s="1232">
        <f t="shared" si="61"/>
        <v>-0.26022161058426374</v>
      </c>
      <c r="M87" s="1232">
        <f t="shared" si="61"/>
        <v>-0.34567382246857553</v>
      </c>
      <c r="N87" s="1232">
        <f t="shared" si="61"/>
        <v>4.8037969394761071E-2</v>
      </c>
      <c r="O87" s="1232">
        <f t="shared" si="61"/>
        <v>-0.29165972633060278</v>
      </c>
      <c r="P87" s="1232">
        <f t="shared" si="61"/>
        <v>-0.10697883056738411</v>
      </c>
      <c r="Q87" s="1232">
        <f t="shared" si="61"/>
        <v>-0.19664504168514252</v>
      </c>
      <c r="R87" s="1232">
        <f t="shared" si="61"/>
        <v>1.1011089981518132E-2</v>
      </c>
      <c r="S87" s="1232">
        <f t="shared" si="61"/>
        <v>-0.30891466594379768</v>
      </c>
      <c r="T87" s="1232">
        <f t="shared" si="61"/>
        <v>-0.1533792799950621</v>
      </c>
      <c r="U87" s="1232">
        <f t="shared" si="61"/>
        <v>-0.12472600945345634</v>
      </c>
      <c r="V87" s="1232">
        <f t="shared" si="61"/>
        <v>-0.18930247858818211</v>
      </c>
      <c r="W87" s="1232">
        <f t="shared" si="61"/>
        <v>-0.19847597577099546</v>
      </c>
      <c r="X87" s="1232">
        <f t="shared" si="61"/>
        <v>-0.79118456023498629</v>
      </c>
      <c r="Y87" s="1232">
        <f t="shared" si="61"/>
        <v>-0.56020146903875756</v>
      </c>
      <c r="Z87" s="1232">
        <f t="shared" si="61"/>
        <v>-0.23473247642536146</v>
      </c>
      <c r="AA87" s="1232">
        <f t="shared" si="61"/>
        <v>-0.58185669515681426</v>
      </c>
      <c r="AB87" s="1232">
        <f t="shared" si="61"/>
        <v>-0.22394500669135597</v>
      </c>
      <c r="AC87" s="1232">
        <f t="shared" si="61"/>
        <v>-0.28230504970682846</v>
      </c>
      <c r="AD87" s="1232">
        <f t="shared" si="61"/>
        <v>-0.10874432309513848</v>
      </c>
      <c r="AE87" s="1232">
        <f t="shared" si="61"/>
        <v>-0.13705395664286069</v>
      </c>
      <c r="AF87" s="1232">
        <f t="shared" si="61"/>
        <v>-2.4801539370817305E-2</v>
      </c>
      <c r="AG87" s="1232">
        <f t="shared" si="61"/>
        <v>-0.15119916348223786</v>
      </c>
      <c r="AH87" s="1232">
        <f t="shared" si="61"/>
        <v>-0.55789823208492906</v>
      </c>
      <c r="AI87" s="1232">
        <f t="shared" si="61"/>
        <v>-0.43000231402421307</v>
      </c>
      <c r="AJ87" s="1232">
        <f t="shared" si="61"/>
        <v>-3.1932023125212816E-2</v>
      </c>
      <c r="AK87" s="1232">
        <f t="shared" si="61"/>
        <v>-9.6557880738246671E-3</v>
      </c>
      <c r="AL87" s="1232">
        <f t="shared" si="61"/>
        <v>-4.6013871379793569E-2</v>
      </c>
      <c r="AM87" s="1232">
        <f t="shared" si="61"/>
        <v>-0.48315601678089792</v>
      </c>
      <c r="AN87" s="1232">
        <f t="shared" si="61"/>
        <v>-0.12057958863599141</v>
      </c>
      <c r="AO87" s="1232">
        <f t="shared" si="61"/>
        <v>-6.5321671254452277E-2</v>
      </c>
      <c r="AP87" s="1232">
        <f t="shared" si="61"/>
        <v>-0.11095482591012254</v>
      </c>
      <c r="AQ87" s="1232">
        <f t="shared" si="61"/>
        <v>-0.16516852923949679</v>
      </c>
      <c r="AR87" s="1232">
        <f t="shared" si="61"/>
        <v>-0.24689210579578558</v>
      </c>
      <c r="AS87" s="1232">
        <f t="shared" si="61"/>
        <v>-0.4063342082118046</v>
      </c>
      <c r="AT87" s="1232">
        <f t="shared" si="61"/>
        <v>5.9581275947857004E-3</v>
      </c>
      <c r="AU87" s="1232">
        <f t="shared" si="61"/>
        <v>-0.50679745771082796</v>
      </c>
      <c r="AV87" s="1232">
        <f t="shared" si="61"/>
        <v>-0.45459045510493545</v>
      </c>
      <c r="AW87" s="1232">
        <f t="shared" si="61"/>
        <v>-0.1960457713704627</v>
      </c>
      <c r="AX87" s="1232">
        <f t="shared" si="61"/>
        <v>-0.16030332508952302</v>
      </c>
      <c r="AY87" s="1232">
        <f t="shared" si="61"/>
        <v>-7.7034525816561089E-2</v>
      </c>
      <c r="AZ87" s="1232">
        <f t="shared" si="61"/>
        <v>-0.31377615914776741</v>
      </c>
      <c r="BA87" s="1232">
        <f t="shared" si="61"/>
        <v>-0.28592006241075746</v>
      </c>
      <c r="BB87" s="1232">
        <f t="shared" si="61"/>
        <v>-1.1223104904157566E-2</v>
      </c>
      <c r="BC87" s="1232">
        <f t="shared" si="61"/>
        <v>-0.36037973255193168</v>
      </c>
      <c r="BD87" s="1232">
        <f t="shared" si="61"/>
        <v>6.3773099961529633E-2</v>
      </c>
      <c r="BE87" s="1232">
        <f t="shared" si="61"/>
        <v>-0.28224885734262872</v>
      </c>
      <c r="BF87" s="1232">
        <f t="shared" ref="BF87" si="62">+BF39+BF40+BF41+BF47+BF48</f>
        <v>-0.14970775974763739</v>
      </c>
    </row>
    <row r="88" spans="1:58" x14ac:dyDescent="0.2">
      <c r="C88" s="1233">
        <f>+'[15]תעריף מוצע'!$D$315</f>
        <v>9.8319480662872909</v>
      </c>
      <c r="D88" s="1233">
        <f>+'[15]תעריף מוצע'!$D$315</f>
        <v>9.8319480662872909</v>
      </c>
      <c r="E88" s="1233">
        <f>+'[15]תעריף מוצע'!$D$315</f>
        <v>9.8319480662872909</v>
      </c>
      <c r="F88" s="1233">
        <f>+'[15]תעריף מוצע'!$D$315</f>
        <v>9.8319480662872909</v>
      </c>
    </row>
    <row r="89" spans="1:58" x14ac:dyDescent="0.2">
      <c r="C89" s="1233">
        <f>+C88-C58-C57-(C60/(1-C22)-C60)/(1-C23)</f>
        <v>9.8776622048140386</v>
      </c>
      <c r="D89" s="1233">
        <f>+D88-D58-D57-(D60/(1-D22)-D60)/(1-D23)</f>
        <v>9.7717898846834661</v>
      </c>
      <c r="E89" s="1233">
        <f>+E88-E58-E57-(E60/(1-E22)-E60)/(1-E23)</f>
        <v>7.561980925709209</v>
      </c>
      <c r="F89" s="1233">
        <f>+F88-F58-F57-(F60/(1-F22)-F60)/(1-F23)</f>
        <v>12.000261687126052</v>
      </c>
    </row>
    <row r="90" spans="1:58" x14ac:dyDescent="0.2">
      <c r="A90" s="374" t="s">
        <v>1560</v>
      </c>
      <c r="C90" s="1233">
        <f>+C89*(1-C23)</f>
        <v>9.5895058914920597</v>
      </c>
      <c r="D90" s="1233">
        <f>+D89*(1-D23)</f>
        <v>9.4867221338997769</v>
      </c>
      <c r="E90" s="1233">
        <f>+E89*(1-E23)</f>
        <v>6.971022510806506</v>
      </c>
      <c r="F90" s="1233">
        <f>+F89*(1-F23)</f>
        <v>11.153519004151807</v>
      </c>
    </row>
    <row r="92" spans="1:58" x14ac:dyDescent="0.2">
      <c r="B92" s="376" t="s">
        <v>673</v>
      </c>
      <c r="C92" s="1234">
        <f>+C33*(1-C$20)*C$15</f>
        <v>8943.3652103457807</v>
      </c>
      <c r="D92" s="1234">
        <f t="shared" ref="D92:BE98" si="63">+D33*(1-D$20)*D$15</f>
        <v>8212.583277736936</v>
      </c>
      <c r="E92" s="1234">
        <f t="shared" si="63"/>
        <v>5584.9215369895774</v>
      </c>
      <c r="F92" s="1234">
        <f t="shared" si="63"/>
        <v>51156.058320559379</v>
      </c>
      <c r="G92" s="1234">
        <f t="shared" si="63"/>
        <v>15367.176966229046</v>
      </c>
      <c r="H92" s="1234">
        <f t="shared" si="63"/>
        <v>3109.5851309126874</v>
      </c>
      <c r="I92" s="1234">
        <f t="shared" si="63"/>
        <v>4971.8041249348371</v>
      </c>
      <c r="J92" s="1234">
        <f t="shared" si="63"/>
        <v>6632.6617504688311</v>
      </c>
      <c r="K92" s="1234">
        <f t="shared" si="63"/>
        <v>4141.4598972145022</v>
      </c>
      <c r="L92" s="1234">
        <f t="shared" si="63"/>
        <v>10297.205670685064</v>
      </c>
      <c r="M92" s="1234">
        <f t="shared" si="63"/>
        <v>14917.170518321826</v>
      </c>
      <c r="N92" s="1234">
        <f t="shared" si="63"/>
        <v>8828.1198192434385</v>
      </c>
      <c r="O92" s="1234">
        <f t="shared" si="63"/>
        <v>5017.828589313488</v>
      </c>
      <c r="P92" s="1234">
        <f t="shared" si="63"/>
        <v>8457.9641374533621</v>
      </c>
      <c r="Q92" s="1234">
        <f t="shared" si="63"/>
        <v>20303.797614236846</v>
      </c>
      <c r="R92" s="1234">
        <f t="shared" si="63"/>
        <v>16385.693524827417</v>
      </c>
      <c r="S92" s="1234">
        <f t="shared" si="63"/>
        <v>20799.626967691209</v>
      </c>
      <c r="T92" s="1234">
        <f t="shared" si="63"/>
        <v>21068.4268660173</v>
      </c>
      <c r="U92" s="1234">
        <f t="shared" si="63"/>
        <v>11029.323296684417</v>
      </c>
      <c r="V92" s="1234">
        <f t="shared" si="63"/>
        <v>11996.463274188449</v>
      </c>
      <c r="W92" s="1234">
        <f t="shared" si="63"/>
        <v>9129.2768977734886</v>
      </c>
      <c r="X92" s="1234">
        <f t="shared" si="63"/>
        <v>6322.3978582061582</v>
      </c>
      <c r="Y92" s="1234">
        <f t="shared" si="63"/>
        <v>3735.2795357977402</v>
      </c>
      <c r="Z92" s="1234">
        <f t="shared" si="63"/>
        <v>4074.1188422116047</v>
      </c>
      <c r="AA92" s="1234">
        <f t="shared" si="63"/>
        <v>7269.3243031846405</v>
      </c>
      <c r="AB92" s="1234">
        <f t="shared" si="63"/>
        <v>9082.9421925222268</v>
      </c>
      <c r="AC92" s="1234">
        <f t="shared" si="63"/>
        <v>9013.1106858927214</v>
      </c>
      <c r="AD92" s="1234">
        <f t="shared" si="63"/>
        <v>5146.2819860279988</v>
      </c>
      <c r="AE92" s="1234">
        <f t="shared" si="63"/>
        <v>32410.102168158617</v>
      </c>
      <c r="AF92" s="1234">
        <f t="shared" si="63"/>
        <v>5102.263369974472</v>
      </c>
      <c r="AG92" s="1234">
        <f t="shared" si="63"/>
        <v>3930.520538180831</v>
      </c>
      <c r="AH92" s="1234">
        <f t="shared" si="63"/>
        <v>3035.4036447728663</v>
      </c>
      <c r="AI92" s="1234">
        <f t="shared" si="63"/>
        <v>3842.5272690731172</v>
      </c>
      <c r="AJ92" s="1234">
        <f t="shared" si="63"/>
        <v>2752.6612895229582</v>
      </c>
      <c r="AK92" s="1234">
        <f t="shared" si="63"/>
        <v>2448.2968375975188</v>
      </c>
      <c r="AL92" s="1234">
        <f t="shared" si="63"/>
        <v>39901.884385375961</v>
      </c>
      <c r="AM92" s="1234">
        <f t="shared" si="63"/>
        <v>5711.7090712269592</v>
      </c>
      <c r="AN92" s="1234">
        <f t="shared" si="63"/>
        <v>11549.959167639539</v>
      </c>
      <c r="AO92" s="1234">
        <f t="shared" si="63"/>
        <v>3753.5992765539158</v>
      </c>
      <c r="AP92" s="1234">
        <f t="shared" si="63"/>
        <v>8058.0293268338401</v>
      </c>
      <c r="AQ92" s="1234">
        <f t="shared" si="63"/>
        <v>5490.7543413285402</v>
      </c>
      <c r="AR92" s="1234">
        <f t="shared" si="63"/>
        <v>13106.938603205863</v>
      </c>
      <c r="AS92" s="1234">
        <f t="shared" si="63"/>
        <v>3777.2353790225043</v>
      </c>
      <c r="AT92" s="1234">
        <f t="shared" si="63"/>
        <v>2223.1343583644953</v>
      </c>
      <c r="AU92" s="1234">
        <f t="shared" si="63"/>
        <v>5099.5892366291628</v>
      </c>
      <c r="AV92" s="1234">
        <f t="shared" si="63"/>
        <v>6633.041129313965</v>
      </c>
      <c r="AW92" s="1234">
        <f t="shared" si="63"/>
        <v>7583.2759571645674</v>
      </c>
      <c r="AX92" s="1234">
        <f t="shared" si="63"/>
        <v>11633.261818752151</v>
      </c>
      <c r="AY92" s="1234">
        <f t="shared" si="63"/>
        <v>6354.8587255426728</v>
      </c>
      <c r="AZ92" s="1234">
        <f t="shared" si="63"/>
        <v>6313.6317578592898</v>
      </c>
      <c r="BA92" s="1234">
        <f t="shared" si="63"/>
        <v>4744.0278154403904</v>
      </c>
      <c r="BB92" s="1234">
        <f t="shared" si="63"/>
        <v>3773.1287674881246</v>
      </c>
      <c r="BC92" s="1234">
        <f t="shared" si="63"/>
        <v>4756.2959471268623</v>
      </c>
      <c r="BD92" s="1234">
        <f t="shared" si="63"/>
        <v>1091.0604937096607</v>
      </c>
      <c r="BE92" s="1234">
        <f t="shared" si="63"/>
        <v>1249.3454138072739</v>
      </c>
      <c r="BF92" s="1234">
        <f t="shared" ref="BF92:BF97" si="64">+BF33*(1-BF$20)*BF$15</f>
        <v>7665.5970050778278</v>
      </c>
    </row>
    <row r="93" spans="1:58" x14ac:dyDescent="0.2">
      <c r="B93" s="376" t="s">
        <v>674</v>
      </c>
      <c r="C93" s="1234">
        <f>+C34*(1-C$20)*C$15</f>
        <v>5399.1867150312592</v>
      </c>
      <c r="D93" s="1234">
        <f t="shared" si="63"/>
        <v>5372.3834308981341</v>
      </c>
      <c r="E93" s="1234">
        <f t="shared" si="63"/>
        <v>4524.0310993010416</v>
      </c>
      <c r="F93" s="1234">
        <f t="shared" si="63"/>
        <v>32340.350273854663</v>
      </c>
      <c r="G93" s="1234">
        <f t="shared" si="63"/>
        <v>13785.076261254313</v>
      </c>
      <c r="H93" s="1234">
        <f t="shared" si="63"/>
        <v>3046.2899734279567</v>
      </c>
      <c r="I93" s="1234">
        <f t="shared" si="63"/>
        <v>4835.2810269247138</v>
      </c>
      <c r="J93" s="1234">
        <f t="shared" si="63"/>
        <v>4705.9094483932467</v>
      </c>
      <c r="K93" s="1234">
        <f t="shared" si="63"/>
        <v>5345.9608196727668</v>
      </c>
      <c r="L93" s="1234">
        <f t="shared" si="63"/>
        <v>8354.4348451052883</v>
      </c>
      <c r="M93" s="1234">
        <f t="shared" si="63"/>
        <v>13178.820956375654</v>
      </c>
      <c r="N93" s="1234">
        <f t="shared" si="63"/>
        <v>9056.3209192804934</v>
      </c>
      <c r="O93" s="1234">
        <f t="shared" si="63"/>
        <v>4527.437574602417</v>
      </c>
      <c r="P93" s="1234">
        <f t="shared" si="63"/>
        <v>5765.8204582926264</v>
      </c>
      <c r="Q93" s="1234">
        <f t="shared" si="63"/>
        <v>15834.998577208222</v>
      </c>
      <c r="R93" s="1234">
        <f t="shared" si="63"/>
        <v>11939.371021941151</v>
      </c>
      <c r="S93" s="1234">
        <f t="shared" si="63"/>
        <v>11822.521677451201</v>
      </c>
      <c r="T93" s="1234">
        <f t="shared" si="63"/>
        <v>15135.92362367122</v>
      </c>
      <c r="U93" s="1234">
        <f t="shared" si="63"/>
        <v>12249.228977320854</v>
      </c>
      <c r="V93" s="1234">
        <f t="shared" si="63"/>
        <v>10654.947033567079</v>
      </c>
      <c r="W93" s="1234">
        <f t="shared" si="63"/>
        <v>6066.8391912843354</v>
      </c>
      <c r="X93" s="1234">
        <f t="shared" si="63"/>
        <v>4358.0737670666631</v>
      </c>
      <c r="Y93" s="1234">
        <f t="shared" si="63"/>
        <v>4551.4263203356277</v>
      </c>
      <c r="Z93" s="1234">
        <f t="shared" si="63"/>
        <v>3554.8435874703036</v>
      </c>
      <c r="AA93" s="1234">
        <f t="shared" si="63"/>
        <v>5719.6884825456063</v>
      </c>
      <c r="AB93" s="1234">
        <f t="shared" si="63"/>
        <v>7985.1108561634319</v>
      </c>
      <c r="AC93" s="1234">
        <f t="shared" si="63"/>
        <v>7653.4132768703857</v>
      </c>
      <c r="AD93" s="1234">
        <f t="shared" si="63"/>
        <v>3770.3532766270869</v>
      </c>
      <c r="AE93" s="1234">
        <f t="shared" si="63"/>
        <v>21277.467144220871</v>
      </c>
      <c r="AF93" s="1234">
        <f t="shared" si="63"/>
        <v>4829.9658202968876</v>
      </c>
      <c r="AG93" s="1234">
        <f t="shared" si="63"/>
        <v>2848.9881690687275</v>
      </c>
      <c r="AH93" s="1234">
        <f t="shared" si="63"/>
        <v>1989.0461739683506</v>
      </c>
      <c r="AI93" s="1234">
        <f t="shared" si="63"/>
        <v>4457.3081160944967</v>
      </c>
      <c r="AJ93" s="1234">
        <f t="shared" si="63"/>
        <v>3330.3251631145849</v>
      </c>
      <c r="AK93" s="1234">
        <f t="shared" si="63"/>
        <v>1993.7198911041937</v>
      </c>
      <c r="AL93" s="1234">
        <f t="shared" si="63"/>
        <v>29144.415298299169</v>
      </c>
      <c r="AM93" s="1234">
        <f t="shared" si="63"/>
        <v>5029.7632392577052</v>
      </c>
      <c r="AN93" s="1234">
        <f t="shared" si="63"/>
        <v>7299.9065252932987</v>
      </c>
      <c r="AO93" s="1234">
        <f t="shared" si="63"/>
        <v>2400.6301096360007</v>
      </c>
      <c r="AP93" s="1234">
        <f t="shared" si="63"/>
        <v>5716.2113306008323</v>
      </c>
      <c r="AQ93" s="1234">
        <f t="shared" si="63"/>
        <v>3187.7760208577897</v>
      </c>
      <c r="AR93" s="1234">
        <f t="shared" si="63"/>
        <v>11543.818543648251</v>
      </c>
      <c r="AS93" s="1234">
        <f t="shared" si="63"/>
        <v>3632.2289720392873</v>
      </c>
      <c r="AT93" s="1234">
        <f t="shared" si="63"/>
        <v>2347.9633344443309</v>
      </c>
      <c r="AU93" s="1234">
        <f t="shared" si="63"/>
        <v>3768.8505280893733</v>
      </c>
      <c r="AV93" s="1234">
        <f t="shared" si="63"/>
        <v>4802.8799320935195</v>
      </c>
      <c r="AW93" s="1234">
        <f t="shared" si="63"/>
        <v>5726.1940357002004</v>
      </c>
      <c r="AX93" s="1234">
        <f t="shared" si="63"/>
        <v>9809.9948184282875</v>
      </c>
      <c r="AY93" s="1234">
        <f t="shared" si="63"/>
        <v>6042.1160460301589</v>
      </c>
      <c r="AZ93" s="1234">
        <f t="shared" si="63"/>
        <v>5219.630171956549</v>
      </c>
      <c r="BA93" s="1234">
        <f t="shared" si="63"/>
        <v>3646.932336225072</v>
      </c>
      <c r="BB93" s="1234">
        <f t="shared" si="63"/>
        <v>4196.3775916536933</v>
      </c>
      <c r="BC93" s="1234">
        <f t="shared" si="63"/>
        <v>8968.6339217787827</v>
      </c>
      <c r="BD93" s="1234">
        <f t="shared" si="63"/>
        <v>820.91391092755327</v>
      </c>
      <c r="BE93" s="1234">
        <f t="shared" si="63"/>
        <v>939.88422034219252</v>
      </c>
      <c r="BF93" s="1234">
        <f t="shared" si="64"/>
        <v>9891.3332237972736</v>
      </c>
    </row>
    <row r="94" spans="1:58" x14ac:dyDescent="0.2">
      <c r="B94" s="622"/>
      <c r="C94" s="1234"/>
      <c r="D94" s="1234"/>
      <c r="E94" s="1234"/>
      <c r="F94" s="1234"/>
      <c r="G94" s="1234"/>
      <c r="H94" s="1234"/>
      <c r="I94" s="1234"/>
      <c r="J94" s="1234"/>
      <c r="K94" s="1234"/>
      <c r="L94" s="1234"/>
      <c r="M94" s="1234"/>
      <c r="N94" s="1234"/>
      <c r="O94" s="1234"/>
      <c r="P94" s="1234"/>
      <c r="Q94" s="1234"/>
      <c r="R94" s="1234"/>
      <c r="S94" s="1234"/>
      <c r="T94" s="1234"/>
      <c r="U94" s="1234"/>
      <c r="V94" s="1234"/>
      <c r="W94" s="1234"/>
      <c r="X94" s="1234"/>
      <c r="Y94" s="1234"/>
      <c r="Z94" s="1234"/>
      <c r="AA94" s="1234"/>
      <c r="AB94" s="1234"/>
      <c r="AC94" s="1234"/>
      <c r="AD94" s="1234"/>
      <c r="AE94" s="1234"/>
      <c r="AF94" s="1234"/>
      <c r="AG94" s="1234"/>
      <c r="AH94" s="1234"/>
      <c r="AI94" s="1234"/>
      <c r="AJ94" s="1234"/>
      <c r="AK94" s="1234"/>
      <c r="AL94" s="1234"/>
      <c r="AM94" s="1234"/>
      <c r="AN94" s="1234"/>
      <c r="AO94" s="1234"/>
      <c r="AP94" s="1234"/>
      <c r="AQ94" s="1234"/>
      <c r="AR94" s="1234"/>
      <c r="AS94" s="1234"/>
      <c r="AT94" s="1234"/>
      <c r="AU94" s="1234"/>
      <c r="AV94" s="1234"/>
      <c r="AW94" s="1234"/>
      <c r="AX94" s="1234"/>
      <c r="AY94" s="1234"/>
      <c r="AZ94" s="1234"/>
      <c r="BA94" s="1234"/>
      <c r="BB94" s="1234"/>
      <c r="BC94" s="1234"/>
      <c r="BD94" s="1234"/>
      <c r="BE94" s="1234"/>
      <c r="BF94" s="1234"/>
    </row>
    <row r="95" spans="1:58" x14ac:dyDescent="0.2">
      <c r="B95" s="622"/>
      <c r="C95" s="1234"/>
      <c r="D95" s="1234"/>
      <c r="E95" s="1234"/>
      <c r="F95" s="1234"/>
      <c r="G95" s="1234"/>
      <c r="H95" s="1234"/>
      <c r="I95" s="1234"/>
      <c r="J95" s="1234"/>
      <c r="K95" s="1234"/>
      <c r="L95" s="1234"/>
      <c r="M95" s="1234"/>
      <c r="N95" s="1234"/>
      <c r="O95" s="1234"/>
      <c r="P95" s="1234"/>
      <c r="Q95" s="1234"/>
      <c r="R95" s="1234"/>
      <c r="S95" s="1234"/>
      <c r="T95" s="1234"/>
      <c r="U95" s="1234"/>
      <c r="V95" s="1234"/>
      <c r="W95" s="1234"/>
      <c r="X95" s="1234"/>
      <c r="Y95" s="1234"/>
      <c r="Z95" s="1234"/>
      <c r="AA95" s="1234"/>
      <c r="AB95" s="1234"/>
      <c r="AC95" s="1234"/>
      <c r="AD95" s="1234"/>
      <c r="AE95" s="1234"/>
      <c r="AF95" s="1234"/>
      <c r="AG95" s="1234"/>
      <c r="AH95" s="1234"/>
      <c r="AI95" s="1234"/>
      <c r="AJ95" s="1234"/>
      <c r="AK95" s="1234"/>
      <c r="AL95" s="1234"/>
      <c r="AM95" s="1234"/>
      <c r="AN95" s="1234"/>
      <c r="AO95" s="1234"/>
      <c r="AP95" s="1234"/>
      <c r="AQ95" s="1234"/>
      <c r="AR95" s="1234"/>
      <c r="AS95" s="1234"/>
      <c r="AT95" s="1234"/>
      <c r="AU95" s="1234"/>
      <c r="AV95" s="1234"/>
      <c r="AW95" s="1234"/>
      <c r="AX95" s="1234"/>
      <c r="AY95" s="1234"/>
      <c r="AZ95" s="1234"/>
      <c r="BA95" s="1234"/>
      <c r="BB95" s="1234"/>
      <c r="BC95" s="1234"/>
      <c r="BD95" s="1234"/>
      <c r="BE95" s="1234"/>
      <c r="BF95" s="1234"/>
    </row>
    <row r="96" spans="1:58" x14ac:dyDescent="0.2">
      <c r="B96" s="376" t="s">
        <v>842</v>
      </c>
      <c r="C96" s="1234">
        <f t="shared" ref="C96:C102" si="65">+C37*(1-C$20)*C$15</f>
        <v>2765.5854695298626</v>
      </c>
      <c r="D96" s="1234">
        <f t="shared" si="63"/>
        <v>3267.2036154721941</v>
      </c>
      <c r="E96" s="1234">
        <f t="shared" si="63"/>
        <v>2276.0359817460262</v>
      </c>
      <c r="F96" s="1234">
        <f t="shared" si="63"/>
        <v>30998.318295651978</v>
      </c>
      <c r="G96" s="1234">
        <f t="shared" si="63"/>
        <v>3478.956822057673</v>
      </c>
      <c r="H96" s="1234">
        <f t="shared" si="63"/>
        <v>1191.0461240511438</v>
      </c>
      <c r="I96" s="1234">
        <f t="shared" si="63"/>
        <v>2467.5480862556028</v>
      </c>
      <c r="J96" s="1234">
        <f t="shared" si="63"/>
        <v>2508.6190825201334</v>
      </c>
      <c r="K96" s="1234">
        <f t="shared" si="63"/>
        <v>1199.0135576424009</v>
      </c>
      <c r="L96" s="1234">
        <f t="shared" si="63"/>
        <v>3776.3002968666638</v>
      </c>
      <c r="M96" s="1234">
        <f t="shared" si="63"/>
        <v>6346.2192391114268</v>
      </c>
      <c r="N96" s="1234">
        <f t="shared" si="63"/>
        <v>3731.9890702425923</v>
      </c>
      <c r="O96" s="1234">
        <f t="shared" si="63"/>
        <v>2334.7657139938101</v>
      </c>
      <c r="P96" s="1234">
        <f t="shared" si="63"/>
        <v>4322.6487867592305</v>
      </c>
      <c r="Q96" s="1234">
        <f t="shared" si="63"/>
        <v>7566.7243731498211</v>
      </c>
      <c r="R96" s="1234">
        <f t="shared" si="63"/>
        <v>4655.7250210616685</v>
      </c>
      <c r="S96" s="1234">
        <f t="shared" si="63"/>
        <v>7223.7770595819638</v>
      </c>
      <c r="T96" s="1234">
        <f t="shared" si="63"/>
        <v>12557.034650570637</v>
      </c>
      <c r="U96" s="1234">
        <f t="shared" si="63"/>
        <v>2427.0842189510927</v>
      </c>
      <c r="V96" s="1234">
        <f t="shared" si="63"/>
        <v>4988.2374116462488</v>
      </c>
      <c r="W96" s="1234">
        <f t="shared" si="63"/>
        <v>2757.0559455946677</v>
      </c>
      <c r="X96" s="1234">
        <f t="shared" si="63"/>
        <v>3507.1285236906292</v>
      </c>
      <c r="Y96" s="1234">
        <f t="shared" si="63"/>
        <v>1655.5806413565679</v>
      </c>
      <c r="Z96" s="1234">
        <f t="shared" si="63"/>
        <v>1695.0793606782693</v>
      </c>
      <c r="AA96" s="1234">
        <f t="shared" si="63"/>
        <v>3839.5691489711353</v>
      </c>
      <c r="AB96" s="1234">
        <f t="shared" si="63"/>
        <v>1389.9294450809653</v>
      </c>
      <c r="AC96" s="1234">
        <f t="shared" si="63"/>
        <v>3305.5741042071354</v>
      </c>
      <c r="AD96" s="1234">
        <f t="shared" si="63"/>
        <v>2095.234815497703</v>
      </c>
      <c r="AE96" s="1234">
        <f t="shared" si="63"/>
        <v>14550.288656575211</v>
      </c>
      <c r="AF96" s="1234">
        <f t="shared" si="63"/>
        <v>2719.2499798314484</v>
      </c>
      <c r="AG96" s="1234">
        <f t="shared" si="63"/>
        <v>1728.6343755490623</v>
      </c>
      <c r="AH96" s="1234">
        <f t="shared" si="63"/>
        <v>1553.1444576258355</v>
      </c>
      <c r="AI96" s="1234">
        <f t="shared" si="63"/>
        <v>1555.4640570633069</v>
      </c>
      <c r="AJ96" s="1234">
        <f t="shared" si="63"/>
        <v>776.63171498466204</v>
      </c>
      <c r="AK96" s="1234">
        <f t="shared" si="63"/>
        <v>785.68350490798207</v>
      </c>
      <c r="AL96" s="1234">
        <f t="shared" si="63"/>
        <v>13401.707245979216</v>
      </c>
      <c r="AM96" s="1234">
        <f t="shared" si="63"/>
        <v>2943.6559006078655</v>
      </c>
      <c r="AN96" s="1234">
        <f t="shared" si="63"/>
        <v>4290.2132948355265</v>
      </c>
      <c r="AO96" s="1234">
        <f t="shared" si="63"/>
        <v>1532.5495779193593</v>
      </c>
      <c r="AP96" s="1234">
        <f t="shared" si="63"/>
        <v>2879.0663614193904</v>
      </c>
      <c r="AQ96" s="1234">
        <f t="shared" si="63"/>
        <v>2278.2657657139825</v>
      </c>
      <c r="AR96" s="1234">
        <f t="shared" si="63"/>
        <v>4526.1404474510236</v>
      </c>
      <c r="AS96" s="1234">
        <f t="shared" si="63"/>
        <v>1953.8419318246818</v>
      </c>
      <c r="AT96" s="1234">
        <f t="shared" si="63"/>
        <v>629.99985799572937</v>
      </c>
      <c r="AU96" s="1234">
        <f t="shared" si="63"/>
        <v>1495.6693538306665</v>
      </c>
      <c r="AV96" s="1234">
        <f t="shared" si="63"/>
        <v>2799.2961595566826</v>
      </c>
      <c r="AW96" s="1234">
        <f t="shared" si="63"/>
        <v>3102.7823984496968</v>
      </c>
      <c r="AX96" s="1234">
        <f t="shared" si="63"/>
        <v>2598.8941869333207</v>
      </c>
      <c r="AY96" s="1234">
        <f t="shared" si="63"/>
        <v>3056.0406338668972</v>
      </c>
      <c r="AZ96" s="1234">
        <f t="shared" si="63"/>
        <v>3030.2908578352244</v>
      </c>
      <c r="BA96" s="1234">
        <f t="shared" si="63"/>
        <v>1523.2377090978191</v>
      </c>
      <c r="BB96" s="1234">
        <f t="shared" si="63"/>
        <v>1531.9568022716066</v>
      </c>
      <c r="BC96" s="1234">
        <f t="shared" si="63"/>
        <v>2437.4527263912782</v>
      </c>
      <c r="BD96" s="1234">
        <f t="shared" si="63"/>
        <v>820.83644071333333</v>
      </c>
      <c r="BE96" s="1234">
        <f t="shared" si="63"/>
        <v>542.16014935440239</v>
      </c>
      <c r="BF96" s="1234">
        <f t="shared" si="64"/>
        <v>2752.6660220919966</v>
      </c>
    </row>
    <row r="97" spans="2:58" x14ac:dyDescent="0.2">
      <c r="B97" s="376" t="s">
        <v>870</v>
      </c>
      <c r="C97" s="1234">
        <f t="shared" si="65"/>
        <v>2174.8553022684732</v>
      </c>
      <c r="D97" s="1234">
        <f t="shared" si="63"/>
        <v>2969.4184585439652</v>
      </c>
      <c r="E97" s="1234">
        <f t="shared" si="63"/>
        <v>1543.7110948510647</v>
      </c>
      <c r="F97" s="1234">
        <f t="shared" si="63"/>
        <v>12135.051417121844</v>
      </c>
      <c r="G97" s="1234">
        <f t="shared" si="63"/>
        <v>1371.2306719973085</v>
      </c>
      <c r="H97" s="1234">
        <f t="shared" si="63"/>
        <v>741.87582719798036</v>
      </c>
      <c r="I97" s="1234">
        <f t="shared" si="63"/>
        <v>2089.4408115412816</v>
      </c>
      <c r="J97" s="1234">
        <f t="shared" si="63"/>
        <v>1458.6090081174582</v>
      </c>
      <c r="K97" s="1234">
        <f t="shared" si="63"/>
        <v>740.80939314225236</v>
      </c>
      <c r="L97" s="1234">
        <f t="shared" si="63"/>
        <v>1773.9894183256004</v>
      </c>
      <c r="M97" s="1234">
        <f t="shared" si="63"/>
        <v>3570.9134355194451</v>
      </c>
      <c r="N97" s="1234">
        <f t="shared" si="63"/>
        <v>3488.5729331088769</v>
      </c>
      <c r="O97" s="1234">
        <f t="shared" si="63"/>
        <v>1520.5427167856087</v>
      </c>
      <c r="P97" s="1234">
        <f t="shared" si="63"/>
        <v>2355.9219742932455</v>
      </c>
      <c r="Q97" s="1234">
        <f t="shared" si="63"/>
        <v>2689.3290734469879</v>
      </c>
      <c r="R97" s="1234">
        <f t="shared" si="63"/>
        <v>2345.3938316830031</v>
      </c>
      <c r="S97" s="1234">
        <f t="shared" si="63"/>
        <v>3198.2385983836034</v>
      </c>
      <c r="T97" s="1234">
        <f t="shared" si="63"/>
        <v>6709.0835859506187</v>
      </c>
      <c r="U97" s="1234">
        <f t="shared" si="63"/>
        <v>1748.8388769025494</v>
      </c>
      <c r="V97" s="1234">
        <f t="shared" si="63"/>
        <v>3868.1397608649727</v>
      </c>
      <c r="W97" s="1234">
        <f t="shared" si="63"/>
        <v>1479.8930615670251</v>
      </c>
      <c r="X97" s="1234">
        <f t="shared" si="63"/>
        <v>2708.7170614520537</v>
      </c>
      <c r="Y97" s="1234">
        <f t="shared" si="63"/>
        <v>908.38718772595132</v>
      </c>
      <c r="Z97" s="1234">
        <f t="shared" si="63"/>
        <v>878.09250533059674</v>
      </c>
      <c r="AA97" s="1234">
        <f t="shared" si="63"/>
        <v>2083.4120424108701</v>
      </c>
      <c r="AB97" s="1234">
        <f t="shared" si="63"/>
        <v>695.63647529126968</v>
      </c>
      <c r="AC97" s="1234">
        <f t="shared" si="63"/>
        <v>1126.6326357863138</v>
      </c>
      <c r="AD97" s="1234">
        <f t="shared" si="63"/>
        <v>1053.0185723530999</v>
      </c>
      <c r="AE97" s="1234">
        <f t="shared" si="63"/>
        <v>5993.4210227865733</v>
      </c>
      <c r="AF97" s="1234">
        <f t="shared" si="63"/>
        <v>1844.0187868760306</v>
      </c>
      <c r="AG97" s="1234">
        <f t="shared" si="63"/>
        <v>985.13882767519817</v>
      </c>
      <c r="AH97" s="1234">
        <f t="shared" si="63"/>
        <v>1183.7931318376236</v>
      </c>
      <c r="AI97" s="1234">
        <f t="shared" si="63"/>
        <v>928.22656700690845</v>
      </c>
      <c r="AJ97" s="1234">
        <f t="shared" si="63"/>
        <v>485.13102621300544</v>
      </c>
      <c r="AK97" s="1234">
        <f t="shared" si="63"/>
        <v>263.41614701538833</v>
      </c>
      <c r="AL97" s="1234">
        <f t="shared" si="63"/>
        <v>2048.787093149585</v>
      </c>
      <c r="AM97" s="1234">
        <f t="shared" si="63"/>
        <v>1617.765170407981</v>
      </c>
      <c r="AN97" s="1234">
        <f t="shared" si="63"/>
        <v>1139.1572948712087</v>
      </c>
      <c r="AO97" s="1234">
        <f t="shared" si="63"/>
        <v>615.36900910749762</v>
      </c>
      <c r="AP97" s="1234">
        <f t="shared" si="63"/>
        <v>1634.3067866360188</v>
      </c>
      <c r="AQ97" s="1234">
        <f t="shared" si="63"/>
        <v>1228.0436157368031</v>
      </c>
      <c r="AR97" s="1234">
        <f t="shared" si="63"/>
        <v>4106.9425307239308</v>
      </c>
      <c r="AS97" s="1234">
        <f t="shared" si="63"/>
        <v>977.46265797288561</v>
      </c>
      <c r="AT97" s="1234">
        <f t="shared" si="63"/>
        <v>348.27283755680929</v>
      </c>
      <c r="AU97" s="1234">
        <f t="shared" si="63"/>
        <v>788.95669934978537</v>
      </c>
      <c r="AV97" s="1234">
        <f t="shared" si="63"/>
        <v>2329.4926109016787</v>
      </c>
      <c r="AW97" s="1234">
        <f t="shared" si="63"/>
        <v>2337.279999161703</v>
      </c>
      <c r="AX97" s="1234">
        <f t="shared" si="63"/>
        <v>759.38178283209584</v>
      </c>
      <c r="AY97" s="1234">
        <f t="shared" si="63"/>
        <v>1280.8082123427707</v>
      </c>
      <c r="AZ97" s="1234">
        <f t="shared" si="63"/>
        <v>1749.8947186828957</v>
      </c>
      <c r="BA97" s="1234">
        <f t="shared" si="63"/>
        <v>1169.1750334223814</v>
      </c>
      <c r="BB97" s="1234">
        <f t="shared" si="63"/>
        <v>1398.3865941388628</v>
      </c>
      <c r="BC97" s="1234">
        <f t="shared" si="63"/>
        <v>1855.6580416364475</v>
      </c>
      <c r="BD97" s="1234">
        <f t="shared" si="63"/>
        <v>460.3768910961951</v>
      </c>
      <c r="BE97" s="1234">
        <f t="shared" si="63"/>
        <v>263.39892462378089</v>
      </c>
      <c r="BF97" s="1234">
        <f t="shared" si="64"/>
        <v>1149.7704683559336</v>
      </c>
    </row>
    <row r="98" spans="2:58" x14ac:dyDescent="0.2">
      <c r="B98" s="376" t="s">
        <v>873</v>
      </c>
      <c r="C98" s="1234">
        <f t="shared" si="65"/>
        <v>1304.9131813610848</v>
      </c>
      <c r="D98" s="1234">
        <f t="shared" si="63"/>
        <v>1781.6510751263793</v>
      </c>
      <c r="E98" s="1234">
        <f t="shared" si="63"/>
        <v>1157.783321138299</v>
      </c>
      <c r="F98" s="1234">
        <f t="shared" si="63"/>
        <v>9101.288562841386</v>
      </c>
      <c r="G98" s="1234">
        <f t="shared" si="63"/>
        <v>1028.4230039979816</v>
      </c>
      <c r="H98" s="1234">
        <f t="shared" si="63"/>
        <v>556.40687039848535</v>
      </c>
      <c r="I98" s="1234">
        <f t="shared" si="63"/>
        <v>1253.6644869247696</v>
      </c>
      <c r="J98" s="1234">
        <f t="shared" si="63"/>
        <v>1093.9567560880937</v>
      </c>
      <c r="K98" s="1234">
        <f t="shared" si="63"/>
        <v>555.60704485668941</v>
      </c>
      <c r="L98" s="1234">
        <f t="shared" si="63"/>
        <v>1330.4920637442008</v>
      </c>
      <c r="M98" s="1234">
        <f t="shared" si="63"/>
        <v>2678.1850766395846</v>
      </c>
      <c r="N98" s="1234">
        <f t="shared" si="63"/>
        <v>2093.143759865326</v>
      </c>
      <c r="O98" s="1234">
        <f t="shared" si="63"/>
        <v>1140.4070375892068</v>
      </c>
      <c r="P98" s="1234">
        <f t="shared" si="63"/>
        <v>1766.9414807199346</v>
      </c>
      <c r="Q98" s="1234">
        <f t="shared" si="63"/>
        <v>2016.9968050852415</v>
      </c>
      <c r="R98" s="1234">
        <f t="shared" si="63"/>
        <v>1759.0453737622533</v>
      </c>
      <c r="S98" s="1234">
        <f t="shared" si="63"/>
        <v>2398.678948787704</v>
      </c>
      <c r="T98" s="1234">
        <f t="shared" si="63"/>
        <v>5031.8126894629668</v>
      </c>
      <c r="U98" s="1234">
        <f t="shared" si="63"/>
        <v>1311.6291576769122</v>
      </c>
      <c r="V98" s="1234">
        <f t="shared" si="63"/>
        <v>2320.8838565189844</v>
      </c>
      <c r="W98" s="1234">
        <f t="shared" si="63"/>
        <v>1109.9197961752693</v>
      </c>
      <c r="X98" s="1234">
        <f t="shared" si="63"/>
        <v>2031.5377960890416</v>
      </c>
      <c r="Y98" s="1234">
        <f t="shared" si="63"/>
        <v>681.29039079446375</v>
      </c>
      <c r="Z98" s="1234">
        <f t="shared" si="63"/>
        <v>658.56937899794775</v>
      </c>
      <c r="AA98" s="1234">
        <f t="shared" si="63"/>
        <v>1562.5590318081531</v>
      </c>
      <c r="AB98" s="1234">
        <f t="shared" si="63"/>
        <v>521.7273564684524</v>
      </c>
      <c r="AC98" s="1234">
        <f t="shared" si="63"/>
        <v>844.97447683973576</v>
      </c>
      <c r="AD98" s="1234">
        <f t="shared" si="63"/>
        <v>789.76392926482515</v>
      </c>
      <c r="AE98" s="1234">
        <f t="shared" si="63"/>
        <v>4495.0657670899318</v>
      </c>
      <c r="AF98" s="1234">
        <f t="shared" si="63"/>
        <v>1383.0140901570237</v>
      </c>
      <c r="AG98" s="1234">
        <f t="shared" si="63"/>
        <v>738.85412075639897</v>
      </c>
      <c r="AH98" s="1234">
        <f t="shared" si="63"/>
        <v>710.27587910257444</v>
      </c>
      <c r="AI98" s="1234">
        <f t="shared" si="63"/>
        <v>696.1699252551814</v>
      </c>
      <c r="AJ98" s="1234">
        <f t="shared" si="63"/>
        <v>363.84826965975412</v>
      </c>
      <c r="AK98" s="1234">
        <f t="shared" si="63"/>
        <v>197.56211026154133</v>
      </c>
      <c r="AL98" s="1234">
        <f t="shared" si="63"/>
        <v>1536.5903198621891</v>
      </c>
      <c r="AM98" s="1234">
        <f t="shared" si="63"/>
        <v>1213.3238778059861</v>
      </c>
      <c r="AN98" s="1234">
        <f t="shared" si="63"/>
        <v>854.36797115340698</v>
      </c>
      <c r="AO98" s="1234">
        <f t="shared" si="63"/>
        <v>461.52675683062324</v>
      </c>
      <c r="AP98" s="1234">
        <f t="shared" si="63"/>
        <v>1225.7300899770148</v>
      </c>
      <c r="AQ98" s="1234">
        <f t="shared" ref="D98:BE102" si="66">+AQ39*(1-AQ$20)*AQ$15</f>
        <v>921.03271180260265</v>
      </c>
      <c r="AR98" s="1234">
        <f t="shared" si="66"/>
        <v>2464.165518434359</v>
      </c>
      <c r="AS98" s="1234">
        <f t="shared" si="66"/>
        <v>733.09699347966443</v>
      </c>
      <c r="AT98" s="1234">
        <f t="shared" si="66"/>
        <v>261.2046281676071</v>
      </c>
      <c r="AU98" s="1234">
        <f t="shared" si="66"/>
        <v>591.7175245123392</v>
      </c>
      <c r="AV98" s="1234">
        <f t="shared" si="66"/>
        <v>1397.6955665410078</v>
      </c>
      <c r="AW98" s="1234">
        <f t="shared" si="66"/>
        <v>1402.3679994970223</v>
      </c>
      <c r="AX98" s="1234">
        <f t="shared" si="66"/>
        <v>569.53633712407202</v>
      </c>
      <c r="AY98" s="1234">
        <f t="shared" si="66"/>
        <v>960.60615925707816</v>
      </c>
      <c r="AZ98" s="1234">
        <f t="shared" si="66"/>
        <v>1312.4210390121723</v>
      </c>
      <c r="BA98" s="1234">
        <f t="shared" si="66"/>
        <v>701.50502005342901</v>
      </c>
      <c r="BB98" s="1234">
        <f t="shared" si="66"/>
        <v>839.0319564833178</v>
      </c>
      <c r="BC98" s="1234">
        <f t="shared" si="66"/>
        <v>1113.3948249818686</v>
      </c>
      <c r="BD98" s="1234">
        <f t="shared" si="66"/>
        <v>345.28266832214638</v>
      </c>
      <c r="BE98" s="1234">
        <f t="shared" si="66"/>
        <v>197.54919346783578</v>
      </c>
      <c r="BF98" s="1234">
        <f t="shared" ref="BF98" si="67">+BF39*(1-BF$20)*BF$15</f>
        <v>862.32785126695035</v>
      </c>
    </row>
    <row r="99" spans="2:58" x14ac:dyDescent="0.2">
      <c r="B99" s="376" t="s">
        <v>876</v>
      </c>
      <c r="C99" s="1234">
        <f t="shared" si="65"/>
        <v>-2142.8397810001934</v>
      </c>
      <c r="D99" s="1234">
        <f t="shared" si="66"/>
        <v>-2805.2382387509897</v>
      </c>
      <c r="E99" s="1234">
        <f t="shared" si="66"/>
        <v>-1810.6206087718472</v>
      </c>
      <c r="F99" s="1234">
        <f t="shared" si="66"/>
        <v>-26974.042979456019</v>
      </c>
      <c r="G99" s="1234">
        <f t="shared" si="66"/>
        <v>-4480.4633416409324</v>
      </c>
      <c r="H99" s="1234">
        <f t="shared" si="66"/>
        <v>-1036.6045506875478</v>
      </c>
      <c r="I99" s="1234">
        <f t="shared" si="66"/>
        <v>-1826.9222875635712</v>
      </c>
      <c r="J99" s="1234">
        <f t="shared" si="66"/>
        <v>-2809.6166963204973</v>
      </c>
      <c r="K99" s="1234">
        <f t="shared" si="66"/>
        <v>-1109.5388011543598</v>
      </c>
      <c r="L99" s="1234">
        <f t="shared" si="66"/>
        <v>-3998.113904251963</v>
      </c>
      <c r="M99" s="1234">
        <f t="shared" si="66"/>
        <v>-6252.0423212853502</v>
      </c>
      <c r="N99" s="1234">
        <f t="shared" si="66"/>
        <v>-2942.1304220964512</v>
      </c>
      <c r="O99" s="1234">
        <f t="shared" si="66"/>
        <v>-1814.4049839033582</v>
      </c>
      <c r="P99" s="1234">
        <f t="shared" si="66"/>
        <v>-2287.2863814010029</v>
      </c>
      <c r="Q99" s="1234">
        <f t="shared" si="66"/>
        <v>-4972.8045845271054</v>
      </c>
      <c r="R99" s="1234">
        <f t="shared" si="66"/>
        <v>-4668.1575855777282</v>
      </c>
      <c r="S99" s="1234">
        <f t="shared" si="66"/>
        <v>-7593.1770741874243</v>
      </c>
      <c r="T99" s="1234">
        <f t="shared" si="66"/>
        <v>-7528.7459909967392</v>
      </c>
      <c r="U99" s="1234">
        <f t="shared" si="66"/>
        <v>-3131.8648853247705</v>
      </c>
      <c r="V99" s="1234">
        <f t="shared" si="66"/>
        <v>-3326.2581667180939</v>
      </c>
      <c r="W99" s="1234">
        <f t="shared" si="66"/>
        <v>-2440.3367289015587</v>
      </c>
      <c r="X99" s="1234">
        <f t="shared" si="66"/>
        <v>-4713.6774115607041</v>
      </c>
      <c r="Y99" s="1234">
        <f t="shared" si="66"/>
        <v>-1637.3006661019226</v>
      </c>
      <c r="Z99" s="1234">
        <f t="shared" si="66"/>
        <v>-1745.8834314671794</v>
      </c>
      <c r="AA99" s="1234">
        <f t="shared" si="66"/>
        <v>-3665.0097539665358</v>
      </c>
      <c r="AB99" s="1234">
        <f t="shared" si="66"/>
        <v>-1784.4673558930979</v>
      </c>
      <c r="AC99" s="1234">
        <f t="shared" si="66"/>
        <v>-2859.8591634939953</v>
      </c>
      <c r="AD99" s="1234">
        <f t="shared" si="66"/>
        <v>-1621.3852222684388</v>
      </c>
      <c r="AE99" s="1234">
        <f t="shared" si="66"/>
        <v>-9238.0523064561185</v>
      </c>
      <c r="AF99" s="1234">
        <f t="shared" si="66"/>
        <v>-1421.394634665289</v>
      </c>
      <c r="AG99" s="1234">
        <f t="shared" si="66"/>
        <v>-1904.3742522272601</v>
      </c>
      <c r="AH99" s="1234">
        <f t="shared" si="66"/>
        <v>-1600.8459121302305</v>
      </c>
      <c r="AI99" s="1234">
        <f t="shared" si="66"/>
        <v>-1561.3990234880625</v>
      </c>
      <c r="AJ99" s="1234">
        <f t="shared" si="66"/>
        <v>-965.8503894304713</v>
      </c>
      <c r="AK99" s="1234">
        <f t="shared" si="66"/>
        <v>-618.54625013630675</v>
      </c>
      <c r="AL99" s="1234">
        <f t="shared" si="66"/>
        <v>-9607.082090186932</v>
      </c>
      <c r="AM99" s="1234">
        <f t="shared" si="66"/>
        <v>-2330.6998728119602</v>
      </c>
      <c r="AN99" s="1234">
        <f t="shared" si="66"/>
        <v>-3251.6820565336725</v>
      </c>
      <c r="AO99" s="1234">
        <f t="shared" si="66"/>
        <v>-1200.9024841188707</v>
      </c>
      <c r="AP99" s="1234">
        <f t="shared" si="66"/>
        <v>-1586.2050505724733</v>
      </c>
      <c r="AQ99" s="1234">
        <f t="shared" si="66"/>
        <v>-1624.9969514043221</v>
      </c>
      <c r="AR99" s="1234">
        <f t="shared" si="66"/>
        <v>-3371.9733763171571</v>
      </c>
      <c r="AS99" s="1234">
        <f t="shared" si="66"/>
        <v>-1770.9095863261532</v>
      </c>
      <c r="AT99" s="1234">
        <f t="shared" si="66"/>
        <v>-811.93077904437212</v>
      </c>
      <c r="AU99" s="1234">
        <f t="shared" si="66"/>
        <v>-1920.2404627417957</v>
      </c>
      <c r="AV99" s="1234">
        <f t="shared" si="66"/>
        <v>-2431.6197497323087</v>
      </c>
      <c r="AW99" s="1234">
        <f t="shared" si="66"/>
        <v>-1992.5386005801772</v>
      </c>
      <c r="AX99" s="1234">
        <f t="shared" si="66"/>
        <v>-3226.6929885688505</v>
      </c>
      <c r="AY99" s="1234">
        <f t="shared" si="66"/>
        <v>-1998.1150241355897</v>
      </c>
      <c r="AZ99" s="1234">
        <f t="shared" si="66"/>
        <v>-2275.9243901364612</v>
      </c>
      <c r="BA99" s="1234">
        <f t="shared" si="66"/>
        <v>-1654.2776892026384</v>
      </c>
      <c r="BB99" s="1234">
        <f t="shared" si="66"/>
        <v>-1008.5105523674945</v>
      </c>
      <c r="BC99" s="1234">
        <f t="shared" si="66"/>
        <v>-1887.9111530876241</v>
      </c>
      <c r="BD99" s="1234">
        <f t="shared" si="66"/>
        <v>-269.40565913060732</v>
      </c>
      <c r="BE99" s="1234">
        <f t="shared" si="66"/>
        <v>-401.24081299704301</v>
      </c>
      <c r="BF99" s="1234">
        <f t="shared" ref="BF99" si="68">+BF40*(1-BF$20)*BF$15</f>
        <v>-1588.8751236372686</v>
      </c>
    </row>
    <row r="100" spans="2:58" x14ac:dyDescent="0.2">
      <c r="B100" s="376" t="s">
        <v>879</v>
      </c>
      <c r="C100" s="1234">
        <f t="shared" si="65"/>
        <v>817.20024637235213</v>
      </c>
      <c r="D100" s="1234">
        <f t="shared" si="66"/>
        <v>581.28348209826504</v>
      </c>
      <c r="E100" s="1234">
        <f t="shared" si="66"/>
        <v>537.40223249866483</v>
      </c>
      <c r="F100" s="1234">
        <f t="shared" si="66"/>
        <v>9617.1202137582786</v>
      </c>
      <c r="G100" s="1234">
        <f t="shared" si="66"/>
        <v>2514.1604069795603</v>
      </c>
      <c r="H100" s="1234">
        <f t="shared" si="66"/>
        <v>0</v>
      </c>
      <c r="I100" s="1234">
        <f t="shared" si="66"/>
        <v>155.02354061377505</v>
      </c>
      <c r="J100" s="1234">
        <f t="shared" si="66"/>
        <v>280.86729543909991</v>
      </c>
      <c r="K100" s="1234">
        <f t="shared" si="66"/>
        <v>559.07004984071955</v>
      </c>
      <c r="L100" s="1234">
        <f t="shared" si="66"/>
        <v>1738.0517212307486</v>
      </c>
      <c r="M100" s="1234">
        <f t="shared" si="66"/>
        <v>842.78605315021366</v>
      </c>
      <c r="N100" s="1234">
        <f t="shared" si="66"/>
        <v>353.74573002489319</v>
      </c>
      <c r="O100" s="1234">
        <f t="shared" si="66"/>
        <v>100.82602710608307</v>
      </c>
      <c r="P100" s="1234">
        <f t="shared" si="66"/>
        <v>33.820361738233309</v>
      </c>
      <c r="Q100" s="1234">
        <f t="shared" si="66"/>
        <v>2153.2840602851193</v>
      </c>
      <c r="R100" s="1234">
        <f t="shared" si="66"/>
        <v>3144.4727510107305</v>
      </c>
      <c r="S100" s="1234">
        <f t="shared" si="66"/>
        <v>1304.3580375656873</v>
      </c>
      <c r="T100" s="1234">
        <f t="shared" si="66"/>
        <v>1316.8625336919781</v>
      </c>
      <c r="U100" s="1234">
        <f t="shared" si="66"/>
        <v>956.65530230371439</v>
      </c>
      <c r="V100" s="1234">
        <f t="shared" si="66"/>
        <v>780.31885282437452</v>
      </c>
      <c r="W100" s="1234">
        <f t="shared" si="66"/>
        <v>950.11395123459863</v>
      </c>
      <c r="X100" s="1234">
        <f t="shared" si="66"/>
        <v>836.03609886825632</v>
      </c>
      <c r="Y100" s="1234">
        <f t="shared" si="66"/>
        <v>459.97728305331833</v>
      </c>
      <c r="Z100" s="1234">
        <f t="shared" si="66"/>
        <v>429.1389157626935</v>
      </c>
      <c r="AA100" s="1234">
        <f t="shared" si="66"/>
        <v>0</v>
      </c>
      <c r="AB100" s="1234">
        <f t="shared" si="66"/>
        <v>654.60759058195379</v>
      </c>
      <c r="AC100" s="1234">
        <f t="shared" si="66"/>
        <v>364.35028046147789</v>
      </c>
      <c r="AD100" s="1234">
        <f t="shared" si="66"/>
        <v>965.01802322657454</v>
      </c>
      <c r="AE100" s="1234">
        <f t="shared" si="66"/>
        <v>3755.9857007689834</v>
      </c>
      <c r="AF100" s="1234">
        <f t="shared" si="66"/>
        <v>443.21271723134157</v>
      </c>
      <c r="AG100" s="1234">
        <f t="shared" si="66"/>
        <v>848.96265415308631</v>
      </c>
      <c r="AH100" s="1234">
        <f t="shared" si="66"/>
        <v>233.92212089342229</v>
      </c>
      <c r="AI100" s="1234">
        <f t="shared" si="66"/>
        <v>191.11804737689718</v>
      </c>
      <c r="AJ100" s="1234">
        <f t="shared" si="66"/>
        <v>388.01248608178679</v>
      </c>
      <c r="AK100" s="1234">
        <f t="shared" si="66"/>
        <v>367.55850143773353</v>
      </c>
      <c r="AL100" s="1234">
        <f t="shared" si="66"/>
        <v>6676.7083623081517</v>
      </c>
      <c r="AM100" s="1234">
        <f t="shared" si="66"/>
        <v>375.58490369498497</v>
      </c>
      <c r="AN100" s="1234">
        <f t="shared" si="66"/>
        <v>831.71457073042507</v>
      </c>
      <c r="AO100" s="1234">
        <f t="shared" si="66"/>
        <v>453.86508199410378</v>
      </c>
      <c r="AP100" s="1234">
        <f t="shared" si="66"/>
        <v>0</v>
      </c>
      <c r="AQ100" s="1234">
        <f t="shared" si="66"/>
        <v>255.34121721540174</v>
      </c>
      <c r="AR100" s="1234">
        <f t="shared" si="66"/>
        <v>488.1450649762441</v>
      </c>
      <c r="AS100" s="1234">
        <f t="shared" si="66"/>
        <v>661.86917974659173</v>
      </c>
      <c r="AT100" s="1234">
        <f t="shared" si="66"/>
        <v>364.77540075494562</v>
      </c>
      <c r="AU100" s="1234">
        <f t="shared" si="66"/>
        <v>0</v>
      </c>
      <c r="AV100" s="1234">
        <f t="shared" si="66"/>
        <v>425.21953863240657</v>
      </c>
      <c r="AW100" s="1234">
        <f t="shared" si="66"/>
        <v>238.37587733040749</v>
      </c>
      <c r="AX100" s="1234">
        <f t="shared" si="66"/>
        <v>1853.4631573041318</v>
      </c>
      <c r="AY100" s="1234">
        <f t="shared" si="66"/>
        <v>1287.9070728649949</v>
      </c>
      <c r="AZ100" s="1234">
        <f t="shared" si="66"/>
        <v>356.9557562144272</v>
      </c>
      <c r="BA100" s="1234">
        <f t="shared" si="66"/>
        <v>470.51213365621521</v>
      </c>
      <c r="BB100" s="1234">
        <f t="shared" si="66"/>
        <v>2.0243247161855114</v>
      </c>
      <c r="BC100" s="1234">
        <f t="shared" si="66"/>
        <v>532.31377391438014</v>
      </c>
      <c r="BD100" s="1234">
        <f t="shared" si="66"/>
        <v>132.50407429911851</v>
      </c>
      <c r="BE100" s="1234">
        <f t="shared" si="66"/>
        <v>138.35966475169633</v>
      </c>
      <c r="BF100" s="1234">
        <f t="shared" ref="BF100" si="69">+BF41*(1-BF$20)*BF$15</f>
        <v>344.32724235470067</v>
      </c>
    </row>
    <row r="101" spans="2:58" x14ac:dyDescent="0.2">
      <c r="B101" s="376" t="s">
        <v>881</v>
      </c>
      <c r="C101" s="1234">
        <f t="shared" si="65"/>
        <v>52949.91860241961</v>
      </c>
      <c r="D101" s="1234">
        <f t="shared" si="66"/>
        <v>45877.190207898057</v>
      </c>
      <c r="E101" s="1234">
        <f t="shared" si="66"/>
        <v>20935.881755535622</v>
      </c>
      <c r="F101" s="1234">
        <f t="shared" si="66"/>
        <v>266736.15922919329</v>
      </c>
      <c r="G101" s="1234">
        <f t="shared" si="66"/>
        <v>83741.341326800553</v>
      </c>
      <c r="H101" s="1234">
        <f t="shared" si="66"/>
        <v>9845.3885367739185</v>
      </c>
      <c r="I101" s="1234">
        <f t="shared" si="66"/>
        <v>21290.524331870223</v>
      </c>
      <c r="J101" s="1234">
        <f t="shared" si="66"/>
        <v>35714.811994769887</v>
      </c>
      <c r="K101" s="1234">
        <f t="shared" si="66"/>
        <v>26480.686314173156</v>
      </c>
      <c r="L101" s="1234">
        <f t="shared" si="66"/>
        <v>48767.927015364039</v>
      </c>
      <c r="M101" s="1234">
        <f t="shared" si="66"/>
        <v>82146.520478428618</v>
      </c>
      <c r="N101" s="1234">
        <f t="shared" si="66"/>
        <v>45325.235826448588</v>
      </c>
      <c r="O101" s="1234">
        <f t="shared" si="66"/>
        <v>27905.872645636486</v>
      </c>
      <c r="P101" s="1234">
        <f t="shared" si="66"/>
        <v>23162.422586150238</v>
      </c>
      <c r="Q101" s="1234">
        <f t="shared" si="66"/>
        <v>102797.23529945355</v>
      </c>
      <c r="R101" s="1234">
        <f t="shared" si="66"/>
        <v>91651.637999700499</v>
      </c>
      <c r="S101" s="1234">
        <f t="shared" si="66"/>
        <v>96589.099218751551</v>
      </c>
      <c r="T101" s="1234">
        <f t="shared" si="66"/>
        <v>97495.445681114434</v>
      </c>
      <c r="U101" s="1234">
        <f t="shared" si="66"/>
        <v>54429.66381895751</v>
      </c>
      <c r="V101" s="1234">
        <f t="shared" si="66"/>
        <v>42176.331561538434</v>
      </c>
      <c r="W101" s="1234">
        <f t="shared" si="66"/>
        <v>42934.453497993782</v>
      </c>
      <c r="X101" s="1234">
        <f t="shared" si="66"/>
        <v>31905.115543731859</v>
      </c>
      <c r="Y101" s="1234">
        <f t="shared" si="66"/>
        <v>15722.649636106713</v>
      </c>
      <c r="Z101" s="1234">
        <f t="shared" si="66"/>
        <v>19239.173122505159</v>
      </c>
      <c r="AA101" s="1234">
        <f t="shared" si="66"/>
        <v>32613.983204032385</v>
      </c>
      <c r="AB101" s="1234">
        <f t="shared" si="66"/>
        <v>33349.909281498549</v>
      </c>
      <c r="AC101" s="1234">
        <f t="shared" si="66"/>
        <v>51424.376928874553</v>
      </c>
      <c r="AD101" s="1234">
        <f t="shared" si="66"/>
        <v>23127.426902304687</v>
      </c>
      <c r="AE101" s="1234">
        <f t="shared" si="66"/>
        <v>113537.03984019582</v>
      </c>
      <c r="AF101" s="1234">
        <f t="shared" si="66"/>
        <v>26584.813822597815</v>
      </c>
      <c r="AG101" s="1234">
        <f t="shared" si="66"/>
        <v>18406.816131222906</v>
      </c>
      <c r="AH101" s="1234">
        <f t="shared" si="66"/>
        <v>15591.25742016955</v>
      </c>
      <c r="AI101" s="1234">
        <f t="shared" si="66"/>
        <v>18926.99688757808</v>
      </c>
      <c r="AJ101" s="1234">
        <f t="shared" si="66"/>
        <v>16094.02628891315</v>
      </c>
      <c r="AK101" s="1234">
        <f t="shared" si="66"/>
        <v>14355.6420941382</v>
      </c>
      <c r="AL101" s="1234">
        <f t="shared" si="66"/>
        <v>226547.86738722774</v>
      </c>
      <c r="AM101" s="1234">
        <f t="shared" si="66"/>
        <v>28184.723166192751</v>
      </c>
      <c r="AN101" s="1234">
        <f t="shared" si="66"/>
        <v>59069.91958825499</v>
      </c>
      <c r="AO101" s="1234">
        <f t="shared" si="66"/>
        <v>18410.190451896855</v>
      </c>
      <c r="AP101" s="1234">
        <f t="shared" si="66"/>
        <v>44334.786754333109</v>
      </c>
      <c r="AQ101" s="1234">
        <f t="shared" si="66"/>
        <v>26300.909188543013</v>
      </c>
      <c r="AR101" s="1234">
        <f t="shared" si="66"/>
        <v>50718.701857275737</v>
      </c>
      <c r="AS101" s="1234">
        <f t="shared" si="66"/>
        <v>16813.198643207776</v>
      </c>
      <c r="AT101" s="1234">
        <f t="shared" si="66"/>
        <v>14293.799195148822</v>
      </c>
      <c r="AU101" s="1234">
        <f t="shared" si="66"/>
        <v>23137.132371957854</v>
      </c>
      <c r="AV101" s="1234">
        <f t="shared" si="66"/>
        <v>28055.334913625269</v>
      </c>
      <c r="AW101" s="1234">
        <f t="shared" si="66"/>
        <v>35402.296854272936</v>
      </c>
      <c r="AX101" s="1234">
        <f t="shared" si="66"/>
        <v>70533.449605948015</v>
      </c>
      <c r="AY101" s="1234">
        <f t="shared" si="66"/>
        <v>32615.667908531897</v>
      </c>
      <c r="AZ101" s="1234">
        <f t="shared" si="66"/>
        <v>28896.459244649883</v>
      </c>
      <c r="BA101" s="1234">
        <f t="shared" si="66"/>
        <v>28299.101340187324</v>
      </c>
      <c r="BB101" s="1234">
        <f t="shared" si="66"/>
        <v>23508.9117821082</v>
      </c>
      <c r="BC101" s="1234">
        <f t="shared" si="66"/>
        <v>29688.633823365057</v>
      </c>
      <c r="BD101" s="1234">
        <f t="shared" si="66"/>
        <v>4791.8546158789341</v>
      </c>
      <c r="BE101" s="1234">
        <f t="shared" si="66"/>
        <v>5762.715928390754</v>
      </c>
      <c r="BF101" s="1234">
        <f t="shared" ref="BF101" si="70">+BF42*(1-BF$20)*BF$15</f>
        <v>51190.266855216418</v>
      </c>
    </row>
    <row r="102" spans="2:58" x14ac:dyDescent="0.2">
      <c r="B102" s="376" t="s">
        <v>882</v>
      </c>
      <c r="C102" s="1234">
        <f t="shared" si="65"/>
        <v>10787.695982419607</v>
      </c>
      <c r="D102" s="1234">
        <f t="shared" si="66"/>
        <v>9346.7411008980598</v>
      </c>
      <c r="E102" s="1234">
        <f t="shared" si="66"/>
        <v>4265.3498525356199</v>
      </c>
      <c r="F102" s="1234">
        <f t="shared" si="66"/>
        <v>54343.210891193245</v>
      </c>
      <c r="G102" s="1234">
        <f t="shared" si="66"/>
        <v>17060.95410980055</v>
      </c>
      <c r="H102" s="1234">
        <f t="shared" si="66"/>
        <v>2005.8398797739173</v>
      </c>
      <c r="I102" s="1234">
        <f t="shared" si="66"/>
        <v>4337.6025848702257</v>
      </c>
      <c r="J102" s="1234">
        <f t="shared" si="66"/>
        <v>7276.3196627698853</v>
      </c>
      <c r="K102" s="1234">
        <f t="shared" si="66"/>
        <v>5395.0147781731594</v>
      </c>
      <c r="L102" s="1234">
        <f t="shared" si="66"/>
        <v>9935.6823243640429</v>
      </c>
      <c r="M102" s="1234">
        <f t="shared" si="66"/>
        <v>16736.034961428624</v>
      </c>
      <c r="N102" s="1234">
        <f t="shared" si="66"/>
        <v>9234.2892554485879</v>
      </c>
      <c r="O102" s="1234">
        <f t="shared" si="66"/>
        <v>5685.373616636487</v>
      </c>
      <c r="P102" s="1234">
        <f t="shared" si="66"/>
        <v>4718.9718071502384</v>
      </c>
      <c r="Q102" s="1234">
        <f t="shared" si="66"/>
        <v>20943.286628453541</v>
      </c>
      <c r="R102" s="1234">
        <f t="shared" si="66"/>
        <v>18672.550083700509</v>
      </c>
      <c r="S102" s="1234">
        <f t="shared" si="66"/>
        <v>19678.478552751556</v>
      </c>
      <c r="T102" s="1234">
        <f t="shared" si="66"/>
        <v>19863.132096114427</v>
      </c>
      <c r="U102" s="1234">
        <f t="shared" si="66"/>
        <v>11089.170317957511</v>
      </c>
      <c r="V102" s="1234">
        <f t="shared" si="66"/>
        <v>8592.7505565384254</v>
      </c>
      <c r="W102" s="1234">
        <f t="shared" si="66"/>
        <v>8747.205731993783</v>
      </c>
      <c r="X102" s="1234">
        <f t="shared" si="66"/>
        <v>6500.1551627318595</v>
      </c>
      <c r="Y102" s="1234">
        <f t="shared" si="66"/>
        <v>3203.2374891067147</v>
      </c>
      <c r="Z102" s="1234">
        <f t="shared" si="66"/>
        <v>3919.6727035051595</v>
      </c>
      <c r="AA102" s="1234">
        <f t="shared" si="66"/>
        <v>6644.5755700323871</v>
      </c>
      <c r="AB102" s="1234">
        <f t="shared" si="66"/>
        <v>6794.5086954985463</v>
      </c>
      <c r="AC102" s="1234">
        <f t="shared" si="66"/>
        <v>10476.891353874558</v>
      </c>
      <c r="AD102" s="1234">
        <f t="shared" si="66"/>
        <v>4711.8419983046888</v>
      </c>
      <c r="AE102" s="1234">
        <f t="shared" si="66"/>
        <v>23131.349412195821</v>
      </c>
      <c r="AF102" s="1234">
        <f t="shared" si="66"/>
        <v>5416.229086597813</v>
      </c>
      <c r="AG102" s="1234">
        <f t="shared" si="66"/>
        <v>3750.0933272229054</v>
      </c>
      <c r="AH102" s="1234">
        <f t="shared" si="66"/>
        <v>3176.4684341695502</v>
      </c>
      <c r="AI102" s="1234">
        <f t="shared" si="66"/>
        <v>3856.0718065780802</v>
      </c>
      <c r="AJ102" s="1234">
        <f t="shared" si="66"/>
        <v>3278.8995209131499</v>
      </c>
      <c r="AK102" s="1234">
        <f t="shared" si="66"/>
        <v>2924.7316451381998</v>
      </c>
      <c r="AL102" s="1234">
        <f t="shared" si="66"/>
        <v>46155.491516227725</v>
      </c>
      <c r="AM102" s="1234">
        <f t="shared" si="66"/>
        <v>5742.1849341927518</v>
      </c>
      <c r="AN102" s="1234">
        <f t="shared" si="66"/>
        <v>12034.547947254989</v>
      </c>
      <c r="AO102" s="1234">
        <f t="shared" si="66"/>
        <v>3750.7807908968557</v>
      </c>
      <c r="AP102" s="1234">
        <f t="shared" si="66"/>
        <v>9032.5011553331115</v>
      </c>
      <c r="AQ102" s="1234">
        <f t="shared" si="66"/>
        <v>5358.3880745430115</v>
      </c>
      <c r="AR102" s="1234">
        <f t="shared" si="66"/>
        <v>10333.121385275734</v>
      </c>
      <c r="AS102" s="1234">
        <f t="shared" si="66"/>
        <v>3425.4193442077767</v>
      </c>
      <c r="AT102" s="1234">
        <f t="shared" si="66"/>
        <v>2912.1321471488222</v>
      </c>
      <c r="AU102" s="1234">
        <f t="shared" si="66"/>
        <v>4713.819331957855</v>
      </c>
      <c r="AV102" s="1234">
        <f t="shared" si="66"/>
        <v>5715.8241546252693</v>
      </c>
      <c r="AW102" s="1234">
        <f t="shared" si="66"/>
        <v>7212.649719272933</v>
      </c>
      <c r="AX102" s="1234">
        <f t="shared" si="66"/>
        <v>14370.058179948011</v>
      </c>
      <c r="AY102" s="1234">
        <f t="shared" si="66"/>
        <v>6644.9188015318987</v>
      </c>
      <c r="AZ102" s="1234">
        <f t="shared" si="66"/>
        <v>5887.1897356498821</v>
      </c>
      <c r="BA102" s="1234">
        <f t="shared" si="66"/>
        <v>5765.4876511873217</v>
      </c>
      <c r="BB102" s="1234">
        <f t="shared" si="66"/>
        <v>4789.5634191081972</v>
      </c>
      <c r="BC102" s="1234">
        <f t="shared" si="66"/>
        <v>6048.5825903650566</v>
      </c>
      <c r="BD102" s="1234">
        <f t="shared" si="66"/>
        <v>976.26346087893432</v>
      </c>
      <c r="BE102" s="1234">
        <f t="shared" si="66"/>
        <v>1174.0608693907539</v>
      </c>
      <c r="BF102" s="1234">
        <f t="shared" ref="BF102" si="71">+BF43*(1-BF$20)*BF$15</f>
        <v>10429.195184216414</v>
      </c>
    </row>
    <row r="103" spans="2:58" x14ac:dyDescent="0.2">
      <c r="B103" s="1235"/>
      <c r="C103" s="1234"/>
      <c r="D103" s="1234"/>
      <c r="E103" s="1234"/>
      <c r="F103" s="1234"/>
      <c r="G103" s="1234"/>
      <c r="H103" s="1234"/>
      <c r="I103" s="1234"/>
      <c r="J103" s="1234"/>
      <c r="K103" s="1234"/>
      <c r="L103" s="1234"/>
      <c r="M103" s="1234"/>
      <c r="N103" s="1234"/>
      <c r="O103" s="1234"/>
      <c r="P103" s="1234"/>
      <c r="Q103" s="1234"/>
      <c r="R103" s="1234"/>
      <c r="S103" s="1234"/>
      <c r="T103" s="1234"/>
      <c r="U103" s="1234"/>
      <c r="V103" s="1234"/>
      <c r="W103" s="1234"/>
      <c r="X103" s="1234"/>
      <c r="Y103" s="1234"/>
      <c r="Z103" s="1234"/>
      <c r="AA103" s="1234"/>
      <c r="AB103" s="1234"/>
      <c r="AC103" s="1234"/>
      <c r="AD103" s="1234"/>
      <c r="AE103" s="1234"/>
      <c r="AF103" s="1234"/>
      <c r="AG103" s="1234"/>
      <c r="AH103" s="1234"/>
      <c r="AI103" s="1234"/>
      <c r="AJ103" s="1234"/>
      <c r="AK103" s="1234"/>
      <c r="AL103" s="1234"/>
      <c r="AM103" s="1234"/>
      <c r="AN103" s="1234"/>
      <c r="AO103" s="1234"/>
      <c r="AP103" s="1234"/>
      <c r="AQ103" s="1234"/>
      <c r="AR103" s="1234"/>
      <c r="AS103" s="1234"/>
      <c r="AT103" s="1234"/>
      <c r="AU103" s="1234"/>
      <c r="AV103" s="1234"/>
      <c r="AW103" s="1234"/>
      <c r="AX103" s="1234"/>
      <c r="AY103" s="1234"/>
      <c r="AZ103" s="1234"/>
      <c r="BA103" s="1234"/>
      <c r="BB103" s="1234"/>
      <c r="BC103" s="1234"/>
      <c r="BD103" s="1234"/>
      <c r="BE103" s="1234"/>
      <c r="BF103" s="1234"/>
    </row>
    <row r="104" spans="2:58" x14ac:dyDescent="0.2">
      <c r="B104" s="376" t="s">
        <v>869</v>
      </c>
      <c r="C104" s="1234">
        <f>+C45*(1-C$20)*C$16</f>
        <v>2313.3438471183995</v>
      </c>
      <c r="D104" s="1234">
        <f t="shared" ref="D104:BE108" si="72">+D45*(1-D$20)*D$16</f>
        <v>3716.1129095811289</v>
      </c>
      <c r="E104" s="1234">
        <f t="shared" si="72"/>
        <v>2783.5325019068491</v>
      </c>
      <c r="F104" s="1234">
        <f t="shared" si="72"/>
        <v>25013.255787471855</v>
      </c>
      <c r="G104" s="1234">
        <f t="shared" si="72"/>
        <v>4244.3625080084867</v>
      </c>
      <c r="H104" s="1234">
        <f t="shared" si="72"/>
        <v>1391.4582115500766</v>
      </c>
      <c r="I104" s="1234">
        <f t="shared" si="72"/>
        <v>4003.5164963182415</v>
      </c>
      <c r="J104" s="1234">
        <f t="shared" si="72"/>
        <v>2192.3137071986025</v>
      </c>
      <c r="K104" s="1234">
        <f t="shared" si="72"/>
        <v>2537.8406379474818</v>
      </c>
      <c r="L104" s="1234">
        <f t="shared" si="72"/>
        <v>4444.0724268567474</v>
      </c>
      <c r="M104" s="1234">
        <f t="shared" si="72"/>
        <v>7971.8978467614197</v>
      </c>
      <c r="N104" s="1234">
        <f t="shared" si="72"/>
        <v>5942.9448951236327</v>
      </c>
      <c r="O104" s="1234">
        <f t="shared" si="72"/>
        <v>1983.7620059656317</v>
      </c>
      <c r="P104" s="1234">
        <f t="shared" si="72"/>
        <v>3471.7394254560927</v>
      </c>
      <c r="Q104" s="1234">
        <f t="shared" si="72"/>
        <v>10720.95189493247</v>
      </c>
      <c r="R104" s="1234">
        <f t="shared" si="72"/>
        <v>5498.2933032788687</v>
      </c>
      <c r="S104" s="1234">
        <f t="shared" si="72"/>
        <v>6517.5800744120652</v>
      </c>
      <c r="T104" s="1234">
        <f t="shared" si="72"/>
        <v>9952.2160093171915</v>
      </c>
      <c r="U104" s="1234">
        <f t="shared" si="72"/>
        <v>4846.6984495600918</v>
      </c>
      <c r="V104" s="1234">
        <f t="shared" si="72"/>
        <v>6005.3223061101808</v>
      </c>
      <c r="W104" s="1234">
        <f t="shared" si="72"/>
        <v>2965.7524971890944</v>
      </c>
      <c r="X104" s="1234">
        <f t="shared" si="72"/>
        <v>3374.5936602731076</v>
      </c>
      <c r="Y104" s="1234">
        <f t="shared" si="72"/>
        <v>2779.5312713627641</v>
      </c>
      <c r="Z104" s="1234">
        <f t="shared" si="72"/>
        <v>2620.7117861858642</v>
      </c>
      <c r="AA104" s="1234">
        <f t="shared" si="72"/>
        <v>2888.2635683791577</v>
      </c>
      <c r="AB104" s="1234">
        <f t="shared" si="72"/>
        <v>1448.8354596728184</v>
      </c>
      <c r="AC104" s="1234">
        <f t="shared" si="72"/>
        <v>3820.2551954479814</v>
      </c>
      <c r="AD104" s="1234">
        <f t="shared" si="72"/>
        <v>1417.5421656772387</v>
      </c>
      <c r="AE104" s="1234">
        <f t="shared" si="72"/>
        <v>15376.770724439366</v>
      </c>
      <c r="AF104" s="1234">
        <f t="shared" si="72"/>
        <v>2304.9755890564143</v>
      </c>
      <c r="AG104" s="1234">
        <f t="shared" si="72"/>
        <v>1474.8214685012827</v>
      </c>
      <c r="AH104" s="1234">
        <f t="shared" si="72"/>
        <v>1580.3544449514072</v>
      </c>
      <c r="AI104" s="1234">
        <f t="shared" si="72"/>
        <v>2061.7403840225825</v>
      </c>
      <c r="AJ104" s="1234">
        <f t="shared" si="72"/>
        <v>2084.6325977541501</v>
      </c>
      <c r="AK104" s="1234">
        <f t="shared" si="72"/>
        <v>1320.5535975173902</v>
      </c>
      <c r="AL104" s="1234">
        <f t="shared" si="72"/>
        <v>18374.322178247778</v>
      </c>
      <c r="AM104" s="1234">
        <f t="shared" si="72"/>
        <v>2520.2950519180722</v>
      </c>
      <c r="AN104" s="1234">
        <f t="shared" si="72"/>
        <v>5024.2701774256511</v>
      </c>
      <c r="AO104" s="1234">
        <f t="shared" si="72"/>
        <v>1270.5382216251817</v>
      </c>
      <c r="AP104" s="1234">
        <f t="shared" si="72"/>
        <v>1829.8999095322094</v>
      </c>
      <c r="AQ104" s="1234">
        <f t="shared" si="72"/>
        <v>1912.2746677301288</v>
      </c>
      <c r="AR104" s="1234">
        <f t="shared" si="72"/>
        <v>5943.4030054372615</v>
      </c>
      <c r="AS104" s="1234">
        <f t="shared" si="72"/>
        <v>1899.1565629851664</v>
      </c>
      <c r="AT104" s="1234">
        <f t="shared" si="72"/>
        <v>1313.1240640950377</v>
      </c>
      <c r="AU104" s="1234">
        <f t="shared" si="72"/>
        <v>2200.3412507998651</v>
      </c>
      <c r="AV104" s="1234">
        <f t="shared" si="72"/>
        <v>3551.487676959232</v>
      </c>
      <c r="AW104" s="1234">
        <f t="shared" si="72"/>
        <v>4251.1590541223504</v>
      </c>
      <c r="AX104" s="1234">
        <f t="shared" si="72"/>
        <v>4676.4368177070819</v>
      </c>
      <c r="AY104" s="1234">
        <f t="shared" si="72"/>
        <v>3800.3208500077235</v>
      </c>
      <c r="AZ104" s="1234">
        <f t="shared" si="72"/>
        <v>3999.5088705598755</v>
      </c>
      <c r="BA104" s="1234">
        <f t="shared" si="72"/>
        <v>875.81401569703564</v>
      </c>
      <c r="BB104" s="1234">
        <f t="shared" si="72"/>
        <v>2694.9031281970374</v>
      </c>
      <c r="BC104" s="1234">
        <f t="shared" si="72"/>
        <v>4042.4833086156768</v>
      </c>
      <c r="BD104" s="1234">
        <f t="shared" si="72"/>
        <v>3884.27730532838</v>
      </c>
      <c r="BE104" s="1234">
        <f t="shared" si="72"/>
        <v>428.22222484307497</v>
      </c>
      <c r="BF104" s="1234">
        <f t="shared" ref="BF104:BF107" si="73">+BF45*(1-BF$20)*BF$16</f>
        <v>4056.1156485303718</v>
      </c>
    </row>
    <row r="105" spans="2:58" x14ac:dyDescent="0.2">
      <c r="B105" s="376" t="s">
        <v>871</v>
      </c>
      <c r="C105" s="1234">
        <f>+C46*(1-C$20)*C$16</f>
        <v>452.44081014156041</v>
      </c>
      <c r="D105" s="1234">
        <f t="shared" si="72"/>
        <v>2919.8673780068766</v>
      </c>
      <c r="E105" s="1234">
        <f t="shared" si="72"/>
        <v>1748.2496548975544</v>
      </c>
      <c r="F105" s="1234">
        <f t="shared" si="72"/>
        <v>8417.5203790410415</v>
      </c>
      <c r="G105" s="1234">
        <f t="shared" si="72"/>
        <v>1109.7379907909956</v>
      </c>
      <c r="H105" s="1234">
        <f t="shared" si="72"/>
        <v>872.34358589408907</v>
      </c>
      <c r="I105" s="1234">
        <f t="shared" si="72"/>
        <v>3381.9085873058361</v>
      </c>
      <c r="J105" s="1234">
        <f t="shared" si="72"/>
        <v>771.75812168987841</v>
      </c>
      <c r="K105" s="1234">
        <f t="shared" si="72"/>
        <v>1796.0775801931902</v>
      </c>
      <c r="L105" s="1234">
        <f t="shared" si="72"/>
        <v>1533.7301675204367</v>
      </c>
      <c r="M105" s="1234">
        <f t="shared" si="72"/>
        <v>4857.7172724467782</v>
      </c>
      <c r="N105" s="1234">
        <f t="shared" si="72"/>
        <v>6619.9110375687214</v>
      </c>
      <c r="O105" s="1234">
        <f t="shared" si="72"/>
        <v>1199.9423070378703</v>
      </c>
      <c r="P105" s="1234">
        <f t="shared" si="72"/>
        <v>1978.253692991962</v>
      </c>
      <c r="Q105" s="1234">
        <f t="shared" si="72"/>
        <v>4649.3850243637735</v>
      </c>
      <c r="R105" s="1234">
        <f t="shared" si="72"/>
        <v>2255.6307299294895</v>
      </c>
      <c r="S105" s="1234">
        <f t="shared" si="72"/>
        <v>2547.5488692264453</v>
      </c>
      <c r="T105" s="1234">
        <f t="shared" si="72"/>
        <v>6698.8129339966654</v>
      </c>
      <c r="U105" s="1234">
        <f t="shared" si="72"/>
        <v>2441.4367846332411</v>
      </c>
      <c r="V105" s="1234">
        <f t="shared" si="72"/>
        <v>4938.4012440196411</v>
      </c>
      <c r="W105" s="1234">
        <f t="shared" si="72"/>
        <v>1170.5152512302247</v>
      </c>
      <c r="X105" s="1234">
        <f t="shared" si="72"/>
        <v>2284.310404174521</v>
      </c>
      <c r="Y105" s="1234">
        <f t="shared" si="72"/>
        <v>1827.9443553301603</v>
      </c>
      <c r="Z105" s="1234">
        <f t="shared" si="72"/>
        <v>1512.6584021937126</v>
      </c>
      <c r="AA105" s="1234">
        <f t="shared" si="72"/>
        <v>598.86350659264031</v>
      </c>
      <c r="AB105" s="1234">
        <f t="shared" si="72"/>
        <v>611.06218968975611</v>
      </c>
      <c r="AC105" s="1234">
        <f t="shared" si="72"/>
        <v>1542.9798757117467</v>
      </c>
      <c r="AD105" s="1234">
        <f t="shared" si="72"/>
        <v>581.73172789829152</v>
      </c>
      <c r="AE105" s="1234">
        <f t="shared" si="72"/>
        <v>4716.3938667871962</v>
      </c>
      <c r="AF105" s="1234">
        <f t="shared" si="72"/>
        <v>1046.9238414974382</v>
      </c>
      <c r="AG105" s="1234">
        <f t="shared" si="72"/>
        <v>732.94781595184111</v>
      </c>
      <c r="AH105" s="1234">
        <f t="shared" si="72"/>
        <v>1486.8839094039422</v>
      </c>
      <c r="AI105" s="1234">
        <f t="shared" si="72"/>
        <v>1085.2218128041879</v>
      </c>
      <c r="AJ105" s="1234">
        <f t="shared" si="72"/>
        <v>926.79644533775229</v>
      </c>
      <c r="AK105" s="1234">
        <f t="shared" si="72"/>
        <v>461.61237163434424</v>
      </c>
      <c r="AL105" s="1234">
        <f t="shared" si="72"/>
        <v>7866.5639849402987</v>
      </c>
      <c r="AM105" s="1234">
        <f t="shared" si="72"/>
        <v>1455.4686940025181</v>
      </c>
      <c r="AN105" s="1234">
        <f t="shared" si="72"/>
        <v>664.1903970642702</v>
      </c>
      <c r="AO105" s="1234">
        <f t="shared" si="72"/>
        <v>204.36721255203318</v>
      </c>
      <c r="AP105" s="1234">
        <f t="shared" si="72"/>
        <v>485.17066030020294</v>
      </c>
      <c r="AQ105" s="1234">
        <f t="shared" si="72"/>
        <v>763.015786888923</v>
      </c>
      <c r="AR105" s="1234">
        <f t="shared" si="72"/>
        <v>5680.4519221401069</v>
      </c>
      <c r="AS105" s="1234">
        <f t="shared" si="72"/>
        <v>755.57041118290852</v>
      </c>
      <c r="AT105" s="1234">
        <f t="shared" si="72"/>
        <v>643.70820074305641</v>
      </c>
      <c r="AU105" s="1234">
        <f t="shared" si="72"/>
        <v>1100.9081723285096</v>
      </c>
      <c r="AV105" s="1234">
        <f t="shared" si="72"/>
        <v>3278.5501803516249</v>
      </c>
      <c r="AW105" s="1234">
        <f t="shared" si="72"/>
        <v>4089.7453666409424</v>
      </c>
      <c r="AX105" s="1234">
        <f t="shared" si="72"/>
        <v>2475.1485563282877</v>
      </c>
      <c r="AY105" s="1234">
        <f t="shared" si="72"/>
        <v>1202.3937548172503</v>
      </c>
      <c r="AZ105" s="1234">
        <f t="shared" si="72"/>
        <v>1863.5193204739078</v>
      </c>
      <c r="BA105" s="1234">
        <f t="shared" si="72"/>
        <v>335.3396469580498</v>
      </c>
      <c r="BB105" s="1234">
        <f t="shared" si="72"/>
        <v>2784.1859966704228</v>
      </c>
      <c r="BC105" s="1234">
        <f t="shared" si="72"/>
        <v>4013.0821871574399</v>
      </c>
      <c r="BD105" s="1234">
        <f t="shared" si="72"/>
        <v>1322.1751509488533</v>
      </c>
      <c r="BE105" s="1234">
        <f t="shared" si="72"/>
        <v>215.81312556522161</v>
      </c>
      <c r="BF105" s="1234">
        <f t="shared" si="73"/>
        <v>1779.9727863844446</v>
      </c>
    </row>
    <row r="106" spans="2:58" x14ac:dyDescent="0.2">
      <c r="B106" s="376" t="s">
        <v>874</v>
      </c>
      <c r="C106" s="1234">
        <f>+C47*(1-C$20)*C$16</f>
        <v>271.46448608493631</v>
      </c>
      <c r="D106" s="1234">
        <f t="shared" si="72"/>
        <v>1751.9204268041262</v>
      </c>
      <c r="E106" s="1234">
        <f t="shared" si="72"/>
        <v>1311.1872411731661</v>
      </c>
      <c r="F106" s="1234">
        <f t="shared" si="72"/>
        <v>6313.1402842807838</v>
      </c>
      <c r="G106" s="1234">
        <f t="shared" si="72"/>
        <v>832.30349309324708</v>
      </c>
      <c r="H106" s="1234">
        <f t="shared" si="72"/>
        <v>654.25768942056698</v>
      </c>
      <c r="I106" s="1234">
        <f t="shared" si="72"/>
        <v>2029.1451523835024</v>
      </c>
      <c r="J106" s="1234">
        <f t="shared" si="72"/>
        <v>578.81859126740881</v>
      </c>
      <c r="K106" s="1234">
        <f t="shared" si="72"/>
        <v>1347.0581851448928</v>
      </c>
      <c r="L106" s="1234">
        <f t="shared" si="72"/>
        <v>1150.2976256403276</v>
      </c>
      <c r="M106" s="1234">
        <f t="shared" si="72"/>
        <v>3643.287954335085</v>
      </c>
      <c r="N106" s="1234">
        <f t="shared" si="72"/>
        <v>3971.9466225412334</v>
      </c>
      <c r="O106" s="1234">
        <f t="shared" si="72"/>
        <v>899.95673027840303</v>
      </c>
      <c r="P106" s="1234">
        <f t="shared" si="72"/>
        <v>1483.6902697439721</v>
      </c>
      <c r="Q106" s="1234">
        <f t="shared" si="72"/>
        <v>3487.0387682728306</v>
      </c>
      <c r="R106" s="1234">
        <f t="shared" si="72"/>
        <v>1691.7230474471176</v>
      </c>
      <c r="S106" s="1234">
        <f t="shared" si="72"/>
        <v>1910.6616519198349</v>
      </c>
      <c r="T106" s="1234">
        <f t="shared" si="72"/>
        <v>5024.1097004974999</v>
      </c>
      <c r="U106" s="1234">
        <f t="shared" si="72"/>
        <v>1831.0775884749316</v>
      </c>
      <c r="V106" s="1234">
        <f t="shared" si="72"/>
        <v>2963.0407464117852</v>
      </c>
      <c r="W106" s="1234">
        <f t="shared" si="72"/>
        <v>877.88643842266902</v>
      </c>
      <c r="X106" s="1234">
        <f t="shared" si="72"/>
        <v>1713.2328031308907</v>
      </c>
      <c r="Y106" s="1234">
        <f t="shared" si="72"/>
        <v>1370.9582664976208</v>
      </c>
      <c r="Z106" s="1234">
        <f t="shared" si="72"/>
        <v>1134.493801645285</v>
      </c>
      <c r="AA106" s="1234">
        <f t="shared" si="72"/>
        <v>449.14762994448029</v>
      </c>
      <c r="AB106" s="1234">
        <f t="shared" si="72"/>
        <v>458.29664226731722</v>
      </c>
      <c r="AC106" s="1234">
        <f t="shared" si="72"/>
        <v>1157.2349067838104</v>
      </c>
      <c r="AD106" s="1234">
        <f t="shared" si="72"/>
        <v>436.29879592371884</v>
      </c>
      <c r="AE106" s="1234">
        <f t="shared" si="72"/>
        <v>3537.2954000903983</v>
      </c>
      <c r="AF106" s="1234">
        <f t="shared" si="72"/>
        <v>785.19288112307868</v>
      </c>
      <c r="AG106" s="1234">
        <f t="shared" si="72"/>
        <v>549.71086196388092</v>
      </c>
      <c r="AH106" s="1234">
        <f t="shared" si="72"/>
        <v>892.13034564236557</v>
      </c>
      <c r="AI106" s="1234">
        <f t="shared" si="72"/>
        <v>813.91635960314113</v>
      </c>
      <c r="AJ106" s="1234">
        <f t="shared" si="72"/>
        <v>695.09733400331447</v>
      </c>
      <c r="AK106" s="1234">
        <f t="shared" si="72"/>
        <v>346.20927872575834</v>
      </c>
      <c r="AL106" s="1234">
        <f t="shared" si="72"/>
        <v>5899.9229887052252</v>
      </c>
      <c r="AM106" s="1234">
        <f t="shared" si="72"/>
        <v>1091.6015205018887</v>
      </c>
      <c r="AN106" s="1234">
        <f t="shared" si="72"/>
        <v>498.14279779820282</v>
      </c>
      <c r="AO106" s="1234">
        <f t="shared" si="72"/>
        <v>153.27540941402492</v>
      </c>
      <c r="AP106" s="1234">
        <f t="shared" si="72"/>
        <v>363.87799522515223</v>
      </c>
      <c r="AQ106" s="1234">
        <f t="shared" si="72"/>
        <v>572.26184016669242</v>
      </c>
      <c r="AR106" s="1234">
        <f t="shared" si="72"/>
        <v>3408.2711532840663</v>
      </c>
      <c r="AS106" s="1234">
        <f t="shared" si="72"/>
        <v>566.67780838718147</v>
      </c>
      <c r="AT106" s="1234">
        <f t="shared" si="72"/>
        <v>482.78115055729256</v>
      </c>
      <c r="AU106" s="1234">
        <f t="shared" si="72"/>
        <v>825.68112924638251</v>
      </c>
      <c r="AV106" s="1234">
        <f t="shared" si="72"/>
        <v>1967.1301082109753</v>
      </c>
      <c r="AW106" s="1234">
        <f t="shared" si="72"/>
        <v>2453.8472199845664</v>
      </c>
      <c r="AX106" s="1234">
        <f t="shared" si="72"/>
        <v>1856.361417246216</v>
      </c>
      <c r="AY106" s="1234">
        <f t="shared" si="72"/>
        <v>901.79531611293828</v>
      </c>
      <c r="AZ106" s="1234">
        <f t="shared" si="72"/>
        <v>1397.6394903554315</v>
      </c>
      <c r="BA106" s="1234">
        <f t="shared" si="72"/>
        <v>201.2037881748299</v>
      </c>
      <c r="BB106" s="1234">
        <f t="shared" si="72"/>
        <v>1670.511598002254</v>
      </c>
      <c r="BC106" s="1234">
        <f t="shared" si="72"/>
        <v>2407.8493122944647</v>
      </c>
      <c r="BD106" s="1234">
        <f t="shared" si="72"/>
        <v>991.63136321164029</v>
      </c>
      <c r="BE106" s="1234">
        <f t="shared" si="72"/>
        <v>161.85984417391629</v>
      </c>
      <c r="BF106" s="1234">
        <f t="shared" si="73"/>
        <v>1334.9795897883339</v>
      </c>
    </row>
    <row r="107" spans="2:58" x14ac:dyDescent="0.2">
      <c r="B107" s="376" t="s">
        <v>877</v>
      </c>
      <c r="C107" s="1234">
        <f>+C48*(1-C$20)*C$16</f>
        <v>-261.18165801514988</v>
      </c>
      <c r="D107" s="1234">
        <f t="shared" si="72"/>
        <v>-2394.5243083534324</v>
      </c>
      <c r="E107" s="1234">
        <f t="shared" si="72"/>
        <v>-2221.8171028771403</v>
      </c>
      <c r="F107" s="1234">
        <f t="shared" si="72"/>
        <v>-16492.34639207902</v>
      </c>
      <c r="G107" s="1234">
        <f t="shared" si="72"/>
        <v>-3272.2978484559867</v>
      </c>
      <c r="H107" s="1234">
        <f t="shared" si="72"/>
        <v>-1150.1946041886019</v>
      </c>
      <c r="I107" s="1234">
        <f t="shared" si="72"/>
        <v>-3416.8140908917985</v>
      </c>
      <c r="J107" s="1234">
        <f t="shared" si="72"/>
        <v>-1553.2644601816237</v>
      </c>
      <c r="K107" s="1234">
        <f t="shared" si="72"/>
        <v>-1164.5732484354976</v>
      </c>
      <c r="L107" s="1234">
        <f t="shared" si="72"/>
        <v>-2578.2230451345754</v>
      </c>
      <c r="M107" s="1234">
        <f t="shared" si="72"/>
        <v>-6155.5555992585196</v>
      </c>
      <c r="N107" s="1234">
        <f t="shared" si="72"/>
        <v>-3089.602439862233</v>
      </c>
      <c r="O107" s="1234">
        <f t="shared" si="72"/>
        <v>-1810.8168727483705</v>
      </c>
      <c r="P107" s="1234">
        <f t="shared" si="72"/>
        <v>-1459.750326451727</v>
      </c>
      <c r="Q107" s="1234">
        <f t="shared" si="72"/>
        <v>-6259.6718480872469</v>
      </c>
      <c r="R107" s="1234">
        <f t="shared" si="72"/>
        <v>-1733.7018419557226</v>
      </c>
      <c r="S107" s="1234">
        <f t="shared" si="72"/>
        <v>-3575.3253657100927</v>
      </c>
      <c r="T107" s="1234">
        <f t="shared" si="72"/>
        <v>-6589.7395518259309</v>
      </c>
      <c r="U107" s="1234">
        <f t="shared" si="72"/>
        <v>-2203.5361129479907</v>
      </c>
      <c r="V107" s="1234">
        <f t="shared" si="72"/>
        <v>-4160.4445060355392</v>
      </c>
      <c r="W107" s="1234">
        <f t="shared" si="72"/>
        <v>-1966.6440065109362</v>
      </c>
      <c r="X107" s="1234">
        <f t="shared" si="72"/>
        <v>-4347.4194243923121</v>
      </c>
      <c r="Y107" s="1234">
        <f t="shared" si="72"/>
        <v>-2434.4117582395343</v>
      </c>
      <c r="Z107" s="1234">
        <f t="shared" si="72"/>
        <v>-1307.6780857132505</v>
      </c>
      <c r="AA107" s="1234">
        <f t="shared" si="72"/>
        <v>-1839.4507246287046</v>
      </c>
      <c r="AB107" s="1234">
        <f t="shared" si="72"/>
        <v>-1205.1337649228869</v>
      </c>
      <c r="AC107" s="1234">
        <f t="shared" si="72"/>
        <v>-2194.6314360957799</v>
      </c>
      <c r="AD107" s="1234">
        <f t="shared" si="72"/>
        <v>-1001.1557981755315</v>
      </c>
      <c r="AE107" s="1234">
        <f t="shared" si="72"/>
        <v>-5411.5255029170467</v>
      </c>
      <c r="AF107" s="1234">
        <f t="shared" si="72"/>
        <v>-1273.4171749894458</v>
      </c>
      <c r="AG107" s="1234">
        <f t="shared" si="72"/>
        <v>-732.71983116855426</v>
      </c>
      <c r="AH107" s="1234">
        <f t="shared" si="72"/>
        <v>-1801.089346023283</v>
      </c>
      <c r="AI107" s="1234">
        <f t="shared" si="72"/>
        <v>-1589.3425186687473</v>
      </c>
      <c r="AJ107" s="1234">
        <f t="shared" si="72"/>
        <v>-585.01589497945201</v>
      </c>
      <c r="AK107" s="1234">
        <f t="shared" si="72"/>
        <v>-321.22773018069421</v>
      </c>
      <c r="AL107" s="1234">
        <f t="shared" si="72"/>
        <v>-6439.0834219104745</v>
      </c>
      <c r="AM107" s="1234">
        <f t="shared" si="72"/>
        <v>-2800.9518778563997</v>
      </c>
      <c r="AN107" s="1234">
        <f t="shared" si="72"/>
        <v>-305.37810243945319</v>
      </c>
      <c r="AO107" s="1234">
        <f t="shared" si="72"/>
        <v>-99.67031270773937</v>
      </c>
      <c r="AP107" s="1234">
        <f t="shared" si="72"/>
        <v>-917.94951086269703</v>
      </c>
      <c r="AQ107" s="1234">
        <f t="shared" si="72"/>
        <v>-919.94374762850737</v>
      </c>
      <c r="AR107" s="1234">
        <f t="shared" si="72"/>
        <v>-5203.2725043246992</v>
      </c>
      <c r="AS107" s="1234">
        <f t="shared" si="72"/>
        <v>-1378.6806449864075</v>
      </c>
      <c r="AT107" s="1234">
        <f t="shared" si="72"/>
        <v>-305.32066849885575</v>
      </c>
      <c r="AU107" s="1234">
        <f t="shared" si="72"/>
        <v>-1630.9110853931311</v>
      </c>
      <c r="AV107" s="1234">
        <f t="shared" si="72"/>
        <v>-3658.1808070727693</v>
      </c>
      <c r="AW107" s="1234">
        <f t="shared" si="72"/>
        <v>-3349.8872137651947</v>
      </c>
      <c r="AX107" s="1234">
        <f t="shared" si="72"/>
        <v>-2968.1423846304215</v>
      </c>
      <c r="AY107" s="1234">
        <f t="shared" si="72"/>
        <v>-1521.8274663891427</v>
      </c>
      <c r="AZ107" s="1234">
        <f t="shared" si="72"/>
        <v>-2426.6616049933023</v>
      </c>
      <c r="BA107" s="1234">
        <f t="shared" si="72"/>
        <v>-1155.952355958208</v>
      </c>
      <c r="BB107" s="1234">
        <f t="shared" si="72"/>
        <v>-1552.2154256494125</v>
      </c>
      <c r="BC107" s="1234">
        <f t="shared" si="72"/>
        <v>-3743.149706195109</v>
      </c>
      <c r="BD107" s="1234">
        <f t="shared" si="72"/>
        <v>-2219.2576337381201</v>
      </c>
      <c r="BE107" s="1234">
        <f t="shared" si="72"/>
        <v>-381.42700230732299</v>
      </c>
      <c r="BF107" s="1234">
        <f t="shared" si="73"/>
        <v>-2265.877663007072</v>
      </c>
    </row>
    <row r="108" spans="2:58" x14ac:dyDescent="0.2">
      <c r="B108" s="376" t="s">
        <v>889</v>
      </c>
      <c r="C108" s="1234">
        <f>+C49*(1-C$20)*C$16</f>
        <v>23911.769479913204</v>
      </c>
      <c r="D108" s="1234">
        <f t="shared" si="72"/>
        <v>12972.5627061784</v>
      </c>
      <c r="E108" s="1234">
        <f t="shared" si="72"/>
        <v>4603.2570419596741</v>
      </c>
      <c r="F108" s="1234">
        <f t="shared" si="72"/>
        <v>62280.035907743506</v>
      </c>
      <c r="G108" s="1234">
        <f t="shared" si="72"/>
        <v>20403.164763875699</v>
      </c>
      <c r="H108" s="1234">
        <f t="shared" si="72"/>
        <v>2874.9636087007902</v>
      </c>
      <c r="I108" s="1234">
        <f t="shared" si="72"/>
        <v>4912.3897996199175</v>
      </c>
      <c r="J108" s="1234">
        <f t="shared" si="72"/>
        <v>11289.011308962001</v>
      </c>
      <c r="K108" s="1234">
        <f t="shared" si="72"/>
        <v>5947.4965548509008</v>
      </c>
      <c r="L108" s="1234">
        <f t="shared" si="72"/>
        <v>9299.7429881285861</v>
      </c>
      <c r="M108" s="1234">
        <f t="shared" si="72"/>
        <v>21891.830255389301</v>
      </c>
      <c r="N108" s="1234">
        <f t="shared" si="72"/>
        <v>16971.585666630595</v>
      </c>
      <c r="O108" s="1234">
        <f t="shared" si="72"/>
        <v>8818.7324193725763</v>
      </c>
      <c r="P108" s="1234">
        <f t="shared" si="72"/>
        <v>7047.0168702801138</v>
      </c>
      <c r="Q108" s="1234">
        <f t="shared" si="72"/>
        <v>28727.619688760406</v>
      </c>
      <c r="R108" s="1234">
        <f t="shared" si="72"/>
        <v>39043.352489186414</v>
      </c>
      <c r="S108" s="1234">
        <f t="shared" si="72"/>
        <v>39007.34442684026</v>
      </c>
      <c r="T108" s="1234">
        <f t="shared" si="72"/>
        <v>15191.806389960118</v>
      </c>
      <c r="U108" s="1234">
        <f t="shared" si="72"/>
        <v>15173.365304258097</v>
      </c>
      <c r="V108" s="1234">
        <f t="shared" si="72"/>
        <v>13427.409024549286</v>
      </c>
      <c r="W108" s="1234">
        <f t="shared" si="72"/>
        <v>11753.6176362879</v>
      </c>
      <c r="X108" s="1234">
        <f t="shared" si="72"/>
        <v>4790.0338433711859</v>
      </c>
      <c r="Y108" s="1234">
        <f t="shared" si="72"/>
        <v>4782.295258277597</v>
      </c>
      <c r="Z108" s="1234">
        <f t="shared" si="72"/>
        <v>5273.7643879777579</v>
      </c>
      <c r="AA108" s="1234">
        <f t="shared" si="72"/>
        <v>10097.396814499401</v>
      </c>
      <c r="AB108" s="1234">
        <f t="shared" si="72"/>
        <v>9757.833546965101</v>
      </c>
      <c r="AC108" s="1234">
        <f t="shared" si="72"/>
        <v>16801.654086799997</v>
      </c>
      <c r="AD108" s="1234">
        <f t="shared" si="72"/>
        <v>9251.1557741862998</v>
      </c>
      <c r="AE108" s="1234">
        <f t="shared" si="72"/>
        <v>33850.142553132981</v>
      </c>
      <c r="AF108" s="1234">
        <f t="shared" si="72"/>
        <v>6217.7061567650026</v>
      </c>
      <c r="AG108" s="1234">
        <f t="shared" si="72"/>
        <v>5963.031122429461</v>
      </c>
      <c r="AH108" s="1234">
        <f t="shared" si="72"/>
        <v>5084.5939432391997</v>
      </c>
      <c r="AI108" s="1234">
        <f t="shared" si="72"/>
        <v>5496.645050225321</v>
      </c>
      <c r="AJ108" s="1234">
        <f t="shared" si="72"/>
        <v>4614.4406104947229</v>
      </c>
      <c r="AK108" s="1234">
        <f t="shared" si="72"/>
        <v>4112.5188974052571</v>
      </c>
      <c r="AL108" s="1234">
        <f t="shared" si="72"/>
        <v>98474.558217865429</v>
      </c>
      <c r="AM108" s="1234">
        <f t="shared" si="72"/>
        <v>8197.9783784746669</v>
      </c>
      <c r="AN108" s="1234">
        <f t="shared" si="72"/>
        <v>26053.35147258902</v>
      </c>
      <c r="AO108" s="1234">
        <f t="shared" si="72"/>
        <v>8373.8827756108949</v>
      </c>
      <c r="AP108" s="1234">
        <f t="shared" si="72"/>
        <v>20012.471023148464</v>
      </c>
      <c r="AQ108" s="1234">
        <f t="shared" ref="AQ108:BE108" si="74">+AQ49*(1-AQ$20)*AQ$16</f>
        <v>10093.683713810373</v>
      </c>
      <c r="AR108" s="1234">
        <f t="shared" si="74"/>
        <v>15069.829686279756</v>
      </c>
      <c r="AS108" s="1234">
        <f t="shared" si="74"/>
        <v>5575.3499748285003</v>
      </c>
      <c r="AT108" s="1234">
        <f t="shared" si="74"/>
        <v>3786.2354565047822</v>
      </c>
      <c r="AU108" s="1234">
        <f t="shared" si="74"/>
        <v>8150.9878243785979</v>
      </c>
      <c r="AV108" s="1234">
        <f t="shared" si="74"/>
        <v>9457.9540423506751</v>
      </c>
      <c r="AW108" s="1234">
        <f t="shared" si="74"/>
        <v>11287.623434941348</v>
      </c>
      <c r="AX108" s="1234">
        <f t="shared" si="74"/>
        <v>17836.8899994762</v>
      </c>
      <c r="AY108" s="1234">
        <f t="shared" si="74"/>
        <v>10249.046806316417</v>
      </c>
      <c r="AZ108" s="1234">
        <f t="shared" si="74"/>
        <v>9023.9890937868695</v>
      </c>
      <c r="BA108" s="1234">
        <f t="shared" si="74"/>
        <v>8338.6358590257005</v>
      </c>
      <c r="BB108" s="1234">
        <f t="shared" si="74"/>
        <v>4388.9053898036709</v>
      </c>
      <c r="BC108" s="1234">
        <f t="shared" si="74"/>
        <v>8540.660426918741</v>
      </c>
      <c r="BD108" s="1234">
        <f t="shared" si="74"/>
        <v>14752.895040891328</v>
      </c>
      <c r="BE108" s="1234">
        <f t="shared" si="74"/>
        <v>2264.9111785156178</v>
      </c>
      <c r="BF108" s="1234">
        <f t="shared" ref="BF108" si="75">+BF49*(1-BF$20)*BF$16</f>
        <v>15781.576312068468</v>
      </c>
    </row>
    <row r="109" spans="2:58" x14ac:dyDescent="0.2">
      <c r="B109" s="374" t="s">
        <v>192</v>
      </c>
      <c r="C109" s="743">
        <f>+C20*C$15</f>
        <v>1045.5370793241195</v>
      </c>
      <c r="D109" s="743">
        <f t="shared" ref="D109:BE109" si="76">+D20*D$15</f>
        <v>1074.6716754854745</v>
      </c>
      <c r="E109" s="743">
        <f t="shared" si="76"/>
        <v>458.08735788832246</v>
      </c>
      <c r="F109" s="743">
        <f t="shared" si="76"/>
        <v>4423.8080916619911</v>
      </c>
      <c r="G109" s="743">
        <f t="shared" si="76"/>
        <v>1186.2957905505366</v>
      </c>
      <c r="H109" s="743">
        <f t="shared" si="76"/>
        <v>140.31409000000002</v>
      </c>
      <c r="I109" s="743">
        <f t="shared" si="76"/>
        <v>507.49500905526304</v>
      </c>
      <c r="J109" s="743">
        <f t="shared" si="76"/>
        <v>458.6080447467051</v>
      </c>
      <c r="K109" s="743">
        <f t="shared" si="76"/>
        <v>564.53923727377685</v>
      </c>
      <c r="L109" s="743">
        <f t="shared" si="76"/>
        <v>695.02867000000003</v>
      </c>
      <c r="M109" s="743">
        <f t="shared" si="76"/>
        <v>1051.2034093667555</v>
      </c>
      <c r="N109" s="743">
        <f t="shared" si="76"/>
        <v>1049.0415861474316</v>
      </c>
      <c r="O109" s="743">
        <f t="shared" si="76"/>
        <v>357.53785951464454</v>
      </c>
      <c r="P109" s="743">
        <f t="shared" si="76"/>
        <v>400.41096463407172</v>
      </c>
      <c r="Q109" s="743">
        <f t="shared" si="76"/>
        <v>1679.398201547416</v>
      </c>
      <c r="R109" s="743">
        <f t="shared" si="76"/>
        <v>1306.1969200000001</v>
      </c>
      <c r="S109" s="743">
        <f t="shared" si="76"/>
        <v>1446.7558759477613</v>
      </c>
      <c r="T109" s="743">
        <f t="shared" si="76"/>
        <v>1187.4638651152536</v>
      </c>
      <c r="U109" s="743">
        <f t="shared" si="76"/>
        <v>775.71837000000005</v>
      </c>
      <c r="V109" s="743">
        <f t="shared" si="76"/>
        <v>966.99767551924685</v>
      </c>
      <c r="W109" s="743">
        <f t="shared" si="76"/>
        <v>1006.2223343858079</v>
      </c>
      <c r="X109" s="743">
        <f t="shared" si="76"/>
        <v>454.70397000000003</v>
      </c>
      <c r="Y109" s="743">
        <f t="shared" si="76"/>
        <v>257.77801520756344</v>
      </c>
      <c r="Z109" s="743">
        <f t="shared" si="76"/>
        <v>274.19203000000005</v>
      </c>
      <c r="AA109" s="743">
        <f t="shared" si="76"/>
        <v>383.42718139924506</v>
      </c>
      <c r="AB109" s="743">
        <f t="shared" si="76"/>
        <v>587.08093336568038</v>
      </c>
      <c r="AC109" s="743">
        <f t="shared" si="76"/>
        <v>669.85700494269656</v>
      </c>
      <c r="AD109" s="743">
        <f t="shared" si="76"/>
        <v>329.60648000000003</v>
      </c>
      <c r="AE109" s="743">
        <f t="shared" si="76"/>
        <v>1618.1023600000001</v>
      </c>
      <c r="AF109" s="743">
        <f t="shared" si="76"/>
        <v>364.92308987434836</v>
      </c>
      <c r="AG109" s="743">
        <f t="shared" si="76"/>
        <v>262.32947999999999</v>
      </c>
      <c r="AH109" s="743">
        <f t="shared" si="76"/>
        <v>344.2800393762576</v>
      </c>
      <c r="AI109" s="743">
        <f t="shared" si="76"/>
        <v>269.74297000000001</v>
      </c>
      <c r="AJ109" s="743">
        <f t="shared" si="76"/>
        <v>271.2623520459411</v>
      </c>
      <c r="AK109" s="743">
        <f t="shared" si="76"/>
        <v>204.59313000000003</v>
      </c>
      <c r="AL109" s="743">
        <f t="shared" si="76"/>
        <v>3171.1324023718284</v>
      </c>
      <c r="AM109" s="743">
        <f t="shared" si="76"/>
        <v>389.23856814468212</v>
      </c>
      <c r="AN109" s="743">
        <f t="shared" si="76"/>
        <v>755.88857369829373</v>
      </c>
      <c r="AO109" s="743">
        <f t="shared" si="76"/>
        <v>231.31957000000006</v>
      </c>
      <c r="AP109" s="743">
        <f t="shared" si="76"/>
        <v>516.61739</v>
      </c>
      <c r="AQ109" s="743">
        <f t="shared" si="76"/>
        <v>407.43264001312991</v>
      </c>
      <c r="AR109" s="743">
        <f t="shared" si="76"/>
        <v>1185.8624056837332</v>
      </c>
      <c r="AS109" s="743">
        <f t="shared" si="76"/>
        <v>339.95635914872622</v>
      </c>
      <c r="AT109" s="743">
        <f t="shared" si="76"/>
        <v>298.29221999999999</v>
      </c>
      <c r="AU109" s="743">
        <f t="shared" si="76"/>
        <v>329.7448</v>
      </c>
      <c r="AV109" s="743">
        <f t="shared" si="76"/>
        <v>651.28798198339416</v>
      </c>
      <c r="AW109" s="743">
        <f t="shared" si="76"/>
        <v>837.67838359043014</v>
      </c>
      <c r="AX109" s="743">
        <f t="shared" si="76"/>
        <v>1151.7222254647372</v>
      </c>
      <c r="AY109" s="743">
        <f t="shared" si="76"/>
        <v>684.2579398454493</v>
      </c>
      <c r="AZ109" s="743">
        <f t="shared" si="76"/>
        <v>449.85609845685451</v>
      </c>
      <c r="BA109" s="743">
        <f t="shared" si="76"/>
        <v>607.64710102167726</v>
      </c>
      <c r="BB109" s="743">
        <f t="shared" si="76"/>
        <v>462.80742938279582</v>
      </c>
      <c r="BC109" s="743">
        <f t="shared" si="76"/>
        <v>716.61360403495826</v>
      </c>
      <c r="BD109" s="743">
        <f t="shared" si="76"/>
        <v>68.292350000000013</v>
      </c>
      <c r="BE109" s="743">
        <f t="shared" si="76"/>
        <v>82.128830000000008</v>
      </c>
      <c r="BF109" s="743">
        <f t="shared" ref="BF109" si="77">+BF20*BF$15</f>
        <v>1084.2396632852854</v>
      </c>
    </row>
    <row r="110" spans="2:58" x14ac:dyDescent="0.2">
      <c r="B110" s="374" t="s">
        <v>496</v>
      </c>
      <c r="C110" s="743">
        <f>+C21*C$15</f>
        <v>555.76749354199535</v>
      </c>
      <c r="D110" s="743">
        <f t="shared" ref="D110:BE110" si="78">+D21*D$15</f>
        <v>524.51440163602513</v>
      </c>
      <c r="E110" s="743">
        <f t="shared" si="78"/>
        <v>248.43664711902363</v>
      </c>
      <c r="F110" s="743">
        <f t="shared" si="78"/>
        <v>814.59837000000005</v>
      </c>
      <c r="G110" s="743">
        <f t="shared" si="78"/>
        <v>255.741705</v>
      </c>
      <c r="H110" s="743">
        <f t="shared" si="78"/>
        <v>30.067305000000001</v>
      </c>
      <c r="I110" s="743">
        <f t="shared" si="78"/>
        <v>251.42114272362369</v>
      </c>
      <c r="J110" s="743">
        <f t="shared" si="78"/>
        <v>109.07118</v>
      </c>
      <c r="K110" s="743">
        <f t="shared" si="78"/>
        <v>288.49486367069244</v>
      </c>
      <c r="L110" s="743">
        <f t="shared" si="78"/>
        <v>148.93471499999998</v>
      </c>
      <c r="M110" s="743">
        <f t="shared" si="78"/>
        <v>250.87120499999997</v>
      </c>
      <c r="N110" s="743">
        <f t="shared" si="78"/>
        <v>521.43681859397361</v>
      </c>
      <c r="O110" s="743">
        <f t="shared" si="78"/>
        <v>85.223084999999998</v>
      </c>
      <c r="P110" s="743">
        <f t="shared" si="78"/>
        <v>210.97150376029035</v>
      </c>
      <c r="Q110" s="743">
        <f t="shared" si="78"/>
        <v>313.93741499999999</v>
      </c>
      <c r="R110" s="743">
        <f t="shared" si="78"/>
        <v>279.89933999999994</v>
      </c>
      <c r="S110" s="743">
        <f t="shared" si="78"/>
        <v>294.97808999999995</v>
      </c>
      <c r="T110" s="743">
        <f t="shared" si="78"/>
        <v>297.74602499999997</v>
      </c>
      <c r="U110" s="743">
        <f t="shared" si="78"/>
        <v>166.22536499999998</v>
      </c>
      <c r="V110" s="743">
        <f t="shared" si="78"/>
        <v>463.0373582039764</v>
      </c>
      <c r="W110" s="743">
        <f t="shared" si="78"/>
        <v>538.44378576045995</v>
      </c>
      <c r="X110" s="743">
        <f t="shared" si="78"/>
        <v>97.436564999999987</v>
      </c>
      <c r="Y110" s="743">
        <f t="shared" si="78"/>
        <v>48.016154999999998</v>
      </c>
      <c r="Z110" s="743">
        <f t="shared" si="78"/>
        <v>58.755434999999999</v>
      </c>
      <c r="AA110" s="743">
        <f t="shared" si="78"/>
        <v>99.601410000000001</v>
      </c>
      <c r="AB110" s="743">
        <f t="shared" si="78"/>
        <v>225.86910590140931</v>
      </c>
      <c r="AC110" s="743">
        <f t="shared" si="78"/>
        <v>157.04737499999999</v>
      </c>
      <c r="AD110" s="743">
        <f t="shared" si="78"/>
        <v>70.629959999999997</v>
      </c>
      <c r="AE110" s="743">
        <f t="shared" si="78"/>
        <v>346.73622</v>
      </c>
      <c r="AF110" s="743">
        <f t="shared" si="78"/>
        <v>81.188639999999992</v>
      </c>
      <c r="AG110" s="743">
        <f t="shared" si="78"/>
        <v>56.213459999999998</v>
      </c>
      <c r="AH110" s="743">
        <f t="shared" si="78"/>
        <v>183.05249175434588</v>
      </c>
      <c r="AI110" s="743">
        <f t="shared" si="78"/>
        <v>57.802064999999999</v>
      </c>
      <c r="AJ110" s="743">
        <f t="shared" si="78"/>
        <v>49.150320000000001</v>
      </c>
      <c r="AK110" s="743">
        <f t="shared" si="78"/>
        <v>43.841384999999995</v>
      </c>
      <c r="AL110" s="743">
        <f t="shared" si="78"/>
        <v>691.86541499999998</v>
      </c>
      <c r="AM110" s="743">
        <f t="shared" si="78"/>
        <v>86.074680000000001</v>
      </c>
      <c r="AN110" s="743">
        <f t="shared" si="78"/>
        <v>180.39646500000001</v>
      </c>
      <c r="AO110" s="743">
        <f t="shared" si="78"/>
        <v>56.223765</v>
      </c>
      <c r="AP110" s="743">
        <f t="shared" si="78"/>
        <v>135.39613499999999</v>
      </c>
      <c r="AQ110" s="743">
        <f t="shared" si="78"/>
        <v>103.75280888105226</v>
      </c>
      <c r="AR110" s="743">
        <f t="shared" si="78"/>
        <v>577.83825678178448</v>
      </c>
      <c r="AS110" s="743">
        <f t="shared" si="78"/>
        <v>162.66664137315763</v>
      </c>
      <c r="AT110" s="743">
        <f t="shared" si="78"/>
        <v>116.40672000000001</v>
      </c>
      <c r="AU110" s="743">
        <f t="shared" si="78"/>
        <v>70.659599999999983</v>
      </c>
      <c r="AV110" s="743">
        <f t="shared" si="78"/>
        <v>315.36103424984941</v>
      </c>
      <c r="AW110" s="743">
        <f t="shared" si="78"/>
        <v>412.4100350110466</v>
      </c>
      <c r="AX110" s="743">
        <f t="shared" si="78"/>
        <v>215.40548999999999</v>
      </c>
      <c r="AY110" s="743">
        <f t="shared" si="78"/>
        <v>300.03754416978319</v>
      </c>
      <c r="AZ110" s="743">
        <f t="shared" si="78"/>
        <v>107.26366922842722</v>
      </c>
      <c r="BA110" s="743">
        <f t="shared" si="78"/>
        <v>313.1220180862814</v>
      </c>
      <c r="BB110" s="743">
        <f t="shared" si="78"/>
        <v>254.93845040237034</v>
      </c>
      <c r="BC110" s="743">
        <f t="shared" si="78"/>
        <v>358.7570674665609</v>
      </c>
      <c r="BD110" s="743">
        <f t="shared" si="78"/>
        <v>14.634074999999999</v>
      </c>
      <c r="BE110" s="743">
        <f t="shared" si="78"/>
        <v>17.599035000000001</v>
      </c>
      <c r="BF110" s="743">
        <f t="shared" ref="BF110" si="79">+BF21*BF$15</f>
        <v>521.10805000000005</v>
      </c>
    </row>
    <row r="112" spans="2:58" x14ac:dyDescent="0.2">
      <c r="B112" s="374" t="s">
        <v>1562</v>
      </c>
    </row>
    <row r="113" spans="2:5" x14ac:dyDescent="0.2">
      <c r="B113" s="376" t="s">
        <v>673</v>
      </c>
      <c r="C113" s="1234">
        <f>SUM(C92:BE92)/SUM($C$15:$BE$15)</f>
        <v>0.99831507167548095</v>
      </c>
    </row>
    <row r="114" spans="2:5" x14ac:dyDescent="0.2">
      <c r="B114" s="376" t="s">
        <v>674</v>
      </c>
      <c r="C114" s="1234">
        <f t="shared" ref="C114:C131" si="80">SUM(C93:BE93)/SUM($C$15:$BE$15)</f>
        <v>0.78446736125241878</v>
      </c>
    </row>
    <row r="115" spans="2:5" x14ac:dyDescent="0.2">
      <c r="B115" s="622"/>
      <c r="C115" s="1234">
        <f t="shared" si="80"/>
        <v>0</v>
      </c>
    </row>
    <row r="116" spans="2:5" x14ac:dyDescent="0.2">
      <c r="B116" s="622"/>
      <c r="C116" s="1234">
        <f t="shared" si="80"/>
        <v>0</v>
      </c>
    </row>
    <row r="117" spans="2:5" x14ac:dyDescent="0.2">
      <c r="B117" s="376" t="s">
        <v>842</v>
      </c>
      <c r="C117" s="1234">
        <f>SUM(C96:BE96)/SUM($C$15:$BE$15)</f>
        <v>0.40789992315792101</v>
      </c>
      <c r="D117" s="743"/>
    </row>
    <row r="118" spans="2:5" x14ac:dyDescent="0.2">
      <c r="B118" s="376" t="s">
        <v>870</v>
      </c>
      <c r="C118" s="1234">
        <f t="shared" si="80"/>
        <v>0.2107702848650361</v>
      </c>
      <c r="D118" s="743"/>
    </row>
    <row r="119" spans="2:5" x14ac:dyDescent="0.2">
      <c r="B119" s="376" t="s">
        <v>873</v>
      </c>
      <c r="C119" s="1234">
        <f t="shared" si="80"/>
        <v>0.14969151767886585</v>
      </c>
      <c r="D119" s="1232"/>
    </row>
    <row r="120" spans="2:5" x14ac:dyDescent="0.2">
      <c r="B120" s="376" t="s">
        <v>876</v>
      </c>
      <c r="C120" s="1234">
        <f t="shared" si="80"/>
        <v>-0.33947178674240058</v>
      </c>
    </row>
    <row r="121" spans="2:5" x14ac:dyDescent="0.2">
      <c r="B121" s="376" t="s">
        <v>879</v>
      </c>
      <c r="C121" s="1234">
        <f t="shared" si="80"/>
        <v>0.1046345611245295</v>
      </c>
    </row>
    <row r="122" spans="2:5" x14ac:dyDescent="0.2">
      <c r="B122" s="376" t="s">
        <v>881</v>
      </c>
      <c r="C122" s="1234">
        <f t="shared" si="80"/>
        <v>4.9116749256911723</v>
      </c>
      <c r="E122" s="1236"/>
    </row>
    <row r="123" spans="2:5" x14ac:dyDescent="0.2">
      <c r="B123" s="376" t="s">
        <v>882</v>
      </c>
      <c r="C123" s="1234">
        <f t="shared" si="80"/>
        <v>1.0006749256911713</v>
      </c>
    </row>
    <row r="124" spans="2:5" x14ac:dyDescent="0.2">
      <c r="B124" s="1235"/>
      <c r="C124" s="1234">
        <f t="shared" si="80"/>
        <v>0</v>
      </c>
    </row>
    <row r="125" spans="2:5" x14ac:dyDescent="0.2">
      <c r="B125" s="376" t="s">
        <v>869</v>
      </c>
      <c r="C125" s="1234">
        <f>SUM(C104:BE104)/SUM($C$16:$BE$16)</f>
        <v>0.48049745858750598</v>
      </c>
    </row>
    <row r="126" spans="2:5" x14ac:dyDescent="0.2">
      <c r="B126" s="376" t="s">
        <v>871</v>
      </c>
      <c r="C126" s="1234">
        <f>SUM(C105:BE105)/SUM($C$16:$BE$16)</f>
        <v>0.24873458912644447</v>
      </c>
    </row>
    <row r="127" spans="2:5" x14ac:dyDescent="0.2">
      <c r="B127" s="376" t="s">
        <v>874</v>
      </c>
      <c r="C127" s="1234">
        <f>SUM(C106:BE106)/SUM($C$16:$BE$16)</f>
        <v>0.17442110174677322</v>
      </c>
    </row>
    <row r="128" spans="2:5" x14ac:dyDescent="0.2">
      <c r="B128" s="376" t="s">
        <v>877</v>
      </c>
      <c r="C128" s="1234">
        <f>SUM(C107:BE107)/SUM($C$16:$BE$16)</f>
        <v>-0.28828721911207367</v>
      </c>
    </row>
    <row r="129" spans="2:5" x14ac:dyDescent="0.2">
      <c r="B129" s="376" t="s">
        <v>889</v>
      </c>
      <c r="C129" s="1234">
        <f>SUM(C108:BE108)/SUM($C$16:$BE$16)</f>
        <v>1.6212677593586793</v>
      </c>
    </row>
    <row r="130" spans="2:5" x14ac:dyDescent="0.2">
      <c r="B130" s="376" t="s">
        <v>192</v>
      </c>
      <c r="C130" s="1234">
        <f t="shared" si="80"/>
        <v>7.9914121091572948E-2</v>
      </c>
      <c r="D130" s="1237"/>
      <c r="E130" s="743"/>
    </row>
    <row r="131" spans="2:5" x14ac:dyDescent="0.2">
      <c r="B131" s="376" t="s">
        <v>1561</v>
      </c>
      <c r="C131" s="1234">
        <f t="shared" si="80"/>
        <v>2.4539026957066803E-2</v>
      </c>
      <c r="E131" s="743"/>
    </row>
  </sheetData>
  <mergeCells count="1">
    <mergeCell ref="A38:A44"/>
  </mergeCells>
  <dataValidations disablePrompts="1" count="1">
    <dataValidation type="list" allowBlank="1" showInputMessage="1" showErrorMessage="1" sqref="B27">
      <formula1>$B$28:$B$29</formula1>
    </dataValidation>
  </dataValidations>
  <pageMargins left="0.7" right="0.7" top="0.75" bottom="0.75" header="0.3" footer="0.3"/>
  <pageSetup paperSize="9" orientation="portrait" verticalDpi="300" r:id="rId1"/>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27"/>
  <dimension ref="A2:M36"/>
  <sheetViews>
    <sheetView rightToLeft="1" workbookViewId="0">
      <selection activeCell="E8" sqref="E8"/>
    </sheetView>
  </sheetViews>
  <sheetFormatPr defaultRowHeight="12.75" x14ac:dyDescent="0.2"/>
  <cols>
    <col min="1" max="1" width="9.140625" style="1"/>
    <col min="2" max="2" width="25.7109375" style="1" customWidth="1"/>
    <col min="3" max="3" width="10.42578125" style="1" bestFit="1" customWidth="1"/>
    <col min="4" max="4" width="12.42578125" style="1" customWidth="1"/>
    <col min="5" max="5" width="10.7109375" style="1" customWidth="1"/>
    <col min="6" max="6" width="14.7109375" style="1" bestFit="1" customWidth="1"/>
    <col min="7" max="7" width="11.7109375" style="1" bestFit="1" customWidth="1"/>
    <col min="8" max="8" width="28.140625" style="1" customWidth="1"/>
    <col min="9" max="9" width="9.140625" style="1" hidden="1" customWidth="1"/>
    <col min="10" max="10" width="10" style="1" hidden="1" customWidth="1"/>
    <col min="11" max="12" width="9.140625" style="1" hidden="1" customWidth="1"/>
    <col min="13" max="13" width="14.42578125" style="1" hidden="1" customWidth="1"/>
    <col min="14" max="14" width="11.85546875" style="1" bestFit="1" customWidth="1"/>
    <col min="15" max="16384" width="9.140625" style="1"/>
  </cols>
  <sheetData>
    <row r="2" spans="1:7" ht="15.75" x14ac:dyDescent="0.25">
      <c r="D2" s="1054" t="s">
        <v>1495</v>
      </c>
      <c r="E2" s="39"/>
      <c r="F2" s="1054">
        <v>2015</v>
      </c>
    </row>
    <row r="6" spans="1:7" x14ac:dyDescent="0.2">
      <c r="B6" s="1" t="s">
        <v>1494</v>
      </c>
      <c r="C6" s="1">
        <v>2015</v>
      </c>
      <c r="D6" s="1">
        <v>2016</v>
      </c>
      <c r="E6" s="1">
        <v>2017</v>
      </c>
      <c r="F6" s="1">
        <v>2018</v>
      </c>
      <c r="G6" s="1">
        <v>2019</v>
      </c>
    </row>
    <row r="7" spans="1:7" x14ac:dyDescent="0.2">
      <c r="A7" s="1">
        <v>1</v>
      </c>
      <c r="B7" s="1" t="s">
        <v>378</v>
      </c>
      <c r="C7" s="480">
        <v>0.15</v>
      </c>
      <c r="D7" s="480">
        <f>+C7</f>
        <v>0.15</v>
      </c>
      <c r="E7" s="1013">
        <v>0.13250000000000001</v>
      </c>
      <c r="F7" s="1013">
        <v>0.13250000000000001</v>
      </c>
      <c r="G7" s="1013">
        <v>0.115</v>
      </c>
    </row>
    <row r="8" spans="1:7" x14ac:dyDescent="0.2">
      <c r="A8" s="1">
        <v>2</v>
      </c>
      <c r="B8" s="1" t="s">
        <v>1496</v>
      </c>
      <c r="C8" s="480">
        <v>0.11</v>
      </c>
      <c r="D8" s="480">
        <f>+C8</f>
        <v>0.11</v>
      </c>
      <c r="E8" s="1013">
        <v>0.10249999999999999</v>
      </c>
      <c r="F8" s="1013">
        <v>9.5000000000000001E-2</v>
      </c>
      <c r="G8" s="1013">
        <v>9.5000000000000001E-2</v>
      </c>
    </row>
    <row r="9" spans="1:7" x14ac:dyDescent="0.2">
      <c r="A9" s="1">
        <v>3</v>
      </c>
      <c r="B9" s="1228" t="s">
        <v>558</v>
      </c>
      <c r="C9" s="480">
        <v>0.09</v>
      </c>
      <c r="D9" s="480">
        <f>+C9</f>
        <v>0.09</v>
      </c>
      <c r="E9" s="1013">
        <v>0.08</v>
      </c>
      <c r="F9" s="480">
        <v>0.08</v>
      </c>
      <c r="G9" s="480">
        <v>7.0000000000000007E-2</v>
      </c>
    </row>
    <row r="10" spans="1:7" x14ac:dyDescent="0.2">
      <c r="A10" s="1">
        <v>4</v>
      </c>
      <c r="B10" s="1228" t="s">
        <v>377</v>
      </c>
      <c r="C10" s="480">
        <f>+C8</f>
        <v>0.11</v>
      </c>
      <c r="D10" s="480">
        <f t="shared" ref="D10:G10" si="0">+D8</f>
        <v>0.11</v>
      </c>
      <c r="E10" s="480">
        <f t="shared" si="0"/>
        <v>0.10249999999999999</v>
      </c>
      <c r="F10" s="480">
        <f t="shared" si="0"/>
        <v>9.5000000000000001E-2</v>
      </c>
      <c r="G10" s="480">
        <f t="shared" si="0"/>
        <v>9.5000000000000001E-2</v>
      </c>
    </row>
    <row r="11" spans="1:7" x14ac:dyDescent="0.2">
      <c r="B11" s="1228" t="s">
        <v>496</v>
      </c>
      <c r="C11" s="1">
        <v>2015</v>
      </c>
      <c r="D11" s="1">
        <v>2016</v>
      </c>
      <c r="E11" s="1">
        <v>2017</v>
      </c>
      <c r="F11" s="1">
        <v>2018</v>
      </c>
      <c r="G11" s="1">
        <v>2019</v>
      </c>
    </row>
    <row r="12" spans="1:7" x14ac:dyDescent="0.2">
      <c r="A12" s="1">
        <v>1</v>
      </c>
      <c r="B12" s="1228" t="s">
        <v>378</v>
      </c>
      <c r="C12" s="480">
        <v>0.12</v>
      </c>
      <c r="D12" s="480">
        <f>+C12</f>
        <v>0.12</v>
      </c>
      <c r="E12" s="1013">
        <v>0.105</v>
      </c>
      <c r="F12" s="1013">
        <v>0.105</v>
      </c>
      <c r="G12" s="480">
        <v>0.09</v>
      </c>
    </row>
    <row r="13" spans="1:7" x14ac:dyDescent="0.2">
      <c r="A13" s="1">
        <v>2</v>
      </c>
      <c r="B13" s="1228" t="s">
        <v>1496</v>
      </c>
      <c r="C13" s="1013">
        <v>0.05</v>
      </c>
      <c r="D13" s="1013">
        <f>+C13</f>
        <v>0.05</v>
      </c>
      <c r="E13" s="480">
        <v>0.04</v>
      </c>
      <c r="F13" s="480">
        <v>0.04</v>
      </c>
      <c r="G13" s="480">
        <v>1.4999999999999999E-2</v>
      </c>
    </row>
    <row r="14" spans="1:7" x14ac:dyDescent="0.2">
      <c r="A14" s="1">
        <v>3</v>
      </c>
      <c r="B14" s="1228" t="s">
        <v>558</v>
      </c>
      <c r="C14" s="1013">
        <v>2.5000000000000001E-2</v>
      </c>
      <c r="D14" s="1013">
        <f>+C14</f>
        <v>2.5000000000000001E-2</v>
      </c>
      <c r="E14" s="480">
        <v>0.02</v>
      </c>
      <c r="F14" s="480">
        <v>0.02</v>
      </c>
      <c r="G14" s="1013">
        <v>1.4999999999999999E-2</v>
      </c>
    </row>
    <row r="15" spans="1:7" x14ac:dyDescent="0.2">
      <c r="A15" s="1">
        <v>4</v>
      </c>
      <c r="B15" s="1228" t="s">
        <v>377</v>
      </c>
      <c r="C15" s="1013">
        <f>+C13</f>
        <v>0.05</v>
      </c>
      <c r="D15" s="1013">
        <f t="shared" ref="D15:G15" si="1">+D13</f>
        <v>0.05</v>
      </c>
      <c r="E15" s="1013">
        <f t="shared" si="1"/>
        <v>0.04</v>
      </c>
      <c r="F15" s="1013">
        <f t="shared" si="1"/>
        <v>0.04</v>
      </c>
      <c r="G15" s="1013">
        <f t="shared" si="1"/>
        <v>1.4999999999999999E-2</v>
      </c>
    </row>
    <row r="18" spans="2:8" x14ac:dyDescent="0.2">
      <c r="C18" s="480"/>
      <c r="D18" s="480"/>
      <c r="E18" s="480"/>
      <c r="F18" s="480"/>
      <c r="G18" s="480"/>
    </row>
    <row r="19" spans="2:8" x14ac:dyDescent="0.2">
      <c r="B19" s="1228"/>
      <c r="C19" s="480"/>
      <c r="D19" s="480"/>
      <c r="E19" s="480"/>
      <c r="F19" s="480"/>
      <c r="G19" s="480"/>
    </row>
    <row r="20" spans="2:8" x14ac:dyDescent="0.2">
      <c r="C20" s="480"/>
      <c r="D20" s="480"/>
      <c r="E20" s="480"/>
      <c r="F20" s="480"/>
      <c r="G20" s="480"/>
      <c r="H20" s="1013"/>
    </row>
    <row r="21" spans="2:8" x14ac:dyDescent="0.2">
      <c r="B21" s="1228"/>
      <c r="C21" s="480"/>
      <c r="D21" s="480"/>
      <c r="E21" s="480"/>
      <c r="F21" s="480"/>
      <c r="G21" s="480"/>
    </row>
    <row r="22" spans="2:8" x14ac:dyDescent="0.2">
      <c r="C22" s="480"/>
    </row>
    <row r="23" spans="2:8" x14ac:dyDescent="0.2">
      <c r="B23" s="1228"/>
    </row>
    <row r="24" spans="2:8" x14ac:dyDescent="0.2">
      <c r="B24" s="1228"/>
      <c r="C24" s="480"/>
      <c r="D24" s="480"/>
      <c r="E24" s="480"/>
      <c r="F24" s="480"/>
      <c r="G24" s="480"/>
    </row>
    <row r="25" spans="2:8" x14ac:dyDescent="0.2">
      <c r="B25" s="1228"/>
      <c r="C25" s="480"/>
      <c r="D25" s="480"/>
      <c r="E25" s="480"/>
      <c r="F25" s="480"/>
      <c r="G25" s="480"/>
    </row>
    <row r="26" spans="2:8" x14ac:dyDescent="0.2">
      <c r="B26" s="1228"/>
      <c r="C26" s="480"/>
      <c r="D26" s="480"/>
      <c r="E26" s="480"/>
      <c r="F26" s="480"/>
      <c r="G26" s="480"/>
    </row>
    <row r="27" spans="2:8" x14ac:dyDescent="0.2">
      <c r="B27" s="1228"/>
      <c r="C27" s="480"/>
      <c r="D27" s="480"/>
      <c r="E27" s="480"/>
      <c r="F27" s="480"/>
      <c r="G27" s="480"/>
    </row>
    <row r="28" spans="2:8" x14ac:dyDescent="0.2">
      <c r="B28" s="1228"/>
      <c r="C28" s="1013"/>
      <c r="D28" s="1013"/>
      <c r="E28" s="480"/>
      <c r="F28" s="480"/>
      <c r="G28" s="1013"/>
    </row>
    <row r="29" spans="2:8" x14ac:dyDescent="0.2">
      <c r="B29" s="1228"/>
      <c r="C29" s="480"/>
      <c r="D29" s="480"/>
      <c r="E29" s="1013"/>
      <c r="F29" s="1013"/>
      <c r="G29" s="480"/>
    </row>
    <row r="30" spans="2:8" x14ac:dyDescent="0.2">
      <c r="B30" s="1228"/>
      <c r="C30" s="1013"/>
      <c r="D30" s="1013"/>
      <c r="E30" s="480"/>
      <c r="F30" s="480"/>
      <c r="G30" s="480"/>
    </row>
    <row r="31" spans="2:8" x14ac:dyDescent="0.2">
      <c r="B31" s="1228"/>
      <c r="C31" s="1013"/>
      <c r="D31" s="1013"/>
      <c r="E31" s="480"/>
      <c r="F31" s="480"/>
      <c r="G31" s="1013"/>
    </row>
    <row r="33" spans="2:7" x14ac:dyDescent="0.2">
      <c r="C33" s="1055"/>
      <c r="D33" s="480"/>
      <c r="E33" s="1013"/>
      <c r="F33" s="480"/>
      <c r="G33" s="480"/>
    </row>
    <row r="34" spans="2:7" x14ac:dyDescent="0.2">
      <c r="B34" s="1228"/>
      <c r="C34" s="1061"/>
      <c r="D34" s="1013"/>
      <c r="E34" s="480"/>
      <c r="F34" s="480"/>
      <c r="G34" s="1013"/>
    </row>
    <row r="35" spans="2:7" x14ac:dyDescent="0.2">
      <c r="D35" s="480"/>
      <c r="E35" s="1013"/>
      <c r="F35" s="480"/>
      <c r="G35" s="480"/>
    </row>
    <row r="36" spans="2:7" x14ac:dyDescent="0.2">
      <c r="B36" s="1228"/>
      <c r="D36" s="1013"/>
      <c r="E36" s="480"/>
      <c r="F36" s="480"/>
      <c r="G36" s="1013"/>
    </row>
  </sheetData>
  <pageMargins left="0.7" right="0.7" top="0.75" bottom="0.75" header="0.3" footer="0.3"/>
  <pageSetup paperSize="9" orientation="portrait" verticalDpi="3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8"/>
  <dimension ref="A1:HO71"/>
  <sheetViews>
    <sheetView rightToLeft="1" zoomScaleNormal="100" workbookViewId="0">
      <pane xSplit="1" ySplit="3" topLeftCell="B4" activePane="bottomRight" state="frozen"/>
      <selection activeCell="E49" sqref="E49"/>
      <selection pane="topRight" activeCell="E49" sqref="E49"/>
      <selection pane="bottomLeft" activeCell="E49" sqref="E49"/>
      <selection pane="bottomRight" activeCell="H45" sqref="H45"/>
    </sheetView>
  </sheetViews>
  <sheetFormatPr defaultColWidth="10.85546875" defaultRowHeight="12.75" x14ac:dyDescent="0.2"/>
  <cols>
    <col min="1" max="1" width="35.140625" customWidth="1"/>
    <col min="2" max="2" width="10.85546875" customWidth="1"/>
    <col min="3" max="3" width="11.7109375" bestFit="1" customWidth="1"/>
    <col min="4" max="4" width="9.140625" customWidth="1"/>
    <col min="5" max="5" width="20.5703125" bestFit="1" customWidth="1"/>
    <col min="6" max="6" width="13.5703125" bestFit="1" customWidth="1"/>
    <col min="7" max="7" width="31.42578125" bestFit="1" customWidth="1"/>
    <col min="8" max="8" width="23.140625" bestFit="1" customWidth="1"/>
    <col min="9" max="9" width="22" bestFit="1" customWidth="1"/>
    <col min="10" max="10" width="12.140625" customWidth="1"/>
    <col min="11" max="12" width="9.85546875" customWidth="1"/>
    <col min="13" max="13" width="11.85546875" bestFit="1" customWidth="1"/>
    <col min="14" max="14" width="9.85546875" customWidth="1"/>
    <col min="15" max="15" width="10.42578125" bestFit="1" customWidth="1"/>
    <col min="16" max="16" width="11.7109375" bestFit="1" customWidth="1"/>
    <col min="17" max="17" width="9.85546875" customWidth="1"/>
    <col min="18" max="18" width="23.28515625" bestFit="1" customWidth="1"/>
    <col min="19" max="19" width="17.28515625" bestFit="1" customWidth="1"/>
    <col min="20" max="66" width="9.85546875" customWidth="1"/>
  </cols>
  <sheetData>
    <row r="1" spans="1:223" x14ac:dyDescent="0.2">
      <c r="G1" s="17">
        <f>MIN(G4:G55)</f>
        <v>0.35329451815184137</v>
      </c>
      <c r="H1" t="s">
        <v>801</v>
      </c>
      <c r="I1">
        <f>+'[6]הנחות עבודה'!$D$63</f>
        <v>7.0000000000000007E-2</v>
      </c>
      <c r="J1" t="s">
        <v>802</v>
      </c>
      <c r="K1">
        <f>+'[6]הנחות עבודה'!$D$69</f>
        <v>1.4999999999999999E-2</v>
      </c>
      <c r="L1" t="s">
        <v>803</v>
      </c>
      <c r="N1" s="17">
        <v>0.02</v>
      </c>
      <c r="P1" s="1277" t="s">
        <v>378</v>
      </c>
      <c r="T1" s="1245" t="s">
        <v>1092</v>
      </c>
    </row>
    <row r="2" spans="1:223" s="652" customFormat="1" x14ac:dyDescent="0.2">
      <c r="A2"/>
      <c r="B2"/>
      <c r="C2"/>
      <c r="D2"/>
      <c r="E2"/>
      <c r="F2"/>
      <c r="G2"/>
      <c r="H2"/>
      <c r="I2"/>
      <c r="J2"/>
      <c r="K2"/>
      <c r="L2"/>
      <c r="M2"/>
      <c r="N2"/>
      <c r="O2"/>
      <c r="P2" s="1277" t="s">
        <v>984</v>
      </c>
      <c r="Q2"/>
      <c r="R2"/>
      <c r="S2" t="s">
        <v>1092</v>
      </c>
      <c r="T2" s="1245" t="s">
        <v>997</v>
      </c>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row>
    <row r="3" spans="1:223" x14ac:dyDescent="0.2">
      <c r="B3" s="13" t="s">
        <v>671</v>
      </c>
      <c r="C3" s="13" t="s">
        <v>192</v>
      </c>
      <c r="D3" s="13" t="s">
        <v>496</v>
      </c>
      <c r="E3" s="13" t="s">
        <v>804</v>
      </c>
      <c r="F3" s="13" t="s">
        <v>805</v>
      </c>
      <c r="G3" s="13" t="s">
        <v>806</v>
      </c>
      <c r="H3" s="13" t="s">
        <v>807</v>
      </c>
      <c r="I3" s="13" t="s">
        <v>808</v>
      </c>
      <c r="J3" s="13" t="s">
        <v>564</v>
      </c>
      <c r="K3" s="13" t="s">
        <v>195</v>
      </c>
      <c r="L3" s="13" t="s">
        <v>809</v>
      </c>
      <c r="M3" s="13" t="s">
        <v>810</v>
      </c>
      <c r="O3" s="1245" t="s">
        <v>985</v>
      </c>
      <c r="P3" t="str">
        <f t="shared" ref="P3:P58" si="0">+IF(AND(O3&gt;1,$P$1=B3),$P$2,B3)</f>
        <v>סיווג תאגיד</v>
      </c>
      <c r="R3" s="1291" t="s">
        <v>1488</v>
      </c>
      <c r="S3" s="1291" t="s">
        <v>1489</v>
      </c>
    </row>
    <row r="4" spans="1:223" x14ac:dyDescent="0.2">
      <c r="A4" t="s">
        <v>250</v>
      </c>
      <c r="B4" t="str">
        <f>+HLOOKUP(A4,'[6]נתוני תאגידים'!$1:$476,466,0)</f>
        <v>חלש</v>
      </c>
      <c r="C4" s="33">
        <f>+VLOOKUP(P4,'הנחות עבודה'!$C$62:$H$72,4,0)</f>
        <v>0.12659999999999999</v>
      </c>
      <c r="D4" s="33">
        <f>+VLOOKUP(טבלה112[[#This Row],[עמודה2]],'הנחות עבודה'!$C$69:$H$72,4,0)</f>
        <v>6.6699999999999995E-2</v>
      </c>
      <c r="E4" s="2">
        <f>+HLOOKUP(טבלה112[[#This Row],[עמודה1]],'נתוני תאגידים'!$1:$891,753,0)-HLOOKUP(טבלה112[[#This Row],[עמודה1]],'נתוני תאגידים'!$1:$891,788,0)</f>
        <v>4426.2910000000002</v>
      </c>
      <c r="F4" s="2">
        <f>+HLOOKUP(טבלה112[[#This Row],[עמודה1]],'נתוני תאגידים'!$1:$891,822,0)</f>
        <v>3442.6239999999998</v>
      </c>
      <c r="G4" s="651">
        <f t="shared" ref="G4:G57" si="1">+F4/E4</f>
        <v>0.77776720961183976</v>
      </c>
      <c r="H4" s="51">
        <f>+IF((IF(AND(J4&lt;2007,K4&gt;'הנחות עבודה'!$D$39-0.01),$I$1,+G4*C4+(1-G4)*$I$1)),+IF(AND(J4&lt;2007,K4&gt;'הנחות עבודה'!$D$39-0.01),$I$1,+G4*C4+(1-G4)*$I$1))-N4+IF($S$2="כן",R4,0)</f>
        <v>0.11402162406403013</v>
      </c>
      <c r="I4" s="51">
        <f>+IF(AND(J4&lt;2007,K4&gt;'הנחות עבודה'!$D$38-0.01),$K$1,+G4*D4+(1-G4)*$K$1)+IF($S$2="כן",S4,0)</f>
        <v>5.5210564736932116E-2</v>
      </c>
      <c r="J4">
        <f>+HLOOKUP(A4,'[6]נתוני תאגידים'!$1:$6,6,0)</f>
        <v>2010</v>
      </c>
      <c r="K4">
        <f>+ROUND(HLOOKUP(A4,'[6]נתוני תאגידים'!$1:$424,392,0),0)</f>
        <v>3</v>
      </c>
      <c r="L4">
        <f>+HLOOKUP(טבלה112[[#This Row],[עמודה1]],'נתוני תאגידים'!$1:$891,856,0)</f>
        <v>0</v>
      </c>
      <c r="M4" s="17">
        <f>+L4/HLOOKUP(טבלה112[[#This Row],[עמודה1]],'נתוני תאגידים'!$1:$891,753,0)</f>
        <v>0</v>
      </c>
      <c r="N4">
        <f t="shared" ref="N4:N58" si="2">+$N$1*M4</f>
        <v>0</v>
      </c>
      <c r="O4">
        <f>+HLOOKUP(טבלה112[[#This Row],[עמודה1]],'נתוני תאגידים'!$1:$891,479,0)</f>
        <v>7</v>
      </c>
      <c r="P4" t="str">
        <f t="shared" si="0"/>
        <v>חלש רב רשותי</v>
      </c>
      <c r="Q4" s="17">
        <f>+VLOOKUP(A4,'[12]פחת מים וגביה'!$A$1:$P$65536,8,0)</f>
        <v>0.1176290510341257</v>
      </c>
      <c r="R4" s="79">
        <f>+HLOOKUP(טבלה112[[#This Row],[עמודה1]],'נתוני תאגידים'!$1:$891,588,0)</f>
        <v>0</v>
      </c>
      <c r="S4" s="51">
        <f>+HLOOKUP(טבלה112[[#This Row],[עמודה1]],'נתוני תאגידים'!$1:$891,613,0)</f>
        <v>0</v>
      </c>
    </row>
    <row r="5" spans="1:223" x14ac:dyDescent="0.2">
      <c r="A5" t="s">
        <v>441</v>
      </c>
      <c r="B5" t="str">
        <f>+HLOOKUP(A5,'[6]נתוני תאגידים'!$1:$476,466,0)</f>
        <v>בינוני</v>
      </c>
      <c r="C5" s="33">
        <f>+VLOOKUP(P5,'הנחות עבודה'!$C$62:$H$72,4,0)</f>
        <v>8.6300000000000002E-2</v>
      </c>
      <c r="D5" s="33">
        <f>+VLOOKUP(טבלה112[[#This Row],[עמודה2]],'הנחות עבודה'!$C$69:$H$72,4,0)</f>
        <v>1.4999999999999999E-2</v>
      </c>
      <c r="E5" s="2">
        <f>+HLOOKUP(טבלה112[[#This Row],[עמודה1]],'נתוני תאגידים'!$1:$891,753,0)-HLOOKUP(טבלה112[[#This Row],[עמודה1]],'נתוני תאגידים'!$1:$891,788,0)</f>
        <v>47148.370999999999</v>
      </c>
      <c r="F5" s="2">
        <f>+HLOOKUP(טבלה112[[#This Row],[עמודה1]],'נתוני תאגידים'!$1:$891,822,0)</f>
        <v>33148.267</v>
      </c>
      <c r="G5" s="651">
        <f t="shared" si="1"/>
        <v>0.70306282692142219</v>
      </c>
      <c r="H5" s="51">
        <f>+IF((IF(AND(J5&lt;2007,K5&gt;'הנחות עבודה'!$D$39-0.01),$I$1,+G5*C5+(1-G5)*$I$1)),+IF(AND(J5&lt;2007,K5&gt;'הנחות עבודה'!$D$39-0.01),$I$1,+G5*C5+(1-G5)*$I$1))-N5+IF($S$2="כן",R5,0)</f>
        <v>8.145992407881919E-2</v>
      </c>
      <c r="I5" s="51">
        <f>+IF(AND(J5&lt;2007,K5&gt;'הנחות עבודה'!$D$38-0.01),$K$1,+G5*D5+(1-G5)*$K$1)+IF($S$2="כן",S5,0)</f>
        <v>1.4999999999999999E-2</v>
      </c>
      <c r="J5">
        <f>+HLOOKUP(A5,'[6]נתוני תאגידים'!$1:$6,6,0)</f>
        <v>2003</v>
      </c>
      <c r="K5">
        <f>+ROUND(HLOOKUP(A5,'[6]נתוני תאגידים'!$1:$424,392,0),0)</f>
        <v>5</v>
      </c>
      <c r="L5">
        <f>+HLOOKUP(טבלה112[[#This Row],[עמודה1]],'נתוני תאגידים'!$1:$891,856,0)</f>
        <v>0</v>
      </c>
      <c r="M5" s="17">
        <f>+L5/HLOOKUP(טבלה112[[#This Row],[עמודה1]],'נתוני תאגידים'!$1:$891,753,0)</f>
        <v>0</v>
      </c>
      <c r="N5">
        <f t="shared" si="2"/>
        <v>0</v>
      </c>
      <c r="O5">
        <f>+HLOOKUP(טבלה112[[#This Row],[עמודה1]],'נתוני תאגידים'!$1:$891,479,0)</f>
        <v>3</v>
      </c>
      <c r="P5" t="str">
        <f t="shared" si="0"/>
        <v>בינוני</v>
      </c>
      <c r="Q5" s="17">
        <f>+VLOOKUP(A5,'[12]פחת מים וגביה'!$A$1:$P$65536,8,0)</f>
        <v>7.9794467088661392E-2</v>
      </c>
      <c r="R5" s="79">
        <f>+HLOOKUP(טבלה112[[#This Row],[עמודה1]],'נתוני תאגידים'!$1:$891,588,0)</f>
        <v>0</v>
      </c>
      <c r="S5" s="51">
        <f>+HLOOKUP(טבלה112[[#This Row],[עמודה1]],'נתוני תאגידים'!$1:$891,613,0)</f>
        <v>0</v>
      </c>
    </row>
    <row r="6" spans="1:223" x14ac:dyDescent="0.2">
      <c r="A6" t="s">
        <v>439</v>
      </c>
      <c r="B6" t="str">
        <f>+HLOOKUP(A6,'[6]נתוני תאגידים'!$1:$476,466,0)</f>
        <v>חלש</v>
      </c>
      <c r="C6" s="33">
        <f>+VLOOKUP(P6,'הנחות עבודה'!$C$62:$H$72,4,0)</f>
        <v>0.12659999999999999</v>
      </c>
      <c r="D6" s="33">
        <f>+VLOOKUP(טבלה112[[#This Row],[עמודה2]],'הנחות עבודה'!$C$69:$H$72,4,0)</f>
        <v>6.6699999999999995E-2</v>
      </c>
      <c r="E6" s="2">
        <f>+HLOOKUP(טבלה112[[#This Row],[עמודה1]],'נתוני תאגידים'!$1:$891,753,0)-HLOOKUP(טבלה112[[#This Row],[עמודה1]],'נתוני תאגידים'!$1:$891,788,0)</f>
        <v>7307.735999999999</v>
      </c>
      <c r="F6" s="2">
        <f>+HLOOKUP(טבלה112[[#This Row],[עמודה1]],'נתוני תאגידים'!$1:$891,822,0)</f>
        <v>5817.244999999999</v>
      </c>
      <c r="G6" s="651">
        <f t="shared" si="1"/>
        <v>0.79603929315454192</v>
      </c>
      <c r="H6" s="51">
        <f>+IF((IF(AND(J6&lt;2007,K6&gt;'הנחות עבודה'!$D$39-0.01),$I$1,+G6*C6+(1-G6)*$I$1)),+IF(AND(J6&lt;2007,K6&gt;'הנחות עבודה'!$D$39-0.01),$I$1,+G6*C6+(1-G6)*$I$1))-N6+IF($S$2="כן",R6,0)</f>
        <v>0.11505582399254707</v>
      </c>
      <c r="I6" s="51">
        <f>+IF(AND(J6&lt;2007,K6&gt;'הנחות עבודה'!$D$38-0.01),$K$1,+G6*D6+(1-G6)*$K$1)+IF($S$2="כן",S6,0)</f>
        <v>5.6155231456089812E-2</v>
      </c>
      <c r="J6">
        <f>+HLOOKUP(A6,'[6]נתוני תאגידים'!$1:$6,6,0)</f>
        <v>2009</v>
      </c>
      <c r="K6">
        <f>+ROUND(HLOOKUP(A6,'[6]נתוני תאגידים'!$1:$424,392,0),0)</f>
        <v>3</v>
      </c>
      <c r="L6">
        <f>+HLOOKUP(טבלה112[[#This Row],[עמודה1]],'נתוני תאגידים'!$1:$891,856,0)</f>
        <v>0</v>
      </c>
      <c r="M6" s="17">
        <f>+L6/HLOOKUP(טבלה112[[#This Row],[עמודה1]],'נתוני תאגידים'!$1:$891,753,0)</f>
        <v>0</v>
      </c>
      <c r="N6">
        <f t="shared" si="2"/>
        <v>0</v>
      </c>
      <c r="O6">
        <f>+HLOOKUP(טבלה112[[#This Row],[עמודה1]],'נתוני תאגידים'!$1:$891,479,0)</f>
        <v>5</v>
      </c>
      <c r="P6" t="str">
        <f t="shared" si="0"/>
        <v>חלש רב רשותי</v>
      </c>
      <c r="Q6" s="17">
        <f>+VLOOKUP(A6,'[12]פחת מים וגביה'!$A$1:$P$65536,8,0)</f>
        <v>0.11476667222293997</v>
      </c>
      <c r="R6" s="79">
        <f>+HLOOKUP(טבלה112[[#This Row],[עמודה1]],'נתוני תאגידים'!$1:$891,588,0)</f>
        <v>0</v>
      </c>
      <c r="S6" s="51">
        <f>+HLOOKUP(טבלה112[[#This Row],[עמודה1]],'נתוני תאגידים'!$1:$891,613,0)</f>
        <v>0</v>
      </c>
    </row>
    <row r="7" spans="1:223" x14ac:dyDescent="0.2">
      <c r="A7" t="s">
        <v>440</v>
      </c>
      <c r="B7" t="str">
        <f>+HLOOKUP(A7,'[6]נתוני תאגידים'!$1:$476,466,0)</f>
        <v>בינוני</v>
      </c>
      <c r="C7" s="33">
        <f>+VLOOKUP(P7,'הנחות עבודה'!$C$62:$H$72,4,0)</f>
        <v>8.6300000000000002E-2</v>
      </c>
      <c r="D7" s="33">
        <f>+VLOOKUP(טבלה112[[#This Row],[עמודה2]],'הנחות עבודה'!$C$69:$H$72,4,0)</f>
        <v>1.4999999999999999E-2</v>
      </c>
      <c r="E7" s="2">
        <f>+HLOOKUP(טבלה112[[#This Row],[עמודה1]],'נתוני תאגידים'!$1:$891,753,0)-HLOOKUP(טבלה112[[#This Row],[עמודה1]],'נתוני תאגידים'!$1:$891,788,0)</f>
        <v>3804.1680000000001</v>
      </c>
      <c r="F7" s="2">
        <f>+HLOOKUP(טבלה112[[#This Row],[עמודה1]],'נתוני תאגידים'!$1:$891,822,0)</f>
        <v>2616.3609999999999</v>
      </c>
      <c r="G7" s="651">
        <f t="shared" si="1"/>
        <v>0.6877616866552686</v>
      </c>
      <c r="H7" s="51">
        <f>+IF((IF(AND(J7&lt;2007,K7&gt;'הנחות עבודה'!$D$39-0.01),$I$1,+G7*C7+(1-G7)*$I$1)),+IF(AND(J7&lt;2007,K7&gt;'הנחות עבודה'!$D$39-0.01),$I$1,+G7*C7+(1-G7)*$I$1))-N7+IF($S$2="כן",R7,0)</f>
        <v>0.10746985561863323</v>
      </c>
      <c r="I7" s="51">
        <f>+IF(AND(J7&lt;2007,K7&gt;'הנחות עבודה'!$D$38-0.01),$K$1,+G7*D7+(1-G7)*$K$1)+IF($S$2="כן",S7,0)</f>
        <v>5.8284626581569812E-2</v>
      </c>
      <c r="J7">
        <f>+HLOOKUP(A7,'[6]נתוני תאגידים'!$1:$6,6,0)</f>
        <v>2008</v>
      </c>
      <c r="K7">
        <f>+ROUND(HLOOKUP(A7,'[6]נתוני תאגידים'!$1:$424,392,0),0)</f>
        <v>4</v>
      </c>
      <c r="L7">
        <f>+HLOOKUP(טבלה112[[#This Row],[עמודה1]],'נתוני תאגידים'!$1:$891,856,0)</f>
        <v>0</v>
      </c>
      <c r="M7" s="17">
        <f>+L7/HLOOKUP(טבלה112[[#This Row],[עמודה1]],'נתוני תאגידים'!$1:$891,753,0)</f>
        <v>0</v>
      </c>
      <c r="N7">
        <f t="shared" si="2"/>
        <v>0</v>
      </c>
      <c r="O7">
        <f>+HLOOKUP(טבלה112[[#This Row],[עמודה1]],'נתוני תאגידים'!$1:$891,479,0)</f>
        <v>7</v>
      </c>
      <c r="P7" t="str">
        <f t="shared" si="0"/>
        <v>בינוני</v>
      </c>
      <c r="Q7" s="17">
        <f>+VLOOKUP(A7,'[12]פחת מים וגביה'!$A$1:$P$65536,8,0)</f>
        <v>8.0419942978242356E-2</v>
      </c>
      <c r="R7" s="79">
        <f>+HLOOKUP(טבלה112[[#This Row],[עמודה1]],'נתוני תאגידים'!$1:$891,588,0)</f>
        <v>2.6259340126152352E-2</v>
      </c>
      <c r="S7" s="51">
        <f>+HLOOKUP(טבלה112[[#This Row],[עמודה1]],'נתוני תאגידים'!$1:$891,613,0)</f>
        <v>4.3284626581569813E-2</v>
      </c>
    </row>
    <row r="8" spans="1:223" x14ac:dyDescent="0.2">
      <c r="A8" t="s">
        <v>442</v>
      </c>
      <c r="B8" t="str">
        <f>+HLOOKUP(A8,'[6]נתוני תאגידים'!$1:$476,466,0)</f>
        <v xml:space="preserve">חזק </v>
      </c>
      <c r="C8" s="33">
        <f>+VLOOKUP(P8,'הנחות עבודה'!$C$62:$H$72,4,0)</f>
        <v>7.0000000000000007E-2</v>
      </c>
      <c r="D8" s="33">
        <f>+VLOOKUP(טבלה112[[#This Row],[עמודה2]],'הנחות עבודה'!$C$69:$H$72,4,0)</f>
        <v>1.4999999999999999E-2</v>
      </c>
      <c r="E8" s="2">
        <f>+HLOOKUP(טבלה112[[#This Row],[עמודה1]],'נתוני תאגידים'!$1:$891,753,0)-HLOOKUP(טבלה112[[#This Row],[עמודה1]],'נתוני תאגידים'!$1:$891,788,0)</f>
        <v>15945.906999999999</v>
      </c>
      <c r="F8" s="2">
        <f>+HLOOKUP(טבלה112[[#This Row],[עמודה1]],'נתוני תאגידים'!$1:$891,822,0)</f>
        <v>10176.243</v>
      </c>
      <c r="G8" s="651">
        <f t="shared" si="1"/>
        <v>0.63817272984220974</v>
      </c>
      <c r="H8" s="51">
        <f>+IF((IF(AND(J8&lt;2007,K8&gt;'הנחות עבודה'!$D$39-0.01),$I$1,+G8*C8+(1-G8)*$I$1)),+IF(AND(J8&lt;2007,K8&gt;'הנחות עבודה'!$D$39-0.01),$I$1,+G8*C8+(1-G8)*$I$1))-N8+IF($S$2="כן",R8,0)</f>
        <v>6.9579722471382013E-2</v>
      </c>
      <c r="I8" s="51">
        <f>+IF(AND(J8&lt;2007,K8&gt;'הנחות עבודה'!$D$38-0.01),$K$1,+G8*D8+(1-G8)*$K$1)+IF($S$2="כן",S8,0)</f>
        <v>1.4999999999999999E-2</v>
      </c>
      <c r="J8">
        <f>+HLOOKUP(A8,'[6]נתוני תאגידים'!$1:$6,6,0)</f>
        <v>2008</v>
      </c>
      <c r="K8">
        <f>+ROUND(HLOOKUP(A8,'[6]נתוני תאגידים'!$1:$424,392,0),0)</f>
        <v>5</v>
      </c>
      <c r="L8">
        <f>+HLOOKUP(טבלה112[[#This Row],[עמודה1]],'נתוני תאגידים'!$1:$891,856,0)</f>
        <v>358.3</v>
      </c>
      <c r="M8" s="17">
        <f>+L8/HLOOKUP(טבלה112[[#This Row],[עמודה1]],'נתוני תאגידים'!$1:$891,753,0)</f>
        <v>2.1013876430899539E-2</v>
      </c>
      <c r="N8">
        <f t="shared" si="2"/>
        <v>4.2027752861799079E-4</v>
      </c>
      <c r="O8">
        <f>+HLOOKUP(טבלה112[[#This Row],[עמודה1]],'נתוני תאגידים'!$1:$891,479,0)</f>
        <v>1</v>
      </c>
      <c r="P8" t="str">
        <f t="shared" si="0"/>
        <v xml:space="preserve">חזק </v>
      </c>
      <c r="Q8" s="17">
        <f>+VLOOKUP(A8,'[12]פחת מים וגביה'!$A$1:$P$65536,8,0)</f>
        <v>6.9531022816164467E-2</v>
      </c>
      <c r="R8" s="79">
        <f>+HLOOKUP(טבלה112[[#This Row],[עמודה1]],'נתוני תאגידים'!$1:$891,588,0)</f>
        <v>0</v>
      </c>
      <c r="S8" s="51">
        <f>+HLOOKUP(טבלה112[[#This Row],[עמודה1]],'נתוני תאגידים'!$1:$891,613,0)</f>
        <v>0</v>
      </c>
    </row>
    <row r="9" spans="1:223" x14ac:dyDescent="0.2">
      <c r="A9" t="s">
        <v>443</v>
      </c>
      <c r="B9" t="str">
        <f>+HLOOKUP(A9,'[6]נתוני תאגידים'!$1:$476,466,0)</f>
        <v xml:space="preserve">חזק </v>
      </c>
      <c r="C9" s="33">
        <f>+VLOOKUP(P9,'הנחות עבודה'!$C$62:$H$72,4,0)</f>
        <v>7.0000000000000007E-2</v>
      </c>
      <c r="D9" s="33">
        <f>+VLOOKUP(טבלה112[[#This Row],[עמודה2]],'הנחות עבודה'!$C$69:$H$72,4,0)</f>
        <v>1.4999999999999999E-2</v>
      </c>
      <c r="E9" s="2">
        <f>+HLOOKUP(טבלה112[[#This Row],[עמודה1]],'נתוני תאגידים'!$1:$891,753,0)-HLOOKUP(טבלה112[[#This Row],[עמודה1]],'נתוני תאגידים'!$1:$891,788,0)</f>
        <v>1859.347</v>
      </c>
      <c r="F9" s="2">
        <f>+HLOOKUP(טבלה112[[#This Row],[עמודה1]],'נתוני תאגידים'!$1:$891,822,0)</f>
        <v>1121.9259999999999</v>
      </c>
      <c r="G9" s="651">
        <f t="shared" si="1"/>
        <v>0.60339785957112901</v>
      </c>
      <c r="H9" s="51">
        <f>+IF((IF(AND(J9&lt;2007,K9&gt;'הנחות עבודה'!$D$39-0.01),$I$1,+G9*C9+(1-G9)*$I$1)),+IF(AND(J9&lt;2007,K9&gt;'הנחות עבודה'!$D$39-0.01),$I$1,+G9*C9+(1-G9)*$I$1))-N9+IF($S$2="כן",R9,0)</f>
        <v>7.0000000000000007E-2</v>
      </c>
      <c r="I9" s="51">
        <f>+IF(AND(J9&lt;2007,K9&gt;'הנחות עבודה'!$D$38-0.01),$K$1,+G9*D9+(1-G9)*$K$1)+IF($S$2="כן",S9,0)</f>
        <v>1.4999999999999999E-2</v>
      </c>
      <c r="J9">
        <f>+HLOOKUP(A9,'[6]נתוני תאגידים'!$1:$6,6,0)</f>
        <v>2008</v>
      </c>
      <c r="K9">
        <f>+ROUND(HLOOKUP(A9,'[6]נתוני תאגידים'!$1:$424,392,0),0)</f>
        <v>5</v>
      </c>
      <c r="L9">
        <f>+HLOOKUP(טבלה112[[#This Row],[עמודה1]],'נתוני תאגידים'!$1:$891,856,0)</f>
        <v>0</v>
      </c>
      <c r="M9" s="17">
        <f>+L9/HLOOKUP(טבלה112[[#This Row],[עמודה1]],'נתוני תאגידים'!$1:$891,753,0)</f>
        <v>0</v>
      </c>
      <c r="N9">
        <f t="shared" si="2"/>
        <v>0</v>
      </c>
      <c r="O9">
        <f>+HLOOKUP(טבלה112[[#This Row],[עמודה1]],'נתוני תאגידים'!$1:$891,479,0)</f>
        <v>2</v>
      </c>
      <c r="P9" t="str">
        <f t="shared" si="0"/>
        <v xml:space="preserve">חזק </v>
      </c>
      <c r="Q9" s="17">
        <f>+VLOOKUP(A9,'[12]פחת מים וגביה'!$A$1:$P$65536,8,0)</f>
        <v>7.0000000000000007E-2</v>
      </c>
      <c r="R9" s="79">
        <f>+HLOOKUP(טבלה112[[#This Row],[עמודה1]],'נתוני תאגידים'!$1:$891,588,0)</f>
        <v>0</v>
      </c>
      <c r="S9" s="51">
        <f>+HLOOKUP(טבלה112[[#This Row],[עמודה1]],'נתוני תאגידים'!$1:$891,613,0)</f>
        <v>0</v>
      </c>
    </row>
    <row r="10" spans="1:223" x14ac:dyDescent="0.2">
      <c r="A10" t="s">
        <v>265</v>
      </c>
      <c r="B10" t="str">
        <f>+HLOOKUP(A10,'[6]נתוני תאגידים'!$1:$476,466,0)</f>
        <v xml:space="preserve">חזק </v>
      </c>
      <c r="C10" s="33">
        <f>+VLOOKUP(P10,'הנחות עבודה'!$C$62:$H$72,4,0)</f>
        <v>7.0000000000000007E-2</v>
      </c>
      <c r="D10" s="33">
        <f>+VLOOKUP(טבלה112[[#This Row],[עמודה2]],'הנחות עבודה'!$C$69:$H$72,4,0)</f>
        <v>1.4999999999999999E-2</v>
      </c>
      <c r="E10" s="2">
        <f>+HLOOKUP(טבלה112[[#This Row],[עמודה1]],'נתוני תאגידים'!$1:$891,753,0)-HLOOKUP(טבלה112[[#This Row],[עמודה1]],'נתוני תאגידים'!$1:$891,788,0)</f>
        <v>2360.2040000000002</v>
      </c>
      <c r="F10" s="2">
        <f>+HLOOKUP(טבלה112[[#This Row],[עמודה1]],'נתוני תאגידים'!$1:$891,822,0)</f>
        <v>1816.7049999999999</v>
      </c>
      <c r="G10" s="651">
        <f t="shared" si="1"/>
        <v>0.76972371879718859</v>
      </c>
      <c r="H10" s="51">
        <f>+IF((IF(AND(J10&lt;2007,K10&gt;'הנחות עבודה'!$D$39-0.01),$I$1,+G10*C10+(1-G10)*$I$1)),+IF(AND(J10&lt;2007,K10&gt;'הנחות עבודה'!$D$39-0.01),$I$1,+G10*C10+(1-G10)*$I$1))-N10+IF($S$2="כן",R10,0)</f>
        <v>0.10249999999999999</v>
      </c>
      <c r="I10" s="51">
        <f>+IF(AND(J10&lt;2007,K10&gt;'הנחות עבודה'!$D$38-0.01),$K$1,+G10*D10+(1-G10)*$K$1)+IF($S$2="כן",S10,0)</f>
        <v>0.04</v>
      </c>
      <c r="J10">
        <f>+HLOOKUP(A10,'[6]נתוני תאגידים'!$1:$6,6,0)</f>
        <v>2010</v>
      </c>
      <c r="K10">
        <f>+ROUND(HLOOKUP(A10,'[6]נתוני תאגידים'!$1:$424,392,0),0)</f>
        <v>5</v>
      </c>
      <c r="L10">
        <f>+HLOOKUP(טבלה112[[#This Row],[עמודה1]],'נתוני תאגידים'!$1:$891,856,0)</f>
        <v>0</v>
      </c>
      <c r="M10" s="17">
        <f>+L10/HLOOKUP(טבלה112[[#This Row],[עמודה1]],'נתוני תאגידים'!$1:$891,753,0)</f>
        <v>0</v>
      </c>
      <c r="N10">
        <f t="shared" si="2"/>
        <v>0</v>
      </c>
      <c r="O10">
        <f>+HLOOKUP(טבלה112[[#This Row],[עמודה1]],'נתוני תאגידים'!$1:$891,479,0)</f>
        <v>1</v>
      </c>
      <c r="P10" t="str">
        <f t="shared" si="0"/>
        <v xml:space="preserve">חזק </v>
      </c>
      <c r="Q10" s="17">
        <f>+VLOOKUP(A10,'[12]פחת מים וגביה'!$A$1:$P$65536,8,0)</f>
        <v>7.0000000000000007E-2</v>
      </c>
      <c r="R10" s="79">
        <f>+HLOOKUP(טבלה112[[#This Row],[עמודה1]],'נתוני תאגידים'!$1:$891,588,0)</f>
        <v>3.2499999999999987E-2</v>
      </c>
      <c r="S10" s="51">
        <f>+HLOOKUP(טבלה112[[#This Row],[עמודה1]],'נתוני תאגידים'!$1:$891,613,0)</f>
        <v>2.5000000000000001E-2</v>
      </c>
    </row>
    <row r="11" spans="1:223" x14ac:dyDescent="0.2">
      <c r="A11" t="s">
        <v>444</v>
      </c>
      <c r="B11" t="str">
        <f>+HLOOKUP(A11,'[6]נתוני תאגידים'!$1:$476,466,0)</f>
        <v>חלש</v>
      </c>
      <c r="C11" s="33">
        <f>+VLOOKUP(P11,'הנחות עבודה'!$C$62:$H$72,4,0)</f>
        <v>0.12659999999999999</v>
      </c>
      <c r="D11" s="33">
        <f>+VLOOKUP(טבלה112[[#This Row],[עמודה2]],'הנחות עבודה'!$C$69:$H$72,4,0)</f>
        <v>6.6699999999999995E-2</v>
      </c>
      <c r="E11" s="2">
        <f>+HLOOKUP(טבלה112[[#This Row],[עמודה1]],'נתוני תאגידים'!$1:$891,753,0)-HLOOKUP(טבלה112[[#This Row],[עמודה1]],'נתוני תאגידים'!$1:$891,788,0)</f>
        <v>3848.3019999999997</v>
      </c>
      <c r="F11" s="2">
        <f>+HLOOKUP(טבלה112[[#This Row],[עמודה1]],'נתוני תאגידים'!$1:$891,822,0)</f>
        <v>3200.8850000000002</v>
      </c>
      <c r="G11" s="651">
        <f t="shared" si="1"/>
        <v>0.83176554230930955</v>
      </c>
      <c r="H11" s="51">
        <f>+IF((IF(AND(J11&lt;2007,K11&gt;'הנחות עבודה'!$D$39-0.01),$I$1,+G11*C11+(1-G11)*$I$1)),+IF(AND(J11&lt;2007,K11&gt;'הנחות עבודה'!$D$39-0.01),$I$1,+G11*C11+(1-G11)*$I$1))-N11+IF($S$2="כן",R11,0)</f>
        <v>0.11707792969470691</v>
      </c>
      <c r="I11" s="51">
        <f>+IF(AND(J11&lt;2007,K11&gt;'הנחות עבודה'!$D$38-0.01),$K$1,+G11*D11+(1-G11)*$K$1)+IF($S$2="כן",S11,0)</f>
        <v>5.8002278537391302E-2</v>
      </c>
      <c r="J11">
        <f>+HLOOKUP(A11,'[6]נתוני תאגידים'!$1:$6,6,0)</f>
        <v>2009</v>
      </c>
      <c r="K11">
        <f>+ROUND(HLOOKUP(A11,'[6]נתוני תאגידים'!$1:$424,392,0),0)</f>
        <v>2</v>
      </c>
      <c r="L11">
        <f>+HLOOKUP(טבלה112[[#This Row],[עמודה1]],'נתוני תאגידים'!$1:$891,856,0)</f>
        <v>0</v>
      </c>
      <c r="M11" s="17">
        <f>+L11/HLOOKUP(טבלה112[[#This Row],[עמודה1]],'נתוני תאגידים'!$1:$891,753,0)</f>
        <v>0</v>
      </c>
      <c r="N11">
        <f t="shared" si="2"/>
        <v>0</v>
      </c>
      <c r="O11">
        <f>+HLOOKUP(טבלה112[[#This Row],[עמודה1]],'נתוני תאגידים'!$1:$891,479,0)</f>
        <v>7</v>
      </c>
      <c r="P11" t="str">
        <f t="shared" si="0"/>
        <v>חלש רב רשותי</v>
      </c>
      <c r="Q11" s="17">
        <f>+VLOOKUP(A11,'[12]פחת מים וגביה'!$A$1:$P$65536,8,0)</f>
        <v>0.11641116984503402</v>
      </c>
      <c r="R11" s="79">
        <f>+HLOOKUP(טבלה112[[#This Row],[עמודה1]],'נתוני תאגידים'!$1:$891,588,0)</f>
        <v>0</v>
      </c>
      <c r="S11" s="51">
        <f>+HLOOKUP(טבלה112[[#This Row],[עמודה1]],'נתוני תאגידים'!$1:$891,613,0)</f>
        <v>0</v>
      </c>
    </row>
    <row r="12" spans="1:223" x14ac:dyDescent="0.2">
      <c r="A12" t="s">
        <v>687</v>
      </c>
      <c r="B12" t="str">
        <f>+HLOOKUP(A12,'[6]נתוני תאגידים'!$1:$476,466,0)</f>
        <v>חזק מאוד</v>
      </c>
      <c r="C12" s="33">
        <f>+VLOOKUP(P12,'הנחות עבודה'!$C$62:$H$72,4,0)</f>
        <v>7.0000000000000007E-2</v>
      </c>
      <c r="D12" s="33">
        <f>+VLOOKUP(טבלה112[[#This Row],[עמודה2]],'הנחות עבודה'!$C$69:$H$72,4,0)</f>
        <v>1.4999999999999999E-2</v>
      </c>
      <c r="E12" s="2">
        <f>+HLOOKUP(טבלה112[[#This Row],[עמודה1]],'נתוני תאגידים'!$1:$891,753,0)-HLOOKUP(טבלה112[[#This Row],[עמודה1]],'נתוני תאגידים'!$1:$891,788,0)</f>
        <v>42057.476000000002</v>
      </c>
      <c r="F12" s="2">
        <f>+HLOOKUP(טבלה112[[#This Row],[עמודה1]],'נתוני תאגידים'!$1:$891,822,0)</f>
        <v>27144.655999999999</v>
      </c>
      <c r="G12" s="651">
        <f t="shared" si="1"/>
        <v>0.64541809403873873</v>
      </c>
      <c r="H12" s="51">
        <f>+IF((IF(AND(J12&lt;2007,K12&gt;'הנחות עבודה'!$D$39-0.01),$I$1,+G12*C12+(1-G12)*$I$1)),+IF(AND(J12&lt;2007,K12&gt;'הנחות עבודה'!$D$39-0.01),$I$1,+G12*C12+(1-G12)*$I$1))-N12+IF($S$2="כן",R12,0)</f>
        <v>6.8751790455629902E-2</v>
      </c>
      <c r="I12" s="51">
        <f>+IF(AND(J12&lt;2007,K12&gt;'הנחות עבודה'!$D$38-0.01),$K$1,+G12*D12+(1-G12)*$K$1)+IF($S$2="כן",S12,0)</f>
        <v>1.4999999999999999E-2</v>
      </c>
      <c r="J12">
        <f>+HLOOKUP(A12,'[6]נתוני תאגידים'!$1:$6,6,0)</f>
        <v>2010</v>
      </c>
      <c r="K12">
        <f>+ROUND(HLOOKUP(A12,'[6]נתוני תאגידים'!$1:$424,392,0),0)</f>
        <v>8</v>
      </c>
      <c r="L12">
        <f>+HLOOKUP(טבלה112[[#This Row],[עמודה1]],'נתוני תאגידים'!$1:$891,856,0)</f>
        <v>2880.26</v>
      </c>
      <c r="M12" s="17">
        <f>+L12/HLOOKUP(טבלה112[[#This Row],[עמודה1]],'נתוני תאגידים'!$1:$891,753,0)</f>
        <v>6.2410477218505185E-2</v>
      </c>
      <c r="N12">
        <f t="shared" si="2"/>
        <v>1.2482095443701038E-3</v>
      </c>
      <c r="O12">
        <f>+HLOOKUP(טבלה112[[#This Row],[עמודה1]],'נתוני תאגידים'!$1:$891,479,0)</f>
        <v>1</v>
      </c>
      <c r="P12" t="str">
        <f t="shared" si="0"/>
        <v>חזק מאוד</v>
      </c>
      <c r="Q12" s="17">
        <f>+VLOOKUP(A12,'[12]פחת מים וגביה'!$A$1:$P$65536,8,0)</f>
        <v>6.8036139453402297E-2</v>
      </c>
      <c r="R12" s="79">
        <f>+HLOOKUP(טבלה112[[#This Row],[עמודה1]],'נתוני תאגידים'!$1:$891,588,0)</f>
        <v>0</v>
      </c>
      <c r="S12" s="51">
        <f>+HLOOKUP(טבלה112[[#This Row],[עמודה1]],'נתוני תאגידים'!$1:$891,613,0)</f>
        <v>0</v>
      </c>
    </row>
    <row r="13" spans="1:223" s="719" customFormat="1" x14ac:dyDescent="0.2">
      <c r="A13" s="719" t="s">
        <v>266</v>
      </c>
      <c r="B13" t="str">
        <f>+HLOOKUP(A13,'[6]נתוני תאגידים'!$1:$476,466,0)</f>
        <v>חזק מאוד</v>
      </c>
      <c r="C13" s="33">
        <f>+VLOOKUP(P13,'הנחות עבודה'!$C$62:$H$72,4,0)</f>
        <v>7.0000000000000007E-2</v>
      </c>
      <c r="D13" s="33">
        <f>+VLOOKUP(טבלה112[[#This Row],[עמודה2]],'הנחות עבודה'!$C$69:$H$72,4,0)</f>
        <v>1.4999999999999999E-2</v>
      </c>
      <c r="E13" s="2">
        <f>+HLOOKUP(טבלה112[[#This Row],[עמודה1]],'נתוני תאגידים'!$1:$891,753,0)-HLOOKUP(טבלה112[[#This Row],[עמודה1]],'נתוני תאגידים'!$1:$891,788,0)</f>
        <v>4825.8450000000003</v>
      </c>
      <c r="F13" s="2">
        <f>+HLOOKUP(טבלה112[[#This Row],[עמודה1]],'נתוני תאגידים'!$1:$891,822,0)</f>
        <v>3881.4850000000001</v>
      </c>
      <c r="G13" s="1292">
        <f t="shared" si="1"/>
        <v>0.8043119909570241</v>
      </c>
      <c r="H13" s="51">
        <f>+IF((IF(AND(J13&lt;2007,K13&gt;'הנחות עבודה'!$D$39-0.01),$I$1,+G13*C13+(1-G13)*$I$1)),+IF(AND(J13&lt;2007,K13&gt;'הנחות עבודה'!$D$39-0.01),$I$1,+G13*C13+(1-G13)*$I$1))-N13+IF($S$2="כן",R13,0)</f>
        <v>7.6087737785596535E-2</v>
      </c>
      <c r="I13" s="51">
        <f>+IF(AND(J13&lt;2007,K13&gt;'הנחות עבודה'!$D$38-0.01),$K$1,+G13*D13+(1-G13)*$K$1)+IF($S$2="כן",S13,0)</f>
        <v>1.9375758693280475E-2</v>
      </c>
      <c r="J13" s="719">
        <f>+HLOOKUP(A13,'[6]נתוני תאגידים'!$1:$6,6,0)</f>
        <v>2010</v>
      </c>
      <c r="K13">
        <f>+ROUND(HLOOKUP(A13,'[6]נתוני תאגידים'!$1:$424,392,0),0)</f>
        <v>8</v>
      </c>
      <c r="L13">
        <f>+HLOOKUP(טבלה112[[#This Row],[עמודה1]],'נתוני תאגידים'!$1:$891,856,0)</f>
        <v>718.62900000000002</v>
      </c>
      <c r="M13" s="17">
        <f>+L13/HLOOKUP(טבלה112[[#This Row],[עמודה1]],'נתוני תאגידים'!$1:$891,753,0)</f>
        <v>0.13318898004822113</v>
      </c>
      <c r="N13" s="719">
        <f t="shared" si="2"/>
        <v>2.6637796009644226E-3</v>
      </c>
      <c r="O13">
        <f>+HLOOKUP(טבלה112[[#This Row],[עמודה1]],'נתוני תאגידים'!$1:$891,479,0)</f>
        <v>2</v>
      </c>
      <c r="P13" s="719" t="str">
        <f t="shared" si="0"/>
        <v>חזק מאוד</v>
      </c>
      <c r="Q13" s="1293">
        <f>+VLOOKUP(A13,'[12]פחת מים וגביה'!$A$1:$P$65536,8,0)</f>
        <v>5.3782048215775938E-2</v>
      </c>
      <c r="R13" s="79">
        <f>+HLOOKUP(טבלה112[[#This Row],[עמודה1]],'נתוני תאגידים'!$1:$891,588,0)</f>
        <v>8.751517386560945E-3</v>
      </c>
      <c r="S13" s="51">
        <f>+HLOOKUP(טבלה112[[#This Row],[עמודה1]],'נתוני תאגידים'!$1:$891,613,0)</f>
        <v>4.3757586932804751E-3</v>
      </c>
      <c r="T13"/>
      <c r="U13"/>
    </row>
    <row r="14" spans="1:223" s="719" customFormat="1" x14ac:dyDescent="0.2">
      <c r="A14" s="719" t="s">
        <v>271</v>
      </c>
      <c r="B14" t="str">
        <f>+HLOOKUP(A14,'[6]נתוני תאגידים'!$1:$476,466,0)</f>
        <v>בינוני</v>
      </c>
      <c r="C14" s="33">
        <f>+VLOOKUP(P14,'הנחות עבודה'!$C$62:$H$72,4,0)</f>
        <v>8.6300000000000002E-2</v>
      </c>
      <c r="D14" s="33">
        <f>+VLOOKUP(טבלה112[[#This Row],[עמודה2]],'הנחות עבודה'!$C$69:$H$72,4,0)</f>
        <v>1.4999999999999999E-2</v>
      </c>
      <c r="E14" s="2">
        <f>+HLOOKUP(טבלה112[[#This Row],[עמודה1]],'נתוני תאגידים'!$1:$891,753,0)-HLOOKUP(טבלה112[[#This Row],[עמודה1]],'נתוני תאגידים'!$1:$891,788,0)</f>
        <v>12549.199000000001</v>
      </c>
      <c r="F14" s="2">
        <f>+HLOOKUP(טבלה112[[#This Row],[עמודה1]],'נתוני תאגידים'!$1:$891,822,0)</f>
        <v>7853.9920000000002</v>
      </c>
      <c r="G14" s="1292">
        <f t="shared" si="1"/>
        <v>0.62585604069231826</v>
      </c>
      <c r="H14" s="51">
        <f>+IF((IF(AND(J14&lt;2007,K14&gt;'הנחות עבודה'!$D$39-0.01),$I$1,+G14*C14+(1-G14)*$I$1)),+IF(AND(J14&lt;2007,K14&gt;'הנחות עבודה'!$D$39-0.01),$I$1,+G14*C14+(1-G14)*$I$1))-N14+IF($S$2="כן",R14,0)</f>
        <v>8.0201453463284791E-2</v>
      </c>
      <c r="I14" s="51">
        <f>+IF(AND(J14&lt;2007,K14&gt;'הנחות עבודה'!$D$38-0.01),$K$1,+G14*D14+(1-G14)*$K$1)+IF($S$2="כן",S14,0)</f>
        <v>1.4999999999999999E-2</v>
      </c>
      <c r="J14" s="719">
        <f>+HLOOKUP(A14,'[6]נתוני תאגידים'!$1:$6,6,0)</f>
        <v>2010</v>
      </c>
      <c r="K14">
        <f>+ROUND(HLOOKUP(A14,'[6]נתוני תאגידים'!$1:$424,392,0),0)</f>
        <v>5</v>
      </c>
      <c r="L14">
        <f>+HLOOKUP(טבלה112[[#This Row],[עמודה1]],'נתוני תאגידים'!$1:$891,856,0)</f>
        <v>0</v>
      </c>
      <c r="M14" s="17">
        <f>+L14/HLOOKUP(טבלה112[[#This Row],[עמודה1]],'נתוני תאגידים'!$1:$891,753,0)</f>
        <v>0</v>
      </c>
      <c r="N14" s="719">
        <f t="shared" si="2"/>
        <v>0</v>
      </c>
      <c r="O14">
        <f>+HLOOKUP(טבלה112[[#This Row],[עמודה1]],'נתוני תאגידים'!$1:$891,479,0)</f>
        <v>2</v>
      </c>
      <c r="P14" s="719" t="str">
        <f t="shared" si="0"/>
        <v>בינוני</v>
      </c>
      <c r="Q14" s="1293">
        <f>+VLOOKUP(A14,'[12]פחת מים וגביה'!$A$1:$P$65536,8,0)</f>
        <v>8.0853710930535061E-2</v>
      </c>
      <c r="R14" s="79">
        <f>+HLOOKUP(טבלה112[[#This Row],[עמודה1]],'נתוני תאגידים'!$1:$891,588,0)</f>
        <v>0</v>
      </c>
      <c r="S14" s="51">
        <f>+HLOOKUP(טבלה112[[#This Row],[עמודה1]],'נתוני תאגידים'!$1:$891,613,0)</f>
        <v>0</v>
      </c>
      <c r="T14"/>
      <c r="U14"/>
    </row>
    <row r="15" spans="1:223" s="719" customFormat="1" x14ac:dyDescent="0.2">
      <c r="A15" s="719" t="s">
        <v>531</v>
      </c>
      <c r="B15" t="str">
        <f>+HLOOKUP(A15,'[6]נתוני תאגידים'!$1:$476,466,0)</f>
        <v>חלש</v>
      </c>
      <c r="C15" s="33">
        <f>+VLOOKUP(P15,'הנחות עבודה'!$C$62:$H$72,4,0)</f>
        <v>0.1166</v>
      </c>
      <c r="D15" s="33">
        <f>+VLOOKUP(טבלה112[[#This Row],[עמודה2]],'הנחות עבודה'!$C$69:$H$72,4,0)</f>
        <v>6.6699999999999995E-2</v>
      </c>
      <c r="E15" s="2">
        <f>+HLOOKUP(טבלה112[[#This Row],[עמודה1]],'נתוני תאגידים'!$1:$891,753,0)-HLOOKUP(טבלה112[[#This Row],[עמודה1]],'נתוני תאגידים'!$1:$891,788,0)</f>
        <v>4998.4459999999999</v>
      </c>
      <c r="F15" s="2">
        <f>+HLOOKUP(טבלה112[[#This Row],[עמודה1]],'נתוני תאגידים'!$1:$891,822,0)</f>
        <v>3804.076</v>
      </c>
      <c r="G15" s="1292">
        <f t="shared" si="1"/>
        <v>0.76105173487920053</v>
      </c>
      <c r="H15" s="51">
        <f>+IF((IF(AND(J15&lt;2007,K15&gt;'הנחות עבודה'!$D$39-0.01),$I$1,+G15*C15+(1-G15)*$I$1)),+IF(AND(J15&lt;2007,K15&gt;'הנחות עבודה'!$D$39-0.01),$I$1,+G15*C15+(1-G15)*$I$1))-N15+IF($S$2="כן",R15,0)</f>
        <v>0.10546501084537074</v>
      </c>
      <c r="I15" s="51">
        <f>+IF(AND(J15&lt;2007,K15&gt;'הנחות עבודה'!$D$38-0.01),$K$1,+G15*D15+(1-G15)*$K$1)+IF($S$2="כן",S15,0)</f>
        <v>5.4346374693254665E-2</v>
      </c>
      <c r="J15" s="719">
        <f>+HLOOKUP(A15,'[6]נתוני תאגידים'!$1:$6,6,0)</f>
        <v>2010</v>
      </c>
      <c r="K15">
        <f>+ROUND(HLOOKUP(A15,'[6]נתוני תאגידים'!$1:$424,392,0),0)</f>
        <v>3</v>
      </c>
      <c r="L15">
        <f>+HLOOKUP(טבלה112[[#This Row],[עמודה1]],'נתוני תאגידים'!$1:$891,856,0)</f>
        <v>0</v>
      </c>
      <c r="M15" s="17">
        <f>+L15/HLOOKUP(טבלה112[[#This Row],[עמודה1]],'נתוני תאגידים'!$1:$891,753,0)</f>
        <v>0</v>
      </c>
      <c r="N15" s="719">
        <f t="shared" si="2"/>
        <v>0</v>
      </c>
      <c r="O15">
        <f>+HLOOKUP(טבלה112[[#This Row],[עמודה1]],'נתוני תאגידים'!$1:$891,479,0)</f>
        <v>1</v>
      </c>
      <c r="P15" s="719" t="str">
        <f t="shared" si="0"/>
        <v>חלש</v>
      </c>
      <c r="Q15" s="1293">
        <f>+VLOOKUP(A15,'[12]פחת מים וגביה'!$A$1:$P$65536,8,0)</f>
        <v>0.10575646523761811</v>
      </c>
      <c r="R15" s="79">
        <f>+HLOOKUP(טבלה112[[#This Row],[עמודה1]],'נתוני תאגידים'!$1:$891,588,0)</f>
        <v>0</v>
      </c>
      <c r="S15" s="51">
        <f>+HLOOKUP(טבלה112[[#This Row],[עמודה1]],'נתוני תאגידים'!$1:$891,613,0)</f>
        <v>0</v>
      </c>
      <c r="T15"/>
      <c r="U15"/>
    </row>
    <row r="16" spans="1:223" x14ac:dyDescent="0.2">
      <c r="A16" t="s">
        <v>691</v>
      </c>
      <c r="B16" t="str">
        <f>+HLOOKUP(A16,'[6]נתוני תאגידים'!$1:$476,466,0)</f>
        <v>חלש</v>
      </c>
      <c r="C16" s="33">
        <f>+VLOOKUP(P16,'הנחות עבודה'!$C$62:$H$72,4,0)</f>
        <v>0.1166</v>
      </c>
      <c r="D16" s="33">
        <f>+VLOOKUP(טבלה112[[#This Row],[עמודה2]],'הנחות עבודה'!$C$69:$H$72,4,0)</f>
        <v>6.6699999999999995E-2</v>
      </c>
      <c r="E16" s="2">
        <f>+HLOOKUP(טבלה112[[#This Row],[עמודה1]],'נתוני תאגידים'!$1:$891,753,0)-HLOOKUP(טבלה112[[#This Row],[עמודה1]],'נתוני תאגידים'!$1:$891,788,0)</f>
        <v>10445.357</v>
      </c>
      <c r="F16" s="2">
        <f>+HLOOKUP(טבלה112[[#This Row],[עמודה1]],'נתוני תאגידים'!$1:$891,822,0)</f>
        <v>7385.174</v>
      </c>
      <c r="G16" s="651">
        <f t="shared" si="1"/>
        <v>0.70702935285026636</v>
      </c>
      <c r="H16" s="51">
        <f>+IF((IF(AND(J16&lt;2007,K16&gt;'הנחות עבודה'!$D$39-0.01),$I$1,+G16*C16+(1-G16)*$I$1)),+IF(AND(J16&lt;2007,K16&gt;'הנחות עבודה'!$D$39-0.01),$I$1,+G16*C16+(1-G16)*$I$1))-N16+IF($S$2="כן",R16,0)</f>
        <v>9.6984818710599358E-2</v>
      </c>
      <c r="I16" s="51">
        <f>+IF(AND(J16&lt;2007,K16&gt;'הנחות עבודה'!$D$38-0.01),$K$1,+G16*D16+(1-G16)*$K$1)+IF($S$2="כן",S16,0)</f>
        <v>5.1553417542358766E-2</v>
      </c>
      <c r="J16">
        <f>+HLOOKUP(A16,'[6]נתוני תאגידים'!$1:$6,6,0)</f>
        <v>2009</v>
      </c>
      <c r="K16">
        <f>+ROUND(HLOOKUP(A16,'[6]נתוני תאגידים'!$1:$424,392,0),0)</f>
        <v>3</v>
      </c>
      <c r="L16">
        <f>+HLOOKUP(טבלה112[[#This Row],[עמודה1]],'נתוני תאגידים'!$1:$891,856,0)</f>
        <v>3214.047</v>
      </c>
      <c r="M16" s="17">
        <f>+L16/HLOOKUP(טבלה112[[#This Row],[עמודה1]],'נתוני תאגידים'!$1:$891,753,0)</f>
        <v>0.29813745661115243</v>
      </c>
      <c r="N16">
        <f t="shared" si="2"/>
        <v>5.9627491322230483E-3</v>
      </c>
      <c r="O16">
        <f>+HLOOKUP(טבלה112[[#This Row],[עמודה1]],'נתוני תאגידים'!$1:$891,479,0)</f>
        <v>1</v>
      </c>
      <c r="P16" t="str">
        <f t="shared" si="0"/>
        <v>חלש</v>
      </c>
      <c r="Q16" s="17">
        <f>+VLOOKUP(A16,'[12]פחת מים וגביה'!$A$1:$P$65536,8,0)</f>
        <v>9.5446780902103331E-2</v>
      </c>
      <c r="R16" s="79">
        <f>+HLOOKUP(טבלה112[[#This Row],[עמודה1]],'נתוני תאגידים'!$1:$891,588,0)</f>
        <v>0</v>
      </c>
      <c r="S16" s="51">
        <f>+HLOOKUP(טבלה112[[#This Row],[עמודה1]],'נתוני תאגידים'!$1:$891,613,0)</f>
        <v>0</v>
      </c>
    </row>
    <row r="17" spans="1:21" x14ac:dyDescent="0.2">
      <c r="A17" t="s">
        <v>530</v>
      </c>
      <c r="B17" t="str">
        <f>+HLOOKUP(A17,'[6]נתוני תאגידים'!$1:$476,466,0)</f>
        <v xml:space="preserve">חזק </v>
      </c>
      <c r="C17" s="33">
        <f>+VLOOKUP(P17,'הנחות עבודה'!$C$62:$H$72,4,0)</f>
        <v>7.0000000000000007E-2</v>
      </c>
      <c r="D17" s="33">
        <f>+VLOOKUP(טבלה112[[#This Row],[עמודה2]],'הנחות עבודה'!$C$69:$H$72,4,0)</f>
        <v>1.4999999999999999E-2</v>
      </c>
      <c r="E17" s="2">
        <f>+HLOOKUP(טבלה112[[#This Row],[עמודה1]],'נתוני תאגידים'!$1:$891,753,0)-HLOOKUP(טבלה112[[#This Row],[עמודה1]],'נתוני תאגידים'!$1:$891,788,0)</f>
        <v>8017.4650000000001</v>
      </c>
      <c r="F17" s="2">
        <f>+HLOOKUP(טבלה112[[#This Row],[עמודה1]],'נתוני תאגידים'!$1:$891,822,0)</f>
        <v>6391.0119999999997</v>
      </c>
      <c r="G17" s="651">
        <f t="shared" si="1"/>
        <v>0.79713625192002702</v>
      </c>
      <c r="H17" s="51">
        <f>+IF((IF(AND(J17&lt;2007,K17&gt;'הנחות עבודה'!$D$39-0.01),$I$1,+G17*C17+(1-G17)*$I$1)),+IF(AND(J17&lt;2007,K17&gt;'הנחות עבודה'!$D$39-0.01),$I$1,+G17*C17+(1-G17)*$I$1))-N17+IF($S$2="כן",R17,0)</f>
        <v>5.7233988621610214E-2</v>
      </c>
      <c r="I17" s="51">
        <f>+IF(AND(J17&lt;2007,K17&gt;'הנחות עבודה'!$D$38-0.01),$K$1,+G17*D17+(1-G17)*$K$1)+IF($S$2="כן",S17,0)</f>
        <v>1.4999999999999999E-2</v>
      </c>
      <c r="J17">
        <f>+HLOOKUP(A17,'[6]נתוני תאגידים'!$1:$6,6,0)</f>
        <v>2009</v>
      </c>
      <c r="K17">
        <f>+ROUND(HLOOKUP(A17,'[6]נתוני תאגידים'!$1:$424,392,0),0)</f>
        <v>5</v>
      </c>
      <c r="L17">
        <f>+HLOOKUP(טבלה112[[#This Row],[עמודה1]],'נתוני תאגידים'!$1:$891,856,0)</f>
        <v>5761.5619999999999</v>
      </c>
      <c r="M17" s="17">
        <f>+L17/HLOOKUP(טבלה112[[#This Row],[עמודה1]],'נתוני תאגידים'!$1:$891,753,0)</f>
        <v>0.6383005689194895</v>
      </c>
      <c r="N17">
        <f t="shared" si="2"/>
        <v>1.2766011378389791E-2</v>
      </c>
      <c r="O17">
        <f>+HLOOKUP(טבלה112[[#This Row],[עמודה1]],'נתוני תאגידים'!$1:$891,479,0)</f>
        <v>1</v>
      </c>
      <c r="P17" t="str">
        <f t="shared" si="0"/>
        <v xml:space="preserve">חזק </v>
      </c>
      <c r="Q17" s="17">
        <f>+VLOOKUP(A17,'[12]פחת מים וגביה'!$A$1:$P$65536,8,0)</f>
        <v>5.3841113999528317E-2</v>
      </c>
      <c r="R17" s="79">
        <f>+HLOOKUP(טבלה112[[#This Row],[עמודה1]],'נתוני תאגידים'!$1:$891,588,0)</f>
        <v>0</v>
      </c>
      <c r="S17" s="51">
        <f>+HLOOKUP(טבלה112[[#This Row],[עמודה1]],'נתוני תאגידים'!$1:$891,613,0)</f>
        <v>0</v>
      </c>
    </row>
    <row r="18" spans="1:21" x14ac:dyDescent="0.2">
      <c r="A18" t="s">
        <v>529</v>
      </c>
      <c r="B18" t="str">
        <f>+HLOOKUP(A18,'[6]נתוני תאגידים'!$1:$476,466,0)</f>
        <v>חזק מאוד</v>
      </c>
      <c r="C18" s="33">
        <f>+VLOOKUP(P18,'הנחות עבודה'!$C$62:$H$72,4,0)</f>
        <v>7.0000000000000007E-2</v>
      </c>
      <c r="D18" s="33">
        <f>+VLOOKUP(טבלה112[[#This Row],[עמודה2]],'הנחות עבודה'!$C$69:$H$72,4,0)</f>
        <v>1.4999999999999999E-2</v>
      </c>
      <c r="E18" s="2">
        <f>+HLOOKUP(טבלה112[[#This Row],[עמודה1]],'נתוני תאגידים'!$1:$891,753,0)-HLOOKUP(טבלה112[[#This Row],[עמודה1]],'נתוני תאגידים'!$1:$891,788,0)</f>
        <v>3668.674</v>
      </c>
      <c r="F18" s="2">
        <f>+HLOOKUP(טבלה112[[#This Row],[עמודה1]],'נתוני תאגידים'!$1:$891,822,0)</f>
        <v>3089.4780000000001</v>
      </c>
      <c r="G18" s="651">
        <f t="shared" si="1"/>
        <v>0.84212388454248044</v>
      </c>
      <c r="H18" s="51">
        <f>+IF((IF(AND(J18&lt;2007,K18&gt;'הנחות עבודה'!$D$39-0.01),$I$1,+G18*C18+(1-G18)*$I$1)),+IF(AND(J18&lt;2007,K18&gt;'הנחות עבודה'!$D$39-0.01),$I$1,+G18*C18+(1-G18)*$I$1))-N18+IF($S$2="כן",R18,0)</f>
        <v>6.17140020772355E-2</v>
      </c>
      <c r="I18" s="51">
        <f>+IF(AND(J18&lt;2007,K18&gt;'הנחות עבודה'!$D$38-0.01),$K$1,+G18*D18+(1-G18)*$K$1)+IF($S$2="כן",S18,0)</f>
        <v>1.4999999999999999E-2</v>
      </c>
      <c r="J18">
        <f>+HLOOKUP(A18,'[6]נתוני תאגידים'!$1:$6,6,0)</f>
        <v>2010</v>
      </c>
      <c r="K18">
        <f>+ROUND(HLOOKUP(A18,'[6]נתוני תאגידים'!$1:$424,392,0),0)</f>
        <v>8</v>
      </c>
      <c r="L18">
        <f>+HLOOKUP(טבלה112[[#This Row],[עמודה1]],'נתוני תאגידים'!$1:$891,856,0)</f>
        <v>1552.9</v>
      </c>
      <c r="M18" s="17">
        <f>+L18/HLOOKUP(טבלה112[[#This Row],[עמודה1]],'נתוני תאגידים'!$1:$891,753,0)</f>
        <v>0.41429989613822554</v>
      </c>
      <c r="N18">
        <f t="shared" si="2"/>
        <v>8.2859979227645104E-3</v>
      </c>
      <c r="O18">
        <f>+HLOOKUP(טבלה112[[#This Row],[עמודה1]],'נתוני תאגידים'!$1:$891,479,0)</f>
        <v>1</v>
      </c>
      <c r="P18" t="str">
        <f t="shared" si="0"/>
        <v>חזק מאוד</v>
      </c>
      <c r="Q18" s="17">
        <f>+VLOOKUP(A18,'[12]פחת מים וגביה'!$A$1:$P$65536,8,0)</f>
        <v>5.9637820169545989E-2</v>
      </c>
      <c r="R18" s="79">
        <f>+HLOOKUP(טבלה112[[#This Row],[עמודה1]],'נתוני תאגידים'!$1:$891,588,0)</f>
        <v>0</v>
      </c>
      <c r="S18" s="51">
        <f>+HLOOKUP(טבלה112[[#This Row],[עמודה1]],'נתוני תאגידים'!$1:$891,613,0)</f>
        <v>0</v>
      </c>
    </row>
    <row r="19" spans="1:21" x14ac:dyDescent="0.2">
      <c r="A19" t="s">
        <v>252</v>
      </c>
      <c r="B19" t="str">
        <f>+HLOOKUP(A19,'[6]נתוני תאגידים'!$1:$476,466,0)</f>
        <v>חלש</v>
      </c>
      <c r="C19" s="33">
        <f>+VLOOKUP(P19,'הנחות עבודה'!$C$62:$H$72,4,0)</f>
        <v>0.12659999999999999</v>
      </c>
      <c r="D19" s="33">
        <f>+VLOOKUP(טבלה112[[#This Row],[עמודה2]],'הנחות עבודה'!$C$69:$H$72,4,0)</f>
        <v>6.6699999999999995E-2</v>
      </c>
      <c r="E19" s="2">
        <f>+HLOOKUP(טבלה112[[#This Row],[עמודה1]],'נתוני תאגידים'!$1:$891,753,0)-HLOOKUP(טבלה112[[#This Row],[עמודה1]],'נתוני תאגידים'!$1:$891,788,0)</f>
        <v>5698.6759999999995</v>
      </c>
      <c r="F19" s="2">
        <f>+HLOOKUP(טבלה112[[#This Row],[עמודה1]],'נתוני תאגידים'!$1:$891,822,0)</f>
        <v>4653.4380000000001</v>
      </c>
      <c r="G19" s="651">
        <f t="shared" si="1"/>
        <v>0.81658230789046449</v>
      </c>
      <c r="H19" s="51">
        <f>+IF((IF(AND(J19&lt;2007,K19&gt;'הנחות עבודה'!$D$39-0.01),$I$1,+G19*C19+(1-G19)*$I$1)),+IF(AND(J19&lt;2007,K19&gt;'הנחות עבודה'!$D$39-0.01),$I$1,+G19*C19+(1-G19)*$I$1))-N19+IF($S$2="כן",R19,0)</f>
        <v>0.11621855862660029</v>
      </c>
      <c r="I19" s="51">
        <f>+IF(AND(J19&lt;2007,K19&gt;'הנחות עבודה'!$D$38-0.01),$K$1,+G19*D19+(1-G19)*$K$1)+IF($S$2="כן",S19,0)</f>
        <v>5.7217305317937013E-2</v>
      </c>
      <c r="J19">
        <f>+HLOOKUP(A19,'[6]נתוני תאגידים'!$1:$6,6,0)</f>
        <v>2010</v>
      </c>
      <c r="K19">
        <f>+ROUND(HLOOKUP(A19,'[6]נתוני תאגידים'!$1:$424,392,0),0)</f>
        <v>2</v>
      </c>
      <c r="L19">
        <f>+HLOOKUP(טבלה112[[#This Row],[עמודה1]],'נתוני תאגידים'!$1:$891,856,0)</f>
        <v>0</v>
      </c>
      <c r="M19" s="17">
        <f>+L19/HLOOKUP(טבלה112[[#This Row],[עמודה1]],'נתוני תאגידים'!$1:$891,753,0)</f>
        <v>0</v>
      </c>
      <c r="N19">
        <f t="shared" si="2"/>
        <v>0</v>
      </c>
      <c r="O19">
        <f>+HLOOKUP(טבלה112[[#This Row],[עמודה1]],'נתוני תאגידים'!$1:$891,479,0)</f>
        <v>7</v>
      </c>
      <c r="P19" t="str">
        <f t="shared" si="0"/>
        <v>חלש רב רשותי</v>
      </c>
      <c r="Q19" s="17">
        <f>+VLOOKUP(A19,'[12]פחת מים וגביה'!$A$1:$P$65536,8,0)</f>
        <v>0.1172448598386123</v>
      </c>
      <c r="R19" s="79">
        <f>+HLOOKUP(טבלה112[[#This Row],[עמודה1]],'נתוני תאגידים'!$1:$891,588,0)</f>
        <v>0</v>
      </c>
      <c r="S19" s="51">
        <f>+HLOOKUP(טבלה112[[#This Row],[עמודה1]],'נתוני תאגידים'!$1:$891,613,0)</f>
        <v>0</v>
      </c>
    </row>
    <row r="20" spans="1:21" x14ac:dyDescent="0.2">
      <c r="A20" t="s">
        <v>267</v>
      </c>
      <c r="B20" t="str">
        <f>+HLOOKUP(A20,'[6]נתוני תאגידים'!$1:$476,466,0)</f>
        <v>חלש</v>
      </c>
      <c r="C20" s="33">
        <f>+VLOOKUP(P20,'הנחות עבודה'!$C$62:$H$72,4,0)</f>
        <v>0.12659999999999999</v>
      </c>
      <c r="D20" s="33">
        <f>+VLOOKUP(טבלה112[[#This Row],[עמודה2]],'הנחות עבודה'!$C$69:$H$72,4,0)</f>
        <v>6.6699999999999995E-2</v>
      </c>
      <c r="E20" s="2">
        <f>+HLOOKUP(טבלה112[[#This Row],[עמודה1]],'נתוני תאגידים'!$1:$891,753,0)-HLOOKUP(טבלה112[[#This Row],[עמודה1]],'נתוני תאגידים'!$1:$891,788,0)</f>
        <v>6094.5320000000002</v>
      </c>
      <c r="F20" s="2">
        <f>+HLOOKUP(טבלה112[[#This Row],[עמודה1]],'נתוני תאגידים'!$1:$891,822,0)</f>
        <v>3558.0990000000002</v>
      </c>
      <c r="G20" s="651">
        <f t="shared" si="1"/>
        <v>0.58381824888276901</v>
      </c>
      <c r="H20" s="51">
        <f>+IF((IF(AND(J20&lt;2007,K20&gt;'הנחות עבודה'!$D$39-0.01),$I$1,+G20*C20+(1-G20)*$I$1)),+IF(AND(J20&lt;2007,K20&gt;'הנחות עבודה'!$D$39-0.01),$I$1,+G20*C20+(1-G20)*$I$1))-N20+IF($S$2="כן",R20,0)</f>
        <v>0.10304411288676472</v>
      </c>
      <c r="I20" s="51">
        <f>+IF(AND(J20&lt;2007,K20&gt;'הנחות עבודה'!$D$38-0.01),$K$1,+G20*D20+(1-G20)*$K$1)+IF($S$2="כן",S20,0)</f>
        <v>4.5183403467239154E-2</v>
      </c>
      <c r="J20">
        <f>+HLOOKUP(A20,'[6]נתוני תאגידים'!$1:$6,6,0)</f>
        <v>2010</v>
      </c>
      <c r="K20">
        <f>+ROUND(HLOOKUP(A20,'[6]נתוני תאגידים'!$1:$424,392,0),0)</f>
        <v>4</v>
      </c>
      <c r="L20">
        <f>+HLOOKUP(טבלה112[[#This Row],[עמודה1]],'נתוני תאגידים'!$1:$891,856,0)</f>
        <v>0</v>
      </c>
      <c r="M20" s="17">
        <f>+L20/HLOOKUP(טבלה112[[#This Row],[עמודה1]],'נתוני תאגידים'!$1:$891,753,0)</f>
        <v>0</v>
      </c>
      <c r="N20">
        <f t="shared" si="2"/>
        <v>0</v>
      </c>
      <c r="O20">
        <f>+HLOOKUP(טבלה112[[#This Row],[עמודה1]],'נתוני תאגידים'!$1:$891,479,0)</f>
        <v>4</v>
      </c>
      <c r="P20" t="str">
        <f t="shared" si="0"/>
        <v>חלש רב רשותי</v>
      </c>
      <c r="Q20" s="17">
        <f>+VLOOKUP(A20,'[12]פחת מים וגביה'!$A$1:$P$65536,8,0)</f>
        <v>0.10339996142675845</v>
      </c>
      <c r="R20" s="79">
        <f>+HLOOKUP(טבלה112[[#This Row],[עמודה1]],'נתוני תאגידים'!$1:$891,588,0)</f>
        <v>0</v>
      </c>
      <c r="S20" s="51">
        <f>+HLOOKUP(טבלה112[[#This Row],[עמודה1]],'נתוני תאגידים'!$1:$891,613,0)</f>
        <v>0</v>
      </c>
    </row>
    <row r="21" spans="1:21" x14ac:dyDescent="0.2">
      <c r="A21" t="s">
        <v>253</v>
      </c>
      <c r="B21" t="str">
        <f>+HLOOKUP(A21,'[6]נתוני תאגידים'!$1:$476,466,0)</f>
        <v>חזק מאוד</v>
      </c>
      <c r="C21" s="33">
        <f>+VLOOKUP(P21,'הנחות עבודה'!$C$62:$H$72,4,0)</f>
        <v>7.0000000000000007E-2</v>
      </c>
      <c r="D21" s="33">
        <f>+VLOOKUP(טבלה112[[#This Row],[עמודה2]],'הנחות עבודה'!$C$69:$H$72,4,0)</f>
        <v>1.4999999999999999E-2</v>
      </c>
      <c r="E21" s="2">
        <f>+HLOOKUP(טבלה112[[#This Row],[עמודה1]],'נתוני תאגידים'!$1:$891,753,0)-HLOOKUP(טבלה112[[#This Row],[עמודה1]],'נתוני תאגידים'!$1:$891,788,0)</f>
        <v>4815.0879999999997</v>
      </c>
      <c r="F21" s="2">
        <f>+HLOOKUP(טבלה112[[#This Row],[עמודה1]],'נתוני תאגידים'!$1:$891,822,0)</f>
        <v>3181.029</v>
      </c>
      <c r="G21" s="651">
        <f t="shared" si="1"/>
        <v>0.66063777027543424</v>
      </c>
      <c r="H21" s="51">
        <f>+IF((IF(AND(J21&lt;2007,K21&gt;'הנחות עבודה'!$D$39-0.01),$I$1,+G21*C21+(1-G21)*$I$1)),+IF(AND(J21&lt;2007,K21&gt;'הנחות עבודה'!$D$39-0.01),$I$1,+G21*C21+(1-G21)*$I$1))-N21+IF($S$2="כן",R21,0)</f>
        <v>7.0000000000000007E-2</v>
      </c>
      <c r="I21" s="51">
        <f>+IF(AND(J21&lt;2007,K21&gt;'הנחות עבודה'!$D$38-0.01),$K$1,+G21*D21+(1-G21)*$K$1)+IF($S$2="כן",S21,0)</f>
        <v>1.4999999999999999E-2</v>
      </c>
      <c r="J21">
        <f>+HLOOKUP(A21,'[6]נתוני תאגידים'!$1:$6,6,0)</f>
        <v>2010</v>
      </c>
      <c r="K21">
        <f>+ROUND(HLOOKUP(A21,'[6]נתוני תאגידים'!$1:$424,392,0),0)</f>
        <v>8</v>
      </c>
      <c r="L21">
        <f>+HLOOKUP(טבלה112[[#This Row],[עמודה1]],'נתוני תאגידים'!$1:$891,856,0)</f>
        <v>0</v>
      </c>
      <c r="M21" s="17">
        <f>+L21/HLOOKUP(טבלה112[[#This Row],[עמודה1]],'נתוני תאגידים'!$1:$891,753,0)</f>
        <v>0</v>
      </c>
      <c r="N21">
        <f t="shared" si="2"/>
        <v>0</v>
      </c>
      <c r="O21">
        <f>+HLOOKUP(טבלה112[[#This Row],[עמודה1]],'נתוני תאגידים'!$1:$891,479,0)</f>
        <v>1</v>
      </c>
      <c r="P21" t="str">
        <f t="shared" si="0"/>
        <v>חזק מאוד</v>
      </c>
      <c r="Q21" s="17">
        <f>+VLOOKUP(A21,'[12]פחת מים וגביה'!$A$1:$P$65536,8,0)</f>
        <v>6.983190918864772E-2</v>
      </c>
      <c r="R21" s="79">
        <f>+HLOOKUP(טבלה112[[#This Row],[עמודה1]],'נתוני תאגידים'!$1:$891,588,0)</f>
        <v>0</v>
      </c>
      <c r="S21" s="51">
        <f>+HLOOKUP(טבלה112[[#This Row],[עמודה1]],'נתוני תאגידים'!$1:$891,613,0)</f>
        <v>0</v>
      </c>
    </row>
    <row r="22" spans="1:21" x14ac:dyDescent="0.2">
      <c r="A22" t="s">
        <v>254</v>
      </c>
      <c r="B22" t="str">
        <f>+HLOOKUP(A22,'[6]נתוני תאגידים'!$1:$476,466,0)</f>
        <v>חזק מאוד</v>
      </c>
      <c r="C22" s="33">
        <f>+VLOOKUP(P22,'הנחות עבודה'!$C$62:$H$72,4,0)</f>
        <v>7.0000000000000007E-2</v>
      </c>
      <c r="D22" s="33">
        <f>+VLOOKUP(טבלה112[[#This Row],[עמודה2]],'הנחות עבודה'!$C$69:$H$72,4,0)</f>
        <v>1.4999999999999999E-2</v>
      </c>
      <c r="E22" s="2">
        <f>+HLOOKUP(טבלה112[[#This Row],[עמודה1]],'נתוני תאגידים'!$1:$891,753,0)-HLOOKUP(טבלה112[[#This Row],[עמודה1]],'נתוני תאגידים'!$1:$891,788,0)</f>
        <v>10049.633</v>
      </c>
      <c r="F22" s="2">
        <f>+HLOOKUP(טבלה112[[#This Row],[עמודה1]],'נתוני תאגידים'!$1:$891,822,0)</f>
        <v>7016.8329999999996</v>
      </c>
      <c r="G22" s="651">
        <f t="shared" si="1"/>
        <v>0.6982178354174724</v>
      </c>
      <c r="H22" s="51">
        <f>+IF((IF(AND(J22&lt;2007,K22&gt;'הנחות עבודה'!$D$39-0.01),$I$1,+G22*C22+(1-G22)*$I$1)),+IF(AND(J22&lt;2007,K22&gt;'הנחות עבודה'!$D$39-0.01),$I$1,+G22*C22+(1-G22)*$I$1))-N22+IF($S$2="כן",R22,0)</f>
        <v>6.3979770907603192E-2</v>
      </c>
      <c r="I22" s="51">
        <f>+IF(AND(J22&lt;2007,K22&gt;'הנחות עבודה'!$D$38-0.01),$K$1,+G22*D22+(1-G22)*$K$1)+IF($S$2="כן",S22,0)</f>
        <v>1.4999999999999999E-2</v>
      </c>
      <c r="J22">
        <f>+HLOOKUP(A22,'[6]נתוני תאגידים'!$1:$6,6,0)</f>
        <v>2010</v>
      </c>
      <c r="K22">
        <f>+ROUND(HLOOKUP(A22,'[6]נתוני תאגידים'!$1:$424,392,0),0)</f>
        <v>8</v>
      </c>
      <c r="L22">
        <f>+HLOOKUP(טבלה112[[#This Row],[עמודה1]],'נתוני תאגידים'!$1:$891,856,0)</f>
        <v>3170.33</v>
      </c>
      <c r="M22" s="17">
        <f>+L22/HLOOKUP(טבלה112[[#This Row],[עמודה1]],'נתוני תאגידים'!$1:$891,753,0)</f>
        <v>0.30101145461984075</v>
      </c>
      <c r="N22">
        <f t="shared" si="2"/>
        <v>6.0202290923968152E-3</v>
      </c>
      <c r="O22">
        <f>+HLOOKUP(טבלה112[[#This Row],[עמודה1]],'נתוני תאגידים'!$1:$891,479,0)</f>
        <v>1</v>
      </c>
      <c r="P22" t="str">
        <f t="shared" si="0"/>
        <v>חזק מאוד</v>
      </c>
      <c r="Q22" s="17">
        <f>+VLOOKUP(A22,'[12]פחת מים וגביה'!$A$1:$P$65536,8,0)</f>
        <v>6.3753457264698415E-2</v>
      </c>
      <c r="R22" s="79">
        <f>+HLOOKUP(טבלה112[[#This Row],[עמודה1]],'נתוני תאגידים'!$1:$891,588,0)</f>
        <v>0</v>
      </c>
      <c r="S22" s="51">
        <f>+HLOOKUP(טבלה112[[#This Row],[עמודה1]],'נתוני תאגידים'!$1:$891,613,0)</f>
        <v>0</v>
      </c>
    </row>
    <row r="23" spans="1:21" x14ac:dyDescent="0.2">
      <c r="A23" t="s">
        <v>578</v>
      </c>
      <c r="B23" t="str">
        <f>+HLOOKUP(A23,'[6]נתוני תאגידים'!$1:$476,466,0)</f>
        <v>חלש</v>
      </c>
      <c r="C23" s="33">
        <f>+VLOOKUP(P23,'הנחות עבודה'!$C$62:$H$72,4,0)</f>
        <v>0.12659999999999999</v>
      </c>
      <c r="D23" s="33">
        <f>+VLOOKUP(טבלה112[[#This Row],[עמודה2]],'הנחות עבודה'!$C$69:$H$72,4,0)</f>
        <v>6.6699999999999995E-2</v>
      </c>
      <c r="E23" s="2">
        <f>+HLOOKUP(טבלה112[[#This Row],[עמודה1]],'נתוני תאגידים'!$1:$891,753,0)-HLOOKUP(טבלה112[[#This Row],[עמודה1]],'נתוני תאגידים'!$1:$891,788,0)</f>
        <v>3373.9049999999993</v>
      </c>
      <c r="F23" s="2">
        <f>+HLOOKUP(טבלה112[[#This Row],[עמודה1]],'נתוני תאגידים'!$1:$891,822,0)</f>
        <v>2894.42</v>
      </c>
      <c r="G23" s="651">
        <f t="shared" si="1"/>
        <v>0.85788426170861376</v>
      </c>
      <c r="H23" s="51">
        <f>+IF((IF(AND(J23&lt;2007,K23&gt;'הנחות עבודה'!$D$39-0.01),$I$1,+G23*C23+(1-G23)*$I$1)),+IF(AND(J23&lt;2007,K23&gt;'הנחות עבודה'!$D$39-0.01),$I$1,+G23*C23+(1-G23)*$I$1))-N23+IF($S$2="כן",R23,0)</f>
        <v>0.11855624921270752</v>
      </c>
      <c r="I23" s="51">
        <f>+IF(AND(J23&lt;2007,K23&gt;'הנחות עבודה'!$D$38-0.01),$K$1,+G23*D23+(1-G23)*$K$1)+IF($S$2="כן",S23,0)</f>
        <v>5.9352616330335332E-2</v>
      </c>
      <c r="J23">
        <f>+HLOOKUP(A23,'[6]נתוני תאגידים'!$1:$6,6,0)</f>
        <v>2011</v>
      </c>
      <c r="K23">
        <f>+ROUND(HLOOKUP(A23,'[6]נתוני תאגידים'!$1:$424,392,0),0)</f>
        <v>2</v>
      </c>
      <c r="L23">
        <f>+HLOOKUP(טבלה112[[#This Row],[עמודה1]],'נתוני תאגידים'!$1:$891,856,0)</f>
        <v>0</v>
      </c>
      <c r="M23" s="17">
        <f>+L23/HLOOKUP(טבלה112[[#This Row],[עמודה1]],'נתוני תאגידים'!$1:$891,753,0)</f>
        <v>0</v>
      </c>
      <c r="N23">
        <f t="shared" si="2"/>
        <v>0</v>
      </c>
      <c r="O23">
        <f>+HLOOKUP(טבלה112[[#This Row],[עמודה1]],'נתוני תאגידים'!$1:$891,479,0)</f>
        <v>6</v>
      </c>
      <c r="P23" t="str">
        <f t="shared" si="0"/>
        <v>חלש רב רשותי</v>
      </c>
      <c r="Q23" s="17">
        <f>+VLOOKUP(A23,'[12]פחת מים וגביה'!$A$1:$P$65536,8,0)</f>
        <v>0.12295703222182096</v>
      </c>
      <c r="R23" s="79">
        <f>+HLOOKUP(טבלה112[[#This Row],[עמודה1]],'נתוני תאגידים'!$1:$891,588,0)</f>
        <v>0</v>
      </c>
      <c r="S23" s="51">
        <f>+HLOOKUP(טבלה112[[#This Row],[עמודה1]],'נתוני תאגידים'!$1:$891,613,0)</f>
        <v>0</v>
      </c>
    </row>
    <row r="24" spans="1:21" s="719" customFormat="1" x14ac:dyDescent="0.2">
      <c r="A24" s="719" t="s">
        <v>445</v>
      </c>
      <c r="B24" t="str">
        <f>+HLOOKUP(A24,'[6]נתוני תאגידים'!$1:$476,466,0)</f>
        <v xml:space="preserve">חזק </v>
      </c>
      <c r="C24" s="33">
        <f>+VLOOKUP(P24,'הנחות עבודה'!$C$62:$H$72,4,0)</f>
        <v>7.0000000000000007E-2</v>
      </c>
      <c r="D24" s="33">
        <f>+VLOOKUP(טבלה112[[#This Row],[עמודה2]],'הנחות עבודה'!$C$69:$H$72,4,0)</f>
        <v>1.4999999999999999E-2</v>
      </c>
      <c r="E24" s="2">
        <f>+HLOOKUP(טבלה112[[#This Row],[עמודה1]],'נתוני תאגידים'!$1:$891,753,0)-HLOOKUP(טבלה112[[#This Row],[עמודה1]],'נתוני תאגידים'!$1:$891,788,0)</f>
        <v>6499.68</v>
      </c>
      <c r="F24" s="2">
        <f>+HLOOKUP(טבלה112[[#This Row],[עמודה1]],'נתוני תאגידים'!$1:$891,822,0)</f>
        <v>4647.0290000000005</v>
      </c>
      <c r="G24" s="1292">
        <f t="shared" si="1"/>
        <v>0.71496273662703402</v>
      </c>
      <c r="H24" s="51">
        <f>+IF((IF(AND(J24&lt;2007,K24&gt;'הנחות עבודה'!$D$39-0.01),$I$1,+G24*C24+(1-G24)*$I$1)),+IF(AND(J24&lt;2007,K24&gt;'הנחות עבודה'!$D$39-0.01),$I$1,+G24*C24+(1-G24)*$I$1))-N24+IF($S$2="כן",R24,0)</f>
        <v>6.3070012364408054E-2</v>
      </c>
      <c r="I24" s="51">
        <f>+IF(AND(J24&lt;2007,K24&gt;'הנחות עבודה'!$D$38-0.01),$K$1,+G24*D24+(1-G24)*$K$1)+IF($S$2="כן",S24,0)</f>
        <v>1.4999999999999999E-2</v>
      </c>
      <c r="J24" s="719">
        <f>+HLOOKUP(A24,'[6]נתוני תאגידים'!$1:$6,6,0)</f>
        <v>2009</v>
      </c>
      <c r="K24">
        <f>+ROUND(HLOOKUP(A24,'[6]נתוני תאגידים'!$1:$424,392,0),0)</f>
        <v>5</v>
      </c>
      <c r="L24">
        <f>+HLOOKUP(טבלה112[[#This Row],[עמודה1]],'נתוני תאגידים'!$1:$891,856,0)</f>
        <v>2528.88</v>
      </c>
      <c r="M24" s="17">
        <f>+L24/HLOOKUP(טבלה112[[#This Row],[עמודה1]],'נתוני תאגידים'!$1:$891,753,0)</f>
        <v>0.34649938177959783</v>
      </c>
      <c r="N24" s="719">
        <f t="shared" si="2"/>
        <v>6.929987635591957E-3</v>
      </c>
      <c r="O24">
        <f>+HLOOKUP(טבלה112[[#This Row],[עמודה1]],'נתוני תאגידים'!$1:$891,479,0)</f>
        <v>1</v>
      </c>
      <c r="P24" s="719" t="str">
        <f t="shared" si="0"/>
        <v xml:space="preserve">חזק </v>
      </c>
      <c r="Q24" s="1293">
        <f>+VLOOKUP(A24,'[12]פחת מים וגביה'!$A$1:$P$65536,8,0)</f>
        <v>6.3866638299035189E-2</v>
      </c>
      <c r="R24" s="79">
        <f>+HLOOKUP(טבלה112[[#This Row],[עמודה1]],'נתוני תאגידים'!$1:$891,588,0)</f>
        <v>0</v>
      </c>
      <c r="S24" s="51">
        <f>+HLOOKUP(טבלה112[[#This Row],[עמודה1]],'נתוני תאגידים'!$1:$891,613,0)</f>
        <v>0</v>
      </c>
      <c r="T24"/>
      <c r="U24"/>
    </row>
    <row r="25" spans="1:21" s="719" customFormat="1" x14ac:dyDescent="0.2">
      <c r="A25" s="719" t="s">
        <v>255</v>
      </c>
      <c r="B25" t="str">
        <f>+HLOOKUP(A25,'[6]נתוני תאגידים'!$1:$476,466,0)</f>
        <v xml:space="preserve">חזק </v>
      </c>
      <c r="C25" s="33">
        <f>+VLOOKUP(P25,'הנחות עבודה'!$C$62:$H$72,4,0)</f>
        <v>7.0000000000000007E-2</v>
      </c>
      <c r="D25" s="33">
        <f>+VLOOKUP(טבלה112[[#This Row],[עמודה2]],'הנחות עבודה'!$C$69:$H$72,4,0)</f>
        <v>1.4999999999999999E-2</v>
      </c>
      <c r="E25" s="2">
        <f>+HLOOKUP(טבלה112[[#This Row],[עמודה1]],'נתוני תאגידים'!$1:$891,753,0)-HLOOKUP(טבלה112[[#This Row],[עמודה1]],'נתוני תאגידים'!$1:$891,788,0)</f>
        <v>4945.2919999999995</v>
      </c>
      <c r="F25" s="2">
        <f>+HLOOKUP(טבלה112[[#This Row],[עמודה1]],'נתוני תאגידים'!$1:$891,822,0)</f>
        <v>3372.4279999999999</v>
      </c>
      <c r="G25" s="1292">
        <f t="shared" si="1"/>
        <v>0.68194719341143051</v>
      </c>
      <c r="H25" s="51">
        <f>+IF((IF(AND(J25&lt;2007,K25&gt;'הנחות עבודה'!$D$39-0.01),$I$1,+G25*C25+(1-G25)*$I$1)),+IF(AND(J25&lt;2007,K25&gt;'הנחות עבודה'!$D$39-0.01),$I$1,+G25*C25+(1-G25)*$I$1))-N25+IF($S$2="כן",R25,0)</f>
        <v>6.7421333183007193E-2</v>
      </c>
      <c r="I25" s="51">
        <f>+IF(AND(J25&lt;2007,K25&gt;'הנחות עבודה'!$D$38-0.01),$K$1,+G25*D25+(1-G25)*$K$1)+IF($S$2="כן",S25,0)</f>
        <v>1.4999999999999999E-2</v>
      </c>
      <c r="J25" s="719">
        <f>+HLOOKUP(A25,'[6]נתוני תאגידים'!$1:$6,6,0)</f>
        <v>2009</v>
      </c>
      <c r="K25">
        <f>+ROUND(HLOOKUP(A25,'[6]נתוני תאגידים'!$1:$424,392,0),0)</f>
        <v>5</v>
      </c>
      <c r="L25">
        <f>+HLOOKUP(טבלה112[[#This Row],[עמודה1]],'נתוני תאגידים'!$1:$891,856,0)</f>
        <v>704.45</v>
      </c>
      <c r="M25" s="17">
        <f>+L25/HLOOKUP(טבלה112[[#This Row],[עמודה1]],'נתוני תאגידים'!$1:$891,753,0)</f>
        <v>0.12893334084964045</v>
      </c>
      <c r="N25" s="719">
        <f t="shared" si="2"/>
        <v>2.5786668169928092E-3</v>
      </c>
      <c r="O25">
        <f>+HLOOKUP(טבלה112[[#This Row],[עמודה1]],'נתוני תאגידים'!$1:$891,479,0)</f>
        <v>2</v>
      </c>
      <c r="P25" s="719" t="str">
        <f t="shared" si="0"/>
        <v xml:space="preserve">חזק </v>
      </c>
      <c r="Q25" s="1294">
        <f>+VLOOKUP(A25,'[12]פחת מים וגביה'!$A$1:$P$65536,8,0)</f>
        <v>6.8096176771516817E-2</v>
      </c>
      <c r="R25" s="79">
        <f>+HLOOKUP(טבלה112[[#This Row],[עמודה1]],'נתוני תאגידים'!$1:$891,588,0)</f>
        <v>0</v>
      </c>
      <c r="S25" s="51">
        <f>+HLOOKUP(טבלה112[[#This Row],[עמודה1]],'נתוני תאגידים'!$1:$891,613,0)</f>
        <v>0</v>
      </c>
      <c r="T25"/>
      <c r="U25"/>
    </row>
    <row r="26" spans="1:21" x14ac:dyDescent="0.2">
      <c r="A26" t="s">
        <v>256</v>
      </c>
      <c r="B26" t="str">
        <f>+HLOOKUP(A26,'[6]נתוני תאגידים'!$1:$476,466,0)</f>
        <v>חזק מאוד</v>
      </c>
      <c r="C26" s="33">
        <f>+VLOOKUP(P26,'הנחות עבודה'!$C$62:$H$72,4,0)</f>
        <v>7.0000000000000007E-2</v>
      </c>
      <c r="D26" s="33">
        <f>+VLOOKUP(טבלה112[[#This Row],[עמודה2]],'הנחות עבודה'!$C$69:$H$72,4,0)</f>
        <v>1.4999999999999999E-2</v>
      </c>
      <c r="E26" s="2">
        <f>+HLOOKUP(טבלה112[[#This Row],[עמודה1]],'נתוני תאגידים'!$1:$891,753,0)-HLOOKUP(טבלה112[[#This Row],[עמודה1]],'נתוני תאגידים'!$1:$891,788,0)</f>
        <v>20763.287</v>
      </c>
      <c r="F26" s="2">
        <f>+HLOOKUP(טבלה112[[#This Row],[עמודה1]],'נתוני תאגידים'!$1:$891,822,0)</f>
        <v>12027.992</v>
      </c>
      <c r="G26" s="651">
        <f t="shared" si="1"/>
        <v>0.57929132318982057</v>
      </c>
      <c r="H26" s="51">
        <f>+IF((IF(AND(J26&lt;2007,K26&gt;'הנחות עבודה'!$D$39-0.01),$I$1,+G26*C26+(1-G26)*$I$1)),+IF(AND(J26&lt;2007,K26&gt;'הנחות עבודה'!$D$39-0.01),$I$1,+G26*C26+(1-G26)*$I$1))-N26+IF($S$2="כן",R26,0)</f>
        <v>7.0000000000000007E-2</v>
      </c>
      <c r="I26" s="51">
        <f>+IF(AND(J26&lt;2007,K26&gt;'הנחות עבודה'!$D$38-0.01),$K$1,+G26*D26+(1-G26)*$K$1)+IF($S$2="כן",S26,0)</f>
        <v>1.4999999999999999E-2</v>
      </c>
      <c r="J26">
        <f>+HLOOKUP(A26,'[6]נתוני תאגידים'!$1:$6,6,0)</f>
        <v>2010</v>
      </c>
      <c r="K26">
        <f>+ROUND(HLOOKUP(A26,'[6]נתוני תאגידים'!$1:$424,392,0),0)</f>
        <v>7</v>
      </c>
      <c r="L26">
        <f>+HLOOKUP(טבלה112[[#This Row],[עמודה1]],'נתוני תאגידים'!$1:$891,856,0)</f>
        <v>0</v>
      </c>
      <c r="M26" s="17">
        <f>+L26/HLOOKUP(טבלה112[[#This Row],[עמודה1]],'נתוני תאגידים'!$1:$891,753,0)</f>
        <v>0</v>
      </c>
      <c r="N26">
        <f t="shared" si="2"/>
        <v>0</v>
      </c>
      <c r="O26">
        <f>+HLOOKUP(טבלה112[[#This Row],[עמודה1]],'נתוני תאגידים'!$1:$891,479,0)</f>
        <v>1</v>
      </c>
      <c r="P26" t="str">
        <f t="shared" si="0"/>
        <v>חזק מאוד</v>
      </c>
      <c r="Q26" s="51">
        <f>+VLOOKUP(A26,'[12]פחת מים וגביה'!$A$1:$P$65536,8,0)</f>
        <v>7.0000000000000007E-2</v>
      </c>
      <c r="R26" s="79">
        <f>+HLOOKUP(טבלה112[[#This Row],[עמודה1]],'נתוני תאגידים'!$1:$891,588,0)</f>
        <v>0</v>
      </c>
      <c r="S26" s="51">
        <f>+HLOOKUP(טבלה112[[#This Row],[עמודה1]],'נתוני תאגידים'!$1:$891,613,0)</f>
        <v>0</v>
      </c>
    </row>
    <row r="27" spans="1:21" x14ac:dyDescent="0.2">
      <c r="A27" t="s">
        <v>446</v>
      </c>
      <c r="B27" t="str">
        <f>+HLOOKUP(A27,'[6]נתוני תאגידים'!$1:$476,466,0)</f>
        <v>חלש</v>
      </c>
      <c r="C27" s="33">
        <f>+VLOOKUP(P27,'הנחות עבודה'!$C$62:$H$72,4,0)</f>
        <v>0.1166</v>
      </c>
      <c r="D27" s="33">
        <f>+VLOOKUP(טבלה112[[#This Row],[עמודה2]],'הנחות עבודה'!$C$69:$H$72,4,0)</f>
        <v>6.6699999999999995E-2</v>
      </c>
      <c r="E27" s="2">
        <f>+HLOOKUP(טבלה112[[#This Row],[עמודה1]],'נתוני תאגידים'!$1:$891,753,0)-HLOOKUP(טבלה112[[#This Row],[עמודה1]],'נתוני תאגידים'!$1:$891,788,0)</f>
        <v>4499.1529999999993</v>
      </c>
      <c r="F27" s="2">
        <f>+HLOOKUP(טבלה112[[#This Row],[עמודה1]],'נתוני תאגידים'!$1:$891,822,0)</f>
        <v>3351.3409999999999</v>
      </c>
      <c r="G27" s="651">
        <f t="shared" si="1"/>
        <v>0.7448826479117292</v>
      </c>
      <c r="H27" s="51">
        <f>+IF((IF(AND(J27&lt;2007,K27&gt;'הנחות עבודה'!$D$39-0.01),$I$1,+G27*C27+(1-G27)*$I$1)),+IF(AND(J27&lt;2007,K27&gt;'הנחות עבודה'!$D$39-0.01),$I$1,+G27*C27+(1-G27)*$I$1))-N27+IF($S$2="כן",R27,0)</f>
        <v>0.10471153139268657</v>
      </c>
      <c r="I27" s="51">
        <f>+IF(AND(J27&lt;2007,K27&gt;'הנחות עבודה'!$D$38-0.01),$K$1,+G27*D27+(1-G27)*$K$1)+IF($S$2="כן",S27,0)</f>
        <v>5.3510432897036393E-2</v>
      </c>
      <c r="J27">
        <f>+HLOOKUP(A27,'[6]נתוני תאגידים'!$1:$6,6,0)</f>
        <v>2009</v>
      </c>
      <c r="K27">
        <f>+ROUND(HLOOKUP(A27,'[6]נתוני תאגידים'!$1:$424,392,0),0)</f>
        <v>4</v>
      </c>
      <c r="L27">
        <f>+HLOOKUP(טבלה112[[#This Row],[עמודה1]],'נתוני תאגידים'!$1:$891,856,0)</f>
        <v>0</v>
      </c>
      <c r="M27" s="17">
        <f>+L27/HLOOKUP(טבלה112[[#This Row],[עמודה1]],'נתוני תאגידים'!$1:$891,753,0)</f>
        <v>0</v>
      </c>
      <c r="N27">
        <f t="shared" si="2"/>
        <v>0</v>
      </c>
      <c r="O27">
        <f>+HLOOKUP(טבלה112[[#This Row],[עמודה1]],'נתוני תאגידים'!$1:$891,479,0)</f>
        <v>1</v>
      </c>
      <c r="P27" t="str">
        <f t="shared" si="0"/>
        <v>חלש</v>
      </c>
      <c r="Q27" s="51">
        <f>+VLOOKUP(A27,'[12]פחת מים וגביה'!$A$1:$P$65536,8,0)</f>
        <v>0.10561074695785505</v>
      </c>
      <c r="R27" s="79">
        <f>+HLOOKUP(טבלה112[[#This Row],[עמודה1]],'נתוני תאגידים'!$1:$891,588,0)</f>
        <v>0</v>
      </c>
      <c r="S27" s="51">
        <f>+HLOOKUP(טבלה112[[#This Row],[עמודה1]],'נתוני תאגידים'!$1:$891,613,0)</f>
        <v>0</v>
      </c>
    </row>
    <row r="28" spans="1:21" x14ac:dyDescent="0.2">
      <c r="A28" t="s">
        <v>257</v>
      </c>
      <c r="B28" t="str">
        <f>+HLOOKUP(A28,'[6]נתוני תאגידים'!$1:$476,466,0)</f>
        <v>חזק מאוד</v>
      </c>
      <c r="C28" s="33">
        <f>+VLOOKUP(P28,'הנחות עבודה'!$C$62:$H$72,4,0)</f>
        <v>7.0000000000000007E-2</v>
      </c>
      <c r="D28" s="33">
        <f>+VLOOKUP(טבלה112[[#This Row],[עמודה2]],'הנחות עבודה'!$C$69:$H$72,4,0)</f>
        <v>1.4999999999999999E-2</v>
      </c>
      <c r="E28" s="2">
        <f>+HLOOKUP(טבלה112[[#This Row],[עמודה1]],'נתוני תאגידים'!$1:$891,753,0)-HLOOKUP(טבלה112[[#This Row],[עמודה1]],'נתוני תאגידים'!$1:$891,788,0)</f>
        <v>6077.2999999999993</v>
      </c>
      <c r="F28" s="2">
        <f>+HLOOKUP(טבלה112[[#This Row],[עמודה1]],'נתוני תאגידים'!$1:$891,822,0)</f>
        <v>4543.1109999999999</v>
      </c>
      <c r="G28" s="651">
        <f t="shared" si="1"/>
        <v>0.74755417701940008</v>
      </c>
      <c r="H28" s="51">
        <f>+IF((IF(AND(J28&lt;2007,K28&gt;'הנחות עבודה'!$D$39-0.01),$I$1,+G28*C28+(1-G28)*$I$1)),+IF(AND(J28&lt;2007,K28&gt;'הנחות עבודה'!$D$39-0.01),$I$1,+G28*C28+(1-G28)*$I$1))-N28+IF($S$2="כן",R28,0)</f>
        <v>7.0000000000000007E-2</v>
      </c>
      <c r="I28" s="51">
        <f>+IF(AND(J28&lt;2007,K28&gt;'הנחות עבודה'!$D$38-0.01),$K$1,+G28*D28+(1-G28)*$K$1)+IF($S$2="כן",S28,0)</f>
        <v>1.4999999999999999E-2</v>
      </c>
      <c r="J28">
        <f>+HLOOKUP(A28,'[6]נתוני תאגידים'!$1:$6,6,0)</f>
        <v>2006</v>
      </c>
      <c r="K28">
        <f>+ROUND(HLOOKUP(A28,'[6]נתוני תאגידים'!$1:$424,392,0),0)</f>
        <v>8</v>
      </c>
      <c r="L28">
        <f>+HLOOKUP(טבלה112[[#This Row],[עמודה1]],'נתוני תאגידים'!$1:$891,856,0)</f>
        <v>0</v>
      </c>
      <c r="M28" s="17">
        <f>+L28/HLOOKUP(טבלה112[[#This Row],[עמודה1]],'נתוני תאגידים'!$1:$891,753,0)</f>
        <v>0</v>
      </c>
      <c r="N28">
        <f t="shared" si="2"/>
        <v>0</v>
      </c>
      <c r="O28">
        <f>+HLOOKUP(טבלה112[[#This Row],[עמודה1]],'נתוני תאגידים'!$1:$891,479,0)</f>
        <v>1</v>
      </c>
      <c r="P28" t="str">
        <f t="shared" si="0"/>
        <v>חזק מאוד</v>
      </c>
      <c r="Q28" s="51">
        <f>+VLOOKUP(A28,'[12]פחת מים וגביה'!$A$1:$P$65536,8,0)</f>
        <v>7.0000000000000007E-2</v>
      </c>
      <c r="R28" s="79">
        <f>+HLOOKUP(טבלה112[[#This Row],[עמודה1]],'נתוני תאגידים'!$1:$891,588,0)</f>
        <v>0</v>
      </c>
      <c r="S28" s="51">
        <f>+HLOOKUP(טבלה112[[#This Row],[עמודה1]],'נתוני תאגידים'!$1:$891,613,0)</f>
        <v>0</v>
      </c>
    </row>
    <row r="29" spans="1:21" s="719" customFormat="1" x14ac:dyDescent="0.2">
      <c r="A29" s="719" t="s">
        <v>447</v>
      </c>
      <c r="B29" t="str">
        <f>+HLOOKUP(A29,'[6]נתוני תאגידים'!$1:$476,466,0)</f>
        <v xml:space="preserve">חזק </v>
      </c>
      <c r="C29" s="33">
        <f>+VLOOKUP(P29,'הנחות עבודה'!$C$62:$H$72,4,0)</f>
        <v>7.0000000000000007E-2</v>
      </c>
      <c r="D29" s="33">
        <f>+VLOOKUP(טבלה112[[#This Row],[עמודה2]],'הנחות עבודה'!$C$69:$H$72,4,0)</f>
        <v>1.4999999999999999E-2</v>
      </c>
      <c r="E29" s="2">
        <f>+HLOOKUP(טבלה112[[#This Row],[עמודה1]],'נתוני תאגידים'!$1:$891,753,0)-HLOOKUP(טבלה112[[#This Row],[עמודה1]],'נתוני תאגידים'!$1:$891,788,0)</f>
        <v>8655.9480000000003</v>
      </c>
      <c r="F29" s="2">
        <f>+HLOOKUP(טבלה112[[#This Row],[עמודה1]],'נתוני תאגידים'!$1:$891,822,0)</f>
        <v>5162.4470000000001</v>
      </c>
      <c r="G29" s="1292">
        <f t="shared" si="1"/>
        <v>0.59640457636760291</v>
      </c>
      <c r="H29" s="51">
        <f>+IF((IF(AND(J29&lt;2007,K29&gt;'הנחות עבודה'!$D$39-0.01),$I$1,+G29*C29+(1-G29)*$I$1)),+IF(AND(J29&lt;2007,K29&gt;'הנחות עבודה'!$D$39-0.01),$I$1,+G29*C29+(1-G29)*$I$1))-N29+IF($S$2="כן",R29,0)</f>
        <v>7.0000000000000007E-2</v>
      </c>
      <c r="I29" s="51">
        <f>+IF(AND(J29&lt;2007,K29&gt;'הנחות עבודה'!$D$38-0.01),$K$1,+G29*D29+(1-G29)*$K$1)+IF($S$2="כן",S29,0)</f>
        <v>1.4999999999999999E-2</v>
      </c>
      <c r="J29" s="719">
        <f>+HLOOKUP(A29,'[6]נתוני תאגידים'!$1:$6,6,0)</f>
        <v>2003</v>
      </c>
      <c r="K29">
        <f>+ROUND(HLOOKUP(A29,'[6]נתוני תאגידים'!$1:$424,392,0),0)</f>
        <v>5</v>
      </c>
      <c r="L29">
        <f>+HLOOKUP(טבלה112[[#This Row],[עמודה1]],'נתוני תאגידים'!$1:$891,856,0)</f>
        <v>0</v>
      </c>
      <c r="M29" s="17">
        <f>+L29/HLOOKUP(טבלה112[[#This Row],[עמודה1]],'נתוני תאגידים'!$1:$891,753,0)</f>
        <v>0</v>
      </c>
      <c r="N29" s="719">
        <f t="shared" si="2"/>
        <v>0</v>
      </c>
      <c r="O29">
        <f>+HLOOKUP(טבלה112[[#This Row],[עמודה1]],'נתוני תאגידים'!$1:$891,479,0)</f>
        <v>3</v>
      </c>
      <c r="P29" s="719" t="str">
        <f t="shared" si="0"/>
        <v xml:space="preserve">חזק </v>
      </c>
      <c r="Q29" s="1294">
        <f>+VLOOKUP(A29,'[12]פחת מים וגביה'!$A$1:$P$65536,8,0)</f>
        <v>7.0000000000000007E-2</v>
      </c>
      <c r="R29" s="79">
        <f>+HLOOKUP(טבלה112[[#This Row],[עמודה1]],'נתוני תאגידים'!$1:$891,588,0)</f>
        <v>0</v>
      </c>
      <c r="S29" s="51">
        <f>+HLOOKUP(טבלה112[[#This Row],[עמודה1]],'נתוני תאגידים'!$1:$891,613,0)</f>
        <v>0</v>
      </c>
      <c r="T29"/>
      <c r="U29"/>
    </row>
    <row r="30" spans="1:21" x14ac:dyDescent="0.2">
      <c r="A30" t="s">
        <v>448</v>
      </c>
      <c r="B30" t="str">
        <f>+HLOOKUP(A30,'[6]נתוני תאגידים'!$1:$476,466,0)</f>
        <v xml:space="preserve">חזק </v>
      </c>
      <c r="C30" s="33">
        <f>+VLOOKUP(P30,'הנחות עבודה'!$C$62:$H$72,4,0)</f>
        <v>7.0000000000000007E-2</v>
      </c>
      <c r="D30" s="33">
        <f>+VLOOKUP(טבלה112[[#This Row],[עמודה2]],'הנחות עבודה'!$C$69:$H$72,4,0)</f>
        <v>1.4999999999999999E-2</v>
      </c>
      <c r="E30" s="2">
        <f>+HLOOKUP(טבלה112[[#This Row],[עמודה1]],'נתוני תאגידים'!$1:$891,753,0)-HLOOKUP(טבלה112[[#This Row],[עמודה1]],'נתוני תאגידים'!$1:$891,788,0)</f>
        <v>15330.025</v>
      </c>
      <c r="F30" s="2">
        <f>+HLOOKUP(טבלה112[[#This Row],[עמודה1]],'נתוני תאגידים'!$1:$891,822,0)</f>
        <v>10506.584999999999</v>
      </c>
      <c r="G30" s="651">
        <f t="shared" si="1"/>
        <v>0.68535993907381099</v>
      </c>
      <c r="H30" s="51">
        <f>+IF((IF(AND(J30&lt;2007,K30&gt;'הנחות עבודה'!$D$39-0.01),$I$1,+G30*C30+(1-G30)*$I$1)),+IF(AND(J30&lt;2007,K30&gt;'הנחות עבודה'!$D$39-0.01),$I$1,+G30*C30+(1-G30)*$I$1))-N30+IF($S$2="כן",R30,0)</f>
        <v>6.2853172569172833E-2</v>
      </c>
      <c r="I30" s="51">
        <f>+IF(AND(J30&lt;2007,K30&gt;'הנחות עבודה'!$D$38-0.01),$K$1,+G30*D30+(1-G30)*$K$1)+IF($S$2="כן",S30,0)</f>
        <v>1.4999999999999999E-2</v>
      </c>
      <c r="J30">
        <f>+HLOOKUP(A30,'[6]נתוני תאגידים'!$1:$6,6,0)</f>
        <v>2003</v>
      </c>
      <c r="K30">
        <f>+ROUND(HLOOKUP(A30,'[6]נתוני תאגידים'!$1:$424,392,0),0)</f>
        <v>5</v>
      </c>
      <c r="L30">
        <f>+HLOOKUP(טבלה112[[#This Row],[עמודה1]],'נתוני תאגידים'!$1:$891,856,0)</f>
        <v>5978.83</v>
      </c>
      <c r="M30" s="17">
        <f>+L30/HLOOKUP(טבלה112[[#This Row],[עמודה1]],'נתוני תאגידים'!$1:$891,753,0)</f>
        <v>0.35734137154135837</v>
      </c>
      <c r="N30">
        <f t="shared" si="2"/>
        <v>7.146827430827167E-3</v>
      </c>
      <c r="O30">
        <f>+HLOOKUP(טבלה112[[#This Row],[עמודה1]],'נתוני תאגידים'!$1:$891,479,0)</f>
        <v>1</v>
      </c>
      <c r="P30" t="str">
        <f t="shared" si="0"/>
        <v xml:space="preserve">חזק </v>
      </c>
      <c r="Q30" s="51">
        <f>+VLOOKUP(A30,'[12]פחת מים וגביה'!$A$1:$P$65536,8,0)</f>
        <v>6.1630928708435027E-2</v>
      </c>
      <c r="R30" s="79">
        <f>+HLOOKUP(טבלה112[[#This Row],[עמודה1]],'נתוני תאגידים'!$1:$891,588,0)</f>
        <v>0</v>
      </c>
      <c r="S30" s="51">
        <f>+HLOOKUP(טבלה112[[#This Row],[עמודה1]],'נתוני תאגידים'!$1:$891,613,0)</f>
        <v>0</v>
      </c>
    </row>
    <row r="31" spans="1:21" s="719" customFormat="1" x14ac:dyDescent="0.2">
      <c r="A31" s="719" t="s">
        <v>449</v>
      </c>
      <c r="B31" t="str">
        <f>+HLOOKUP(A31,'[6]נתוני תאגידים'!$1:$476,466,0)</f>
        <v>חלש</v>
      </c>
      <c r="C31" s="33">
        <f>+VLOOKUP(P31,'הנחות עבודה'!$C$62:$H$72,4,0)</f>
        <v>0.12659999999999999</v>
      </c>
      <c r="D31" s="33">
        <f>+VLOOKUP(טבלה112[[#This Row],[עמודה2]],'הנחות עבודה'!$C$69:$H$72,4,0)</f>
        <v>6.6699999999999995E-2</v>
      </c>
      <c r="E31" s="2">
        <f>+HLOOKUP(טבלה112[[#This Row],[עמודה1]],'נתוני תאגידים'!$1:$891,753,0)-HLOOKUP(טבלה112[[#This Row],[עמודה1]],'נתוני תאגידים'!$1:$891,788,0)</f>
        <v>7564.610999999999</v>
      </c>
      <c r="F31" s="2">
        <f>+HLOOKUP(טבלה112[[#This Row],[עמודה1]],'נתוני תאגידים'!$1:$891,822,0)</f>
        <v>5680.3170000000009</v>
      </c>
      <c r="G31" s="1292">
        <f t="shared" si="1"/>
        <v>0.75090668905512814</v>
      </c>
      <c r="H31" s="51">
        <f>+IF((IF(AND(J31&lt;2007,K31&gt;'הנחות עבודה'!$D$39-0.01),$I$1,+G31*C31+(1-G31)*$I$1)),+IF(AND(J31&lt;2007,K31&gt;'הנחות עבודה'!$D$39-0.01),$I$1,+G31*C31+(1-G31)*$I$1))-N31+IF($S$2="כן",R31,0)</f>
        <v>0.11367952445778497</v>
      </c>
      <c r="I31" s="51">
        <f>+IF(AND(J31&lt;2007,K31&gt;'הנחות עבודה'!$D$38-0.01),$K$1,+G31*D31+(1-G31)*$K$1)+IF($S$2="כן",S31,0)</f>
        <v>5.6505566943475305E-2</v>
      </c>
      <c r="J31" s="719">
        <f>+HLOOKUP(A31,'[6]נתוני תאגידים'!$1:$6,6,0)</f>
        <v>2009</v>
      </c>
      <c r="K31">
        <f>+ROUND(HLOOKUP(A31,'[6]נתוני תאגידים'!$1:$424,392,0),0)</f>
        <v>3</v>
      </c>
      <c r="L31">
        <f>+HLOOKUP(טבלה112[[#This Row],[עמודה1]],'נתוני תאגידים'!$1:$891,856,0)</f>
        <v>0</v>
      </c>
      <c r="M31" s="17">
        <f>+L31/HLOOKUP(טבלה112[[#This Row],[עמודה1]],'נתוני תאגידים'!$1:$891,753,0)</f>
        <v>0</v>
      </c>
      <c r="N31" s="719">
        <f t="shared" si="2"/>
        <v>0</v>
      </c>
      <c r="O31">
        <f>+HLOOKUP(טבלה112[[#This Row],[עמודה1]],'נתוני תאגידים'!$1:$891,479,0)</f>
        <v>7</v>
      </c>
      <c r="P31" s="719" t="str">
        <f t="shared" si="0"/>
        <v>חלש רב רשותי</v>
      </c>
      <c r="Q31" s="1294">
        <f>+VLOOKUP(A31,'[12]פחת מים וגביה'!$A$1:$P$65536,8,0)</f>
        <v>0.11445308788495065</v>
      </c>
      <c r="R31" s="79">
        <f>+HLOOKUP(טבלה112[[#This Row],[עמודה1]],'נתוני תאגידים'!$1:$891,588,0)</f>
        <v>1.1782058572647146E-3</v>
      </c>
      <c r="S31" s="51">
        <f>+HLOOKUP(טבלה112[[#This Row],[עמודה1]],'נתוני תאגידים'!$1:$891,613,0)</f>
        <v>2.6836911193251827E-3</v>
      </c>
      <c r="T31"/>
      <c r="U31"/>
    </row>
    <row r="32" spans="1:21" x14ac:dyDescent="0.2">
      <c r="A32" t="s">
        <v>268</v>
      </c>
      <c r="B32" t="str">
        <f>+HLOOKUP(A32,'[6]נתוני תאגידים'!$1:$476,466,0)</f>
        <v>חלש</v>
      </c>
      <c r="C32" s="33">
        <f>+VLOOKUP(P32,'הנחות עבודה'!$C$62:$H$72,4,0)</f>
        <v>0.1166</v>
      </c>
      <c r="D32" s="33">
        <f>+VLOOKUP(טבלה112[[#This Row],[עמודה2]],'הנחות עבודה'!$C$69:$H$72,4,0)</f>
        <v>6.6699999999999995E-2</v>
      </c>
      <c r="E32" s="2">
        <f>+HLOOKUP(טבלה112[[#This Row],[עמודה1]],'נתוני תאגידים'!$1:$891,753,0)-HLOOKUP(טבלה112[[#This Row],[עמודה1]],'נתוני תאגידים'!$1:$891,788,0)</f>
        <v>3380.4430000000002</v>
      </c>
      <c r="F32" s="2">
        <f>+HLOOKUP(טבלה112[[#This Row],[עמודה1]],'נתוני תאגידים'!$1:$891,822,0)</f>
        <v>2126.3539999999998</v>
      </c>
      <c r="G32" s="651">
        <f t="shared" si="1"/>
        <v>0.62901637448109604</v>
      </c>
      <c r="H32" s="51">
        <f>+IF((IF(AND(J32&lt;2007,K32&gt;'הנחות עבודה'!$D$39-0.01),$I$1,+G32*C32+(1-G32)*$I$1)),+IF(AND(J32&lt;2007,K32&gt;'הנחות עבודה'!$D$39-0.01),$I$1,+G32*C32+(1-G32)*$I$1))-N32+IF($S$2="כן",R32,0)</f>
        <v>9.931216305081908E-2</v>
      </c>
      <c r="I32" s="51">
        <f>+IF(AND(J32&lt;2007,K32&gt;'הנחות עבודה'!$D$38-0.01),$K$1,+G32*D32+(1-G32)*$K$1)+IF($S$2="כן",S32,0)</f>
        <v>4.752014656067266E-2</v>
      </c>
      <c r="J32">
        <f>+HLOOKUP(A32,'[6]נתוני תאגידים'!$1:$6,6,0)</f>
        <v>2010</v>
      </c>
      <c r="K32">
        <f>+ROUND(HLOOKUP(A32,'[6]נתוני תאגידים'!$1:$424,392,0),0)</f>
        <v>4</v>
      </c>
      <c r="L32">
        <f>+HLOOKUP(טבלה112[[#This Row],[עמודה1]],'נתוני תאגידים'!$1:$891,856,0)</f>
        <v>0</v>
      </c>
      <c r="M32" s="17">
        <f>+L32/HLOOKUP(טבלה112[[#This Row],[עמודה1]],'נתוני תאגידים'!$1:$891,753,0)</f>
        <v>0</v>
      </c>
      <c r="N32">
        <f t="shared" si="2"/>
        <v>0</v>
      </c>
      <c r="O32">
        <f>+HLOOKUP(טבלה112[[#This Row],[עמודה1]],'נתוני תאגידים'!$1:$891,479,0)</f>
        <v>1</v>
      </c>
      <c r="P32" t="str">
        <f t="shared" si="0"/>
        <v>חלש</v>
      </c>
      <c r="Q32" s="51">
        <f>+VLOOKUP(A32,'[12]פחת מים וגביה'!$A$1:$P$65536,8,0)</f>
        <v>9.9440551228536761E-2</v>
      </c>
      <c r="R32" s="79">
        <f>+HLOOKUP(טבלה112[[#This Row],[עמודה1]],'נתוני תאגידים'!$1:$891,588,0)</f>
        <v>0</v>
      </c>
      <c r="S32" s="51">
        <f>+HLOOKUP(טבלה112[[#This Row],[עמודה1]],'נתוני תאגידים'!$1:$891,613,0)</f>
        <v>0</v>
      </c>
    </row>
    <row r="33" spans="1:21" x14ac:dyDescent="0.2">
      <c r="A33" t="s">
        <v>450</v>
      </c>
      <c r="B33" t="str">
        <f>+HLOOKUP(A33,'[6]נתוני תאגידים'!$1:$476,466,0)</f>
        <v>חזק מאוד</v>
      </c>
      <c r="C33" s="33">
        <f>+VLOOKUP(P33,'הנחות עבודה'!$C$62:$H$72,4,0)</f>
        <v>7.0000000000000007E-2</v>
      </c>
      <c r="D33" s="33">
        <f>+VLOOKUP(טבלה112[[#This Row],[עמודה2]],'הנחות עבודה'!$C$69:$H$72,4,0)</f>
        <v>1.4999999999999999E-2</v>
      </c>
      <c r="E33" s="2">
        <f>+HLOOKUP(טבלה112[[#This Row],[עמודה1]],'נתוני תאגידים'!$1:$891,753,0)-HLOOKUP(טבלה112[[#This Row],[עמודה1]],'נתוני תאגידים'!$1:$891,788,0)</f>
        <v>5430.393</v>
      </c>
      <c r="F33" s="2">
        <f>+HLOOKUP(טבלה112[[#This Row],[עמודה1]],'נתוני תאגידים'!$1:$891,822,0)</f>
        <v>3875.6149999999998</v>
      </c>
      <c r="G33" s="651">
        <f t="shared" si="1"/>
        <v>0.71368959852445302</v>
      </c>
      <c r="H33" s="51">
        <f>+IF((IF(AND(J33&lt;2007,K33&gt;'הנחות עבודה'!$D$39-0.01),$I$1,+G33*C33+(1-G33)*$I$1)),+IF(AND(J33&lt;2007,K33&gt;'הנחות עבודה'!$D$39-0.01),$I$1,+G33*C33+(1-G33)*$I$1))-N33+IF($S$2="כן",R33,0)</f>
        <v>6.2929755391038331E-2</v>
      </c>
      <c r="I33" s="51">
        <f>+IF(AND(J33&lt;2007,K33&gt;'הנחות עבודה'!$D$38-0.01),$K$1,+G33*D33+(1-G33)*$K$1)+IF($S$2="כן",S33,0)</f>
        <v>1.4999999999999999E-2</v>
      </c>
      <c r="J33">
        <f>+HLOOKUP(A33,'[6]נתוני תאגידים'!$1:$6,6,0)</f>
        <v>2009</v>
      </c>
      <c r="K33">
        <f>+ROUND(HLOOKUP(A33,'[6]נתוני תאגידים'!$1:$424,392,0),0)</f>
        <v>7</v>
      </c>
      <c r="L33">
        <f>+HLOOKUP(טבלה112[[#This Row],[עמודה1]],'נתוני תאגידים'!$1:$891,856,0)</f>
        <v>2012.6479999999999</v>
      </c>
      <c r="M33" s="17">
        <f>+L33/HLOOKUP(טבלה112[[#This Row],[עמודה1]],'נתוני תאגידים'!$1:$891,753,0)</f>
        <v>0.3535122304480835</v>
      </c>
      <c r="N33">
        <f t="shared" si="2"/>
        <v>7.07024460896167E-3</v>
      </c>
      <c r="O33">
        <f>+HLOOKUP(טבלה112[[#This Row],[עמודה1]],'נתוני תאגידים'!$1:$891,479,0)</f>
        <v>3</v>
      </c>
      <c r="P33" t="str">
        <f t="shared" si="0"/>
        <v>חזק מאוד</v>
      </c>
      <c r="Q33" s="51">
        <f>+VLOOKUP(A33,'[12]פחת מים וגביה'!$A$1:$P$65536,8,0)</f>
        <v>6.2126518135800751E-2</v>
      </c>
      <c r="R33" s="79">
        <f>+HLOOKUP(טבלה112[[#This Row],[עמודה1]],'נתוני תאגידים'!$1:$891,588,0)</f>
        <v>0</v>
      </c>
      <c r="S33" s="51">
        <f>+HLOOKUP(טבלה112[[#This Row],[עמודה1]],'נתוני תאגידים'!$1:$891,613,0)</f>
        <v>0</v>
      </c>
    </row>
    <row r="34" spans="1:21" x14ac:dyDescent="0.2">
      <c r="A34" t="s">
        <v>659</v>
      </c>
      <c r="B34" t="str">
        <f>+HLOOKUP(A34,'[6]נתוני תאגידים'!$1:$476,466,0)</f>
        <v>חלש</v>
      </c>
      <c r="C34" s="33">
        <f>+VLOOKUP(P34,'הנחות עבודה'!$C$62:$H$72,4,0)</f>
        <v>0.1166</v>
      </c>
      <c r="D34" s="33">
        <f>+VLOOKUP(טבלה112[[#This Row],[עמודה2]],'הנחות עבודה'!$C$69:$H$72,4,0)</f>
        <v>6.6699999999999995E-2</v>
      </c>
      <c r="E34" s="2">
        <f>+HLOOKUP(טבלה112[[#This Row],[עמודה1]],'נתוני תאגידים'!$1:$891,753,0)-HLOOKUP(טבלה112[[#This Row],[עמודה1]],'נתוני תאגידים'!$1:$891,788,0)</f>
        <v>6551.732</v>
      </c>
      <c r="F34" s="2">
        <f>+HLOOKUP(טבלה112[[#This Row],[עמודה1]],'נתוני תאגידים'!$1:$891,822,0)</f>
        <v>2314.6909999999998</v>
      </c>
      <c r="G34" s="651">
        <f t="shared" si="1"/>
        <v>0.35329451815184137</v>
      </c>
      <c r="H34" s="51">
        <f>+IF((IF(AND(J34&lt;2007,K34&gt;'הנחות עבודה'!$D$39-0.01),$I$1,+G34*C34+(1-G34)*$I$1)),+IF(AND(J34&lt;2007,K34&gt;'הנחות עבודה'!$D$39-0.01),$I$1,+G34*C34+(1-G34)*$I$1))-N34+IF($S$2="כן",R34,0)</f>
        <v>8.6463524545875803E-2</v>
      </c>
      <c r="I34" s="51">
        <f>+IF(AND(J34&lt;2007,K34&gt;'הנחות עבודה'!$D$38-0.01),$K$1,+G34*D34+(1-G34)*$K$1)+IF($S$2="כן",S34,0)</f>
        <v>3.3265326588450196E-2</v>
      </c>
      <c r="J34">
        <f>+HLOOKUP(A34,'[6]נתוני תאגידים'!$1:$6,6,0)</f>
        <v>2009</v>
      </c>
      <c r="K34">
        <f>+ROUND(HLOOKUP(A34,'[6]נתוני תאגידים'!$1:$424,392,0),0)</f>
        <v>4</v>
      </c>
      <c r="L34">
        <f>+HLOOKUP(טבלה112[[#This Row],[עמודה1]],'נתוני תאגידים'!$1:$891,856,0)</f>
        <v>0</v>
      </c>
      <c r="M34" s="17">
        <f>+L34/HLOOKUP(טבלה112[[#This Row],[עמודה1]],'נתוני תאגידים'!$1:$891,753,0)</f>
        <v>0</v>
      </c>
      <c r="N34">
        <f t="shared" si="2"/>
        <v>0</v>
      </c>
      <c r="O34">
        <f>+HLOOKUP(טבלה112[[#This Row],[עמודה1]],'נתוני תאגידים'!$1:$891,479,0)</f>
        <v>1</v>
      </c>
      <c r="P34" t="str">
        <f t="shared" si="0"/>
        <v>חלש</v>
      </c>
      <c r="Q34" s="51">
        <f>+VLOOKUP(A34,'[12]פחת מים וגביה'!$A$1:$P$65536,8,0)</f>
        <v>8.4529423659286146E-2</v>
      </c>
      <c r="R34" s="79">
        <f>+HLOOKUP(טבלה112[[#This Row],[עמודה1]],'נתוני תאגידים'!$1:$891,588,0)</f>
        <v>0</v>
      </c>
      <c r="S34" s="51">
        <f>+HLOOKUP(טבלה112[[#This Row],[עמודה1]],'נתוני תאגידים'!$1:$891,613,0)</f>
        <v>0</v>
      </c>
    </row>
    <row r="35" spans="1:21" x14ac:dyDescent="0.2">
      <c r="A35" t="s">
        <v>269</v>
      </c>
      <c r="B35" t="str">
        <f>+HLOOKUP(A35,'[6]נתוני תאגידים'!$1:$476,466,0)</f>
        <v>חלש</v>
      </c>
      <c r="C35" s="33">
        <f>+VLOOKUP(P35,'הנחות עבודה'!$C$62:$H$72,4,0)</f>
        <v>0.1166</v>
      </c>
      <c r="D35" s="33">
        <f>+VLOOKUP(טבלה112[[#This Row],[עמודה2]],'הנחות עבודה'!$C$69:$H$72,4,0)</f>
        <v>6.6699999999999995E-2</v>
      </c>
      <c r="E35" s="2">
        <f>+HLOOKUP(טבלה112[[#This Row],[עמודה1]],'נתוני תאגידים'!$1:$891,753,0)-HLOOKUP(טבלה112[[#This Row],[עמודה1]],'נתוני תאגידים'!$1:$891,788,0)</f>
        <v>2835.0029999999997</v>
      </c>
      <c r="F35" s="2">
        <f>+HLOOKUP(טבלה112[[#This Row],[עמודה1]],'נתוני תאגידים'!$1:$891,822,0)</f>
        <v>2339.6489999999999</v>
      </c>
      <c r="G35" s="651">
        <f t="shared" si="1"/>
        <v>0.82527214256916137</v>
      </c>
      <c r="H35" s="51">
        <f>+IF((IF(AND(J35&lt;2007,K35&gt;'הנחות עבודה'!$D$39-0.01),$I$1,+G35*C35+(1-G35)*$I$1)),+IF(AND(J35&lt;2007,K35&gt;'הנחות עבודה'!$D$39-0.01),$I$1,+G35*C35+(1-G35)*$I$1))-N35+IF($S$2="כן",R35,0)</f>
        <v>0.10845768184372293</v>
      </c>
      <c r="I35" s="51">
        <f>+IF(AND(J35&lt;2007,K35&gt;'הנחות עבודה'!$D$38-0.01),$K$1,+G35*D35+(1-G35)*$K$1)+IF($S$2="כן",S35,0)</f>
        <v>5.766656977082564E-2</v>
      </c>
      <c r="J35">
        <f>+HLOOKUP(A35,'[6]נתוני תאגידים'!$1:$6,6,0)</f>
        <v>2010</v>
      </c>
      <c r="K35">
        <f>+ROUND(HLOOKUP(A35,'[6]נתוני תאגידים'!$1:$424,392,0),0)</f>
        <v>2</v>
      </c>
      <c r="L35">
        <f>+HLOOKUP(טבלה112[[#This Row],[עמודה1]],'נתוני תאגידים'!$1:$891,856,0)</f>
        <v>0</v>
      </c>
      <c r="M35" s="17">
        <f>+L35/HLOOKUP(טבלה112[[#This Row],[עמודה1]],'נתוני תאגידים'!$1:$891,753,0)</f>
        <v>0</v>
      </c>
      <c r="N35">
        <f t="shared" si="2"/>
        <v>0</v>
      </c>
      <c r="O35">
        <f>+HLOOKUP(טבלה112[[#This Row],[עמודה1]],'נתוני תאגידים'!$1:$891,479,0)</f>
        <v>1</v>
      </c>
      <c r="P35" t="str">
        <f t="shared" si="0"/>
        <v>חלש</v>
      </c>
      <c r="Q35" s="51">
        <f>+VLOOKUP(A35,'[12]פחת מים וגביה'!$A$1:$P$65536,8,0)</f>
        <v>0.11012122720984732</v>
      </c>
      <c r="R35" s="79">
        <f>+HLOOKUP(טבלה112[[#This Row],[עמודה1]],'נתוני תאגידים'!$1:$891,588,0)</f>
        <v>0</v>
      </c>
      <c r="S35" s="51">
        <f>+HLOOKUP(טבלה112[[#This Row],[עמודה1]],'נתוני תאגידים'!$1:$891,613,0)</f>
        <v>0</v>
      </c>
    </row>
    <row r="36" spans="1:21" x14ac:dyDescent="0.2">
      <c r="A36" t="s">
        <v>258</v>
      </c>
      <c r="B36" t="str">
        <f>+HLOOKUP(A36,'[6]נתוני תאגידים'!$1:$476,466,0)</f>
        <v>חזק מאוד</v>
      </c>
      <c r="C36" s="33">
        <f>+VLOOKUP(P36,'הנחות עבודה'!$C$62:$H$72,4,0)</f>
        <v>7.0000000000000007E-2</v>
      </c>
      <c r="D36" s="33">
        <f>+VLOOKUP(טבלה112[[#This Row],[עמודה2]],'הנחות עבודה'!$C$69:$H$72,4,0)</f>
        <v>1.4999999999999999E-2</v>
      </c>
      <c r="E36" s="2">
        <f>+HLOOKUP(טבלה112[[#This Row],[עמודה1]],'נתוני תאגידים'!$1:$891,753,0)-HLOOKUP(טבלה112[[#This Row],[עמודה1]],'נתוני תאגידים'!$1:$891,788,0)</f>
        <v>6334.4530000000004</v>
      </c>
      <c r="F36" s="2">
        <f>+HLOOKUP(טבלה112[[#This Row],[עמודה1]],'נתוני תאגידים'!$1:$891,822,0)</f>
        <v>4159.3819999999996</v>
      </c>
      <c r="G36" s="651">
        <f t="shared" si="1"/>
        <v>0.65662844131924247</v>
      </c>
      <c r="H36" s="51">
        <f>+IF((IF(AND(J36&lt;2007,K36&gt;'הנחות עבודה'!$D$39-0.01),$I$1,+G36*C36+(1-G36)*$I$1)),+IF(AND(J36&lt;2007,K36&gt;'הנחות עבודה'!$D$39-0.01),$I$1,+G36*C36+(1-G36)*$I$1))-N36+IF($S$2="כן",R36,0)</f>
        <v>5.7744239976007125E-2</v>
      </c>
      <c r="I36" s="51">
        <f>+IF(AND(J36&lt;2007,K36&gt;'הנחות עבודה'!$D$38-0.01),$K$1,+G36*D36+(1-G36)*$K$1)+IF($S$2="כן",S36,0)</f>
        <v>1.4999999999999999E-2</v>
      </c>
      <c r="J36">
        <f>+HLOOKUP(A36,'[6]נתוני תאגידים'!$1:$6,6,0)</f>
        <v>2010</v>
      </c>
      <c r="K36">
        <f>+ROUND(HLOOKUP(A36,'[6]נתוני תאגידים'!$1:$424,392,0),0)</f>
        <v>8</v>
      </c>
      <c r="L36">
        <f>+HLOOKUP(טבלה112[[#This Row],[עמודה1]],'נתוני תאגידים'!$1:$891,856,0)</f>
        <v>4157.9780000000001</v>
      </c>
      <c r="M36" s="17">
        <f>+L36/HLOOKUP(טבלה112[[#This Row],[עמודה1]],'נתוני תאגידים'!$1:$891,753,0)</f>
        <v>0.61278800119964427</v>
      </c>
      <c r="N36">
        <f t="shared" si="2"/>
        <v>1.2255760023992885E-2</v>
      </c>
      <c r="O36">
        <f>+HLOOKUP(טבלה112[[#This Row],[עמודה1]],'נתוני תאגידים'!$1:$891,479,0)</f>
        <v>1</v>
      </c>
      <c r="P36" t="str">
        <f t="shared" si="0"/>
        <v>חזק מאוד</v>
      </c>
      <c r="Q36" s="51">
        <f>+VLOOKUP(A36,'[12]פחת מים וגביה'!$A$1:$P$65536,8,0)</f>
        <v>5.6315729957444216E-2</v>
      </c>
      <c r="R36" s="79">
        <f>+HLOOKUP(טבלה112[[#This Row],[עמודה1]],'נתוני תאגידים'!$1:$891,588,0)</f>
        <v>0</v>
      </c>
      <c r="S36" s="51">
        <f>+HLOOKUP(טבלה112[[#This Row],[עמודה1]],'נתוני תאגידים'!$1:$891,613,0)</f>
        <v>0</v>
      </c>
    </row>
    <row r="37" spans="1:21" x14ac:dyDescent="0.2">
      <c r="A37" t="s">
        <v>828</v>
      </c>
      <c r="B37" t="str">
        <f>+HLOOKUP(A37,'[6]נתוני תאגידים'!$1:$476,466,0)</f>
        <v>חלש</v>
      </c>
      <c r="C37" s="33">
        <f>+VLOOKUP(P37,'הנחות עבודה'!$C$62:$H$72,4,0)</f>
        <v>0.12659999999999999</v>
      </c>
      <c r="D37" s="33">
        <f>+VLOOKUP(טבלה112[[#This Row],[עמודה2]],'הנחות עבודה'!$C$69:$H$72,4,0)</f>
        <v>6.6699999999999995E-2</v>
      </c>
      <c r="E37" s="2">
        <f>+HLOOKUP(טבלה112[[#This Row],[עמודה1]],'נתוני תאגידים'!$1:$891,753,0)-HLOOKUP(טבלה112[[#This Row],[עמודה1]],'נתוני תאגידים'!$1:$891,788,0)</f>
        <v>4261.9930000000013</v>
      </c>
      <c r="F37" s="2">
        <f>+HLOOKUP(טבלה112[[#This Row],[עמודה1]],'נתוני תאגידים'!$1:$891,822,0)</f>
        <v>2451.451</v>
      </c>
      <c r="G37" s="651">
        <f t="shared" si="1"/>
        <v>0.57518888463683526</v>
      </c>
      <c r="H37" s="51">
        <f>+IF((IF(AND(J37&lt;2007,K37&gt;'הנחות עבודה'!$D$39-0.01),$I$1,+G37*C37+(1-G37)*$I$1)),+IF(AND(J37&lt;2007,K37&gt;'הנחות עבודה'!$D$39-0.01),$I$1,+G37*C37+(1-G37)*$I$1))-N37+IF($S$2="כן",R37,0)</f>
        <v>8.4908583618578296E-2</v>
      </c>
      <c r="I37" s="51">
        <f>+IF(AND(J37&lt;2007,K37&gt;'הנחות עבודה'!$D$38-0.01),$K$1,+G37*D37+(1-G37)*$K$1)+IF($S$2="כן",S37,0)</f>
        <v>4.4737265335724384E-2</v>
      </c>
      <c r="J37">
        <f>+HLOOKUP(A37,'[6]נתוני תאגידים'!$1:$6,6,0)</f>
        <v>2008</v>
      </c>
      <c r="K37">
        <f>+ROUND(HLOOKUP(A37,'[6]נתוני תאגידים'!$1:$424,392,0),0)</f>
        <v>4</v>
      </c>
      <c r="L37">
        <f>+HLOOKUP(טבלה112[[#This Row],[עמודה1]],'נתוני תאגידים'!$1:$891,856,0)</f>
        <v>4179.84</v>
      </c>
      <c r="M37" s="17">
        <f>+L37/HLOOKUP(טבלה112[[#This Row],[עמודה1]],'נתוני תאגידים'!$1:$891,753,0)</f>
        <v>0.88235536259332881</v>
      </c>
      <c r="N37">
        <f t="shared" si="2"/>
        <v>1.7647107251866575E-2</v>
      </c>
      <c r="O37">
        <f>+HLOOKUP(טבלה112[[#This Row],[עמודה1]],'נתוני תאגידים'!$1:$891,479,0)</f>
        <v>4</v>
      </c>
      <c r="P37" t="str">
        <f t="shared" si="0"/>
        <v>חלש רב רשותי</v>
      </c>
      <c r="Q37" s="51">
        <f>+VLOOKUP(A37,'[12]פחת מים וגביה'!$A$1:$P$65536,8,0)</f>
        <v>8.2602126151108748E-2</v>
      </c>
      <c r="R37" s="79">
        <f>+HLOOKUP(טבלה112[[#This Row],[עמודה1]],'נתוני תאגידים'!$1:$891,588,0)</f>
        <v>0</v>
      </c>
      <c r="S37" s="51">
        <f>+HLOOKUP(טבלה112[[#This Row],[עמודה1]],'נתוני תאגידים'!$1:$891,613,0)</f>
        <v>0</v>
      </c>
    </row>
    <row r="38" spans="1:21" x14ac:dyDescent="0.2">
      <c r="A38" t="s">
        <v>452</v>
      </c>
      <c r="B38" t="str">
        <f>+HLOOKUP(A38,'[6]נתוני תאגידים'!$1:$476,466,0)</f>
        <v>בינוני</v>
      </c>
      <c r="C38" s="33">
        <f>+VLOOKUP(P38,'הנחות עבודה'!$C$62:$H$72,4,0)</f>
        <v>8.6300000000000002E-2</v>
      </c>
      <c r="D38" s="33">
        <f>+VLOOKUP(טבלה112[[#This Row],[עמודה2]],'הנחות עבודה'!$C$69:$H$72,4,0)</f>
        <v>1.4999999999999999E-2</v>
      </c>
      <c r="E38" s="2">
        <f>+HLOOKUP(טבלה112[[#This Row],[עמודה1]],'נתוני תאגידים'!$1:$891,753,0)-HLOOKUP(טבלה112[[#This Row],[עמודה1]],'נתוני תאגידים'!$1:$891,788,0)</f>
        <v>19136.593000000001</v>
      </c>
      <c r="F38" s="2">
        <f>+HLOOKUP(טבלה112[[#This Row],[עמודה1]],'נתוני תאגידים'!$1:$891,822,0)</f>
        <v>12024.381000000001</v>
      </c>
      <c r="G38" s="651">
        <f t="shared" si="1"/>
        <v>0.62834492012240639</v>
      </c>
      <c r="H38" s="51">
        <f>+IF((IF(AND(J38&lt;2007,K38&gt;'הנחות עבודה'!$D$39-0.01),$I$1,+G38*C38+(1-G38)*$I$1)),+IF(AND(J38&lt;2007,K38&gt;'הנחות עבודה'!$D$39-0.01),$I$1,+G38*C38+(1-G38)*$I$1))-N38+IF($S$2="כן",R38,0)</f>
        <v>8.0242022197995228E-2</v>
      </c>
      <c r="I38" s="51">
        <f>+IF(AND(J38&lt;2007,K38&gt;'הנחות עבודה'!$D$38-0.01),$K$1,+G38*D38+(1-G38)*$K$1)+IF($S$2="כן",S38,0)</f>
        <v>1.4999999999999999E-2</v>
      </c>
      <c r="J38">
        <f>+HLOOKUP(A38,'[6]נתוני תאגידים'!$1:$6,6,0)</f>
        <v>2007</v>
      </c>
      <c r="K38">
        <f>+ROUND(HLOOKUP(A38,'[6]נתוני תאגידים'!$1:$424,392,0),0)</f>
        <v>5</v>
      </c>
      <c r="L38">
        <f>+HLOOKUP(טבלה112[[#This Row],[עמודה1]],'נתוני תאגידים'!$1:$891,856,0)</f>
        <v>0</v>
      </c>
      <c r="M38" s="17">
        <f>+L38/HLOOKUP(טבלה112[[#This Row],[עמודה1]],'נתוני תאגידים'!$1:$891,753,0)</f>
        <v>0</v>
      </c>
      <c r="N38">
        <f t="shared" si="2"/>
        <v>0</v>
      </c>
      <c r="O38">
        <f>+HLOOKUP(טבלה112[[#This Row],[עמודה1]],'נתוני תאגידים'!$1:$891,479,0)</f>
        <v>2</v>
      </c>
      <c r="P38" t="str">
        <f t="shared" si="0"/>
        <v>בינוני</v>
      </c>
      <c r="Q38" s="51">
        <f>+VLOOKUP(A38,'[12]פחת מים וגביה'!$A$1:$P$65536,8,0)</f>
        <v>8.0714380963909024E-2</v>
      </c>
      <c r="R38" s="79">
        <f>+HLOOKUP(טבלה112[[#This Row],[עמודה1]],'נתוני תאגידים'!$1:$891,588,0)</f>
        <v>0</v>
      </c>
      <c r="S38" s="51">
        <f>+HLOOKUP(טבלה112[[#This Row],[עמודה1]],'נתוני תאגידים'!$1:$891,613,0)</f>
        <v>0</v>
      </c>
    </row>
    <row r="39" spans="1:21" x14ac:dyDescent="0.2">
      <c r="A39" t="s">
        <v>453</v>
      </c>
      <c r="B39" t="str">
        <f>+HLOOKUP(A39,'[6]נתוני תאגידים'!$1:$476,466,0)</f>
        <v xml:space="preserve">חזק </v>
      </c>
      <c r="C39" s="33">
        <f>+VLOOKUP(P39,'הנחות עבודה'!$C$62:$H$72,4,0)</f>
        <v>7.0000000000000007E-2</v>
      </c>
      <c r="D39" s="33">
        <f>+VLOOKUP(טבלה112[[#This Row],[עמודה2]],'הנחות עבודה'!$C$69:$H$72,4,0)</f>
        <v>1.4999999999999999E-2</v>
      </c>
      <c r="E39" s="2">
        <f>+HLOOKUP(טבלה112[[#This Row],[עמודה1]],'נתוני תאגידים'!$1:$891,753,0)-HLOOKUP(טבלה112[[#This Row],[עמודה1]],'נתוני תאגידים'!$1:$891,788,0)</f>
        <v>16859.700999999997</v>
      </c>
      <c r="F39" s="2">
        <f>+HLOOKUP(טבלה112[[#This Row],[עמודה1]],'נתוני תאגידים'!$1:$891,822,0)</f>
        <v>12867.956999999999</v>
      </c>
      <c r="G39" s="651">
        <f t="shared" si="1"/>
        <v>0.76323755682262695</v>
      </c>
      <c r="H39" s="51">
        <f>+IF((IF(AND(J39&lt;2007,K39&gt;'הנחות עבודה'!$D$39-0.01),$I$1,+G39*C39+(1-G39)*$I$1)),+IF(AND(J39&lt;2007,K39&gt;'הנחות עבודה'!$D$39-0.01),$I$1,+G39*C39+(1-G39)*$I$1))-N39+IF($S$2="כן",R39,0)</f>
        <v>7.0000000000000007E-2</v>
      </c>
      <c r="I39" s="51">
        <f>+IF(AND(J39&lt;2007,K39&gt;'הנחות עבודה'!$D$38-0.01),$K$1,+G39*D39+(1-G39)*$K$1)+IF($S$2="כן",S39,0)</f>
        <v>1.4999999999999999E-2</v>
      </c>
      <c r="J39">
        <f>+HLOOKUP(A39,'[6]נתוני תאגידים'!$1:$6,6,0)</f>
        <v>2008</v>
      </c>
      <c r="K39">
        <f>+ROUND(HLOOKUP(A39,'[6]נתוני תאגידים'!$1:$424,392,0),0)</f>
        <v>5</v>
      </c>
      <c r="L39">
        <f>+HLOOKUP(טבלה112[[#This Row],[עמודה1]],'נתוני תאגידים'!$1:$891,856,0)</f>
        <v>0</v>
      </c>
      <c r="M39" s="17">
        <f>+L39/HLOOKUP(טבלה112[[#This Row],[עמודה1]],'נתוני תאגידים'!$1:$891,753,0)</f>
        <v>0</v>
      </c>
      <c r="N39">
        <f t="shared" si="2"/>
        <v>0</v>
      </c>
      <c r="O39">
        <f>+HLOOKUP(טבלה112[[#This Row],[עמודה1]],'נתוני תאגידים'!$1:$891,479,0)</f>
        <v>4</v>
      </c>
      <c r="P39" t="str">
        <f t="shared" si="0"/>
        <v xml:space="preserve">חזק </v>
      </c>
      <c r="Q39" s="51">
        <f>+VLOOKUP(A39,'[12]פחת מים וגביה'!$A$1:$P$65536,8,0)</f>
        <v>7.0000000000000007E-2</v>
      </c>
      <c r="R39" s="79">
        <f>+HLOOKUP(טבלה112[[#This Row],[עמודה1]],'נתוני תאגידים'!$1:$891,588,0)</f>
        <v>0</v>
      </c>
      <c r="S39" s="51">
        <f>+HLOOKUP(טבלה112[[#This Row],[עמודה1]],'נתוני תאגידים'!$1:$891,613,0)</f>
        <v>0</v>
      </c>
    </row>
    <row r="40" spans="1:21" s="719" customFormat="1" x14ac:dyDescent="0.2">
      <c r="A40" s="719" t="s">
        <v>454</v>
      </c>
      <c r="B40" t="str">
        <f>+HLOOKUP(A40,'[6]נתוני תאגידים'!$1:$476,466,0)</f>
        <v>בינוני</v>
      </c>
      <c r="C40" s="33">
        <f>+VLOOKUP(P40,'הנחות עבודה'!$C$62:$H$72,4,0)</f>
        <v>8.6300000000000002E-2</v>
      </c>
      <c r="D40" s="33">
        <f>+VLOOKUP(טבלה112[[#This Row],[עמודה2]],'הנחות עבודה'!$C$69:$H$72,4,0)</f>
        <v>1.4999999999999999E-2</v>
      </c>
      <c r="E40" s="2">
        <f>+HLOOKUP(טבלה112[[#This Row],[עמודה1]],'נתוני תאגידים'!$1:$891,753,0)-HLOOKUP(טבלה112[[#This Row],[עמודה1]],'נתוני תאגידים'!$1:$891,788,0)</f>
        <v>18414.363999999998</v>
      </c>
      <c r="F40" s="2">
        <f>+HLOOKUP(טבלה112[[#This Row],[עמודה1]],'נתוני תאגידים'!$1:$891,822,0)</f>
        <v>13655.597</v>
      </c>
      <c r="G40" s="1292">
        <f t="shared" si="1"/>
        <v>0.74157310021676559</v>
      </c>
      <c r="H40" s="51">
        <f>+IF((IF(AND(J40&lt;2007,K40&gt;'הנחות עבודה'!$D$39-0.01),$I$1,+G40*C40+(1-G40)*$I$1)),+IF(AND(J40&lt;2007,K40&gt;'הנחות עבודה'!$D$39-0.01),$I$1,+G40*C40+(1-G40)*$I$1))-N40+IF($S$2="כן",R40,0)</f>
        <v>7.3569322179882657E-2</v>
      </c>
      <c r="I40" s="51">
        <f>+IF(AND(J40&lt;2007,K40&gt;'הנחות עבודה'!$D$38-0.01),$K$1,+G40*D40+(1-G40)*$K$1)+IF($S$2="כן",S40,0)</f>
        <v>1.4999999999999999E-2</v>
      </c>
      <c r="J40" s="719">
        <v>2008</v>
      </c>
      <c r="K40">
        <f>+ROUND(HLOOKUP(A40,'[6]נתוני תאגידים'!$1:$424,392,0),0)</f>
        <v>5</v>
      </c>
      <c r="L40">
        <f>+HLOOKUP(טבלה112[[#This Row],[עמודה1]],'נתוני תאגידים'!$1:$891,856,0)</f>
        <v>8395.6299999999992</v>
      </c>
      <c r="M40" s="17">
        <f>+L40/HLOOKUP(טבלה112[[#This Row],[עמודה1]],'נתוני תאגידים'!$1:$891,753,0)</f>
        <v>0.42591596768253148</v>
      </c>
      <c r="N40" s="719">
        <f t="shared" si="2"/>
        <v>8.5183193536506295E-3</v>
      </c>
      <c r="O40">
        <f>+HLOOKUP(טבלה112[[#This Row],[עמודה1]],'נתוני תאגידים'!$1:$891,479,0)</f>
        <v>3</v>
      </c>
      <c r="P40" s="719" t="str">
        <f t="shared" si="0"/>
        <v>בינוני</v>
      </c>
      <c r="Q40" s="1294">
        <f>+VLOOKUP(A40,'[12]פחת מים וגביה'!$A$1:$P$65536,8,0)</f>
        <v>7.3570993338462343E-2</v>
      </c>
      <c r="R40" s="79">
        <f>+HLOOKUP(טבלה112[[#This Row],[עמודה1]],'נתוני תאגידים'!$1:$891,588,0)</f>
        <v>0</v>
      </c>
      <c r="S40" s="51">
        <f>+HLOOKUP(טבלה112[[#This Row],[עמודה1]],'נתוני תאגידים'!$1:$891,613,0)</f>
        <v>0</v>
      </c>
      <c r="T40"/>
      <c r="U40"/>
    </row>
    <row r="41" spans="1:21" x14ac:dyDescent="0.2">
      <c r="A41" t="s">
        <v>455</v>
      </c>
      <c r="B41" t="str">
        <f>+HLOOKUP(A41,'[6]נתוני תאגידים'!$1:$476,466,0)</f>
        <v xml:space="preserve">חזק </v>
      </c>
      <c r="C41" s="33">
        <f>+VLOOKUP(P41,'הנחות עבודה'!$C$62:$H$72,4,0)</f>
        <v>7.0000000000000007E-2</v>
      </c>
      <c r="D41" s="33">
        <f>+VLOOKUP(טבלה112[[#This Row],[עמודה2]],'הנחות עבודה'!$C$69:$H$72,4,0)</f>
        <v>1.4999999999999999E-2</v>
      </c>
      <c r="E41" s="2">
        <f>+HLOOKUP(טבלה112[[#This Row],[עמודה1]],'נתוני תאגידים'!$1:$891,753,0)-HLOOKUP(טבלה112[[#This Row],[עמודה1]],'נתוני תאגידים'!$1:$891,788,0)</f>
        <v>18936.413</v>
      </c>
      <c r="F41" s="2">
        <f>+HLOOKUP(טבלה112[[#This Row],[עמודה1]],'נתוני תאגידים'!$1:$891,822,0)</f>
        <v>12981.391</v>
      </c>
      <c r="G41" s="651">
        <f t="shared" si="1"/>
        <v>0.68552534210148452</v>
      </c>
      <c r="H41" s="51">
        <f>+IF((IF(AND(J41&lt;2007,K41&gt;'הנחות עבודה'!$D$39-0.01),$I$1,+G41*C41+(1-G41)*$I$1)),+IF(AND(J41&lt;2007,K41&gt;'הנחות עבודה'!$D$39-0.01),$I$1,+G41*C41+(1-G41)*$I$1))-N41+IF($S$2="כן",R41,0)</f>
        <v>5.9822655824637132E-2</v>
      </c>
      <c r="I41" s="51">
        <f>+IF(AND(J41&lt;2007,K41&gt;'הנחות עבודה'!$D$38-0.01),$K$1,+G41*D41+(1-G41)*$K$1)+IF($S$2="כן",S41,0)</f>
        <v>1.4999999999999999E-2</v>
      </c>
      <c r="J41">
        <f>+HLOOKUP(A41,'[6]נתוני תאגידים'!$1:$6,6,0)</f>
        <v>2003</v>
      </c>
      <c r="K41">
        <f>+ROUND(HLOOKUP(A41,'[6]נתוני תאגידים'!$1:$424,392,0),0)</f>
        <v>6</v>
      </c>
      <c r="L41">
        <f>+HLOOKUP(טבלה112[[#This Row],[עמודה1]],'נתוני תאגידים'!$1:$891,856,0)</f>
        <v>10106.977000000001</v>
      </c>
      <c r="M41" s="17">
        <f>+L41/HLOOKUP(טבלה112[[#This Row],[עמודה1]],'נתוני תאגידים'!$1:$891,753,0)</f>
        <v>0.50886720876814384</v>
      </c>
      <c r="N41">
        <f t="shared" si="2"/>
        <v>1.0177344175362877E-2</v>
      </c>
      <c r="O41">
        <f>+HLOOKUP(טבלה112[[#This Row],[עמודה1]],'נתוני תאגידים'!$1:$891,479,0)</f>
        <v>1</v>
      </c>
      <c r="P41" t="str">
        <f t="shared" si="0"/>
        <v xml:space="preserve">חזק </v>
      </c>
      <c r="Q41" s="51">
        <f>+VLOOKUP(A41,'[12]פחת מים וגביה'!$A$1:$P$65536,8,0)</f>
        <v>5.960263416105626E-2</v>
      </c>
      <c r="R41" s="79">
        <f>+HLOOKUP(טבלה112[[#This Row],[עמודה1]],'נתוני תאגידים'!$1:$891,588,0)</f>
        <v>0</v>
      </c>
      <c r="S41" s="51">
        <f>+HLOOKUP(טבלה112[[#This Row],[עמודה1]],'נתוני תאגידים'!$1:$891,613,0)</f>
        <v>0</v>
      </c>
    </row>
    <row r="42" spans="1:21" x14ac:dyDescent="0.2">
      <c r="A42" t="s">
        <v>658</v>
      </c>
      <c r="B42" t="str">
        <f>+HLOOKUP(A42,'[6]נתוני תאגידים'!$1:$476,466,0)</f>
        <v xml:space="preserve">חזק </v>
      </c>
      <c r="C42" s="33">
        <f>+VLOOKUP(P42,'הנחות עבודה'!$C$62:$H$72,4,0)</f>
        <v>7.0000000000000007E-2</v>
      </c>
      <c r="D42" s="33">
        <f>+VLOOKUP(טבלה112[[#This Row],[עמודה2]],'הנחות עבודה'!$C$69:$H$72,4,0)</f>
        <v>1.4999999999999999E-2</v>
      </c>
      <c r="E42" s="2">
        <f>+HLOOKUP(טבלה112[[#This Row],[עמודה1]],'נתוני תאגידים'!$1:$891,753,0)-HLOOKUP(טבלה112[[#This Row],[עמודה1]],'נתוני תאגידים'!$1:$891,788,0)</f>
        <v>3669.62</v>
      </c>
      <c r="F42" s="2">
        <f>+HLOOKUP(טבלה112[[#This Row],[עמודה1]],'נתוני תאגידים'!$1:$891,822,0)</f>
        <v>2735.971</v>
      </c>
      <c r="G42" s="651">
        <f t="shared" si="1"/>
        <v>0.74557338362010239</v>
      </c>
      <c r="H42" s="51">
        <f>+IF((IF(AND(J42&lt;2007,K42&gt;'הנחות עבודה'!$D$39-0.01),$I$1,+G42*C42+(1-G42)*$I$1)),+IF(AND(J42&lt;2007,K42&gt;'הנחות עבודה'!$D$39-0.01),$I$1,+G42*C42+(1-G42)*$I$1))-N42+IF($S$2="כן",R42,0)</f>
        <v>7.0000000000000007E-2</v>
      </c>
      <c r="I42" s="51">
        <f>+IF(AND(J42&lt;2007,K42&gt;'הנחות עבודה'!$D$38-0.01),$K$1,+G42*D42+(1-G42)*$K$1)+IF($S$2="כן",S42,0)</f>
        <v>1.4999999999999999E-2</v>
      </c>
      <c r="J42">
        <f>+HLOOKUP(A42,'[6]נתוני תאגידים'!$1:$6,6,0)</f>
        <v>2009</v>
      </c>
      <c r="K42">
        <f>+ROUND(HLOOKUP(A42,'[6]נתוני תאגידים'!$1:$424,392,0),0)</f>
        <v>5</v>
      </c>
      <c r="L42">
        <f>+HLOOKUP(טבלה112[[#This Row],[עמודה1]],'נתוני תאגידים'!$1:$891,856,0)</f>
        <v>0</v>
      </c>
      <c r="M42" s="17">
        <f>+L42/HLOOKUP(טבלה112[[#This Row],[עמודה1]],'נתוני תאגידים'!$1:$891,753,0)</f>
        <v>0</v>
      </c>
      <c r="N42">
        <f t="shared" si="2"/>
        <v>0</v>
      </c>
      <c r="O42">
        <f>+HLOOKUP(טבלה112[[#This Row],[עמודה1]],'נתוני תאגידים'!$1:$891,479,0)</f>
        <v>1</v>
      </c>
      <c r="P42" t="str">
        <f t="shared" si="0"/>
        <v xml:space="preserve">חזק </v>
      </c>
      <c r="Q42" s="51">
        <f>+VLOOKUP(A42,'[12]פחת מים וגביה'!$A$1:$P$65536,8,0)</f>
        <v>7.0000000000000007E-2</v>
      </c>
      <c r="R42" s="79">
        <f>+HLOOKUP(טבלה112[[#This Row],[עמודה1]],'נתוני תאגידים'!$1:$891,588,0)</f>
        <v>0</v>
      </c>
      <c r="S42" s="51">
        <f>+HLOOKUP(טבלה112[[#This Row],[עמודה1]],'נתוני תאגידים'!$1:$891,613,0)</f>
        <v>0</v>
      </c>
    </row>
    <row r="43" spans="1:21" s="719" customFormat="1" x14ac:dyDescent="0.2">
      <c r="A43" s="719" t="s">
        <v>661</v>
      </c>
      <c r="B43" t="str">
        <f>+HLOOKUP(A43,'[6]נתוני תאגידים'!$1:$476,466,0)</f>
        <v>חלש</v>
      </c>
      <c r="C43" s="33">
        <f>+VLOOKUP(P43,'הנחות עבודה'!$C$62:$H$72,4,0)</f>
        <v>0.12659999999999999</v>
      </c>
      <c r="D43" s="33">
        <f>+VLOOKUP(טבלה112[[#This Row],[עמודה2]],'הנחות עבודה'!$C$69:$H$72,4,0)</f>
        <v>6.6699999999999995E-2</v>
      </c>
      <c r="E43" s="2">
        <f>+HLOOKUP(טבלה112[[#This Row],[עמודה1]],'נתוני תאגידים'!$1:$891,753,0)-HLOOKUP(טבלה112[[#This Row],[עמודה1]],'נתוני תאגידים'!$1:$891,788,0)</f>
        <v>3605.1880000000001</v>
      </c>
      <c r="F43" s="2">
        <f>+HLOOKUP(טבלה112[[#This Row],[עמודה1]],'נתוני תאגידים'!$1:$891,822,0)</f>
        <v>2668.2460000000001</v>
      </c>
      <c r="G43" s="1292">
        <f t="shared" si="1"/>
        <v>0.74011285957902895</v>
      </c>
      <c r="H43" s="51">
        <f>+IF((IF(AND(J43&lt;2007,K43&gt;'הנחות עבודה'!$D$39-0.01),$I$1,+G43*C43+(1-G43)*$I$1)),+IF(AND(J43&lt;2007,K43&gt;'הנחות עבודה'!$D$39-0.01),$I$1,+G43*C43+(1-G43)*$I$1))-N43+IF($S$2="כן",R43,0)</f>
        <v>9.6693529134474293E-2</v>
      </c>
      <c r="I43" s="51">
        <f>+IF(AND(J43&lt;2007,K43&gt;'הנחות עבודה'!$D$38-0.01),$K$1,+G43*D43+(1-G43)*$K$1)+IF($S$2="כן",S43,0)</f>
        <v>5.3263834840235794E-2</v>
      </c>
      <c r="J43" s="719">
        <f>+HLOOKUP(A43,'[6]נתוני תאגידים'!$1:$6,6,0)</f>
        <v>2010</v>
      </c>
      <c r="K43">
        <f>+ROUND(HLOOKUP(A43,'[6]נתוני תאגידים'!$1:$424,392,0),0)</f>
        <v>3</v>
      </c>
      <c r="L43">
        <f>+HLOOKUP(טבלה112[[#This Row],[עמודה1]],'נתוני תאגידים'!$1:$891,856,0)</f>
        <v>4010.72</v>
      </c>
      <c r="M43" s="17">
        <f>+L43/HLOOKUP(טבלה112[[#This Row],[עמודה1]],'נתוני תאגידים'!$1:$891,753,0)</f>
        <v>0.75984293588493679</v>
      </c>
      <c r="N43" s="719">
        <f t="shared" si="2"/>
        <v>1.5196858717698736E-2</v>
      </c>
      <c r="O43">
        <f>+HLOOKUP(טבלה112[[#This Row],[עמודה1]],'נתוני תאגידים'!$1:$891,479,0)</f>
        <v>3</v>
      </c>
      <c r="P43" s="719" t="str">
        <f t="shared" si="0"/>
        <v>חלש רב רשותי</v>
      </c>
      <c r="Q43" s="1294">
        <f>+VLOOKUP(A43,'[12]פחת מים וגביה'!$A$1:$P$65536,8,0)</f>
        <v>0.10265093454418774</v>
      </c>
      <c r="R43" s="79">
        <f>+HLOOKUP(טבלה112[[#This Row],[עמודה1]],'נתוני תאגידים'!$1:$891,588,0)</f>
        <v>0</v>
      </c>
      <c r="S43" s="51">
        <f>+HLOOKUP(טבלה112[[#This Row],[עמודה1]],'נתוני תאגידים'!$1:$891,613,0)</f>
        <v>0</v>
      </c>
      <c r="T43"/>
      <c r="U43"/>
    </row>
    <row r="44" spans="1:21" x14ac:dyDescent="0.2">
      <c r="A44" t="s">
        <v>270</v>
      </c>
      <c r="B44" t="str">
        <f>+HLOOKUP(A44,'[6]נתוני תאגידים'!$1:$476,466,0)</f>
        <v>חזק מאוד</v>
      </c>
      <c r="C44" s="33">
        <f>+VLOOKUP(P44,'הנחות עבודה'!$C$62:$H$72,4,0)</f>
        <v>7.0000000000000007E-2</v>
      </c>
      <c r="D44" s="33">
        <f>+VLOOKUP(טבלה112[[#This Row],[עמודה2]],'הנחות עבודה'!$C$69:$H$72,4,0)</f>
        <v>1.4999999999999999E-2</v>
      </c>
      <c r="E44" s="2">
        <f>+HLOOKUP(טבלה112[[#This Row],[עמודה1]],'נתוני תאגידים'!$1:$891,753,0)-HLOOKUP(טבלה112[[#This Row],[עמודה1]],'נתוני תאגידים'!$1:$891,788,0)</f>
        <v>5273.0439999999999</v>
      </c>
      <c r="F44" s="2">
        <f>+HLOOKUP(טבלה112[[#This Row],[עמודה1]],'נתוני תאגידים'!$1:$891,822,0)</f>
        <v>3907.0619999999999</v>
      </c>
      <c r="G44" s="651">
        <f t="shared" si="1"/>
        <v>0.7409500091408302</v>
      </c>
      <c r="H44" s="51">
        <f>+IF((IF(AND(J44&lt;2007,K44&gt;'הנחות עבודה'!$D$39-0.01),$I$1,+G44*C44+(1-G44)*$I$1)),+IF(AND(J44&lt;2007,K44&gt;'הנחות עבודה'!$D$39-0.01),$I$1,+G44*C44+(1-G44)*$I$1))-N44+IF($S$2="כן",R44,0)</f>
        <v>7.6464278901882538E-2</v>
      </c>
      <c r="I44" s="51">
        <f>+IF(AND(J44&lt;2007,K44&gt;'הנחות עבודה'!$D$38-0.01),$K$1,+G44*D44+(1-G44)*$K$1)+IF($S$2="כן",S44,0)</f>
        <v>1.8232139450941265E-2</v>
      </c>
      <c r="J44">
        <f>+HLOOKUP(A44,'[6]נתוני תאגידים'!$1:$6,6,0)</f>
        <v>2010</v>
      </c>
      <c r="K44">
        <f>+ROUND(HLOOKUP(A44,'[6]נתוני תאגידים'!$1:$424,392,0),0)</f>
        <v>7</v>
      </c>
      <c r="L44">
        <f>+HLOOKUP(טבלה112[[#This Row],[עמודה1]],'נתוני תאגידים'!$1:$891,856,0)</f>
        <v>0</v>
      </c>
      <c r="M44" s="17">
        <f>+L44/HLOOKUP(טבלה112[[#This Row],[עמודה1]],'נתוני תאגידים'!$1:$891,753,0)</f>
        <v>0</v>
      </c>
      <c r="N44">
        <f t="shared" si="2"/>
        <v>0</v>
      </c>
      <c r="O44">
        <f>+HLOOKUP(טבלה112[[#This Row],[עמודה1]],'נתוני תאגידים'!$1:$891,479,0)</f>
        <v>4</v>
      </c>
      <c r="P44" t="str">
        <f t="shared" si="0"/>
        <v>חזק מאוד</v>
      </c>
      <c r="Q44" s="51">
        <f>+VLOOKUP(A44,'[12]פחת מים וגביה'!$A$1:$P$65536,8,0)</f>
        <v>7.0000000000000007E-2</v>
      </c>
      <c r="R44" s="79">
        <f>+HLOOKUP(טבלה112[[#This Row],[עמודה1]],'נתוני תאגידים'!$1:$891,588,0)</f>
        <v>6.4642789018825256E-3</v>
      </c>
      <c r="S44" s="51">
        <f>+HLOOKUP(טבלה112[[#This Row],[עמודה1]],'נתוני תאגידים'!$1:$891,613,0)</f>
        <v>3.232139450941265E-3</v>
      </c>
    </row>
    <row r="45" spans="1:21" s="719" customFormat="1" x14ac:dyDescent="0.2">
      <c r="A45" s="719" t="s">
        <v>259</v>
      </c>
      <c r="B45" t="str">
        <f>+HLOOKUP(A45,'[6]נתוני תאגידים'!$1:$476,466,0)</f>
        <v>חזק מאוד</v>
      </c>
      <c r="C45" s="33">
        <f>+VLOOKUP(P45,'הנחות עבודה'!$C$62:$H$72,4,0)</f>
        <v>7.0000000000000007E-2</v>
      </c>
      <c r="D45" s="33">
        <f>+VLOOKUP(טבלה112[[#This Row],[עמודה2]],'הנחות עבודה'!$C$69:$H$72,4,0)</f>
        <v>1.4999999999999999E-2</v>
      </c>
      <c r="E45" s="2">
        <f>+HLOOKUP(טבלה112[[#This Row],[עמודה1]],'נתוני תאגידים'!$1:$891,753,0)-HLOOKUP(טבלה112[[#This Row],[עמודה1]],'נתוני תאגידים'!$1:$891,788,0)</f>
        <v>5360.9210000000003</v>
      </c>
      <c r="F45" s="2">
        <f>+HLOOKUP(טבלה112[[#This Row],[עמודה1]],'נתוני תאגידים'!$1:$891,822,0)</f>
        <v>4163.5009999999993</v>
      </c>
      <c r="G45" s="1292">
        <f t="shared" si="1"/>
        <v>0.77663912600092389</v>
      </c>
      <c r="H45" s="51">
        <f>+IF((IF(AND(J45&lt;2007,K45&gt;'הנחות עבודה'!$D$39-0.01),$I$1,+G45*C45+(1-G45)*$I$1)),+IF(AND(J45&lt;2007,K45&gt;'הנחות עבודה'!$D$39-0.01),$I$1,+G45*C45+(1-G45)*$I$1))-N45+IF($S$2="כן",R45,0)</f>
        <v>6.7831544911584121E-2</v>
      </c>
      <c r="I45" s="51">
        <f>+IF(AND(J45&lt;2007,K45&gt;'הנחות עבודה'!$D$38-0.01),$K$1,+G45*D45+(1-G45)*$K$1)+IF($S$2="כן",S45,0)</f>
        <v>1.4999999999999999E-2</v>
      </c>
      <c r="J45" s="719">
        <f>+HLOOKUP(A45,'[6]נתוני תאגידים'!$1:$6,6,0)</f>
        <v>2010</v>
      </c>
      <c r="K45">
        <f>+ROUND(HLOOKUP(A45,'[6]נתוני תאגידים'!$1:$424,392,0),0)</f>
        <v>7</v>
      </c>
      <c r="L45">
        <f>+HLOOKUP(טבלה112[[#This Row],[עמודה1]],'נתוני תאגידים'!$1:$891,856,0)</f>
        <v>647.17000000000007</v>
      </c>
      <c r="M45" s="17">
        <f>+L45/HLOOKUP(טבלה112[[#This Row],[עמודה1]],'נתוני תאגידים'!$1:$891,753,0)</f>
        <v>0.1084227544207943</v>
      </c>
      <c r="N45" s="719">
        <f t="shared" si="2"/>
        <v>2.1684550884158858E-3</v>
      </c>
      <c r="O45">
        <f>+HLOOKUP(טבלה112[[#This Row],[עמודה1]],'נתוני תאגידים'!$1:$891,479,0)</f>
        <v>5</v>
      </c>
      <c r="P45" s="719" t="str">
        <f t="shared" si="0"/>
        <v>חזק מאוד</v>
      </c>
      <c r="Q45" s="1294">
        <f>+VLOOKUP(A45,'[12]פחת מים וגביה'!$A$1:$P$65536,8,0)</f>
        <v>6.3558735485943513E-2</v>
      </c>
      <c r="R45" s="79">
        <f>+HLOOKUP(טבלה112[[#This Row],[עמודה1]],'נתוני תאגידים'!$1:$891,588,0)</f>
        <v>0</v>
      </c>
      <c r="S45" s="51">
        <f>+HLOOKUP(טבלה112[[#This Row],[עמודה1]],'נתוני תאגידים'!$1:$891,613,0)</f>
        <v>0</v>
      </c>
      <c r="T45"/>
      <c r="U45"/>
    </row>
    <row r="46" spans="1:21" x14ac:dyDescent="0.2">
      <c r="A46" t="s">
        <v>260</v>
      </c>
      <c r="B46" t="str">
        <f>+HLOOKUP(A46,'[6]נתוני תאגידים'!$1:$476,466,0)</f>
        <v>בינוני</v>
      </c>
      <c r="C46" s="33">
        <f>+VLOOKUP(P46,'הנחות עבודה'!$C$62:$H$72,4,0)</f>
        <v>8.6300000000000002E-2</v>
      </c>
      <c r="D46" s="33">
        <f>+VLOOKUP(טבלה112[[#This Row],[עמודה2]],'הנחות עבודה'!$C$69:$H$72,4,0)</f>
        <v>1.4999999999999999E-2</v>
      </c>
      <c r="E46" s="2">
        <f>+HLOOKUP(טבלה112[[#This Row],[עמודה1]],'נתוני תאגידים'!$1:$891,753,0)-HLOOKUP(טבלה112[[#This Row],[עמודה1]],'נתוני תאגידים'!$1:$891,788,0)</f>
        <v>2905.9690000000001</v>
      </c>
      <c r="F46" s="2">
        <f>+HLOOKUP(טבלה112[[#This Row],[עמודה1]],'נתוני תאגידים'!$1:$891,822,0)</f>
        <v>1877.029</v>
      </c>
      <c r="G46" s="651">
        <f t="shared" si="1"/>
        <v>0.64592189386741561</v>
      </c>
      <c r="H46" s="51">
        <f>+IF((IF(AND(J46&lt;2007,K46&gt;'הנחות עבודה'!$D$39-0.01),$I$1,+G46*C46+(1-G46)*$I$1)),+IF(AND(J46&lt;2007,K46&gt;'הנחות עבודה'!$D$39-0.01),$I$1,+G46*C46+(1-G46)*$I$1))-N46+IF($S$2="כן",R46,0)</f>
        <v>8.0528526870038877E-2</v>
      </c>
      <c r="I46" s="51">
        <f>+IF(AND(J46&lt;2007,K46&gt;'הנחות עבודה'!$D$38-0.01),$K$1,+G46*D46+(1-G46)*$K$1)+IF($S$2="כן",S46,0)</f>
        <v>1.4999999999999999E-2</v>
      </c>
      <c r="J46">
        <f>+HLOOKUP(A46,'[6]נתוני תאגידים'!$1:$6,6,0)</f>
        <v>2009</v>
      </c>
      <c r="K46">
        <f>+ROUND(HLOOKUP(A46,'[6]נתוני תאגידים'!$1:$424,392,0),0)</f>
        <v>5</v>
      </c>
      <c r="L46">
        <f>+HLOOKUP(טבלה112[[#This Row],[עמודה1]],'נתוני תאגידים'!$1:$891,856,0)</f>
        <v>0</v>
      </c>
      <c r="M46" s="17">
        <f>+L46/HLOOKUP(טבלה112[[#This Row],[עמודה1]],'נתוני תאגידים'!$1:$891,753,0)</f>
        <v>0</v>
      </c>
      <c r="N46">
        <f t="shared" si="2"/>
        <v>0</v>
      </c>
      <c r="O46">
        <f>+HLOOKUP(טבלה112[[#This Row],[עמודה1]],'נתוני תאגידים'!$1:$891,479,0)</f>
        <v>4</v>
      </c>
      <c r="P46" t="str">
        <f t="shared" si="0"/>
        <v>בינוני</v>
      </c>
      <c r="Q46" s="51">
        <f>+VLOOKUP(A46,'[12]פחת מים וגביה'!$A$1:$P$65536,8,0)</f>
        <v>8.008227031140347E-2</v>
      </c>
      <c r="R46" s="79">
        <f>+HLOOKUP(טבלה112[[#This Row],[עמודה1]],'נתוני תאגידים'!$1:$891,588,0)</f>
        <v>0</v>
      </c>
      <c r="S46" s="51">
        <f>+HLOOKUP(טבלה112[[#This Row],[עמודה1]],'נתוני תאגידים'!$1:$891,613,0)</f>
        <v>0</v>
      </c>
    </row>
    <row r="47" spans="1:21" x14ac:dyDescent="0.2">
      <c r="A47" t="s">
        <v>261</v>
      </c>
      <c r="B47" t="str">
        <f>+HLOOKUP(A47,'[6]נתוני תאגידים'!$1:$476,466,0)</f>
        <v>חלש</v>
      </c>
      <c r="C47" s="33">
        <f>+VLOOKUP(P47,'הנחות עבודה'!$C$62:$H$72,4,0)</f>
        <v>0.12659999999999999</v>
      </c>
      <c r="D47" s="33">
        <f>+VLOOKUP(טבלה112[[#This Row],[עמודה2]],'הנחות עבודה'!$C$69:$H$72,4,0)</f>
        <v>6.6699999999999995E-2</v>
      </c>
      <c r="E47" s="2">
        <f>+HLOOKUP(טבלה112[[#This Row],[עמודה1]],'נתוני תאגידים'!$1:$891,753,0)-HLOOKUP(טבלה112[[#This Row],[עמודה1]],'נתוני תאגידים'!$1:$891,788,0)</f>
        <v>8877.349000000002</v>
      </c>
      <c r="F47" s="2">
        <f>+HLOOKUP(טבלה112[[#This Row],[עמודה1]],'נתוני תאגידים'!$1:$891,822,0)</f>
        <v>7032.9759999999987</v>
      </c>
      <c r="G47" s="651">
        <f t="shared" si="1"/>
        <v>0.79223831348750595</v>
      </c>
      <c r="H47" s="51">
        <f>+IF((IF(AND(J47&lt;2007,K47&gt;'הנחות עבודה'!$D$39-0.01),$I$1,+G47*C47+(1-G47)*$I$1)),+IF(AND(J47&lt;2007,K47&gt;'הנחות עבודה'!$D$39-0.01),$I$1,+G47*C47+(1-G47)*$I$1))-N47+IF($S$2="כן",R47,0)</f>
        <v>0.11484068854339283</v>
      </c>
      <c r="I47" s="51">
        <f>+IF(AND(J47&lt;2007,K47&gt;'הנחות עבודה'!$D$38-0.01),$K$1,+G47*D47+(1-G47)*$K$1)+IF($S$2="כן",S47,0)</f>
        <v>5.5958720807304053E-2</v>
      </c>
      <c r="J47">
        <f>+HLOOKUP(A47,'[6]נתוני תאגידים'!$1:$6,6,0)</f>
        <v>2010</v>
      </c>
      <c r="K47">
        <f>+ROUND(HLOOKUP(A47,'[6]נתוני תאגידים'!$1:$424,392,0),0)</f>
        <v>3</v>
      </c>
      <c r="L47">
        <f>+HLOOKUP(טבלה112[[#This Row],[עמודה1]],'נתוני תאגידים'!$1:$891,856,0)</f>
        <v>0</v>
      </c>
      <c r="M47" s="17">
        <f>+L47/HLOOKUP(טבלה112[[#This Row],[עמודה1]],'נתוני תאגידים'!$1:$891,753,0)</f>
        <v>0</v>
      </c>
      <c r="N47">
        <f t="shared" si="2"/>
        <v>0</v>
      </c>
      <c r="O47">
        <f>+HLOOKUP(טבלה112[[#This Row],[עמודה1]],'נתוני תאגידים'!$1:$891,479,0)</f>
        <v>11</v>
      </c>
      <c r="P47" t="str">
        <f t="shared" si="0"/>
        <v>חלש רב רשותי</v>
      </c>
      <c r="Q47" s="51">
        <f>+VLOOKUP(A47,'[12]פחת מים וגביה'!$A$1:$P$65536,8,0)</f>
        <v>0.11728220504983103</v>
      </c>
      <c r="R47" s="79">
        <f>+HLOOKUP(טבלה112[[#This Row],[עמודה1]],'נתוני תאגידים'!$1:$891,588,0)</f>
        <v>0</v>
      </c>
      <c r="S47" s="51">
        <f>+HLOOKUP(טבלה112[[#This Row],[עמודה1]],'נתוני תאגידים'!$1:$891,613,0)</f>
        <v>0</v>
      </c>
    </row>
    <row r="48" spans="1:21" x14ac:dyDescent="0.2">
      <c r="A48" t="s">
        <v>262</v>
      </c>
      <c r="B48" t="str">
        <f>+HLOOKUP(A48,'[6]נתוני תאגידים'!$1:$476,466,0)</f>
        <v xml:space="preserve">חזק </v>
      </c>
      <c r="C48" s="33">
        <f>+VLOOKUP(P48,'הנחות עבודה'!$C$62:$H$72,4,0)</f>
        <v>7.0000000000000007E-2</v>
      </c>
      <c r="D48" s="33">
        <f>+VLOOKUP(טבלה112[[#This Row],[עמודה2]],'הנחות עבודה'!$C$69:$H$72,4,0)</f>
        <v>1.4999999999999999E-2</v>
      </c>
      <c r="E48" s="2">
        <f>+HLOOKUP(טבלה112[[#This Row],[עמודה1]],'נתוני תאגידים'!$1:$891,753,0)-HLOOKUP(טבלה112[[#This Row],[עמודה1]],'נתוני תאגידים'!$1:$891,788,0)</f>
        <v>3467.5430000000001</v>
      </c>
      <c r="F48" s="2">
        <f>+HLOOKUP(טבלה112[[#This Row],[עמודה1]],'נתוני תאגידים'!$1:$891,822,0)</f>
        <v>2530.5540000000001</v>
      </c>
      <c r="G48" s="651">
        <f t="shared" si="1"/>
        <v>0.72978301927330103</v>
      </c>
      <c r="H48" s="51">
        <f>+IF((IF(AND(J48&lt;2007,K48&gt;'הנחות עבודה'!$D$39-0.01),$I$1,+G48*C48+(1-G48)*$I$1)),+IF(AND(J48&lt;2007,K48&gt;'הנחות עבודה'!$D$39-0.01),$I$1,+G48*C48+(1-G48)*$I$1))-N48+IF($S$2="כן",R48,0)</f>
        <v>7.0000000000000007E-2</v>
      </c>
      <c r="I48" s="51">
        <f>+IF(AND(J48&lt;2007,K48&gt;'הנחות עבודה'!$D$38-0.01),$K$1,+G48*D48+(1-G48)*$K$1)+IF($S$2="כן",S48,0)</f>
        <v>1.4999999999999999E-2</v>
      </c>
      <c r="J48">
        <f>+HLOOKUP(A48,'[6]נתוני תאגידים'!$1:$6,6,0)</f>
        <v>2009</v>
      </c>
      <c r="K48">
        <f>+ROUND(HLOOKUP(A48,'[6]נתוני תאגידים'!$1:$424,392,0),0)</f>
        <v>6</v>
      </c>
      <c r="L48">
        <f>+HLOOKUP(טבלה112[[#This Row],[עמודה1]],'נתוני תאגידים'!$1:$891,856,0)</f>
        <v>0</v>
      </c>
      <c r="M48" s="17">
        <f>+L48/HLOOKUP(טבלה112[[#This Row],[עמודה1]],'נתוני תאגידים'!$1:$891,753,0)</f>
        <v>0</v>
      </c>
      <c r="N48">
        <f t="shared" si="2"/>
        <v>0</v>
      </c>
      <c r="O48">
        <f>+HLOOKUP(טבלה112[[#This Row],[עמודה1]],'נתוני תאגידים'!$1:$891,479,0)</f>
        <v>1</v>
      </c>
      <c r="P48" t="str">
        <f t="shared" si="0"/>
        <v xml:space="preserve">חזק </v>
      </c>
      <c r="Q48" s="51">
        <f>+VLOOKUP(A48,'[12]פחת מים וגביה'!$A$1:$P$65536,8,0)</f>
        <v>7.0000000000000007E-2</v>
      </c>
      <c r="R48" s="79">
        <f>+HLOOKUP(טבלה112[[#This Row],[עמודה1]],'נתוני תאגידים'!$1:$891,588,0)</f>
        <v>0</v>
      </c>
      <c r="S48" s="51">
        <f>+HLOOKUP(טבלה112[[#This Row],[עמודה1]],'נתוני תאגידים'!$1:$891,613,0)</f>
        <v>0</v>
      </c>
    </row>
    <row r="49" spans="1:21" x14ac:dyDescent="0.2">
      <c r="A49" t="s">
        <v>660</v>
      </c>
      <c r="B49" t="str">
        <f>+HLOOKUP(A49,'[6]נתוני תאגידים'!$1:$476,466,0)</f>
        <v xml:space="preserve">חזק </v>
      </c>
      <c r="C49" s="33">
        <f>+VLOOKUP(P49,'הנחות עבודה'!$C$62:$H$72,4,0)</f>
        <v>7.0000000000000007E-2</v>
      </c>
      <c r="D49" s="33">
        <f>+VLOOKUP(טבלה112[[#This Row],[עמודה2]],'הנחות עבודה'!$C$69:$H$72,4,0)</f>
        <v>1.4999999999999999E-2</v>
      </c>
      <c r="E49" s="2">
        <f>+HLOOKUP(טבלה112[[#This Row],[עמודה1]],'נתוני תאגידים'!$1:$891,753,0)-HLOOKUP(טבלה112[[#This Row],[עמודה1]],'נתוני תאגידים'!$1:$891,788,0)</f>
        <v>3584.8589999999999</v>
      </c>
      <c r="F49" s="2">
        <f>+HLOOKUP(טבלה112[[#This Row],[עמודה1]],'נתוני תאגידים'!$1:$891,822,0)</f>
        <v>2091.6770000000001</v>
      </c>
      <c r="G49" s="651">
        <f t="shared" si="1"/>
        <v>0.58347538912967012</v>
      </c>
      <c r="H49" s="51">
        <f>+IF((IF(AND(J49&lt;2007,K49&gt;'הנחות עבודה'!$D$39-0.01),$I$1,+G49*C49+(1-G49)*$I$1)),+IF(AND(J49&lt;2007,K49&gt;'הנחות עבודה'!$D$39-0.01),$I$1,+G49*C49+(1-G49)*$I$1))-N49+IF($S$2="כן",R49,0)</f>
        <v>7.0000000000000007E-2</v>
      </c>
      <c r="I49" s="51">
        <f>+IF(AND(J49&lt;2007,K49&gt;'הנחות עבודה'!$D$38-0.01),$K$1,+G49*D49+(1-G49)*$K$1)+IF($S$2="כן",S49,0)</f>
        <v>1.4999999999999999E-2</v>
      </c>
      <c r="J49">
        <f>+HLOOKUP(A49,'[6]נתוני תאגידים'!$1:$6,6,0)</f>
        <v>2010</v>
      </c>
      <c r="K49">
        <f>+ROUND(HLOOKUP(A49,'[6]נתוני תאגידים'!$1:$424,392,0),0)</f>
        <v>5</v>
      </c>
      <c r="L49">
        <f>+HLOOKUP(טבלה112[[#This Row],[עמודה1]],'נתוני תאגידים'!$1:$891,856,0)</f>
        <v>0</v>
      </c>
      <c r="M49" s="17">
        <f>+L49/HLOOKUP(טבלה112[[#This Row],[עמודה1]],'נתוני תאגידים'!$1:$891,753,0)</f>
        <v>0</v>
      </c>
      <c r="N49">
        <f t="shared" si="2"/>
        <v>0</v>
      </c>
      <c r="O49">
        <f>+HLOOKUP(טבלה112[[#This Row],[עמודה1]],'נתוני תאגידים'!$1:$891,479,0)</f>
        <v>1</v>
      </c>
      <c r="P49" t="str">
        <f t="shared" si="0"/>
        <v xml:space="preserve">חזק </v>
      </c>
      <c r="Q49" s="51">
        <f>+VLOOKUP(A49,'[12]פחת מים וגביה'!$A$1:$P$65536,8,0)</f>
        <v>7.0000000000000007E-2</v>
      </c>
      <c r="R49" s="79">
        <f>+HLOOKUP(טבלה112[[#This Row],[עמודה1]],'נתוני תאגידים'!$1:$891,588,0)</f>
        <v>0</v>
      </c>
      <c r="S49" s="51">
        <f>+HLOOKUP(טבלה112[[#This Row],[עמודה1]],'נתוני תאגידים'!$1:$891,613,0)</f>
        <v>0</v>
      </c>
    </row>
    <row r="50" spans="1:21" x14ac:dyDescent="0.2">
      <c r="A50" t="s">
        <v>456</v>
      </c>
      <c r="B50" t="str">
        <f>+HLOOKUP(A50,'[6]נתוני תאגידים'!$1:$476,466,0)</f>
        <v xml:space="preserve">חזק </v>
      </c>
      <c r="C50" s="33">
        <f>+VLOOKUP(P50,'הנחות עבודה'!$C$62:$H$72,4,0)</f>
        <v>7.0000000000000007E-2</v>
      </c>
      <c r="D50" s="33">
        <f>+VLOOKUP(טבלה112[[#This Row],[עמודה2]],'הנחות עבודה'!$C$69:$H$72,4,0)</f>
        <v>1.4999999999999999E-2</v>
      </c>
      <c r="E50" s="2">
        <f>+HLOOKUP(טבלה112[[#This Row],[עמודה1]],'נתוני תאגידים'!$1:$891,753,0)-HLOOKUP(טבלה112[[#This Row],[עמודה1]],'נתוני תאגידים'!$1:$891,788,0)</f>
        <v>10550.341</v>
      </c>
      <c r="F50" s="2">
        <f>+HLOOKUP(טבלה112[[#This Row],[עמודה1]],'נתוני תאגידים'!$1:$891,822,0)</f>
        <v>3759.74</v>
      </c>
      <c r="G50" s="651">
        <f t="shared" si="1"/>
        <v>0.3563619412870162</v>
      </c>
      <c r="H50" s="51">
        <f>+IF((IF(AND(J50&lt;2007,K50&gt;'הנחות עבודה'!$D$39-0.01),$I$1,+G50*C50+(1-G50)*$I$1)),+IF(AND(J50&lt;2007,K50&gt;'הנחות עבודה'!$D$39-0.01),$I$1,+G50*C50+(1-G50)*$I$1))-N50+IF($S$2="כן",R50,0)</f>
        <v>7.0000000000000007E-2</v>
      </c>
      <c r="I50" s="51">
        <f>+IF(AND(J50&lt;2007,K50&gt;'הנחות עבודה'!$D$38-0.01),$K$1,+G50*D50+(1-G50)*$K$1)+IF($S$2="כן",S50,0)</f>
        <v>1.4999999999999999E-2</v>
      </c>
      <c r="J50">
        <f>+HLOOKUP(A50,'[6]נתוני תאגידים'!$1:$6,6,0)</f>
        <v>2006</v>
      </c>
      <c r="K50">
        <f>+ROUND(HLOOKUP(A50,'[6]נתוני תאגידים'!$1:$424,392,0),0)</f>
        <v>5</v>
      </c>
      <c r="L50">
        <f>+HLOOKUP(טבלה112[[#This Row],[עמודה1]],'נתוני תאגידים'!$1:$891,856,0)</f>
        <v>0</v>
      </c>
      <c r="M50" s="17">
        <f>+L50/HLOOKUP(טבלה112[[#This Row],[עמודה1]],'נתוני תאגידים'!$1:$891,753,0)</f>
        <v>0</v>
      </c>
      <c r="N50">
        <f t="shared" si="2"/>
        <v>0</v>
      </c>
      <c r="O50">
        <f>+HLOOKUP(טבלה112[[#This Row],[עמודה1]],'נתוני תאגידים'!$1:$891,479,0)</f>
        <v>1</v>
      </c>
      <c r="P50" t="str">
        <f t="shared" si="0"/>
        <v xml:space="preserve">חזק </v>
      </c>
      <c r="Q50" s="51">
        <f>+VLOOKUP(A50,'[12]פחת מים וגביה'!$A$1:$P$65536,8,0)</f>
        <v>7.0000000000000007E-2</v>
      </c>
      <c r="R50" s="79">
        <f>+HLOOKUP(טבלה112[[#This Row],[עמודה1]],'נתוני תאגידים'!$1:$891,588,0)</f>
        <v>0</v>
      </c>
      <c r="S50" s="51">
        <f>+HLOOKUP(טבלה112[[#This Row],[עמודה1]],'נתוני תאגידים'!$1:$891,613,0)</f>
        <v>0</v>
      </c>
    </row>
    <row r="51" spans="1:21" x14ac:dyDescent="0.2">
      <c r="A51" t="s">
        <v>457</v>
      </c>
      <c r="B51" t="str">
        <f>+HLOOKUP(A51,'[6]נתוני תאגידים'!$1:$476,466,0)</f>
        <v>חלש</v>
      </c>
      <c r="C51" s="33">
        <f>+VLOOKUP(P51,'הנחות עבודה'!$C$62:$H$72,4,0)</f>
        <v>0.12659999999999999</v>
      </c>
      <c r="D51" s="33">
        <f>+VLOOKUP(טבלה112[[#This Row],[עמודה2]],'הנחות עבודה'!$C$69:$H$72,4,0)</f>
        <v>6.6699999999999995E-2</v>
      </c>
      <c r="E51" s="2">
        <f>+HLOOKUP(טבלה112[[#This Row],[עמודה1]],'נתוני תאגידים'!$1:$891,753,0)-HLOOKUP(טבלה112[[#This Row],[עמודה1]],'נתוני תאגידים'!$1:$891,788,0)</f>
        <v>7286.8270000000011</v>
      </c>
      <c r="F51" s="2">
        <f>+HLOOKUP(טבלה112[[#This Row],[עמודה1]],'נתוני תאגידים'!$1:$891,822,0)</f>
        <v>5486.0290000000005</v>
      </c>
      <c r="G51" s="651">
        <f t="shared" si="1"/>
        <v>0.75286939020234722</v>
      </c>
      <c r="H51" s="51">
        <f>+IF((IF(AND(J51&lt;2007,K51&gt;'הנחות עבודה'!$D$39-0.01),$I$1,+G51*C51+(1-G51)*$I$1)),+IF(AND(J51&lt;2007,K51&gt;'הנחות עבודה'!$D$39-0.01),$I$1,+G51*C51+(1-G51)*$I$1))-N51+IF($S$2="כן",R51,0)</f>
        <v>0.11261240748545284</v>
      </c>
      <c r="I51" s="51">
        <f>+IF(AND(J51&lt;2007,K51&gt;'הנחות עבודה'!$D$38-0.01),$K$1,+G51*D51+(1-G51)*$K$1)+IF($S$2="כן",S51,0)</f>
        <v>5.392334747346135E-2</v>
      </c>
      <c r="J51">
        <f>+HLOOKUP(A51,'[6]נתוני תאגידים'!$1:$6,6,0)</f>
        <v>2008</v>
      </c>
      <c r="K51">
        <f>+ROUND(HLOOKUP(A51,'[6]נתוני תאגידים'!$1:$424,392,0),0)</f>
        <v>3</v>
      </c>
      <c r="L51">
        <f>+HLOOKUP(טבלה112[[#This Row],[עמודה1]],'נתוני תאגידים'!$1:$891,856,0)</f>
        <v>0</v>
      </c>
      <c r="M51" s="17">
        <f>+L51/HLOOKUP(טבלה112[[#This Row],[עמודה1]],'נתוני תאגידים'!$1:$891,753,0)</f>
        <v>0</v>
      </c>
      <c r="N51">
        <f t="shared" si="2"/>
        <v>0</v>
      </c>
      <c r="O51">
        <f>+HLOOKUP(טבלה112[[#This Row],[עמודה1]],'נתוני תאגידים'!$1:$891,479,0)</f>
        <v>13</v>
      </c>
      <c r="P51" t="str">
        <f t="shared" si="0"/>
        <v>חלש רב רשותי</v>
      </c>
      <c r="Q51" s="51">
        <f>+VLOOKUP(A51,'[12]פחת מים וגביה'!$A$1:$P$65536,8,0)</f>
        <v>0.11130848352833134</v>
      </c>
      <c r="R51" s="79">
        <f>+HLOOKUP(טבלה112[[#This Row],[עמודה1]],'נתוני תאגידים'!$1:$891,588,0)</f>
        <v>0</v>
      </c>
      <c r="S51" s="51">
        <f>+HLOOKUP(טבלה112[[#This Row],[עמודה1]],'נתוני תאגידים'!$1:$891,613,0)</f>
        <v>0</v>
      </c>
    </row>
    <row r="52" spans="1:21" s="719" customFormat="1" x14ac:dyDescent="0.2">
      <c r="A52" s="719" t="s">
        <v>263</v>
      </c>
      <c r="B52" t="str">
        <f>+HLOOKUP(A52,'[6]נתוני תאגידים'!$1:$476,466,0)</f>
        <v>בינוני</v>
      </c>
      <c r="C52" s="33">
        <f>+VLOOKUP(P52,'הנחות עבודה'!$C$62:$H$72,4,0)</f>
        <v>8.6300000000000002E-2</v>
      </c>
      <c r="D52" s="33">
        <f>+VLOOKUP(טבלה112[[#This Row],[עמודה2]],'הנחות עבודה'!$C$69:$H$72,4,0)</f>
        <v>1.4999999999999999E-2</v>
      </c>
      <c r="E52" s="2">
        <f>+HLOOKUP(טבלה112[[#This Row],[עמודה1]],'נתוני תאגידים'!$1:$891,753,0)-HLOOKUP(טבלה112[[#This Row],[עמודה1]],'נתוני תאגידים'!$1:$891,788,0)</f>
        <v>3062.9140000000002</v>
      </c>
      <c r="F52" s="2">
        <f>+HLOOKUP(טבלה112[[#This Row],[עמודה1]],'נתוני תאגידים'!$1:$891,822,0)</f>
        <v>2402.5140000000001</v>
      </c>
      <c r="G52" s="1292">
        <f t="shared" si="1"/>
        <v>0.78438833085094783</v>
      </c>
      <c r="H52" s="51">
        <f>+IF((IF(AND(J52&lt;2007,K52&gt;'הנחות עבודה'!$D$39-0.01),$I$1,+G52*C52+(1-G52)*$I$1)),+IF(AND(J52&lt;2007,K52&gt;'הנחות עבודה'!$D$39-0.01),$I$1,+G52*C52+(1-G52)*$I$1))-N52+IF($S$2="כן",R52,0)</f>
        <v>8.2785529792870446E-2</v>
      </c>
      <c r="I52" s="51">
        <f>+IF(AND(J52&lt;2007,K52&gt;'הנחות עבודה'!$D$38-0.01),$K$1,+G52*D52+(1-G52)*$K$1)+IF($S$2="כן",S52,0)</f>
        <v>1.4999999999999999E-2</v>
      </c>
      <c r="J52" s="719">
        <f>+HLOOKUP(A52,'[6]נתוני תאגידים'!$1:$6,6,0)</f>
        <v>2009</v>
      </c>
      <c r="K52">
        <f>+ROUND(HLOOKUP(A52,'[6]נתוני תאגידים'!$1:$424,392,0),0)</f>
        <v>5</v>
      </c>
      <c r="L52">
        <f>+HLOOKUP(טבלה112[[#This Row],[עמודה1]],'נתוני תאגידים'!$1:$891,856,0)</f>
        <v>0</v>
      </c>
      <c r="M52" s="17">
        <f>+L52/HLOOKUP(טבלה112[[#This Row],[עמודה1]],'נתוני תאגידים'!$1:$891,753,0)</f>
        <v>0</v>
      </c>
      <c r="N52" s="719">
        <f t="shared" si="2"/>
        <v>0</v>
      </c>
      <c r="O52">
        <f>+HLOOKUP(טבלה112[[#This Row],[עמודה1]],'נתוני תאגידים'!$1:$891,479,0)</f>
        <v>2</v>
      </c>
      <c r="P52" s="719" t="str">
        <f t="shared" si="0"/>
        <v>בינוני</v>
      </c>
      <c r="Q52" s="1294">
        <f>+VLOOKUP(A52,'[12]פחת מים וגביה'!$A$1:$P$65536,8,0)</f>
        <v>8.3157751662838911E-2</v>
      </c>
      <c r="R52" s="79">
        <f>+HLOOKUP(טבלה112[[#This Row],[עמודה1]],'נתוני תאגידים'!$1:$891,588,0)</f>
        <v>0</v>
      </c>
      <c r="S52" s="51">
        <f>+HLOOKUP(טבלה112[[#This Row],[עמודה1]],'נתוני תאגידים'!$1:$891,613,0)</f>
        <v>0</v>
      </c>
      <c r="T52"/>
      <c r="U52"/>
    </row>
    <row r="53" spans="1:21" x14ac:dyDescent="0.2">
      <c r="A53" t="s">
        <v>272</v>
      </c>
      <c r="B53" t="str">
        <f>+HLOOKUP(A53,'[6]נתוני תאגידים'!$1:$476,466,0)</f>
        <v>חזק מאוד</v>
      </c>
      <c r="C53" s="33">
        <f>+VLOOKUP(P53,'הנחות עבודה'!$C$62:$H$72,4,0)</f>
        <v>7.0000000000000007E-2</v>
      </c>
      <c r="D53" s="33">
        <f>+VLOOKUP(טבלה112[[#This Row],[עמודה2]],'הנחות עבודה'!$C$69:$H$72,4,0)</f>
        <v>1.4999999999999999E-2</v>
      </c>
      <c r="E53" s="2">
        <f>+HLOOKUP(טבלה112[[#This Row],[עמודה1]],'נתוני תאגידים'!$1:$891,753,0)-HLOOKUP(טבלה112[[#This Row],[עמודה1]],'נתוני תאגידים'!$1:$891,788,0)</f>
        <v>892.53</v>
      </c>
      <c r="F53" s="2">
        <f>+HLOOKUP(טבלה112[[#This Row],[עמודה1]],'נתוני תאגידים'!$1:$891,822,0)</f>
        <v>754.89</v>
      </c>
      <c r="G53" s="651">
        <f t="shared" si="1"/>
        <v>0.8457866962455044</v>
      </c>
      <c r="H53" s="51">
        <f>+IF((IF(AND(J53&lt;2007,K53&gt;'הנחות עבודה'!$D$39-0.01),$I$1,+G53*C53+(1-G53)*$I$1)),+IF(AND(J53&lt;2007,K53&gt;'הנחות עבודה'!$D$39-0.01),$I$1,+G53*C53+(1-G53)*$I$1))-N53+IF($S$2="כן",R53,0)</f>
        <v>7.0000000000000007E-2</v>
      </c>
      <c r="I53" s="51">
        <f>+IF(AND(J53&lt;2007,K53&gt;'הנחות עבודה'!$D$38-0.01),$K$1,+G53*D53+(1-G53)*$K$1)+IF($S$2="כן",S53,0)</f>
        <v>1.4999999999999999E-2</v>
      </c>
      <c r="J53">
        <f>+HLOOKUP(A53,'[6]נתוני תאגידים'!$1:$6,6,0)</f>
        <v>2011</v>
      </c>
      <c r="K53">
        <f>+ROUND(HLOOKUP(A53,'[6]נתוני תאגידים'!$1:$424,392,0),0)</f>
        <v>9</v>
      </c>
      <c r="L53">
        <f>+HLOOKUP(טבלה112[[#This Row],[עמודה1]],'נתוני תאגידים'!$1:$891,856,0)</f>
        <v>0</v>
      </c>
      <c r="M53" s="17">
        <f>+L53/HLOOKUP(טבלה112[[#This Row],[עמודה1]],'נתוני תאגידים'!$1:$891,753,0)</f>
        <v>0</v>
      </c>
      <c r="N53">
        <f t="shared" si="2"/>
        <v>0</v>
      </c>
      <c r="O53">
        <f>+HLOOKUP(טבלה112[[#This Row],[עמודה1]],'נתוני תאגידים'!$1:$891,479,0)</f>
        <v>2</v>
      </c>
      <c r="P53" t="str">
        <f t="shared" si="0"/>
        <v>חזק מאוד</v>
      </c>
      <c r="Q53" s="51">
        <f>+VLOOKUP(A53,'[12]פחת מים וגביה'!$A$1:$P$65536,8,0)</f>
        <v>7.0000000000000007E-2</v>
      </c>
      <c r="R53" s="79">
        <f>+HLOOKUP(טבלה112[[#This Row],[עמודה1]],'נתוני תאגידים'!$1:$891,588,0)</f>
        <v>0</v>
      </c>
      <c r="S53" s="51">
        <f>+HLOOKUP(טבלה112[[#This Row],[עמודה1]],'נתוני תאגידים'!$1:$891,613,0)</f>
        <v>0</v>
      </c>
    </row>
    <row r="54" spans="1:21" x14ac:dyDescent="0.2">
      <c r="A54" t="s">
        <v>264</v>
      </c>
      <c r="B54" t="str">
        <f>+HLOOKUP(A54,'[6]נתוני תאגידים'!$1:$476,466,0)</f>
        <v>חזק מאוד</v>
      </c>
      <c r="C54" s="33">
        <f>+VLOOKUP(P54,'הנחות עבודה'!$C$62:$H$72,4,0)</f>
        <v>7.0000000000000007E-2</v>
      </c>
      <c r="D54" s="33">
        <f>+VLOOKUP(טבלה112[[#This Row],[עמודה2]],'הנחות עבודה'!$C$69:$H$72,4,0)</f>
        <v>1.4999999999999999E-2</v>
      </c>
      <c r="E54" s="2">
        <f>+HLOOKUP(טבלה112[[#This Row],[עמודה1]],'נתוני תאגידים'!$1:$891,753,0)-HLOOKUP(טבלה112[[#This Row],[עמודה1]],'נתוני תאגידים'!$1:$891,788,0)</f>
        <v>5403.8640000000005</v>
      </c>
      <c r="F54" s="2">
        <f>+HLOOKUP(טבלה112[[#This Row],[עמודה1]],'נתוני תאגידים'!$1:$891,822,0)</f>
        <v>3271.636</v>
      </c>
      <c r="G54" s="651">
        <f t="shared" si="1"/>
        <v>0.6054253030794261</v>
      </c>
      <c r="H54" s="51">
        <f>+IF((IF(AND(J54&lt;2007,K54&gt;'הנחות עבודה'!$D$39-0.01),$I$1,+G54*C54+(1-G54)*$I$1)),+IF(AND(J54&lt;2007,K54&gt;'הנחות עבודה'!$D$39-0.01),$I$1,+G54*C54+(1-G54)*$I$1))-N54+IF($S$2="כן",R54,0)</f>
        <v>7.0000000000000007E-2</v>
      </c>
      <c r="I54" s="51">
        <f>+IF(AND(J54&lt;2007,K54&gt;'הנחות עבודה'!$D$38-0.01),$K$1,+G54*D54+(1-G54)*$K$1)+IF($S$2="כן",S54,0)</f>
        <v>1.4999999999999999E-2</v>
      </c>
      <c r="J54">
        <f>+HLOOKUP(A54,'[6]נתוני תאגידים'!$1:$6,6,0)</f>
        <v>2009</v>
      </c>
      <c r="K54">
        <f>+ROUND(HLOOKUP(A54,'[6]נתוני תאגידים'!$1:$424,392,0),0)</f>
        <v>9</v>
      </c>
      <c r="L54">
        <f>+HLOOKUP(טבלה112[[#This Row],[עמודה1]],'נתוני תאגידים'!$1:$891,856,0)</f>
        <v>0</v>
      </c>
      <c r="M54" s="17">
        <f>+L54/HLOOKUP(טבלה112[[#This Row],[עמודה1]],'נתוני תאגידים'!$1:$891,753,0)</f>
        <v>0</v>
      </c>
      <c r="N54">
        <f t="shared" si="2"/>
        <v>0</v>
      </c>
      <c r="O54">
        <f>+HLOOKUP(טבלה112[[#This Row],[עמודה1]],'נתוני תאגידים'!$1:$891,479,0)</f>
        <v>1</v>
      </c>
      <c r="P54" t="str">
        <f t="shared" si="0"/>
        <v>חזק מאוד</v>
      </c>
      <c r="Q54" s="51">
        <f>+VLOOKUP(A54,'[12]פחת מים וגביה'!$A$1:$P$65536,8,0)</f>
        <v>7.0000000000000007E-2</v>
      </c>
      <c r="R54" s="79">
        <f>+HLOOKUP(טבלה112[[#This Row],[עמודה1]],'נתוני תאגידים'!$1:$891,588,0)</f>
        <v>0</v>
      </c>
      <c r="S54" s="51">
        <f>+HLOOKUP(טבלה112[[#This Row],[עמודה1]],'נתוני תאגידים'!$1:$891,613,0)</f>
        <v>0</v>
      </c>
    </row>
    <row r="55" spans="1:21" s="719" customFormat="1" x14ac:dyDescent="0.2">
      <c r="A55" s="719" t="s">
        <v>458</v>
      </c>
      <c r="B55" t="str">
        <f>+HLOOKUP(A55,'[6]נתוני תאגידים'!$1:$476,466,0)</f>
        <v>חלש</v>
      </c>
      <c r="C55" s="33">
        <f>+VLOOKUP(P55,'הנחות עבודה'!$C$62:$H$72,4,0)</f>
        <v>0.12659999999999999</v>
      </c>
      <c r="D55" s="33">
        <f>+VLOOKUP(טבלה112[[#This Row],[עמודה2]],'הנחות עבודה'!$C$69:$H$72,4,0)</f>
        <v>6.6699999999999995E-2</v>
      </c>
      <c r="E55" s="2">
        <f>+HLOOKUP(טבלה112[[#This Row],[עמודה1]],'נתוני תאגידים'!$1:$891,753,0)-HLOOKUP(טבלה112[[#This Row],[עמודה1]],'נתוני תאגידים'!$1:$891,788,0)</f>
        <v>7785.1390000000001</v>
      </c>
      <c r="F55" s="2">
        <f>+HLOOKUP(טבלה112[[#This Row],[עמודה1]],'נתוני תאגידים'!$1:$891,822,0)</f>
        <v>5661.3209999999999</v>
      </c>
      <c r="G55" s="651">
        <f t="shared" si="1"/>
        <v>0.72719587922579154</v>
      </c>
      <c r="H55" s="51">
        <f>+IF((IF(AND(J55&lt;2007,K55&gt;'הנחות עבודה'!$D$39-0.01),$I$1,+G55*C55+(1-G55)*$I$1)),+IF(AND(J55&lt;2007,K55&gt;'הנחות עבודה'!$D$39-0.01),$I$1,+G55*C55+(1-G55)*$I$1))-N55+IF($S$2="כן",R55,0)</f>
        <v>0.11511121271647599</v>
      </c>
      <c r="I55" s="51">
        <f>+IF(AND(J55&lt;2007,K55&gt;'הנחות עבודה'!$D$38-0.01),$K$1,+G55*D55+(1-G55)*$K$1)+IF($S$2="כן",S55,0)</f>
        <v>6.1597636069536964E-2</v>
      </c>
      <c r="J55" s="719">
        <f>+HLOOKUP(A55,'[6]נתוני תאגידים'!$1:$6,6,0)</f>
        <v>2009</v>
      </c>
      <c r="K55">
        <f>+ROUND(HLOOKUP(A55,'[6]נתוני תאגידים'!$1:$424,392,0),0)</f>
        <v>4</v>
      </c>
      <c r="L55">
        <f>+HLOOKUP(טבלה112[[#This Row],[עמודה1]],'נתוני תאגידים'!$1:$891,856,0)</f>
        <v>0</v>
      </c>
      <c r="M55" s="17">
        <f>+L55/HLOOKUP(טבלה112[[#This Row],[עמודה1]],'נתוני תאגידים'!$1:$891,753,0)</f>
        <v>0</v>
      </c>
      <c r="N55" s="719">
        <f t="shared" si="2"/>
        <v>0</v>
      </c>
      <c r="O55">
        <f>+HLOOKUP(טבלה112[[#This Row],[עמודה1]],'נתוני תאגידים'!$1:$891,479,0)</f>
        <v>4</v>
      </c>
      <c r="P55" s="719" t="str">
        <f t="shared" si="0"/>
        <v>חלש רב רשותי</v>
      </c>
      <c r="Q55" s="1294">
        <f>+VLOOKUP(A55,'[12]פחת מים וגביה'!$A$1:$P$65536,8,0)</f>
        <v>0.10646718534827332</v>
      </c>
      <c r="R55" s="79">
        <f>+HLOOKUP(טבלה112[[#This Row],[עמודה1]],'נתוני תאגידים'!$1:$891,588,0)</f>
        <v>3.9519259522961918E-3</v>
      </c>
      <c r="S55" s="51">
        <f>+HLOOKUP(טבלה112[[#This Row],[עמודה1]],'נתוני תאגידים'!$1:$891,613,0)</f>
        <v>9.0016091135635464E-3</v>
      </c>
      <c r="T55"/>
      <c r="U55"/>
    </row>
    <row r="56" spans="1:21" x14ac:dyDescent="0.2">
      <c r="A56" t="s">
        <v>681</v>
      </c>
      <c r="B56" t="str">
        <f>+HLOOKUP(A56,'[6]נתוני תאגידים'!$1:$476,466,0)</f>
        <v>חזק מאוד</v>
      </c>
      <c r="C56" s="33">
        <f>+VLOOKUP(P56,'הנחות עבודה'!$C$62:$H$72,4,0)</f>
        <v>7.0000000000000007E-2</v>
      </c>
      <c r="D56" s="33">
        <f>+VLOOKUP(טבלה112[[#This Row],[עמודה2]],'הנחות עבודה'!$C$69:$H$72,4,0)</f>
        <v>1.4999999999999999E-2</v>
      </c>
      <c r="E56" s="2">
        <f>+HLOOKUP(טבלה112[[#This Row],[עמודה1]],'נתוני תאגידים'!$1:$891,753,0)-HLOOKUP(טבלה112[[#This Row],[עמודה1]],'נתוני תאגידים'!$1:$891,788,0)</f>
        <v>1156.1120000000001</v>
      </c>
      <c r="F56" s="2">
        <f>+HLOOKUP(טבלה112[[#This Row],[עמודה1]],'נתוני תאגידים'!$1:$891,822,0)</f>
        <v>931.44500000000005</v>
      </c>
      <c r="G56" s="651">
        <f t="shared" si="1"/>
        <v>0.80567021188258581</v>
      </c>
      <c r="H56" s="51">
        <f>+IF((IF(AND(J56&lt;2007,K56&gt;'הנחות עבודה'!$D$39-0.01),$I$1,+G56*C56+(1-G56)*$I$1)),+IF(AND(J56&lt;2007,K56&gt;'הנחות עבודה'!$D$39-0.01),$I$1,+G56*C56+(1-G56)*$I$1))-N56+IF($S$2="כן",R56,0)</f>
        <v>7.0000000000000007E-2</v>
      </c>
      <c r="I56" s="51">
        <f>+IF(AND(J56&lt;2007,K56&gt;'הנחות עבודה'!$D$38-0.01),$K$1,+G56*D56+(1-G56)*$K$1)+IF($S$2="כן",S56,0)</f>
        <v>1.4999999999999999E-2</v>
      </c>
      <c r="J56">
        <f>+HLOOKUP(A56,'[6]נתוני תאגידים'!$1:$6,6,0)</f>
        <v>2013</v>
      </c>
      <c r="K56">
        <f>+ROUND(HLOOKUP(A56,'[6]נתוני תאגידים'!$1:$424,392,0),0)</f>
        <v>8</v>
      </c>
      <c r="L56">
        <f>+HLOOKUP(טבלה112[[#This Row],[עמודה1]],'נתוני תאגידים'!$1:$891,856,0)</f>
        <v>0</v>
      </c>
      <c r="M56" s="17">
        <f>+L56/HLOOKUP(טבלה112[[#This Row],[עמודה1]],'נתוני תאגידים'!$1:$891,753,0)</f>
        <v>0</v>
      </c>
      <c r="N56">
        <f t="shared" si="2"/>
        <v>0</v>
      </c>
      <c r="O56">
        <f>+HLOOKUP(טבלה112[[#This Row],[עמודה1]],'נתוני תאגידים'!$1:$891,479,0)</f>
        <v>1</v>
      </c>
      <c r="P56" t="str">
        <f t="shared" si="0"/>
        <v>חזק מאוד</v>
      </c>
      <c r="Q56" s="51">
        <f>+VLOOKUP(A56,'[12]פחת מים וגביה'!$A$1:$P$65536,8,0)</f>
        <v>7.0000000000000007E-2</v>
      </c>
      <c r="R56" s="79">
        <f>+HLOOKUP(טבלה112[[#This Row],[עמודה1]],'נתוני תאגידים'!$1:$891,588,0)</f>
        <v>0</v>
      </c>
      <c r="S56" s="51">
        <f>+HLOOKUP(טבלה112[[#This Row],[עמודה1]],'נתוני תאגידים'!$1:$891,613,0)</f>
        <v>0</v>
      </c>
    </row>
    <row r="57" spans="1:21" s="719" customFormat="1" x14ac:dyDescent="0.2">
      <c r="A57" s="719" t="s">
        <v>275</v>
      </c>
      <c r="B57" t="str">
        <f>+HLOOKUP(A57,'[6]נתוני תאגידים'!$1:$476,466,0)</f>
        <v xml:space="preserve">חזק </v>
      </c>
      <c r="C57" s="33">
        <f>+VLOOKUP(P57,'הנחות עבודה'!$C$62:$H$72,4,0)</f>
        <v>7.0000000000000007E-2</v>
      </c>
      <c r="D57" s="33">
        <f>+VLOOKUP(טבלה112[[#This Row],[עמודה2]],'הנחות עבודה'!$C$69:$H$72,4,0)</f>
        <v>1.4999999999999999E-2</v>
      </c>
      <c r="E57" s="2">
        <f>+HLOOKUP(טבלה112[[#This Row],[עמודה1]],'נתוני תאגידים'!$1:$891,753,0)-HLOOKUP(טבלה112[[#This Row],[עמודה1]],'נתוני תאגידים'!$1:$891,788,0)</f>
        <v>2729.2839999999997</v>
      </c>
      <c r="F57" s="2">
        <f>+HLOOKUP(טבלה112[[#This Row],[עמודה1]],'נתוני תאגידים'!$1:$891,822,0)</f>
        <v>1976.7729999999999</v>
      </c>
      <c r="G57" s="1292">
        <f t="shared" si="1"/>
        <v>0.72428263236804968</v>
      </c>
      <c r="H57" s="51">
        <f>+IF((IF(AND(J57&lt;2007,K57&gt;'הנחות עבודה'!$D$39-0.01),$I$1,+G57*C57+(1-G57)*$I$1)),+IF(AND(J57&lt;2007,K57&gt;'הנחות עבודה'!$D$39-0.01),$I$1,+G57*C57+(1-G57)*$I$1))-N57+IF($S$2="כן",R57,0)</f>
        <v>7.0000000000000007E-2</v>
      </c>
      <c r="I57" s="51">
        <f>+IF(AND(J57&lt;2007,K57&gt;'הנחות עבודה'!$D$38-0.01),$K$1,+G57*D57+(1-G57)*$K$1)+IF($S$2="כן",S57,0)</f>
        <v>1.4999999999999999E-2</v>
      </c>
      <c r="J57" s="719">
        <f>+HLOOKUP(A57,'[6]נתוני תאגידים'!$1:$6,6,0)</f>
        <v>2013</v>
      </c>
      <c r="K57">
        <f>+ROUND(HLOOKUP(A57,'[6]נתוני תאגידים'!$1:$424,392,0),0)</f>
        <v>6</v>
      </c>
      <c r="L57">
        <f>+HLOOKUP(טבלה112[[#This Row],[עמודה1]],'נתוני תאגידים'!$1:$891,856,0)</f>
        <v>0</v>
      </c>
      <c r="M57" s="17">
        <f>+L57/HLOOKUP(טבלה112[[#This Row],[עמודה1]],'נתוני תאגידים'!$1:$891,753,0)</f>
        <v>0</v>
      </c>
      <c r="N57" s="719">
        <f t="shared" si="2"/>
        <v>0</v>
      </c>
      <c r="O57">
        <f>+HLOOKUP(טבלה112[[#This Row],[עמודה1]],'נתוני תאגידים'!$1:$891,479,0)</f>
        <v>1</v>
      </c>
      <c r="P57" s="719" t="str">
        <f t="shared" si="0"/>
        <v xml:space="preserve">חזק </v>
      </c>
      <c r="Q57" s="1294">
        <f>+VLOOKUP(A57,'[12]פחת מים וגביה'!$A$1:$P$65536,8,0)</f>
        <v>7.0000000000000007E-2</v>
      </c>
      <c r="R57" s="79">
        <f>+HLOOKUP(טבלה112[[#This Row],[עמודה1]],'נתוני תאגידים'!$1:$891,588,0)</f>
        <v>0</v>
      </c>
      <c r="S57" s="51">
        <f>+HLOOKUP(טבלה112[[#This Row],[עמודה1]],'נתוני תאגידים'!$1:$891,613,0)</f>
        <v>0</v>
      </c>
      <c r="T57"/>
      <c r="U57"/>
    </row>
    <row r="58" spans="1:21" x14ac:dyDescent="0.2">
      <c r="A58" t="s">
        <v>281</v>
      </c>
      <c r="B58" t="str">
        <f>+HLOOKUP(A58,'[6]נתוני תאגידים'!$1:$476,466,0)</f>
        <v>חזק מאוד</v>
      </c>
      <c r="C58" s="33">
        <f>+VLOOKUP(P58,'הנחות עבודה'!$C$62:$H$72,4,0)</f>
        <v>7.0000000000000007E-2</v>
      </c>
      <c r="D58" s="33">
        <f>+VLOOKUP(טבלה112[[#This Row],[עמודה2]],'הנחות עבודה'!$C$69:$H$72,4,0)</f>
        <v>1.4999999999999999E-2</v>
      </c>
      <c r="E58" s="2">
        <f>+HLOOKUP(טבלה112[[#This Row],[עמודה1]],'נתוני תאגידים'!$1:$891,753,0)-HLOOKUP(טבלה112[[#This Row],[עמודה1]],'נתוני תאגידים'!$1:$891,788,0)</f>
        <v>11634.331</v>
      </c>
      <c r="F58" s="2">
        <f>+HLOOKUP(טבלה112[[#This Row],[עמודה1]],'נתוני תאגידים'!$1:$891,822,0)</f>
        <v>8643.15</v>
      </c>
      <c r="G58" s="651">
        <f>+F58/E58</f>
        <v>0.7429004727474231</v>
      </c>
      <c r="H58" s="51">
        <f>+IF((IF(AND(J58&lt;2007,K58&gt;'הנחות עבודה'!$D$39-0.01),$I$1,+G58*C58+(1-G58)*$I$1)),+IF(AND(J58&lt;2007,K58&gt;'הנחות עבודה'!$D$39-0.01),$I$1,+G58*C58+(1-G58)*$I$1))-N58+IF($S$2="כן",R58,0)</f>
        <v>6.2852277096862211E-2</v>
      </c>
      <c r="I58" s="51">
        <f>+IF(AND(J58&lt;2007,K58&gt;'הנחות עבודה'!$D$38-0.01),$K$1,+G58*D58+(1-G58)*$K$1)+IF($S$2="כן",S58,0)</f>
        <v>1.4999999999999999E-2</v>
      </c>
      <c r="J58">
        <f>+HLOOKUP(A58,'[6]נתוני תאגידים'!$1:$6,6,0)</f>
        <v>2012</v>
      </c>
      <c r="K58">
        <f>+ROUND(HLOOKUP(A58,'[6]נתוני תאגידים'!$1:$424,392,0),0)</f>
        <v>7</v>
      </c>
      <c r="L58">
        <f>+HLOOKUP(טבלה112[[#This Row],[עמודה1]],'נתוני תאגידים'!$1:$891,856,0)</f>
        <v>4300.45</v>
      </c>
      <c r="M58" s="17">
        <f>+L58/HLOOKUP(טבלה112[[#This Row],[עמודה1]],'נתוני תאגידים'!$1:$891,753,0)</f>
        <v>0.35738614515688977</v>
      </c>
      <c r="N58">
        <f t="shared" si="2"/>
        <v>7.1477229031377959E-3</v>
      </c>
      <c r="O58">
        <f>+HLOOKUP(טבלה112[[#This Row],[עמודה1]],'נתוני תאגידים'!$1:$891,479,0)</f>
        <v>1</v>
      </c>
      <c r="P58" t="str">
        <f t="shared" si="0"/>
        <v>חזק מאוד</v>
      </c>
      <c r="Q58" s="51">
        <f>+VLOOKUP(A58,'[12]פחת מים וגביה'!$A$1:$P$65536,8,0)</f>
        <v>5.9695122740000009E-2</v>
      </c>
      <c r="R58" s="79">
        <f>+HLOOKUP(טבלה112[[#This Row],[עמודה1]],'נתוני תאגידים'!$1:$891,588,0)</f>
        <v>0</v>
      </c>
      <c r="S58" s="51">
        <f>+HLOOKUP(טבלה112[[#This Row],[עמודה1]],'נתוני תאגידים'!$1:$891,613,0)</f>
        <v>0</v>
      </c>
    </row>
    <row r="59" spans="1:21" x14ac:dyDescent="0.2">
      <c r="A59" s="1245" t="s">
        <v>274</v>
      </c>
      <c r="B59" t="str">
        <f>+HLOOKUP(A59,'[6]נתוני תאגידים'!$1:$476,466,0)</f>
        <v xml:space="preserve">חזק </v>
      </c>
      <c r="C59" s="33">
        <f>+VLOOKUP(P59,'הנחות עבודה'!$C$62:$H$72,4,0)</f>
        <v>7.0000000000000007E-2</v>
      </c>
      <c r="D59" s="33">
        <f>+VLOOKUP(טבלה112[[#This Row],[עמודה2]],'הנחות עבודה'!$C$69:$H$72,4,0)</f>
        <v>1.4999999999999999E-2</v>
      </c>
      <c r="E59" s="2">
        <f>+HLOOKUP(טבלה112[[#This Row],[עמודה1]],'נתוני תאגידים'!$1:$891,753,0)-HLOOKUP(טבלה112[[#This Row],[עמודה1]],'נתוני תאגידים'!$1:$891,788,0)</f>
        <v>10060.388999999999</v>
      </c>
      <c r="F59" s="2">
        <f>+HLOOKUP(טבלה112[[#This Row],[עמודה1]],'נתוני תאגידים'!$1:$891,822,0)</f>
        <v>6870.5709999999999</v>
      </c>
      <c r="G59" s="651">
        <f>+F59/E59</f>
        <v>0.68293293629103213</v>
      </c>
      <c r="H59" s="51">
        <f>+IF((IF(AND(J59&lt;2007,K59&gt;'הנחות עבודה'!$D$39-0.01),$I$1,+G59*C59+(1-G59)*$I$1)),+IF(AND(J59&lt;2007,K59&gt;'הנחות עבודה'!$D$39-0.01),$I$1,+G59*C59+(1-G59)*$I$1))-N59+IF($S$2="כן",R59,0)</f>
        <v>0.10403213530142984</v>
      </c>
      <c r="I59" s="51">
        <f>+IF(AND(J59&lt;2007,K59&gt;'הנחות עבודה'!$D$38-0.01),$K$1,+G59*D59+(1-G59)*$K$1)+IF($S$2="כן",S59,0)</f>
        <v>0.05</v>
      </c>
      <c r="J59">
        <f>+HLOOKUP(A59,'[6]נתוני תאגידים'!$1:$6,6,0)</f>
        <v>2016</v>
      </c>
      <c r="K59">
        <f>+ROUND(HLOOKUP(A59,'[6]נתוני תאגידים'!$1:$424,392,0),0)</f>
        <v>6</v>
      </c>
      <c r="L59">
        <f>+HLOOKUP(טבלה112[[#This Row],[עמודה1]],'נתוני תאגידים'!$1:$891,856,0)</f>
        <v>3201</v>
      </c>
      <c r="M59" s="17">
        <f>+L59/HLOOKUP(טבלה112[[#This Row],[עמודה1]],'נתוני תאגידים'!$1:$891,753,0)</f>
        <v>0.29839323492850822</v>
      </c>
      <c r="N59">
        <f t="shared" ref="N59" si="3">+$N$1*M59</f>
        <v>5.9678646985701642E-3</v>
      </c>
      <c r="O59">
        <f>+HLOOKUP(טבלה112[[#This Row],[עמודה1]],'נתוני תאגידים'!$1:$891,479,0)</f>
        <v>1</v>
      </c>
      <c r="P59" t="str">
        <f t="shared" ref="P59" si="4">+IF(AND(O59&gt;1,$P$1=B59),$P$2,B59)</f>
        <v xml:space="preserve">חזק </v>
      </c>
      <c r="Q59" s="51" t="e">
        <f>+VLOOKUP(A59,'[12]פחת מים וגביה'!$A$1:$P$65536,8,0)</f>
        <v>#N/A</v>
      </c>
      <c r="R59" s="79">
        <f>+HLOOKUP(טבלה112[[#This Row],[עמודה1]],'נתוני תאגידים'!$1:$891,588,0)</f>
        <v>3.9999999999999994E-2</v>
      </c>
      <c r="S59" s="51">
        <f>+HLOOKUP(טבלה112[[#This Row],[עמודה1]],'נתוני תאגידים'!$1:$891,613,0)</f>
        <v>3.5000000000000003E-2</v>
      </c>
    </row>
    <row r="60" spans="1:21" hidden="1" x14ac:dyDescent="0.2">
      <c r="C60" t="s">
        <v>1092</v>
      </c>
      <c r="D60" t="s">
        <v>1092</v>
      </c>
      <c r="E60" s="6"/>
    </row>
    <row r="61" spans="1:21" hidden="1" x14ac:dyDescent="0.2">
      <c r="C61" t="s">
        <v>997</v>
      </c>
      <c r="D61" t="s">
        <v>997</v>
      </c>
    </row>
    <row r="62" spans="1:21" x14ac:dyDescent="0.2">
      <c r="C62" s="38"/>
      <c r="D62" s="38" t="s">
        <v>192</v>
      </c>
      <c r="E62" s="38" t="s">
        <v>496</v>
      </c>
      <c r="G62" s="79"/>
    </row>
    <row r="63" spans="1:21" x14ac:dyDescent="0.2">
      <c r="C63" s="38" t="s">
        <v>378</v>
      </c>
      <c r="D63" s="434">
        <v>0.1166</v>
      </c>
      <c r="E63" s="434">
        <v>6.6699999999999995E-2</v>
      </c>
      <c r="G63" s="1062"/>
    </row>
    <row r="64" spans="1:21" x14ac:dyDescent="0.2">
      <c r="A64" s="1295"/>
      <c r="C64" s="38" t="s">
        <v>984</v>
      </c>
      <c r="D64" s="434">
        <f>+D63+1%</f>
        <v>0.12659999999999999</v>
      </c>
      <c r="E64" s="434">
        <v>6.6699999999999995E-2</v>
      </c>
    </row>
    <row r="65" spans="3:5" x14ac:dyDescent="0.2">
      <c r="C65" s="38" t="s">
        <v>1496</v>
      </c>
      <c r="D65" s="419">
        <v>7.0000000000000007E-2</v>
      </c>
      <c r="E65" s="433">
        <v>1.4999999999999999E-2</v>
      </c>
    </row>
    <row r="66" spans="3:5" x14ac:dyDescent="0.2">
      <c r="C66" s="38" t="s">
        <v>558</v>
      </c>
      <c r="D66" s="419">
        <v>7.0000000000000007E-2</v>
      </c>
      <c r="E66" s="433">
        <v>1.4999999999999999E-2</v>
      </c>
    </row>
    <row r="68" spans="3:5" x14ac:dyDescent="0.2">
      <c r="C68" s="38"/>
      <c r="D68" s="38" t="s">
        <v>192</v>
      </c>
      <c r="E68" s="38" t="s">
        <v>496</v>
      </c>
    </row>
    <row r="69" spans="3:5" x14ac:dyDescent="0.2">
      <c r="C69" s="38" t="s">
        <v>378</v>
      </c>
      <c r="D69" s="434">
        <v>0.1166</v>
      </c>
      <c r="E69" s="434">
        <v>6.6699999999999995E-2</v>
      </c>
    </row>
    <row r="70" spans="3:5" x14ac:dyDescent="0.2">
      <c r="C70" s="38" t="s">
        <v>1496</v>
      </c>
      <c r="D70" s="419">
        <v>7.0000000000000007E-2</v>
      </c>
      <c r="E70" s="433">
        <v>1.4999999999999999E-2</v>
      </c>
    </row>
    <row r="71" spans="3:5" x14ac:dyDescent="0.2">
      <c r="C71" s="38" t="s">
        <v>558</v>
      </c>
      <c r="D71" s="419">
        <v>7.0000000000000007E-2</v>
      </c>
      <c r="E71" s="433">
        <v>1.4999999999999999E-2</v>
      </c>
    </row>
  </sheetData>
  <dataValidations disablePrompts="1" count="2">
    <dataValidation type="list" allowBlank="1" showInputMessage="1" showErrorMessage="1" sqref="C1:C2">
      <formula1>$C$60:$C$61</formula1>
    </dataValidation>
    <dataValidation type="list" allowBlank="1" showInputMessage="1" showErrorMessage="1" sqref="S2">
      <formula1>$T$1:$T$2</formula1>
    </dataValidation>
  </dataValidations>
  <pageMargins left="0.7" right="0.7" top="0.75" bottom="0.75" header="0.3" footer="0.3"/>
  <pageSetup paperSize="9"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9"/>
  <dimension ref="A3:O73"/>
  <sheetViews>
    <sheetView rightToLeft="1" workbookViewId="0">
      <selection activeCell="E49" sqref="E49"/>
    </sheetView>
  </sheetViews>
  <sheetFormatPr defaultRowHeight="12.75" x14ac:dyDescent="0.2"/>
  <cols>
    <col min="1" max="1" width="17.28515625" bestFit="1" customWidth="1"/>
    <col min="2" max="2" width="20.42578125" customWidth="1"/>
    <col min="4" max="4" width="12.7109375" bestFit="1" customWidth="1"/>
    <col min="5" max="5" width="12.85546875" bestFit="1" customWidth="1"/>
    <col min="10" max="10" width="16.28515625" bestFit="1" customWidth="1"/>
    <col min="11" max="11" width="10.28515625" bestFit="1" customWidth="1"/>
    <col min="12" max="12" width="8.7109375" bestFit="1" customWidth="1"/>
    <col min="13" max="13" width="27.28515625" bestFit="1" customWidth="1"/>
    <col min="15" max="15" width="12.7109375" customWidth="1"/>
  </cols>
  <sheetData>
    <row r="3" spans="1:15" ht="15" x14ac:dyDescent="0.25">
      <c r="A3" s="549"/>
      <c r="B3" s="549"/>
      <c r="C3" s="549"/>
      <c r="D3" s="602" t="s">
        <v>811</v>
      </c>
      <c r="E3" s="602" t="s">
        <v>812</v>
      </c>
      <c r="F3" s="602" t="s">
        <v>813</v>
      </c>
      <c r="G3" s="602" t="s">
        <v>193</v>
      </c>
      <c r="H3" s="438"/>
      <c r="I3" s="549"/>
      <c r="J3" s="617" t="s">
        <v>504</v>
      </c>
      <c r="K3" s="617" t="s">
        <v>811</v>
      </c>
      <c r="L3" s="617" t="s">
        <v>812</v>
      </c>
      <c r="M3" s="617" t="s">
        <v>821</v>
      </c>
      <c r="N3" s="549"/>
      <c r="O3" s="355"/>
    </row>
    <row r="4" spans="1:15" x14ac:dyDescent="0.2">
      <c r="A4" s="38">
        <v>1</v>
      </c>
      <c r="B4" s="54" t="s">
        <v>455</v>
      </c>
      <c r="C4" s="54"/>
      <c r="D4" s="494">
        <f>+HLOOKUP(B4,$B$32:$N$54,23,0)</f>
        <v>366359.424</v>
      </c>
      <c r="E4" s="353">
        <f>+VLOOKUP(B4,$J$3:$N$16,3,0)</f>
        <v>119438</v>
      </c>
      <c r="F4" s="354">
        <f t="shared" ref="F4:F17" si="0">+E4/D4</f>
        <v>0.3260131777038715</v>
      </c>
      <c r="G4" s="419">
        <f t="shared" ref="G4:G13" si="1">1-F4</f>
        <v>0.6739868222961285</v>
      </c>
      <c r="H4" s="38"/>
      <c r="I4" s="38">
        <v>1</v>
      </c>
      <c r="J4" s="54" t="s">
        <v>440</v>
      </c>
      <c r="K4" s="353">
        <f>+HLOOKUP(J4,'נתוני תאגידים'!$1:$173,62,0)+HLOOKUP(J4,'נתוני תאגידים'!$1:$173,98,0)</f>
        <v>0</v>
      </c>
      <c r="L4" s="353">
        <f>1461+38594</f>
        <v>40055</v>
      </c>
      <c r="M4" s="38" t="s">
        <v>820</v>
      </c>
      <c r="N4" s="354" t="e">
        <f t="shared" ref="N4:N16" si="2">+L4/K4</f>
        <v>#DIV/0!</v>
      </c>
      <c r="O4" s="17"/>
    </row>
    <row r="5" spans="1:15" x14ac:dyDescent="0.2">
      <c r="A5" s="38">
        <v>2</v>
      </c>
      <c r="B5" s="54" t="s">
        <v>454</v>
      </c>
      <c r="C5" s="54"/>
      <c r="D5" s="494">
        <f t="shared" ref="D5:D16" si="3">+HLOOKUP(B5,$B$32:$N$54,23,0)</f>
        <v>273840</v>
      </c>
      <c r="E5" s="353">
        <f>+VLOOKUP(B5,$J$3:$N$16,3,0)</f>
        <v>69594</v>
      </c>
      <c r="F5" s="354">
        <f t="shared" si="0"/>
        <v>0.2541411042944785</v>
      </c>
      <c r="G5" s="419">
        <f t="shared" si="1"/>
        <v>0.74585889570552144</v>
      </c>
      <c r="H5" s="38"/>
      <c r="I5" s="38">
        <v>2</v>
      </c>
      <c r="J5" s="54" t="s">
        <v>457</v>
      </c>
      <c r="K5" s="353">
        <f>+HLOOKUP(J5,'נתוני תאגידים'!$1:$173,62,0)+HLOOKUP(J5,'נתוני תאגידים'!$1:$173,98,0)</f>
        <v>0</v>
      </c>
      <c r="L5" s="353">
        <v>33905</v>
      </c>
      <c r="M5" s="38" t="s">
        <v>819</v>
      </c>
      <c r="N5" s="354" t="e">
        <f t="shared" si="2"/>
        <v>#DIV/0!</v>
      </c>
      <c r="O5" s="17"/>
    </row>
    <row r="6" spans="1:15" x14ac:dyDescent="0.2">
      <c r="A6" s="38">
        <v>3</v>
      </c>
      <c r="B6" s="54" t="s">
        <v>257</v>
      </c>
      <c r="C6" s="54"/>
      <c r="D6" s="494">
        <f t="shared" si="3"/>
        <v>185233.24900000001</v>
      </c>
      <c r="E6" s="353">
        <f t="shared" ref="E6:E16" si="4">+VLOOKUP(B6,$J$3:$N$16,3,0)</f>
        <v>36954</v>
      </c>
      <c r="F6" s="354">
        <f t="shared" si="0"/>
        <v>0.19949982089878474</v>
      </c>
      <c r="G6" s="419">
        <f t="shared" si="1"/>
        <v>0.80050017910121529</v>
      </c>
      <c r="H6" s="38"/>
      <c r="I6" s="38">
        <v>3</v>
      </c>
      <c r="J6" s="54" t="s">
        <v>447</v>
      </c>
      <c r="K6" s="353">
        <f>+HLOOKUP(J6,'נתוני תאגידים'!$1:$173,62,0)+HLOOKUP(J6,'נתוני תאגידים'!$1:$173,98,0)</f>
        <v>0</v>
      </c>
      <c r="L6" s="353">
        <f>11927+23256</f>
        <v>35183</v>
      </c>
      <c r="M6" s="38" t="s">
        <v>231</v>
      </c>
      <c r="N6" s="354" t="e">
        <f t="shared" si="2"/>
        <v>#DIV/0!</v>
      </c>
      <c r="O6" s="17"/>
    </row>
    <row r="7" spans="1:15" x14ac:dyDescent="0.2">
      <c r="A7" s="38">
        <v>4</v>
      </c>
      <c r="B7" s="54" t="s">
        <v>441</v>
      </c>
      <c r="C7" s="54"/>
      <c r="D7" s="494">
        <f t="shared" si="3"/>
        <v>1034153.2709999999</v>
      </c>
      <c r="E7" s="353">
        <f t="shared" si="4"/>
        <v>291895</v>
      </c>
      <c r="F7" s="354">
        <f t="shared" si="0"/>
        <v>0.28225506623186036</v>
      </c>
      <c r="G7" s="419">
        <f t="shared" si="1"/>
        <v>0.71774493376813964</v>
      </c>
      <c r="H7" s="38"/>
      <c r="I7" s="38">
        <v>4</v>
      </c>
      <c r="J7" s="54" t="s">
        <v>828</v>
      </c>
      <c r="K7" s="353">
        <f>+HLOOKUP(J7,'נתוני תאגידים'!$1:$173,62,0)+HLOOKUP(J7,'נתוני תאגידים'!$1:$173,98,0)</f>
        <v>0</v>
      </c>
      <c r="L7" s="353">
        <f>44732+1054</f>
        <v>45786</v>
      </c>
      <c r="M7" s="38" t="s">
        <v>17</v>
      </c>
      <c r="N7" s="354" t="e">
        <f t="shared" si="2"/>
        <v>#DIV/0!</v>
      </c>
      <c r="O7" s="17"/>
    </row>
    <row r="8" spans="1:15" x14ac:dyDescent="0.2">
      <c r="A8" s="38">
        <v>5</v>
      </c>
      <c r="B8" s="54" t="s">
        <v>456</v>
      </c>
      <c r="C8" s="54"/>
      <c r="D8" s="494">
        <f t="shared" si="3"/>
        <v>196560.72100000002</v>
      </c>
      <c r="E8" s="353">
        <f t="shared" si="4"/>
        <v>56241</v>
      </c>
      <c r="F8" s="354">
        <f t="shared" si="0"/>
        <v>0.28612532409259933</v>
      </c>
      <c r="G8" s="419">
        <f t="shared" si="1"/>
        <v>0.71387467590740061</v>
      </c>
      <c r="H8" s="38"/>
      <c r="I8" s="38">
        <v>5</v>
      </c>
      <c r="J8" s="54" t="s">
        <v>448</v>
      </c>
      <c r="K8" s="353">
        <f>+HLOOKUP(J8,'נתוני תאגידים'!$1:$173,62,0)+HLOOKUP(J8,'נתוני תאגידים'!$1:$173,98,0)</f>
        <v>0</v>
      </c>
      <c r="L8" s="353">
        <v>81966</v>
      </c>
      <c r="M8" s="38" t="s">
        <v>101</v>
      </c>
      <c r="N8" s="354" t="e">
        <f t="shared" si="2"/>
        <v>#DIV/0!</v>
      </c>
      <c r="O8" s="17"/>
    </row>
    <row r="9" spans="1:15" x14ac:dyDescent="0.2">
      <c r="A9" s="38">
        <v>6</v>
      </c>
      <c r="B9" s="54" t="s">
        <v>448</v>
      </c>
      <c r="C9" s="54"/>
      <c r="D9" s="494">
        <f t="shared" si="3"/>
        <v>335847.18700000003</v>
      </c>
      <c r="E9" s="353">
        <f>+VLOOKUP(B9,$J$3:$N$16,3,0)</f>
        <v>81966</v>
      </c>
      <c r="F9" s="354">
        <f t="shared" si="0"/>
        <v>0.24405742603406111</v>
      </c>
      <c r="G9" s="419">
        <f t="shared" si="1"/>
        <v>0.75594257396593889</v>
      </c>
      <c r="H9" s="38"/>
      <c r="I9" s="38">
        <v>6</v>
      </c>
      <c r="J9" s="54" t="s">
        <v>443</v>
      </c>
      <c r="K9" s="353">
        <f>+HLOOKUP(J9,'נתוני תאגידים'!$1:$173,62,0)+HLOOKUP(J9,'נתוני תאגידים'!$1:$173,98,0)</f>
        <v>0</v>
      </c>
      <c r="L9" s="353">
        <v>14188</v>
      </c>
      <c r="M9" s="38" t="s">
        <v>818</v>
      </c>
      <c r="N9" s="354" t="e">
        <f t="shared" si="2"/>
        <v>#DIV/0!</v>
      </c>
      <c r="O9" s="17"/>
    </row>
    <row r="10" spans="1:15" x14ac:dyDescent="0.2">
      <c r="A10" s="38">
        <v>7</v>
      </c>
      <c r="B10" s="54" t="s">
        <v>443</v>
      </c>
      <c r="C10" s="54"/>
      <c r="D10" s="494">
        <f t="shared" si="3"/>
        <v>40972.112000000001</v>
      </c>
      <c r="E10" s="353">
        <f t="shared" si="4"/>
        <v>14188</v>
      </c>
      <c r="F10" s="354">
        <f t="shared" si="0"/>
        <v>0.34628432139402526</v>
      </c>
      <c r="G10" s="419">
        <f t="shared" si="1"/>
        <v>0.65371567860597479</v>
      </c>
      <c r="H10" s="38"/>
      <c r="I10" s="38">
        <v>7</v>
      </c>
      <c r="J10" s="54" t="s">
        <v>454</v>
      </c>
      <c r="K10" s="353">
        <f>+HLOOKUP(J10,'נתוני תאגידים'!$1:$173,62,0)+HLOOKUP(J10,'נתוני תאגידים'!$1:$173,98,0)</f>
        <v>0</v>
      </c>
      <c r="L10" s="353">
        <v>69594</v>
      </c>
      <c r="M10" s="38" t="s">
        <v>240</v>
      </c>
      <c r="N10" s="354" t="e">
        <f t="shared" si="2"/>
        <v>#DIV/0!</v>
      </c>
      <c r="O10" s="17"/>
    </row>
    <row r="11" spans="1:15" x14ac:dyDescent="0.2">
      <c r="A11" s="38">
        <v>8</v>
      </c>
      <c r="B11" s="54" t="s">
        <v>447</v>
      </c>
      <c r="C11" s="54"/>
      <c r="D11" s="494">
        <v>108776.30100000001</v>
      </c>
      <c r="E11" s="353">
        <f t="shared" si="4"/>
        <v>35183</v>
      </c>
      <c r="F11" s="354">
        <f t="shared" si="0"/>
        <v>0.32344361479988182</v>
      </c>
      <c r="G11" s="419">
        <f t="shared" si="1"/>
        <v>0.67655638520011818</v>
      </c>
      <c r="H11" s="38"/>
      <c r="I11" s="38">
        <v>8</v>
      </c>
      <c r="J11" s="54" t="s">
        <v>257</v>
      </c>
      <c r="K11" s="353">
        <f>+HLOOKUP(J11,'נתוני תאגידים'!$1:$173,62,0)+HLOOKUP(J11,'נתוני תאגידים'!$1:$173,98,0)</f>
        <v>0</v>
      </c>
      <c r="L11" s="353">
        <f>13817+23137</f>
        <v>36954</v>
      </c>
      <c r="M11" s="38" t="s">
        <v>817</v>
      </c>
      <c r="N11" s="354" t="e">
        <f t="shared" si="2"/>
        <v>#DIV/0!</v>
      </c>
      <c r="O11" s="17"/>
    </row>
    <row r="12" spans="1:15" x14ac:dyDescent="0.2">
      <c r="A12" s="38">
        <v>9</v>
      </c>
      <c r="B12" s="54" t="s">
        <v>440</v>
      </c>
      <c r="C12" s="54"/>
      <c r="D12" s="494">
        <f>+HLOOKUP(B12,$B$32:$N$54,23,0)</f>
        <v>102473.253</v>
      </c>
      <c r="E12" s="353">
        <f t="shared" si="4"/>
        <v>40055</v>
      </c>
      <c r="F12" s="354">
        <f t="shared" si="0"/>
        <v>0.39088248715984453</v>
      </c>
      <c r="G12" s="419">
        <v>0.6</v>
      </c>
      <c r="H12" s="38"/>
      <c r="I12" s="38">
        <v>9</v>
      </c>
      <c r="J12" s="54" t="s">
        <v>441</v>
      </c>
      <c r="K12" s="353">
        <f>+HLOOKUP(J12,'נתוני תאגידים'!$1:$173,62,0)+HLOOKUP(J12,'נתוני תאגידים'!$1:$173,98,0)</f>
        <v>0</v>
      </c>
      <c r="L12" s="353">
        <f>+M29</f>
        <v>291895</v>
      </c>
      <c r="M12" s="38" t="s">
        <v>816</v>
      </c>
      <c r="N12" s="354" t="e">
        <f t="shared" si="2"/>
        <v>#DIV/0!</v>
      </c>
      <c r="O12" s="17"/>
    </row>
    <row r="13" spans="1:15" x14ac:dyDescent="0.2">
      <c r="A13" s="38">
        <v>10</v>
      </c>
      <c r="B13" s="54" t="s">
        <v>453</v>
      </c>
      <c r="C13" s="54"/>
      <c r="D13" s="494">
        <f t="shared" si="3"/>
        <v>176155.397</v>
      </c>
      <c r="E13" s="353">
        <f t="shared" si="4"/>
        <v>72766</v>
      </c>
      <c r="F13" s="354">
        <f t="shared" si="0"/>
        <v>0.4130784593559742</v>
      </c>
      <c r="G13" s="419">
        <f t="shared" si="1"/>
        <v>0.5869215406440258</v>
      </c>
      <c r="H13" s="38"/>
      <c r="I13" s="38">
        <v>10</v>
      </c>
      <c r="J13" s="54" t="s">
        <v>453</v>
      </c>
      <c r="K13" s="353">
        <f>+HLOOKUP(J13,'נתוני תאגידים'!$1:$173,62,0)+HLOOKUP(J13,'נתוני תאגידים'!$1:$173,98,0)</f>
        <v>0</v>
      </c>
      <c r="L13" s="353">
        <v>72766</v>
      </c>
      <c r="M13" s="38" t="s">
        <v>815</v>
      </c>
      <c r="N13" s="354" t="e">
        <f t="shared" si="2"/>
        <v>#DIV/0!</v>
      </c>
      <c r="O13" s="17"/>
    </row>
    <row r="14" spans="1:15" x14ac:dyDescent="0.2">
      <c r="A14" s="38">
        <v>11</v>
      </c>
      <c r="B14" s="54" t="s">
        <v>452</v>
      </c>
      <c r="C14" s="54"/>
      <c r="D14" s="494">
        <f t="shared" si="3"/>
        <v>330912.29700000002</v>
      </c>
      <c r="E14" s="353">
        <f t="shared" si="4"/>
        <v>93099</v>
      </c>
      <c r="F14" s="354">
        <f>+E14/D14</f>
        <v>0.28134040603513744</v>
      </c>
      <c r="G14" s="419">
        <v>0.6</v>
      </c>
      <c r="H14" s="38"/>
      <c r="I14" s="38">
        <v>11</v>
      </c>
      <c r="J14" s="54" t="s">
        <v>452</v>
      </c>
      <c r="K14" s="353">
        <f>+HLOOKUP(J14,'נתוני תאגידים'!$1:$173,62,0)+HLOOKUP(J14,'נתוני תאגידים'!$1:$173,98,0)</f>
        <v>0</v>
      </c>
      <c r="L14" s="353">
        <v>93099</v>
      </c>
      <c r="M14" s="38" t="s">
        <v>7</v>
      </c>
      <c r="N14" s="354" t="e">
        <f t="shared" si="2"/>
        <v>#DIV/0!</v>
      </c>
      <c r="O14" s="17"/>
    </row>
    <row r="15" spans="1:15" x14ac:dyDescent="0.2">
      <c r="A15" s="38">
        <v>12</v>
      </c>
      <c r="B15" s="54" t="s">
        <v>457</v>
      </c>
      <c r="C15" s="54"/>
      <c r="D15" s="494">
        <f t="shared" si="3"/>
        <v>82852.558000000005</v>
      </c>
      <c r="E15" s="353">
        <f t="shared" si="4"/>
        <v>33905</v>
      </c>
      <c r="F15" s="354">
        <f t="shared" si="0"/>
        <v>0.40922091989000509</v>
      </c>
      <c r="G15" s="419">
        <v>0.6</v>
      </c>
      <c r="H15" s="38"/>
      <c r="I15" s="38">
        <v>12</v>
      </c>
      <c r="J15" s="54" t="s">
        <v>456</v>
      </c>
      <c r="K15" s="353">
        <f>+HLOOKUP(J15,'נתוני תאגידים'!$1:$173,62,0)+HLOOKUP(J15,'נתוני תאגידים'!$1:$173,98,0)</f>
        <v>0</v>
      </c>
      <c r="L15" s="353">
        <f>24979+30283+979</f>
        <v>56241</v>
      </c>
      <c r="M15" s="38" t="s">
        <v>197</v>
      </c>
      <c r="N15" s="354" t="e">
        <f t="shared" si="2"/>
        <v>#DIV/0!</v>
      </c>
      <c r="O15" s="17"/>
    </row>
    <row r="16" spans="1:15" x14ac:dyDescent="0.2">
      <c r="A16" s="38">
        <v>13</v>
      </c>
      <c r="B16" s="54" t="s">
        <v>828</v>
      </c>
      <c r="C16" s="54"/>
      <c r="D16" s="494">
        <f t="shared" si="3"/>
        <v>111832.226</v>
      </c>
      <c r="E16" s="353">
        <f t="shared" si="4"/>
        <v>45786</v>
      </c>
      <c r="F16" s="354">
        <f t="shared" si="0"/>
        <v>0.40941687058969928</v>
      </c>
      <c r="G16" s="419">
        <f>1-F16</f>
        <v>0.59058312941030078</v>
      </c>
      <c r="H16" s="38"/>
      <c r="I16" s="38">
        <v>13</v>
      </c>
      <c r="J16" s="54" t="s">
        <v>455</v>
      </c>
      <c r="K16" s="353">
        <f>+HLOOKUP(J16,'נתוני תאגידים'!$1:$173,62,0)+HLOOKUP(J16,'נתוני תאגידים'!$1:$173,98,0)</f>
        <v>0</v>
      </c>
      <c r="L16" s="38">
        <f>45673+10332+63433</f>
        <v>119438</v>
      </c>
      <c r="M16" s="54" t="s">
        <v>814</v>
      </c>
      <c r="N16" s="354" t="e">
        <f t="shared" si="2"/>
        <v>#DIV/0!</v>
      </c>
      <c r="O16" s="17"/>
    </row>
    <row r="17" spans="1:15" x14ac:dyDescent="0.2">
      <c r="A17" s="714">
        <v>14</v>
      </c>
      <c r="B17" s="613" t="s">
        <v>951</v>
      </c>
      <c r="D17" s="715">
        <f>+HLOOKUP(B17,$B$32:$O$54,23,0)</f>
        <v>219948.45200000002</v>
      </c>
      <c r="E17" s="716">
        <f>+VLOOKUP(B17,$J$3:$O$17,3,0)</f>
        <v>69363.406100000007</v>
      </c>
      <c r="F17" s="717">
        <f t="shared" si="0"/>
        <v>0.31536210175282342</v>
      </c>
      <c r="G17" s="419">
        <f>1-F17</f>
        <v>0.68463789824717658</v>
      </c>
      <c r="H17" s="38"/>
      <c r="I17" s="38">
        <v>14</v>
      </c>
      <c r="J17" t="str">
        <f>+B17</f>
        <v>מי מודיעין מורחב</v>
      </c>
      <c r="L17" s="6">
        <f>+L11+(D17-D6)*0.4+D6*0.1</f>
        <v>69363.406100000007</v>
      </c>
    </row>
    <row r="19" spans="1:15" x14ac:dyDescent="0.2">
      <c r="B19" s="1"/>
      <c r="C19" s="1"/>
    </row>
    <row r="20" spans="1:15" x14ac:dyDescent="0.2">
      <c r="B20" s="1"/>
      <c r="C20" s="1"/>
    </row>
    <row r="24" spans="1:15" x14ac:dyDescent="0.2">
      <c r="J24" t="s">
        <v>251</v>
      </c>
      <c r="L24" t="s">
        <v>827</v>
      </c>
    </row>
    <row r="25" spans="1:15" x14ac:dyDescent="0.2">
      <c r="J25" t="s">
        <v>823</v>
      </c>
      <c r="K25">
        <v>8106</v>
      </c>
      <c r="M25" s="2">
        <f>+K25</f>
        <v>8106</v>
      </c>
    </row>
    <row r="26" spans="1:15" x14ac:dyDescent="0.2">
      <c r="J26" t="s">
        <v>824</v>
      </c>
      <c r="K26">
        <v>2629</v>
      </c>
      <c r="M26" s="2">
        <f>+K26</f>
        <v>2629</v>
      </c>
    </row>
    <row r="27" spans="1:15" x14ac:dyDescent="0.2">
      <c r="J27" t="s">
        <v>825</v>
      </c>
      <c r="K27">
        <v>83948</v>
      </c>
      <c r="M27" s="2">
        <f>+K27</f>
        <v>83948</v>
      </c>
    </row>
    <row r="28" spans="1:15" x14ac:dyDescent="0.2">
      <c r="J28" t="s">
        <v>826</v>
      </c>
      <c r="K28">
        <f>200293-1546-1535</f>
        <v>197212</v>
      </c>
      <c r="L28" s="12">
        <v>1</v>
      </c>
      <c r="M28" s="2">
        <f>+L28*K28</f>
        <v>197212</v>
      </c>
    </row>
    <row r="29" spans="1:15" x14ac:dyDescent="0.2">
      <c r="K29">
        <f>SUM(K25:K28)</f>
        <v>291895</v>
      </c>
      <c r="M29" s="6">
        <f>SUM(M25:M28)</f>
        <v>291895</v>
      </c>
    </row>
    <row r="30" spans="1:15" x14ac:dyDescent="0.2">
      <c r="C30" s="1"/>
    </row>
    <row r="31" spans="1:15" x14ac:dyDescent="0.2">
      <c r="C31" s="1"/>
    </row>
    <row r="32" spans="1:15" ht="114.75" x14ac:dyDescent="0.2">
      <c r="A32" s="611"/>
      <c r="B32" s="611" t="s">
        <v>455</v>
      </c>
      <c r="C32" s="611" t="s">
        <v>454</v>
      </c>
      <c r="D32" s="611" t="s">
        <v>257</v>
      </c>
      <c r="E32" s="611" t="s">
        <v>441</v>
      </c>
      <c r="F32" s="611" t="s">
        <v>456</v>
      </c>
      <c r="G32" s="611" t="s">
        <v>448</v>
      </c>
      <c r="H32" s="611" t="s">
        <v>443</v>
      </c>
      <c r="I32" s="611" t="s">
        <v>447</v>
      </c>
      <c r="J32" s="611" t="s">
        <v>440</v>
      </c>
      <c r="K32" s="611" t="s">
        <v>453</v>
      </c>
      <c r="L32" s="611" t="s">
        <v>452</v>
      </c>
      <c r="M32" s="611" t="s">
        <v>457</v>
      </c>
      <c r="N32" s="611" t="s">
        <v>828</v>
      </c>
      <c r="O32" s="718" t="s">
        <v>951</v>
      </c>
    </row>
    <row r="33" spans="1:15" ht="25.5" x14ac:dyDescent="0.2">
      <c r="A33" s="611"/>
      <c r="B33" s="563" t="s">
        <v>144</v>
      </c>
      <c r="C33" s="563" t="s">
        <v>100</v>
      </c>
      <c r="D33" s="563" t="s">
        <v>104</v>
      </c>
      <c r="E33" s="38" t="s">
        <v>64</v>
      </c>
      <c r="F33" s="38" t="s">
        <v>1</v>
      </c>
      <c r="G33" s="54" t="s">
        <v>101</v>
      </c>
      <c r="H33" s="54" t="s">
        <v>136</v>
      </c>
      <c r="I33" s="38" t="s">
        <v>103</v>
      </c>
      <c r="J33" s="38" t="s">
        <v>140</v>
      </c>
      <c r="K33" s="54" t="s">
        <v>61</v>
      </c>
      <c r="L33" s="54" t="s">
        <v>7</v>
      </c>
      <c r="M33" s="38" t="s">
        <v>16</v>
      </c>
      <c r="N33" s="38" t="s">
        <v>17</v>
      </c>
      <c r="O33" s="563" t="s">
        <v>104</v>
      </c>
    </row>
    <row r="34" spans="1:15" x14ac:dyDescent="0.2">
      <c r="A34" s="611"/>
      <c r="B34" s="38"/>
      <c r="C34" s="38"/>
      <c r="D34" s="38"/>
      <c r="E34" s="38"/>
      <c r="F34" s="38"/>
      <c r="G34" s="38"/>
      <c r="H34" s="38"/>
      <c r="I34" s="38"/>
      <c r="J34" s="38" t="s">
        <v>52</v>
      </c>
      <c r="K34" s="38" t="s">
        <v>4</v>
      </c>
      <c r="L34" s="38"/>
      <c r="M34" s="38" t="s">
        <v>48</v>
      </c>
      <c r="N34" s="38"/>
      <c r="O34" s="714" t="s">
        <v>948</v>
      </c>
    </row>
    <row r="35" spans="1:15" x14ac:dyDescent="0.2">
      <c r="A35" s="611"/>
      <c r="B35" s="38"/>
      <c r="C35" s="38"/>
      <c r="D35" s="38"/>
      <c r="E35" s="38"/>
      <c r="F35" s="38"/>
      <c r="G35" s="38"/>
      <c r="H35" s="38"/>
      <c r="I35" s="38"/>
      <c r="J35" s="38" t="s">
        <v>56</v>
      </c>
      <c r="K35" s="38"/>
      <c r="L35" s="38"/>
      <c r="M35" s="38" t="s">
        <v>18</v>
      </c>
      <c r="N35" s="38"/>
    </row>
    <row r="36" spans="1:15" x14ac:dyDescent="0.2">
      <c r="A36" s="611"/>
      <c r="B36" s="38"/>
      <c r="C36" s="38"/>
      <c r="D36" s="38"/>
      <c r="E36" s="38"/>
      <c r="F36" s="38"/>
      <c r="G36" s="38"/>
      <c r="H36" s="38"/>
      <c r="I36" s="38"/>
      <c r="J36" s="38"/>
      <c r="K36" s="38"/>
      <c r="L36" s="38"/>
      <c r="M36" s="38"/>
      <c r="N36" s="38"/>
    </row>
    <row r="37" spans="1:15" x14ac:dyDescent="0.2">
      <c r="A37" s="611"/>
      <c r="B37" s="38"/>
      <c r="C37" s="38"/>
      <c r="D37" s="38"/>
      <c r="E37" s="38"/>
      <c r="F37" s="38"/>
      <c r="G37" s="38"/>
      <c r="H37" s="38"/>
      <c r="I37" s="38"/>
      <c r="J37" s="38"/>
      <c r="K37" s="38"/>
      <c r="L37" s="38"/>
      <c r="M37" s="38"/>
      <c r="N37" s="38"/>
    </row>
    <row r="38" spans="1:15" x14ac:dyDescent="0.2">
      <c r="A38" s="611"/>
      <c r="B38" s="38"/>
      <c r="C38" s="38"/>
      <c r="D38" s="38"/>
      <c r="E38" s="38"/>
      <c r="F38" s="38"/>
      <c r="G38" s="38"/>
      <c r="H38" s="38"/>
      <c r="I38" s="38"/>
      <c r="J38" s="38"/>
      <c r="K38" s="38"/>
      <c r="L38" s="38"/>
      <c r="M38" s="38"/>
      <c r="N38" s="38"/>
    </row>
    <row r="39" spans="1:15" x14ac:dyDescent="0.2">
      <c r="A39" s="611" t="s">
        <v>829</v>
      </c>
      <c r="B39" s="353">
        <f>+IFERROR(HLOOKUP(B33,'סקרי נכסים-יתרות פתיחה'!$2:$76,30,0)/1000,0)</f>
        <v>217086.37400000001</v>
      </c>
      <c r="C39" s="353">
        <f>+IFERROR(HLOOKUP(C33,'סקרי נכסים-יתרות פתיחה'!$2:$76,30,0)/1000,0)</f>
        <v>200956.826</v>
      </c>
      <c r="D39" s="353">
        <f>+IFERROR(HLOOKUP(D33,'סקרי נכסים-יתרות פתיחה'!$2:$76,30,0)/1000,0)</f>
        <v>101801.19100000001</v>
      </c>
      <c r="E39" s="353">
        <f>+IFERROR(HLOOKUP(E33,'סקרי נכסים-יתרות פתיחה'!$2:$76,30,0)/1000,0)</f>
        <v>689961.745</v>
      </c>
      <c r="F39" s="353">
        <f>+IFERROR(HLOOKUP(F33,'סקרי נכסים-יתרות פתיחה'!$2:$76,30,0)/1000,0)</f>
        <v>80522.429000000004</v>
      </c>
      <c r="G39" s="353">
        <f>+IFERROR(HLOOKUP(G33,'סקרי נכסים-יתרות פתיחה'!$2:$76,30,0)/1000,0)</f>
        <v>166030.193</v>
      </c>
      <c r="H39" s="353">
        <f>+IFERROR(HLOOKUP(H33,'סקרי נכסים-יתרות פתיחה'!$2:$76,30,0)/1000,0)</f>
        <v>23840.078000000001</v>
      </c>
      <c r="I39" s="353">
        <f>+IFERROR(HLOOKUP(I33,'סקרי נכסים-יתרות פתיחה'!$2:$76,30,0)/1000,0)</f>
        <v>48792.707000000002</v>
      </c>
      <c r="J39" s="353">
        <f>+IFERROR(HLOOKUP(J33,'סקרי נכסים-יתרות פתיחה'!$2:$76,30,0)/1000,0)</f>
        <v>10160.072</v>
      </c>
      <c r="K39" s="353">
        <f>+IFERROR(HLOOKUP(K33,'סקרי נכסים-יתרות פתיחה'!$2:$76,30,0)/1000,0)</f>
        <v>127755.58199999999</v>
      </c>
      <c r="L39" s="353">
        <f>+IFERROR(HLOOKUP(L33,'סקרי נכסים-יתרות פתיחה'!$2:$76,30,0)/1000,0)</f>
        <v>149010.19399999999</v>
      </c>
      <c r="M39" s="353">
        <f>+IFERROR(HLOOKUP(M33,'סקרי נכסים-יתרות פתיחה'!$2:$76,30,0)/1000,0)</f>
        <v>13989.859</v>
      </c>
      <c r="N39" s="353">
        <f>+IFERROR(HLOOKUP(N33,'סקרי נכסים-יתרות פתיחה'!$2:$76,30,0)/1000,0)</f>
        <v>74186.039000000004</v>
      </c>
      <c r="O39" s="6">
        <f>+IFERROR(HLOOKUP(O33,'סקרי נכסים-יתרות פתיחה'!$2:$76,30,0)/1000,0)</f>
        <v>101801.19100000001</v>
      </c>
    </row>
    <row r="40" spans="1:15" x14ac:dyDescent="0.2">
      <c r="A40" s="611"/>
      <c r="B40" s="353">
        <f>+IFERROR(HLOOKUP(B34,'סקרי נכסים-יתרות פתיחה'!$2:$76,30,0)/1000,0)</f>
        <v>0</v>
      </c>
      <c r="C40" s="353">
        <f>+IFERROR(HLOOKUP(C34,'סקרי נכסים-יתרות פתיחה'!$2:$76,30,0)/1000,0)</f>
        <v>0</v>
      </c>
      <c r="D40" s="353">
        <f>+IFERROR(HLOOKUP(D34,'סקרי נכסים-יתרות פתיחה'!$2:$76,30,0)/1000,0)</f>
        <v>0</v>
      </c>
      <c r="E40" s="353">
        <f>+IFERROR(HLOOKUP(E34,'סקרי נכסים-יתרות פתיחה'!$2:$76,30,0)/1000,0)</f>
        <v>0</v>
      </c>
      <c r="F40" s="353">
        <f>+IFERROR(HLOOKUP(F34,'סקרי נכסים-יתרות פתיחה'!$2:$76,30,0)/1000,0)</f>
        <v>0</v>
      </c>
      <c r="G40" s="353">
        <f>+IFERROR(HLOOKUP(G34,'סקרי נכסים-יתרות פתיחה'!$2:$76,30,0)/1000,0)</f>
        <v>0</v>
      </c>
      <c r="H40" s="353">
        <f>+IFERROR(HLOOKUP(H34,'סקרי נכסים-יתרות פתיחה'!$2:$76,30,0)/1000,0)</f>
        <v>0</v>
      </c>
      <c r="I40" s="353">
        <f>+IFERROR(HLOOKUP(I34,'סקרי נכסים-יתרות פתיחה'!$2:$76,30,0)/1000,0)</f>
        <v>0</v>
      </c>
      <c r="J40" s="353">
        <f>+IFERROR(HLOOKUP(J34,'סקרי נכסים-יתרות פתיחה'!$2:$76,30,0)/1000,0)</f>
        <v>13675.769</v>
      </c>
      <c r="K40" s="353">
        <f>+IFERROR(HLOOKUP(K34,'סקרי נכסים-יתרות פתיחה'!$2:$76,30,0)/1000,0)</f>
        <v>10128.535</v>
      </c>
      <c r="L40" s="353">
        <f>+IFERROR(HLOOKUP(L34,'סקרי נכסים-יתרות פתיחה'!$2:$76,30,0)/1000,0)</f>
        <v>0</v>
      </c>
      <c r="M40" s="353">
        <f>+IFERROR(HLOOKUP(M34,'סקרי נכסים-יתרות פתיחה'!$2:$76,30,0)/1000,0)</f>
        <v>21617.881000000001</v>
      </c>
      <c r="N40" s="353">
        <f>+IFERROR(HLOOKUP(N34,'סקרי נכסים-יתרות פתיחה'!$2:$76,30,0)/1000,0)</f>
        <v>0</v>
      </c>
      <c r="O40" s="6">
        <f>+IFERROR(HLOOKUP(O34,'סקרי נכסים-יתרות פתיחה'!$2:$76,30,0)/1000,0)</f>
        <v>18495.879000000001</v>
      </c>
    </row>
    <row r="41" spans="1:15" x14ac:dyDescent="0.2">
      <c r="A41" s="611"/>
      <c r="B41" s="353">
        <f>+IFERROR(HLOOKUP(B35,'סקרי נכסים-יתרות פתיחה'!$2:$76,30,0)/1000,0)</f>
        <v>0</v>
      </c>
      <c r="C41" s="353">
        <f>+IFERROR(HLOOKUP(C35,'סקרי נכסים-יתרות פתיחה'!$2:$76,30,0)/1000,0)</f>
        <v>0</v>
      </c>
      <c r="D41" s="353">
        <f>+IFERROR(HLOOKUP(D35,'סקרי נכסים-יתרות פתיחה'!$2:$76,30,0)/1000,0)</f>
        <v>0</v>
      </c>
      <c r="E41" s="353">
        <f>+IFERROR(HLOOKUP(E35,'סקרי נכסים-יתרות פתיחה'!$2:$76,30,0)/1000,0)</f>
        <v>0</v>
      </c>
      <c r="F41" s="353">
        <f>+IFERROR(HLOOKUP(F35,'סקרי נכסים-יתרות פתיחה'!$2:$76,30,0)/1000,0)</f>
        <v>0</v>
      </c>
      <c r="G41" s="353">
        <f>+IFERROR(HLOOKUP(G35,'סקרי נכסים-יתרות פתיחה'!$2:$76,30,0)/1000,0)</f>
        <v>0</v>
      </c>
      <c r="H41" s="353">
        <f>+IFERROR(HLOOKUP(H35,'סקרי נכסים-יתרות פתיחה'!$2:$76,30,0)/1000,0)</f>
        <v>0</v>
      </c>
      <c r="I41" s="353">
        <f>+IFERROR(HLOOKUP(I35,'סקרי נכסים-יתרות פתיחה'!$2:$76,30,0)/1000,0)</f>
        <v>0</v>
      </c>
      <c r="J41" s="353">
        <f>+IFERROR(HLOOKUP(J35,'סקרי נכסים-יתרות פתיחה'!$2:$76,30,0)/1000,0)</f>
        <v>25062</v>
      </c>
      <c r="K41" s="353">
        <f>+IFERROR(HLOOKUP(K35,'סקרי נכסים-יתרות פתיחה'!$2:$76,30,0)/1000,0)</f>
        <v>0</v>
      </c>
      <c r="L41" s="353">
        <f>+IFERROR(HLOOKUP(L35,'סקרי נכסים-יתרות פתיחה'!$2:$76,30,0)/1000,0)</f>
        <v>0</v>
      </c>
      <c r="M41" s="353">
        <f>+IFERROR(HLOOKUP(M35,'סקרי נכסים-יתרות פתיחה'!$2:$76,30,0)/1000,0)</f>
        <v>7614.0129999999999</v>
      </c>
      <c r="N41" s="353">
        <f>+IFERROR(HLOOKUP(N35,'סקרי נכסים-יתרות פתיחה'!$2:$76,30,0)/1000,0)</f>
        <v>0</v>
      </c>
      <c r="O41" s="6">
        <f>+IFERROR(HLOOKUP(O35,'סקרי נכסים-יתרות פתיחה'!$2:$76,30,0)/1000,0)</f>
        <v>0</v>
      </c>
    </row>
    <row r="42" spans="1:15" x14ac:dyDescent="0.2">
      <c r="A42" s="611"/>
      <c r="B42" s="38"/>
      <c r="C42" s="38"/>
      <c r="D42" s="38"/>
      <c r="E42" s="38"/>
      <c r="F42" s="38"/>
      <c r="G42" s="38"/>
      <c r="H42" s="38"/>
      <c r="I42" s="38"/>
      <c r="J42" s="38"/>
      <c r="K42" s="38"/>
      <c r="L42" s="38"/>
      <c r="M42" s="38"/>
      <c r="N42" s="38"/>
    </row>
    <row r="43" spans="1:15" ht="25.5" x14ac:dyDescent="0.2">
      <c r="A43" s="611" t="s">
        <v>832</v>
      </c>
      <c r="B43" s="436">
        <f>SUM(B39:B42)</f>
        <v>217086.37400000001</v>
      </c>
      <c r="C43" s="436">
        <f t="shared" ref="C43:O43" si="5">SUM(C39:C42)</f>
        <v>200956.826</v>
      </c>
      <c r="D43" s="436">
        <f t="shared" si="5"/>
        <v>101801.19100000001</v>
      </c>
      <c r="E43" s="436">
        <f t="shared" si="5"/>
        <v>689961.745</v>
      </c>
      <c r="F43" s="436">
        <f t="shared" si="5"/>
        <v>80522.429000000004</v>
      </c>
      <c r="G43" s="436">
        <f t="shared" si="5"/>
        <v>166030.193</v>
      </c>
      <c r="H43" s="436">
        <f t="shared" si="5"/>
        <v>23840.078000000001</v>
      </c>
      <c r="I43" s="436">
        <f t="shared" si="5"/>
        <v>48792.707000000002</v>
      </c>
      <c r="J43" s="436">
        <f>SUM(J39:J42)</f>
        <v>48897.841</v>
      </c>
      <c r="K43" s="436">
        <f t="shared" si="5"/>
        <v>137884.117</v>
      </c>
      <c r="L43" s="436">
        <f t="shared" si="5"/>
        <v>149010.19399999999</v>
      </c>
      <c r="M43" s="436">
        <f>SUM(M39:M42)</f>
        <v>43221.753000000004</v>
      </c>
      <c r="N43" s="436">
        <f t="shared" si="5"/>
        <v>74186.039000000004</v>
      </c>
      <c r="O43" s="436">
        <f t="shared" si="5"/>
        <v>120297.07</v>
      </c>
    </row>
    <row r="44" spans="1:15" x14ac:dyDescent="0.2">
      <c r="A44" s="611"/>
      <c r="B44" s="38"/>
      <c r="C44" s="38"/>
      <c r="D44" s="38"/>
      <c r="E44" s="38"/>
      <c r="F44" s="38"/>
      <c r="G44" s="38"/>
      <c r="H44" s="38"/>
      <c r="I44" s="38"/>
      <c r="J44" s="38"/>
      <c r="K44" s="38"/>
      <c r="L44" s="38"/>
      <c r="M44" s="38"/>
      <c r="N44" s="38"/>
    </row>
    <row r="45" spans="1:15" x14ac:dyDescent="0.2">
      <c r="A45" s="611"/>
      <c r="B45" s="38"/>
      <c r="C45" s="54"/>
      <c r="D45" s="38"/>
      <c r="E45" s="38"/>
      <c r="F45" s="38"/>
      <c r="G45" s="38"/>
      <c r="H45" s="38"/>
      <c r="I45" s="38"/>
      <c r="J45" s="38"/>
      <c r="K45" s="38"/>
      <c r="L45" s="38"/>
      <c r="M45" s="38"/>
      <c r="N45" s="38"/>
    </row>
    <row r="46" spans="1:15" x14ac:dyDescent="0.2">
      <c r="A46" s="611" t="s">
        <v>830</v>
      </c>
      <c r="B46" s="353">
        <f>+IFERROR(HLOOKUP(B33,'סקרי נכסים-יתרות פתיחה'!$2:$76,70,0)/1000,0)</f>
        <v>149273.04999999999</v>
      </c>
      <c r="C46" s="353">
        <f>+IFERROR(HLOOKUP(C33,'סקרי נכסים-יתרות פתיחה'!$2:$76,70,0)/1000,0)</f>
        <v>72883.173999999999</v>
      </c>
      <c r="D46" s="353">
        <f>+IFERROR(HLOOKUP(D33,'סקרי נכסים-יתרות פתיחה'!$2:$76,70,0)/1000,0)</f>
        <v>83432.058000000005</v>
      </c>
      <c r="E46" s="353">
        <f>+IFERROR(HLOOKUP(E33,'סקרי נכסים-יתרות פתיחה'!$2:$76,70,0)/1000,0)-IFERROR(HLOOKUP(E33,'סקרי נכסים-יתרות פתיחה'!$2:$76,55,0)/1000,0)</f>
        <v>344191.52599999995</v>
      </c>
      <c r="F46" s="353">
        <f>+IFERROR(HLOOKUP(F33,'סקרי נכסים-יתרות פתיחה'!$2:$76,70,0)/1000,0)</f>
        <v>116038.292</v>
      </c>
      <c r="G46" s="353">
        <f>+IFERROR(HLOOKUP(G33,'סקרי נכסים-יתרות פתיחה'!$2:$76,70,0)/1000,0)</f>
        <v>169816.99400000001</v>
      </c>
      <c r="H46" s="353">
        <f>+IFERROR(HLOOKUP(H33,'סקרי נכסים-יתרות פתיחה'!$2:$76,70,0)/1000,0)</f>
        <v>17132.034</v>
      </c>
      <c r="I46" s="353">
        <f>+IFERROR(HLOOKUP(I33,'סקרי נכסים-יתרות פתיחה'!$2:$76,70,0)/1000,0)</f>
        <v>32792.224000000002</v>
      </c>
      <c r="J46" s="353">
        <f>+IFERROR(HLOOKUP(J33,'סקרי נכסים-יתרות פתיחה'!$2:$76,70,0)/1000,0)</f>
        <v>10282.286</v>
      </c>
      <c r="K46" s="353">
        <f>+IFERROR(HLOOKUP(K33,'סקרי נכסים-יתרות פתיחה'!$2:$76,70,0)/1000,0)</f>
        <v>36469.910000000003</v>
      </c>
      <c r="L46" s="353">
        <f>+IFERROR(HLOOKUP(L33,'סקרי נכסים-יתרות פתיחה'!$2:$76,70,0)/1000,0)</f>
        <v>181902.103</v>
      </c>
      <c r="M46" s="353">
        <f>+IFERROR(HLOOKUP(M33,'סקרי נכסים-יתרות פתיחה'!$2:$76,70,0)/1000,0)</f>
        <v>5643.5</v>
      </c>
      <c r="N46" s="353">
        <f>+IFERROR(HLOOKUP(N33,'סקרי נכסים-יתרות פתיחה'!$2:$76,70,0)/1000,0)</f>
        <v>37646.186999999998</v>
      </c>
      <c r="O46" s="6">
        <f>+IFERROR(HLOOKUP(O33,'סקרי נכסים-יתרות פתיחה'!$2:$76,70,0)/1000,0)</f>
        <v>83432.058000000005</v>
      </c>
    </row>
    <row r="47" spans="1:15" x14ac:dyDescent="0.2">
      <c r="A47" s="611"/>
      <c r="B47" s="353">
        <f>+IFERROR(HLOOKUP(B34,'סקרי נכסים-יתרות פתיחה'!$2:$76,70,0)/1000,0)</f>
        <v>0</v>
      </c>
      <c r="C47" s="353">
        <f>+IFERROR(HLOOKUP(C34,'סקרי נכסים-יתרות פתיחה'!$2:$76,70,0)/1000,0)</f>
        <v>0</v>
      </c>
      <c r="D47" s="353">
        <f>+IFERROR(HLOOKUP(D34,'סקרי נכסים-יתרות פתיחה'!$2:$76,70,0)/1000,0)</f>
        <v>0</v>
      </c>
      <c r="E47" s="353">
        <f>+IFERROR(HLOOKUP(E34,'סקרי נכסים-יתרות פתיחה'!$2:$76,70,0)/1000,0)</f>
        <v>0</v>
      </c>
      <c r="F47" s="353">
        <f>+IFERROR(HLOOKUP(F34,'סקרי נכסים-יתרות פתיחה'!$2:$76,70,0)/1000,0)</f>
        <v>0</v>
      </c>
      <c r="G47" s="353">
        <f>+IFERROR(HLOOKUP(G34,'סקרי נכסים-יתרות פתיחה'!$2:$76,70,0)/1000,0)</f>
        <v>0</v>
      </c>
      <c r="H47" s="353">
        <f>+IFERROR(HLOOKUP(H34,'סקרי נכסים-יתרות פתיחה'!$2:$76,70,0)/1000,0)</f>
        <v>0</v>
      </c>
      <c r="I47" s="353">
        <f>+IFERROR(HLOOKUP(I34,'סקרי נכסים-יתרות פתיחה'!$2:$76,70,0)/1000,0)</f>
        <v>0</v>
      </c>
      <c r="J47" s="353">
        <f>+IFERROR(HLOOKUP(J34,'סקרי נכסים-יתרות פתיחה'!$2:$76,70,0)/1000,0)</f>
        <v>13316.126</v>
      </c>
      <c r="K47" s="353">
        <f>+IFERROR(HLOOKUP(K34,'סקרי נכסים-יתרות פתיחה'!$2:$76,70,0)/1000,0)</f>
        <v>1801.37</v>
      </c>
      <c r="L47" s="353">
        <f>+IFERROR(HLOOKUP(L34,'סקרי נכסים-יתרות פתיחה'!$2:$76,70,0)/1000,0)</f>
        <v>0</v>
      </c>
      <c r="M47" s="353">
        <f>+IFERROR(HLOOKUP(M34,'סקרי נכסים-יתרות פתיחה'!$2:$76,70,0)/1000,0)</f>
        <v>23666.077000000001</v>
      </c>
      <c r="N47" s="353">
        <f>+IFERROR(HLOOKUP(N34,'סקרי נכסים-יתרות פתיחה'!$2:$76,70,0)/1000,0)</f>
        <v>0</v>
      </c>
      <c r="O47" s="6">
        <f>+IFERROR(HLOOKUP(O34,'סקרי נכסים-יתרות פתיחה'!$2:$76,70,0)/1000,0)</f>
        <v>16219.324000000001</v>
      </c>
    </row>
    <row r="48" spans="1:15" x14ac:dyDescent="0.2">
      <c r="A48" s="611"/>
      <c r="B48" s="353">
        <f>+IFERROR(HLOOKUP(B35,'סקרי נכסים-יתרות פתיחה'!$2:$76,70,0)/1000,0)</f>
        <v>0</v>
      </c>
      <c r="C48" s="353">
        <f>+IFERROR(HLOOKUP(C35,'סקרי נכסים-יתרות פתיחה'!$2:$76,70,0)/1000,0)</f>
        <v>0</v>
      </c>
      <c r="D48" s="353">
        <f>+IFERROR(HLOOKUP(D35,'סקרי נכסים-יתרות פתיחה'!$2:$76,70,0)/1000,0)</f>
        <v>0</v>
      </c>
      <c r="E48" s="353">
        <f>+IFERROR(HLOOKUP(E35,'סקרי נכסים-יתרות פתיחה'!$2:$76,70,0)/1000,0)</f>
        <v>0</v>
      </c>
      <c r="F48" s="353">
        <f>+IFERROR(HLOOKUP(F35,'סקרי נכסים-יתרות פתיחה'!$2:$76,70,0)/1000,0)</f>
        <v>0</v>
      </c>
      <c r="G48" s="353">
        <f>+IFERROR(HLOOKUP(G35,'סקרי נכסים-יתרות פתיחה'!$2:$76,70,0)/1000,0)</f>
        <v>0</v>
      </c>
      <c r="H48" s="353">
        <f>+IFERROR(HLOOKUP(H35,'סקרי נכסים-יתרות פתיחה'!$2:$76,70,0)/1000,0)</f>
        <v>0</v>
      </c>
      <c r="I48" s="353">
        <f>+IFERROR(HLOOKUP(I35,'סקרי נכסים-יתרות פתיחה'!$2:$76,70,0)/1000,0)</f>
        <v>0</v>
      </c>
      <c r="J48" s="353">
        <f>+IFERROR(HLOOKUP(J35,'סקרי נכסים-יתרות פתיחה'!$2:$76,70,0)/1000,0)</f>
        <v>29977</v>
      </c>
      <c r="K48" s="353">
        <f>+IFERROR(HLOOKUP(K35,'סקרי נכסים-יתרות פתיחה'!$2:$76,70,0)/1000,0)</f>
        <v>0</v>
      </c>
      <c r="L48" s="353">
        <f>+IFERROR(HLOOKUP(L35,'סקרי נכסים-יתרות פתיחה'!$2:$76,70,0)/1000,0)</f>
        <v>0</v>
      </c>
      <c r="M48" s="353">
        <f>+IFERROR(HLOOKUP(M35,'סקרי נכסים-יתרות פתיחה'!$2:$76,70,0)/1000,0)</f>
        <v>10321.227999999999</v>
      </c>
      <c r="N48" s="353">
        <f>+IFERROR(HLOOKUP(N35,'סקרי נכסים-יתרות פתיחה'!$2:$76,70,0)/1000,0)</f>
        <v>0</v>
      </c>
      <c r="O48" s="6">
        <f>+IFERROR(HLOOKUP(O35,'סקרי נכסים-יתרות פתיחה'!$2:$76,70,0)/1000,0)</f>
        <v>0</v>
      </c>
    </row>
    <row r="49" spans="1:15" x14ac:dyDescent="0.2">
      <c r="A49" s="611"/>
      <c r="B49" s="38"/>
      <c r="C49" s="54"/>
      <c r="D49" s="38"/>
      <c r="E49" s="38"/>
      <c r="F49" s="38"/>
      <c r="G49" s="38"/>
      <c r="H49" s="38"/>
      <c r="I49" s="38"/>
      <c r="J49" s="38"/>
      <c r="K49" s="38"/>
      <c r="L49" s="38"/>
      <c r="M49" s="38"/>
      <c r="N49" s="38"/>
    </row>
    <row r="50" spans="1:15" x14ac:dyDescent="0.2">
      <c r="A50" s="611"/>
      <c r="B50" s="38"/>
      <c r="C50" s="54"/>
      <c r="D50" s="38"/>
      <c r="E50" s="38"/>
      <c r="F50" s="38"/>
      <c r="G50" s="38"/>
      <c r="H50" s="38"/>
      <c r="I50" s="38"/>
      <c r="J50" s="38"/>
      <c r="K50" s="38"/>
      <c r="L50" s="38"/>
      <c r="M50" s="38"/>
      <c r="N50" s="38"/>
    </row>
    <row r="51" spans="1:15" ht="25.5" x14ac:dyDescent="0.2">
      <c r="A51" s="611" t="s">
        <v>831</v>
      </c>
      <c r="B51" s="353">
        <f>SUM(B46:B50)</f>
        <v>149273.04999999999</v>
      </c>
      <c r="C51" s="353">
        <f t="shared" ref="C51:O51" si="6">SUM(C46:C50)</f>
        <v>72883.173999999999</v>
      </c>
      <c r="D51" s="353">
        <f t="shared" si="6"/>
        <v>83432.058000000005</v>
      </c>
      <c r="E51" s="353">
        <f t="shared" si="6"/>
        <v>344191.52599999995</v>
      </c>
      <c r="F51" s="353">
        <f t="shared" si="6"/>
        <v>116038.292</v>
      </c>
      <c r="G51" s="353">
        <f t="shared" si="6"/>
        <v>169816.99400000001</v>
      </c>
      <c r="H51" s="353">
        <f t="shared" si="6"/>
        <v>17132.034</v>
      </c>
      <c r="I51" s="353">
        <f t="shared" si="6"/>
        <v>32792.224000000002</v>
      </c>
      <c r="J51" s="353">
        <f t="shared" si="6"/>
        <v>53575.411999999997</v>
      </c>
      <c r="K51" s="353">
        <f t="shared" si="6"/>
        <v>38271.280000000006</v>
      </c>
      <c r="L51" s="353">
        <f t="shared" si="6"/>
        <v>181902.103</v>
      </c>
      <c r="M51" s="353">
        <f>SUM(M46:M50)</f>
        <v>39630.805</v>
      </c>
      <c r="N51" s="353">
        <f t="shared" si="6"/>
        <v>37646.186999999998</v>
      </c>
      <c r="O51" s="353">
        <f t="shared" si="6"/>
        <v>99651.382000000012</v>
      </c>
    </row>
    <row r="52" spans="1:15" x14ac:dyDescent="0.2">
      <c r="A52" s="611"/>
      <c r="B52" s="38"/>
      <c r="C52" s="54"/>
      <c r="D52" s="38"/>
      <c r="E52" s="38"/>
      <c r="F52" s="38"/>
      <c r="G52" s="38"/>
      <c r="H52" s="38"/>
      <c r="I52" s="38"/>
      <c r="J52" s="38"/>
      <c r="K52" s="38"/>
      <c r="L52" s="38"/>
      <c r="M52" s="38"/>
      <c r="N52" s="38"/>
    </row>
    <row r="53" spans="1:15" x14ac:dyDescent="0.2">
      <c r="A53" s="611"/>
      <c r="B53" s="38"/>
      <c r="C53" s="54"/>
      <c r="D53" s="38"/>
      <c r="E53" s="38"/>
      <c r="F53" s="38"/>
      <c r="G53" s="38"/>
      <c r="H53" s="38"/>
      <c r="I53" s="38"/>
      <c r="J53" s="38"/>
      <c r="K53" s="38"/>
      <c r="L53" s="38"/>
      <c r="M53" s="38"/>
      <c r="N53" s="38"/>
    </row>
    <row r="54" spans="1:15" x14ac:dyDescent="0.2">
      <c r="A54" s="611" t="s">
        <v>164</v>
      </c>
      <c r="B54" s="436">
        <f>+B51+B43</f>
        <v>366359.424</v>
      </c>
      <c r="C54" s="436">
        <f t="shared" ref="C54:O54" si="7">+C51+C43</f>
        <v>273840</v>
      </c>
      <c r="D54" s="436">
        <f t="shared" si="7"/>
        <v>185233.24900000001</v>
      </c>
      <c r="E54" s="436">
        <f t="shared" si="7"/>
        <v>1034153.2709999999</v>
      </c>
      <c r="F54" s="436">
        <f t="shared" si="7"/>
        <v>196560.72100000002</v>
      </c>
      <c r="G54" s="436">
        <f t="shared" si="7"/>
        <v>335847.18700000003</v>
      </c>
      <c r="H54" s="436">
        <f t="shared" si="7"/>
        <v>40972.112000000001</v>
      </c>
      <c r="I54" s="436">
        <f t="shared" si="7"/>
        <v>81584.931000000011</v>
      </c>
      <c r="J54" s="436">
        <f t="shared" si="7"/>
        <v>102473.253</v>
      </c>
      <c r="K54" s="436">
        <f t="shared" si="7"/>
        <v>176155.397</v>
      </c>
      <c r="L54" s="436">
        <f t="shared" si="7"/>
        <v>330912.29700000002</v>
      </c>
      <c r="M54" s="436">
        <f>+M51+M43</f>
        <v>82852.558000000005</v>
      </c>
      <c r="N54" s="436">
        <f t="shared" si="7"/>
        <v>111832.226</v>
      </c>
      <c r="O54" s="436">
        <f t="shared" si="7"/>
        <v>219948.45200000002</v>
      </c>
    </row>
    <row r="55" spans="1:15" x14ac:dyDescent="0.2">
      <c r="B55" s="1"/>
      <c r="C55" s="1"/>
    </row>
    <row r="56" spans="1:15" x14ac:dyDescent="0.2">
      <c r="B56" s="1"/>
      <c r="C56" s="1"/>
    </row>
    <row r="57" spans="1:15" x14ac:dyDescent="0.2">
      <c r="B57" s="1"/>
      <c r="C57" s="1"/>
    </row>
    <row r="58" spans="1:15" x14ac:dyDescent="0.2">
      <c r="B58" s="1"/>
      <c r="C58" s="1"/>
    </row>
    <row r="59" spans="1:15" x14ac:dyDescent="0.2">
      <c r="B59" s="1"/>
      <c r="C59" s="1"/>
    </row>
    <row r="60" spans="1:15" x14ac:dyDescent="0.2">
      <c r="B60" s="1"/>
      <c r="C60" s="1"/>
    </row>
    <row r="61" spans="1:15" x14ac:dyDescent="0.2">
      <c r="B61" s="1"/>
      <c r="C61" s="1"/>
    </row>
    <row r="62" spans="1:15" x14ac:dyDescent="0.2">
      <c r="B62" s="1"/>
      <c r="C62" s="1"/>
    </row>
    <row r="63" spans="1:15" x14ac:dyDescent="0.2">
      <c r="B63" s="1"/>
      <c r="C63" s="1"/>
    </row>
    <row r="64" spans="1:15" x14ac:dyDescent="0.2">
      <c r="B64" s="1"/>
      <c r="C64" s="1"/>
    </row>
    <row r="65" spans="2:3" x14ac:dyDescent="0.2">
      <c r="B65" s="1"/>
      <c r="C65" s="1"/>
    </row>
    <row r="66" spans="2:3" x14ac:dyDescent="0.2">
      <c r="B66" s="1"/>
      <c r="C66" s="1"/>
    </row>
    <row r="67" spans="2:3" x14ac:dyDescent="0.2">
      <c r="B67" s="1"/>
      <c r="C67" s="1"/>
    </row>
    <row r="68" spans="2:3" x14ac:dyDescent="0.2">
      <c r="B68" s="1"/>
      <c r="C68" s="1"/>
    </row>
    <row r="69" spans="2:3" x14ac:dyDescent="0.2">
      <c r="B69" s="1"/>
      <c r="C69" s="1"/>
    </row>
    <row r="70" spans="2:3" x14ac:dyDescent="0.2">
      <c r="B70" s="1"/>
      <c r="C70" s="1"/>
    </row>
    <row r="71" spans="2:3" x14ac:dyDescent="0.2">
      <c r="B71" s="1"/>
      <c r="C71" s="1"/>
    </row>
    <row r="72" spans="2:3" x14ac:dyDescent="0.2">
      <c r="B72" s="1"/>
      <c r="C72" s="1"/>
    </row>
    <row r="73" spans="2:3" x14ac:dyDescent="0.2">
      <c r="B73" s="1"/>
      <c r="C73" s="1"/>
    </row>
  </sheetData>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7"/>
  <dimension ref="A1:GA121"/>
  <sheetViews>
    <sheetView rightToLeft="1" workbookViewId="0">
      <pane xSplit="1" ySplit="5" topLeftCell="Y6" activePane="bottomRight" state="frozen"/>
      <selection activeCell="E49" sqref="E49"/>
      <selection pane="topRight" activeCell="E49" sqref="E49"/>
      <selection pane="bottomLeft" activeCell="E49" sqref="E49"/>
      <selection pane="bottomRight" activeCell="AD7" sqref="AD7"/>
    </sheetView>
  </sheetViews>
  <sheetFormatPr defaultRowHeight="12.75" x14ac:dyDescent="0.2"/>
  <cols>
    <col min="1" max="1" width="28.7109375" style="439" bestFit="1" customWidth="1"/>
    <col min="2" max="2" width="14" style="532" bestFit="1" customWidth="1"/>
    <col min="3" max="3" width="11.28515625" style="54" bestFit="1" customWidth="1"/>
    <col min="4" max="4" width="11.140625" style="54" bestFit="1" customWidth="1"/>
    <col min="5" max="5" width="10.28515625" style="54" bestFit="1" customWidth="1"/>
    <col min="6" max="7" width="12.85546875" style="54" bestFit="1" customWidth="1"/>
    <col min="8" max="8" width="10.28515625" style="54" bestFit="1" customWidth="1"/>
    <col min="9" max="10" width="11.28515625" style="54" bestFit="1" customWidth="1"/>
    <col min="11" max="12" width="10.28515625" style="54" bestFit="1" customWidth="1"/>
    <col min="13" max="13" width="9.140625" style="54"/>
    <col min="14" max="15" width="10.140625" style="54" bestFit="1" customWidth="1"/>
    <col min="16" max="16" width="11.28515625" style="54" bestFit="1" customWidth="1"/>
    <col min="17" max="17" width="14" style="54" customWidth="1"/>
    <col min="18" max="18" width="10.140625" style="54" bestFit="1" customWidth="1"/>
    <col min="19" max="19" width="14" style="54" bestFit="1" customWidth="1"/>
    <col min="20" max="20" width="10.140625" style="54" bestFit="1" customWidth="1"/>
    <col min="21" max="21" width="14" style="54" customWidth="1"/>
    <col min="22" max="22" width="11.7109375" style="54" customWidth="1"/>
    <col min="23" max="23" width="11" style="54" bestFit="1" customWidth="1"/>
    <col min="24" max="24" width="10.140625" style="54" bestFit="1" customWidth="1"/>
    <col min="25" max="25" width="10.140625" style="54" customWidth="1"/>
    <col min="26" max="26" width="10.5703125" style="54" customWidth="1"/>
    <col min="27" max="27" width="15.85546875" style="532" customWidth="1"/>
    <col min="28" max="28" width="14" style="54" customWidth="1"/>
    <col min="29" max="29" width="11.140625" style="54" bestFit="1" customWidth="1"/>
    <col min="30" max="30" width="14" style="532" bestFit="1" customWidth="1"/>
    <col min="31" max="31" width="11.28515625" style="54" bestFit="1" customWidth="1"/>
    <col min="32" max="32" width="12.85546875" style="54" bestFit="1" customWidth="1"/>
    <col min="33" max="33" width="10.140625" style="54" bestFit="1" customWidth="1"/>
    <col min="34" max="34" width="11.140625" style="54" customWidth="1"/>
    <col min="35" max="35" width="10.140625" style="54" bestFit="1" customWidth="1"/>
    <col min="36" max="37" width="14" style="54" bestFit="1" customWidth="1"/>
    <col min="38" max="40" width="14" style="532" bestFit="1" customWidth="1"/>
    <col min="41" max="41" width="11.28515625" style="54" bestFit="1" customWidth="1"/>
    <col min="42" max="42" width="13.42578125" style="54" customWidth="1"/>
    <col min="43" max="43" width="12.85546875" style="54" bestFit="1" customWidth="1"/>
    <col min="44" max="44" width="10.140625" style="54" bestFit="1" customWidth="1"/>
    <col min="45" max="45" width="15.85546875" style="532" customWidth="1"/>
    <col min="46" max="47" width="10.140625" style="54" bestFit="1" customWidth="1"/>
    <col min="48" max="48" width="14" style="54" bestFit="1" customWidth="1"/>
    <col min="49" max="49" width="10.140625" style="54" bestFit="1" customWidth="1"/>
    <col min="50" max="50" width="14" style="532" customWidth="1"/>
    <col min="51" max="51" width="10.140625" style="54" bestFit="1" customWidth="1"/>
    <col min="52" max="52" width="12.28515625" style="54" bestFit="1" customWidth="1"/>
    <col min="53" max="54" width="11.140625" style="54" bestFit="1" customWidth="1"/>
    <col min="55" max="55" width="15.85546875" style="532" customWidth="1"/>
    <col min="56" max="59" width="10.140625" style="54" bestFit="1" customWidth="1"/>
    <col min="60" max="60" width="12.85546875" style="54" bestFit="1" customWidth="1"/>
    <col min="61" max="61" width="10.140625" style="54" bestFit="1" customWidth="1"/>
    <col min="62" max="62" width="9.140625" style="54"/>
    <col min="63" max="63" width="10.140625" style="54" bestFit="1" customWidth="1"/>
    <col min="64" max="65" width="15.85546875" style="532" customWidth="1"/>
    <col min="66" max="66" width="11.28515625" style="532" bestFit="1" customWidth="1"/>
    <col min="67" max="67" width="12.140625" style="54" bestFit="1" customWidth="1"/>
    <col min="68" max="68" width="10.140625" style="54" bestFit="1" customWidth="1"/>
    <col min="69" max="69" width="11.28515625" style="54" bestFit="1" customWidth="1"/>
    <col min="70" max="70" width="12.85546875" style="54" bestFit="1" customWidth="1"/>
    <col min="71" max="71" width="10.140625" style="54" bestFit="1" customWidth="1"/>
    <col min="72" max="72" width="14" style="532" bestFit="1" customWidth="1"/>
    <col min="73" max="73" width="14" style="54" bestFit="1" customWidth="1"/>
    <col min="74" max="74" width="14" style="532" bestFit="1" customWidth="1"/>
    <col min="75" max="75" width="10.140625" style="54" bestFit="1" customWidth="1"/>
    <col min="76" max="76" width="12.85546875" style="532" bestFit="1" customWidth="1"/>
    <col min="77" max="78" width="15.85546875" style="54" customWidth="1"/>
    <col min="79" max="79" width="16" style="54" bestFit="1" customWidth="1"/>
    <col min="80" max="80" width="14" style="532" bestFit="1" customWidth="1"/>
    <col min="81" max="81" width="14" style="54" bestFit="1" customWidth="1"/>
    <col min="82" max="82" width="11.28515625" style="532" bestFit="1" customWidth="1"/>
    <col min="83" max="83" width="11.140625" style="54" bestFit="1" customWidth="1"/>
    <col min="84" max="84" width="12.85546875" style="54" bestFit="1" customWidth="1"/>
    <col min="85" max="85" width="9.140625" style="54"/>
    <col min="86" max="86" width="10.140625" style="54" bestFit="1" customWidth="1"/>
    <col min="87" max="87" width="14" style="54" bestFit="1" customWidth="1"/>
    <col min="88" max="88" width="10.85546875" style="54" customWidth="1"/>
    <col min="89" max="89" width="14" style="532" bestFit="1" customWidth="1"/>
    <col min="90" max="90" width="12.85546875" style="54" bestFit="1" customWidth="1"/>
    <col min="91" max="91" width="15.85546875" style="532" customWidth="1"/>
    <col min="92" max="92" width="14" style="532" bestFit="1" customWidth="1"/>
    <col min="93" max="93" width="14.85546875" style="532" customWidth="1"/>
    <col min="94" max="94" width="11.28515625" style="532" bestFit="1" customWidth="1"/>
    <col min="95" max="95" width="12.85546875" style="54" bestFit="1" customWidth="1"/>
    <col min="96" max="96" width="11.140625" style="54" bestFit="1" customWidth="1"/>
    <col min="97" max="100" width="10.140625" style="54" bestFit="1" customWidth="1"/>
    <col min="101" max="102" width="11.28515625" style="532" bestFit="1" customWidth="1"/>
    <col min="103" max="103" width="14" style="54" bestFit="1" customWidth="1"/>
    <col min="104" max="104" width="11.140625" style="54" bestFit="1" customWidth="1"/>
    <col min="105" max="105" width="12.85546875" style="54" bestFit="1" customWidth="1"/>
    <col min="106" max="106" width="14" style="532" customWidth="1"/>
    <col min="107" max="107" width="10.140625" style="54" bestFit="1" customWidth="1"/>
    <col min="108" max="108" width="11.140625" style="54" bestFit="1" customWidth="1"/>
    <col min="109" max="109" width="11.140625" style="54" customWidth="1"/>
    <col min="110" max="110" width="12.85546875" style="54" bestFit="1" customWidth="1"/>
    <col min="111" max="111" width="11.140625" style="54" bestFit="1" customWidth="1"/>
    <col min="112" max="112" width="12.85546875" style="54" bestFit="1" customWidth="1"/>
    <col min="113" max="113" width="11.140625" style="54" customWidth="1"/>
    <col min="114" max="114" width="14" style="532" customWidth="1"/>
    <col min="115" max="115" width="11.140625" style="54" bestFit="1" customWidth="1"/>
    <col min="116" max="116" width="10.140625" style="54" bestFit="1" customWidth="1"/>
    <col min="117" max="117" width="15.85546875" style="54" bestFit="1" customWidth="1"/>
    <col min="118" max="118" width="10.140625" style="54" bestFit="1" customWidth="1"/>
    <col min="119" max="119" width="14" style="532" bestFit="1" customWidth="1"/>
    <col min="120" max="120" width="11.140625" style="54" customWidth="1"/>
    <col min="121" max="121" width="11.140625" style="54" bestFit="1" customWidth="1"/>
    <col min="122" max="122" width="9.140625" style="54"/>
    <col min="123" max="123" width="10.140625" style="54" bestFit="1" customWidth="1"/>
    <col min="124" max="124" width="11.28515625" style="532" bestFit="1" customWidth="1"/>
    <col min="125" max="125" width="10.140625" style="54" bestFit="1" customWidth="1"/>
    <col min="126" max="126" width="11.140625" style="54" customWidth="1"/>
    <col min="127" max="127" width="10.28515625" style="54" bestFit="1" customWidth="1"/>
    <col min="128" max="129" width="11.140625" style="54" bestFit="1" customWidth="1"/>
    <col min="130" max="130" width="12.85546875" style="532" bestFit="1" customWidth="1"/>
    <col min="131" max="131" width="15" style="54" bestFit="1" customWidth="1"/>
    <col min="132" max="132" width="10.5703125" style="54" customWidth="1"/>
    <col min="133" max="133" width="11.28515625" style="532" bestFit="1" customWidth="1"/>
    <col min="134" max="134" width="11.140625" style="54" bestFit="1" customWidth="1"/>
    <col min="135" max="135" width="10.140625" style="54" bestFit="1" customWidth="1"/>
    <col min="136" max="136" width="11.28515625" style="532" customWidth="1"/>
    <col min="137" max="137" width="14" style="532" bestFit="1" customWidth="1"/>
    <col min="138" max="138" width="11.140625" style="54" bestFit="1" customWidth="1"/>
    <col min="139" max="139" width="15.85546875" style="532" customWidth="1"/>
    <col min="140" max="144" width="10.140625" style="54" bestFit="1" customWidth="1"/>
    <col min="145" max="145" width="9.140625" style="54"/>
    <col min="146" max="146" width="11.140625" style="54" bestFit="1" customWidth="1"/>
    <col min="147" max="147" width="10.140625" style="54" bestFit="1" customWidth="1"/>
    <col min="148" max="150" width="14" style="54" bestFit="1" customWidth="1"/>
    <col min="151" max="151" width="11.140625" style="54" bestFit="1" customWidth="1"/>
    <col min="152" max="152" width="15.85546875" style="532" customWidth="1"/>
    <col min="153" max="153" width="14" style="532" customWidth="1"/>
    <col min="154" max="154" width="14" style="532" bestFit="1" customWidth="1"/>
    <col min="155" max="155" width="14" style="532" customWidth="1"/>
    <col min="156" max="156" width="14" style="54" customWidth="1"/>
    <col min="157" max="159" width="10.140625" style="54" bestFit="1" customWidth="1"/>
    <col min="160" max="160" width="15.85546875" style="532" customWidth="1"/>
    <col min="161" max="162" width="10.140625" style="54" bestFit="1" customWidth="1"/>
    <col min="163" max="163" width="15.85546875" style="532" customWidth="1"/>
    <col min="164" max="164" width="11.140625" style="54" bestFit="1" customWidth="1"/>
    <col min="165" max="165" width="11.140625" style="54" customWidth="1"/>
    <col min="166" max="166" width="10.7109375" style="54" customWidth="1"/>
    <col min="167" max="167" width="12.140625" style="54" customWidth="1"/>
    <col min="168" max="168" width="11.28515625" style="54" customWidth="1"/>
    <col min="169" max="169" width="11.140625" style="54" bestFit="1" customWidth="1"/>
    <col min="170" max="170" width="10.140625" style="54" bestFit="1" customWidth="1"/>
    <col min="171" max="171" width="14" style="532" bestFit="1" customWidth="1"/>
    <col min="172" max="174" width="11.28515625" style="532" bestFit="1" customWidth="1"/>
    <col min="176" max="176" width="14" style="54" customWidth="1"/>
    <col min="177" max="177" width="15.85546875" style="532" bestFit="1" customWidth="1"/>
    <col min="178" max="180" width="15.85546875" style="532" customWidth="1"/>
    <col min="181" max="181" width="11.28515625" style="54" bestFit="1" customWidth="1"/>
    <col min="182" max="183" width="14" style="532" bestFit="1" customWidth="1"/>
    <col min="184" max="16384" width="9.140625" style="54"/>
  </cols>
  <sheetData>
    <row r="1" spans="1:183" x14ac:dyDescent="0.2">
      <c r="FJ1" s="605" t="s">
        <v>918</v>
      </c>
    </row>
    <row r="2" spans="1:183" s="438" customFormat="1" x14ac:dyDescent="0.2">
      <c r="B2" s="438" t="s">
        <v>140</v>
      </c>
      <c r="C2" s="438" t="s">
        <v>52</v>
      </c>
      <c r="D2" s="438" t="s">
        <v>56</v>
      </c>
      <c r="E2" s="438" t="s">
        <v>31</v>
      </c>
      <c r="F2" s="438" t="s">
        <v>47</v>
      </c>
      <c r="G2" s="438" t="s">
        <v>223</v>
      </c>
      <c r="H2" s="438" t="s">
        <v>33</v>
      </c>
      <c r="I2" s="438" t="s">
        <v>48</v>
      </c>
      <c r="J2" s="438" t="s">
        <v>16</v>
      </c>
      <c r="K2" s="438" t="s">
        <v>18</v>
      </c>
      <c r="L2" s="438" t="s">
        <v>21</v>
      </c>
      <c r="M2" s="438" t="s">
        <v>12</v>
      </c>
      <c r="N2" s="438" t="s">
        <v>245</v>
      </c>
      <c r="O2" s="438" t="s">
        <v>224</v>
      </c>
      <c r="P2" s="554" t="s">
        <v>132</v>
      </c>
      <c r="Q2" s="554" t="s">
        <v>146</v>
      </c>
      <c r="R2" s="438" t="s">
        <v>233</v>
      </c>
      <c r="S2" s="438" t="s">
        <v>147</v>
      </c>
      <c r="T2" s="438" t="s">
        <v>37</v>
      </c>
      <c r="U2" s="554" t="s">
        <v>133</v>
      </c>
      <c r="V2" s="438" t="s">
        <v>88</v>
      </c>
      <c r="W2" s="438" t="s">
        <v>69</v>
      </c>
      <c r="X2" s="438" t="s">
        <v>96</v>
      </c>
      <c r="Y2" s="438" t="s">
        <v>90</v>
      </c>
      <c r="Z2" s="438" t="s">
        <v>91</v>
      </c>
      <c r="AA2" s="554" t="s">
        <v>142</v>
      </c>
      <c r="AB2" s="554" t="s">
        <v>131</v>
      </c>
      <c r="AC2" s="438" t="s">
        <v>55</v>
      </c>
      <c r="AD2" s="554" t="s">
        <v>5</v>
      </c>
      <c r="AE2" s="438" t="s">
        <v>20</v>
      </c>
      <c r="AF2" s="438" t="s">
        <v>46</v>
      </c>
      <c r="AG2" s="438" t="s">
        <v>40</v>
      </c>
      <c r="AH2" s="438" t="s">
        <v>103</v>
      </c>
      <c r="AI2" s="438" t="s">
        <v>67</v>
      </c>
      <c r="AJ2" s="438" t="s">
        <v>238</v>
      </c>
      <c r="AK2" s="554" t="s">
        <v>126</v>
      </c>
      <c r="AL2" s="554" t="s">
        <v>740</v>
      </c>
      <c r="AM2" s="554" t="s">
        <v>738</v>
      </c>
      <c r="AN2" s="554" t="s">
        <v>739</v>
      </c>
      <c r="AO2" s="438" t="s">
        <v>14</v>
      </c>
      <c r="AP2" s="438" t="s">
        <v>105</v>
      </c>
      <c r="AQ2" s="438" t="s">
        <v>45</v>
      </c>
      <c r="AR2" s="438" t="s">
        <v>35</v>
      </c>
      <c r="AS2" s="616" t="s">
        <v>139</v>
      </c>
      <c r="AT2" s="438" t="s">
        <v>13</v>
      </c>
      <c r="AU2" s="438" t="s">
        <v>0</v>
      </c>
      <c r="AV2" s="438" t="s">
        <v>27</v>
      </c>
      <c r="AW2" s="438" t="s">
        <v>32</v>
      </c>
      <c r="AX2" s="554" t="s">
        <v>135</v>
      </c>
      <c r="AY2" s="438" t="s">
        <v>36</v>
      </c>
      <c r="AZ2" s="438" t="s">
        <v>17</v>
      </c>
      <c r="BA2" s="438" t="s">
        <v>124</v>
      </c>
      <c r="BB2" s="438" t="s">
        <v>148</v>
      </c>
      <c r="BC2" s="554" t="s">
        <v>219</v>
      </c>
      <c r="BD2" s="438" t="s">
        <v>11</v>
      </c>
      <c r="BE2" s="438" t="s">
        <v>92</v>
      </c>
      <c r="BF2" s="438" t="s">
        <v>94</v>
      </c>
      <c r="BG2" s="438" t="s">
        <v>42</v>
      </c>
      <c r="BH2" s="438" t="s">
        <v>89</v>
      </c>
      <c r="BI2" s="438" t="s">
        <v>93</v>
      </c>
      <c r="BJ2" s="438" t="s">
        <v>41</v>
      </c>
      <c r="BK2" s="438" t="s">
        <v>39</v>
      </c>
      <c r="BL2" s="554" t="s">
        <v>484</v>
      </c>
      <c r="BM2" s="554" t="s">
        <v>485</v>
      </c>
      <c r="BN2" s="554" t="s">
        <v>123</v>
      </c>
      <c r="BO2" s="438" t="s">
        <v>30</v>
      </c>
      <c r="BP2" s="438" t="s">
        <v>38</v>
      </c>
      <c r="BQ2" s="438" t="s">
        <v>22</v>
      </c>
      <c r="BR2" s="438" t="s">
        <v>26</v>
      </c>
      <c r="BS2" s="438" t="s">
        <v>73</v>
      </c>
      <c r="BT2" s="554" t="s">
        <v>112</v>
      </c>
      <c r="BU2" s="438" t="s">
        <v>75</v>
      </c>
      <c r="BV2" s="554" t="s">
        <v>741</v>
      </c>
      <c r="BW2" s="438" t="s">
        <v>74</v>
      </c>
      <c r="BX2" s="554" t="s">
        <v>247</v>
      </c>
      <c r="BY2" s="438" t="s">
        <v>497</v>
      </c>
      <c r="BZ2" s="438" t="s">
        <v>498</v>
      </c>
      <c r="CA2" s="438" t="s">
        <v>50</v>
      </c>
      <c r="CB2" s="554" t="s">
        <v>113</v>
      </c>
      <c r="CC2" s="554" t="s">
        <v>125</v>
      </c>
      <c r="CD2" s="554" t="s">
        <v>115</v>
      </c>
      <c r="CE2" s="438" t="s">
        <v>63</v>
      </c>
      <c r="CF2" s="438" t="s">
        <v>3</v>
      </c>
      <c r="CG2" s="438" t="s">
        <v>8</v>
      </c>
      <c r="CH2" s="438" t="s">
        <v>23</v>
      </c>
      <c r="CI2" s="438" t="s">
        <v>149</v>
      </c>
      <c r="CJ2" s="438" t="s">
        <v>34</v>
      </c>
      <c r="CK2" s="554" t="s">
        <v>560</v>
      </c>
      <c r="CL2" s="438" t="s">
        <v>214</v>
      </c>
      <c r="CM2" s="554" t="s">
        <v>138</v>
      </c>
      <c r="CN2" s="554" t="s">
        <v>110</v>
      </c>
      <c r="CO2" s="554" t="s">
        <v>114</v>
      </c>
      <c r="CP2" s="554" t="s">
        <v>121</v>
      </c>
      <c r="CQ2" s="438" t="s">
        <v>86</v>
      </c>
      <c r="CR2" s="438" t="s">
        <v>70</v>
      </c>
      <c r="CS2" s="438" t="s">
        <v>85</v>
      </c>
      <c r="CT2" s="438" t="s">
        <v>65</v>
      </c>
      <c r="CU2" s="438" t="s">
        <v>84</v>
      </c>
      <c r="CV2" s="438" t="s">
        <v>49</v>
      </c>
      <c r="CW2" s="554" t="s">
        <v>122</v>
      </c>
      <c r="CX2" s="616" t="s">
        <v>314</v>
      </c>
      <c r="CY2" s="438" t="s">
        <v>109</v>
      </c>
      <c r="CZ2" s="438" t="s">
        <v>101</v>
      </c>
      <c r="DA2" s="438" t="s">
        <v>76</v>
      </c>
      <c r="DB2" s="554" t="s">
        <v>136</v>
      </c>
      <c r="DC2" s="438" t="s">
        <v>58</v>
      </c>
      <c r="DD2" s="438" t="s">
        <v>87</v>
      </c>
      <c r="DE2" s="438" t="s">
        <v>495</v>
      </c>
      <c r="DF2" s="438" t="s">
        <v>15</v>
      </c>
      <c r="DG2" s="438" t="s">
        <v>62</v>
      </c>
      <c r="DH2" s="438" t="s">
        <v>54</v>
      </c>
      <c r="DI2" s="438" t="s">
        <v>53</v>
      </c>
      <c r="DJ2" s="554" t="s">
        <v>134</v>
      </c>
      <c r="DK2" s="438" t="s">
        <v>248</v>
      </c>
      <c r="DL2" s="438" t="s">
        <v>98</v>
      </c>
      <c r="DM2" s="438" t="s">
        <v>57</v>
      </c>
      <c r="DN2" s="438" t="s">
        <v>99</v>
      </c>
      <c r="DO2" s="554" t="s">
        <v>680</v>
      </c>
      <c r="DP2" s="438" t="s">
        <v>102</v>
      </c>
      <c r="DQ2" s="438" t="s">
        <v>100</v>
      </c>
      <c r="DR2" s="438" t="s">
        <v>25</v>
      </c>
      <c r="DS2" s="438" t="s">
        <v>6</v>
      </c>
      <c r="DT2" s="554" t="s">
        <v>116</v>
      </c>
      <c r="DU2" s="438" t="s">
        <v>60</v>
      </c>
      <c r="DV2" s="438" t="s">
        <v>211</v>
      </c>
      <c r="DW2" s="438" t="s">
        <v>28</v>
      </c>
      <c r="DX2" s="438" t="s">
        <v>104</v>
      </c>
      <c r="DY2" s="438" t="s">
        <v>106</v>
      </c>
      <c r="DZ2" s="554" t="s">
        <v>243</v>
      </c>
      <c r="EA2" s="438" t="s">
        <v>64</v>
      </c>
      <c r="EB2" s="438" t="s">
        <v>9</v>
      </c>
      <c r="EC2" s="554" t="s">
        <v>119</v>
      </c>
      <c r="ED2" s="438" t="s">
        <v>61</v>
      </c>
      <c r="EE2" s="438" t="s">
        <v>4</v>
      </c>
      <c r="EF2" s="554" t="s">
        <v>206</v>
      </c>
      <c r="EG2" s="554" t="s">
        <v>196</v>
      </c>
      <c r="EH2" s="438" t="s">
        <v>97</v>
      </c>
      <c r="EI2" s="554" t="s">
        <v>144</v>
      </c>
      <c r="EJ2" s="438" t="s">
        <v>59</v>
      </c>
      <c r="EK2" s="438" t="s">
        <v>78</v>
      </c>
      <c r="EL2" s="438" t="s">
        <v>71</v>
      </c>
      <c r="EM2" s="438" t="s">
        <v>68</v>
      </c>
      <c r="EN2" s="438" t="s">
        <v>77</v>
      </c>
      <c r="EO2" s="438" t="s">
        <v>79</v>
      </c>
      <c r="EP2" s="438" t="s">
        <v>2</v>
      </c>
      <c r="EQ2" s="438" t="s">
        <v>51</v>
      </c>
      <c r="ER2" s="438" t="s">
        <v>107</v>
      </c>
      <c r="ES2" s="438" t="s">
        <v>108</v>
      </c>
      <c r="ET2" s="438" t="s">
        <v>244</v>
      </c>
      <c r="EU2" s="438" t="s">
        <v>7</v>
      </c>
      <c r="EV2" s="554" t="s">
        <v>141</v>
      </c>
      <c r="EW2" s="554" t="s">
        <v>128</v>
      </c>
      <c r="EX2" s="554" t="s">
        <v>127</v>
      </c>
      <c r="EY2" s="554" t="s">
        <v>129</v>
      </c>
      <c r="EZ2" s="554" t="s">
        <v>130</v>
      </c>
      <c r="FA2" s="438" t="s">
        <v>66</v>
      </c>
      <c r="FB2" s="438" t="s">
        <v>83</v>
      </c>
      <c r="FC2" s="438" t="s">
        <v>80</v>
      </c>
      <c r="FD2" s="554" t="s">
        <v>143</v>
      </c>
      <c r="FE2" s="438" t="s">
        <v>82</v>
      </c>
      <c r="FF2" s="438" t="s">
        <v>81</v>
      </c>
      <c r="FG2" s="554" t="s">
        <v>145</v>
      </c>
      <c r="FH2" s="438" t="s">
        <v>1</v>
      </c>
      <c r="FJ2" s="438" t="s">
        <v>24</v>
      </c>
      <c r="FK2" s="438" t="s">
        <v>29</v>
      </c>
      <c r="FL2" s="438" t="s">
        <v>44</v>
      </c>
      <c r="FM2" s="438" t="s">
        <v>72</v>
      </c>
      <c r="FN2" s="438" t="s">
        <v>95</v>
      </c>
      <c r="FO2" s="554" t="s">
        <v>111</v>
      </c>
      <c r="FP2" s="554" t="s">
        <v>118</v>
      </c>
      <c r="FQ2" s="554" t="s">
        <v>120</v>
      </c>
      <c r="FR2" s="554" t="s">
        <v>49</v>
      </c>
      <c r="FT2" s="554" t="s">
        <v>29</v>
      </c>
      <c r="FU2" s="554" t="s">
        <v>948</v>
      </c>
      <c r="FV2" s="554" t="s">
        <v>137</v>
      </c>
      <c r="FW2" s="554" t="s">
        <v>1502</v>
      </c>
      <c r="FX2" s="554" t="s">
        <v>1504</v>
      </c>
      <c r="FY2" s="438" t="s">
        <v>1254</v>
      </c>
      <c r="FZ2" s="554" t="s">
        <v>215</v>
      </c>
      <c r="GA2" s="554" t="s">
        <v>202</v>
      </c>
    </row>
    <row r="3" spans="1:183" x14ac:dyDescent="0.2">
      <c r="A3" s="1238" t="s">
        <v>978</v>
      </c>
      <c r="B3" s="532">
        <v>2008</v>
      </c>
      <c r="C3" s="54">
        <v>2008</v>
      </c>
      <c r="D3" s="54">
        <v>2008</v>
      </c>
      <c r="E3" s="54">
        <v>2015</v>
      </c>
      <c r="F3" s="54">
        <v>2015</v>
      </c>
      <c r="G3" s="54">
        <v>2015</v>
      </c>
      <c r="H3" s="54">
        <v>2015</v>
      </c>
      <c r="I3" s="54">
        <v>2008</v>
      </c>
      <c r="J3" s="54">
        <v>2008</v>
      </c>
      <c r="K3" s="54">
        <v>2008</v>
      </c>
      <c r="L3" s="54">
        <v>2009</v>
      </c>
      <c r="M3" s="54">
        <v>2009</v>
      </c>
      <c r="N3" s="54">
        <v>2010</v>
      </c>
      <c r="O3" s="54">
        <v>2010</v>
      </c>
      <c r="P3" s="54">
        <v>2011</v>
      </c>
      <c r="Q3" s="54">
        <v>2011</v>
      </c>
      <c r="R3" s="54">
        <v>2011</v>
      </c>
      <c r="S3" s="54">
        <v>2011</v>
      </c>
      <c r="T3" s="54">
        <v>2011</v>
      </c>
      <c r="U3" s="54">
        <v>2011</v>
      </c>
      <c r="V3" s="54">
        <v>2010</v>
      </c>
      <c r="W3" s="54">
        <v>2010</v>
      </c>
      <c r="X3" s="54">
        <v>2010</v>
      </c>
      <c r="Y3" s="54">
        <v>2010</v>
      </c>
      <c r="Z3" s="54">
        <v>2010</v>
      </c>
      <c r="AA3" s="532">
        <v>2010</v>
      </c>
      <c r="AB3" s="54">
        <v>2011</v>
      </c>
      <c r="AC3" s="54">
        <v>2009</v>
      </c>
      <c r="AD3" s="532">
        <v>2009</v>
      </c>
      <c r="AE3" s="54">
        <v>2009</v>
      </c>
      <c r="AF3" s="54">
        <v>2009</v>
      </c>
      <c r="AG3" s="54">
        <v>2009</v>
      </c>
      <c r="AH3" s="54">
        <v>2003</v>
      </c>
      <c r="AI3" s="54">
        <v>2009</v>
      </c>
      <c r="AJ3" s="54">
        <v>2013</v>
      </c>
      <c r="AK3" s="54">
        <v>2015</v>
      </c>
      <c r="AL3" s="532">
        <v>2010</v>
      </c>
      <c r="AM3" s="532">
        <v>2010</v>
      </c>
      <c r="AN3" s="532">
        <v>2010</v>
      </c>
      <c r="AO3" s="54">
        <v>2010</v>
      </c>
      <c r="AP3" s="54">
        <v>2010</v>
      </c>
      <c r="AQ3" s="54">
        <v>2010</v>
      </c>
      <c r="AR3" s="54">
        <v>2010</v>
      </c>
      <c r="AS3" s="532">
        <v>2009</v>
      </c>
      <c r="AT3" s="54">
        <v>2009</v>
      </c>
      <c r="AU3" s="54">
        <v>2009</v>
      </c>
      <c r="AV3" s="54">
        <v>2009</v>
      </c>
      <c r="AW3" s="54">
        <v>2009</v>
      </c>
      <c r="AX3" s="532">
        <v>2009</v>
      </c>
      <c r="AY3" s="54">
        <v>2010</v>
      </c>
      <c r="AZ3" s="54">
        <v>2008</v>
      </c>
      <c r="BA3" s="1289">
        <v>2009</v>
      </c>
      <c r="BB3" s="1289">
        <v>2009</v>
      </c>
      <c r="BC3" s="1587">
        <v>2010</v>
      </c>
      <c r="BD3" s="54">
        <v>2009</v>
      </c>
      <c r="BE3" s="54">
        <v>2009</v>
      </c>
      <c r="BF3" s="54">
        <v>2009</v>
      </c>
      <c r="BG3" s="54">
        <v>2009</v>
      </c>
      <c r="BH3" s="54">
        <v>2009</v>
      </c>
      <c r="BI3" s="54">
        <v>2009</v>
      </c>
      <c r="BJ3" s="54">
        <v>2009</v>
      </c>
      <c r="BK3" s="54">
        <v>2009</v>
      </c>
      <c r="BL3" s="532">
        <v>2010</v>
      </c>
      <c r="BM3" s="532">
        <v>2010</v>
      </c>
      <c r="BN3" s="532">
        <v>2010</v>
      </c>
      <c r="BO3" s="54">
        <v>2009</v>
      </c>
      <c r="BP3" s="54">
        <v>2009</v>
      </c>
      <c r="BQ3" s="54">
        <v>2009</v>
      </c>
      <c r="BR3" s="54">
        <v>2009</v>
      </c>
      <c r="BS3" s="54">
        <v>2010</v>
      </c>
      <c r="BT3" s="532">
        <v>2010</v>
      </c>
      <c r="BU3" s="54">
        <v>2013</v>
      </c>
      <c r="BV3" s="532">
        <v>2015</v>
      </c>
      <c r="BW3" s="54">
        <v>2009</v>
      </c>
      <c r="BX3" s="532">
        <v>2013</v>
      </c>
      <c r="BY3" s="54">
        <v>2015</v>
      </c>
      <c r="BZ3" s="54">
        <v>2015</v>
      </c>
      <c r="CA3" s="54">
        <v>2009</v>
      </c>
      <c r="CB3" s="532">
        <v>2010</v>
      </c>
      <c r="CC3" s="54">
        <v>2010</v>
      </c>
      <c r="CD3" s="532">
        <v>2010</v>
      </c>
      <c r="CE3" s="54">
        <v>2010</v>
      </c>
      <c r="CF3" s="54">
        <v>2009</v>
      </c>
      <c r="CG3" s="54">
        <v>2009</v>
      </c>
      <c r="CH3" s="54">
        <v>2009</v>
      </c>
      <c r="CI3" s="54">
        <v>2010</v>
      </c>
      <c r="CJ3" s="54">
        <v>2011</v>
      </c>
      <c r="CK3" s="532">
        <v>2012</v>
      </c>
      <c r="CL3" s="54">
        <v>2015</v>
      </c>
      <c r="CM3" s="532">
        <v>2009</v>
      </c>
      <c r="CN3" s="532">
        <v>2015</v>
      </c>
      <c r="CO3" s="532">
        <v>2015</v>
      </c>
      <c r="CP3" s="532">
        <v>2015</v>
      </c>
      <c r="CQ3" s="54">
        <v>2010</v>
      </c>
      <c r="CR3" s="54">
        <v>2010</v>
      </c>
      <c r="CS3" s="54">
        <v>2010</v>
      </c>
      <c r="CT3" s="54">
        <v>2010</v>
      </c>
      <c r="CU3" s="54">
        <v>2010</v>
      </c>
      <c r="CV3" s="54">
        <v>2015</v>
      </c>
      <c r="CW3" s="532">
        <v>2011</v>
      </c>
      <c r="CX3" s="532">
        <v>2011</v>
      </c>
      <c r="CY3" s="54">
        <v>2011</v>
      </c>
      <c r="CZ3" s="54">
        <v>2004</v>
      </c>
      <c r="DA3" s="54">
        <v>2009</v>
      </c>
      <c r="DB3" s="532">
        <v>2008</v>
      </c>
      <c r="DC3" s="54">
        <v>2008</v>
      </c>
      <c r="DD3" s="54">
        <v>2011</v>
      </c>
      <c r="DE3" s="54">
        <v>2011</v>
      </c>
      <c r="DF3" s="54">
        <v>2010</v>
      </c>
      <c r="DG3" s="1289">
        <v>2010</v>
      </c>
      <c r="DH3" s="54">
        <v>2010</v>
      </c>
      <c r="DI3" s="54">
        <v>2009</v>
      </c>
      <c r="DJ3" s="532">
        <v>2010</v>
      </c>
      <c r="DK3" s="54">
        <v>2012</v>
      </c>
      <c r="DL3" s="54">
        <v>2010</v>
      </c>
      <c r="DM3" s="54">
        <v>2009</v>
      </c>
      <c r="DN3" s="54">
        <v>2010</v>
      </c>
      <c r="DO3" s="532">
        <v>2015</v>
      </c>
      <c r="DP3" s="54">
        <v>2013</v>
      </c>
      <c r="DQ3" s="54">
        <v>2004</v>
      </c>
      <c r="DR3" s="54">
        <v>2010</v>
      </c>
      <c r="DS3" s="54">
        <v>2010</v>
      </c>
      <c r="DT3" s="532">
        <v>2015</v>
      </c>
      <c r="DU3" s="54">
        <v>2009</v>
      </c>
      <c r="DV3" s="54">
        <v>2015</v>
      </c>
      <c r="DW3" s="54">
        <v>2009</v>
      </c>
      <c r="DX3" s="54">
        <v>2006</v>
      </c>
      <c r="DY3" s="54">
        <v>2010</v>
      </c>
      <c r="DZ3" s="532">
        <v>2015</v>
      </c>
      <c r="EA3" s="54">
        <v>2003</v>
      </c>
      <c r="EB3" s="54">
        <v>2010</v>
      </c>
      <c r="EC3" s="532">
        <v>2011</v>
      </c>
      <c r="ED3" s="54">
        <v>2008</v>
      </c>
      <c r="EE3" s="54">
        <v>2008</v>
      </c>
      <c r="EF3" s="532">
        <v>2011</v>
      </c>
      <c r="EG3" s="532">
        <v>2013</v>
      </c>
      <c r="EH3" s="54">
        <v>2009</v>
      </c>
      <c r="EI3" s="532">
        <v>2003</v>
      </c>
      <c r="EJ3" s="54">
        <v>2009</v>
      </c>
      <c r="EK3" s="54">
        <v>2013</v>
      </c>
      <c r="EL3" s="54">
        <v>2013</v>
      </c>
      <c r="EM3" s="54">
        <v>2009</v>
      </c>
      <c r="EN3" s="54">
        <v>2010</v>
      </c>
      <c r="EO3" s="54">
        <v>2015</v>
      </c>
      <c r="EP3" s="54">
        <v>2008</v>
      </c>
      <c r="EQ3" s="54">
        <v>2009</v>
      </c>
      <c r="ER3" s="54">
        <v>2010</v>
      </c>
      <c r="ES3" s="54">
        <v>2010</v>
      </c>
      <c r="ET3" s="54">
        <v>2015</v>
      </c>
      <c r="EU3" s="54">
        <v>2007</v>
      </c>
      <c r="EV3" s="532">
        <v>2010</v>
      </c>
      <c r="EW3" s="532">
        <v>2010</v>
      </c>
      <c r="EX3" s="532">
        <v>2010</v>
      </c>
      <c r="EY3" s="532">
        <v>2010</v>
      </c>
      <c r="EZ3" s="54">
        <v>2010</v>
      </c>
      <c r="FA3" s="54">
        <v>2010</v>
      </c>
      <c r="FB3" s="54">
        <v>2011</v>
      </c>
      <c r="FC3" s="54">
        <v>2011</v>
      </c>
      <c r="FD3" s="532">
        <v>2011</v>
      </c>
      <c r="FE3" s="54">
        <v>2011</v>
      </c>
      <c r="FF3" s="54">
        <v>2011</v>
      </c>
      <c r="FG3" s="532">
        <v>2012</v>
      </c>
      <c r="FH3" s="54">
        <v>2006</v>
      </c>
      <c r="FJ3" s="54" t="s">
        <v>150</v>
      </c>
      <c r="FK3" s="54" t="s">
        <v>150</v>
      </c>
      <c r="FM3" s="54">
        <v>2016</v>
      </c>
      <c r="FQ3" s="532">
        <v>2016</v>
      </c>
      <c r="FV3" s="532">
        <v>2015</v>
      </c>
      <c r="FW3" s="532">
        <v>2015</v>
      </c>
      <c r="FX3" s="532">
        <v>2015</v>
      </c>
      <c r="FY3" s="54">
        <v>2015</v>
      </c>
      <c r="FZ3" s="532">
        <v>2016</v>
      </c>
      <c r="GA3" s="532">
        <v>2016</v>
      </c>
    </row>
    <row r="4" spans="1:183" x14ac:dyDescent="0.2">
      <c r="A4" s="602" t="s">
        <v>151</v>
      </c>
    </row>
    <row r="5" spans="1:183" x14ac:dyDescent="0.2">
      <c r="A5" s="602" t="s">
        <v>152</v>
      </c>
      <c r="Q5" s="614"/>
    </row>
    <row r="6" spans="1:183" x14ac:dyDescent="0.2">
      <c r="A6" s="439" t="s">
        <v>153</v>
      </c>
      <c r="B6" s="532">
        <v>5828740</v>
      </c>
      <c r="C6" s="614">
        <v>11980535</v>
      </c>
      <c r="D6" s="614">
        <v>21684000</v>
      </c>
      <c r="E6" s="614">
        <v>7267740</v>
      </c>
      <c r="F6" s="614">
        <v>3875970</v>
      </c>
      <c r="G6" s="532">
        <v>6416803</v>
      </c>
      <c r="H6" s="614">
        <v>4602310</v>
      </c>
      <c r="I6" s="614">
        <v>33100470</v>
      </c>
      <c r="J6" s="614">
        <v>17944720</v>
      </c>
      <c r="K6" s="614">
        <v>9166270</v>
      </c>
      <c r="L6" s="614">
        <v>3957412</v>
      </c>
      <c r="M6" s="614">
        <v>2766945</v>
      </c>
      <c r="N6" s="614">
        <v>7027270</v>
      </c>
      <c r="O6" s="614">
        <v>12087425</v>
      </c>
      <c r="P6" s="532">
        <v>8068900</v>
      </c>
      <c r="Q6" s="532">
        <v>3310350</v>
      </c>
      <c r="R6" s="614">
        <v>5371991</v>
      </c>
      <c r="S6" s="614">
        <v>13614000</v>
      </c>
      <c r="T6" s="614">
        <v>8344555</v>
      </c>
      <c r="U6" s="532">
        <v>7816036</v>
      </c>
      <c r="V6" s="614">
        <v>13269780</v>
      </c>
      <c r="W6" s="614">
        <v>14953245</v>
      </c>
      <c r="X6" s="614">
        <v>10013170</v>
      </c>
      <c r="Y6" s="614">
        <v>9394860</v>
      </c>
      <c r="Z6" s="614">
        <v>16256505</v>
      </c>
      <c r="AA6" s="532">
        <v>2134205</v>
      </c>
      <c r="AB6" s="532">
        <v>10990832</v>
      </c>
      <c r="AC6" s="614">
        <v>51532750</v>
      </c>
      <c r="AD6" s="614">
        <f>7793639</f>
        <v>7793639</v>
      </c>
      <c r="AE6" s="614">
        <v>14526530</v>
      </c>
      <c r="AF6" s="614">
        <v>6643020</v>
      </c>
      <c r="AG6" s="614">
        <v>14082170</v>
      </c>
      <c r="AH6" s="614">
        <v>35987095</v>
      </c>
      <c r="AI6" s="614">
        <v>30257900</v>
      </c>
      <c r="AJ6" s="532">
        <v>34827878</v>
      </c>
      <c r="AK6" s="532">
        <v>20122782</v>
      </c>
      <c r="AL6" s="532">
        <f t="shared" ref="AL6:AL28" si="0">+FN6/3</f>
        <v>6223943.666666667</v>
      </c>
      <c r="AM6" s="532">
        <f t="shared" ref="AM6:AM28" si="1">+FN6/3</f>
        <v>6223943.666666667</v>
      </c>
      <c r="AN6" s="532">
        <f t="shared" ref="AN6:AN28" si="2">+FN6/3</f>
        <v>6223943.666666667</v>
      </c>
      <c r="AO6" s="614">
        <v>8044240</v>
      </c>
      <c r="AP6" s="614">
        <v>6512211</v>
      </c>
      <c r="AQ6" s="614">
        <v>15249605</v>
      </c>
      <c r="AR6" s="614">
        <v>20261730</v>
      </c>
      <c r="AS6" s="532">
        <v>8508363</v>
      </c>
      <c r="AT6" s="614">
        <v>10427913</v>
      </c>
      <c r="AU6" s="614">
        <v>9397190</v>
      </c>
      <c r="AV6" s="614">
        <v>16450439</v>
      </c>
      <c r="AW6" s="614">
        <v>6166860</v>
      </c>
      <c r="AX6" s="532">
        <v>7773677</v>
      </c>
      <c r="AY6" s="614">
        <v>8273915</v>
      </c>
      <c r="AZ6" s="614">
        <v>82028250</v>
      </c>
      <c r="BA6" s="614"/>
      <c r="BB6" s="614">
        <v>7832516</v>
      </c>
      <c r="BC6" s="532">
        <v>5034966</v>
      </c>
      <c r="BD6" s="614">
        <v>10650530</v>
      </c>
      <c r="BE6" s="614">
        <v>8062500</v>
      </c>
      <c r="BF6" s="614">
        <v>3787100</v>
      </c>
      <c r="BG6" s="614">
        <v>16709690</v>
      </c>
      <c r="BH6" s="614">
        <v>11112690</v>
      </c>
      <c r="BI6" s="614">
        <v>9117140</v>
      </c>
      <c r="BJ6" s="614">
        <v>5057780</v>
      </c>
      <c r="BK6" s="614">
        <v>34736330</v>
      </c>
      <c r="BL6" s="532">
        <v>5257202</v>
      </c>
      <c r="BM6" s="532">
        <v>10482005</v>
      </c>
      <c r="BN6" s="532">
        <v>62938742</v>
      </c>
      <c r="BO6" s="614">
        <v>30525310</v>
      </c>
      <c r="BP6" s="614">
        <v>9421552</v>
      </c>
      <c r="BQ6" s="614">
        <v>7540665</v>
      </c>
      <c r="BR6" s="614">
        <v>9474036</v>
      </c>
      <c r="BS6" s="614">
        <v>53535404</v>
      </c>
      <c r="BT6" s="532">
        <v>25133885</v>
      </c>
      <c r="BU6" s="614">
        <v>27653658</v>
      </c>
      <c r="BV6" s="532">
        <v>17043598</v>
      </c>
      <c r="BW6" s="614">
        <v>24443168</v>
      </c>
      <c r="BX6" s="532">
        <v>8527215</v>
      </c>
      <c r="BY6" s="614">
        <v>25396965</v>
      </c>
      <c r="BZ6" s="614">
        <v>12538690</v>
      </c>
      <c r="CA6" s="614">
        <v>53284837</v>
      </c>
      <c r="CB6" s="532">
        <v>22363990</v>
      </c>
      <c r="CC6" s="532">
        <v>23421293</v>
      </c>
      <c r="CD6" s="532">
        <v>10607620</v>
      </c>
      <c r="CE6" s="614">
        <v>405429210</v>
      </c>
      <c r="CF6" s="614">
        <v>36140450</v>
      </c>
      <c r="CH6" s="614">
        <v>16765735</v>
      </c>
      <c r="CI6" s="54">
        <v>6330160</v>
      </c>
      <c r="CJ6" s="614">
        <v>1437550</v>
      </c>
      <c r="CK6" s="532">
        <f>20744150+11689990</f>
        <v>32434140</v>
      </c>
      <c r="CL6" s="532">
        <v>5183045</v>
      </c>
      <c r="CM6" s="532">
        <v>87213998</v>
      </c>
      <c r="CN6" s="532">
        <v>18160593</v>
      </c>
      <c r="CO6" s="532">
        <f>16880721+3331334</f>
        <v>20212055</v>
      </c>
      <c r="CP6" s="532">
        <v>7146830</v>
      </c>
      <c r="CQ6" s="614">
        <v>19524201</v>
      </c>
      <c r="CR6" s="614">
        <v>28775421</v>
      </c>
      <c r="CS6" s="614">
        <v>8905000</v>
      </c>
      <c r="CT6" s="614">
        <v>17959268</v>
      </c>
      <c r="CU6" s="614">
        <v>13875412</v>
      </c>
      <c r="CV6" s="614">
        <v>19075395</v>
      </c>
      <c r="CW6" s="532">
        <v>19935263</v>
      </c>
      <c r="CX6" s="532">
        <v>5647650</v>
      </c>
      <c r="CY6" s="614">
        <v>13737410</v>
      </c>
      <c r="CZ6" s="614">
        <v>210727176</v>
      </c>
      <c r="DA6" s="614">
        <v>45948790</v>
      </c>
      <c r="DB6" s="532">
        <v>25311419</v>
      </c>
      <c r="DC6" s="614">
        <f>7983857+2914000</f>
        <v>10897857</v>
      </c>
      <c r="DE6" s="614">
        <v>17125600</v>
      </c>
      <c r="DF6" s="614">
        <v>58591220</v>
      </c>
      <c r="DG6" s="614">
        <v>121216740</v>
      </c>
      <c r="DH6" s="614">
        <v>111379739</v>
      </c>
      <c r="DI6" s="614">
        <v>49940124</v>
      </c>
      <c r="DJ6" s="532">
        <v>615195572</v>
      </c>
      <c r="DK6" s="614">
        <v>157869822</v>
      </c>
      <c r="DL6" s="614">
        <v>47852670</v>
      </c>
      <c r="DM6" s="614">
        <v>68757838</v>
      </c>
      <c r="DN6" s="614">
        <v>32773877</v>
      </c>
      <c r="DO6" s="532">
        <v>26378175</v>
      </c>
      <c r="DP6" s="614">
        <v>11189510</v>
      </c>
      <c r="DQ6" s="614">
        <v>251929420</v>
      </c>
      <c r="DR6" s="614">
        <v>3114125</v>
      </c>
      <c r="DS6" s="614">
        <v>13499620</v>
      </c>
      <c r="DT6" s="532">
        <v>13394101</v>
      </c>
      <c r="DU6" s="614">
        <v>36034228</v>
      </c>
      <c r="DV6" s="614">
        <v>19758450</v>
      </c>
      <c r="DW6" s="614">
        <v>34016833</v>
      </c>
      <c r="DX6" s="614">
        <v>102382911</v>
      </c>
      <c r="DY6" s="614">
        <v>48552042</v>
      </c>
      <c r="DZ6" s="532">
        <v>2478592</v>
      </c>
      <c r="EA6" s="614">
        <v>858335575</v>
      </c>
      <c r="EB6" s="614">
        <v>5064385</v>
      </c>
      <c r="EC6" s="532">
        <v>24567999</v>
      </c>
      <c r="ED6" s="614">
        <v>124219432</v>
      </c>
      <c r="EE6" s="614">
        <v>6988430</v>
      </c>
      <c r="EF6" s="532">
        <v>7244087</v>
      </c>
      <c r="EG6" s="532">
        <f>26053905+1469000</f>
        <v>27522905</v>
      </c>
      <c r="EH6" s="614">
        <v>76464078</v>
      </c>
      <c r="EI6" s="532">
        <f>287882702-15939737</f>
        <v>271942965</v>
      </c>
      <c r="EJ6" s="614">
        <v>44829754</v>
      </c>
      <c r="EK6" s="614">
        <v>10733930</v>
      </c>
      <c r="EL6" s="614">
        <v>11159115</v>
      </c>
      <c r="EM6" s="614">
        <v>30736173</v>
      </c>
      <c r="EN6" s="614">
        <v>26070000</v>
      </c>
      <c r="EO6" s="614">
        <v>4832905</v>
      </c>
      <c r="EP6" s="614">
        <v>137296000</v>
      </c>
      <c r="EQ6" s="614">
        <v>48516510</v>
      </c>
      <c r="ER6" s="614">
        <v>96166780</v>
      </c>
      <c r="ES6" s="614">
        <v>28351983</v>
      </c>
      <c r="ET6" s="614">
        <v>14619068</v>
      </c>
      <c r="EU6" s="614">
        <v>216773051</v>
      </c>
      <c r="EV6" s="532">
        <v>25778022</v>
      </c>
      <c r="EW6" s="532">
        <v>31123576</v>
      </c>
      <c r="EX6" s="532">
        <v>28947350</v>
      </c>
      <c r="EY6" s="532">
        <v>15916825</v>
      </c>
      <c r="EZ6" s="532">
        <v>11858935</v>
      </c>
      <c r="FA6" s="614">
        <v>50695900</v>
      </c>
      <c r="FB6" s="614">
        <v>13140700</v>
      </c>
      <c r="FC6" s="614">
        <v>15344191</v>
      </c>
      <c r="FD6" s="532">
        <v>16931925</v>
      </c>
      <c r="FE6" s="614">
        <v>9716580</v>
      </c>
      <c r="FF6" s="614">
        <v>12177175</v>
      </c>
      <c r="FG6" s="532">
        <v>9178300</v>
      </c>
      <c r="FH6" s="614">
        <v>71102100</v>
      </c>
      <c r="FI6" s="614"/>
      <c r="FJ6" s="614">
        <v>5257202</v>
      </c>
      <c r="FK6" s="54">
        <v>0</v>
      </c>
      <c r="FL6" s="614">
        <v>4772540</v>
      </c>
      <c r="FM6" s="614">
        <v>84644665</v>
      </c>
      <c r="FN6" s="614">
        <v>18671831</v>
      </c>
      <c r="FO6" s="532">
        <v>7855468</v>
      </c>
      <c r="FP6" s="532">
        <v>11962600</v>
      </c>
      <c r="FQ6" s="532">
        <v>31482575</v>
      </c>
      <c r="FR6" s="532">
        <v>19075395</v>
      </c>
      <c r="FT6" s="532"/>
      <c r="FU6" s="532">
        <v>16242550</v>
      </c>
      <c r="FV6" s="532">
        <f>5917*1000</f>
        <v>5917000</v>
      </c>
      <c r="FX6" s="532">
        <v>5893185</v>
      </c>
      <c r="FY6" s="614"/>
      <c r="FZ6" s="532">
        <v>14708858</v>
      </c>
      <c r="GA6" s="532">
        <v>17805118</v>
      </c>
    </row>
    <row r="7" spans="1:183" x14ac:dyDescent="0.2">
      <c r="A7" s="439" t="s">
        <v>154</v>
      </c>
      <c r="B7" s="532">
        <v>341440</v>
      </c>
      <c r="C7" s="614">
        <v>976800</v>
      </c>
      <c r="G7" s="532">
        <v>350000</v>
      </c>
      <c r="H7" s="54">
        <v>0</v>
      </c>
      <c r="I7" s="614">
        <v>803000</v>
      </c>
      <c r="J7" s="54">
        <v>0</v>
      </c>
      <c r="K7" s="54">
        <v>0</v>
      </c>
      <c r="L7" s="54">
        <v>0</v>
      </c>
      <c r="M7" s="54">
        <v>0</v>
      </c>
      <c r="N7" s="614">
        <v>40000</v>
      </c>
      <c r="O7" s="614">
        <v>1266500</v>
      </c>
      <c r="R7" s="614"/>
      <c r="S7" s="614"/>
      <c r="T7" s="54">
        <v>0</v>
      </c>
      <c r="U7" s="532">
        <v>370000</v>
      </c>
      <c r="V7" s="614">
        <v>625000</v>
      </c>
      <c r="W7" s="614">
        <v>1544000</v>
      </c>
      <c r="X7" s="614">
        <v>500000</v>
      </c>
      <c r="Z7" s="614">
        <v>674012</v>
      </c>
      <c r="AC7" s="614">
        <v>1594000</v>
      </c>
      <c r="AE7" s="614">
        <v>490000</v>
      </c>
      <c r="AF7" s="54">
        <v>0</v>
      </c>
      <c r="AG7" s="54">
        <v>0</v>
      </c>
      <c r="AH7" s="614">
        <v>6286682</v>
      </c>
      <c r="AI7" s="614">
        <v>1450000</v>
      </c>
      <c r="AJ7" s="532">
        <v>644320</v>
      </c>
      <c r="AL7" s="532">
        <f t="shared" si="0"/>
        <v>220000</v>
      </c>
      <c r="AM7" s="532">
        <f t="shared" si="1"/>
        <v>220000</v>
      </c>
      <c r="AN7" s="532">
        <f t="shared" si="2"/>
        <v>220000</v>
      </c>
      <c r="AO7" s="54">
        <v>0</v>
      </c>
      <c r="AP7" s="614"/>
      <c r="AQ7" s="54">
        <v>0</v>
      </c>
      <c r="AR7" s="54">
        <v>0</v>
      </c>
      <c r="AS7" s="532">
        <v>1097487</v>
      </c>
      <c r="AT7" s="54">
        <v>0</v>
      </c>
      <c r="AU7" s="614">
        <v>935000</v>
      </c>
      <c r="AV7" s="54">
        <v>0</v>
      </c>
      <c r="AW7" s="54">
        <v>0</v>
      </c>
      <c r="AX7" s="532">
        <v>730000</v>
      </c>
      <c r="AY7" s="54">
        <v>0</v>
      </c>
      <c r="AZ7" s="614">
        <v>24762000</v>
      </c>
      <c r="BA7" s="614"/>
      <c r="BB7" s="614">
        <v>216000</v>
      </c>
      <c r="BD7" s="614">
        <v>20000</v>
      </c>
      <c r="BE7" s="614">
        <v>530787</v>
      </c>
      <c r="BG7" s="614">
        <v>1721000</v>
      </c>
      <c r="BH7" s="614">
        <v>979000</v>
      </c>
      <c r="BI7" s="614">
        <v>547000</v>
      </c>
      <c r="BJ7" s="54">
        <v>0</v>
      </c>
      <c r="BK7" s="614">
        <v>2715000</v>
      </c>
      <c r="BN7" s="532">
        <v>300000</v>
      </c>
      <c r="BO7" s="614">
        <v>298400</v>
      </c>
      <c r="BP7" s="54">
        <v>0</v>
      </c>
      <c r="BR7" s="54">
        <v>0</v>
      </c>
      <c r="BS7" s="54">
        <v>0</v>
      </c>
      <c r="BT7" s="532">
        <v>0</v>
      </c>
      <c r="BU7" s="54">
        <v>0</v>
      </c>
      <c r="BV7" s="532">
        <v>2578000</v>
      </c>
      <c r="BW7" s="54">
        <v>0</v>
      </c>
      <c r="BY7" s="614"/>
      <c r="BZ7" s="614">
        <v>750000</v>
      </c>
      <c r="CA7" s="532">
        <v>2200000</v>
      </c>
      <c r="CB7" s="532">
        <v>1235000</v>
      </c>
      <c r="CC7" s="532">
        <v>2320000</v>
      </c>
      <c r="CD7" s="532">
        <v>690000</v>
      </c>
      <c r="CE7" s="614">
        <v>49433232</v>
      </c>
      <c r="CF7" s="614">
        <v>1907000</v>
      </c>
      <c r="CH7" s="614">
        <v>893627</v>
      </c>
      <c r="CI7" s="54">
        <v>130000</v>
      </c>
      <c r="CJ7" s="54">
        <v>0</v>
      </c>
      <c r="CK7" s="532">
        <f>1000000+1350000</f>
        <v>2350000</v>
      </c>
      <c r="CL7" s="532">
        <v>1034000</v>
      </c>
      <c r="CM7" s="532">
        <v>6038500</v>
      </c>
      <c r="CO7" s="532">
        <v>2321000</v>
      </c>
      <c r="CP7" s="532">
        <v>1991000</v>
      </c>
      <c r="CQ7" s="614">
        <v>844800</v>
      </c>
      <c r="CR7" s="54">
        <v>0</v>
      </c>
      <c r="CS7" s="614">
        <v>362000</v>
      </c>
      <c r="CT7" s="614">
        <v>1671231</v>
      </c>
      <c r="CU7" s="614">
        <v>1887000</v>
      </c>
      <c r="CV7" s="614">
        <v>960000</v>
      </c>
      <c r="CX7" s="532">
        <v>1113905</v>
      </c>
      <c r="CY7" s="614">
        <v>208200</v>
      </c>
      <c r="CZ7" s="614">
        <v>5900000</v>
      </c>
      <c r="DA7" s="532">
        <v>1300000</v>
      </c>
      <c r="DB7" s="532">
        <v>1757000</v>
      </c>
      <c r="DC7" s="614">
        <v>1840000</v>
      </c>
      <c r="DE7" s="614">
        <v>210000</v>
      </c>
      <c r="DF7" s="614">
        <v>5950000</v>
      </c>
      <c r="DG7" s="614">
        <v>6160000</v>
      </c>
      <c r="DH7" s="614">
        <v>8252411</v>
      </c>
      <c r="DI7" s="614">
        <v>3600000</v>
      </c>
      <c r="DJ7" s="532">
        <v>6893390</v>
      </c>
      <c r="DK7" s="614">
        <v>8685213</v>
      </c>
      <c r="DL7" s="614">
        <v>2700000</v>
      </c>
      <c r="DM7" s="614">
        <v>3678048</v>
      </c>
      <c r="DN7" s="614">
        <v>4850000</v>
      </c>
      <c r="DO7" s="532">
        <v>1018000</v>
      </c>
      <c r="DP7" s="614">
        <v>3000000</v>
      </c>
      <c r="DQ7" s="614">
        <v>19837489</v>
      </c>
      <c r="DR7" s="614">
        <v>747514</v>
      </c>
      <c r="DS7" s="614">
        <v>3000000</v>
      </c>
      <c r="DT7" s="532">
        <v>2029768</v>
      </c>
      <c r="DU7" s="614">
        <v>8762400</v>
      </c>
      <c r="DV7" s="614">
        <v>5066646</v>
      </c>
      <c r="DW7" s="614">
        <v>1132143</v>
      </c>
      <c r="DX7" s="614">
        <v>5568000</v>
      </c>
      <c r="DY7" s="614">
        <v>1964320</v>
      </c>
      <c r="EA7" s="614">
        <v>21423191</v>
      </c>
      <c r="EB7" s="54">
        <v>0</v>
      </c>
      <c r="EC7" s="532">
        <v>475000</v>
      </c>
      <c r="ED7" s="614">
        <v>547600</v>
      </c>
      <c r="EE7" s="614">
        <v>2500000</v>
      </c>
      <c r="EH7" s="614">
        <v>400000</v>
      </c>
      <c r="EI7" s="532">
        <f>33624000-488400-874000</f>
        <v>32261600</v>
      </c>
      <c r="EJ7" s="614">
        <v>2685982</v>
      </c>
      <c r="EL7" s="54">
        <v>0</v>
      </c>
      <c r="EM7" s="614">
        <v>1199220</v>
      </c>
      <c r="EN7" s="614">
        <v>2984000</v>
      </c>
      <c r="EP7" s="614">
        <v>9223000</v>
      </c>
      <c r="EQ7" s="54">
        <v>0</v>
      </c>
      <c r="ER7" s="614">
        <v>980051</v>
      </c>
      <c r="ET7" s="532">
        <v>470000</v>
      </c>
      <c r="EU7" s="614">
        <v>14727880</v>
      </c>
      <c r="EV7" s="532">
        <v>808000</v>
      </c>
      <c r="EW7" s="532">
        <v>239424</v>
      </c>
      <c r="EX7" s="532">
        <v>650000</v>
      </c>
      <c r="EY7" s="532">
        <v>500000</v>
      </c>
      <c r="FA7" s="614">
        <v>880000</v>
      </c>
      <c r="FB7" s="614">
        <v>200000</v>
      </c>
      <c r="FF7" s="614">
        <v>210000</v>
      </c>
      <c r="FH7" s="614">
        <v>1724100</v>
      </c>
      <c r="FI7" s="614"/>
      <c r="FJ7" s="54">
        <v>0</v>
      </c>
      <c r="FK7" s="54">
        <v>0</v>
      </c>
      <c r="FL7" s="614">
        <v>33600</v>
      </c>
      <c r="FM7" s="614">
        <v>3771834</v>
      </c>
      <c r="FN7" s="614">
        <v>660000</v>
      </c>
      <c r="FO7" s="532">
        <v>778954</v>
      </c>
      <c r="FP7" s="532">
        <v>400000</v>
      </c>
      <c r="FQ7" s="532">
        <v>1400000</v>
      </c>
      <c r="FR7" s="532">
        <v>960000</v>
      </c>
      <c r="FU7" s="532">
        <v>1239000</v>
      </c>
      <c r="FV7" s="532">
        <f>5280*1000</f>
        <v>5280000</v>
      </c>
      <c r="FX7" s="532">
        <v>140000</v>
      </c>
      <c r="FY7" s="614"/>
      <c r="FZ7" s="532">
        <v>451600</v>
      </c>
      <c r="GA7" s="532">
        <v>257800</v>
      </c>
    </row>
    <row r="8" spans="1:183" x14ac:dyDescent="0.2">
      <c r="A8" s="439" t="s">
        <v>155</v>
      </c>
      <c r="C8" s="54">
        <v>0</v>
      </c>
      <c r="H8" s="54">
        <v>0</v>
      </c>
      <c r="J8" s="54">
        <v>0</v>
      </c>
      <c r="K8" s="54">
        <v>0</v>
      </c>
      <c r="L8" s="54">
        <v>0</v>
      </c>
      <c r="M8" s="54">
        <v>0</v>
      </c>
      <c r="T8" s="54">
        <v>0</v>
      </c>
      <c r="V8" s="54">
        <v>0</v>
      </c>
      <c r="AD8" s="532">
        <v>0</v>
      </c>
      <c r="AE8" s="54">
        <v>0</v>
      </c>
      <c r="AF8" s="54">
        <v>0</v>
      </c>
      <c r="AG8" s="54">
        <v>0</v>
      </c>
      <c r="AH8" s="614"/>
      <c r="AI8" s="54">
        <v>0</v>
      </c>
      <c r="AL8" s="532">
        <f t="shared" si="0"/>
        <v>0</v>
      </c>
      <c r="AM8" s="532">
        <f t="shared" si="1"/>
        <v>0</v>
      </c>
      <c r="AN8" s="532">
        <f t="shared" si="2"/>
        <v>0</v>
      </c>
      <c r="AO8" s="54">
        <v>0</v>
      </c>
      <c r="AQ8" s="54">
        <v>0</v>
      </c>
      <c r="AR8" s="54">
        <v>0</v>
      </c>
      <c r="AT8" s="54">
        <v>0</v>
      </c>
      <c r="AU8" s="54">
        <v>0</v>
      </c>
      <c r="AV8" s="54">
        <v>0</v>
      </c>
      <c r="AW8" s="54">
        <v>0</v>
      </c>
      <c r="AY8" s="54">
        <v>0</v>
      </c>
      <c r="BB8" s="54">
        <v>1948000</v>
      </c>
      <c r="BD8" s="54">
        <v>0</v>
      </c>
      <c r="BG8" s="54">
        <v>0</v>
      </c>
      <c r="BI8" s="614"/>
      <c r="BJ8" s="54">
        <v>0</v>
      </c>
      <c r="BK8" s="54">
        <v>0</v>
      </c>
      <c r="BN8" s="532">
        <v>3070800</v>
      </c>
      <c r="BO8" s="54">
        <v>0</v>
      </c>
      <c r="BP8" s="54">
        <v>0</v>
      </c>
      <c r="BR8" s="54">
        <v>0</v>
      </c>
      <c r="BS8" s="54">
        <v>0</v>
      </c>
      <c r="BT8" s="532">
        <v>0</v>
      </c>
      <c r="BU8" s="54">
        <v>0</v>
      </c>
      <c r="BW8" s="614">
        <v>3936067</v>
      </c>
      <c r="BY8" s="614"/>
      <c r="BZ8" s="614"/>
      <c r="CB8" s="532">
        <v>65000</v>
      </c>
      <c r="CE8" s="614">
        <v>200000</v>
      </c>
      <c r="CF8" s="54">
        <v>0</v>
      </c>
      <c r="CH8" s="54">
        <v>0</v>
      </c>
      <c r="CJ8" s="54">
        <v>0</v>
      </c>
      <c r="CM8" s="532">
        <v>7695000</v>
      </c>
      <c r="CO8" s="532">
        <v>4352800</v>
      </c>
      <c r="CR8" s="614">
        <v>2900000</v>
      </c>
      <c r="CS8" s="614">
        <v>1508000</v>
      </c>
      <c r="CT8" s="614">
        <v>3293000</v>
      </c>
      <c r="CU8" s="54">
        <v>0</v>
      </c>
      <c r="CV8" s="614">
        <v>1115000</v>
      </c>
      <c r="CW8" s="532">
        <v>2400000</v>
      </c>
      <c r="CX8" s="532">
        <v>2836660</v>
      </c>
      <c r="CY8" s="614">
        <v>2600050</v>
      </c>
      <c r="CZ8" s="614">
        <v>24999000</v>
      </c>
      <c r="DA8" s="54">
        <v>0</v>
      </c>
      <c r="DF8" s="614">
        <v>2070000</v>
      </c>
      <c r="DG8" s="614">
        <v>20327957</v>
      </c>
      <c r="DH8" s="614">
        <v>22624000</v>
      </c>
      <c r="DI8" s="614"/>
      <c r="DJ8" s="532">
        <v>76832250</v>
      </c>
      <c r="DK8" s="614">
        <v>24517507</v>
      </c>
      <c r="DL8" s="614">
        <v>12190000</v>
      </c>
      <c r="DM8" s="614">
        <v>14964260</v>
      </c>
      <c r="DN8" s="614">
        <v>14858662</v>
      </c>
      <c r="DO8" s="532">
        <v>721840</v>
      </c>
      <c r="DP8" s="614"/>
      <c r="DQ8" s="614">
        <v>25503534</v>
      </c>
      <c r="DR8" s="54">
        <v>0</v>
      </c>
      <c r="DS8" s="54">
        <v>0</v>
      </c>
      <c r="DT8" s="532">
        <v>2021386</v>
      </c>
      <c r="DV8" s="614"/>
      <c r="DW8" s="614">
        <v>5700240</v>
      </c>
      <c r="EB8" s="54">
        <v>0</v>
      </c>
      <c r="EE8" s="54">
        <v>0</v>
      </c>
      <c r="EH8" s="614">
        <v>22123929</v>
      </c>
      <c r="EI8" s="532">
        <v>48183000</v>
      </c>
      <c r="EJ8" s="614">
        <v>8021694</v>
      </c>
      <c r="EL8" s="54">
        <v>0</v>
      </c>
      <c r="EM8" s="54">
        <v>0</v>
      </c>
      <c r="EN8" s="614">
        <v>2346000</v>
      </c>
      <c r="EP8" s="614">
        <v>3180000</v>
      </c>
      <c r="EQ8" s="54">
        <v>0</v>
      </c>
      <c r="EU8" s="54">
        <v>0</v>
      </c>
      <c r="FA8" s="54">
        <v>0</v>
      </c>
      <c r="FJ8" s="54">
        <v>0</v>
      </c>
      <c r="FK8" s="54">
        <v>0</v>
      </c>
      <c r="FL8" s="54">
        <v>0</v>
      </c>
      <c r="FM8" s="614">
        <v>19058021</v>
      </c>
      <c r="FO8" s="532">
        <v>1949267</v>
      </c>
      <c r="FR8" s="532">
        <v>1115000</v>
      </c>
      <c r="FZ8" s="532">
        <v>5250000</v>
      </c>
      <c r="GA8" s="532">
        <v>1819150</v>
      </c>
    </row>
    <row r="9" spans="1:183" x14ac:dyDescent="0.2">
      <c r="A9" s="439" t="s">
        <v>156</v>
      </c>
      <c r="B9" s="532">
        <v>215000</v>
      </c>
      <c r="C9" s="54">
        <v>0</v>
      </c>
      <c r="D9" s="614">
        <v>5800000</v>
      </c>
      <c r="F9" s="614">
        <v>100000</v>
      </c>
      <c r="G9" s="532">
        <v>400000</v>
      </c>
      <c r="H9" s="54">
        <v>0</v>
      </c>
      <c r="I9" s="614">
        <v>5000000</v>
      </c>
      <c r="J9" s="614">
        <v>1000000</v>
      </c>
      <c r="K9" s="54">
        <v>0</v>
      </c>
      <c r="L9" s="54">
        <v>0</v>
      </c>
      <c r="M9" s="54">
        <v>0</v>
      </c>
      <c r="N9" s="614">
        <v>500000</v>
      </c>
      <c r="O9" s="614">
        <v>2350000</v>
      </c>
      <c r="P9" s="532">
        <v>550000</v>
      </c>
      <c r="Q9" s="532"/>
      <c r="R9" s="614"/>
      <c r="S9" s="614"/>
      <c r="T9" s="614">
        <v>1600000</v>
      </c>
      <c r="U9" s="532">
        <v>1750000</v>
      </c>
      <c r="V9" s="614">
        <v>1581000</v>
      </c>
      <c r="W9" s="614">
        <v>3035000</v>
      </c>
      <c r="X9" s="614">
        <v>2450000</v>
      </c>
      <c r="Y9" s="532">
        <v>923000</v>
      </c>
      <c r="Z9" s="614">
        <v>1764000</v>
      </c>
      <c r="AB9" s="532">
        <v>900000</v>
      </c>
      <c r="AC9" s="614">
        <v>4950000</v>
      </c>
      <c r="AD9" s="532">
        <v>1248694</v>
      </c>
      <c r="AE9" s="614">
        <v>1200000</v>
      </c>
      <c r="AF9" s="614">
        <v>250000</v>
      </c>
      <c r="AG9" s="614">
        <v>1100000</v>
      </c>
      <c r="AH9" s="614">
        <v>11000000</v>
      </c>
      <c r="AI9" s="614">
        <v>4750000</v>
      </c>
      <c r="AJ9" s="532">
        <v>10885650</v>
      </c>
      <c r="AL9" s="532">
        <f t="shared" si="0"/>
        <v>660000</v>
      </c>
      <c r="AM9" s="532">
        <f t="shared" si="1"/>
        <v>660000</v>
      </c>
      <c r="AN9" s="532">
        <f t="shared" si="2"/>
        <v>660000</v>
      </c>
      <c r="AO9" s="614">
        <v>300000</v>
      </c>
      <c r="AP9" s="614">
        <v>305633</v>
      </c>
      <c r="AQ9" s="614">
        <v>1500000</v>
      </c>
      <c r="AR9" s="614">
        <v>1000000</v>
      </c>
      <c r="AS9" s="532">
        <v>2100000</v>
      </c>
      <c r="AT9" s="614">
        <v>600000</v>
      </c>
      <c r="AU9" s="614">
        <v>680000</v>
      </c>
      <c r="AV9" s="614">
        <v>488100</v>
      </c>
      <c r="AW9" s="614">
        <v>400000</v>
      </c>
      <c r="AX9" s="532">
        <v>850000</v>
      </c>
      <c r="AY9" s="614">
        <v>800000</v>
      </c>
      <c r="AZ9" s="614">
        <v>16438000</v>
      </c>
      <c r="BA9" s="614"/>
      <c r="BB9" s="614">
        <v>1300000</v>
      </c>
      <c r="BD9" s="614">
        <v>1350000</v>
      </c>
      <c r="BE9" s="614">
        <v>1000000</v>
      </c>
      <c r="BG9" s="614">
        <v>1800000</v>
      </c>
      <c r="BH9" s="529">
        <v>1300000</v>
      </c>
      <c r="BI9" s="614">
        <v>1350000</v>
      </c>
      <c r="BJ9" s="614">
        <v>1100000</v>
      </c>
      <c r="BK9" s="614">
        <v>2000000</v>
      </c>
      <c r="BM9" s="532">
        <v>2000000</v>
      </c>
      <c r="BN9" s="532">
        <v>5300000</v>
      </c>
      <c r="BO9" s="614">
        <v>5600000</v>
      </c>
      <c r="BP9" s="614">
        <v>1300000</v>
      </c>
      <c r="BQ9" s="532">
        <v>650000</v>
      </c>
      <c r="BR9" s="54">
        <v>0</v>
      </c>
      <c r="BS9" s="614">
        <v>7413040</v>
      </c>
      <c r="BT9" s="532">
        <v>0</v>
      </c>
      <c r="BU9" s="54">
        <v>0</v>
      </c>
      <c r="BV9" s="532">
        <v>4400000</v>
      </c>
      <c r="BW9" s="54">
        <v>0</v>
      </c>
      <c r="BX9" s="532">
        <v>429809</v>
      </c>
      <c r="BY9" s="614">
        <v>2200000</v>
      </c>
      <c r="BZ9" s="614">
        <v>1000000</v>
      </c>
      <c r="CA9" s="614">
        <v>4800000</v>
      </c>
      <c r="CB9" s="532">
        <v>200000</v>
      </c>
      <c r="CC9" s="532">
        <v>1850000</v>
      </c>
      <c r="CD9" s="532">
        <v>700000</v>
      </c>
      <c r="CE9" s="614">
        <v>73135000</v>
      </c>
      <c r="CF9" s="614">
        <v>4600000</v>
      </c>
      <c r="CH9" s="614">
        <v>3184747</v>
      </c>
      <c r="CI9" s="54">
        <v>300000</v>
      </c>
      <c r="CJ9" s="54">
        <v>0</v>
      </c>
      <c r="CK9" s="532">
        <f>800000+1800000</f>
        <v>2600000</v>
      </c>
      <c r="CL9" s="532">
        <v>623000</v>
      </c>
      <c r="CM9" s="532">
        <v>7870578</v>
      </c>
      <c r="CO9" s="532">
        <v>3500000</v>
      </c>
      <c r="CP9" s="532">
        <v>2200000</v>
      </c>
      <c r="CQ9" s="529">
        <v>2700000</v>
      </c>
      <c r="CR9" s="54">
        <v>0</v>
      </c>
      <c r="CS9" s="54">
        <v>0</v>
      </c>
      <c r="CT9" s="614">
        <v>5000000</v>
      </c>
      <c r="CU9" s="614">
        <v>2000000</v>
      </c>
      <c r="CV9" s="614">
        <v>17100000</v>
      </c>
      <c r="CX9" s="532">
        <v>2000000</v>
      </c>
      <c r="CY9" s="614">
        <v>500000</v>
      </c>
      <c r="CZ9" s="614">
        <v>20000000</v>
      </c>
      <c r="DA9" s="532">
        <v>9300000</v>
      </c>
      <c r="DB9" s="532">
        <v>5950000</v>
      </c>
      <c r="DE9" s="614"/>
      <c r="DF9" s="614">
        <v>9500000</v>
      </c>
      <c r="DG9" s="614">
        <v>22870000</v>
      </c>
      <c r="DH9" s="614">
        <v>28590000</v>
      </c>
      <c r="DI9" s="614">
        <v>13600000</v>
      </c>
      <c r="DJ9" s="532">
        <v>22171900</v>
      </c>
      <c r="DK9" s="614">
        <v>12150000</v>
      </c>
      <c r="DL9" s="614">
        <v>3200000</v>
      </c>
      <c r="DM9" s="614">
        <v>7550000</v>
      </c>
      <c r="DN9" s="614">
        <v>9000000</v>
      </c>
      <c r="DO9" s="532">
        <v>4200000</v>
      </c>
      <c r="DP9" s="614">
        <v>4800000</v>
      </c>
      <c r="DQ9" s="614">
        <v>20229149</v>
      </c>
      <c r="DR9" s="614">
        <v>1390000</v>
      </c>
      <c r="DS9" s="614">
        <v>2750792</v>
      </c>
      <c r="DU9" s="614">
        <v>3300000</v>
      </c>
      <c r="DV9" s="614">
        <v>2705327</v>
      </c>
      <c r="DW9" s="614">
        <v>2200000</v>
      </c>
      <c r="DX9" s="614">
        <v>6400000</v>
      </c>
      <c r="DY9" s="614">
        <v>5000000</v>
      </c>
      <c r="EA9" s="614">
        <v>192921193</v>
      </c>
      <c r="EB9" s="54">
        <v>0</v>
      </c>
      <c r="EC9" s="532">
        <v>8900000</v>
      </c>
      <c r="EE9" s="614">
        <v>2000000</v>
      </c>
      <c r="EH9" s="614">
        <v>7000000</v>
      </c>
      <c r="EI9" s="532">
        <f>58282000-1485000</f>
        <v>56797000</v>
      </c>
      <c r="EJ9" s="614">
        <v>4848611</v>
      </c>
      <c r="EL9" s="54">
        <v>0</v>
      </c>
      <c r="EM9" s="54">
        <v>0</v>
      </c>
      <c r="EN9" s="614">
        <v>6442000</v>
      </c>
      <c r="EP9" s="614">
        <v>13629000</v>
      </c>
      <c r="EQ9" s="614">
        <v>8000000</v>
      </c>
      <c r="ER9" s="614">
        <v>7400000</v>
      </c>
      <c r="ES9" s="54">
        <v>1725000</v>
      </c>
      <c r="ET9" s="54">
        <v>4222000</v>
      </c>
      <c r="EU9" s="614">
        <v>27250000</v>
      </c>
      <c r="EV9" s="532">
        <v>4700000</v>
      </c>
      <c r="EW9" s="532">
        <v>5000000</v>
      </c>
      <c r="EX9" s="532">
        <v>6300000</v>
      </c>
      <c r="EY9" s="532">
        <v>4091000</v>
      </c>
      <c r="EZ9" s="532">
        <v>1900000</v>
      </c>
      <c r="FA9" s="614">
        <v>5100000</v>
      </c>
      <c r="FC9" s="614">
        <v>1000000</v>
      </c>
      <c r="FD9" s="532">
        <v>120000</v>
      </c>
      <c r="FF9" s="614">
        <v>1000000</v>
      </c>
      <c r="FH9" s="614">
        <v>12389000</v>
      </c>
      <c r="FI9" s="614"/>
      <c r="FJ9" s="54">
        <v>0</v>
      </c>
      <c r="FK9" s="54">
        <v>0</v>
      </c>
      <c r="FL9" s="614">
        <v>1350000</v>
      </c>
      <c r="FM9" s="614">
        <v>6163950</v>
      </c>
      <c r="FN9" s="614">
        <v>1980000</v>
      </c>
      <c r="FO9" s="532">
        <v>1800000</v>
      </c>
      <c r="FP9" s="532">
        <v>700000</v>
      </c>
      <c r="FQ9" s="532">
        <v>4800000</v>
      </c>
      <c r="FR9" s="532">
        <v>17100000</v>
      </c>
      <c r="FT9" s="532"/>
      <c r="FU9" s="532">
        <v>3289321</v>
      </c>
      <c r="FV9" s="532">
        <f>6034*1000</f>
        <v>6034000</v>
      </c>
      <c r="FY9" s="614"/>
      <c r="FZ9" s="532">
        <v>1300000</v>
      </c>
      <c r="GA9" s="532">
        <v>2441813</v>
      </c>
    </row>
    <row r="10" spans="1:183" x14ac:dyDescent="0.2">
      <c r="A10" s="439" t="s">
        <v>157</v>
      </c>
      <c r="B10" s="532">
        <v>208700</v>
      </c>
      <c r="C10" s="614">
        <v>200500</v>
      </c>
      <c r="D10" s="614">
        <v>141000</v>
      </c>
      <c r="F10" s="614">
        <v>14600</v>
      </c>
      <c r="H10" s="614">
        <v>11600</v>
      </c>
      <c r="I10" s="614">
        <v>138000</v>
      </c>
      <c r="J10" s="54">
        <v>0</v>
      </c>
      <c r="K10" s="54">
        <v>0</v>
      </c>
      <c r="L10" s="614">
        <v>91950</v>
      </c>
      <c r="M10" s="614">
        <v>67750</v>
      </c>
      <c r="O10" s="614">
        <v>64000</v>
      </c>
      <c r="P10" s="532">
        <v>26000</v>
      </c>
      <c r="Q10" s="532">
        <v>209500</v>
      </c>
      <c r="T10" s="54">
        <v>0</v>
      </c>
      <c r="U10" s="532">
        <v>145000</v>
      </c>
      <c r="V10" s="614"/>
      <c r="W10" s="614">
        <v>130000</v>
      </c>
      <c r="X10" s="614">
        <v>63000</v>
      </c>
      <c r="Y10" s="54">
        <v>42000</v>
      </c>
      <c r="Z10" s="614">
        <v>128300</v>
      </c>
      <c r="AA10" s="532">
        <v>35000</v>
      </c>
      <c r="AB10" s="532">
        <v>188000</v>
      </c>
      <c r="AC10" s="614">
        <v>307000</v>
      </c>
      <c r="AD10" s="532">
        <v>0</v>
      </c>
      <c r="AE10" s="614">
        <v>19500</v>
      </c>
      <c r="AF10" s="54">
        <v>0</v>
      </c>
      <c r="AG10" s="614">
        <v>16000</v>
      </c>
      <c r="AH10" s="614">
        <v>460000</v>
      </c>
      <c r="AI10" s="614">
        <v>205500</v>
      </c>
      <c r="AJ10" s="532">
        <v>141800</v>
      </c>
      <c r="AK10" s="532">
        <v>205400</v>
      </c>
      <c r="AL10" s="532">
        <f t="shared" si="0"/>
        <v>0</v>
      </c>
      <c r="AM10" s="532">
        <f t="shared" si="1"/>
        <v>0</v>
      </c>
      <c r="AN10" s="532">
        <f t="shared" si="2"/>
        <v>0</v>
      </c>
      <c r="AO10" s="614">
        <v>16000</v>
      </c>
      <c r="AP10" s="614"/>
      <c r="AQ10" s="614">
        <v>40000</v>
      </c>
      <c r="AR10" s="54">
        <v>0</v>
      </c>
      <c r="AT10" s="614">
        <v>71000</v>
      </c>
      <c r="AU10" s="614">
        <v>86000</v>
      </c>
      <c r="AV10" s="54">
        <v>0</v>
      </c>
      <c r="AW10" s="54">
        <v>0</v>
      </c>
      <c r="AY10" s="54">
        <v>0</v>
      </c>
      <c r="AZ10" s="614">
        <v>1751000</v>
      </c>
      <c r="BA10" s="614"/>
      <c r="BB10" s="614">
        <v>73625</v>
      </c>
      <c r="BC10" s="532">
        <v>201100</v>
      </c>
      <c r="BD10" s="54">
        <v>0</v>
      </c>
      <c r="BG10" s="614">
        <v>210000</v>
      </c>
      <c r="BH10" s="529">
        <v>116000</v>
      </c>
      <c r="BI10" s="614">
        <v>101000</v>
      </c>
      <c r="BJ10" s="54">
        <v>0</v>
      </c>
      <c r="BK10" s="614">
        <v>385000</v>
      </c>
      <c r="BL10" s="532">
        <v>66400</v>
      </c>
      <c r="BN10" s="532">
        <v>662800</v>
      </c>
      <c r="BO10" s="614">
        <v>117000</v>
      </c>
      <c r="BP10" s="614">
        <v>7000</v>
      </c>
      <c r="BQ10" s="614">
        <v>139000</v>
      </c>
      <c r="BR10" s="614">
        <v>73000</v>
      </c>
      <c r="BS10" s="614">
        <v>229200</v>
      </c>
      <c r="BT10" s="532">
        <v>119050</v>
      </c>
      <c r="BU10" s="532">
        <v>119050</v>
      </c>
      <c r="BV10" s="532">
        <v>445500</v>
      </c>
      <c r="BW10" s="614">
        <v>213300</v>
      </c>
      <c r="BX10" s="532">
        <v>9200</v>
      </c>
      <c r="BY10" s="614">
        <v>35000</v>
      </c>
      <c r="BZ10" s="614">
        <v>80000</v>
      </c>
      <c r="CA10" s="614">
        <v>173500</v>
      </c>
      <c r="CB10" s="532">
        <v>260400</v>
      </c>
      <c r="CC10" s="532">
        <v>45600</v>
      </c>
      <c r="CD10" s="532">
        <v>152000</v>
      </c>
      <c r="CE10" s="614">
        <v>2901705</v>
      </c>
      <c r="CF10" s="614">
        <v>317000</v>
      </c>
      <c r="CH10" s="614">
        <v>145000</v>
      </c>
      <c r="CJ10" s="614">
        <v>1500</v>
      </c>
      <c r="CK10" s="532">
        <f>179000+161000</f>
        <v>340000</v>
      </c>
      <c r="CL10" s="532">
        <v>101000</v>
      </c>
      <c r="CM10" s="532">
        <v>1049300</v>
      </c>
      <c r="CN10" s="532">
        <v>42000</v>
      </c>
      <c r="CO10" s="532">
        <v>521500</v>
      </c>
      <c r="CP10" s="532">
        <v>275000</v>
      </c>
      <c r="CQ10" s="529">
        <v>28600</v>
      </c>
      <c r="CR10" s="614">
        <v>335000</v>
      </c>
      <c r="CS10" s="614">
        <v>193000</v>
      </c>
      <c r="CT10" s="614">
        <v>466200</v>
      </c>
      <c r="CU10" s="614">
        <v>349500</v>
      </c>
      <c r="CV10" s="54">
        <v>0</v>
      </c>
      <c r="CW10" s="532">
        <v>219000</v>
      </c>
      <c r="CX10" s="532">
        <v>67500</v>
      </c>
      <c r="CY10" s="614">
        <v>170400</v>
      </c>
      <c r="CZ10" s="614">
        <v>687300</v>
      </c>
      <c r="DA10" s="532">
        <v>500000</v>
      </c>
      <c r="DB10" s="532">
        <v>460220</v>
      </c>
      <c r="DC10" s="614">
        <v>343000</v>
      </c>
      <c r="DE10" s="614">
        <v>80000</v>
      </c>
      <c r="DF10" s="614">
        <v>610000</v>
      </c>
      <c r="DG10" s="614">
        <v>1329000</v>
      </c>
      <c r="DH10" s="614">
        <v>1760000</v>
      </c>
      <c r="DI10" s="614">
        <v>114000</v>
      </c>
      <c r="DJ10" s="532">
        <v>4160600</v>
      </c>
      <c r="DK10" s="614">
        <v>1728600</v>
      </c>
      <c r="DL10" s="614">
        <v>720000</v>
      </c>
      <c r="DM10" s="614">
        <v>1635100</v>
      </c>
      <c r="DN10" s="614">
        <v>1048000</v>
      </c>
      <c r="DO10" s="532">
        <v>163000</v>
      </c>
      <c r="DP10" s="614">
        <v>45000</v>
      </c>
      <c r="DQ10" s="614">
        <v>1960000</v>
      </c>
      <c r="DR10" s="614">
        <v>75380</v>
      </c>
      <c r="DS10" s="614">
        <v>318350</v>
      </c>
      <c r="DT10" s="532">
        <v>360000</v>
      </c>
      <c r="DU10" s="614">
        <v>611476</v>
      </c>
      <c r="DV10" s="614">
        <v>514157</v>
      </c>
      <c r="DW10" s="614">
        <v>239800</v>
      </c>
      <c r="DX10" s="614">
        <v>260485</v>
      </c>
      <c r="DY10" s="614">
        <v>259100</v>
      </c>
      <c r="DZ10" s="532">
        <v>45000</v>
      </c>
      <c r="EA10" s="614">
        <v>2658637</v>
      </c>
      <c r="EB10" s="614">
        <v>61400</v>
      </c>
      <c r="EC10" s="532">
        <v>89000</v>
      </c>
      <c r="ED10" s="614">
        <v>230000</v>
      </c>
      <c r="EE10" s="614">
        <v>35000</v>
      </c>
      <c r="EF10" s="532">
        <v>45000</v>
      </c>
      <c r="EG10" s="532">
        <v>160000</v>
      </c>
      <c r="EH10" s="614">
        <v>284000</v>
      </c>
      <c r="EJ10" s="614">
        <v>327698</v>
      </c>
      <c r="EK10" s="614">
        <v>45000</v>
      </c>
      <c r="EL10" s="614">
        <v>54500</v>
      </c>
      <c r="EM10" s="614">
        <v>190186</v>
      </c>
      <c r="EN10" s="614">
        <v>106000</v>
      </c>
      <c r="EO10" s="54">
        <v>39000</v>
      </c>
      <c r="EP10" s="614">
        <v>3043000</v>
      </c>
      <c r="EQ10" s="614">
        <v>268700</v>
      </c>
      <c r="ER10" s="614">
        <v>565400</v>
      </c>
      <c r="ES10" s="532">
        <v>292500</v>
      </c>
      <c r="ET10" s="532">
        <v>364000</v>
      </c>
      <c r="EU10" s="614">
        <v>338400</v>
      </c>
      <c r="EV10" s="532">
        <v>266000</v>
      </c>
      <c r="EW10" s="532">
        <v>511500</v>
      </c>
      <c r="EX10" s="532">
        <v>656000</v>
      </c>
      <c r="EY10" s="532">
        <v>45920</v>
      </c>
      <c r="EZ10" s="532">
        <v>307400</v>
      </c>
      <c r="FA10" s="614">
        <v>264400</v>
      </c>
      <c r="FC10" s="54">
        <v>80000</v>
      </c>
      <c r="FD10" s="532">
        <v>14600</v>
      </c>
      <c r="FE10" s="54">
        <v>66650</v>
      </c>
      <c r="FF10" s="614">
        <v>38800</v>
      </c>
      <c r="FG10" s="532">
        <v>79000</v>
      </c>
      <c r="FH10" s="614">
        <v>1091500</v>
      </c>
      <c r="FI10" s="614"/>
      <c r="FJ10" s="614">
        <v>66400</v>
      </c>
      <c r="FK10" s="54">
        <v>0</v>
      </c>
      <c r="FL10" s="614">
        <v>191000</v>
      </c>
      <c r="FM10" s="614">
        <v>1257900</v>
      </c>
      <c r="FO10" s="532">
        <v>39522</v>
      </c>
      <c r="FP10" s="532">
        <v>169000</v>
      </c>
      <c r="FQ10" s="532">
        <v>52000</v>
      </c>
      <c r="FT10" s="532"/>
      <c r="FU10" s="532">
        <v>193000</v>
      </c>
      <c r="FX10" s="532">
        <v>20000</v>
      </c>
      <c r="FY10" s="614"/>
      <c r="FZ10" s="532">
        <v>196000</v>
      </c>
      <c r="GA10" s="532">
        <v>180000</v>
      </c>
    </row>
    <row r="11" spans="1:183" x14ac:dyDescent="0.2">
      <c r="A11" s="439" t="s">
        <v>158</v>
      </c>
      <c r="D11" s="614">
        <v>30000</v>
      </c>
      <c r="F11" s="614">
        <v>5000</v>
      </c>
      <c r="H11" s="54">
        <v>0</v>
      </c>
      <c r="J11" s="54">
        <v>0</v>
      </c>
      <c r="K11" s="54">
        <v>0</v>
      </c>
      <c r="L11" s="54">
        <v>0</v>
      </c>
      <c r="M11" s="54">
        <v>0</v>
      </c>
      <c r="P11" s="532"/>
      <c r="Q11" s="532"/>
      <c r="T11" s="54">
        <v>0</v>
      </c>
      <c r="U11" s="532"/>
      <c r="V11" s="614"/>
      <c r="AB11" s="532"/>
      <c r="AD11" s="532">
        <v>0</v>
      </c>
      <c r="AE11" s="54">
        <v>0</v>
      </c>
      <c r="AF11" s="54">
        <v>0</v>
      </c>
      <c r="AG11" s="54">
        <v>0</v>
      </c>
      <c r="AI11" s="54">
        <v>0</v>
      </c>
      <c r="AL11" s="532">
        <f t="shared" si="0"/>
        <v>0</v>
      </c>
      <c r="AM11" s="532">
        <f t="shared" si="1"/>
        <v>0</v>
      </c>
      <c r="AN11" s="532">
        <f t="shared" si="2"/>
        <v>0</v>
      </c>
      <c r="AO11" s="54">
        <v>0</v>
      </c>
      <c r="AP11" s="614"/>
      <c r="AQ11" s="54">
        <v>0</v>
      </c>
      <c r="AR11" s="54">
        <v>0</v>
      </c>
      <c r="AT11" s="54">
        <v>0</v>
      </c>
      <c r="AU11" s="54">
        <v>0</v>
      </c>
      <c r="AV11" s="54">
        <v>0</v>
      </c>
      <c r="AW11" s="54">
        <v>0</v>
      </c>
      <c r="AY11" s="54">
        <v>0</v>
      </c>
      <c r="AZ11" s="614">
        <v>862000</v>
      </c>
      <c r="BA11" s="614"/>
      <c r="BB11" s="614"/>
      <c r="BD11" s="54">
        <v>0</v>
      </c>
      <c r="BG11" s="54">
        <v>0</v>
      </c>
      <c r="BJ11" s="54">
        <v>0</v>
      </c>
      <c r="BK11" s="54">
        <v>0</v>
      </c>
      <c r="BN11" s="532">
        <v>338600</v>
      </c>
      <c r="BO11" s="614">
        <v>110050</v>
      </c>
      <c r="BP11" s="54">
        <v>0</v>
      </c>
      <c r="BQ11" s="532">
        <v>37142</v>
      </c>
      <c r="BR11" s="54">
        <v>0</v>
      </c>
      <c r="BS11" s="614">
        <v>180684</v>
      </c>
      <c r="BT11" s="532">
        <v>65495</v>
      </c>
      <c r="BU11" s="532">
        <v>603462</v>
      </c>
      <c r="BW11" s="614">
        <v>61475</v>
      </c>
      <c r="BY11" s="614"/>
      <c r="BZ11" s="614"/>
      <c r="CE11" s="614">
        <v>989591</v>
      </c>
      <c r="CF11" s="54">
        <v>0</v>
      </c>
      <c r="CH11" s="54">
        <v>0</v>
      </c>
      <c r="CJ11" s="54">
        <v>0</v>
      </c>
      <c r="CM11" s="532">
        <v>64823</v>
      </c>
      <c r="CO11" s="532">
        <v>337063</v>
      </c>
      <c r="CR11" s="54">
        <v>0</v>
      </c>
      <c r="CT11" s="54">
        <v>0</v>
      </c>
      <c r="CW11" s="532">
        <v>10000</v>
      </c>
      <c r="CY11" s="614"/>
      <c r="CZ11" s="614">
        <v>669050</v>
      </c>
      <c r="DA11" s="54">
        <v>0</v>
      </c>
      <c r="DB11" s="532">
        <v>456000</v>
      </c>
      <c r="DC11" s="614"/>
      <c r="DE11" s="614">
        <v>15000</v>
      </c>
      <c r="DH11" s="614">
        <v>650000</v>
      </c>
      <c r="DJ11" s="532">
        <v>6912808</v>
      </c>
      <c r="DK11" s="614">
        <v>2214302</v>
      </c>
      <c r="DL11" s="614">
        <v>212962</v>
      </c>
      <c r="DM11" s="614">
        <v>808548</v>
      </c>
      <c r="DN11" s="614">
        <v>100000</v>
      </c>
      <c r="DO11" s="532">
        <v>20000</v>
      </c>
      <c r="DR11" s="54">
        <v>0</v>
      </c>
      <c r="DS11" s="614">
        <v>71542</v>
      </c>
      <c r="DV11" s="614">
        <v>5000</v>
      </c>
      <c r="DW11" s="614">
        <v>51388</v>
      </c>
      <c r="DX11" s="614">
        <v>522788</v>
      </c>
      <c r="DY11" s="614">
        <v>46084</v>
      </c>
      <c r="EA11" s="614">
        <v>2477010</v>
      </c>
      <c r="EB11" s="54">
        <v>0</v>
      </c>
      <c r="EE11" s="54">
        <v>0</v>
      </c>
      <c r="EI11" s="532">
        <v>5038000</v>
      </c>
      <c r="EJ11" s="614">
        <v>125000</v>
      </c>
      <c r="EL11" s="614">
        <v>118300</v>
      </c>
      <c r="EM11" s="614">
        <v>214152</v>
      </c>
      <c r="EO11" s="614">
        <v>44901</v>
      </c>
      <c r="EP11" s="614">
        <v>308000</v>
      </c>
      <c r="ER11" s="614">
        <v>589297</v>
      </c>
      <c r="ET11" s="614"/>
      <c r="EU11" s="54">
        <v>0</v>
      </c>
      <c r="EW11" s="532">
        <v>223986</v>
      </c>
      <c r="EZ11" s="532">
        <v>185096</v>
      </c>
      <c r="FA11" s="54">
        <v>0</v>
      </c>
      <c r="FE11" s="614">
        <v>22134</v>
      </c>
      <c r="FJ11" s="54">
        <v>0</v>
      </c>
      <c r="FK11" s="54">
        <v>0</v>
      </c>
      <c r="FO11" s="532">
        <v>16498</v>
      </c>
      <c r="FT11" s="532"/>
      <c r="FY11" s="614"/>
      <c r="GA11" s="532">
        <v>200000</v>
      </c>
    </row>
    <row r="12" spans="1:183" x14ac:dyDescent="0.2">
      <c r="A12" s="439" t="s">
        <v>159</v>
      </c>
      <c r="C12" s="614">
        <v>358828</v>
      </c>
      <c r="H12" s="54">
        <v>0</v>
      </c>
      <c r="J12" s="54">
        <v>0</v>
      </c>
      <c r="K12" s="54">
        <v>0</v>
      </c>
      <c r="L12" s="54">
        <v>0</v>
      </c>
      <c r="M12" s="54">
        <v>0</v>
      </c>
      <c r="T12" s="54">
        <v>0</v>
      </c>
      <c r="U12" s="54">
        <v>120000</v>
      </c>
      <c r="V12" s="54">
        <v>0</v>
      </c>
      <c r="AD12" s="532">
        <v>0</v>
      </c>
      <c r="AE12" s="54">
        <v>0</v>
      </c>
      <c r="AF12" s="54">
        <v>0</v>
      </c>
      <c r="AG12" s="54">
        <v>0</v>
      </c>
      <c r="AH12" s="614">
        <v>947433</v>
      </c>
      <c r="AI12" s="54">
        <v>0</v>
      </c>
      <c r="AJ12" s="532">
        <v>320000</v>
      </c>
      <c r="AL12" s="532">
        <f t="shared" si="0"/>
        <v>0</v>
      </c>
      <c r="AM12" s="532">
        <f t="shared" si="1"/>
        <v>0</v>
      </c>
      <c r="AN12" s="532">
        <f t="shared" si="2"/>
        <v>0</v>
      </c>
      <c r="AO12" s="54">
        <v>0</v>
      </c>
      <c r="AP12" s="614">
        <v>349773</v>
      </c>
      <c r="AQ12" s="54">
        <v>0</v>
      </c>
      <c r="AR12" s="54">
        <v>0</v>
      </c>
      <c r="AT12" s="54">
        <v>0</v>
      </c>
      <c r="AU12" s="54">
        <v>0</v>
      </c>
      <c r="AV12" s="54">
        <v>0</v>
      </c>
      <c r="AW12" s="54">
        <v>0</v>
      </c>
      <c r="AY12" s="54">
        <v>0</v>
      </c>
      <c r="AZ12" s="614">
        <v>16698000</v>
      </c>
      <c r="BA12" s="614"/>
      <c r="BB12" s="614"/>
      <c r="BG12" s="54">
        <v>0</v>
      </c>
      <c r="BJ12" s="54">
        <v>0</v>
      </c>
      <c r="BK12" s="54">
        <v>0</v>
      </c>
      <c r="BN12" s="532">
        <v>500000</v>
      </c>
      <c r="BO12" s="54">
        <v>0</v>
      </c>
      <c r="BP12" s="54">
        <v>0</v>
      </c>
      <c r="BR12" s="614">
        <v>350000</v>
      </c>
      <c r="BS12" s="54">
        <v>0</v>
      </c>
      <c r="BU12" s="532">
        <v>250000</v>
      </c>
      <c r="BW12" s="614">
        <v>288304</v>
      </c>
      <c r="BY12" s="614"/>
      <c r="BZ12" s="614"/>
      <c r="CA12" s="54">
        <v>181000</v>
      </c>
      <c r="CC12" s="532">
        <v>258011</v>
      </c>
      <c r="CE12" s="614">
        <v>232000</v>
      </c>
      <c r="CF12" s="54">
        <v>0</v>
      </c>
      <c r="CH12" s="54">
        <v>0</v>
      </c>
      <c r="CJ12" s="54">
        <v>0</v>
      </c>
      <c r="CN12" s="532">
        <v>4500000</v>
      </c>
      <c r="CR12" s="54">
        <v>0</v>
      </c>
      <c r="CT12" s="614">
        <v>759843</v>
      </c>
      <c r="CY12" s="614"/>
      <c r="CZ12" s="614">
        <f>1033000+2115849+264372</f>
        <v>3413221</v>
      </c>
      <c r="DA12" s="532">
        <v>600000</v>
      </c>
      <c r="DB12" s="532">
        <v>1451000</v>
      </c>
      <c r="DC12" s="614"/>
      <c r="DE12" s="614"/>
      <c r="DG12" s="614">
        <v>634078</v>
      </c>
      <c r="DH12" s="614">
        <v>9909000</v>
      </c>
      <c r="DI12" s="614">
        <v>114000</v>
      </c>
      <c r="DJ12" s="532">
        <v>7000000</v>
      </c>
      <c r="DK12" s="614">
        <v>4380000</v>
      </c>
      <c r="DL12" s="614">
        <v>850000</v>
      </c>
      <c r="DM12" s="614">
        <v>1438080</v>
      </c>
      <c r="DN12" s="614">
        <v>404836</v>
      </c>
      <c r="DQ12" s="614">
        <v>5613000</v>
      </c>
      <c r="DR12" s="54">
        <v>0</v>
      </c>
      <c r="DS12" s="614">
        <v>538216</v>
      </c>
      <c r="DW12" s="54">
        <v>0</v>
      </c>
      <c r="DX12" s="614">
        <v>370000</v>
      </c>
      <c r="DY12" s="614"/>
      <c r="EA12" s="614">
        <f>7532980+6964765</f>
        <v>14497745</v>
      </c>
      <c r="EB12" s="54">
        <v>0</v>
      </c>
      <c r="ED12" s="614">
        <v>837222</v>
      </c>
      <c r="EE12" s="54">
        <v>0</v>
      </c>
      <c r="EH12" s="614">
        <v>5946799</v>
      </c>
      <c r="EI12" s="532">
        <f>2835000+5083716</f>
        <v>7918716</v>
      </c>
      <c r="EJ12" s="614">
        <v>602333</v>
      </c>
      <c r="EL12" s="54">
        <v>0</v>
      </c>
      <c r="EM12" s="54">
        <v>0</v>
      </c>
      <c r="EN12" s="614">
        <v>584000</v>
      </c>
      <c r="EP12" s="614">
        <v>1700000</v>
      </c>
      <c r="EU12" s="614">
        <v>1050000</v>
      </c>
      <c r="EW12" s="532">
        <v>773020</v>
      </c>
      <c r="EY12" s="532">
        <v>300000</v>
      </c>
      <c r="EZ12" s="532">
        <v>100000</v>
      </c>
      <c r="FA12" s="54">
        <v>0</v>
      </c>
      <c r="FH12" s="614"/>
      <c r="FI12" s="614"/>
      <c r="FJ12" s="54">
        <v>0</v>
      </c>
      <c r="FK12" s="54">
        <v>0</v>
      </c>
      <c r="FM12" s="614">
        <v>705000</v>
      </c>
      <c r="FP12" s="532">
        <v>60000</v>
      </c>
      <c r="FQ12" s="532">
        <v>600000</v>
      </c>
      <c r="FY12" s="614"/>
    </row>
    <row r="13" spans="1:183" x14ac:dyDescent="0.2">
      <c r="A13" s="439" t="s">
        <v>160</v>
      </c>
      <c r="C13" s="614">
        <v>3113625</v>
      </c>
      <c r="D13" s="614">
        <v>4758000</v>
      </c>
      <c r="F13" s="614">
        <v>950000</v>
      </c>
      <c r="H13" s="54">
        <v>0</v>
      </c>
      <c r="I13" s="614">
        <v>500000</v>
      </c>
      <c r="J13" s="54">
        <v>0</v>
      </c>
      <c r="K13" s="54">
        <v>0</v>
      </c>
      <c r="L13" s="54">
        <v>0</v>
      </c>
      <c r="M13" s="54">
        <v>0</v>
      </c>
      <c r="T13" s="54">
        <v>0</v>
      </c>
      <c r="V13" s="614"/>
      <c r="AD13" s="532">
        <v>0</v>
      </c>
      <c r="AE13" s="54">
        <v>0</v>
      </c>
      <c r="AF13" s="54">
        <v>0</v>
      </c>
      <c r="AG13" s="54">
        <v>0</v>
      </c>
      <c r="AI13" s="54">
        <v>0</v>
      </c>
      <c r="AL13" s="532">
        <f t="shared" si="0"/>
        <v>0</v>
      </c>
      <c r="AM13" s="532">
        <f t="shared" si="1"/>
        <v>0</v>
      </c>
      <c r="AN13" s="532">
        <f t="shared" si="2"/>
        <v>0</v>
      </c>
      <c r="AO13" s="614">
        <v>876000</v>
      </c>
      <c r="AQ13" s="54">
        <v>0</v>
      </c>
      <c r="AR13" s="54">
        <v>0</v>
      </c>
      <c r="AT13" s="54">
        <v>0</v>
      </c>
      <c r="AU13" s="54">
        <v>0</v>
      </c>
      <c r="AV13" s="54">
        <v>0</v>
      </c>
      <c r="AW13" s="54">
        <v>0</v>
      </c>
      <c r="AY13" s="54">
        <v>0</v>
      </c>
      <c r="AZ13" s="614">
        <v>5110000</v>
      </c>
      <c r="BA13" s="614"/>
      <c r="BB13" s="614"/>
      <c r="BD13" s="54">
        <v>0</v>
      </c>
      <c r="BG13" s="614">
        <v>675000</v>
      </c>
      <c r="BJ13" s="54">
        <v>0</v>
      </c>
      <c r="BK13" s="54">
        <v>0</v>
      </c>
      <c r="BO13" s="54">
        <v>0</v>
      </c>
      <c r="BP13" s="54">
        <v>0</v>
      </c>
      <c r="BQ13" s="54">
        <v>250849</v>
      </c>
      <c r="BR13" s="54">
        <v>0</v>
      </c>
      <c r="BS13" s="54">
        <v>0</v>
      </c>
      <c r="BU13" s="532">
        <v>500000</v>
      </c>
      <c r="BV13" s="532">
        <v>2043244</v>
      </c>
      <c r="BW13" s="54">
        <v>0</v>
      </c>
      <c r="BY13" s="614">
        <v>200000</v>
      </c>
      <c r="BZ13" s="614"/>
      <c r="CF13" s="54">
        <v>0</v>
      </c>
      <c r="CH13" s="54">
        <v>0</v>
      </c>
      <c r="CJ13" s="54">
        <v>0</v>
      </c>
      <c r="CK13" s="532">
        <f>1000000+700000</f>
        <v>1700000</v>
      </c>
      <c r="CR13" s="614">
        <v>10000000</v>
      </c>
      <c r="CT13" s="54">
        <v>0</v>
      </c>
      <c r="CY13" s="614"/>
      <c r="CZ13" s="614">
        <v>300000</v>
      </c>
      <c r="DA13" s="54">
        <v>0</v>
      </c>
      <c r="DH13" s="532"/>
      <c r="DI13" s="532">
        <v>4404353</v>
      </c>
      <c r="DJ13" s="532">
        <v>3171456</v>
      </c>
      <c r="DK13" s="614">
        <v>1478177</v>
      </c>
      <c r="DM13" s="614">
        <v>262000</v>
      </c>
      <c r="DQ13" s="614">
        <v>12010000</v>
      </c>
      <c r="DR13" s="54">
        <v>0</v>
      </c>
      <c r="DS13" s="54">
        <v>0</v>
      </c>
      <c r="DV13" s="614"/>
      <c r="DW13" s="54">
        <v>0</v>
      </c>
      <c r="EB13" s="54">
        <v>0</v>
      </c>
      <c r="EE13" s="54">
        <v>0</v>
      </c>
      <c r="EJ13" s="614">
        <v>795000</v>
      </c>
      <c r="EL13" s="54">
        <v>0</v>
      </c>
      <c r="EM13" s="614">
        <v>10395000</v>
      </c>
      <c r="EP13" s="614">
        <v>3214000</v>
      </c>
      <c r="EU13" s="54">
        <v>0</v>
      </c>
      <c r="FA13" s="54">
        <v>0</v>
      </c>
      <c r="FJ13" s="54">
        <v>0</v>
      </c>
      <c r="FK13" s="54">
        <v>0</v>
      </c>
      <c r="FM13" s="54">
        <v>0</v>
      </c>
      <c r="GA13" s="532">
        <v>2000000</v>
      </c>
    </row>
    <row r="14" spans="1:183" x14ac:dyDescent="0.2">
      <c r="A14" s="439" t="s">
        <v>161</v>
      </c>
      <c r="B14" s="532">
        <v>965423</v>
      </c>
      <c r="C14" s="614">
        <v>2064988</v>
      </c>
      <c r="D14" s="614">
        <v>6237000</v>
      </c>
      <c r="E14" s="614">
        <v>324115</v>
      </c>
      <c r="G14" s="532">
        <v>297900</v>
      </c>
      <c r="H14" s="614">
        <v>283005</v>
      </c>
      <c r="I14" s="614">
        <v>5208014</v>
      </c>
      <c r="J14" s="614">
        <v>3341670</v>
      </c>
      <c r="K14" s="614">
        <v>491107</v>
      </c>
      <c r="L14" s="614">
        <v>196700</v>
      </c>
      <c r="M14" s="614">
        <v>325582</v>
      </c>
      <c r="N14" s="614">
        <v>445594</v>
      </c>
      <c r="O14" s="614">
        <v>2079830</v>
      </c>
      <c r="P14" s="532">
        <v>417430</v>
      </c>
      <c r="Q14" s="532"/>
      <c r="R14" s="614">
        <v>321395</v>
      </c>
      <c r="S14" s="614"/>
      <c r="T14" s="614">
        <v>538568</v>
      </c>
      <c r="U14" s="532">
        <v>173400</v>
      </c>
      <c r="V14" s="614">
        <v>1541675</v>
      </c>
      <c r="W14" s="614">
        <v>1810993</v>
      </c>
      <c r="X14" s="614">
        <v>180555</v>
      </c>
      <c r="Y14" s="614">
        <v>405190</v>
      </c>
      <c r="Z14" s="614">
        <v>2763915</v>
      </c>
      <c r="AA14" s="532">
        <v>248321</v>
      </c>
      <c r="AB14" s="532">
        <v>427323</v>
      </c>
      <c r="AC14" s="614">
        <v>7972237</v>
      </c>
      <c r="AD14" s="532">
        <v>0</v>
      </c>
      <c r="AE14" s="614">
        <v>1345500</v>
      </c>
      <c r="AF14" s="614">
        <v>203320</v>
      </c>
      <c r="AG14" s="614">
        <v>564776</v>
      </c>
      <c r="AH14" s="614">
        <v>15077655</v>
      </c>
      <c r="AI14" s="614">
        <v>7784166</v>
      </c>
      <c r="AJ14" s="532">
        <v>8924144</v>
      </c>
      <c r="AK14" s="532">
        <v>10100541</v>
      </c>
      <c r="AL14" s="532">
        <f t="shared" si="0"/>
        <v>494975.33333333331</v>
      </c>
      <c r="AM14" s="532">
        <f t="shared" si="1"/>
        <v>494975.33333333331</v>
      </c>
      <c r="AN14" s="532">
        <f t="shared" si="2"/>
        <v>494975.33333333331</v>
      </c>
      <c r="AO14" s="614">
        <v>378068</v>
      </c>
      <c r="AP14" s="614">
        <v>163127</v>
      </c>
      <c r="AQ14" s="614">
        <v>1166694</v>
      </c>
      <c r="AR14" s="614">
        <v>943238</v>
      </c>
      <c r="AT14" s="614">
        <v>293000</v>
      </c>
      <c r="AU14" s="614">
        <v>1002663</v>
      </c>
      <c r="AV14" s="614">
        <v>633880</v>
      </c>
      <c r="AW14" s="614">
        <v>263650</v>
      </c>
      <c r="AX14" s="532">
        <v>221426</v>
      </c>
      <c r="AY14" s="614">
        <v>275190</v>
      </c>
      <c r="BB14" s="54">
        <v>305049</v>
      </c>
      <c r="BC14" s="532">
        <v>365598</v>
      </c>
      <c r="BD14" s="614">
        <v>1201888</v>
      </c>
      <c r="BE14" s="614">
        <v>489500</v>
      </c>
      <c r="BF14" s="614">
        <v>36840</v>
      </c>
      <c r="BG14" s="614">
        <v>1611386</v>
      </c>
      <c r="BH14" s="614">
        <v>86266</v>
      </c>
      <c r="BI14" s="614">
        <v>430780</v>
      </c>
      <c r="BJ14" s="614">
        <v>102829</v>
      </c>
      <c r="BK14" s="614">
        <v>3870555</v>
      </c>
      <c r="BL14" s="532">
        <v>146565</v>
      </c>
      <c r="BM14" s="532">
        <v>493182</v>
      </c>
      <c r="BN14" s="532">
        <v>13124655</v>
      </c>
      <c r="BO14" s="614">
        <v>5969444</v>
      </c>
      <c r="BP14" s="614">
        <v>2024230</v>
      </c>
      <c r="BQ14" s="614">
        <v>374049</v>
      </c>
      <c r="BR14" s="614">
        <v>753480</v>
      </c>
      <c r="BS14" s="614">
        <v>16834659</v>
      </c>
      <c r="BT14" s="532">
        <v>7233380</v>
      </c>
      <c r="BU14" s="532">
        <v>7288568</v>
      </c>
      <c r="BV14" s="532">
        <v>4337079</v>
      </c>
      <c r="BW14" s="614">
        <v>6256662</v>
      </c>
      <c r="BX14" s="532">
        <v>1437502</v>
      </c>
      <c r="BY14" s="614">
        <v>2175465</v>
      </c>
      <c r="BZ14" s="614">
        <v>601065</v>
      </c>
      <c r="CA14" s="614">
        <v>8509688</v>
      </c>
      <c r="CC14" s="532">
        <v>3558846</v>
      </c>
      <c r="CD14" s="532">
        <v>1090770</v>
      </c>
      <c r="CE14" s="614">
        <v>74480000</v>
      </c>
      <c r="CF14" s="614">
        <v>1626941</v>
      </c>
      <c r="CH14" s="614">
        <v>2087731</v>
      </c>
      <c r="CJ14" s="54">
        <v>0</v>
      </c>
      <c r="CK14" s="532">
        <f>1876803+512697</f>
        <v>2389500</v>
      </c>
      <c r="CL14" s="532">
        <v>33660</v>
      </c>
      <c r="CM14" s="532">
        <v>5569509</v>
      </c>
      <c r="CN14" s="532">
        <v>3918516</v>
      </c>
      <c r="CO14" s="532">
        <v>982800</v>
      </c>
      <c r="CP14" s="532">
        <v>786568</v>
      </c>
      <c r="CQ14" s="614">
        <v>3684665</v>
      </c>
      <c r="CR14" s="614">
        <v>515180</v>
      </c>
      <c r="CS14" s="614">
        <v>514000</v>
      </c>
      <c r="CT14" s="614">
        <v>1751164</v>
      </c>
      <c r="CU14" s="614">
        <v>982720</v>
      </c>
      <c r="CV14" s="614">
        <v>1944140</v>
      </c>
      <c r="CY14" s="614">
        <v>35124</v>
      </c>
      <c r="CZ14" s="614">
        <v>16885000</v>
      </c>
      <c r="DA14" s="532">
        <v>3789810</v>
      </c>
      <c r="DE14" s="614">
        <v>2472000</v>
      </c>
      <c r="DG14" s="614">
        <v>7224950</v>
      </c>
      <c r="DI14" s="614">
        <v>19136000</v>
      </c>
      <c r="DJ14" s="532">
        <v>132397000</v>
      </c>
      <c r="DK14" s="614">
        <v>16492635</v>
      </c>
      <c r="DL14" s="614">
        <v>9000000</v>
      </c>
      <c r="DM14" s="614">
        <v>14179218</v>
      </c>
      <c r="DN14" s="614">
        <v>240000</v>
      </c>
      <c r="DO14" s="532">
        <v>4823335</v>
      </c>
      <c r="DP14" s="614">
        <v>2772000</v>
      </c>
      <c r="DQ14" s="614">
        <v>23206646</v>
      </c>
      <c r="DR14" s="54">
        <v>0</v>
      </c>
      <c r="DS14" s="614">
        <v>2925829</v>
      </c>
      <c r="DT14" s="532">
        <v>1208076</v>
      </c>
      <c r="DU14" s="614">
        <v>12954300</v>
      </c>
      <c r="DV14" s="614">
        <v>868450</v>
      </c>
      <c r="DW14" s="614">
        <v>11086181</v>
      </c>
      <c r="DX14" s="614">
        <v>15517846</v>
      </c>
      <c r="DY14" s="614">
        <v>8248265</v>
      </c>
      <c r="DZ14" s="532">
        <v>222480</v>
      </c>
      <c r="EA14" s="614">
        <v>179680738</v>
      </c>
      <c r="EB14" s="614">
        <v>314745</v>
      </c>
      <c r="EC14" s="532">
        <v>3336320</v>
      </c>
      <c r="ED14" s="614">
        <v>52390850</v>
      </c>
      <c r="EE14" s="614">
        <v>2603125</v>
      </c>
      <c r="EF14" s="532">
        <v>1632000</v>
      </c>
      <c r="EG14" s="532">
        <v>5727918</v>
      </c>
      <c r="EI14" s="532">
        <v>24083142</v>
      </c>
      <c r="EK14" s="614">
        <v>733348</v>
      </c>
      <c r="EL14" s="614">
        <v>1266000</v>
      </c>
      <c r="EM14" s="614">
        <v>8788767</v>
      </c>
      <c r="EN14" s="54">
        <v>0</v>
      </c>
      <c r="EO14" s="614">
        <v>818607</v>
      </c>
      <c r="EP14" s="614">
        <v>49855000</v>
      </c>
      <c r="EQ14" s="614">
        <v>12980660</v>
      </c>
      <c r="ER14" s="614">
        <v>29000712</v>
      </c>
      <c r="ES14" s="614">
        <v>7752872</v>
      </c>
      <c r="ET14" s="614">
        <v>4199100</v>
      </c>
      <c r="EU14" s="614">
        <v>35386964</v>
      </c>
      <c r="EV14" s="532">
        <v>7311973</v>
      </c>
      <c r="EW14" s="532">
        <v>8839932</v>
      </c>
      <c r="EX14" s="532">
        <v>11751292</v>
      </c>
      <c r="EY14" s="532">
        <v>3100173</v>
      </c>
      <c r="EZ14" s="532">
        <v>1847390</v>
      </c>
      <c r="FA14" s="614">
        <v>4058776</v>
      </c>
      <c r="FB14" s="614">
        <v>1714513</v>
      </c>
      <c r="FC14" s="614">
        <v>1517969</v>
      </c>
      <c r="FD14" s="532">
        <v>1472088</v>
      </c>
      <c r="FE14" s="614">
        <v>1877792</v>
      </c>
      <c r="FF14" s="614">
        <v>1578990</v>
      </c>
      <c r="FG14" s="532">
        <v>1074809</v>
      </c>
      <c r="FH14" s="614">
        <v>17756685</v>
      </c>
      <c r="FI14" s="614"/>
      <c r="FJ14" s="614">
        <v>146565</v>
      </c>
      <c r="FK14" s="54">
        <v>0</v>
      </c>
      <c r="FM14" s="614">
        <v>6898507</v>
      </c>
      <c r="FN14" s="614">
        <v>1484926</v>
      </c>
      <c r="FO14" s="532">
        <v>60900</v>
      </c>
      <c r="FP14" s="532">
        <v>455298</v>
      </c>
      <c r="FQ14" s="532">
        <v>2501900</v>
      </c>
      <c r="FR14" s="532">
        <v>1944139</v>
      </c>
      <c r="FT14" s="532"/>
      <c r="FU14" s="532">
        <v>4669590</v>
      </c>
      <c r="FX14" s="532">
        <v>486772</v>
      </c>
      <c r="FY14" s="614"/>
      <c r="GA14" s="532">
        <v>630580</v>
      </c>
    </row>
    <row r="15" spans="1:183" x14ac:dyDescent="0.2">
      <c r="A15" s="439" t="s">
        <v>162</v>
      </c>
      <c r="B15" s="532">
        <v>466375</v>
      </c>
      <c r="C15" s="614">
        <v>818542</v>
      </c>
      <c r="D15" s="614">
        <v>1129000</v>
      </c>
      <c r="E15" s="614">
        <v>213345</v>
      </c>
      <c r="F15" s="614">
        <v>49724</v>
      </c>
      <c r="G15" s="532">
        <v>247480</v>
      </c>
      <c r="H15" s="614">
        <v>64232</v>
      </c>
      <c r="I15" s="614">
        <v>2163848</v>
      </c>
      <c r="J15" s="614">
        <v>615032</v>
      </c>
      <c r="K15" s="614">
        <v>139572</v>
      </c>
      <c r="L15" s="614">
        <v>69206</v>
      </c>
      <c r="M15" s="614">
        <v>113400</v>
      </c>
      <c r="N15" s="614">
        <v>197820</v>
      </c>
      <c r="O15" s="614">
        <v>455584</v>
      </c>
      <c r="P15" s="532">
        <f>[16]פקיעין!$E$251</f>
        <v>189526</v>
      </c>
      <c r="Q15" s="532">
        <v>125776</v>
      </c>
      <c r="R15" s="614">
        <v>146250</v>
      </c>
      <c r="S15" s="614"/>
      <c r="T15" s="614">
        <v>170020</v>
      </c>
      <c r="U15" s="532">
        <v>208336</v>
      </c>
      <c r="V15" s="614">
        <v>362538</v>
      </c>
      <c r="W15" s="614">
        <v>549320</v>
      </c>
      <c r="X15" s="614">
        <v>182700</v>
      </c>
      <c r="Y15" s="614">
        <v>311346</v>
      </c>
      <c r="Z15" s="614">
        <v>368130</v>
      </c>
      <c r="AA15" s="532">
        <v>115944</v>
      </c>
      <c r="AB15" s="532">
        <v>146072</v>
      </c>
      <c r="AC15" s="614">
        <v>1811234</v>
      </c>
      <c r="AD15" s="532">
        <v>370750</v>
      </c>
      <c r="AE15" s="614">
        <v>438376</v>
      </c>
      <c r="AF15" s="614">
        <v>149142</v>
      </c>
      <c r="AG15" s="614">
        <v>426990</v>
      </c>
      <c r="AH15" s="614">
        <v>4479960</v>
      </c>
      <c r="AI15" s="614">
        <v>1674855</v>
      </c>
      <c r="AJ15" s="532">
        <v>2000565</v>
      </c>
      <c r="AK15" s="532">
        <v>1132760</v>
      </c>
      <c r="AL15" s="532">
        <f t="shared" si="0"/>
        <v>210636.66666666666</v>
      </c>
      <c r="AM15" s="532">
        <f t="shared" si="1"/>
        <v>210636.66666666666</v>
      </c>
      <c r="AN15" s="532">
        <f t="shared" si="2"/>
        <v>210636.66666666666</v>
      </c>
      <c r="AO15" s="614">
        <v>286776</v>
      </c>
      <c r="AP15" s="614">
        <v>202625</v>
      </c>
      <c r="AQ15" s="614">
        <v>562590</v>
      </c>
      <c r="AR15" s="614">
        <v>618342</v>
      </c>
      <c r="AS15" s="532">
        <v>127375</v>
      </c>
      <c r="AT15" s="614">
        <v>218750</v>
      </c>
      <c r="AU15" s="614">
        <v>263922</v>
      </c>
      <c r="AV15" s="614">
        <v>472500</v>
      </c>
      <c r="AW15" s="614">
        <v>151895</v>
      </c>
      <c r="AX15" s="532">
        <v>92600</v>
      </c>
      <c r="AY15" s="614">
        <v>272556</v>
      </c>
      <c r="AZ15" s="614">
        <v>3231000</v>
      </c>
      <c r="BA15" s="614"/>
      <c r="BB15" s="614">
        <v>177610</v>
      </c>
      <c r="BC15" s="532">
        <v>90520</v>
      </c>
      <c r="BD15" s="614">
        <v>263216</v>
      </c>
      <c r="BE15" s="614">
        <v>178884</v>
      </c>
      <c r="BF15" s="614">
        <v>112970</v>
      </c>
      <c r="BG15" s="614">
        <v>710262</v>
      </c>
      <c r="BH15" s="614">
        <v>284658</v>
      </c>
      <c r="BI15" s="614">
        <v>327708</v>
      </c>
      <c r="BJ15" s="614">
        <v>176267</v>
      </c>
      <c r="BK15" s="614">
        <v>1055374</v>
      </c>
      <c r="BL15" s="532">
        <v>86060</v>
      </c>
      <c r="BM15" s="532">
        <v>197050</v>
      </c>
      <c r="BN15" s="532">
        <v>4483420</v>
      </c>
      <c r="BO15" s="614">
        <v>1397140</v>
      </c>
      <c r="BP15" s="614">
        <v>261992</v>
      </c>
      <c r="BQ15" s="614">
        <v>184818</v>
      </c>
      <c r="BR15" s="614">
        <v>206100</v>
      </c>
      <c r="BS15" s="614">
        <v>5137513</v>
      </c>
      <c r="BT15" s="532">
        <v>2663410</v>
      </c>
      <c r="BU15" s="532">
        <v>3741970</v>
      </c>
      <c r="BV15" s="532">
        <v>1945279</v>
      </c>
      <c r="BW15" s="614">
        <v>4434878</v>
      </c>
      <c r="BX15" s="532">
        <v>228256</v>
      </c>
      <c r="BY15" s="614">
        <v>617000</v>
      </c>
      <c r="BZ15" s="614">
        <v>482500</v>
      </c>
      <c r="CA15" s="614">
        <v>11106042</v>
      </c>
      <c r="CB15" s="532">
        <v>987384</v>
      </c>
      <c r="CC15" s="532">
        <v>2024400</v>
      </c>
      <c r="CD15" s="532">
        <v>432208</v>
      </c>
      <c r="CE15" s="614">
        <v>21101935</v>
      </c>
      <c r="CF15" s="614">
        <v>1363718</v>
      </c>
      <c r="CH15" s="614">
        <v>453780</v>
      </c>
      <c r="CI15" s="54">
        <v>203520</v>
      </c>
      <c r="CJ15" s="614">
        <v>43224</v>
      </c>
      <c r="CK15" s="532">
        <f>784250+379950</f>
        <v>1164200</v>
      </c>
      <c r="CL15" s="532">
        <v>111000</v>
      </c>
      <c r="CM15" s="532">
        <v>4865220</v>
      </c>
      <c r="CN15" s="532">
        <v>861070</v>
      </c>
      <c r="CO15" s="532">
        <v>786430</v>
      </c>
      <c r="CP15" s="532">
        <v>436440</v>
      </c>
      <c r="CQ15" s="614">
        <v>407660</v>
      </c>
      <c r="CR15" s="614">
        <v>978400</v>
      </c>
      <c r="CS15" s="614">
        <v>207000</v>
      </c>
      <c r="CT15" s="614">
        <v>741530</v>
      </c>
      <c r="CU15" s="614">
        <v>553040</v>
      </c>
      <c r="CV15" s="614">
        <v>574960</v>
      </c>
      <c r="CW15" s="532">
        <v>830270</v>
      </c>
      <c r="CX15" s="532">
        <v>331484</v>
      </c>
      <c r="CY15" s="614">
        <v>401820</v>
      </c>
      <c r="CZ15" s="614">
        <v>18125210</v>
      </c>
      <c r="DA15" s="532">
        <v>2306800</v>
      </c>
      <c r="DB15" s="532">
        <v>3298936</v>
      </c>
      <c r="DC15" s="614">
        <v>252216</v>
      </c>
      <c r="DE15" s="614">
        <v>435038</v>
      </c>
      <c r="DF15" s="614">
        <v>2586636</v>
      </c>
      <c r="DG15" s="614">
        <v>7394160</v>
      </c>
      <c r="DH15" s="614">
        <v>5935879</v>
      </c>
      <c r="DI15" s="614">
        <v>3650222</v>
      </c>
      <c r="DJ15" s="532">
        <v>37876370</v>
      </c>
      <c r="DK15" s="614">
        <v>11407210</v>
      </c>
      <c r="DL15" s="614">
        <v>3865452</v>
      </c>
      <c r="DM15" s="614">
        <v>6437370</v>
      </c>
      <c r="DN15" s="614">
        <v>3636474</v>
      </c>
      <c r="DO15" s="532">
        <v>1743153</v>
      </c>
      <c r="DP15" s="614">
        <v>1008294</v>
      </c>
      <c r="DQ15" s="614">
        <v>29532154</v>
      </c>
      <c r="DR15" s="614">
        <v>65000</v>
      </c>
      <c r="DS15" s="614">
        <v>1385145</v>
      </c>
      <c r="DT15" s="532">
        <v>2150844</v>
      </c>
      <c r="DU15" s="614">
        <v>2802285</v>
      </c>
      <c r="DV15" s="614">
        <v>995053</v>
      </c>
      <c r="DW15" s="614">
        <v>3760090</v>
      </c>
      <c r="DX15" s="614">
        <v>4101700</v>
      </c>
      <c r="DY15" s="614">
        <v>3718730</v>
      </c>
      <c r="DZ15" s="532">
        <v>91000</v>
      </c>
      <c r="EA15" s="614">
        <v>24937793</v>
      </c>
      <c r="EB15" s="614">
        <v>151895</v>
      </c>
      <c r="EC15" s="532">
        <v>1136270</v>
      </c>
      <c r="ED15" s="614">
        <v>9993089</v>
      </c>
      <c r="EE15" s="614">
        <v>542930</v>
      </c>
      <c r="EF15" s="532">
        <v>889584</v>
      </c>
      <c r="EG15" s="532">
        <v>2790111</v>
      </c>
      <c r="EH15" s="614">
        <v>9352288</v>
      </c>
      <c r="EI15" s="532">
        <v>23269135</v>
      </c>
      <c r="EJ15" s="614">
        <v>3260622</v>
      </c>
      <c r="EK15" s="614">
        <v>356460</v>
      </c>
      <c r="EL15" s="614">
        <v>611870</v>
      </c>
      <c r="EM15" s="614">
        <v>1491645</v>
      </c>
      <c r="EN15" s="614">
        <v>650000</v>
      </c>
      <c r="EO15" s="614">
        <v>160538</v>
      </c>
      <c r="EP15" s="614">
        <v>11327000</v>
      </c>
      <c r="EQ15" s="614">
        <v>3290990</v>
      </c>
      <c r="ER15" s="614">
        <v>6874060</v>
      </c>
      <c r="ES15" s="614">
        <v>1506728</v>
      </c>
      <c r="ET15" s="614">
        <v>1230379</v>
      </c>
      <c r="EU15" s="614">
        <v>19106850</v>
      </c>
      <c r="EV15" s="532">
        <v>1312162</v>
      </c>
      <c r="EW15" s="532">
        <v>2162082</v>
      </c>
      <c r="EX15" s="532">
        <v>1141116</v>
      </c>
      <c r="EY15" s="532">
        <v>648074</v>
      </c>
      <c r="EZ15" s="532">
        <v>454954</v>
      </c>
      <c r="FA15" s="614">
        <v>2246661</v>
      </c>
      <c r="FB15" s="614">
        <v>172312</v>
      </c>
      <c r="FC15" s="614">
        <v>257380</v>
      </c>
      <c r="FD15" s="532">
        <v>230948</v>
      </c>
      <c r="FE15" s="614">
        <v>261552</v>
      </c>
      <c r="FF15" s="614">
        <v>155232</v>
      </c>
      <c r="FG15" s="532">
        <v>168298</v>
      </c>
      <c r="FH15" s="614">
        <v>5870318</v>
      </c>
      <c r="FI15" s="614"/>
      <c r="FJ15" s="614">
        <v>86060</v>
      </c>
      <c r="FK15" s="54">
        <v>0</v>
      </c>
      <c r="FL15" s="614">
        <v>147730</v>
      </c>
      <c r="FM15" s="614">
        <v>7310574</v>
      </c>
      <c r="FN15" s="614">
        <v>631910</v>
      </c>
      <c r="FO15" s="532">
        <v>203780</v>
      </c>
      <c r="FP15" s="532">
        <v>273200</v>
      </c>
      <c r="FQ15" s="532">
        <v>1120313</v>
      </c>
      <c r="FR15" s="532">
        <v>574960</v>
      </c>
      <c r="FT15" s="532"/>
      <c r="FU15" s="532">
        <v>786040</v>
      </c>
      <c r="FV15" s="532">
        <f>90*1000</f>
        <v>90000</v>
      </c>
      <c r="FX15" s="532">
        <v>219860</v>
      </c>
      <c r="FY15" s="614"/>
      <c r="FZ15" s="532">
        <v>934900</v>
      </c>
      <c r="GA15" s="532">
        <v>874720</v>
      </c>
    </row>
    <row r="16" spans="1:183" s="529" customFormat="1" x14ac:dyDescent="0.2">
      <c r="A16" s="1588" t="s">
        <v>163</v>
      </c>
      <c r="B16" s="529">
        <v>10220985</v>
      </c>
      <c r="H16" s="529">
        <v>0</v>
      </c>
      <c r="T16" s="529">
        <v>0</v>
      </c>
      <c r="AD16" s="532"/>
      <c r="AG16" s="529">
        <v>0</v>
      </c>
      <c r="AI16" s="529">
        <v>0</v>
      </c>
      <c r="AL16" s="532">
        <f t="shared" si="0"/>
        <v>0</v>
      </c>
      <c r="AM16" s="532">
        <f t="shared" si="1"/>
        <v>0</v>
      </c>
      <c r="AN16" s="532">
        <f t="shared" si="2"/>
        <v>0</v>
      </c>
      <c r="AW16" s="529">
        <v>0</v>
      </c>
      <c r="AY16" s="529">
        <v>0</v>
      </c>
      <c r="BG16" s="529">
        <v>0</v>
      </c>
      <c r="BJ16" s="529">
        <v>0</v>
      </c>
      <c r="BK16" s="529">
        <v>0</v>
      </c>
      <c r="BO16" s="529">
        <v>0</v>
      </c>
      <c r="BP16" s="529">
        <v>0</v>
      </c>
      <c r="BU16" s="529">
        <v>0</v>
      </c>
      <c r="BV16" s="532"/>
      <c r="BX16" s="532"/>
      <c r="CD16" s="532"/>
      <c r="CJ16" s="529">
        <v>0</v>
      </c>
      <c r="CK16" s="532"/>
      <c r="CT16" s="529">
        <v>0</v>
      </c>
      <c r="DA16" s="529">
        <v>0</v>
      </c>
      <c r="DF16" s="529">
        <v>1612500</v>
      </c>
      <c r="DO16" s="532"/>
      <c r="DV16" s="54"/>
      <c r="DZ16" s="532"/>
      <c r="EG16" s="532"/>
      <c r="FW16" s="532"/>
      <c r="FX16" s="532"/>
      <c r="FZ16" s="532"/>
      <c r="GA16" s="532"/>
    </row>
    <row r="17" spans="1:183" x14ac:dyDescent="0.2">
      <c r="A17" s="439" t="s">
        <v>164</v>
      </c>
      <c r="B17" s="532">
        <f>SUM(B6:B16)</f>
        <v>18246663</v>
      </c>
      <c r="C17" s="614">
        <v>19513818</v>
      </c>
      <c r="D17" s="614">
        <f>SUM(D6:D15)</f>
        <v>39779000</v>
      </c>
      <c r="E17" s="614">
        <v>7805200</v>
      </c>
      <c r="F17" s="614">
        <v>4995294</v>
      </c>
      <c r="G17" s="614">
        <f>SUM(G6:G16)</f>
        <v>7712183</v>
      </c>
      <c r="H17" s="614">
        <v>4961147</v>
      </c>
      <c r="I17" s="614">
        <v>46913332</v>
      </c>
      <c r="J17" s="614">
        <v>22901422</v>
      </c>
      <c r="K17" s="614">
        <v>9796949</v>
      </c>
      <c r="L17" s="614">
        <v>4315268</v>
      </c>
      <c r="M17" s="614">
        <v>3273677</v>
      </c>
      <c r="N17" s="614">
        <f>SUM(N6:N15)</f>
        <v>8210684</v>
      </c>
      <c r="O17" s="614">
        <f>SUM(O6:O15)</f>
        <v>18303339</v>
      </c>
      <c r="P17" s="606">
        <f>SUM(P6:P16)</f>
        <v>9251856</v>
      </c>
      <c r="Q17" s="606">
        <f>SUM(Q5:Q16)</f>
        <v>3645626</v>
      </c>
      <c r="R17" s="614">
        <f>SUM(R6:R15)</f>
        <v>5839636</v>
      </c>
      <c r="S17" s="614">
        <v>13614000</v>
      </c>
      <c r="T17" s="614">
        <v>10653143</v>
      </c>
      <c r="U17" s="606">
        <f>SUM(U6:U16)</f>
        <v>10582772</v>
      </c>
      <c r="V17" s="614">
        <f>SUM(V6:V16)</f>
        <v>17379993</v>
      </c>
      <c r="W17" s="614">
        <f>SUM(W6:W16)</f>
        <v>22022558</v>
      </c>
      <c r="X17" s="614">
        <f>SUM(X6:X15)</f>
        <v>13389425</v>
      </c>
      <c r="Y17" s="614">
        <f>SUM(Y6:Y16)</f>
        <v>11076396</v>
      </c>
      <c r="Z17" s="614">
        <f>SUM(Z6:Z16)</f>
        <v>21954862</v>
      </c>
      <c r="AA17" s="532">
        <f>SUM(AA6:AA15)</f>
        <v>2533470</v>
      </c>
      <c r="AB17" s="606">
        <f>SUM(AB6:AB15)</f>
        <v>12652227</v>
      </c>
      <c r="AC17" s="606">
        <f t="shared" ref="AC17:AZ17" si="3">SUM(AC6:AC15)</f>
        <v>68167221</v>
      </c>
      <c r="AD17" s="532">
        <f t="shared" si="3"/>
        <v>9413083</v>
      </c>
      <c r="AE17" s="606">
        <f t="shared" si="3"/>
        <v>18019906</v>
      </c>
      <c r="AF17" s="606">
        <f t="shared" si="3"/>
        <v>7245482</v>
      </c>
      <c r="AG17" s="606">
        <f t="shared" si="3"/>
        <v>16189936</v>
      </c>
      <c r="AH17" s="606">
        <f t="shared" si="3"/>
        <v>74238825</v>
      </c>
      <c r="AI17" s="606">
        <f t="shared" si="3"/>
        <v>46122421</v>
      </c>
      <c r="AJ17" s="606">
        <f t="shared" si="3"/>
        <v>57744357</v>
      </c>
      <c r="AK17" s="606">
        <f>SUM(AK6:AK16)</f>
        <v>31561483</v>
      </c>
      <c r="AL17" s="606">
        <f t="shared" si="3"/>
        <v>7809555.666666667</v>
      </c>
      <c r="AM17" s="606">
        <f t="shared" si="3"/>
        <v>7809555.666666667</v>
      </c>
      <c r="AN17" s="606">
        <f t="shared" si="3"/>
        <v>7809555.666666667</v>
      </c>
      <c r="AO17" s="606">
        <f t="shared" si="3"/>
        <v>9901084</v>
      </c>
      <c r="AP17" s="606">
        <f t="shared" si="3"/>
        <v>7533369</v>
      </c>
      <c r="AQ17" s="606">
        <f t="shared" si="3"/>
        <v>18518889</v>
      </c>
      <c r="AR17" s="606">
        <f t="shared" si="3"/>
        <v>22823310</v>
      </c>
      <c r="AS17" s="606">
        <f t="shared" si="3"/>
        <v>11833225</v>
      </c>
      <c r="AT17" s="606">
        <f t="shared" si="3"/>
        <v>11610663</v>
      </c>
      <c r="AU17" s="606">
        <f t="shared" si="3"/>
        <v>12364775</v>
      </c>
      <c r="AV17" s="606">
        <f t="shared" si="3"/>
        <v>18044919</v>
      </c>
      <c r="AW17" s="606">
        <f t="shared" si="3"/>
        <v>6982405</v>
      </c>
      <c r="AX17" s="606">
        <f t="shared" si="3"/>
        <v>9667703</v>
      </c>
      <c r="AY17" s="606">
        <f t="shared" si="3"/>
        <v>9621661</v>
      </c>
      <c r="AZ17" s="606">
        <f t="shared" si="3"/>
        <v>150880250</v>
      </c>
      <c r="BA17" s="614"/>
      <c r="BB17" s="614">
        <f>SUM(BB6:BB16)</f>
        <v>11852800</v>
      </c>
      <c r="BC17" s="532">
        <f>SUM(BC6:BC16)</f>
        <v>5692184</v>
      </c>
      <c r="BD17" s="614">
        <v>13485634</v>
      </c>
      <c r="BE17" s="614">
        <f>SUM(BE6:BE16)</f>
        <v>10261671</v>
      </c>
      <c r="BF17" s="614">
        <f>SUM(BF6:BF16)</f>
        <v>3936910</v>
      </c>
      <c r="BG17" s="614">
        <v>23437338</v>
      </c>
      <c r="BH17" s="614">
        <f>SUM(BH6:BH16)</f>
        <v>13878614</v>
      </c>
      <c r="BI17" s="614">
        <f>SUM(BI6:BI16)</f>
        <v>11873628</v>
      </c>
      <c r="BJ17" s="614">
        <v>6436876</v>
      </c>
      <c r="BK17" s="614">
        <v>44762259</v>
      </c>
      <c r="BL17" s="532">
        <f>SUM(BL6:BL16)</f>
        <v>5556227</v>
      </c>
      <c r="BM17" s="532">
        <f>SUM(BM6:BM16)</f>
        <v>13172237</v>
      </c>
      <c r="BN17" s="532">
        <f>SUM(BN6:BN16)</f>
        <v>90719017</v>
      </c>
      <c r="BO17" s="614">
        <v>44017344</v>
      </c>
      <c r="BP17" s="614">
        <v>13014774</v>
      </c>
      <c r="BQ17" s="614">
        <f>SUM(BQ6:BQ16)</f>
        <v>9176523</v>
      </c>
      <c r="BR17" s="614">
        <v>10856616</v>
      </c>
      <c r="BS17" s="614">
        <f>SUM(BS6:BS16)</f>
        <v>83330500</v>
      </c>
      <c r="BT17" s="532">
        <f>SUM(BT6:BT16)</f>
        <v>35215220</v>
      </c>
      <c r="BU17" s="532">
        <f>SUM(BU6:BU16)</f>
        <v>40156708</v>
      </c>
      <c r="BV17" s="532">
        <f>SUM(BV6:BV15)</f>
        <v>32792700</v>
      </c>
      <c r="BW17" s="614">
        <v>39633854</v>
      </c>
      <c r="BX17" s="532">
        <f>SUM(BX6:BX15)</f>
        <v>10631982</v>
      </c>
      <c r="BY17" s="614">
        <f>SUM(BY6:BY15)</f>
        <v>30624430</v>
      </c>
      <c r="BZ17" s="614">
        <f>SUM(BZ6:BZ15)</f>
        <v>15452255</v>
      </c>
      <c r="CA17" s="614">
        <f>SUM(CA6:CA16)</f>
        <v>80255067</v>
      </c>
      <c r="CB17" s="532">
        <f>SUM(CB6:CB16)</f>
        <v>25111774</v>
      </c>
      <c r="CC17" s="606">
        <f>SUM(CC6:CC15)</f>
        <v>33478150</v>
      </c>
      <c r="CD17" s="532">
        <f>SUM(CD6:CD15)</f>
        <v>13672598</v>
      </c>
      <c r="CE17" s="614">
        <v>627902673</v>
      </c>
      <c r="CF17" s="614">
        <v>45955109</v>
      </c>
      <c r="CG17" s="54">
        <v>0</v>
      </c>
      <c r="CH17" s="614">
        <v>23530620</v>
      </c>
      <c r="CI17" s="532">
        <f>SUM(CI6:CI15)</f>
        <v>6963680</v>
      </c>
      <c r="CJ17" s="614">
        <v>1482274</v>
      </c>
      <c r="CK17" s="532">
        <f>SUM(CK6:CK15)</f>
        <v>42977840</v>
      </c>
      <c r="CL17" s="614">
        <f>SUM(CL6:CL16)</f>
        <v>7085705</v>
      </c>
      <c r="CM17" s="532">
        <f>SUM(CM6:CM15)</f>
        <v>120366928</v>
      </c>
      <c r="CN17" s="532">
        <f>SUM(CN6:CN16)</f>
        <v>27482179</v>
      </c>
      <c r="CO17" s="532">
        <f>SUM(CO6:CO16)</f>
        <v>33013648</v>
      </c>
      <c r="CP17" s="532">
        <f>SUM(CP6:CP16)</f>
        <v>12835838</v>
      </c>
      <c r="CQ17" s="614">
        <f>SUM(CQ6:CQ16)</f>
        <v>27189926</v>
      </c>
      <c r="CR17" s="614">
        <v>43504001</v>
      </c>
      <c r="CS17" s="614">
        <f>SUM(CS6:CS16)</f>
        <v>11689000</v>
      </c>
      <c r="CT17" s="614">
        <v>31642236</v>
      </c>
      <c r="CU17" s="614">
        <f>SUM(CU6:CU16)</f>
        <v>19647672</v>
      </c>
      <c r="CV17" s="614">
        <v>40769495</v>
      </c>
      <c r="CW17" s="532">
        <f>SUM(CW6:CW15)</f>
        <v>23394533</v>
      </c>
      <c r="CX17" s="532">
        <f>SUM(CX6:CX16)</f>
        <v>11997199</v>
      </c>
      <c r="CY17" s="614">
        <f>SUM(CY6:CY16)</f>
        <v>17653004</v>
      </c>
      <c r="CZ17" s="614">
        <f>SUM(CZ6:CZ16)</f>
        <v>301705957</v>
      </c>
      <c r="DA17" s="614">
        <f>SUM(DA6:DA16)</f>
        <v>63745400</v>
      </c>
      <c r="DB17" s="532">
        <f>SUM(DB6:DB16)</f>
        <v>38684575</v>
      </c>
      <c r="DC17" s="614">
        <f>SUM(DC6:DC15)</f>
        <v>13333073</v>
      </c>
      <c r="DE17" s="614">
        <f>SUM(DE6:DE15)</f>
        <v>20337638</v>
      </c>
      <c r="DF17" s="614">
        <f>SUM(DF6:DF16)</f>
        <v>80920356</v>
      </c>
      <c r="DG17" s="614">
        <v>187156885</v>
      </c>
      <c r="DH17" s="614">
        <v>189101029</v>
      </c>
      <c r="DI17" s="614">
        <f>SUM(DI6:DI16)</f>
        <v>94558699</v>
      </c>
      <c r="DJ17" s="532">
        <f>SUM(DJ6:DJ16)</f>
        <v>912611346</v>
      </c>
      <c r="DK17" s="614">
        <f>SUM(DK6:DK16)</f>
        <v>240923466</v>
      </c>
      <c r="DL17" s="614">
        <f>SUM(DL6:DL15)</f>
        <v>80591084</v>
      </c>
      <c r="DM17" s="614">
        <v>119710462</v>
      </c>
      <c r="DN17" s="614">
        <f>SUM(DN6:DN16)</f>
        <v>66911849</v>
      </c>
      <c r="DO17" s="614">
        <f>SUM(DO6:DO16)</f>
        <v>39067503</v>
      </c>
      <c r="DP17" s="614">
        <f>SUM(DP6:DP16)</f>
        <v>22814804</v>
      </c>
      <c r="DQ17" s="614">
        <f>SUM(DQ6:DQ15)</f>
        <v>389821392</v>
      </c>
      <c r="DR17" s="614">
        <v>5392019</v>
      </c>
      <c r="DS17" s="614">
        <v>24489494</v>
      </c>
      <c r="DT17" s="532">
        <f>SUM(DT6:DT15)</f>
        <v>21164175</v>
      </c>
      <c r="DU17" s="614">
        <v>64464689</v>
      </c>
      <c r="DV17" s="614">
        <f>SUM(DV6:DV16)</f>
        <v>29913083</v>
      </c>
      <c r="DW17" s="614">
        <f t="shared" ref="DW17:EC17" si="4">SUM(DW6:DW16)</f>
        <v>58186675</v>
      </c>
      <c r="DX17" s="614">
        <f t="shared" si="4"/>
        <v>135123730</v>
      </c>
      <c r="DY17" s="614">
        <f t="shared" si="4"/>
        <v>67788541</v>
      </c>
      <c r="DZ17" s="614">
        <f>SUM(DZ6:DZ16)</f>
        <v>2837072</v>
      </c>
      <c r="EA17" s="614">
        <f t="shared" si="4"/>
        <v>1296931882</v>
      </c>
      <c r="EB17" s="614">
        <f t="shared" si="4"/>
        <v>5592425</v>
      </c>
      <c r="EC17" s="532">
        <f t="shared" si="4"/>
        <v>38504589</v>
      </c>
      <c r="ED17" s="614">
        <v>188218193</v>
      </c>
      <c r="EE17" s="614">
        <v>14669485</v>
      </c>
      <c r="EF17" s="532">
        <f>SUM(EF6:EF16)</f>
        <v>9810671</v>
      </c>
      <c r="EG17" s="614">
        <f>SUM(EG6:EG16)</f>
        <v>36200934</v>
      </c>
      <c r="EH17" s="614">
        <f>SUM(EH6:EH16)</f>
        <v>121571094</v>
      </c>
      <c r="EI17" s="532">
        <f>SUM(EI6:EI15)</f>
        <v>469493558</v>
      </c>
      <c r="EJ17" s="614">
        <v>65496693</v>
      </c>
      <c r="EK17" s="614">
        <f>SUM(EK6:EK15)</f>
        <v>11868738</v>
      </c>
      <c r="EL17" s="614">
        <f>SUM(EL6:EL15)</f>
        <v>13209785</v>
      </c>
      <c r="EM17" s="614">
        <f>SUM(EM6:EM16)</f>
        <v>53015143</v>
      </c>
      <c r="EN17" s="614">
        <f>SUM(EN6:EN15)</f>
        <v>39182000</v>
      </c>
      <c r="EO17" s="614">
        <f>SUM(EO6:EO15)</f>
        <v>5895951</v>
      </c>
      <c r="EP17" s="614">
        <v>232775000</v>
      </c>
      <c r="EQ17" s="614">
        <v>73056860</v>
      </c>
      <c r="ER17" s="614">
        <f>SUM(ER6:ER16)</f>
        <v>141576300</v>
      </c>
      <c r="ES17" s="614">
        <f>SUM(ES6:ES15)</f>
        <v>39629083</v>
      </c>
      <c r="ET17" s="614">
        <f>SUM(ET6:ET16)</f>
        <v>25104547</v>
      </c>
      <c r="EU17" s="614">
        <f>SUM(EU6:EU15)</f>
        <v>314633145</v>
      </c>
      <c r="EV17" s="532">
        <f>SUM(EV6:EV15)</f>
        <v>40176157</v>
      </c>
      <c r="EW17" s="532">
        <f>SUM(EW6:EW15)</f>
        <v>48873520</v>
      </c>
      <c r="EX17" s="532">
        <f>SUM(EX6:EX16)</f>
        <v>49445758</v>
      </c>
      <c r="EY17" s="532">
        <f>SUM(EY6:EY15)</f>
        <v>24601992</v>
      </c>
      <c r="EZ17" s="606">
        <f>SUM(EZ6:EZ16)</f>
        <v>16653775</v>
      </c>
      <c r="FA17" s="614">
        <v>63245737</v>
      </c>
      <c r="FB17" s="614">
        <v>15277275</v>
      </c>
      <c r="FC17" s="614">
        <f>SUM(FC6:FC16)</f>
        <v>18199540</v>
      </c>
      <c r="FD17" s="532">
        <f>SUM(FD6:FD15)</f>
        <v>18769561</v>
      </c>
      <c r="FE17" s="614">
        <f>SUM(FE6:FE15)</f>
        <v>11944708</v>
      </c>
      <c r="FF17" s="614">
        <f>SUM(FF6:FF16)</f>
        <v>15160197</v>
      </c>
      <c r="FG17" s="532">
        <f>SUM(FG6:FG15)</f>
        <v>10500407</v>
      </c>
      <c r="FH17" s="614">
        <f>SUM(FH6:FH16)</f>
        <v>109933703</v>
      </c>
      <c r="FI17" s="614"/>
      <c r="FJ17" s="614">
        <v>5556227</v>
      </c>
      <c r="FK17" s="54">
        <v>0</v>
      </c>
      <c r="FL17" s="614">
        <v>6495602</v>
      </c>
      <c r="FM17" s="614">
        <v>129810451</v>
      </c>
      <c r="FN17" s="614">
        <f>SUM(FN6:FN16)</f>
        <v>23428667</v>
      </c>
      <c r="FO17" s="532">
        <f>SUM(FO6:FO16)</f>
        <v>12704389</v>
      </c>
      <c r="FP17" s="532">
        <f>SUM(FP6:FP16)</f>
        <v>14020098</v>
      </c>
      <c r="FQ17" s="532">
        <f>SUM(FQ6:FQ15)</f>
        <v>41956788</v>
      </c>
      <c r="FR17" s="532">
        <f>SUM(FR6:FR16)</f>
        <v>40769494</v>
      </c>
      <c r="FT17" s="606"/>
      <c r="FU17" s="532">
        <f t="shared" ref="FU17:GA17" si="5">SUM(FU6:FU16)</f>
        <v>26419501</v>
      </c>
      <c r="FV17" s="532">
        <f t="shared" si="5"/>
        <v>17321000</v>
      </c>
      <c r="FW17" s="532">
        <f t="shared" si="5"/>
        <v>0</v>
      </c>
      <c r="FX17" s="532">
        <f t="shared" si="5"/>
        <v>6759817</v>
      </c>
      <c r="FY17" s="532">
        <f t="shared" si="5"/>
        <v>0</v>
      </c>
      <c r="FZ17" s="532">
        <f t="shared" si="5"/>
        <v>22841358</v>
      </c>
      <c r="GA17" s="532">
        <f t="shared" si="5"/>
        <v>26209181</v>
      </c>
    </row>
    <row r="18" spans="1:183" x14ac:dyDescent="0.2">
      <c r="A18" s="602" t="s">
        <v>165</v>
      </c>
      <c r="Q18" s="614"/>
      <c r="AL18" s="532">
        <f t="shared" si="0"/>
        <v>0</v>
      </c>
      <c r="AM18" s="532">
        <f t="shared" si="1"/>
        <v>0</v>
      </c>
      <c r="AN18" s="532">
        <f t="shared" si="2"/>
        <v>0</v>
      </c>
      <c r="BU18" s="532"/>
      <c r="DW18" s="614"/>
    </row>
    <row r="19" spans="1:183" x14ac:dyDescent="0.2">
      <c r="A19" s="439" t="s">
        <v>153</v>
      </c>
      <c r="B19" s="532">
        <v>3538845</v>
      </c>
      <c r="C19" s="614">
        <v>7507465</v>
      </c>
      <c r="D19" s="614">
        <v>12192000</v>
      </c>
      <c r="E19" s="614">
        <v>5543964</v>
      </c>
      <c r="F19" s="614">
        <v>3182141</v>
      </c>
      <c r="G19" s="532">
        <v>4371516</v>
      </c>
      <c r="H19" s="614">
        <v>3658722</v>
      </c>
      <c r="I19" s="614">
        <v>13638674</v>
      </c>
      <c r="J19" s="614">
        <v>9746510</v>
      </c>
      <c r="K19" s="614">
        <v>7061221</v>
      </c>
      <c r="L19" s="614">
        <v>2594946</v>
      </c>
      <c r="M19" s="614">
        <v>1756460</v>
      </c>
      <c r="N19" s="614">
        <v>4227058</v>
      </c>
      <c r="O19" s="614">
        <v>8292870</v>
      </c>
      <c r="P19" s="532">
        <v>4988169</v>
      </c>
      <c r="Q19" s="532">
        <v>1260295</v>
      </c>
      <c r="R19" s="614">
        <v>2683925</v>
      </c>
      <c r="S19" s="614">
        <v>10277000</v>
      </c>
      <c r="T19" s="614">
        <v>5596653</v>
      </c>
      <c r="U19" s="532">
        <v>4421150</v>
      </c>
      <c r="V19" s="614">
        <v>9806855</v>
      </c>
      <c r="W19" s="614">
        <v>9707413</v>
      </c>
      <c r="X19" s="614">
        <v>6502888</v>
      </c>
      <c r="Y19" s="614">
        <v>7087824</v>
      </c>
      <c r="Z19" s="614">
        <v>10914299</v>
      </c>
      <c r="AA19" s="532">
        <v>1463558</v>
      </c>
      <c r="AB19" s="532">
        <v>7485844</v>
      </c>
      <c r="AC19" s="614">
        <v>35145554</v>
      </c>
      <c r="AD19" s="532">
        <v>5649686</v>
      </c>
      <c r="AE19" s="614">
        <v>11368614</v>
      </c>
      <c r="AF19" s="614">
        <v>5149478</v>
      </c>
      <c r="AG19" s="614">
        <v>9698291</v>
      </c>
      <c r="AH19" s="614">
        <v>23464017</v>
      </c>
      <c r="AI19" s="614">
        <v>17491125</v>
      </c>
      <c r="AJ19" s="532">
        <v>17511095</v>
      </c>
      <c r="AK19" s="532">
        <v>10954649</v>
      </c>
      <c r="AL19" s="532">
        <f t="shared" si="0"/>
        <v>4089700.3333333335</v>
      </c>
      <c r="AM19" s="532">
        <f t="shared" si="1"/>
        <v>4089700.3333333335</v>
      </c>
      <c r="AN19" s="532">
        <f t="shared" si="2"/>
        <v>4089700.3333333335</v>
      </c>
      <c r="AO19" s="614">
        <v>5221993</v>
      </c>
      <c r="AP19" s="614">
        <v>4688595</v>
      </c>
      <c r="AQ19" s="614">
        <v>10745393</v>
      </c>
      <c r="AR19" s="614">
        <v>14752036</v>
      </c>
      <c r="AS19" s="532">
        <v>5772038</v>
      </c>
      <c r="AT19" s="614">
        <v>7239985</v>
      </c>
      <c r="AU19" s="614">
        <v>6105791</v>
      </c>
      <c r="AV19" s="614">
        <v>8446678</v>
      </c>
      <c r="AW19" s="614">
        <v>4136974</v>
      </c>
      <c r="AX19" s="532">
        <v>5391493</v>
      </c>
      <c r="AY19" s="614">
        <v>5293317</v>
      </c>
      <c r="AZ19" s="614">
        <v>43204649</v>
      </c>
      <c r="BA19" s="614"/>
      <c r="BB19" s="614">
        <v>4354174</v>
      </c>
      <c r="BC19" s="532">
        <v>3034282</v>
      </c>
      <c r="BD19" s="614">
        <v>6710045</v>
      </c>
      <c r="BE19" s="614">
        <v>5534494</v>
      </c>
      <c r="BF19" s="614">
        <v>2045413</v>
      </c>
      <c r="BG19" s="614">
        <v>11344014</v>
      </c>
      <c r="BH19" s="614">
        <v>7876111</v>
      </c>
      <c r="BI19" s="614">
        <v>5955103</v>
      </c>
      <c r="BJ19" s="614">
        <v>2615649</v>
      </c>
      <c r="BK19" s="614">
        <v>23766924</v>
      </c>
      <c r="BL19" s="532">
        <v>4044630</v>
      </c>
      <c r="BM19" s="532">
        <v>6838378</v>
      </c>
      <c r="BN19" s="532">
        <v>34754201</v>
      </c>
      <c r="BO19" s="614">
        <v>17595033</v>
      </c>
      <c r="BP19" s="614">
        <v>6612059</v>
      </c>
      <c r="BQ19" s="614">
        <v>5239680</v>
      </c>
      <c r="BR19" s="614">
        <v>6628440</v>
      </c>
      <c r="BS19" s="614">
        <v>32870359</v>
      </c>
      <c r="BT19" s="532">
        <v>15354864</v>
      </c>
      <c r="BU19" s="532">
        <v>10808652</v>
      </c>
      <c r="BV19" s="532">
        <v>10774751</v>
      </c>
      <c r="BW19" s="614">
        <v>16452484</v>
      </c>
      <c r="BX19" s="532">
        <v>5728943</v>
      </c>
      <c r="BY19" s="614">
        <v>15546043</v>
      </c>
      <c r="BZ19" s="614">
        <v>7846463</v>
      </c>
      <c r="CA19" s="614">
        <v>32278591</v>
      </c>
      <c r="CB19" s="532">
        <v>12043948</v>
      </c>
      <c r="CC19" s="532">
        <v>14577043</v>
      </c>
      <c r="CD19" s="532">
        <v>7844673</v>
      </c>
      <c r="CE19" s="614">
        <v>188217990</v>
      </c>
      <c r="CF19" s="614">
        <v>25752984</v>
      </c>
      <c r="CH19" s="614">
        <v>11329361</v>
      </c>
      <c r="CI19" s="54">
        <v>5066443</v>
      </c>
      <c r="CJ19" s="614">
        <v>1039496</v>
      </c>
      <c r="CK19" s="532">
        <f>13377022+6890346</f>
        <v>20267368</v>
      </c>
      <c r="CL19" s="532">
        <v>4195625</v>
      </c>
      <c r="CM19" s="532">
        <v>52635718</v>
      </c>
      <c r="CN19" s="532">
        <v>13765677</v>
      </c>
      <c r="CO19" s="532">
        <f>10919722+2034571</f>
        <v>12954293</v>
      </c>
      <c r="CP19" s="532">
        <v>5198462</v>
      </c>
      <c r="CQ19" s="614">
        <v>12359813</v>
      </c>
      <c r="CR19" s="614">
        <v>17401427</v>
      </c>
      <c r="CS19" s="614">
        <v>6193000</v>
      </c>
      <c r="CT19" s="614">
        <v>10217222</v>
      </c>
      <c r="CU19" s="614">
        <v>7390809</v>
      </c>
      <c r="CV19" s="614">
        <v>9329039</v>
      </c>
      <c r="CW19" s="532">
        <v>13422697</v>
      </c>
      <c r="CX19" s="532">
        <v>3904652</v>
      </c>
      <c r="CY19" s="532">
        <v>8720418</v>
      </c>
      <c r="CZ19" s="614">
        <v>118030596</v>
      </c>
      <c r="DA19" s="614">
        <v>28921205</v>
      </c>
      <c r="DB19" s="532">
        <v>14846450</v>
      </c>
      <c r="DC19" s="614">
        <f>4298546+2914000*0.833333333333333</f>
        <v>6726879.3333333321</v>
      </c>
      <c r="DE19" s="614">
        <v>5601409</v>
      </c>
      <c r="DF19" s="614">
        <v>38419774</v>
      </c>
      <c r="DG19" s="614">
        <v>54599183</v>
      </c>
      <c r="DH19" s="614">
        <v>69079448</v>
      </c>
      <c r="DI19" s="614">
        <v>22421413</v>
      </c>
      <c r="DJ19" s="532">
        <v>193198101</v>
      </c>
      <c r="DK19" s="614">
        <v>61711082</v>
      </c>
      <c r="DL19" s="614">
        <v>22040257</v>
      </c>
      <c r="DM19" s="614">
        <v>37849423</v>
      </c>
      <c r="DN19" s="614">
        <v>18541389</v>
      </c>
      <c r="DO19" s="532">
        <v>13825187</v>
      </c>
      <c r="DP19" s="614">
        <v>6864223</v>
      </c>
      <c r="DQ19" s="614">
        <v>113619031</v>
      </c>
      <c r="DR19" s="614">
        <v>1899348</v>
      </c>
      <c r="DS19" s="614">
        <v>11862055</v>
      </c>
      <c r="DT19" s="532">
        <v>6853347</v>
      </c>
      <c r="DU19" s="614">
        <v>22106145</v>
      </c>
      <c r="DV19" s="614">
        <v>11403436</v>
      </c>
      <c r="DW19" s="614">
        <v>19110126</v>
      </c>
      <c r="DX19" s="614">
        <v>74940145</v>
      </c>
      <c r="DY19" s="614">
        <v>30759556</v>
      </c>
      <c r="DZ19" s="532">
        <v>1931234</v>
      </c>
      <c r="EA19" s="614">
        <v>390252012</v>
      </c>
      <c r="EB19" s="614">
        <v>3690360</v>
      </c>
      <c r="EC19" s="532">
        <v>12397268</v>
      </c>
      <c r="ED19" s="614">
        <v>69811385</v>
      </c>
      <c r="EE19" s="614">
        <v>3696781</v>
      </c>
      <c r="EF19" s="532">
        <v>4907143</v>
      </c>
      <c r="EG19" s="532">
        <f>16420986+262000</f>
        <v>16682986</v>
      </c>
      <c r="EH19" s="614">
        <v>36953172</v>
      </c>
      <c r="EI19" s="532">
        <f>134132478-14160170</f>
        <v>119972308</v>
      </c>
      <c r="EJ19" s="614">
        <v>30741371</v>
      </c>
      <c r="EK19" s="614">
        <v>6583550</v>
      </c>
      <c r="EL19" s="614">
        <v>7652676</v>
      </c>
      <c r="EM19" s="614">
        <v>10485223</v>
      </c>
      <c r="EN19" s="614">
        <v>18240000</v>
      </c>
      <c r="EO19" s="614">
        <v>3744463</v>
      </c>
      <c r="EP19" s="614">
        <v>77934000</v>
      </c>
      <c r="EQ19" s="614">
        <v>29205489</v>
      </c>
      <c r="ER19" s="614">
        <v>52156390</v>
      </c>
      <c r="ES19" s="532">
        <v>14436824</v>
      </c>
      <c r="ET19" s="614">
        <v>8258486</v>
      </c>
      <c r="EU19" s="614">
        <v>82773051</v>
      </c>
      <c r="EV19" s="532">
        <v>10243231</v>
      </c>
      <c r="EW19" s="532">
        <v>9663886</v>
      </c>
      <c r="EX19" s="532">
        <v>14757107</v>
      </c>
      <c r="EY19" s="532">
        <v>8082829</v>
      </c>
      <c r="EZ19" s="532">
        <v>5796565</v>
      </c>
      <c r="FA19" s="614">
        <v>32088270</v>
      </c>
      <c r="FB19" s="614">
        <v>2795425</v>
      </c>
      <c r="FC19" s="614">
        <v>8831219</v>
      </c>
      <c r="FD19" s="532">
        <v>12858777</v>
      </c>
      <c r="FE19" s="614">
        <v>5326839</v>
      </c>
      <c r="FF19" s="614">
        <v>9206620</v>
      </c>
      <c r="FG19" s="532">
        <v>6007821</v>
      </c>
      <c r="FH19" s="614">
        <v>46462549</v>
      </c>
      <c r="FI19" s="614"/>
      <c r="FJ19" s="614">
        <v>4044630</v>
      </c>
      <c r="FK19" s="54">
        <v>0</v>
      </c>
      <c r="FL19" s="614">
        <v>2761503</v>
      </c>
      <c r="FM19" s="614">
        <v>38261140</v>
      </c>
      <c r="FN19" s="614">
        <v>12269101</v>
      </c>
      <c r="FO19" s="532">
        <v>3412354</v>
      </c>
      <c r="FP19" s="532">
        <v>7045289</v>
      </c>
      <c r="FQ19" s="532">
        <v>19106967</v>
      </c>
      <c r="FR19" s="532">
        <v>9329038</v>
      </c>
      <c r="FT19" s="532"/>
      <c r="FU19" s="532">
        <v>10766929</v>
      </c>
      <c r="FV19" s="532">
        <f>3472*1000</f>
        <v>3472000</v>
      </c>
      <c r="FX19" s="532">
        <v>4052442</v>
      </c>
      <c r="FY19" s="614"/>
      <c r="FZ19" s="532">
        <v>8291266</v>
      </c>
      <c r="GA19" s="532">
        <v>11755291</v>
      </c>
    </row>
    <row r="20" spans="1:183" x14ac:dyDescent="0.2">
      <c r="A20" s="439" t="s">
        <v>154</v>
      </c>
      <c r="B20" s="532">
        <v>28000</v>
      </c>
      <c r="C20" s="614">
        <v>158840</v>
      </c>
      <c r="G20" s="532">
        <v>180000</v>
      </c>
      <c r="H20" s="54">
        <v>0</v>
      </c>
      <c r="I20" s="614">
        <v>349792</v>
      </c>
      <c r="J20" s="54">
        <v>0</v>
      </c>
      <c r="K20" s="54">
        <v>0</v>
      </c>
      <c r="L20" s="54">
        <v>0</v>
      </c>
      <c r="M20" s="54">
        <v>0</v>
      </c>
      <c r="N20" s="614">
        <v>6500</v>
      </c>
      <c r="O20" s="614">
        <v>1133050</v>
      </c>
      <c r="R20" s="614"/>
      <c r="S20" s="614"/>
      <c r="T20" s="54">
        <v>0</v>
      </c>
      <c r="U20" s="532">
        <v>120000</v>
      </c>
      <c r="V20" s="614">
        <v>401333</v>
      </c>
      <c r="W20" s="614">
        <v>994217</v>
      </c>
      <c r="X20" s="614">
        <v>125000</v>
      </c>
      <c r="Z20" s="614">
        <v>490451</v>
      </c>
      <c r="AC20" s="614">
        <v>556467</v>
      </c>
      <c r="AD20" s="532">
        <v>0</v>
      </c>
      <c r="AE20" s="614">
        <v>449250</v>
      </c>
      <c r="AF20" s="54">
        <v>0</v>
      </c>
      <c r="AG20" s="54">
        <v>0</v>
      </c>
      <c r="AH20" s="614">
        <v>547023</v>
      </c>
      <c r="AI20" s="614">
        <v>415000</v>
      </c>
      <c r="AJ20" s="532">
        <v>419628</v>
      </c>
      <c r="AL20" s="532">
        <f t="shared" si="0"/>
        <v>115385.33333333333</v>
      </c>
      <c r="AM20" s="532">
        <f t="shared" si="1"/>
        <v>115385.33333333333</v>
      </c>
      <c r="AN20" s="532">
        <f t="shared" si="2"/>
        <v>115385.33333333333</v>
      </c>
      <c r="AO20" s="54">
        <v>0</v>
      </c>
      <c r="AP20" s="614"/>
      <c r="AQ20" s="54">
        <v>0</v>
      </c>
      <c r="AR20" s="54">
        <v>0</v>
      </c>
      <c r="AS20" s="532">
        <v>632656</v>
      </c>
      <c r="AU20" s="614">
        <v>935000</v>
      </c>
      <c r="AV20" s="54">
        <v>0</v>
      </c>
      <c r="AW20" s="54">
        <v>0</v>
      </c>
      <c r="AX20" s="532">
        <v>456250</v>
      </c>
      <c r="AY20" s="54">
        <v>0</v>
      </c>
      <c r="AZ20" s="614">
        <v>6980000</v>
      </c>
      <c r="BA20" s="614"/>
      <c r="BB20" s="614">
        <v>116400</v>
      </c>
      <c r="BD20" s="614">
        <v>3250</v>
      </c>
      <c r="BE20" s="614">
        <v>368945</v>
      </c>
      <c r="BG20" s="614">
        <v>1250167</v>
      </c>
      <c r="BH20" s="54">
        <v>863217</v>
      </c>
      <c r="BI20" s="614">
        <v>547000</v>
      </c>
      <c r="BJ20" s="54">
        <v>0</v>
      </c>
      <c r="BK20" s="614">
        <v>1336533</v>
      </c>
      <c r="BN20" s="532">
        <v>62500</v>
      </c>
      <c r="BO20" s="54">
        <v>0</v>
      </c>
      <c r="BP20" s="54">
        <v>0</v>
      </c>
      <c r="BR20" s="54">
        <v>0</v>
      </c>
      <c r="BS20" s="54">
        <v>0</v>
      </c>
      <c r="BU20" s="532">
        <v>0</v>
      </c>
      <c r="BV20" s="532">
        <v>1026256</v>
      </c>
      <c r="BW20" s="54">
        <v>0</v>
      </c>
      <c r="BY20" s="614"/>
      <c r="BZ20" s="614">
        <v>98333</v>
      </c>
      <c r="CA20" s="532">
        <v>830833</v>
      </c>
      <c r="CB20" s="532">
        <v>435500</v>
      </c>
      <c r="CC20" s="532">
        <v>1939167</v>
      </c>
      <c r="CD20" s="532">
        <v>455500</v>
      </c>
      <c r="CE20" s="614">
        <v>4897872</v>
      </c>
      <c r="CF20" s="614">
        <v>1418300</v>
      </c>
      <c r="CH20" s="614">
        <v>571877</v>
      </c>
      <c r="CI20" s="54">
        <v>6667</v>
      </c>
      <c r="CJ20" s="54">
        <v>0</v>
      </c>
      <c r="CK20" s="532">
        <f>416667+411667</f>
        <v>828334</v>
      </c>
      <c r="CL20" s="532">
        <v>885950</v>
      </c>
      <c r="CM20" s="532">
        <v>4251000</v>
      </c>
      <c r="CO20" s="532">
        <v>764000</v>
      </c>
      <c r="CP20" s="532">
        <v>1337000</v>
      </c>
      <c r="CQ20" s="54">
        <v>211200</v>
      </c>
      <c r="CR20" s="54">
        <v>0</v>
      </c>
      <c r="CT20" s="614">
        <v>347776</v>
      </c>
      <c r="CU20" s="54">
        <v>1540475</v>
      </c>
      <c r="CV20" s="614">
        <v>430167</v>
      </c>
      <c r="CX20" s="532">
        <v>814580</v>
      </c>
      <c r="CY20" s="532">
        <v>62395</v>
      </c>
      <c r="CZ20" s="614">
        <v>1500000</v>
      </c>
      <c r="DA20" s="532">
        <v>180000</v>
      </c>
      <c r="DB20" s="532">
        <v>925942</v>
      </c>
      <c r="DC20" s="614">
        <v>490667</v>
      </c>
      <c r="DE20" s="614">
        <v>72000</v>
      </c>
      <c r="DF20" s="614">
        <v>4112500</v>
      </c>
      <c r="DG20" s="614">
        <v>3962000</v>
      </c>
      <c r="DH20" s="614">
        <v>7466327</v>
      </c>
      <c r="DI20" s="614">
        <v>595833</v>
      </c>
      <c r="DJ20" s="532">
        <v>1763682</v>
      </c>
      <c r="DK20" s="614">
        <v>4591321</v>
      </c>
      <c r="DL20" s="614">
        <v>1520000</v>
      </c>
      <c r="DM20" s="614">
        <v>1125508</v>
      </c>
      <c r="DN20" s="614">
        <v>3339167</v>
      </c>
      <c r="DO20" s="532">
        <v>40500</v>
      </c>
      <c r="DP20" s="614">
        <v>1120833</v>
      </c>
      <c r="DQ20" s="614">
        <v>12128439</v>
      </c>
      <c r="DR20" s="614">
        <v>599275</v>
      </c>
      <c r="DS20" s="614">
        <v>1833333</v>
      </c>
      <c r="DT20" s="532">
        <v>1406062</v>
      </c>
      <c r="DU20" s="614">
        <v>3277047</v>
      </c>
      <c r="DV20" s="614">
        <v>4205446</v>
      </c>
      <c r="DW20" s="614">
        <v>694714</v>
      </c>
      <c r="DX20" s="614">
        <v>3479533</v>
      </c>
      <c r="DY20" s="614">
        <v>1218592</v>
      </c>
      <c r="EA20" s="614">
        <v>7948298</v>
      </c>
      <c r="EB20" s="54">
        <v>0</v>
      </c>
      <c r="EC20" s="532">
        <v>280000</v>
      </c>
      <c r="ED20" s="614">
        <v>294970</v>
      </c>
      <c r="EE20" s="614">
        <v>1770833</v>
      </c>
      <c r="EH20" s="614">
        <v>110055</v>
      </c>
      <c r="EI20" s="532">
        <f>21350000-260480-284050</f>
        <v>20805470</v>
      </c>
      <c r="EJ20" s="614">
        <v>1713322</v>
      </c>
      <c r="EL20" s="54">
        <v>0</v>
      </c>
      <c r="EM20" s="614">
        <v>644043</v>
      </c>
      <c r="EN20" s="614">
        <v>2336000</v>
      </c>
      <c r="EP20" s="614">
        <v>4965000</v>
      </c>
      <c r="EQ20" s="54">
        <v>0</v>
      </c>
      <c r="ET20" s="532">
        <v>23750</v>
      </c>
      <c r="EU20" s="614">
        <v>6426153</v>
      </c>
      <c r="EV20" s="532">
        <v>330760</v>
      </c>
      <c r="EW20" s="532">
        <v>66667</v>
      </c>
      <c r="EY20" s="532">
        <v>100000</v>
      </c>
      <c r="FA20" s="614">
        <v>387667</v>
      </c>
      <c r="FF20" s="54">
        <v>176250</v>
      </c>
      <c r="FH20" s="614">
        <v>712353</v>
      </c>
      <c r="FI20" s="614"/>
      <c r="FJ20" s="54">
        <v>0</v>
      </c>
      <c r="FK20" s="54">
        <v>0</v>
      </c>
      <c r="FL20" s="614">
        <v>14280</v>
      </c>
      <c r="FM20" s="614">
        <v>945048</v>
      </c>
      <c r="FN20" s="614">
        <v>346156</v>
      </c>
      <c r="FO20" s="532">
        <v>55596</v>
      </c>
      <c r="FP20" s="532">
        <v>56250</v>
      </c>
      <c r="FQ20" s="532">
        <v>906666</v>
      </c>
      <c r="FR20" s="532">
        <v>430166</v>
      </c>
      <c r="FU20" s="532">
        <v>542267</v>
      </c>
      <c r="FX20" s="532">
        <v>40333</v>
      </c>
      <c r="FY20" s="614"/>
      <c r="FZ20" s="532">
        <v>154700</v>
      </c>
      <c r="GA20" s="532">
        <v>223253</v>
      </c>
    </row>
    <row r="21" spans="1:183" x14ac:dyDescent="0.2">
      <c r="A21" s="439" t="s">
        <v>155</v>
      </c>
      <c r="C21" s="54">
        <v>0</v>
      </c>
      <c r="H21" s="54">
        <v>0</v>
      </c>
      <c r="J21" s="54">
        <v>0</v>
      </c>
      <c r="K21" s="54">
        <v>0</v>
      </c>
      <c r="L21" s="54">
        <v>0</v>
      </c>
      <c r="M21" s="54">
        <v>0</v>
      </c>
      <c r="T21" s="54">
        <v>0</v>
      </c>
      <c r="AD21" s="532">
        <v>0</v>
      </c>
      <c r="AE21" s="54">
        <v>0</v>
      </c>
      <c r="AF21" s="54">
        <v>0</v>
      </c>
      <c r="AG21" s="54">
        <v>0</v>
      </c>
      <c r="AH21" s="614"/>
      <c r="AI21" s="54">
        <v>0</v>
      </c>
      <c r="AL21" s="532">
        <f t="shared" si="0"/>
        <v>0</v>
      </c>
      <c r="AM21" s="532">
        <f t="shared" si="1"/>
        <v>0</v>
      </c>
      <c r="AN21" s="532">
        <f t="shared" si="2"/>
        <v>0</v>
      </c>
      <c r="AO21" s="54">
        <v>0</v>
      </c>
      <c r="AQ21" s="54">
        <v>0</v>
      </c>
      <c r="AR21" s="54">
        <v>0</v>
      </c>
      <c r="AU21" s="54">
        <v>0</v>
      </c>
      <c r="AV21" s="54">
        <v>0</v>
      </c>
      <c r="AW21" s="54">
        <v>0</v>
      </c>
      <c r="AY21" s="54">
        <v>0</v>
      </c>
      <c r="BD21" s="54">
        <v>0</v>
      </c>
      <c r="BG21" s="54">
        <v>0</v>
      </c>
      <c r="BJ21" s="54">
        <v>0</v>
      </c>
      <c r="BK21" s="54">
        <v>0</v>
      </c>
      <c r="BO21" s="54">
        <v>0</v>
      </c>
      <c r="BP21" s="54">
        <v>0</v>
      </c>
      <c r="BR21" s="54">
        <v>0</v>
      </c>
      <c r="BS21" s="54">
        <v>0</v>
      </c>
      <c r="BU21" s="532">
        <v>0</v>
      </c>
      <c r="BW21" s="614">
        <v>1543879</v>
      </c>
      <c r="BY21" s="614"/>
      <c r="BZ21" s="614"/>
      <c r="CB21" s="532">
        <v>8667</v>
      </c>
      <c r="CE21" s="614">
        <v>200000</v>
      </c>
      <c r="CF21" s="54">
        <v>0</v>
      </c>
      <c r="CH21" s="54">
        <v>0</v>
      </c>
      <c r="CJ21" s="54">
        <v>0</v>
      </c>
      <c r="CM21" s="532">
        <v>1335833</v>
      </c>
      <c r="CO21" s="532">
        <v>212667</v>
      </c>
      <c r="CR21" s="54">
        <v>0</v>
      </c>
      <c r="CS21" s="614">
        <v>919000</v>
      </c>
      <c r="CT21" s="614">
        <v>126000</v>
      </c>
      <c r="CU21" s="54">
        <v>0</v>
      </c>
      <c r="CV21" s="614">
        <v>792667</v>
      </c>
      <c r="CW21" s="532">
        <v>191000</v>
      </c>
      <c r="CX21" s="532">
        <v>1038896</v>
      </c>
      <c r="CY21" s="532">
        <v>1480050</v>
      </c>
      <c r="CZ21" s="614">
        <v>5932975</v>
      </c>
      <c r="DA21" s="54">
        <v>0</v>
      </c>
      <c r="DF21" s="614">
        <v>380333</v>
      </c>
      <c r="DG21" s="614">
        <v>4528850</v>
      </c>
      <c r="DH21" s="614">
        <v>10704417</v>
      </c>
      <c r="DI21" s="614"/>
      <c r="DJ21" s="532">
        <v>14850</v>
      </c>
      <c r="DK21" s="614">
        <v>3190744</v>
      </c>
      <c r="DL21" s="614">
        <v>300667</v>
      </c>
      <c r="DM21" s="614">
        <v>6336226</v>
      </c>
      <c r="DN21" s="614">
        <v>3559417</v>
      </c>
      <c r="DP21" s="614"/>
      <c r="DQ21" s="614">
        <v>7064611</v>
      </c>
      <c r="DR21" s="54">
        <v>0</v>
      </c>
      <c r="DS21" s="54">
        <v>0</v>
      </c>
      <c r="DT21" s="532">
        <v>1852636</v>
      </c>
      <c r="DW21" s="614">
        <v>914052</v>
      </c>
      <c r="EB21" s="54">
        <v>0</v>
      </c>
      <c r="EE21" s="54">
        <v>0</v>
      </c>
      <c r="EH21" s="614">
        <v>1303134</v>
      </c>
      <c r="EI21" s="532">
        <v>13664000</v>
      </c>
      <c r="EJ21" s="614">
        <v>3516034</v>
      </c>
      <c r="EL21" s="54">
        <v>0</v>
      </c>
      <c r="EM21" s="54">
        <v>0</v>
      </c>
      <c r="EN21" s="614">
        <v>725000</v>
      </c>
      <c r="EP21" s="614">
        <v>416000</v>
      </c>
      <c r="EQ21" s="54">
        <v>0</v>
      </c>
      <c r="EU21" s="54">
        <v>0</v>
      </c>
      <c r="FA21" s="54">
        <v>0</v>
      </c>
      <c r="FJ21" s="54">
        <v>0</v>
      </c>
      <c r="FK21" s="54">
        <v>0</v>
      </c>
      <c r="FL21" s="54">
        <v>0</v>
      </c>
      <c r="FM21" s="614">
        <v>3988659</v>
      </c>
      <c r="FO21" s="532">
        <v>60000</v>
      </c>
      <c r="FR21" s="532">
        <v>792666</v>
      </c>
      <c r="FV21" s="532">
        <f>4228*1000</f>
        <v>4228000</v>
      </c>
      <c r="FZ21" s="532">
        <v>1177500</v>
      </c>
      <c r="GA21" s="532">
        <v>89570</v>
      </c>
    </row>
    <row r="22" spans="1:183" x14ac:dyDescent="0.2">
      <c r="A22" s="439" t="s">
        <v>156</v>
      </c>
      <c r="B22" s="532">
        <v>132714</v>
      </c>
      <c r="C22" s="54">
        <v>0</v>
      </c>
      <c r="D22" s="614">
        <v>1283000</v>
      </c>
      <c r="F22" s="614">
        <v>10000</v>
      </c>
      <c r="G22" s="532">
        <v>242500</v>
      </c>
      <c r="H22" s="54">
        <v>0</v>
      </c>
      <c r="I22" s="614">
        <v>774840</v>
      </c>
      <c r="J22" s="614">
        <v>489800</v>
      </c>
      <c r="K22" s="54">
        <v>0</v>
      </c>
      <c r="L22" s="54">
        <v>0</v>
      </c>
      <c r="M22" s="54">
        <v>0</v>
      </c>
      <c r="N22" s="614">
        <v>500000</v>
      </c>
      <c r="O22" s="614">
        <v>1475000</v>
      </c>
      <c r="P22" s="614">
        <v>453750</v>
      </c>
      <c r="R22" s="614"/>
      <c r="S22" s="614"/>
      <c r="T22" s="614">
        <v>930000</v>
      </c>
      <c r="U22" s="532">
        <v>1127500</v>
      </c>
      <c r="V22" s="54">
        <v>1398525</v>
      </c>
      <c r="W22" s="614">
        <v>1757500</v>
      </c>
      <c r="X22" s="614">
        <v>1870000</v>
      </c>
      <c r="Y22" s="54">
        <v>923000</v>
      </c>
      <c r="Z22" s="614">
        <v>1189000</v>
      </c>
      <c r="AB22" s="532">
        <v>480000</v>
      </c>
      <c r="AC22" s="614">
        <v>810000</v>
      </c>
      <c r="AD22" s="532">
        <v>1061390</v>
      </c>
      <c r="AE22" s="614">
        <v>630000</v>
      </c>
      <c r="AF22" s="614">
        <v>250000</v>
      </c>
      <c r="AG22" s="614">
        <v>660000</v>
      </c>
      <c r="AH22" s="614">
        <v>6935000</v>
      </c>
      <c r="AI22" s="614">
        <v>1943750</v>
      </c>
      <c r="AJ22" s="532">
        <v>4523960</v>
      </c>
      <c r="AL22" s="532">
        <f t="shared" si="0"/>
        <v>432000</v>
      </c>
      <c r="AM22" s="532">
        <f t="shared" si="1"/>
        <v>432000</v>
      </c>
      <c r="AN22" s="532">
        <f t="shared" si="2"/>
        <v>432000</v>
      </c>
      <c r="AO22" s="614">
        <v>300000</v>
      </c>
      <c r="AP22" s="614">
        <v>129907</v>
      </c>
      <c r="AQ22" s="614">
        <v>1500000</v>
      </c>
      <c r="AR22" s="614">
        <v>1000000</v>
      </c>
      <c r="AS22" s="532">
        <v>1837500</v>
      </c>
      <c r="AT22" s="614">
        <v>345000</v>
      </c>
      <c r="AU22" s="614">
        <v>527000</v>
      </c>
      <c r="AV22" s="614">
        <v>219120</v>
      </c>
      <c r="AW22" s="54">
        <v>0</v>
      </c>
      <c r="AX22" s="532">
        <v>318750</v>
      </c>
      <c r="AY22" s="614">
        <v>800000</v>
      </c>
      <c r="AZ22" s="614">
        <v>4494000</v>
      </c>
      <c r="BA22" s="614"/>
      <c r="BB22" s="614">
        <v>827500</v>
      </c>
      <c r="BD22" s="614">
        <v>1316250</v>
      </c>
      <c r="BE22" s="614">
        <v>50000</v>
      </c>
      <c r="BG22" s="614">
        <v>812500</v>
      </c>
      <c r="BH22" s="54">
        <v>812500</v>
      </c>
      <c r="BI22" s="614">
        <v>1350000</v>
      </c>
      <c r="BJ22" s="614">
        <v>220000</v>
      </c>
      <c r="BK22" s="614">
        <v>637500</v>
      </c>
      <c r="BM22" s="532">
        <v>1387500</v>
      </c>
      <c r="BO22" s="614">
        <v>3185000</v>
      </c>
      <c r="BP22" s="614">
        <v>325000</v>
      </c>
      <c r="BQ22" s="532">
        <v>487500</v>
      </c>
      <c r="BR22" s="54">
        <v>0</v>
      </c>
      <c r="BS22" s="614">
        <v>3209872</v>
      </c>
      <c r="BU22" s="532">
        <v>0</v>
      </c>
      <c r="BV22" s="532">
        <v>3270000</v>
      </c>
      <c r="BW22" s="54">
        <v>0</v>
      </c>
      <c r="BX22" s="532">
        <v>300866</v>
      </c>
      <c r="BY22" s="614">
        <v>1010000</v>
      </c>
      <c r="BZ22" s="614">
        <v>800000</v>
      </c>
      <c r="CA22" s="614">
        <v>3430000</v>
      </c>
      <c r="CC22" s="54">
        <v>516250</v>
      </c>
      <c r="CD22" s="532">
        <v>17500</v>
      </c>
      <c r="CE22" s="614">
        <v>21476250</v>
      </c>
      <c r="CF22" s="614">
        <v>2722500</v>
      </c>
      <c r="CH22" s="614">
        <v>1726548</v>
      </c>
      <c r="CJ22" s="54">
        <v>0</v>
      </c>
      <c r="CK22" s="532">
        <f>340000+360000</f>
        <v>700000</v>
      </c>
      <c r="CL22" s="532">
        <v>623000</v>
      </c>
      <c r="CM22" s="532">
        <v>5977960</v>
      </c>
      <c r="CP22" s="532">
        <v>1192500</v>
      </c>
      <c r="CR22" s="54">
        <v>0</v>
      </c>
      <c r="CS22" s="54">
        <v>0</v>
      </c>
      <c r="CT22" s="614">
        <v>2300000</v>
      </c>
      <c r="CU22" s="614">
        <v>1850000</v>
      </c>
      <c r="CV22" s="614">
        <v>11115000</v>
      </c>
      <c r="CX22" s="532">
        <v>550000</v>
      </c>
      <c r="CY22" s="532"/>
      <c r="CZ22" s="614">
        <v>8700000</v>
      </c>
      <c r="DA22" s="532">
        <v>5487500</v>
      </c>
      <c r="DB22" s="532">
        <v>2946250</v>
      </c>
      <c r="DE22" s="614"/>
      <c r="DF22" s="614">
        <v>2800000</v>
      </c>
      <c r="DG22" s="614">
        <v>9790000</v>
      </c>
      <c r="DH22" s="614">
        <v>9090750</v>
      </c>
      <c r="DI22" s="614">
        <v>5300000</v>
      </c>
      <c r="DJ22" s="532">
        <v>731693</v>
      </c>
      <c r="DK22" s="614">
        <v>1430000</v>
      </c>
      <c r="DM22" s="614">
        <v>4005000</v>
      </c>
      <c r="DN22" s="614">
        <v>5000000</v>
      </c>
      <c r="DO22" s="532">
        <v>1020000</v>
      </c>
      <c r="DP22" s="614">
        <v>1680000</v>
      </c>
      <c r="DQ22" s="614">
        <v>10705291</v>
      </c>
      <c r="DR22" s="614">
        <v>239000</v>
      </c>
      <c r="DS22" s="614">
        <v>2283157</v>
      </c>
      <c r="DU22" s="614">
        <v>600000</v>
      </c>
      <c r="DV22" s="614">
        <v>2013319</v>
      </c>
      <c r="DW22" s="614">
        <v>577525</v>
      </c>
      <c r="DX22" s="614">
        <v>3972500</v>
      </c>
      <c r="DY22" s="614">
        <v>2951250</v>
      </c>
      <c r="EA22" s="614">
        <v>82134581</v>
      </c>
      <c r="EB22" s="54">
        <v>0</v>
      </c>
      <c r="EC22" s="532">
        <v>2560000</v>
      </c>
      <c r="EE22" s="614">
        <v>1750000</v>
      </c>
      <c r="EI22" s="532">
        <f>15796000-111375</f>
        <v>15684625</v>
      </c>
      <c r="EJ22" s="614">
        <v>1770638</v>
      </c>
      <c r="EL22" s="54">
        <v>0</v>
      </c>
      <c r="EM22" s="54">
        <v>0</v>
      </c>
      <c r="EN22" s="614">
        <v>2648000</v>
      </c>
      <c r="EP22" s="614">
        <v>4917000</v>
      </c>
      <c r="EQ22" s="614">
        <v>6000000</v>
      </c>
      <c r="ER22" s="614">
        <v>2775000</v>
      </c>
      <c r="ES22" s="54">
        <v>215625</v>
      </c>
      <c r="ET22" s="532">
        <v>1472000</v>
      </c>
      <c r="EU22" s="614">
        <v>13781250</v>
      </c>
      <c r="EV22" s="532">
        <v>656250</v>
      </c>
      <c r="EW22" s="532">
        <v>942500</v>
      </c>
      <c r="EX22" s="532">
        <v>485000</v>
      </c>
      <c r="EY22" s="532">
        <v>1805275</v>
      </c>
      <c r="FA22" s="614">
        <v>2900000</v>
      </c>
      <c r="FC22" s="614">
        <v>800000</v>
      </c>
      <c r="FD22" s="532">
        <v>69000</v>
      </c>
      <c r="FF22" s="614">
        <v>775000</v>
      </c>
      <c r="FH22" s="614">
        <v>11113400</v>
      </c>
      <c r="FI22" s="614"/>
      <c r="FJ22" s="54">
        <v>0</v>
      </c>
      <c r="FK22" s="54">
        <v>0</v>
      </c>
      <c r="FL22" s="614">
        <v>1046250</v>
      </c>
      <c r="FM22" s="614">
        <v>1105680</v>
      </c>
      <c r="FN22" s="614">
        <v>1296000</v>
      </c>
      <c r="FO22" s="532">
        <v>450000</v>
      </c>
      <c r="FP22" s="532">
        <v>262500</v>
      </c>
      <c r="FQ22" s="532">
        <v>1265000</v>
      </c>
      <c r="FR22" s="532">
        <v>11115000</v>
      </c>
      <c r="FU22" s="532">
        <v>2207141</v>
      </c>
      <c r="FV22" s="532">
        <f>6034*1000</f>
        <v>6034000</v>
      </c>
      <c r="FY22" s="614"/>
      <c r="FZ22" s="532">
        <v>1170000</v>
      </c>
      <c r="GA22" s="532">
        <v>94234</v>
      </c>
    </row>
    <row r="23" spans="1:183" x14ac:dyDescent="0.2">
      <c r="A23" s="439" t="s">
        <v>157</v>
      </c>
      <c r="B23" s="532">
        <v>125413</v>
      </c>
      <c r="C23" s="614">
        <v>132867</v>
      </c>
      <c r="D23" s="614">
        <v>47000</v>
      </c>
      <c r="F23" s="614">
        <v>11980</v>
      </c>
      <c r="H23" s="614">
        <v>8507</v>
      </c>
      <c r="I23" s="614">
        <v>24933</v>
      </c>
      <c r="J23" s="54">
        <v>0</v>
      </c>
      <c r="K23" s="54">
        <v>0</v>
      </c>
      <c r="L23" s="614">
        <v>49700</v>
      </c>
      <c r="M23" s="614">
        <v>13550</v>
      </c>
      <c r="N23" s="614">
        <v>15200</v>
      </c>
      <c r="O23" s="614">
        <v>34250</v>
      </c>
      <c r="P23" s="532">
        <f>[16]פקיעין!$G$247</f>
        <v>15600</v>
      </c>
      <c r="Q23" s="532">
        <v>92500</v>
      </c>
      <c r="T23" s="54">
        <v>0</v>
      </c>
      <c r="U23" s="532">
        <v>80333</v>
      </c>
      <c r="V23" s="614"/>
      <c r="W23" s="614">
        <v>83333</v>
      </c>
      <c r="X23" s="614">
        <v>58800</v>
      </c>
      <c r="Y23" s="614">
        <v>39200</v>
      </c>
      <c r="Z23" s="614">
        <v>83940</v>
      </c>
      <c r="AA23" s="532">
        <v>29000</v>
      </c>
      <c r="AB23" s="532">
        <v>138133</v>
      </c>
      <c r="AC23" s="614">
        <v>176600</v>
      </c>
      <c r="AD23" s="532">
        <v>0</v>
      </c>
      <c r="AE23" s="614">
        <v>6400</v>
      </c>
      <c r="AF23" s="54">
        <v>0</v>
      </c>
      <c r="AG23" s="614">
        <v>12800</v>
      </c>
      <c r="AH23" s="614">
        <v>28667</v>
      </c>
      <c r="AI23" s="614">
        <v>16008</v>
      </c>
      <c r="AJ23" s="532">
        <v>110606</v>
      </c>
      <c r="AK23" s="532">
        <v>80000</v>
      </c>
      <c r="AL23" s="532">
        <f t="shared" si="0"/>
        <v>0</v>
      </c>
      <c r="AM23" s="532">
        <f t="shared" si="1"/>
        <v>0</v>
      </c>
      <c r="AN23" s="532">
        <f t="shared" si="2"/>
        <v>0</v>
      </c>
      <c r="AO23" s="614">
        <v>14933</v>
      </c>
      <c r="AP23" s="614"/>
      <c r="AQ23" s="614">
        <v>37333</v>
      </c>
      <c r="AR23" s="54">
        <v>0</v>
      </c>
      <c r="AT23" s="614">
        <v>18933</v>
      </c>
      <c r="AU23" s="614">
        <v>86000</v>
      </c>
      <c r="AV23" s="54">
        <v>0</v>
      </c>
      <c r="AW23" s="54">
        <v>0</v>
      </c>
      <c r="AX23" s="532">
        <v>30000</v>
      </c>
      <c r="AY23" s="54">
        <v>0</v>
      </c>
      <c r="AZ23" s="614">
        <v>411000</v>
      </c>
      <c r="BA23" s="614"/>
      <c r="BB23" s="614">
        <v>8400</v>
      </c>
      <c r="BC23" s="532">
        <v>43293</v>
      </c>
      <c r="BD23" s="54">
        <v>0</v>
      </c>
      <c r="BG23" s="614">
        <v>121333</v>
      </c>
      <c r="BH23" s="614">
        <v>100533</v>
      </c>
      <c r="BI23" s="614">
        <v>97867</v>
      </c>
      <c r="BJ23" s="54">
        <v>0</v>
      </c>
      <c r="BK23" s="614">
        <v>173333</v>
      </c>
      <c r="BL23" s="532">
        <v>33257</v>
      </c>
      <c r="BN23" s="532">
        <v>157830</v>
      </c>
      <c r="BO23" s="614">
        <v>16933</v>
      </c>
      <c r="BP23" s="614">
        <v>5600</v>
      </c>
      <c r="BQ23" s="614">
        <v>76833</v>
      </c>
      <c r="BR23" s="614">
        <v>48933</v>
      </c>
      <c r="BS23" s="614">
        <v>38200</v>
      </c>
      <c r="BT23" s="532">
        <v>76367</v>
      </c>
      <c r="BU23" s="532">
        <v>76367</v>
      </c>
      <c r="BV23" s="532">
        <v>124000</v>
      </c>
      <c r="BW23" s="614">
        <v>88713</v>
      </c>
      <c r="BX23" s="532">
        <v>6893</v>
      </c>
      <c r="BY23" s="614">
        <v>32667</v>
      </c>
      <c r="BZ23" s="614">
        <v>16000</v>
      </c>
      <c r="CA23" s="614">
        <v>138800</v>
      </c>
      <c r="CB23" s="532">
        <v>132027</v>
      </c>
      <c r="CC23" s="532">
        <v>33360</v>
      </c>
      <c r="CE23" s="614">
        <v>497973</v>
      </c>
      <c r="CF23" s="614">
        <v>220000</v>
      </c>
      <c r="CH23" s="614">
        <v>89000</v>
      </c>
      <c r="CJ23" s="614">
        <v>1500</v>
      </c>
      <c r="CK23" s="532">
        <f>101733+89600</f>
        <v>191333</v>
      </c>
      <c r="CL23" s="532">
        <v>92200</v>
      </c>
      <c r="CM23" s="532">
        <v>447500</v>
      </c>
      <c r="CN23" s="532">
        <v>21600</v>
      </c>
      <c r="CO23" s="532">
        <v>103400</v>
      </c>
      <c r="CP23" s="532">
        <v>156000</v>
      </c>
      <c r="CQ23" s="614">
        <v>15253</v>
      </c>
      <c r="CR23" s="614">
        <v>55000</v>
      </c>
      <c r="CS23" s="614">
        <v>162000</v>
      </c>
      <c r="CT23" s="614">
        <v>125960</v>
      </c>
      <c r="CU23" s="614">
        <v>223700</v>
      </c>
      <c r="CV23" s="54">
        <v>0</v>
      </c>
      <c r="CW23" s="532">
        <v>88800</v>
      </c>
      <c r="CX23" s="532">
        <v>36840</v>
      </c>
      <c r="CY23" s="532">
        <v>160400</v>
      </c>
      <c r="CZ23" s="614">
        <v>186953</v>
      </c>
      <c r="DA23" s="532">
        <v>16667</v>
      </c>
      <c r="DB23" s="532">
        <v>274533</v>
      </c>
      <c r="DC23" s="614">
        <v>170067</v>
      </c>
      <c r="DE23" s="614"/>
      <c r="DF23" s="614">
        <v>224000</v>
      </c>
      <c r="DG23" s="614">
        <v>496200</v>
      </c>
      <c r="DH23" s="614">
        <v>1722667</v>
      </c>
      <c r="DI23" s="614">
        <v>81067</v>
      </c>
      <c r="DJ23" s="532">
        <v>1151573</v>
      </c>
      <c r="DK23" s="614">
        <v>532800</v>
      </c>
      <c r="DL23" s="614">
        <v>307400</v>
      </c>
      <c r="DM23" s="614">
        <v>1142689</v>
      </c>
      <c r="DN23" s="614">
        <v>538667</v>
      </c>
      <c r="DO23" s="532">
        <v>10400</v>
      </c>
      <c r="DP23" s="614">
        <v>6500</v>
      </c>
      <c r="DQ23" s="614">
        <v>441667</v>
      </c>
      <c r="DR23" s="614">
        <v>64129</v>
      </c>
      <c r="DS23" s="614">
        <v>200346</v>
      </c>
      <c r="DT23" s="532">
        <v>177000</v>
      </c>
      <c r="DU23" s="614">
        <v>310552</v>
      </c>
      <c r="DV23" s="614">
        <v>341146</v>
      </c>
      <c r="DW23" s="614">
        <v>143880</v>
      </c>
      <c r="DX23" s="614">
        <v>93719</v>
      </c>
      <c r="DY23" s="614">
        <v>144253</v>
      </c>
      <c r="DZ23" s="532">
        <v>19500</v>
      </c>
      <c r="EA23" s="614">
        <v>920840</v>
      </c>
      <c r="EB23" s="614">
        <v>22240</v>
      </c>
      <c r="EC23" s="532">
        <v>41533</v>
      </c>
      <c r="ED23" s="614">
        <v>73333</v>
      </c>
      <c r="EE23" s="614">
        <v>18333</v>
      </c>
      <c r="EG23" s="532">
        <v>24600</v>
      </c>
      <c r="EH23" s="614">
        <v>18933</v>
      </c>
      <c r="EJ23" s="614">
        <v>156415</v>
      </c>
      <c r="EK23" s="614">
        <v>30000</v>
      </c>
      <c r="EL23" s="614">
        <v>15967</v>
      </c>
      <c r="EM23" s="614">
        <v>96886</v>
      </c>
      <c r="EN23" s="614">
        <v>31000</v>
      </c>
      <c r="EO23" s="614">
        <v>32609</v>
      </c>
      <c r="EP23" s="614">
        <v>1022000</v>
      </c>
      <c r="EQ23" s="614">
        <v>147053</v>
      </c>
      <c r="ER23" s="532">
        <v>168147</v>
      </c>
      <c r="ES23" s="532">
        <v>183600</v>
      </c>
      <c r="ET23" s="614">
        <v>72600</v>
      </c>
      <c r="EU23" s="614">
        <v>264280</v>
      </c>
      <c r="EV23" s="532">
        <v>77600</v>
      </c>
      <c r="EW23" s="532">
        <v>15000</v>
      </c>
      <c r="EY23" s="532">
        <v>16825</v>
      </c>
      <c r="EZ23" s="532">
        <v>50133</v>
      </c>
      <c r="FA23" s="614">
        <v>84880</v>
      </c>
      <c r="FB23" s="614">
        <v>9950</v>
      </c>
      <c r="FC23" s="614">
        <v>20000</v>
      </c>
      <c r="FD23" s="532">
        <v>8760</v>
      </c>
      <c r="FE23" s="614">
        <v>37557</v>
      </c>
      <c r="FF23" s="614">
        <v>15520</v>
      </c>
      <c r="FG23" s="532">
        <v>30287</v>
      </c>
      <c r="FH23" s="614">
        <v>740367</v>
      </c>
      <c r="FI23" s="614"/>
      <c r="FJ23" s="614">
        <v>33257</v>
      </c>
      <c r="FK23" s="54">
        <v>0</v>
      </c>
      <c r="FL23" s="614">
        <v>66167</v>
      </c>
      <c r="FM23" s="614">
        <v>612580</v>
      </c>
      <c r="FO23" s="532">
        <v>23522</v>
      </c>
      <c r="FP23" s="532">
        <v>77000</v>
      </c>
      <c r="FQ23" s="532">
        <v>49733</v>
      </c>
      <c r="FT23" s="532"/>
      <c r="FU23" s="532">
        <v>6667</v>
      </c>
      <c r="FX23" s="532">
        <v>14667</v>
      </c>
      <c r="FY23" s="614"/>
      <c r="FZ23" s="532">
        <v>146467</v>
      </c>
      <c r="GA23" s="532">
        <v>18667</v>
      </c>
    </row>
    <row r="24" spans="1:183" x14ac:dyDescent="0.2">
      <c r="A24" s="439" t="s">
        <v>158</v>
      </c>
      <c r="C24" s="54">
        <v>0</v>
      </c>
      <c r="D24" s="614">
        <v>30000</v>
      </c>
      <c r="F24" s="614">
        <v>5000</v>
      </c>
      <c r="H24" s="54">
        <v>0</v>
      </c>
      <c r="I24" s="54">
        <v>0</v>
      </c>
      <c r="J24" s="54">
        <v>0</v>
      </c>
      <c r="K24" s="54">
        <v>0</v>
      </c>
      <c r="L24" s="54">
        <v>0</v>
      </c>
      <c r="M24" s="54">
        <v>0</v>
      </c>
      <c r="P24" s="532"/>
      <c r="Q24" s="532"/>
      <c r="T24" s="54">
        <v>0</v>
      </c>
      <c r="U24" s="532"/>
      <c r="V24" s="614"/>
      <c r="AB24" s="532"/>
      <c r="AD24" s="532">
        <v>0</v>
      </c>
      <c r="AE24" s="54">
        <v>0</v>
      </c>
      <c r="AF24" s="54">
        <v>0</v>
      </c>
      <c r="AG24" s="54">
        <v>0</v>
      </c>
      <c r="AI24" s="54">
        <v>0</v>
      </c>
      <c r="AL24" s="532">
        <f t="shared" si="0"/>
        <v>0</v>
      </c>
      <c r="AM24" s="532">
        <f t="shared" si="1"/>
        <v>0</v>
      </c>
      <c r="AN24" s="532">
        <f t="shared" si="2"/>
        <v>0</v>
      </c>
      <c r="AO24" s="54">
        <v>0</v>
      </c>
      <c r="AP24" s="614"/>
      <c r="AQ24" s="54">
        <v>0</v>
      </c>
      <c r="AR24" s="54">
        <v>0</v>
      </c>
      <c r="AT24" s="54">
        <v>0</v>
      </c>
      <c r="AU24" s="54">
        <v>0</v>
      </c>
      <c r="AV24" s="54">
        <v>0</v>
      </c>
      <c r="AW24" s="54">
        <v>0</v>
      </c>
      <c r="AY24" s="54">
        <v>0</v>
      </c>
      <c r="AZ24" s="614">
        <v>862000</v>
      </c>
      <c r="BA24" s="614"/>
      <c r="BB24" s="614"/>
      <c r="BD24" s="54">
        <v>0</v>
      </c>
      <c r="BG24" s="54">
        <v>0</v>
      </c>
      <c r="BJ24" s="54">
        <v>0</v>
      </c>
      <c r="BK24" s="54">
        <v>0</v>
      </c>
      <c r="BN24" s="532">
        <v>338600</v>
      </c>
      <c r="BO24" s="614">
        <v>48757</v>
      </c>
      <c r="BP24" s="54">
        <v>0</v>
      </c>
      <c r="BQ24" s="532">
        <v>37142</v>
      </c>
      <c r="BR24" s="54">
        <v>0</v>
      </c>
      <c r="BS24" s="614">
        <v>180684</v>
      </c>
      <c r="BT24" s="532">
        <v>65495</v>
      </c>
      <c r="BU24" s="532">
        <v>603462</v>
      </c>
      <c r="BW24" s="614">
        <v>61475</v>
      </c>
      <c r="BY24" s="614"/>
      <c r="BZ24" s="614"/>
      <c r="CE24" s="614">
        <v>989591</v>
      </c>
      <c r="CF24" s="54">
        <v>0</v>
      </c>
      <c r="CH24" s="54">
        <v>0</v>
      </c>
      <c r="CJ24" s="54">
        <v>0</v>
      </c>
      <c r="CM24" s="532">
        <v>64823</v>
      </c>
      <c r="CO24" s="532">
        <v>337063</v>
      </c>
      <c r="CR24" s="54">
        <v>0</v>
      </c>
      <c r="CT24" s="54">
        <v>0</v>
      </c>
      <c r="CV24" s="54">
        <v>0</v>
      </c>
      <c r="CW24" s="532">
        <v>10000</v>
      </c>
      <c r="CY24" s="532"/>
      <c r="CZ24" s="614">
        <v>669050</v>
      </c>
      <c r="DA24" s="54">
        <v>0</v>
      </c>
      <c r="DB24" s="532">
        <v>456000</v>
      </c>
      <c r="DC24" s="614"/>
      <c r="DE24" s="614">
        <v>7500</v>
      </c>
      <c r="DF24" s="54">
        <v>0</v>
      </c>
      <c r="DH24" s="614">
        <v>650000</v>
      </c>
      <c r="DJ24" s="532">
        <v>6912808</v>
      </c>
      <c r="DK24" s="614">
        <v>2214302</v>
      </c>
      <c r="DL24" s="614">
        <v>212962</v>
      </c>
      <c r="DM24" s="614">
        <v>808548</v>
      </c>
      <c r="DN24" s="614">
        <v>100000</v>
      </c>
      <c r="DO24" s="532">
        <v>20000</v>
      </c>
      <c r="DR24" s="54">
        <v>0</v>
      </c>
      <c r="DS24" s="614">
        <v>71542</v>
      </c>
      <c r="DV24" s="614">
        <v>5000</v>
      </c>
      <c r="DW24" s="614">
        <v>51388</v>
      </c>
      <c r="DX24" s="614">
        <v>294765</v>
      </c>
      <c r="DY24" s="614"/>
      <c r="EA24" s="614">
        <f>2477010</f>
        <v>2477010</v>
      </c>
      <c r="EB24" s="54">
        <v>0</v>
      </c>
      <c r="EE24" s="54">
        <v>0</v>
      </c>
      <c r="EI24" s="532">
        <v>5038000</v>
      </c>
      <c r="EL24" s="614">
        <v>36567</v>
      </c>
      <c r="EM24" s="614">
        <v>156706</v>
      </c>
      <c r="EO24" s="614">
        <v>44901</v>
      </c>
      <c r="EP24" s="614">
        <v>308000</v>
      </c>
      <c r="EQ24" s="54" t="s">
        <v>166</v>
      </c>
      <c r="ER24" s="532">
        <v>589297</v>
      </c>
      <c r="ET24" s="614"/>
      <c r="EU24" s="54">
        <v>0</v>
      </c>
      <c r="EW24" s="532">
        <v>223986</v>
      </c>
      <c r="EZ24" s="532">
        <v>115096</v>
      </c>
      <c r="FA24" s="54">
        <v>0</v>
      </c>
      <c r="FE24" s="614">
        <v>11067</v>
      </c>
      <c r="FJ24" s="54">
        <v>0</v>
      </c>
      <c r="FK24" s="54">
        <v>0</v>
      </c>
      <c r="FM24" s="54">
        <v>0</v>
      </c>
      <c r="FT24" s="532"/>
      <c r="FY24" s="614"/>
      <c r="GA24" s="532">
        <v>200000</v>
      </c>
    </row>
    <row r="25" spans="1:183" x14ac:dyDescent="0.2">
      <c r="A25" s="439" t="s">
        <v>159</v>
      </c>
      <c r="C25" s="614">
        <v>358828</v>
      </c>
      <c r="H25" s="54">
        <v>0</v>
      </c>
      <c r="J25" s="54">
        <v>0</v>
      </c>
      <c r="K25" s="54">
        <v>0</v>
      </c>
      <c r="L25" s="54">
        <v>0</v>
      </c>
      <c r="M25" s="54">
        <v>0</v>
      </c>
      <c r="T25" s="54">
        <v>0</v>
      </c>
      <c r="U25" s="532">
        <v>120000</v>
      </c>
      <c r="AD25" s="532">
        <v>0</v>
      </c>
      <c r="AE25" s="54">
        <v>0</v>
      </c>
      <c r="AF25" s="54">
        <v>0</v>
      </c>
      <c r="AG25" s="54">
        <v>0</v>
      </c>
      <c r="AH25" s="614">
        <v>207324</v>
      </c>
      <c r="AI25" s="54">
        <v>0</v>
      </c>
      <c r="AL25" s="532">
        <f t="shared" si="0"/>
        <v>0</v>
      </c>
      <c r="AM25" s="532">
        <f t="shared" si="1"/>
        <v>0</v>
      </c>
      <c r="AN25" s="532">
        <f t="shared" si="2"/>
        <v>0</v>
      </c>
      <c r="AO25" s="54">
        <v>0</v>
      </c>
      <c r="AP25" s="614">
        <v>349773</v>
      </c>
      <c r="AQ25" s="54">
        <v>0</v>
      </c>
      <c r="AR25" s="54">
        <v>0</v>
      </c>
      <c r="AT25" s="54">
        <v>0</v>
      </c>
      <c r="AU25" s="54">
        <v>0</v>
      </c>
      <c r="AV25" s="54">
        <v>0</v>
      </c>
      <c r="AW25" s="54">
        <v>0</v>
      </c>
      <c r="AY25" s="54">
        <v>0</v>
      </c>
      <c r="AZ25" s="614">
        <v>10991390</v>
      </c>
      <c r="BA25" s="614"/>
      <c r="BB25" s="614"/>
      <c r="BD25" s="54">
        <v>0</v>
      </c>
      <c r="BG25" s="54">
        <v>0</v>
      </c>
      <c r="BJ25" s="54">
        <v>0</v>
      </c>
      <c r="BK25" s="54">
        <v>0</v>
      </c>
      <c r="BN25" s="532">
        <v>500000</v>
      </c>
      <c r="BO25" s="54">
        <v>0</v>
      </c>
      <c r="BP25" s="54">
        <v>0</v>
      </c>
      <c r="BR25" s="614">
        <v>350000</v>
      </c>
      <c r="BS25" s="54">
        <v>0</v>
      </c>
      <c r="BU25" s="532">
        <v>250000</v>
      </c>
      <c r="BW25" s="614">
        <v>288304</v>
      </c>
      <c r="BY25" s="614"/>
      <c r="BZ25" s="614"/>
      <c r="CA25" s="532">
        <v>42000</v>
      </c>
      <c r="CC25" s="54">
        <v>240810</v>
      </c>
      <c r="CE25" s="614">
        <v>221500</v>
      </c>
      <c r="CF25" s="54">
        <v>0</v>
      </c>
      <c r="CH25" s="54">
        <v>0</v>
      </c>
      <c r="CJ25" s="54">
        <v>0</v>
      </c>
      <c r="CN25" s="532">
        <v>2587500</v>
      </c>
      <c r="CR25" s="54">
        <v>0</v>
      </c>
      <c r="CT25" s="614">
        <v>759843</v>
      </c>
      <c r="CY25" s="532"/>
      <c r="CZ25" s="54">
        <f>17533+1692679+264372</f>
        <v>1974584</v>
      </c>
      <c r="DA25" s="532">
        <v>79800</v>
      </c>
      <c r="DB25" s="532">
        <v>1091967</v>
      </c>
      <c r="DC25" s="614"/>
      <c r="DE25" s="614"/>
      <c r="DF25" s="54">
        <v>0</v>
      </c>
      <c r="DG25" s="614">
        <v>634078</v>
      </c>
      <c r="DH25" s="614">
        <v>8547833</v>
      </c>
      <c r="DI25" s="614">
        <v>56000</v>
      </c>
      <c r="DJ25" s="532">
        <v>7000000</v>
      </c>
      <c r="DK25" s="614">
        <v>4380000</v>
      </c>
      <c r="DM25" s="614">
        <v>978080</v>
      </c>
      <c r="DN25" s="614">
        <v>350858</v>
      </c>
      <c r="DQ25" s="614">
        <v>3058626</v>
      </c>
      <c r="DR25" s="54">
        <v>0</v>
      </c>
      <c r="DS25" s="614">
        <v>538216</v>
      </c>
      <c r="DW25" s="54">
        <v>0</v>
      </c>
      <c r="DX25" s="614">
        <v>252667</v>
      </c>
      <c r="DY25" s="614"/>
      <c r="EA25" s="614">
        <f>7532980+4059278</f>
        <v>11592258</v>
      </c>
      <c r="EB25" s="54">
        <v>0</v>
      </c>
      <c r="ED25" s="614">
        <v>837222</v>
      </c>
      <c r="EE25" s="54">
        <v>0</v>
      </c>
      <c r="EH25" s="614">
        <v>5946799</v>
      </c>
      <c r="EI25" s="532">
        <f>605000+2842296</f>
        <v>3447296</v>
      </c>
      <c r="EJ25" s="614">
        <v>321244</v>
      </c>
      <c r="EL25" s="54">
        <v>0</v>
      </c>
      <c r="EM25" s="54">
        <v>0</v>
      </c>
      <c r="EN25" s="614">
        <v>527000</v>
      </c>
      <c r="EP25" s="614">
        <v>1247000</v>
      </c>
      <c r="EU25" s="614">
        <v>657333</v>
      </c>
      <c r="EW25" s="532">
        <v>672184</v>
      </c>
      <c r="EZ25" s="54">
        <v>100000</v>
      </c>
      <c r="FA25" s="54">
        <v>0</v>
      </c>
      <c r="FH25" s="614"/>
      <c r="FI25" s="614"/>
      <c r="FJ25" s="54">
        <v>0</v>
      </c>
      <c r="FK25" s="54">
        <v>0</v>
      </c>
      <c r="FM25" s="614">
        <v>141000</v>
      </c>
      <c r="FP25" s="532">
        <v>60000</v>
      </c>
      <c r="FQ25" s="532">
        <v>80000</v>
      </c>
      <c r="FY25" s="614"/>
    </row>
    <row r="26" spans="1:183" x14ac:dyDescent="0.2">
      <c r="A26" s="439" t="s">
        <v>160</v>
      </c>
      <c r="C26" s="614">
        <v>3113625</v>
      </c>
      <c r="D26" s="614">
        <v>4758000</v>
      </c>
      <c r="F26" s="614">
        <v>950000</v>
      </c>
      <c r="H26" s="54">
        <v>0</v>
      </c>
      <c r="I26" s="614">
        <v>500000</v>
      </c>
      <c r="J26" s="54">
        <v>0</v>
      </c>
      <c r="K26" s="54">
        <v>0</v>
      </c>
      <c r="L26" s="54">
        <v>0</v>
      </c>
      <c r="M26" s="54">
        <v>0</v>
      </c>
      <c r="T26" s="54">
        <v>0</v>
      </c>
      <c r="V26" s="614"/>
      <c r="AD26" s="532">
        <v>0</v>
      </c>
      <c r="AE26" s="54">
        <v>0</v>
      </c>
      <c r="AF26" s="54">
        <v>0</v>
      </c>
      <c r="AG26" s="54">
        <v>0</v>
      </c>
      <c r="AI26" s="54">
        <v>0</v>
      </c>
      <c r="AL26" s="532">
        <f t="shared" si="0"/>
        <v>0</v>
      </c>
      <c r="AM26" s="532">
        <f t="shared" si="1"/>
        <v>0</v>
      </c>
      <c r="AN26" s="532">
        <f t="shared" si="2"/>
        <v>0</v>
      </c>
      <c r="AO26" s="54">
        <v>0</v>
      </c>
      <c r="AQ26" s="54">
        <v>0</v>
      </c>
      <c r="AR26" s="54">
        <v>0</v>
      </c>
      <c r="AT26" s="54">
        <v>0</v>
      </c>
      <c r="AU26" s="54">
        <v>0</v>
      </c>
      <c r="AV26" s="54">
        <v>0</v>
      </c>
      <c r="AW26" s="54">
        <v>0</v>
      </c>
      <c r="AX26" s="532">
        <v>221426</v>
      </c>
      <c r="AY26" s="54">
        <v>0</v>
      </c>
      <c r="AZ26" s="614">
        <v>5110000</v>
      </c>
      <c r="BA26" s="614"/>
      <c r="BB26" s="614"/>
      <c r="BD26" s="54">
        <v>0</v>
      </c>
      <c r="BG26" s="614">
        <v>675000</v>
      </c>
      <c r="BJ26" s="54">
        <v>0</v>
      </c>
      <c r="BK26" s="54">
        <v>0</v>
      </c>
      <c r="BO26" s="54">
        <v>0</v>
      </c>
      <c r="BP26" s="54">
        <v>0</v>
      </c>
      <c r="BQ26" s="532">
        <v>250849</v>
      </c>
      <c r="BR26" s="54">
        <v>0</v>
      </c>
      <c r="BS26" s="54">
        <v>0</v>
      </c>
      <c r="BU26" s="532">
        <v>500000</v>
      </c>
      <c r="BV26" s="532">
        <v>1809369</v>
      </c>
      <c r="BW26" s="54">
        <v>0</v>
      </c>
      <c r="BY26" s="614">
        <v>200000</v>
      </c>
      <c r="BZ26" s="614"/>
      <c r="CF26" s="54">
        <v>0</v>
      </c>
      <c r="CH26" s="54">
        <v>0</v>
      </c>
      <c r="CJ26" s="54">
        <v>0</v>
      </c>
      <c r="CK26" s="532">
        <f>1000000+700000</f>
        <v>1700000</v>
      </c>
      <c r="CR26" s="614">
        <v>10000000</v>
      </c>
      <c r="CT26" s="54">
        <v>0</v>
      </c>
      <c r="CV26" s="54">
        <v>0</v>
      </c>
      <c r="CY26" s="532"/>
      <c r="CZ26" s="614">
        <v>300000</v>
      </c>
      <c r="DA26" s="54">
        <v>0</v>
      </c>
      <c r="DF26" s="54">
        <v>0</v>
      </c>
      <c r="DI26" s="614">
        <v>4404353</v>
      </c>
      <c r="DJ26" s="532">
        <v>3171456</v>
      </c>
      <c r="DK26" s="614">
        <v>1478177</v>
      </c>
      <c r="DM26" s="614">
        <v>262000</v>
      </c>
      <c r="DQ26" s="614">
        <v>12010000</v>
      </c>
      <c r="DR26" s="54">
        <v>0</v>
      </c>
      <c r="DS26" s="54">
        <v>0</v>
      </c>
      <c r="DV26" s="614"/>
      <c r="DW26" s="54">
        <v>0</v>
      </c>
      <c r="EB26" s="54">
        <v>0</v>
      </c>
      <c r="EE26" s="54">
        <v>0</v>
      </c>
      <c r="EL26" s="54">
        <v>0</v>
      </c>
      <c r="EM26" s="614">
        <v>10395000</v>
      </c>
      <c r="EP26" s="614">
        <v>3214000</v>
      </c>
      <c r="EQ26" s="54">
        <v>0</v>
      </c>
      <c r="EU26" s="54">
        <v>0</v>
      </c>
      <c r="FA26" s="54">
        <v>0</v>
      </c>
      <c r="FJ26" s="54">
        <v>0</v>
      </c>
      <c r="FK26" s="54">
        <v>0</v>
      </c>
      <c r="FM26" s="54">
        <v>0</v>
      </c>
      <c r="GA26" s="532">
        <v>2000000</v>
      </c>
    </row>
    <row r="27" spans="1:183" x14ac:dyDescent="0.2">
      <c r="A27" s="439" t="s">
        <v>161</v>
      </c>
      <c r="C27" s="614">
        <v>2064988</v>
      </c>
      <c r="D27" s="614">
        <v>6237000</v>
      </c>
      <c r="E27" s="614">
        <v>324115</v>
      </c>
      <c r="G27" s="532">
        <v>297900</v>
      </c>
      <c r="H27" s="614">
        <v>283005</v>
      </c>
      <c r="I27" s="614">
        <v>5208014</v>
      </c>
      <c r="J27" s="614">
        <v>3341670</v>
      </c>
      <c r="K27" s="614">
        <v>491107</v>
      </c>
      <c r="L27" s="614">
        <v>196700</v>
      </c>
      <c r="M27" s="614">
        <v>325582</v>
      </c>
      <c r="N27" s="614">
        <v>445594</v>
      </c>
      <c r="O27" s="614">
        <v>2079830</v>
      </c>
      <c r="P27" s="532">
        <v>417430</v>
      </c>
      <c r="Q27" s="532"/>
      <c r="R27" s="614">
        <v>321395</v>
      </c>
      <c r="S27" s="614"/>
      <c r="T27" s="614">
        <v>538568</v>
      </c>
      <c r="U27" s="532">
        <v>173400</v>
      </c>
      <c r="V27" s="614">
        <f>V14</f>
        <v>1541675</v>
      </c>
      <c r="W27" s="614">
        <v>1810993</v>
      </c>
      <c r="X27" s="614">
        <v>180555</v>
      </c>
      <c r="Y27" s="614">
        <v>405190</v>
      </c>
      <c r="Z27" s="614">
        <v>2763915</v>
      </c>
      <c r="AA27" s="532">
        <v>248321</v>
      </c>
      <c r="AB27" s="532">
        <v>427323</v>
      </c>
      <c r="AC27" s="614">
        <v>7972237</v>
      </c>
      <c r="AD27" s="532">
        <v>0</v>
      </c>
      <c r="AE27" s="614">
        <v>1345500</v>
      </c>
      <c r="AF27" s="614">
        <v>203320</v>
      </c>
      <c r="AG27" s="614">
        <v>564776</v>
      </c>
      <c r="AH27" s="614">
        <v>15077655</v>
      </c>
      <c r="AI27" s="614">
        <v>7784166</v>
      </c>
      <c r="AJ27" s="532">
        <v>8924144</v>
      </c>
      <c r="AK27" s="532">
        <v>10100541</v>
      </c>
      <c r="AL27" s="532">
        <f t="shared" si="0"/>
        <v>494975.33333333331</v>
      </c>
      <c r="AM27" s="532">
        <f t="shared" si="1"/>
        <v>494975.33333333331</v>
      </c>
      <c r="AN27" s="532">
        <f t="shared" si="2"/>
        <v>494975.33333333331</v>
      </c>
      <c r="AO27" s="614">
        <v>378068</v>
      </c>
      <c r="AP27" s="614">
        <v>163127</v>
      </c>
      <c r="AQ27" s="614">
        <v>1166694</v>
      </c>
      <c r="AR27" s="614">
        <v>943238</v>
      </c>
      <c r="AT27" s="614">
        <v>293000</v>
      </c>
      <c r="AU27" s="614">
        <v>1002663</v>
      </c>
      <c r="AV27" s="614">
        <v>633880</v>
      </c>
      <c r="AW27" s="614">
        <v>263650</v>
      </c>
      <c r="AX27" s="532">
        <v>68492</v>
      </c>
      <c r="AY27" s="614">
        <v>275190</v>
      </c>
      <c r="BB27" s="54">
        <v>305049</v>
      </c>
      <c r="BC27" s="532">
        <v>365598</v>
      </c>
      <c r="BD27" s="614">
        <v>1201888</v>
      </c>
      <c r="BE27" s="614">
        <v>489500</v>
      </c>
      <c r="BF27" s="614">
        <v>36840</v>
      </c>
      <c r="BG27" s="614">
        <v>1611386</v>
      </c>
      <c r="BH27" s="614">
        <v>86266</v>
      </c>
      <c r="BI27" s="614">
        <v>430780</v>
      </c>
      <c r="BJ27" s="614">
        <v>102829</v>
      </c>
      <c r="BK27" s="614">
        <v>3870555</v>
      </c>
      <c r="BL27" s="532">
        <v>146565</v>
      </c>
      <c r="BM27" s="532">
        <v>493182</v>
      </c>
      <c r="BN27" s="532">
        <v>13124655</v>
      </c>
      <c r="BO27" s="614">
        <v>5969444</v>
      </c>
      <c r="BP27" s="614">
        <v>2024230</v>
      </c>
      <c r="BQ27" s="614">
        <v>374049</v>
      </c>
      <c r="BR27" s="614">
        <v>753480</v>
      </c>
      <c r="BS27" s="614">
        <v>16834659</v>
      </c>
      <c r="BT27" s="532">
        <v>7233380</v>
      </c>
      <c r="BU27" s="532">
        <v>7288568</v>
      </c>
      <c r="BV27" s="532">
        <v>4337079</v>
      </c>
      <c r="BW27" s="614">
        <v>6256662</v>
      </c>
      <c r="BX27" s="532">
        <v>1437502</v>
      </c>
      <c r="BY27" s="614">
        <v>2175465</v>
      </c>
      <c r="BZ27" s="614">
        <v>601065</v>
      </c>
      <c r="CA27" s="614">
        <v>8509688</v>
      </c>
      <c r="CC27" s="532">
        <v>3558846</v>
      </c>
      <c r="CD27" s="532">
        <v>1090770</v>
      </c>
      <c r="CE27" s="614">
        <v>74480000</v>
      </c>
      <c r="CF27" s="614">
        <v>1626941</v>
      </c>
      <c r="CH27" s="614">
        <v>2087781</v>
      </c>
      <c r="CJ27" s="54">
        <v>0</v>
      </c>
      <c r="CK27" s="532">
        <f>1876803+512697</f>
        <v>2389500</v>
      </c>
      <c r="CL27" s="532">
        <v>33660</v>
      </c>
      <c r="CM27" s="532">
        <v>5569509</v>
      </c>
      <c r="CN27" s="532">
        <v>3918516</v>
      </c>
      <c r="CO27" s="532">
        <v>982800</v>
      </c>
      <c r="CP27" s="532">
        <v>786568</v>
      </c>
      <c r="CQ27" s="614">
        <v>3684665</v>
      </c>
      <c r="CR27" s="614">
        <v>515180</v>
      </c>
      <c r="CS27" s="614">
        <v>514000</v>
      </c>
      <c r="CT27" s="614">
        <v>1751164</v>
      </c>
      <c r="CU27" s="614">
        <v>982720</v>
      </c>
      <c r="CV27" s="614">
        <v>1944140</v>
      </c>
      <c r="CY27" s="532">
        <v>35124</v>
      </c>
      <c r="CZ27" s="614">
        <v>16885000</v>
      </c>
      <c r="DA27" s="532">
        <v>3789810</v>
      </c>
      <c r="DE27" s="614">
        <v>2472000</v>
      </c>
      <c r="DF27" s="54">
        <v>0</v>
      </c>
      <c r="DG27" s="614">
        <v>7224950</v>
      </c>
      <c r="DI27" s="614">
        <v>19136000</v>
      </c>
      <c r="DJ27" s="532">
        <v>132397000</v>
      </c>
      <c r="DK27" s="614">
        <v>16492635</v>
      </c>
      <c r="DL27" s="614">
        <v>9000000</v>
      </c>
      <c r="DM27" s="614">
        <v>14179218</v>
      </c>
      <c r="DN27" s="614">
        <v>240000</v>
      </c>
      <c r="DO27" s="532">
        <v>4823335</v>
      </c>
      <c r="DP27" s="614">
        <v>2772000</v>
      </c>
      <c r="DQ27" s="614">
        <v>23206646</v>
      </c>
      <c r="DR27" s="54">
        <v>0</v>
      </c>
      <c r="DS27" s="614">
        <v>2925829</v>
      </c>
      <c r="DT27" s="532">
        <v>1208076</v>
      </c>
      <c r="DU27" s="614">
        <v>12954300</v>
      </c>
      <c r="DV27" s="614">
        <v>868450</v>
      </c>
      <c r="DW27" s="614">
        <v>11086181</v>
      </c>
      <c r="DX27" s="614">
        <v>15517846</v>
      </c>
      <c r="DY27" s="614">
        <v>8248265</v>
      </c>
      <c r="DZ27" s="532">
        <v>222480</v>
      </c>
      <c r="EA27" s="614">
        <v>179680738</v>
      </c>
      <c r="EB27" s="614">
        <v>314745</v>
      </c>
      <c r="EC27" s="532">
        <v>3336320</v>
      </c>
      <c r="ED27" s="614">
        <v>52390850</v>
      </c>
      <c r="EE27" s="614">
        <v>2603125</v>
      </c>
      <c r="EF27" s="532">
        <v>1632000</v>
      </c>
      <c r="EG27" s="532">
        <v>5727918</v>
      </c>
      <c r="EI27" s="532">
        <v>24083142</v>
      </c>
      <c r="EK27" s="614">
        <v>733348</v>
      </c>
      <c r="EL27" s="614">
        <v>1266000</v>
      </c>
      <c r="EM27" s="614">
        <v>8788767</v>
      </c>
      <c r="EN27" s="54">
        <v>0</v>
      </c>
      <c r="EO27" s="614">
        <v>818607</v>
      </c>
      <c r="EP27" s="614">
        <v>49855000</v>
      </c>
      <c r="EQ27" s="614">
        <v>12980660</v>
      </c>
      <c r="ER27" s="614">
        <v>29000712</v>
      </c>
      <c r="ES27" s="532">
        <v>7752872</v>
      </c>
      <c r="ET27" s="614">
        <v>4199100</v>
      </c>
      <c r="EU27" s="614">
        <v>35386964</v>
      </c>
      <c r="EV27" s="532">
        <v>7311973</v>
      </c>
      <c r="EW27" s="532">
        <v>8839932</v>
      </c>
      <c r="EX27" s="532">
        <v>11751292</v>
      </c>
      <c r="EY27" s="532">
        <v>3100173</v>
      </c>
      <c r="EZ27" s="532">
        <v>1847390</v>
      </c>
      <c r="FA27" s="614">
        <v>4058776</v>
      </c>
      <c r="FB27" s="614">
        <v>1714513</v>
      </c>
      <c r="FC27" s="614">
        <v>1517969</v>
      </c>
      <c r="FD27" s="532">
        <v>1472088</v>
      </c>
      <c r="FE27" s="614">
        <v>1877792</v>
      </c>
      <c r="FF27" s="614">
        <v>1578990</v>
      </c>
      <c r="FG27" s="532">
        <v>1074809</v>
      </c>
      <c r="FH27" s="614">
        <v>17756685</v>
      </c>
      <c r="FI27" s="614"/>
      <c r="FJ27" s="614">
        <v>146565</v>
      </c>
      <c r="FK27" s="54">
        <v>0</v>
      </c>
      <c r="FM27" s="614">
        <v>6898507</v>
      </c>
      <c r="FN27" s="614">
        <v>1484926</v>
      </c>
      <c r="FO27" s="532">
        <v>60900</v>
      </c>
      <c r="FP27" s="532">
        <v>455298</v>
      </c>
      <c r="FQ27" s="532">
        <v>2501900</v>
      </c>
      <c r="FR27" s="532">
        <v>1944139</v>
      </c>
      <c r="FT27" s="532"/>
      <c r="FU27" s="532">
        <v>4669590</v>
      </c>
      <c r="FX27" s="532">
        <v>486772</v>
      </c>
      <c r="FY27" s="614"/>
      <c r="GA27" s="532">
        <v>630580</v>
      </c>
    </row>
    <row r="28" spans="1:183" x14ac:dyDescent="0.2">
      <c r="A28" s="439" t="s">
        <v>162</v>
      </c>
      <c r="B28" s="532">
        <v>435284</v>
      </c>
      <c r="C28" s="614">
        <v>339156</v>
      </c>
      <c r="D28" s="614">
        <v>515000</v>
      </c>
      <c r="E28" s="614">
        <v>52923</v>
      </c>
      <c r="F28" s="614">
        <v>13628</v>
      </c>
      <c r="G28" s="532">
        <v>99236</v>
      </c>
      <c r="H28" s="614">
        <v>15326</v>
      </c>
      <c r="I28" s="614">
        <v>1121628</v>
      </c>
      <c r="J28" s="614">
        <v>411879</v>
      </c>
      <c r="K28" s="614">
        <v>61685</v>
      </c>
      <c r="L28" s="614">
        <v>32113</v>
      </c>
      <c r="M28" s="614">
        <v>87459</v>
      </c>
      <c r="N28" s="614">
        <v>59873</v>
      </c>
      <c r="O28" s="614">
        <v>216876</v>
      </c>
      <c r="P28" s="532">
        <v>89236</v>
      </c>
      <c r="Q28" s="532">
        <v>77688</v>
      </c>
      <c r="R28" s="614">
        <v>44394</v>
      </c>
      <c r="S28" s="614"/>
      <c r="T28" s="614">
        <v>103437</v>
      </c>
      <c r="U28" s="532">
        <v>146477</v>
      </c>
      <c r="V28" s="614">
        <v>122020</v>
      </c>
      <c r="W28" s="614">
        <v>201421</v>
      </c>
      <c r="X28" s="614">
        <v>55335</v>
      </c>
      <c r="Y28" s="614">
        <v>91778</v>
      </c>
      <c r="Z28" s="614">
        <v>83529</v>
      </c>
      <c r="AA28" s="532">
        <v>69534</v>
      </c>
      <c r="AB28" s="532">
        <v>48447</v>
      </c>
      <c r="AC28" s="614">
        <v>892708</v>
      </c>
      <c r="AD28" s="532">
        <v>186470</v>
      </c>
      <c r="AE28" s="614">
        <v>274351</v>
      </c>
      <c r="AF28" s="614">
        <v>532457</v>
      </c>
      <c r="AG28" s="614">
        <v>120037</v>
      </c>
      <c r="AH28" s="614">
        <v>2533021</v>
      </c>
      <c r="AI28" s="614">
        <v>1222530</v>
      </c>
      <c r="AJ28" s="532">
        <v>815915</v>
      </c>
      <c r="AK28" s="532">
        <v>666238</v>
      </c>
      <c r="AL28" s="532">
        <f t="shared" si="0"/>
        <v>121560</v>
      </c>
      <c r="AM28" s="532">
        <f t="shared" si="1"/>
        <v>121560</v>
      </c>
      <c r="AN28" s="532">
        <f t="shared" si="2"/>
        <v>121560</v>
      </c>
      <c r="AO28" s="614">
        <v>114912</v>
      </c>
      <c r="AP28" s="614">
        <v>105325</v>
      </c>
      <c r="AQ28" s="614">
        <v>182300</v>
      </c>
      <c r="AR28" s="614">
        <v>224047</v>
      </c>
      <c r="AS28" s="532">
        <v>88195</v>
      </c>
      <c r="AT28" s="614">
        <v>166250</v>
      </c>
      <c r="AU28" s="614">
        <v>85256</v>
      </c>
      <c r="AV28" s="614">
        <v>359100</v>
      </c>
      <c r="AW28" s="614">
        <v>113773</v>
      </c>
      <c r="AY28" s="614">
        <v>87954</v>
      </c>
      <c r="AZ28" s="614">
        <v>2133000</v>
      </c>
      <c r="BA28" s="614"/>
      <c r="BB28" s="614">
        <v>96482</v>
      </c>
      <c r="BC28" s="532">
        <v>57453</v>
      </c>
      <c r="BD28" s="614">
        <v>100210</v>
      </c>
      <c r="BE28" s="614">
        <v>70086</v>
      </c>
      <c r="BF28" s="614">
        <v>16202</v>
      </c>
      <c r="BG28" s="614">
        <v>273554</v>
      </c>
      <c r="BH28" s="614">
        <v>84928</v>
      </c>
      <c r="BI28" s="614">
        <v>153722</v>
      </c>
      <c r="BJ28" s="614">
        <v>79012</v>
      </c>
      <c r="BK28" s="614">
        <v>543469</v>
      </c>
      <c r="BL28" s="532">
        <v>77110</v>
      </c>
      <c r="BM28" s="532">
        <v>67207</v>
      </c>
      <c r="BN28" s="532">
        <v>2624335</v>
      </c>
      <c r="BO28" s="614">
        <v>1018844</v>
      </c>
      <c r="BP28" s="614">
        <v>192122</v>
      </c>
      <c r="BQ28" s="614">
        <v>94087</v>
      </c>
      <c r="BR28" s="614">
        <v>151140</v>
      </c>
      <c r="BS28" s="614">
        <v>2812777</v>
      </c>
      <c r="BT28" s="532">
        <v>625157</v>
      </c>
      <c r="BU28" s="532">
        <v>1296780</v>
      </c>
      <c r="BV28" s="532">
        <v>662499</v>
      </c>
      <c r="BW28" s="614">
        <v>1808307</v>
      </c>
      <c r="BX28" s="532">
        <v>172986</v>
      </c>
      <c r="BY28" s="532">
        <v>155940</v>
      </c>
      <c r="BZ28" s="532">
        <v>198387</v>
      </c>
      <c r="CA28" s="614">
        <v>8080205</v>
      </c>
      <c r="CB28" s="532">
        <v>655618</v>
      </c>
      <c r="CC28" s="532">
        <v>1539760</v>
      </c>
      <c r="CD28" s="532">
        <v>167157</v>
      </c>
      <c r="CE28" s="614">
        <v>11589723</v>
      </c>
      <c r="CF28" s="614">
        <v>732625</v>
      </c>
      <c r="CH28" s="614">
        <v>149895</v>
      </c>
      <c r="CI28" s="54">
        <v>82847</v>
      </c>
      <c r="CJ28" s="614">
        <v>2149</v>
      </c>
      <c r="CK28" s="532">
        <f>156517+102660</f>
        <v>259177</v>
      </c>
      <c r="CL28" s="532">
        <v>50450</v>
      </c>
      <c r="CM28" s="532">
        <v>2965130</v>
      </c>
      <c r="CN28" s="532">
        <v>351923</v>
      </c>
      <c r="CO28" s="532">
        <v>331923</v>
      </c>
      <c r="CP28" s="532">
        <v>113001</v>
      </c>
      <c r="CQ28" s="614">
        <v>208539</v>
      </c>
      <c r="CR28" s="614">
        <v>537173</v>
      </c>
      <c r="CS28" s="614">
        <v>75000</v>
      </c>
      <c r="CT28" s="614">
        <v>572865</v>
      </c>
      <c r="CU28" s="614">
        <v>467847</v>
      </c>
      <c r="CV28" s="614">
        <v>271616</v>
      </c>
      <c r="CW28" s="532">
        <v>319993</v>
      </c>
      <c r="CX28" s="532">
        <v>90555</v>
      </c>
      <c r="CY28" s="532">
        <v>151203</v>
      </c>
      <c r="CZ28" s="614">
        <v>11851035</v>
      </c>
      <c r="DA28" s="532">
        <v>977321</v>
      </c>
      <c r="DB28" s="532">
        <v>3298936</v>
      </c>
      <c r="DC28" s="614">
        <v>96960</v>
      </c>
      <c r="DE28" s="614">
        <v>206903</v>
      </c>
      <c r="DF28" s="614">
        <v>1308036</v>
      </c>
      <c r="DG28" s="614">
        <v>4326219</v>
      </c>
      <c r="DH28" s="614">
        <v>2780373</v>
      </c>
      <c r="DI28" s="614">
        <v>2197286</v>
      </c>
      <c r="DJ28" s="532">
        <v>22953477</v>
      </c>
      <c r="DK28" s="614">
        <v>6472666</v>
      </c>
      <c r="DL28" s="614">
        <v>2072567</v>
      </c>
      <c r="DM28" s="532">
        <v>3389393</v>
      </c>
      <c r="DN28" s="614">
        <v>1597816</v>
      </c>
      <c r="DO28" s="532">
        <v>432950</v>
      </c>
      <c r="DP28" s="614">
        <v>773987</v>
      </c>
      <c r="DQ28" s="614">
        <v>18722515</v>
      </c>
      <c r="DR28" s="614">
        <v>48627</v>
      </c>
      <c r="DS28" s="614">
        <v>815251</v>
      </c>
      <c r="DT28" s="532">
        <v>844863</v>
      </c>
      <c r="DU28" s="614">
        <v>1022686</v>
      </c>
      <c r="DV28" s="614">
        <v>531578</v>
      </c>
      <c r="DW28" s="614">
        <v>2082553</v>
      </c>
      <c r="DX28" s="614">
        <v>3250016</v>
      </c>
      <c r="DY28" s="614">
        <v>1704198</v>
      </c>
      <c r="DZ28" s="532">
        <v>51893</v>
      </c>
      <c r="EA28" s="614">
        <v>14956008</v>
      </c>
      <c r="EB28" s="614">
        <v>109583</v>
      </c>
      <c r="EC28" s="532">
        <v>414111</v>
      </c>
      <c r="ED28" s="614">
        <v>4347822</v>
      </c>
      <c r="EE28" s="614">
        <v>289463</v>
      </c>
      <c r="EF28" s="532">
        <v>215213</v>
      </c>
      <c r="EG28" s="532">
        <v>927760</v>
      </c>
      <c r="EH28" s="614">
        <v>4113149</v>
      </c>
      <c r="EI28" s="532">
        <v>14391533</v>
      </c>
      <c r="EJ28" s="614">
        <v>2613481</v>
      </c>
      <c r="EK28" s="614">
        <v>147254</v>
      </c>
      <c r="EL28" s="614">
        <v>354469</v>
      </c>
      <c r="EM28" s="614">
        <v>357142</v>
      </c>
      <c r="EN28" s="614">
        <v>269000</v>
      </c>
      <c r="EO28" s="614">
        <v>76005</v>
      </c>
      <c r="EP28" s="614">
        <v>8521000</v>
      </c>
      <c r="EQ28" s="614">
        <v>677393</v>
      </c>
      <c r="ER28" s="614">
        <v>4494945</v>
      </c>
      <c r="ES28" s="614">
        <v>401842</v>
      </c>
      <c r="ET28" s="614">
        <v>553784</v>
      </c>
      <c r="EU28" s="614">
        <v>9721163</v>
      </c>
      <c r="EV28" s="532">
        <v>720069</v>
      </c>
      <c r="EW28" s="532">
        <v>1226522</v>
      </c>
      <c r="EX28" s="532">
        <v>452490</v>
      </c>
      <c r="EY28" s="532">
        <v>259208</v>
      </c>
      <c r="EZ28" s="532">
        <v>128745</v>
      </c>
      <c r="FA28" s="614">
        <v>421558</v>
      </c>
      <c r="FB28" s="614">
        <v>65987</v>
      </c>
      <c r="FC28" s="614">
        <v>120292</v>
      </c>
      <c r="FD28" s="532">
        <v>125983</v>
      </c>
      <c r="FE28" s="614">
        <v>99286</v>
      </c>
      <c r="FF28" s="614">
        <v>95357</v>
      </c>
      <c r="FG28" s="532">
        <v>82526</v>
      </c>
      <c r="FH28" s="614">
        <v>3737075</v>
      </c>
      <c r="FI28" s="614"/>
      <c r="FJ28" s="614">
        <v>77110</v>
      </c>
      <c r="FK28" s="54">
        <v>0</v>
      </c>
      <c r="FL28" s="614">
        <v>48889</v>
      </c>
      <c r="FM28" s="614">
        <v>6197977</v>
      </c>
      <c r="FN28" s="614">
        <v>364680</v>
      </c>
      <c r="FO28" s="532">
        <v>40125</v>
      </c>
      <c r="FP28" s="532">
        <v>163867</v>
      </c>
      <c r="FQ28" s="532">
        <v>607175</v>
      </c>
      <c r="FR28" s="532">
        <v>271616</v>
      </c>
      <c r="FT28" s="532"/>
      <c r="FU28" s="532">
        <v>303285</v>
      </c>
      <c r="FV28" s="532">
        <f>24*1000</f>
        <v>24000</v>
      </c>
      <c r="FX28" s="532">
        <v>73031</v>
      </c>
      <c r="FY28" s="614"/>
      <c r="FZ28" s="532">
        <v>422033</v>
      </c>
      <c r="GA28" s="532">
        <v>585192</v>
      </c>
    </row>
    <row r="29" spans="1:183" s="529" customFormat="1" x14ac:dyDescent="0.2">
      <c r="A29" s="1588" t="s">
        <v>163</v>
      </c>
      <c r="B29" s="529">
        <v>5899816</v>
      </c>
      <c r="AD29" s="532"/>
      <c r="AL29" s="532"/>
      <c r="AM29" s="532"/>
      <c r="AN29" s="532"/>
      <c r="BU29" s="529">
        <v>0</v>
      </c>
      <c r="BV29" s="532"/>
      <c r="BX29" s="532"/>
      <c r="CD29" s="532"/>
      <c r="CK29" s="532"/>
      <c r="CO29" s="529">
        <v>9434026</v>
      </c>
      <c r="DA29" s="529">
        <v>0</v>
      </c>
      <c r="DF29" s="532">
        <v>800114</v>
      </c>
      <c r="DO29" s="532"/>
      <c r="DV29" s="54"/>
      <c r="DZ29" s="532"/>
      <c r="EG29" s="532"/>
      <c r="FW29" s="532"/>
      <c r="FX29" s="532"/>
      <c r="FZ29" s="532"/>
      <c r="GA29" s="532"/>
    </row>
    <row r="30" spans="1:183" x14ac:dyDescent="0.2">
      <c r="H30" s="54">
        <v>0</v>
      </c>
      <c r="AG30" s="54">
        <v>0</v>
      </c>
      <c r="AR30" s="54">
        <v>0</v>
      </c>
      <c r="AW30" s="54">
        <v>0</v>
      </c>
      <c r="BJ30" s="54">
        <v>0</v>
      </c>
      <c r="BK30" s="54">
        <v>0</v>
      </c>
      <c r="BU30" s="54">
        <v>0</v>
      </c>
      <c r="BY30" s="614"/>
      <c r="BZ30" s="614"/>
      <c r="CJ30" s="54">
        <v>0</v>
      </c>
      <c r="CT30" s="54">
        <v>0</v>
      </c>
      <c r="CY30" s="532"/>
      <c r="DA30" s="54">
        <v>0</v>
      </c>
      <c r="DF30" s="614"/>
      <c r="DM30" s="614"/>
    </row>
    <row r="31" spans="1:183" x14ac:dyDescent="0.2">
      <c r="A31" s="439" t="s">
        <v>164</v>
      </c>
      <c r="B31" s="532">
        <f>SUM(B19:B29)</f>
        <v>10160072</v>
      </c>
      <c r="C31" s="614">
        <f>SUM(C19:C28)</f>
        <v>13675769</v>
      </c>
      <c r="D31" s="614">
        <f>SUM(D19:D29)</f>
        <v>25062000</v>
      </c>
      <c r="E31" s="614">
        <v>5921002</v>
      </c>
      <c r="F31" s="614">
        <v>4172749</v>
      </c>
      <c r="G31" s="532">
        <f>SUM(G19:G29)</f>
        <v>5191152</v>
      </c>
      <c r="H31" s="614">
        <v>3965560</v>
      </c>
      <c r="I31" s="614">
        <v>21617881</v>
      </c>
      <c r="J31" s="614">
        <v>13989859</v>
      </c>
      <c r="K31" s="614">
        <v>7614013</v>
      </c>
      <c r="L31" s="614">
        <v>2873459</v>
      </c>
      <c r="M31" s="614">
        <v>2183051</v>
      </c>
      <c r="N31" s="614">
        <f>SUM(N19:N29)</f>
        <v>5254225</v>
      </c>
      <c r="O31" s="614">
        <f>SUM(O19:O30)</f>
        <v>13231876</v>
      </c>
      <c r="P31" s="606">
        <f>SUM(P19:P30)</f>
        <v>5964185</v>
      </c>
      <c r="Q31" s="606">
        <f>SUM(Q19:Q29)</f>
        <v>1430483</v>
      </c>
      <c r="R31" s="614">
        <f>SUM(R19:R29)</f>
        <v>3049714</v>
      </c>
      <c r="S31" s="614">
        <v>10277000</v>
      </c>
      <c r="T31" s="614">
        <v>7168658</v>
      </c>
      <c r="U31" s="606">
        <f>SUM(U19:U30)</f>
        <v>6188860</v>
      </c>
      <c r="V31" s="614">
        <f>SUM(V19:V30)</f>
        <v>13270408</v>
      </c>
      <c r="W31" s="614">
        <f>SUM(W19:W30)</f>
        <v>14554877</v>
      </c>
      <c r="X31" s="614">
        <f>SUM(X19:X30)</f>
        <v>8792578</v>
      </c>
      <c r="Y31" s="614">
        <f>SUM(Y19:Y29)</f>
        <v>8546992</v>
      </c>
      <c r="Z31" s="614">
        <f>SUM(Z19:Z29)</f>
        <v>15525134</v>
      </c>
      <c r="AA31" s="532">
        <f>SUM(AA19:AA29)</f>
        <v>1810413</v>
      </c>
      <c r="AB31" s="606">
        <f>SUM(AB19:AB30)</f>
        <v>8579747</v>
      </c>
      <c r="AC31" s="614">
        <f>SUM(AC19:AC30)</f>
        <v>45553566</v>
      </c>
      <c r="AD31" s="532">
        <v>6897546</v>
      </c>
      <c r="AE31" s="614">
        <v>14074115</v>
      </c>
      <c r="AF31" s="614">
        <f>SUM(AF19:AF30)</f>
        <v>6135255</v>
      </c>
      <c r="AG31" s="614">
        <f>SUM(AG19:AG28)</f>
        <v>11055904</v>
      </c>
      <c r="AH31" s="614">
        <f>SUM(AH19:AH30)</f>
        <v>48792707</v>
      </c>
      <c r="AI31" s="614">
        <v>28872579</v>
      </c>
      <c r="AJ31" s="532">
        <f>SUM(AJ19:AJ29)</f>
        <v>32305348</v>
      </c>
      <c r="AK31" s="606">
        <f>SUM(AK19:AK29)</f>
        <v>21801428</v>
      </c>
      <c r="AL31" s="532">
        <f>SUM(AL19:AL29)</f>
        <v>5253621</v>
      </c>
      <c r="AM31" s="532">
        <f>SUM(AM19:AM29)</f>
        <v>5253621</v>
      </c>
      <c r="AN31" s="532">
        <f>SUM(AN19:AN29)</f>
        <v>5253621</v>
      </c>
      <c r="AO31" s="614">
        <v>6029906</v>
      </c>
      <c r="AP31" s="614">
        <f>SUM(AP19:AP29)</f>
        <v>5436727</v>
      </c>
      <c r="AQ31" s="614">
        <f>SUM(AQ19:AQ30)</f>
        <v>13631720</v>
      </c>
      <c r="AR31" s="614">
        <v>16919321</v>
      </c>
      <c r="AS31" s="532">
        <f>SUM(AS19:AS29)</f>
        <v>8330389</v>
      </c>
      <c r="AT31" s="614">
        <v>8063168</v>
      </c>
      <c r="AU31" s="614">
        <v>8741710</v>
      </c>
      <c r="AV31" s="614">
        <v>9658778</v>
      </c>
      <c r="AW31" s="614">
        <v>4514397</v>
      </c>
      <c r="AX31" s="532">
        <f>SUM(AX19:AX30)</f>
        <v>6486411</v>
      </c>
      <c r="AY31" s="614">
        <v>6456461</v>
      </c>
      <c r="AZ31" s="614">
        <v>74186039</v>
      </c>
      <c r="BA31" s="614">
        <f>SUM(BA6:BA28)</f>
        <v>0</v>
      </c>
      <c r="BB31" s="614">
        <f>SUM(BB19:BB30)</f>
        <v>5708005</v>
      </c>
      <c r="BC31" s="532">
        <f>SUM(BC19:BC29)</f>
        <v>3500626</v>
      </c>
      <c r="BD31" s="614">
        <v>9331643</v>
      </c>
      <c r="BE31" s="614">
        <f>SUM(BE19:BE29)</f>
        <v>6513025</v>
      </c>
      <c r="BF31" s="614">
        <f>SUM(BF19:BF29)</f>
        <v>2098455</v>
      </c>
      <c r="BG31" s="614">
        <f>SUM(BG19:BG30)</f>
        <v>16087954</v>
      </c>
      <c r="BH31" s="614">
        <f>SUM(BH19:BH30)</f>
        <v>9823555</v>
      </c>
      <c r="BI31" s="614">
        <f>SUM(BI19:BI30)</f>
        <v>8534472</v>
      </c>
      <c r="BJ31" s="614">
        <v>3017490</v>
      </c>
      <c r="BK31" s="614">
        <v>30328314</v>
      </c>
      <c r="BL31" s="532">
        <f>SUM(BL19:BL29)</f>
        <v>4301562</v>
      </c>
      <c r="BM31" s="532">
        <f>SUM(BM19:BM30)</f>
        <v>8786267</v>
      </c>
      <c r="BN31" s="532">
        <f>SUM(BN19:BN30)</f>
        <v>51562121</v>
      </c>
      <c r="BO31" s="614">
        <v>27834011</v>
      </c>
      <c r="BP31" s="614">
        <v>9159011</v>
      </c>
      <c r="BQ31" s="614">
        <f>SUM(BQ19:BQ29)</f>
        <v>6560140</v>
      </c>
      <c r="BR31" s="614">
        <v>7931993</v>
      </c>
      <c r="BS31" s="614">
        <f>SUM(BS19:BS29)</f>
        <v>55946551</v>
      </c>
      <c r="BT31" s="532">
        <f>SUM(BT19:BT28)</f>
        <v>23355263</v>
      </c>
      <c r="BU31" s="614">
        <f>SUM(BU19:BU30)</f>
        <v>20823829</v>
      </c>
      <c r="BV31" s="532">
        <f>SUM(BV19:BV28)</f>
        <v>22003954</v>
      </c>
      <c r="BW31" s="614">
        <v>26499824</v>
      </c>
      <c r="BX31" s="532">
        <f>SUM(BX19:BX29)</f>
        <v>7647190</v>
      </c>
      <c r="BY31" s="614">
        <f>SUM(BY19:BY29)</f>
        <v>19120115</v>
      </c>
      <c r="BZ31" s="614">
        <f>SUM(BZ19:BZ29)</f>
        <v>9560248</v>
      </c>
      <c r="CA31" s="614">
        <f>SUM(CA19:CA30)</f>
        <v>53310117</v>
      </c>
      <c r="CB31" s="532">
        <f>SUM(CB19:CB28)</f>
        <v>13275760</v>
      </c>
      <c r="CC31" s="606">
        <f>SUM(CC19:CC29)</f>
        <v>22405236</v>
      </c>
      <c r="CD31" s="532">
        <f>SUM(CD19:CD29)</f>
        <v>9575600</v>
      </c>
      <c r="CE31" s="614">
        <v>302570899</v>
      </c>
      <c r="CF31" s="614">
        <f>SUM(CF19:CF29)</f>
        <v>32473350</v>
      </c>
      <c r="CG31" s="54">
        <v>0</v>
      </c>
      <c r="CH31" s="614">
        <v>15954462</v>
      </c>
      <c r="CI31" s="532">
        <f>SUM(CI19:CI29)</f>
        <v>5155957</v>
      </c>
      <c r="CJ31" s="614">
        <v>1043145</v>
      </c>
      <c r="CK31" s="532">
        <f>SUM(CK19:CK29)</f>
        <v>26335712</v>
      </c>
      <c r="CL31" s="532">
        <f>SUM(CL19:CL29)</f>
        <v>5880885</v>
      </c>
      <c r="CM31" s="532">
        <f>SUM(CM19:CM29)</f>
        <v>73247473</v>
      </c>
      <c r="CN31" s="532">
        <f>SUM(CN19:CN28)</f>
        <v>20645216</v>
      </c>
      <c r="CO31" s="532">
        <f>SUM(CO19:CO30)</f>
        <v>25120172</v>
      </c>
      <c r="CP31" s="532">
        <f>SUM(CP19:CP29)</f>
        <v>8783531</v>
      </c>
      <c r="CQ31" s="614">
        <f>SUM(CQ19:CQ30)</f>
        <v>16479470</v>
      </c>
      <c r="CR31" s="614">
        <f>SUM(CR19:CR29)</f>
        <v>28508780</v>
      </c>
      <c r="CS31" s="614">
        <v>7959000</v>
      </c>
      <c r="CT31" s="614">
        <v>16200830</v>
      </c>
      <c r="CU31" s="614">
        <v>12455551</v>
      </c>
      <c r="CV31" s="614">
        <v>23882628</v>
      </c>
      <c r="CW31" s="532">
        <f>SUM(CW19:CW29)</f>
        <v>14032490</v>
      </c>
      <c r="CX31" s="532">
        <f>SUM(CX19:CX29)</f>
        <v>6435523</v>
      </c>
      <c r="CY31" s="532">
        <f>SUM(CY19:CY28)</f>
        <v>10609590</v>
      </c>
      <c r="CZ31" s="614">
        <f>SUM(CZ19:CZ30)</f>
        <v>166030193</v>
      </c>
      <c r="DA31" s="614">
        <f>SUM(DA19:DA30)</f>
        <v>39452303</v>
      </c>
      <c r="DB31" s="532">
        <f>SUM(DB19:DB30)</f>
        <v>23840078</v>
      </c>
      <c r="DC31" s="614">
        <f>SUM(DC19:DC29)</f>
        <v>7484573.3333333321</v>
      </c>
      <c r="DE31" s="614">
        <f>SUM(DE19:DE29)</f>
        <v>8359812</v>
      </c>
      <c r="DF31" s="614">
        <f>SUM(DF19:DF30)</f>
        <v>48044757</v>
      </c>
      <c r="DG31" s="614">
        <v>85561480</v>
      </c>
      <c r="DH31" s="614">
        <v>110041815</v>
      </c>
      <c r="DI31" s="614">
        <f>SUM(DI19:DI29)</f>
        <v>54191952</v>
      </c>
      <c r="DJ31" s="532">
        <f>SUM(DJ19:DJ30)</f>
        <v>369294640</v>
      </c>
      <c r="DK31" s="614">
        <f>SUM(DK19:DK29)</f>
        <v>102493727</v>
      </c>
      <c r="DL31" s="614">
        <f>SUM(DL19:DL29)</f>
        <v>35453853</v>
      </c>
      <c r="DM31" s="614">
        <f>SUM(DM19:DM28)</f>
        <v>70076085</v>
      </c>
      <c r="DN31" s="614">
        <f>SUM(DN19:DN29)</f>
        <v>33267314</v>
      </c>
      <c r="DO31" s="532">
        <f>SUM(DO19:DO29)</f>
        <v>20172372</v>
      </c>
      <c r="DP31" s="614">
        <f>SUM(DP19:DP29)</f>
        <v>13217543</v>
      </c>
      <c r="DQ31" s="614">
        <f>SUM(DQ19:DQ30)</f>
        <v>200956826</v>
      </c>
      <c r="DR31" s="614">
        <v>2850379</v>
      </c>
      <c r="DS31" s="614">
        <v>20529729</v>
      </c>
      <c r="DT31" s="532">
        <f>SUM(DT19:DT30)</f>
        <v>12341984</v>
      </c>
      <c r="DU31" s="614">
        <v>40270730</v>
      </c>
      <c r="DV31" s="614">
        <f>SUM(DV19:DV29)</f>
        <v>19368375</v>
      </c>
      <c r="DW31" s="614">
        <v>34660419</v>
      </c>
      <c r="DX31" s="614">
        <f>SUM(DX19:DX30)</f>
        <v>101801191</v>
      </c>
      <c r="DY31" s="614">
        <f>SUM(DY19:DY30)</f>
        <v>45026114</v>
      </c>
      <c r="DZ31" s="532">
        <f>SUM(DZ19:DZ29)</f>
        <v>2225107</v>
      </c>
      <c r="EA31" s="614">
        <f>SUM(EA19:EA30)</f>
        <v>689961745</v>
      </c>
      <c r="EB31" s="614">
        <f>SUM(EB19:EB28)</f>
        <v>4136928</v>
      </c>
      <c r="EC31" s="532">
        <f>SUM(EC19:EC30)</f>
        <v>19029232</v>
      </c>
      <c r="ED31" s="614">
        <f>SUM(ED18:ED28)</f>
        <v>127755582</v>
      </c>
      <c r="EE31" s="614">
        <v>10128535</v>
      </c>
      <c r="EF31" s="532">
        <f>SUM(EF19:EF30)</f>
        <v>6754356</v>
      </c>
      <c r="EG31" s="532">
        <f>SUM(EG19:EG29)</f>
        <v>23363264</v>
      </c>
      <c r="EH31" s="614">
        <f>SUM(EH19:EH30)</f>
        <v>48445242</v>
      </c>
      <c r="EI31" s="532">
        <f>SUM(EI19:EI29)</f>
        <v>217086374</v>
      </c>
      <c r="EJ31" s="614">
        <v>40832506</v>
      </c>
      <c r="EK31" s="614">
        <f>SUM(EK19:EK30)</f>
        <v>7494152</v>
      </c>
      <c r="EL31" s="614">
        <f>SUM(EL19:EL28)</f>
        <v>9325679</v>
      </c>
      <c r="EM31" s="614">
        <f>SUM(EM19:EM28)</f>
        <v>30923767</v>
      </c>
      <c r="EN31" s="614">
        <f>SUM(EN19:EN30)</f>
        <v>24776000</v>
      </c>
      <c r="EO31" s="614">
        <f>SUM(EO19:EO30)</f>
        <v>4716585</v>
      </c>
      <c r="EP31" s="614">
        <f>SUM(EP19:EP30)</f>
        <v>152399000</v>
      </c>
      <c r="EQ31" s="614">
        <v>49010595</v>
      </c>
      <c r="ER31" s="614">
        <f>SUM(ER19:ER30)</f>
        <v>89184491</v>
      </c>
      <c r="ES31" s="606">
        <f>SUM(ES19:ES30)</f>
        <v>22990763</v>
      </c>
      <c r="ET31" s="614">
        <f>SUM(ET19:ET28)</f>
        <v>14579720</v>
      </c>
      <c r="EU31" s="614">
        <f>SUM(EU19:EU29)</f>
        <v>149010194</v>
      </c>
      <c r="EV31" s="532">
        <f>SUM(EV19:EV30)</f>
        <v>19339883</v>
      </c>
      <c r="EW31" s="532">
        <f>SUM(EW19:EW29)</f>
        <v>21650677</v>
      </c>
      <c r="EX31" s="532">
        <f>SUM(EX19:EX29)</f>
        <v>27445889</v>
      </c>
      <c r="EY31" s="532">
        <f>SUM(EY19:EY29)</f>
        <v>13364310</v>
      </c>
      <c r="EZ31" s="606">
        <f>SUM(EZ19:EZ30)</f>
        <v>8037929</v>
      </c>
      <c r="FA31" s="614">
        <v>39941148</v>
      </c>
      <c r="FB31" s="614">
        <v>4907124</v>
      </c>
      <c r="FC31" s="614">
        <v>11289481</v>
      </c>
      <c r="FD31" s="532">
        <f>SUM(FD19:FD28)</f>
        <v>14534608</v>
      </c>
      <c r="FE31" s="614">
        <v>7352540</v>
      </c>
      <c r="FF31" s="614">
        <f>SUM(FF19:FF30)</f>
        <v>11847737</v>
      </c>
      <c r="FG31" s="532">
        <f>SUM(FG19:FG29)</f>
        <v>7195443</v>
      </c>
      <c r="FH31" s="614">
        <f>SUM(FH19:FH30)</f>
        <v>80522429</v>
      </c>
      <c r="FI31" s="614"/>
      <c r="FJ31" s="614">
        <v>4301562</v>
      </c>
      <c r="FK31" s="54">
        <v>0</v>
      </c>
      <c r="FL31" s="614">
        <f>SUM(FL19:FL30)</f>
        <v>3937089</v>
      </c>
      <c r="FM31" s="614">
        <v>58150592</v>
      </c>
      <c r="FN31" s="614">
        <f>SUM(FN19:FN30)</f>
        <v>15760863</v>
      </c>
      <c r="FO31" s="532">
        <f>SUM(FO19:FO28)</f>
        <v>4102497</v>
      </c>
      <c r="FP31" s="532">
        <f>SUM(FP19:FP30)</f>
        <v>8120204</v>
      </c>
      <c r="FQ31" s="532">
        <f>SUM(FQ19:FQ30)</f>
        <v>24517441</v>
      </c>
      <c r="FR31" s="532">
        <f>SUM(FR19:FR30)</f>
        <v>23882625</v>
      </c>
      <c r="FT31" s="606"/>
      <c r="FU31" s="532">
        <f>SUM(FU19:FU30)</f>
        <v>18495879</v>
      </c>
      <c r="FV31" s="532">
        <f>SUM(FV19:FV29)</f>
        <v>13758000</v>
      </c>
      <c r="FW31" s="532">
        <f>SUM(FW19:FW29)</f>
        <v>0</v>
      </c>
      <c r="FX31" s="532">
        <f>SUM(FX19:FX29)</f>
        <v>4667245</v>
      </c>
      <c r="FY31" s="532">
        <f>SUM(FY19:FY29)</f>
        <v>0</v>
      </c>
      <c r="FZ31" s="532">
        <f>SUM(FZ19:FZ29)</f>
        <v>11361966</v>
      </c>
      <c r="GA31" s="532">
        <f t="shared" ref="GA31" si="6">SUM(GA19:GA29)</f>
        <v>15596787</v>
      </c>
    </row>
    <row r="32" spans="1:183" x14ac:dyDescent="0.2">
      <c r="AB32" s="615"/>
      <c r="AF32" s="614"/>
      <c r="ED32" s="614"/>
    </row>
    <row r="33" spans="1:183" x14ac:dyDescent="0.2">
      <c r="A33" s="602" t="s">
        <v>167</v>
      </c>
    </row>
    <row r="34" spans="1:183" x14ac:dyDescent="0.2">
      <c r="A34" s="602" t="s">
        <v>152</v>
      </c>
      <c r="CH34" s="54">
        <v>0</v>
      </c>
    </row>
    <row r="35" spans="1:183" x14ac:dyDescent="0.2">
      <c r="A35" s="439" t="s">
        <v>168</v>
      </c>
      <c r="B35" s="532">
        <v>15034725</v>
      </c>
      <c r="C35" s="614">
        <v>12660489</v>
      </c>
      <c r="D35" s="614">
        <v>28959000</v>
      </c>
      <c r="E35" s="614">
        <v>6274890</v>
      </c>
      <c r="F35" s="614">
        <v>4531112</v>
      </c>
      <c r="G35" s="532">
        <f>6672750+2881000</f>
        <v>9553750</v>
      </c>
      <c r="H35" s="614">
        <v>4029400</v>
      </c>
      <c r="I35" s="614">
        <v>27024950</v>
      </c>
      <c r="J35" s="614">
        <v>14757950</v>
      </c>
      <c r="K35" s="614">
        <v>11681850</v>
      </c>
      <c r="L35" s="614">
        <v>6993355</v>
      </c>
      <c r="M35" s="614">
        <v>4414788</v>
      </c>
      <c r="N35" s="614">
        <v>13760282</v>
      </c>
      <c r="O35" s="614">
        <v>21813700</v>
      </c>
      <c r="P35" s="532">
        <v>10381140</v>
      </c>
      <c r="Q35" s="532">
        <v>8626739</v>
      </c>
      <c r="R35" s="614">
        <f>11036643+486972</f>
        <v>11523615</v>
      </c>
      <c r="S35" s="532">
        <f>2530000+14682000</f>
        <v>17212000</v>
      </c>
      <c r="T35" s="614">
        <v>9459360</v>
      </c>
      <c r="U35" s="532">
        <v>11733305</v>
      </c>
      <c r="V35" s="614">
        <v>12060340</v>
      </c>
      <c r="W35" s="614">
        <v>16850205</v>
      </c>
      <c r="X35" s="614">
        <v>11245400</v>
      </c>
      <c r="Y35" s="614">
        <v>10849020</v>
      </c>
      <c r="Z35" s="614">
        <v>25645460</v>
      </c>
      <c r="AA35" s="532">
        <v>2391407</v>
      </c>
      <c r="AB35" s="532">
        <v>14887498</v>
      </c>
      <c r="AC35" s="614">
        <v>58919047</v>
      </c>
      <c r="AD35" s="532">
        <v>11237602</v>
      </c>
      <c r="AE35" s="614">
        <v>19506460</v>
      </c>
      <c r="AF35" s="614">
        <v>8616790</v>
      </c>
      <c r="AG35" s="614">
        <v>13383500</v>
      </c>
      <c r="AH35" s="614">
        <v>45072055</v>
      </c>
      <c r="AI35" s="614">
        <v>37187100</v>
      </c>
      <c r="AJ35" s="532">
        <v>56654750</v>
      </c>
      <c r="AK35" s="532">
        <v>26970802</v>
      </c>
      <c r="AL35" s="532">
        <f t="shared" ref="AL35:AL51" si="7">+FN35/3</f>
        <v>11065861</v>
      </c>
      <c r="AM35" s="532">
        <f t="shared" ref="AM35:AM51" si="8">+FN35/3</f>
        <v>11065861</v>
      </c>
      <c r="AN35" s="532">
        <f t="shared" ref="AN35:AN51" si="9">+FN35/3</f>
        <v>11065861</v>
      </c>
      <c r="AO35" s="614">
        <v>19662110</v>
      </c>
      <c r="AP35" s="614">
        <v>11438268</v>
      </c>
      <c r="AQ35" s="614">
        <v>18661490</v>
      </c>
      <c r="AR35" s="614">
        <v>31847470</v>
      </c>
      <c r="AS35" s="532">
        <v>20487299</v>
      </c>
      <c r="AT35" s="614">
        <v>11979695</v>
      </c>
      <c r="AU35" s="614">
        <v>18479375</v>
      </c>
      <c r="AV35" s="614">
        <v>21535938</v>
      </c>
      <c r="AW35" s="614">
        <v>7078080</v>
      </c>
      <c r="AX35" s="532">
        <v>9866473</v>
      </c>
      <c r="AY35" s="614">
        <v>12825660</v>
      </c>
      <c r="AZ35" s="614">
        <v>66503770</v>
      </c>
      <c r="BA35" s="614">
        <v>11100400</v>
      </c>
      <c r="BB35" s="614">
        <v>4653892</v>
      </c>
      <c r="BC35" s="532">
        <v>6726872</v>
      </c>
      <c r="BD35" s="614">
        <v>18956348</v>
      </c>
      <c r="BE35" s="614">
        <v>9746220</v>
      </c>
      <c r="BF35" s="614">
        <v>10211310</v>
      </c>
      <c r="BG35" s="614">
        <v>25623698</v>
      </c>
      <c r="BH35" s="614">
        <v>10862140</v>
      </c>
      <c r="BI35" s="614">
        <v>13643473</v>
      </c>
      <c r="BJ35" s="614">
        <v>6395090</v>
      </c>
      <c r="BK35" s="614">
        <v>52787635</v>
      </c>
      <c r="BL35" s="532">
        <v>5939500</v>
      </c>
      <c r="BM35" s="532">
        <v>7654750</v>
      </c>
      <c r="BN35" s="532">
        <v>59516975</v>
      </c>
      <c r="BO35" s="614">
        <v>33323955</v>
      </c>
      <c r="BP35" s="614">
        <v>12547785</v>
      </c>
      <c r="BQ35" s="614">
        <v>17799470</v>
      </c>
      <c r="BR35" s="614">
        <v>17631006</v>
      </c>
      <c r="BS35" s="614">
        <v>40263170</v>
      </c>
      <c r="BT35" s="532">
        <v>26473650</v>
      </c>
      <c r="BU35" s="614">
        <v>29583290</v>
      </c>
      <c r="BV35" s="532">
        <f>19119830+3624690</f>
        <v>22744520</v>
      </c>
      <c r="BW35" s="614">
        <v>24217166</v>
      </c>
      <c r="BX35" s="532">
        <v>11889420</v>
      </c>
      <c r="BY35" s="614">
        <f>43725025+8146850</f>
        <v>51871875</v>
      </c>
      <c r="BZ35" s="614"/>
      <c r="CA35" s="614">
        <v>57187846</v>
      </c>
      <c r="CB35" s="532">
        <v>41834176</v>
      </c>
      <c r="CC35" s="532">
        <v>30968512</v>
      </c>
      <c r="CD35" s="532">
        <v>13559190</v>
      </c>
      <c r="CE35" s="614">
        <v>490983846</v>
      </c>
      <c r="CF35" s="614">
        <v>47014481</v>
      </c>
      <c r="CG35" s="614">
        <v>4194760</v>
      </c>
      <c r="CH35" s="614">
        <v>14101857</v>
      </c>
      <c r="CI35" s="54">
        <v>9002360</v>
      </c>
      <c r="CJ35" s="614">
        <v>7913312</v>
      </c>
      <c r="CK35" s="532">
        <f>7843506+9797720</f>
        <v>17641226</v>
      </c>
      <c r="CM35" s="532">
        <v>78598380</v>
      </c>
      <c r="CN35" s="532">
        <v>13845667</v>
      </c>
      <c r="CO35" s="532">
        <f>18033140+9554400</f>
        <v>27587540</v>
      </c>
      <c r="CQ35" s="614">
        <v>23365502</v>
      </c>
      <c r="CR35" s="614">
        <v>22773220</v>
      </c>
      <c r="CS35" s="614">
        <v>11781000</v>
      </c>
      <c r="CT35" s="614">
        <f>18554210+5508320+2151184</f>
        <v>26213714</v>
      </c>
      <c r="CU35" s="614">
        <v>18219870</v>
      </c>
      <c r="CV35" s="614">
        <v>11326910</v>
      </c>
      <c r="CW35" s="532">
        <v>25856950</v>
      </c>
      <c r="CX35" s="532">
        <v>4938600</v>
      </c>
      <c r="CY35" s="532">
        <v>14681700</v>
      </c>
      <c r="CZ35" s="614">
        <v>176850212</v>
      </c>
      <c r="DA35" s="614">
        <v>67694470</v>
      </c>
      <c r="DB35" s="532">
        <v>29174920</v>
      </c>
      <c r="DC35" s="614">
        <f>14060420+7391000</f>
        <v>21451420</v>
      </c>
      <c r="DD35" s="614">
        <v>106135309</v>
      </c>
      <c r="DE35" s="614">
        <v>25807135</v>
      </c>
      <c r="DF35" s="614">
        <v>71279110</v>
      </c>
      <c r="DG35" s="614">
        <v>121786745</v>
      </c>
      <c r="DH35" s="614">
        <v>106003750</v>
      </c>
      <c r="DI35" s="614">
        <v>52126647</v>
      </c>
      <c r="DJ35" s="532">
        <v>599215040</v>
      </c>
      <c r="DK35" s="614">
        <v>160156336</v>
      </c>
      <c r="DL35" s="614">
        <v>45589475</v>
      </c>
      <c r="DM35" s="614">
        <v>86446162</v>
      </c>
      <c r="DN35" s="614">
        <v>29860088</v>
      </c>
      <c r="DO35" s="532">
        <v>33649150</v>
      </c>
      <c r="DP35" s="614">
        <v>13386932</v>
      </c>
      <c r="DQ35" s="614">
        <v>218730440</v>
      </c>
      <c r="DR35" s="614">
        <v>4362400</v>
      </c>
      <c r="DS35" s="614">
        <v>14541290</v>
      </c>
      <c r="DT35" s="532">
        <v>10867250</v>
      </c>
      <c r="DU35" s="614">
        <v>48323342</v>
      </c>
      <c r="DV35" s="614">
        <v>26220770</v>
      </c>
      <c r="DW35" s="614">
        <v>44795745</v>
      </c>
      <c r="DX35" s="614">
        <v>110352835</v>
      </c>
      <c r="DY35" s="614">
        <v>50391795</v>
      </c>
      <c r="DZ35" s="532">
        <v>4150435</v>
      </c>
      <c r="EA35" s="614">
        <v>655991780</v>
      </c>
      <c r="EB35" s="614">
        <v>7787210</v>
      </c>
      <c r="EC35" s="532">
        <v>33865664</v>
      </c>
      <c r="ED35" s="614">
        <v>134011733</v>
      </c>
      <c r="EE35" s="614">
        <v>9700030</v>
      </c>
      <c r="EF35" s="532">
        <v>8326980</v>
      </c>
      <c r="EG35" s="532">
        <f>24152225+922000</f>
        <v>25074225</v>
      </c>
      <c r="EH35" s="614">
        <v>71376557</v>
      </c>
      <c r="EI35" s="532">
        <v>240843054</v>
      </c>
      <c r="EJ35" s="614">
        <v>44208948</v>
      </c>
      <c r="EK35" s="614">
        <v>13932250</v>
      </c>
      <c r="EL35" s="614">
        <v>12119750</v>
      </c>
      <c r="EM35" s="614">
        <v>40820450</v>
      </c>
      <c r="EN35" s="614">
        <v>27068000</v>
      </c>
      <c r="EO35" s="614">
        <v>6913760</v>
      </c>
      <c r="EP35" s="614">
        <v>155803000</v>
      </c>
      <c r="EQ35" s="614">
        <v>49798175</v>
      </c>
      <c r="ER35" s="614">
        <v>110149930</v>
      </c>
      <c r="ES35" s="532">
        <v>37582006</v>
      </c>
      <c r="ET35" s="614">
        <v>17400465</v>
      </c>
      <c r="EU35" s="614">
        <v>325933630</v>
      </c>
      <c r="EV35" s="532">
        <f>27307795+6866483</f>
        <v>34174278</v>
      </c>
      <c r="EW35" s="532">
        <v>45404940</v>
      </c>
      <c r="EX35" s="532">
        <v>32988050</v>
      </c>
      <c r="EY35" s="532">
        <v>21414550</v>
      </c>
      <c r="EZ35" s="532">
        <v>15325180</v>
      </c>
      <c r="FA35" s="614">
        <v>52332750</v>
      </c>
      <c r="FB35" s="614">
        <v>15871750</v>
      </c>
      <c r="FC35" s="614">
        <v>19295704</v>
      </c>
      <c r="FD35" s="532">
        <v>25802100</v>
      </c>
      <c r="FE35" s="614">
        <v>21085870</v>
      </c>
      <c r="FF35" s="614">
        <v>16011050</v>
      </c>
      <c r="FG35" s="532">
        <v>18746240</v>
      </c>
      <c r="FH35" s="614">
        <v>88877600</v>
      </c>
      <c r="FI35" s="614"/>
      <c r="FJ35" s="614">
        <v>5939500</v>
      </c>
      <c r="FK35" s="614">
        <v>8413040</v>
      </c>
      <c r="FL35" s="614">
        <v>5627991</v>
      </c>
      <c r="FM35" s="614">
        <v>127672130</v>
      </c>
      <c r="FN35" s="614">
        <v>33197583</v>
      </c>
      <c r="FO35" s="532">
        <v>6124674</v>
      </c>
      <c r="FP35" s="532">
        <v>14223950</v>
      </c>
      <c r="FQ35" s="532">
        <v>44845430</v>
      </c>
      <c r="FR35" s="532">
        <v>11326910</v>
      </c>
      <c r="FT35" s="532">
        <v>8413040</v>
      </c>
      <c r="FU35" s="532">
        <v>18587750</v>
      </c>
      <c r="FV35" s="532">
        <f>1214*1000</f>
        <v>1214000</v>
      </c>
      <c r="FW35" s="532">
        <v>5184530</v>
      </c>
      <c r="FX35" s="532">
        <v>8796300</v>
      </c>
      <c r="FY35" s="614"/>
      <c r="FZ35" s="532">
        <v>19729250</v>
      </c>
      <c r="GA35" s="532">
        <v>23512428</v>
      </c>
    </row>
    <row r="36" spans="1:183" x14ac:dyDescent="0.2">
      <c r="A36" s="439" t="s">
        <v>154</v>
      </c>
      <c r="B36" s="532">
        <v>793200</v>
      </c>
      <c r="C36" s="54">
        <v>0</v>
      </c>
      <c r="E36" s="614">
        <v>1170000</v>
      </c>
      <c r="F36" s="614">
        <v>83760</v>
      </c>
      <c r="G36" s="532">
        <v>3017270</v>
      </c>
      <c r="H36" s="614">
        <v>1403637</v>
      </c>
      <c r="I36" s="614">
        <v>495000</v>
      </c>
      <c r="J36" s="614">
        <v>517000</v>
      </c>
      <c r="K36" s="614">
        <v>496800</v>
      </c>
      <c r="L36" s="54">
        <v>0</v>
      </c>
      <c r="M36" s="614">
        <v>820000</v>
      </c>
      <c r="P36" s="532"/>
      <c r="Q36" s="532">
        <v>962300</v>
      </c>
      <c r="T36" s="614">
        <v>842478</v>
      </c>
      <c r="U36" s="532">
        <v>447820</v>
      </c>
      <c r="V36" s="614"/>
      <c r="Y36" s="614">
        <v>332012</v>
      </c>
      <c r="Z36" s="614"/>
      <c r="AA36" s="532">
        <v>1300000</v>
      </c>
      <c r="AB36" s="532">
        <v>3300000</v>
      </c>
      <c r="AC36" s="614">
        <v>1709413</v>
      </c>
      <c r="AD36" s="532">
        <v>954579</v>
      </c>
      <c r="AE36" s="532">
        <v>984614</v>
      </c>
      <c r="AF36" s="614">
        <v>913752</v>
      </c>
      <c r="AG36" s="54">
        <v>0</v>
      </c>
      <c r="AH36" s="614">
        <v>915329</v>
      </c>
      <c r="AI36" s="614">
        <v>3607000</v>
      </c>
      <c r="AJ36" s="54">
        <v>7804000</v>
      </c>
      <c r="AK36" s="532">
        <v>2000000</v>
      </c>
      <c r="AL36" s="532">
        <f t="shared" si="7"/>
        <v>311567.66666666669</v>
      </c>
      <c r="AM36" s="532">
        <f t="shared" si="8"/>
        <v>311567.66666666669</v>
      </c>
      <c r="AN36" s="532">
        <f t="shared" si="9"/>
        <v>311567.66666666669</v>
      </c>
      <c r="AO36" s="614">
        <v>1850000</v>
      </c>
      <c r="AP36" s="614"/>
      <c r="AR36" s="614">
        <v>559490</v>
      </c>
      <c r="AS36" s="532">
        <v>2253935</v>
      </c>
      <c r="AT36" s="614">
        <v>150000</v>
      </c>
      <c r="AU36" s="614">
        <v>1944826</v>
      </c>
      <c r="AV36" s="614">
        <v>2723300</v>
      </c>
      <c r="AW36" s="54">
        <v>0</v>
      </c>
      <c r="AX36" s="532">
        <v>1650000</v>
      </c>
      <c r="AY36" s="54">
        <v>0</v>
      </c>
      <c r="AZ36" s="614">
        <v>6934000</v>
      </c>
      <c r="BA36" s="614">
        <v>350000</v>
      </c>
      <c r="BB36" s="614">
        <v>180000</v>
      </c>
      <c r="BC36" s="532">
        <v>1231519</v>
      </c>
      <c r="BD36" s="614">
        <v>899690</v>
      </c>
      <c r="BF36" s="614">
        <v>1127517</v>
      </c>
      <c r="BG36" s="614">
        <v>5416935</v>
      </c>
      <c r="BH36" s="614">
        <v>1170069</v>
      </c>
      <c r="BI36" s="614">
        <v>1463800</v>
      </c>
      <c r="BJ36" s="614">
        <v>1011673</v>
      </c>
      <c r="BK36" s="614">
        <v>570000</v>
      </c>
      <c r="BN36" s="532">
        <v>11263980</v>
      </c>
      <c r="BO36" s="614">
        <v>8769122</v>
      </c>
      <c r="BP36" s="614">
        <v>2600000</v>
      </c>
      <c r="BQ36" s="614">
        <v>2854303</v>
      </c>
      <c r="BR36" s="614">
        <v>1807470</v>
      </c>
      <c r="BS36" s="614">
        <v>2546797</v>
      </c>
      <c r="BT36" s="532">
        <v>6313200</v>
      </c>
      <c r="BU36" s="54">
        <v>7678400</v>
      </c>
      <c r="BV36" s="532">
        <v>4149000</v>
      </c>
      <c r="BW36" s="614">
        <v>16500000</v>
      </c>
      <c r="BY36" s="54">
        <v>7290000</v>
      </c>
      <c r="CA36" s="614">
        <v>9748000</v>
      </c>
      <c r="CB36" s="532">
        <v>2750000</v>
      </c>
      <c r="CC36" s="532">
        <v>2341000</v>
      </c>
      <c r="CD36" s="532">
        <v>1048561</v>
      </c>
      <c r="CE36" s="614">
        <v>36119792</v>
      </c>
      <c r="CF36" s="54">
        <v>0</v>
      </c>
      <c r="CG36" s="54">
        <v>0</v>
      </c>
      <c r="CH36" s="54">
        <v>585601</v>
      </c>
      <c r="CJ36" s="54">
        <v>0</v>
      </c>
      <c r="CM36" s="532">
        <v>10735630</v>
      </c>
      <c r="CN36" s="532">
        <v>4448000</v>
      </c>
      <c r="CO36" s="532">
        <v>3260000</v>
      </c>
      <c r="CQ36" s="614">
        <v>1192840</v>
      </c>
      <c r="CR36" s="614">
        <v>7945000</v>
      </c>
      <c r="CS36" s="614">
        <v>1776000</v>
      </c>
      <c r="CT36" s="614">
        <v>355097</v>
      </c>
      <c r="CV36" s="614">
        <v>7700000</v>
      </c>
      <c r="CW36" s="532">
        <v>2400000</v>
      </c>
      <c r="CX36" s="532">
        <v>3380000</v>
      </c>
      <c r="CY36" s="532">
        <v>6144784</v>
      </c>
      <c r="CZ36" s="614">
        <v>51356500</v>
      </c>
      <c r="DA36" s="532">
        <v>7100000</v>
      </c>
      <c r="DB36" s="532">
        <v>556000</v>
      </c>
      <c r="DC36" s="614">
        <v>800000</v>
      </c>
      <c r="DD36" s="614">
        <v>11423500</v>
      </c>
      <c r="DE36" s="614">
        <v>2400000</v>
      </c>
      <c r="DF36" s="614">
        <v>1080000</v>
      </c>
      <c r="DG36" s="614">
        <v>16500000</v>
      </c>
      <c r="DH36" s="614">
        <v>12450000</v>
      </c>
      <c r="DI36" s="614">
        <v>5378399</v>
      </c>
      <c r="DJ36" s="532">
        <v>18159000</v>
      </c>
      <c r="DK36" s="614">
        <v>6234535</v>
      </c>
      <c r="DL36" s="614">
        <v>322000</v>
      </c>
      <c r="DN36" s="614">
        <v>4450000</v>
      </c>
      <c r="DP36" s="614">
        <v>4400000</v>
      </c>
      <c r="DR36" s="54">
        <v>0</v>
      </c>
      <c r="DS36" s="54">
        <v>0</v>
      </c>
      <c r="DT36" s="532">
        <v>1864012</v>
      </c>
      <c r="DU36" s="614">
        <v>8611264</v>
      </c>
      <c r="DV36" s="614">
        <v>5079085</v>
      </c>
      <c r="DW36" s="614">
        <v>10872848</v>
      </c>
      <c r="DX36" s="614">
        <v>9352147</v>
      </c>
      <c r="DY36" s="614">
        <v>850000</v>
      </c>
      <c r="DZ36" s="532">
        <v>165000</v>
      </c>
      <c r="EA36" s="614">
        <v>28851523</v>
      </c>
      <c r="EB36" s="54">
        <v>0</v>
      </c>
      <c r="EC36" s="532">
        <v>2081296</v>
      </c>
      <c r="ED36" s="614">
        <v>3105560</v>
      </c>
      <c r="EE36" s="54">
        <v>0</v>
      </c>
      <c r="EH36" s="614">
        <v>7663310</v>
      </c>
      <c r="EI36" s="532">
        <v>30423000</v>
      </c>
      <c r="EJ36" s="614">
        <v>4465155</v>
      </c>
      <c r="EK36" s="614">
        <v>1998000</v>
      </c>
      <c r="EL36" s="614">
        <v>1998000</v>
      </c>
      <c r="EM36" s="614">
        <v>7149500</v>
      </c>
      <c r="EN36" s="614">
        <v>5651000</v>
      </c>
      <c r="EO36" s="614">
        <v>700000</v>
      </c>
      <c r="EP36" s="614">
        <v>33591000</v>
      </c>
      <c r="EQ36" s="614">
        <v>2460000</v>
      </c>
      <c r="ER36" s="532">
        <v>8669198</v>
      </c>
      <c r="ET36" s="614">
        <v>1829109</v>
      </c>
      <c r="EU36" s="614">
        <v>18898410</v>
      </c>
      <c r="EV36" s="532">
        <v>7799697</v>
      </c>
      <c r="EW36" s="532">
        <v>7112064</v>
      </c>
      <c r="EX36" s="532">
        <v>3600000</v>
      </c>
      <c r="EY36" s="532">
        <v>2377224</v>
      </c>
      <c r="EZ36" s="532">
        <v>3753003</v>
      </c>
      <c r="FA36" s="614">
        <v>1409386</v>
      </c>
      <c r="FB36" s="614">
        <v>5028000</v>
      </c>
      <c r="FC36" s="614">
        <v>2775680</v>
      </c>
      <c r="FD36" s="532">
        <v>990000</v>
      </c>
      <c r="FE36" s="614">
        <v>4040460</v>
      </c>
      <c r="FH36" s="614">
        <v>29485000</v>
      </c>
      <c r="FI36" s="614"/>
      <c r="FJ36" s="54">
        <v>0</v>
      </c>
      <c r="FK36" s="614">
        <v>103464</v>
      </c>
      <c r="FL36" s="614">
        <v>150000</v>
      </c>
      <c r="FM36" s="614">
        <v>11694301</v>
      </c>
      <c r="FN36" s="614">
        <v>934703</v>
      </c>
      <c r="FO36" s="532">
        <v>552000</v>
      </c>
      <c r="FQ36" s="532">
        <v>1500000</v>
      </c>
      <c r="FR36" s="532">
        <v>7700000</v>
      </c>
      <c r="FT36" s="532">
        <v>103464</v>
      </c>
      <c r="FU36" s="532">
        <v>212500</v>
      </c>
      <c r="FX36" s="532">
        <v>4258000</v>
      </c>
      <c r="FZ36" s="532">
        <v>7962354</v>
      </c>
      <c r="GA36" s="532">
        <v>5505906</v>
      </c>
    </row>
    <row r="37" spans="1:183" x14ac:dyDescent="0.2">
      <c r="A37" s="439" t="s">
        <v>169</v>
      </c>
      <c r="B37" s="532">
        <v>4577026</v>
      </c>
      <c r="C37" s="614">
        <v>460564</v>
      </c>
      <c r="D37" s="614">
        <v>17785000</v>
      </c>
      <c r="E37" s="614">
        <v>1474303</v>
      </c>
      <c r="F37" s="614">
        <v>894836</v>
      </c>
      <c r="G37" s="532">
        <v>2457172</v>
      </c>
      <c r="H37" s="614">
        <v>982869</v>
      </c>
      <c r="I37" s="614">
        <v>21658000</v>
      </c>
      <c r="J37" s="54">
        <v>0</v>
      </c>
      <c r="K37" s="54">
        <v>0</v>
      </c>
      <c r="L37" s="614">
        <v>4542146</v>
      </c>
      <c r="M37" s="54">
        <v>0</v>
      </c>
      <c r="N37" s="614"/>
      <c r="O37" s="614">
        <v>20591747</v>
      </c>
      <c r="P37" s="532"/>
      <c r="Q37" s="532"/>
      <c r="R37" s="54">
        <v>1674643</v>
      </c>
      <c r="T37" s="54">
        <v>0</v>
      </c>
      <c r="U37" s="532">
        <v>510700</v>
      </c>
      <c r="W37" s="614">
        <v>7320732</v>
      </c>
      <c r="Z37" s="614">
        <v>5229094</v>
      </c>
      <c r="AB37" s="532">
        <v>2850000</v>
      </c>
      <c r="AC37" s="614">
        <v>40460389</v>
      </c>
      <c r="AD37" s="532">
        <v>2900900</v>
      </c>
      <c r="AE37" s="614">
        <v>3917749</v>
      </c>
      <c r="AF37" s="614"/>
      <c r="AG37" s="614">
        <v>13926304</v>
      </c>
      <c r="AH37" s="532">
        <v>14398000</v>
      </c>
      <c r="AI37" s="614">
        <v>8747000</v>
      </c>
      <c r="AJ37" s="532">
        <v>25782000</v>
      </c>
      <c r="AK37" s="532">
        <v>9662310</v>
      </c>
      <c r="AL37" s="532">
        <f t="shared" si="7"/>
        <v>3417839</v>
      </c>
      <c r="AM37" s="532">
        <f t="shared" si="8"/>
        <v>3417839</v>
      </c>
      <c r="AN37" s="532">
        <f t="shared" si="9"/>
        <v>3417839</v>
      </c>
      <c r="AO37" s="614">
        <v>1222100</v>
      </c>
      <c r="AP37" s="532">
        <v>5141448</v>
      </c>
      <c r="AQ37" s="614">
        <v>2837900</v>
      </c>
      <c r="AR37" s="614">
        <v>3504900</v>
      </c>
      <c r="AS37" s="532">
        <v>7108126</v>
      </c>
      <c r="AT37" s="614">
        <v>294229</v>
      </c>
      <c r="AU37" s="614">
        <v>20486000</v>
      </c>
      <c r="AV37" s="54">
        <v>0</v>
      </c>
      <c r="AW37" s="614">
        <v>13625619</v>
      </c>
      <c r="AY37" s="614">
        <v>2594000</v>
      </c>
      <c r="AZ37" s="614">
        <v>26157000</v>
      </c>
      <c r="BA37" s="614">
        <v>2090551</v>
      </c>
      <c r="BB37" s="614">
        <v>4800000</v>
      </c>
      <c r="BE37" s="614">
        <v>4446484</v>
      </c>
      <c r="BF37" s="614">
        <v>5411255</v>
      </c>
      <c r="BG37" s="614">
        <v>10933766</v>
      </c>
      <c r="BI37" s="614">
        <v>13963678</v>
      </c>
      <c r="BJ37" s="54">
        <v>0</v>
      </c>
      <c r="BK37" s="54">
        <v>0</v>
      </c>
      <c r="BM37" s="532">
        <v>7032354</v>
      </c>
      <c r="BN37" s="532">
        <v>16128000</v>
      </c>
      <c r="BO37" s="614">
        <v>22237494</v>
      </c>
      <c r="BP37" s="614">
        <v>11189298</v>
      </c>
      <c r="BQ37" s="614">
        <v>4353392</v>
      </c>
      <c r="BR37" s="54">
        <v>0</v>
      </c>
      <c r="BS37" s="54">
        <v>0</v>
      </c>
      <c r="BU37" s="54">
        <v>0</v>
      </c>
      <c r="BW37" s="54">
        <v>0</v>
      </c>
      <c r="BY37" s="532">
        <v>14289696</v>
      </c>
      <c r="CB37" s="532">
        <v>1854493</v>
      </c>
      <c r="CC37" s="532">
        <v>4127742</v>
      </c>
      <c r="CD37" s="532">
        <v>1938120</v>
      </c>
      <c r="CE37" s="54">
        <v>0</v>
      </c>
      <c r="CF37" s="614">
        <v>14079771</v>
      </c>
      <c r="CG37" s="614">
        <v>2101458</v>
      </c>
      <c r="CH37" s="614">
        <v>6885392</v>
      </c>
      <c r="CI37" s="532">
        <v>7664788</v>
      </c>
      <c r="CJ37" s="614">
        <v>4600000</v>
      </c>
      <c r="CK37" s="532">
        <v>25000000</v>
      </c>
      <c r="CM37" s="532">
        <v>37395897</v>
      </c>
      <c r="CN37" s="532">
        <v>4811909</v>
      </c>
      <c r="CO37" s="532">
        <v>9623818</v>
      </c>
      <c r="CQ37" s="614">
        <v>10599670</v>
      </c>
      <c r="CR37" s="614">
        <v>10726624</v>
      </c>
      <c r="CT37" s="614">
        <v>10599870</v>
      </c>
      <c r="CU37" s="614">
        <v>10599670</v>
      </c>
      <c r="CV37" s="614">
        <v>12250000</v>
      </c>
      <c r="CW37" s="532">
        <v>4343523</v>
      </c>
      <c r="CY37" s="532">
        <v>353434</v>
      </c>
      <c r="CZ37" s="54">
        <v>100000000</v>
      </c>
      <c r="DA37" s="54">
        <v>0</v>
      </c>
      <c r="DB37" s="532">
        <v>10000000</v>
      </c>
      <c r="DC37" s="614"/>
      <c r="DD37" s="614">
        <v>95383000</v>
      </c>
      <c r="DF37" s="614">
        <f>39157650+12600000</f>
        <v>51757650</v>
      </c>
      <c r="DG37" s="614">
        <v>101856412</v>
      </c>
      <c r="DH37" s="614">
        <v>82320000</v>
      </c>
      <c r="DI37" s="532">
        <v>51283869</v>
      </c>
      <c r="DR37" s="54">
        <v>0</v>
      </c>
      <c r="DS37" s="614">
        <v>5680727</v>
      </c>
      <c r="DV37" s="614"/>
      <c r="DW37" s="54">
        <v>0</v>
      </c>
      <c r="DY37" s="54">
        <v>70193000</v>
      </c>
      <c r="EA37" s="614">
        <v>432904000</v>
      </c>
      <c r="EB37" s="614">
        <v>5278519</v>
      </c>
      <c r="EE37" s="54">
        <v>0</v>
      </c>
      <c r="EH37" s="614">
        <v>100621271</v>
      </c>
      <c r="EK37" s="614">
        <v>5300000</v>
      </c>
      <c r="EM37" s="54">
        <v>0</v>
      </c>
      <c r="EN37" s="614">
        <v>6000000</v>
      </c>
      <c r="EP37" s="54">
        <v>0</v>
      </c>
      <c r="EQ37" s="614">
        <v>21645022</v>
      </c>
      <c r="ER37" s="532">
        <v>33207753</v>
      </c>
      <c r="ES37" s="532">
        <v>2680000</v>
      </c>
      <c r="ET37" s="532">
        <v>21645000</v>
      </c>
      <c r="EU37" s="54">
        <v>67138854</v>
      </c>
      <c r="EW37" s="532">
        <v>21979912</v>
      </c>
      <c r="EX37" s="532">
        <v>22000000</v>
      </c>
      <c r="EY37" s="532">
        <v>24934322</v>
      </c>
      <c r="EZ37" s="532">
        <v>6793754</v>
      </c>
      <c r="FA37" s="614">
        <v>16325000</v>
      </c>
      <c r="FB37" s="614">
        <v>16034000</v>
      </c>
      <c r="FD37" s="532">
        <v>9000000</v>
      </c>
      <c r="FE37" s="614">
        <v>5155782</v>
      </c>
      <c r="FH37" s="614">
        <v>92773500</v>
      </c>
      <c r="FI37" s="614"/>
      <c r="FJ37" s="54">
        <v>0</v>
      </c>
      <c r="FK37" s="614">
        <v>912440</v>
      </c>
      <c r="FL37" s="614">
        <v>5869000</v>
      </c>
      <c r="FM37" s="54">
        <v>0</v>
      </c>
      <c r="FN37" s="614">
        <v>10253517</v>
      </c>
      <c r="FQ37" s="532">
        <v>19816904</v>
      </c>
      <c r="FR37" s="532">
        <v>12250000</v>
      </c>
      <c r="FT37" s="532">
        <v>912440</v>
      </c>
      <c r="FY37" s="614"/>
      <c r="FZ37" s="532">
        <v>10595000</v>
      </c>
    </row>
    <row r="38" spans="1:183" x14ac:dyDescent="0.2">
      <c r="A38" s="439" t="s">
        <v>170</v>
      </c>
      <c r="B38" s="532">
        <v>76800</v>
      </c>
      <c r="C38" s="54">
        <v>0</v>
      </c>
      <c r="E38" s="614">
        <v>96000</v>
      </c>
      <c r="G38" s="532">
        <v>200100</v>
      </c>
      <c r="H38" s="614">
        <v>45000</v>
      </c>
      <c r="I38" s="614">
        <v>70000</v>
      </c>
      <c r="J38" s="54">
        <v>0</v>
      </c>
      <c r="K38" s="614">
        <v>70000</v>
      </c>
      <c r="L38" s="54">
        <v>0</v>
      </c>
      <c r="M38" s="614">
        <v>120000</v>
      </c>
      <c r="Q38" s="54">
        <v>90620</v>
      </c>
      <c r="T38" s="614">
        <v>116078</v>
      </c>
      <c r="U38" s="54">
        <v>120000</v>
      </c>
      <c r="V38" s="614"/>
      <c r="Y38" s="614">
        <v>70670</v>
      </c>
      <c r="AA38" s="532">
        <v>70000</v>
      </c>
      <c r="AB38" s="54">
        <v>270000</v>
      </c>
      <c r="AC38" s="614">
        <v>20306</v>
      </c>
      <c r="AD38" s="532">
        <v>97750</v>
      </c>
      <c r="AE38" s="54">
        <v>0</v>
      </c>
      <c r="AF38" s="614">
        <v>55944</v>
      </c>
      <c r="AG38" s="54">
        <v>0</v>
      </c>
      <c r="AH38" s="614"/>
      <c r="AI38" s="54">
        <v>0</v>
      </c>
      <c r="AJ38" s="54">
        <v>483000</v>
      </c>
      <c r="AL38" s="532">
        <f t="shared" si="7"/>
        <v>0</v>
      </c>
      <c r="AM38" s="532">
        <f t="shared" si="8"/>
        <v>0</v>
      </c>
      <c r="AN38" s="532">
        <f t="shared" si="9"/>
        <v>0</v>
      </c>
      <c r="AO38" s="614">
        <v>180000</v>
      </c>
      <c r="AP38" s="614"/>
      <c r="AR38" s="54">
        <v>0</v>
      </c>
      <c r="AT38" s="54">
        <v>0</v>
      </c>
      <c r="AU38" s="54">
        <v>0</v>
      </c>
      <c r="AV38" s="54">
        <v>0</v>
      </c>
      <c r="AW38" s="54">
        <v>0</v>
      </c>
      <c r="AY38" s="54">
        <v>0</v>
      </c>
      <c r="AZ38" s="614">
        <v>567000</v>
      </c>
      <c r="BA38" s="614">
        <v>122500</v>
      </c>
      <c r="BB38" s="614"/>
      <c r="BD38" s="614">
        <v>96275</v>
      </c>
      <c r="BG38" s="614">
        <v>140000</v>
      </c>
      <c r="BH38" s="614">
        <v>83905</v>
      </c>
      <c r="BI38" s="614">
        <v>82992</v>
      </c>
      <c r="BJ38" s="614">
        <v>101435</v>
      </c>
      <c r="BK38" s="614">
        <v>90000</v>
      </c>
      <c r="BN38" s="532">
        <v>615000</v>
      </c>
      <c r="BO38" s="614">
        <v>926028</v>
      </c>
      <c r="BP38" s="614">
        <v>260000</v>
      </c>
      <c r="BQ38" s="614">
        <v>378910</v>
      </c>
      <c r="BR38" s="54">
        <v>0</v>
      </c>
      <c r="BS38" s="614">
        <v>231248</v>
      </c>
      <c r="BT38" s="532">
        <v>320000</v>
      </c>
      <c r="BU38" s="54">
        <v>447000</v>
      </c>
      <c r="BV38" s="532">
        <v>337000</v>
      </c>
      <c r="BW38" s="614">
        <v>815698</v>
      </c>
      <c r="BY38" s="54">
        <v>890000</v>
      </c>
      <c r="CA38" s="614">
        <v>545000</v>
      </c>
      <c r="CC38" s="532">
        <v>285000</v>
      </c>
      <c r="CD38" s="532">
        <v>140000</v>
      </c>
      <c r="CE38" s="614">
        <v>1692000</v>
      </c>
      <c r="CF38" s="54">
        <v>0</v>
      </c>
      <c r="CG38" s="54">
        <v>0</v>
      </c>
      <c r="CH38" s="54">
        <v>0</v>
      </c>
      <c r="CJ38" s="54">
        <v>0</v>
      </c>
      <c r="CM38" s="532">
        <v>370000</v>
      </c>
      <c r="CO38" s="532">
        <v>223000</v>
      </c>
      <c r="CQ38" s="614">
        <v>211750</v>
      </c>
      <c r="CR38" s="614">
        <v>435000</v>
      </c>
      <c r="CS38" s="614">
        <v>130000</v>
      </c>
      <c r="CT38" s="614">
        <v>8667</v>
      </c>
      <c r="CV38" s="614">
        <v>215000</v>
      </c>
      <c r="CW38" s="532">
        <v>195000</v>
      </c>
      <c r="CX38" s="532">
        <v>92350</v>
      </c>
      <c r="CY38" s="532"/>
      <c r="CZ38" s="614">
        <v>2443500</v>
      </c>
      <c r="DA38" s="532">
        <v>870000</v>
      </c>
      <c r="DB38" s="532">
        <v>50000</v>
      </c>
      <c r="DD38" s="614">
        <v>565000</v>
      </c>
      <c r="DE38" s="614">
        <v>302400</v>
      </c>
      <c r="DF38" s="614">
        <v>170000</v>
      </c>
      <c r="DG38" s="614">
        <v>1905000</v>
      </c>
      <c r="DH38" s="614">
        <v>620000</v>
      </c>
      <c r="DI38" s="614">
        <v>446612</v>
      </c>
      <c r="DJ38" s="532">
        <v>645000</v>
      </c>
      <c r="DK38" s="54">
        <v>446900</v>
      </c>
      <c r="DL38" s="614">
        <v>1800000</v>
      </c>
      <c r="DN38" s="614">
        <v>215000</v>
      </c>
      <c r="DP38" s="614">
        <v>574600</v>
      </c>
      <c r="DR38" s="54">
        <v>0</v>
      </c>
      <c r="DS38" s="54">
        <v>0</v>
      </c>
      <c r="DT38" s="532">
        <v>65000</v>
      </c>
      <c r="DU38" s="614">
        <v>1291000</v>
      </c>
      <c r="DV38" s="614">
        <v>250000</v>
      </c>
      <c r="DW38" s="614">
        <v>142500</v>
      </c>
      <c r="DX38" s="54">
        <v>751613</v>
      </c>
      <c r="DZ38" s="532">
        <v>45000</v>
      </c>
      <c r="EB38" s="54">
        <v>0</v>
      </c>
      <c r="ED38" s="614">
        <v>200000</v>
      </c>
      <c r="EE38" s="54">
        <v>0</v>
      </c>
      <c r="EH38" s="614">
        <v>785000</v>
      </c>
      <c r="EI38" s="532">
        <v>1914000</v>
      </c>
      <c r="EJ38" s="614">
        <v>150000</v>
      </c>
      <c r="EL38" s="54">
        <v>0</v>
      </c>
      <c r="EM38" s="614">
        <v>470000</v>
      </c>
      <c r="EN38" s="614">
        <v>160000</v>
      </c>
      <c r="EO38" s="614">
        <v>212000</v>
      </c>
      <c r="EP38" s="614">
        <v>2300000</v>
      </c>
      <c r="EQ38" s="614">
        <v>87500</v>
      </c>
      <c r="ER38" s="532">
        <v>440000</v>
      </c>
      <c r="ET38" s="614">
        <v>265000</v>
      </c>
      <c r="EU38" s="54">
        <v>900000</v>
      </c>
      <c r="EV38" s="532">
        <v>425756</v>
      </c>
      <c r="EW38" s="532">
        <v>500000</v>
      </c>
      <c r="EY38" s="532">
        <v>242038</v>
      </c>
      <c r="EZ38" s="532">
        <v>81804</v>
      </c>
      <c r="FA38" s="614">
        <v>120000</v>
      </c>
      <c r="FB38" s="614">
        <v>134000</v>
      </c>
      <c r="FE38" s="614">
        <v>600000</v>
      </c>
      <c r="FH38" s="614">
        <v>1256700</v>
      </c>
      <c r="FI38" s="614"/>
      <c r="FJ38" s="54">
        <v>0</v>
      </c>
      <c r="FK38" s="54">
        <v>0</v>
      </c>
      <c r="FL38" s="54">
        <v>0</v>
      </c>
      <c r="FM38" s="614">
        <v>665000</v>
      </c>
      <c r="FQ38" s="532">
        <v>185000</v>
      </c>
      <c r="FR38" s="532">
        <v>215000</v>
      </c>
      <c r="FU38" s="532">
        <v>160000</v>
      </c>
      <c r="FX38" s="532">
        <v>272000</v>
      </c>
      <c r="FY38" s="54">
        <v>0</v>
      </c>
      <c r="FZ38" s="532">
        <v>300000</v>
      </c>
      <c r="GA38" s="532">
        <v>253425</v>
      </c>
    </row>
    <row r="39" spans="1:183" x14ac:dyDescent="0.2">
      <c r="A39" s="439" t="s">
        <v>171</v>
      </c>
      <c r="G39" s="532"/>
      <c r="H39" s="54">
        <v>0</v>
      </c>
      <c r="J39" s="54">
        <v>0</v>
      </c>
      <c r="K39" s="54">
        <v>0</v>
      </c>
      <c r="L39" s="54">
        <v>0</v>
      </c>
      <c r="M39" s="54">
        <v>0</v>
      </c>
      <c r="P39" s="532"/>
      <c r="Q39" s="532"/>
      <c r="T39" s="54">
        <v>0</v>
      </c>
      <c r="U39" s="532"/>
      <c r="Z39" s="614">
        <v>4144178</v>
      </c>
      <c r="AB39" s="532"/>
      <c r="AD39" s="532">
        <v>0</v>
      </c>
      <c r="AE39" s="54">
        <v>0</v>
      </c>
      <c r="AG39" s="54">
        <v>0</v>
      </c>
      <c r="AI39" s="54">
        <v>0</v>
      </c>
      <c r="AL39" s="532">
        <f t="shared" si="7"/>
        <v>0</v>
      </c>
      <c r="AM39" s="532">
        <f t="shared" si="8"/>
        <v>0</v>
      </c>
      <c r="AN39" s="532">
        <f t="shared" si="9"/>
        <v>0</v>
      </c>
      <c r="AO39" s="54">
        <v>0</v>
      </c>
      <c r="AR39" s="54">
        <v>0</v>
      </c>
      <c r="AT39" s="54">
        <v>0</v>
      </c>
      <c r="AU39" s="54">
        <v>0</v>
      </c>
      <c r="AV39" s="54">
        <v>0</v>
      </c>
      <c r="AW39" s="54">
        <v>0</v>
      </c>
      <c r="AY39" s="54">
        <v>0</v>
      </c>
      <c r="BG39" s="54">
        <v>0</v>
      </c>
      <c r="BJ39" s="54">
        <v>0</v>
      </c>
      <c r="BK39" s="54">
        <v>0</v>
      </c>
      <c r="BO39" s="54">
        <v>0</v>
      </c>
      <c r="BP39" s="54">
        <v>0</v>
      </c>
      <c r="BS39" s="54">
        <v>0</v>
      </c>
      <c r="BU39" s="54">
        <v>0</v>
      </c>
      <c r="BW39" s="614">
        <v>1538350</v>
      </c>
      <c r="CE39" s="614">
        <v>21880424</v>
      </c>
      <c r="CF39" s="54">
        <v>0</v>
      </c>
      <c r="CG39" s="54">
        <v>0</v>
      </c>
      <c r="CH39" s="54">
        <v>0</v>
      </c>
      <c r="CJ39" s="54">
        <v>0</v>
      </c>
      <c r="CM39" s="532">
        <v>1933210</v>
      </c>
      <c r="CO39" s="532">
        <v>1372700</v>
      </c>
      <c r="CQ39" s="614">
        <v>785818</v>
      </c>
      <c r="CR39" s="54">
        <v>0</v>
      </c>
      <c r="CT39" s="54">
        <v>0</v>
      </c>
      <c r="CX39" s="532">
        <v>652375</v>
      </c>
      <c r="CY39" s="532">
        <v>2535125</v>
      </c>
      <c r="CZ39" s="614">
        <v>24110945</v>
      </c>
      <c r="DA39" s="54">
        <v>0</v>
      </c>
      <c r="DF39" s="614">
        <v>8018570</v>
      </c>
      <c r="DR39" s="54">
        <v>0</v>
      </c>
      <c r="DS39" s="54">
        <v>0</v>
      </c>
      <c r="DW39" s="54">
        <v>0</v>
      </c>
      <c r="DX39" s="54">
        <v>5823561</v>
      </c>
      <c r="EB39" s="54">
        <v>0</v>
      </c>
      <c r="EE39" s="54">
        <v>0</v>
      </c>
      <c r="EL39" s="54">
        <v>0</v>
      </c>
      <c r="EM39" s="54">
        <v>0</v>
      </c>
      <c r="EP39" s="614">
        <v>13800000</v>
      </c>
      <c r="EQ39" s="614">
        <v>6137000</v>
      </c>
      <c r="EU39" s="54">
        <v>15890038</v>
      </c>
      <c r="EW39" s="532">
        <v>2636800</v>
      </c>
      <c r="EY39" s="532">
        <v>195000</v>
      </c>
      <c r="EZ39" s="532">
        <v>4622565</v>
      </c>
      <c r="FA39" s="614">
        <v>824100</v>
      </c>
      <c r="FH39" s="614">
        <v>5672060</v>
      </c>
      <c r="FI39" s="614"/>
      <c r="FJ39" s="54">
        <v>0</v>
      </c>
      <c r="FK39" s="54">
        <v>0</v>
      </c>
      <c r="FM39" s="54">
        <v>0</v>
      </c>
      <c r="FT39" s="532"/>
      <c r="FY39" s="54">
        <v>0</v>
      </c>
      <c r="GA39" s="532">
        <v>2876784</v>
      </c>
    </row>
    <row r="40" spans="1:183" x14ac:dyDescent="0.2">
      <c r="A40" s="439" t="s">
        <v>160</v>
      </c>
      <c r="B40" s="532">
        <v>1150000</v>
      </c>
      <c r="C40" s="614">
        <v>174161</v>
      </c>
      <c r="D40" s="614">
        <v>4032000</v>
      </c>
      <c r="E40" s="614">
        <v>464573</v>
      </c>
      <c r="G40" s="532">
        <v>2012913</v>
      </c>
      <c r="H40" s="614">
        <v>1359715</v>
      </c>
      <c r="J40" s="54">
        <v>0</v>
      </c>
      <c r="K40" s="54">
        <v>0</v>
      </c>
      <c r="L40" s="54">
        <v>0</v>
      </c>
      <c r="M40" s="54">
        <v>0</v>
      </c>
      <c r="P40" s="532">
        <v>402717</v>
      </c>
      <c r="Q40" s="532"/>
      <c r="T40" s="54">
        <v>0</v>
      </c>
      <c r="U40" s="532">
        <v>3627765</v>
      </c>
      <c r="V40" s="614"/>
      <c r="W40" s="614">
        <v>5635543</v>
      </c>
      <c r="AB40" s="532"/>
      <c r="AD40" s="532">
        <v>0</v>
      </c>
      <c r="AE40" s="54">
        <v>0</v>
      </c>
      <c r="AF40" s="532">
        <v>4054723</v>
      </c>
      <c r="AG40" s="54">
        <v>0</v>
      </c>
      <c r="AH40" s="614">
        <v>5881680</v>
      </c>
      <c r="AI40" s="54">
        <v>0</v>
      </c>
      <c r="AK40" s="532">
        <v>1705000</v>
      </c>
      <c r="AL40" s="532">
        <f t="shared" si="7"/>
        <v>1379492.6666666667</v>
      </c>
      <c r="AM40" s="532">
        <f t="shared" si="8"/>
        <v>1379492.6666666667</v>
      </c>
      <c r="AN40" s="532">
        <f t="shared" si="9"/>
        <v>1379492.6666666667</v>
      </c>
      <c r="AO40" s="614">
        <v>631600</v>
      </c>
      <c r="AQ40" s="614">
        <v>1473800</v>
      </c>
      <c r="AR40" s="54">
        <v>0</v>
      </c>
      <c r="AS40" s="532">
        <v>250939</v>
      </c>
      <c r="AT40" s="54">
        <v>0</v>
      </c>
      <c r="AU40" s="54">
        <v>0</v>
      </c>
      <c r="AV40" s="54">
        <v>0</v>
      </c>
      <c r="AW40" s="54">
        <v>0</v>
      </c>
      <c r="AY40" s="54">
        <v>0</v>
      </c>
      <c r="AZ40" s="614">
        <v>11400000</v>
      </c>
      <c r="BA40" s="614">
        <v>1350000</v>
      </c>
      <c r="BB40" s="614"/>
      <c r="BE40" s="614">
        <v>2020750</v>
      </c>
      <c r="BG40" s="54">
        <v>0</v>
      </c>
      <c r="BJ40" s="54">
        <v>0</v>
      </c>
      <c r="BK40" s="54">
        <v>0</v>
      </c>
      <c r="BN40" s="532">
        <v>5902869</v>
      </c>
      <c r="BO40" s="54">
        <v>0</v>
      </c>
      <c r="BP40" s="54">
        <v>0</v>
      </c>
      <c r="BQ40" s="614">
        <v>151868</v>
      </c>
      <c r="BR40" s="54">
        <v>0</v>
      </c>
      <c r="BS40" s="54">
        <v>0</v>
      </c>
      <c r="BU40" s="54">
        <v>220000</v>
      </c>
      <c r="CB40" s="532">
        <v>2000000</v>
      </c>
      <c r="CE40" s="614">
        <v>1139160</v>
      </c>
      <c r="CF40" s="54">
        <v>0</v>
      </c>
      <c r="CG40" s="54">
        <v>0</v>
      </c>
      <c r="CH40" s="54">
        <v>0</v>
      </c>
      <c r="CI40" s="54">
        <v>1660000</v>
      </c>
      <c r="CJ40" s="54">
        <v>0</v>
      </c>
      <c r="CR40" s="54">
        <v>0</v>
      </c>
      <c r="CT40" s="54">
        <v>0</v>
      </c>
      <c r="CZ40" s="614">
        <v>311284</v>
      </c>
      <c r="DA40" s="54">
        <v>0</v>
      </c>
      <c r="DF40" s="614">
        <v>5059400</v>
      </c>
      <c r="DI40" s="614">
        <v>5705950</v>
      </c>
      <c r="DN40" s="614">
        <v>2400000</v>
      </c>
      <c r="DQ40" s="614">
        <v>7683000</v>
      </c>
      <c r="DR40" s="54">
        <v>0</v>
      </c>
      <c r="DS40" s="54">
        <v>0</v>
      </c>
      <c r="DW40" s="54">
        <v>0</v>
      </c>
      <c r="EB40" s="54">
        <v>0</v>
      </c>
      <c r="EE40" s="54">
        <v>0</v>
      </c>
      <c r="EL40" s="54">
        <v>0</v>
      </c>
      <c r="EM40" s="614">
        <v>13959000</v>
      </c>
      <c r="EP40" s="614">
        <v>910000</v>
      </c>
      <c r="EQ40" s="54">
        <v>0</v>
      </c>
      <c r="ER40" s="532">
        <v>33207753</v>
      </c>
      <c r="ET40" s="614"/>
      <c r="EU40" s="54">
        <v>0</v>
      </c>
      <c r="EZ40" s="532">
        <v>0</v>
      </c>
      <c r="FA40" s="54">
        <v>0</v>
      </c>
      <c r="FE40" s="614">
        <v>1800000</v>
      </c>
      <c r="FH40" s="614">
        <v>11828966</v>
      </c>
      <c r="FI40" s="614"/>
      <c r="FJ40" s="54">
        <v>0</v>
      </c>
      <c r="FK40" s="54">
        <v>0</v>
      </c>
      <c r="FM40" s="54">
        <v>0</v>
      </c>
      <c r="FN40" s="614">
        <v>4138478</v>
      </c>
      <c r="FQ40" s="532">
        <v>650000</v>
      </c>
      <c r="FT40" s="532"/>
      <c r="FY40" s="54">
        <v>0</v>
      </c>
    </row>
    <row r="41" spans="1:183" x14ac:dyDescent="0.2">
      <c r="A41" s="439" t="s">
        <v>159</v>
      </c>
      <c r="C41" s="54">
        <v>7231355</v>
      </c>
      <c r="G41" s="532"/>
      <c r="H41" s="54">
        <v>0</v>
      </c>
      <c r="J41" s="54">
        <v>0</v>
      </c>
      <c r="K41" s="54">
        <v>0</v>
      </c>
      <c r="L41" s="54">
        <v>0</v>
      </c>
      <c r="M41" s="54">
        <v>0</v>
      </c>
      <c r="T41" s="54">
        <v>0</v>
      </c>
      <c r="W41" s="614">
        <v>856071</v>
      </c>
      <c r="AD41" s="532">
        <v>9938</v>
      </c>
      <c r="AF41" s="54">
        <v>0</v>
      </c>
      <c r="AG41" s="54">
        <v>0</v>
      </c>
      <c r="AI41" s="54">
        <v>0</v>
      </c>
      <c r="AL41" s="532">
        <f t="shared" si="7"/>
        <v>0</v>
      </c>
      <c r="AM41" s="532">
        <f t="shared" si="8"/>
        <v>0</v>
      </c>
      <c r="AN41" s="532">
        <f t="shared" si="9"/>
        <v>0</v>
      </c>
      <c r="AO41" s="54">
        <v>0</v>
      </c>
      <c r="AQ41" s="614"/>
      <c r="AR41" s="54">
        <v>0</v>
      </c>
      <c r="AT41" s="54">
        <v>0</v>
      </c>
      <c r="AU41" s="54">
        <v>0</v>
      </c>
      <c r="AV41" s="54">
        <v>0</v>
      </c>
      <c r="AW41" s="54">
        <v>0</v>
      </c>
      <c r="AY41" s="54">
        <v>0</v>
      </c>
      <c r="BG41" s="54">
        <v>0</v>
      </c>
      <c r="BJ41" s="54">
        <v>0</v>
      </c>
      <c r="BK41" s="54">
        <v>0</v>
      </c>
      <c r="BN41" s="532">
        <v>584000</v>
      </c>
      <c r="BO41" s="54">
        <v>0</v>
      </c>
      <c r="BP41" s="54">
        <v>0</v>
      </c>
      <c r="BR41" s="54">
        <v>0</v>
      </c>
      <c r="BS41" s="614">
        <v>1234175</v>
      </c>
      <c r="BT41" s="532">
        <v>3154</v>
      </c>
      <c r="BU41" s="54">
        <v>0</v>
      </c>
      <c r="BW41" s="614">
        <v>108838</v>
      </c>
      <c r="BY41" s="54">
        <v>2000000</v>
      </c>
      <c r="CE41" s="614">
        <v>1129300</v>
      </c>
      <c r="CF41" s="614">
        <v>8936550</v>
      </c>
      <c r="CG41" s="54">
        <v>0</v>
      </c>
      <c r="CH41" s="54">
        <v>0</v>
      </c>
      <c r="CJ41" s="54">
        <v>0</v>
      </c>
      <c r="CR41" s="614">
        <v>36000</v>
      </c>
      <c r="CS41" s="614">
        <v>1359000</v>
      </c>
      <c r="CT41" s="54">
        <v>0</v>
      </c>
      <c r="DA41" s="54">
        <v>0</v>
      </c>
      <c r="DB41" s="532">
        <v>510000</v>
      </c>
      <c r="DD41" s="614">
        <v>6338143</v>
      </c>
      <c r="DF41" s="54">
        <v>0</v>
      </c>
      <c r="DG41" s="614">
        <v>500000</v>
      </c>
      <c r="DH41" s="614">
        <v>7920000</v>
      </c>
      <c r="DQ41" s="614">
        <v>1020101</v>
      </c>
      <c r="DR41" s="54">
        <v>0</v>
      </c>
      <c r="DS41" s="54">
        <v>0</v>
      </c>
      <c r="DT41" s="532">
        <v>4502162</v>
      </c>
      <c r="DW41" s="54">
        <v>0</v>
      </c>
      <c r="DY41" s="54">
        <f>8980+87000</f>
        <v>95980</v>
      </c>
      <c r="EA41" s="614">
        <v>1054921</v>
      </c>
      <c r="EB41" s="54">
        <v>0</v>
      </c>
      <c r="EE41" s="54">
        <v>0</v>
      </c>
      <c r="EI41" s="532">
        <v>3182000</v>
      </c>
      <c r="EL41" s="54">
        <v>0</v>
      </c>
      <c r="EM41" s="54">
        <v>0</v>
      </c>
      <c r="EP41" s="614">
        <v>1700000</v>
      </c>
      <c r="EU41" s="614">
        <v>200000</v>
      </c>
      <c r="FA41" s="54">
        <v>0</v>
      </c>
      <c r="FJ41" s="54">
        <v>0</v>
      </c>
      <c r="FK41" s="54">
        <v>0</v>
      </c>
      <c r="FM41" s="54">
        <v>0</v>
      </c>
      <c r="FY41" s="54">
        <v>0</v>
      </c>
    </row>
    <row r="42" spans="1:183" x14ac:dyDescent="0.2">
      <c r="A42" s="439" t="s">
        <v>172</v>
      </c>
      <c r="B42" s="1587"/>
      <c r="C42" s="614"/>
      <c r="H42" s="54">
        <v>0</v>
      </c>
      <c r="L42" s="54">
        <v>0</v>
      </c>
      <c r="P42" s="1587">
        <v>3345945</v>
      </c>
      <c r="T42" s="54">
        <v>0</v>
      </c>
      <c r="V42" s="532">
        <v>28576461</v>
      </c>
      <c r="X42" s="614">
        <f>X63</f>
        <v>3847797</v>
      </c>
      <c r="AA42" s="1587"/>
      <c r="AD42" s="532">
        <v>0</v>
      </c>
      <c r="AF42" s="54">
        <v>0</v>
      </c>
      <c r="AG42" s="54">
        <v>0</v>
      </c>
      <c r="AI42" s="54">
        <v>0</v>
      </c>
      <c r="AL42" s="532">
        <f t="shared" si="7"/>
        <v>0</v>
      </c>
      <c r="AM42" s="532">
        <f t="shared" si="8"/>
        <v>0</v>
      </c>
      <c r="AN42" s="532">
        <f t="shared" si="9"/>
        <v>0</v>
      </c>
      <c r="AR42" s="54">
        <v>0</v>
      </c>
      <c r="AS42" s="1587"/>
      <c r="AU42" s="54">
        <v>0</v>
      </c>
      <c r="AV42" s="614">
        <v>30691365</v>
      </c>
      <c r="AW42" s="54">
        <v>0</v>
      </c>
      <c r="AX42" s="1587"/>
      <c r="AY42" s="54">
        <v>0</v>
      </c>
      <c r="BC42" s="1587"/>
      <c r="BG42" s="54">
        <v>0</v>
      </c>
      <c r="BJ42" s="54">
        <v>0</v>
      </c>
      <c r="BK42" s="54">
        <v>0</v>
      </c>
      <c r="BL42" s="1587">
        <v>5367423</v>
      </c>
      <c r="BM42" s="1587">
        <v>4132500</v>
      </c>
      <c r="BN42" s="1587"/>
      <c r="BO42" s="54">
        <v>0</v>
      </c>
      <c r="BP42" s="54">
        <v>0</v>
      </c>
      <c r="BR42" s="614">
        <v>5793507</v>
      </c>
      <c r="BS42" s="54">
        <v>0</v>
      </c>
      <c r="BT42" s="1587"/>
      <c r="BU42" s="54">
        <v>0</v>
      </c>
      <c r="BW42" s="54">
        <v>0</v>
      </c>
      <c r="CB42" s="1587"/>
      <c r="CF42" s="54">
        <v>0</v>
      </c>
      <c r="CJ42" s="54">
        <v>0</v>
      </c>
      <c r="CK42" s="532">
        <v>4905400</v>
      </c>
      <c r="CM42" s="1587"/>
      <c r="CN42" s="1587"/>
      <c r="CO42" s="1587"/>
      <c r="CP42" s="1587"/>
      <c r="CR42" s="614"/>
      <c r="CT42" s="54">
        <v>0</v>
      </c>
      <c r="CW42" s="1587"/>
      <c r="CX42" s="1587"/>
      <c r="DA42" s="54">
        <v>0</v>
      </c>
      <c r="DB42" s="1587"/>
      <c r="DJ42" s="1587"/>
      <c r="DS42" s="54">
        <v>0</v>
      </c>
      <c r="DT42" s="1587"/>
      <c r="DV42" s="614"/>
      <c r="DW42" s="54">
        <v>0</v>
      </c>
      <c r="EC42" s="1587"/>
      <c r="EE42" s="54">
        <v>0</v>
      </c>
      <c r="EF42" s="1587"/>
      <c r="EI42" s="1587"/>
      <c r="EL42" s="54">
        <v>0</v>
      </c>
      <c r="EM42" s="54">
        <v>0</v>
      </c>
      <c r="EP42" s="54">
        <v>0</v>
      </c>
      <c r="EU42" s="54">
        <v>0</v>
      </c>
      <c r="EV42" s="1587"/>
      <c r="EW42" s="1587"/>
      <c r="EX42" s="1587"/>
      <c r="EY42" s="1587"/>
      <c r="FA42" s="54">
        <v>0</v>
      </c>
      <c r="FD42" s="1587"/>
      <c r="FG42" s="1587"/>
      <c r="FK42" s="54">
        <v>0</v>
      </c>
      <c r="FM42" s="54">
        <v>0</v>
      </c>
      <c r="FO42" s="1587"/>
      <c r="FP42" s="1587"/>
      <c r="FQ42" s="1587"/>
      <c r="FR42" s="1587"/>
      <c r="FU42" s="1587"/>
      <c r="FV42" s="1587"/>
      <c r="FW42" s="1587"/>
      <c r="FX42" s="1587"/>
      <c r="FY42" s="54">
        <v>0</v>
      </c>
    </row>
    <row r="43" spans="1:183" x14ac:dyDescent="0.2">
      <c r="A43" s="439" t="s">
        <v>173</v>
      </c>
      <c r="B43" s="1587"/>
      <c r="H43" s="54">
        <v>0</v>
      </c>
      <c r="L43" s="54">
        <v>0</v>
      </c>
      <c r="T43" s="54">
        <v>0</v>
      </c>
      <c r="AA43" s="1587"/>
      <c r="AD43" s="532">
        <v>0</v>
      </c>
      <c r="AG43" s="54">
        <v>0</v>
      </c>
      <c r="AI43" s="54">
        <v>0</v>
      </c>
      <c r="AL43" s="532">
        <f t="shared" si="7"/>
        <v>0</v>
      </c>
      <c r="AM43" s="532">
        <f t="shared" si="8"/>
        <v>0</v>
      </c>
      <c r="AN43" s="532">
        <f t="shared" si="9"/>
        <v>0</v>
      </c>
      <c r="AR43" s="54">
        <v>0</v>
      </c>
      <c r="AS43" s="1587"/>
      <c r="AU43" s="54">
        <v>0</v>
      </c>
      <c r="AW43" s="54">
        <v>0</v>
      </c>
      <c r="AX43" s="1587"/>
      <c r="AY43" s="54">
        <v>0</v>
      </c>
      <c r="BC43" s="1587"/>
      <c r="BG43" s="54">
        <v>0</v>
      </c>
      <c r="BJ43" s="54">
        <v>0</v>
      </c>
      <c r="BK43" s="54">
        <v>0</v>
      </c>
      <c r="BL43" s="1587"/>
      <c r="BM43" s="1587"/>
      <c r="BN43" s="1587"/>
      <c r="BO43" s="54">
        <v>0</v>
      </c>
      <c r="BP43" s="54">
        <v>0</v>
      </c>
      <c r="BS43" s="54">
        <v>0</v>
      </c>
      <c r="BT43" s="1587"/>
      <c r="BU43" s="54">
        <v>0</v>
      </c>
      <c r="BW43" s="54">
        <v>0</v>
      </c>
      <c r="CB43" s="1587"/>
      <c r="CF43" s="54">
        <v>0</v>
      </c>
      <c r="CJ43" s="54">
        <v>0</v>
      </c>
      <c r="CM43" s="1587"/>
      <c r="CN43" s="1587"/>
      <c r="CO43" s="1587"/>
      <c r="CP43" s="1587"/>
      <c r="CR43" s="54">
        <v>0</v>
      </c>
      <c r="CT43" s="54">
        <v>0</v>
      </c>
      <c r="CW43" s="1587"/>
      <c r="CX43" s="1587"/>
      <c r="DA43" s="54">
        <v>0</v>
      </c>
      <c r="DB43" s="1587"/>
      <c r="DJ43" s="1587"/>
      <c r="DS43" s="54">
        <v>0</v>
      </c>
      <c r="DT43" s="1587"/>
      <c r="EC43" s="1587"/>
      <c r="EE43" s="54">
        <v>0</v>
      </c>
      <c r="EF43" s="1587"/>
      <c r="EI43" s="1587"/>
      <c r="EL43" s="54">
        <v>0</v>
      </c>
      <c r="EM43" s="54">
        <v>0</v>
      </c>
      <c r="EP43" s="54">
        <v>0</v>
      </c>
      <c r="ER43" s="606"/>
      <c r="EU43" s="54">
        <v>0</v>
      </c>
      <c r="EV43" s="1587"/>
      <c r="EW43" s="1587"/>
      <c r="EX43" s="1587"/>
      <c r="EY43" s="1587"/>
      <c r="FA43" s="54">
        <v>0</v>
      </c>
      <c r="FD43" s="1587"/>
      <c r="FG43" s="1587"/>
      <c r="FK43" s="614">
        <v>364200</v>
      </c>
      <c r="FM43" s="54">
        <v>0</v>
      </c>
      <c r="FO43" s="1587"/>
      <c r="FP43" s="1587"/>
      <c r="FQ43" s="1587"/>
      <c r="FR43" s="1587"/>
      <c r="FT43" s="54">
        <v>364200</v>
      </c>
      <c r="FU43" s="1587"/>
      <c r="FV43" s="1587"/>
      <c r="FW43" s="1587"/>
      <c r="FX43" s="1587"/>
      <c r="FY43" s="54">
        <v>0</v>
      </c>
    </row>
    <row r="44" spans="1:183" x14ac:dyDescent="0.2">
      <c r="A44" s="439" t="s">
        <v>174</v>
      </c>
      <c r="B44" s="1587"/>
      <c r="F44" s="614"/>
      <c r="H44" s="54">
        <v>0</v>
      </c>
      <c r="L44" s="54">
        <v>0</v>
      </c>
      <c r="T44" s="54">
        <v>0</v>
      </c>
      <c r="AA44" s="1587"/>
      <c r="AD44" s="532">
        <v>0</v>
      </c>
      <c r="AG44" s="54">
        <v>0</v>
      </c>
      <c r="AI44" s="54">
        <v>0</v>
      </c>
      <c r="AL44" s="532">
        <f t="shared" si="7"/>
        <v>0</v>
      </c>
      <c r="AM44" s="532">
        <f t="shared" si="8"/>
        <v>0</v>
      </c>
      <c r="AN44" s="532">
        <f t="shared" si="9"/>
        <v>0</v>
      </c>
      <c r="AR44" s="54">
        <v>0</v>
      </c>
      <c r="AS44" s="1587"/>
      <c r="AU44" s="54">
        <v>0</v>
      </c>
      <c r="AW44" s="54">
        <v>0</v>
      </c>
      <c r="AX44" s="1587"/>
      <c r="AY44" s="54">
        <v>0</v>
      </c>
      <c r="BC44" s="1587"/>
      <c r="BG44" s="54">
        <v>0</v>
      </c>
      <c r="BJ44" s="54">
        <v>0</v>
      </c>
      <c r="BK44" s="54">
        <v>0</v>
      </c>
      <c r="BL44" s="1587"/>
      <c r="BM44" s="1587"/>
      <c r="BN44" s="1587"/>
      <c r="BO44" s="54">
        <v>0</v>
      </c>
      <c r="BP44" s="54">
        <v>0</v>
      </c>
      <c r="BS44" s="54">
        <v>0</v>
      </c>
      <c r="BT44" s="1587"/>
      <c r="BU44" s="54">
        <v>0</v>
      </c>
      <c r="BW44" s="54">
        <v>0</v>
      </c>
      <c r="CB44" s="1587"/>
      <c r="CF44" s="1587"/>
      <c r="CJ44" s="54">
        <v>0</v>
      </c>
      <c r="CM44" s="1587"/>
      <c r="CN44" s="1587"/>
      <c r="CO44" s="1587"/>
      <c r="CP44" s="1587"/>
      <c r="CR44" s="54">
        <v>0</v>
      </c>
      <c r="CT44" s="54">
        <v>0</v>
      </c>
      <c r="CW44" s="1587"/>
      <c r="CX44" s="1587"/>
      <c r="DA44" s="54">
        <v>0</v>
      </c>
      <c r="DB44" s="1587"/>
      <c r="DJ44" s="1587"/>
      <c r="DS44" s="54">
        <v>0</v>
      </c>
      <c r="DT44" s="1587"/>
      <c r="EC44" s="1587"/>
      <c r="EE44" s="54">
        <v>0</v>
      </c>
      <c r="EF44" s="1587"/>
      <c r="EI44" s="1587"/>
      <c r="EL44" s="54">
        <v>0</v>
      </c>
      <c r="EM44" s="54">
        <v>0</v>
      </c>
      <c r="EP44" s="54">
        <v>0</v>
      </c>
      <c r="EU44" s="54">
        <v>0</v>
      </c>
      <c r="EV44" s="1587"/>
      <c r="EW44" s="1587"/>
      <c r="EX44" s="1587"/>
      <c r="EY44" s="1587"/>
      <c r="FA44" s="54">
        <v>0</v>
      </c>
      <c r="FD44" s="1587"/>
      <c r="FG44" s="1587"/>
      <c r="FK44" s="614">
        <v>323000</v>
      </c>
      <c r="FM44" s="54">
        <v>0</v>
      </c>
      <c r="FO44" s="1587"/>
      <c r="FP44" s="1587"/>
      <c r="FQ44" s="1587"/>
      <c r="FR44" s="1587"/>
      <c r="FT44" s="54">
        <v>323000</v>
      </c>
      <c r="FU44" s="1587"/>
      <c r="FV44" s="1587"/>
      <c r="FW44" s="1587"/>
      <c r="FX44" s="1587"/>
      <c r="FY44" s="54">
        <v>0</v>
      </c>
    </row>
    <row r="45" spans="1:183" x14ac:dyDescent="0.2">
      <c r="A45" s="439" t="s">
        <v>175</v>
      </c>
      <c r="E45" s="614">
        <v>311100</v>
      </c>
      <c r="F45" s="532">
        <v>4879046</v>
      </c>
      <c r="H45" s="614">
        <v>1219900</v>
      </c>
      <c r="L45" s="54">
        <v>0</v>
      </c>
      <c r="S45" s="532"/>
      <c r="T45" s="54">
        <v>0</v>
      </c>
      <c r="U45" s="54">
        <v>1861524</v>
      </c>
      <c r="Z45" s="614">
        <v>2004435</v>
      </c>
      <c r="AD45" s="532">
        <v>0</v>
      </c>
      <c r="AG45" s="54">
        <v>0</v>
      </c>
      <c r="AI45" s="54">
        <v>0</v>
      </c>
      <c r="AL45" s="532">
        <f t="shared" si="7"/>
        <v>0</v>
      </c>
      <c r="AM45" s="532">
        <f t="shared" si="8"/>
        <v>0</v>
      </c>
      <c r="AN45" s="532">
        <f t="shared" si="9"/>
        <v>0</v>
      </c>
      <c r="AR45" s="54">
        <v>0</v>
      </c>
      <c r="AU45" s="54">
        <v>0</v>
      </c>
      <c r="AY45" s="54">
        <v>0</v>
      </c>
      <c r="BG45" s="54">
        <v>0</v>
      </c>
      <c r="BJ45" s="54">
        <v>0</v>
      </c>
      <c r="BK45" s="54">
        <v>0</v>
      </c>
      <c r="BP45" s="54">
        <v>0</v>
      </c>
      <c r="BS45" s="54">
        <v>0</v>
      </c>
      <c r="BU45" s="54">
        <v>0</v>
      </c>
      <c r="BW45" s="54">
        <v>0</v>
      </c>
      <c r="CA45" s="532">
        <f>4800000+5800000</f>
        <v>10600000</v>
      </c>
      <c r="CD45" s="532">
        <f>1293370+161820</f>
        <v>1455190</v>
      </c>
      <c r="CF45" s="54">
        <v>0</v>
      </c>
      <c r="CJ45" s="54">
        <v>0</v>
      </c>
      <c r="CR45" s="54">
        <v>0</v>
      </c>
      <c r="CT45" s="54">
        <v>0</v>
      </c>
      <c r="DA45" s="54">
        <v>0</v>
      </c>
      <c r="DS45" s="54">
        <v>0</v>
      </c>
      <c r="EE45" s="54">
        <v>0</v>
      </c>
      <c r="EL45" s="54">
        <v>0</v>
      </c>
      <c r="EM45" s="54">
        <v>0</v>
      </c>
      <c r="EP45" s="54">
        <v>0</v>
      </c>
      <c r="EU45" s="54">
        <v>0</v>
      </c>
      <c r="FA45" s="54">
        <v>0</v>
      </c>
      <c r="FM45" s="54">
        <v>0</v>
      </c>
      <c r="FX45" s="532">
        <v>1341630</v>
      </c>
      <c r="FY45" s="54">
        <v>0</v>
      </c>
    </row>
    <row r="46" spans="1:183" x14ac:dyDescent="0.2">
      <c r="A46" s="439" t="s">
        <v>176</v>
      </c>
      <c r="L46" s="54">
        <v>0</v>
      </c>
      <c r="T46" s="614">
        <v>1854420</v>
      </c>
      <c r="AD46" s="532">
        <v>0</v>
      </c>
      <c r="AI46" s="54">
        <v>0</v>
      </c>
      <c r="AL46" s="532">
        <f t="shared" si="7"/>
        <v>0</v>
      </c>
      <c r="AM46" s="532">
        <f t="shared" si="8"/>
        <v>0</v>
      </c>
      <c r="AN46" s="532">
        <f t="shared" si="9"/>
        <v>0</v>
      </c>
      <c r="AU46" s="54">
        <v>0</v>
      </c>
      <c r="BS46" s="54">
        <v>0</v>
      </c>
      <c r="BU46" s="54">
        <v>0</v>
      </c>
      <c r="BW46" s="54">
        <v>0</v>
      </c>
      <c r="CF46" s="54">
        <v>0</v>
      </c>
      <c r="CR46" s="54">
        <v>0</v>
      </c>
      <c r="CT46" s="54">
        <v>0</v>
      </c>
      <c r="DA46" s="54">
        <v>0</v>
      </c>
      <c r="DS46" s="54">
        <v>0</v>
      </c>
      <c r="EE46" s="54">
        <v>0</v>
      </c>
      <c r="EL46" s="54">
        <v>0</v>
      </c>
      <c r="EM46" s="54">
        <v>0</v>
      </c>
      <c r="EP46" s="54">
        <v>0</v>
      </c>
      <c r="EU46" s="54">
        <v>0</v>
      </c>
      <c r="FA46" s="54">
        <v>0</v>
      </c>
      <c r="FM46" s="54">
        <v>0</v>
      </c>
      <c r="FU46" s="532">
        <v>5147735</v>
      </c>
      <c r="FY46" s="54">
        <v>0</v>
      </c>
    </row>
    <row r="47" spans="1:183" x14ac:dyDescent="0.2">
      <c r="A47" s="439" t="s">
        <v>177</v>
      </c>
      <c r="L47" s="54">
        <v>0</v>
      </c>
      <c r="T47" s="614">
        <v>555881</v>
      </c>
      <c r="AI47" s="54">
        <v>0</v>
      </c>
      <c r="AL47" s="532">
        <f t="shared" si="7"/>
        <v>0</v>
      </c>
      <c r="AM47" s="532">
        <f t="shared" si="8"/>
        <v>0</v>
      </c>
      <c r="AN47" s="532">
        <f t="shared" si="9"/>
        <v>0</v>
      </c>
      <c r="BS47" s="54">
        <v>0</v>
      </c>
      <c r="BU47" s="54">
        <v>0</v>
      </c>
      <c r="BW47" s="54">
        <v>0</v>
      </c>
      <c r="CR47" s="54">
        <v>0</v>
      </c>
      <c r="CT47" s="54">
        <v>0</v>
      </c>
      <c r="DA47" s="54">
        <v>0</v>
      </c>
      <c r="EL47" s="54">
        <v>0</v>
      </c>
      <c r="EM47" s="54">
        <v>0</v>
      </c>
      <c r="FA47" s="54">
        <v>0</v>
      </c>
      <c r="FM47" s="54">
        <v>0</v>
      </c>
    </row>
    <row r="48" spans="1:183" x14ac:dyDescent="0.2">
      <c r="A48" s="439" t="s">
        <v>178</v>
      </c>
      <c r="L48" s="54">
        <v>0</v>
      </c>
      <c r="T48" s="614">
        <v>42091</v>
      </c>
      <c r="AI48" s="54">
        <v>0</v>
      </c>
      <c r="AL48" s="532">
        <f t="shared" si="7"/>
        <v>0</v>
      </c>
      <c r="AM48" s="532">
        <f t="shared" si="8"/>
        <v>0</v>
      </c>
      <c r="AN48" s="532">
        <f t="shared" si="9"/>
        <v>0</v>
      </c>
      <c r="BS48" s="54">
        <v>0</v>
      </c>
      <c r="BU48" s="54">
        <v>0</v>
      </c>
      <c r="BW48" s="54">
        <v>0</v>
      </c>
      <c r="CR48" s="54">
        <v>0</v>
      </c>
      <c r="CT48" s="54">
        <v>0</v>
      </c>
      <c r="DA48" s="54">
        <v>0</v>
      </c>
      <c r="EL48" s="54">
        <v>0</v>
      </c>
      <c r="EM48" s="54">
        <v>0</v>
      </c>
      <c r="FA48" s="54">
        <v>0</v>
      </c>
      <c r="FM48" s="54">
        <v>0</v>
      </c>
    </row>
    <row r="49" spans="1:183" x14ac:dyDescent="0.2">
      <c r="A49" s="439" t="s">
        <v>179</v>
      </c>
      <c r="L49" s="54">
        <v>0</v>
      </c>
      <c r="T49" s="614">
        <v>3460632</v>
      </c>
      <c r="AI49" s="54">
        <v>0</v>
      </c>
      <c r="AL49" s="532">
        <f t="shared" si="7"/>
        <v>0</v>
      </c>
      <c r="AM49" s="532">
        <f t="shared" si="8"/>
        <v>0</v>
      </c>
      <c r="AN49" s="532">
        <f t="shared" si="9"/>
        <v>0</v>
      </c>
      <c r="BS49" s="54">
        <v>0</v>
      </c>
      <c r="BU49" s="54">
        <v>0</v>
      </c>
      <c r="BW49" s="54">
        <v>0</v>
      </c>
      <c r="CR49" s="54">
        <v>0</v>
      </c>
      <c r="DA49" s="54">
        <v>0</v>
      </c>
      <c r="EL49" s="54">
        <v>0</v>
      </c>
      <c r="EM49" s="54">
        <v>0</v>
      </c>
      <c r="FA49" s="54">
        <v>0</v>
      </c>
      <c r="FM49" s="54">
        <v>0</v>
      </c>
    </row>
    <row r="50" spans="1:183" x14ac:dyDescent="0.2">
      <c r="A50" s="439" t="s">
        <v>180</v>
      </c>
      <c r="B50" s="1587"/>
      <c r="L50" s="54">
        <v>0</v>
      </c>
      <c r="AA50" s="1587"/>
      <c r="AL50" s="532">
        <f t="shared" si="7"/>
        <v>0</v>
      </c>
      <c r="AM50" s="532">
        <f t="shared" si="8"/>
        <v>0</v>
      </c>
      <c r="AN50" s="532">
        <f t="shared" si="9"/>
        <v>0</v>
      </c>
      <c r="AO50" s="54">
        <v>1081680</v>
      </c>
      <c r="AP50" s="532">
        <v>4364703</v>
      </c>
      <c r="AQ50" s="1587">
        <v>2506563</v>
      </c>
      <c r="AS50" s="1587"/>
      <c r="AX50" s="1587"/>
      <c r="BC50" s="1587"/>
      <c r="BL50" s="1587"/>
      <c r="BM50" s="1587"/>
      <c r="BN50" s="1587"/>
      <c r="BS50" s="54">
        <v>0</v>
      </c>
      <c r="BT50" s="1587"/>
      <c r="BU50" s="54">
        <v>0</v>
      </c>
      <c r="BW50" s="54">
        <v>0</v>
      </c>
      <c r="BX50" s="532">
        <v>4649102</v>
      </c>
      <c r="CB50" s="1587"/>
      <c r="CM50" s="1587"/>
      <c r="CN50" s="1587"/>
      <c r="CO50" s="1587"/>
      <c r="CP50" s="1587"/>
      <c r="CW50" s="1587"/>
      <c r="CX50" s="1587"/>
      <c r="DA50" s="54">
        <v>0</v>
      </c>
      <c r="DB50" s="1587"/>
      <c r="DJ50" s="1587"/>
      <c r="DT50" s="1587"/>
      <c r="EA50" s="532">
        <f>141826*1000</f>
        <v>141826000</v>
      </c>
      <c r="EC50" s="1587"/>
      <c r="EF50" s="1587"/>
      <c r="EI50" s="1587"/>
      <c r="EV50" s="1587"/>
      <c r="EW50" s="1587"/>
      <c r="EX50" s="1587"/>
      <c r="EY50" s="1587"/>
      <c r="FD50" s="1587"/>
      <c r="FG50" s="1587"/>
      <c r="FM50" s="54">
        <v>0</v>
      </c>
      <c r="FO50" s="1587"/>
      <c r="FP50" s="1587"/>
      <c r="FQ50" s="1587"/>
      <c r="FR50" s="1587"/>
      <c r="FU50" s="1587"/>
      <c r="FV50" s="1587"/>
      <c r="FW50" s="1587"/>
      <c r="FX50" s="1587"/>
    </row>
    <row r="51" spans="1:183" x14ac:dyDescent="0.2">
      <c r="A51" s="439" t="s">
        <v>181</v>
      </c>
      <c r="B51" s="1587"/>
      <c r="L51" s="54">
        <v>0</v>
      </c>
      <c r="T51" s="54">
        <v>0</v>
      </c>
      <c r="V51" s="614"/>
      <c r="AA51" s="1587"/>
      <c r="AG51" s="54">
        <v>0</v>
      </c>
      <c r="AI51" s="54">
        <v>0</v>
      </c>
      <c r="AL51" s="532">
        <f t="shared" si="7"/>
        <v>0</v>
      </c>
      <c r="AM51" s="532">
        <f t="shared" si="8"/>
        <v>0</v>
      </c>
      <c r="AN51" s="532">
        <f t="shared" si="9"/>
        <v>0</v>
      </c>
      <c r="AO51" s="614"/>
      <c r="AR51" s="614">
        <v>2931557</v>
      </c>
      <c r="AS51" s="1587"/>
      <c r="AX51" s="1587"/>
      <c r="AY51" s="54">
        <v>0</v>
      </c>
      <c r="BC51" s="1587"/>
      <c r="BG51" s="54">
        <v>0</v>
      </c>
      <c r="BJ51" s="54">
        <v>0</v>
      </c>
      <c r="BK51" s="54">
        <v>0</v>
      </c>
      <c r="BL51" s="1587"/>
      <c r="BM51" s="1587"/>
      <c r="BN51" s="1587"/>
      <c r="BP51" s="54">
        <v>0</v>
      </c>
      <c r="BS51" s="54">
        <v>0</v>
      </c>
      <c r="BT51" s="1587"/>
      <c r="BU51" s="54">
        <v>0</v>
      </c>
      <c r="BW51" s="54">
        <v>0</v>
      </c>
      <c r="CB51" s="1587"/>
      <c r="CM51" s="1587"/>
      <c r="CN51" s="1587"/>
      <c r="CO51" s="1587"/>
      <c r="CP51" s="1587"/>
      <c r="CR51" s="54">
        <v>0</v>
      </c>
      <c r="CT51" s="54">
        <v>0</v>
      </c>
      <c r="CW51" s="1587"/>
      <c r="CX51" s="1587"/>
      <c r="DA51" s="54">
        <v>0</v>
      </c>
      <c r="DB51" s="1587"/>
      <c r="DH51" s="614"/>
      <c r="DJ51" s="1587"/>
      <c r="DT51" s="1587"/>
      <c r="EC51" s="1587"/>
      <c r="EF51" s="1587"/>
      <c r="EI51" s="1587"/>
      <c r="EL51" s="614">
        <v>5300000</v>
      </c>
      <c r="EM51" s="54">
        <v>0</v>
      </c>
      <c r="EV51" s="1587"/>
      <c r="EW51" s="1587"/>
      <c r="EX51" s="1587"/>
      <c r="EY51" s="1587"/>
      <c r="FA51" s="54">
        <v>0</v>
      </c>
      <c r="FD51" s="1587"/>
      <c r="FG51" s="1587"/>
      <c r="FJ51" s="614">
        <v>5367423</v>
      </c>
      <c r="FM51" s="54">
        <v>0</v>
      </c>
      <c r="FO51" s="1587"/>
      <c r="FP51" s="1587"/>
      <c r="FQ51" s="1587"/>
      <c r="FR51" s="1587"/>
      <c r="FU51" s="1587"/>
      <c r="FV51" s="1587"/>
      <c r="FW51" s="1587"/>
      <c r="FX51" s="1587"/>
    </row>
    <row r="52" spans="1:183" x14ac:dyDescent="0.2">
      <c r="A52" s="439" t="s">
        <v>164</v>
      </c>
      <c r="B52" s="614">
        <f t="shared" ref="B52:AT52" si="10">SUM(B35:B51)</f>
        <v>21631751</v>
      </c>
      <c r="C52" s="614">
        <f t="shared" si="10"/>
        <v>20526569</v>
      </c>
      <c r="D52" s="614">
        <f t="shared" si="10"/>
        <v>50776000</v>
      </c>
      <c r="E52" s="614">
        <f t="shared" si="10"/>
        <v>9790866</v>
      </c>
      <c r="F52" s="614">
        <f t="shared" si="10"/>
        <v>10388754</v>
      </c>
      <c r="G52" s="614">
        <f t="shared" si="10"/>
        <v>17241205</v>
      </c>
      <c r="H52" s="614">
        <f t="shared" si="10"/>
        <v>9040521</v>
      </c>
      <c r="I52" s="614">
        <f t="shared" si="10"/>
        <v>49247950</v>
      </c>
      <c r="J52" s="614">
        <f t="shared" si="10"/>
        <v>15274950</v>
      </c>
      <c r="K52" s="614">
        <f t="shared" si="10"/>
        <v>12248650</v>
      </c>
      <c r="L52" s="614">
        <f t="shared" si="10"/>
        <v>11535501</v>
      </c>
      <c r="M52" s="614">
        <f t="shared" si="10"/>
        <v>5354788</v>
      </c>
      <c r="N52" s="614">
        <f t="shared" si="10"/>
        <v>13760282</v>
      </c>
      <c r="O52" s="614">
        <f t="shared" si="10"/>
        <v>42405447</v>
      </c>
      <c r="P52" s="614">
        <f t="shared" si="10"/>
        <v>14129802</v>
      </c>
      <c r="Q52" s="614">
        <f t="shared" si="10"/>
        <v>9679659</v>
      </c>
      <c r="R52" s="614">
        <f t="shared" si="10"/>
        <v>13198258</v>
      </c>
      <c r="S52" s="614">
        <f t="shared" si="10"/>
        <v>17212000</v>
      </c>
      <c r="T52" s="614">
        <f t="shared" si="10"/>
        <v>16330940</v>
      </c>
      <c r="U52" s="614">
        <f t="shared" si="10"/>
        <v>18301114</v>
      </c>
      <c r="V52" s="614">
        <f t="shared" si="10"/>
        <v>40636801</v>
      </c>
      <c r="W52" s="614">
        <f t="shared" si="10"/>
        <v>30662551</v>
      </c>
      <c r="X52" s="614">
        <f t="shared" si="10"/>
        <v>15093197</v>
      </c>
      <c r="Y52" s="614">
        <f t="shared" si="10"/>
        <v>11251702</v>
      </c>
      <c r="Z52" s="614">
        <f t="shared" si="10"/>
        <v>37023167</v>
      </c>
      <c r="AA52" s="614">
        <f t="shared" si="10"/>
        <v>3761407</v>
      </c>
      <c r="AB52" s="614">
        <f t="shared" si="10"/>
        <v>21307498</v>
      </c>
      <c r="AC52" s="614">
        <f t="shared" si="10"/>
        <v>101109155</v>
      </c>
      <c r="AD52" s="532">
        <f t="shared" si="10"/>
        <v>15200769</v>
      </c>
      <c r="AE52" s="614">
        <f t="shared" si="10"/>
        <v>24408823</v>
      </c>
      <c r="AF52" s="614">
        <f t="shared" si="10"/>
        <v>13641209</v>
      </c>
      <c r="AG52" s="614">
        <f t="shared" si="10"/>
        <v>27309804</v>
      </c>
      <c r="AH52" s="614">
        <f t="shared" si="10"/>
        <v>66267064</v>
      </c>
      <c r="AI52" s="614">
        <f t="shared" si="10"/>
        <v>49541100</v>
      </c>
      <c r="AJ52" s="614">
        <f t="shared" si="10"/>
        <v>90723750</v>
      </c>
      <c r="AK52" s="614">
        <f>SUM(AK35:AK51)</f>
        <v>40338112</v>
      </c>
      <c r="AL52" s="532">
        <f t="shared" si="10"/>
        <v>16174760.333333332</v>
      </c>
      <c r="AM52" s="532">
        <f t="shared" si="10"/>
        <v>16174760.333333332</v>
      </c>
      <c r="AN52" s="532">
        <f t="shared" si="10"/>
        <v>16174760.333333332</v>
      </c>
      <c r="AO52" s="614">
        <f t="shared" si="10"/>
        <v>24627490</v>
      </c>
      <c r="AP52" s="614">
        <f t="shared" si="10"/>
        <v>20944419</v>
      </c>
      <c r="AQ52" s="614">
        <f t="shared" si="10"/>
        <v>25479753</v>
      </c>
      <c r="AR52" s="614">
        <f t="shared" si="10"/>
        <v>38843417</v>
      </c>
      <c r="AS52" s="614">
        <f t="shared" si="10"/>
        <v>30100299</v>
      </c>
      <c r="AT52" s="614">
        <f t="shared" si="10"/>
        <v>12423924</v>
      </c>
      <c r="AU52" s="614">
        <v>40910201</v>
      </c>
      <c r="AV52" s="614">
        <f t="shared" ref="AV52:DG52" si="11">SUM(AV35:AV51)</f>
        <v>54950603</v>
      </c>
      <c r="AW52" s="614">
        <f t="shared" si="11"/>
        <v>20703699</v>
      </c>
      <c r="AX52" s="614">
        <f t="shared" si="11"/>
        <v>11516473</v>
      </c>
      <c r="AY52" s="614">
        <f t="shared" si="11"/>
        <v>15419660</v>
      </c>
      <c r="AZ52" s="614">
        <f t="shared" si="11"/>
        <v>111561770</v>
      </c>
      <c r="BA52" s="614">
        <f t="shared" si="11"/>
        <v>15013451</v>
      </c>
      <c r="BB52" s="614">
        <f t="shared" si="11"/>
        <v>9633892</v>
      </c>
      <c r="BC52" s="614">
        <f t="shared" si="11"/>
        <v>7958391</v>
      </c>
      <c r="BD52" s="614">
        <f t="shared" si="11"/>
        <v>19952313</v>
      </c>
      <c r="BE52" s="614">
        <f t="shared" si="11"/>
        <v>16213454</v>
      </c>
      <c r="BF52" s="614">
        <f t="shared" si="11"/>
        <v>16750082</v>
      </c>
      <c r="BG52" s="614">
        <f t="shared" si="11"/>
        <v>42114399</v>
      </c>
      <c r="BH52" s="614">
        <f t="shared" si="11"/>
        <v>12116114</v>
      </c>
      <c r="BI52" s="614">
        <f t="shared" si="11"/>
        <v>29153943</v>
      </c>
      <c r="BJ52" s="614">
        <f t="shared" si="11"/>
        <v>7508198</v>
      </c>
      <c r="BK52" s="614">
        <f t="shared" si="11"/>
        <v>53447635</v>
      </c>
      <c r="BL52" s="614">
        <f t="shared" si="11"/>
        <v>11306923</v>
      </c>
      <c r="BM52" s="614">
        <f t="shared" si="11"/>
        <v>18819604</v>
      </c>
      <c r="BN52" s="614">
        <f t="shared" si="11"/>
        <v>94010824</v>
      </c>
      <c r="BO52" s="614">
        <f t="shared" si="11"/>
        <v>65256599</v>
      </c>
      <c r="BP52" s="614">
        <f t="shared" si="11"/>
        <v>26597083</v>
      </c>
      <c r="BQ52" s="614">
        <f t="shared" si="11"/>
        <v>25537943</v>
      </c>
      <c r="BR52" s="614">
        <f t="shared" si="11"/>
        <v>25231983</v>
      </c>
      <c r="BS52" s="614">
        <f t="shared" si="11"/>
        <v>44275390</v>
      </c>
      <c r="BT52" s="614">
        <f t="shared" si="11"/>
        <v>33110004</v>
      </c>
      <c r="BU52" s="614">
        <f t="shared" si="11"/>
        <v>37928690</v>
      </c>
      <c r="BV52" s="532">
        <f>SUM(BV35:BV51)</f>
        <v>27230520</v>
      </c>
      <c r="BW52" s="614">
        <f t="shared" si="11"/>
        <v>43180052</v>
      </c>
      <c r="BX52" s="614">
        <f t="shared" si="11"/>
        <v>16538522</v>
      </c>
      <c r="BY52" s="614">
        <f>SUM(BY35:BY51)</f>
        <v>76341571</v>
      </c>
      <c r="BZ52" s="614">
        <f>SUM(BZ35:BZ51)</f>
        <v>0</v>
      </c>
      <c r="CA52" s="614">
        <f t="shared" si="11"/>
        <v>78080846</v>
      </c>
      <c r="CB52" s="614">
        <f t="shared" si="11"/>
        <v>48438669</v>
      </c>
      <c r="CC52" s="614">
        <f t="shared" si="11"/>
        <v>37722254</v>
      </c>
      <c r="CD52" s="614">
        <f t="shared" si="11"/>
        <v>18141061</v>
      </c>
      <c r="CE52" s="614">
        <f t="shared" si="11"/>
        <v>552944522</v>
      </c>
      <c r="CF52" s="614">
        <f t="shared" si="11"/>
        <v>70030802</v>
      </c>
      <c r="CG52" s="614">
        <f t="shared" si="11"/>
        <v>6296218</v>
      </c>
      <c r="CH52" s="614">
        <f t="shared" si="11"/>
        <v>21572850</v>
      </c>
      <c r="CI52" s="614">
        <f t="shared" si="11"/>
        <v>18327148</v>
      </c>
      <c r="CJ52" s="614">
        <f t="shared" si="11"/>
        <v>12513312</v>
      </c>
      <c r="CK52" s="614">
        <f t="shared" si="11"/>
        <v>47546626</v>
      </c>
      <c r="CL52" s="614">
        <f t="shared" si="11"/>
        <v>0</v>
      </c>
      <c r="CM52" s="614">
        <f t="shared" si="11"/>
        <v>129033117</v>
      </c>
      <c r="CN52" s="614">
        <f>SUM(CN35:CN51)</f>
        <v>23105576</v>
      </c>
      <c r="CO52" s="614">
        <f>SUM(CO35:CO51)</f>
        <v>42067058</v>
      </c>
      <c r="CP52" s="614">
        <f>SUM(CP35:CP51)</f>
        <v>0</v>
      </c>
      <c r="CQ52" s="614">
        <f t="shared" si="11"/>
        <v>36155580</v>
      </c>
      <c r="CR52" s="614">
        <f t="shared" si="11"/>
        <v>41915844</v>
      </c>
      <c r="CS52" s="614">
        <f t="shared" si="11"/>
        <v>15046000</v>
      </c>
      <c r="CT52" s="614">
        <f t="shared" si="11"/>
        <v>37177348</v>
      </c>
      <c r="CU52" s="614">
        <f t="shared" si="11"/>
        <v>28819540</v>
      </c>
      <c r="CV52" s="614">
        <f>SUM(CV35:CV51)</f>
        <v>31491910</v>
      </c>
      <c r="CW52" s="614">
        <f t="shared" si="11"/>
        <v>32795473</v>
      </c>
      <c r="CX52" s="614">
        <f t="shared" si="11"/>
        <v>9063325</v>
      </c>
      <c r="CY52" s="614">
        <f t="shared" si="11"/>
        <v>23715043</v>
      </c>
      <c r="CZ52" s="614">
        <f t="shared" si="11"/>
        <v>355072441</v>
      </c>
      <c r="DA52" s="614">
        <f t="shared" si="11"/>
        <v>75664470</v>
      </c>
      <c r="DB52" s="614">
        <f t="shared" si="11"/>
        <v>40290920</v>
      </c>
      <c r="DC52" s="614">
        <f t="shared" si="11"/>
        <v>22251420</v>
      </c>
      <c r="DD52" s="614">
        <f t="shared" si="11"/>
        <v>219844952</v>
      </c>
      <c r="DE52" s="614">
        <f t="shared" si="11"/>
        <v>28509535</v>
      </c>
      <c r="DF52" s="614">
        <f t="shared" si="11"/>
        <v>137364730</v>
      </c>
      <c r="DG52" s="614">
        <f t="shared" si="11"/>
        <v>242548157</v>
      </c>
      <c r="DH52" s="614">
        <f t="shared" ref="DH52:FH52" si="12">SUM(DH35:DH51)</f>
        <v>209313750</v>
      </c>
      <c r="DI52" s="614">
        <f t="shared" si="12"/>
        <v>114941477</v>
      </c>
      <c r="DJ52" s="614">
        <f t="shared" si="12"/>
        <v>618019040</v>
      </c>
      <c r="DK52" s="614">
        <f t="shared" si="12"/>
        <v>166837771</v>
      </c>
      <c r="DL52" s="614">
        <f t="shared" si="12"/>
        <v>47711475</v>
      </c>
      <c r="DM52" s="614">
        <f t="shared" si="12"/>
        <v>86446162</v>
      </c>
      <c r="DN52" s="614">
        <f t="shared" si="12"/>
        <v>36925088</v>
      </c>
      <c r="DO52" s="614">
        <f>SUM(DO35:DO51)</f>
        <v>33649150</v>
      </c>
      <c r="DP52" s="614">
        <f t="shared" si="12"/>
        <v>18361532</v>
      </c>
      <c r="DQ52" s="614">
        <f t="shared" si="12"/>
        <v>227433541</v>
      </c>
      <c r="DR52" s="614">
        <f t="shared" si="12"/>
        <v>4362400</v>
      </c>
      <c r="DS52" s="614">
        <f t="shared" si="12"/>
        <v>20222017</v>
      </c>
      <c r="DT52" s="614">
        <f>SUM(DT35:DT51)</f>
        <v>17298424</v>
      </c>
      <c r="DU52" s="614">
        <f t="shared" si="12"/>
        <v>58225606</v>
      </c>
      <c r="DV52" s="614">
        <f>SUM(DV35:DV51)</f>
        <v>31549855</v>
      </c>
      <c r="DW52" s="614">
        <f t="shared" si="12"/>
        <v>55811093</v>
      </c>
      <c r="DX52" s="614">
        <f t="shared" si="12"/>
        <v>126280156</v>
      </c>
      <c r="DY52" s="614">
        <f t="shared" si="12"/>
        <v>121530775</v>
      </c>
      <c r="DZ52" s="614">
        <f>SUM(DZ35:DZ51)</f>
        <v>4360435</v>
      </c>
      <c r="EA52" s="614">
        <f t="shared" si="12"/>
        <v>1260628224</v>
      </c>
      <c r="EB52" s="614">
        <f t="shared" si="12"/>
        <v>13065729</v>
      </c>
      <c r="EC52" s="614">
        <f t="shared" si="12"/>
        <v>35946960</v>
      </c>
      <c r="ED52" s="614">
        <f t="shared" si="12"/>
        <v>137317293</v>
      </c>
      <c r="EE52" s="614">
        <f t="shared" si="12"/>
        <v>9700030</v>
      </c>
      <c r="EF52" s="614">
        <f t="shared" si="12"/>
        <v>8326980</v>
      </c>
      <c r="EG52" s="614">
        <f t="shared" si="12"/>
        <v>25074225</v>
      </c>
      <c r="EH52" s="614">
        <f t="shared" si="12"/>
        <v>180446138</v>
      </c>
      <c r="EI52" s="614">
        <f t="shared" si="12"/>
        <v>276362054</v>
      </c>
      <c r="EJ52" s="614">
        <f t="shared" si="12"/>
        <v>48824103</v>
      </c>
      <c r="EK52" s="614">
        <f t="shared" si="12"/>
        <v>21230250</v>
      </c>
      <c r="EL52" s="614">
        <f t="shared" si="12"/>
        <v>19417750</v>
      </c>
      <c r="EM52" s="614">
        <f t="shared" si="12"/>
        <v>62398950</v>
      </c>
      <c r="EN52" s="614">
        <f t="shared" si="12"/>
        <v>38879000</v>
      </c>
      <c r="EO52" s="614">
        <f>SUM(EO35:EO51)</f>
        <v>7825760</v>
      </c>
      <c r="EP52" s="614">
        <f t="shared" si="12"/>
        <v>208104000</v>
      </c>
      <c r="EQ52" s="614">
        <f t="shared" si="12"/>
        <v>80127697</v>
      </c>
      <c r="ER52" s="614">
        <f t="shared" si="12"/>
        <v>185674634</v>
      </c>
      <c r="ES52" s="614">
        <f t="shared" si="12"/>
        <v>40262006</v>
      </c>
      <c r="ET52" s="614">
        <f>SUM(ET35:ET51)</f>
        <v>41139574</v>
      </c>
      <c r="EU52" s="614">
        <f t="shared" si="12"/>
        <v>428960932</v>
      </c>
      <c r="EV52" s="614">
        <f t="shared" si="12"/>
        <v>42399731</v>
      </c>
      <c r="EW52" s="614">
        <f t="shared" si="12"/>
        <v>77633716</v>
      </c>
      <c r="EX52" s="614">
        <f t="shared" si="12"/>
        <v>58588050</v>
      </c>
      <c r="EY52" s="614">
        <f t="shared" si="12"/>
        <v>49163134</v>
      </c>
      <c r="EZ52" s="614">
        <f t="shared" si="12"/>
        <v>30576306</v>
      </c>
      <c r="FA52" s="614">
        <f t="shared" si="12"/>
        <v>71011236</v>
      </c>
      <c r="FB52" s="614">
        <f t="shared" si="12"/>
        <v>37067750</v>
      </c>
      <c r="FC52" s="614">
        <f t="shared" si="12"/>
        <v>22071384</v>
      </c>
      <c r="FD52" s="614">
        <f t="shared" si="12"/>
        <v>35792100</v>
      </c>
      <c r="FE52" s="614">
        <f t="shared" si="12"/>
        <v>32682112</v>
      </c>
      <c r="FF52" s="614">
        <f t="shared" si="12"/>
        <v>16011050</v>
      </c>
      <c r="FG52" s="614">
        <f t="shared" si="12"/>
        <v>18746240</v>
      </c>
      <c r="FH52" s="614">
        <f t="shared" si="12"/>
        <v>229893826</v>
      </c>
      <c r="FI52" s="614"/>
      <c r="FJ52" s="614">
        <f t="shared" ref="FJ52:GA52" si="13">SUM(FJ35:FJ51)</f>
        <v>11306923</v>
      </c>
      <c r="FK52" s="614">
        <f t="shared" si="13"/>
        <v>10116144</v>
      </c>
      <c r="FL52" s="614">
        <f t="shared" si="13"/>
        <v>11646991</v>
      </c>
      <c r="FM52" s="614">
        <f t="shared" si="13"/>
        <v>140031431</v>
      </c>
      <c r="FN52" s="614">
        <f t="shared" si="13"/>
        <v>48524281</v>
      </c>
      <c r="FO52" s="614">
        <f t="shared" si="13"/>
        <v>6676674</v>
      </c>
      <c r="FP52" s="614">
        <f t="shared" si="13"/>
        <v>14223950</v>
      </c>
      <c r="FQ52" s="614">
        <f t="shared" si="13"/>
        <v>66997334</v>
      </c>
      <c r="FR52" s="614">
        <f t="shared" si="13"/>
        <v>31491910</v>
      </c>
      <c r="FT52" s="614">
        <f t="shared" si="13"/>
        <v>10116144</v>
      </c>
      <c r="FU52" s="614">
        <f t="shared" si="13"/>
        <v>24107985</v>
      </c>
      <c r="FV52" s="614">
        <f t="shared" si="13"/>
        <v>1214000</v>
      </c>
      <c r="FW52" s="614">
        <f t="shared" si="13"/>
        <v>5184530</v>
      </c>
      <c r="FX52" s="614">
        <f t="shared" si="13"/>
        <v>14667930</v>
      </c>
      <c r="FY52" s="614">
        <f t="shared" si="13"/>
        <v>0</v>
      </c>
      <c r="FZ52" s="614">
        <f t="shared" si="13"/>
        <v>38586604</v>
      </c>
      <c r="GA52" s="614">
        <f t="shared" si="13"/>
        <v>32148543</v>
      </c>
    </row>
    <row r="53" spans="1:183" x14ac:dyDescent="0.2">
      <c r="A53" s="602" t="s">
        <v>165</v>
      </c>
    </row>
    <row r="54" spans="1:183" x14ac:dyDescent="0.2">
      <c r="A54" s="439" t="s">
        <v>168</v>
      </c>
      <c r="B54" s="532">
        <v>8135842</v>
      </c>
      <c r="C54" s="614">
        <v>8012441</v>
      </c>
      <c r="D54" s="614">
        <v>15231000</v>
      </c>
      <c r="E54" s="614">
        <v>5048973</v>
      </c>
      <c r="F54" s="614">
        <v>3534243</v>
      </c>
      <c r="G54" s="532">
        <f>3906871+1865438</f>
        <v>5772309</v>
      </c>
      <c r="H54" s="614">
        <v>3498409</v>
      </c>
      <c r="I54" s="614">
        <v>10462327</v>
      </c>
      <c r="J54" s="614">
        <v>5641375</v>
      </c>
      <c r="K54" s="614">
        <v>9898028</v>
      </c>
      <c r="L54" s="614">
        <v>4848431</v>
      </c>
      <c r="M54" s="614">
        <v>2212276</v>
      </c>
      <c r="N54" s="614">
        <v>10413019</v>
      </c>
      <c r="O54" s="614">
        <v>14574136</v>
      </c>
      <c r="P54" s="532">
        <v>7344960</v>
      </c>
      <c r="Q54" s="532">
        <v>5562852</v>
      </c>
      <c r="R54" s="614">
        <f>8496834+308416</f>
        <v>8805250</v>
      </c>
      <c r="S54" s="614"/>
      <c r="T54" s="614">
        <v>7969441</v>
      </c>
      <c r="U54" s="532">
        <v>7227751</v>
      </c>
      <c r="V54" s="614">
        <v>7857488</v>
      </c>
      <c r="W54" s="614">
        <v>11499080</v>
      </c>
      <c r="X54" s="614">
        <v>7102509</v>
      </c>
      <c r="Y54" s="614">
        <v>7082389</v>
      </c>
      <c r="Z54" s="614">
        <v>17601931</v>
      </c>
      <c r="AA54" s="532">
        <v>1923579</v>
      </c>
      <c r="AB54" s="532">
        <v>10095633</v>
      </c>
      <c r="AC54" s="614">
        <v>26539175</v>
      </c>
      <c r="AD54" s="532">
        <v>7673083</v>
      </c>
      <c r="AE54" s="614">
        <v>11368614</v>
      </c>
      <c r="AF54" s="614">
        <v>6620304</v>
      </c>
      <c r="AG54" s="614">
        <v>9255633</v>
      </c>
      <c r="AH54" s="614">
        <v>16750919</v>
      </c>
      <c r="AI54" s="614">
        <v>12210802</v>
      </c>
      <c r="AJ54" s="532">
        <v>24058675</v>
      </c>
      <c r="AK54" s="532">
        <v>13418207</v>
      </c>
      <c r="AL54" s="532">
        <f t="shared" ref="AL54:AL70" si="14">+FN54/3</f>
        <v>7581697</v>
      </c>
      <c r="AM54" s="532">
        <f t="shared" ref="AM54:AM70" si="15">+FN54/3</f>
        <v>7581697</v>
      </c>
      <c r="AN54" s="532">
        <f t="shared" ref="AN54:AN70" si="16">+FN54/3</f>
        <v>7581697</v>
      </c>
      <c r="AO54" s="614">
        <v>15075068</v>
      </c>
      <c r="AP54" s="614">
        <v>8472490</v>
      </c>
      <c r="AQ54" s="614">
        <v>13566108</v>
      </c>
      <c r="AR54" s="614">
        <v>24403881</v>
      </c>
      <c r="AS54" s="532">
        <v>13459095</v>
      </c>
      <c r="AT54" s="614">
        <v>7581723</v>
      </c>
      <c r="AU54" s="614">
        <v>13981984</v>
      </c>
      <c r="AV54" s="614">
        <v>17554157</v>
      </c>
      <c r="AW54" s="614">
        <v>5454625</v>
      </c>
      <c r="AX54" s="532">
        <v>7009959</v>
      </c>
      <c r="AY54" s="614">
        <v>5921207</v>
      </c>
      <c r="AZ54" s="614">
        <v>22810187</v>
      </c>
      <c r="BA54" s="614">
        <v>6616071</v>
      </c>
      <c r="BB54" s="614">
        <v>2721187</v>
      </c>
      <c r="BC54" s="532">
        <v>4068505</v>
      </c>
      <c r="BD54" s="614">
        <v>14670623</v>
      </c>
      <c r="BE54" s="614">
        <v>8914534</v>
      </c>
      <c r="BF54" s="614">
        <v>8783946</v>
      </c>
      <c r="BG54" s="614">
        <v>21570014</v>
      </c>
      <c r="BH54" s="614">
        <v>9319347</v>
      </c>
      <c r="BI54" s="614">
        <v>8925920</v>
      </c>
      <c r="BJ54" s="614">
        <v>5943833</v>
      </c>
      <c r="BK54" s="614">
        <v>30741779</v>
      </c>
      <c r="BL54" s="532">
        <v>4386369</v>
      </c>
      <c r="BM54" s="532">
        <v>5981209</v>
      </c>
      <c r="BN54" s="532">
        <v>27210663</v>
      </c>
      <c r="BO54" s="614">
        <v>18034361</v>
      </c>
      <c r="BP54" s="614">
        <v>8734862</v>
      </c>
      <c r="BQ54" s="614">
        <v>13226139</v>
      </c>
      <c r="BR54" s="614">
        <v>11578703</v>
      </c>
      <c r="BS54" s="614">
        <v>15765491</v>
      </c>
      <c r="BT54" s="532">
        <v>5869855</v>
      </c>
      <c r="BU54" s="614">
        <v>6277090</v>
      </c>
      <c r="BV54" s="532">
        <f>3601903+245351</f>
        <v>3847254</v>
      </c>
      <c r="BW54" s="614">
        <v>4724967</v>
      </c>
      <c r="BX54" s="532">
        <v>5012498</v>
      </c>
      <c r="BY54" s="614">
        <f>29127672+1499866</f>
        <v>30627538</v>
      </c>
      <c r="BZ54" s="614"/>
      <c r="CA54" s="614">
        <v>17874073</v>
      </c>
      <c r="CB54" s="532">
        <v>17098925</v>
      </c>
      <c r="CC54" s="532">
        <v>17650206</v>
      </c>
      <c r="CD54" s="532">
        <v>8923314</v>
      </c>
      <c r="CE54" s="614">
        <v>124407653</v>
      </c>
      <c r="CF54" s="614">
        <v>35333415</v>
      </c>
      <c r="CG54" s="614">
        <v>4046775</v>
      </c>
      <c r="CH54" s="614">
        <v>11163578</v>
      </c>
      <c r="CI54" s="54">
        <v>7493900</v>
      </c>
      <c r="CJ54" s="614">
        <v>7368301</v>
      </c>
      <c r="CK54" s="532">
        <f>6080348+7788080</f>
        <v>13868428</v>
      </c>
      <c r="CM54" s="532">
        <v>28296344</v>
      </c>
      <c r="CN54" s="532">
        <v>5137360</v>
      </c>
      <c r="CO54" s="532">
        <f>12417200+6463352</f>
        <v>18880552</v>
      </c>
      <c r="CQ54" s="614">
        <v>15629299</v>
      </c>
      <c r="CR54" s="614">
        <v>15551531</v>
      </c>
      <c r="CS54" s="614">
        <v>9086000</v>
      </c>
      <c r="CT54" s="614">
        <v>18764929</v>
      </c>
      <c r="CU54" s="614">
        <v>11244442</v>
      </c>
      <c r="CV54" s="614">
        <v>6995801</v>
      </c>
      <c r="CW54" s="532">
        <v>17045252</v>
      </c>
      <c r="CX54" s="532">
        <v>2573458</v>
      </c>
      <c r="CY54" s="532">
        <v>11853669</v>
      </c>
      <c r="CZ54" s="614">
        <v>78072426</v>
      </c>
      <c r="DA54" s="614">
        <v>36255704</v>
      </c>
      <c r="DB54" s="532">
        <v>14401367</v>
      </c>
      <c r="DC54" s="614">
        <f>6578882+6898000</f>
        <v>13476882</v>
      </c>
      <c r="DD54" s="614">
        <v>39490035</v>
      </c>
      <c r="DE54" s="614">
        <v>8169636</v>
      </c>
      <c r="DF54" s="614">
        <v>32470934</v>
      </c>
      <c r="DG54" s="614">
        <v>47183420</v>
      </c>
      <c r="DH54" s="614">
        <v>32802642</v>
      </c>
      <c r="DI54" s="614">
        <v>20198938</v>
      </c>
      <c r="DJ54" s="532">
        <v>166367653</v>
      </c>
      <c r="DK54" s="614">
        <v>3373520</v>
      </c>
      <c r="DL54" s="614">
        <v>2328894</v>
      </c>
      <c r="DM54" s="614">
        <v>6102764</v>
      </c>
      <c r="DN54" s="614">
        <v>9366474</v>
      </c>
      <c r="DO54" s="532">
        <v>15266472</v>
      </c>
      <c r="DP54" s="614">
        <v>8572840</v>
      </c>
      <c r="DQ54" s="614">
        <v>64226209</v>
      </c>
      <c r="DR54" s="614">
        <v>2203039</v>
      </c>
      <c r="DS54" s="614">
        <v>12786007</v>
      </c>
      <c r="DT54" s="532">
        <v>3848578</v>
      </c>
      <c r="DU54" s="614">
        <v>17001984</v>
      </c>
      <c r="DV54" s="614">
        <v>15927139</v>
      </c>
      <c r="DW54" s="614">
        <v>20836591</v>
      </c>
      <c r="DX54" s="614">
        <v>76469534</v>
      </c>
      <c r="DY54" s="614">
        <v>26815931</v>
      </c>
      <c r="DZ54" s="532">
        <v>2968186</v>
      </c>
      <c r="EA54" s="614">
        <v>253898858</v>
      </c>
      <c r="EB54" s="614">
        <v>6256714</v>
      </c>
      <c r="EC54" s="532">
        <v>11597813</v>
      </c>
      <c r="ED54" s="614">
        <v>33641054</v>
      </c>
      <c r="EE54" s="614">
        <v>1801370</v>
      </c>
      <c r="EF54" s="532">
        <v>4450672</v>
      </c>
      <c r="EG54" s="532">
        <v>5592416</v>
      </c>
      <c r="EH54" s="614">
        <v>18999878</v>
      </c>
      <c r="EI54" s="532">
        <v>135121683</v>
      </c>
      <c r="EJ54" s="614">
        <v>28990700</v>
      </c>
      <c r="EK54" s="614">
        <v>9817383</v>
      </c>
      <c r="EL54" s="614">
        <v>5521708</v>
      </c>
      <c r="EM54" s="614">
        <v>10479272</v>
      </c>
      <c r="EN54" s="614">
        <v>17320000</v>
      </c>
      <c r="EO54" s="614">
        <v>4324968</v>
      </c>
      <c r="EP54" s="614">
        <v>48938000</v>
      </c>
      <c r="EQ54" s="614">
        <v>22137937</v>
      </c>
      <c r="ER54" s="614">
        <v>58953603</v>
      </c>
      <c r="ES54" s="532">
        <v>17398688</v>
      </c>
      <c r="ET54" s="614">
        <v>4968565</v>
      </c>
      <c r="EU54" s="614">
        <v>128756106</v>
      </c>
      <c r="EV54" s="532">
        <f>11474397+6008173</f>
        <v>17482570</v>
      </c>
      <c r="EW54" s="532">
        <v>9406935</v>
      </c>
      <c r="EX54" s="532">
        <v>7807050</v>
      </c>
      <c r="EY54" s="532">
        <v>9074138</v>
      </c>
      <c r="EZ54" s="532">
        <v>2882757</v>
      </c>
      <c r="FA54" s="614">
        <v>40873019</v>
      </c>
      <c r="FB54" s="614">
        <v>13966188</v>
      </c>
      <c r="FC54" s="614">
        <v>17312968</v>
      </c>
      <c r="FD54" s="532">
        <v>18423894</v>
      </c>
      <c r="FE54" s="614">
        <v>17303430</v>
      </c>
      <c r="FF54" s="614">
        <v>14280221</v>
      </c>
      <c r="FG54" s="532">
        <v>14556657</v>
      </c>
      <c r="FH54" s="614">
        <v>32731533</v>
      </c>
      <c r="FI54" s="614"/>
      <c r="FJ54" s="614">
        <v>4386369</v>
      </c>
      <c r="FK54" s="614">
        <v>5359041</v>
      </c>
      <c r="FL54" s="614">
        <v>1993715</v>
      </c>
      <c r="FM54" s="614">
        <v>57584399</v>
      </c>
      <c r="FN54" s="614">
        <v>22745091</v>
      </c>
      <c r="FO54" s="532">
        <v>3851722</v>
      </c>
      <c r="FP54" s="532">
        <v>4397798</v>
      </c>
      <c r="FQ54" s="532">
        <v>19007048</v>
      </c>
      <c r="FR54" s="532">
        <v>6995800</v>
      </c>
      <c r="FT54" s="532">
        <v>5359041</v>
      </c>
      <c r="FU54" s="532">
        <v>12114755</v>
      </c>
      <c r="FV54" s="532">
        <f>156*1000</f>
        <v>156000</v>
      </c>
      <c r="FW54" s="532">
        <v>4846361</v>
      </c>
      <c r="FX54" s="532">
        <v>7866983</v>
      </c>
      <c r="FY54" s="614">
        <v>0</v>
      </c>
      <c r="FZ54" s="532">
        <v>15599400</v>
      </c>
      <c r="GA54" s="532">
        <v>14810486</v>
      </c>
    </row>
    <row r="55" spans="1:183" x14ac:dyDescent="0.2">
      <c r="A55" s="439" t="s">
        <v>154</v>
      </c>
      <c r="B55" s="532">
        <v>14000</v>
      </c>
      <c r="C55" s="54">
        <v>0</v>
      </c>
      <c r="E55" s="614">
        <v>1031000</v>
      </c>
      <c r="F55" s="614">
        <v>43741</v>
      </c>
      <c r="G55" s="532">
        <v>2359758</v>
      </c>
      <c r="H55" s="614">
        <v>1063260</v>
      </c>
      <c r="I55" s="614">
        <v>29925</v>
      </c>
      <c r="J55" s="614">
        <v>2125</v>
      </c>
      <c r="K55" s="614">
        <v>381200</v>
      </c>
      <c r="L55" s="54">
        <v>0</v>
      </c>
      <c r="M55" s="614">
        <v>228500</v>
      </c>
      <c r="P55" s="532"/>
      <c r="Q55" s="532">
        <v>633288</v>
      </c>
      <c r="T55" s="614">
        <v>541297</v>
      </c>
      <c r="U55" s="532">
        <v>191554</v>
      </c>
      <c r="V55" s="614"/>
      <c r="W55" s="614"/>
      <c r="Y55" s="614">
        <v>91170</v>
      </c>
      <c r="AA55" s="532">
        <v>950000</v>
      </c>
      <c r="AB55" s="532">
        <v>1860833</v>
      </c>
      <c r="AC55" s="614">
        <v>1375742</v>
      </c>
      <c r="AD55" s="532">
        <v>755434</v>
      </c>
      <c r="AE55" s="54">
        <v>951412</v>
      </c>
      <c r="AF55" s="614">
        <v>736063</v>
      </c>
      <c r="AG55" s="54">
        <v>0</v>
      </c>
      <c r="AH55" s="614">
        <v>703634</v>
      </c>
      <c r="AI55" s="614">
        <v>1224417</v>
      </c>
      <c r="AJ55" s="54">
        <v>2536667</v>
      </c>
      <c r="AK55" s="532">
        <v>893750</v>
      </c>
      <c r="AL55" s="532">
        <f t="shared" si="14"/>
        <v>123648.33333333333</v>
      </c>
      <c r="AM55" s="532">
        <f t="shared" si="15"/>
        <v>123648.33333333333</v>
      </c>
      <c r="AN55" s="532">
        <f t="shared" si="16"/>
        <v>123648.33333333333</v>
      </c>
      <c r="AO55" s="614">
        <v>1306300</v>
      </c>
      <c r="AP55" s="614"/>
      <c r="AR55" s="614">
        <v>252800</v>
      </c>
      <c r="AS55" s="532">
        <v>1803982</v>
      </c>
      <c r="AT55" s="614">
        <v>20000</v>
      </c>
      <c r="AU55" s="614">
        <v>1152796</v>
      </c>
      <c r="AV55" s="614">
        <v>2411970</v>
      </c>
      <c r="AW55" s="54">
        <v>0</v>
      </c>
      <c r="AX55" s="532">
        <v>1160000</v>
      </c>
      <c r="AY55" s="54">
        <v>0</v>
      </c>
      <c r="AZ55" s="614">
        <v>3132000</v>
      </c>
      <c r="BA55" s="614">
        <v>225000</v>
      </c>
      <c r="BB55" s="614">
        <v>80500</v>
      </c>
      <c r="BC55" s="532">
        <v>774292</v>
      </c>
      <c r="BD55" s="614">
        <v>583381</v>
      </c>
      <c r="BF55" s="614">
        <v>566517</v>
      </c>
      <c r="BG55" s="614">
        <v>5248268</v>
      </c>
      <c r="BH55" s="614">
        <v>1000759</v>
      </c>
      <c r="BI55" s="614">
        <v>1260165</v>
      </c>
      <c r="BJ55" s="614">
        <v>866098</v>
      </c>
      <c r="BK55" s="614">
        <v>570000</v>
      </c>
      <c r="BN55" s="532">
        <v>5003554</v>
      </c>
      <c r="BO55" s="614">
        <v>6672789</v>
      </c>
      <c r="BP55" s="614">
        <v>1707500</v>
      </c>
      <c r="BQ55" s="614">
        <v>1913940</v>
      </c>
      <c r="BR55" s="614">
        <v>621248</v>
      </c>
      <c r="BS55" s="614">
        <v>1355222</v>
      </c>
      <c r="BT55" s="532">
        <v>1264260</v>
      </c>
      <c r="BU55" s="54">
        <v>1228709</v>
      </c>
      <c r="BV55" s="532">
        <v>831900</v>
      </c>
      <c r="BW55" s="614">
        <v>3741667</v>
      </c>
      <c r="BY55" s="54">
        <v>4498625</v>
      </c>
      <c r="CA55" s="614">
        <v>5881100</v>
      </c>
      <c r="CB55" s="532">
        <v>763083</v>
      </c>
      <c r="CC55" s="532">
        <v>1238667</v>
      </c>
      <c r="CD55" s="532">
        <v>514178</v>
      </c>
      <c r="CE55" s="614">
        <v>16042769</v>
      </c>
      <c r="CF55" s="54">
        <v>0</v>
      </c>
      <c r="CG55" s="54">
        <v>0</v>
      </c>
      <c r="CH55" s="54">
        <v>350291</v>
      </c>
      <c r="CJ55" s="54">
        <v>0</v>
      </c>
      <c r="CM55" s="532">
        <v>6720365</v>
      </c>
      <c r="CN55" s="532">
        <v>1390000</v>
      </c>
      <c r="CO55" s="532">
        <v>885417</v>
      </c>
      <c r="CQ55" s="614">
        <v>201461</v>
      </c>
      <c r="CR55" s="614">
        <v>4160500</v>
      </c>
      <c r="CS55" s="614">
        <v>1194000</v>
      </c>
      <c r="CT55" s="614">
        <v>133280</v>
      </c>
      <c r="CV55" s="614">
        <v>5345000</v>
      </c>
      <c r="CW55" s="532">
        <v>295000</v>
      </c>
      <c r="CX55" s="532">
        <v>3380000</v>
      </c>
      <c r="CY55" s="532">
        <v>4794985</v>
      </c>
      <c r="CZ55" s="614">
        <v>36715550</v>
      </c>
      <c r="DA55" s="532">
        <v>880833</v>
      </c>
      <c r="DB55" s="532">
        <v>100000</v>
      </c>
      <c r="DC55" s="614">
        <v>800000</v>
      </c>
      <c r="DD55" s="614">
        <v>8691650</v>
      </c>
      <c r="DE55" s="614">
        <v>565667</v>
      </c>
      <c r="DF55" s="614">
        <v>320000</v>
      </c>
      <c r="DG55" s="614">
        <v>8040875</v>
      </c>
      <c r="DH55" s="614">
        <v>10177917</v>
      </c>
      <c r="DI55" s="614">
        <v>3194043</v>
      </c>
      <c r="DJ55" s="532">
        <v>9163717</v>
      </c>
      <c r="DK55" s="614">
        <v>3761937</v>
      </c>
      <c r="DN55" s="614">
        <v>445000</v>
      </c>
      <c r="DP55" s="614">
        <v>1932500</v>
      </c>
      <c r="DR55" s="54">
        <v>0</v>
      </c>
      <c r="DS55" s="54">
        <v>0</v>
      </c>
      <c r="DT55" s="532">
        <v>697337</v>
      </c>
      <c r="DU55" s="614">
        <v>5025483</v>
      </c>
      <c r="DV55" s="614">
        <v>4057815</v>
      </c>
      <c r="DW55" s="614">
        <v>6374798</v>
      </c>
      <c r="DX55" s="614">
        <v>3966069</v>
      </c>
      <c r="DY55" s="614">
        <v>473333</v>
      </c>
      <c r="DZ55" s="532">
        <v>132750</v>
      </c>
      <c r="EA55" s="614">
        <v>18324747</v>
      </c>
      <c r="EB55" s="54">
        <v>0</v>
      </c>
      <c r="EC55" s="532">
        <v>311629</v>
      </c>
      <c r="ED55" s="614">
        <v>2828856</v>
      </c>
      <c r="EE55" s="54">
        <v>0</v>
      </c>
      <c r="EH55" s="614">
        <v>2448907</v>
      </c>
      <c r="EI55" s="532">
        <v>12366000</v>
      </c>
      <c r="EJ55" s="614">
        <v>2175527</v>
      </c>
      <c r="EK55" s="614">
        <v>1429050</v>
      </c>
      <c r="EL55" s="614">
        <v>1429050</v>
      </c>
      <c r="EM55" s="614">
        <v>2464467</v>
      </c>
      <c r="EN55" s="614">
        <v>4450000</v>
      </c>
      <c r="EO55" s="614">
        <v>476250</v>
      </c>
      <c r="EP55" s="614">
        <v>21260000</v>
      </c>
      <c r="EQ55" s="614">
        <v>1802000</v>
      </c>
      <c r="ER55" s="532">
        <v>4560172</v>
      </c>
      <c r="ET55" s="614">
        <v>1829109</v>
      </c>
      <c r="EU55" s="614">
        <v>10263705</v>
      </c>
      <c r="EV55" s="532">
        <v>7034737</v>
      </c>
      <c r="EW55" s="532">
        <v>2297690</v>
      </c>
      <c r="EX55" s="532">
        <v>1175000</v>
      </c>
      <c r="EY55" s="532">
        <v>2377224</v>
      </c>
      <c r="EZ55" s="532">
        <v>1300335</v>
      </c>
      <c r="FA55" s="614">
        <v>902151</v>
      </c>
      <c r="FB55" s="614">
        <v>564667</v>
      </c>
      <c r="FC55" s="614">
        <v>2073230</v>
      </c>
      <c r="FD55" s="532">
        <v>816750</v>
      </c>
      <c r="FE55" s="614">
        <v>2741393</v>
      </c>
      <c r="FH55" s="614">
        <v>9417800</v>
      </c>
      <c r="FI55" s="614"/>
      <c r="FJ55" s="54">
        <v>0</v>
      </c>
      <c r="FK55" s="614">
        <v>70993</v>
      </c>
      <c r="FL55" s="614">
        <v>60000</v>
      </c>
      <c r="FM55" s="614">
        <v>4822864</v>
      </c>
      <c r="FN55" s="614">
        <v>370945</v>
      </c>
      <c r="FO55" s="532">
        <v>147200</v>
      </c>
      <c r="FQ55" s="532">
        <v>837500</v>
      </c>
      <c r="FR55" s="532">
        <v>5345000</v>
      </c>
      <c r="FT55" s="532">
        <v>70993</v>
      </c>
      <c r="FX55" s="532">
        <v>3611058</v>
      </c>
      <c r="FY55" s="54">
        <v>0</v>
      </c>
      <c r="FZ55" s="532">
        <v>6110069</v>
      </c>
      <c r="GA55" s="532">
        <v>4244136</v>
      </c>
    </row>
    <row r="56" spans="1:183" x14ac:dyDescent="0.2">
      <c r="A56" s="439" t="s">
        <v>169</v>
      </c>
      <c r="B56" s="532">
        <v>2060764</v>
      </c>
      <c r="C56" s="614">
        <v>123757</v>
      </c>
      <c r="D56" s="614">
        <v>10714000</v>
      </c>
      <c r="E56" s="614">
        <v>1253157</v>
      </c>
      <c r="F56" s="614">
        <v>751886</v>
      </c>
      <c r="G56" s="532">
        <v>2088596</v>
      </c>
      <c r="H56" s="614">
        <v>835438</v>
      </c>
      <c r="I56" s="614">
        <v>13173825</v>
      </c>
      <c r="J56" s="54">
        <v>0</v>
      </c>
      <c r="K56" s="54">
        <v>0</v>
      </c>
      <c r="L56" s="614">
        <v>3398592</v>
      </c>
      <c r="M56" s="54">
        <v>0</v>
      </c>
      <c r="N56" s="614"/>
      <c r="O56" s="614">
        <v>16626194</v>
      </c>
      <c r="P56" s="532"/>
      <c r="Q56" s="532"/>
      <c r="R56" s="54">
        <v>1072529</v>
      </c>
      <c r="T56" s="54">
        <v>0</v>
      </c>
      <c r="U56" s="532">
        <v>102140</v>
      </c>
      <c r="W56" s="614">
        <v>7320732</v>
      </c>
      <c r="Y56" s="54">
        <v>18845</v>
      </c>
      <c r="Z56" s="614">
        <v>5229094</v>
      </c>
      <c r="AB56" s="532">
        <v>1095833</v>
      </c>
      <c r="AC56" s="614">
        <v>35296025</v>
      </c>
      <c r="AD56" s="532">
        <v>1870000</v>
      </c>
      <c r="AE56" s="614">
        <v>3917749</v>
      </c>
      <c r="AF56" s="614"/>
      <c r="AG56" s="614">
        <v>9880177</v>
      </c>
      <c r="AH56" s="54">
        <v>9455991</v>
      </c>
      <c r="AI56" s="614">
        <v>4503900</v>
      </c>
      <c r="AJ56" s="532">
        <v>15610760</v>
      </c>
      <c r="AK56" s="532">
        <v>9662310</v>
      </c>
      <c r="AL56" s="532">
        <f t="shared" si="14"/>
        <v>2188962</v>
      </c>
      <c r="AM56" s="532">
        <f t="shared" si="15"/>
        <v>2188962</v>
      </c>
      <c r="AN56" s="532">
        <f t="shared" si="16"/>
        <v>2188962</v>
      </c>
      <c r="AO56" s="614">
        <v>61100</v>
      </c>
      <c r="AP56" s="532">
        <v>3292851</v>
      </c>
      <c r="AQ56" s="614">
        <v>141900</v>
      </c>
      <c r="AR56" s="614">
        <v>2102900</v>
      </c>
      <c r="AS56" s="532">
        <v>6042061</v>
      </c>
      <c r="AT56" s="614">
        <v>294229</v>
      </c>
      <c r="AU56" s="614">
        <v>10434386</v>
      </c>
      <c r="AW56" s="614">
        <v>7177457</v>
      </c>
      <c r="AY56" s="614">
        <v>1700000</v>
      </c>
      <c r="AZ56" s="614">
        <v>118000</v>
      </c>
      <c r="BA56" s="614">
        <v>1400776</v>
      </c>
      <c r="BB56" s="614">
        <v>4800000</v>
      </c>
      <c r="BD56" s="614"/>
      <c r="BE56" s="614">
        <v>4446484</v>
      </c>
      <c r="BF56" s="614">
        <v>5411255</v>
      </c>
      <c r="BG56" s="614">
        <v>10933766</v>
      </c>
      <c r="BI56" s="614">
        <v>11869429</v>
      </c>
      <c r="BJ56" s="54">
        <v>0</v>
      </c>
      <c r="BK56" s="54">
        <v>0</v>
      </c>
      <c r="BM56" s="532">
        <v>5977653</v>
      </c>
      <c r="BN56" s="532">
        <v>15321600</v>
      </c>
      <c r="BO56" s="614">
        <v>11534782</v>
      </c>
      <c r="BP56" s="614">
        <v>8061264</v>
      </c>
      <c r="BQ56" s="614">
        <v>3169802</v>
      </c>
      <c r="BR56" s="54">
        <v>0</v>
      </c>
      <c r="BS56" s="54">
        <v>0</v>
      </c>
      <c r="BU56" s="54">
        <v>0</v>
      </c>
      <c r="BW56" s="54">
        <v>0</v>
      </c>
      <c r="BY56" s="54">
        <v>12318500</v>
      </c>
      <c r="CB56" s="532">
        <v>1200547</v>
      </c>
      <c r="CC56" s="532">
        <v>2672186</v>
      </c>
      <c r="CD56" s="532">
        <v>854556</v>
      </c>
      <c r="CF56" s="614">
        <v>14079771</v>
      </c>
      <c r="CG56" s="614">
        <v>2101458</v>
      </c>
      <c r="CH56" s="614">
        <v>6221978</v>
      </c>
      <c r="CI56" s="532">
        <v>6735725</v>
      </c>
      <c r="CJ56" s="614">
        <v>3907944</v>
      </c>
      <c r="CK56" s="532">
        <v>25000000</v>
      </c>
      <c r="CM56" s="532">
        <v>21701164</v>
      </c>
      <c r="CN56" s="532">
        <v>1925374</v>
      </c>
      <c r="CO56" s="532">
        <v>3850749</v>
      </c>
      <c r="CQ56" s="614">
        <v>7800923</v>
      </c>
      <c r="CR56" s="614">
        <v>10097632</v>
      </c>
      <c r="CT56" s="614">
        <v>7800923</v>
      </c>
      <c r="CU56" s="614">
        <v>7800923</v>
      </c>
      <c r="CV56" s="614">
        <v>10400000</v>
      </c>
      <c r="CW56" s="532">
        <v>3649430</v>
      </c>
      <c r="CY56" s="532"/>
      <c r="CZ56" s="54">
        <v>33600000</v>
      </c>
      <c r="DA56" s="54">
        <v>0</v>
      </c>
      <c r="DB56" s="532">
        <v>2400000</v>
      </c>
      <c r="DC56" s="614"/>
      <c r="DD56" s="614">
        <v>67016708</v>
      </c>
      <c r="DF56" s="614">
        <f>18263340+12600000</f>
        <v>30863340</v>
      </c>
      <c r="DG56" s="614">
        <v>81235628</v>
      </c>
      <c r="DH56" s="614">
        <v>54608500</v>
      </c>
      <c r="DI56" s="532">
        <v>33515167</v>
      </c>
      <c r="DR56" s="54">
        <v>0</v>
      </c>
      <c r="DS56" s="614">
        <v>3905500</v>
      </c>
      <c r="DV56" s="614"/>
      <c r="DW56" s="54">
        <v>0</v>
      </c>
      <c r="DY56" s="54">
        <v>42829400</v>
      </c>
      <c r="EA56" s="614">
        <v>264582000</v>
      </c>
      <c r="EB56" s="614">
        <v>3283878</v>
      </c>
      <c r="EE56" s="54">
        <v>0</v>
      </c>
      <c r="EH56" s="614">
        <v>100621271</v>
      </c>
      <c r="EJ56" s="614"/>
      <c r="EM56" s="54">
        <v>0</v>
      </c>
      <c r="EN56" s="614">
        <v>3250000</v>
      </c>
      <c r="EO56" s="614">
        <v>53333</v>
      </c>
      <c r="EP56" s="54">
        <v>0</v>
      </c>
      <c r="EQ56" s="614">
        <v>16847042</v>
      </c>
      <c r="ER56" s="532">
        <v>22688528</v>
      </c>
      <c r="ES56" s="532">
        <v>2205000</v>
      </c>
      <c r="ET56" s="614">
        <v>20562750</v>
      </c>
      <c r="EU56" s="54">
        <v>34938854</v>
      </c>
      <c r="EW56" s="532">
        <v>14681424</v>
      </c>
      <c r="EX56" s="532">
        <v>22000000</v>
      </c>
      <c r="EY56" s="532">
        <v>24934322</v>
      </c>
      <c r="EZ56" s="532">
        <v>5832147</v>
      </c>
      <c r="FA56" s="614">
        <v>11223375</v>
      </c>
      <c r="FB56" s="614">
        <v>12304150</v>
      </c>
      <c r="FD56" s="532">
        <v>9000000</v>
      </c>
      <c r="FE56" s="614">
        <v>3443791</v>
      </c>
      <c r="FH56" s="614">
        <v>56590552</v>
      </c>
      <c r="FI56" s="614"/>
      <c r="FJ56" s="54">
        <v>0</v>
      </c>
      <c r="FK56" s="614">
        <v>713150</v>
      </c>
      <c r="FL56" s="614">
        <v>5477000</v>
      </c>
      <c r="FM56" s="54">
        <v>0</v>
      </c>
      <c r="FN56" s="614">
        <v>6566886</v>
      </c>
      <c r="FQ56" s="532">
        <v>19826904</v>
      </c>
      <c r="FR56" s="532">
        <v>10400000</v>
      </c>
      <c r="FT56" s="532">
        <v>713150</v>
      </c>
      <c r="FY56" s="614">
        <v>0</v>
      </c>
      <c r="FZ56" s="532">
        <v>8529625</v>
      </c>
    </row>
    <row r="57" spans="1:183" x14ac:dyDescent="0.2">
      <c r="A57" s="439" t="s">
        <v>170</v>
      </c>
      <c r="B57" s="532">
        <v>71680</v>
      </c>
      <c r="C57" s="54">
        <v>0</v>
      </c>
      <c r="D57" s="614"/>
      <c r="E57" s="614">
        <v>76800</v>
      </c>
      <c r="G57" s="532">
        <v>107380</v>
      </c>
      <c r="H57" s="614">
        <v>27000</v>
      </c>
      <c r="I57" s="54">
        <v>0</v>
      </c>
      <c r="J57" s="54">
        <v>0</v>
      </c>
      <c r="K57" s="614">
        <v>42000</v>
      </c>
      <c r="L57" s="54">
        <v>0</v>
      </c>
      <c r="M57" s="614">
        <v>16000</v>
      </c>
      <c r="P57" s="532"/>
      <c r="Q57" s="532">
        <v>42289</v>
      </c>
      <c r="T57" s="614">
        <v>54170</v>
      </c>
      <c r="U57" s="532">
        <v>16000</v>
      </c>
      <c r="V57" s="614"/>
      <c r="Z57" s="614"/>
      <c r="AA57" s="532">
        <v>46667</v>
      </c>
      <c r="AB57" s="532">
        <v>95333</v>
      </c>
      <c r="AC57" s="614">
        <v>11793</v>
      </c>
      <c r="AD57" s="532">
        <v>71683</v>
      </c>
      <c r="AE57" s="54">
        <v>0</v>
      </c>
      <c r="AF57" s="614">
        <v>33566</v>
      </c>
      <c r="AG57" s="54">
        <v>0</v>
      </c>
      <c r="AH57" s="614"/>
      <c r="AI57" s="54">
        <v>0</v>
      </c>
      <c r="AJ57" s="54">
        <v>240800</v>
      </c>
      <c r="AL57" s="532">
        <f t="shared" si="14"/>
        <v>0</v>
      </c>
      <c r="AM57" s="532">
        <f t="shared" si="15"/>
        <v>0</v>
      </c>
      <c r="AN57" s="532">
        <f t="shared" si="16"/>
        <v>0</v>
      </c>
      <c r="AO57" s="614">
        <v>101300</v>
      </c>
      <c r="AR57" s="54">
        <v>0</v>
      </c>
      <c r="AT57" s="54">
        <v>0</v>
      </c>
      <c r="AU57" s="54">
        <v>0</v>
      </c>
      <c r="AV57" s="54">
        <v>0</v>
      </c>
      <c r="AW57" s="54">
        <v>0</v>
      </c>
      <c r="AY57" s="54">
        <v>0</v>
      </c>
      <c r="AZ57" s="614">
        <v>186000</v>
      </c>
      <c r="BA57" s="614">
        <v>54833</v>
      </c>
      <c r="BB57" s="614"/>
      <c r="BD57" s="54">
        <v>44928</v>
      </c>
      <c r="BG57" s="614">
        <v>140000</v>
      </c>
      <c r="BH57" s="614">
        <v>67124</v>
      </c>
      <c r="BI57" s="614">
        <v>66394</v>
      </c>
      <c r="BJ57" s="614">
        <v>81148</v>
      </c>
      <c r="BK57" s="614">
        <v>90000</v>
      </c>
      <c r="BN57" s="532">
        <v>243367</v>
      </c>
      <c r="BO57" s="614">
        <v>560695</v>
      </c>
      <c r="BP57" s="614">
        <v>98667</v>
      </c>
      <c r="BQ57" s="614">
        <v>202919</v>
      </c>
      <c r="BR57" s="54">
        <v>0</v>
      </c>
      <c r="BS57" s="614">
        <v>30833</v>
      </c>
      <c r="BU57" s="54">
        <v>152533</v>
      </c>
      <c r="BV57" s="532">
        <v>56600</v>
      </c>
      <c r="BW57" s="614">
        <v>233930</v>
      </c>
      <c r="BY57" s="54">
        <v>204000</v>
      </c>
      <c r="CA57" s="54">
        <v>450000</v>
      </c>
      <c r="CC57" s="532">
        <v>66667</v>
      </c>
      <c r="CD57" s="532">
        <v>37333</v>
      </c>
      <c r="CE57" s="614">
        <v>277600</v>
      </c>
      <c r="CF57" s="54">
        <v>0</v>
      </c>
      <c r="CG57" s="54">
        <v>0</v>
      </c>
      <c r="CH57" s="54">
        <v>0</v>
      </c>
      <c r="CJ57" s="54">
        <v>0</v>
      </c>
      <c r="CM57" s="532">
        <v>206667</v>
      </c>
      <c r="CO57" s="532">
        <v>24600</v>
      </c>
      <c r="CQ57" s="614">
        <v>98840</v>
      </c>
      <c r="CR57" s="614">
        <v>138667</v>
      </c>
      <c r="CS57" s="614">
        <v>78000</v>
      </c>
      <c r="CT57" s="614">
        <v>8667</v>
      </c>
      <c r="CV57" s="614">
        <v>66333</v>
      </c>
      <c r="CW57" s="532">
        <v>52000</v>
      </c>
      <c r="CX57" s="532">
        <v>92350</v>
      </c>
      <c r="CY57" s="532">
        <v>221760</v>
      </c>
      <c r="CZ57" s="614">
        <v>1341867</v>
      </c>
      <c r="DA57" s="532">
        <v>16000</v>
      </c>
      <c r="DB57" s="532">
        <v>26667</v>
      </c>
      <c r="DD57" s="614">
        <v>398000</v>
      </c>
      <c r="DF57" s="614">
        <v>32000</v>
      </c>
      <c r="DG57" s="614">
        <v>425000</v>
      </c>
      <c r="DH57" s="614">
        <v>620000</v>
      </c>
      <c r="DI57" s="614">
        <v>286171</v>
      </c>
      <c r="DJ57" s="532">
        <v>421667</v>
      </c>
      <c r="DK57" s="614">
        <v>249980</v>
      </c>
      <c r="DN57" s="54">
        <v>172000</v>
      </c>
      <c r="DP57" s="614">
        <v>138360</v>
      </c>
      <c r="DR57" s="54">
        <v>0</v>
      </c>
      <c r="DS57" s="54">
        <v>0</v>
      </c>
      <c r="DT57" s="532">
        <v>52000</v>
      </c>
      <c r="DU57" s="614">
        <v>1106267</v>
      </c>
      <c r="DV57" s="614">
        <v>200000</v>
      </c>
      <c r="DW57" s="614">
        <v>57000</v>
      </c>
      <c r="DX57" s="54">
        <v>285798</v>
      </c>
      <c r="DZ57" s="532">
        <v>33000</v>
      </c>
      <c r="EB57" s="54">
        <v>0</v>
      </c>
      <c r="EE57" s="54">
        <v>0</v>
      </c>
      <c r="EH57" s="614">
        <v>200667</v>
      </c>
      <c r="EI57" s="532">
        <v>464267</v>
      </c>
      <c r="EJ57" s="614">
        <v>40000</v>
      </c>
      <c r="EL57" s="54">
        <v>0</v>
      </c>
      <c r="EM57" s="614">
        <v>313333</v>
      </c>
      <c r="EN57" s="614">
        <v>91000</v>
      </c>
      <c r="EP57" s="614">
        <v>941000</v>
      </c>
      <c r="EQ57" s="614">
        <v>11667</v>
      </c>
      <c r="EU57" s="54">
        <v>840000</v>
      </c>
      <c r="EV57" s="532">
        <v>397372</v>
      </c>
      <c r="EW57" s="532">
        <v>240000</v>
      </c>
      <c r="EY57" s="532">
        <v>242038</v>
      </c>
      <c r="EZ57" s="532">
        <v>81804</v>
      </c>
      <c r="FA57" s="614">
        <v>32000</v>
      </c>
      <c r="FB57" s="614">
        <v>98222</v>
      </c>
      <c r="FE57" s="614">
        <v>280000</v>
      </c>
      <c r="FH57" s="614">
        <v>361267</v>
      </c>
      <c r="FI57" s="614"/>
      <c r="FJ57" s="54">
        <v>0</v>
      </c>
      <c r="FK57" s="54">
        <v>0</v>
      </c>
      <c r="FL57" s="54">
        <v>0</v>
      </c>
      <c r="FM57" s="614">
        <v>236000</v>
      </c>
      <c r="FQ57" s="532">
        <v>172667</v>
      </c>
      <c r="FR57" s="532">
        <v>66333</v>
      </c>
      <c r="FT57" s="532"/>
      <c r="FU57" s="532">
        <v>138667</v>
      </c>
      <c r="FX57" s="532">
        <v>212533</v>
      </c>
      <c r="FY57" s="54">
        <v>0</v>
      </c>
      <c r="FZ57" s="532">
        <v>204344</v>
      </c>
      <c r="GA57" s="532">
        <v>142935</v>
      </c>
    </row>
    <row r="58" spans="1:183" x14ac:dyDescent="0.2">
      <c r="A58" s="439" t="s">
        <v>171</v>
      </c>
      <c r="G58" s="532"/>
      <c r="H58" s="54">
        <v>0</v>
      </c>
      <c r="J58" s="54">
        <v>0</v>
      </c>
      <c r="K58" s="54">
        <v>0</v>
      </c>
      <c r="L58" s="54">
        <v>0</v>
      </c>
      <c r="M58" s="54">
        <v>0</v>
      </c>
      <c r="P58" s="532"/>
      <c r="Q58" s="532"/>
      <c r="T58" s="54">
        <v>0</v>
      </c>
      <c r="U58" s="532"/>
      <c r="Z58" s="54">
        <v>4144178</v>
      </c>
      <c r="AB58" s="532"/>
      <c r="AD58" s="532">
        <v>0</v>
      </c>
      <c r="AE58" s="54">
        <v>0</v>
      </c>
      <c r="AG58" s="54">
        <v>0</v>
      </c>
      <c r="AI58" s="54">
        <v>0</v>
      </c>
      <c r="AL58" s="532">
        <f t="shared" si="14"/>
        <v>0</v>
      </c>
      <c r="AM58" s="532">
        <f t="shared" si="15"/>
        <v>0</v>
      </c>
      <c r="AN58" s="532">
        <f t="shared" si="16"/>
        <v>0</v>
      </c>
      <c r="AO58" s="54">
        <v>0</v>
      </c>
      <c r="AR58" s="54">
        <v>0</v>
      </c>
      <c r="AT58" s="54">
        <v>0</v>
      </c>
      <c r="AU58" s="54">
        <v>0</v>
      </c>
      <c r="AV58" s="54">
        <v>0</v>
      </c>
      <c r="AW58" s="54">
        <v>0</v>
      </c>
      <c r="AY58" s="54">
        <v>0</v>
      </c>
      <c r="BD58" s="54">
        <v>0</v>
      </c>
      <c r="BG58" s="54">
        <v>0</v>
      </c>
      <c r="BJ58" s="54">
        <v>0</v>
      </c>
      <c r="BK58" s="54">
        <v>0</v>
      </c>
      <c r="BO58" s="54">
        <v>0</v>
      </c>
      <c r="BP58" s="54">
        <v>0</v>
      </c>
      <c r="BR58" s="54">
        <v>0</v>
      </c>
      <c r="BS58" s="54">
        <v>0</v>
      </c>
      <c r="BU58" s="54">
        <v>0</v>
      </c>
      <c r="BW58" s="614">
        <v>534947</v>
      </c>
      <c r="CE58" s="614">
        <v>7069407</v>
      </c>
      <c r="CF58" s="54">
        <v>0</v>
      </c>
      <c r="CG58" s="54">
        <v>0</v>
      </c>
      <c r="CH58" s="54">
        <v>0</v>
      </c>
      <c r="CJ58" s="54">
        <v>0</v>
      </c>
      <c r="CM58" s="532">
        <v>1276829</v>
      </c>
      <c r="CO58" s="532">
        <v>943731</v>
      </c>
      <c r="CQ58" s="614">
        <v>389357</v>
      </c>
      <c r="CR58" s="54">
        <v>0</v>
      </c>
      <c r="CT58" s="54">
        <v>0</v>
      </c>
      <c r="CX58" s="532">
        <v>598010</v>
      </c>
      <c r="CY58" s="532">
        <v>1773490</v>
      </c>
      <c r="CZ58" s="614">
        <v>19775867</v>
      </c>
      <c r="DA58" s="54">
        <v>0</v>
      </c>
      <c r="DF58" s="614">
        <v>5710967</v>
      </c>
      <c r="DR58" s="54">
        <v>0</v>
      </c>
      <c r="DS58" s="54">
        <v>0</v>
      </c>
      <c r="DW58" s="54">
        <v>0</v>
      </c>
      <c r="DX58" s="54">
        <v>2710657</v>
      </c>
      <c r="EB58" s="54">
        <v>0</v>
      </c>
      <c r="EE58" s="54">
        <v>0</v>
      </c>
      <c r="EL58" s="54">
        <v>0</v>
      </c>
      <c r="EM58" s="54">
        <v>0</v>
      </c>
      <c r="EP58" s="614">
        <v>12144000</v>
      </c>
      <c r="EQ58" s="614">
        <v>4219188</v>
      </c>
      <c r="EU58" s="54">
        <v>7103438</v>
      </c>
      <c r="EW58" s="532">
        <v>1488620</v>
      </c>
      <c r="EY58" s="532">
        <v>134550</v>
      </c>
      <c r="EZ58" s="532">
        <v>3541180</v>
      </c>
      <c r="FA58" s="614">
        <v>309038</v>
      </c>
      <c r="FH58" s="614">
        <v>5108174</v>
      </c>
      <c r="FI58" s="614"/>
      <c r="FJ58" s="54">
        <v>0</v>
      </c>
      <c r="FK58" s="54">
        <v>0</v>
      </c>
      <c r="FM58" s="54">
        <v>0</v>
      </c>
      <c r="FT58" s="532"/>
      <c r="FY58" s="54">
        <v>0</v>
      </c>
      <c r="GA58" s="532">
        <v>2637052</v>
      </c>
    </row>
    <row r="59" spans="1:183" x14ac:dyDescent="0.2">
      <c r="A59" s="439" t="s">
        <v>160</v>
      </c>
      <c r="C59" s="614">
        <v>174161</v>
      </c>
      <c r="D59" s="614">
        <v>4032000</v>
      </c>
      <c r="E59" s="614">
        <v>464573</v>
      </c>
      <c r="G59" s="532">
        <v>2012913</v>
      </c>
      <c r="H59" s="614">
        <v>1359715</v>
      </c>
      <c r="I59" s="54">
        <v>0</v>
      </c>
      <c r="J59" s="54">
        <v>0</v>
      </c>
      <c r="K59" s="54">
        <v>0</v>
      </c>
      <c r="L59" s="54">
        <v>0</v>
      </c>
      <c r="M59" s="54">
        <v>0</v>
      </c>
      <c r="P59" s="532">
        <v>402717</v>
      </c>
      <c r="Q59" s="532"/>
      <c r="T59" s="54">
        <v>0</v>
      </c>
      <c r="U59" s="532">
        <v>3627765</v>
      </c>
      <c r="V59" s="614">
        <f>V40</f>
        <v>0</v>
      </c>
      <c r="W59" s="614">
        <v>5635543</v>
      </c>
      <c r="AB59" s="532"/>
      <c r="AD59" s="532">
        <v>0</v>
      </c>
      <c r="AE59" s="54">
        <v>0</v>
      </c>
      <c r="AF59" s="532">
        <v>3649697</v>
      </c>
      <c r="AG59" s="54">
        <v>0</v>
      </c>
      <c r="AH59" s="614">
        <v>5881680</v>
      </c>
      <c r="AI59" s="54">
        <v>0</v>
      </c>
      <c r="AK59" s="532">
        <v>1705000</v>
      </c>
      <c r="AL59" s="532">
        <f t="shared" si="14"/>
        <v>1379492.6666666667</v>
      </c>
      <c r="AM59" s="532">
        <f t="shared" si="15"/>
        <v>1379492.6666666667</v>
      </c>
      <c r="AN59" s="532">
        <f t="shared" si="16"/>
        <v>1379492.6666666667</v>
      </c>
      <c r="AO59" s="614">
        <v>631600</v>
      </c>
      <c r="AQ59" s="614">
        <v>1473800</v>
      </c>
      <c r="AR59" s="54">
        <v>0</v>
      </c>
      <c r="AS59" s="532">
        <v>250939</v>
      </c>
      <c r="AT59" s="54">
        <v>0</v>
      </c>
      <c r="AU59" s="54">
        <v>0</v>
      </c>
      <c r="AV59" s="54">
        <v>0</v>
      </c>
      <c r="AW59" s="54">
        <v>0</v>
      </c>
      <c r="AY59" s="54">
        <v>0</v>
      </c>
      <c r="AZ59" s="614">
        <v>11400000</v>
      </c>
      <c r="BA59" s="614">
        <v>1350000</v>
      </c>
      <c r="BB59" s="614"/>
      <c r="BD59" s="54">
        <v>0</v>
      </c>
      <c r="BE59" s="614">
        <v>2020750</v>
      </c>
      <c r="BG59" s="54">
        <v>0</v>
      </c>
      <c r="BJ59" s="54">
        <v>0</v>
      </c>
      <c r="BK59" s="54">
        <v>0</v>
      </c>
      <c r="BN59" s="532">
        <v>5902869</v>
      </c>
      <c r="BO59" s="54">
        <v>0</v>
      </c>
      <c r="BP59" s="54">
        <v>0</v>
      </c>
      <c r="BQ59" s="614">
        <v>151868</v>
      </c>
      <c r="BR59" s="54">
        <v>0</v>
      </c>
      <c r="BS59" s="54">
        <v>0</v>
      </c>
      <c r="BU59" s="54">
        <v>220000</v>
      </c>
      <c r="BW59" s="54">
        <v>0</v>
      </c>
      <c r="CB59" s="532">
        <v>2000000</v>
      </c>
      <c r="CE59" s="614">
        <v>1139160</v>
      </c>
      <c r="CF59" s="54">
        <v>0</v>
      </c>
      <c r="CG59" s="54">
        <v>0</v>
      </c>
      <c r="CH59" s="54">
        <v>0</v>
      </c>
      <c r="CI59" s="54">
        <v>1660000</v>
      </c>
      <c r="CJ59" s="54">
        <v>0</v>
      </c>
      <c r="CR59" s="54">
        <v>0</v>
      </c>
      <c r="CT59" s="54">
        <v>0</v>
      </c>
      <c r="CV59" s="54">
        <v>0</v>
      </c>
      <c r="CY59" s="532"/>
      <c r="CZ59" s="614">
        <v>311284</v>
      </c>
      <c r="DA59" s="54">
        <v>0</v>
      </c>
      <c r="DF59" s="614">
        <v>5059400</v>
      </c>
      <c r="DI59" s="614">
        <v>5705950</v>
      </c>
      <c r="DN59" s="54">
        <v>2400000</v>
      </c>
      <c r="DQ59" s="614">
        <v>7683000</v>
      </c>
      <c r="DR59" s="54">
        <v>0</v>
      </c>
      <c r="DS59" s="54">
        <v>0</v>
      </c>
      <c r="DW59" s="54">
        <v>0</v>
      </c>
      <c r="EB59" s="54">
        <v>0</v>
      </c>
      <c r="EE59" s="54">
        <v>0</v>
      </c>
      <c r="EL59" s="54">
        <v>0</v>
      </c>
      <c r="EM59" s="614">
        <v>13959000</v>
      </c>
      <c r="EP59" s="614">
        <v>910000</v>
      </c>
      <c r="EQ59" s="54">
        <v>0</v>
      </c>
      <c r="ER59" s="532">
        <v>22688528</v>
      </c>
      <c r="ET59" s="532"/>
      <c r="EU59" s="54">
        <v>0</v>
      </c>
      <c r="EZ59" s="532"/>
      <c r="FA59" s="54">
        <v>0</v>
      </c>
      <c r="FE59" s="614">
        <v>1800000</v>
      </c>
      <c r="FH59" s="614">
        <v>11828966</v>
      </c>
      <c r="FI59" s="614"/>
      <c r="FJ59" s="54">
        <v>0</v>
      </c>
      <c r="FK59" s="54">
        <v>0</v>
      </c>
      <c r="FL59" s="54">
        <v>0</v>
      </c>
      <c r="FM59" s="54">
        <v>0</v>
      </c>
      <c r="FN59" s="614">
        <v>4138478</v>
      </c>
      <c r="FQ59" s="532">
        <v>650000</v>
      </c>
      <c r="FT59" s="532"/>
      <c r="FY59" s="54">
        <v>0</v>
      </c>
    </row>
    <row r="60" spans="1:183" x14ac:dyDescent="0.2">
      <c r="A60" s="439" t="s">
        <v>159</v>
      </c>
      <c r="C60" s="614">
        <v>5005767</v>
      </c>
      <c r="E60" s="614"/>
      <c r="H60" s="54">
        <v>0</v>
      </c>
      <c r="J60" s="54">
        <v>0</v>
      </c>
      <c r="K60" s="54">
        <v>0</v>
      </c>
      <c r="L60" s="54">
        <v>0</v>
      </c>
      <c r="M60" s="54">
        <v>0</v>
      </c>
      <c r="T60" s="54">
        <v>0</v>
      </c>
      <c r="W60" s="614">
        <v>359550</v>
      </c>
      <c r="AD60" s="532">
        <v>7288</v>
      </c>
      <c r="AG60" s="54">
        <v>0</v>
      </c>
      <c r="AI60" s="54">
        <v>0</v>
      </c>
      <c r="AL60" s="532">
        <f t="shared" si="14"/>
        <v>0</v>
      </c>
      <c r="AM60" s="532">
        <f t="shared" si="15"/>
        <v>0</v>
      </c>
      <c r="AN60" s="532">
        <f t="shared" si="16"/>
        <v>0</v>
      </c>
      <c r="AO60" s="54">
        <v>0</v>
      </c>
      <c r="AR60" s="54">
        <v>0</v>
      </c>
      <c r="AT60" s="54">
        <v>0</v>
      </c>
      <c r="AU60" s="54">
        <v>0</v>
      </c>
      <c r="AV60" s="54">
        <v>0</v>
      </c>
      <c r="AW60" s="54">
        <v>0</v>
      </c>
      <c r="AY60" s="54">
        <v>0</v>
      </c>
      <c r="BD60" s="54">
        <v>0</v>
      </c>
      <c r="BG60" s="54">
        <v>0</v>
      </c>
      <c r="BJ60" s="54">
        <v>0</v>
      </c>
      <c r="BK60" s="54">
        <v>0</v>
      </c>
      <c r="BN60" s="532">
        <v>96000</v>
      </c>
      <c r="BO60" s="54">
        <v>0</v>
      </c>
      <c r="BP60" s="54">
        <v>0</v>
      </c>
      <c r="BR60" s="54">
        <v>0</v>
      </c>
      <c r="BS60" s="614">
        <v>540235</v>
      </c>
      <c r="BT60" s="532">
        <v>3154</v>
      </c>
      <c r="BU60" s="54">
        <v>0</v>
      </c>
      <c r="BW60" s="614">
        <v>108838</v>
      </c>
      <c r="BY60" s="54">
        <v>437500</v>
      </c>
      <c r="CE60" s="614">
        <v>132327</v>
      </c>
      <c r="CF60" s="614">
        <v>4766160</v>
      </c>
      <c r="CG60" s="54">
        <v>0</v>
      </c>
      <c r="CH60" s="54">
        <v>0</v>
      </c>
      <c r="CJ60" s="54">
        <v>0</v>
      </c>
      <c r="CR60" s="614">
        <v>14400</v>
      </c>
      <c r="CS60" s="54">
        <v>884000</v>
      </c>
      <c r="CT60" s="54">
        <v>0</v>
      </c>
      <c r="CY60" s="532"/>
      <c r="DA60" s="54">
        <v>0</v>
      </c>
      <c r="DB60" s="532">
        <v>204000</v>
      </c>
      <c r="DD60" s="614">
        <v>6140772</v>
      </c>
      <c r="DH60" s="614">
        <v>7920000</v>
      </c>
      <c r="DQ60" s="614">
        <v>973965</v>
      </c>
      <c r="DR60" s="54">
        <v>0</v>
      </c>
      <c r="DS60" s="54">
        <v>0</v>
      </c>
      <c r="DT60" s="532">
        <v>4352090</v>
      </c>
      <c r="DV60" s="614"/>
      <c r="DW60" s="54">
        <v>0</v>
      </c>
      <c r="EA60" s="614">
        <v>1054921</v>
      </c>
      <c r="EB60" s="54">
        <v>0</v>
      </c>
      <c r="EE60" s="54">
        <v>0</v>
      </c>
      <c r="EI60" s="532">
        <v>1321100</v>
      </c>
      <c r="EL60" s="54">
        <v>0</v>
      </c>
      <c r="EM60" s="54">
        <v>0</v>
      </c>
      <c r="EP60" s="614">
        <v>1247000</v>
      </c>
      <c r="EU60" s="614"/>
      <c r="FA60" s="54">
        <v>0</v>
      </c>
      <c r="FJ60" s="54">
        <v>0</v>
      </c>
      <c r="FK60" s="54">
        <v>0</v>
      </c>
      <c r="FM60" s="54">
        <v>0</v>
      </c>
      <c r="FY60" s="54">
        <v>0</v>
      </c>
    </row>
    <row r="61" spans="1:183" x14ac:dyDescent="0.2">
      <c r="A61" s="439" t="s">
        <v>182</v>
      </c>
      <c r="H61" s="54">
        <v>0</v>
      </c>
      <c r="L61" s="54">
        <v>0</v>
      </c>
      <c r="T61" s="54">
        <v>0</v>
      </c>
      <c r="AD61" s="532">
        <v>0</v>
      </c>
      <c r="AG61" s="54">
        <v>0</v>
      </c>
      <c r="AI61" s="54">
        <v>0</v>
      </c>
      <c r="AL61" s="532">
        <f t="shared" si="14"/>
        <v>0</v>
      </c>
      <c r="AM61" s="532">
        <f t="shared" si="15"/>
        <v>0</v>
      </c>
      <c r="AN61" s="532">
        <f t="shared" si="16"/>
        <v>0</v>
      </c>
      <c r="AQ61" s="614">
        <v>1650420</v>
      </c>
      <c r="AR61" s="54">
        <v>0</v>
      </c>
      <c r="AU61" s="54">
        <v>0</v>
      </c>
      <c r="AW61" s="54">
        <v>0</v>
      </c>
      <c r="AY61" s="54">
        <v>0</v>
      </c>
      <c r="BG61" s="54">
        <v>0</v>
      </c>
      <c r="BJ61" s="54">
        <v>0</v>
      </c>
      <c r="BK61" s="54">
        <v>0</v>
      </c>
      <c r="BO61" s="54">
        <v>0</v>
      </c>
      <c r="BP61" s="54">
        <v>0</v>
      </c>
      <c r="BS61" s="54">
        <v>0</v>
      </c>
      <c r="BU61" s="54">
        <v>0</v>
      </c>
      <c r="BW61" s="54">
        <v>0</v>
      </c>
      <c r="CF61" s="54">
        <v>0</v>
      </c>
      <c r="CJ61" s="54">
        <v>0</v>
      </c>
      <c r="CR61" s="54">
        <v>0</v>
      </c>
      <c r="CT61" s="54">
        <v>0</v>
      </c>
      <c r="CY61" s="532"/>
      <c r="DA61" s="54">
        <v>0</v>
      </c>
      <c r="DS61" s="54">
        <v>0</v>
      </c>
      <c r="EE61" s="54">
        <v>0</v>
      </c>
      <c r="EL61" s="54">
        <v>0</v>
      </c>
      <c r="EM61" s="54">
        <v>0</v>
      </c>
      <c r="EP61" s="54">
        <v>0</v>
      </c>
      <c r="EU61" s="54">
        <v>0</v>
      </c>
      <c r="FA61" s="54">
        <v>0</v>
      </c>
      <c r="FK61" s="614">
        <v>341438</v>
      </c>
      <c r="FM61" s="54">
        <v>0</v>
      </c>
      <c r="FT61" s="54">
        <v>341438</v>
      </c>
      <c r="FY61" s="54">
        <v>0</v>
      </c>
    </row>
    <row r="62" spans="1:183" x14ac:dyDescent="0.2">
      <c r="A62" s="439" t="s">
        <v>183</v>
      </c>
      <c r="F62" s="614"/>
      <c r="H62" s="54">
        <v>0</v>
      </c>
      <c r="L62" s="54">
        <v>0</v>
      </c>
      <c r="T62" s="54">
        <v>0</v>
      </c>
      <c r="AD62" s="532">
        <v>0</v>
      </c>
      <c r="AG62" s="54">
        <v>0</v>
      </c>
      <c r="AI62" s="54">
        <v>0</v>
      </c>
      <c r="AL62" s="532">
        <f t="shared" si="14"/>
        <v>0</v>
      </c>
      <c r="AM62" s="532">
        <f t="shared" si="15"/>
        <v>0</v>
      </c>
      <c r="AN62" s="532">
        <f t="shared" si="16"/>
        <v>0</v>
      </c>
      <c r="AR62" s="54">
        <v>0</v>
      </c>
      <c r="AU62" s="54">
        <v>0</v>
      </c>
      <c r="AW62" s="54">
        <v>0</v>
      </c>
      <c r="AY62" s="54">
        <v>0</v>
      </c>
      <c r="BG62" s="54">
        <v>0</v>
      </c>
      <c r="BJ62" s="54">
        <v>0</v>
      </c>
      <c r="BK62" s="54">
        <v>0</v>
      </c>
      <c r="BO62" s="54">
        <v>0</v>
      </c>
      <c r="BP62" s="54">
        <v>0</v>
      </c>
      <c r="BS62" s="54">
        <v>0</v>
      </c>
      <c r="BU62" s="54">
        <v>0</v>
      </c>
      <c r="BW62" s="54">
        <v>0</v>
      </c>
      <c r="CF62" s="54">
        <v>0</v>
      </c>
      <c r="CJ62" s="54">
        <v>0</v>
      </c>
      <c r="CR62" s="54">
        <v>0</v>
      </c>
      <c r="CT62" s="54">
        <v>0</v>
      </c>
      <c r="CY62" s="532"/>
      <c r="DA62" s="54">
        <v>0</v>
      </c>
      <c r="DS62" s="54">
        <v>0</v>
      </c>
      <c r="EE62" s="54">
        <v>0</v>
      </c>
      <c r="EL62" s="54">
        <v>0</v>
      </c>
      <c r="EM62" s="54">
        <v>0</v>
      </c>
      <c r="EP62" s="54">
        <v>0</v>
      </c>
      <c r="EU62" s="54">
        <v>0</v>
      </c>
      <c r="FA62" s="54">
        <v>0</v>
      </c>
      <c r="FK62" s="614">
        <v>80750</v>
      </c>
      <c r="FM62" s="54">
        <v>0</v>
      </c>
      <c r="FT62" s="54">
        <v>80750</v>
      </c>
      <c r="FY62" s="54">
        <v>0</v>
      </c>
    </row>
    <row r="63" spans="1:183" x14ac:dyDescent="0.2">
      <c r="A63" s="439" t="s">
        <v>172</v>
      </c>
      <c r="F63" s="614"/>
      <c r="H63" s="54">
        <v>0</v>
      </c>
      <c r="L63" s="54">
        <v>0</v>
      </c>
      <c r="P63" s="532">
        <f>[16]פקיעין!$G$260</f>
        <v>2590429</v>
      </c>
      <c r="T63" s="54">
        <v>0</v>
      </c>
      <c r="V63" s="532">
        <v>23662098</v>
      </c>
      <c r="X63" s="614">
        <v>3847797</v>
      </c>
      <c r="AD63" s="532">
        <v>0</v>
      </c>
      <c r="AG63" s="54">
        <v>0</v>
      </c>
      <c r="AI63" s="54">
        <v>0</v>
      </c>
      <c r="AL63" s="532">
        <f t="shared" si="14"/>
        <v>0</v>
      </c>
      <c r="AM63" s="532">
        <f t="shared" si="15"/>
        <v>0</v>
      </c>
      <c r="AN63" s="532">
        <f t="shared" si="16"/>
        <v>0</v>
      </c>
      <c r="AR63" s="54">
        <v>0</v>
      </c>
      <c r="AU63" s="54">
        <v>0</v>
      </c>
      <c r="AV63" s="614">
        <v>15631892</v>
      </c>
      <c r="AW63" s="54">
        <v>0</v>
      </c>
      <c r="AY63" s="54">
        <v>0</v>
      </c>
      <c r="BG63" s="54">
        <v>0</v>
      </c>
      <c r="BJ63" s="54">
        <v>0</v>
      </c>
      <c r="BK63" s="54">
        <v>0</v>
      </c>
      <c r="BL63" s="532">
        <v>4047728</v>
      </c>
      <c r="BP63" s="54">
        <v>0</v>
      </c>
      <c r="BR63" s="614">
        <v>3873262</v>
      </c>
      <c r="BS63" s="54">
        <v>0</v>
      </c>
      <c r="BU63" s="54">
        <v>0</v>
      </c>
      <c r="BW63" s="54">
        <v>0</v>
      </c>
      <c r="CF63" s="54">
        <v>0</v>
      </c>
      <c r="CJ63" s="54">
        <v>0</v>
      </c>
      <c r="CK63" s="532">
        <v>4598813</v>
      </c>
      <c r="CR63" s="54">
        <v>0</v>
      </c>
      <c r="CT63" s="54">
        <v>0</v>
      </c>
      <c r="CY63" s="532"/>
      <c r="DA63" s="54">
        <v>0</v>
      </c>
      <c r="DS63" s="54">
        <v>0</v>
      </c>
      <c r="DW63" s="54">
        <v>0</v>
      </c>
      <c r="EE63" s="54">
        <v>0</v>
      </c>
      <c r="EL63" s="54">
        <v>0</v>
      </c>
      <c r="EM63" s="54">
        <v>0</v>
      </c>
      <c r="EP63" s="54">
        <v>0</v>
      </c>
      <c r="EU63" s="54">
        <v>0</v>
      </c>
      <c r="FA63" s="54">
        <v>0</v>
      </c>
      <c r="FK63" s="54">
        <v>0</v>
      </c>
      <c r="FM63" s="54">
        <v>0</v>
      </c>
      <c r="FY63" s="54">
        <v>0</v>
      </c>
    </row>
    <row r="64" spans="1:183" x14ac:dyDescent="0.2">
      <c r="A64" s="439" t="s">
        <v>175</v>
      </c>
      <c r="E64" s="614">
        <v>233325</v>
      </c>
      <c r="F64" s="614">
        <v>3049403</v>
      </c>
      <c r="H64" s="614">
        <v>788363</v>
      </c>
      <c r="L64" s="54">
        <v>0</v>
      </c>
      <c r="S64" s="532">
        <f>2530000+8421000</f>
        <v>10951000</v>
      </c>
      <c r="T64" s="54">
        <v>0</v>
      </c>
      <c r="U64" s="54">
        <v>1322918</v>
      </c>
      <c r="Z64" s="54">
        <v>2004435</v>
      </c>
      <c r="AG64" s="54">
        <v>0</v>
      </c>
      <c r="AI64" s="54">
        <v>0</v>
      </c>
      <c r="AL64" s="532">
        <f t="shared" si="14"/>
        <v>0</v>
      </c>
      <c r="AM64" s="532">
        <f t="shared" si="15"/>
        <v>0</v>
      </c>
      <c r="AN64" s="532">
        <f t="shared" si="16"/>
        <v>0</v>
      </c>
      <c r="AR64" s="54">
        <v>0</v>
      </c>
      <c r="AY64" s="54">
        <v>0</v>
      </c>
      <c r="BG64" s="54">
        <v>0</v>
      </c>
      <c r="BJ64" s="54">
        <v>0</v>
      </c>
      <c r="BK64" s="54">
        <v>0</v>
      </c>
      <c r="BM64" s="532">
        <v>3615938</v>
      </c>
      <c r="BP64" s="54">
        <v>0</v>
      </c>
      <c r="BS64" s="54">
        <v>0</v>
      </c>
      <c r="BU64" s="54">
        <v>0</v>
      </c>
      <c r="BW64" s="54">
        <v>0</v>
      </c>
      <c r="CA64" s="532">
        <v>6800000</v>
      </c>
      <c r="CD64" s="532">
        <f>727521+75165</f>
        <v>802686</v>
      </c>
      <c r="CJ64" s="54">
        <v>0</v>
      </c>
      <c r="CR64" s="54">
        <v>0</v>
      </c>
      <c r="CT64" s="54">
        <v>0</v>
      </c>
      <c r="CY64" s="532"/>
      <c r="DA64" s="54">
        <v>0</v>
      </c>
      <c r="EL64" s="54">
        <v>0</v>
      </c>
      <c r="EM64" s="54">
        <v>0</v>
      </c>
      <c r="FA64" s="54">
        <v>0</v>
      </c>
      <c r="FM64" s="54">
        <v>0</v>
      </c>
      <c r="FX64" s="532">
        <v>1189211</v>
      </c>
    </row>
    <row r="65" spans="1:183" x14ac:dyDescent="0.2">
      <c r="A65" s="439" t="s">
        <v>176</v>
      </c>
      <c r="L65" s="54">
        <v>0</v>
      </c>
      <c r="T65" s="614">
        <v>1248698</v>
      </c>
      <c r="AI65" s="54">
        <v>0</v>
      </c>
      <c r="AL65" s="532">
        <f t="shared" si="14"/>
        <v>0</v>
      </c>
      <c r="AM65" s="532">
        <f t="shared" si="15"/>
        <v>0</v>
      </c>
      <c r="AN65" s="532">
        <f t="shared" si="16"/>
        <v>0</v>
      </c>
      <c r="BS65" s="54">
        <v>0</v>
      </c>
      <c r="BU65" s="54">
        <v>0</v>
      </c>
      <c r="BW65" s="54">
        <v>0</v>
      </c>
      <c r="CR65" s="54">
        <v>0</v>
      </c>
      <c r="CT65" s="54">
        <v>0</v>
      </c>
      <c r="CY65" s="532"/>
      <c r="DA65" s="54">
        <v>0</v>
      </c>
      <c r="EL65" s="54">
        <v>0</v>
      </c>
      <c r="EM65" s="54">
        <v>0</v>
      </c>
      <c r="FA65" s="54">
        <v>0</v>
      </c>
      <c r="FM65" s="54">
        <v>0</v>
      </c>
      <c r="FU65" s="532">
        <v>3965902</v>
      </c>
    </row>
    <row r="66" spans="1:183" x14ac:dyDescent="0.2">
      <c r="A66" s="439" t="s">
        <v>177</v>
      </c>
      <c r="L66" s="54">
        <v>0</v>
      </c>
      <c r="T66" s="614">
        <v>334201</v>
      </c>
      <c r="AI66" s="54">
        <v>0</v>
      </c>
      <c r="AL66" s="532">
        <f t="shared" si="14"/>
        <v>0</v>
      </c>
      <c r="AM66" s="532">
        <f t="shared" si="15"/>
        <v>0</v>
      </c>
      <c r="AN66" s="532">
        <f t="shared" si="16"/>
        <v>0</v>
      </c>
      <c r="BS66" s="54">
        <v>0</v>
      </c>
      <c r="BU66" s="54">
        <v>0</v>
      </c>
      <c r="BW66" s="54">
        <v>0</v>
      </c>
      <c r="CR66" s="54">
        <v>0</v>
      </c>
      <c r="CT66" s="54">
        <v>0</v>
      </c>
      <c r="CY66" s="532"/>
      <c r="DA66" s="54">
        <v>0</v>
      </c>
      <c r="EL66" s="54">
        <v>0</v>
      </c>
      <c r="EM66" s="54">
        <v>0</v>
      </c>
      <c r="FA66" s="54">
        <v>0</v>
      </c>
      <c r="FM66" s="54">
        <v>0</v>
      </c>
    </row>
    <row r="67" spans="1:183" x14ac:dyDescent="0.2">
      <c r="A67" s="439" t="s">
        <v>178</v>
      </c>
      <c r="L67" s="54">
        <v>0</v>
      </c>
      <c r="T67" s="614">
        <v>13101</v>
      </c>
      <c r="AI67" s="54">
        <v>0</v>
      </c>
      <c r="AL67" s="532">
        <f t="shared" si="14"/>
        <v>0</v>
      </c>
      <c r="AM67" s="532">
        <f t="shared" si="15"/>
        <v>0</v>
      </c>
      <c r="AN67" s="532">
        <f t="shared" si="16"/>
        <v>0</v>
      </c>
      <c r="BS67" s="54">
        <v>0</v>
      </c>
      <c r="BU67" s="54">
        <v>0</v>
      </c>
      <c r="BW67" s="54">
        <v>0</v>
      </c>
      <c r="CR67" s="54">
        <v>0</v>
      </c>
      <c r="CT67" s="54">
        <v>0</v>
      </c>
      <c r="CY67" s="532"/>
      <c r="DA67" s="54">
        <v>0</v>
      </c>
      <c r="EL67" s="54">
        <v>0</v>
      </c>
      <c r="EM67" s="54">
        <v>0</v>
      </c>
      <c r="FA67" s="54">
        <v>0</v>
      </c>
      <c r="FM67" s="54">
        <v>0</v>
      </c>
    </row>
    <row r="68" spans="1:183" x14ac:dyDescent="0.2">
      <c r="A68" s="439" t="s">
        <v>179</v>
      </c>
      <c r="L68" s="54">
        <v>0</v>
      </c>
      <c r="T68" s="614">
        <v>2951434</v>
      </c>
      <c r="V68" s="614"/>
      <c r="AI68" s="54">
        <v>0</v>
      </c>
      <c r="AL68" s="532">
        <f t="shared" si="14"/>
        <v>0</v>
      </c>
      <c r="AM68" s="532">
        <f t="shared" si="15"/>
        <v>0</v>
      </c>
      <c r="AN68" s="532">
        <f t="shared" si="16"/>
        <v>0</v>
      </c>
      <c r="BS68" s="54">
        <v>0</v>
      </c>
      <c r="BU68" s="54">
        <v>0</v>
      </c>
      <c r="BW68" s="54">
        <v>0</v>
      </c>
      <c r="CR68" s="54">
        <v>0</v>
      </c>
      <c r="CT68" s="54">
        <v>0</v>
      </c>
      <c r="CY68" s="532"/>
      <c r="DA68" s="54">
        <v>0</v>
      </c>
      <c r="EL68" s="54">
        <v>0</v>
      </c>
      <c r="EM68" s="54">
        <v>0</v>
      </c>
      <c r="FA68" s="54">
        <v>0</v>
      </c>
      <c r="FM68" s="54">
        <v>0</v>
      </c>
    </row>
    <row r="69" spans="1:183" x14ac:dyDescent="0.2">
      <c r="A69" s="439" t="s">
        <v>180</v>
      </c>
      <c r="L69" s="54">
        <v>0</v>
      </c>
      <c r="AL69" s="532">
        <f t="shared" si="14"/>
        <v>0</v>
      </c>
      <c r="AM69" s="532">
        <f t="shared" si="15"/>
        <v>0</v>
      </c>
      <c r="AN69" s="532">
        <f t="shared" si="16"/>
        <v>0</v>
      </c>
      <c r="AO69" s="532">
        <v>711528</v>
      </c>
      <c r="AP69" s="532">
        <v>2764312</v>
      </c>
      <c r="BS69" s="54">
        <v>0</v>
      </c>
      <c r="BU69" s="54">
        <v>0</v>
      </c>
      <c r="BW69" s="54">
        <v>0</v>
      </c>
      <c r="BX69" s="532">
        <v>1933632</v>
      </c>
      <c r="CY69" s="532"/>
      <c r="DA69" s="54">
        <v>0</v>
      </c>
      <c r="EA69" s="532">
        <f>+EA50/2</f>
        <v>70913000</v>
      </c>
      <c r="FM69" s="54">
        <v>0</v>
      </c>
    </row>
    <row r="70" spans="1:183" x14ac:dyDescent="0.2">
      <c r="A70" s="439" t="s">
        <v>181</v>
      </c>
      <c r="L70" s="54">
        <v>0</v>
      </c>
      <c r="T70" s="54">
        <v>0</v>
      </c>
      <c r="AC70" s="614"/>
      <c r="AG70" s="54">
        <v>0</v>
      </c>
      <c r="AI70" s="54">
        <v>0</v>
      </c>
      <c r="AL70" s="532">
        <f t="shared" si="14"/>
        <v>0</v>
      </c>
      <c r="AM70" s="532">
        <f t="shared" si="15"/>
        <v>0</v>
      </c>
      <c r="AN70" s="532">
        <f t="shared" si="16"/>
        <v>0</v>
      </c>
      <c r="AO70" s="614"/>
      <c r="AR70" s="614">
        <v>2579702</v>
      </c>
      <c r="AY70" s="54">
        <v>0</v>
      </c>
      <c r="BG70" s="54">
        <v>0</v>
      </c>
      <c r="BJ70" s="54">
        <v>0</v>
      </c>
      <c r="BK70" s="54">
        <v>0</v>
      </c>
      <c r="BP70" s="54">
        <v>0</v>
      </c>
      <c r="BS70" s="54">
        <v>0</v>
      </c>
      <c r="BU70" s="54">
        <v>0</v>
      </c>
      <c r="BW70" s="54">
        <v>0</v>
      </c>
      <c r="CR70" s="54">
        <v>0</v>
      </c>
      <c r="CT70" s="54">
        <v>0</v>
      </c>
      <c r="CY70" s="532"/>
      <c r="DA70" s="54">
        <v>0</v>
      </c>
      <c r="EL70" s="614">
        <v>5300000</v>
      </c>
      <c r="EM70" s="54">
        <v>0</v>
      </c>
      <c r="FA70" s="54">
        <v>0</v>
      </c>
      <c r="FJ70" s="614">
        <v>4047728</v>
      </c>
      <c r="FM70" s="54">
        <v>0</v>
      </c>
    </row>
    <row r="71" spans="1:183" x14ac:dyDescent="0.2">
      <c r="A71" s="439" t="s">
        <v>164</v>
      </c>
      <c r="B71" s="614">
        <f t="shared" ref="B71:AT71" si="17">SUM(B54:B69)</f>
        <v>10282286</v>
      </c>
      <c r="C71" s="614">
        <f t="shared" si="17"/>
        <v>13316126</v>
      </c>
      <c r="D71" s="614">
        <f t="shared" si="17"/>
        <v>29977000</v>
      </c>
      <c r="E71" s="614">
        <f t="shared" si="17"/>
        <v>8107828</v>
      </c>
      <c r="F71" s="614">
        <f t="shared" si="17"/>
        <v>7379273</v>
      </c>
      <c r="G71" s="614">
        <f t="shared" si="17"/>
        <v>12340956</v>
      </c>
      <c r="H71" s="614">
        <f t="shared" si="17"/>
        <v>7572185</v>
      </c>
      <c r="I71" s="614">
        <f t="shared" si="17"/>
        <v>23666077</v>
      </c>
      <c r="J71" s="614">
        <f t="shared" si="17"/>
        <v>5643500</v>
      </c>
      <c r="K71" s="614">
        <f t="shared" si="17"/>
        <v>10321228</v>
      </c>
      <c r="L71" s="614">
        <f t="shared" si="17"/>
        <v>8247023</v>
      </c>
      <c r="M71" s="614">
        <f t="shared" si="17"/>
        <v>2456776</v>
      </c>
      <c r="N71" s="614">
        <f t="shared" si="17"/>
        <v>10413019</v>
      </c>
      <c r="O71" s="614">
        <f t="shared" si="17"/>
        <v>31200330</v>
      </c>
      <c r="P71" s="614">
        <f t="shared" si="17"/>
        <v>10338106</v>
      </c>
      <c r="Q71" s="614">
        <f t="shared" si="17"/>
        <v>6238429</v>
      </c>
      <c r="R71" s="614">
        <f t="shared" si="17"/>
        <v>9877779</v>
      </c>
      <c r="S71" s="614">
        <f t="shared" si="17"/>
        <v>10951000</v>
      </c>
      <c r="T71" s="614">
        <f t="shared" si="17"/>
        <v>13112342</v>
      </c>
      <c r="U71" s="614">
        <f t="shared" si="17"/>
        <v>12488128</v>
      </c>
      <c r="V71" s="614">
        <f t="shared" si="17"/>
        <v>31519586</v>
      </c>
      <c r="W71" s="614">
        <f t="shared" si="17"/>
        <v>24814905</v>
      </c>
      <c r="X71" s="614">
        <f t="shared" si="17"/>
        <v>10950306</v>
      </c>
      <c r="Y71" s="614">
        <f t="shared" si="17"/>
        <v>7192404</v>
      </c>
      <c r="Z71" s="614">
        <f t="shared" si="17"/>
        <v>28979638</v>
      </c>
      <c r="AA71" s="614">
        <f t="shared" si="17"/>
        <v>2920246</v>
      </c>
      <c r="AB71" s="614">
        <f t="shared" si="17"/>
        <v>13147632</v>
      </c>
      <c r="AC71" s="614">
        <f t="shared" si="17"/>
        <v>63222735</v>
      </c>
      <c r="AD71" s="532">
        <f t="shared" si="17"/>
        <v>10377488</v>
      </c>
      <c r="AE71" s="614">
        <f t="shared" si="17"/>
        <v>16237775</v>
      </c>
      <c r="AF71" s="614">
        <f t="shared" si="17"/>
        <v>11039630</v>
      </c>
      <c r="AG71" s="614">
        <f t="shared" si="17"/>
        <v>19135810</v>
      </c>
      <c r="AH71" s="614">
        <f t="shared" si="17"/>
        <v>32792224</v>
      </c>
      <c r="AI71" s="614">
        <f t="shared" si="17"/>
        <v>17939119</v>
      </c>
      <c r="AJ71" s="614">
        <f t="shared" si="17"/>
        <v>42446902</v>
      </c>
      <c r="AK71" s="614">
        <f>SUM(AK54:AK69)</f>
        <v>25679267</v>
      </c>
      <c r="AL71" s="532">
        <f t="shared" si="17"/>
        <v>11273799.999999998</v>
      </c>
      <c r="AM71" s="532">
        <f t="shared" si="17"/>
        <v>11273799.999999998</v>
      </c>
      <c r="AN71" s="532">
        <f t="shared" si="17"/>
        <v>11273799.999999998</v>
      </c>
      <c r="AO71" s="614">
        <f t="shared" si="17"/>
        <v>17886896</v>
      </c>
      <c r="AP71" s="614">
        <f t="shared" si="17"/>
        <v>14529653</v>
      </c>
      <c r="AQ71" s="614">
        <f t="shared" si="17"/>
        <v>16832228</v>
      </c>
      <c r="AR71" s="614">
        <f t="shared" si="17"/>
        <v>26759581</v>
      </c>
      <c r="AS71" s="614">
        <f t="shared" si="17"/>
        <v>21556077</v>
      </c>
      <c r="AT71" s="614">
        <f t="shared" si="17"/>
        <v>7895952</v>
      </c>
      <c r="AU71" s="614">
        <v>25569166</v>
      </c>
      <c r="AV71" s="614">
        <f t="shared" ref="AV71:DG71" si="18">SUM(AV54:AV69)</f>
        <v>35598019</v>
      </c>
      <c r="AW71" s="614">
        <f t="shared" si="18"/>
        <v>12632082</v>
      </c>
      <c r="AX71" s="614">
        <f t="shared" si="18"/>
        <v>8169959</v>
      </c>
      <c r="AY71" s="614">
        <f t="shared" si="18"/>
        <v>7621207</v>
      </c>
      <c r="AZ71" s="614">
        <f t="shared" si="18"/>
        <v>37646187</v>
      </c>
      <c r="BA71" s="614">
        <f t="shared" si="18"/>
        <v>9646680</v>
      </c>
      <c r="BB71" s="614">
        <f t="shared" si="18"/>
        <v>7601687</v>
      </c>
      <c r="BC71" s="614">
        <f t="shared" si="18"/>
        <v>4842797</v>
      </c>
      <c r="BD71" s="614">
        <f t="shared" si="18"/>
        <v>15298932</v>
      </c>
      <c r="BE71" s="614">
        <f t="shared" si="18"/>
        <v>15381768</v>
      </c>
      <c r="BF71" s="614">
        <f t="shared" si="18"/>
        <v>14761718</v>
      </c>
      <c r="BG71" s="614">
        <f t="shared" si="18"/>
        <v>37892048</v>
      </c>
      <c r="BH71" s="614">
        <f t="shared" si="18"/>
        <v>10387230</v>
      </c>
      <c r="BI71" s="614">
        <f t="shared" si="18"/>
        <v>22121908</v>
      </c>
      <c r="BJ71" s="614">
        <f t="shared" si="18"/>
        <v>6891079</v>
      </c>
      <c r="BK71" s="614">
        <f t="shared" si="18"/>
        <v>31401779</v>
      </c>
      <c r="BL71" s="614">
        <f t="shared" si="18"/>
        <v>8434097</v>
      </c>
      <c r="BM71" s="614">
        <f t="shared" si="18"/>
        <v>15574800</v>
      </c>
      <c r="BN71" s="614">
        <f t="shared" si="18"/>
        <v>53778053</v>
      </c>
      <c r="BO71" s="614">
        <f t="shared" si="18"/>
        <v>36802627</v>
      </c>
      <c r="BP71" s="614">
        <f t="shared" si="18"/>
        <v>18602293</v>
      </c>
      <c r="BQ71" s="614">
        <f t="shared" si="18"/>
        <v>18664668</v>
      </c>
      <c r="BR71" s="614">
        <f t="shared" si="18"/>
        <v>16073213</v>
      </c>
      <c r="BS71" s="614">
        <f t="shared" si="18"/>
        <v>17691781</v>
      </c>
      <c r="BT71" s="614">
        <f t="shared" si="18"/>
        <v>7137269</v>
      </c>
      <c r="BU71" s="614">
        <f t="shared" si="18"/>
        <v>7878332</v>
      </c>
      <c r="BV71" s="532">
        <f>SUM(BV54:BV70)</f>
        <v>4735754</v>
      </c>
      <c r="BW71" s="614">
        <f t="shared" si="18"/>
        <v>9344349</v>
      </c>
      <c r="BX71" s="614">
        <f t="shared" si="18"/>
        <v>6946130</v>
      </c>
      <c r="BY71" s="614">
        <f>SUM(BY54:BY69)</f>
        <v>48086163</v>
      </c>
      <c r="BZ71" s="614">
        <f>SUM(BZ54:BZ69)</f>
        <v>0</v>
      </c>
      <c r="CA71" s="614">
        <f t="shared" si="18"/>
        <v>31005173</v>
      </c>
      <c r="CB71" s="614">
        <f t="shared" si="18"/>
        <v>21062555</v>
      </c>
      <c r="CC71" s="614">
        <f t="shared" si="18"/>
        <v>21627726</v>
      </c>
      <c r="CD71" s="614">
        <f t="shared" si="18"/>
        <v>11132067</v>
      </c>
      <c r="CE71" s="614">
        <f t="shared" si="18"/>
        <v>149068916</v>
      </c>
      <c r="CF71" s="614">
        <f t="shared" si="18"/>
        <v>54179346</v>
      </c>
      <c r="CG71" s="614">
        <f t="shared" si="18"/>
        <v>6148233</v>
      </c>
      <c r="CH71" s="614">
        <f t="shared" si="18"/>
        <v>17735847</v>
      </c>
      <c r="CI71" s="614">
        <f t="shared" si="18"/>
        <v>15889625</v>
      </c>
      <c r="CJ71" s="614">
        <f t="shared" si="18"/>
        <v>11276245</v>
      </c>
      <c r="CK71" s="614">
        <f t="shared" si="18"/>
        <v>43467241</v>
      </c>
      <c r="CL71" s="614">
        <f t="shared" si="18"/>
        <v>0</v>
      </c>
      <c r="CM71" s="614">
        <f t="shared" si="18"/>
        <v>58201369</v>
      </c>
      <c r="CN71" s="614">
        <f>SUM(CN54:CN69)</f>
        <v>8452734</v>
      </c>
      <c r="CO71" s="614">
        <f>SUM(CO54:CO69)</f>
        <v>24585049</v>
      </c>
      <c r="CP71" s="614">
        <f>SUM(CP54:CP69)</f>
        <v>0</v>
      </c>
      <c r="CQ71" s="614">
        <f t="shared" si="18"/>
        <v>24119880</v>
      </c>
      <c r="CR71" s="614">
        <f t="shared" si="18"/>
        <v>29962730</v>
      </c>
      <c r="CS71" s="614">
        <f t="shared" si="18"/>
        <v>11242000</v>
      </c>
      <c r="CT71" s="614">
        <f t="shared" si="18"/>
        <v>26707799</v>
      </c>
      <c r="CU71" s="614">
        <f t="shared" si="18"/>
        <v>19045365</v>
      </c>
      <c r="CV71" s="614">
        <f>SUM(CV54:CV69)</f>
        <v>22807134</v>
      </c>
      <c r="CW71" s="614">
        <f t="shared" si="18"/>
        <v>21041682</v>
      </c>
      <c r="CX71" s="614">
        <f t="shared" si="18"/>
        <v>6643818</v>
      </c>
      <c r="CY71" s="614">
        <f t="shared" si="18"/>
        <v>18643904</v>
      </c>
      <c r="CZ71" s="614">
        <f t="shared" si="18"/>
        <v>169816994</v>
      </c>
      <c r="DA71" s="614">
        <f t="shared" si="18"/>
        <v>37152537</v>
      </c>
      <c r="DB71" s="614">
        <f t="shared" si="18"/>
        <v>17132034</v>
      </c>
      <c r="DC71" s="614">
        <f t="shared" si="18"/>
        <v>14276882</v>
      </c>
      <c r="DD71" s="614">
        <f t="shared" si="18"/>
        <v>121737165</v>
      </c>
      <c r="DE71" s="614">
        <f t="shared" si="18"/>
        <v>8735303</v>
      </c>
      <c r="DF71" s="614">
        <f t="shared" si="18"/>
        <v>74456641</v>
      </c>
      <c r="DG71" s="614">
        <f t="shared" si="18"/>
        <v>136884923</v>
      </c>
      <c r="DH71" s="614">
        <f t="shared" ref="DH71:FH71" si="19">SUM(DH54:DH69)</f>
        <v>106129059</v>
      </c>
      <c r="DI71" s="614">
        <f t="shared" si="19"/>
        <v>62900269</v>
      </c>
      <c r="DJ71" s="614">
        <f t="shared" si="19"/>
        <v>175953037</v>
      </c>
      <c r="DK71" s="614">
        <f t="shared" si="19"/>
        <v>7385437</v>
      </c>
      <c r="DL71" s="614">
        <f t="shared" si="19"/>
        <v>2328894</v>
      </c>
      <c r="DM71" s="614">
        <f t="shared" si="19"/>
        <v>6102764</v>
      </c>
      <c r="DN71" s="614">
        <f t="shared" si="19"/>
        <v>12383474</v>
      </c>
      <c r="DO71" s="614">
        <f>SUM(DO54:DO69)</f>
        <v>15266472</v>
      </c>
      <c r="DP71" s="614">
        <f t="shared" si="19"/>
        <v>10643700</v>
      </c>
      <c r="DQ71" s="614">
        <f t="shared" si="19"/>
        <v>72883174</v>
      </c>
      <c r="DR71" s="614">
        <f t="shared" si="19"/>
        <v>2203039</v>
      </c>
      <c r="DS71" s="614">
        <f t="shared" si="19"/>
        <v>16691507</v>
      </c>
      <c r="DT71" s="614">
        <f>SUM(DT54:DT69)</f>
        <v>8950005</v>
      </c>
      <c r="DU71" s="614">
        <f t="shared" si="19"/>
        <v>23133734</v>
      </c>
      <c r="DV71" s="614">
        <f>SUM(DV54:DV69)</f>
        <v>20184954</v>
      </c>
      <c r="DW71" s="614">
        <f t="shared" si="19"/>
        <v>27268389</v>
      </c>
      <c r="DX71" s="614">
        <f t="shared" si="19"/>
        <v>83432058</v>
      </c>
      <c r="DY71" s="614">
        <f t="shared" si="19"/>
        <v>70118664</v>
      </c>
      <c r="DZ71" s="614">
        <f>SUM(DZ54:DZ69)</f>
        <v>3133936</v>
      </c>
      <c r="EA71" s="614">
        <f t="shared" si="19"/>
        <v>608773526</v>
      </c>
      <c r="EB71" s="614">
        <f t="shared" si="19"/>
        <v>9540592</v>
      </c>
      <c r="EC71" s="614">
        <f t="shared" si="19"/>
        <v>11909442</v>
      </c>
      <c r="ED71" s="614">
        <f t="shared" si="19"/>
        <v>36469910</v>
      </c>
      <c r="EE71" s="614">
        <f t="shared" si="19"/>
        <v>1801370</v>
      </c>
      <c r="EF71" s="614">
        <f t="shared" si="19"/>
        <v>4450672</v>
      </c>
      <c r="EG71" s="614">
        <f t="shared" si="19"/>
        <v>5592416</v>
      </c>
      <c r="EH71" s="614">
        <f t="shared" si="19"/>
        <v>122270723</v>
      </c>
      <c r="EI71" s="614">
        <f t="shared" si="19"/>
        <v>149273050</v>
      </c>
      <c r="EJ71" s="614">
        <f t="shared" si="19"/>
        <v>31206227</v>
      </c>
      <c r="EK71" s="614">
        <f t="shared" si="19"/>
        <v>11246433</v>
      </c>
      <c r="EL71" s="614">
        <f t="shared" si="19"/>
        <v>6950758</v>
      </c>
      <c r="EM71" s="614">
        <f t="shared" si="19"/>
        <v>27216072</v>
      </c>
      <c r="EN71" s="614">
        <f t="shared" si="19"/>
        <v>25111000</v>
      </c>
      <c r="EO71" s="614">
        <f>SUM(EO54:EO69)</f>
        <v>4854551</v>
      </c>
      <c r="EP71" s="614">
        <f t="shared" si="19"/>
        <v>85440000</v>
      </c>
      <c r="EQ71" s="614">
        <f t="shared" si="19"/>
        <v>45017834</v>
      </c>
      <c r="ER71" s="614">
        <f t="shared" si="19"/>
        <v>108890831</v>
      </c>
      <c r="ES71" s="614">
        <f t="shared" si="19"/>
        <v>19603688</v>
      </c>
      <c r="ET71" s="614">
        <f>SUM(ET54:ET69)</f>
        <v>27360424</v>
      </c>
      <c r="EU71" s="614">
        <f t="shared" si="19"/>
        <v>181902103</v>
      </c>
      <c r="EV71" s="614">
        <f t="shared" si="19"/>
        <v>24914679</v>
      </c>
      <c r="EW71" s="614">
        <f t="shared" si="19"/>
        <v>28114669</v>
      </c>
      <c r="EX71" s="614">
        <f t="shared" si="19"/>
        <v>30982050</v>
      </c>
      <c r="EY71" s="614">
        <f t="shared" si="19"/>
        <v>36762272</v>
      </c>
      <c r="EZ71" s="614">
        <f t="shared" si="19"/>
        <v>13638223</v>
      </c>
      <c r="FA71" s="614">
        <f t="shared" si="19"/>
        <v>53339583</v>
      </c>
      <c r="FB71" s="614">
        <f t="shared" si="19"/>
        <v>26933227</v>
      </c>
      <c r="FC71" s="614">
        <f t="shared" si="19"/>
        <v>19386198</v>
      </c>
      <c r="FD71" s="614">
        <f t="shared" si="19"/>
        <v>28240644</v>
      </c>
      <c r="FE71" s="614">
        <f t="shared" si="19"/>
        <v>25568614</v>
      </c>
      <c r="FF71" s="614">
        <f t="shared" si="19"/>
        <v>14280221</v>
      </c>
      <c r="FG71" s="614">
        <f t="shared" si="19"/>
        <v>14556657</v>
      </c>
      <c r="FH71" s="614">
        <f t="shared" si="19"/>
        <v>116038292</v>
      </c>
      <c r="FI71" s="614"/>
      <c r="FJ71" s="614">
        <f t="shared" ref="FJ71:FZ71" si="20">SUM(FJ54:FJ69)</f>
        <v>4386369</v>
      </c>
      <c r="FK71" s="614">
        <f t="shared" si="20"/>
        <v>6565372</v>
      </c>
      <c r="FL71" s="614">
        <f t="shared" si="20"/>
        <v>7530715</v>
      </c>
      <c r="FM71" s="614">
        <f t="shared" si="20"/>
        <v>62643263</v>
      </c>
      <c r="FN71" s="614">
        <f t="shared" si="20"/>
        <v>33821400</v>
      </c>
      <c r="FO71" s="614">
        <f t="shared" si="20"/>
        <v>3998922</v>
      </c>
      <c r="FP71" s="614">
        <f t="shared" si="20"/>
        <v>4397798</v>
      </c>
      <c r="FQ71" s="614">
        <f t="shared" si="20"/>
        <v>40494119</v>
      </c>
      <c r="FR71" s="614">
        <f t="shared" si="20"/>
        <v>22807133</v>
      </c>
      <c r="FT71" s="614">
        <f t="shared" si="20"/>
        <v>6565372</v>
      </c>
      <c r="FU71" s="614">
        <f t="shared" si="20"/>
        <v>16219324</v>
      </c>
      <c r="FV71" s="614">
        <f t="shared" si="20"/>
        <v>156000</v>
      </c>
      <c r="FW71" s="614">
        <f t="shared" si="20"/>
        <v>4846361</v>
      </c>
      <c r="FX71" s="614">
        <f t="shared" si="20"/>
        <v>12879785</v>
      </c>
      <c r="FY71" s="614">
        <f t="shared" si="20"/>
        <v>0</v>
      </c>
      <c r="FZ71" s="614">
        <f t="shared" si="20"/>
        <v>30443438</v>
      </c>
      <c r="GA71" s="614">
        <f>SUM(GA54:GA69)</f>
        <v>21834609</v>
      </c>
    </row>
    <row r="72" spans="1:183" x14ac:dyDescent="0.2">
      <c r="CI72" s="532"/>
      <c r="DZ72" s="54"/>
      <c r="EJ72" s="614">
        <f>SUM(EJ54:EJ68)</f>
        <v>31206227</v>
      </c>
    </row>
    <row r="73" spans="1:183" x14ac:dyDescent="0.2">
      <c r="A73" s="439" t="s">
        <v>184</v>
      </c>
      <c r="B73" s="614">
        <f>+B6+B7+B9</f>
        <v>6385180</v>
      </c>
      <c r="C73" s="614">
        <f t="shared" ref="C73:BO73" si="21">+C6+C7+C9</f>
        <v>12957335</v>
      </c>
      <c r="D73" s="614">
        <f t="shared" si="21"/>
        <v>27484000</v>
      </c>
      <c r="E73" s="614">
        <f t="shared" si="21"/>
        <v>7267740</v>
      </c>
      <c r="F73" s="614">
        <f t="shared" si="21"/>
        <v>3975970</v>
      </c>
      <c r="G73" s="614">
        <f t="shared" si="21"/>
        <v>7166803</v>
      </c>
      <c r="H73" s="614">
        <f t="shared" si="21"/>
        <v>4602310</v>
      </c>
      <c r="I73" s="614">
        <f t="shared" si="21"/>
        <v>38903470</v>
      </c>
      <c r="J73" s="614">
        <f t="shared" si="21"/>
        <v>18944720</v>
      </c>
      <c r="K73" s="614">
        <f t="shared" si="21"/>
        <v>9166270</v>
      </c>
      <c r="L73" s="614">
        <f t="shared" si="21"/>
        <v>3957412</v>
      </c>
      <c r="M73" s="614">
        <f t="shared" si="21"/>
        <v>2766945</v>
      </c>
      <c r="N73" s="614">
        <f t="shared" si="21"/>
        <v>7567270</v>
      </c>
      <c r="O73" s="614">
        <f t="shared" si="21"/>
        <v>15703925</v>
      </c>
      <c r="P73" s="614">
        <f t="shared" si="21"/>
        <v>8618900</v>
      </c>
      <c r="Q73" s="614">
        <f t="shared" si="21"/>
        <v>3310350</v>
      </c>
      <c r="R73" s="614">
        <f t="shared" si="21"/>
        <v>5371991</v>
      </c>
      <c r="S73" s="614">
        <f t="shared" si="21"/>
        <v>13614000</v>
      </c>
      <c r="T73" s="614">
        <f t="shared" si="21"/>
        <v>9944555</v>
      </c>
      <c r="U73" s="614">
        <f t="shared" si="21"/>
        <v>9936036</v>
      </c>
      <c r="V73" s="614">
        <f t="shared" si="21"/>
        <v>15475780</v>
      </c>
      <c r="W73" s="614">
        <f t="shared" si="21"/>
        <v>19532245</v>
      </c>
      <c r="X73" s="614">
        <f t="shared" si="21"/>
        <v>12963170</v>
      </c>
      <c r="Y73" s="614">
        <f t="shared" si="21"/>
        <v>10317860</v>
      </c>
      <c r="Z73" s="614">
        <f t="shared" si="21"/>
        <v>18694517</v>
      </c>
      <c r="AA73" s="614">
        <f t="shared" si="21"/>
        <v>2134205</v>
      </c>
      <c r="AB73" s="614">
        <f t="shared" si="21"/>
        <v>11890832</v>
      </c>
      <c r="AC73" s="614">
        <f t="shared" si="21"/>
        <v>58076750</v>
      </c>
      <c r="AD73" s="532">
        <f t="shared" si="21"/>
        <v>9042333</v>
      </c>
      <c r="AE73" s="614">
        <f t="shared" si="21"/>
        <v>16216530</v>
      </c>
      <c r="AF73" s="614">
        <f t="shared" si="21"/>
        <v>6893020</v>
      </c>
      <c r="AG73" s="614">
        <f t="shared" si="21"/>
        <v>15182170</v>
      </c>
      <c r="AH73" s="614">
        <f t="shared" si="21"/>
        <v>53273777</v>
      </c>
      <c r="AI73" s="614">
        <f t="shared" si="21"/>
        <v>36457900</v>
      </c>
      <c r="AJ73" s="614">
        <f t="shared" si="21"/>
        <v>46357848</v>
      </c>
      <c r="AK73" s="614">
        <f>+AK6+AK7+AK9</f>
        <v>20122782</v>
      </c>
      <c r="AL73" s="614">
        <f t="shared" si="21"/>
        <v>7103943.666666667</v>
      </c>
      <c r="AM73" s="614">
        <f t="shared" si="21"/>
        <v>7103943.666666667</v>
      </c>
      <c r="AN73" s="614">
        <f t="shared" si="21"/>
        <v>7103943.666666667</v>
      </c>
      <c r="AO73" s="614">
        <f t="shared" si="21"/>
        <v>8344240</v>
      </c>
      <c r="AP73" s="614">
        <f t="shared" si="21"/>
        <v>6817844</v>
      </c>
      <c r="AQ73" s="614">
        <f t="shared" si="21"/>
        <v>16749605</v>
      </c>
      <c r="AR73" s="614">
        <f t="shared" si="21"/>
        <v>21261730</v>
      </c>
      <c r="AS73" s="614">
        <f t="shared" si="21"/>
        <v>11705850</v>
      </c>
      <c r="AT73" s="614">
        <f t="shared" si="21"/>
        <v>11027913</v>
      </c>
      <c r="AU73" s="614">
        <f t="shared" si="21"/>
        <v>11012190</v>
      </c>
      <c r="AV73" s="614">
        <f t="shared" si="21"/>
        <v>16938539</v>
      </c>
      <c r="AW73" s="614">
        <f t="shared" si="21"/>
        <v>6566860</v>
      </c>
      <c r="AX73" s="614">
        <f t="shared" si="21"/>
        <v>9353677</v>
      </c>
      <c r="AY73" s="614">
        <f t="shared" si="21"/>
        <v>9073915</v>
      </c>
      <c r="AZ73" s="614">
        <f t="shared" si="21"/>
        <v>123228250</v>
      </c>
      <c r="BA73" s="614">
        <f t="shared" si="21"/>
        <v>0</v>
      </c>
      <c r="BB73" s="614">
        <f t="shared" si="21"/>
        <v>9348516</v>
      </c>
      <c r="BC73" s="614">
        <f t="shared" si="21"/>
        <v>5034966</v>
      </c>
      <c r="BD73" s="614">
        <f t="shared" si="21"/>
        <v>12020530</v>
      </c>
      <c r="BE73" s="614">
        <f t="shared" si="21"/>
        <v>9593287</v>
      </c>
      <c r="BF73" s="614">
        <f t="shared" si="21"/>
        <v>3787100</v>
      </c>
      <c r="BG73" s="614">
        <f t="shared" si="21"/>
        <v>20230690</v>
      </c>
      <c r="BH73" s="614">
        <f t="shared" si="21"/>
        <v>13391690</v>
      </c>
      <c r="BI73" s="614">
        <f t="shared" si="21"/>
        <v>11014140</v>
      </c>
      <c r="BJ73" s="614">
        <f t="shared" si="21"/>
        <v>6157780</v>
      </c>
      <c r="BK73" s="614">
        <f t="shared" si="21"/>
        <v>39451330</v>
      </c>
      <c r="BL73" s="614">
        <f t="shared" si="21"/>
        <v>5257202</v>
      </c>
      <c r="BM73" s="614">
        <f t="shared" si="21"/>
        <v>12482005</v>
      </c>
      <c r="BN73" s="614">
        <f t="shared" si="21"/>
        <v>68538742</v>
      </c>
      <c r="BO73" s="614">
        <f t="shared" si="21"/>
        <v>36423710</v>
      </c>
      <c r="BP73" s="614">
        <f t="shared" ref="BP73:EK73" si="22">+BP6+BP7+BP9</f>
        <v>10721552</v>
      </c>
      <c r="BQ73" s="614">
        <f t="shared" si="22"/>
        <v>8190665</v>
      </c>
      <c r="BR73" s="614">
        <f t="shared" si="22"/>
        <v>9474036</v>
      </c>
      <c r="BS73" s="614">
        <f t="shared" si="22"/>
        <v>60948444</v>
      </c>
      <c r="BT73" s="614">
        <f t="shared" si="22"/>
        <v>25133885</v>
      </c>
      <c r="BU73" s="614">
        <f t="shared" si="22"/>
        <v>27653658</v>
      </c>
      <c r="BV73" s="614">
        <f>+BV6+BV7+BV9</f>
        <v>24021598</v>
      </c>
      <c r="BW73" s="614">
        <f t="shared" si="22"/>
        <v>24443168</v>
      </c>
      <c r="BX73" s="614">
        <f t="shared" si="22"/>
        <v>8957024</v>
      </c>
      <c r="BY73" s="614">
        <f>+BY6+BY7+BY9</f>
        <v>27596965</v>
      </c>
      <c r="BZ73" s="614">
        <f>+BZ6+BZ7+BZ9</f>
        <v>14288690</v>
      </c>
      <c r="CA73" s="614">
        <f t="shared" si="22"/>
        <v>60284837</v>
      </c>
      <c r="CB73" s="614">
        <f t="shared" si="22"/>
        <v>23798990</v>
      </c>
      <c r="CC73" s="614">
        <f t="shared" si="22"/>
        <v>27591293</v>
      </c>
      <c r="CD73" s="614">
        <f t="shared" si="22"/>
        <v>11997620</v>
      </c>
      <c r="CE73" s="614">
        <f t="shared" si="22"/>
        <v>527997442</v>
      </c>
      <c r="CF73" s="614">
        <f t="shared" si="22"/>
        <v>42647450</v>
      </c>
      <c r="CG73" s="614">
        <f t="shared" si="22"/>
        <v>0</v>
      </c>
      <c r="CH73" s="614">
        <f t="shared" si="22"/>
        <v>20844109</v>
      </c>
      <c r="CI73" s="614">
        <f t="shared" si="22"/>
        <v>6760160</v>
      </c>
      <c r="CJ73" s="614">
        <f t="shared" si="22"/>
        <v>1437550</v>
      </c>
      <c r="CK73" s="614">
        <f t="shared" si="22"/>
        <v>37384140</v>
      </c>
      <c r="CL73" s="614">
        <f t="shared" si="22"/>
        <v>6840045</v>
      </c>
      <c r="CM73" s="614">
        <f t="shared" si="22"/>
        <v>101123076</v>
      </c>
      <c r="CN73" s="614">
        <f>+CN6+CN7+CN9</f>
        <v>18160593</v>
      </c>
      <c r="CO73" s="614">
        <f>+CO6+CO7+CO9</f>
        <v>26033055</v>
      </c>
      <c r="CP73" s="614">
        <f>+CP6+CP7+CP9</f>
        <v>11337830</v>
      </c>
      <c r="CQ73" s="614">
        <f t="shared" si="22"/>
        <v>23069001</v>
      </c>
      <c r="CR73" s="614">
        <f t="shared" si="22"/>
        <v>28775421</v>
      </c>
      <c r="CS73" s="614">
        <f t="shared" si="22"/>
        <v>9267000</v>
      </c>
      <c r="CT73" s="614">
        <f t="shared" si="22"/>
        <v>24630499</v>
      </c>
      <c r="CU73" s="614">
        <f t="shared" si="22"/>
        <v>17762412</v>
      </c>
      <c r="CV73" s="614">
        <f>+CV6+CV7+CV9</f>
        <v>37135395</v>
      </c>
      <c r="CW73" s="614">
        <f t="shared" si="22"/>
        <v>19935263</v>
      </c>
      <c r="CX73" s="614">
        <f t="shared" si="22"/>
        <v>8761555</v>
      </c>
      <c r="CY73" s="614">
        <f t="shared" si="22"/>
        <v>14445610</v>
      </c>
      <c r="CZ73" s="614">
        <f t="shared" si="22"/>
        <v>236627176</v>
      </c>
      <c r="DA73" s="614">
        <f t="shared" si="22"/>
        <v>56548790</v>
      </c>
      <c r="DB73" s="614">
        <f t="shared" si="22"/>
        <v>33018419</v>
      </c>
      <c r="DC73" s="614">
        <f t="shared" si="22"/>
        <v>12737857</v>
      </c>
      <c r="DD73" s="614">
        <f t="shared" si="22"/>
        <v>0</v>
      </c>
      <c r="DE73" s="614">
        <f t="shared" si="22"/>
        <v>17335600</v>
      </c>
      <c r="DF73" s="614">
        <f t="shared" si="22"/>
        <v>74041220</v>
      </c>
      <c r="DG73" s="614">
        <f t="shared" si="22"/>
        <v>150246740</v>
      </c>
      <c r="DH73" s="614">
        <f t="shared" si="22"/>
        <v>148222150</v>
      </c>
      <c r="DI73" s="614">
        <f t="shared" si="22"/>
        <v>67140124</v>
      </c>
      <c r="DJ73" s="614">
        <f t="shared" si="22"/>
        <v>644260862</v>
      </c>
      <c r="DK73" s="614">
        <f t="shared" si="22"/>
        <v>178705035</v>
      </c>
      <c r="DL73" s="614">
        <f t="shared" si="22"/>
        <v>53752670</v>
      </c>
      <c r="DM73" s="614">
        <f t="shared" si="22"/>
        <v>79985886</v>
      </c>
      <c r="DN73" s="614">
        <f t="shared" si="22"/>
        <v>46623877</v>
      </c>
      <c r="DO73" s="614">
        <f>+DO6+DO7+DO9</f>
        <v>31596175</v>
      </c>
      <c r="DP73" s="614">
        <f t="shared" si="22"/>
        <v>18989510</v>
      </c>
      <c r="DQ73" s="614">
        <f t="shared" si="22"/>
        <v>291996058</v>
      </c>
      <c r="DR73" s="614">
        <f t="shared" si="22"/>
        <v>5251639</v>
      </c>
      <c r="DS73" s="614">
        <f t="shared" si="22"/>
        <v>19250412</v>
      </c>
      <c r="DT73" s="614">
        <f>+DT6+DT7+DT9</f>
        <v>15423869</v>
      </c>
      <c r="DU73" s="614">
        <f t="shared" si="22"/>
        <v>48096628</v>
      </c>
      <c r="DV73" s="614">
        <f>+DV6+DV7+DV9</f>
        <v>27530423</v>
      </c>
      <c r="DW73" s="614">
        <f t="shared" si="22"/>
        <v>37348976</v>
      </c>
      <c r="DX73" s="614">
        <f t="shared" si="22"/>
        <v>114350911</v>
      </c>
      <c r="DY73" s="614">
        <f t="shared" si="22"/>
        <v>55516362</v>
      </c>
      <c r="DZ73" s="614">
        <f>+DZ6+DZ7+DZ9</f>
        <v>2478592</v>
      </c>
      <c r="EA73" s="614">
        <f t="shared" si="22"/>
        <v>1072679959</v>
      </c>
      <c r="EB73" s="614">
        <f t="shared" si="22"/>
        <v>5064385</v>
      </c>
      <c r="EC73" s="614">
        <f t="shared" si="22"/>
        <v>33942999</v>
      </c>
      <c r="ED73" s="614">
        <f t="shared" si="22"/>
        <v>124767032</v>
      </c>
      <c r="EE73" s="614">
        <f t="shared" si="22"/>
        <v>11488430</v>
      </c>
      <c r="EF73" s="614">
        <f t="shared" si="22"/>
        <v>7244087</v>
      </c>
      <c r="EG73" s="614">
        <f t="shared" si="22"/>
        <v>27522905</v>
      </c>
      <c r="EH73" s="614">
        <f t="shared" si="22"/>
        <v>83864078</v>
      </c>
      <c r="EI73" s="614">
        <f t="shared" si="22"/>
        <v>361001565</v>
      </c>
      <c r="EJ73" s="614">
        <f t="shared" si="22"/>
        <v>52364347</v>
      </c>
      <c r="EK73" s="614">
        <f t="shared" si="22"/>
        <v>10733930</v>
      </c>
      <c r="EL73" s="614">
        <f t="shared" ref="EL73:FV73" si="23">+EL6+EL7+EL9</f>
        <v>11159115</v>
      </c>
      <c r="EM73" s="614">
        <f t="shared" si="23"/>
        <v>31935393</v>
      </c>
      <c r="EN73" s="614">
        <f t="shared" si="23"/>
        <v>35496000</v>
      </c>
      <c r="EO73" s="614">
        <f>+EO6+EO7+EO9</f>
        <v>4832905</v>
      </c>
      <c r="EP73" s="614">
        <f t="shared" si="23"/>
        <v>160148000</v>
      </c>
      <c r="EQ73" s="614">
        <f t="shared" si="23"/>
        <v>56516510</v>
      </c>
      <c r="ER73" s="614">
        <f t="shared" si="23"/>
        <v>104546831</v>
      </c>
      <c r="ES73" s="614">
        <f t="shared" si="23"/>
        <v>30076983</v>
      </c>
      <c r="ET73" s="614">
        <f>+ET6+ET7+ET9</f>
        <v>19311068</v>
      </c>
      <c r="EU73" s="614">
        <f t="shared" si="23"/>
        <v>258750931</v>
      </c>
      <c r="EV73" s="614">
        <f t="shared" si="23"/>
        <v>31286022</v>
      </c>
      <c r="EW73" s="614">
        <f t="shared" si="23"/>
        <v>36363000</v>
      </c>
      <c r="EX73" s="614">
        <f t="shared" si="23"/>
        <v>35897350</v>
      </c>
      <c r="EY73" s="614">
        <f t="shared" si="23"/>
        <v>20507825</v>
      </c>
      <c r="EZ73" s="614">
        <f t="shared" si="23"/>
        <v>13758935</v>
      </c>
      <c r="FA73" s="614">
        <f t="shared" si="23"/>
        <v>56675900</v>
      </c>
      <c r="FB73" s="614">
        <f t="shared" si="23"/>
        <v>13340700</v>
      </c>
      <c r="FC73" s="614">
        <f t="shared" si="23"/>
        <v>16344191</v>
      </c>
      <c r="FD73" s="614">
        <f t="shared" si="23"/>
        <v>17051925</v>
      </c>
      <c r="FE73" s="614">
        <f t="shared" si="23"/>
        <v>9716580</v>
      </c>
      <c r="FF73" s="614">
        <f t="shared" si="23"/>
        <v>13387175</v>
      </c>
      <c r="FG73" s="614">
        <f t="shared" si="23"/>
        <v>9178300</v>
      </c>
      <c r="FH73" s="614">
        <f t="shared" si="23"/>
        <v>85215200</v>
      </c>
      <c r="FI73" s="614"/>
      <c r="FJ73" s="614">
        <f t="shared" si="23"/>
        <v>5257202</v>
      </c>
      <c r="FK73" s="614">
        <f t="shared" si="23"/>
        <v>0</v>
      </c>
      <c r="FL73" s="614">
        <f t="shared" si="23"/>
        <v>6156140</v>
      </c>
      <c r="FM73" s="614">
        <f t="shared" si="23"/>
        <v>94580449</v>
      </c>
      <c r="FN73" s="614">
        <f t="shared" si="23"/>
        <v>21311831</v>
      </c>
      <c r="FO73" s="614">
        <f t="shared" si="23"/>
        <v>10434422</v>
      </c>
      <c r="FP73" s="614">
        <f t="shared" si="23"/>
        <v>13062600</v>
      </c>
      <c r="FQ73" s="614">
        <f t="shared" si="23"/>
        <v>37682575</v>
      </c>
      <c r="FR73" s="614">
        <f t="shared" si="23"/>
        <v>37135395</v>
      </c>
      <c r="FT73" s="614">
        <f t="shared" si="23"/>
        <v>0</v>
      </c>
      <c r="FU73" s="614">
        <f t="shared" si="23"/>
        <v>20770871</v>
      </c>
      <c r="FV73" s="614">
        <f t="shared" si="23"/>
        <v>17231000</v>
      </c>
      <c r="FW73" s="614">
        <f>+FW6+FW7+FW9</f>
        <v>0</v>
      </c>
      <c r="FX73" s="614">
        <f>+FX6+FX7+FX9</f>
        <v>6033185</v>
      </c>
      <c r="FY73" s="614">
        <f>+FY6+FY7+FY9</f>
        <v>0</v>
      </c>
      <c r="FZ73" s="614">
        <f>+FZ6+FZ7+FZ9</f>
        <v>16460458</v>
      </c>
      <c r="GA73" s="614">
        <f>+GA6+GA7+GA9</f>
        <v>20504731</v>
      </c>
    </row>
    <row r="74" spans="1:183" x14ac:dyDescent="0.2">
      <c r="A74" s="439" t="s">
        <v>185</v>
      </c>
      <c r="B74" s="614">
        <f>+B19+B20+B22</f>
        <v>3699559</v>
      </c>
      <c r="C74" s="614">
        <f t="shared" ref="C74:BO74" si="24">+C19+C20+C22</f>
        <v>7666305</v>
      </c>
      <c r="D74" s="614">
        <f t="shared" si="24"/>
        <v>13475000</v>
      </c>
      <c r="E74" s="614">
        <f t="shared" si="24"/>
        <v>5543964</v>
      </c>
      <c r="F74" s="614">
        <f t="shared" si="24"/>
        <v>3192141</v>
      </c>
      <c r="G74" s="614">
        <f t="shared" si="24"/>
        <v>4794016</v>
      </c>
      <c r="H74" s="614">
        <f t="shared" si="24"/>
        <v>3658722</v>
      </c>
      <c r="I74" s="614">
        <f t="shared" si="24"/>
        <v>14763306</v>
      </c>
      <c r="J74" s="614">
        <f t="shared" si="24"/>
        <v>10236310</v>
      </c>
      <c r="K74" s="614">
        <f t="shared" si="24"/>
        <v>7061221</v>
      </c>
      <c r="L74" s="614">
        <f t="shared" si="24"/>
        <v>2594946</v>
      </c>
      <c r="M74" s="614">
        <f t="shared" si="24"/>
        <v>1756460</v>
      </c>
      <c r="N74" s="614">
        <f t="shared" si="24"/>
        <v>4733558</v>
      </c>
      <c r="O74" s="614">
        <f t="shared" si="24"/>
        <v>10900920</v>
      </c>
      <c r="P74" s="614">
        <f t="shared" si="24"/>
        <v>5441919</v>
      </c>
      <c r="Q74" s="614">
        <f t="shared" si="24"/>
        <v>1260295</v>
      </c>
      <c r="R74" s="614">
        <f t="shared" si="24"/>
        <v>2683925</v>
      </c>
      <c r="S74" s="614">
        <f t="shared" si="24"/>
        <v>10277000</v>
      </c>
      <c r="T74" s="614">
        <f t="shared" si="24"/>
        <v>6526653</v>
      </c>
      <c r="U74" s="614">
        <f t="shared" si="24"/>
        <v>5668650</v>
      </c>
      <c r="V74" s="614">
        <f t="shared" si="24"/>
        <v>11606713</v>
      </c>
      <c r="W74" s="614">
        <f t="shared" si="24"/>
        <v>12459130</v>
      </c>
      <c r="X74" s="614">
        <f t="shared" si="24"/>
        <v>8497888</v>
      </c>
      <c r="Y74" s="614">
        <f t="shared" si="24"/>
        <v>8010824</v>
      </c>
      <c r="Z74" s="614">
        <f t="shared" si="24"/>
        <v>12593750</v>
      </c>
      <c r="AA74" s="614">
        <f t="shared" si="24"/>
        <v>1463558</v>
      </c>
      <c r="AB74" s="614">
        <f t="shared" si="24"/>
        <v>7965844</v>
      </c>
      <c r="AC74" s="614">
        <f t="shared" si="24"/>
        <v>36512021</v>
      </c>
      <c r="AD74" s="532">
        <f t="shared" si="24"/>
        <v>6711076</v>
      </c>
      <c r="AE74" s="614">
        <f t="shared" si="24"/>
        <v>12447864</v>
      </c>
      <c r="AF74" s="614">
        <f t="shared" si="24"/>
        <v>5399478</v>
      </c>
      <c r="AG74" s="614">
        <f t="shared" si="24"/>
        <v>10358291</v>
      </c>
      <c r="AH74" s="614">
        <f t="shared" si="24"/>
        <v>30946040</v>
      </c>
      <c r="AI74" s="614">
        <f t="shared" si="24"/>
        <v>19849875</v>
      </c>
      <c r="AJ74" s="614">
        <f t="shared" si="24"/>
        <v>22454683</v>
      </c>
      <c r="AK74" s="614">
        <f>+AK19+AK20+AK22</f>
        <v>10954649</v>
      </c>
      <c r="AL74" s="614">
        <f t="shared" si="24"/>
        <v>4637085.666666667</v>
      </c>
      <c r="AM74" s="614">
        <f t="shared" si="24"/>
        <v>4637085.666666667</v>
      </c>
      <c r="AN74" s="614">
        <f t="shared" si="24"/>
        <v>4637085.666666667</v>
      </c>
      <c r="AO74" s="614">
        <f t="shared" si="24"/>
        <v>5521993</v>
      </c>
      <c r="AP74" s="614">
        <f t="shared" si="24"/>
        <v>4818502</v>
      </c>
      <c r="AQ74" s="614">
        <f t="shared" si="24"/>
        <v>12245393</v>
      </c>
      <c r="AR74" s="614">
        <f t="shared" si="24"/>
        <v>15752036</v>
      </c>
      <c r="AS74" s="614">
        <f t="shared" si="24"/>
        <v>8242194</v>
      </c>
      <c r="AT74" s="614">
        <f t="shared" si="24"/>
        <v>7584985</v>
      </c>
      <c r="AU74" s="614">
        <f t="shared" si="24"/>
        <v>7567791</v>
      </c>
      <c r="AV74" s="614">
        <f t="shared" si="24"/>
        <v>8665798</v>
      </c>
      <c r="AW74" s="614">
        <f t="shared" si="24"/>
        <v>4136974</v>
      </c>
      <c r="AX74" s="614">
        <f t="shared" si="24"/>
        <v>6166493</v>
      </c>
      <c r="AY74" s="614">
        <f t="shared" si="24"/>
        <v>6093317</v>
      </c>
      <c r="AZ74" s="614">
        <f t="shared" si="24"/>
        <v>54678649</v>
      </c>
      <c r="BA74" s="614">
        <f t="shared" si="24"/>
        <v>0</v>
      </c>
      <c r="BB74" s="614">
        <f t="shared" si="24"/>
        <v>5298074</v>
      </c>
      <c r="BC74" s="614">
        <f t="shared" si="24"/>
        <v>3034282</v>
      </c>
      <c r="BD74" s="614">
        <f t="shared" si="24"/>
        <v>8029545</v>
      </c>
      <c r="BE74" s="614">
        <f t="shared" si="24"/>
        <v>5953439</v>
      </c>
      <c r="BF74" s="614">
        <f t="shared" si="24"/>
        <v>2045413</v>
      </c>
      <c r="BG74" s="614">
        <f t="shared" si="24"/>
        <v>13406681</v>
      </c>
      <c r="BH74" s="614">
        <f t="shared" si="24"/>
        <v>9551828</v>
      </c>
      <c r="BI74" s="614">
        <f t="shared" si="24"/>
        <v>7852103</v>
      </c>
      <c r="BJ74" s="614">
        <f t="shared" si="24"/>
        <v>2835649</v>
      </c>
      <c r="BK74" s="614">
        <f t="shared" si="24"/>
        <v>25740957</v>
      </c>
      <c r="BL74" s="614">
        <f t="shared" si="24"/>
        <v>4044630</v>
      </c>
      <c r="BM74" s="614">
        <f t="shared" si="24"/>
        <v>8225878</v>
      </c>
      <c r="BN74" s="614">
        <f t="shared" si="24"/>
        <v>34816701</v>
      </c>
      <c r="BO74" s="614">
        <f t="shared" si="24"/>
        <v>20780033</v>
      </c>
      <c r="BP74" s="614">
        <f t="shared" ref="BP74:EK74" si="25">+BP19+BP20+BP22</f>
        <v>6937059</v>
      </c>
      <c r="BQ74" s="614">
        <f t="shared" si="25"/>
        <v>5727180</v>
      </c>
      <c r="BR74" s="614">
        <f t="shared" si="25"/>
        <v>6628440</v>
      </c>
      <c r="BS74" s="614">
        <f t="shared" si="25"/>
        <v>36080231</v>
      </c>
      <c r="BT74" s="614">
        <f t="shared" si="25"/>
        <v>15354864</v>
      </c>
      <c r="BU74" s="614">
        <f t="shared" si="25"/>
        <v>10808652</v>
      </c>
      <c r="BV74" s="614">
        <f>+BV19+BV20+BV22</f>
        <v>15071007</v>
      </c>
      <c r="BW74" s="614">
        <f t="shared" si="25"/>
        <v>16452484</v>
      </c>
      <c r="BX74" s="614">
        <f t="shared" si="25"/>
        <v>6029809</v>
      </c>
      <c r="BY74" s="614">
        <f>+BY19+BY20+BY22</f>
        <v>16556043</v>
      </c>
      <c r="BZ74" s="614">
        <f>+BZ19+BZ20+BZ22</f>
        <v>8744796</v>
      </c>
      <c r="CA74" s="614">
        <f t="shared" si="25"/>
        <v>36539424</v>
      </c>
      <c r="CB74" s="614">
        <f t="shared" si="25"/>
        <v>12479448</v>
      </c>
      <c r="CC74" s="614">
        <f t="shared" si="25"/>
        <v>17032460</v>
      </c>
      <c r="CD74" s="614">
        <f t="shared" si="25"/>
        <v>8317673</v>
      </c>
      <c r="CE74" s="614">
        <f t="shared" si="25"/>
        <v>214592112</v>
      </c>
      <c r="CF74" s="614">
        <f t="shared" si="25"/>
        <v>29893784</v>
      </c>
      <c r="CG74" s="614">
        <f t="shared" si="25"/>
        <v>0</v>
      </c>
      <c r="CH74" s="614">
        <f t="shared" si="25"/>
        <v>13627786</v>
      </c>
      <c r="CI74" s="614">
        <f t="shared" si="25"/>
        <v>5073110</v>
      </c>
      <c r="CJ74" s="614">
        <f t="shared" si="25"/>
        <v>1039496</v>
      </c>
      <c r="CK74" s="614">
        <f t="shared" si="25"/>
        <v>21795702</v>
      </c>
      <c r="CL74" s="614">
        <f t="shared" si="25"/>
        <v>5704575</v>
      </c>
      <c r="CM74" s="614">
        <f t="shared" si="25"/>
        <v>62864678</v>
      </c>
      <c r="CN74" s="614">
        <f>+CN19+CN20+CN22</f>
        <v>13765677</v>
      </c>
      <c r="CO74" s="614">
        <f>+CO19+CO20+CO22</f>
        <v>13718293</v>
      </c>
      <c r="CP74" s="614">
        <f>+CP19+CP20+CP22</f>
        <v>7727962</v>
      </c>
      <c r="CQ74" s="614">
        <f t="shared" si="25"/>
        <v>12571013</v>
      </c>
      <c r="CR74" s="614">
        <f t="shared" si="25"/>
        <v>17401427</v>
      </c>
      <c r="CS74" s="614">
        <f t="shared" si="25"/>
        <v>6193000</v>
      </c>
      <c r="CT74" s="614">
        <f t="shared" si="25"/>
        <v>12864998</v>
      </c>
      <c r="CU74" s="614">
        <f t="shared" si="25"/>
        <v>10781284</v>
      </c>
      <c r="CV74" s="614">
        <f>+CV19+CV20+CV22</f>
        <v>20874206</v>
      </c>
      <c r="CW74" s="614">
        <f t="shared" si="25"/>
        <v>13422697</v>
      </c>
      <c r="CX74" s="614">
        <f t="shared" si="25"/>
        <v>5269232</v>
      </c>
      <c r="CY74" s="614">
        <f t="shared" si="25"/>
        <v>8782813</v>
      </c>
      <c r="CZ74" s="614">
        <f t="shared" si="25"/>
        <v>128230596</v>
      </c>
      <c r="DA74" s="614">
        <f t="shared" si="25"/>
        <v>34588705</v>
      </c>
      <c r="DB74" s="614">
        <f t="shared" si="25"/>
        <v>18718642</v>
      </c>
      <c r="DC74" s="614">
        <f t="shared" si="25"/>
        <v>7217546.3333333321</v>
      </c>
      <c r="DD74" s="614">
        <f t="shared" si="25"/>
        <v>0</v>
      </c>
      <c r="DE74" s="614">
        <f t="shared" si="25"/>
        <v>5673409</v>
      </c>
      <c r="DF74" s="614">
        <f t="shared" si="25"/>
        <v>45332274</v>
      </c>
      <c r="DG74" s="614">
        <f t="shared" si="25"/>
        <v>68351183</v>
      </c>
      <c r="DH74" s="614">
        <f t="shared" si="25"/>
        <v>85636525</v>
      </c>
      <c r="DI74" s="614">
        <f t="shared" si="25"/>
        <v>28317246</v>
      </c>
      <c r="DJ74" s="614">
        <f t="shared" si="25"/>
        <v>195693476</v>
      </c>
      <c r="DK74" s="614">
        <f t="shared" si="25"/>
        <v>67732403</v>
      </c>
      <c r="DL74" s="614">
        <f t="shared" si="25"/>
        <v>23560257</v>
      </c>
      <c r="DM74" s="614">
        <f t="shared" si="25"/>
        <v>42979931</v>
      </c>
      <c r="DN74" s="614">
        <f t="shared" si="25"/>
        <v>26880556</v>
      </c>
      <c r="DO74" s="614">
        <f>+DO19+DO20+DO22</f>
        <v>14885687</v>
      </c>
      <c r="DP74" s="614">
        <f t="shared" si="25"/>
        <v>9665056</v>
      </c>
      <c r="DQ74" s="614">
        <f t="shared" si="25"/>
        <v>136452761</v>
      </c>
      <c r="DR74" s="614">
        <f t="shared" si="25"/>
        <v>2737623</v>
      </c>
      <c r="DS74" s="614">
        <f t="shared" si="25"/>
        <v>15978545</v>
      </c>
      <c r="DT74" s="614">
        <f>+DT19+DT20+DT22</f>
        <v>8259409</v>
      </c>
      <c r="DU74" s="614">
        <f t="shared" si="25"/>
        <v>25983192</v>
      </c>
      <c r="DV74" s="614">
        <f>+DV19+DV20+DV22</f>
        <v>17622201</v>
      </c>
      <c r="DW74" s="614">
        <f t="shared" si="25"/>
        <v>20382365</v>
      </c>
      <c r="DX74" s="614">
        <f t="shared" si="25"/>
        <v>82392178</v>
      </c>
      <c r="DY74" s="614">
        <f t="shared" si="25"/>
        <v>34929398</v>
      </c>
      <c r="DZ74" s="614">
        <f>+DZ19+DZ20+DZ22</f>
        <v>1931234</v>
      </c>
      <c r="EA74" s="614">
        <f t="shared" si="25"/>
        <v>480334891</v>
      </c>
      <c r="EB74" s="614">
        <f t="shared" si="25"/>
        <v>3690360</v>
      </c>
      <c r="EC74" s="614">
        <f t="shared" si="25"/>
        <v>15237268</v>
      </c>
      <c r="ED74" s="614">
        <f t="shared" si="25"/>
        <v>70106355</v>
      </c>
      <c r="EE74" s="614">
        <f t="shared" si="25"/>
        <v>7217614</v>
      </c>
      <c r="EF74" s="614">
        <f t="shared" si="25"/>
        <v>4907143</v>
      </c>
      <c r="EG74" s="614">
        <f t="shared" si="25"/>
        <v>16682986</v>
      </c>
      <c r="EH74" s="614">
        <f t="shared" si="25"/>
        <v>37063227</v>
      </c>
      <c r="EI74" s="614">
        <f t="shared" si="25"/>
        <v>156462403</v>
      </c>
      <c r="EJ74" s="614">
        <f t="shared" si="25"/>
        <v>34225331</v>
      </c>
      <c r="EK74" s="614">
        <f t="shared" si="25"/>
        <v>6583550</v>
      </c>
      <c r="EL74" s="614">
        <f t="shared" ref="EL74:FV74" si="26">+EL19+EL20+EL22</f>
        <v>7652676</v>
      </c>
      <c r="EM74" s="614">
        <f t="shared" si="26"/>
        <v>11129266</v>
      </c>
      <c r="EN74" s="614">
        <f t="shared" si="26"/>
        <v>23224000</v>
      </c>
      <c r="EO74" s="614">
        <f>+EO19+EO20+EO22</f>
        <v>3744463</v>
      </c>
      <c r="EP74" s="614">
        <f t="shared" si="26"/>
        <v>87816000</v>
      </c>
      <c r="EQ74" s="614">
        <f t="shared" si="26"/>
        <v>35205489</v>
      </c>
      <c r="ER74" s="614">
        <f t="shared" si="26"/>
        <v>54931390</v>
      </c>
      <c r="ES74" s="614">
        <f t="shared" si="26"/>
        <v>14652449</v>
      </c>
      <c r="ET74" s="614">
        <f>+ET19+ET20+ET22</f>
        <v>9754236</v>
      </c>
      <c r="EU74" s="614">
        <f t="shared" si="26"/>
        <v>102980454</v>
      </c>
      <c r="EV74" s="614">
        <f t="shared" si="26"/>
        <v>11230241</v>
      </c>
      <c r="EW74" s="614">
        <f t="shared" si="26"/>
        <v>10673053</v>
      </c>
      <c r="EX74" s="614">
        <f t="shared" si="26"/>
        <v>15242107</v>
      </c>
      <c r="EY74" s="614">
        <f t="shared" si="26"/>
        <v>9988104</v>
      </c>
      <c r="EZ74" s="614">
        <f t="shared" si="26"/>
        <v>5796565</v>
      </c>
      <c r="FA74" s="614">
        <f t="shared" si="26"/>
        <v>35375937</v>
      </c>
      <c r="FB74" s="614">
        <f t="shared" si="26"/>
        <v>2795425</v>
      </c>
      <c r="FC74" s="614">
        <f t="shared" si="26"/>
        <v>9631219</v>
      </c>
      <c r="FD74" s="614">
        <f t="shared" si="26"/>
        <v>12927777</v>
      </c>
      <c r="FE74" s="614">
        <f t="shared" si="26"/>
        <v>5326839</v>
      </c>
      <c r="FF74" s="614">
        <f t="shared" si="26"/>
        <v>10157870</v>
      </c>
      <c r="FG74" s="614">
        <f t="shared" si="26"/>
        <v>6007821</v>
      </c>
      <c r="FH74" s="614">
        <f t="shared" si="26"/>
        <v>58288302</v>
      </c>
      <c r="FI74" s="614"/>
      <c r="FJ74" s="614">
        <f t="shared" si="26"/>
        <v>4044630</v>
      </c>
      <c r="FK74" s="614">
        <f t="shared" si="26"/>
        <v>0</v>
      </c>
      <c r="FL74" s="614">
        <f t="shared" si="26"/>
        <v>3822033</v>
      </c>
      <c r="FM74" s="614">
        <f t="shared" si="26"/>
        <v>40311868</v>
      </c>
      <c r="FN74" s="614">
        <f t="shared" si="26"/>
        <v>13911257</v>
      </c>
      <c r="FO74" s="614">
        <f t="shared" si="26"/>
        <v>3917950</v>
      </c>
      <c r="FP74" s="614">
        <f t="shared" si="26"/>
        <v>7364039</v>
      </c>
      <c r="FQ74" s="614">
        <f t="shared" si="26"/>
        <v>21278633</v>
      </c>
      <c r="FR74" s="614">
        <f t="shared" si="26"/>
        <v>20874204</v>
      </c>
      <c r="FT74" s="614">
        <f t="shared" si="26"/>
        <v>0</v>
      </c>
      <c r="FU74" s="614">
        <f t="shared" si="26"/>
        <v>13516337</v>
      </c>
      <c r="FV74" s="614">
        <f t="shared" si="26"/>
        <v>9506000</v>
      </c>
      <c r="FW74" s="614">
        <f>+FW19+FW20+FW22</f>
        <v>0</v>
      </c>
      <c r="FX74" s="614">
        <f>+FX19+FX20+FX22</f>
        <v>4092775</v>
      </c>
      <c r="FY74" s="614">
        <f>+FY19+FY20+FY22</f>
        <v>0</v>
      </c>
      <c r="FZ74" s="614">
        <f>+FZ19+FZ20+FZ22</f>
        <v>9615966</v>
      </c>
      <c r="GA74" s="614">
        <f>+GA19+GA20+GA22</f>
        <v>12072778</v>
      </c>
    </row>
    <row r="75" spans="1:183" x14ac:dyDescent="0.2">
      <c r="A75" s="439" t="s">
        <v>186</v>
      </c>
      <c r="B75" s="614">
        <f>+B35+B36+B39+B45+B46+B47+B42+B43+B44+B50</f>
        <v>15827925</v>
      </c>
      <c r="C75" s="614">
        <f t="shared" ref="C75:BO75" si="27">+C35+C36+C39+C45+C46+C47+C42+C43+C44+C50</f>
        <v>12660489</v>
      </c>
      <c r="D75" s="614">
        <f t="shared" si="27"/>
        <v>28959000</v>
      </c>
      <c r="E75" s="614">
        <f t="shared" si="27"/>
        <v>7755990</v>
      </c>
      <c r="F75" s="614">
        <f t="shared" si="27"/>
        <v>9493918</v>
      </c>
      <c r="G75" s="614">
        <f t="shared" si="27"/>
        <v>12571020</v>
      </c>
      <c r="H75" s="614">
        <f t="shared" si="27"/>
        <v>6652937</v>
      </c>
      <c r="I75" s="614">
        <f t="shared" si="27"/>
        <v>27519950</v>
      </c>
      <c r="J75" s="614">
        <f t="shared" si="27"/>
        <v>15274950</v>
      </c>
      <c r="K75" s="614">
        <f t="shared" si="27"/>
        <v>12178650</v>
      </c>
      <c r="L75" s="614">
        <f t="shared" si="27"/>
        <v>6993355</v>
      </c>
      <c r="M75" s="614">
        <f t="shared" si="27"/>
        <v>5234788</v>
      </c>
      <c r="N75" s="614">
        <f t="shared" si="27"/>
        <v>13760282</v>
      </c>
      <c r="O75" s="614">
        <f t="shared" si="27"/>
        <v>21813700</v>
      </c>
      <c r="P75" s="614">
        <f t="shared" si="27"/>
        <v>13727085</v>
      </c>
      <c r="Q75" s="614">
        <f t="shared" si="27"/>
        <v>9589039</v>
      </c>
      <c r="R75" s="614">
        <f t="shared" si="27"/>
        <v>11523615</v>
      </c>
      <c r="S75" s="614">
        <f t="shared" si="27"/>
        <v>17212000</v>
      </c>
      <c r="T75" s="614">
        <f t="shared" si="27"/>
        <v>12712139</v>
      </c>
      <c r="U75" s="614">
        <f t="shared" si="27"/>
        <v>14042649</v>
      </c>
      <c r="V75" s="614">
        <f t="shared" si="27"/>
        <v>40636801</v>
      </c>
      <c r="W75" s="614">
        <f t="shared" si="27"/>
        <v>16850205</v>
      </c>
      <c r="X75" s="614">
        <f t="shared" si="27"/>
        <v>15093197</v>
      </c>
      <c r="Y75" s="614">
        <f t="shared" si="27"/>
        <v>11181032</v>
      </c>
      <c r="Z75" s="614">
        <f t="shared" si="27"/>
        <v>31794073</v>
      </c>
      <c r="AA75" s="614">
        <f t="shared" si="27"/>
        <v>3691407</v>
      </c>
      <c r="AB75" s="614">
        <f t="shared" si="27"/>
        <v>18187498</v>
      </c>
      <c r="AC75" s="614">
        <f t="shared" si="27"/>
        <v>60628460</v>
      </c>
      <c r="AD75" s="532">
        <f t="shared" si="27"/>
        <v>12192181</v>
      </c>
      <c r="AE75" s="614">
        <f t="shared" si="27"/>
        <v>20491074</v>
      </c>
      <c r="AF75" s="614">
        <f t="shared" si="27"/>
        <v>9530542</v>
      </c>
      <c r="AG75" s="614">
        <f t="shared" si="27"/>
        <v>13383500</v>
      </c>
      <c r="AH75" s="614">
        <f t="shared" si="27"/>
        <v>45987384</v>
      </c>
      <c r="AI75" s="614">
        <f t="shared" si="27"/>
        <v>40794100</v>
      </c>
      <c r="AJ75" s="614">
        <f t="shared" si="27"/>
        <v>64458750</v>
      </c>
      <c r="AK75" s="614">
        <f>+AK35+AK36+AK39+AK45+AK46+AK47+AK42+AK43+AK44+AK50</f>
        <v>28970802</v>
      </c>
      <c r="AL75" s="614">
        <f t="shared" si="27"/>
        <v>11377428.666666666</v>
      </c>
      <c r="AM75" s="614">
        <f t="shared" si="27"/>
        <v>11377428.666666666</v>
      </c>
      <c r="AN75" s="614">
        <f t="shared" si="27"/>
        <v>11377428.666666666</v>
      </c>
      <c r="AO75" s="614">
        <f t="shared" si="27"/>
        <v>22593790</v>
      </c>
      <c r="AP75" s="614">
        <f t="shared" si="27"/>
        <v>15802971</v>
      </c>
      <c r="AQ75" s="614">
        <f t="shared" si="27"/>
        <v>21168053</v>
      </c>
      <c r="AR75" s="614">
        <f t="shared" si="27"/>
        <v>32406960</v>
      </c>
      <c r="AS75" s="614">
        <f t="shared" si="27"/>
        <v>22741234</v>
      </c>
      <c r="AT75" s="614">
        <f t="shared" si="27"/>
        <v>12129695</v>
      </c>
      <c r="AU75" s="614">
        <f t="shared" si="27"/>
        <v>20424201</v>
      </c>
      <c r="AV75" s="614">
        <f t="shared" si="27"/>
        <v>54950603</v>
      </c>
      <c r="AW75" s="614">
        <f t="shared" si="27"/>
        <v>7078080</v>
      </c>
      <c r="AX75" s="614">
        <f t="shared" si="27"/>
        <v>11516473</v>
      </c>
      <c r="AY75" s="614">
        <f t="shared" si="27"/>
        <v>12825660</v>
      </c>
      <c r="AZ75" s="614">
        <f t="shared" si="27"/>
        <v>73437770</v>
      </c>
      <c r="BA75" s="614">
        <f t="shared" si="27"/>
        <v>11450400</v>
      </c>
      <c r="BB75" s="614">
        <f t="shared" si="27"/>
        <v>4833892</v>
      </c>
      <c r="BC75" s="614">
        <f t="shared" si="27"/>
        <v>7958391</v>
      </c>
      <c r="BD75" s="614">
        <f t="shared" si="27"/>
        <v>19856038</v>
      </c>
      <c r="BE75" s="614">
        <f t="shared" si="27"/>
        <v>9746220</v>
      </c>
      <c r="BF75" s="614">
        <f t="shared" si="27"/>
        <v>11338827</v>
      </c>
      <c r="BG75" s="614">
        <f t="shared" si="27"/>
        <v>31040633</v>
      </c>
      <c r="BH75" s="614">
        <f t="shared" si="27"/>
        <v>12032209</v>
      </c>
      <c r="BI75" s="614">
        <f t="shared" si="27"/>
        <v>15107273</v>
      </c>
      <c r="BJ75" s="614">
        <f t="shared" si="27"/>
        <v>7406763</v>
      </c>
      <c r="BK75" s="614">
        <f t="shared" si="27"/>
        <v>53357635</v>
      </c>
      <c r="BL75" s="614">
        <f t="shared" si="27"/>
        <v>11306923</v>
      </c>
      <c r="BM75" s="614">
        <f t="shared" si="27"/>
        <v>11787250</v>
      </c>
      <c r="BN75" s="614">
        <f t="shared" si="27"/>
        <v>70780955</v>
      </c>
      <c r="BO75" s="614">
        <f t="shared" si="27"/>
        <v>42093077</v>
      </c>
      <c r="BP75" s="614">
        <f t="shared" ref="BP75:EK75" si="28">+BP35+BP36+BP39+BP45+BP46+BP47+BP42+BP43+BP44+BP50</f>
        <v>15147785</v>
      </c>
      <c r="BQ75" s="614">
        <f t="shared" si="28"/>
        <v>20653773</v>
      </c>
      <c r="BR75" s="614">
        <f t="shared" si="28"/>
        <v>25231983</v>
      </c>
      <c r="BS75" s="614">
        <f t="shared" si="28"/>
        <v>42809967</v>
      </c>
      <c r="BT75" s="614">
        <f t="shared" si="28"/>
        <v>32786850</v>
      </c>
      <c r="BU75" s="614">
        <f t="shared" si="28"/>
        <v>37261690</v>
      </c>
      <c r="BV75" s="614">
        <f>+BV35+BV36+BV39+BV45+BV46+BV47+BV42+BV43+BV44+BV50</f>
        <v>26893520</v>
      </c>
      <c r="BW75" s="614">
        <f t="shared" si="28"/>
        <v>42255516</v>
      </c>
      <c r="BX75" s="614">
        <f t="shared" si="28"/>
        <v>16538522</v>
      </c>
      <c r="BY75" s="614">
        <f>+BY35+BY36+BY39+BY45+BY46+BY47+BY42+BY43+BY44+BY50</f>
        <v>59161875</v>
      </c>
      <c r="BZ75" s="614">
        <f>+BZ35+BZ36+BZ39+BZ45+BZ46+BZ47+BZ42+BZ43+BZ44+BZ50</f>
        <v>0</v>
      </c>
      <c r="CA75" s="614">
        <f t="shared" si="28"/>
        <v>77535846</v>
      </c>
      <c r="CB75" s="614">
        <f t="shared" si="28"/>
        <v>44584176</v>
      </c>
      <c r="CC75" s="614">
        <f t="shared" si="28"/>
        <v>33309512</v>
      </c>
      <c r="CD75" s="614">
        <f t="shared" si="28"/>
        <v>16062941</v>
      </c>
      <c r="CE75" s="614">
        <f t="shared" si="28"/>
        <v>548984062</v>
      </c>
      <c r="CF75" s="614">
        <f t="shared" si="28"/>
        <v>47014481</v>
      </c>
      <c r="CG75" s="614">
        <f t="shared" si="28"/>
        <v>4194760</v>
      </c>
      <c r="CH75" s="614">
        <f t="shared" si="28"/>
        <v>14687458</v>
      </c>
      <c r="CI75" s="614">
        <f t="shared" si="28"/>
        <v>9002360</v>
      </c>
      <c r="CJ75" s="614">
        <f t="shared" si="28"/>
        <v>7913312</v>
      </c>
      <c r="CK75" s="614">
        <f t="shared" si="28"/>
        <v>22546626</v>
      </c>
      <c r="CL75" s="614">
        <f t="shared" si="28"/>
        <v>0</v>
      </c>
      <c r="CM75" s="614">
        <f t="shared" si="28"/>
        <v>91267220</v>
      </c>
      <c r="CN75" s="614">
        <f>+CN35+CN36+CN39+CN45+CN46+CN47+CN42+CN43+CN44+CN50</f>
        <v>18293667</v>
      </c>
      <c r="CO75" s="614">
        <f>+CO35+CO36+CO39+CO45+CO46+CO47+CO42+CO43+CO44+CO50</f>
        <v>32220240</v>
      </c>
      <c r="CP75" s="614">
        <f>+CP35+CP36+CP39+CP45+CP46+CP47+CP42+CP43+CP44+CP50</f>
        <v>0</v>
      </c>
      <c r="CQ75" s="614">
        <f t="shared" si="28"/>
        <v>25344160</v>
      </c>
      <c r="CR75" s="614">
        <f t="shared" si="28"/>
        <v>30718220</v>
      </c>
      <c r="CS75" s="614">
        <f t="shared" si="28"/>
        <v>13557000</v>
      </c>
      <c r="CT75" s="614">
        <f t="shared" si="28"/>
        <v>26568811</v>
      </c>
      <c r="CU75" s="614">
        <f t="shared" si="28"/>
        <v>18219870</v>
      </c>
      <c r="CV75" s="614">
        <f>+CV35+CV36+CV39+CV45+CV46+CV47+CV42+CV43+CV44+CV50</f>
        <v>19026910</v>
      </c>
      <c r="CW75" s="614">
        <f t="shared" si="28"/>
        <v>28256950</v>
      </c>
      <c r="CX75" s="614">
        <f t="shared" si="28"/>
        <v>8970975</v>
      </c>
      <c r="CY75" s="614">
        <f t="shared" si="28"/>
        <v>23361609</v>
      </c>
      <c r="CZ75" s="614">
        <f t="shared" si="28"/>
        <v>252317657</v>
      </c>
      <c r="DA75" s="614">
        <f t="shared" si="28"/>
        <v>74794470</v>
      </c>
      <c r="DB75" s="614">
        <f t="shared" si="28"/>
        <v>29730920</v>
      </c>
      <c r="DC75" s="614">
        <f t="shared" si="28"/>
        <v>22251420</v>
      </c>
      <c r="DD75" s="614">
        <f t="shared" si="28"/>
        <v>117558809</v>
      </c>
      <c r="DE75" s="614">
        <f t="shared" si="28"/>
        <v>28207135</v>
      </c>
      <c r="DF75" s="614">
        <f t="shared" si="28"/>
        <v>80377680</v>
      </c>
      <c r="DG75" s="614">
        <f t="shared" si="28"/>
        <v>138286745</v>
      </c>
      <c r="DH75" s="614">
        <f t="shared" si="28"/>
        <v>118453750</v>
      </c>
      <c r="DI75" s="614">
        <f t="shared" si="28"/>
        <v>57505046</v>
      </c>
      <c r="DJ75" s="614">
        <f t="shared" si="28"/>
        <v>617374040</v>
      </c>
      <c r="DK75" s="614">
        <f t="shared" si="28"/>
        <v>166390871</v>
      </c>
      <c r="DL75" s="614">
        <f t="shared" si="28"/>
        <v>45911475</v>
      </c>
      <c r="DM75" s="614">
        <f t="shared" si="28"/>
        <v>86446162</v>
      </c>
      <c r="DN75" s="614">
        <f t="shared" si="28"/>
        <v>34310088</v>
      </c>
      <c r="DO75" s="614">
        <f>+DO35+DO36+DO39+DO45+DO46+DO47+DO42+DO43+DO44+DO50</f>
        <v>33649150</v>
      </c>
      <c r="DP75" s="614">
        <f t="shared" si="28"/>
        <v>17786932</v>
      </c>
      <c r="DQ75" s="614">
        <f t="shared" si="28"/>
        <v>218730440</v>
      </c>
      <c r="DR75" s="614">
        <f t="shared" si="28"/>
        <v>4362400</v>
      </c>
      <c r="DS75" s="614">
        <f t="shared" si="28"/>
        <v>14541290</v>
      </c>
      <c r="DT75" s="614">
        <f>+DT35+DT36+DT39+DT45+DT46+DT47+DT42+DT43+DT44+DT50</f>
        <v>12731262</v>
      </c>
      <c r="DU75" s="614">
        <f t="shared" si="28"/>
        <v>56934606</v>
      </c>
      <c r="DV75" s="614">
        <f>+DV35+DV36+DV39+DV45+DV46+DV47+DV42+DV43+DV44+DV50</f>
        <v>31299855</v>
      </c>
      <c r="DW75" s="614">
        <f t="shared" si="28"/>
        <v>55668593</v>
      </c>
      <c r="DX75" s="614">
        <f t="shared" si="28"/>
        <v>125528543</v>
      </c>
      <c r="DY75" s="614">
        <f t="shared" si="28"/>
        <v>51241795</v>
      </c>
      <c r="DZ75" s="614">
        <f>+DZ35+DZ36+DZ39+DZ45+DZ46+DZ47+DZ42+DZ43+DZ44+DZ50</f>
        <v>4315435</v>
      </c>
      <c r="EA75" s="614">
        <f t="shared" si="28"/>
        <v>826669303</v>
      </c>
      <c r="EB75" s="614">
        <f t="shared" si="28"/>
        <v>7787210</v>
      </c>
      <c r="EC75" s="614">
        <f t="shared" si="28"/>
        <v>35946960</v>
      </c>
      <c r="ED75" s="614">
        <f t="shared" si="28"/>
        <v>137117293</v>
      </c>
      <c r="EE75" s="614">
        <f t="shared" si="28"/>
        <v>9700030</v>
      </c>
      <c r="EF75" s="614">
        <f t="shared" si="28"/>
        <v>8326980</v>
      </c>
      <c r="EG75" s="614">
        <f t="shared" si="28"/>
        <v>25074225</v>
      </c>
      <c r="EH75" s="614">
        <f t="shared" si="28"/>
        <v>79039867</v>
      </c>
      <c r="EI75" s="614">
        <f t="shared" si="28"/>
        <v>271266054</v>
      </c>
      <c r="EJ75" s="614">
        <f t="shared" si="28"/>
        <v>48674103</v>
      </c>
      <c r="EK75" s="614">
        <f t="shared" si="28"/>
        <v>15930250</v>
      </c>
      <c r="EL75" s="614">
        <f t="shared" ref="EL75:FV75" si="29">+EL35+EL36+EL39+EL45+EL46+EL47+EL42+EL43+EL44+EL50</f>
        <v>14117750</v>
      </c>
      <c r="EM75" s="614">
        <f t="shared" si="29"/>
        <v>47969950</v>
      </c>
      <c r="EN75" s="614">
        <f t="shared" si="29"/>
        <v>32719000</v>
      </c>
      <c r="EO75" s="614">
        <f>+EO35+EO36+EO39+EO45+EO46+EO47+EO42+EO43+EO44+EO50</f>
        <v>7613760</v>
      </c>
      <c r="EP75" s="614">
        <f t="shared" si="29"/>
        <v>203194000</v>
      </c>
      <c r="EQ75" s="614">
        <f t="shared" si="29"/>
        <v>58395175</v>
      </c>
      <c r="ER75" s="614">
        <f t="shared" si="29"/>
        <v>118819128</v>
      </c>
      <c r="ES75" s="614">
        <f t="shared" si="29"/>
        <v>37582006</v>
      </c>
      <c r="ET75" s="614">
        <f>+ET35+ET36+ET39+ET45+ET46+ET47+ET42+ET43+ET44+ET50</f>
        <v>19229574</v>
      </c>
      <c r="EU75" s="614">
        <f t="shared" si="29"/>
        <v>360722078</v>
      </c>
      <c r="EV75" s="614">
        <f t="shared" si="29"/>
        <v>41973975</v>
      </c>
      <c r="EW75" s="614">
        <f t="shared" si="29"/>
        <v>55153804</v>
      </c>
      <c r="EX75" s="614">
        <f t="shared" si="29"/>
        <v>36588050</v>
      </c>
      <c r="EY75" s="614">
        <f t="shared" si="29"/>
        <v>23986774</v>
      </c>
      <c r="EZ75" s="614">
        <f t="shared" si="29"/>
        <v>23700748</v>
      </c>
      <c r="FA75" s="614">
        <f t="shared" si="29"/>
        <v>54566236</v>
      </c>
      <c r="FB75" s="614">
        <f t="shared" si="29"/>
        <v>20899750</v>
      </c>
      <c r="FC75" s="614">
        <f t="shared" si="29"/>
        <v>22071384</v>
      </c>
      <c r="FD75" s="614">
        <f t="shared" si="29"/>
        <v>26792100</v>
      </c>
      <c r="FE75" s="614">
        <f t="shared" si="29"/>
        <v>25126330</v>
      </c>
      <c r="FF75" s="614">
        <f t="shared" si="29"/>
        <v>16011050</v>
      </c>
      <c r="FG75" s="614">
        <f t="shared" si="29"/>
        <v>18746240</v>
      </c>
      <c r="FH75" s="614">
        <f t="shared" si="29"/>
        <v>124034660</v>
      </c>
      <c r="FI75" s="614"/>
      <c r="FJ75" s="614">
        <f t="shared" si="29"/>
        <v>5939500</v>
      </c>
      <c r="FK75" s="614">
        <f t="shared" si="29"/>
        <v>9203704</v>
      </c>
      <c r="FL75" s="614">
        <f t="shared" si="29"/>
        <v>5777991</v>
      </c>
      <c r="FM75" s="614">
        <f t="shared" si="29"/>
        <v>139366431</v>
      </c>
      <c r="FN75" s="614">
        <f t="shared" si="29"/>
        <v>34132286</v>
      </c>
      <c r="FO75" s="614">
        <f t="shared" si="29"/>
        <v>6676674</v>
      </c>
      <c r="FP75" s="614">
        <f t="shared" si="29"/>
        <v>14223950</v>
      </c>
      <c r="FQ75" s="614">
        <f t="shared" si="29"/>
        <v>46345430</v>
      </c>
      <c r="FR75" s="614">
        <f t="shared" si="29"/>
        <v>19026910</v>
      </c>
      <c r="FT75" s="614">
        <f t="shared" si="29"/>
        <v>9203704</v>
      </c>
      <c r="FU75" s="614">
        <f t="shared" si="29"/>
        <v>23947985</v>
      </c>
      <c r="FV75" s="614">
        <f t="shared" si="29"/>
        <v>1214000</v>
      </c>
      <c r="FW75" s="614">
        <f>+FW35+FW36+FW39+FW45+FW46+FW47+FW42+FW43+FW44+FW50</f>
        <v>5184530</v>
      </c>
      <c r="FX75" s="614">
        <f>+FX35+FX36+FX39+FX45+FX46+FX47+FX42+FX43+FX44+FX50</f>
        <v>14395930</v>
      </c>
      <c r="FY75" s="614">
        <f>+FY35+FY36+FY39+FY45+FY46+FY47+FY42+FY43+FY44+FY50</f>
        <v>0</v>
      </c>
      <c r="FZ75" s="614">
        <f>+FZ35+FZ36+FZ39+FZ45+FZ46+FZ47+FZ42+FZ43+FZ44+FZ50</f>
        <v>27691604</v>
      </c>
      <c r="GA75" s="614">
        <f>+GA35+GA36+GA39+GA45+GA46+GA47+GA42+GA43+GA44+GA50</f>
        <v>31895118</v>
      </c>
    </row>
    <row r="76" spans="1:183" x14ac:dyDescent="0.2">
      <c r="A76" s="439" t="s">
        <v>187</v>
      </c>
      <c r="B76" s="614">
        <f>+B54+B55+B58+B64+B65+B66+B61+B62+B63+B69</f>
        <v>8149842</v>
      </c>
      <c r="C76" s="614">
        <f t="shared" ref="C76:BO76" si="30">+C54+C55+C58+C64+C65+C66+C61+C62+C63+C69</f>
        <v>8012441</v>
      </c>
      <c r="D76" s="614">
        <f t="shared" si="30"/>
        <v>15231000</v>
      </c>
      <c r="E76" s="614">
        <f t="shared" si="30"/>
        <v>6313298</v>
      </c>
      <c r="F76" s="614">
        <f t="shared" si="30"/>
        <v>6627387</v>
      </c>
      <c r="G76" s="614">
        <f t="shared" si="30"/>
        <v>8132067</v>
      </c>
      <c r="H76" s="614">
        <f t="shared" si="30"/>
        <v>5350032</v>
      </c>
      <c r="I76" s="614">
        <f t="shared" si="30"/>
        <v>10492252</v>
      </c>
      <c r="J76" s="614">
        <f t="shared" si="30"/>
        <v>5643500</v>
      </c>
      <c r="K76" s="614">
        <f t="shared" si="30"/>
        <v>10279228</v>
      </c>
      <c r="L76" s="614">
        <f t="shared" si="30"/>
        <v>4848431</v>
      </c>
      <c r="M76" s="614">
        <f t="shared" si="30"/>
        <v>2440776</v>
      </c>
      <c r="N76" s="614">
        <f t="shared" si="30"/>
        <v>10413019</v>
      </c>
      <c r="O76" s="614">
        <f t="shared" si="30"/>
        <v>14574136</v>
      </c>
      <c r="P76" s="614">
        <f t="shared" si="30"/>
        <v>9935389</v>
      </c>
      <c r="Q76" s="614">
        <f t="shared" si="30"/>
        <v>6196140</v>
      </c>
      <c r="R76" s="614">
        <f t="shared" si="30"/>
        <v>8805250</v>
      </c>
      <c r="S76" s="614">
        <f t="shared" si="30"/>
        <v>10951000</v>
      </c>
      <c r="T76" s="614">
        <f t="shared" si="30"/>
        <v>10093637</v>
      </c>
      <c r="U76" s="614">
        <f t="shared" si="30"/>
        <v>8742223</v>
      </c>
      <c r="V76" s="614">
        <f t="shared" si="30"/>
        <v>31519586</v>
      </c>
      <c r="W76" s="614">
        <f t="shared" si="30"/>
        <v>11499080</v>
      </c>
      <c r="X76" s="614">
        <f t="shared" si="30"/>
        <v>10950306</v>
      </c>
      <c r="Y76" s="614">
        <f t="shared" si="30"/>
        <v>7173559</v>
      </c>
      <c r="Z76" s="614">
        <f t="shared" si="30"/>
        <v>23750544</v>
      </c>
      <c r="AA76" s="614">
        <f t="shared" si="30"/>
        <v>2873579</v>
      </c>
      <c r="AB76" s="614">
        <f t="shared" si="30"/>
        <v>11956466</v>
      </c>
      <c r="AC76" s="614">
        <f t="shared" si="30"/>
        <v>27914917</v>
      </c>
      <c r="AD76" s="532">
        <f t="shared" si="30"/>
        <v>8428517</v>
      </c>
      <c r="AE76" s="614">
        <f t="shared" si="30"/>
        <v>12320026</v>
      </c>
      <c r="AF76" s="614">
        <f t="shared" si="30"/>
        <v>7356367</v>
      </c>
      <c r="AG76" s="614">
        <f t="shared" si="30"/>
        <v>9255633</v>
      </c>
      <c r="AH76" s="614">
        <f t="shared" si="30"/>
        <v>17454553</v>
      </c>
      <c r="AI76" s="614">
        <f t="shared" si="30"/>
        <v>13435219</v>
      </c>
      <c r="AJ76" s="614">
        <f t="shared" si="30"/>
        <v>26595342</v>
      </c>
      <c r="AK76" s="614">
        <f>+AK54+AK55+AK58+AK64+AK65+AK66+AK61+AK62+AK63+AK69</f>
        <v>14311957</v>
      </c>
      <c r="AL76" s="614">
        <f t="shared" si="30"/>
        <v>7705345.333333333</v>
      </c>
      <c r="AM76" s="614">
        <f t="shared" si="30"/>
        <v>7705345.333333333</v>
      </c>
      <c r="AN76" s="614">
        <f t="shared" si="30"/>
        <v>7705345.333333333</v>
      </c>
      <c r="AO76" s="614">
        <f t="shared" si="30"/>
        <v>17092896</v>
      </c>
      <c r="AP76" s="614">
        <f t="shared" si="30"/>
        <v>11236802</v>
      </c>
      <c r="AQ76" s="614">
        <f t="shared" si="30"/>
        <v>15216528</v>
      </c>
      <c r="AR76" s="614">
        <f t="shared" si="30"/>
        <v>24656681</v>
      </c>
      <c r="AS76" s="614">
        <f t="shared" si="30"/>
        <v>15263077</v>
      </c>
      <c r="AT76" s="614">
        <f t="shared" si="30"/>
        <v>7601723</v>
      </c>
      <c r="AU76" s="614">
        <f t="shared" si="30"/>
        <v>15134780</v>
      </c>
      <c r="AV76" s="614">
        <f t="shared" si="30"/>
        <v>35598019</v>
      </c>
      <c r="AW76" s="614">
        <f t="shared" si="30"/>
        <v>5454625</v>
      </c>
      <c r="AX76" s="614">
        <f t="shared" si="30"/>
        <v>8169959</v>
      </c>
      <c r="AY76" s="614">
        <f t="shared" si="30"/>
        <v>5921207</v>
      </c>
      <c r="AZ76" s="614">
        <f t="shared" si="30"/>
        <v>25942187</v>
      </c>
      <c r="BA76" s="614">
        <f t="shared" si="30"/>
        <v>6841071</v>
      </c>
      <c r="BB76" s="614">
        <f t="shared" si="30"/>
        <v>2801687</v>
      </c>
      <c r="BC76" s="614">
        <f t="shared" si="30"/>
        <v>4842797</v>
      </c>
      <c r="BD76" s="614">
        <f t="shared" si="30"/>
        <v>15254004</v>
      </c>
      <c r="BE76" s="614">
        <f t="shared" si="30"/>
        <v>8914534</v>
      </c>
      <c r="BF76" s="614">
        <f t="shared" si="30"/>
        <v>9350463</v>
      </c>
      <c r="BG76" s="614">
        <f t="shared" si="30"/>
        <v>26818282</v>
      </c>
      <c r="BH76" s="614">
        <f t="shared" si="30"/>
        <v>10320106</v>
      </c>
      <c r="BI76" s="614">
        <f t="shared" si="30"/>
        <v>10186085</v>
      </c>
      <c r="BJ76" s="614">
        <f t="shared" si="30"/>
        <v>6809931</v>
      </c>
      <c r="BK76" s="614">
        <f t="shared" si="30"/>
        <v>31311779</v>
      </c>
      <c r="BL76" s="614">
        <f t="shared" si="30"/>
        <v>8434097</v>
      </c>
      <c r="BM76" s="614">
        <f t="shared" si="30"/>
        <v>9597147</v>
      </c>
      <c r="BN76" s="614">
        <f t="shared" si="30"/>
        <v>32214217</v>
      </c>
      <c r="BO76" s="614">
        <f t="shared" si="30"/>
        <v>24707150</v>
      </c>
      <c r="BP76" s="614">
        <f t="shared" ref="BP76:EK76" si="31">+BP54+BP55+BP58+BP64+BP65+BP66+BP61+BP62+BP63+BP69</f>
        <v>10442362</v>
      </c>
      <c r="BQ76" s="614">
        <f t="shared" si="31"/>
        <v>15140079</v>
      </c>
      <c r="BR76" s="614">
        <f t="shared" si="31"/>
        <v>16073213</v>
      </c>
      <c r="BS76" s="614">
        <f t="shared" si="31"/>
        <v>17120713</v>
      </c>
      <c r="BT76" s="614">
        <f t="shared" si="31"/>
        <v>7134115</v>
      </c>
      <c r="BU76" s="614">
        <f t="shared" si="31"/>
        <v>7505799</v>
      </c>
      <c r="BV76" s="614">
        <f>+BV54+BV55+BV58+BV64+BV65+BV66+BV61+BV62+BV63+BV69</f>
        <v>4679154</v>
      </c>
      <c r="BW76" s="614">
        <f t="shared" si="31"/>
        <v>9001581</v>
      </c>
      <c r="BX76" s="614">
        <f t="shared" si="31"/>
        <v>6946130</v>
      </c>
      <c r="BY76" s="614">
        <f>+BY54+BY55+BY58+BY64+BY65+BY66+BY61+BY62+BY63+BY69</f>
        <v>35126163</v>
      </c>
      <c r="BZ76" s="614">
        <f>+BZ54+BZ55+BZ58+BZ64+BZ65+BZ66+BZ61+BZ62+BZ63+BZ69</f>
        <v>0</v>
      </c>
      <c r="CA76" s="614">
        <f t="shared" si="31"/>
        <v>30555173</v>
      </c>
      <c r="CB76" s="614">
        <f t="shared" si="31"/>
        <v>17862008</v>
      </c>
      <c r="CC76" s="614">
        <f t="shared" si="31"/>
        <v>18888873</v>
      </c>
      <c r="CD76" s="614">
        <f t="shared" si="31"/>
        <v>10240178</v>
      </c>
      <c r="CE76" s="614">
        <f t="shared" si="31"/>
        <v>147519829</v>
      </c>
      <c r="CF76" s="614">
        <f t="shared" si="31"/>
        <v>35333415</v>
      </c>
      <c r="CG76" s="614">
        <f t="shared" si="31"/>
        <v>4046775</v>
      </c>
      <c r="CH76" s="614">
        <f t="shared" si="31"/>
        <v>11513869</v>
      </c>
      <c r="CI76" s="614">
        <f t="shared" si="31"/>
        <v>7493900</v>
      </c>
      <c r="CJ76" s="614">
        <f t="shared" si="31"/>
        <v>7368301</v>
      </c>
      <c r="CK76" s="614">
        <f t="shared" si="31"/>
        <v>18467241</v>
      </c>
      <c r="CL76" s="614">
        <f t="shared" si="31"/>
        <v>0</v>
      </c>
      <c r="CM76" s="614">
        <f t="shared" si="31"/>
        <v>36293538</v>
      </c>
      <c r="CN76" s="614">
        <f>+CN54+CN55+CN58+CN64+CN65+CN66+CN61+CN62+CN63+CN69</f>
        <v>6527360</v>
      </c>
      <c r="CO76" s="614">
        <f>+CO54+CO55+CO58+CO64+CO65+CO66+CO61+CO62+CO63+CO69</f>
        <v>20709700</v>
      </c>
      <c r="CP76" s="614">
        <f>+CP54+CP55+CP58+CP64+CP65+CP66+CP61+CP62+CP63+CP69</f>
        <v>0</v>
      </c>
      <c r="CQ76" s="614">
        <f t="shared" si="31"/>
        <v>16220117</v>
      </c>
      <c r="CR76" s="614">
        <f t="shared" si="31"/>
        <v>19712031</v>
      </c>
      <c r="CS76" s="614">
        <f t="shared" si="31"/>
        <v>10280000</v>
      </c>
      <c r="CT76" s="614">
        <f t="shared" si="31"/>
        <v>18898209</v>
      </c>
      <c r="CU76" s="614">
        <f t="shared" si="31"/>
        <v>11244442</v>
      </c>
      <c r="CV76" s="614">
        <f>+CV54+CV55+CV58+CV64+CV65+CV66+CV61+CV62+CV63+CV69</f>
        <v>12340801</v>
      </c>
      <c r="CW76" s="614">
        <f t="shared" si="31"/>
        <v>17340252</v>
      </c>
      <c r="CX76" s="614">
        <f t="shared" si="31"/>
        <v>6551468</v>
      </c>
      <c r="CY76" s="614">
        <f t="shared" si="31"/>
        <v>18422144</v>
      </c>
      <c r="CZ76" s="614">
        <f t="shared" si="31"/>
        <v>134563843</v>
      </c>
      <c r="DA76" s="614">
        <f t="shared" si="31"/>
        <v>37136537</v>
      </c>
      <c r="DB76" s="614">
        <f t="shared" si="31"/>
        <v>14501367</v>
      </c>
      <c r="DC76" s="614">
        <f t="shared" si="31"/>
        <v>14276882</v>
      </c>
      <c r="DD76" s="614">
        <f t="shared" si="31"/>
        <v>48181685</v>
      </c>
      <c r="DE76" s="614">
        <f t="shared" si="31"/>
        <v>8735303</v>
      </c>
      <c r="DF76" s="614">
        <f t="shared" si="31"/>
        <v>38501901</v>
      </c>
      <c r="DG76" s="614">
        <f t="shared" si="31"/>
        <v>55224295</v>
      </c>
      <c r="DH76" s="614">
        <f t="shared" si="31"/>
        <v>42980559</v>
      </c>
      <c r="DI76" s="614">
        <f t="shared" si="31"/>
        <v>23392981</v>
      </c>
      <c r="DJ76" s="614">
        <f t="shared" si="31"/>
        <v>175531370</v>
      </c>
      <c r="DK76" s="614">
        <f t="shared" si="31"/>
        <v>7135457</v>
      </c>
      <c r="DL76" s="614">
        <f t="shared" si="31"/>
        <v>2328894</v>
      </c>
      <c r="DM76" s="614">
        <f t="shared" si="31"/>
        <v>6102764</v>
      </c>
      <c r="DN76" s="614">
        <f t="shared" si="31"/>
        <v>9811474</v>
      </c>
      <c r="DO76" s="614">
        <f>+DO54+DO55+DO58+DO64+DO65+DO66+DO61+DO62+DO63+DO69</f>
        <v>15266472</v>
      </c>
      <c r="DP76" s="614">
        <f t="shared" si="31"/>
        <v>10505340</v>
      </c>
      <c r="DQ76" s="614">
        <f t="shared" si="31"/>
        <v>64226209</v>
      </c>
      <c r="DR76" s="614">
        <f t="shared" si="31"/>
        <v>2203039</v>
      </c>
      <c r="DS76" s="614">
        <f t="shared" si="31"/>
        <v>12786007</v>
      </c>
      <c r="DT76" s="614">
        <f>+DT54+DT55+DT58+DT64+DT65+DT66+DT61+DT62+DT63+DT69</f>
        <v>4545915</v>
      </c>
      <c r="DU76" s="614">
        <f t="shared" si="31"/>
        <v>22027467</v>
      </c>
      <c r="DV76" s="614">
        <f>+DV54+DV55+DV58+DV64+DV65+DV66+DV61+DV62+DV63+DV69</f>
        <v>19984954</v>
      </c>
      <c r="DW76" s="614">
        <f t="shared" si="31"/>
        <v>27211389</v>
      </c>
      <c r="DX76" s="614">
        <f t="shared" si="31"/>
        <v>83146260</v>
      </c>
      <c r="DY76" s="614">
        <f t="shared" si="31"/>
        <v>27289264</v>
      </c>
      <c r="DZ76" s="614">
        <f>+DZ54+DZ55+DZ58+DZ64+DZ65+DZ66+DZ61+DZ62+DZ63+DZ69</f>
        <v>3100936</v>
      </c>
      <c r="EA76" s="614">
        <f t="shared" si="31"/>
        <v>343136605</v>
      </c>
      <c r="EB76" s="614">
        <f t="shared" si="31"/>
        <v>6256714</v>
      </c>
      <c r="EC76" s="614">
        <f t="shared" si="31"/>
        <v>11909442</v>
      </c>
      <c r="ED76" s="614">
        <f t="shared" si="31"/>
        <v>36469910</v>
      </c>
      <c r="EE76" s="614">
        <f t="shared" si="31"/>
        <v>1801370</v>
      </c>
      <c r="EF76" s="614">
        <f t="shared" si="31"/>
        <v>4450672</v>
      </c>
      <c r="EG76" s="614">
        <f t="shared" si="31"/>
        <v>5592416</v>
      </c>
      <c r="EH76" s="614">
        <f t="shared" si="31"/>
        <v>21448785</v>
      </c>
      <c r="EI76" s="614">
        <f t="shared" si="31"/>
        <v>147487683</v>
      </c>
      <c r="EJ76" s="614">
        <f t="shared" si="31"/>
        <v>31166227</v>
      </c>
      <c r="EK76" s="614">
        <f t="shared" si="31"/>
        <v>11246433</v>
      </c>
      <c r="EL76" s="614">
        <f t="shared" ref="EL76:FV76" si="32">+EL54+EL55+EL58+EL64+EL65+EL66+EL61+EL62+EL63+EL69</f>
        <v>6950758</v>
      </c>
      <c r="EM76" s="614">
        <f t="shared" si="32"/>
        <v>12943739</v>
      </c>
      <c r="EN76" s="614">
        <f t="shared" si="32"/>
        <v>21770000</v>
      </c>
      <c r="EO76" s="614">
        <f>+EO54+EO55+EO58+EO64+EO65+EO66+EO61+EO62+EO63+EO69</f>
        <v>4801218</v>
      </c>
      <c r="EP76" s="614">
        <f t="shared" si="32"/>
        <v>82342000</v>
      </c>
      <c r="EQ76" s="614">
        <f t="shared" si="32"/>
        <v>28159125</v>
      </c>
      <c r="ER76" s="614">
        <f t="shared" si="32"/>
        <v>63513775</v>
      </c>
      <c r="ES76" s="614">
        <f t="shared" si="32"/>
        <v>17398688</v>
      </c>
      <c r="ET76" s="614">
        <f>+ET54+ET55+ET58+ET64+ET65+ET66+ET61+ET62+ET63+ET69</f>
        <v>6797674</v>
      </c>
      <c r="EU76" s="614">
        <f t="shared" si="32"/>
        <v>146123249</v>
      </c>
      <c r="EV76" s="614">
        <f t="shared" si="32"/>
        <v>24517307</v>
      </c>
      <c r="EW76" s="614">
        <f t="shared" si="32"/>
        <v>13193245</v>
      </c>
      <c r="EX76" s="614">
        <f t="shared" si="32"/>
        <v>8982050</v>
      </c>
      <c r="EY76" s="614">
        <f t="shared" si="32"/>
        <v>11585912</v>
      </c>
      <c r="EZ76" s="614">
        <f t="shared" si="32"/>
        <v>7724272</v>
      </c>
      <c r="FA76" s="614">
        <f t="shared" si="32"/>
        <v>42084208</v>
      </c>
      <c r="FB76" s="614">
        <f t="shared" si="32"/>
        <v>14530855</v>
      </c>
      <c r="FC76" s="614">
        <f t="shared" si="32"/>
        <v>19386198</v>
      </c>
      <c r="FD76" s="614">
        <f t="shared" si="32"/>
        <v>19240644</v>
      </c>
      <c r="FE76" s="614">
        <f t="shared" si="32"/>
        <v>20044823</v>
      </c>
      <c r="FF76" s="614">
        <f t="shared" si="32"/>
        <v>14280221</v>
      </c>
      <c r="FG76" s="614">
        <f t="shared" si="32"/>
        <v>14556657</v>
      </c>
      <c r="FH76" s="614">
        <f t="shared" si="32"/>
        <v>47257507</v>
      </c>
      <c r="FI76" s="614"/>
      <c r="FJ76" s="614">
        <f t="shared" si="32"/>
        <v>4386369</v>
      </c>
      <c r="FK76" s="614">
        <f t="shared" si="32"/>
        <v>5852222</v>
      </c>
      <c r="FL76" s="614">
        <f t="shared" si="32"/>
        <v>2053715</v>
      </c>
      <c r="FM76" s="614">
        <f t="shared" si="32"/>
        <v>62407263</v>
      </c>
      <c r="FN76" s="614">
        <f t="shared" si="32"/>
        <v>23116036</v>
      </c>
      <c r="FO76" s="614">
        <f t="shared" si="32"/>
        <v>3998922</v>
      </c>
      <c r="FP76" s="614">
        <f t="shared" si="32"/>
        <v>4397798</v>
      </c>
      <c r="FQ76" s="614">
        <f t="shared" si="32"/>
        <v>19844548</v>
      </c>
      <c r="FR76" s="614">
        <f t="shared" si="32"/>
        <v>12340800</v>
      </c>
      <c r="FT76" s="614">
        <f t="shared" si="32"/>
        <v>5852222</v>
      </c>
      <c r="FU76" s="614">
        <f t="shared" si="32"/>
        <v>16080657</v>
      </c>
      <c r="FV76" s="614">
        <f t="shared" si="32"/>
        <v>156000</v>
      </c>
      <c r="FW76" s="614">
        <f>+FW54+FW55+FW58+FW64+FW65+FW66+FW61+FW62+FW63+FW69</f>
        <v>4846361</v>
      </c>
      <c r="FX76" s="614">
        <f>+FX54+FX55+FX58+FX64+FX65+FX66+FX61+FX62+FX63+FX69</f>
        <v>12667252</v>
      </c>
      <c r="FY76" s="614">
        <f>+FY54+FY55+FY58+FY64+FY65+FY66+FY61+FY62+FY63+FY69</f>
        <v>0</v>
      </c>
      <c r="FZ76" s="614">
        <f>+FZ54+FZ55+FZ58+FZ64+FZ65+FZ66+FZ61+FZ62+FZ63+FZ69</f>
        <v>21709469</v>
      </c>
      <c r="GA76" s="614">
        <f>+GA54+GA55+GA58+GA64+GA65+GA66+GA61+GA62+GA63+GA69</f>
        <v>21691674</v>
      </c>
    </row>
    <row r="78" spans="1:183" hidden="1" x14ac:dyDescent="0.2">
      <c r="B78" s="532">
        <f>+HLOOKUP(B2,'[17]רשימת נכסים מהקובץ'!$A$2:$IV$91,72,0)</f>
        <v>6385180</v>
      </c>
      <c r="C78" s="532">
        <f>+HLOOKUP(C2,'[17]רשימת נכסים מהקובץ'!$A$2:$IV$91,72,0)</f>
        <v>12957335</v>
      </c>
      <c r="D78" s="532">
        <f>+HLOOKUP(D2,'[17]רשימת נכסים מהקובץ'!$A$2:$IV$91,72,0)</f>
        <v>27484000</v>
      </c>
      <c r="E78" s="532">
        <f>+HLOOKUP(E2,'[17]רשימת נכסים מהקובץ'!$A$2:$IV$91,72,0)</f>
        <v>7267740</v>
      </c>
      <c r="F78" s="532">
        <f>+HLOOKUP(F2,'[17]רשימת נכסים מהקובץ'!$A$2:$IV$91,72,0)</f>
        <v>3975970</v>
      </c>
      <c r="G78" s="532">
        <f>+HLOOKUP(G2,'[17]רשימת נכסים מהקובץ'!$A$2:$IV$91,72,0)</f>
        <v>7166803</v>
      </c>
      <c r="H78" s="532">
        <f>+HLOOKUP(H2,'[17]רשימת נכסים מהקובץ'!$A$2:$IV$91,72,0)</f>
        <v>4602310</v>
      </c>
      <c r="I78" s="532">
        <f>+HLOOKUP(I2,'[17]רשימת נכסים מהקובץ'!$A$2:$IV$91,72,0)</f>
        <v>38903470</v>
      </c>
      <c r="J78" s="532">
        <f>+HLOOKUP(J2,'[17]רשימת נכסים מהקובץ'!$A$2:$IV$91,72,0)</f>
        <v>18944720</v>
      </c>
      <c r="K78" s="532">
        <f>+HLOOKUP(K2,'[17]רשימת נכסים מהקובץ'!$A$2:$IV$91,72,0)</f>
        <v>9166270</v>
      </c>
      <c r="L78" s="532">
        <f>+HLOOKUP(L2,'[17]רשימת נכסים מהקובץ'!$A$2:$IV$91,72,0)</f>
        <v>3957412</v>
      </c>
      <c r="M78" s="532">
        <f>+HLOOKUP(M2,'[17]רשימת נכסים מהקובץ'!$A$2:$IV$91,72,0)</f>
        <v>2766945</v>
      </c>
      <c r="N78" s="532">
        <f>+HLOOKUP(N2,'[17]רשימת נכסים מהקובץ'!$A$2:$IV$91,72,0)</f>
        <v>7567270</v>
      </c>
      <c r="O78" s="532">
        <f>+HLOOKUP(O2,'[17]רשימת נכסים מהקובץ'!$A$2:$IV$91,72,0)</f>
        <v>15703925</v>
      </c>
      <c r="P78" s="532">
        <f>+HLOOKUP(P2,'[17]רשימת נכסים מהקובץ'!$A$2:$IV$91,72,0)</f>
        <v>8618900</v>
      </c>
      <c r="Q78" s="532">
        <f>+HLOOKUP(Q2,'[17]רשימת נכסים מהקובץ'!$A$2:$IV$91,72,0)</f>
        <v>3310350</v>
      </c>
      <c r="R78" s="532">
        <f>+HLOOKUP(R2,'[17]רשימת נכסים מהקובץ'!$A$2:$IV$91,72,0)</f>
        <v>5371991</v>
      </c>
      <c r="S78" s="532">
        <f>+HLOOKUP(S2,'[17]רשימת נכסים מהקובץ'!$A$2:$IV$91,72,0)</f>
        <v>13614000</v>
      </c>
      <c r="T78" s="532">
        <f>+HLOOKUP(T2,'[17]רשימת נכסים מהקובץ'!$A$2:$IV$91,72,0)</f>
        <v>9944555</v>
      </c>
      <c r="U78" s="532">
        <f>+HLOOKUP(U2,'[17]רשימת נכסים מהקובץ'!$A$2:$IV$91,72,0)</f>
        <v>9936036</v>
      </c>
      <c r="V78" s="532">
        <f>+HLOOKUP(V2,'[17]רשימת נכסים מהקובץ'!$A$2:$IV$91,72,0)</f>
        <v>15475780</v>
      </c>
      <c r="W78" s="532">
        <f>+HLOOKUP(W2,'[17]רשימת נכסים מהקובץ'!$A$2:$IV$91,72,0)</f>
        <v>19532245</v>
      </c>
      <c r="X78" s="532">
        <f>+HLOOKUP(X2,'[17]רשימת נכסים מהקובץ'!$A$2:$IV$91,72,0)</f>
        <v>12963170</v>
      </c>
      <c r="Y78" s="532">
        <f>+HLOOKUP(Y2,'[17]רשימת נכסים מהקובץ'!$A$2:$IV$91,72,0)</f>
        <v>10317860</v>
      </c>
      <c r="Z78" s="532">
        <f>+HLOOKUP(Z2,'[17]רשימת נכסים מהקובץ'!$A$2:$IV$91,72,0)</f>
        <v>18694517</v>
      </c>
      <c r="AA78" s="532">
        <f>+HLOOKUP(AA2,'[17]רשימת נכסים מהקובץ'!$A$2:$IV$91,72,0)</f>
        <v>2134205</v>
      </c>
      <c r="AB78" s="532">
        <f>+HLOOKUP(AB2,'[17]רשימת נכסים מהקובץ'!$A$2:$IV$91,72,0)</f>
        <v>11890832</v>
      </c>
      <c r="AC78" s="532">
        <f>+HLOOKUP(AC2,'[17]רשימת נכסים מהקובץ'!$A$2:$IV$91,72,0)</f>
        <v>58076750</v>
      </c>
      <c r="AD78" s="532">
        <f>+HLOOKUP(AD2,'[17]רשימת נכסים מהקובץ'!$A$2:$IV$91,72,0)</f>
        <v>9042333</v>
      </c>
      <c r="AE78" s="532">
        <f>+HLOOKUP(AE2,'[17]רשימת נכסים מהקובץ'!$A$2:$IV$91,72,0)</f>
        <v>16216530</v>
      </c>
      <c r="AF78" s="532">
        <f>+HLOOKUP(AF2,'[17]רשימת נכסים מהקובץ'!$A$2:$IV$91,72,0)</f>
        <v>6893020</v>
      </c>
      <c r="AG78" s="532">
        <f>+HLOOKUP(AG2,'[17]רשימת נכסים מהקובץ'!$A$2:$IV$91,72,0)</f>
        <v>15182170</v>
      </c>
      <c r="AH78" s="532">
        <f>+HLOOKUP(AH2,'[17]רשימת נכסים מהקובץ'!$A$2:$IV$91,72,0)</f>
        <v>53273777</v>
      </c>
      <c r="AI78" s="532">
        <f>+HLOOKUP(AI2,'[17]רשימת נכסים מהקובץ'!$A$2:$IV$91,72,0)</f>
        <v>36457900</v>
      </c>
      <c r="AJ78" s="532">
        <f>+HLOOKUP(AJ2,'[17]רשימת נכסים מהקובץ'!$A$2:$IV$91,72,0)</f>
        <v>46357848</v>
      </c>
      <c r="AL78" s="532">
        <f>+HLOOKUP(AL2,'[17]רשימת נכסים מהקובץ'!$A$2:$IV$91,72,0)</f>
        <v>7103943.666666667</v>
      </c>
      <c r="AM78" s="532">
        <f>+HLOOKUP(AM2,'[17]רשימת נכסים מהקובץ'!$A$2:$IV$91,72,0)</f>
        <v>7103943.666666667</v>
      </c>
      <c r="AN78" s="532">
        <f>+HLOOKUP(AN2,'[17]רשימת נכסים מהקובץ'!$A$2:$IV$91,72,0)</f>
        <v>7103943.666666667</v>
      </c>
      <c r="AO78" s="532">
        <f>+HLOOKUP(AO2,'[17]רשימת נכסים מהקובץ'!$A$2:$IV$91,72,0)</f>
        <v>8344240</v>
      </c>
      <c r="AP78" s="532">
        <f>+HLOOKUP(AP2,'[17]רשימת נכסים מהקובץ'!$A$2:$IV$91,72,0)</f>
        <v>6817844</v>
      </c>
      <c r="AQ78" s="532">
        <f>+HLOOKUP(AQ2,'[17]רשימת נכסים מהקובץ'!$A$2:$IV$91,72,0)</f>
        <v>16749605</v>
      </c>
      <c r="AR78" s="532">
        <f>+HLOOKUP(AR2,'[17]רשימת נכסים מהקובץ'!$A$2:$IV$91,72,0)</f>
        <v>21261730</v>
      </c>
      <c r="AS78" s="532">
        <f>+HLOOKUP(AS2,'[17]רשימת נכסים מהקובץ'!$A$2:$IV$91,72,0)</f>
        <v>11705850</v>
      </c>
      <c r="AT78" s="532">
        <f>+HLOOKUP(AT2,'[17]רשימת נכסים מהקובץ'!$A$2:$IV$91,72,0)</f>
        <v>11027913</v>
      </c>
      <c r="AU78" s="532">
        <f>+HLOOKUP(AU2,'[17]רשימת נכסים מהקובץ'!$A$2:$IV$91,72,0)</f>
        <v>11012190</v>
      </c>
      <c r="AV78" s="532">
        <f>+HLOOKUP(AV2,'[17]רשימת נכסים מהקובץ'!$A$2:$IV$91,72,0)</f>
        <v>16938539</v>
      </c>
      <c r="AW78" s="532">
        <f>+HLOOKUP(AW2,'[17]רשימת נכסים מהקובץ'!$A$2:$IV$91,72,0)</f>
        <v>6566860</v>
      </c>
      <c r="AX78" s="532">
        <f>+HLOOKUP(AX2,'[17]רשימת נכסים מהקובץ'!$A$2:$IV$91,72,0)</f>
        <v>9353677</v>
      </c>
      <c r="AY78" s="532">
        <f>+HLOOKUP(AY2,'[17]רשימת נכסים מהקובץ'!$A$2:$IV$91,72,0)</f>
        <v>9073915</v>
      </c>
      <c r="AZ78" s="532">
        <f>+HLOOKUP(AZ2,'[17]רשימת נכסים מהקובץ'!$A$2:$IV$91,72,0)</f>
        <v>123228250</v>
      </c>
      <c r="BA78" s="532">
        <f>+HLOOKUP(BA2,'[17]רשימת נכסים מהקובץ'!$A$2:$IV$91,72,0)</f>
        <v>0</v>
      </c>
      <c r="BB78" s="532">
        <f>+HLOOKUP(BB2,'[17]רשימת נכסים מהקובץ'!$A$2:$IV$91,72,0)</f>
        <v>9348516</v>
      </c>
      <c r="BC78" s="532">
        <f>+HLOOKUP(BC2,'[17]רשימת נכסים מהקובץ'!$A$2:$IV$91,72,0)</f>
        <v>5034966</v>
      </c>
      <c r="BD78" s="532">
        <f>+HLOOKUP(BD2,'[17]רשימת נכסים מהקובץ'!$A$2:$IV$91,72,0)</f>
        <v>12020530</v>
      </c>
      <c r="BE78" s="532">
        <f>+HLOOKUP(BE2,'[17]רשימת נכסים מהקובץ'!$A$2:$IV$91,72,0)</f>
        <v>9593287</v>
      </c>
      <c r="BF78" s="532">
        <f>+HLOOKUP(BF2,'[17]רשימת נכסים מהקובץ'!$A$2:$IV$91,72,0)</f>
        <v>3787100</v>
      </c>
      <c r="BG78" s="532">
        <f>+HLOOKUP(BG2,'[17]רשימת נכסים מהקובץ'!$A$2:$IV$91,72,0)</f>
        <v>20230690</v>
      </c>
      <c r="BH78" s="532">
        <f>+HLOOKUP(BH2,'[17]רשימת נכסים מהקובץ'!$A$2:$IV$91,72,0)</f>
        <v>13391690</v>
      </c>
      <c r="BI78" s="532">
        <f>+HLOOKUP(BI2,'[17]רשימת נכסים מהקובץ'!$A$2:$IV$91,72,0)</f>
        <v>11014140</v>
      </c>
      <c r="BJ78" s="532">
        <f>+HLOOKUP(BJ2,'[17]רשימת נכסים מהקובץ'!$A$2:$IV$91,72,0)</f>
        <v>6157780</v>
      </c>
      <c r="BK78" s="532">
        <f>+HLOOKUP(BK2,'[17]רשימת נכסים מהקובץ'!$A$2:$IV$91,72,0)</f>
        <v>39451330</v>
      </c>
      <c r="BL78" s="532">
        <f>+HLOOKUP(BL2,'[17]רשימת נכסים מהקובץ'!$A$2:$IV$91,72,0)</f>
        <v>5257202</v>
      </c>
      <c r="BM78" s="532">
        <f>+HLOOKUP(BM2,'[17]רשימת נכסים מהקובץ'!$A$2:$IV$91,72,0)</f>
        <v>12482005</v>
      </c>
      <c r="BN78" s="532">
        <f>+HLOOKUP(BN2,'[17]רשימת נכסים מהקובץ'!$A$2:$IV$91,72,0)</f>
        <v>68538742</v>
      </c>
      <c r="BO78" s="532">
        <f>+HLOOKUP(BO2,'[17]רשימת נכסים מהקובץ'!$A$2:$IV$91,72,0)</f>
        <v>36423710</v>
      </c>
      <c r="BP78" s="532">
        <f>+HLOOKUP(BP2,'[17]רשימת נכסים מהקובץ'!$A$2:$IV$91,72,0)</f>
        <v>10721552</v>
      </c>
      <c r="BQ78" s="532">
        <f>+HLOOKUP(BQ2,'[17]רשימת נכסים מהקובץ'!$A$2:$IV$91,72,0)</f>
        <v>8190665</v>
      </c>
      <c r="BR78" s="532">
        <f>+HLOOKUP(BR2,'[17]רשימת נכסים מהקובץ'!$A$2:$IV$91,72,0)</f>
        <v>9474036</v>
      </c>
      <c r="BS78" s="532">
        <f>+HLOOKUP(BS2,'[17]רשימת נכסים מהקובץ'!$A$2:$IV$91,72,0)</f>
        <v>60948444</v>
      </c>
      <c r="BT78" s="532">
        <f>+HLOOKUP(BT2,'[17]רשימת נכסים מהקובץ'!$A$2:$IV$91,72,0)</f>
        <v>25133885</v>
      </c>
      <c r="BU78" s="532">
        <f>+HLOOKUP(BU2,'[17]רשימת נכסים מהקובץ'!$A$2:$IV$91,72,0)</f>
        <v>27653658</v>
      </c>
      <c r="BV78" s="532">
        <f>+HLOOKUP(BV2,'[17]רשימת נכסים מהקובץ'!$A$2:$IV$91,72,0)</f>
        <v>24021598</v>
      </c>
      <c r="BW78" s="532">
        <f>+HLOOKUP(BW2,'[17]רשימת נכסים מהקובץ'!$A$2:$IV$91,72,0)</f>
        <v>24443168</v>
      </c>
      <c r="BX78" s="532">
        <f>+HLOOKUP(BX2,'[17]רשימת נכסים מהקובץ'!$A$2:$IV$91,72,0)</f>
        <v>8957024</v>
      </c>
      <c r="CA78" s="532">
        <f>+HLOOKUP(CA2,'[17]רשימת נכסים מהקובץ'!$A$2:$IV$91,72,0)</f>
        <v>60284837</v>
      </c>
      <c r="CB78" s="532">
        <f>+HLOOKUP(CB2,'[17]רשימת נכסים מהקובץ'!$A$2:$IV$91,72,0)</f>
        <v>23798990</v>
      </c>
      <c r="CC78" s="532">
        <f>+HLOOKUP(CC2,'[17]רשימת נכסים מהקובץ'!$A$2:$IV$91,72,0)</f>
        <v>27591293</v>
      </c>
      <c r="CD78" s="532">
        <f>+HLOOKUP(CD2,'[17]רשימת נכסים מהקובץ'!$A$2:$IV$91,72,0)</f>
        <v>11997620</v>
      </c>
      <c r="CE78" s="532">
        <f>+HLOOKUP(CE2,'[17]רשימת נכסים מהקובץ'!$A$2:$IV$91,72,0)</f>
        <v>527997442</v>
      </c>
      <c r="CF78" s="532">
        <f>+HLOOKUP(CF2,'[17]רשימת נכסים מהקובץ'!$A$2:$IV$91,72,0)</f>
        <v>42647450</v>
      </c>
      <c r="CG78" s="532">
        <f>+HLOOKUP(CG2,'[17]רשימת נכסים מהקובץ'!$A$2:$IV$91,72,0)</f>
        <v>0</v>
      </c>
      <c r="CH78" s="532">
        <f>+HLOOKUP(CH2,'[17]רשימת נכסים מהקובץ'!$A$2:$IV$91,72,0)</f>
        <v>20844109</v>
      </c>
      <c r="CI78" s="532">
        <f>+HLOOKUP(CI2,'[17]רשימת נכסים מהקובץ'!$A$2:$IV$91,72,0)</f>
        <v>6760160</v>
      </c>
      <c r="CJ78" s="532">
        <f>+HLOOKUP(CJ2,'[17]רשימת נכסים מהקובץ'!$A$2:$IV$91,72,0)</f>
        <v>1437550</v>
      </c>
      <c r="CK78" s="532">
        <f>+HLOOKUP(CK2,'[17]רשימת נכסים מהקובץ'!$A$2:$IV$91,72,0)</f>
        <v>22544150</v>
      </c>
      <c r="CL78" s="532">
        <f>+HLOOKUP(CL2,'[17]רשימת נכסים מהקובץ'!$A$2:$IV$91,72,0)</f>
        <v>6840045</v>
      </c>
      <c r="CM78" s="532">
        <f>+HLOOKUP(CM2,'[17]רשימת נכסים מהקובץ'!$A$2:$IV$91,72,0)</f>
        <v>101123076</v>
      </c>
      <c r="CQ78" s="532">
        <f>+HLOOKUP(CQ2,'[17]רשימת נכסים מהקובץ'!$A$2:$IV$91,72,0)</f>
        <v>23069001</v>
      </c>
      <c r="CR78" s="532">
        <f>+HLOOKUP(CR2,'[17]רשימת נכסים מהקובץ'!$A$2:$IV$91,72,0)</f>
        <v>28775421</v>
      </c>
      <c r="CS78" s="532">
        <f>+HLOOKUP(CS2,'[17]רשימת נכסים מהקובץ'!$A$2:$IV$91,72,0)</f>
        <v>9267000</v>
      </c>
      <c r="CT78" s="532">
        <f>+HLOOKUP(CT2,'[17]רשימת נכסים מהקובץ'!$A$2:$IV$91,72,0)</f>
        <v>24630499</v>
      </c>
      <c r="CU78" s="532">
        <f>+HLOOKUP(CU2,'[17]רשימת נכסים מהקובץ'!$A$2:$IV$91,72,0)</f>
        <v>17762412</v>
      </c>
      <c r="CW78" s="532">
        <f>+HLOOKUP(CW2,'[17]רשימת נכסים מהקובץ'!$A$2:$IV$91,72,0)</f>
        <v>19935263</v>
      </c>
      <c r="CX78" s="532">
        <f>+HLOOKUP(CX2,'[17]רשימת נכסים מהקובץ'!$A$2:$IV$91,72,0)</f>
        <v>8761555</v>
      </c>
      <c r="CY78" s="532">
        <f>+HLOOKUP(CY2,'[17]רשימת נכסים מהקובץ'!$A$2:$IV$91,72,0)</f>
        <v>14445610</v>
      </c>
      <c r="CZ78" s="532">
        <f>+HLOOKUP(CZ2,'[17]רשימת נכסים מהקובץ'!$A$2:$IV$91,72,0)</f>
        <v>236627176</v>
      </c>
      <c r="DA78" s="532">
        <f>+HLOOKUP(DA2,'[17]רשימת נכסים מהקובץ'!$A$2:$IV$91,72,0)</f>
        <v>56548790</v>
      </c>
      <c r="DB78" s="532">
        <f>+HLOOKUP(DB2,'[17]רשימת נכסים מהקובץ'!$A$2:$IV$91,72,0)</f>
        <v>33018419</v>
      </c>
      <c r="DC78" s="532">
        <f>+HLOOKUP(DC2,'[17]רשימת נכסים מהקובץ'!$A$2:$IV$91,72,0)</f>
        <v>12737857</v>
      </c>
      <c r="DD78" s="532">
        <f>+HLOOKUP(DD2,'[17]רשימת נכסים מהקובץ'!$A$2:$IV$91,72,0)</f>
        <v>0</v>
      </c>
      <c r="DE78" s="532">
        <f>+HLOOKUP(DE2,'[17]רשימת נכסים מהקובץ'!$A$2:$IV$91,72,0)</f>
        <v>17335600</v>
      </c>
      <c r="DF78" s="532">
        <f>+HLOOKUP(DF2,'[17]רשימת נכסים מהקובץ'!$A$2:$IV$91,72,0)</f>
        <v>74041220</v>
      </c>
      <c r="DG78" s="532">
        <f>+HLOOKUP(DG2,'[17]רשימת נכסים מהקובץ'!$A$2:$IV$91,72,0)</f>
        <v>150246740</v>
      </c>
      <c r="DH78" s="532">
        <f>+HLOOKUP(DH2,'[17]רשימת נכסים מהקובץ'!$A$2:$IV$91,72,0)</f>
        <v>148222150</v>
      </c>
      <c r="DI78" s="532">
        <f>+HLOOKUP(DI2,'[17]רשימת נכסים מהקובץ'!$A$2:$IV$91,72,0)</f>
        <v>67140124</v>
      </c>
      <c r="DJ78" s="532">
        <f>+HLOOKUP(DJ2,'[17]רשימת נכסים מהקובץ'!$A$2:$IV$91,72,0)</f>
        <v>644260862</v>
      </c>
      <c r="DK78" s="532">
        <f>+HLOOKUP(DK2,'[17]רשימת נכסים מהקובץ'!$A$2:$IV$91,72,0)</f>
        <v>178705035</v>
      </c>
      <c r="DL78" s="532">
        <f>+HLOOKUP(DL2,'[17]רשימת נכסים מהקובץ'!$A$2:$IV$91,72,0)</f>
        <v>53752670</v>
      </c>
      <c r="DM78" s="532">
        <f>+HLOOKUP(DM2,'[17]רשימת נכסים מהקובץ'!$A$2:$IV$91,72,0)</f>
        <v>79985886</v>
      </c>
      <c r="DN78" s="532">
        <f>+HLOOKUP(DN2,'[17]רשימת נכסים מהקובץ'!$A$2:$IV$91,72,0)</f>
        <v>46623877</v>
      </c>
      <c r="DP78" s="532">
        <f>+HLOOKUP(DP2,'[17]רשימת נכסים מהקובץ'!$A$2:$IV$91,72,0)</f>
        <v>18989510</v>
      </c>
      <c r="DQ78" s="532">
        <f>+HLOOKUP(DQ2,'[17]רשימת נכסים מהקובץ'!$A$2:$IV$91,72,0)</f>
        <v>291996058</v>
      </c>
      <c r="DR78" s="532">
        <f>+HLOOKUP(DR2,'[17]רשימת נכסים מהקובץ'!$A$2:$IV$91,72,0)</f>
        <v>5251639</v>
      </c>
      <c r="DS78" s="532">
        <f>+HLOOKUP(DS2,'[17]רשימת נכסים מהקובץ'!$A$2:$IV$91,72,0)</f>
        <v>19250412</v>
      </c>
      <c r="DU78" s="532">
        <f>+HLOOKUP(DU2,'[17]רשימת נכסים מהקובץ'!$A$2:$IV$91,72,0)</f>
        <v>48096628</v>
      </c>
      <c r="DW78" s="532">
        <f>+HLOOKUP(DW2,'[17]רשימת נכסים מהקובץ'!$A$2:$IV$91,72,0)</f>
        <v>37348976</v>
      </c>
      <c r="DX78" s="532">
        <f>+HLOOKUP(DX2,'[17]רשימת נכסים מהקובץ'!$A$2:$IV$91,72,0)</f>
        <v>114350911</v>
      </c>
      <c r="DY78" s="532">
        <f>+HLOOKUP(DY2,'[17]רשימת נכסים מהקובץ'!$A$2:$IV$91,72,0)</f>
        <v>55516362</v>
      </c>
      <c r="EA78" s="532">
        <f>+HLOOKUP(EA2,'[17]רשימת נכסים מהקובץ'!$A$2:$IV$91,72,0)</f>
        <v>1072679959</v>
      </c>
      <c r="EB78" s="532">
        <f>+HLOOKUP(EB2,'[17]רשימת נכסים מהקובץ'!$A$2:$IV$91,72,0)</f>
        <v>5064385</v>
      </c>
      <c r="EC78" s="532">
        <f>+HLOOKUP(EC2,'[17]רשימת נכסים מהקובץ'!$A$2:$IV$91,72,0)</f>
        <v>33942999</v>
      </c>
      <c r="ED78" s="532">
        <f>+HLOOKUP(ED2,'[17]רשימת נכסים מהקובץ'!$A$2:$IV$91,72,0)</f>
        <v>124767032</v>
      </c>
      <c r="EE78" s="532">
        <f>+HLOOKUP(EE2,'[17]רשימת נכסים מהקובץ'!$A$2:$IV$91,72,0)</f>
        <v>11488430</v>
      </c>
      <c r="EF78" s="532">
        <f>+HLOOKUP(EF2,'[17]רשימת נכסים מהקובץ'!$A$2:$IV$91,72,0)</f>
        <v>7244087</v>
      </c>
      <c r="EG78" s="532">
        <f>+HLOOKUP(EG2,'[17]רשימת נכסים מהקובץ'!$A$2:$IV$91,72,0)</f>
        <v>26053905</v>
      </c>
      <c r="EH78" s="532">
        <f>+HLOOKUP(EH2,'[17]רשימת נכסים מהקובץ'!$A$2:$IV$91,72,0)</f>
        <v>83864078</v>
      </c>
      <c r="EI78" s="532">
        <f>+HLOOKUP(EI2,'[17]רשימת נכסים מהקובץ'!$A$2:$IV$91,72,0)</f>
        <v>379788702</v>
      </c>
      <c r="EJ78" s="532">
        <f>+HLOOKUP(EJ2,'[17]רשימת נכסים מהקובץ'!$A$2:$IV$91,72,0)</f>
        <v>52364347</v>
      </c>
      <c r="EK78" s="532">
        <f>+HLOOKUP(EK2,'[17]רשימת נכסים מהקובץ'!$A$2:$IV$91,72,0)</f>
        <v>10733930</v>
      </c>
      <c r="EL78" s="532">
        <f>+HLOOKUP(EL2,'[17]רשימת נכסים מהקובץ'!$A$2:$IV$91,72,0)</f>
        <v>11159115</v>
      </c>
      <c r="EM78" s="532">
        <f>+HLOOKUP(EM2,'[17]רשימת נכסים מהקובץ'!$A$2:$IV$91,72,0)</f>
        <v>31935393</v>
      </c>
      <c r="EN78" s="532">
        <f>+HLOOKUP(EN2,'[17]רשימת נכסים מהקובץ'!$A$2:$IV$91,72,0)</f>
        <v>35496000</v>
      </c>
      <c r="EP78" s="532">
        <f>+HLOOKUP(EP2,'[17]רשימת נכסים מהקובץ'!$A$2:$IV$91,72,0)</f>
        <v>160148000</v>
      </c>
      <c r="EQ78" s="532">
        <f>+HLOOKUP(EQ2,'[17]רשימת נכסים מהקובץ'!$A$2:$IV$91,72,0)</f>
        <v>56516510</v>
      </c>
      <c r="ER78" s="532">
        <f>+HLOOKUP(ER2,'[17]רשימת נכסים מהקובץ'!$A$2:$IV$91,72,0)</f>
        <v>104546831</v>
      </c>
      <c r="ES78" s="532">
        <f>+HLOOKUP(ES2,'[17]רשימת נכסים מהקובץ'!$A$2:$IV$91,72,0)</f>
        <v>30076983</v>
      </c>
      <c r="EU78" s="532">
        <f>+HLOOKUP(EU2,'[17]רשימת נכסים מהקובץ'!$A$2:$IV$91,72,0)</f>
        <v>258750931</v>
      </c>
      <c r="EV78" s="532">
        <f>+HLOOKUP(EV2,'[17]רשימת נכסים מהקובץ'!$A$2:$IV$91,72,0)</f>
        <v>31286022</v>
      </c>
      <c r="EW78" s="532">
        <f>+HLOOKUP(EW2,'[17]רשימת נכסים מהקובץ'!$A$2:$IV$91,72,0)</f>
        <v>36363000</v>
      </c>
      <c r="EX78" s="532">
        <f>+HLOOKUP(EX2,'[17]רשימת נכסים מהקובץ'!$A$2:$IV$91,72,0)</f>
        <v>35897350</v>
      </c>
      <c r="EY78" s="532">
        <f>+HLOOKUP(EY2,'[17]רשימת נכסים מהקובץ'!$A$2:$IV$91,72,0)</f>
        <v>20507825</v>
      </c>
      <c r="EZ78" s="532">
        <f>+HLOOKUP(EZ2,'[17]רשימת נכסים מהקובץ'!$A$2:$IV$91,72,0)</f>
        <v>13758935</v>
      </c>
      <c r="FA78" s="532">
        <f>+HLOOKUP(FA2,'[17]רשימת נכסים מהקובץ'!$A$2:$IV$91,72,0)</f>
        <v>56675900</v>
      </c>
      <c r="FB78" s="532">
        <f>+HLOOKUP(FB2,'[17]רשימת נכסים מהקובץ'!$A$2:$IV$91,72,0)</f>
        <v>13340700</v>
      </c>
      <c r="FC78" s="532">
        <f>+HLOOKUP(FC2,'[17]רשימת נכסים מהקובץ'!$A$2:$IV$91,72,0)</f>
        <v>16344191</v>
      </c>
      <c r="FD78" s="532">
        <f>+HLOOKUP(FD2,'[17]רשימת נכסים מהקובץ'!$A$2:$IV$91,72,0)</f>
        <v>17051925</v>
      </c>
      <c r="FE78" s="532">
        <f>+HLOOKUP(FE2,'[17]רשימת נכסים מהקובץ'!$A$2:$IV$91,72,0)</f>
        <v>9716580</v>
      </c>
      <c r="FF78" s="532">
        <f>+HLOOKUP(FF2,'[17]רשימת נכסים מהקובץ'!$A$2:$IV$91,72,0)</f>
        <v>13387175</v>
      </c>
      <c r="FG78" s="532">
        <f>+HLOOKUP(FG2,'[17]רשימת נכסים מהקובץ'!$A$2:$IV$91,72,0)</f>
        <v>9178300</v>
      </c>
      <c r="FH78" s="532">
        <f>+HLOOKUP(FH2,'[17]רשימת נכסים מהקובץ'!$A$2:$IV$91,72,0)</f>
        <v>85215200</v>
      </c>
      <c r="FY78" s="532" t="e">
        <f>+HLOOKUP(FY2,'[17]רשימת נכסים מהקובץ'!$A$2:$IV$91,72,0)</f>
        <v>#N/A</v>
      </c>
    </row>
    <row r="79" spans="1:183" hidden="1" x14ac:dyDescent="0.2">
      <c r="B79" s="532">
        <f>+HLOOKUP(B2,'[17]רשימת נכסים מהקובץ'!$A$2:$IV$91,73,0)</f>
        <v>3699559</v>
      </c>
      <c r="C79" s="532">
        <f>+HLOOKUP(C2,'[17]רשימת נכסים מהקובץ'!$A$2:$IV$91,73,0)</f>
        <v>7666305</v>
      </c>
      <c r="D79" s="532">
        <f>+HLOOKUP(D2,'[17]רשימת נכסים מהקובץ'!$A$2:$IV$91,73,0)</f>
        <v>13475000</v>
      </c>
      <c r="E79" s="532">
        <f>+HLOOKUP(E2,'[17]רשימת נכסים מהקובץ'!$A$2:$IV$91,73,0)</f>
        <v>5543964</v>
      </c>
      <c r="F79" s="532">
        <f>+HLOOKUP(F2,'[17]רשימת נכסים מהקובץ'!$A$2:$IV$91,73,0)</f>
        <v>3192141</v>
      </c>
      <c r="G79" s="532">
        <f>+HLOOKUP(G2,'[17]רשימת נכסים מהקובץ'!$A$2:$IV$91,73,0)</f>
        <v>4794016</v>
      </c>
      <c r="H79" s="532">
        <f>+HLOOKUP(H2,'[17]רשימת נכסים מהקובץ'!$A$2:$IV$91,73,0)</f>
        <v>3658722</v>
      </c>
      <c r="I79" s="532">
        <f>+HLOOKUP(I2,'[17]רשימת נכסים מהקובץ'!$A$2:$IV$91,73,0)</f>
        <v>14763306</v>
      </c>
      <c r="J79" s="532">
        <f>+HLOOKUP(J2,'[17]רשימת נכסים מהקובץ'!$A$2:$IV$91,73,0)</f>
        <v>10236310</v>
      </c>
      <c r="K79" s="532">
        <f>+HLOOKUP(K2,'[17]רשימת נכסים מהקובץ'!$A$2:$IV$91,73,0)</f>
        <v>7061221</v>
      </c>
      <c r="L79" s="532">
        <f>+HLOOKUP(L2,'[17]רשימת נכסים מהקובץ'!$A$2:$IV$91,73,0)</f>
        <v>2594946</v>
      </c>
      <c r="M79" s="532">
        <f>+HLOOKUP(M2,'[17]רשימת נכסים מהקובץ'!$A$2:$IV$91,73,0)</f>
        <v>1756460</v>
      </c>
      <c r="N79" s="532">
        <f>+HLOOKUP(N2,'[17]רשימת נכסים מהקובץ'!$A$2:$IV$91,73,0)</f>
        <v>4733558</v>
      </c>
      <c r="O79" s="532">
        <f>+HLOOKUP(O2,'[17]רשימת נכסים מהקובץ'!$A$2:$IV$91,73,0)</f>
        <v>10900920</v>
      </c>
      <c r="P79" s="532">
        <f>+HLOOKUP(P2,'[17]רשימת נכסים מהקובץ'!$A$2:$IV$91,73,0)</f>
        <v>5441919</v>
      </c>
      <c r="Q79" s="532">
        <f>+HLOOKUP(Q2,'[17]רשימת נכסים מהקובץ'!$A$2:$IV$91,73,0)</f>
        <v>1260295</v>
      </c>
      <c r="R79" s="532">
        <f>+HLOOKUP(R2,'[17]רשימת נכסים מהקובץ'!$A$2:$IV$91,73,0)</f>
        <v>2683925</v>
      </c>
      <c r="S79" s="532">
        <f>+HLOOKUP(S2,'[17]רשימת נכסים מהקובץ'!$A$2:$IV$91,73,0)</f>
        <v>10277000</v>
      </c>
      <c r="T79" s="532">
        <f>+HLOOKUP(T2,'[17]רשימת נכסים מהקובץ'!$A$2:$IV$91,73,0)</f>
        <v>6526653</v>
      </c>
      <c r="U79" s="532">
        <f>+HLOOKUP(U2,'[17]רשימת נכסים מהקובץ'!$A$2:$IV$91,73,0)</f>
        <v>5668650</v>
      </c>
      <c r="V79" s="532">
        <f>+HLOOKUP(V2,'[17]רשימת נכסים מהקובץ'!$A$2:$IV$91,73,0)</f>
        <v>11606713</v>
      </c>
      <c r="W79" s="532">
        <f>+HLOOKUP(W2,'[17]רשימת נכסים מהקובץ'!$A$2:$IV$91,73,0)</f>
        <v>12459130</v>
      </c>
      <c r="X79" s="532">
        <f>+HLOOKUP(X2,'[17]רשימת נכסים מהקובץ'!$A$2:$IV$91,73,0)</f>
        <v>8497888</v>
      </c>
      <c r="Y79" s="532">
        <f>+HLOOKUP(Y2,'[17]רשימת נכסים מהקובץ'!$A$2:$IV$91,73,0)</f>
        <v>8010824</v>
      </c>
      <c r="Z79" s="532">
        <f>+HLOOKUP(Z2,'[17]רשימת נכסים מהקובץ'!$A$2:$IV$91,73,0)</f>
        <v>12593750</v>
      </c>
      <c r="AA79" s="532">
        <f>+HLOOKUP(AA2,'[17]רשימת נכסים מהקובץ'!$A$2:$IV$91,73,0)</f>
        <v>1463558</v>
      </c>
      <c r="AB79" s="532">
        <f>+HLOOKUP(AB2,'[17]רשימת נכסים מהקובץ'!$A$2:$IV$91,73,0)</f>
        <v>7965844</v>
      </c>
      <c r="AC79" s="532">
        <f>+HLOOKUP(AC2,'[17]רשימת נכסים מהקובץ'!$A$2:$IV$91,73,0)</f>
        <v>36512021</v>
      </c>
      <c r="AD79" s="532">
        <f>+HLOOKUP(AD2,'[17]רשימת נכסים מהקובץ'!$A$2:$IV$91,73,0)</f>
        <v>6711076</v>
      </c>
      <c r="AE79" s="532">
        <f>+HLOOKUP(AE2,'[17]רשימת נכסים מהקובץ'!$A$2:$IV$91,73,0)</f>
        <v>12447864</v>
      </c>
      <c r="AF79" s="532">
        <f>+HLOOKUP(AF2,'[17]רשימת נכסים מהקובץ'!$A$2:$IV$91,73,0)</f>
        <v>5399478</v>
      </c>
      <c r="AG79" s="532">
        <f>+HLOOKUP(AG2,'[17]רשימת נכסים מהקובץ'!$A$2:$IV$91,73,0)</f>
        <v>10358291</v>
      </c>
      <c r="AH79" s="532">
        <f>+HLOOKUP(AH2,'[17]רשימת נכסים מהקובץ'!$A$2:$IV$91,73,0)</f>
        <v>30946040</v>
      </c>
      <c r="AI79" s="532">
        <f>+HLOOKUP(AI2,'[17]רשימת נכסים מהקובץ'!$A$2:$IV$91,73,0)</f>
        <v>19849875</v>
      </c>
      <c r="AJ79" s="532">
        <f>+HLOOKUP(AJ2,'[17]רשימת נכסים מהקובץ'!$A$2:$IV$91,73,0)</f>
        <v>22454683</v>
      </c>
      <c r="AL79" s="532">
        <f>+HLOOKUP(AL2,'[17]רשימת נכסים מהקובץ'!$A$2:$IV$91,73,0)</f>
        <v>4637085.666666667</v>
      </c>
      <c r="AM79" s="532">
        <f>+HLOOKUP(AM2,'[17]רשימת נכסים מהקובץ'!$A$2:$IV$91,73,0)</f>
        <v>4637085.666666667</v>
      </c>
      <c r="AN79" s="532">
        <f>+HLOOKUP(AN2,'[17]רשימת נכסים מהקובץ'!$A$2:$IV$91,73,0)</f>
        <v>4637085.666666667</v>
      </c>
      <c r="AO79" s="532">
        <f>+HLOOKUP(AO2,'[17]רשימת נכסים מהקובץ'!$A$2:$IV$91,73,0)</f>
        <v>5521993</v>
      </c>
      <c r="AP79" s="532">
        <f>+HLOOKUP(AP2,'[17]רשימת נכסים מהקובץ'!$A$2:$IV$91,73,0)</f>
        <v>4818502</v>
      </c>
      <c r="AQ79" s="532">
        <f>+HLOOKUP(AQ2,'[17]רשימת נכסים מהקובץ'!$A$2:$IV$91,73,0)</f>
        <v>12245393</v>
      </c>
      <c r="AR79" s="532">
        <f>+HLOOKUP(AR2,'[17]רשימת נכסים מהקובץ'!$A$2:$IV$91,73,0)</f>
        <v>15752036</v>
      </c>
      <c r="AS79" s="532">
        <f>+HLOOKUP(AS2,'[17]רשימת נכסים מהקובץ'!$A$2:$IV$91,73,0)</f>
        <v>8242194</v>
      </c>
      <c r="AT79" s="532">
        <f>+HLOOKUP(AT2,'[17]רשימת נכסים מהקובץ'!$A$2:$IV$91,73,0)</f>
        <v>7584985</v>
      </c>
      <c r="AU79" s="532">
        <f>+HLOOKUP(AU2,'[17]רשימת נכסים מהקובץ'!$A$2:$IV$91,73,0)</f>
        <v>7567791</v>
      </c>
      <c r="AV79" s="532">
        <f>+HLOOKUP(AV2,'[17]רשימת נכסים מהקובץ'!$A$2:$IV$91,73,0)</f>
        <v>8665798</v>
      </c>
      <c r="AW79" s="532">
        <f>+HLOOKUP(AW2,'[17]רשימת נכסים מהקובץ'!$A$2:$IV$91,73,0)</f>
        <v>4136974</v>
      </c>
      <c r="AX79" s="532">
        <f>+HLOOKUP(AX2,'[17]רשימת נכסים מהקובץ'!$A$2:$IV$91,73,0)</f>
        <v>6166493</v>
      </c>
      <c r="AY79" s="532">
        <f>+HLOOKUP(AY2,'[17]רשימת נכסים מהקובץ'!$A$2:$IV$91,73,0)</f>
        <v>6093317</v>
      </c>
      <c r="AZ79" s="532">
        <f>+HLOOKUP(AZ2,'[17]רשימת נכסים מהקובץ'!$A$2:$IV$91,73,0)</f>
        <v>54678649</v>
      </c>
      <c r="BA79" s="532">
        <f>+HLOOKUP(BA2,'[17]רשימת נכסים מהקובץ'!$A$2:$IV$91,73,0)</f>
        <v>0</v>
      </c>
      <c r="BB79" s="532">
        <f>+HLOOKUP(BB2,'[17]רשימת נכסים מהקובץ'!$A$2:$IV$91,73,0)</f>
        <v>5298074</v>
      </c>
      <c r="BC79" s="532">
        <f>+HLOOKUP(BC2,'[17]רשימת נכסים מהקובץ'!$A$2:$IV$91,73,0)</f>
        <v>3034282</v>
      </c>
      <c r="BD79" s="532">
        <f>+HLOOKUP(BD2,'[17]רשימת נכסים מהקובץ'!$A$2:$IV$91,73,0)</f>
        <v>8029545</v>
      </c>
      <c r="BE79" s="532">
        <f>+HLOOKUP(BE2,'[17]רשימת נכסים מהקובץ'!$A$2:$IV$91,73,0)</f>
        <v>5953439</v>
      </c>
      <c r="BF79" s="532">
        <f>+HLOOKUP(BF2,'[17]רשימת נכסים מהקובץ'!$A$2:$IV$91,73,0)</f>
        <v>2045413</v>
      </c>
      <c r="BG79" s="532">
        <f>+HLOOKUP(BG2,'[17]רשימת נכסים מהקובץ'!$A$2:$IV$91,73,0)</f>
        <v>13406681</v>
      </c>
      <c r="BH79" s="532">
        <f>+HLOOKUP(BH2,'[17]רשימת נכסים מהקובץ'!$A$2:$IV$91,73,0)</f>
        <v>9551828</v>
      </c>
      <c r="BI79" s="532">
        <f>+HLOOKUP(BI2,'[17]רשימת נכסים מהקובץ'!$A$2:$IV$91,73,0)</f>
        <v>7852103</v>
      </c>
      <c r="BJ79" s="532">
        <f>+HLOOKUP(BJ2,'[17]רשימת נכסים מהקובץ'!$A$2:$IV$91,73,0)</f>
        <v>2835649</v>
      </c>
      <c r="BK79" s="532">
        <f>+HLOOKUP(BK2,'[17]רשימת נכסים מהקובץ'!$A$2:$IV$91,73,0)</f>
        <v>25740957</v>
      </c>
      <c r="BL79" s="532">
        <f>+HLOOKUP(BL2,'[17]רשימת נכסים מהקובץ'!$A$2:$IV$91,73,0)</f>
        <v>4044630</v>
      </c>
      <c r="BM79" s="532">
        <f>+HLOOKUP(BM2,'[17]רשימת נכסים מהקובץ'!$A$2:$IV$91,73,0)</f>
        <v>8225878</v>
      </c>
      <c r="BN79" s="532">
        <f>+HLOOKUP(BN2,'[17]רשימת נכסים מהקובץ'!$A$2:$IV$91,73,0)</f>
        <v>34816701</v>
      </c>
      <c r="BO79" s="532">
        <f>+HLOOKUP(BO2,'[17]רשימת נכסים מהקובץ'!$A$2:$IV$91,73,0)</f>
        <v>20780033</v>
      </c>
      <c r="BP79" s="532">
        <f>+HLOOKUP(BP2,'[17]רשימת נכסים מהקובץ'!$A$2:$IV$91,73,0)</f>
        <v>6937059</v>
      </c>
      <c r="BQ79" s="532">
        <f>+HLOOKUP(BQ2,'[17]רשימת נכסים מהקובץ'!$A$2:$IV$91,73,0)</f>
        <v>5727180</v>
      </c>
      <c r="BR79" s="532">
        <f>+HLOOKUP(BR2,'[17]רשימת נכסים מהקובץ'!$A$2:$IV$91,73,0)</f>
        <v>6628440</v>
      </c>
      <c r="BS79" s="532">
        <f>+HLOOKUP(BS2,'[17]רשימת נכסים מהקובץ'!$A$2:$IV$91,73,0)</f>
        <v>36080231</v>
      </c>
      <c r="BT79" s="532">
        <f>+HLOOKUP(BT2,'[17]רשימת נכסים מהקובץ'!$A$2:$IV$91,73,0)</f>
        <v>15354864</v>
      </c>
      <c r="BU79" s="532">
        <f>+HLOOKUP(BU2,'[17]רשימת נכסים מהקובץ'!$A$2:$IV$91,73,0)</f>
        <v>10808652</v>
      </c>
      <c r="BV79" s="532">
        <f>+HLOOKUP(BV2,'[17]רשימת נכסים מהקובץ'!$A$2:$IV$91,73,0)</f>
        <v>15071007</v>
      </c>
      <c r="BW79" s="532">
        <f>+HLOOKUP(BW2,'[17]רשימת נכסים מהקובץ'!$A$2:$IV$91,73,0)</f>
        <v>16452484</v>
      </c>
      <c r="BX79" s="532">
        <f>+HLOOKUP(BX2,'[17]רשימת נכסים מהקובץ'!$A$2:$IV$91,73,0)</f>
        <v>6029809</v>
      </c>
      <c r="BY79" s="614"/>
      <c r="BZ79" s="614"/>
      <c r="CA79" s="532">
        <f>+HLOOKUP(CA2,'[17]רשימת נכסים מהקובץ'!$A$2:$IV$91,73,0)</f>
        <v>36539424</v>
      </c>
      <c r="CB79" s="532">
        <f>+HLOOKUP(CB2,'[17]רשימת נכסים מהקובץ'!$A$2:$IV$91,73,0)</f>
        <v>12479448</v>
      </c>
      <c r="CC79" s="532">
        <f>+HLOOKUP(CC2,'[17]רשימת נכסים מהקובץ'!$A$2:$IV$91,73,0)</f>
        <v>17032460</v>
      </c>
      <c r="CD79" s="532">
        <f>+HLOOKUP(CD2,'[17]רשימת נכסים מהקובץ'!$A$2:$IV$91,73,0)</f>
        <v>8317673</v>
      </c>
      <c r="CE79" s="532">
        <f>+HLOOKUP(CE2,'[17]רשימת נכסים מהקובץ'!$A$2:$IV$91,73,0)</f>
        <v>214592112</v>
      </c>
      <c r="CF79" s="532">
        <f>+HLOOKUP(CF2,'[17]רשימת נכסים מהקובץ'!$A$2:$IV$91,73,0)</f>
        <v>29893784</v>
      </c>
      <c r="CG79" s="532">
        <f>+HLOOKUP(CG2,'[17]רשימת נכסים מהקובץ'!$A$2:$IV$91,73,0)</f>
        <v>0</v>
      </c>
      <c r="CH79" s="532">
        <f>+HLOOKUP(CH2,'[17]רשימת נכסים מהקובץ'!$A$2:$IV$91,73,0)</f>
        <v>13627786</v>
      </c>
      <c r="CI79" s="532">
        <f>+HLOOKUP(CI2,'[17]רשימת נכסים מהקובץ'!$A$2:$IV$91,73,0)</f>
        <v>5073110</v>
      </c>
      <c r="CJ79" s="532">
        <f>+HLOOKUP(CJ2,'[17]רשימת נכסים מהקובץ'!$A$2:$IV$91,73,0)</f>
        <v>1039496</v>
      </c>
      <c r="CK79" s="532">
        <f>+HLOOKUP(CK2,'[17]רשימת נכסים מהקובץ'!$A$2:$IV$91,73,0)</f>
        <v>14133689</v>
      </c>
      <c r="CL79" s="532">
        <f>+HLOOKUP(CL2,'[17]רשימת נכסים מהקובץ'!$A$2:$IV$91,73,0)</f>
        <v>5704575</v>
      </c>
      <c r="CM79" s="532">
        <f>+HLOOKUP(CM2,'[17]רשימת נכסים מהקובץ'!$A$2:$IV$91,73,0)</f>
        <v>62864678</v>
      </c>
      <c r="CQ79" s="532">
        <f>+HLOOKUP(CQ2,'[17]רשימת נכסים מהקובץ'!$A$2:$IV$91,73,0)</f>
        <v>12571013</v>
      </c>
      <c r="CR79" s="532">
        <f>+HLOOKUP(CR2,'[17]רשימת נכסים מהקובץ'!$A$2:$IV$91,73,0)</f>
        <v>17401427</v>
      </c>
      <c r="CS79" s="532">
        <f>+HLOOKUP(CS2,'[17]רשימת נכסים מהקובץ'!$A$2:$IV$91,73,0)</f>
        <v>6193000</v>
      </c>
      <c r="CT79" s="532">
        <f>+HLOOKUP(CT2,'[17]רשימת נכסים מהקובץ'!$A$2:$IV$91,73,0)</f>
        <v>12864998</v>
      </c>
      <c r="CU79" s="532">
        <f>+HLOOKUP(CU2,'[17]רשימת נכסים מהקובץ'!$A$2:$IV$91,73,0)</f>
        <v>10781284</v>
      </c>
      <c r="CV79" s="614"/>
      <c r="CW79" s="532">
        <f>+HLOOKUP(CW2,'[17]רשימת נכסים מהקובץ'!$A$2:$IV$91,73,0)</f>
        <v>13422697</v>
      </c>
      <c r="CX79" s="532">
        <f>+HLOOKUP(CX2,'[17]רשימת נכסים מהקובץ'!$A$2:$IV$91,73,0)</f>
        <v>5269232</v>
      </c>
      <c r="CY79" s="532">
        <f>+HLOOKUP(CY2,'[17]רשימת נכסים מהקובץ'!$A$2:$IV$91,73,0)</f>
        <v>8782813</v>
      </c>
      <c r="CZ79" s="532">
        <f>+HLOOKUP(CZ2,'[17]רשימת נכסים מהקובץ'!$A$2:$IV$91,73,0)</f>
        <v>128230596</v>
      </c>
      <c r="DA79" s="532">
        <f>+HLOOKUP(DA2,'[17]רשימת נכסים מהקובץ'!$A$2:$IV$91,73,0)</f>
        <v>34588705</v>
      </c>
      <c r="DB79" s="532">
        <f>+HLOOKUP(DB2,'[17]רשימת נכסים מהקובץ'!$A$2:$IV$91,73,0)</f>
        <v>18718642</v>
      </c>
      <c r="DC79" s="532">
        <f>+HLOOKUP(DC2,'[17]רשימת נכסים מהקובץ'!$A$2:$IV$91,73,0)</f>
        <v>7217546.333333334</v>
      </c>
      <c r="DD79" s="532">
        <f>+HLOOKUP(DD2,'[17]רשימת נכסים מהקובץ'!$A$2:$IV$91,73,0)</f>
        <v>0</v>
      </c>
      <c r="DE79" s="532">
        <f>+HLOOKUP(DE2,'[17]רשימת נכסים מהקובץ'!$A$2:$IV$91,73,0)</f>
        <v>5673409</v>
      </c>
      <c r="DF79" s="532">
        <f>+HLOOKUP(DF2,'[17]רשימת נכסים מהקובץ'!$A$2:$IV$91,73,0)</f>
        <v>45332274</v>
      </c>
      <c r="DG79" s="532">
        <f>+HLOOKUP(DG2,'[17]רשימת נכסים מהקובץ'!$A$2:$IV$91,73,0)</f>
        <v>68351183</v>
      </c>
      <c r="DH79" s="532">
        <f>+HLOOKUP(DH2,'[17]רשימת נכסים מהקובץ'!$A$2:$IV$91,73,0)</f>
        <v>85636525</v>
      </c>
      <c r="DI79" s="532">
        <f>+HLOOKUP(DI2,'[17]רשימת נכסים מהקובץ'!$A$2:$IV$91,73,0)</f>
        <v>28317246</v>
      </c>
      <c r="DJ79" s="532">
        <f>+HLOOKUP(DJ2,'[17]רשימת נכסים מהקובץ'!$A$2:$IV$91,73,0)</f>
        <v>195693476</v>
      </c>
      <c r="DK79" s="532">
        <f>+HLOOKUP(DK2,'[17]רשימת נכסים מהקובץ'!$A$2:$IV$91,73,0)</f>
        <v>67732403</v>
      </c>
      <c r="DL79" s="532">
        <f>+HLOOKUP(DL2,'[17]רשימת נכסים מהקובץ'!$A$2:$IV$91,73,0)</f>
        <v>23560257</v>
      </c>
      <c r="DM79" s="532">
        <f>+HLOOKUP(DM2,'[17]רשימת נכסים מהקובץ'!$A$2:$IV$91,73,0)</f>
        <v>42979931</v>
      </c>
      <c r="DN79" s="532">
        <f>+HLOOKUP(DN2,'[17]רשימת נכסים מהקובץ'!$A$2:$IV$91,73,0)</f>
        <v>26880556</v>
      </c>
      <c r="DP79" s="532">
        <f>+HLOOKUP(DP2,'[17]רשימת נכסים מהקובץ'!$A$2:$IV$91,73,0)</f>
        <v>9665056</v>
      </c>
      <c r="DQ79" s="532">
        <f>+HLOOKUP(DQ2,'[17]רשימת נכסים מהקובץ'!$A$2:$IV$91,73,0)</f>
        <v>136452761</v>
      </c>
      <c r="DR79" s="532">
        <f>+HLOOKUP(DR2,'[17]רשימת נכסים מהקובץ'!$A$2:$IV$91,73,0)</f>
        <v>2737623</v>
      </c>
      <c r="DS79" s="532">
        <f>+HLOOKUP(DS2,'[17]רשימת נכסים מהקובץ'!$A$2:$IV$91,73,0)</f>
        <v>15978545</v>
      </c>
      <c r="DU79" s="532">
        <f>+HLOOKUP(DU2,'[17]רשימת נכסים מהקובץ'!$A$2:$IV$91,73,0)</f>
        <v>25983192</v>
      </c>
      <c r="DV79" s="614"/>
      <c r="DW79" s="532">
        <f>+HLOOKUP(DW2,'[17]רשימת נכסים מהקובץ'!$A$2:$IV$91,73,0)</f>
        <v>20382365</v>
      </c>
      <c r="DX79" s="532">
        <f>+HLOOKUP(DX2,'[17]רשימת נכסים מהקובץ'!$A$2:$IV$91,73,0)</f>
        <v>82392178</v>
      </c>
      <c r="DY79" s="532">
        <f>+HLOOKUP(DY2,'[17]רשימת נכסים מהקובץ'!$A$2:$IV$91,73,0)</f>
        <v>34929398</v>
      </c>
      <c r="EA79" s="532">
        <f>+HLOOKUP(EA2,'[17]רשימת נכסים מהקובץ'!$A$2:$IV$91,73,0)</f>
        <v>480334891</v>
      </c>
      <c r="EB79" s="532">
        <f>+HLOOKUP(EB2,'[17]רשימת נכסים מהקובץ'!$A$2:$IV$91,73,0)</f>
        <v>3690360</v>
      </c>
      <c r="EC79" s="532">
        <f>+HLOOKUP(EC2,'[17]רשימת נכסים מהקובץ'!$A$2:$IV$91,73,0)</f>
        <v>15237268</v>
      </c>
      <c r="ED79" s="532">
        <f>+HLOOKUP(ED2,'[17]רשימת נכסים מהקובץ'!$A$2:$IV$91,73,0)</f>
        <v>70106355</v>
      </c>
      <c r="EE79" s="532">
        <f>+HLOOKUP(EE2,'[17]רשימת נכסים מהקובץ'!$A$2:$IV$91,73,0)</f>
        <v>7217614</v>
      </c>
      <c r="EF79" s="532">
        <f>+HLOOKUP(EF2,'[17]רשימת נכסים מהקובץ'!$A$2:$IV$91,73,0)</f>
        <v>4907143</v>
      </c>
      <c r="EG79" s="532">
        <f>+HLOOKUP(EG2,'[17]רשימת נכסים מהקובץ'!$A$2:$IV$91,73,0)</f>
        <v>16420986</v>
      </c>
      <c r="EH79" s="532">
        <f>+HLOOKUP(EH2,'[17]רשימת נכסים מהקובץ'!$A$2:$IV$91,73,0)</f>
        <v>37063227</v>
      </c>
      <c r="EI79" s="532">
        <f>+HLOOKUP(EI2,'[17]רשימת נכסים מהקובץ'!$A$2:$IV$91,73,0)</f>
        <v>171278478</v>
      </c>
      <c r="EJ79" s="532">
        <f>+HLOOKUP(EJ2,'[17]רשימת נכסים מהקובץ'!$A$2:$IV$91,73,0)</f>
        <v>34225331</v>
      </c>
      <c r="EK79" s="532">
        <f>+HLOOKUP(EK2,'[17]רשימת נכסים מהקובץ'!$A$2:$IV$91,73,0)</f>
        <v>6583550</v>
      </c>
      <c r="EL79" s="532">
        <f>+HLOOKUP(EL2,'[17]רשימת נכסים מהקובץ'!$A$2:$IV$91,73,0)</f>
        <v>7652676</v>
      </c>
      <c r="EM79" s="532">
        <f>+HLOOKUP(EM2,'[17]רשימת נכסים מהקובץ'!$A$2:$IV$91,73,0)</f>
        <v>11129266</v>
      </c>
      <c r="EN79" s="532">
        <f>+HLOOKUP(EN2,'[17]רשימת נכסים מהקובץ'!$A$2:$IV$91,73,0)</f>
        <v>23224000</v>
      </c>
      <c r="EO79" s="614"/>
      <c r="EP79" s="532">
        <f>+HLOOKUP(EP2,'[17]רשימת נכסים מהקובץ'!$A$2:$IV$91,73,0)</f>
        <v>87816000</v>
      </c>
      <c r="EQ79" s="532">
        <f>+HLOOKUP(EQ2,'[17]רשימת נכסים מהקובץ'!$A$2:$IV$91,73,0)</f>
        <v>35205489</v>
      </c>
      <c r="ER79" s="532">
        <f>+HLOOKUP(ER2,'[17]רשימת נכסים מהקובץ'!$A$2:$IV$91,73,0)</f>
        <v>54931390</v>
      </c>
      <c r="ES79" s="532">
        <f>+HLOOKUP(ES2,'[17]רשימת נכסים מהקובץ'!$A$2:$IV$91,73,0)</f>
        <v>14652449</v>
      </c>
      <c r="ET79" s="614"/>
      <c r="EU79" s="532">
        <f>+HLOOKUP(EU2,'[17]רשימת נכסים מהקובץ'!$A$2:$IV$91,73,0)</f>
        <v>102980454</v>
      </c>
      <c r="EV79" s="532">
        <f>+HLOOKUP(EV2,'[17]רשימת נכסים מהקובץ'!$A$2:$IV$91,73,0)</f>
        <v>11230241</v>
      </c>
      <c r="EW79" s="532">
        <f>+HLOOKUP(EW2,'[17]רשימת נכסים מהקובץ'!$A$2:$IV$91,73,0)</f>
        <v>10673053</v>
      </c>
      <c r="EX79" s="532">
        <f>+HLOOKUP(EX2,'[17]רשימת נכסים מהקובץ'!$A$2:$IV$91,73,0)</f>
        <v>15242107</v>
      </c>
      <c r="EY79" s="532">
        <f>+HLOOKUP(EY2,'[17]רשימת נכסים מהקובץ'!$A$2:$IV$91,73,0)</f>
        <v>9988104</v>
      </c>
      <c r="EZ79" s="532">
        <f>+HLOOKUP(EZ2,'[17]רשימת נכסים מהקובץ'!$A$2:$IV$91,73,0)</f>
        <v>5796565</v>
      </c>
      <c r="FA79" s="532">
        <f>+HLOOKUP(FA2,'[17]רשימת נכסים מהקובץ'!$A$2:$IV$91,73,0)</f>
        <v>35375937</v>
      </c>
      <c r="FB79" s="532">
        <f>+HLOOKUP(FB2,'[17]רשימת נכסים מהקובץ'!$A$2:$IV$91,73,0)</f>
        <v>2795425</v>
      </c>
      <c r="FC79" s="532">
        <f>+HLOOKUP(FC2,'[17]רשימת נכסים מהקובץ'!$A$2:$IV$91,73,0)</f>
        <v>9631219</v>
      </c>
      <c r="FD79" s="532">
        <f>+HLOOKUP(FD2,'[17]רשימת נכסים מהקובץ'!$A$2:$IV$91,73,0)</f>
        <v>12927777</v>
      </c>
      <c r="FE79" s="532">
        <f>+HLOOKUP(FE2,'[17]רשימת נכסים מהקובץ'!$A$2:$IV$91,73,0)</f>
        <v>5326839</v>
      </c>
      <c r="FF79" s="532">
        <f>+HLOOKUP(FF2,'[17]רשימת נכסים מהקובץ'!$A$2:$IV$91,73,0)</f>
        <v>10157870</v>
      </c>
      <c r="FG79" s="532">
        <f>+HLOOKUP(FG2,'[17]רשימת נכסים מהקובץ'!$A$2:$IV$91,73,0)</f>
        <v>6007821</v>
      </c>
      <c r="FH79" s="532">
        <f>+HLOOKUP(FH2,'[17]רשימת נכסים מהקובץ'!$A$2:$IV$91,73,0)</f>
        <v>58288302</v>
      </c>
      <c r="FI79" s="614"/>
      <c r="FJ79" s="614"/>
      <c r="FL79" s="614"/>
      <c r="FM79" s="614"/>
      <c r="FY79" s="532" t="e">
        <f>+HLOOKUP(FY2,'[17]רשימת נכסים מהקובץ'!$A$2:$IV$91,73,0)</f>
        <v>#N/A</v>
      </c>
    </row>
    <row r="80" spans="1:183" hidden="1" x14ac:dyDescent="0.2">
      <c r="B80" s="532">
        <f>+HLOOKUP(B2,'[17]רשימת נכסים מהקובץ'!$A$2:$IV$91,74,0)</f>
        <v>15827925</v>
      </c>
      <c r="C80" s="532">
        <f>+HLOOKUP(C2,'[17]רשימת נכסים מהקובץ'!$A$2:$IV$91,74,0)</f>
        <v>12660489</v>
      </c>
      <c r="D80" s="532">
        <f>+HLOOKUP(D2,'[17]רשימת נכסים מהקובץ'!$A$2:$IV$91,74,0)</f>
        <v>28959000</v>
      </c>
      <c r="E80" s="532">
        <f>+HLOOKUP(E2,'[17]רשימת נכסים מהקובץ'!$A$2:$IV$91,74,0)</f>
        <v>7755990</v>
      </c>
      <c r="F80" s="532">
        <f>+HLOOKUP(F2,'[17]רשימת נכסים מהקובץ'!$A$2:$IV$91,74,0)</f>
        <v>9493918</v>
      </c>
      <c r="G80" s="532">
        <f>+HLOOKUP(G2,'[17]רשימת נכסים מהקובץ'!$A$2:$IV$91,74,0)</f>
        <v>12571020</v>
      </c>
      <c r="H80" s="532">
        <f>+HLOOKUP(H2,'[17]רשימת נכסים מהקובץ'!$A$2:$IV$91,74,0)</f>
        <v>6652937</v>
      </c>
      <c r="I80" s="532">
        <f>+HLOOKUP(I2,'[17]רשימת נכסים מהקובץ'!$A$2:$IV$91,74,0)</f>
        <v>27519950</v>
      </c>
      <c r="J80" s="532">
        <f>+HLOOKUP(J2,'[17]רשימת נכסים מהקובץ'!$A$2:$IV$91,74,0)</f>
        <v>15274950</v>
      </c>
      <c r="K80" s="532">
        <f>+HLOOKUP(K2,'[17]רשימת נכסים מהקובץ'!$A$2:$IV$91,74,0)</f>
        <v>12178650</v>
      </c>
      <c r="L80" s="532">
        <f>+HLOOKUP(L2,'[17]רשימת נכסים מהקובץ'!$A$2:$IV$91,74,0)</f>
        <v>6993355</v>
      </c>
      <c r="M80" s="532">
        <f>+HLOOKUP(M2,'[17]רשימת נכסים מהקובץ'!$A$2:$IV$91,74,0)</f>
        <v>5234788</v>
      </c>
      <c r="N80" s="532">
        <f>+HLOOKUP(N2,'[17]רשימת נכסים מהקובץ'!$A$2:$IV$91,74,0)</f>
        <v>13760282</v>
      </c>
      <c r="O80" s="532">
        <f>+HLOOKUP(O2,'[17]רשימת נכסים מהקובץ'!$A$2:$IV$91,74,0)</f>
        <v>21813700</v>
      </c>
      <c r="P80" s="532">
        <f>+HLOOKUP(P2,'[17]רשימת נכסים מהקובץ'!$A$2:$IV$91,74,0)</f>
        <v>13727085</v>
      </c>
      <c r="Q80" s="532">
        <f>+HLOOKUP(Q2,'[17]רשימת נכסים מהקובץ'!$A$2:$IV$91,74,0)</f>
        <v>9589039</v>
      </c>
      <c r="R80" s="532">
        <f>+HLOOKUP(R2,'[17]רשימת נכסים מהקובץ'!$A$2:$IV$91,74,0)</f>
        <v>11523615</v>
      </c>
      <c r="S80" s="532">
        <f>+HLOOKUP(S2,'[17]רשימת נכסים מהקובץ'!$A$2:$IV$91,74,0)</f>
        <v>17212000</v>
      </c>
      <c r="T80" s="532">
        <f>+HLOOKUP(T2,'[17]רשימת נכסים מהקובץ'!$A$2:$IV$91,74,0)</f>
        <v>12712139</v>
      </c>
      <c r="U80" s="532">
        <f>+HLOOKUP(U2,'[17]רשימת נכסים מהקובץ'!$A$2:$IV$91,74,0)</f>
        <v>14042649</v>
      </c>
      <c r="V80" s="532">
        <f>+HLOOKUP(V2,'[17]רשימת נכסים מהקובץ'!$A$2:$IV$91,74,0)</f>
        <v>40636801</v>
      </c>
      <c r="W80" s="532">
        <f>+HLOOKUP(W2,'[17]רשימת נכסים מהקובץ'!$A$2:$IV$91,74,0)</f>
        <v>16850205</v>
      </c>
      <c r="X80" s="532">
        <f>+HLOOKUP(X2,'[17]רשימת נכסים מהקובץ'!$A$2:$IV$91,74,0)</f>
        <v>15093197</v>
      </c>
      <c r="Y80" s="532">
        <f>+HLOOKUP(Y2,'[17]רשימת נכסים מהקובץ'!$A$2:$IV$91,74,0)</f>
        <v>11181032</v>
      </c>
      <c r="Z80" s="532">
        <f>+HLOOKUP(Z2,'[17]רשימת נכסים מהקובץ'!$A$2:$IV$91,74,0)</f>
        <v>31794073</v>
      </c>
      <c r="AA80" s="532">
        <f>+HLOOKUP(AA2,'[17]רשימת נכסים מהקובץ'!$A$2:$IV$91,74,0)</f>
        <v>3691407</v>
      </c>
      <c r="AB80" s="532">
        <f>+HLOOKUP(AB2,'[17]רשימת נכסים מהקובץ'!$A$2:$IV$91,74,0)</f>
        <v>18187498</v>
      </c>
      <c r="AC80" s="532">
        <f>+HLOOKUP(AC2,'[17]רשימת נכסים מהקובץ'!$A$2:$IV$91,74,0)</f>
        <v>60628460</v>
      </c>
      <c r="AD80" s="532">
        <f>+HLOOKUP(AD2,'[17]רשימת נכסים מהקובץ'!$A$2:$IV$91,74,0)</f>
        <v>12192181</v>
      </c>
      <c r="AE80" s="532">
        <f>+HLOOKUP(AE2,'[17]רשימת נכסים מהקובץ'!$A$2:$IV$91,74,0)</f>
        <v>20491074</v>
      </c>
      <c r="AF80" s="532">
        <f>+HLOOKUP(AF2,'[17]רשימת נכסים מהקובץ'!$A$2:$IV$91,74,0)</f>
        <v>9530542</v>
      </c>
      <c r="AG80" s="532">
        <f>+HLOOKUP(AG2,'[17]רשימת נכסים מהקובץ'!$A$2:$IV$91,74,0)</f>
        <v>13383500</v>
      </c>
      <c r="AH80" s="532">
        <f>+HLOOKUP(AH2,'[17]רשימת נכסים מהקובץ'!$A$2:$IV$91,74,0)</f>
        <v>45987384</v>
      </c>
      <c r="AI80" s="532">
        <f>+HLOOKUP(AI2,'[17]רשימת נכסים מהקובץ'!$A$2:$IV$91,74,0)</f>
        <v>40794100</v>
      </c>
      <c r="AJ80" s="532">
        <f>+HLOOKUP(AJ2,'[17]רשימת נכסים מהקובץ'!$A$2:$IV$91,74,0)</f>
        <v>64458750</v>
      </c>
      <c r="AL80" s="532">
        <f>+HLOOKUP(AL2,'[17]רשימת נכסים מהקובץ'!$A$2:$IV$91,74,0)</f>
        <v>11377428.666666666</v>
      </c>
      <c r="AM80" s="532">
        <f>+HLOOKUP(AM2,'[17]רשימת נכסים מהקובץ'!$A$2:$IV$91,74,0)</f>
        <v>11377428.666666666</v>
      </c>
      <c r="AN80" s="532">
        <f>+HLOOKUP(AN2,'[17]רשימת נכסים מהקובץ'!$A$2:$IV$91,74,0)</f>
        <v>11377428.666666666</v>
      </c>
      <c r="AO80" s="532">
        <f>+HLOOKUP(AO2,'[17]רשימת נכסים מהקובץ'!$A$2:$IV$91,74,0)</f>
        <v>22593790</v>
      </c>
      <c r="AP80" s="532">
        <f>+HLOOKUP(AP2,'[17]רשימת נכסים מהקובץ'!$A$2:$IV$91,74,0)</f>
        <v>15802971</v>
      </c>
      <c r="AQ80" s="532">
        <f>+HLOOKUP(AQ2,'[17]רשימת נכסים מהקובץ'!$A$2:$IV$91,74,0)</f>
        <v>21168053</v>
      </c>
      <c r="AR80" s="532">
        <f>+HLOOKUP(AR2,'[17]רשימת נכסים מהקובץ'!$A$2:$IV$91,74,0)</f>
        <v>32406960</v>
      </c>
      <c r="AS80" s="532">
        <f>+HLOOKUP(AS2,'[17]רשימת נכסים מהקובץ'!$A$2:$IV$91,74,0)</f>
        <v>22741234</v>
      </c>
      <c r="AT80" s="532">
        <f>+HLOOKUP(AT2,'[17]רשימת נכסים מהקובץ'!$A$2:$IV$91,74,0)</f>
        <v>12129695</v>
      </c>
      <c r="AU80" s="532">
        <f>+HLOOKUP(AU2,'[17]רשימת נכסים מהקובץ'!$A$2:$IV$91,74,0)</f>
        <v>20424201</v>
      </c>
      <c r="AV80" s="532">
        <f>+HLOOKUP(AV2,'[17]רשימת נכסים מהקובץ'!$A$2:$IV$91,74,0)</f>
        <v>54950603</v>
      </c>
      <c r="AW80" s="532">
        <f>+HLOOKUP(AW2,'[17]רשימת נכסים מהקובץ'!$A$2:$IV$91,74,0)</f>
        <v>7078080</v>
      </c>
      <c r="AX80" s="532">
        <f>+HLOOKUP(AX2,'[17]רשימת נכסים מהקובץ'!$A$2:$IV$91,74,0)</f>
        <v>11516473</v>
      </c>
      <c r="AY80" s="532">
        <f>+HLOOKUP(AY2,'[17]רשימת נכסים מהקובץ'!$A$2:$IV$91,74,0)</f>
        <v>12825660</v>
      </c>
      <c r="AZ80" s="532">
        <f>+HLOOKUP(AZ2,'[17]רשימת נכסים מהקובץ'!$A$2:$IV$91,74,0)</f>
        <v>73437770</v>
      </c>
      <c r="BA80" s="532">
        <f>+HLOOKUP(BA2,'[17]רשימת נכסים מהקובץ'!$A$2:$IV$91,74,0)</f>
        <v>11450400</v>
      </c>
      <c r="BB80" s="532">
        <f>+HLOOKUP(BB2,'[17]רשימת נכסים מהקובץ'!$A$2:$IV$91,74,0)</f>
        <v>4833892</v>
      </c>
      <c r="BC80" s="532">
        <f>+HLOOKUP(BC2,'[17]רשימת נכסים מהקובץ'!$A$2:$IV$91,74,0)</f>
        <v>7958391</v>
      </c>
      <c r="BD80" s="532">
        <f>+HLOOKUP(BD2,'[17]רשימת נכסים מהקובץ'!$A$2:$IV$91,74,0)</f>
        <v>19856038</v>
      </c>
      <c r="BE80" s="532">
        <f>+HLOOKUP(BE2,'[17]רשימת נכסים מהקובץ'!$A$2:$IV$91,74,0)</f>
        <v>9746220</v>
      </c>
      <c r="BF80" s="532">
        <f>+HLOOKUP(BF2,'[17]רשימת נכסים מהקובץ'!$A$2:$IV$91,74,0)</f>
        <v>11338827</v>
      </c>
      <c r="BG80" s="532">
        <f>+HLOOKUP(BG2,'[17]רשימת נכסים מהקובץ'!$A$2:$IV$91,74,0)</f>
        <v>31040633</v>
      </c>
      <c r="BH80" s="532">
        <f>+HLOOKUP(BH2,'[17]רשימת נכסים מהקובץ'!$A$2:$IV$91,74,0)</f>
        <v>12032209</v>
      </c>
      <c r="BI80" s="532">
        <f>+HLOOKUP(BI2,'[17]רשימת נכסים מהקובץ'!$A$2:$IV$91,74,0)</f>
        <v>15107273</v>
      </c>
      <c r="BJ80" s="532">
        <f>+HLOOKUP(BJ2,'[17]רשימת נכסים מהקובץ'!$A$2:$IV$91,74,0)</f>
        <v>7406763</v>
      </c>
      <c r="BK80" s="532">
        <f>+HLOOKUP(BK2,'[17]רשימת נכסים מהקובץ'!$A$2:$IV$91,74,0)</f>
        <v>53357635</v>
      </c>
      <c r="BL80" s="532">
        <f>+HLOOKUP(BL2,'[17]רשימת נכסים מהקובץ'!$A$2:$IV$91,74,0)</f>
        <v>11306923</v>
      </c>
      <c r="BM80" s="532">
        <f>+HLOOKUP(BM2,'[17]רשימת נכסים מהקובץ'!$A$2:$IV$91,74,0)</f>
        <v>11787250</v>
      </c>
      <c r="BN80" s="532">
        <f>+HLOOKUP(BN2,'[17]רשימת נכסים מהקובץ'!$A$2:$IV$91,74,0)</f>
        <v>70780955</v>
      </c>
      <c r="BO80" s="532">
        <f>+HLOOKUP(BO2,'[17]רשימת נכסים מהקובץ'!$A$2:$IV$91,74,0)</f>
        <v>42093077</v>
      </c>
      <c r="BP80" s="532">
        <f>+HLOOKUP(BP2,'[17]רשימת נכסים מהקובץ'!$A$2:$IV$91,74,0)</f>
        <v>15147785</v>
      </c>
      <c r="BQ80" s="532">
        <f>+HLOOKUP(BQ2,'[17]רשימת נכסים מהקובץ'!$A$2:$IV$91,74,0)</f>
        <v>20653773</v>
      </c>
      <c r="BR80" s="532">
        <f>+HLOOKUP(BR2,'[17]רשימת נכסים מהקובץ'!$A$2:$IV$91,74,0)</f>
        <v>25231983</v>
      </c>
      <c r="BS80" s="532">
        <f>+HLOOKUP(BS2,'[17]רשימת נכסים מהקובץ'!$A$2:$IV$91,74,0)</f>
        <v>42809967</v>
      </c>
      <c r="BT80" s="532">
        <f>+HLOOKUP(BT2,'[17]רשימת נכסים מהקובץ'!$A$2:$IV$91,74,0)</f>
        <v>32786850</v>
      </c>
      <c r="BU80" s="532">
        <f>+HLOOKUP(BU2,'[17]רשימת נכסים מהקובץ'!$A$2:$IV$91,74,0)</f>
        <v>37261690</v>
      </c>
      <c r="BV80" s="532">
        <f>+HLOOKUP(BV2,'[17]רשימת נכסים מהקובץ'!$A$2:$IV$91,74,0)</f>
        <v>26893520</v>
      </c>
      <c r="BW80" s="532">
        <f>+HLOOKUP(BW2,'[17]רשימת נכסים מהקובץ'!$A$2:$IV$91,74,0)</f>
        <v>42255516</v>
      </c>
      <c r="BX80" s="532">
        <f>+HLOOKUP(BX2,'[17]רשימת נכסים מהקובץ'!$A$2:$IV$91,74,0)</f>
        <v>16538522</v>
      </c>
      <c r="BY80" s="614"/>
      <c r="BZ80" s="614"/>
      <c r="CA80" s="532">
        <f>+HLOOKUP(CA2,'[17]רשימת נכסים מהקובץ'!$A$2:$IV$91,74,0)</f>
        <v>77535846</v>
      </c>
      <c r="CB80" s="532">
        <f>+HLOOKUP(CB2,'[17]רשימת נכסים מהקובץ'!$A$2:$IV$91,74,0)</f>
        <v>44584176</v>
      </c>
      <c r="CC80" s="532">
        <f>+HLOOKUP(CC2,'[17]רשימת נכסים מהקובץ'!$A$2:$IV$91,74,0)</f>
        <v>33309512</v>
      </c>
      <c r="CD80" s="532">
        <f>+HLOOKUP(CD2,'[17]רשימת נכסים מהקובץ'!$A$2:$IV$91,74,0)</f>
        <v>16062941</v>
      </c>
      <c r="CE80" s="532">
        <f>+HLOOKUP(CE2,'[17]רשימת נכסים מהקובץ'!$A$2:$IV$91,74,0)</f>
        <v>548984062</v>
      </c>
      <c r="CF80" s="532">
        <f>+HLOOKUP(CF2,'[17]רשימת נכסים מהקובץ'!$A$2:$IV$91,74,0)</f>
        <v>47014481</v>
      </c>
      <c r="CG80" s="532">
        <f>+HLOOKUP(CG2,'[17]רשימת נכסים מהקובץ'!$A$2:$IV$91,74,0)</f>
        <v>4194760</v>
      </c>
      <c r="CH80" s="532">
        <f>+HLOOKUP(CH2,'[17]רשימת נכסים מהקובץ'!$A$2:$IV$91,74,0)</f>
        <v>14687458</v>
      </c>
      <c r="CI80" s="532">
        <f>+HLOOKUP(CI2,'[17]רשימת נכסים מהקובץ'!$A$2:$IV$91,74,0)</f>
        <v>9002360</v>
      </c>
      <c r="CJ80" s="532">
        <f>+HLOOKUP(CJ2,'[17]רשימת נכסים מהקובץ'!$A$2:$IV$91,74,0)</f>
        <v>7913312</v>
      </c>
      <c r="CK80" s="532">
        <f>+HLOOKUP(CK2,'[17]רשימת נכסים מהקובץ'!$A$2:$IV$91,74,0)</f>
        <v>22546626</v>
      </c>
      <c r="CL80" s="532">
        <f>+HLOOKUP(CL2,'[17]רשימת נכסים מהקובץ'!$A$2:$IV$91,74,0)</f>
        <v>0</v>
      </c>
      <c r="CM80" s="532">
        <f>+HLOOKUP(CM2,'[17]רשימת נכסים מהקובץ'!$A$2:$IV$91,74,0)</f>
        <v>91267220</v>
      </c>
      <c r="CQ80" s="532">
        <f>+HLOOKUP(CQ2,'[17]רשימת נכסים מהקובץ'!$A$2:$IV$91,74,0)</f>
        <v>25344160</v>
      </c>
      <c r="CR80" s="532">
        <f>+HLOOKUP(CR2,'[17]רשימת נכסים מהקובץ'!$A$2:$IV$91,74,0)</f>
        <v>30718220</v>
      </c>
      <c r="CS80" s="532">
        <f>+HLOOKUP(CS2,'[17]רשימת נכסים מהקובץ'!$A$2:$IV$91,74,0)</f>
        <v>13557000</v>
      </c>
      <c r="CT80" s="532">
        <f>+HLOOKUP(CT2,'[17]רשימת נכסים מהקובץ'!$A$2:$IV$91,74,0)</f>
        <v>26568811</v>
      </c>
      <c r="CU80" s="532">
        <f>+HLOOKUP(CU2,'[17]רשימת נכסים מהקובץ'!$A$2:$IV$91,74,0)</f>
        <v>18219870</v>
      </c>
      <c r="CV80" s="614"/>
      <c r="CW80" s="532">
        <f>+HLOOKUP(CW2,'[17]רשימת נכסים מהקובץ'!$A$2:$IV$91,74,0)</f>
        <v>28256950</v>
      </c>
      <c r="CX80" s="532">
        <f>+HLOOKUP(CX2,'[17]רשימת נכסים מהקובץ'!$A$2:$IV$91,74,0)</f>
        <v>8970975</v>
      </c>
      <c r="CY80" s="532">
        <f>+HLOOKUP(CY2,'[17]רשימת נכסים מהקובץ'!$A$2:$IV$91,74,0)</f>
        <v>23361609</v>
      </c>
      <c r="CZ80" s="532">
        <f>+HLOOKUP(CZ2,'[17]רשימת נכסים מהקובץ'!$A$2:$IV$91,74,0)</f>
        <v>252317657</v>
      </c>
      <c r="DA80" s="532">
        <f>+HLOOKUP(DA2,'[17]רשימת נכסים מהקובץ'!$A$2:$IV$91,74,0)</f>
        <v>74794470</v>
      </c>
      <c r="DB80" s="532">
        <f>+HLOOKUP(DB2,'[17]רשימת נכסים מהקובץ'!$A$2:$IV$91,74,0)</f>
        <v>29730920</v>
      </c>
      <c r="DC80" s="532">
        <f>+HLOOKUP(DC2,'[17]רשימת נכסים מהקובץ'!$A$2:$IV$91,74,0)</f>
        <v>22251420</v>
      </c>
      <c r="DD80" s="532">
        <f>+HLOOKUP(DD2,'[17]רשימת נכסים מהקובץ'!$A$2:$IV$91,74,0)</f>
        <v>117558809</v>
      </c>
      <c r="DE80" s="532">
        <f>+HLOOKUP(DE2,'[17]רשימת נכסים מהקובץ'!$A$2:$IV$91,74,0)</f>
        <v>28207135</v>
      </c>
      <c r="DF80" s="532">
        <f>+HLOOKUP(DF2,'[17]רשימת נכסים מהקובץ'!$A$2:$IV$91,74,0)</f>
        <v>80377680</v>
      </c>
      <c r="DG80" s="532">
        <f>+HLOOKUP(DG2,'[17]רשימת נכסים מהקובץ'!$A$2:$IV$91,74,0)</f>
        <v>138286745</v>
      </c>
      <c r="DH80" s="532">
        <f>+HLOOKUP(DH2,'[17]רשימת נכסים מהקובץ'!$A$2:$IV$91,74,0)</f>
        <v>118453750</v>
      </c>
      <c r="DI80" s="532">
        <f>+HLOOKUP(DI2,'[17]רשימת נכסים מהקובץ'!$A$2:$IV$91,74,0)</f>
        <v>57505046</v>
      </c>
      <c r="DJ80" s="532">
        <f>+HLOOKUP(DJ2,'[17]רשימת נכסים מהקובץ'!$A$2:$IV$91,74,0)</f>
        <v>617374040</v>
      </c>
      <c r="DK80" s="532">
        <f>+HLOOKUP(DK2,'[17]רשימת נכסים מהקובץ'!$A$2:$IV$91,74,0)</f>
        <v>166390871</v>
      </c>
      <c r="DL80" s="532">
        <f>+HLOOKUP(DL2,'[17]רשימת נכסים מהקובץ'!$A$2:$IV$91,74,0)</f>
        <v>45911475</v>
      </c>
      <c r="DM80" s="532">
        <f>+HLOOKUP(DM2,'[17]רשימת נכסים מהקובץ'!$A$2:$IV$91,74,0)</f>
        <v>86446162</v>
      </c>
      <c r="DN80" s="532">
        <f>+HLOOKUP(DN2,'[17]רשימת נכסים מהקובץ'!$A$2:$IV$91,74,0)</f>
        <v>34310088</v>
      </c>
      <c r="DP80" s="532">
        <f>+HLOOKUP(DP2,'[17]רשימת נכסים מהקובץ'!$A$2:$IV$91,74,0)</f>
        <v>17786932</v>
      </c>
      <c r="DQ80" s="532">
        <f>+HLOOKUP(DQ2,'[17]רשימת נכסים מהקובץ'!$A$2:$IV$91,74,0)</f>
        <v>218730440</v>
      </c>
      <c r="DR80" s="532">
        <f>+HLOOKUP(DR2,'[17]רשימת נכסים מהקובץ'!$A$2:$IV$91,74,0)</f>
        <v>4362400</v>
      </c>
      <c r="DS80" s="532">
        <f>+HLOOKUP(DS2,'[17]רשימת נכסים מהקובץ'!$A$2:$IV$91,74,0)</f>
        <v>14541290</v>
      </c>
      <c r="DU80" s="532">
        <f>+HLOOKUP(DU2,'[17]רשימת נכסים מהקובץ'!$A$2:$IV$91,74,0)</f>
        <v>56934606</v>
      </c>
      <c r="DV80" s="614"/>
      <c r="DW80" s="532">
        <f>+HLOOKUP(DW2,'[17]רשימת נכסים מהקובץ'!$A$2:$IV$91,74,0)</f>
        <v>55668593</v>
      </c>
      <c r="DX80" s="532">
        <f>+HLOOKUP(DX2,'[17]רשימת נכסים מהקובץ'!$A$2:$IV$91,74,0)</f>
        <v>125528543</v>
      </c>
      <c r="DY80" s="532">
        <f>+HLOOKUP(DY2,'[17]רשימת נכסים מהקובץ'!$A$2:$IV$91,74,0)</f>
        <v>51241795</v>
      </c>
      <c r="EA80" s="532">
        <f>+HLOOKUP(EA2,'[17]רשימת נכסים מהקובץ'!$A$2:$IV$91,74,0)</f>
        <v>826669303</v>
      </c>
      <c r="EB80" s="532">
        <f>+HLOOKUP(EB2,'[17]רשימת נכסים מהקובץ'!$A$2:$IV$91,74,0)</f>
        <v>7787210</v>
      </c>
      <c r="EC80" s="532">
        <f>+HLOOKUP(EC2,'[17]רשימת נכסים מהקובץ'!$A$2:$IV$91,74,0)</f>
        <v>35946960</v>
      </c>
      <c r="ED80" s="532">
        <f>+HLOOKUP(ED2,'[17]רשימת נכסים מהקובץ'!$A$2:$IV$91,74,0)</f>
        <v>137117293</v>
      </c>
      <c r="EE80" s="532">
        <f>+HLOOKUP(EE2,'[17]רשימת נכסים מהקובץ'!$A$2:$IV$91,74,0)</f>
        <v>9700030</v>
      </c>
      <c r="EF80" s="532">
        <f>+HLOOKUP(EF2,'[17]רשימת נכסים מהקובץ'!$A$2:$IV$91,74,0)</f>
        <v>8326980</v>
      </c>
      <c r="EG80" s="532">
        <f>+HLOOKUP(EG2,'[17]רשימת נכסים מהקובץ'!$A$2:$IV$91,74,0)</f>
        <v>24152225</v>
      </c>
      <c r="EH80" s="532">
        <f>+HLOOKUP(EH2,'[17]רשימת נכסים מהקובץ'!$A$2:$IV$91,74,0)</f>
        <v>79039867</v>
      </c>
      <c r="EI80" s="532">
        <f>+HLOOKUP(EI2,'[17]רשימת נכסים מהקובץ'!$A$2:$IV$91,74,0)</f>
        <v>271266054</v>
      </c>
      <c r="EJ80" s="532">
        <f>+HLOOKUP(EJ2,'[17]רשימת נכסים מהקובץ'!$A$2:$IV$91,74,0)</f>
        <v>48674103</v>
      </c>
      <c r="EK80" s="532">
        <f>+HLOOKUP(EK2,'[17]רשימת נכסים מהקובץ'!$A$2:$IV$91,74,0)</f>
        <v>15930250</v>
      </c>
      <c r="EL80" s="532">
        <f>+HLOOKUP(EL2,'[17]רשימת נכסים מהקובץ'!$A$2:$IV$91,74,0)</f>
        <v>14117750</v>
      </c>
      <c r="EM80" s="532">
        <f>+HLOOKUP(EM2,'[17]רשימת נכסים מהקובץ'!$A$2:$IV$91,74,0)</f>
        <v>47969950</v>
      </c>
      <c r="EN80" s="532">
        <f>+HLOOKUP(EN2,'[17]רשימת נכסים מהקובץ'!$A$2:$IV$91,74,0)</f>
        <v>32719000</v>
      </c>
      <c r="EO80" s="614"/>
      <c r="EP80" s="532">
        <f>+HLOOKUP(EP2,'[17]רשימת נכסים מהקובץ'!$A$2:$IV$91,74,0)</f>
        <v>203194000</v>
      </c>
      <c r="EQ80" s="532">
        <f>+HLOOKUP(EQ2,'[17]רשימת נכסים מהקובץ'!$A$2:$IV$91,74,0)</f>
        <v>58395175</v>
      </c>
      <c r="ER80" s="532">
        <f>+HLOOKUP(ER2,'[17]רשימת נכסים מהקובץ'!$A$2:$IV$91,74,0)</f>
        <v>118819128</v>
      </c>
      <c r="ES80" s="532">
        <f>+HLOOKUP(ES2,'[17]רשימת נכסים מהקובץ'!$A$2:$IV$91,74,0)</f>
        <v>37582006</v>
      </c>
      <c r="ET80" s="614"/>
      <c r="EU80" s="532">
        <f>+HLOOKUP(EU2,'[17]רשימת נכסים מהקובץ'!$A$2:$IV$91,74,0)</f>
        <v>360722078</v>
      </c>
      <c r="EV80" s="532">
        <f>+HLOOKUP(EV2,'[17]רשימת נכסים מהקובץ'!$A$2:$IV$91,74,0)</f>
        <v>41973975</v>
      </c>
      <c r="EW80" s="532">
        <f>+HLOOKUP(EW2,'[17]רשימת נכסים מהקובץ'!$A$2:$IV$91,74,0)</f>
        <v>55153804</v>
      </c>
      <c r="EX80" s="532">
        <f>+HLOOKUP(EX2,'[17]רשימת נכסים מהקובץ'!$A$2:$IV$91,74,0)</f>
        <v>36588050</v>
      </c>
      <c r="EY80" s="532">
        <f>+HLOOKUP(EY2,'[17]רשימת נכסים מהקובץ'!$A$2:$IV$91,74,0)</f>
        <v>23986774</v>
      </c>
      <c r="EZ80" s="532">
        <f>+HLOOKUP(EZ2,'[17]רשימת נכסים מהקובץ'!$A$2:$IV$91,74,0)</f>
        <v>23700748</v>
      </c>
      <c r="FA80" s="532">
        <f>+HLOOKUP(FA2,'[17]רשימת נכסים מהקובץ'!$A$2:$IV$91,74,0)</f>
        <v>54566236</v>
      </c>
      <c r="FB80" s="532">
        <f>+HLOOKUP(FB2,'[17]רשימת נכסים מהקובץ'!$A$2:$IV$91,74,0)</f>
        <v>20899750</v>
      </c>
      <c r="FC80" s="532">
        <f>+HLOOKUP(FC2,'[17]רשימת נכסים מהקובץ'!$A$2:$IV$91,74,0)</f>
        <v>22071384</v>
      </c>
      <c r="FD80" s="532">
        <f>+HLOOKUP(FD2,'[17]רשימת נכסים מהקובץ'!$A$2:$IV$91,74,0)</f>
        <v>26792100</v>
      </c>
      <c r="FE80" s="532">
        <f>+HLOOKUP(FE2,'[17]רשימת נכסים מהקובץ'!$A$2:$IV$91,74,0)</f>
        <v>25126330</v>
      </c>
      <c r="FF80" s="532">
        <f>+HLOOKUP(FF2,'[17]רשימת נכסים מהקובץ'!$A$2:$IV$91,74,0)</f>
        <v>16011050</v>
      </c>
      <c r="FG80" s="532">
        <f>+HLOOKUP(FG2,'[17]רשימת נכסים מהקובץ'!$A$2:$IV$91,74,0)</f>
        <v>18746240</v>
      </c>
      <c r="FH80" s="532">
        <f>+HLOOKUP(FH2,'[17]רשימת נכסים מהקובץ'!$A$2:$IV$91,74,0)</f>
        <v>124034660</v>
      </c>
      <c r="FI80" s="614"/>
      <c r="FJ80" s="614"/>
      <c r="FL80" s="614"/>
      <c r="FM80" s="614"/>
      <c r="FY80" s="532" t="e">
        <f>+HLOOKUP(FY2,'[17]רשימת נכסים מהקובץ'!$A$2:$IV$91,74,0)</f>
        <v>#N/A</v>
      </c>
    </row>
    <row r="81" spans="1:183" hidden="1" x14ac:dyDescent="0.2">
      <c r="B81" s="532">
        <f>+HLOOKUP(B2,'[17]רשימת נכסים מהקובץ'!$A$2:$IV$91,75,0)</f>
        <v>8149842</v>
      </c>
      <c r="C81" s="532">
        <f>+HLOOKUP(C2,'[17]רשימת נכסים מהקובץ'!$A$2:$IV$91,75,0)</f>
        <v>8012441</v>
      </c>
      <c r="D81" s="532">
        <f>+HLOOKUP(D2,'[17]רשימת נכסים מהקובץ'!$A$2:$IV$91,75,0)</f>
        <v>15231000</v>
      </c>
      <c r="E81" s="532">
        <f>+HLOOKUP(E2,'[17]רשימת נכסים מהקובץ'!$A$2:$IV$91,75,0)</f>
        <v>6313298</v>
      </c>
      <c r="F81" s="532">
        <f>+HLOOKUP(F2,'[17]רשימת נכסים מהקובץ'!$A$2:$IV$91,75,0)</f>
        <v>6627387</v>
      </c>
      <c r="G81" s="532">
        <f>+HLOOKUP(G2,'[17]רשימת נכסים מהקובץ'!$A$2:$IV$91,75,0)</f>
        <v>8132067</v>
      </c>
      <c r="H81" s="532">
        <f>+HLOOKUP(H2,'[17]רשימת נכסים מהקובץ'!$A$2:$IV$91,75,0)</f>
        <v>5350032</v>
      </c>
      <c r="I81" s="532">
        <f>+HLOOKUP(I2,'[17]רשימת נכסים מהקובץ'!$A$2:$IV$91,75,0)</f>
        <v>10492252</v>
      </c>
      <c r="J81" s="532">
        <f>+HLOOKUP(J2,'[17]רשימת נכסים מהקובץ'!$A$2:$IV$91,75,0)</f>
        <v>5643500</v>
      </c>
      <c r="K81" s="532">
        <f>+HLOOKUP(K2,'[17]רשימת נכסים מהקובץ'!$A$2:$IV$91,75,0)</f>
        <v>10279228</v>
      </c>
      <c r="L81" s="532">
        <f>+HLOOKUP(L2,'[17]רשימת נכסים מהקובץ'!$A$2:$IV$91,75,0)</f>
        <v>4848431</v>
      </c>
      <c r="M81" s="532">
        <f>+HLOOKUP(M2,'[17]רשימת נכסים מהקובץ'!$A$2:$IV$91,75,0)</f>
        <v>2440776</v>
      </c>
      <c r="N81" s="532">
        <f>+HLOOKUP(N2,'[17]רשימת נכסים מהקובץ'!$A$2:$IV$91,75,0)</f>
        <v>10413019</v>
      </c>
      <c r="O81" s="532">
        <f>+HLOOKUP(O2,'[17]רשימת נכסים מהקובץ'!$A$2:$IV$91,75,0)</f>
        <v>14574136</v>
      </c>
      <c r="P81" s="532">
        <f>+HLOOKUP(P2,'[17]רשימת נכסים מהקובץ'!$A$2:$IV$91,75,0)</f>
        <v>10690905</v>
      </c>
      <c r="Q81" s="532">
        <f>+HLOOKUP(Q2,'[17]רשימת נכסים מהקובץ'!$A$2:$IV$91,75,0)</f>
        <v>6196140</v>
      </c>
      <c r="R81" s="532">
        <f>+HLOOKUP(R2,'[17]רשימת נכסים מהקובץ'!$A$2:$IV$91,75,0)</f>
        <v>8805250</v>
      </c>
      <c r="S81" s="532">
        <f>+HLOOKUP(S2,'[17]רשימת נכסים מהקובץ'!$A$2:$IV$91,75,0)</f>
        <v>10951000</v>
      </c>
      <c r="T81" s="532">
        <f>+HLOOKUP(T2,'[17]רשימת נכסים מהקובץ'!$A$2:$IV$91,75,0)</f>
        <v>10093637</v>
      </c>
      <c r="U81" s="532">
        <f>+HLOOKUP(U2,'[17]רשימת נכסים מהקובץ'!$A$2:$IV$91,75,0)</f>
        <v>8742223</v>
      </c>
      <c r="V81" s="532">
        <f>+HLOOKUP(V2,'[17]רשימת נכסים מהקובץ'!$A$2:$IV$91,75,0)</f>
        <v>36433949</v>
      </c>
      <c r="W81" s="532">
        <f>+HLOOKUP(W2,'[17]רשימת נכסים מהקובץ'!$A$2:$IV$91,75,0)</f>
        <v>11499080</v>
      </c>
      <c r="X81" s="532">
        <f>+HLOOKUP(X2,'[17]רשימת נכסים מהקובץ'!$A$2:$IV$91,75,0)</f>
        <v>10950306</v>
      </c>
      <c r="Y81" s="532">
        <f>+HLOOKUP(Y2,'[17]רשימת נכסים מהקובץ'!$A$2:$IV$91,75,0)</f>
        <v>7173559</v>
      </c>
      <c r="Z81" s="532">
        <f>+HLOOKUP(Z2,'[17]רשימת נכסים מהקובץ'!$A$2:$IV$91,75,0)</f>
        <v>23750544</v>
      </c>
      <c r="AA81" s="532">
        <f>+HLOOKUP(AA2,'[17]רשימת נכסים מהקובץ'!$A$2:$IV$91,75,0)</f>
        <v>2873579</v>
      </c>
      <c r="AB81" s="532">
        <f>+HLOOKUP(AB2,'[17]רשימת נכסים מהקובץ'!$A$2:$IV$91,75,0)</f>
        <v>11956466</v>
      </c>
      <c r="AC81" s="532">
        <f>+HLOOKUP(AC2,'[17]רשימת נכסים מהקובץ'!$A$2:$IV$91,75,0)</f>
        <v>27914917</v>
      </c>
      <c r="AD81" s="532">
        <f>+HLOOKUP(AD2,'[17]רשימת נכסים מהקובץ'!$A$2:$IV$91,75,0)</f>
        <v>8428517</v>
      </c>
      <c r="AE81" s="532">
        <f>+HLOOKUP(AE2,'[17]רשימת נכסים מהקובץ'!$A$2:$IV$91,75,0)</f>
        <v>12320026</v>
      </c>
      <c r="AF81" s="532">
        <f>+HLOOKUP(AF2,'[17]רשימת נכסים מהקובץ'!$A$2:$IV$91,75,0)</f>
        <v>7356367</v>
      </c>
      <c r="AG81" s="532">
        <f>+HLOOKUP(AG2,'[17]רשימת נכסים מהקובץ'!$A$2:$IV$91,75,0)</f>
        <v>9255633</v>
      </c>
      <c r="AH81" s="532">
        <f>+HLOOKUP(AH2,'[17]רשימת נכסים מהקובץ'!$A$2:$IV$91,75,0)</f>
        <v>17454553</v>
      </c>
      <c r="AI81" s="532">
        <f>+HLOOKUP(AI2,'[17]רשימת נכסים מהקובץ'!$A$2:$IV$91,75,0)</f>
        <v>13435219</v>
      </c>
      <c r="AJ81" s="532">
        <f>+HLOOKUP(AJ2,'[17]רשימת נכסים מהקובץ'!$A$2:$IV$91,75,0)</f>
        <v>26595342</v>
      </c>
      <c r="AL81" s="532">
        <f>+HLOOKUP(AL2,'[17]רשימת נכסים מהקובץ'!$A$2:$IV$91,75,0)</f>
        <v>7705345.333333333</v>
      </c>
      <c r="AM81" s="532">
        <f>+HLOOKUP(AM2,'[17]רשימת נכסים מהקובץ'!$A$2:$IV$91,75,0)</f>
        <v>7705345.333333333</v>
      </c>
      <c r="AN81" s="532">
        <f>+HLOOKUP(AN2,'[17]רשימת נכסים מהקובץ'!$A$2:$IV$91,75,0)</f>
        <v>7705345.333333333</v>
      </c>
      <c r="AO81" s="532">
        <f>+HLOOKUP(AO2,'[17]רשימת נכסים מהקובץ'!$A$2:$IV$91,75,0)</f>
        <v>17463048</v>
      </c>
      <c r="AP81" s="532">
        <f>+HLOOKUP(AP2,'[17]רשימת נכסים מהקובץ'!$A$2:$IV$91,75,0)</f>
        <v>12837193</v>
      </c>
      <c r="AQ81" s="532">
        <f>+HLOOKUP(AQ2,'[17]רשימת נכסים מהקובץ'!$A$2:$IV$91,75,0)</f>
        <v>16072671</v>
      </c>
      <c r="AR81" s="532">
        <f>+HLOOKUP(AR2,'[17]רשימת נכסים מהקובץ'!$A$2:$IV$91,75,0)</f>
        <v>24656681</v>
      </c>
      <c r="AS81" s="532">
        <f>+HLOOKUP(AS2,'[17]רשימת נכסים מהקובץ'!$A$2:$IV$91,75,0)</f>
        <v>15263077</v>
      </c>
      <c r="AT81" s="532">
        <f>+HLOOKUP(AT2,'[17]רשימת נכסים מהקובץ'!$A$2:$IV$91,75,0)</f>
        <v>7601723</v>
      </c>
      <c r="AU81" s="532">
        <f>+HLOOKUP(AU2,'[17]רשימת נכסים מהקובץ'!$A$2:$IV$91,75,0)</f>
        <v>15134780</v>
      </c>
      <c r="AV81" s="532">
        <f>+HLOOKUP(AV2,'[17]רשימת נכסים מהקובץ'!$A$2:$IV$91,75,0)</f>
        <v>50657492</v>
      </c>
      <c r="AW81" s="532">
        <f>+HLOOKUP(AW2,'[17]רשימת נכסים מהקובץ'!$A$2:$IV$91,75,0)</f>
        <v>5454625</v>
      </c>
      <c r="AX81" s="532">
        <f>+HLOOKUP(AX2,'[17]רשימת נכסים מהקובץ'!$A$2:$IV$91,75,0)</f>
        <v>8169959</v>
      </c>
      <c r="AY81" s="532">
        <f>+HLOOKUP(AY2,'[17]רשימת נכסים מהקובץ'!$A$2:$IV$91,75,0)</f>
        <v>5921207</v>
      </c>
      <c r="AZ81" s="532">
        <f>+HLOOKUP(AZ2,'[17]רשימת נכסים מהקובץ'!$A$2:$IV$91,75,0)</f>
        <v>25942187</v>
      </c>
      <c r="BA81" s="532">
        <f>+HLOOKUP(BA2,'[17]רשימת נכסים מהקובץ'!$A$2:$IV$91,75,0)</f>
        <v>6841071</v>
      </c>
      <c r="BB81" s="532">
        <f>+HLOOKUP(BB2,'[17]רשימת נכסים מהקובץ'!$A$2:$IV$91,75,0)</f>
        <v>2801687</v>
      </c>
      <c r="BC81" s="532">
        <f>+HLOOKUP(BC2,'[17]רשימת נכסים מהקובץ'!$A$2:$IV$91,75,0)</f>
        <v>4842797</v>
      </c>
      <c r="BD81" s="532">
        <f>+HLOOKUP(BD2,'[17]רשימת נכסים מהקובץ'!$A$2:$IV$91,75,0)</f>
        <v>15254004</v>
      </c>
      <c r="BE81" s="532">
        <f>+HLOOKUP(BE2,'[17]רשימת נכסים מהקובץ'!$A$2:$IV$91,75,0)</f>
        <v>8914534</v>
      </c>
      <c r="BF81" s="532">
        <f>+HLOOKUP(BF2,'[17]רשימת נכסים מהקובץ'!$A$2:$IV$91,75,0)</f>
        <v>9350463</v>
      </c>
      <c r="BG81" s="532">
        <f>+HLOOKUP(BG2,'[17]רשימת נכסים מהקובץ'!$A$2:$IV$91,75,0)</f>
        <v>26818282</v>
      </c>
      <c r="BH81" s="532">
        <f>+HLOOKUP(BH2,'[17]רשימת נכסים מהקובץ'!$A$2:$IV$91,75,0)</f>
        <v>10320106</v>
      </c>
      <c r="BI81" s="532">
        <f>+HLOOKUP(BI2,'[17]רשימת נכסים מהקובץ'!$A$2:$IV$91,75,0)</f>
        <v>10186085</v>
      </c>
      <c r="BJ81" s="532">
        <f>+HLOOKUP(BJ2,'[17]רשימת נכסים מהקובץ'!$A$2:$IV$91,75,0)</f>
        <v>6809931</v>
      </c>
      <c r="BK81" s="532">
        <f>+HLOOKUP(BK2,'[17]רשימת נכסים מהקובץ'!$A$2:$IV$91,75,0)</f>
        <v>31311779</v>
      </c>
      <c r="BL81" s="532">
        <f>+HLOOKUP(BL2,'[17]רשימת נכסים מהקובץ'!$A$2:$IV$91,75,0)</f>
        <v>9753792</v>
      </c>
      <c r="BM81" s="532">
        <f>+HLOOKUP(BM2,'[17]רשימת נכסים מהקובץ'!$A$2:$IV$91,75,0)</f>
        <v>13729647</v>
      </c>
      <c r="BN81" s="532">
        <f>+HLOOKUP(BN2,'[17]רשימת נכסים מהקובץ'!$A$2:$IV$91,75,0)</f>
        <v>32214217</v>
      </c>
      <c r="BO81" s="532">
        <f>+HLOOKUP(BO2,'[17]רשימת נכסים מהקובץ'!$A$2:$IV$91,75,0)</f>
        <v>24707150</v>
      </c>
      <c r="BP81" s="532">
        <f>+HLOOKUP(BP2,'[17]רשימת נכסים מהקובץ'!$A$2:$IV$91,75,0)</f>
        <v>10442362</v>
      </c>
      <c r="BQ81" s="532">
        <f>+HLOOKUP(BQ2,'[17]רשימת נכסים מהקובץ'!$A$2:$IV$91,75,0)</f>
        <v>15140079</v>
      </c>
      <c r="BR81" s="532">
        <f>+HLOOKUP(BR2,'[17]רשימת נכסים מהקובץ'!$A$2:$IV$91,75,0)</f>
        <v>17993458</v>
      </c>
      <c r="BS81" s="532">
        <f>+HLOOKUP(BS2,'[17]רשימת נכסים מהקובץ'!$A$2:$IV$91,75,0)</f>
        <v>17120713</v>
      </c>
      <c r="BT81" s="532">
        <f>+HLOOKUP(BT2,'[17]רשימת נכסים מהקובץ'!$A$2:$IV$91,75,0)</f>
        <v>7134115</v>
      </c>
      <c r="BU81" s="532">
        <f>+HLOOKUP(BU2,'[17]רשימת נכסים מהקובץ'!$A$2:$IV$91,75,0)</f>
        <v>7505799</v>
      </c>
      <c r="BV81" s="532">
        <f>+HLOOKUP(BV2,'[17]רשימת נכסים מהקובץ'!$A$2:$IV$91,75,0)</f>
        <v>4679154</v>
      </c>
      <c r="BW81" s="532">
        <f>+HLOOKUP(BW2,'[17]רשימת נכסים מהקובץ'!$A$2:$IV$91,75,0)</f>
        <v>9001581</v>
      </c>
      <c r="BX81" s="532">
        <f>+HLOOKUP(BX2,'[17]רשימת נכסים מהקובץ'!$A$2:$IV$91,75,0)</f>
        <v>9661600</v>
      </c>
      <c r="BY81" s="614"/>
      <c r="BZ81" s="614"/>
      <c r="CA81" s="532">
        <f>+HLOOKUP(CA2,'[17]רשימת נכסים מהקובץ'!$A$2:$IV$91,75,0)</f>
        <v>30555173</v>
      </c>
      <c r="CB81" s="532">
        <f>+HLOOKUP(CB2,'[17]רשימת נכסים מהקובץ'!$A$2:$IV$91,75,0)</f>
        <v>17862008</v>
      </c>
      <c r="CC81" s="532">
        <f>+HLOOKUP(CC2,'[17]רשימת נכסים מהקובץ'!$A$2:$IV$91,75,0)</f>
        <v>18888873</v>
      </c>
      <c r="CD81" s="532">
        <f>+HLOOKUP(CD2,'[17]רשימת נכסים מהקובץ'!$A$2:$IV$91,75,0)</f>
        <v>10240178</v>
      </c>
      <c r="CE81" s="532">
        <f>+HLOOKUP(CE2,'[17]רשימת נכסים מהקובץ'!$A$2:$IV$91,75,0)</f>
        <v>147519829</v>
      </c>
      <c r="CF81" s="532">
        <f>+HLOOKUP(CF2,'[17]רשימת נכסים מהקובץ'!$A$2:$IV$91,75,0)</f>
        <v>35333415</v>
      </c>
      <c r="CG81" s="532">
        <f>+HLOOKUP(CG2,'[17]רשימת נכסים מהקובץ'!$A$2:$IV$91,75,0)</f>
        <v>4046775</v>
      </c>
      <c r="CH81" s="532">
        <f>+HLOOKUP(CH2,'[17]רשימת נכסים מהקובץ'!$A$2:$IV$91,75,0)</f>
        <v>11513869</v>
      </c>
      <c r="CI81" s="532">
        <f>+HLOOKUP(CI2,'[17]רשימת נכסים מהקובץ'!$A$2:$IV$91,75,0)</f>
        <v>7493900</v>
      </c>
      <c r="CJ81" s="532">
        <f>+HLOOKUP(CJ2,'[17]רשימת נכסים מהקובץ'!$A$2:$IV$91,75,0)</f>
        <v>7368301</v>
      </c>
      <c r="CK81" s="532">
        <f>+HLOOKUP(CK2,'[17]רשימת נכסים מהקובץ'!$A$2:$IV$91,75,0)</f>
        <v>18773828</v>
      </c>
      <c r="CL81" s="532">
        <f>+HLOOKUP(CL2,'[17]רשימת נכסים מהקובץ'!$A$2:$IV$91,75,0)</f>
        <v>0</v>
      </c>
      <c r="CM81" s="532">
        <f>+HLOOKUP(CM2,'[17]רשימת נכסים מהקובץ'!$A$2:$IV$91,75,0)</f>
        <v>36293538</v>
      </c>
      <c r="CQ81" s="532">
        <f>+HLOOKUP(CQ2,'[17]רשימת נכסים מהקובץ'!$A$2:$IV$91,75,0)</f>
        <v>16220117</v>
      </c>
      <c r="CR81" s="532">
        <f>+HLOOKUP(CR2,'[17]רשימת נכסים מהקובץ'!$A$2:$IV$91,75,0)</f>
        <v>19712031</v>
      </c>
      <c r="CS81" s="532">
        <f>+HLOOKUP(CS2,'[17]רשימת נכסים מהקובץ'!$A$2:$IV$91,75,0)</f>
        <v>10280000</v>
      </c>
      <c r="CT81" s="532">
        <f>+HLOOKUP(CT2,'[17]רשימת נכסים מהקובץ'!$A$2:$IV$91,75,0)</f>
        <v>18898209</v>
      </c>
      <c r="CU81" s="532">
        <f>+HLOOKUP(CU2,'[17]רשימת נכסים מהקובץ'!$A$2:$IV$91,75,0)</f>
        <v>11244442</v>
      </c>
      <c r="CV81" s="614"/>
      <c r="CW81" s="532">
        <f>+HLOOKUP(CW2,'[17]רשימת נכסים מהקובץ'!$A$2:$IV$91,75,0)</f>
        <v>17340252</v>
      </c>
      <c r="CX81" s="532">
        <f>+HLOOKUP(CX2,'[17]רשימת נכסים מהקובץ'!$A$2:$IV$91,75,0)</f>
        <v>6551468</v>
      </c>
      <c r="CY81" s="532">
        <f>+HLOOKUP(CY2,'[17]רשימת נכסים מהקובץ'!$A$2:$IV$91,75,0)</f>
        <v>18422144</v>
      </c>
      <c r="CZ81" s="532">
        <f>+HLOOKUP(CZ2,'[17]רשימת נכסים מהקובץ'!$A$2:$IV$91,75,0)</f>
        <v>134563843</v>
      </c>
      <c r="DA81" s="532">
        <f>+HLOOKUP(DA2,'[17]רשימת נכסים מהקובץ'!$A$2:$IV$91,75,0)</f>
        <v>37136537</v>
      </c>
      <c r="DB81" s="532">
        <f>+HLOOKUP(DB2,'[17]רשימת נכסים מהקובץ'!$A$2:$IV$91,75,0)</f>
        <v>14501367</v>
      </c>
      <c r="DC81" s="532">
        <f>+HLOOKUP(DC2,'[17]רשימת נכסים מהקובץ'!$A$2:$IV$91,75,0)</f>
        <v>14276882</v>
      </c>
      <c r="DD81" s="532">
        <f>+HLOOKUP(DD2,'[17]רשימת נכסים מהקובץ'!$A$2:$IV$91,75,0)</f>
        <v>48181685</v>
      </c>
      <c r="DE81" s="532">
        <f>+HLOOKUP(DE2,'[17]רשימת נכסים מהקובץ'!$A$2:$IV$91,75,0)</f>
        <v>8735303</v>
      </c>
      <c r="DF81" s="532">
        <f>+HLOOKUP(DF2,'[17]רשימת נכסים מהקובץ'!$A$2:$IV$91,75,0)</f>
        <v>38501901</v>
      </c>
      <c r="DG81" s="532">
        <f>+HLOOKUP(DG2,'[17]רשימת נכסים מהקובץ'!$A$2:$IV$91,75,0)</f>
        <v>55224295</v>
      </c>
      <c r="DH81" s="532">
        <f>+HLOOKUP(DH2,'[17]רשימת נכסים מהקובץ'!$A$2:$IV$91,75,0)</f>
        <v>42980559</v>
      </c>
      <c r="DI81" s="532">
        <f>+HLOOKUP(DI2,'[17]רשימת נכסים מהקובץ'!$A$2:$IV$91,75,0)</f>
        <v>23392981</v>
      </c>
      <c r="DJ81" s="532">
        <f>+HLOOKUP(DJ2,'[17]רשימת נכסים מהקובץ'!$A$2:$IV$91,75,0)</f>
        <v>175531370</v>
      </c>
      <c r="DK81" s="532">
        <f>+HLOOKUP(DK2,'[17]רשימת נכסים מהקובץ'!$A$2:$IV$91,75,0)</f>
        <v>7135457</v>
      </c>
      <c r="DL81" s="532">
        <f>+HLOOKUP(DL2,'[17]רשימת נכסים מהקובץ'!$A$2:$IV$91,75,0)</f>
        <v>2328894</v>
      </c>
      <c r="DM81" s="532">
        <f>+HLOOKUP(DM2,'[17]רשימת נכסים מהקובץ'!$A$2:$IV$91,75,0)</f>
        <v>6102764</v>
      </c>
      <c r="DN81" s="532">
        <f>+HLOOKUP(DN2,'[17]רשימת נכסים מהקובץ'!$A$2:$IV$91,75,0)</f>
        <v>9811474</v>
      </c>
      <c r="DP81" s="532">
        <f>+HLOOKUP(DP2,'[17]רשימת נכסים מהקובץ'!$A$2:$IV$91,75,0)</f>
        <v>10505340</v>
      </c>
      <c r="DQ81" s="532">
        <f>+HLOOKUP(DQ2,'[17]רשימת נכסים מהקובץ'!$A$2:$IV$91,75,0)</f>
        <v>64226209</v>
      </c>
      <c r="DR81" s="532">
        <f>+HLOOKUP(DR2,'[17]רשימת נכסים מהקובץ'!$A$2:$IV$91,75,0)</f>
        <v>2203039</v>
      </c>
      <c r="DS81" s="532">
        <f>+HLOOKUP(DS2,'[17]רשימת נכסים מהקובץ'!$A$2:$IV$91,75,0)</f>
        <v>12786007</v>
      </c>
      <c r="DU81" s="532">
        <f>+HLOOKUP(DU2,'[17]רשימת נכסים מהקובץ'!$A$2:$IV$91,75,0)</f>
        <v>22027467</v>
      </c>
      <c r="DV81" s="614"/>
      <c r="DW81" s="532">
        <f>+HLOOKUP(DW2,'[17]רשימת נכסים מהקובץ'!$A$2:$IV$91,75,0)</f>
        <v>27211389</v>
      </c>
      <c r="DX81" s="532">
        <f>+HLOOKUP(DX2,'[17]רשימת נכסים מהקובץ'!$A$2:$IV$91,75,0)</f>
        <v>83146260</v>
      </c>
      <c r="DY81" s="532">
        <f>+HLOOKUP(DY2,'[17]רשימת נכסים מהקובץ'!$A$2:$IV$91,75,0)</f>
        <v>27289264</v>
      </c>
      <c r="EA81" s="532">
        <f>+HLOOKUP(EA2,'[17]רשימת נכסים מהקובץ'!$A$2:$IV$91,75,0)</f>
        <v>414049605</v>
      </c>
      <c r="EB81" s="532">
        <f>+HLOOKUP(EB2,'[17]רשימת נכסים מהקובץ'!$A$2:$IV$91,75,0)</f>
        <v>6256714</v>
      </c>
      <c r="EC81" s="532">
        <f>+HLOOKUP(EC2,'[17]רשימת נכסים מהקובץ'!$A$2:$IV$91,75,0)</f>
        <v>11909442</v>
      </c>
      <c r="ED81" s="532">
        <f>+HLOOKUP(ED2,'[17]רשימת נכסים מהקובץ'!$A$2:$IV$91,75,0)</f>
        <v>36469910</v>
      </c>
      <c r="EE81" s="532">
        <f>+HLOOKUP(EE2,'[17]רשימת נכסים מהקובץ'!$A$2:$IV$91,75,0)</f>
        <v>1801370</v>
      </c>
      <c r="EF81" s="532">
        <f>+HLOOKUP(EF2,'[17]רשימת נכסים מהקובץ'!$A$2:$IV$91,75,0)</f>
        <v>4450672</v>
      </c>
      <c r="EG81" s="532">
        <f>+HLOOKUP(EG2,'[17]רשימת נכסים מהקובץ'!$A$2:$IV$91,75,0)</f>
        <v>5592416</v>
      </c>
      <c r="EH81" s="532">
        <f>+HLOOKUP(EH2,'[17]רשימת נכסים מהקובץ'!$A$2:$IV$91,75,0)</f>
        <v>21448785</v>
      </c>
      <c r="EI81" s="532">
        <f>+HLOOKUP(EI2,'[17]רשימת נכסים מהקובץ'!$A$2:$IV$91,75,0)</f>
        <v>147487683</v>
      </c>
      <c r="EJ81" s="532">
        <f>+HLOOKUP(EJ2,'[17]רשימת נכסים מהקובץ'!$A$2:$IV$91,75,0)</f>
        <v>31166227</v>
      </c>
      <c r="EK81" s="532">
        <f>+HLOOKUP(EK2,'[17]רשימת נכסים מהקובץ'!$A$2:$IV$91,75,0)</f>
        <v>11246433</v>
      </c>
      <c r="EL81" s="532">
        <f>+HLOOKUP(EL2,'[17]רשימת נכסים מהקובץ'!$A$2:$IV$91,75,0)</f>
        <v>6950758</v>
      </c>
      <c r="EM81" s="532">
        <f>+HLOOKUP(EM2,'[17]רשימת נכסים מהקובץ'!$A$2:$IV$91,75,0)</f>
        <v>12943739</v>
      </c>
      <c r="EN81" s="532">
        <f>+HLOOKUP(EN2,'[17]רשימת נכסים מהקובץ'!$A$2:$IV$91,75,0)</f>
        <v>21770000</v>
      </c>
      <c r="EO81" s="614"/>
      <c r="EP81" s="532">
        <f>+HLOOKUP(EP2,'[17]רשימת נכסים מהקובץ'!$A$2:$IV$91,75,0)</f>
        <v>82342000</v>
      </c>
      <c r="EQ81" s="532">
        <f>+HLOOKUP(EQ2,'[17]רשימת נכסים מהקובץ'!$A$2:$IV$91,75,0)</f>
        <v>28159125</v>
      </c>
      <c r="ER81" s="532">
        <f>+HLOOKUP(ER2,'[17]רשימת נכסים מהקובץ'!$A$2:$IV$91,75,0)</f>
        <v>63513775</v>
      </c>
      <c r="ES81" s="532">
        <f>+HLOOKUP(ES2,'[17]רשימת נכסים מהקובץ'!$A$2:$IV$91,75,0)</f>
        <v>17398688</v>
      </c>
      <c r="ET81" s="614"/>
      <c r="EU81" s="532">
        <f>+HLOOKUP(EU2,'[17]רשימת נכסים מהקובץ'!$A$2:$IV$91,75,0)</f>
        <v>146123249</v>
      </c>
      <c r="EV81" s="532">
        <f>+HLOOKUP(EV2,'[17]רשימת נכסים מהקובץ'!$A$2:$IV$91,75,0)</f>
        <v>24517307</v>
      </c>
      <c r="EW81" s="532">
        <f>+HLOOKUP(EW2,'[17]רשימת נכסים מהקובץ'!$A$2:$IV$91,75,0)</f>
        <v>13193245</v>
      </c>
      <c r="EX81" s="532">
        <f>+HLOOKUP(EX2,'[17]רשימת נכסים מהקובץ'!$A$2:$IV$91,75,0)</f>
        <v>8982050</v>
      </c>
      <c r="EY81" s="532">
        <f>+HLOOKUP(EY2,'[17]רשימת נכסים מהקובץ'!$A$2:$IV$91,75,0)</f>
        <v>11585912</v>
      </c>
      <c r="EZ81" s="532">
        <f>+HLOOKUP(EZ2,'[17]רשימת נכסים מהקובץ'!$A$2:$IV$91,75,0)</f>
        <v>7724272</v>
      </c>
      <c r="FA81" s="532">
        <f>+HLOOKUP(FA2,'[17]רשימת נכסים מהקובץ'!$A$2:$IV$91,75,0)</f>
        <v>42084208</v>
      </c>
      <c r="FB81" s="532">
        <f>+HLOOKUP(FB2,'[17]רשימת נכסים מהקובץ'!$A$2:$IV$91,75,0)</f>
        <v>14530855</v>
      </c>
      <c r="FC81" s="532">
        <f>+HLOOKUP(FC2,'[17]רשימת נכסים מהקובץ'!$A$2:$IV$91,75,0)</f>
        <v>19386198</v>
      </c>
      <c r="FD81" s="532">
        <f>+HLOOKUP(FD2,'[17]רשימת נכסים מהקובץ'!$A$2:$IV$91,75,0)</f>
        <v>19240644</v>
      </c>
      <c r="FE81" s="532">
        <f>+HLOOKUP(FE2,'[17]רשימת נכסים מהקובץ'!$A$2:$IV$91,75,0)</f>
        <v>20044823</v>
      </c>
      <c r="FF81" s="532">
        <f>+HLOOKUP(FF2,'[17]רשימת נכסים מהקובץ'!$A$2:$IV$91,75,0)</f>
        <v>14280221</v>
      </c>
      <c r="FG81" s="532">
        <f>+HLOOKUP(FG2,'[17]רשימת נכסים מהקובץ'!$A$2:$IV$91,75,0)</f>
        <v>14556657</v>
      </c>
      <c r="FH81" s="532">
        <f>+HLOOKUP(FH2,'[17]רשימת נכסים מהקובץ'!$A$2:$IV$91,75,0)</f>
        <v>47257507</v>
      </c>
      <c r="FI81" s="614"/>
      <c r="FJ81" s="614"/>
      <c r="FK81" s="614"/>
      <c r="FL81" s="614"/>
      <c r="FM81" s="614"/>
      <c r="FY81" s="532" t="e">
        <f>+HLOOKUP(FY2,'[17]רשימת נכסים מהקובץ'!$A$2:$IV$91,75,0)</f>
        <v>#N/A</v>
      </c>
    </row>
    <row r="82" spans="1:183" hidden="1" x14ac:dyDescent="0.2">
      <c r="C82" s="532"/>
      <c r="D82" s="532"/>
      <c r="E82" s="532"/>
      <c r="F82" s="532"/>
      <c r="G82" s="532"/>
      <c r="H82" s="532"/>
      <c r="I82" s="532"/>
      <c r="J82" s="532"/>
      <c r="K82" s="532"/>
      <c r="L82" s="532"/>
      <c r="M82" s="532"/>
      <c r="N82" s="532"/>
      <c r="O82" s="532"/>
      <c r="P82" s="532"/>
      <c r="Q82" s="532"/>
      <c r="R82" s="532"/>
      <c r="S82" s="532"/>
      <c r="T82" s="532"/>
      <c r="U82" s="532"/>
      <c r="V82" s="532"/>
      <c r="W82" s="532"/>
      <c r="X82" s="532"/>
      <c r="Y82" s="532"/>
      <c r="Z82" s="532"/>
      <c r="AB82" s="532"/>
      <c r="AC82" s="532"/>
      <c r="AE82" s="532"/>
      <c r="AF82" s="532"/>
      <c r="AG82" s="532"/>
      <c r="AH82" s="532"/>
      <c r="AI82" s="532"/>
      <c r="AJ82" s="532"/>
      <c r="AO82" s="532"/>
      <c r="AP82" s="532"/>
      <c r="AQ82" s="532"/>
      <c r="AR82" s="532"/>
      <c r="AT82" s="532"/>
      <c r="AU82" s="532"/>
      <c r="AV82" s="532"/>
      <c r="AW82" s="532"/>
      <c r="AY82" s="532"/>
      <c r="AZ82" s="532"/>
      <c r="BA82" s="532"/>
      <c r="BB82" s="532"/>
      <c r="BD82" s="532"/>
      <c r="BE82" s="532"/>
      <c r="BF82" s="532"/>
      <c r="BG82" s="532"/>
      <c r="BH82" s="532"/>
      <c r="BI82" s="532"/>
      <c r="BJ82" s="532"/>
      <c r="BK82" s="532"/>
      <c r="BO82" s="532"/>
      <c r="BP82" s="532"/>
      <c r="BQ82" s="532"/>
      <c r="BR82" s="532"/>
      <c r="BS82" s="532"/>
      <c r="BU82" s="532"/>
      <c r="BW82" s="532"/>
      <c r="BY82" s="614"/>
      <c r="BZ82" s="614"/>
      <c r="CA82" s="532"/>
      <c r="CC82" s="532"/>
      <c r="CE82" s="532"/>
      <c r="CF82" s="532"/>
      <c r="CG82" s="532"/>
      <c r="CH82" s="532"/>
      <c r="CI82" s="532"/>
      <c r="CJ82" s="532"/>
      <c r="CL82" s="532"/>
      <c r="CQ82" s="532"/>
      <c r="CR82" s="532"/>
      <c r="CS82" s="532"/>
      <c r="CT82" s="532"/>
      <c r="CU82" s="532"/>
      <c r="CV82" s="614"/>
      <c r="CY82" s="532"/>
      <c r="CZ82" s="532"/>
      <c r="DA82" s="532"/>
      <c r="DC82" s="532"/>
      <c r="DD82" s="532"/>
      <c r="DE82" s="532"/>
      <c r="DF82" s="532"/>
      <c r="DG82" s="532"/>
      <c r="DH82" s="532"/>
      <c r="DI82" s="532"/>
      <c r="DK82" s="532"/>
      <c r="DL82" s="532"/>
      <c r="DM82" s="532"/>
      <c r="DN82" s="532"/>
      <c r="DP82" s="532"/>
      <c r="DQ82" s="532"/>
      <c r="DR82" s="532"/>
      <c r="DS82" s="532"/>
      <c r="DU82" s="532"/>
      <c r="DV82" s="614"/>
      <c r="DW82" s="532"/>
      <c r="DX82" s="532"/>
      <c r="DY82" s="532"/>
      <c r="EA82" s="532"/>
      <c r="EB82" s="532"/>
      <c r="ED82" s="532"/>
      <c r="EE82" s="532"/>
      <c r="EH82" s="532"/>
      <c r="EJ82" s="532"/>
      <c r="EK82" s="532"/>
      <c r="EL82" s="532"/>
      <c r="EM82" s="532"/>
      <c r="EN82" s="532"/>
      <c r="EO82" s="614"/>
      <c r="EP82" s="532"/>
      <c r="EQ82" s="532"/>
      <c r="ER82" s="532"/>
      <c r="ES82" s="532"/>
      <c r="ET82" s="614"/>
      <c r="EU82" s="532"/>
      <c r="EZ82" s="532"/>
      <c r="FA82" s="532"/>
      <c r="FB82" s="532"/>
      <c r="FC82" s="532"/>
      <c r="FE82" s="532"/>
      <c r="FF82" s="532"/>
      <c r="FH82" s="532"/>
      <c r="FI82" s="614"/>
      <c r="FJ82" s="614"/>
      <c r="FK82" s="614"/>
      <c r="FL82" s="614"/>
      <c r="FM82" s="614"/>
      <c r="FY82" s="532"/>
    </row>
    <row r="83" spans="1:183" hidden="1" x14ac:dyDescent="0.2">
      <c r="B83" s="532">
        <f t="shared" ref="B83:BM86" si="33">+B73-B78</f>
        <v>0</v>
      </c>
      <c r="C83" s="532">
        <f t="shared" si="33"/>
        <v>0</v>
      </c>
      <c r="D83" s="532">
        <f t="shared" si="33"/>
        <v>0</v>
      </c>
      <c r="E83" s="532">
        <f t="shared" si="33"/>
        <v>0</v>
      </c>
      <c r="F83" s="532">
        <f t="shared" si="33"/>
        <v>0</v>
      </c>
      <c r="G83" s="532">
        <f t="shared" si="33"/>
        <v>0</v>
      </c>
      <c r="H83" s="532">
        <f t="shared" si="33"/>
        <v>0</v>
      </c>
      <c r="I83" s="532">
        <f t="shared" si="33"/>
        <v>0</v>
      </c>
      <c r="J83" s="532">
        <f t="shared" si="33"/>
        <v>0</v>
      </c>
      <c r="K83" s="532">
        <f t="shared" si="33"/>
        <v>0</v>
      </c>
      <c r="L83" s="532">
        <f t="shared" si="33"/>
        <v>0</v>
      </c>
      <c r="M83" s="532">
        <f t="shared" si="33"/>
        <v>0</v>
      </c>
      <c r="N83" s="532">
        <f t="shared" si="33"/>
        <v>0</v>
      </c>
      <c r="O83" s="532">
        <f t="shared" si="33"/>
        <v>0</v>
      </c>
      <c r="P83" s="532">
        <f t="shared" si="33"/>
        <v>0</v>
      </c>
      <c r="Q83" s="532">
        <f t="shared" si="33"/>
        <v>0</v>
      </c>
      <c r="R83" s="532">
        <f t="shared" si="33"/>
        <v>0</v>
      </c>
      <c r="S83" s="532">
        <f t="shared" si="33"/>
        <v>0</v>
      </c>
      <c r="T83" s="532">
        <f t="shared" si="33"/>
        <v>0</v>
      </c>
      <c r="U83" s="532">
        <f t="shared" si="33"/>
        <v>0</v>
      </c>
      <c r="V83" s="532">
        <f t="shared" si="33"/>
        <v>0</v>
      </c>
      <c r="W83" s="532">
        <f t="shared" si="33"/>
        <v>0</v>
      </c>
      <c r="X83" s="532">
        <f t="shared" si="33"/>
        <v>0</v>
      </c>
      <c r="Y83" s="532">
        <f t="shared" si="33"/>
        <v>0</v>
      </c>
      <c r="Z83" s="532">
        <f t="shared" si="33"/>
        <v>0</v>
      </c>
      <c r="AA83" s="532">
        <f t="shared" si="33"/>
        <v>0</v>
      </c>
      <c r="AB83" s="532">
        <f t="shared" si="33"/>
        <v>0</v>
      </c>
      <c r="AC83" s="532">
        <f t="shared" si="33"/>
        <v>0</v>
      </c>
      <c r="AD83" s="532">
        <f t="shared" si="33"/>
        <v>0</v>
      </c>
      <c r="AE83" s="532">
        <f t="shared" si="33"/>
        <v>0</v>
      </c>
      <c r="AF83" s="532">
        <f t="shared" si="33"/>
        <v>0</v>
      </c>
      <c r="AG83" s="532">
        <f t="shared" si="33"/>
        <v>0</v>
      </c>
      <c r="AH83" s="532">
        <f t="shared" si="33"/>
        <v>0</v>
      </c>
      <c r="AI83" s="532">
        <f t="shared" si="33"/>
        <v>0</v>
      </c>
      <c r="AJ83" s="532">
        <f t="shared" si="33"/>
        <v>0</v>
      </c>
      <c r="AL83" s="532">
        <f t="shared" si="33"/>
        <v>0</v>
      </c>
      <c r="AM83" s="532">
        <f t="shared" si="33"/>
        <v>0</v>
      </c>
      <c r="AN83" s="532">
        <f t="shared" si="33"/>
        <v>0</v>
      </c>
      <c r="AO83" s="532">
        <f t="shared" si="33"/>
        <v>0</v>
      </c>
      <c r="AP83" s="532">
        <f t="shared" si="33"/>
        <v>0</v>
      </c>
      <c r="AQ83" s="532">
        <f t="shared" si="33"/>
        <v>0</v>
      </c>
      <c r="AR83" s="532">
        <f t="shared" si="33"/>
        <v>0</v>
      </c>
      <c r="AS83" s="532">
        <f t="shared" si="33"/>
        <v>0</v>
      </c>
      <c r="AT83" s="532">
        <f t="shared" si="33"/>
        <v>0</v>
      </c>
      <c r="AU83" s="532">
        <f t="shared" si="33"/>
        <v>0</v>
      </c>
      <c r="AV83" s="532">
        <f t="shared" si="33"/>
        <v>0</v>
      </c>
      <c r="AW83" s="532">
        <f t="shared" si="33"/>
        <v>0</v>
      </c>
      <c r="AX83" s="532">
        <f t="shared" si="33"/>
        <v>0</v>
      </c>
      <c r="AY83" s="532">
        <f t="shared" si="33"/>
        <v>0</v>
      </c>
      <c r="AZ83" s="532">
        <f t="shared" si="33"/>
        <v>0</v>
      </c>
      <c r="BA83" s="532">
        <f t="shared" si="33"/>
        <v>0</v>
      </c>
      <c r="BB83" s="532">
        <f t="shared" si="33"/>
        <v>0</v>
      </c>
      <c r="BC83" s="532">
        <f t="shared" si="33"/>
        <v>0</v>
      </c>
      <c r="BD83" s="532">
        <f t="shared" si="33"/>
        <v>0</v>
      </c>
      <c r="BE83" s="532">
        <f t="shared" si="33"/>
        <v>0</v>
      </c>
      <c r="BF83" s="532">
        <f t="shared" si="33"/>
        <v>0</v>
      </c>
      <c r="BG83" s="532">
        <f t="shared" si="33"/>
        <v>0</v>
      </c>
      <c r="BH83" s="532">
        <f t="shared" si="33"/>
        <v>0</v>
      </c>
      <c r="BI83" s="532">
        <f t="shared" si="33"/>
        <v>0</v>
      </c>
      <c r="BJ83" s="532">
        <f t="shared" si="33"/>
        <v>0</v>
      </c>
      <c r="BK83" s="532">
        <f t="shared" si="33"/>
        <v>0</v>
      </c>
      <c r="BL83" s="532">
        <f t="shared" si="33"/>
        <v>0</v>
      </c>
      <c r="BM83" s="532">
        <f t="shared" si="33"/>
        <v>0</v>
      </c>
      <c r="BN83" s="532">
        <f t="shared" ref="BN83:DY86" si="34">+BN73-BN78</f>
        <v>0</v>
      </c>
      <c r="BO83" s="532">
        <f t="shared" si="34"/>
        <v>0</v>
      </c>
      <c r="BP83" s="532">
        <f t="shared" si="34"/>
        <v>0</v>
      </c>
      <c r="BQ83" s="532">
        <f t="shared" si="34"/>
        <v>0</v>
      </c>
      <c r="BR83" s="532">
        <f t="shared" si="34"/>
        <v>0</v>
      </c>
      <c r="BS83" s="532">
        <f t="shared" si="34"/>
        <v>0</v>
      </c>
      <c r="BT83" s="532">
        <f t="shared" si="34"/>
        <v>0</v>
      </c>
      <c r="BU83" s="532">
        <f t="shared" si="34"/>
        <v>0</v>
      </c>
      <c r="BV83" s="532">
        <f>+BV73-BV78</f>
        <v>0</v>
      </c>
      <c r="BW83" s="532">
        <f t="shared" si="34"/>
        <v>0</v>
      </c>
      <c r="BX83" s="532">
        <f t="shared" si="34"/>
        <v>0</v>
      </c>
      <c r="CA83" s="532">
        <f t="shared" si="34"/>
        <v>0</v>
      </c>
      <c r="CB83" s="532">
        <f t="shared" si="34"/>
        <v>0</v>
      </c>
      <c r="CC83" s="532">
        <f t="shared" si="34"/>
        <v>0</v>
      </c>
      <c r="CD83" s="532">
        <f t="shared" si="34"/>
        <v>0</v>
      </c>
      <c r="CE83" s="532">
        <f t="shared" si="34"/>
        <v>0</v>
      </c>
      <c r="CF83" s="532">
        <f t="shared" si="34"/>
        <v>0</v>
      </c>
      <c r="CG83" s="532">
        <f t="shared" si="34"/>
        <v>0</v>
      </c>
      <c r="CH83" s="532">
        <f t="shared" si="34"/>
        <v>0</v>
      </c>
      <c r="CI83" s="532">
        <f t="shared" si="34"/>
        <v>0</v>
      </c>
      <c r="CJ83" s="532">
        <f t="shared" si="34"/>
        <v>0</v>
      </c>
      <c r="CK83" s="532">
        <f t="shared" si="34"/>
        <v>14839990</v>
      </c>
      <c r="CL83" s="532">
        <f t="shared" si="34"/>
        <v>0</v>
      </c>
      <c r="CM83" s="532">
        <f t="shared" si="34"/>
        <v>0</v>
      </c>
      <c r="CQ83" s="532">
        <f t="shared" si="34"/>
        <v>0</v>
      </c>
      <c r="CR83" s="532">
        <f t="shared" si="34"/>
        <v>0</v>
      </c>
      <c r="CS83" s="532">
        <f t="shared" si="34"/>
        <v>0</v>
      </c>
      <c r="CT83" s="532">
        <f t="shared" si="34"/>
        <v>0</v>
      </c>
      <c r="CU83" s="532">
        <f t="shared" si="34"/>
        <v>0</v>
      </c>
      <c r="CW83" s="532">
        <f t="shared" si="34"/>
        <v>0</v>
      </c>
      <c r="CX83" s="532">
        <f t="shared" si="34"/>
        <v>0</v>
      </c>
      <c r="CY83" s="532">
        <f t="shared" si="34"/>
        <v>0</v>
      </c>
      <c r="CZ83" s="532">
        <f t="shared" si="34"/>
        <v>0</v>
      </c>
      <c r="DA83" s="532">
        <f t="shared" si="34"/>
        <v>0</v>
      </c>
      <c r="DB83" s="532">
        <f t="shared" si="34"/>
        <v>0</v>
      </c>
      <c r="DC83" s="532">
        <f t="shared" si="34"/>
        <v>0</v>
      </c>
      <c r="DD83" s="532">
        <f t="shared" si="34"/>
        <v>0</v>
      </c>
      <c r="DE83" s="532">
        <f t="shared" si="34"/>
        <v>0</v>
      </c>
      <c r="DF83" s="532">
        <f t="shared" si="34"/>
        <v>0</v>
      </c>
      <c r="DG83" s="532">
        <f t="shared" si="34"/>
        <v>0</v>
      </c>
      <c r="DH83" s="532">
        <f t="shared" si="34"/>
        <v>0</v>
      </c>
      <c r="DI83" s="532">
        <f t="shared" si="34"/>
        <v>0</v>
      </c>
      <c r="DJ83" s="532">
        <f t="shared" si="34"/>
        <v>0</v>
      </c>
      <c r="DK83" s="532">
        <f t="shared" si="34"/>
        <v>0</v>
      </c>
      <c r="DL83" s="532">
        <f t="shared" si="34"/>
        <v>0</v>
      </c>
      <c r="DM83" s="532">
        <f t="shared" si="34"/>
        <v>0</v>
      </c>
      <c r="DN83" s="532">
        <f t="shared" si="34"/>
        <v>0</v>
      </c>
      <c r="DP83" s="532">
        <f t="shared" si="34"/>
        <v>0</v>
      </c>
      <c r="DQ83" s="532">
        <f t="shared" si="34"/>
        <v>0</v>
      </c>
      <c r="DR83" s="532">
        <f t="shared" si="34"/>
        <v>0</v>
      </c>
      <c r="DS83" s="532">
        <f t="shared" si="34"/>
        <v>0</v>
      </c>
      <c r="DU83" s="532">
        <f t="shared" si="34"/>
        <v>0</v>
      </c>
      <c r="DW83" s="532">
        <f t="shared" si="34"/>
        <v>0</v>
      </c>
      <c r="DX83" s="532">
        <f t="shared" si="34"/>
        <v>0</v>
      </c>
      <c r="DY83" s="532">
        <f t="shared" si="34"/>
        <v>0</v>
      </c>
      <c r="EA83" s="532">
        <f t="shared" ref="EA83:FH86" si="35">+EA73-EA78</f>
        <v>0</v>
      </c>
      <c r="EB83" s="532">
        <f t="shared" si="35"/>
        <v>0</v>
      </c>
      <c r="EC83" s="532">
        <f t="shared" si="35"/>
        <v>0</v>
      </c>
      <c r="ED83" s="532">
        <f t="shared" si="35"/>
        <v>0</v>
      </c>
      <c r="EE83" s="532">
        <f t="shared" si="35"/>
        <v>0</v>
      </c>
      <c r="EF83" s="532">
        <f t="shared" si="35"/>
        <v>0</v>
      </c>
      <c r="EG83" s="532">
        <f t="shared" si="35"/>
        <v>1469000</v>
      </c>
      <c r="EH83" s="532">
        <f t="shared" si="35"/>
        <v>0</v>
      </c>
      <c r="EI83" s="532">
        <f t="shared" si="35"/>
        <v>-18787137</v>
      </c>
      <c r="EJ83" s="532">
        <f t="shared" si="35"/>
        <v>0</v>
      </c>
      <c r="EK83" s="532">
        <f t="shared" si="35"/>
        <v>0</v>
      </c>
      <c r="EL83" s="532">
        <f t="shared" si="35"/>
        <v>0</v>
      </c>
      <c r="EM83" s="532">
        <f t="shared" si="35"/>
        <v>0</v>
      </c>
      <c r="EN83" s="532">
        <f t="shared" si="35"/>
        <v>0</v>
      </c>
      <c r="EP83" s="532">
        <f t="shared" si="35"/>
        <v>0</v>
      </c>
      <c r="EQ83" s="532">
        <f t="shared" si="35"/>
        <v>0</v>
      </c>
      <c r="ER83" s="532">
        <f t="shared" si="35"/>
        <v>0</v>
      </c>
      <c r="ES83" s="532">
        <f t="shared" si="35"/>
        <v>0</v>
      </c>
      <c r="EU83" s="532">
        <f t="shared" si="35"/>
        <v>0</v>
      </c>
      <c r="EV83" s="532">
        <f t="shared" si="35"/>
        <v>0</v>
      </c>
      <c r="EW83" s="532">
        <f t="shared" si="35"/>
        <v>0</v>
      </c>
      <c r="EX83" s="532">
        <f t="shared" si="35"/>
        <v>0</v>
      </c>
      <c r="EY83" s="532">
        <f t="shared" si="35"/>
        <v>0</v>
      </c>
      <c r="EZ83" s="532">
        <f t="shared" si="35"/>
        <v>0</v>
      </c>
      <c r="FA83" s="532">
        <f t="shared" si="35"/>
        <v>0</v>
      </c>
      <c r="FB83" s="532">
        <f t="shared" si="35"/>
        <v>0</v>
      </c>
      <c r="FC83" s="532">
        <f t="shared" si="35"/>
        <v>0</v>
      </c>
      <c r="FD83" s="532">
        <f t="shared" si="35"/>
        <v>0</v>
      </c>
      <c r="FE83" s="532">
        <f t="shared" si="35"/>
        <v>0</v>
      </c>
      <c r="FF83" s="532">
        <f t="shared" si="35"/>
        <v>0</v>
      </c>
      <c r="FG83" s="532">
        <f t="shared" si="35"/>
        <v>0</v>
      </c>
      <c r="FH83" s="532">
        <f t="shared" si="35"/>
        <v>0</v>
      </c>
      <c r="FY83" s="532" t="e">
        <f>+FY73-FY78</f>
        <v>#N/A</v>
      </c>
    </row>
    <row r="84" spans="1:183" hidden="1" x14ac:dyDescent="0.2">
      <c r="B84" s="532">
        <f t="shared" si="33"/>
        <v>0</v>
      </c>
      <c r="C84" s="532">
        <f t="shared" si="33"/>
        <v>0</v>
      </c>
      <c r="D84" s="532">
        <f t="shared" si="33"/>
        <v>0</v>
      </c>
      <c r="E84" s="532">
        <f t="shared" si="33"/>
        <v>0</v>
      </c>
      <c r="F84" s="532">
        <f t="shared" si="33"/>
        <v>0</v>
      </c>
      <c r="G84" s="532">
        <f t="shared" si="33"/>
        <v>0</v>
      </c>
      <c r="H84" s="532">
        <f t="shared" si="33"/>
        <v>0</v>
      </c>
      <c r="I84" s="532">
        <f t="shared" si="33"/>
        <v>0</v>
      </c>
      <c r="J84" s="532">
        <f t="shared" si="33"/>
        <v>0</v>
      </c>
      <c r="K84" s="532">
        <f t="shared" si="33"/>
        <v>0</v>
      </c>
      <c r="L84" s="532">
        <f t="shared" si="33"/>
        <v>0</v>
      </c>
      <c r="M84" s="532">
        <f t="shared" si="33"/>
        <v>0</v>
      </c>
      <c r="N84" s="532">
        <f t="shared" si="33"/>
        <v>0</v>
      </c>
      <c r="O84" s="532">
        <f t="shared" si="33"/>
        <v>0</v>
      </c>
      <c r="P84" s="532">
        <f t="shared" si="33"/>
        <v>0</v>
      </c>
      <c r="Q84" s="532">
        <f t="shared" si="33"/>
        <v>0</v>
      </c>
      <c r="R84" s="532">
        <f t="shared" si="33"/>
        <v>0</v>
      </c>
      <c r="S84" s="532">
        <f t="shared" si="33"/>
        <v>0</v>
      </c>
      <c r="T84" s="532">
        <f t="shared" si="33"/>
        <v>0</v>
      </c>
      <c r="U84" s="532">
        <f t="shared" si="33"/>
        <v>0</v>
      </c>
      <c r="V84" s="532">
        <f t="shared" si="33"/>
        <v>0</v>
      </c>
      <c r="W84" s="532">
        <f t="shared" si="33"/>
        <v>0</v>
      </c>
      <c r="X84" s="532">
        <f t="shared" si="33"/>
        <v>0</v>
      </c>
      <c r="Y84" s="532">
        <f t="shared" si="33"/>
        <v>0</v>
      </c>
      <c r="Z84" s="532">
        <f t="shared" si="33"/>
        <v>0</v>
      </c>
      <c r="AA84" s="532">
        <f t="shared" si="33"/>
        <v>0</v>
      </c>
      <c r="AB84" s="532">
        <f t="shared" si="33"/>
        <v>0</v>
      </c>
      <c r="AC84" s="532">
        <f t="shared" si="33"/>
        <v>0</v>
      </c>
      <c r="AD84" s="532">
        <f t="shared" si="33"/>
        <v>0</v>
      </c>
      <c r="AE84" s="532">
        <f t="shared" si="33"/>
        <v>0</v>
      </c>
      <c r="AF84" s="532">
        <f t="shared" si="33"/>
        <v>0</v>
      </c>
      <c r="AG84" s="532">
        <f t="shared" si="33"/>
        <v>0</v>
      </c>
      <c r="AH84" s="532">
        <f t="shared" si="33"/>
        <v>0</v>
      </c>
      <c r="AI84" s="532">
        <f t="shared" si="33"/>
        <v>0</v>
      </c>
      <c r="AJ84" s="532">
        <f t="shared" si="33"/>
        <v>0</v>
      </c>
      <c r="AL84" s="532">
        <f t="shared" si="33"/>
        <v>0</v>
      </c>
      <c r="AM84" s="532">
        <f t="shared" si="33"/>
        <v>0</v>
      </c>
      <c r="AN84" s="532">
        <f t="shared" si="33"/>
        <v>0</v>
      </c>
      <c r="AO84" s="532">
        <f t="shared" si="33"/>
        <v>0</v>
      </c>
      <c r="AP84" s="532">
        <f t="shared" si="33"/>
        <v>0</v>
      </c>
      <c r="AQ84" s="532">
        <f t="shared" si="33"/>
        <v>0</v>
      </c>
      <c r="AR84" s="532">
        <f t="shared" si="33"/>
        <v>0</v>
      </c>
      <c r="AS84" s="532">
        <f t="shared" si="33"/>
        <v>0</v>
      </c>
      <c r="AT84" s="532">
        <f t="shared" si="33"/>
        <v>0</v>
      </c>
      <c r="AU84" s="532">
        <f t="shared" si="33"/>
        <v>0</v>
      </c>
      <c r="AV84" s="532">
        <f t="shared" si="33"/>
        <v>0</v>
      </c>
      <c r="AW84" s="532">
        <f t="shared" si="33"/>
        <v>0</v>
      </c>
      <c r="AX84" s="532">
        <f t="shared" si="33"/>
        <v>0</v>
      </c>
      <c r="AY84" s="532">
        <f t="shared" si="33"/>
        <v>0</v>
      </c>
      <c r="AZ84" s="532">
        <f t="shared" si="33"/>
        <v>0</v>
      </c>
      <c r="BA84" s="532">
        <f t="shared" si="33"/>
        <v>0</v>
      </c>
      <c r="BB84" s="532">
        <f t="shared" si="33"/>
        <v>0</v>
      </c>
      <c r="BC84" s="532">
        <f t="shared" si="33"/>
        <v>0</v>
      </c>
      <c r="BD84" s="532">
        <f t="shared" si="33"/>
        <v>0</v>
      </c>
      <c r="BE84" s="532">
        <f t="shared" si="33"/>
        <v>0</v>
      </c>
      <c r="BF84" s="532">
        <f t="shared" si="33"/>
        <v>0</v>
      </c>
      <c r="BG84" s="532">
        <f t="shared" si="33"/>
        <v>0</v>
      </c>
      <c r="BH84" s="532">
        <f t="shared" si="33"/>
        <v>0</v>
      </c>
      <c r="BI84" s="532">
        <f t="shared" si="33"/>
        <v>0</v>
      </c>
      <c r="BJ84" s="532">
        <f t="shared" si="33"/>
        <v>0</v>
      </c>
      <c r="BK84" s="532">
        <f t="shared" si="33"/>
        <v>0</v>
      </c>
      <c r="BL84" s="532">
        <f t="shared" si="33"/>
        <v>0</v>
      </c>
      <c r="BM84" s="532">
        <f t="shared" si="33"/>
        <v>0</v>
      </c>
      <c r="BN84" s="532">
        <f t="shared" si="34"/>
        <v>0</v>
      </c>
      <c r="BO84" s="532">
        <f t="shared" si="34"/>
        <v>0</v>
      </c>
      <c r="BP84" s="532">
        <f t="shared" si="34"/>
        <v>0</v>
      </c>
      <c r="BQ84" s="532">
        <f t="shared" si="34"/>
        <v>0</v>
      </c>
      <c r="BR84" s="532">
        <f t="shared" si="34"/>
        <v>0</v>
      </c>
      <c r="BS84" s="532">
        <f t="shared" si="34"/>
        <v>0</v>
      </c>
      <c r="BT84" s="532">
        <f t="shared" si="34"/>
        <v>0</v>
      </c>
      <c r="BU84" s="532">
        <f t="shared" si="34"/>
        <v>0</v>
      </c>
      <c r="BV84" s="532">
        <f>+BV74-BV79</f>
        <v>0</v>
      </c>
      <c r="BW84" s="532">
        <f t="shared" si="34"/>
        <v>0</v>
      </c>
      <c r="BX84" s="532">
        <f t="shared" si="34"/>
        <v>0</v>
      </c>
      <c r="BY84" s="614"/>
      <c r="BZ84" s="614"/>
      <c r="CA84" s="532">
        <f t="shared" si="34"/>
        <v>0</v>
      </c>
      <c r="CB84" s="532">
        <f t="shared" si="34"/>
        <v>0</v>
      </c>
      <c r="CC84" s="532">
        <f t="shared" si="34"/>
        <v>0</v>
      </c>
      <c r="CD84" s="532">
        <f t="shared" si="34"/>
        <v>0</v>
      </c>
      <c r="CE84" s="532">
        <f t="shared" si="34"/>
        <v>0</v>
      </c>
      <c r="CF84" s="532">
        <f t="shared" si="34"/>
        <v>0</v>
      </c>
      <c r="CG84" s="532">
        <f t="shared" si="34"/>
        <v>0</v>
      </c>
      <c r="CH84" s="532">
        <f t="shared" si="34"/>
        <v>0</v>
      </c>
      <c r="CI84" s="532">
        <f t="shared" si="34"/>
        <v>0</v>
      </c>
      <c r="CJ84" s="532">
        <f t="shared" si="34"/>
        <v>0</v>
      </c>
      <c r="CK84" s="532">
        <f t="shared" si="34"/>
        <v>7662013</v>
      </c>
      <c r="CL84" s="532">
        <f t="shared" si="34"/>
        <v>0</v>
      </c>
      <c r="CM84" s="532">
        <f t="shared" si="34"/>
        <v>0</v>
      </c>
      <c r="CQ84" s="532">
        <f t="shared" si="34"/>
        <v>0</v>
      </c>
      <c r="CR84" s="532">
        <f t="shared" si="34"/>
        <v>0</v>
      </c>
      <c r="CS84" s="532">
        <f t="shared" si="34"/>
        <v>0</v>
      </c>
      <c r="CT84" s="532">
        <f t="shared" si="34"/>
        <v>0</v>
      </c>
      <c r="CU84" s="532">
        <f t="shared" si="34"/>
        <v>0</v>
      </c>
      <c r="CV84" s="614"/>
      <c r="CW84" s="532">
        <f t="shared" si="34"/>
        <v>0</v>
      </c>
      <c r="CX84" s="532">
        <f t="shared" si="34"/>
        <v>0</v>
      </c>
      <c r="CY84" s="532">
        <f t="shared" si="34"/>
        <v>0</v>
      </c>
      <c r="CZ84" s="532">
        <f t="shared" si="34"/>
        <v>0</v>
      </c>
      <c r="DA84" s="532">
        <f t="shared" si="34"/>
        <v>0</v>
      </c>
      <c r="DB84" s="532">
        <f t="shared" si="34"/>
        <v>0</v>
      </c>
      <c r="DC84" s="532">
        <f t="shared" si="34"/>
        <v>0</v>
      </c>
      <c r="DD84" s="532">
        <f t="shared" si="34"/>
        <v>0</v>
      </c>
      <c r="DE84" s="532">
        <f t="shared" si="34"/>
        <v>0</v>
      </c>
      <c r="DF84" s="532">
        <f t="shared" si="34"/>
        <v>0</v>
      </c>
      <c r="DG84" s="532">
        <f t="shared" si="34"/>
        <v>0</v>
      </c>
      <c r="DH84" s="532">
        <f t="shared" si="34"/>
        <v>0</v>
      </c>
      <c r="DI84" s="532">
        <f t="shared" si="34"/>
        <v>0</v>
      </c>
      <c r="DJ84" s="532">
        <f t="shared" si="34"/>
        <v>0</v>
      </c>
      <c r="DK84" s="532">
        <f t="shared" si="34"/>
        <v>0</v>
      </c>
      <c r="DL84" s="532">
        <f t="shared" si="34"/>
        <v>0</v>
      </c>
      <c r="DM84" s="532">
        <f t="shared" si="34"/>
        <v>0</v>
      </c>
      <c r="DN84" s="532">
        <f t="shared" si="34"/>
        <v>0</v>
      </c>
      <c r="DP84" s="532">
        <f t="shared" si="34"/>
        <v>0</v>
      </c>
      <c r="DQ84" s="532">
        <f t="shared" si="34"/>
        <v>0</v>
      </c>
      <c r="DR84" s="532">
        <f t="shared" si="34"/>
        <v>0</v>
      </c>
      <c r="DS84" s="532">
        <f t="shared" si="34"/>
        <v>0</v>
      </c>
      <c r="DU84" s="532">
        <f t="shared" si="34"/>
        <v>0</v>
      </c>
      <c r="DV84" s="614"/>
      <c r="DW84" s="532">
        <f t="shared" si="34"/>
        <v>0</v>
      </c>
      <c r="DX84" s="532">
        <f t="shared" si="34"/>
        <v>0</v>
      </c>
      <c r="DY84" s="532">
        <f t="shared" si="34"/>
        <v>0</v>
      </c>
      <c r="EA84" s="532">
        <f t="shared" si="35"/>
        <v>0</v>
      </c>
      <c r="EB84" s="532">
        <f t="shared" si="35"/>
        <v>0</v>
      </c>
      <c r="EC84" s="532">
        <f t="shared" si="35"/>
        <v>0</v>
      </c>
      <c r="ED84" s="532">
        <f t="shared" si="35"/>
        <v>0</v>
      </c>
      <c r="EE84" s="532">
        <f t="shared" si="35"/>
        <v>0</v>
      </c>
      <c r="EF84" s="532">
        <f t="shared" si="35"/>
        <v>0</v>
      </c>
      <c r="EG84" s="532">
        <f t="shared" si="35"/>
        <v>262000</v>
      </c>
      <c r="EH84" s="532">
        <f t="shared" si="35"/>
        <v>0</v>
      </c>
      <c r="EI84" s="532">
        <f t="shared" si="35"/>
        <v>-14816075</v>
      </c>
      <c r="EJ84" s="532">
        <f t="shared" si="35"/>
        <v>0</v>
      </c>
      <c r="EK84" s="532">
        <f t="shared" si="35"/>
        <v>0</v>
      </c>
      <c r="EL84" s="532">
        <f t="shared" si="35"/>
        <v>0</v>
      </c>
      <c r="EM84" s="532">
        <f t="shared" si="35"/>
        <v>0</v>
      </c>
      <c r="EN84" s="532">
        <f t="shared" si="35"/>
        <v>0</v>
      </c>
      <c r="EO84" s="614"/>
      <c r="EP84" s="532">
        <f t="shared" si="35"/>
        <v>0</v>
      </c>
      <c r="EQ84" s="532">
        <f t="shared" si="35"/>
        <v>0</v>
      </c>
      <c r="ER84" s="532">
        <f t="shared" si="35"/>
        <v>0</v>
      </c>
      <c r="ES84" s="532">
        <f t="shared" si="35"/>
        <v>0</v>
      </c>
      <c r="ET84" s="614"/>
      <c r="EU84" s="532">
        <f t="shared" si="35"/>
        <v>0</v>
      </c>
      <c r="EV84" s="532">
        <f t="shared" si="35"/>
        <v>0</v>
      </c>
      <c r="EW84" s="532">
        <f t="shared" si="35"/>
        <v>0</v>
      </c>
      <c r="EX84" s="532">
        <f t="shared" si="35"/>
        <v>0</v>
      </c>
      <c r="EY84" s="532">
        <f t="shared" si="35"/>
        <v>0</v>
      </c>
      <c r="EZ84" s="532">
        <f t="shared" si="35"/>
        <v>0</v>
      </c>
      <c r="FA84" s="532">
        <f t="shared" si="35"/>
        <v>0</v>
      </c>
      <c r="FB84" s="532">
        <f t="shared" si="35"/>
        <v>0</v>
      </c>
      <c r="FC84" s="532">
        <f t="shared" si="35"/>
        <v>0</v>
      </c>
      <c r="FD84" s="532">
        <f t="shared" si="35"/>
        <v>0</v>
      </c>
      <c r="FE84" s="532">
        <f t="shared" si="35"/>
        <v>0</v>
      </c>
      <c r="FF84" s="532">
        <f t="shared" si="35"/>
        <v>0</v>
      </c>
      <c r="FG84" s="532">
        <f t="shared" si="35"/>
        <v>0</v>
      </c>
      <c r="FH84" s="532">
        <f t="shared" si="35"/>
        <v>0</v>
      </c>
      <c r="FI84" s="614"/>
      <c r="FJ84" s="614"/>
      <c r="FK84" s="614"/>
      <c r="FL84" s="614"/>
      <c r="FM84" s="614"/>
      <c r="FN84" s="614"/>
      <c r="FY84" s="532" t="e">
        <f>+FY74-FY79</f>
        <v>#N/A</v>
      </c>
    </row>
    <row r="85" spans="1:183" hidden="1" x14ac:dyDescent="0.2">
      <c r="B85" s="532">
        <f t="shared" si="33"/>
        <v>0</v>
      </c>
      <c r="C85" s="532">
        <f t="shared" si="33"/>
        <v>0</v>
      </c>
      <c r="D85" s="532">
        <f t="shared" si="33"/>
        <v>0</v>
      </c>
      <c r="E85" s="532">
        <f t="shared" si="33"/>
        <v>0</v>
      </c>
      <c r="F85" s="532">
        <f t="shared" si="33"/>
        <v>0</v>
      </c>
      <c r="G85" s="532">
        <f t="shared" si="33"/>
        <v>0</v>
      </c>
      <c r="H85" s="532">
        <f t="shared" si="33"/>
        <v>0</v>
      </c>
      <c r="I85" s="532">
        <f t="shared" si="33"/>
        <v>0</v>
      </c>
      <c r="J85" s="532">
        <f t="shared" si="33"/>
        <v>0</v>
      </c>
      <c r="K85" s="532">
        <f t="shared" si="33"/>
        <v>0</v>
      </c>
      <c r="L85" s="532">
        <f t="shared" si="33"/>
        <v>0</v>
      </c>
      <c r="M85" s="532">
        <f t="shared" si="33"/>
        <v>0</v>
      </c>
      <c r="N85" s="532">
        <f t="shared" si="33"/>
        <v>0</v>
      </c>
      <c r="O85" s="532">
        <f t="shared" si="33"/>
        <v>0</v>
      </c>
      <c r="P85" s="532">
        <f t="shared" si="33"/>
        <v>0</v>
      </c>
      <c r="Q85" s="532">
        <f t="shared" si="33"/>
        <v>0</v>
      </c>
      <c r="R85" s="532">
        <f t="shared" si="33"/>
        <v>0</v>
      </c>
      <c r="S85" s="532">
        <f t="shared" si="33"/>
        <v>0</v>
      </c>
      <c r="T85" s="532">
        <f t="shared" si="33"/>
        <v>0</v>
      </c>
      <c r="U85" s="532">
        <f t="shared" si="33"/>
        <v>0</v>
      </c>
      <c r="V85" s="532">
        <f t="shared" si="33"/>
        <v>0</v>
      </c>
      <c r="W85" s="532">
        <f t="shared" si="33"/>
        <v>0</v>
      </c>
      <c r="X85" s="532">
        <f t="shared" si="33"/>
        <v>0</v>
      </c>
      <c r="Y85" s="532">
        <f t="shared" si="33"/>
        <v>0</v>
      </c>
      <c r="Z85" s="532">
        <f t="shared" si="33"/>
        <v>0</v>
      </c>
      <c r="AA85" s="532">
        <f t="shared" si="33"/>
        <v>0</v>
      </c>
      <c r="AB85" s="532">
        <f t="shared" si="33"/>
        <v>0</v>
      </c>
      <c r="AC85" s="532">
        <f t="shared" si="33"/>
        <v>0</v>
      </c>
      <c r="AD85" s="532">
        <f t="shared" si="33"/>
        <v>0</v>
      </c>
      <c r="AE85" s="532">
        <f t="shared" si="33"/>
        <v>0</v>
      </c>
      <c r="AF85" s="532">
        <f t="shared" si="33"/>
        <v>0</v>
      </c>
      <c r="AG85" s="532">
        <f t="shared" si="33"/>
        <v>0</v>
      </c>
      <c r="AH85" s="532">
        <f t="shared" si="33"/>
        <v>0</v>
      </c>
      <c r="AI85" s="532">
        <f t="shared" si="33"/>
        <v>0</v>
      </c>
      <c r="AJ85" s="532">
        <f t="shared" si="33"/>
        <v>0</v>
      </c>
      <c r="AL85" s="532">
        <f t="shared" si="33"/>
        <v>0</v>
      </c>
      <c r="AM85" s="532">
        <f t="shared" si="33"/>
        <v>0</v>
      </c>
      <c r="AN85" s="532">
        <f t="shared" si="33"/>
        <v>0</v>
      </c>
      <c r="AO85" s="532">
        <f t="shared" si="33"/>
        <v>0</v>
      </c>
      <c r="AP85" s="532">
        <f t="shared" si="33"/>
        <v>0</v>
      </c>
      <c r="AQ85" s="532">
        <f t="shared" si="33"/>
        <v>0</v>
      </c>
      <c r="AR85" s="532">
        <f t="shared" si="33"/>
        <v>0</v>
      </c>
      <c r="AS85" s="532">
        <f t="shared" si="33"/>
        <v>0</v>
      </c>
      <c r="AT85" s="532">
        <f t="shared" si="33"/>
        <v>0</v>
      </c>
      <c r="AU85" s="532">
        <f t="shared" si="33"/>
        <v>0</v>
      </c>
      <c r="AV85" s="532">
        <f t="shared" si="33"/>
        <v>0</v>
      </c>
      <c r="AW85" s="532">
        <f t="shared" si="33"/>
        <v>0</v>
      </c>
      <c r="AX85" s="532">
        <f t="shared" si="33"/>
        <v>0</v>
      </c>
      <c r="AY85" s="532">
        <f t="shared" si="33"/>
        <v>0</v>
      </c>
      <c r="AZ85" s="532">
        <f t="shared" si="33"/>
        <v>0</v>
      </c>
      <c r="BA85" s="532">
        <f t="shared" si="33"/>
        <v>0</v>
      </c>
      <c r="BB85" s="532">
        <f t="shared" si="33"/>
        <v>0</v>
      </c>
      <c r="BC85" s="532">
        <f t="shared" si="33"/>
        <v>0</v>
      </c>
      <c r="BD85" s="532">
        <f t="shared" si="33"/>
        <v>0</v>
      </c>
      <c r="BE85" s="532">
        <f t="shared" si="33"/>
        <v>0</v>
      </c>
      <c r="BF85" s="532">
        <f t="shared" si="33"/>
        <v>0</v>
      </c>
      <c r="BG85" s="532">
        <f t="shared" si="33"/>
        <v>0</v>
      </c>
      <c r="BH85" s="532">
        <f t="shared" si="33"/>
        <v>0</v>
      </c>
      <c r="BI85" s="532">
        <f t="shared" si="33"/>
        <v>0</v>
      </c>
      <c r="BJ85" s="532">
        <f t="shared" si="33"/>
        <v>0</v>
      </c>
      <c r="BK85" s="532">
        <f t="shared" si="33"/>
        <v>0</v>
      </c>
      <c r="BL85" s="532">
        <f t="shared" si="33"/>
        <v>0</v>
      </c>
      <c r="BM85" s="532">
        <f t="shared" si="33"/>
        <v>0</v>
      </c>
      <c r="BN85" s="532">
        <f t="shared" si="34"/>
        <v>0</v>
      </c>
      <c r="BO85" s="532">
        <f t="shared" si="34"/>
        <v>0</v>
      </c>
      <c r="BP85" s="532">
        <f t="shared" si="34"/>
        <v>0</v>
      </c>
      <c r="BQ85" s="532">
        <f t="shared" si="34"/>
        <v>0</v>
      </c>
      <c r="BR85" s="532">
        <f t="shared" si="34"/>
        <v>0</v>
      </c>
      <c r="BS85" s="532">
        <f t="shared" si="34"/>
        <v>0</v>
      </c>
      <c r="BT85" s="532">
        <f t="shared" si="34"/>
        <v>0</v>
      </c>
      <c r="BU85" s="532">
        <f t="shared" si="34"/>
        <v>0</v>
      </c>
      <c r="BV85" s="532">
        <f>+BV75-BV80</f>
        <v>0</v>
      </c>
      <c r="BW85" s="532">
        <f t="shared" si="34"/>
        <v>0</v>
      </c>
      <c r="BX85" s="532">
        <f t="shared" si="34"/>
        <v>0</v>
      </c>
      <c r="BY85" s="614"/>
      <c r="BZ85" s="614"/>
      <c r="CA85" s="532">
        <f t="shared" si="34"/>
        <v>0</v>
      </c>
      <c r="CB85" s="532">
        <f t="shared" si="34"/>
        <v>0</v>
      </c>
      <c r="CC85" s="532">
        <f t="shared" si="34"/>
        <v>0</v>
      </c>
      <c r="CD85" s="532">
        <f t="shared" si="34"/>
        <v>0</v>
      </c>
      <c r="CE85" s="532">
        <f t="shared" si="34"/>
        <v>0</v>
      </c>
      <c r="CF85" s="532">
        <f t="shared" si="34"/>
        <v>0</v>
      </c>
      <c r="CG85" s="532">
        <f t="shared" si="34"/>
        <v>0</v>
      </c>
      <c r="CH85" s="532">
        <f t="shared" si="34"/>
        <v>0</v>
      </c>
      <c r="CI85" s="532">
        <f t="shared" si="34"/>
        <v>0</v>
      </c>
      <c r="CJ85" s="532">
        <f t="shared" si="34"/>
        <v>0</v>
      </c>
      <c r="CK85" s="532">
        <f t="shared" si="34"/>
        <v>0</v>
      </c>
      <c r="CL85" s="532">
        <f t="shared" si="34"/>
        <v>0</v>
      </c>
      <c r="CM85" s="532">
        <f t="shared" si="34"/>
        <v>0</v>
      </c>
      <c r="CQ85" s="532">
        <f t="shared" si="34"/>
        <v>0</v>
      </c>
      <c r="CR85" s="532">
        <f t="shared" si="34"/>
        <v>0</v>
      </c>
      <c r="CS85" s="532">
        <f t="shared" si="34"/>
        <v>0</v>
      </c>
      <c r="CT85" s="532">
        <f t="shared" si="34"/>
        <v>0</v>
      </c>
      <c r="CU85" s="532">
        <f t="shared" si="34"/>
        <v>0</v>
      </c>
      <c r="CV85" s="614"/>
      <c r="CW85" s="532">
        <f t="shared" si="34"/>
        <v>0</v>
      </c>
      <c r="CX85" s="532">
        <f t="shared" si="34"/>
        <v>0</v>
      </c>
      <c r="CY85" s="532">
        <f t="shared" si="34"/>
        <v>0</v>
      </c>
      <c r="CZ85" s="532">
        <f t="shared" si="34"/>
        <v>0</v>
      </c>
      <c r="DA85" s="532">
        <f t="shared" si="34"/>
        <v>0</v>
      </c>
      <c r="DB85" s="532">
        <f t="shared" si="34"/>
        <v>0</v>
      </c>
      <c r="DC85" s="532">
        <f t="shared" si="34"/>
        <v>0</v>
      </c>
      <c r="DD85" s="532">
        <f t="shared" si="34"/>
        <v>0</v>
      </c>
      <c r="DE85" s="532">
        <f t="shared" si="34"/>
        <v>0</v>
      </c>
      <c r="DF85" s="532">
        <f t="shared" si="34"/>
        <v>0</v>
      </c>
      <c r="DG85" s="532">
        <f t="shared" si="34"/>
        <v>0</v>
      </c>
      <c r="DH85" s="532">
        <f t="shared" si="34"/>
        <v>0</v>
      </c>
      <c r="DI85" s="532">
        <f t="shared" si="34"/>
        <v>0</v>
      </c>
      <c r="DJ85" s="532">
        <f t="shared" si="34"/>
        <v>0</v>
      </c>
      <c r="DK85" s="532">
        <f t="shared" si="34"/>
        <v>0</v>
      </c>
      <c r="DL85" s="532">
        <f t="shared" si="34"/>
        <v>0</v>
      </c>
      <c r="DM85" s="532">
        <f t="shared" si="34"/>
        <v>0</v>
      </c>
      <c r="DN85" s="532">
        <f t="shared" si="34"/>
        <v>0</v>
      </c>
      <c r="DP85" s="532">
        <f t="shared" si="34"/>
        <v>0</v>
      </c>
      <c r="DQ85" s="532">
        <f t="shared" si="34"/>
        <v>0</v>
      </c>
      <c r="DR85" s="532">
        <f t="shared" si="34"/>
        <v>0</v>
      </c>
      <c r="DS85" s="532">
        <f t="shared" si="34"/>
        <v>0</v>
      </c>
      <c r="DU85" s="532">
        <f t="shared" si="34"/>
        <v>0</v>
      </c>
      <c r="DV85" s="614"/>
      <c r="DW85" s="532">
        <f t="shared" si="34"/>
        <v>0</v>
      </c>
      <c r="DX85" s="532">
        <f t="shared" si="34"/>
        <v>0</v>
      </c>
      <c r="DY85" s="532">
        <f t="shared" si="34"/>
        <v>0</v>
      </c>
      <c r="EA85" s="532">
        <f t="shared" si="35"/>
        <v>0</v>
      </c>
      <c r="EB85" s="532">
        <f t="shared" si="35"/>
        <v>0</v>
      </c>
      <c r="EC85" s="532">
        <f t="shared" si="35"/>
        <v>0</v>
      </c>
      <c r="ED85" s="532">
        <f t="shared" si="35"/>
        <v>0</v>
      </c>
      <c r="EE85" s="532">
        <f t="shared" si="35"/>
        <v>0</v>
      </c>
      <c r="EF85" s="532">
        <f t="shared" si="35"/>
        <v>0</v>
      </c>
      <c r="EG85" s="532">
        <f t="shared" si="35"/>
        <v>922000</v>
      </c>
      <c r="EH85" s="532">
        <f t="shared" si="35"/>
        <v>0</v>
      </c>
      <c r="EI85" s="532">
        <f t="shared" si="35"/>
        <v>0</v>
      </c>
      <c r="EJ85" s="532">
        <f t="shared" si="35"/>
        <v>0</v>
      </c>
      <c r="EK85" s="532">
        <f t="shared" si="35"/>
        <v>0</v>
      </c>
      <c r="EL85" s="532">
        <f t="shared" si="35"/>
        <v>0</v>
      </c>
      <c r="EM85" s="532">
        <f t="shared" si="35"/>
        <v>0</v>
      </c>
      <c r="EN85" s="532">
        <f t="shared" si="35"/>
        <v>0</v>
      </c>
      <c r="EO85" s="614"/>
      <c r="EP85" s="532">
        <f t="shared" si="35"/>
        <v>0</v>
      </c>
      <c r="EQ85" s="532">
        <f t="shared" si="35"/>
        <v>0</v>
      </c>
      <c r="ER85" s="532">
        <f t="shared" si="35"/>
        <v>0</v>
      </c>
      <c r="ES85" s="532">
        <f t="shared" si="35"/>
        <v>0</v>
      </c>
      <c r="ET85" s="614"/>
      <c r="EU85" s="532">
        <f t="shared" si="35"/>
        <v>0</v>
      </c>
      <c r="EV85" s="532">
        <f t="shared" si="35"/>
        <v>0</v>
      </c>
      <c r="EW85" s="532">
        <f t="shared" si="35"/>
        <v>0</v>
      </c>
      <c r="EX85" s="532">
        <f t="shared" si="35"/>
        <v>0</v>
      </c>
      <c r="EY85" s="532">
        <f t="shared" si="35"/>
        <v>0</v>
      </c>
      <c r="EZ85" s="532">
        <f t="shared" si="35"/>
        <v>0</v>
      </c>
      <c r="FA85" s="532">
        <f t="shared" si="35"/>
        <v>0</v>
      </c>
      <c r="FB85" s="532">
        <f t="shared" si="35"/>
        <v>0</v>
      </c>
      <c r="FC85" s="532">
        <f t="shared" si="35"/>
        <v>0</v>
      </c>
      <c r="FD85" s="532">
        <f t="shared" si="35"/>
        <v>0</v>
      </c>
      <c r="FE85" s="532">
        <f t="shared" si="35"/>
        <v>0</v>
      </c>
      <c r="FF85" s="532">
        <f t="shared" si="35"/>
        <v>0</v>
      </c>
      <c r="FG85" s="532">
        <f t="shared" si="35"/>
        <v>0</v>
      </c>
      <c r="FH85" s="532">
        <f t="shared" si="35"/>
        <v>0</v>
      </c>
      <c r="FI85" s="614"/>
      <c r="FJ85" s="614"/>
      <c r="FK85" s="614"/>
      <c r="FL85" s="614"/>
      <c r="FM85" s="614"/>
      <c r="FN85" s="614"/>
      <c r="FY85" s="532" t="e">
        <f>+FY75-FY80</f>
        <v>#N/A</v>
      </c>
    </row>
    <row r="86" spans="1:183" hidden="1" x14ac:dyDescent="0.2">
      <c r="B86" s="532">
        <f t="shared" si="33"/>
        <v>0</v>
      </c>
      <c r="C86" s="532">
        <f t="shared" si="33"/>
        <v>0</v>
      </c>
      <c r="D86" s="532">
        <f t="shared" si="33"/>
        <v>0</v>
      </c>
      <c r="E86" s="532">
        <f t="shared" si="33"/>
        <v>0</v>
      </c>
      <c r="F86" s="532">
        <f t="shared" si="33"/>
        <v>0</v>
      </c>
      <c r="G86" s="532">
        <f t="shared" si="33"/>
        <v>0</v>
      </c>
      <c r="H86" s="532">
        <f t="shared" si="33"/>
        <v>0</v>
      </c>
      <c r="I86" s="532">
        <f t="shared" si="33"/>
        <v>0</v>
      </c>
      <c r="J86" s="532">
        <f t="shared" si="33"/>
        <v>0</v>
      </c>
      <c r="K86" s="532">
        <f t="shared" si="33"/>
        <v>0</v>
      </c>
      <c r="L86" s="532">
        <f t="shared" si="33"/>
        <v>0</v>
      </c>
      <c r="M86" s="532">
        <f t="shared" si="33"/>
        <v>0</v>
      </c>
      <c r="N86" s="532">
        <f t="shared" si="33"/>
        <v>0</v>
      </c>
      <c r="O86" s="532">
        <f t="shared" si="33"/>
        <v>0</v>
      </c>
      <c r="P86" s="532">
        <f t="shared" si="33"/>
        <v>-755516</v>
      </c>
      <c r="Q86" s="532">
        <f t="shared" si="33"/>
        <v>0</v>
      </c>
      <c r="R86" s="532">
        <f t="shared" si="33"/>
        <v>0</v>
      </c>
      <c r="S86" s="532">
        <f t="shared" si="33"/>
        <v>0</v>
      </c>
      <c r="T86" s="532">
        <f t="shared" si="33"/>
        <v>0</v>
      </c>
      <c r="U86" s="532">
        <f t="shared" si="33"/>
        <v>0</v>
      </c>
      <c r="V86" s="532">
        <f t="shared" si="33"/>
        <v>-4914363</v>
      </c>
      <c r="W86" s="532">
        <f t="shared" si="33"/>
        <v>0</v>
      </c>
      <c r="X86" s="532">
        <f t="shared" si="33"/>
        <v>0</v>
      </c>
      <c r="Y86" s="532">
        <f t="shared" si="33"/>
        <v>0</v>
      </c>
      <c r="Z86" s="532">
        <f t="shared" si="33"/>
        <v>0</v>
      </c>
      <c r="AA86" s="532">
        <f t="shared" si="33"/>
        <v>0</v>
      </c>
      <c r="AB86" s="532">
        <f t="shared" si="33"/>
        <v>0</v>
      </c>
      <c r="AC86" s="532">
        <f t="shared" si="33"/>
        <v>0</v>
      </c>
      <c r="AD86" s="532">
        <f t="shared" si="33"/>
        <v>0</v>
      </c>
      <c r="AE86" s="532">
        <f t="shared" si="33"/>
        <v>0</v>
      </c>
      <c r="AF86" s="532">
        <f t="shared" si="33"/>
        <v>0</v>
      </c>
      <c r="AG86" s="532">
        <f t="shared" si="33"/>
        <v>0</v>
      </c>
      <c r="AH86" s="532">
        <f t="shared" si="33"/>
        <v>0</v>
      </c>
      <c r="AI86" s="532">
        <f t="shared" si="33"/>
        <v>0</v>
      </c>
      <c r="AJ86" s="532">
        <f t="shared" si="33"/>
        <v>0</v>
      </c>
      <c r="AL86" s="532">
        <f t="shared" si="33"/>
        <v>0</v>
      </c>
      <c r="AM86" s="532">
        <f t="shared" si="33"/>
        <v>0</v>
      </c>
      <c r="AN86" s="532">
        <f t="shared" si="33"/>
        <v>0</v>
      </c>
      <c r="AO86" s="532">
        <f t="shared" si="33"/>
        <v>-370152</v>
      </c>
      <c r="AP86" s="532">
        <f t="shared" si="33"/>
        <v>-1600391</v>
      </c>
      <c r="AQ86" s="532">
        <f t="shared" si="33"/>
        <v>-856143</v>
      </c>
      <c r="AR86" s="532">
        <f t="shared" si="33"/>
        <v>0</v>
      </c>
      <c r="AS86" s="532">
        <f t="shared" si="33"/>
        <v>0</v>
      </c>
      <c r="AT86" s="532">
        <f t="shared" si="33"/>
        <v>0</v>
      </c>
      <c r="AU86" s="532">
        <f t="shared" si="33"/>
        <v>0</v>
      </c>
      <c r="AV86" s="532">
        <f t="shared" si="33"/>
        <v>-15059473</v>
      </c>
      <c r="AW86" s="532">
        <f t="shared" si="33"/>
        <v>0</v>
      </c>
      <c r="AX86" s="532">
        <f t="shared" si="33"/>
        <v>0</v>
      </c>
      <c r="AY86" s="532">
        <f t="shared" si="33"/>
        <v>0</v>
      </c>
      <c r="AZ86" s="532">
        <f t="shared" si="33"/>
        <v>0</v>
      </c>
      <c r="BA86" s="532">
        <f t="shared" si="33"/>
        <v>0</v>
      </c>
      <c r="BB86" s="532">
        <f t="shared" si="33"/>
        <v>0</v>
      </c>
      <c r="BC86" s="532">
        <f t="shared" si="33"/>
        <v>0</v>
      </c>
      <c r="BD86" s="532">
        <f t="shared" si="33"/>
        <v>0</v>
      </c>
      <c r="BE86" s="532">
        <f t="shared" si="33"/>
        <v>0</v>
      </c>
      <c r="BF86" s="532">
        <f t="shared" si="33"/>
        <v>0</v>
      </c>
      <c r="BG86" s="532">
        <f t="shared" si="33"/>
        <v>0</v>
      </c>
      <c r="BH86" s="532">
        <f t="shared" si="33"/>
        <v>0</v>
      </c>
      <c r="BI86" s="532">
        <f t="shared" si="33"/>
        <v>0</v>
      </c>
      <c r="BJ86" s="532">
        <f t="shared" si="33"/>
        <v>0</v>
      </c>
      <c r="BK86" s="532">
        <f t="shared" si="33"/>
        <v>0</v>
      </c>
      <c r="BL86" s="532">
        <f t="shared" si="33"/>
        <v>-1319695</v>
      </c>
      <c r="BM86" s="532">
        <f t="shared" si="33"/>
        <v>-4132500</v>
      </c>
      <c r="BN86" s="532">
        <f t="shared" si="34"/>
        <v>0</v>
      </c>
      <c r="BO86" s="532">
        <f t="shared" si="34"/>
        <v>0</v>
      </c>
      <c r="BP86" s="532">
        <f t="shared" si="34"/>
        <v>0</v>
      </c>
      <c r="BQ86" s="532">
        <f t="shared" si="34"/>
        <v>0</v>
      </c>
      <c r="BR86" s="532">
        <f t="shared" si="34"/>
        <v>-1920245</v>
      </c>
      <c r="BS86" s="532">
        <f t="shared" si="34"/>
        <v>0</v>
      </c>
      <c r="BT86" s="532">
        <f t="shared" si="34"/>
        <v>0</v>
      </c>
      <c r="BU86" s="532">
        <f t="shared" si="34"/>
        <v>0</v>
      </c>
      <c r="BV86" s="532">
        <f>+BV76-BV81</f>
        <v>0</v>
      </c>
      <c r="BW86" s="532">
        <f t="shared" si="34"/>
        <v>0</v>
      </c>
      <c r="BX86" s="532">
        <f t="shared" si="34"/>
        <v>-2715470</v>
      </c>
      <c r="BY86" s="614"/>
      <c r="BZ86" s="614"/>
      <c r="CA86" s="532">
        <f t="shared" si="34"/>
        <v>0</v>
      </c>
      <c r="CB86" s="532">
        <f t="shared" si="34"/>
        <v>0</v>
      </c>
      <c r="CC86" s="532">
        <f t="shared" si="34"/>
        <v>0</v>
      </c>
      <c r="CD86" s="532">
        <f t="shared" si="34"/>
        <v>0</v>
      </c>
      <c r="CE86" s="532">
        <f t="shared" si="34"/>
        <v>0</v>
      </c>
      <c r="CF86" s="532">
        <f t="shared" si="34"/>
        <v>0</v>
      </c>
      <c r="CG86" s="532">
        <f t="shared" si="34"/>
        <v>0</v>
      </c>
      <c r="CH86" s="532">
        <f t="shared" si="34"/>
        <v>0</v>
      </c>
      <c r="CI86" s="532">
        <f t="shared" si="34"/>
        <v>0</v>
      </c>
      <c r="CJ86" s="532">
        <f t="shared" si="34"/>
        <v>0</v>
      </c>
      <c r="CK86" s="532">
        <f t="shared" si="34"/>
        <v>-306587</v>
      </c>
      <c r="CL86" s="532">
        <f t="shared" si="34"/>
        <v>0</v>
      </c>
      <c r="CM86" s="532">
        <f t="shared" si="34"/>
        <v>0</v>
      </c>
      <c r="CQ86" s="532">
        <f t="shared" si="34"/>
        <v>0</v>
      </c>
      <c r="CR86" s="532">
        <f t="shared" si="34"/>
        <v>0</v>
      </c>
      <c r="CS86" s="532">
        <f t="shared" si="34"/>
        <v>0</v>
      </c>
      <c r="CT86" s="532">
        <f t="shared" si="34"/>
        <v>0</v>
      </c>
      <c r="CU86" s="532">
        <f t="shared" si="34"/>
        <v>0</v>
      </c>
      <c r="CV86" s="614"/>
      <c r="CW86" s="532">
        <f t="shared" si="34"/>
        <v>0</v>
      </c>
      <c r="CX86" s="532">
        <f t="shared" si="34"/>
        <v>0</v>
      </c>
      <c r="CY86" s="532">
        <f t="shared" si="34"/>
        <v>0</v>
      </c>
      <c r="CZ86" s="532">
        <f t="shared" si="34"/>
        <v>0</v>
      </c>
      <c r="DA86" s="532">
        <f t="shared" si="34"/>
        <v>0</v>
      </c>
      <c r="DB86" s="532">
        <f t="shared" si="34"/>
        <v>0</v>
      </c>
      <c r="DC86" s="532">
        <f t="shared" si="34"/>
        <v>0</v>
      </c>
      <c r="DD86" s="532">
        <f t="shared" si="34"/>
        <v>0</v>
      </c>
      <c r="DE86" s="532">
        <f t="shared" si="34"/>
        <v>0</v>
      </c>
      <c r="DF86" s="532">
        <f t="shared" si="34"/>
        <v>0</v>
      </c>
      <c r="DG86" s="532">
        <f t="shared" si="34"/>
        <v>0</v>
      </c>
      <c r="DH86" s="532">
        <f t="shared" si="34"/>
        <v>0</v>
      </c>
      <c r="DI86" s="532">
        <f t="shared" si="34"/>
        <v>0</v>
      </c>
      <c r="DJ86" s="532">
        <f t="shared" si="34"/>
        <v>0</v>
      </c>
      <c r="DK86" s="532">
        <f t="shared" si="34"/>
        <v>0</v>
      </c>
      <c r="DL86" s="532">
        <f t="shared" si="34"/>
        <v>0</v>
      </c>
      <c r="DM86" s="532">
        <f t="shared" si="34"/>
        <v>0</v>
      </c>
      <c r="DN86" s="532">
        <f t="shared" si="34"/>
        <v>0</v>
      </c>
      <c r="DP86" s="532">
        <f t="shared" si="34"/>
        <v>0</v>
      </c>
      <c r="DQ86" s="532">
        <f t="shared" si="34"/>
        <v>0</v>
      </c>
      <c r="DR86" s="532">
        <f t="shared" si="34"/>
        <v>0</v>
      </c>
      <c r="DS86" s="532">
        <f t="shared" si="34"/>
        <v>0</v>
      </c>
      <c r="DU86" s="532">
        <f t="shared" si="34"/>
        <v>0</v>
      </c>
      <c r="DV86" s="614"/>
      <c r="DW86" s="532">
        <f t="shared" si="34"/>
        <v>0</v>
      </c>
      <c r="DX86" s="532">
        <f t="shared" si="34"/>
        <v>0</v>
      </c>
      <c r="DY86" s="532">
        <f t="shared" si="34"/>
        <v>0</v>
      </c>
      <c r="EA86" s="532">
        <f t="shared" si="35"/>
        <v>-70913000</v>
      </c>
      <c r="EB86" s="532">
        <f t="shared" si="35"/>
        <v>0</v>
      </c>
      <c r="EC86" s="532">
        <f t="shared" si="35"/>
        <v>0</v>
      </c>
      <c r="ED86" s="532">
        <f t="shared" si="35"/>
        <v>0</v>
      </c>
      <c r="EE86" s="532">
        <f t="shared" si="35"/>
        <v>0</v>
      </c>
      <c r="EF86" s="532">
        <f t="shared" si="35"/>
        <v>0</v>
      </c>
      <c r="EG86" s="532">
        <f t="shared" si="35"/>
        <v>0</v>
      </c>
      <c r="EH86" s="532">
        <f t="shared" si="35"/>
        <v>0</v>
      </c>
      <c r="EI86" s="532">
        <f t="shared" si="35"/>
        <v>0</v>
      </c>
      <c r="EJ86" s="532">
        <f t="shared" si="35"/>
        <v>0</v>
      </c>
      <c r="EK86" s="532">
        <f t="shared" si="35"/>
        <v>0</v>
      </c>
      <c r="EL86" s="532">
        <f t="shared" si="35"/>
        <v>0</v>
      </c>
      <c r="EM86" s="532">
        <f t="shared" si="35"/>
        <v>0</v>
      </c>
      <c r="EN86" s="532">
        <f t="shared" si="35"/>
        <v>0</v>
      </c>
      <c r="EO86" s="614"/>
      <c r="EP86" s="532">
        <f t="shared" si="35"/>
        <v>0</v>
      </c>
      <c r="EQ86" s="532">
        <f t="shared" si="35"/>
        <v>0</v>
      </c>
      <c r="ER86" s="532">
        <f t="shared" si="35"/>
        <v>0</v>
      </c>
      <c r="ES86" s="532">
        <f t="shared" si="35"/>
        <v>0</v>
      </c>
      <c r="ET86" s="614"/>
      <c r="EU86" s="532">
        <f t="shared" si="35"/>
        <v>0</v>
      </c>
      <c r="EV86" s="532">
        <f t="shared" si="35"/>
        <v>0</v>
      </c>
      <c r="EW86" s="532">
        <f t="shared" si="35"/>
        <v>0</v>
      </c>
      <c r="EX86" s="532">
        <f t="shared" si="35"/>
        <v>0</v>
      </c>
      <c r="EY86" s="532">
        <f t="shared" si="35"/>
        <v>0</v>
      </c>
      <c r="EZ86" s="532">
        <f t="shared" si="35"/>
        <v>0</v>
      </c>
      <c r="FA86" s="532">
        <f t="shared" si="35"/>
        <v>0</v>
      </c>
      <c r="FB86" s="532">
        <f t="shared" si="35"/>
        <v>0</v>
      </c>
      <c r="FC86" s="532">
        <f t="shared" si="35"/>
        <v>0</v>
      </c>
      <c r="FD86" s="532">
        <f t="shared" si="35"/>
        <v>0</v>
      </c>
      <c r="FE86" s="532">
        <f t="shared" si="35"/>
        <v>0</v>
      </c>
      <c r="FF86" s="532">
        <f t="shared" si="35"/>
        <v>0</v>
      </c>
      <c r="FG86" s="532">
        <f t="shared" si="35"/>
        <v>0</v>
      </c>
      <c r="FH86" s="532">
        <f t="shared" si="35"/>
        <v>0</v>
      </c>
      <c r="FI86" s="614"/>
      <c r="FJ86" s="614"/>
      <c r="FK86" s="614"/>
      <c r="FL86" s="614"/>
      <c r="FM86" s="614"/>
      <c r="FN86" s="614"/>
      <c r="FY86" s="532" t="e">
        <f>+FY76-FY81</f>
        <v>#N/A</v>
      </c>
    </row>
    <row r="87" spans="1:183" x14ac:dyDescent="0.2">
      <c r="A87" s="438" t="s">
        <v>979</v>
      </c>
      <c r="C87" s="614"/>
      <c r="D87" s="614"/>
      <c r="E87" s="614"/>
      <c r="F87" s="614"/>
      <c r="H87" s="614"/>
      <c r="I87" s="614"/>
      <c r="J87" s="614"/>
      <c r="K87" s="614"/>
      <c r="L87" s="614"/>
      <c r="M87" s="614"/>
      <c r="N87" s="614"/>
      <c r="O87" s="614"/>
      <c r="T87" s="614"/>
      <c r="V87" s="614"/>
      <c r="W87" s="614"/>
      <c r="X87" s="614"/>
      <c r="Y87" s="614"/>
      <c r="Z87" s="614"/>
      <c r="AC87" s="614"/>
      <c r="AE87" s="614"/>
      <c r="AF87" s="614"/>
      <c r="AG87" s="614"/>
      <c r="AH87" s="614"/>
      <c r="AI87" s="614"/>
      <c r="AO87" s="614"/>
      <c r="AQ87" s="614"/>
      <c r="AR87" s="614"/>
      <c r="AT87" s="614"/>
      <c r="AU87" s="614"/>
      <c r="AV87" s="614"/>
      <c r="AW87" s="614"/>
      <c r="AY87" s="614"/>
      <c r="AZ87" s="614"/>
      <c r="BA87" s="614"/>
      <c r="BB87" s="614"/>
      <c r="BD87" s="614"/>
      <c r="BE87" s="614"/>
      <c r="BF87" s="614"/>
      <c r="BG87" s="614"/>
      <c r="BH87" s="614"/>
      <c r="BI87" s="614"/>
      <c r="BJ87" s="614"/>
      <c r="BK87" s="614"/>
      <c r="BO87" s="614"/>
      <c r="BP87" s="614"/>
      <c r="BQ87" s="614"/>
      <c r="BR87" s="614"/>
      <c r="BS87" s="614"/>
      <c r="BU87" s="614"/>
      <c r="BW87" s="614"/>
      <c r="BY87" s="614"/>
      <c r="BZ87" s="614"/>
      <c r="CA87" s="614"/>
      <c r="CE87" s="614"/>
      <c r="CF87" s="614"/>
      <c r="CG87" s="614"/>
      <c r="CH87" s="614"/>
      <c r="CJ87" s="614"/>
      <c r="CQ87" s="614"/>
      <c r="CR87" s="614"/>
      <c r="CS87" s="614"/>
      <c r="CT87" s="614"/>
      <c r="CU87" s="614"/>
      <c r="CV87" s="614"/>
      <c r="CZ87" s="614"/>
      <c r="DA87" s="614"/>
      <c r="DC87" s="614"/>
      <c r="DD87" s="614"/>
      <c r="DF87" s="614"/>
      <c r="DG87" s="614"/>
      <c r="DH87" s="614"/>
      <c r="DI87" s="614"/>
      <c r="DK87" s="614"/>
      <c r="DL87" s="614"/>
      <c r="DM87" s="614"/>
      <c r="DN87" s="614"/>
      <c r="DP87" s="614"/>
      <c r="DQ87" s="614"/>
      <c r="DR87" s="614"/>
      <c r="DS87" s="614"/>
      <c r="DU87" s="614"/>
      <c r="DV87" s="614"/>
      <c r="DW87" s="614"/>
      <c r="EA87" s="614"/>
      <c r="EB87" s="614"/>
      <c r="ED87" s="614"/>
      <c r="EE87" s="614"/>
      <c r="EH87" s="614"/>
      <c r="EJ87" s="614"/>
      <c r="EK87" s="614"/>
      <c r="EL87" s="614"/>
      <c r="EM87" s="614"/>
      <c r="EN87" s="614"/>
      <c r="EO87" s="614"/>
      <c r="EP87" s="614"/>
      <c r="EQ87" s="614"/>
      <c r="ET87" s="614"/>
      <c r="EU87" s="614"/>
      <c r="FA87" s="614"/>
      <c r="FB87" s="614"/>
      <c r="FC87" s="614"/>
      <c r="FE87" s="614"/>
      <c r="FF87" s="614"/>
      <c r="FH87" s="614"/>
      <c r="FI87" s="614"/>
      <c r="FJ87" s="614"/>
      <c r="FK87" s="614"/>
      <c r="FL87" s="614"/>
      <c r="FM87" s="614"/>
      <c r="FN87" s="614"/>
      <c r="FY87" s="614"/>
    </row>
    <row r="88" spans="1:183" x14ac:dyDescent="0.2">
      <c r="A88" s="438" t="s">
        <v>981</v>
      </c>
      <c r="B88" s="532">
        <f>+IF(B$3&lt;=$B$105,B73*$B$106,+IF(B3=$C$105,B73*$C$106,+IF(B3=$D$105,B73*$D$106,+IF(B3=$E$105,B73*$E$106,+IF(B3=$F$105,B73*$F$106,0)))))</f>
        <v>1185819.142857143</v>
      </c>
      <c r="C88" s="532">
        <f t="shared" ref="C88:I88" si="36">+IF(C$3&lt;=$B$105,C73*$B$106,+IF(C3=$C$105,C73*$C$106,+IF(C3=$D$105,C73*$D$106,+IF(C3=$E$105,C73*$E$106,+IF(C3=$F$105,C73*$F$106,0)))))</f>
        <v>2406362.2142857146</v>
      </c>
      <c r="D88" s="532">
        <f t="shared" si="36"/>
        <v>5104171.4285714291</v>
      </c>
      <c r="E88" s="532">
        <f t="shared" si="36"/>
        <v>0</v>
      </c>
      <c r="F88" s="532">
        <f t="shared" si="36"/>
        <v>0</v>
      </c>
      <c r="G88" s="532">
        <f t="shared" si="36"/>
        <v>0</v>
      </c>
      <c r="H88" s="532">
        <f t="shared" si="36"/>
        <v>0</v>
      </c>
      <c r="I88" s="532">
        <f t="shared" si="36"/>
        <v>7224930.1428571427</v>
      </c>
      <c r="J88" s="532">
        <f>+IF(J$3&lt;=$B$105,J73*$B$106,+IF(J3=$C$105,J73*$C$106,+IF(J3=$D$105,J73*$D$106,+IF(J3=$E$105,J73*$E$106,+IF(J3=$F$105,J73*$F$106,0)))))</f>
        <v>3518305.1428571432</v>
      </c>
      <c r="K88" s="532">
        <f t="shared" ref="K88:BV88" si="37">+IF(K$3&lt;=$B$105,K73*$B$106,+IF(K3=$C$105,K73*$C$106,+IF(K3=$D$105,K73*$D$106,+IF(K3=$E$105,K73*$E$106,+IF(K3=$F$105,K73*$F$106,0)))))</f>
        <v>1702307.2857142857</v>
      </c>
      <c r="L88" s="532">
        <f t="shared" si="37"/>
        <v>734947.94285714289</v>
      </c>
      <c r="M88" s="532">
        <f t="shared" si="37"/>
        <v>513861.21428571432</v>
      </c>
      <c r="N88" s="532">
        <f t="shared" si="37"/>
        <v>1189142.4285714286</v>
      </c>
      <c r="O88" s="532">
        <f t="shared" si="37"/>
        <v>2467759.6428571427</v>
      </c>
      <c r="P88" s="532">
        <f t="shared" si="37"/>
        <v>1108144.2857142859</v>
      </c>
      <c r="Q88" s="532">
        <f t="shared" si="37"/>
        <v>425616.42857142864</v>
      </c>
      <c r="R88" s="532">
        <f t="shared" si="37"/>
        <v>690684.55714285723</v>
      </c>
      <c r="S88" s="532">
        <f t="shared" si="37"/>
        <v>1750371.4285714289</v>
      </c>
      <c r="T88" s="532">
        <f t="shared" si="37"/>
        <v>1278585.642857143</v>
      </c>
      <c r="U88" s="532">
        <f t="shared" si="37"/>
        <v>1277490.3428571429</v>
      </c>
      <c r="V88" s="532">
        <f t="shared" si="37"/>
        <v>2431908.2857142854</v>
      </c>
      <c r="W88" s="532">
        <f t="shared" si="37"/>
        <v>3069352.7857142854</v>
      </c>
      <c r="X88" s="532">
        <f t="shared" si="37"/>
        <v>2037069.5714285714</v>
      </c>
      <c r="Y88" s="532">
        <f t="shared" si="37"/>
        <v>1621378</v>
      </c>
      <c r="Z88" s="532">
        <f t="shared" si="37"/>
        <v>2937709.8142857142</v>
      </c>
      <c r="AA88" s="532">
        <f t="shared" si="37"/>
        <v>335375.07142857142</v>
      </c>
      <c r="AB88" s="532">
        <f t="shared" si="37"/>
        <v>1528821.2571428574</v>
      </c>
      <c r="AC88" s="532">
        <f t="shared" si="37"/>
        <v>10785682.142857144</v>
      </c>
      <c r="AD88" s="532">
        <f t="shared" si="37"/>
        <v>1679290.4142857143</v>
      </c>
      <c r="AE88" s="532">
        <f t="shared" si="37"/>
        <v>3011641.2857142859</v>
      </c>
      <c r="AF88" s="532">
        <f t="shared" si="37"/>
        <v>1280132.2857142857</v>
      </c>
      <c r="AG88" s="532">
        <f t="shared" si="37"/>
        <v>2819545.8571428573</v>
      </c>
      <c r="AH88" s="532">
        <f t="shared" si="37"/>
        <v>9893701.4428571425</v>
      </c>
      <c r="AI88" s="532">
        <f t="shared" si="37"/>
        <v>6770752.8571428573</v>
      </c>
      <c r="AJ88" s="532">
        <f t="shared" si="37"/>
        <v>2649019.8857142855</v>
      </c>
      <c r="AK88" s="532">
        <f t="shared" si="37"/>
        <v>0</v>
      </c>
      <c r="AL88" s="532">
        <f t="shared" si="37"/>
        <v>1116334.0047619047</v>
      </c>
      <c r="AM88" s="532">
        <f t="shared" si="37"/>
        <v>1116334.0047619047</v>
      </c>
      <c r="AN88" s="532">
        <f t="shared" si="37"/>
        <v>1116334.0047619047</v>
      </c>
      <c r="AO88" s="532">
        <f t="shared" si="37"/>
        <v>1311237.7142857143</v>
      </c>
      <c r="AP88" s="532">
        <f t="shared" si="37"/>
        <v>1071375.4857142856</v>
      </c>
      <c r="AQ88" s="532">
        <f t="shared" si="37"/>
        <v>2632080.7857142854</v>
      </c>
      <c r="AR88" s="532">
        <f t="shared" si="37"/>
        <v>3341129</v>
      </c>
      <c r="AS88" s="532">
        <f t="shared" si="37"/>
        <v>2173943.5714285714</v>
      </c>
      <c r="AT88" s="532">
        <f t="shared" si="37"/>
        <v>2048040.9857142859</v>
      </c>
      <c r="AU88" s="532">
        <f t="shared" si="37"/>
        <v>2045121</v>
      </c>
      <c r="AV88" s="532">
        <f t="shared" si="37"/>
        <v>3145728.6714285715</v>
      </c>
      <c r="AW88" s="532">
        <f t="shared" si="37"/>
        <v>1219559.7142857143</v>
      </c>
      <c r="AX88" s="532">
        <f t="shared" si="37"/>
        <v>1737111.442857143</v>
      </c>
      <c r="AY88" s="532">
        <f t="shared" si="37"/>
        <v>1425900.9285714286</v>
      </c>
      <c r="AZ88" s="532">
        <f t="shared" si="37"/>
        <v>22885246.428571429</v>
      </c>
      <c r="BA88" s="532">
        <f t="shared" si="37"/>
        <v>0</v>
      </c>
      <c r="BB88" s="532">
        <f t="shared" si="37"/>
        <v>1736152.9714285715</v>
      </c>
      <c r="BC88" s="532">
        <f t="shared" si="37"/>
        <v>791208.94285714289</v>
      </c>
      <c r="BD88" s="532">
        <f t="shared" si="37"/>
        <v>2232384.1428571427</v>
      </c>
      <c r="BE88" s="532">
        <f t="shared" si="37"/>
        <v>1781610.442857143</v>
      </c>
      <c r="BF88" s="532">
        <f t="shared" si="37"/>
        <v>703318.57142857148</v>
      </c>
      <c r="BG88" s="532">
        <f t="shared" si="37"/>
        <v>3757128.1428571432</v>
      </c>
      <c r="BH88" s="532">
        <f t="shared" si="37"/>
        <v>2487028.1428571427</v>
      </c>
      <c r="BI88" s="532">
        <f t="shared" si="37"/>
        <v>2045483.142857143</v>
      </c>
      <c r="BJ88" s="532">
        <f t="shared" si="37"/>
        <v>1143587.7142857143</v>
      </c>
      <c r="BK88" s="532">
        <f t="shared" si="37"/>
        <v>7326675.5714285718</v>
      </c>
      <c r="BL88" s="532">
        <f t="shared" si="37"/>
        <v>826131.74285714282</v>
      </c>
      <c r="BM88" s="532">
        <f t="shared" si="37"/>
        <v>1961457.9285714286</v>
      </c>
      <c r="BN88" s="532">
        <f t="shared" si="37"/>
        <v>10770373.742857143</v>
      </c>
      <c r="BO88" s="532">
        <f t="shared" si="37"/>
        <v>6764403.2857142864</v>
      </c>
      <c r="BP88" s="532">
        <f t="shared" si="37"/>
        <v>1991145.3714285714</v>
      </c>
      <c r="BQ88" s="532">
        <f t="shared" si="37"/>
        <v>1521123.5</v>
      </c>
      <c r="BR88" s="532">
        <f t="shared" si="37"/>
        <v>1759463.8285714285</v>
      </c>
      <c r="BS88" s="532">
        <f t="shared" si="37"/>
        <v>9577612.6285714284</v>
      </c>
      <c r="BT88" s="532">
        <f t="shared" si="37"/>
        <v>3949610.5</v>
      </c>
      <c r="BU88" s="532">
        <f t="shared" si="37"/>
        <v>1580209.0285714285</v>
      </c>
      <c r="BV88" s="532">
        <f t="shared" si="37"/>
        <v>0</v>
      </c>
      <c r="BW88" s="532">
        <f t="shared" ref="BW88:EH88" si="38">+IF(BW$3&lt;=$B$105,BW73*$B$106,+IF(BW3=$C$105,BW73*$C$106,+IF(BW3=$D$105,BW73*$D$106,+IF(BW3=$E$105,BW73*$E$106,+IF(BW3=$F$105,BW73*$F$106,0)))))</f>
        <v>4539445.4857142856</v>
      </c>
      <c r="BX88" s="532">
        <f t="shared" si="38"/>
        <v>511829.94285714283</v>
      </c>
      <c r="BY88" s="532">
        <f t="shared" si="38"/>
        <v>0</v>
      </c>
      <c r="BZ88" s="532">
        <f t="shared" si="38"/>
        <v>0</v>
      </c>
      <c r="CA88" s="532">
        <f t="shared" si="38"/>
        <v>11195755.442857143</v>
      </c>
      <c r="CB88" s="532">
        <f t="shared" si="38"/>
        <v>3739841.2857142854</v>
      </c>
      <c r="CC88" s="532">
        <f t="shared" si="38"/>
        <v>4335774.614285714</v>
      </c>
      <c r="CD88" s="532">
        <f t="shared" si="38"/>
        <v>1885340.2857142857</v>
      </c>
      <c r="CE88" s="532">
        <f t="shared" si="38"/>
        <v>82971026.599999994</v>
      </c>
      <c r="CF88" s="532">
        <f t="shared" si="38"/>
        <v>7920240.7142857146</v>
      </c>
      <c r="CG88" s="532">
        <f t="shared" si="38"/>
        <v>0</v>
      </c>
      <c r="CH88" s="532">
        <f t="shared" si="38"/>
        <v>3871048.8142857146</v>
      </c>
      <c r="CI88" s="532">
        <f t="shared" si="38"/>
        <v>1062310.857142857</v>
      </c>
      <c r="CJ88" s="532">
        <f t="shared" si="38"/>
        <v>184827.85714285716</v>
      </c>
      <c r="CK88" s="532">
        <f t="shared" si="38"/>
        <v>3204354.8571428573</v>
      </c>
      <c r="CL88" s="532">
        <f t="shared" si="38"/>
        <v>0</v>
      </c>
      <c r="CM88" s="532">
        <f t="shared" si="38"/>
        <v>18779999.828571428</v>
      </c>
      <c r="CN88" s="532">
        <f t="shared" si="38"/>
        <v>0</v>
      </c>
      <c r="CO88" s="532">
        <f t="shared" si="38"/>
        <v>0</v>
      </c>
      <c r="CP88" s="532">
        <f t="shared" si="38"/>
        <v>0</v>
      </c>
      <c r="CQ88" s="532">
        <f t="shared" si="38"/>
        <v>3625128.7285714285</v>
      </c>
      <c r="CR88" s="532">
        <f t="shared" si="38"/>
        <v>4521851.8714285716</v>
      </c>
      <c r="CS88" s="532">
        <f t="shared" si="38"/>
        <v>1456242.857142857</v>
      </c>
      <c r="CT88" s="532">
        <f t="shared" si="38"/>
        <v>3870506.9857142856</v>
      </c>
      <c r="CU88" s="532">
        <f t="shared" si="38"/>
        <v>2791236.1714285715</v>
      </c>
      <c r="CV88" s="532">
        <f t="shared" si="38"/>
        <v>0</v>
      </c>
      <c r="CW88" s="532">
        <f t="shared" si="38"/>
        <v>2563105.2428571433</v>
      </c>
      <c r="CX88" s="532">
        <f t="shared" si="38"/>
        <v>1126485.642857143</v>
      </c>
      <c r="CY88" s="532">
        <f t="shared" si="38"/>
        <v>1857292.7142857146</v>
      </c>
      <c r="CZ88" s="532">
        <f t="shared" si="38"/>
        <v>43945046.971428573</v>
      </c>
      <c r="DA88" s="532">
        <f t="shared" si="38"/>
        <v>10501918.142857144</v>
      </c>
      <c r="DB88" s="532">
        <f t="shared" si="38"/>
        <v>6131992.1000000006</v>
      </c>
      <c r="DC88" s="532">
        <f t="shared" si="38"/>
        <v>2365602.0142857144</v>
      </c>
      <c r="DD88" s="532">
        <f t="shared" si="38"/>
        <v>0</v>
      </c>
      <c r="DE88" s="532">
        <f t="shared" si="38"/>
        <v>2228862.8571428573</v>
      </c>
      <c r="DF88" s="532">
        <f t="shared" si="38"/>
        <v>11635048.857142856</v>
      </c>
      <c r="DG88" s="532">
        <f t="shared" si="38"/>
        <v>23610202</v>
      </c>
      <c r="DH88" s="532">
        <f t="shared" si="38"/>
        <v>23292052.142857142</v>
      </c>
      <c r="DI88" s="532">
        <f t="shared" si="38"/>
        <v>12468880.171428572</v>
      </c>
      <c r="DJ88" s="532">
        <f t="shared" si="38"/>
        <v>101240992.59999999</v>
      </c>
      <c r="DK88" s="532">
        <f t="shared" si="38"/>
        <v>15317574.428571429</v>
      </c>
      <c r="DL88" s="532">
        <f t="shared" si="38"/>
        <v>8446848.1428571418</v>
      </c>
      <c r="DM88" s="532">
        <f t="shared" si="38"/>
        <v>14854521.685714286</v>
      </c>
      <c r="DN88" s="532">
        <f t="shared" si="38"/>
        <v>7326609.2428571424</v>
      </c>
      <c r="DO88" s="532">
        <f t="shared" si="38"/>
        <v>0</v>
      </c>
      <c r="DP88" s="532">
        <f t="shared" si="38"/>
        <v>1085114.857142857</v>
      </c>
      <c r="DQ88" s="532">
        <f t="shared" si="38"/>
        <v>54227839.342857145</v>
      </c>
      <c r="DR88" s="532">
        <f t="shared" si="38"/>
        <v>825257.55714285711</v>
      </c>
      <c r="DS88" s="532">
        <f t="shared" si="38"/>
        <v>3025064.7428571428</v>
      </c>
      <c r="DT88" s="532">
        <f t="shared" si="38"/>
        <v>0</v>
      </c>
      <c r="DU88" s="532">
        <f t="shared" si="38"/>
        <v>8932230.9142857138</v>
      </c>
      <c r="DV88" s="532">
        <f t="shared" si="38"/>
        <v>0</v>
      </c>
      <c r="DW88" s="532">
        <f t="shared" si="38"/>
        <v>6936238.4000000004</v>
      </c>
      <c r="DX88" s="532">
        <f t="shared" si="38"/>
        <v>21236597.757142857</v>
      </c>
      <c r="DY88" s="532">
        <f t="shared" si="38"/>
        <v>8723999.7428571433</v>
      </c>
      <c r="DZ88" s="532">
        <f t="shared" si="38"/>
        <v>0</v>
      </c>
      <c r="EA88" s="532">
        <f t="shared" si="38"/>
        <v>199211992.38571429</v>
      </c>
      <c r="EB88" s="532">
        <f t="shared" si="38"/>
        <v>795831.92857142852</v>
      </c>
      <c r="EC88" s="532">
        <f t="shared" si="38"/>
        <v>4364099.8714285716</v>
      </c>
      <c r="ED88" s="532">
        <f t="shared" si="38"/>
        <v>23171020.22857143</v>
      </c>
      <c r="EE88" s="532">
        <f t="shared" si="38"/>
        <v>2133565.5714285714</v>
      </c>
      <c r="EF88" s="532">
        <f t="shared" si="38"/>
        <v>931382.61428571434</v>
      </c>
      <c r="EG88" s="532">
        <f t="shared" si="38"/>
        <v>1572737.4285714286</v>
      </c>
      <c r="EH88" s="532">
        <f t="shared" si="38"/>
        <v>15574757.342857143</v>
      </c>
      <c r="EI88" s="532">
        <f t="shared" ref="EI88:FH88" si="39">+IF(EI$3&lt;=$B$105,EI73*$B$106,+IF(EI3=$C$105,EI73*$C$106,+IF(EI3=$D$105,EI73*$D$106,+IF(EI3=$E$105,EI73*$E$106,+IF(EI3=$F$105,EI73*$F$106,0)))))</f>
        <v>67043147.785714291</v>
      </c>
      <c r="EJ88" s="532">
        <f t="shared" si="39"/>
        <v>9724807.3000000007</v>
      </c>
      <c r="EK88" s="532">
        <f t="shared" si="39"/>
        <v>613367.42857142852</v>
      </c>
      <c r="EL88" s="532">
        <f t="shared" si="39"/>
        <v>637663.71428571432</v>
      </c>
      <c r="EM88" s="532">
        <f t="shared" si="39"/>
        <v>5930858.7000000002</v>
      </c>
      <c r="EN88" s="532">
        <f t="shared" si="39"/>
        <v>5577942.8571428573</v>
      </c>
      <c r="EO88" s="532">
        <f t="shared" si="39"/>
        <v>0</v>
      </c>
      <c r="EP88" s="532">
        <f t="shared" si="39"/>
        <v>29741771.428571429</v>
      </c>
      <c r="EQ88" s="532">
        <f t="shared" si="39"/>
        <v>10495923.285714285</v>
      </c>
      <c r="ER88" s="532">
        <f t="shared" si="39"/>
        <v>16428787.728571428</v>
      </c>
      <c r="ES88" s="532">
        <f t="shared" si="39"/>
        <v>4726383.0428571431</v>
      </c>
      <c r="ET88" s="532">
        <f t="shared" si="39"/>
        <v>0</v>
      </c>
      <c r="EU88" s="532">
        <f t="shared" si="39"/>
        <v>48053744.328571431</v>
      </c>
      <c r="EV88" s="532">
        <f t="shared" si="39"/>
        <v>4916374.885714286</v>
      </c>
      <c r="EW88" s="532">
        <f t="shared" si="39"/>
        <v>5714185.7142857146</v>
      </c>
      <c r="EX88" s="532">
        <f t="shared" si="39"/>
        <v>5641012.1428571427</v>
      </c>
      <c r="EY88" s="532">
        <f t="shared" si="39"/>
        <v>3222658.2142857141</v>
      </c>
      <c r="EZ88" s="532">
        <f t="shared" si="39"/>
        <v>2162118.3571428573</v>
      </c>
      <c r="FA88" s="532">
        <f t="shared" si="39"/>
        <v>8906212.8571428563</v>
      </c>
      <c r="FB88" s="532">
        <f t="shared" si="39"/>
        <v>1715232.8571428573</v>
      </c>
      <c r="FC88" s="532">
        <f t="shared" si="39"/>
        <v>2101395.9857142861</v>
      </c>
      <c r="FD88" s="532">
        <f t="shared" si="39"/>
        <v>2192390.3571428573</v>
      </c>
      <c r="FE88" s="532">
        <f t="shared" si="39"/>
        <v>1249274.5714285716</v>
      </c>
      <c r="FF88" s="532">
        <f t="shared" si="39"/>
        <v>1721208.2142857146</v>
      </c>
      <c r="FG88" s="532">
        <f t="shared" si="39"/>
        <v>786711.42857142852</v>
      </c>
      <c r="FH88" s="532">
        <f t="shared" si="39"/>
        <v>15825680</v>
      </c>
      <c r="FI88" s="532">
        <f t="shared" ref="FI88:FR88" si="40">+IF(FI$3&lt;=$B$105,FI73*$B$106,+IF(FI3=$C$105,FI73*$C$106,+IF(FI3=$D$105,FI73*$D$106,+IF(FI3=$E$106,FI73*$E$106,+IF(FI3=$F$106,FI73*$F$106,0)))))</f>
        <v>0</v>
      </c>
      <c r="FJ88" s="532">
        <f t="shared" si="40"/>
        <v>0</v>
      </c>
      <c r="FK88" s="532">
        <f t="shared" si="40"/>
        <v>0</v>
      </c>
      <c r="FL88" s="532">
        <f t="shared" si="40"/>
        <v>1143283.142857143</v>
      </c>
      <c r="FM88" s="532">
        <f t="shared" si="40"/>
        <v>0</v>
      </c>
      <c r="FN88" s="532">
        <f t="shared" si="40"/>
        <v>3957911.4714285717</v>
      </c>
      <c r="FO88" s="532">
        <f t="shared" si="40"/>
        <v>1937821.2285714287</v>
      </c>
      <c r="FP88" s="532">
        <f t="shared" si="40"/>
        <v>2425911.4285714286</v>
      </c>
      <c r="FQ88" s="532">
        <f t="shared" si="40"/>
        <v>0</v>
      </c>
      <c r="FR88" s="532">
        <f t="shared" si="40"/>
        <v>6896573.3571428573</v>
      </c>
      <c r="FY88" s="532">
        <f>+IF(FY$3&lt;=$B$105,FY73*$B$106,+IF(FY3=$C$105,FY73*$C$106,+IF(FY3=$D$105,FY73*$D$106,0)))</f>
        <v>0</v>
      </c>
      <c r="FZ88" s="532">
        <f t="shared" ref="FZ88:GA88" si="41">+IF(FZ$3&lt;=$B$105,FZ73*$B$106,+IF(FZ3=$C$105,FZ73*$C$106,+IF(FZ3=$D$105,FZ73*$D$106,0)))</f>
        <v>0</v>
      </c>
      <c r="GA88" s="532">
        <f t="shared" si="41"/>
        <v>0</v>
      </c>
    </row>
    <row r="89" spans="1:183" x14ac:dyDescent="0.2">
      <c r="A89" s="438" t="s">
        <v>982</v>
      </c>
      <c r="B89" s="532">
        <f>+IF(B$3&lt;=$B$105,B75*$B$106,+IF(B3=$C$105,B75*$C$106,+IF(B3=$D$105,B75*$D$106,+IF(B3=$E$105,B75*$E$106,+IF(B3=$F$105,B75*$F$106,0)))))</f>
        <v>2939471.7857142859</v>
      </c>
      <c r="C89" s="532">
        <f t="shared" ref="C89:I89" si="42">+IF(C$3&lt;=$B$105,C75*$B$106,+IF(C3=$C$105,C75*$C$106,+IF(C3=$D$105,C75*$D$106,+IF(C3=$E$105,C75*$E$106,+IF(C3=$F$105,C75*$F$106,0)))))</f>
        <v>2351233.6714285715</v>
      </c>
      <c r="D89" s="532">
        <f t="shared" si="42"/>
        <v>5378100</v>
      </c>
      <c r="E89" s="532">
        <f t="shared" si="42"/>
        <v>0</v>
      </c>
      <c r="F89" s="532">
        <f t="shared" si="42"/>
        <v>0</v>
      </c>
      <c r="G89" s="532">
        <f t="shared" si="42"/>
        <v>0</v>
      </c>
      <c r="H89" s="532">
        <f t="shared" si="42"/>
        <v>0</v>
      </c>
      <c r="I89" s="532">
        <f t="shared" si="42"/>
        <v>5110847.8571428573</v>
      </c>
      <c r="J89" s="532">
        <f>+IF(J$3&lt;=$B$105,J75*$B$106,+IF(J3=$C$105,J75*$C$106,+IF(J3=$D$105,J75*$D$106,+IF(J3=$E$105,J75*$E$106,+IF(J3=$F$105,J75*$F$106,0)))))</f>
        <v>2836776.4285714286</v>
      </c>
      <c r="K89" s="532">
        <f t="shared" ref="K89:BV89" si="43">+IF(K$3&lt;=$B$105,K75*$B$106,+IF(K3=$C$105,K75*$C$106,+IF(K3=$D$105,K75*$D$106,+IF(K3=$E$105,K75*$E$106,+IF(K3=$F$105,K75*$F$106,0)))))</f>
        <v>2261749.2857142859</v>
      </c>
      <c r="L89" s="532">
        <f t="shared" si="43"/>
        <v>1298765.9285714286</v>
      </c>
      <c r="M89" s="532">
        <f t="shared" si="43"/>
        <v>972174.91428571427</v>
      </c>
      <c r="N89" s="532">
        <f t="shared" si="43"/>
        <v>2162330.0285714287</v>
      </c>
      <c r="O89" s="532">
        <f t="shared" si="43"/>
        <v>3427867.1428571427</v>
      </c>
      <c r="P89" s="532">
        <f t="shared" si="43"/>
        <v>1764910.9285714289</v>
      </c>
      <c r="Q89" s="532">
        <f t="shared" si="43"/>
        <v>1232876.442857143</v>
      </c>
      <c r="R89" s="532">
        <f t="shared" si="43"/>
        <v>1481607.642857143</v>
      </c>
      <c r="S89" s="532">
        <f t="shared" si="43"/>
        <v>2212971.4285714286</v>
      </c>
      <c r="T89" s="532">
        <f t="shared" si="43"/>
        <v>1634417.8714285716</v>
      </c>
      <c r="U89" s="532">
        <f t="shared" si="43"/>
        <v>1805483.442857143</v>
      </c>
      <c r="V89" s="532">
        <f t="shared" si="43"/>
        <v>6385783.0142857144</v>
      </c>
      <c r="W89" s="532">
        <f t="shared" si="43"/>
        <v>2647889.3571428573</v>
      </c>
      <c r="X89" s="532">
        <f t="shared" si="43"/>
        <v>2371788.1</v>
      </c>
      <c r="Y89" s="532">
        <f t="shared" si="43"/>
        <v>1757019.3142857142</v>
      </c>
      <c r="Z89" s="532">
        <f t="shared" si="43"/>
        <v>4996211.4714285713</v>
      </c>
      <c r="AA89" s="532">
        <f t="shared" si="43"/>
        <v>580078.24285714282</v>
      </c>
      <c r="AB89" s="532">
        <f t="shared" si="43"/>
        <v>2338392.6</v>
      </c>
      <c r="AC89" s="532">
        <f t="shared" si="43"/>
        <v>11259571.142857144</v>
      </c>
      <c r="AD89" s="532">
        <f t="shared" si="43"/>
        <v>2264262.1857142858</v>
      </c>
      <c r="AE89" s="532">
        <f t="shared" si="43"/>
        <v>3805485.1714285715</v>
      </c>
      <c r="AF89" s="532">
        <f t="shared" si="43"/>
        <v>1769957.8</v>
      </c>
      <c r="AG89" s="532">
        <f t="shared" si="43"/>
        <v>2485507.1428571427</v>
      </c>
      <c r="AH89" s="532">
        <f t="shared" si="43"/>
        <v>8540514.1714285724</v>
      </c>
      <c r="AI89" s="532">
        <f t="shared" si="43"/>
        <v>7576047.1428571427</v>
      </c>
      <c r="AJ89" s="532">
        <f t="shared" si="43"/>
        <v>3683357.1428571427</v>
      </c>
      <c r="AK89" s="532">
        <f t="shared" si="43"/>
        <v>0</v>
      </c>
      <c r="AL89" s="532">
        <f t="shared" si="43"/>
        <v>1787881.6476190474</v>
      </c>
      <c r="AM89" s="532">
        <f t="shared" si="43"/>
        <v>1787881.6476190474</v>
      </c>
      <c r="AN89" s="532">
        <f t="shared" si="43"/>
        <v>1787881.6476190474</v>
      </c>
      <c r="AO89" s="532">
        <f t="shared" si="43"/>
        <v>3550452.7142857141</v>
      </c>
      <c r="AP89" s="532">
        <f t="shared" si="43"/>
        <v>2483324.0142857144</v>
      </c>
      <c r="AQ89" s="532">
        <f t="shared" si="43"/>
        <v>3326408.3285714285</v>
      </c>
      <c r="AR89" s="532">
        <f t="shared" si="43"/>
        <v>5092522.2857142854</v>
      </c>
      <c r="AS89" s="532">
        <f t="shared" si="43"/>
        <v>4223372.0285714287</v>
      </c>
      <c r="AT89" s="532">
        <f t="shared" si="43"/>
        <v>2252657.6428571427</v>
      </c>
      <c r="AU89" s="532">
        <f t="shared" si="43"/>
        <v>3793065.9</v>
      </c>
      <c r="AV89" s="532">
        <f t="shared" si="43"/>
        <v>10205111.985714287</v>
      </c>
      <c r="AW89" s="532">
        <f t="shared" si="43"/>
        <v>1314500.5714285714</v>
      </c>
      <c r="AX89" s="532">
        <f t="shared" si="43"/>
        <v>2138773.557142857</v>
      </c>
      <c r="AY89" s="532">
        <f t="shared" si="43"/>
        <v>2015460.857142857</v>
      </c>
      <c r="AZ89" s="532">
        <f t="shared" si="43"/>
        <v>13638443</v>
      </c>
      <c r="BA89" s="532">
        <f t="shared" si="43"/>
        <v>2126502.8571428573</v>
      </c>
      <c r="BB89" s="532">
        <f t="shared" si="43"/>
        <v>897722.8</v>
      </c>
      <c r="BC89" s="532">
        <f t="shared" si="43"/>
        <v>1250604.3</v>
      </c>
      <c r="BD89" s="532">
        <f t="shared" si="43"/>
        <v>3687549.9142857143</v>
      </c>
      <c r="BE89" s="532">
        <f t="shared" si="43"/>
        <v>1810012.2857142857</v>
      </c>
      <c r="BF89" s="532">
        <f t="shared" si="43"/>
        <v>2105782.1571428571</v>
      </c>
      <c r="BG89" s="532">
        <f t="shared" si="43"/>
        <v>5764688.9857142856</v>
      </c>
      <c r="BH89" s="532">
        <f t="shared" si="43"/>
        <v>2234553.1</v>
      </c>
      <c r="BI89" s="532">
        <f t="shared" si="43"/>
        <v>2805636.4142857143</v>
      </c>
      <c r="BJ89" s="532">
        <f t="shared" si="43"/>
        <v>1375541.7</v>
      </c>
      <c r="BK89" s="532">
        <f t="shared" si="43"/>
        <v>9909275.0714285709</v>
      </c>
      <c r="BL89" s="532">
        <f t="shared" si="43"/>
        <v>1776802.1857142856</v>
      </c>
      <c r="BM89" s="532">
        <f t="shared" si="43"/>
        <v>1852282.1428571427</v>
      </c>
      <c r="BN89" s="532">
        <f t="shared" si="43"/>
        <v>11122721.5</v>
      </c>
      <c r="BO89" s="532">
        <f t="shared" si="43"/>
        <v>7817285.7285714289</v>
      </c>
      <c r="BP89" s="532">
        <f t="shared" si="43"/>
        <v>2813160.0714285714</v>
      </c>
      <c r="BQ89" s="532">
        <f t="shared" si="43"/>
        <v>3835700.7</v>
      </c>
      <c r="BR89" s="532">
        <f t="shared" si="43"/>
        <v>4685939.7</v>
      </c>
      <c r="BS89" s="532">
        <f t="shared" si="43"/>
        <v>6727280.5285714287</v>
      </c>
      <c r="BT89" s="532">
        <f t="shared" si="43"/>
        <v>5152219.2857142854</v>
      </c>
      <c r="BU89" s="532">
        <f t="shared" si="43"/>
        <v>2129239.4285714286</v>
      </c>
      <c r="BV89" s="532">
        <f t="shared" si="43"/>
        <v>0</v>
      </c>
      <c r="BW89" s="532">
        <f t="shared" ref="BW89:EH89" si="44">+IF(BW$3&lt;=$B$105,BW75*$B$106,+IF(BW3=$C$105,BW75*$C$106,+IF(BW3=$D$105,BW75*$D$106,+IF(BW3=$E$105,BW75*$E$106,+IF(BW3=$F$105,BW75*$F$106,0)))))</f>
        <v>7847452.9714285713</v>
      </c>
      <c r="BX89" s="532">
        <f t="shared" si="44"/>
        <v>945058.4</v>
      </c>
      <c r="BY89" s="532">
        <f t="shared" si="44"/>
        <v>0</v>
      </c>
      <c r="BZ89" s="532">
        <f t="shared" si="44"/>
        <v>0</v>
      </c>
      <c r="CA89" s="532">
        <f t="shared" si="44"/>
        <v>14399514.257142857</v>
      </c>
      <c r="CB89" s="532">
        <f t="shared" si="44"/>
        <v>7006084.7999999998</v>
      </c>
      <c r="CC89" s="532">
        <f t="shared" si="44"/>
        <v>5234351.885714286</v>
      </c>
      <c r="CD89" s="532">
        <f t="shared" si="44"/>
        <v>2524176.442857143</v>
      </c>
      <c r="CE89" s="532">
        <f t="shared" si="44"/>
        <v>86268924.028571427</v>
      </c>
      <c r="CF89" s="532">
        <f t="shared" si="44"/>
        <v>8731260.7571428567</v>
      </c>
      <c r="CG89" s="532">
        <f t="shared" si="44"/>
        <v>779026.85714285716</v>
      </c>
      <c r="CH89" s="532">
        <f t="shared" si="44"/>
        <v>2727670.7714285715</v>
      </c>
      <c r="CI89" s="532">
        <f t="shared" si="44"/>
        <v>1414656.5714285714</v>
      </c>
      <c r="CJ89" s="532">
        <f t="shared" si="44"/>
        <v>1017425.8285714287</v>
      </c>
      <c r="CK89" s="532">
        <f t="shared" si="44"/>
        <v>1932567.9428571428</v>
      </c>
      <c r="CL89" s="532">
        <f t="shared" si="44"/>
        <v>0</v>
      </c>
      <c r="CM89" s="532">
        <f t="shared" si="44"/>
        <v>16949626.571428571</v>
      </c>
      <c r="CN89" s="532">
        <f t="shared" si="44"/>
        <v>0</v>
      </c>
      <c r="CO89" s="532">
        <f t="shared" si="44"/>
        <v>0</v>
      </c>
      <c r="CP89" s="532">
        <f t="shared" si="44"/>
        <v>0</v>
      </c>
      <c r="CQ89" s="532">
        <f t="shared" si="44"/>
        <v>3982653.7142857141</v>
      </c>
      <c r="CR89" s="532">
        <f t="shared" si="44"/>
        <v>4827148.8571428573</v>
      </c>
      <c r="CS89" s="532">
        <f t="shared" si="44"/>
        <v>2130385.7142857141</v>
      </c>
      <c r="CT89" s="532">
        <f t="shared" si="44"/>
        <v>4175098.8714285712</v>
      </c>
      <c r="CU89" s="532">
        <f t="shared" si="44"/>
        <v>2863122.4285714286</v>
      </c>
      <c r="CV89" s="532">
        <f t="shared" si="44"/>
        <v>0</v>
      </c>
      <c r="CW89" s="532">
        <f t="shared" si="44"/>
        <v>3633036.4285714291</v>
      </c>
      <c r="CX89" s="532">
        <f t="shared" si="44"/>
        <v>1153411.0714285716</v>
      </c>
      <c r="CY89" s="532">
        <f t="shared" si="44"/>
        <v>3003635.442857143</v>
      </c>
      <c r="CZ89" s="532">
        <f t="shared" si="44"/>
        <v>46858993.442857146</v>
      </c>
      <c r="DA89" s="532">
        <f t="shared" si="44"/>
        <v>13890401.571428573</v>
      </c>
      <c r="DB89" s="532">
        <f t="shared" si="44"/>
        <v>5521456.5714285718</v>
      </c>
      <c r="DC89" s="532">
        <f t="shared" si="44"/>
        <v>4132406.5714285714</v>
      </c>
      <c r="DD89" s="532">
        <f t="shared" si="44"/>
        <v>15114704.014285715</v>
      </c>
      <c r="DE89" s="532">
        <f t="shared" si="44"/>
        <v>3626631.6428571432</v>
      </c>
      <c r="DF89" s="532">
        <f t="shared" si="44"/>
        <v>12630778.285714285</v>
      </c>
      <c r="DG89" s="532">
        <f t="shared" si="44"/>
        <v>21730774.214285713</v>
      </c>
      <c r="DH89" s="532">
        <f t="shared" si="44"/>
        <v>18614160.714285713</v>
      </c>
      <c r="DI89" s="532">
        <f t="shared" si="44"/>
        <v>10679508.542857144</v>
      </c>
      <c r="DJ89" s="532">
        <f t="shared" si="44"/>
        <v>97015920.571428567</v>
      </c>
      <c r="DK89" s="532">
        <f t="shared" si="44"/>
        <v>14262074.657142857</v>
      </c>
      <c r="DL89" s="532">
        <f t="shared" si="44"/>
        <v>7214660.3571428573</v>
      </c>
      <c r="DM89" s="532">
        <f t="shared" si="44"/>
        <v>16054287.22857143</v>
      </c>
      <c r="DN89" s="532">
        <f t="shared" si="44"/>
        <v>5391585.2571428567</v>
      </c>
      <c r="DO89" s="532">
        <f t="shared" si="44"/>
        <v>0</v>
      </c>
      <c r="DP89" s="532">
        <f t="shared" si="44"/>
        <v>1016396.1142857142</v>
      </c>
      <c r="DQ89" s="532">
        <f t="shared" si="44"/>
        <v>40621367.428571433</v>
      </c>
      <c r="DR89" s="532">
        <f t="shared" si="44"/>
        <v>685520</v>
      </c>
      <c r="DS89" s="532">
        <f t="shared" si="44"/>
        <v>2285059.8571428573</v>
      </c>
      <c r="DT89" s="532">
        <f t="shared" si="44"/>
        <v>0</v>
      </c>
      <c r="DU89" s="532">
        <f t="shared" si="44"/>
        <v>10573569.685714286</v>
      </c>
      <c r="DV89" s="532">
        <f t="shared" si="44"/>
        <v>0</v>
      </c>
      <c r="DW89" s="532">
        <f t="shared" si="44"/>
        <v>10338452.985714287</v>
      </c>
      <c r="DX89" s="532">
        <f t="shared" si="44"/>
        <v>23312443.699999999</v>
      </c>
      <c r="DY89" s="532">
        <f t="shared" si="44"/>
        <v>8052282.0714285709</v>
      </c>
      <c r="DZ89" s="532">
        <f t="shared" si="44"/>
        <v>0</v>
      </c>
      <c r="EA89" s="532">
        <f t="shared" si="44"/>
        <v>153524299.12857142</v>
      </c>
      <c r="EB89" s="532">
        <f t="shared" si="44"/>
        <v>1223704.4285714286</v>
      </c>
      <c r="EC89" s="532">
        <f t="shared" si="44"/>
        <v>4621752.0000000009</v>
      </c>
      <c r="ED89" s="532">
        <f t="shared" si="44"/>
        <v>25464640.128571428</v>
      </c>
      <c r="EE89" s="532">
        <f t="shared" si="44"/>
        <v>1801434.142857143</v>
      </c>
      <c r="EF89" s="532">
        <f t="shared" si="44"/>
        <v>1070611.7142857143</v>
      </c>
      <c r="EG89" s="532">
        <f t="shared" si="44"/>
        <v>1432812.857142857</v>
      </c>
      <c r="EH89" s="532">
        <f t="shared" si="44"/>
        <v>14678832.442857143</v>
      </c>
      <c r="EI89" s="532">
        <f t="shared" ref="EI89:FR89" si="45">+IF(EI$3&lt;=$B$105,EI75*$B$106,+IF(EI3=$C$105,EI75*$C$106,+IF(EI3=$D$105,EI75*$D$106,+IF(EI3=$E$105,EI75*$E$106,+IF(EI3=$F$105,EI75*$F$106,0)))))</f>
        <v>50377981.45714286</v>
      </c>
      <c r="EJ89" s="532">
        <f t="shared" si="45"/>
        <v>9039476.271428572</v>
      </c>
      <c r="EK89" s="532">
        <f t="shared" si="45"/>
        <v>910300</v>
      </c>
      <c r="EL89" s="532">
        <f t="shared" si="45"/>
        <v>806728.57142857136</v>
      </c>
      <c r="EM89" s="532">
        <f t="shared" si="45"/>
        <v>8908705</v>
      </c>
      <c r="EN89" s="532">
        <f t="shared" si="45"/>
        <v>5141557.1428571427</v>
      </c>
      <c r="EO89" s="532">
        <f t="shared" si="45"/>
        <v>0</v>
      </c>
      <c r="EP89" s="532">
        <f t="shared" si="45"/>
        <v>37736028.571428575</v>
      </c>
      <c r="EQ89" s="532">
        <f t="shared" si="45"/>
        <v>10844818.214285715</v>
      </c>
      <c r="ER89" s="532">
        <f t="shared" si="45"/>
        <v>18671577.257142857</v>
      </c>
      <c r="ES89" s="532">
        <f t="shared" si="45"/>
        <v>5905743.7999999998</v>
      </c>
      <c r="ET89" s="532">
        <f t="shared" si="45"/>
        <v>0</v>
      </c>
      <c r="EU89" s="532">
        <f t="shared" si="45"/>
        <v>66991243.057142861</v>
      </c>
      <c r="EV89" s="532">
        <f t="shared" si="45"/>
        <v>6595910.3571428573</v>
      </c>
      <c r="EW89" s="532">
        <f t="shared" si="45"/>
        <v>8667026.3428571429</v>
      </c>
      <c r="EX89" s="532">
        <f t="shared" si="45"/>
        <v>5749550.7142857146</v>
      </c>
      <c r="EY89" s="532">
        <f t="shared" si="45"/>
        <v>3769350.1999999997</v>
      </c>
      <c r="EZ89" s="532">
        <f t="shared" si="45"/>
        <v>3724403.2571428572</v>
      </c>
      <c r="FA89" s="532">
        <f t="shared" si="45"/>
        <v>8574694.228571428</v>
      </c>
      <c r="FB89" s="532">
        <f t="shared" si="45"/>
        <v>2687110.7142857146</v>
      </c>
      <c r="FC89" s="532">
        <f t="shared" si="45"/>
        <v>2837749.3714285716</v>
      </c>
      <c r="FD89" s="532">
        <f t="shared" si="45"/>
        <v>3444698.5714285718</v>
      </c>
      <c r="FE89" s="532">
        <f t="shared" si="45"/>
        <v>3230528.1428571432</v>
      </c>
      <c r="FF89" s="532">
        <f t="shared" si="45"/>
        <v>2058563.5714285716</v>
      </c>
      <c r="FG89" s="532">
        <f t="shared" si="45"/>
        <v>1606820.5714285714</v>
      </c>
      <c r="FH89" s="532">
        <f t="shared" si="45"/>
        <v>23035008.285714287</v>
      </c>
      <c r="FI89" s="532">
        <f t="shared" si="45"/>
        <v>0</v>
      </c>
      <c r="FJ89" s="532">
        <f t="shared" si="45"/>
        <v>0</v>
      </c>
      <c r="FK89" s="532">
        <f t="shared" si="45"/>
        <v>0</v>
      </c>
      <c r="FL89" s="532">
        <f t="shared" si="45"/>
        <v>1073055.4714285715</v>
      </c>
      <c r="FM89" s="532">
        <f t="shared" si="45"/>
        <v>0</v>
      </c>
      <c r="FN89" s="532">
        <f t="shared" si="45"/>
        <v>6338853.1142857149</v>
      </c>
      <c r="FO89" s="532">
        <f t="shared" si="45"/>
        <v>1239953.7428571428</v>
      </c>
      <c r="FP89" s="532">
        <f t="shared" si="45"/>
        <v>2641590.7142857146</v>
      </c>
      <c r="FQ89" s="532">
        <f t="shared" si="45"/>
        <v>0</v>
      </c>
      <c r="FR89" s="532">
        <f t="shared" si="45"/>
        <v>3533569</v>
      </c>
      <c r="FU89" s="54"/>
      <c r="FV89" s="54"/>
      <c r="FY89" s="532">
        <f>+IF(FY$3&lt;=$B$105,FY75*$B$106,+IF(FY3=$C$105,FY75*$C$106,+IF(FY3=$D$105,FY75*$D$106,0)))</f>
        <v>0</v>
      </c>
      <c r="FZ89" s="532">
        <f t="shared" ref="FZ89:GA89" si="46">+IF(FZ$3&lt;=$B$105,FZ75*$B$106,+IF(FZ3=$C$105,FZ75*$C$106,+IF(FZ3=$D$105,FZ75*$D$106,0)))</f>
        <v>0</v>
      </c>
      <c r="GA89" s="532">
        <f t="shared" si="46"/>
        <v>0</v>
      </c>
    </row>
    <row r="90" spans="1:183" x14ac:dyDescent="0.2">
      <c r="A90" s="438"/>
      <c r="B90" s="54"/>
      <c r="AA90" s="54"/>
      <c r="AL90" s="54"/>
      <c r="AM90" s="54"/>
      <c r="AN90" s="54"/>
      <c r="AS90" s="54"/>
      <c r="AX90" s="54"/>
      <c r="BC90" s="54"/>
      <c r="BL90" s="54"/>
      <c r="BM90" s="54"/>
      <c r="BN90" s="54"/>
      <c r="BT90" s="54"/>
      <c r="BV90" s="54"/>
      <c r="BX90" s="54"/>
      <c r="CB90" s="54"/>
      <c r="CD90" s="54"/>
      <c r="CK90" s="54"/>
      <c r="CM90" s="54"/>
      <c r="CN90" s="54"/>
      <c r="CO90" s="54"/>
      <c r="CP90" s="54"/>
      <c r="CW90" s="54"/>
      <c r="CX90" s="54"/>
      <c r="DB90" s="54"/>
      <c r="DJ90" s="54"/>
      <c r="DO90" s="54"/>
      <c r="DT90" s="54"/>
      <c r="DZ90" s="54"/>
      <c r="EC90" s="54"/>
      <c r="EF90" s="54"/>
      <c r="EG90" s="54"/>
      <c r="EI90" s="54"/>
      <c r="EV90" s="54"/>
      <c r="EW90" s="54"/>
      <c r="EX90" s="54"/>
      <c r="EY90" s="54"/>
      <c r="FD90" s="54"/>
      <c r="FG90" s="54"/>
      <c r="FO90" s="54"/>
      <c r="FP90" s="54"/>
      <c r="FQ90" s="54"/>
      <c r="FR90" s="54"/>
      <c r="FU90" s="54"/>
      <c r="FV90" s="54"/>
    </row>
    <row r="91" spans="1:183" x14ac:dyDescent="0.2">
      <c r="A91" s="438" t="s">
        <v>1482</v>
      </c>
      <c r="B91" s="532">
        <f>+IF(B$3&lt;=$B$105,B6*$B$107,+IF(B$3=$C$105,B6*$C$107,+IF(B$3=$D$105,B6*$D$107,+IF(B$3=$E$105,B6*$E$107,IF(B$3=$F$105,B6*$F$107,0)))))</f>
        <v>499606.28571428574</v>
      </c>
      <c r="C91" s="532">
        <f t="shared" ref="C91:BN92" si="47">+IF(C$3&lt;=$B$105,C6*$B$107,+IF(C$3=$C$105,C6*$C$107,+IF(C$3=$D$105,C6*$D$107,+IF(C$3=$E$105,C6*$E$107,IF(C$3=$F$105,C6*$F$107,0)))))</f>
        <v>1026903</v>
      </c>
      <c r="D91" s="532">
        <f t="shared" si="47"/>
        <v>1858628.5714285714</v>
      </c>
      <c r="E91" s="532">
        <f t="shared" si="47"/>
        <v>0</v>
      </c>
      <c r="F91" s="532">
        <f t="shared" si="47"/>
        <v>0</v>
      </c>
      <c r="G91" s="532">
        <f t="shared" si="47"/>
        <v>0</v>
      </c>
      <c r="H91" s="532">
        <f t="shared" si="47"/>
        <v>0</v>
      </c>
      <c r="I91" s="532">
        <f t="shared" si="47"/>
        <v>2837183.1428571427</v>
      </c>
      <c r="J91" s="532">
        <f t="shared" si="47"/>
        <v>1538118.857142857</v>
      </c>
      <c r="K91" s="532">
        <f t="shared" si="47"/>
        <v>785680.28571428568</v>
      </c>
      <c r="L91" s="532">
        <f t="shared" si="47"/>
        <v>339206.74285714288</v>
      </c>
      <c r="M91" s="532">
        <f t="shared" si="47"/>
        <v>237166.71428571429</v>
      </c>
      <c r="N91" s="532">
        <f t="shared" si="47"/>
        <v>635800.61904761905</v>
      </c>
      <c r="O91" s="532">
        <f t="shared" si="47"/>
        <v>1093624.1666666667</v>
      </c>
      <c r="P91" s="532">
        <f t="shared" si="47"/>
        <v>768466.66666666686</v>
      </c>
      <c r="Q91" s="532">
        <f t="shared" si="47"/>
        <v>315271.42857142864</v>
      </c>
      <c r="R91" s="532">
        <f t="shared" si="47"/>
        <v>511618.19047619059</v>
      </c>
      <c r="S91" s="532">
        <f t="shared" si="47"/>
        <v>1296571.4285714289</v>
      </c>
      <c r="T91" s="532">
        <f t="shared" si="47"/>
        <v>794719.52380952402</v>
      </c>
      <c r="U91" s="532">
        <f t="shared" si="47"/>
        <v>744384.38095238118</v>
      </c>
      <c r="V91" s="532">
        <f t="shared" si="47"/>
        <v>1200599.1428571427</v>
      </c>
      <c r="W91" s="532">
        <f t="shared" si="47"/>
        <v>1352912.6428571427</v>
      </c>
      <c r="X91" s="532">
        <f t="shared" si="47"/>
        <v>905953.47619047621</v>
      </c>
      <c r="Y91" s="532">
        <f t="shared" si="47"/>
        <v>850011.14285714284</v>
      </c>
      <c r="Z91" s="532">
        <f t="shared" si="47"/>
        <v>1470826.6428571427</v>
      </c>
      <c r="AA91" s="532">
        <f t="shared" si="47"/>
        <v>193094.73809523808</v>
      </c>
      <c r="AB91" s="532">
        <f t="shared" si="47"/>
        <v>1046745.904761905</v>
      </c>
      <c r="AC91" s="532">
        <f t="shared" si="47"/>
        <v>4417092.8571428573</v>
      </c>
      <c r="AD91" s="532">
        <f t="shared" si="47"/>
        <v>668026.19999999995</v>
      </c>
      <c r="AE91" s="532">
        <f t="shared" si="47"/>
        <v>1245131.142857143</v>
      </c>
      <c r="AF91" s="532">
        <f t="shared" si="47"/>
        <v>569401.71428571432</v>
      </c>
      <c r="AG91" s="532">
        <f t="shared" si="47"/>
        <v>1207043.142857143</v>
      </c>
      <c r="AH91" s="532">
        <f t="shared" si="47"/>
        <v>3084608.1428571427</v>
      </c>
      <c r="AI91" s="532">
        <f t="shared" si="47"/>
        <v>2593534.2857142859</v>
      </c>
      <c r="AJ91" s="532">
        <f t="shared" si="47"/>
        <v>1990164.4571428571</v>
      </c>
      <c r="AK91" s="532">
        <f t="shared" si="47"/>
        <v>0</v>
      </c>
      <c r="AL91" s="532">
        <f t="shared" si="47"/>
        <v>563118.71269841271</v>
      </c>
      <c r="AM91" s="532">
        <f t="shared" si="47"/>
        <v>563118.71269841271</v>
      </c>
      <c r="AN91" s="532">
        <f t="shared" si="47"/>
        <v>563118.71269841271</v>
      </c>
      <c r="AO91" s="532">
        <f t="shared" si="47"/>
        <v>727812.19047619042</v>
      </c>
      <c r="AP91" s="532">
        <f t="shared" si="47"/>
        <v>589200.04285714286</v>
      </c>
      <c r="AQ91" s="532">
        <f t="shared" si="47"/>
        <v>1379726.1666666667</v>
      </c>
      <c r="AR91" s="532">
        <f t="shared" si="47"/>
        <v>1833204.1428571427</v>
      </c>
      <c r="AS91" s="532">
        <f t="shared" si="47"/>
        <v>729288.25714285718</v>
      </c>
      <c r="AT91" s="532">
        <f t="shared" si="47"/>
        <v>893821.11428571434</v>
      </c>
      <c r="AU91" s="532">
        <f t="shared" si="47"/>
        <v>805473.42857142852</v>
      </c>
      <c r="AV91" s="532">
        <f t="shared" si="47"/>
        <v>1410037.6285714286</v>
      </c>
      <c r="AW91" s="532">
        <f t="shared" si="47"/>
        <v>528588</v>
      </c>
      <c r="AX91" s="532">
        <f t="shared" si="47"/>
        <v>666315.17142857146</v>
      </c>
      <c r="AY91" s="532">
        <f t="shared" si="47"/>
        <v>748592.30952380947</v>
      </c>
      <c r="AZ91" s="532">
        <f t="shared" si="47"/>
        <v>7030992.8571428573</v>
      </c>
      <c r="BA91" s="532">
        <f t="shared" si="47"/>
        <v>0</v>
      </c>
      <c r="BB91" s="532">
        <f t="shared" si="47"/>
        <v>671358.51428571425</v>
      </c>
      <c r="BC91" s="532">
        <f t="shared" si="47"/>
        <v>455544.54285714286</v>
      </c>
      <c r="BD91" s="532">
        <f t="shared" si="47"/>
        <v>912902.57142857148</v>
      </c>
      <c r="BE91" s="532">
        <f t="shared" si="47"/>
        <v>691071.42857142852</v>
      </c>
      <c r="BF91" s="532">
        <f t="shared" si="47"/>
        <v>324608.57142857142</v>
      </c>
      <c r="BG91" s="532">
        <f t="shared" si="47"/>
        <v>1432259.142857143</v>
      </c>
      <c r="BH91" s="532">
        <f t="shared" si="47"/>
        <v>952516.28571428568</v>
      </c>
      <c r="BI91" s="532">
        <f t="shared" si="47"/>
        <v>781469.14285714284</v>
      </c>
      <c r="BJ91" s="532">
        <f t="shared" si="47"/>
        <v>433524</v>
      </c>
      <c r="BK91" s="532">
        <f t="shared" si="47"/>
        <v>2977399.7142857141</v>
      </c>
      <c r="BL91" s="532">
        <f t="shared" si="47"/>
        <v>475651.60952380951</v>
      </c>
      <c r="BM91" s="532">
        <f t="shared" si="47"/>
        <v>948371.88095238095</v>
      </c>
      <c r="BN91" s="532">
        <f t="shared" si="47"/>
        <v>5694457.6095238095</v>
      </c>
      <c r="BO91" s="532">
        <f t="shared" ref="BO91:DZ92" si="48">+IF(BO$3&lt;=$B$105,BO6*$B$107,+IF(BO$3=$C$105,BO6*$C$107,+IF(BO$3=$D$105,BO6*$D$107,+IF(BO$3=$E$105,BO6*$E$107,IF(BO$3=$F$105,BO6*$F$107,0)))))</f>
        <v>2616455.1428571427</v>
      </c>
      <c r="BP91" s="532">
        <f t="shared" si="48"/>
        <v>807561.6</v>
      </c>
      <c r="BQ91" s="532">
        <f t="shared" si="48"/>
        <v>646342.71428571432</v>
      </c>
      <c r="BR91" s="532">
        <f t="shared" si="48"/>
        <v>812060.22857142857</v>
      </c>
      <c r="BS91" s="532">
        <f t="shared" si="48"/>
        <v>4843679.4095238093</v>
      </c>
      <c r="BT91" s="532">
        <f t="shared" si="48"/>
        <v>2274018.1666666665</v>
      </c>
      <c r="BU91" s="532">
        <f t="shared" si="48"/>
        <v>1580209.0285714285</v>
      </c>
      <c r="BV91" s="532">
        <f t="shared" si="48"/>
        <v>0</v>
      </c>
      <c r="BW91" s="532">
        <f t="shared" si="48"/>
        <v>2095128.6857142858</v>
      </c>
      <c r="BX91" s="532">
        <f t="shared" si="48"/>
        <v>487269.42857142858</v>
      </c>
      <c r="BY91" s="532">
        <f t="shared" si="48"/>
        <v>0</v>
      </c>
      <c r="BZ91" s="532">
        <f t="shared" si="48"/>
        <v>0</v>
      </c>
      <c r="CA91" s="532">
        <f t="shared" si="48"/>
        <v>4567271.7428571433</v>
      </c>
      <c r="CB91" s="532">
        <f t="shared" si="48"/>
        <v>2023408.6190476189</v>
      </c>
      <c r="CC91" s="532">
        <f t="shared" si="48"/>
        <v>2119069.3666666667</v>
      </c>
      <c r="CD91" s="532">
        <f t="shared" si="48"/>
        <v>959737.04761904757</v>
      </c>
      <c r="CE91" s="532">
        <f t="shared" si="48"/>
        <v>36681690.428571425</v>
      </c>
      <c r="CF91" s="532">
        <f t="shared" si="48"/>
        <v>3097752.8571428573</v>
      </c>
      <c r="CG91" s="532">
        <f t="shared" si="48"/>
        <v>0</v>
      </c>
      <c r="CH91" s="532">
        <f t="shared" si="48"/>
        <v>1437063</v>
      </c>
      <c r="CI91" s="532">
        <f t="shared" si="48"/>
        <v>572728.76190476189</v>
      </c>
      <c r="CJ91" s="532">
        <f t="shared" si="48"/>
        <v>136909.52380952385</v>
      </c>
      <c r="CK91" s="532">
        <f t="shared" si="48"/>
        <v>2780069.1428571427</v>
      </c>
      <c r="CL91" s="532">
        <f t="shared" si="48"/>
        <v>0</v>
      </c>
      <c r="CM91" s="532">
        <f t="shared" si="48"/>
        <v>7475485.5428571431</v>
      </c>
      <c r="CN91" s="532">
        <f t="shared" si="48"/>
        <v>0</v>
      </c>
      <c r="CO91" s="532">
        <f t="shared" si="48"/>
        <v>0</v>
      </c>
      <c r="CP91" s="532">
        <f t="shared" si="48"/>
        <v>0</v>
      </c>
      <c r="CQ91" s="532">
        <f t="shared" si="48"/>
        <v>1766475.3285714285</v>
      </c>
      <c r="CR91" s="532">
        <f t="shared" si="48"/>
        <v>2603490.4714285713</v>
      </c>
      <c r="CS91" s="532">
        <f t="shared" si="48"/>
        <v>805690.47619047621</v>
      </c>
      <c r="CT91" s="532">
        <f t="shared" si="48"/>
        <v>1624886.1523809524</v>
      </c>
      <c r="CU91" s="532">
        <f t="shared" si="48"/>
        <v>1255394.419047619</v>
      </c>
      <c r="CV91" s="532">
        <f t="shared" si="48"/>
        <v>0</v>
      </c>
      <c r="CW91" s="532">
        <f t="shared" si="48"/>
        <v>1898596.4761904767</v>
      </c>
      <c r="CX91" s="532">
        <f t="shared" si="48"/>
        <v>537871.42857142875</v>
      </c>
      <c r="CY91" s="532">
        <f t="shared" si="48"/>
        <v>1308324.7619047621</v>
      </c>
      <c r="CZ91" s="532">
        <f t="shared" si="48"/>
        <v>18062329.371428572</v>
      </c>
      <c r="DA91" s="532">
        <f t="shared" si="48"/>
        <v>3938467.7142857146</v>
      </c>
      <c r="DB91" s="532">
        <f t="shared" si="48"/>
        <v>2169550.2000000002</v>
      </c>
      <c r="DC91" s="532">
        <f t="shared" si="48"/>
        <v>934102.02857142861</v>
      </c>
      <c r="DD91" s="532">
        <f t="shared" si="48"/>
        <v>0</v>
      </c>
      <c r="DE91" s="532">
        <f t="shared" si="48"/>
        <v>1631009.5238095243</v>
      </c>
      <c r="DF91" s="532">
        <f t="shared" si="48"/>
        <v>5301110.3809523806</v>
      </c>
      <c r="DG91" s="532">
        <f t="shared" si="48"/>
        <v>10967228.857142856</v>
      </c>
      <c r="DH91" s="532">
        <f t="shared" si="48"/>
        <v>10077214.48095238</v>
      </c>
      <c r="DI91" s="532">
        <f t="shared" si="48"/>
        <v>4280582.0571428575</v>
      </c>
      <c r="DJ91" s="532">
        <f t="shared" si="48"/>
        <v>55660551.752380952</v>
      </c>
      <c r="DK91" s="532">
        <f t="shared" si="48"/>
        <v>13531699.028571429</v>
      </c>
      <c r="DL91" s="532">
        <f t="shared" si="48"/>
        <v>4329527.2857142854</v>
      </c>
      <c r="DM91" s="532">
        <f t="shared" si="48"/>
        <v>5893528.9714285713</v>
      </c>
      <c r="DN91" s="532">
        <f t="shared" si="48"/>
        <v>2965255.5380952382</v>
      </c>
      <c r="DO91" s="532">
        <f t="shared" si="48"/>
        <v>0</v>
      </c>
      <c r="DP91" s="532">
        <f t="shared" si="48"/>
        <v>639400.57142857136</v>
      </c>
      <c r="DQ91" s="532">
        <f t="shared" si="48"/>
        <v>21593950.285714287</v>
      </c>
      <c r="DR91" s="532">
        <f t="shared" si="48"/>
        <v>281754.16666666669</v>
      </c>
      <c r="DS91" s="532">
        <f t="shared" si="48"/>
        <v>1221394.1904761905</v>
      </c>
      <c r="DT91" s="532">
        <f t="shared" si="48"/>
        <v>0</v>
      </c>
      <c r="DU91" s="532">
        <f t="shared" si="48"/>
        <v>3088648.1142857145</v>
      </c>
      <c r="DV91" s="532">
        <f t="shared" si="48"/>
        <v>0</v>
      </c>
      <c r="DW91" s="532">
        <f t="shared" si="48"/>
        <v>2915728.5428571431</v>
      </c>
      <c r="DX91" s="532">
        <f t="shared" si="48"/>
        <v>8775678.0857142862</v>
      </c>
      <c r="DY91" s="532">
        <f t="shared" si="48"/>
        <v>4392803.8</v>
      </c>
      <c r="DZ91" s="532">
        <f t="shared" si="48"/>
        <v>0</v>
      </c>
      <c r="EA91" s="532">
        <f t="shared" ref="EA91:GA92" si="49">+IF(EA$3&lt;=$B$105,EA6*$B$107,+IF(EA$3=$C$105,EA6*$C$107,+IF(EA$3=$D$105,EA6*$D$107,+IF(EA$3=$E$105,EA6*$E$107,IF(EA$3=$F$105,EA6*$F$107,0)))))</f>
        <v>73571620.714285716</v>
      </c>
      <c r="EB91" s="532">
        <f t="shared" si="49"/>
        <v>458206.26190476189</v>
      </c>
      <c r="EC91" s="532">
        <f t="shared" si="49"/>
        <v>2339809.4285714291</v>
      </c>
      <c r="ED91" s="532">
        <f t="shared" si="49"/>
        <v>10647379.885714285</v>
      </c>
      <c r="EE91" s="532">
        <f t="shared" si="49"/>
        <v>599008.28571428568</v>
      </c>
      <c r="EF91" s="532">
        <f t="shared" si="49"/>
        <v>689913.04761904781</v>
      </c>
      <c r="EG91" s="532">
        <f t="shared" si="49"/>
        <v>1572737.4285714286</v>
      </c>
      <c r="EH91" s="532">
        <f t="shared" si="49"/>
        <v>6554063.8285714285</v>
      </c>
      <c r="EI91" s="532">
        <f t="shared" si="49"/>
        <v>23309397</v>
      </c>
      <c r="EJ91" s="532">
        <f t="shared" si="49"/>
        <v>3842550.3428571429</v>
      </c>
      <c r="EK91" s="532">
        <f t="shared" si="49"/>
        <v>613367.42857142852</v>
      </c>
      <c r="EL91" s="532">
        <f t="shared" si="49"/>
        <v>637663.71428571432</v>
      </c>
      <c r="EM91" s="532">
        <f t="shared" si="49"/>
        <v>2634529.1142857145</v>
      </c>
      <c r="EN91" s="532">
        <f t="shared" si="49"/>
        <v>2358714.2857142854</v>
      </c>
      <c r="EO91" s="532">
        <f t="shared" si="49"/>
        <v>0</v>
      </c>
      <c r="EP91" s="532">
        <f t="shared" si="49"/>
        <v>11768228.571428571</v>
      </c>
      <c r="EQ91" s="532">
        <f t="shared" si="49"/>
        <v>4158558</v>
      </c>
      <c r="ER91" s="532">
        <f t="shared" si="49"/>
        <v>8700803.9047619049</v>
      </c>
      <c r="ES91" s="532">
        <f t="shared" si="49"/>
        <v>2565179.4142857143</v>
      </c>
      <c r="ET91" s="532">
        <f t="shared" si="49"/>
        <v>0</v>
      </c>
      <c r="EU91" s="532">
        <f t="shared" si="49"/>
        <v>18580547.22857143</v>
      </c>
      <c r="EV91" s="532">
        <f t="shared" si="49"/>
        <v>2332297.2285714285</v>
      </c>
      <c r="EW91" s="532">
        <f t="shared" si="49"/>
        <v>2815942.5904761902</v>
      </c>
      <c r="EX91" s="532">
        <f t="shared" si="49"/>
        <v>2619045.9523809524</v>
      </c>
      <c r="EY91" s="532">
        <f t="shared" si="49"/>
        <v>1440093.6904761905</v>
      </c>
      <c r="EZ91" s="532">
        <f t="shared" si="49"/>
        <v>1072951.2619047619</v>
      </c>
      <c r="FA91" s="532">
        <f t="shared" si="49"/>
        <v>4586771.9047619049</v>
      </c>
      <c r="FB91" s="532">
        <f t="shared" si="49"/>
        <v>1251495.2380952383</v>
      </c>
      <c r="FC91" s="532">
        <f t="shared" si="49"/>
        <v>1461351.5238095243</v>
      </c>
      <c r="FD91" s="532">
        <f t="shared" si="49"/>
        <v>1612564.2857142861</v>
      </c>
      <c r="FE91" s="532">
        <f t="shared" si="49"/>
        <v>925388.57142857159</v>
      </c>
      <c r="FF91" s="532">
        <f t="shared" si="49"/>
        <v>1159730.9523809527</v>
      </c>
      <c r="FG91" s="532">
        <f t="shared" si="49"/>
        <v>786711.42857142852</v>
      </c>
      <c r="FH91" s="532">
        <f t="shared" si="49"/>
        <v>6094465.7142857146</v>
      </c>
      <c r="FI91" s="532">
        <f t="shared" si="49"/>
        <v>0</v>
      </c>
      <c r="FJ91" s="532">
        <f t="shared" si="49"/>
        <v>0</v>
      </c>
      <c r="FK91" s="532">
        <f t="shared" si="49"/>
        <v>0</v>
      </c>
      <c r="FL91" s="532">
        <f t="shared" si="49"/>
        <v>409074.85714285716</v>
      </c>
      <c r="FM91" s="532">
        <f t="shared" si="49"/>
        <v>0</v>
      </c>
      <c r="FN91" s="532">
        <f t="shared" si="49"/>
        <v>1600442.6571428571</v>
      </c>
      <c r="FO91" s="532">
        <f t="shared" si="49"/>
        <v>673325.82857142854</v>
      </c>
      <c r="FP91" s="532">
        <f t="shared" si="49"/>
        <v>1025365.7142857143</v>
      </c>
      <c r="FQ91" s="532">
        <f t="shared" si="49"/>
        <v>0</v>
      </c>
      <c r="FR91" s="532">
        <f t="shared" si="49"/>
        <v>1635033.857142857</v>
      </c>
      <c r="FS91" s="532">
        <f t="shared" si="49"/>
        <v>0</v>
      </c>
      <c r="FT91" s="532">
        <f t="shared" si="49"/>
        <v>0</v>
      </c>
      <c r="FU91" s="532">
        <f t="shared" si="49"/>
        <v>1392218.5714285714</v>
      </c>
      <c r="FV91" s="532">
        <f t="shared" si="49"/>
        <v>0</v>
      </c>
      <c r="FW91" s="532">
        <f t="shared" si="49"/>
        <v>0</v>
      </c>
      <c r="FX91" s="532">
        <f t="shared" si="49"/>
        <v>0</v>
      </c>
      <c r="FY91" s="532">
        <f t="shared" si="49"/>
        <v>0</v>
      </c>
      <c r="FZ91" s="532">
        <f t="shared" si="49"/>
        <v>0</v>
      </c>
      <c r="GA91" s="532">
        <f t="shared" si="49"/>
        <v>0</v>
      </c>
    </row>
    <row r="92" spans="1:183" x14ac:dyDescent="0.2">
      <c r="A92" s="438" t="s">
        <v>1180</v>
      </c>
      <c r="B92" s="532">
        <f t="shared" ref="B92:Q92" si="50">+IF(B$3&lt;=$B$105,B7*$B$107,+IF(B$3=$C$105,B7*$C$107,+IF(B$3=$D$105,B7*$D$107,+IF(B$3=$E$105,B7*$E$107,IF(B$3=$F$105,B7*$F$107,0)))))</f>
        <v>29266.285714285714</v>
      </c>
      <c r="C92" s="532">
        <f t="shared" si="50"/>
        <v>83725.71428571429</v>
      </c>
      <c r="D92" s="532">
        <f t="shared" si="50"/>
        <v>0</v>
      </c>
      <c r="E92" s="532">
        <f t="shared" si="50"/>
        <v>0</v>
      </c>
      <c r="F92" s="532">
        <f t="shared" si="50"/>
        <v>0</v>
      </c>
      <c r="G92" s="532">
        <f t="shared" si="50"/>
        <v>0</v>
      </c>
      <c r="H92" s="532">
        <f t="shared" si="50"/>
        <v>0</v>
      </c>
      <c r="I92" s="532">
        <f t="shared" si="50"/>
        <v>68828.571428571435</v>
      </c>
      <c r="J92" s="532">
        <f t="shared" si="50"/>
        <v>0</v>
      </c>
      <c r="K92" s="532">
        <f t="shared" si="50"/>
        <v>0</v>
      </c>
      <c r="L92" s="532">
        <f t="shared" si="50"/>
        <v>0</v>
      </c>
      <c r="M92" s="532">
        <f t="shared" si="50"/>
        <v>0</v>
      </c>
      <c r="N92" s="532">
        <f t="shared" si="50"/>
        <v>3619.0476190476188</v>
      </c>
      <c r="O92" s="532">
        <f t="shared" si="50"/>
        <v>114588.09523809524</v>
      </c>
      <c r="P92" s="532">
        <f t="shared" si="50"/>
        <v>0</v>
      </c>
      <c r="Q92" s="532">
        <f t="shared" si="50"/>
        <v>0</v>
      </c>
      <c r="R92" s="532">
        <f t="shared" si="47"/>
        <v>0</v>
      </c>
      <c r="S92" s="532">
        <f t="shared" si="47"/>
        <v>0</v>
      </c>
      <c r="T92" s="532">
        <f t="shared" si="47"/>
        <v>0</v>
      </c>
      <c r="U92" s="532">
        <f t="shared" si="47"/>
        <v>35238.095238095244</v>
      </c>
      <c r="V92" s="532">
        <f t="shared" si="47"/>
        <v>56547.619047619046</v>
      </c>
      <c r="W92" s="532">
        <f t="shared" si="47"/>
        <v>139695.23809523811</v>
      </c>
      <c r="X92" s="532">
        <f t="shared" si="47"/>
        <v>45238.095238095237</v>
      </c>
      <c r="Y92" s="532">
        <f t="shared" si="47"/>
        <v>0</v>
      </c>
      <c r="Z92" s="532">
        <f t="shared" si="47"/>
        <v>60982.038095238095</v>
      </c>
      <c r="AA92" s="532">
        <f t="shared" si="47"/>
        <v>0</v>
      </c>
      <c r="AB92" s="532">
        <f t="shared" si="47"/>
        <v>0</v>
      </c>
      <c r="AC92" s="532">
        <f t="shared" si="47"/>
        <v>136628.57142857142</v>
      </c>
      <c r="AD92" s="532">
        <f t="shared" si="47"/>
        <v>0</v>
      </c>
      <c r="AE92" s="532">
        <f t="shared" si="47"/>
        <v>42000</v>
      </c>
      <c r="AF92" s="532">
        <f t="shared" si="47"/>
        <v>0</v>
      </c>
      <c r="AG92" s="532">
        <f t="shared" si="47"/>
        <v>0</v>
      </c>
      <c r="AH92" s="532">
        <f t="shared" si="47"/>
        <v>538858.45714285714</v>
      </c>
      <c r="AI92" s="532">
        <f t="shared" si="47"/>
        <v>124285.71428571429</v>
      </c>
      <c r="AJ92" s="532">
        <f t="shared" si="47"/>
        <v>36818.28571428571</v>
      </c>
      <c r="AK92" s="532">
        <f t="shared" si="47"/>
        <v>0</v>
      </c>
      <c r="AL92" s="532">
        <f t="shared" si="47"/>
        <v>19904.761904761905</v>
      </c>
      <c r="AM92" s="532">
        <f t="shared" si="47"/>
        <v>19904.761904761905</v>
      </c>
      <c r="AN92" s="532">
        <f t="shared" si="47"/>
        <v>19904.761904761905</v>
      </c>
      <c r="AO92" s="532">
        <f t="shared" si="47"/>
        <v>0</v>
      </c>
      <c r="AP92" s="532">
        <f t="shared" si="47"/>
        <v>0</v>
      </c>
      <c r="AQ92" s="532">
        <f t="shared" si="47"/>
        <v>0</v>
      </c>
      <c r="AR92" s="532">
        <f t="shared" si="47"/>
        <v>0</v>
      </c>
      <c r="AS92" s="532">
        <f t="shared" si="47"/>
        <v>94070.314285714281</v>
      </c>
      <c r="AT92" s="532">
        <f t="shared" si="47"/>
        <v>0</v>
      </c>
      <c r="AU92" s="532">
        <f t="shared" si="47"/>
        <v>80142.857142857145</v>
      </c>
      <c r="AV92" s="532">
        <f t="shared" si="47"/>
        <v>0</v>
      </c>
      <c r="AW92" s="532">
        <f t="shared" si="47"/>
        <v>0</v>
      </c>
      <c r="AX92" s="532">
        <f t="shared" si="47"/>
        <v>62571.428571428572</v>
      </c>
      <c r="AY92" s="532">
        <f t="shared" si="47"/>
        <v>0</v>
      </c>
      <c r="AZ92" s="532">
        <f t="shared" si="47"/>
        <v>2122457.1428571427</v>
      </c>
      <c r="BA92" s="532">
        <f t="shared" si="47"/>
        <v>0</v>
      </c>
      <c r="BB92" s="532">
        <f t="shared" si="47"/>
        <v>18514.285714285714</v>
      </c>
      <c r="BC92" s="532">
        <f t="shared" si="47"/>
        <v>0</v>
      </c>
      <c r="BD92" s="532">
        <f t="shared" si="47"/>
        <v>1714.2857142857142</v>
      </c>
      <c r="BE92" s="532">
        <f t="shared" si="47"/>
        <v>45496.028571428571</v>
      </c>
      <c r="BF92" s="532">
        <f t="shared" si="47"/>
        <v>0</v>
      </c>
      <c r="BG92" s="532">
        <f t="shared" si="47"/>
        <v>147514.28571428571</v>
      </c>
      <c r="BH92" s="532">
        <f t="shared" si="47"/>
        <v>83914.28571428571</v>
      </c>
      <c r="BI92" s="532">
        <f t="shared" si="47"/>
        <v>46885.714285714283</v>
      </c>
      <c r="BJ92" s="532">
        <f t="shared" si="47"/>
        <v>0</v>
      </c>
      <c r="BK92" s="532">
        <f t="shared" si="47"/>
        <v>232714.28571428571</v>
      </c>
      <c r="BL92" s="532">
        <f t="shared" si="47"/>
        <v>0</v>
      </c>
      <c r="BM92" s="532">
        <f t="shared" si="47"/>
        <v>0</v>
      </c>
      <c r="BN92" s="532">
        <f t="shared" si="47"/>
        <v>27142.857142857141</v>
      </c>
      <c r="BO92" s="532">
        <f t="shared" si="48"/>
        <v>25577.142857142859</v>
      </c>
      <c r="BP92" s="532">
        <f t="shared" si="48"/>
        <v>0</v>
      </c>
      <c r="BQ92" s="532">
        <f t="shared" si="48"/>
        <v>0</v>
      </c>
      <c r="BR92" s="532">
        <f t="shared" si="48"/>
        <v>0</v>
      </c>
      <c r="BS92" s="532">
        <f t="shared" si="48"/>
        <v>0</v>
      </c>
      <c r="BT92" s="532">
        <f t="shared" si="48"/>
        <v>0</v>
      </c>
      <c r="BU92" s="532">
        <f t="shared" si="48"/>
        <v>0</v>
      </c>
      <c r="BV92" s="532">
        <f t="shared" si="48"/>
        <v>0</v>
      </c>
      <c r="BW92" s="532">
        <f t="shared" si="48"/>
        <v>0</v>
      </c>
      <c r="BX92" s="532">
        <f t="shared" si="48"/>
        <v>0</v>
      </c>
      <c r="BY92" s="532">
        <f t="shared" si="48"/>
        <v>0</v>
      </c>
      <c r="BZ92" s="532">
        <f t="shared" si="48"/>
        <v>0</v>
      </c>
      <c r="CA92" s="532">
        <f t="shared" si="48"/>
        <v>188571.42857142858</v>
      </c>
      <c r="CB92" s="532">
        <f t="shared" si="48"/>
        <v>111738.09523809524</v>
      </c>
      <c r="CC92" s="532">
        <f t="shared" si="48"/>
        <v>209904.76190476189</v>
      </c>
      <c r="CD92" s="532">
        <f t="shared" si="48"/>
        <v>62428.571428571428</v>
      </c>
      <c r="CE92" s="532">
        <f t="shared" si="48"/>
        <v>4472530.5142857144</v>
      </c>
      <c r="CF92" s="532">
        <f t="shared" si="48"/>
        <v>163457.14285714287</v>
      </c>
      <c r="CG92" s="532">
        <f t="shared" si="48"/>
        <v>0</v>
      </c>
      <c r="CH92" s="532">
        <f t="shared" si="48"/>
        <v>76596.600000000006</v>
      </c>
      <c r="CI92" s="532">
        <f t="shared" si="48"/>
        <v>11761.904761904761</v>
      </c>
      <c r="CJ92" s="532">
        <f t="shared" si="48"/>
        <v>0</v>
      </c>
      <c r="CK92" s="532">
        <f t="shared" si="48"/>
        <v>201428.57142857142</v>
      </c>
      <c r="CL92" s="532">
        <f t="shared" si="48"/>
        <v>0</v>
      </c>
      <c r="CM92" s="532">
        <f t="shared" si="48"/>
        <v>517585.71428571432</v>
      </c>
      <c r="CN92" s="532">
        <f t="shared" si="48"/>
        <v>0</v>
      </c>
      <c r="CO92" s="532">
        <f t="shared" si="48"/>
        <v>0</v>
      </c>
      <c r="CP92" s="532">
        <f t="shared" si="48"/>
        <v>0</v>
      </c>
      <c r="CQ92" s="532">
        <f t="shared" si="48"/>
        <v>76434.28571428571</v>
      </c>
      <c r="CR92" s="532">
        <f t="shared" si="48"/>
        <v>0</v>
      </c>
      <c r="CS92" s="532">
        <f t="shared" si="48"/>
        <v>32752.38095238095</v>
      </c>
      <c r="CT92" s="532">
        <f t="shared" si="48"/>
        <v>151206.61428571428</v>
      </c>
      <c r="CU92" s="532">
        <f t="shared" si="48"/>
        <v>170728.57142857142</v>
      </c>
      <c r="CV92" s="532">
        <f t="shared" si="48"/>
        <v>0</v>
      </c>
      <c r="CW92" s="532">
        <f t="shared" si="48"/>
        <v>0</v>
      </c>
      <c r="CX92" s="532">
        <f t="shared" si="48"/>
        <v>106086.1904761905</v>
      </c>
      <c r="CY92" s="532">
        <f t="shared" si="48"/>
        <v>19828.571428571435</v>
      </c>
      <c r="CZ92" s="532">
        <f t="shared" si="48"/>
        <v>505714.28571428574</v>
      </c>
      <c r="DA92" s="532">
        <f t="shared" si="48"/>
        <v>111428.57142857143</v>
      </c>
      <c r="DB92" s="532">
        <f t="shared" si="48"/>
        <v>150600</v>
      </c>
      <c r="DC92" s="532">
        <f t="shared" si="48"/>
        <v>157714.28571428571</v>
      </c>
      <c r="DD92" s="532">
        <f t="shared" si="48"/>
        <v>0</v>
      </c>
      <c r="DE92" s="532">
        <f t="shared" si="48"/>
        <v>20000.000000000004</v>
      </c>
      <c r="DF92" s="532">
        <f t="shared" si="48"/>
        <v>538333.33333333337</v>
      </c>
      <c r="DG92" s="532">
        <f t="shared" si="48"/>
        <v>557333.33333333337</v>
      </c>
      <c r="DH92" s="532">
        <f t="shared" si="48"/>
        <v>746646.70952380949</v>
      </c>
      <c r="DI92" s="532">
        <f t="shared" si="48"/>
        <v>308571.42857142858</v>
      </c>
      <c r="DJ92" s="532">
        <f t="shared" si="48"/>
        <v>623687.66666666663</v>
      </c>
      <c r="DK92" s="532">
        <f t="shared" si="48"/>
        <v>744446.82857142854</v>
      </c>
      <c r="DL92" s="532">
        <f t="shared" si="48"/>
        <v>244285.71428571429</v>
      </c>
      <c r="DM92" s="532">
        <f t="shared" si="48"/>
        <v>315261.25714285712</v>
      </c>
      <c r="DN92" s="532">
        <f t="shared" si="48"/>
        <v>438809.52380952379</v>
      </c>
      <c r="DO92" s="532">
        <f t="shared" si="48"/>
        <v>0</v>
      </c>
      <c r="DP92" s="532">
        <f t="shared" si="48"/>
        <v>171428.57142857142</v>
      </c>
      <c r="DQ92" s="532">
        <f t="shared" si="48"/>
        <v>1700356.2</v>
      </c>
      <c r="DR92" s="532">
        <f t="shared" si="48"/>
        <v>67632.219047619044</v>
      </c>
      <c r="DS92" s="532">
        <f t="shared" si="48"/>
        <v>271428.57142857142</v>
      </c>
      <c r="DT92" s="532">
        <f t="shared" si="48"/>
        <v>0</v>
      </c>
      <c r="DU92" s="532">
        <f t="shared" si="48"/>
        <v>751062.85714285716</v>
      </c>
      <c r="DV92" s="532">
        <f t="shared" si="48"/>
        <v>0</v>
      </c>
      <c r="DW92" s="532">
        <f t="shared" si="48"/>
        <v>97040.828571428574</v>
      </c>
      <c r="DX92" s="532">
        <f t="shared" si="48"/>
        <v>477257.14285714284</v>
      </c>
      <c r="DY92" s="532">
        <f t="shared" si="48"/>
        <v>177724.19047619047</v>
      </c>
      <c r="DZ92" s="532">
        <f t="shared" si="48"/>
        <v>0</v>
      </c>
      <c r="EA92" s="532">
        <f t="shared" si="49"/>
        <v>1836273.5142857144</v>
      </c>
      <c r="EB92" s="532">
        <f t="shared" si="49"/>
        <v>0</v>
      </c>
      <c r="EC92" s="532">
        <f t="shared" si="49"/>
        <v>45238.095238095251</v>
      </c>
      <c r="ED92" s="532">
        <f t="shared" si="49"/>
        <v>46937.142857142855</v>
      </c>
      <c r="EE92" s="532">
        <f t="shared" si="49"/>
        <v>214285.71428571429</v>
      </c>
      <c r="EF92" s="532">
        <f t="shared" si="49"/>
        <v>0</v>
      </c>
      <c r="EG92" s="532">
        <f t="shared" si="49"/>
        <v>0</v>
      </c>
      <c r="EH92" s="532">
        <f t="shared" si="49"/>
        <v>34285.714285714283</v>
      </c>
      <c r="EI92" s="532">
        <f t="shared" si="49"/>
        <v>2765280</v>
      </c>
      <c r="EJ92" s="532">
        <f t="shared" si="49"/>
        <v>230227.02857142859</v>
      </c>
      <c r="EK92" s="532">
        <f t="shared" si="49"/>
        <v>0</v>
      </c>
      <c r="EL92" s="532">
        <f t="shared" si="49"/>
        <v>0</v>
      </c>
      <c r="EM92" s="532">
        <f t="shared" si="49"/>
        <v>102790.28571428571</v>
      </c>
      <c r="EN92" s="532">
        <f t="shared" si="49"/>
        <v>269980.95238095237</v>
      </c>
      <c r="EO92" s="532">
        <f t="shared" si="49"/>
        <v>0</v>
      </c>
      <c r="EP92" s="532">
        <f t="shared" si="49"/>
        <v>790542.85714285716</v>
      </c>
      <c r="EQ92" s="532">
        <f t="shared" si="49"/>
        <v>0</v>
      </c>
      <c r="ER92" s="532">
        <f t="shared" si="49"/>
        <v>88671.280952380956</v>
      </c>
      <c r="ES92" s="532">
        <f t="shared" si="49"/>
        <v>0</v>
      </c>
      <c r="ET92" s="532">
        <f t="shared" si="49"/>
        <v>0</v>
      </c>
      <c r="EU92" s="532">
        <f t="shared" si="49"/>
        <v>1262389.7142857143</v>
      </c>
      <c r="EV92" s="532">
        <f t="shared" si="49"/>
        <v>73104.761904761908</v>
      </c>
      <c r="EW92" s="532">
        <f t="shared" si="49"/>
        <v>21662.17142857143</v>
      </c>
      <c r="EX92" s="532">
        <f t="shared" si="49"/>
        <v>58809.523809523809</v>
      </c>
      <c r="EY92" s="532">
        <f t="shared" si="49"/>
        <v>45238.095238095237</v>
      </c>
      <c r="EZ92" s="532">
        <f t="shared" si="49"/>
        <v>0</v>
      </c>
      <c r="FA92" s="532">
        <f t="shared" si="49"/>
        <v>79619.047619047618</v>
      </c>
      <c r="FB92" s="532">
        <f t="shared" si="49"/>
        <v>19047.619047619053</v>
      </c>
      <c r="FC92" s="532">
        <f t="shared" si="49"/>
        <v>0</v>
      </c>
      <c r="FD92" s="532">
        <f t="shared" si="49"/>
        <v>0</v>
      </c>
      <c r="FE92" s="532">
        <f t="shared" si="49"/>
        <v>0</v>
      </c>
      <c r="FF92" s="532">
        <f t="shared" si="49"/>
        <v>20000.000000000004</v>
      </c>
      <c r="FG92" s="532">
        <f t="shared" si="49"/>
        <v>0</v>
      </c>
      <c r="FH92" s="532">
        <f t="shared" si="49"/>
        <v>147780</v>
      </c>
      <c r="FI92" s="532">
        <f t="shared" si="49"/>
        <v>0</v>
      </c>
      <c r="FJ92" s="532">
        <f t="shared" si="49"/>
        <v>0</v>
      </c>
      <c r="FK92" s="532">
        <f t="shared" si="49"/>
        <v>0</v>
      </c>
      <c r="FL92" s="532">
        <f t="shared" si="49"/>
        <v>2880</v>
      </c>
      <c r="FM92" s="532">
        <f t="shared" si="49"/>
        <v>0</v>
      </c>
      <c r="FN92" s="532">
        <f t="shared" si="49"/>
        <v>56571.428571428572</v>
      </c>
      <c r="FO92" s="532">
        <f t="shared" si="49"/>
        <v>66767.485714285722</v>
      </c>
      <c r="FP92" s="532">
        <f t="shared" si="49"/>
        <v>34285.714285714283</v>
      </c>
      <c r="FQ92" s="532">
        <f t="shared" si="49"/>
        <v>0</v>
      </c>
      <c r="FR92" s="532">
        <f t="shared" si="49"/>
        <v>82285.71428571429</v>
      </c>
      <c r="FS92" s="532">
        <f t="shared" si="49"/>
        <v>0</v>
      </c>
      <c r="FT92" s="532">
        <f t="shared" si="49"/>
        <v>0</v>
      </c>
      <c r="FU92" s="532">
        <f t="shared" si="49"/>
        <v>106200</v>
      </c>
      <c r="FV92" s="532">
        <f t="shared" si="49"/>
        <v>0</v>
      </c>
      <c r="FW92" s="532">
        <f t="shared" si="49"/>
        <v>0</v>
      </c>
      <c r="FX92" s="532">
        <f t="shared" si="49"/>
        <v>0</v>
      </c>
      <c r="FY92" s="532">
        <f t="shared" si="49"/>
        <v>0</v>
      </c>
      <c r="FZ92" s="532">
        <f t="shared" si="49"/>
        <v>0</v>
      </c>
      <c r="GA92" s="532">
        <f t="shared" si="49"/>
        <v>0</v>
      </c>
    </row>
    <row r="93" spans="1:183" x14ac:dyDescent="0.2">
      <c r="A93" s="438" t="s">
        <v>1483</v>
      </c>
      <c r="B93" s="532">
        <f>+IF(B$3&lt;=$B$105,B9*$B$107,+IF(B$3=$C$105,B9*$C$107,+IF(B$3=$D$105,B9*$D$107,+IF(B$3=$E$105,B9*$E$107,IF(B$3=$F$105,B9*$F$107,0)))))</f>
        <v>18428.571428571428</v>
      </c>
      <c r="C93" s="532">
        <f t="shared" ref="C93:BN93" si="51">+IF(C$3&lt;=$B$105,C9*$B$107,+IF(C$3=$C$105,C9*$C$107,+IF(C$3=$D$105,C9*$D$107,+IF(C$3=$E$105,C9*$E$107,IF(C$3=$F$105,C9*$F$107,0)))))</f>
        <v>0</v>
      </c>
      <c r="D93" s="532">
        <f t="shared" si="51"/>
        <v>497142.85714285716</v>
      </c>
      <c r="E93" s="532">
        <f t="shared" si="51"/>
        <v>0</v>
      </c>
      <c r="F93" s="532">
        <f t="shared" si="51"/>
        <v>0</v>
      </c>
      <c r="G93" s="532">
        <f t="shared" si="51"/>
        <v>0</v>
      </c>
      <c r="H93" s="532">
        <f t="shared" si="51"/>
        <v>0</v>
      </c>
      <c r="I93" s="532">
        <f t="shared" si="51"/>
        <v>428571.42857142858</v>
      </c>
      <c r="J93" s="532">
        <f t="shared" si="51"/>
        <v>85714.28571428571</v>
      </c>
      <c r="K93" s="532">
        <f t="shared" si="51"/>
        <v>0</v>
      </c>
      <c r="L93" s="532">
        <f t="shared" si="51"/>
        <v>0</v>
      </c>
      <c r="M93" s="532">
        <f t="shared" si="51"/>
        <v>0</v>
      </c>
      <c r="N93" s="532">
        <f t="shared" si="51"/>
        <v>45238.095238095237</v>
      </c>
      <c r="O93" s="532">
        <f t="shared" si="51"/>
        <v>212619.0476190476</v>
      </c>
      <c r="P93" s="532">
        <f t="shared" si="51"/>
        <v>52380.952380952396</v>
      </c>
      <c r="Q93" s="532">
        <f t="shared" si="51"/>
        <v>0</v>
      </c>
      <c r="R93" s="532">
        <f t="shared" si="51"/>
        <v>0</v>
      </c>
      <c r="S93" s="532">
        <f t="shared" si="51"/>
        <v>0</v>
      </c>
      <c r="T93" s="532">
        <f t="shared" si="51"/>
        <v>152380.95238095243</v>
      </c>
      <c r="U93" s="532">
        <f t="shared" si="51"/>
        <v>166666.66666666672</v>
      </c>
      <c r="V93" s="532">
        <f t="shared" si="51"/>
        <v>143042.85714285713</v>
      </c>
      <c r="W93" s="532">
        <f t="shared" si="51"/>
        <v>274595.23809523811</v>
      </c>
      <c r="X93" s="532">
        <f t="shared" si="51"/>
        <v>221666.66666666666</v>
      </c>
      <c r="Y93" s="532">
        <f t="shared" si="51"/>
        <v>83509.523809523802</v>
      </c>
      <c r="Z93" s="532">
        <f t="shared" si="51"/>
        <v>159600</v>
      </c>
      <c r="AA93" s="532">
        <f t="shared" si="51"/>
        <v>0</v>
      </c>
      <c r="AB93" s="532">
        <f t="shared" si="51"/>
        <v>85714.285714285739</v>
      </c>
      <c r="AC93" s="532">
        <f t="shared" si="51"/>
        <v>424285.71428571426</v>
      </c>
      <c r="AD93" s="532">
        <f t="shared" si="51"/>
        <v>107030.91428571429</v>
      </c>
      <c r="AE93" s="532">
        <f t="shared" si="51"/>
        <v>102857.14285714286</v>
      </c>
      <c r="AF93" s="532">
        <f t="shared" si="51"/>
        <v>21428.571428571428</v>
      </c>
      <c r="AG93" s="532">
        <f t="shared" si="51"/>
        <v>94285.71428571429</v>
      </c>
      <c r="AH93" s="532">
        <f t="shared" si="51"/>
        <v>942857.14285714284</v>
      </c>
      <c r="AI93" s="532">
        <f t="shared" si="51"/>
        <v>407142.85714285716</v>
      </c>
      <c r="AJ93" s="532">
        <f t="shared" si="51"/>
        <v>622037.14285714284</v>
      </c>
      <c r="AK93" s="532">
        <f t="shared" si="51"/>
        <v>0</v>
      </c>
      <c r="AL93" s="532">
        <f t="shared" si="51"/>
        <v>59714.28571428571</v>
      </c>
      <c r="AM93" s="532">
        <f t="shared" si="51"/>
        <v>59714.28571428571</v>
      </c>
      <c r="AN93" s="532">
        <f t="shared" si="51"/>
        <v>59714.28571428571</v>
      </c>
      <c r="AO93" s="532">
        <f t="shared" si="51"/>
        <v>27142.857142857141</v>
      </c>
      <c r="AP93" s="532">
        <f t="shared" si="51"/>
        <v>27652.509523809524</v>
      </c>
      <c r="AQ93" s="532">
        <f t="shared" si="51"/>
        <v>135714.28571428571</v>
      </c>
      <c r="AR93" s="532">
        <f t="shared" si="51"/>
        <v>90476.190476190473</v>
      </c>
      <c r="AS93" s="532">
        <f t="shared" si="51"/>
        <v>180000</v>
      </c>
      <c r="AT93" s="532">
        <f t="shared" si="51"/>
        <v>51428.571428571428</v>
      </c>
      <c r="AU93" s="532">
        <f t="shared" si="51"/>
        <v>58285.71428571429</v>
      </c>
      <c r="AV93" s="532">
        <f t="shared" si="51"/>
        <v>41837.142857142855</v>
      </c>
      <c r="AW93" s="532">
        <f t="shared" si="51"/>
        <v>34285.714285714283</v>
      </c>
      <c r="AX93" s="532">
        <f t="shared" si="51"/>
        <v>72857.142857142855</v>
      </c>
      <c r="AY93" s="532">
        <f t="shared" si="51"/>
        <v>72380.952380952382</v>
      </c>
      <c r="AZ93" s="532">
        <f t="shared" si="51"/>
        <v>1408971.4285714286</v>
      </c>
      <c r="BA93" s="532">
        <f t="shared" si="51"/>
        <v>0</v>
      </c>
      <c r="BB93" s="532">
        <f t="shared" si="51"/>
        <v>111428.57142857143</v>
      </c>
      <c r="BC93" s="532">
        <f t="shared" si="51"/>
        <v>0</v>
      </c>
      <c r="BD93" s="532">
        <f t="shared" si="51"/>
        <v>115714.28571428571</v>
      </c>
      <c r="BE93" s="532">
        <f t="shared" si="51"/>
        <v>85714.28571428571</v>
      </c>
      <c r="BF93" s="532">
        <f t="shared" si="51"/>
        <v>0</v>
      </c>
      <c r="BG93" s="532">
        <f t="shared" si="51"/>
        <v>154285.71428571429</v>
      </c>
      <c r="BH93" s="532">
        <f t="shared" si="51"/>
        <v>111428.57142857143</v>
      </c>
      <c r="BI93" s="532">
        <f t="shared" si="51"/>
        <v>115714.28571428571</v>
      </c>
      <c r="BJ93" s="532">
        <f t="shared" si="51"/>
        <v>94285.71428571429</v>
      </c>
      <c r="BK93" s="532">
        <f t="shared" si="51"/>
        <v>171428.57142857142</v>
      </c>
      <c r="BL93" s="532">
        <f t="shared" si="51"/>
        <v>0</v>
      </c>
      <c r="BM93" s="532">
        <f t="shared" si="51"/>
        <v>180952.38095238095</v>
      </c>
      <c r="BN93" s="532">
        <f t="shared" si="51"/>
        <v>479523.80952380953</v>
      </c>
      <c r="BO93" s="532">
        <f t="shared" ref="BO93:DZ93" si="52">+IF(BO$3&lt;=$B$105,BO9*$B$107,+IF(BO$3=$C$105,BO9*$C$107,+IF(BO$3=$D$105,BO9*$D$107,+IF(BO$3=$E$105,BO9*$E$107,IF(BO$3=$F$105,BO9*$F$107,0)))))</f>
        <v>480000</v>
      </c>
      <c r="BP93" s="532">
        <f t="shared" si="52"/>
        <v>111428.57142857143</v>
      </c>
      <c r="BQ93" s="532">
        <f t="shared" si="52"/>
        <v>55714.285714285717</v>
      </c>
      <c r="BR93" s="532">
        <f t="shared" si="52"/>
        <v>0</v>
      </c>
      <c r="BS93" s="532">
        <f t="shared" si="52"/>
        <v>670703.61904761905</v>
      </c>
      <c r="BT93" s="532">
        <f t="shared" si="52"/>
        <v>0</v>
      </c>
      <c r="BU93" s="532">
        <f t="shared" si="52"/>
        <v>0</v>
      </c>
      <c r="BV93" s="532">
        <f t="shared" si="52"/>
        <v>0</v>
      </c>
      <c r="BW93" s="532">
        <f t="shared" si="52"/>
        <v>0</v>
      </c>
      <c r="BX93" s="532">
        <f t="shared" si="52"/>
        <v>24560.514285714286</v>
      </c>
      <c r="BY93" s="532">
        <f t="shared" si="52"/>
        <v>0</v>
      </c>
      <c r="BZ93" s="532">
        <f t="shared" si="52"/>
        <v>0</v>
      </c>
      <c r="CA93" s="532">
        <f t="shared" si="52"/>
        <v>411428.57142857142</v>
      </c>
      <c r="CB93" s="532">
        <f t="shared" si="52"/>
        <v>18095.238095238095</v>
      </c>
      <c r="CC93" s="532">
        <f t="shared" si="52"/>
        <v>167380.95238095237</v>
      </c>
      <c r="CD93" s="532">
        <f t="shared" si="52"/>
        <v>63333.333333333328</v>
      </c>
      <c r="CE93" s="532">
        <f t="shared" si="52"/>
        <v>6616976.1904761903</v>
      </c>
      <c r="CF93" s="532">
        <f t="shared" si="52"/>
        <v>394285.71428571426</v>
      </c>
      <c r="CG93" s="532">
        <f t="shared" si="52"/>
        <v>0</v>
      </c>
      <c r="CH93" s="532">
        <f t="shared" si="52"/>
        <v>272978.3142857143</v>
      </c>
      <c r="CI93" s="532">
        <f t="shared" si="52"/>
        <v>27142.857142857141</v>
      </c>
      <c r="CJ93" s="532">
        <f t="shared" si="52"/>
        <v>0</v>
      </c>
      <c r="CK93" s="532">
        <f t="shared" si="52"/>
        <v>222857.14285714287</v>
      </c>
      <c r="CL93" s="532">
        <f t="shared" si="52"/>
        <v>0</v>
      </c>
      <c r="CM93" s="532">
        <f t="shared" si="52"/>
        <v>674620.97142857139</v>
      </c>
      <c r="CN93" s="532">
        <f t="shared" si="52"/>
        <v>0</v>
      </c>
      <c r="CO93" s="532">
        <f t="shared" si="52"/>
        <v>0</v>
      </c>
      <c r="CP93" s="532">
        <f t="shared" si="52"/>
        <v>0</v>
      </c>
      <c r="CQ93" s="532">
        <f t="shared" si="52"/>
        <v>244285.71428571429</v>
      </c>
      <c r="CR93" s="532">
        <f t="shared" si="52"/>
        <v>0</v>
      </c>
      <c r="CS93" s="532">
        <f t="shared" si="52"/>
        <v>0</v>
      </c>
      <c r="CT93" s="532">
        <f t="shared" si="52"/>
        <v>452380.95238095237</v>
      </c>
      <c r="CU93" s="532">
        <f t="shared" si="52"/>
        <v>180952.38095238095</v>
      </c>
      <c r="CV93" s="532">
        <f t="shared" si="52"/>
        <v>0</v>
      </c>
      <c r="CW93" s="532">
        <f t="shared" si="52"/>
        <v>0</v>
      </c>
      <c r="CX93" s="532">
        <f t="shared" si="52"/>
        <v>190476.19047619053</v>
      </c>
      <c r="CY93" s="532">
        <f t="shared" si="52"/>
        <v>47619.047619047633</v>
      </c>
      <c r="CZ93" s="532">
        <f t="shared" si="52"/>
        <v>1714285.7142857143</v>
      </c>
      <c r="DA93" s="532">
        <f t="shared" si="52"/>
        <v>797142.85714285716</v>
      </c>
      <c r="DB93" s="532">
        <f t="shared" si="52"/>
        <v>510000</v>
      </c>
      <c r="DC93" s="532">
        <f t="shared" si="52"/>
        <v>0</v>
      </c>
      <c r="DD93" s="532">
        <f t="shared" si="52"/>
        <v>0</v>
      </c>
      <c r="DE93" s="532">
        <f t="shared" si="52"/>
        <v>0</v>
      </c>
      <c r="DF93" s="532">
        <f t="shared" si="52"/>
        <v>859523.80952380947</v>
      </c>
      <c r="DG93" s="532">
        <f t="shared" si="52"/>
        <v>2069190.4761904762</v>
      </c>
      <c r="DH93" s="532">
        <f t="shared" si="52"/>
        <v>2586714.2857142854</v>
      </c>
      <c r="DI93" s="532">
        <f t="shared" si="52"/>
        <v>1165714.2857142857</v>
      </c>
      <c r="DJ93" s="532">
        <f t="shared" si="52"/>
        <v>2006029.0476190476</v>
      </c>
      <c r="DK93" s="532">
        <f t="shared" si="52"/>
        <v>1041428.5714285715</v>
      </c>
      <c r="DL93" s="532">
        <f t="shared" si="52"/>
        <v>289523.80952380953</v>
      </c>
      <c r="DM93" s="532">
        <f t="shared" si="52"/>
        <v>647142.85714285716</v>
      </c>
      <c r="DN93" s="532">
        <f t="shared" si="52"/>
        <v>814285.71428571432</v>
      </c>
      <c r="DO93" s="532">
        <f t="shared" si="52"/>
        <v>0</v>
      </c>
      <c r="DP93" s="532">
        <f t="shared" si="52"/>
        <v>274285.71428571426</v>
      </c>
      <c r="DQ93" s="532">
        <f t="shared" si="52"/>
        <v>1733927.0571428572</v>
      </c>
      <c r="DR93" s="532">
        <f t="shared" si="52"/>
        <v>125761.90476190476</v>
      </c>
      <c r="DS93" s="532">
        <f t="shared" si="52"/>
        <v>248881.18095238094</v>
      </c>
      <c r="DT93" s="532">
        <f t="shared" si="52"/>
        <v>0</v>
      </c>
      <c r="DU93" s="532">
        <f t="shared" si="52"/>
        <v>282857.14285714284</v>
      </c>
      <c r="DV93" s="532">
        <f t="shared" si="52"/>
        <v>0</v>
      </c>
      <c r="DW93" s="532">
        <f t="shared" si="52"/>
        <v>188571.42857142858</v>
      </c>
      <c r="DX93" s="532">
        <f t="shared" si="52"/>
        <v>548571.42857142852</v>
      </c>
      <c r="DY93" s="532">
        <f t="shared" si="52"/>
        <v>452380.95238095237</v>
      </c>
      <c r="DZ93" s="532">
        <f t="shared" si="52"/>
        <v>0</v>
      </c>
      <c r="EA93" s="532">
        <f t="shared" ref="EA93:GA93" si="53">+IF(EA$3&lt;=$B$105,EA9*$B$107,+IF(EA$3=$C$105,EA9*$C$107,+IF(EA$3=$D$105,EA9*$D$107,+IF(EA$3=$E$105,EA9*$E$107,IF(EA$3=$F$105,EA9*$F$107,0)))))</f>
        <v>16536102.257142857</v>
      </c>
      <c r="EB93" s="532">
        <f t="shared" si="53"/>
        <v>0</v>
      </c>
      <c r="EC93" s="532">
        <f t="shared" si="53"/>
        <v>847619.04761904781</v>
      </c>
      <c r="ED93" s="532">
        <f t="shared" si="53"/>
        <v>0</v>
      </c>
      <c r="EE93" s="532">
        <f t="shared" si="53"/>
        <v>171428.57142857142</v>
      </c>
      <c r="EF93" s="532">
        <f t="shared" si="53"/>
        <v>0</v>
      </c>
      <c r="EG93" s="532">
        <f t="shared" si="53"/>
        <v>0</v>
      </c>
      <c r="EH93" s="532">
        <f t="shared" si="53"/>
        <v>600000</v>
      </c>
      <c r="EI93" s="532">
        <f t="shared" si="53"/>
        <v>4868314.2857142854</v>
      </c>
      <c r="EJ93" s="532">
        <f t="shared" si="53"/>
        <v>415595.22857142857</v>
      </c>
      <c r="EK93" s="532">
        <f t="shared" si="53"/>
        <v>0</v>
      </c>
      <c r="EL93" s="532">
        <f t="shared" si="53"/>
        <v>0</v>
      </c>
      <c r="EM93" s="532">
        <f t="shared" si="53"/>
        <v>0</v>
      </c>
      <c r="EN93" s="532">
        <f t="shared" si="53"/>
        <v>582847.61904761905</v>
      </c>
      <c r="EO93" s="532">
        <f t="shared" si="53"/>
        <v>0</v>
      </c>
      <c r="EP93" s="532">
        <f t="shared" si="53"/>
        <v>1168200</v>
      </c>
      <c r="EQ93" s="532">
        <f t="shared" si="53"/>
        <v>685714.28571428568</v>
      </c>
      <c r="ER93" s="532">
        <f t="shared" si="53"/>
        <v>669523.80952380947</v>
      </c>
      <c r="ES93" s="532">
        <f t="shared" si="53"/>
        <v>156071.42857142858</v>
      </c>
      <c r="ET93" s="532">
        <f t="shared" si="53"/>
        <v>0</v>
      </c>
      <c r="EU93" s="532">
        <f t="shared" si="53"/>
        <v>2335714.2857142859</v>
      </c>
      <c r="EV93" s="532">
        <f t="shared" si="53"/>
        <v>425238.09523809521</v>
      </c>
      <c r="EW93" s="532">
        <f t="shared" si="53"/>
        <v>452380.95238095237</v>
      </c>
      <c r="EX93" s="532">
        <f t="shared" si="53"/>
        <v>570000</v>
      </c>
      <c r="EY93" s="532">
        <f t="shared" si="53"/>
        <v>370138.09523809521</v>
      </c>
      <c r="EZ93" s="532">
        <f t="shared" si="53"/>
        <v>171904.76190476189</v>
      </c>
      <c r="FA93" s="532">
        <f t="shared" si="53"/>
        <v>461428.57142857142</v>
      </c>
      <c r="FB93" s="532">
        <f t="shared" si="53"/>
        <v>0</v>
      </c>
      <c r="FC93" s="532">
        <f t="shared" si="53"/>
        <v>95238.095238095266</v>
      </c>
      <c r="FD93" s="532">
        <f t="shared" si="53"/>
        <v>11428.571428571431</v>
      </c>
      <c r="FE93" s="532">
        <f t="shared" si="53"/>
        <v>0</v>
      </c>
      <c r="FF93" s="532">
        <f t="shared" si="53"/>
        <v>95238.095238095266</v>
      </c>
      <c r="FG93" s="532">
        <f t="shared" si="53"/>
        <v>0</v>
      </c>
      <c r="FH93" s="532">
        <f t="shared" si="53"/>
        <v>1061914.2857142857</v>
      </c>
      <c r="FI93" s="532">
        <f t="shared" si="53"/>
        <v>0</v>
      </c>
      <c r="FJ93" s="532">
        <f t="shared" si="53"/>
        <v>0</v>
      </c>
      <c r="FK93" s="532">
        <f t="shared" si="53"/>
        <v>0</v>
      </c>
      <c r="FL93" s="532">
        <f t="shared" si="53"/>
        <v>115714.28571428571</v>
      </c>
      <c r="FM93" s="532">
        <f t="shared" si="53"/>
        <v>0</v>
      </c>
      <c r="FN93" s="532">
        <f t="shared" si="53"/>
        <v>169714.28571428571</v>
      </c>
      <c r="FO93" s="532">
        <f t="shared" si="53"/>
        <v>154285.71428571429</v>
      </c>
      <c r="FP93" s="532">
        <f t="shared" si="53"/>
        <v>60000</v>
      </c>
      <c r="FQ93" s="532">
        <f t="shared" si="53"/>
        <v>0</v>
      </c>
      <c r="FR93" s="532">
        <f t="shared" si="53"/>
        <v>1465714.2857142857</v>
      </c>
      <c r="FS93" s="532">
        <f t="shared" si="53"/>
        <v>0</v>
      </c>
      <c r="FT93" s="532">
        <f t="shared" si="53"/>
        <v>0</v>
      </c>
      <c r="FU93" s="532">
        <f t="shared" si="53"/>
        <v>281941.8</v>
      </c>
      <c r="FV93" s="532">
        <f t="shared" si="53"/>
        <v>0</v>
      </c>
      <c r="FW93" s="532">
        <f t="shared" si="53"/>
        <v>0</v>
      </c>
      <c r="FX93" s="532">
        <f t="shared" si="53"/>
        <v>0</v>
      </c>
      <c r="FY93" s="532">
        <f t="shared" si="53"/>
        <v>0</v>
      </c>
      <c r="FZ93" s="532">
        <f t="shared" si="53"/>
        <v>0</v>
      </c>
      <c r="GA93" s="532">
        <f t="shared" si="53"/>
        <v>0</v>
      </c>
    </row>
    <row r="94" spans="1:183" x14ac:dyDescent="0.2">
      <c r="A94" s="438" t="s">
        <v>1181</v>
      </c>
      <c r="B94" s="532">
        <f>+IF(B$3&lt;=$B$105,B35*$B$107,+IF(B$3=$C$105,B35*$C$107,+IF(B$3=$D$105,B35*$D$107,+IF(B$3=$E$105,B35*$E$107,IF(B$3=$F$105,B35*$F$107,0)))))</f>
        <v>1288690.7142857143</v>
      </c>
      <c r="C94" s="532">
        <f t="shared" ref="C94:BN95" si="54">+IF(C$3&lt;=$B$105,C35*$B$107,+IF(C$3=$C$105,C35*$C$107,+IF(C$3=$D$105,C35*$D$107,+IF(C$3=$E$105,C35*$E$107,IF(C$3=$F$105,C35*$F$107,0)))))</f>
        <v>1085184.7714285715</v>
      </c>
      <c r="D94" s="532">
        <f t="shared" si="54"/>
        <v>2482200</v>
      </c>
      <c r="E94" s="532">
        <f t="shared" si="54"/>
        <v>0</v>
      </c>
      <c r="F94" s="532">
        <f t="shared" si="54"/>
        <v>0</v>
      </c>
      <c r="G94" s="532">
        <f t="shared" si="54"/>
        <v>0</v>
      </c>
      <c r="H94" s="532">
        <f t="shared" si="54"/>
        <v>0</v>
      </c>
      <c r="I94" s="532">
        <f t="shared" si="54"/>
        <v>2316424.2857142859</v>
      </c>
      <c r="J94" s="532">
        <f t="shared" si="54"/>
        <v>1264967.142857143</v>
      </c>
      <c r="K94" s="532">
        <f t="shared" si="54"/>
        <v>1001301.4285714286</v>
      </c>
      <c r="L94" s="532">
        <f t="shared" si="54"/>
        <v>599430.42857142852</v>
      </c>
      <c r="M94" s="532">
        <f t="shared" si="54"/>
        <v>378410.4</v>
      </c>
      <c r="N94" s="532">
        <f t="shared" si="54"/>
        <v>1244977.8952380952</v>
      </c>
      <c r="O94" s="532">
        <f t="shared" si="54"/>
        <v>1973620.4761904762</v>
      </c>
      <c r="P94" s="532">
        <f t="shared" si="54"/>
        <v>988680.00000000023</v>
      </c>
      <c r="Q94" s="532">
        <f t="shared" si="54"/>
        <v>821594.19047619065</v>
      </c>
      <c r="R94" s="532">
        <f t="shared" si="54"/>
        <v>1097487.1428571432</v>
      </c>
      <c r="S94" s="532">
        <f t="shared" si="54"/>
        <v>1639238.0952380956</v>
      </c>
      <c r="T94" s="532">
        <f t="shared" si="54"/>
        <v>900891.42857142875</v>
      </c>
      <c r="U94" s="532">
        <f t="shared" si="54"/>
        <v>1117457.6190476194</v>
      </c>
      <c r="V94" s="532">
        <f t="shared" si="54"/>
        <v>1091173.6190476189</v>
      </c>
      <c r="W94" s="532">
        <f t="shared" si="54"/>
        <v>1524542.357142857</v>
      </c>
      <c r="X94" s="532">
        <f t="shared" si="54"/>
        <v>1017440.9523809523</v>
      </c>
      <c r="Y94" s="532">
        <f t="shared" si="54"/>
        <v>981578</v>
      </c>
      <c r="Z94" s="532">
        <f t="shared" si="54"/>
        <v>2320303.5238095238</v>
      </c>
      <c r="AA94" s="532">
        <f t="shared" si="54"/>
        <v>216365.39523809523</v>
      </c>
      <c r="AB94" s="532">
        <f t="shared" si="54"/>
        <v>1417856.9523809527</v>
      </c>
      <c r="AC94" s="532">
        <f t="shared" si="54"/>
        <v>5050204.0285714287</v>
      </c>
      <c r="AD94" s="532">
        <f t="shared" si="54"/>
        <v>963223.02857142861</v>
      </c>
      <c r="AE94" s="532">
        <f t="shared" si="54"/>
        <v>1671982.2857142857</v>
      </c>
      <c r="AF94" s="532">
        <f t="shared" si="54"/>
        <v>738582</v>
      </c>
      <c r="AG94" s="532">
        <f t="shared" si="54"/>
        <v>1147157.142857143</v>
      </c>
      <c r="AH94" s="532">
        <f t="shared" si="54"/>
        <v>3863319</v>
      </c>
      <c r="AI94" s="532">
        <f t="shared" si="54"/>
        <v>3187465.7142857141</v>
      </c>
      <c r="AJ94" s="532">
        <f t="shared" si="54"/>
        <v>3237414.2857142854</v>
      </c>
      <c r="AK94" s="532">
        <f t="shared" si="54"/>
        <v>0</v>
      </c>
      <c r="AL94" s="532">
        <f t="shared" si="54"/>
        <v>1001196.9476190476</v>
      </c>
      <c r="AM94" s="532">
        <f t="shared" si="54"/>
        <v>1001196.9476190476</v>
      </c>
      <c r="AN94" s="532">
        <f t="shared" si="54"/>
        <v>1001196.9476190476</v>
      </c>
      <c r="AO94" s="532">
        <f t="shared" si="54"/>
        <v>1778952.8095238095</v>
      </c>
      <c r="AP94" s="532">
        <f t="shared" si="54"/>
        <v>1034890.9142857143</v>
      </c>
      <c r="AQ94" s="532">
        <f t="shared" si="54"/>
        <v>1688420.5238095238</v>
      </c>
      <c r="AR94" s="532">
        <f t="shared" si="54"/>
        <v>2881437.7619047617</v>
      </c>
      <c r="AS94" s="532">
        <f t="shared" si="54"/>
        <v>1756054.2</v>
      </c>
      <c r="AT94" s="532">
        <f t="shared" si="54"/>
        <v>1026831</v>
      </c>
      <c r="AU94" s="532">
        <f t="shared" si="54"/>
        <v>1583946.4285714286</v>
      </c>
      <c r="AV94" s="532">
        <f t="shared" si="54"/>
        <v>1845937.5428571429</v>
      </c>
      <c r="AW94" s="532">
        <f t="shared" si="54"/>
        <v>606692.57142857148</v>
      </c>
      <c r="AX94" s="532">
        <f t="shared" si="54"/>
        <v>845697.6857142857</v>
      </c>
      <c r="AY94" s="532">
        <f t="shared" si="54"/>
        <v>1160416.857142857</v>
      </c>
      <c r="AZ94" s="532">
        <f t="shared" si="54"/>
        <v>5700323.1428571427</v>
      </c>
      <c r="BA94" s="532">
        <f t="shared" si="54"/>
        <v>951462.85714285716</v>
      </c>
      <c r="BB94" s="532">
        <f t="shared" si="54"/>
        <v>398905.02857142856</v>
      </c>
      <c r="BC94" s="532">
        <f t="shared" si="54"/>
        <v>608621.75238095236</v>
      </c>
      <c r="BD94" s="532">
        <f t="shared" si="54"/>
        <v>1624829.8285714285</v>
      </c>
      <c r="BE94" s="532">
        <f t="shared" si="54"/>
        <v>835390.28571428568</v>
      </c>
      <c r="BF94" s="532">
        <f t="shared" si="54"/>
        <v>875255.14285714284</v>
      </c>
      <c r="BG94" s="532">
        <f t="shared" si="54"/>
        <v>2196316.9714285713</v>
      </c>
      <c r="BH94" s="532">
        <f t="shared" si="54"/>
        <v>931040.57142857148</v>
      </c>
      <c r="BI94" s="532">
        <f t="shared" si="54"/>
        <v>1169440.5428571429</v>
      </c>
      <c r="BJ94" s="532">
        <f t="shared" si="54"/>
        <v>548150.57142857148</v>
      </c>
      <c r="BK94" s="532">
        <f t="shared" si="54"/>
        <v>4524654.4285714282</v>
      </c>
      <c r="BL94" s="532">
        <f t="shared" si="54"/>
        <v>537383.33333333337</v>
      </c>
      <c r="BM94" s="532">
        <f t="shared" si="54"/>
        <v>692572.61904761905</v>
      </c>
      <c r="BN94" s="532">
        <f t="shared" si="54"/>
        <v>5384869.166666667</v>
      </c>
      <c r="BO94" s="532">
        <f t="shared" ref="BO94:DZ95" si="55">+IF(BO$3&lt;=$B$105,BO35*$B$107,+IF(BO$3=$C$105,BO35*$C$107,+IF(BO$3=$D$105,BO35*$D$107,+IF(BO$3=$E$105,BO35*$E$107,IF(BO$3=$F$105,BO35*$F$107,0)))))</f>
        <v>2856339</v>
      </c>
      <c r="BP94" s="532">
        <f t="shared" si="55"/>
        <v>1075524.4285714286</v>
      </c>
      <c r="BQ94" s="532">
        <f t="shared" si="55"/>
        <v>1525668.857142857</v>
      </c>
      <c r="BR94" s="532">
        <f t="shared" si="55"/>
        <v>1511229.0857142857</v>
      </c>
      <c r="BS94" s="532">
        <f t="shared" si="55"/>
        <v>3642858.2380952379</v>
      </c>
      <c r="BT94" s="532">
        <f t="shared" si="55"/>
        <v>2395235</v>
      </c>
      <c r="BU94" s="532">
        <f t="shared" si="55"/>
        <v>1690473.7142857143</v>
      </c>
      <c r="BV94" s="532">
        <f t="shared" si="55"/>
        <v>0</v>
      </c>
      <c r="BW94" s="532">
        <f t="shared" si="55"/>
        <v>2075757.0857142857</v>
      </c>
      <c r="BX94" s="532">
        <f t="shared" si="55"/>
        <v>679395.42857142852</v>
      </c>
      <c r="BY94" s="532">
        <f t="shared" si="55"/>
        <v>0</v>
      </c>
      <c r="BZ94" s="532">
        <f t="shared" si="55"/>
        <v>0</v>
      </c>
      <c r="CA94" s="532">
        <f t="shared" si="55"/>
        <v>4901815.3714285716</v>
      </c>
      <c r="CB94" s="532">
        <f t="shared" si="55"/>
        <v>3784996.8761904761</v>
      </c>
      <c r="CC94" s="532">
        <f t="shared" si="55"/>
        <v>2801912.9904761906</v>
      </c>
      <c r="CD94" s="532">
        <f t="shared" si="55"/>
        <v>1226783.857142857</v>
      </c>
      <c r="CE94" s="532">
        <f t="shared" si="55"/>
        <v>44422347.971428573</v>
      </c>
      <c r="CF94" s="532">
        <f t="shared" si="55"/>
        <v>4029812.6571428571</v>
      </c>
      <c r="CG94" s="532">
        <f t="shared" si="55"/>
        <v>359550.85714285716</v>
      </c>
      <c r="CH94" s="532">
        <f t="shared" si="55"/>
        <v>1208730.6000000001</v>
      </c>
      <c r="CI94" s="532">
        <f t="shared" si="55"/>
        <v>814499.23809523811</v>
      </c>
      <c r="CJ94" s="532">
        <f t="shared" si="55"/>
        <v>753648.76190476213</v>
      </c>
      <c r="CK94" s="532">
        <f t="shared" si="55"/>
        <v>1512105.0857142857</v>
      </c>
      <c r="CL94" s="532">
        <f t="shared" si="55"/>
        <v>0</v>
      </c>
      <c r="CM94" s="532">
        <f t="shared" si="55"/>
        <v>6737004</v>
      </c>
      <c r="CN94" s="532">
        <f t="shared" si="55"/>
        <v>0</v>
      </c>
      <c r="CO94" s="532">
        <f t="shared" si="55"/>
        <v>0</v>
      </c>
      <c r="CP94" s="532">
        <f t="shared" si="55"/>
        <v>0</v>
      </c>
      <c r="CQ94" s="532">
        <f t="shared" si="55"/>
        <v>2114021.6095238095</v>
      </c>
      <c r="CR94" s="532">
        <f t="shared" si="55"/>
        <v>2060434.1904761905</v>
      </c>
      <c r="CS94" s="532">
        <f t="shared" si="55"/>
        <v>1065900</v>
      </c>
      <c r="CT94" s="532">
        <f t="shared" si="55"/>
        <v>2371716.9809523807</v>
      </c>
      <c r="CU94" s="532">
        <f t="shared" si="55"/>
        <v>1648464.4285714286</v>
      </c>
      <c r="CV94" s="532">
        <f t="shared" si="55"/>
        <v>0</v>
      </c>
      <c r="CW94" s="532">
        <f t="shared" si="55"/>
        <v>2462566.6666666674</v>
      </c>
      <c r="CX94" s="532">
        <f t="shared" si="55"/>
        <v>470342.85714285728</v>
      </c>
      <c r="CY94" s="532">
        <f t="shared" si="55"/>
        <v>1398257.1428571432</v>
      </c>
      <c r="CZ94" s="532">
        <f t="shared" si="55"/>
        <v>15158589.6</v>
      </c>
      <c r="DA94" s="532">
        <f t="shared" si="55"/>
        <v>5802383.1428571427</v>
      </c>
      <c r="DB94" s="532">
        <f t="shared" si="55"/>
        <v>2500707.4285714286</v>
      </c>
      <c r="DC94" s="532">
        <f t="shared" si="55"/>
        <v>1838693.142857143</v>
      </c>
      <c r="DD94" s="532">
        <f t="shared" si="55"/>
        <v>10108124.66666667</v>
      </c>
      <c r="DE94" s="532">
        <f t="shared" si="55"/>
        <v>2457822.3809523815</v>
      </c>
      <c r="DF94" s="532">
        <f t="shared" si="55"/>
        <v>6449062.333333333</v>
      </c>
      <c r="DG94" s="532">
        <f t="shared" si="55"/>
        <v>11018800.738095237</v>
      </c>
      <c r="DH94" s="532">
        <f t="shared" si="55"/>
        <v>9590815.4761904757</v>
      </c>
      <c r="DI94" s="532">
        <f t="shared" si="55"/>
        <v>4467998.3142857142</v>
      </c>
      <c r="DJ94" s="532">
        <f t="shared" si="55"/>
        <v>54214694.095238097</v>
      </c>
      <c r="DK94" s="532">
        <f t="shared" si="55"/>
        <v>13727685.942857143</v>
      </c>
      <c r="DL94" s="532">
        <f t="shared" si="55"/>
        <v>4124762.0238095238</v>
      </c>
      <c r="DM94" s="532">
        <f t="shared" si="55"/>
        <v>7409671.0285714287</v>
      </c>
      <c r="DN94" s="532">
        <f t="shared" si="55"/>
        <v>2701627.0095238094</v>
      </c>
      <c r="DO94" s="532">
        <f t="shared" si="55"/>
        <v>0</v>
      </c>
      <c r="DP94" s="532">
        <f t="shared" si="55"/>
        <v>764967.54285714286</v>
      </c>
      <c r="DQ94" s="532">
        <f t="shared" si="55"/>
        <v>18748323.428571429</v>
      </c>
      <c r="DR94" s="532">
        <f t="shared" si="55"/>
        <v>394693.33333333331</v>
      </c>
      <c r="DS94" s="532">
        <f t="shared" si="55"/>
        <v>1315640.5238095238</v>
      </c>
      <c r="DT94" s="532">
        <f t="shared" si="55"/>
        <v>0</v>
      </c>
      <c r="DU94" s="532">
        <f t="shared" si="55"/>
        <v>4142000.7428571428</v>
      </c>
      <c r="DV94" s="532">
        <f t="shared" si="55"/>
        <v>0</v>
      </c>
      <c r="DW94" s="532">
        <f t="shared" si="55"/>
        <v>3839635.2857142859</v>
      </c>
      <c r="DX94" s="532">
        <f t="shared" si="55"/>
        <v>9458814.4285714291</v>
      </c>
      <c r="DY94" s="532">
        <f t="shared" si="55"/>
        <v>4559257.6428571427</v>
      </c>
      <c r="DZ94" s="532">
        <f t="shared" si="55"/>
        <v>0</v>
      </c>
      <c r="EA94" s="532">
        <f t="shared" ref="EA94:GA95" si="56">+IF(EA$3&lt;=$B$105,EA35*$B$107,+IF(EA$3=$C$105,EA35*$C$107,+IF(EA$3=$D$105,EA35*$D$107,+IF(EA$3=$E$105,EA35*$E$107,IF(EA$3=$F$105,EA35*$F$107,0)))))</f>
        <v>56227866.857142858</v>
      </c>
      <c r="EB94" s="532">
        <f t="shared" si="56"/>
        <v>704557.09523809527</v>
      </c>
      <c r="EC94" s="532">
        <f t="shared" si="56"/>
        <v>3225301.333333334</v>
      </c>
      <c r="ED94" s="532">
        <f t="shared" si="56"/>
        <v>11486719.971428571</v>
      </c>
      <c r="EE94" s="532">
        <f t="shared" si="56"/>
        <v>831431.14285714284</v>
      </c>
      <c r="EF94" s="532">
        <f t="shared" si="56"/>
        <v>793045.71428571444</v>
      </c>
      <c r="EG94" s="532">
        <f t="shared" si="56"/>
        <v>1432812.857142857</v>
      </c>
      <c r="EH94" s="532">
        <f t="shared" si="56"/>
        <v>6117990.5999999996</v>
      </c>
      <c r="EI94" s="532">
        <f t="shared" si="56"/>
        <v>20643690.342857145</v>
      </c>
      <c r="EJ94" s="532">
        <f t="shared" si="56"/>
        <v>3789338.4</v>
      </c>
      <c r="EK94" s="532">
        <f t="shared" si="56"/>
        <v>796128.57142857136</v>
      </c>
      <c r="EL94" s="532">
        <f t="shared" si="56"/>
        <v>692557.14285714284</v>
      </c>
      <c r="EM94" s="532">
        <f t="shared" si="56"/>
        <v>3498895.7142857141</v>
      </c>
      <c r="EN94" s="532">
        <f t="shared" si="56"/>
        <v>2449009.5238095238</v>
      </c>
      <c r="EO94" s="532">
        <f t="shared" si="56"/>
        <v>0</v>
      </c>
      <c r="EP94" s="532">
        <f t="shared" si="56"/>
        <v>13354542.857142856</v>
      </c>
      <c r="EQ94" s="532">
        <f t="shared" si="56"/>
        <v>4268415</v>
      </c>
      <c r="ER94" s="532">
        <f t="shared" si="56"/>
        <v>9965946.0476190466</v>
      </c>
      <c r="ES94" s="532">
        <f t="shared" si="56"/>
        <v>3400276.7333333334</v>
      </c>
      <c r="ET94" s="532">
        <f t="shared" si="56"/>
        <v>0</v>
      </c>
      <c r="EU94" s="532">
        <f t="shared" si="56"/>
        <v>27937168.285714287</v>
      </c>
      <c r="EV94" s="532">
        <f t="shared" si="56"/>
        <v>3091958.4857142856</v>
      </c>
      <c r="EW94" s="532">
        <f t="shared" si="56"/>
        <v>4108066</v>
      </c>
      <c r="EX94" s="532">
        <f t="shared" si="56"/>
        <v>2984633.0952380951</v>
      </c>
      <c r="EY94" s="532">
        <f t="shared" si="56"/>
        <v>1937506.9047619046</v>
      </c>
      <c r="EZ94" s="532">
        <f t="shared" si="56"/>
        <v>1386563.9047619046</v>
      </c>
      <c r="FA94" s="532">
        <f t="shared" si="56"/>
        <v>4734867.8571428573</v>
      </c>
      <c r="FB94" s="532">
        <f t="shared" si="56"/>
        <v>1511595.2380952383</v>
      </c>
      <c r="FC94" s="532">
        <f t="shared" si="56"/>
        <v>1837686.0952380956</v>
      </c>
      <c r="FD94" s="532">
        <f t="shared" si="56"/>
        <v>2457342.8571428577</v>
      </c>
      <c r="FE94" s="532">
        <f t="shared" si="56"/>
        <v>2008178.0952380956</v>
      </c>
      <c r="FF94" s="532">
        <f t="shared" si="56"/>
        <v>1524861.9047619051</v>
      </c>
      <c r="FG94" s="532">
        <f t="shared" si="56"/>
        <v>1606820.5714285714</v>
      </c>
      <c r="FH94" s="532">
        <f t="shared" si="56"/>
        <v>7618080</v>
      </c>
      <c r="FI94" s="532">
        <f t="shared" si="56"/>
        <v>0</v>
      </c>
      <c r="FJ94" s="532">
        <f t="shared" si="56"/>
        <v>0</v>
      </c>
      <c r="FK94" s="532">
        <f t="shared" si="56"/>
        <v>0</v>
      </c>
      <c r="FL94" s="532">
        <f t="shared" si="56"/>
        <v>482399.22857142857</v>
      </c>
      <c r="FM94" s="532">
        <f t="shared" si="56"/>
        <v>0</v>
      </c>
      <c r="FN94" s="532">
        <f t="shared" si="56"/>
        <v>2845507.1142857145</v>
      </c>
      <c r="FO94" s="532">
        <f t="shared" si="56"/>
        <v>524972.05714285711</v>
      </c>
      <c r="FP94" s="532">
        <f t="shared" si="56"/>
        <v>1219195.7142857143</v>
      </c>
      <c r="FQ94" s="532">
        <f t="shared" si="56"/>
        <v>0</v>
      </c>
      <c r="FR94" s="532">
        <f t="shared" si="56"/>
        <v>970878</v>
      </c>
      <c r="FS94" s="532">
        <f t="shared" si="56"/>
        <v>0</v>
      </c>
      <c r="FT94" s="532">
        <f t="shared" si="56"/>
        <v>721117.71428571432</v>
      </c>
      <c r="FU94" s="532">
        <f t="shared" si="56"/>
        <v>1593235.7142857143</v>
      </c>
      <c r="FV94" s="532">
        <f t="shared" si="56"/>
        <v>0</v>
      </c>
      <c r="FW94" s="532">
        <f t="shared" si="56"/>
        <v>0</v>
      </c>
      <c r="FX94" s="532">
        <f t="shared" si="56"/>
        <v>0</v>
      </c>
      <c r="FY94" s="532">
        <f t="shared" si="56"/>
        <v>0</v>
      </c>
      <c r="FZ94" s="532">
        <f t="shared" si="56"/>
        <v>0</v>
      </c>
      <c r="GA94" s="532">
        <f t="shared" si="56"/>
        <v>0</v>
      </c>
    </row>
    <row r="95" spans="1:183" x14ac:dyDescent="0.2">
      <c r="A95" s="438" t="s">
        <v>1182</v>
      </c>
      <c r="B95" s="532">
        <f t="shared" ref="B95:Q95" si="57">+IF(B$3&lt;=$B$105,B36*$B$107,+IF(B$3=$C$105,B36*$C$107,+IF(B$3=$D$105,B36*$D$107,+IF(B$3=$E$105,B36*$E$107,IF(B$3=$F$105,B36*$F$107,0)))))</f>
        <v>67988.571428571435</v>
      </c>
      <c r="C95" s="532">
        <f t="shared" si="57"/>
        <v>0</v>
      </c>
      <c r="D95" s="532">
        <f t="shared" si="57"/>
        <v>0</v>
      </c>
      <c r="E95" s="532">
        <f t="shared" si="57"/>
        <v>0</v>
      </c>
      <c r="F95" s="532">
        <f t="shared" si="57"/>
        <v>0</v>
      </c>
      <c r="G95" s="532">
        <f t="shared" si="57"/>
        <v>0</v>
      </c>
      <c r="H95" s="532">
        <f t="shared" si="57"/>
        <v>0</v>
      </c>
      <c r="I95" s="532">
        <f t="shared" si="57"/>
        <v>42428.571428571428</v>
      </c>
      <c r="J95" s="532">
        <f t="shared" si="57"/>
        <v>44314.285714285717</v>
      </c>
      <c r="K95" s="532">
        <f t="shared" si="57"/>
        <v>42582.857142857145</v>
      </c>
      <c r="L95" s="532">
        <f t="shared" si="57"/>
        <v>0</v>
      </c>
      <c r="M95" s="532">
        <f t="shared" si="57"/>
        <v>70285.71428571429</v>
      </c>
      <c r="N95" s="532">
        <f t="shared" si="57"/>
        <v>0</v>
      </c>
      <c r="O95" s="532">
        <f t="shared" si="57"/>
        <v>0</v>
      </c>
      <c r="P95" s="532">
        <f t="shared" si="57"/>
        <v>0</v>
      </c>
      <c r="Q95" s="532">
        <f t="shared" si="57"/>
        <v>91647.619047619068</v>
      </c>
      <c r="R95" s="532">
        <f t="shared" si="54"/>
        <v>0</v>
      </c>
      <c r="S95" s="532">
        <f t="shared" si="54"/>
        <v>0</v>
      </c>
      <c r="T95" s="532">
        <f t="shared" si="54"/>
        <v>80236.000000000015</v>
      </c>
      <c r="U95" s="532">
        <f t="shared" si="54"/>
        <v>42649.523809523816</v>
      </c>
      <c r="V95" s="532">
        <f t="shared" si="54"/>
        <v>0</v>
      </c>
      <c r="W95" s="532">
        <f t="shared" si="54"/>
        <v>0</v>
      </c>
      <c r="X95" s="532">
        <f t="shared" si="54"/>
        <v>0</v>
      </c>
      <c r="Y95" s="532">
        <f t="shared" si="54"/>
        <v>30039.180952380953</v>
      </c>
      <c r="Z95" s="532">
        <f t="shared" si="54"/>
        <v>0</v>
      </c>
      <c r="AA95" s="532">
        <f t="shared" si="54"/>
        <v>117619.04761904762</v>
      </c>
      <c r="AB95" s="532">
        <f t="shared" si="54"/>
        <v>314285.71428571438</v>
      </c>
      <c r="AC95" s="532">
        <f t="shared" si="54"/>
        <v>146521.11428571428</v>
      </c>
      <c r="AD95" s="532">
        <f t="shared" si="54"/>
        <v>81821.057142857142</v>
      </c>
      <c r="AE95" s="532">
        <f t="shared" si="54"/>
        <v>84395.485714285722</v>
      </c>
      <c r="AF95" s="532">
        <f t="shared" si="54"/>
        <v>78321.600000000006</v>
      </c>
      <c r="AG95" s="532">
        <f t="shared" si="54"/>
        <v>0</v>
      </c>
      <c r="AH95" s="532">
        <f t="shared" si="54"/>
        <v>78456.771428571432</v>
      </c>
      <c r="AI95" s="532">
        <f t="shared" si="54"/>
        <v>309171.42857142858</v>
      </c>
      <c r="AJ95" s="532">
        <f t="shared" si="54"/>
        <v>445942.8571428571</v>
      </c>
      <c r="AK95" s="532">
        <f t="shared" si="54"/>
        <v>0</v>
      </c>
      <c r="AL95" s="532">
        <f t="shared" si="54"/>
        <v>28189.455555555556</v>
      </c>
      <c r="AM95" s="532">
        <f t="shared" si="54"/>
        <v>28189.455555555556</v>
      </c>
      <c r="AN95" s="532">
        <f t="shared" si="54"/>
        <v>28189.455555555556</v>
      </c>
      <c r="AO95" s="532">
        <f t="shared" si="54"/>
        <v>167380.95238095237</v>
      </c>
      <c r="AP95" s="532">
        <f t="shared" si="54"/>
        <v>0</v>
      </c>
      <c r="AQ95" s="532">
        <f t="shared" si="54"/>
        <v>0</v>
      </c>
      <c r="AR95" s="532">
        <f t="shared" si="54"/>
        <v>50620.523809523809</v>
      </c>
      <c r="AS95" s="532">
        <f t="shared" si="54"/>
        <v>193194.42857142858</v>
      </c>
      <c r="AT95" s="532">
        <f t="shared" si="54"/>
        <v>12857.142857142857</v>
      </c>
      <c r="AU95" s="532">
        <f t="shared" si="54"/>
        <v>166699.37142857144</v>
      </c>
      <c r="AV95" s="532">
        <f t="shared" si="54"/>
        <v>233425.71428571429</v>
      </c>
      <c r="AW95" s="532">
        <f t="shared" si="54"/>
        <v>0</v>
      </c>
      <c r="AX95" s="532">
        <f t="shared" si="54"/>
        <v>141428.57142857142</v>
      </c>
      <c r="AY95" s="532">
        <f t="shared" si="54"/>
        <v>0</v>
      </c>
      <c r="AZ95" s="532">
        <f t="shared" si="54"/>
        <v>594342.85714285716</v>
      </c>
      <c r="BA95" s="532">
        <f t="shared" si="54"/>
        <v>30000</v>
      </c>
      <c r="BB95" s="532">
        <f t="shared" si="54"/>
        <v>15428.571428571429</v>
      </c>
      <c r="BC95" s="532">
        <f t="shared" si="54"/>
        <v>111423.14761904761</v>
      </c>
      <c r="BD95" s="532">
        <f t="shared" si="54"/>
        <v>77116.28571428571</v>
      </c>
      <c r="BE95" s="532">
        <f t="shared" si="54"/>
        <v>0</v>
      </c>
      <c r="BF95" s="532">
        <f t="shared" si="54"/>
        <v>96644.314285714281</v>
      </c>
      <c r="BG95" s="532">
        <f t="shared" si="54"/>
        <v>464308.71428571432</v>
      </c>
      <c r="BH95" s="532">
        <f t="shared" si="54"/>
        <v>100291.62857142858</v>
      </c>
      <c r="BI95" s="532">
        <f t="shared" si="54"/>
        <v>125468.57142857143</v>
      </c>
      <c r="BJ95" s="532">
        <f t="shared" si="54"/>
        <v>86714.828571428574</v>
      </c>
      <c r="BK95" s="532">
        <f t="shared" si="54"/>
        <v>48857.142857142855</v>
      </c>
      <c r="BL95" s="532">
        <f t="shared" si="54"/>
        <v>0</v>
      </c>
      <c r="BM95" s="532">
        <f t="shared" si="54"/>
        <v>0</v>
      </c>
      <c r="BN95" s="532">
        <f t="shared" si="54"/>
        <v>1019122</v>
      </c>
      <c r="BO95" s="532">
        <f t="shared" si="55"/>
        <v>751639.02857142861</v>
      </c>
      <c r="BP95" s="532">
        <f t="shared" si="55"/>
        <v>222857.14285714287</v>
      </c>
      <c r="BQ95" s="532">
        <f t="shared" si="55"/>
        <v>244654.54285714286</v>
      </c>
      <c r="BR95" s="532">
        <f t="shared" si="55"/>
        <v>154926</v>
      </c>
      <c r="BS95" s="532">
        <f t="shared" si="55"/>
        <v>230424.49047619046</v>
      </c>
      <c r="BT95" s="532">
        <f t="shared" si="55"/>
        <v>571194.28571428568</v>
      </c>
      <c r="BU95" s="532">
        <f t="shared" si="55"/>
        <v>438765.71428571426</v>
      </c>
      <c r="BV95" s="532">
        <f t="shared" si="55"/>
        <v>0</v>
      </c>
      <c r="BW95" s="532">
        <f t="shared" si="55"/>
        <v>1414285.7142857143</v>
      </c>
      <c r="BX95" s="532">
        <f t="shared" si="55"/>
        <v>0</v>
      </c>
      <c r="BY95" s="532">
        <f t="shared" si="55"/>
        <v>0</v>
      </c>
      <c r="BZ95" s="532">
        <f t="shared" si="55"/>
        <v>0</v>
      </c>
      <c r="CA95" s="532">
        <f t="shared" si="55"/>
        <v>835542.85714285716</v>
      </c>
      <c r="CB95" s="532">
        <f t="shared" si="55"/>
        <v>248809.52380952382</v>
      </c>
      <c r="CC95" s="532">
        <f t="shared" si="55"/>
        <v>211804.76190476189</v>
      </c>
      <c r="CD95" s="532">
        <f t="shared" si="55"/>
        <v>94869.804761904757</v>
      </c>
      <c r="CE95" s="532">
        <f t="shared" si="55"/>
        <v>3267981.1809523809</v>
      </c>
      <c r="CF95" s="532">
        <f t="shared" si="55"/>
        <v>0</v>
      </c>
      <c r="CG95" s="532">
        <f t="shared" si="55"/>
        <v>0</v>
      </c>
      <c r="CH95" s="532">
        <f t="shared" si="55"/>
        <v>50194.37142857143</v>
      </c>
      <c r="CI95" s="532">
        <f t="shared" si="55"/>
        <v>0</v>
      </c>
      <c r="CJ95" s="532">
        <f t="shared" si="55"/>
        <v>0</v>
      </c>
      <c r="CK95" s="532">
        <f t="shared" si="55"/>
        <v>0</v>
      </c>
      <c r="CL95" s="532">
        <f t="shared" si="55"/>
        <v>0</v>
      </c>
      <c r="CM95" s="532">
        <f t="shared" si="55"/>
        <v>920196.85714285716</v>
      </c>
      <c r="CN95" s="532">
        <f t="shared" si="55"/>
        <v>0</v>
      </c>
      <c r="CO95" s="532">
        <f t="shared" si="55"/>
        <v>0</v>
      </c>
      <c r="CP95" s="532">
        <f t="shared" si="55"/>
        <v>0</v>
      </c>
      <c r="CQ95" s="532">
        <f t="shared" si="55"/>
        <v>107923.61904761904</v>
      </c>
      <c r="CR95" s="532">
        <f t="shared" si="55"/>
        <v>718833.33333333337</v>
      </c>
      <c r="CS95" s="532">
        <f t="shared" si="55"/>
        <v>160685.71428571429</v>
      </c>
      <c r="CT95" s="532">
        <f t="shared" si="55"/>
        <v>32127.823809523808</v>
      </c>
      <c r="CU95" s="532">
        <f t="shared" si="55"/>
        <v>0</v>
      </c>
      <c r="CV95" s="532">
        <f t="shared" si="55"/>
        <v>0</v>
      </c>
      <c r="CW95" s="532">
        <f t="shared" si="55"/>
        <v>228571.42857142864</v>
      </c>
      <c r="CX95" s="532">
        <f t="shared" si="55"/>
        <v>321904.76190476195</v>
      </c>
      <c r="CY95" s="532">
        <f t="shared" si="55"/>
        <v>585217.5238095239</v>
      </c>
      <c r="CZ95" s="532">
        <f t="shared" si="55"/>
        <v>4401985.7142857146</v>
      </c>
      <c r="DA95" s="532">
        <f t="shared" si="55"/>
        <v>608571.42857142852</v>
      </c>
      <c r="DB95" s="532">
        <f t="shared" si="55"/>
        <v>47657.142857142855</v>
      </c>
      <c r="DC95" s="532">
        <f t="shared" si="55"/>
        <v>68571.428571428565</v>
      </c>
      <c r="DD95" s="532">
        <f t="shared" si="55"/>
        <v>1087952.3809523813</v>
      </c>
      <c r="DE95" s="532">
        <f t="shared" si="55"/>
        <v>228571.42857142864</v>
      </c>
      <c r="DF95" s="532">
        <f t="shared" si="55"/>
        <v>97714.28571428571</v>
      </c>
      <c r="DG95" s="532">
        <f t="shared" si="55"/>
        <v>1492857.1428571427</v>
      </c>
      <c r="DH95" s="532">
        <f t="shared" si="55"/>
        <v>1126428.5714285714</v>
      </c>
      <c r="DI95" s="532">
        <f t="shared" si="55"/>
        <v>461005.62857142859</v>
      </c>
      <c r="DJ95" s="532">
        <f t="shared" si="55"/>
        <v>1642957.1428571427</v>
      </c>
      <c r="DK95" s="532">
        <f t="shared" si="55"/>
        <v>534388.71428571432</v>
      </c>
      <c r="DL95" s="532">
        <f t="shared" si="55"/>
        <v>29133.333333333332</v>
      </c>
      <c r="DM95" s="532">
        <f t="shared" si="55"/>
        <v>0</v>
      </c>
      <c r="DN95" s="532">
        <f t="shared" si="55"/>
        <v>402619.04761904763</v>
      </c>
      <c r="DO95" s="532">
        <f t="shared" si="55"/>
        <v>0</v>
      </c>
      <c r="DP95" s="532">
        <f t="shared" si="55"/>
        <v>251428.57142857142</v>
      </c>
      <c r="DQ95" s="532">
        <f t="shared" si="55"/>
        <v>0</v>
      </c>
      <c r="DR95" s="532">
        <f t="shared" si="55"/>
        <v>0</v>
      </c>
      <c r="DS95" s="532">
        <f t="shared" si="55"/>
        <v>0</v>
      </c>
      <c r="DT95" s="532">
        <f t="shared" si="55"/>
        <v>0</v>
      </c>
      <c r="DU95" s="532">
        <f t="shared" si="55"/>
        <v>738108.34285714291</v>
      </c>
      <c r="DV95" s="532">
        <f t="shared" si="55"/>
        <v>0</v>
      </c>
      <c r="DW95" s="532">
        <f t="shared" si="55"/>
        <v>931958.4</v>
      </c>
      <c r="DX95" s="532">
        <f t="shared" si="55"/>
        <v>801612.6</v>
      </c>
      <c r="DY95" s="532">
        <f t="shared" si="55"/>
        <v>76904.761904761908</v>
      </c>
      <c r="DZ95" s="532">
        <f t="shared" si="55"/>
        <v>0</v>
      </c>
      <c r="EA95" s="532">
        <f t="shared" si="56"/>
        <v>2472987.6857142858</v>
      </c>
      <c r="EB95" s="532">
        <f t="shared" si="56"/>
        <v>0</v>
      </c>
      <c r="EC95" s="532">
        <f t="shared" si="56"/>
        <v>198218.66666666672</v>
      </c>
      <c r="ED95" s="532">
        <f t="shared" si="56"/>
        <v>266190.85714285716</v>
      </c>
      <c r="EE95" s="532">
        <f t="shared" si="56"/>
        <v>0</v>
      </c>
      <c r="EF95" s="532">
        <f t="shared" si="56"/>
        <v>0</v>
      </c>
      <c r="EG95" s="532">
        <f t="shared" si="56"/>
        <v>0</v>
      </c>
      <c r="EH95" s="532">
        <f t="shared" si="56"/>
        <v>656855.14285714284</v>
      </c>
      <c r="EI95" s="532">
        <f t="shared" si="56"/>
        <v>2607685.7142857141</v>
      </c>
      <c r="EJ95" s="532">
        <f t="shared" si="56"/>
        <v>382727.57142857142</v>
      </c>
      <c r="EK95" s="532">
        <f t="shared" si="56"/>
        <v>114171.42857142857</v>
      </c>
      <c r="EL95" s="532">
        <f t="shared" si="56"/>
        <v>114171.42857142857</v>
      </c>
      <c r="EM95" s="532">
        <f t="shared" si="56"/>
        <v>612814.28571428568</v>
      </c>
      <c r="EN95" s="532">
        <f t="shared" si="56"/>
        <v>511280.95238095237</v>
      </c>
      <c r="EO95" s="532">
        <f t="shared" si="56"/>
        <v>0</v>
      </c>
      <c r="EP95" s="532">
        <f t="shared" si="56"/>
        <v>2879228.5714285714</v>
      </c>
      <c r="EQ95" s="532">
        <f t="shared" si="56"/>
        <v>210857.14285714287</v>
      </c>
      <c r="ER95" s="532">
        <f t="shared" si="56"/>
        <v>784356.00952380954</v>
      </c>
      <c r="ES95" s="532">
        <f t="shared" si="56"/>
        <v>0</v>
      </c>
      <c r="ET95" s="532">
        <f t="shared" si="56"/>
        <v>0</v>
      </c>
      <c r="EU95" s="532">
        <f t="shared" si="56"/>
        <v>1619863.7142857143</v>
      </c>
      <c r="EV95" s="532">
        <f t="shared" si="56"/>
        <v>705686.87142857141</v>
      </c>
      <c r="EW95" s="532">
        <f t="shared" si="56"/>
        <v>643472.45714285714</v>
      </c>
      <c r="EX95" s="532">
        <f t="shared" si="56"/>
        <v>325714.28571428568</v>
      </c>
      <c r="EY95" s="532">
        <f t="shared" si="56"/>
        <v>215082.17142857143</v>
      </c>
      <c r="EZ95" s="532">
        <f t="shared" si="56"/>
        <v>339557.41428571427</v>
      </c>
      <c r="FA95" s="532">
        <f t="shared" si="56"/>
        <v>127515.87619047619</v>
      </c>
      <c r="FB95" s="532">
        <f t="shared" si="56"/>
        <v>478857.14285714296</v>
      </c>
      <c r="FC95" s="532">
        <f t="shared" si="56"/>
        <v>264350.47619047627</v>
      </c>
      <c r="FD95" s="532">
        <f t="shared" si="56"/>
        <v>94285.714285714304</v>
      </c>
      <c r="FE95" s="532">
        <f t="shared" si="56"/>
        <v>384805.71428571438</v>
      </c>
      <c r="FF95" s="532">
        <f t="shared" si="56"/>
        <v>0</v>
      </c>
      <c r="FG95" s="532">
        <f t="shared" si="56"/>
        <v>0</v>
      </c>
      <c r="FH95" s="532">
        <f t="shared" si="56"/>
        <v>2527285.7142857141</v>
      </c>
      <c r="FI95" s="532">
        <f t="shared" si="56"/>
        <v>0</v>
      </c>
      <c r="FJ95" s="532">
        <f t="shared" si="56"/>
        <v>0</v>
      </c>
      <c r="FK95" s="532">
        <f t="shared" si="56"/>
        <v>0</v>
      </c>
      <c r="FL95" s="532">
        <f t="shared" si="56"/>
        <v>12857.142857142857</v>
      </c>
      <c r="FM95" s="532">
        <f t="shared" si="56"/>
        <v>0</v>
      </c>
      <c r="FN95" s="532">
        <f t="shared" si="56"/>
        <v>80117.399999999994</v>
      </c>
      <c r="FO95" s="532">
        <f t="shared" si="56"/>
        <v>47314.285714285717</v>
      </c>
      <c r="FP95" s="532">
        <f t="shared" si="56"/>
        <v>0</v>
      </c>
      <c r="FQ95" s="532">
        <f t="shared" si="56"/>
        <v>0</v>
      </c>
      <c r="FR95" s="532">
        <f t="shared" si="56"/>
        <v>660000</v>
      </c>
      <c r="FS95" s="532">
        <f t="shared" si="56"/>
        <v>0</v>
      </c>
      <c r="FT95" s="532">
        <f t="shared" si="56"/>
        <v>8868.3428571428576</v>
      </c>
      <c r="FU95" s="532">
        <f t="shared" si="56"/>
        <v>18214.285714285714</v>
      </c>
      <c r="FV95" s="532">
        <f t="shared" si="56"/>
        <v>0</v>
      </c>
      <c r="FW95" s="532">
        <f t="shared" si="56"/>
        <v>0</v>
      </c>
      <c r="FX95" s="532">
        <f t="shared" si="56"/>
        <v>0</v>
      </c>
      <c r="FY95" s="532">
        <f t="shared" si="56"/>
        <v>0</v>
      </c>
      <c r="FZ95" s="532">
        <f t="shared" si="56"/>
        <v>0</v>
      </c>
      <c r="GA95" s="532">
        <f t="shared" si="56"/>
        <v>0</v>
      </c>
    </row>
    <row r="96" spans="1:183" x14ac:dyDescent="0.2">
      <c r="A96" s="438" t="s">
        <v>1484</v>
      </c>
      <c r="B96" s="532">
        <f>+IF(B$3&lt;=$B$105,B38*$B$107,+IF(B$3=$C$105,B38*$C$107,+IF(B$3=$D$105,B38*$D$107,+IF(B$3=$E$105,B38*$E$107,IF(B$3=$F$105,B38*$F$107,0)))))</f>
        <v>6582.8571428571431</v>
      </c>
      <c r="C96" s="532">
        <f t="shared" ref="C96:BN97" si="58">+IF(C$3&lt;=$B$105,C38*$B$107,+IF(C$3=$C$105,C38*$C$107,+IF(C$3=$D$105,C38*$D$107,+IF(C$3=$E$105,C38*$E$107,IF(C$3=$F$105,C38*$F$107,0)))))</f>
        <v>0</v>
      </c>
      <c r="D96" s="532">
        <f t="shared" si="58"/>
        <v>0</v>
      </c>
      <c r="E96" s="532">
        <f t="shared" si="58"/>
        <v>0</v>
      </c>
      <c r="F96" s="532">
        <f t="shared" si="58"/>
        <v>0</v>
      </c>
      <c r="G96" s="532">
        <f t="shared" si="58"/>
        <v>0</v>
      </c>
      <c r="H96" s="532">
        <f t="shared" si="58"/>
        <v>0</v>
      </c>
      <c r="I96" s="532">
        <f t="shared" si="58"/>
        <v>6000</v>
      </c>
      <c r="J96" s="532">
        <f t="shared" si="58"/>
        <v>0</v>
      </c>
      <c r="K96" s="532">
        <f t="shared" si="58"/>
        <v>6000</v>
      </c>
      <c r="L96" s="532">
        <f t="shared" si="58"/>
        <v>0</v>
      </c>
      <c r="M96" s="532">
        <f t="shared" si="58"/>
        <v>10285.714285714286</v>
      </c>
      <c r="N96" s="532">
        <f t="shared" si="58"/>
        <v>0</v>
      </c>
      <c r="O96" s="532">
        <f t="shared" si="58"/>
        <v>0</v>
      </c>
      <c r="P96" s="532">
        <f t="shared" si="58"/>
        <v>0</v>
      </c>
      <c r="Q96" s="532">
        <f t="shared" si="58"/>
        <v>8630.4761904761926</v>
      </c>
      <c r="R96" s="532">
        <f t="shared" si="58"/>
        <v>0</v>
      </c>
      <c r="S96" s="532">
        <f t="shared" si="58"/>
        <v>0</v>
      </c>
      <c r="T96" s="532">
        <f t="shared" si="58"/>
        <v>11055.047619047622</v>
      </c>
      <c r="U96" s="532">
        <f t="shared" si="58"/>
        <v>11428.571428571431</v>
      </c>
      <c r="V96" s="532">
        <f t="shared" si="58"/>
        <v>0</v>
      </c>
      <c r="W96" s="532">
        <f t="shared" si="58"/>
        <v>0</v>
      </c>
      <c r="X96" s="532">
        <f t="shared" si="58"/>
        <v>0</v>
      </c>
      <c r="Y96" s="532">
        <f t="shared" si="58"/>
        <v>6393.9523809523807</v>
      </c>
      <c r="Z96" s="532">
        <f t="shared" si="58"/>
        <v>0</v>
      </c>
      <c r="AA96" s="532">
        <f t="shared" si="58"/>
        <v>6333.333333333333</v>
      </c>
      <c r="AB96" s="532">
        <f t="shared" si="58"/>
        <v>25714.285714285721</v>
      </c>
      <c r="AC96" s="532">
        <f t="shared" si="58"/>
        <v>1740.5142857142857</v>
      </c>
      <c r="AD96" s="532">
        <f t="shared" si="58"/>
        <v>8378.5714285714294</v>
      </c>
      <c r="AE96" s="532">
        <f t="shared" si="58"/>
        <v>0</v>
      </c>
      <c r="AF96" s="532">
        <f t="shared" si="58"/>
        <v>4795.2</v>
      </c>
      <c r="AG96" s="532">
        <f t="shared" si="58"/>
        <v>0</v>
      </c>
      <c r="AH96" s="532">
        <f t="shared" si="58"/>
        <v>0</v>
      </c>
      <c r="AI96" s="532">
        <f t="shared" si="58"/>
        <v>0</v>
      </c>
      <c r="AJ96" s="532">
        <f t="shared" si="58"/>
        <v>27600</v>
      </c>
      <c r="AK96" s="532">
        <f t="shared" si="58"/>
        <v>0</v>
      </c>
      <c r="AL96" s="532">
        <f t="shared" si="58"/>
        <v>0</v>
      </c>
      <c r="AM96" s="532">
        <f t="shared" si="58"/>
        <v>0</v>
      </c>
      <c r="AN96" s="532">
        <f t="shared" si="58"/>
        <v>0</v>
      </c>
      <c r="AO96" s="532">
        <f t="shared" si="58"/>
        <v>16285.714285714284</v>
      </c>
      <c r="AP96" s="532">
        <f t="shared" si="58"/>
        <v>0</v>
      </c>
      <c r="AQ96" s="532">
        <f t="shared" si="58"/>
        <v>0</v>
      </c>
      <c r="AR96" s="532">
        <f t="shared" si="58"/>
        <v>0</v>
      </c>
      <c r="AS96" s="532">
        <f t="shared" si="58"/>
        <v>0</v>
      </c>
      <c r="AT96" s="532">
        <f t="shared" si="58"/>
        <v>0</v>
      </c>
      <c r="AU96" s="532">
        <f t="shared" si="58"/>
        <v>0</v>
      </c>
      <c r="AV96" s="532">
        <f t="shared" si="58"/>
        <v>0</v>
      </c>
      <c r="AW96" s="532">
        <f t="shared" si="58"/>
        <v>0</v>
      </c>
      <c r="AX96" s="532">
        <f t="shared" si="58"/>
        <v>0</v>
      </c>
      <c r="AY96" s="532">
        <f t="shared" si="58"/>
        <v>0</v>
      </c>
      <c r="AZ96" s="532">
        <f t="shared" si="58"/>
        <v>48600</v>
      </c>
      <c r="BA96" s="532">
        <f t="shared" si="58"/>
        <v>10500</v>
      </c>
      <c r="BB96" s="532">
        <f t="shared" si="58"/>
        <v>0</v>
      </c>
      <c r="BC96" s="532">
        <f t="shared" si="58"/>
        <v>0</v>
      </c>
      <c r="BD96" s="532">
        <f t="shared" si="58"/>
        <v>8252.1428571428569</v>
      </c>
      <c r="BE96" s="532">
        <f t="shared" si="58"/>
        <v>0</v>
      </c>
      <c r="BF96" s="532">
        <f t="shared" si="58"/>
        <v>0</v>
      </c>
      <c r="BG96" s="532">
        <f t="shared" si="58"/>
        <v>12000</v>
      </c>
      <c r="BH96" s="532">
        <f t="shared" si="58"/>
        <v>7191.8571428571431</v>
      </c>
      <c r="BI96" s="532">
        <f t="shared" si="58"/>
        <v>7113.6</v>
      </c>
      <c r="BJ96" s="532">
        <f t="shared" si="58"/>
        <v>8694.4285714285706</v>
      </c>
      <c r="BK96" s="532">
        <f t="shared" si="58"/>
        <v>7714.2857142857147</v>
      </c>
      <c r="BL96" s="532">
        <f t="shared" si="58"/>
        <v>0</v>
      </c>
      <c r="BM96" s="532">
        <f t="shared" si="58"/>
        <v>0</v>
      </c>
      <c r="BN96" s="532">
        <f t="shared" si="58"/>
        <v>55642.857142857145</v>
      </c>
      <c r="BO96" s="532">
        <f t="shared" ref="BO96:DZ97" si="59">+IF(BO$3&lt;=$B$105,BO38*$B$107,+IF(BO$3=$C$105,BO38*$C$107,+IF(BO$3=$D$105,BO38*$D$107,+IF(BO$3=$E$105,BO38*$E$107,IF(BO$3=$F$105,BO38*$F$107,0)))))</f>
        <v>79373.828571428574</v>
      </c>
      <c r="BP96" s="532">
        <f t="shared" si="59"/>
        <v>22285.714285714286</v>
      </c>
      <c r="BQ96" s="532">
        <f t="shared" si="59"/>
        <v>32478</v>
      </c>
      <c r="BR96" s="532">
        <f t="shared" si="59"/>
        <v>0</v>
      </c>
      <c r="BS96" s="532">
        <f t="shared" si="59"/>
        <v>20922.438095238096</v>
      </c>
      <c r="BT96" s="532">
        <f t="shared" si="59"/>
        <v>28952.38095238095</v>
      </c>
      <c r="BU96" s="532">
        <f t="shared" si="59"/>
        <v>25542.857142857141</v>
      </c>
      <c r="BV96" s="532">
        <f t="shared" si="59"/>
        <v>0</v>
      </c>
      <c r="BW96" s="532">
        <f t="shared" si="59"/>
        <v>69916.971428571429</v>
      </c>
      <c r="BX96" s="532">
        <f t="shared" si="59"/>
        <v>0</v>
      </c>
      <c r="BY96" s="532">
        <f t="shared" si="59"/>
        <v>0</v>
      </c>
      <c r="BZ96" s="532">
        <f t="shared" si="59"/>
        <v>0</v>
      </c>
      <c r="CA96" s="532">
        <f t="shared" si="59"/>
        <v>46714.285714285717</v>
      </c>
      <c r="CB96" s="532">
        <f t="shared" si="59"/>
        <v>0</v>
      </c>
      <c r="CC96" s="532">
        <f t="shared" si="59"/>
        <v>25785.714285714286</v>
      </c>
      <c r="CD96" s="532">
        <f t="shared" si="59"/>
        <v>12666.666666666666</v>
      </c>
      <c r="CE96" s="532">
        <f t="shared" si="59"/>
        <v>153085.71428571429</v>
      </c>
      <c r="CF96" s="532">
        <f t="shared" si="59"/>
        <v>0</v>
      </c>
      <c r="CG96" s="532">
        <f t="shared" si="59"/>
        <v>0</v>
      </c>
      <c r="CH96" s="532">
        <f t="shared" si="59"/>
        <v>0</v>
      </c>
      <c r="CI96" s="532">
        <f t="shared" si="59"/>
        <v>0</v>
      </c>
      <c r="CJ96" s="532">
        <f t="shared" si="59"/>
        <v>0</v>
      </c>
      <c r="CK96" s="532">
        <f t="shared" si="59"/>
        <v>0</v>
      </c>
      <c r="CL96" s="532">
        <f t="shared" si="59"/>
        <v>0</v>
      </c>
      <c r="CM96" s="532">
        <f t="shared" si="59"/>
        <v>31714.285714285714</v>
      </c>
      <c r="CN96" s="532">
        <f t="shared" si="59"/>
        <v>0</v>
      </c>
      <c r="CO96" s="532">
        <f t="shared" si="59"/>
        <v>0</v>
      </c>
      <c r="CP96" s="532">
        <f t="shared" si="59"/>
        <v>0</v>
      </c>
      <c r="CQ96" s="532">
        <f t="shared" si="59"/>
        <v>19158.333333333332</v>
      </c>
      <c r="CR96" s="532">
        <f t="shared" si="59"/>
        <v>39357.142857142855</v>
      </c>
      <c r="CS96" s="532">
        <f t="shared" si="59"/>
        <v>11761.904761904761</v>
      </c>
      <c r="CT96" s="532">
        <f t="shared" si="59"/>
        <v>784.15714285714284</v>
      </c>
      <c r="CU96" s="532">
        <f t="shared" si="59"/>
        <v>0</v>
      </c>
      <c r="CV96" s="532">
        <f t="shared" si="59"/>
        <v>0</v>
      </c>
      <c r="CW96" s="532">
        <f t="shared" si="59"/>
        <v>18571.428571428576</v>
      </c>
      <c r="CX96" s="532">
        <f t="shared" si="59"/>
        <v>8795.2380952380972</v>
      </c>
      <c r="CY96" s="532">
        <f t="shared" si="59"/>
        <v>0</v>
      </c>
      <c r="CZ96" s="532">
        <f t="shared" si="59"/>
        <v>209442.85714285713</v>
      </c>
      <c r="DA96" s="532">
        <f t="shared" si="59"/>
        <v>74571.428571428565</v>
      </c>
      <c r="DB96" s="532">
        <f t="shared" si="59"/>
        <v>4285.7142857142853</v>
      </c>
      <c r="DC96" s="532">
        <f t="shared" si="59"/>
        <v>0</v>
      </c>
      <c r="DD96" s="532">
        <f t="shared" si="59"/>
        <v>53809.523809523824</v>
      </c>
      <c r="DE96" s="532">
        <f t="shared" si="59"/>
        <v>28800.000000000007</v>
      </c>
      <c r="DF96" s="532">
        <f t="shared" si="59"/>
        <v>15380.95238095238</v>
      </c>
      <c r="DG96" s="532">
        <f t="shared" si="59"/>
        <v>172357.14285714284</v>
      </c>
      <c r="DH96" s="532">
        <f t="shared" si="59"/>
        <v>56095.238095238092</v>
      </c>
      <c r="DI96" s="532">
        <f t="shared" si="59"/>
        <v>38281.028571428571</v>
      </c>
      <c r="DJ96" s="532">
        <f t="shared" si="59"/>
        <v>58357.142857142855</v>
      </c>
      <c r="DK96" s="532">
        <f t="shared" si="59"/>
        <v>38305.714285714283</v>
      </c>
      <c r="DL96" s="532">
        <f t="shared" si="59"/>
        <v>162857.14285714284</v>
      </c>
      <c r="DM96" s="532">
        <f t="shared" si="59"/>
        <v>0</v>
      </c>
      <c r="DN96" s="532">
        <f t="shared" si="59"/>
        <v>19452.38095238095</v>
      </c>
      <c r="DO96" s="532">
        <f t="shared" si="59"/>
        <v>0</v>
      </c>
      <c r="DP96" s="532">
        <f t="shared" si="59"/>
        <v>32834.28571428571</v>
      </c>
      <c r="DQ96" s="532">
        <f t="shared" si="59"/>
        <v>0</v>
      </c>
      <c r="DR96" s="532">
        <f t="shared" si="59"/>
        <v>0</v>
      </c>
      <c r="DS96" s="532">
        <f t="shared" si="59"/>
        <v>0</v>
      </c>
      <c r="DT96" s="532">
        <f t="shared" si="59"/>
        <v>0</v>
      </c>
      <c r="DU96" s="532">
        <f t="shared" si="59"/>
        <v>110657.14285714286</v>
      </c>
      <c r="DV96" s="532">
        <f t="shared" si="59"/>
        <v>0</v>
      </c>
      <c r="DW96" s="532">
        <f t="shared" si="59"/>
        <v>12214.285714285714</v>
      </c>
      <c r="DX96" s="532">
        <f t="shared" si="59"/>
        <v>64423.971428571429</v>
      </c>
      <c r="DY96" s="532">
        <f t="shared" si="59"/>
        <v>0</v>
      </c>
      <c r="DZ96" s="532">
        <f t="shared" si="59"/>
        <v>0</v>
      </c>
      <c r="EA96" s="532">
        <f t="shared" ref="EA96:GA97" si="60">+IF(EA$3&lt;=$B$105,EA38*$B$107,+IF(EA$3=$C$105,EA38*$C$107,+IF(EA$3=$D$105,EA38*$D$107,+IF(EA$3=$E$105,EA38*$E$107,IF(EA$3=$F$105,EA38*$F$107,0)))))</f>
        <v>0</v>
      </c>
      <c r="EB96" s="532">
        <f t="shared" si="60"/>
        <v>0</v>
      </c>
      <c r="EC96" s="532">
        <f t="shared" si="60"/>
        <v>0</v>
      </c>
      <c r="ED96" s="532">
        <f t="shared" si="60"/>
        <v>17142.857142857141</v>
      </c>
      <c r="EE96" s="532">
        <f t="shared" si="60"/>
        <v>0</v>
      </c>
      <c r="EF96" s="532">
        <f t="shared" si="60"/>
        <v>0</v>
      </c>
      <c r="EG96" s="532">
        <f t="shared" si="60"/>
        <v>0</v>
      </c>
      <c r="EH96" s="532">
        <f t="shared" si="60"/>
        <v>67285.71428571429</v>
      </c>
      <c r="EI96" s="532">
        <f t="shared" si="60"/>
        <v>164057.14285714287</v>
      </c>
      <c r="EJ96" s="532">
        <f t="shared" si="60"/>
        <v>12857.142857142857</v>
      </c>
      <c r="EK96" s="532">
        <f t="shared" si="60"/>
        <v>0</v>
      </c>
      <c r="EL96" s="532">
        <f t="shared" si="60"/>
        <v>0</v>
      </c>
      <c r="EM96" s="532">
        <f t="shared" si="60"/>
        <v>40285.714285714283</v>
      </c>
      <c r="EN96" s="532">
        <f t="shared" si="60"/>
        <v>14476.190476190475</v>
      </c>
      <c r="EO96" s="532">
        <f t="shared" si="60"/>
        <v>0</v>
      </c>
      <c r="EP96" s="532">
        <f t="shared" si="60"/>
        <v>197142.85714285713</v>
      </c>
      <c r="EQ96" s="532">
        <f t="shared" si="60"/>
        <v>7500</v>
      </c>
      <c r="ER96" s="532">
        <f t="shared" si="60"/>
        <v>39809.523809523809</v>
      </c>
      <c r="ES96" s="532">
        <f t="shared" si="60"/>
        <v>0</v>
      </c>
      <c r="ET96" s="532">
        <f t="shared" si="60"/>
        <v>0</v>
      </c>
      <c r="EU96" s="532">
        <f t="shared" si="60"/>
        <v>77142.857142857145</v>
      </c>
      <c r="EV96" s="532">
        <f t="shared" si="60"/>
        <v>38520.780952380948</v>
      </c>
      <c r="EW96" s="532">
        <f t="shared" si="60"/>
        <v>45238.095238095237</v>
      </c>
      <c r="EX96" s="532">
        <f t="shared" si="60"/>
        <v>0</v>
      </c>
      <c r="EY96" s="532">
        <f t="shared" si="60"/>
        <v>21898.676190476192</v>
      </c>
      <c r="EZ96" s="532">
        <f t="shared" si="60"/>
        <v>7401.3142857142857</v>
      </c>
      <c r="FA96" s="532">
        <f t="shared" si="60"/>
        <v>10857.142857142857</v>
      </c>
      <c r="FB96" s="532">
        <f t="shared" si="60"/>
        <v>12761.904761904765</v>
      </c>
      <c r="FC96" s="532">
        <f t="shared" si="60"/>
        <v>0</v>
      </c>
      <c r="FD96" s="532">
        <f t="shared" si="60"/>
        <v>0</v>
      </c>
      <c r="FE96" s="532">
        <f t="shared" si="60"/>
        <v>57142.857142857159</v>
      </c>
      <c r="FF96" s="532">
        <f t="shared" si="60"/>
        <v>0</v>
      </c>
      <c r="FG96" s="532">
        <f t="shared" si="60"/>
        <v>0</v>
      </c>
      <c r="FH96" s="532">
        <f t="shared" si="60"/>
        <v>107717.14285714286</v>
      </c>
      <c r="FI96" s="532">
        <f t="shared" si="60"/>
        <v>0</v>
      </c>
      <c r="FJ96" s="532">
        <f t="shared" si="60"/>
        <v>0</v>
      </c>
      <c r="FK96" s="532">
        <f t="shared" si="60"/>
        <v>0</v>
      </c>
      <c r="FL96" s="532">
        <f t="shared" si="60"/>
        <v>0</v>
      </c>
      <c r="FM96" s="532">
        <f t="shared" si="60"/>
        <v>0</v>
      </c>
      <c r="FN96" s="532">
        <f t="shared" si="60"/>
        <v>0</v>
      </c>
      <c r="FO96" s="532">
        <f t="shared" si="60"/>
        <v>0</v>
      </c>
      <c r="FP96" s="532">
        <f t="shared" si="60"/>
        <v>0</v>
      </c>
      <c r="FQ96" s="532">
        <f t="shared" si="60"/>
        <v>0</v>
      </c>
      <c r="FR96" s="532">
        <f t="shared" si="60"/>
        <v>18428.571428571428</v>
      </c>
      <c r="FS96" s="532">
        <f t="shared" si="60"/>
        <v>0</v>
      </c>
      <c r="FT96" s="532">
        <f t="shared" si="60"/>
        <v>0</v>
      </c>
      <c r="FU96" s="532">
        <f t="shared" si="60"/>
        <v>13714.285714285714</v>
      </c>
      <c r="FV96" s="532">
        <f t="shared" si="60"/>
        <v>0</v>
      </c>
      <c r="FW96" s="532">
        <f t="shared" si="60"/>
        <v>0</v>
      </c>
      <c r="FX96" s="532">
        <f t="shared" si="60"/>
        <v>0</v>
      </c>
      <c r="FY96" s="532">
        <f t="shared" si="60"/>
        <v>0</v>
      </c>
      <c r="FZ96" s="532">
        <f t="shared" si="60"/>
        <v>0</v>
      </c>
      <c r="GA96" s="532">
        <f t="shared" si="60"/>
        <v>0</v>
      </c>
    </row>
    <row r="97" spans="1:183" x14ac:dyDescent="0.2">
      <c r="A97" s="438" t="s">
        <v>1485</v>
      </c>
      <c r="B97" s="532">
        <f>+IF(B$3&lt;=$B$105,B39*$B$107,+IF(B$3=$C$105,B39*$C$107,+IF(B$3=$D$105,B39*$D$107,+IF(B$3=$E$105,B39*$E$107,IF(B$3=$F$105,B39*$F$107,0)))))</f>
        <v>0</v>
      </c>
      <c r="C97" s="532">
        <f t="shared" si="58"/>
        <v>0</v>
      </c>
      <c r="D97" s="532">
        <f t="shared" si="58"/>
        <v>0</v>
      </c>
      <c r="E97" s="532">
        <f t="shared" si="58"/>
        <v>0</v>
      </c>
      <c r="F97" s="532">
        <f t="shared" si="58"/>
        <v>0</v>
      </c>
      <c r="G97" s="532">
        <f t="shared" si="58"/>
        <v>0</v>
      </c>
      <c r="H97" s="532">
        <f t="shared" si="58"/>
        <v>0</v>
      </c>
      <c r="I97" s="532">
        <f t="shared" si="58"/>
        <v>0</v>
      </c>
      <c r="J97" s="532">
        <f t="shared" si="58"/>
        <v>0</v>
      </c>
      <c r="K97" s="532">
        <f t="shared" si="58"/>
        <v>0</v>
      </c>
      <c r="L97" s="532">
        <f t="shared" si="58"/>
        <v>0</v>
      </c>
      <c r="M97" s="532">
        <f t="shared" si="58"/>
        <v>0</v>
      </c>
      <c r="N97" s="532">
        <f t="shared" si="58"/>
        <v>0</v>
      </c>
      <c r="O97" s="532">
        <f t="shared" si="58"/>
        <v>0</v>
      </c>
      <c r="P97" s="532">
        <f t="shared" si="58"/>
        <v>0</v>
      </c>
      <c r="Q97" s="532">
        <f t="shared" si="58"/>
        <v>0</v>
      </c>
      <c r="R97" s="532">
        <f t="shared" si="58"/>
        <v>0</v>
      </c>
      <c r="S97" s="532">
        <f t="shared" si="58"/>
        <v>0</v>
      </c>
      <c r="T97" s="532">
        <f t="shared" si="58"/>
        <v>0</v>
      </c>
      <c r="U97" s="532">
        <f t="shared" si="58"/>
        <v>0</v>
      </c>
      <c r="V97" s="532">
        <f t="shared" si="58"/>
        <v>0</v>
      </c>
      <c r="W97" s="532">
        <f t="shared" si="58"/>
        <v>0</v>
      </c>
      <c r="X97" s="532">
        <f t="shared" si="58"/>
        <v>0</v>
      </c>
      <c r="Y97" s="532">
        <f t="shared" si="58"/>
        <v>0</v>
      </c>
      <c r="Z97" s="532">
        <f t="shared" si="58"/>
        <v>374949.43809523806</v>
      </c>
      <c r="AA97" s="532">
        <f t="shared" si="58"/>
        <v>0</v>
      </c>
      <c r="AB97" s="532">
        <f t="shared" si="58"/>
        <v>0</v>
      </c>
      <c r="AC97" s="532">
        <f t="shared" si="58"/>
        <v>0</v>
      </c>
      <c r="AD97" s="532">
        <f t="shared" si="58"/>
        <v>0</v>
      </c>
      <c r="AE97" s="532">
        <f t="shared" si="58"/>
        <v>0</v>
      </c>
      <c r="AF97" s="532">
        <f t="shared" si="58"/>
        <v>0</v>
      </c>
      <c r="AG97" s="532">
        <f t="shared" si="58"/>
        <v>0</v>
      </c>
      <c r="AH97" s="532">
        <f t="shared" si="58"/>
        <v>0</v>
      </c>
      <c r="AI97" s="532">
        <f t="shared" si="58"/>
        <v>0</v>
      </c>
      <c r="AJ97" s="532">
        <f t="shared" si="58"/>
        <v>0</v>
      </c>
      <c r="AK97" s="532">
        <f t="shared" si="58"/>
        <v>0</v>
      </c>
      <c r="AL97" s="532">
        <f t="shared" si="58"/>
        <v>0</v>
      </c>
      <c r="AM97" s="532">
        <f t="shared" si="58"/>
        <v>0</v>
      </c>
      <c r="AN97" s="532">
        <f t="shared" si="58"/>
        <v>0</v>
      </c>
      <c r="AO97" s="532">
        <f t="shared" si="58"/>
        <v>0</v>
      </c>
      <c r="AP97" s="532">
        <f t="shared" si="58"/>
        <v>0</v>
      </c>
      <c r="AQ97" s="532">
        <f t="shared" si="58"/>
        <v>0</v>
      </c>
      <c r="AR97" s="532">
        <f t="shared" si="58"/>
        <v>0</v>
      </c>
      <c r="AS97" s="532">
        <f t="shared" si="58"/>
        <v>0</v>
      </c>
      <c r="AT97" s="532">
        <f t="shared" si="58"/>
        <v>0</v>
      </c>
      <c r="AU97" s="532">
        <f t="shared" si="58"/>
        <v>0</v>
      </c>
      <c r="AV97" s="532">
        <f t="shared" si="58"/>
        <v>0</v>
      </c>
      <c r="AW97" s="532">
        <f t="shared" si="58"/>
        <v>0</v>
      </c>
      <c r="AX97" s="532">
        <f t="shared" si="58"/>
        <v>0</v>
      </c>
      <c r="AY97" s="532">
        <f t="shared" si="58"/>
        <v>0</v>
      </c>
      <c r="AZ97" s="532">
        <f t="shared" si="58"/>
        <v>0</v>
      </c>
      <c r="BA97" s="532">
        <f t="shared" si="58"/>
        <v>0</v>
      </c>
      <c r="BB97" s="532">
        <f t="shared" si="58"/>
        <v>0</v>
      </c>
      <c r="BC97" s="532">
        <f t="shared" si="58"/>
        <v>0</v>
      </c>
      <c r="BD97" s="532">
        <f t="shared" si="58"/>
        <v>0</v>
      </c>
      <c r="BE97" s="532">
        <f t="shared" si="58"/>
        <v>0</v>
      </c>
      <c r="BF97" s="532">
        <f t="shared" si="58"/>
        <v>0</v>
      </c>
      <c r="BG97" s="532">
        <f t="shared" si="58"/>
        <v>0</v>
      </c>
      <c r="BH97" s="532">
        <f t="shared" si="58"/>
        <v>0</v>
      </c>
      <c r="BI97" s="532">
        <f t="shared" si="58"/>
        <v>0</v>
      </c>
      <c r="BJ97" s="532">
        <f t="shared" si="58"/>
        <v>0</v>
      </c>
      <c r="BK97" s="532">
        <f t="shared" si="58"/>
        <v>0</v>
      </c>
      <c r="BL97" s="532">
        <f t="shared" si="58"/>
        <v>0</v>
      </c>
      <c r="BM97" s="532">
        <f t="shared" si="58"/>
        <v>0</v>
      </c>
      <c r="BN97" s="532">
        <f t="shared" si="58"/>
        <v>0</v>
      </c>
      <c r="BO97" s="532">
        <f t="shared" si="59"/>
        <v>0</v>
      </c>
      <c r="BP97" s="532">
        <f t="shared" si="59"/>
        <v>0</v>
      </c>
      <c r="BQ97" s="532">
        <f t="shared" si="59"/>
        <v>0</v>
      </c>
      <c r="BR97" s="532">
        <f t="shared" si="59"/>
        <v>0</v>
      </c>
      <c r="BS97" s="532">
        <f t="shared" si="59"/>
        <v>0</v>
      </c>
      <c r="BT97" s="532">
        <f t="shared" si="59"/>
        <v>0</v>
      </c>
      <c r="BU97" s="532">
        <f t="shared" si="59"/>
        <v>0</v>
      </c>
      <c r="BV97" s="532">
        <f t="shared" si="59"/>
        <v>0</v>
      </c>
      <c r="BW97" s="532">
        <f t="shared" si="59"/>
        <v>131858.57142857142</v>
      </c>
      <c r="BX97" s="532">
        <f t="shared" si="59"/>
        <v>0</v>
      </c>
      <c r="BY97" s="532">
        <f t="shared" si="59"/>
        <v>0</v>
      </c>
      <c r="BZ97" s="532">
        <f t="shared" si="59"/>
        <v>0</v>
      </c>
      <c r="CA97" s="532">
        <f t="shared" si="59"/>
        <v>0</v>
      </c>
      <c r="CB97" s="532">
        <f t="shared" si="59"/>
        <v>0</v>
      </c>
      <c r="CC97" s="532">
        <f t="shared" si="59"/>
        <v>0</v>
      </c>
      <c r="CD97" s="532">
        <f t="shared" si="59"/>
        <v>0</v>
      </c>
      <c r="CE97" s="532">
        <f t="shared" si="59"/>
        <v>1979657.4095238096</v>
      </c>
      <c r="CF97" s="532">
        <f t="shared" si="59"/>
        <v>0</v>
      </c>
      <c r="CG97" s="532">
        <f t="shared" si="59"/>
        <v>0</v>
      </c>
      <c r="CH97" s="532">
        <f t="shared" si="59"/>
        <v>0</v>
      </c>
      <c r="CI97" s="532">
        <f t="shared" si="59"/>
        <v>0</v>
      </c>
      <c r="CJ97" s="532">
        <f t="shared" si="59"/>
        <v>0</v>
      </c>
      <c r="CK97" s="532">
        <f t="shared" si="59"/>
        <v>0</v>
      </c>
      <c r="CL97" s="532">
        <f t="shared" si="59"/>
        <v>0</v>
      </c>
      <c r="CM97" s="532">
        <f t="shared" si="59"/>
        <v>165703.71428571429</v>
      </c>
      <c r="CN97" s="532">
        <f t="shared" si="59"/>
        <v>0</v>
      </c>
      <c r="CO97" s="532">
        <f t="shared" si="59"/>
        <v>0</v>
      </c>
      <c r="CP97" s="532">
        <f t="shared" si="59"/>
        <v>0</v>
      </c>
      <c r="CQ97" s="532">
        <f t="shared" si="59"/>
        <v>71097.81904761905</v>
      </c>
      <c r="CR97" s="532">
        <f t="shared" si="59"/>
        <v>0</v>
      </c>
      <c r="CS97" s="532">
        <f t="shared" si="59"/>
        <v>0</v>
      </c>
      <c r="CT97" s="532">
        <f t="shared" si="59"/>
        <v>0</v>
      </c>
      <c r="CU97" s="532">
        <f t="shared" si="59"/>
        <v>0</v>
      </c>
      <c r="CV97" s="532">
        <f t="shared" si="59"/>
        <v>0</v>
      </c>
      <c r="CW97" s="532">
        <f t="shared" si="59"/>
        <v>0</v>
      </c>
      <c r="CX97" s="532">
        <f t="shared" si="59"/>
        <v>62130.952380952396</v>
      </c>
      <c r="CY97" s="532">
        <f t="shared" si="59"/>
        <v>241440.47619047624</v>
      </c>
      <c r="CZ97" s="532">
        <f t="shared" si="59"/>
        <v>2066652.4285714286</v>
      </c>
      <c r="DA97" s="532">
        <f t="shared" si="59"/>
        <v>0</v>
      </c>
      <c r="DB97" s="532">
        <f t="shared" si="59"/>
        <v>0</v>
      </c>
      <c r="DC97" s="532">
        <f t="shared" si="59"/>
        <v>0</v>
      </c>
      <c r="DD97" s="532">
        <f t="shared" si="59"/>
        <v>0</v>
      </c>
      <c r="DE97" s="532">
        <f t="shared" si="59"/>
        <v>0</v>
      </c>
      <c r="DF97" s="532">
        <f t="shared" si="59"/>
        <v>725489.66666666663</v>
      </c>
      <c r="DG97" s="532">
        <f t="shared" si="59"/>
        <v>0</v>
      </c>
      <c r="DH97" s="532">
        <f t="shared" si="59"/>
        <v>0</v>
      </c>
      <c r="DI97" s="532">
        <f t="shared" si="59"/>
        <v>0</v>
      </c>
      <c r="DJ97" s="532">
        <f t="shared" si="59"/>
        <v>0</v>
      </c>
      <c r="DK97" s="532">
        <f t="shared" si="59"/>
        <v>0</v>
      </c>
      <c r="DL97" s="532">
        <f t="shared" si="59"/>
        <v>0</v>
      </c>
      <c r="DM97" s="532">
        <f t="shared" si="59"/>
        <v>0</v>
      </c>
      <c r="DN97" s="532">
        <f t="shared" si="59"/>
        <v>0</v>
      </c>
      <c r="DO97" s="532">
        <f t="shared" si="59"/>
        <v>0</v>
      </c>
      <c r="DP97" s="532">
        <f t="shared" si="59"/>
        <v>0</v>
      </c>
      <c r="DQ97" s="532">
        <f t="shared" si="59"/>
        <v>0</v>
      </c>
      <c r="DR97" s="532">
        <f t="shared" si="59"/>
        <v>0</v>
      </c>
      <c r="DS97" s="532">
        <f t="shared" si="59"/>
        <v>0</v>
      </c>
      <c r="DT97" s="532">
        <f t="shared" si="59"/>
        <v>0</v>
      </c>
      <c r="DU97" s="532">
        <f t="shared" si="59"/>
        <v>0</v>
      </c>
      <c r="DV97" s="532">
        <f t="shared" si="59"/>
        <v>0</v>
      </c>
      <c r="DW97" s="532">
        <f t="shared" si="59"/>
        <v>0</v>
      </c>
      <c r="DX97" s="532">
        <f t="shared" si="59"/>
        <v>499162.37142857141</v>
      </c>
      <c r="DY97" s="532">
        <f t="shared" si="59"/>
        <v>0</v>
      </c>
      <c r="DZ97" s="532">
        <f t="shared" si="59"/>
        <v>0</v>
      </c>
      <c r="EA97" s="532">
        <f t="shared" si="60"/>
        <v>0</v>
      </c>
      <c r="EB97" s="532">
        <f t="shared" si="60"/>
        <v>0</v>
      </c>
      <c r="EC97" s="532">
        <f t="shared" si="60"/>
        <v>0</v>
      </c>
      <c r="ED97" s="532">
        <f t="shared" si="60"/>
        <v>0</v>
      </c>
      <c r="EE97" s="532">
        <f t="shared" si="60"/>
        <v>0</v>
      </c>
      <c r="EF97" s="532">
        <f t="shared" si="60"/>
        <v>0</v>
      </c>
      <c r="EG97" s="532">
        <f t="shared" si="60"/>
        <v>0</v>
      </c>
      <c r="EH97" s="532">
        <f t="shared" si="60"/>
        <v>0</v>
      </c>
      <c r="EI97" s="532">
        <f t="shared" si="60"/>
        <v>0</v>
      </c>
      <c r="EJ97" s="532">
        <f t="shared" si="60"/>
        <v>0</v>
      </c>
      <c r="EK97" s="532">
        <f t="shared" si="60"/>
        <v>0</v>
      </c>
      <c r="EL97" s="532">
        <f t="shared" si="60"/>
        <v>0</v>
      </c>
      <c r="EM97" s="532">
        <f t="shared" si="60"/>
        <v>0</v>
      </c>
      <c r="EN97" s="532">
        <f t="shared" si="60"/>
        <v>0</v>
      </c>
      <c r="EO97" s="532">
        <f t="shared" si="60"/>
        <v>0</v>
      </c>
      <c r="EP97" s="532">
        <f t="shared" si="60"/>
        <v>1182857.142857143</v>
      </c>
      <c r="EQ97" s="532">
        <f t="shared" si="60"/>
        <v>526028.57142857148</v>
      </c>
      <c r="ER97" s="532">
        <f t="shared" si="60"/>
        <v>0</v>
      </c>
      <c r="ES97" s="532">
        <f t="shared" si="60"/>
        <v>0</v>
      </c>
      <c r="ET97" s="532">
        <f t="shared" si="60"/>
        <v>0</v>
      </c>
      <c r="EU97" s="532">
        <f t="shared" si="60"/>
        <v>1362003.2571428572</v>
      </c>
      <c r="EV97" s="532">
        <f t="shared" si="60"/>
        <v>0</v>
      </c>
      <c r="EW97" s="532">
        <f t="shared" si="60"/>
        <v>238567.61904761905</v>
      </c>
      <c r="EX97" s="532">
        <f t="shared" si="60"/>
        <v>0</v>
      </c>
      <c r="EY97" s="532">
        <f t="shared" si="60"/>
        <v>17642.857142857141</v>
      </c>
      <c r="EZ97" s="532">
        <f t="shared" si="60"/>
        <v>418232.07142857142</v>
      </c>
      <c r="FA97" s="532">
        <f t="shared" si="60"/>
        <v>74561.428571428565</v>
      </c>
      <c r="FB97" s="532">
        <f t="shared" si="60"/>
        <v>0</v>
      </c>
      <c r="FC97" s="532">
        <f t="shared" si="60"/>
        <v>0</v>
      </c>
      <c r="FD97" s="532">
        <f t="shared" si="60"/>
        <v>0</v>
      </c>
      <c r="FE97" s="532">
        <f t="shared" si="60"/>
        <v>0</v>
      </c>
      <c r="FF97" s="532">
        <f t="shared" si="60"/>
        <v>0</v>
      </c>
      <c r="FG97" s="532">
        <f t="shared" si="60"/>
        <v>0</v>
      </c>
      <c r="FH97" s="532">
        <f t="shared" si="60"/>
        <v>486176.57142857142</v>
      </c>
      <c r="FI97" s="532">
        <f t="shared" si="60"/>
        <v>0</v>
      </c>
      <c r="FJ97" s="532">
        <f t="shared" si="60"/>
        <v>0</v>
      </c>
      <c r="FK97" s="532">
        <f t="shared" si="60"/>
        <v>0</v>
      </c>
      <c r="FL97" s="532">
        <f t="shared" si="60"/>
        <v>0</v>
      </c>
      <c r="FM97" s="532">
        <f t="shared" si="60"/>
        <v>0</v>
      </c>
      <c r="FN97" s="532">
        <f t="shared" si="60"/>
        <v>0</v>
      </c>
      <c r="FO97" s="532">
        <f t="shared" si="60"/>
        <v>0</v>
      </c>
      <c r="FP97" s="532">
        <f t="shared" si="60"/>
        <v>0</v>
      </c>
      <c r="FQ97" s="532">
        <f t="shared" si="60"/>
        <v>0</v>
      </c>
      <c r="FR97" s="532">
        <f t="shared" si="60"/>
        <v>0</v>
      </c>
      <c r="FS97" s="532">
        <f t="shared" si="60"/>
        <v>0</v>
      </c>
      <c r="FT97" s="532">
        <f t="shared" si="60"/>
        <v>0</v>
      </c>
      <c r="FU97" s="532">
        <f t="shared" si="60"/>
        <v>0</v>
      </c>
      <c r="FV97" s="532">
        <f t="shared" si="60"/>
        <v>0</v>
      </c>
      <c r="FW97" s="532">
        <f t="shared" si="60"/>
        <v>0</v>
      </c>
      <c r="FX97" s="532">
        <f t="shared" si="60"/>
        <v>0</v>
      </c>
      <c r="FY97" s="532">
        <f t="shared" si="60"/>
        <v>0</v>
      </c>
      <c r="FZ97" s="532">
        <f t="shared" si="60"/>
        <v>0</v>
      </c>
      <c r="GA97" s="532">
        <f t="shared" si="60"/>
        <v>0</v>
      </c>
    </row>
    <row r="98" spans="1:183" x14ac:dyDescent="0.2">
      <c r="A98" s="438"/>
      <c r="B98" s="54"/>
      <c r="AA98" s="54"/>
      <c r="AS98" s="54"/>
      <c r="AX98" s="54"/>
      <c r="BC98" s="54"/>
      <c r="BL98" s="54"/>
      <c r="BM98" s="54"/>
      <c r="BN98" s="54"/>
      <c r="BT98" s="54"/>
      <c r="BX98" s="54"/>
      <c r="CB98" s="54"/>
      <c r="CD98" s="54"/>
      <c r="CK98" s="54"/>
      <c r="CM98" s="54"/>
      <c r="CN98" s="54"/>
      <c r="CO98" s="54"/>
      <c r="CP98" s="54"/>
      <c r="CW98" s="54"/>
      <c r="CX98" s="54"/>
      <c r="DB98" s="54"/>
      <c r="DJ98" s="54"/>
      <c r="DO98" s="54"/>
      <c r="DT98" s="54"/>
      <c r="DZ98" s="54"/>
      <c r="EC98" s="54"/>
      <c r="EF98" s="54"/>
      <c r="EG98" s="54"/>
      <c r="EI98" s="54"/>
      <c r="EV98" s="54"/>
      <c r="EW98" s="54"/>
      <c r="EX98" s="54"/>
      <c r="EY98" s="54"/>
      <c r="FD98" s="54"/>
      <c r="FG98" s="54"/>
      <c r="FO98" s="54"/>
      <c r="FP98" s="54"/>
      <c r="FQ98" s="54"/>
      <c r="FR98" s="54"/>
      <c r="FU98" s="54"/>
      <c r="FV98" s="54"/>
    </row>
    <row r="99" spans="1:183" x14ac:dyDescent="0.2">
      <c r="A99" s="439" t="s">
        <v>908</v>
      </c>
      <c r="B99" s="532">
        <f>+IFERROR(VLOOKUP(B2,'[7]אשכול חברתי מעודכן'!$A:$E,2,0),0)</f>
        <v>7</v>
      </c>
      <c r="C99" s="532">
        <f>+IFERROR(VLOOKUP(C2,'[7]אשכול חברתי מעודכן'!$A:$E,2,0),0)</f>
        <v>5</v>
      </c>
      <c r="D99" s="532">
        <f>+IFERROR(VLOOKUP(D2,'[7]אשכול חברתי מעודכן'!$A:$E,2,0),0)</f>
        <v>5</v>
      </c>
      <c r="E99" s="532">
        <f>+IFERROR(VLOOKUP(E2,'[7]אשכול חברתי מעודכן'!$A:$E,2,0),0)</f>
        <v>2</v>
      </c>
      <c r="F99" s="532">
        <f>+IFERROR(VLOOKUP(F2,'[7]אשכול חברתי מעודכן'!$A:$E,2,0),0)</f>
        <v>2</v>
      </c>
      <c r="G99" s="532">
        <f>+IFERROR(VLOOKUP(G2,'[7]אשכול חברתי מעודכן'!$A:$E,2,0),0)</f>
        <v>2</v>
      </c>
      <c r="H99" s="532">
        <f>+IFERROR(VLOOKUP(H2,'[7]אשכול חברתי מעודכן'!$A:$E,2,0),0)</f>
        <v>2</v>
      </c>
      <c r="I99" s="532">
        <f>+IFERROR(VLOOKUP(I2,'[7]אשכול חברתי מעודכן'!$A:$E,2,0),0)</f>
        <v>4</v>
      </c>
      <c r="J99" s="532">
        <f>+IFERROR(VLOOKUP(J2,'[7]אשכול חברתי מעודכן'!$A:$E,2,0),0)</f>
        <v>3</v>
      </c>
      <c r="K99" s="532">
        <f>+IFERROR(VLOOKUP(K2,'[7]אשכול חברתי מעודכן'!$A:$E,2,0),0)</f>
        <v>2</v>
      </c>
      <c r="L99" s="532">
        <f>+IFERROR(VLOOKUP(L2,'[7]אשכול חברתי מעודכן'!$A:$E,2,0),0)</f>
        <v>8</v>
      </c>
      <c r="M99" s="532">
        <f>+IFERROR(VLOOKUP(M2,'[7]אשכול חברתי מעודכן'!$A:$E,2,0),0)</f>
        <v>5</v>
      </c>
      <c r="N99" s="532">
        <f>+IFERROR(VLOOKUP(N2,'[7]אשכול חברתי מעודכן'!$A:$E,2,0),0)</f>
        <v>4</v>
      </c>
      <c r="O99" s="532">
        <f>+IFERROR(VLOOKUP(O2,'[7]אשכול חברתי מעודכן'!$A:$E,2,0),0)</f>
        <v>2</v>
      </c>
      <c r="P99" s="532">
        <f>+IFERROR(VLOOKUP(P2,'[7]אשכול חברתי מעודכן'!$A:$E,2,0),0)</f>
        <v>4</v>
      </c>
      <c r="Q99" s="532">
        <f>+IFERROR(VLOOKUP(Q2,'[7]אשכול חברתי מעודכן'!$A:$E,2,0),0)</f>
        <v>4</v>
      </c>
      <c r="R99" s="532">
        <f>+IFERROR(VLOOKUP(R2,'[7]אשכול חברתי מעודכן'!$A:$E,2,0),0)</f>
        <v>3</v>
      </c>
      <c r="S99" s="532">
        <f>+IFERROR(VLOOKUP(S2,'[7]אשכול חברתי מעודכן'!$A:$E,2,0),0)</f>
        <v>2</v>
      </c>
      <c r="T99" s="532">
        <f>+IFERROR(VLOOKUP(T2,'[7]אשכול חברתי מעודכן'!$A:$E,2,0),0)</f>
        <v>4</v>
      </c>
      <c r="U99" s="532">
        <f>+IFERROR(VLOOKUP(U2,'[7]אשכול חברתי מעודכן'!$A:$E,2,0),0)</f>
        <v>3</v>
      </c>
      <c r="V99" s="532">
        <f>+IFERROR(VLOOKUP(V2,'[7]אשכול חברתי מעודכן'!$A:$E,2,0),0)</f>
        <v>3</v>
      </c>
      <c r="W99" s="532">
        <f>+IFERROR(VLOOKUP(W2,'[7]אשכול חברתי מעודכן'!$A:$E,2,0),0)</f>
        <v>2</v>
      </c>
      <c r="X99" s="532">
        <f>+IFERROR(VLOOKUP(X2,'[7]אשכול חברתי מעודכן'!$A:$E,2,0),0)</f>
        <v>3</v>
      </c>
      <c r="Y99" s="532">
        <f>+IFERROR(VLOOKUP(Y2,'[7]אשכול חברתי מעודכן'!$A:$E,2,0),0)</f>
        <v>4</v>
      </c>
      <c r="Z99" s="532">
        <f>+IFERROR(VLOOKUP(Z2,'[7]אשכול חברתי מעודכן'!$A:$E,2,0),0)</f>
        <v>2</v>
      </c>
      <c r="AA99" s="532">
        <f>+IFERROR(VLOOKUP(AA2,'[7]אשכול חברתי מעודכן'!$A:$E,2,0),0)</f>
        <v>2</v>
      </c>
      <c r="AB99" s="532">
        <f>+IFERROR(VLOOKUP(AB2,'[7]אשכול חברתי מעודכן'!$A:$E,2,0),0)</f>
        <v>3</v>
      </c>
      <c r="AC99" s="532">
        <f>+IFERROR(VLOOKUP(AC2,'[7]אשכול חברתי מעודכן'!$A:$E,2,0),0)</f>
        <v>3</v>
      </c>
      <c r="AD99" s="532">
        <f>+IFERROR(VLOOKUP(AD2,'[7]אשכול חברתי מעודכן'!$A:$E,2,0),0)</f>
        <v>2</v>
      </c>
      <c r="AE99" s="532">
        <f>+IFERROR(VLOOKUP(AE2,'[7]אשכול חברתי מעודכן'!$A:$E,2,0),0)</f>
        <v>3</v>
      </c>
      <c r="AF99" s="532">
        <f>+IFERROR(VLOOKUP(AF2,'[7]אשכול חברתי מעודכן'!$A:$E,2,0),0)</f>
        <v>2</v>
      </c>
      <c r="AG99" s="532">
        <f>+IFERROR(VLOOKUP(AG2,'[7]אשכול חברתי מעודכן'!$A:$E,2,0),0)</f>
        <v>3</v>
      </c>
      <c r="AH99" s="532">
        <f>+IFERROR(VLOOKUP(AH2,'[7]אשכול חברתי מעודכן'!$A:$E,2,0),0)</f>
        <v>5</v>
      </c>
      <c r="AI99" s="532">
        <f>+IFERROR(VLOOKUP(AI2,'[7]אשכול חברתי מעודכן'!$A:$E,2,0),0)</f>
        <v>5</v>
      </c>
      <c r="AJ99" s="532">
        <f>+IFERROR(VLOOKUP(AJ2,'[7]אשכול חברתי מעודכן'!$A:$E,2,0),0)</f>
        <v>5</v>
      </c>
      <c r="AK99" s="532">
        <f>+IFERROR(VLOOKUP(AK2,'[7]אשכול חברתי מעודכן'!$A:$E,2,0),0)</f>
        <v>4</v>
      </c>
      <c r="AL99" s="532">
        <f>+IFERROR(VLOOKUP(AL2,'[7]אשכול חברתי מעודכן'!$A:$E,2,0),0)</f>
        <v>2</v>
      </c>
      <c r="AM99" s="532">
        <f>+IFERROR(VLOOKUP(AM2,'[7]אשכול חברתי מעודכן'!$A:$E,2,0),0)</f>
        <v>2</v>
      </c>
      <c r="AN99" s="532">
        <f>+IFERROR(VLOOKUP(AN2,'[7]אשכול חברתי מעודכן'!$A:$E,2,0),0)</f>
        <v>2</v>
      </c>
      <c r="AO99" s="532">
        <f>+IFERROR(VLOOKUP(AO2,'[7]אשכול חברתי מעודכן'!$A:$E,2,0),0)</f>
        <v>3</v>
      </c>
      <c r="AP99" s="532">
        <f>+IFERROR(VLOOKUP(AP2,'[7]אשכול חברתי מעודכן'!$A:$E,2,0),0)</f>
        <v>2</v>
      </c>
      <c r="AQ99" s="532">
        <f>+IFERROR(VLOOKUP(AQ2,'[7]אשכול חברתי מעודכן'!$A:$E,2,0),0)</f>
        <v>2</v>
      </c>
      <c r="AR99" s="532">
        <f>+IFERROR(VLOOKUP(AR2,'[7]אשכול חברתי מעודכן'!$A:$E,2,0),0)</f>
        <v>2</v>
      </c>
      <c r="AS99" s="532">
        <f>+IFERROR(VLOOKUP(AS2,'[7]אשכול חברתי מעודכן'!$A:$E,2,0),0)</f>
        <v>2</v>
      </c>
      <c r="AT99" s="532">
        <f>+IFERROR(VLOOKUP(AT2,'[7]אשכול חברתי מעודכן'!$A:$E,2,0),0)</f>
        <v>2</v>
      </c>
      <c r="AU99" s="532">
        <f>+IFERROR(VLOOKUP(AU2,'[7]אשכול חברתי מעודכן'!$A:$E,2,0),0)</f>
        <v>3</v>
      </c>
      <c r="AV99" s="532">
        <f>+IFERROR(VLOOKUP(AV2,'[7]אשכול חברתי מעודכן'!$A:$E,2,0),0)</f>
        <v>2</v>
      </c>
      <c r="AW99" s="532">
        <f>+IFERROR(VLOOKUP(AW2,'[7]אשכול חברתי מעודכן'!$A:$E,2,0),0)</f>
        <v>2</v>
      </c>
      <c r="AX99" s="532">
        <f>+IFERROR(VLOOKUP(AX2,'[7]אשכול חברתי מעודכן'!$A:$E,2,0),0)</f>
        <v>2</v>
      </c>
      <c r="AY99" s="532">
        <f>+IFERROR(VLOOKUP(AY2,'[7]אשכול חברתי מעודכן'!$A:$E,2,0),0)</f>
        <v>2</v>
      </c>
      <c r="AZ99" s="532">
        <f>+IFERROR(VLOOKUP(AZ2,'[7]אשכול חברתי מעודכן'!$A:$E,2,0),0)</f>
        <v>4</v>
      </c>
      <c r="BA99" s="532">
        <f>+IFERROR(VLOOKUP(BA2,'[7]אשכול חברתי מעודכן'!$A:$E,2,0),0)</f>
        <v>4</v>
      </c>
      <c r="BB99" s="532">
        <f>+IFERROR(VLOOKUP(BB2,'[7]אשכול חברתי מעודכן'!$A:$E,2,0),0)</f>
        <v>5</v>
      </c>
      <c r="BC99" s="532">
        <f>+IFERROR(VLOOKUP(BC2,'[7]אשכול חברתי מעודכן'!$A:$E,2,0),0)</f>
        <v>4</v>
      </c>
      <c r="BD99" s="532">
        <f>+IFERROR(VLOOKUP(BD2,'[7]אשכול חברתי מעודכן'!$A:$E,2,0),0)</f>
        <v>3</v>
      </c>
      <c r="BE99" s="532">
        <f>+IFERROR(VLOOKUP(BE2,'[7]אשכול חברתי מעודכן'!$A:$E,2,0),0)</f>
        <v>2</v>
      </c>
      <c r="BF99" s="532">
        <f>+IFERROR(VLOOKUP(BF2,'[7]אשכול חברתי מעודכן'!$A:$E,2,0),0)</f>
        <v>2</v>
      </c>
      <c r="BG99" s="532">
        <f>+IFERROR(VLOOKUP(BG2,'[7]אשכול חברתי מעודכן'!$A:$E,2,0),0)</f>
        <v>3</v>
      </c>
      <c r="BH99" s="532">
        <f>+IFERROR(VLOOKUP(BH2,'[7]אשכול חברתי מעודכן'!$A:$E,2,0),0)</f>
        <v>2</v>
      </c>
      <c r="BI99" s="532">
        <f>+IFERROR(VLOOKUP(BI2,'[7]אשכול חברתי מעודכן'!$A:$E,2,0),0)</f>
        <v>2</v>
      </c>
      <c r="BJ99" s="532">
        <f>+IFERROR(VLOOKUP(BJ2,'[7]אשכול חברתי מעודכן'!$A:$E,2,0),0)</f>
        <v>2</v>
      </c>
      <c r="BK99" s="532">
        <f>+IFERROR(VLOOKUP(BK2,'[7]אשכול חברתי מעודכן'!$A:$E,2,0),0)</f>
        <v>3</v>
      </c>
      <c r="BL99" s="532">
        <f>+IFERROR(VLOOKUP(BL2,'[7]אשכול חברתי מעודכן'!$A:$E,2,0),0)</f>
        <v>2</v>
      </c>
      <c r="BM99" s="532">
        <f>+IFERROR(VLOOKUP(BM2,'[7]אשכול חברתי מעודכן'!$A:$E,2,0),0)</f>
        <v>2</v>
      </c>
      <c r="BN99" s="532">
        <f>+IFERROR(VLOOKUP(BN2,'[7]אשכול חברתי מעודכן'!$A:$E,2,0),0)</f>
        <v>4</v>
      </c>
      <c r="BO99" s="532">
        <f>+IFERROR(VLOOKUP(BO2,'[7]אשכול חברתי מעודכן'!$A:$E,2,0),0)</f>
        <v>5</v>
      </c>
      <c r="BP99" s="532">
        <f>+IFERROR(VLOOKUP(BP2,'[7]אשכול חברתי מעודכן'!$A:$E,2,0),0)</f>
        <v>5</v>
      </c>
      <c r="BQ99" s="532">
        <f>+IFERROR(VLOOKUP(BQ2,'[7]אשכול חברתי מעודכן'!$A:$E,2,0),0)</f>
        <v>2</v>
      </c>
      <c r="BR99" s="532">
        <f>+IFERROR(VLOOKUP(BR2,'[7]אשכול חברתי מעודכן'!$A:$E,2,0),0)</f>
        <v>9</v>
      </c>
      <c r="BS99" s="532">
        <f>+IFERROR(VLOOKUP(BS2,'[7]אשכול חברתי מעודכן'!$A:$E,2,0),0)</f>
        <v>5</v>
      </c>
      <c r="BT99" s="532">
        <f>+IFERROR(VLOOKUP(BT2,'[7]אשכול חברתי מעודכן'!$A:$E,2,0),0)</f>
        <v>5</v>
      </c>
      <c r="BU99" s="532">
        <f>+IFERROR(VLOOKUP(BU2,'[7]אשכול חברתי מעודכן'!$A:$E,2,0),0)</f>
        <v>6</v>
      </c>
      <c r="BV99" s="532">
        <f>+IFERROR(VLOOKUP(BV2,'[7]אשכול חברתי מעודכן'!$A:$E,2,0),0)</f>
        <v>4</v>
      </c>
      <c r="BW99" s="532">
        <f>+IFERROR(VLOOKUP(BW2,'[7]אשכול חברתי מעודכן'!$A:$E,2,0),0)</f>
        <v>6</v>
      </c>
      <c r="BX99" s="532">
        <f>+IFERROR(VLOOKUP(BX2,'[7]אשכול חברתי מעודכן'!$A:$E,2,0),0)</f>
        <v>2</v>
      </c>
      <c r="BY99" s="532">
        <f>+IFERROR(VLOOKUP(BY2,'[7]אשכול חברתי מעודכן'!$A:$E,2,0),0)</f>
        <v>3</v>
      </c>
      <c r="BZ99" s="532">
        <f>+VLOOKUP(BZ2,'[7]אשכול חברתי מעודכן'!$A:$E,2,0)</f>
        <v>4</v>
      </c>
      <c r="CA99" s="532">
        <f>+IFERROR(VLOOKUP(CA2,'[7]אשכול חברתי מעודכן'!$A:$E,2,0),0)</f>
        <v>5</v>
      </c>
      <c r="CB99" s="532">
        <f>+IFERROR(VLOOKUP(CB2,'[7]אשכול חברתי מעודכן'!$A:$E,2,0),0)</f>
        <v>8</v>
      </c>
      <c r="CC99" s="532">
        <f>+IFERROR(VLOOKUP(CC2,'[7]אשכול חברתי מעודכן'!$A:$E,2,0),0)</f>
        <v>6</v>
      </c>
      <c r="CD99" s="532">
        <f>+IFERROR(VLOOKUP(CD2,'[7]אשכול חברתי מעודכן'!$A:$E,2,0),0)</f>
        <v>8</v>
      </c>
      <c r="CE99" s="532">
        <f>+IFERROR(VLOOKUP(CE2,'[7]אשכול חברתי מעודכן'!$A:$E,2,0),0)</f>
        <v>7</v>
      </c>
      <c r="CF99" s="532">
        <f>+IFERROR(VLOOKUP(CF2,'[7]אשכול חברתי מעודכן'!$A:$E,2,0),0)</f>
        <v>2</v>
      </c>
      <c r="CG99" s="532">
        <f>+IFERROR(VLOOKUP(CG2,'[7]אשכול חברתי מעודכן'!$A:$E,2,0),0)</f>
        <v>2</v>
      </c>
      <c r="CH99" s="532">
        <f>+IFERROR(VLOOKUP(CH2,'[7]אשכול חברתי מעודכן'!$A:$E,2,0),0)</f>
        <v>4</v>
      </c>
      <c r="CI99" s="532">
        <f>+IFERROR(VLOOKUP(CI2,'[7]אשכול חברתי מעודכן'!$A:$E,2,0),0)</f>
        <v>2</v>
      </c>
      <c r="CJ99" s="532">
        <f>+IFERROR(VLOOKUP(CJ2,'[7]אשכול חברתי מעודכן'!$A:$E,2,0),0)</f>
        <v>2</v>
      </c>
      <c r="CK99" s="532">
        <f>+IFERROR(VLOOKUP(CK2,'[7]אשכול חברתי מעודכן'!$A:$E,2,0),0)</f>
        <v>3</v>
      </c>
      <c r="CL99" s="532">
        <f>+IFERROR(VLOOKUP(CL2,'[7]אשכול חברתי מעודכן'!$A:$E,2,0),0)</f>
        <v>3</v>
      </c>
      <c r="CM99" s="532">
        <f>+IFERROR(VLOOKUP(CM2,'[7]אשכול חברתי מעודכן'!$A:$E,2,0),0)</f>
        <v>5</v>
      </c>
      <c r="CN99" s="532">
        <f>+VLOOKUP(CN2,'[7]אשכול חברתי מעודכן'!$A:$E,2,0)</f>
        <v>4</v>
      </c>
      <c r="CO99" s="532">
        <f>+VLOOKUP(CO2,'[7]אשכול חברתי מעודכן'!$A:$E,2,0)</f>
        <v>8</v>
      </c>
      <c r="CP99" s="532">
        <f>+VLOOKUP(CP2,'[7]אשכול חברתי מעודכן'!$A:$E,2,0)</f>
        <v>2</v>
      </c>
      <c r="CQ99" s="532">
        <f>+IFERROR(VLOOKUP(CQ2,'[7]אשכול חברתי מעודכן'!$A:$E,2,0),0)</f>
        <v>8</v>
      </c>
      <c r="CR99" s="532">
        <f>+IFERROR(VLOOKUP(CR2,'[7]אשכול חברתי מעודכן'!$A:$E,2,0),0)</f>
        <v>7</v>
      </c>
      <c r="CS99" s="532">
        <f>+IFERROR(VLOOKUP(CS2,'[7]אשכול חברתי מעודכן'!$A:$E,2,0),0)</f>
        <v>6</v>
      </c>
      <c r="CT99" s="532">
        <f>+IFERROR(VLOOKUP(CT2,'[7]אשכול חברתי מעודכן'!$A:$E,2,0),0)</f>
        <v>7</v>
      </c>
      <c r="CU99" s="532">
        <f>+IFERROR(VLOOKUP(CU2,'[7]אשכול חברתי מעודכן'!$A:$E,2,0),0)</f>
        <v>9</v>
      </c>
      <c r="CV99" s="532">
        <f>+IFERROR(VLOOKUP(CV2,'[7]אשכול חברתי מעודכן'!$A:$E,2,0),0)</f>
        <v>2</v>
      </c>
      <c r="CW99" s="532">
        <f>+IFERROR(VLOOKUP(CW2,'[7]אשכול חברתי מעודכן'!$A:$E,2,0),0)</f>
        <v>3</v>
      </c>
      <c r="CX99" s="532">
        <f>+IFERROR(VLOOKUP(CX2,'[7]אשכול חברתי מעודכן'!$A:$E,2,0),0)</f>
        <v>2</v>
      </c>
      <c r="CY99" s="532">
        <f>+IFERROR(VLOOKUP(CY2,'[7]אשכול חברתי מעודכן'!$A:$E,2,0),0)</f>
        <v>3</v>
      </c>
      <c r="CZ99" s="532">
        <f>+IFERROR(VLOOKUP(CZ2,'[7]אשכול חברתי מעודכן'!$A:$E,2,0),0)</f>
        <v>5</v>
      </c>
      <c r="DA99" s="532">
        <f>+IFERROR(VLOOKUP(DA2,'[7]אשכול חברתי מעודכן'!$A:$E,2,0),0)</f>
        <v>6</v>
      </c>
      <c r="DB99" s="532">
        <f>+IFERROR(VLOOKUP(DB2,'[7]אשכול חברתי מעודכן'!$A:$E,2,0),0)</f>
        <v>5</v>
      </c>
      <c r="DC99" s="532">
        <f>+IFERROR(VLOOKUP(DC2,'[7]אשכול חברתי מעודכן'!$A:$E,2,0),0)</f>
        <v>6</v>
      </c>
      <c r="DD99" s="532">
        <f>+IFERROR(VLOOKUP(DD2,'[7]אשכול חברתי מעודכן'!$A:$E,2,0),0)</f>
        <v>8</v>
      </c>
      <c r="DE99" s="532">
        <f>+IFERROR(VLOOKUP(DE2,'[7]אשכול חברתי מעודכן'!$A:$E,2,0),0)</f>
        <v>9</v>
      </c>
      <c r="DF99" s="532">
        <f>+IFERROR(VLOOKUP(DF2,'[7]אשכול חברתי מעודכן'!$A:$E,2,0),0)</f>
        <v>8</v>
      </c>
      <c r="DG99" s="532">
        <f>+IFERROR(VLOOKUP(DG2,'[7]אשכול חברתי מעודכן'!$A:$E,2,0),0)</f>
        <v>8</v>
      </c>
      <c r="DH99" s="532">
        <f>+IFERROR(VLOOKUP(DH2,'[7]אשכול חברתי מעודכן'!$A:$E,2,0),0)</f>
        <v>8</v>
      </c>
      <c r="DI99" s="532">
        <f>+IFERROR(VLOOKUP(DI2,'[7]אשכול חברתי מעודכן'!$A:$E,2,0),0)</f>
        <v>9</v>
      </c>
      <c r="DJ99" s="532">
        <f>+IFERROR(VLOOKUP(DJ2,'[7]אשכול חברתי מעודכן'!$A:$E,2,0),0)</f>
        <v>8</v>
      </c>
      <c r="DK99" s="532">
        <f>+IFERROR(VLOOKUP(DK2,'[7]אשכול חברתי מעודכן'!$A:$E,2,0),0)</f>
        <v>7</v>
      </c>
      <c r="DL99" s="532">
        <f>+IFERROR(VLOOKUP(DL2,'[7]אשכול חברתי מעודכן'!$A:$E,2,0),0)</f>
        <v>8</v>
      </c>
      <c r="DM99" s="532">
        <f>+IFERROR(VLOOKUP(DM2,'[7]אשכול חברתי מעודכן'!$A:$E,2,0),0)</f>
        <v>3</v>
      </c>
      <c r="DN99" s="532">
        <f>+IFERROR(VLOOKUP(DN2,'[7]אשכול חברתי מעודכן'!$A:$E,2,0),0)</f>
        <v>8</v>
      </c>
      <c r="DO99" s="532">
        <f>+IFERROR(VLOOKUP(DO2,'[7]אשכול חברתי מעודכן'!$A:$E,2,0),0)</f>
        <v>7</v>
      </c>
      <c r="DP99" s="532">
        <f>+IFERROR(VLOOKUP(DP2,'[7]אשכול חברתי מעודכן'!$A:$E,2,0),0)</f>
        <v>8</v>
      </c>
      <c r="DQ99" s="532">
        <f>+IFERROR(VLOOKUP(DQ2,'[7]אשכול חברתי מעודכן'!$A:$E,2,0),0)</f>
        <v>6</v>
      </c>
      <c r="DR99" s="532">
        <f>+IFERROR(VLOOKUP(DR2,'[7]אשכול חברתי מעודכן'!$A:$E,2,0),0)</f>
        <v>3</v>
      </c>
      <c r="DS99" s="532">
        <f>+IFERROR(VLOOKUP(DS2,'[7]אשכול חברתי מעודכן'!$A:$E,2,0),0)</f>
        <v>2</v>
      </c>
      <c r="DT99" s="532">
        <f>+VLOOKUP(DT2,'[7]אשכול חברתי מעודכן'!$A:$E,2,0)</f>
        <v>8</v>
      </c>
      <c r="DU99" s="532">
        <f>+IFERROR(VLOOKUP(DU2,'[7]אשכול חברתי מעודכן'!$A:$E,2,0),0)</f>
        <v>4</v>
      </c>
      <c r="DV99" s="532">
        <f>+IFERROR(VLOOKUP(DV2,'[7]אשכול חברתי מעודכן'!$A:$E,2,0),0)</f>
        <v>6</v>
      </c>
      <c r="DW99" s="532">
        <f>+IFERROR(VLOOKUP(DW2,'[7]אשכול חברתי מעודכן'!$A:$E,2,0),0)</f>
        <v>4</v>
      </c>
      <c r="DX99" s="532">
        <f>+IFERROR(VLOOKUP(DX2,'[7]אשכול חברתי מעודכן'!$A:$E,2,0),0)</f>
        <v>8</v>
      </c>
      <c r="DY99" s="532">
        <f>+IFERROR(VLOOKUP(DY2,'[7]אשכול חברתי מעודכן'!$A:$E,2,0),0)</f>
        <v>3</v>
      </c>
      <c r="DZ99" s="532">
        <f>+IFERROR(VLOOKUP(DZ2,'[7]אשכול חברתי מעודכן'!$A:$E,2,0),0)</f>
        <v>3</v>
      </c>
      <c r="EA99" s="532">
        <f>+IFERROR(VLOOKUP(EA2,'[7]אשכול חברתי מעודכן'!$A:$E,2,0),0)</f>
        <v>5</v>
      </c>
      <c r="EB99" s="532">
        <f>+IFERROR(VLOOKUP(EB2,'[7]אשכול חברתי מעודכן'!$A:$E,2,0),0)</f>
        <v>3</v>
      </c>
      <c r="EC99" s="532">
        <f>+IFERROR(VLOOKUP(EC2,'[7]אשכול חברתי מעודכן'!$A:$E,2,0),0)</f>
        <v>8</v>
      </c>
      <c r="ED99" s="532">
        <f>+IFERROR(VLOOKUP(ED2,'[7]אשכול חברתי מעודכן'!$A:$E,2,0),0)</f>
        <v>5</v>
      </c>
      <c r="EE99" s="532">
        <f>+IFERROR(VLOOKUP(EE2,'[7]אשכול חברתי מעודכן'!$A:$E,2,0),0)</f>
        <v>6</v>
      </c>
      <c r="EF99" s="532">
        <f>+IFERROR(VLOOKUP(EF2,'[7]אשכול חברתי מעודכן'!$A:$E,2,0),0)</f>
        <v>7</v>
      </c>
      <c r="EG99" s="532">
        <f>+IFERROR(VLOOKUP(EG2,'[7]אשכול חברתי מעודכן'!$A:$E,2,0),0)</f>
        <v>5</v>
      </c>
      <c r="EH99" s="532">
        <f>+IFERROR(VLOOKUP(EH2,'[7]אשכול חברתי מעודכן'!$A:$E,2,0),0)</f>
        <v>5</v>
      </c>
      <c r="EI99" s="532">
        <f>+IFERROR(VLOOKUP(EI2,'[7]אשכול חברתי מעודכן'!$A:$E,2,0),0)</f>
        <v>6</v>
      </c>
      <c r="EJ99" s="532">
        <f>+IFERROR(VLOOKUP(EJ2,'[7]אשכול חברתי מעודכן'!$A:$E,2,0),0)</f>
        <v>7</v>
      </c>
      <c r="EK99" s="532">
        <f>+IFERROR(VLOOKUP(EK2,'[7]אשכול חברתי מעודכן'!$A:$E,2,0),0)</f>
        <v>8</v>
      </c>
      <c r="EL99" s="532">
        <f>+IFERROR(VLOOKUP(EL2,'[7]אשכול חברתי מעודכן'!$A:$E,2,0),0)</f>
        <v>5</v>
      </c>
      <c r="EM99" s="532">
        <f>+IFERROR(VLOOKUP(EM2,'[7]אשכול חברתי מעודכן'!$A:$E,2,0),0)</f>
        <v>5</v>
      </c>
      <c r="EN99" s="532">
        <f>+IFERROR(VLOOKUP(EN2,'[7]אשכול חברתי מעודכן'!$A:$E,2,0),0)</f>
        <v>6</v>
      </c>
      <c r="EO99" s="532">
        <f>+IFERROR(VLOOKUP(EO2,'[7]אשכול חברתי מעודכן'!$A:$E,2,0),0)</f>
        <v>5</v>
      </c>
      <c r="EP99" s="532">
        <f>+IFERROR(VLOOKUP(EP2,'[7]אשכול חברתי מעודכן'!$A:$E,2,0),0)</f>
        <v>5</v>
      </c>
      <c r="EQ99" s="532">
        <f>+IFERROR(VLOOKUP(EQ2,'[7]אשכול חברתי מעודכן'!$A:$E,2,0),0)</f>
        <v>4</v>
      </c>
      <c r="ER99" s="532">
        <f>+IFERROR(VLOOKUP(ER2,'[7]אשכול חברתי מעודכן'!$A:$E,2,0),0)</f>
        <v>5</v>
      </c>
      <c r="ES99" s="532">
        <f>+IFERROR(VLOOKUP(ES2,'[7]אשכול חברתי מעודכן'!$A:$E,2,0),0)</f>
        <v>3</v>
      </c>
      <c r="ET99" s="532">
        <f>+IFERROR(VLOOKUP(ET2,'[7]אשכול חברתי מעודכן'!$A:$E,2,0),0)</f>
        <v>4</v>
      </c>
      <c r="EU99" s="532">
        <f>+IFERROR(VLOOKUP(EU2,'[7]אשכול חברתי מעודכן'!$A:$E,2,0),0)</f>
        <v>5</v>
      </c>
      <c r="EV99" s="532">
        <f>+IFERROR(VLOOKUP(EV2,'[7]אשכול חברתי מעודכן'!$A:$E,2,0),0)</f>
        <v>3</v>
      </c>
      <c r="EW99" s="532">
        <f>+IFERROR(VLOOKUP(EW2,'[7]אשכול חברתי מעודכן'!$A:$E,2,0),0)</f>
        <v>5</v>
      </c>
      <c r="EX99" s="532">
        <f>+IFERROR(VLOOKUP(EX2,'[7]אשכול חברתי מעודכן'!$A:$E,2,0),0)</f>
        <v>4</v>
      </c>
      <c r="EY99" s="532">
        <f>+IFERROR(VLOOKUP(EY2,'[7]אשכול חברתי מעודכן'!$A:$E,2,0),0)</f>
        <v>4</v>
      </c>
      <c r="EZ99" s="532">
        <f>+IFERROR(VLOOKUP(EZ2,'[7]אשכול חברתי מעודכן'!$A:$E,2,0),0)</f>
        <v>4</v>
      </c>
      <c r="FA99" s="532">
        <f>+IFERROR(VLOOKUP(FA2,'[7]אשכול חברתי מעודכן'!$A:$E,2,0),0)</f>
        <v>2</v>
      </c>
      <c r="FB99" s="532">
        <f>+IFERROR(VLOOKUP(FB2,'[7]אשכול חברתי מעודכן'!$A:$E,2,0),0)</f>
        <v>2</v>
      </c>
      <c r="FC99" s="532">
        <f>+IFERROR(VLOOKUP(FC2,'[7]אשכול חברתי מעודכן'!$A:$E,2,0),0)</f>
        <v>1</v>
      </c>
      <c r="FD99" s="532">
        <f>+IFERROR(VLOOKUP(FD2,'[7]אשכול חברתי מעודכן'!$A:$E,2,0),0)</f>
        <v>2</v>
      </c>
      <c r="FE99" s="532">
        <f>+IFERROR(VLOOKUP(FE2,'[7]אשכול חברתי מעודכן'!$A:$E,2,0),0)</f>
        <v>2</v>
      </c>
      <c r="FF99" s="532">
        <f>+IFERROR(VLOOKUP(FF2,'[7]אשכול חברתי מעודכן'!$A:$E,2,0),0)</f>
        <v>1</v>
      </c>
      <c r="FG99" s="532">
        <f>+IFERROR(VLOOKUP(FG2,'[7]אשכול חברתי מעודכן'!$A:$E,2,0),0)</f>
        <v>2</v>
      </c>
      <c r="FH99" s="532">
        <f>+IFERROR(VLOOKUP(FH2,'[7]אשכול חברתי מעודכן'!$A:$E,2,0),0)</f>
        <v>5</v>
      </c>
      <c r="FI99" s="532">
        <f>+IFERROR(VLOOKUP(FI2,'[7]אשכול חברתי מעודכן'!$A:$E,2,0),0)</f>
        <v>0</v>
      </c>
      <c r="FJ99" s="532">
        <f>+IFERROR(VLOOKUP(FJ2,'[7]אשכול חברתי מעודכן'!$A:$E,2,0),0)</f>
        <v>0</v>
      </c>
      <c r="FK99" s="532">
        <f>+IFERROR(VLOOKUP(FK2,'[7]אשכול חברתי מעודכן'!$A:$E,2,0),0)</f>
        <v>0</v>
      </c>
      <c r="FL99" s="532">
        <f>+IFERROR(VLOOKUP(FL2,'[7]אשכול חברתי מעודכן'!$A:$E,2,0),0)</f>
        <v>2</v>
      </c>
      <c r="FM99" s="532">
        <f>+IFERROR(VLOOKUP(FM2,'[7]אשכול חברתי מעודכן'!$A:$E,2,0),0)</f>
        <v>6</v>
      </c>
      <c r="FN99" s="532">
        <f>+IFERROR(VLOOKUP(FN2,'[7]אשכול חברתי מעודכן'!$A:$E,2,0),0)</f>
        <v>0</v>
      </c>
      <c r="FO99" s="532">
        <f>+VLOOKUP(FO2,'[7]אשכול חברתי מעודכן'!$A:$E,2,0)</f>
        <v>5</v>
      </c>
      <c r="FP99" s="532">
        <f>+VLOOKUP(FP2,'[7]אשכול חברתי מעודכן'!$A:$E,2,0)</f>
        <v>9</v>
      </c>
      <c r="FQ99" s="532">
        <f>+VLOOKUP(FQ2,'[7]אשכול חברתי מעודכן'!$A:$E,2,0)</f>
        <v>8</v>
      </c>
      <c r="FR99" s="532">
        <f>+VLOOKUP(FR2,'[7]אשכול חברתי מעודכן'!$A:$E,2,0)</f>
        <v>2</v>
      </c>
      <c r="FY99" s="532">
        <f>+IFERROR(VLOOKUP(FY2,'[7]אשכול חברתי מעודכן'!$A:$E,2,0),0)</f>
        <v>7</v>
      </c>
    </row>
    <row r="100" spans="1:183" x14ac:dyDescent="0.2">
      <c r="DQ100" s="614">
        <f>+DQ73-DQ88</f>
        <v>237768218.65714285</v>
      </c>
      <c r="DR100" s="614">
        <f>+DR73-DR88</f>
        <v>4426381.4428571425</v>
      </c>
      <c r="DS100" s="614">
        <f>+DS73-DS88</f>
        <v>16225347.257142857</v>
      </c>
      <c r="DZ100" s="54"/>
      <c r="FY100" s="614">
        <f>+FY73-FY88</f>
        <v>0</v>
      </c>
    </row>
    <row r="101" spans="1:183" x14ac:dyDescent="0.2">
      <c r="A101" s="439" t="s">
        <v>1480</v>
      </c>
      <c r="B101" s="54">
        <f>+IF(B99&lt;=4,'[7]הנחות עבודה'!$E$66,'[7]הנחות עבודה'!$E$63)</f>
        <v>7.0000000000000007E-2</v>
      </c>
      <c r="C101" s="54">
        <f>+IF(C99&lt;=4,'[7]הנחות עבודה'!$E$66,'[7]הנחות עבודה'!$E$63)</f>
        <v>7.0000000000000007E-2</v>
      </c>
      <c r="D101" s="54">
        <f>+IF(D99&lt;=4,'[7]הנחות עבודה'!$E$66,'[7]הנחות עבודה'!$E$63)</f>
        <v>7.0000000000000007E-2</v>
      </c>
      <c r="E101" s="54">
        <f>+IF(E99&lt;=4,'[7]הנחות עבודה'!$E$66,'[7]הנחות עבודה'!$E$63)</f>
        <v>0.1166</v>
      </c>
      <c r="F101" s="54">
        <f>+IF(F99&lt;=4,'[7]הנחות עבודה'!$E$66,'[7]הנחות עבודה'!$E$63)</f>
        <v>0.1166</v>
      </c>
      <c r="G101" s="54">
        <f>+IF(G99&lt;=4,'[7]הנחות עבודה'!$E$66,'[7]הנחות עבודה'!$E$63)</f>
        <v>0.1166</v>
      </c>
      <c r="H101" s="54">
        <f>+IF(H99&lt;=4,'[7]הנחות עבודה'!$E$66,'[7]הנחות עבודה'!$E$63)</f>
        <v>0.1166</v>
      </c>
      <c r="I101" s="54">
        <f>+IF(I99&lt;=4,'[7]הנחות עבודה'!$E$66,'[7]הנחות עבודה'!$E$63)</f>
        <v>0.1166</v>
      </c>
      <c r="J101" s="54">
        <f>+IF(J99&lt;=4,'[7]הנחות עבודה'!$E$66,'[7]הנחות עבודה'!$E$63)</f>
        <v>0.1166</v>
      </c>
      <c r="K101" s="54">
        <f>+IF(K99&lt;=4,'[7]הנחות עבודה'!$E$66,'[7]הנחות עבודה'!$E$63)</f>
        <v>0.1166</v>
      </c>
      <c r="L101" s="54">
        <f>+IF(L99&lt;=4,'[7]הנחות עבודה'!$E$66,'[7]הנחות עבודה'!$E$63)</f>
        <v>7.0000000000000007E-2</v>
      </c>
      <c r="M101" s="54">
        <f>+IF(M99&lt;=4,'[7]הנחות עבודה'!$E$66,'[7]הנחות עבודה'!$E$63)</f>
        <v>7.0000000000000007E-2</v>
      </c>
      <c r="N101" s="54">
        <f>+IF(N99&lt;=4,'[7]הנחות עבודה'!$E$66,'[7]הנחות עבודה'!$E$63)</f>
        <v>0.1166</v>
      </c>
      <c r="O101" s="54">
        <f>+IF(O99&lt;=4,'[7]הנחות עבודה'!$E$66,'[7]הנחות עבודה'!$E$63)</f>
        <v>0.1166</v>
      </c>
      <c r="P101" s="54">
        <f>+IF(P99&lt;=4,'[7]הנחות עבודה'!$E$66,'[7]הנחות עבודה'!$E$63)</f>
        <v>0.1166</v>
      </c>
      <c r="Q101" s="54">
        <f>+IF(Q99&lt;=4,'[7]הנחות עבודה'!$E$66,'[7]הנחות עבודה'!$E$63)</f>
        <v>0.1166</v>
      </c>
      <c r="R101" s="54">
        <f>+IF(R99&lt;=4,'[7]הנחות עבודה'!$E$66,'[7]הנחות עבודה'!$E$63)</f>
        <v>0.1166</v>
      </c>
      <c r="S101" s="54">
        <f>+IF(S99&lt;=4,'[7]הנחות עבודה'!$E$66,'[7]הנחות עבודה'!$E$63)</f>
        <v>0.1166</v>
      </c>
      <c r="T101" s="54">
        <f>+IF(T99&lt;=4,'[7]הנחות עבודה'!$E$66,'[7]הנחות עבודה'!$E$63)</f>
        <v>0.1166</v>
      </c>
      <c r="U101" s="54">
        <f>+IF(U99&lt;=4,'[7]הנחות עבודה'!$E$66,'[7]הנחות עבודה'!$E$63)</f>
        <v>0.1166</v>
      </c>
      <c r="V101" s="54">
        <f>+IF(V99&lt;=4,'[7]הנחות עבודה'!$E$66,'[7]הנחות עבודה'!$E$63)</f>
        <v>0.1166</v>
      </c>
      <c r="W101" s="54">
        <f>+IF(W99&lt;=4,'[7]הנחות עבודה'!$E$66,'[7]הנחות עבודה'!$E$63)</f>
        <v>0.1166</v>
      </c>
      <c r="X101" s="54">
        <f>+IF(X99&lt;=4,'[7]הנחות עבודה'!$E$66,'[7]הנחות עבודה'!$E$63)</f>
        <v>0.1166</v>
      </c>
      <c r="Y101" s="54">
        <f>+IF(Y99&lt;=4,'[7]הנחות עבודה'!$E$66,'[7]הנחות עבודה'!$E$63)</f>
        <v>0.1166</v>
      </c>
      <c r="Z101" s="54">
        <f>+IF(Z99&lt;=4,'[7]הנחות עבודה'!$E$66,'[7]הנחות עבודה'!$E$63)</f>
        <v>0.1166</v>
      </c>
      <c r="AA101" s="54">
        <f>+IF(AA99&lt;=4,'[7]הנחות עבודה'!$E$66,'[7]הנחות עבודה'!$E$63)</f>
        <v>0.1166</v>
      </c>
      <c r="AB101" s="54">
        <f>+IF(AB99&lt;=4,'[7]הנחות עבודה'!$E$66,'[7]הנחות עבודה'!$E$63)</f>
        <v>0.1166</v>
      </c>
      <c r="AC101" s="54">
        <f>+IF(AC99&lt;=4,'[7]הנחות עבודה'!$E$66,'[7]הנחות עבודה'!$E$63)</f>
        <v>0.1166</v>
      </c>
      <c r="AD101" s="532">
        <f>+IF(AD99&lt;=4,'[7]הנחות עבודה'!$E$66,'[7]הנחות עבודה'!$E$63)</f>
        <v>0.1166</v>
      </c>
      <c r="AE101" s="54">
        <f>+IF(AE99&lt;=4,'[7]הנחות עבודה'!$E$66,'[7]הנחות עבודה'!$E$63)</f>
        <v>0.1166</v>
      </c>
      <c r="AF101" s="54">
        <f>+IF(AF99&lt;=4,'[7]הנחות עבודה'!$E$66,'[7]הנחות עבודה'!$E$63)</f>
        <v>0.1166</v>
      </c>
      <c r="AG101" s="54">
        <f>+IF(AG99&lt;=4,'[7]הנחות עבודה'!$E$66,'[7]הנחות עבודה'!$E$63)</f>
        <v>0.1166</v>
      </c>
      <c r="AH101" s="54">
        <f>+IF(AH99&lt;=4,'[7]הנחות עבודה'!$E$66,'[7]הנחות עבודה'!$E$63)</f>
        <v>7.0000000000000007E-2</v>
      </c>
      <c r="AI101" s="54">
        <f>+IF(AI99&lt;=4,'[7]הנחות עבודה'!$E$66,'[7]הנחות עבודה'!$E$63)</f>
        <v>7.0000000000000007E-2</v>
      </c>
      <c r="AJ101" s="54">
        <f>+IF(AJ99&lt;=4,'[7]הנחות עבודה'!$E$66,'[7]הנחות עבודה'!$E$63)</f>
        <v>7.0000000000000007E-2</v>
      </c>
      <c r="AK101" s="54">
        <f>+IF(AK99&lt;=4,'[7]הנחות עבודה'!$E$66,'[7]הנחות עבודה'!$E$63)</f>
        <v>0.1166</v>
      </c>
      <c r="AL101" s="54">
        <f>+IF(AL99&lt;=4,'[7]הנחות עבודה'!$E$66,'[7]הנחות עבודה'!$E$63)</f>
        <v>0.1166</v>
      </c>
      <c r="AM101" s="54">
        <f>+IF(AM99&lt;=4,'[7]הנחות עבודה'!$E$66,'[7]הנחות עבודה'!$E$63)</f>
        <v>0.1166</v>
      </c>
      <c r="AN101" s="54">
        <f>+IF(AN99&lt;=4,'[7]הנחות עבודה'!$E$66,'[7]הנחות עבודה'!$E$63)</f>
        <v>0.1166</v>
      </c>
      <c r="AO101" s="54">
        <f>+IF(AO99&lt;=4,'[7]הנחות עבודה'!$E$66,'[7]הנחות עבודה'!$E$63)</f>
        <v>0.1166</v>
      </c>
      <c r="AP101" s="54">
        <f>+IF(AP99&lt;=4,'[7]הנחות עבודה'!$E$66,'[7]הנחות עבודה'!$E$63)</f>
        <v>0.1166</v>
      </c>
      <c r="AQ101" s="54">
        <f>+IF(AQ99&lt;=4,'[7]הנחות עבודה'!$E$66,'[7]הנחות עבודה'!$E$63)</f>
        <v>0.1166</v>
      </c>
      <c r="AR101" s="54">
        <f>+IF(AR99&lt;=4,'[7]הנחות עבודה'!$E$66,'[7]הנחות עבודה'!$E$63)</f>
        <v>0.1166</v>
      </c>
      <c r="AS101" s="54">
        <f>+IF(AS99&lt;=4,'[7]הנחות עבודה'!$E$66,'[7]הנחות עבודה'!$E$63)</f>
        <v>0.1166</v>
      </c>
      <c r="AT101" s="54">
        <f>+IF(AT99&lt;=4,'[7]הנחות עבודה'!$E$66,'[7]הנחות עבודה'!$E$63)</f>
        <v>0.1166</v>
      </c>
      <c r="AU101" s="54">
        <f>+IF(AU99&lt;=4,'[7]הנחות עבודה'!$E$66,'[7]הנחות עבודה'!$E$63)</f>
        <v>0.1166</v>
      </c>
      <c r="AV101" s="54">
        <f>+IF(AV99&lt;=4,'[7]הנחות עבודה'!$E$66,'[7]הנחות עבודה'!$E$63)</f>
        <v>0.1166</v>
      </c>
      <c r="AW101" s="54">
        <f>+IF(AW99&lt;=4,'[7]הנחות עבודה'!$E$66,'[7]הנחות עבודה'!$E$63)</f>
        <v>0.1166</v>
      </c>
      <c r="AX101" s="54">
        <f>+IF(AX99&lt;=4,'[7]הנחות עבודה'!$E$66,'[7]הנחות עבודה'!$E$63)</f>
        <v>0.1166</v>
      </c>
      <c r="AY101" s="54">
        <f>+IF(AY99&lt;=4,'[7]הנחות עבודה'!$E$66,'[7]הנחות עבודה'!$E$63)</f>
        <v>0.1166</v>
      </c>
      <c r="AZ101" s="54">
        <f>+IF(AZ99&lt;=4,'[7]הנחות עבודה'!$E$66,'[7]הנחות עבודה'!$E$63)</f>
        <v>0.1166</v>
      </c>
      <c r="BA101" s="54">
        <f>+IF(BA99&lt;=4,'[7]הנחות עבודה'!$E$66,'[7]הנחות עבודה'!$E$63)</f>
        <v>0.1166</v>
      </c>
      <c r="BB101" s="54">
        <f>+IF(BB99&lt;=4,'[7]הנחות עבודה'!$E$66,'[7]הנחות עבודה'!$E$63)</f>
        <v>7.0000000000000007E-2</v>
      </c>
      <c r="BC101" s="54">
        <f>+IF(BC99&lt;=4,'[7]הנחות עבודה'!$E$66,'[7]הנחות עבודה'!$E$63)</f>
        <v>0.1166</v>
      </c>
      <c r="BD101" s="54">
        <f>+IF(BD99&lt;=4,'[7]הנחות עבודה'!$E$66,'[7]הנחות עבודה'!$E$63)</f>
        <v>0.1166</v>
      </c>
      <c r="BE101" s="54">
        <f>+IF(BE99&lt;=4,'[7]הנחות עבודה'!$E$66,'[7]הנחות עבודה'!$E$63)</f>
        <v>0.1166</v>
      </c>
      <c r="BF101" s="54">
        <f>+IF(BF99&lt;=4,'[7]הנחות עבודה'!$E$66,'[7]הנחות עבודה'!$E$63)</f>
        <v>0.1166</v>
      </c>
      <c r="BG101" s="54">
        <f>+IF(BG99&lt;=4,'[7]הנחות עבודה'!$E$66,'[7]הנחות עבודה'!$E$63)</f>
        <v>0.1166</v>
      </c>
      <c r="BH101" s="54">
        <f>+IF(BH99&lt;=4,'[7]הנחות עבודה'!$E$66,'[7]הנחות עבודה'!$E$63)</f>
        <v>0.1166</v>
      </c>
      <c r="BI101" s="54">
        <f>+IF(BI99&lt;=4,'[7]הנחות עבודה'!$E$66,'[7]הנחות עבודה'!$E$63)</f>
        <v>0.1166</v>
      </c>
      <c r="BJ101" s="54">
        <f>+IF(BJ99&lt;=4,'[7]הנחות עבודה'!$E$66,'[7]הנחות עבודה'!$E$63)</f>
        <v>0.1166</v>
      </c>
      <c r="BK101" s="54">
        <f>+IF(BK99&lt;=4,'[7]הנחות עבודה'!$E$66,'[7]הנחות עבודה'!$E$63)</f>
        <v>0.1166</v>
      </c>
      <c r="BL101" s="54">
        <f>+IF(BL99&lt;=4,'[7]הנחות עבודה'!$E$66,'[7]הנחות עבודה'!$E$63)</f>
        <v>0.1166</v>
      </c>
      <c r="BM101" s="54">
        <f>+IF(BM99&lt;=4,'[7]הנחות עבודה'!$E$66,'[7]הנחות עבודה'!$E$63)</f>
        <v>0.1166</v>
      </c>
      <c r="BN101" s="54">
        <f>+IF(BN99&lt;=4,'[7]הנחות עבודה'!$E$66,'[7]הנחות עבודה'!$E$63)</f>
        <v>0.1166</v>
      </c>
      <c r="BO101" s="54">
        <f>+IF(BO99&lt;=4,'[7]הנחות עבודה'!$E$66,'[7]הנחות עבודה'!$E$63)</f>
        <v>7.0000000000000007E-2</v>
      </c>
      <c r="BP101" s="54">
        <f>+IF(BP99&lt;=4,'[7]הנחות עבודה'!$E$66,'[7]הנחות עבודה'!$E$63)</f>
        <v>7.0000000000000007E-2</v>
      </c>
      <c r="BQ101" s="54">
        <f>+IF(BQ99&lt;=4,'[7]הנחות עבודה'!$E$66,'[7]הנחות עבודה'!$E$63)</f>
        <v>0.1166</v>
      </c>
      <c r="BR101" s="54">
        <f>+IF(BR99&lt;=4,'[7]הנחות עבודה'!$E$66,'[7]הנחות עבודה'!$E$63)</f>
        <v>7.0000000000000007E-2</v>
      </c>
      <c r="BS101" s="54">
        <f>+IF(BS99&lt;=4,'[7]הנחות עבודה'!$E$66,'[7]הנחות עבודה'!$E$63)</f>
        <v>7.0000000000000007E-2</v>
      </c>
      <c r="BT101" s="54">
        <f>+IF(BT99&lt;=4,'[7]הנחות עבודה'!$E$66,'[7]הנחות עבודה'!$E$63)</f>
        <v>7.0000000000000007E-2</v>
      </c>
      <c r="BU101" s="54">
        <f>+IF(BU99&lt;=4,'[7]הנחות עבודה'!$E$66,'[7]הנחות עבודה'!$E$63)</f>
        <v>7.0000000000000007E-2</v>
      </c>
      <c r="BV101" s="54">
        <f>+IF(BV99&lt;=4,'[7]הנחות עבודה'!$E$66,'[7]הנחות עבודה'!$E$63)</f>
        <v>0.1166</v>
      </c>
      <c r="BW101" s="54">
        <f>+IF(BW99&lt;=4,'[7]הנחות עבודה'!$E$66,'[7]הנחות עבודה'!$E$63)</f>
        <v>7.0000000000000007E-2</v>
      </c>
      <c r="BX101" s="54">
        <f>+IF(BX99&lt;=4,'[7]הנחות עבודה'!$E$66,'[7]הנחות עבודה'!$E$63)</f>
        <v>0.1166</v>
      </c>
      <c r="BY101" s="54">
        <f>+IF(BY99&lt;=4,'[7]הנחות עבודה'!$E$66,'[7]הנחות עבודה'!$E$63)</f>
        <v>0.1166</v>
      </c>
      <c r="BZ101" s="54">
        <f>+IF(BZ99&lt;=4,'[7]הנחות עבודה'!$E$66,'[7]הנחות עבודה'!$E$63)</f>
        <v>0.1166</v>
      </c>
      <c r="CA101" s="54">
        <f>+IF(CA99&lt;=4,'[7]הנחות עבודה'!$E$66,'[7]הנחות עבודה'!$E$63)</f>
        <v>7.0000000000000007E-2</v>
      </c>
      <c r="CB101" s="54">
        <f>+IF(CB99&lt;=4,'[7]הנחות עבודה'!$E$66,'[7]הנחות עבודה'!$E$63)</f>
        <v>7.0000000000000007E-2</v>
      </c>
      <c r="CC101" s="54">
        <f>+IF(CC99&lt;=4,'[7]הנחות עבודה'!$E$66,'[7]הנחות עבודה'!$E$63)</f>
        <v>7.0000000000000007E-2</v>
      </c>
      <c r="CD101" s="54">
        <f>+IF(CD99&lt;=4,'[7]הנחות עבודה'!$E$66,'[7]הנחות עבודה'!$E$63)</f>
        <v>7.0000000000000007E-2</v>
      </c>
      <c r="CE101" s="54">
        <f>+IF(CE99&lt;=4,'[7]הנחות עבודה'!$E$66,'[7]הנחות עבודה'!$E$63)</f>
        <v>7.0000000000000007E-2</v>
      </c>
      <c r="CF101" s="54">
        <f>+IF(CF99&lt;=4,'[7]הנחות עבודה'!$E$66,'[7]הנחות עבודה'!$E$63)</f>
        <v>0.1166</v>
      </c>
      <c r="CG101" s="54">
        <f>+IF(CG99&lt;=4,'[7]הנחות עבודה'!$E$66,'[7]הנחות עבודה'!$E$63)</f>
        <v>0.1166</v>
      </c>
      <c r="CH101" s="54">
        <f>+IF(CH99&lt;=4,'[7]הנחות עבודה'!$E$66,'[7]הנחות עבודה'!$E$63)</f>
        <v>0.1166</v>
      </c>
      <c r="CI101" s="54">
        <f>+IF(CI99&lt;=4,'[7]הנחות עבודה'!$E$66,'[7]הנחות עבודה'!$E$63)</f>
        <v>0.1166</v>
      </c>
      <c r="CJ101" s="54">
        <f>+IF(CJ99&lt;=4,'[7]הנחות עבודה'!$E$66,'[7]הנחות עבודה'!$E$63)</f>
        <v>0.1166</v>
      </c>
      <c r="CK101" s="54">
        <f>+IF(CK99&lt;=4,'[7]הנחות עבודה'!$E$66,'[7]הנחות עבודה'!$E$63)</f>
        <v>0.1166</v>
      </c>
      <c r="CL101" s="54">
        <f>+IF(CL99&lt;=4,'[7]הנחות עבודה'!$E$66,'[7]הנחות עבודה'!$E$63)</f>
        <v>0.1166</v>
      </c>
      <c r="CM101" s="54">
        <f>+IF(CM99&lt;=4,'[7]הנחות עבודה'!$E$66,'[7]הנחות עבודה'!$E$63)</f>
        <v>7.0000000000000007E-2</v>
      </c>
      <c r="CQ101" s="54">
        <f>+IF(CQ99&lt;=4,'[7]הנחות עבודה'!$E$66,'[7]הנחות עבודה'!$E$63)</f>
        <v>7.0000000000000007E-2</v>
      </c>
      <c r="CR101" s="54">
        <f>+IF(CR99&lt;=4,'[7]הנחות עבודה'!$E$66,'[7]הנחות עבודה'!$E$63)</f>
        <v>7.0000000000000007E-2</v>
      </c>
      <c r="CS101" s="54">
        <f>+IF(CS99&lt;=4,'[7]הנחות עבודה'!$E$66,'[7]הנחות עבודה'!$E$63)</f>
        <v>7.0000000000000007E-2</v>
      </c>
      <c r="CT101" s="54">
        <f>+IF(CT99&lt;=4,'[7]הנחות עבודה'!$E$66,'[7]הנחות עבודה'!$E$63)</f>
        <v>7.0000000000000007E-2</v>
      </c>
      <c r="CU101" s="54">
        <f>+IF(CU99&lt;=4,'[7]הנחות עבודה'!$E$66,'[7]הנחות עבודה'!$E$63)</f>
        <v>7.0000000000000007E-2</v>
      </c>
      <c r="CV101" s="54">
        <f>+IF(CV99&lt;=4,'[7]הנחות עבודה'!$E$66,'[7]הנחות עבודה'!$E$63)</f>
        <v>0.1166</v>
      </c>
      <c r="CW101" s="54">
        <f>+IF(CW99&lt;=4,'[7]הנחות עבודה'!$E$66,'[7]הנחות עבודה'!$E$63)</f>
        <v>0.1166</v>
      </c>
      <c r="CX101" s="54">
        <f>+IF(CX99&lt;=4,'[7]הנחות עבודה'!$E$66,'[7]הנחות עבודה'!$E$63)</f>
        <v>0.1166</v>
      </c>
      <c r="CY101" s="54">
        <f>+IF(CY99&lt;=4,'[7]הנחות עבודה'!$E$66,'[7]הנחות עבודה'!$E$63)</f>
        <v>0.1166</v>
      </c>
      <c r="CZ101" s="54">
        <f>+IF(CZ99&lt;=4,'[7]הנחות עבודה'!$E$66,'[7]הנחות עבודה'!$E$63)</f>
        <v>7.0000000000000007E-2</v>
      </c>
      <c r="DA101" s="54">
        <f>+IF(DA99&lt;=4,'[7]הנחות עבודה'!$E$66,'[7]הנחות עבודה'!$E$63)</f>
        <v>7.0000000000000007E-2</v>
      </c>
      <c r="DB101" s="54">
        <f>+IF(DB99&lt;=4,'[7]הנחות עבודה'!$E$66,'[7]הנחות עבודה'!$E$63)</f>
        <v>7.0000000000000007E-2</v>
      </c>
      <c r="DC101" s="54">
        <f>+IF(DC99&lt;=4,'[7]הנחות עבודה'!$E$66,'[7]הנחות עבודה'!$E$63)</f>
        <v>7.0000000000000007E-2</v>
      </c>
      <c r="DD101" s="54">
        <f>+IF(DD99&lt;=4,'[7]הנחות עבודה'!$E$66,'[7]הנחות עבודה'!$E$63)</f>
        <v>7.0000000000000007E-2</v>
      </c>
      <c r="DE101" s="54">
        <f>+IF(DE99&lt;=4,'[7]הנחות עבודה'!$E$66,'[7]הנחות עבודה'!$E$63)</f>
        <v>7.0000000000000007E-2</v>
      </c>
      <c r="DF101" s="54">
        <f>+IF(DF99&lt;=4,'[7]הנחות עבודה'!$E$66,'[7]הנחות עבודה'!$E$63)</f>
        <v>7.0000000000000007E-2</v>
      </c>
      <c r="DG101" s="54">
        <f>+IF(DG99&lt;=4,'[7]הנחות עבודה'!$E$66,'[7]הנחות עבודה'!$E$63)</f>
        <v>7.0000000000000007E-2</v>
      </c>
      <c r="DH101" s="54">
        <f>+IF(DH99&lt;=4,'[7]הנחות עבודה'!$E$66,'[7]הנחות עבודה'!$E$63)</f>
        <v>7.0000000000000007E-2</v>
      </c>
      <c r="DI101" s="54">
        <f>+IF(DI99&lt;=4,'[7]הנחות עבודה'!$E$66,'[7]הנחות עבודה'!$E$63)</f>
        <v>7.0000000000000007E-2</v>
      </c>
      <c r="DJ101" s="54">
        <f>+IF(DJ99&lt;=4,'[7]הנחות עבודה'!$E$66,'[7]הנחות עבודה'!$E$63)</f>
        <v>7.0000000000000007E-2</v>
      </c>
      <c r="DK101" s="54">
        <f>+IF(DK99&lt;=4,'[7]הנחות עבודה'!$E$66,'[7]הנחות עבודה'!$E$63)</f>
        <v>7.0000000000000007E-2</v>
      </c>
      <c r="DL101" s="54">
        <f>+IF(DL99&lt;=4,'[7]הנחות עבודה'!$E$66,'[7]הנחות עבודה'!$E$63)</f>
        <v>7.0000000000000007E-2</v>
      </c>
      <c r="DM101" s="54">
        <f>+IF(DM99&lt;=4,'[7]הנחות עבודה'!$E$66,'[7]הנחות עבודה'!$E$63)</f>
        <v>0.1166</v>
      </c>
      <c r="DN101" s="54">
        <f>+IF(DN99&lt;=4,'[7]הנחות עבודה'!$E$66,'[7]הנחות עבודה'!$E$63)</f>
        <v>7.0000000000000007E-2</v>
      </c>
      <c r="DP101" s="54">
        <f>+IF(DP99&lt;=4,'[7]הנחות עבודה'!$E$66,'[7]הנחות עבודה'!$E$63)</f>
        <v>7.0000000000000007E-2</v>
      </c>
      <c r="DQ101" s="54">
        <f>+IF(DQ99&lt;=4,'[7]הנחות עבודה'!$E$66,'[7]הנחות עבודה'!$E$63)</f>
        <v>7.0000000000000007E-2</v>
      </c>
      <c r="DR101" s="54">
        <f>+IF(DR99&lt;=4,'[7]הנחות עבודה'!$E$66,'[7]הנחות עבודה'!$E$63)</f>
        <v>0.1166</v>
      </c>
      <c r="DS101" s="54">
        <f>+IF(DS99&lt;=4,'[7]הנחות עבודה'!$E$66,'[7]הנחות עבודה'!$E$63)</f>
        <v>0.1166</v>
      </c>
      <c r="DT101" s="54">
        <f>+IF(DT99&lt;=4,'[7]הנחות עבודה'!$E$66,'[7]הנחות עבודה'!$E$63)</f>
        <v>7.0000000000000007E-2</v>
      </c>
      <c r="DU101" s="54">
        <f>+IF(DU99&lt;=4,'[7]הנחות עבודה'!$E$66,'[7]הנחות עבודה'!$E$63)</f>
        <v>0.1166</v>
      </c>
      <c r="DW101" s="54">
        <f>+IF(DW99&lt;=4,'[7]הנחות עבודה'!$E$66,'[7]הנחות עבודה'!$E$63)</f>
        <v>0.1166</v>
      </c>
      <c r="DX101" s="54">
        <f>+IF(DX99&lt;=4,'[7]הנחות עבודה'!$E$66,'[7]הנחות עבודה'!$E$63)</f>
        <v>7.0000000000000007E-2</v>
      </c>
      <c r="DY101" s="54">
        <f>+IF(DY99&lt;=4,'[7]הנחות עבודה'!$E$66,'[7]הנחות עבודה'!$E$63)</f>
        <v>0.1166</v>
      </c>
      <c r="DZ101" s="54">
        <f>+IF(DZ99&lt;=4,'[7]הנחות עבודה'!$E$66,'[7]הנחות עבודה'!$E$63)</f>
        <v>0.1166</v>
      </c>
      <c r="EA101" s="54">
        <f>+IF(EA99&lt;=4,'[7]הנחות עבודה'!$E$66,'[7]הנחות עבודה'!$E$63)</f>
        <v>7.0000000000000007E-2</v>
      </c>
      <c r="EB101" s="54">
        <f>+IF(EB99&lt;=4,'[7]הנחות עבודה'!$E$66,'[7]הנחות עבודה'!$E$63)</f>
        <v>0.1166</v>
      </c>
      <c r="EC101" s="54">
        <f>+IF(EC99&lt;=4,'[7]הנחות עבודה'!$E$66,'[7]הנחות עבודה'!$E$63)</f>
        <v>7.0000000000000007E-2</v>
      </c>
      <c r="ED101" s="54">
        <f>+IF(ED99&lt;=4,'[7]הנחות עבודה'!$E$66,'[7]הנחות עבודה'!$E$63)</f>
        <v>7.0000000000000007E-2</v>
      </c>
      <c r="EE101" s="54">
        <f>+IF(EE99&lt;=4,'[7]הנחות עבודה'!$E$66,'[7]הנחות עבודה'!$E$63)</f>
        <v>7.0000000000000007E-2</v>
      </c>
      <c r="EF101" s="54">
        <f>+IF(EF99&lt;=4,'[7]הנחות עבודה'!$E$66,'[7]הנחות עבודה'!$E$63)</f>
        <v>7.0000000000000007E-2</v>
      </c>
      <c r="EG101" s="54">
        <f>+IF(EG99&lt;=4,'[7]הנחות עבודה'!$E$66,'[7]הנחות עבודה'!$E$63)</f>
        <v>7.0000000000000007E-2</v>
      </c>
      <c r="EH101" s="54">
        <f>+IF(EH99&lt;=4,'[7]הנחות עבודה'!$E$66,'[7]הנחות עבודה'!$E$63)</f>
        <v>7.0000000000000007E-2</v>
      </c>
      <c r="EI101" s="54">
        <f>+IF(EI99&lt;=4,'[7]הנחות עבודה'!$E$66,'[7]הנחות עבודה'!$E$63)</f>
        <v>7.0000000000000007E-2</v>
      </c>
      <c r="EJ101" s="54">
        <f>+IF(EJ99&lt;=4,'[7]הנחות עבודה'!$E$66,'[7]הנחות עבודה'!$E$63)</f>
        <v>7.0000000000000007E-2</v>
      </c>
      <c r="EK101" s="54">
        <f>+IF(EK99&lt;=4,'[7]הנחות עבודה'!$E$66,'[7]הנחות עבודה'!$E$63)</f>
        <v>7.0000000000000007E-2</v>
      </c>
      <c r="EL101" s="54">
        <f>+IF(EL99&lt;=4,'[7]הנחות עבודה'!$E$66,'[7]הנחות עבודה'!$E$63)</f>
        <v>7.0000000000000007E-2</v>
      </c>
      <c r="EM101" s="54">
        <f>+IF(EM99&lt;=4,'[7]הנחות עבודה'!$E$66,'[7]הנחות עבודה'!$E$63)</f>
        <v>7.0000000000000007E-2</v>
      </c>
      <c r="EN101" s="54">
        <f>+IF(EN99&lt;=4,'[7]הנחות עבודה'!$E$66,'[7]הנחות עבודה'!$E$63)</f>
        <v>7.0000000000000007E-2</v>
      </c>
      <c r="EO101" s="54">
        <f>+IF(EO99&lt;=4,'[7]הנחות עבודה'!$E$66,'[7]הנחות עבודה'!$E$63)</f>
        <v>7.0000000000000007E-2</v>
      </c>
      <c r="EP101" s="54">
        <f>+IF(EP99&lt;=4,'[7]הנחות עבודה'!$E$66,'[7]הנחות עבודה'!$E$63)</f>
        <v>7.0000000000000007E-2</v>
      </c>
      <c r="EQ101" s="54">
        <f>+IF(EQ99&lt;=4,'[7]הנחות עבודה'!$E$66,'[7]הנחות עבודה'!$E$63)</f>
        <v>0.1166</v>
      </c>
      <c r="ER101" s="54">
        <f>+IF(ER99&lt;=4,'[7]הנחות עבודה'!$E$66,'[7]הנחות עבודה'!$E$63)</f>
        <v>7.0000000000000007E-2</v>
      </c>
      <c r="ES101" s="54">
        <f>+IF(ES99&lt;=4,'[7]הנחות עבודה'!$E$66,'[7]הנחות עבודה'!$E$63)</f>
        <v>0.1166</v>
      </c>
      <c r="ET101" s="54">
        <f>+IF(ET99&lt;=4,'[7]הנחות עבודה'!$E$66,'[7]הנחות עבודה'!$E$63)</f>
        <v>0.1166</v>
      </c>
      <c r="EU101" s="54">
        <f>+IF(EU99&lt;=4,'[7]הנחות עבודה'!$E$66,'[7]הנחות עבודה'!$E$63)</f>
        <v>7.0000000000000007E-2</v>
      </c>
      <c r="EV101" s="54">
        <f>+IF(EV99&lt;=4,'[7]הנחות עבודה'!$E$66,'[7]הנחות עבודה'!$E$63)</f>
        <v>0.1166</v>
      </c>
      <c r="EW101" s="54">
        <f>+IF(EW99&lt;=4,'[7]הנחות עבודה'!$E$66,'[7]הנחות עבודה'!$E$63)</f>
        <v>7.0000000000000007E-2</v>
      </c>
      <c r="EX101" s="54">
        <f>+IF(EX99&lt;=4,'[7]הנחות עבודה'!$E$66,'[7]הנחות עבודה'!$E$63)</f>
        <v>0.1166</v>
      </c>
      <c r="EY101" s="54">
        <f>+IF(EY99&lt;=4,'[7]הנחות עבודה'!$E$66,'[7]הנחות עבודה'!$E$63)</f>
        <v>0.1166</v>
      </c>
      <c r="EZ101" s="54">
        <f>+IF(EZ99&lt;=4,'[7]הנחות עבודה'!$E$66,'[7]הנחות עבודה'!$E$63)</f>
        <v>0.1166</v>
      </c>
      <c r="FA101" s="54">
        <f>+IF(FA99&lt;=4,'[7]הנחות עבודה'!$E$66,'[7]הנחות עבודה'!$E$63)</f>
        <v>0.1166</v>
      </c>
      <c r="FB101" s="54">
        <f>+IF(FB99&lt;=4,'[7]הנחות עבודה'!$E$66,'[7]הנחות עבודה'!$E$63)</f>
        <v>0.1166</v>
      </c>
      <c r="FC101" s="54">
        <f>+IF(FC99&lt;=4,'[7]הנחות עבודה'!$E$66,'[7]הנחות עבודה'!$E$63)</f>
        <v>0.1166</v>
      </c>
      <c r="FD101" s="54">
        <f>+IF(FD99&lt;=4,'[7]הנחות עבודה'!$E$66,'[7]הנחות עבודה'!$E$63)</f>
        <v>0.1166</v>
      </c>
      <c r="FE101" s="54">
        <f>+IF(FE99&lt;=4,'[7]הנחות עבודה'!$E$66,'[7]הנחות עבודה'!$E$63)</f>
        <v>0.1166</v>
      </c>
      <c r="FF101" s="54">
        <f>+IF(FF99&lt;=4,'[7]הנחות עבודה'!$E$66,'[7]הנחות עבודה'!$E$63)</f>
        <v>0.1166</v>
      </c>
      <c r="FG101" s="54">
        <f>+IF(FG99&lt;=4,'[7]הנחות עבודה'!$E$66,'[7]הנחות עבודה'!$E$63)</f>
        <v>0.1166</v>
      </c>
      <c r="FH101" s="54">
        <f>+IF(FH99&lt;=4,'[7]הנחות עבודה'!$E$66,'[7]הנחות עבודה'!$E$63)</f>
        <v>7.0000000000000007E-2</v>
      </c>
      <c r="FY101" s="54">
        <f>+IF(FY99&lt;=4,'[7]הנחות עבודה'!$E$66,'[7]הנחות עבודה'!$E$63)</f>
        <v>7.0000000000000007E-2</v>
      </c>
    </row>
    <row r="102" spans="1:183" x14ac:dyDescent="0.2">
      <c r="B102" s="54"/>
      <c r="AA102" s="54"/>
      <c r="AL102" s="54"/>
      <c r="AM102" s="54"/>
      <c r="AN102" s="54"/>
      <c r="AS102" s="54"/>
      <c r="AX102" s="54"/>
      <c r="BC102" s="54"/>
      <c r="BL102" s="54"/>
      <c r="BM102" s="54"/>
      <c r="BN102" s="54"/>
      <c r="BT102" s="54"/>
      <c r="BV102" s="54"/>
      <c r="BX102" s="54"/>
      <c r="CB102" s="54"/>
      <c r="CD102" s="54"/>
      <c r="CK102" s="54"/>
      <c r="CM102" s="54"/>
      <c r="CW102" s="54"/>
      <c r="CX102" s="54"/>
      <c r="DB102" s="54"/>
      <c r="DJ102" s="54"/>
      <c r="DT102" s="54"/>
      <c r="DZ102" s="54"/>
      <c r="EC102" s="54"/>
      <c r="EF102" s="54"/>
      <c r="EG102" s="54"/>
      <c r="EI102" s="54"/>
      <c r="EV102" s="54"/>
      <c r="EW102" s="54"/>
      <c r="EX102" s="54"/>
      <c r="EY102" s="54"/>
      <c r="FD102" s="54"/>
      <c r="FG102" s="54"/>
    </row>
    <row r="103" spans="1:183" x14ac:dyDescent="0.2">
      <c r="A103" s="439" t="s">
        <v>1481</v>
      </c>
      <c r="B103" s="54">
        <f>+IF(B99&lt;=4,'[7]הנחות עבודה'!$E$72,'[7]הנחות עבודה'!$E$69)</f>
        <v>1.4999999999999999E-2</v>
      </c>
      <c r="C103" s="54">
        <f>+IF(C99&lt;=4,'[7]הנחות עבודה'!$E$72,'[7]הנחות עבודה'!$E$69)</f>
        <v>1.4999999999999999E-2</v>
      </c>
      <c r="D103" s="54">
        <f>+IF(D99&lt;=4,'[7]הנחות עבודה'!$E$72,'[7]הנחות עבודה'!$E$69)</f>
        <v>1.4999999999999999E-2</v>
      </c>
      <c r="E103" s="54">
        <f>+IF(E99&lt;=4,'[7]הנחות עבודה'!$E$72,'[7]הנחות עבודה'!$E$69)</f>
        <v>6.6699999999999995E-2</v>
      </c>
      <c r="F103" s="54">
        <f>+IF(F99&lt;=4,'[7]הנחות עבודה'!$E$72,'[7]הנחות עבודה'!$E$69)</f>
        <v>6.6699999999999995E-2</v>
      </c>
      <c r="G103" s="54">
        <f>+IF(G99&lt;=4,'[7]הנחות עבודה'!$E$72,'[7]הנחות עבודה'!$E$69)</f>
        <v>6.6699999999999995E-2</v>
      </c>
      <c r="H103" s="54">
        <f>+IF(H99&lt;=4,'[7]הנחות עבודה'!$E$72,'[7]הנחות עבודה'!$E$69)</f>
        <v>6.6699999999999995E-2</v>
      </c>
      <c r="I103" s="54">
        <f>+IF(I99&lt;=4,'[7]הנחות עבודה'!$E$72,'[7]הנחות עבודה'!$E$69)</f>
        <v>6.6699999999999995E-2</v>
      </c>
      <c r="J103" s="54">
        <f>+IF(J99&lt;=4,'[7]הנחות עבודה'!$E$72,'[7]הנחות עבודה'!$E$69)</f>
        <v>6.6699999999999995E-2</v>
      </c>
      <c r="K103" s="54">
        <f>+IF(K99&lt;=4,'[7]הנחות עבודה'!$E$72,'[7]הנחות עבודה'!$E$69)</f>
        <v>6.6699999999999995E-2</v>
      </c>
      <c r="L103" s="54">
        <f>+IF(L99&lt;=4,'[7]הנחות עבודה'!$E$72,'[7]הנחות עבודה'!$E$69)</f>
        <v>1.4999999999999999E-2</v>
      </c>
      <c r="M103" s="54">
        <f>+IF(M99&lt;=4,'[7]הנחות עבודה'!$E$72,'[7]הנחות עבודה'!$E$69)</f>
        <v>1.4999999999999999E-2</v>
      </c>
      <c r="N103" s="54">
        <f>+IF(N99&lt;=4,'[7]הנחות עבודה'!$E$72,'[7]הנחות עבודה'!$E$69)</f>
        <v>6.6699999999999995E-2</v>
      </c>
      <c r="O103" s="54">
        <f>+IF(O99&lt;=4,'[7]הנחות עבודה'!$E$72,'[7]הנחות עבודה'!$E$69)</f>
        <v>6.6699999999999995E-2</v>
      </c>
      <c r="P103" s="54">
        <f>+IF(P99&lt;=4,'[7]הנחות עבודה'!$E$72,'[7]הנחות עבודה'!$E$69)</f>
        <v>6.6699999999999995E-2</v>
      </c>
      <c r="Q103" s="54">
        <f>+IF(Q99&lt;=4,'[7]הנחות עבודה'!$E$72,'[7]הנחות עבודה'!$E$69)</f>
        <v>6.6699999999999995E-2</v>
      </c>
      <c r="R103" s="54">
        <f>+IF(R99&lt;=4,'[7]הנחות עבודה'!$E$72,'[7]הנחות עבודה'!$E$69)</f>
        <v>6.6699999999999995E-2</v>
      </c>
      <c r="S103" s="54">
        <f>+IF(S99&lt;=4,'[7]הנחות עבודה'!$E$72,'[7]הנחות עבודה'!$E$69)</f>
        <v>6.6699999999999995E-2</v>
      </c>
      <c r="T103" s="54">
        <f>+IF(T99&lt;=4,'[7]הנחות עבודה'!$E$72,'[7]הנחות עבודה'!$E$69)</f>
        <v>6.6699999999999995E-2</v>
      </c>
      <c r="U103" s="54">
        <f>+IF(U99&lt;=4,'[7]הנחות עבודה'!$E$72,'[7]הנחות עבודה'!$E$69)</f>
        <v>6.6699999999999995E-2</v>
      </c>
      <c r="V103" s="54">
        <f>+IF(V99&lt;=4,'[7]הנחות עבודה'!$E$72,'[7]הנחות עבודה'!$E$69)</f>
        <v>6.6699999999999995E-2</v>
      </c>
      <c r="W103" s="54">
        <f>+IF(W99&lt;=4,'[7]הנחות עבודה'!$E$72,'[7]הנחות עבודה'!$E$69)</f>
        <v>6.6699999999999995E-2</v>
      </c>
      <c r="X103" s="54">
        <f>+IF(X99&lt;=4,'[7]הנחות עבודה'!$E$72,'[7]הנחות עבודה'!$E$69)</f>
        <v>6.6699999999999995E-2</v>
      </c>
      <c r="Y103" s="54">
        <f>+IF(Y99&lt;=4,'[7]הנחות עבודה'!$E$72,'[7]הנחות עבודה'!$E$69)</f>
        <v>6.6699999999999995E-2</v>
      </c>
      <c r="Z103" s="54">
        <f>+IF(Z99&lt;=4,'[7]הנחות עבודה'!$E$72,'[7]הנחות עבודה'!$E$69)</f>
        <v>6.6699999999999995E-2</v>
      </c>
      <c r="AA103" s="54">
        <f>+IF(AA99&lt;=4,'[7]הנחות עבודה'!$E$72,'[7]הנחות עבודה'!$E$69)</f>
        <v>6.6699999999999995E-2</v>
      </c>
      <c r="AB103" s="54">
        <f>+IF(AB99&lt;=4,'[7]הנחות עבודה'!$E$72,'[7]הנחות עבודה'!$E$69)</f>
        <v>6.6699999999999995E-2</v>
      </c>
      <c r="AC103" s="54">
        <f>+IF(AC99&lt;=4,'[7]הנחות עבודה'!$E$72,'[7]הנחות עבודה'!$E$69)</f>
        <v>6.6699999999999995E-2</v>
      </c>
      <c r="AD103" s="532">
        <f>+IF(AD99&lt;=4,'[7]הנחות עבודה'!$E$72,'[7]הנחות עבודה'!$E$69)</f>
        <v>6.6699999999999995E-2</v>
      </c>
      <c r="AE103" s="54">
        <f>+IF(AE99&lt;=4,'[7]הנחות עבודה'!$E$72,'[7]הנחות עבודה'!$E$69)</f>
        <v>6.6699999999999995E-2</v>
      </c>
      <c r="AF103" s="54">
        <f>+IF(AF99&lt;=4,'[7]הנחות עבודה'!$E$72,'[7]הנחות עבודה'!$E$69)</f>
        <v>6.6699999999999995E-2</v>
      </c>
      <c r="AG103" s="54">
        <f>+IF(AG99&lt;=4,'[7]הנחות עבודה'!$E$72,'[7]הנחות עבודה'!$E$69)</f>
        <v>6.6699999999999995E-2</v>
      </c>
      <c r="AH103" s="54">
        <f>+IF(AH99&lt;=4,'[7]הנחות עבודה'!$E$72,'[7]הנחות עבודה'!$E$69)</f>
        <v>1.4999999999999999E-2</v>
      </c>
      <c r="AI103" s="54">
        <f>+IF(AI99&lt;=4,'[7]הנחות עבודה'!$E$72,'[7]הנחות עבודה'!$E$69)</f>
        <v>1.4999999999999999E-2</v>
      </c>
      <c r="AJ103" s="54">
        <f>+IF(AJ99&lt;=4,'[7]הנחות עבודה'!$E$72,'[7]הנחות עבודה'!$E$69)</f>
        <v>1.4999999999999999E-2</v>
      </c>
      <c r="AK103" s="54">
        <f>+IF(AK99&lt;=4,'[7]הנחות עבודה'!$E$72,'[7]הנחות עבודה'!$E$69)</f>
        <v>6.6699999999999995E-2</v>
      </c>
      <c r="AL103" s="54">
        <f>+IF(AL99&lt;=4,'[7]הנחות עבודה'!$E$72,'[7]הנחות עבודה'!$E$69)</f>
        <v>6.6699999999999995E-2</v>
      </c>
      <c r="AM103" s="54">
        <f>+IF(AM99&lt;=4,'[7]הנחות עבודה'!$E$72,'[7]הנחות עבודה'!$E$69)</f>
        <v>6.6699999999999995E-2</v>
      </c>
      <c r="AN103" s="54">
        <f>+IF(AN99&lt;=4,'[7]הנחות עבודה'!$E$72,'[7]הנחות עבודה'!$E$69)</f>
        <v>6.6699999999999995E-2</v>
      </c>
      <c r="AO103" s="54">
        <f>+IF(AO99&lt;=4,'[7]הנחות עבודה'!$E$72,'[7]הנחות עבודה'!$E$69)</f>
        <v>6.6699999999999995E-2</v>
      </c>
      <c r="AP103" s="54">
        <f>+IF(AP99&lt;=4,'[7]הנחות עבודה'!$E$72,'[7]הנחות עבודה'!$E$69)</f>
        <v>6.6699999999999995E-2</v>
      </c>
      <c r="AQ103" s="54">
        <f>+IF(AQ99&lt;=4,'[7]הנחות עבודה'!$E$72,'[7]הנחות עבודה'!$E$69)</f>
        <v>6.6699999999999995E-2</v>
      </c>
      <c r="AR103" s="54">
        <f>+IF(AR99&lt;=4,'[7]הנחות עבודה'!$E$72,'[7]הנחות עבודה'!$E$69)</f>
        <v>6.6699999999999995E-2</v>
      </c>
      <c r="AS103" s="54">
        <f>+IF(AS99&lt;=4,'[7]הנחות עבודה'!$E$72,'[7]הנחות עבודה'!$E$69)</f>
        <v>6.6699999999999995E-2</v>
      </c>
      <c r="AT103" s="54">
        <f>+IF(AT99&lt;=4,'[7]הנחות עבודה'!$E$72,'[7]הנחות עבודה'!$E$69)</f>
        <v>6.6699999999999995E-2</v>
      </c>
      <c r="AU103" s="54">
        <f>+IF(AU99&lt;=4,'[7]הנחות עבודה'!$E$72,'[7]הנחות עבודה'!$E$69)</f>
        <v>6.6699999999999995E-2</v>
      </c>
      <c r="AV103" s="54">
        <f>+IF(AV99&lt;=4,'[7]הנחות עבודה'!$E$72,'[7]הנחות עבודה'!$E$69)</f>
        <v>6.6699999999999995E-2</v>
      </c>
      <c r="AW103" s="54">
        <f>+IF(AW99&lt;=4,'[7]הנחות עבודה'!$E$72,'[7]הנחות עבודה'!$E$69)</f>
        <v>6.6699999999999995E-2</v>
      </c>
      <c r="AX103" s="54">
        <f>+IF(AX99&lt;=4,'[7]הנחות עבודה'!$E$72,'[7]הנחות עבודה'!$E$69)</f>
        <v>6.6699999999999995E-2</v>
      </c>
      <c r="AY103" s="54">
        <f>+IF(AY99&lt;=4,'[7]הנחות עבודה'!$E$72,'[7]הנחות עבודה'!$E$69)</f>
        <v>6.6699999999999995E-2</v>
      </c>
      <c r="AZ103" s="54">
        <f>+IF(AZ99&lt;=4,'[7]הנחות עבודה'!$E$72,'[7]הנחות עבודה'!$E$69)</f>
        <v>6.6699999999999995E-2</v>
      </c>
      <c r="BA103" s="54">
        <f>+IF(BA99&lt;=4,'[7]הנחות עבודה'!$E$72,'[7]הנחות עבודה'!$E$69)</f>
        <v>6.6699999999999995E-2</v>
      </c>
      <c r="BB103" s="54">
        <f>+IF(BB99&lt;=4,'[7]הנחות עבודה'!$E$72,'[7]הנחות עבודה'!$E$69)</f>
        <v>1.4999999999999999E-2</v>
      </c>
      <c r="BC103" s="54">
        <f>+IF(BC99&lt;=4,'[7]הנחות עבודה'!$E$72,'[7]הנחות עבודה'!$E$69)</f>
        <v>6.6699999999999995E-2</v>
      </c>
      <c r="BD103" s="54">
        <f>+IF(BD99&lt;=4,'[7]הנחות עבודה'!$E$72,'[7]הנחות עבודה'!$E$69)</f>
        <v>6.6699999999999995E-2</v>
      </c>
      <c r="BE103" s="54">
        <f>+IF(BE99&lt;=4,'[7]הנחות עבודה'!$E$72,'[7]הנחות עבודה'!$E$69)</f>
        <v>6.6699999999999995E-2</v>
      </c>
      <c r="BF103" s="54">
        <f>+IF(BF99&lt;=4,'[7]הנחות עבודה'!$E$72,'[7]הנחות עבודה'!$E$69)</f>
        <v>6.6699999999999995E-2</v>
      </c>
      <c r="BG103" s="54">
        <f>+IF(BG99&lt;=4,'[7]הנחות עבודה'!$E$72,'[7]הנחות עבודה'!$E$69)</f>
        <v>6.6699999999999995E-2</v>
      </c>
      <c r="BH103" s="54">
        <f>+IF(BH99&lt;=4,'[7]הנחות עבודה'!$E$72,'[7]הנחות עבודה'!$E$69)</f>
        <v>6.6699999999999995E-2</v>
      </c>
      <c r="BI103" s="54">
        <f>+IF(BI99&lt;=4,'[7]הנחות עבודה'!$E$72,'[7]הנחות עבודה'!$E$69)</f>
        <v>6.6699999999999995E-2</v>
      </c>
      <c r="BJ103" s="54">
        <f>+IF(BJ99&lt;=4,'[7]הנחות עבודה'!$E$72,'[7]הנחות עבודה'!$E$69)</f>
        <v>6.6699999999999995E-2</v>
      </c>
      <c r="BK103" s="54">
        <f>+IF(BK99&lt;=4,'[7]הנחות עבודה'!$E$72,'[7]הנחות עבודה'!$E$69)</f>
        <v>6.6699999999999995E-2</v>
      </c>
      <c r="BL103" s="54">
        <f>+IF(BL99&lt;=4,'[7]הנחות עבודה'!$E$72,'[7]הנחות עבודה'!$E$69)</f>
        <v>6.6699999999999995E-2</v>
      </c>
      <c r="BM103" s="54">
        <f>+IF(BM99&lt;=4,'[7]הנחות עבודה'!$E$72,'[7]הנחות עבודה'!$E$69)</f>
        <v>6.6699999999999995E-2</v>
      </c>
      <c r="BN103" s="54">
        <f>+IF(BN99&lt;=4,'[7]הנחות עבודה'!$E$72,'[7]הנחות עבודה'!$E$69)</f>
        <v>6.6699999999999995E-2</v>
      </c>
      <c r="BO103" s="54">
        <f>+IF(BO99&lt;=4,'[7]הנחות עבודה'!$E$72,'[7]הנחות עבודה'!$E$69)</f>
        <v>1.4999999999999999E-2</v>
      </c>
      <c r="BP103" s="54">
        <f>+IF(BP99&lt;=4,'[7]הנחות עבודה'!$E$72,'[7]הנחות עבודה'!$E$69)</f>
        <v>1.4999999999999999E-2</v>
      </c>
      <c r="BQ103" s="54">
        <f>+IF(BQ99&lt;=4,'[7]הנחות עבודה'!$E$72,'[7]הנחות עבודה'!$E$69)</f>
        <v>6.6699999999999995E-2</v>
      </c>
      <c r="BR103" s="54">
        <f>+IF(BR99&lt;=4,'[7]הנחות עבודה'!$E$72,'[7]הנחות עבודה'!$E$69)</f>
        <v>1.4999999999999999E-2</v>
      </c>
      <c r="BS103" s="54">
        <f>+IF(BS99&lt;=4,'[7]הנחות עבודה'!$E$72,'[7]הנחות עבודה'!$E$69)</f>
        <v>1.4999999999999999E-2</v>
      </c>
      <c r="BT103" s="54">
        <f>+IF(BT99&lt;=4,'[7]הנחות עבודה'!$E$72,'[7]הנחות עבודה'!$E$69)</f>
        <v>1.4999999999999999E-2</v>
      </c>
      <c r="BU103" s="54">
        <f>+IF(BU99&lt;=4,'[7]הנחות עבודה'!$E$72,'[7]הנחות עבודה'!$E$69)</f>
        <v>1.4999999999999999E-2</v>
      </c>
      <c r="BV103" s="54">
        <f>+IF(BV99&lt;=4,'[7]הנחות עבודה'!$E$72,'[7]הנחות עבודה'!$E$69)</f>
        <v>6.6699999999999995E-2</v>
      </c>
      <c r="BW103" s="54">
        <f>+IF(BW99&lt;=4,'[7]הנחות עבודה'!$E$72,'[7]הנחות עבודה'!$E$69)</f>
        <v>1.4999999999999999E-2</v>
      </c>
      <c r="BX103" s="54">
        <f>+IF(BX99&lt;=4,'[7]הנחות עבודה'!$E$72,'[7]הנחות עבודה'!$E$69)</f>
        <v>6.6699999999999995E-2</v>
      </c>
      <c r="BY103" s="54">
        <f>+IF(BY99&lt;=4,'[7]הנחות עבודה'!$E$72,'[7]הנחות עבודה'!$E$69)</f>
        <v>6.6699999999999995E-2</v>
      </c>
      <c r="BZ103" s="54">
        <f>+IF(BZ99&lt;=4,'[7]הנחות עבודה'!$E$72,'[7]הנחות עבודה'!$E$69)</f>
        <v>6.6699999999999995E-2</v>
      </c>
      <c r="CA103" s="54">
        <f>+IF(CA99&lt;=4,'[7]הנחות עבודה'!$E$72,'[7]הנחות עבודה'!$E$69)</f>
        <v>1.4999999999999999E-2</v>
      </c>
      <c r="CB103" s="54">
        <f>+IF(CB99&lt;=4,'[7]הנחות עבודה'!$E$72,'[7]הנחות עבודה'!$E$69)</f>
        <v>1.4999999999999999E-2</v>
      </c>
      <c r="CC103" s="54">
        <f>+IF(CC99&lt;=4,'[7]הנחות עבודה'!$E$72,'[7]הנחות עבודה'!$E$69)</f>
        <v>1.4999999999999999E-2</v>
      </c>
      <c r="CD103" s="54">
        <f>+IF(CD99&lt;=4,'[7]הנחות עבודה'!$E$72,'[7]הנחות עבודה'!$E$69)</f>
        <v>1.4999999999999999E-2</v>
      </c>
      <c r="CE103" s="54">
        <f>+IF(CE99&lt;=4,'[7]הנחות עבודה'!$E$72,'[7]הנחות עבודה'!$E$69)</f>
        <v>1.4999999999999999E-2</v>
      </c>
      <c r="CF103" s="54">
        <f>+IF(CF99&lt;=4,'[7]הנחות עבודה'!$E$72,'[7]הנחות עבודה'!$E$69)</f>
        <v>6.6699999999999995E-2</v>
      </c>
      <c r="CG103" s="54">
        <f>+IF(CG99&lt;=4,'[7]הנחות עבודה'!$E$72,'[7]הנחות עבודה'!$E$69)</f>
        <v>6.6699999999999995E-2</v>
      </c>
      <c r="CH103" s="54">
        <f>+IF(CH99&lt;=4,'[7]הנחות עבודה'!$E$72,'[7]הנחות עבודה'!$E$69)</f>
        <v>6.6699999999999995E-2</v>
      </c>
      <c r="CI103" s="54">
        <f>+IF(CI99&lt;=4,'[7]הנחות עבודה'!$E$72,'[7]הנחות עבודה'!$E$69)</f>
        <v>6.6699999999999995E-2</v>
      </c>
      <c r="CJ103" s="54">
        <f>+IF(CJ99&lt;=4,'[7]הנחות עבודה'!$E$72,'[7]הנחות עבודה'!$E$69)</f>
        <v>6.6699999999999995E-2</v>
      </c>
      <c r="CK103" s="54">
        <f>+IF(CK99&lt;=4,'[7]הנחות עבודה'!$E$72,'[7]הנחות עבודה'!$E$69)</f>
        <v>6.6699999999999995E-2</v>
      </c>
      <c r="CL103" s="54">
        <f>+IF(CL99&lt;=4,'[7]הנחות עבודה'!$E$72,'[7]הנחות עבודה'!$E$69)</f>
        <v>6.6699999999999995E-2</v>
      </c>
      <c r="CM103" s="54">
        <f>+IF(CM99&lt;=4,'[7]הנחות עבודה'!$E$72,'[7]הנחות עבודה'!$E$69)</f>
        <v>1.4999999999999999E-2</v>
      </c>
      <c r="CQ103" s="54">
        <f>+IF(CQ99&lt;=4,'[7]הנחות עבודה'!$E$72,'[7]הנחות עבודה'!$E$69)</f>
        <v>1.4999999999999999E-2</v>
      </c>
      <c r="CR103" s="54">
        <f>+IF(CR99&lt;=4,'[7]הנחות עבודה'!$E$72,'[7]הנחות עבודה'!$E$69)</f>
        <v>1.4999999999999999E-2</v>
      </c>
      <c r="CS103" s="54">
        <f>+IF(CS99&lt;=4,'[7]הנחות עבודה'!$E$72,'[7]הנחות עבודה'!$E$69)</f>
        <v>1.4999999999999999E-2</v>
      </c>
      <c r="CT103" s="54">
        <f>+IF(CT99&lt;=4,'[7]הנחות עבודה'!$E$72,'[7]הנחות עבודה'!$E$69)</f>
        <v>1.4999999999999999E-2</v>
      </c>
      <c r="CU103" s="54">
        <f>+IF(CU99&lt;=4,'[7]הנחות עבודה'!$E$72,'[7]הנחות עבודה'!$E$69)</f>
        <v>1.4999999999999999E-2</v>
      </c>
      <c r="CV103" s="54">
        <f>+IF(CV99&lt;=4,'[7]הנחות עבודה'!$E$72,'[7]הנחות עבודה'!$E$69)</f>
        <v>6.6699999999999995E-2</v>
      </c>
      <c r="CW103" s="54">
        <f>+IF(CW99&lt;=4,'[7]הנחות עבודה'!$E$72,'[7]הנחות עבודה'!$E$69)</f>
        <v>6.6699999999999995E-2</v>
      </c>
      <c r="CX103" s="54">
        <f>+IF(CX99&lt;=4,'[7]הנחות עבודה'!$E$72,'[7]הנחות עבודה'!$E$69)</f>
        <v>6.6699999999999995E-2</v>
      </c>
      <c r="CY103" s="54">
        <f>+IF(CY99&lt;=4,'[7]הנחות עבודה'!$E$72,'[7]הנחות עבודה'!$E$69)</f>
        <v>6.6699999999999995E-2</v>
      </c>
      <c r="CZ103" s="54">
        <f>+IF(CZ99&lt;=4,'[7]הנחות עבודה'!$E$72,'[7]הנחות עבודה'!$E$69)</f>
        <v>1.4999999999999999E-2</v>
      </c>
      <c r="DA103" s="54">
        <f>+IF(DA99&lt;=4,'[7]הנחות עבודה'!$E$72,'[7]הנחות עבודה'!$E$69)</f>
        <v>1.4999999999999999E-2</v>
      </c>
      <c r="DB103" s="54">
        <f>+IF(DB99&lt;=4,'[7]הנחות עבודה'!$E$72,'[7]הנחות עבודה'!$E$69)</f>
        <v>1.4999999999999999E-2</v>
      </c>
      <c r="DC103" s="54">
        <f>+IF(DC99&lt;=4,'[7]הנחות עבודה'!$E$72,'[7]הנחות עבודה'!$E$69)</f>
        <v>1.4999999999999999E-2</v>
      </c>
      <c r="DD103" s="54">
        <f>+IF(DD99&lt;=4,'[7]הנחות עבודה'!$E$72,'[7]הנחות עבודה'!$E$69)</f>
        <v>1.4999999999999999E-2</v>
      </c>
      <c r="DE103" s="54">
        <f>+IF(DE99&lt;=4,'[7]הנחות עבודה'!$E$72,'[7]הנחות עבודה'!$E$69)</f>
        <v>1.4999999999999999E-2</v>
      </c>
      <c r="DF103" s="54">
        <f>+IF(DF99&lt;=4,'[7]הנחות עבודה'!$E$72,'[7]הנחות עבודה'!$E$69)</f>
        <v>1.4999999999999999E-2</v>
      </c>
      <c r="DG103" s="54">
        <f>+IF(DG99&lt;=4,'[7]הנחות עבודה'!$E$72,'[7]הנחות עבודה'!$E$69)</f>
        <v>1.4999999999999999E-2</v>
      </c>
      <c r="DH103" s="54">
        <f>+IF(DH99&lt;=4,'[7]הנחות עבודה'!$E$72,'[7]הנחות עבודה'!$E$69)</f>
        <v>1.4999999999999999E-2</v>
      </c>
      <c r="DI103" s="54">
        <f>+IF(DI99&lt;=4,'[7]הנחות עבודה'!$E$72,'[7]הנחות עבודה'!$E$69)</f>
        <v>1.4999999999999999E-2</v>
      </c>
      <c r="DJ103" s="54">
        <f>+IF(DJ99&lt;=4,'[7]הנחות עבודה'!$E$72,'[7]הנחות עבודה'!$E$69)</f>
        <v>1.4999999999999999E-2</v>
      </c>
      <c r="DK103" s="54">
        <f>+IF(DK99&lt;=4,'[7]הנחות עבודה'!$E$72,'[7]הנחות עבודה'!$E$69)</f>
        <v>1.4999999999999999E-2</v>
      </c>
      <c r="DL103" s="54">
        <f>+IF(DL99&lt;=4,'[7]הנחות עבודה'!$E$72,'[7]הנחות עבודה'!$E$69)</f>
        <v>1.4999999999999999E-2</v>
      </c>
      <c r="DM103" s="54">
        <f>+IF(DM99&lt;=4,'[7]הנחות עבודה'!$E$72,'[7]הנחות עבודה'!$E$69)</f>
        <v>6.6699999999999995E-2</v>
      </c>
      <c r="DN103" s="54">
        <f>+IF(DN99&lt;=4,'[7]הנחות עבודה'!$E$72,'[7]הנחות עבודה'!$E$69)</f>
        <v>1.4999999999999999E-2</v>
      </c>
      <c r="DP103" s="54">
        <f>+IF(DP99&lt;=4,'[7]הנחות עבודה'!$E$72,'[7]הנחות עבודה'!$E$69)</f>
        <v>1.4999999999999999E-2</v>
      </c>
      <c r="DQ103" s="54">
        <f>+IF(DQ99&lt;=4,'[7]הנחות עבודה'!$E$72,'[7]הנחות עבודה'!$E$69)</f>
        <v>1.4999999999999999E-2</v>
      </c>
      <c r="DR103" s="54">
        <f>+IF(DR99&lt;=4,'[7]הנחות עבודה'!$E$72,'[7]הנחות עבודה'!$E$69)</f>
        <v>6.6699999999999995E-2</v>
      </c>
      <c r="DS103" s="54">
        <f>+IF(DS99&lt;=4,'[7]הנחות עבודה'!$E$72,'[7]הנחות עבודה'!$E$69)</f>
        <v>6.6699999999999995E-2</v>
      </c>
      <c r="DT103" s="54">
        <f>+IF(DT99&lt;=4,'[7]הנחות עבודה'!$E$72,'[7]הנחות עבודה'!$E$69)</f>
        <v>1.4999999999999999E-2</v>
      </c>
      <c r="DU103" s="54">
        <f>+IF(DU99&lt;=4,'[7]הנחות עבודה'!$E$72,'[7]הנחות עבודה'!$E$69)</f>
        <v>6.6699999999999995E-2</v>
      </c>
      <c r="DV103" s="54">
        <f>+IF(DV99&lt;=4,'[7]הנחות עבודה'!$E$72,'[7]הנחות עבודה'!$E$69)</f>
        <v>1.4999999999999999E-2</v>
      </c>
      <c r="DW103" s="54">
        <f>+IF(DW99&lt;=4,'[7]הנחות עבודה'!$E$72,'[7]הנחות עבודה'!$E$69)</f>
        <v>6.6699999999999995E-2</v>
      </c>
      <c r="DX103" s="54">
        <f>+IF(DX99&lt;=4,'[7]הנחות עבודה'!$E$72,'[7]הנחות עבודה'!$E$69)</f>
        <v>1.4999999999999999E-2</v>
      </c>
      <c r="DY103" s="54">
        <f>+IF(DY99&lt;=4,'[7]הנחות עבודה'!$E$72,'[7]הנחות עבודה'!$E$69)</f>
        <v>6.6699999999999995E-2</v>
      </c>
      <c r="DZ103" s="54">
        <f>+IF(DZ99&lt;=4,'[7]הנחות עבודה'!$E$72,'[7]הנחות עבודה'!$E$69)</f>
        <v>6.6699999999999995E-2</v>
      </c>
      <c r="EA103" s="54">
        <f>+IF(EA99&lt;=4,'[7]הנחות עבודה'!$E$72,'[7]הנחות עבודה'!$E$69)</f>
        <v>1.4999999999999999E-2</v>
      </c>
      <c r="EB103" s="54">
        <f>+IF(EB99&lt;=4,'[7]הנחות עבודה'!$E$72,'[7]הנחות עבודה'!$E$69)</f>
        <v>6.6699999999999995E-2</v>
      </c>
      <c r="EC103" s="54">
        <f>+IF(EC99&lt;=4,'[7]הנחות עבודה'!$E$72,'[7]הנחות עבודה'!$E$69)</f>
        <v>1.4999999999999999E-2</v>
      </c>
      <c r="ED103" s="54">
        <f>+IF(ED99&lt;=4,'[7]הנחות עבודה'!$E$72,'[7]הנחות עבודה'!$E$69)</f>
        <v>1.4999999999999999E-2</v>
      </c>
      <c r="EE103" s="54">
        <f>+IF(EE99&lt;=4,'[7]הנחות עבודה'!$E$72,'[7]הנחות עבודה'!$E$69)</f>
        <v>1.4999999999999999E-2</v>
      </c>
      <c r="EF103" s="54">
        <f>+IF(EF99&lt;=4,'[7]הנחות עבודה'!$E$72,'[7]הנחות עבודה'!$E$69)</f>
        <v>1.4999999999999999E-2</v>
      </c>
      <c r="EG103" s="54">
        <f>+IF(EG99&lt;=4,'[7]הנחות עבודה'!$E$72,'[7]הנחות עבודה'!$E$69)</f>
        <v>1.4999999999999999E-2</v>
      </c>
      <c r="EH103" s="54">
        <f>+IF(EH99&lt;=4,'[7]הנחות עבודה'!$E$72,'[7]הנחות עבודה'!$E$69)</f>
        <v>1.4999999999999999E-2</v>
      </c>
      <c r="EI103" s="54">
        <f>+IF(EI99&lt;=4,'[7]הנחות עבודה'!$E$72,'[7]הנחות עבודה'!$E$69)</f>
        <v>1.4999999999999999E-2</v>
      </c>
      <c r="EJ103" s="54">
        <f>+IF(EJ99&lt;=4,'[7]הנחות עבודה'!$E$72,'[7]הנחות עבודה'!$E$69)</f>
        <v>1.4999999999999999E-2</v>
      </c>
      <c r="EK103" s="54">
        <f>+IF(EK99&lt;=4,'[7]הנחות עבודה'!$E$72,'[7]הנחות עבודה'!$E$69)</f>
        <v>1.4999999999999999E-2</v>
      </c>
      <c r="EL103" s="54">
        <f>+IF(EL99&lt;=4,'[7]הנחות עבודה'!$E$72,'[7]הנחות עבודה'!$E$69)</f>
        <v>1.4999999999999999E-2</v>
      </c>
      <c r="EM103" s="54">
        <f>+IF(EM99&lt;=4,'[7]הנחות עבודה'!$E$72,'[7]הנחות עבודה'!$E$69)</f>
        <v>1.4999999999999999E-2</v>
      </c>
      <c r="EN103" s="54">
        <f>+IF(EN99&lt;=4,'[7]הנחות עבודה'!$E$72,'[7]הנחות עבודה'!$E$69)</f>
        <v>1.4999999999999999E-2</v>
      </c>
      <c r="EO103" s="54">
        <f>+IF(EO99&lt;=4,'[7]הנחות עבודה'!$E$72,'[7]הנחות עבודה'!$E$69)</f>
        <v>1.4999999999999999E-2</v>
      </c>
      <c r="EP103" s="54">
        <f>+IF(EP99&lt;=4,'[7]הנחות עבודה'!$E$72,'[7]הנחות עבודה'!$E$69)</f>
        <v>1.4999999999999999E-2</v>
      </c>
      <c r="EQ103" s="54">
        <f>+IF(EQ99&lt;=4,'[7]הנחות עבודה'!$E$72,'[7]הנחות עבודה'!$E$69)</f>
        <v>6.6699999999999995E-2</v>
      </c>
      <c r="ER103" s="54">
        <f>+IF(ER99&lt;=4,'[7]הנחות עבודה'!$E$72,'[7]הנחות עבודה'!$E$69)</f>
        <v>1.4999999999999999E-2</v>
      </c>
      <c r="ES103" s="54">
        <f>+IF(ES99&lt;=4,'[7]הנחות עבודה'!$E$72,'[7]הנחות עבודה'!$E$69)</f>
        <v>6.6699999999999995E-2</v>
      </c>
      <c r="ET103" s="54">
        <f>+IF(ET99&lt;=4,'[7]הנחות עבודה'!$E$72,'[7]הנחות עבודה'!$E$69)</f>
        <v>6.6699999999999995E-2</v>
      </c>
      <c r="EU103" s="54">
        <f>+IF(EU99&lt;=4,'[7]הנחות עבודה'!$E$72,'[7]הנחות עבודה'!$E$69)</f>
        <v>1.4999999999999999E-2</v>
      </c>
      <c r="EV103" s="54">
        <f>+IF(EV99&lt;=4,'[7]הנחות עבודה'!$E$72,'[7]הנחות עבודה'!$E$69)</f>
        <v>6.6699999999999995E-2</v>
      </c>
      <c r="EW103" s="54">
        <f>+IF(EW99&lt;=4,'[7]הנחות עבודה'!$E$72,'[7]הנחות עבודה'!$E$69)</f>
        <v>1.4999999999999999E-2</v>
      </c>
      <c r="EX103" s="54">
        <f>+IF(EX99&lt;=4,'[7]הנחות עבודה'!$E$72,'[7]הנחות עבודה'!$E$69)</f>
        <v>6.6699999999999995E-2</v>
      </c>
      <c r="EY103" s="54">
        <f>+IF(EY99&lt;=4,'[7]הנחות עבודה'!$E$72,'[7]הנחות עבודה'!$E$69)</f>
        <v>6.6699999999999995E-2</v>
      </c>
      <c r="EZ103" s="54">
        <f>+IF(EZ99&lt;=4,'[7]הנחות עבודה'!$E$72,'[7]הנחות עבודה'!$E$69)</f>
        <v>6.6699999999999995E-2</v>
      </c>
      <c r="FA103" s="54">
        <f>+IF(FA99&lt;=4,'[7]הנחות עבודה'!$E$72,'[7]הנחות עבודה'!$E$69)</f>
        <v>6.6699999999999995E-2</v>
      </c>
      <c r="FB103" s="54">
        <f>+IF(FB99&lt;=4,'[7]הנחות עבודה'!$E$72,'[7]הנחות עבודה'!$E$69)</f>
        <v>6.6699999999999995E-2</v>
      </c>
      <c r="FC103" s="54">
        <f>+IF(FC99&lt;=4,'[7]הנחות עבודה'!$E$72,'[7]הנחות עבודה'!$E$69)</f>
        <v>6.6699999999999995E-2</v>
      </c>
      <c r="FD103" s="54">
        <f>+IF(FD99&lt;=4,'[7]הנחות עבודה'!$E$72,'[7]הנחות עבודה'!$E$69)</f>
        <v>6.6699999999999995E-2</v>
      </c>
      <c r="FE103" s="54">
        <f>+IF(FE99&lt;=4,'[7]הנחות עבודה'!$E$72,'[7]הנחות עבודה'!$E$69)</f>
        <v>6.6699999999999995E-2</v>
      </c>
      <c r="FF103" s="54">
        <f>+IF(FF99&lt;=4,'[7]הנחות עבודה'!$E$72,'[7]הנחות עבודה'!$E$69)</f>
        <v>6.6699999999999995E-2</v>
      </c>
      <c r="FG103" s="54">
        <f>+IF(FG99&lt;=4,'[7]הנחות עבודה'!$E$72,'[7]הנחות עבודה'!$E$69)</f>
        <v>6.6699999999999995E-2</v>
      </c>
      <c r="FH103" s="54">
        <f>+IF(FH99&lt;=4,'[7]הנחות עבודה'!$E$72,'[7]הנחות עבודה'!$E$69)</f>
        <v>1.4999999999999999E-2</v>
      </c>
      <c r="FI103" s="54">
        <f>+IF(FI99&lt;=4,'[7]הנחות עבודה'!$E$72,'[7]הנחות עבודה'!$E$69)</f>
        <v>6.6699999999999995E-2</v>
      </c>
      <c r="FJ103" s="54">
        <f>+IF(FJ99&lt;=4,'[7]הנחות עבודה'!$E$72,'[7]הנחות עבודה'!$E$69)</f>
        <v>6.6699999999999995E-2</v>
      </c>
      <c r="FK103" s="54">
        <f>+IF(FK99&lt;=4,'[7]הנחות עבודה'!$E$72,'[7]הנחות עבודה'!$E$69)</f>
        <v>6.6699999999999995E-2</v>
      </c>
      <c r="FL103" s="54">
        <f>+IF(FL99&lt;=4,'[7]הנחות עבודה'!$E$72,'[7]הנחות עבודה'!$E$69)</f>
        <v>6.6699999999999995E-2</v>
      </c>
      <c r="FY103" s="54">
        <f>+IF(FY99&lt;=4,'[7]הנחות עבודה'!$E$72,'[7]הנחות עבודה'!$E$69)</f>
        <v>1.4999999999999999E-2</v>
      </c>
    </row>
    <row r="104" spans="1:183" x14ac:dyDescent="0.2">
      <c r="B104" s="54"/>
      <c r="DQ104" s="614"/>
      <c r="DR104" s="614"/>
      <c r="DS104" s="614"/>
      <c r="FY104" s="614"/>
    </row>
    <row r="105" spans="1:183" x14ac:dyDescent="0.2">
      <c r="A105" s="438" t="s">
        <v>980</v>
      </c>
      <c r="B105" s="752">
        <v>2009</v>
      </c>
      <c r="C105" s="753">
        <v>2010</v>
      </c>
      <c r="D105" s="754">
        <v>2011</v>
      </c>
      <c r="E105" s="754">
        <v>2012</v>
      </c>
      <c r="F105" s="754">
        <v>2013</v>
      </c>
      <c r="DZ105" s="54"/>
    </row>
    <row r="106" spans="1:183" x14ac:dyDescent="0.2">
      <c r="A106" s="438"/>
      <c r="B106" s="1210">
        <f>1/30*3+1/35*3</f>
        <v>0.18571428571428572</v>
      </c>
      <c r="C106" s="755">
        <f>1/30*3+1/35*2</f>
        <v>0.15714285714285714</v>
      </c>
      <c r="D106" s="756">
        <f>1/30*3+1/35*1</f>
        <v>0.12857142857142859</v>
      </c>
      <c r="E106" s="756">
        <f>1/35*3</f>
        <v>8.5714285714285715E-2</v>
      </c>
      <c r="F106" s="756">
        <f>1/35*2</f>
        <v>5.7142857142857141E-2</v>
      </c>
      <c r="DZ106" s="54"/>
    </row>
    <row r="107" spans="1:183" x14ac:dyDescent="0.2">
      <c r="B107" s="1047">
        <f>+B106-1/30*MAX(2012-B105,0)</f>
        <v>8.5714285714285715E-2</v>
      </c>
      <c r="C107" s="1589">
        <f>+C106-1/30*MAX(2012-C105,0)</f>
        <v>9.0476190476190474E-2</v>
      </c>
      <c r="D107" s="1047">
        <f>+D106-1/30*MAX(2012-D105,0)</f>
        <v>9.5238095238095261E-2</v>
      </c>
      <c r="E107" s="1047">
        <f>+E106-1/30*MAX(2012-E105,0)</f>
        <v>8.5714285714285715E-2</v>
      </c>
      <c r="F107" s="1047">
        <f>+F106-1/30*MAX(2012-F105,0)</f>
        <v>5.7142857142857141E-2</v>
      </c>
      <c r="DQ107" s="614">
        <f>+DQ75-DQ89</f>
        <v>178109072.57142857</v>
      </c>
    </row>
    <row r="108" spans="1:183" x14ac:dyDescent="0.2">
      <c r="A108" s="1238" t="s">
        <v>1486</v>
      </c>
      <c r="B108" s="1048">
        <f>+IF(B3&gt;=2015,$B$112,0)</f>
        <v>0</v>
      </c>
      <c r="C108" s="1048">
        <f t="shared" ref="C108:BN108" si="61">+IF(C3&gt;=2015,$B$112,0)</f>
        <v>0</v>
      </c>
      <c r="D108" s="1048">
        <f t="shared" si="61"/>
        <v>0</v>
      </c>
      <c r="E108" s="1048">
        <f t="shared" si="61"/>
        <v>0.15</v>
      </c>
      <c r="F108" s="1048">
        <f t="shared" si="61"/>
        <v>0.15</v>
      </c>
      <c r="G108" s="1048">
        <f t="shared" si="61"/>
        <v>0.15</v>
      </c>
      <c r="H108" s="1048">
        <f t="shared" si="61"/>
        <v>0.15</v>
      </c>
      <c r="I108" s="1048">
        <f t="shared" si="61"/>
        <v>0</v>
      </c>
      <c r="J108" s="1048">
        <f t="shared" si="61"/>
        <v>0</v>
      </c>
      <c r="K108" s="1048">
        <f t="shared" si="61"/>
        <v>0</v>
      </c>
      <c r="L108" s="1048">
        <f t="shared" si="61"/>
        <v>0</v>
      </c>
      <c r="M108" s="1048">
        <f t="shared" si="61"/>
        <v>0</v>
      </c>
      <c r="N108" s="1048">
        <f t="shared" si="61"/>
        <v>0</v>
      </c>
      <c r="O108" s="1048">
        <f t="shared" si="61"/>
        <v>0</v>
      </c>
      <c r="P108" s="1048">
        <f t="shared" si="61"/>
        <v>0</v>
      </c>
      <c r="Q108" s="1048">
        <f t="shared" si="61"/>
        <v>0</v>
      </c>
      <c r="R108" s="1048">
        <f t="shared" si="61"/>
        <v>0</v>
      </c>
      <c r="S108" s="1048">
        <f t="shared" si="61"/>
        <v>0</v>
      </c>
      <c r="T108" s="1048">
        <f t="shared" si="61"/>
        <v>0</v>
      </c>
      <c r="U108" s="1048">
        <f t="shared" si="61"/>
        <v>0</v>
      </c>
      <c r="V108" s="1048">
        <f t="shared" si="61"/>
        <v>0</v>
      </c>
      <c r="W108" s="1048">
        <f t="shared" si="61"/>
        <v>0</v>
      </c>
      <c r="X108" s="1048">
        <f t="shared" si="61"/>
        <v>0</v>
      </c>
      <c r="Y108" s="1048">
        <f t="shared" si="61"/>
        <v>0</v>
      </c>
      <c r="Z108" s="1048">
        <f t="shared" si="61"/>
        <v>0</v>
      </c>
      <c r="AA108" s="1048">
        <f t="shared" si="61"/>
        <v>0</v>
      </c>
      <c r="AB108" s="1048">
        <f t="shared" si="61"/>
        <v>0</v>
      </c>
      <c r="AC108" s="1048">
        <f t="shared" si="61"/>
        <v>0</v>
      </c>
      <c r="AD108" s="532">
        <f t="shared" si="61"/>
        <v>0</v>
      </c>
      <c r="AE108" s="1048">
        <f t="shared" si="61"/>
        <v>0</v>
      </c>
      <c r="AF108" s="1048">
        <f t="shared" si="61"/>
        <v>0</v>
      </c>
      <c r="AG108" s="1048">
        <f t="shared" si="61"/>
        <v>0</v>
      </c>
      <c r="AH108" s="1048">
        <f t="shared" si="61"/>
        <v>0</v>
      </c>
      <c r="AI108" s="1048">
        <f t="shared" si="61"/>
        <v>0</v>
      </c>
      <c r="AJ108" s="1048">
        <f t="shared" si="61"/>
        <v>0</v>
      </c>
      <c r="AK108" s="1048">
        <f t="shared" si="61"/>
        <v>0.15</v>
      </c>
      <c r="AL108" s="1048">
        <f t="shared" si="61"/>
        <v>0</v>
      </c>
      <c r="AM108" s="1048">
        <f t="shared" si="61"/>
        <v>0</v>
      </c>
      <c r="AN108" s="1048">
        <f t="shared" si="61"/>
        <v>0</v>
      </c>
      <c r="AO108" s="1048">
        <f t="shared" si="61"/>
        <v>0</v>
      </c>
      <c r="AP108" s="1048">
        <f t="shared" si="61"/>
        <v>0</v>
      </c>
      <c r="AQ108" s="1048">
        <f t="shared" si="61"/>
        <v>0</v>
      </c>
      <c r="AR108" s="1048">
        <f t="shared" si="61"/>
        <v>0</v>
      </c>
      <c r="AS108" s="1048">
        <f t="shared" si="61"/>
        <v>0</v>
      </c>
      <c r="AT108" s="1048">
        <f t="shared" si="61"/>
        <v>0</v>
      </c>
      <c r="AU108" s="1048">
        <f t="shared" si="61"/>
        <v>0</v>
      </c>
      <c r="AV108" s="1048">
        <f t="shared" si="61"/>
        <v>0</v>
      </c>
      <c r="AW108" s="1048">
        <f t="shared" si="61"/>
        <v>0</v>
      </c>
      <c r="AX108" s="1048">
        <f t="shared" si="61"/>
        <v>0</v>
      </c>
      <c r="AY108" s="1048">
        <f t="shared" si="61"/>
        <v>0</v>
      </c>
      <c r="AZ108" s="1048">
        <f t="shared" si="61"/>
        <v>0</v>
      </c>
      <c r="BA108" s="1048">
        <f t="shared" si="61"/>
        <v>0</v>
      </c>
      <c r="BB108" s="1048">
        <f t="shared" si="61"/>
        <v>0</v>
      </c>
      <c r="BC108" s="1048">
        <f t="shared" si="61"/>
        <v>0</v>
      </c>
      <c r="BD108" s="1048">
        <f t="shared" si="61"/>
        <v>0</v>
      </c>
      <c r="BE108" s="1048">
        <f t="shared" si="61"/>
        <v>0</v>
      </c>
      <c r="BF108" s="1048">
        <f t="shared" si="61"/>
        <v>0</v>
      </c>
      <c r="BG108" s="1048">
        <f t="shared" si="61"/>
        <v>0</v>
      </c>
      <c r="BH108" s="1048">
        <f t="shared" si="61"/>
        <v>0</v>
      </c>
      <c r="BI108" s="1048">
        <f t="shared" si="61"/>
        <v>0</v>
      </c>
      <c r="BJ108" s="1048">
        <f t="shared" si="61"/>
        <v>0</v>
      </c>
      <c r="BK108" s="1048">
        <f t="shared" si="61"/>
        <v>0</v>
      </c>
      <c r="BL108" s="1048">
        <f t="shared" si="61"/>
        <v>0</v>
      </c>
      <c r="BM108" s="1048">
        <f t="shared" si="61"/>
        <v>0</v>
      </c>
      <c r="BN108" s="1048">
        <f t="shared" si="61"/>
        <v>0</v>
      </c>
      <c r="BO108" s="1048">
        <f t="shared" ref="BO108:DZ108" si="62">+IF(BO3&gt;=2015,$B$112,0)</f>
        <v>0</v>
      </c>
      <c r="BP108" s="1048">
        <f t="shared" si="62"/>
        <v>0</v>
      </c>
      <c r="BQ108" s="1048">
        <f t="shared" si="62"/>
        <v>0</v>
      </c>
      <c r="BR108" s="1048">
        <f t="shared" si="62"/>
        <v>0</v>
      </c>
      <c r="BS108" s="1048">
        <f t="shared" si="62"/>
        <v>0</v>
      </c>
      <c r="BT108" s="1048">
        <f t="shared" si="62"/>
        <v>0</v>
      </c>
      <c r="BU108" s="1048">
        <f t="shared" si="62"/>
        <v>0</v>
      </c>
      <c r="BV108" s="1048">
        <f t="shared" si="62"/>
        <v>0.15</v>
      </c>
      <c r="BW108" s="1048">
        <f t="shared" si="62"/>
        <v>0</v>
      </c>
      <c r="BX108" s="1048">
        <f t="shared" si="62"/>
        <v>0</v>
      </c>
      <c r="BY108" s="1048">
        <f t="shared" si="62"/>
        <v>0.15</v>
      </c>
      <c r="BZ108" s="1048">
        <f t="shared" si="62"/>
        <v>0.15</v>
      </c>
      <c r="CA108" s="1048">
        <f t="shared" si="62"/>
        <v>0</v>
      </c>
      <c r="CB108" s="1048">
        <f t="shared" si="62"/>
        <v>0</v>
      </c>
      <c r="CC108" s="1048">
        <f t="shared" si="62"/>
        <v>0</v>
      </c>
      <c r="CD108" s="1048">
        <f t="shared" si="62"/>
        <v>0</v>
      </c>
      <c r="CE108" s="1048">
        <f t="shared" si="62"/>
        <v>0</v>
      </c>
      <c r="CF108" s="1048">
        <f t="shared" si="62"/>
        <v>0</v>
      </c>
      <c r="CG108" s="1048">
        <f t="shared" si="62"/>
        <v>0</v>
      </c>
      <c r="CH108" s="1048">
        <f t="shared" si="62"/>
        <v>0</v>
      </c>
      <c r="CI108" s="1048">
        <f t="shared" si="62"/>
        <v>0</v>
      </c>
      <c r="CJ108" s="1048">
        <f t="shared" si="62"/>
        <v>0</v>
      </c>
      <c r="CK108" s="1048">
        <f t="shared" si="62"/>
        <v>0</v>
      </c>
      <c r="CL108" s="1048">
        <f t="shared" si="62"/>
        <v>0.15</v>
      </c>
      <c r="CM108" s="1048">
        <f t="shared" si="62"/>
        <v>0</v>
      </c>
      <c r="CN108" s="1048">
        <f t="shared" si="62"/>
        <v>0.15</v>
      </c>
      <c r="CO108" s="1048">
        <f t="shared" si="62"/>
        <v>0.15</v>
      </c>
      <c r="CP108" s="1048">
        <f t="shared" si="62"/>
        <v>0.15</v>
      </c>
      <c r="CQ108" s="1048">
        <f t="shared" si="62"/>
        <v>0</v>
      </c>
      <c r="CR108" s="1048">
        <f t="shared" si="62"/>
        <v>0</v>
      </c>
      <c r="CS108" s="1048">
        <f t="shared" si="62"/>
        <v>0</v>
      </c>
      <c r="CT108" s="1048">
        <f t="shared" si="62"/>
        <v>0</v>
      </c>
      <c r="CU108" s="1048">
        <f t="shared" si="62"/>
        <v>0</v>
      </c>
      <c r="CV108" s="1048">
        <f t="shared" si="62"/>
        <v>0.15</v>
      </c>
      <c r="CW108" s="1048">
        <f t="shared" si="62"/>
        <v>0</v>
      </c>
      <c r="CX108" s="1048">
        <f t="shared" si="62"/>
        <v>0</v>
      </c>
      <c r="CY108" s="1048">
        <f t="shared" si="62"/>
        <v>0</v>
      </c>
      <c r="CZ108" s="1048">
        <f t="shared" si="62"/>
        <v>0</v>
      </c>
      <c r="DA108" s="1048">
        <f t="shared" si="62"/>
        <v>0</v>
      </c>
      <c r="DB108" s="1048">
        <f t="shared" si="62"/>
        <v>0</v>
      </c>
      <c r="DC108" s="1048">
        <f t="shared" si="62"/>
        <v>0</v>
      </c>
      <c r="DD108" s="1048">
        <f t="shared" si="62"/>
        <v>0</v>
      </c>
      <c r="DE108" s="1048">
        <f t="shared" si="62"/>
        <v>0</v>
      </c>
      <c r="DF108" s="1048">
        <f t="shared" si="62"/>
        <v>0</v>
      </c>
      <c r="DG108" s="1048">
        <f t="shared" si="62"/>
        <v>0</v>
      </c>
      <c r="DH108" s="1048">
        <f t="shared" si="62"/>
        <v>0</v>
      </c>
      <c r="DI108" s="1048">
        <f t="shared" si="62"/>
        <v>0</v>
      </c>
      <c r="DJ108" s="1048">
        <f t="shared" si="62"/>
        <v>0</v>
      </c>
      <c r="DK108" s="1048">
        <f t="shared" si="62"/>
        <v>0</v>
      </c>
      <c r="DL108" s="1048">
        <f t="shared" si="62"/>
        <v>0</v>
      </c>
      <c r="DM108" s="1048">
        <f t="shared" si="62"/>
        <v>0</v>
      </c>
      <c r="DN108" s="1048">
        <f t="shared" si="62"/>
        <v>0</v>
      </c>
      <c r="DO108" s="1048">
        <f t="shared" si="62"/>
        <v>0.15</v>
      </c>
      <c r="DP108" s="1048">
        <f t="shared" si="62"/>
        <v>0</v>
      </c>
      <c r="DQ108" s="1048">
        <f t="shared" si="62"/>
        <v>0</v>
      </c>
      <c r="DR108" s="1048">
        <f t="shared" si="62"/>
        <v>0</v>
      </c>
      <c r="DS108" s="1048">
        <f t="shared" si="62"/>
        <v>0</v>
      </c>
      <c r="DT108" s="1048">
        <f t="shared" si="62"/>
        <v>0.15</v>
      </c>
      <c r="DU108" s="1048">
        <f t="shared" si="62"/>
        <v>0</v>
      </c>
      <c r="DV108" s="1048">
        <f t="shared" si="62"/>
        <v>0.15</v>
      </c>
      <c r="DW108" s="1048">
        <f t="shared" si="62"/>
        <v>0</v>
      </c>
      <c r="DX108" s="1048">
        <f t="shared" si="62"/>
        <v>0</v>
      </c>
      <c r="DY108" s="1048">
        <f t="shared" si="62"/>
        <v>0</v>
      </c>
      <c r="DZ108" s="1048">
        <f t="shared" si="62"/>
        <v>0.15</v>
      </c>
      <c r="EA108" s="1048">
        <f t="shared" ref="EA108:FV108" si="63">+IF(EA3&gt;=2015,$B$112,0)</f>
        <v>0</v>
      </c>
      <c r="EB108" s="1048">
        <f t="shared" si="63"/>
        <v>0</v>
      </c>
      <c r="EC108" s="1048">
        <f t="shared" si="63"/>
        <v>0</v>
      </c>
      <c r="ED108" s="1048">
        <f t="shared" si="63"/>
        <v>0</v>
      </c>
      <c r="EE108" s="1048">
        <f t="shared" si="63"/>
        <v>0</v>
      </c>
      <c r="EF108" s="1048">
        <f t="shared" si="63"/>
        <v>0</v>
      </c>
      <c r="EG108" s="1048">
        <f t="shared" si="63"/>
        <v>0</v>
      </c>
      <c r="EH108" s="1048">
        <f t="shared" si="63"/>
        <v>0</v>
      </c>
      <c r="EI108" s="1048">
        <f t="shared" si="63"/>
        <v>0</v>
      </c>
      <c r="EJ108" s="1048">
        <f t="shared" si="63"/>
        <v>0</v>
      </c>
      <c r="EK108" s="1048">
        <f t="shared" si="63"/>
        <v>0</v>
      </c>
      <c r="EL108" s="1048">
        <f t="shared" si="63"/>
        <v>0</v>
      </c>
      <c r="EM108" s="1048">
        <f t="shared" si="63"/>
        <v>0</v>
      </c>
      <c r="EN108" s="1048">
        <f t="shared" si="63"/>
        <v>0</v>
      </c>
      <c r="EO108" s="1048">
        <f t="shared" si="63"/>
        <v>0.15</v>
      </c>
      <c r="EP108" s="1048">
        <f t="shared" si="63"/>
        <v>0</v>
      </c>
      <c r="EQ108" s="1048">
        <f t="shared" si="63"/>
        <v>0</v>
      </c>
      <c r="ER108" s="1048">
        <f t="shared" si="63"/>
        <v>0</v>
      </c>
      <c r="ES108" s="1048">
        <f t="shared" si="63"/>
        <v>0</v>
      </c>
      <c r="ET108" s="1048">
        <f t="shared" si="63"/>
        <v>0.15</v>
      </c>
      <c r="EU108" s="1048">
        <f t="shared" si="63"/>
        <v>0</v>
      </c>
      <c r="EV108" s="1048">
        <f t="shared" si="63"/>
        <v>0</v>
      </c>
      <c r="EW108" s="1048">
        <f t="shared" si="63"/>
        <v>0</v>
      </c>
      <c r="EX108" s="1048">
        <f t="shared" si="63"/>
        <v>0</v>
      </c>
      <c r="EY108" s="1048">
        <f t="shared" si="63"/>
        <v>0</v>
      </c>
      <c r="EZ108" s="1048">
        <f t="shared" si="63"/>
        <v>0</v>
      </c>
      <c r="FA108" s="1048">
        <f t="shared" si="63"/>
        <v>0</v>
      </c>
      <c r="FB108" s="1048">
        <f t="shared" si="63"/>
        <v>0</v>
      </c>
      <c r="FC108" s="1048">
        <f t="shared" si="63"/>
        <v>0</v>
      </c>
      <c r="FD108" s="1048">
        <f t="shared" si="63"/>
        <v>0</v>
      </c>
      <c r="FE108" s="1048">
        <f t="shared" si="63"/>
        <v>0</v>
      </c>
      <c r="FF108" s="1048">
        <f t="shared" si="63"/>
        <v>0</v>
      </c>
      <c r="FG108" s="1048">
        <f t="shared" si="63"/>
        <v>0</v>
      </c>
      <c r="FH108" s="1048">
        <f t="shared" si="63"/>
        <v>0</v>
      </c>
      <c r="FI108" s="1048">
        <f t="shared" si="63"/>
        <v>0</v>
      </c>
      <c r="FJ108" s="1048">
        <f t="shared" si="63"/>
        <v>0.15</v>
      </c>
      <c r="FK108" s="1048">
        <f t="shared" si="63"/>
        <v>0.15</v>
      </c>
      <c r="FL108" s="1048">
        <f t="shared" si="63"/>
        <v>0</v>
      </c>
      <c r="FM108" s="1048">
        <f t="shared" si="63"/>
        <v>0.15</v>
      </c>
      <c r="FN108" s="1048">
        <f t="shared" si="63"/>
        <v>0</v>
      </c>
      <c r="FO108" s="1048">
        <f t="shared" si="63"/>
        <v>0</v>
      </c>
      <c r="FP108" s="1048">
        <f t="shared" si="63"/>
        <v>0</v>
      </c>
      <c r="FQ108" s="1048">
        <f t="shared" si="63"/>
        <v>0.15</v>
      </c>
      <c r="FR108" s="1048">
        <f t="shared" si="63"/>
        <v>0</v>
      </c>
      <c r="FS108" s="1048">
        <f t="shared" si="63"/>
        <v>0</v>
      </c>
      <c r="FT108" s="1048">
        <f t="shared" si="63"/>
        <v>0</v>
      </c>
      <c r="FU108" s="1048">
        <f t="shared" si="63"/>
        <v>0</v>
      </c>
      <c r="FV108" s="1048">
        <f t="shared" si="63"/>
        <v>0.15</v>
      </c>
      <c r="FY108" s="1048">
        <f>+IF(FY3&gt;=2015,$B$112,0)</f>
        <v>0.15</v>
      </c>
    </row>
    <row r="110" spans="1:183" x14ac:dyDescent="0.2">
      <c r="A110" s="1238" t="s">
        <v>1487</v>
      </c>
      <c r="B110" s="1047">
        <f>+IF(B3&gt;=2015,$C$112,0)</f>
        <v>0</v>
      </c>
      <c r="C110" s="1047">
        <f t="shared" ref="C110:BN110" si="64">+IF(C3&gt;=2015,$C$112,0)</f>
        <v>0</v>
      </c>
      <c r="D110" s="1047">
        <f t="shared" si="64"/>
        <v>0</v>
      </c>
      <c r="E110" s="1047">
        <f t="shared" si="64"/>
        <v>0.12</v>
      </c>
      <c r="F110" s="1047">
        <f t="shared" si="64"/>
        <v>0.12</v>
      </c>
      <c r="G110" s="1047">
        <f t="shared" si="64"/>
        <v>0.12</v>
      </c>
      <c r="H110" s="1047">
        <f t="shared" si="64"/>
        <v>0.12</v>
      </c>
      <c r="I110" s="1047">
        <f t="shared" si="64"/>
        <v>0</v>
      </c>
      <c r="J110" s="1047">
        <f t="shared" si="64"/>
        <v>0</v>
      </c>
      <c r="K110" s="1047">
        <f t="shared" si="64"/>
        <v>0</v>
      </c>
      <c r="L110" s="1047">
        <f t="shared" si="64"/>
        <v>0</v>
      </c>
      <c r="M110" s="1047">
        <f t="shared" si="64"/>
        <v>0</v>
      </c>
      <c r="N110" s="1047">
        <f t="shared" si="64"/>
        <v>0</v>
      </c>
      <c r="O110" s="1047">
        <f t="shared" si="64"/>
        <v>0</v>
      </c>
      <c r="P110" s="1047">
        <f t="shared" si="64"/>
        <v>0</v>
      </c>
      <c r="Q110" s="1047">
        <f t="shared" si="64"/>
        <v>0</v>
      </c>
      <c r="R110" s="1047">
        <f t="shared" si="64"/>
        <v>0</v>
      </c>
      <c r="S110" s="1047">
        <f t="shared" si="64"/>
        <v>0</v>
      </c>
      <c r="T110" s="1047">
        <f t="shared" si="64"/>
        <v>0</v>
      </c>
      <c r="U110" s="1047">
        <f t="shared" si="64"/>
        <v>0</v>
      </c>
      <c r="V110" s="1047">
        <f t="shared" si="64"/>
        <v>0</v>
      </c>
      <c r="W110" s="1047">
        <f t="shared" si="64"/>
        <v>0</v>
      </c>
      <c r="X110" s="1047">
        <f t="shared" si="64"/>
        <v>0</v>
      </c>
      <c r="Y110" s="1047">
        <f t="shared" si="64"/>
        <v>0</v>
      </c>
      <c r="Z110" s="1047">
        <f t="shared" si="64"/>
        <v>0</v>
      </c>
      <c r="AA110" s="1047">
        <f t="shared" si="64"/>
        <v>0</v>
      </c>
      <c r="AB110" s="1047">
        <f t="shared" si="64"/>
        <v>0</v>
      </c>
      <c r="AC110" s="1047">
        <f t="shared" si="64"/>
        <v>0</v>
      </c>
      <c r="AD110" s="532">
        <f t="shared" si="64"/>
        <v>0</v>
      </c>
      <c r="AE110" s="1047">
        <f t="shared" si="64"/>
        <v>0</v>
      </c>
      <c r="AF110" s="1047">
        <f t="shared" si="64"/>
        <v>0</v>
      </c>
      <c r="AG110" s="1047">
        <f t="shared" si="64"/>
        <v>0</v>
      </c>
      <c r="AH110" s="1047">
        <f t="shared" si="64"/>
        <v>0</v>
      </c>
      <c r="AI110" s="1047">
        <f t="shared" si="64"/>
        <v>0</v>
      </c>
      <c r="AJ110" s="1047">
        <f t="shared" si="64"/>
        <v>0</v>
      </c>
      <c r="AK110" s="1047">
        <f t="shared" si="64"/>
        <v>0.12</v>
      </c>
      <c r="AL110" s="1047">
        <f t="shared" si="64"/>
        <v>0</v>
      </c>
      <c r="AM110" s="1047">
        <f t="shared" si="64"/>
        <v>0</v>
      </c>
      <c r="AN110" s="1047">
        <f t="shared" si="64"/>
        <v>0</v>
      </c>
      <c r="AO110" s="1047">
        <f t="shared" si="64"/>
        <v>0</v>
      </c>
      <c r="AP110" s="1047">
        <f t="shared" si="64"/>
        <v>0</v>
      </c>
      <c r="AQ110" s="1047">
        <f t="shared" si="64"/>
        <v>0</v>
      </c>
      <c r="AR110" s="1047">
        <f t="shared" si="64"/>
        <v>0</v>
      </c>
      <c r="AS110" s="1047">
        <f t="shared" si="64"/>
        <v>0</v>
      </c>
      <c r="AT110" s="1047">
        <f t="shared" si="64"/>
        <v>0</v>
      </c>
      <c r="AU110" s="1047">
        <f t="shared" si="64"/>
        <v>0</v>
      </c>
      <c r="AV110" s="1047">
        <f t="shared" si="64"/>
        <v>0</v>
      </c>
      <c r="AW110" s="1047">
        <f t="shared" si="64"/>
        <v>0</v>
      </c>
      <c r="AX110" s="1047">
        <f t="shared" si="64"/>
        <v>0</v>
      </c>
      <c r="AY110" s="1047">
        <f t="shared" si="64"/>
        <v>0</v>
      </c>
      <c r="AZ110" s="1047">
        <f t="shared" si="64"/>
        <v>0</v>
      </c>
      <c r="BA110" s="1047">
        <f t="shared" si="64"/>
        <v>0</v>
      </c>
      <c r="BB110" s="1047">
        <f t="shared" si="64"/>
        <v>0</v>
      </c>
      <c r="BC110" s="1047">
        <f t="shared" si="64"/>
        <v>0</v>
      </c>
      <c r="BD110" s="1047">
        <f t="shared" si="64"/>
        <v>0</v>
      </c>
      <c r="BE110" s="1047">
        <f t="shared" si="64"/>
        <v>0</v>
      </c>
      <c r="BF110" s="1047">
        <f t="shared" si="64"/>
        <v>0</v>
      </c>
      <c r="BG110" s="1047">
        <f t="shared" si="64"/>
        <v>0</v>
      </c>
      <c r="BH110" s="1047">
        <f t="shared" si="64"/>
        <v>0</v>
      </c>
      <c r="BI110" s="1047">
        <f t="shared" si="64"/>
        <v>0</v>
      </c>
      <c r="BJ110" s="1047">
        <f t="shared" si="64"/>
        <v>0</v>
      </c>
      <c r="BK110" s="1047">
        <f t="shared" si="64"/>
        <v>0</v>
      </c>
      <c r="BL110" s="1047">
        <f t="shared" si="64"/>
        <v>0</v>
      </c>
      <c r="BM110" s="1047">
        <f t="shared" si="64"/>
        <v>0</v>
      </c>
      <c r="BN110" s="1047">
        <f t="shared" si="64"/>
        <v>0</v>
      </c>
      <c r="BO110" s="1047">
        <f t="shared" ref="BO110:DZ110" si="65">+IF(BO3&gt;=2015,$C$112,0)</f>
        <v>0</v>
      </c>
      <c r="BP110" s="1047">
        <f t="shared" si="65"/>
        <v>0</v>
      </c>
      <c r="BQ110" s="1047">
        <f t="shared" si="65"/>
        <v>0</v>
      </c>
      <c r="BR110" s="1047">
        <f t="shared" si="65"/>
        <v>0</v>
      </c>
      <c r="BS110" s="1047">
        <f t="shared" si="65"/>
        <v>0</v>
      </c>
      <c r="BT110" s="1047">
        <f t="shared" si="65"/>
        <v>0</v>
      </c>
      <c r="BU110" s="1047">
        <f t="shared" si="65"/>
        <v>0</v>
      </c>
      <c r="BV110" s="1047">
        <f t="shared" si="65"/>
        <v>0.12</v>
      </c>
      <c r="BW110" s="1047">
        <f t="shared" si="65"/>
        <v>0</v>
      </c>
      <c r="BX110" s="1047">
        <f t="shared" si="65"/>
        <v>0</v>
      </c>
      <c r="BY110" s="1047">
        <f t="shared" si="65"/>
        <v>0.12</v>
      </c>
      <c r="BZ110" s="1047">
        <f t="shared" si="65"/>
        <v>0.12</v>
      </c>
      <c r="CA110" s="1047">
        <f t="shared" si="65"/>
        <v>0</v>
      </c>
      <c r="CB110" s="1047">
        <f t="shared" si="65"/>
        <v>0</v>
      </c>
      <c r="CC110" s="1047">
        <f t="shared" si="65"/>
        <v>0</v>
      </c>
      <c r="CD110" s="1047">
        <f t="shared" si="65"/>
        <v>0</v>
      </c>
      <c r="CE110" s="1047">
        <f t="shared" si="65"/>
        <v>0</v>
      </c>
      <c r="CF110" s="1047">
        <f t="shared" si="65"/>
        <v>0</v>
      </c>
      <c r="CG110" s="1047">
        <f t="shared" si="65"/>
        <v>0</v>
      </c>
      <c r="CH110" s="1047">
        <f t="shared" si="65"/>
        <v>0</v>
      </c>
      <c r="CI110" s="1047">
        <f t="shared" si="65"/>
        <v>0</v>
      </c>
      <c r="CJ110" s="1047">
        <f t="shared" si="65"/>
        <v>0</v>
      </c>
      <c r="CK110" s="1047">
        <f t="shared" si="65"/>
        <v>0</v>
      </c>
      <c r="CL110" s="1047">
        <f t="shared" si="65"/>
        <v>0.12</v>
      </c>
      <c r="CM110" s="1047">
        <f t="shared" si="65"/>
        <v>0</v>
      </c>
      <c r="CN110" s="1047">
        <f t="shared" si="65"/>
        <v>0.12</v>
      </c>
      <c r="CO110" s="1047">
        <f t="shared" si="65"/>
        <v>0.12</v>
      </c>
      <c r="CP110" s="1047">
        <f t="shared" si="65"/>
        <v>0.12</v>
      </c>
      <c r="CQ110" s="1047">
        <f t="shared" si="65"/>
        <v>0</v>
      </c>
      <c r="CR110" s="1047">
        <f t="shared" si="65"/>
        <v>0</v>
      </c>
      <c r="CS110" s="1047">
        <f t="shared" si="65"/>
        <v>0</v>
      </c>
      <c r="CT110" s="1047">
        <f t="shared" si="65"/>
        <v>0</v>
      </c>
      <c r="CU110" s="1047">
        <f t="shared" si="65"/>
        <v>0</v>
      </c>
      <c r="CV110" s="1047">
        <f t="shared" si="65"/>
        <v>0.12</v>
      </c>
      <c r="CW110" s="1047">
        <f t="shared" si="65"/>
        <v>0</v>
      </c>
      <c r="CX110" s="1047">
        <f t="shared" si="65"/>
        <v>0</v>
      </c>
      <c r="CY110" s="1047">
        <f t="shared" si="65"/>
        <v>0</v>
      </c>
      <c r="CZ110" s="1047">
        <f t="shared" si="65"/>
        <v>0</v>
      </c>
      <c r="DA110" s="1047">
        <f t="shared" si="65"/>
        <v>0</v>
      </c>
      <c r="DB110" s="1047">
        <f t="shared" si="65"/>
        <v>0</v>
      </c>
      <c r="DC110" s="1047">
        <f t="shared" si="65"/>
        <v>0</v>
      </c>
      <c r="DD110" s="1047">
        <f t="shared" si="65"/>
        <v>0</v>
      </c>
      <c r="DE110" s="1047">
        <f t="shared" si="65"/>
        <v>0</v>
      </c>
      <c r="DF110" s="1047">
        <f t="shared" si="65"/>
        <v>0</v>
      </c>
      <c r="DG110" s="1047">
        <f t="shared" si="65"/>
        <v>0</v>
      </c>
      <c r="DH110" s="1047">
        <f t="shared" si="65"/>
        <v>0</v>
      </c>
      <c r="DI110" s="1047">
        <f t="shared" si="65"/>
        <v>0</v>
      </c>
      <c r="DJ110" s="1047">
        <f t="shared" si="65"/>
        <v>0</v>
      </c>
      <c r="DK110" s="1047">
        <f t="shared" si="65"/>
        <v>0</v>
      </c>
      <c r="DL110" s="1047">
        <f t="shared" si="65"/>
        <v>0</v>
      </c>
      <c r="DM110" s="1047">
        <f t="shared" si="65"/>
        <v>0</v>
      </c>
      <c r="DN110" s="1047">
        <f t="shared" si="65"/>
        <v>0</v>
      </c>
      <c r="DO110" s="1047">
        <f t="shared" si="65"/>
        <v>0.12</v>
      </c>
      <c r="DP110" s="1047">
        <f t="shared" si="65"/>
        <v>0</v>
      </c>
      <c r="DQ110" s="1047">
        <f t="shared" si="65"/>
        <v>0</v>
      </c>
      <c r="DR110" s="1047">
        <f t="shared" si="65"/>
        <v>0</v>
      </c>
      <c r="DS110" s="1047">
        <f t="shared" si="65"/>
        <v>0</v>
      </c>
      <c r="DT110" s="1047">
        <f t="shared" si="65"/>
        <v>0.12</v>
      </c>
      <c r="DU110" s="1047">
        <f t="shared" si="65"/>
        <v>0</v>
      </c>
      <c r="DV110" s="1047">
        <f t="shared" si="65"/>
        <v>0.12</v>
      </c>
      <c r="DW110" s="1047">
        <f t="shared" si="65"/>
        <v>0</v>
      </c>
      <c r="DX110" s="1047">
        <f t="shared" si="65"/>
        <v>0</v>
      </c>
      <c r="DY110" s="1047">
        <f t="shared" si="65"/>
        <v>0</v>
      </c>
      <c r="DZ110" s="1047">
        <f t="shared" si="65"/>
        <v>0.12</v>
      </c>
      <c r="EA110" s="1047">
        <f t="shared" ref="EA110:FO110" si="66">+IF(EA3&gt;=2015,$C$112,0)</f>
        <v>0</v>
      </c>
      <c r="EB110" s="1047">
        <f t="shared" si="66"/>
        <v>0</v>
      </c>
      <c r="EC110" s="1047">
        <f t="shared" si="66"/>
        <v>0</v>
      </c>
      <c r="ED110" s="1047">
        <f t="shared" si="66"/>
        <v>0</v>
      </c>
      <c r="EE110" s="1047">
        <f t="shared" si="66"/>
        <v>0</v>
      </c>
      <c r="EF110" s="1047">
        <f t="shared" si="66"/>
        <v>0</v>
      </c>
      <c r="EG110" s="1047">
        <f t="shared" si="66"/>
        <v>0</v>
      </c>
      <c r="EH110" s="1047">
        <f t="shared" si="66"/>
        <v>0</v>
      </c>
      <c r="EI110" s="1047">
        <f t="shared" si="66"/>
        <v>0</v>
      </c>
      <c r="EJ110" s="1047">
        <f t="shared" si="66"/>
        <v>0</v>
      </c>
      <c r="EK110" s="1047">
        <f t="shared" si="66"/>
        <v>0</v>
      </c>
      <c r="EL110" s="1047">
        <f t="shared" si="66"/>
        <v>0</v>
      </c>
      <c r="EM110" s="1047">
        <f t="shared" si="66"/>
        <v>0</v>
      </c>
      <c r="EN110" s="1047">
        <f t="shared" si="66"/>
        <v>0</v>
      </c>
      <c r="EO110" s="1047">
        <f t="shared" si="66"/>
        <v>0.12</v>
      </c>
      <c r="EP110" s="1047">
        <f t="shared" si="66"/>
        <v>0</v>
      </c>
      <c r="EQ110" s="1047">
        <f t="shared" si="66"/>
        <v>0</v>
      </c>
      <c r="ER110" s="1047">
        <f t="shared" si="66"/>
        <v>0</v>
      </c>
      <c r="ES110" s="1047">
        <f t="shared" si="66"/>
        <v>0</v>
      </c>
      <c r="ET110" s="1047">
        <f t="shared" si="66"/>
        <v>0.12</v>
      </c>
      <c r="EU110" s="1047">
        <f t="shared" si="66"/>
        <v>0</v>
      </c>
      <c r="EV110" s="1047">
        <f t="shared" si="66"/>
        <v>0</v>
      </c>
      <c r="EW110" s="1047">
        <f t="shared" si="66"/>
        <v>0</v>
      </c>
      <c r="EX110" s="1047">
        <f t="shared" si="66"/>
        <v>0</v>
      </c>
      <c r="EY110" s="1047">
        <f t="shared" si="66"/>
        <v>0</v>
      </c>
      <c r="EZ110" s="1047">
        <f t="shared" si="66"/>
        <v>0</v>
      </c>
      <c r="FA110" s="1047">
        <f t="shared" si="66"/>
        <v>0</v>
      </c>
      <c r="FB110" s="1047">
        <f t="shared" si="66"/>
        <v>0</v>
      </c>
      <c r="FC110" s="1047">
        <f t="shared" si="66"/>
        <v>0</v>
      </c>
      <c r="FD110" s="1047">
        <f t="shared" si="66"/>
        <v>0</v>
      </c>
      <c r="FE110" s="1047">
        <f t="shared" si="66"/>
        <v>0</v>
      </c>
      <c r="FF110" s="1047">
        <f t="shared" si="66"/>
        <v>0</v>
      </c>
      <c r="FG110" s="1047">
        <f t="shared" si="66"/>
        <v>0</v>
      </c>
      <c r="FH110" s="1047">
        <f t="shared" si="66"/>
        <v>0</v>
      </c>
      <c r="FI110" s="1047">
        <f t="shared" si="66"/>
        <v>0</v>
      </c>
      <c r="FJ110" s="1047">
        <f t="shared" si="66"/>
        <v>0.12</v>
      </c>
      <c r="FK110" s="1047">
        <f t="shared" si="66"/>
        <v>0.12</v>
      </c>
      <c r="FL110" s="1047">
        <f t="shared" si="66"/>
        <v>0</v>
      </c>
      <c r="FM110" s="1047">
        <f t="shared" si="66"/>
        <v>0.12</v>
      </c>
      <c r="FN110" s="1047">
        <f t="shared" si="66"/>
        <v>0</v>
      </c>
      <c r="FO110" s="1047">
        <f t="shared" si="66"/>
        <v>0</v>
      </c>
      <c r="FY110" s="1047">
        <f>+IF(FY3&gt;=2015,$C$112,0)</f>
        <v>0.12</v>
      </c>
    </row>
    <row r="112" spans="1:183" x14ac:dyDescent="0.2">
      <c r="B112" s="1047">
        <v>0.15</v>
      </c>
      <c r="C112" s="1047">
        <v>0.12</v>
      </c>
    </row>
    <row r="113" spans="1:182" s="54" customFormat="1" hidden="1" x14ac:dyDescent="0.2">
      <c r="A113" s="439"/>
      <c r="B113" s="532"/>
      <c r="C113" s="725">
        <v>0.15</v>
      </c>
      <c r="D113" s="725">
        <v>0.12</v>
      </c>
      <c r="AA113" s="532"/>
      <c r="AD113" s="532"/>
      <c r="AL113" s="532"/>
      <c r="AM113" s="532"/>
      <c r="AN113" s="532"/>
      <c r="AS113" s="532"/>
      <c r="AX113" s="532"/>
      <c r="BC113" s="532"/>
      <c r="BL113" s="532"/>
      <c r="BM113" s="532"/>
      <c r="BN113" s="532"/>
      <c r="BT113" s="532"/>
      <c r="BV113" s="532"/>
      <c r="BX113" s="532"/>
      <c r="CB113" s="532"/>
      <c r="CD113" s="532"/>
      <c r="CK113" s="532"/>
      <c r="CM113" s="532"/>
      <c r="CN113" s="532"/>
      <c r="CO113" s="532"/>
      <c r="CP113" s="532"/>
      <c r="CW113" s="532"/>
      <c r="CX113" s="532"/>
      <c r="DB113" s="532"/>
      <c r="DJ113" s="532"/>
      <c r="DO113" s="532"/>
      <c r="DT113" s="532"/>
      <c r="DZ113" s="532"/>
      <c r="EC113" s="532"/>
      <c r="EF113" s="532"/>
      <c r="EG113" s="532"/>
      <c r="EI113" s="532"/>
      <c r="EV113" s="532"/>
      <c r="EW113" s="532"/>
      <c r="EX113" s="532"/>
      <c r="EY113" s="532"/>
      <c r="FD113" s="532"/>
      <c r="FG113" s="532"/>
      <c r="FO113" s="532"/>
      <c r="FP113" s="532"/>
      <c r="FQ113" s="532"/>
      <c r="FR113" s="532"/>
      <c r="FS113"/>
      <c r="FU113" s="532"/>
      <c r="FV113" s="532"/>
    </row>
    <row r="114" spans="1:182" s="54" customFormat="1" hidden="1" x14ac:dyDescent="0.2">
      <c r="A114" s="439"/>
      <c r="B114" s="532"/>
      <c r="C114" s="725">
        <v>0.14000000000000001</v>
      </c>
      <c r="D114" s="725">
        <v>0.11</v>
      </c>
      <c r="AA114" s="532"/>
      <c r="AD114" s="532"/>
      <c r="AL114" s="532"/>
      <c r="AM114" s="532"/>
      <c r="AN114" s="532"/>
      <c r="AS114" s="532"/>
      <c r="AX114" s="532"/>
      <c r="BC114" s="532"/>
      <c r="BL114" s="532"/>
      <c r="BM114" s="532"/>
      <c r="BN114" s="532"/>
      <c r="BT114" s="532"/>
      <c r="BV114" s="532"/>
      <c r="BX114" s="532"/>
      <c r="CB114" s="532"/>
      <c r="CD114" s="532"/>
      <c r="CK114" s="532"/>
      <c r="CM114" s="532"/>
      <c r="CN114" s="532"/>
      <c r="CO114" s="532"/>
      <c r="CP114" s="532"/>
      <c r="CW114" s="532"/>
      <c r="CX114" s="532"/>
      <c r="DB114" s="532"/>
      <c r="DJ114" s="532"/>
      <c r="DO114" s="532"/>
      <c r="DT114" s="532"/>
      <c r="DZ114" s="532"/>
      <c r="EC114" s="532"/>
      <c r="EF114" s="532"/>
      <c r="EG114" s="532"/>
      <c r="EI114" s="532"/>
      <c r="EV114" s="532"/>
      <c r="EW114" s="532"/>
      <c r="EX114" s="532"/>
      <c r="EY114" s="532"/>
      <c r="FD114" s="532"/>
      <c r="FG114" s="532"/>
      <c r="FO114" s="532"/>
      <c r="FP114" s="532"/>
      <c r="FQ114" s="532"/>
      <c r="FR114" s="532"/>
      <c r="FS114"/>
      <c r="FU114" s="532"/>
      <c r="FV114" s="532"/>
    </row>
    <row r="115" spans="1:182" s="54" customFormat="1" hidden="1" x14ac:dyDescent="0.2">
      <c r="A115" s="439"/>
      <c r="B115" s="532"/>
      <c r="C115" s="725">
        <v>0.13</v>
      </c>
      <c r="D115" s="725">
        <v>0.1</v>
      </c>
      <c r="AA115" s="532"/>
      <c r="AD115" s="532"/>
      <c r="AL115" s="532"/>
      <c r="AM115" s="532"/>
      <c r="AN115" s="532"/>
      <c r="AS115" s="532"/>
      <c r="AX115" s="532"/>
      <c r="BC115" s="532"/>
      <c r="BL115" s="532"/>
      <c r="BM115" s="532"/>
      <c r="BN115" s="532"/>
      <c r="BT115" s="532"/>
      <c r="BV115" s="532"/>
      <c r="BX115" s="532"/>
      <c r="CB115" s="532"/>
      <c r="CD115" s="532"/>
      <c r="CK115" s="532"/>
      <c r="CM115" s="532"/>
      <c r="CN115" s="532"/>
      <c r="CO115" s="532"/>
      <c r="CP115" s="532"/>
      <c r="CW115" s="532"/>
      <c r="CX115" s="532"/>
      <c r="DB115" s="532"/>
      <c r="DJ115" s="532"/>
      <c r="DO115" s="532"/>
      <c r="DT115" s="532"/>
      <c r="DZ115" s="532"/>
      <c r="EC115" s="532"/>
      <c r="EF115" s="532"/>
      <c r="EG115" s="532"/>
      <c r="EI115" s="532"/>
      <c r="EV115" s="532"/>
      <c r="EW115" s="532"/>
      <c r="EX115" s="532"/>
      <c r="EY115" s="532"/>
      <c r="FD115" s="532"/>
      <c r="FG115" s="532"/>
      <c r="FO115" s="532"/>
      <c r="FP115" s="532"/>
      <c r="FQ115" s="532"/>
      <c r="FR115" s="532"/>
      <c r="FS115"/>
      <c r="FU115" s="532"/>
      <c r="FV115" s="532"/>
    </row>
    <row r="116" spans="1:182" s="54" customFormat="1" hidden="1" x14ac:dyDescent="0.2">
      <c r="C116" s="725">
        <v>0.12</v>
      </c>
      <c r="D116" s="725">
        <v>0.09</v>
      </c>
      <c r="AD116" s="532"/>
      <c r="AF116" s="532"/>
      <c r="FS116"/>
    </row>
    <row r="117" spans="1:182" s="54" customFormat="1" x14ac:dyDescent="0.2">
      <c r="A117" s="439"/>
      <c r="B117" s="607"/>
      <c r="AA117" s="532"/>
      <c r="AD117" s="532"/>
      <c r="AL117" s="532"/>
      <c r="AM117" s="532"/>
      <c r="AN117" s="532"/>
      <c r="AS117" s="532"/>
      <c r="AX117" s="532"/>
      <c r="BC117" s="532"/>
      <c r="BL117" s="532"/>
      <c r="BM117" s="532"/>
      <c r="BN117" s="532"/>
      <c r="BT117" s="532"/>
      <c r="BV117" s="532"/>
      <c r="BX117" s="532"/>
      <c r="CB117" s="532"/>
      <c r="CD117" s="532"/>
      <c r="CK117" s="532"/>
      <c r="CM117" s="532"/>
      <c r="CN117" s="532"/>
      <c r="CO117" s="532"/>
      <c r="CP117" s="532"/>
      <c r="CW117" s="532"/>
      <c r="CX117" s="532"/>
      <c r="DB117" s="532"/>
      <c r="DJ117" s="532"/>
      <c r="DO117" s="532"/>
      <c r="DT117" s="532"/>
      <c r="DZ117" s="532"/>
      <c r="EC117" s="532"/>
      <c r="EF117" s="532"/>
      <c r="EG117" s="532"/>
      <c r="EI117" s="532"/>
      <c r="EV117" s="532"/>
      <c r="EW117" s="532"/>
      <c r="EX117" s="532"/>
      <c r="EY117" s="532"/>
      <c r="FD117" s="532"/>
      <c r="FG117" s="532"/>
      <c r="FO117" s="532"/>
      <c r="FP117" s="532"/>
      <c r="FQ117" s="532"/>
      <c r="FR117" s="532"/>
      <c r="FS117"/>
      <c r="FU117" s="532"/>
      <c r="FV117" s="532"/>
    </row>
    <row r="119" spans="1:182" s="54" customFormat="1" x14ac:dyDescent="0.2">
      <c r="A119" s="439"/>
      <c r="B119" s="1590">
        <f>0.0333333333333333*6</f>
        <v>0.19999999999999979</v>
      </c>
      <c r="C119" s="1047">
        <f>1/30*5</f>
        <v>0.16666666666666666</v>
      </c>
      <c r="D119" s="1047">
        <f>1/30*4</f>
        <v>0.13333333333333333</v>
      </c>
      <c r="AA119" s="532"/>
      <c r="AD119" s="532"/>
      <c r="AL119" s="532"/>
      <c r="AM119" s="532"/>
      <c r="AN119" s="532"/>
      <c r="AS119" s="532"/>
      <c r="AX119" s="532"/>
      <c r="BC119" s="532"/>
      <c r="BL119" s="532"/>
      <c r="BM119" s="532"/>
      <c r="BN119" s="532"/>
      <c r="BT119" s="532"/>
      <c r="BV119" s="532"/>
      <c r="BX119" s="532"/>
      <c r="CB119" s="532"/>
      <c r="CD119" s="532"/>
      <c r="CK119" s="532"/>
      <c r="CM119" s="532"/>
      <c r="CN119" s="532"/>
      <c r="CO119" s="532"/>
      <c r="CP119" s="532"/>
      <c r="CW119" s="532"/>
      <c r="CX119" s="532"/>
      <c r="DB119" s="532"/>
      <c r="DJ119" s="532"/>
      <c r="DO119" s="532"/>
      <c r="DT119" s="532"/>
      <c r="DZ119" s="532"/>
      <c r="EC119" s="532"/>
      <c r="EF119" s="532"/>
      <c r="EG119" s="532"/>
      <c r="EI119" s="532"/>
      <c r="EV119" s="532"/>
      <c r="EW119" s="532"/>
      <c r="EX119" s="532"/>
      <c r="EY119" s="532"/>
      <c r="FD119" s="532"/>
      <c r="FG119" s="532"/>
      <c r="FO119" s="532"/>
      <c r="FP119" s="532"/>
      <c r="FQ119" s="532"/>
      <c r="FR119" s="532"/>
      <c r="FS119"/>
      <c r="FU119" s="532"/>
      <c r="FV119" s="532"/>
    </row>
    <row r="121" spans="1:182" x14ac:dyDescent="0.2">
      <c r="FW121" s="54"/>
      <c r="FX121" s="54"/>
      <c r="FZ121" s="54"/>
    </row>
  </sheetData>
  <phoneticPr fontId="0" type="noConversion"/>
  <dataValidations disablePrompts="1" count="2">
    <dataValidation type="list" allowBlank="1" showInputMessage="1" showErrorMessage="1" sqref="B112">
      <formula1>$C$113:$C$116</formula1>
    </dataValidation>
    <dataValidation type="list" allowBlank="1" showInputMessage="1" showErrorMessage="1" sqref="C112">
      <formula1>$D$113:$D$116</formula1>
    </dataValidation>
  </dataValidations>
  <pageMargins left="0.7" right="0.7" top="0.75" bottom="0.75" header="0.3" footer="0.3"/>
  <pageSetup paperSize="9" orientation="portrait" r:id="rId1"/>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Y219"/>
  <sheetViews>
    <sheetView rightToLeft="1" workbookViewId="0">
      <pane xSplit="4" ySplit="8" topLeftCell="Q176" activePane="bottomRight" state="frozen"/>
      <selection pane="topRight" activeCell="E1" sqref="E1"/>
      <selection pane="bottomLeft" activeCell="A9" sqref="A9"/>
      <selection pane="bottomRight" activeCell="W209" sqref="W209"/>
    </sheetView>
  </sheetViews>
  <sheetFormatPr defaultColWidth="8.85546875" defaultRowHeight="12.75" x14ac:dyDescent="0.2"/>
  <cols>
    <col min="1" max="1" width="8.85546875" style="1085"/>
    <col min="2" max="2" width="6.5703125" style="1086" customWidth="1"/>
    <col min="3" max="3" width="11.85546875" style="1087" customWidth="1"/>
    <col min="4" max="4" width="6.140625" style="1088" customWidth="1"/>
    <col min="5" max="5" width="14" style="1088" bestFit="1" customWidth="1"/>
    <col min="6" max="6" width="9.85546875" style="1089" customWidth="1"/>
    <col min="7" max="7" width="11" style="1088" customWidth="1"/>
    <col min="8" max="8" width="12.42578125" style="1088" customWidth="1"/>
    <col min="9" max="9" width="12.28515625" style="1088" customWidth="1"/>
    <col min="10" max="10" width="12.140625" style="1088" customWidth="1"/>
    <col min="11" max="11" width="12.28515625" style="1088" customWidth="1"/>
    <col min="12" max="12" width="11" style="1088" customWidth="1"/>
    <col min="13" max="13" width="10.140625" style="1088" customWidth="1"/>
    <col min="14" max="14" width="12.28515625" style="1088" customWidth="1"/>
    <col min="15" max="15" width="11" style="1088" customWidth="1"/>
    <col min="16" max="16" width="6.140625" style="1090" customWidth="1"/>
    <col min="17" max="19" width="10.7109375" style="1090" customWidth="1"/>
    <col min="20" max="20" width="13.7109375" style="1088" bestFit="1" customWidth="1"/>
    <col min="21" max="22" width="11.28515625" style="1088" bestFit="1" customWidth="1"/>
    <col min="23" max="23" width="12.28515625" style="56" customWidth="1"/>
    <col min="24" max="24" width="14.28515625" style="1088" bestFit="1" customWidth="1"/>
    <col min="25" max="16384" width="8.85546875" style="1088"/>
  </cols>
  <sheetData>
    <row r="2" spans="1:25" x14ac:dyDescent="0.2">
      <c r="Q2" s="1091"/>
    </row>
    <row r="3" spans="1:25" ht="21.75" customHeight="1" x14ac:dyDescent="0.35">
      <c r="B3" s="1814" t="s">
        <v>1531</v>
      </c>
      <c r="C3" s="1814"/>
      <c r="D3" s="1814"/>
      <c r="E3" s="1814"/>
      <c r="F3" s="1814"/>
      <c r="G3" s="1814"/>
      <c r="H3" s="1814"/>
      <c r="I3" s="1814"/>
      <c r="J3" s="1814"/>
      <c r="K3" s="1814"/>
      <c r="L3" s="1814"/>
      <c r="M3" s="1814"/>
      <c r="N3" s="1814"/>
      <c r="O3" s="1814"/>
      <c r="P3" s="1814"/>
      <c r="Q3" s="1814"/>
      <c r="R3" s="1814"/>
      <c r="S3" s="1814"/>
    </row>
    <row r="4" spans="1:25" ht="18" x14ac:dyDescent="0.2">
      <c r="C4" s="1092" t="s">
        <v>557</v>
      </c>
      <c r="H4" s="1093"/>
    </row>
    <row r="5" spans="1:25" ht="12" customHeight="1" thickBot="1" x14ac:dyDescent="0.25">
      <c r="C5" s="1094"/>
    </row>
    <row r="6" spans="1:25" s="1103" customFormat="1" ht="17.100000000000001" customHeight="1" x14ac:dyDescent="0.25">
      <c r="A6" s="1095"/>
      <c r="B6" s="1096" t="s">
        <v>282</v>
      </c>
      <c r="C6" s="1097"/>
      <c r="D6" s="1098" t="s">
        <v>282</v>
      </c>
      <c r="E6" s="1098"/>
      <c r="F6" s="1099" t="s">
        <v>283</v>
      </c>
      <c r="G6" s="1098" t="s">
        <v>284</v>
      </c>
      <c r="H6" s="1098" t="s">
        <v>284</v>
      </c>
      <c r="I6" s="1098" t="s">
        <v>164</v>
      </c>
      <c r="J6" s="1098" t="s">
        <v>285</v>
      </c>
      <c r="K6" s="1098" t="s">
        <v>285</v>
      </c>
      <c r="L6" s="1098" t="s">
        <v>285</v>
      </c>
      <c r="M6" s="1098" t="s">
        <v>285</v>
      </c>
      <c r="N6" s="1098" t="s">
        <v>286</v>
      </c>
      <c r="O6" s="1098" t="s">
        <v>164</v>
      </c>
      <c r="P6" s="1100" t="s">
        <v>164</v>
      </c>
      <c r="Q6" s="1100" t="s">
        <v>287</v>
      </c>
      <c r="R6" s="1100" t="s">
        <v>288</v>
      </c>
      <c r="S6" s="1101" t="s">
        <v>288</v>
      </c>
      <c r="T6" s="1102" t="s">
        <v>502</v>
      </c>
      <c r="U6" s="1102" t="s">
        <v>373</v>
      </c>
      <c r="V6" s="1102" t="s">
        <v>372</v>
      </c>
      <c r="W6" s="823"/>
    </row>
    <row r="7" spans="1:25" s="1103" customFormat="1" ht="17.100000000000001" customHeight="1" x14ac:dyDescent="0.25">
      <c r="A7" s="1095"/>
      <c r="B7" s="1104" t="s">
        <v>289</v>
      </c>
      <c r="C7" s="1105" t="s">
        <v>556</v>
      </c>
      <c r="D7" s="1106" t="s">
        <v>291</v>
      </c>
      <c r="E7" s="1106" t="s">
        <v>290</v>
      </c>
      <c r="F7" s="1107">
        <v>2013</v>
      </c>
      <c r="G7" s="1106" t="s">
        <v>292</v>
      </c>
      <c r="H7" s="1106" t="s">
        <v>293</v>
      </c>
      <c r="I7" s="1106" t="s">
        <v>284</v>
      </c>
      <c r="J7" s="1106" t="s">
        <v>294</v>
      </c>
      <c r="K7" s="1106" t="s">
        <v>1532</v>
      </c>
      <c r="L7" s="1106" t="s">
        <v>296</v>
      </c>
      <c r="M7" s="1106" t="s">
        <v>297</v>
      </c>
      <c r="N7" s="1106" t="s">
        <v>285</v>
      </c>
      <c r="O7" s="1106" t="s">
        <v>298</v>
      </c>
      <c r="P7" s="1108" t="s">
        <v>298</v>
      </c>
      <c r="Q7" s="1108" t="s">
        <v>299</v>
      </c>
      <c r="R7" s="827" t="s">
        <v>1532</v>
      </c>
      <c r="S7" s="1109" t="s">
        <v>1533</v>
      </c>
      <c r="T7" s="1110" t="s">
        <v>553</v>
      </c>
      <c r="U7" s="1110" t="s">
        <v>375</v>
      </c>
      <c r="V7" s="1110" t="s">
        <v>1534</v>
      </c>
      <c r="W7" s="825"/>
    </row>
    <row r="8" spans="1:25" s="1103" customFormat="1" ht="17.100000000000001" customHeight="1" thickBot="1" x14ac:dyDescent="0.3">
      <c r="A8" s="1095"/>
      <c r="B8" s="1104"/>
      <c r="C8" s="1105"/>
      <c r="D8" s="1106"/>
      <c r="E8" s="1106"/>
      <c r="F8" s="1111" t="s">
        <v>300</v>
      </c>
      <c r="G8" s="1106" t="s">
        <v>301</v>
      </c>
      <c r="H8" s="1106" t="s">
        <v>301</v>
      </c>
      <c r="I8" s="1106" t="s">
        <v>301</v>
      </c>
      <c r="J8" s="1106" t="s">
        <v>301</v>
      </c>
      <c r="K8" s="1106" t="s">
        <v>301</v>
      </c>
      <c r="L8" s="1106" t="s">
        <v>301</v>
      </c>
      <c r="M8" s="1106" t="s">
        <v>301</v>
      </c>
      <c r="N8" s="1106" t="s">
        <v>301</v>
      </c>
      <c r="O8" s="1106" t="s">
        <v>301</v>
      </c>
      <c r="P8" s="1108" t="s">
        <v>302</v>
      </c>
      <c r="Q8" s="1108" t="s">
        <v>303</v>
      </c>
      <c r="R8" s="1108" t="s">
        <v>303</v>
      </c>
      <c r="S8" s="1109" t="s">
        <v>303</v>
      </c>
      <c r="T8" s="1112" t="s">
        <v>301</v>
      </c>
      <c r="U8" s="1112" t="s">
        <v>301</v>
      </c>
      <c r="V8" s="1112" t="s">
        <v>301</v>
      </c>
      <c r="W8" s="824" t="s">
        <v>1013</v>
      </c>
      <c r="X8" s="1103" t="s">
        <v>1564</v>
      </c>
    </row>
    <row r="9" spans="1:25" ht="17.100000000000001" customHeight="1" x14ac:dyDescent="0.25">
      <c r="A9" s="1085">
        <v>2014</v>
      </c>
      <c r="B9" s="1113">
        <v>1</v>
      </c>
      <c r="C9" s="1114"/>
      <c r="D9" s="1115">
        <v>639</v>
      </c>
      <c r="E9" s="38" t="s">
        <v>88</v>
      </c>
      <c r="F9" s="1116">
        <v>13045</v>
      </c>
      <c r="G9" s="1117">
        <v>0</v>
      </c>
      <c r="H9" s="1117">
        <v>918710</v>
      </c>
      <c r="I9" s="1117">
        <v>918710</v>
      </c>
      <c r="J9" s="1117">
        <v>641903</v>
      </c>
      <c r="K9" s="1117">
        <v>715568</v>
      </c>
      <c r="L9" s="1117">
        <v>0</v>
      </c>
      <c r="M9" s="1117">
        <v>10649</v>
      </c>
      <c r="N9" s="1117">
        <v>726217</v>
      </c>
      <c r="O9" s="1117">
        <v>192493</v>
      </c>
      <c r="P9" s="1118">
        <v>20.952531266667393</v>
      </c>
      <c r="Q9" s="1118">
        <v>49.206822537370641</v>
      </c>
      <c r="R9" s="1118">
        <v>54.853813721732465</v>
      </c>
      <c r="S9" s="1119">
        <v>69.60988884630126</v>
      </c>
      <c r="T9" s="1120">
        <v>0</v>
      </c>
      <c r="U9" s="1120">
        <v>11551</v>
      </c>
      <c r="V9" s="1121">
        <v>21362</v>
      </c>
      <c r="W9" s="69"/>
    </row>
    <row r="10" spans="1:25" ht="17.100000000000001" customHeight="1" x14ac:dyDescent="0.25">
      <c r="B10" s="1122"/>
      <c r="C10" s="1123"/>
      <c r="D10" s="1124"/>
      <c r="E10" s="38" t="s">
        <v>96</v>
      </c>
      <c r="F10" s="1125">
        <v>5975</v>
      </c>
      <c r="G10" s="1125">
        <v>0</v>
      </c>
      <c r="H10" s="1125">
        <v>524417</v>
      </c>
      <c r="I10" s="1125">
        <v>524417</v>
      </c>
      <c r="J10" s="1125">
        <v>279277</v>
      </c>
      <c r="K10" s="1125">
        <v>345357</v>
      </c>
      <c r="L10" s="1125">
        <v>18960</v>
      </c>
      <c r="M10" s="1125">
        <v>1734</v>
      </c>
      <c r="N10" s="1125">
        <v>366051</v>
      </c>
      <c r="O10" s="1125">
        <v>158366</v>
      </c>
      <c r="P10" s="1126">
        <v>30.198487081845172</v>
      </c>
      <c r="Q10" s="1126">
        <v>46.740920502092052</v>
      </c>
      <c r="R10" s="1126">
        <v>57.800334728033469</v>
      </c>
      <c r="S10" s="1127">
        <v>84.305104602510454</v>
      </c>
      <c r="T10" s="1128">
        <v>415</v>
      </c>
      <c r="U10" s="1128">
        <v>32378</v>
      </c>
      <c r="V10" s="1129">
        <v>7666</v>
      </c>
      <c r="W10" s="69"/>
    </row>
    <row r="11" spans="1:25" s="1132" customFormat="1" ht="17.100000000000001" customHeight="1" x14ac:dyDescent="0.25">
      <c r="A11" s="1085"/>
      <c r="B11" s="1122"/>
      <c r="C11" s="1123"/>
      <c r="D11" s="1124"/>
      <c r="E11" s="38" t="s">
        <v>90</v>
      </c>
      <c r="F11" s="1130">
        <v>9267</v>
      </c>
      <c r="G11" s="1130">
        <v>0</v>
      </c>
      <c r="H11" s="1130">
        <v>672509</v>
      </c>
      <c r="I11" s="1125">
        <v>672509</v>
      </c>
      <c r="J11" s="1130">
        <v>496048</v>
      </c>
      <c r="K11" s="1130">
        <v>583633</v>
      </c>
      <c r="L11" s="1130">
        <v>0</v>
      </c>
      <c r="M11" s="1130">
        <v>1887</v>
      </c>
      <c r="N11" s="1125">
        <v>585520</v>
      </c>
      <c r="O11" s="1130">
        <v>86989</v>
      </c>
      <c r="P11" s="1131">
        <v>12.93499417851657</v>
      </c>
      <c r="Q11" s="1131">
        <v>53.528434228984565</v>
      </c>
      <c r="R11" s="1131">
        <v>62.979712959965468</v>
      </c>
      <c r="S11" s="1127">
        <v>72.366677457645409</v>
      </c>
      <c r="T11" s="1128">
        <v>0</v>
      </c>
      <c r="U11" s="1128">
        <v>49556</v>
      </c>
      <c r="V11" s="1129">
        <v>18816</v>
      </c>
      <c r="W11" s="69"/>
    </row>
    <row r="12" spans="1:25" ht="17.100000000000001" customHeight="1" x14ac:dyDescent="0.25">
      <c r="B12" s="1122"/>
      <c r="C12" s="1123"/>
      <c r="D12" s="1124"/>
      <c r="E12" s="38" t="s">
        <v>91</v>
      </c>
      <c r="F12" s="1125">
        <v>15806</v>
      </c>
      <c r="G12" s="1125">
        <v>0</v>
      </c>
      <c r="H12" s="1125">
        <v>1518428</v>
      </c>
      <c r="I12" s="1125">
        <v>1518428</v>
      </c>
      <c r="J12" s="1125">
        <v>714077</v>
      </c>
      <c r="K12" s="1125">
        <v>1037636</v>
      </c>
      <c r="L12" s="1125">
        <v>63170</v>
      </c>
      <c r="M12" s="1125">
        <v>76504</v>
      </c>
      <c r="N12" s="1125">
        <v>1177310</v>
      </c>
      <c r="O12" s="1125">
        <v>341118</v>
      </c>
      <c r="P12" s="1126">
        <v>22.465207438219</v>
      </c>
      <c r="Q12" s="1126">
        <v>45.177590788308237</v>
      </c>
      <c r="R12" s="1126">
        <v>65.648234847526254</v>
      </c>
      <c r="S12" s="1127">
        <v>87.229786157155516</v>
      </c>
      <c r="T12" s="1128">
        <v>1172</v>
      </c>
      <c r="U12" s="1128">
        <v>85197</v>
      </c>
      <c r="V12" s="1129">
        <v>33170</v>
      </c>
      <c r="W12" s="69"/>
    </row>
    <row r="13" spans="1:25" ht="17.100000000000001" customHeight="1" x14ac:dyDescent="0.25">
      <c r="B13" s="1122"/>
      <c r="C13" s="1123"/>
      <c r="D13" s="1124"/>
      <c r="E13" s="38" t="s">
        <v>69</v>
      </c>
      <c r="F13" s="1125">
        <v>19552</v>
      </c>
      <c r="G13" s="1125">
        <v>0</v>
      </c>
      <c r="H13" s="1125">
        <v>1436285</v>
      </c>
      <c r="I13" s="1125">
        <v>1436285</v>
      </c>
      <c r="J13" s="1125">
        <v>863656</v>
      </c>
      <c r="K13" s="1125">
        <v>964517</v>
      </c>
      <c r="L13" s="1125">
        <v>0</v>
      </c>
      <c r="M13" s="1125">
        <v>36074</v>
      </c>
      <c r="N13" s="1125">
        <v>1000591</v>
      </c>
      <c r="O13" s="1125">
        <v>435694</v>
      </c>
      <c r="P13" s="1126">
        <v>30.334787315887862</v>
      </c>
      <c r="Q13" s="1126">
        <v>44.172258592471358</v>
      </c>
      <c r="R13" s="1126">
        <v>49.330861292962354</v>
      </c>
      <c r="S13" s="1127">
        <v>71.614719721767599</v>
      </c>
      <c r="T13" s="1128">
        <v>0</v>
      </c>
      <c r="U13" s="1128">
        <v>21898</v>
      </c>
      <c r="V13" s="1129">
        <v>32635</v>
      </c>
      <c r="W13" s="69"/>
    </row>
    <row r="14" spans="1:25" ht="17.100000000000001" customHeight="1" x14ac:dyDescent="0.25">
      <c r="B14" s="1122"/>
      <c r="C14" s="1123"/>
      <c r="D14" s="1124"/>
      <c r="E14" s="38" t="s">
        <v>142</v>
      </c>
      <c r="F14" s="359">
        <v>3547</v>
      </c>
      <c r="G14" s="359">
        <v>0</v>
      </c>
      <c r="H14" s="359">
        <v>321343</v>
      </c>
      <c r="I14" s="822">
        <v>321343</v>
      </c>
      <c r="J14" s="359">
        <v>180095</v>
      </c>
      <c r="K14" s="359">
        <v>225012</v>
      </c>
      <c r="L14" s="359">
        <v>0</v>
      </c>
      <c r="M14" s="359">
        <v>32619</v>
      </c>
      <c r="N14" s="1125">
        <v>257631</v>
      </c>
      <c r="O14" s="1125">
        <v>63712</v>
      </c>
      <c r="P14" s="1126">
        <v>19.826789443056171</v>
      </c>
      <c r="Q14" s="1126">
        <v>50.773893431068508</v>
      </c>
      <c r="R14" s="1126">
        <v>63.437270933182972</v>
      </c>
      <c r="S14" s="1127">
        <v>81.399492528897653</v>
      </c>
      <c r="T14" s="1128">
        <v>0</v>
      </c>
      <c r="U14" s="1128">
        <v>5105</v>
      </c>
      <c r="V14" s="1129">
        <v>4542</v>
      </c>
      <c r="W14" s="69"/>
    </row>
    <row r="15" spans="1:25" ht="17.100000000000001" customHeight="1" x14ac:dyDescent="0.25">
      <c r="B15" s="1122"/>
      <c r="C15" s="1123"/>
      <c r="D15" s="1124"/>
      <c r="E15" s="38" t="s">
        <v>131</v>
      </c>
      <c r="F15" s="822">
        <v>6092</v>
      </c>
      <c r="G15" s="822">
        <v>0</v>
      </c>
      <c r="H15" s="822">
        <v>490964</v>
      </c>
      <c r="I15" s="822">
        <v>490964</v>
      </c>
      <c r="J15" s="822">
        <v>267568</v>
      </c>
      <c r="K15" s="822">
        <v>301751</v>
      </c>
      <c r="L15" s="822">
        <v>0</v>
      </c>
      <c r="M15" s="822">
        <v>11220</v>
      </c>
      <c r="N15" s="822">
        <v>312971</v>
      </c>
      <c r="O15" s="822">
        <v>177993</v>
      </c>
      <c r="P15" s="826">
        <v>36.253778281095968</v>
      </c>
      <c r="Q15" s="826">
        <v>43.921208141825346</v>
      </c>
      <c r="R15" s="826">
        <v>49.532337491792518</v>
      </c>
      <c r="S15" s="1127">
        <v>78.749835850295469</v>
      </c>
      <c r="T15" s="1128">
        <v>1053</v>
      </c>
      <c r="U15" s="1128">
        <v>6776</v>
      </c>
      <c r="V15" s="1129">
        <v>9108</v>
      </c>
      <c r="W15" s="69"/>
    </row>
    <row r="16" spans="1:25" ht="17.100000000000001" customHeight="1" x14ac:dyDescent="0.25">
      <c r="B16" s="1133"/>
      <c r="C16" s="1134" t="s">
        <v>250</v>
      </c>
      <c r="D16" s="1135"/>
      <c r="E16" s="1136" t="s">
        <v>535</v>
      </c>
      <c r="F16" s="1137">
        <v>73284</v>
      </c>
      <c r="G16" s="1137">
        <v>0</v>
      </c>
      <c r="H16" s="1137">
        <v>5882656</v>
      </c>
      <c r="I16" s="1137">
        <v>5882656</v>
      </c>
      <c r="J16" s="1137">
        <v>3442624</v>
      </c>
      <c r="K16" s="1137">
        <v>4173474</v>
      </c>
      <c r="L16" s="1137">
        <v>82130</v>
      </c>
      <c r="M16" s="1137">
        <v>170687</v>
      </c>
      <c r="N16" s="1137">
        <v>4426291</v>
      </c>
      <c r="O16" s="1137">
        <v>1456365</v>
      </c>
      <c r="P16" s="1138">
        <v>24.756929522990976</v>
      </c>
      <c r="Q16" s="1138">
        <v>46.976475083237816</v>
      </c>
      <c r="R16" s="1138">
        <v>56.949320451940395</v>
      </c>
      <c r="S16" s="1139">
        <v>76.822212215490424</v>
      </c>
      <c r="T16" s="1140">
        <v>2640</v>
      </c>
      <c r="U16" s="1140">
        <v>212461</v>
      </c>
      <c r="V16" s="1141">
        <v>127299</v>
      </c>
      <c r="W16" s="56">
        <f>+IFERROR(VLOOKUP(C16,'[18]מספר צרכנים'!$C:$G,3,0),"")</f>
        <v>18667</v>
      </c>
      <c r="X16" s="1088">
        <v>1.4373711780953913E-2</v>
      </c>
      <c r="Y16" s="1239"/>
    </row>
    <row r="17" spans="1:25" ht="17.100000000000001" customHeight="1" x14ac:dyDescent="0.25">
      <c r="A17" s="1085">
        <v>2014</v>
      </c>
      <c r="B17" s="1122">
        <v>2</v>
      </c>
      <c r="C17" s="1123"/>
      <c r="D17" s="1124">
        <v>8625</v>
      </c>
      <c r="E17" s="47" t="s">
        <v>64</v>
      </c>
      <c r="F17" s="1130">
        <v>829863</v>
      </c>
      <c r="G17" s="1130">
        <v>0</v>
      </c>
      <c r="H17" s="1130">
        <f>60957591-4800000</f>
        <v>56157591</v>
      </c>
      <c r="I17" s="1130">
        <f>60957591-4800000</f>
        <v>56157591</v>
      </c>
      <c r="J17" s="1130">
        <v>31342717</v>
      </c>
      <c r="K17" s="1130">
        <v>50546294</v>
      </c>
      <c r="L17" s="1130">
        <v>2924173</v>
      </c>
      <c r="M17" s="1130">
        <v>296806</v>
      </c>
      <c r="N17" s="1130">
        <v>53767273</v>
      </c>
      <c r="O17" s="1130">
        <v>7190318</v>
      </c>
      <c r="P17" s="1131">
        <v>11.795607211577636</v>
      </c>
      <c r="Q17" s="1131">
        <v>37.768543723482068</v>
      </c>
      <c r="R17" s="1131">
        <v>60.909203085328542</v>
      </c>
      <c r="S17" s="1127">
        <v>69.573666978766369</v>
      </c>
      <c r="T17" s="1128">
        <v>1528826</v>
      </c>
      <c r="U17" s="1128">
        <v>2533927</v>
      </c>
      <c r="V17" s="1129">
        <v>508442</v>
      </c>
      <c r="W17" s="56" t="str">
        <f>+IFERROR(VLOOKUP(C17,'[18]מספר צרכנים'!$C:$G,3,0),"")</f>
        <v/>
      </c>
      <c r="Y17" s="1239"/>
    </row>
    <row r="18" spans="1:25" s="1132" customFormat="1" ht="17.100000000000001" customHeight="1" x14ac:dyDescent="0.25">
      <c r="A18" s="1085"/>
      <c r="B18" s="1122"/>
      <c r="C18" s="1142"/>
      <c r="D18" s="1124"/>
      <c r="E18" s="47" t="s">
        <v>9</v>
      </c>
      <c r="F18" s="1130">
        <v>6600</v>
      </c>
      <c r="G18" s="1125">
        <v>0</v>
      </c>
      <c r="H18" s="1125">
        <v>436088</v>
      </c>
      <c r="I18" s="1125">
        <v>436088</v>
      </c>
      <c r="J18" s="1125">
        <v>284981</v>
      </c>
      <c r="K18" s="1125">
        <v>330344</v>
      </c>
      <c r="L18" s="1125">
        <v>0</v>
      </c>
      <c r="M18" s="1125">
        <v>1078</v>
      </c>
      <c r="N18" s="1125">
        <v>331422</v>
      </c>
      <c r="O18" s="1125">
        <v>104666</v>
      </c>
      <c r="P18" s="1126">
        <v>24.001119040193721</v>
      </c>
      <c r="Q18" s="1126">
        <v>43.178939393939395</v>
      </c>
      <c r="R18" s="1126">
        <v>50.052121212121214</v>
      </c>
      <c r="S18" s="1127">
        <v>65.910606060606057</v>
      </c>
      <c r="T18" s="1128">
        <v>321</v>
      </c>
      <c r="U18" s="1128">
        <v>22249</v>
      </c>
      <c r="V18" s="1129">
        <v>8476</v>
      </c>
      <c r="W18" s="56" t="str">
        <f>+IFERROR(VLOOKUP(C18,'[18]מספר צרכנים'!$C:$G,3,0),"")</f>
        <v/>
      </c>
      <c r="X18" s="1088"/>
      <c r="Y18" s="1239"/>
    </row>
    <row r="19" spans="1:25" s="1132" customFormat="1" ht="17.100000000000001" customHeight="1" x14ac:dyDescent="0.25">
      <c r="A19" s="1085"/>
      <c r="B19" s="1122"/>
      <c r="C19" s="1123"/>
      <c r="D19" s="1124"/>
      <c r="E19" s="47" t="s">
        <v>119</v>
      </c>
      <c r="F19" s="359">
        <v>24638</v>
      </c>
      <c r="G19" s="359">
        <v>0</v>
      </c>
      <c r="H19" s="359">
        <v>1869996</v>
      </c>
      <c r="I19" s="359">
        <v>1869996</v>
      </c>
      <c r="J19" s="359">
        <v>1520569</v>
      </c>
      <c r="K19" s="359">
        <v>1708282</v>
      </c>
      <c r="L19" s="359">
        <v>627</v>
      </c>
      <c r="M19" s="359">
        <v>0</v>
      </c>
      <c r="N19" s="359">
        <v>1708909</v>
      </c>
      <c r="O19" s="359">
        <v>161087</v>
      </c>
      <c r="P19" s="361">
        <v>8.6142965011689867</v>
      </c>
      <c r="Q19" s="361">
        <v>61.716413669940742</v>
      </c>
      <c r="R19" s="361">
        <v>69.335254484941956</v>
      </c>
      <c r="S19" s="1127">
        <v>75.873406932380874</v>
      </c>
      <c r="T19" s="1128">
        <v>57135</v>
      </c>
      <c r="U19" s="1128">
        <v>37375</v>
      </c>
      <c r="V19" s="1129">
        <v>36567</v>
      </c>
      <c r="W19" s="56" t="str">
        <f>+IFERROR(VLOOKUP(C19,'[18]מספר צרכנים'!$C:$G,3,0),"")</f>
        <v/>
      </c>
      <c r="X19" s="1088"/>
      <c r="Y19" s="1239"/>
    </row>
    <row r="20" spans="1:25" s="1132" customFormat="1" ht="17.100000000000001" customHeight="1" x14ac:dyDescent="0.25">
      <c r="A20" s="1085"/>
      <c r="B20" s="1133"/>
      <c r="C20" s="1134" t="s">
        <v>441</v>
      </c>
      <c r="D20" s="1135"/>
      <c r="E20" s="1136" t="s">
        <v>535</v>
      </c>
      <c r="F20" s="1143">
        <v>861101</v>
      </c>
      <c r="G20" s="1143">
        <v>0</v>
      </c>
      <c r="H20" s="1143">
        <f>SUM(H17:H19)</f>
        <v>58463675</v>
      </c>
      <c r="I20" s="1143">
        <f>SUM(I17:I19)</f>
        <v>58463675</v>
      </c>
      <c r="J20" s="1143">
        <v>33148267</v>
      </c>
      <c r="K20" s="1143">
        <v>52584920</v>
      </c>
      <c r="L20" s="1143">
        <v>2924800</v>
      </c>
      <c r="M20" s="1143">
        <v>297884</v>
      </c>
      <c r="N20" s="1143">
        <v>55807604</v>
      </c>
      <c r="O20" s="1143">
        <v>7456071</v>
      </c>
      <c r="P20" s="1138">
        <v>11.785706410511246</v>
      </c>
      <c r="Q20" s="1138">
        <v>38.495213685734889</v>
      </c>
      <c r="R20" s="1138">
        <v>61.067075755341129</v>
      </c>
      <c r="S20" s="1139">
        <v>69.725840522772586</v>
      </c>
      <c r="T20" s="1144">
        <v>1586282</v>
      </c>
      <c r="U20" s="1144">
        <v>2593551</v>
      </c>
      <c r="V20" s="1145">
        <v>553485</v>
      </c>
      <c r="W20" s="56">
        <f>+IFERROR(VLOOKUP(C20,'[18]מספר צרכנים'!$C:$G,3,0),"")</f>
        <v>209606</v>
      </c>
      <c r="X20" s="1088">
        <v>7.1050257622208023E-5</v>
      </c>
      <c r="Y20" s="1239"/>
    </row>
    <row r="21" spans="1:25" ht="17.100000000000001" customHeight="1" x14ac:dyDescent="0.25">
      <c r="A21" s="1085">
        <v>2014</v>
      </c>
      <c r="B21" s="1122">
        <v>3</v>
      </c>
      <c r="C21" s="1123"/>
      <c r="D21" s="1124">
        <v>765</v>
      </c>
      <c r="E21" s="38" t="s">
        <v>5</v>
      </c>
      <c r="F21" s="1130">
        <v>13095</v>
      </c>
      <c r="G21" s="1125">
        <v>0</v>
      </c>
      <c r="H21" s="1125">
        <v>882801</v>
      </c>
      <c r="I21" s="1125">
        <v>882801</v>
      </c>
      <c r="J21" s="1125">
        <v>575802</v>
      </c>
      <c r="K21" s="1125">
        <v>717568</v>
      </c>
      <c r="L21" s="1125">
        <v>0</v>
      </c>
      <c r="M21" s="1125">
        <v>51468</v>
      </c>
      <c r="N21" s="1125">
        <v>769036</v>
      </c>
      <c r="O21" s="1125">
        <v>113765</v>
      </c>
      <c r="P21" s="1126">
        <v>12.886822738080269</v>
      </c>
      <c r="Q21" s="1126">
        <v>43.971134020618557</v>
      </c>
      <c r="R21" s="1126">
        <v>54.797098129056891</v>
      </c>
      <c r="S21" s="1127">
        <v>63.484765177548681</v>
      </c>
      <c r="T21" s="1146">
        <v>51088</v>
      </c>
      <c r="U21" s="1146">
        <v>31823</v>
      </c>
      <c r="V21" s="1147">
        <v>525</v>
      </c>
      <c r="W21" s="56" t="str">
        <f>+IFERROR(VLOOKUP(C21,'[18]מספר צרכנים'!$C:$G,3,0),"")</f>
        <v/>
      </c>
      <c r="Y21" s="1239"/>
    </row>
    <row r="22" spans="1:25" s="1103" customFormat="1" ht="17.100000000000001" customHeight="1" x14ac:dyDescent="0.25">
      <c r="A22" s="1095"/>
      <c r="B22" s="1122"/>
      <c r="C22" s="1123"/>
      <c r="D22" s="1124"/>
      <c r="E22" s="38" t="s">
        <v>40</v>
      </c>
      <c r="F22" s="1130">
        <v>17759</v>
      </c>
      <c r="G22" s="1130">
        <v>0</v>
      </c>
      <c r="H22" s="1130">
        <v>1366975</v>
      </c>
      <c r="I22" s="1125">
        <v>1366975</v>
      </c>
      <c r="J22" s="1130">
        <v>814696</v>
      </c>
      <c r="K22" s="1130">
        <v>907445</v>
      </c>
      <c r="L22" s="1130">
        <v>128364</v>
      </c>
      <c r="M22" s="1130">
        <v>2802</v>
      </c>
      <c r="N22" s="1125">
        <v>1038611</v>
      </c>
      <c r="O22" s="1130">
        <v>328364</v>
      </c>
      <c r="P22" s="1131">
        <v>24.021214725945974</v>
      </c>
      <c r="Q22" s="1131">
        <v>45.875105580269157</v>
      </c>
      <c r="R22" s="1131">
        <v>51.097753251872291</v>
      </c>
      <c r="S22" s="1127">
        <v>69.587758319725211</v>
      </c>
      <c r="T22" s="1128">
        <v>0</v>
      </c>
      <c r="U22" s="1128">
        <v>54802</v>
      </c>
      <c r="V22" s="1129">
        <v>21407</v>
      </c>
      <c r="W22" s="56" t="str">
        <f>+IFERROR(VLOOKUP(C22,'[18]מספר צרכנים'!$C:$G,3,0),"")</f>
        <v/>
      </c>
      <c r="X22" s="1088"/>
      <c r="Y22" s="1239"/>
    </row>
    <row r="23" spans="1:25" ht="17.100000000000001" customHeight="1" x14ac:dyDescent="0.25">
      <c r="B23" s="1122"/>
      <c r="C23" s="1123"/>
      <c r="D23" s="1124"/>
      <c r="E23" s="38" t="s">
        <v>46</v>
      </c>
      <c r="F23" s="1130">
        <v>7292</v>
      </c>
      <c r="G23" s="1130">
        <v>0</v>
      </c>
      <c r="H23" s="1130">
        <v>578635</v>
      </c>
      <c r="I23" s="1125">
        <v>578635</v>
      </c>
      <c r="J23" s="1130">
        <v>324914</v>
      </c>
      <c r="K23" s="1130">
        <v>398677</v>
      </c>
      <c r="L23" s="1130">
        <v>14124</v>
      </c>
      <c r="M23" s="1130">
        <v>3407</v>
      </c>
      <c r="N23" s="1125">
        <v>416208</v>
      </c>
      <c r="O23" s="1130">
        <v>162427</v>
      </c>
      <c r="P23" s="1131">
        <v>28.070718155659442</v>
      </c>
      <c r="Q23" s="1131">
        <v>44.557597366977511</v>
      </c>
      <c r="R23" s="1131">
        <v>54.673203510696652</v>
      </c>
      <c r="S23" s="1127">
        <v>76.947888096544162</v>
      </c>
      <c r="T23" s="1128">
        <v>0</v>
      </c>
      <c r="U23" s="1128">
        <v>21558</v>
      </c>
      <c r="V23" s="1129">
        <v>37530</v>
      </c>
      <c r="W23" s="56" t="str">
        <f>+IFERROR(VLOOKUP(C23,'[18]מספר צרכנים'!$C:$G,3,0),"")</f>
        <v/>
      </c>
      <c r="Y23" s="1239"/>
    </row>
    <row r="24" spans="1:25" s="1132" customFormat="1" ht="17.100000000000001" customHeight="1" x14ac:dyDescent="0.2">
      <c r="A24" s="1085"/>
      <c r="B24" s="1122"/>
      <c r="D24" s="1124"/>
      <c r="E24" s="38" t="s">
        <v>20</v>
      </c>
      <c r="F24" s="1125">
        <v>17674</v>
      </c>
      <c r="G24" s="1125">
        <v>0</v>
      </c>
      <c r="H24" s="1125">
        <v>1177320</v>
      </c>
      <c r="I24" s="1125">
        <v>1177320</v>
      </c>
      <c r="J24" s="1125">
        <v>843414</v>
      </c>
      <c r="K24" s="1125">
        <v>909722</v>
      </c>
      <c r="L24" s="1125">
        <v>0</v>
      </c>
      <c r="M24" s="1125">
        <v>4924</v>
      </c>
      <c r="N24" s="1125">
        <v>914646</v>
      </c>
      <c r="O24" s="1125">
        <v>262674</v>
      </c>
      <c r="P24" s="1126">
        <v>22.311181327081847</v>
      </c>
      <c r="Q24" s="1126">
        <v>47.720606540681224</v>
      </c>
      <c r="R24" s="1126">
        <v>51.472332239447773</v>
      </c>
      <c r="S24" s="1127">
        <v>66.334502659273511</v>
      </c>
      <c r="T24" s="1128">
        <v>0</v>
      </c>
      <c r="U24" s="1128">
        <v>20585</v>
      </c>
      <c r="V24" s="1129">
        <v>34001</v>
      </c>
      <c r="W24" s="56" t="str">
        <f>+IFERROR(VLOOKUP(C24,'[18]מספר צרכנים'!$C:$G,3,0),"")</f>
        <v/>
      </c>
      <c r="X24" s="1088"/>
      <c r="Y24" s="1239"/>
    </row>
    <row r="25" spans="1:25" ht="17.100000000000001" customHeight="1" x14ac:dyDescent="0.25">
      <c r="B25" s="1122"/>
      <c r="C25" s="1123"/>
      <c r="D25" s="1124"/>
      <c r="E25" s="38" t="s">
        <v>55</v>
      </c>
      <c r="F25" s="1148">
        <v>74363</v>
      </c>
      <c r="G25" s="1130">
        <v>0</v>
      </c>
      <c r="H25" s="1130">
        <v>5397918</v>
      </c>
      <c r="I25" s="821">
        <v>5397757</v>
      </c>
      <c r="J25" s="1130">
        <v>3258419</v>
      </c>
      <c r="K25" s="1130">
        <v>4089087</v>
      </c>
      <c r="L25" s="1130">
        <v>79698</v>
      </c>
      <c r="M25" s="1130">
        <v>450</v>
      </c>
      <c r="N25" s="1130">
        <v>4169235</v>
      </c>
      <c r="O25" s="1130">
        <v>1228683</v>
      </c>
      <c r="P25" s="1131">
        <v>22.762164968048793</v>
      </c>
      <c r="Q25" s="1131">
        <v>43.817745384129204</v>
      </c>
      <c r="R25" s="1131">
        <v>54.988193052996785</v>
      </c>
      <c r="S25" s="1127">
        <v>71.510966475263231</v>
      </c>
      <c r="T25" s="1128">
        <v>234069</v>
      </c>
      <c r="U25" s="1128">
        <v>239359</v>
      </c>
      <c r="V25" s="1129">
        <v>196152</v>
      </c>
      <c r="W25" s="56" t="str">
        <f>+IFERROR(VLOOKUP(C25,'[18]מספר צרכנים'!$C:$G,3,0),"")</f>
        <v/>
      </c>
      <c r="Y25" s="1239"/>
    </row>
    <row r="26" spans="1:25" ht="17.100000000000001" customHeight="1" x14ac:dyDescent="0.25">
      <c r="B26" s="1133"/>
      <c r="C26" s="1134" t="s">
        <v>439</v>
      </c>
      <c r="D26" s="1135"/>
      <c r="E26" s="1136" t="s">
        <v>535</v>
      </c>
      <c r="F26" s="1137">
        <v>130183</v>
      </c>
      <c r="G26" s="1137">
        <v>0</v>
      </c>
      <c r="H26" s="1149">
        <v>9403649</v>
      </c>
      <c r="I26" s="1137">
        <f>SUM(I21:I25)</f>
        <v>9403488</v>
      </c>
      <c r="J26" s="1137">
        <v>5817245</v>
      </c>
      <c r="K26" s="1137">
        <v>7022499</v>
      </c>
      <c r="L26" s="1137">
        <v>222186</v>
      </c>
      <c r="M26" s="1137">
        <v>63051</v>
      </c>
      <c r="N26" s="1137">
        <v>7307736</v>
      </c>
      <c r="O26" s="1137">
        <v>2095913</v>
      </c>
      <c r="P26" s="1138">
        <v>22.288294682202622</v>
      </c>
      <c r="Q26" s="1138">
        <v>44.685135539970659</v>
      </c>
      <c r="R26" s="1138">
        <v>53.943287526021059</v>
      </c>
      <c r="S26" s="1139">
        <v>70.043031732253823</v>
      </c>
      <c r="T26" s="1150">
        <v>285157</v>
      </c>
      <c r="U26" s="1140">
        <v>368127</v>
      </c>
      <c r="V26" s="1151">
        <v>289615</v>
      </c>
      <c r="W26" s="56">
        <f>+IFERROR(VLOOKUP(C26,'[18]מספר צרכנים'!$C:$G,3,0),"")</f>
        <v>28199</v>
      </c>
      <c r="X26" s="1088">
        <v>1.1162300446132449E-2</v>
      </c>
      <c r="Y26" s="1239"/>
    </row>
    <row r="27" spans="1:25" s="1132" customFormat="1" ht="17.100000000000001" customHeight="1" x14ac:dyDescent="0.25">
      <c r="A27" s="1085">
        <v>2014</v>
      </c>
      <c r="B27" s="1122">
        <v>4</v>
      </c>
      <c r="C27" s="1123"/>
      <c r="D27" s="1124">
        <v>718</v>
      </c>
      <c r="E27" s="1124" t="s">
        <v>140</v>
      </c>
      <c r="F27" s="1152">
        <v>1564</v>
      </c>
      <c r="G27" s="1130">
        <v>0</v>
      </c>
      <c r="H27" s="1130">
        <v>194938</v>
      </c>
      <c r="I27" s="1130">
        <v>194938</v>
      </c>
      <c r="J27" s="1130">
        <v>119554</v>
      </c>
      <c r="K27" s="1130">
        <v>170798</v>
      </c>
      <c r="L27" s="1130">
        <v>12659</v>
      </c>
      <c r="M27" s="1130">
        <v>0</v>
      </c>
      <c r="N27" s="1130">
        <v>183457</v>
      </c>
      <c r="O27" s="1130">
        <v>11481</v>
      </c>
      <c r="P27" s="1131">
        <v>5.8895648872975004</v>
      </c>
      <c r="Q27" s="1131">
        <v>76.441176470588232</v>
      </c>
      <c r="R27" s="1131">
        <v>109.20588235294117</v>
      </c>
      <c r="S27" s="1127">
        <v>116.54667519181585</v>
      </c>
      <c r="T27" s="1153">
        <v>7791</v>
      </c>
      <c r="U27" s="1153">
        <v>3064</v>
      </c>
      <c r="V27" s="1154">
        <v>25327</v>
      </c>
      <c r="W27" s="56" t="str">
        <f>+IFERROR(VLOOKUP(C27,'[18]מספר צרכנים'!$C:$G,3,0),"")</f>
        <v/>
      </c>
      <c r="X27" s="1088"/>
      <c r="Y27" s="1239"/>
    </row>
    <row r="28" spans="1:25" ht="17.100000000000001" customHeight="1" x14ac:dyDescent="0.25">
      <c r="B28" s="1122"/>
      <c r="C28" s="1123"/>
      <c r="D28" s="1124"/>
      <c r="E28" s="1124" t="s">
        <v>56</v>
      </c>
      <c r="F28" s="1152">
        <v>23114</v>
      </c>
      <c r="G28" s="1130">
        <v>0</v>
      </c>
      <c r="H28" s="1130">
        <v>1838950</v>
      </c>
      <c r="I28" s="821">
        <v>1840940</v>
      </c>
      <c r="J28" s="1130">
        <v>1208359</v>
      </c>
      <c r="K28" s="1130">
        <v>1632558</v>
      </c>
      <c r="L28" s="1130">
        <v>71199</v>
      </c>
      <c r="M28" s="1130">
        <v>6419</v>
      </c>
      <c r="N28" s="1130">
        <v>1710176</v>
      </c>
      <c r="O28" s="1130">
        <v>128774</v>
      </c>
      <c r="P28" s="1131">
        <v>7.0025829957312604</v>
      </c>
      <c r="Q28" s="1131">
        <v>52.278229644371379</v>
      </c>
      <c r="R28" s="1131">
        <v>70.630700008652767</v>
      </c>
      <c r="S28" s="1127">
        <v>76.201955524790165</v>
      </c>
      <c r="T28" s="1128">
        <v>81390</v>
      </c>
      <c r="U28" s="1128">
        <v>169618</v>
      </c>
      <c r="V28" s="1129">
        <v>105054</v>
      </c>
      <c r="W28" s="56" t="str">
        <f>+IFERROR(VLOOKUP(C28,'[18]מספר צרכנים'!$C:$G,3,0),"")</f>
        <v/>
      </c>
      <c r="Y28" s="1239"/>
    </row>
    <row r="29" spans="1:25" s="1132" customFormat="1" ht="17.100000000000001" customHeight="1" x14ac:dyDescent="0.25">
      <c r="A29" s="1085"/>
      <c r="B29" s="1122"/>
      <c r="C29" s="1123"/>
      <c r="D29" s="1124"/>
      <c r="E29" s="1124" t="s">
        <v>52</v>
      </c>
      <c r="F29" s="1152">
        <v>6736</v>
      </c>
      <c r="G29" s="1130">
        <v>0</v>
      </c>
      <c r="H29" s="1130">
        <v>732760</v>
      </c>
      <c r="I29" s="1130">
        <v>732760</v>
      </c>
      <c r="J29" s="1130">
        <v>340029</v>
      </c>
      <c r="K29" s="1130">
        <v>552185</v>
      </c>
      <c r="L29" s="1130">
        <v>106754</v>
      </c>
      <c r="M29" s="1130">
        <v>500</v>
      </c>
      <c r="N29" s="1130">
        <v>659439</v>
      </c>
      <c r="O29" s="1130">
        <v>73321</v>
      </c>
      <c r="P29" s="1131">
        <v>10.006141164910748</v>
      </c>
      <c r="Q29" s="1131">
        <v>50.479364608076011</v>
      </c>
      <c r="R29" s="1131">
        <v>81.975207838479804</v>
      </c>
      <c r="S29" s="1127">
        <v>92.860154394299286</v>
      </c>
      <c r="T29" s="1128">
        <v>90289</v>
      </c>
      <c r="U29" s="1128">
        <v>37239</v>
      </c>
      <c r="V29" s="1129">
        <v>61746</v>
      </c>
      <c r="W29" s="56" t="str">
        <f>+IFERROR(VLOOKUP(C29,'[18]מספר צרכנים'!$C:$G,3,0),"")</f>
        <v/>
      </c>
      <c r="X29" s="1088"/>
      <c r="Y29" s="1239"/>
    </row>
    <row r="30" spans="1:25" s="1132" customFormat="1" ht="17.100000000000001" customHeight="1" x14ac:dyDescent="0.2">
      <c r="A30" s="1085"/>
      <c r="B30" s="1122"/>
      <c r="D30" s="1124"/>
      <c r="E30" s="1124" t="s">
        <v>33</v>
      </c>
      <c r="F30" s="140">
        <v>3375</v>
      </c>
      <c r="G30" s="140">
        <v>0</v>
      </c>
      <c r="H30" s="140">
        <v>237799</v>
      </c>
      <c r="I30" s="140">
        <v>237799</v>
      </c>
      <c r="J30" s="140">
        <v>155547</v>
      </c>
      <c r="K30" s="140">
        <v>201026</v>
      </c>
      <c r="L30" s="140">
        <v>0</v>
      </c>
      <c r="M30" s="140">
        <v>0</v>
      </c>
      <c r="N30" s="140">
        <v>201026</v>
      </c>
      <c r="O30" s="140">
        <v>36773</v>
      </c>
      <c r="P30" s="141">
        <v>15.463900184609692</v>
      </c>
      <c r="Q30" s="141">
        <v>46.088000000000001</v>
      </c>
      <c r="R30" s="141">
        <v>59.563259259259262</v>
      </c>
      <c r="S30" s="1127">
        <v>70.458962962962957</v>
      </c>
      <c r="T30" s="1128">
        <v>19536</v>
      </c>
      <c r="U30" s="1128">
        <v>12504</v>
      </c>
      <c r="V30" s="1129">
        <v>12249</v>
      </c>
      <c r="W30" s="56" t="str">
        <f>+IFERROR(VLOOKUP(C30,'[18]מספר צרכנים'!$C:$G,3,0),"")</f>
        <v/>
      </c>
      <c r="X30" s="1088"/>
      <c r="Y30" s="1239"/>
    </row>
    <row r="31" spans="1:25" s="1132" customFormat="1" ht="17.100000000000001" customHeight="1" x14ac:dyDescent="0.25">
      <c r="A31" s="1085"/>
      <c r="B31" s="1122"/>
      <c r="C31" s="1123"/>
      <c r="D31" s="1124"/>
      <c r="E31" s="1124" t="s">
        <v>223</v>
      </c>
      <c r="F31" s="140">
        <v>10340</v>
      </c>
      <c r="G31" s="140">
        <v>0</v>
      </c>
      <c r="H31" s="140">
        <v>673586</v>
      </c>
      <c r="I31" s="821">
        <v>673586</v>
      </c>
      <c r="J31" s="140">
        <v>436032</v>
      </c>
      <c r="K31" s="140">
        <v>507469</v>
      </c>
      <c r="L31" s="140">
        <v>18686</v>
      </c>
      <c r="M31" s="140">
        <v>224</v>
      </c>
      <c r="N31" s="140">
        <v>526379</v>
      </c>
      <c r="O31" s="140">
        <v>147207</v>
      </c>
      <c r="P31" s="141">
        <v>21.854224998738097</v>
      </c>
      <c r="Q31" s="141">
        <v>42.169439071566728</v>
      </c>
      <c r="R31" s="141">
        <v>49.078239845261123</v>
      </c>
      <c r="S31" s="1127">
        <v>63.314893617021276</v>
      </c>
      <c r="T31" s="1128">
        <v>11354</v>
      </c>
      <c r="U31" s="1128">
        <v>25166</v>
      </c>
      <c r="V31" s="1129">
        <v>29110</v>
      </c>
      <c r="W31" s="56" t="str">
        <f>+IFERROR(VLOOKUP(C31,'[18]מספר צרכנים'!$C:$G,3,0),"")</f>
        <v/>
      </c>
      <c r="X31" s="1088"/>
      <c r="Y31" s="1239"/>
    </row>
    <row r="32" spans="1:25" s="1132" customFormat="1" ht="17.100000000000001" customHeight="1" x14ac:dyDescent="0.25">
      <c r="A32" s="1085"/>
      <c r="B32" s="1122"/>
      <c r="C32" s="1123"/>
      <c r="D32" s="1124"/>
      <c r="E32" s="140" t="s">
        <v>31</v>
      </c>
      <c r="F32" s="140">
        <v>5989</v>
      </c>
      <c r="G32" s="140">
        <v>0</v>
      </c>
      <c r="H32" s="140">
        <v>421635</v>
      </c>
      <c r="I32" s="140">
        <v>421635</v>
      </c>
      <c r="J32" s="140">
        <v>240937</v>
      </c>
      <c r="K32" s="140">
        <v>343274</v>
      </c>
      <c r="L32" s="140">
        <v>0</v>
      </c>
      <c r="M32" s="140">
        <v>8320</v>
      </c>
      <c r="N32" s="140">
        <v>351594</v>
      </c>
      <c r="O32" s="140">
        <v>70041</v>
      </c>
      <c r="P32" s="141"/>
      <c r="Q32" s="141"/>
      <c r="R32" s="141"/>
      <c r="S32" s="1127"/>
      <c r="T32" s="1128"/>
      <c r="U32" s="1128"/>
      <c r="V32" s="1128"/>
      <c r="W32" s="56" t="str">
        <f>+IFERROR(VLOOKUP(C32,'[18]מספר צרכנים'!$C:$G,3,0),"")</f>
        <v/>
      </c>
      <c r="X32" s="1088"/>
      <c r="Y32" s="1239"/>
    </row>
    <row r="33" spans="1:25" s="1132" customFormat="1" ht="17.100000000000001" customHeight="1" x14ac:dyDescent="0.25">
      <c r="A33" s="1085"/>
      <c r="B33" s="1122"/>
      <c r="C33" s="1123"/>
      <c r="D33" s="1124"/>
      <c r="E33" s="140" t="s">
        <v>47</v>
      </c>
      <c r="F33" s="140">
        <v>1806</v>
      </c>
      <c r="G33" s="140">
        <v>0</v>
      </c>
      <c r="H33" s="140">
        <v>120705</v>
      </c>
      <c r="I33" s="140">
        <v>120705</v>
      </c>
      <c r="J33" s="140">
        <v>100063</v>
      </c>
      <c r="K33" s="140">
        <v>101547</v>
      </c>
      <c r="L33" s="140">
        <v>0</v>
      </c>
      <c r="M33" s="140">
        <v>0</v>
      </c>
      <c r="N33" s="140">
        <v>101547</v>
      </c>
      <c r="O33" s="140">
        <v>19158</v>
      </c>
      <c r="P33" s="141"/>
      <c r="Q33" s="141"/>
      <c r="R33" s="141"/>
      <c r="S33" s="1127"/>
      <c r="T33" s="1128"/>
      <c r="U33" s="1128"/>
      <c r="V33" s="1128"/>
      <c r="W33" s="56" t="str">
        <f>+IFERROR(VLOOKUP(C33,'[18]מספר צרכנים'!$C:$G,3,0),"")</f>
        <v/>
      </c>
      <c r="X33" s="1088"/>
      <c r="Y33" s="1239"/>
    </row>
    <row r="34" spans="1:25" s="1132" customFormat="1" ht="17.100000000000001" customHeight="1" x14ac:dyDescent="0.25">
      <c r="A34" s="1085"/>
      <c r="B34" s="1133"/>
      <c r="C34" s="1134" t="s">
        <v>440</v>
      </c>
      <c r="D34" s="1155"/>
      <c r="E34" s="1136" t="s">
        <v>535</v>
      </c>
      <c r="F34" s="1156">
        <f>SUM(F27:F33)</f>
        <v>52924</v>
      </c>
      <c r="G34" s="1156">
        <f t="shared" ref="G34:O34" si="0">SUM(G27:G33)</f>
        <v>0</v>
      </c>
      <c r="H34" s="1156">
        <f t="shared" si="0"/>
        <v>4220373</v>
      </c>
      <c r="I34" s="1156">
        <f t="shared" si="0"/>
        <v>4222363</v>
      </c>
      <c r="J34" s="1156">
        <f t="shared" si="0"/>
        <v>2600521</v>
      </c>
      <c r="K34" s="1156">
        <f t="shared" si="0"/>
        <v>3508857</v>
      </c>
      <c r="L34" s="1156">
        <f t="shared" si="0"/>
        <v>209298</v>
      </c>
      <c r="M34" s="1156">
        <f t="shared" si="0"/>
        <v>15463</v>
      </c>
      <c r="N34" s="1156">
        <f t="shared" si="0"/>
        <v>3733618</v>
      </c>
      <c r="O34" s="1156">
        <f t="shared" si="0"/>
        <v>486755</v>
      </c>
      <c r="P34" s="1138">
        <v>10.808929664306982</v>
      </c>
      <c r="Q34" s="1138">
        <v>50.068049369584969</v>
      </c>
      <c r="R34" s="1138">
        <v>67.895056393893057</v>
      </c>
      <c r="S34" s="1139">
        <v>76.704380775111346</v>
      </c>
      <c r="T34" s="1140">
        <v>210360</v>
      </c>
      <c r="U34" s="1140">
        <v>247591</v>
      </c>
      <c r="V34" s="1140">
        <v>233486</v>
      </c>
      <c r="W34" s="56">
        <f>+IFERROR(VLOOKUP(C34,'[18]מספר צרכנים'!$C:$G,3,0),"")</f>
        <v>17216</v>
      </c>
      <c r="X34" s="1088">
        <v>6.6559750896049248E-3</v>
      </c>
      <c r="Y34" s="1239"/>
    </row>
    <row r="35" spans="1:25" ht="17.100000000000001" customHeight="1" x14ac:dyDescent="0.2">
      <c r="A35" s="1085">
        <v>2014</v>
      </c>
      <c r="B35" s="1122">
        <v>5</v>
      </c>
      <c r="C35" s="1157"/>
      <c r="D35" s="1124">
        <v>6562</v>
      </c>
      <c r="E35" s="47" t="s">
        <v>2</v>
      </c>
      <c r="F35" s="1130">
        <v>216511</v>
      </c>
      <c r="G35" s="1130">
        <v>358200</v>
      </c>
      <c r="H35" s="1130">
        <v>16692338</v>
      </c>
      <c r="I35" s="1130">
        <v>17050538</v>
      </c>
      <c r="J35" s="1130">
        <v>10176243</v>
      </c>
      <c r="K35" s="1130">
        <v>13928344</v>
      </c>
      <c r="L35" s="1130">
        <v>2016372</v>
      </c>
      <c r="M35" s="1130">
        <v>1191</v>
      </c>
      <c r="N35" s="1130">
        <v>15945907</v>
      </c>
      <c r="O35" s="1130">
        <v>1104631</v>
      </c>
      <c r="P35" s="1131">
        <v>6.4785697671240632</v>
      </c>
      <c r="Q35" s="1131">
        <v>47.001043826872539</v>
      </c>
      <c r="R35" s="1131">
        <v>64.330883881188484</v>
      </c>
      <c r="S35" s="1127">
        <v>69.43284636808292</v>
      </c>
      <c r="T35" s="1128">
        <v>1044114</v>
      </c>
      <c r="U35" s="1128">
        <v>1454166</v>
      </c>
      <c r="V35" s="1129">
        <v>686741</v>
      </c>
      <c r="W35" s="56" t="str">
        <f>+IFERROR(VLOOKUP(C35,'[18]מספר צרכנים'!$C:$G,3,0),"")</f>
        <v/>
      </c>
      <c r="Y35" s="1239"/>
    </row>
    <row r="36" spans="1:25" ht="17.100000000000001" customHeight="1" x14ac:dyDescent="0.25">
      <c r="B36" s="1133"/>
      <c r="C36" s="1134" t="s">
        <v>442</v>
      </c>
      <c r="D36" s="1135"/>
      <c r="E36" s="1136" t="s">
        <v>535</v>
      </c>
      <c r="F36" s="1137">
        <v>216511</v>
      </c>
      <c r="G36" s="1137">
        <v>358200</v>
      </c>
      <c r="H36" s="1137">
        <v>16692338</v>
      </c>
      <c r="I36" s="1137">
        <v>17050538</v>
      </c>
      <c r="J36" s="1137">
        <v>10176243</v>
      </c>
      <c r="K36" s="1137">
        <v>13928344</v>
      </c>
      <c r="L36" s="1137">
        <v>2016372</v>
      </c>
      <c r="M36" s="1137">
        <v>1191</v>
      </c>
      <c r="N36" s="1137">
        <v>15945907</v>
      </c>
      <c r="O36" s="1137">
        <v>1104631</v>
      </c>
      <c r="P36" s="1138">
        <v>6.4785697671240632</v>
      </c>
      <c r="Q36" s="1138">
        <v>47.001043826872539</v>
      </c>
      <c r="R36" s="1138">
        <v>64.330883881188484</v>
      </c>
      <c r="S36" s="1139">
        <v>69.43284636808292</v>
      </c>
      <c r="T36" s="1140">
        <v>1044114</v>
      </c>
      <c r="U36" s="1140">
        <v>1454166</v>
      </c>
      <c r="V36" s="1141">
        <v>686741</v>
      </c>
      <c r="W36" s="56">
        <f>+IFERROR(VLOOKUP(C36,'[18]מספר צרכנים'!$C:$G,3,0),"")</f>
        <v>70755</v>
      </c>
      <c r="Y36" s="1239"/>
    </row>
    <row r="37" spans="1:25" s="1132" customFormat="1" ht="17.100000000000001" customHeight="1" x14ac:dyDescent="0.2">
      <c r="A37" s="1085">
        <v>2014</v>
      </c>
      <c r="B37" s="1158">
        <v>6</v>
      </c>
      <c r="C37" s="1157"/>
      <c r="D37" s="1159">
        <v>9503</v>
      </c>
      <c r="E37" s="38" t="s">
        <v>136</v>
      </c>
      <c r="F37" s="1130">
        <v>18089</v>
      </c>
      <c r="G37" s="1130">
        <v>0</v>
      </c>
      <c r="H37" s="1130">
        <v>1405123</v>
      </c>
      <c r="I37" s="1130">
        <v>1405123</v>
      </c>
      <c r="J37" s="1130">
        <v>792430</v>
      </c>
      <c r="K37" s="1152">
        <v>1247686</v>
      </c>
      <c r="L37" s="1130">
        <v>37439</v>
      </c>
      <c r="M37" s="1130">
        <v>0</v>
      </c>
      <c r="N37" s="1130">
        <v>1285125</v>
      </c>
      <c r="O37" s="1130">
        <v>119998</v>
      </c>
      <c r="P37" s="1131">
        <v>8.5400352851672068</v>
      </c>
      <c r="Q37" s="1131">
        <v>43.807286196030738</v>
      </c>
      <c r="R37" s="1131">
        <v>68.974846591851403</v>
      </c>
      <c r="S37" s="1127">
        <v>75.608601912764669</v>
      </c>
      <c r="T37" s="1128">
        <v>173592</v>
      </c>
      <c r="U37" s="1128">
        <v>86519</v>
      </c>
      <c r="V37" s="1129">
        <v>149239</v>
      </c>
      <c r="W37" s="56" t="str">
        <f>+IFERROR(VLOOKUP(C37,'[18]מספר צרכנים'!$C:$G,3,0),"")</f>
        <v/>
      </c>
      <c r="X37" s="1088"/>
      <c r="Y37" s="1239"/>
    </row>
    <row r="38" spans="1:25" ht="17.100000000000001" customHeight="1" x14ac:dyDescent="0.2">
      <c r="B38" s="1122"/>
      <c r="C38" s="1160"/>
      <c r="D38" s="1124"/>
      <c r="E38" s="38" t="s">
        <v>58</v>
      </c>
      <c r="F38" s="1130">
        <v>6560</v>
      </c>
      <c r="G38" s="1130">
        <v>0</v>
      </c>
      <c r="H38" s="1130">
        <v>613759</v>
      </c>
      <c r="I38" s="821">
        <v>599364</v>
      </c>
      <c r="J38" s="1130">
        <v>329496</v>
      </c>
      <c r="K38" s="1130">
        <v>574222</v>
      </c>
      <c r="L38" s="1130">
        <v>0</v>
      </c>
      <c r="M38" s="1130">
        <v>0</v>
      </c>
      <c r="N38" s="1130">
        <v>574222</v>
      </c>
      <c r="O38" s="1130">
        <v>39537</v>
      </c>
      <c r="P38" s="1131">
        <v>6.4417792651513057</v>
      </c>
      <c r="Q38" s="1131">
        <v>50.228048780487804</v>
      </c>
      <c r="R38" s="1131">
        <v>87.533841463414632</v>
      </c>
      <c r="S38" s="1127">
        <v>93.560823170731709</v>
      </c>
      <c r="T38" s="1128">
        <v>42717</v>
      </c>
      <c r="U38" s="1128">
        <v>132762</v>
      </c>
      <c r="V38" s="1129">
        <v>43076</v>
      </c>
      <c r="W38" s="56" t="str">
        <f>+IFERROR(VLOOKUP(C38,'[18]מספר צרכנים'!$C:$G,3,0),"")</f>
        <v/>
      </c>
      <c r="Y38" s="1239"/>
    </row>
    <row r="39" spans="1:25" ht="17.100000000000001" customHeight="1" x14ac:dyDescent="0.25">
      <c r="B39" s="1133"/>
      <c r="C39" s="1134" t="s">
        <v>443</v>
      </c>
      <c r="D39" s="1135"/>
      <c r="E39" s="1136" t="s">
        <v>535</v>
      </c>
      <c r="F39" s="1143">
        <v>24649</v>
      </c>
      <c r="G39" s="1143">
        <v>0</v>
      </c>
      <c r="H39" s="1161">
        <v>2018882</v>
      </c>
      <c r="I39" s="1143">
        <f>SUM(I37:I38)</f>
        <v>2004487</v>
      </c>
      <c r="J39" s="1143">
        <v>1121926</v>
      </c>
      <c r="K39" s="1143">
        <v>1821908</v>
      </c>
      <c r="L39" s="1143">
        <v>37439</v>
      </c>
      <c r="M39" s="1143">
        <v>0</v>
      </c>
      <c r="N39" s="1143">
        <v>1859347</v>
      </c>
      <c r="O39" s="1143">
        <v>159535</v>
      </c>
      <c r="P39" s="1138">
        <v>7.9021458411140433</v>
      </c>
      <c r="Q39" s="1138">
        <v>45.516085845267554</v>
      </c>
      <c r="R39" s="1138">
        <v>73.914073593249213</v>
      </c>
      <c r="S39" s="1139">
        <v>80.386344273601367</v>
      </c>
      <c r="T39" s="1140">
        <v>216309</v>
      </c>
      <c r="U39" s="1140">
        <v>219281</v>
      </c>
      <c r="V39" s="1141">
        <v>192315</v>
      </c>
      <c r="W39" s="56">
        <f>+IFERROR(VLOOKUP(C39,'[18]מספר צרכנים'!$C:$G,3,0),"")</f>
        <v>7487</v>
      </c>
      <c r="Y39" s="1239"/>
    </row>
    <row r="40" spans="1:25" s="1132" customFormat="1" ht="17.100000000000001" customHeight="1" x14ac:dyDescent="0.25">
      <c r="A40" s="1085">
        <v>2014</v>
      </c>
      <c r="B40" s="1122">
        <v>7</v>
      </c>
      <c r="C40" s="1123"/>
      <c r="D40" s="1124">
        <v>3143</v>
      </c>
      <c r="E40" s="47" t="s">
        <v>112</v>
      </c>
      <c r="F40" s="1130">
        <v>38681</v>
      </c>
      <c r="G40" s="1130">
        <v>0</v>
      </c>
      <c r="H40" s="1130">
        <v>2910168</v>
      </c>
      <c r="I40" s="1130">
        <v>2910168</v>
      </c>
      <c r="J40" s="1130">
        <v>1816705</v>
      </c>
      <c r="K40" s="1130">
        <v>2360130</v>
      </c>
      <c r="L40" s="1130">
        <v>74</v>
      </c>
      <c r="M40" s="1130">
        <v>0</v>
      </c>
      <c r="N40" s="1130">
        <v>2360204</v>
      </c>
      <c r="O40" s="1130">
        <v>549964</v>
      </c>
      <c r="P40" s="1131">
        <v>18.898015509757514</v>
      </c>
      <c r="Q40" s="1131">
        <v>46.966340063597116</v>
      </c>
      <c r="R40" s="1131">
        <v>61.015227114087018</v>
      </c>
      <c r="S40" s="1127">
        <v>75.233163568677128</v>
      </c>
      <c r="T40" s="1128">
        <v>347352</v>
      </c>
      <c r="U40" s="1128">
        <v>47220</v>
      </c>
      <c r="V40" s="1129">
        <v>112015</v>
      </c>
      <c r="W40" s="56" t="str">
        <f>+IFERROR(VLOOKUP(C40,'[18]מספר צרכנים'!$C:$G,3,0),"")</f>
        <v/>
      </c>
      <c r="X40" s="1088"/>
      <c r="Y40" s="1239"/>
    </row>
    <row r="41" spans="1:25" s="1132" customFormat="1" ht="17.100000000000001" customHeight="1" thickBot="1" x14ac:dyDescent="0.3">
      <c r="A41" s="1085"/>
      <c r="B41" s="1162"/>
      <c r="C41" s="1134" t="s">
        <v>265</v>
      </c>
      <c r="D41" s="1163"/>
      <c r="E41" s="1164" t="s">
        <v>535</v>
      </c>
      <c r="F41" s="1165">
        <v>38681</v>
      </c>
      <c r="G41" s="1165">
        <v>0</v>
      </c>
      <c r="H41" s="1165">
        <v>2910168</v>
      </c>
      <c r="I41" s="1165">
        <v>2910168</v>
      </c>
      <c r="J41" s="1165">
        <v>1816705</v>
      </c>
      <c r="K41" s="1165">
        <v>2360130</v>
      </c>
      <c r="L41" s="1165">
        <v>74</v>
      </c>
      <c r="M41" s="1165">
        <v>0</v>
      </c>
      <c r="N41" s="1165">
        <v>2360204</v>
      </c>
      <c r="O41" s="1165">
        <v>549964</v>
      </c>
      <c r="P41" s="1166">
        <v>18.898015509757514</v>
      </c>
      <c r="Q41" s="1166">
        <v>46.966340063597116</v>
      </c>
      <c r="R41" s="1166">
        <v>61.015227114087018</v>
      </c>
      <c r="S41" s="1167">
        <v>75.233163568677128</v>
      </c>
      <c r="T41" s="1168">
        <v>347352</v>
      </c>
      <c r="U41" s="1168">
        <v>47220</v>
      </c>
      <c r="V41" s="1169">
        <v>112015</v>
      </c>
      <c r="W41" s="56">
        <f>+IFERROR(VLOOKUP(C41,'[18]מספר צרכנים'!$C:$G,3,0),"")</f>
        <v>16196</v>
      </c>
      <c r="X41" s="1088"/>
      <c r="Y41" s="1239"/>
    </row>
    <row r="42" spans="1:25" ht="17.100000000000001" customHeight="1" x14ac:dyDescent="0.2">
      <c r="A42" s="1085">
        <v>2014</v>
      </c>
      <c r="B42" s="1113">
        <v>8</v>
      </c>
      <c r="C42" s="1170"/>
      <c r="D42" s="1115">
        <v>504</v>
      </c>
      <c r="E42" s="38" t="s">
        <v>13</v>
      </c>
      <c r="F42" s="1171">
        <v>9551</v>
      </c>
      <c r="G42" s="1116">
        <v>0</v>
      </c>
      <c r="H42" s="1116">
        <v>640482</v>
      </c>
      <c r="I42" s="1116">
        <v>640482</v>
      </c>
      <c r="J42" s="1116">
        <v>501963</v>
      </c>
      <c r="K42" s="1116">
        <v>537538</v>
      </c>
      <c r="L42" s="1116">
        <v>0</v>
      </c>
      <c r="M42" s="1116">
        <v>13172</v>
      </c>
      <c r="N42" s="1116">
        <v>550710</v>
      </c>
      <c r="O42" s="1116">
        <v>89772</v>
      </c>
      <c r="P42" s="1172">
        <v>14.016318959783414</v>
      </c>
      <c r="Q42" s="1172">
        <v>52.556067427494504</v>
      </c>
      <c r="R42" s="1172">
        <v>56.28080829232541</v>
      </c>
      <c r="S42" s="1127">
        <v>65.68003350434509</v>
      </c>
      <c r="T42" s="1121">
        <v>0</v>
      </c>
      <c r="U42" s="1121">
        <v>3282</v>
      </c>
      <c r="V42" s="1121">
        <v>10045</v>
      </c>
      <c r="W42" s="56" t="str">
        <f>+IFERROR(VLOOKUP(C42,'[18]מספר צרכנים'!$C:$G,3,0),"")</f>
        <v/>
      </c>
      <c r="Y42" s="1239"/>
    </row>
    <row r="43" spans="1:25" ht="17.100000000000001" customHeight="1" x14ac:dyDescent="0.2">
      <c r="B43" s="1122"/>
      <c r="C43" s="1160"/>
      <c r="D43" s="1124"/>
      <c r="E43" s="38" t="s">
        <v>0</v>
      </c>
      <c r="F43" s="1152">
        <v>12830</v>
      </c>
      <c r="G43" s="1130">
        <v>0</v>
      </c>
      <c r="H43" s="1130">
        <v>872359</v>
      </c>
      <c r="I43" s="1130">
        <v>872359</v>
      </c>
      <c r="J43" s="1130">
        <v>587627</v>
      </c>
      <c r="K43" s="1130">
        <v>634699</v>
      </c>
      <c r="L43" s="1130">
        <v>0</v>
      </c>
      <c r="M43" s="1130">
        <v>82989</v>
      </c>
      <c r="N43" s="1130">
        <v>717688</v>
      </c>
      <c r="O43" s="1130">
        <v>154671</v>
      </c>
      <c r="P43" s="1131">
        <v>17.730200525242477</v>
      </c>
      <c r="Q43" s="1131">
        <v>45.801013250194856</v>
      </c>
      <c r="R43" s="1131">
        <v>49.469914263445048</v>
      </c>
      <c r="S43" s="1127">
        <v>61.525331254871396</v>
      </c>
      <c r="T43" s="1129">
        <v>9999</v>
      </c>
      <c r="U43" s="1129">
        <v>4881</v>
      </c>
      <c r="V43" s="1129">
        <v>12642</v>
      </c>
      <c r="W43" s="56" t="str">
        <f>+IFERROR(VLOOKUP(C43,'[18]מספר צרכנים'!$C:$G,3,0),"")</f>
        <v/>
      </c>
      <c r="Y43" s="1239"/>
    </row>
    <row r="44" spans="1:25" ht="17.100000000000001" customHeight="1" x14ac:dyDescent="0.2">
      <c r="B44" s="1122"/>
      <c r="C44" s="1160"/>
      <c r="D44" s="1124"/>
      <c r="E44" s="38" t="s">
        <v>135</v>
      </c>
      <c r="F44" s="1152">
        <v>5470</v>
      </c>
      <c r="G44" s="1130">
        <v>0</v>
      </c>
      <c r="H44" s="1130">
        <v>403528</v>
      </c>
      <c r="I44" s="1130">
        <v>403528</v>
      </c>
      <c r="J44" s="1130">
        <v>243879</v>
      </c>
      <c r="K44" s="1130">
        <v>270806</v>
      </c>
      <c r="L44" s="1130">
        <v>0</v>
      </c>
      <c r="M44" s="1130">
        <v>16000</v>
      </c>
      <c r="N44" s="1130">
        <v>286806</v>
      </c>
      <c r="O44" s="1130">
        <v>116722</v>
      </c>
      <c r="P44" s="1131">
        <v>28.925378164588334</v>
      </c>
      <c r="Q44" s="1131">
        <v>44.584826325411335</v>
      </c>
      <c r="R44" s="1131">
        <v>49.507495429616085</v>
      </c>
      <c r="S44" s="1127">
        <v>70.84606946983547</v>
      </c>
      <c r="T44" s="1129">
        <v>4813</v>
      </c>
      <c r="U44" s="1129">
        <v>5276</v>
      </c>
      <c r="V44" s="1129">
        <v>8361</v>
      </c>
      <c r="W44" s="56" t="str">
        <f>+IFERROR(VLOOKUP(C44,'[18]מספר צרכנים'!$C:$G,3,0),"")</f>
        <v/>
      </c>
      <c r="Y44" s="1239"/>
    </row>
    <row r="45" spans="1:25" s="1132" customFormat="1" ht="17.100000000000001" customHeight="1" x14ac:dyDescent="0.2">
      <c r="A45" s="1085"/>
      <c r="B45" s="1122"/>
      <c r="C45" s="1160"/>
      <c r="D45" s="1124"/>
      <c r="E45" s="38" t="s">
        <v>139</v>
      </c>
      <c r="F45" s="1152">
        <v>8715</v>
      </c>
      <c r="G45" s="1152">
        <v>0</v>
      </c>
      <c r="H45" s="1152">
        <v>420268</v>
      </c>
      <c r="I45" s="1130">
        <v>420268</v>
      </c>
      <c r="J45" s="1152">
        <v>251101</v>
      </c>
      <c r="K45" s="1152">
        <v>278125</v>
      </c>
      <c r="L45" s="1152">
        <v>31194</v>
      </c>
      <c r="M45" s="1152">
        <v>65255</v>
      </c>
      <c r="N45" s="1130">
        <v>374574</v>
      </c>
      <c r="O45" s="1130">
        <v>45694</v>
      </c>
      <c r="P45" s="1131">
        <v>10.872586064130507</v>
      </c>
      <c r="Q45" s="1131">
        <v>28.812507171543317</v>
      </c>
      <c r="R45" s="1131">
        <v>31.913367756741252</v>
      </c>
      <c r="S45" s="1127">
        <v>37.156511761331039</v>
      </c>
      <c r="T45" s="1129">
        <v>3952</v>
      </c>
      <c r="U45" s="1129">
        <v>3098</v>
      </c>
      <c r="V45" s="1129">
        <v>10108</v>
      </c>
      <c r="W45" s="56" t="str">
        <f>+IFERROR(VLOOKUP(C45,'[18]מספר צרכנים'!$C:$G,3,0),"")</f>
        <v/>
      </c>
      <c r="X45" s="1088"/>
      <c r="Y45" s="1239"/>
    </row>
    <row r="46" spans="1:25" s="1132" customFormat="1" ht="17.100000000000001" customHeight="1" x14ac:dyDescent="0.2">
      <c r="A46" s="1085"/>
      <c r="B46" s="1122"/>
      <c r="C46" s="1160"/>
      <c r="D46" s="1124"/>
      <c r="E46" s="38" t="s">
        <v>27</v>
      </c>
      <c r="F46" s="1130">
        <v>20516</v>
      </c>
      <c r="G46" s="1152">
        <v>0</v>
      </c>
      <c r="H46" s="1152">
        <v>1194043</v>
      </c>
      <c r="I46" s="1130">
        <v>1194043</v>
      </c>
      <c r="J46" s="1152">
        <v>889400</v>
      </c>
      <c r="K46" s="1152">
        <v>950772</v>
      </c>
      <c r="L46" s="1152">
        <v>10855</v>
      </c>
      <c r="M46" s="1152">
        <v>57141</v>
      </c>
      <c r="N46" s="1130">
        <v>1018768</v>
      </c>
      <c r="O46" s="1130">
        <v>175275</v>
      </c>
      <c r="P46" s="1131">
        <v>14.679119596195447</v>
      </c>
      <c r="Q46" s="1131">
        <v>43.351530512770523</v>
      </c>
      <c r="R46" s="1131">
        <v>46.342951842464416</v>
      </c>
      <c r="S46" s="1127">
        <v>54.886283875999219</v>
      </c>
      <c r="T46" s="1129">
        <v>6157</v>
      </c>
      <c r="U46" s="1129">
        <v>7649</v>
      </c>
      <c r="V46" s="1129">
        <v>15107</v>
      </c>
      <c r="W46" s="56" t="str">
        <f>+IFERROR(VLOOKUP(C46,'[18]מספר צרכנים'!$C:$G,3,0),"")</f>
        <v/>
      </c>
      <c r="X46" s="1088"/>
      <c r="Y46" s="1239"/>
    </row>
    <row r="47" spans="1:25" s="1132" customFormat="1" ht="17.100000000000001" customHeight="1" x14ac:dyDescent="0.2">
      <c r="A47" s="1085"/>
      <c r="B47" s="1122"/>
      <c r="C47" s="1160"/>
      <c r="D47" s="1124"/>
      <c r="E47" s="38" t="s">
        <v>32</v>
      </c>
      <c r="F47" s="1152">
        <v>7594</v>
      </c>
      <c r="G47" s="1152">
        <v>0</v>
      </c>
      <c r="H47" s="1152">
        <v>433367</v>
      </c>
      <c r="I47" s="1130">
        <v>433367</v>
      </c>
      <c r="J47" s="1152">
        <v>302421</v>
      </c>
      <c r="K47" s="1152">
        <v>323971</v>
      </c>
      <c r="L47" s="1152">
        <v>0</v>
      </c>
      <c r="M47" s="1152">
        <v>14554</v>
      </c>
      <c r="N47" s="1130">
        <v>338525</v>
      </c>
      <c r="O47" s="1130">
        <v>94842</v>
      </c>
      <c r="P47" s="1131">
        <v>21.884915095057998</v>
      </c>
      <c r="Q47" s="1131">
        <v>39.823676586779037</v>
      </c>
      <c r="R47" s="1131">
        <v>42.661443244666842</v>
      </c>
      <c r="S47" s="1127">
        <v>55.15051356333948</v>
      </c>
      <c r="T47" s="1129">
        <v>0</v>
      </c>
      <c r="U47" s="1129">
        <v>532</v>
      </c>
      <c r="V47" s="1129">
        <v>10554</v>
      </c>
      <c r="W47" s="56" t="str">
        <f>+IFERROR(VLOOKUP(C47,'[18]מספר צרכנים'!$C:$G,3,0),"")</f>
        <v/>
      </c>
      <c r="X47" s="1088"/>
      <c r="Y47" s="1239"/>
    </row>
    <row r="48" spans="1:25" s="1132" customFormat="1" ht="17.100000000000001" customHeight="1" x14ac:dyDescent="0.2">
      <c r="A48" s="1085"/>
      <c r="B48" s="1122"/>
      <c r="D48" s="1124"/>
      <c r="E48" s="38" t="s">
        <v>36</v>
      </c>
      <c r="F48" s="828">
        <v>12065</v>
      </c>
      <c r="G48" s="359">
        <v>0</v>
      </c>
      <c r="H48" s="359">
        <v>733055</v>
      </c>
      <c r="I48" s="359">
        <v>733055</v>
      </c>
      <c r="J48" s="359">
        <v>424494</v>
      </c>
      <c r="K48" s="359">
        <v>447917</v>
      </c>
      <c r="L48" s="359">
        <v>0</v>
      </c>
      <c r="M48" s="359">
        <v>113314</v>
      </c>
      <c r="N48" s="359">
        <v>561231</v>
      </c>
      <c r="O48" s="359">
        <v>171824</v>
      </c>
      <c r="P48" s="361">
        <v>23.439441788133223</v>
      </c>
      <c r="Q48" s="361">
        <v>35.183920430998754</v>
      </c>
      <c r="R48" s="361">
        <v>37.125321176958145</v>
      </c>
      <c r="S48" s="1127">
        <v>51.366846249481974</v>
      </c>
      <c r="T48" s="1173">
        <v>138</v>
      </c>
      <c r="U48" s="1173">
        <v>6100</v>
      </c>
      <c r="V48" s="1173">
        <v>10327</v>
      </c>
      <c r="W48" s="56" t="str">
        <f>+IFERROR(VLOOKUP(C48,'[18]מספר צרכנים'!$C:$G,3,0),"")</f>
        <v/>
      </c>
      <c r="X48" s="1088"/>
      <c r="Y48" s="1239"/>
    </row>
    <row r="49" spans="1:25" s="1132" customFormat="1" ht="17.100000000000001" customHeight="1" x14ac:dyDescent="0.25">
      <c r="A49" s="1085"/>
      <c r="B49" s="1133"/>
      <c r="C49" s="1134" t="s">
        <v>444</v>
      </c>
      <c r="D49" s="1135"/>
      <c r="E49" s="1136" t="s">
        <v>535</v>
      </c>
      <c r="F49" s="1156">
        <v>76741</v>
      </c>
      <c r="G49" s="1156">
        <v>0</v>
      </c>
      <c r="H49" s="1156">
        <v>4697102</v>
      </c>
      <c r="I49" s="1156">
        <v>4697102</v>
      </c>
      <c r="J49" s="1156">
        <v>3200885</v>
      </c>
      <c r="K49" s="1156">
        <v>3443828</v>
      </c>
      <c r="L49" s="1156">
        <v>42049</v>
      </c>
      <c r="M49" s="1156">
        <v>362425</v>
      </c>
      <c r="N49" s="1156">
        <v>3848302</v>
      </c>
      <c r="O49" s="1156">
        <v>848800</v>
      </c>
      <c r="P49" s="1138">
        <v>18.070716795164337</v>
      </c>
      <c r="Q49" s="1138">
        <v>41.710233121799298</v>
      </c>
      <c r="R49" s="1138">
        <v>44.875985457578089</v>
      </c>
      <c r="S49" s="1139">
        <v>55.93656585137019</v>
      </c>
      <c r="T49" s="1141">
        <v>25059</v>
      </c>
      <c r="U49" s="1141">
        <v>30818</v>
      </c>
      <c r="V49" s="1141">
        <v>77144</v>
      </c>
      <c r="W49" s="56">
        <f>+IFERROR(VLOOKUP(C49,'[18]מספר צרכנים'!$C:$G,3,0),"")</f>
        <v>16237</v>
      </c>
      <c r="X49" s="1088">
        <v>1.7558106525602891E-2</v>
      </c>
      <c r="Y49" s="1239"/>
    </row>
    <row r="50" spans="1:25" s="1132" customFormat="1" ht="17.100000000000001" customHeight="1" x14ac:dyDescent="0.25">
      <c r="A50" s="1085">
        <v>2014</v>
      </c>
      <c r="B50" s="1122">
        <v>9</v>
      </c>
      <c r="C50" s="1123"/>
      <c r="D50" s="1124">
        <v>953</v>
      </c>
      <c r="E50" s="47" t="s">
        <v>103</v>
      </c>
      <c r="F50" s="1130">
        <v>40460</v>
      </c>
      <c r="G50" s="1130">
        <v>0</v>
      </c>
      <c r="H50" s="1130">
        <v>3249859</v>
      </c>
      <c r="I50" s="1130">
        <v>3249859</v>
      </c>
      <c r="J50" s="1130">
        <v>1902725</v>
      </c>
      <c r="K50" s="1130">
        <v>2466647</v>
      </c>
      <c r="L50" s="1130">
        <v>518636</v>
      </c>
      <c r="M50" s="1130">
        <v>0</v>
      </c>
      <c r="N50" s="1130">
        <v>2985283</v>
      </c>
      <c r="O50" s="1130">
        <v>264576</v>
      </c>
      <c r="P50" s="1131">
        <v>8.1411532008004031</v>
      </c>
      <c r="Q50" s="1131">
        <v>47.02731092436975</v>
      </c>
      <c r="R50" s="1131">
        <v>60.965076618882847</v>
      </c>
      <c r="S50" s="1127">
        <v>67.504275827978248</v>
      </c>
      <c r="T50" s="1129">
        <v>119323</v>
      </c>
      <c r="U50" s="1129">
        <v>303488</v>
      </c>
      <c r="V50" s="1129">
        <v>104952</v>
      </c>
      <c r="W50" s="56" t="str">
        <f>+IFERROR(VLOOKUP(C50,'[18]מספר צרכנים'!$C:$G,3,0),"")</f>
        <v/>
      </c>
      <c r="X50" s="1088"/>
      <c r="Y50" s="1239"/>
    </row>
    <row r="51" spans="1:25" s="1132" customFormat="1" ht="17.100000000000001" customHeight="1" x14ac:dyDescent="0.25">
      <c r="A51" s="1085"/>
      <c r="B51" s="1122"/>
      <c r="C51" s="1123"/>
      <c r="D51" s="1124"/>
      <c r="E51" s="38" t="s">
        <v>67</v>
      </c>
      <c r="F51" s="1130">
        <v>24810</v>
      </c>
      <c r="G51" s="1130">
        <v>0</v>
      </c>
      <c r="H51" s="1130">
        <v>2717001</v>
      </c>
      <c r="I51" s="821">
        <v>2796967</v>
      </c>
      <c r="J51" s="1130">
        <v>1141519</v>
      </c>
      <c r="K51" s="1130">
        <v>1529403</v>
      </c>
      <c r="L51" s="1130">
        <v>1066130</v>
      </c>
      <c r="M51" s="1130">
        <v>0</v>
      </c>
      <c r="N51" s="1130">
        <v>2595533</v>
      </c>
      <c r="O51" s="1130">
        <v>121468</v>
      </c>
      <c r="P51" s="1131">
        <v>4.4706645304878432</v>
      </c>
      <c r="Q51" s="1131">
        <v>46.010439338976219</v>
      </c>
      <c r="R51" s="1131">
        <v>61.644619105199517</v>
      </c>
      <c r="S51" s="1127">
        <v>66.540548166062067</v>
      </c>
      <c r="T51" s="1129">
        <v>55848</v>
      </c>
      <c r="U51" s="1129">
        <v>219778</v>
      </c>
      <c r="V51" s="1129">
        <v>89904</v>
      </c>
      <c r="W51" s="56" t="str">
        <f>+IFERROR(VLOOKUP(C51,'[18]מספר צרכנים'!$C:$G,3,0),"")</f>
        <v/>
      </c>
      <c r="X51" s="1088"/>
      <c r="Y51" s="1239"/>
    </row>
    <row r="52" spans="1:25" s="1132" customFormat="1" ht="17.100000000000001" customHeight="1" x14ac:dyDescent="0.2">
      <c r="A52" s="1085"/>
      <c r="B52" s="1122"/>
      <c r="D52" s="1124"/>
      <c r="E52" s="38" t="s">
        <v>238</v>
      </c>
      <c r="F52" s="1130">
        <v>42770</v>
      </c>
      <c r="G52" s="1130">
        <v>0</v>
      </c>
      <c r="H52" s="1130">
        <v>3907189</v>
      </c>
      <c r="I52" s="1130">
        <v>3907189</v>
      </c>
      <c r="J52" s="1130">
        <v>2118203</v>
      </c>
      <c r="K52" s="1130">
        <v>2904448</v>
      </c>
      <c r="L52" s="1130">
        <v>145650</v>
      </c>
      <c r="M52" s="1130">
        <v>25034</v>
      </c>
      <c r="N52" s="1130">
        <v>3075132</v>
      </c>
      <c r="O52" s="1130">
        <v>832057</v>
      </c>
      <c r="P52" s="1131">
        <v>21.29554009289031</v>
      </c>
      <c r="Q52" s="1131">
        <v>49.525438391395838</v>
      </c>
      <c r="R52" s="1131">
        <v>67.908534019172322</v>
      </c>
      <c r="S52" s="1127">
        <v>87.362754267009592</v>
      </c>
      <c r="T52" s="1129">
        <v>130646</v>
      </c>
      <c r="U52" s="1129">
        <v>456024</v>
      </c>
      <c r="V52" s="1129">
        <v>133076</v>
      </c>
      <c r="W52" s="56" t="str">
        <f>+IFERROR(VLOOKUP(C52,'[18]מספר צרכנים'!$C:$G,3,0),"")</f>
        <v/>
      </c>
      <c r="X52" s="1088"/>
      <c r="Y52" s="1239"/>
    </row>
    <row r="53" spans="1:25" s="1132" customFormat="1" ht="17.100000000000001" customHeight="1" x14ac:dyDescent="0.25">
      <c r="A53" s="1085"/>
      <c r="B53" s="1133"/>
      <c r="C53" s="1134" t="s">
        <v>447</v>
      </c>
      <c r="D53" s="1155"/>
      <c r="E53" s="1136" t="s">
        <v>535</v>
      </c>
      <c r="F53" s="1137">
        <v>108040</v>
      </c>
      <c r="G53" s="1137">
        <v>0</v>
      </c>
      <c r="H53" s="1137">
        <v>9874049</v>
      </c>
      <c r="I53" s="1137">
        <f>SUM(I50:I52)</f>
        <v>9954015</v>
      </c>
      <c r="J53" s="1137">
        <v>5162447</v>
      </c>
      <c r="K53" s="1137">
        <v>6900498</v>
      </c>
      <c r="L53" s="1137">
        <v>1730416</v>
      </c>
      <c r="M53" s="1137">
        <v>25034</v>
      </c>
      <c r="N53" s="1137">
        <v>8655948</v>
      </c>
      <c r="O53" s="1137">
        <v>1218101</v>
      </c>
      <c r="P53" s="1138">
        <v>12.336388041015393</v>
      </c>
      <c r="Q53" s="1138">
        <v>47.782737874861162</v>
      </c>
      <c r="R53" s="1138">
        <v>63.86984450203628</v>
      </c>
      <c r="S53" s="1139">
        <v>75.144381710477603</v>
      </c>
      <c r="T53" s="1140">
        <v>305817</v>
      </c>
      <c r="U53" s="1140">
        <v>979290</v>
      </c>
      <c r="V53" s="1140">
        <v>327932</v>
      </c>
      <c r="W53" s="56">
        <f>+IFERROR(VLOOKUP(C53,'[18]מספר צרכנים'!$C:$G,3,0),"")</f>
        <v>44095</v>
      </c>
      <c r="X53" s="1088"/>
      <c r="Y53" s="1239"/>
    </row>
    <row r="54" spans="1:25" s="1132" customFormat="1" ht="17.100000000000001" customHeight="1" x14ac:dyDescent="0.2">
      <c r="A54" s="1085">
        <v>2014</v>
      </c>
      <c r="B54" s="1122">
        <v>10</v>
      </c>
      <c r="C54" s="1157"/>
      <c r="D54" s="1124">
        <v>8209</v>
      </c>
      <c r="E54" s="47" t="s">
        <v>134</v>
      </c>
      <c r="F54" s="1130">
        <v>418590</v>
      </c>
      <c r="G54" s="1130">
        <v>2823652</v>
      </c>
      <c r="H54" s="1130">
        <v>43282097</v>
      </c>
      <c r="I54" s="1130">
        <v>46105749</v>
      </c>
      <c r="J54" s="1130">
        <v>27144656</v>
      </c>
      <c r="K54" s="1130">
        <v>40826821</v>
      </c>
      <c r="L54" s="1130">
        <v>1204752</v>
      </c>
      <c r="M54" s="1130">
        <v>25903</v>
      </c>
      <c r="N54" s="1130">
        <v>42057476</v>
      </c>
      <c r="O54" s="1130">
        <v>4048273</v>
      </c>
      <c r="P54" s="1131">
        <v>8.7804082740310765</v>
      </c>
      <c r="Q54" s="1131">
        <v>64.847836785398599</v>
      </c>
      <c r="R54" s="1131">
        <v>97.534152750901839</v>
      </c>
      <c r="S54" s="1127">
        <v>107.20536563224157</v>
      </c>
      <c r="T54" s="1129">
        <v>3443568</v>
      </c>
      <c r="U54" s="1129">
        <v>8060278</v>
      </c>
      <c r="V54" s="1129">
        <v>753819</v>
      </c>
      <c r="W54" s="56" t="str">
        <f>+IFERROR(VLOOKUP(C54,'[18]מספר צרכנים'!$C:$G,3,0),"")</f>
        <v/>
      </c>
      <c r="X54" s="1088"/>
      <c r="Y54" s="1239"/>
    </row>
    <row r="55" spans="1:25" s="1132" customFormat="1" ht="17.100000000000001" customHeight="1" x14ac:dyDescent="0.25">
      <c r="A55" s="1085"/>
      <c r="B55" s="1133"/>
      <c r="C55" s="1134" t="s">
        <v>687</v>
      </c>
      <c r="D55" s="1135"/>
      <c r="E55" s="1136" t="s">
        <v>535</v>
      </c>
      <c r="F55" s="1137">
        <v>418590</v>
      </c>
      <c r="G55" s="1137">
        <v>2823652</v>
      </c>
      <c r="H55" s="1137">
        <v>43282097</v>
      </c>
      <c r="I55" s="1137">
        <v>46105749</v>
      </c>
      <c r="J55" s="1137">
        <v>27144656</v>
      </c>
      <c r="K55" s="1137">
        <v>40826821</v>
      </c>
      <c r="L55" s="1137">
        <v>1204752</v>
      </c>
      <c r="M55" s="1137">
        <v>25903</v>
      </c>
      <c r="N55" s="1137">
        <v>42057476</v>
      </c>
      <c r="O55" s="1137">
        <v>4048273</v>
      </c>
      <c r="P55" s="1138">
        <v>8.7804082740310765</v>
      </c>
      <c r="Q55" s="1138">
        <v>64.847836785398599</v>
      </c>
      <c r="R55" s="1138">
        <v>97.534152750901839</v>
      </c>
      <c r="S55" s="1139">
        <v>107.20536563224157</v>
      </c>
      <c r="T55" s="1141">
        <v>3443568</v>
      </c>
      <c r="U55" s="1141">
        <v>8060278</v>
      </c>
      <c r="V55" s="1141">
        <v>753819</v>
      </c>
      <c r="W55" s="56">
        <f>+IFERROR(VLOOKUP(C55,'[18]מספר צרכנים'!$C:$G,3,0),"")</f>
        <v>220000</v>
      </c>
      <c r="X55" s="1088"/>
      <c r="Y55" s="1239"/>
    </row>
    <row r="56" spans="1:25" ht="17.100000000000001" customHeight="1" x14ac:dyDescent="0.25">
      <c r="A56" s="1085">
        <v>2014</v>
      </c>
      <c r="B56" s="1122">
        <v>11</v>
      </c>
      <c r="C56" s="1123"/>
      <c r="D56" s="1124">
        <v>7926</v>
      </c>
      <c r="E56" s="38" t="s">
        <v>99</v>
      </c>
      <c r="F56" s="1130">
        <v>35546</v>
      </c>
      <c r="G56" s="1130">
        <v>718629</v>
      </c>
      <c r="H56" s="1130">
        <v>2116997</v>
      </c>
      <c r="I56" s="1130">
        <v>2835626</v>
      </c>
      <c r="J56" s="1130">
        <v>2200849</v>
      </c>
      <c r="K56" s="1130">
        <v>2650546</v>
      </c>
      <c r="L56" s="1130">
        <v>0</v>
      </c>
      <c r="M56" s="1130">
        <v>0</v>
      </c>
      <c r="N56" s="1130">
        <v>2650546</v>
      </c>
      <c r="O56" s="1130">
        <v>185080</v>
      </c>
      <c r="P56" s="1131">
        <v>6.5269538366484152</v>
      </c>
      <c r="Q56" s="1131">
        <v>61.915517920441118</v>
      </c>
      <c r="R56" s="1131">
        <v>74.566646036122208</v>
      </c>
      <c r="S56" s="1127">
        <v>79.773420356720862</v>
      </c>
      <c r="T56" s="1129">
        <v>159773</v>
      </c>
      <c r="U56" s="1129">
        <v>143277</v>
      </c>
      <c r="V56" s="1129">
        <v>79641</v>
      </c>
      <c r="W56" s="56" t="str">
        <f>+IFERROR(VLOOKUP(C56,'[18]מספר צרכנים'!$C:$G,3,0),"")</f>
        <v/>
      </c>
      <c r="Y56" s="1239"/>
    </row>
    <row r="57" spans="1:25" ht="17.100000000000001" customHeight="1" x14ac:dyDescent="0.25">
      <c r="B57" s="1122"/>
      <c r="C57" s="1123"/>
      <c r="D57" s="1124"/>
      <c r="E57" s="5" t="s">
        <v>680</v>
      </c>
      <c r="F57" s="1204">
        <v>27604</v>
      </c>
      <c r="G57" s="1204">
        <v>0</v>
      </c>
      <c r="H57" s="1204">
        <v>2384380</v>
      </c>
      <c r="I57" s="1204">
        <v>2384380</v>
      </c>
      <c r="J57" s="1204">
        <v>1563555</v>
      </c>
      <c r="K57" s="1204">
        <v>1933367</v>
      </c>
      <c r="L57" s="1204">
        <v>45830</v>
      </c>
      <c r="M57" s="1204">
        <v>43195</v>
      </c>
      <c r="N57" s="1204">
        <v>2022392</v>
      </c>
      <c r="O57" s="1204">
        <v>361988</v>
      </c>
      <c r="P57" s="1131"/>
      <c r="Q57" s="1131"/>
      <c r="R57" s="1131"/>
      <c r="S57" s="1127"/>
      <c r="T57" s="1129"/>
      <c r="U57" s="1129"/>
      <c r="V57" s="1129"/>
      <c r="W57" s="56" t="str">
        <f>+IFERROR(VLOOKUP(C57,'[18]מספר צרכנים'!$C:$G,3,0),"")</f>
        <v/>
      </c>
      <c r="Y57" s="1239"/>
    </row>
    <row r="58" spans="1:25" ht="17.100000000000001" customHeight="1" x14ac:dyDescent="0.25">
      <c r="B58" s="1133"/>
      <c r="C58" s="1134" t="s">
        <v>266</v>
      </c>
      <c r="D58" s="1155"/>
      <c r="E58" s="1136" t="s">
        <v>535</v>
      </c>
      <c r="F58" s="1137">
        <f>SUM(F56:F57)</f>
        <v>63150</v>
      </c>
      <c r="G58" s="1137">
        <f t="shared" ref="G58:O58" si="1">SUM(G56:G57)</f>
        <v>718629</v>
      </c>
      <c r="H58" s="1137">
        <f t="shared" si="1"/>
        <v>4501377</v>
      </c>
      <c r="I58" s="1137">
        <f t="shared" si="1"/>
        <v>5220006</v>
      </c>
      <c r="J58" s="1137">
        <f t="shared" si="1"/>
        <v>3764404</v>
      </c>
      <c r="K58" s="1137">
        <f t="shared" si="1"/>
        <v>4583913</v>
      </c>
      <c r="L58" s="1137">
        <f t="shared" si="1"/>
        <v>45830</v>
      </c>
      <c r="M58" s="1137">
        <f t="shared" si="1"/>
        <v>43195</v>
      </c>
      <c r="N58" s="1137">
        <f t="shared" si="1"/>
        <v>4672938</v>
      </c>
      <c r="O58" s="1137">
        <f t="shared" si="1"/>
        <v>547068</v>
      </c>
      <c r="P58" s="1138">
        <v>6.5269538366484152</v>
      </c>
      <c r="Q58" s="1138">
        <v>61.915517920441118</v>
      </c>
      <c r="R58" s="1138">
        <v>74.566646036122208</v>
      </c>
      <c r="S58" s="1139">
        <v>79.773420356720862</v>
      </c>
      <c r="T58" s="1141">
        <v>159773</v>
      </c>
      <c r="U58" s="1141">
        <v>143277</v>
      </c>
      <c r="V58" s="1141">
        <v>79641</v>
      </c>
      <c r="W58" s="56">
        <f>+IFERROR(VLOOKUP(C58,'[18]מספר צרכנים'!$C:$G,3,0),"")</f>
        <v>22766.333333333336</v>
      </c>
      <c r="Y58" s="1239"/>
    </row>
    <row r="59" spans="1:25" ht="17.100000000000001" customHeight="1" x14ac:dyDescent="0.25">
      <c r="A59" s="1085">
        <v>2014</v>
      </c>
      <c r="B59" s="1122">
        <v>12</v>
      </c>
      <c r="C59" s="1123"/>
      <c r="D59" s="1175">
        <v>6590</v>
      </c>
      <c r="E59" s="38" t="s">
        <v>107</v>
      </c>
      <c r="F59" s="1130">
        <v>123478</v>
      </c>
      <c r="G59" s="1130">
        <v>0</v>
      </c>
      <c r="H59" s="1130">
        <v>12239079</v>
      </c>
      <c r="I59" s="1130">
        <v>12239079</v>
      </c>
      <c r="J59" s="1130">
        <v>6495045</v>
      </c>
      <c r="K59" s="1130">
        <v>9798067</v>
      </c>
      <c r="L59" s="1130">
        <v>878655</v>
      </c>
      <c r="M59" s="1130">
        <v>62418</v>
      </c>
      <c r="N59" s="1130">
        <v>10739140</v>
      </c>
      <c r="O59" s="1130">
        <v>1499939</v>
      </c>
      <c r="P59" s="1131">
        <v>12.255325747958649</v>
      </c>
      <c r="Q59" s="1131">
        <v>52.600827677804951</v>
      </c>
      <c r="R59" s="1131">
        <v>79.350710247979393</v>
      </c>
      <c r="S59" s="1127">
        <v>91.498129221399765</v>
      </c>
      <c r="T59" s="1129">
        <v>712710</v>
      </c>
      <c r="U59" s="1129">
        <v>508344</v>
      </c>
      <c r="V59" s="1129">
        <v>474432</v>
      </c>
      <c r="W59" s="56" t="str">
        <f>+IFERROR(VLOOKUP(C59,'[18]מספר צרכנים'!$C:$G,3,0),"")</f>
        <v/>
      </c>
      <c r="Y59" s="1239"/>
    </row>
    <row r="60" spans="1:25" ht="17.100000000000001" customHeight="1" x14ac:dyDescent="0.25">
      <c r="B60" s="1122"/>
      <c r="C60" s="1123"/>
      <c r="D60" s="1176"/>
      <c r="E60" s="38" t="s">
        <v>108</v>
      </c>
      <c r="F60" s="1130">
        <v>29529</v>
      </c>
      <c r="G60" s="1130">
        <v>0</v>
      </c>
      <c r="H60" s="1130">
        <v>2183705</v>
      </c>
      <c r="I60" s="1130">
        <v>2183705</v>
      </c>
      <c r="J60" s="1130">
        <v>1358947</v>
      </c>
      <c r="K60" s="1130">
        <v>1793705</v>
      </c>
      <c r="L60" s="1130">
        <v>16354</v>
      </c>
      <c r="M60" s="1130">
        <v>0</v>
      </c>
      <c r="N60" s="1130">
        <v>1810059</v>
      </c>
      <c r="O60" s="1130">
        <v>373646</v>
      </c>
      <c r="P60" s="1131">
        <v>17.110644523871127</v>
      </c>
      <c r="Q60" s="1131">
        <v>46.02075925361509</v>
      </c>
      <c r="R60" s="1131">
        <v>60.743845033695692</v>
      </c>
      <c r="S60" s="1127">
        <v>73.397372074909413</v>
      </c>
      <c r="T60" s="1129">
        <v>94478</v>
      </c>
      <c r="U60" s="1129">
        <v>95772</v>
      </c>
      <c r="V60" s="1129">
        <v>121954</v>
      </c>
      <c r="W60" s="56" t="str">
        <f>+IFERROR(VLOOKUP(C60,'[18]מספר צרכנים'!$C:$G,3,0),"")</f>
        <v/>
      </c>
      <c r="Y60" s="1239"/>
    </row>
    <row r="61" spans="1:25" ht="17.100000000000001" customHeight="1" x14ac:dyDescent="0.25">
      <c r="B61" s="1133"/>
      <c r="C61" s="1134" t="s">
        <v>271</v>
      </c>
      <c r="D61" s="1155"/>
      <c r="E61" s="1136" t="s">
        <v>535</v>
      </c>
      <c r="F61" s="1137">
        <v>153007</v>
      </c>
      <c r="G61" s="1137">
        <v>0</v>
      </c>
      <c r="H61" s="1137">
        <v>14422784</v>
      </c>
      <c r="I61" s="1137">
        <v>14422784</v>
      </c>
      <c r="J61" s="1137">
        <v>7853992</v>
      </c>
      <c r="K61" s="1137">
        <v>11591772</v>
      </c>
      <c r="L61" s="1137">
        <v>895009</v>
      </c>
      <c r="M61" s="1137">
        <v>62418</v>
      </c>
      <c r="N61" s="1137">
        <v>12549199</v>
      </c>
      <c r="O61" s="1137">
        <v>1873585</v>
      </c>
      <c r="P61" s="1138">
        <v>12.990453160776728</v>
      </c>
      <c r="Q61" s="1138">
        <v>51.330932571712403</v>
      </c>
      <c r="R61" s="1138">
        <v>75.759749553941973</v>
      </c>
      <c r="S61" s="1139">
        <v>88.004842915683597</v>
      </c>
      <c r="T61" s="1141">
        <v>807188</v>
      </c>
      <c r="U61" s="1141">
        <v>604116</v>
      </c>
      <c r="V61" s="1141">
        <v>596386</v>
      </c>
      <c r="W61" s="56">
        <f>+IFERROR(VLOOKUP(C61,'[18]מספר צרכנים'!$C:$G,3,0),"")</f>
        <v>55552</v>
      </c>
      <c r="X61" s="1088">
        <v>1.684301800857686E-3</v>
      </c>
      <c r="Y61" s="1239"/>
    </row>
    <row r="62" spans="1:25" ht="17.100000000000001" customHeight="1" x14ac:dyDescent="0.25">
      <c r="A62" s="1085">
        <v>2014</v>
      </c>
      <c r="B62" s="1122">
        <v>13</v>
      </c>
      <c r="C62" s="1123"/>
      <c r="D62" s="1124">
        <v>7695</v>
      </c>
      <c r="E62" s="38" t="s">
        <v>57</v>
      </c>
      <c r="F62" s="821">
        <v>178288</v>
      </c>
      <c r="G62" s="821">
        <v>3214047</v>
      </c>
      <c r="H62" s="821">
        <v>7566373</v>
      </c>
      <c r="I62" s="821">
        <v>10780420</v>
      </c>
      <c r="J62" s="821">
        <v>7385174</v>
      </c>
      <c r="K62" s="821">
        <v>9754918</v>
      </c>
      <c r="L62" s="821">
        <v>690439</v>
      </c>
      <c r="M62" s="821">
        <v>0</v>
      </c>
      <c r="N62" s="821">
        <v>10445357</v>
      </c>
      <c r="O62" s="821">
        <v>335063</v>
      </c>
      <c r="P62" s="1131">
        <v>5.5724028800834002</v>
      </c>
      <c r="Q62" s="1131">
        <v>42.816326057338323</v>
      </c>
      <c r="R62" s="1131">
        <v>56.555167115981099</v>
      </c>
      <c r="S62" s="1127">
        <v>60.12884598660753</v>
      </c>
      <c r="T62" s="1129">
        <v>92565</v>
      </c>
      <c r="U62" s="1129">
        <v>692182</v>
      </c>
      <c r="V62" s="1129">
        <v>619613</v>
      </c>
      <c r="W62" s="56" t="str">
        <f>+IFERROR(VLOOKUP(C62,'[18]מספר צרכנים'!$C:$G,3,0),"")</f>
        <v/>
      </c>
      <c r="Y62" s="1239"/>
    </row>
    <row r="63" spans="1:25" ht="17.100000000000001" customHeight="1" x14ac:dyDescent="0.25">
      <c r="B63" s="1133"/>
      <c r="C63" s="1134" t="s">
        <v>691</v>
      </c>
      <c r="D63" s="1155"/>
      <c r="E63" s="1136" t="s">
        <v>535</v>
      </c>
      <c r="F63" s="1137">
        <f>SUM(F62)</f>
        <v>178288</v>
      </c>
      <c r="G63" s="1137">
        <f t="shared" ref="G63:O63" si="2">SUM(G62)</f>
        <v>3214047</v>
      </c>
      <c r="H63" s="1137">
        <f t="shared" si="2"/>
        <v>7566373</v>
      </c>
      <c r="I63" s="1137">
        <f t="shared" si="2"/>
        <v>10780420</v>
      </c>
      <c r="J63" s="1137">
        <f t="shared" si="2"/>
        <v>7385174</v>
      </c>
      <c r="K63" s="1137">
        <f t="shared" si="2"/>
        <v>9754918</v>
      </c>
      <c r="L63" s="1137">
        <f t="shared" si="2"/>
        <v>690439</v>
      </c>
      <c r="M63" s="1137">
        <f t="shared" si="2"/>
        <v>0</v>
      </c>
      <c r="N63" s="1137">
        <f t="shared" si="2"/>
        <v>10445357</v>
      </c>
      <c r="O63" s="1137">
        <f t="shared" si="2"/>
        <v>335063</v>
      </c>
      <c r="P63" s="1138">
        <v>5.5724028800834002</v>
      </c>
      <c r="Q63" s="1138">
        <v>42.816326057338323</v>
      </c>
      <c r="R63" s="1138">
        <v>56.555167115981099</v>
      </c>
      <c r="S63" s="1139">
        <v>60.12884598660753</v>
      </c>
      <c r="T63" s="1141">
        <v>92565</v>
      </c>
      <c r="U63" s="1141">
        <v>692182</v>
      </c>
      <c r="V63" s="1141">
        <v>619613</v>
      </c>
      <c r="W63" s="56">
        <f>+IFERROR(VLOOKUP(C63,'[18]מספר צרכנים'!$C:$G,3,0),"")</f>
        <v>41656</v>
      </c>
      <c r="X63" s="1088">
        <v>1.932E-2</v>
      </c>
      <c r="Y63" s="1239"/>
    </row>
    <row r="64" spans="1:25" ht="17.100000000000001" customHeight="1" x14ac:dyDescent="0.25">
      <c r="A64" s="1085">
        <v>2014</v>
      </c>
      <c r="B64" s="1122">
        <v>14</v>
      </c>
      <c r="C64" s="1123"/>
      <c r="D64" s="1124">
        <v>7739</v>
      </c>
      <c r="E64" s="38" t="s">
        <v>97</v>
      </c>
      <c r="F64" s="821">
        <v>128498</v>
      </c>
      <c r="G64" s="821">
        <v>5761562</v>
      </c>
      <c r="H64" s="821">
        <v>3264847</v>
      </c>
      <c r="I64" s="821">
        <v>9026409</v>
      </c>
      <c r="J64" s="821">
        <v>6391012</v>
      </c>
      <c r="K64" s="821">
        <v>7871200</v>
      </c>
      <c r="L64" s="821">
        <v>146265</v>
      </c>
      <c r="M64" s="821">
        <v>0</v>
      </c>
      <c r="N64" s="821">
        <v>8017465</v>
      </c>
      <c r="O64" s="821">
        <v>1008944</v>
      </c>
      <c r="P64" s="1131">
        <v>11.118066984954249</v>
      </c>
      <c r="Q64" s="1131">
        <v>49.592321003173716</v>
      </c>
      <c r="R64" s="1131">
        <v>61.078132395961852</v>
      </c>
      <c r="S64" s="1127">
        <v>68.860247844743967</v>
      </c>
      <c r="T64" s="1129">
        <v>458582</v>
      </c>
      <c r="U64" s="1129">
        <v>352059</v>
      </c>
      <c r="V64" s="1129">
        <v>382087</v>
      </c>
      <c r="W64" s="56" t="str">
        <f>+IFERROR(VLOOKUP(C64,'[18]מספר צרכנים'!$C:$G,3,0),"")</f>
        <v/>
      </c>
      <c r="Y64" s="1239"/>
    </row>
    <row r="65" spans="1:25" ht="17.100000000000001" customHeight="1" x14ac:dyDescent="0.25">
      <c r="B65" s="1133"/>
      <c r="C65" s="1134" t="s">
        <v>530</v>
      </c>
      <c r="D65" s="1135"/>
      <c r="E65" s="1136" t="s">
        <v>535</v>
      </c>
      <c r="F65" s="1137">
        <f>SUM(F64)</f>
        <v>128498</v>
      </c>
      <c r="G65" s="1137">
        <f t="shared" ref="G65:O65" si="3">SUM(G64)</f>
        <v>5761562</v>
      </c>
      <c r="H65" s="1137">
        <f t="shared" si="3"/>
        <v>3264847</v>
      </c>
      <c r="I65" s="1137">
        <f t="shared" si="3"/>
        <v>9026409</v>
      </c>
      <c r="J65" s="1137">
        <f t="shared" si="3"/>
        <v>6391012</v>
      </c>
      <c r="K65" s="1137">
        <f t="shared" si="3"/>
        <v>7871200</v>
      </c>
      <c r="L65" s="1137">
        <f t="shared" si="3"/>
        <v>146265</v>
      </c>
      <c r="M65" s="1137">
        <f t="shared" si="3"/>
        <v>0</v>
      </c>
      <c r="N65" s="1137">
        <f t="shared" si="3"/>
        <v>8017465</v>
      </c>
      <c r="O65" s="1137">
        <f t="shared" si="3"/>
        <v>1008944</v>
      </c>
      <c r="P65" s="1138">
        <v>11.118066984954249</v>
      </c>
      <c r="Q65" s="1138">
        <v>49.592321003173716</v>
      </c>
      <c r="R65" s="1138">
        <v>61.078132395961852</v>
      </c>
      <c r="S65" s="1139">
        <v>68.860247844743967</v>
      </c>
      <c r="T65" s="1141">
        <v>458582</v>
      </c>
      <c r="U65" s="1141">
        <v>352059</v>
      </c>
      <c r="V65" s="1141">
        <v>382087</v>
      </c>
      <c r="W65" s="56">
        <f>+IFERROR(VLOOKUP(C65,'[18]מספר צרכנים'!$C:$G,3,0),"")</f>
        <v>53449</v>
      </c>
      <c r="Y65" s="1239"/>
    </row>
    <row r="66" spans="1:25" ht="17.100000000000001" customHeight="1" x14ac:dyDescent="0.25">
      <c r="A66" s="1085">
        <v>2014</v>
      </c>
      <c r="B66" s="1122">
        <v>15</v>
      </c>
      <c r="C66" s="1123"/>
      <c r="D66" s="1124">
        <v>7776</v>
      </c>
      <c r="E66" s="38" t="s">
        <v>98</v>
      </c>
      <c r="F66" s="821">
        <v>56849</v>
      </c>
      <c r="G66" s="821">
        <v>1552900</v>
      </c>
      <c r="H66" s="821">
        <v>2195351</v>
      </c>
      <c r="I66" s="821">
        <v>3748251</v>
      </c>
      <c r="J66" s="821">
        <v>3089478</v>
      </c>
      <c r="K66" s="821">
        <v>3668674</v>
      </c>
      <c r="L66" s="821">
        <v>0</v>
      </c>
      <c r="M66" s="821">
        <v>0</v>
      </c>
      <c r="N66" s="821">
        <v>3668674</v>
      </c>
      <c r="O66" s="821">
        <v>79577</v>
      </c>
      <c r="P66" s="1131">
        <v>1.5033021743957244</v>
      </c>
      <c r="Q66" s="1131">
        <v>55.013052226713441</v>
      </c>
      <c r="R66" s="1131">
        <v>65.326554960024211</v>
      </c>
      <c r="S66" s="1127">
        <v>66.323599066934946</v>
      </c>
      <c r="T66" s="1129">
        <v>146070</v>
      </c>
      <c r="U66" s="1129">
        <v>255100</v>
      </c>
      <c r="V66" s="1129">
        <v>65736</v>
      </c>
      <c r="W66" s="56" t="str">
        <f>+IFERROR(VLOOKUP(C66,'[18]מספר צרכנים'!$C:$G,3,0),"")</f>
        <v/>
      </c>
      <c r="Y66" s="1239"/>
    </row>
    <row r="67" spans="1:25" ht="17.100000000000001" customHeight="1" x14ac:dyDescent="0.25">
      <c r="B67" s="1133"/>
      <c r="C67" s="1134" t="s">
        <v>529</v>
      </c>
      <c r="D67" s="1135"/>
      <c r="E67" s="1136" t="s">
        <v>535</v>
      </c>
      <c r="F67" s="1137">
        <f>SUM(F66)</f>
        <v>56849</v>
      </c>
      <c r="G67" s="1137">
        <f t="shared" ref="G67:O67" si="4">SUM(G66)</f>
        <v>1552900</v>
      </c>
      <c r="H67" s="1137">
        <f t="shared" si="4"/>
        <v>2195351</v>
      </c>
      <c r="I67" s="1137">
        <f t="shared" si="4"/>
        <v>3748251</v>
      </c>
      <c r="J67" s="1137">
        <f t="shared" si="4"/>
        <v>3089478</v>
      </c>
      <c r="K67" s="1137">
        <f t="shared" si="4"/>
        <v>3668674</v>
      </c>
      <c r="L67" s="1137">
        <f t="shared" si="4"/>
        <v>0</v>
      </c>
      <c r="M67" s="1137">
        <f t="shared" si="4"/>
        <v>0</v>
      </c>
      <c r="N67" s="1137">
        <f t="shared" si="4"/>
        <v>3668674</v>
      </c>
      <c r="O67" s="1137">
        <f t="shared" si="4"/>
        <v>79577</v>
      </c>
      <c r="P67" s="1138">
        <v>1.5033021743957244</v>
      </c>
      <c r="Q67" s="1138">
        <v>55.013052226713441</v>
      </c>
      <c r="R67" s="1138">
        <v>65.326554960024211</v>
      </c>
      <c r="S67" s="1139">
        <v>66.323599066934946</v>
      </c>
      <c r="T67" s="1141">
        <v>146070</v>
      </c>
      <c r="U67" s="1141">
        <v>255100</v>
      </c>
      <c r="V67" s="1141">
        <v>65736</v>
      </c>
      <c r="W67" s="56">
        <f>+IFERROR(VLOOKUP(C67,'[18]מספר צרכנים'!$C:$G,3,0),"")</f>
        <v>25251</v>
      </c>
      <c r="Y67" s="1239"/>
    </row>
    <row r="68" spans="1:25" ht="17.100000000000001" customHeight="1" x14ac:dyDescent="0.25">
      <c r="B68" s="1177">
        <v>16</v>
      </c>
      <c r="C68" s="1123"/>
      <c r="D68" s="1124">
        <v>1245</v>
      </c>
      <c r="E68" s="38" t="s">
        <v>35</v>
      </c>
      <c r="F68" s="821">
        <v>28556</v>
      </c>
      <c r="G68" s="821">
        <v>0</v>
      </c>
      <c r="H68" s="821">
        <v>1926940</v>
      </c>
      <c r="I68" s="821">
        <v>1926940</v>
      </c>
      <c r="J68" s="821">
        <v>1155778</v>
      </c>
      <c r="K68" s="821">
        <v>1442138</v>
      </c>
      <c r="L68" s="821">
        <v>11320</v>
      </c>
      <c r="M68" s="821">
        <v>18296</v>
      </c>
      <c r="N68" s="821">
        <v>1471754</v>
      </c>
      <c r="O68" s="821">
        <v>455186</v>
      </c>
      <c r="P68" s="1131">
        <v>28.787102091688528</v>
      </c>
      <c r="Q68" s="1131">
        <v>39.752168040943985</v>
      </c>
      <c r="R68" s="1131">
        <v>49.008316747227752</v>
      </c>
      <c r="S68" s="1127">
        <v>69.366576627807788</v>
      </c>
      <c r="T68" s="1129">
        <v>544</v>
      </c>
      <c r="U68" s="1129">
        <v>124192</v>
      </c>
      <c r="V68" s="1129">
        <v>120917</v>
      </c>
      <c r="W68" s="56" t="str">
        <f>+IFERROR(VLOOKUP(C68,'[18]מספר צרכנים'!$C:$G,3,0),"")</f>
        <v/>
      </c>
      <c r="Y68" s="1239"/>
    </row>
    <row r="69" spans="1:25" ht="17.100000000000001" customHeight="1" x14ac:dyDescent="0.2">
      <c r="B69" s="1177"/>
      <c r="C69" s="1088"/>
      <c r="D69" s="1124"/>
      <c r="E69" s="38" t="s">
        <v>105</v>
      </c>
      <c r="F69" s="821">
        <v>11866</v>
      </c>
      <c r="G69" s="821">
        <v>0</v>
      </c>
      <c r="H69" s="821">
        <v>622576</v>
      </c>
      <c r="I69" s="821">
        <v>622576</v>
      </c>
      <c r="J69" s="821">
        <v>453617</v>
      </c>
      <c r="K69" s="821">
        <v>519968</v>
      </c>
      <c r="L69" s="821">
        <v>0</v>
      </c>
      <c r="M69" s="821">
        <v>5903</v>
      </c>
      <c r="N69" s="821">
        <v>525871</v>
      </c>
      <c r="O69" s="821">
        <v>96705</v>
      </c>
      <c r="P69" s="1131">
        <v>18.835282190780237</v>
      </c>
      <c r="Q69" s="1131">
        <v>38.143223599828985</v>
      </c>
      <c r="R69" s="1131">
        <v>43.657118426678068</v>
      </c>
      <c r="S69" s="1127">
        <v>53.887986318939717</v>
      </c>
      <c r="T69" s="1129">
        <v>3208</v>
      </c>
      <c r="U69" s="1129">
        <v>13526</v>
      </c>
      <c r="V69" s="1129">
        <v>37526</v>
      </c>
      <c r="W69" s="56" t="str">
        <f>+IFERROR(VLOOKUP(C69,'[18]מספר צרכנים'!$C:$G,3,0),"")</f>
        <v/>
      </c>
      <c r="Y69" s="1239"/>
    </row>
    <row r="70" spans="1:25" ht="17.100000000000001" customHeight="1" x14ac:dyDescent="0.25">
      <c r="B70" s="1177"/>
      <c r="C70" s="1123"/>
      <c r="D70" s="1124"/>
      <c r="E70" s="38" t="s">
        <v>14</v>
      </c>
      <c r="F70" s="821">
        <v>9624</v>
      </c>
      <c r="G70" s="821">
        <v>0</v>
      </c>
      <c r="H70" s="821">
        <v>619398</v>
      </c>
      <c r="I70" s="821">
        <v>619398</v>
      </c>
      <c r="J70" s="821">
        <v>425415</v>
      </c>
      <c r="K70" s="821">
        <v>511500</v>
      </c>
      <c r="L70" s="821">
        <v>0</v>
      </c>
      <c r="M70" s="821">
        <v>14133</v>
      </c>
      <c r="N70" s="821">
        <v>525633</v>
      </c>
      <c r="O70" s="821">
        <v>93765</v>
      </c>
      <c r="P70" s="1126">
        <v>22.406670110804544</v>
      </c>
      <c r="Q70" s="1126">
        <v>42.098992231786688</v>
      </c>
      <c r="R70" s="1126">
        <v>48.681923157673737</v>
      </c>
      <c r="S70" s="1127">
        <v>63.114843585975223</v>
      </c>
      <c r="T70" s="1129">
        <v>3929</v>
      </c>
      <c r="U70" s="1129">
        <v>9370</v>
      </c>
      <c r="V70" s="1129">
        <v>50047</v>
      </c>
      <c r="W70" s="56" t="str">
        <f>+IFERROR(VLOOKUP(C70,'[18]מספר צרכנים'!$C:$G,3,0),"")</f>
        <v/>
      </c>
      <c r="Y70" s="1239"/>
    </row>
    <row r="71" spans="1:25" ht="17.100000000000001" customHeight="1" x14ac:dyDescent="0.25">
      <c r="B71" s="1177"/>
      <c r="C71" s="1123"/>
      <c r="D71" s="1124"/>
      <c r="E71" s="38" t="s">
        <v>738</v>
      </c>
      <c r="F71" s="821">
        <v>7751</v>
      </c>
      <c r="G71" s="821">
        <v>0</v>
      </c>
      <c r="H71" s="821">
        <v>726101</v>
      </c>
      <c r="I71" s="821">
        <v>726101</v>
      </c>
      <c r="J71" s="821">
        <v>377725</v>
      </c>
      <c r="K71" s="821">
        <v>437747</v>
      </c>
      <c r="L71" s="821">
        <v>0</v>
      </c>
      <c r="M71" s="821">
        <v>125998</v>
      </c>
      <c r="N71" s="821">
        <v>563745</v>
      </c>
      <c r="O71" s="821">
        <v>162356</v>
      </c>
      <c r="P71" s="1126">
        <v>29.367294686942831</v>
      </c>
      <c r="Q71" s="1126">
        <v>46.21294363256785</v>
      </c>
      <c r="R71" s="1126">
        <v>53.711116910229649</v>
      </c>
      <c r="S71" s="1127">
        <v>80.919624217118994</v>
      </c>
      <c r="T71" s="1129">
        <v>0</v>
      </c>
      <c r="U71" s="1129">
        <v>30368</v>
      </c>
      <c r="V71" s="1129">
        <v>23852</v>
      </c>
      <c r="W71" s="56" t="str">
        <f>+IFERROR(VLOOKUP(C71,'[18]מספר צרכנים'!$C:$G,3,0),"")</f>
        <v/>
      </c>
      <c r="Y71" s="1239"/>
    </row>
    <row r="72" spans="1:25" ht="17.100000000000001" customHeight="1" x14ac:dyDescent="0.2">
      <c r="B72" s="1177"/>
      <c r="C72" s="1088"/>
      <c r="D72" s="1124"/>
      <c r="E72" s="38" t="s">
        <v>45</v>
      </c>
      <c r="F72" s="821">
        <v>23493</v>
      </c>
      <c r="G72" s="821">
        <v>0</v>
      </c>
      <c r="H72" s="821">
        <v>1815668</v>
      </c>
      <c r="I72" s="821">
        <v>1815668</v>
      </c>
      <c r="J72" s="821">
        <v>1084241</v>
      </c>
      <c r="K72" s="821">
        <v>1244687</v>
      </c>
      <c r="L72" s="821">
        <v>11066</v>
      </c>
      <c r="M72" s="821">
        <v>31870</v>
      </c>
      <c r="N72" s="821">
        <v>1287623</v>
      </c>
      <c r="O72" s="821">
        <v>528045</v>
      </c>
      <c r="P72" s="1131">
        <v>24.24886908784088</v>
      </c>
      <c r="Q72" s="1131">
        <v>46.579347165552562</v>
      </c>
      <c r="R72" s="1131">
        <v>53.056558729056341</v>
      </c>
      <c r="S72" s="1127">
        <v>70.59592846601268</v>
      </c>
      <c r="T72" s="1129">
        <v>336</v>
      </c>
      <c r="U72" s="1129">
        <v>51408</v>
      </c>
      <c r="V72" s="1129">
        <v>67713</v>
      </c>
      <c r="W72" s="56" t="str">
        <f>+IFERROR(VLOOKUP(C72,'[18]מספר צרכנים'!$C:$G,3,0),"")</f>
        <v/>
      </c>
      <c r="Y72" s="1239"/>
    </row>
    <row r="73" spans="1:25" s="1103" customFormat="1" ht="17.100000000000001" customHeight="1" x14ac:dyDescent="0.25">
      <c r="A73" s="1095"/>
      <c r="B73" s="1177"/>
      <c r="C73" s="1123"/>
      <c r="D73" s="1124"/>
      <c r="E73" s="38" t="s">
        <v>739</v>
      </c>
      <c r="F73" s="821">
        <v>14505</v>
      </c>
      <c r="G73" s="821">
        <v>0</v>
      </c>
      <c r="H73" s="821">
        <v>960163</v>
      </c>
      <c r="I73" s="821">
        <v>960163</v>
      </c>
      <c r="J73" s="821">
        <v>684434</v>
      </c>
      <c r="K73" s="821">
        <v>769229</v>
      </c>
      <c r="L73" s="821">
        <v>0</v>
      </c>
      <c r="M73" s="821">
        <v>0</v>
      </c>
      <c r="N73" s="821">
        <v>769229</v>
      </c>
      <c r="O73" s="821">
        <v>190934</v>
      </c>
      <c r="P73" s="1131">
        <v>20.216766799589024</v>
      </c>
      <c r="Q73" s="1131">
        <v>45.147659484876129</v>
      </c>
      <c r="R73" s="1131">
        <v>51.826514141343253</v>
      </c>
      <c r="S73" s="1127">
        <v>64.959155028423041</v>
      </c>
      <c r="T73" s="1129">
        <v>0</v>
      </c>
      <c r="U73" s="1129">
        <v>37790</v>
      </c>
      <c r="V73" s="1129">
        <v>39682</v>
      </c>
      <c r="W73" s="56" t="str">
        <f>+IFERROR(VLOOKUP(C73,'[18]מספר צרכנים'!$C:$G,3,0),"")</f>
        <v/>
      </c>
      <c r="X73" s="1088"/>
      <c r="Y73" s="1239"/>
    </row>
    <row r="74" spans="1:25" s="1103" customFormat="1" ht="17.100000000000001" customHeight="1" x14ac:dyDescent="0.25">
      <c r="A74" s="1095"/>
      <c r="B74" s="1177"/>
      <c r="C74" s="1123"/>
      <c r="D74" s="1124"/>
      <c r="E74" s="38" t="s">
        <v>740</v>
      </c>
      <c r="F74" s="821">
        <v>11479</v>
      </c>
      <c r="G74" s="821">
        <v>0</v>
      </c>
      <c r="H74" s="821">
        <v>754168</v>
      </c>
      <c r="I74" s="821">
        <v>754168</v>
      </c>
      <c r="J74" s="821">
        <v>472228</v>
      </c>
      <c r="K74" s="821">
        <v>533792</v>
      </c>
      <c r="L74" s="821">
        <v>0</v>
      </c>
      <c r="M74" s="821">
        <v>21029</v>
      </c>
      <c r="N74" s="821">
        <v>554821</v>
      </c>
      <c r="O74" s="821">
        <v>199347</v>
      </c>
      <c r="P74" s="1131">
        <v>30.426634433751332</v>
      </c>
      <c r="Q74" s="1131">
        <v>38.868795894895158</v>
      </c>
      <c r="R74" s="1131">
        <v>43.901795983367251</v>
      </c>
      <c r="S74" s="1127">
        <v>63.767052994780144</v>
      </c>
      <c r="T74" s="1129">
        <v>0</v>
      </c>
      <c r="U74" s="1129">
        <v>17790</v>
      </c>
      <c r="V74" s="1129">
        <v>31428</v>
      </c>
      <c r="W74" s="56" t="str">
        <f>+IFERROR(VLOOKUP(C74,'[18]מספר צרכנים'!$C:$G,3,0),"")</f>
        <v/>
      </c>
      <c r="X74" s="1088"/>
      <c r="Y74" s="1239"/>
    </row>
    <row r="75" spans="1:25" s="1103" customFormat="1" ht="17.100000000000001" customHeight="1" x14ac:dyDescent="0.25">
      <c r="A75" s="1095"/>
      <c r="B75" s="1178"/>
      <c r="C75" s="1134" t="s">
        <v>252</v>
      </c>
      <c r="D75" s="1135"/>
      <c r="E75" s="1136" t="s">
        <v>535</v>
      </c>
      <c r="F75" s="1137">
        <f>SUM(F68:F74)</f>
        <v>107274</v>
      </c>
      <c r="G75" s="1137">
        <f t="shared" ref="G75:O75" si="5">SUM(G68:G74)</f>
        <v>0</v>
      </c>
      <c r="H75" s="1137">
        <f t="shared" si="5"/>
        <v>7425014</v>
      </c>
      <c r="I75" s="1137">
        <f t="shared" si="5"/>
        <v>7425014</v>
      </c>
      <c r="J75" s="1137">
        <f t="shared" si="5"/>
        <v>4653438</v>
      </c>
      <c r="K75" s="1137">
        <f t="shared" si="5"/>
        <v>5459061</v>
      </c>
      <c r="L75" s="1137">
        <f t="shared" si="5"/>
        <v>22386</v>
      </c>
      <c r="M75" s="1137">
        <f t="shared" si="5"/>
        <v>217229</v>
      </c>
      <c r="N75" s="1137">
        <f t="shared" si="5"/>
        <v>5698676</v>
      </c>
      <c r="O75" s="1137">
        <f t="shared" si="5"/>
        <v>1726338</v>
      </c>
      <c r="P75" s="1138">
        <v>25.474651197042071</v>
      </c>
      <c r="Q75" s="1138">
        <v>42.377223963412902</v>
      </c>
      <c r="R75" s="1138">
        <v>49.444366590601355</v>
      </c>
      <c r="S75" s="1139">
        <v>67.001249869805235</v>
      </c>
      <c r="T75" s="1141">
        <v>8017</v>
      </c>
      <c r="U75" s="1141">
        <v>284444</v>
      </c>
      <c r="V75" s="1141">
        <v>371165</v>
      </c>
      <c r="W75" s="56">
        <f>+IFERROR(VLOOKUP(C75,'[18]מספר צרכנים'!$C:$G,3,0),"")</f>
        <v>23445</v>
      </c>
      <c r="X75" s="1088">
        <v>1.8540028612944626E-2</v>
      </c>
      <c r="Y75" s="1239"/>
    </row>
    <row r="76" spans="1:25" ht="17.100000000000001" customHeight="1" x14ac:dyDescent="0.2">
      <c r="A76" s="1085">
        <v>2014</v>
      </c>
      <c r="B76" s="1122">
        <v>17</v>
      </c>
      <c r="C76" s="1157"/>
      <c r="D76" s="1124">
        <v>4014</v>
      </c>
      <c r="E76" s="38" t="s">
        <v>15</v>
      </c>
      <c r="F76" s="821">
        <v>54134</v>
      </c>
      <c r="G76" s="821">
        <v>0</v>
      </c>
      <c r="H76" s="821">
        <v>5168878</v>
      </c>
      <c r="I76" s="821">
        <v>5168878</v>
      </c>
      <c r="J76" s="821">
        <v>3181029</v>
      </c>
      <c r="K76" s="821">
        <v>4259311</v>
      </c>
      <c r="L76" s="821">
        <v>97539</v>
      </c>
      <c r="M76" s="821">
        <v>458238</v>
      </c>
      <c r="N76" s="821">
        <v>4815088</v>
      </c>
      <c r="O76" s="821">
        <v>353790</v>
      </c>
      <c r="P76" s="1131">
        <v>6.9513150737080922</v>
      </c>
      <c r="Q76" s="1131">
        <v>60.663825161622519</v>
      </c>
      <c r="R76" s="1131">
        <v>81.22720598050995</v>
      </c>
      <c r="S76" s="1127">
        <v>88.087190342696957</v>
      </c>
      <c r="T76" s="1129">
        <v>456818</v>
      </c>
      <c r="U76" s="1129">
        <v>136974</v>
      </c>
      <c r="V76" s="1129">
        <v>184730</v>
      </c>
      <c r="W76" s="56" t="str">
        <f>+IFERROR(VLOOKUP(C76,'[18]מספר צרכנים'!$C:$G,3,0),"")</f>
        <v/>
      </c>
      <c r="Y76" s="1239"/>
    </row>
    <row r="77" spans="1:25" ht="17.100000000000001" customHeight="1" thickBot="1" x14ac:dyDescent="0.3">
      <c r="B77" s="1162"/>
      <c r="C77" s="1134" t="s">
        <v>253</v>
      </c>
      <c r="D77" s="1163"/>
      <c r="E77" s="1164" t="s">
        <v>535</v>
      </c>
      <c r="F77" s="1165">
        <f>SUM(F76)</f>
        <v>54134</v>
      </c>
      <c r="G77" s="1165">
        <f t="shared" ref="G77:O77" si="6">SUM(G76)</f>
        <v>0</v>
      </c>
      <c r="H77" s="1165">
        <f t="shared" si="6"/>
        <v>5168878</v>
      </c>
      <c r="I77" s="1165">
        <f t="shared" si="6"/>
        <v>5168878</v>
      </c>
      <c r="J77" s="1165">
        <f t="shared" si="6"/>
        <v>3181029</v>
      </c>
      <c r="K77" s="1165">
        <f t="shared" si="6"/>
        <v>4259311</v>
      </c>
      <c r="L77" s="1165">
        <f t="shared" si="6"/>
        <v>97539</v>
      </c>
      <c r="M77" s="1165">
        <f t="shared" si="6"/>
        <v>458238</v>
      </c>
      <c r="N77" s="1165">
        <f t="shared" si="6"/>
        <v>4815088</v>
      </c>
      <c r="O77" s="1165">
        <f t="shared" si="6"/>
        <v>353790</v>
      </c>
      <c r="P77" s="1166">
        <v>6.9513150737080922</v>
      </c>
      <c r="Q77" s="1166">
        <v>60.663825161622519</v>
      </c>
      <c r="R77" s="1166">
        <v>81.22720598050995</v>
      </c>
      <c r="S77" s="1167">
        <v>88.087190342696957</v>
      </c>
      <c r="T77" s="1179">
        <v>456818</v>
      </c>
      <c r="U77" s="1179">
        <v>136974</v>
      </c>
      <c r="V77" s="1179">
        <v>184730</v>
      </c>
      <c r="W77" s="56">
        <f>+IFERROR(VLOOKUP(C77,'[18]מספר צרכנים'!$C:$G,3,0),"")</f>
        <v>17371</v>
      </c>
      <c r="Y77" s="1239"/>
    </row>
    <row r="78" spans="1:25" ht="17.100000000000001" customHeight="1" x14ac:dyDescent="0.25">
      <c r="A78" s="1085">
        <v>2014</v>
      </c>
      <c r="B78" s="1113">
        <v>18</v>
      </c>
      <c r="C78" s="1114"/>
      <c r="D78" s="1115">
        <v>7803</v>
      </c>
      <c r="E78" s="38" t="s">
        <v>62</v>
      </c>
      <c r="F78" s="821">
        <v>90733</v>
      </c>
      <c r="G78" s="821">
        <v>3170330</v>
      </c>
      <c r="H78" s="821">
        <v>7361927</v>
      </c>
      <c r="I78" s="821">
        <v>10532257</v>
      </c>
      <c r="J78" s="821">
        <v>7016833</v>
      </c>
      <c r="K78" s="821">
        <v>9715642</v>
      </c>
      <c r="L78" s="821">
        <v>271559</v>
      </c>
      <c r="M78" s="821">
        <v>62432</v>
      </c>
      <c r="N78" s="821">
        <v>10049633</v>
      </c>
      <c r="O78" s="821">
        <v>482624</v>
      </c>
      <c r="P78" s="1172">
        <v>4.9736526284774767</v>
      </c>
      <c r="Q78" s="1172">
        <v>78.127141950497148</v>
      </c>
      <c r="R78" s="1172">
        <v>108.17634418179996</v>
      </c>
      <c r="S78" s="1119">
        <v>114.03290169574561</v>
      </c>
      <c r="T78" s="1180">
        <v>737825</v>
      </c>
      <c r="U78" s="1180">
        <v>1001884</v>
      </c>
      <c r="V78" s="1181">
        <v>477034</v>
      </c>
      <c r="W78" s="56" t="str">
        <f>+IFERROR(VLOOKUP(C78,'[18]מספר צרכנים'!$C:$G,3,0),"")</f>
        <v/>
      </c>
      <c r="Y78" s="1239"/>
    </row>
    <row r="79" spans="1:25" ht="17.100000000000001" customHeight="1" thickBot="1" x14ac:dyDescent="0.3">
      <c r="B79" s="1133"/>
      <c r="C79" s="1134" t="s">
        <v>254</v>
      </c>
      <c r="D79" s="1135"/>
      <c r="E79" s="1136" t="s">
        <v>535</v>
      </c>
      <c r="F79" s="1156">
        <f>SUM(F78)</f>
        <v>90733</v>
      </c>
      <c r="G79" s="1156">
        <f t="shared" ref="G79:O79" si="7">SUM(G78)</f>
        <v>3170330</v>
      </c>
      <c r="H79" s="1156">
        <f t="shared" si="7"/>
        <v>7361927</v>
      </c>
      <c r="I79" s="1156">
        <f t="shared" si="7"/>
        <v>10532257</v>
      </c>
      <c r="J79" s="1156">
        <f t="shared" si="7"/>
        <v>7016833</v>
      </c>
      <c r="K79" s="1156">
        <f t="shared" si="7"/>
        <v>9715642</v>
      </c>
      <c r="L79" s="1156">
        <f t="shared" si="7"/>
        <v>271559</v>
      </c>
      <c r="M79" s="1156">
        <f t="shared" si="7"/>
        <v>62432</v>
      </c>
      <c r="N79" s="1156">
        <f t="shared" si="7"/>
        <v>10049633</v>
      </c>
      <c r="O79" s="1156">
        <f t="shared" si="7"/>
        <v>482624</v>
      </c>
      <c r="P79" s="1138">
        <v>4.9736526284774767</v>
      </c>
      <c r="Q79" s="1138">
        <v>78.127141950497148</v>
      </c>
      <c r="R79" s="1138">
        <v>108.17634418179996</v>
      </c>
      <c r="S79" s="1139">
        <v>114.03290169574561</v>
      </c>
      <c r="T79" s="1179">
        <v>737825</v>
      </c>
      <c r="U79" s="1179">
        <v>1001884</v>
      </c>
      <c r="V79" s="1182">
        <v>477034</v>
      </c>
      <c r="W79" s="56">
        <f>+IFERROR(VLOOKUP(C79,'[18]מספר צרכנים'!$C:$G,3,0),"")</f>
        <v>37850</v>
      </c>
      <c r="Y79" s="1239"/>
    </row>
    <row r="80" spans="1:25" ht="17.100000000000001" customHeight="1" x14ac:dyDescent="0.25">
      <c r="A80" s="1085">
        <v>2014</v>
      </c>
      <c r="B80" s="1122">
        <v>19</v>
      </c>
      <c r="C80" s="1123"/>
      <c r="D80" s="1124">
        <v>2177</v>
      </c>
      <c r="E80" s="5" t="s">
        <v>138</v>
      </c>
      <c r="F80" s="821">
        <v>86774</v>
      </c>
      <c r="G80" s="821">
        <v>2528880</v>
      </c>
      <c r="H80" s="821">
        <v>4769488</v>
      </c>
      <c r="I80" s="821">
        <v>7298368</v>
      </c>
      <c r="J80" s="821">
        <v>4647029</v>
      </c>
      <c r="K80" s="821">
        <v>6351688</v>
      </c>
      <c r="L80" s="821">
        <v>121036</v>
      </c>
      <c r="M80" s="821">
        <v>26956</v>
      </c>
      <c r="N80" s="821">
        <v>6499680</v>
      </c>
      <c r="O80" s="821">
        <v>798688</v>
      </c>
      <c r="P80" s="1131">
        <v>11.639043218520063</v>
      </c>
      <c r="Q80" s="1131">
        <v>54.416771080951321</v>
      </c>
      <c r="R80" s="1131">
        <v>74.378350527536099</v>
      </c>
      <c r="S80" s="1127">
        <v>84.403854936356083</v>
      </c>
      <c r="T80" s="1180">
        <v>361632</v>
      </c>
      <c r="U80" s="1180">
        <v>355785</v>
      </c>
      <c r="V80" s="1181">
        <v>329237</v>
      </c>
      <c r="W80" s="56" t="str">
        <f>+IFERROR(VLOOKUP(C80,'[18]מספר צרכנים'!$C:$G,3,0),"")</f>
        <v/>
      </c>
      <c r="Y80" s="1239"/>
    </row>
    <row r="81" spans="1:25" ht="17.100000000000001" customHeight="1" x14ac:dyDescent="0.25">
      <c r="B81" s="1133"/>
      <c r="C81" s="1134" t="s">
        <v>445</v>
      </c>
      <c r="D81" s="1135"/>
      <c r="E81" s="1136" t="s">
        <v>535</v>
      </c>
      <c r="F81" s="1137">
        <f>SUM(F80)</f>
        <v>86774</v>
      </c>
      <c r="G81" s="1137">
        <f t="shared" ref="G81:O81" si="8">SUM(G80)</f>
        <v>2528880</v>
      </c>
      <c r="H81" s="1137">
        <f t="shared" si="8"/>
        <v>4769488</v>
      </c>
      <c r="I81" s="1137">
        <f t="shared" si="8"/>
        <v>7298368</v>
      </c>
      <c r="J81" s="1137">
        <f t="shared" si="8"/>
        <v>4647029</v>
      </c>
      <c r="K81" s="1137">
        <f t="shared" si="8"/>
        <v>6351688</v>
      </c>
      <c r="L81" s="1137">
        <f t="shared" si="8"/>
        <v>121036</v>
      </c>
      <c r="M81" s="1137">
        <f t="shared" si="8"/>
        <v>26956</v>
      </c>
      <c r="N81" s="1137">
        <f t="shared" si="8"/>
        <v>6499680</v>
      </c>
      <c r="O81" s="1137">
        <f t="shared" si="8"/>
        <v>798688</v>
      </c>
      <c r="P81" s="1138">
        <v>11.639043218520063</v>
      </c>
      <c r="Q81" s="1138">
        <v>54.416771080951321</v>
      </c>
      <c r="R81" s="1138">
        <v>74.378350527536099</v>
      </c>
      <c r="S81" s="1139">
        <v>84.403854936356083</v>
      </c>
      <c r="T81" s="1141">
        <v>361632</v>
      </c>
      <c r="U81" s="1141">
        <v>355785</v>
      </c>
      <c r="V81" s="1140">
        <v>329237</v>
      </c>
      <c r="W81" s="56">
        <f>+IFERROR(VLOOKUP(C81,'[18]מספר צרכנים'!$C:$G,3,0),"")</f>
        <v>31796</v>
      </c>
      <c r="Y81" s="1239"/>
    </row>
    <row r="82" spans="1:25" ht="17.100000000000001" customHeight="1" x14ac:dyDescent="0.25">
      <c r="A82" s="1085">
        <v>2014</v>
      </c>
      <c r="B82" s="1122">
        <v>20</v>
      </c>
      <c r="C82" s="1123"/>
      <c r="D82" s="1124">
        <v>4567</v>
      </c>
      <c r="E82" s="5" t="s">
        <v>68</v>
      </c>
      <c r="F82" s="821">
        <v>39680</v>
      </c>
      <c r="G82" s="821">
        <v>0</v>
      </c>
      <c r="H82" s="821">
        <v>3649355</v>
      </c>
      <c r="I82" s="821">
        <v>3649355</v>
      </c>
      <c r="J82" s="821">
        <v>2162572</v>
      </c>
      <c r="K82" s="821">
        <v>3074826</v>
      </c>
      <c r="L82" s="821">
        <v>210896</v>
      </c>
      <c r="M82" s="821">
        <v>0</v>
      </c>
      <c r="N82" s="821">
        <v>3285722</v>
      </c>
      <c r="O82" s="821">
        <v>363633</v>
      </c>
      <c r="P82" s="1131">
        <v>9.9066882258149871</v>
      </c>
      <c r="Q82" s="1131">
        <v>59.238810058620501</v>
      </c>
      <c r="R82" s="1131">
        <v>84.227962526707941</v>
      </c>
      <c r="S82" s="1127">
        <v>94.12493836629595</v>
      </c>
      <c r="T82" s="1129">
        <v>298672</v>
      </c>
      <c r="U82" s="1129">
        <v>316153</v>
      </c>
      <c r="V82" s="1128">
        <v>89725</v>
      </c>
      <c r="W82" s="56" t="str">
        <f>+IFERROR(VLOOKUP(C82,'[18]מספר צרכנים'!$C:$G,3,0),"")</f>
        <v/>
      </c>
      <c r="Y82" s="1239"/>
    </row>
    <row r="83" spans="1:25" ht="17.100000000000001" customHeight="1" x14ac:dyDescent="0.25">
      <c r="B83" s="1122"/>
      <c r="C83" s="1123"/>
      <c r="D83" s="1124"/>
      <c r="E83" s="5" t="s">
        <v>77</v>
      </c>
      <c r="F83" s="821">
        <v>21762</v>
      </c>
      <c r="G83" s="821">
        <v>704450</v>
      </c>
      <c r="H83" s="821">
        <v>1109871</v>
      </c>
      <c r="I83" s="821">
        <v>1814321</v>
      </c>
      <c r="J83" s="821">
        <v>1209856</v>
      </c>
      <c r="K83" s="821">
        <v>1536487</v>
      </c>
      <c r="L83" s="821">
        <v>71983</v>
      </c>
      <c r="M83" s="821">
        <v>51100</v>
      </c>
      <c r="N83" s="821">
        <v>1659570</v>
      </c>
      <c r="O83" s="821">
        <v>154751</v>
      </c>
      <c r="P83" s="1131">
        <v>8.5047063370291944</v>
      </c>
      <c r="Q83" s="1131">
        <v>56.985351608497012</v>
      </c>
      <c r="R83" s="1131">
        <v>72.369977862559466</v>
      </c>
      <c r="S83" s="1127">
        <v>79.635815552729497</v>
      </c>
      <c r="T83" s="1129">
        <v>128163</v>
      </c>
      <c r="U83" s="1129">
        <v>29871</v>
      </c>
      <c r="V83" s="1128">
        <v>111435</v>
      </c>
      <c r="W83" s="56" t="str">
        <f>+IFERROR(VLOOKUP(C83,'[18]מספר צרכנים'!$C:$G,3,0),"")</f>
        <v/>
      </c>
      <c r="Y83" s="1239"/>
    </row>
    <row r="84" spans="1:25" ht="17.100000000000001" customHeight="1" x14ac:dyDescent="0.25">
      <c r="B84" s="1133"/>
      <c r="C84" s="1134" t="s">
        <v>255</v>
      </c>
      <c r="D84" s="1135"/>
      <c r="E84" s="1136" t="s">
        <v>535</v>
      </c>
      <c r="F84" s="1137">
        <f>SUM(F82:F83)</f>
        <v>61442</v>
      </c>
      <c r="G84" s="1137">
        <f>SUM(G82:G83)</f>
        <v>704450</v>
      </c>
      <c r="H84" s="1137">
        <f>SUM(H82:H83)</f>
        <v>4759226</v>
      </c>
      <c r="I84" s="1137">
        <f>SUM(I82:I83)</f>
        <v>5463676</v>
      </c>
      <c r="J84" s="1137">
        <f t="shared" ref="J84:O84" si="9">SUM(J82:J83)</f>
        <v>3372428</v>
      </c>
      <c r="K84" s="1137">
        <f t="shared" si="9"/>
        <v>4611313</v>
      </c>
      <c r="L84" s="1137">
        <f t="shared" si="9"/>
        <v>282879</v>
      </c>
      <c r="M84" s="1137">
        <f t="shared" si="9"/>
        <v>51100</v>
      </c>
      <c r="N84" s="1137">
        <f t="shared" si="9"/>
        <v>4945292</v>
      </c>
      <c r="O84" s="1137">
        <f t="shared" si="9"/>
        <v>518384</v>
      </c>
      <c r="P84" s="1138">
        <v>9.4410176287509717</v>
      </c>
      <c r="Q84" s="1138">
        <v>58.41017025477597</v>
      </c>
      <c r="R84" s="1138">
        <v>79.867554601035735</v>
      </c>
      <c r="S84" s="1139">
        <v>88.797010582468786</v>
      </c>
      <c r="T84" s="1141">
        <v>426835</v>
      </c>
      <c r="U84" s="1141">
        <v>346024</v>
      </c>
      <c r="V84" s="1140">
        <v>201160</v>
      </c>
      <c r="W84" s="56">
        <f>+IFERROR(VLOOKUP(C84,'[18]מספר צרכנים'!$C:$G,3,0),"")</f>
        <v>19285</v>
      </c>
      <c r="Y84" s="1239"/>
    </row>
    <row r="85" spans="1:25" ht="17.100000000000001" customHeight="1" x14ac:dyDescent="0.25">
      <c r="A85" s="1085">
        <v>2014</v>
      </c>
      <c r="B85" s="1122">
        <v>21</v>
      </c>
      <c r="C85" s="1123"/>
      <c r="D85" s="1124">
        <v>2473</v>
      </c>
      <c r="E85" s="5" t="s">
        <v>63</v>
      </c>
      <c r="F85" s="821">
        <v>277082</v>
      </c>
      <c r="G85" s="821">
        <v>0</v>
      </c>
      <c r="H85" s="821">
        <v>24047748</v>
      </c>
      <c r="I85" s="821">
        <v>24047748</v>
      </c>
      <c r="J85" s="821">
        <v>12027992</v>
      </c>
      <c r="K85" s="821">
        <v>19928255</v>
      </c>
      <c r="L85" s="821">
        <v>1767032</v>
      </c>
      <c r="M85" s="821">
        <v>0</v>
      </c>
      <c r="N85" s="821">
        <v>21695287</v>
      </c>
      <c r="O85" s="821">
        <v>2352461</v>
      </c>
      <c r="P85" s="1131">
        <v>9.81967790484142</v>
      </c>
      <c r="Q85" s="1131">
        <v>44.030031810877198</v>
      </c>
      <c r="R85" s="1131">
        <v>72.949973826493448</v>
      </c>
      <c r="S85" s="1127">
        <v>81.597795568440972</v>
      </c>
      <c r="T85" s="1129">
        <v>1004064</v>
      </c>
      <c r="U85" s="1129">
        <v>1913275</v>
      </c>
      <c r="V85" s="1128">
        <v>2131620</v>
      </c>
      <c r="W85" s="56" t="str">
        <f>+IFERROR(VLOOKUP(C85,'[18]מספר צרכנים'!$C:$G,3,0),"")</f>
        <v/>
      </c>
      <c r="Y85" s="1239"/>
    </row>
    <row r="86" spans="1:25" ht="17.100000000000001" customHeight="1" x14ac:dyDescent="0.25">
      <c r="B86" s="1133"/>
      <c r="C86" s="1134" t="s">
        <v>256</v>
      </c>
      <c r="D86" s="1135"/>
      <c r="E86" s="1136" t="s">
        <v>535</v>
      </c>
      <c r="F86" s="1137">
        <f>SUM(F85)</f>
        <v>277082</v>
      </c>
      <c r="G86" s="1137">
        <f t="shared" ref="G86:O86" si="10">SUM(G85)</f>
        <v>0</v>
      </c>
      <c r="H86" s="1137">
        <f t="shared" si="10"/>
        <v>24047748</v>
      </c>
      <c r="I86" s="1137">
        <f t="shared" si="10"/>
        <v>24047748</v>
      </c>
      <c r="J86" s="1137">
        <f t="shared" si="10"/>
        <v>12027992</v>
      </c>
      <c r="K86" s="1137">
        <f t="shared" si="10"/>
        <v>19928255</v>
      </c>
      <c r="L86" s="1137">
        <f t="shared" si="10"/>
        <v>1767032</v>
      </c>
      <c r="M86" s="1137">
        <f t="shared" si="10"/>
        <v>0</v>
      </c>
      <c r="N86" s="1137">
        <f t="shared" si="10"/>
        <v>21695287</v>
      </c>
      <c r="O86" s="1137">
        <f t="shared" si="10"/>
        <v>2352461</v>
      </c>
      <c r="P86" s="1138">
        <v>9.81967790484142</v>
      </c>
      <c r="Q86" s="1138">
        <v>44.030031810877198</v>
      </c>
      <c r="R86" s="1138">
        <v>72.949973826493448</v>
      </c>
      <c r="S86" s="1139">
        <v>81.597795568440972</v>
      </c>
      <c r="T86" s="1141">
        <v>1004064</v>
      </c>
      <c r="U86" s="1141">
        <v>1913275</v>
      </c>
      <c r="V86" s="1140">
        <v>2131620</v>
      </c>
      <c r="W86" s="56">
        <f>+IFERROR(VLOOKUP(C86,'[18]מספר צרכנים'!$C:$G,3,0),"")</f>
        <v>109807</v>
      </c>
      <c r="Y86" s="1239"/>
    </row>
    <row r="87" spans="1:25" s="1103" customFormat="1" ht="17.100000000000001" customHeight="1" x14ac:dyDescent="0.25">
      <c r="A87" s="1095">
        <v>2014</v>
      </c>
      <c r="B87" s="1122">
        <v>22</v>
      </c>
      <c r="C87" s="1123"/>
      <c r="D87" s="1124">
        <v>4762</v>
      </c>
      <c r="E87" s="1174" t="s">
        <v>28</v>
      </c>
      <c r="F87" s="821">
        <v>72155</v>
      </c>
      <c r="G87" s="821">
        <v>0</v>
      </c>
      <c r="H87" s="821">
        <v>5395043</v>
      </c>
      <c r="I87" s="821">
        <v>5395043</v>
      </c>
      <c r="J87" s="821">
        <v>3351341</v>
      </c>
      <c r="K87" s="821">
        <v>4309781</v>
      </c>
      <c r="L87" s="821">
        <v>185705</v>
      </c>
      <c r="M87" s="821">
        <v>3667</v>
      </c>
      <c r="N87" s="821">
        <v>4499153</v>
      </c>
      <c r="O87" s="821">
        <v>895890</v>
      </c>
      <c r="P87" s="1131">
        <v>16.605799064066773</v>
      </c>
      <c r="Q87" s="1131">
        <v>46.778998352921469</v>
      </c>
      <c r="R87" s="1131">
        <v>60.157184333212363</v>
      </c>
      <c r="S87" s="1127">
        <v>72.662279110019256</v>
      </c>
      <c r="T87" s="1129">
        <v>204057</v>
      </c>
      <c r="U87" s="1129">
        <v>417256</v>
      </c>
      <c r="V87" s="1128">
        <v>224064</v>
      </c>
      <c r="W87" s="56" t="str">
        <f>+IFERROR(VLOOKUP(C87,'[18]מספר צרכנים'!$C:$G,3,0),"")</f>
        <v/>
      </c>
      <c r="X87" s="1088"/>
      <c r="Y87" s="1239"/>
    </row>
    <row r="88" spans="1:25" s="1103" customFormat="1" ht="17.100000000000001" customHeight="1" x14ac:dyDescent="0.25">
      <c r="A88" s="1095"/>
      <c r="B88" s="1133"/>
      <c r="C88" s="1134" t="s">
        <v>446</v>
      </c>
      <c r="D88" s="1135"/>
      <c r="E88" s="1136" t="s">
        <v>535</v>
      </c>
      <c r="F88" s="1156">
        <v>71642</v>
      </c>
      <c r="G88" s="1156">
        <v>0</v>
      </c>
      <c r="H88" s="1156">
        <v>5395043</v>
      </c>
      <c r="I88" s="1156">
        <v>5395043</v>
      </c>
      <c r="J88" s="1156">
        <v>3351341</v>
      </c>
      <c r="K88" s="1156">
        <v>4309781</v>
      </c>
      <c r="L88" s="1156">
        <v>185705</v>
      </c>
      <c r="M88" s="1156">
        <v>3667</v>
      </c>
      <c r="N88" s="1156">
        <v>4499153</v>
      </c>
      <c r="O88" s="1156">
        <v>895890</v>
      </c>
      <c r="P88" s="1138">
        <v>16.605799064066773</v>
      </c>
      <c r="Q88" s="1138">
        <v>46.778998352921469</v>
      </c>
      <c r="R88" s="1138">
        <v>60.157184333212363</v>
      </c>
      <c r="S88" s="1139">
        <v>72.662279110019256</v>
      </c>
      <c r="T88" s="1141">
        <v>204057</v>
      </c>
      <c r="U88" s="1141">
        <v>417256</v>
      </c>
      <c r="V88" s="1140">
        <v>224064</v>
      </c>
      <c r="W88" s="56">
        <f>+IFERROR(VLOOKUP(C88,'[18]מספר צרכנים'!$C:$G,3,0),"")</f>
        <v>22996</v>
      </c>
      <c r="X88" s="1088">
        <v>4.8300000000000001E-3</v>
      </c>
      <c r="Y88" s="1239"/>
    </row>
    <row r="89" spans="1:25" ht="17.100000000000001" customHeight="1" x14ac:dyDescent="0.25">
      <c r="A89" s="1085">
        <v>2014</v>
      </c>
      <c r="B89" s="1122">
        <v>23</v>
      </c>
      <c r="C89" s="1123"/>
      <c r="D89" s="1124">
        <v>4919</v>
      </c>
      <c r="E89" s="47" t="s">
        <v>104</v>
      </c>
      <c r="F89" s="821">
        <v>86970</v>
      </c>
      <c r="G89" s="821">
        <v>0</v>
      </c>
      <c r="H89" s="821">
        <v>6495771</v>
      </c>
      <c r="I89" s="821">
        <v>6495771</v>
      </c>
      <c r="J89" s="821">
        <v>4543111</v>
      </c>
      <c r="K89" s="821">
        <v>6077300</v>
      </c>
      <c r="L89" s="821">
        <v>0</v>
      </c>
      <c r="M89" s="821">
        <v>0</v>
      </c>
      <c r="N89" s="821">
        <v>6077300</v>
      </c>
      <c r="O89" s="821">
        <v>418471</v>
      </c>
      <c r="P89" s="1131">
        <v>6.4420339486117015</v>
      </c>
      <c r="Q89" s="1131">
        <v>53.181829887856154</v>
      </c>
      <c r="R89" s="1131">
        <v>71.141104581743264</v>
      </c>
      <c r="S89" s="1127">
        <v>76.039601526467351</v>
      </c>
      <c r="T89" s="1147">
        <v>662773</v>
      </c>
      <c r="U89" s="1147">
        <v>299817</v>
      </c>
      <c r="V89" s="1146">
        <v>325931</v>
      </c>
      <c r="W89" s="56" t="str">
        <f>+IFERROR(VLOOKUP(C89,'[18]מספר צרכנים'!$C:$G,3,0),"")</f>
        <v/>
      </c>
      <c r="Y89" s="1239"/>
    </row>
    <row r="90" spans="1:25" ht="17.100000000000001" customHeight="1" x14ac:dyDescent="0.25">
      <c r="B90" s="1133"/>
      <c r="C90" s="1134" t="s">
        <v>257</v>
      </c>
      <c r="D90" s="1135"/>
      <c r="E90" s="1136" t="s">
        <v>535</v>
      </c>
      <c r="F90" s="1156">
        <f>SUM(F89)</f>
        <v>86970</v>
      </c>
      <c r="G90" s="1156">
        <f t="shared" ref="G90:O90" si="11">SUM(G89)</f>
        <v>0</v>
      </c>
      <c r="H90" s="1156">
        <f t="shared" si="11"/>
        <v>6495771</v>
      </c>
      <c r="I90" s="1156">
        <f t="shared" si="11"/>
        <v>6495771</v>
      </c>
      <c r="J90" s="1156">
        <f t="shared" si="11"/>
        <v>4543111</v>
      </c>
      <c r="K90" s="1156">
        <f t="shared" si="11"/>
        <v>6077300</v>
      </c>
      <c r="L90" s="1156">
        <f t="shared" si="11"/>
        <v>0</v>
      </c>
      <c r="M90" s="1156">
        <f t="shared" si="11"/>
        <v>0</v>
      </c>
      <c r="N90" s="1156">
        <f t="shared" si="11"/>
        <v>6077300</v>
      </c>
      <c r="O90" s="1156">
        <f t="shared" si="11"/>
        <v>418471</v>
      </c>
      <c r="P90" s="1138">
        <v>6.4420339486117015</v>
      </c>
      <c r="Q90" s="1138">
        <v>53.181829887856154</v>
      </c>
      <c r="R90" s="1138">
        <v>71.141104581743264</v>
      </c>
      <c r="S90" s="1139">
        <v>76.039601526467351</v>
      </c>
      <c r="T90" s="1145">
        <v>662773</v>
      </c>
      <c r="U90" s="1145">
        <v>299817</v>
      </c>
      <c r="V90" s="1144">
        <v>325931</v>
      </c>
      <c r="W90" s="56">
        <f>+IFERROR(VLOOKUP(C90,'[18]מספר צרכנים'!$C:$G,3,0),"")</f>
        <v>24228</v>
      </c>
      <c r="Y90" s="1239"/>
    </row>
    <row r="91" spans="1:25" ht="17.100000000000001" customHeight="1" x14ac:dyDescent="0.2">
      <c r="A91" s="1085">
        <v>2014</v>
      </c>
      <c r="B91" s="1122">
        <v>24</v>
      </c>
      <c r="C91" s="1157"/>
      <c r="D91" s="1124">
        <v>5316</v>
      </c>
      <c r="E91" s="47" t="s">
        <v>101</v>
      </c>
      <c r="F91" s="821">
        <v>202428</v>
      </c>
      <c r="G91" s="821">
        <v>5978830</v>
      </c>
      <c r="H91" s="821">
        <v>10752594</v>
      </c>
      <c r="I91" s="821">
        <v>16731424</v>
      </c>
      <c r="J91" s="821">
        <v>10506585</v>
      </c>
      <c r="K91" s="821">
        <v>14114541</v>
      </c>
      <c r="L91" s="821">
        <v>1208807</v>
      </c>
      <c r="M91" s="821">
        <v>6677</v>
      </c>
      <c r="N91" s="821">
        <v>15330025</v>
      </c>
      <c r="O91" s="821">
        <v>1401399</v>
      </c>
      <c r="P91" s="1131">
        <v>8.6495070239654908</v>
      </c>
      <c r="Q91" s="1131">
        <v>53.338875407405901</v>
      </c>
      <c r="R91" s="1131">
        <v>71.655418371594791</v>
      </c>
      <c r="S91" s="1127">
        <v>79.024368203555724</v>
      </c>
      <c r="T91" s="1129">
        <v>1086790</v>
      </c>
      <c r="U91" s="1129">
        <v>972919</v>
      </c>
      <c r="V91" s="1128">
        <v>324185</v>
      </c>
      <c r="W91" s="56" t="str">
        <f>+IFERROR(VLOOKUP(C91,'[18]מספר צרכנים'!$C:$G,3,0),"")</f>
        <v/>
      </c>
      <c r="Y91" s="1239"/>
    </row>
    <row r="92" spans="1:25" ht="17.100000000000001" customHeight="1" x14ac:dyDescent="0.25">
      <c r="B92" s="1133"/>
      <c r="C92" s="1134" t="s">
        <v>448</v>
      </c>
      <c r="D92" s="1135"/>
      <c r="E92" s="1136" t="s">
        <v>535</v>
      </c>
      <c r="F92" s="1156">
        <f>SUM(F91)</f>
        <v>202428</v>
      </c>
      <c r="G92" s="1156">
        <f t="shared" ref="G92:O92" si="12">SUM(G91)</f>
        <v>5978830</v>
      </c>
      <c r="H92" s="1156">
        <f t="shared" si="12"/>
        <v>10752594</v>
      </c>
      <c r="I92" s="1156">
        <f t="shared" si="12"/>
        <v>16731424</v>
      </c>
      <c r="J92" s="1156">
        <f t="shared" si="12"/>
        <v>10506585</v>
      </c>
      <c r="K92" s="1156">
        <f t="shared" si="12"/>
        <v>14114541</v>
      </c>
      <c r="L92" s="1156">
        <f t="shared" si="12"/>
        <v>1208807</v>
      </c>
      <c r="M92" s="1156">
        <f t="shared" si="12"/>
        <v>6677</v>
      </c>
      <c r="N92" s="1156">
        <f t="shared" si="12"/>
        <v>15330025</v>
      </c>
      <c r="O92" s="1156">
        <f t="shared" si="12"/>
        <v>1401399</v>
      </c>
      <c r="P92" s="1138">
        <v>8.6495070239654908</v>
      </c>
      <c r="Q92" s="1138">
        <v>53.338875407405901</v>
      </c>
      <c r="R92" s="1138">
        <v>71.655418371594791</v>
      </c>
      <c r="S92" s="1139">
        <v>79.024368203555724</v>
      </c>
      <c r="T92" s="1141">
        <v>1086790</v>
      </c>
      <c r="U92" s="1141">
        <v>972919</v>
      </c>
      <c r="V92" s="1140">
        <v>324185</v>
      </c>
      <c r="W92" s="56">
        <f>+IFERROR(VLOOKUP(C92,'[18]מספר צרכנים'!$C:$G,3,0),"")</f>
        <v>76012</v>
      </c>
      <c r="Y92" s="1239"/>
    </row>
    <row r="93" spans="1:25" ht="17.100000000000001" customHeight="1" x14ac:dyDescent="0.25">
      <c r="A93" s="1085">
        <v>2014</v>
      </c>
      <c r="B93" s="1122">
        <v>25</v>
      </c>
      <c r="C93" s="1123"/>
      <c r="D93" s="1124">
        <v>2586</v>
      </c>
      <c r="E93" s="47" t="s">
        <v>3</v>
      </c>
      <c r="F93" s="821">
        <v>51367</v>
      </c>
      <c r="G93" s="821">
        <v>0</v>
      </c>
      <c r="H93" s="821">
        <v>3599158</v>
      </c>
      <c r="I93" s="821">
        <v>3599158</v>
      </c>
      <c r="J93" s="821">
        <v>2223594</v>
      </c>
      <c r="K93" s="821">
        <v>2934911</v>
      </c>
      <c r="L93" s="821">
        <v>9034</v>
      </c>
      <c r="M93" s="821">
        <v>17759</v>
      </c>
      <c r="N93" s="821">
        <v>2961704</v>
      </c>
      <c r="O93" s="821">
        <v>637454</v>
      </c>
      <c r="P93" s="1131">
        <v>17.002370797159529</v>
      </c>
      <c r="Q93" s="1131">
        <v>43.947151016858705</v>
      </c>
      <c r="R93" s="1131">
        <v>58.005632745024407</v>
      </c>
      <c r="S93" s="1127">
        <v>69.996778465126397</v>
      </c>
      <c r="T93" s="1129">
        <v>6071</v>
      </c>
      <c r="U93" s="1129">
        <v>116594</v>
      </c>
      <c r="V93" s="1128">
        <v>146518</v>
      </c>
      <c r="W93" s="56" t="str">
        <f>+IFERROR(VLOOKUP(C93,'[18]מספר צרכנים'!$C:$G,3,0),"")</f>
        <v/>
      </c>
      <c r="Y93" s="1239"/>
    </row>
    <row r="94" spans="1:25" ht="17.100000000000001" customHeight="1" x14ac:dyDescent="0.2">
      <c r="B94" s="1122"/>
      <c r="C94" s="1088"/>
      <c r="D94" s="1124"/>
      <c r="E94" s="47" t="s">
        <v>23</v>
      </c>
      <c r="F94" s="821">
        <v>17350</v>
      </c>
      <c r="G94" s="821">
        <v>0</v>
      </c>
      <c r="H94" s="821">
        <v>1553415</v>
      </c>
      <c r="I94" s="821">
        <v>1553415</v>
      </c>
      <c r="J94" s="821">
        <v>872226</v>
      </c>
      <c r="K94" s="821">
        <v>1162027</v>
      </c>
      <c r="L94" s="821">
        <v>30716</v>
      </c>
      <c r="M94" s="821">
        <v>25876</v>
      </c>
      <c r="N94" s="821">
        <v>1218619</v>
      </c>
      <c r="O94" s="821">
        <v>334796</v>
      </c>
      <c r="P94" s="1131">
        <v>17.969987419029778</v>
      </c>
      <c r="Q94" s="1131">
        <v>50.885362580946271</v>
      </c>
      <c r="R94" s="1131">
        <v>67.79225249402019</v>
      </c>
      <c r="S94" s="1127">
        <v>83.366489703051158</v>
      </c>
      <c r="T94" s="1129">
        <v>1739</v>
      </c>
      <c r="U94" s="1129">
        <v>26156</v>
      </c>
      <c r="V94" s="1128">
        <v>79747</v>
      </c>
      <c r="W94" s="56" t="str">
        <f>+IFERROR(VLOOKUP(C94,'[18]מספר צרכנים'!$C:$G,3,0),"")</f>
        <v/>
      </c>
      <c r="Y94" s="1239"/>
    </row>
    <row r="95" spans="1:25" ht="17.100000000000001" customHeight="1" x14ac:dyDescent="0.25">
      <c r="B95" s="1122"/>
      <c r="C95" s="1123"/>
      <c r="D95" s="1124"/>
      <c r="E95" s="47" t="s">
        <v>149</v>
      </c>
      <c r="F95" s="821">
        <v>9000</v>
      </c>
      <c r="G95" s="821">
        <v>0</v>
      </c>
      <c r="H95" s="821">
        <v>508906</v>
      </c>
      <c r="I95" s="821">
        <v>508906</v>
      </c>
      <c r="J95" s="821">
        <v>331916</v>
      </c>
      <c r="K95" s="821">
        <v>404948</v>
      </c>
      <c r="L95" s="821">
        <v>0</v>
      </c>
      <c r="M95" s="821">
        <v>2105</v>
      </c>
      <c r="N95" s="821">
        <v>407053</v>
      </c>
      <c r="O95" s="821">
        <v>101853</v>
      </c>
      <c r="P95" s="1183">
        <v>20.01410869590848</v>
      </c>
      <c r="Q95" s="1183">
        <v>36.879555555555555</v>
      </c>
      <c r="R95" s="1183">
        <v>44.99422222222222</v>
      </c>
      <c r="S95" s="1127">
        <v>56.31122222222222</v>
      </c>
      <c r="T95" s="1129">
        <v>0</v>
      </c>
      <c r="U95" s="1129">
        <v>1790</v>
      </c>
      <c r="V95" s="1128">
        <v>14291</v>
      </c>
      <c r="W95" s="56" t="str">
        <f>+IFERROR(VLOOKUP(C95,'[18]מספר צרכנים'!$C:$G,3,0),"")</f>
        <v/>
      </c>
      <c r="Y95" s="1239"/>
    </row>
    <row r="96" spans="1:25" ht="17.100000000000001" customHeight="1" x14ac:dyDescent="0.2">
      <c r="B96" s="1122"/>
      <c r="C96" s="1088"/>
      <c r="D96" s="1124"/>
      <c r="E96" s="47" t="s">
        <v>8</v>
      </c>
      <c r="F96" s="821">
        <v>2000</v>
      </c>
      <c r="G96" s="821">
        <v>0</v>
      </c>
      <c r="H96" s="821">
        <v>169928</v>
      </c>
      <c r="I96" s="821">
        <v>169928</v>
      </c>
      <c r="J96" s="821">
        <v>83631</v>
      </c>
      <c r="K96" s="821">
        <v>129592</v>
      </c>
      <c r="L96" s="821">
        <v>0</v>
      </c>
      <c r="M96" s="821">
        <v>443</v>
      </c>
      <c r="N96" s="821">
        <v>130035</v>
      </c>
      <c r="O96" s="821">
        <v>39893</v>
      </c>
      <c r="P96" s="1131">
        <v>23.476413539852174</v>
      </c>
      <c r="Q96" s="1131">
        <v>41.8155</v>
      </c>
      <c r="R96" s="1131">
        <v>64.796000000000006</v>
      </c>
      <c r="S96" s="1127">
        <v>84.742500000000007</v>
      </c>
      <c r="T96" s="1129">
        <v>15</v>
      </c>
      <c r="U96" s="1129">
        <v>70</v>
      </c>
      <c r="V96" s="1128">
        <v>2106</v>
      </c>
      <c r="W96" s="56" t="str">
        <f>+IFERROR(VLOOKUP(C96,'[18]מספר צרכנים'!$C:$G,3,0),"")</f>
        <v/>
      </c>
      <c r="Y96" s="1239"/>
    </row>
    <row r="97" spans="1:25" ht="17.100000000000001" customHeight="1" x14ac:dyDescent="0.25">
      <c r="B97" s="1122"/>
      <c r="C97" s="1123"/>
      <c r="D97" s="1124"/>
      <c r="E97" s="47" t="s">
        <v>34</v>
      </c>
      <c r="F97" s="821">
        <v>2100</v>
      </c>
      <c r="G97" s="821">
        <v>0</v>
      </c>
      <c r="H97" s="821">
        <v>221234</v>
      </c>
      <c r="I97" s="821">
        <v>221234</v>
      </c>
      <c r="J97" s="821">
        <v>115244</v>
      </c>
      <c r="K97" s="821">
        <v>173666</v>
      </c>
      <c r="L97" s="821">
        <v>0</v>
      </c>
      <c r="M97" s="821">
        <v>0</v>
      </c>
      <c r="N97" s="821">
        <v>173666</v>
      </c>
      <c r="O97" s="821">
        <v>47568</v>
      </c>
      <c r="P97" s="361">
        <v>21.501215907139049</v>
      </c>
      <c r="Q97" s="361">
        <v>54.878095238095241</v>
      </c>
      <c r="R97" s="361">
        <v>82.698095238095235</v>
      </c>
      <c r="S97" s="1127">
        <v>105.34952380952382</v>
      </c>
      <c r="T97" s="1129">
        <v>0</v>
      </c>
      <c r="U97" s="1129">
        <v>432</v>
      </c>
      <c r="V97" s="1128">
        <v>7744</v>
      </c>
      <c r="W97" s="56" t="str">
        <f>+IFERROR(VLOOKUP(C97,'[18]מספר צרכנים'!$C:$G,3,0),"")</f>
        <v/>
      </c>
      <c r="Y97" s="1239"/>
    </row>
    <row r="98" spans="1:25" ht="17.100000000000001" customHeight="1" x14ac:dyDescent="0.25">
      <c r="B98" s="1122"/>
      <c r="C98" s="1123"/>
      <c r="D98" s="1124"/>
      <c r="E98" s="47" t="s">
        <v>560</v>
      </c>
      <c r="F98" s="821">
        <v>38420</v>
      </c>
      <c r="G98" s="821">
        <v>0</v>
      </c>
      <c r="H98" s="821">
        <v>2919145</v>
      </c>
      <c r="I98" s="821">
        <v>2919145</v>
      </c>
      <c r="J98" s="821">
        <v>1815045</v>
      </c>
      <c r="K98" s="821">
        <v>2261658</v>
      </c>
      <c r="L98" s="821">
        <v>75255</v>
      </c>
      <c r="M98" s="821">
        <v>39480</v>
      </c>
      <c r="N98" s="821">
        <v>2376393</v>
      </c>
      <c r="O98" s="821">
        <v>542752</v>
      </c>
      <c r="P98" s="361">
        <v>18.592841397052904</v>
      </c>
      <c r="Q98" s="361">
        <v>48.010712868668165</v>
      </c>
      <c r="R98" s="361">
        <v>59.824308953842085</v>
      </c>
      <c r="S98" s="1127">
        <v>74.180928448617905</v>
      </c>
      <c r="T98" s="1129">
        <v>5524</v>
      </c>
      <c r="U98" s="1129">
        <v>78659</v>
      </c>
      <c r="V98" s="1128">
        <v>101046</v>
      </c>
      <c r="W98" s="56" t="str">
        <f>+IFERROR(VLOOKUP(C98,'[18]מספר צרכנים'!$C:$G,3,0),"")</f>
        <v/>
      </c>
      <c r="Y98" s="1239"/>
    </row>
    <row r="99" spans="1:25" ht="17.100000000000001" customHeight="1" x14ac:dyDescent="0.25">
      <c r="B99" s="1122"/>
      <c r="C99" s="1123"/>
      <c r="D99" s="1124"/>
      <c r="E99" s="47" t="s">
        <v>214</v>
      </c>
      <c r="F99" s="1204">
        <v>6090</v>
      </c>
      <c r="G99" s="1204">
        <v>0</v>
      </c>
      <c r="H99" s="1204">
        <v>265706</v>
      </c>
      <c r="I99" s="1204">
        <v>265706</v>
      </c>
      <c r="J99" s="1204">
        <v>203105</v>
      </c>
      <c r="K99" s="1204">
        <v>254127</v>
      </c>
      <c r="L99" s="1204">
        <v>0</v>
      </c>
      <c r="M99" s="1204">
        <v>0</v>
      </c>
      <c r="N99" s="1204">
        <v>254127</v>
      </c>
      <c r="O99" s="1204">
        <v>11579</v>
      </c>
      <c r="P99" s="361"/>
      <c r="Q99" s="361"/>
      <c r="R99" s="361"/>
      <c r="S99" s="1127"/>
      <c r="T99" s="1129"/>
      <c r="U99" s="1129"/>
      <c r="V99" s="1128"/>
      <c r="W99" s="56" t="str">
        <f>+IFERROR(VLOOKUP(C99,'[18]מספר צרכנים'!$C:$G,3,0),"")</f>
        <v/>
      </c>
      <c r="Y99" s="1239"/>
    </row>
    <row r="100" spans="1:25" s="1132" customFormat="1" ht="17.100000000000001" customHeight="1" x14ac:dyDescent="0.25">
      <c r="A100" s="1085"/>
      <c r="B100" s="1133"/>
      <c r="C100" s="1134" t="s">
        <v>449</v>
      </c>
      <c r="D100" s="1155"/>
      <c r="E100" s="1136" t="s">
        <v>535</v>
      </c>
      <c r="F100" s="1143">
        <f>SUM(F93:F99)</f>
        <v>126327</v>
      </c>
      <c r="G100" s="1143">
        <f t="shared" ref="G100:O100" si="13">SUM(G93:G99)</f>
        <v>0</v>
      </c>
      <c r="H100" s="1143">
        <f t="shared" si="13"/>
        <v>9237492</v>
      </c>
      <c r="I100" s="1143">
        <f t="shared" si="13"/>
        <v>9237492</v>
      </c>
      <c r="J100" s="1143">
        <f t="shared" si="13"/>
        <v>5644761</v>
      </c>
      <c r="K100" s="1143">
        <f t="shared" si="13"/>
        <v>7320929</v>
      </c>
      <c r="L100" s="1143">
        <f t="shared" si="13"/>
        <v>115005</v>
      </c>
      <c r="M100" s="1143">
        <f t="shared" si="13"/>
        <v>85663</v>
      </c>
      <c r="N100" s="1143">
        <f t="shared" si="13"/>
        <v>7521597</v>
      </c>
      <c r="O100" s="1143">
        <f t="shared" si="13"/>
        <v>1715895</v>
      </c>
      <c r="P100" s="1138">
        <v>18.096494955038818</v>
      </c>
      <c r="Q100" s="1138">
        <v>45.86579907790599</v>
      </c>
      <c r="R100" s="1138">
        <v>59.563581500804936</v>
      </c>
      <c r="S100" s="1139">
        <v>73.097797594464069</v>
      </c>
      <c r="T100" s="1145">
        <v>13349</v>
      </c>
      <c r="U100" s="1145">
        <v>223701</v>
      </c>
      <c r="V100" s="1144">
        <v>351452</v>
      </c>
      <c r="W100" s="56">
        <f>+IFERROR(VLOOKUP(C100,'[18]מספר צרכנים'!$C:$G,3,0),"")</f>
        <v>28522</v>
      </c>
      <c r="X100" s="1088">
        <v>1.3606826394109582E-2</v>
      </c>
      <c r="Y100" s="1239"/>
    </row>
    <row r="101" spans="1:25" ht="17.100000000000001" customHeight="1" x14ac:dyDescent="0.25">
      <c r="A101" s="1085">
        <v>2014</v>
      </c>
      <c r="B101" s="1122">
        <v>26</v>
      </c>
      <c r="C101" s="1123"/>
      <c r="D101" s="1124">
        <v>1224</v>
      </c>
      <c r="E101" s="38" t="s">
        <v>123</v>
      </c>
      <c r="F101" s="821">
        <v>47464</v>
      </c>
      <c r="G101" s="821">
        <v>0</v>
      </c>
      <c r="H101" s="821">
        <v>3533717</v>
      </c>
      <c r="I101" s="821">
        <v>3533717</v>
      </c>
      <c r="J101" s="821">
        <v>2126354</v>
      </c>
      <c r="K101" s="821">
        <v>2935867</v>
      </c>
      <c r="L101" s="821">
        <v>333968</v>
      </c>
      <c r="M101" s="821">
        <v>110608</v>
      </c>
      <c r="N101" s="821">
        <v>3380443</v>
      </c>
      <c r="O101" s="821">
        <v>153274</v>
      </c>
      <c r="P101" s="1131">
        <v>4.3374724121937325</v>
      </c>
      <c r="Q101" s="1131">
        <v>44.862628436398928</v>
      </c>
      <c r="R101" s="1131">
        <v>61.942042745321437</v>
      </c>
      <c r="S101" s="1127">
        <v>65.17587611030234</v>
      </c>
      <c r="T101" s="1129">
        <v>253144</v>
      </c>
      <c r="U101" s="1129">
        <v>268887</v>
      </c>
      <c r="V101" s="1128">
        <v>170389</v>
      </c>
      <c r="W101" s="56" t="str">
        <f>+IFERROR(VLOOKUP(C101,'[18]מספר צרכנים'!$C:$G,3,0),"")</f>
        <v/>
      </c>
      <c r="Y101" s="1239"/>
    </row>
    <row r="102" spans="1:25" ht="17.100000000000001" customHeight="1" x14ac:dyDescent="0.25">
      <c r="B102" s="1133"/>
      <c r="C102" s="1134" t="s">
        <v>268</v>
      </c>
      <c r="D102" s="1135"/>
      <c r="E102" s="1136" t="s">
        <v>535</v>
      </c>
      <c r="F102" s="1156">
        <f>SUM(F101)</f>
        <v>47464</v>
      </c>
      <c r="G102" s="1156">
        <f t="shared" ref="G102:O102" si="14">SUM(G101)</f>
        <v>0</v>
      </c>
      <c r="H102" s="1156">
        <f t="shared" si="14"/>
        <v>3533717</v>
      </c>
      <c r="I102" s="1156">
        <f t="shared" si="14"/>
        <v>3533717</v>
      </c>
      <c r="J102" s="1156">
        <f t="shared" si="14"/>
        <v>2126354</v>
      </c>
      <c r="K102" s="1156">
        <f t="shared" si="14"/>
        <v>2935867</v>
      </c>
      <c r="L102" s="1156">
        <f t="shared" si="14"/>
        <v>333968</v>
      </c>
      <c r="M102" s="1156">
        <f t="shared" si="14"/>
        <v>110608</v>
      </c>
      <c r="N102" s="1156">
        <f t="shared" si="14"/>
        <v>3380443</v>
      </c>
      <c r="O102" s="1156">
        <f t="shared" si="14"/>
        <v>153274</v>
      </c>
      <c r="P102" s="1138">
        <v>4.3374724121937325</v>
      </c>
      <c r="Q102" s="1138">
        <v>44.862628436398928</v>
      </c>
      <c r="R102" s="1138">
        <v>61.942042745321437</v>
      </c>
      <c r="S102" s="1139">
        <v>65.17587611030234</v>
      </c>
      <c r="T102" s="1141">
        <v>253144</v>
      </c>
      <c r="U102" s="1141">
        <v>268887</v>
      </c>
      <c r="V102" s="1140">
        <v>170389</v>
      </c>
      <c r="W102" s="56">
        <f>+IFERROR(VLOOKUP(C102,'[18]מספר צרכנים'!$C:$G,3,0),"")</f>
        <v>16963</v>
      </c>
      <c r="X102" s="1088">
        <v>4.8300000000000001E-3</v>
      </c>
      <c r="Y102" s="1239"/>
    </row>
    <row r="103" spans="1:25" ht="17.100000000000001" customHeight="1" x14ac:dyDescent="0.25">
      <c r="A103" s="1085">
        <v>2014</v>
      </c>
      <c r="B103" s="1122">
        <v>27</v>
      </c>
      <c r="C103" s="1123"/>
      <c r="D103" s="1124">
        <v>5243</v>
      </c>
      <c r="E103" s="38" t="s">
        <v>59</v>
      </c>
      <c r="F103" s="821">
        <v>45784</v>
      </c>
      <c r="G103" s="821">
        <v>2012648</v>
      </c>
      <c r="H103" s="821">
        <v>1832185</v>
      </c>
      <c r="I103" s="821">
        <v>3844833</v>
      </c>
      <c r="J103" s="821">
        <v>2542684</v>
      </c>
      <c r="K103" s="821">
        <v>3531449</v>
      </c>
      <c r="L103" s="821">
        <v>217986</v>
      </c>
      <c r="M103" s="821">
        <v>5536</v>
      </c>
      <c r="N103" s="821">
        <v>3754971</v>
      </c>
      <c r="O103" s="821">
        <v>89862</v>
      </c>
      <c r="P103" s="1131">
        <v>2.7750871341318009</v>
      </c>
      <c r="Q103" s="1131">
        <v>56.782956296478261</v>
      </c>
      <c r="R103" s="1131">
        <v>78.863954085620492</v>
      </c>
      <c r="S103" s="1127">
        <v>81.257442104557938</v>
      </c>
      <c r="T103" s="1129">
        <v>302138</v>
      </c>
      <c r="U103" s="1129">
        <v>240808</v>
      </c>
      <c r="V103" s="1128">
        <v>130434</v>
      </c>
      <c r="W103" s="56" t="str">
        <f>+IFERROR(VLOOKUP(C103,'[18]מספר צרכנים'!$C:$G,3,0),"")</f>
        <v/>
      </c>
      <c r="Y103" s="1239"/>
    </row>
    <row r="104" spans="1:25" ht="17.100000000000001" customHeight="1" x14ac:dyDescent="0.2">
      <c r="B104" s="1122"/>
      <c r="C104" s="1088"/>
      <c r="D104" s="1124"/>
      <c r="E104" s="47" t="s">
        <v>78</v>
      </c>
      <c r="F104" s="821">
        <v>11857</v>
      </c>
      <c r="G104" s="821">
        <v>0</v>
      </c>
      <c r="H104" s="821">
        <v>975572</v>
      </c>
      <c r="I104" s="821">
        <v>975572</v>
      </c>
      <c r="J104" s="821">
        <v>733954</v>
      </c>
      <c r="K104" s="821">
        <v>903188</v>
      </c>
      <c r="L104" s="821">
        <v>0</v>
      </c>
      <c r="M104" s="821">
        <v>6216</v>
      </c>
      <c r="N104" s="821">
        <v>909404</v>
      </c>
      <c r="O104" s="821">
        <v>66168</v>
      </c>
      <c r="P104" s="150">
        <v>6.7824824820720568</v>
      </c>
      <c r="Q104" s="150">
        <v>65.607759005989095</v>
      </c>
      <c r="R104" s="150">
        <v>80.735496558505403</v>
      </c>
      <c r="S104" s="1127">
        <v>86.650219004201304</v>
      </c>
      <c r="T104" s="1129">
        <v>65557</v>
      </c>
      <c r="U104" s="1129">
        <v>13715</v>
      </c>
      <c r="V104" s="1128">
        <v>62407</v>
      </c>
      <c r="W104" s="56" t="str">
        <f>+IFERROR(VLOOKUP(C104,'[18]מספר צרכנים'!$C:$G,3,0),"")</f>
        <v/>
      </c>
      <c r="Y104" s="1239"/>
    </row>
    <row r="105" spans="1:25" ht="17.100000000000001" customHeight="1" x14ac:dyDescent="0.25">
      <c r="B105" s="1122"/>
      <c r="C105" s="1123"/>
      <c r="D105" s="1124"/>
      <c r="E105" s="47" t="s">
        <v>71</v>
      </c>
      <c r="F105" s="821">
        <v>10699</v>
      </c>
      <c r="G105" s="821">
        <v>0</v>
      </c>
      <c r="H105" s="821">
        <v>872886</v>
      </c>
      <c r="I105" s="821">
        <v>872886</v>
      </c>
      <c r="J105" s="821">
        <v>598977</v>
      </c>
      <c r="K105" s="821">
        <v>756385</v>
      </c>
      <c r="L105" s="821">
        <v>9633</v>
      </c>
      <c r="M105" s="821">
        <v>0</v>
      </c>
      <c r="N105" s="821">
        <v>766018</v>
      </c>
      <c r="O105" s="821">
        <v>106868</v>
      </c>
      <c r="P105" s="150">
        <v>12.243064959227207</v>
      </c>
      <c r="Q105" s="150">
        <v>55.885146482552713</v>
      </c>
      <c r="R105" s="150">
        <v>70.571468557566703</v>
      </c>
      <c r="S105" s="1127">
        <v>80.542358649001685</v>
      </c>
      <c r="T105" s="1129">
        <v>31120</v>
      </c>
      <c r="U105" s="1129">
        <v>92307</v>
      </c>
      <c r="V105" s="1128">
        <v>25709</v>
      </c>
      <c r="W105" s="56" t="str">
        <f>+IFERROR(VLOOKUP(C105,'[18]מספר צרכנים'!$C:$G,3,0),"")</f>
        <v/>
      </c>
      <c r="Y105" s="1239"/>
    </row>
    <row r="106" spans="1:25" ht="17.100000000000001" customHeight="1" x14ac:dyDescent="0.25">
      <c r="B106" s="1133"/>
      <c r="C106" s="1134" t="s">
        <v>450</v>
      </c>
      <c r="D106" s="1155"/>
      <c r="E106" s="1136" t="s">
        <v>535</v>
      </c>
      <c r="F106" s="1137">
        <f>SUM(F103:F105)</f>
        <v>68340</v>
      </c>
      <c r="G106" s="1137">
        <f t="shared" ref="G106:O106" si="15">SUM(G103:G105)</f>
        <v>2012648</v>
      </c>
      <c r="H106" s="1137">
        <f t="shared" si="15"/>
        <v>3680643</v>
      </c>
      <c r="I106" s="1137">
        <f t="shared" si="15"/>
        <v>5693291</v>
      </c>
      <c r="J106" s="1137">
        <f t="shared" si="15"/>
        <v>3875615</v>
      </c>
      <c r="K106" s="1137">
        <f t="shared" si="15"/>
        <v>5191022</v>
      </c>
      <c r="L106" s="1137">
        <f t="shared" si="15"/>
        <v>227619</v>
      </c>
      <c r="M106" s="1137">
        <f t="shared" si="15"/>
        <v>11752</v>
      </c>
      <c r="N106" s="1137">
        <f t="shared" si="15"/>
        <v>5430393</v>
      </c>
      <c r="O106" s="1137">
        <f t="shared" si="15"/>
        <v>262898</v>
      </c>
      <c r="P106" s="1138">
        <v>4.9069039420853162</v>
      </c>
      <c r="Q106" s="1138">
        <v>58.119114030352108</v>
      </c>
      <c r="R106" s="1138">
        <v>77.845090276528097</v>
      </c>
      <c r="S106" s="1139">
        <v>82.047207725991242</v>
      </c>
      <c r="T106" s="1141">
        <v>398815</v>
      </c>
      <c r="U106" s="1140">
        <v>346830</v>
      </c>
      <c r="V106" s="1140">
        <v>218550</v>
      </c>
      <c r="W106" s="56">
        <f>+IFERROR(VLOOKUP(C106,'[18]מספר צרכנים'!$C:$G,3,0),"")</f>
        <v>21292</v>
      </c>
      <c r="Y106" s="1239"/>
    </row>
    <row r="107" spans="1:25" ht="17.100000000000001" customHeight="1" x14ac:dyDescent="0.2">
      <c r="A107" s="1085">
        <v>2014</v>
      </c>
      <c r="B107" s="1177">
        <v>28</v>
      </c>
      <c r="C107" s="1157"/>
      <c r="D107" s="1124">
        <v>3043</v>
      </c>
      <c r="E107" s="47" t="s">
        <v>75</v>
      </c>
      <c r="F107" s="821">
        <v>39032</v>
      </c>
      <c r="G107" s="821">
        <v>0</v>
      </c>
      <c r="H107" s="821">
        <v>2933046</v>
      </c>
      <c r="I107" s="821">
        <v>2933046</v>
      </c>
      <c r="J107" s="821">
        <v>1976773</v>
      </c>
      <c r="K107" s="821">
        <v>2592228</v>
      </c>
      <c r="L107" s="821">
        <v>126769</v>
      </c>
      <c r="M107" s="821">
        <v>10287</v>
      </c>
      <c r="N107" s="821">
        <v>2729284</v>
      </c>
      <c r="O107" s="821">
        <v>203762</v>
      </c>
      <c r="P107" s="1131">
        <v>6.9471123194112874</v>
      </c>
      <c r="Q107" s="1131">
        <v>51.223679096162314</v>
      </c>
      <c r="R107" s="1131">
        <v>67.171827628203474</v>
      </c>
      <c r="S107" s="1127">
        <v>72.45186701562541</v>
      </c>
      <c r="T107" s="1129">
        <v>236368</v>
      </c>
      <c r="U107" s="1129">
        <v>194354</v>
      </c>
      <c r="V107" s="1128">
        <v>146250</v>
      </c>
      <c r="W107" s="56" t="str">
        <f>+IFERROR(VLOOKUP(C107,'[18]מספר צרכנים'!$C:$G,3,0),"")</f>
        <v/>
      </c>
      <c r="Y107" s="1239"/>
    </row>
    <row r="108" spans="1:25" ht="17.100000000000001" customHeight="1" x14ac:dyDescent="0.25">
      <c r="B108" s="1133"/>
      <c r="C108" s="1134" t="s">
        <v>275</v>
      </c>
      <c r="D108" s="1135"/>
      <c r="E108" s="1136" t="s">
        <v>535</v>
      </c>
      <c r="F108" s="1143">
        <f>SUM(F107)</f>
        <v>39032</v>
      </c>
      <c r="G108" s="1143">
        <f t="shared" ref="G108:O108" si="16">SUM(G107)</f>
        <v>0</v>
      </c>
      <c r="H108" s="1143">
        <f t="shared" si="16"/>
        <v>2933046</v>
      </c>
      <c r="I108" s="1143">
        <f t="shared" si="16"/>
        <v>2933046</v>
      </c>
      <c r="J108" s="1143">
        <f t="shared" si="16"/>
        <v>1976773</v>
      </c>
      <c r="K108" s="1143">
        <f t="shared" si="16"/>
        <v>2592228</v>
      </c>
      <c r="L108" s="1143">
        <f t="shared" si="16"/>
        <v>126769</v>
      </c>
      <c r="M108" s="1143">
        <f t="shared" si="16"/>
        <v>10287</v>
      </c>
      <c r="N108" s="1143">
        <f t="shared" si="16"/>
        <v>2729284</v>
      </c>
      <c r="O108" s="1143">
        <f t="shared" si="16"/>
        <v>203762</v>
      </c>
      <c r="P108" s="1138">
        <v>6.9471123194112874</v>
      </c>
      <c r="Q108" s="1138">
        <v>51.223679096162314</v>
      </c>
      <c r="R108" s="1138">
        <v>67.171827628203474</v>
      </c>
      <c r="S108" s="1139">
        <v>72.45186701562541</v>
      </c>
      <c r="T108" s="1141">
        <v>236368</v>
      </c>
      <c r="U108" s="1141">
        <v>194354</v>
      </c>
      <c r="V108" s="1140">
        <v>146250</v>
      </c>
      <c r="W108" s="56">
        <f>+IFERROR(VLOOKUP(C108,'[18]מספר צרכנים'!$C:$G,3,0),"")</f>
        <v>18534</v>
      </c>
      <c r="Y108" s="1239"/>
    </row>
    <row r="109" spans="1:25" ht="17.100000000000001" customHeight="1" x14ac:dyDescent="0.25">
      <c r="B109" s="1122">
        <v>29</v>
      </c>
      <c r="C109" s="1184"/>
      <c r="D109" s="1124">
        <v>7315</v>
      </c>
      <c r="E109" s="47" t="s">
        <v>51</v>
      </c>
      <c r="F109" s="821">
        <v>50570</v>
      </c>
      <c r="G109" s="821">
        <v>0</v>
      </c>
      <c r="H109" s="821">
        <v>6789926</v>
      </c>
      <c r="I109" s="821">
        <v>6789926</v>
      </c>
      <c r="J109" s="821">
        <v>2314691</v>
      </c>
      <c r="K109" s="821">
        <v>3338484</v>
      </c>
      <c r="L109" s="821">
        <v>3213248</v>
      </c>
      <c r="M109" s="821">
        <v>0</v>
      </c>
      <c r="N109" s="821">
        <v>6551732</v>
      </c>
      <c r="O109" s="821">
        <v>238194</v>
      </c>
      <c r="P109" s="1131">
        <v>5.0795739426677891</v>
      </c>
      <c r="Q109" s="1131">
        <v>44.616206030150757</v>
      </c>
      <c r="R109" s="1131">
        <v>66.922981844707408</v>
      </c>
      <c r="S109" s="1127">
        <v>74.993759118171496</v>
      </c>
      <c r="T109" s="1129">
        <v>296707</v>
      </c>
      <c r="U109" s="1129">
        <v>421805</v>
      </c>
      <c r="V109" s="1128">
        <v>123561</v>
      </c>
      <c r="W109" s="56" t="str">
        <f>+IFERROR(VLOOKUP(C109,'[18]מספר צרכנים'!$C:$G,3,0),"")</f>
        <v/>
      </c>
      <c r="Y109" s="1239"/>
    </row>
    <row r="110" spans="1:25" ht="17.100000000000001" customHeight="1" x14ac:dyDescent="0.25">
      <c r="B110" s="1133"/>
      <c r="C110" s="1134" t="s">
        <v>659</v>
      </c>
      <c r="D110" s="1135"/>
      <c r="E110" s="1136" t="s">
        <v>535</v>
      </c>
      <c r="F110" s="1143">
        <f>SUM(F109)</f>
        <v>50570</v>
      </c>
      <c r="G110" s="1143">
        <f t="shared" ref="G110:O110" si="17">SUM(G109)</f>
        <v>0</v>
      </c>
      <c r="H110" s="1143">
        <f t="shared" si="17"/>
        <v>6789926</v>
      </c>
      <c r="I110" s="1143">
        <f t="shared" si="17"/>
        <v>6789926</v>
      </c>
      <c r="J110" s="1143">
        <f t="shared" si="17"/>
        <v>2314691</v>
      </c>
      <c r="K110" s="1143">
        <f t="shared" si="17"/>
        <v>3338484</v>
      </c>
      <c r="L110" s="1143">
        <f t="shared" si="17"/>
        <v>3213248</v>
      </c>
      <c r="M110" s="1143">
        <f t="shared" si="17"/>
        <v>0</v>
      </c>
      <c r="N110" s="1143">
        <f t="shared" si="17"/>
        <v>6551732</v>
      </c>
      <c r="O110" s="1143">
        <f t="shared" si="17"/>
        <v>238194</v>
      </c>
      <c r="P110" s="1138">
        <v>5.0795739426677891</v>
      </c>
      <c r="Q110" s="1138">
        <v>44.616206030150757</v>
      </c>
      <c r="R110" s="1138">
        <v>66.922981844707408</v>
      </c>
      <c r="S110" s="1139">
        <v>74.993759118171496</v>
      </c>
      <c r="T110" s="1141">
        <v>296707</v>
      </c>
      <c r="U110" s="1141">
        <v>421805</v>
      </c>
      <c r="V110" s="1140">
        <v>123561</v>
      </c>
      <c r="W110" s="56">
        <f>+IFERROR(VLOOKUP(C110,'[18]מספר צרכנים'!$C:$G,3,0),"")</f>
        <v>18084</v>
      </c>
      <c r="X110" s="1088">
        <v>4.830000000000001E-3</v>
      </c>
      <c r="Y110" s="1239"/>
    </row>
    <row r="111" spans="1:25" ht="17.100000000000001" customHeight="1" x14ac:dyDescent="0.25">
      <c r="A111" s="1085">
        <v>2014</v>
      </c>
      <c r="B111" s="1122">
        <v>30</v>
      </c>
      <c r="C111" s="1123"/>
      <c r="D111" s="1124">
        <v>6647</v>
      </c>
      <c r="E111" s="5" t="s">
        <v>66</v>
      </c>
      <c r="F111" s="821">
        <v>60426</v>
      </c>
      <c r="G111" s="821">
        <v>0</v>
      </c>
      <c r="H111" s="821">
        <v>3262928</v>
      </c>
      <c r="I111" s="821">
        <v>3262928</v>
      </c>
      <c r="J111" s="821">
        <v>2339649</v>
      </c>
      <c r="K111" s="821">
        <v>2657961</v>
      </c>
      <c r="L111" s="821">
        <v>88440</v>
      </c>
      <c r="M111" s="821">
        <v>88602</v>
      </c>
      <c r="N111" s="821">
        <v>2835003</v>
      </c>
      <c r="O111" s="821">
        <v>427925</v>
      </c>
      <c r="P111" s="1131">
        <v>13.090036787247087</v>
      </c>
      <c r="Q111" s="1131">
        <v>39.86452547282331</v>
      </c>
      <c r="R111" s="1131">
        <v>45.288141080252174</v>
      </c>
      <c r="S111" s="1127">
        <v>52.563605384222186</v>
      </c>
      <c r="T111" s="1129">
        <v>45678</v>
      </c>
      <c r="U111" s="1129">
        <v>62727</v>
      </c>
      <c r="V111" s="1128">
        <v>138916</v>
      </c>
      <c r="W111" s="56" t="str">
        <f>+IFERROR(VLOOKUP(C111,'[18]מספר צרכנים'!$C:$G,3,0),"")</f>
        <v/>
      </c>
      <c r="Y111" s="1239"/>
    </row>
    <row r="112" spans="1:25" ht="17.100000000000001" customHeight="1" thickBot="1" x14ac:dyDescent="0.3">
      <c r="B112" s="1162"/>
      <c r="C112" s="1134" t="s">
        <v>269</v>
      </c>
      <c r="D112" s="1185"/>
      <c r="E112" s="1164" t="s">
        <v>535</v>
      </c>
      <c r="F112" s="1186">
        <f>SUM(F111)</f>
        <v>60426</v>
      </c>
      <c r="G112" s="1186">
        <f t="shared" ref="G112:O112" si="18">SUM(G111)</f>
        <v>0</v>
      </c>
      <c r="H112" s="1186">
        <f t="shared" si="18"/>
        <v>3262928</v>
      </c>
      <c r="I112" s="1186">
        <f t="shared" si="18"/>
        <v>3262928</v>
      </c>
      <c r="J112" s="1186">
        <f t="shared" si="18"/>
        <v>2339649</v>
      </c>
      <c r="K112" s="1186">
        <f t="shared" si="18"/>
        <v>2657961</v>
      </c>
      <c r="L112" s="1186">
        <f t="shared" si="18"/>
        <v>88440</v>
      </c>
      <c r="M112" s="1186">
        <f t="shared" si="18"/>
        <v>88602</v>
      </c>
      <c r="N112" s="1186">
        <f t="shared" si="18"/>
        <v>2835003</v>
      </c>
      <c r="O112" s="1186">
        <f t="shared" si="18"/>
        <v>427925</v>
      </c>
      <c r="P112" s="1166">
        <v>13.090036787247087</v>
      </c>
      <c r="Q112" s="1166">
        <v>39.86452547282331</v>
      </c>
      <c r="R112" s="1166">
        <v>45.288141080252174</v>
      </c>
      <c r="S112" s="1167">
        <v>52.563605384222186</v>
      </c>
      <c r="T112" s="1169">
        <v>45678</v>
      </c>
      <c r="U112" s="1169">
        <v>62727</v>
      </c>
      <c r="V112" s="1168">
        <v>138916</v>
      </c>
      <c r="W112" s="56">
        <f>+IFERROR(VLOOKUP(C112,'[18]מספר צרכנים'!$C:$G,3,0),"")</f>
        <v>6812</v>
      </c>
      <c r="X112" s="1088">
        <v>1.932E-2</v>
      </c>
      <c r="Y112" s="1239"/>
    </row>
    <row r="113" spans="1:25" ht="17.100000000000001" customHeight="1" x14ac:dyDescent="0.25">
      <c r="A113" s="1085">
        <v>2014</v>
      </c>
      <c r="B113" s="1177">
        <v>31</v>
      </c>
      <c r="C113" s="1187"/>
      <c r="D113" s="1124">
        <v>7970</v>
      </c>
      <c r="E113" s="1124" t="s">
        <v>248</v>
      </c>
      <c r="F113" s="1148">
        <v>149594</v>
      </c>
      <c r="G113" s="1130">
        <v>4298200</v>
      </c>
      <c r="H113" s="1130">
        <v>7732613</v>
      </c>
      <c r="I113" s="1130">
        <v>12030813</v>
      </c>
      <c r="J113" s="1130">
        <v>8643150</v>
      </c>
      <c r="K113" s="1130">
        <v>11422220</v>
      </c>
      <c r="L113" s="1130">
        <v>205479</v>
      </c>
      <c r="M113" s="1130">
        <v>6632</v>
      </c>
      <c r="N113" s="1130">
        <v>11634331</v>
      </c>
      <c r="O113" s="1130">
        <v>396482</v>
      </c>
      <c r="P113" s="1131">
        <v>3.2955545065823899</v>
      </c>
      <c r="Q113" s="1131">
        <v>57.777384119683944</v>
      </c>
      <c r="R113" s="1131">
        <v>76.354800326216292</v>
      </c>
      <c r="S113" s="1127">
        <v>79.005187373825152</v>
      </c>
      <c r="T113" s="1129">
        <v>805486</v>
      </c>
      <c r="U113" s="1129">
        <v>875241</v>
      </c>
      <c r="V113" s="1129">
        <v>311486</v>
      </c>
      <c r="W113" s="56" t="str">
        <f>+IFERROR(VLOOKUP(C113,'[18]מספר צרכנים'!$C:$G,3,0),"")</f>
        <v/>
      </c>
      <c r="Y113" s="1239"/>
    </row>
    <row r="114" spans="1:25" ht="17.100000000000001" customHeight="1" x14ac:dyDescent="0.25">
      <c r="B114" s="1133"/>
      <c r="C114" s="1134" t="s">
        <v>281</v>
      </c>
      <c r="D114" s="1135"/>
      <c r="E114" s="1136" t="s">
        <v>535</v>
      </c>
      <c r="F114" s="1143">
        <v>149594</v>
      </c>
      <c r="G114" s="1143">
        <v>4298200</v>
      </c>
      <c r="H114" s="1143">
        <v>7732613</v>
      </c>
      <c r="I114" s="1143">
        <v>12030813</v>
      </c>
      <c r="J114" s="1143">
        <v>8643150</v>
      </c>
      <c r="K114" s="1143">
        <v>11422220</v>
      </c>
      <c r="L114" s="1143">
        <v>205479</v>
      </c>
      <c r="M114" s="1143">
        <v>6632</v>
      </c>
      <c r="N114" s="1143">
        <v>11634331</v>
      </c>
      <c r="O114" s="1143">
        <v>396482</v>
      </c>
      <c r="P114" s="1138">
        <v>3.2955545065823899</v>
      </c>
      <c r="Q114" s="1138">
        <v>57.777384119683944</v>
      </c>
      <c r="R114" s="1138">
        <v>76.354800326216292</v>
      </c>
      <c r="S114" s="1139">
        <v>79.005187373825152</v>
      </c>
      <c r="T114" s="1141">
        <v>805486</v>
      </c>
      <c r="U114" s="1141">
        <v>875241</v>
      </c>
      <c r="V114" s="1141">
        <v>311486</v>
      </c>
      <c r="W114" s="56">
        <f>+IFERROR(VLOOKUP(C114,'[18]מספר צרכנים'!$C:$G,3,0),"")</f>
        <v>68934</v>
      </c>
      <c r="Y114" s="1239"/>
    </row>
    <row r="115" spans="1:25" ht="17.100000000000001" customHeight="1" x14ac:dyDescent="0.25">
      <c r="A115" s="1085">
        <v>2014</v>
      </c>
      <c r="B115" s="1122">
        <v>32</v>
      </c>
      <c r="C115" s="1123"/>
      <c r="D115" s="1124">
        <v>6463</v>
      </c>
      <c r="E115" s="1124" t="s">
        <v>54</v>
      </c>
      <c r="F115" s="1148">
        <v>69320</v>
      </c>
      <c r="G115" s="1130">
        <v>4151309</v>
      </c>
      <c r="H115" s="1130">
        <v>2643266</v>
      </c>
      <c r="I115" s="1130">
        <v>6794575</v>
      </c>
      <c r="J115" s="1130">
        <v>4159382</v>
      </c>
      <c r="K115" s="1130">
        <v>6187952</v>
      </c>
      <c r="L115" s="1130">
        <v>1250</v>
      </c>
      <c r="M115" s="1130">
        <v>145251</v>
      </c>
      <c r="N115" s="1130">
        <v>6334453</v>
      </c>
      <c r="O115" s="1130">
        <v>460122</v>
      </c>
      <c r="P115" s="1131">
        <v>6.7719025840468312</v>
      </c>
      <c r="Q115" s="1131">
        <v>60.002625504904792</v>
      </c>
      <c r="R115" s="1131">
        <v>89.266474321985001</v>
      </c>
      <c r="S115" s="1127">
        <v>95.904125793421812</v>
      </c>
      <c r="T115" s="1129">
        <v>637788</v>
      </c>
      <c r="U115" s="1129">
        <v>562612</v>
      </c>
      <c r="V115" s="1129">
        <v>114905</v>
      </c>
      <c r="W115" s="56" t="str">
        <f>+IFERROR(VLOOKUP(C115,'[18]מספר צרכנים'!$C:$G,3,0),"")</f>
        <v/>
      </c>
      <c r="Y115" s="1239"/>
    </row>
    <row r="116" spans="1:25" ht="17.100000000000001" customHeight="1" thickBot="1" x14ac:dyDescent="0.3">
      <c r="B116" s="1133"/>
      <c r="C116" s="1134" t="s">
        <v>258</v>
      </c>
      <c r="D116" s="1135"/>
      <c r="E116" s="1136" t="s">
        <v>535</v>
      </c>
      <c r="F116" s="1143">
        <v>69320</v>
      </c>
      <c r="G116" s="1143">
        <v>4151309</v>
      </c>
      <c r="H116" s="1143">
        <v>2643266</v>
      </c>
      <c r="I116" s="1143">
        <v>6794575</v>
      </c>
      <c r="J116" s="1143">
        <v>4159382</v>
      </c>
      <c r="K116" s="1143">
        <v>6187952</v>
      </c>
      <c r="L116" s="1143">
        <v>1250</v>
      </c>
      <c r="M116" s="1143">
        <v>145251</v>
      </c>
      <c r="N116" s="1143">
        <v>6334453</v>
      </c>
      <c r="O116" s="1143">
        <v>460122</v>
      </c>
      <c r="P116" s="1138">
        <v>6.7719025840468312</v>
      </c>
      <c r="Q116" s="1138">
        <v>60.002625504904792</v>
      </c>
      <c r="R116" s="1138">
        <v>89.266474321985001</v>
      </c>
      <c r="S116" s="1139">
        <v>95.904125793421812</v>
      </c>
      <c r="T116" s="1169">
        <v>637788</v>
      </c>
      <c r="U116" s="1169">
        <v>562612</v>
      </c>
      <c r="V116" s="1169">
        <v>114905</v>
      </c>
      <c r="W116" s="56">
        <f>+IFERROR(VLOOKUP(C116,'[18]מספר צרכנים'!$C:$G,3,0),"")</f>
        <v>25070</v>
      </c>
      <c r="Y116" s="1239"/>
    </row>
    <row r="117" spans="1:25" ht="17.100000000000001" customHeight="1" x14ac:dyDescent="0.25">
      <c r="A117" s="1085">
        <v>2014</v>
      </c>
      <c r="B117" s="1122">
        <v>33</v>
      </c>
      <c r="C117" s="1123"/>
      <c r="D117" s="1124">
        <v>371</v>
      </c>
      <c r="E117" s="38" t="s">
        <v>17</v>
      </c>
      <c r="F117" s="1130">
        <v>41984</v>
      </c>
      <c r="G117" s="1130">
        <v>4226921</v>
      </c>
      <c r="H117" s="1130">
        <v>34037</v>
      </c>
      <c r="I117" s="1130">
        <v>4260958</v>
      </c>
      <c r="J117" s="1130">
        <v>2147668</v>
      </c>
      <c r="K117" s="1130">
        <v>3062052</v>
      </c>
      <c r="L117" s="1130">
        <v>749368</v>
      </c>
      <c r="M117" s="1130">
        <v>0</v>
      </c>
      <c r="N117" s="1130">
        <v>3811420</v>
      </c>
      <c r="O117" s="1130">
        <v>449538</v>
      </c>
      <c r="P117" s="1131">
        <v>10.550162662950445</v>
      </c>
      <c r="Q117" s="1131">
        <v>51.154439786585364</v>
      </c>
      <c r="R117" s="1131">
        <v>72.933784298780495</v>
      </c>
      <c r="S117" s="1127">
        <v>83.641149009146346</v>
      </c>
      <c r="T117" s="1129">
        <v>135338</v>
      </c>
      <c r="U117" s="1129">
        <v>320386</v>
      </c>
      <c r="V117" s="1129">
        <v>131597</v>
      </c>
      <c r="W117" s="56" t="str">
        <f>+IFERROR(VLOOKUP(C117,'[18]מספר צרכנים'!$C:$G,3,0),"")</f>
        <v/>
      </c>
      <c r="Y117" s="1239"/>
    </row>
    <row r="118" spans="1:25" ht="17.100000000000001" customHeight="1" x14ac:dyDescent="0.25">
      <c r="B118" s="1122"/>
      <c r="C118" s="1123"/>
      <c r="D118" s="1124"/>
      <c r="E118" s="38" t="s">
        <v>148</v>
      </c>
      <c r="F118" s="1130">
        <v>1795</v>
      </c>
      <c r="G118" s="1125">
        <v>0</v>
      </c>
      <c r="H118" s="1130">
        <v>278048</v>
      </c>
      <c r="I118" s="1130">
        <v>278048</v>
      </c>
      <c r="J118" s="1130">
        <v>143418</v>
      </c>
      <c r="K118" s="1152">
        <v>236195</v>
      </c>
      <c r="L118" s="1130">
        <v>0</v>
      </c>
      <c r="M118" s="1152">
        <v>12629</v>
      </c>
      <c r="N118" s="1130">
        <v>248824</v>
      </c>
      <c r="O118" s="1130">
        <v>29224</v>
      </c>
      <c r="P118" s="1131">
        <v>10.510415467832892</v>
      </c>
      <c r="Q118" s="1131">
        <v>79.898607242339835</v>
      </c>
      <c r="R118" s="1131">
        <v>131.58495821727018</v>
      </c>
      <c r="S118" s="1127">
        <v>147.86573816155988</v>
      </c>
      <c r="T118" s="1129">
        <v>15859</v>
      </c>
      <c r="U118" s="1129">
        <v>24374</v>
      </c>
      <c r="V118" s="1129">
        <v>34495</v>
      </c>
      <c r="W118" s="56" t="str">
        <f>+IFERROR(VLOOKUP(C118,'[18]מספר צרכנים'!$C:$G,3,0),"")</f>
        <v/>
      </c>
      <c r="Y118" s="1239"/>
    </row>
    <row r="119" spans="1:25" ht="17.100000000000001" customHeight="1" x14ac:dyDescent="0.25">
      <c r="B119" s="1122"/>
      <c r="C119" s="1123"/>
      <c r="D119" s="1124"/>
      <c r="E119" s="38" t="s">
        <v>219</v>
      </c>
      <c r="F119" s="830">
        <v>3117</v>
      </c>
      <c r="G119" s="359">
        <v>0</v>
      </c>
      <c r="H119" s="359">
        <v>235296</v>
      </c>
      <c r="I119" s="359">
        <v>235296</v>
      </c>
      <c r="J119" s="359">
        <v>160365</v>
      </c>
      <c r="K119" s="359">
        <v>193028</v>
      </c>
      <c r="L119" s="359">
        <v>0</v>
      </c>
      <c r="M119" s="359">
        <v>8721</v>
      </c>
      <c r="N119" s="359">
        <v>201749</v>
      </c>
      <c r="O119" s="359">
        <v>33547</v>
      </c>
      <c r="P119" s="361">
        <v>14.25736094111247</v>
      </c>
      <c r="Q119" s="361">
        <v>51.448508180943215</v>
      </c>
      <c r="R119" s="361">
        <v>61.927494385627206</v>
      </c>
      <c r="S119" s="1127">
        <v>72.690086621751689</v>
      </c>
      <c r="T119" s="1129">
        <v>25239</v>
      </c>
      <c r="U119" s="1129">
        <v>7383</v>
      </c>
      <c r="V119" s="1129">
        <v>41</v>
      </c>
      <c r="W119" s="56" t="str">
        <f>+IFERROR(VLOOKUP(C119,'[18]מספר צרכנים'!$C:$G,3,0),"")</f>
        <v/>
      </c>
      <c r="Y119" s="1239"/>
    </row>
    <row r="120" spans="1:25" ht="17.100000000000001" customHeight="1" thickBot="1" x14ac:dyDescent="0.3">
      <c r="B120" s="1133"/>
      <c r="C120" s="1134" t="s">
        <v>828</v>
      </c>
      <c r="D120" s="1135"/>
      <c r="E120" s="1136" t="s">
        <v>535</v>
      </c>
      <c r="F120" s="1143">
        <v>46896</v>
      </c>
      <c r="G120" s="1143">
        <v>4226921</v>
      </c>
      <c r="H120" s="1143">
        <v>547381</v>
      </c>
      <c r="I120" s="1143">
        <v>4774302</v>
      </c>
      <c r="J120" s="1143">
        <v>2451451</v>
      </c>
      <c r="K120" s="1143">
        <v>3491275</v>
      </c>
      <c r="L120" s="1143">
        <v>749368</v>
      </c>
      <c r="M120" s="1143">
        <v>21350</v>
      </c>
      <c r="N120" s="1143">
        <v>4261993</v>
      </c>
      <c r="O120" s="1143">
        <v>512309</v>
      </c>
      <c r="P120" s="1138">
        <v>10.730552864062643</v>
      </c>
      <c r="Q120" s="1138">
        <v>52.27420249061754</v>
      </c>
      <c r="R120" s="1138">
        <v>74.447180996247013</v>
      </c>
      <c r="S120" s="1139">
        <v>85.371545547594678</v>
      </c>
      <c r="T120" s="1169">
        <v>176436</v>
      </c>
      <c r="U120" s="1169">
        <v>352143</v>
      </c>
      <c r="V120" s="1169">
        <v>166133</v>
      </c>
      <c r="W120" s="56">
        <f>+IFERROR(VLOOKUP(C120,'[18]מספר צרכנים'!$C:$G,3,0),"")</f>
        <v>17904</v>
      </c>
      <c r="X120" s="1088">
        <v>4.5680863626899855E-3</v>
      </c>
      <c r="Y120" s="1239"/>
    </row>
    <row r="121" spans="1:25" ht="17.100000000000001" customHeight="1" x14ac:dyDescent="0.25">
      <c r="A121" s="1085">
        <v>2014</v>
      </c>
      <c r="B121" s="1122">
        <v>34</v>
      </c>
      <c r="C121" s="1123"/>
      <c r="D121" s="1124">
        <v>6841</v>
      </c>
      <c r="E121" s="1174" t="s">
        <v>7</v>
      </c>
      <c r="F121" s="1130">
        <v>199334</v>
      </c>
      <c r="G121" s="1130">
        <v>0</v>
      </c>
      <c r="H121" s="1125">
        <v>18655148</v>
      </c>
      <c r="I121" s="1130">
        <v>18655148</v>
      </c>
      <c r="J121" s="1130">
        <v>10859128</v>
      </c>
      <c r="K121" s="1130">
        <v>16466464</v>
      </c>
      <c r="L121" s="1130">
        <v>541845</v>
      </c>
      <c r="M121" s="1130">
        <v>71839</v>
      </c>
      <c r="N121" s="1130">
        <v>17080148</v>
      </c>
      <c r="O121" s="1130">
        <v>1575000</v>
      </c>
      <c r="P121" s="1131">
        <v>8.4427097549695134</v>
      </c>
      <c r="Q121" s="1131">
        <v>54.477048571743907</v>
      </c>
      <c r="R121" s="1131">
        <v>82.607402650827254</v>
      </c>
      <c r="S121" s="1127">
        <v>90.508714017678869</v>
      </c>
      <c r="T121" s="1180">
        <v>1422243</v>
      </c>
      <c r="U121" s="1180">
        <v>2381941</v>
      </c>
      <c r="V121" s="1180">
        <v>815396</v>
      </c>
      <c r="W121" s="56" t="str">
        <f>+IFERROR(VLOOKUP(C121,'[18]מספר צרכנים'!$C:$G,3,0),"")</f>
        <v/>
      </c>
      <c r="Y121" s="1239"/>
    </row>
    <row r="122" spans="1:25" ht="17.100000000000001" customHeight="1" x14ac:dyDescent="0.25">
      <c r="B122" s="1122"/>
      <c r="C122" s="1123"/>
      <c r="D122" s="1124"/>
      <c r="E122" s="1174" t="s">
        <v>141</v>
      </c>
      <c r="F122" s="1130">
        <v>25074</v>
      </c>
      <c r="G122" s="1130">
        <v>0</v>
      </c>
      <c r="H122" s="1125">
        <v>2347751</v>
      </c>
      <c r="I122" s="1130">
        <v>2347751</v>
      </c>
      <c r="J122" s="1130">
        <v>1165253</v>
      </c>
      <c r="K122" s="1152">
        <v>1515703</v>
      </c>
      <c r="L122" s="1130">
        <v>538843</v>
      </c>
      <c r="M122" s="1152">
        <v>1899</v>
      </c>
      <c r="N122" s="1130">
        <v>2056445</v>
      </c>
      <c r="O122" s="1130">
        <v>291306</v>
      </c>
      <c r="P122" s="1131">
        <v>12.407874599989521</v>
      </c>
      <c r="Q122" s="1131">
        <v>46.472561218792372</v>
      </c>
      <c r="R122" s="1131">
        <v>60.44919039642658</v>
      </c>
      <c r="S122" s="1127">
        <v>72.067041556991299</v>
      </c>
      <c r="T122" s="1129">
        <v>52722</v>
      </c>
      <c r="U122" s="1129">
        <v>72509</v>
      </c>
      <c r="V122" s="1129">
        <v>119195</v>
      </c>
      <c r="W122" s="56" t="str">
        <f>+IFERROR(VLOOKUP(C122,'[18]מספר צרכנים'!$C:$G,3,0),"")</f>
        <v/>
      </c>
      <c r="Y122" s="1239"/>
    </row>
    <row r="123" spans="1:25" ht="17.100000000000001" customHeight="1" thickBot="1" x14ac:dyDescent="0.3">
      <c r="B123" s="1133"/>
      <c r="C123" s="1134" t="s">
        <v>452</v>
      </c>
      <c r="D123" s="1155"/>
      <c r="E123" s="1136" t="s">
        <v>535</v>
      </c>
      <c r="F123" s="1137">
        <v>224408</v>
      </c>
      <c r="G123" s="1137">
        <v>0</v>
      </c>
      <c r="H123" s="1137">
        <v>21002899</v>
      </c>
      <c r="I123" s="1137">
        <v>21002899</v>
      </c>
      <c r="J123" s="1137">
        <v>12024381</v>
      </c>
      <c r="K123" s="1137">
        <v>17982167</v>
      </c>
      <c r="L123" s="1137">
        <v>1080688</v>
      </c>
      <c r="M123" s="1137">
        <v>73738</v>
      </c>
      <c r="N123" s="1137">
        <v>19136593</v>
      </c>
      <c r="O123" s="1137">
        <v>1866306</v>
      </c>
      <c r="P123" s="1138">
        <v>8.8859447450563849</v>
      </c>
      <c r="Q123" s="1138">
        <v>53.582675305693201</v>
      </c>
      <c r="R123" s="1138">
        <v>80.131577305621903</v>
      </c>
      <c r="S123" s="1139">
        <v>88.448152472282629</v>
      </c>
      <c r="T123" s="1169">
        <v>1474965</v>
      </c>
      <c r="U123" s="1169">
        <v>2454450</v>
      </c>
      <c r="V123" s="1169">
        <v>934591</v>
      </c>
      <c r="W123" s="56">
        <f>+IFERROR(VLOOKUP(C123,'[18]מספר צרכנים'!$C:$G,3,0),"")</f>
        <v>88844</v>
      </c>
      <c r="X123" s="1088">
        <v>5.3268619183470241E-4</v>
      </c>
      <c r="Y123" s="1239"/>
    </row>
    <row r="124" spans="1:25" ht="17.100000000000001" customHeight="1" x14ac:dyDescent="0.25">
      <c r="A124" s="1085">
        <v>2014</v>
      </c>
      <c r="B124" s="1122">
        <v>35</v>
      </c>
      <c r="C124" s="1123"/>
      <c r="D124" s="1124">
        <v>8329</v>
      </c>
      <c r="E124" s="38" t="s">
        <v>106</v>
      </c>
      <c r="F124" s="1130">
        <v>94069</v>
      </c>
      <c r="G124" s="1130">
        <v>0</v>
      </c>
      <c r="H124" s="1130">
        <v>5761599</v>
      </c>
      <c r="I124" s="1130">
        <v>5761599</v>
      </c>
      <c r="J124" s="1130">
        <v>3804076</v>
      </c>
      <c r="K124" s="1130">
        <v>4905570</v>
      </c>
      <c r="L124" s="1130">
        <v>92876</v>
      </c>
      <c r="M124" s="1125">
        <v>0</v>
      </c>
      <c r="N124" s="1130">
        <v>4998446</v>
      </c>
      <c r="O124" s="1130">
        <v>763153</v>
      </c>
      <c r="P124" s="1131">
        <v>13.245507019839458</v>
      </c>
      <c r="Q124" s="1131">
        <v>40.439209516418799</v>
      </c>
      <c r="R124" s="1131">
        <v>52.148635576013355</v>
      </c>
      <c r="S124" s="1127">
        <v>60.261329449659293</v>
      </c>
      <c r="T124" s="1180">
        <v>212766</v>
      </c>
      <c r="U124" s="1180">
        <v>235469</v>
      </c>
      <c r="V124" s="1180">
        <v>379441</v>
      </c>
      <c r="W124" s="56" t="str">
        <f>+IFERROR(VLOOKUP(C124,'[18]מספר צרכנים'!$C:$G,3,0),"")</f>
        <v/>
      </c>
      <c r="Y124" s="1239"/>
    </row>
    <row r="125" spans="1:25" ht="17.100000000000001" customHeight="1" x14ac:dyDescent="0.25">
      <c r="B125" s="1133"/>
      <c r="C125" s="1134" t="s">
        <v>531</v>
      </c>
      <c r="D125" s="1135"/>
      <c r="E125" s="1136" t="s">
        <v>535</v>
      </c>
      <c r="F125" s="1137">
        <v>94069</v>
      </c>
      <c r="G125" s="1137">
        <v>0</v>
      </c>
      <c r="H125" s="1137">
        <v>5761599</v>
      </c>
      <c r="I125" s="1137">
        <v>5761599</v>
      </c>
      <c r="J125" s="1137">
        <v>3804076</v>
      </c>
      <c r="K125" s="1137">
        <v>4905570</v>
      </c>
      <c r="L125" s="1137">
        <v>92876</v>
      </c>
      <c r="M125" s="1137">
        <v>0</v>
      </c>
      <c r="N125" s="1137">
        <v>4998446</v>
      </c>
      <c r="O125" s="1137">
        <v>763153</v>
      </c>
      <c r="P125" s="1138">
        <v>13.245507019839458</v>
      </c>
      <c r="Q125" s="1138">
        <v>40.439209516418799</v>
      </c>
      <c r="R125" s="1138">
        <v>52.148635576013355</v>
      </c>
      <c r="S125" s="1139">
        <v>60.261329449659293</v>
      </c>
      <c r="T125" s="1141">
        <v>212766</v>
      </c>
      <c r="U125" s="1141">
        <v>235469</v>
      </c>
      <c r="V125" s="1141">
        <v>379441</v>
      </c>
      <c r="W125" s="56">
        <f>+IFERROR(VLOOKUP(C125,'[18]מספר צרכנים'!$C:$G,3,0),"")</f>
        <v>21167</v>
      </c>
      <c r="X125" s="1088">
        <v>9.6600000000000002E-3</v>
      </c>
      <c r="Y125" s="1239"/>
    </row>
    <row r="126" spans="1:25" ht="17.100000000000001" customHeight="1" x14ac:dyDescent="0.25">
      <c r="A126" s="1085">
        <v>2014</v>
      </c>
      <c r="B126" s="1122">
        <v>36</v>
      </c>
      <c r="C126" s="1123"/>
      <c r="D126" s="1124">
        <v>7864</v>
      </c>
      <c r="E126" s="47" t="s">
        <v>4</v>
      </c>
      <c r="F126" s="1148">
        <v>11840</v>
      </c>
      <c r="G126" s="1130">
        <v>0</v>
      </c>
      <c r="H126" s="1125">
        <v>1300005</v>
      </c>
      <c r="I126" s="1130">
        <v>1300005</v>
      </c>
      <c r="J126" s="1130">
        <v>733382</v>
      </c>
      <c r="K126" s="1130">
        <v>955043</v>
      </c>
      <c r="L126" s="1130">
        <v>213350</v>
      </c>
      <c r="M126" s="1130">
        <v>14207</v>
      </c>
      <c r="N126" s="1130">
        <v>1182600</v>
      </c>
      <c r="O126" s="1130">
        <v>117405</v>
      </c>
      <c r="P126" s="1131">
        <v>9.0311191110803417</v>
      </c>
      <c r="Q126" s="1131">
        <v>61.941047297297295</v>
      </c>
      <c r="R126" s="1131">
        <v>80.662415540540536</v>
      </c>
      <c r="S126" s="1127">
        <v>90.578378378378375</v>
      </c>
      <c r="T126" s="1129">
        <v>75100</v>
      </c>
      <c r="U126" s="1129">
        <v>107952</v>
      </c>
      <c r="V126" s="1129">
        <v>7752</v>
      </c>
      <c r="W126" s="56" t="str">
        <f>+IFERROR(VLOOKUP(C126,'[18]מספר צרכנים'!$C:$G,3,0),"")</f>
        <v/>
      </c>
      <c r="Y126" s="1239"/>
    </row>
    <row r="127" spans="1:25" ht="17.100000000000001" customHeight="1" x14ac:dyDescent="0.25">
      <c r="B127" s="1122"/>
      <c r="C127" s="1123"/>
      <c r="D127" s="1124"/>
      <c r="E127" s="38" t="s">
        <v>61</v>
      </c>
      <c r="F127" s="1148">
        <v>186399</v>
      </c>
      <c r="G127" s="1130">
        <v>0</v>
      </c>
      <c r="H127" s="1125">
        <v>13802779</v>
      </c>
      <c r="I127" s="1130">
        <v>13802779</v>
      </c>
      <c r="J127" s="1130">
        <v>9966567</v>
      </c>
      <c r="K127" s="1130">
        <v>12453449</v>
      </c>
      <c r="L127" s="1130">
        <v>230332</v>
      </c>
      <c r="M127" s="1130">
        <v>0</v>
      </c>
      <c r="N127" s="1130">
        <v>12683781</v>
      </c>
      <c r="O127" s="1130">
        <v>1118998</v>
      </c>
      <c r="P127" s="1131">
        <v>8.1070485878242344</v>
      </c>
      <c r="Q127" s="1131">
        <v>53.468993932370878</v>
      </c>
      <c r="R127" s="1131">
        <v>66.8107071389868</v>
      </c>
      <c r="S127" s="1127">
        <v>72.813947499718353</v>
      </c>
      <c r="T127" s="1129">
        <v>701349</v>
      </c>
      <c r="U127" s="1129">
        <v>948394</v>
      </c>
      <c r="V127" s="1129">
        <v>43033</v>
      </c>
      <c r="W127" s="56" t="str">
        <f>+IFERROR(VLOOKUP(C127,'[18]מספר צרכנים'!$C:$G,3,0),"")</f>
        <v/>
      </c>
      <c r="Y127" s="1239"/>
    </row>
    <row r="128" spans="1:25" ht="17.100000000000001" customHeight="1" x14ac:dyDescent="0.25">
      <c r="B128" s="1122"/>
      <c r="C128" s="1123"/>
      <c r="D128" s="1124"/>
      <c r="E128" s="47" t="s">
        <v>206</v>
      </c>
      <c r="F128" s="1188">
        <v>7122</v>
      </c>
      <c r="G128" s="1130">
        <v>0</v>
      </c>
      <c r="H128" s="1125">
        <v>542675</v>
      </c>
      <c r="I128" s="1130">
        <v>542675</v>
      </c>
      <c r="J128" s="1130">
        <v>385020</v>
      </c>
      <c r="K128" s="1130">
        <v>456486</v>
      </c>
      <c r="L128" s="1130">
        <v>0</v>
      </c>
      <c r="M128" s="1130">
        <v>0</v>
      </c>
      <c r="N128" s="1130">
        <v>456486</v>
      </c>
      <c r="O128" s="1130">
        <v>86189</v>
      </c>
      <c r="P128" s="1131">
        <v>15.882249965448933</v>
      </c>
      <c r="Q128" s="1131">
        <v>54.060657118786857</v>
      </c>
      <c r="R128" s="1131">
        <v>64.095197978096039</v>
      </c>
      <c r="S128" s="1127">
        <v>76.196995226060096</v>
      </c>
      <c r="T128" s="1129">
        <v>29939</v>
      </c>
      <c r="U128" s="1129">
        <v>21144</v>
      </c>
      <c r="V128" s="1129">
        <v>16463</v>
      </c>
      <c r="W128" s="56" t="str">
        <f>+IFERROR(VLOOKUP(C128,'[18]מספר צרכנים'!$C:$G,3,0),"")</f>
        <v/>
      </c>
      <c r="Y128" s="1239"/>
    </row>
    <row r="129" spans="1:25" ht="17.100000000000001" customHeight="1" x14ac:dyDescent="0.25">
      <c r="B129" s="1122"/>
      <c r="C129" s="1123"/>
      <c r="D129" s="1124"/>
      <c r="E129" s="47" t="s">
        <v>196</v>
      </c>
      <c r="F129" s="140">
        <v>35526</v>
      </c>
      <c r="G129" s="140">
        <v>0</v>
      </c>
      <c r="H129" s="140">
        <v>3222715</v>
      </c>
      <c r="I129" s="140">
        <v>3222715</v>
      </c>
      <c r="J129" s="140">
        <v>1782988</v>
      </c>
      <c r="K129" s="140">
        <v>2340274</v>
      </c>
      <c r="L129" s="140">
        <v>0</v>
      </c>
      <c r="M129" s="140">
        <v>196560</v>
      </c>
      <c r="N129" s="140">
        <v>2536834</v>
      </c>
      <c r="O129" s="140">
        <v>685881</v>
      </c>
      <c r="P129" s="141">
        <v>21.282707282524207</v>
      </c>
      <c r="Q129" s="141">
        <v>50.188256488205823</v>
      </c>
      <c r="R129" s="141">
        <v>65.87496481450205</v>
      </c>
      <c r="S129" s="1127">
        <v>85.181416427405281</v>
      </c>
      <c r="T129" s="1129">
        <v>162055</v>
      </c>
      <c r="U129" s="1129">
        <v>112288</v>
      </c>
      <c r="V129" s="1129">
        <v>258324</v>
      </c>
      <c r="W129" s="56" t="str">
        <f>+IFERROR(VLOOKUP(C129,'[18]מספר צרכנים'!$C:$G,3,0),"")</f>
        <v/>
      </c>
      <c r="Y129" s="1239"/>
    </row>
    <row r="130" spans="1:25" ht="17.100000000000001" customHeight="1" x14ac:dyDescent="0.25">
      <c r="B130" s="1133"/>
      <c r="C130" s="1134" t="s">
        <v>453</v>
      </c>
      <c r="D130" s="1135"/>
      <c r="E130" s="1136" t="s">
        <v>535</v>
      </c>
      <c r="F130" s="1143">
        <v>240887</v>
      </c>
      <c r="G130" s="1143">
        <v>0</v>
      </c>
      <c r="H130" s="1143">
        <v>18868174</v>
      </c>
      <c r="I130" s="1143">
        <v>18868174</v>
      </c>
      <c r="J130" s="1143">
        <v>12867957</v>
      </c>
      <c r="K130" s="1143">
        <v>16205252</v>
      </c>
      <c r="L130" s="1143">
        <v>443682</v>
      </c>
      <c r="M130" s="1143">
        <v>210767</v>
      </c>
      <c r="N130" s="1143">
        <v>16859701</v>
      </c>
      <c r="O130" s="1143">
        <v>2008473</v>
      </c>
      <c r="P130" s="1138">
        <v>10.6447661549019</v>
      </c>
      <c r="Q130" s="1138">
        <v>53.41905955904636</v>
      </c>
      <c r="R130" s="1138">
        <v>67.273252603918024</v>
      </c>
      <c r="S130" s="1139">
        <v>75.611074902340107</v>
      </c>
      <c r="T130" s="1141">
        <v>968443</v>
      </c>
      <c r="U130" s="1141">
        <v>1189778</v>
      </c>
      <c r="V130" s="1141">
        <v>325572</v>
      </c>
      <c r="W130" s="56">
        <f>+IFERROR(VLOOKUP(C130,'[18]מספר צרכנים'!$C:$G,3,0),"")</f>
        <v>91010</v>
      </c>
      <c r="Y130" s="1239"/>
    </row>
    <row r="131" spans="1:25" ht="17.100000000000001" customHeight="1" x14ac:dyDescent="0.25">
      <c r="A131" s="1085">
        <v>2014</v>
      </c>
      <c r="B131" s="1177">
        <v>37</v>
      </c>
      <c r="C131" s="1187"/>
      <c r="D131" s="1124">
        <v>3911</v>
      </c>
      <c r="E131" s="1124" t="s">
        <v>102</v>
      </c>
      <c r="F131" s="1148">
        <v>14959</v>
      </c>
      <c r="G131" s="1130">
        <v>0</v>
      </c>
      <c r="H131" s="1125">
        <v>1173269</v>
      </c>
      <c r="I131" s="1130">
        <v>1173269</v>
      </c>
      <c r="J131" s="1130">
        <v>931445</v>
      </c>
      <c r="K131" s="1130">
        <v>1156112</v>
      </c>
      <c r="L131" s="1130">
        <v>0</v>
      </c>
      <c r="M131" s="1130">
        <v>0</v>
      </c>
      <c r="N131" s="1130">
        <v>1156112</v>
      </c>
      <c r="O131" s="1130">
        <v>17157</v>
      </c>
      <c r="P131" s="1131">
        <v>1.462324496769283</v>
      </c>
      <c r="Q131" s="1131">
        <v>62.26652851126412</v>
      </c>
      <c r="R131" s="1131">
        <v>77.285380038772644</v>
      </c>
      <c r="S131" s="1127">
        <v>78.432314994317807</v>
      </c>
      <c r="T131" s="1129">
        <v>111572</v>
      </c>
      <c r="U131" s="1129">
        <v>30326</v>
      </c>
      <c r="V131" s="1129">
        <v>47991</v>
      </c>
      <c r="W131" s="56" t="str">
        <f>+IFERROR(VLOOKUP(C131,'[18]מספר צרכנים'!$C:$G,3,0),"")</f>
        <v/>
      </c>
      <c r="Y131" s="1239"/>
    </row>
    <row r="132" spans="1:25" ht="17.100000000000001" customHeight="1" x14ac:dyDescent="0.25">
      <c r="B132" s="1133"/>
      <c r="C132" s="1134" t="s">
        <v>681</v>
      </c>
      <c r="D132" s="1135"/>
      <c r="E132" s="1136" t="s">
        <v>535</v>
      </c>
      <c r="F132" s="1143">
        <v>14959</v>
      </c>
      <c r="G132" s="1143">
        <v>0</v>
      </c>
      <c r="H132" s="1143">
        <v>1173269</v>
      </c>
      <c r="I132" s="1143">
        <v>1173269</v>
      </c>
      <c r="J132" s="1143">
        <v>931445</v>
      </c>
      <c r="K132" s="1143">
        <v>1156112</v>
      </c>
      <c r="L132" s="1143">
        <v>0</v>
      </c>
      <c r="M132" s="1143">
        <v>0</v>
      </c>
      <c r="N132" s="1143">
        <v>1156112</v>
      </c>
      <c r="O132" s="1143">
        <v>17157</v>
      </c>
      <c r="P132" s="1138">
        <v>1.462324496769283</v>
      </c>
      <c r="Q132" s="1138">
        <v>62.26652851126412</v>
      </c>
      <c r="R132" s="1138">
        <v>77.285380038772644</v>
      </c>
      <c r="S132" s="1139">
        <v>78.432314994317807</v>
      </c>
      <c r="T132" s="1141">
        <v>111572</v>
      </c>
      <c r="U132" s="1141">
        <v>30326</v>
      </c>
      <c r="V132" s="1141">
        <v>47991</v>
      </c>
      <c r="W132" s="56">
        <f>+IFERROR(VLOOKUP(C132,'[18]מספר צרכנים'!$C:$G,3,0),"")</f>
        <v>5282</v>
      </c>
      <c r="Y132" s="1239"/>
    </row>
    <row r="133" spans="1:25" ht="17.100000000000001" customHeight="1" x14ac:dyDescent="0.25">
      <c r="A133" s="1085">
        <v>2014</v>
      </c>
      <c r="B133" s="1122">
        <v>38</v>
      </c>
      <c r="C133" s="1123"/>
      <c r="D133" s="1124">
        <v>5742</v>
      </c>
      <c r="E133" s="1174" t="s">
        <v>100</v>
      </c>
      <c r="F133" s="1130">
        <v>219303</v>
      </c>
      <c r="G133" s="1130">
        <v>8395563</v>
      </c>
      <c r="H133" s="1130">
        <v>9077225</v>
      </c>
      <c r="I133" s="1130">
        <v>17472788</v>
      </c>
      <c r="J133" s="1130">
        <v>11979141</v>
      </c>
      <c r="K133" s="1130">
        <v>16231538</v>
      </c>
      <c r="L133" s="1130">
        <v>204331</v>
      </c>
      <c r="M133" s="1130">
        <v>46734</v>
      </c>
      <c r="N133" s="1130">
        <v>16482603</v>
      </c>
      <c r="O133" s="1130">
        <v>990185</v>
      </c>
      <c r="P133" s="1131">
        <v>5.6670120418103851</v>
      </c>
      <c r="Q133" s="1131">
        <v>54.623698718211791</v>
      </c>
      <c r="R133" s="1131">
        <v>74.014208651956423</v>
      </c>
      <c r="S133" s="1127">
        <v>78.529354363597392</v>
      </c>
      <c r="T133" s="1129">
        <v>789980</v>
      </c>
      <c r="U133" s="1129">
        <v>1935356</v>
      </c>
      <c r="V133" s="1129">
        <v>776070</v>
      </c>
      <c r="W133" s="56" t="str">
        <f>+IFERROR(VLOOKUP(C133,'[18]מספר צרכנים'!$C:$G,3,0),"")</f>
        <v/>
      </c>
      <c r="Y133" s="1239"/>
    </row>
    <row r="134" spans="1:25" ht="17.100000000000001" customHeight="1" x14ac:dyDescent="0.25">
      <c r="B134" s="1122"/>
      <c r="C134" s="1123"/>
      <c r="D134" s="1124"/>
      <c r="E134" s="1174" t="s">
        <v>6</v>
      </c>
      <c r="F134" s="1130">
        <v>42561</v>
      </c>
      <c r="G134" s="1130">
        <v>0</v>
      </c>
      <c r="H134" s="1130">
        <v>2040126</v>
      </c>
      <c r="I134" s="1130">
        <v>2040126</v>
      </c>
      <c r="J134" s="1130">
        <v>1539510</v>
      </c>
      <c r="K134" s="1130">
        <v>1788087</v>
      </c>
      <c r="L134" s="1130">
        <v>0</v>
      </c>
      <c r="M134" s="1130">
        <v>0</v>
      </c>
      <c r="N134" s="1130">
        <v>1788087</v>
      </c>
      <c r="O134" s="1130">
        <v>252039</v>
      </c>
      <c r="P134" s="1131">
        <v>12.354089894447696</v>
      </c>
      <c r="Q134" s="1131">
        <v>36.171847465989991</v>
      </c>
      <c r="R134" s="1131">
        <v>42.012335236484105</v>
      </c>
      <c r="S134" s="1127">
        <v>47.934165080707693</v>
      </c>
      <c r="T134" s="1129">
        <v>37140</v>
      </c>
      <c r="U134" s="1129">
        <v>34590</v>
      </c>
      <c r="V134" s="1129">
        <v>102806</v>
      </c>
      <c r="W134" s="56" t="str">
        <f>+IFERROR(VLOOKUP(C134,'[18]מספר צרכנים'!$C:$G,3,0),"")</f>
        <v/>
      </c>
      <c r="Y134" s="1239"/>
    </row>
    <row r="135" spans="1:25" s="1103" customFormat="1" ht="17.100000000000001" customHeight="1" x14ac:dyDescent="0.25">
      <c r="A135" s="1095"/>
      <c r="B135" s="1122"/>
      <c r="C135" s="1142"/>
      <c r="D135" s="1124"/>
      <c r="E135" s="1174" t="s">
        <v>25</v>
      </c>
      <c r="F135" s="1130">
        <v>3199</v>
      </c>
      <c r="G135" s="1130">
        <v>0</v>
      </c>
      <c r="H135" s="1130">
        <v>198959</v>
      </c>
      <c r="I135" s="1130">
        <v>198959</v>
      </c>
      <c r="J135" s="1130">
        <v>136946</v>
      </c>
      <c r="K135" s="1130">
        <v>143674</v>
      </c>
      <c r="L135" s="1130">
        <v>0</v>
      </c>
      <c r="M135" s="1130">
        <v>0</v>
      </c>
      <c r="N135" s="1130">
        <v>143674</v>
      </c>
      <c r="O135" s="1130">
        <v>55285</v>
      </c>
      <c r="P135" s="1131">
        <v>27.78713202217542</v>
      </c>
      <c r="Q135" s="1131">
        <v>42.80900281337918</v>
      </c>
      <c r="R135" s="1131">
        <v>44.912160050015629</v>
      </c>
      <c r="S135" s="1127">
        <v>62.194123163488591</v>
      </c>
      <c r="T135" s="1129">
        <v>570</v>
      </c>
      <c r="U135" s="1129">
        <v>777</v>
      </c>
      <c r="V135" s="1129">
        <v>3659</v>
      </c>
      <c r="W135" s="56" t="str">
        <f>+IFERROR(VLOOKUP(C135,'[18]מספר צרכנים'!$C:$G,3,0),"")</f>
        <v/>
      </c>
      <c r="X135" s="1088"/>
      <c r="Y135" s="1239"/>
    </row>
    <row r="136" spans="1:25" s="1103" customFormat="1" ht="17.100000000000001" customHeight="1" x14ac:dyDescent="0.25">
      <c r="A136" s="1095"/>
      <c r="B136" s="1133"/>
      <c r="C136" s="1134" t="s">
        <v>454</v>
      </c>
      <c r="D136" s="1155"/>
      <c r="E136" s="1136" t="s">
        <v>535</v>
      </c>
      <c r="F136" s="1137">
        <v>265063</v>
      </c>
      <c r="G136" s="1137">
        <v>8395563</v>
      </c>
      <c r="H136" s="1137">
        <v>11316310</v>
      </c>
      <c r="I136" s="1137">
        <v>19711873</v>
      </c>
      <c r="J136" s="1137">
        <v>13655597</v>
      </c>
      <c r="K136" s="1137">
        <v>18163299</v>
      </c>
      <c r="L136" s="1137">
        <v>204331</v>
      </c>
      <c r="M136" s="1137">
        <v>46734</v>
      </c>
      <c r="N136" s="1137">
        <v>18414364</v>
      </c>
      <c r="O136" s="1137">
        <v>1297509</v>
      </c>
      <c r="P136" s="1138">
        <v>6.5823729688193495</v>
      </c>
      <c r="Q136" s="1138">
        <v>51.518306968532009</v>
      </c>
      <c r="R136" s="1138">
        <v>68.524460222664047</v>
      </c>
      <c r="S136" s="1139">
        <v>73.419556860067232</v>
      </c>
      <c r="T136" s="1141">
        <v>827690</v>
      </c>
      <c r="U136" s="1141">
        <v>1970723</v>
      </c>
      <c r="V136" s="1141">
        <v>882535</v>
      </c>
      <c r="W136" s="56">
        <f>+IFERROR(VLOOKUP(C136,'[18]מספר צרכנים'!$C:$G,3,0),"")</f>
        <v>106159</v>
      </c>
      <c r="X136" s="1088">
        <v>2.0930862358119959E-3</v>
      </c>
      <c r="Y136" s="1239"/>
    </row>
    <row r="137" spans="1:25" ht="17.100000000000001" customHeight="1" x14ac:dyDescent="0.25">
      <c r="A137" s="1085">
        <v>2014</v>
      </c>
      <c r="B137" s="1122">
        <v>39</v>
      </c>
      <c r="C137" s="1123"/>
      <c r="D137" s="1124">
        <v>6019</v>
      </c>
      <c r="E137" s="1124" t="s">
        <v>144</v>
      </c>
      <c r="F137" s="1148">
        <v>237639</v>
      </c>
      <c r="G137" s="1130">
        <v>10089136</v>
      </c>
      <c r="H137" s="1130">
        <v>9744980</v>
      </c>
      <c r="I137" s="1130">
        <v>19834116</v>
      </c>
      <c r="J137" s="1130">
        <v>12981391</v>
      </c>
      <c r="K137" s="1130">
        <v>18489593</v>
      </c>
      <c r="L137" s="1130">
        <v>434837</v>
      </c>
      <c r="M137" s="1130">
        <v>11983</v>
      </c>
      <c r="N137" s="1130">
        <v>18936413</v>
      </c>
      <c r="O137" s="1130">
        <v>897703</v>
      </c>
      <c r="P137" s="1131">
        <v>4.526055005426004</v>
      </c>
      <c r="Q137" s="1131">
        <v>54.626517532896536</v>
      </c>
      <c r="R137" s="1131">
        <v>77.805381271592623</v>
      </c>
      <c r="S137" s="1127">
        <v>81.582972491888953</v>
      </c>
      <c r="T137" s="1129">
        <v>1376994</v>
      </c>
      <c r="U137" s="1129">
        <v>2059081</v>
      </c>
      <c r="V137" s="1129">
        <v>781228</v>
      </c>
      <c r="W137" s="56" t="str">
        <f>+IFERROR(VLOOKUP(C137,'[18]מספר צרכנים'!$C:$G,3,0),"")</f>
        <v/>
      </c>
      <c r="Y137" s="1239"/>
    </row>
    <row r="138" spans="1:25" ht="17.100000000000001" customHeight="1" x14ac:dyDescent="0.25">
      <c r="B138" s="1133"/>
      <c r="C138" s="1134" t="s">
        <v>455</v>
      </c>
      <c r="D138" s="1135"/>
      <c r="E138" s="1136" t="s">
        <v>535</v>
      </c>
      <c r="F138" s="1143">
        <v>237639</v>
      </c>
      <c r="G138" s="1143">
        <v>10089136</v>
      </c>
      <c r="H138" s="1143">
        <v>9744980</v>
      </c>
      <c r="I138" s="1143">
        <v>19834116</v>
      </c>
      <c r="J138" s="1143">
        <v>12981391</v>
      </c>
      <c r="K138" s="1143">
        <v>18489593</v>
      </c>
      <c r="L138" s="1143">
        <v>434837</v>
      </c>
      <c r="M138" s="1143">
        <v>11983</v>
      </c>
      <c r="N138" s="1143">
        <v>18936413</v>
      </c>
      <c r="O138" s="1143">
        <v>897703</v>
      </c>
      <c r="P138" s="1138">
        <v>4.526055005426004</v>
      </c>
      <c r="Q138" s="1138">
        <v>54.626517532896536</v>
      </c>
      <c r="R138" s="1138">
        <v>77.805381271592623</v>
      </c>
      <c r="S138" s="1139">
        <v>81.582972491888953</v>
      </c>
      <c r="T138" s="1141">
        <v>1376994</v>
      </c>
      <c r="U138" s="1141">
        <v>2059081</v>
      </c>
      <c r="V138" s="1141">
        <v>781228</v>
      </c>
      <c r="W138" s="56">
        <f>+IFERROR(VLOOKUP(C138,'[18]מספר צרכנים'!$C:$G,3,0),"")</f>
        <v>79672</v>
      </c>
      <c r="Y138" s="1239"/>
    </row>
    <row r="139" spans="1:25" ht="17.100000000000001" customHeight="1" x14ac:dyDescent="0.25">
      <c r="A139" s="1085">
        <v>2014</v>
      </c>
      <c r="B139" s="1122">
        <v>40</v>
      </c>
      <c r="C139" s="1123"/>
      <c r="D139" s="1124">
        <v>3070</v>
      </c>
      <c r="E139" s="47" t="s">
        <v>50</v>
      </c>
      <c r="F139" s="1148">
        <v>53378</v>
      </c>
      <c r="G139" s="1130">
        <v>0</v>
      </c>
      <c r="H139" s="1130">
        <v>3915176</v>
      </c>
      <c r="I139" s="1130">
        <v>3915176</v>
      </c>
      <c r="J139" s="1130">
        <v>2735971</v>
      </c>
      <c r="K139" s="1130">
        <v>3623108</v>
      </c>
      <c r="L139" s="1130">
        <v>45775</v>
      </c>
      <c r="M139" s="1130">
        <v>737</v>
      </c>
      <c r="N139" s="1130">
        <v>3669620</v>
      </c>
      <c r="O139" s="1130">
        <v>245556</v>
      </c>
      <c r="P139" s="1131">
        <v>6.2719019528113167</v>
      </c>
      <c r="Q139" s="1131">
        <v>51.256528907040355</v>
      </c>
      <c r="R139" s="1131">
        <v>67.876428491138668</v>
      </c>
      <c r="S139" s="1127">
        <v>72.476750721270932</v>
      </c>
      <c r="T139" s="1129">
        <v>472086</v>
      </c>
      <c r="U139" s="1129">
        <v>212331</v>
      </c>
      <c r="V139" s="1129">
        <v>43952</v>
      </c>
      <c r="W139" s="56" t="str">
        <f>+IFERROR(VLOOKUP(C139,'[18]מספר צרכנים'!$C:$G,3,0),"")</f>
        <v/>
      </c>
      <c r="Y139" s="1239"/>
    </row>
    <row r="140" spans="1:25" ht="17.100000000000001" customHeight="1" x14ac:dyDescent="0.25">
      <c r="B140" s="1133"/>
      <c r="C140" s="1134" t="s">
        <v>658</v>
      </c>
      <c r="D140" s="1135"/>
      <c r="E140" s="1136" t="s">
        <v>535</v>
      </c>
      <c r="F140" s="1137">
        <v>53378</v>
      </c>
      <c r="G140" s="1137">
        <v>0</v>
      </c>
      <c r="H140" s="1137">
        <v>3915176</v>
      </c>
      <c r="I140" s="1137">
        <v>3915176</v>
      </c>
      <c r="J140" s="1137">
        <v>2735971</v>
      </c>
      <c r="K140" s="1137">
        <v>3623108</v>
      </c>
      <c r="L140" s="1137">
        <v>45775</v>
      </c>
      <c r="M140" s="1137">
        <v>737</v>
      </c>
      <c r="N140" s="1137">
        <v>3669620</v>
      </c>
      <c r="O140" s="1137">
        <v>245556</v>
      </c>
      <c r="P140" s="1138">
        <v>6.2719019528113167</v>
      </c>
      <c r="Q140" s="1138">
        <v>51.256528907040355</v>
      </c>
      <c r="R140" s="1138">
        <v>67.876428491138668</v>
      </c>
      <c r="S140" s="1139">
        <v>72.476750721270932</v>
      </c>
      <c r="T140" s="1141">
        <v>472086</v>
      </c>
      <c r="U140" s="1141">
        <v>212331</v>
      </c>
      <c r="V140" s="1141">
        <v>43952</v>
      </c>
      <c r="W140" s="56">
        <f>+IFERROR(VLOOKUP(C140,'[18]מספר צרכנים'!$C:$G,3,0),"")</f>
        <v>20785</v>
      </c>
      <c r="Y140" s="1239"/>
    </row>
    <row r="141" spans="1:25" ht="17.100000000000001" customHeight="1" x14ac:dyDescent="0.2">
      <c r="B141" s="1122">
        <v>41</v>
      </c>
      <c r="C141" s="1157"/>
      <c r="D141" s="1124">
        <v>4457</v>
      </c>
      <c r="E141" s="38" t="s">
        <v>122</v>
      </c>
      <c r="F141" s="1130">
        <v>24046</v>
      </c>
      <c r="G141" s="1125">
        <v>1409300</v>
      </c>
      <c r="H141" s="1125">
        <v>547096</v>
      </c>
      <c r="I141" s="1130">
        <v>1956396</v>
      </c>
      <c r="J141" s="1130">
        <v>803201</v>
      </c>
      <c r="K141" s="1130">
        <v>1116385</v>
      </c>
      <c r="L141" s="1130">
        <v>0</v>
      </c>
      <c r="M141" s="1130">
        <v>57321</v>
      </c>
      <c r="N141" s="1130">
        <v>1173706</v>
      </c>
      <c r="O141" s="1130">
        <v>782690</v>
      </c>
      <c r="P141" s="1131">
        <v>40.006726654521884</v>
      </c>
      <c r="Q141" s="1131">
        <v>33.402686517508108</v>
      </c>
      <c r="R141" s="1131">
        <v>46.427056475089415</v>
      </c>
      <c r="S141" s="1127">
        <v>78.976752890293611</v>
      </c>
      <c r="T141" s="1129">
        <v>3667</v>
      </c>
      <c r="U141" s="1129">
        <v>84742</v>
      </c>
      <c r="V141" s="1129">
        <v>39361</v>
      </c>
      <c r="W141" s="56" t="str">
        <f>+IFERROR(VLOOKUP(C141,'[18]מספר צרכנים'!$C:$G,3,0),"")</f>
        <v/>
      </c>
      <c r="Y141" s="1239"/>
    </row>
    <row r="142" spans="1:25" ht="17.100000000000001" customHeight="1" x14ac:dyDescent="0.2">
      <c r="B142" s="1122"/>
      <c r="C142" s="1160"/>
      <c r="D142" s="1124"/>
      <c r="E142" s="38" t="s">
        <v>314</v>
      </c>
      <c r="F142" s="1130">
        <v>9094</v>
      </c>
      <c r="G142" s="1125">
        <v>1077900</v>
      </c>
      <c r="H142" s="1125">
        <v>0</v>
      </c>
      <c r="I142" s="1130">
        <v>1077900</v>
      </c>
      <c r="J142" s="1130">
        <v>457104</v>
      </c>
      <c r="K142" s="1130">
        <v>697785</v>
      </c>
      <c r="L142" s="1130">
        <v>0</v>
      </c>
      <c r="M142" s="1130">
        <v>45444</v>
      </c>
      <c r="N142" s="1130">
        <v>743229</v>
      </c>
      <c r="O142" s="1130">
        <v>334671</v>
      </c>
      <c r="P142" s="1131">
        <v>31.048427497912606</v>
      </c>
      <c r="Q142" s="1131">
        <v>50.264350120958873</v>
      </c>
      <c r="R142" s="1131">
        <v>76.730261711018258</v>
      </c>
      <c r="S142" s="1127">
        <v>113.53155926984824</v>
      </c>
      <c r="T142" s="1129">
        <v>632</v>
      </c>
      <c r="U142" s="1129">
        <v>10924</v>
      </c>
      <c r="V142" s="1129">
        <v>37879</v>
      </c>
      <c r="W142" s="56" t="str">
        <f>+IFERROR(VLOOKUP(C142,'[18]מספר צרכנים'!$C:$G,3,0),"")</f>
        <v/>
      </c>
      <c r="Y142" s="1239"/>
    </row>
    <row r="143" spans="1:25" ht="17.100000000000001" customHeight="1" x14ac:dyDescent="0.2">
      <c r="B143" s="1122"/>
      <c r="C143" s="1160"/>
      <c r="D143" s="1124"/>
      <c r="E143" s="38" t="s">
        <v>109</v>
      </c>
      <c r="F143" s="1130">
        <v>21036</v>
      </c>
      <c r="G143" s="1125">
        <v>1136080</v>
      </c>
      <c r="H143" s="1125">
        <v>763125</v>
      </c>
      <c r="I143" s="1130">
        <v>1899205</v>
      </c>
      <c r="J143" s="1130">
        <v>1136345</v>
      </c>
      <c r="K143" s="1130">
        <v>1394347</v>
      </c>
      <c r="L143" s="1130">
        <v>0</v>
      </c>
      <c r="M143" s="1130">
        <v>0</v>
      </c>
      <c r="N143" s="1130">
        <v>1394347</v>
      </c>
      <c r="O143" s="1130">
        <v>504858</v>
      </c>
      <c r="P143" s="1131">
        <v>26.582596402178805</v>
      </c>
      <c r="Q143" s="1131">
        <v>54.01906255942194</v>
      </c>
      <c r="R143" s="1131">
        <v>66.283846738923756</v>
      </c>
      <c r="S143" s="1127">
        <v>90.283561513595743</v>
      </c>
      <c r="T143" s="1129">
        <v>21245</v>
      </c>
      <c r="U143" s="1129">
        <v>116281</v>
      </c>
      <c r="V143" s="1129">
        <v>77341</v>
      </c>
      <c r="W143" s="56" t="str">
        <f>+IFERROR(VLOOKUP(C143,'[18]מספר צרכנים'!$C:$G,3,0),"")</f>
        <v/>
      </c>
      <c r="Y143" s="1239"/>
    </row>
    <row r="144" spans="1:25" ht="17.100000000000001" customHeight="1" thickBot="1" x14ac:dyDescent="0.3">
      <c r="B144" s="1162"/>
      <c r="C144" s="1134" t="s">
        <v>661</v>
      </c>
      <c r="D144" s="1185"/>
      <c r="E144" s="1164" t="s">
        <v>535</v>
      </c>
      <c r="F144" s="1165">
        <v>54176</v>
      </c>
      <c r="G144" s="1165">
        <v>3623280</v>
      </c>
      <c r="H144" s="1165">
        <v>1310221</v>
      </c>
      <c r="I144" s="1165">
        <v>4933501</v>
      </c>
      <c r="J144" s="1165">
        <v>2396650</v>
      </c>
      <c r="K144" s="1165">
        <v>3208517</v>
      </c>
      <c r="L144" s="1165">
        <v>0</v>
      </c>
      <c r="M144" s="1165">
        <v>102765</v>
      </c>
      <c r="N144" s="1165">
        <v>3311282</v>
      </c>
      <c r="O144" s="1165">
        <v>1622219</v>
      </c>
      <c r="P144" s="1166">
        <v>32.881700034113706</v>
      </c>
      <c r="Q144" s="1166">
        <v>44.238223567631422</v>
      </c>
      <c r="R144" s="1166">
        <v>59.223955256940343</v>
      </c>
      <c r="S144" s="1167">
        <v>89.167454223272301</v>
      </c>
      <c r="T144" s="1141">
        <v>25544</v>
      </c>
      <c r="U144" s="1141">
        <v>211947</v>
      </c>
      <c r="V144" s="1141">
        <v>154581</v>
      </c>
      <c r="W144" s="56">
        <f>+IFERROR(VLOOKUP(C144,'[18]מספר צרכנים'!$C:$G,3,0),"")</f>
        <v>12817</v>
      </c>
      <c r="X144" s="1088">
        <v>9.7721125124248503E-3</v>
      </c>
      <c r="Y144" s="1239"/>
    </row>
    <row r="145" spans="1:25" ht="17.100000000000001" customHeight="1" x14ac:dyDescent="0.2">
      <c r="A145" s="1085">
        <v>2014</v>
      </c>
      <c r="B145" s="1113">
        <v>42</v>
      </c>
      <c r="C145" s="1170"/>
      <c r="D145" s="1115">
        <v>7290</v>
      </c>
      <c r="E145" s="47" t="s">
        <v>128</v>
      </c>
      <c r="F145" s="1189">
        <v>24207</v>
      </c>
      <c r="G145" s="1116">
        <v>0</v>
      </c>
      <c r="H145" s="1117">
        <v>2044743</v>
      </c>
      <c r="I145" s="1116">
        <v>2044743</v>
      </c>
      <c r="J145" s="1116">
        <v>1211703</v>
      </c>
      <c r="K145" s="1116">
        <v>1752782</v>
      </c>
      <c r="L145" s="1116">
        <v>211123</v>
      </c>
      <c r="M145" s="1116">
        <v>1241</v>
      </c>
      <c r="N145" s="1116">
        <v>1965146</v>
      </c>
      <c r="O145" s="1116">
        <v>79597</v>
      </c>
      <c r="P145" s="1172">
        <v>3.8927630513957014</v>
      </c>
      <c r="Q145" s="1172">
        <v>50.055892923534515</v>
      </c>
      <c r="R145" s="1172">
        <v>72.408063783203204</v>
      </c>
      <c r="S145" s="1119">
        <v>75.696244887842354</v>
      </c>
      <c r="T145" s="1129">
        <v>267890</v>
      </c>
      <c r="U145" s="1129">
        <v>63936</v>
      </c>
      <c r="V145" s="1129">
        <v>15854</v>
      </c>
      <c r="W145" s="56" t="str">
        <f>+IFERROR(VLOOKUP(C145,'[18]מספר צרכנים'!$C:$G,3,0),"")</f>
        <v/>
      </c>
      <c r="Y145" s="1239"/>
    </row>
    <row r="146" spans="1:25" ht="17.100000000000001" customHeight="1" x14ac:dyDescent="0.2">
      <c r="B146" s="1122"/>
      <c r="C146" s="1160"/>
      <c r="D146" s="1124"/>
      <c r="E146" s="47" t="s">
        <v>127</v>
      </c>
      <c r="F146" s="1130">
        <v>33188</v>
      </c>
      <c r="G146" s="1130">
        <v>0</v>
      </c>
      <c r="H146" s="1125">
        <v>2943347</v>
      </c>
      <c r="I146" s="1130">
        <v>2943347</v>
      </c>
      <c r="J146" s="1130">
        <v>1727351</v>
      </c>
      <c r="K146" s="1130">
        <v>2425006</v>
      </c>
      <c r="L146" s="1130">
        <v>215575</v>
      </c>
      <c r="M146" s="1130">
        <v>0</v>
      </c>
      <c r="N146" s="1130">
        <v>2640581</v>
      </c>
      <c r="O146" s="1130">
        <v>302766</v>
      </c>
      <c r="P146" s="1131">
        <v>10.286452803560028</v>
      </c>
      <c r="Q146" s="1131">
        <v>52.047456912136916</v>
      </c>
      <c r="R146" s="1131">
        <v>73.068759792696156</v>
      </c>
      <c r="S146" s="1127">
        <v>82.191515005423653</v>
      </c>
      <c r="T146" s="1129">
        <v>331157</v>
      </c>
      <c r="U146" s="1129">
        <v>96854</v>
      </c>
      <c r="V146" s="1129">
        <v>116692</v>
      </c>
      <c r="W146" s="56" t="str">
        <f>+IFERROR(VLOOKUP(C146,'[18]מספר צרכנים'!$C:$G,3,0),"")</f>
        <v/>
      </c>
      <c r="Y146" s="1239"/>
    </row>
    <row r="147" spans="1:25" ht="17.100000000000001" customHeight="1" x14ac:dyDescent="0.2">
      <c r="B147" s="1122"/>
      <c r="C147" s="1160"/>
      <c r="D147" s="1124"/>
      <c r="E147" s="47" t="s">
        <v>129</v>
      </c>
      <c r="F147" s="1130">
        <v>8752</v>
      </c>
      <c r="G147" s="1130">
        <v>0</v>
      </c>
      <c r="H147" s="1125">
        <v>1053512</v>
      </c>
      <c r="I147" s="1130">
        <v>1053512</v>
      </c>
      <c r="J147" s="1130">
        <v>406518</v>
      </c>
      <c r="K147" s="1130">
        <v>767205</v>
      </c>
      <c r="L147" s="1130">
        <v>172748</v>
      </c>
      <c r="M147" s="1130">
        <v>0</v>
      </c>
      <c r="N147" s="1130">
        <v>939953</v>
      </c>
      <c r="O147" s="1130">
        <v>113559</v>
      </c>
      <c r="P147" s="1131">
        <v>10.779089369651224</v>
      </c>
      <c r="Q147" s="1131">
        <v>46.4485831809872</v>
      </c>
      <c r="R147" s="1131">
        <v>87.660534734917732</v>
      </c>
      <c r="S147" s="1127">
        <v>100.63574040219379</v>
      </c>
      <c r="T147" s="1129">
        <v>154280</v>
      </c>
      <c r="U147" s="1129">
        <v>121451</v>
      </c>
      <c r="V147" s="1129">
        <v>44786</v>
      </c>
      <c r="W147" s="56" t="str">
        <f>+IFERROR(VLOOKUP(C147,'[18]מספר צרכנים'!$C:$G,3,0),"")</f>
        <v/>
      </c>
      <c r="Y147" s="1239"/>
    </row>
    <row r="148" spans="1:25" ht="17.100000000000001" customHeight="1" x14ac:dyDescent="0.2">
      <c r="B148" s="1122"/>
      <c r="C148" s="1160"/>
      <c r="D148" s="1124"/>
      <c r="E148" s="47" t="s">
        <v>130</v>
      </c>
      <c r="F148" s="1130">
        <v>4999</v>
      </c>
      <c r="G148" s="1130">
        <v>0</v>
      </c>
      <c r="H148" s="1125">
        <v>616747</v>
      </c>
      <c r="I148" s="1130">
        <v>616747</v>
      </c>
      <c r="J148" s="1130">
        <v>212527</v>
      </c>
      <c r="K148" s="1130">
        <v>418205</v>
      </c>
      <c r="L148" s="1130">
        <v>113976</v>
      </c>
      <c r="M148" s="1130">
        <v>16671</v>
      </c>
      <c r="N148" s="1130">
        <v>548852</v>
      </c>
      <c r="O148" s="1130">
        <v>67895</v>
      </c>
      <c r="P148" s="1131">
        <v>11.008565911143467</v>
      </c>
      <c r="Q148" s="1131">
        <v>42.513902780556108</v>
      </c>
      <c r="R148" s="1131">
        <v>83.657731546309265</v>
      </c>
      <c r="S148" s="1127">
        <v>97.239447889577917</v>
      </c>
      <c r="T148" s="1129">
        <v>81819</v>
      </c>
      <c r="U148" s="1129">
        <v>33216</v>
      </c>
      <c r="V148" s="1129">
        <v>30485</v>
      </c>
      <c r="W148" s="56" t="str">
        <f>+IFERROR(VLOOKUP(C148,'[18]מספר צרכנים'!$C:$G,3,0),"")</f>
        <v/>
      </c>
      <c r="Y148" s="1239"/>
    </row>
    <row r="149" spans="1:25" ht="17.100000000000001" customHeight="1" x14ac:dyDescent="0.25">
      <c r="B149" s="1133"/>
      <c r="C149" s="1134" t="s">
        <v>267</v>
      </c>
      <c r="D149" s="1135"/>
      <c r="E149" s="1136" t="s">
        <v>535</v>
      </c>
      <c r="F149" s="1137">
        <v>71146</v>
      </c>
      <c r="G149" s="1137">
        <v>0</v>
      </c>
      <c r="H149" s="1137">
        <v>6658349</v>
      </c>
      <c r="I149" s="1137">
        <v>6658349</v>
      </c>
      <c r="J149" s="1137">
        <v>3558099</v>
      </c>
      <c r="K149" s="1137">
        <v>5363198</v>
      </c>
      <c r="L149" s="1137">
        <v>713422</v>
      </c>
      <c r="M149" s="1137">
        <v>17912</v>
      </c>
      <c r="N149" s="1137">
        <v>6094532</v>
      </c>
      <c r="O149" s="1137">
        <v>563817</v>
      </c>
      <c r="P149" s="1138">
        <v>8.4678198754676277</v>
      </c>
      <c r="Q149" s="1138">
        <v>50.011230427571476</v>
      </c>
      <c r="R149" s="1138">
        <v>75.38298709695556</v>
      </c>
      <c r="S149" s="1139">
        <v>83.307775560115815</v>
      </c>
      <c r="T149" s="1141">
        <v>835146</v>
      </c>
      <c r="U149" s="1141">
        <v>315457</v>
      </c>
      <c r="V149" s="1141">
        <v>207817</v>
      </c>
      <c r="W149" s="56">
        <f>+IFERROR(VLOOKUP(C149,'[18]מספר צרכנים'!$C:$G,3,0),"")</f>
        <v>28656</v>
      </c>
      <c r="X149" s="1088">
        <v>3.2686559686373987E-3</v>
      </c>
      <c r="Y149" s="1239"/>
    </row>
    <row r="150" spans="1:25" ht="17.100000000000001" customHeight="1" x14ac:dyDescent="0.2">
      <c r="B150" s="1122">
        <v>43</v>
      </c>
      <c r="C150" s="1157"/>
      <c r="D150" s="1124">
        <v>1719</v>
      </c>
      <c r="E150" s="38" t="s">
        <v>125</v>
      </c>
      <c r="F150" s="828">
        <v>20760</v>
      </c>
      <c r="G150" s="359">
        <v>0</v>
      </c>
      <c r="H150" s="359">
        <v>1509893</v>
      </c>
      <c r="I150" s="359">
        <v>1509893</v>
      </c>
      <c r="J150" s="359">
        <v>967639</v>
      </c>
      <c r="K150" s="359">
        <v>1392026</v>
      </c>
      <c r="L150" s="359">
        <v>0</v>
      </c>
      <c r="M150" s="359">
        <v>0</v>
      </c>
      <c r="N150" s="359">
        <v>1392026</v>
      </c>
      <c r="O150" s="359">
        <v>117867</v>
      </c>
      <c r="P150" s="361">
        <v>7.8063147521049512</v>
      </c>
      <c r="Q150" s="361">
        <v>46.610741811175338</v>
      </c>
      <c r="R150" s="361">
        <v>67.053275529865118</v>
      </c>
      <c r="S150" s="1127">
        <v>72.73087668593449</v>
      </c>
      <c r="T150" s="1129">
        <v>141720</v>
      </c>
      <c r="U150" s="1129">
        <v>252899</v>
      </c>
      <c r="V150" s="1129">
        <v>44494</v>
      </c>
      <c r="W150" s="56" t="str">
        <f>+IFERROR(VLOOKUP(C150,'[18]מספר צרכנים'!$C:$G,3,0),"")</f>
        <v/>
      </c>
      <c r="Y150" s="1239"/>
    </row>
    <row r="151" spans="1:25" ht="17.100000000000001" customHeight="1" x14ac:dyDescent="0.2">
      <c r="B151" s="1122"/>
      <c r="C151" s="1160"/>
      <c r="D151" s="1124"/>
      <c r="E151" s="38" t="s">
        <v>113</v>
      </c>
      <c r="F151" s="1148">
        <v>17474</v>
      </c>
      <c r="G151" s="1130">
        <v>0</v>
      </c>
      <c r="H151" s="1152">
        <v>1505350</v>
      </c>
      <c r="I151" s="1130">
        <v>1505350</v>
      </c>
      <c r="J151" s="1130">
        <v>1017929</v>
      </c>
      <c r="K151" s="1130">
        <v>1280924</v>
      </c>
      <c r="L151" s="1130">
        <v>0</v>
      </c>
      <c r="M151" s="1130">
        <v>10962</v>
      </c>
      <c r="N151" s="1130">
        <v>1291886</v>
      </c>
      <c r="O151" s="1130">
        <v>213464</v>
      </c>
      <c r="P151" s="1131">
        <v>14.180356727671306</v>
      </c>
      <c r="Q151" s="1131">
        <v>58.253920109877534</v>
      </c>
      <c r="R151" s="1131">
        <v>73.30456678493762</v>
      </c>
      <c r="S151" s="1127">
        <v>85.520659265193999</v>
      </c>
      <c r="T151" s="1129">
        <v>72955</v>
      </c>
      <c r="U151" s="1129">
        <v>60893</v>
      </c>
      <c r="V151" s="1129">
        <v>84323</v>
      </c>
      <c r="W151" s="56" t="str">
        <f>+IFERROR(VLOOKUP(C151,'[18]מספר צרכנים'!$C:$G,3,0),"")</f>
        <v/>
      </c>
      <c r="Y151" s="1239"/>
    </row>
    <row r="152" spans="1:25" ht="17.100000000000001" customHeight="1" x14ac:dyDescent="0.2">
      <c r="B152" s="1122"/>
      <c r="C152" s="1160"/>
      <c r="D152" s="1124"/>
      <c r="E152" s="38" t="s">
        <v>115</v>
      </c>
      <c r="F152" s="1148">
        <v>7348</v>
      </c>
      <c r="G152" s="1130">
        <v>0</v>
      </c>
      <c r="H152" s="1130">
        <v>544024</v>
      </c>
      <c r="I152" s="1130">
        <v>544024</v>
      </c>
      <c r="J152" s="1130">
        <v>403683</v>
      </c>
      <c r="K152" s="1130">
        <v>484957</v>
      </c>
      <c r="L152" s="1130">
        <v>0</v>
      </c>
      <c r="M152" s="1130">
        <v>0</v>
      </c>
      <c r="N152" s="1130">
        <v>484957</v>
      </c>
      <c r="O152" s="1130">
        <v>59067</v>
      </c>
      <c r="P152" s="1131">
        <v>10.857425407702602</v>
      </c>
      <c r="Q152" s="1131">
        <v>54.937806205770279</v>
      </c>
      <c r="R152" s="1131">
        <v>65.998502994011972</v>
      </c>
      <c r="S152" s="1127">
        <v>74.037016875340228</v>
      </c>
      <c r="T152" s="1129">
        <v>4657</v>
      </c>
      <c r="U152" s="1129">
        <v>57703</v>
      </c>
      <c r="V152" s="1129">
        <v>14412</v>
      </c>
      <c r="W152" s="56" t="str">
        <f>+IFERROR(VLOOKUP(C152,'[18]מספר צרכנים'!$C:$G,3,0),"")</f>
        <v/>
      </c>
      <c r="Y152" s="1239"/>
    </row>
    <row r="153" spans="1:25" ht="17.100000000000001" customHeight="1" thickBot="1" x14ac:dyDescent="0.3">
      <c r="B153" s="1162"/>
      <c r="C153" s="1134" t="s">
        <v>270</v>
      </c>
      <c r="D153" s="1185"/>
      <c r="E153" s="1136" t="s">
        <v>535</v>
      </c>
      <c r="F153" s="1143">
        <v>45582</v>
      </c>
      <c r="G153" s="1143">
        <v>0</v>
      </c>
      <c r="H153" s="1143">
        <v>3559267</v>
      </c>
      <c r="I153" s="1143">
        <v>3559267</v>
      </c>
      <c r="J153" s="1143">
        <v>2389251</v>
      </c>
      <c r="K153" s="1143">
        <v>3157907</v>
      </c>
      <c r="L153" s="1143">
        <v>0</v>
      </c>
      <c r="M153" s="1143">
        <v>10962</v>
      </c>
      <c r="N153" s="1143">
        <v>3168869</v>
      </c>
      <c r="O153" s="1143">
        <v>390398</v>
      </c>
      <c r="P153" s="1138">
        <v>10.968494355719871</v>
      </c>
      <c r="Q153" s="1138">
        <v>52.416546005001976</v>
      </c>
      <c r="R153" s="1138">
        <v>69.279693738756521</v>
      </c>
      <c r="S153" s="1139">
        <v>77.844434206485019</v>
      </c>
      <c r="T153" s="1169">
        <v>219332</v>
      </c>
      <c r="U153" s="1169">
        <v>371495</v>
      </c>
      <c r="V153" s="1169">
        <v>143229</v>
      </c>
      <c r="W153" s="56">
        <f>+IFERROR(VLOOKUP(C153,'[18]מספר צרכנים'!$C:$G,3,0),"")</f>
        <v>15088</v>
      </c>
      <c r="Y153" s="1239"/>
    </row>
    <row r="154" spans="1:25" ht="17.100000000000001" customHeight="1" x14ac:dyDescent="0.2">
      <c r="A154" s="1085">
        <v>2014</v>
      </c>
      <c r="B154" s="1113">
        <v>44</v>
      </c>
      <c r="C154" s="1170"/>
      <c r="D154" s="1115">
        <v>3178</v>
      </c>
      <c r="E154" s="38" t="s">
        <v>86</v>
      </c>
      <c r="F154" s="1130">
        <v>12703</v>
      </c>
      <c r="G154" s="1125">
        <v>0</v>
      </c>
      <c r="H154" s="1125">
        <v>1387296</v>
      </c>
      <c r="I154" s="1130">
        <v>1387296</v>
      </c>
      <c r="J154" s="1130">
        <v>923908</v>
      </c>
      <c r="K154" s="1130">
        <v>1189436</v>
      </c>
      <c r="L154" s="1130">
        <v>0</v>
      </c>
      <c r="M154" s="1130">
        <v>65666</v>
      </c>
      <c r="N154" s="1130">
        <v>1255102</v>
      </c>
      <c r="O154" s="1130">
        <v>132194</v>
      </c>
      <c r="P154" s="1131">
        <v>9.5288965008188597</v>
      </c>
      <c r="Q154" s="1131">
        <v>72.731480752578136</v>
      </c>
      <c r="R154" s="1131">
        <v>93.634259623710932</v>
      </c>
      <c r="S154" s="1127">
        <v>104.04077776903094</v>
      </c>
      <c r="T154" s="1129">
        <v>115991</v>
      </c>
      <c r="U154" s="1129">
        <v>39241</v>
      </c>
      <c r="V154" s="1129">
        <v>100063</v>
      </c>
      <c r="W154" s="56" t="str">
        <f>+IFERROR(VLOOKUP(C154,'[18]מספר צרכנים'!$C:$G,3,0),"")</f>
        <v/>
      </c>
      <c r="Y154" s="1239"/>
    </row>
    <row r="155" spans="1:25" ht="17.100000000000001" customHeight="1" x14ac:dyDescent="0.2">
      <c r="B155" s="1122"/>
      <c r="C155" s="1160"/>
      <c r="D155" s="1124"/>
      <c r="E155" s="38" t="s">
        <v>70</v>
      </c>
      <c r="F155" s="1130">
        <v>20546</v>
      </c>
      <c r="G155" s="1125">
        <v>318470</v>
      </c>
      <c r="H155" s="1125">
        <v>1423631</v>
      </c>
      <c r="I155" s="1130">
        <v>1742101</v>
      </c>
      <c r="J155" s="1130">
        <v>1166049</v>
      </c>
      <c r="K155" s="1130">
        <v>1411352</v>
      </c>
      <c r="L155" s="1130">
        <v>0</v>
      </c>
      <c r="M155" s="1152">
        <v>46963</v>
      </c>
      <c r="N155" s="1130">
        <v>1458315</v>
      </c>
      <c r="O155" s="1130">
        <v>283786</v>
      </c>
      <c r="P155" s="1131">
        <v>16.289870679139728</v>
      </c>
      <c r="Q155" s="1131">
        <v>56.753090625912584</v>
      </c>
      <c r="R155" s="1131">
        <v>68.692300204419354</v>
      </c>
      <c r="S155" s="1127">
        <v>82.504526428501904</v>
      </c>
      <c r="T155" s="1129">
        <v>108450</v>
      </c>
      <c r="U155" s="1129">
        <v>36163</v>
      </c>
      <c r="V155" s="1129">
        <v>91469</v>
      </c>
      <c r="W155" s="56" t="str">
        <f>+IFERROR(VLOOKUP(C155,'[18]מספר צרכנים'!$C:$G,3,0),"")</f>
        <v/>
      </c>
      <c r="Y155" s="1239"/>
    </row>
    <row r="156" spans="1:25" ht="17.100000000000001" customHeight="1" x14ac:dyDescent="0.2">
      <c r="B156" s="1122"/>
      <c r="C156" s="1160"/>
      <c r="D156" s="1124"/>
      <c r="E156" s="38" t="s">
        <v>85</v>
      </c>
      <c r="F156" s="1130">
        <v>5462</v>
      </c>
      <c r="G156" s="1125">
        <v>0</v>
      </c>
      <c r="H156" s="1125">
        <v>506826</v>
      </c>
      <c r="I156" s="1130">
        <v>506826</v>
      </c>
      <c r="J156" s="1130">
        <v>357732</v>
      </c>
      <c r="K156" s="1130">
        <v>449627</v>
      </c>
      <c r="L156" s="1130">
        <v>0</v>
      </c>
      <c r="M156" s="1130">
        <v>3772</v>
      </c>
      <c r="N156" s="1130">
        <v>453399</v>
      </c>
      <c r="O156" s="1130">
        <v>53427</v>
      </c>
      <c r="P156" s="1131">
        <v>10.541487611132814</v>
      </c>
      <c r="Q156" s="1131">
        <v>65.49469058952765</v>
      </c>
      <c r="R156" s="1131">
        <v>82.319113877700474</v>
      </c>
      <c r="S156" s="1127">
        <v>92.100695715854997</v>
      </c>
      <c r="T156" s="1129">
        <v>69047</v>
      </c>
      <c r="U156" s="1129">
        <v>11622</v>
      </c>
      <c r="V156" s="1129">
        <v>6781</v>
      </c>
      <c r="W156" s="56" t="str">
        <f>+IFERROR(VLOOKUP(C156,'[18]מספר צרכנים'!$C:$G,3,0),"")</f>
        <v/>
      </c>
      <c r="Y156" s="1239"/>
    </row>
    <row r="157" spans="1:25" ht="17.100000000000001" customHeight="1" x14ac:dyDescent="0.2">
      <c r="B157" s="1122"/>
      <c r="C157" s="1160"/>
      <c r="D157" s="1124"/>
      <c r="E157" s="38" t="s">
        <v>65</v>
      </c>
      <c r="F157" s="1152">
        <v>18624</v>
      </c>
      <c r="G157" s="1125">
        <v>301300</v>
      </c>
      <c r="H157" s="1125">
        <v>1012504</v>
      </c>
      <c r="I157" s="1130">
        <v>1313804</v>
      </c>
      <c r="J157" s="1130">
        <v>912894</v>
      </c>
      <c r="K157" s="1152">
        <v>1118126</v>
      </c>
      <c r="L157" s="1130">
        <v>0</v>
      </c>
      <c r="M157" s="1130">
        <v>113890</v>
      </c>
      <c r="N157" s="1130">
        <v>1232016</v>
      </c>
      <c r="O157" s="1125">
        <v>81788</v>
      </c>
      <c r="P157" s="1131">
        <v>6.2252817010756551</v>
      </c>
      <c r="Q157" s="1131">
        <v>49.017074742268044</v>
      </c>
      <c r="R157" s="1131">
        <v>60.036834192439862</v>
      </c>
      <c r="S157" s="1127">
        <v>64.428371993127143</v>
      </c>
      <c r="T157" s="1129">
        <v>65038</v>
      </c>
      <c r="U157" s="1129">
        <v>92232</v>
      </c>
      <c r="V157" s="1129">
        <v>34371</v>
      </c>
      <c r="W157" s="56" t="str">
        <f>+IFERROR(VLOOKUP(C157,'[18]מספר צרכנים'!$C:$G,3,0),"")</f>
        <v/>
      </c>
      <c r="Y157" s="1239"/>
    </row>
    <row r="158" spans="1:25" ht="17.100000000000001" customHeight="1" x14ac:dyDescent="0.2">
      <c r="B158" s="1122"/>
      <c r="C158" s="1160"/>
      <c r="D158" s="1124"/>
      <c r="E158" s="38" t="s">
        <v>84</v>
      </c>
      <c r="F158" s="1130">
        <v>11397</v>
      </c>
      <c r="G158" s="1125">
        <v>0</v>
      </c>
      <c r="H158" s="1125">
        <v>1016103</v>
      </c>
      <c r="I158" s="1130">
        <v>1016103</v>
      </c>
      <c r="J158" s="1130">
        <v>802918</v>
      </c>
      <c r="K158" s="1130">
        <v>938418</v>
      </c>
      <c r="L158" s="1130">
        <v>0</v>
      </c>
      <c r="M158" s="1130">
        <v>347</v>
      </c>
      <c r="N158" s="1130">
        <v>938765</v>
      </c>
      <c r="O158" s="1130">
        <v>77338</v>
      </c>
      <c r="P158" s="1131">
        <v>7.6112362624655177</v>
      </c>
      <c r="Q158" s="1131">
        <v>70.449942967447569</v>
      </c>
      <c r="R158" s="1131">
        <v>82.339036588575937</v>
      </c>
      <c r="S158" s="1127">
        <v>89.12485741861893</v>
      </c>
      <c r="T158" s="1129">
        <v>56579</v>
      </c>
      <c r="U158" s="1129">
        <v>27312</v>
      </c>
      <c r="V158" s="1129">
        <v>40222</v>
      </c>
      <c r="W158" s="56" t="str">
        <f>+IFERROR(VLOOKUP(C158,'[18]מספר צרכנים'!$C:$G,3,0),"")</f>
        <v/>
      </c>
      <c r="Y158" s="1239"/>
    </row>
    <row r="159" spans="1:25" ht="17.100000000000001" customHeight="1" thickBot="1" x14ac:dyDescent="0.3">
      <c r="B159" s="1133"/>
      <c r="C159" s="1134" t="s">
        <v>259</v>
      </c>
      <c r="D159" s="1135"/>
      <c r="E159" s="1136" t="s">
        <v>535</v>
      </c>
      <c r="F159" s="1137">
        <v>68732</v>
      </c>
      <c r="G159" s="1137">
        <v>619770</v>
      </c>
      <c r="H159" s="1137">
        <v>5346360</v>
      </c>
      <c r="I159" s="1137">
        <v>5966130</v>
      </c>
      <c r="J159" s="1137">
        <v>4163501</v>
      </c>
      <c r="K159" s="1137">
        <v>5106959</v>
      </c>
      <c r="L159" s="1137">
        <v>0</v>
      </c>
      <c r="M159" s="1137">
        <v>230638</v>
      </c>
      <c r="N159" s="1137">
        <v>5337597</v>
      </c>
      <c r="O159" s="1137">
        <v>628533</v>
      </c>
      <c r="P159" s="1138">
        <v>10.535020188966717</v>
      </c>
      <c r="Q159" s="1138">
        <v>60.575874410754814</v>
      </c>
      <c r="R159" s="1138">
        <v>74.302493743816569</v>
      </c>
      <c r="S159" s="1139">
        <v>83.447186172379674</v>
      </c>
      <c r="T159" s="1190">
        <v>415105</v>
      </c>
      <c r="U159" s="1190">
        <v>206570</v>
      </c>
      <c r="V159" s="1190">
        <v>272906</v>
      </c>
      <c r="W159" s="56">
        <f>+IFERROR(VLOOKUP(C159,'[18]מספר צרכנים'!$C:$G,3,0),"")</f>
        <v>18895</v>
      </c>
      <c r="Y159" s="1239"/>
    </row>
    <row r="160" spans="1:25" ht="17.100000000000001" customHeight="1" x14ac:dyDescent="0.25">
      <c r="A160" s="1085">
        <v>2014</v>
      </c>
      <c r="B160" s="1122">
        <v>45</v>
      </c>
      <c r="C160" s="1123"/>
      <c r="D160" s="1124">
        <v>778</v>
      </c>
      <c r="E160" s="38" t="s">
        <v>30</v>
      </c>
      <c r="F160" s="1148">
        <v>21126</v>
      </c>
      <c r="G160" s="1130">
        <v>0</v>
      </c>
      <c r="H160" s="1125">
        <v>1565307</v>
      </c>
      <c r="I160" s="1130">
        <v>1565307</v>
      </c>
      <c r="J160" s="1130">
        <v>955096</v>
      </c>
      <c r="K160" s="1130">
        <v>1309820</v>
      </c>
      <c r="L160" s="1130">
        <v>68521</v>
      </c>
      <c r="M160" s="1130">
        <v>15133</v>
      </c>
      <c r="N160" s="1130">
        <v>1393474</v>
      </c>
      <c r="O160" s="1130">
        <v>171833</v>
      </c>
      <c r="P160" s="1131">
        <v>10.97759097736099</v>
      </c>
      <c r="Q160" s="1131">
        <v>45.209504875508848</v>
      </c>
      <c r="R160" s="1131">
        <v>62.000378680299157</v>
      </c>
      <c r="S160" s="1127">
        <v>70.134100160939127</v>
      </c>
      <c r="T160" s="1180">
        <v>152928</v>
      </c>
      <c r="U160" s="1180">
        <v>30610</v>
      </c>
      <c r="V160" s="1180">
        <v>50766</v>
      </c>
      <c r="W160" s="56" t="str">
        <f>+IFERROR(VLOOKUP(C160,'[18]מספר צרכנים'!$C:$G,3,0),"")</f>
        <v/>
      </c>
      <c r="Y160" s="1239"/>
    </row>
    <row r="161" spans="1:25" ht="17.100000000000001" customHeight="1" x14ac:dyDescent="0.25">
      <c r="B161" s="1122"/>
      <c r="C161" s="1123"/>
      <c r="D161" s="1124"/>
      <c r="E161" s="38" t="s">
        <v>22</v>
      </c>
      <c r="F161" s="1130">
        <v>7868</v>
      </c>
      <c r="G161" s="1130">
        <v>0</v>
      </c>
      <c r="H161" s="1125">
        <v>344293</v>
      </c>
      <c r="I161" s="1125">
        <v>344293</v>
      </c>
      <c r="J161" s="1130">
        <v>248354</v>
      </c>
      <c r="K161" s="1130">
        <v>288495</v>
      </c>
      <c r="L161" s="1130">
        <v>0</v>
      </c>
      <c r="M161" s="1130">
        <v>6201</v>
      </c>
      <c r="N161" s="1125">
        <v>294696</v>
      </c>
      <c r="O161" s="1130">
        <v>49597</v>
      </c>
      <c r="P161" s="1131">
        <v>14.405462788961728</v>
      </c>
      <c r="Q161" s="1131">
        <v>31.565073716319269</v>
      </c>
      <c r="R161" s="1131">
        <v>36.666878495170309</v>
      </c>
      <c r="S161" s="1127">
        <v>42.970513472292829</v>
      </c>
      <c r="T161" s="1129">
        <v>17641</v>
      </c>
      <c r="U161" s="1129">
        <v>0</v>
      </c>
      <c r="V161" s="1129">
        <v>6469</v>
      </c>
      <c r="W161" s="56" t="str">
        <f>+IFERROR(VLOOKUP(C161,'[18]מספר צרכנים'!$C:$G,3,0),"")</f>
        <v/>
      </c>
      <c r="Y161" s="1239"/>
    </row>
    <row r="162" spans="1:25" ht="17.100000000000001" customHeight="1" x14ac:dyDescent="0.25">
      <c r="B162" s="1122"/>
      <c r="C162" s="1123"/>
      <c r="D162" s="1124"/>
      <c r="E162" s="38" t="s">
        <v>26</v>
      </c>
      <c r="F162" s="1130">
        <v>5636</v>
      </c>
      <c r="G162" s="1130">
        <v>0</v>
      </c>
      <c r="H162" s="1125">
        <v>511218</v>
      </c>
      <c r="I162" s="1130">
        <v>511218</v>
      </c>
      <c r="J162" s="1130">
        <v>363557</v>
      </c>
      <c r="K162" s="1130">
        <v>459626</v>
      </c>
      <c r="L162" s="1130">
        <v>0</v>
      </c>
      <c r="M162" s="1130">
        <v>0</v>
      </c>
      <c r="N162" s="1130">
        <v>459626</v>
      </c>
      <c r="O162" s="1130">
        <v>51592</v>
      </c>
      <c r="P162" s="1131">
        <v>10.091976417105814</v>
      </c>
      <c r="Q162" s="1131">
        <v>64.506210078069557</v>
      </c>
      <c r="R162" s="1131">
        <v>81.551809794180272</v>
      </c>
      <c r="S162" s="1127">
        <v>90.70581973030518</v>
      </c>
      <c r="T162" s="1129">
        <v>54974</v>
      </c>
      <c r="U162" s="1129">
        <v>5489</v>
      </c>
      <c r="V162" s="1129">
        <v>12622</v>
      </c>
      <c r="W162" s="56" t="str">
        <f>+IFERROR(VLOOKUP(C162,'[18]מספר צרכנים'!$C:$G,3,0),"")</f>
        <v/>
      </c>
      <c r="Y162" s="1239"/>
    </row>
    <row r="163" spans="1:25" ht="17.100000000000001" customHeight="1" x14ac:dyDescent="0.25">
      <c r="B163" s="1122"/>
      <c r="C163" s="1123"/>
      <c r="D163" s="1124"/>
      <c r="E163" s="38" t="s">
        <v>38</v>
      </c>
      <c r="F163" s="1130">
        <v>6203</v>
      </c>
      <c r="G163" s="1130">
        <v>0</v>
      </c>
      <c r="H163" s="1125">
        <v>801593</v>
      </c>
      <c r="I163" s="1130">
        <v>801593</v>
      </c>
      <c r="J163" s="1130">
        <v>310022</v>
      </c>
      <c r="K163" s="1130">
        <v>401030</v>
      </c>
      <c r="L163" s="1130">
        <v>357143</v>
      </c>
      <c r="M163" s="1130">
        <v>0</v>
      </c>
      <c r="N163" s="1130">
        <v>758173</v>
      </c>
      <c r="O163" s="1130">
        <v>43420</v>
      </c>
      <c r="P163" s="1131">
        <v>5.4167139683106011</v>
      </c>
      <c r="Q163" s="1131">
        <v>49.979364823472515</v>
      </c>
      <c r="R163" s="1131">
        <v>64.65097533451555</v>
      </c>
      <c r="S163" s="1127">
        <v>71.650814122198938</v>
      </c>
      <c r="T163" s="1129">
        <v>22572</v>
      </c>
      <c r="U163" s="1129">
        <v>7223</v>
      </c>
      <c r="V163" s="1129">
        <v>18500</v>
      </c>
      <c r="W163" s="56" t="str">
        <f>+IFERROR(VLOOKUP(C163,'[18]מספר צרכנים'!$C:$G,3,0),"")</f>
        <v/>
      </c>
      <c r="Y163" s="1239"/>
    </row>
    <row r="164" spans="1:25" s="1132" customFormat="1" ht="17.100000000000001" customHeight="1" thickBot="1" x14ac:dyDescent="0.3">
      <c r="A164" s="1085"/>
      <c r="B164" s="1133"/>
      <c r="C164" s="1134" t="s">
        <v>260</v>
      </c>
      <c r="D164" s="1155"/>
      <c r="E164" s="1136" t="s">
        <v>535</v>
      </c>
      <c r="F164" s="1137">
        <v>40833</v>
      </c>
      <c r="G164" s="1137">
        <v>0</v>
      </c>
      <c r="H164" s="1137">
        <v>3222411</v>
      </c>
      <c r="I164" s="1137">
        <v>3222411</v>
      </c>
      <c r="J164" s="1137">
        <v>1877029</v>
      </c>
      <c r="K164" s="1137">
        <v>2458971</v>
      </c>
      <c r="L164" s="1137">
        <v>425664</v>
      </c>
      <c r="M164" s="1137">
        <v>21334</v>
      </c>
      <c r="N164" s="1137">
        <v>2905969</v>
      </c>
      <c r="O164" s="1137">
        <v>316442</v>
      </c>
      <c r="P164" s="1138">
        <v>9.820038474297661</v>
      </c>
      <c r="Q164" s="1138">
        <v>45.968432395366492</v>
      </c>
      <c r="R164" s="1138">
        <v>60.220189552567774</v>
      </c>
      <c r="S164" s="1139">
        <v>67.969852815125023</v>
      </c>
      <c r="T164" s="1169">
        <v>248115</v>
      </c>
      <c r="U164" s="1169">
        <v>43322</v>
      </c>
      <c r="V164" s="1169">
        <v>88357</v>
      </c>
      <c r="W164" s="56">
        <f>+IFERROR(VLOOKUP(C164,'[18]מספר צרכנים'!$C:$G,3,0),"")</f>
        <v>12565</v>
      </c>
      <c r="X164" s="1088">
        <v>1.904988096167466E-3</v>
      </c>
      <c r="Y164" s="1239"/>
    </row>
    <row r="165" spans="1:25" ht="15.95" customHeight="1" x14ac:dyDescent="0.25">
      <c r="A165" s="1085">
        <v>2014</v>
      </c>
      <c r="B165" s="1122">
        <v>46</v>
      </c>
      <c r="C165" s="1123"/>
      <c r="D165" s="1124">
        <v>6646</v>
      </c>
      <c r="E165" s="38" t="s">
        <v>80</v>
      </c>
      <c r="F165" s="359">
        <v>17529</v>
      </c>
      <c r="G165" s="359">
        <v>0</v>
      </c>
      <c r="H165" s="822">
        <v>1237668</v>
      </c>
      <c r="I165" s="822">
        <v>1237668</v>
      </c>
      <c r="J165" s="359">
        <v>446441</v>
      </c>
      <c r="K165" s="359">
        <v>507501</v>
      </c>
      <c r="L165" s="359">
        <v>0</v>
      </c>
      <c r="M165" s="359">
        <v>0</v>
      </c>
      <c r="N165" s="822">
        <v>507501</v>
      </c>
      <c r="O165" s="359">
        <v>730167</v>
      </c>
      <c r="P165" s="361">
        <v>58.995384868963242</v>
      </c>
      <c r="Q165" s="361">
        <v>25.468708996520053</v>
      </c>
      <c r="R165" s="361">
        <v>28.952079411261337</v>
      </c>
      <c r="S165" s="1127">
        <v>70.606880027383198</v>
      </c>
      <c r="T165" s="1180">
        <v>6842</v>
      </c>
      <c r="U165" s="1180">
        <v>5652</v>
      </c>
      <c r="V165" s="1180">
        <v>42457</v>
      </c>
      <c r="W165" s="56" t="str">
        <f>+IFERROR(VLOOKUP(C165,'[18]מספר צרכנים'!$C:$G,3,0),"")</f>
        <v/>
      </c>
      <c r="Y165" s="1239"/>
    </row>
    <row r="166" spans="1:25" ht="15.95" customHeight="1" x14ac:dyDescent="0.25">
      <c r="B166" s="1122"/>
      <c r="C166" s="1123"/>
      <c r="D166" s="1124"/>
      <c r="E166" s="38" t="s">
        <v>143</v>
      </c>
      <c r="F166" s="360">
        <v>18271</v>
      </c>
      <c r="G166" s="822">
        <v>0</v>
      </c>
      <c r="H166" s="822">
        <v>1082812</v>
      </c>
      <c r="I166" s="822">
        <v>1082812</v>
      </c>
      <c r="J166" s="822">
        <v>503735</v>
      </c>
      <c r="K166" s="822">
        <v>594561</v>
      </c>
      <c r="L166" s="822">
        <v>19713</v>
      </c>
      <c r="M166" s="822">
        <v>32620</v>
      </c>
      <c r="N166" s="822">
        <v>646894</v>
      </c>
      <c r="O166" s="822">
        <v>435918</v>
      </c>
      <c r="P166" s="826">
        <v>40.257957983472664</v>
      </c>
      <c r="Q166" s="826">
        <v>27.570193202342509</v>
      </c>
      <c r="R166" s="826">
        <v>32.541240216736902</v>
      </c>
      <c r="S166" s="1127">
        <v>56.399704449674346</v>
      </c>
      <c r="T166" s="1129">
        <v>12247</v>
      </c>
      <c r="U166" s="1129">
        <v>8208</v>
      </c>
      <c r="V166" s="1129">
        <v>54657</v>
      </c>
      <c r="W166" s="56" t="str">
        <f>+IFERROR(VLOOKUP(C166,'[18]מספר צרכנים'!$C:$G,3,0),"")</f>
        <v/>
      </c>
      <c r="Y166" s="1239"/>
    </row>
    <row r="167" spans="1:25" ht="15.95" customHeight="1" x14ac:dyDescent="0.25">
      <c r="B167" s="1122"/>
      <c r="C167" s="1123"/>
      <c r="D167" s="1124"/>
      <c r="E167" s="38" t="s">
        <v>81</v>
      </c>
      <c r="F167" s="359">
        <v>10824</v>
      </c>
      <c r="G167" s="359">
        <v>0</v>
      </c>
      <c r="H167" s="822">
        <v>1105162</v>
      </c>
      <c r="I167" s="822">
        <v>1105162</v>
      </c>
      <c r="J167" s="359">
        <v>554143</v>
      </c>
      <c r="K167" s="359">
        <v>595288</v>
      </c>
      <c r="L167" s="359">
        <v>0</v>
      </c>
      <c r="M167" s="359">
        <v>0</v>
      </c>
      <c r="N167" s="822">
        <v>595288</v>
      </c>
      <c r="O167" s="822">
        <v>509874</v>
      </c>
      <c r="P167" s="826">
        <v>46.135679656014233</v>
      </c>
      <c r="Q167" s="826">
        <v>51.195768662232076</v>
      </c>
      <c r="R167" s="826">
        <v>54.997043606799707</v>
      </c>
      <c r="S167" s="1127">
        <v>102.1029194382853</v>
      </c>
      <c r="T167" s="1129">
        <v>0</v>
      </c>
      <c r="U167" s="1129">
        <v>6212</v>
      </c>
      <c r="V167" s="1129">
        <v>27388</v>
      </c>
      <c r="W167" s="56" t="str">
        <f>+IFERROR(VLOOKUP(C167,'[18]מספר צרכנים'!$C:$G,3,0),"")</f>
        <v/>
      </c>
      <c r="Y167" s="1239"/>
    </row>
    <row r="168" spans="1:25" ht="15.95" customHeight="1" x14ac:dyDescent="0.25">
      <c r="B168" s="1122"/>
      <c r="C168" s="1123"/>
      <c r="D168" s="1124"/>
      <c r="E168" s="38" t="s">
        <v>83</v>
      </c>
      <c r="F168" s="359">
        <v>14798</v>
      </c>
      <c r="G168" s="359">
        <v>0</v>
      </c>
      <c r="H168" s="822">
        <v>1176954</v>
      </c>
      <c r="I168" s="822">
        <v>1176954</v>
      </c>
      <c r="J168" s="359">
        <v>414989</v>
      </c>
      <c r="K168" s="359">
        <v>494974</v>
      </c>
      <c r="L168" s="359">
        <v>0</v>
      </c>
      <c r="M168" s="359">
        <v>0</v>
      </c>
      <c r="N168" s="822">
        <v>494974</v>
      </c>
      <c r="O168" s="822">
        <v>681980</v>
      </c>
      <c r="P168" s="826">
        <v>57.944490608808842</v>
      </c>
      <c r="Q168" s="826">
        <v>28.043586971212324</v>
      </c>
      <c r="R168" s="826">
        <v>33.448709285038518</v>
      </c>
      <c r="S168" s="1127">
        <v>79.534666846871204</v>
      </c>
      <c r="T168" s="1129">
        <v>4620</v>
      </c>
      <c r="U168" s="1129">
        <v>4351</v>
      </c>
      <c r="V168" s="1129">
        <v>57093</v>
      </c>
      <c r="W168" s="56" t="str">
        <f>+IFERROR(VLOOKUP(C168,'[18]מספר צרכנים'!$C:$G,3,0),"")</f>
        <v/>
      </c>
      <c r="Y168" s="1239"/>
    </row>
    <row r="169" spans="1:25" ht="15.95" customHeight="1" x14ac:dyDescent="0.25">
      <c r="B169" s="1122"/>
      <c r="C169" s="1123"/>
      <c r="D169" s="1124"/>
      <c r="E169" s="38" t="s">
        <v>82</v>
      </c>
      <c r="F169" s="359">
        <v>18124</v>
      </c>
      <c r="G169" s="359">
        <v>0</v>
      </c>
      <c r="H169" s="822">
        <v>865654</v>
      </c>
      <c r="I169" s="359">
        <v>865654</v>
      </c>
      <c r="J169" s="359">
        <v>654832</v>
      </c>
      <c r="K169" s="359">
        <v>761229</v>
      </c>
      <c r="L169" s="359">
        <v>0</v>
      </c>
      <c r="M169" s="359">
        <v>0</v>
      </c>
      <c r="N169" s="822">
        <v>761229</v>
      </c>
      <c r="O169" s="822">
        <v>104425</v>
      </c>
      <c r="P169" s="826">
        <v>12.063133769381301</v>
      </c>
      <c r="Q169" s="826">
        <v>36.130655484440524</v>
      </c>
      <c r="R169" s="826">
        <v>42.001158684617081</v>
      </c>
      <c r="S169" s="1127">
        <v>47.762855881703821</v>
      </c>
      <c r="T169" s="1129">
        <v>4991</v>
      </c>
      <c r="U169" s="1129">
        <v>2725</v>
      </c>
      <c r="V169" s="1129">
        <v>64322</v>
      </c>
      <c r="W169" s="56" t="str">
        <f>+IFERROR(VLOOKUP(C169,'[18]מספר צרכנים'!$C:$G,3,0),"")</f>
        <v/>
      </c>
      <c r="Y169" s="1239"/>
    </row>
    <row r="170" spans="1:25" ht="15.95" customHeight="1" x14ac:dyDescent="0.25">
      <c r="B170" s="1122"/>
      <c r="C170" s="1123"/>
      <c r="D170" s="1124"/>
      <c r="E170" s="38" t="s">
        <v>145</v>
      </c>
      <c r="F170" s="822">
        <v>8497</v>
      </c>
      <c r="G170" s="359">
        <v>0</v>
      </c>
      <c r="H170" s="822">
        <v>595486</v>
      </c>
      <c r="I170" s="822">
        <v>595486</v>
      </c>
      <c r="J170" s="359">
        <v>320280</v>
      </c>
      <c r="K170" s="359">
        <v>368019</v>
      </c>
      <c r="L170" s="359">
        <v>0</v>
      </c>
      <c r="M170" s="359">
        <v>0</v>
      </c>
      <c r="N170" s="822">
        <v>368019</v>
      </c>
      <c r="O170" s="359">
        <v>227467</v>
      </c>
      <c r="P170" s="361">
        <v>38.198547069116657</v>
      </c>
      <c r="Q170" s="361">
        <v>37.693303518889017</v>
      </c>
      <c r="R170" s="361">
        <v>43.311639402141935</v>
      </c>
      <c r="S170" s="1127">
        <v>70.081911262798641</v>
      </c>
      <c r="T170" s="1129">
        <v>2769</v>
      </c>
      <c r="U170" s="1129">
        <v>17979</v>
      </c>
      <c r="V170" s="1129">
        <v>24924</v>
      </c>
      <c r="W170" s="56" t="str">
        <f>+IFERROR(VLOOKUP(C170,'[18]מספר צרכנים'!$C:$G,3,0),"")</f>
        <v/>
      </c>
      <c r="Y170" s="1239"/>
    </row>
    <row r="171" spans="1:25" ht="15.95" customHeight="1" x14ac:dyDescent="0.25">
      <c r="B171" s="1133"/>
      <c r="C171" s="1134" t="s">
        <v>578</v>
      </c>
      <c r="D171" s="1135"/>
      <c r="E171" s="1136" t="s">
        <v>535</v>
      </c>
      <c r="F171" s="1137">
        <v>88043</v>
      </c>
      <c r="G171" s="1137">
        <v>0</v>
      </c>
      <c r="H171" s="1137">
        <v>6063736</v>
      </c>
      <c r="I171" s="1137">
        <v>6063736</v>
      </c>
      <c r="J171" s="1137">
        <v>2894420</v>
      </c>
      <c r="K171" s="1137">
        <v>3321572</v>
      </c>
      <c r="L171" s="1137">
        <v>19713</v>
      </c>
      <c r="M171" s="1137">
        <v>32620</v>
      </c>
      <c r="N171" s="1137">
        <v>3373905</v>
      </c>
      <c r="O171" s="1137">
        <v>2689831</v>
      </c>
      <c r="P171" s="1138">
        <v>44.359302581774671</v>
      </c>
      <c r="Q171" s="1138">
        <v>32.875072407800737</v>
      </c>
      <c r="R171" s="1138">
        <v>37.726701725293324</v>
      </c>
      <c r="S171" s="1139">
        <v>68.278034596731146</v>
      </c>
      <c r="T171" s="1141">
        <v>31469</v>
      </c>
      <c r="U171" s="1141">
        <v>45127</v>
      </c>
      <c r="V171" s="1141">
        <v>270841</v>
      </c>
      <c r="W171" s="56">
        <f>+IFERROR(VLOOKUP(C171,'[18]מספר צרכנים'!$C:$G,3,0),"")</f>
        <v>9308</v>
      </c>
      <c r="X171" s="1088">
        <v>1.7471339542164635E-2</v>
      </c>
      <c r="Y171" s="1239"/>
    </row>
    <row r="172" spans="1:25" ht="15.95" customHeight="1" x14ac:dyDescent="0.2">
      <c r="A172" s="1085">
        <v>2014</v>
      </c>
      <c r="B172" s="1122">
        <v>47</v>
      </c>
      <c r="C172" s="1157"/>
      <c r="D172" s="1124">
        <v>1626</v>
      </c>
      <c r="E172" s="47" t="s">
        <v>94</v>
      </c>
      <c r="F172" s="1152">
        <v>7061</v>
      </c>
      <c r="G172" s="1125">
        <v>0</v>
      </c>
      <c r="H172" s="1125">
        <v>482234</v>
      </c>
      <c r="I172" s="1125">
        <v>482234</v>
      </c>
      <c r="J172" s="1125">
        <v>289652</v>
      </c>
      <c r="K172" s="1125">
        <v>328098</v>
      </c>
      <c r="L172" s="1125">
        <v>0</v>
      </c>
      <c r="M172" s="1125">
        <v>101117</v>
      </c>
      <c r="N172" s="1125">
        <v>429215</v>
      </c>
      <c r="O172" s="1125">
        <v>53019</v>
      </c>
      <c r="P172" s="1126">
        <v>10.994454974141185</v>
      </c>
      <c r="Q172" s="1126">
        <v>41.021385072935843</v>
      </c>
      <c r="R172" s="1126">
        <v>46.466222914601332</v>
      </c>
      <c r="S172" s="1127">
        <v>53.974932729075199</v>
      </c>
      <c r="T172" s="1129">
        <v>2400</v>
      </c>
      <c r="U172" s="1129">
        <v>14548</v>
      </c>
      <c r="V172" s="1129">
        <v>19777</v>
      </c>
      <c r="W172" s="56" t="str">
        <f>+IFERROR(VLOOKUP(C172,'[18]מספר צרכנים'!$C:$G,3,0),"")</f>
        <v/>
      </c>
      <c r="Y172" s="1239"/>
    </row>
    <row r="173" spans="1:25" ht="15.95" customHeight="1" x14ac:dyDescent="0.2">
      <c r="B173" s="1122"/>
      <c r="C173" s="1160"/>
      <c r="D173" s="1124"/>
      <c r="E173" s="47" t="s">
        <v>93</v>
      </c>
      <c r="F173" s="1130">
        <v>17714</v>
      </c>
      <c r="G173" s="1130">
        <v>0</v>
      </c>
      <c r="H173" s="1130">
        <v>1287027</v>
      </c>
      <c r="I173" s="1125">
        <v>1287027</v>
      </c>
      <c r="J173" s="1130">
        <v>866458</v>
      </c>
      <c r="K173" s="1130">
        <v>982521</v>
      </c>
      <c r="L173" s="1130">
        <v>0</v>
      </c>
      <c r="M173" s="1130">
        <v>84625</v>
      </c>
      <c r="N173" s="1125">
        <v>1067146</v>
      </c>
      <c r="O173" s="1130">
        <v>219881</v>
      </c>
      <c r="P173" s="1131">
        <v>17.08441237052525</v>
      </c>
      <c r="Q173" s="1131">
        <v>48.913740544202327</v>
      </c>
      <c r="R173" s="1131">
        <v>55.465789770802758</v>
      </c>
      <c r="S173" s="1127">
        <v>67.878627074630231</v>
      </c>
      <c r="T173" s="1129">
        <v>31338</v>
      </c>
      <c r="U173" s="1129">
        <v>21990</v>
      </c>
      <c r="V173" s="1129">
        <v>56972</v>
      </c>
      <c r="W173" s="56" t="str">
        <f>+IFERROR(VLOOKUP(C173,'[18]מספר צרכנים'!$C:$G,3,0),"")</f>
        <v/>
      </c>
      <c r="Y173" s="1239"/>
    </row>
    <row r="174" spans="1:25" ht="15.95" customHeight="1" x14ac:dyDescent="0.2">
      <c r="B174" s="1122"/>
      <c r="C174" s="1160"/>
      <c r="D174" s="1124"/>
      <c r="E174" s="47" t="s">
        <v>89</v>
      </c>
      <c r="F174" s="1125">
        <v>12802</v>
      </c>
      <c r="G174" s="1125">
        <v>0</v>
      </c>
      <c r="H174" s="1125">
        <v>690503</v>
      </c>
      <c r="I174" s="1125">
        <v>690503</v>
      </c>
      <c r="J174" s="1125">
        <v>468011</v>
      </c>
      <c r="K174" s="1125">
        <v>546787</v>
      </c>
      <c r="L174" s="1125">
        <v>0</v>
      </c>
      <c r="M174" s="1125">
        <v>30852</v>
      </c>
      <c r="N174" s="1125">
        <v>577639</v>
      </c>
      <c r="O174" s="1125">
        <v>112864</v>
      </c>
      <c r="P174" s="1126">
        <v>16.34518604553492</v>
      </c>
      <c r="Q174" s="1126">
        <v>36.557647242618344</v>
      </c>
      <c r="R174" s="1126">
        <v>42.711060771754411</v>
      </c>
      <c r="S174" s="1127">
        <v>51.52718325261678</v>
      </c>
      <c r="T174" s="1129">
        <v>19981</v>
      </c>
      <c r="U174" s="1129">
        <v>24974</v>
      </c>
      <c r="V174" s="1129">
        <v>22590</v>
      </c>
      <c r="W174" s="56" t="str">
        <f>+IFERROR(VLOOKUP(C174,'[18]מספר צרכנים'!$C:$G,3,0),"")</f>
        <v/>
      </c>
      <c r="Y174" s="1239"/>
    </row>
    <row r="175" spans="1:25" ht="15.95" customHeight="1" x14ac:dyDescent="0.2">
      <c r="B175" s="1122"/>
      <c r="C175" s="1088"/>
      <c r="D175" s="1124"/>
      <c r="E175" s="47" t="s">
        <v>41</v>
      </c>
      <c r="F175" s="1130">
        <v>6381</v>
      </c>
      <c r="G175" s="1130">
        <v>0</v>
      </c>
      <c r="H175" s="1130">
        <v>386632</v>
      </c>
      <c r="I175" s="1125">
        <v>386632</v>
      </c>
      <c r="J175" s="1130">
        <v>311253</v>
      </c>
      <c r="K175" s="1130">
        <v>354216</v>
      </c>
      <c r="L175" s="1130">
        <v>0</v>
      </c>
      <c r="M175" s="1130">
        <v>4652</v>
      </c>
      <c r="N175" s="1125">
        <v>358868</v>
      </c>
      <c r="O175" s="1130">
        <v>27764</v>
      </c>
      <c r="P175" s="1131">
        <v>7.1809886403608596</v>
      </c>
      <c r="Q175" s="1131">
        <v>48.778091208274567</v>
      </c>
      <c r="R175" s="1131">
        <v>55.511048425011751</v>
      </c>
      <c r="S175" s="1127">
        <v>59.862090581413568</v>
      </c>
      <c r="T175" s="1129">
        <v>40</v>
      </c>
      <c r="U175" s="1129">
        <v>4621</v>
      </c>
      <c r="V175" s="1129">
        <v>33530</v>
      </c>
      <c r="W175" s="56" t="str">
        <f>+IFERROR(VLOOKUP(C175,'[18]מספר צרכנים'!$C:$G,3,0),"")</f>
        <v/>
      </c>
      <c r="Y175" s="1239"/>
    </row>
    <row r="176" spans="1:25" ht="15.95" customHeight="1" x14ac:dyDescent="0.2">
      <c r="B176" s="1122"/>
      <c r="C176" s="1160"/>
      <c r="D176" s="1124"/>
      <c r="E176" s="47" t="s">
        <v>39</v>
      </c>
      <c r="F176" s="1148">
        <v>38717</v>
      </c>
      <c r="G176" s="1130">
        <v>0</v>
      </c>
      <c r="H176" s="1130">
        <v>3207380</v>
      </c>
      <c r="I176" s="1130">
        <v>3207380</v>
      </c>
      <c r="J176" s="1130">
        <v>1705564</v>
      </c>
      <c r="K176" s="1130">
        <v>2137322</v>
      </c>
      <c r="L176" s="1130">
        <v>129337</v>
      </c>
      <c r="M176" s="1130">
        <v>246435</v>
      </c>
      <c r="N176" s="1130">
        <v>2513094</v>
      </c>
      <c r="O176" s="1130">
        <v>694286</v>
      </c>
      <c r="P176" s="1131">
        <v>21.646515224264039</v>
      </c>
      <c r="Q176" s="1131">
        <v>44.05207015006328</v>
      </c>
      <c r="R176" s="1131">
        <v>55.203708965054112</v>
      </c>
      <c r="S176" s="1127">
        <v>73.136038432729805</v>
      </c>
      <c r="T176" s="1129">
        <v>66713</v>
      </c>
      <c r="U176" s="1129">
        <v>199923</v>
      </c>
      <c r="V176" s="1129">
        <v>112977</v>
      </c>
      <c r="W176" s="56" t="str">
        <f>+IFERROR(VLOOKUP(C176,'[18]מספר צרכנים'!$C:$G,3,0),"")</f>
        <v/>
      </c>
      <c r="Y176" s="1239"/>
    </row>
    <row r="177" spans="1:25" ht="15.95" customHeight="1" x14ac:dyDescent="0.2">
      <c r="B177" s="1122"/>
      <c r="C177" s="1160"/>
      <c r="D177" s="1124"/>
      <c r="E177" s="47" t="s">
        <v>42</v>
      </c>
      <c r="F177" s="1130">
        <v>31146</v>
      </c>
      <c r="G177" s="1130">
        <v>0</v>
      </c>
      <c r="H177" s="1130">
        <v>2358804</v>
      </c>
      <c r="I177" s="1130">
        <v>2358804</v>
      </c>
      <c r="J177" s="1130">
        <v>1562398</v>
      </c>
      <c r="K177" s="1130">
        <v>1815755</v>
      </c>
      <c r="L177" s="1130">
        <v>27005</v>
      </c>
      <c r="M177" s="1130">
        <v>119639</v>
      </c>
      <c r="N177" s="1130">
        <v>1962399</v>
      </c>
      <c r="O177" s="1130">
        <v>396405</v>
      </c>
      <c r="P177" s="1131">
        <v>16.805338637716403</v>
      </c>
      <c r="Q177" s="1131">
        <v>50.163680729467671</v>
      </c>
      <c r="R177" s="1131">
        <v>58.298176330829001</v>
      </c>
      <c r="S177" s="1127">
        <v>71.025492840172092</v>
      </c>
      <c r="T177" s="1129">
        <v>10721</v>
      </c>
      <c r="U177" s="1129">
        <v>148582</v>
      </c>
      <c r="V177" s="1129">
        <v>84450</v>
      </c>
      <c r="W177" s="56" t="str">
        <f>+IFERROR(VLOOKUP(C177,'[18]מספר צרכנים'!$C:$G,3,0),"")</f>
        <v/>
      </c>
      <c r="Y177" s="1239"/>
    </row>
    <row r="178" spans="1:25" ht="15.95" customHeight="1" x14ac:dyDescent="0.2">
      <c r="B178" s="1122"/>
      <c r="C178" s="1160"/>
      <c r="D178" s="1124"/>
      <c r="E178" s="47" t="s">
        <v>92</v>
      </c>
      <c r="F178" s="1125">
        <v>7195</v>
      </c>
      <c r="G178" s="1125">
        <v>0</v>
      </c>
      <c r="H178" s="1152">
        <v>542785</v>
      </c>
      <c r="I178" s="1125">
        <v>542785</v>
      </c>
      <c r="J178" s="1125">
        <v>373731</v>
      </c>
      <c r="K178" s="1125">
        <v>398756</v>
      </c>
      <c r="L178" s="1125">
        <v>0</v>
      </c>
      <c r="M178" s="1125">
        <v>59312</v>
      </c>
      <c r="N178" s="1125">
        <v>458068</v>
      </c>
      <c r="O178" s="1125">
        <v>84717</v>
      </c>
      <c r="P178" s="1126">
        <v>15.607837357333015</v>
      </c>
      <c r="Q178" s="1126">
        <v>51.943154968728287</v>
      </c>
      <c r="R178" s="1126">
        <v>55.421264767199446</v>
      </c>
      <c r="S178" s="1127">
        <v>67.195691452397497</v>
      </c>
      <c r="T178" s="1129">
        <v>432</v>
      </c>
      <c r="U178" s="1129">
        <v>5496</v>
      </c>
      <c r="V178" s="1129">
        <v>13325</v>
      </c>
      <c r="W178" s="56" t="str">
        <f>+IFERROR(VLOOKUP(C178,'[18]מספר צרכנים'!$C:$G,3,0),"")</f>
        <v/>
      </c>
      <c r="Y178" s="1239"/>
    </row>
    <row r="179" spans="1:25" ht="15.95" customHeight="1" x14ac:dyDescent="0.2">
      <c r="B179" s="1122"/>
      <c r="C179" s="1160"/>
      <c r="D179" s="1124"/>
      <c r="E179" s="1" t="s">
        <v>11</v>
      </c>
      <c r="F179" s="1130">
        <v>12276</v>
      </c>
      <c r="G179" s="1125">
        <v>0</v>
      </c>
      <c r="H179" s="1125">
        <v>984780</v>
      </c>
      <c r="I179" s="1125">
        <v>984780</v>
      </c>
      <c r="J179" s="1125">
        <v>558740</v>
      </c>
      <c r="K179" s="1125">
        <v>651063</v>
      </c>
      <c r="L179" s="1125">
        <v>0</v>
      </c>
      <c r="M179" s="1125">
        <v>194976</v>
      </c>
      <c r="N179" s="1125">
        <v>846039</v>
      </c>
      <c r="O179" s="1125">
        <v>138741</v>
      </c>
      <c r="P179" s="1126">
        <v>14.088527386827515</v>
      </c>
      <c r="Q179" s="1126">
        <v>45.514825676115997</v>
      </c>
      <c r="R179" s="1126">
        <v>53.035434995112418</v>
      </c>
      <c r="S179" s="1127">
        <v>64.337243401759537</v>
      </c>
      <c r="T179" s="1129">
        <v>3615</v>
      </c>
      <c r="U179" s="1129">
        <v>63059</v>
      </c>
      <c r="V179" s="1129">
        <v>19881</v>
      </c>
      <c r="W179" s="56" t="str">
        <f>+IFERROR(VLOOKUP(C179,'[18]מספר צרכנים'!$C:$G,3,0),"")</f>
        <v/>
      </c>
      <c r="Y179" s="1239"/>
    </row>
    <row r="180" spans="1:25" ht="15.95" customHeight="1" x14ac:dyDescent="0.2">
      <c r="B180" s="1122"/>
      <c r="C180" s="1160"/>
      <c r="D180" s="1124"/>
      <c r="E180" s="1" t="s">
        <v>485</v>
      </c>
      <c r="F180" s="1125">
        <v>8295</v>
      </c>
      <c r="G180" s="1125">
        <v>0</v>
      </c>
      <c r="H180" s="1125">
        <v>569287</v>
      </c>
      <c r="I180" s="1125">
        <v>569287</v>
      </c>
      <c r="J180" s="1125">
        <v>395539</v>
      </c>
      <c r="K180" s="1125">
        <v>440003</v>
      </c>
      <c r="L180" s="1125">
        <v>0</v>
      </c>
      <c r="M180" s="1125">
        <v>42162</v>
      </c>
      <c r="N180" s="1125">
        <v>482165</v>
      </c>
      <c r="O180" s="1125">
        <v>87122</v>
      </c>
      <c r="P180" s="1126">
        <v>15.303704458383907</v>
      </c>
      <c r="Q180" s="1126">
        <v>47.684026522001204</v>
      </c>
      <c r="R180" s="1126">
        <v>53.044364074743818</v>
      </c>
      <c r="S180" s="1127">
        <v>63.547317661241713</v>
      </c>
      <c r="T180" s="1129">
        <v>1322</v>
      </c>
      <c r="U180" s="1129">
        <v>3711</v>
      </c>
      <c r="V180" s="1129">
        <v>34771</v>
      </c>
      <c r="W180" s="56" t="str">
        <f>+IFERROR(VLOOKUP(C180,'[18]מספר צרכנים'!$C:$G,3,0),"")</f>
        <v/>
      </c>
      <c r="Y180" s="1239"/>
    </row>
    <row r="181" spans="1:25" ht="15.95" customHeight="1" x14ac:dyDescent="0.2">
      <c r="B181" s="1122"/>
      <c r="C181" s="1160"/>
      <c r="D181" s="1124"/>
      <c r="E181" s="1" t="s">
        <v>484</v>
      </c>
      <c r="F181" s="1125">
        <v>3157</v>
      </c>
      <c r="G181" s="1125">
        <v>0</v>
      </c>
      <c r="H181" s="1125">
        <v>222932</v>
      </c>
      <c r="I181" s="1125">
        <v>222932</v>
      </c>
      <c r="J181" s="1125">
        <v>189409</v>
      </c>
      <c r="K181" s="1125">
        <v>218736</v>
      </c>
      <c r="L181" s="1125">
        <v>0</v>
      </c>
      <c r="M181" s="1125">
        <v>0</v>
      </c>
      <c r="N181" s="1125">
        <v>218736</v>
      </c>
      <c r="O181" s="1125">
        <v>4196</v>
      </c>
      <c r="P181" s="1126">
        <v>1.8821882905998244</v>
      </c>
      <c r="Q181" s="1126">
        <v>59.99651567944251</v>
      </c>
      <c r="R181" s="1126">
        <v>69.286031042128599</v>
      </c>
      <c r="S181" s="1127">
        <v>70.615140956604378</v>
      </c>
      <c r="T181" s="1129">
        <v>20080</v>
      </c>
      <c r="U181" s="1129">
        <v>1531</v>
      </c>
      <c r="V181" s="1129">
        <v>6325</v>
      </c>
      <c r="W181" s="56" t="str">
        <f>+IFERROR(VLOOKUP(C181,'[18]מספר צרכנים'!$C:$G,3,0),"")</f>
        <v/>
      </c>
      <c r="Y181" s="1239"/>
    </row>
    <row r="182" spans="1:25" ht="15.95" customHeight="1" thickBot="1" x14ac:dyDescent="0.3">
      <c r="B182" s="1162"/>
      <c r="C182" s="1134" t="s">
        <v>261</v>
      </c>
      <c r="D182" s="1185"/>
      <c r="E182" s="1164" t="s">
        <v>535</v>
      </c>
      <c r="F182" s="1165">
        <v>144744</v>
      </c>
      <c r="G182" s="1165">
        <v>0</v>
      </c>
      <c r="H182" s="1165">
        <v>10732364</v>
      </c>
      <c r="I182" s="1165">
        <v>10732364</v>
      </c>
      <c r="J182" s="1165">
        <v>6720755</v>
      </c>
      <c r="K182" s="1165">
        <v>7873257</v>
      </c>
      <c r="L182" s="1165">
        <v>156342</v>
      </c>
      <c r="M182" s="1165">
        <v>883770</v>
      </c>
      <c r="N182" s="1165">
        <v>8913369</v>
      </c>
      <c r="O182" s="1165">
        <v>1818995</v>
      </c>
      <c r="P182" s="1166">
        <v>16.94868903067395</v>
      </c>
      <c r="Q182" s="1166">
        <v>46.432010998728792</v>
      </c>
      <c r="R182" s="1166">
        <v>54.394358315370589</v>
      </c>
      <c r="S182" s="1167">
        <v>66.961338639252745</v>
      </c>
      <c r="T182" s="1191">
        <v>156642</v>
      </c>
      <c r="U182" s="1191">
        <v>488435</v>
      </c>
      <c r="V182" s="1191">
        <v>404598</v>
      </c>
      <c r="W182" s="56">
        <f>+IFERROR(VLOOKUP(C182,'[18]מספר צרכנים'!$C:$G,3,0),"")</f>
        <v>34321</v>
      </c>
      <c r="X182" s="1088">
        <v>1.3623056711439509E-2</v>
      </c>
      <c r="Y182" s="1239"/>
    </row>
    <row r="183" spans="1:25" ht="17.100000000000001" customHeight="1" x14ac:dyDescent="0.25">
      <c r="A183" s="1085">
        <v>2014</v>
      </c>
      <c r="B183" s="1122">
        <v>48</v>
      </c>
      <c r="C183" s="1123"/>
      <c r="D183" s="1124">
        <v>5876</v>
      </c>
      <c r="E183" s="1124" t="s">
        <v>76</v>
      </c>
      <c r="F183" s="1130">
        <v>41451</v>
      </c>
      <c r="G183" s="1130">
        <v>0</v>
      </c>
      <c r="H183" s="1152">
        <v>3853617</v>
      </c>
      <c r="I183" s="1130">
        <v>3853617</v>
      </c>
      <c r="J183" s="1130">
        <v>2530554</v>
      </c>
      <c r="K183" s="1130">
        <v>3453103</v>
      </c>
      <c r="L183" s="1130">
        <v>14294</v>
      </c>
      <c r="M183" s="1130">
        <v>146</v>
      </c>
      <c r="N183" s="1130">
        <v>3467543</v>
      </c>
      <c r="O183" s="1130">
        <v>386074</v>
      </c>
      <c r="P183" s="1131">
        <v>10.018483933405941</v>
      </c>
      <c r="Q183" s="1131">
        <v>61.049287110081785</v>
      </c>
      <c r="R183" s="1131">
        <v>83.305662107066169</v>
      </c>
      <c r="S183" s="1127">
        <v>92.61964729439579</v>
      </c>
      <c r="T183" s="1129">
        <v>406613</v>
      </c>
      <c r="U183" s="1129">
        <v>263383</v>
      </c>
      <c r="V183" s="1129">
        <v>107675</v>
      </c>
      <c r="W183" s="56" t="str">
        <f>+IFERROR(VLOOKUP(C183,'[18]מספר צרכנים'!$C:$G,3,0),"")</f>
        <v/>
      </c>
      <c r="Y183" s="1239"/>
    </row>
    <row r="184" spans="1:25" ht="17.100000000000001" customHeight="1" x14ac:dyDescent="0.25">
      <c r="B184" s="1133"/>
      <c r="C184" s="1134" t="s">
        <v>262</v>
      </c>
      <c r="D184" s="1135"/>
      <c r="E184" s="1136" t="s">
        <v>535</v>
      </c>
      <c r="F184" s="1137">
        <v>41451</v>
      </c>
      <c r="G184" s="1143">
        <v>0</v>
      </c>
      <c r="H184" s="1143">
        <v>3853617</v>
      </c>
      <c r="I184" s="1143">
        <v>3853617</v>
      </c>
      <c r="J184" s="1143">
        <v>2530554</v>
      </c>
      <c r="K184" s="1143">
        <v>3453103</v>
      </c>
      <c r="L184" s="1143">
        <v>14294</v>
      </c>
      <c r="M184" s="1143">
        <v>146</v>
      </c>
      <c r="N184" s="1143">
        <v>3467543</v>
      </c>
      <c r="O184" s="1143">
        <v>386074</v>
      </c>
      <c r="P184" s="1138">
        <v>10.018483933405941</v>
      </c>
      <c r="Q184" s="1138">
        <v>61.049287110081785</v>
      </c>
      <c r="R184" s="1138">
        <v>83.305662107066169</v>
      </c>
      <c r="S184" s="1139">
        <v>92.61964729439579</v>
      </c>
      <c r="T184" s="1141">
        <v>406613</v>
      </c>
      <c r="U184" s="1141">
        <v>263383</v>
      </c>
      <c r="V184" s="1141">
        <v>107675</v>
      </c>
      <c r="W184" s="56">
        <f>+IFERROR(VLOOKUP(C184,'[18]מספר צרכנים'!$C:$G,3,0),"")</f>
        <v>12387</v>
      </c>
      <c r="Y184" s="1239"/>
    </row>
    <row r="185" spans="1:25" ht="17.100000000000001" customHeight="1" x14ac:dyDescent="0.25">
      <c r="A185" s="1085">
        <v>2014</v>
      </c>
      <c r="B185" s="1122">
        <v>49</v>
      </c>
      <c r="C185" s="1123"/>
      <c r="D185" s="1124">
        <v>636</v>
      </c>
      <c r="E185" s="38" t="s">
        <v>73</v>
      </c>
      <c r="F185" s="1148">
        <v>44715</v>
      </c>
      <c r="G185" s="1130">
        <v>0</v>
      </c>
      <c r="H185" s="1130">
        <v>3771617</v>
      </c>
      <c r="I185" s="1130">
        <v>3771617</v>
      </c>
      <c r="J185" s="1130">
        <v>2091677</v>
      </c>
      <c r="K185" s="1130">
        <v>3221554</v>
      </c>
      <c r="L185" s="1130">
        <v>346256</v>
      </c>
      <c r="M185" s="1130">
        <v>17049</v>
      </c>
      <c r="N185" s="1130">
        <v>3584859</v>
      </c>
      <c r="O185" s="1130">
        <v>186758</v>
      </c>
      <c r="P185" s="1131">
        <v>4.9516692707663585</v>
      </c>
      <c r="Q185" s="1131">
        <v>46.777971597897796</v>
      </c>
      <c r="R185" s="1131">
        <v>72.046382645644641</v>
      </c>
      <c r="S185" s="1127">
        <v>76.223012411942307</v>
      </c>
      <c r="T185" s="1129">
        <v>487988</v>
      </c>
      <c r="U185" s="1129">
        <v>406917</v>
      </c>
      <c r="V185" s="1129">
        <v>144379</v>
      </c>
      <c r="W185" s="56" t="str">
        <f>+IFERROR(VLOOKUP(C185,'[18]מספר צרכנים'!$C:$G,3,0),"")</f>
        <v/>
      </c>
      <c r="Y185" s="1239"/>
    </row>
    <row r="186" spans="1:25" ht="17.100000000000001" customHeight="1" x14ac:dyDescent="0.25">
      <c r="B186" s="1133"/>
      <c r="C186" s="1134" t="s">
        <v>660</v>
      </c>
      <c r="D186" s="1135"/>
      <c r="E186" s="1136" t="s">
        <v>535</v>
      </c>
      <c r="F186" s="1143">
        <v>44715</v>
      </c>
      <c r="G186" s="1143">
        <v>0</v>
      </c>
      <c r="H186" s="1143">
        <v>3771617</v>
      </c>
      <c r="I186" s="1143">
        <v>3771617</v>
      </c>
      <c r="J186" s="1143">
        <v>2091677</v>
      </c>
      <c r="K186" s="1143">
        <v>3221554</v>
      </c>
      <c r="L186" s="1143">
        <v>346256</v>
      </c>
      <c r="M186" s="1143">
        <v>17049</v>
      </c>
      <c r="N186" s="1143">
        <v>3584859</v>
      </c>
      <c r="O186" s="1143">
        <v>186758</v>
      </c>
      <c r="P186" s="1138">
        <v>4.9516692707663585</v>
      </c>
      <c r="Q186" s="1138">
        <v>46.777971597897796</v>
      </c>
      <c r="R186" s="1138">
        <v>72.046382645644641</v>
      </c>
      <c r="S186" s="1139">
        <v>76.223012411942307</v>
      </c>
      <c r="T186" s="1141">
        <v>487988</v>
      </c>
      <c r="U186" s="1141">
        <v>406917</v>
      </c>
      <c r="V186" s="1141">
        <v>144379</v>
      </c>
      <c r="W186" s="56">
        <f>+IFERROR(VLOOKUP(C186,'[18]מספר צרכנים'!$C:$G,3,0),"")</f>
        <v>17455</v>
      </c>
      <c r="Y186" s="1239"/>
    </row>
    <row r="187" spans="1:25" ht="17.100000000000001" customHeight="1" x14ac:dyDescent="0.25">
      <c r="A187" s="1085">
        <v>2014</v>
      </c>
      <c r="B187" s="1122">
        <v>50</v>
      </c>
      <c r="C187" s="1123"/>
      <c r="D187" s="1124">
        <v>6544</v>
      </c>
      <c r="E187" s="47" t="s">
        <v>1</v>
      </c>
      <c r="F187" s="1148">
        <v>48140</v>
      </c>
      <c r="G187" s="1130">
        <v>0</v>
      </c>
      <c r="H187" s="1130">
        <v>11127408</v>
      </c>
      <c r="I187" s="1130">
        <v>11127408</v>
      </c>
      <c r="J187" s="1130">
        <v>3759740</v>
      </c>
      <c r="K187" s="1130">
        <v>6525968</v>
      </c>
      <c r="L187" s="1130">
        <v>3978656</v>
      </c>
      <c r="M187" s="1130">
        <v>45717</v>
      </c>
      <c r="N187" s="1130">
        <v>10550341</v>
      </c>
      <c r="O187" s="1130">
        <v>577067</v>
      </c>
      <c r="P187" s="1131">
        <v>5.185996595074073</v>
      </c>
      <c r="Q187" s="1131">
        <v>78.100124636476949</v>
      </c>
      <c r="R187" s="1131">
        <v>135.5622766929788</v>
      </c>
      <c r="S187" s="1127">
        <v>147.54954299958453</v>
      </c>
      <c r="T187" s="1129">
        <v>1297302</v>
      </c>
      <c r="U187" s="1129">
        <v>938710</v>
      </c>
      <c r="V187" s="1129">
        <v>337575</v>
      </c>
      <c r="W187" s="56" t="str">
        <f>+IFERROR(VLOOKUP(C187,'[18]מספר צרכנים'!$C:$G,3,0),"")</f>
        <v/>
      </c>
      <c r="Y187" s="1239"/>
    </row>
    <row r="188" spans="1:25" ht="17.100000000000001" customHeight="1" thickBot="1" x14ac:dyDescent="0.3">
      <c r="B188" s="1133"/>
      <c r="C188" s="1134" t="s">
        <v>456</v>
      </c>
      <c r="D188" s="1135"/>
      <c r="E188" s="1136" t="s">
        <v>535</v>
      </c>
      <c r="F188" s="1143">
        <v>48140</v>
      </c>
      <c r="G188" s="1143">
        <v>0</v>
      </c>
      <c r="H188" s="1143">
        <v>11127408</v>
      </c>
      <c r="I188" s="1143">
        <v>11127408</v>
      </c>
      <c r="J188" s="1143">
        <v>3759740</v>
      </c>
      <c r="K188" s="1143">
        <v>6525968</v>
      </c>
      <c r="L188" s="1143">
        <v>3978656</v>
      </c>
      <c r="M188" s="1143">
        <v>45717</v>
      </c>
      <c r="N188" s="1143">
        <v>10550341</v>
      </c>
      <c r="O188" s="1143">
        <v>577067</v>
      </c>
      <c r="P188" s="1138">
        <v>5.185996595074073</v>
      </c>
      <c r="Q188" s="1138">
        <v>78.100124636476949</v>
      </c>
      <c r="R188" s="1138">
        <v>135.5622766929788</v>
      </c>
      <c r="S188" s="1139">
        <v>147.54954299958453</v>
      </c>
      <c r="T188" s="1169">
        <v>1297302</v>
      </c>
      <c r="U188" s="1169">
        <v>938710</v>
      </c>
      <c r="V188" s="1169">
        <v>337575</v>
      </c>
      <c r="W188" s="56">
        <f>+IFERROR(VLOOKUP(C188,'[18]מספר צרכנים'!$C:$G,3,0),"")</f>
        <v>21143</v>
      </c>
      <c r="Y188" s="1239"/>
    </row>
    <row r="189" spans="1:25" ht="15.95" customHeight="1" x14ac:dyDescent="0.25">
      <c r="B189" s="1122">
        <v>51</v>
      </c>
      <c r="C189" s="1123"/>
      <c r="D189" s="1124">
        <v>1464</v>
      </c>
      <c r="E189" s="38" t="s">
        <v>16</v>
      </c>
      <c r="F189" s="1130">
        <v>8873</v>
      </c>
      <c r="G189" s="1130">
        <v>0</v>
      </c>
      <c r="H189" s="1125">
        <v>764298</v>
      </c>
      <c r="I189" s="1130">
        <v>764298</v>
      </c>
      <c r="J189" s="1130">
        <v>454546</v>
      </c>
      <c r="K189" s="1130">
        <v>659239</v>
      </c>
      <c r="L189" s="1130">
        <v>38456</v>
      </c>
      <c r="M189" s="1130">
        <v>13690</v>
      </c>
      <c r="N189" s="1130">
        <v>711385</v>
      </c>
      <c r="O189" s="1130">
        <v>52913</v>
      </c>
      <c r="P189" s="1131">
        <v>6.9230849747088179</v>
      </c>
      <c r="Q189" s="1131">
        <v>51.227995041136033</v>
      </c>
      <c r="R189" s="1131">
        <v>74.297193733799162</v>
      </c>
      <c r="S189" s="1127">
        <v>80.260565761298324</v>
      </c>
      <c r="T189" s="1180">
        <v>63372</v>
      </c>
      <c r="U189" s="1180">
        <v>52047</v>
      </c>
      <c r="V189" s="1180">
        <v>56770</v>
      </c>
      <c r="W189" s="56" t="str">
        <f>+IFERROR(VLOOKUP(C189,'[18]מספר צרכנים'!$C:$G,3,0),"")</f>
        <v/>
      </c>
      <c r="Y189" s="1239"/>
    </row>
    <row r="190" spans="1:25" ht="15.95" customHeight="1" x14ac:dyDescent="0.25">
      <c r="B190" s="1122"/>
      <c r="C190" s="1123"/>
      <c r="D190" s="1124"/>
      <c r="E190" s="38" t="s">
        <v>12</v>
      </c>
      <c r="F190" s="1125">
        <v>2992</v>
      </c>
      <c r="G190" s="1125">
        <v>0</v>
      </c>
      <c r="H190" s="1125">
        <v>185149</v>
      </c>
      <c r="I190" s="1125">
        <v>185149</v>
      </c>
      <c r="J190" s="1125">
        <v>156286</v>
      </c>
      <c r="K190" s="1125">
        <v>172177</v>
      </c>
      <c r="L190" s="1125">
        <v>0</v>
      </c>
      <c r="M190" s="1125">
        <v>5290</v>
      </c>
      <c r="N190" s="1125">
        <v>177467</v>
      </c>
      <c r="O190" s="1125">
        <v>7682</v>
      </c>
      <c r="P190" s="1126">
        <v>4.1490907323290971</v>
      </c>
      <c r="Q190" s="1126">
        <v>52.234625668449198</v>
      </c>
      <c r="R190" s="1126">
        <v>57.545788770053477</v>
      </c>
      <c r="S190" s="1127">
        <v>60.113302139037437</v>
      </c>
      <c r="T190" s="1129">
        <v>0</v>
      </c>
      <c r="U190" s="1129">
        <v>5898</v>
      </c>
      <c r="V190" s="1129">
        <v>4608</v>
      </c>
      <c r="W190" s="56" t="str">
        <f>+IFERROR(VLOOKUP(C190,'[18]מספר צרכנים'!$C:$G,3,0),"")</f>
        <v/>
      </c>
      <c r="Y190" s="1239"/>
    </row>
    <row r="191" spans="1:25" ht="15.95" customHeight="1" x14ac:dyDescent="0.25">
      <c r="B191" s="1122"/>
      <c r="C191" s="1123"/>
      <c r="D191" s="1124"/>
      <c r="E191" s="38" t="s">
        <v>18</v>
      </c>
      <c r="F191" s="1125">
        <v>6029</v>
      </c>
      <c r="G191" s="1125">
        <v>0</v>
      </c>
      <c r="H191" s="1125">
        <v>511655</v>
      </c>
      <c r="I191" s="1125">
        <v>511655</v>
      </c>
      <c r="J191" s="1125">
        <v>369871</v>
      </c>
      <c r="K191" s="1125">
        <v>403548</v>
      </c>
      <c r="L191" s="1125">
        <v>0</v>
      </c>
      <c r="M191" s="1125">
        <v>5565</v>
      </c>
      <c r="N191" s="1125">
        <v>409113</v>
      </c>
      <c r="O191" s="1125">
        <v>102542</v>
      </c>
      <c r="P191" s="1126">
        <v>20.041238725312954</v>
      </c>
      <c r="Q191" s="1126">
        <v>61.348648200364906</v>
      </c>
      <c r="R191" s="1126">
        <v>66.934483330568924</v>
      </c>
      <c r="S191" s="1127">
        <v>83.942610714878086</v>
      </c>
      <c r="T191" s="1129">
        <v>0</v>
      </c>
      <c r="U191" s="1129">
        <v>9612</v>
      </c>
      <c r="V191" s="1129">
        <v>12295</v>
      </c>
      <c r="W191" s="56" t="str">
        <f>+IFERROR(VLOOKUP(C191,'[18]מספר צרכנים'!$C:$G,3,0),"")</f>
        <v/>
      </c>
      <c r="Y191" s="1239"/>
    </row>
    <row r="192" spans="1:25" ht="15.95" customHeight="1" x14ac:dyDescent="0.25">
      <c r="B192" s="1122"/>
      <c r="C192" s="1123"/>
      <c r="D192" s="1124"/>
      <c r="E192" s="38" t="s">
        <v>21</v>
      </c>
      <c r="F192" s="1130">
        <v>1638</v>
      </c>
      <c r="G192" s="1130">
        <v>0</v>
      </c>
      <c r="H192" s="1125">
        <v>135059</v>
      </c>
      <c r="I192" s="1130">
        <v>135059</v>
      </c>
      <c r="J192" s="1130">
        <v>83442</v>
      </c>
      <c r="K192" s="1130">
        <v>123843</v>
      </c>
      <c r="L192" s="1130">
        <v>0</v>
      </c>
      <c r="M192" s="1130">
        <v>2187</v>
      </c>
      <c r="N192" s="1130">
        <v>126030</v>
      </c>
      <c r="O192" s="1130">
        <v>9029</v>
      </c>
      <c r="P192" s="1131">
        <v>6.6852264565856396</v>
      </c>
      <c r="Q192" s="1131">
        <v>50.941391941391942</v>
      </c>
      <c r="R192" s="1131">
        <v>75.606227106227109</v>
      </c>
      <c r="S192" s="1127">
        <v>81.118437118437114</v>
      </c>
      <c r="T192" s="1129">
        <v>4476</v>
      </c>
      <c r="U192" s="1129">
        <v>7616</v>
      </c>
      <c r="V192" s="1129">
        <v>6749</v>
      </c>
      <c r="W192" s="56" t="str">
        <f>+IFERROR(VLOOKUP(C192,'[18]מספר צרכנים'!$C:$G,3,0),"")</f>
        <v/>
      </c>
      <c r="Y192" s="1239"/>
    </row>
    <row r="193" spans="1:25" ht="15.95" customHeight="1" x14ac:dyDescent="0.25">
      <c r="B193" s="1122"/>
      <c r="C193" s="1123"/>
      <c r="D193" s="1124"/>
      <c r="E193" s="38" t="s">
        <v>48</v>
      </c>
      <c r="F193" s="1148">
        <v>32901</v>
      </c>
      <c r="G193" s="1130">
        <v>0</v>
      </c>
      <c r="H193" s="1125">
        <v>2897390</v>
      </c>
      <c r="I193" s="1130">
        <v>2897390</v>
      </c>
      <c r="J193" s="1130">
        <v>1496251</v>
      </c>
      <c r="K193" s="1130">
        <v>2187761</v>
      </c>
      <c r="L193" s="1130">
        <v>242376</v>
      </c>
      <c r="M193" s="1130">
        <v>11892</v>
      </c>
      <c r="N193" s="1130">
        <v>2442029</v>
      </c>
      <c r="O193" s="1130">
        <v>455361</v>
      </c>
      <c r="P193" s="1131">
        <v>15.716248071540248</v>
      </c>
      <c r="Q193" s="1131">
        <v>45.477371508464792</v>
      </c>
      <c r="R193" s="1131">
        <v>66.495273699887548</v>
      </c>
      <c r="S193" s="1127">
        <v>80.335612899303968</v>
      </c>
      <c r="T193" s="1129">
        <v>115122</v>
      </c>
      <c r="U193" s="1129">
        <v>97637</v>
      </c>
      <c r="V193" s="1129">
        <v>99445</v>
      </c>
      <c r="W193" s="56" t="str">
        <f>+IFERROR(VLOOKUP(C193,'[18]מספר צרכנים'!$C:$G,3,0),"")</f>
        <v/>
      </c>
      <c r="Y193" s="1239"/>
    </row>
    <row r="194" spans="1:25" ht="15.95" customHeight="1" x14ac:dyDescent="0.2">
      <c r="B194" s="1122"/>
      <c r="C194" s="1088"/>
      <c r="D194" s="1124"/>
      <c r="E194" s="38" t="s">
        <v>147</v>
      </c>
      <c r="F194" s="1125">
        <v>11145</v>
      </c>
      <c r="G194" s="1125">
        <v>0</v>
      </c>
      <c r="H194" s="1125">
        <v>762256</v>
      </c>
      <c r="I194" s="1125">
        <v>762256</v>
      </c>
      <c r="J194" s="1125">
        <v>452781</v>
      </c>
      <c r="K194" s="1125">
        <v>501742</v>
      </c>
      <c r="L194" s="1125">
        <v>0</v>
      </c>
      <c r="M194" s="1125">
        <v>107233</v>
      </c>
      <c r="N194" s="1125">
        <v>608975</v>
      </c>
      <c r="O194" s="1125">
        <v>153281</v>
      </c>
      <c r="P194" s="1126">
        <v>20.108861065049012</v>
      </c>
      <c r="Q194" s="1126">
        <v>40.626379542395696</v>
      </c>
      <c r="R194" s="1126">
        <v>45.019470614625391</v>
      </c>
      <c r="S194" s="1127">
        <v>58.772812920592195</v>
      </c>
      <c r="T194" s="1129">
        <v>8217</v>
      </c>
      <c r="U194" s="1129">
        <v>6816</v>
      </c>
      <c r="V194" s="1129">
        <v>17940</v>
      </c>
      <c r="W194" s="56" t="str">
        <f>+IFERROR(VLOOKUP(C194,'[18]מספר צרכנים'!$C:$G,3,0),"")</f>
        <v/>
      </c>
      <c r="Y194" s="1239"/>
    </row>
    <row r="195" spans="1:25" ht="15.95" customHeight="1" x14ac:dyDescent="0.25">
      <c r="B195" s="1122"/>
      <c r="C195" s="1123"/>
      <c r="D195" s="1124"/>
      <c r="E195" s="38" t="s">
        <v>133</v>
      </c>
      <c r="F195" s="1125">
        <v>5874</v>
      </c>
      <c r="G195" s="1125">
        <v>0</v>
      </c>
      <c r="H195" s="1125">
        <v>382912</v>
      </c>
      <c r="I195" s="1125">
        <v>382912</v>
      </c>
      <c r="J195" s="1125">
        <v>264489</v>
      </c>
      <c r="K195" s="1125">
        <v>304987</v>
      </c>
      <c r="L195" s="1125">
        <v>0</v>
      </c>
      <c r="M195" s="1125">
        <v>7168</v>
      </c>
      <c r="N195" s="1125">
        <v>312155</v>
      </c>
      <c r="O195" s="1125">
        <v>70757</v>
      </c>
      <c r="P195" s="1126">
        <v>18.478658281798431</v>
      </c>
      <c r="Q195" s="1126">
        <v>45.027068437180795</v>
      </c>
      <c r="R195" s="1126">
        <v>51.921518556350016</v>
      </c>
      <c r="S195" s="1127">
        <v>63.967313585291116</v>
      </c>
      <c r="T195" s="1129">
        <v>0</v>
      </c>
      <c r="U195" s="1129">
        <v>6447</v>
      </c>
      <c r="V195" s="1129">
        <v>17419</v>
      </c>
      <c r="W195" s="56" t="str">
        <f>+IFERROR(VLOOKUP(C195,'[18]מספר צרכנים'!$C:$G,3,0),"")</f>
        <v/>
      </c>
      <c r="Y195" s="1239"/>
    </row>
    <row r="196" spans="1:25" ht="15.95" customHeight="1" x14ac:dyDescent="0.25">
      <c r="B196" s="1122"/>
      <c r="C196" s="1123"/>
      <c r="D196" s="1124"/>
      <c r="E196" s="38" t="s">
        <v>224</v>
      </c>
      <c r="F196" s="1125">
        <v>21122</v>
      </c>
      <c r="G196" s="1125">
        <v>0</v>
      </c>
      <c r="H196" s="1125">
        <v>1347815</v>
      </c>
      <c r="I196" s="1125">
        <v>1347815</v>
      </c>
      <c r="J196" s="1125">
        <v>905259</v>
      </c>
      <c r="K196" s="1125">
        <v>977874</v>
      </c>
      <c r="L196" s="1125">
        <v>15746</v>
      </c>
      <c r="M196" s="1125">
        <v>13574</v>
      </c>
      <c r="N196" s="1125">
        <v>1007194</v>
      </c>
      <c r="O196" s="1125">
        <v>340621</v>
      </c>
      <c r="P196" s="1126">
        <v>25.272088528470153</v>
      </c>
      <c r="Q196" s="1126">
        <v>42.858583467474674</v>
      </c>
      <c r="R196" s="1126">
        <v>46.296468137486983</v>
      </c>
      <c r="S196" s="1127">
        <v>62.422829277530539</v>
      </c>
      <c r="T196" s="1129">
        <v>2635</v>
      </c>
      <c r="U196" s="1129">
        <v>17961</v>
      </c>
      <c r="V196" s="1129">
        <v>30018</v>
      </c>
      <c r="W196" s="56" t="str">
        <f>+IFERROR(VLOOKUP(C196,'[18]מספר צרכנים'!$C:$G,3,0),"")</f>
        <v/>
      </c>
      <c r="Y196" s="1239"/>
    </row>
    <row r="197" spans="1:25" ht="15.95" customHeight="1" x14ac:dyDescent="0.25">
      <c r="B197" s="1122"/>
      <c r="C197" s="1123"/>
      <c r="D197" s="1124"/>
      <c r="E197" s="38" t="s">
        <v>233</v>
      </c>
      <c r="F197" s="1125">
        <v>3943</v>
      </c>
      <c r="G197" s="1125">
        <v>0</v>
      </c>
      <c r="H197" s="1125">
        <v>276372</v>
      </c>
      <c r="I197" s="1125">
        <v>276372</v>
      </c>
      <c r="J197" s="1125">
        <v>192049</v>
      </c>
      <c r="K197" s="1125">
        <v>231623</v>
      </c>
      <c r="L197" s="1125">
        <v>0</v>
      </c>
      <c r="M197" s="1125">
        <v>2833</v>
      </c>
      <c r="N197" s="1125">
        <v>234456</v>
      </c>
      <c r="O197" s="1125">
        <v>41916</v>
      </c>
      <c r="P197" s="1126">
        <v>15.166514697581521</v>
      </c>
      <c r="Q197" s="1126">
        <v>48.706314988587373</v>
      </c>
      <c r="R197" s="1126">
        <v>58.742835404514331</v>
      </c>
      <c r="S197" s="1127">
        <v>69.373319807253367</v>
      </c>
      <c r="T197" s="1129">
        <v>3514</v>
      </c>
      <c r="U197" s="1129">
        <v>256</v>
      </c>
      <c r="V197" s="1129">
        <v>13647</v>
      </c>
      <c r="W197" s="56" t="str">
        <f>+IFERROR(VLOOKUP(C197,'[18]מספר צרכנים'!$C:$G,3,0),"")</f>
        <v/>
      </c>
      <c r="Y197" s="1239"/>
    </row>
    <row r="198" spans="1:25" ht="15.95" customHeight="1" x14ac:dyDescent="0.25">
      <c r="B198" s="1122"/>
      <c r="C198" s="1123"/>
      <c r="D198" s="1124"/>
      <c r="E198" s="38" t="s">
        <v>37</v>
      </c>
      <c r="F198" s="1125">
        <v>5328</v>
      </c>
      <c r="G198" s="1125">
        <v>0</v>
      </c>
      <c r="H198" s="1125">
        <v>371000</v>
      </c>
      <c r="I198" s="1125">
        <v>371000</v>
      </c>
      <c r="J198" s="1125">
        <v>251491</v>
      </c>
      <c r="K198" s="1125">
        <v>298778</v>
      </c>
      <c r="L198" s="1125">
        <v>27409</v>
      </c>
      <c r="M198" s="1125">
        <v>11194</v>
      </c>
      <c r="N198" s="1125">
        <v>337381</v>
      </c>
      <c r="O198" s="1125">
        <v>33619</v>
      </c>
      <c r="P198" s="1126">
        <v>9.0617250673854439</v>
      </c>
      <c r="Q198" s="1126">
        <v>47.201764264264263</v>
      </c>
      <c r="R198" s="1126">
        <v>56.076951951951955</v>
      </c>
      <c r="S198" s="1127">
        <v>62.386824324324323</v>
      </c>
      <c r="T198" s="1129">
        <v>739</v>
      </c>
      <c r="U198" s="1129">
        <v>20661</v>
      </c>
      <c r="V198" s="1129">
        <v>7795</v>
      </c>
      <c r="W198" s="56" t="str">
        <f>+IFERROR(VLOOKUP(C198,'[18]מספר צרכנים'!$C:$G,3,0),"")</f>
        <v/>
      </c>
      <c r="Y198" s="1239"/>
    </row>
    <row r="199" spans="1:25" ht="15.95" customHeight="1" x14ac:dyDescent="0.25">
      <c r="B199" s="1122"/>
      <c r="C199" s="1123"/>
      <c r="D199" s="1124"/>
      <c r="E199" s="38" t="s">
        <v>146</v>
      </c>
      <c r="F199" s="1125">
        <v>2964</v>
      </c>
      <c r="G199" s="1125">
        <v>0</v>
      </c>
      <c r="H199" s="1125">
        <v>190158</v>
      </c>
      <c r="I199" s="1125">
        <v>190158</v>
      </c>
      <c r="J199" s="1125">
        <v>153132</v>
      </c>
      <c r="K199" s="1125">
        <v>170002</v>
      </c>
      <c r="L199" s="1125">
        <v>0</v>
      </c>
      <c r="M199" s="1125">
        <v>4443</v>
      </c>
      <c r="N199" s="1125">
        <v>174445</v>
      </c>
      <c r="O199" s="1125">
        <v>15713</v>
      </c>
      <c r="P199" s="1126">
        <v>8.2631285562532213</v>
      </c>
      <c r="Q199" s="1126">
        <v>51.663967611336034</v>
      </c>
      <c r="R199" s="1126">
        <v>57.355600539811064</v>
      </c>
      <c r="S199" s="1127">
        <v>62.656882591093115</v>
      </c>
      <c r="T199" s="1129">
        <v>0</v>
      </c>
      <c r="U199" s="1129">
        <v>1197</v>
      </c>
      <c r="V199" s="1129">
        <v>5436</v>
      </c>
      <c r="W199" s="56" t="str">
        <f>+IFERROR(VLOOKUP(C199,'[18]מספר צרכנים'!$C:$G,3,0),"")</f>
        <v/>
      </c>
      <c r="Y199" s="1239"/>
    </row>
    <row r="200" spans="1:25" ht="15.95" customHeight="1" x14ac:dyDescent="0.25">
      <c r="B200" s="1122"/>
      <c r="C200" s="1123"/>
      <c r="D200" s="1124"/>
      <c r="E200" s="38" t="s">
        <v>132</v>
      </c>
      <c r="F200" s="1125">
        <v>5486</v>
      </c>
      <c r="G200" s="1125">
        <v>0</v>
      </c>
      <c r="H200" s="1125">
        <v>360545</v>
      </c>
      <c r="I200" s="1125">
        <v>360545</v>
      </c>
      <c r="J200" s="1125">
        <v>227184</v>
      </c>
      <c r="K200" s="1125">
        <v>267474</v>
      </c>
      <c r="L200" s="1125">
        <v>6808</v>
      </c>
      <c r="M200" s="1125">
        <v>1579</v>
      </c>
      <c r="N200" s="1125">
        <v>275861</v>
      </c>
      <c r="O200" s="1125">
        <v>84684</v>
      </c>
      <c r="P200" s="1126">
        <v>23.487775451053267</v>
      </c>
      <c r="Q200" s="1126">
        <v>41.411593146190306</v>
      </c>
      <c r="R200" s="1126">
        <v>48.75574188844331</v>
      </c>
      <c r="S200" s="1127">
        <v>64.192125410134892</v>
      </c>
      <c r="T200" s="1129">
        <v>0</v>
      </c>
      <c r="U200" s="1129">
        <v>3323</v>
      </c>
      <c r="V200" s="1129">
        <v>22231</v>
      </c>
      <c r="W200" s="56" t="str">
        <f>+IFERROR(VLOOKUP(C200,'[18]מספר צרכנים'!$C:$G,3,0),"")</f>
        <v/>
      </c>
      <c r="Y200" s="1239"/>
    </row>
    <row r="201" spans="1:25" ht="15.95" customHeight="1" x14ac:dyDescent="0.25">
      <c r="B201" s="1122"/>
      <c r="C201" s="1123"/>
      <c r="D201" s="1124"/>
      <c r="E201" s="38" t="s">
        <v>245</v>
      </c>
      <c r="F201" s="1125">
        <v>7309</v>
      </c>
      <c r="G201" s="1125">
        <v>0</v>
      </c>
      <c r="H201" s="1125">
        <v>653864</v>
      </c>
      <c r="I201" s="1125">
        <v>653864</v>
      </c>
      <c r="J201" s="1125">
        <v>383530</v>
      </c>
      <c r="K201" s="1125">
        <v>433254</v>
      </c>
      <c r="L201" s="1125">
        <v>0</v>
      </c>
      <c r="M201" s="1125">
        <v>2049</v>
      </c>
      <c r="N201" s="1125">
        <v>435303</v>
      </c>
      <c r="O201" s="1125">
        <v>218561</v>
      </c>
      <c r="P201" s="1126">
        <v>33.426064135661235</v>
      </c>
      <c r="Q201" s="1126">
        <v>52.473662607743876</v>
      </c>
      <c r="R201" s="1126">
        <v>59.276782049527981</v>
      </c>
      <c r="S201" s="1127">
        <v>89.179778355452186</v>
      </c>
      <c r="T201" s="1129">
        <v>0</v>
      </c>
      <c r="U201" s="1129">
        <v>11772</v>
      </c>
      <c r="V201" s="1129">
        <v>9768</v>
      </c>
      <c r="W201" s="56" t="str">
        <f>+IFERROR(VLOOKUP(C201,'[18]מספר צרכנים'!$C:$G,3,0),"")</f>
        <v/>
      </c>
      <c r="Y201" s="1239"/>
    </row>
    <row r="202" spans="1:25" ht="15.95" customHeight="1" x14ac:dyDescent="0.25">
      <c r="B202" s="1133"/>
      <c r="C202" s="1134" t="s">
        <v>457</v>
      </c>
      <c r="D202" s="1135"/>
      <c r="E202" s="1136" t="s">
        <v>535</v>
      </c>
      <c r="F202" s="1137">
        <v>115604</v>
      </c>
      <c r="G202" s="1137">
        <v>0</v>
      </c>
      <c r="H202" s="1137">
        <v>8838473</v>
      </c>
      <c r="I202" s="1137">
        <v>8838473</v>
      </c>
      <c r="J202" s="1137">
        <v>5390311</v>
      </c>
      <c r="K202" s="1137">
        <v>6732302</v>
      </c>
      <c r="L202" s="1137">
        <v>330795</v>
      </c>
      <c r="M202" s="1137">
        <v>188697</v>
      </c>
      <c r="N202" s="1137">
        <v>7251794</v>
      </c>
      <c r="O202" s="1137">
        <v>1586679</v>
      </c>
      <c r="P202" s="1138">
        <v>17.951958443500367</v>
      </c>
      <c r="Q202" s="1138">
        <v>46.627374485311925</v>
      </c>
      <c r="R202" s="1138">
        <v>58.235891491643891</v>
      </c>
      <c r="S202" s="1139">
        <v>71.961013459741878</v>
      </c>
      <c r="T202" s="1151">
        <v>198075</v>
      </c>
      <c r="U202" s="1151">
        <v>241243</v>
      </c>
      <c r="V202" s="1151">
        <v>304121</v>
      </c>
      <c r="W202" s="56">
        <f>+IFERROR(VLOOKUP(C202,'[18]מספר צרכנים'!$C:$G,3,0),"")</f>
        <v>32883</v>
      </c>
      <c r="X202" s="1088">
        <v>8.0991802006735343E-3</v>
      </c>
      <c r="Y202" s="1239"/>
    </row>
    <row r="203" spans="1:25" ht="17.100000000000001" customHeight="1" x14ac:dyDescent="0.25">
      <c r="A203" s="1085">
        <v>2014</v>
      </c>
      <c r="B203" s="1122">
        <v>52</v>
      </c>
      <c r="C203" s="1123"/>
      <c r="D203" s="1124">
        <v>7254</v>
      </c>
      <c r="E203" s="54" t="s">
        <v>495</v>
      </c>
      <c r="F203" s="1148">
        <v>9202</v>
      </c>
      <c r="G203" s="1130">
        <v>0</v>
      </c>
      <c r="H203" s="1130">
        <v>971450</v>
      </c>
      <c r="I203" s="1130">
        <v>971450</v>
      </c>
      <c r="J203" s="1130">
        <v>754890</v>
      </c>
      <c r="K203" s="1130">
        <v>892530</v>
      </c>
      <c r="L203" s="1130">
        <v>0</v>
      </c>
      <c r="M203" s="1130">
        <v>0</v>
      </c>
      <c r="N203" s="1130">
        <v>892530</v>
      </c>
      <c r="O203" s="1130">
        <v>78920</v>
      </c>
      <c r="P203" s="1131">
        <v>8.1239384425343566</v>
      </c>
      <c r="Q203" s="1131">
        <v>82.035427081069329</v>
      </c>
      <c r="R203" s="1131">
        <v>96.993044990219516</v>
      </c>
      <c r="S203" s="1127">
        <v>105.569441425777</v>
      </c>
      <c r="T203" s="1192">
        <v>58919</v>
      </c>
      <c r="U203" s="1192">
        <v>32654</v>
      </c>
      <c r="V203" s="1192">
        <v>18347</v>
      </c>
      <c r="W203" s="56" t="str">
        <f>+IFERROR(VLOOKUP(C203,'[18]מספר צרכנים'!$C:$G,3,0),"")</f>
        <v/>
      </c>
      <c r="Y203" s="1239"/>
    </row>
    <row r="204" spans="1:25" ht="17.100000000000001" customHeight="1" x14ac:dyDescent="0.25">
      <c r="B204" s="1133"/>
      <c r="C204" s="1134" t="s">
        <v>272</v>
      </c>
      <c r="D204" s="1135"/>
      <c r="E204" s="1136" t="s">
        <v>535</v>
      </c>
      <c r="F204" s="1143">
        <v>9202</v>
      </c>
      <c r="G204" s="1143">
        <v>0</v>
      </c>
      <c r="H204" s="1143">
        <v>971450</v>
      </c>
      <c r="I204" s="1143">
        <v>971450</v>
      </c>
      <c r="J204" s="1143">
        <v>754890</v>
      </c>
      <c r="K204" s="1143">
        <v>892530</v>
      </c>
      <c r="L204" s="1143">
        <v>0</v>
      </c>
      <c r="M204" s="1143">
        <v>0</v>
      </c>
      <c r="N204" s="1143">
        <v>892530</v>
      </c>
      <c r="O204" s="1143">
        <v>78920</v>
      </c>
      <c r="P204" s="1138">
        <v>8.1239384425343566</v>
      </c>
      <c r="Q204" s="1138">
        <v>82.035427081069329</v>
      </c>
      <c r="R204" s="1138">
        <v>96.993044990219516</v>
      </c>
      <c r="S204" s="1139">
        <v>105.569441425777</v>
      </c>
      <c r="T204" s="1141">
        <v>58919</v>
      </c>
      <c r="U204" s="1141">
        <v>32654</v>
      </c>
      <c r="V204" s="1141">
        <v>18347</v>
      </c>
      <c r="W204" s="56">
        <f>+IFERROR(VLOOKUP(C204,'[18]מספר צרכנים'!$C:$G,3,0),"")</f>
        <v>2788</v>
      </c>
      <c r="Y204" s="1239"/>
    </row>
    <row r="205" spans="1:25" ht="17.100000000000001" customHeight="1" x14ac:dyDescent="0.25">
      <c r="A205" s="1085">
        <v>2014</v>
      </c>
      <c r="B205" s="1122">
        <v>53</v>
      </c>
      <c r="C205" s="1123"/>
      <c r="D205" s="1124">
        <v>3160</v>
      </c>
      <c r="E205" s="1124" t="s">
        <v>778</v>
      </c>
      <c r="F205" s="1148">
        <v>39228</v>
      </c>
      <c r="G205" s="1130">
        <v>0</v>
      </c>
      <c r="H205" s="1130">
        <v>2680744</v>
      </c>
      <c r="I205" s="1130">
        <v>2680744</v>
      </c>
      <c r="J205" s="1130">
        <v>1997596</v>
      </c>
      <c r="K205" s="1130">
        <v>2521011</v>
      </c>
      <c r="L205" s="1130">
        <v>0</v>
      </c>
      <c r="M205" s="1130">
        <v>0</v>
      </c>
      <c r="N205" s="1130">
        <v>2521011</v>
      </c>
      <c r="O205" s="1130">
        <v>159733</v>
      </c>
      <c r="P205" s="1131">
        <v>5.9585324074212238</v>
      </c>
      <c r="Q205" s="1131">
        <v>50.922708269603348</v>
      </c>
      <c r="R205" s="1131">
        <v>64.265601101254205</v>
      </c>
      <c r="S205" s="1127">
        <v>68.337514020597538</v>
      </c>
      <c r="T205" s="1129">
        <v>218588</v>
      </c>
      <c r="U205" s="1129">
        <v>92262</v>
      </c>
      <c r="V205" s="1129">
        <v>174996</v>
      </c>
      <c r="W205" s="56" t="str">
        <f>+IFERROR(VLOOKUP(C205,'[18]מספר צרכנים'!$C:$G,3,0),"")</f>
        <v/>
      </c>
      <c r="Y205" s="1239"/>
    </row>
    <row r="206" spans="1:25" ht="17.100000000000001" customHeight="1" x14ac:dyDescent="0.25">
      <c r="B206" s="1122"/>
      <c r="C206" s="1123"/>
      <c r="D206" s="1124"/>
      <c r="E206" s="1124" t="s">
        <v>247</v>
      </c>
      <c r="F206" s="139">
        <v>10089</v>
      </c>
      <c r="G206" s="139">
        <v>0</v>
      </c>
      <c r="H206" s="139">
        <v>595944</v>
      </c>
      <c r="I206" s="139">
        <v>595944</v>
      </c>
      <c r="J206" s="139">
        <v>404918</v>
      </c>
      <c r="K206" s="139">
        <v>541903</v>
      </c>
      <c r="L206" s="139">
        <v>0</v>
      </c>
      <c r="M206" s="139">
        <v>0</v>
      </c>
      <c r="N206" s="139">
        <v>541903</v>
      </c>
      <c r="O206" s="139">
        <v>54041</v>
      </c>
      <c r="P206" s="150">
        <v>9.0681339186232268</v>
      </c>
      <c r="Q206" s="150">
        <v>40.134602041827733</v>
      </c>
      <c r="R206" s="150">
        <v>53.712260878184161</v>
      </c>
      <c r="S206" s="1127">
        <v>59.068688670829616</v>
      </c>
      <c r="T206" s="1129">
        <v>1825</v>
      </c>
      <c r="U206" s="1129">
        <v>7300</v>
      </c>
      <c r="V206" s="1129">
        <v>111899</v>
      </c>
      <c r="W206" s="56" t="str">
        <f>+IFERROR(VLOOKUP(C206,'[18]מספר צרכנים'!$C:$G,3,0),"")</f>
        <v/>
      </c>
      <c r="Y206" s="1239"/>
    </row>
    <row r="207" spans="1:25" ht="17.100000000000001" customHeight="1" x14ac:dyDescent="0.25">
      <c r="B207" s="1133"/>
      <c r="C207" s="1134" t="s">
        <v>263</v>
      </c>
      <c r="D207" s="1135"/>
      <c r="E207" s="1136" t="s">
        <v>535</v>
      </c>
      <c r="F207" s="1143">
        <v>49317</v>
      </c>
      <c r="G207" s="1143">
        <v>0</v>
      </c>
      <c r="H207" s="1143">
        <v>3276688</v>
      </c>
      <c r="I207" s="1143">
        <v>3276688</v>
      </c>
      <c r="J207" s="1143">
        <v>2402514</v>
      </c>
      <c r="K207" s="1143">
        <v>3062914</v>
      </c>
      <c r="L207" s="1143">
        <v>0</v>
      </c>
      <c r="M207" s="1143">
        <v>0</v>
      </c>
      <c r="N207" s="1143">
        <v>3062914</v>
      </c>
      <c r="O207" s="1143">
        <v>213774</v>
      </c>
      <c r="P207" s="1138">
        <v>6.5240877373738364</v>
      </c>
      <c r="Q207" s="1138">
        <v>48.715736966968791</v>
      </c>
      <c r="R207" s="1138">
        <v>62.10665693371454</v>
      </c>
      <c r="S207" s="1139">
        <v>66.441348824948804</v>
      </c>
      <c r="T207" s="1141">
        <v>220413</v>
      </c>
      <c r="U207" s="1141">
        <v>99562</v>
      </c>
      <c r="V207" s="1141">
        <v>286895</v>
      </c>
      <c r="W207" s="56">
        <f>+IFERROR(VLOOKUP(C207,'[18]מספר צרכנים'!$C:$G,3,0),"")</f>
        <v>19301</v>
      </c>
      <c r="X207" s="1088">
        <v>3.514242218979008E-3</v>
      </c>
      <c r="Y207" s="1239"/>
    </row>
    <row r="208" spans="1:25" ht="17.100000000000001" customHeight="1" x14ac:dyDescent="0.25">
      <c r="A208" s="1085">
        <v>2014</v>
      </c>
      <c r="B208" s="1122">
        <v>54</v>
      </c>
      <c r="C208" s="1123"/>
      <c r="D208" s="1124">
        <v>8008</v>
      </c>
      <c r="E208" s="5" t="s">
        <v>53</v>
      </c>
      <c r="F208" s="1130">
        <v>43847</v>
      </c>
      <c r="G208" s="1130">
        <v>0</v>
      </c>
      <c r="H208" s="1130">
        <v>5604670</v>
      </c>
      <c r="I208" s="1130">
        <v>5604670</v>
      </c>
      <c r="J208" s="1130">
        <v>3271636</v>
      </c>
      <c r="K208" s="1130">
        <v>4481190</v>
      </c>
      <c r="L208" s="1130">
        <v>26668</v>
      </c>
      <c r="M208" s="1130">
        <v>896006</v>
      </c>
      <c r="N208" s="1130">
        <v>5403864</v>
      </c>
      <c r="O208" s="1130">
        <v>200806</v>
      </c>
      <c r="P208" s="1131">
        <v>3.5828336012646593</v>
      </c>
      <c r="Q208" s="1131">
        <v>74.61481971400552</v>
      </c>
      <c r="R208" s="1131">
        <v>102.20060665495929</v>
      </c>
      <c r="S208" s="1127">
        <v>106.78030423974275</v>
      </c>
      <c r="T208" s="1129">
        <v>345563</v>
      </c>
      <c r="U208" s="1129">
        <v>251513</v>
      </c>
      <c r="V208" s="1129">
        <v>137147</v>
      </c>
      <c r="W208" s="56" t="str">
        <f>+IFERROR(VLOOKUP(C208,'[18]מספר צרכנים'!$C:$G,3,0),"")</f>
        <v/>
      </c>
      <c r="Y208" s="1239"/>
    </row>
    <row r="209" spans="1:25" ht="17.100000000000001" customHeight="1" x14ac:dyDescent="0.25">
      <c r="B209" s="1133"/>
      <c r="C209" s="1134" t="s">
        <v>264</v>
      </c>
      <c r="D209" s="1135"/>
      <c r="E209" s="1136" t="s">
        <v>535</v>
      </c>
      <c r="F209" s="1137">
        <v>43847</v>
      </c>
      <c r="G209" s="1137">
        <v>0</v>
      </c>
      <c r="H209" s="1137">
        <v>5604670</v>
      </c>
      <c r="I209" s="1137">
        <v>5604670</v>
      </c>
      <c r="J209" s="1137">
        <v>3271636</v>
      </c>
      <c r="K209" s="1137">
        <v>4481190</v>
      </c>
      <c r="L209" s="1137">
        <v>26668</v>
      </c>
      <c r="M209" s="1137">
        <v>896006</v>
      </c>
      <c r="N209" s="1137">
        <v>5403864</v>
      </c>
      <c r="O209" s="1137">
        <v>200806</v>
      </c>
      <c r="P209" s="1138">
        <v>3.5828336012646593</v>
      </c>
      <c r="Q209" s="1138">
        <v>74.61481971400552</v>
      </c>
      <c r="R209" s="1138">
        <v>102.20060665495929</v>
      </c>
      <c r="S209" s="1139">
        <v>106.78030423974275</v>
      </c>
      <c r="T209" s="1141">
        <v>345563</v>
      </c>
      <c r="U209" s="1141">
        <v>251513</v>
      </c>
      <c r="V209" s="1141">
        <v>137147</v>
      </c>
      <c r="W209" s="56">
        <f>+IFERROR(VLOOKUP(C209,'[18]מספר צרכנים'!$C:$G,3,0),"")</f>
        <v>16385</v>
      </c>
      <c r="Y209" s="1239"/>
    </row>
    <row r="210" spans="1:25" ht="17.100000000000001" customHeight="1" x14ac:dyDescent="0.25">
      <c r="A210" s="1085">
        <v>2014</v>
      </c>
      <c r="B210" s="1122">
        <v>55</v>
      </c>
      <c r="C210" s="1123"/>
      <c r="D210" s="1124">
        <v>6358</v>
      </c>
      <c r="E210" s="1124" t="s">
        <v>60</v>
      </c>
      <c r="F210" s="1148">
        <v>69034</v>
      </c>
      <c r="G210" s="1130">
        <v>0</v>
      </c>
      <c r="H210" s="1130">
        <v>4763798</v>
      </c>
      <c r="I210" s="1130">
        <v>4763798</v>
      </c>
      <c r="J210" s="1130">
        <v>3186187</v>
      </c>
      <c r="K210" s="1130">
        <v>3916901</v>
      </c>
      <c r="L210" s="1130">
        <v>165190</v>
      </c>
      <c r="M210" s="1130">
        <v>5</v>
      </c>
      <c r="N210" s="1130">
        <v>4082096</v>
      </c>
      <c r="O210" s="1130">
        <v>681702</v>
      </c>
      <c r="P210" s="1131">
        <v>14.310052609283602</v>
      </c>
      <c r="Q210" s="1131">
        <v>46.153880696468406</v>
      </c>
      <c r="R210" s="1131">
        <v>56.738722948112525</v>
      </c>
      <c r="S210" s="1127">
        <v>66.61359619897442</v>
      </c>
      <c r="T210" s="1129">
        <v>191734</v>
      </c>
      <c r="U210" s="1129">
        <v>255227</v>
      </c>
      <c r="V210" s="1129">
        <v>61025</v>
      </c>
      <c r="W210" s="56" t="str">
        <f>+IFERROR(VLOOKUP(C210,'[18]מספר צרכנים'!$C:$G,3,0),"")</f>
        <v/>
      </c>
      <c r="Y210" s="1239"/>
    </row>
    <row r="211" spans="1:25" ht="17.100000000000001" customHeight="1" x14ac:dyDescent="0.25">
      <c r="B211" s="1122"/>
      <c r="C211" s="1123"/>
      <c r="D211" s="1124"/>
      <c r="E211" s="1205" t="s">
        <v>211</v>
      </c>
      <c r="F211" s="1206">
        <v>24392</v>
      </c>
      <c r="G211" s="1207">
        <v>0</v>
      </c>
      <c r="H211" s="1207">
        <v>1516143</v>
      </c>
      <c r="I211" s="1207">
        <v>1516143</v>
      </c>
      <c r="J211" s="1207">
        <v>1069178</v>
      </c>
      <c r="K211" s="1207">
        <v>1427451</v>
      </c>
      <c r="L211" s="1207">
        <v>599</v>
      </c>
      <c r="M211" s="1207">
        <v>323</v>
      </c>
      <c r="N211" s="1207">
        <v>1428373</v>
      </c>
      <c r="O211" s="1207">
        <v>87770</v>
      </c>
      <c r="P211" s="1208"/>
      <c r="Q211" s="1208"/>
      <c r="R211" s="1131"/>
      <c r="S211" s="1127"/>
      <c r="T211" s="494">
        <v>201555</v>
      </c>
      <c r="U211" s="1129"/>
      <c r="V211" s="1129"/>
      <c r="W211" s="56" t="str">
        <f>+IFERROR(VLOOKUP(C211,'[18]מספר צרכנים'!$C:$G,3,0),"")</f>
        <v/>
      </c>
      <c r="Y211" s="1239"/>
    </row>
    <row r="212" spans="1:25" ht="17.100000000000001" customHeight="1" x14ac:dyDescent="0.25">
      <c r="B212" s="1122"/>
      <c r="C212" s="1123"/>
      <c r="D212" s="1124"/>
      <c r="E212" s="1205" t="s">
        <v>244</v>
      </c>
      <c r="F212" s="1206">
        <v>20941</v>
      </c>
      <c r="G212" s="1207">
        <v>1761984</v>
      </c>
      <c r="H212" s="1207">
        <v>1761984</v>
      </c>
      <c r="I212" s="1207">
        <v>1761984</v>
      </c>
      <c r="J212" s="1207">
        <v>957267</v>
      </c>
      <c r="K212" s="1207">
        <v>1253236</v>
      </c>
      <c r="L212" s="1207">
        <v>324171</v>
      </c>
      <c r="M212" s="1207">
        <v>0</v>
      </c>
      <c r="N212" s="1207">
        <v>1577407</v>
      </c>
      <c r="O212" s="1207">
        <v>184577</v>
      </c>
      <c r="P212" s="1208"/>
      <c r="Q212" s="1208"/>
      <c r="R212" s="1131"/>
      <c r="S212" s="1127"/>
      <c r="T212" s="494">
        <f>+T$276</f>
        <v>0</v>
      </c>
      <c r="U212" s="1129"/>
      <c r="V212" s="1129"/>
      <c r="W212" s="56" t="str">
        <f>+IFERROR(VLOOKUP(C212,'[18]מספר צרכנים'!$C:$G,3,0),"")</f>
        <v/>
      </c>
      <c r="Y212" s="1239"/>
    </row>
    <row r="213" spans="1:25" ht="17.100000000000001" customHeight="1" x14ac:dyDescent="0.25">
      <c r="B213" s="1122"/>
      <c r="C213" s="1123"/>
      <c r="D213" s="1124"/>
      <c r="E213" s="1205" t="s">
        <v>79</v>
      </c>
      <c r="F213" s="1206">
        <v>6962</v>
      </c>
      <c r="G213" s="1207">
        <v>0</v>
      </c>
      <c r="H213" s="1207">
        <v>389599</v>
      </c>
      <c r="I213" s="1207">
        <v>389599</v>
      </c>
      <c r="J213" s="1207">
        <v>303263</v>
      </c>
      <c r="K213" s="1207">
        <v>335472</v>
      </c>
      <c r="L213" s="1207">
        <v>0</v>
      </c>
      <c r="M213" s="1207">
        <v>0</v>
      </c>
      <c r="N213" s="1207">
        <v>335472</v>
      </c>
      <c r="O213" s="1207">
        <v>54127</v>
      </c>
      <c r="P213" s="1208"/>
      <c r="Q213" s="1208"/>
      <c r="R213" s="1131"/>
      <c r="S213" s="1127"/>
      <c r="T213" s="494">
        <v>23641</v>
      </c>
      <c r="U213" s="1129"/>
      <c r="V213" s="1129"/>
      <c r="W213" s="56" t="str">
        <f>+IFERROR(VLOOKUP(C213,'[18]מספר צרכנים'!$C:$G,3,0),"")</f>
        <v/>
      </c>
      <c r="Y213" s="1239"/>
    </row>
    <row r="214" spans="1:25" ht="17.100000000000001" customHeight="1" thickBot="1" x14ac:dyDescent="0.3">
      <c r="B214" s="1193"/>
      <c r="C214" s="1134" t="s">
        <v>458</v>
      </c>
      <c r="D214" s="1124"/>
      <c r="E214" s="1194" t="s">
        <v>535</v>
      </c>
      <c r="F214" s="1195">
        <f>SUM(F210:F213)</f>
        <v>121329</v>
      </c>
      <c r="G214" s="1195">
        <f t="shared" ref="G214:N214" si="19">SUM(G210:G213)</f>
        <v>1761984</v>
      </c>
      <c r="H214" s="1195">
        <f t="shared" si="19"/>
        <v>8431524</v>
      </c>
      <c r="I214" s="1195">
        <f t="shared" si="19"/>
        <v>8431524</v>
      </c>
      <c r="J214" s="1195">
        <f t="shared" si="19"/>
        <v>5515895</v>
      </c>
      <c r="K214" s="1195">
        <f t="shared" si="19"/>
        <v>6933060</v>
      </c>
      <c r="L214" s="1195">
        <f t="shared" si="19"/>
        <v>489960</v>
      </c>
      <c r="M214" s="1195">
        <f t="shared" si="19"/>
        <v>328</v>
      </c>
      <c r="N214" s="1195">
        <f t="shared" si="19"/>
        <v>7423348</v>
      </c>
      <c r="O214" s="1195">
        <v>681702</v>
      </c>
      <c r="P214" s="1196">
        <v>14.310052609283602</v>
      </c>
      <c r="Q214" s="1196">
        <v>46.153880696468406</v>
      </c>
      <c r="R214" s="1196">
        <v>56.738722948112525</v>
      </c>
      <c r="S214" s="1197">
        <v>66.61359619897442</v>
      </c>
      <c r="T214" s="1169">
        <f>SUM(T210:T213)</f>
        <v>416930</v>
      </c>
      <c r="U214" s="1169">
        <v>255227</v>
      </c>
      <c r="V214" s="1169">
        <v>61025</v>
      </c>
      <c r="W214" s="56">
        <f>+IFERROR(VLOOKUP(C214,'[18]מספר צרכנים'!$C:$G,3,0),"")</f>
        <v>38082.666666666664</v>
      </c>
      <c r="Y214" s="1239"/>
    </row>
    <row r="215" spans="1:25" ht="24.95" customHeight="1" thickBot="1" x14ac:dyDescent="0.3">
      <c r="B215" s="1198"/>
      <c r="C215" s="1199" t="s">
        <v>164</v>
      </c>
      <c r="D215" s="1200"/>
      <c r="E215" s="1200"/>
      <c r="F215" s="1201">
        <v>6267331</v>
      </c>
      <c r="G215" s="1201">
        <v>64396618</v>
      </c>
      <c r="H215" s="1201">
        <v>459119850</v>
      </c>
      <c r="I215" s="1201">
        <v>523516468</v>
      </c>
      <c r="J215" s="1201">
        <v>313040436</v>
      </c>
      <c r="K215" s="1201">
        <v>434099023</v>
      </c>
      <c r="L215" s="1201">
        <v>28634884</v>
      </c>
      <c r="M215" s="1201">
        <v>5001079</v>
      </c>
      <c r="N215" s="1201">
        <v>467734986</v>
      </c>
      <c r="O215" s="1201">
        <v>55781482</v>
      </c>
      <c r="P215" s="1202">
        <v>10.655153258712771</v>
      </c>
      <c r="Q215" s="1202">
        <v>49.94796604806735</v>
      </c>
      <c r="R215" s="1202">
        <v>69.263777994173282</v>
      </c>
      <c r="S215" s="1203">
        <v>78.164134780818188</v>
      </c>
      <c r="T215" s="1169">
        <v>27525894</v>
      </c>
      <c r="U215" s="1169">
        <v>37619915</v>
      </c>
      <c r="V215" s="1169">
        <v>37619915</v>
      </c>
      <c r="Y215" s="1239"/>
    </row>
    <row r="216" spans="1:25" ht="17.100000000000001" customHeight="1" x14ac:dyDescent="0.2">
      <c r="A216" s="1088"/>
      <c r="B216" s="1088"/>
      <c r="C216" s="1088"/>
      <c r="F216" s="1088"/>
      <c r="P216" s="1088"/>
      <c r="Q216" s="1088"/>
      <c r="R216" s="1088"/>
      <c r="S216" s="1088"/>
    </row>
    <row r="217" spans="1:25" ht="17.100000000000001" customHeight="1" x14ac:dyDescent="0.2">
      <c r="A217" s="1088"/>
      <c r="B217" s="1088"/>
      <c r="C217" s="1088"/>
      <c r="F217" s="1088"/>
      <c r="P217" s="1088"/>
      <c r="Q217" s="1088"/>
      <c r="R217" s="1088"/>
      <c r="S217" s="1088"/>
    </row>
    <row r="218" spans="1:25" ht="17.100000000000001" customHeight="1" x14ac:dyDescent="0.2">
      <c r="A218" s="1088"/>
      <c r="B218" s="1088"/>
      <c r="C218" s="1088"/>
      <c r="F218" s="1088"/>
      <c r="P218" s="1088"/>
      <c r="Q218" s="1088"/>
      <c r="R218" s="1088"/>
      <c r="S218" s="1088"/>
    </row>
    <row r="219" spans="1:25" ht="17.100000000000001" customHeight="1" x14ac:dyDescent="0.2">
      <c r="A219" s="1088"/>
      <c r="B219" s="1088"/>
      <c r="C219" s="1088"/>
      <c r="F219" s="1088"/>
      <c r="P219" s="1088"/>
      <c r="Q219" s="1088"/>
      <c r="R219" s="1088"/>
      <c r="S219" s="1088"/>
    </row>
  </sheetData>
  <mergeCells count="1">
    <mergeCell ref="B3:S3"/>
  </mergeCells>
  <pageMargins left="0.7" right="0.7" top="0.75" bottom="0.75" header="0.3" footer="0.3"/>
  <legacy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21"/>
  <dimension ref="A1:II240"/>
  <sheetViews>
    <sheetView rightToLeft="1" topLeftCell="A4" workbookViewId="0">
      <pane xSplit="2" ySplit="1" topLeftCell="E113" activePane="bottomRight" state="frozen"/>
      <selection activeCell="E49" sqref="E49"/>
      <selection pane="topRight" activeCell="E49" sqref="E49"/>
      <selection pane="bottomLeft" activeCell="E49" sqref="E49"/>
      <selection pane="bottomRight" activeCell="F129" sqref="F129"/>
    </sheetView>
  </sheetViews>
  <sheetFormatPr defaultRowHeight="12.75" x14ac:dyDescent="0.2"/>
  <cols>
    <col min="1" max="1" width="27.42578125" style="374" bestFit="1" customWidth="1"/>
    <col min="2" max="2" width="43.140625" style="374" customWidth="1"/>
    <col min="3" max="3" width="12.85546875" style="374" bestFit="1" customWidth="1"/>
    <col min="4" max="4" width="18.5703125" style="374" customWidth="1"/>
    <col min="5" max="5" width="14.5703125" style="374" customWidth="1"/>
    <col min="6" max="6" width="11.28515625" style="374" customWidth="1"/>
    <col min="7" max="7" width="12.140625" style="374" customWidth="1"/>
    <col min="8" max="8" width="12.42578125" style="374" customWidth="1"/>
    <col min="9" max="9" width="14.140625" style="374" customWidth="1"/>
    <col min="10" max="10" width="13.28515625" style="374" bestFit="1" customWidth="1"/>
    <col min="11" max="11" width="10.85546875" style="374" bestFit="1" customWidth="1"/>
    <col min="12" max="12" width="9.5703125" style="374" bestFit="1" customWidth="1"/>
    <col min="13" max="13" width="18.28515625" style="374" bestFit="1" customWidth="1"/>
    <col min="14" max="14" width="13.85546875" style="374" bestFit="1" customWidth="1"/>
    <col min="15" max="15" width="9.28515625" style="374" bestFit="1" customWidth="1"/>
    <col min="16" max="16" width="15.7109375" style="374" bestFit="1" customWidth="1"/>
    <col min="17" max="17" width="9.5703125" style="374" bestFit="1" customWidth="1"/>
    <col min="18" max="18" width="28.7109375" style="374" bestFit="1" customWidth="1"/>
    <col min="19" max="19" width="22.5703125" style="374" bestFit="1" customWidth="1"/>
    <col min="20" max="20" width="14.42578125" style="374" bestFit="1" customWidth="1"/>
    <col min="21" max="21" width="9.5703125" style="374" bestFit="1" customWidth="1"/>
    <col min="22" max="22" width="10.28515625" style="374" bestFit="1" customWidth="1"/>
    <col min="23" max="23" width="23.85546875" style="374" bestFit="1" customWidth="1"/>
    <col min="24" max="24" width="9.5703125" style="374" bestFit="1" customWidth="1"/>
    <col min="25" max="25" width="9.28515625" style="374" bestFit="1" customWidth="1"/>
    <col min="26" max="26" width="16" style="374" bestFit="1" customWidth="1"/>
    <col min="27" max="27" width="9.5703125" style="374" bestFit="1" customWidth="1"/>
    <col min="28" max="28" width="11.28515625" style="374" bestFit="1" customWidth="1"/>
    <col min="29" max="29" width="9.5703125" style="374" bestFit="1" customWidth="1"/>
    <col min="30" max="30" width="10.28515625" style="374" bestFit="1" customWidth="1"/>
    <col min="31" max="31" width="16" style="374" bestFit="1" customWidth="1"/>
    <col min="32" max="36" width="9.28515625" style="374" bestFit="1" customWidth="1"/>
    <col min="37" max="37" width="16" style="374" bestFit="1" customWidth="1"/>
    <col min="38" max="38" width="9.5703125" style="374" bestFit="1" customWidth="1"/>
    <col min="39" max="39" width="13.85546875" style="374" bestFit="1" customWidth="1"/>
    <col min="40" max="40" width="9.5703125" style="374" bestFit="1" customWidth="1"/>
    <col min="41" max="42" width="9.28515625" style="374" bestFit="1" customWidth="1"/>
    <col min="43" max="43" width="10.28515625" style="374" bestFit="1" customWidth="1"/>
    <col min="44" max="44" width="9.5703125" style="374" bestFit="1" customWidth="1"/>
    <col min="45" max="46" width="9.28515625" style="374" bestFit="1" customWidth="1"/>
    <col min="47" max="47" width="11.28515625" style="374" bestFit="1" customWidth="1"/>
    <col min="48" max="49" width="9.5703125" style="374" bestFit="1" customWidth="1"/>
    <col min="50" max="50" width="11.28515625" style="374" bestFit="1" customWidth="1"/>
    <col min="51" max="51" width="12.28515625" style="374" bestFit="1" customWidth="1"/>
    <col min="52" max="52" width="13.7109375" style="374" bestFit="1" customWidth="1"/>
    <col min="53" max="53" width="10.7109375" style="374" bestFit="1" customWidth="1"/>
    <col min="54" max="54" width="14.140625" style="374" bestFit="1" customWidth="1"/>
    <col min="55" max="56" width="9.5703125" style="374" bestFit="1" customWidth="1"/>
    <col min="57" max="58" width="10.28515625" style="374" bestFit="1" customWidth="1"/>
    <col min="59" max="59" width="12.28515625" style="374" bestFit="1" customWidth="1"/>
    <col min="60" max="16384" width="9.140625" style="374"/>
  </cols>
  <sheetData>
    <row r="1" spans="1:59" hidden="1" x14ac:dyDescent="0.2"/>
    <row r="2" spans="1:59" hidden="1" x14ac:dyDescent="0.2"/>
    <row r="3" spans="1:59" hidden="1" x14ac:dyDescent="0.2"/>
    <row r="4" spans="1:59" ht="14.25" x14ac:dyDescent="0.2">
      <c r="A4" s="621" t="s">
        <v>997</v>
      </c>
      <c r="B4" s="612" t="s">
        <v>188</v>
      </c>
      <c r="C4" s="613" t="s">
        <v>691</v>
      </c>
      <c r="D4" s="613" t="s">
        <v>439</v>
      </c>
      <c r="E4" s="613" t="s">
        <v>440</v>
      </c>
      <c r="F4" s="613" t="s">
        <v>441</v>
      </c>
      <c r="G4" s="613" t="s">
        <v>442</v>
      </c>
      <c r="H4" s="613" t="s">
        <v>443</v>
      </c>
      <c r="I4" s="613" t="s">
        <v>444</v>
      </c>
      <c r="J4" s="613" t="s">
        <v>445</v>
      </c>
      <c r="K4" s="613" t="s">
        <v>446</v>
      </c>
      <c r="L4" s="613" t="s">
        <v>447</v>
      </c>
      <c r="M4" s="613" t="s">
        <v>448</v>
      </c>
      <c r="N4" s="613" t="s">
        <v>449</v>
      </c>
      <c r="O4" s="613" t="s">
        <v>450</v>
      </c>
      <c r="P4" s="613" t="s">
        <v>828</v>
      </c>
      <c r="Q4" s="613" t="s">
        <v>452</v>
      </c>
      <c r="R4" s="613" t="s">
        <v>453</v>
      </c>
      <c r="S4" s="613" t="s">
        <v>454</v>
      </c>
      <c r="T4" s="613" t="s">
        <v>455</v>
      </c>
      <c r="U4" s="613" t="s">
        <v>456</v>
      </c>
      <c r="V4" s="613" t="s">
        <v>457</v>
      </c>
      <c r="W4" s="613" t="s">
        <v>458</v>
      </c>
      <c r="X4" s="613" t="s">
        <v>257</v>
      </c>
      <c r="Y4" s="613" t="s">
        <v>260</v>
      </c>
      <c r="Z4" s="613" t="s">
        <v>658</v>
      </c>
      <c r="AA4" s="613" t="s">
        <v>258</v>
      </c>
      <c r="AB4" s="613" t="s">
        <v>659</v>
      </c>
      <c r="AC4" s="613" t="s">
        <v>254</v>
      </c>
      <c r="AD4" s="613" t="s">
        <v>264</v>
      </c>
      <c r="AE4" s="613" t="s">
        <v>256</v>
      </c>
      <c r="AF4" s="613" t="s">
        <v>255</v>
      </c>
      <c r="AG4" s="613" t="s">
        <v>660</v>
      </c>
      <c r="AH4" s="613" t="s">
        <v>269</v>
      </c>
      <c r="AI4" s="613" t="s">
        <v>262</v>
      </c>
      <c r="AJ4" s="613" t="s">
        <v>263</v>
      </c>
      <c r="AK4" s="613" t="s">
        <v>275</v>
      </c>
      <c r="AL4" s="613" t="s">
        <v>687</v>
      </c>
      <c r="AM4" s="613" t="s">
        <v>259</v>
      </c>
      <c r="AN4" s="613" t="s">
        <v>281</v>
      </c>
      <c r="AO4" s="613" t="s">
        <v>529</v>
      </c>
      <c r="AP4" s="613" t="s">
        <v>530</v>
      </c>
      <c r="AQ4" s="613" t="s">
        <v>266</v>
      </c>
      <c r="AR4" s="613" t="s">
        <v>261</v>
      </c>
      <c r="AS4" s="613" t="s">
        <v>268</v>
      </c>
      <c r="AT4" s="613" t="s">
        <v>265</v>
      </c>
      <c r="AU4" s="613" t="s">
        <v>253</v>
      </c>
      <c r="AV4" s="613" t="s">
        <v>250</v>
      </c>
      <c r="AW4" s="613" t="s">
        <v>252</v>
      </c>
      <c r="AX4" s="613" t="s">
        <v>271</v>
      </c>
      <c r="AY4" s="613" t="s">
        <v>267</v>
      </c>
      <c r="AZ4" s="613" t="s">
        <v>270</v>
      </c>
      <c r="BA4" s="613" t="s">
        <v>531</v>
      </c>
      <c r="BB4" s="613" t="s">
        <v>661</v>
      </c>
      <c r="BC4" s="613" t="s">
        <v>578</v>
      </c>
      <c r="BD4" s="613" t="s">
        <v>272</v>
      </c>
      <c r="BE4" s="613" t="s">
        <v>681</v>
      </c>
      <c r="BF4" s="613" t="s">
        <v>274</v>
      </c>
    </row>
    <row r="5" spans="1:59" ht="14.25" x14ac:dyDescent="0.2">
      <c r="A5" s="759"/>
      <c r="B5" s="612" t="s">
        <v>998</v>
      </c>
      <c r="C5" s="613" t="str">
        <f>+HLOOKUP(C4,'נתוני תאגידים'!$1:$2,2,0)</f>
        <v>אזור פ''ת</v>
      </c>
      <c r="D5" s="613" t="str">
        <f>+HLOOKUP(D4,'נתוני תאגידים'!$1:$2,2,0)</f>
        <v>אזור נצרת</v>
      </c>
      <c r="E5" s="613" t="str">
        <f>+HLOOKUP(E4,'נתוני תאגידים'!$1:$2,2,0)</f>
        <v>אזור הגליל המזרחי</v>
      </c>
      <c r="F5" s="613" t="str">
        <f>+HLOOKUP(F4,'נתוני תאגידים'!$1:$2,2,0)</f>
        <v xml:space="preserve">אזור י-ם </v>
      </c>
      <c r="G5" s="613" t="str">
        <f>+HLOOKUP(G4,'נתוני תאגידים'!$1:$2,2,0)</f>
        <v xml:space="preserve">אזור הדרום </v>
      </c>
      <c r="H5" s="613" t="str">
        <f>+HLOOKUP(H4,'נתוני תאגידים'!$1:$2,2,0)</f>
        <v>אזור יו"ש</v>
      </c>
      <c r="I5" s="613" t="str">
        <f>+HLOOKUP(I4,'נתוני תאגידים'!$1:$2,2,0)</f>
        <v>אזור נצרת</v>
      </c>
      <c r="J5" s="613" t="str">
        <f>+HLOOKUP(J4,'נתוני תאגידים'!$1:$2,2,0)</f>
        <v xml:space="preserve">אזור שרון צפוני </v>
      </c>
      <c r="K5" s="613" t="str">
        <f>+HLOOKUP(K4,'נתוני תאגידים'!$1:$2,2,0)</f>
        <v xml:space="preserve">אזור המרכז </v>
      </c>
      <c r="L5" s="613" t="str">
        <f>+HLOOKUP(L4,'נתוני תאגידים'!$1:$2,2,0)</f>
        <v>אזור נצרת</v>
      </c>
      <c r="M5" s="613" t="str">
        <f>+HLOOKUP(M4,'נתוני תאגידים'!$1:$2,2,0)</f>
        <v xml:space="preserve">אזור שרון צפוני </v>
      </c>
      <c r="N5" s="613" t="str">
        <f>+HLOOKUP(N4,'נתוני תאגידים'!$1:$2,2,0)</f>
        <v xml:space="preserve">אזור שרון צפוני </v>
      </c>
      <c r="O5" s="613" t="str">
        <f>+HLOOKUP(O4,'נתוני תאגידים'!$1:$2,2,0)</f>
        <v>אזור השפלה</v>
      </c>
      <c r="P5" s="613" t="str">
        <f>+HLOOKUP(P4,'נתוני תאגידים'!$1:$2,2,0)</f>
        <v>אזור הגליל המזרחי</v>
      </c>
      <c r="Q5" s="613" t="str">
        <f>+HLOOKUP(Q4,'נתוני תאגידים'!$1:$2,2,0)</f>
        <v>אזור הנגב</v>
      </c>
      <c r="R5" s="613" t="str">
        <f>+HLOOKUP(R4,'נתוני תאגידים'!$1:$2,2,0)</f>
        <v>אזור השפלה</v>
      </c>
      <c r="S5" s="613" t="str">
        <f>+HLOOKUP(S4,'נתוני תאגידים'!$1:$2,2,0)</f>
        <v>אזור פ''ת</v>
      </c>
      <c r="T5" s="613" t="str">
        <f>+HLOOKUP(T4,'נתוני תאגידים'!$1:$2,2,0)</f>
        <v xml:space="preserve">אזור המרכז </v>
      </c>
      <c r="U5" s="613" t="str">
        <f>+HLOOKUP(U4,'נתוני תאגידים'!$1:$2,2,0)</f>
        <v xml:space="preserve">אזור הערבה </v>
      </c>
      <c r="V5" s="613" t="str">
        <f>+HLOOKUP(V4,'נתוני תאגידים'!$1:$2,2,0)</f>
        <v>אזור הגליל המזרחי</v>
      </c>
      <c r="W5" s="613" t="str">
        <f>+HLOOKUP(W4,'נתוני תאגידים'!$1:$2,2,0)</f>
        <v xml:space="preserve">אזור המרכז </v>
      </c>
      <c r="X5" s="613" t="str">
        <f>+HLOOKUP(X4,'נתוני תאגידים'!$1:$2,2,0)</f>
        <v xml:space="preserve">אזור המרכז </v>
      </c>
      <c r="Y5" s="613" t="str">
        <f>+HLOOKUP(Y4,'נתוני תאגידים'!$1:$2,2,0)</f>
        <v>אזור הגליל המערבי</v>
      </c>
      <c r="Z5" s="613" t="str">
        <f>+HLOOKUP(Z4,'נתוני תאגידים'!$1:$2,2,0)</f>
        <v>אזור חיפה והקריות</v>
      </c>
      <c r="AA5" s="613" t="str">
        <f>+HLOOKUP(AA4,'נתוני תאגידים'!$1:$2,2,0)</f>
        <v>אזור השרון</v>
      </c>
      <c r="AB5" s="613" t="str">
        <f>+HLOOKUP(AB4,'נתוני תאגידים'!$1:$2,2,0)</f>
        <v>אזור הנגב</v>
      </c>
      <c r="AC5" s="613" t="str">
        <f>+HLOOKUP(AC4,'נתוני תאגידים'!$1:$2,2,0)</f>
        <v>אזור השרון</v>
      </c>
      <c r="AD5" s="613" t="str">
        <f>+HLOOKUP(AD4,'נתוני תאגידים'!$1:$2,2,0)</f>
        <v>אזור השרון</v>
      </c>
      <c r="AE5" s="613" t="str">
        <f>+HLOOKUP(AE4,'נתוני תאגידים'!$1:$2,2,0)</f>
        <v>אזור חיפה והקריות</v>
      </c>
      <c r="AF5" s="613" t="str">
        <f>+HLOOKUP(AF4,'נתוני תאגידים'!$1:$2,2,0)</f>
        <v xml:space="preserve">אזור הדרום </v>
      </c>
      <c r="AG5" s="613" t="str">
        <f>+HLOOKUP(AG4,'נתוני תאגידים'!$1:$2,2,0)</f>
        <v>אזור הגליל המערבי</v>
      </c>
      <c r="AH5" s="613" t="str">
        <f>+HLOOKUP(AH4,'נתוני תאגידים'!$1:$2,2,0)</f>
        <v>אזור הנגב</v>
      </c>
      <c r="AI5" s="613" t="str">
        <f>+HLOOKUP(AI4,'נתוני תאגידים'!$1:$2,2,0)</f>
        <v>אזור פ''ת</v>
      </c>
      <c r="AJ5" s="613" t="str">
        <f>+HLOOKUP(AJ4,'נתוני תאגידים'!$1:$2,2,0)</f>
        <v>אזור חיפה והקריות</v>
      </c>
      <c r="AK5" s="613" t="str">
        <f>+HLOOKUP(AK4,'נתוני תאגידים'!$1:$2,2,0)</f>
        <v>אזור חיפה והקריות</v>
      </c>
      <c r="AL5" s="613" t="str">
        <f>+HLOOKUP(AL4,'נתוני תאגידים'!$1:$2,2,0)</f>
        <v>אזור ת"א מרכז</v>
      </c>
      <c r="AM5" s="613" t="str">
        <f>+HLOOKUP(AM4,'נתוני תאגידים'!$1:$2,2,0)</f>
        <v xml:space="preserve">אזור שרון צפוני </v>
      </c>
      <c r="AN5" s="613" t="str">
        <f>+HLOOKUP(AN4,'נתוני תאגידים'!$1:$2,2,0)</f>
        <v>אזור ת"א מרכז</v>
      </c>
      <c r="AO5" s="613" t="str">
        <f>+HLOOKUP(AO4,'נתוני תאגידים'!$1:$2,2,0)</f>
        <v>אזור ת"א מרכז</v>
      </c>
      <c r="AP5" s="613" t="str">
        <f>+HLOOKUP(AP4,'נתוני תאגידים'!$1:$2,2,0)</f>
        <v>אזור השפלה</v>
      </c>
      <c r="AQ5" s="613" t="str">
        <f>+HLOOKUP(AQ4,'נתוני תאגידים'!$1:$2,2,0)</f>
        <v>אזור פ''ת</v>
      </c>
      <c r="AR5" s="613" t="str">
        <f>+HLOOKUP(AR4,'נתוני תאגידים'!$1:$2,2,0)</f>
        <v>אזור נצרת</v>
      </c>
      <c r="AS5" s="613" t="str">
        <f>+HLOOKUP(AS4,'נתוני תאגידים'!$1:$2,2,0)</f>
        <v>אזור חיפה והקריות</v>
      </c>
      <c r="AT5" s="613" t="str">
        <f>+HLOOKUP(AT4,'נתוני תאגידים'!$1:$2,2,0)</f>
        <v>אזור חיפה והקריות</v>
      </c>
      <c r="AU5" s="613" t="str">
        <f>+HLOOKUP(AU4,'נתוני תאגידים'!$1:$2,2,0)</f>
        <v>אזור השרון</v>
      </c>
      <c r="AV5" s="613" t="str">
        <f>+HLOOKUP(AV4,'נתוני תאגידים'!$1:$2,2,0)</f>
        <v>אזור הגליל המערבי</v>
      </c>
      <c r="AW5" s="613" t="str">
        <f>+HLOOKUP(AW4,'נתוני תאגידים'!$1:$2,2,0)</f>
        <v>אזור הגליל המערבי</v>
      </c>
      <c r="AX5" s="613" t="str">
        <f>+HLOOKUP(AX4,'נתוני תאגידים'!$1:$2,2,0)</f>
        <v xml:space="preserve">אזור הדרום </v>
      </c>
      <c r="AY5" s="613" t="str">
        <f>+HLOOKUP(AY4,'נתוני תאגידים'!$1:$2,2,0)</f>
        <v>אזור הנגב</v>
      </c>
      <c r="AZ5" s="613" t="str">
        <f>+HLOOKUP(AZ4,'נתוני תאגידים'!$1:$2,2,0)</f>
        <v>אזור נצרת</v>
      </c>
      <c r="BA5" s="613" t="str">
        <f>+HLOOKUP(BA4,'נתוני תאגידים'!$1:$2,2,0)</f>
        <v xml:space="preserve">אזור המרכז </v>
      </c>
      <c r="BB5" s="613" t="str">
        <f>+HLOOKUP(BB4,'נתוני תאגידים'!$1:$2,2,0)</f>
        <v>אזור השרון</v>
      </c>
      <c r="BC5" s="613" t="str">
        <f>+HLOOKUP(BC4,'נתוני תאגידים'!$1:$2,2,0)</f>
        <v>אזור הנגב</v>
      </c>
      <c r="BD5" s="613" t="str">
        <f>+HLOOKUP(BD4,'נתוני תאגידים'!$1:$2,2,0)</f>
        <v>אזור השרון</v>
      </c>
      <c r="BE5" s="613" t="str">
        <f>+HLOOKUP(BE4,'נתוני תאגידים'!$1:$2,2,0)</f>
        <v>אזור פ''ת</v>
      </c>
      <c r="BF5" s="613" t="str">
        <f>+HLOOKUP(BF4,'נתוני תאגידים'!$1:$2,2,0)</f>
        <v>אזור השפלה</v>
      </c>
    </row>
    <row r="6" spans="1:59" x14ac:dyDescent="0.2">
      <c r="B6" s="375"/>
      <c r="C6" s="760"/>
    </row>
    <row r="7" spans="1:59" x14ac:dyDescent="0.2">
      <c r="A7" s="376" t="s">
        <v>999</v>
      </c>
      <c r="B7" s="376"/>
      <c r="C7" s="622"/>
      <c r="D7" s="622"/>
      <c r="E7" s="1012"/>
      <c r="F7" s="622"/>
      <c r="G7" s="622"/>
      <c r="H7" s="622"/>
      <c r="I7" s="622"/>
      <c r="J7" s="622"/>
      <c r="K7" s="622"/>
      <c r="L7" s="622"/>
      <c r="M7" s="622"/>
      <c r="N7" s="622"/>
      <c r="O7" s="622"/>
      <c r="P7" s="622"/>
      <c r="Q7" s="622"/>
      <c r="R7" s="622"/>
      <c r="S7" s="624"/>
      <c r="T7" s="622"/>
      <c r="U7" s="622"/>
      <c r="V7" s="622"/>
      <c r="W7" s="622"/>
      <c r="X7" s="622"/>
      <c r="Y7" s="622"/>
      <c r="Z7" s="622"/>
      <c r="AA7" s="622"/>
      <c r="AB7" s="622"/>
      <c r="AC7" s="622"/>
      <c r="AD7" s="622"/>
      <c r="AE7" s="622"/>
      <c r="AF7" s="622"/>
      <c r="AG7" s="622"/>
      <c r="AH7" s="622"/>
      <c r="AI7" s="622"/>
      <c r="AJ7" s="622"/>
      <c r="AK7" s="622"/>
      <c r="AL7" s="622"/>
      <c r="AM7" s="622"/>
      <c r="AN7" s="622"/>
      <c r="AO7" s="622"/>
      <c r="AP7" s="622"/>
      <c r="AQ7" s="622"/>
      <c r="AR7" s="622"/>
      <c r="AS7" s="622"/>
      <c r="AT7" s="622"/>
      <c r="AU7" s="622"/>
      <c r="AV7" s="622"/>
      <c r="AW7" s="622"/>
      <c r="AX7" s="622"/>
      <c r="AY7" s="622"/>
      <c r="AZ7" s="622"/>
      <c r="BA7" s="622"/>
      <c r="BB7" s="622"/>
      <c r="BC7" s="622"/>
      <c r="BD7" s="622"/>
      <c r="BE7" s="622"/>
      <c r="BF7" s="622"/>
    </row>
    <row r="8" spans="1:59" x14ac:dyDescent="0.2">
      <c r="A8" s="1815" t="s">
        <v>1000</v>
      </c>
      <c r="B8" s="376" t="s">
        <v>1001</v>
      </c>
      <c r="C8" s="761">
        <f>+HLOOKUP(C4,'פירוט נכסי מים וביוב'!$1:$289,70,0)</f>
        <v>82954.309028571428</v>
      </c>
      <c r="D8" s="761">
        <f>+HLOOKUP(D4,'פירוט נכסי מים וביוב'!$1:$289,70,0)</f>
        <v>137437.39000000001</v>
      </c>
      <c r="E8" s="761">
        <f>+HLOOKUP(E4,'פירוט נכסי מים וביוב'!$1:$289,70,0)</f>
        <v>73844.097999999998</v>
      </c>
      <c r="F8" s="761">
        <f>+HLOOKUP(F4,'פירוט נכסי מים וביוב'!$1:$289,70,0)</f>
        <v>928465.3225952381</v>
      </c>
      <c r="G8" s="761">
        <f>+HLOOKUP(G4,'פירוט נכסי מים וביוב'!$1:$289,70,0)</f>
        <v>136763.77142857143</v>
      </c>
      <c r="H8" s="761">
        <f>+HLOOKUP(H4,'פירוט נכסי מים וביוב'!$1:$289,70,0)</f>
        <v>38748.623771428567</v>
      </c>
      <c r="I8" s="761">
        <f>+HLOOKUP(I4,'פירוט נכסי מים וביוב'!$1:$289,70,0)</f>
        <v>86553.357000000004</v>
      </c>
      <c r="J8" s="761">
        <f>+HLOOKUP(J4,'פירוט נכסי מים וביוב'!$1:$289,70,0)</f>
        <v>101110.51245714286</v>
      </c>
      <c r="K8" s="761">
        <f>+HLOOKUP(K4,'פירוט נכסי מים וביוב'!$1:$289,70,0)</f>
        <v>53669.832999999999</v>
      </c>
      <c r="L8" s="761">
        <f>+HLOOKUP(L4,'פירוט נכסי מים וביוב'!$1:$289,70,0)</f>
        <v>113107.6661142857</v>
      </c>
      <c r="M8" s="761">
        <f>+HLOOKUP(M4,'פירוט נכסי מים וביוב'!$1:$289,70,0)</f>
        <v>216026.84662857142</v>
      </c>
      <c r="N8" s="761">
        <f>+HLOOKUP(N4,'פירוט נכסי מים וביוב'!$1:$289,70,0)</f>
        <v>112008.234</v>
      </c>
      <c r="O8" s="761">
        <f>+HLOOKUP(O4,'פירוט נכסי מים וביוב'!$1:$289,70,0)</f>
        <v>82800.850514285718</v>
      </c>
      <c r="P8" s="761">
        <f>+HLOOKUP(P4,'פירוט נכסי מים וביוב'!$1:$289,70,0)</f>
        <v>111512.8360857143</v>
      </c>
      <c r="Q8" s="761">
        <f>+HLOOKUP(Q4,'פירוט נכסי מים וביוב'!$1:$289,70,0)</f>
        <v>261481.22854285716</v>
      </c>
      <c r="R8" s="761">
        <f>+HLOOKUP(R4,'פירוט נכסי מים וביוב'!$1:$289,70,0)</f>
        <v>220100.81535238097</v>
      </c>
      <c r="S8" s="761">
        <f>+HLOOKUP(S4,'פירוט נכסי מים וביוב'!$1:$289,70,0)</f>
        <v>293470.06635714287</v>
      </c>
      <c r="T8" s="761">
        <f>+HLOOKUP(T4,'פירוט נכסי מים וביוב'!$1:$289,70,0)</f>
        <v>330448.56800000003</v>
      </c>
      <c r="U8" s="761">
        <f>+HLOOKUP(U4,'פירוט נכסי מים וביוב'!$1:$289,70,0)</f>
        <v>72999.634285714288</v>
      </c>
      <c r="V8" s="761">
        <f>+HLOOKUP(V4,'פירוט נכסי מים וביוב'!$1:$289,70,0)</f>
        <v>161278.34400000001</v>
      </c>
      <c r="W8" s="761">
        <f>+HLOOKUP(W4,'פירוט נכסי מים וביוב'!$1:$289,70,0)</f>
        <v>96285.579022000005</v>
      </c>
      <c r="X8" s="761">
        <f>+HLOOKUP(X4,'פירוט נכסי מים וביוב'!$1:$289,70,0)</f>
        <v>112288.89791428571</v>
      </c>
      <c r="Y8" s="761">
        <f>+HLOOKUP(Y4,'פירוט נכסי מים וביוב'!$1:$289,70,0)</f>
        <v>57564.143314285713</v>
      </c>
      <c r="Z8" s="761">
        <f>+HLOOKUP(Z4,'פירוט נכסי מים וביוב'!$1:$289,70,0)</f>
        <v>68264.565257142851</v>
      </c>
      <c r="AA8" s="761">
        <f>+HLOOKUP(AA4,'פירוט נכסי מים וביוב'!$1:$289,70,0)</f>
        <v>111512.52451904761</v>
      </c>
      <c r="AB8" s="761">
        <f>+HLOOKUP(AB4,'פירוט נכסי מים וביוב'!$1:$289,70,0)</f>
        <v>55052.951999999997</v>
      </c>
      <c r="AC8" s="761">
        <f>+HLOOKUP(AC4,'פירוט נכסי מים וביוב'!$1:$289,70,0)</f>
        <v>134745.51114285714</v>
      </c>
      <c r="AD8" s="761">
        <f>+HLOOKUP(AD4,'פירוט נכסי מים וביוב'!$1:$289,70,0)</f>
        <v>57516.541942857148</v>
      </c>
      <c r="AE8" s="761">
        <f>+HLOOKUP(AE4,'פירוט נכסי מים וביוב'!$1:$289,70,0)</f>
        <v>411745.51957142859</v>
      </c>
      <c r="AF8" s="761">
        <f>+HLOOKUP(AF4,'פירוט נכסי מים וביוב'!$1:$289,70,0)</f>
        <v>84008.929599999989</v>
      </c>
      <c r="AG8" s="761">
        <f>+HLOOKUP(AG4,'פירוט נכסי מים וביוב'!$1:$289,70,0)</f>
        <v>54842.724590476195</v>
      </c>
      <c r="AH8" s="761">
        <f>+HLOOKUP(AH4,'פירוט נכסי מים וביוב'!$1:$289,70,0)</f>
        <v>67114.854000000007</v>
      </c>
      <c r="AI8" s="761">
        <f>+HLOOKUP(AI4,'פירוט נכסי מים וביוב'!$1:$289,70,0)</f>
        <v>54468.272285714287</v>
      </c>
      <c r="AJ8" s="761">
        <f>+HLOOKUP(AJ4,'פירוט נכסי מים וביוב'!$1:$289,70,0)</f>
        <v>33099.684885714283</v>
      </c>
      <c r="AK8" s="761">
        <f>+HLOOKUP(AK4,'פירוט נכסי מים וביוב'!$1:$289,70,0)</f>
        <v>27239.448971428574</v>
      </c>
      <c r="AL8" s="761">
        <f>+HLOOKUP(AL4,'פירוט נכסי מים וביוב'!$1:$289,70,0)</f>
        <v>606816.02024761902</v>
      </c>
      <c r="AM8" s="761">
        <f>+HLOOKUP(AM4,'פירוט נכסי מים וביוב'!$1:$289,70,0)</f>
        <v>86420.365152380939</v>
      </c>
      <c r="AN8" s="761">
        <f>+HLOOKUP(AN4,'פירוט נכסי מים וביוב'!$1:$289,70,0)</f>
        <v>155851.12297142859</v>
      </c>
      <c r="AO8" s="761">
        <f>+HLOOKUP(AO4,'פירוט נכסי מים וביוב'!$1:$289,70,0)</f>
        <v>55344.625714285714</v>
      </c>
      <c r="AP8" s="761">
        <f>+HLOOKUP(AP4,'פירוט נכסי מים וביוב'!$1:$289,70,0)</f>
        <v>101603.01417142857</v>
      </c>
      <c r="AQ8" s="761">
        <f>+HLOOKUP(AQ4,'פירוט נכסי מים וביוב'!$1:$289,70,0)</f>
        <v>66453.796461904771</v>
      </c>
      <c r="AR8" s="761">
        <f>+HLOOKUP(AR4,'פירוט נכסי מים וביוב'!$1:$289,70,0)</f>
        <v>114972.967</v>
      </c>
      <c r="AS8" s="761">
        <f>+HLOOKUP(AS4,'פירוט נכסי מים וביוב'!$1:$289,70,0)</f>
        <v>70095.284390476198</v>
      </c>
      <c r="AT8" s="761">
        <f>+HLOOKUP(AT4,'פירוט נכסי מים וביוב'!$1:$289,70,0)</f>
        <v>24116.866833333333</v>
      </c>
      <c r="AU8" s="761">
        <f>+HLOOKUP(AU4,'פירוט נכסי מים וביוב'!$1:$289,70,0)</f>
        <v>83269.109619047609</v>
      </c>
      <c r="AV8" s="761">
        <f>+HLOOKUP(AV4,'פירוט נכסי מים וביוב'!$1:$289,70,0)</f>
        <v>97993.396999999997</v>
      </c>
      <c r="AW8" s="761">
        <f>+HLOOKUP(AW4,'פירוט נכסי מים וביוב'!$1:$289,70,0)</f>
        <v>109158.617</v>
      </c>
      <c r="AX8" s="761">
        <f>+HLOOKUP(AX4,'פירוט נכסי מים וביוב'!$1:$289,70,0)</f>
        <v>142628.77968095237</v>
      </c>
      <c r="AY8" s="761">
        <f>+HLOOKUP(AY4,'פירוט נכסי מים וביוב'!$1:$289,70,0)</f>
        <v>89684.652504761907</v>
      </c>
      <c r="AZ8" s="761">
        <f>+HLOOKUP(AZ4,'פירוט נכסי מים וביוב'!$1:$289,70,0)</f>
        <v>100345.26296666666</v>
      </c>
      <c r="BA8" s="761">
        <f>+HLOOKUP(BA4,'פירוט נכסי מים וביוב'!$1:$289,70,0)</f>
        <v>67932.3842</v>
      </c>
      <c r="BB8" s="761">
        <f>+HLOOKUP(BB4,'פירוט נכסי מים וביוב'!$1:$289,70,0)</f>
        <v>47065.218000000001</v>
      </c>
      <c r="BC8" s="761">
        <f>+HLOOKUP(BC4,'פירוט נכסי מים וביוב'!$1:$289,70,0)</f>
        <v>94317.430999999997</v>
      </c>
      <c r="BD8" s="761">
        <f>+HLOOKUP(BD4,'פירוט נכסי מים וביוב'!$1:$289,70,0)</f>
        <v>23918.490476190476</v>
      </c>
      <c r="BE8" s="761">
        <f>+HLOOKUP(BE4,'פירוט נכסי מים וביוב'!$1:$289,70,0)</f>
        <v>13157.10942857143</v>
      </c>
      <c r="BF8" s="761">
        <f>+HLOOKUP(BF4,'פירוט נכסי מים וביוב'!$1:$289,70,0)</f>
        <v>84644.664999999994</v>
      </c>
    </row>
    <row r="9" spans="1:59" x14ac:dyDescent="0.2">
      <c r="A9" s="1816"/>
      <c r="B9" s="376" t="s">
        <v>1002</v>
      </c>
      <c r="C9" s="633">
        <v>0.02</v>
      </c>
      <c r="D9" s="633">
        <v>0.02</v>
      </c>
      <c r="E9" s="633">
        <v>0.02</v>
      </c>
      <c r="F9" s="633">
        <v>0.02</v>
      </c>
      <c r="G9" s="633">
        <v>0.02</v>
      </c>
      <c r="H9" s="633">
        <v>0.02</v>
      </c>
      <c r="I9" s="633">
        <v>0.02</v>
      </c>
      <c r="J9" s="633">
        <v>0.02</v>
      </c>
      <c r="K9" s="633">
        <v>0.02</v>
      </c>
      <c r="L9" s="633">
        <v>0.02</v>
      </c>
      <c r="M9" s="633">
        <v>0.02</v>
      </c>
      <c r="N9" s="633">
        <v>0.02</v>
      </c>
      <c r="O9" s="633">
        <v>0.02</v>
      </c>
      <c r="P9" s="633">
        <v>0.02</v>
      </c>
      <c r="Q9" s="633">
        <v>0.02</v>
      </c>
      <c r="R9" s="633">
        <v>0.02</v>
      </c>
      <c r="S9" s="633">
        <v>0.02</v>
      </c>
      <c r="T9" s="633">
        <v>0.02</v>
      </c>
      <c r="U9" s="633">
        <v>0.02</v>
      </c>
      <c r="V9" s="633">
        <v>0.02</v>
      </c>
      <c r="W9" s="633">
        <v>0.02</v>
      </c>
      <c r="X9" s="633">
        <v>0.02</v>
      </c>
      <c r="Y9" s="633">
        <v>0.02</v>
      </c>
      <c r="Z9" s="633">
        <v>0.02</v>
      </c>
      <c r="AA9" s="633">
        <v>0.02</v>
      </c>
      <c r="AB9" s="633">
        <v>0.02</v>
      </c>
      <c r="AC9" s="633">
        <v>0.02</v>
      </c>
      <c r="AD9" s="633">
        <v>0.02</v>
      </c>
      <c r="AE9" s="633">
        <v>0.02</v>
      </c>
      <c r="AF9" s="633">
        <v>0.02</v>
      </c>
      <c r="AG9" s="633">
        <v>0.02</v>
      </c>
      <c r="AH9" s="633">
        <v>0.02</v>
      </c>
      <c r="AI9" s="633">
        <v>0.02</v>
      </c>
      <c r="AJ9" s="633">
        <v>0.02</v>
      </c>
      <c r="AK9" s="633">
        <v>0.02</v>
      </c>
      <c r="AL9" s="633">
        <v>0.02</v>
      </c>
      <c r="AM9" s="633">
        <v>0.02</v>
      </c>
      <c r="AN9" s="633">
        <v>0.02</v>
      </c>
      <c r="AO9" s="633">
        <v>0.02</v>
      </c>
      <c r="AP9" s="633">
        <v>0.02</v>
      </c>
      <c r="AQ9" s="633">
        <v>0.02</v>
      </c>
      <c r="AR9" s="633">
        <v>0.02</v>
      </c>
      <c r="AS9" s="633">
        <v>0.02</v>
      </c>
      <c r="AT9" s="633">
        <v>0.02</v>
      </c>
      <c r="AU9" s="633">
        <v>0.02</v>
      </c>
      <c r="AV9" s="633">
        <v>0.02</v>
      </c>
      <c r="AW9" s="633">
        <v>0.02</v>
      </c>
      <c r="AX9" s="633">
        <v>0.02</v>
      </c>
      <c r="AY9" s="633">
        <v>0.02</v>
      </c>
      <c r="AZ9" s="633">
        <v>0.02</v>
      </c>
      <c r="BA9" s="633">
        <v>0.02</v>
      </c>
      <c r="BB9" s="633">
        <v>0.02</v>
      </c>
      <c r="BC9" s="633">
        <v>0.02</v>
      </c>
      <c r="BD9" s="633">
        <v>0.02</v>
      </c>
      <c r="BE9" s="633">
        <v>0.02</v>
      </c>
      <c r="BF9" s="633">
        <v>0.02</v>
      </c>
    </row>
    <row r="10" spans="1:59" x14ac:dyDescent="0.2">
      <c r="A10" s="1816"/>
      <c r="B10" s="376" t="s">
        <v>791</v>
      </c>
      <c r="C10" s="761">
        <f>+HLOOKUP(C4,'נתוני תאגידים'!$1:$713,354,0)</f>
        <v>10780.42</v>
      </c>
      <c r="D10" s="761">
        <f>+HLOOKUP(D4,'נתוני תאגידים'!$1:$713,354,0)</f>
        <v>9340.4369999999999</v>
      </c>
      <c r="E10" s="761">
        <f>+HLOOKUP(E4,'נתוני תאגידים'!$1:$713,354,0)</f>
        <v>4262.473</v>
      </c>
      <c r="F10" s="761">
        <f>+HLOOKUP(F4,'נתוני תאגידים'!$1:$713,354,0)</f>
        <v>54306.558000000005</v>
      </c>
      <c r="G10" s="761">
        <f>+HLOOKUP(G4,'נתוני תאגידים'!$1:$713,354,0)</f>
        <v>17049.447</v>
      </c>
      <c r="H10" s="761">
        <f>+HLOOKUP(H4,'נתוני תאגידים'!$1:$713,354,0)</f>
        <v>2004.4870000000001</v>
      </c>
      <c r="I10" s="761">
        <f>+HLOOKUP(I4,'נתוני תאגידים'!$1:$713,354,0)</f>
        <v>4334.6769999999997</v>
      </c>
      <c r="J10" s="761">
        <f>+HLOOKUP(J4,'נתוני תאגידים'!$1:$713,354,0)</f>
        <v>7271.4120000000003</v>
      </c>
      <c r="K10" s="761">
        <f>+HLOOKUP(K4,'נתוני תאגידים'!$1:$713,354,0)</f>
        <v>5391.3759999999993</v>
      </c>
      <c r="L10" s="761">
        <f>+HLOOKUP(L4,'נתוני תאגידים'!$1:$713,354,0)</f>
        <v>9928.9809999999998</v>
      </c>
      <c r="M10" s="761">
        <f>+HLOOKUP(M4,'נתוני תאגידים'!$1:$713,354,0)</f>
        <v>16724.746999999999</v>
      </c>
      <c r="N10" s="761">
        <f>+HLOOKUP(N4,'נתוני תאגידים'!$1:$713,354,0)</f>
        <v>9228.0609999999997</v>
      </c>
      <c r="O10" s="761">
        <f>+HLOOKUP(O4,'נתוני תאגידים'!$1:$713,354,0)</f>
        <v>5681.5389999999998</v>
      </c>
      <c r="P10" s="761">
        <f>+HLOOKUP(P4,'נתוני תאגידים'!$1:$713,354,0)</f>
        <v>4715.7889999999998</v>
      </c>
      <c r="Q10" s="761">
        <f>+HLOOKUP(Q4,'נתוני תאגידים'!$1:$713,354,0)</f>
        <v>20929.161</v>
      </c>
      <c r="R10" s="761">
        <f>+HLOOKUP(R4,'נתוני תאגידים'!$1:$713,354,0)</f>
        <v>18659.955999999998</v>
      </c>
      <c r="S10" s="761">
        <f>+HLOOKUP(S4,'נתוני תאגידים'!$1:$713,354,0)</f>
        <v>19665.205999999998</v>
      </c>
      <c r="T10" s="761">
        <f>+HLOOKUP(T4,'נתוני תאגידים'!$1:$713,354,0)</f>
        <v>19849.735000000001</v>
      </c>
      <c r="U10" s="761">
        <f>+HLOOKUP(U4,'נתוני תאגידים'!$1:$713,354,0)</f>
        <v>11081.690999999999</v>
      </c>
      <c r="V10" s="761">
        <f>+HLOOKUP(V4,'נתוני תאגידים'!$1:$713,354,0)</f>
        <v>8586.9550000000017</v>
      </c>
      <c r="W10" s="761">
        <f>+HLOOKUP(W4,'נתוני תאגידים'!$1:$713,354,0)</f>
        <v>8741.3060000000005</v>
      </c>
      <c r="X10" s="761">
        <f>+HLOOKUP(X4,'נתוני תאגידים'!$1:$713,354,0)</f>
        <v>6495.7709999999997</v>
      </c>
      <c r="Y10" s="761">
        <f>+HLOOKUP(Y4,'נתוני תאגידים'!$1:$713,354,0)</f>
        <v>3201.0769999999998</v>
      </c>
      <c r="Z10" s="761">
        <f>+HLOOKUP(Z4,'נתוני תאגידים'!$1:$713,354,0)</f>
        <v>3917.029</v>
      </c>
      <c r="AA10" s="761">
        <f>+HLOOKUP(AA4,'נתוני תאגידים'!$1:$713,354,0)</f>
        <v>6640.0940000000001</v>
      </c>
      <c r="AB10" s="761">
        <f>+HLOOKUP(AB4,'נתוני תאגידים'!$1:$713,354,0)</f>
        <v>6789.9260000000004</v>
      </c>
      <c r="AC10" s="761">
        <f>+HLOOKUP(AC4,'נתוני תאגידים'!$1:$713,354,0)</f>
        <v>10469.824999999999</v>
      </c>
      <c r="AD10" s="761">
        <f>+HLOOKUP(AD4,'נתוני תאגידים'!$1:$713,354,0)</f>
        <v>4708.6639999999998</v>
      </c>
      <c r="AE10" s="761">
        <f>+HLOOKUP(AE4,'נתוני תאגידים'!$1:$713,354,0)</f>
        <v>23115.748</v>
      </c>
      <c r="AF10" s="761">
        <f>+HLOOKUP(AF4,'נתוני תאגידים'!$1:$713,354,0)</f>
        <v>5412.576</v>
      </c>
      <c r="AG10" s="761">
        <f>+HLOOKUP(AG4,'נתוני תאגידים'!$1:$713,354,0)</f>
        <v>3747.5639999999999</v>
      </c>
      <c r="AH10" s="761">
        <f>+HLOOKUP(AH4,'נתוני תאגידים'!$1:$713,354,0)</f>
        <v>3174.326</v>
      </c>
      <c r="AI10" s="761">
        <f>+HLOOKUP(AI4,'נתוני תאגידים'!$1:$713,354,0)</f>
        <v>3853.471</v>
      </c>
      <c r="AJ10" s="761">
        <f>+HLOOKUP(AJ4,'נתוני תאגידים'!$1:$713,354,0)</f>
        <v>3276.6880000000001</v>
      </c>
      <c r="AK10" s="761">
        <f>+HLOOKUP(AK4,'נתוני תאגידים'!$1:$713,354,0)</f>
        <v>2922.759</v>
      </c>
      <c r="AL10" s="761">
        <f>+HLOOKUP(AL4,'נתוני תאגידים'!$1:$713,354,0)</f>
        <v>46124.361000000004</v>
      </c>
      <c r="AM10" s="761">
        <f>+HLOOKUP(AM4,'נתוני תאגידים'!$1:$713,354,0)</f>
        <v>5738.3119999999999</v>
      </c>
      <c r="AN10" s="761">
        <f>+HLOOKUP(AN4,'נתוני תאגידים'!$1:$713,354,0)</f>
        <v>12026.431</v>
      </c>
      <c r="AO10" s="761">
        <f>+HLOOKUP(AO4,'נתוני תאגידים'!$1:$713,354,0)</f>
        <v>3748.2510000000002</v>
      </c>
      <c r="AP10" s="761">
        <f>+HLOOKUP(AP4,'נתוני תאגידים'!$1:$713,354,0)</f>
        <v>9026.4089999999997</v>
      </c>
      <c r="AQ10" s="761">
        <f>+HLOOKUP(AQ4,'נתוני תאגידים'!$1:$713,354,0)</f>
        <v>5354.7740000000003</v>
      </c>
      <c r="AR10" s="761">
        <f>+HLOOKUP(AR4,'נתוני תאגידים'!$1:$713,354,0)</f>
        <v>10326.152000000002</v>
      </c>
      <c r="AS10" s="761">
        <f>+HLOOKUP(AS4,'נתוני תאגידים'!$1:$713,354,0)</f>
        <v>3423.1089999999999</v>
      </c>
      <c r="AT10" s="761">
        <f>+HLOOKUP(AT4,'נתוני תאגידים'!$1:$713,354,0)</f>
        <v>2910.1680000000001</v>
      </c>
      <c r="AU10" s="761">
        <f>+HLOOKUP(AU4,'נתוני תאגידים'!$1:$713,354,0)</f>
        <v>4710.6399999999994</v>
      </c>
      <c r="AV10" s="761">
        <f>+HLOOKUP(AV4,'נתוני תאגידים'!$1:$713,354,0)</f>
        <v>5711.9690000000001</v>
      </c>
      <c r="AW10" s="761">
        <f>+HLOOKUP(AW4,'נתוני תאגידים'!$1:$713,354,0)</f>
        <v>7207.7849999999999</v>
      </c>
      <c r="AX10" s="761">
        <f>+HLOOKUP(AX4,'נתוני תאגידים'!$1:$713,354,0)</f>
        <v>14360.366</v>
      </c>
      <c r="AY10" s="761">
        <f>+HLOOKUP(AY4,'נתוני תאגידים'!$1:$713,354,0)</f>
        <v>6640.4369999999999</v>
      </c>
      <c r="AZ10" s="761">
        <f>+HLOOKUP(AZ4,'נתוני תאגידים'!$1:$713,354,0)</f>
        <v>5883.2190000000001</v>
      </c>
      <c r="BA10" s="761">
        <f>+HLOOKUP(BA4,'נתוני תאגידים'!$1:$713,354,0)</f>
        <v>5761.5990000000002</v>
      </c>
      <c r="BB10" s="761">
        <f>+HLOOKUP(BB4,'נתוני תאגידים'!$1:$713,354,0)</f>
        <v>4786.3330000000005</v>
      </c>
      <c r="BC10" s="761">
        <f>+HLOOKUP(BC4,'נתוני תאגידים'!$1:$713,354,0)</f>
        <v>6044.5029999999997</v>
      </c>
      <c r="BD10" s="761">
        <f>+HLOOKUP(BD4,'נתוני תאגידים'!$1:$713,354,0)</f>
        <v>975.60500000000002</v>
      </c>
      <c r="BE10" s="761">
        <f>+HLOOKUP(BE4,'נתוני תאגידים'!$1:$713,354,0)</f>
        <v>1173.269</v>
      </c>
      <c r="BF10" s="761">
        <f>+HLOOKUP(BF4,'נתוני תאגידים'!$1:$713,354,0)</f>
        <v>10422.161</v>
      </c>
      <c r="BG10" s="762">
        <f>SUM(C10:BE10)</f>
        <v>518193.62399999972</v>
      </c>
    </row>
    <row r="11" spans="1:59" x14ac:dyDescent="0.2">
      <c r="A11" s="1817"/>
      <c r="B11" s="376" t="s">
        <v>1003</v>
      </c>
      <c r="C11" s="627">
        <f>+C8*C9/C10</f>
        <v>0.15389810235328757</v>
      </c>
      <c r="D11" s="627">
        <f t="shared" ref="D11:BE11" si="0">+D8*D9/D10</f>
        <v>0.29428471066182454</v>
      </c>
      <c r="E11" s="627">
        <f t="shared" si="0"/>
        <v>0.34648476600320988</v>
      </c>
      <c r="F11" s="627">
        <f t="shared" si="0"/>
        <v>0.34193488108572007</v>
      </c>
      <c r="G11" s="627">
        <f t="shared" si="0"/>
        <v>0.16043191480471058</v>
      </c>
      <c r="H11" s="627">
        <f t="shared" si="0"/>
        <v>0.38661885830567688</v>
      </c>
      <c r="I11" s="627">
        <f t="shared" si="0"/>
        <v>0.39935320209556563</v>
      </c>
      <c r="J11" s="627">
        <f t="shared" si="0"/>
        <v>0.27810420440250905</v>
      </c>
      <c r="K11" s="627">
        <f t="shared" si="0"/>
        <v>0.19909512154225564</v>
      </c>
      <c r="L11" s="627">
        <f t="shared" si="0"/>
        <v>0.22783338212508558</v>
      </c>
      <c r="M11" s="627">
        <f t="shared" si="0"/>
        <v>0.25833197551935633</v>
      </c>
      <c r="N11" s="627">
        <f t="shared" si="0"/>
        <v>0.24275572950807325</v>
      </c>
      <c r="O11" s="627">
        <f t="shared" si="0"/>
        <v>0.29147331564312318</v>
      </c>
      <c r="P11" s="627">
        <f t="shared" si="0"/>
        <v>0.47293395054661819</v>
      </c>
      <c r="Q11" s="627">
        <f t="shared" si="0"/>
        <v>0.24987263325353287</v>
      </c>
      <c r="R11" s="627">
        <f t="shared" si="0"/>
        <v>0.23590711076958701</v>
      </c>
      <c r="S11" s="627">
        <f t="shared" si="0"/>
        <v>0.29846630272486635</v>
      </c>
      <c r="T11" s="627">
        <f t="shared" si="0"/>
        <v>0.33295010537924058</v>
      </c>
      <c r="U11" s="627">
        <f t="shared" si="0"/>
        <v>0.13174818587833625</v>
      </c>
      <c r="V11" s="627">
        <f t="shared" si="0"/>
        <v>0.3756357032265803</v>
      </c>
      <c r="W11" s="627">
        <f t="shared" si="0"/>
        <v>0.22030021377126024</v>
      </c>
      <c r="X11" s="627">
        <f t="shared" si="0"/>
        <v>0.34572923803590278</v>
      </c>
      <c r="Y11" s="627">
        <f t="shared" si="0"/>
        <v>0.35965484937904163</v>
      </c>
      <c r="Z11" s="627">
        <f t="shared" si="0"/>
        <v>0.34855276923986445</v>
      </c>
      <c r="AA11" s="627">
        <f t="shared" si="0"/>
        <v>0.33587634307299746</v>
      </c>
      <c r="AB11" s="627">
        <f t="shared" si="0"/>
        <v>0.16216068334176245</v>
      </c>
      <c r="AC11" s="627">
        <f t="shared" si="0"/>
        <v>0.25739782879438222</v>
      </c>
      <c r="AD11" s="627">
        <f t="shared" si="0"/>
        <v>0.244300896996928</v>
      </c>
      <c r="AE11" s="627">
        <f t="shared" si="0"/>
        <v>0.35624676265845134</v>
      </c>
      <c r="AF11" s="627">
        <f t="shared" si="0"/>
        <v>0.31042124711043312</v>
      </c>
      <c r="AG11" s="627">
        <f t="shared" si="0"/>
        <v>0.29268465910376024</v>
      </c>
      <c r="AH11" s="627">
        <f t="shared" si="0"/>
        <v>0.42286050015026816</v>
      </c>
      <c r="AI11" s="627">
        <f t="shared" si="0"/>
        <v>0.28269719577863328</v>
      </c>
      <c r="AJ11" s="627">
        <f t="shared" si="0"/>
        <v>0.20203134925091606</v>
      </c>
      <c r="AK11" s="627">
        <f t="shared" si="0"/>
        <v>0.18639545013070577</v>
      </c>
      <c r="AL11" s="627">
        <f t="shared" si="0"/>
        <v>0.26312170275816676</v>
      </c>
      <c r="AM11" s="627">
        <f t="shared" si="0"/>
        <v>0.30120483219588251</v>
      </c>
      <c r="AN11" s="627">
        <f t="shared" si="0"/>
        <v>0.25918100385962983</v>
      </c>
      <c r="AO11" s="627">
        <f t="shared" si="0"/>
        <v>0.29530906929277528</v>
      </c>
      <c r="AP11" s="627">
        <f t="shared" si="0"/>
        <v>0.22512388740955253</v>
      </c>
      <c r="AQ11" s="627">
        <f t="shared" si="0"/>
        <v>0.24820392592443588</v>
      </c>
      <c r="AR11" s="627">
        <f t="shared" si="0"/>
        <v>0.22268308078362586</v>
      </c>
      <c r="AS11" s="627">
        <f t="shared" si="0"/>
        <v>0.40954164410467908</v>
      </c>
      <c r="AT11" s="627">
        <f t="shared" si="0"/>
        <v>0.16574209346905974</v>
      </c>
      <c r="AU11" s="627">
        <f t="shared" si="0"/>
        <v>0.35353629069106368</v>
      </c>
      <c r="AV11" s="627">
        <f t="shared" si="0"/>
        <v>0.34311599730320669</v>
      </c>
      <c r="AW11" s="627">
        <f t="shared" si="0"/>
        <v>0.3028908797917807</v>
      </c>
      <c r="AX11" s="627">
        <f t="shared" si="0"/>
        <v>0.19864226257318565</v>
      </c>
      <c r="AY11" s="627">
        <f t="shared" si="0"/>
        <v>0.27011671823635075</v>
      </c>
      <c r="AZ11" s="627">
        <f t="shared" si="0"/>
        <v>0.34112367044866648</v>
      </c>
      <c r="BA11" s="627">
        <f t="shared" si="0"/>
        <v>0.23581087194717995</v>
      </c>
      <c r="BB11" s="627">
        <f t="shared" si="0"/>
        <v>0.19666503772303348</v>
      </c>
      <c r="BC11" s="627">
        <f t="shared" si="0"/>
        <v>0.31207671168332618</v>
      </c>
      <c r="BD11" s="627">
        <f t="shared" si="0"/>
        <v>0.49033144512769977</v>
      </c>
      <c r="BE11" s="627">
        <f t="shared" si="0"/>
        <v>0.2242812079509717</v>
      </c>
      <c r="BF11" s="627">
        <f t="shared" ref="BF11" si="1">+BF8*BF9/BF10</f>
        <v>0.16243208102427126</v>
      </c>
    </row>
    <row r="12" spans="1:59" x14ac:dyDescent="0.2">
      <c r="A12" s="376"/>
      <c r="B12" s="376"/>
      <c r="C12" s="627"/>
      <c r="D12" s="627"/>
      <c r="E12" s="627"/>
      <c r="F12" s="627"/>
      <c r="G12" s="627"/>
      <c r="H12" s="627"/>
      <c r="I12" s="627"/>
      <c r="J12" s="627"/>
      <c r="K12" s="627"/>
      <c r="L12" s="627"/>
      <c r="M12" s="627"/>
      <c r="N12" s="627"/>
      <c r="O12" s="627"/>
      <c r="P12" s="627"/>
      <c r="Q12" s="627"/>
      <c r="R12" s="627"/>
      <c r="S12" s="627"/>
      <c r="T12" s="627"/>
      <c r="U12" s="627"/>
      <c r="V12" s="627"/>
      <c r="W12" s="627"/>
      <c r="X12" s="627"/>
      <c r="Y12" s="627"/>
      <c r="Z12" s="627"/>
      <c r="AA12" s="627"/>
      <c r="AB12" s="627"/>
      <c r="AC12" s="627"/>
      <c r="AD12" s="627"/>
      <c r="AE12" s="627"/>
      <c r="AF12" s="627"/>
      <c r="AG12" s="627"/>
      <c r="AH12" s="627"/>
      <c r="AI12" s="627"/>
      <c r="AJ12" s="627"/>
      <c r="AK12" s="627"/>
      <c r="AL12" s="627"/>
      <c r="AM12" s="627"/>
      <c r="AN12" s="627"/>
      <c r="AO12" s="627"/>
      <c r="AP12" s="627"/>
      <c r="AQ12" s="627"/>
      <c r="AR12" s="627"/>
      <c r="AS12" s="627"/>
      <c r="AT12" s="627"/>
      <c r="AU12" s="627"/>
      <c r="AV12" s="627"/>
      <c r="AW12" s="627"/>
      <c r="AX12" s="627"/>
      <c r="AY12" s="627"/>
      <c r="AZ12" s="627"/>
      <c r="BA12" s="627"/>
      <c r="BB12" s="627"/>
      <c r="BC12" s="627"/>
      <c r="BD12" s="627"/>
      <c r="BE12" s="627"/>
      <c r="BF12" s="627"/>
    </row>
    <row r="13" spans="1:59" x14ac:dyDescent="0.2">
      <c r="A13" s="1815" t="s">
        <v>1004</v>
      </c>
      <c r="B13" s="376" t="s">
        <v>1005</v>
      </c>
      <c r="C13" s="1012">
        <f>+HLOOKUP(C4,'פירוט נכסי מים וביוב'!$1:$289,103,0)</f>
        <v>5078.7867428571435</v>
      </c>
      <c r="D13" s="1012">
        <f>+HLOOKUP(D4,'פירוט נכסי מים וביוב'!$1:$289,103,0)</f>
        <v>3616</v>
      </c>
      <c r="E13" s="1012">
        <f>+HLOOKUP(E4,'פירוט נכסי מים וביוב'!$1:$289,103,0)</f>
        <v>1687.24</v>
      </c>
      <c r="F13" s="1012">
        <f>+HLOOKUP(F4,'פירוט נכסי מים וביוב'!$1:$289,103,0)</f>
        <v>24383.679390476191</v>
      </c>
      <c r="G13" s="1012">
        <f>+HLOOKUP(G4,'פירוט נכסי מים וביוב'!$1:$289,103,0)</f>
        <v>31654.457142857143</v>
      </c>
      <c r="H13" s="1012">
        <f>+HLOOKUP(H4,'פירוט נכסי מים וביוב'!$1:$289,103,0)</f>
        <v>3288.6857142857148</v>
      </c>
      <c r="I13" s="1012">
        <f>+HLOOKUP(I4,'פירוט נכסי מים וביוב'!$1:$289,103,0)</f>
        <v>3289.4870000000001</v>
      </c>
      <c r="J13" s="1012">
        <f>+HLOOKUP(J4,'פירוט נכסי מים וביוב'!$1:$289,103,0)</f>
        <v>5868.9142857142851</v>
      </c>
      <c r="K13" s="1012">
        <f>+HLOOKUP(K4,'פירוט נכסי מים וביוב'!$1:$289,103,0)</f>
        <v>1645.143</v>
      </c>
      <c r="L13" s="1012">
        <f>+HLOOKUP(L4,'פירוט נכסי מים וביוב'!$1:$289,103,0)</f>
        <v>8744.0395428571446</v>
      </c>
      <c r="M13" s="1012">
        <f>+HLOOKUP(M4,'פירוט נכסי מים וביוב'!$1:$289,103,0)</f>
        <v>5624.2857142857147</v>
      </c>
      <c r="N13" s="1012">
        <f>+HLOOKUP(N4,'פירוט נכסי מים וביוב'!$1:$289,103,0)</f>
        <v>6858.6270000000004</v>
      </c>
      <c r="O13" s="1012">
        <f>+HLOOKUP(O4,'פירוט נכסי מים וביוב'!$1:$289,103,0)</f>
        <v>3157.9679714285712</v>
      </c>
      <c r="P13" s="1012">
        <f>+HLOOKUP(P4,'פירוט נכסי מים וביוב'!$1:$289,103,0)</f>
        <v>23321.028571428571</v>
      </c>
      <c r="Q13" s="1012">
        <f>+HLOOKUP(Q4,'פירוט נכסי מים וביוב'!$1:$289,103,0)</f>
        <v>14200.385523809524</v>
      </c>
      <c r="R13" s="1012">
        <f>+HLOOKUP(R4,'פירוט נכסי מים וביוב'!$1:$289,103,0)</f>
        <v>2786.3771428571431</v>
      </c>
      <c r="S13" s="1012">
        <f>+HLOOKUP(S4,'פירוט נכסי מים וביוב'!$1:$289,103,0)</f>
        <v>21545.586009523809</v>
      </c>
      <c r="T13" s="1012">
        <f>+HLOOKUP(T4,'פירוט נכסי מים וביוב'!$1:$289,103,0)</f>
        <v>29686.32</v>
      </c>
      <c r="U13" s="1012">
        <f>+HLOOKUP(U4,'פירוט נכסי מים וביוב'!$1:$289,103,0)</f>
        <v>1608.32</v>
      </c>
      <c r="V13" s="1012">
        <f>+HLOOKUP(V4,'פירוט נכסי מים וביוב'!$1:$289,103,0)</f>
        <v>2479.5</v>
      </c>
      <c r="W13" s="1012">
        <f>+HLOOKUP(W4,'פירוט נכסי מים וביוב'!$1:$289,103,0)</f>
        <v>15482.536599999999</v>
      </c>
      <c r="X13" s="1012">
        <f>+HLOOKUP(X4,'פירוט נכסי מים וביוב'!$1:$289,103,0)</f>
        <v>9239.0508571428581</v>
      </c>
      <c r="Y13" s="1012">
        <f>+HLOOKUP(Y4,'פירוט נכסי מים וביוב'!$1:$289,103,0)</f>
        <v>272.82285714285717</v>
      </c>
      <c r="Z13" s="1012">
        <f>+HLOOKUP(Z4,'פירוט נכסי מים וביוב'!$1:$289,103,0)</f>
        <v>2081.4285714285716</v>
      </c>
      <c r="AA13" s="1012">
        <f>+HLOOKUP(AA4,'פירוט נכסי מים וביוב'!$1:$289,103,0)</f>
        <v>7564.7642904761906</v>
      </c>
      <c r="AB13" s="1012">
        <f>+HLOOKUP(AB4,'פירוט נכסי מים וביוב'!$1:$289,103,0)</f>
        <v>0</v>
      </c>
      <c r="AC13" s="1012">
        <f>+HLOOKUP(AC4,'פירוט נכסי מים וביוב'!$1:$289,103,0)</f>
        <v>6001.5406666666668</v>
      </c>
      <c r="AD13" s="1012">
        <f>+HLOOKUP(AD4,'פירוט נכסי מים וביוב'!$1:$289,103,0)</f>
        <v>14616.428571428571</v>
      </c>
      <c r="AE13" s="1012">
        <f>+HLOOKUP(AE4,'פירוט נכסי מים וביוב'!$1:$289,103,0)</f>
        <v>66524.701485714293</v>
      </c>
      <c r="AF13" s="1012">
        <f>+HLOOKUP(AF4,'פירוט נכסי מים וביוב'!$1:$289,103,0)</f>
        <v>3810.4487619047623</v>
      </c>
      <c r="AG13" s="1012">
        <f>+HLOOKUP(AG4,'פירוט נכסי מים וביוב'!$1:$289,103,0)</f>
        <v>0</v>
      </c>
      <c r="AH13" s="1012">
        <f>+HLOOKUP(AH4,'פירוט נכסי מים וביוב'!$1:$289,103,0)</f>
        <v>880</v>
      </c>
      <c r="AI13" s="1012">
        <f>+HLOOKUP(AI4,'פירוט נכסי מים וביוב'!$1:$289,103,0)</f>
        <v>8138.1564285714294</v>
      </c>
      <c r="AJ13" s="1012">
        <f>+HLOOKUP(AJ4,'פירוט נכסי מים וביוב'!$1:$289,103,0)</f>
        <v>0</v>
      </c>
      <c r="AK13" s="1012">
        <f>+HLOOKUP(AK4,'פירוט נכסי מים וביוב'!$1:$289,103,0)</f>
        <v>0</v>
      </c>
      <c r="AL13" s="1012">
        <f>+HLOOKUP(AL4,'פירוט נכסי מים וביוב'!$1:$289,103,0)</f>
        <v>6269.7023333333327</v>
      </c>
      <c r="AM13" s="1012">
        <f>+HLOOKUP(AM4,'פירוט נכסי מים וביוב'!$1:$289,103,0)</f>
        <v>8814.9091476190479</v>
      </c>
      <c r="AN13" s="1012">
        <f>+HLOOKUP(AN4,'פירוט נכסי מים וביוב'!$1:$289,103,0)</f>
        <v>8716.7661714285732</v>
      </c>
      <c r="AO13" s="1012">
        <f>+HLOOKUP(AO4,'פירוט נכסי מים וביוב'!$1:$289,103,0)</f>
        <v>2455.7142857142858</v>
      </c>
      <c r="AP13" s="1012">
        <f>+HLOOKUP(AP4,'פירוט נכסי מים וביוב'!$1:$289,103,0)</f>
        <v>2955.7142857142858</v>
      </c>
      <c r="AQ13" s="1012">
        <f>+HLOOKUP(AQ4,'פירוט נכסי מים וביוב'!$1:$289,103,0)</f>
        <v>5559.1904761904761</v>
      </c>
      <c r="AR13" s="1012">
        <f>+HLOOKUP(AR4,'פירוט נכסי מים וביוב'!$1:$289,103,0)</f>
        <v>53577.786999999997</v>
      </c>
      <c r="AS13" s="1012">
        <f>+HLOOKUP(AS4,'פירוט נכסי מים וביוב'!$1:$289,103,0)</f>
        <v>360.85714285714283</v>
      </c>
      <c r="AT13" s="1012">
        <f>+HLOOKUP(AT4,'פירוט נכסי מים וביוב'!$1:$289,103,0)</f>
        <v>0</v>
      </c>
      <c r="AU13" s="1012">
        <f>+HLOOKUP(AU4,'פירוט נכסי מים וביוב'!$1:$289,103,0)</f>
        <v>5411.666666666667</v>
      </c>
      <c r="AV13" s="1012">
        <f>+HLOOKUP(AV4,'פירוט נכסי מים וביוב'!$1:$289,103,0)</f>
        <v>4425.0119999999997</v>
      </c>
      <c r="AW13" s="1012">
        <f>+HLOOKUP(AW4,'פירוט נכסי מים וביוב'!$1:$289,103,0)</f>
        <v>660</v>
      </c>
      <c r="AX13" s="1012">
        <f>+HLOOKUP(AX4,'פירוט נכסי מים וביוב'!$1:$289,103,0)</f>
        <v>941.37971904761901</v>
      </c>
      <c r="AY13" s="1012">
        <f>+HLOOKUP(AY4,'פירוט נכסי מים וביוב'!$1:$289,103,0)</f>
        <v>1263.7142095238096</v>
      </c>
      <c r="AZ13" s="1012">
        <f>+HLOOKUP(AZ4,'פירוט נכסי מים וביוב'!$1:$289,103,0)</f>
        <v>5679.9285714285706</v>
      </c>
      <c r="BA13" s="1012">
        <f>+HLOOKUP(BA4,'פירוט נכסי מים וביוב'!$1:$289,103,0)</f>
        <v>1786.5958095238095</v>
      </c>
      <c r="BB13" s="1012">
        <f>+HLOOKUP(BB4,'פירוט נכסי מים וביוב'!$1:$289,103,0)</f>
        <v>1322.105</v>
      </c>
      <c r="BC13" s="1012">
        <f>+HLOOKUP(BC4,'פירוט נכסי מים וביוב'!$1:$289,103,0)</f>
        <v>410</v>
      </c>
      <c r="BD13" s="1012">
        <f>+HLOOKUP(BD4,'פירוט נכסי מים וביוב'!$1:$289,103,0)</f>
        <v>529.5</v>
      </c>
      <c r="BE13" s="1012">
        <f>+HLOOKUP(BE4,'פירוט נכסי מים וביוב'!$1:$289,103,0)</f>
        <v>2828.5714285714284</v>
      </c>
      <c r="BF13" s="1012">
        <f>+HLOOKUP(BF4,'פירוט נכסי מים וביוב'!$1:$289,103,0)</f>
        <v>3771.8339999999998</v>
      </c>
    </row>
    <row r="14" spans="1:59" x14ac:dyDescent="0.2">
      <c r="A14" s="1816"/>
      <c r="B14" s="376" t="s">
        <v>1006</v>
      </c>
      <c r="C14" s="763">
        <v>2.5000000000000001E-2</v>
      </c>
      <c r="D14" s="763">
        <v>2.5000000000000001E-2</v>
      </c>
      <c r="E14" s="763">
        <v>2.5000000000000001E-2</v>
      </c>
      <c r="F14" s="763">
        <v>2.5000000000000001E-2</v>
      </c>
      <c r="G14" s="763">
        <v>2.5000000000000001E-2</v>
      </c>
      <c r="H14" s="763">
        <v>2.5000000000000001E-2</v>
      </c>
      <c r="I14" s="763">
        <v>2.5000000000000001E-2</v>
      </c>
      <c r="J14" s="763">
        <v>2.5000000000000001E-2</v>
      </c>
      <c r="K14" s="763">
        <v>2.5000000000000001E-2</v>
      </c>
      <c r="L14" s="763">
        <v>2.5000000000000001E-2</v>
      </c>
      <c r="M14" s="763">
        <v>2.5000000000000001E-2</v>
      </c>
      <c r="N14" s="763">
        <v>2.5000000000000001E-2</v>
      </c>
      <c r="O14" s="763">
        <v>2.5000000000000001E-2</v>
      </c>
      <c r="P14" s="763">
        <v>2.5000000000000001E-2</v>
      </c>
      <c r="Q14" s="763">
        <v>2.5000000000000001E-2</v>
      </c>
      <c r="R14" s="763">
        <v>2.5000000000000001E-2</v>
      </c>
      <c r="S14" s="763">
        <v>2.5000000000000001E-2</v>
      </c>
      <c r="T14" s="763">
        <v>2.5000000000000001E-2</v>
      </c>
      <c r="U14" s="763">
        <v>2.5000000000000001E-2</v>
      </c>
      <c r="V14" s="763">
        <v>2.5000000000000001E-2</v>
      </c>
      <c r="W14" s="763">
        <v>2.5000000000000001E-2</v>
      </c>
      <c r="X14" s="763">
        <v>2.5000000000000001E-2</v>
      </c>
      <c r="Y14" s="763">
        <v>2.5000000000000001E-2</v>
      </c>
      <c r="Z14" s="763">
        <v>2.5000000000000001E-2</v>
      </c>
      <c r="AA14" s="763">
        <v>2.5000000000000001E-2</v>
      </c>
      <c r="AB14" s="763">
        <v>2.5000000000000001E-2</v>
      </c>
      <c r="AC14" s="763">
        <v>2.5000000000000001E-2</v>
      </c>
      <c r="AD14" s="763">
        <v>2.5000000000000001E-2</v>
      </c>
      <c r="AE14" s="763">
        <v>2.5000000000000001E-2</v>
      </c>
      <c r="AF14" s="763">
        <v>2.5000000000000001E-2</v>
      </c>
      <c r="AG14" s="763">
        <v>2.5000000000000001E-2</v>
      </c>
      <c r="AH14" s="763">
        <v>2.5000000000000001E-2</v>
      </c>
      <c r="AI14" s="763">
        <v>2.5000000000000001E-2</v>
      </c>
      <c r="AJ14" s="763">
        <v>2.5000000000000001E-2</v>
      </c>
      <c r="AK14" s="763">
        <v>2.5000000000000001E-2</v>
      </c>
      <c r="AL14" s="763">
        <v>2.5000000000000001E-2</v>
      </c>
      <c r="AM14" s="763">
        <v>2.5000000000000001E-2</v>
      </c>
      <c r="AN14" s="763">
        <v>2.5000000000000001E-2</v>
      </c>
      <c r="AO14" s="763">
        <v>2.5000000000000001E-2</v>
      </c>
      <c r="AP14" s="763">
        <v>2.5000000000000001E-2</v>
      </c>
      <c r="AQ14" s="763">
        <v>2.5000000000000001E-2</v>
      </c>
      <c r="AR14" s="763">
        <v>2.5000000000000001E-2</v>
      </c>
      <c r="AS14" s="763">
        <v>2.5000000000000001E-2</v>
      </c>
      <c r="AT14" s="763">
        <v>2.5000000000000001E-2</v>
      </c>
      <c r="AU14" s="763">
        <v>2.5000000000000001E-2</v>
      </c>
      <c r="AV14" s="763">
        <v>2.5000000000000001E-2</v>
      </c>
      <c r="AW14" s="763">
        <v>2.5000000000000001E-2</v>
      </c>
      <c r="AX14" s="763">
        <v>2.5000000000000001E-2</v>
      </c>
      <c r="AY14" s="763">
        <v>2.5000000000000001E-2</v>
      </c>
      <c r="AZ14" s="763">
        <v>2.5000000000000001E-2</v>
      </c>
      <c r="BA14" s="763">
        <v>2.5000000000000001E-2</v>
      </c>
      <c r="BB14" s="763">
        <v>2.5000000000000001E-2</v>
      </c>
      <c r="BC14" s="763">
        <v>2.5000000000000001E-2</v>
      </c>
      <c r="BD14" s="763">
        <v>2.5000000000000001E-2</v>
      </c>
      <c r="BE14" s="763">
        <v>2.5000000000000001E-2</v>
      </c>
      <c r="BF14" s="763">
        <v>2.5000000000000001E-2</v>
      </c>
    </row>
    <row r="15" spans="1:59" x14ac:dyDescent="0.2">
      <c r="A15" s="1816"/>
      <c r="B15" s="376" t="s">
        <v>1007</v>
      </c>
      <c r="C15" s="625">
        <f>+C10</f>
        <v>10780.42</v>
      </c>
      <c r="D15" s="625">
        <f t="shared" ref="D15:BE15" si="2">+D10</f>
        <v>9340.4369999999999</v>
      </c>
      <c r="E15" s="625">
        <f t="shared" si="2"/>
        <v>4262.473</v>
      </c>
      <c r="F15" s="625">
        <f t="shared" si="2"/>
        <v>54306.558000000005</v>
      </c>
      <c r="G15" s="625">
        <f t="shared" si="2"/>
        <v>17049.447</v>
      </c>
      <c r="H15" s="625">
        <f t="shared" si="2"/>
        <v>2004.4870000000001</v>
      </c>
      <c r="I15" s="625">
        <f t="shared" si="2"/>
        <v>4334.6769999999997</v>
      </c>
      <c r="J15" s="625">
        <f t="shared" si="2"/>
        <v>7271.4120000000003</v>
      </c>
      <c r="K15" s="625">
        <f t="shared" si="2"/>
        <v>5391.3759999999993</v>
      </c>
      <c r="L15" s="625">
        <f t="shared" si="2"/>
        <v>9928.9809999999998</v>
      </c>
      <c r="M15" s="625">
        <f t="shared" si="2"/>
        <v>16724.746999999999</v>
      </c>
      <c r="N15" s="625">
        <f t="shared" si="2"/>
        <v>9228.0609999999997</v>
      </c>
      <c r="O15" s="625">
        <f t="shared" si="2"/>
        <v>5681.5389999999998</v>
      </c>
      <c r="P15" s="625">
        <f t="shared" si="2"/>
        <v>4715.7889999999998</v>
      </c>
      <c r="Q15" s="625">
        <f t="shared" si="2"/>
        <v>20929.161</v>
      </c>
      <c r="R15" s="625">
        <f t="shared" si="2"/>
        <v>18659.955999999998</v>
      </c>
      <c r="S15" s="625">
        <f t="shared" si="2"/>
        <v>19665.205999999998</v>
      </c>
      <c r="T15" s="625">
        <f t="shared" si="2"/>
        <v>19849.735000000001</v>
      </c>
      <c r="U15" s="625">
        <f t="shared" si="2"/>
        <v>11081.690999999999</v>
      </c>
      <c r="V15" s="625">
        <f t="shared" si="2"/>
        <v>8586.9550000000017</v>
      </c>
      <c r="W15" s="625">
        <f t="shared" si="2"/>
        <v>8741.3060000000005</v>
      </c>
      <c r="X15" s="625">
        <f t="shared" si="2"/>
        <v>6495.7709999999997</v>
      </c>
      <c r="Y15" s="625">
        <f t="shared" si="2"/>
        <v>3201.0769999999998</v>
      </c>
      <c r="Z15" s="625">
        <f t="shared" si="2"/>
        <v>3917.029</v>
      </c>
      <c r="AA15" s="625">
        <f t="shared" si="2"/>
        <v>6640.0940000000001</v>
      </c>
      <c r="AB15" s="625">
        <f t="shared" si="2"/>
        <v>6789.9260000000004</v>
      </c>
      <c r="AC15" s="625">
        <f t="shared" si="2"/>
        <v>10469.824999999999</v>
      </c>
      <c r="AD15" s="625">
        <f t="shared" si="2"/>
        <v>4708.6639999999998</v>
      </c>
      <c r="AE15" s="625">
        <f t="shared" si="2"/>
        <v>23115.748</v>
      </c>
      <c r="AF15" s="625">
        <f t="shared" si="2"/>
        <v>5412.576</v>
      </c>
      <c r="AG15" s="625">
        <f t="shared" si="2"/>
        <v>3747.5639999999999</v>
      </c>
      <c r="AH15" s="625">
        <f t="shared" si="2"/>
        <v>3174.326</v>
      </c>
      <c r="AI15" s="625">
        <f t="shared" si="2"/>
        <v>3853.471</v>
      </c>
      <c r="AJ15" s="625">
        <f t="shared" si="2"/>
        <v>3276.6880000000001</v>
      </c>
      <c r="AK15" s="625">
        <f t="shared" si="2"/>
        <v>2922.759</v>
      </c>
      <c r="AL15" s="625">
        <f t="shared" si="2"/>
        <v>46124.361000000004</v>
      </c>
      <c r="AM15" s="625">
        <f t="shared" si="2"/>
        <v>5738.3119999999999</v>
      </c>
      <c r="AN15" s="625">
        <f t="shared" si="2"/>
        <v>12026.431</v>
      </c>
      <c r="AO15" s="625">
        <f t="shared" si="2"/>
        <v>3748.2510000000002</v>
      </c>
      <c r="AP15" s="625">
        <f t="shared" si="2"/>
        <v>9026.4089999999997</v>
      </c>
      <c r="AQ15" s="625">
        <f t="shared" si="2"/>
        <v>5354.7740000000003</v>
      </c>
      <c r="AR15" s="625">
        <f t="shared" si="2"/>
        <v>10326.152000000002</v>
      </c>
      <c r="AS15" s="625">
        <f t="shared" si="2"/>
        <v>3423.1089999999999</v>
      </c>
      <c r="AT15" s="625">
        <f t="shared" si="2"/>
        <v>2910.1680000000001</v>
      </c>
      <c r="AU15" s="625">
        <f t="shared" si="2"/>
        <v>4710.6399999999994</v>
      </c>
      <c r="AV15" s="625">
        <f t="shared" si="2"/>
        <v>5711.9690000000001</v>
      </c>
      <c r="AW15" s="625">
        <f t="shared" si="2"/>
        <v>7207.7849999999999</v>
      </c>
      <c r="AX15" s="625">
        <f t="shared" si="2"/>
        <v>14360.366</v>
      </c>
      <c r="AY15" s="625">
        <f t="shared" si="2"/>
        <v>6640.4369999999999</v>
      </c>
      <c r="AZ15" s="625">
        <f t="shared" si="2"/>
        <v>5883.2190000000001</v>
      </c>
      <c r="BA15" s="625">
        <f t="shared" si="2"/>
        <v>5761.5990000000002</v>
      </c>
      <c r="BB15" s="625">
        <f t="shared" si="2"/>
        <v>4786.3330000000005</v>
      </c>
      <c r="BC15" s="625">
        <f t="shared" si="2"/>
        <v>6044.5029999999997</v>
      </c>
      <c r="BD15" s="625">
        <f t="shared" si="2"/>
        <v>975.60500000000002</v>
      </c>
      <c r="BE15" s="625">
        <f t="shared" si="2"/>
        <v>1173.269</v>
      </c>
      <c r="BF15" s="625">
        <f t="shared" ref="BF15" si="3">+BF10</f>
        <v>10422.161</v>
      </c>
    </row>
    <row r="16" spans="1:59" x14ac:dyDescent="0.2">
      <c r="A16" s="1817"/>
      <c r="B16" s="376" t="s">
        <v>1008</v>
      </c>
      <c r="C16" s="627">
        <f>+C13*C14/C15</f>
        <v>1.1777803515208926E-2</v>
      </c>
      <c r="D16" s="628">
        <f t="shared" ref="D16:BE16" si="4">+D13*D14/D15</f>
        <v>9.6783480259007154E-3</v>
      </c>
      <c r="E16" s="628">
        <f t="shared" si="4"/>
        <v>9.8958984608230969E-3</v>
      </c>
      <c r="F16" s="628">
        <f t="shared" si="4"/>
        <v>1.1225016042480629E-2</v>
      </c>
      <c r="G16" s="628">
        <f t="shared" si="4"/>
        <v>4.641566548002575E-2</v>
      </c>
      <c r="H16" s="628">
        <f t="shared" si="4"/>
        <v>4.1016550796858682E-2</v>
      </c>
      <c r="I16" s="628">
        <f t="shared" si="4"/>
        <v>1.897192685867944E-2</v>
      </c>
      <c r="J16" s="628">
        <f t="shared" si="4"/>
        <v>2.017804205604869E-2</v>
      </c>
      <c r="K16" s="628">
        <f t="shared" si="4"/>
        <v>7.628585912019494E-3</v>
      </c>
      <c r="L16" s="628">
        <f t="shared" si="4"/>
        <v>2.2016457536924345E-2</v>
      </c>
      <c r="M16" s="628">
        <f t="shared" si="4"/>
        <v>8.4071312323673927E-3</v>
      </c>
      <c r="N16" s="628">
        <f t="shared" si="4"/>
        <v>1.8580899606103606E-2</v>
      </c>
      <c r="O16" s="628">
        <f t="shared" si="4"/>
        <v>1.3895741855457524E-2</v>
      </c>
      <c r="P16" s="628">
        <f t="shared" si="4"/>
        <v>0.12363269736744252</v>
      </c>
      <c r="Q16" s="628">
        <f t="shared" si="4"/>
        <v>1.6962440018271067E-2</v>
      </c>
      <c r="R16" s="628">
        <f t="shared" si="4"/>
        <v>3.7330971504664096E-3</v>
      </c>
      <c r="S16" s="628">
        <f t="shared" si="4"/>
        <v>2.7390491116039938E-2</v>
      </c>
      <c r="T16" s="628">
        <f t="shared" si="4"/>
        <v>3.7388811487911552E-2</v>
      </c>
      <c r="U16" s="628">
        <f t="shared" si="4"/>
        <v>3.6283271208338154E-3</v>
      </c>
      <c r="V16" s="628">
        <f t="shared" si="4"/>
        <v>7.2187987476352205E-3</v>
      </c>
      <c r="W16" s="628">
        <f t="shared" si="4"/>
        <v>4.4279815281606662E-2</v>
      </c>
      <c r="X16" s="628">
        <f t="shared" si="4"/>
        <v>3.5557945535421659E-2</v>
      </c>
      <c r="Y16" s="628">
        <f t="shared" si="4"/>
        <v>2.1307114538548842E-3</v>
      </c>
      <c r="Z16" s="628">
        <f t="shared" si="4"/>
        <v>1.3284485329496996E-2</v>
      </c>
      <c r="AA16" s="628">
        <f t="shared" si="4"/>
        <v>2.8481390061933579E-2</v>
      </c>
      <c r="AB16" s="628">
        <f t="shared" si="4"/>
        <v>0</v>
      </c>
      <c r="AC16" s="628">
        <f t="shared" si="4"/>
        <v>1.433056585632202E-2</v>
      </c>
      <c r="AD16" s="628">
        <f t="shared" si="4"/>
        <v>7.7603905117399397E-2</v>
      </c>
      <c r="AE16" s="628">
        <f t="shared" si="4"/>
        <v>7.1947381375798758E-2</v>
      </c>
      <c r="AF16" s="627">
        <f t="shared" si="4"/>
        <v>1.7599978096865348E-2</v>
      </c>
      <c r="AG16" s="628">
        <f t="shared" si="4"/>
        <v>0</v>
      </c>
      <c r="AH16" s="628">
        <f t="shared" si="4"/>
        <v>6.930605111132253E-3</v>
      </c>
      <c r="AI16" s="628">
        <f t="shared" si="4"/>
        <v>5.279757151780453E-2</v>
      </c>
      <c r="AJ16" s="628">
        <f t="shared" si="4"/>
        <v>0</v>
      </c>
      <c r="AK16" s="628">
        <f t="shared" si="4"/>
        <v>0</v>
      </c>
      <c r="AL16" s="628">
        <f t="shared" si="4"/>
        <v>3.3982597251229849E-3</v>
      </c>
      <c r="AM16" s="628">
        <f t="shared" si="4"/>
        <v>3.8403755092172788E-2</v>
      </c>
      <c r="AN16" s="628">
        <f t="shared" si="4"/>
        <v>1.8120018672681391E-2</v>
      </c>
      <c r="AO16" s="628">
        <f t="shared" si="4"/>
        <v>1.6379067768635864E-2</v>
      </c>
      <c r="AP16" s="628">
        <f t="shared" si="4"/>
        <v>8.1862961386811924E-3</v>
      </c>
      <c r="AQ16" s="628">
        <f t="shared" si="4"/>
        <v>2.5954365563282764E-2</v>
      </c>
      <c r="AR16" s="628">
        <f t="shared" si="4"/>
        <v>0.12971382514996871</v>
      </c>
      <c r="AS16" s="628">
        <f t="shared" si="4"/>
        <v>2.6354488190205366E-3</v>
      </c>
      <c r="AT16" s="628">
        <f t="shared" si="4"/>
        <v>0</v>
      </c>
      <c r="AU16" s="628">
        <f t="shared" si="4"/>
        <v>2.8720442798996888E-2</v>
      </c>
      <c r="AV16" s="628">
        <f t="shared" si="4"/>
        <v>1.9367279479282889E-2</v>
      </c>
      <c r="AW16" s="628">
        <f t="shared" si="4"/>
        <v>2.2891914783806674E-3</v>
      </c>
      <c r="AX16" s="628">
        <f t="shared" si="4"/>
        <v>1.6388504983919265E-3</v>
      </c>
      <c r="AY16" s="628">
        <f t="shared" si="4"/>
        <v>4.7576470099927517E-3</v>
      </c>
      <c r="AZ16" s="628">
        <f t="shared" si="4"/>
        <v>2.4136142864257523E-2</v>
      </c>
      <c r="BA16" s="628">
        <f t="shared" si="4"/>
        <v>7.7521700552390469E-3</v>
      </c>
      <c r="BB16" s="628">
        <f t="shared" si="4"/>
        <v>6.9056258726670284E-3</v>
      </c>
      <c r="BC16" s="627">
        <f t="shared" si="4"/>
        <v>1.6957556311908524E-3</v>
      </c>
      <c r="BD16" s="628">
        <f t="shared" si="4"/>
        <v>1.3568503646455277E-2</v>
      </c>
      <c r="BE16" s="628">
        <f t="shared" si="4"/>
        <v>6.027116178326173E-2</v>
      </c>
      <c r="BF16" s="628">
        <f t="shared" ref="BF16" si="5">+BF13*BF14/BF15</f>
        <v>9.0476293736011185E-3</v>
      </c>
    </row>
    <row r="17" spans="1:58" x14ac:dyDescent="0.2">
      <c r="A17" s="764"/>
      <c r="B17" s="376"/>
      <c r="C17" s="627"/>
      <c r="D17" s="627"/>
      <c r="E17" s="627"/>
      <c r="F17" s="627"/>
      <c r="G17" s="627"/>
      <c r="H17" s="627"/>
      <c r="I17" s="627"/>
      <c r="J17" s="627"/>
      <c r="K17" s="627"/>
      <c r="L17" s="627"/>
      <c r="M17" s="627"/>
      <c r="N17" s="627"/>
      <c r="O17" s="627"/>
      <c r="P17" s="627"/>
      <c r="Q17" s="627"/>
      <c r="R17" s="627"/>
      <c r="S17" s="627"/>
      <c r="T17" s="627"/>
      <c r="U17" s="627"/>
      <c r="V17" s="627"/>
      <c r="W17" s="627"/>
      <c r="X17" s="627"/>
      <c r="Y17" s="627"/>
      <c r="Z17" s="627"/>
      <c r="AA17" s="627"/>
      <c r="AB17" s="627"/>
      <c r="AC17" s="627"/>
      <c r="AD17" s="627"/>
      <c r="AE17" s="627"/>
      <c r="AF17" s="627"/>
      <c r="AG17" s="627"/>
      <c r="AH17" s="627"/>
      <c r="AI17" s="627"/>
      <c r="AJ17" s="627"/>
      <c r="AK17" s="627"/>
      <c r="AL17" s="627"/>
      <c r="AM17" s="627"/>
      <c r="AN17" s="627"/>
      <c r="AO17" s="627"/>
      <c r="AP17" s="627"/>
      <c r="AQ17" s="627"/>
      <c r="AR17" s="627"/>
      <c r="AS17" s="627"/>
      <c r="AT17" s="627"/>
      <c r="AU17" s="627"/>
      <c r="AV17" s="627"/>
      <c r="AW17" s="627"/>
      <c r="AX17" s="627"/>
      <c r="AY17" s="627"/>
      <c r="AZ17" s="627"/>
      <c r="BA17" s="627"/>
      <c r="BB17" s="627"/>
      <c r="BC17" s="627"/>
      <c r="BD17" s="627"/>
      <c r="BE17" s="627"/>
      <c r="BF17" s="627"/>
    </row>
    <row r="18" spans="1:58" x14ac:dyDescent="0.2">
      <c r="A18" s="1815" t="s">
        <v>1009</v>
      </c>
      <c r="B18" s="376" t="s">
        <v>156</v>
      </c>
      <c r="C18" s="625">
        <f>+HLOOKUP(C4,'פירוט נכסי מים וביוב'!$1:$289,136,0)</f>
        <v>7756.8571428571431</v>
      </c>
      <c r="D18" s="625">
        <f>+HLOOKUP(D4,'פירוט נכסי מים וביוב'!$1:$289,136,0)</f>
        <v>9340.6939999999995</v>
      </c>
      <c r="E18" s="625">
        <f>+HLOOKUP(E4,'פירוט נכסי מים וביוב'!$1:$289,136,0)</f>
        <v>8002</v>
      </c>
      <c r="F18" s="625">
        <f>+HLOOKUP(F4,'פירוט נכסי מים וביוב'!$1:$289,136,0)</f>
        <v>184618.47169523811</v>
      </c>
      <c r="G18" s="625">
        <f>+HLOOKUP(G4,'פירוט נכסי מים וביוב'!$1:$289,136,0)</f>
        <v>12460.8</v>
      </c>
      <c r="H18" s="625">
        <f>+HLOOKUP(H4,'פירוט נכסי מים וביוב'!$1:$289,136,0)</f>
        <v>5440</v>
      </c>
      <c r="I18" s="625">
        <f>+HLOOKUP(I4,'פירוט נכסי מים וביוב'!$1:$289,136,0)</f>
        <v>8647.1</v>
      </c>
      <c r="J18" s="625">
        <f>+HLOOKUP(J4,'פירוט נכסי מים וביוב'!$1:$289,136,0)</f>
        <v>7195.957028571429</v>
      </c>
      <c r="K18" s="625">
        <f>+HLOOKUP(K4,'פירוט נכסי מים וביוב'!$1:$289,136,0)</f>
        <v>2212</v>
      </c>
      <c r="L18" s="625">
        <f>+HLOOKUP(L4,'פירוט נכסי מים וביוב'!$1:$289,136,0)</f>
        <v>24951.61285714286</v>
      </c>
      <c r="M18" s="625">
        <f>+HLOOKUP(M4,'פירוט נכסי מים וביוב'!$1:$289,136,0)</f>
        <v>18496.714285714286</v>
      </c>
      <c r="N18" s="625">
        <f>+HLOOKUP(N4,'פירוט נכסי מים וביוב'!$1:$289,136,0)</f>
        <v>13345.746999999999</v>
      </c>
      <c r="O18" s="625">
        <f>+HLOOKUP(O4,'פירוט נכסי מים וביוב'!$1:$289,136,0)</f>
        <v>4562.3717714285713</v>
      </c>
      <c r="P18" s="625">
        <f>+HLOOKUP(P4,'פירוט נכסי מים וביוב'!$1:$289,136,0)</f>
        <v>16234.6</v>
      </c>
      <c r="Q18" s="625">
        <f>+HLOOKUP(Q4,'פירוט נכסי מים וביוב'!$1:$289,136,0)</f>
        <v>29189.047619047618</v>
      </c>
      <c r="R18" s="625">
        <f>+HLOOKUP(R4,'פירוט נכסי מים וביוב'!$1:$289,136,0)</f>
        <v>1828.5714285714287</v>
      </c>
      <c r="S18" s="625">
        <f>+HLOOKUP(S4,'פירוט נכסי מים וביוב'!$1:$289,136,0)</f>
        <v>23569.370857142858</v>
      </c>
      <c r="T18" s="625">
        <f>+HLOOKUP(T4,'פירוט נכסי מים וביוב'!$1:$289,136,0)</f>
        <v>55163.685714285719</v>
      </c>
      <c r="U18" s="625">
        <f>+HLOOKUP(U4,'פירוט נכסי מים וביוב'!$1:$289,136,0)</f>
        <v>11327.085714285715</v>
      </c>
      <c r="V18" s="625">
        <f>+HLOOKUP(V4,'פירוט נכסי מים וביוב'!$1:$289,136,0)</f>
        <v>18464</v>
      </c>
      <c r="W18" s="625">
        <f>+HLOOKUP(W4,'פירוט נכסי מים וביוב'!$1:$289,136,0)</f>
        <v>10261.326999999999</v>
      </c>
      <c r="X18" s="625">
        <f>+HLOOKUP(X4,'פירוט נכסי מים וביוב'!$1:$289,136,0)</f>
        <v>5851.4285714285716</v>
      </c>
      <c r="Y18" s="625">
        <f>+HLOOKUP(Y4,'פירוט נכסי מים וביוב'!$1:$289,136,0)</f>
        <v>7038.857142857144</v>
      </c>
      <c r="Z18" s="625">
        <f>+HLOOKUP(Z4,'פירוט נכסי מים וביוב'!$1:$289,136,0)</f>
        <v>4398.5714285714284</v>
      </c>
      <c r="AA18" s="625">
        <f>+HLOOKUP(AA4,'פירוט נכסי מים וביוב'!$1:$289,136,0)</f>
        <v>26003.285714285717</v>
      </c>
      <c r="AB18" s="625">
        <f>+HLOOKUP(AB4,'פירוט נכסי מים וביוב'!$1:$289,136,0)</f>
        <v>7314.2857142857147</v>
      </c>
      <c r="AC18" s="625">
        <f>+HLOOKUP(AC4,'פירוט נכסי מים וביוב'!$1:$289,136,0)</f>
        <v>20803.809523809523</v>
      </c>
      <c r="AD18" s="625">
        <f>+HLOOKUP(AD4,'פירוט נכסי מים וביוב'!$1:$289,136,0)</f>
        <v>13733.285714285714</v>
      </c>
      <c r="AE18" s="625">
        <f>+HLOOKUP(AE4,'פירוט נכסי מים וביוב'!$1:$289,136,0)</f>
        <v>66518.023809523802</v>
      </c>
      <c r="AF18" s="625">
        <f>+HLOOKUP(AF4,'פירוט נכסי מים וביוב'!$1:$289,136,0)</f>
        <v>5880.1523809523806</v>
      </c>
      <c r="AG18" s="625">
        <f>+HLOOKUP(AG4,'פירוט נכסי מים וביוב'!$1:$289,136,0)</f>
        <v>7629.3363809523808</v>
      </c>
      <c r="AH18" s="625">
        <f>+HLOOKUP(AH4,'פירוט נכסי מים וביוב'!$1:$289,136,0)</f>
        <v>5100</v>
      </c>
      <c r="AI18" s="625">
        <f>+HLOOKUP(AI4,'פירוט נכסי מים וביוב'!$1:$289,136,0)</f>
        <v>8502.8571428571431</v>
      </c>
      <c r="AJ18" s="625">
        <f>+HLOOKUP(AJ4,'פירוט נכסי מים וביוב'!$1:$289,136,0)</f>
        <v>405.24848571428572</v>
      </c>
      <c r="AK18" s="625">
        <f>+HLOOKUP(AK4,'פירוט נכסי מים וביוב'!$1:$289,136,0)</f>
        <v>0</v>
      </c>
      <c r="AL18" s="625">
        <f>+HLOOKUP(AL4,'פירוט נכסי מים וביוב'!$1:$289,136,0)</f>
        <v>24791.870952380952</v>
      </c>
      <c r="AM18" s="625">
        <f>+HLOOKUP(AM4,'פירוט נכסי מים וביוב'!$1:$289,136,0)</f>
        <v>14661.380952380954</v>
      </c>
      <c r="AN18" s="625">
        <f>+HLOOKUP(AN4,'פירוט נכסי מים וביוב'!$1:$289,136,0)</f>
        <v>11108.571428571429</v>
      </c>
      <c r="AO18" s="625">
        <f>+HLOOKUP(AO4,'פירוט נכסי מים וביוב'!$1:$289,136,0)</f>
        <v>2910.4761904761904</v>
      </c>
      <c r="AP18" s="625">
        <f>+HLOOKUP(AP4,'פירוט נכסי מים וביוב'!$1:$289,136,0)</f>
        <v>6401</v>
      </c>
      <c r="AQ18" s="625">
        <f>+HLOOKUP(AQ4,'פירוט נכסי מים וביוב'!$1:$289,136,0)</f>
        <v>14734.714285714286</v>
      </c>
      <c r="AR18" s="625">
        <f>+HLOOKUP(AR4,'פירוט נכסי מים וביוב'!$1:$289,136,0)</f>
        <v>11900</v>
      </c>
      <c r="AS18" s="625">
        <f>+HLOOKUP(AS4,'פירוט נכסי מים וביוב'!$1:$289,136,0)</f>
        <v>4820.4761904761899</v>
      </c>
      <c r="AT18" s="625">
        <f>+HLOOKUP(AT4,'פירוט נכסי מים וביוב'!$1:$289,136,0)</f>
        <v>0</v>
      </c>
      <c r="AU18" s="625">
        <f>+HLOOKUP(AU4,'פירוט נכסי מים וביוב'!$1:$289,136,0)</f>
        <v>8642.4761904761908</v>
      </c>
      <c r="AV18" s="625">
        <f>+HLOOKUP(AV4,'פירוט נכסי מים וביוב'!$1:$289,136,0)</f>
        <v>10653</v>
      </c>
      <c r="AW18" s="625">
        <f>+HLOOKUP(AW4,'פירוט נכסי מים וביוב'!$1:$289,136,0)</f>
        <v>9436.6329999999998</v>
      </c>
      <c r="AX18" s="625">
        <f>+HLOOKUP(AX4,'פירוט נכסי מים וביוב'!$1:$289,136,0)</f>
        <v>8523.4047619047615</v>
      </c>
      <c r="AY18" s="625">
        <f>+HLOOKUP(AY4,'פירוט נכסי מים וביוב'!$1:$289,136,0)</f>
        <v>15726.576190476193</v>
      </c>
      <c r="AZ18" s="625">
        <f>+HLOOKUP(AZ4,'פירוט נכסי מים וביוב'!$1:$289,136,0)</f>
        <v>7302.1904761904761</v>
      </c>
      <c r="BA18" s="625">
        <f>+HLOOKUP(BA4,'פירוט נכסי מים וביוב'!$1:$289,136,0)</f>
        <v>11581.619047619048</v>
      </c>
      <c r="BB18" s="625">
        <f>+HLOOKUP(BB4,'פירוט נכסי מים וביוב'!$1:$289,136,0)</f>
        <v>2500</v>
      </c>
      <c r="BC18" s="625">
        <f>+HLOOKUP(BC4,'פירוט נכסי מים וביוב'!$1:$289,136,0)</f>
        <v>2120</v>
      </c>
      <c r="BD18" s="625">
        <f>+HLOOKUP(BD4,'פירוט נכסי מים וביוב'!$1:$289,136,0)</f>
        <v>0</v>
      </c>
      <c r="BE18" s="625">
        <f>+HLOOKUP(BE4,'פירוט נכסי מים וביוב'!$1:$289,136,0)</f>
        <v>4525.7142857142853</v>
      </c>
      <c r="BF18" s="625">
        <f>+HLOOKUP(BF4,'פירוט נכסי מים וביוב'!$1:$289,136,0)</f>
        <v>6163.95</v>
      </c>
    </row>
    <row r="19" spans="1:58" x14ac:dyDescent="0.2">
      <c r="A19" s="1816"/>
      <c r="B19" s="376" t="s">
        <v>1010</v>
      </c>
      <c r="C19" s="763">
        <v>7.4999999999999997E-3</v>
      </c>
      <c r="D19" s="763">
        <v>7.4999999999999997E-3</v>
      </c>
      <c r="E19" s="763">
        <v>7.4999999999999997E-3</v>
      </c>
      <c r="F19" s="763">
        <v>7.4999999999999997E-3</v>
      </c>
      <c r="G19" s="763">
        <v>7.4999999999999997E-3</v>
      </c>
      <c r="H19" s="763">
        <v>7.4999999999999997E-3</v>
      </c>
      <c r="I19" s="763">
        <v>7.4999999999999997E-3</v>
      </c>
      <c r="J19" s="763">
        <v>7.4999999999999997E-3</v>
      </c>
      <c r="K19" s="763">
        <v>7.4999999999999997E-3</v>
      </c>
      <c r="L19" s="763">
        <v>7.4999999999999997E-3</v>
      </c>
      <c r="M19" s="763">
        <v>7.4999999999999997E-3</v>
      </c>
      <c r="N19" s="763">
        <v>7.4999999999999997E-3</v>
      </c>
      <c r="O19" s="763">
        <v>7.4999999999999997E-3</v>
      </c>
      <c r="P19" s="763">
        <v>7.4999999999999997E-3</v>
      </c>
      <c r="Q19" s="763">
        <v>7.4999999999999997E-3</v>
      </c>
      <c r="R19" s="763">
        <v>7.4999999999999997E-3</v>
      </c>
      <c r="S19" s="763">
        <v>7.4999999999999997E-3</v>
      </c>
      <c r="T19" s="763">
        <v>7.4999999999999997E-3</v>
      </c>
      <c r="U19" s="763">
        <v>7.4999999999999997E-3</v>
      </c>
      <c r="V19" s="763">
        <v>7.4999999999999997E-3</v>
      </c>
      <c r="W19" s="763">
        <v>7.4999999999999997E-3</v>
      </c>
      <c r="X19" s="763">
        <v>7.4999999999999997E-3</v>
      </c>
      <c r="Y19" s="763">
        <v>7.4999999999999997E-3</v>
      </c>
      <c r="Z19" s="763">
        <v>7.4999999999999997E-3</v>
      </c>
      <c r="AA19" s="763">
        <v>7.4999999999999997E-3</v>
      </c>
      <c r="AB19" s="763">
        <v>7.4999999999999997E-3</v>
      </c>
      <c r="AC19" s="763">
        <v>7.4999999999999997E-3</v>
      </c>
      <c r="AD19" s="763">
        <v>7.4999999999999997E-3</v>
      </c>
      <c r="AE19" s="763">
        <v>7.4999999999999997E-3</v>
      </c>
      <c r="AF19" s="763">
        <v>7.4999999999999997E-3</v>
      </c>
      <c r="AG19" s="763">
        <v>7.4999999999999997E-3</v>
      </c>
      <c r="AH19" s="763">
        <v>7.4999999999999997E-3</v>
      </c>
      <c r="AI19" s="763">
        <v>7.4999999999999997E-3</v>
      </c>
      <c r="AJ19" s="763">
        <v>7.4999999999999997E-3</v>
      </c>
      <c r="AK19" s="763">
        <v>7.4999999999999997E-3</v>
      </c>
      <c r="AL19" s="763">
        <v>7.4999999999999997E-3</v>
      </c>
      <c r="AM19" s="763">
        <v>7.4999999999999997E-3</v>
      </c>
      <c r="AN19" s="763">
        <v>7.4999999999999997E-3</v>
      </c>
      <c r="AO19" s="763">
        <v>7.4999999999999997E-3</v>
      </c>
      <c r="AP19" s="763">
        <v>7.4999999999999997E-3</v>
      </c>
      <c r="AQ19" s="763">
        <v>7.4999999999999997E-3</v>
      </c>
      <c r="AR19" s="763">
        <v>7.4999999999999997E-3</v>
      </c>
      <c r="AS19" s="763">
        <v>7.4999999999999997E-3</v>
      </c>
      <c r="AT19" s="763">
        <v>7.4999999999999997E-3</v>
      </c>
      <c r="AU19" s="763">
        <v>7.4999999999999997E-3</v>
      </c>
      <c r="AV19" s="763">
        <v>7.4999999999999997E-3</v>
      </c>
      <c r="AW19" s="763">
        <v>7.4999999999999997E-3</v>
      </c>
      <c r="AX19" s="763">
        <v>7.4999999999999997E-3</v>
      </c>
      <c r="AY19" s="763">
        <v>7.4999999999999997E-3</v>
      </c>
      <c r="AZ19" s="763">
        <v>7.4999999999999997E-3</v>
      </c>
      <c r="BA19" s="763">
        <v>7.4999999999999997E-3</v>
      </c>
      <c r="BB19" s="763">
        <v>7.4999999999999997E-3</v>
      </c>
      <c r="BC19" s="763">
        <v>7.4999999999999997E-3</v>
      </c>
      <c r="BD19" s="763">
        <v>7.4999999999999997E-3</v>
      </c>
      <c r="BE19" s="763">
        <v>7.4999999999999997E-3</v>
      </c>
      <c r="BF19" s="763">
        <v>7.4999999999999997E-3</v>
      </c>
    </row>
    <row r="20" spans="1:58" x14ac:dyDescent="0.2">
      <c r="A20" s="1816"/>
      <c r="B20" s="376" t="s">
        <v>1007</v>
      </c>
      <c r="C20" s="625">
        <f>+C10</f>
        <v>10780.42</v>
      </c>
      <c r="D20" s="625">
        <f t="shared" ref="D20:BE20" si="6">+D10</f>
        <v>9340.4369999999999</v>
      </c>
      <c r="E20" s="625">
        <f t="shared" si="6"/>
        <v>4262.473</v>
      </c>
      <c r="F20" s="625">
        <f t="shared" si="6"/>
        <v>54306.558000000005</v>
      </c>
      <c r="G20" s="625">
        <f t="shared" si="6"/>
        <v>17049.447</v>
      </c>
      <c r="H20" s="625">
        <f t="shared" si="6"/>
        <v>2004.4870000000001</v>
      </c>
      <c r="I20" s="625">
        <f t="shared" si="6"/>
        <v>4334.6769999999997</v>
      </c>
      <c r="J20" s="625">
        <f t="shared" si="6"/>
        <v>7271.4120000000003</v>
      </c>
      <c r="K20" s="625">
        <f t="shared" si="6"/>
        <v>5391.3759999999993</v>
      </c>
      <c r="L20" s="625">
        <f t="shared" si="6"/>
        <v>9928.9809999999998</v>
      </c>
      <c r="M20" s="625">
        <f t="shared" si="6"/>
        <v>16724.746999999999</v>
      </c>
      <c r="N20" s="625">
        <f t="shared" si="6"/>
        <v>9228.0609999999997</v>
      </c>
      <c r="O20" s="625">
        <f t="shared" si="6"/>
        <v>5681.5389999999998</v>
      </c>
      <c r="P20" s="625">
        <f t="shared" si="6"/>
        <v>4715.7889999999998</v>
      </c>
      <c r="Q20" s="625">
        <f t="shared" si="6"/>
        <v>20929.161</v>
      </c>
      <c r="R20" s="625">
        <f t="shared" si="6"/>
        <v>18659.955999999998</v>
      </c>
      <c r="S20" s="625">
        <f t="shared" si="6"/>
        <v>19665.205999999998</v>
      </c>
      <c r="T20" s="625">
        <f t="shared" si="6"/>
        <v>19849.735000000001</v>
      </c>
      <c r="U20" s="625">
        <f t="shared" si="6"/>
        <v>11081.690999999999</v>
      </c>
      <c r="V20" s="625">
        <f t="shared" si="6"/>
        <v>8586.9550000000017</v>
      </c>
      <c r="W20" s="625">
        <f t="shared" si="6"/>
        <v>8741.3060000000005</v>
      </c>
      <c r="X20" s="625">
        <f t="shared" si="6"/>
        <v>6495.7709999999997</v>
      </c>
      <c r="Y20" s="625">
        <f t="shared" si="6"/>
        <v>3201.0769999999998</v>
      </c>
      <c r="Z20" s="625">
        <f t="shared" si="6"/>
        <v>3917.029</v>
      </c>
      <c r="AA20" s="625">
        <f t="shared" si="6"/>
        <v>6640.0940000000001</v>
      </c>
      <c r="AB20" s="625">
        <f t="shared" si="6"/>
        <v>6789.9260000000004</v>
      </c>
      <c r="AC20" s="625">
        <f t="shared" si="6"/>
        <v>10469.824999999999</v>
      </c>
      <c r="AD20" s="625">
        <f t="shared" si="6"/>
        <v>4708.6639999999998</v>
      </c>
      <c r="AE20" s="625">
        <f t="shared" si="6"/>
        <v>23115.748</v>
      </c>
      <c r="AF20" s="625">
        <f t="shared" si="6"/>
        <v>5412.576</v>
      </c>
      <c r="AG20" s="625">
        <f t="shared" si="6"/>
        <v>3747.5639999999999</v>
      </c>
      <c r="AH20" s="625">
        <f t="shared" si="6"/>
        <v>3174.326</v>
      </c>
      <c r="AI20" s="625">
        <f t="shared" si="6"/>
        <v>3853.471</v>
      </c>
      <c r="AJ20" s="625">
        <f t="shared" si="6"/>
        <v>3276.6880000000001</v>
      </c>
      <c r="AK20" s="625">
        <f t="shared" si="6"/>
        <v>2922.759</v>
      </c>
      <c r="AL20" s="625">
        <f t="shared" si="6"/>
        <v>46124.361000000004</v>
      </c>
      <c r="AM20" s="625">
        <f t="shared" si="6"/>
        <v>5738.3119999999999</v>
      </c>
      <c r="AN20" s="625">
        <f t="shared" si="6"/>
        <v>12026.431</v>
      </c>
      <c r="AO20" s="625">
        <f t="shared" si="6"/>
        <v>3748.2510000000002</v>
      </c>
      <c r="AP20" s="625">
        <f t="shared" si="6"/>
        <v>9026.4089999999997</v>
      </c>
      <c r="AQ20" s="625">
        <f t="shared" si="6"/>
        <v>5354.7740000000003</v>
      </c>
      <c r="AR20" s="625">
        <f t="shared" si="6"/>
        <v>10326.152000000002</v>
      </c>
      <c r="AS20" s="625">
        <f t="shared" si="6"/>
        <v>3423.1089999999999</v>
      </c>
      <c r="AT20" s="625">
        <f t="shared" si="6"/>
        <v>2910.1680000000001</v>
      </c>
      <c r="AU20" s="625">
        <f t="shared" si="6"/>
        <v>4710.6399999999994</v>
      </c>
      <c r="AV20" s="625">
        <f t="shared" si="6"/>
        <v>5711.9690000000001</v>
      </c>
      <c r="AW20" s="625">
        <f t="shared" si="6"/>
        <v>7207.7849999999999</v>
      </c>
      <c r="AX20" s="625">
        <f t="shared" si="6"/>
        <v>14360.366</v>
      </c>
      <c r="AY20" s="625">
        <f t="shared" si="6"/>
        <v>6640.4369999999999</v>
      </c>
      <c r="AZ20" s="625">
        <f t="shared" si="6"/>
        <v>5883.2190000000001</v>
      </c>
      <c r="BA20" s="625">
        <f t="shared" si="6"/>
        <v>5761.5990000000002</v>
      </c>
      <c r="BB20" s="625">
        <f t="shared" si="6"/>
        <v>4786.3330000000005</v>
      </c>
      <c r="BC20" s="625">
        <f t="shared" si="6"/>
        <v>6044.5029999999997</v>
      </c>
      <c r="BD20" s="625">
        <f t="shared" si="6"/>
        <v>975.60500000000002</v>
      </c>
      <c r="BE20" s="625">
        <f t="shared" si="6"/>
        <v>1173.269</v>
      </c>
      <c r="BF20" s="625">
        <f t="shared" ref="BF20" si="7">+BF10</f>
        <v>10422.161</v>
      </c>
    </row>
    <row r="21" spans="1:58" x14ac:dyDescent="0.2">
      <c r="A21" s="1817"/>
      <c r="B21" s="376" t="s">
        <v>1011</v>
      </c>
      <c r="C21" s="627">
        <f>+C18*C19/C20</f>
        <v>5.3964899856803888E-3</v>
      </c>
      <c r="D21" s="628">
        <f t="shared" ref="D21:BE21" si="8">+D18*D19/D20</f>
        <v>7.5002063607944669E-3</v>
      </c>
      <c r="E21" s="628">
        <f t="shared" si="8"/>
        <v>1.4079854582070081E-2</v>
      </c>
      <c r="F21" s="628">
        <f t="shared" si="8"/>
        <v>2.5496709581820407E-2</v>
      </c>
      <c r="G21" s="628">
        <f t="shared" si="8"/>
        <v>5.4814681086137271E-3</v>
      </c>
      <c r="H21" s="628">
        <f t="shared" si="8"/>
        <v>2.0354335049316854E-2</v>
      </c>
      <c r="I21" s="628">
        <f t="shared" si="8"/>
        <v>1.4961495400926068E-2</v>
      </c>
      <c r="J21" s="628">
        <f t="shared" si="8"/>
        <v>7.4221729856987495E-3</v>
      </c>
      <c r="K21" s="628">
        <f t="shared" si="8"/>
        <v>3.0771365232178209E-3</v>
      </c>
      <c r="L21" s="628">
        <f t="shared" si="8"/>
        <v>1.8847563151603519E-2</v>
      </c>
      <c r="M21" s="628">
        <f t="shared" si="8"/>
        <v>8.2946161842004044E-3</v>
      </c>
      <c r="N21" s="628">
        <f t="shared" si="8"/>
        <v>1.0846601740062186E-2</v>
      </c>
      <c r="O21" s="628">
        <f t="shared" si="8"/>
        <v>6.0226266660695785E-3</v>
      </c>
      <c r="P21" s="628">
        <f t="shared" si="8"/>
        <v>2.5819539423837669E-2</v>
      </c>
      <c r="Q21" s="628">
        <f t="shared" si="8"/>
        <v>1.0459944244437563E-2</v>
      </c>
      <c r="R21" s="628">
        <f t="shared" si="8"/>
        <v>7.3495809498616809E-4</v>
      </c>
      <c r="S21" s="628">
        <f t="shared" si="8"/>
        <v>8.9889870174038062E-3</v>
      </c>
      <c r="T21" s="628">
        <f t="shared" si="8"/>
        <v>2.0842980667356157E-2</v>
      </c>
      <c r="U21" s="628">
        <f t="shared" si="8"/>
        <v>7.6660811835615045E-3</v>
      </c>
      <c r="V21" s="628">
        <f t="shared" si="8"/>
        <v>1.6126787668038316E-2</v>
      </c>
      <c r="W21" s="628">
        <f t="shared" si="8"/>
        <v>8.8041709671300809E-3</v>
      </c>
      <c r="X21" s="628">
        <f t="shared" si="8"/>
        <v>6.7560439377734047E-3</v>
      </c>
      <c r="Y21" s="628">
        <f t="shared" si="8"/>
        <v>1.6491770916922204E-2</v>
      </c>
      <c r="Z21" s="628">
        <f t="shared" si="8"/>
        <v>8.4220172263942163E-3</v>
      </c>
      <c r="AA21" s="628">
        <f t="shared" si="8"/>
        <v>2.937076536222874E-2</v>
      </c>
      <c r="AB21" s="628">
        <f t="shared" si="8"/>
        <v>8.0791959819801959E-3</v>
      </c>
      <c r="AC21" s="628">
        <f t="shared" si="8"/>
        <v>1.4902691442175148E-2</v>
      </c>
      <c r="AD21" s="628">
        <f t="shared" si="8"/>
        <v>2.1874494093684079E-2</v>
      </c>
      <c r="AE21" s="628">
        <f t="shared" si="8"/>
        <v>2.1582047813093846E-2</v>
      </c>
      <c r="AF21" s="628">
        <f t="shared" si="8"/>
        <v>8.1479027467037599E-3</v>
      </c>
      <c r="AG21" s="628">
        <f t="shared" si="8"/>
        <v>1.5268591238773468E-2</v>
      </c>
      <c r="AH21" s="628">
        <f t="shared" si="8"/>
        <v>1.2049802068218577E-2</v>
      </c>
      <c r="AI21" s="628">
        <f t="shared" si="8"/>
        <v>1.6549087451658149E-2</v>
      </c>
      <c r="AJ21" s="628">
        <f t="shared" si="8"/>
        <v>9.2757187832870965E-4</v>
      </c>
      <c r="AK21" s="628">
        <f t="shared" si="8"/>
        <v>0</v>
      </c>
      <c r="AL21" s="628">
        <f t="shared" si="8"/>
        <v>4.0312543764640368E-3</v>
      </c>
      <c r="AM21" s="628">
        <f t="shared" si="8"/>
        <v>1.9162491886613547E-2</v>
      </c>
      <c r="AN21" s="628">
        <f t="shared" si="8"/>
        <v>6.9275985297953908E-3</v>
      </c>
      <c r="AO21" s="628">
        <f t="shared" si="8"/>
        <v>5.8236685399594172E-3</v>
      </c>
      <c r="AP21" s="628">
        <f t="shared" si="8"/>
        <v>5.318560238074743E-3</v>
      </c>
      <c r="AQ21" s="628">
        <f t="shared" si="8"/>
        <v>2.0637725727146866E-2</v>
      </c>
      <c r="AR21" s="628">
        <f t="shared" si="8"/>
        <v>8.6431034522830956E-3</v>
      </c>
      <c r="AS21" s="628">
        <f t="shared" si="8"/>
        <v>1.0561618525314684E-2</v>
      </c>
      <c r="AT21" s="628">
        <f t="shared" si="8"/>
        <v>0</v>
      </c>
      <c r="AU21" s="628">
        <f t="shared" si="8"/>
        <v>1.3760035033152913E-2</v>
      </c>
      <c r="AV21" s="628">
        <f t="shared" si="8"/>
        <v>1.3987733476844849E-2</v>
      </c>
      <c r="AW21" s="628">
        <f t="shared" si="8"/>
        <v>9.8192090219117231E-3</v>
      </c>
      <c r="AX21" s="628">
        <f t="shared" si="8"/>
        <v>4.4515255192162729E-3</v>
      </c>
      <c r="AY21" s="628">
        <f t="shared" si="8"/>
        <v>1.7762283028748174E-2</v>
      </c>
      <c r="AZ21" s="628">
        <f t="shared" si="8"/>
        <v>9.3089223045119632E-3</v>
      </c>
      <c r="BA21" s="628">
        <f t="shared" si="8"/>
        <v>1.5076047961189741E-2</v>
      </c>
      <c r="BB21" s="628">
        <f t="shared" si="8"/>
        <v>3.9174039917406495E-3</v>
      </c>
      <c r="BC21" s="627">
        <f t="shared" si="8"/>
        <v>2.6304892230180048E-3</v>
      </c>
      <c r="BD21" s="628">
        <f t="shared" si="8"/>
        <v>0</v>
      </c>
      <c r="BE21" s="628">
        <f t="shared" si="8"/>
        <v>2.8930157655965627E-2</v>
      </c>
      <c r="BF21" s="628">
        <f t="shared" ref="BF21" si="9">+BF18*BF19/BF20</f>
        <v>4.4357043611205011E-3</v>
      </c>
    </row>
    <row r="22" spans="1:58" x14ac:dyDescent="0.2">
      <c r="A22" s="765"/>
      <c r="B22" s="376"/>
      <c r="C22" s="625"/>
      <c r="D22" s="625"/>
      <c r="E22" s="625"/>
      <c r="F22" s="625"/>
      <c r="G22" s="625"/>
      <c r="H22" s="625"/>
      <c r="I22" s="625"/>
      <c r="J22" s="625"/>
      <c r="K22" s="625"/>
      <c r="L22" s="625"/>
      <c r="M22" s="625"/>
      <c r="N22" s="625"/>
      <c r="O22" s="625"/>
      <c r="P22" s="625"/>
      <c r="Q22" s="625"/>
      <c r="R22" s="625"/>
      <c r="S22" s="625"/>
      <c r="T22" s="625"/>
      <c r="U22" s="625"/>
      <c r="V22" s="625"/>
      <c r="W22" s="625"/>
      <c r="X22" s="625"/>
      <c r="Y22" s="625"/>
      <c r="Z22" s="625"/>
      <c r="AA22" s="625"/>
      <c r="AB22" s="625"/>
      <c r="AC22" s="625"/>
      <c r="AD22" s="625"/>
      <c r="AE22" s="625"/>
      <c r="AF22" s="625"/>
      <c r="AG22" s="625"/>
      <c r="AH22" s="625"/>
      <c r="AI22" s="625"/>
      <c r="AJ22" s="625"/>
      <c r="AK22" s="625"/>
      <c r="AL22" s="625"/>
      <c r="AM22" s="625"/>
      <c r="AN22" s="625"/>
      <c r="AO22" s="625"/>
      <c r="AP22" s="625"/>
      <c r="AQ22" s="625"/>
      <c r="AR22" s="625"/>
      <c r="AS22" s="625"/>
      <c r="AT22" s="625"/>
      <c r="AU22" s="625"/>
      <c r="AV22" s="625"/>
      <c r="AW22" s="625"/>
      <c r="AX22" s="625"/>
      <c r="AY22" s="625"/>
      <c r="AZ22" s="625"/>
      <c r="BA22" s="625"/>
      <c r="BB22" s="625"/>
      <c r="BC22" s="625"/>
      <c r="BD22" s="625"/>
      <c r="BE22" s="625"/>
      <c r="BF22" s="625"/>
    </row>
    <row r="23" spans="1:58" x14ac:dyDescent="0.2">
      <c r="A23" s="1815" t="s">
        <v>1012</v>
      </c>
      <c r="B23" s="376" t="s">
        <v>1007</v>
      </c>
      <c r="C23" s="625">
        <f>+C10</f>
        <v>10780.42</v>
      </c>
      <c r="D23" s="625">
        <f t="shared" ref="D23:BE23" si="10">+D10</f>
        <v>9340.4369999999999</v>
      </c>
      <c r="E23" s="625">
        <f t="shared" si="10"/>
        <v>4262.473</v>
      </c>
      <c r="F23" s="625">
        <f t="shared" si="10"/>
        <v>54306.558000000005</v>
      </c>
      <c r="G23" s="625">
        <f t="shared" si="10"/>
        <v>17049.447</v>
      </c>
      <c r="H23" s="625">
        <f t="shared" si="10"/>
        <v>2004.4870000000001</v>
      </c>
      <c r="I23" s="625">
        <f t="shared" si="10"/>
        <v>4334.6769999999997</v>
      </c>
      <c r="J23" s="625">
        <f t="shared" si="10"/>
        <v>7271.4120000000003</v>
      </c>
      <c r="K23" s="625">
        <f t="shared" si="10"/>
        <v>5391.3759999999993</v>
      </c>
      <c r="L23" s="625">
        <f t="shared" si="10"/>
        <v>9928.9809999999998</v>
      </c>
      <c r="M23" s="625">
        <f t="shared" si="10"/>
        <v>16724.746999999999</v>
      </c>
      <c r="N23" s="625">
        <f t="shared" si="10"/>
        <v>9228.0609999999997</v>
      </c>
      <c r="O23" s="625">
        <f t="shared" si="10"/>
        <v>5681.5389999999998</v>
      </c>
      <c r="P23" s="625">
        <f t="shared" si="10"/>
        <v>4715.7889999999998</v>
      </c>
      <c r="Q23" s="625">
        <f t="shared" si="10"/>
        <v>20929.161</v>
      </c>
      <c r="R23" s="625">
        <f t="shared" si="10"/>
        <v>18659.955999999998</v>
      </c>
      <c r="S23" s="625">
        <f t="shared" si="10"/>
        <v>19665.205999999998</v>
      </c>
      <c r="T23" s="625">
        <f t="shared" si="10"/>
        <v>19849.735000000001</v>
      </c>
      <c r="U23" s="625">
        <f t="shared" si="10"/>
        <v>11081.690999999999</v>
      </c>
      <c r="V23" s="625">
        <f t="shared" si="10"/>
        <v>8586.9550000000017</v>
      </c>
      <c r="W23" s="625">
        <f t="shared" si="10"/>
        <v>8741.3060000000005</v>
      </c>
      <c r="X23" s="625">
        <f t="shared" si="10"/>
        <v>6495.7709999999997</v>
      </c>
      <c r="Y23" s="625">
        <f t="shared" si="10"/>
        <v>3201.0769999999998</v>
      </c>
      <c r="Z23" s="625">
        <f t="shared" si="10"/>
        <v>3917.029</v>
      </c>
      <c r="AA23" s="625">
        <f t="shared" si="10"/>
        <v>6640.0940000000001</v>
      </c>
      <c r="AB23" s="625">
        <f t="shared" si="10"/>
        <v>6789.9260000000004</v>
      </c>
      <c r="AC23" s="625">
        <f t="shared" si="10"/>
        <v>10469.824999999999</v>
      </c>
      <c r="AD23" s="625">
        <f t="shared" si="10"/>
        <v>4708.6639999999998</v>
      </c>
      <c r="AE23" s="625">
        <f t="shared" si="10"/>
        <v>23115.748</v>
      </c>
      <c r="AF23" s="625">
        <f t="shared" si="10"/>
        <v>5412.576</v>
      </c>
      <c r="AG23" s="625">
        <f t="shared" si="10"/>
        <v>3747.5639999999999</v>
      </c>
      <c r="AH23" s="625">
        <f t="shared" si="10"/>
        <v>3174.326</v>
      </c>
      <c r="AI23" s="625">
        <f t="shared" si="10"/>
        <v>3853.471</v>
      </c>
      <c r="AJ23" s="625">
        <f t="shared" si="10"/>
        <v>3276.6880000000001</v>
      </c>
      <c r="AK23" s="625">
        <f t="shared" si="10"/>
        <v>2922.759</v>
      </c>
      <c r="AL23" s="625">
        <f t="shared" si="10"/>
        <v>46124.361000000004</v>
      </c>
      <c r="AM23" s="625">
        <f t="shared" si="10"/>
        <v>5738.3119999999999</v>
      </c>
      <c r="AN23" s="625">
        <f t="shared" si="10"/>
        <v>12026.431</v>
      </c>
      <c r="AO23" s="625">
        <f t="shared" si="10"/>
        <v>3748.2510000000002</v>
      </c>
      <c r="AP23" s="625">
        <f t="shared" si="10"/>
        <v>9026.4089999999997</v>
      </c>
      <c r="AQ23" s="625">
        <f t="shared" si="10"/>
        <v>5354.7740000000003</v>
      </c>
      <c r="AR23" s="625">
        <f t="shared" si="10"/>
        <v>10326.152000000002</v>
      </c>
      <c r="AS23" s="625">
        <f t="shared" si="10"/>
        <v>3423.1089999999999</v>
      </c>
      <c r="AT23" s="625">
        <f t="shared" si="10"/>
        <v>2910.1680000000001</v>
      </c>
      <c r="AU23" s="625">
        <f t="shared" si="10"/>
        <v>4710.6399999999994</v>
      </c>
      <c r="AV23" s="625">
        <f t="shared" si="10"/>
        <v>5711.9690000000001</v>
      </c>
      <c r="AW23" s="625">
        <f t="shared" si="10"/>
        <v>7207.7849999999999</v>
      </c>
      <c r="AX23" s="625">
        <f t="shared" si="10"/>
        <v>14360.366</v>
      </c>
      <c r="AY23" s="625">
        <f t="shared" si="10"/>
        <v>6640.4369999999999</v>
      </c>
      <c r="AZ23" s="625">
        <f t="shared" si="10"/>
        <v>5883.2190000000001</v>
      </c>
      <c r="BA23" s="625">
        <f t="shared" si="10"/>
        <v>5761.5990000000002</v>
      </c>
      <c r="BB23" s="625">
        <f t="shared" si="10"/>
        <v>4786.3330000000005</v>
      </c>
      <c r="BC23" s="625">
        <f t="shared" si="10"/>
        <v>6044.5029999999997</v>
      </c>
      <c r="BD23" s="625">
        <f t="shared" si="10"/>
        <v>975.60500000000002</v>
      </c>
      <c r="BE23" s="625">
        <f t="shared" si="10"/>
        <v>1173.269</v>
      </c>
      <c r="BF23" s="625">
        <f t="shared" ref="BF23" si="11">+BF10</f>
        <v>10422.161</v>
      </c>
    </row>
    <row r="24" spans="1:58" x14ac:dyDescent="0.2">
      <c r="A24" s="1816"/>
      <c r="B24" s="376" t="s">
        <v>1013</v>
      </c>
      <c r="C24" s="625">
        <f>+VLOOKUP(C4,'כמויות מים 2014'!$C$6:$W$215,21,0)</f>
        <v>41656</v>
      </c>
      <c r="D24" s="625">
        <f>+VLOOKUP(D4,'כמויות מים 2014'!$C$6:$W$215,21,0)</f>
        <v>28199</v>
      </c>
      <c r="E24" s="625">
        <f>+VLOOKUP(E4,'כמויות מים 2014'!$C$6:$W$215,21,0)</f>
        <v>17216</v>
      </c>
      <c r="F24" s="625">
        <f>+VLOOKUP(F4,'כמויות מים 2014'!$C$6:$W$215,21,0)</f>
        <v>209606</v>
      </c>
      <c r="G24" s="625">
        <f>+VLOOKUP(G4,'כמויות מים 2014'!$C$6:$W$215,21,0)</f>
        <v>70755</v>
      </c>
      <c r="H24" s="625">
        <f>+VLOOKUP(H4,'כמויות מים 2014'!$C$6:$W$215,21,0)</f>
        <v>7487</v>
      </c>
      <c r="I24" s="625">
        <f>+VLOOKUP(I4,'כמויות מים 2014'!$C$6:$W$215,21,0)</f>
        <v>16237</v>
      </c>
      <c r="J24" s="625">
        <f>+VLOOKUP(J4,'כמויות מים 2014'!$C$6:$W$215,21,0)</f>
        <v>31796</v>
      </c>
      <c r="K24" s="625">
        <f>+VLOOKUP(K4,'כמויות מים 2014'!$C$6:$W$215,21,0)</f>
        <v>22996</v>
      </c>
      <c r="L24" s="625">
        <f>+VLOOKUP(L4,'כמויות מים 2014'!$C$6:$W$215,21,0)</f>
        <v>44095</v>
      </c>
      <c r="M24" s="625">
        <f>+VLOOKUP(M4,'כמויות מים 2014'!$C$6:$W$215,21,0)</f>
        <v>76012</v>
      </c>
      <c r="N24" s="625">
        <f>+VLOOKUP(N4,'כמויות מים 2014'!$C$6:$W$215,21,0)</f>
        <v>28522</v>
      </c>
      <c r="O24" s="625">
        <f>+VLOOKUP(O4,'כמויות מים 2014'!$C$6:$W$215,21,0)</f>
        <v>21292</v>
      </c>
      <c r="P24" s="625">
        <f>+VLOOKUP(P4,'כמויות מים 2014'!$C$6:$W$215,21,0)</f>
        <v>17904</v>
      </c>
      <c r="Q24" s="625">
        <f>+VLOOKUP(Q4,'כמויות מים 2014'!$C$6:$W$215,21,0)</f>
        <v>88844</v>
      </c>
      <c r="R24" s="625">
        <f>+VLOOKUP(R4,'כמויות מים 2014'!$C$6:$W$215,21,0)</f>
        <v>91010</v>
      </c>
      <c r="S24" s="625">
        <f>+VLOOKUP(S4,'כמויות מים 2014'!$C$6:$W$215,21,0)</f>
        <v>106159</v>
      </c>
      <c r="T24" s="625">
        <f>+VLOOKUP(T4,'כמויות מים 2014'!$C$6:$W$215,21,0)</f>
        <v>79672</v>
      </c>
      <c r="U24" s="625">
        <f>+VLOOKUP(U4,'כמויות מים 2014'!$C$6:$W$215,21,0)</f>
        <v>21143</v>
      </c>
      <c r="V24" s="625">
        <f>+VLOOKUP(V4,'כמויות מים 2014'!$C$6:$W$215,21,0)</f>
        <v>32883</v>
      </c>
      <c r="W24" s="625">
        <f>+VLOOKUP(W4,'כמויות מים 2014'!$C$6:$W$215,21,0)</f>
        <v>38082.666666666664</v>
      </c>
      <c r="X24" s="625">
        <f>+VLOOKUP(X4,'כמויות מים 2014'!$C$6:$W$215,21,0)</f>
        <v>24228</v>
      </c>
      <c r="Y24" s="625">
        <f>+VLOOKUP(Y4,'כמויות מים 2014'!$C$6:$W$215,21,0)</f>
        <v>12565</v>
      </c>
      <c r="Z24" s="625">
        <f>+VLOOKUP(Z4,'כמויות מים 2014'!$C$6:$W$215,21,0)</f>
        <v>20785</v>
      </c>
      <c r="AA24" s="625">
        <f>+VLOOKUP(AA4,'כמויות מים 2014'!$C$6:$W$215,21,0)</f>
        <v>25070</v>
      </c>
      <c r="AB24" s="625">
        <f>+VLOOKUP(AB4,'כמויות מים 2014'!$C$6:$W$215,21,0)</f>
        <v>18084</v>
      </c>
      <c r="AC24" s="625">
        <f>+VLOOKUP(AC4,'כמויות מים 2014'!$C$6:$W$215,21,0)</f>
        <v>37850</v>
      </c>
      <c r="AD24" s="625">
        <f>+VLOOKUP(AD4,'כמויות מים 2014'!$C$6:$W$215,21,0)</f>
        <v>16385</v>
      </c>
      <c r="AE24" s="625">
        <f>+VLOOKUP(AE4,'כמויות מים 2014'!$C$6:$W$215,21,0)</f>
        <v>109807</v>
      </c>
      <c r="AF24" s="625">
        <f>+VLOOKUP(AF4,'כמויות מים 2014'!$C$6:$W$215,21,0)</f>
        <v>19285</v>
      </c>
      <c r="AG24" s="625">
        <f>+VLOOKUP(AG4,'כמויות מים 2014'!$C$6:$W$215,21,0)</f>
        <v>17455</v>
      </c>
      <c r="AH24" s="625">
        <f>+VLOOKUP(AH4,'כמויות מים 2014'!$C$6:$W$215,21,0)</f>
        <v>6812</v>
      </c>
      <c r="AI24" s="625">
        <f>+VLOOKUP(AI4,'כמויות מים 2014'!$C$6:$W$215,21,0)</f>
        <v>12387</v>
      </c>
      <c r="AJ24" s="625">
        <f>+VLOOKUP(AJ4,'כמויות מים 2014'!$C$6:$W$215,21,0)</f>
        <v>19301</v>
      </c>
      <c r="AK24" s="625">
        <f>+VLOOKUP(AK4,'כמויות מים 2014'!$C$6:$W$215,21,0)</f>
        <v>18534</v>
      </c>
      <c r="AL24" s="625">
        <f>+VLOOKUP(AL4,'כמויות מים 2014'!$C$6:$W$215,21,0)</f>
        <v>220000</v>
      </c>
      <c r="AM24" s="625">
        <f>+VLOOKUP(AM4,'כמויות מים 2014'!$C$6:$W$215,21,0)</f>
        <v>18895</v>
      </c>
      <c r="AN24" s="625">
        <f>+VLOOKUP(AN4,'כמויות מים 2014'!$C$6:$W$215,21,0)</f>
        <v>68934</v>
      </c>
      <c r="AO24" s="625">
        <f>+VLOOKUP(AO4,'כמויות מים 2014'!$C$6:$W$215,21,0)</f>
        <v>25251</v>
      </c>
      <c r="AP24" s="625">
        <f>+VLOOKUP(AP4,'כמויות מים 2014'!$C$6:$W$215,21,0)</f>
        <v>53449</v>
      </c>
      <c r="AQ24" s="625">
        <f>+VLOOKUP(AQ4,'כמויות מים 2014'!$C$6:$W$215,21,0)</f>
        <v>22766.333333333336</v>
      </c>
      <c r="AR24" s="625">
        <f>+VLOOKUP(AR4,'כמויות מים 2014'!$C$6:$W$215,21,0)</f>
        <v>34321</v>
      </c>
      <c r="AS24" s="625">
        <f>+VLOOKUP(AS4,'כמויות מים 2014'!$C$6:$W$215,21,0)</f>
        <v>16963</v>
      </c>
      <c r="AT24" s="625">
        <f>+VLOOKUP(AT4,'כמויות מים 2014'!$C$6:$W$215,21,0)</f>
        <v>16196</v>
      </c>
      <c r="AU24" s="625">
        <f>+VLOOKUP(AU4,'כמויות מים 2014'!$C$6:$W$215,21,0)</f>
        <v>17371</v>
      </c>
      <c r="AV24" s="625">
        <f>+VLOOKUP(AV4,'כמויות מים 2014'!$C$6:$W$215,21,0)</f>
        <v>18667</v>
      </c>
      <c r="AW24" s="625">
        <f>+VLOOKUP(AW4,'כמויות מים 2014'!$C$6:$W$215,21,0)</f>
        <v>23445</v>
      </c>
      <c r="AX24" s="625">
        <f>+VLOOKUP(AX4,'כמויות מים 2014'!$C$6:$W$215,21,0)</f>
        <v>55552</v>
      </c>
      <c r="AY24" s="625">
        <f>+VLOOKUP(AY4,'כמויות מים 2014'!$C$6:$W$215,21,0)</f>
        <v>28656</v>
      </c>
      <c r="AZ24" s="625">
        <f>+VLOOKUP(AZ4,'כמויות מים 2014'!$C$6:$W$215,21,0)+'נתוני מים 2014'!D165/3</f>
        <v>22430.666666666668</v>
      </c>
      <c r="BA24" s="625">
        <f>+VLOOKUP(BA4,'כמויות מים 2014'!$C$6:$W$215,21,0)</f>
        <v>21167</v>
      </c>
      <c r="BB24" s="625">
        <f>+VLOOKUP(BB4,'כמויות מים 2014'!$C$6:$W$215,21,0)</f>
        <v>12817</v>
      </c>
      <c r="BC24" s="625">
        <f>+VLOOKUP(BC4,'כמויות מים 2014'!$C$6:$W$215,21,0)</f>
        <v>9308</v>
      </c>
      <c r="BD24" s="625">
        <f>+VLOOKUP(BD4,'כמויות מים 2014'!$C$6:$W$215,21,0)</f>
        <v>2788</v>
      </c>
      <c r="BE24" s="625">
        <f>+VLOOKUP(BE4,'כמויות מים 2014'!$C$6:$W$215,21,0)</f>
        <v>5282</v>
      </c>
      <c r="BF24" s="993">
        <f>+'נתוני מים 2014'!D178/3</f>
        <v>42964</v>
      </c>
    </row>
    <row r="25" spans="1:58" x14ac:dyDescent="0.2">
      <c r="A25" s="1817"/>
      <c r="B25" s="376" t="s">
        <v>1014</v>
      </c>
      <c r="C25" s="628">
        <v>30</v>
      </c>
      <c r="D25" s="628">
        <v>30</v>
      </c>
      <c r="E25" s="628">
        <v>30</v>
      </c>
      <c r="F25" s="628">
        <v>30</v>
      </c>
      <c r="G25" s="628">
        <v>30</v>
      </c>
      <c r="H25" s="628">
        <v>30</v>
      </c>
      <c r="I25" s="628">
        <v>30</v>
      </c>
      <c r="J25" s="628">
        <v>30</v>
      </c>
      <c r="K25" s="628">
        <v>30</v>
      </c>
      <c r="L25" s="628">
        <v>30</v>
      </c>
      <c r="M25" s="628">
        <v>30</v>
      </c>
      <c r="N25" s="628">
        <v>30</v>
      </c>
      <c r="O25" s="628">
        <v>30</v>
      </c>
      <c r="P25" s="628">
        <v>30</v>
      </c>
      <c r="Q25" s="628">
        <v>30</v>
      </c>
      <c r="R25" s="628">
        <v>30</v>
      </c>
      <c r="S25" s="628">
        <v>30</v>
      </c>
      <c r="T25" s="628">
        <v>30</v>
      </c>
      <c r="U25" s="628">
        <v>30</v>
      </c>
      <c r="V25" s="628">
        <v>30</v>
      </c>
      <c r="W25" s="628">
        <v>30</v>
      </c>
      <c r="X25" s="628">
        <v>30</v>
      </c>
      <c r="Y25" s="628">
        <v>30</v>
      </c>
      <c r="Z25" s="628">
        <v>30</v>
      </c>
      <c r="AA25" s="628">
        <v>30</v>
      </c>
      <c r="AB25" s="628">
        <v>30</v>
      </c>
      <c r="AC25" s="628">
        <v>30</v>
      </c>
      <c r="AD25" s="628">
        <v>30</v>
      </c>
      <c r="AE25" s="628">
        <v>30</v>
      </c>
      <c r="AF25" s="628">
        <v>30</v>
      </c>
      <c r="AG25" s="628">
        <v>30</v>
      </c>
      <c r="AH25" s="628">
        <v>30</v>
      </c>
      <c r="AI25" s="628">
        <v>30</v>
      </c>
      <c r="AJ25" s="628">
        <v>30</v>
      </c>
      <c r="AK25" s="628">
        <v>30</v>
      </c>
      <c r="AL25" s="628">
        <v>30</v>
      </c>
      <c r="AM25" s="628">
        <v>30</v>
      </c>
      <c r="AN25" s="628">
        <v>30</v>
      </c>
      <c r="AO25" s="628">
        <v>30</v>
      </c>
      <c r="AP25" s="628">
        <v>30</v>
      </c>
      <c r="AQ25" s="628">
        <v>30</v>
      </c>
      <c r="AR25" s="628">
        <v>30</v>
      </c>
      <c r="AS25" s="628">
        <v>30</v>
      </c>
      <c r="AT25" s="628">
        <v>30</v>
      </c>
      <c r="AU25" s="628">
        <v>30</v>
      </c>
      <c r="AV25" s="628">
        <v>30</v>
      </c>
      <c r="AW25" s="628">
        <v>30</v>
      </c>
      <c r="AX25" s="628">
        <v>30</v>
      </c>
      <c r="AY25" s="628">
        <v>30</v>
      </c>
      <c r="AZ25" s="628">
        <v>30</v>
      </c>
      <c r="BA25" s="628">
        <v>30</v>
      </c>
      <c r="BB25" s="628">
        <v>30</v>
      </c>
      <c r="BC25" s="628">
        <v>30</v>
      </c>
      <c r="BD25" s="628">
        <v>30</v>
      </c>
      <c r="BE25" s="628">
        <v>30</v>
      </c>
      <c r="BF25" s="628">
        <v>30</v>
      </c>
    </row>
    <row r="26" spans="1:58" x14ac:dyDescent="0.2">
      <c r="A26" s="765"/>
      <c r="B26" s="376" t="s">
        <v>1015</v>
      </c>
      <c r="C26" s="627">
        <f>+C24*C25/1000/C23</f>
        <v>0.11592127208401899</v>
      </c>
      <c r="D26" s="627">
        <f t="shared" ref="D26:BE26" si="12">+D24*D25/1000/D23</f>
        <v>9.0570708843708284E-2</v>
      </c>
      <c r="E26" s="628">
        <f t="shared" si="12"/>
        <v>0.12116909596846713</v>
      </c>
      <c r="F26" s="628">
        <f t="shared" si="12"/>
        <v>0.11579043547558289</v>
      </c>
      <c r="G26" s="628">
        <f t="shared" si="12"/>
        <v>0.12449963919650885</v>
      </c>
      <c r="H26" s="628">
        <f t="shared" si="12"/>
        <v>0.11205360773105538</v>
      </c>
      <c r="I26" s="628">
        <f t="shared" si="12"/>
        <v>0.11237515505768943</v>
      </c>
      <c r="J26" s="628">
        <f t="shared" si="12"/>
        <v>0.1311822243052656</v>
      </c>
      <c r="K26" s="628">
        <f t="shared" si="12"/>
        <v>0.12795991227471429</v>
      </c>
      <c r="L26" s="627">
        <f t="shared" si="12"/>
        <v>0.13323119462107944</v>
      </c>
      <c r="M26" s="628">
        <f t="shared" si="12"/>
        <v>0.13634645713923207</v>
      </c>
      <c r="N26" s="628">
        <f t="shared" si="12"/>
        <v>9.2723704362162318E-2</v>
      </c>
      <c r="O26" s="628">
        <f t="shared" si="12"/>
        <v>0.11242728422703778</v>
      </c>
      <c r="P26" s="628">
        <f t="shared" si="12"/>
        <v>0.11389822572638429</v>
      </c>
      <c r="Q26" s="628">
        <f t="shared" si="12"/>
        <v>0.12734958654099895</v>
      </c>
      <c r="R26" s="628">
        <f t="shared" si="12"/>
        <v>0.14631867299151191</v>
      </c>
      <c r="S26" s="628">
        <f t="shared" si="12"/>
        <v>0.16194948580757304</v>
      </c>
      <c r="T26" s="628">
        <f t="shared" si="12"/>
        <v>0.12041269064801116</v>
      </c>
      <c r="U26" s="628">
        <f t="shared" si="12"/>
        <v>5.7237654433786325E-2</v>
      </c>
      <c r="V26" s="628">
        <f t="shared" si="12"/>
        <v>0.11488240010574177</v>
      </c>
      <c r="W26" s="628">
        <f t="shared" si="12"/>
        <v>0.13069900538889725</v>
      </c>
      <c r="X26" s="628">
        <f t="shared" si="12"/>
        <v>0.11189433863970882</v>
      </c>
      <c r="Y26" s="628">
        <f t="shared" si="12"/>
        <v>0.11775724232812894</v>
      </c>
      <c r="Z26" s="628">
        <f t="shared" si="12"/>
        <v>0.15918952859424834</v>
      </c>
      <c r="AA26" s="628">
        <f t="shared" si="12"/>
        <v>0.11326646881806192</v>
      </c>
      <c r="AB26" s="628">
        <f t="shared" si="12"/>
        <v>7.9900723513039756E-2</v>
      </c>
      <c r="AC26" s="628">
        <f t="shared" si="12"/>
        <v>0.10845453481791721</v>
      </c>
      <c r="AD26" s="628">
        <f t="shared" si="12"/>
        <v>0.1043926684936534</v>
      </c>
      <c r="AE26" s="628">
        <f t="shared" si="12"/>
        <v>0.14250934038561072</v>
      </c>
      <c r="AF26" s="628">
        <f t="shared" si="12"/>
        <v>0.10688995406253879</v>
      </c>
      <c r="AG26" s="628">
        <f t="shared" si="12"/>
        <v>0.13973076910761231</v>
      </c>
      <c r="AH26" s="628">
        <f t="shared" si="12"/>
        <v>6.4379020932317607E-2</v>
      </c>
      <c r="AI26" s="628">
        <f t="shared" si="12"/>
        <v>9.6435136011144243E-2</v>
      </c>
      <c r="AJ26" s="628">
        <f t="shared" si="12"/>
        <v>0.17671197257718768</v>
      </c>
      <c r="AK26" s="628">
        <f t="shared" si="12"/>
        <v>0.19023805931313528</v>
      </c>
      <c r="AL26" s="628">
        <f t="shared" si="12"/>
        <v>0.14309141323388738</v>
      </c>
      <c r="AM26" s="628">
        <f t="shared" si="12"/>
        <v>9.8783405294100429E-2</v>
      </c>
      <c r="AN26" s="628">
        <f t="shared" si="12"/>
        <v>0.17195625202522677</v>
      </c>
      <c r="AO26" s="628">
        <f t="shared" si="12"/>
        <v>0.20210226049429453</v>
      </c>
      <c r="AP26" s="628">
        <f t="shared" si="12"/>
        <v>0.17764207227924195</v>
      </c>
      <c r="AQ26" s="628">
        <f t="shared" si="12"/>
        <v>0.12754786663265341</v>
      </c>
      <c r="AR26" s="628">
        <f t="shared" si="12"/>
        <v>9.9710908768338866E-2</v>
      </c>
      <c r="AS26" s="628">
        <f t="shared" si="12"/>
        <v>0.14866310129183732</v>
      </c>
      <c r="AT26" s="628">
        <f t="shared" si="12"/>
        <v>0.16695943326983184</v>
      </c>
      <c r="AU26" s="628">
        <f t="shared" si="12"/>
        <v>0.11062827980911299</v>
      </c>
      <c r="AV26" s="628">
        <f t="shared" si="12"/>
        <v>9.8041498474519026E-2</v>
      </c>
      <c r="AW26" s="628">
        <f t="shared" si="12"/>
        <v>9.7581989473881373E-2</v>
      </c>
      <c r="AX26" s="628">
        <f t="shared" si="12"/>
        <v>0.11605275241592032</v>
      </c>
      <c r="AY26" s="628">
        <f t="shared" si="12"/>
        <v>0.12946135924488103</v>
      </c>
      <c r="AZ26" s="628">
        <f t="shared" si="12"/>
        <v>0.1143795598973963</v>
      </c>
      <c r="BA26" s="628">
        <f t="shared" si="12"/>
        <v>0.11021419574670156</v>
      </c>
      <c r="BB26" s="628">
        <f t="shared" si="12"/>
        <v>8.0334987139423844E-2</v>
      </c>
      <c r="BC26" s="628">
        <f t="shared" si="12"/>
        <v>4.6197346580852061E-2</v>
      </c>
      <c r="BD26" s="628">
        <f t="shared" si="12"/>
        <v>8.5731417940662455E-2</v>
      </c>
      <c r="BE26" s="628">
        <f t="shared" si="12"/>
        <v>0.13505854156207997</v>
      </c>
      <c r="BF26" s="628">
        <f t="shared" ref="BF26" si="13">+BF24*BF25/1000/BF23</f>
        <v>0.12367108894211096</v>
      </c>
    </row>
    <row r="27" spans="1:58" x14ac:dyDescent="0.2">
      <c r="A27" s="765"/>
      <c r="B27" s="376"/>
      <c r="C27" s="628"/>
      <c r="D27" s="628"/>
      <c r="E27" s="628"/>
      <c r="F27" s="628"/>
      <c r="G27" s="628"/>
      <c r="H27" s="628"/>
      <c r="I27" s="628"/>
      <c r="J27" s="628"/>
      <c r="K27" s="628"/>
      <c r="L27" s="628"/>
      <c r="M27" s="628"/>
      <c r="N27" s="628"/>
      <c r="O27" s="628"/>
      <c r="P27" s="628"/>
      <c r="Q27" s="628"/>
      <c r="R27" s="628"/>
      <c r="S27" s="628"/>
      <c r="T27" s="628"/>
      <c r="U27" s="628"/>
      <c r="V27" s="628"/>
      <c r="W27" s="628"/>
      <c r="X27" s="628"/>
      <c r="Y27" s="628"/>
      <c r="Z27" s="628"/>
      <c r="AA27" s="628"/>
      <c r="AB27" s="628"/>
      <c r="AC27" s="628"/>
      <c r="AD27" s="628"/>
      <c r="AE27" s="628"/>
      <c r="AF27" s="628"/>
      <c r="AG27" s="628"/>
      <c r="AH27" s="628"/>
      <c r="AI27" s="628"/>
      <c r="AJ27" s="628"/>
      <c r="AK27" s="628"/>
      <c r="AL27" s="628"/>
      <c r="AM27" s="628"/>
      <c r="AN27" s="628"/>
      <c r="AO27" s="628"/>
      <c r="AP27" s="628"/>
      <c r="AQ27" s="628"/>
      <c r="AR27" s="628"/>
      <c r="AS27" s="628"/>
      <c r="AT27" s="628"/>
      <c r="AU27" s="628"/>
      <c r="AV27" s="628"/>
      <c r="AW27" s="628"/>
      <c r="AX27" s="628"/>
      <c r="AY27" s="628"/>
      <c r="AZ27" s="628"/>
      <c r="BA27" s="628"/>
      <c r="BB27" s="628"/>
      <c r="BC27" s="628"/>
      <c r="BD27" s="628"/>
      <c r="BE27" s="628"/>
      <c r="BF27" s="628"/>
    </row>
    <row r="28" spans="1:58" x14ac:dyDescent="0.2">
      <c r="A28" s="1815" t="s">
        <v>1016</v>
      </c>
      <c r="B28" s="376" t="s">
        <v>1492</v>
      </c>
      <c r="C28" s="628">
        <f>+HLOOKUP(C4,'פירוט נכסי מים וביוב'!$1:$289,271,0)+IFERROR(VLOOKUP(C4,'פחתי מים לרשויות מצטרפות'!#REF!,HLOOKUP('תחשיב עלות תפעול לשנת 2016'!$B$28,'פחתי מים לרשויות מצטרפות'!#REF!,2,0),0),0)</f>
        <v>643.25</v>
      </c>
      <c r="D28" s="628">
        <f>+HLOOKUP(D4,'פירוט נכסי מים וביוב'!$1:$289,271,0)+IFERROR(VLOOKUP(D4,'פחתי מים לרשויות מצטרפות'!#REF!,HLOOKUP('תחשיב עלות תפעול לשנת 2016'!$B$28,'פחתי מים לרשויות מצטרפות'!#REF!,2,0),0),0)</f>
        <v>0</v>
      </c>
      <c r="E28" s="628">
        <f>+HLOOKUP(E4,'פירוט נכסי מים וביוב'!$1:$289,271,0)+IFERROR(VLOOKUP(E4,'פחתי מים לרשויות מצטרפות'!#REF!,HLOOKUP('תחשיב עלות תפעול לשנת 2016'!$B$28,'פחתי מים לרשויות מצטרפות'!#REF!,2,0),0),0)</f>
        <v>142.76</v>
      </c>
      <c r="F28" s="628">
        <f>+HLOOKUP(F4,'פירוט נכסי מים וביוב'!$1:$289,271,0)+IFERROR(VLOOKUP(F4,'פחתי מים לרשויות מצטרפות'!#REF!,HLOOKUP('תחשיב עלות תפעול לשנת 2016'!$B$28,'פחתי מים לרשויות מצטרפות'!#REF!,2,0),0),0)</f>
        <v>1579.49</v>
      </c>
      <c r="G28" s="628">
        <f>+HLOOKUP(G4,'פירוט נכסי מים וביוב'!$1:$289,271,0)+IFERROR(VLOOKUP(G4,'פחתי מים לרשויות מצטרפות'!#REF!,HLOOKUP('תחשיב עלות תפעול לשנת 2016'!$B$28,'פחתי מים לרשויות מצטרפות'!#REF!,2,0),0),0)</f>
        <v>726.25</v>
      </c>
      <c r="H28" s="628">
        <f>+HLOOKUP(H4,'פירוט נכסי מים וביוב'!$1:$289,271,0)+IFERROR(VLOOKUP(H4,'פחתי מים לרשויות מצטרפות'!#REF!,HLOOKUP('תחשיב עלות תפעול לשנת 2016'!$B$28,'פחתי מים לרשויות מצטרפות'!#REF!,2,0),0),0)</f>
        <v>58.099999999999994</v>
      </c>
      <c r="I28" s="628">
        <f>+HLOOKUP(I4,'פירוט נכסי מים וביוב'!$1:$289,271,0)+IFERROR(VLOOKUP(I4,'פחתי מים לרשויות מצטרפות'!#REF!,HLOOKUP('תחשיב עלות תפעול לשנת 2016'!$B$28,'פחתי מים לרשויות מצטרפות'!#REF!,2,0),0),0)</f>
        <v>196.70999999999998</v>
      </c>
      <c r="J28" s="628">
        <f>+HLOOKUP(J4,'פירוט נכסי מים וביוב'!$1:$289,271,0)+IFERROR(VLOOKUP(J4,'פחתי מים לרשויות מצטרפות'!#REF!,HLOOKUP('תחשיב עלות תפעול לשנת 2016'!$B$28,'פחתי מים לרשויות מצטרפות'!#REF!,2,0),0),0)</f>
        <v>107.89999999999999</v>
      </c>
      <c r="K28" s="628">
        <f>+HLOOKUP(K4,'פירוט נכסי מים וביוב'!$1:$289,271,0)+IFERROR(VLOOKUP(K4,'פחתי מים לרשויות מצטרפות'!#REF!,HLOOKUP('תחשיב עלות תפעול לשנת 2016'!$B$28,'פחתי מים לרשויות מצטרפות'!#REF!,2,0),0),0)</f>
        <v>0</v>
      </c>
      <c r="L28" s="628">
        <f>+HLOOKUP(L4,'פירוט נכסי מים וביוב'!$1:$289,271,0)+IFERROR(VLOOKUP(L4,'פחתי מים לרשויות מצטרפות'!#REF!,HLOOKUP('תחשיב עלות תפעול לשנת 2016'!$B$28,'פחתי מים לרשויות מצטרפות'!#REF!,2,0),0),0)</f>
        <v>390.93</v>
      </c>
      <c r="M28" s="628">
        <f>+HLOOKUP(M4,'פירוט נכסי מים וביוב'!$1:$289,271,0)+IFERROR(VLOOKUP(M4,'פחתי מים לרשויות מצטרפות'!#REF!,HLOOKUP('תחשיב עלות תפעול לשנת 2016'!$B$28,'פחתי מים לרשויות מצטרפות'!#REF!,2,0),0),0)</f>
        <v>361.04999999999995</v>
      </c>
      <c r="N28" s="628">
        <f>+HLOOKUP(N4,'פירוט נכסי מים וביוב'!$1:$289,271,0)+IFERROR(VLOOKUP(N4,'פחתי מים לרשויות מצטרפות'!#REF!,HLOOKUP('תחשיב עלות תפעול לשנת 2016'!$B$28,'פחתי מים לרשויות מצטרפות'!#REF!,2,0),0),0)</f>
        <v>716.29</v>
      </c>
      <c r="O28" s="628">
        <f>+HLOOKUP(O4,'פירוט נכסי מים וביוב'!$1:$289,271,0)+IFERROR(VLOOKUP(O4,'פחתי מים לרשויות מצטרפות'!#REF!,HLOOKUP('תחשיב עלות תפעול לשנת 2016'!$B$28,'פחתי מים לרשויות מצטרפות'!#REF!,2,0),0),0)</f>
        <v>0</v>
      </c>
      <c r="P28" s="628">
        <f>+HLOOKUP(P4,'פירוט נכסי מים וביוב'!$1:$289,271,0)+IFERROR(VLOOKUP(P4,'פחתי מים לרשויות מצטרפות'!#REF!,HLOOKUP('תחשיב עלות תפעול לשנת 2016'!$B$28,'פחתי מים לרשויות מצטרפות'!#REF!,2,0),0),0)</f>
        <v>922.95999999999992</v>
      </c>
      <c r="Q28" s="628">
        <f>+HLOOKUP(Q4,'פירוט נכסי מים וביוב'!$1:$289,271,0)+IFERROR(VLOOKUP(Q4,'פחתי מים לרשויות מצטרפות'!#REF!,HLOOKUP('תחשיב עלות תפעול לשנת 2016'!$B$28,'פחתי מים לרשויות מצטרפות'!#REF!,2,0),0),0)</f>
        <v>1284.8399999999999</v>
      </c>
      <c r="R28" s="628">
        <f>+HLOOKUP(R4,'פירוט נכסי מים וביוב'!$1:$289,271,0)+IFERROR(VLOOKUP(R4,'פחתי מים לרשויות מצטרפות'!#REF!,HLOOKUP('תחשיב עלות תפעול לשנת 2016'!$B$28,'פחתי מים לרשויות מצטרפות'!#REF!,2,0),0),0)</f>
        <v>195.04999999999998</v>
      </c>
      <c r="S28" s="628">
        <f>+HLOOKUP(S4,'פירוט נכסי מים וביוב'!$1:$289,271,0)+IFERROR(VLOOKUP(S4,'פחתי מים לרשויות מצטרפות'!#REF!,HLOOKUP('תחשיב עלות תפעול לשנת 2016'!$B$28,'פחתי מים לרשויות מצטרפות'!#REF!,2,0),0),0)</f>
        <v>767.75</v>
      </c>
      <c r="T28" s="628">
        <f>+HLOOKUP(T4,'פירוט נכסי מים וביוב'!$1:$289,271,0)+IFERROR(VLOOKUP(T4,'פחתי מים לרשויות מצטרפות'!#REF!,HLOOKUP('תחשיב עלות תפעול לשנת 2016'!$B$28,'פחתי מים לרשויות מצטרפות'!#REF!,2,0),0),0)</f>
        <v>1156.19</v>
      </c>
      <c r="U28" s="628">
        <f>+HLOOKUP(U4,'פירוט נכסי מים וביוב'!$1:$289,271,0)+IFERROR(VLOOKUP(U4,'פחתי מים לרשויות מצטרפות'!#REF!,HLOOKUP('תחשיב עלות תפעול לשנת 2016'!$B$28,'פחתי מים לרשויות מצטרפות'!#REF!,2,0),0),0)</f>
        <v>332</v>
      </c>
      <c r="V28" s="628">
        <f>+HLOOKUP(V4,'פירוט נכסי מים וביוב'!$1:$289,271,0)+IFERROR(VLOOKUP(V4,'פחתי מים לרשויות מצטרפות'!#REF!,HLOOKUP('תחשיב עלות תפעול לשנת 2016'!$B$28,'פחתי מים לרשויות מצטרפות'!#REF!,2,0),0),0)</f>
        <v>131.97</v>
      </c>
      <c r="W28" s="628">
        <f>+HLOOKUP(W4,'פירוט נכסי מים וביוב'!$1:$289,271,0)+IFERROR(VLOOKUP(W4,'פחתי מים לרשויות מצטרפות'!#REF!,HLOOKUP('תחשיב עלות תפעול לשנת 2016'!$B$28,'פחתי מים לרשויות מצטרפות'!#REF!,2,0),0),0)</f>
        <v>735.38</v>
      </c>
      <c r="X28" s="628">
        <f>+HLOOKUP(X4,'פירוט נכסי מים וביוב'!$1:$289,271,0)+IFERROR(VLOOKUP(X4,'פחתי מים לרשויות מצטרפות'!#REF!,HLOOKUP('תחשיב עלות תפעול לשנת 2016'!$B$28,'פחתי מים לרשויות מצטרפות'!#REF!,2,0),0),0)</f>
        <v>232.39999999999998</v>
      </c>
      <c r="Y28" s="628">
        <f>+HLOOKUP(Y4,'פירוט נכסי מים וביוב'!$1:$289,271,0)+IFERROR(VLOOKUP(Y4,'פחתי מים לרשויות מצטרפות'!#REF!,HLOOKUP('תחשיב עלות תפעול לשנת 2016'!$B$28,'פחתי מים לרשויות מצטרפות'!#REF!,2,0),0),0)</f>
        <v>0</v>
      </c>
      <c r="Z28" s="628">
        <f>+HLOOKUP(Z4,'פירוט נכסי מים וביוב'!$1:$289,271,0)+IFERROR(VLOOKUP(Z4,'פחתי מים לרשויות מצטרפות'!#REF!,HLOOKUP('תחשיב עלות תפעול לשנת 2016'!$B$28,'פחתי מים לרשויות מצטרפות'!#REF!,2,0),0),0)</f>
        <v>136.94999999999999</v>
      </c>
      <c r="AA28" s="628">
        <f>+HLOOKUP(AA4,'פירוט נכסי מים וביוב'!$1:$289,271,0)+IFERROR(VLOOKUP(AA4,'פחתי מים לרשויות מצטרפות'!#REF!,HLOOKUP('תחשיב עלות תפעול לשנת 2016'!$B$28,'פחתי מים לרשויות מצטרפות'!#REF!,2,0),0),0)</f>
        <v>419.97999999999996</v>
      </c>
      <c r="AB28" s="628">
        <f>+HLOOKUP(AB4,'פירוט נכסי מים וביוב'!$1:$289,271,0)+IFERROR(VLOOKUP(AB4,'פחתי מים לרשויות מצטרפות'!#REF!,HLOOKUP('תחשיב עלות תפעול לשנת 2016'!$B$28,'פחתי מים לרשויות מצטרפות'!#REF!,2,0),0),0)</f>
        <v>0</v>
      </c>
      <c r="AC28" s="628">
        <f>+HLOOKUP(AC4,'פירוט נכסי מים וביוב'!$1:$289,271,0)+IFERROR(VLOOKUP(AC4,'פחתי מים לרשויות מצטרפות'!#REF!,HLOOKUP('תחשיב עלות תפעול לשנת 2016'!$B$28,'פחתי מים לרשויות מצטרפות'!#REF!,2,0),0),0)</f>
        <v>0</v>
      </c>
      <c r="AD28" s="628">
        <f>+HLOOKUP(AD4,'פירוט נכסי מים וביוב'!$1:$289,271,0)+IFERROR(VLOOKUP(AD4,'פחתי מים לרשויות מצטרפות'!#REF!,HLOOKUP('תחשיב עלות תפעול לשנת 2016'!$B$28,'פחתי מים לרשויות מצטרפות'!#REF!,2,0),0),0)</f>
        <v>424.13</v>
      </c>
      <c r="AE28" s="628">
        <f>+HLOOKUP(AE4,'פירוט נכסי מים וביוב'!$1:$289,271,0)+IFERROR(VLOOKUP(AE4,'פחתי מים לרשויות מצטרפות'!#REF!,HLOOKUP('תחשיב עלות תפעול לשנת 2016'!$B$28,'פחתי מים לרשויות מצטרפות'!#REF!,2,0),0),0)</f>
        <v>4846.37</v>
      </c>
      <c r="AF28" s="628">
        <f>+HLOOKUP(AF4,'פירוט נכסי מים וביוב'!$1:$289,271,0)+IFERROR(VLOOKUP(AF4,'פחתי מים לרשויות מצטרפות'!#REF!,HLOOKUP('תחשיב עלות תפעול לשנת 2016'!$B$28,'פחתי מים לרשויות מצטרפות'!#REF!,2,0),0),0)</f>
        <v>170.15</v>
      </c>
      <c r="AG28" s="628">
        <f>+HLOOKUP(AG4,'פירוט נכסי מים וביוב'!$1:$289,271,0)+IFERROR(VLOOKUP(AG4,'פחתי מים לרשויות מצטרפות'!#REF!,HLOOKUP('תחשיב עלות תפעול לשנת 2016'!$B$28,'פחתי מים לרשויות מצטרפות'!#REF!,2,0),0),0)</f>
        <v>47.309999999999995</v>
      </c>
      <c r="AH28" s="628">
        <f>+HLOOKUP(AH4,'פירוט נכסי מים וביוב'!$1:$289,271,0)+IFERROR(VLOOKUP(AH4,'פחתי מים לרשויות מצטרפות'!#REF!,HLOOKUP('תחשיב עלות תפעול לשנת 2016'!$B$28,'פחתי מים לרשויות מצטרפות'!#REF!,2,0),0),0)</f>
        <v>161.01999999999998</v>
      </c>
      <c r="AI28" s="628">
        <f>+HLOOKUP(AI4,'פירוט נכסי מים וביוב'!$1:$289,271,0)+IFERROR(VLOOKUP(AI4,'פחתי מים לרשויות מצטרפות'!#REF!,HLOOKUP('תחשיב עלות תפעול לשנת 2016'!$B$28,'פחתי מים לרשויות מצטרפות'!#REF!,2,0),0),0)</f>
        <v>278.88</v>
      </c>
      <c r="AJ28" s="628">
        <f>+HLOOKUP(AJ4,'פירוט נכסי מים וביוב'!$1:$289,271,0)+IFERROR(VLOOKUP(AJ4,'פחתי מים לרשויות מצטרפות'!#REF!,HLOOKUP('תחשיב עלות תפעול לשנת 2016'!$B$28,'פחתי מים לרשויות מצטרפות'!#REF!,2,0),0),0)</f>
        <v>0</v>
      </c>
      <c r="AK28" s="628">
        <f>+HLOOKUP(AK4,'פירוט נכסי מים וביוב'!$1:$289,271,0)+IFERROR(VLOOKUP(AK4,'פחתי מים לרשויות מצטרפות'!#REF!,HLOOKUP('תחשיב עלות תפעול לשנת 2016'!$B$28,'פחתי מים לרשויות מצטרפות'!#REF!,2,0),0),0)</f>
        <v>0</v>
      </c>
      <c r="AL28" s="628">
        <f>+HLOOKUP(AL4,'פירוט נכסי מים וביוב'!$1:$289,271,0)+IFERROR(VLOOKUP(AL4,'פחתי מים לרשויות מצטרפות'!#REF!,HLOOKUP('תחשיב עלות תפעול לשנת 2016'!$B$28,'פחתי מים לרשויות מצטרפות'!#REF!,2,0),0),0)</f>
        <v>504.64</v>
      </c>
      <c r="AM28" s="628">
        <f>+HLOOKUP(AM4,'פירוט נכסי מים וביוב'!$1:$289,271,0)+IFERROR(VLOOKUP(AM4,'פחתי מים לרשויות מצטרפות'!#REF!,HLOOKUP('תחשיב עלות תפעול לשנת 2016'!$B$28,'פחתי מים לרשויות מצטרפות'!#REF!,2,0),0),0)</f>
        <v>111.22</v>
      </c>
      <c r="AN28" s="628">
        <f>+HLOOKUP(AN4,'פירוט נכסי מים וביוב'!$1:$289,271,0)+IFERROR(VLOOKUP(AN4,'פחתי מים לרשויות מצטרפות'!#REF!,HLOOKUP('תחשיב עלות תפעול לשנת 2016'!$B$28,'פחתי מים לרשויות מצטרפות'!#REF!,2,0),0),0)</f>
        <v>494.67999999999995</v>
      </c>
      <c r="AO28" s="628">
        <f>+HLOOKUP(AO4,'פירוט נכסי מים וביוב'!$1:$289,271,0)+IFERROR(VLOOKUP(AO4,'פחתי מים לרשויות מצטרפות'!#REF!,HLOOKUP('תחשיב עלות תפעול לשנת 2016'!$B$28,'פחתי מים לרשויות מצטרפות'!#REF!,2,0),0),0)</f>
        <v>0</v>
      </c>
      <c r="AP28" s="628">
        <f>+HLOOKUP(AP4,'פירוט נכסי מים וביוב'!$1:$289,271,0)+IFERROR(VLOOKUP(AP4,'פחתי מים לרשויות מצטרפות'!#REF!,HLOOKUP('תחשיב עלות תפעול לשנת 2016'!$B$28,'פחתי מים לרשויות מצטרפות'!#REF!,2,0),0),0)</f>
        <v>0</v>
      </c>
      <c r="AQ28" s="628">
        <f>+HLOOKUP(AQ4,'פירוט נכסי מים וביוב'!$1:$289,271,0)+IFERROR(VLOOKUP(AQ4,'פחתי מים לרשויות מצטרפות'!#REF!,HLOOKUP('תחשיב עלות תפעול לשנת 2016'!$B$28,'פחתי מים לרשויות מצטרפות'!#REF!,2,0),0),0)</f>
        <v>0</v>
      </c>
      <c r="AR28" s="628">
        <f>+HLOOKUP(AR4,'פירוט נכסי מים וביוב'!$1:$289,271,0)+IFERROR(VLOOKUP(AR4,'פחתי מים לרשויות מצטרפות'!#REF!,HLOOKUP('תחשיב עלות תפעול לשנת 2016'!$B$28,'פחתי מים לרשויות מצטרפות'!#REF!,2,0),0),0)</f>
        <v>1376.1399999999999</v>
      </c>
      <c r="AS28" s="628">
        <f>+HLOOKUP(AS4,'פירוט נכסי מים וביוב'!$1:$289,271,0)+IFERROR(VLOOKUP(AS4,'פחתי מים לרשויות מצטרפות'!#REF!,HLOOKUP('תחשיב עלות תפעול לשנת 2016'!$B$28,'פחתי מים לרשויות מצטרפות'!#REF!,2,0),0),0)</f>
        <v>160.19</v>
      </c>
      <c r="AT28" s="628">
        <f>+HLOOKUP(AT4,'פירוט נכסי מים וביוב'!$1:$289,271,0)+IFERROR(VLOOKUP(AT4,'פחתי מים לרשויות מצטרפות'!#REF!,HLOOKUP('תחשיב עלות תפעול לשנת 2016'!$B$28,'פחתי מים לרשויות מצטרפות'!#REF!,2,0),0),0)</f>
        <v>0</v>
      </c>
      <c r="AU28" s="628">
        <f>+HLOOKUP(AU4,'פירוט נכסי מים וביוב'!$1:$289,271,0)+IFERROR(VLOOKUP(AU4,'פחתי מים לרשויות מצטרפות'!#REF!,HLOOKUP('תחשיב עלות תפעול לשנת 2016'!$B$28,'פחתי מים לרשויות מצטרפות'!#REF!,2,0),0),0)</f>
        <v>463.96999999999997</v>
      </c>
      <c r="AV28" s="628">
        <f>+HLOOKUP(AV4,'פירוט נכסי מים וביוב'!$1:$289,271,0)+IFERROR(VLOOKUP(AV4,'פחתי מים לרשויות מצטרפות'!#REF!,HLOOKUP('תחשיב עלות תפעול לשנת 2016'!$B$28,'פחתי מים לרשויות מצטרפות'!#REF!,2,0),0),0)</f>
        <v>172.64</v>
      </c>
      <c r="AW28" s="628">
        <f>+HLOOKUP(AW4,'פירוט נכסי מים וביוב'!$1:$289,271,0)+IFERROR(VLOOKUP(AW4,'פחתי מים לרשויות מצטרפות'!#REF!,HLOOKUP('תחשיב עלות תפעול לשנת 2016'!$B$28,'פחתי מים לרשויות מצטרפות'!#REF!,2,0),0),0)</f>
        <v>11.62</v>
      </c>
      <c r="AX28" s="628">
        <f>+HLOOKUP(AX4,'פירוט נכסי מים וביוב'!$1:$289,271,0)+IFERROR(VLOOKUP(AX4,'פחתי מים לרשויות מצטרפות'!#REF!,HLOOKUP('תחשיב עלות תפעול לשנת 2016'!$B$28,'פחתי מים לרשויות מצטרפות'!#REF!,2,0),0),0)</f>
        <v>43.16</v>
      </c>
      <c r="AY28" s="628">
        <f>+HLOOKUP(AY4,'פירוט נכסי מים וביוב'!$1:$289,271,0)+IFERROR(VLOOKUP(AY4,'פחתי מים לרשויות מצטרפות'!#REF!,HLOOKUP('תחשיב עלות תפעול לשנת 2016'!$B$28,'פחתי מים לרשויות מצטרפות'!#REF!,2,0),0),0)</f>
        <v>0</v>
      </c>
      <c r="AZ28" s="628">
        <f>+HLOOKUP(AZ4,'פירוט נכסי מים וביוב'!$1:$289,271,0)+IFERROR(VLOOKUP(AZ4,'פחתי מים לרשויות מצטרפות'!#REF!,HLOOKUP('תחשיב עלות תפעול לשנת 2016'!$B$28,'פחתי מים לרשויות מצטרפות'!#REF!,2,0),0),0)</f>
        <v>537.80999999999995</v>
      </c>
      <c r="BA28" s="628">
        <f>+HLOOKUP(BA4,'פירוט נכסי מים וביוב'!$1:$289,271,0)+IFERROR(VLOOKUP(BA4,'פחתי מים לרשויות מצטרפות'!#REF!,HLOOKUP('תחשיב עלות תפעול לשנת 2016'!$B$28,'פחתי מים לרשויות מצטרפות'!#REF!,2,0),0),0)</f>
        <v>70.55</v>
      </c>
      <c r="BB28" s="628">
        <f>+HLOOKUP(BB4,'פירוט נכסי מים וביוב'!$1:$289,271,0)+IFERROR(VLOOKUP(BB4,'פחתי מים לרשויות מצטרפות'!#REF!,HLOOKUP('תחשיב עלות תפעול לשנת 2016'!$B$28,'פחתי מים לרשויות מצטרפות'!#REF!,2,0),0),0)</f>
        <v>312.90999999999997</v>
      </c>
      <c r="BC28" s="628">
        <f>+HLOOKUP(BC4,'פירוט נכסי מים וביוב'!$1:$289,271,0)+IFERROR(VLOOKUP(BC4,'פחתי מים לרשויות מצטרפות'!#REF!,HLOOKUP('תחשיב עלות תפעול לשנת 2016'!$B$28,'פחתי מים לרשויות מצטרפות'!#REF!,2,0),0),0)</f>
        <v>0</v>
      </c>
      <c r="BD28" s="628">
        <f>+HLOOKUP(BD4,'פירוט נכסי מים וביוב'!$1:$289,271,0)+IFERROR(VLOOKUP(BD4,'פחתי מים לרשויות מצטרפות'!#REF!,HLOOKUP('תחשיב עלות תפעול לשנת 2016'!$B$28,'פחתי מים לרשויות מצטרפות'!#REF!,2,0),0),0)</f>
        <v>0</v>
      </c>
      <c r="BE28" s="628">
        <f>+HLOOKUP(BE4,'פירוט נכסי מים וביוב'!$1:$289,271,0)+IFERROR(VLOOKUP(BE4,'פחתי מים לרשויות מצטרפות'!#REF!,HLOOKUP('תחשיב עלות תפעול לשנת 2016'!$B$28,'פחתי מים לרשויות מצטרפות'!#REF!,2,0),0),0)</f>
        <v>86.32</v>
      </c>
      <c r="BF28" s="628">
        <f>+HLOOKUP(BF4,'פירוט נכסי מים וביוב'!$1:$289,271,0)+IFERROR(VLOOKUP(BF4,'פחתי מים לרשויות מצטרפות'!#REF!,HLOOKUP('תחשיב עלות תפעול לשנת 2016'!$B$28,'פחתי מים לרשויות מצטרפות'!#REF!,2,0),0),0)</f>
        <v>180</v>
      </c>
    </row>
    <row r="29" spans="1:58" x14ac:dyDescent="0.2">
      <c r="A29" s="1816"/>
      <c r="B29" s="376" t="s">
        <v>668</v>
      </c>
      <c r="C29" s="625">
        <f>+C10</f>
        <v>10780.42</v>
      </c>
      <c r="D29" s="625">
        <f t="shared" ref="D29:BE29" si="14">+D10</f>
        <v>9340.4369999999999</v>
      </c>
      <c r="E29" s="625">
        <f t="shared" si="14"/>
        <v>4262.473</v>
      </c>
      <c r="F29" s="625">
        <f t="shared" si="14"/>
        <v>54306.558000000005</v>
      </c>
      <c r="G29" s="625">
        <f t="shared" si="14"/>
        <v>17049.447</v>
      </c>
      <c r="H29" s="625">
        <f t="shared" si="14"/>
        <v>2004.4870000000001</v>
      </c>
      <c r="I29" s="625">
        <f t="shared" si="14"/>
        <v>4334.6769999999997</v>
      </c>
      <c r="J29" s="625">
        <f t="shared" si="14"/>
        <v>7271.4120000000003</v>
      </c>
      <c r="K29" s="625">
        <f t="shared" si="14"/>
        <v>5391.3759999999993</v>
      </c>
      <c r="L29" s="625">
        <f t="shared" si="14"/>
        <v>9928.9809999999998</v>
      </c>
      <c r="M29" s="625">
        <f t="shared" si="14"/>
        <v>16724.746999999999</v>
      </c>
      <c r="N29" s="625">
        <f t="shared" si="14"/>
        <v>9228.0609999999997</v>
      </c>
      <c r="O29" s="625">
        <f t="shared" si="14"/>
        <v>5681.5389999999998</v>
      </c>
      <c r="P29" s="625">
        <f t="shared" si="14"/>
        <v>4715.7889999999998</v>
      </c>
      <c r="Q29" s="625">
        <f t="shared" si="14"/>
        <v>20929.161</v>
      </c>
      <c r="R29" s="625">
        <f t="shared" si="14"/>
        <v>18659.955999999998</v>
      </c>
      <c r="S29" s="625">
        <f t="shared" si="14"/>
        <v>19665.205999999998</v>
      </c>
      <c r="T29" s="625">
        <f t="shared" si="14"/>
        <v>19849.735000000001</v>
      </c>
      <c r="U29" s="625">
        <f t="shared" si="14"/>
        <v>11081.690999999999</v>
      </c>
      <c r="V29" s="625">
        <f t="shared" si="14"/>
        <v>8586.9550000000017</v>
      </c>
      <c r="W29" s="625">
        <f t="shared" si="14"/>
        <v>8741.3060000000005</v>
      </c>
      <c r="X29" s="625">
        <f t="shared" si="14"/>
        <v>6495.7709999999997</v>
      </c>
      <c r="Y29" s="625">
        <f t="shared" si="14"/>
        <v>3201.0769999999998</v>
      </c>
      <c r="Z29" s="625">
        <f t="shared" si="14"/>
        <v>3917.029</v>
      </c>
      <c r="AA29" s="625">
        <f t="shared" si="14"/>
        <v>6640.0940000000001</v>
      </c>
      <c r="AB29" s="625">
        <f t="shared" si="14"/>
        <v>6789.9260000000004</v>
      </c>
      <c r="AC29" s="625">
        <f t="shared" si="14"/>
        <v>10469.824999999999</v>
      </c>
      <c r="AD29" s="625">
        <f t="shared" si="14"/>
        <v>4708.6639999999998</v>
      </c>
      <c r="AE29" s="625">
        <f t="shared" si="14"/>
        <v>23115.748</v>
      </c>
      <c r="AF29" s="625">
        <f t="shared" si="14"/>
        <v>5412.576</v>
      </c>
      <c r="AG29" s="625">
        <f t="shared" si="14"/>
        <v>3747.5639999999999</v>
      </c>
      <c r="AH29" s="625">
        <f t="shared" si="14"/>
        <v>3174.326</v>
      </c>
      <c r="AI29" s="625">
        <f t="shared" si="14"/>
        <v>3853.471</v>
      </c>
      <c r="AJ29" s="625">
        <f t="shared" si="14"/>
        <v>3276.6880000000001</v>
      </c>
      <c r="AK29" s="625">
        <f t="shared" si="14"/>
        <v>2922.759</v>
      </c>
      <c r="AL29" s="625">
        <f t="shared" si="14"/>
        <v>46124.361000000004</v>
      </c>
      <c r="AM29" s="625">
        <f t="shared" si="14"/>
        <v>5738.3119999999999</v>
      </c>
      <c r="AN29" s="625">
        <f t="shared" si="14"/>
        <v>12026.431</v>
      </c>
      <c r="AO29" s="625">
        <f t="shared" si="14"/>
        <v>3748.2510000000002</v>
      </c>
      <c r="AP29" s="625">
        <f t="shared" si="14"/>
        <v>9026.4089999999997</v>
      </c>
      <c r="AQ29" s="625">
        <f t="shared" si="14"/>
        <v>5354.7740000000003</v>
      </c>
      <c r="AR29" s="625">
        <f t="shared" si="14"/>
        <v>10326.152000000002</v>
      </c>
      <c r="AS29" s="625">
        <f t="shared" si="14"/>
        <v>3423.1089999999999</v>
      </c>
      <c r="AT29" s="625">
        <f t="shared" si="14"/>
        <v>2910.1680000000001</v>
      </c>
      <c r="AU29" s="625">
        <f t="shared" si="14"/>
        <v>4710.6399999999994</v>
      </c>
      <c r="AV29" s="625">
        <f t="shared" si="14"/>
        <v>5711.9690000000001</v>
      </c>
      <c r="AW29" s="625">
        <f t="shared" si="14"/>
        <v>7207.7849999999999</v>
      </c>
      <c r="AX29" s="625">
        <f t="shared" si="14"/>
        <v>14360.366</v>
      </c>
      <c r="AY29" s="625">
        <f t="shared" si="14"/>
        <v>6640.4369999999999</v>
      </c>
      <c r="AZ29" s="625">
        <f t="shared" si="14"/>
        <v>5883.2190000000001</v>
      </c>
      <c r="BA29" s="625">
        <f t="shared" si="14"/>
        <v>5761.5990000000002</v>
      </c>
      <c r="BB29" s="625">
        <f t="shared" si="14"/>
        <v>4786.3330000000005</v>
      </c>
      <c r="BC29" s="625">
        <f t="shared" si="14"/>
        <v>6044.5029999999997</v>
      </c>
      <c r="BD29" s="625">
        <f t="shared" si="14"/>
        <v>975.60500000000002</v>
      </c>
      <c r="BE29" s="625">
        <f t="shared" si="14"/>
        <v>1173.269</v>
      </c>
      <c r="BF29" s="625">
        <f t="shared" ref="BF29" si="15">+BF10</f>
        <v>10422.161</v>
      </c>
    </row>
    <row r="30" spans="1:58" x14ac:dyDescent="0.2">
      <c r="A30" s="1817"/>
      <c r="B30" s="376" t="s">
        <v>1017</v>
      </c>
      <c r="C30" s="627">
        <f>+C28/C29</f>
        <v>5.9668361715035222E-2</v>
      </c>
      <c r="D30" s="627">
        <f t="shared" ref="D30:BE30" si="16">+D28/D29</f>
        <v>0</v>
      </c>
      <c r="E30" s="627">
        <f t="shared" si="16"/>
        <v>3.3492294262039896E-2</v>
      </c>
      <c r="F30" s="627">
        <f t="shared" si="16"/>
        <v>2.9084700967422755E-2</v>
      </c>
      <c r="G30" s="627">
        <f t="shared" si="16"/>
        <v>4.2596689499665295E-2</v>
      </c>
      <c r="H30" s="627">
        <f t="shared" si="16"/>
        <v>2.8984972214836011E-2</v>
      </c>
      <c r="I30" s="627">
        <f t="shared" si="16"/>
        <v>4.5380543925187505E-2</v>
      </c>
      <c r="J30" s="627">
        <f t="shared" si="16"/>
        <v>1.4838933621145382E-2</v>
      </c>
      <c r="K30" s="627">
        <f t="shared" si="16"/>
        <v>0</v>
      </c>
      <c r="L30" s="627">
        <f t="shared" si="16"/>
        <v>3.9372620412910453E-2</v>
      </c>
      <c r="M30" s="627">
        <f t="shared" si="16"/>
        <v>2.1587770505586721E-2</v>
      </c>
      <c r="N30" s="627">
        <f t="shared" si="16"/>
        <v>7.762085664583275E-2</v>
      </c>
      <c r="O30" s="627">
        <f t="shared" si="16"/>
        <v>0</v>
      </c>
      <c r="P30" s="627">
        <f t="shared" si="16"/>
        <v>0.19571698394478632</v>
      </c>
      <c r="Q30" s="627">
        <f t="shared" si="16"/>
        <v>6.1389942960446427E-2</v>
      </c>
      <c r="R30" s="627">
        <f t="shared" si="16"/>
        <v>1.045286494780588E-2</v>
      </c>
      <c r="S30" s="627">
        <f t="shared" si="16"/>
        <v>3.9041035217225795E-2</v>
      </c>
      <c r="T30" s="627">
        <f t="shared" si="16"/>
        <v>5.8247125213510408E-2</v>
      </c>
      <c r="U30" s="627">
        <f t="shared" si="16"/>
        <v>2.9959326604576869E-2</v>
      </c>
      <c r="V30" s="627">
        <f t="shared" si="16"/>
        <v>1.5368660951408267E-2</v>
      </c>
      <c r="W30" s="627">
        <f t="shared" si="16"/>
        <v>8.4127017175694332E-2</v>
      </c>
      <c r="X30" s="627">
        <f t="shared" si="16"/>
        <v>3.5777123300682855E-2</v>
      </c>
      <c r="Y30" s="627">
        <f t="shared" si="16"/>
        <v>0</v>
      </c>
      <c r="Z30" s="627">
        <f t="shared" si="16"/>
        <v>3.4962723022985018E-2</v>
      </c>
      <c r="AA30" s="627">
        <f t="shared" si="16"/>
        <v>6.3249104606049239E-2</v>
      </c>
      <c r="AB30" s="627">
        <f t="shared" si="16"/>
        <v>0</v>
      </c>
      <c r="AC30" s="627">
        <f t="shared" si="16"/>
        <v>0</v>
      </c>
      <c r="AD30" s="627">
        <f t="shared" si="16"/>
        <v>9.0074382032780426E-2</v>
      </c>
      <c r="AE30" s="627">
        <f t="shared" si="16"/>
        <v>0.20965663754424041</v>
      </c>
      <c r="AF30" s="627">
        <f t="shared" si="16"/>
        <v>3.1436048195905238E-2</v>
      </c>
      <c r="AG30" s="627">
        <f t="shared" si="16"/>
        <v>1.2624200680762223E-2</v>
      </c>
      <c r="AH30" s="627">
        <f t="shared" si="16"/>
        <v>5.0725728863387054E-2</v>
      </c>
      <c r="AI30" s="627">
        <f t="shared" si="16"/>
        <v>7.2371116845046976E-2</v>
      </c>
      <c r="AJ30" s="627">
        <f t="shared" si="16"/>
        <v>0</v>
      </c>
      <c r="AK30" s="627">
        <f t="shared" si="16"/>
        <v>0</v>
      </c>
      <c r="AL30" s="627">
        <f t="shared" si="16"/>
        <v>1.0940856177931656E-2</v>
      </c>
      <c r="AM30" s="627">
        <f t="shared" si="16"/>
        <v>1.9382006415824025E-2</v>
      </c>
      <c r="AN30" s="627">
        <f t="shared" si="16"/>
        <v>4.1132735056643152E-2</v>
      </c>
      <c r="AO30" s="627">
        <f t="shared" si="16"/>
        <v>0</v>
      </c>
      <c r="AP30" s="627">
        <f t="shared" si="16"/>
        <v>0</v>
      </c>
      <c r="AQ30" s="627">
        <f t="shared" si="16"/>
        <v>0</v>
      </c>
      <c r="AR30" s="627">
        <f t="shared" si="16"/>
        <v>0.13326745529215525</v>
      </c>
      <c r="AS30" s="627">
        <f t="shared" si="16"/>
        <v>4.6796640130361028E-2</v>
      </c>
      <c r="AT30" s="627">
        <f t="shared" si="16"/>
        <v>0</v>
      </c>
      <c r="AU30" s="627">
        <f t="shared" si="16"/>
        <v>9.8494047517959343E-2</v>
      </c>
      <c r="AV30" s="627">
        <f t="shared" si="16"/>
        <v>3.0224253668043363E-2</v>
      </c>
      <c r="AW30" s="627">
        <f t="shared" si="16"/>
        <v>1.6121457562899004E-3</v>
      </c>
      <c r="AX30" s="627">
        <f t="shared" si="16"/>
        <v>3.0054944282060774E-3</v>
      </c>
      <c r="AY30" s="627">
        <f t="shared" si="16"/>
        <v>0</v>
      </c>
      <c r="AZ30" s="627">
        <f t="shared" si="16"/>
        <v>9.1414241081285597E-2</v>
      </c>
      <c r="BA30" s="627">
        <f t="shared" si="16"/>
        <v>1.2244864663438049E-2</v>
      </c>
      <c r="BB30" s="627">
        <f t="shared" si="16"/>
        <v>6.5375727096296882E-2</v>
      </c>
      <c r="BC30" s="627">
        <f t="shared" si="16"/>
        <v>0</v>
      </c>
      <c r="BD30" s="627">
        <f t="shared" si="16"/>
        <v>0</v>
      </c>
      <c r="BE30" s="627">
        <f t="shared" si="16"/>
        <v>7.3572215749329428E-2</v>
      </c>
      <c r="BF30" s="627">
        <f t="shared" ref="BF30" si="17">+BF28/BF29</f>
        <v>1.7270890365251507E-2</v>
      </c>
    </row>
    <row r="31" spans="1:58" x14ac:dyDescent="0.2">
      <c r="A31" s="765"/>
      <c r="B31" s="376"/>
      <c r="C31" s="628"/>
      <c r="D31" s="628"/>
      <c r="E31" s="628"/>
      <c r="F31" s="628"/>
      <c r="G31" s="628"/>
      <c r="H31" s="628"/>
      <c r="I31" s="628"/>
      <c r="J31" s="628"/>
      <c r="K31" s="628"/>
      <c r="L31" s="628"/>
      <c r="M31" s="628"/>
      <c r="N31" s="628"/>
      <c r="O31" s="628"/>
      <c r="P31" s="628"/>
      <c r="Q31" s="628"/>
      <c r="R31" s="628"/>
      <c r="S31" s="628"/>
      <c r="T31" s="628"/>
      <c r="U31" s="628"/>
      <c r="V31" s="628"/>
      <c r="W31" s="628"/>
      <c r="X31" s="628"/>
      <c r="Y31" s="628"/>
      <c r="Z31" s="628"/>
      <c r="AA31" s="628"/>
      <c r="AB31" s="628"/>
      <c r="AC31" s="628"/>
      <c r="AD31" s="628"/>
      <c r="AE31" s="628"/>
      <c r="AF31" s="628"/>
      <c r="AG31" s="628"/>
      <c r="AH31" s="628"/>
      <c r="AI31" s="628"/>
      <c r="AJ31" s="628"/>
      <c r="AK31" s="628"/>
      <c r="AL31" s="628"/>
      <c r="AM31" s="628"/>
      <c r="AN31" s="628"/>
      <c r="AO31" s="628"/>
      <c r="AP31" s="628"/>
      <c r="AQ31" s="628"/>
      <c r="AR31" s="628"/>
      <c r="AS31" s="628"/>
      <c r="AT31" s="628"/>
      <c r="AU31" s="628"/>
      <c r="AV31" s="628"/>
      <c r="AW31" s="628"/>
      <c r="AX31" s="628"/>
      <c r="AY31" s="628"/>
      <c r="AZ31" s="628"/>
      <c r="BA31" s="628"/>
      <c r="BB31" s="628"/>
      <c r="BC31" s="628"/>
      <c r="BD31" s="628"/>
      <c r="BE31" s="628"/>
      <c r="BF31" s="628"/>
    </row>
    <row r="32" spans="1:58" x14ac:dyDescent="0.2">
      <c r="A32" s="1815" t="s">
        <v>1018</v>
      </c>
      <c r="B32" s="376" t="s">
        <v>1018</v>
      </c>
      <c r="C32" s="625">
        <f>+C18+C13</f>
        <v>12835.643885714286</v>
      </c>
      <c r="D32" s="625">
        <f t="shared" ref="D32:BE32" si="18">+D18+D13</f>
        <v>12956.694</v>
      </c>
      <c r="E32" s="625">
        <f t="shared" si="18"/>
        <v>9689.24</v>
      </c>
      <c r="F32" s="625">
        <f t="shared" si="18"/>
        <v>209002.15108571431</v>
      </c>
      <c r="G32" s="625">
        <f t="shared" si="18"/>
        <v>44115.257142857139</v>
      </c>
      <c r="H32" s="625">
        <f t="shared" si="18"/>
        <v>8728.6857142857152</v>
      </c>
      <c r="I32" s="625">
        <f t="shared" si="18"/>
        <v>11936.587</v>
      </c>
      <c r="J32" s="625">
        <f t="shared" si="18"/>
        <v>13064.871314285714</v>
      </c>
      <c r="K32" s="625">
        <f t="shared" si="18"/>
        <v>3857.143</v>
      </c>
      <c r="L32" s="625">
        <f t="shared" si="18"/>
        <v>33695.652400000006</v>
      </c>
      <c r="M32" s="625">
        <f t="shared" si="18"/>
        <v>24121</v>
      </c>
      <c r="N32" s="625">
        <f t="shared" si="18"/>
        <v>20204.374</v>
      </c>
      <c r="O32" s="625">
        <f t="shared" si="18"/>
        <v>7720.3397428571425</v>
      </c>
      <c r="P32" s="625">
        <f t="shared" si="18"/>
        <v>39555.62857142857</v>
      </c>
      <c r="Q32" s="625">
        <f t="shared" si="18"/>
        <v>43389.433142857146</v>
      </c>
      <c r="R32" s="625">
        <f t="shared" si="18"/>
        <v>4614.948571428572</v>
      </c>
      <c r="S32" s="625">
        <f t="shared" si="18"/>
        <v>45114.956866666667</v>
      </c>
      <c r="T32" s="625">
        <f t="shared" si="18"/>
        <v>84850.005714285711</v>
      </c>
      <c r="U32" s="625">
        <f t="shared" si="18"/>
        <v>12935.405714285715</v>
      </c>
      <c r="V32" s="625">
        <f t="shared" si="18"/>
        <v>20943.5</v>
      </c>
      <c r="W32" s="625">
        <f t="shared" si="18"/>
        <v>25743.863599999997</v>
      </c>
      <c r="X32" s="625">
        <f t="shared" si="18"/>
        <v>15090.479428571431</v>
      </c>
      <c r="Y32" s="625">
        <f t="shared" si="18"/>
        <v>7311.6800000000012</v>
      </c>
      <c r="Z32" s="625">
        <f t="shared" si="18"/>
        <v>6480</v>
      </c>
      <c r="AA32" s="625">
        <f t="shared" si="18"/>
        <v>33568.050004761906</v>
      </c>
      <c r="AB32" s="625">
        <f t="shared" si="18"/>
        <v>7314.2857142857147</v>
      </c>
      <c r="AC32" s="625">
        <f t="shared" si="18"/>
        <v>26805.350190476191</v>
      </c>
      <c r="AD32" s="625">
        <f t="shared" si="18"/>
        <v>28349.714285714283</v>
      </c>
      <c r="AE32" s="625">
        <f t="shared" si="18"/>
        <v>133042.72529523808</v>
      </c>
      <c r="AF32" s="625">
        <f t="shared" si="18"/>
        <v>9690.6011428571437</v>
      </c>
      <c r="AG32" s="625">
        <f t="shared" si="18"/>
        <v>7629.3363809523808</v>
      </c>
      <c r="AH32" s="625">
        <f t="shared" si="18"/>
        <v>5980</v>
      </c>
      <c r="AI32" s="625">
        <f t="shared" si="18"/>
        <v>16641.013571428572</v>
      </c>
      <c r="AJ32" s="625">
        <f t="shared" si="18"/>
        <v>405.24848571428572</v>
      </c>
      <c r="AK32" s="625">
        <f t="shared" si="18"/>
        <v>0</v>
      </c>
      <c r="AL32" s="625">
        <f t="shared" si="18"/>
        <v>31061.573285714287</v>
      </c>
      <c r="AM32" s="625">
        <f t="shared" si="18"/>
        <v>23476.290100000002</v>
      </c>
      <c r="AN32" s="625">
        <f t="shared" si="18"/>
        <v>19825.337600000003</v>
      </c>
      <c r="AO32" s="625">
        <f t="shared" si="18"/>
        <v>5366.1904761904761</v>
      </c>
      <c r="AP32" s="625">
        <f t="shared" si="18"/>
        <v>9356.7142857142862</v>
      </c>
      <c r="AQ32" s="625">
        <f t="shared" si="18"/>
        <v>20293.904761904763</v>
      </c>
      <c r="AR32" s="625">
        <f t="shared" si="18"/>
        <v>65477.786999999997</v>
      </c>
      <c r="AS32" s="625">
        <f t="shared" si="18"/>
        <v>5181.333333333333</v>
      </c>
      <c r="AT32" s="625">
        <f t="shared" si="18"/>
        <v>0</v>
      </c>
      <c r="AU32" s="625">
        <f t="shared" si="18"/>
        <v>14054.142857142859</v>
      </c>
      <c r="AV32" s="625">
        <f t="shared" si="18"/>
        <v>15078.011999999999</v>
      </c>
      <c r="AW32" s="625">
        <f t="shared" si="18"/>
        <v>10096.633</v>
      </c>
      <c r="AX32" s="625">
        <f t="shared" si="18"/>
        <v>9464.7844809523813</v>
      </c>
      <c r="AY32" s="625">
        <f t="shared" si="18"/>
        <v>16990.290400000002</v>
      </c>
      <c r="AZ32" s="625">
        <f t="shared" si="18"/>
        <v>12982.119047619046</v>
      </c>
      <c r="BA32" s="625">
        <f t="shared" si="18"/>
        <v>13368.214857142857</v>
      </c>
      <c r="BB32" s="625">
        <f t="shared" si="18"/>
        <v>3822.105</v>
      </c>
      <c r="BC32" s="625">
        <f t="shared" si="18"/>
        <v>2530</v>
      </c>
      <c r="BD32" s="625">
        <f t="shared" si="18"/>
        <v>529.5</v>
      </c>
      <c r="BE32" s="625">
        <f t="shared" si="18"/>
        <v>7354.2857142857138</v>
      </c>
      <c r="BF32" s="625">
        <f t="shared" ref="BF32" si="19">+BF18+BF13</f>
        <v>9935.7839999999997</v>
      </c>
    </row>
    <row r="33" spans="1:59" x14ac:dyDescent="0.2">
      <c r="A33" s="1816"/>
      <c r="B33" s="376" t="s">
        <v>1019</v>
      </c>
      <c r="C33" s="766">
        <v>0.02</v>
      </c>
      <c r="D33" s="766">
        <v>0.02</v>
      </c>
      <c r="E33" s="766">
        <v>0.02</v>
      </c>
      <c r="F33" s="766">
        <v>0.02</v>
      </c>
      <c r="G33" s="766">
        <v>0.02</v>
      </c>
      <c r="H33" s="766">
        <v>0.02</v>
      </c>
      <c r="I33" s="766">
        <v>0.02</v>
      </c>
      <c r="J33" s="766">
        <v>0.02</v>
      </c>
      <c r="K33" s="766">
        <v>0.02</v>
      </c>
      <c r="L33" s="766">
        <v>0.02</v>
      </c>
      <c r="M33" s="766">
        <v>0.02</v>
      </c>
      <c r="N33" s="766">
        <v>0.02</v>
      </c>
      <c r="O33" s="766">
        <v>0.02</v>
      </c>
      <c r="P33" s="766">
        <v>0.02</v>
      </c>
      <c r="Q33" s="766">
        <v>0.02</v>
      </c>
      <c r="R33" s="766">
        <v>0.02</v>
      </c>
      <c r="S33" s="766">
        <v>0.02</v>
      </c>
      <c r="T33" s="766">
        <v>0.02</v>
      </c>
      <c r="U33" s="766">
        <v>0.02</v>
      </c>
      <c r="V33" s="766">
        <v>0.02</v>
      </c>
      <c r="W33" s="766">
        <v>0.02</v>
      </c>
      <c r="X33" s="766">
        <v>0.02</v>
      </c>
      <c r="Y33" s="766">
        <v>0.02</v>
      </c>
      <c r="Z33" s="766">
        <v>0.02</v>
      </c>
      <c r="AA33" s="766">
        <v>0.02</v>
      </c>
      <c r="AB33" s="766">
        <v>0.02</v>
      </c>
      <c r="AC33" s="766">
        <v>0.02</v>
      </c>
      <c r="AD33" s="766">
        <v>0.02</v>
      </c>
      <c r="AE33" s="766">
        <v>0.02</v>
      </c>
      <c r="AF33" s="766">
        <v>0.02</v>
      </c>
      <c r="AG33" s="766">
        <v>0.02</v>
      </c>
      <c r="AH33" s="766">
        <v>0.02</v>
      </c>
      <c r="AI33" s="766">
        <v>0.02</v>
      </c>
      <c r="AJ33" s="766">
        <v>0.02</v>
      </c>
      <c r="AK33" s="766">
        <v>0.02</v>
      </c>
      <c r="AL33" s="766">
        <v>0.02</v>
      </c>
      <c r="AM33" s="766">
        <v>0.02</v>
      </c>
      <c r="AN33" s="766">
        <v>0.02</v>
      </c>
      <c r="AO33" s="766">
        <v>0.02</v>
      </c>
      <c r="AP33" s="766">
        <v>0.02</v>
      </c>
      <c r="AQ33" s="766">
        <v>0.02</v>
      </c>
      <c r="AR33" s="766">
        <v>0.02</v>
      </c>
      <c r="AS33" s="766">
        <v>0.02</v>
      </c>
      <c r="AT33" s="766">
        <v>0.02</v>
      </c>
      <c r="AU33" s="766">
        <v>0.02</v>
      </c>
      <c r="AV33" s="766">
        <v>0.02</v>
      </c>
      <c r="AW33" s="766">
        <v>0.02</v>
      </c>
      <c r="AX33" s="766">
        <v>0.02</v>
      </c>
      <c r="AY33" s="766">
        <v>0.02</v>
      </c>
      <c r="AZ33" s="766">
        <v>0.02</v>
      </c>
      <c r="BA33" s="766">
        <v>0.02</v>
      </c>
      <c r="BB33" s="766">
        <v>0.02</v>
      </c>
      <c r="BC33" s="766">
        <v>0.02</v>
      </c>
      <c r="BD33" s="766">
        <v>0.02</v>
      </c>
      <c r="BE33" s="766">
        <v>0.02</v>
      </c>
      <c r="BF33" s="766">
        <v>0.02</v>
      </c>
    </row>
    <row r="34" spans="1:59" x14ac:dyDescent="0.2">
      <c r="A34" s="1816"/>
      <c r="B34" s="376" t="s">
        <v>1020</v>
      </c>
      <c r="C34" s="625">
        <f>+C10</f>
        <v>10780.42</v>
      </c>
      <c r="D34" s="625">
        <f t="shared" ref="D34:BE34" si="20">+D10</f>
        <v>9340.4369999999999</v>
      </c>
      <c r="E34" s="625">
        <f t="shared" si="20"/>
        <v>4262.473</v>
      </c>
      <c r="F34" s="625">
        <f t="shared" si="20"/>
        <v>54306.558000000005</v>
      </c>
      <c r="G34" s="625">
        <f t="shared" si="20"/>
        <v>17049.447</v>
      </c>
      <c r="H34" s="625">
        <f t="shared" si="20"/>
        <v>2004.4870000000001</v>
      </c>
      <c r="I34" s="625">
        <f t="shared" si="20"/>
        <v>4334.6769999999997</v>
      </c>
      <c r="J34" s="625">
        <f t="shared" si="20"/>
        <v>7271.4120000000003</v>
      </c>
      <c r="K34" s="625">
        <f t="shared" si="20"/>
        <v>5391.3759999999993</v>
      </c>
      <c r="L34" s="625">
        <f t="shared" si="20"/>
        <v>9928.9809999999998</v>
      </c>
      <c r="M34" s="625">
        <f t="shared" si="20"/>
        <v>16724.746999999999</v>
      </c>
      <c r="N34" s="625">
        <f t="shared" si="20"/>
        <v>9228.0609999999997</v>
      </c>
      <c r="O34" s="625">
        <f t="shared" si="20"/>
        <v>5681.5389999999998</v>
      </c>
      <c r="P34" s="625">
        <f t="shared" si="20"/>
        <v>4715.7889999999998</v>
      </c>
      <c r="Q34" s="625">
        <f t="shared" si="20"/>
        <v>20929.161</v>
      </c>
      <c r="R34" s="625">
        <f t="shared" si="20"/>
        <v>18659.955999999998</v>
      </c>
      <c r="S34" s="625">
        <f t="shared" si="20"/>
        <v>19665.205999999998</v>
      </c>
      <c r="T34" s="625">
        <f t="shared" si="20"/>
        <v>19849.735000000001</v>
      </c>
      <c r="U34" s="625">
        <f t="shared" si="20"/>
        <v>11081.690999999999</v>
      </c>
      <c r="V34" s="625">
        <f t="shared" si="20"/>
        <v>8586.9550000000017</v>
      </c>
      <c r="W34" s="625">
        <f t="shared" si="20"/>
        <v>8741.3060000000005</v>
      </c>
      <c r="X34" s="625">
        <f t="shared" si="20"/>
        <v>6495.7709999999997</v>
      </c>
      <c r="Y34" s="625">
        <f t="shared" si="20"/>
        <v>3201.0769999999998</v>
      </c>
      <c r="Z34" s="625">
        <f t="shared" si="20"/>
        <v>3917.029</v>
      </c>
      <c r="AA34" s="625">
        <f t="shared" si="20"/>
        <v>6640.0940000000001</v>
      </c>
      <c r="AB34" s="625">
        <f t="shared" si="20"/>
        <v>6789.9260000000004</v>
      </c>
      <c r="AC34" s="625">
        <f t="shared" si="20"/>
        <v>10469.824999999999</v>
      </c>
      <c r="AD34" s="625">
        <f t="shared" si="20"/>
        <v>4708.6639999999998</v>
      </c>
      <c r="AE34" s="625">
        <f t="shared" si="20"/>
        <v>23115.748</v>
      </c>
      <c r="AF34" s="625">
        <f t="shared" si="20"/>
        <v>5412.576</v>
      </c>
      <c r="AG34" s="625">
        <f t="shared" si="20"/>
        <v>3747.5639999999999</v>
      </c>
      <c r="AH34" s="625">
        <f t="shared" si="20"/>
        <v>3174.326</v>
      </c>
      <c r="AI34" s="625">
        <f t="shared" si="20"/>
        <v>3853.471</v>
      </c>
      <c r="AJ34" s="625">
        <f t="shared" si="20"/>
        <v>3276.6880000000001</v>
      </c>
      <c r="AK34" s="625">
        <f t="shared" si="20"/>
        <v>2922.759</v>
      </c>
      <c r="AL34" s="625">
        <f t="shared" si="20"/>
        <v>46124.361000000004</v>
      </c>
      <c r="AM34" s="625">
        <f t="shared" si="20"/>
        <v>5738.3119999999999</v>
      </c>
      <c r="AN34" s="625">
        <f t="shared" si="20"/>
        <v>12026.431</v>
      </c>
      <c r="AO34" s="625">
        <f t="shared" si="20"/>
        <v>3748.2510000000002</v>
      </c>
      <c r="AP34" s="625">
        <f t="shared" si="20"/>
        <v>9026.4089999999997</v>
      </c>
      <c r="AQ34" s="625">
        <f t="shared" si="20"/>
        <v>5354.7740000000003</v>
      </c>
      <c r="AR34" s="625">
        <f t="shared" si="20"/>
        <v>10326.152000000002</v>
      </c>
      <c r="AS34" s="625">
        <f t="shared" si="20"/>
        <v>3423.1089999999999</v>
      </c>
      <c r="AT34" s="625">
        <f t="shared" si="20"/>
        <v>2910.1680000000001</v>
      </c>
      <c r="AU34" s="625">
        <f t="shared" si="20"/>
        <v>4710.6399999999994</v>
      </c>
      <c r="AV34" s="625">
        <f t="shared" si="20"/>
        <v>5711.9690000000001</v>
      </c>
      <c r="AW34" s="625">
        <f t="shared" si="20"/>
        <v>7207.7849999999999</v>
      </c>
      <c r="AX34" s="625">
        <f t="shared" si="20"/>
        <v>14360.366</v>
      </c>
      <c r="AY34" s="625">
        <f t="shared" si="20"/>
        <v>6640.4369999999999</v>
      </c>
      <c r="AZ34" s="625">
        <f t="shared" si="20"/>
        <v>5883.2190000000001</v>
      </c>
      <c r="BA34" s="625">
        <f t="shared" si="20"/>
        <v>5761.5990000000002</v>
      </c>
      <c r="BB34" s="625">
        <f t="shared" si="20"/>
        <v>4786.3330000000005</v>
      </c>
      <c r="BC34" s="625">
        <f t="shared" si="20"/>
        <v>6044.5029999999997</v>
      </c>
      <c r="BD34" s="625">
        <f t="shared" si="20"/>
        <v>975.60500000000002</v>
      </c>
      <c r="BE34" s="625">
        <f t="shared" si="20"/>
        <v>1173.269</v>
      </c>
      <c r="BF34" s="625">
        <f t="shared" ref="BF34" si="21">+BF10</f>
        <v>10422.161</v>
      </c>
    </row>
    <row r="35" spans="1:59" x14ac:dyDescent="0.2">
      <c r="A35" s="1817"/>
      <c r="B35" s="376" t="s">
        <v>1021</v>
      </c>
      <c r="C35" s="627">
        <f>+C32*C33/C34</f>
        <v>2.3812882773981504E-2</v>
      </c>
      <c r="D35" s="627">
        <f t="shared" ref="D35:BE35" si="22">+D32*D33/D34</f>
        <v>2.7743228716172484E-2</v>
      </c>
      <c r="E35" s="627">
        <f t="shared" si="22"/>
        <v>4.5462997654178688E-2</v>
      </c>
      <c r="F35" s="628">
        <f t="shared" si="22"/>
        <v>7.6971238385505597E-2</v>
      </c>
      <c r="G35" s="628">
        <f t="shared" si="22"/>
        <v>5.1749780673657202E-2</v>
      </c>
      <c r="H35" s="628">
        <f t="shared" si="22"/>
        <v>8.7091467435665246E-2</v>
      </c>
      <c r="I35" s="628">
        <f t="shared" si="22"/>
        <v>5.5074862556079733E-2</v>
      </c>
      <c r="J35" s="628">
        <f t="shared" si="22"/>
        <v>3.5934894940035614E-2</v>
      </c>
      <c r="K35" s="628">
        <f t="shared" si="22"/>
        <v>1.4308566124863116E-2</v>
      </c>
      <c r="L35" s="628">
        <f t="shared" si="22"/>
        <v>6.7873334433815533E-2</v>
      </c>
      <c r="M35" s="628">
        <f t="shared" si="22"/>
        <v>2.8844681477094992E-2</v>
      </c>
      <c r="N35" s="628">
        <f t="shared" si="22"/>
        <v>4.3788990991715383E-2</v>
      </c>
      <c r="O35" s="628">
        <f t="shared" si="22"/>
        <v>2.7176931260551561E-2</v>
      </c>
      <c r="P35" s="628">
        <f t="shared" si="22"/>
        <v>0.16775826302418778</v>
      </c>
      <c r="Q35" s="628">
        <f t="shared" si="22"/>
        <v>4.1463136666450365E-2</v>
      </c>
      <c r="R35" s="628">
        <f t="shared" si="22"/>
        <v>4.9463659736695767E-3</v>
      </c>
      <c r="S35" s="628">
        <f t="shared" si="22"/>
        <v>4.5883024939242109E-2</v>
      </c>
      <c r="T35" s="628">
        <f t="shared" si="22"/>
        <v>8.5492330969945657E-2</v>
      </c>
      <c r="U35" s="628">
        <f t="shared" si="22"/>
        <v>2.3345544852831066E-2</v>
      </c>
      <c r="V35" s="628">
        <f t="shared" si="22"/>
        <v>4.8779806112877022E-2</v>
      </c>
      <c r="W35" s="628">
        <f t="shared" si="22"/>
        <v>5.8901641470965542E-2</v>
      </c>
      <c r="X35" s="628">
        <f t="shared" si="22"/>
        <v>4.6462473595733071E-2</v>
      </c>
      <c r="Y35" s="628">
        <f t="shared" si="22"/>
        <v>4.5682624941543119E-2</v>
      </c>
      <c r="Z35" s="628">
        <f t="shared" si="22"/>
        <v>3.308630086731551E-2</v>
      </c>
      <c r="AA35" s="628">
        <f t="shared" si="22"/>
        <v>0.10110715301549017</v>
      </c>
      <c r="AB35" s="628">
        <f t="shared" si="22"/>
        <v>2.1544522618613855E-2</v>
      </c>
      <c r="AC35" s="628">
        <f t="shared" si="22"/>
        <v>5.1204963197524683E-2</v>
      </c>
      <c r="AD35" s="628">
        <f t="shared" si="22"/>
        <v>0.12041510834374372</v>
      </c>
      <c r="AE35" s="628">
        <f t="shared" si="22"/>
        <v>0.11511003260222259</v>
      </c>
      <c r="AF35" s="627">
        <f t="shared" si="22"/>
        <v>3.580772313536898E-2</v>
      </c>
      <c r="AG35" s="628">
        <f t="shared" si="22"/>
        <v>4.0716243303395919E-2</v>
      </c>
      <c r="AH35" s="628">
        <f t="shared" si="22"/>
        <v>3.767728960415534E-2</v>
      </c>
      <c r="AI35" s="628">
        <f t="shared" si="22"/>
        <v>8.6368957085332015E-2</v>
      </c>
      <c r="AJ35" s="628">
        <f t="shared" si="22"/>
        <v>2.4735250088765586E-3</v>
      </c>
      <c r="AK35" s="628">
        <f t="shared" si="22"/>
        <v>0</v>
      </c>
      <c r="AL35" s="628">
        <f t="shared" si="22"/>
        <v>1.3468619450669152E-2</v>
      </c>
      <c r="AM35" s="628">
        <f t="shared" si="22"/>
        <v>8.1822982438041023E-2</v>
      </c>
      <c r="AN35" s="628">
        <f t="shared" si="22"/>
        <v>3.2969611017599487E-2</v>
      </c>
      <c r="AO35" s="628">
        <f t="shared" si="22"/>
        <v>2.8633036988133805E-2</v>
      </c>
      <c r="AP35" s="628">
        <f t="shared" si="22"/>
        <v>2.0731864212477604E-2</v>
      </c>
      <c r="AQ35" s="628">
        <f t="shared" si="22"/>
        <v>7.5797427723017868E-2</v>
      </c>
      <c r="AR35" s="628">
        <f t="shared" si="22"/>
        <v>0.1268193359927299</v>
      </c>
      <c r="AS35" s="628">
        <f t="shared" si="22"/>
        <v>3.0272675122722258E-2</v>
      </c>
      <c r="AT35" s="628">
        <f t="shared" si="22"/>
        <v>0</v>
      </c>
      <c r="AU35" s="628">
        <f t="shared" si="22"/>
        <v>5.9669780994271948E-2</v>
      </c>
      <c r="AV35" s="628">
        <f t="shared" si="22"/>
        <v>5.2794446188345903E-2</v>
      </c>
      <c r="AW35" s="628">
        <f t="shared" si="22"/>
        <v>2.8015910574469133E-2</v>
      </c>
      <c r="AX35" s="628">
        <f t="shared" si="22"/>
        <v>1.3181815116623604E-2</v>
      </c>
      <c r="AY35" s="628">
        <f t="shared" si="22"/>
        <v>5.1172205684655997E-2</v>
      </c>
      <c r="AZ35" s="628">
        <f t="shared" si="22"/>
        <v>4.4132707103437911E-2</v>
      </c>
      <c r="BA35" s="628">
        <f t="shared" si="22"/>
        <v>4.6404530607363881E-2</v>
      </c>
      <c r="BB35" s="628">
        <f t="shared" si="22"/>
        <v>1.5970911342775354E-2</v>
      </c>
      <c r="BC35" s="628">
        <f t="shared" si="22"/>
        <v>8.3712424330006953E-3</v>
      </c>
      <c r="BD35" s="628">
        <f t="shared" si="22"/>
        <v>1.0854802917164222E-2</v>
      </c>
      <c r="BE35" s="628">
        <f t="shared" si="22"/>
        <v>0.12536401650918441</v>
      </c>
      <c r="BF35" s="628">
        <f t="shared" ref="BF35" si="23">+BF32*BF33/BF34</f>
        <v>1.9066648461868896E-2</v>
      </c>
    </row>
    <row r="36" spans="1:59" x14ac:dyDescent="0.2">
      <c r="A36" s="765"/>
      <c r="B36" s="376"/>
      <c r="C36" s="628"/>
      <c r="D36" s="628"/>
      <c r="E36" s="628"/>
      <c r="F36" s="628"/>
      <c r="G36" s="628"/>
      <c r="H36" s="628"/>
      <c r="I36" s="628"/>
      <c r="J36" s="628"/>
      <c r="K36" s="628"/>
      <c r="L36" s="628"/>
      <c r="M36" s="628"/>
      <c r="N36" s="628"/>
      <c r="O36" s="628"/>
      <c r="P36" s="628"/>
      <c r="Q36" s="628"/>
      <c r="R36" s="628"/>
      <c r="S36" s="628"/>
      <c r="T36" s="628"/>
      <c r="U36" s="628"/>
      <c r="V36" s="628"/>
      <c r="W36" s="628"/>
      <c r="X36" s="628"/>
      <c r="Y36" s="628"/>
      <c r="Z36" s="628"/>
      <c r="AA36" s="628"/>
      <c r="AB36" s="628"/>
      <c r="AC36" s="628"/>
      <c r="AD36" s="628"/>
      <c r="AE36" s="628"/>
      <c r="AF36" s="628"/>
      <c r="AG36" s="628"/>
      <c r="AH36" s="628"/>
      <c r="AI36" s="628"/>
      <c r="AJ36" s="628"/>
      <c r="AK36" s="628"/>
      <c r="AL36" s="628"/>
      <c r="AM36" s="628"/>
      <c r="AN36" s="628"/>
      <c r="AO36" s="628"/>
      <c r="AP36" s="628"/>
      <c r="AQ36" s="628"/>
      <c r="AR36" s="628"/>
      <c r="AS36" s="628"/>
      <c r="AT36" s="628"/>
      <c r="AU36" s="628"/>
      <c r="AV36" s="628"/>
      <c r="AW36" s="628"/>
      <c r="AX36" s="628"/>
      <c r="AY36" s="628"/>
      <c r="AZ36" s="628"/>
      <c r="BA36" s="628"/>
      <c r="BB36" s="628"/>
      <c r="BC36" s="628"/>
      <c r="BD36" s="628"/>
      <c r="BE36" s="628"/>
      <c r="BF36" s="628"/>
    </row>
    <row r="37" spans="1:59" x14ac:dyDescent="0.2">
      <c r="A37" s="765" t="s">
        <v>1022</v>
      </c>
      <c r="B37" s="376"/>
      <c r="C37" s="628"/>
      <c r="D37" s="628"/>
      <c r="E37" s="628"/>
      <c r="F37" s="628"/>
      <c r="G37" s="628"/>
      <c r="H37" s="628"/>
      <c r="I37" s="628"/>
      <c r="J37" s="628"/>
      <c r="K37" s="628"/>
      <c r="L37" s="628"/>
      <c r="M37" s="628"/>
      <c r="N37" s="628"/>
      <c r="O37" s="628"/>
      <c r="P37" s="628"/>
      <c r="Q37" s="628"/>
      <c r="R37" s="628"/>
      <c r="S37" s="628"/>
      <c r="T37" s="628"/>
      <c r="U37" s="628"/>
      <c r="V37" s="628"/>
      <c r="W37" s="628"/>
      <c r="X37" s="628"/>
      <c r="Y37" s="628"/>
      <c r="Z37" s="628"/>
      <c r="AA37" s="628"/>
      <c r="AB37" s="628"/>
      <c r="AC37" s="628"/>
      <c r="AD37" s="628"/>
      <c r="AE37" s="628"/>
      <c r="AF37" s="628"/>
      <c r="AG37" s="628"/>
      <c r="AH37" s="628"/>
      <c r="AI37" s="628"/>
      <c r="AJ37" s="628"/>
      <c r="AK37" s="628"/>
      <c r="AL37" s="628"/>
      <c r="AM37" s="628"/>
      <c r="AN37" s="628"/>
      <c r="AO37" s="628"/>
      <c r="AP37" s="628"/>
      <c r="AQ37" s="628"/>
      <c r="AR37" s="628"/>
      <c r="AS37" s="628"/>
      <c r="AT37" s="628"/>
      <c r="AU37" s="628"/>
      <c r="AV37" s="628"/>
      <c r="AW37" s="628"/>
      <c r="AX37" s="628"/>
      <c r="AY37" s="628"/>
      <c r="AZ37" s="628"/>
      <c r="BA37" s="628"/>
      <c r="BB37" s="628"/>
      <c r="BC37" s="628"/>
      <c r="BD37" s="628"/>
      <c r="BE37" s="628"/>
      <c r="BF37" s="628"/>
    </row>
    <row r="38" spans="1:59" x14ac:dyDescent="0.2">
      <c r="A38" s="1815" t="s">
        <v>1023</v>
      </c>
      <c r="B38" s="376" t="s">
        <v>1024</v>
      </c>
      <c r="C38" s="625">
        <f>+HLOOKUP(C4,'פירוט נכסי מים וביוב'!$1:$289,169,0)</f>
        <v>91502.490971428575</v>
      </c>
      <c r="D38" s="625">
        <f>+HLOOKUP(D4,'פירוט נכסי מים וביוב'!$1:$289,169,0)</f>
        <v>124317.273</v>
      </c>
      <c r="E38" s="625">
        <f>+HLOOKUP(E4,'פירוט נכסי מים וביוב'!$1:$289,169,0)</f>
        <v>88651.365999999995</v>
      </c>
      <c r="F38" s="625">
        <f>+HLOOKUP(F4,'פירוט נכסי מים וביוב'!$1:$289,169,0)</f>
        <v>692759.92871428572</v>
      </c>
      <c r="G38" s="625">
        <f>+HLOOKUP(G4,'פירוט נכסי מים וביוב'!$1:$289,169,0)</f>
        <v>155322.45714285714</v>
      </c>
      <c r="H38" s="625">
        <f>+HLOOKUP(H4,'פירוט נכסי מים וביוב'!$1:$289,169,0)</f>
        <v>50380.93942857143</v>
      </c>
      <c r="I38" s="625">
        <f>+HLOOKUP(I4,'פירוט נכסי מים וביוב'!$1:$289,169,0)</f>
        <v>119735.52</v>
      </c>
      <c r="J38" s="625">
        <f>+HLOOKUP(J4,'פירוט נכסי מים וביוב'!$1:$289,169,0)</f>
        <v>89531.376000000004</v>
      </c>
      <c r="K38" s="625">
        <f>+HLOOKUP(K4,'פירוט נכסי מים וביוב'!$1:$289,169,0)</f>
        <v>89577.744999999995</v>
      </c>
      <c r="L38" s="625">
        <f>+HLOOKUP(L4,'פירוט נכסי מים וביוב'!$1:$289,169,0)</f>
        <v>152910.00599999999</v>
      </c>
      <c r="M38" s="625">
        <f>+HLOOKUP(M4,'פירוט נכסי מים וביוב'!$1:$289,169,0)</f>
        <v>213946.62239999999</v>
      </c>
      <c r="N38" s="625">
        <f>+HLOOKUP(N4,'פירוט נכסי מים וביוב'!$1:$289,169,0)</f>
        <v>168045.25399999999</v>
      </c>
      <c r="O38" s="625">
        <f>+HLOOKUP(O4,'פירוט נכסי מים וביוב'!$1:$289,169,0)</f>
        <v>74886.082885714291</v>
      </c>
      <c r="P38" s="625">
        <f>+HLOOKUP(P4,'פירוט נכסי מים וביוב'!$1:$289,169,0)</f>
        <v>89532.621219047622</v>
      </c>
      <c r="Q38" s="625">
        <f>+HLOOKUP(Q4,'פירוט נכסי מים וביוב'!$1:$289,169,0)</f>
        <v>385899.78122857143</v>
      </c>
      <c r="R38" s="625">
        <f>+HLOOKUP(R4,'פירוט נכסי מים וביוב'!$1:$289,169,0)</f>
        <v>232322.9583142857</v>
      </c>
      <c r="S38" s="625">
        <f>+HLOOKUP(S4,'פירוט נכסי מים וביוב'!$1:$289,169,0)</f>
        <v>286953.47271428572</v>
      </c>
      <c r="T38" s="625">
        <f>+HLOOKUP(T4,'פירוט נכסי מים וביוב'!$1:$289,169,0)</f>
        <v>318401.36365714285</v>
      </c>
      <c r="U38" s="625">
        <f>+HLOOKUP(U4,'פירוט נכסי מים וביוב'!$1:$289,169,0)</f>
        <v>118379.52</v>
      </c>
      <c r="V38" s="625">
        <f>+HLOOKUP(V4,'פירוט נכסי מים וביוב'!$1:$289,169,0)</f>
        <v>219250.03400000001</v>
      </c>
      <c r="W38" s="625">
        <f>+HLOOKUP(W4,'פירוט נכסי מים וביוב'!$1:$289,169,0)</f>
        <v>118136.59932800001</v>
      </c>
      <c r="X38" s="625">
        <f>+HLOOKUP(X4,'פירוט נכסי מים וביוב'!$1:$289,169,0)</f>
        <v>101699.02057142857</v>
      </c>
      <c r="Y38" s="625">
        <f>+HLOOKUP(Y4,'פירוט נכסי מים וביוב'!$1:$289,169,0)</f>
        <v>84187.454628571417</v>
      </c>
      <c r="Z38" s="625">
        <f>+HLOOKUP(Z4,'פירוט נכסי מים וביוב'!$1:$289,169,0)</f>
        <v>83966.664628571423</v>
      </c>
      <c r="AA38" s="625">
        <f>+HLOOKUP(AA4,'פירוט נכסי מים וביוב'!$1:$289,169,0)</f>
        <v>108524.93452380953</v>
      </c>
      <c r="AB38" s="625">
        <f>+HLOOKUP(AB4,'פירוט נכסי מים וביוב'!$1:$289,169,0)</f>
        <v>58824.76</v>
      </c>
      <c r="AC38" s="625">
        <f>+HLOOKUP(AC4,'פירוט נכסי מים וביוב'!$1:$289,169,0)</f>
        <v>130573.94426190476</v>
      </c>
      <c r="AD38" s="625">
        <f>+HLOOKUP(AD4,'פירוט נכסי מים וביוב'!$1:$289,169,0)</f>
        <v>68613.648685714288</v>
      </c>
      <c r="AE38" s="625">
        <f>+HLOOKUP(AE4,'פירוט נכסי מים וביוב'!$1:$289,169,0)</f>
        <v>536612.49802857148</v>
      </c>
      <c r="AF38" s="625">
        <f>+HLOOKUP(AF4,'פירוט נכסי מים וביוב'!$1:$289,169,0)</f>
        <v>70011.544761904763</v>
      </c>
      <c r="AG38" s="625">
        <f>+HLOOKUP(AG4,'פירוט נכסי מים וביוב'!$1:$289,169,0)</f>
        <v>49999.311761904763</v>
      </c>
      <c r="AH38" s="625">
        <f>+HLOOKUP(AH4,'פירוט נכסי מים וביוב'!$1:$289,169,0)</f>
        <v>60567.235999999997</v>
      </c>
      <c r="AI38" s="625">
        <f>+HLOOKUP(AI4,'פירוט נכסי מים וביוב'!$1:$289,169,0)</f>
        <v>71695.977857142861</v>
      </c>
      <c r="AJ38" s="625">
        <f>+HLOOKUP(AJ4,'פירוט נכסי מים וביוב'!$1:$289,169,0)</f>
        <v>61339.750485714285</v>
      </c>
      <c r="AK38" s="625">
        <f>+HLOOKUP(AK4,'פירוט נכסי מים וביוב'!$1:$289,169,0)</f>
        <v>41033.697285714283</v>
      </c>
      <c r="AL38" s="625">
        <f>+HLOOKUP(AL4,'פירוט נכסי מים וביוב'!$1:$289,169,0)</f>
        <v>653769.34590476193</v>
      </c>
      <c r="AM38" s="625">
        <f>+HLOOKUP(AM4,'פירוט נכסי מים וביוב'!$1:$289,169,0)</f>
        <v>98542.768790476184</v>
      </c>
      <c r="AN38" s="625">
        <f>+HLOOKUP(AN4,'פירוט נכסי מים וביוב'!$1:$289,169,0)</f>
        <v>168345.65005714286</v>
      </c>
      <c r="AO38" s="625">
        <f>+HLOOKUP(AO4,'פירוט נכסי מים וביוב'!$1:$289,169,0)</f>
        <v>56701.749976190476</v>
      </c>
      <c r="AP38" s="625">
        <f>+HLOOKUP(AP4,'פירוט נכסי מים וביוב'!$1:$289,169,0)</f>
        <v>68873.566400000011</v>
      </c>
      <c r="AQ38" s="625">
        <f>+HLOOKUP(AQ4,'פירוט נכסי מים וביוב'!$1:$289,169,0)</f>
        <v>68826.610990476198</v>
      </c>
      <c r="AR38" s="625">
        <f>+HLOOKUP(AR4,'פירוט נכסי מים וביוב'!$1:$289,169,0)</f>
        <v>172828.69399999999</v>
      </c>
      <c r="AS38" s="625">
        <f>+HLOOKUP(AS4,'פירוט נכסי מים וביוב'!$1:$289,169,0)</f>
        <v>58527.105833333335</v>
      </c>
      <c r="AT38" s="625">
        <f>+HLOOKUP(AT4,'פירוט נכסי מים וביוב'!$1:$289,169,0)</f>
        <v>44573.06</v>
      </c>
      <c r="AU38" s="625">
        <f>+HLOOKUP(AU4,'פירוט נכסי מים וביוב'!$1:$289,169,0)</f>
        <v>95925.047666666651</v>
      </c>
      <c r="AV38" s="625">
        <f>+HLOOKUP(AV4,'פירוט נכסי מים וביוב'!$1:$289,169,0)</f>
        <v>105101.33</v>
      </c>
      <c r="AW38" s="625">
        <f>+HLOOKUP(AW4,'פירוט נכסי מים וביוב'!$1:$289,169,0)</f>
        <v>125377.921</v>
      </c>
      <c r="AX38" s="625">
        <f>+HLOOKUP(AX4,'פירוט נכסי מים וביוב'!$1:$289,169,0)</f>
        <v>160183.71321904761</v>
      </c>
      <c r="AY38" s="625">
        <f>+HLOOKUP(AY4,'פירוט נכסי מים וביוב'!$1:$289,169,0)</f>
        <v>111792.95009523809</v>
      </c>
      <c r="AZ38" s="625">
        <f>+HLOOKUP(AZ4,'פירוט נכסי מים וביוב'!$1:$289,169,0)</f>
        <v>138366.61427619046</v>
      </c>
      <c r="BA38" s="625">
        <f>+HLOOKUP(BA4,'פירוט נכסי מים וביוב'!$1:$289,169,0)</f>
        <v>51467.42635714286</v>
      </c>
      <c r="BB38" s="625">
        <f>+HLOOKUP(BB4,'פירוט נכסי מים וביוב'!$1:$289,169,0)</f>
        <v>57971.004999999997</v>
      </c>
      <c r="BC38" s="625">
        <f>+HLOOKUP(BC4,'פירוט נכסי מים וביוב'!$1:$289,169,0)</f>
        <v>142533.25200000001</v>
      </c>
      <c r="BD38" s="625">
        <f>+HLOOKUP(BD4,'פירוט נכסי מים וביוב'!$1:$289,169,0)</f>
        <v>140027.49695238096</v>
      </c>
      <c r="BE38" s="625">
        <f>+HLOOKUP(BE4,'פירוט נכסי מים וביוב'!$1:$289,169,0)</f>
        <v>13501.964457142858</v>
      </c>
      <c r="BF38" s="625">
        <f>+HLOOKUP(BF4,'פירוט נכסי מים וביוב'!$1:$289,169,0)</f>
        <v>127672.13</v>
      </c>
    </row>
    <row r="39" spans="1:59" x14ac:dyDescent="0.2">
      <c r="A39" s="1816"/>
      <c r="B39" s="376" t="s">
        <v>1025</v>
      </c>
      <c r="C39" s="763">
        <v>1.4999999999999999E-2</v>
      </c>
      <c r="D39" s="763">
        <v>1.4999999999999999E-2</v>
      </c>
      <c r="E39" s="763">
        <v>1.4999999999999999E-2</v>
      </c>
      <c r="F39" s="763">
        <v>1.4999999999999999E-2</v>
      </c>
      <c r="G39" s="763">
        <v>1.4999999999999999E-2</v>
      </c>
      <c r="H39" s="763">
        <v>1.4999999999999999E-2</v>
      </c>
      <c r="I39" s="763">
        <v>1.4999999999999999E-2</v>
      </c>
      <c r="J39" s="763">
        <v>1.4999999999999999E-2</v>
      </c>
      <c r="K39" s="763">
        <v>1.4999999999999999E-2</v>
      </c>
      <c r="L39" s="763">
        <v>1.4999999999999999E-2</v>
      </c>
      <c r="M39" s="763">
        <v>1.4999999999999999E-2</v>
      </c>
      <c r="N39" s="763">
        <v>1.4999999999999999E-2</v>
      </c>
      <c r="O39" s="763">
        <v>1.4999999999999999E-2</v>
      </c>
      <c r="P39" s="763">
        <v>1.4999999999999999E-2</v>
      </c>
      <c r="Q39" s="763">
        <v>1.4999999999999999E-2</v>
      </c>
      <c r="R39" s="763">
        <v>1.4999999999999999E-2</v>
      </c>
      <c r="S39" s="763">
        <v>1.4999999999999999E-2</v>
      </c>
      <c r="T39" s="763">
        <v>1.4999999999999999E-2</v>
      </c>
      <c r="U39" s="763">
        <v>1.4999999999999999E-2</v>
      </c>
      <c r="V39" s="763">
        <v>1.4999999999999999E-2</v>
      </c>
      <c r="W39" s="763">
        <v>1.4999999999999999E-2</v>
      </c>
      <c r="X39" s="763">
        <v>1.4999999999999999E-2</v>
      </c>
      <c r="Y39" s="763">
        <v>1.4999999999999999E-2</v>
      </c>
      <c r="Z39" s="763">
        <v>1.4999999999999999E-2</v>
      </c>
      <c r="AA39" s="763">
        <v>1.4999999999999999E-2</v>
      </c>
      <c r="AB39" s="763">
        <v>1.4999999999999999E-2</v>
      </c>
      <c r="AC39" s="763">
        <v>1.4999999999999999E-2</v>
      </c>
      <c r="AD39" s="763">
        <v>1.4999999999999999E-2</v>
      </c>
      <c r="AE39" s="763">
        <v>1.4999999999999999E-2</v>
      </c>
      <c r="AF39" s="763">
        <v>1.4999999999999999E-2</v>
      </c>
      <c r="AG39" s="763">
        <v>1.4999999999999999E-2</v>
      </c>
      <c r="AH39" s="763">
        <v>1.4999999999999999E-2</v>
      </c>
      <c r="AI39" s="763">
        <v>1.4999999999999999E-2</v>
      </c>
      <c r="AJ39" s="763">
        <v>1.4999999999999999E-2</v>
      </c>
      <c r="AK39" s="763">
        <v>1.4999999999999999E-2</v>
      </c>
      <c r="AL39" s="763">
        <v>1.4999999999999999E-2</v>
      </c>
      <c r="AM39" s="763">
        <v>1.4999999999999999E-2</v>
      </c>
      <c r="AN39" s="763">
        <v>1.4999999999999999E-2</v>
      </c>
      <c r="AO39" s="763">
        <v>1.4999999999999999E-2</v>
      </c>
      <c r="AP39" s="763">
        <v>1.4999999999999999E-2</v>
      </c>
      <c r="AQ39" s="763">
        <v>1.4999999999999999E-2</v>
      </c>
      <c r="AR39" s="763">
        <v>1.4999999999999999E-2</v>
      </c>
      <c r="AS39" s="763">
        <v>1.4999999999999999E-2</v>
      </c>
      <c r="AT39" s="763">
        <v>1.4999999999999999E-2</v>
      </c>
      <c r="AU39" s="763">
        <v>1.4999999999999999E-2</v>
      </c>
      <c r="AV39" s="763">
        <v>1.4999999999999999E-2</v>
      </c>
      <c r="AW39" s="763">
        <v>1.4999999999999999E-2</v>
      </c>
      <c r="AX39" s="763">
        <v>1.4999999999999999E-2</v>
      </c>
      <c r="AY39" s="763">
        <v>1.4999999999999999E-2</v>
      </c>
      <c r="AZ39" s="763">
        <v>1.4999999999999999E-2</v>
      </c>
      <c r="BA39" s="763">
        <v>1.4999999999999999E-2</v>
      </c>
      <c r="BB39" s="763">
        <v>1.4999999999999999E-2</v>
      </c>
      <c r="BC39" s="763">
        <v>1.4999999999999999E-2</v>
      </c>
      <c r="BD39" s="763">
        <v>1.4999999999999999E-2</v>
      </c>
      <c r="BE39" s="763">
        <v>1.4999999999999999E-2</v>
      </c>
      <c r="BF39" s="763">
        <v>1.4999999999999999E-2</v>
      </c>
    </row>
    <row r="40" spans="1:59" x14ac:dyDescent="0.2">
      <c r="A40" s="1816"/>
      <c r="B40" s="376" t="s">
        <v>486</v>
      </c>
      <c r="C40" s="625">
        <f>+C10-+HLOOKUP(C4,'נתוני תאגידים'!$1:$713,356,0)</f>
        <v>10687.855</v>
      </c>
      <c r="D40" s="625">
        <f>+D10-+HLOOKUP(D4,'נתוני תאגידים'!$1:$713,356,0)</f>
        <v>9055.2800000000007</v>
      </c>
      <c r="E40" s="625">
        <f>+E10-+HLOOKUP(E4,'נתוני תאגידים'!$1:$713,356,0)</f>
        <v>4030.194</v>
      </c>
      <c r="F40" s="625">
        <f>+F10-+HLOOKUP(F4,'נתוני תאגידים'!$1:$713,356,0)</f>
        <v>52720.276000000005</v>
      </c>
      <c r="G40" s="625">
        <f>+G10-+HLOOKUP(G4,'נתוני תאגידים'!$1:$713,356,0)</f>
        <v>16005.333000000001</v>
      </c>
      <c r="H40" s="625">
        <f>+H10-+HLOOKUP(H4,'נתוני תאגידים'!$1:$713,356,0)</f>
        <v>1788.1780000000001</v>
      </c>
      <c r="I40" s="625">
        <f>+I10-+HLOOKUP(I4,'נתוני תאגידים'!$1:$713,356,0)</f>
        <v>4309.6179999999995</v>
      </c>
      <c r="J40" s="625">
        <f>+J10-+HLOOKUP(J4,'נתוני תאגידים'!$1:$713,356,0)</f>
        <v>6909.7800000000007</v>
      </c>
      <c r="K40" s="625">
        <f>+K10-+HLOOKUP(K4,'נתוני תאגידים'!$1:$713,356,0)</f>
        <v>5187.3189999999995</v>
      </c>
      <c r="L40" s="625">
        <f>+L10-+HLOOKUP(L4,'נתוני תאגידים'!$1:$713,356,0)</f>
        <v>9623.1640000000007</v>
      </c>
      <c r="M40" s="625">
        <f>+M10-+HLOOKUP(M4,'נתוני תאגידים'!$1:$713,356,0)</f>
        <v>15637.956999999999</v>
      </c>
      <c r="N40" s="625">
        <f>+N10-+HLOOKUP(N4,'נתוני תאגידים'!$1:$713,356,0)</f>
        <v>9167.7950000000001</v>
      </c>
      <c r="O40" s="625">
        <f>+O10-+HLOOKUP(O4,'נתוני תאגידים'!$1:$713,356,0)</f>
        <v>5282.7240000000002</v>
      </c>
      <c r="P40" s="625">
        <f>+P10-+HLOOKUP(P4,'נתוני תאגידים'!$1:$713,356,0)</f>
        <v>4539.3530000000001</v>
      </c>
      <c r="Q40" s="625">
        <f>+Q10-+HLOOKUP(Q4,'נתוני תאגידים'!$1:$713,356,0)</f>
        <v>19454.196</v>
      </c>
      <c r="R40" s="625">
        <f>+R10-+HLOOKUP(R4,'נתוני תאגידים'!$1:$713,356,0)</f>
        <v>17691.512999999999</v>
      </c>
      <c r="S40" s="625">
        <f>+S10-+HLOOKUP(S4,'נתוני תאגידים'!$1:$713,356,0)</f>
        <v>18837.516</v>
      </c>
      <c r="T40" s="625">
        <f>+T10-+HLOOKUP(T4,'נתוני תאגידים'!$1:$713,356,0)</f>
        <v>18472.741000000002</v>
      </c>
      <c r="U40" s="625">
        <f>+U10-+HLOOKUP(U4,'נתוני תאגידים'!$1:$713,356,0)</f>
        <v>9784.3889999999992</v>
      </c>
      <c r="V40" s="625">
        <f>+V10-+HLOOKUP(V4,'נתוני תאגידים'!$1:$713,356,0)</f>
        <v>8445.7630000000026</v>
      </c>
      <c r="W40" s="625">
        <f>+W10-+HLOOKUP(W4,'נתוני תאגידים'!$1:$713,356,0)</f>
        <v>8240.5010000000002</v>
      </c>
      <c r="X40" s="625">
        <f>+X10-+HLOOKUP(X4,'נתוני תאגידים'!$1:$713,356,0)</f>
        <v>5832.9979999999996</v>
      </c>
      <c r="Y40" s="625">
        <f>+Y10-+HLOOKUP(Y4,'נתוני תאגידים'!$1:$713,356,0)</f>
        <v>2952.962</v>
      </c>
      <c r="Z40" s="625">
        <f>+Z10-+HLOOKUP(Z4,'נתוני תאגידים'!$1:$713,356,0)</f>
        <v>3444.9430000000002</v>
      </c>
      <c r="AA40" s="625">
        <f>+AA10-+HLOOKUP(AA4,'נתוני תאגידים'!$1:$713,356,0)</f>
        <v>6002.3060000000005</v>
      </c>
      <c r="AB40" s="625">
        <f>+AB10-+HLOOKUP(AB4,'נתוני תאגידים'!$1:$713,356,0)</f>
        <v>6493.2190000000001</v>
      </c>
      <c r="AC40" s="625">
        <f>+AC10-+HLOOKUP(AC4,'נתוני תאגידים'!$1:$713,356,0)</f>
        <v>9731.9999999999982</v>
      </c>
      <c r="AD40" s="625">
        <f>+AD10-+HLOOKUP(AD4,'נתוני תאגידים'!$1:$713,356,0)</f>
        <v>4363.1009999999997</v>
      </c>
      <c r="AE40" s="625">
        <f>+AE10-+HLOOKUP(AE4,'נתוני תאגידים'!$1:$713,356,0)</f>
        <v>22111.684000000001</v>
      </c>
      <c r="AF40" s="625">
        <f>+AF10-+HLOOKUP(AF4,'נתוני תאגידים'!$1:$713,356,0)</f>
        <v>4985.741</v>
      </c>
      <c r="AG40" s="625">
        <f>+AG10-+HLOOKUP(AG4,'נתוני תאגידים'!$1:$713,356,0)</f>
        <v>3259.576</v>
      </c>
      <c r="AH40" s="625">
        <f>+AH10-+HLOOKUP(AH4,'נתוני תאגידים'!$1:$713,356,0)</f>
        <v>3128.6480000000001</v>
      </c>
      <c r="AI40" s="625">
        <f>+AI10-+HLOOKUP(AI4,'נתוני תאגידים'!$1:$713,356,0)</f>
        <v>3446.8580000000002</v>
      </c>
      <c r="AJ40" s="625">
        <f>+AJ10-+HLOOKUP(AJ4,'נתוני תאגידים'!$1:$713,356,0)</f>
        <v>3056.2750000000001</v>
      </c>
      <c r="AK40" s="625">
        <f>+AK10-+HLOOKUP(AK4,'נתוני תאגידים'!$1:$713,356,0)</f>
        <v>2686.3910000000001</v>
      </c>
      <c r="AL40" s="625">
        <f>+AL10-+HLOOKUP(AL4,'נתוני תאגידים'!$1:$713,356,0)</f>
        <v>42680.793000000005</v>
      </c>
      <c r="AM40" s="625">
        <f>+AM10-+HLOOKUP(AM4,'נתוני תאגידים'!$1:$713,356,0)</f>
        <v>5323.2070000000003</v>
      </c>
      <c r="AN40" s="625">
        <f>+AN10-+HLOOKUP(AN4,'נתוני תאגידים'!$1:$713,356,0)</f>
        <v>11220.945</v>
      </c>
      <c r="AO40" s="625">
        <f>+AO10-+HLOOKUP(AO4,'נתוני תאגידים'!$1:$713,356,0)</f>
        <v>3602.181</v>
      </c>
      <c r="AP40" s="625">
        <f>+AP10-+HLOOKUP(AP4,'נתוני תאגידים'!$1:$713,356,0)</f>
        <v>8567.8269999999993</v>
      </c>
      <c r="AQ40" s="625">
        <f>+AQ10-+HLOOKUP(AQ4,'נתוני תאגידים'!$1:$713,356,0)</f>
        <v>5051.9580000000005</v>
      </c>
      <c r="AR40" s="625">
        <f>+AR10-+HLOOKUP(AR4,'נתוני תאגידים'!$1:$713,356,0)</f>
        <v>10090.055000000002</v>
      </c>
      <c r="AS40" s="625">
        <f>+AS10-+HLOOKUP(AS4,'נתוני תאגידים'!$1:$713,356,0)</f>
        <v>3169.9650000000001</v>
      </c>
      <c r="AT40" s="625">
        <f>+AT10-+HLOOKUP(AT4,'נתוני תאגידים'!$1:$713,356,0)</f>
        <v>2562.8160000000003</v>
      </c>
      <c r="AU40" s="625">
        <f>+AU10-+HLOOKUP(AU4,'נתוני תאגידים'!$1:$713,356,0)</f>
        <v>4253.8219999999992</v>
      </c>
      <c r="AV40" s="625">
        <f>+AV10-+HLOOKUP(AV4,'נתוני תאגידים'!$1:$713,356,0)</f>
        <v>5709.3289999999997</v>
      </c>
      <c r="AW40" s="625">
        <f>+AW10-+HLOOKUP(AW4,'נתוני תאגידים'!$1:$713,356,0)</f>
        <v>7199.768</v>
      </c>
      <c r="AX40" s="625">
        <f>+AX10-+HLOOKUP(AX4,'נתוני תאגידים'!$1:$713,356,0)-1400</f>
        <v>12153.178</v>
      </c>
      <c r="AY40" s="625">
        <f>+AY10-+HLOOKUP(AY4,'נתוני תאגידים'!$1:$713,356,0)</f>
        <v>5805.2910000000002</v>
      </c>
      <c r="AZ40" s="625">
        <f>+AZ10-+HLOOKUP(AZ4,'נתוני תאגידים'!$1:$713,356,0)</f>
        <v>5512.06</v>
      </c>
      <c r="BA40" s="625">
        <f>+BA10-+HLOOKUP(BA4,'נתוני תאגידים'!$1:$713,356,0)</f>
        <v>5548.8330000000005</v>
      </c>
      <c r="BB40" s="625">
        <f>+BB10-+HLOOKUP(BB4,'נתוני תאגידים'!$1:$713,356,0)</f>
        <v>4760.7890000000007</v>
      </c>
      <c r="BC40" s="625">
        <f>(+BC10-+HLOOKUP(BC4,'נתוני תאגידים'!$1:$713,356,0))*0.8</f>
        <v>4810.4272000000001</v>
      </c>
      <c r="BD40" s="625">
        <f>(+BD10-+HLOOKUP(BD4,'נתוני תאגידים'!$1:$713,356,0))+'נתוני מים 2014'!G179/1000-'נתוני מים 2014'!K179/1000-'נתוני מים 2014'!M179/1000</f>
        <v>7956.9939999999997</v>
      </c>
      <c r="BE40" s="625">
        <f>+BE10-+HLOOKUP(BE4,'נתוני תאגידים'!$1:$713,356,0)</f>
        <v>1061.6970000000001</v>
      </c>
      <c r="BF40" s="625">
        <f>+BF10-+HLOOKUP(BF4,'נתוני תאגידים'!$1:$713,356,0)</f>
        <v>9551.634</v>
      </c>
      <c r="BG40" s="374">
        <f>+'נתוני מים 2014'!G179/1000-'נתוני מים 2014'!K179/1000-'נתוני מים 2014'!M179/1000</f>
        <v>7040.308</v>
      </c>
    </row>
    <row r="41" spans="1:59" x14ac:dyDescent="0.2">
      <c r="A41" s="1817"/>
      <c r="B41" s="376" t="s">
        <v>1026</v>
      </c>
      <c r="C41" s="627">
        <f>+C38*C39/C40</f>
        <v>0.12842028307564321</v>
      </c>
      <c r="D41" s="627">
        <f t="shared" ref="D41:BE41" si="24">+D38*D39/D40</f>
        <v>0.2059305835932185</v>
      </c>
      <c r="E41" s="627">
        <f t="shared" si="24"/>
        <v>0.32995197997912751</v>
      </c>
      <c r="F41" s="627">
        <f t="shared" si="24"/>
        <v>0.19710441065813625</v>
      </c>
      <c r="G41" s="627">
        <f t="shared" si="24"/>
        <v>0.14556628450922307</v>
      </c>
      <c r="H41" s="627">
        <f t="shared" si="24"/>
        <v>0.42261681523236022</v>
      </c>
      <c r="I41" s="627">
        <f t="shared" si="24"/>
        <v>0.41674988363237764</v>
      </c>
      <c r="J41" s="627">
        <f t="shared" si="24"/>
        <v>0.19435794482602917</v>
      </c>
      <c r="K41" s="627">
        <f t="shared" si="24"/>
        <v>0.25902902347050566</v>
      </c>
      <c r="L41" s="627">
        <f t="shared" si="24"/>
        <v>0.23834677347284111</v>
      </c>
      <c r="M41" s="627">
        <f t="shared" si="24"/>
        <v>0.20521858040663496</v>
      </c>
      <c r="N41" s="627">
        <f t="shared" si="24"/>
        <v>0.27494929914990462</v>
      </c>
      <c r="O41" s="627">
        <f t="shared" si="24"/>
        <v>0.21263485339868488</v>
      </c>
      <c r="P41" s="627">
        <f t="shared" si="24"/>
        <v>0.29585478773863022</v>
      </c>
      <c r="Q41" s="627">
        <f t="shared" si="24"/>
        <v>0.29754489563221076</v>
      </c>
      <c r="R41" s="627">
        <f t="shared" si="24"/>
        <v>0.19697831240970096</v>
      </c>
      <c r="S41" s="627">
        <f t="shared" si="24"/>
        <v>0.22849626727400182</v>
      </c>
      <c r="T41" s="627">
        <f t="shared" si="24"/>
        <v>0.25854422226009355</v>
      </c>
      <c r="U41" s="627">
        <f t="shared" si="24"/>
        <v>0.18148223665269239</v>
      </c>
      <c r="V41" s="627">
        <f t="shared" si="24"/>
        <v>0.3893964950235993</v>
      </c>
      <c r="W41" s="627">
        <f t="shared" si="24"/>
        <v>0.21504141434119117</v>
      </c>
      <c r="X41" s="627">
        <f t="shared" si="24"/>
        <v>0.26152680123864752</v>
      </c>
      <c r="Y41" s="627">
        <f t="shared" si="24"/>
        <v>0.42764242121252194</v>
      </c>
      <c r="Z41" s="627">
        <f t="shared" si="24"/>
        <v>0.36560836258497492</v>
      </c>
      <c r="AA41" s="627">
        <f t="shared" si="24"/>
        <v>0.27120810199565681</v>
      </c>
      <c r="AB41" s="627">
        <f t="shared" si="24"/>
        <v>0.13589121204752219</v>
      </c>
      <c r="AC41" s="627">
        <f t="shared" si="24"/>
        <v>0.20125453801156717</v>
      </c>
      <c r="AD41" s="627">
        <f t="shared" si="24"/>
        <v>0.23588835791005397</v>
      </c>
      <c r="AE41" s="627">
        <f t="shared" si="24"/>
        <v>0.36402417248856178</v>
      </c>
      <c r="AF41" s="627">
        <f t="shared" si="24"/>
        <v>0.21063532410299118</v>
      </c>
      <c r="AG41" s="627">
        <f t="shared" si="24"/>
        <v>0.23008810852349246</v>
      </c>
      <c r="AH41" s="627">
        <f t="shared" si="24"/>
        <v>0.29038375042510373</v>
      </c>
      <c r="AI41" s="627">
        <f t="shared" si="24"/>
        <v>0.31200579422103925</v>
      </c>
      <c r="AJ41" s="627">
        <f t="shared" si="24"/>
        <v>0.30105152752475295</v>
      </c>
      <c r="AK41" s="627">
        <f t="shared" si="24"/>
        <v>0.22911983374189171</v>
      </c>
      <c r="AL41" s="627">
        <f t="shared" si="24"/>
        <v>0.22976471380396862</v>
      </c>
      <c r="AM41" s="627">
        <f t="shared" si="24"/>
        <v>0.27767876241843359</v>
      </c>
      <c r="AN41" s="627">
        <f t="shared" si="24"/>
        <v>0.22504207540961504</v>
      </c>
      <c r="AO41" s="627">
        <f>+AO38*AO39/AO40</f>
        <v>0.2361142456869483</v>
      </c>
      <c r="AP41" s="627">
        <f t="shared" si="24"/>
        <v>0.12057940665702054</v>
      </c>
      <c r="AQ41" s="627">
        <f t="shared" si="24"/>
        <v>0.20435624461983706</v>
      </c>
      <c r="AR41" s="627">
        <f t="shared" si="24"/>
        <v>0.25692926450846892</v>
      </c>
      <c r="AS41" s="627">
        <f t="shared" si="24"/>
        <v>0.27694519892175462</v>
      </c>
      <c r="AT41" s="627">
        <f t="shared" si="24"/>
        <v>0.26088330180551389</v>
      </c>
      <c r="AU41" s="627">
        <f t="shared" si="24"/>
        <v>0.33825480121171031</v>
      </c>
      <c r="AV41" s="627">
        <f t="shared" si="24"/>
        <v>0.27613051376089903</v>
      </c>
      <c r="AW41" s="627">
        <f t="shared" si="24"/>
        <v>0.26121241892794322</v>
      </c>
      <c r="AX41" s="627">
        <f t="shared" si="24"/>
        <v>0.19770595792192908</v>
      </c>
      <c r="AY41" s="627">
        <f t="shared" si="24"/>
        <v>0.28885619195119955</v>
      </c>
      <c r="AZ41" s="627">
        <f t="shared" si="24"/>
        <v>0.37653784867052553</v>
      </c>
      <c r="BA41" s="627">
        <f t="shared" si="24"/>
        <v>0.13913040730494913</v>
      </c>
      <c r="BB41" s="627">
        <f t="shared" si="24"/>
        <v>0.18265146281425199</v>
      </c>
      <c r="BC41" s="627">
        <f t="shared" si="24"/>
        <v>0.44445091695806138</v>
      </c>
      <c r="BD41" s="627">
        <f t="shared" si="24"/>
        <v>0.2639705967210374</v>
      </c>
      <c r="BE41" s="627">
        <f t="shared" si="24"/>
        <v>0.19076013858675578</v>
      </c>
      <c r="BF41" s="627">
        <f t="shared" ref="BF41" si="25">+BF38*BF39/BF40</f>
        <v>0.20049783628644063</v>
      </c>
    </row>
    <row r="42" spans="1:59" x14ac:dyDescent="0.2">
      <c r="A42" s="765"/>
      <c r="B42" s="376"/>
      <c r="C42" s="628"/>
      <c r="D42" s="628"/>
      <c r="E42" s="628"/>
      <c r="F42" s="628"/>
      <c r="G42" s="628"/>
      <c r="H42" s="627"/>
      <c r="I42" s="628"/>
      <c r="J42" s="628"/>
      <c r="K42" s="628"/>
      <c r="L42" s="628"/>
      <c r="M42" s="628"/>
      <c r="N42" s="628"/>
      <c r="O42" s="628"/>
      <c r="P42" s="628"/>
      <c r="Q42" s="628"/>
      <c r="R42" s="628"/>
      <c r="S42" s="628"/>
      <c r="T42" s="628"/>
      <c r="U42" s="628"/>
      <c r="V42" s="628"/>
      <c r="W42" s="628"/>
      <c r="X42" s="628"/>
      <c r="Y42" s="628"/>
      <c r="Z42" s="628"/>
      <c r="AA42" s="628"/>
      <c r="AB42" s="628"/>
      <c r="AC42" s="628"/>
      <c r="AD42" s="628"/>
      <c r="AE42" s="628"/>
      <c r="AF42" s="628"/>
      <c r="AG42" s="628"/>
      <c r="AH42" s="628"/>
      <c r="AI42" s="628"/>
      <c r="AJ42" s="628"/>
      <c r="AK42" s="628"/>
      <c r="AL42" s="628"/>
      <c r="AM42" s="628"/>
      <c r="AN42" s="628"/>
      <c r="AO42" s="628"/>
      <c r="AP42" s="628"/>
      <c r="AQ42" s="628"/>
      <c r="AR42" s="628"/>
      <c r="AS42" s="628"/>
      <c r="AT42" s="628"/>
      <c r="AU42" s="628"/>
      <c r="AV42" s="628"/>
      <c r="AW42" s="628"/>
      <c r="AX42" s="628"/>
      <c r="AY42" s="628"/>
      <c r="AZ42" s="628"/>
      <c r="BA42" s="628"/>
      <c r="BB42" s="628"/>
      <c r="BC42" s="628"/>
      <c r="BD42" s="628"/>
      <c r="BE42" s="628"/>
      <c r="BF42" s="628"/>
    </row>
    <row r="43" spans="1:59" x14ac:dyDescent="0.2">
      <c r="A43" s="1815" t="s">
        <v>1004</v>
      </c>
      <c r="B43" s="376" t="s">
        <v>1005</v>
      </c>
      <c r="C43" s="628">
        <f>+HLOOKUP(C4,'פירוט נכסי מים וביוב'!$1:$289,202,0)</f>
        <v>0</v>
      </c>
      <c r="D43" s="628">
        <f>+HLOOKUP(D4,'פירוט נכסי מים וביוב'!$1:$289,202,0)</f>
        <v>4959.3580000000002</v>
      </c>
      <c r="E43" s="628">
        <f>+HLOOKUP(E4,'פירוט נכסי מים וביוב'!$1:$289,202,0)</f>
        <v>7237.8670000000002</v>
      </c>
      <c r="F43" s="628">
        <f>+HLOOKUP(F4,'פירוט נכסי מים וביוב'!$1:$289,202,0)</f>
        <v>33045.612647619047</v>
      </c>
      <c r="G43" s="628">
        <f>+HLOOKUP(G4,'פירוט נכסי מים וביוב'!$1:$289,202,0)</f>
        <v>50606.771428571432</v>
      </c>
      <c r="H43" s="628">
        <f>+HLOOKUP(H4,'פירוט נכסי מים וביוב'!$1:$289,202,0)</f>
        <v>1239.7714285714287</v>
      </c>
      <c r="I43" s="628">
        <f>+HLOOKUP(I4,'פירוט נכסי מים וביוב'!$1:$289,202,0)</f>
        <v>12460.061</v>
      </c>
      <c r="J43" s="628">
        <f>+HLOOKUP(J4,'פירוט נכסי מים וביוב'!$1:$289,202,0)</f>
        <v>10082.433142857144</v>
      </c>
      <c r="K43" s="628">
        <f>+HLOOKUP(K4,'פירוט נכסי מים וביוב'!$1:$289,202,0)</f>
        <v>14570.848</v>
      </c>
      <c r="L43" s="628">
        <f>+HLOOKUP(L4,'פירוט נכסי מים וביוב'!$1:$289,202,0)</f>
        <v>16218.757942857143</v>
      </c>
      <c r="M43" s="628">
        <f>+HLOOKUP(M4,'פירוט נכסי מים וביוב'!$1:$289,202,0)</f>
        <v>48393.514285714286</v>
      </c>
      <c r="N43" s="628">
        <f>+HLOOKUP(N4,'פירוט נכסי מים וביוב'!$1:$289,202,0)</f>
        <v>16709.523000000001</v>
      </c>
      <c r="O43" s="628">
        <f>+HLOOKUP(O4,'פירוט נכסי מים וביוב'!$1:$289,202,0)</f>
        <v>9887.2445714285714</v>
      </c>
      <c r="P43" s="628">
        <f>+HLOOKUP(P4,'פירוט נכסי מים וביוב'!$1:$289,202,0)</f>
        <v>21659.324423809521</v>
      </c>
      <c r="Q43" s="628">
        <f>+HLOOKUP(Q4,'פירוט נכסי מים וביוב'!$1:$289,202,0)</f>
        <v>24795.556414285715</v>
      </c>
      <c r="R43" s="628">
        <f>+HLOOKUP(R4,'פירוט נכסי מים וביוב'!$1:$289,202,0)</f>
        <v>9038.3691428571419</v>
      </c>
      <c r="S43" s="628">
        <f>+HLOOKUP(S4,'פירוט נכסי מים וביוב'!$1:$289,202,0)</f>
        <v>0</v>
      </c>
      <c r="T43" s="628">
        <f>+HLOOKUP(T4,'פירוט נכסי מים וביוב'!$1:$289,202,0)</f>
        <v>39282.314285714281</v>
      </c>
      <c r="U43" s="628">
        <f>+HLOOKUP(U4,'פירוט נכסי מים וביוב'!$1:$289,202,0)</f>
        <v>33154.71428571429</v>
      </c>
      <c r="V43" s="628">
        <f>+HLOOKUP(V4,'פירוט נכסי מים וביוב'!$1:$289,202,0)</f>
        <v>9202.3979999999992</v>
      </c>
      <c r="W43" s="628">
        <f>+HLOOKUP(W4,'פירוט נכסי מים וביוב'!$1:$289,202,0)</f>
        <v>16788.457999999999</v>
      </c>
      <c r="X43" s="628">
        <f>+HLOOKUP(X4,'פירוט נכסי מים וביוב'!$1:$289,202,0)</f>
        <v>8767.5344000000005</v>
      </c>
      <c r="Y43" s="628">
        <f>+HLOOKUP(Y4,'פירוט נכסי מים וביוב'!$1:$289,202,0)</f>
        <v>18498.818285714282</v>
      </c>
      <c r="Z43" s="628">
        <f>+HLOOKUP(Z4,'פירוט נכסי מים וביוב'!$1:$289,202,0)</f>
        <v>8918.4571428571435</v>
      </c>
      <c r="AA43" s="628">
        <f>+HLOOKUP(AA4,'פירוט נכסי מים וביוב'!$1:$289,202,0)</f>
        <v>20259.571428571428</v>
      </c>
      <c r="AB43" s="628">
        <f>+HLOOKUP(AB4,'פירוט נכסי מים וביוב'!$1:$289,202,0)</f>
        <v>2249.1428571428573</v>
      </c>
      <c r="AC43" s="628">
        <f>+HLOOKUP(AC4,'פירוט נכסי מים וביוב'!$1:$289,202,0)</f>
        <v>22806.649857142856</v>
      </c>
      <c r="AD43" s="628">
        <f>+HLOOKUP(AD4,'פירוט נכסי מים וביוב'!$1:$289,202,0)</f>
        <v>12695.393371428572</v>
      </c>
      <c r="AE43" s="628">
        <f>+HLOOKUP(AE4,'פירוט נכסי מים וביוב'!$1:$289,202,0)</f>
        <v>44159.810819047612</v>
      </c>
      <c r="AF43" s="628">
        <f>+HLOOKUP(AF4,'פירוט נכסי מים וביוב'!$1:$289,202,0)</f>
        <v>20173.40476190476</v>
      </c>
      <c r="AG43" s="628">
        <f>+HLOOKUP(AG4,'פירוט נכסי מים וביוב'!$1:$289,202,0)</f>
        <v>2787.3725095238096</v>
      </c>
      <c r="AH43" s="628">
        <f>+HLOOKUP(AH4,'פירוט נכסי מים וביוב'!$1:$289,202,0)</f>
        <v>1409.386</v>
      </c>
      <c r="AI43" s="628">
        <f>+HLOOKUP(AI4,'פירוט נכסי מים וביוב'!$1:$289,202,0)</f>
        <v>30708.225571428571</v>
      </c>
      <c r="AJ43" s="628">
        <f>+HLOOKUP(AJ4,'פירוט נכסי מים וביוב'!$1:$289,202,0)</f>
        <v>15639.714285714286</v>
      </c>
      <c r="AK43" s="628">
        <f>+HLOOKUP(AK4,'פירוט נכסי מים וביוב'!$1:$289,202,0)</f>
        <v>7239.6342857142854</v>
      </c>
      <c r="AL43" s="628">
        <f>+HLOOKUP(AL4,'פירוט נכסי מים וביוב'!$1:$289,202,0)</f>
        <v>16516.042857142857</v>
      </c>
      <c r="AM43" s="628">
        <f>+HLOOKUP(AM4,'פירוט נכסי מים וביוב'!$1:$289,202,0)</f>
        <v>10423.36650952381</v>
      </c>
      <c r="AN43" s="628">
        <f>+HLOOKUP(AN4,'פירוט נכסי מים וביוב'!$1:$289,202,0)</f>
        <v>5765.1462857142851</v>
      </c>
      <c r="AO43" s="628">
        <f>+HLOOKUP(AO4,'פירוט נכסי מים וביוב'!$1:$289,202,0)</f>
        <v>292.86666666666667</v>
      </c>
      <c r="AP43" s="628">
        <f>+HLOOKUP(AP4,'פירוט נכסי מים וביוב'!$1:$289,202,0)</f>
        <v>9846.4548571428586</v>
      </c>
      <c r="AQ43" s="628">
        <f>+HLOOKUP(AQ4,'פירוט נכסי מים וביוב'!$1:$289,202,0)</f>
        <v>4047.3809523809523</v>
      </c>
      <c r="AR43" s="628">
        <f>+HLOOKUP(AR4,'פירוט נכסי מים וביוב'!$1:$289,202,0)</f>
        <v>63477.684000000001</v>
      </c>
      <c r="AS43" s="628">
        <f>+HLOOKUP(AS4,'פירוט נכסי מים וביוב'!$1:$289,202,0)</f>
        <v>21048.726999999999</v>
      </c>
      <c r="AT43" s="628">
        <f>+HLOOKUP(AT4,'פירוט נכסי מים וביוב'!$1:$289,202,0)</f>
        <v>5742.0057142857149</v>
      </c>
      <c r="AU43" s="628">
        <f>+HLOOKUP(AU4,'פירוט נכסי מים וביוב'!$1:$289,202,0)</f>
        <v>1117.2857142857142</v>
      </c>
      <c r="AV43" s="628">
        <f>+HLOOKUP(AV4,'פירוט נכסי מים וביוב'!$1:$289,202,0)</f>
        <v>4932.0119999999997</v>
      </c>
      <c r="AW43" s="628">
        <f>+HLOOKUP(AW4,'פירוט נכסי מים וביוב'!$1:$289,202,0)</f>
        <v>4386.1930000000002</v>
      </c>
      <c r="AX43" s="628">
        <f>+HLOOKUP(AX4,'פירוט נכסי מים וביוב'!$1:$289,202,0)</f>
        <v>8279.8419904761904</v>
      </c>
      <c r="AY43" s="628">
        <f>+HLOOKUP(AY4,'פירוט נכסי מים וביוב'!$1:$289,202,0)</f>
        <v>15331.46467142857</v>
      </c>
      <c r="AZ43" s="628">
        <f>+HLOOKUP(AZ4,'פירוט נכסי מים וביוב'!$1:$289,202,0)</f>
        <v>10182.07690952381</v>
      </c>
      <c r="BA43" s="628">
        <f>+HLOOKUP(BA4,'פירוט נכסי מים וביוב'!$1:$289,202,0)</f>
        <v>17991.09523809524</v>
      </c>
      <c r="BB43" s="628">
        <f>+HLOOKUP(BB4,'פירוט נכסי מים וביוב'!$1:$289,202,0)</f>
        <v>21246.784</v>
      </c>
      <c r="BC43" s="628">
        <f>+HLOOKUP(BC4,'פירוט נכסי מים וביוב'!$1:$289,202,0)</f>
        <v>15854.14</v>
      </c>
      <c r="BD43" s="628">
        <f>+HLOOKUP(BD4,'פירוט נכסי מים וביוב'!$1:$289,202,0)</f>
        <v>15886.27619047619</v>
      </c>
      <c r="BE43" s="628">
        <f>+HLOOKUP(BE4,'פירוט נכסי מים וביוב'!$1:$289,202,0)</f>
        <v>4148.5714285714284</v>
      </c>
      <c r="BF43" s="628">
        <f>+HLOOKUP(BF4,'פירוט נכסי מים וביוב'!$1:$289,202,0)</f>
        <v>11694.300999999999</v>
      </c>
    </row>
    <row r="44" spans="1:59" x14ac:dyDescent="0.2">
      <c r="A44" s="1816"/>
      <c r="B44" s="376" t="s">
        <v>1027</v>
      </c>
      <c r="C44" s="767">
        <v>0.04</v>
      </c>
      <c r="D44" s="767">
        <v>0.04</v>
      </c>
      <c r="E44" s="767">
        <v>0.04</v>
      </c>
      <c r="F44" s="767">
        <v>0.04</v>
      </c>
      <c r="G44" s="767">
        <v>0.04</v>
      </c>
      <c r="H44" s="767">
        <v>0.04</v>
      </c>
      <c r="I44" s="767">
        <v>0.04</v>
      </c>
      <c r="J44" s="767">
        <v>0.04</v>
      </c>
      <c r="K44" s="767">
        <v>0.04</v>
      </c>
      <c r="L44" s="767">
        <v>0.04</v>
      </c>
      <c r="M44" s="767">
        <v>0.04</v>
      </c>
      <c r="N44" s="767">
        <v>0.04</v>
      </c>
      <c r="O44" s="767">
        <v>0.04</v>
      </c>
      <c r="P44" s="767">
        <v>0.04</v>
      </c>
      <c r="Q44" s="767">
        <v>0.04</v>
      </c>
      <c r="R44" s="767">
        <v>0.04</v>
      </c>
      <c r="S44" s="767">
        <v>0.04</v>
      </c>
      <c r="T44" s="767">
        <v>0.04</v>
      </c>
      <c r="U44" s="767">
        <v>0.04</v>
      </c>
      <c r="V44" s="767">
        <v>0.04</v>
      </c>
      <c r="W44" s="767">
        <v>0.04</v>
      </c>
      <c r="X44" s="767">
        <v>0.04</v>
      </c>
      <c r="Y44" s="767">
        <v>0.04</v>
      </c>
      <c r="Z44" s="767">
        <v>0.04</v>
      </c>
      <c r="AA44" s="767">
        <v>0.04</v>
      </c>
      <c r="AB44" s="767">
        <v>0.04</v>
      </c>
      <c r="AC44" s="767">
        <v>0.04</v>
      </c>
      <c r="AD44" s="767">
        <v>0.04</v>
      </c>
      <c r="AE44" s="767">
        <v>0.04</v>
      </c>
      <c r="AF44" s="767">
        <v>0.04</v>
      </c>
      <c r="AG44" s="767">
        <v>0.04</v>
      </c>
      <c r="AH44" s="767">
        <v>0.04</v>
      </c>
      <c r="AI44" s="767">
        <v>0.04</v>
      </c>
      <c r="AJ44" s="767">
        <v>0.04</v>
      </c>
      <c r="AK44" s="767">
        <v>0.04</v>
      </c>
      <c r="AL44" s="767">
        <v>0.04</v>
      </c>
      <c r="AM44" s="767">
        <v>0.04</v>
      </c>
      <c r="AN44" s="767">
        <v>0.04</v>
      </c>
      <c r="AO44" s="767">
        <v>0.04</v>
      </c>
      <c r="AP44" s="767">
        <v>0.04</v>
      </c>
      <c r="AQ44" s="767">
        <v>0.04</v>
      </c>
      <c r="AR44" s="767">
        <v>0.04</v>
      </c>
      <c r="AS44" s="767">
        <v>0.04</v>
      </c>
      <c r="AT44" s="767">
        <v>0.04</v>
      </c>
      <c r="AU44" s="767">
        <v>0.04</v>
      </c>
      <c r="AV44" s="767">
        <v>0.04</v>
      </c>
      <c r="AW44" s="767">
        <v>0.04</v>
      </c>
      <c r="AX44" s="767">
        <v>0.04</v>
      </c>
      <c r="AY44" s="767">
        <v>0.04</v>
      </c>
      <c r="AZ44" s="767">
        <v>0.04</v>
      </c>
      <c r="BA44" s="767">
        <v>0.04</v>
      </c>
      <c r="BB44" s="767">
        <v>0.04</v>
      </c>
      <c r="BC44" s="767">
        <v>0.04</v>
      </c>
      <c r="BD44" s="767">
        <v>0.04</v>
      </c>
      <c r="BE44" s="767">
        <v>0.04</v>
      </c>
      <c r="BF44" s="767">
        <v>0.04</v>
      </c>
    </row>
    <row r="45" spans="1:59" x14ac:dyDescent="0.2">
      <c r="A45" s="1816"/>
      <c r="B45" s="376" t="s">
        <v>486</v>
      </c>
      <c r="C45" s="625">
        <f>+C40</f>
        <v>10687.855</v>
      </c>
      <c r="D45" s="625">
        <f t="shared" ref="D45:BE45" si="26">+D40</f>
        <v>9055.2800000000007</v>
      </c>
      <c r="E45" s="625">
        <f t="shared" si="26"/>
        <v>4030.194</v>
      </c>
      <c r="F45" s="625">
        <f t="shared" si="26"/>
        <v>52720.276000000005</v>
      </c>
      <c r="G45" s="625">
        <f t="shared" si="26"/>
        <v>16005.333000000001</v>
      </c>
      <c r="H45" s="625">
        <f t="shared" si="26"/>
        <v>1788.1780000000001</v>
      </c>
      <c r="I45" s="625">
        <f t="shared" si="26"/>
        <v>4309.6179999999995</v>
      </c>
      <c r="J45" s="625">
        <f t="shared" si="26"/>
        <v>6909.7800000000007</v>
      </c>
      <c r="K45" s="625">
        <f t="shared" si="26"/>
        <v>5187.3189999999995</v>
      </c>
      <c r="L45" s="625">
        <f t="shared" si="26"/>
        <v>9623.1640000000007</v>
      </c>
      <c r="M45" s="625">
        <f t="shared" si="26"/>
        <v>15637.956999999999</v>
      </c>
      <c r="N45" s="625">
        <f t="shared" si="26"/>
        <v>9167.7950000000001</v>
      </c>
      <c r="O45" s="625">
        <f t="shared" si="26"/>
        <v>5282.7240000000002</v>
      </c>
      <c r="P45" s="625">
        <f t="shared" si="26"/>
        <v>4539.3530000000001</v>
      </c>
      <c r="Q45" s="625">
        <f t="shared" si="26"/>
        <v>19454.196</v>
      </c>
      <c r="R45" s="625">
        <f t="shared" si="26"/>
        <v>17691.512999999999</v>
      </c>
      <c r="S45" s="625">
        <f t="shared" si="26"/>
        <v>18837.516</v>
      </c>
      <c r="T45" s="625">
        <f t="shared" si="26"/>
        <v>18472.741000000002</v>
      </c>
      <c r="U45" s="625">
        <f t="shared" si="26"/>
        <v>9784.3889999999992</v>
      </c>
      <c r="V45" s="625">
        <f t="shared" si="26"/>
        <v>8445.7630000000026</v>
      </c>
      <c r="W45" s="625">
        <f t="shared" si="26"/>
        <v>8240.5010000000002</v>
      </c>
      <c r="X45" s="625">
        <f t="shared" si="26"/>
        <v>5832.9979999999996</v>
      </c>
      <c r="Y45" s="625">
        <f t="shared" si="26"/>
        <v>2952.962</v>
      </c>
      <c r="Z45" s="625">
        <f t="shared" si="26"/>
        <v>3444.9430000000002</v>
      </c>
      <c r="AA45" s="625">
        <f t="shared" si="26"/>
        <v>6002.3060000000005</v>
      </c>
      <c r="AB45" s="625">
        <f t="shared" si="26"/>
        <v>6493.2190000000001</v>
      </c>
      <c r="AC45" s="625">
        <f t="shared" si="26"/>
        <v>9731.9999999999982</v>
      </c>
      <c r="AD45" s="625">
        <f t="shared" si="26"/>
        <v>4363.1009999999997</v>
      </c>
      <c r="AE45" s="625">
        <f t="shared" si="26"/>
        <v>22111.684000000001</v>
      </c>
      <c r="AF45" s="625">
        <f t="shared" si="26"/>
        <v>4985.741</v>
      </c>
      <c r="AG45" s="625">
        <f t="shared" si="26"/>
        <v>3259.576</v>
      </c>
      <c r="AH45" s="625">
        <f t="shared" si="26"/>
        <v>3128.6480000000001</v>
      </c>
      <c r="AI45" s="625">
        <f t="shared" si="26"/>
        <v>3446.8580000000002</v>
      </c>
      <c r="AJ45" s="625">
        <f t="shared" si="26"/>
        <v>3056.2750000000001</v>
      </c>
      <c r="AK45" s="625">
        <f t="shared" si="26"/>
        <v>2686.3910000000001</v>
      </c>
      <c r="AL45" s="625">
        <f t="shared" si="26"/>
        <v>42680.793000000005</v>
      </c>
      <c r="AM45" s="625">
        <f t="shared" si="26"/>
        <v>5323.2070000000003</v>
      </c>
      <c r="AN45" s="625">
        <f t="shared" si="26"/>
        <v>11220.945</v>
      </c>
      <c r="AO45" s="625">
        <f t="shared" si="26"/>
        <v>3602.181</v>
      </c>
      <c r="AP45" s="625">
        <f t="shared" si="26"/>
        <v>8567.8269999999993</v>
      </c>
      <c r="AQ45" s="625">
        <f t="shared" si="26"/>
        <v>5051.9580000000005</v>
      </c>
      <c r="AR45" s="625">
        <f t="shared" si="26"/>
        <v>10090.055000000002</v>
      </c>
      <c r="AS45" s="625">
        <f t="shared" si="26"/>
        <v>3169.9650000000001</v>
      </c>
      <c r="AT45" s="625">
        <f t="shared" si="26"/>
        <v>2562.8160000000003</v>
      </c>
      <c r="AU45" s="625">
        <f t="shared" si="26"/>
        <v>4253.8219999999992</v>
      </c>
      <c r="AV45" s="625">
        <f t="shared" si="26"/>
        <v>5709.3289999999997</v>
      </c>
      <c r="AW45" s="625">
        <f t="shared" si="26"/>
        <v>7199.768</v>
      </c>
      <c r="AX45" s="625">
        <f t="shared" si="26"/>
        <v>12153.178</v>
      </c>
      <c r="AY45" s="625">
        <f t="shared" si="26"/>
        <v>5805.2910000000002</v>
      </c>
      <c r="AZ45" s="625">
        <f t="shared" si="26"/>
        <v>5512.06</v>
      </c>
      <c r="BA45" s="625">
        <f t="shared" si="26"/>
        <v>5548.8330000000005</v>
      </c>
      <c r="BB45" s="625">
        <f t="shared" si="26"/>
        <v>4760.7890000000007</v>
      </c>
      <c r="BC45" s="625">
        <f t="shared" si="26"/>
        <v>4810.4272000000001</v>
      </c>
      <c r="BD45" s="625">
        <f t="shared" si="26"/>
        <v>7956.9939999999997</v>
      </c>
      <c r="BE45" s="625">
        <f t="shared" si="26"/>
        <v>1061.6970000000001</v>
      </c>
      <c r="BF45" s="625">
        <f t="shared" ref="BF45" si="27">+BF40</f>
        <v>9551.634</v>
      </c>
    </row>
    <row r="46" spans="1:59" x14ac:dyDescent="0.2">
      <c r="A46" s="1817"/>
      <c r="B46" s="376" t="s">
        <v>1028</v>
      </c>
      <c r="C46" s="627">
        <f>+C43*C44/C45</f>
        <v>0</v>
      </c>
      <c r="D46" s="628">
        <f t="shared" ref="D46:BE46" si="28">+D43*D44/D45</f>
        <v>2.1907033244692599E-2</v>
      </c>
      <c r="E46" s="628">
        <f t="shared" si="28"/>
        <v>7.1836412837694666E-2</v>
      </c>
      <c r="F46" s="628">
        <f t="shared" si="28"/>
        <v>2.5072412479493881E-2</v>
      </c>
      <c r="G46" s="628">
        <f t="shared" si="28"/>
        <v>0.12647477294867013</v>
      </c>
      <c r="H46" s="628">
        <f t="shared" si="28"/>
        <v>2.7732617861788447E-2</v>
      </c>
      <c r="I46" s="628">
        <f t="shared" si="28"/>
        <v>0.11564886725459196</v>
      </c>
      <c r="J46" s="628">
        <f t="shared" si="28"/>
        <v>5.8366160096889587E-2</v>
      </c>
      <c r="K46" s="628">
        <f t="shared" si="28"/>
        <v>0.11235744707429794</v>
      </c>
      <c r="L46" s="628">
        <f t="shared" si="28"/>
        <v>6.7415490135498649E-2</v>
      </c>
      <c r="M46" s="628">
        <f t="shared" si="28"/>
        <v>0.12378474831645667</v>
      </c>
      <c r="N46" s="628">
        <f t="shared" si="28"/>
        <v>7.2905308201154151E-2</v>
      </c>
      <c r="O46" s="628">
        <f t="shared" si="28"/>
        <v>7.4864744563059291E-2</v>
      </c>
      <c r="P46" s="628">
        <f t="shared" si="28"/>
        <v>0.19085825159496977</v>
      </c>
      <c r="Q46" s="628">
        <f t="shared" si="28"/>
        <v>5.0982433639068334E-2</v>
      </c>
      <c r="R46" s="628">
        <f t="shared" si="28"/>
        <v>2.0435491623259455E-2</v>
      </c>
      <c r="S46" s="628">
        <f t="shared" si="28"/>
        <v>0</v>
      </c>
      <c r="T46" s="628">
        <f t="shared" si="28"/>
        <v>8.5060066149824282E-2</v>
      </c>
      <c r="U46" s="628">
        <f t="shared" si="28"/>
        <v>0.13554127615210021</v>
      </c>
      <c r="V46" s="628">
        <f t="shared" si="28"/>
        <v>4.3583500981498047E-2</v>
      </c>
      <c r="W46" s="628">
        <f t="shared" si="28"/>
        <v>8.1492414114141848E-2</v>
      </c>
      <c r="X46" s="628">
        <f t="shared" si="28"/>
        <v>6.012369213910241E-2</v>
      </c>
      <c r="Y46" s="628">
        <f t="shared" si="28"/>
        <v>0.25057983523952265</v>
      </c>
      <c r="Z46" s="628">
        <f t="shared" si="28"/>
        <v>0.10355419108945654</v>
      </c>
      <c r="AA46" s="628">
        <f t="shared" si="28"/>
        <v>0.13501191994257825</v>
      </c>
      <c r="AB46" s="628">
        <f t="shared" si="28"/>
        <v>1.3855333431032327E-2</v>
      </c>
      <c r="AC46" s="628">
        <f t="shared" si="28"/>
        <v>9.3738799248429358E-2</v>
      </c>
      <c r="AD46" s="628">
        <f t="shared" si="28"/>
        <v>0.11638871867901819</v>
      </c>
      <c r="AE46" s="628">
        <f t="shared" si="28"/>
        <v>7.9885025164157755E-2</v>
      </c>
      <c r="AF46" s="627">
        <f t="shared" si="28"/>
        <v>0.16184879849879696</v>
      </c>
      <c r="AG46" s="628">
        <f t="shared" si="28"/>
        <v>3.4205338479898116E-2</v>
      </c>
      <c r="AH46" s="628">
        <f t="shared" si="28"/>
        <v>1.8019106016400693E-2</v>
      </c>
      <c r="AI46" s="628">
        <f t="shared" si="28"/>
        <v>0.35636194553333583</v>
      </c>
      <c r="AJ46" s="628">
        <f t="shared" si="28"/>
        <v>0.20468988275877381</v>
      </c>
      <c r="AK46" s="628">
        <f t="shared" si="28"/>
        <v>0.10779717897676526</v>
      </c>
      <c r="AL46" s="628">
        <f t="shared" si="28"/>
        <v>1.5478665410122869E-2</v>
      </c>
      <c r="AM46" s="628">
        <f t="shared" si="28"/>
        <v>7.8323961548170576E-2</v>
      </c>
      <c r="AN46" s="628">
        <f t="shared" si="28"/>
        <v>2.0551375256591259E-2</v>
      </c>
      <c r="AO46" s="628">
        <f t="shared" si="28"/>
        <v>3.2521038411636363E-3</v>
      </c>
      <c r="AP46" s="628">
        <f t="shared" si="28"/>
        <v>4.5969438258465584E-2</v>
      </c>
      <c r="AQ46" s="628">
        <f t="shared" si="28"/>
        <v>3.204603801045814E-2</v>
      </c>
      <c r="AR46" s="628">
        <f t="shared" si="28"/>
        <v>0.25164455099600541</v>
      </c>
      <c r="AS46" s="628">
        <f t="shared" si="28"/>
        <v>0.26560201137867451</v>
      </c>
      <c r="AT46" s="628">
        <f t="shared" si="28"/>
        <v>8.9620257003010975E-2</v>
      </c>
      <c r="AU46" s="628">
        <f t="shared" si="28"/>
        <v>1.0506182104335484E-2</v>
      </c>
      <c r="AV46" s="628">
        <f t="shared" si="28"/>
        <v>3.4554057052939145E-2</v>
      </c>
      <c r="AW46" s="628">
        <f t="shared" si="28"/>
        <v>2.4368524096887566E-2</v>
      </c>
      <c r="AX46" s="628">
        <f t="shared" si="28"/>
        <v>2.7251611028740599E-2</v>
      </c>
      <c r="AY46" s="628">
        <f t="shared" si="28"/>
        <v>0.10563787187535351</v>
      </c>
      <c r="AZ46" s="628">
        <f t="shared" si="28"/>
        <v>7.3889449022861223E-2</v>
      </c>
      <c r="BA46" s="628">
        <f t="shared" si="28"/>
        <v>0.12969282181024544</v>
      </c>
      <c r="BB46" s="628">
        <f t="shared" si="28"/>
        <v>0.17851481340592912</v>
      </c>
      <c r="BC46" s="628">
        <f t="shared" si="28"/>
        <v>0.13183145147690833</v>
      </c>
      <c r="BD46" s="628">
        <f t="shared" si="28"/>
        <v>7.9860692067764236E-2</v>
      </c>
      <c r="BE46" s="628">
        <f t="shared" si="28"/>
        <v>0.1562996383552531</v>
      </c>
      <c r="BF46" s="628">
        <f t="shared" ref="BF46" si="29">+BF43*BF44/BF45</f>
        <v>4.8972986192728912E-2</v>
      </c>
    </row>
    <row r="47" spans="1:59" x14ac:dyDescent="0.2">
      <c r="A47" s="765"/>
      <c r="B47" s="376"/>
      <c r="C47" s="628"/>
      <c r="D47" s="628"/>
      <c r="E47" s="628"/>
      <c r="F47" s="628"/>
      <c r="G47" s="628"/>
      <c r="H47" s="628"/>
      <c r="I47" s="628"/>
      <c r="J47" s="628"/>
      <c r="K47" s="628"/>
      <c r="L47" s="628"/>
      <c r="M47" s="628"/>
      <c r="N47" s="628"/>
      <c r="O47" s="628"/>
      <c r="P47" s="628"/>
      <c r="Q47" s="628"/>
      <c r="R47" s="628"/>
      <c r="S47" s="628"/>
      <c r="T47" s="628"/>
      <c r="U47" s="628"/>
      <c r="V47" s="628"/>
      <c r="W47" s="628"/>
      <c r="X47" s="628"/>
      <c r="Y47" s="628"/>
      <c r="Z47" s="628"/>
      <c r="AA47" s="628"/>
      <c r="AB47" s="628"/>
      <c r="AC47" s="628"/>
      <c r="AD47" s="628"/>
      <c r="AE47" s="628"/>
      <c r="AF47" s="628"/>
      <c r="AG47" s="628"/>
      <c r="AH47" s="628"/>
      <c r="AI47" s="628"/>
      <c r="AJ47" s="628"/>
      <c r="AK47" s="628"/>
      <c r="AL47" s="628"/>
      <c r="AM47" s="628"/>
      <c r="AN47" s="628"/>
      <c r="AO47" s="628"/>
      <c r="AP47" s="628"/>
      <c r="AQ47" s="628"/>
      <c r="AR47" s="628"/>
      <c r="AS47" s="628"/>
      <c r="AT47" s="628"/>
      <c r="AU47" s="628"/>
      <c r="AV47" s="628"/>
      <c r="AW47" s="628"/>
      <c r="AX47" s="628"/>
      <c r="AY47" s="628"/>
      <c r="AZ47" s="628"/>
      <c r="BA47" s="628"/>
      <c r="BB47" s="628"/>
      <c r="BC47" s="628"/>
      <c r="BD47" s="628"/>
      <c r="BE47" s="628"/>
      <c r="BF47" s="628"/>
    </row>
    <row r="48" spans="1:59" x14ac:dyDescent="0.2">
      <c r="A48" s="1815" t="s">
        <v>1029</v>
      </c>
      <c r="B48" s="376" t="s">
        <v>1030</v>
      </c>
      <c r="C48" s="628">
        <f>+HLOOKUP(C4,'פירוט נכסי מים וביוב'!$1:$289,235,0)</f>
        <v>0</v>
      </c>
      <c r="D48" s="628">
        <f>+HLOOKUP(D4,'פירוט נכסי מים וביוב'!$1:$289,235,0)</f>
        <v>174</v>
      </c>
      <c r="E48" s="628">
        <f>+HLOOKUP(E4,'פירוט נכסי מים וביוב'!$1:$289,235,0)</f>
        <v>417.9</v>
      </c>
      <c r="F48" s="628">
        <f>+HLOOKUP(F4,'פירוט נכסי מים וביוב'!$1:$289,235,0)</f>
        <v>0</v>
      </c>
      <c r="G48" s="628">
        <f>+HLOOKUP(G4,'פירוט נכסי מים וביוב'!$1:$289,235,0)</f>
        <v>2102.8571428571427</v>
      </c>
      <c r="H48" s="628">
        <f>+HLOOKUP(H4,'פירוט נכסי מים וביוב'!$1:$289,235,0)</f>
        <v>45.714285714285715</v>
      </c>
      <c r="I48" s="628">
        <f>+HLOOKUP(I4,'פירוט נכסי מים וביוב'!$1:$289,235,0)</f>
        <v>0</v>
      </c>
      <c r="J48" s="628">
        <f>+HLOOKUP(J4,'פירוט נכסי מים וביוב'!$1:$289,235,0)</f>
        <v>338.28571428571428</v>
      </c>
      <c r="K48" s="628">
        <f>+HLOOKUP(K4,'פירוט נכסי מים וביוב'!$1:$289,235,0)</f>
        <v>142.5</v>
      </c>
      <c r="L48" s="628">
        <f>+HLOOKUP(L4,'פירוט נכסי מים וביוב'!$1:$289,235,0)</f>
        <v>455.4</v>
      </c>
      <c r="M48" s="628">
        <f>+HLOOKUP(M4,'פירוט נכסי מים וביוב'!$1:$289,235,0)</f>
        <v>2234.0571428571429</v>
      </c>
      <c r="N48" s="628">
        <f>+HLOOKUP(N4,'פירוט נכסי מים וביוב'!$1:$289,235,0)</f>
        <v>0</v>
      </c>
      <c r="O48" s="628">
        <f>+HLOOKUP(O4,'פירוט נכסי מים וביוב'!$1:$289,235,0)</f>
        <v>137.14285714285714</v>
      </c>
      <c r="P48" s="628">
        <f>+HLOOKUP(P4,'פירוט נכסי מים וביוב'!$1:$289,235,0)</f>
        <v>630.4</v>
      </c>
      <c r="Q48" s="628">
        <f>+HLOOKUP(Q4,'פירוט נכסי מים וביוב'!$1:$289,235,0)</f>
        <v>1210.0923619047617</v>
      </c>
      <c r="R48" s="628">
        <f>+HLOOKUP(R4,'פירוט נכסי מים וביוב'!$1:$289,235,0)</f>
        <v>182.85714285714286</v>
      </c>
      <c r="S48" s="628">
        <f>+HLOOKUP(S4,'פירוט נכסי מים וביוב'!$1:$289,235,0)</f>
        <v>0</v>
      </c>
      <c r="T48" s="628">
        <f>+HLOOKUP(T4,'פירוט נכסי מים וביוב'!$1:$289,235,0)</f>
        <v>1749.9428571428571</v>
      </c>
      <c r="U48" s="628">
        <f>+HLOOKUP(U4,'פירוט נכסי מים וביוב'!$1:$289,235,0)</f>
        <v>1148.982857142857</v>
      </c>
      <c r="V48" s="628">
        <f>+HLOOKUP(V4,'פירוט נכסי מים וביוב'!$1:$289,235,0)</f>
        <v>586.69799999999998</v>
      </c>
      <c r="W48" s="628">
        <f>+HLOOKUP(W4,'פירוט נכסי מים וביוב'!$1:$289,235,0)</f>
        <v>2018</v>
      </c>
      <c r="X48" s="628">
        <f>+HLOOKUP(X4,'פירוט נכסי מים וביוב'!$1:$289,235,0)</f>
        <v>687.18902857142859</v>
      </c>
      <c r="Y48" s="628">
        <f>+HLOOKUP(Y4,'פירוט נכסי מים וביוב'!$1:$289,235,0)</f>
        <v>1430.8004571428571</v>
      </c>
      <c r="Z48" s="628">
        <f>+HLOOKUP(Z4,'פירוט נכסי מים וביוב'!$1:$289,235,0)</f>
        <v>498.28571428571428</v>
      </c>
      <c r="AA48" s="628">
        <f>+HLOOKUP(AA4,'פירוט נכסי מים וביוב'!$1:$289,235,0)</f>
        <v>563.90476190476193</v>
      </c>
      <c r="AB48" s="628">
        <f>+HLOOKUP(AB4,'פירוט נכסי מים וביוב'!$1:$289,235,0)</f>
        <v>80</v>
      </c>
      <c r="AC48" s="628">
        <f>+HLOOKUP(AC4,'פירוט נכסי מים וביוב'!$1:$289,235,0)</f>
        <v>1732.6428571428573</v>
      </c>
      <c r="AD48" s="628">
        <f>+HLOOKUP(AD4,'פירוט נכסי מים וביוב'!$1:$289,235,0)</f>
        <v>408.33097142857144</v>
      </c>
      <c r="AE48" s="628">
        <f>+HLOOKUP(AE4,'פירוט נכסי מים וביוב'!$1:$289,235,0)</f>
        <v>1538.9142857142856</v>
      </c>
      <c r="AF48" s="628">
        <f>+HLOOKUP(AF4,'פירוט נכסי מים וביוב'!$1:$289,235,0)</f>
        <v>575.2380952380953</v>
      </c>
      <c r="AG48" s="628">
        <f>+HLOOKUP(AG4,'פירוט נכסי מים וביוב'!$1:$289,235,0)</f>
        <v>210.32556190476191</v>
      </c>
      <c r="AH48" s="628">
        <f>+HLOOKUP(AH4,'פירוט נכסי מים וביוב'!$1:$289,235,0)</f>
        <v>120</v>
      </c>
      <c r="AI48" s="628">
        <f>+HLOOKUP(AI4,'פירוט נכסי מים וביוב'!$1:$289,235,0)</f>
        <v>795.42857142857144</v>
      </c>
      <c r="AJ48" s="628">
        <f>+HLOOKUP(AJ4,'פירוט נכסי מים וביוב'!$1:$289,235,0)</f>
        <v>745.78102857142858</v>
      </c>
      <c r="AK48" s="628">
        <f>+HLOOKUP(AK4,'פירוט נכסי מים וביוב'!$1:$289,235,0)</f>
        <v>421.45714285714286</v>
      </c>
      <c r="AL48" s="628">
        <f>+HLOOKUP(AL4,'פירוט נכסי מים וביוב'!$1:$289,235,0)</f>
        <v>586.64285714285711</v>
      </c>
      <c r="AM48" s="628">
        <f>+HLOOKUP(AM4,'פירוט נכסי מים וביוב'!$1:$289,235,0)</f>
        <v>714.35546190476191</v>
      </c>
      <c r="AN48" s="628">
        <f>+HLOOKUP(AN4,'פירוט נכסי מים וביוב'!$1:$289,235,0)</f>
        <v>408.59428571428572</v>
      </c>
      <c r="AO48" s="628">
        <f>+HLOOKUP(AO4,'פירוט נכסי מים וביוב'!$1:$289,235,0)</f>
        <v>1637.1428571428573</v>
      </c>
      <c r="AP48" s="628">
        <f>+HLOOKUP(AP4,'פירוט נכסי מים וביוב'!$1:$289,235,0)</f>
        <v>717.71428571428567</v>
      </c>
      <c r="AQ48" s="628">
        <f>+HLOOKUP(AQ4,'פירוט נכסי מים וביוב'!$1:$289,235,0)</f>
        <v>195.54761904761907</v>
      </c>
      <c r="AR48" s="628">
        <f>+HLOOKUP(AR4,'פירוט נכסי מים וביוב'!$1:$289,235,0)</f>
        <v>594.60699999999997</v>
      </c>
      <c r="AS48" s="628">
        <f>+HLOOKUP(AS4,'פירוט נכסי מים וביוב'!$1:$289,235,0)</f>
        <v>559.35714285714289</v>
      </c>
      <c r="AT48" s="628">
        <f>+HLOOKUP(AT4,'פירוט נכסי מים וביוב'!$1:$289,235,0)</f>
        <v>291.04761904761904</v>
      </c>
      <c r="AU48" s="628">
        <f>+HLOOKUP(AU4,'פירוט נכסי מים וביוב'!$1:$289,235,0)</f>
        <v>154.61904761904762</v>
      </c>
      <c r="AV48" s="628">
        <f>+HLOOKUP(AV4,'פירוט נכסי מים וביוב'!$1:$289,235,0)</f>
        <v>410.67</v>
      </c>
      <c r="AW48" s="628">
        <f>+HLOOKUP(AW4,'פירוט נכסי מים וביוב'!$1:$289,235,0)</f>
        <v>180</v>
      </c>
      <c r="AX48" s="628">
        <f>+HLOOKUP(AX4,'פירוט נכסי מים וביוב'!$1:$289,235,0)</f>
        <v>400.1904761904762</v>
      </c>
      <c r="AY48" s="628">
        <f>+HLOOKUP(AY4,'פירוט נכסי מים וביוב'!$1:$289,235,0)</f>
        <v>749.30391428571431</v>
      </c>
      <c r="AZ48" s="628">
        <f>+HLOOKUP(AZ4,'פירוט נכסי מים וביוב'!$1:$289,235,0)</f>
        <v>571.54761904761904</v>
      </c>
      <c r="BA48" s="628">
        <f>+HLOOKUP(BA4,'פירוט נכסי מים וביוב'!$1:$289,235,0)</f>
        <v>0</v>
      </c>
      <c r="BB48" s="628">
        <f>+HLOOKUP(BB4,'פירוט נכסי מים וביוב'!$1:$289,235,0)</f>
        <v>287.35000000000002</v>
      </c>
      <c r="BC48" s="628">
        <f>+HLOOKUP(BC4,'פירוט נכסי מים וביוב'!$1:$289,235,0)</f>
        <v>734</v>
      </c>
      <c r="BD48" s="628">
        <f>+HLOOKUP(BD4,'פירוט נכסי מים וביוב'!$1:$289,235,0)</f>
        <v>784.79047619047617</v>
      </c>
      <c r="BE48" s="628">
        <f>+HLOOKUP(BE4,'פירוט נכסי מים וביוב'!$1:$289,235,0)</f>
        <v>541.76571428571435</v>
      </c>
      <c r="BF48" s="628">
        <f>+HLOOKUP(BF4,'פירוט נכסי מים וביוב'!$1:$289,235,0)</f>
        <v>665</v>
      </c>
    </row>
    <row r="49" spans="1:58" x14ac:dyDescent="0.2">
      <c r="A49" s="1816"/>
      <c r="B49" s="376" t="s">
        <v>1031</v>
      </c>
      <c r="C49" s="767">
        <v>0.05</v>
      </c>
      <c r="D49" s="767">
        <v>0.05</v>
      </c>
      <c r="E49" s="767">
        <v>0.05</v>
      </c>
      <c r="F49" s="767">
        <v>0.05</v>
      </c>
      <c r="G49" s="767">
        <v>0.05</v>
      </c>
      <c r="H49" s="767">
        <v>0.05</v>
      </c>
      <c r="I49" s="767">
        <v>0.05</v>
      </c>
      <c r="J49" s="767">
        <v>0.05</v>
      </c>
      <c r="K49" s="767">
        <v>0.05</v>
      </c>
      <c r="L49" s="767">
        <v>0.05</v>
      </c>
      <c r="M49" s="767">
        <v>0.05</v>
      </c>
      <c r="N49" s="767">
        <v>0.05</v>
      </c>
      <c r="O49" s="767">
        <v>0.05</v>
      </c>
      <c r="P49" s="767">
        <v>0.05</v>
      </c>
      <c r="Q49" s="767">
        <v>0.05</v>
      </c>
      <c r="R49" s="767">
        <v>0.05</v>
      </c>
      <c r="S49" s="767">
        <v>0.05</v>
      </c>
      <c r="T49" s="767">
        <v>0.05</v>
      </c>
      <c r="U49" s="767">
        <v>0.05</v>
      </c>
      <c r="V49" s="767">
        <v>0.05</v>
      </c>
      <c r="W49" s="767">
        <v>0.05</v>
      </c>
      <c r="X49" s="767">
        <v>0.05</v>
      </c>
      <c r="Y49" s="767">
        <v>0.05</v>
      </c>
      <c r="Z49" s="767">
        <v>0.05</v>
      </c>
      <c r="AA49" s="767">
        <v>0.05</v>
      </c>
      <c r="AB49" s="767">
        <v>0.05</v>
      </c>
      <c r="AC49" s="767">
        <v>0.05</v>
      </c>
      <c r="AD49" s="767">
        <v>0.05</v>
      </c>
      <c r="AE49" s="767">
        <v>0.05</v>
      </c>
      <c r="AF49" s="767">
        <v>0.05</v>
      </c>
      <c r="AG49" s="767">
        <v>0.05</v>
      </c>
      <c r="AH49" s="767">
        <v>0.05</v>
      </c>
      <c r="AI49" s="767">
        <v>0.05</v>
      </c>
      <c r="AJ49" s="767">
        <v>0.05</v>
      </c>
      <c r="AK49" s="767">
        <v>0.05</v>
      </c>
      <c r="AL49" s="767">
        <v>0.05</v>
      </c>
      <c r="AM49" s="767">
        <v>0.05</v>
      </c>
      <c r="AN49" s="767">
        <v>0.05</v>
      </c>
      <c r="AO49" s="767">
        <v>0.05</v>
      </c>
      <c r="AP49" s="767">
        <v>0.05</v>
      </c>
      <c r="AQ49" s="767">
        <v>0.05</v>
      </c>
      <c r="AR49" s="767">
        <v>0.05</v>
      </c>
      <c r="AS49" s="767">
        <v>0.05</v>
      </c>
      <c r="AT49" s="767">
        <v>0.05</v>
      </c>
      <c r="AU49" s="767">
        <v>0.05</v>
      </c>
      <c r="AV49" s="767">
        <v>0.05</v>
      </c>
      <c r="AW49" s="767">
        <v>0.05</v>
      </c>
      <c r="AX49" s="767">
        <v>0.05</v>
      </c>
      <c r="AY49" s="767">
        <v>0.05</v>
      </c>
      <c r="AZ49" s="767">
        <v>0.05</v>
      </c>
      <c r="BA49" s="767">
        <v>0.05</v>
      </c>
      <c r="BB49" s="767">
        <v>0.05</v>
      </c>
      <c r="BC49" s="767">
        <v>0.05</v>
      </c>
      <c r="BD49" s="767">
        <v>0.05</v>
      </c>
      <c r="BE49" s="767">
        <v>0.05</v>
      </c>
      <c r="BF49" s="767">
        <v>0.05</v>
      </c>
    </row>
    <row r="50" spans="1:58" x14ac:dyDescent="0.2">
      <c r="A50" s="1816"/>
      <c r="B50" s="376" t="s">
        <v>486</v>
      </c>
      <c r="C50" s="625">
        <f>+C40</f>
        <v>10687.855</v>
      </c>
      <c r="D50" s="625">
        <f t="shared" ref="D50:BE50" si="30">+D40</f>
        <v>9055.2800000000007</v>
      </c>
      <c r="E50" s="625">
        <f t="shared" si="30"/>
        <v>4030.194</v>
      </c>
      <c r="F50" s="625">
        <f t="shared" si="30"/>
        <v>52720.276000000005</v>
      </c>
      <c r="G50" s="625">
        <f t="shared" si="30"/>
        <v>16005.333000000001</v>
      </c>
      <c r="H50" s="625">
        <f t="shared" si="30"/>
        <v>1788.1780000000001</v>
      </c>
      <c r="I50" s="625">
        <f t="shared" si="30"/>
        <v>4309.6179999999995</v>
      </c>
      <c r="J50" s="625">
        <f t="shared" si="30"/>
        <v>6909.7800000000007</v>
      </c>
      <c r="K50" s="625">
        <f t="shared" si="30"/>
        <v>5187.3189999999995</v>
      </c>
      <c r="L50" s="625">
        <f t="shared" si="30"/>
        <v>9623.1640000000007</v>
      </c>
      <c r="M50" s="625">
        <f t="shared" si="30"/>
        <v>15637.956999999999</v>
      </c>
      <c r="N50" s="625">
        <f t="shared" si="30"/>
        <v>9167.7950000000001</v>
      </c>
      <c r="O50" s="625">
        <f t="shared" si="30"/>
        <v>5282.7240000000002</v>
      </c>
      <c r="P50" s="625">
        <f t="shared" si="30"/>
        <v>4539.3530000000001</v>
      </c>
      <c r="Q50" s="625">
        <f t="shared" si="30"/>
        <v>19454.196</v>
      </c>
      <c r="R50" s="625">
        <f t="shared" si="30"/>
        <v>17691.512999999999</v>
      </c>
      <c r="S50" s="625">
        <f t="shared" si="30"/>
        <v>18837.516</v>
      </c>
      <c r="T50" s="625">
        <f t="shared" si="30"/>
        <v>18472.741000000002</v>
      </c>
      <c r="U50" s="625">
        <f t="shared" si="30"/>
        <v>9784.3889999999992</v>
      </c>
      <c r="V50" s="625">
        <f t="shared" si="30"/>
        <v>8445.7630000000026</v>
      </c>
      <c r="W50" s="625">
        <f t="shared" si="30"/>
        <v>8240.5010000000002</v>
      </c>
      <c r="X50" s="625">
        <f t="shared" si="30"/>
        <v>5832.9979999999996</v>
      </c>
      <c r="Y50" s="625">
        <f t="shared" si="30"/>
        <v>2952.962</v>
      </c>
      <c r="Z50" s="625">
        <f t="shared" si="30"/>
        <v>3444.9430000000002</v>
      </c>
      <c r="AA50" s="625">
        <f t="shared" si="30"/>
        <v>6002.3060000000005</v>
      </c>
      <c r="AB50" s="625">
        <f t="shared" si="30"/>
        <v>6493.2190000000001</v>
      </c>
      <c r="AC50" s="625">
        <f t="shared" si="30"/>
        <v>9731.9999999999982</v>
      </c>
      <c r="AD50" s="625">
        <f t="shared" si="30"/>
        <v>4363.1009999999997</v>
      </c>
      <c r="AE50" s="625">
        <f t="shared" si="30"/>
        <v>22111.684000000001</v>
      </c>
      <c r="AF50" s="625">
        <f t="shared" si="30"/>
        <v>4985.741</v>
      </c>
      <c r="AG50" s="625">
        <f t="shared" si="30"/>
        <v>3259.576</v>
      </c>
      <c r="AH50" s="625">
        <f t="shared" si="30"/>
        <v>3128.6480000000001</v>
      </c>
      <c r="AI50" s="625">
        <f t="shared" si="30"/>
        <v>3446.8580000000002</v>
      </c>
      <c r="AJ50" s="625">
        <f t="shared" si="30"/>
        <v>3056.2750000000001</v>
      </c>
      <c r="AK50" s="625">
        <f t="shared" si="30"/>
        <v>2686.3910000000001</v>
      </c>
      <c r="AL50" s="625">
        <f t="shared" si="30"/>
        <v>42680.793000000005</v>
      </c>
      <c r="AM50" s="625">
        <f t="shared" si="30"/>
        <v>5323.2070000000003</v>
      </c>
      <c r="AN50" s="625">
        <f t="shared" si="30"/>
        <v>11220.945</v>
      </c>
      <c r="AO50" s="625">
        <f t="shared" si="30"/>
        <v>3602.181</v>
      </c>
      <c r="AP50" s="625">
        <f t="shared" si="30"/>
        <v>8567.8269999999993</v>
      </c>
      <c r="AQ50" s="625">
        <f t="shared" si="30"/>
        <v>5051.9580000000005</v>
      </c>
      <c r="AR50" s="625">
        <f t="shared" si="30"/>
        <v>10090.055000000002</v>
      </c>
      <c r="AS50" s="625">
        <f t="shared" si="30"/>
        <v>3169.9650000000001</v>
      </c>
      <c r="AT50" s="625">
        <f t="shared" si="30"/>
        <v>2562.8160000000003</v>
      </c>
      <c r="AU50" s="625">
        <f t="shared" si="30"/>
        <v>4253.8219999999992</v>
      </c>
      <c r="AV50" s="625">
        <f t="shared" si="30"/>
        <v>5709.3289999999997</v>
      </c>
      <c r="AW50" s="625">
        <f t="shared" si="30"/>
        <v>7199.768</v>
      </c>
      <c r="AX50" s="625">
        <f t="shared" si="30"/>
        <v>12153.178</v>
      </c>
      <c r="AY50" s="625">
        <f t="shared" si="30"/>
        <v>5805.2910000000002</v>
      </c>
      <c r="AZ50" s="625">
        <f t="shared" si="30"/>
        <v>5512.06</v>
      </c>
      <c r="BA50" s="625">
        <f t="shared" si="30"/>
        <v>5548.8330000000005</v>
      </c>
      <c r="BB50" s="625">
        <f t="shared" si="30"/>
        <v>4760.7890000000007</v>
      </c>
      <c r="BC50" s="625">
        <f t="shared" si="30"/>
        <v>4810.4272000000001</v>
      </c>
      <c r="BD50" s="625">
        <f t="shared" si="30"/>
        <v>7956.9939999999997</v>
      </c>
      <c r="BE50" s="625">
        <f t="shared" si="30"/>
        <v>1061.6970000000001</v>
      </c>
      <c r="BF50" s="625">
        <f t="shared" ref="BF50" si="31">+BF40</f>
        <v>9551.634</v>
      </c>
    </row>
    <row r="51" spans="1:58" x14ac:dyDescent="0.2">
      <c r="A51" s="1817"/>
      <c r="B51" s="376" t="s">
        <v>1032</v>
      </c>
      <c r="C51" s="627">
        <f>+C48*C49/C50</f>
        <v>0</v>
      </c>
      <c r="D51" s="628">
        <f t="shared" ref="D51:BE51" si="32">+D48*D49/D50</f>
        <v>9.6076543188062657E-4</v>
      </c>
      <c r="E51" s="628">
        <f t="shared" si="32"/>
        <v>5.1846139416613689E-3</v>
      </c>
      <c r="F51" s="628">
        <f t="shared" si="32"/>
        <v>0</v>
      </c>
      <c r="G51" s="628">
        <f t="shared" si="32"/>
        <v>6.5692389619670605E-3</v>
      </c>
      <c r="H51" s="628">
        <f t="shared" si="32"/>
        <v>1.2782364427446741E-3</v>
      </c>
      <c r="I51" s="628">
        <f t="shared" si="32"/>
        <v>0</v>
      </c>
      <c r="J51" s="628">
        <f t="shared" si="32"/>
        <v>2.4478761573140844E-3</v>
      </c>
      <c r="K51" s="628">
        <f t="shared" si="32"/>
        <v>1.3735419009318689E-3</v>
      </c>
      <c r="L51" s="628">
        <f t="shared" si="32"/>
        <v>2.3661656394923748E-3</v>
      </c>
      <c r="M51" s="628">
        <f t="shared" si="32"/>
        <v>7.1430594893474361E-3</v>
      </c>
      <c r="N51" s="628">
        <f t="shared" si="32"/>
        <v>0</v>
      </c>
      <c r="O51" s="628">
        <f t="shared" si="32"/>
        <v>1.2980316323818655E-3</v>
      </c>
      <c r="P51" s="628">
        <f t="shared" si="32"/>
        <v>6.9437208342246126E-3</v>
      </c>
      <c r="Q51" s="628">
        <f t="shared" si="32"/>
        <v>3.1101063284875966E-3</v>
      </c>
      <c r="R51" s="628">
        <f t="shared" si="32"/>
        <v>5.1679339934674576E-4</v>
      </c>
      <c r="S51" s="628">
        <f t="shared" si="32"/>
        <v>0</v>
      </c>
      <c r="T51" s="628">
        <f t="shared" si="32"/>
        <v>4.7365544104766505E-3</v>
      </c>
      <c r="U51" s="628">
        <f t="shared" si="32"/>
        <v>5.8715105109928539E-3</v>
      </c>
      <c r="V51" s="628">
        <f t="shared" si="32"/>
        <v>3.4733273950500378E-3</v>
      </c>
      <c r="W51" s="628">
        <f t="shared" si="32"/>
        <v>1.2244401159589691E-2</v>
      </c>
      <c r="X51" s="628">
        <f t="shared" si="32"/>
        <v>5.890530294810908E-3</v>
      </c>
      <c r="Y51" s="628">
        <f t="shared" si="32"/>
        <v>2.4226530127086924E-2</v>
      </c>
      <c r="Z51" s="628">
        <f t="shared" si="32"/>
        <v>7.2321329305842542E-3</v>
      </c>
      <c r="AA51" s="628">
        <f t="shared" si="32"/>
        <v>4.6974009814291532E-3</v>
      </c>
      <c r="AB51" s="628">
        <f t="shared" si="32"/>
        <v>6.1602727399152869E-4</v>
      </c>
      <c r="AC51" s="628">
        <f t="shared" si="32"/>
        <v>8.9017820445070773E-3</v>
      </c>
      <c r="AD51" s="628">
        <f t="shared" si="32"/>
        <v>4.6793664807274864E-3</v>
      </c>
      <c r="AE51" s="628">
        <f t="shared" si="32"/>
        <v>3.479866765720525E-3</v>
      </c>
      <c r="AF51" s="627">
        <f t="shared" si="32"/>
        <v>5.7688325089299197E-3</v>
      </c>
      <c r="AG51" s="628">
        <f t="shared" si="32"/>
        <v>3.2262717897168515E-3</v>
      </c>
      <c r="AH51" s="628">
        <f t="shared" si="32"/>
        <v>1.917761282189623E-3</v>
      </c>
      <c r="AI51" s="628">
        <f t="shared" si="32"/>
        <v>1.1538458669149867E-2</v>
      </c>
      <c r="AJ51" s="628">
        <f t="shared" si="32"/>
        <v>1.2200816820662876E-2</v>
      </c>
      <c r="AK51" s="628">
        <f t="shared" si="32"/>
        <v>7.8443000824739012E-3</v>
      </c>
      <c r="AL51" s="628">
        <f t="shared" si="32"/>
        <v>6.8724456120444744E-4</v>
      </c>
      <c r="AM51" s="628">
        <f t="shared" si="32"/>
        <v>6.7098223111064607E-3</v>
      </c>
      <c r="AN51" s="628">
        <f t="shared" si="32"/>
        <v>1.8206768044682767E-3</v>
      </c>
      <c r="AO51" s="628">
        <f t="shared" si="32"/>
        <v>2.2724328082665161E-2</v>
      </c>
      <c r="AP51" s="628">
        <f t="shared" si="32"/>
        <v>4.1884265737058288E-3</v>
      </c>
      <c r="AQ51" s="628">
        <f t="shared" si="32"/>
        <v>1.9353646551259834E-3</v>
      </c>
      <c r="AR51" s="628">
        <f t="shared" si="32"/>
        <v>2.9465002916237814E-3</v>
      </c>
      <c r="AS51" s="628">
        <f t="shared" si="32"/>
        <v>8.8227652806441535E-3</v>
      </c>
      <c r="AT51" s="628">
        <f t="shared" si="32"/>
        <v>5.6782777040493542E-3</v>
      </c>
      <c r="AU51" s="628">
        <f t="shared" si="32"/>
        <v>1.8174132300205279E-3</v>
      </c>
      <c r="AV51" s="628">
        <f t="shared" si="32"/>
        <v>3.5964821785537328E-3</v>
      </c>
      <c r="AW51" s="628">
        <f t="shared" si="32"/>
        <v>1.2500402790756591E-3</v>
      </c>
      <c r="AX51" s="628">
        <f t="shared" si="32"/>
        <v>1.6464437375576836E-3</v>
      </c>
      <c r="AY51" s="628">
        <f t="shared" si="32"/>
        <v>6.453629234828318E-3</v>
      </c>
      <c r="AZ51" s="628">
        <f t="shared" si="32"/>
        <v>5.184519209221407E-3</v>
      </c>
      <c r="BA51" s="628">
        <f t="shared" si="32"/>
        <v>0</v>
      </c>
      <c r="BB51" s="628">
        <f t="shared" si="32"/>
        <v>3.0178821199595275E-3</v>
      </c>
      <c r="BC51" s="628">
        <f t="shared" si="32"/>
        <v>7.6292600374453234E-3</v>
      </c>
      <c r="BD51" s="628">
        <f t="shared" si="32"/>
        <v>4.93145072241148E-3</v>
      </c>
      <c r="BE51" s="628">
        <f t="shared" si="32"/>
        <v>2.5514139829241032E-2</v>
      </c>
      <c r="BF51" s="628">
        <f t="shared" ref="BF51" si="33">+BF48*BF49/BF50</f>
        <v>3.4810797817420558E-3</v>
      </c>
    </row>
    <row r="52" spans="1:58" x14ac:dyDescent="0.2">
      <c r="A52" s="765"/>
      <c r="B52" s="376"/>
      <c r="C52" s="628"/>
      <c r="D52" s="628"/>
      <c r="E52" s="628"/>
      <c r="F52" s="628"/>
      <c r="G52" s="628"/>
      <c r="H52" s="628"/>
      <c r="I52" s="628"/>
      <c r="J52" s="628"/>
      <c r="K52" s="628"/>
      <c r="L52" s="628"/>
      <c r="M52" s="628"/>
      <c r="N52" s="628"/>
      <c r="O52" s="628"/>
      <c r="P52" s="628"/>
      <c r="Q52" s="628"/>
      <c r="R52" s="628"/>
      <c r="S52" s="628"/>
      <c r="T52" s="628"/>
      <c r="U52" s="628"/>
      <c r="V52" s="628"/>
      <c r="W52" s="628"/>
      <c r="X52" s="628"/>
      <c r="Y52" s="628"/>
      <c r="Z52" s="628"/>
      <c r="AA52" s="628"/>
      <c r="AB52" s="628"/>
      <c r="AC52" s="628"/>
      <c r="AD52" s="628"/>
      <c r="AE52" s="628"/>
      <c r="AF52" s="628"/>
      <c r="AG52" s="628"/>
      <c r="AH52" s="628"/>
      <c r="AI52" s="628"/>
      <c r="AJ52" s="628"/>
      <c r="AK52" s="628"/>
      <c r="AL52" s="628"/>
      <c r="AM52" s="628"/>
      <c r="AN52" s="628"/>
      <c r="AO52" s="628"/>
      <c r="AP52" s="628"/>
      <c r="AQ52" s="628"/>
      <c r="AR52" s="628"/>
      <c r="AS52" s="628"/>
      <c r="AT52" s="628"/>
      <c r="AU52" s="628"/>
      <c r="AV52" s="628"/>
      <c r="AW52" s="628"/>
      <c r="AX52" s="628"/>
      <c r="AY52" s="628"/>
      <c r="AZ52" s="628"/>
      <c r="BA52" s="628"/>
      <c r="BB52" s="628"/>
      <c r="BC52" s="628"/>
      <c r="BD52" s="628"/>
      <c r="BE52" s="628"/>
      <c r="BF52" s="628"/>
    </row>
    <row r="53" spans="1:58" x14ac:dyDescent="0.2">
      <c r="A53" s="1815" t="s">
        <v>1033</v>
      </c>
      <c r="B53" s="376" t="s">
        <v>1034</v>
      </c>
      <c r="C53" s="628">
        <f>+HLOOKUP(C4,'פירוט נכסי מים וביוב'!$1:$289,268,0)</f>
        <v>0</v>
      </c>
      <c r="D53" s="628">
        <f>+HLOOKUP(D4,'פירוט נכסי מים וביוב'!$1:$289,268,0)</f>
        <v>0</v>
      </c>
      <c r="E53" s="628">
        <f>+HLOOKUP(E4,'פירוט נכסי מים וביוב'!$1:$289,268,0)</f>
        <v>0</v>
      </c>
      <c r="F53" s="628">
        <f>+HLOOKUP(F4,'פירוט נכסי מים וביוב'!$1:$289,268,0)</f>
        <v>0</v>
      </c>
      <c r="G53" s="628">
        <f>+HLOOKUP(G4,'פירוט נכסי מים וביוב'!$1:$289,268,0)</f>
        <v>12617.142857142857</v>
      </c>
      <c r="H53" s="628">
        <f>+HLOOKUP(H4,'פירוט נכסי מים וביוב'!$1:$289,268,0)</f>
        <v>0</v>
      </c>
      <c r="I53" s="628">
        <f>+HLOOKUP(I4,'פירוט נכסי מים וביוב'!$1:$289,268,0)</f>
        <v>0</v>
      </c>
      <c r="J53" s="628">
        <f>+HLOOKUP(J4,'פירוט נכסי מים וביוב'!$1:$289,268,0)</f>
        <v>1767.5062857142857</v>
      </c>
      <c r="K53" s="628">
        <f>+HLOOKUP(K4,'פירוט נכסי מים וביוב'!$1:$289,268,0)</f>
        <v>0</v>
      </c>
      <c r="L53" s="628">
        <f>+HLOOKUP(L4,'פירוט נכסי מים וביוב'!$1:$289,268,0)</f>
        <v>0</v>
      </c>
      <c r="M53" s="628">
        <f>+HLOOKUP(M4,'פירוט נכסי מים וביוב'!$1:$289,268,0)</f>
        <v>22044.29257142857</v>
      </c>
      <c r="N53" s="628">
        <f>+HLOOKUP(N4,'פירוט נכסי מים וביוב'!$1:$289,268,0)</f>
        <v>0</v>
      </c>
      <c r="O53" s="628">
        <f>+HLOOKUP(O4,'פירוט נכסי מים וביוב'!$1:$289,268,0)</f>
        <v>0</v>
      </c>
      <c r="P53" s="628">
        <f>+HLOOKUP(P4,'פירוט נכסי מים וביוב'!$1:$289,268,0)</f>
        <v>0</v>
      </c>
      <c r="Q53" s="628">
        <f>+HLOOKUP(Q4,'פירוט נכסי מים וביוב'!$1:$289,268,0)</f>
        <v>14528.034742857144</v>
      </c>
      <c r="R53" s="628">
        <f>+HLOOKUP(R4,'פירוט נכסי מים וביוב'!$1:$289,268,0)</f>
        <v>0</v>
      </c>
      <c r="S53" s="628">
        <f>+HLOOKUP(S4,'פירוט נכסי מים וביוב'!$1:$289,268,0)</f>
        <v>0</v>
      </c>
      <c r="T53" s="628">
        <f>+HLOOKUP(T4,'פירוט נכסי מים וביוב'!$1:$289,268,0)</f>
        <v>0</v>
      </c>
      <c r="U53" s="628">
        <f>+HLOOKUP(U4,'פירוט נכסי מים וביוב'!$1:$289,268,0)</f>
        <v>5185.8834285714283</v>
      </c>
      <c r="V53" s="628">
        <f>+HLOOKUP(V4,'פירוט נכסי מים וביוב'!$1:$289,268,0)</f>
        <v>0</v>
      </c>
      <c r="W53" s="628">
        <f>+HLOOKUP(W4,'פירוט נכסי מים וביוב'!$1:$289,268,0)</f>
        <v>0</v>
      </c>
      <c r="X53" s="628">
        <f>+HLOOKUP(X4,'פירוט נכסי מים וביוב'!$1:$289,268,0)</f>
        <v>5324.3986285714282</v>
      </c>
      <c r="Y53" s="628">
        <f>+HLOOKUP(Y4,'פירוט נכסי מים וביוב'!$1:$289,268,0)</f>
        <v>0</v>
      </c>
      <c r="Z53" s="628">
        <f>+HLOOKUP(Z4,'פירוט נכסי מים וביוב'!$1:$289,268,0)</f>
        <v>0</v>
      </c>
      <c r="AA53" s="628">
        <f>+HLOOKUP(AA4,'פירוט נכסי מים וביוב'!$1:$289,268,0)</f>
        <v>0</v>
      </c>
      <c r="AB53" s="628">
        <f>+HLOOKUP(AB4,'פירוט נכסי מים וביוב'!$1:$289,268,0)</f>
        <v>5610.9714285714281</v>
      </c>
      <c r="AC53" s="628">
        <f>+HLOOKUP(AC4,'פירוט נכסי מים וביוב'!$1:$289,268,0)</f>
        <v>0</v>
      </c>
      <c r="AD53" s="628">
        <f>+HLOOKUP(AD4,'פירוט נכסי מים וביוב'!$1:$289,268,0)</f>
        <v>0</v>
      </c>
      <c r="AE53" s="628">
        <f>+HLOOKUP(AE4,'פירוט נכסי מים וביוב'!$1:$289,268,0)</f>
        <v>19900.766590476189</v>
      </c>
      <c r="AF53" s="628">
        <f>+HLOOKUP(AF4,'פירוט נכסי מים וביוב'!$1:$289,268,0)</f>
        <v>0</v>
      </c>
      <c r="AG53" s="628">
        <f>+HLOOKUP(AG4,'פירוט נכסי מים וביוב'!$1:$289,268,0)</f>
        <v>0</v>
      </c>
      <c r="AH53" s="628">
        <f>+HLOOKUP(AH4,'פירוט נכסי מים וביוב'!$1:$289,268,0)</f>
        <v>824.1</v>
      </c>
      <c r="AI53" s="628">
        <f>+HLOOKUP(AI4,'פירוט נכסי מים וביוב'!$1:$289,268,0)</f>
        <v>0</v>
      </c>
      <c r="AJ53" s="628">
        <f>+HLOOKUP(AJ4,'פירוט נכסי מים וביוב'!$1:$289,268,0)</f>
        <v>1406.4914285714287</v>
      </c>
      <c r="AK53" s="628">
        <f>+HLOOKUP(AK4,'פירוט נכסי מים וביוב'!$1:$289,268,0)</f>
        <v>0</v>
      </c>
      <c r="AL53" s="628">
        <f>+HLOOKUP(AL4,'פירוט נכסי מים וביוב'!$1:$289,268,0)</f>
        <v>0</v>
      </c>
      <c r="AM53" s="628">
        <f>+HLOOKUP(AM4,'פירוט נכסי מים וביוב'!$1:$289,268,0)</f>
        <v>714.72018095238104</v>
      </c>
      <c r="AN53" s="628">
        <f>+HLOOKUP(AN4,'פירוט נכסי מים וביוב'!$1:$289,268,0)</f>
        <v>0</v>
      </c>
      <c r="AO53" s="628">
        <f>+HLOOKUP(AO4,'פירוט נכסי מים וביוב'!$1:$289,268,0)</f>
        <v>0</v>
      </c>
      <c r="AP53" s="628">
        <f>+HLOOKUP(AP4,'פירוט נכסי מים וביוב'!$1:$289,268,0)</f>
        <v>0</v>
      </c>
      <c r="AQ53" s="628">
        <f>+HLOOKUP(AQ4,'פירוט נכסי מים וביוב'!$1:$289,268,0)</f>
        <v>2427</v>
      </c>
      <c r="AR53" s="628">
        <f>+HLOOKUP(AR4,'פירוט נכסי מים וביוב'!$1:$289,268,0)</f>
        <v>0</v>
      </c>
      <c r="AS53" s="628">
        <f>+HLOOKUP(AS4,'פירוט נכסי מים וביוב'!$1:$289,268,0)</f>
        <v>0</v>
      </c>
      <c r="AT53" s="628">
        <f>+HLOOKUP(AT4,'פירוט נכסי מים וביוב'!$1:$289,268,0)</f>
        <v>0</v>
      </c>
      <c r="AU53" s="628">
        <f>+HLOOKUP(AU4,'פירוט נכסי מים וביוב'!$1:$289,268,0)</f>
        <v>7293.0803333333333</v>
      </c>
      <c r="AV53" s="628">
        <f>+HLOOKUP(AV4,'פירוט נכסי מים וביוב'!$1:$289,268,0)</f>
        <v>4144.1779999999999</v>
      </c>
      <c r="AW53" s="628">
        <f>+HLOOKUP(AW4,'פירוט נכסי מים וביוב'!$1:$289,268,0)</f>
        <v>0</v>
      </c>
      <c r="AX53" s="628">
        <f>+HLOOKUP(AX4,'פירוט נכסי מים וביוב'!$1:$289,268,0)</f>
        <v>0</v>
      </c>
      <c r="AY53" s="628">
        <f>+HLOOKUP(AY4,'פירוט נכסי מים וביוב'!$1:$289,268,0)</f>
        <v>6779.9224523809517</v>
      </c>
      <c r="AZ53" s="628">
        <f>+HLOOKUP(AZ4,'פירוט נכסי מים וביוב'!$1:$289,268,0)</f>
        <v>0</v>
      </c>
      <c r="BA53" s="628">
        <f>+HLOOKUP(BA4,'פירוט נכסי מים וביוב'!$1:$289,268,0)</f>
        <v>0</v>
      </c>
      <c r="BB53" s="628">
        <f>+HLOOKUP(BB4,'פירוט נכסי מים וביוב'!$1:$289,268,0)</f>
        <v>3187.5</v>
      </c>
      <c r="BC53" s="628">
        <f>+HLOOKUP(BC4,'פירוט נכסי מים וביוב'!$1:$289,268,0)</f>
        <v>0</v>
      </c>
      <c r="BD53" s="628">
        <f>+HLOOKUP(BD4,'פירוט נכסי מים וביוב'!$1:$289,268,0)</f>
        <v>0</v>
      </c>
      <c r="BE53" s="628">
        <f>+HLOOKUP(BE4,'פירוט נכסי מים וביוב'!$1:$289,268,0)</f>
        <v>0</v>
      </c>
      <c r="BF53" s="628">
        <f>+HLOOKUP(BF4,'פירוט נכסי מים וביוב'!$1:$289,268,0)</f>
        <v>0</v>
      </c>
    </row>
    <row r="54" spans="1:58" x14ac:dyDescent="0.2">
      <c r="A54" s="1816"/>
      <c r="B54" s="376" t="s">
        <v>1035</v>
      </c>
      <c r="C54" s="633">
        <v>0.01</v>
      </c>
      <c r="D54" s="633">
        <v>0.01</v>
      </c>
      <c r="E54" s="633">
        <v>0.01</v>
      </c>
      <c r="F54" s="633">
        <v>0.01</v>
      </c>
      <c r="G54" s="633">
        <v>0.01</v>
      </c>
      <c r="H54" s="633">
        <v>0.01</v>
      </c>
      <c r="I54" s="633">
        <v>0.01</v>
      </c>
      <c r="J54" s="633">
        <v>0.01</v>
      </c>
      <c r="K54" s="633">
        <v>0.01</v>
      </c>
      <c r="L54" s="633">
        <v>0.01</v>
      </c>
      <c r="M54" s="633">
        <v>0.01</v>
      </c>
      <c r="N54" s="633">
        <v>0.01</v>
      </c>
      <c r="O54" s="633">
        <v>0.01</v>
      </c>
      <c r="P54" s="633">
        <v>0.01</v>
      </c>
      <c r="Q54" s="633">
        <v>0.01</v>
      </c>
      <c r="R54" s="633">
        <v>0.01</v>
      </c>
      <c r="S54" s="633">
        <v>0.01</v>
      </c>
      <c r="T54" s="633">
        <v>0.01</v>
      </c>
      <c r="U54" s="633">
        <v>0.01</v>
      </c>
      <c r="V54" s="633">
        <v>0.01</v>
      </c>
      <c r="W54" s="633">
        <v>0.01</v>
      </c>
      <c r="X54" s="633">
        <v>0.01</v>
      </c>
      <c r="Y54" s="633">
        <v>0.01</v>
      </c>
      <c r="Z54" s="633">
        <v>0.01</v>
      </c>
      <c r="AA54" s="633">
        <v>0.01</v>
      </c>
      <c r="AB54" s="633">
        <v>0.01</v>
      </c>
      <c r="AC54" s="633">
        <v>0.01</v>
      </c>
      <c r="AD54" s="633">
        <v>0.01</v>
      </c>
      <c r="AE54" s="633">
        <v>0.01</v>
      </c>
      <c r="AF54" s="633">
        <v>0.01</v>
      </c>
      <c r="AG54" s="633">
        <v>0.01</v>
      </c>
      <c r="AH54" s="633">
        <v>0.01</v>
      </c>
      <c r="AI54" s="633">
        <v>0.01</v>
      </c>
      <c r="AJ54" s="633">
        <v>0.01</v>
      </c>
      <c r="AK54" s="633">
        <v>0.01</v>
      </c>
      <c r="AL54" s="633">
        <v>0.01</v>
      </c>
      <c r="AM54" s="633">
        <v>0.01</v>
      </c>
      <c r="AN54" s="633">
        <v>0.01</v>
      </c>
      <c r="AO54" s="633">
        <v>0.01</v>
      </c>
      <c r="AP54" s="633">
        <v>0.01</v>
      </c>
      <c r="AQ54" s="633">
        <v>0.01</v>
      </c>
      <c r="AR54" s="633">
        <v>0.01</v>
      </c>
      <c r="AS54" s="633">
        <v>0.01</v>
      </c>
      <c r="AT54" s="633">
        <v>0.01</v>
      </c>
      <c r="AU54" s="633">
        <v>0.01</v>
      </c>
      <c r="AV54" s="633">
        <v>0.01</v>
      </c>
      <c r="AW54" s="633">
        <v>0.01</v>
      </c>
      <c r="AX54" s="633">
        <v>0.01</v>
      </c>
      <c r="AY54" s="633">
        <v>0.01</v>
      </c>
      <c r="AZ54" s="633">
        <v>0.01</v>
      </c>
      <c r="BA54" s="633">
        <v>0.01</v>
      </c>
      <c r="BB54" s="633">
        <v>0.01</v>
      </c>
      <c r="BC54" s="633">
        <v>0.01</v>
      </c>
      <c r="BD54" s="633">
        <v>0.01</v>
      </c>
      <c r="BE54" s="633">
        <v>0.01</v>
      </c>
      <c r="BF54" s="633">
        <v>0.01</v>
      </c>
    </row>
    <row r="55" spans="1:58" x14ac:dyDescent="0.2">
      <c r="A55" s="1816"/>
      <c r="B55" s="376" t="s">
        <v>486</v>
      </c>
      <c r="C55" s="625">
        <f>+C40</f>
        <v>10687.855</v>
      </c>
      <c r="D55" s="625">
        <f t="shared" ref="D55:BE55" si="34">+D40</f>
        <v>9055.2800000000007</v>
      </c>
      <c r="E55" s="625">
        <f t="shared" si="34"/>
        <v>4030.194</v>
      </c>
      <c r="F55" s="625">
        <f t="shared" si="34"/>
        <v>52720.276000000005</v>
      </c>
      <c r="G55" s="625">
        <f t="shared" si="34"/>
        <v>16005.333000000001</v>
      </c>
      <c r="H55" s="625">
        <f t="shared" si="34"/>
        <v>1788.1780000000001</v>
      </c>
      <c r="I55" s="625">
        <f t="shared" si="34"/>
        <v>4309.6179999999995</v>
      </c>
      <c r="J55" s="625">
        <f t="shared" si="34"/>
        <v>6909.7800000000007</v>
      </c>
      <c r="K55" s="625">
        <f t="shared" si="34"/>
        <v>5187.3189999999995</v>
      </c>
      <c r="L55" s="625">
        <f t="shared" si="34"/>
        <v>9623.1640000000007</v>
      </c>
      <c r="M55" s="625">
        <f t="shared" si="34"/>
        <v>15637.956999999999</v>
      </c>
      <c r="N55" s="625">
        <f t="shared" si="34"/>
        <v>9167.7950000000001</v>
      </c>
      <c r="O55" s="625">
        <f t="shared" si="34"/>
        <v>5282.7240000000002</v>
      </c>
      <c r="P55" s="625">
        <f t="shared" si="34"/>
        <v>4539.3530000000001</v>
      </c>
      <c r="Q55" s="625">
        <f t="shared" si="34"/>
        <v>19454.196</v>
      </c>
      <c r="R55" s="625">
        <f t="shared" si="34"/>
        <v>17691.512999999999</v>
      </c>
      <c r="S55" s="625">
        <f t="shared" si="34"/>
        <v>18837.516</v>
      </c>
      <c r="T55" s="625">
        <f t="shared" si="34"/>
        <v>18472.741000000002</v>
      </c>
      <c r="U55" s="625">
        <f t="shared" si="34"/>
        <v>9784.3889999999992</v>
      </c>
      <c r="V55" s="625">
        <f t="shared" si="34"/>
        <v>8445.7630000000026</v>
      </c>
      <c r="W55" s="625">
        <f t="shared" si="34"/>
        <v>8240.5010000000002</v>
      </c>
      <c r="X55" s="625">
        <f t="shared" si="34"/>
        <v>5832.9979999999996</v>
      </c>
      <c r="Y55" s="625">
        <f t="shared" si="34"/>
        <v>2952.962</v>
      </c>
      <c r="Z55" s="625">
        <f t="shared" si="34"/>
        <v>3444.9430000000002</v>
      </c>
      <c r="AA55" s="625">
        <f t="shared" si="34"/>
        <v>6002.3060000000005</v>
      </c>
      <c r="AB55" s="625">
        <f t="shared" si="34"/>
        <v>6493.2190000000001</v>
      </c>
      <c r="AC55" s="625">
        <f t="shared" si="34"/>
        <v>9731.9999999999982</v>
      </c>
      <c r="AD55" s="625">
        <f t="shared" si="34"/>
        <v>4363.1009999999997</v>
      </c>
      <c r="AE55" s="625">
        <f t="shared" si="34"/>
        <v>22111.684000000001</v>
      </c>
      <c r="AF55" s="625">
        <f t="shared" si="34"/>
        <v>4985.741</v>
      </c>
      <c r="AG55" s="625">
        <f t="shared" si="34"/>
        <v>3259.576</v>
      </c>
      <c r="AH55" s="625">
        <f t="shared" si="34"/>
        <v>3128.6480000000001</v>
      </c>
      <c r="AI55" s="625">
        <f t="shared" si="34"/>
        <v>3446.8580000000002</v>
      </c>
      <c r="AJ55" s="625">
        <f t="shared" si="34"/>
        <v>3056.2750000000001</v>
      </c>
      <c r="AK55" s="625">
        <f t="shared" si="34"/>
        <v>2686.3910000000001</v>
      </c>
      <c r="AL55" s="625">
        <f t="shared" si="34"/>
        <v>42680.793000000005</v>
      </c>
      <c r="AM55" s="625">
        <f t="shared" si="34"/>
        <v>5323.2070000000003</v>
      </c>
      <c r="AN55" s="625">
        <f t="shared" si="34"/>
        <v>11220.945</v>
      </c>
      <c r="AO55" s="625">
        <f t="shared" si="34"/>
        <v>3602.181</v>
      </c>
      <c r="AP55" s="625">
        <f t="shared" si="34"/>
        <v>8567.8269999999993</v>
      </c>
      <c r="AQ55" s="625">
        <f t="shared" si="34"/>
        <v>5051.9580000000005</v>
      </c>
      <c r="AR55" s="625">
        <f t="shared" si="34"/>
        <v>10090.055000000002</v>
      </c>
      <c r="AS55" s="625">
        <f t="shared" si="34"/>
        <v>3169.9650000000001</v>
      </c>
      <c r="AT55" s="625">
        <f t="shared" si="34"/>
        <v>2562.8160000000003</v>
      </c>
      <c r="AU55" s="625">
        <f t="shared" si="34"/>
        <v>4253.8219999999992</v>
      </c>
      <c r="AV55" s="625">
        <f t="shared" si="34"/>
        <v>5709.3289999999997</v>
      </c>
      <c r="AW55" s="625">
        <f t="shared" si="34"/>
        <v>7199.768</v>
      </c>
      <c r="AX55" s="625">
        <f t="shared" si="34"/>
        <v>12153.178</v>
      </c>
      <c r="AY55" s="625">
        <f t="shared" si="34"/>
        <v>5805.2910000000002</v>
      </c>
      <c r="AZ55" s="625">
        <f t="shared" si="34"/>
        <v>5512.06</v>
      </c>
      <c r="BA55" s="625">
        <f t="shared" si="34"/>
        <v>5548.8330000000005</v>
      </c>
      <c r="BB55" s="625">
        <f t="shared" si="34"/>
        <v>4760.7890000000007</v>
      </c>
      <c r="BC55" s="625">
        <f t="shared" si="34"/>
        <v>4810.4272000000001</v>
      </c>
      <c r="BD55" s="625">
        <f t="shared" si="34"/>
        <v>7956.9939999999997</v>
      </c>
      <c r="BE55" s="625">
        <f t="shared" si="34"/>
        <v>1061.6970000000001</v>
      </c>
      <c r="BF55" s="625">
        <f t="shared" ref="BF55" si="35">+BF40</f>
        <v>9551.634</v>
      </c>
    </row>
    <row r="56" spans="1:58" x14ac:dyDescent="0.2">
      <c r="A56" s="1817"/>
      <c r="B56" s="376" t="s">
        <v>1036</v>
      </c>
      <c r="C56" s="627">
        <f>+C53*C54/C55</f>
        <v>0</v>
      </c>
      <c r="D56" s="628">
        <f t="shared" ref="D56:BE56" si="36">+D53*D54/D55</f>
        <v>0</v>
      </c>
      <c r="E56" s="628">
        <f t="shared" si="36"/>
        <v>0</v>
      </c>
      <c r="F56" s="628">
        <f t="shared" si="36"/>
        <v>0</v>
      </c>
      <c r="G56" s="628">
        <f t="shared" si="36"/>
        <v>7.8830867543604726E-3</v>
      </c>
      <c r="H56" s="628">
        <f t="shared" si="36"/>
        <v>0</v>
      </c>
      <c r="I56" s="628">
        <f t="shared" si="36"/>
        <v>0</v>
      </c>
      <c r="J56" s="628">
        <f t="shared" si="36"/>
        <v>2.5579776573411679E-3</v>
      </c>
      <c r="K56" s="628">
        <f t="shared" si="36"/>
        <v>0</v>
      </c>
      <c r="L56" s="628">
        <f t="shared" si="36"/>
        <v>0</v>
      </c>
      <c r="M56" s="628">
        <f t="shared" si="36"/>
        <v>1.4096657620575739E-2</v>
      </c>
      <c r="N56" s="628">
        <f t="shared" si="36"/>
        <v>0</v>
      </c>
      <c r="O56" s="628">
        <f t="shared" si="36"/>
        <v>0</v>
      </c>
      <c r="P56" s="628">
        <f t="shared" si="36"/>
        <v>0</v>
      </c>
      <c r="Q56" s="628">
        <f t="shared" si="36"/>
        <v>7.4678155513890907E-3</v>
      </c>
      <c r="R56" s="628">
        <f t="shared" si="36"/>
        <v>0</v>
      </c>
      <c r="S56" s="628">
        <f t="shared" si="36"/>
        <v>0</v>
      </c>
      <c r="T56" s="628">
        <f t="shared" si="36"/>
        <v>0</v>
      </c>
      <c r="U56" s="628">
        <f t="shared" si="36"/>
        <v>5.300160723956733E-3</v>
      </c>
      <c r="V56" s="628">
        <f t="shared" si="36"/>
        <v>0</v>
      </c>
      <c r="W56" s="628">
        <f t="shared" si="36"/>
        <v>0</v>
      </c>
      <c r="X56" s="628">
        <f t="shared" si="36"/>
        <v>9.1280652394727865E-3</v>
      </c>
      <c r="Y56" s="628">
        <f t="shared" si="36"/>
        <v>0</v>
      </c>
      <c r="Z56" s="628">
        <f t="shared" si="36"/>
        <v>0</v>
      </c>
      <c r="AA56" s="628">
        <f t="shared" si="36"/>
        <v>0</v>
      </c>
      <c r="AB56" s="628">
        <f t="shared" si="36"/>
        <v>8.6412785839680255E-3</v>
      </c>
      <c r="AC56" s="628">
        <f t="shared" si="36"/>
        <v>0</v>
      </c>
      <c r="AD56" s="628">
        <f t="shared" si="36"/>
        <v>0</v>
      </c>
      <c r="AE56" s="628">
        <f t="shared" si="36"/>
        <v>9.000113510339686E-3</v>
      </c>
      <c r="AF56" s="628">
        <f t="shared" si="36"/>
        <v>0</v>
      </c>
      <c r="AG56" s="628">
        <f t="shared" si="36"/>
        <v>0</v>
      </c>
      <c r="AH56" s="628">
        <f t="shared" si="36"/>
        <v>2.6340451210874471E-3</v>
      </c>
      <c r="AI56" s="628">
        <f t="shared" si="36"/>
        <v>0</v>
      </c>
      <c r="AJ56" s="628">
        <f t="shared" si="36"/>
        <v>4.6019793001985379E-3</v>
      </c>
      <c r="AK56" s="628">
        <f t="shared" si="36"/>
        <v>0</v>
      </c>
      <c r="AL56" s="628">
        <f t="shared" si="36"/>
        <v>0</v>
      </c>
      <c r="AM56" s="628">
        <f t="shared" si="36"/>
        <v>1.3426496113196067E-3</v>
      </c>
      <c r="AN56" s="628">
        <f t="shared" si="36"/>
        <v>0</v>
      </c>
      <c r="AO56" s="628">
        <f t="shared" si="36"/>
        <v>0</v>
      </c>
      <c r="AP56" s="628">
        <f t="shared" si="36"/>
        <v>0</v>
      </c>
      <c r="AQ56" s="628">
        <f t="shared" si="36"/>
        <v>4.8040779436408611E-3</v>
      </c>
      <c r="AR56" s="628">
        <f t="shared" si="36"/>
        <v>0</v>
      </c>
      <c r="AS56" s="628">
        <f t="shared" si="36"/>
        <v>0</v>
      </c>
      <c r="AT56" s="628">
        <f t="shared" si="36"/>
        <v>0</v>
      </c>
      <c r="AU56" s="628">
        <f t="shared" si="36"/>
        <v>1.7144770828053772E-2</v>
      </c>
      <c r="AV56" s="628">
        <f t="shared" si="36"/>
        <v>7.2586077978690671E-3</v>
      </c>
      <c r="AW56" s="628">
        <f t="shared" si="36"/>
        <v>0</v>
      </c>
      <c r="AX56" s="628">
        <f t="shared" si="36"/>
        <v>0</v>
      </c>
      <c r="AY56" s="628">
        <f t="shared" si="36"/>
        <v>1.1678867523403996E-2</v>
      </c>
      <c r="AZ56" s="628">
        <f t="shared" si="36"/>
        <v>0</v>
      </c>
      <c r="BA56" s="628">
        <f t="shared" si="36"/>
        <v>0</v>
      </c>
      <c r="BB56" s="628">
        <f t="shared" si="36"/>
        <v>6.6953187801433748E-3</v>
      </c>
      <c r="BC56" s="628">
        <f t="shared" si="36"/>
        <v>0</v>
      </c>
      <c r="BD56" s="628">
        <f t="shared" si="36"/>
        <v>0</v>
      </c>
      <c r="BE56" s="628">
        <f t="shared" si="36"/>
        <v>0</v>
      </c>
      <c r="BF56" s="628">
        <f t="shared" ref="BF56" si="37">+BF53*BF54/BF55</f>
        <v>0</v>
      </c>
    </row>
    <row r="57" spans="1:58" x14ac:dyDescent="0.2">
      <c r="A57" s="765"/>
      <c r="B57" s="376"/>
      <c r="C57" s="627"/>
      <c r="D57" s="628"/>
      <c r="E57" s="628"/>
      <c r="F57" s="628"/>
      <c r="G57" s="628"/>
      <c r="H57" s="628"/>
      <c r="I57" s="628"/>
      <c r="J57" s="628"/>
      <c r="K57" s="628"/>
      <c r="L57" s="628"/>
      <c r="M57" s="628"/>
      <c r="N57" s="628"/>
      <c r="O57" s="628"/>
      <c r="P57" s="628"/>
      <c r="Q57" s="628"/>
      <c r="R57" s="628"/>
      <c r="S57" s="628"/>
      <c r="T57" s="628"/>
      <c r="U57" s="628"/>
      <c r="V57" s="628"/>
      <c r="W57" s="628"/>
      <c r="X57" s="628"/>
      <c r="Y57" s="628"/>
      <c r="Z57" s="628"/>
      <c r="AA57" s="628"/>
      <c r="AB57" s="628"/>
      <c r="AC57" s="628"/>
      <c r="AD57" s="628"/>
      <c r="AE57" s="628"/>
      <c r="AF57" s="628"/>
      <c r="AG57" s="628"/>
      <c r="AH57" s="628"/>
      <c r="AI57" s="628"/>
      <c r="AJ57" s="628"/>
      <c r="AK57" s="628"/>
      <c r="AL57" s="628"/>
      <c r="AM57" s="628"/>
      <c r="AN57" s="628"/>
      <c r="AO57" s="628"/>
      <c r="AP57" s="628"/>
      <c r="AQ57" s="628"/>
      <c r="AR57" s="628"/>
      <c r="AS57" s="628"/>
      <c r="AT57" s="628"/>
      <c r="AU57" s="628"/>
      <c r="AV57" s="628"/>
      <c r="AW57" s="628"/>
      <c r="AX57" s="628"/>
      <c r="AY57" s="628"/>
      <c r="AZ57" s="628"/>
      <c r="BA57" s="628"/>
      <c r="BB57" s="628"/>
      <c r="BC57" s="628"/>
      <c r="BD57" s="628"/>
      <c r="BE57" s="628"/>
      <c r="BF57" s="628"/>
    </row>
    <row r="58" spans="1:58" x14ac:dyDescent="0.2">
      <c r="A58" s="1815" t="s">
        <v>1037</v>
      </c>
      <c r="B58" s="376" t="s">
        <v>1491</v>
      </c>
      <c r="C58" s="628">
        <f>+HLOOKUP(C4,'פירוט נכסי מים וביוב'!$1:$289,273,0)+IFERROR(VLOOKUP(C4,'פחתי מים לרשויות מצטרפות'!#REF!,HLOOKUP('תחשיב עלות תפעול לשנת 2016'!$B$58,'פחתי מים לרשויות מצטרפות'!#REF!,2,0),0),0)</f>
        <v>0</v>
      </c>
      <c r="D58" s="628">
        <f>+HLOOKUP(D4,'פירוט נכסי מים וביוב'!$1:$289,273,0)+IFERROR(VLOOKUP(D4,'פחתי מים לרשויות מצטרפות'!#REF!,HLOOKUP('תחשיב עלות תפעול לשנת 2016'!$B$58,'פחתי מים לרשויות מצטרפות'!#REF!,2,0),0),0)</f>
        <v>0</v>
      </c>
      <c r="E58" s="628">
        <f>+HLOOKUP(E4,'פירוט נכסי מים וביוב'!$1:$289,273,0)+IFERROR(VLOOKUP(E4,'פחתי מים לרשויות מצטרפות'!#REF!,HLOOKUP('תחשיב עלות תפעול לשנת 2016'!$B$58,'פחתי מים לרשויות מצטרפות'!#REF!,2,0),0),0)</f>
        <v>191.73</v>
      </c>
      <c r="F58" s="628">
        <f>+HLOOKUP(F4,'פירוט נכסי מים וביוב'!$1:$289,273,0)+IFERROR(VLOOKUP(F4,'פחתי מים לרשויות מצטרפות'!#REF!,HLOOKUP('תחשיב עלות תפעול לשנת 2016'!$B$58,'פחתי מים לרשויות מצטרפות'!#REF!,2,0),0),0)</f>
        <v>227.42</v>
      </c>
      <c r="G58" s="628">
        <f>+HLOOKUP(G4,'פירוט נכסי מים וביוב'!$1:$289,273,0)+IFERROR(VLOOKUP(G4,'פחתי מים לרשויות מצטרפות'!#REF!,HLOOKUP('תחשיב עלות תפעול לשנת 2016'!$B$58,'פחתי מים לרשויות מצטרפות'!#REF!,2,0),0),0)</f>
        <v>1254.1299999999999</v>
      </c>
      <c r="H58" s="628">
        <f>+HLOOKUP(H4,'פירוט נכסי מים וביוב'!$1:$289,273,0)+IFERROR(VLOOKUP(H4,'פחתי מים לרשויות מצטרפות'!#REF!,HLOOKUP('תחשיב עלות תפעול לשנת 2016'!$B$58,'פחתי מים לרשויות מצטרפות'!#REF!,2,0),0),0)</f>
        <v>37.35</v>
      </c>
      <c r="I58" s="628">
        <f>+HLOOKUP(I4,'פירוט נכסי מים וביוב'!$1:$289,273,0)+IFERROR(VLOOKUP(I4,'פחתי מים לרשויות מצטרפות'!#REF!,HLOOKUP('תחשיב עלות תפעול לשנת 2016'!$B$58,'פחתי מים לרשויות מצטרפות'!#REF!,2,0),0),0)</f>
        <v>293.82</v>
      </c>
      <c r="J58" s="628">
        <f>+HLOOKUP(J4,'פירוט נכסי מים וביוב'!$1:$289,273,0)+IFERROR(VLOOKUP(J4,'פחתי מים לרשויות מצטרפות'!#REF!,HLOOKUP('תחשיב עלות תפעול לשנת 2016'!$B$58,'פחתי מים לרשויות מצטרפות'!#REF!,2,0),0),0)</f>
        <v>122.83999999999999</v>
      </c>
      <c r="K58" s="628">
        <f>+HLOOKUP(K4,'פירוט נכסי מים וביוב'!$1:$289,273,0)+IFERROR(VLOOKUP(K4,'פחתי מים לרשויות מצטרפות'!#REF!,HLOOKUP('תחשיב עלות תפעול לשנת 2016'!$B$58,'פחתי מים לרשויות מצטרפות'!#REF!,2,0),0),0)</f>
        <v>690.56</v>
      </c>
      <c r="L58" s="628">
        <f>+HLOOKUP(L4,'פירוט נכסי מים וביוב'!$1:$289,273,0)+IFERROR(VLOOKUP(L4,'פחתי מים לרשויות מצטרפות'!#REF!,HLOOKUP('תחשיב עלות תפעול לשנת 2016'!$B$58,'פחתי מים לרשויות מצטרפות'!#REF!,2,0),0),0)</f>
        <v>395.08</v>
      </c>
      <c r="M58" s="628">
        <f>+HLOOKUP(M4,'פירוט נכסי מים וביוב'!$1:$289,273,0)+IFERROR(VLOOKUP(M4,'פחתי מים לרשויות מצטרפות'!#REF!,HLOOKUP('תחשיב עלות תפעול לשנת 2016'!$B$58,'פחתי מים לרשויות מצטרפות'!#REF!,2,0),0),0)</f>
        <v>1008.4499999999999</v>
      </c>
      <c r="N58" s="628">
        <f>+HLOOKUP(N4,'פירוט נכסי מים וביוב'!$1:$289,273,0)+IFERROR(VLOOKUP(N4,'פחתי מים לרשויות מצטרפות'!#REF!,HLOOKUP('תחשיב עלות תפעול לשנת 2016'!$B$58,'פחתי מים לרשויות מצטרפות'!#REF!,2,0),0),0)</f>
        <v>0</v>
      </c>
      <c r="O58" s="628">
        <f>+HLOOKUP(O4,'פירוט נכסי מים וביוב'!$1:$289,273,0)+IFERROR(VLOOKUP(O4,'פחתי מים לרשויות מצטרפות'!#REF!,HLOOKUP('תחשיב עלות תפעול לשנת 2016'!$B$58,'פחתי מים לרשויות מצטרפות'!#REF!,2,0),0),0)</f>
        <v>211.64999999999998</v>
      </c>
      <c r="P58" s="628">
        <f>+HLOOKUP(P4,'פירוט נכסי מים וביוב'!$1:$289,273,0)+IFERROR(VLOOKUP(P4,'פחתי מים לרשויות מצטרפות'!#REF!,HLOOKUP('תחשיב עלות תפעול לשנת 2016'!$B$58,'פחתי מים לרשויות מצטרפות'!#REF!,2,0),0),0)</f>
        <v>332.83</v>
      </c>
      <c r="Q58" s="628">
        <f>+HLOOKUP(Q4,'פירוט נכסי מים וביוב'!$1:$289,273,0)+IFERROR(VLOOKUP(Q4,'פחתי מים לרשויות מצטרפות'!#REF!,HLOOKUP('תחשיב עלות תפעול לשנת 2016'!$B$58,'פחתי מים לרשויות מצטרפות'!#REF!,2,0),0),0)</f>
        <v>1063.23</v>
      </c>
      <c r="R58" s="628">
        <f>+HLOOKUP(R4,'פירוט נכסי מים וביוב'!$1:$289,273,0)+IFERROR(VLOOKUP(R4,'פחתי מים לרשויות מצטרפות'!#REF!,HLOOKUP('תחשיב עלות תפעול לשנת 2016'!$B$58,'פחתי מים לרשויות מצטרפות'!#REF!,2,0),0),0)</f>
        <v>174.29999999999998</v>
      </c>
      <c r="S58" s="628">
        <f>+HLOOKUP(S4,'פירוט נכסי מים וביוב'!$1:$289,273,0)+IFERROR(VLOOKUP(S4,'פחתי מים לרשויות מצטרפות'!#REF!,HLOOKUP('תחשיב עלות תפעול לשנת 2016'!$B$58,'פחתי מים לרשויות מצטרפות'!#REF!,2,0),0),0)</f>
        <v>0</v>
      </c>
      <c r="T58" s="628">
        <f>+HLOOKUP(T4,'פירוט נכסי מים וביוב'!$1:$289,273,0)+IFERROR(VLOOKUP(T4,'פחתי מים לרשויות מצטרפות'!#REF!,HLOOKUP('תחשיב עלות תפעול לשנת 2016'!$B$58,'פחתי מים לרשויות מצטרפות'!#REF!,2,0),0),0)</f>
        <v>1127.1399999999999</v>
      </c>
      <c r="U58" s="628">
        <f>+HLOOKUP(U4,'פירוט נכסי מים וביוב'!$1:$289,273,0)+IFERROR(VLOOKUP(U4,'פחתי מים לרשויות מצטרפות'!#REF!,HLOOKUP('תחשיב עלות תפעול לשנת 2016'!$B$58,'פחתי מים לרשויות מצטרפות'!#REF!,2,0),0),0)</f>
        <v>641.58999999999992</v>
      </c>
      <c r="V58" s="628">
        <f>+HLOOKUP(V4,'פירוט נכסי מים וביוב'!$1:$289,273,0)+IFERROR(VLOOKUP(V4,'פחתי מים לרשויות מצטרפות'!#REF!,HLOOKUP('תחשיב עלות תפעול לשנת 2016'!$B$58,'פחתי מים לרשויות מצטרפות'!#REF!,2,0),0),0)</f>
        <v>676.44999999999993</v>
      </c>
      <c r="W58" s="628">
        <f>+HLOOKUP(W4,'פירוט נכסי מים וביוב'!$1:$289,273,0)+IFERROR(VLOOKUP(W4,'פחתי מים לרשויות מצטרפות'!#REF!,HLOOKUP('תחשיב עלות תפעול לשנת 2016'!$B$58,'פחתי מים לרשויות מצטרפות'!#REF!,2,0),0),0)</f>
        <v>898.06</v>
      </c>
      <c r="X58" s="628">
        <f>+HLOOKUP(X4,'פירוט נכסי מים וביוב'!$1:$289,273,0)+IFERROR(VLOOKUP(X4,'פחתי מים לרשויות מצטרפות'!#REF!,HLOOKUP('תחשיב עלות תפעול לשנת 2016'!$B$58,'פחתי מים לרשויות מצטרפות'!#REF!,2,0),0),0)</f>
        <v>73.039999999999992</v>
      </c>
      <c r="Y58" s="628">
        <f>+HLOOKUP(Y4,'פירוט נכסי מים וביוב'!$1:$289,273,0)+IFERROR(VLOOKUP(Y4,'פחתי מים לרשויות מצטרפות'!#REF!,HLOOKUP('תחשיב עלות תפעול לשנת 2016'!$B$58,'פחתי מים לרשויות מצטרפות'!#REF!,2,0),0),0)</f>
        <v>395.08</v>
      </c>
      <c r="Z58" s="628">
        <f>+HLOOKUP(Z4,'פירוט נכסי מים וביוב'!$1:$289,273,0)+IFERROR(VLOOKUP(Z4,'פחתי מים לרשויות מצטרפות'!#REF!,HLOOKUP('תחשיב עלות תפעול לשנת 2016'!$B$58,'פחתי מים לרשויות מצטרפות'!#REF!,2,0),0),0)</f>
        <v>141.93</v>
      </c>
      <c r="AA58" s="628">
        <f>+HLOOKUP(AA4,'פירוט נכסי מים וביוב'!$1:$289,273,0)+IFERROR(VLOOKUP(AA4,'פחתי מים לרשויות מצטרפות'!#REF!,HLOOKUP('תחשיב עלות תפעול לשנת 2016'!$B$58,'פחתי מים לרשויות מצטרפות'!#REF!,2,0),0),0)</f>
        <v>310.41999999999996</v>
      </c>
      <c r="AB58" s="628">
        <f>+HLOOKUP(AB4,'פירוט נכסי מים וביוב'!$1:$289,273,0)+IFERROR(VLOOKUP(AB4,'פחתי מים לרשויות מצטרפות'!#REF!,HLOOKUP('תחשיב עלות תפעול לשנת 2016'!$B$58,'פחתי מים לרשויות מצטרפות'!#REF!,2,0),0),0)</f>
        <v>0</v>
      </c>
      <c r="AC58" s="628">
        <f>+HLOOKUP(AC4,'פירוט נכסי מים וביוב'!$1:$289,273,0)+IFERROR(VLOOKUP(AC4,'פחתי מים לרשויות מצטרפות'!#REF!,HLOOKUP('תחשיב עלות תפעול לשנת 2016'!$B$58,'פחתי מים לרשויות מצטרפות'!#REF!,2,0),0),0)</f>
        <v>462.31</v>
      </c>
      <c r="AD58" s="628">
        <f>+HLOOKUP(AD4,'פירוט נכסי מים וביוב'!$1:$289,273,0)+IFERROR(VLOOKUP(AD4,'פחתי מים לרשויות מצטרפות'!#REF!,HLOOKUP('תחשיב עלות תפעול לשנת 2016'!$B$58,'פחתי מים לרשויות מצטרפות'!#REF!,2,0),0),0)</f>
        <v>169.32</v>
      </c>
      <c r="AE58" s="628">
        <f>+HLOOKUP(AE4,'פירוט נכסי מים וביוב'!$1:$289,273,0)+IFERROR(VLOOKUP(AE4,'פחתי מים לרשויות מצטרפות'!#REF!,HLOOKUP('תחשיב עלות תפעול לשנת 2016'!$B$58,'פחתי מים לרשויות מצטרפות'!#REF!,2,0),0),0)</f>
        <v>712.14</v>
      </c>
      <c r="AF58" s="628">
        <f>+HLOOKUP(AF4,'פירוט נכסי מים וביוב'!$1:$289,273,0)+IFERROR(VLOOKUP(AF4,'פחתי מים לרשויות מצטרפות'!#REF!,HLOOKUP('תחשיב עלות תפעול לשנת 2016'!$B$58,'פחתי מים לרשויות מצטרפות'!#REF!,2,0),0),0)</f>
        <v>570.20999999999992</v>
      </c>
      <c r="AG58" s="628">
        <f>+HLOOKUP(AG4,'פירוט נכסי מים וביוב'!$1:$289,273,0)+IFERROR(VLOOKUP(AG4,'פחתי מים לרשויות מצטרפות'!#REF!,HLOOKUP('תחשיב עלות תפעול לשנת 2016'!$B$58,'פחתי מים לרשויות מצטרפות'!#REF!,2,0),0),0)</f>
        <v>11.62</v>
      </c>
      <c r="AH58" s="628">
        <f>+HLOOKUP(AH4,'פירוט נכסי מים וביוב'!$1:$289,273,0)+IFERROR(VLOOKUP(AH4,'פחתי מים לרשויות מצטרפות'!#REF!,HLOOKUP('תחשיב עלות תפעול לשנת 2016'!$B$58,'פחתי מים לרשויות מצטרפות'!#REF!,2,0),0),0)</f>
        <v>0</v>
      </c>
      <c r="AI58" s="628">
        <f>+HLOOKUP(AI4,'פירוט נכסי מים וביוב'!$1:$289,273,0)+IFERROR(VLOOKUP(AI4,'פחתי מים לרשויות מצטרפות'!#REF!,HLOOKUP('תחשיב עלות תפעול לשנת 2016'!$B$58,'פחתי מים לרשויות מצטרפות'!#REF!,2,0),0),0)</f>
        <v>244.85</v>
      </c>
      <c r="AJ58" s="628">
        <f>+HLOOKUP(AJ4,'פירוט נכסי מים וביוב'!$1:$289,273,0)+IFERROR(VLOOKUP(AJ4,'פחתי מים לרשויות מצטרפות'!#REF!,HLOOKUP('תחשיב עלות תפעול לשנת 2016'!$B$58,'פחתי מים לרשויות מצטרפות'!#REF!,2,0),0),0)</f>
        <v>193.39</v>
      </c>
      <c r="AK58" s="628">
        <f>+HLOOKUP(AK4,'פירוט נכסי מים וביוב'!$1:$289,273,0)+IFERROR(VLOOKUP(AK4,'פחתי מים לרשויות מצטרפות'!#REF!,HLOOKUP('תחשיב עלות תפעול לשנת 2016'!$B$58,'פחתי מים לרשויות מצטרפות'!#REF!,2,0),0),0)</f>
        <v>297.14</v>
      </c>
      <c r="AL58" s="628">
        <f>+HLOOKUP(AL4,'פירוט נכסי מים וביוב'!$1:$289,273,0)+IFERROR(VLOOKUP(AL4,'פחתי מים לרשויות מצטרפות'!#REF!,HLOOKUP('תחשיב עלות תפעול לשנת 2016'!$B$58,'פחתי מים לרשויות מצטרפות'!#REF!,2,0),0),0)</f>
        <v>382.63</v>
      </c>
      <c r="AM58" s="628">
        <f>+HLOOKUP(AM4,'פירוט נכסי מים וביוב'!$1:$289,273,0)+IFERROR(VLOOKUP(AM4,'פחתי מים לרשויות מצטרפות'!#REF!,HLOOKUP('תחשיב עלות תפעול לשנת 2016'!$B$58,'פחתי מים לרשויות מצטרפות'!#REF!,2,0),0),0)</f>
        <v>449.85999999999996</v>
      </c>
      <c r="AN58" s="628">
        <f>+HLOOKUP(AN4,'פירוט נכסי מים וביוב'!$1:$289,273,0)+IFERROR(VLOOKUP(AN4,'פחתי מים לרשויות מצטרפות'!#REF!,HLOOKUP('תחשיב עלות תפעול לשנת 2016'!$B$58,'פחתי מים לרשויות מצטרפות'!#REF!,2,0),0),0)</f>
        <v>0</v>
      </c>
      <c r="AO58" s="628">
        <f>+HLOOKUP(AO4,'פירוט נכסי מים וביוב'!$1:$289,273,0)+IFERROR(VLOOKUP(AO4,'פחתי מים לרשויות מצטרפות'!#REF!,HLOOKUP('תחשיב עלות תפעול לשנת 2016'!$B$58,'פחתי מים לרשויות מצטרפות'!#REF!,2,0),0),0)</f>
        <v>0</v>
      </c>
      <c r="AP58" s="628">
        <f>+HLOOKUP(AP4,'פירוט נכסי מים וביוב'!$1:$289,273,0)+IFERROR(VLOOKUP(AP4,'פחתי מים לרשויות מצטרפות'!#REF!,HLOOKUP('תחשיב עלות תפעול לשנת 2016'!$B$58,'פחתי מים לרשויות מצטרפות'!#REF!,2,0),0),0)</f>
        <v>529.54</v>
      </c>
      <c r="AQ58" s="628">
        <f>+HLOOKUP(AQ4,'פירוט נכסי מים וביוב'!$1:$289,273,0)+IFERROR(VLOOKUP(AQ4,'פחתי מים לרשויות מצטרפות'!#REF!,HLOOKUP('תחשיב עלות תפעול לשנת 2016'!$B$58,'פחתי מים לרשויות מצטרפות'!#REF!,2,0),0),0)</f>
        <v>16.599999999999998</v>
      </c>
      <c r="AR58" s="628">
        <f>+HLOOKUP(AR4,'פירוט נכסי מים וביוב'!$1:$289,273,0)+IFERROR(VLOOKUP(AR4,'פחתי מים לרשויות מצטרפות'!#REF!,HLOOKUP('תחשיב עלות תפעול לשנת 2016'!$B$58,'פחתי מים לרשויות מצטרפות'!#REF!,2,0),0),0)</f>
        <v>624.99</v>
      </c>
      <c r="AS58" s="628">
        <f>+HLOOKUP(AS4,'פירוט נכסי מים וביוב'!$1:$289,273,0)+IFERROR(VLOOKUP(AS4,'פחתי מים לרשויות מצטרפות'!#REF!,HLOOKUP('תחשיב עלות תפעול לשנת 2016'!$B$58,'פחתי מים לרשויות מצטרפות'!#REF!,2,0),0),0)</f>
        <v>132.79999999999998</v>
      </c>
      <c r="AT58" s="628">
        <f>+HLOOKUP(AT4,'פירוט נכסי מים וביוב'!$1:$289,273,0)+IFERROR(VLOOKUP(AT4,'פחתי מים לרשויות מצטרפות'!#REF!,HLOOKUP('תחשיב עלות תפעול לשנת 2016'!$B$58,'פחתי מים לרשויות מצטרפות'!#REF!,2,0),0),0)</f>
        <v>155.20999999999998</v>
      </c>
      <c r="AU58" s="628">
        <f>+HLOOKUP(AU4,'פירוט נכסי מים וביוב'!$1:$289,273,0)+IFERROR(VLOOKUP(AU4,'פחתי מים לרשויות מצטרפות'!#REF!,HLOOKUP('תחשיב עלות תפעול לשנת 2016'!$B$58,'פחתי מים לרשויות מצטרפות'!#REF!,2,0),0),0)</f>
        <v>342.78999999999996</v>
      </c>
      <c r="AV58" s="628">
        <f>+HLOOKUP(AV4,'פירוט נכסי מים וביוב'!$1:$289,273,0)+IFERROR(VLOOKUP(AV4,'פחתי מים לרשויות מצטרפות'!#REF!,HLOOKUP('תחשיב עלות תפעול לשנת 2016'!$B$58,'פחתי מים לרשויות מצטרפות'!#REF!,2,0),0),0)</f>
        <v>222.44</v>
      </c>
      <c r="AW58" s="628">
        <f>+HLOOKUP(AW4,'פירוט נכסי מים וביוב'!$1:$289,273,0)+IFERROR(VLOOKUP(AW4,'פחתי מים לרשויות מצטרפות'!#REF!,HLOOKUP('תחשיב עלות תפעול לשנת 2016'!$B$58,'פחתי מים לרשויות מצטרפות'!#REF!,2,0),0),0)</f>
        <v>161.01999999999998</v>
      </c>
      <c r="AX58" s="628">
        <f>+HLOOKUP(AX4,'פירוט נכסי מים וביוב'!$1:$289,273,0)+IFERROR(VLOOKUP(AX4,'פחתי מים לרשויות מצטרפות'!#REF!,HLOOKUP('תחשיב עלות תפעול לשנת 2016'!$B$58,'פחתי מים לרשויות מצטרפות'!#REF!,2,0),0),0)</f>
        <v>482.22999999999996</v>
      </c>
      <c r="AY58" s="628">
        <f>+HLOOKUP(AY4,'פירוט נכסי מים וביוב'!$1:$289,273,0)+IFERROR(VLOOKUP(AY4,'פחתי מים לרשויות מצטרפות'!#REF!,HLOOKUP('תחשיב עלות תפעול לשנת 2016'!$B$58,'פחתי מים לרשויות מצטרפות'!#REF!,2,0),0),0)</f>
        <v>317</v>
      </c>
      <c r="AZ58" s="628">
        <f>+HLOOKUP(AZ4,'פירוט נכסי מים וביוב'!$1:$289,273,0)+IFERROR(VLOOKUP(AZ4,'פחתי מים לרשויות מצטרפות'!#REF!,HLOOKUP('תחשיב עלות תפעול לשנת 2016'!$B$58,'פחתי מים לרשויות מצטרפות'!#REF!,2,0),0),0)</f>
        <v>341.67999999999995</v>
      </c>
      <c r="BA58" s="628">
        <f>+HLOOKUP(BA4,'פירוט נכסי מים וביוב'!$1:$289,273,0)+IFERROR(VLOOKUP(BA4,'פחתי מים לרשויות מצטרפות'!#REF!,HLOOKUP('תחשיב עלות תפעול לשנת 2016'!$B$58,'פחתי מים לרשויות מצטרפות'!#REF!,2,0),0),0)</f>
        <v>0</v>
      </c>
      <c r="BB58" s="628">
        <f>+HLOOKUP(BB4,'פירוט נכסי מים וביוב'!$1:$289,273,0)+IFERROR(VLOOKUP(BB4,'פחתי מים לרשויות מצטרפות'!#REF!,HLOOKUP('תחשיב עלות תפעול לשנת 2016'!$B$58,'פחתי מים לרשויות מצטרפות'!#REF!,2,0),0),0)</f>
        <v>263.94</v>
      </c>
      <c r="BC58" s="628">
        <f>+HLOOKUP(BC4,'פירוט נכסי מים וביוב'!$1:$289,273,0)+IFERROR(VLOOKUP(BC4,'פחתי מים לרשויות מצטרפות'!#REF!,HLOOKUP('תחשיב עלות תפעול לשנת 2016'!$B$58,'פחתי מים לרשויות מצטרפות'!#REF!,2,0),0),0)</f>
        <v>389.27</v>
      </c>
      <c r="BD58" s="628">
        <f>+HLOOKUP(BD4,'פירוט נכסי מים וביוב'!$1:$289,273,0)+IFERROR(VLOOKUP(BD4,'פחתי מים לרשויות מצטרפות'!#REF!,HLOOKUP('תחשיב עלות תפעול לשנת 2016'!$B$58,'פחתי מים לרשויות מצטרפות'!#REF!,2,0),0),0)</f>
        <v>224.92999999999998</v>
      </c>
      <c r="BE58" s="628">
        <f>+HLOOKUP(BE4,'פירוט נכסי מים וביוב'!$1:$289,273,0)+IFERROR(VLOOKUP(BE4,'פחתי מים לרשויות מצטרפות'!#REF!,HLOOKUP('תחשיב עלות תפעול לשנת 2016'!$B$58,'פחתי מים לרשויות מצטרפות'!#REF!,2,0),0),0)</f>
        <v>48.14</v>
      </c>
      <c r="BF58" s="628">
        <f>+HLOOKUP(BF4,'פירוט נכסי מים וביוב'!$1:$289,273,0)+IFERROR(VLOOKUP(BF4,'פחתי מים לרשויות מצטרפות'!#REF!,HLOOKUP('תחשיב עלות תפעול לשנת 2016'!$B$58,'פחתי מים לרשויות מצטרפות'!#REF!,2,0),0),0)</f>
        <v>17</v>
      </c>
    </row>
    <row r="59" spans="1:58" x14ac:dyDescent="0.2">
      <c r="A59" s="1816"/>
      <c r="B59" s="376" t="s">
        <v>1038</v>
      </c>
      <c r="C59" s="625">
        <f>+C55</f>
        <v>10687.855</v>
      </c>
      <c r="D59" s="625">
        <f t="shared" ref="D59:BE59" si="38">+D55</f>
        <v>9055.2800000000007</v>
      </c>
      <c r="E59" s="625">
        <f t="shared" si="38"/>
        <v>4030.194</v>
      </c>
      <c r="F59" s="625">
        <f t="shared" si="38"/>
        <v>52720.276000000005</v>
      </c>
      <c r="G59" s="625">
        <f t="shared" si="38"/>
        <v>16005.333000000001</v>
      </c>
      <c r="H59" s="625">
        <f t="shared" si="38"/>
        <v>1788.1780000000001</v>
      </c>
      <c r="I59" s="625">
        <f t="shared" si="38"/>
        <v>4309.6179999999995</v>
      </c>
      <c r="J59" s="625">
        <f t="shared" si="38"/>
        <v>6909.7800000000007</v>
      </c>
      <c r="K59" s="625">
        <f t="shared" si="38"/>
        <v>5187.3189999999995</v>
      </c>
      <c r="L59" s="625">
        <f t="shared" si="38"/>
        <v>9623.1640000000007</v>
      </c>
      <c r="M59" s="625">
        <f t="shared" si="38"/>
        <v>15637.956999999999</v>
      </c>
      <c r="N59" s="625">
        <f t="shared" si="38"/>
        <v>9167.7950000000001</v>
      </c>
      <c r="O59" s="625">
        <f t="shared" si="38"/>
        <v>5282.7240000000002</v>
      </c>
      <c r="P59" s="625">
        <f t="shared" si="38"/>
        <v>4539.3530000000001</v>
      </c>
      <c r="Q59" s="625">
        <f t="shared" si="38"/>
        <v>19454.196</v>
      </c>
      <c r="R59" s="625">
        <f t="shared" si="38"/>
        <v>17691.512999999999</v>
      </c>
      <c r="S59" s="625">
        <f t="shared" si="38"/>
        <v>18837.516</v>
      </c>
      <c r="T59" s="625">
        <f t="shared" si="38"/>
        <v>18472.741000000002</v>
      </c>
      <c r="U59" s="625">
        <f t="shared" si="38"/>
        <v>9784.3889999999992</v>
      </c>
      <c r="V59" s="625">
        <f t="shared" si="38"/>
        <v>8445.7630000000026</v>
      </c>
      <c r="W59" s="625">
        <f t="shared" si="38"/>
        <v>8240.5010000000002</v>
      </c>
      <c r="X59" s="625">
        <f t="shared" si="38"/>
        <v>5832.9979999999996</v>
      </c>
      <c r="Y59" s="625">
        <f t="shared" si="38"/>
        <v>2952.962</v>
      </c>
      <c r="Z59" s="625">
        <f t="shared" si="38"/>
        <v>3444.9430000000002</v>
      </c>
      <c r="AA59" s="625">
        <f t="shared" si="38"/>
        <v>6002.3060000000005</v>
      </c>
      <c r="AB59" s="625">
        <f t="shared" si="38"/>
        <v>6493.2190000000001</v>
      </c>
      <c r="AC59" s="625">
        <f t="shared" si="38"/>
        <v>9731.9999999999982</v>
      </c>
      <c r="AD59" s="625">
        <f t="shared" si="38"/>
        <v>4363.1009999999997</v>
      </c>
      <c r="AE59" s="625">
        <f t="shared" si="38"/>
        <v>22111.684000000001</v>
      </c>
      <c r="AF59" s="625">
        <f t="shared" si="38"/>
        <v>4985.741</v>
      </c>
      <c r="AG59" s="625">
        <f t="shared" si="38"/>
        <v>3259.576</v>
      </c>
      <c r="AH59" s="625">
        <f t="shared" si="38"/>
        <v>3128.6480000000001</v>
      </c>
      <c r="AI59" s="625">
        <f t="shared" si="38"/>
        <v>3446.8580000000002</v>
      </c>
      <c r="AJ59" s="625">
        <f t="shared" si="38"/>
        <v>3056.2750000000001</v>
      </c>
      <c r="AK59" s="625">
        <f t="shared" si="38"/>
        <v>2686.3910000000001</v>
      </c>
      <c r="AL59" s="625">
        <f t="shared" si="38"/>
        <v>42680.793000000005</v>
      </c>
      <c r="AM59" s="625">
        <f t="shared" si="38"/>
        <v>5323.2070000000003</v>
      </c>
      <c r="AN59" s="625">
        <f t="shared" si="38"/>
        <v>11220.945</v>
      </c>
      <c r="AO59" s="625">
        <f t="shared" si="38"/>
        <v>3602.181</v>
      </c>
      <c r="AP59" s="625">
        <f t="shared" si="38"/>
        <v>8567.8269999999993</v>
      </c>
      <c r="AQ59" s="625">
        <f t="shared" si="38"/>
        <v>5051.9580000000005</v>
      </c>
      <c r="AR59" s="625">
        <f t="shared" si="38"/>
        <v>10090.055000000002</v>
      </c>
      <c r="AS59" s="625">
        <f t="shared" si="38"/>
        <v>3169.9650000000001</v>
      </c>
      <c r="AT59" s="625">
        <f t="shared" si="38"/>
        <v>2562.8160000000003</v>
      </c>
      <c r="AU59" s="625">
        <f t="shared" si="38"/>
        <v>4253.8219999999992</v>
      </c>
      <c r="AV59" s="625">
        <f t="shared" si="38"/>
        <v>5709.3289999999997</v>
      </c>
      <c r="AW59" s="625">
        <f t="shared" si="38"/>
        <v>7199.768</v>
      </c>
      <c r="AX59" s="625">
        <f t="shared" si="38"/>
        <v>12153.178</v>
      </c>
      <c r="AY59" s="625">
        <f t="shared" si="38"/>
        <v>5805.2910000000002</v>
      </c>
      <c r="AZ59" s="625">
        <f t="shared" si="38"/>
        <v>5512.06</v>
      </c>
      <c r="BA59" s="625">
        <f t="shared" si="38"/>
        <v>5548.8330000000005</v>
      </c>
      <c r="BB59" s="625">
        <f t="shared" si="38"/>
        <v>4760.7890000000007</v>
      </c>
      <c r="BC59" s="625">
        <f t="shared" si="38"/>
        <v>4810.4272000000001</v>
      </c>
      <c r="BD59" s="625">
        <f t="shared" si="38"/>
        <v>7956.9939999999997</v>
      </c>
      <c r="BE59" s="625">
        <f t="shared" si="38"/>
        <v>1061.6970000000001</v>
      </c>
      <c r="BF59" s="625">
        <f t="shared" ref="BF59" si="39">+BF55</f>
        <v>9551.634</v>
      </c>
    </row>
    <row r="60" spans="1:58" x14ac:dyDescent="0.2">
      <c r="A60" s="1817"/>
      <c r="B60" s="376" t="s">
        <v>1039</v>
      </c>
      <c r="C60" s="627">
        <f>+C58/C59</f>
        <v>0</v>
      </c>
      <c r="D60" s="628">
        <f t="shared" ref="D60:BE60" si="40">+D58/D59</f>
        <v>0</v>
      </c>
      <c r="E60" s="628">
        <f t="shared" si="40"/>
        <v>4.7573392248611353E-2</v>
      </c>
      <c r="F60" s="627">
        <f t="shared" si="40"/>
        <v>4.3137103455224693E-3</v>
      </c>
      <c r="G60" s="628">
        <f t="shared" si="40"/>
        <v>7.8357007629894351E-2</v>
      </c>
      <c r="H60" s="628">
        <f t="shared" si="40"/>
        <v>2.0887182372224689E-2</v>
      </c>
      <c r="I60" s="628">
        <f t="shared" si="40"/>
        <v>6.817773640262316E-2</v>
      </c>
      <c r="J60" s="628">
        <f t="shared" si="40"/>
        <v>1.7777700592493534E-2</v>
      </c>
      <c r="K60" s="628">
        <f t="shared" si="40"/>
        <v>0.13312464492737</v>
      </c>
      <c r="L60" s="628">
        <f t="shared" si="40"/>
        <v>4.1055104121679724E-2</v>
      </c>
      <c r="M60" s="628">
        <f t="shared" si="40"/>
        <v>6.4487324015534767E-2</v>
      </c>
      <c r="N60" s="628">
        <f t="shared" si="40"/>
        <v>0</v>
      </c>
      <c r="O60" s="628">
        <f t="shared" si="40"/>
        <v>4.006455760323651E-2</v>
      </c>
      <c r="P60" s="628">
        <f t="shared" si="40"/>
        <v>7.33210217403229E-2</v>
      </c>
      <c r="Q60" s="628">
        <f t="shared" si="40"/>
        <v>5.4652991056530945E-2</v>
      </c>
      <c r="R60" s="628">
        <f t="shared" si="40"/>
        <v>9.8521816647338181E-3</v>
      </c>
      <c r="S60" s="628">
        <f t="shared" si="40"/>
        <v>0</v>
      </c>
      <c r="T60" s="628">
        <f t="shared" si="40"/>
        <v>6.1016391665968776E-2</v>
      </c>
      <c r="U60" s="627">
        <f t="shared" si="40"/>
        <v>6.5572822176223775E-2</v>
      </c>
      <c r="V60" s="628">
        <f t="shared" si="40"/>
        <v>8.0093414887441164E-2</v>
      </c>
      <c r="W60" s="628">
        <f t="shared" si="40"/>
        <v>0.10898123791259778</v>
      </c>
      <c r="X60" s="628">
        <f t="shared" si="40"/>
        <v>1.2521862685363512E-2</v>
      </c>
      <c r="Y60" s="628">
        <f t="shared" si="40"/>
        <v>0.13379108840547219</v>
      </c>
      <c r="Z60" s="628">
        <f t="shared" si="40"/>
        <v>4.1199520572619053E-2</v>
      </c>
      <c r="AA60" s="628">
        <f t="shared" si="40"/>
        <v>5.1716790180307358E-2</v>
      </c>
      <c r="AB60" s="628">
        <f t="shared" si="40"/>
        <v>0</v>
      </c>
      <c r="AC60" s="628">
        <f t="shared" si="40"/>
        <v>4.7504110152075639E-2</v>
      </c>
      <c r="AD60" s="628">
        <f t="shared" si="40"/>
        <v>3.8807261165854284E-2</v>
      </c>
      <c r="AE60" s="628">
        <f t="shared" si="40"/>
        <v>3.220650222751012E-2</v>
      </c>
      <c r="AF60" s="627">
        <f t="shared" si="40"/>
        <v>0.11436815510472764</v>
      </c>
      <c r="AG60" s="628">
        <f t="shared" si="40"/>
        <v>3.5648808311265021E-3</v>
      </c>
      <c r="AH60" s="628">
        <f t="shared" si="40"/>
        <v>0</v>
      </c>
      <c r="AI60" s="628">
        <f t="shared" si="40"/>
        <v>7.1035708462605651E-2</v>
      </c>
      <c r="AJ60" s="628">
        <f t="shared" si="40"/>
        <v>6.3276374017390447E-2</v>
      </c>
      <c r="AK60" s="628">
        <f t="shared" si="40"/>
        <v>0.11060936401290801</v>
      </c>
      <c r="AL60" s="628">
        <f t="shared" si="40"/>
        <v>8.9649224652409796E-3</v>
      </c>
      <c r="AM60" s="628">
        <f t="shared" si="40"/>
        <v>8.4509206574157253E-2</v>
      </c>
      <c r="AN60" s="628">
        <f t="shared" si="40"/>
        <v>0</v>
      </c>
      <c r="AO60" s="628">
        <f t="shared" si="40"/>
        <v>0</v>
      </c>
      <c r="AP60" s="628">
        <f t="shared" si="40"/>
        <v>6.1805636364973292E-2</v>
      </c>
      <c r="AQ60" s="627">
        <f t="shared" si="40"/>
        <v>3.2858547121729824E-3</v>
      </c>
      <c r="AR60" s="628">
        <f t="shared" si="40"/>
        <v>6.1941188625830076E-2</v>
      </c>
      <c r="AS60" s="628">
        <f t="shared" si="40"/>
        <v>4.1893207022790466E-2</v>
      </c>
      <c r="AT60" s="628">
        <f t="shared" si="40"/>
        <v>6.0562287733493141E-2</v>
      </c>
      <c r="AU60" s="628">
        <f t="shared" si="40"/>
        <v>8.0584001869377711E-2</v>
      </c>
      <c r="AV60" s="628">
        <f t="shared" si="40"/>
        <v>3.896079556809566E-2</v>
      </c>
      <c r="AW60" s="628">
        <f t="shared" si="40"/>
        <v>2.2364609526306957E-2</v>
      </c>
      <c r="AX60" s="628">
        <f t="shared" si="40"/>
        <v>3.9679333257523257E-2</v>
      </c>
      <c r="AY60" s="628">
        <f t="shared" si="40"/>
        <v>5.460535914564834E-2</v>
      </c>
      <c r="AZ60" s="628">
        <f t="shared" si="40"/>
        <v>6.1987714212109433E-2</v>
      </c>
      <c r="BA60" s="628">
        <f t="shared" si="40"/>
        <v>0</v>
      </c>
      <c r="BB60" s="628">
        <f t="shared" si="40"/>
        <v>5.5440390237836618E-2</v>
      </c>
      <c r="BC60" s="628">
        <f t="shared" si="40"/>
        <v>8.0922126833142802E-2</v>
      </c>
      <c r="BD60" s="627">
        <f t="shared" si="40"/>
        <v>2.8268212845202596E-2</v>
      </c>
      <c r="BE60" s="628">
        <f t="shared" si="40"/>
        <v>4.534250355798311E-2</v>
      </c>
      <c r="BF60" s="628">
        <f t="shared" ref="BF60" si="41">+BF58/BF59</f>
        <v>1.7798001891613519E-3</v>
      </c>
    </row>
    <row r="61" spans="1:58" x14ac:dyDescent="0.2">
      <c r="A61" s="765"/>
      <c r="B61" s="376"/>
      <c r="C61" s="628"/>
      <c r="D61" s="628"/>
      <c r="E61" s="628"/>
      <c r="F61" s="628"/>
      <c r="G61" s="628"/>
      <c r="H61" s="628"/>
      <c r="I61" s="628"/>
      <c r="J61" s="628"/>
      <c r="K61" s="628"/>
      <c r="L61" s="628"/>
      <c r="M61" s="628"/>
      <c r="N61" s="628"/>
      <c r="O61" s="628"/>
      <c r="P61" s="628"/>
      <c r="Q61" s="628"/>
      <c r="R61" s="628"/>
      <c r="S61" s="628"/>
      <c r="T61" s="628"/>
      <c r="U61" s="628"/>
      <c r="V61" s="628"/>
      <c r="W61" s="628"/>
      <c r="X61" s="628"/>
      <c r="Y61" s="628"/>
      <c r="Z61" s="628"/>
      <c r="AA61" s="628"/>
      <c r="AB61" s="628"/>
      <c r="AC61" s="628"/>
      <c r="AD61" s="628"/>
      <c r="AE61" s="628"/>
      <c r="AF61" s="628"/>
      <c r="AG61" s="628"/>
      <c r="AH61" s="628"/>
      <c r="AI61" s="628"/>
      <c r="AJ61" s="628"/>
      <c r="AK61" s="628"/>
      <c r="AL61" s="628"/>
      <c r="AM61" s="628"/>
      <c r="AN61" s="628"/>
      <c r="AO61" s="628"/>
      <c r="AP61" s="628"/>
      <c r="AQ61" s="628"/>
      <c r="AR61" s="628"/>
      <c r="AS61" s="628"/>
      <c r="AT61" s="628"/>
      <c r="AU61" s="628"/>
      <c r="AV61" s="628"/>
      <c r="AW61" s="628"/>
      <c r="AX61" s="628"/>
      <c r="AY61" s="628"/>
      <c r="AZ61" s="628"/>
      <c r="BA61" s="628"/>
      <c r="BB61" s="628"/>
      <c r="BC61" s="628"/>
      <c r="BD61" s="628"/>
      <c r="BE61" s="628"/>
      <c r="BF61" s="628"/>
    </row>
    <row r="62" spans="1:58" x14ac:dyDescent="0.2">
      <c r="A62" s="1815" t="s">
        <v>1040</v>
      </c>
      <c r="B62" s="376" t="s">
        <v>1018</v>
      </c>
      <c r="C62" s="628">
        <f>+HLOOKUP(C4,'פירוט נכסי מים וביוב'!$1:$289,202,0)</f>
        <v>0</v>
      </c>
      <c r="D62" s="628">
        <f>+HLOOKUP(D4,'פירוט נכסי מים וביוב'!$1:$289,202,0)</f>
        <v>4959.3580000000002</v>
      </c>
      <c r="E62" s="628">
        <f>+HLOOKUP(E4,'פירוט נכסי מים וביוב'!$1:$289,202,0)</f>
        <v>7237.8670000000002</v>
      </c>
      <c r="F62" s="628">
        <f>+HLOOKUP(F4,'פירוט נכסי מים וביוב'!$1:$289,202,0)</f>
        <v>33045.612647619047</v>
      </c>
      <c r="G62" s="628">
        <f>+HLOOKUP(G4,'פירוט נכסי מים וביוב'!$1:$289,202,0)</f>
        <v>50606.771428571432</v>
      </c>
      <c r="H62" s="628">
        <f>+HLOOKUP(H4,'פירוט נכסי מים וביוב'!$1:$289,202,0)</f>
        <v>1239.7714285714287</v>
      </c>
      <c r="I62" s="628">
        <f>+HLOOKUP(I4,'פירוט נכסי מים וביוב'!$1:$289,202,0)</f>
        <v>12460.061</v>
      </c>
      <c r="J62" s="628">
        <f>+HLOOKUP(J4,'פירוט נכסי מים וביוב'!$1:$289,202,0)</f>
        <v>10082.433142857144</v>
      </c>
      <c r="K62" s="628">
        <f>+HLOOKUP(K4,'פירוט נכסי מים וביוב'!$1:$289,202,0)</f>
        <v>14570.848</v>
      </c>
      <c r="L62" s="628">
        <f>+HLOOKUP(L4,'פירוט נכסי מים וביוב'!$1:$289,202,0)</f>
        <v>16218.757942857143</v>
      </c>
      <c r="M62" s="628">
        <f>+HLOOKUP(M4,'פירוט נכסי מים וביוב'!$1:$289,202,0)</f>
        <v>48393.514285714286</v>
      </c>
      <c r="N62" s="628">
        <f>+HLOOKUP(N4,'פירוט נכסי מים וביוב'!$1:$289,202,0)</f>
        <v>16709.523000000001</v>
      </c>
      <c r="O62" s="628">
        <f>+HLOOKUP(O4,'פירוט נכסי מים וביוב'!$1:$289,202,0)</f>
        <v>9887.2445714285714</v>
      </c>
      <c r="P62" s="628">
        <f>+HLOOKUP(P4,'פירוט נכסי מים וביוב'!$1:$289,202,0)</f>
        <v>21659.324423809521</v>
      </c>
      <c r="Q62" s="628">
        <f>+HLOOKUP(Q4,'פירוט נכסי מים וביוב'!$1:$289,202,0)</f>
        <v>24795.556414285715</v>
      </c>
      <c r="R62" s="628">
        <f>+HLOOKUP(R4,'פירוט נכסי מים וביוב'!$1:$289,202,0)</f>
        <v>9038.3691428571419</v>
      </c>
      <c r="S62" s="628">
        <f>+HLOOKUP(S4,'פירוט נכסי מים וביוב'!$1:$289,202,0)</f>
        <v>0</v>
      </c>
      <c r="T62" s="628">
        <f>+HLOOKUP(T4,'פירוט נכסי מים וביוב'!$1:$289,202,0)</f>
        <v>39282.314285714281</v>
      </c>
      <c r="U62" s="628">
        <f>+HLOOKUP(U4,'פירוט נכסי מים וביוב'!$1:$289,202,0)</f>
        <v>33154.71428571429</v>
      </c>
      <c r="V62" s="628">
        <f>+HLOOKUP(V4,'פירוט נכסי מים וביוב'!$1:$289,202,0)</f>
        <v>9202.3979999999992</v>
      </c>
      <c r="W62" s="628">
        <f>+HLOOKUP(W4,'פירוט נכסי מים וביוב'!$1:$289,202,0)</f>
        <v>16788.457999999999</v>
      </c>
      <c r="X62" s="628">
        <f>+HLOOKUP(X4,'פירוט נכסי מים וביוב'!$1:$289,202,0)</f>
        <v>8767.5344000000005</v>
      </c>
      <c r="Y62" s="628">
        <f>+HLOOKUP(Y4,'פירוט נכסי מים וביוב'!$1:$289,202,0)</f>
        <v>18498.818285714282</v>
      </c>
      <c r="Z62" s="628">
        <f>+HLOOKUP(Z4,'פירוט נכסי מים וביוב'!$1:$289,202,0)</f>
        <v>8918.4571428571435</v>
      </c>
      <c r="AA62" s="628">
        <f>+HLOOKUP(AA4,'פירוט נכסי מים וביוב'!$1:$289,202,0)</f>
        <v>20259.571428571428</v>
      </c>
      <c r="AB62" s="628">
        <f>+HLOOKUP(AB4,'פירוט נכסי מים וביוב'!$1:$289,202,0)</f>
        <v>2249.1428571428573</v>
      </c>
      <c r="AC62" s="628">
        <f>+HLOOKUP(AC4,'פירוט נכסי מים וביוב'!$1:$289,202,0)</f>
        <v>22806.649857142856</v>
      </c>
      <c r="AD62" s="628">
        <f>+HLOOKUP(AD4,'פירוט נכסי מים וביוב'!$1:$289,202,0)</f>
        <v>12695.393371428572</v>
      </c>
      <c r="AE62" s="628">
        <f>+HLOOKUP(AE4,'פירוט נכסי מים וביוב'!$1:$289,202,0)</f>
        <v>44159.810819047612</v>
      </c>
      <c r="AF62" s="628">
        <f>+HLOOKUP(AF4,'פירוט נכסי מים וביוב'!$1:$289,202,0)</f>
        <v>20173.40476190476</v>
      </c>
      <c r="AG62" s="628">
        <f>+HLOOKUP(AG4,'פירוט נכסי מים וביוב'!$1:$289,202,0)</f>
        <v>2787.3725095238096</v>
      </c>
      <c r="AH62" s="628">
        <f>+HLOOKUP(AH4,'פירוט נכסי מים וביוב'!$1:$289,202,0)</f>
        <v>1409.386</v>
      </c>
      <c r="AI62" s="628">
        <f>+HLOOKUP(AI4,'פירוט נכסי מים וביוב'!$1:$289,202,0)</f>
        <v>30708.225571428571</v>
      </c>
      <c r="AJ62" s="628">
        <f>+HLOOKUP(AJ4,'פירוט נכסי מים וביוב'!$1:$289,202,0)</f>
        <v>15639.714285714286</v>
      </c>
      <c r="AK62" s="628">
        <f>+HLOOKUP(AK4,'פירוט נכסי מים וביוב'!$1:$289,202,0)</f>
        <v>7239.6342857142854</v>
      </c>
      <c r="AL62" s="628">
        <f>+HLOOKUP(AL4,'פירוט נכסי מים וביוב'!$1:$289,202,0)</f>
        <v>16516.042857142857</v>
      </c>
      <c r="AM62" s="628">
        <f>+HLOOKUP(AM4,'פירוט נכסי מים וביוב'!$1:$289,202,0)</f>
        <v>10423.36650952381</v>
      </c>
      <c r="AN62" s="628">
        <f>+HLOOKUP(AN4,'פירוט נכסי מים וביוב'!$1:$289,202,0)</f>
        <v>5765.1462857142851</v>
      </c>
      <c r="AO62" s="628">
        <f>+HLOOKUP(AO4,'פירוט נכסי מים וביוב'!$1:$289,202,0)</f>
        <v>292.86666666666667</v>
      </c>
      <c r="AP62" s="628">
        <f>+HLOOKUP(AP4,'פירוט נכסי מים וביוב'!$1:$289,202,0)</f>
        <v>9846.4548571428586</v>
      </c>
      <c r="AQ62" s="628">
        <f>+HLOOKUP(AQ4,'פירוט נכסי מים וביוב'!$1:$289,202,0)</f>
        <v>4047.3809523809523</v>
      </c>
      <c r="AR62" s="628">
        <f>+HLOOKUP(AR4,'פירוט נכסי מים וביוב'!$1:$289,202,0)</f>
        <v>63477.684000000001</v>
      </c>
      <c r="AS62" s="628">
        <f>+HLOOKUP(AS4,'פירוט נכסי מים וביוב'!$1:$289,202,0)</f>
        <v>21048.726999999999</v>
      </c>
      <c r="AT62" s="628">
        <f>+HLOOKUP(AT4,'פירוט נכסי מים וביוב'!$1:$289,202,0)</f>
        <v>5742.0057142857149</v>
      </c>
      <c r="AU62" s="628">
        <f>+HLOOKUP(AU4,'פירוט נכסי מים וביוב'!$1:$289,202,0)</f>
        <v>1117.2857142857142</v>
      </c>
      <c r="AV62" s="628">
        <f>+HLOOKUP(AV4,'פירוט נכסי מים וביוב'!$1:$289,202,0)</f>
        <v>4932.0119999999997</v>
      </c>
      <c r="AW62" s="628">
        <f>+HLOOKUP(AW4,'פירוט נכסי מים וביוב'!$1:$289,202,0)</f>
        <v>4386.1930000000002</v>
      </c>
      <c r="AX62" s="628">
        <f>+HLOOKUP(AX4,'פירוט נכסי מים וביוב'!$1:$289,202,0)</f>
        <v>8279.8419904761904</v>
      </c>
      <c r="AY62" s="628">
        <f>+HLOOKUP(AY4,'פירוט נכסי מים וביוב'!$1:$289,202,0)</f>
        <v>15331.46467142857</v>
      </c>
      <c r="AZ62" s="628">
        <f>+HLOOKUP(AZ4,'פירוט נכסי מים וביוב'!$1:$289,202,0)</f>
        <v>10182.07690952381</v>
      </c>
      <c r="BA62" s="628">
        <f>+HLOOKUP(BA4,'פירוט נכסי מים וביוב'!$1:$289,202,0)</f>
        <v>17991.09523809524</v>
      </c>
      <c r="BB62" s="628">
        <f>+HLOOKUP(BB4,'פירוט נכסי מים וביוב'!$1:$289,202,0)</f>
        <v>21246.784</v>
      </c>
      <c r="BC62" s="628">
        <f>+HLOOKUP(BC4,'פירוט נכסי מים וביוב'!$1:$289,202,0)</f>
        <v>15854.14</v>
      </c>
      <c r="BD62" s="628">
        <f>+HLOOKUP(BD4,'פירוט נכסי מים וביוב'!$1:$289,202,0)</f>
        <v>15886.27619047619</v>
      </c>
      <c r="BE62" s="628">
        <f>+HLOOKUP(BE4,'פירוט נכסי מים וביוב'!$1:$289,202,0)</f>
        <v>4148.5714285714284</v>
      </c>
      <c r="BF62" s="628">
        <f>+HLOOKUP(BF4,'פירוט נכסי מים וביוב'!$1:$289,202,0)</f>
        <v>11694.300999999999</v>
      </c>
    </row>
    <row r="63" spans="1:58" x14ac:dyDescent="0.2">
      <c r="A63" s="1816"/>
      <c r="B63" s="376" t="s">
        <v>1041</v>
      </c>
      <c r="C63" s="766">
        <v>0.01</v>
      </c>
      <c r="D63" s="766">
        <v>0.01</v>
      </c>
      <c r="E63" s="766">
        <v>0.01</v>
      </c>
      <c r="F63" s="766">
        <v>0.01</v>
      </c>
      <c r="G63" s="766">
        <v>0.01</v>
      </c>
      <c r="H63" s="766">
        <v>0.01</v>
      </c>
      <c r="I63" s="766">
        <v>0.01</v>
      </c>
      <c r="J63" s="766">
        <v>0.01</v>
      </c>
      <c r="K63" s="766">
        <v>0.01</v>
      </c>
      <c r="L63" s="766">
        <v>0.01</v>
      </c>
      <c r="M63" s="766">
        <v>0.01</v>
      </c>
      <c r="N63" s="766">
        <v>0.01</v>
      </c>
      <c r="O63" s="766">
        <v>0.01</v>
      </c>
      <c r="P63" s="766">
        <v>0.01</v>
      </c>
      <c r="Q63" s="766">
        <v>0.01</v>
      </c>
      <c r="R63" s="766">
        <v>0.01</v>
      </c>
      <c r="S63" s="766">
        <v>0.01</v>
      </c>
      <c r="T63" s="766">
        <v>0.01</v>
      </c>
      <c r="U63" s="766">
        <v>0.01</v>
      </c>
      <c r="V63" s="766">
        <v>0.01</v>
      </c>
      <c r="W63" s="766">
        <v>0.01</v>
      </c>
      <c r="X63" s="766">
        <v>0.01</v>
      </c>
      <c r="Y63" s="766">
        <v>0.01</v>
      </c>
      <c r="Z63" s="766">
        <v>0.01</v>
      </c>
      <c r="AA63" s="766">
        <v>0.01</v>
      </c>
      <c r="AB63" s="766">
        <v>0.01</v>
      </c>
      <c r="AC63" s="766">
        <v>0.01</v>
      </c>
      <c r="AD63" s="766">
        <v>0.01</v>
      </c>
      <c r="AE63" s="766">
        <v>0.01</v>
      </c>
      <c r="AF63" s="766">
        <v>0.01</v>
      </c>
      <c r="AG63" s="766">
        <v>0.01</v>
      </c>
      <c r="AH63" s="766">
        <v>0.01</v>
      </c>
      <c r="AI63" s="766">
        <v>0.01</v>
      </c>
      <c r="AJ63" s="766">
        <v>0.01</v>
      </c>
      <c r="AK63" s="766">
        <v>0.01</v>
      </c>
      <c r="AL63" s="766">
        <v>0.01</v>
      </c>
      <c r="AM63" s="766">
        <v>0.01</v>
      </c>
      <c r="AN63" s="766">
        <v>0.01</v>
      </c>
      <c r="AO63" s="766">
        <v>0.01</v>
      </c>
      <c r="AP63" s="766">
        <v>0.01</v>
      </c>
      <c r="AQ63" s="766">
        <v>0.01</v>
      </c>
      <c r="AR63" s="766">
        <v>0.01</v>
      </c>
      <c r="AS63" s="766">
        <v>0.01</v>
      </c>
      <c r="AT63" s="766">
        <v>0.01</v>
      </c>
      <c r="AU63" s="766">
        <v>0.01</v>
      </c>
      <c r="AV63" s="766">
        <v>0.01</v>
      </c>
      <c r="AW63" s="766">
        <v>0.01</v>
      </c>
      <c r="AX63" s="766">
        <v>0.01</v>
      </c>
      <c r="AY63" s="766">
        <v>0.01</v>
      </c>
      <c r="AZ63" s="766">
        <v>0.01</v>
      </c>
      <c r="BA63" s="766">
        <v>0.01</v>
      </c>
      <c r="BB63" s="766">
        <v>0.01</v>
      </c>
      <c r="BC63" s="766">
        <v>0.01</v>
      </c>
      <c r="BD63" s="766">
        <v>0.01</v>
      </c>
      <c r="BE63" s="766">
        <v>0.01</v>
      </c>
      <c r="BF63" s="766">
        <v>0.01</v>
      </c>
    </row>
    <row r="64" spans="1:58" x14ac:dyDescent="0.2">
      <c r="A64" s="1816"/>
      <c r="B64" s="376" t="s">
        <v>486</v>
      </c>
      <c r="C64" s="625">
        <f>+C59</f>
        <v>10687.855</v>
      </c>
      <c r="D64" s="625">
        <f t="shared" ref="D64:BE64" si="42">+D59</f>
        <v>9055.2800000000007</v>
      </c>
      <c r="E64" s="625">
        <f t="shared" si="42"/>
        <v>4030.194</v>
      </c>
      <c r="F64" s="625">
        <f t="shared" si="42"/>
        <v>52720.276000000005</v>
      </c>
      <c r="G64" s="625">
        <f t="shared" si="42"/>
        <v>16005.333000000001</v>
      </c>
      <c r="H64" s="625">
        <f t="shared" si="42"/>
        <v>1788.1780000000001</v>
      </c>
      <c r="I64" s="625">
        <f t="shared" si="42"/>
        <v>4309.6179999999995</v>
      </c>
      <c r="J64" s="625">
        <f t="shared" si="42"/>
        <v>6909.7800000000007</v>
      </c>
      <c r="K64" s="625">
        <f t="shared" si="42"/>
        <v>5187.3189999999995</v>
      </c>
      <c r="L64" s="625">
        <f t="shared" si="42"/>
        <v>9623.1640000000007</v>
      </c>
      <c r="M64" s="625">
        <f t="shared" si="42"/>
        <v>15637.956999999999</v>
      </c>
      <c r="N64" s="625">
        <f t="shared" si="42"/>
        <v>9167.7950000000001</v>
      </c>
      <c r="O64" s="625">
        <f t="shared" si="42"/>
        <v>5282.7240000000002</v>
      </c>
      <c r="P64" s="625">
        <f t="shared" si="42"/>
        <v>4539.3530000000001</v>
      </c>
      <c r="Q64" s="625">
        <f t="shared" si="42"/>
        <v>19454.196</v>
      </c>
      <c r="R64" s="625">
        <f t="shared" si="42"/>
        <v>17691.512999999999</v>
      </c>
      <c r="S64" s="625">
        <f t="shared" si="42"/>
        <v>18837.516</v>
      </c>
      <c r="T64" s="625">
        <f t="shared" si="42"/>
        <v>18472.741000000002</v>
      </c>
      <c r="U64" s="625">
        <f t="shared" si="42"/>
        <v>9784.3889999999992</v>
      </c>
      <c r="V64" s="625">
        <f t="shared" si="42"/>
        <v>8445.7630000000026</v>
      </c>
      <c r="W64" s="625">
        <f t="shared" si="42"/>
        <v>8240.5010000000002</v>
      </c>
      <c r="X64" s="625">
        <f t="shared" si="42"/>
        <v>5832.9979999999996</v>
      </c>
      <c r="Y64" s="625">
        <f t="shared" si="42"/>
        <v>2952.962</v>
      </c>
      <c r="Z64" s="625">
        <f t="shared" si="42"/>
        <v>3444.9430000000002</v>
      </c>
      <c r="AA64" s="625">
        <f t="shared" si="42"/>
        <v>6002.3060000000005</v>
      </c>
      <c r="AB64" s="625">
        <f t="shared" si="42"/>
        <v>6493.2190000000001</v>
      </c>
      <c r="AC64" s="625">
        <f t="shared" si="42"/>
        <v>9731.9999999999982</v>
      </c>
      <c r="AD64" s="625">
        <f t="shared" si="42"/>
        <v>4363.1009999999997</v>
      </c>
      <c r="AE64" s="625">
        <f t="shared" si="42"/>
        <v>22111.684000000001</v>
      </c>
      <c r="AF64" s="625">
        <f t="shared" si="42"/>
        <v>4985.741</v>
      </c>
      <c r="AG64" s="625">
        <f t="shared" si="42"/>
        <v>3259.576</v>
      </c>
      <c r="AH64" s="625">
        <f t="shared" si="42"/>
        <v>3128.6480000000001</v>
      </c>
      <c r="AI64" s="625">
        <f t="shared" si="42"/>
        <v>3446.8580000000002</v>
      </c>
      <c r="AJ64" s="625">
        <f t="shared" si="42"/>
        <v>3056.2750000000001</v>
      </c>
      <c r="AK64" s="625">
        <f t="shared" si="42"/>
        <v>2686.3910000000001</v>
      </c>
      <c r="AL64" s="625">
        <f t="shared" si="42"/>
        <v>42680.793000000005</v>
      </c>
      <c r="AM64" s="625">
        <f t="shared" si="42"/>
        <v>5323.2070000000003</v>
      </c>
      <c r="AN64" s="625">
        <f t="shared" si="42"/>
        <v>11220.945</v>
      </c>
      <c r="AO64" s="625">
        <f t="shared" si="42"/>
        <v>3602.181</v>
      </c>
      <c r="AP64" s="625">
        <f t="shared" si="42"/>
        <v>8567.8269999999993</v>
      </c>
      <c r="AQ64" s="625">
        <f t="shared" si="42"/>
        <v>5051.9580000000005</v>
      </c>
      <c r="AR64" s="625">
        <f t="shared" si="42"/>
        <v>10090.055000000002</v>
      </c>
      <c r="AS64" s="625">
        <f t="shared" si="42"/>
        <v>3169.9650000000001</v>
      </c>
      <c r="AT64" s="625">
        <f t="shared" si="42"/>
        <v>2562.8160000000003</v>
      </c>
      <c r="AU64" s="625">
        <f t="shared" si="42"/>
        <v>4253.8219999999992</v>
      </c>
      <c r="AV64" s="625">
        <f t="shared" si="42"/>
        <v>5709.3289999999997</v>
      </c>
      <c r="AW64" s="625">
        <f t="shared" si="42"/>
        <v>7199.768</v>
      </c>
      <c r="AX64" s="625">
        <f t="shared" si="42"/>
        <v>12153.178</v>
      </c>
      <c r="AY64" s="625">
        <f t="shared" si="42"/>
        <v>5805.2910000000002</v>
      </c>
      <c r="AZ64" s="625">
        <f t="shared" si="42"/>
        <v>5512.06</v>
      </c>
      <c r="BA64" s="625">
        <f t="shared" si="42"/>
        <v>5548.8330000000005</v>
      </c>
      <c r="BB64" s="625">
        <f t="shared" si="42"/>
        <v>4760.7890000000007</v>
      </c>
      <c r="BC64" s="625">
        <f t="shared" si="42"/>
        <v>4810.4272000000001</v>
      </c>
      <c r="BD64" s="625">
        <f t="shared" si="42"/>
        <v>7956.9939999999997</v>
      </c>
      <c r="BE64" s="625">
        <f t="shared" si="42"/>
        <v>1061.6970000000001</v>
      </c>
      <c r="BF64" s="625">
        <f t="shared" ref="BF64" si="43">+BF59</f>
        <v>9551.634</v>
      </c>
    </row>
    <row r="65" spans="1:58" x14ac:dyDescent="0.2">
      <c r="A65" s="1817"/>
      <c r="B65" s="376" t="s">
        <v>1042</v>
      </c>
      <c r="C65" s="627">
        <f>+C62*C63/C64</f>
        <v>0</v>
      </c>
      <c r="D65" s="628">
        <f t="shared" ref="D65:BE65" si="44">+D62*D63/D64</f>
        <v>5.4767583111731497E-3</v>
      </c>
      <c r="E65" s="628">
        <f t="shared" si="44"/>
        <v>1.7959103209423666E-2</v>
      </c>
      <c r="F65" s="628">
        <f t="shared" si="44"/>
        <v>6.2681031198734702E-3</v>
      </c>
      <c r="G65" s="628">
        <f t="shared" si="44"/>
        <v>3.1618693237167532E-2</v>
      </c>
      <c r="H65" s="628">
        <f t="shared" si="44"/>
        <v>6.9331544654471118E-3</v>
      </c>
      <c r="I65" s="628">
        <f t="shared" si="44"/>
        <v>2.891221681364799E-2</v>
      </c>
      <c r="J65" s="628">
        <f t="shared" si="44"/>
        <v>1.4591540024222397E-2</v>
      </c>
      <c r="K65" s="628">
        <f t="shared" si="44"/>
        <v>2.8089361768574485E-2</v>
      </c>
      <c r="L65" s="628">
        <f t="shared" si="44"/>
        <v>1.6853872533874662E-2</v>
      </c>
      <c r="M65" s="628">
        <f t="shared" si="44"/>
        <v>3.0946187079114167E-2</v>
      </c>
      <c r="N65" s="628">
        <f t="shared" si="44"/>
        <v>1.8226327050288538E-2</v>
      </c>
      <c r="O65" s="628">
        <f t="shared" si="44"/>
        <v>1.8716186140764823E-2</v>
      </c>
      <c r="P65" s="628">
        <f t="shared" si="44"/>
        <v>4.7714562898742444E-2</v>
      </c>
      <c r="Q65" s="628">
        <f t="shared" si="44"/>
        <v>1.2745608409767083E-2</v>
      </c>
      <c r="R65" s="628">
        <f t="shared" si="44"/>
        <v>5.1088729058148636E-3</v>
      </c>
      <c r="S65" s="628">
        <f t="shared" si="44"/>
        <v>0</v>
      </c>
      <c r="T65" s="628">
        <f t="shared" si="44"/>
        <v>2.126501653745607E-2</v>
      </c>
      <c r="U65" s="628">
        <f t="shared" si="44"/>
        <v>3.3885319038025052E-2</v>
      </c>
      <c r="V65" s="628">
        <f t="shared" si="44"/>
        <v>1.0895875245374512E-2</v>
      </c>
      <c r="W65" s="628">
        <f t="shared" si="44"/>
        <v>2.0373103528535462E-2</v>
      </c>
      <c r="X65" s="628">
        <f t="shared" si="44"/>
        <v>1.5030923034775602E-2</v>
      </c>
      <c r="Y65" s="628">
        <f t="shared" si="44"/>
        <v>6.2644958809880663E-2</v>
      </c>
      <c r="Z65" s="628">
        <f t="shared" si="44"/>
        <v>2.5888547772364136E-2</v>
      </c>
      <c r="AA65" s="628">
        <f t="shared" si="44"/>
        <v>3.3752979985644561E-2</v>
      </c>
      <c r="AB65" s="628">
        <f t="shared" si="44"/>
        <v>3.4638333577580818E-3</v>
      </c>
      <c r="AC65" s="628">
        <f t="shared" si="44"/>
        <v>2.343469981210734E-2</v>
      </c>
      <c r="AD65" s="628">
        <f t="shared" si="44"/>
        <v>2.9097179669754548E-2</v>
      </c>
      <c r="AE65" s="628">
        <f t="shared" si="44"/>
        <v>1.9971256291039439E-2</v>
      </c>
      <c r="AF65" s="627">
        <f t="shared" si="44"/>
        <v>4.0462199624699241E-2</v>
      </c>
      <c r="AG65" s="628">
        <f t="shared" si="44"/>
        <v>8.551334619974529E-3</v>
      </c>
      <c r="AH65" s="628">
        <f t="shared" si="44"/>
        <v>4.5047765041001733E-3</v>
      </c>
      <c r="AI65" s="628">
        <f t="shared" si="44"/>
        <v>8.9090486383333958E-2</v>
      </c>
      <c r="AJ65" s="628">
        <f t="shared" si="44"/>
        <v>5.1172470689693453E-2</v>
      </c>
      <c r="AK65" s="628">
        <f t="shared" si="44"/>
        <v>2.6949294744191315E-2</v>
      </c>
      <c r="AL65" s="628">
        <f t="shared" si="44"/>
        <v>3.8696663525307172E-3</v>
      </c>
      <c r="AM65" s="628">
        <f t="shared" si="44"/>
        <v>1.9580990387042644E-2</v>
      </c>
      <c r="AN65" s="628">
        <f t="shared" si="44"/>
        <v>5.1378438141478147E-3</v>
      </c>
      <c r="AO65" s="628">
        <f t="shared" si="44"/>
        <v>8.1302596029090906E-4</v>
      </c>
      <c r="AP65" s="628">
        <f t="shared" si="44"/>
        <v>1.1492359564616396E-2</v>
      </c>
      <c r="AQ65" s="628">
        <f t="shared" si="44"/>
        <v>8.0115095026145351E-3</v>
      </c>
      <c r="AR65" s="628">
        <f t="shared" si="44"/>
        <v>6.2911137749001353E-2</v>
      </c>
      <c r="AS65" s="628">
        <f t="shared" si="44"/>
        <v>6.6400502844668627E-2</v>
      </c>
      <c r="AT65" s="628">
        <f t="shared" si="44"/>
        <v>2.2405064250752744E-2</v>
      </c>
      <c r="AU65" s="628">
        <f t="shared" si="44"/>
        <v>2.626545526083871E-3</v>
      </c>
      <c r="AV65" s="628">
        <f t="shared" si="44"/>
        <v>8.6385142632347863E-3</v>
      </c>
      <c r="AW65" s="628">
        <f t="shared" si="44"/>
        <v>6.0921310242218916E-3</v>
      </c>
      <c r="AX65" s="628">
        <f t="shared" si="44"/>
        <v>6.8129027571851497E-3</v>
      </c>
      <c r="AY65" s="628">
        <f t="shared" si="44"/>
        <v>2.6409467968838377E-2</v>
      </c>
      <c r="AZ65" s="628">
        <f t="shared" si="44"/>
        <v>1.8472362255715306E-2</v>
      </c>
      <c r="BA65" s="628">
        <f t="shared" si="44"/>
        <v>3.242320545256136E-2</v>
      </c>
      <c r="BB65" s="628">
        <f t="shared" si="44"/>
        <v>4.462870335148228E-2</v>
      </c>
      <c r="BC65" s="628">
        <f t="shared" si="44"/>
        <v>3.2957862869227084E-2</v>
      </c>
      <c r="BD65" s="628">
        <f t="shared" si="44"/>
        <v>1.9965173016941059E-2</v>
      </c>
      <c r="BE65" s="628">
        <f t="shared" si="44"/>
        <v>3.9074909588813274E-2</v>
      </c>
      <c r="BF65" s="628">
        <f t="shared" ref="BF65" si="45">+BF62*BF63/BF64</f>
        <v>1.2243246548182228E-2</v>
      </c>
    </row>
    <row r="66" spans="1:58" x14ac:dyDescent="0.2">
      <c r="A66" s="765"/>
      <c r="B66" s="376"/>
      <c r="C66" s="767">
        <v>0.06</v>
      </c>
      <c r="D66" s="628"/>
      <c r="E66" s="628"/>
      <c r="F66" s="628"/>
      <c r="G66" s="628"/>
      <c r="H66" s="628"/>
      <c r="I66" s="628"/>
      <c r="J66" s="628"/>
      <c r="K66" s="628"/>
      <c r="L66" s="628"/>
      <c r="M66" s="628"/>
      <c r="N66" s="628"/>
      <c r="O66" s="628"/>
      <c r="P66" s="628"/>
      <c r="Q66" s="628"/>
      <c r="R66" s="628"/>
      <c r="S66" s="628"/>
      <c r="T66" s="628"/>
      <c r="U66" s="628"/>
      <c r="V66" s="628"/>
      <c r="W66" s="628"/>
      <c r="X66" s="628"/>
      <c r="Y66" s="628"/>
      <c r="Z66" s="628"/>
      <c r="AA66" s="628"/>
      <c r="AB66" s="628"/>
      <c r="AC66" s="628"/>
      <c r="AD66" s="628"/>
      <c r="AE66" s="628"/>
      <c r="AF66" s="628"/>
      <c r="AG66" s="628"/>
      <c r="AH66" s="628"/>
      <c r="AI66" s="628"/>
      <c r="AJ66" s="628"/>
      <c r="AK66" s="628"/>
      <c r="AL66" s="628"/>
      <c r="AM66" s="628"/>
      <c r="AN66" s="628"/>
      <c r="AO66" s="628"/>
      <c r="AP66" s="628"/>
      <c r="AQ66" s="628"/>
      <c r="AR66" s="628"/>
      <c r="AS66" s="628"/>
      <c r="AT66" s="628"/>
      <c r="AU66" s="628"/>
      <c r="AV66" s="628"/>
      <c r="AW66" s="628"/>
      <c r="AX66" s="628"/>
      <c r="AY66" s="628"/>
      <c r="AZ66" s="628"/>
      <c r="BA66" s="628"/>
      <c r="BB66" s="628"/>
      <c r="BC66" s="628"/>
      <c r="BD66" s="628"/>
      <c r="BE66" s="628"/>
      <c r="BF66" s="628"/>
    </row>
    <row r="67" spans="1:58" x14ac:dyDescent="0.2">
      <c r="A67" s="1815" t="s">
        <v>1043</v>
      </c>
      <c r="B67" s="376" t="s">
        <v>1044</v>
      </c>
      <c r="C67" s="625">
        <f>+VLOOKUP(C5,'צריכה בתאגיד מרחבי'!$B$8:$M$114,6,0)</f>
        <v>42529.130000000005</v>
      </c>
      <c r="D67" s="625">
        <f>+VLOOKUP(D5,'צריכה בתאגיד מרחבי'!$B$8:$M$114,6,0)</f>
        <v>41661.173999999999</v>
      </c>
      <c r="E67" s="625">
        <f>+VLOOKUP(E5,'צריכה בתאגיד מרחבי'!$B$8:$M$114,6,0)</f>
        <v>19864.632000000001</v>
      </c>
      <c r="F67" s="625">
        <f>+VLOOKUP(F5,'צריכה בתאגיד מרחבי'!$B$8:$M$114,6,0)</f>
        <v>54562.883000000002</v>
      </c>
      <c r="G67" s="625">
        <f>+VLOOKUP(G5,'צריכה בתאגיד מרחבי'!$B$8:$M$114,6,0)</f>
        <v>43015.555</v>
      </c>
      <c r="H67" s="625">
        <f>+VLOOKUP(H5,'צריכה בתאגיד מרחבי'!$B$8:$M$114,6,0)</f>
        <v>2004.4870000000001</v>
      </c>
      <c r="I67" s="625">
        <f>+VLOOKUP(I5,'צריכה בתאגיד מרחבי'!$B$8:$M$114,6,0)</f>
        <v>41661.173999999999</v>
      </c>
      <c r="J67" s="625">
        <f>+VLOOKUP(J5,'צריכה בתאגיד מרחבי'!$B$8:$M$114,6,0)</f>
        <v>49599.804999999993</v>
      </c>
      <c r="K67" s="625">
        <f>+VLOOKUP(K5,'צריכה בתאגיד מרחבי'!$B$8:$M$114,6,0)</f>
        <v>52015.728000000003</v>
      </c>
      <c r="L67" s="625">
        <f>+VLOOKUP(L5,'צריכה בתאגיד מרחבי'!$B$8:$M$114,6,0)</f>
        <v>41661.173999999999</v>
      </c>
      <c r="M67" s="625">
        <f>+VLOOKUP(M5,'צריכה בתאגיד מרחבי'!$B$8:$M$114,6,0)</f>
        <v>49599.804999999993</v>
      </c>
      <c r="N67" s="625">
        <f>+VLOOKUP(N5,'צריכה בתאגיד מרחבי'!$B$8:$M$114,6,0)</f>
        <v>49599.804999999993</v>
      </c>
      <c r="O67" s="625">
        <f>+VLOOKUP(O5,'צריכה בתאגיד מרחבי'!$B$8:$M$114,6,0)</f>
        <v>43790.065000000002</v>
      </c>
      <c r="P67" s="625">
        <f>+VLOOKUP(P5,'צריכה בתאגיד מרחבי'!$B$8:$M$114,6,0)</f>
        <v>19864.632000000001</v>
      </c>
      <c r="Q67" s="625">
        <f>+VLOOKUP(Q5,'צריכה בתאגיד מרחבי'!$B$8:$M$114,6,0)</f>
        <v>46056.917999999998</v>
      </c>
      <c r="R67" s="625">
        <f>+VLOOKUP(R5,'צריכה בתאגיד מרחבי'!$B$8:$M$114,6,0)</f>
        <v>43790.065000000002</v>
      </c>
      <c r="S67" s="625">
        <f>+VLOOKUP(S5,'צריכה בתאגיד מרחבי'!$B$8:$M$114,6,0)</f>
        <v>42529.130000000005</v>
      </c>
      <c r="T67" s="625">
        <f>+VLOOKUP(T5,'צריכה בתאגיד מרחבי'!$B$8:$M$114,6,0)</f>
        <v>52015.728000000003</v>
      </c>
      <c r="U67" s="625">
        <f>+VLOOKUP(U5,'צריכה בתאגיד מרחבי'!$B$8:$M$114,6,0)</f>
        <v>11081.690999999999</v>
      </c>
      <c r="V67" s="625">
        <f>+VLOOKUP(V5,'צריכה בתאגיד מרחבי'!$B$8:$M$114,6,0)</f>
        <v>19864.632000000001</v>
      </c>
      <c r="W67" s="625">
        <f>+VLOOKUP(W5,'צריכה בתאגיד מרחבי'!$B$8:$M$114,6,0)</f>
        <v>52015.728000000003</v>
      </c>
      <c r="X67" s="625">
        <f>+VLOOKUP(X5,'צריכה בתאגיד מרחבי'!$B$8:$M$114,6,0)</f>
        <v>52015.728000000003</v>
      </c>
      <c r="Y67" s="625">
        <f>+VLOOKUP(Y5,'צריכה בתאגיד מרחבי'!$B$8:$M$114,6,0)</f>
        <v>24802.501</v>
      </c>
      <c r="Z67" s="625">
        <f>+VLOOKUP(Z5,'צריכה בתאגיד מרחבי'!$B$8:$M$114,6,0)</f>
        <v>43120.015999999989</v>
      </c>
      <c r="AA67" s="625">
        <f>+VLOOKUP(AA5,'צריכה בתאגיד מרחבי'!$B$8:$M$114,6,0)</f>
        <v>38318.575999999994</v>
      </c>
      <c r="AB67" s="625">
        <f>+VLOOKUP(AB5,'צריכה בתאגיד מרחבי'!$B$8:$M$114,6,0)</f>
        <v>46056.917999999998</v>
      </c>
      <c r="AC67" s="625">
        <f>+VLOOKUP(AC5,'צריכה בתאגיד מרחבי'!$B$8:$M$114,6,0)</f>
        <v>38318.575999999994</v>
      </c>
      <c r="AD67" s="625">
        <f>+VLOOKUP(AD5,'צריכה בתאגיד מרחבי'!$B$8:$M$114,6,0)</f>
        <v>38318.575999999994</v>
      </c>
      <c r="AE67" s="625">
        <f>+VLOOKUP(AE5,'צריכה בתאגיד מרחבי'!$B$8:$M$114,6,0)</f>
        <v>43120.015999999989</v>
      </c>
      <c r="AF67" s="625">
        <f>+VLOOKUP(AF5,'צריכה בתאגיד מרחבי'!$B$8:$M$114,6,0)</f>
        <v>43015.555</v>
      </c>
      <c r="AG67" s="625">
        <f>+VLOOKUP(AG5,'צריכה בתאגיד מרחבי'!$B$8:$M$114,6,0)</f>
        <v>24802.501</v>
      </c>
      <c r="AH67" s="625">
        <f>+VLOOKUP(AH5,'צריכה בתאגיד מרחבי'!$B$8:$M$114,6,0)</f>
        <v>46056.917999999998</v>
      </c>
      <c r="AI67" s="625">
        <f>+VLOOKUP(AI5,'צריכה בתאגיד מרחבי'!$B$8:$M$114,6,0)</f>
        <v>42529.130000000005</v>
      </c>
      <c r="AJ67" s="625">
        <f>+VLOOKUP(AJ5,'צריכה בתאגיד מרחבי'!$B$8:$M$114,6,0)</f>
        <v>43120.015999999989</v>
      </c>
      <c r="AK67" s="625">
        <f>+VLOOKUP(AK5,'צריכה בתאגיד מרחבי'!$B$8:$M$114,6,0)</f>
        <v>43120.015999999989</v>
      </c>
      <c r="AL67" s="625">
        <f>+VLOOKUP(AL5,'צריכה בתאגיד מרחבי'!$B$8:$M$114,6,0)</f>
        <v>61899.043000000005</v>
      </c>
      <c r="AM67" s="625">
        <f>+VLOOKUP(AM5,'צריכה בתאגיד מרחבי'!$B$8:$M$114,6,0)</f>
        <v>49599.804999999993</v>
      </c>
      <c r="AN67" s="625">
        <f>+VLOOKUP(AN5,'צריכה בתאגיד מרחבי'!$B$8:$M$114,6,0)</f>
        <v>61899.043000000005</v>
      </c>
      <c r="AO67" s="625">
        <f>+VLOOKUP(AO5,'צריכה בתאגיד מרחבי'!$B$8:$M$114,6,0)</f>
        <v>61899.043000000005</v>
      </c>
      <c r="AP67" s="625">
        <f>+VLOOKUP(AP5,'צריכה בתאגיד מרחבי'!$B$8:$M$114,6,0)</f>
        <v>43790.065000000002</v>
      </c>
      <c r="AQ67" s="625">
        <f>+VLOOKUP(AQ5,'צריכה בתאגיד מרחבי'!$B$8:$M$114,6,0)</f>
        <v>42529.130000000005</v>
      </c>
      <c r="AR67" s="625">
        <f>+VLOOKUP(AR5,'צריכה בתאגיד מרחבי'!$B$8:$M$114,6,0)</f>
        <v>41661.173999999999</v>
      </c>
      <c r="AS67" s="625">
        <f>+VLOOKUP(AS5,'צריכה בתאגיד מרחבי'!$B$8:$M$114,6,0)</f>
        <v>43120.015999999989</v>
      </c>
      <c r="AT67" s="625">
        <f>+VLOOKUP(AT5,'צריכה בתאגיד מרחבי'!$B$8:$M$114,6,0)</f>
        <v>43120.015999999989</v>
      </c>
      <c r="AU67" s="625">
        <f>+VLOOKUP(AU5,'צריכה בתאגיד מרחבי'!$B$8:$M$114,6,0)</f>
        <v>38318.575999999994</v>
      </c>
      <c r="AV67" s="625">
        <f>+VLOOKUP(AV5,'צריכה בתאגיד מרחבי'!$B$8:$M$114,6,0)</f>
        <v>24802.501</v>
      </c>
      <c r="AW67" s="625">
        <f>+VLOOKUP(AW5,'צריכה בתאגיד מרחבי'!$B$8:$M$114,6,0)</f>
        <v>24802.501</v>
      </c>
      <c r="AX67" s="625">
        <f>+VLOOKUP(AX5,'צריכה בתאגיד מרחבי'!$B$8:$M$114,6,0)</f>
        <v>43015.555</v>
      </c>
      <c r="AY67" s="625">
        <f>+VLOOKUP(AY5,'צריכה בתאגיד מרחבי'!$B$8:$M$114,6,0)</f>
        <v>46056.917999999998</v>
      </c>
      <c r="AZ67" s="625">
        <f>+VLOOKUP(AZ5,'צריכה בתאגיד מרחבי'!$B$8:$M$114,6,0)</f>
        <v>41661.173999999999</v>
      </c>
      <c r="BA67" s="625">
        <f>+VLOOKUP(BA5,'צריכה בתאגיד מרחבי'!$B$8:$M$114,6,0)</f>
        <v>52015.728000000003</v>
      </c>
      <c r="BB67" s="625">
        <f>+VLOOKUP(BB5,'צריכה בתאגיד מרחבי'!$B$8:$M$114,6,0)</f>
        <v>38318.575999999994</v>
      </c>
      <c r="BC67" s="625">
        <f>+VLOOKUP(BC5,'צריכה בתאגיד מרחבי'!$B$8:$M$114,6,0)</f>
        <v>46056.917999999998</v>
      </c>
      <c r="BD67" s="625">
        <f>+VLOOKUP(BD5,'צריכה בתאגיד מרחבי'!$B$8:$M$114,6,0)</f>
        <v>38318.575999999994</v>
      </c>
      <c r="BE67" s="625">
        <f>+VLOOKUP(BE5,'צריכה בתאגיד מרחבי'!$B$8:$M$114,6,0)</f>
        <v>42529.130000000005</v>
      </c>
      <c r="BF67" s="625">
        <f>+VLOOKUP(BF5,'צריכה בתאגיד מרחבי'!$B$8:$M$114,6,0)</f>
        <v>43790.065000000002</v>
      </c>
    </row>
    <row r="68" spans="1:58" x14ac:dyDescent="0.2">
      <c r="A68" s="1816"/>
      <c r="B68" s="376" t="s">
        <v>1045</v>
      </c>
      <c r="C68" s="625">
        <v>40000</v>
      </c>
      <c r="D68" s="625">
        <v>40000</v>
      </c>
      <c r="E68" s="625">
        <v>40000</v>
      </c>
      <c r="F68" s="625">
        <v>40000</v>
      </c>
      <c r="G68" s="625">
        <v>40000</v>
      </c>
      <c r="H68" s="625">
        <v>40000</v>
      </c>
      <c r="I68" s="625">
        <v>40000</v>
      </c>
      <c r="J68" s="625">
        <v>40000</v>
      </c>
      <c r="K68" s="625">
        <v>40000</v>
      </c>
      <c r="L68" s="625">
        <v>40000</v>
      </c>
      <c r="M68" s="625">
        <v>40000</v>
      </c>
      <c r="N68" s="625">
        <v>40000</v>
      </c>
      <c r="O68" s="625">
        <v>40000</v>
      </c>
      <c r="P68" s="625">
        <v>40000</v>
      </c>
      <c r="Q68" s="625">
        <v>40000</v>
      </c>
      <c r="R68" s="625">
        <v>40000</v>
      </c>
      <c r="S68" s="625">
        <v>40000</v>
      </c>
      <c r="T68" s="625">
        <v>40000</v>
      </c>
      <c r="U68" s="625">
        <v>40000</v>
      </c>
      <c r="V68" s="625">
        <v>40000</v>
      </c>
      <c r="W68" s="625">
        <v>40000</v>
      </c>
      <c r="X68" s="625">
        <v>40000</v>
      </c>
      <c r="Y68" s="625">
        <v>40000</v>
      </c>
      <c r="Z68" s="625">
        <v>40000</v>
      </c>
      <c r="AA68" s="625">
        <v>40000</v>
      </c>
      <c r="AB68" s="625">
        <v>40000</v>
      </c>
      <c r="AC68" s="625">
        <v>40000</v>
      </c>
      <c r="AD68" s="625">
        <v>40000</v>
      </c>
      <c r="AE68" s="625">
        <v>40000</v>
      </c>
      <c r="AF68" s="625">
        <v>40000</v>
      </c>
      <c r="AG68" s="625">
        <v>40000</v>
      </c>
      <c r="AH68" s="625">
        <v>40000</v>
      </c>
      <c r="AI68" s="625">
        <v>40000</v>
      </c>
      <c r="AJ68" s="625">
        <v>40000</v>
      </c>
      <c r="AK68" s="625">
        <v>40000</v>
      </c>
      <c r="AL68" s="625">
        <v>40000</v>
      </c>
      <c r="AM68" s="625">
        <v>40000</v>
      </c>
      <c r="AN68" s="625">
        <v>40000</v>
      </c>
      <c r="AO68" s="625">
        <v>40000</v>
      </c>
      <c r="AP68" s="625">
        <v>40000</v>
      </c>
      <c r="AQ68" s="625">
        <v>40000</v>
      </c>
      <c r="AR68" s="625">
        <v>40000</v>
      </c>
      <c r="AS68" s="625">
        <v>40000</v>
      </c>
      <c r="AT68" s="625">
        <v>40000</v>
      </c>
      <c r="AU68" s="625">
        <v>40000</v>
      </c>
      <c r="AV68" s="625">
        <v>40000</v>
      </c>
      <c r="AW68" s="625">
        <v>40000</v>
      </c>
      <c r="AX68" s="625">
        <v>40000</v>
      </c>
      <c r="AY68" s="625">
        <v>40000</v>
      </c>
      <c r="AZ68" s="625">
        <v>40000</v>
      </c>
      <c r="BA68" s="625">
        <v>40000</v>
      </c>
      <c r="BB68" s="625">
        <v>40000</v>
      </c>
      <c r="BC68" s="625">
        <v>40000</v>
      </c>
      <c r="BD68" s="625">
        <v>40000</v>
      </c>
      <c r="BE68" s="625">
        <v>40000</v>
      </c>
      <c r="BF68" s="625">
        <v>40000</v>
      </c>
    </row>
    <row r="69" spans="1:58" x14ac:dyDescent="0.2">
      <c r="A69" s="1816"/>
      <c r="B69" s="376" t="s">
        <v>194</v>
      </c>
      <c r="C69" s="625">
        <f>+C67-C68</f>
        <v>2529.1300000000047</v>
      </c>
      <c r="D69" s="625">
        <f t="shared" ref="D69:BE69" si="46">+D67-D68</f>
        <v>1661.1739999999991</v>
      </c>
      <c r="E69" s="625">
        <f t="shared" si="46"/>
        <v>-20135.367999999999</v>
      </c>
      <c r="F69" s="625">
        <f t="shared" si="46"/>
        <v>14562.883000000002</v>
      </c>
      <c r="G69" s="625">
        <f t="shared" si="46"/>
        <v>3015.5550000000003</v>
      </c>
      <c r="H69" s="625">
        <f t="shared" si="46"/>
        <v>-37995.512999999999</v>
      </c>
      <c r="I69" s="625">
        <f t="shared" si="46"/>
        <v>1661.1739999999991</v>
      </c>
      <c r="J69" s="625">
        <f t="shared" si="46"/>
        <v>9599.804999999993</v>
      </c>
      <c r="K69" s="625">
        <f t="shared" si="46"/>
        <v>12015.728000000003</v>
      </c>
      <c r="L69" s="625">
        <f t="shared" si="46"/>
        <v>1661.1739999999991</v>
      </c>
      <c r="M69" s="625">
        <f t="shared" si="46"/>
        <v>9599.804999999993</v>
      </c>
      <c r="N69" s="625">
        <f t="shared" si="46"/>
        <v>9599.804999999993</v>
      </c>
      <c r="O69" s="625">
        <f t="shared" si="46"/>
        <v>3790.0650000000023</v>
      </c>
      <c r="P69" s="625">
        <f t="shared" si="46"/>
        <v>-20135.367999999999</v>
      </c>
      <c r="Q69" s="625">
        <f t="shared" si="46"/>
        <v>6056.9179999999978</v>
      </c>
      <c r="R69" s="625">
        <f t="shared" si="46"/>
        <v>3790.0650000000023</v>
      </c>
      <c r="S69" s="625">
        <f t="shared" si="46"/>
        <v>2529.1300000000047</v>
      </c>
      <c r="T69" s="625">
        <f t="shared" si="46"/>
        <v>12015.728000000003</v>
      </c>
      <c r="U69" s="625">
        <f t="shared" si="46"/>
        <v>-28918.309000000001</v>
      </c>
      <c r="V69" s="625">
        <f t="shared" si="46"/>
        <v>-20135.367999999999</v>
      </c>
      <c r="W69" s="625">
        <f t="shared" si="46"/>
        <v>12015.728000000003</v>
      </c>
      <c r="X69" s="625">
        <f t="shared" si="46"/>
        <v>12015.728000000003</v>
      </c>
      <c r="Y69" s="625">
        <f t="shared" si="46"/>
        <v>-15197.499</v>
      </c>
      <c r="Z69" s="625">
        <f t="shared" si="46"/>
        <v>3120.0159999999887</v>
      </c>
      <c r="AA69" s="625">
        <f t="shared" si="46"/>
        <v>-1681.4240000000063</v>
      </c>
      <c r="AB69" s="625">
        <f t="shared" si="46"/>
        <v>6056.9179999999978</v>
      </c>
      <c r="AC69" s="625">
        <f t="shared" si="46"/>
        <v>-1681.4240000000063</v>
      </c>
      <c r="AD69" s="625">
        <f t="shared" si="46"/>
        <v>-1681.4240000000063</v>
      </c>
      <c r="AE69" s="625">
        <f t="shared" si="46"/>
        <v>3120.0159999999887</v>
      </c>
      <c r="AF69" s="625">
        <f t="shared" si="46"/>
        <v>3015.5550000000003</v>
      </c>
      <c r="AG69" s="625">
        <f t="shared" si="46"/>
        <v>-15197.499</v>
      </c>
      <c r="AH69" s="625">
        <f t="shared" si="46"/>
        <v>6056.9179999999978</v>
      </c>
      <c r="AI69" s="625">
        <f t="shared" si="46"/>
        <v>2529.1300000000047</v>
      </c>
      <c r="AJ69" s="625">
        <f t="shared" si="46"/>
        <v>3120.0159999999887</v>
      </c>
      <c r="AK69" s="625">
        <f t="shared" si="46"/>
        <v>3120.0159999999887</v>
      </c>
      <c r="AL69" s="625">
        <f t="shared" si="46"/>
        <v>21899.043000000005</v>
      </c>
      <c r="AM69" s="625">
        <f t="shared" si="46"/>
        <v>9599.804999999993</v>
      </c>
      <c r="AN69" s="625">
        <f t="shared" si="46"/>
        <v>21899.043000000005</v>
      </c>
      <c r="AO69" s="625">
        <f t="shared" si="46"/>
        <v>21899.043000000005</v>
      </c>
      <c r="AP69" s="625">
        <f t="shared" si="46"/>
        <v>3790.0650000000023</v>
      </c>
      <c r="AQ69" s="625">
        <f t="shared" si="46"/>
        <v>2529.1300000000047</v>
      </c>
      <c r="AR69" s="625">
        <f t="shared" si="46"/>
        <v>1661.1739999999991</v>
      </c>
      <c r="AS69" s="625">
        <f t="shared" si="46"/>
        <v>3120.0159999999887</v>
      </c>
      <c r="AT69" s="625">
        <f t="shared" si="46"/>
        <v>3120.0159999999887</v>
      </c>
      <c r="AU69" s="625">
        <f t="shared" si="46"/>
        <v>-1681.4240000000063</v>
      </c>
      <c r="AV69" s="625">
        <f t="shared" si="46"/>
        <v>-15197.499</v>
      </c>
      <c r="AW69" s="625">
        <f t="shared" si="46"/>
        <v>-15197.499</v>
      </c>
      <c r="AX69" s="625">
        <f t="shared" si="46"/>
        <v>3015.5550000000003</v>
      </c>
      <c r="AY69" s="625">
        <f t="shared" si="46"/>
        <v>6056.9179999999978</v>
      </c>
      <c r="AZ69" s="625">
        <f t="shared" si="46"/>
        <v>1661.1739999999991</v>
      </c>
      <c r="BA69" s="625">
        <f t="shared" si="46"/>
        <v>12015.728000000003</v>
      </c>
      <c r="BB69" s="625">
        <f t="shared" si="46"/>
        <v>-1681.4240000000063</v>
      </c>
      <c r="BC69" s="625">
        <f t="shared" si="46"/>
        <v>6056.9179999999978</v>
      </c>
      <c r="BD69" s="625">
        <f t="shared" si="46"/>
        <v>-1681.4240000000063</v>
      </c>
      <c r="BE69" s="625">
        <f t="shared" si="46"/>
        <v>2529.1300000000047</v>
      </c>
      <c r="BF69" s="625">
        <f t="shared" ref="BF69" si="47">+BF67-BF68</f>
        <v>3790.0650000000023</v>
      </c>
    </row>
    <row r="70" spans="1:58" x14ac:dyDescent="0.2">
      <c r="A70" s="1816"/>
      <c r="B70" s="376" t="s">
        <v>1046</v>
      </c>
      <c r="C70" s="628">
        <f>+IF(C67&gt;C68,'הנחות עבודה'!$D$58,'הנחות עבודה'!$D$57)</f>
        <v>0.66666666666666663</v>
      </c>
      <c r="D70" s="628">
        <f>+IF(D67&gt;D68,'הנחות עבודה'!$D$58,'הנחות עבודה'!$D$57)</f>
        <v>0.66666666666666663</v>
      </c>
      <c r="E70" s="628">
        <f>+IF(E67&gt;E68,'הנחות עבודה'!$D$58,'הנחות עבודה'!$D$57)</f>
        <v>0.19999999999999998</v>
      </c>
      <c r="F70" s="628">
        <f>+IF(F67&gt;F68,'הנחות עבודה'!$D$58,'הנחות עבודה'!$D$57)</f>
        <v>0.66666666666666663</v>
      </c>
      <c r="G70" s="628">
        <f>+IF(G67&gt;G68,'הנחות עבודה'!$D$58,'הנחות עבודה'!$D$57)</f>
        <v>0.66666666666666663</v>
      </c>
      <c r="H70" s="628">
        <f>+IF(H67&gt;H68,'הנחות עבודה'!$D$58,'הנחות עבודה'!$D$57)</f>
        <v>0.19999999999999998</v>
      </c>
      <c r="I70" s="628">
        <f>+IF(I67&gt;I68,'הנחות עבודה'!$D$58,'הנחות עבודה'!$D$57)</f>
        <v>0.66666666666666663</v>
      </c>
      <c r="J70" s="628">
        <f>+IF(J67&gt;J68,'הנחות עבודה'!$D$58,'הנחות עבודה'!$D$57)</f>
        <v>0.66666666666666663</v>
      </c>
      <c r="K70" s="628">
        <f>+IF(K67&gt;K68,'הנחות עבודה'!$D$58,'הנחות עבודה'!$D$57)</f>
        <v>0.66666666666666663</v>
      </c>
      <c r="L70" s="628">
        <f>+IF(L67&gt;L68,'הנחות עבודה'!$D$58,'הנחות עבודה'!$D$57)</f>
        <v>0.66666666666666663</v>
      </c>
      <c r="M70" s="628">
        <f>+IF(M67&gt;M68,'הנחות עבודה'!$D$58,'הנחות עבודה'!$D$57)</f>
        <v>0.66666666666666663</v>
      </c>
      <c r="N70" s="628">
        <f>+IF(N67&gt;N68,'הנחות עבודה'!$D$58,'הנחות עבודה'!$D$57)</f>
        <v>0.66666666666666663</v>
      </c>
      <c r="O70" s="628">
        <f>+IF(O67&gt;O68,'הנחות עבודה'!$D$58,'הנחות עבודה'!$D$57)</f>
        <v>0.66666666666666663</v>
      </c>
      <c r="P70" s="628">
        <f>+IF(P67&gt;P68,'הנחות עבודה'!$D$58,'הנחות עבודה'!$D$57)</f>
        <v>0.19999999999999998</v>
      </c>
      <c r="Q70" s="628">
        <f>+IF(Q67&gt;Q68,'הנחות עבודה'!$D$58,'הנחות עבודה'!$D$57)</f>
        <v>0.66666666666666663</v>
      </c>
      <c r="R70" s="628">
        <f>+IF(R67&gt;R68,'הנחות עבודה'!$D$58,'הנחות עבודה'!$D$57)</f>
        <v>0.66666666666666663</v>
      </c>
      <c r="S70" s="628">
        <f>+IF(S67&gt;S68,'הנחות עבודה'!$D$58,'הנחות עבודה'!$D$57)</f>
        <v>0.66666666666666663</v>
      </c>
      <c r="T70" s="628">
        <f>+IF(T67&gt;T68,'הנחות עבודה'!$D$58,'הנחות עבודה'!$D$57)</f>
        <v>0.66666666666666663</v>
      </c>
      <c r="U70" s="628">
        <f>+IF(U67&gt;U68,'הנחות עבודה'!$D$58,'הנחות עבודה'!$D$57)</f>
        <v>0.19999999999999998</v>
      </c>
      <c r="V70" s="628">
        <f>+IF(V67&gt;V68,'הנחות עבודה'!$D$58,'הנחות עבודה'!$D$57)</f>
        <v>0.19999999999999998</v>
      </c>
      <c r="W70" s="628">
        <f>+IF(W67&gt;W68,'הנחות עבודה'!$D$58,'הנחות עבודה'!$D$57)</f>
        <v>0.66666666666666663</v>
      </c>
      <c r="X70" s="628">
        <f>+IF(X67&gt;X68,'הנחות עבודה'!$D$58,'הנחות עבודה'!$D$57)</f>
        <v>0.66666666666666663</v>
      </c>
      <c r="Y70" s="628">
        <f>+IF(Y67&gt;Y68,'הנחות עבודה'!$D$58,'הנחות עבודה'!$D$57)</f>
        <v>0.19999999999999998</v>
      </c>
      <c r="Z70" s="628">
        <f>+IF(Z67&gt;Z68,'הנחות עבודה'!$D$58,'הנחות עבודה'!$D$57)</f>
        <v>0.66666666666666663</v>
      </c>
      <c r="AA70" s="628">
        <f>+IF(AA67&gt;AA68,'הנחות עבודה'!$D$58,'הנחות עבודה'!$D$57)</f>
        <v>0.19999999999999998</v>
      </c>
      <c r="AB70" s="628">
        <f>+IF(AB67&gt;AB68,'הנחות עבודה'!$D$58,'הנחות עבודה'!$D$57)</f>
        <v>0.66666666666666663</v>
      </c>
      <c r="AC70" s="628">
        <f>+IF(AC67&gt;AC68,'הנחות עבודה'!$D$58,'הנחות עבודה'!$D$57)</f>
        <v>0.19999999999999998</v>
      </c>
      <c r="AD70" s="628">
        <f>+IF(AD67&gt;AD68,'הנחות עבודה'!$D$58,'הנחות עבודה'!$D$57)</f>
        <v>0.19999999999999998</v>
      </c>
      <c r="AE70" s="628">
        <f>+IF(AE67&gt;AE68,'הנחות עבודה'!$D$58,'הנחות עבודה'!$D$57)</f>
        <v>0.66666666666666663</v>
      </c>
      <c r="AF70" s="628">
        <f>+IF(AF67&gt;AF68,'הנחות עבודה'!$D$58,'הנחות עבודה'!$D$57)</f>
        <v>0.66666666666666663</v>
      </c>
      <c r="AG70" s="628">
        <f>+IF(AG67&gt;AG68,'הנחות עבודה'!$D$58,'הנחות עבודה'!$D$57)</f>
        <v>0.19999999999999998</v>
      </c>
      <c r="AH70" s="628">
        <f>+IF(AH67&gt;AH68,'הנחות עבודה'!$D$58,'הנחות עבודה'!$D$57)</f>
        <v>0.66666666666666663</v>
      </c>
      <c r="AI70" s="628">
        <f>+IF(AI67&gt;AI68,'הנחות עבודה'!$D$58,'הנחות עבודה'!$D$57)</f>
        <v>0.66666666666666663</v>
      </c>
      <c r="AJ70" s="628">
        <f>+IF(AJ67&gt;AJ68,'הנחות עבודה'!$D$58,'הנחות עבודה'!$D$57)</f>
        <v>0.66666666666666663</v>
      </c>
      <c r="AK70" s="628">
        <f>+IF(AK67&gt;AK68,'הנחות עבודה'!$D$58,'הנחות עבודה'!$D$57)</f>
        <v>0.66666666666666663</v>
      </c>
      <c r="AL70" s="628">
        <f>+IF(AL67&gt;AL68,'הנחות עבודה'!$D$58,'הנחות עבודה'!$D$57)</f>
        <v>0.66666666666666663</v>
      </c>
      <c r="AM70" s="628">
        <f>+IF(AM67&gt;AM68,'הנחות עבודה'!$D$58,'הנחות עבודה'!$D$57)</f>
        <v>0.66666666666666663</v>
      </c>
      <c r="AN70" s="628">
        <f>+IF(AN67&gt;AN68,'הנחות עבודה'!$D$58,'הנחות עבודה'!$D$57)</f>
        <v>0.66666666666666663</v>
      </c>
      <c r="AO70" s="628">
        <f>+IF(AO67&gt;AO68,'הנחות עבודה'!$D$58,'הנחות עבודה'!$D$57)</f>
        <v>0.66666666666666663</v>
      </c>
      <c r="AP70" s="628">
        <f>+IF(AP67&gt;AP68,'הנחות עבודה'!$D$58,'הנחות עבודה'!$D$57)</f>
        <v>0.66666666666666663</v>
      </c>
      <c r="AQ70" s="628">
        <f>+IF(AQ67&gt;AQ68,'הנחות עבודה'!$D$58,'הנחות עבודה'!$D$57)</f>
        <v>0.66666666666666663</v>
      </c>
      <c r="AR70" s="628">
        <f>+IF(AR67&gt;AR68,'הנחות עבודה'!$D$58,'הנחות עבודה'!$D$57)</f>
        <v>0.66666666666666663</v>
      </c>
      <c r="AS70" s="628">
        <f>+IF(AS67&gt;AS68,'הנחות עבודה'!$D$58,'הנחות עבודה'!$D$57)</f>
        <v>0.66666666666666663</v>
      </c>
      <c r="AT70" s="628">
        <f>+IF(AT67&gt;AT68,'הנחות עבודה'!$D$58,'הנחות עבודה'!$D$57)</f>
        <v>0.66666666666666663</v>
      </c>
      <c r="AU70" s="628">
        <f>+IF(AU67&gt;AU68,'הנחות עבודה'!$D$58,'הנחות עבודה'!$D$57)</f>
        <v>0.19999999999999998</v>
      </c>
      <c r="AV70" s="628">
        <f>+IF(AV67&gt;AV68,'הנחות עבודה'!$D$58,'הנחות עבודה'!$D$57)</f>
        <v>0.19999999999999998</v>
      </c>
      <c r="AW70" s="628">
        <f>+IF(AW67&gt;AW68,'הנחות עבודה'!$D$58,'הנחות עבודה'!$D$57)</f>
        <v>0.19999999999999998</v>
      </c>
      <c r="AX70" s="628">
        <f>+IF(AX67&gt;AX68,'הנחות עבודה'!$D$58,'הנחות עבודה'!$D$57)</f>
        <v>0.66666666666666663</v>
      </c>
      <c r="AY70" s="628">
        <f>+IF(AY67&gt;AY68,'הנחות עבודה'!$D$58,'הנחות עבודה'!$D$57)</f>
        <v>0.66666666666666663</v>
      </c>
      <c r="AZ70" s="628">
        <f>+IF(AZ67&gt;AZ68,'הנחות עבודה'!$D$58,'הנחות עבודה'!$D$57)</f>
        <v>0.66666666666666663</v>
      </c>
      <c r="BA70" s="628">
        <f>+IF(BA67&gt;BA68,'הנחות עבודה'!$D$58,'הנחות עבודה'!$D$57)</f>
        <v>0.66666666666666663</v>
      </c>
      <c r="BB70" s="628">
        <f>+IF(BB67&gt;BB68,'הנחות עבודה'!$D$58,'הנחות עבודה'!$D$57)</f>
        <v>0.19999999999999998</v>
      </c>
      <c r="BC70" s="628">
        <f>+IF(BC67&gt;BC68,'הנחות עבודה'!$D$58,'הנחות עבודה'!$D$57)</f>
        <v>0.66666666666666663</v>
      </c>
      <c r="BD70" s="628">
        <f>+IF(BD67&gt;BD68,'הנחות עבודה'!$D$58,'הנחות עבודה'!$D$57)</f>
        <v>0.19999999999999998</v>
      </c>
      <c r="BE70" s="628">
        <f>+IF(BE67&gt;BE68,'הנחות עבודה'!$D$58,'הנחות עבודה'!$D$57)</f>
        <v>0.66666666666666663</v>
      </c>
      <c r="BF70" s="628">
        <f>+IF(BF67&gt;BF68,'הנחות עבודה'!$D$58,'הנחות עבודה'!$D$57)</f>
        <v>0.66666666666666663</v>
      </c>
    </row>
    <row r="71" spans="1:58" x14ac:dyDescent="0.2">
      <c r="A71" s="1816"/>
      <c r="B71" s="376" t="s">
        <v>1047</v>
      </c>
      <c r="C71" s="627">
        <f>+C69/C68*C70+1</f>
        <v>1.0421521666666667</v>
      </c>
      <c r="D71" s="627">
        <f t="shared" ref="D71:BE71" si="48">+D69/D68*D70+1</f>
        <v>1.0276862333333334</v>
      </c>
      <c r="E71" s="627">
        <f t="shared" si="48"/>
        <v>0.89932316000000001</v>
      </c>
      <c r="F71" s="627">
        <f>+F69/F68*F70+1</f>
        <v>1.2427147166666668</v>
      </c>
      <c r="G71" s="627">
        <f t="shared" si="48"/>
        <v>1.0502592500000001</v>
      </c>
      <c r="H71" s="768">
        <v>0.3</v>
      </c>
      <c r="I71" s="627">
        <f t="shared" si="48"/>
        <v>1.0276862333333334</v>
      </c>
      <c r="J71" s="627">
        <f t="shared" si="48"/>
        <v>1.1599967499999999</v>
      </c>
      <c r="K71" s="627">
        <f t="shared" si="48"/>
        <v>1.2002621333333334</v>
      </c>
      <c r="L71" s="627">
        <f t="shared" si="48"/>
        <v>1.0276862333333334</v>
      </c>
      <c r="M71" s="627">
        <f t="shared" si="48"/>
        <v>1.1599967499999999</v>
      </c>
      <c r="N71" s="627">
        <f t="shared" si="48"/>
        <v>1.1599967499999999</v>
      </c>
      <c r="O71" s="627">
        <f t="shared" si="48"/>
        <v>1.0631677500000001</v>
      </c>
      <c r="P71" s="627">
        <f t="shared" si="48"/>
        <v>0.89932316000000001</v>
      </c>
      <c r="Q71" s="627">
        <f t="shared" si="48"/>
        <v>1.1009486333333334</v>
      </c>
      <c r="R71" s="627">
        <f t="shared" si="48"/>
        <v>1.0631677500000001</v>
      </c>
      <c r="S71" s="627">
        <f t="shared" si="48"/>
        <v>1.0421521666666667</v>
      </c>
      <c r="T71" s="627">
        <f t="shared" si="48"/>
        <v>1.2002621333333334</v>
      </c>
      <c r="U71" s="768">
        <v>0.47</v>
      </c>
      <c r="V71" s="627">
        <f t="shared" si="48"/>
        <v>0.89932316000000001</v>
      </c>
      <c r="W71" s="627">
        <f t="shared" si="48"/>
        <v>1.2002621333333334</v>
      </c>
      <c r="X71" s="627">
        <f t="shared" si="48"/>
        <v>1.2002621333333334</v>
      </c>
      <c r="Y71" s="627">
        <f t="shared" si="48"/>
        <v>0.92401250499999998</v>
      </c>
      <c r="Z71" s="627">
        <f t="shared" si="48"/>
        <v>1.0520002666666666</v>
      </c>
      <c r="AA71" s="627">
        <f t="shared" si="48"/>
        <v>0.99159288000000001</v>
      </c>
      <c r="AB71" s="627">
        <f t="shared" si="48"/>
        <v>1.1009486333333334</v>
      </c>
      <c r="AC71" s="627">
        <f t="shared" si="48"/>
        <v>0.99159288000000001</v>
      </c>
      <c r="AD71" s="627">
        <f t="shared" si="48"/>
        <v>0.99159288000000001</v>
      </c>
      <c r="AE71" s="627">
        <f t="shared" si="48"/>
        <v>1.0520002666666666</v>
      </c>
      <c r="AF71" s="627">
        <f t="shared" si="48"/>
        <v>1.0502592500000001</v>
      </c>
      <c r="AG71" s="627">
        <f t="shared" si="48"/>
        <v>0.92401250499999998</v>
      </c>
      <c r="AH71" s="627">
        <f t="shared" si="48"/>
        <v>1.1009486333333334</v>
      </c>
      <c r="AI71" s="627">
        <f t="shared" si="48"/>
        <v>1.0421521666666667</v>
      </c>
      <c r="AJ71" s="627">
        <f t="shared" si="48"/>
        <v>1.0520002666666666</v>
      </c>
      <c r="AK71" s="627">
        <f t="shared" si="48"/>
        <v>1.0520002666666666</v>
      </c>
      <c r="AL71" s="627">
        <f t="shared" si="48"/>
        <v>1.3649840500000001</v>
      </c>
      <c r="AM71" s="627">
        <f t="shared" si="48"/>
        <v>1.1599967499999999</v>
      </c>
      <c r="AN71" s="627">
        <f t="shared" si="48"/>
        <v>1.3649840500000001</v>
      </c>
      <c r="AO71" s="627">
        <f t="shared" si="48"/>
        <v>1.3649840500000001</v>
      </c>
      <c r="AP71" s="627">
        <f t="shared" si="48"/>
        <v>1.0631677500000001</v>
      </c>
      <c r="AQ71" s="627">
        <f t="shared" si="48"/>
        <v>1.0421521666666667</v>
      </c>
      <c r="AR71" s="627">
        <f t="shared" si="48"/>
        <v>1.0276862333333334</v>
      </c>
      <c r="AS71" s="627">
        <f t="shared" si="48"/>
        <v>1.0520002666666666</v>
      </c>
      <c r="AT71" s="627">
        <f t="shared" si="48"/>
        <v>1.0520002666666666</v>
      </c>
      <c r="AU71" s="627">
        <f t="shared" si="48"/>
        <v>0.99159288000000001</v>
      </c>
      <c r="AV71" s="627">
        <f t="shared" si="48"/>
        <v>0.92401250499999998</v>
      </c>
      <c r="AW71" s="627">
        <f t="shared" si="48"/>
        <v>0.92401250499999998</v>
      </c>
      <c r="AX71" s="627">
        <f t="shared" si="48"/>
        <v>1.0502592500000001</v>
      </c>
      <c r="AY71" s="627">
        <f t="shared" si="48"/>
        <v>1.1009486333333334</v>
      </c>
      <c r="AZ71" s="627">
        <f t="shared" si="48"/>
        <v>1.0276862333333334</v>
      </c>
      <c r="BA71" s="627">
        <f t="shared" si="48"/>
        <v>1.2002621333333334</v>
      </c>
      <c r="BB71" s="627">
        <f t="shared" si="48"/>
        <v>0.99159288000000001</v>
      </c>
      <c r="BC71" s="627">
        <f t="shared" si="48"/>
        <v>1.1009486333333334</v>
      </c>
      <c r="BD71" s="627">
        <f t="shared" si="48"/>
        <v>0.99159288000000001</v>
      </c>
      <c r="BE71" s="627">
        <f t="shared" si="48"/>
        <v>1.0421521666666667</v>
      </c>
      <c r="BF71" s="627">
        <f t="shared" ref="BF71" si="49">+BF69/BF68*BF70+1</f>
        <v>1.0631677500000001</v>
      </c>
    </row>
    <row r="72" spans="1:58" x14ac:dyDescent="0.2">
      <c r="A72" s="1816"/>
      <c r="B72" s="376" t="s">
        <v>1048</v>
      </c>
      <c r="C72" s="625">
        <f>+'הנחות עבודה'!$D$105</f>
        <v>6281.6426666666666</v>
      </c>
      <c r="D72" s="625">
        <f>+'הנחות עבודה'!$D$105</f>
        <v>6281.6426666666666</v>
      </c>
      <c r="E72" s="625">
        <f>+'הנחות עבודה'!$D$105</f>
        <v>6281.6426666666666</v>
      </c>
      <c r="F72" s="625">
        <f>+'הנחות עבודה'!$D$105</f>
        <v>6281.6426666666666</v>
      </c>
      <c r="G72" s="625">
        <f>+'הנחות עבודה'!$D$105</f>
        <v>6281.6426666666666</v>
      </c>
      <c r="H72" s="625">
        <f>+'הנחות עבודה'!$D$105</f>
        <v>6281.6426666666666</v>
      </c>
      <c r="I72" s="625">
        <f>+'[19]הוצאות הנהלה תאגיד מרחבי'!$B$15</f>
        <v>6281.6426666666666</v>
      </c>
      <c r="J72" s="625">
        <f>+'[19]הוצאות הנהלה תאגיד מרחבי'!$B$15</f>
        <v>6281.6426666666666</v>
      </c>
      <c r="K72" s="625">
        <f>+'[19]הוצאות הנהלה תאגיד מרחבי'!$B$15</f>
        <v>6281.6426666666666</v>
      </c>
      <c r="L72" s="625">
        <f>+'[19]הוצאות הנהלה תאגיד מרחבי'!$B$15</f>
        <v>6281.6426666666666</v>
      </c>
      <c r="M72" s="625">
        <f>+'[19]הוצאות הנהלה תאגיד מרחבי'!$B$15</f>
        <v>6281.6426666666666</v>
      </c>
      <c r="N72" s="625">
        <f>+'[19]הוצאות הנהלה תאגיד מרחבי'!$B$15</f>
        <v>6281.6426666666666</v>
      </c>
      <c r="O72" s="625">
        <f>+'[19]הוצאות הנהלה תאגיד מרחבי'!$B$15</f>
        <v>6281.6426666666666</v>
      </c>
      <c r="P72" s="625">
        <f>+'[19]הוצאות הנהלה תאגיד מרחבי'!$B$15</f>
        <v>6281.6426666666666</v>
      </c>
      <c r="Q72" s="625">
        <f>+'[19]הוצאות הנהלה תאגיד מרחבי'!$B$15</f>
        <v>6281.6426666666666</v>
      </c>
      <c r="R72" s="625">
        <f>+'[19]הוצאות הנהלה תאגיד מרחבי'!$B$15</f>
        <v>6281.6426666666666</v>
      </c>
      <c r="S72" s="625">
        <f>+'[19]הוצאות הנהלה תאגיד מרחבי'!$B$15</f>
        <v>6281.6426666666666</v>
      </c>
      <c r="T72" s="625">
        <f>+'[19]הוצאות הנהלה תאגיד מרחבי'!$B$15</f>
        <v>6281.6426666666666</v>
      </c>
      <c r="U72" s="625">
        <f>+'[19]הוצאות הנהלה תאגיד מרחבי'!$B$15</f>
        <v>6281.6426666666666</v>
      </c>
      <c r="V72" s="625">
        <f>+'[19]הוצאות הנהלה תאגיד מרחבי'!$B$15</f>
        <v>6281.6426666666666</v>
      </c>
      <c r="W72" s="625">
        <f>+'[19]הוצאות הנהלה תאגיד מרחבי'!$B$15</f>
        <v>6281.6426666666666</v>
      </c>
      <c r="X72" s="625">
        <f>+'[19]הוצאות הנהלה תאגיד מרחבי'!$B$15</f>
        <v>6281.6426666666666</v>
      </c>
      <c r="Y72" s="625">
        <f>+'[19]הוצאות הנהלה תאגיד מרחבי'!$B$15</f>
        <v>6281.6426666666666</v>
      </c>
      <c r="Z72" s="625">
        <f>+'[19]הוצאות הנהלה תאגיד מרחבי'!$B$15</f>
        <v>6281.6426666666666</v>
      </c>
      <c r="AA72" s="625">
        <f>+'[19]הוצאות הנהלה תאגיד מרחבי'!$B$15</f>
        <v>6281.6426666666666</v>
      </c>
      <c r="AB72" s="625">
        <f>+'[19]הוצאות הנהלה תאגיד מרחבי'!$B$15</f>
        <v>6281.6426666666666</v>
      </c>
      <c r="AC72" s="625">
        <f>+'[19]הוצאות הנהלה תאגיד מרחבי'!$B$15</f>
        <v>6281.6426666666666</v>
      </c>
      <c r="AD72" s="625">
        <f>+'[19]הוצאות הנהלה תאגיד מרחבי'!$B$15</f>
        <v>6281.6426666666666</v>
      </c>
      <c r="AE72" s="625">
        <f>+'[19]הוצאות הנהלה תאגיד מרחבי'!$B$15</f>
        <v>6281.6426666666666</v>
      </c>
      <c r="AF72" s="625">
        <f>+'[19]הוצאות הנהלה תאגיד מרחבי'!$B$15</f>
        <v>6281.6426666666666</v>
      </c>
      <c r="AG72" s="625">
        <f>+'[19]הוצאות הנהלה תאגיד מרחבי'!$B$15</f>
        <v>6281.6426666666666</v>
      </c>
      <c r="AH72" s="625">
        <f>+'[19]הוצאות הנהלה תאגיד מרחבי'!$B$15</f>
        <v>6281.6426666666666</v>
      </c>
      <c r="AI72" s="625">
        <f>+'[19]הוצאות הנהלה תאגיד מרחבי'!$B$15</f>
        <v>6281.6426666666666</v>
      </c>
      <c r="AJ72" s="625">
        <f>+'[19]הוצאות הנהלה תאגיד מרחבי'!$B$15</f>
        <v>6281.6426666666666</v>
      </c>
      <c r="AK72" s="625">
        <f>+'[19]הוצאות הנהלה תאגיד מרחבי'!$B$15</f>
        <v>6281.6426666666666</v>
      </c>
      <c r="AL72" s="625">
        <f>+'[19]הוצאות הנהלה תאגיד מרחבי'!$B$15</f>
        <v>6281.6426666666666</v>
      </c>
      <c r="AM72" s="625">
        <f>+'[19]הוצאות הנהלה תאגיד מרחבי'!$B$15</f>
        <v>6281.6426666666666</v>
      </c>
      <c r="AN72" s="625">
        <f>+'[19]הוצאות הנהלה תאגיד מרחבי'!$B$15</f>
        <v>6281.6426666666666</v>
      </c>
      <c r="AO72" s="625">
        <f>+'[19]הוצאות הנהלה תאגיד מרחבי'!$B$15</f>
        <v>6281.6426666666666</v>
      </c>
      <c r="AP72" s="625">
        <f>+'[19]הוצאות הנהלה תאגיד מרחבי'!$B$15</f>
        <v>6281.6426666666666</v>
      </c>
      <c r="AQ72" s="625">
        <f>+'[19]הוצאות הנהלה תאגיד מרחבי'!$B$15</f>
        <v>6281.6426666666666</v>
      </c>
      <c r="AR72" s="625">
        <f>+'[19]הוצאות הנהלה תאגיד מרחבי'!$B$15</f>
        <v>6281.6426666666666</v>
      </c>
      <c r="AS72" s="625">
        <f>+'[19]הוצאות הנהלה תאגיד מרחבי'!$B$15</f>
        <v>6281.6426666666666</v>
      </c>
      <c r="AT72" s="625">
        <f>+'[19]הוצאות הנהלה תאגיד מרחבי'!$B$15</f>
        <v>6281.6426666666666</v>
      </c>
      <c r="AU72" s="625">
        <f>+'[19]הוצאות הנהלה תאגיד מרחבי'!$B$15</f>
        <v>6281.6426666666666</v>
      </c>
      <c r="AV72" s="625">
        <f>+'[19]הוצאות הנהלה תאגיד מרחבי'!$B$15</f>
        <v>6281.6426666666666</v>
      </c>
      <c r="AW72" s="625">
        <f>+'[19]הוצאות הנהלה תאגיד מרחבי'!$B$15</f>
        <v>6281.6426666666666</v>
      </c>
      <c r="AX72" s="625">
        <f>+'[19]הוצאות הנהלה תאגיד מרחבי'!$B$15</f>
        <v>6281.6426666666666</v>
      </c>
      <c r="AY72" s="625">
        <f>+'[19]הוצאות הנהלה תאגיד מרחבי'!$B$15</f>
        <v>6281.6426666666666</v>
      </c>
      <c r="AZ72" s="625">
        <f>+'[19]הוצאות הנהלה תאגיד מרחבי'!$B$15</f>
        <v>6281.6426666666666</v>
      </c>
      <c r="BA72" s="625">
        <f>+'[19]הוצאות הנהלה תאגיד מרחבי'!$B$15</f>
        <v>6281.6426666666666</v>
      </c>
      <c r="BB72" s="625">
        <f>+'[19]הוצאות הנהלה תאגיד מרחבי'!$B$15</f>
        <v>6281.6426666666666</v>
      </c>
      <c r="BC72" s="625">
        <f>+'[19]הוצאות הנהלה תאגיד מרחבי'!$B$15</f>
        <v>6281.6426666666666</v>
      </c>
      <c r="BD72" s="625">
        <f>+'[19]הוצאות הנהלה תאגיד מרחבי'!$B$15</f>
        <v>6281.6426666666666</v>
      </c>
      <c r="BE72" s="625">
        <f>+'[19]הוצאות הנהלה תאגיד מרחבי'!$B$15</f>
        <v>6281.6426666666666</v>
      </c>
      <c r="BF72" s="625">
        <f>+'[19]הוצאות הנהלה תאגיד מרחבי'!$B$15</f>
        <v>6281.6426666666666</v>
      </c>
    </row>
    <row r="73" spans="1:58" x14ac:dyDescent="0.2">
      <c r="A73" s="1817"/>
      <c r="B73" s="376" t="s">
        <v>1049</v>
      </c>
      <c r="C73" s="627">
        <f>+C71*C72/C67</f>
        <v>0.15392808447509845</v>
      </c>
      <c r="D73" s="627">
        <f t="shared" ref="D73:BE73" si="50">+D71*D72/D67</f>
        <v>0.15495381122127339</v>
      </c>
      <c r="E73" s="627">
        <f t="shared" si="50"/>
        <v>0.28438617604280275</v>
      </c>
      <c r="F73" s="627">
        <f t="shared" si="50"/>
        <v>0.1430695989196156</v>
      </c>
      <c r="G73" s="627">
        <f t="shared" si="50"/>
        <v>0.15337134010851036</v>
      </c>
      <c r="H73" s="627">
        <f t="shared" si="50"/>
        <v>0.94013720218689367</v>
      </c>
      <c r="I73" s="627">
        <f t="shared" si="50"/>
        <v>0.15495381122127339</v>
      </c>
      <c r="J73" s="627">
        <f t="shared" si="50"/>
        <v>0.14690955091445757</v>
      </c>
      <c r="K73" s="627">
        <f t="shared" si="50"/>
        <v>0.14494880909733729</v>
      </c>
      <c r="L73" s="627">
        <f t="shared" si="50"/>
        <v>0.15495381122127339</v>
      </c>
      <c r="M73" s="627">
        <f t="shared" si="50"/>
        <v>0.14690955091445757</v>
      </c>
      <c r="N73" s="627">
        <f t="shared" si="50"/>
        <v>0.14690955091445757</v>
      </c>
      <c r="O73" s="627">
        <f t="shared" si="50"/>
        <v>0.15251039020435345</v>
      </c>
      <c r="P73" s="627">
        <f t="shared" si="50"/>
        <v>0.28438617604280275</v>
      </c>
      <c r="Q73" s="627">
        <f t="shared" si="50"/>
        <v>0.15015694078694156</v>
      </c>
      <c r="R73" s="627">
        <f t="shared" si="50"/>
        <v>0.15251039020435345</v>
      </c>
      <c r="S73" s="627">
        <f t="shared" si="50"/>
        <v>0.15392808447509845</v>
      </c>
      <c r="T73" s="627">
        <f t="shared" si="50"/>
        <v>0.14494880909733729</v>
      </c>
      <c r="U73" s="627">
        <f t="shared" si="50"/>
        <v>0.26641891145794749</v>
      </c>
      <c r="V73" s="627">
        <f t="shared" si="50"/>
        <v>0.28438617604280275</v>
      </c>
      <c r="W73" s="627">
        <f t="shared" si="50"/>
        <v>0.14494880909733729</v>
      </c>
      <c r="X73" s="627">
        <f t="shared" si="50"/>
        <v>0.14494880909733729</v>
      </c>
      <c r="Y73" s="627">
        <f t="shared" si="50"/>
        <v>0.23402141485415306</v>
      </c>
      <c r="Z73" s="627">
        <f t="shared" si="50"/>
        <v>0.15325341624265737</v>
      </c>
      <c r="AA73" s="627">
        <f t="shared" si="50"/>
        <v>0.16255385228748798</v>
      </c>
      <c r="AB73" s="627">
        <f t="shared" si="50"/>
        <v>0.15015694078694156</v>
      </c>
      <c r="AC73" s="627">
        <f t="shared" si="50"/>
        <v>0.16255385228748798</v>
      </c>
      <c r="AD73" s="627">
        <f t="shared" si="50"/>
        <v>0.16255385228748798</v>
      </c>
      <c r="AE73" s="627">
        <f t="shared" si="50"/>
        <v>0.15325341624265737</v>
      </c>
      <c r="AF73" s="627">
        <f t="shared" si="50"/>
        <v>0.15337134010851036</v>
      </c>
      <c r="AG73" s="627">
        <f t="shared" si="50"/>
        <v>0.23402141485415306</v>
      </c>
      <c r="AH73" s="627">
        <f t="shared" si="50"/>
        <v>0.15015694078694156</v>
      </c>
      <c r="AI73" s="627">
        <f t="shared" si="50"/>
        <v>0.15392808447509845</v>
      </c>
      <c r="AJ73" s="627">
        <f t="shared" si="50"/>
        <v>0.15325341624265737</v>
      </c>
      <c r="AK73" s="627">
        <f t="shared" si="50"/>
        <v>0.15325341624265737</v>
      </c>
      <c r="AL73" s="627">
        <f t="shared" si="50"/>
        <v>0.13852139923713308</v>
      </c>
      <c r="AM73" s="627">
        <f t="shared" si="50"/>
        <v>0.14690955091445757</v>
      </c>
      <c r="AN73" s="627">
        <f t="shared" si="50"/>
        <v>0.13852139923713308</v>
      </c>
      <c r="AO73" s="627">
        <f t="shared" si="50"/>
        <v>0.13852139923713308</v>
      </c>
      <c r="AP73" s="627">
        <f t="shared" si="50"/>
        <v>0.15251039020435345</v>
      </c>
      <c r="AQ73" s="627">
        <f t="shared" si="50"/>
        <v>0.15392808447509845</v>
      </c>
      <c r="AR73" s="627">
        <f t="shared" si="50"/>
        <v>0.15495381122127339</v>
      </c>
      <c r="AS73" s="627">
        <f t="shared" si="50"/>
        <v>0.15325341624265737</v>
      </c>
      <c r="AT73" s="627">
        <f t="shared" si="50"/>
        <v>0.15325341624265737</v>
      </c>
      <c r="AU73" s="627">
        <f t="shared" si="50"/>
        <v>0.16255385228748798</v>
      </c>
      <c r="AV73" s="627">
        <f t="shared" si="50"/>
        <v>0.23402141485415306</v>
      </c>
      <c r="AW73" s="627">
        <f t="shared" si="50"/>
        <v>0.23402141485415306</v>
      </c>
      <c r="AX73" s="627">
        <f t="shared" si="50"/>
        <v>0.15337134010851036</v>
      </c>
      <c r="AY73" s="627">
        <f t="shared" si="50"/>
        <v>0.15015694078694156</v>
      </c>
      <c r="AZ73" s="627">
        <f t="shared" si="50"/>
        <v>0.15495381122127339</v>
      </c>
      <c r="BA73" s="627">
        <f t="shared" si="50"/>
        <v>0.14494880909733729</v>
      </c>
      <c r="BB73" s="627">
        <f t="shared" si="50"/>
        <v>0.16255385228748798</v>
      </c>
      <c r="BC73" s="627">
        <f t="shared" si="50"/>
        <v>0.15015694078694156</v>
      </c>
      <c r="BD73" s="627">
        <f t="shared" si="50"/>
        <v>0.16255385228748798</v>
      </c>
      <c r="BE73" s="627">
        <f t="shared" si="50"/>
        <v>0.15392808447509845</v>
      </c>
      <c r="BF73" s="627">
        <f t="shared" ref="BF73" si="51">+BF71*BF72/BF67</f>
        <v>0.15251039020435345</v>
      </c>
    </row>
    <row r="74" spans="1:58" x14ac:dyDescent="0.2">
      <c r="A74" s="765"/>
      <c r="B74" s="376"/>
      <c r="C74" s="628"/>
      <c r="D74" s="628"/>
      <c r="E74" s="628"/>
      <c r="F74" s="628"/>
      <c r="G74" s="628"/>
      <c r="H74" s="628"/>
      <c r="I74" s="628"/>
      <c r="J74" s="628"/>
      <c r="K74" s="628"/>
      <c r="L74" s="628"/>
      <c r="M74" s="628"/>
      <c r="N74" s="628"/>
      <c r="O74" s="628"/>
      <c r="P74" s="628"/>
      <c r="Q74" s="628"/>
      <c r="R74" s="628"/>
      <c r="S74" s="628"/>
      <c r="T74" s="628"/>
      <c r="U74" s="628"/>
      <c r="V74" s="628"/>
      <c r="W74" s="628"/>
      <c r="X74" s="628"/>
      <c r="Y74" s="628"/>
      <c r="Z74" s="628"/>
      <c r="AA74" s="628"/>
      <c r="AB74" s="628"/>
      <c r="AC74" s="628"/>
      <c r="AD74" s="628"/>
      <c r="AE74" s="628"/>
      <c r="AF74" s="628"/>
      <c r="AG74" s="628"/>
      <c r="AH74" s="628"/>
      <c r="AI74" s="628"/>
      <c r="AJ74" s="628"/>
      <c r="AK74" s="628"/>
      <c r="AL74" s="628"/>
      <c r="AM74" s="628"/>
      <c r="AN74" s="628"/>
      <c r="AO74" s="628"/>
      <c r="AP74" s="628"/>
      <c r="AQ74" s="628"/>
      <c r="AR74" s="628"/>
      <c r="AS74" s="628"/>
      <c r="AT74" s="628"/>
      <c r="AU74" s="628"/>
      <c r="AV74" s="628"/>
      <c r="AW74" s="628"/>
      <c r="AX74" s="628"/>
      <c r="AY74" s="628"/>
      <c r="AZ74" s="628"/>
      <c r="BA74" s="628"/>
      <c r="BB74" s="628"/>
      <c r="BC74" s="628"/>
      <c r="BD74" s="628"/>
      <c r="BE74" s="628"/>
      <c r="BF74" s="628"/>
    </row>
    <row r="75" spans="1:58" s="772" customFormat="1" x14ac:dyDescent="0.2">
      <c r="A75" s="769" t="s">
        <v>1050</v>
      </c>
      <c r="B75" s="770" t="s">
        <v>1051</v>
      </c>
      <c r="C75" s="771">
        <f>+VLOOKUP(C4,'כמויות מים 2014'!$C$6:$Z$215,22,0)</f>
        <v>1.932E-2</v>
      </c>
      <c r="D75" s="771">
        <f>+VLOOKUP(D4,'כמויות מים 2014'!$C$6:$Z$215,22,0)</f>
        <v>1.1162300446132449E-2</v>
      </c>
      <c r="E75" s="771">
        <f>+VLOOKUP(E4,'כמויות מים 2014'!$C$6:$Z$215,22,0)</f>
        <v>6.6559750896049248E-3</v>
      </c>
      <c r="F75" s="771">
        <f>+VLOOKUP(F4,'כמויות מים 2014'!$C$6:$Z$215,22,0)</f>
        <v>7.1050257622208023E-5</v>
      </c>
      <c r="G75" s="771">
        <f>+VLOOKUP(G4,'כמויות מים 2014'!$C$6:$Z$215,22,0)</f>
        <v>0</v>
      </c>
      <c r="H75" s="771">
        <f>+VLOOKUP(H4,'כמויות מים 2014'!$C$6:$Z$215,22,0)</f>
        <v>0</v>
      </c>
      <c r="I75" s="771">
        <f>+VLOOKUP(I4,'כמויות מים 2014'!$C$6:$Z$215,22,0)</f>
        <v>1.7558106525602891E-2</v>
      </c>
      <c r="J75" s="771">
        <f>+VLOOKUP(J4,'כמויות מים 2014'!$C$6:$Z$215,22,0)</f>
        <v>0</v>
      </c>
      <c r="K75" s="771">
        <f>+VLOOKUP(K4,'כמויות מים 2014'!$C$6:$Z$215,22,0)</f>
        <v>4.8300000000000001E-3</v>
      </c>
      <c r="L75" s="771">
        <f>+VLOOKUP(L4,'כמויות מים 2014'!$C$6:$Z$215,22,0)</f>
        <v>0</v>
      </c>
      <c r="M75" s="771">
        <f>+VLOOKUP(M4,'כמויות מים 2014'!$C$6:$Z$215,22,0)</f>
        <v>0</v>
      </c>
      <c r="N75" s="771">
        <f>+VLOOKUP(N4,'כמויות מים 2014'!$C$6:$Z$215,22,0)</f>
        <v>1.3606826394109582E-2</v>
      </c>
      <c r="O75" s="771">
        <f>+VLOOKUP(O4,'כמויות מים 2014'!$C$6:$Z$215,22,0)</f>
        <v>0</v>
      </c>
      <c r="P75" s="771">
        <f>+VLOOKUP(P4,'כמויות מים 2014'!$C$6:$Z$215,22,0)</f>
        <v>4.5680863626899855E-3</v>
      </c>
      <c r="Q75" s="771">
        <f>+VLOOKUP(Q4,'כמויות מים 2014'!$C$6:$Z$215,22,0)</f>
        <v>5.3268619183470241E-4</v>
      </c>
      <c r="R75" s="771">
        <f>+VLOOKUP(R4,'כמויות מים 2014'!$C$6:$Z$215,22,0)</f>
        <v>0</v>
      </c>
      <c r="S75" s="771">
        <f>+VLOOKUP(S4,'כמויות מים 2014'!$C$6:$Z$215,22,0)</f>
        <v>2.0930862358119959E-3</v>
      </c>
      <c r="T75" s="771">
        <f>+VLOOKUP(T4,'כמויות מים 2014'!$C$6:$Z$215,22,0)</f>
        <v>0</v>
      </c>
      <c r="U75" s="771">
        <f>+VLOOKUP(U4,'כמויות מים 2014'!$C$6:$Z$215,22,0)</f>
        <v>0</v>
      </c>
      <c r="V75" s="771">
        <f>+VLOOKUP(V4,'כמויות מים 2014'!$C$6:$Z$215,22,0)</f>
        <v>8.0991802006735343E-3</v>
      </c>
      <c r="W75" s="771">
        <f>+VLOOKUP(W4,'כמויות מים 2014'!$C$6:$Z$215,22,0)</f>
        <v>0</v>
      </c>
      <c r="X75" s="771">
        <f>+VLOOKUP(X4,'כמויות מים 2014'!$C$6:$Z$215,22,0)</f>
        <v>0</v>
      </c>
      <c r="Y75" s="771">
        <f>+VLOOKUP(Y4,'כמויות מים 2014'!$C$6:$Z$215,22,0)</f>
        <v>1.904988096167466E-3</v>
      </c>
      <c r="Z75" s="771">
        <f>+VLOOKUP(Z4,'כמויות מים 2014'!$C$6:$Z$215,22,0)</f>
        <v>0</v>
      </c>
      <c r="AA75" s="771">
        <f>+VLOOKUP(AA4,'כמויות מים 2014'!$C$6:$Z$215,22,0)</f>
        <v>0</v>
      </c>
      <c r="AB75" s="771">
        <f>+VLOOKUP(AB4,'כמויות מים 2014'!$C$6:$Z$215,22,0)</f>
        <v>4.830000000000001E-3</v>
      </c>
      <c r="AC75" s="771">
        <f>+VLOOKUP(AC4,'כמויות מים 2014'!$C$6:$Z$215,22,0)</f>
        <v>0</v>
      </c>
      <c r="AD75" s="771">
        <f>+VLOOKUP(AD4,'כמויות מים 2014'!$C$6:$Z$215,22,0)</f>
        <v>0</v>
      </c>
      <c r="AE75" s="771">
        <f>+VLOOKUP(AE4,'כמויות מים 2014'!$C$6:$Z$215,22,0)</f>
        <v>0</v>
      </c>
      <c r="AF75" s="771">
        <f>+VLOOKUP(AF4,'כמויות מים 2014'!$C$6:$Z$215,22,0)</f>
        <v>0</v>
      </c>
      <c r="AG75" s="771">
        <f>+VLOOKUP(AG4,'כמויות מים 2014'!$C$6:$Z$215,22,0)</f>
        <v>0</v>
      </c>
      <c r="AH75" s="771">
        <f>+VLOOKUP(AH4,'כמויות מים 2014'!$C$6:$Z$215,22,0)</f>
        <v>1.932E-2</v>
      </c>
      <c r="AI75" s="771">
        <f>+VLOOKUP(AI4,'כמויות מים 2014'!$C$6:$Z$215,22,0)</f>
        <v>0</v>
      </c>
      <c r="AJ75" s="771">
        <f>+VLOOKUP(AJ4,'כמויות מים 2014'!$C$6:$Z$215,22,0)</f>
        <v>3.514242218979008E-3</v>
      </c>
      <c r="AK75" s="771">
        <f>+VLOOKUP(AK4,'כמויות מים 2014'!$C$6:$Z$215,22,0)</f>
        <v>0</v>
      </c>
      <c r="AL75" s="771">
        <f>+VLOOKUP(AL4,'כמויות מים 2014'!$C$6:$Z$215,22,0)</f>
        <v>0</v>
      </c>
      <c r="AM75" s="771">
        <f>+VLOOKUP(AM4,'כמויות מים 2014'!$C$6:$Z$215,22,0)</f>
        <v>0</v>
      </c>
      <c r="AN75" s="771">
        <f>+VLOOKUP(AN4,'כמויות מים 2014'!$C$6:$Z$215,22,0)</f>
        <v>0</v>
      </c>
      <c r="AO75" s="771">
        <f>+VLOOKUP(AO4,'כמויות מים 2014'!$C$6:$Z$215,22,0)</f>
        <v>0</v>
      </c>
      <c r="AP75" s="771">
        <f>+VLOOKUP(AP4,'כמויות מים 2014'!$C$6:$Z$215,22,0)</f>
        <v>0</v>
      </c>
      <c r="AQ75" s="771">
        <f>+VLOOKUP(AQ4,'כמויות מים 2014'!$C$6:$Z$215,22,0)</f>
        <v>0</v>
      </c>
      <c r="AR75" s="771">
        <f>+VLOOKUP(AR4,'כמויות מים 2014'!$C$6:$Z$215,22,0)</f>
        <v>1.3623056711439509E-2</v>
      </c>
      <c r="AS75" s="771">
        <f>+VLOOKUP(AS4,'כמויות מים 2014'!$C$6:$Z$215,22,0)</f>
        <v>4.8300000000000001E-3</v>
      </c>
      <c r="AT75" s="771">
        <f>+VLOOKUP(AT4,'כמויות מים 2014'!$C$6:$Z$215,22,0)</f>
        <v>0</v>
      </c>
      <c r="AU75" s="771">
        <f>+VLOOKUP(AU4,'כמויות מים 2014'!$C$6:$Z$215,22,0)</f>
        <v>0</v>
      </c>
      <c r="AV75" s="771">
        <f>+VLOOKUP(AV4,'כמויות מים 2014'!$C$6:$Z$215,22,0)</f>
        <v>1.4373711780953913E-2</v>
      </c>
      <c r="AW75" s="771">
        <f>+VLOOKUP(AW4,'כמויות מים 2014'!$C$6:$Z$215,22,0)</f>
        <v>1.8540028612944626E-2</v>
      </c>
      <c r="AX75" s="771">
        <f>+VLOOKUP(AX4,'כמויות מים 2014'!$C$6:$Z$215,22,0)</f>
        <v>1.684301800857686E-3</v>
      </c>
      <c r="AY75" s="771">
        <f>+VLOOKUP(AY4,'כמויות מים 2014'!$C$6:$Z$215,22,0)</f>
        <v>3.2686559686373987E-3</v>
      </c>
      <c r="AZ75" s="771">
        <f>+VLOOKUP(AZ4,'כמויות מים 2014'!$C$6:$Z$215,22,0)</f>
        <v>0</v>
      </c>
      <c r="BA75" s="771">
        <f>+VLOOKUP(BA4,'כמויות מים 2014'!$C$6:$Z$215,22,0)</f>
        <v>9.6600000000000002E-3</v>
      </c>
      <c r="BB75" s="771">
        <f>+VLOOKUP(BB4,'כמויות מים 2014'!$C$6:$Z$215,22,0)</f>
        <v>9.7721125124248503E-3</v>
      </c>
      <c r="BC75" s="771">
        <f>+VLOOKUP(BC4,'כמויות מים 2014'!$C$6:$Z$215,22,0)</f>
        <v>1.7471339542164635E-2</v>
      </c>
      <c r="BD75" s="771">
        <f>+VLOOKUP(BD4,'כמויות מים 2014'!$C$6:$Z$215,22,0)</f>
        <v>0</v>
      </c>
      <c r="BE75" s="771">
        <f>+VLOOKUP(BE4,'כמויות מים 2014'!$C$6:$Z$215,22,0)</f>
        <v>0</v>
      </c>
      <c r="BF75" s="771">
        <v>0</v>
      </c>
    </row>
    <row r="76" spans="1:58" x14ac:dyDescent="0.2">
      <c r="A76" s="765"/>
      <c r="B76" s="376"/>
      <c r="C76" s="628"/>
      <c r="D76" s="628"/>
      <c r="E76" s="628"/>
      <c r="F76" s="628"/>
      <c r="G76" s="628"/>
      <c r="H76" s="628"/>
      <c r="I76" s="628"/>
      <c r="J76" s="628"/>
      <c r="K76" s="628"/>
      <c r="L76" s="628"/>
      <c r="M76" s="628"/>
      <c r="N76" s="628"/>
      <c r="O76" s="628"/>
      <c r="P76" s="628"/>
      <c r="Q76" s="628"/>
      <c r="R76" s="628"/>
      <c r="S76" s="628"/>
      <c r="T76" s="628"/>
      <c r="U76" s="628"/>
      <c r="V76" s="628"/>
      <c r="W76" s="628"/>
      <c r="X76" s="628"/>
      <c r="Y76" s="628"/>
      <c r="Z76" s="628"/>
      <c r="AA76" s="628"/>
      <c r="AB76" s="628"/>
      <c r="AC76" s="628"/>
      <c r="AD76" s="628"/>
      <c r="AE76" s="628"/>
      <c r="AF76" s="628"/>
      <c r="AG76" s="628"/>
      <c r="AH76" s="628"/>
      <c r="AI76" s="628"/>
      <c r="AJ76" s="628"/>
      <c r="AK76" s="628"/>
      <c r="AL76" s="628"/>
      <c r="AM76" s="628"/>
      <c r="AN76" s="628"/>
      <c r="AO76" s="628"/>
      <c r="AP76" s="628"/>
      <c r="AQ76" s="628"/>
      <c r="AR76" s="628"/>
      <c r="AS76" s="628"/>
      <c r="AT76" s="628"/>
      <c r="AU76" s="628"/>
      <c r="AV76" s="628"/>
      <c r="AW76" s="628"/>
      <c r="AX76" s="628"/>
      <c r="AY76" s="628"/>
      <c r="AZ76" s="628"/>
      <c r="BA76" s="628"/>
      <c r="BB76" s="628"/>
      <c r="BC76" s="628"/>
      <c r="BD76" s="628"/>
      <c r="BE76" s="628"/>
      <c r="BF76" s="628"/>
    </row>
    <row r="77" spans="1:58" x14ac:dyDescent="0.2">
      <c r="A77" s="1815" t="s">
        <v>1052</v>
      </c>
      <c r="B77" s="376" t="s">
        <v>1044</v>
      </c>
      <c r="C77" s="625">
        <f>+VLOOKUP(C5,'צריכה בתאגיד מרחבי'!$B$8:$M$114,6,0)</f>
        <v>42529.130000000005</v>
      </c>
      <c r="D77" s="625">
        <f>+VLOOKUP(D5,'צריכה בתאגיד מרחבי'!$B$8:$M$114,6,0)</f>
        <v>41661.173999999999</v>
      </c>
      <c r="E77" s="625">
        <f>+VLOOKUP(E5,'צריכה בתאגיד מרחבי'!$B$8:$M$114,6,0)</f>
        <v>19864.632000000001</v>
      </c>
      <c r="F77" s="625">
        <f>+VLOOKUP(F5,'צריכה בתאגיד מרחבי'!$B$8:$M$114,6,0)</f>
        <v>54562.883000000002</v>
      </c>
      <c r="G77" s="625">
        <f>+VLOOKUP(G5,'צריכה בתאגיד מרחבי'!$B$8:$M$114,6,0)</f>
        <v>43015.555</v>
      </c>
      <c r="H77" s="625">
        <f>+VLOOKUP(H5,'צריכה בתאגיד מרחבי'!$B$8:$M$114,6,0)</f>
        <v>2004.4870000000001</v>
      </c>
      <c r="I77" s="625">
        <f>+VLOOKUP(I5,'צריכה בתאגיד מרחבי'!$B$8:$M$114,6,0)</f>
        <v>41661.173999999999</v>
      </c>
      <c r="J77" s="625">
        <f>+VLOOKUP(J5,'צריכה בתאגיד מרחבי'!$B$8:$M$114,6,0)</f>
        <v>49599.804999999993</v>
      </c>
      <c r="K77" s="625">
        <f>+VLOOKUP(K5,'צריכה בתאגיד מרחבי'!$B$8:$M$114,6,0)</f>
        <v>52015.728000000003</v>
      </c>
      <c r="L77" s="625">
        <f>+VLOOKUP(L5,'צריכה בתאגיד מרחבי'!$B$8:$M$114,6,0)</f>
        <v>41661.173999999999</v>
      </c>
      <c r="M77" s="625">
        <f>+VLOOKUP(M5,'צריכה בתאגיד מרחבי'!$B$8:$M$114,6,0)</f>
        <v>49599.804999999993</v>
      </c>
      <c r="N77" s="625">
        <f>+VLOOKUP(N5,'צריכה בתאגיד מרחבי'!$B$8:$M$114,6,0)</f>
        <v>49599.804999999993</v>
      </c>
      <c r="O77" s="625">
        <f>+VLOOKUP(O5,'צריכה בתאגיד מרחבי'!$B$8:$M$114,6,0)</f>
        <v>43790.065000000002</v>
      </c>
      <c r="P77" s="625">
        <f>+VLOOKUP(P5,'צריכה בתאגיד מרחבי'!$B$8:$M$114,6,0)</f>
        <v>19864.632000000001</v>
      </c>
      <c r="Q77" s="625">
        <f>+VLOOKUP(Q5,'צריכה בתאגיד מרחבי'!$B$8:$M$114,6,0)</f>
        <v>46056.917999999998</v>
      </c>
      <c r="R77" s="625">
        <f>+VLOOKUP(R5,'צריכה בתאגיד מרחבי'!$B$8:$M$114,6,0)</f>
        <v>43790.065000000002</v>
      </c>
      <c r="S77" s="625">
        <f>+VLOOKUP(S5,'צריכה בתאגיד מרחבי'!$B$8:$M$114,6,0)</f>
        <v>42529.130000000005</v>
      </c>
      <c r="T77" s="625">
        <f>+VLOOKUP(T5,'צריכה בתאגיד מרחבי'!$B$8:$M$114,6,0)</f>
        <v>52015.728000000003</v>
      </c>
      <c r="U77" s="625">
        <f>+VLOOKUP(U5,'צריכה בתאגיד מרחבי'!$B$8:$M$114,6,0)</f>
        <v>11081.690999999999</v>
      </c>
      <c r="V77" s="625">
        <f>+VLOOKUP(V5,'צריכה בתאגיד מרחבי'!$B$8:$M$114,6,0)</f>
        <v>19864.632000000001</v>
      </c>
      <c r="W77" s="625">
        <f>+VLOOKUP(W5,'צריכה בתאגיד מרחבי'!$B$8:$M$114,6,0)</f>
        <v>52015.728000000003</v>
      </c>
      <c r="X77" s="625">
        <f>+VLOOKUP(X5,'צריכה בתאגיד מרחבי'!$B$8:$M$114,6,0)</f>
        <v>52015.728000000003</v>
      </c>
      <c r="Y77" s="625">
        <f>+VLOOKUP(Y5,'צריכה בתאגיד מרחבי'!$B$8:$M$114,6,0)</f>
        <v>24802.501</v>
      </c>
      <c r="Z77" s="625">
        <f>+VLOOKUP(Z5,'צריכה בתאגיד מרחבי'!$B$8:$M$114,6,0)</f>
        <v>43120.015999999989</v>
      </c>
      <c r="AA77" s="625">
        <f>+VLOOKUP(AA5,'צריכה בתאגיד מרחבי'!$B$8:$M$114,6,0)</f>
        <v>38318.575999999994</v>
      </c>
      <c r="AB77" s="625">
        <f>+VLOOKUP(AB5,'צריכה בתאגיד מרחבי'!$B$8:$M$114,6,0)</f>
        <v>46056.917999999998</v>
      </c>
      <c r="AC77" s="625">
        <f>+VLOOKUP(AC5,'צריכה בתאגיד מרחבי'!$B$8:$M$114,6,0)</f>
        <v>38318.575999999994</v>
      </c>
      <c r="AD77" s="625">
        <f>+VLOOKUP(AD5,'צריכה בתאגיד מרחבי'!$B$8:$M$114,6,0)</f>
        <v>38318.575999999994</v>
      </c>
      <c r="AE77" s="625">
        <f>+VLOOKUP(AE5,'צריכה בתאגיד מרחבי'!$B$8:$M$114,6,0)</f>
        <v>43120.015999999989</v>
      </c>
      <c r="AF77" s="625">
        <f>+VLOOKUP(AF5,'צריכה בתאגיד מרחבי'!$B$8:$M$114,6,0)</f>
        <v>43015.555</v>
      </c>
      <c r="AG77" s="625">
        <f>+VLOOKUP(AG5,'צריכה בתאגיד מרחבי'!$B$8:$M$114,6,0)</f>
        <v>24802.501</v>
      </c>
      <c r="AH77" s="625">
        <f>+VLOOKUP(AH5,'צריכה בתאגיד מרחבי'!$B$8:$M$114,6,0)</f>
        <v>46056.917999999998</v>
      </c>
      <c r="AI77" s="625">
        <f>+VLOOKUP(AI5,'צריכה בתאגיד מרחבי'!$B$8:$M$114,6,0)</f>
        <v>42529.130000000005</v>
      </c>
      <c r="AJ77" s="625">
        <f>+VLOOKUP(AJ5,'צריכה בתאגיד מרחבי'!$B$8:$M$114,6,0)</f>
        <v>43120.015999999989</v>
      </c>
      <c r="AK77" s="625">
        <f>+VLOOKUP(AK5,'צריכה בתאגיד מרחבי'!$B$8:$M$114,6,0)</f>
        <v>43120.015999999989</v>
      </c>
      <c r="AL77" s="625">
        <f>+VLOOKUP(AL5,'צריכה בתאגיד מרחבי'!$B$8:$M$114,6,0)</f>
        <v>61899.043000000005</v>
      </c>
      <c r="AM77" s="625">
        <f>+VLOOKUP(AM5,'צריכה בתאגיד מרחבי'!$B$8:$M$114,6,0)</f>
        <v>49599.804999999993</v>
      </c>
      <c r="AN77" s="625">
        <f>+VLOOKUP(AN5,'צריכה בתאגיד מרחבי'!$B$8:$M$114,6,0)</f>
        <v>61899.043000000005</v>
      </c>
      <c r="AO77" s="625">
        <f>+VLOOKUP(AO5,'צריכה בתאגיד מרחבי'!$B$8:$M$114,6,0)</f>
        <v>61899.043000000005</v>
      </c>
      <c r="AP77" s="625">
        <f>+VLOOKUP(AP5,'צריכה בתאגיד מרחבי'!$B$8:$M$114,6,0)</f>
        <v>43790.065000000002</v>
      </c>
      <c r="AQ77" s="625">
        <f>+VLOOKUP(AQ5,'צריכה בתאגיד מרחבי'!$B$8:$M$114,6,0)</f>
        <v>42529.130000000005</v>
      </c>
      <c r="AR77" s="625">
        <f>+VLOOKUP(AR5,'צריכה בתאגיד מרחבי'!$B$8:$M$114,6,0)</f>
        <v>41661.173999999999</v>
      </c>
      <c r="AS77" s="625">
        <f>+VLOOKUP(AS5,'צריכה בתאגיד מרחבי'!$B$8:$M$114,6,0)</f>
        <v>43120.015999999989</v>
      </c>
      <c r="AT77" s="625">
        <f>+VLOOKUP(AT5,'צריכה בתאגיד מרחבי'!$B$8:$M$114,6,0)</f>
        <v>43120.015999999989</v>
      </c>
      <c r="AU77" s="625">
        <f>+VLOOKUP(AU5,'צריכה בתאגיד מרחבי'!$B$8:$M$114,6,0)</f>
        <v>38318.575999999994</v>
      </c>
      <c r="AV77" s="625">
        <f>+VLOOKUP(AV5,'צריכה בתאגיד מרחבי'!$B$8:$M$114,6,0)</f>
        <v>24802.501</v>
      </c>
      <c r="AW77" s="625">
        <f>+VLOOKUP(AW5,'צריכה בתאגיד מרחבי'!$B$8:$M$114,6,0)</f>
        <v>24802.501</v>
      </c>
      <c r="AX77" s="625">
        <f>+VLOOKUP(AX5,'צריכה בתאגיד מרחבי'!$B$8:$M$114,6,0)</f>
        <v>43015.555</v>
      </c>
      <c r="AY77" s="625">
        <f>+VLOOKUP(AY5,'צריכה בתאגיד מרחבי'!$B$8:$M$114,6,0)</f>
        <v>46056.917999999998</v>
      </c>
      <c r="AZ77" s="625">
        <f>+VLOOKUP(AZ5,'צריכה בתאגיד מרחבי'!$B$8:$M$114,6,0)</f>
        <v>41661.173999999999</v>
      </c>
      <c r="BA77" s="625">
        <f>+VLOOKUP(BA5,'צריכה בתאגיד מרחבי'!$B$8:$M$114,6,0)</f>
        <v>52015.728000000003</v>
      </c>
      <c r="BB77" s="625">
        <f>+VLOOKUP(BB5,'צריכה בתאגיד מרחבי'!$B$8:$M$114,6,0)</f>
        <v>38318.575999999994</v>
      </c>
      <c r="BC77" s="625">
        <f>+VLOOKUP(BC5,'צריכה בתאגיד מרחבי'!$B$8:$M$114,6,0)</f>
        <v>46056.917999999998</v>
      </c>
      <c r="BD77" s="625">
        <f>+VLOOKUP(BD5,'צריכה בתאגיד מרחבי'!$B$8:$M$114,6,0)</f>
        <v>38318.575999999994</v>
      </c>
      <c r="BE77" s="625">
        <f>+VLOOKUP(BE5,'צריכה בתאגיד מרחבי'!$B$8:$M$114,6,0)</f>
        <v>42529.130000000005</v>
      </c>
      <c r="BF77" s="625">
        <f>+VLOOKUP(BF5,'צריכה בתאגיד מרחבי'!$B$8:$M$114,6,0)</f>
        <v>43790.065000000002</v>
      </c>
    </row>
    <row r="78" spans="1:58" x14ac:dyDescent="0.2">
      <c r="A78" s="1816"/>
      <c r="B78" s="376" t="s">
        <v>1053</v>
      </c>
      <c r="C78" s="625">
        <f>+'הנחות עבודה'!$D$152</f>
        <v>6578</v>
      </c>
      <c r="D78" s="625">
        <f>+'הנחות עבודה'!$D$152</f>
        <v>6578</v>
      </c>
      <c r="E78" s="625">
        <f>+'הנחות עבודה'!$D$152</f>
        <v>6578</v>
      </c>
      <c r="F78" s="625">
        <f>+'הנחות עבודה'!$D$152</f>
        <v>6578</v>
      </c>
      <c r="G78" s="625">
        <f>+'הנחות עבודה'!$D$152</f>
        <v>6578</v>
      </c>
      <c r="H78" s="625">
        <f>+'הנחות עבודה'!$D$152</f>
        <v>6578</v>
      </c>
      <c r="I78" s="625">
        <f>+'הנחות עבודה'!$D$152</f>
        <v>6578</v>
      </c>
      <c r="J78" s="625">
        <f>+'הנחות עבודה'!$D$152</f>
        <v>6578</v>
      </c>
      <c r="K78" s="625">
        <f>+'הנחות עבודה'!$D$152</f>
        <v>6578</v>
      </c>
      <c r="L78" s="625">
        <f>+'הנחות עבודה'!$D$152</f>
        <v>6578</v>
      </c>
      <c r="M78" s="625">
        <f>+'הנחות עבודה'!$D$152</f>
        <v>6578</v>
      </c>
      <c r="N78" s="625">
        <f>+'הנחות עבודה'!$D$152</f>
        <v>6578</v>
      </c>
      <c r="O78" s="625">
        <f>+'הנחות עבודה'!$D$152</f>
        <v>6578</v>
      </c>
      <c r="P78" s="625">
        <f>+'הנחות עבודה'!$D$152</f>
        <v>6578</v>
      </c>
      <c r="Q78" s="625">
        <f>+'הנחות עבודה'!$D$152</f>
        <v>6578</v>
      </c>
      <c r="R78" s="625">
        <f>+'הנחות עבודה'!$D$152</f>
        <v>6578</v>
      </c>
      <c r="S78" s="625">
        <f>+'הנחות עבודה'!$D$152</f>
        <v>6578</v>
      </c>
      <c r="T78" s="625">
        <f>+'הנחות עבודה'!$D$152</f>
        <v>6578</v>
      </c>
      <c r="U78" s="625">
        <f>+'הנחות עבודה'!$D$152</f>
        <v>6578</v>
      </c>
      <c r="V78" s="625">
        <f>+'הנחות עבודה'!$D$152</f>
        <v>6578</v>
      </c>
      <c r="W78" s="625">
        <f>+'הנחות עבודה'!$D$152</f>
        <v>6578</v>
      </c>
      <c r="X78" s="625">
        <f>+'הנחות עבודה'!$D$152</f>
        <v>6578</v>
      </c>
      <c r="Y78" s="625">
        <f>+'הנחות עבודה'!$D$152</f>
        <v>6578</v>
      </c>
      <c r="Z78" s="625">
        <f>+'הנחות עבודה'!$D$152</f>
        <v>6578</v>
      </c>
      <c r="AA78" s="625">
        <f>+'הנחות עבודה'!$D$152</f>
        <v>6578</v>
      </c>
      <c r="AB78" s="625">
        <f>+'הנחות עבודה'!$D$152</f>
        <v>6578</v>
      </c>
      <c r="AC78" s="625">
        <f>+'הנחות עבודה'!$D$152</f>
        <v>6578</v>
      </c>
      <c r="AD78" s="625">
        <f>+'הנחות עבודה'!$D$152</f>
        <v>6578</v>
      </c>
      <c r="AE78" s="625">
        <f>+'הנחות עבודה'!$D$152</f>
        <v>6578</v>
      </c>
      <c r="AF78" s="625">
        <f>+'הנחות עבודה'!$D$152</f>
        <v>6578</v>
      </c>
      <c r="AG78" s="625">
        <f>+'הנחות עבודה'!$D$152</f>
        <v>6578</v>
      </c>
      <c r="AH78" s="625">
        <f>+'הנחות עבודה'!$D$152</f>
        <v>6578</v>
      </c>
      <c r="AI78" s="625">
        <f>+'הנחות עבודה'!$D$152</f>
        <v>6578</v>
      </c>
      <c r="AJ78" s="625">
        <f>+'הנחות עבודה'!$D$152</f>
        <v>6578</v>
      </c>
      <c r="AK78" s="625">
        <f>+'הנחות עבודה'!$D$152</f>
        <v>6578</v>
      </c>
      <c r="AL78" s="625">
        <f>+'הנחות עבודה'!$D$152</f>
        <v>6578</v>
      </c>
      <c r="AM78" s="625">
        <f>+'הנחות עבודה'!$D$152</f>
        <v>6578</v>
      </c>
      <c r="AN78" s="625">
        <f>+'הנחות עבודה'!$D$152</f>
        <v>6578</v>
      </c>
      <c r="AO78" s="625">
        <f>+'הנחות עבודה'!$D$152</f>
        <v>6578</v>
      </c>
      <c r="AP78" s="625">
        <f>+'הנחות עבודה'!$D$152</f>
        <v>6578</v>
      </c>
      <c r="AQ78" s="625">
        <f>+'הנחות עבודה'!$D$152</f>
        <v>6578</v>
      </c>
      <c r="AR78" s="625">
        <f>+'הנחות עבודה'!$D$152</f>
        <v>6578</v>
      </c>
      <c r="AS78" s="625">
        <f>+'הנחות עבודה'!$D$152</f>
        <v>6578</v>
      </c>
      <c r="AT78" s="625">
        <f>+'הנחות עבודה'!$D$152</f>
        <v>6578</v>
      </c>
      <c r="AU78" s="625">
        <f>+'הנחות עבודה'!$D$152</f>
        <v>6578</v>
      </c>
      <c r="AV78" s="625">
        <f>+'הנחות עבודה'!$D$152</f>
        <v>6578</v>
      </c>
      <c r="AW78" s="625">
        <f>+'הנחות עבודה'!$D$152</f>
        <v>6578</v>
      </c>
      <c r="AX78" s="625">
        <f>+'הנחות עבודה'!$D$152</f>
        <v>6578</v>
      </c>
      <c r="AY78" s="625">
        <f>+'הנחות עבודה'!$D$152</f>
        <v>6578</v>
      </c>
      <c r="AZ78" s="625">
        <f>+'הנחות עבודה'!$D$152</f>
        <v>6578</v>
      </c>
      <c r="BA78" s="625">
        <f>+'הנחות עבודה'!$D$152</f>
        <v>6578</v>
      </c>
      <c r="BB78" s="625">
        <f>+'הנחות עבודה'!$D$152</f>
        <v>6578</v>
      </c>
      <c r="BC78" s="625">
        <f>+'הנחות עבודה'!$D$152</f>
        <v>6578</v>
      </c>
      <c r="BD78" s="625">
        <f>+'הנחות עבודה'!$D$152</f>
        <v>6578</v>
      </c>
      <c r="BE78" s="625">
        <f>+'הנחות עבודה'!$D$152</f>
        <v>6578</v>
      </c>
      <c r="BF78" s="625">
        <f>+'הנחות עבודה'!$D$152</f>
        <v>6578</v>
      </c>
    </row>
    <row r="79" spans="1:58" x14ac:dyDescent="0.2">
      <c r="A79" s="1816"/>
      <c r="B79" s="376" t="s">
        <v>1047</v>
      </c>
      <c r="C79" s="627">
        <f>+C71</f>
        <v>1.0421521666666667</v>
      </c>
      <c r="D79" s="627">
        <f t="shared" ref="D79:BE79" si="52">+D71</f>
        <v>1.0276862333333334</v>
      </c>
      <c r="E79" s="627">
        <f t="shared" si="52"/>
        <v>0.89932316000000001</v>
      </c>
      <c r="F79" s="627">
        <f t="shared" si="52"/>
        <v>1.2427147166666668</v>
      </c>
      <c r="G79" s="627">
        <f t="shared" si="52"/>
        <v>1.0502592500000001</v>
      </c>
      <c r="H79" s="627">
        <f t="shared" si="52"/>
        <v>0.3</v>
      </c>
      <c r="I79" s="627">
        <f t="shared" si="52"/>
        <v>1.0276862333333334</v>
      </c>
      <c r="J79" s="627">
        <f t="shared" si="52"/>
        <v>1.1599967499999999</v>
      </c>
      <c r="K79" s="627">
        <f t="shared" si="52"/>
        <v>1.2002621333333334</v>
      </c>
      <c r="L79" s="627">
        <f t="shared" si="52"/>
        <v>1.0276862333333334</v>
      </c>
      <c r="M79" s="627">
        <f t="shared" si="52"/>
        <v>1.1599967499999999</v>
      </c>
      <c r="N79" s="627">
        <f t="shared" si="52"/>
        <v>1.1599967499999999</v>
      </c>
      <c r="O79" s="627">
        <f t="shared" si="52"/>
        <v>1.0631677500000001</v>
      </c>
      <c r="P79" s="627">
        <f t="shared" si="52"/>
        <v>0.89932316000000001</v>
      </c>
      <c r="Q79" s="627">
        <f t="shared" si="52"/>
        <v>1.1009486333333334</v>
      </c>
      <c r="R79" s="627">
        <f t="shared" si="52"/>
        <v>1.0631677500000001</v>
      </c>
      <c r="S79" s="627">
        <f t="shared" si="52"/>
        <v>1.0421521666666667</v>
      </c>
      <c r="T79" s="627">
        <f t="shared" si="52"/>
        <v>1.2002621333333334</v>
      </c>
      <c r="U79" s="627">
        <f t="shared" si="52"/>
        <v>0.47</v>
      </c>
      <c r="V79" s="627">
        <f t="shared" si="52"/>
        <v>0.89932316000000001</v>
      </c>
      <c r="W79" s="627">
        <f t="shared" si="52"/>
        <v>1.2002621333333334</v>
      </c>
      <c r="X79" s="627">
        <f t="shared" si="52"/>
        <v>1.2002621333333334</v>
      </c>
      <c r="Y79" s="627">
        <f t="shared" si="52"/>
        <v>0.92401250499999998</v>
      </c>
      <c r="Z79" s="627">
        <f t="shared" si="52"/>
        <v>1.0520002666666666</v>
      </c>
      <c r="AA79" s="627">
        <f t="shared" si="52"/>
        <v>0.99159288000000001</v>
      </c>
      <c r="AB79" s="627">
        <f t="shared" si="52"/>
        <v>1.1009486333333334</v>
      </c>
      <c r="AC79" s="627">
        <f t="shared" si="52"/>
        <v>0.99159288000000001</v>
      </c>
      <c r="AD79" s="627">
        <f t="shared" si="52"/>
        <v>0.99159288000000001</v>
      </c>
      <c r="AE79" s="627">
        <f t="shared" si="52"/>
        <v>1.0520002666666666</v>
      </c>
      <c r="AF79" s="627">
        <f t="shared" si="52"/>
        <v>1.0502592500000001</v>
      </c>
      <c r="AG79" s="627">
        <f t="shared" si="52"/>
        <v>0.92401250499999998</v>
      </c>
      <c r="AH79" s="627">
        <f t="shared" si="52"/>
        <v>1.1009486333333334</v>
      </c>
      <c r="AI79" s="627">
        <f t="shared" si="52"/>
        <v>1.0421521666666667</v>
      </c>
      <c r="AJ79" s="627">
        <f t="shared" si="52"/>
        <v>1.0520002666666666</v>
      </c>
      <c r="AK79" s="627">
        <f t="shared" si="52"/>
        <v>1.0520002666666666</v>
      </c>
      <c r="AL79" s="627">
        <f t="shared" si="52"/>
        <v>1.3649840500000001</v>
      </c>
      <c r="AM79" s="627">
        <f t="shared" si="52"/>
        <v>1.1599967499999999</v>
      </c>
      <c r="AN79" s="627">
        <f t="shared" si="52"/>
        <v>1.3649840500000001</v>
      </c>
      <c r="AO79" s="627">
        <f t="shared" si="52"/>
        <v>1.3649840500000001</v>
      </c>
      <c r="AP79" s="627">
        <f t="shared" si="52"/>
        <v>1.0631677500000001</v>
      </c>
      <c r="AQ79" s="627">
        <f t="shared" si="52"/>
        <v>1.0421521666666667</v>
      </c>
      <c r="AR79" s="627">
        <f t="shared" si="52"/>
        <v>1.0276862333333334</v>
      </c>
      <c r="AS79" s="627">
        <f t="shared" si="52"/>
        <v>1.0520002666666666</v>
      </c>
      <c r="AT79" s="627">
        <f t="shared" si="52"/>
        <v>1.0520002666666666</v>
      </c>
      <c r="AU79" s="627">
        <f t="shared" si="52"/>
        <v>0.99159288000000001</v>
      </c>
      <c r="AV79" s="627">
        <f t="shared" si="52"/>
        <v>0.92401250499999998</v>
      </c>
      <c r="AW79" s="627">
        <f t="shared" si="52"/>
        <v>0.92401250499999998</v>
      </c>
      <c r="AX79" s="627">
        <f t="shared" si="52"/>
        <v>1.0502592500000001</v>
      </c>
      <c r="AY79" s="627">
        <f t="shared" si="52"/>
        <v>1.1009486333333334</v>
      </c>
      <c r="AZ79" s="627">
        <f t="shared" si="52"/>
        <v>1.0276862333333334</v>
      </c>
      <c r="BA79" s="627">
        <f t="shared" si="52"/>
        <v>1.2002621333333334</v>
      </c>
      <c r="BB79" s="627">
        <f t="shared" si="52"/>
        <v>0.99159288000000001</v>
      </c>
      <c r="BC79" s="627">
        <f t="shared" si="52"/>
        <v>1.1009486333333334</v>
      </c>
      <c r="BD79" s="627">
        <f t="shared" si="52"/>
        <v>0.99159288000000001</v>
      </c>
      <c r="BE79" s="627">
        <f t="shared" si="52"/>
        <v>1.0421521666666667</v>
      </c>
      <c r="BF79" s="627">
        <f t="shared" ref="BF79" si="53">+BF71</f>
        <v>1.0631677500000001</v>
      </c>
    </row>
    <row r="80" spans="1:58" x14ac:dyDescent="0.2">
      <c r="A80" s="1816"/>
      <c r="B80" s="376" t="s">
        <v>1054</v>
      </c>
      <c r="C80" s="625">
        <f>+C78*C79</f>
        <v>6855.2769523333336</v>
      </c>
      <c r="D80" s="625">
        <f t="shared" ref="D80:BE80" si="54">+D78*D79</f>
        <v>6760.1200428666671</v>
      </c>
      <c r="E80" s="625">
        <f t="shared" si="54"/>
        <v>5915.7477464800004</v>
      </c>
      <c r="F80" s="625">
        <f t="shared" si="54"/>
        <v>8174.5774062333339</v>
      </c>
      <c r="G80" s="625">
        <f t="shared" si="54"/>
        <v>6908.6053465000005</v>
      </c>
      <c r="H80" s="625">
        <f t="shared" si="54"/>
        <v>1973.3999999999999</v>
      </c>
      <c r="I80" s="625">
        <f t="shared" si="54"/>
        <v>6760.1200428666671</v>
      </c>
      <c r="J80" s="625">
        <f t="shared" si="54"/>
        <v>7630.458621499999</v>
      </c>
      <c r="K80" s="625">
        <f t="shared" si="54"/>
        <v>7895.3243130666669</v>
      </c>
      <c r="L80" s="625">
        <f t="shared" si="54"/>
        <v>6760.1200428666671</v>
      </c>
      <c r="M80" s="625">
        <f t="shared" si="54"/>
        <v>7630.458621499999</v>
      </c>
      <c r="N80" s="625">
        <f t="shared" si="54"/>
        <v>7630.458621499999</v>
      </c>
      <c r="O80" s="625">
        <f t="shared" si="54"/>
        <v>6993.5174595000008</v>
      </c>
      <c r="P80" s="625">
        <f t="shared" si="54"/>
        <v>5915.7477464800004</v>
      </c>
      <c r="Q80" s="625">
        <f t="shared" si="54"/>
        <v>7242.0401100666668</v>
      </c>
      <c r="R80" s="625">
        <f t="shared" si="54"/>
        <v>6993.5174595000008</v>
      </c>
      <c r="S80" s="625">
        <f t="shared" si="54"/>
        <v>6855.2769523333336</v>
      </c>
      <c r="T80" s="625">
        <f t="shared" si="54"/>
        <v>7895.3243130666669</v>
      </c>
      <c r="U80" s="625">
        <f t="shared" si="54"/>
        <v>3091.66</v>
      </c>
      <c r="V80" s="625">
        <f t="shared" si="54"/>
        <v>5915.7477464800004</v>
      </c>
      <c r="W80" s="625">
        <f t="shared" si="54"/>
        <v>7895.3243130666669</v>
      </c>
      <c r="X80" s="625">
        <f t="shared" si="54"/>
        <v>7895.3243130666669</v>
      </c>
      <c r="Y80" s="625">
        <f t="shared" si="54"/>
        <v>6078.1542578899998</v>
      </c>
      <c r="Z80" s="625">
        <f t="shared" si="54"/>
        <v>6920.0577541333323</v>
      </c>
      <c r="AA80" s="625">
        <f t="shared" si="54"/>
        <v>6522.6979646400005</v>
      </c>
      <c r="AB80" s="625">
        <f t="shared" si="54"/>
        <v>7242.0401100666668</v>
      </c>
      <c r="AC80" s="625">
        <f t="shared" si="54"/>
        <v>6522.6979646400005</v>
      </c>
      <c r="AD80" s="625">
        <f t="shared" si="54"/>
        <v>6522.6979646400005</v>
      </c>
      <c r="AE80" s="625">
        <f t="shared" si="54"/>
        <v>6920.0577541333323</v>
      </c>
      <c r="AF80" s="625">
        <f t="shared" si="54"/>
        <v>6908.6053465000005</v>
      </c>
      <c r="AG80" s="625">
        <f t="shared" si="54"/>
        <v>6078.1542578899998</v>
      </c>
      <c r="AH80" s="625">
        <f t="shared" si="54"/>
        <v>7242.0401100666668</v>
      </c>
      <c r="AI80" s="625">
        <f t="shared" si="54"/>
        <v>6855.2769523333336</v>
      </c>
      <c r="AJ80" s="625">
        <f t="shared" si="54"/>
        <v>6920.0577541333323</v>
      </c>
      <c r="AK80" s="625">
        <f t="shared" si="54"/>
        <v>6920.0577541333323</v>
      </c>
      <c r="AL80" s="625">
        <f t="shared" si="54"/>
        <v>8978.865080900001</v>
      </c>
      <c r="AM80" s="625">
        <f t="shared" si="54"/>
        <v>7630.458621499999</v>
      </c>
      <c r="AN80" s="625">
        <f t="shared" si="54"/>
        <v>8978.865080900001</v>
      </c>
      <c r="AO80" s="625">
        <f t="shared" si="54"/>
        <v>8978.865080900001</v>
      </c>
      <c r="AP80" s="625">
        <f t="shared" si="54"/>
        <v>6993.5174595000008</v>
      </c>
      <c r="AQ80" s="625">
        <f t="shared" si="54"/>
        <v>6855.2769523333336</v>
      </c>
      <c r="AR80" s="625">
        <f t="shared" si="54"/>
        <v>6760.1200428666671</v>
      </c>
      <c r="AS80" s="625">
        <f t="shared" si="54"/>
        <v>6920.0577541333323</v>
      </c>
      <c r="AT80" s="625">
        <f t="shared" si="54"/>
        <v>6920.0577541333323</v>
      </c>
      <c r="AU80" s="625">
        <f t="shared" si="54"/>
        <v>6522.6979646400005</v>
      </c>
      <c r="AV80" s="625">
        <f t="shared" si="54"/>
        <v>6078.1542578899998</v>
      </c>
      <c r="AW80" s="625">
        <f t="shared" si="54"/>
        <v>6078.1542578899998</v>
      </c>
      <c r="AX80" s="625">
        <f t="shared" si="54"/>
        <v>6908.6053465000005</v>
      </c>
      <c r="AY80" s="625">
        <f t="shared" si="54"/>
        <v>7242.0401100666668</v>
      </c>
      <c r="AZ80" s="625">
        <f t="shared" si="54"/>
        <v>6760.1200428666671</v>
      </c>
      <c r="BA80" s="625">
        <f t="shared" si="54"/>
        <v>7895.3243130666669</v>
      </c>
      <c r="BB80" s="625">
        <f t="shared" si="54"/>
        <v>6522.6979646400005</v>
      </c>
      <c r="BC80" s="625">
        <f t="shared" si="54"/>
        <v>7242.0401100666668</v>
      </c>
      <c r="BD80" s="625">
        <f t="shared" si="54"/>
        <v>6522.6979646400005</v>
      </c>
      <c r="BE80" s="625">
        <f t="shared" si="54"/>
        <v>6855.2769523333336</v>
      </c>
      <c r="BF80" s="625">
        <f t="shared" ref="BF80" si="55">+BF78*BF79</f>
        <v>6993.5174595000008</v>
      </c>
    </row>
    <row r="81" spans="1:59" s="772" customFormat="1" x14ac:dyDescent="0.2">
      <c r="A81" s="1817"/>
      <c r="B81" s="770" t="s">
        <v>1055</v>
      </c>
      <c r="C81" s="773">
        <f>+C80/C77</f>
        <v>0.16119015254563948</v>
      </c>
      <c r="D81" s="771">
        <f t="shared" ref="D81:BE81" si="56">+D80/D77</f>
        <v>0.16226427135410701</v>
      </c>
      <c r="E81" s="771">
        <f t="shared" si="56"/>
        <v>0.29780303740235409</v>
      </c>
      <c r="F81" s="771">
        <f>+F80/F77</f>
        <v>0.1498193819090046</v>
      </c>
      <c r="G81" s="771">
        <f t="shared" si="56"/>
        <v>0.16060714191645326</v>
      </c>
      <c r="H81" s="771">
        <f t="shared" si="56"/>
        <v>0.98449129378239908</v>
      </c>
      <c r="I81" s="771">
        <f t="shared" si="56"/>
        <v>0.16226427135410701</v>
      </c>
      <c r="J81" s="771">
        <f t="shared" si="56"/>
        <v>0.15384049637896763</v>
      </c>
      <c r="K81" s="771">
        <f t="shared" si="56"/>
        <v>0.15178725006149421</v>
      </c>
      <c r="L81" s="771">
        <f t="shared" si="56"/>
        <v>0.16226427135410701</v>
      </c>
      <c r="M81" s="771">
        <f t="shared" si="56"/>
        <v>0.15384049637896763</v>
      </c>
      <c r="N81" s="771">
        <f t="shared" si="56"/>
        <v>0.15384049637896763</v>
      </c>
      <c r="O81" s="771">
        <f t="shared" si="56"/>
        <v>0.15970557384420417</v>
      </c>
      <c r="P81" s="771">
        <f t="shared" si="56"/>
        <v>0.29780303740235409</v>
      </c>
      <c r="Q81" s="771">
        <f t="shared" si="56"/>
        <v>0.15724109264251393</v>
      </c>
      <c r="R81" s="771">
        <f t="shared" si="56"/>
        <v>0.15970557384420417</v>
      </c>
      <c r="S81" s="771">
        <f t="shared" si="56"/>
        <v>0.16119015254563948</v>
      </c>
      <c r="T81" s="771">
        <f t="shared" si="56"/>
        <v>0.15178725006149421</v>
      </c>
      <c r="U81" s="771">
        <f t="shared" si="56"/>
        <v>0.27898810750092201</v>
      </c>
      <c r="V81" s="771">
        <f t="shared" si="56"/>
        <v>0.29780303740235409</v>
      </c>
      <c r="W81" s="771">
        <f t="shared" si="56"/>
        <v>0.15178725006149421</v>
      </c>
      <c r="X81" s="771">
        <f t="shared" si="56"/>
        <v>0.15178725006149421</v>
      </c>
      <c r="Y81" s="771">
        <f t="shared" si="56"/>
        <v>0.24506215151004326</v>
      </c>
      <c r="Z81" s="771">
        <f t="shared" si="56"/>
        <v>0.16048365460099398</v>
      </c>
      <c r="AA81" s="771">
        <f t="shared" si="56"/>
        <v>0.17022286957218874</v>
      </c>
      <c r="AB81" s="771">
        <f t="shared" si="56"/>
        <v>0.15724109264251393</v>
      </c>
      <c r="AC81" s="771">
        <f t="shared" si="56"/>
        <v>0.17022286957218874</v>
      </c>
      <c r="AD81" s="771">
        <f t="shared" si="56"/>
        <v>0.17022286957218874</v>
      </c>
      <c r="AE81" s="771">
        <f t="shared" si="56"/>
        <v>0.16048365460099398</v>
      </c>
      <c r="AF81" s="771">
        <f t="shared" si="56"/>
        <v>0.16060714191645326</v>
      </c>
      <c r="AG81" s="771">
        <f t="shared" si="56"/>
        <v>0.24506215151004326</v>
      </c>
      <c r="AH81" s="771">
        <f t="shared" si="56"/>
        <v>0.15724109264251393</v>
      </c>
      <c r="AI81" s="771">
        <f t="shared" si="56"/>
        <v>0.16119015254563948</v>
      </c>
      <c r="AJ81" s="771">
        <f t="shared" si="56"/>
        <v>0.16048365460099398</v>
      </c>
      <c r="AK81" s="771">
        <f t="shared" si="56"/>
        <v>0.16048365460099398</v>
      </c>
      <c r="AL81" s="771">
        <f t="shared" si="56"/>
        <v>0.1450566058169914</v>
      </c>
      <c r="AM81" s="771">
        <f t="shared" si="56"/>
        <v>0.15384049637896763</v>
      </c>
      <c r="AN81" s="771">
        <f t="shared" si="56"/>
        <v>0.1450566058169914</v>
      </c>
      <c r="AO81" s="771">
        <f t="shared" si="56"/>
        <v>0.1450566058169914</v>
      </c>
      <c r="AP81" s="771">
        <f t="shared" si="56"/>
        <v>0.15970557384420417</v>
      </c>
      <c r="AQ81" s="771">
        <f t="shared" si="56"/>
        <v>0.16119015254563948</v>
      </c>
      <c r="AR81" s="771">
        <f t="shared" si="56"/>
        <v>0.16226427135410701</v>
      </c>
      <c r="AS81" s="771">
        <f t="shared" si="56"/>
        <v>0.16048365460099398</v>
      </c>
      <c r="AT81" s="771">
        <f t="shared" si="56"/>
        <v>0.16048365460099398</v>
      </c>
      <c r="AU81" s="771">
        <f t="shared" si="56"/>
        <v>0.17022286957218874</v>
      </c>
      <c r="AV81" s="771">
        <f t="shared" si="56"/>
        <v>0.24506215151004326</v>
      </c>
      <c r="AW81" s="771">
        <f t="shared" si="56"/>
        <v>0.24506215151004326</v>
      </c>
      <c r="AX81" s="771">
        <f t="shared" si="56"/>
        <v>0.16060714191645326</v>
      </c>
      <c r="AY81" s="771">
        <f t="shared" si="56"/>
        <v>0.15724109264251393</v>
      </c>
      <c r="AZ81" s="771">
        <f t="shared" si="56"/>
        <v>0.16226427135410701</v>
      </c>
      <c r="BA81" s="771">
        <f t="shared" si="56"/>
        <v>0.15178725006149421</v>
      </c>
      <c r="BB81" s="771">
        <f t="shared" si="56"/>
        <v>0.17022286957218874</v>
      </c>
      <c r="BC81" s="771">
        <f t="shared" si="56"/>
        <v>0.15724109264251393</v>
      </c>
      <c r="BD81" s="773">
        <f>+BD80/BD77</f>
        <v>0.17022286957218874</v>
      </c>
      <c r="BE81" s="771">
        <f t="shared" si="56"/>
        <v>0.16119015254563948</v>
      </c>
      <c r="BF81" s="771">
        <f t="shared" ref="BF81" si="57">+BF80/BF77</f>
        <v>0.15970557384420417</v>
      </c>
    </row>
    <row r="82" spans="1:59" x14ac:dyDescent="0.2">
      <c r="A82" s="774"/>
      <c r="B82" s="775"/>
      <c r="C82" s="776"/>
      <c r="D82" s="776"/>
      <c r="E82" s="776"/>
      <c r="F82" s="776"/>
      <c r="G82" s="776"/>
      <c r="H82" s="776"/>
      <c r="I82" s="776"/>
      <c r="J82" s="776"/>
      <c r="K82" s="776"/>
      <c r="L82" s="776"/>
      <c r="M82" s="776"/>
      <c r="N82" s="776"/>
      <c r="O82" s="776"/>
      <c r="P82" s="776"/>
      <c r="Q82" s="776"/>
      <c r="R82" s="776"/>
      <c r="S82" s="776"/>
      <c r="T82" s="776"/>
      <c r="U82" s="776"/>
      <c r="V82" s="776"/>
      <c r="W82" s="776"/>
      <c r="X82" s="776"/>
      <c r="Y82" s="776"/>
      <c r="Z82" s="776"/>
      <c r="AA82" s="776"/>
      <c r="AB82" s="776"/>
      <c r="AC82" s="776"/>
      <c r="AD82" s="776"/>
      <c r="AE82" s="776"/>
      <c r="AF82" s="776"/>
      <c r="AG82" s="776"/>
      <c r="AH82" s="776"/>
      <c r="AI82" s="776"/>
      <c r="AJ82" s="776"/>
      <c r="AK82" s="776"/>
      <c r="AL82" s="776"/>
      <c r="AM82" s="776"/>
      <c r="AN82" s="776"/>
      <c r="AO82" s="776"/>
      <c r="AP82" s="776"/>
      <c r="AQ82" s="776"/>
      <c r="AR82" s="776"/>
      <c r="AS82" s="776"/>
      <c r="AT82" s="776"/>
      <c r="AU82" s="776"/>
      <c r="AV82" s="776"/>
      <c r="AW82" s="776"/>
      <c r="AX82" s="776"/>
      <c r="AY82" s="776"/>
      <c r="AZ82" s="776"/>
      <c r="BA82" s="776"/>
      <c r="BB82" s="776"/>
      <c r="BC82" s="776"/>
      <c r="BD82" s="776"/>
      <c r="BE82" s="776"/>
      <c r="BF82" s="776"/>
    </row>
    <row r="83" spans="1:59" x14ac:dyDescent="0.2">
      <c r="A83" s="1815" t="s">
        <v>1056</v>
      </c>
      <c r="B83" s="376" t="s">
        <v>1057</v>
      </c>
      <c r="C83" s="625">
        <f>+C10</f>
        <v>10780.42</v>
      </c>
      <c r="D83" s="625">
        <f t="shared" ref="D83:BE83" si="58">+D10</f>
        <v>9340.4369999999999</v>
      </c>
      <c r="E83" s="625">
        <f t="shared" si="58"/>
        <v>4262.473</v>
      </c>
      <c r="F83" s="625">
        <f t="shared" si="58"/>
        <v>54306.558000000005</v>
      </c>
      <c r="G83" s="625">
        <f t="shared" si="58"/>
        <v>17049.447</v>
      </c>
      <c r="H83" s="625">
        <f t="shared" si="58"/>
        <v>2004.4870000000001</v>
      </c>
      <c r="I83" s="625">
        <f t="shared" si="58"/>
        <v>4334.6769999999997</v>
      </c>
      <c r="J83" s="625">
        <f t="shared" si="58"/>
        <v>7271.4120000000003</v>
      </c>
      <c r="K83" s="625">
        <f t="shared" si="58"/>
        <v>5391.3759999999993</v>
      </c>
      <c r="L83" s="625">
        <f t="shared" si="58"/>
        <v>9928.9809999999998</v>
      </c>
      <c r="M83" s="625">
        <f t="shared" si="58"/>
        <v>16724.746999999999</v>
      </c>
      <c r="N83" s="625">
        <f t="shared" si="58"/>
        <v>9228.0609999999997</v>
      </c>
      <c r="O83" s="625">
        <f t="shared" si="58"/>
        <v>5681.5389999999998</v>
      </c>
      <c r="P83" s="625">
        <f t="shared" si="58"/>
        <v>4715.7889999999998</v>
      </c>
      <c r="Q83" s="625">
        <f t="shared" si="58"/>
        <v>20929.161</v>
      </c>
      <c r="R83" s="625">
        <f t="shared" si="58"/>
        <v>18659.955999999998</v>
      </c>
      <c r="S83" s="625">
        <f t="shared" si="58"/>
        <v>19665.205999999998</v>
      </c>
      <c r="T83" s="625">
        <f t="shared" si="58"/>
        <v>19849.735000000001</v>
      </c>
      <c r="U83" s="625">
        <f t="shared" si="58"/>
        <v>11081.690999999999</v>
      </c>
      <c r="V83" s="625">
        <f t="shared" si="58"/>
        <v>8586.9550000000017</v>
      </c>
      <c r="W83" s="625">
        <f t="shared" si="58"/>
        <v>8741.3060000000005</v>
      </c>
      <c r="X83" s="625">
        <f t="shared" si="58"/>
        <v>6495.7709999999997</v>
      </c>
      <c r="Y83" s="625">
        <f t="shared" si="58"/>
        <v>3201.0769999999998</v>
      </c>
      <c r="Z83" s="625">
        <f t="shared" si="58"/>
        <v>3917.029</v>
      </c>
      <c r="AA83" s="625">
        <f t="shared" si="58"/>
        <v>6640.0940000000001</v>
      </c>
      <c r="AB83" s="625">
        <f t="shared" si="58"/>
        <v>6789.9260000000004</v>
      </c>
      <c r="AC83" s="625">
        <f t="shared" si="58"/>
        <v>10469.824999999999</v>
      </c>
      <c r="AD83" s="625">
        <f t="shared" si="58"/>
        <v>4708.6639999999998</v>
      </c>
      <c r="AE83" s="625">
        <f t="shared" si="58"/>
        <v>23115.748</v>
      </c>
      <c r="AF83" s="625">
        <f t="shared" si="58"/>
        <v>5412.576</v>
      </c>
      <c r="AG83" s="625">
        <f t="shared" si="58"/>
        <v>3747.5639999999999</v>
      </c>
      <c r="AH83" s="625">
        <f t="shared" si="58"/>
        <v>3174.326</v>
      </c>
      <c r="AI83" s="625">
        <f t="shared" si="58"/>
        <v>3853.471</v>
      </c>
      <c r="AJ83" s="625">
        <f t="shared" si="58"/>
        <v>3276.6880000000001</v>
      </c>
      <c r="AK83" s="625">
        <f t="shared" si="58"/>
        <v>2922.759</v>
      </c>
      <c r="AL83" s="625">
        <f t="shared" si="58"/>
        <v>46124.361000000004</v>
      </c>
      <c r="AM83" s="625">
        <f t="shared" si="58"/>
        <v>5738.3119999999999</v>
      </c>
      <c r="AN83" s="625">
        <f t="shared" si="58"/>
        <v>12026.431</v>
      </c>
      <c r="AO83" s="625">
        <f t="shared" si="58"/>
        <v>3748.2510000000002</v>
      </c>
      <c r="AP83" s="625">
        <f t="shared" si="58"/>
        <v>9026.4089999999997</v>
      </c>
      <c r="AQ83" s="625">
        <f t="shared" si="58"/>
        <v>5354.7740000000003</v>
      </c>
      <c r="AR83" s="625">
        <f t="shared" si="58"/>
        <v>10326.152000000002</v>
      </c>
      <c r="AS83" s="625">
        <f t="shared" si="58"/>
        <v>3423.1089999999999</v>
      </c>
      <c r="AT83" s="625">
        <f t="shared" si="58"/>
        <v>2910.1680000000001</v>
      </c>
      <c r="AU83" s="625">
        <f t="shared" si="58"/>
        <v>4710.6399999999994</v>
      </c>
      <c r="AV83" s="625">
        <f t="shared" si="58"/>
        <v>5711.9690000000001</v>
      </c>
      <c r="AW83" s="625">
        <f t="shared" si="58"/>
        <v>7207.7849999999999</v>
      </c>
      <c r="AX83" s="625">
        <f t="shared" si="58"/>
        <v>14360.366</v>
      </c>
      <c r="AY83" s="625">
        <f t="shared" si="58"/>
        <v>6640.4369999999999</v>
      </c>
      <c r="AZ83" s="625">
        <f t="shared" si="58"/>
        <v>5883.2190000000001</v>
      </c>
      <c r="BA83" s="625">
        <f t="shared" si="58"/>
        <v>5761.5990000000002</v>
      </c>
      <c r="BB83" s="625">
        <f t="shared" si="58"/>
        <v>4786.3330000000005</v>
      </c>
      <c r="BC83" s="625">
        <f t="shared" si="58"/>
        <v>6044.5029999999997</v>
      </c>
      <c r="BD83" s="625">
        <f t="shared" si="58"/>
        <v>975.60500000000002</v>
      </c>
      <c r="BE83" s="625">
        <f t="shared" si="58"/>
        <v>1173.269</v>
      </c>
      <c r="BF83" s="625">
        <f t="shared" ref="BF83" si="59">+BF10</f>
        <v>10422.161</v>
      </c>
    </row>
    <row r="84" spans="1:59" x14ac:dyDescent="0.2">
      <c r="A84" s="1816"/>
      <c r="B84" s="376" t="s">
        <v>1058</v>
      </c>
      <c r="C84" s="628">
        <f>+'הנחות עבודה'!$D$202</f>
        <v>46.3</v>
      </c>
      <c r="D84" s="628">
        <f>+'הנחות עבודה'!$D$202</f>
        <v>46.3</v>
      </c>
      <c r="E84" s="628">
        <f>+'הנחות עבודה'!$D$202</f>
        <v>46.3</v>
      </c>
      <c r="F84" s="628">
        <f>+'הנחות עבודה'!$D$202</f>
        <v>46.3</v>
      </c>
      <c r="G84" s="628">
        <f>+'הנחות עבודה'!$D$202</f>
        <v>46.3</v>
      </c>
      <c r="H84" s="628">
        <f>+'הנחות עבודה'!$D$202</f>
        <v>46.3</v>
      </c>
      <c r="I84" s="628">
        <f>+'הנחות עבודה'!$D$202</f>
        <v>46.3</v>
      </c>
      <c r="J84" s="628">
        <f>+'הנחות עבודה'!$D$202</f>
        <v>46.3</v>
      </c>
      <c r="K84" s="628">
        <f>+'הנחות עבודה'!$D$202</f>
        <v>46.3</v>
      </c>
      <c r="L84" s="628">
        <f>+'הנחות עבודה'!$D$202</f>
        <v>46.3</v>
      </c>
      <c r="M84" s="628">
        <f>+'הנחות עבודה'!$D$202</f>
        <v>46.3</v>
      </c>
      <c r="N84" s="628">
        <f>+'הנחות עבודה'!$D$202</f>
        <v>46.3</v>
      </c>
      <c r="O84" s="628">
        <f>+'הנחות עבודה'!$D$202</f>
        <v>46.3</v>
      </c>
      <c r="P84" s="628">
        <f>+'הנחות עבודה'!$D$202</f>
        <v>46.3</v>
      </c>
      <c r="Q84" s="628">
        <f>+'הנחות עבודה'!$D$202</f>
        <v>46.3</v>
      </c>
      <c r="R84" s="628">
        <f>+'הנחות עבודה'!$D$202</f>
        <v>46.3</v>
      </c>
      <c r="S84" s="628">
        <f>+'הנחות עבודה'!$D$202</f>
        <v>46.3</v>
      </c>
      <c r="T84" s="628">
        <f>+'הנחות עבודה'!$D$202</f>
        <v>46.3</v>
      </c>
      <c r="U84" s="628">
        <f>+'הנחות עבודה'!$D$202</f>
        <v>46.3</v>
      </c>
      <c r="V84" s="628">
        <f>+'הנחות עבודה'!$D$202</f>
        <v>46.3</v>
      </c>
      <c r="W84" s="628">
        <f>+'הנחות עבודה'!$D$202</f>
        <v>46.3</v>
      </c>
      <c r="X84" s="628">
        <f>+'הנחות עבודה'!$D$202</f>
        <v>46.3</v>
      </c>
      <c r="Y84" s="628">
        <f>+'הנחות עבודה'!$D$202</f>
        <v>46.3</v>
      </c>
      <c r="Z84" s="628">
        <f>+'הנחות עבודה'!$D$202</f>
        <v>46.3</v>
      </c>
      <c r="AA84" s="628">
        <f>+'הנחות עבודה'!$D$202</f>
        <v>46.3</v>
      </c>
      <c r="AB84" s="628">
        <f>+'הנחות עבודה'!$D$202</f>
        <v>46.3</v>
      </c>
      <c r="AC84" s="628">
        <f>+'הנחות עבודה'!$D$202</f>
        <v>46.3</v>
      </c>
      <c r="AD84" s="628">
        <f>+'הנחות עבודה'!$D$202</f>
        <v>46.3</v>
      </c>
      <c r="AE84" s="628">
        <f>+'הנחות עבודה'!$D$202</f>
        <v>46.3</v>
      </c>
      <c r="AF84" s="628">
        <f>+'הנחות עבודה'!$D$202</f>
        <v>46.3</v>
      </c>
      <c r="AG84" s="628">
        <f>+'הנחות עבודה'!$D$202</f>
        <v>46.3</v>
      </c>
      <c r="AH84" s="628">
        <f>+'הנחות עבודה'!$D$202</f>
        <v>46.3</v>
      </c>
      <c r="AI84" s="628">
        <f>+'הנחות עבודה'!$D$202</f>
        <v>46.3</v>
      </c>
      <c r="AJ84" s="628">
        <f>+'הנחות עבודה'!$D$202</f>
        <v>46.3</v>
      </c>
      <c r="AK84" s="628">
        <f>+'הנחות עבודה'!$D$202</f>
        <v>46.3</v>
      </c>
      <c r="AL84" s="628">
        <f>+'הנחות עבודה'!$D$202</f>
        <v>46.3</v>
      </c>
      <c r="AM84" s="628">
        <f>+'הנחות עבודה'!$D$202</f>
        <v>46.3</v>
      </c>
      <c r="AN84" s="628">
        <f>+'הנחות עבודה'!$D$202</f>
        <v>46.3</v>
      </c>
      <c r="AO84" s="628">
        <f>+'הנחות עבודה'!$D$202</f>
        <v>46.3</v>
      </c>
      <c r="AP84" s="628">
        <f>+'הנחות עבודה'!$D$202</f>
        <v>46.3</v>
      </c>
      <c r="AQ84" s="628">
        <f>+'הנחות עבודה'!$D$202</f>
        <v>46.3</v>
      </c>
      <c r="AR84" s="628">
        <f>+'הנחות עבודה'!$D$202</f>
        <v>46.3</v>
      </c>
      <c r="AS84" s="628">
        <f>+'הנחות עבודה'!$D$202</f>
        <v>46.3</v>
      </c>
      <c r="AT84" s="628">
        <f>+'הנחות עבודה'!$D$202</f>
        <v>46.3</v>
      </c>
      <c r="AU84" s="628">
        <f>+'הנחות עבודה'!$D$202</f>
        <v>46.3</v>
      </c>
      <c r="AV84" s="628">
        <f>+'הנחות עבודה'!$D$202</f>
        <v>46.3</v>
      </c>
      <c r="AW84" s="628">
        <f>+'הנחות עבודה'!$D$202</f>
        <v>46.3</v>
      </c>
      <c r="AX84" s="628">
        <f>+'הנחות עבודה'!$D$202</f>
        <v>46.3</v>
      </c>
      <c r="AY84" s="628">
        <f>+'הנחות עבודה'!$D$202</f>
        <v>46.3</v>
      </c>
      <c r="AZ84" s="628">
        <f>+'הנחות עבודה'!$D$202</f>
        <v>46.3</v>
      </c>
      <c r="BA84" s="628">
        <f>+'הנחות עבודה'!$D$202</f>
        <v>46.3</v>
      </c>
      <c r="BB84" s="628">
        <f>+'הנחות עבודה'!$D$202</f>
        <v>46.3</v>
      </c>
      <c r="BC84" s="628">
        <f>+'הנחות עבודה'!$D$202</f>
        <v>46.3</v>
      </c>
      <c r="BD84" s="628">
        <f>+'הנחות עבודה'!$D$202</f>
        <v>46.3</v>
      </c>
      <c r="BE84" s="628">
        <f>+'הנחות עבודה'!$D$202</f>
        <v>46.3</v>
      </c>
      <c r="BF84" s="628">
        <f>+'הנחות עבודה'!$D$202</f>
        <v>46.3</v>
      </c>
      <c r="BG84" s="743"/>
    </row>
    <row r="85" spans="1:59" x14ac:dyDescent="0.2">
      <c r="A85" s="1816"/>
      <c r="B85" s="376" t="s">
        <v>1013</v>
      </c>
      <c r="C85" s="625">
        <f>+VLOOKUP(C4,'כמויות מים 2014'!$C$6:$W$215,21,0)</f>
        <v>41656</v>
      </c>
      <c r="D85" s="625">
        <f>+VLOOKUP(D4,'כמויות מים 2014'!$C$6:$W$215,21,0)</f>
        <v>28199</v>
      </c>
      <c r="E85" s="625">
        <f>+VLOOKUP(E4,'כמויות מים 2014'!$C$6:$W$215,21,0)</f>
        <v>17216</v>
      </c>
      <c r="F85" s="625">
        <f>+VLOOKUP(F4,'כמויות מים 2014'!$C$6:$W$215,21,0)</f>
        <v>209606</v>
      </c>
      <c r="G85" s="625">
        <f>+VLOOKUP(G4,'כמויות מים 2014'!$C$6:$W$215,21,0)</f>
        <v>70755</v>
      </c>
      <c r="H85" s="625">
        <f>+VLOOKUP(H4,'כמויות מים 2014'!$C$6:$W$215,21,0)</f>
        <v>7487</v>
      </c>
      <c r="I85" s="625">
        <f>+VLOOKUP(I4,'כמויות מים 2014'!$C$6:$W$215,21,0)</f>
        <v>16237</v>
      </c>
      <c r="J85" s="625">
        <f>+VLOOKUP(J4,'כמויות מים 2014'!$C$6:$W$215,21,0)</f>
        <v>31796</v>
      </c>
      <c r="K85" s="625">
        <f>+VLOOKUP(K4,'כמויות מים 2014'!$C$6:$W$215,21,0)</f>
        <v>22996</v>
      </c>
      <c r="L85" s="625">
        <f>+VLOOKUP(L4,'כמויות מים 2014'!$C$6:$W$215,21,0)</f>
        <v>44095</v>
      </c>
      <c r="M85" s="625">
        <f>+VLOOKUP(M4,'כמויות מים 2014'!$C$6:$W$215,21,0)</f>
        <v>76012</v>
      </c>
      <c r="N85" s="625">
        <f>+VLOOKUP(N4,'כמויות מים 2014'!$C$6:$W$215,21,0)</f>
        <v>28522</v>
      </c>
      <c r="O85" s="625">
        <f>+VLOOKUP(O4,'כמויות מים 2014'!$C$6:$W$215,21,0)</f>
        <v>21292</v>
      </c>
      <c r="P85" s="625">
        <f>+VLOOKUP(P4,'כמויות מים 2014'!$C$6:$W$215,21,0)</f>
        <v>17904</v>
      </c>
      <c r="Q85" s="625">
        <f>+VLOOKUP(Q4,'כמויות מים 2014'!$C$6:$W$215,21,0)</f>
        <v>88844</v>
      </c>
      <c r="R85" s="625">
        <f>+VLOOKUP(R4,'כמויות מים 2014'!$C$6:$W$215,21,0)</f>
        <v>91010</v>
      </c>
      <c r="S85" s="625">
        <f>+VLOOKUP(S4,'כמויות מים 2014'!$C$6:$W$215,21,0)</f>
        <v>106159</v>
      </c>
      <c r="T85" s="625">
        <f>+VLOOKUP(T4,'כמויות מים 2014'!$C$6:$W$215,21,0)</f>
        <v>79672</v>
      </c>
      <c r="U85" s="625">
        <f>+VLOOKUP(U4,'כמויות מים 2014'!$C$6:$W$215,21,0)</f>
        <v>21143</v>
      </c>
      <c r="V85" s="625">
        <f>+VLOOKUP(V4,'כמויות מים 2014'!$C$6:$W$215,21,0)</f>
        <v>32883</v>
      </c>
      <c r="W85" s="625">
        <f>+VLOOKUP(W4,'כמויות מים 2014'!$C$6:$W$215,21,0)</f>
        <v>38082.666666666664</v>
      </c>
      <c r="X85" s="625">
        <f>+VLOOKUP(X4,'כמויות מים 2014'!$C$6:$W$215,21,0)</f>
        <v>24228</v>
      </c>
      <c r="Y85" s="625">
        <f>+VLOOKUP(Y4,'כמויות מים 2014'!$C$6:$W$215,21,0)</f>
        <v>12565</v>
      </c>
      <c r="Z85" s="625">
        <f>+VLOOKUP(Z4,'כמויות מים 2014'!$C$6:$W$215,21,0)</f>
        <v>20785</v>
      </c>
      <c r="AA85" s="625">
        <f>+VLOOKUP(AA4,'כמויות מים 2014'!$C$6:$W$215,21,0)</f>
        <v>25070</v>
      </c>
      <c r="AB85" s="625">
        <f>+VLOOKUP(AB4,'כמויות מים 2014'!$C$6:$W$215,21,0)</f>
        <v>18084</v>
      </c>
      <c r="AC85" s="625">
        <f>+VLOOKUP(AC4,'כמויות מים 2014'!$C$6:$W$215,21,0)</f>
        <v>37850</v>
      </c>
      <c r="AD85" s="625">
        <f>+VLOOKUP(AD4,'כמויות מים 2014'!$C$6:$W$215,21,0)</f>
        <v>16385</v>
      </c>
      <c r="AE85" s="625">
        <f>+VLOOKUP(AE4,'כמויות מים 2014'!$C$6:$W$215,21,0)</f>
        <v>109807</v>
      </c>
      <c r="AF85" s="625">
        <f>+VLOOKUP(AF4,'כמויות מים 2014'!$C$6:$W$215,21,0)</f>
        <v>19285</v>
      </c>
      <c r="AG85" s="625">
        <f>+VLOOKUP(AG4,'כמויות מים 2014'!$C$6:$W$215,21,0)</f>
        <v>17455</v>
      </c>
      <c r="AH85" s="625">
        <f>+VLOOKUP(AH4,'כמויות מים 2014'!$C$6:$W$215,21,0)</f>
        <v>6812</v>
      </c>
      <c r="AI85" s="625">
        <f>+VLOOKUP(AI4,'כמויות מים 2014'!$C$6:$W$215,21,0)</f>
        <v>12387</v>
      </c>
      <c r="AJ85" s="625">
        <f>+VLOOKUP(AJ4,'כמויות מים 2014'!$C$6:$W$215,21,0)</f>
        <v>19301</v>
      </c>
      <c r="AK85" s="625">
        <f>+VLOOKUP(AK4,'כמויות מים 2014'!$C$6:$W$215,21,0)</f>
        <v>18534</v>
      </c>
      <c r="AL85" s="625">
        <f>+VLOOKUP(AL4,'כמויות מים 2014'!$C$6:$W$215,21,0)</f>
        <v>220000</v>
      </c>
      <c r="AM85" s="625">
        <f>+VLOOKUP(AM4,'כמויות מים 2014'!$C$6:$W$215,21,0)</f>
        <v>18895</v>
      </c>
      <c r="AN85" s="625">
        <f>+VLOOKUP(AN4,'כמויות מים 2014'!$C$6:$W$215,21,0)</f>
        <v>68934</v>
      </c>
      <c r="AO85" s="625">
        <f>+VLOOKUP(AO4,'כמויות מים 2014'!$C$6:$W$215,21,0)</f>
        <v>25251</v>
      </c>
      <c r="AP85" s="625">
        <f>+VLOOKUP(AP4,'כמויות מים 2014'!$C$6:$W$215,21,0)</f>
        <v>53449</v>
      </c>
      <c r="AQ85" s="625">
        <f>+VLOOKUP(AQ4,'כמויות מים 2014'!$C$6:$W$215,21,0)</f>
        <v>22766.333333333336</v>
      </c>
      <c r="AR85" s="625">
        <f>+VLOOKUP(AR4,'כמויות מים 2014'!$C$6:$W$215,21,0)</f>
        <v>34321</v>
      </c>
      <c r="AS85" s="625">
        <f>+VLOOKUP(AS4,'כמויות מים 2014'!$C$6:$W$215,21,0)</f>
        <v>16963</v>
      </c>
      <c r="AT85" s="625">
        <f>+VLOOKUP(AT4,'כמויות מים 2014'!$C$6:$W$215,21,0)</f>
        <v>16196</v>
      </c>
      <c r="AU85" s="625">
        <f>+VLOOKUP(AU4,'כמויות מים 2014'!$C$6:$W$215,21,0)</f>
        <v>17371</v>
      </c>
      <c r="AV85" s="625">
        <f>+VLOOKUP(AV4,'כמויות מים 2014'!$C$6:$W$215,21,0)</f>
        <v>18667</v>
      </c>
      <c r="AW85" s="625">
        <f>+VLOOKUP(AW4,'כמויות מים 2014'!$C$6:$W$215,21,0)</f>
        <v>23445</v>
      </c>
      <c r="AX85" s="625">
        <f>+VLOOKUP(AX4,'כמויות מים 2014'!$C$6:$W$215,21,0)</f>
        <v>55552</v>
      </c>
      <c r="AY85" s="625">
        <f>+VLOOKUP(AY4,'כמויות מים 2014'!$C$6:$W$215,21,0)</f>
        <v>28656</v>
      </c>
      <c r="AZ85" s="625">
        <f>+VLOOKUP(AZ4,'כמויות מים 2014'!$C$6:$W$215,21,0)+'נתוני מים 2014'!D165/3</f>
        <v>22430.666666666668</v>
      </c>
      <c r="BA85" s="625">
        <f>+VLOOKUP(BA4,'כמויות מים 2014'!$C$6:$W$215,21,0)</f>
        <v>21167</v>
      </c>
      <c r="BB85" s="625">
        <f>+VLOOKUP(BB4,'כמויות מים 2014'!$C$6:$W$215,21,0)</f>
        <v>12817</v>
      </c>
      <c r="BC85" s="625">
        <f>+VLOOKUP(BC4,'כמויות מים 2014'!$C$6:$W$215,21,0)</f>
        <v>9308</v>
      </c>
      <c r="BD85" s="625">
        <f>+VLOOKUP(BD4,'כמויות מים 2014'!$C$6:$W$215,21,0)</f>
        <v>2788</v>
      </c>
      <c r="BE85" s="625">
        <f>+VLOOKUP(BE4,'כמויות מים 2014'!$C$6:$W$215,21,0)</f>
        <v>5282</v>
      </c>
      <c r="BF85" s="625">
        <f>+BF24</f>
        <v>42964</v>
      </c>
    </row>
    <row r="86" spans="1:59" x14ac:dyDescent="0.2">
      <c r="A86" s="1816"/>
      <c r="B86" s="376" t="s">
        <v>1051</v>
      </c>
      <c r="C86" s="776">
        <f>+VLOOKUP(C4,'כמויות מים 2014'!$C$6:$Z$215,22,0)</f>
        <v>1.932E-2</v>
      </c>
      <c r="D86" s="776">
        <f>+VLOOKUP(D4,'כמויות מים 2014'!$C$6:$Z$215,22,0)</f>
        <v>1.1162300446132449E-2</v>
      </c>
      <c r="E86" s="776">
        <f>+VLOOKUP(E4,'כמויות מים 2014'!$C$6:$Z$215,22,0)</f>
        <v>6.6559750896049248E-3</v>
      </c>
      <c r="F86" s="776">
        <f>+VLOOKUP(F4,'כמויות מים 2014'!$C$6:$Z$215,22,0)</f>
        <v>7.1050257622208023E-5</v>
      </c>
      <c r="G86" s="776">
        <f>+VLOOKUP(G4,'כמויות מים 2014'!$C$6:$Z$215,22,0)</f>
        <v>0</v>
      </c>
      <c r="H86" s="776">
        <f>+VLOOKUP(H4,'כמויות מים 2014'!$C$6:$Z$215,22,0)</f>
        <v>0</v>
      </c>
      <c r="I86" s="776">
        <f>+VLOOKUP(I4,'כמויות מים 2014'!$C$6:$Z$215,22,0)</f>
        <v>1.7558106525602891E-2</v>
      </c>
      <c r="J86" s="776">
        <f>+VLOOKUP(J4,'כמויות מים 2014'!$C$6:$Z$215,22,0)</f>
        <v>0</v>
      </c>
      <c r="K86" s="776">
        <f>+VLOOKUP(K4,'כמויות מים 2014'!$C$6:$Z$215,22,0)</f>
        <v>4.8300000000000001E-3</v>
      </c>
      <c r="L86" s="776">
        <f>+VLOOKUP(L4,'כמויות מים 2014'!$C$6:$Z$215,22,0)</f>
        <v>0</v>
      </c>
      <c r="M86" s="776">
        <f>+VLOOKUP(M4,'כמויות מים 2014'!$C$6:$Z$215,22,0)</f>
        <v>0</v>
      </c>
      <c r="N86" s="776">
        <f>+VLOOKUP(N4,'כמויות מים 2014'!$C$6:$Z$215,22,0)</f>
        <v>1.3606826394109582E-2</v>
      </c>
      <c r="O86" s="776">
        <f>+VLOOKUP(O4,'כמויות מים 2014'!$C$6:$Z$215,22,0)</f>
        <v>0</v>
      </c>
      <c r="P86" s="776">
        <f>+VLOOKUP(P4,'כמויות מים 2014'!$C$6:$Z$215,22,0)</f>
        <v>4.5680863626899855E-3</v>
      </c>
      <c r="Q86" s="776">
        <f>+VLOOKUP(Q4,'כמויות מים 2014'!$C$6:$Z$215,22,0)</f>
        <v>5.3268619183470241E-4</v>
      </c>
      <c r="R86" s="776">
        <f>+VLOOKUP(R4,'כמויות מים 2014'!$C$6:$Z$215,22,0)</f>
        <v>0</v>
      </c>
      <c r="S86" s="776">
        <f>+VLOOKUP(S4,'כמויות מים 2014'!$C$6:$Z$215,22,0)</f>
        <v>2.0930862358119959E-3</v>
      </c>
      <c r="T86" s="776">
        <f>+VLOOKUP(T4,'כמויות מים 2014'!$C$6:$Z$215,22,0)</f>
        <v>0</v>
      </c>
      <c r="U86" s="776">
        <f>+VLOOKUP(U4,'כמויות מים 2014'!$C$6:$Z$215,22,0)</f>
        <v>0</v>
      </c>
      <c r="V86" s="776">
        <f>+VLOOKUP(V4,'כמויות מים 2014'!$C$6:$Z$215,22,0)</f>
        <v>8.0991802006735343E-3</v>
      </c>
      <c r="W86" s="776">
        <f>+VLOOKUP(W4,'כמויות מים 2014'!$C$6:$Z$215,22,0)</f>
        <v>0</v>
      </c>
      <c r="X86" s="776">
        <f>+VLOOKUP(X4,'כמויות מים 2014'!$C$6:$Z$215,22,0)</f>
        <v>0</v>
      </c>
      <c r="Y86" s="776">
        <f>+VLOOKUP(Y4,'כמויות מים 2014'!$C$6:$Z$215,22,0)</f>
        <v>1.904988096167466E-3</v>
      </c>
      <c r="Z86" s="776">
        <f>+VLOOKUP(Z4,'כמויות מים 2014'!$C$6:$Z$215,22,0)</f>
        <v>0</v>
      </c>
      <c r="AA86" s="776">
        <f>+VLOOKUP(AA4,'כמויות מים 2014'!$C$6:$Z$215,22,0)</f>
        <v>0</v>
      </c>
      <c r="AB86" s="776">
        <f>+VLOOKUP(AB4,'כמויות מים 2014'!$C$6:$Z$215,22,0)</f>
        <v>4.830000000000001E-3</v>
      </c>
      <c r="AC86" s="776">
        <f>+VLOOKUP(AC4,'כמויות מים 2014'!$C$6:$Z$215,22,0)</f>
        <v>0</v>
      </c>
      <c r="AD86" s="776">
        <f>+VLOOKUP(AD4,'כמויות מים 2014'!$C$6:$Z$215,22,0)</f>
        <v>0</v>
      </c>
      <c r="AE86" s="776">
        <f>+VLOOKUP(AE4,'כמויות מים 2014'!$C$6:$Z$215,22,0)</f>
        <v>0</v>
      </c>
      <c r="AF86" s="776">
        <f>+VLOOKUP(AF4,'כמויות מים 2014'!$C$6:$Z$215,22,0)</f>
        <v>0</v>
      </c>
      <c r="AG86" s="776">
        <f>+VLOOKUP(AG4,'כמויות מים 2014'!$C$6:$Z$215,22,0)</f>
        <v>0</v>
      </c>
      <c r="AH86" s="776">
        <f>+VLOOKUP(AH4,'כמויות מים 2014'!$C$6:$Z$215,22,0)</f>
        <v>1.932E-2</v>
      </c>
      <c r="AI86" s="776">
        <f>+VLOOKUP(AI4,'כמויות מים 2014'!$C$6:$Z$215,22,0)</f>
        <v>0</v>
      </c>
      <c r="AJ86" s="776">
        <f>+VLOOKUP(AJ4,'כמויות מים 2014'!$C$6:$Z$215,22,0)</f>
        <v>3.514242218979008E-3</v>
      </c>
      <c r="AK86" s="776">
        <f>+VLOOKUP(AK4,'כמויות מים 2014'!$C$6:$Z$215,22,0)</f>
        <v>0</v>
      </c>
      <c r="AL86" s="776">
        <f>+VLOOKUP(AL4,'כמויות מים 2014'!$C$6:$Z$215,22,0)</f>
        <v>0</v>
      </c>
      <c r="AM86" s="776">
        <f>+VLOOKUP(AM4,'כמויות מים 2014'!$C$6:$Z$215,22,0)</f>
        <v>0</v>
      </c>
      <c r="AN86" s="776">
        <f>+VLOOKUP(AN4,'כמויות מים 2014'!$C$6:$Z$215,22,0)</f>
        <v>0</v>
      </c>
      <c r="AO86" s="776">
        <f>+VLOOKUP(AO4,'כמויות מים 2014'!$C$6:$Z$215,22,0)</f>
        <v>0</v>
      </c>
      <c r="AP86" s="776">
        <f>+VLOOKUP(AP4,'כמויות מים 2014'!$C$6:$Z$215,22,0)</f>
        <v>0</v>
      </c>
      <c r="AQ86" s="776">
        <f>+VLOOKUP(AQ4,'כמויות מים 2014'!$C$6:$Z$215,22,0)</f>
        <v>0</v>
      </c>
      <c r="AR86" s="776">
        <f>+VLOOKUP(AR4,'כמויות מים 2014'!$C$6:$Z$215,22,0)</f>
        <v>1.3623056711439509E-2</v>
      </c>
      <c r="AS86" s="776">
        <f>+VLOOKUP(AS4,'כמויות מים 2014'!$C$6:$Z$215,22,0)</f>
        <v>4.8300000000000001E-3</v>
      </c>
      <c r="AT86" s="776">
        <f>+VLOOKUP(AT4,'כמויות מים 2014'!$C$6:$Z$215,22,0)</f>
        <v>0</v>
      </c>
      <c r="AU86" s="776">
        <f>+VLOOKUP(AU4,'כמויות מים 2014'!$C$6:$Z$215,22,0)</f>
        <v>0</v>
      </c>
      <c r="AV86" s="776">
        <f>+VLOOKUP(AV4,'כמויות מים 2014'!$C$6:$Z$215,22,0)</f>
        <v>1.4373711780953913E-2</v>
      </c>
      <c r="AW86" s="776">
        <f>+VLOOKUP(AW4,'כמויות מים 2014'!$C$6:$Z$215,22,0)</f>
        <v>1.8540028612944626E-2</v>
      </c>
      <c r="AX86" s="776">
        <f>+VLOOKUP(AX4,'כמויות מים 2014'!$C$6:$Z$215,22,0)</f>
        <v>1.684301800857686E-3</v>
      </c>
      <c r="AY86" s="776">
        <f>+VLOOKUP(AY4,'כמויות מים 2014'!$C$6:$Z$215,22,0)</f>
        <v>3.2686559686373987E-3</v>
      </c>
      <c r="AZ86" s="776">
        <f>+VLOOKUP(AZ4,'כמויות מים 2014'!$C$6:$Z$215,22,0)</f>
        <v>0</v>
      </c>
      <c r="BA86" s="776">
        <f>+VLOOKUP(BA4,'כמויות מים 2014'!$C$6:$Z$215,22,0)</f>
        <v>9.6600000000000002E-3</v>
      </c>
      <c r="BB86" s="776">
        <f>+VLOOKUP(BB4,'כמויות מים 2014'!$C$6:$Z$215,22,0)</f>
        <v>9.7721125124248503E-3</v>
      </c>
      <c r="BC86" s="776">
        <f>+VLOOKUP(BC4,'כמויות מים 2014'!$C$6:$Z$215,22,0)</f>
        <v>1.7471339542164635E-2</v>
      </c>
      <c r="BD86" s="776">
        <f>+VLOOKUP(BD4,'כמויות מים 2014'!$C$6:$Z$215,22,0)</f>
        <v>0</v>
      </c>
      <c r="BE86" s="776">
        <f>+VLOOKUP(BE4,'כמויות מים 2014'!$C$6:$Z$215,22,0)</f>
        <v>0</v>
      </c>
      <c r="BF86" s="776">
        <v>0</v>
      </c>
    </row>
    <row r="87" spans="1:59" x14ac:dyDescent="0.2">
      <c r="A87" s="1817"/>
      <c r="B87" s="376" t="s">
        <v>1059</v>
      </c>
      <c r="C87" s="627">
        <f>(+C84*C85/1000+C86*C85/1000)/C83</f>
        <v>0.17897981654889142</v>
      </c>
      <c r="D87" s="627">
        <f>(+D84*D85/1000+D86*D85/1000)/D83</f>
        <v>0.13981449323091419</v>
      </c>
      <c r="E87" s="627">
        <f t="shared" ref="E87:BE87" si="60">(+E84*E85/1000+E86*E85/1000)/E83</f>
        <v>0.18703118806081412</v>
      </c>
      <c r="F87" s="627">
        <f>(+F84*F85/1000+F86*F85/1000)/F83</f>
        <v>0.17870351298199191</v>
      </c>
      <c r="G87" s="627">
        <f t="shared" si="60"/>
        <v>0.19214444315994528</v>
      </c>
      <c r="H87" s="627">
        <f t="shared" si="60"/>
        <v>0.17293606793159547</v>
      </c>
      <c r="I87" s="627">
        <f t="shared" si="60"/>
        <v>0.17349809247047848</v>
      </c>
      <c r="J87" s="627">
        <f t="shared" si="60"/>
        <v>0.20245789951112655</v>
      </c>
      <c r="K87" s="627">
        <f t="shared" si="60"/>
        <v>0.19750539948985196</v>
      </c>
      <c r="L87" s="627">
        <f t="shared" si="60"/>
        <v>0.2056201436985326</v>
      </c>
      <c r="M87" s="627">
        <f t="shared" si="60"/>
        <v>0.21042803218488146</v>
      </c>
      <c r="N87" s="627">
        <f t="shared" si="60"/>
        <v>0.14314563957719964</v>
      </c>
      <c r="O87" s="627">
        <f t="shared" si="60"/>
        <v>0.1735127753237283</v>
      </c>
      <c r="P87" s="627">
        <f t="shared" si="60"/>
        <v>0.17580027160210893</v>
      </c>
      <c r="Q87" s="627">
        <f t="shared" si="60"/>
        <v>0.19654512314048456</v>
      </c>
      <c r="R87" s="627">
        <f t="shared" si="60"/>
        <v>0.22581848531690002</v>
      </c>
      <c r="S87" s="627">
        <f t="shared" si="60"/>
        <v>0.24995333890434243</v>
      </c>
      <c r="T87" s="627">
        <f t="shared" si="60"/>
        <v>0.18583691923343054</v>
      </c>
      <c r="U87" s="627">
        <f t="shared" si="60"/>
        <v>8.8336780009476895E-2</v>
      </c>
      <c r="V87" s="627">
        <f t="shared" si="60"/>
        <v>0.1773328526052062</v>
      </c>
      <c r="W87" s="627">
        <f t="shared" si="60"/>
        <v>0.20171213165019808</v>
      </c>
      <c r="X87" s="627">
        <f t="shared" si="60"/>
        <v>0.17269026263395063</v>
      </c>
      <c r="Y87" s="627">
        <f t="shared" si="60"/>
        <v>0.18174615486457477</v>
      </c>
      <c r="Z87" s="627">
        <f t="shared" si="60"/>
        <v>0.24568250579712325</v>
      </c>
      <c r="AA87" s="627">
        <f t="shared" si="60"/>
        <v>0.17480791687587555</v>
      </c>
      <c r="AB87" s="627">
        <f t="shared" si="60"/>
        <v>0.12332631397161029</v>
      </c>
      <c r="AC87" s="627">
        <f t="shared" si="60"/>
        <v>0.16738149873565222</v>
      </c>
      <c r="AD87" s="627">
        <f t="shared" si="60"/>
        <v>0.16111268504187176</v>
      </c>
      <c r="AE87" s="627">
        <f t="shared" si="60"/>
        <v>0.21993941532845918</v>
      </c>
      <c r="AF87" s="627">
        <f t="shared" si="60"/>
        <v>0.16496682910318489</v>
      </c>
      <c r="AG87" s="627">
        <f t="shared" si="60"/>
        <v>0.21565115365608167</v>
      </c>
      <c r="AH87" s="627">
        <f t="shared" si="60"/>
        <v>9.9399749061690579E-2</v>
      </c>
      <c r="AI87" s="627">
        <f t="shared" si="60"/>
        <v>0.1488315599105326</v>
      </c>
      <c r="AJ87" s="627">
        <f t="shared" si="60"/>
        <v>0.27274617796661393</v>
      </c>
      <c r="AK87" s="627">
        <f t="shared" si="60"/>
        <v>0.29360073820660548</v>
      </c>
      <c r="AL87" s="627">
        <f t="shared" si="60"/>
        <v>0.22083774775763287</v>
      </c>
      <c r="AM87" s="627">
        <f t="shared" si="60"/>
        <v>0.15245572217056166</v>
      </c>
      <c r="AN87" s="627">
        <f t="shared" si="60"/>
        <v>0.26538581562559993</v>
      </c>
      <c r="AO87" s="627">
        <f t="shared" si="60"/>
        <v>0.31191115536286118</v>
      </c>
      <c r="AP87" s="627">
        <f t="shared" si="60"/>
        <v>0.27416093155096338</v>
      </c>
      <c r="AQ87" s="627">
        <f t="shared" si="60"/>
        <v>0.19684887416972841</v>
      </c>
      <c r="AR87" s="627">
        <f t="shared" si="60"/>
        <v>0.15393244811129964</v>
      </c>
      <c r="AS87" s="627">
        <f t="shared" si="60"/>
        <v>0.22946065441971022</v>
      </c>
      <c r="AT87" s="627">
        <f t="shared" si="60"/>
        <v>0.25767405867977378</v>
      </c>
      <c r="AU87" s="627">
        <f t="shared" si="60"/>
        <v>0.17073631183873106</v>
      </c>
      <c r="AV87" s="627">
        <f t="shared" si="60"/>
        <v>0.15135768665372923</v>
      </c>
      <c r="AW87" s="627">
        <f t="shared" si="60"/>
        <v>0.1506618428505887</v>
      </c>
      <c r="AX87" s="627">
        <f t="shared" si="60"/>
        <v>0.17911459682389996</v>
      </c>
      <c r="AY87" s="627">
        <f t="shared" si="60"/>
        <v>0.1998161365894198</v>
      </c>
      <c r="AZ87" s="627">
        <f t="shared" si="60"/>
        <v>0.17652578744164832</v>
      </c>
      <c r="BA87" s="627">
        <f t="shared" si="60"/>
        <v>0.17013273107343985</v>
      </c>
      <c r="BB87" s="627">
        <f t="shared" si="60"/>
        <v>0.12400983156961115</v>
      </c>
      <c r="BC87" s="627">
        <f t="shared" si="60"/>
        <v>7.132480920738371E-2</v>
      </c>
      <c r="BD87" s="627">
        <f>(+BD84*BD85/1000+BD86*BD85/1000)/BD83+(+BD84*35000/1000+BD86*35000/1000)/(+'נתוני מים 2014'!G179/1000-'נתוני מים 2014'!K179/1000-'נתוני מים 2014'!M179/1000)</f>
        <v>0.36248674397439817</v>
      </c>
      <c r="BE87" s="627">
        <f t="shared" si="60"/>
        <v>0.20844034914414339</v>
      </c>
      <c r="BF87" s="627">
        <f t="shared" ref="BF87" si="61">(+BF84*BF85/1000+BF86*BF85/1000)/BF83</f>
        <v>0.19086571393399121</v>
      </c>
      <c r="BG87" s="777"/>
    </row>
    <row r="88" spans="1:59" x14ac:dyDescent="0.2">
      <c r="A88" s="765"/>
      <c r="B88" s="376"/>
      <c r="C88" s="627"/>
      <c r="D88" s="627"/>
      <c r="E88" s="627"/>
      <c r="F88" s="627"/>
      <c r="G88" s="627"/>
      <c r="H88" s="627"/>
      <c r="I88" s="627"/>
      <c r="J88" s="627"/>
      <c r="K88" s="627"/>
      <c r="L88" s="627"/>
      <c r="M88" s="627"/>
      <c r="N88" s="627"/>
      <c r="O88" s="627"/>
      <c r="P88" s="627"/>
      <c r="Q88" s="627"/>
      <c r="R88" s="627"/>
      <c r="S88" s="627"/>
      <c r="T88" s="627"/>
      <c r="U88" s="627"/>
      <c r="V88" s="627"/>
      <c r="W88" s="627"/>
      <c r="X88" s="627"/>
      <c r="Y88" s="627"/>
      <c r="Z88" s="627"/>
      <c r="AA88" s="627"/>
      <c r="AB88" s="627"/>
      <c r="AC88" s="627"/>
      <c r="AD88" s="627"/>
      <c r="AE88" s="627"/>
      <c r="AF88" s="627"/>
      <c r="AG88" s="627"/>
      <c r="AH88" s="627"/>
      <c r="AI88" s="627"/>
      <c r="AJ88" s="627"/>
      <c r="AK88" s="627"/>
      <c r="AL88" s="627"/>
      <c r="AM88" s="627"/>
      <c r="AN88" s="627"/>
      <c r="AO88" s="627"/>
      <c r="AP88" s="627"/>
      <c r="AQ88" s="627"/>
      <c r="AR88" s="627"/>
      <c r="AS88" s="627"/>
      <c r="AT88" s="627"/>
      <c r="AU88" s="627"/>
      <c r="AV88" s="627"/>
      <c r="AW88" s="627"/>
      <c r="AX88" s="627"/>
      <c r="AY88" s="627"/>
      <c r="AZ88" s="627"/>
      <c r="BA88" s="627"/>
      <c r="BB88" s="627"/>
      <c r="BC88" s="627"/>
      <c r="BD88" s="627"/>
      <c r="BE88" s="627"/>
      <c r="BF88" s="627"/>
    </row>
    <row r="89" spans="1:59" x14ac:dyDescent="0.2">
      <c r="A89" s="1815" t="s">
        <v>1060</v>
      </c>
      <c r="B89" s="376" t="s">
        <v>1044</v>
      </c>
      <c r="C89" s="625">
        <f>+VLOOKUP(C5,'[19]כמויות מים תאגיד מרחבי'!$B$8:$G$118,6,0)</f>
        <v>38208.955000000002</v>
      </c>
      <c r="D89" s="625">
        <f>+VLOOKUP(D5,'[19]כמויות מים תאגיד מרחבי'!$B$8:$G$118,6,0)</f>
        <v>37754.264000000003</v>
      </c>
      <c r="E89" s="625">
        <f>+VLOOKUP(E5,'[19]כמויות מים תאגיד מרחבי'!$B$8:$G$118,6,0)</f>
        <v>20237.499</v>
      </c>
      <c r="F89" s="625">
        <f>+VLOOKUP(F5,'[19]כמויות מים תאגיד מרחבי'!$B$8:$G$118,6,0)</f>
        <v>60830.849000000002</v>
      </c>
      <c r="G89" s="625">
        <f>+VLOOKUP(G5,'[19]כמויות מים תאגיד מרחבי'!$B$8:$G$118,6,0)</f>
        <v>40640.303000000007</v>
      </c>
      <c r="H89" s="625">
        <f>+VLOOKUP(H5,'[19]כמויות מים תאגיד מרחבי'!$B$8:$G$118,6,0)</f>
        <v>1778.4359999999999</v>
      </c>
      <c r="I89" s="625">
        <f>+VLOOKUP(I5,'[19]כמויות מים תאגיד מרחבי'!$B$8:$G$118,6,0)</f>
        <v>37754.264000000003</v>
      </c>
      <c r="J89" s="625">
        <f>+VLOOKUP(J5,'[19]כמויות מים תאגיד מרחבי'!$B$8:$G$118,6,0)</f>
        <v>46803.215999999993</v>
      </c>
      <c r="K89" s="625">
        <f>+VLOOKUP(K5,'[19]כמויות מים תאגיד מרחבי'!$B$8:$G$118,6,0)</f>
        <v>45670.491999999991</v>
      </c>
      <c r="L89" s="625">
        <f>+VLOOKUP(L5,'[19]כמויות מים תאגיד מרחבי'!$B$8:$G$118,6,0)</f>
        <v>37754.264000000003</v>
      </c>
      <c r="M89" s="625">
        <f>+VLOOKUP(M5,'[19]כמויות מים תאגיד מרחבי'!$B$8:$G$118,6,0)</f>
        <v>46803.215999999993</v>
      </c>
      <c r="N89" s="625">
        <f>+VLOOKUP(N5,'[19]כמויות מים תאגיד מרחבי'!$B$8:$G$118,6,0)</f>
        <v>46803.215999999993</v>
      </c>
      <c r="O89" s="625">
        <f>+VLOOKUP(O5,'[19]כמויות מים תאגיד מרחבי'!$B$8:$G$118,6,0)</f>
        <v>42017.929000000004</v>
      </c>
      <c r="P89" s="625">
        <f>+VLOOKUP(P5,'[19]כמויות מים תאגיד מרחבי'!$B$8:$G$118,6,0)</f>
        <v>20237.499</v>
      </c>
      <c r="Q89" s="625">
        <f>+VLOOKUP(Q5,'[19]כמויות מים תאגיד מרחבי'!$B$8:$G$118,6,0)</f>
        <v>45999.830999999991</v>
      </c>
      <c r="R89" s="625">
        <f>+VLOOKUP(R5,'[19]כמויות מים תאגיד מרחבי'!$B$8:$G$118,6,0)</f>
        <v>42017.929000000004</v>
      </c>
      <c r="S89" s="625">
        <f>+VLOOKUP(S5,'[19]כמויות מים תאגיד מרחבי'!$B$8:$G$118,6,0)</f>
        <v>38208.955000000002</v>
      </c>
      <c r="T89" s="625">
        <f>+VLOOKUP(T5,'[19]כמויות מים תאגיד מרחבי'!$B$8:$G$118,6,0)</f>
        <v>45670.491999999991</v>
      </c>
      <c r="U89" s="625">
        <f>+VLOOKUP(U5,'[19]כמויות מים תאגיד מרחבי'!$B$8:$G$118,6,0)</f>
        <v>10977.175999999999</v>
      </c>
      <c r="V89" s="625">
        <f>+VLOOKUP(V5,'[19]כמויות מים תאגיד מרחבי'!$B$8:$G$118,6,0)</f>
        <v>20237.499</v>
      </c>
      <c r="W89" s="625">
        <f>+VLOOKUP(W5,'[19]כמויות מים תאגיד מרחבי'!$B$8:$G$118,6,0)</f>
        <v>45670.491999999991</v>
      </c>
      <c r="X89" s="625">
        <f>+VLOOKUP(X5,'[19]כמויות מים תאגיד מרחבי'!$B$8:$G$118,6,0)</f>
        <v>45670.491999999991</v>
      </c>
      <c r="Y89" s="625">
        <f>+VLOOKUP(Y5,'[19]כמויות מים תאגיד מרחבי'!$B$8:$G$118,6,0)</f>
        <v>25231.761000000002</v>
      </c>
      <c r="Z89" s="625">
        <f>+VLOOKUP(Z5,'[19]כמויות מים תאגיד מרחבי'!$B$8:$G$118,6,0)</f>
        <v>42694.096999999994</v>
      </c>
      <c r="AA89" s="625">
        <f>+VLOOKUP(AA5,'[19]כמויות מים תאגיד מרחבי'!$B$8:$G$118,6,0)</f>
        <v>36481.583000000006</v>
      </c>
      <c r="AB89" s="625">
        <f>+VLOOKUP(AB5,'[19]כמויות מים תאגיד מרחבי'!$B$8:$G$118,6,0)</f>
        <v>45999.830999999991</v>
      </c>
      <c r="AC89" s="625">
        <f>+VLOOKUP(AC5,'[19]כמויות מים תאגיד מרחבי'!$B$8:$G$118,6,0)</f>
        <v>36481.583000000006</v>
      </c>
      <c r="AD89" s="625">
        <f>+VLOOKUP(AD5,'[19]כמויות מים תאגיד מרחבי'!$B$8:$G$118,6,0)</f>
        <v>36481.583000000006</v>
      </c>
      <c r="AE89" s="625">
        <f>+VLOOKUP(AE5,'[19]כמויות מים תאגיד מרחבי'!$B$8:$G$118,6,0)</f>
        <v>42694.096999999994</v>
      </c>
      <c r="AF89" s="625">
        <f>+VLOOKUP(AF5,'[19]כמויות מים תאגיד מרחבי'!$B$8:$G$118,6,0)</f>
        <v>40640.303000000007</v>
      </c>
      <c r="AG89" s="625">
        <f>+VLOOKUP(AG5,'[19]כמויות מים תאגיד מרחבי'!$B$8:$G$118,6,0)</f>
        <v>25231.761000000002</v>
      </c>
      <c r="AH89" s="625">
        <f>+VLOOKUP(AH5,'[19]כמויות מים תאגיד מרחבי'!$B$8:$G$118,6,0)</f>
        <v>45999.830999999991</v>
      </c>
      <c r="AI89" s="625">
        <f>+VLOOKUP(AI5,'[19]כמויות מים תאגיד מרחבי'!$B$8:$G$118,6,0)</f>
        <v>38208.955000000002</v>
      </c>
      <c r="AJ89" s="625">
        <f>+VLOOKUP(AJ5,'[19]כמויות מים תאגיד מרחבי'!$B$8:$G$118,6,0)</f>
        <v>42694.096999999994</v>
      </c>
      <c r="AK89" s="625">
        <f>+VLOOKUP(AK5,'[19]כמויות מים תאגיד מרחבי'!$B$8:$G$118,6,0)</f>
        <v>42694.096999999994</v>
      </c>
      <c r="AL89" s="625">
        <f>+VLOOKUP(AL5,'[19]כמויות מים תאגיד מרחבי'!$B$8:$G$118,6,0)</f>
        <v>61479.296000000002</v>
      </c>
      <c r="AM89" s="625">
        <f>+VLOOKUP(AM5,'[19]כמויות מים תאגיד מרחבי'!$B$8:$G$118,6,0)</f>
        <v>46803.215999999993</v>
      </c>
      <c r="AN89" s="625">
        <f>+VLOOKUP(AN5,'[19]כמויות מים תאגיד מרחבי'!$B$8:$G$118,6,0)</f>
        <v>61479.296000000002</v>
      </c>
      <c r="AO89" s="625">
        <f>+VLOOKUP(AO5,'[19]כמויות מים תאגיד מרחבי'!$B$8:$G$118,6,0)</f>
        <v>61479.296000000002</v>
      </c>
      <c r="AP89" s="625">
        <f>+VLOOKUP(AP5,'[19]כמויות מים תאגיד מרחבי'!$B$8:$G$118,6,0)</f>
        <v>42017.929000000004</v>
      </c>
      <c r="AQ89" s="625">
        <f>+VLOOKUP(AQ5,'[19]כמויות מים תאגיד מרחבי'!$B$8:$G$118,6,0)</f>
        <v>38208.955000000002</v>
      </c>
      <c r="AR89" s="625">
        <f>+VLOOKUP(AR5,'[19]כמויות מים תאגיד מרחבי'!$B$8:$G$118,6,0)</f>
        <v>37754.264000000003</v>
      </c>
      <c r="AS89" s="625">
        <f>+VLOOKUP(AS5,'[19]כמויות מים תאגיד מרחבי'!$B$8:$G$118,6,0)</f>
        <v>42694.096999999994</v>
      </c>
      <c r="AT89" s="625">
        <f>+VLOOKUP(AT5,'[19]כמויות מים תאגיד מרחבי'!$B$8:$G$118,6,0)</f>
        <v>42694.096999999994</v>
      </c>
      <c r="AU89" s="625">
        <f>+VLOOKUP(AU5,'[19]כמויות מים תאגיד מרחבי'!$B$8:$G$118,6,0)</f>
        <v>36481.583000000006</v>
      </c>
      <c r="AV89" s="625">
        <f>+VLOOKUP(AV5,'[19]כמויות מים תאגיד מרחבי'!$B$8:$G$118,6,0)</f>
        <v>25231.761000000002</v>
      </c>
      <c r="AW89" s="625">
        <f>+VLOOKUP(AW5,'[19]כמויות מים תאגיד מרחבי'!$B$8:$G$118,6,0)</f>
        <v>25231.761000000002</v>
      </c>
      <c r="AX89" s="625">
        <f>+VLOOKUP(AX5,'[19]כמויות מים תאגיד מרחבי'!$B$8:$G$118,6,0)</f>
        <v>40640.303000000007</v>
      </c>
      <c r="AY89" s="625">
        <f>+VLOOKUP(AY5,'[19]כמויות מים תאגיד מרחבי'!$B$8:$G$118,6,0)</f>
        <v>45999.830999999991</v>
      </c>
      <c r="AZ89" s="625">
        <f>+VLOOKUP(AZ5,'[19]כמויות מים תאגיד מרחבי'!$B$8:$G$118,6,0)</f>
        <v>37754.264000000003</v>
      </c>
      <c r="BA89" s="625">
        <f>+VLOOKUP(BA5,'[19]כמויות מים תאגיד מרחבי'!$B$8:$G$118,6,0)</f>
        <v>45670.491999999991</v>
      </c>
      <c r="BB89" s="625">
        <f>+VLOOKUP(BB5,'[19]כמויות מים תאגיד מרחבי'!$B$8:$G$118,6,0)</f>
        <v>36481.583000000006</v>
      </c>
      <c r="BC89" s="625">
        <f>+VLOOKUP(BC5,'[19]כמויות מים תאגיד מרחבי'!$B$8:$G$118,6,0)</f>
        <v>45999.830999999991</v>
      </c>
      <c r="BD89" s="625">
        <f>+VLOOKUP(BD5,'[19]כמויות מים תאגיד מרחבי'!$B$8:$G$118,6,0)</f>
        <v>36481.583000000006</v>
      </c>
      <c r="BE89" s="625">
        <f>+VLOOKUP(BE5,'[19]כמויות מים תאגיד מרחבי'!$B$8:$G$118,6,0)</f>
        <v>38208.955000000002</v>
      </c>
      <c r="BF89" s="625">
        <f>+VLOOKUP(BF5,'[19]כמויות מים תאגיד מרחבי'!$B$8:$G$118,6,0)</f>
        <v>42017.929000000004</v>
      </c>
    </row>
    <row r="90" spans="1:59" x14ac:dyDescent="0.2">
      <c r="A90" s="1816"/>
      <c r="B90" s="376" t="s">
        <v>1047</v>
      </c>
      <c r="C90" s="627">
        <f>+C71</f>
        <v>1.0421521666666667</v>
      </c>
      <c r="D90" s="627">
        <f t="shared" ref="D90:BE90" si="62">+D71</f>
        <v>1.0276862333333334</v>
      </c>
      <c r="E90" s="627">
        <f t="shared" si="62"/>
        <v>0.89932316000000001</v>
      </c>
      <c r="F90" s="627">
        <f t="shared" si="62"/>
        <v>1.2427147166666668</v>
      </c>
      <c r="G90" s="627">
        <f t="shared" si="62"/>
        <v>1.0502592500000001</v>
      </c>
      <c r="H90" s="627">
        <f t="shared" si="62"/>
        <v>0.3</v>
      </c>
      <c r="I90" s="627">
        <f t="shared" si="62"/>
        <v>1.0276862333333334</v>
      </c>
      <c r="J90" s="627">
        <f t="shared" si="62"/>
        <v>1.1599967499999999</v>
      </c>
      <c r="K90" s="627">
        <f t="shared" si="62"/>
        <v>1.2002621333333334</v>
      </c>
      <c r="L90" s="627">
        <f t="shared" si="62"/>
        <v>1.0276862333333334</v>
      </c>
      <c r="M90" s="627">
        <f t="shared" si="62"/>
        <v>1.1599967499999999</v>
      </c>
      <c r="N90" s="627">
        <f t="shared" si="62"/>
        <v>1.1599967499999999</v>
      </c>
      <c r="O90" s="627">
        <f t="shared" si="62"/>
        <v>1.0631677500000001</v>
      </c>
      <c r="P90" s="627">
        <f t="shared" si="62"/>
        <v>0.89932316000000001</v>
      </c>
      <c r="Q90" s="627">
        <f t="shared" si="62"/>
        <v>1.1009486333333334</v>
      </c>
      <c r="R90" s="627">
        <f t="shared" si="62"/>
        <v>1.0631677500000001</v>
      </c>
      <c r="S90" s="627">
        <f t="shared" si="62"/>
        <v>1.0421521666666667</v>
      </c>
      <c r="T90" s="627">
        <f t="shared" si="62"/>
        <v>1.2002621333333334</v>
      </c>
      <c r="U90" s="627">
        <f t="shared" si="62"/>
        <v>0.47</v>
      </c>
      <c r="V90" s="627">
        <f t="shared" si="62"/>
        <v>0.89932316000000001</v>
      </c>
      <c r="W90" s="627">
        <f t="shared" si="62"/>
        <v>1.2002621333333334</v>
      </c>
      <c r="X90" s="627">
        <f t="shared" si="62"/>
        <v>1.2002621333333334</v>
      </c>
      <c r="Y90" s="627">
        <f t="shared" si="62"/>
        <v>0.92401250499999998</v>
      </c>
      <c r="Z90" s="627">
        <f t="shared" si="62"/>
        <v>1.0520002666666666</v>
      </c>
      <c r="AA90" s="627">
        <f t="shared" si="62"/>
        <v>0.99159288000000001</v>
      </c>
      <c r="AB90" s="627">
        <f t="shared" si="62"/>
        <v>1.1009486333333334</v>
      </c>
      <c r="AC90" s="627">
        <f t="shared" si="62"/>
        <v>0.99159288000000001</v>
      </c>
      <c r="AD90" s="627">
        <f t="shared" si="62"/>
        <v>0.99159288000000001</v>
      </c>
      <c r="AE90" s="627">
        <f t="shared" si="62"/>
        <v>1.0520002666666666</v>
      </c>
      <c r="AF90" s="627">
        <f t="shared" si="62"/>
        <v>1.0502592500000001</v>
      </c>
      <c r="AG90" s="627">
        <f t="shared" si="62"/>
        <v>0.92401250499999998</v>
      </c>
      <c r="AH90" s="627">
        <f t="shared" si="62"/>
        <v>1.1009486333333334</v>
      </c>
      <c r="AI90" s="627">
        <f t="shared" si="62"/>
        <v>1.0421521666666667</v>
      </c>
      <c r="AJ90" s="627">
        <f t="shared" si="62"/>
        <v>1.0520002666666666</v>
      </c>
      <c r="AK90" s="627">
        <f t="shared" si="62"/>
        <v>1.0520002666666666</v>
      </c>
      <c r="AL90" s="627">
        <f t="shared" si="62"/>
        <v>1.3649840500000001</v>
      </c>
      <c r="AM90" s="627">
        <f t="shared" si="62"/>
        <v>1.1599967499999999</v>
      </c>
      <c r="AN90" s="627">
        <f t="shared" si="62"/>
        <v>1.3649840500000001</v>
      </c>
      <c r="AO90" s="627">
        <f t="shared" si="62"/>
        <v>1.3649840500000001</v>
      </c>
      <c r="AP90" s="627">
        <f t="shared" si="62"/>
        <v>1.0631677500000001</v>
      </c>
      <c r="AQ90" s="627">
        <f t="shared" si="62"/>
        <v>1.0421521666666667</v>
      </c>
      <c r="AR90" s="627">
        <f t="shared" si="62"/>
        <v>1.0276862333333334</v>
      </c>
      <c r="AS90" s="627">
        <f t="shared" si="62"/>
        <v>1.0520002666666666</v>
      </c>
      <c r="AT90" s="627">
        <f t="shared" si="62"/>
        <v>1.0520002666666666</v>
      </c>
      <c r="AU90" s="627">
        <f t="shared" si="62"/>
        <v>0.99159288000000001</v>
      </c>
      <c r="AV90" s="627">
        <f t="shared" si="62"/>
        <v>0.92401250499999998</v>
      </c>
      <c r="AW90" s="627">
        <f t="shared" si="62"/>
        <v>0.92401250499999998</v>
      </c>
      <c r="AX90" s="627">
        <f t="shared" si="62"/>
        <v>1.0502592500000001</v>
      </c>
      <c r="AY90" s="627">
        <f t="shared" si="62"/>
        <v>1.1009486333333334</v>
      </c>
      <c r="AZ90" s="627">
        <f t="shared" si="62"/>
        <v>1.0276862333333334</v>
      </c>
      <c r="BA90" s="627">
        <f t="shared" si="62"/>
        <v>1.2002621333333334</v>
      </c>
      <c r="BB90" s="627">
        <f t="shared" si="62"/>
        <v>0.99159288000000001</v>
      </c>
      <c r="BC90" s="627">
        <f t="shared" si="62"/>
        <v>1.1009486333333334</v>
      </c>
      <c r="BD90" s="627">
        <f t="shared" si="62"/>
        <v>0.99159288000000001</v>
      </c>
      <c r="BE90" s="627">
        <f t="shared" si="62"/>
        <v>1.0421521666666667</v>
      </c>
      <c r="BF90" s="627">
        <f t="shared" ref="BF90" si="63">+BF71</f>
        <v>1.0631677500000001</v>
      </c>
    </row>
    <row r="91" spans="1:59" x14ac:dyDescent="0.2">
      <c r="A91" s="1816"/>
      <c r="B91" s="376" t="s">
        <v>1060</v>
      </c>
      <c r="C91" s="625">
        <f>+'הנחות עבודה'!$D$220</f>
        <v>3823</v>
      </c>
      <c r="D91" s="625">
        <f>+'[19]תקורת רשת מים וביוב'!$B$13</f>
        <v>3823</v>
      </c>
      <c r="E91" s="625">
        <f>+'[19]תקורת רשת מים וביוב'!$B$13</f>
        <v>3823</v>
      </c>
      <c r="F91" s="625">
        <f>+'[19]תקורת רשת מים וביוב'!$B$13</f>
        <v>3823</v>
      </c>
      <c r="G91" s="625">
        <f>+'[19]תקורת רשת מים וביוב'!$B$13</f>
        <v>3823</v>
      </c>
      <c r="H91" s="625">
        <f>+'[19]תקורת רשת מים וביוב'!$B$13</f>
        <v>3823</v>
      </c>
      <c r="I91" s="625">
        <f>+'[19]תקורת רשת מים וביוב'!$B$13</f>
        <v>3823</v>
      </c>
      <c r="J91" s="625">
        <f>+'[19]תקורת רשת מים וביוב'!$B$13</f>
        <v>3823</v>
      </c>
      <c r="K91" s="625">
        <f>+'[19]תקורת רשת מים וביוב'!$B$13</f>
        <v>3823</v>
      </c>
      <c r="L91" s="625">
        <f>+'[19]תקורת רשת מים וביוב'!$B$13</f>
        <v>3823</v>
      </c>
      <c r="M91" s="625">
        <f>+'[19]תקורת רשת מים וביוב'!$B$13</f>
        <v>3823</v>
      </c>
      <c r="N91" s="625">
        <f>+'[19]תקורת רשת מים וביוב'!$B$13</f>
        <v>3823</v>
      </c>
      <c r="O91" s="625">
        <f>+'[19]תקורת רשת מים וביוב'!$B$13</f>
        <v>3823</v>
      </c>
      <c r="P91" s="625">
        <f>+'[19]תקורת רשת מים וביוב'!$B$13</f>
        <v>3823</v>
      </c>
      <c r="Q91" s="625">
        <f>+'[19]תקורת רשת מים וביוב'!$B$13</f>
        <v>3823</v>
      </c>
      <c r="R91" s="625">
        <f>+'[19]תקורת רשת מים וביוב'!$B$13</f>
        <v>3823</v>
      </c>
      <c r="S91" s="625">
        <f>+'[19]תקורת רשת מים וביוב'!$B$13</f>
        <v>3823</v>
      </c>
      <c r="T91" s="625">
        <f>+'[19]תקורת רשת מים וביוב'!$B$13</f>
        <v>3823</v>
      </c>
      <c r="U91" s="625">
        <f>+'[19]תקורת רשת מים וביוב'!$B$13</f>
        <v>3823</v>
      </c>
      <c r="V91" s="625">
        <f>+'[19]תקורת רשת מים וביוב'!$B$13</f>
        <v>3823</v>
      </c>
      <c r="W91" s="625">
        <f>+'[19]תקורת רשת מים וביוב'!$B$13</f>
        <v>3823</v>
      </c>
      <c r="X91" s="625">
        <f>+'[19]תקורת רשת מים וביוב'!$B$13</f>
        <v>3823</v>
      </c>
      <c r="Y91" s="625">
        <f>+'[19]תקורת רשת מים וביוב'!$B$13</f>
        <v>3823</v>
      </c>
      <c r="Z91" s="625">
        <f>+'[19]תקורת רשת מים וביוב'!$B$13</f>
        <v>3823</v>
      </c>
      <c r="AA91" s="625">
        <f>+'[19]תקורת רשת מים וביוב'!$B$13</f>
        <v>3823</v>
      </c>
      <c r="AB91" s="625">
        <f>+'[19]תקורת רשת מים וביוב'!$B$13</f>
        <v>3823</v>
      </c>
      <c r="AC91" s="625">
        <f>+'[19]תקורת רשת מים וביוב'!$B$13</f>
        <v>3823</v>
      </c>
      <c r="AD91" s="625">
        <f>+'[19]תקורת רשת מים וביוב'!$B$13</f>
        <v>3823</v>
      </c>
      <c r="AE91" s="625">
        <f>+'[19]תקורת רשת מים וביוב'!$B$13</f>
        <v>3823</v>
      </c>
      <c r="AF91" s="625">
        <f>+'[19]תקורת רשת מים וביוב'!$B$13</f>
        <v>3823</v>
      </c>
      <c r="AG91" s="625">
        <f>+'[19]תקורת רשת מים וביוב'!$B$13</f>
        <v>3823</v>
      </c>
      <c r="AH91" s="625">
        <f>+'[19]תקורת רשת מים וביוב'!$B$13</f>
        <v>3823</v>
      </c>
      <c r="AI91" s="625">
        <f>+'[19]תקורת רשת מים וביוב'!$B$13</f>
        <v>3823</v>
      </c>
      <c r="AJ91" s="625">
        <f>+'[19]תקורת רשת מים וביוב'!$B$13</f>
        <v>3823</v>
      </c>
      <c r="AK91" s="625">
        <f>+'[19]תקורת רשת מים וביוב'!$B$13</f>
        <v>3823</v>
      </c>
      <c r="AL91" s="625">
        <f>+'[19]תקורת רשת מים וביוב'!$B$13</f>
        <v>3823</v>
      </c>
      <c r="AM91" s="625">
        <f>+'[19]תקורת רשת מים וביוב'!$B$13</f>
        <v>3823</v>
      </c>
      <c r="AN91" s="625">
        <f>+'[19]תקורת רשת מים וביוב'!$B$13</f>
        <v>3823</v>
      </c>
      <c r="AO91" s="625">
        <f>+'[19]תקורת רשת מים וביוב'!$B$13</f>
        <v>3823</v>
      </c>
      <c r="AP91" s="625">
        <f>+'[19]תקורת רשת מים וביוב'!$B$13</f>
        <v>3823</v>
      </c>
      <c r="AQ91" s="625">
        <f>+'[19]תקורת רשת מים וביוב'!$B$13</f>
        <v>3823</v>
      </c>
      <c r="AR91" s="625">
        <f>+'[19]תקורת רשת מים וביוב'!$B$13</f>
        <v>3823</v>
      </c>
      <c r="AS91" s="625">
        <f>+'[19]תקורת רשת מים וביוב'!$B$13</f>
        <v>3823</v>
      </c>
      <c r="AT91" s="625">
        <f>+'[19]תקורת רשת מים וביוב'!$B$13</f>
        <v>3823</v>
      </c>
      <c r="AU91" s="625">
        <f>+'[19]תקורת רשת מים וביוב'!$B$13</f>
        <v>3823</v>
      </c>
      <c r="AV91" s="625">
        <f>+'[19]תקורת רשת מים וביוב'!$B$13</f>
        <v>3823</v>
      </c>
      <c r="AW91" s="625">
        <f>+'[19]תקורת רשת מים וביוב'!$B$13</f>
        <v>3823</v>
      </c>
      <c r="AX91" s="625">
        <f>+'[19]תקורת רשת מים וביוב'!$B$13</f>
        <v>3823</v>
      </c>
      <c r="AY91" s="625">
        <f>+'[19]תקורת רשת מים וביוב'!$B$13</f>
        <v>3823</v>
      </c>
      <c r="AZ91" s="625">
        <f>+'[19]תקורת רשת מים וביוב'!$B$13</f>
        <v>3823</v>
      </c>
      <c r="BA91" s="625">
        <f>+'[19]תקורת רשת מים וביוב'!$B$13</f>
        <v>3823</v>
      </c>
      <c r="BB91" s="625">
        <f>+'[19]תקורת רשת מים וביוב'!$B$13</f>
        <v>3823</v>
      </c>
      <c r="BC91" s="625">
        <f>+'[19]תקורת רשת מים וביוב'!$B$13</f>
        <v>3823</v>
      </c>
      <c r="BD91" s="625">
        <f>+'[19]תקורת רשת מים וביוב'!$B$13</f>
        <v>3823</v>
      </c>
      <c r="BE91" s="625">
        <f>+'[19]תקורת רשת מים וביוב'!$B$13</f>
        <v>3823</v>
      </c>
      <c r="BF91" s="625">
        <f>+'[19]תקורת רשת מים וביוב'!$B$13</f>
        <v>3823</v>
      </c>
    </row>
    <row r="92" spans="1:59" x14ac:dyDescent="0.2">
      <c r="A92" s="1817"/>
      <c r="B92" s="376" t="s">
        <v>1061</v>
      </c>
      <c r="C92" s="627">
        <f>(+C91*C90)/C89</f>
        <v>0.10427261706494372</v>
      </c>
      <c r="D92" s="627">
        <f t="shared" ref="D92:BE92" si="64">(+D91*D90)/D89</f>
        <v>0.10406359583736909</v>
      </c>
      <c r="E92" s="627">
        <f t="shared" si="64"/>
        <v>0.16988820805772492</v>
      </c>
      <c r="F92" s="627">
        <f t="shared" si="64"/>
        <v>7.8100148854024151E-2</v>
      </c>
      <c r="G92" s="627">
        <f t="shared" si="64"/>
        <v>9.8797026999281959E-2</v>
      </c>
      <c r="H92" s="627">
        <f t="shared" si="64"/>
        <v>0.64489247855981313</v>
      </c>
      <c r="I92" s="627">
        <f t="shared" si="64"/>
        <v>0.10406359583736909</v>
      </c>
      <c r="J92" s="627">
        <f t="shared" si="64"/>
        <v>9.4751343054075607E-2</v>
      </c>
      <c r="K92" s="627">
        <f t="shared" si="64"/>
        <v>0.10047192256508501</v>
      </c>
      <c r="L92" s="627">
        <f t="shared" si="64"/>
        <v>0.10406359583736909</v>
      </c>
      <c r="M92" s="627">
        <f t="shared" si="64"/>
        <v>9.4751343054075607E-2</v>
      </c>
      <c r="N92" s="627">
        <f t="shared" si="64"/>
        <v>9.4751343054075607E-2</v>
      </c>
      <c r="O92" s="627">
        <f t="shared" si="64"/>
        <v>9.6732285597655232E-2</v>
      </c>
      <c r="P92" s="627">
        <f t="shared" si="64"/>
        <v>0.16988820805772492</v>
      </c>
      <c r="Q92" s="627">
        <f t="shared" si="64"/>
        <v>9.1498741054795066E-2</v>
      </c>
      <c r="R92" s="627">
        <f t="shared" si="64"/>
        <v>9.6732285597655232E-2</v>
      </c>
      <c r="S92" s="627">
        <f t="shared" si="64"/>
        <v>0.10427261706494372</v>
      </c>
      <c r="T92" s="627">
        <f t="shared" si="64"/>
        <v>0.10047192256508501</v>
      </c>
      <c r="U92" s="627">
        <f t="shared" si="64"/>
        <v>0.16368599720000845</v>
      </c>
      <c r="V92" s="627">
        <f t="shared" si="64"/>
        <v>0.16988820805772492</v>
      </c>
      <c r="W92" s="627">
        <f t="shared" si="64"/>
        <v>0.10047192256508501</v>
      </c>
      <c r="X92" s="627">
        <f t="shared" si="64"/>
        <v>0.10047192256508501</v>
      </c>
      <c r="Y92" s="627">
        <f t="shared" si="64"/>
        <v>0.14000211109383129</v>
      </c>
      <c r="Z92" s="627">
        <f t="shared" si="64"/>
        <v>9.420030641394446E-2</v>
      </c>
      <c r="AA92" s="627">
        <f t="shared" si="64"/>
        <v>0.10391159781196993</v>
      </c>
      <c r="AB92" s="627">
        <f t="shared" si="64"/>
        <v>9.1498741054795066E-2</v>
      </c>
      <c r="AC92" s="627">
        <f t="shared" si="64"/>
        <v>0.10391159781196993</v>
      </c>
      <c r="AD92" s="627">
        <f t="shared" si="64"/>
        <v>0.10391159781196993</v>
      </c>
      <c r="AE92" s="627">
        <f t="shared" si="64"/>
        <v>9.420030641394446E-2</v>
      </c>
      <c r="AF92" s="627">
        <f t="shared" si="64"/>
        <v>9.8797026999281959E-2</v>
      </c>
      <c r="AG92" s="627">
        <f t="shared" si="64"/>
        <v>0.14000211109383129</v>
      </c>
      <c r="AH92" s="627">
        <f t="shared" si="64"/>
        <v>9.1498741054795066E-2</v>
      </c>
      <c r="AI92" s="627">
        <f t="shared" si="64"/>
        <v>0.10427261706494372</v>
      </c>
      <c r="AJ92" s="627">
        <f t="shared" si="64"/>
        <v>9.420030641394446E-2</v>
      </c>
      <c r="AK92" s="627">
        <f t="shared" si="64"/>
        <v>9.420030641394446E-2</v>
      </c>
      <c r="AL92" s="627">
        <f t="shared" si="64"/>
        <v>8.4879534455794686E-2</v>
      </c>
      <c r="AM92" s="627">
        <f t="shared" si="64"/>
        <v>9.4751343054075607E-2</v>
      </c>
      <c r="AN92" s="627">
        <f t="shared" si="64"/>
        <v>8.4879534455794686E-2</v>
      </c>
      <c r="AO92" s="627">
        <f t="shared" si="64"/>
        <v>8.4879534455794686E-2</v>
      </c>
      <c r="AP92" s="627">
        <f t="shared" si="64"/>
        <v>9.6732285597655232E-2</v>
      </c>
      <c r="AQ92" s="627">
        <f t="shared" si="64"/>
        <v>0.10427261706494372</v>
      </c>
      <c r="AR92" s="627">
        <f t="shared" si="64"/>
        <v>0.10406359583736909</v>
      </c>
      <c r="AS92" s="627">
        <f t="shared" si="64"/>
        <v>9.420030641394446E-2</v>
      </c>
      <c r="AT92" s="627">
        <f t="shared" si="64"/>
        <v>9.420030641394446E-2</v>
      </c>
      <c r="AU92" s="627">
        <f t="shared" si="64"/>
        <v>0.10391159781196993</v>
      </c>
      <c r="AV92" s="627">
        <f t="shared" si="64"/>
        <v>0.14000211109383129</v>
      </c>
      <c r="AW92" s="627">
        <f t="shared" si="64"/>
        <v>0.14000211109383129</v>
      </c>
      <c r="AX92" s="627">
        <f t="shared" si="64"/>
        <v>9.8797026999281959E-2</v>
      </c>
      <c r="AY92" s="627">
        <f t="shared" si="64"/>
        <v>9.1498741054795066E-2</v>
      </c>
      <c r="AZ92" s="627">
        <f t="shared" si="64"/>
        <v>0.10406359583736909</v>
      </c>
      <c r="BA92" s="627">
        <f t="shared" si="64"/>
        <v>0.10047192256508501</v>
      </c>
      <c r="BB92" s="627">
        <f t="shared" si="64"/>
        <v>0.10391159781196993</v>
      </c>
      <c r="BC92" s="627">
        <f t="shared" si="64"/>
        <v>9.1498741054795066E-2</v>
      </c>
      <c r="BD92" s="627">
        <f t="shared" si="64"/>
        <v>0.10391159781196993</v>
      </c>
      <c r="BE92" s="627">
        <f t="shared" si="64"/>
        <v>0.10427261706494372</v>
      </c>
      <c r="BF92" s="627">
        <f t="shared" ref="BF92" si="65">(+BF91*BF90)/BF89</f>
        <v>9.6732285597655232E-2</v>
      </c>
    </row>
    <row r="93" spans="1:59" x14ac:dyDescent="0.2">
      <c r="A93" s="765"/>
      <c r="B93" s="376"/>
      <c r="C93" s="627"/>
      <c r="D93" s="627"/>
      <c r="E93" s="627"/>
      <c r="F93" s="627"/>
      <c r="G93" s="627"/>
      <c r="H93" s="627"/>
      <c r="I93" s="627"/>
      <c r="J93" s="627"/>
      <c r="K93" s="627"/>
      <c r="L93" s="627"/>
      <c r="M93" s="627"/>
      <c r="N93" s="627"/>
      <c r="O93" s="627"/>
      <c r="P93" s="627"/>
      <c r="Q93" s="627"/>
      <c r="R93" s="627"/>
      <c r="S93" s="627"/>
      <c r="T93" s="627"/>
      <c r="U93" s="627"/>
      <c r="V93" s="627"/>
      <c r="W93" s="627"/>
      <c r="X93" s="627"/>
      <c r="Y93" s="627"/>
      <c r="Z93" s="627"/>
      <c r="AA93" s="627"/>
      <c r="AB93" s="627"/>
      <c r="AC93" s="627"/>
      <c r="AD93" s="627"/>
      <c r="AE93" s="627"/>
      <c r="AF93" s="627"/>
      <c r="AG93" s="627"/>
      <c r="AH93" s="627"/>
      <c r="AI93" s="627"/>
      <c r="AJ93" s="627"/>
      <c r="AK93" s="627"/>
      <c r="AL93" s="627"/>
      <c r="AM93" s="627"/>
      <c r="AN93" s="627"/>
      <c r="AO93" s="627"/>
      <c r="AP93" s="627"/>
      <c r="AQ93" s="627"/>
      <c r="AR93" s="627"/>
      <c r="AS93" s="627"/>
      <c r="AT93" s="627"/>
      <c r="AU93" s="627"/>
      <c r="AV93" s="627"/>
      <c r="AW93" s="627"/>
      <c r="AX93" s="627"/>
      <c r="AY93" s="627"/>
      <c r="AZ93" s="627"/>
      <c r="BA93" s="627"/>
      <c r="BB93" s="627"/>
      <c r="BC93" s="627"/>
      <c r="BD93" s="627"/>
      <c r="BE93" s="627"/>
      <c r="BF93" s="627"/>
    </row>
    <row r="94" spans="1:59" x14ac:dyDescent="0.2">
      <c r="A94" s="1815" t="s">
        <v>1062</v>
      </c>
      <c r="B94" s="376" t="s">
        <v>1044</v>
      </c>
      <c r="C94" s="625">
        <f>+VLOOKUP(C5,'צריכה בתאגיד מרחבי'!$B$8:$M$114,6,0)</f>
        <v>42529.130000000005</v>
      </c>
      <c r="D94" s="625">
        <f>+VLOOKUP(D5,'צריכה בתאגיד מרחבי'!$B$8:$M$114,6,0)</f>
        <v>41661.173999999999</v>
      </c>
      <c r="E94" s="625">
        <f>+VLOOKUP(E5,'צריכה בתאגיד מרחבי'!$B$8:$M$114,6,0)</f>
        <v>19864.632000000001</v>
      </c>
      <c r="F94" s="625">
        <f>+VLOOKUP(F5,'צריכה בתאגיד מרחבי'!$B$8:$M$114,6,0)</f>
        <v>54562.883000000002</v>
      </c>
      <c r="G94" s="625">
        <f>+VLOOKUP(G5,'צריכה בתאגיד מרחבי'!$B$8:$M$114,6,0)</f>
        <v>43015.555</v>
      </c>
      <c r="H94" s="625">
        <f>+VLOOKUP(H5,'צריכה בתאגיד מרחבי'!$B$8:$M$114,6,0)</f>
        <v>2004.4870000000001</v>
      </c>
      <c r="I94" s="625">
        <f>+VLOOKUP(I5,'צריכה בתאגיד מרחבי'!$B$8:$M$114,6,0)</f>
        <v>41661.173999999999</v>
      </c>
      <c r="J94" s="625">
        <f>+VLOOKUP(J5,'צריכה בתאגיד מרחבי'!$B$8:$M$114,6,0)</f>
        <v>49599.804999999993</v>
      </c>
      <c r="K94" s="625">
        <f>+VLOOKUP(K5,'צריכה בתאגיד מרחבי'!$B$8:$M$114,6,0)</f>
        <v>52015.728000000003</v>
      </c>
      <c r="L94" s="625">
        <f>+VLOOKUP(L5,'צריכה בתאגיד מרחבי'!$B$8:$M$114,6,0)</f>
        <v>41661.173999999999</v>
      </c>
      <c r="M94" s="625">
        <f>+VLOOKUP(M5,'צריכה בתאגיד מרחבי'!$B$8:$M$114,6,0)</f>
        <v>49599.804999999993</v>
      </c>
      <c r="N94" s="625">
        <f>+VLOOKUP(N5,'צריכה בתאגיד מרחבי'!$B$8:$M$114,6,0)</f>
        <v>49599.804999999993</v>
      </c>
      <c r="O94" s="625">
        <f>+VLOOKUP(O5,'צריכה בתאגיד מרחבי'!$B$8:$M$114,6,0)</f>
        <v>43790.065000000002</v>
      </c>
      <c r="P94" s="625">
        <f>+VLOOKUP(P5,'צריכה בתאגיד מרחבי'!$B$8:$M$114,6,0)</f>
        <v>19864.632000000001</v>
      </c>
      <c r="Q94" s="625">
        <f>+VLOOKUP(Q5,'צריכה בתאגיד מרחבי'!$B$8:$M$114,6,0)</f>
        <v>46056.917999999998</v>
      </c>
      <c r="R94" s="625">
        <f>+VLOOKUP(R5,'צריכה בתאגיד מרחבי'!$B$8:$M$114,6,0)</f>
        <v>43790.065000000002</v>
      </c>
      <c r="S94" s="625">
        <f>+VLOOKUP(S5,'צריכה בתאגיד מרחבי'!$B$8:$M$114,6,0)</f>
        <v>42529.130000000005</v>
      </c>
      <c r="T94" s="625">
        <f>+VLOOKUP(T5,'צריכה בתאגיד מרחבי'!$B$8:$M$114,6,0)</f>
        <v>52015.728000000003</v>
      </c>
      <c r="U94" s="625">
        <f>+VLOOKUP(U5,'צריכה בתאגיד מרחבי'!$B$8:$M$114,6,0)</f>
        <v>11081.690999999999</v>
      </c>
      <c r="V94" s="625">
        <f>+VLOOKUP(V5,'צריכה בתאגיד מרחבי'!$B$8:$M$114,6,0)</f>
        <v>19864.632000000001</v>
      </c>
      <c r="W94" s="625">
        <f>+VLOOKUP(W5,'צריכה בתאגיד מרחבי'!$B$8:$M$114,6,0)</f>
        <v>52015.728000000003</v>
      </c>
      <c r="X94" s="625">
        <f>+VLOOKUP(X5,'צריכה בתאגיד מרחבי'!$B$8:$M$114,6,0)</f>
        <v>52015.728000000003</v>
      </c>
      <c r="Y94" s="625">
        <f>+VLOOKUP(Y5,'צריכה בתאגיד מרחבי'!$B$8:$M$114,6,0)</f>
        <v>24802.501</v>
      </c>
      <c r="Z94" s="625">
        <f>+VLOOKUP(Z5,'צריכה בתאגיד מרחבי'!$B$8:$M$114,6,0)</f>
        <v>43120.015999999989</v>
      </c>
      <c r="AA94" s="625">
        <f>+VLOOKUP(AA5,'צריכה בתאגיד מרחבי'!$B$8:$M$114,6,0)</f>
        <v>38318.575999999994</v>
      </c>
      <c r="AB94" s="625">
        <f>+VLOOKUP(AB5,'צריכה בתאגיד מרחבי'!$B$8:$M$114,6,0)</f>
        <v>46056.917999999998</v>
      </c>
      <c r="AC94" s="625">
        <f>+VLOOKUP(AC5,'צריכה בתאגיד מרחבי'!$B$8:$M$114,6,0)</f>
        <v>38318.575999999994</v>
      </c>
      <c r="AD94" s="625">
        <f>+VLOOKUP(AD5,'צריכה בתאגיד מרחבי'!$B$8:$M$114,6,0)</f>
        <v>38318.575999999994</v>
      </c>
      <c r="AE94" s="625">
        <f>+VLOOKUP(AE5,'צריכה בתאגיד מרחבי'!$B$8:$M$114,6,0)</f>
        <v>43120.015999999989</v>
      </c>
      <c r="AF94" s="625">
        <f>+VLOOKUP(AF5,'צריכה בתאגיד מרחבי'!$B$8:$M$114,6,0)</f>
        <v>43015.555</v>
      </c>
      <c r="AG94" s="625">
        <f>+VLOOKUP(AG5,'צריכה בתאגיד מרחבי'!$B$8:$M$114,6,0)</f>
        <v>24802.501</v>
      </c>
      <c r="AH94" s="625">
        <f>+VLOOKUP(AH5,'צריכה בתאגיד מרחבי'!$B$8:$M$114,6,0)</f>
        <v>46056.917999999998</v>
      </c>
      <c r="AI94" s="625">
        <f>+VLOOKUP(AI5,'צריכה בתאגיד מרחבי'!$B$8:$M$114,6,0)</f>
        <v>42529.130000000005</v>
      </c>
      <c r="AJ94" s="625">
        <f>+VLOOKUP(AJ5,'צריכה בתאגיד מרחבי'!$B$8:$M$114,6,0)</f>
        <v>43120.015999999989</v>
      </c>
      <c r="AK94" s="625">
        <f>+VLOOKUP(AK5,'צריכה בתאגיד מרחבי'!$B$8:$M$114,6,0)</f>
        <v>43120.015999999989</v>
      </c>
      <c r="AL94" s="625">
        <f>+VLOOKUP(AL5,'צריכה בתאגיד מרחבי'!$B$8:$M$114,6,0)</f>
        <v>61899.043000000005</v>
      </c>
      <c r="AM94" s="625">
        <f>+VLOOKUP(AM5,'צריכה בתאגיד מרחבי'!$B$8:$M$114,6,0)</f>
        <v>49599.804999999993</v>
      </c>
      <c r="AN94" s="625">
        <f>+VLOOKUP(AN5,'צריכה בתאגיד מרחבי'!$B$8:$M$114,6,0)</f>
        <v>61899.043000000005</v>
      </c>
      <c r="AO94" s="625">
        <f>+VLOOKUP(AO5,'צריכה בתאגיד מרחבי'!$B$8:$M$114,6,0)</f>
        <v>61899.043000000005</v>
      </c>
      <c r="AP94" s="625">
        <f>+VLOOKUP(AP5,'צריכה בתאגיד מרחבי'!$B$8:$M$114,6,0)</f>
        <v>43790.065000000002</v>
      </c>
      <c r="AQ94" s="625">
        <f>+VLOOKUP(AQ5,'צריכה בתאגיד מרחבי'!$B$8:$M$114,6,0)</f>
        <v>42529.130000000005</v>
      </c>
      <c r="AR94" s="625">
        <f>+VLOOKUP(AR5,'צריכה בתאגיד מרחבי'!$B$8:$M$114,6,0)</f>
        <v>41661.173999999999</v>
      </c>
      <c r="AS94" s="625">
        <f>+VLOOKUP(AS5,'צריכה בתאגיד מרחבי'!$B$8:$M$114,6,0)</f>
        <v>43120.015999999989</v>
      </c>
      <c r="AT94" s="625">
        <f>+VLOOKUP(AT5,'צריכה בתאגיד מרחבי'!$B$8:$M$114,6,0)</f>
        <v>43120.015999999989</v>
      </c>
      <c r="AU94" s="625">
        <f>+VLOOKUP(AU5,'צריכה בתאגיד מרחבי'!$B$8:$M$114,6,0)</f>
        <v>38318.575999999994</v>
      </c>
      <c r="AV94" s="625">
        <f>+VLOOKUP(AV5,'צריכה בתאגיד מרחבי'!$B$8:$M$114,6,0)</f>
        <v>24802.501</v>
      </c>
      <c r="AW94" s="625">
        <f>+VLOOKUP(AW5,'צריכה בתאגיד מרחבי'!$B$8:$M$114,6,0)</f>
        <v>24802.501</v>
      </c>
      <c r="AX94" s="625">
        <f>+VLOOKUP(AX5,'צריכה בתאגיד מרחבי'!$B$8:$M$114,6,0)</f>
        <v>43015.555</v>
      </c>
      <c r="AY94" s="625">
        <f>+VLOOKUP(AY5,'צריכה בתאגיד מרחבי'!$B$8:$M$114,6,0)</f>
        <v>46056.917999999998</v>
      </c>
      <c r="AZ94" s="625">
        <f>+VLOOKUP(AZ5,'צריכה בתאגיד מרחבי'!$B$8:$M$114,6,0)</f>
        <v>41661.173999999999</v>
      </c>
      <c r="BA94" s="625">
        <f>+VLOOKUP(BA5,'צריכה בתאגיד מרחבי'!$B$8:$M$114,6,0)</f>
        <v>52015.728000000003</v>
      </c>
      <c r="BB94" s="625">
        <f>+VLOOKUP(BB5,'צריכה בתאגיד מרחבי'!$B$8:$M$114,6,0)</f>
        <v>38318.575999999994</v>
      </c>
      <c r="BC94" s="625">
        <f>+VLOOKUP(BC5,'צריכה בתאגיד מרחבי'!$B$8:$M$114,6,0)</f>
        <v>46056.917999999998</v>
      </c>
      <c r="BD94" s="625">
        <f>+VLOOKUP(BD5,'צריכה בתאגיד מרחבי'!$B$8:$M$114,6,0)</f>
        <v>38318.575999999994</v>
      </c>
      <c r="BE94" s="625">
        <f>+VLOOKUP(BE5,'צריכה בתאגיד מרחבי'!$B$8:$M$114,6,0)</f>
        <v>42529.130000000005</v>
      </c>
      <c r="BF94" s="625">
        <f>+VLOOKUP(BF5,'צריכה בתאגיד מרחבי'!$B$8:$M$114,6,0)</f>
        <v>43790.065000000002</v>
      </c>
    </row>
    <row r="95" spans="1:59" x14ac:dyDescent="0.2">
      <c r="A95" s="1816"/>
      <c r="B95" s="376" t="s">
        <v>1047</v>
      </c>
      <c r="C95" s="627">
        <f>+C71</f>
        <v>1.0421521666666667</v>
      </c>
      <c r="D95" s="627">
        <f t="shared" ref="D95:BE95" si="66">+D71</f>
        <v>1.0276862333333334</v>
      </c>
      <c r="E95" s="627">
        <f t="shared" si="66"/>
        <v>0.89932316000000001</v>
      </c>
      <c r="F95" s="627">
        <f t="shared" si="66"/>
        <v>1.2427147166666668</v>
      </c>
      <c r="G95" s="627">
        <f t="shared" si="66"/>
        <v>1.0502592500000001</v>
      </c>
      <c r="H95" s="627">
        <f t="shared" si="66"/>
        <v>0.3</v>
      </c>
      <c r="I95" s="627">
        <f t="shared" si="66"/>
        <v>1.0276862333333334</v>
      </c>
      <c r="J95" s="627">
        <f t="shared" si="66"/>
        <v>1.1599967499999999</v>
      </c>
      <c r="K95" s="627">
        <f t="shared" si="66"/>
        <v>1.2002621333333334</v>
      </c>
      <c r="L95" s="627">
        <f t="shared" si="66"/>
        <v>1.0276862333333334</v>
      </c>
      <c r="M95" s="627">
        <f t="shared" si="66"/>
        <v>1.1599967499999999</v>
      </c>
      <c r="N95" s="627">
        <f t="shared" si="66"/>
        <v>1.1599967499999999</v>
      </c>
      <c r="O95" s="627">
        <f t="shared" si="66"/>
        <v>1.0631677500000001</v>
      </c>
      <c r="P95" s="627">
        <f t="shared" si="66"/>
        <v>0.89932316000000001</v>
      </c>
      <c r="Q95" s="627">
        <f t="shared" si="66"/>
        <v>1.1009486333333334</v>
      </c>
      <c r="R95" s="627">
        <f t="shared" si="66"/>
        <v>1.0631677500000001</v>
      </c>
      <c r="S95" s="627">
        <f t="shared" si="66"/>
        <v>1.0421521666666667</v>
      </c>
      <c r="T95" s="627">
        <f t="shared" si="66"/>
        <v>1.2002621333333334</v>
      </c>
      <c r="U95" s="627">
        <f t="shared" si="66"/>
        <v>0.47</v>
      </c>
      <c r="V95" s="627">
        <f t="shared" si="66"/>
        <v>0.89932316000000001</v>
      </c>
      <c r="W95" s="627">
        <f t="shared" si="66"/>
        <v>1.2002621333333334</v>
      </c>
      <c r="X95" s="627">
        <f t="shared" si="66"/>
        <v>1.2002621333333334</v>
      </c>
      <c r="Y95" s="627">
        <f t="shared" si="66"/>
        <v>0.92401250499999998</v>
      </c>
      <c r="Z95" s="627">
        <f t="shared" si="66"/>
        <v>1.0520002666666666</v>
      </c>
      <c r="AA95" s="627">
        <f t="shared" si="66"/>
        <v>0.99159288000000001</v>
      </c>
      <c r="AB95" s="627">
        <f t="shared" si="66"/>
        <v>1.1009486333333334</v>
      </c>
      <c r="AC95" s="627">
        <f t="shared" si="66"/>
        <v>0.99159288000000001</v>
      </c>
      <c r="AD95" s="627">
        <f t="shared" si="66"/>
        <v>0.99159288000000001</v>
      </c>
      <c r="AE95" s="627">
        <f t="shared" si="66"/>
        <v>1.0520002666666666</v>
      </c>
      <c r="AF95" s="627">
        <f t="shared" si="66"/>
        <v>1.0502592500000001</v>
      </c>
      <c r="AG95" s="627">
        <f t="shared" si="66"/>
        <v>0.92401250499999998</v>
      </c>
      <c r="AH95" s="627">
        <f t="shared" si="66"/>
        <v>1.1009486333333334</v>
      </c>
      <c r="AI95" s="627">
        <f t="shared" si="66"/>
        <v>1.0421521666666667</v>
      </c>
      <c r="AJ95" s="627">
        <f t="shared" si="66"/>
        <v>1.0520002666666666</v>
      </c>
      <c r="AK95" s="627">
        <f t="shared" si="66"/>
        <v>1.0520002666666666</v>
      </c>
      <c r="AL95" s="627">
        <f t="shared" si="66"/>
        <v>1.3649840500000001</v>
      </c>
      <c r="AM95" s="627">
        <f t="shared" si="66"/>
        <v>1.1599967499999999</v>
      </c>
      <c r="AN95" s="627">
        <f t="shared" si="66"/>
        <v>1.3649840500000001</v>
      </c>
      <c r="AO95" s="627">
        <f t="shared" si="66"/>
        <v>1.3649840500000001</v>
      </c>
      <c r="AP95" s="627">
        <f t="shared" si="66"/>
        <v>1.0631677500000001</v>
      </c>
      <c r="AQ95" s="627">
        <f t="shared" si="66"/>
        <v>1.0421521666666667</v>
      </c>
      <c r="AR95" s="627">
        <f t="shared" si="66"/>
        <v>1.0276862333333334</v>
      </c>
      <c r="AS95" s="627">
        <f t="shared" si="66"/>
        <v>1.0520002666666666</v>
      </c>
      <c r="AT95" s="627">
        <f t="shared" si="66"/>
        <v>1.0520002666666666</v>
      </c>
      <c r="AU95" s="627">
        <f t="shared" si="66"/>
        <v>0.99159288000000001</v>
      </c>
      <c r="AV95" s="627">
        <f t="shared" si="66"/>
        <v>0.92401250499999998</v>
      </c>
      <c r="AW95" s="627">
        <f t="shared" si="66"/>
        <v>0.92401250499999998</v>
      </c>
      <c r="AX95" s="627">
        <f t="shared" si="66"/>
        <v>1.0502592500000001</v>
      </c>
      <c r="AY95" s="627">
        <f t="shared" si="66"/>
        <v>1.1009486333333334</v>
      </c>
      <c r="AZ95" s="627">
        <f t="shared" si="66"/>
        <v>1.0276862333333334</v>
      </c>
      <c r="BA95" s="627">
        <f t="shared" si="66"/>
        <v>1.2002621333333334</v>
      </c>
      <c r="BB95" s="627">
        <f t="shared" si="66"/>
        <v>0.99159288000000001</v>
      </c>
      <c r="BC95" s="627">
        <f t="shared" si="66"/>
        <v>1.1009486333333334</v>
      </c>
      <c r="BD95" s="627">
        <f t="shared" si="66"/>
        <v>0.99159288000000001</v>
      </c>
      <c r="BE95" s="627">
        <f t="shared" si="66"/>
        <v>1.0421521666666667</v>
      </c>
      <c r="BF95" s="627">
        <f t="shared" ref="BF95" si="67">+BF71</f>
        <v>1.0631677500000001</v>
      </c>
    </row>
    <row r="96" spans="1:59" x14ac:dyDescent="0.2">
      <c r="A96" s="1816"/>
      <c r="B96" s="376" t="s">
        <v>1062</v>
      </c>
      <c r="C96" s="625">
        <f>+'הנחות עבודה'!$D$235</f>
        <v>3278</v>
      </c>
      <c r="D96" s="625">
        <f>+'הנחות עבודה'!$D$235</f>
        <v>3278</v>
      </c>
      <c r="E96" s="625">
        <f>+'הנחות עבודה'!$D$235</f>
        <v>3278</v>
      </c>
      <c r="F96" s="625">
        <f>+'הנחות עבודה'!$D$235</f>
        <v>3278</v>
      </c>
      <c r="G96" s="625">
        <f>+'הנחות עבודה'!$D$235</f>
        <v>3278</v>
      </c>
      <c r="H96" s="625">
        <f>+'הנחות עבודה'!$D$235</f>
        <v>3278</v>
      </c>
      <c r="I96" s="625">
        <f>+'הנחות עבודה'!$D$235</f>
        <v>3278</v>
      </c>
      <c r="J96" s="625">
        <f>+'הנחות עבודה'!$D$235</f>
        <v>3278</v>
      </c>
      <c r="K96" s="625">
        <f>+'הנחות עבודה'!$D$235</f>
        <v>3278</v>
      </c>
      <c r="L96" s="625">
        <f>+'הנחות עבודה'!$D$235</f>
        <v>3278</v>
      </c>
      <c r="M96" s="625">
        <f>+'הנחות עבודה'!$D$235</f>
        <v>3278</v>
      </c>
      <c r="N96" s="625">
        <f>+'הנחות עבודה'!$D$235</f>
        <v>3278</v>
      </c>
      <c r="O96" s="625">
        <f>+'הנחות עבודה'!$D$235</f>
        <v>3278</v>
      </c>
      <c r="P96" s="625">
        <f>+'הנחות עבודה'!$D$235</f>
        <v>3278</v>
      </c>
      <c r="Q96" s="625">
        <f>+'הנחות עבודה'!$D$235</f>
        <v>3278</v>
      </c>
      <c r="R96" s="625">
        <f>+'הנחות עבודה'!$D$235</f>
        <v>3278</v>
      </c>
      <c r="S96" s="625">
        <f>+'הנחות עבודה'!$D$235</f>
        <v>3278</v>
      </c>
      <c r="T96" s="625">
        <f>+'הנחות עבודה'!$D$235</f>
        <v>3278</v>
      </c>
      <c r="U96" s="625">
        <f>+'הנחות עבודה'!$D$235</f>
        <v>3278</v>
      </c>
      <c r="V96" s="625">
        <f>+'הנחות עבודה'!$D$235</f>
        <v>3278</v>
      </c>
      <c r="W96" s="625">
        <f>+'הנחות עבודה'!$D$235</f>
        <v>3278</v>
      </c>
      <c r="X96" s="625">
        <f>+'הנחות עבודה'!$D$235</f>
        <v>3278</v>
      </c>
      <c r="Y96" s="625">
        <f>+'הנחות עבודה'!$D$235</f>
        <v>3278</v>
      </c>
      <c r="Z96" s="625">
        <f>+'הנחות עבודה'!$D$235</f>
        <v>3278</v>
      </c>
      <c r="AA96" s="625">
        <f>+'הנחות עבודה'!$D$235</f>
        <v>3278</v>
      </c>
      <c r="AB96" s="625">
        <f>+'הנחות עבודה'!$D$235</f>
        <v>3278</v>
      </c>
      <c r="AC96" s="625">
        <f>+'הנחות עבודה'!$D$235</f>
        <v>3278</v>
      </c>
      <c r="AD96" s="625">
        <f>+'הנחות עבודה'!$D$235</f>
        <v>3278</v>
      </c>
      <c r="AE96" s="625">
        <f>+'הנחות עבודה'!$D$235</f>
        <v>3278</v>
      </c>
      <c r="AF96" s="625">
        <f>+'הנחות עבודה'!$D$235</f>
        <v>3278</v>
      </c>
      <c r="AG96" s="625">
        <f>+'הנחות עבודה'!$D$235</f>
        <v>3278</v>
      </c>
      <c r="AH96" s="625">
        <f>+'הנחות עבודה'!$D$235</f>
        <v>3278</v>
      </c>
      <c r="AI96" s="625">
        <f>+'הנחות עבודה'!$D$235</f>
        <v>3278</v>
      </c>
      <c r="AJ96" s="625">
        <f>+'הנחות עבודה'!$D$235</f>
        <v>3278</v>
      </c>
      <c r="AK96" s="625">
        <f>+'הנחות עבודה'!$D$235</f>
        <v>3278</v>
      </c>
      <c r="AL96" s="625">
        <f>+'הנחות עבודה'!$D$235</f>
        <v>3278</v>
      </c>
      <c r="AM96" s="625">
        <f>+'הנחות עבודה'!$D$235</f>
        <v>3278</v>
      </c>
      <c r="AN96" s="625">
        <f>+'הנחות עבודה'!$D$235</f>
        <v>3278</v>
      </c>
      <c r="AO96" s="625">
        <f>+'הנחות עבודה'!$D$235</f>
        <v>3278</v>
      </c>
      <c r="AP96" s="625">
        <f>+'הנחות עבודה'!$D$235</f>
        <v>3278</v>
      </c>
      <c r="AQ96" s="625">
        <f>+'הנחות עבודה'!$D$235</f>
        <v>3278</v>
      </c>
      <c r="AR96" s="625">
        <f>+'הנחות עבודה'!$D$235</f>
        <v>3278</v>
      </c>
      <c r="AS96" s="625">
        <f>+'הנחות עבודה'!$D$235</f>
        <v>3278</v>
      </c>
      <c r="AT96" s="625">
        <f>+'הנחות עבודה'!$D$235</f>
        <v>3278</v>
      </c>
      <c r="AU96" s="625">
        <f>+'הנחות עבודה'!$D$235</f>
        <v>3278</v>
      </c>
      <c r="AV96" s="625">
        <f>+'הנחות עבודה'!$D$235</f>
        <v>3278</v>
      </c>
      <c r="AW96" s="625">
        <f>+'הנחות עבודה'!$D$235</f>
        <v>3278</v>
      </c>
      <c r="AX96" s="625">
        <f>+'הנחות עבודה'!$D$235</f>
        <v>3278</v>
      </c>
      <c r="AY96" s="625">
        <f>+'הנחות עבודה'!$D$235</f>
        <v>3278</v>
      </c>
      <c r="AZ96" s="625">
        <f>+'הנחות עבודה'!$D$235</f>
        <v>3278</v>
      </c>
      <c r="BA96" s="625">
        <f>+'הנחות עבודה'!$D$235</f>
        <v>3278</v>
      </c>
      <c r="BB96" s="625">
        <f>+'הנחות עבודה'!$D$235</f>
        <v>3278</v>
      </c>
      <c r="BC96" s="625">
        <f>+'הנחות עבודה'!$D$235</f>
        <v>3278</v>
      </c>
      <c r="BD96" s="625">
        <f>+'הנחות עבודה'!$D$235</f>
        <v>3278</v>
      </c>
      <c r="BE96" s="625">
        <f>+'הנחות עבודה'!$D$235</f>
        <v>3278</v>
      </c>
      <c r="BF96" s="625">
        <f>+'הנחות עבודה'!$D$235</f>
        <v>3278</v>
      </c>
    </row>
    <row r="97" spans="1:58" x14ac:dyDescent="0.2">
      <c r="A97" s="1817"/>
      <c r="B97" s="376" t="s">
        <v>1063</v>
      </c>
      <c r="C97" s="627">
        <f>(+C96*C95)/C94</f>
        <v>8.0325527522743426E-2</v>
      </c>
      <c r="D97" s="627">
        <f t="shared" ref="D97:BE97" si="68">(+D96*D95)/D94</f>
        <v>8.0860790741678734E-2</v>
      </c>
      <c r="E97" s="627">
        <f t="shared" si="68"/>
        <v>0.14840352031087209</v>
      </c>
      <c r="F97" s="627">
        <f t="shared" si="68"/>
        <v>7.4659156871042423E-2</v>
      </c>
      <c r="G97" s="627">
        <f t="shared" si="68"/>
        <v>8.0034997142312839E-2</v>
      </c>
      <c r="H97" s="627">
        <f t="shared" si="68"/>
        <v>0.49059934037985775</v>
      </c>
      <c r="I97" s="627">
        <f t="shared" si="68"/>
        <v>8.0860790741678734E-2</v>
      </c>
      <c r="J97" s="627">
        <f t="shared" si="68"/>
        <v>7.6662989834335032E-2</v>
      </c>
      <c r="K97" s="627">
        <f t="shared" si="68"/>
        <v>7.5639800197868354E-2</v>
      </c>
      <c r="L97" s="627">
        <f t="shared" si="68"/>
        <v>8.0860790741678734E-2</v>
      </c>
      <c r="M97" s="627">
        <f t="shared" si="68"/>
        <v>7.6662989834335032E-2</v>
      </c>
      <c r="N97" s="627">
        <f t="shared" si="68"/>
        <v>7.6662989834335032E-2</v>
      </c>
      <c r="O97" s="627">
        <f t="shared" si="68"/>
        <v>7.9585720745105087E-2</v>
      </c>
      <c r="P97" s="627">
        <f t="shared" si="68"/>
        <v>0.14840352031087209</v>
      </c>
      <c r="Q97" s="627">
        <f t="shared" si="68"/>
        <v>7.8357601350282857E-2</v>
      </c>
      <c r="R97" s="627">
        <f t="shared" si="68"/>
        <v>7.9585720745105087E-2</v>
      </c>
      <c r="S97" s="627">
        <f t="shared" si="68"/>
        <v>8.0325527522743426E-2</v>
      </c>
      <c r="T97" s="627">
        <f t="shared" si="68"/>
        <v>7.5639800197868354E-2</v>
      </c>
      <c r="U97" s="627">
        <f t="shared" si="68"/>
        <v>0.13902751845363673</v>
      </c>
      <c r="V97" s="627">
        <f t="shared" si="68"/>
        <v>0.14840352031087209</v>
      </c>
      <c r="W97" s="627">
        <f t="shared" si="68"/>
        <v>7.5639800197868354E-2</v>
      </c>
      <c r="X97" s="627">
        <f t="shared" si="68"/>
        <v>7.5639800197868354E-2</v>
      </c>
      <c r="Y97" s="627">
        <f t="shared" si="68"/>
        <v>0.12212127282607509</v>
      </c>
      <c r="Z97" s="627">
        <f t="shared" si="68"/>
        <v>7.9973459985110712E-2</v>
      </c>
      <c r="AA97" s="627">
        <f t="shared" si="68"/>
        <v>8.4826781158047218E-2</v>
      </c>
      <c r="AB97" s="627">
        <f t="shared" si="68"/>
        <v>7.8357601350282857E-2</v>
      </c>
      <c r="AC97" s="627">
        <f t="shared" si="68"/>
        <v>8.4826781158047218E-2</v>
      </c>
      <c r="AD97" s="627">
        <f t="shared" si="68"/>
        <v>8.4826781158047218E-2</v>
      </c>
      <c r="AE97" s="627">
        <f t="shared" si="68"/>
        <v>7.9973459985110712E-2</v>
      </c>
      <c r="AF97" s="627">
        <f t="shared" si="68"/>
        <v>8.0034997142312839E-2</v>
      </c>
      <c r="AG97" s="627">
        <f t="shared" si="68"/>
        <v>0.12212127282607509</v>
      </c>
      <c r="AH97" s="627">
        <f t="shared" si="68"/>
        <v>7.8357601350282857E-2</v>
      </c>
      <c r="AI97" s="627">
        <f t="shared" si="68"/>
        <v>8.0325527522743426E-2</v>
      </c>
      <c r="AJ97" s="627">
        <f t="shared" si="68"/>
        <v>7.9973459985110712E-2</v>
      </c>
      <c r="AK97" s="627">
        <f t="shared" si="68"/>
        <v>7.9973459985110712E-2</v>
      </c>
      <c r="AL97" s="627">
        <f t="shared" si="68"/>
        <v>7.2285733333550886E-2</v>
      </c>
      <c r="AM97" s="627">
        <f t="shared" si="68"/>
        <v>7.6662989834335032E-2</v>
      </c>
      <c r="AN97" s="627">
        <f t="shared" si="68"/>
        <v>7.2285733333550886E-2</v>
      </c>
      <c r="AO97" s="627">
        <f t="shared" si="68"/>
        <v>7.2285733333550886E-2</v>
      </c>
      <c r="AP97" s="627">
        <f t="shared" si="68"/>
        <v>7.9585720745105087E-2</v>
      </c>
      <c r="AQ97" s="627">
        <f t="shared" si="68"/>
        <v>8.0325527522743426E-2</v>
      </c>
      <c r="AR97" s="627">
        <f t="shared" si="68"/>
        <v>8.0860790741678734E-2</v>
      </c>
      <c r="AS97" s="627">
        <f t="shared" si="68"/>
        <v>7.9973459985110712E-2</v>
      </c>
      <c r="AT97" s="627">
        <f t="shared" si="68"/>
        <v>7.9973459985110712E-2</v>
      </c>
      <c r="AU97" s="627">
        <f t="shared" si="68"/>
        <v>8.4826781158047218E-2</v>
      </c>
      <c r="AV97" s="627">
        <f t="shared" si="68"/>
        <v>0.12212127282607509</v>
      </c>
      <c r="AW97" s="627">
        <f t="shared" si="68"/>
        <v>0.12212127282607509</v>
      </c>
      <c r="AX97" s="627">
        <f t="shared" si="68"/>
        <v>8.0034997142312839E-2</v>
      </c>
      <c r="AY97" s="627">
        <f t="shared" si="68"/>
        <v>7.8357601350282857E-2</v>
      </c>
      <c r="AZ97" s="627">
        <f t="shared" si="68"/>
        <v>8.0860790741678734E-2</v>
      </c>
      <c r="BA97" s="627">
        <f t="shared" si="68"/>
        <v>7.5639800197868354E-2</v>
      </c>
      <c r="BB97" s="627">
        <f t="shared" si="68"/>
        <v>8.4826781158047218E-2</v>
      </c>
      <c r="BC97" s="627">
        <f t="shared" si="68"/>
        <v>7.8357601350282857E-2</v>
      </c>
      <c r="BD97" s="627">
        <f t="shared" si="68"/>
        <v>8.4826781158047218E-2</v>
      </c>
      <c r="BE97" s="627">
        <f t="shared" si="68"/>
        <v>8.0325527522743426E-2</v>
      </c>
      <c r="BF97" s="627">
        <f t="shared" ref="BF97" si="69">(+BF96*BF95)/BF94</f>
        <v>7.9585720745105087E-2</v>
      </c>
    </row>
    <row r="98" spans="1:58" x14ac:dyDescent="0.2">
      <c r="A98" s="765"/>
      <c r="B98" s="376"/>
      <c r="C98" s="627"/>
      <c r="D98" s="627"/>
      <c r="E98" s="627"/>
      <c r="F98" s="627"/>
      <c r="G98" s="627"/>
      <c r="H98" s="627"/>
      <c r="I98" s="627"/>
      <c r="J98" s="627"/>
      <c r="K98" s="627"/>
      <c r="L98" s="627"/>
      <c r="M98" s="627"/>
      <c r="N98" s="627"/>
      <c r="O98" s="627"/>
      <c r="P98" s="627"/>
      <c r="Q98" s="627"/>
      <c r="R98" s="627"/>
      <c r="S98" s="627"/>
      <c r="T98" s="627"/>
      <c r="U98" s="627"/>
      <c r="V98" s="627"/>
      <c r="W98" s="627"/>
      <c r="X98" s="627"/>
      <c r="Y98" s="627"/>
      <c r="Z98" s="627"/>
      <c r="AA98" s="627"/>
      <c r="AB98" s="627"/>
      <c r="AC98" s="627"/>
      <c r="AD98" s="627"/>
      <c r="AE98" s="627"/>
      <c r="AF98" s="627"/>
      <c r="AG98" s="627"/>
      <c r="AH98" s="627"/>
      <c r="AI98" s="627"/>
      <c r="AJ98" s="627"/>
      <c r="AK98" s="627"/>
      <c r="AL98" s="627"/>
      <c r="AM98" s="627"/>
      <c r="AN98" s="627"/>
      <c r="AO98" s="627"/>
      <c r="AP98" s="627"/>
      <c r="AQ98" s="627"/>
      <c r="AR98" s="627"/>
      <c r="AS98" s="627"/>
      <c r="AT98" s="627"/>
      <c r="AU98" s="627"/>
      <c r="AV98" s="627"/>
      <c r="AW98" s="627"/>
      <c r="AX98" s="627"/>
      <c r="AY98" s="627"/>
      <c r="AZ98" s="627"/>
      <c r="BA98" s="627"/>
      <c r="BB98" s="627"/>
      <c r="BC98" s="627"/>
      <c r="BD98" s="627"/>
      <c r="BE98" s="627"/>
      <c r="BF98" s="627"/>
    </row>
    <row r="99" spans="1:58" x14ac:dyDescent="0.2">
      <c r="A99" s="1815" t="s">
        <v>1064</v>
      </c>
      <c r="B99" s="376" t="s">
        <v>1057</v>
      </c>
      <c r="C99" s="625">
        <f>+C10</f>
        <v>10780.42</v>
      </c>
      <c r="D99" s="625">
        <f t="shared" ref="D99:BE99" si="70">+D10</f>
        <v>9340.4369999999999</v>
      </c>
      <c r="E99" s="625">
        <f t="shared" si="70"/>
        <v>4262.473</v>
      </c>
      <c r="F99" s="625">
        <f t="shared" si="70"/>
        <v>54306.558000000005</v>
      </c>
      <c r="G99" s="625">
        <f t="shared" si="70"/>
        <v>17049.447</v>
      </c>
      <c r="H99" s="625">
        <f t="shared" si="70"/>
        <v>2004.4870000000001</v>
      </c>
      <c r="I99" s="625">
        <f t="shared" si="70"/>
        <v>4334.6769999999997</v>
      </c>
      <c r="J99" s="625">
        <f t="shared" si="70"/>
        <v>7271.4120000000003</v>
      </c>
      <c r="K99" s="625">
        <f t="shared" si="70"/>
        <v>5391.3759999999993</v>
      </c>
      <c r="L99" s="625">
        <f t="shared" si="70"/>
        <v>9928.9809999999998</v>
      </c>
      <c r="M99" s="625">
        <f t="shared" si="70"/>
        <v>16724.746999999999</v>
      </c>
      <c r="N99" s="625">
        <f t="shared" si="70"/>
        <v>9228.0609999999997</v>
      </c>
      <c r="O99" s="625">
        <f t="shared" si="70"/>
        <v>5681.5389999999998</v>
      </c>
      <c r="P99" s="625">
        <f t="shared" si="70"/>
        <v>4715.7889999999998</v>
      </c>
      <c r="Q99" s="625">
        <f t="shared" si="70"/>
        <v>20929.161</v>
      </c>
      <c r="R99" s="625">
        <f t="shared" si="70"/>
        <v>18659.955999999998</v>
      </c>
      <c r="S99" s="625">
        <f t="shared" si="70"/>
        <v>19665.205999999998</v>
      </c>
      <c r="T99" s="625">
        <f t="shared" si="70"/>
        <v>19849.735000000001</v>
      </c>
      <c r="U99" s="625">
        <f t="shared" si="70"/>
        <v>11081.690999999999</v>
      </c>
      <c r="V99" s="625">
        <f t="shared" si="70"/>
        <v>8586.9550000000017</v>
      </c>
      <c r="W99" s="625">
        <f t="shared" si="70"/>
        <v>8741.3060000000005</v>
      </c>
      <c r="X99" s="625">
        <f t="shared" si="70"/>
        <v>6495.7709999999997</v>
      </c>
      <c r="Y99" s="625">
        <f t="shared" si="70"/>
        <v>3201.0769999999998</v>
      </c>
      <c r="Z99" s="625">
        <f t="shared" si="70"/>
        <v>3917.029</v>
      </c>
      <c r="AA99" s="625">
        <f t="shared" si="70"/>
        <v>6640.0940000000001</v>
      </c>
      <c r="AB99" s="625">
        <f t="shared" si="70"/>
        <v>6789.9260000000004</v>
      </c>
      <c r="AC99" s="625">
        <f t="shared" si="70"/>
        <v>10469.824999999999</v>
      </c>
      <c r="AD99" s="625">
        <f t="shared" si="70"/>
        <v>4708.6639999999998</v>
      </c>
      <c r="AE99" s="625">
        <f t="shared" si="70"/>
        <v>23115.748</v>
      </c>
      <c r="AF99" s="625">
        <f t="shared" si="70"/>
        <v>5412.576</v>
      </c>
      <c r="AG99" s="625">
        <f t="shared" si="70"/>
        <v>3747.5639999999999</v>
      </c>
      <c r="AH99" s="625">
        <f t="shared" si="70"/>
        <v>3174.326</v>
      </c>
      <c r="AI99" s="625">
        <f t="shared" si="70"/>
        <v>3853.471</v>
      </c>
      <c r="AJ99" s="625">
        <f t="shared" si="70"/>
        <v>3276.6880000000001</v>
      </c>
      <c r="AK99" s="625">
        <f t="shared" si="70"/>
        <v>2922.759</v>
      </c>
      <c r="AL99" s="625">
        <f t="shared" si="70"/>
        <v>46124.361000000004</v>
      </c>
      <c r="AM99" s="625">
        <f t="shared" si="70"/>
        <v>5738.3119999999999</v>
      </c>
      <c r="AN99" s="625">
        <f t="shared" si="70"/>
        <v>12026.431</v>
      </c>
      <c r="AO99" s="625">
        <f t="shared" si="70"/>
        <v>3748.2510000000002</v>
      </c>
      <c r="AP99" s="625">
        <f t="shared" si="70"/>
        <v>9026.4089999999997</v>
      </c>
      <c r="AQ99" s="625">
        <f t="shared" si="70"/>
        <v>5354.7740000000003</v>
      </c>
      <c r="AR99" s="625">
        <f t="shared" si="70"/>
        <v>10326.152000000002</v>
      </c>
      <c r="AS99" s="625">
        <f t="shared" si="70"/>
        <v>3423.1089999999999</v>
      </c>
      <c r="AT99" s="625">
        <f t="shared" si="70"/>
        <v>2910.1680000000001</v>
      </c>
      <c r="AU99" s="625">
        <f t="shared" si="70"/>
        <v>4710.6399999999994</v>
      </c>
      <c r="AV99" s="625">
        <f t="shared" si="70"/>
        <v>5711.9690000000001</v>
      </c>
      <c r="AW99" s="625">
        <f t="shared" si="70"/>
        <v>7207.7849999999999</v>
      </c>
      <c r="AX99" s="625">
        <f t="shared" si="70"/>
        <v>14360.366</v>
      </c>
      <c r="AY99" s="625">
        <f t="shared" si="70"/>
        <v>6640.4369999999999</v>
      </c>
      <c r="AZ99" s="625">
        <f t="shared" si="70"/>
        <v>5883.2190000000001</v>
      </c>
      <c r="BA99" s="625">
        <f t="shared" si="70"/>
        <v>5761.5990000000002</v>
      </c>
      <c r="BB99" s="625">
        <f t="shared" si="70"/>
        <v>4786.3330000000005</v>
      </c>
      <c r="BC99" s="625">
        <f t="shared" si="70"/>
        <v>6044.5029999999997</v>
      </c>
      <c r="BD99" s="625">
        <f t="shared" si="70"/>
        <v>975.60500000000002</v>
      </c>
      <c r="BE99" s="625">
        <f t="shared" si="70"/>
        <v>1173.269</v>
      </c>
      <c r="BF99" s="625">
        <f t="shared" ref="BF99" si="71">+BF10</f>
        <v>10422.161</v>
      </c>
    </row>
    <row r="100" spans="1:58" x14ac:dyDescent="0.2">
      <c r="A100" s="1816"/>
      <c r="B100" s="376" t="s">
        <v>1065</v>
      </c>
      <c r="C100" s="625">
        <f>+HLOOKUP(C4,'פירוט נכסי מים וביוב'!$1:$289,275,0)+IFERROR(VLOOKUP(C4,'פחתי מים לרשויות מצטרפות'!#REF!,HLOOKUP('תחשיב עלות תפעול לשנת 2016'!$B$100,'פחתי מים לרשויות מצטרפות'!#REF!,2,0),0),0)</f>
        <v>107182</v>
      </c>
      <c r="D100" s="625">
        <f>+HLOOKUP(D4,'פירוט נכסי מים וביוב'!$1:$289,275,0)+IFERROR(VLOOKUP(D4,'פחתי מים לרשויות מצטרפות'!#REF!,HLOOKUP('תחשיב עלות תפעול לשנת 2016'!$B$100,'פחתי מים לרשויות מצטרפות'!#REF!,2,0),0),0)</f>
        <v>0</v>
      </c>
      <c r="E100" s="625">
        <f>+HLOOKUP(E4,'פירוט נכסי מים וביוב'!$1:$289,275,0)+IFERROR(VLOOKUP(E4,'פחתי מים לרשויות מצטרפות'!#REF!,HLOOKUP('תחשיב עלות תפעול לשנת 2016'!$B$100,'פחתי מים לרשויות מצטרפות'!#REF!,2,0),0),0)</f>
        <v>8571</v>
      </c>
      <c r="F100" s="625">
        <f>+HLOOKUP(F4,'פירוט נכסי מים וביוב'!$1:$289,275,0)+IFERROR(VLOOKUP(F4,'פחתי מים לרשויות מצטרפות'!#REF!,HLOOKUP('תחשיב עלות תפעול לשנת 2016'!$B$100,'פחתי מים לרשויות מצטרפות'!#REF!,2,0),0),0)</f>
        <v>796546</v>
      </c>
      <c r="G100" s="625">
        <f>+HLOOKUP(G4,'פירוט נכסי מים וביוב'!$1:$289,275,0)+IFERROR(VLOOKUP(G4,'פחתי מים לרשויות מצטרפות'!#REF!,HLOOKUP('תחשיב עלות תפעול לשנת 2016'!$B$100,'פחתי מים לרשויות מצטרפות'!#REF!,2,0),0),0)</f>
        <v>304054</v>
      </c>
      <c r="H100" s="625">
        <f>+HLOOKUP(H4,'פירוט נכסי מים וביוב'!$1:$289,275,0)+IFERROR(VLOOKUP(H4,'פחתי מים לרשויות מצטרפות'!#REF!,HLOOKUP('תחשיב עלות תפעול לשנת 2016'!$B$100,'פחתי מים לרשויות מצטרפות'!#REF!,2,0),0),0)</f>
        <v>49454</v>
      </c>
      <c r="I100" s="625">
        <f>+HLOOKUP(I4,'פירוט נכסי מים וביוב'!$1:$289,275,0)+IFERROR(VLOOKUP(I4,'פחתי מים לרשויות מצטרפות'!#REF!,HLOOKUP('תחשיב עלות תפעול לשנת 2016'!$B$100,'פחתי מים לרשויות מצטרפות'!#REF!,2,0),0),0)</f>
        <v>0</v>
      </c>
      <c r="J100" s="625">
        <f>+HLOOKUP(J4,'פירוט נכסי מים וביוב'!$1:$289,275,0)+IFERROR(VLOOKUP(J4,'פחתי מים לרשויות מצטרפות'!#REF!,HLOOKUP('תחשיב עלות תפעול לשנת 2016'!$B$100,'פחתי מים לרשויות מצטרפות'!#REF!,2,0),0),0)</f>
        <v>298055</v>
      </c>
      <c r="K100" s="625">
        <f>+HLOOKUP(K4,'פירוט נכסי מים וביוב'!$1:$289,275,0)+IFERROR(VLOOKUP(K4,'פחתי מים לרשויות מצטרפות'!#REF!,HLOOKUP('תחשיב עלות תפעול לשנת 2016'!$B$100,'פחתי מים לרשויות מצטרפות'!#REF!,2,0),0),0)</f>
        <v>66171</v>
      </c>
      <c r="L100" s="625">
        <f>+HLOOKUP(L4,'פירוט נכסי מים וביוב'!$1:$289,275,0)+IFERROR(VLOOKUP(L4,'פחתי מים לרשויות מצטרפות'!#REF!,HLOOKUP('תחשיב עלות תפעול לשנת 2016'!$B$100,'פחתי מים לרשויות מצטרפות'!#REF!,2,0),0),0)</f>
        <v>22796</v>
      </c>
      <c r="M100" s="625">
        <f>+HLOOKUP(M4,'פירוט נכסי מים וביוב'!$1:$289,275,0)+IFERROR(VLOOKUP(M4,'פחתי מים לרשויות מצטרפות'!#REF!,HLOOKUP('תחשיב עלות תפעול לשנת 2016'!$B$100,'פחתי מים לרשויות מצטרפות'!#REF!,2,0),0),0)</f>
        <v>254519</v>
      </c>
      <c r="N100" s="625">
        <f>+HLOOKUP(N4,'פירוט נכסי מים וביוב'!$1:$289,275,0)+IFERROR(VLOOKUP(N4,'פחתי מים לרשויות מצטרפות'!#REF!,HLOOKUP('תחשיב עלות תפעול לשנת 2016'!$B$100,'פחתי מים לרשויות מצטרפות'!#REF!,2,0),0),0)</f>
        <v>18505</v>
      </c>
      <c r="O100" s="625">
        <f>+HLOOKUP(O4,'פירוט נכסי מים וביוב'!$1:$289,275,0)+IFERROR(VLOOKUP(O4,'פחתי מים לרשויות מצטרפות'!#REF!,HLOOKUP('תחשיב עלות תפעול לשנת 2016'!$B$100,'פחתי מים לרשויות מצטרפות'!#REF!,2,0),0),0)</f>
        <v>66321</v>
      </c>
      <c r="P100" s="625">
        <f>+HLOOKUP(P4,'פירוט נכסי מים וביוב'!$1:$289,275,0)+IFERROR(VLOOKUP(P4,'פחתי מים לרשויות מצטרפות'!#REF!,HLOOKUP('תחשיב עלות תפעול לשנת 2016'!$B$100,'פחתי מים לרשויות מצטרפות'!#REF!,2,0),0),0)</f>
        <v>0</v>
      </c>
      <c r="Q100" s="625">
        <f>+HLOOKUP(Q4,'פירוט נכסי מים וביוב'!$1:$289,275,0)+IFERROR(VLOOKUP(Q4,'פחתי מים לרשויות מצטרפות'!#REF!,HLOOKUP('תחשיב עלות תפעול לשנת 2016'!$B$100,'פחתי מים לרשויות מצטרפות'!#REF!,2,0),0),0)</f>
        <v>1760537</v>
      </c>
      <c r="R100" s="625">
        <f>+HLOOKUP(R4,'פירוט נכסי מים וביוב'!$1:$289,275,0)+IFERROR(VLOOKUP(R4,'פחתי מים לרשויות מצטרפות'!#REF!,HLOOKUP('תחשיב עלות תפעול לשנת 2016'!$B$100,'פחתי מים לרשויות מצטרפות'!#REF!,2,0),0),0)</f>
        <v>294440</v>
      </c>
      <c r="S100" s="625">
        <f>+HLOOKUP(S4,'פירוט נכסי מים וביוב'!$1:$289,275,0)+IFERROR(VLOOKUP(S4,'פחתי מים לרשויות מצטרפות'!#REF!,HLOOKUP('תחשיב עלות תפעול לשנת 2016'!$B$100,'פחתי מים לרשויות מצטרפות'!#REF!,2,0),0),0)</f>
        <v>260856</v>
      </c>
      <c r="T100" s="625">
        <f>+HLOOKUP(T4,'פירוט נכסי מים וביוב'!$1:$289,275,0)+IFERROR(VLOOKUP(T4,'פחתי מים לרשויות מצטרפות'!#REF!,HLOOKUP('תחשיב עלות תפעול לשנת 2016'!$B$100,'פחתי מים לרשויות מצטרפות'!#REF!,2,0),0),0)</f>
        <v>264864</v>
      </c>
      <c r="U100" s="625">
        <f>+HLOOKUP(U4,'פירוט נכסי מים וביוב'!$1:$289,275,0)+IFERROR(VLOOKUP(U4,'פחתי מים לרשויות מצטרפות'!#REF!,HLOOKUP('תחשיב עלות תפעול לשנת 2016'!$B$100,'פחתי מים לרשויות מצטרפות'!#REF!,2,0),0),0)</f>
        <v>29796</v>
      </c>
      <c r="V100" s="625">
        <f>+HLOOKUP(V4,'פירוט נכסי מים וביוב'!$1:$289,275,0)+IFERROR(VLOOKUP(V4,'פחתי מים לרשויות מצטרפות'!#REF!,HLOOKUP('תחשיב עלות תפעול לשנת 2016'!$B$100,'פחתי מים לרשויות מצטרפות'!#REF!,2,0),0),0)</f>
        <v>598000</v>
      </c>
      <c r="W100" s="625">
        <f>+HLOOKUP(W4,'פירוט נכסי מים וביוב'!$1:$289,275,0)+IFERROR(VLOOKUP(W4,'פחתי מים לרשויות מצטרפות'!#REF!,HLOOKUP('תחשיב עלות תפעול לשנת 2016'!$B$100,'פחתי מים לרשויות מצטרפות'!#REF!,2,0),0),0)</f>
        <v>0</v>
      </c>
      <c r="X100" s="625">
        <f>+HLOOKUP(X4,'פירוט נכסי מים וביוב'!$1:$289,275,0)+IFERROR(VLOOKUP(X4,'פחתי מים לרשויות מצטרפות'!#REF!,HLOOKUP('תחשיב עלות תפעול לשנת 2016'!$B$100,'פחתי מים לרשויות מצטרפות'!#REF!,2,0),0),0)</f>
        <v>66230</v>
      </c>
      <c r="Y100" s="625">
        <f>+HLOOKUP(Y4,'פירוט נכסי מים וביוב'!$1:$289,275,0)+IFERROR(VLOOKUP(Y4,'פחתי מים לרשויות מצטרפות'!#REF!,HLOOKUP('תחשיב עלות תפעול לשנת 2016'!$B$100,'פחתי מים לרשויות מצטרפות'!#REF!,2,0),0),0)</f>
        <v>0</v>
      </c>
      <c r="Z100" s="625">
        <f>+HLOOKUP(Z4,'פירוט נכסי מים וביוב'!$1:$289,275,0)+IFERROR(VLOOKUP(Z4,'פחתי מים לרשויות מצטרפות'!#REF!,HLOOKUP('תחשיב עלות תפעול לשנת 2016'!$B$100,'פחתי מים לרשויות מצטרפות'!#REF!,2,0),0),0)</f>
        <v>3622.538</v>
      </c>
      <c r="AA100" s="625">
        <f>+HLOOKUP(AA4,'פירוט נכסי מים וביוב'!$1:$289,275,0)+IFERROR(VLOOKUP(AA4,'פחתי מים לרשויות מצטרפות'!#REF!,HLOOKUP('תחשיב עלות תפעול לשנת 2016'!$B$100,'פחתי מים לרשויות מצטרפות'!#REF!,2,0),0),0)</f>
        <v>205824</v>
      </c>
      <c r="AB100" s="625">
        <f>+HLOOKUP(AB4,'פירוט נכסי מים וביוב'!$1:$289,275,0)+IFERROR(VLOOKUP(AB4,'פחתי מים לרשויות מצטרפות'!#REF!,HLOOKUP('תחשיב עלות תפעול לשנת 2016'!$B$100,'פחתי מים לרשויות מצטרפות'!#REF!,2,0),0),0)</f>
        <v>0</v>
      </c>
      <c r="AC100" s="625">
        <f>+HLOOKUP(AC4,'פירוט נכסי מים וביוב'!$1:$289,275,0)+IFERROR(VLOOKUP(AC4,'פחתי מים לרשויות מצטרפות'!#REF!,HLOOKUP('תחשיב עלות תפעול לשנת 2016'!$B$100,'פחתי מים לרשויות מצטרפות'!#REF!,2,0),0),0)</f>
        <v>118000</v>
      </c>
      <c r="AD100" s="625">
        <f>+HLOOKUP(AD4,'פירוט נכסי מים וביוב'!$1:$289,275,0)+IFERROR(VLOOKUP(AD4,'פחתי מים לרשויות מצטרפות'!#REF!,HLOOKUP('תחשיב עלות תפעול לשנת 2016'!$B$100,'פחתי מים לרשויות מצטרפות'!#REF!,2,0),0),0)</f>
        <v>310007</v>
      </c>
      <c r="AE100" s="625">
        <f>+HLOOKUP(AE4,'פירוט נכסי מים וביוב'!$1:$289,275,0)+IFERROR(VLOOKUP(AE4,'פחתי מים לרשויות מצטרפות'!#REF!,HLOOKUP('תחשיב עלות תפעול לשנת 2016'!$B$100,'פחתי מים לרשויות מצטרפות'!#REF!,2,0),0),0)</f>
        <v>2363915</v>
      </c>
      <c r="AF100" s="625">
        <f>+HLOOKUP(AF4,'פירוט נכסי מים וביוב'!$1:$289,275,0)+IFERROR(VLOOKUP(AF4,'פחתי מים לרשויות מצטרפות'!#REF!,HLOOKUP('תחשיב עלות תפעול לשנת 2016'!$B$100,'פחתי מים לרשויות מצטרפות'!#REF!,2,0),0),0)</f>
        <v>25343</v>
      </c>
      <c r="AG100" s="625">
        <f>+HLOOKUP(AG4,'פירוט נכסי מים וביוב'!$1:$289,275,0)+IFERROR(VLOOKUP(AG4,'פחתי מים לרשויות מצטרפות'!#REF!,HLOOKUP('תחשיב עלות תפעול לשנת 2016'!$B$100,'פחתי מים לרשויות מצטרפות'!#REF!,2,0),0),0)</f>
        <v>73324</v>
      </c>
      <c r="AH100" s="625">
        <f>+HLOOKUP(AH4,'פירוט נכסי מים וביוב'!$1:$289,275,0)+IFERROR(VLOOKUP(AH4,'פחתי מים לרשויות מצטרפות'!#REF!,HLOOKUP('תחשיב עלות תפעול לשנת 2016'!$B$100,'פחתי מים לרשויות מצטרפות'!#REF!,2,0),0),0)</f>
        <v>0</v>
      </c>
      <c r="AI100" s="625">
        <f>+HLOOKUP(AI4,'פירוט נכסי מים וביוב'!$1:$289,275,0)+IFERROR(VLOOKUP(AI4,'פחתי מים לרשויות מצטרפות'!#REF!,HLOOKUP('תחשיב עלות תפעול לשנת 2016'!$B$100,'פחתי מים לרשויות מצטרפות'!#REF!,2,0),0),0)</f>
        <v>20284</v>
      </c>
      <c r="AJ100" s="625">
        <f>+HLOOKUP(AJ4,'פירוט נכסי מים וביוב'!$1:$289,275,0)+IFERROR(VLOOKUP(AJ4,'פחתי מים לרשויות מצטרפות'!#REF!,HLOOKUP('תחשיב עלות תפעול לשנת 2016'!$B$100,'פחתי מים לרשויות מצטרפות'!#REF!,2,0),0),0)</f>
        <v>17517</v>
      </c>
      <c r="AK100" s="625">
        <f>+HLOOKUP(AK4,'פירוט נכסי מים וביוב'!$1:$289,275,0)+IFERROR(VLOOKUP(AK4,'פחתי מים לרשויות מצטרפות'!#REF!,HLOOKUP('תחשיב עלות תפעול לשנת 2016'!$B$100,'פחתי מים לרשויות מצטרפות'!#REF!,2,0),0),0)</f>
        <v>0</v>
      </c>
      <c r="AL100" s="625">
        <f>+HLOOKUP(AL4,'פירוט נכסי מים וביוב'!$1:$289,275,0)+IFERROR(VLOOKUP(AL4,'פחתי מים לרשויות מצטרפות'!#REF!,HLOOKUP('תחשיב עלות תפעול לשנת 2016'!$B$100,'פחתי מים לרשויות מצטרפות'!#REF!,2,0),0),0)</f>
        <v>958434</v>
      </c>
      <c r="AM100" s="625">
        <f>+HLOOKUP(AM4,'פירוט נכסי מים וביוב'!$1:$289,275,0)+IFERROR(VLOOKUP(AM4,'פחתי מים לרשויות מצטרפות'!#REF!,HLOOKUP('תחשיב עלות תפעול לשנת 2016'!$B$100,'פחתי מים לרשויות מצטרפות'!#REF!,2,0),0),0)</f>
        <v>49782</v>
      </c>
      <c r="AN100" s="625">
        <f>+HLOOKUP(AN4,'פירוט נכסי מים וביוב'!$1:$289,275,0)+IFERROR(VLOOKUP(AN4,'פחתי מים לרשויות מצטרפות'!#REF!,HLOOKUP('תחשיב עלות תפעול לשנת 2016'!$B$100,'פחתי מים לרשויות מצטרפות'!#REF!,2,0),0),0)</f>
        <v>0</v>
      </c>
      <c r="AO100" s="625">
        <f>+HLOOKUP(AO4,'פירוט נכסי מים וביוב'!$1:$289,275,0)+IFERROR(VLOOKUP(AO4,'פחתי מים לרשויות מצטרפות'!#REF!,HLOOKUP('תחשיב עלות תפעול לשנת 2016'!$B$100,'פחתי מים לרשויות מצטרפות'!#REF!,2,0),0),0)</f>
        <v>45643</v>
      </c>
      <c r="AP100" s="625">
        <f>+HLOOKUP(AP4,'פירוט נכסי מים וביוב'!$1:$289,275,0)+IFERROR(VLOOKUP(AP4,'פחתי מים לרשויות מצטרפות'!#REF!,HLOOKUP('תחשיב עלות תפעול לשנת 2016'!$B$100,'פחתי מים לרשויות מצטרפות'!#REF!,2,0),0),0)</f>
        <v>147140</v>
      </c>
      <c r="AQ100" s="625">
        <f>+HLOOKUP(AQ4,'פירוט נכסי מים וביוב'!$1:$289,275,0)+IFERROR(VLOOKUP(AQ4,'פחתי מים לרשויות מצטרפות'!#REF!,HLOOKUP('תחשיב עלות תפעול לשנת 2016'!$B$100,'פחתי מים לרשויות מצטרפות'!#REF!,2,0),0),0)</f>
        <v>30539</v>
      </c>
      <c r="AR100" s="625">
        <f>+HLOOKUP(AR4,'פירוט נכסי מים וביוב'!$1:$289,275,0)+IFERROR(VLOOKUP(AR4,'פחתי מים לרשויות מצטרפות'!#REF!,HLOOKUP('תחשיב עלות תפעול לשנת 2016'!$B$100,'פחתי מים לרשויות מצטרפות'!#REF!,2,0),0),0)</f>
        <v>0</v>
      </c>
      <c r="AS100" s="625">
        <f>+HLOOKUP(AS4,'פירוט נכסי מים וביוב'!$1:$289,275,0)+IFERROR(VLOOKUP(AS4,'פחתי מים לרשויות מצטרפות'!#REF!,HLOOKUP('תחשיב עלות תפעול לשנת 2016'!$B$100,'פחתי מים לרשויות מצטרפות'!#REF!,2,0),0),0)</f>
        <v>0</v>
      </c>
      <c r="AT100" s="625">
        <f>+HLOOKUP(AT4,'פירוט נכסי מים וביוב'!$1:$289,275,0)+IFERROR(VLOOKUP(AT4,'פחתי מים לרשויות מצטרפות'!#REF!,HLOOKUP('תחשיב עלות תפעול לשנת 2016'!$B$100,'פחתי מים לרשויות מצטרפות'!#REF!,2,0),0),0)</f>
        <v>0</v>
      </c>
      <c r="AU100" s="625">
        <f>+HLOOKUP(AU4,'פירוט נכסי מים וביוב'!$1:$289,275,0)+IFERROR(VLOOKUP(AU4,'פחתי מים לרשויות מצטרפות'!#REF!,HLOOKUP('תחשיב עלות תפעול לשנת 2016'!$B$100,'פחתי מים לרשויות מצטרפות'!#REF!,2,0),0),0)</f>
        <v>993</v>
      </c>
      <c r="AV100" s="625">
        <f>+HLOOKUP(AV4,'פירוט נכסי מים וביוב'!$1:$289,275,0)+IFERROR(VLOOKUP(AV4,'פחתי מים לרשויות מצטרפות'!#REF!,HLOOKUP('תחשיב עלות תפעול לשנת 2016'!$B$100,'פחתי מים לרשויות מצטרפות'!#REF!,2,0),0),0)</f>
        <v>0</v>
      </c>
      <c r="AW100" s="625">
        <f>+HLOOKUP(AW4,'פירוט נכסי מים וביוב'!$1:$289,275,0)+IFERROR(VLOOKUP(AW4,'פחתי מים לרשויות מצטרפות'!#REF!,HLOOKUP('תחשיב עלות תפעול לשנת 2016'!$B$100,'פחתי מים לרשויות מצטרפות'!#REF!,2,0),0),0)</f>
        <v>56465</v>
      </c>
      <c r="AX100" s="625">
        <f>+HLOOKUP(AX4,'פירוט נכסי מים וביוב'!$1:$289,275,0)+IFERROR(VLOOKUP(AX4,'פחתי מים לרשויות מצטרפות'!#REF!,HLOOKUP('תחשיב עלות תפעול לשנת 2016'!$B$100,'פחתי מים לרשויות מצטרפות'!#REF!,2,0),0),0)</f>
        <v>173286</v>
      </c>
      <c r="AY100" s="625">
        <f>+HLOOKUP(AY4,'פירוט נכסי מים וביוב'!$1:$289,275,0)+IFERROR(VLOOKUP(AY4,'פחתי מים לרשויות מצטרפות'!#REF!,HLOOKUP('תחשיב עלות תפעול לשנת 2016'!$B$100,'פחתי מים לרשויות מצטרפות'!#REF!,2,0),0),0)</f>
        <v>13244</v>
      </c>
      <c r="AZ100" s="625">
        <f>+HLOOKUP(AZ4,'פירוט נכסי מים וביוב'!$1:$289,275,0)+IFERROR(VLOOKUP(AZ4,'פחתי מים לרשויות מצטרפות'!#REF!,HLOOKUP('תחשיב עלות תפעול לשנת 2016'!$B$100,'פחתי מים לרשויות מצטרפות'!#REF!,2,0),0),0)</f>
        <v>18460</v>
      </c>
      <c r="BA100" s="625">
        <f>+HLOOKUP(BA4,'פירוט נכסי מים וביוב'!$1:$289,275,0)+IFERROR(VLOOKUP(BA4,'פחתי מים לרשויות מצטרפות'!#REF!,HLOOKUP('תחשיב עלות תפעול לשנת 2016'!$B$100,'פחתי מים לרשויות מצטרפות'!#REF!,2,0),0),0)</f>
        <v>73767</v>
      </c>
      <c r="BB100" s="625">
        <f>+HLOOKUP(BB4,'פירוט נכסי מים וביוב'!$1:$289,275,0)+IFERROR(VLOOKUP(BB4,'פחתי מים לרשויות מצטרפות'!#REF!,HLOOKUP('תחשיב עלות תפעול לשנת 2016'!$B$100,'פחתי מים לרשויות מצטרפות'!#REF!,2,0),0),0)</f>
        <v>6800</v>
      </c>
      <c r="BC100" s="625">
        <f>+HLOOKUP(BC4,'פירוט נכסי מים וביוב'!$1:$289,275,0)+IFERROR(VLOOKUP(BC4,'פחתי מים לרשויות מצטרפות'!#REF!,HLOOKUP('תחשיב עלות תפעול לשנת 2016'!$B$100,'פחתי מים לרשויות מצטרפות'!#REF!,2,0),0),0)</f>
        <v>0</v>
      </c>
      <c r="BD100" s="625">
        <f>+HLOOKUP(BD4,'פירוט נכסי מים וביוב'!$1:$289,275,0)+IFERROR(VLOOKUP(BD4,'פחתי מים לרשויות מצטרפות'!#REF!,HLOOKUP('תחשיב עלות תפעול לשנת 2016'!$B$100,'פחתי מים לרשויות מצטרפות'!#REF!,2,0),0),0)</f>
        <v>1.65</v>
      </c>
      <c r="BE100" s="625">
        <f>+HLOOKUP(BE4,'פירוט נכסי מים וביוב'!$1:$289,275,0)+IFERROR(VLOOKUP(BE4,'פחתי מים לרשויות מצטרפות'!#REF!,HLOOKUP('תחשיב עלות תפעול לשנת 2016'!$B$100,'פחתי מים לרשויות מצטרפות'!#REF!,2,0),0),0)</f>
        <v>0</v>
      </c>
      <c r="BF100" s="625">
        <f>+HLOOKUP(BF4,'פירוט נכסי מים וביוב'!$1:$289,275,0)+IFERROR(VLOOKUP(BF4,'פחתי מים לרשויות מצטרפות'!#REF!,HLOOKUP('תחשיב עלות תפעול לשנת 2016'!$B$100,'פחתי מים לרשויות מצטרפות'!#REF!,2,0),0),0)</f>
        <v>0</v>
      </c>
    </row>
    <row r="101" spans="1:58" x14ac:dyDescent="0.2">
      <c r="A101" s="1816"/>
      <c r="B101" s="376" t="s">
        <v>1066</v>
      </c>
      <c r="C101" s="627">
        <v>0.9</v>
      </c>
      <c r="D101" s="627">
        <v>0.9</v>
      </c>
      <c r="E101" s="627">
        <v>0.9</v>
      </c>
      <c r="F101" s="627">
        <v>0.9</v>
      </c>
      <c r="G101" s="627">
        <v>0.9</v>
      </c>
      <c r="H101" s="627">
        <v>0.9</v>
      </c>
      <c r="I101" s="627">
        <v>0.9</v>
      </c>
      <c r="J101" s="627">
        <v>0.9</v>
      </c>
      <c r="K101" s="627">
        <v>0.9</v>
      </c>
      <c r="L101" s="627">
        <v>0.9</v>
      </c>
      <c r="M101" s="627">
        <v>0.9</v>
      </c>
      <c r="N101" s="627">
        <v>0.9</v>
      </c>
      <c r="O101" s="627">
        <v>0.9</v>
      </c>
      <c r="P101" s="627">
        <v>0.9</v>
      </c>
      <c r="Q101" s="627">
        <v>0.9</v>
      </c>
      <c r="R101" s="627">
        <v>0.9</v>
      </c>
      <c r="S101" s="627">
        <v>0.9</v>
      </c>
      <c r="T101" s="627">
        <v>0.9</v>
      </c>
      <c r="U101" s="627">
        <v>0.9</v>
      </c>
      <c r="V101" s="627">
        <v>0.9</v>
      </c>
      <c r="W101" s="627">
        <v>0.9</v>
      </c>
      <c r="X101" s="627">
        <v>0.9</v>
      </c>
      <c r="Y101" s="627">
        <v>0.9</v>
      </c>
      <c r="Z101" s="627">
        <v>0.9</v>
      </c>
      <c r="AA101" s="627">
        <v>0.9</v>
      </c>
      <c r="AB101" s="627">
        <v>0.9</v>
      </c>
      <c r="AC101" s="627">
        <v>0.9</v>
      </c>
      <c r="AD101" s="627">
        <v>0.9</v>
      </c>
      <c r="AE101" s="627">
        <v>0.9</v>
      </c>
      <c r="AF101" s="627">
        <v>0.9</v>
      </c>
      <c r="AG101" s="627">
        <v>0.9</v>
      </c>
      <c r="AH101" s="627">
        <v>0.9</v>
      </c>
      <c r="AI101" s="627">
        <v>0.9</v>
      </c>
      <c r="AJ101" s="627">
        <v>0.9</v>
      </c>
      <c r="AK101" s="627">
        <v>0.9</v>
      </c>
      <c r="AL101" s="627">
        <v>0.9</v>
      </c>
      <c r="AM101" s="627">
        <v>0.9</v>
      </c>
      <c r="AN101" s="627">
        <v>0.9</v>
      </c>
      <c r="AO101" s="627">
        <v>0.9</v>
      </c>
      <c r="AP101" s="627">
        <v>0.9</v>
      </c>
      <c r="AQ101" s="627">
        <v>0.9</v>
      </c>
      <c r="AR101" s="627">
        <v>0.9</v>
      </c>
      <c r="AS101" s="627">
        <v>0.9</v>
      </c>
      <c r="AT101" s="627">
        <v>0.9</v>
      </c>
      <c r="AU101" s="627">
        <v>0.9</v>
      </c>
      <c r="AV101" s="627">
        <v>0.9</v>
      </c>
      <c r="AW101" s="627">
        <v>0.9</v>
      </c>
      <c r="AX101" s="627">
        <v>0.9</v>
      </c>
      <c r="AY101" s="627">
        <v>0.9</v>
      </c>
      <c r="AZ101" s="627">
        <v>0.9</v>
      </c>
      <c r="BA101" s="627">
        <v>0.9</v>
      </c>
      <c r="BB101" s="627">
        <v>0.9</v>
      </c>
      <c r="BC101" s="627">
        <v>0.9</v>
      </c>
      <c r="BD101" s="627">
        <v>0.9</v>
      </c>
      <c r="BE101" s="627">
        <v>0.9</v>
      </c>
      <c r="BF101" s="627">
        <v>0.9</v>
      </c>
    </row>
    <row r="102" spans="1:58" s="772" customFormat="1" x14ac:dyDescent="0.2">
      <c r="A102" s="1817"/>
      <c r="B102" s="770" t="s">
        <v>1067</v>
      </c>
      <c r="C102" s="773">
        <f>+C100/1000*C101/(C99-C100/1000)</f>
        <v>9.0379133305188188E-3</v>
      </c>
      <c r="D102" s="773">
        <f t="shared" ref="D102:BE102" si="72">+D100/1000*D101/(D99-D100/1000)</f>
        <v>0</v>
      </c>
      <c r="E102" s="773">
        <f t="shared" si="72"/>
        <v>1.8133704067465587E-3</v>
      </c>
      <c r="F102" s="773">
        <f t="shared" si="72"/>
        <v>1.3397332073108115E-2</v>
      </c>
      <c r="G102" s="773">
        <f t="shared" si="72"/>
        <v>1.6341724556718375E-2</v>
      </c>
      <c r="H102" s="773">
        <f t="shared" si="72"/>
        <v>2.2766163026404156E-2</v>
      </c>
      <c r="I102" s="773">
        <f t="shared" si="72"/>
        <v>0</v>
      </c>
      <c r="J102" s="773">
        <f t="shared" si="72"/>
        <v>3.846777097458226E-2</v>
      </c>
      <c r="K102" s="773">
        <f t="shared" si="72"/>
        <v>1.1183400451250236E-2</v>
      </c>
      <c r="L102" s="773">
        <f t="shared" si="72"/>
        <v>2.0710697407730627E-3</v>
      </c>
      <c r="M102" s="773">
        <f t="shared" si="72"/>
        <v>1.3907949543867882E-2</v>
      </c>
      <c r="N102" s="773">
        <f t="shared" si="72"/>
        <v>1.8083933688008409E-3</v>
      </c>
      <c r="O102" s="773">
        <f t="shared" si="72"/>
        <v>1.0629845537608691E-2</v>
      </c>
      <c r="P102" s="773">
        <f t="shared" si="72"/>
        <v>0</v>
      </c>
      <c r="Q102" s="773">
        <f t="shared" si="72"/>
        <v>8.2660252504300785E-2</v>
      </c>
      <c r="R102" s="773">
        <f t="shared" si="72"/>
        <v>1.4428998346684077E-2</v>
      </c>
      <c r="S102" s="773">
        <f t="shared" si="72"/>
        <v>1.2098854122915739E-2</v>
      </c>
      <c r="T102" s="773">
        <f t="shared" si="72"/>
        <v>1.2171517494294447E-2</v>
      </c>
      <c r="U102" s="773">
        <f t="shared" si="72"/>
        <v>2.4264074170085768E-3</v>
      </c>
      <c r="V102" s="773">
        <f t="shared" si="72"/>
        <v>6.7368009958749295E-2</v>
      </c>
      <c r="W102" s="773">
        <f t="shared" si="72"/>
        <v>0</v>
      </c>
      <c r="X102" s="773">
        <f t="shared" si="72"/>
        <v>9.2708017570772173E-3</v>
      </c>
      <c r="Y102" s="773">
        <f t="shared" si="72"/>
        <v>0</v>
      </c>
      <c r="Z102" s="773">
        <f t="shared" si="72"/>
        <v>8.3310645895284471E-4</v>
      </c>
      <c r="AA102" s="773">
        <f t="shared" si="72"/>
        <v>2.8789839406801392E-2</v>
      </c>
      <c r="AB102" s="773">
        <f t="shared" si="72"/>
        <v>0</v>
      </c>
      <c r="AC102" s="773">
        <f t="shared" si="72"/>
        <v>1.0259060600425531E-2</v>
      </c>
      <c r="AD102" s="773">
        <f t="shared" si="72"/>
        <v>6.3429883257548836E-2</v>
      </c>
      <c r="AE102" s="773">
        <f t="shared" si="72"/>
        <v>0.10252219647295736</v>
      </c>
      <c r="AF102" s="773">
        <f t="shared" si="72"/>
        <v>4.233843236407262E-3</v>
      </c>
      <c r="AG102" s="773">
        <f t="shared" si="72"/>
        <v>1.796061226267201E-2</v>
      </c>
      <c r="AH102" s="773">
        <f t="shared" si="72"/>
        <v>0</v>
      </c>
      <c r="AI102" s="773">
        <f t="shared" si="72"/>
        <v>4.7625122385106704E-3</v>
      </c>
      <c r="AJ102" s="773">
        <f t="shared" si="72"/>
        <v>4.8372116713115082E-3</v>
      </c>
      <c r="AK102" s="773">
        <f t="shared" si="72"/>
        <v>0</v>
      </c>
      <c r="AL102" s="773">
        <f t="shared" si="72"/>
        <v>1.9098259623897454E-2</v>
      </c>
      <c r="AM102" s="773">
        <f t="shared" si="72"/>
        <v>7.876164843993087E-3</v>
      </c>
      <c r="AN102" s="773">
        <f t="shared" si="72"/>
        <v>0</v>
      </c>
      <c r="AO102" s="773">
        <f t="shared" si="72"/>
        <v>1.1094531206112018E-2</v>
      </c>
      <c r="AP102" s="773">
        <f t="shared" si="72"/>
        <v>1.49140655610276E-2</v>
      </c>
      <c r="AQ102" s="773">
        <f t="shared" si="72"/>
        <v>5.1622627476059944E-3</v>
      </c>
      <c r="AR102" s="773">
        <f t="shared" si="72"/>
        <v>0</v>
      </c>
      <c r="AS102" s="773">
        <f t="shared" si="72"/>
        <v>0</v>
      </c>
      <c r="AT102" s="773">
        <f t="shared" si="72"/>
        <v>0</v>
      </c>
      <c r="AU102" s="773">
        <f t="shared" si="72"/>
        <v>1.897594448161402E-4</v>
      </c>
      <c r="AV102" s="773">
        <f t="shared" si="72"/>
        <v>0</v>
      </c>
      <c r="AW102" s="773">
        <f t="shared" si="72"/>
        <v>7.1061706090623841E-3</v>
      </c>
      <c r="AX102" s="773">
        <f t="shared" si="72"/>
        <v>1.0992917499584129E-2</v>
      </c>
      <c r="AY102" s="773">
        <f t="shared" si="72"/>
        <v>1.7985895385874532E-3</v>
      </c>
      <c r="AZ102" s="773">
        <f t="shared" si="72"/>
        <v>2.8328529782724234E-3</v>
      </c>
      <c r="BA102" s="773">
        <f t="shared" si="72"/>
        <v>1.1672338423497739E-2</v>
      </c>
      <c r="BB102" s="773">
        <f t="shared" si="72"/>
        <v>1.2804598273513331E-3</v>
      </c>
      <c r="BC102" s="773">
        <f t="shared" si="72"/>
        <v>0</v>
      </c>
      <c r="BD102" s="773">
        <f t="shared" si="72"/>
        <v>1.5221349947189092E-6</v>
      </c>
      <c r="BE102" s="773">
        <f t="shared" si="72"/>
        <v>0</v>
      </c>
      <c r="BF102" s="773">
        <f t="shared" ref="BF102" si="73">+BF100/1000*BF101/(BF99-BF100/1000)</f>
        <v>0</v>
      </c>
    </row>
    <row r="103" spans="1:58" x14ac:dyDescent="0.2">
      <c r="A103" s="765"/>
      <c r="B103" s="376"/>
      <c r="C103" s="625"/>
      <c r="D103" s="627"/>
      <c r="E103" s="627"/>
      <c r="F103" s="627"/>
      <c r="G103" s="627"/>
      <c r="H103" s="627"/>
      <c r="I103" s="627"/>
      <c r="J103" s="627"/>
      <c r="K103" s="627"/>
      <c r="L103" s="627"/>
      <c r="M103" s="627"/>
      <c r="N103" s="627"/>
      <c r="O103" s="627"/>
      <c r="P103" s="627"/>
      <c r="Q103" s="627"/>
      <c r="R103" s="627"/>
      <c r="S103" s="627"/>
      <c r="T103" s="627"/>
      <c r="U103" s="627"/>
      <c r="V103" s="627"/>
      <c r="W103" s="627"/>
      <c r="X103" s="627"/>
      <c r="Y103" s="627"/>
      <c r="Z103" s="627"/>
      <c r="AA103" s="627"/>
      <c r="AB103" s="627"/>
      <c r="AC103" s="627"/>
      <c r="AD103" s="627"/>
      <c r="AE103" s="627"/>
      <c r="AF103" s="627"/>
      <c r="AG103" s="627"/>
      <c r="AH103" s="627"/>
      <c r="AI103" s="627"/>
      <c r="AJ103" s="627"/>
      <c r="AK103" s="627"/>
      <c r="AL103" s="627"/>
      <c r="AM103" s="627"/>
      <c r="AN103" s="627"/>
      <c r="AO103" s="627"/>
      <c r="AP103" s="627"/>
      <c r="AQ103" s="627"/>
      <c r="AR103" s="627"/>
      <c r="AS103" s="627"/>
      <c r="AT103" s="627"/>
      <c r="AU103" s="627"/>
      <c r="AV103" s="627"/>
      <c r="AW103" s="627"/>
      <c r="AX103" s="627"/>
      <c r="AY103" s="627"/>
      <c r="AZ103" s="627"/>
      <c r="BA103" s="627"/>
      <c r="BB103" s="627"/>
      <c r="BC103" s="627"/>
      <c r="BD103" s="627"/>
      <c r="BE103" s="627"/>
      <c r="BF103" s="627"/>
    </row>
    <row r="104" spans="1:58" x14ac:dyDescent="0.2">
      <c r="A104" s="1815" t="s">
        <v>1068</v>
      </c>
      <c r="B104" s="376" t="s">
        <v>1057</v>
      </c>
      <c r="C104" s="625">
        <f>+C10</f>
        <v>10780.42</v>
      </c>
      <c r="D104" s="625">
        <f t="shared" ref="D104:BE104" si="74">+D10</f>
        <v>9340.4369999999999</v>
      </c>
      <c r="E104" s="625">
        <f t="shared" si="74"/>
        <v>4262.473</v>
      </c>
      <c r="F104" s="625">
        <f t="shared" si="74"/>
        <v>54306.558000000005</v>
      </c>
      <c r="G104" s="625">
        <f t="shared" si="74"/>
        <v>17049.447</v>
      </c>
      <c r="H104" s="625">
        <f t="shared" si="74"/>
        <v>2004.4870000000001</v>
      </c>
      <c r="I104" s="625">
        <f t="shared" si="74"/>
        <v>4334.6769999999997</v>
      </c>
      <c r="J104" s="625">
        <f t="shared" si="74"/>
        <v>7271.4120000000003</v>
      </c>
      <c r="K104" s="625">
        <f t="shared" si="74"/>
        <v>5391.3759999999993</v>
      </c>
      <c r="L104" s="625">
        <f t="shared" si="74"/>
        <v>9928.9809999999998</v>
      </c>
      <c r="M104" s="625">
        <f t="shared" si="74"/>
        <v>16724.746999999999</v>
      </c>
      <c r="N104" s="625">
        <f t="shared" si="74"/>
        <v>9228.0609999999997</v>
      </c>
      <c r="O104" s="625">
        <f t="shared" si="74"/>
        <v>5681.5389999999998</v>
      </c>
      <c r="P104" s="625">
        <f t="shared" si="74"/>
        <v>4715.7889999999998</v>
      </c>
      <c r="Q104" s="625">
        <f t="shared" si="74"/>
        <v>20929.161</v>
      </c>
      <c r="R104" s="625">
        <f t="shared" si="74"/>
        <v>18659.955999999998</v>
      </c>
      <c r="S104" s="625">
        <f t="shared" si="74"/>
        <v>19665.205999999998</v>
      </c>
      <c r="T104" s="625">
        <f t="shared" si="74"/>
        <v>19849.735000000001</v>
      </c>
      <c r="U104" s="625">
        <f t="shared" si="74"/>
        <v>11081.690999999999</v>
      </c>
      <c r="V104" s="625">
        <f t="shared" si="74"/>
        <v>8586.9550000000017</v>
      </c>
      <c r="W104" s="625">
        <f t="shared" si="74"/>
        <v>8741.3060000000005</v>
      </c>
      <c r="X104" s="625">
        <f t="shared" si="74"/>
        <v>6495.7709999999997</v>
      </c>
      <c r="Y104" s="625">
        <f t="shared" si="74"/>
        <v>3201.0769999999998</v>
      </c>
      <c r="Z104" s="625">
        <f t="shared" si="74"/>
        <v>3917.029</v>
      </c>
      <c r="AA104" s="625">
        <f t="shared" si="74"/>
        <v>6640.0940000000001</v>
      </c>
      <c r="AB104" s="625">
        <f t="shared" si="74"/>
        <v>6789.9260000000004</v>
      </c>
      <c r="AC104" s="625">
        <f t="shared" si="74"/>
        <v>10469.824999999999</v>
      </c>
      <c r="AD104" s="625">
        <f t="shared" si="74"/>
        <v>4708.6639999999998</v>
      </c>
      <c r="AE104" s="625">
        <f t="shared" si="74"/>
        <v>23115.748</v>
      </c>
      <c r="AF104" s="625">
        <f t="shared" si="74"/>
        <v>5412.576</v>
      </c>
      <c r="AG104" s="625">
        <f t="shared" si="74"/>
        <v>3747.5639999999999</v>
      </c>
      <c r="AH104" s="625">
        <f t="shared" si="74"/>
        <v>3174.326</v>
      </c>
      <c r="AI104" s="625">
        <f t="shared" si="74"/>
        <v>3853.471</v>
      </c>
      <c r="AJ104" s="625">
        <f t="shared" si="74"/>
        <v>3276.6880000000001</v>
      </c>
      <c r="AK104" s="625">
        <f t="shared" si="74"/>
        <v>2922.759</v>
      </c>
      <c r="AL104" s="625">
        <f t="shared" si="74"/>
        <v>46124.361000000004</v>
      </c>
      <c r="AM104" s="625">
        <f t="shared" si="74"/>
        <v>5738.3119999999999</v>
      </c>
      <c r="AN104" s="625">
        <f t="shared" si="74"/>
        <v>12026.431</v>
      </c>
      <c r="AO104" s="625">
        <f t="shared" si="74"/>
        <v>3748.2510000000002</v>
      </c>
      <c r="AP104" s="625">
        <f t="shared" si="74"/>
        <v>9026.4089999999997</v>
      </c>
      <c r="AQ104" s="625">
        <f t="shared" si="74"/>
        <v>5354.7740000000003</v>
      </c>
      <c r="AR104" s="625">
        <f t="shared" si="74"/>
        <v>10326.152000000002</v>
      </c>
      <c r="AS104" s="625">
        <f t="shared" si="74"/>
        <v>3423.1089999999999</v>
      </c>
      <c r="AT104" s="625">
        <f t="shared" si="74"/>
        <v>2910.1680000000001</v>
      </c>
      <c r="AU104" s="625">
        <f t="shared" si="74"/>
        <v>4710.6399999999994</v>
      </c>
      <c r="AV104" s="625">
        <f t="shared" si="74"/>
        <v>5711.9690000000001</v>
      </c>
      <c r="AW104" s="625">
        <f t="shared" si="74"/>
        <v>7207.7849999999999</v>
      </c>
      <c r="AX104" s="625">
        <f t="shared" si="74"/>
        <v>14360.366</v>
      </c>
      <c r="AY104" s="625">
        <f t="shared" si="74"/>
        <v>6640.4369999999999</v>
      </c>
      <c r="AZ104" s="625">
        <f t="shared" si="74"/>
        <v>5883.2190000000001</v>
      </c>
      <c r="BA104" s="625">
        <f t="shared" si="74"/>
        <v>5761.5990000000002</v>
      </c>
      <c r="BB104" s="625">
        <f t="shared" si="74"/>
        <v>4786.3330000000005</v>
      </c>
      <c r="BC104" s="625">
        <f t="shared" si="74"/>
        <v>6044.5029999999997</v>
      </c>
      <c r="BD104" s="625">
        <f t="shared" si="74"/>
        <v>975.60500000000002</v>
      </c>
      <c r="BE104" s="625">
        <f t="shared" si="74"/>
        <v>1173.269</v>
      </c>
      <c r="BF104" s="625">
        <f t="shared" ref="BF104" si="75">+BF10</f>
        <v>10422.161</v>
      </c>
    </row>
    <row r="105" spans="1:58" x14ac:dyDescent="0.2">
      <c r="A105" s="1816"/>
      <c r="B105" s="376" t="s">
        <v>1069</v>
      </c>
      <c r="C105" s="625">
        <f>+HLOOKUP(C4,'פירוט נכסי מים וביוב'!$1:$289,277,0)+IFERROR(VLOOKUP(C4,'פחתי מים לרשויות מצטרפות'!#REF!,HLOOKUP('תחשיב עלות תפעול לשנת 2016'!$B$105,'פחתי מים לרשויות מצטרפות'!#REF!,2,0),0),0)</f>
        <v>650000</v>
      </c>
      <c r="D105" s="625">
        <f>+HLOOKUP(D4,'פירוט נכסי מים וביוב'!$1:$289,277,0)+IFERROR(VLOOKUP(D4,'פחתי מים לרשויות מצטרפות'!#REF!,HLOOKUP('תחשיב עלות תפעול לשנת 2016'!$B$105,'פחתי מים לרשויות מצטרפות'!#REF!,2,0),0),0)</f>
        <v>0</v>
      </c>
      <c r="E105" s="625">
        <f>+HLOOKUP(E4,'פירוט נכסי מים וביוב'!$1:$289,277,0)+IFERROR(VLOOKUP(E4,'פחתי מים לרשויות מצטרפות'!#REF!,HLOOKUP('תחשיב עלות תפעול לשנת 2016'!$B$105,'פחתי מים לרשויות מצטרפות'!#REF!,2,0),0),0)</f>
        <v>89248</v>
      </c>
      <c r="F105" s="625">
        <f>+HLOOKUP(F4,'פירוט נכסי מים וביוב'!$1:$289,277,0)+IFERROR(VLOOKUP(F4,'פחתי מים לרשויות מצטרפות'!#REF!,HLOOKUP('תחשיב עלות תפעול לשנת 2016'!$B$105,'פחתי מים לרשויות מצטרפות'!#REF!,2,0),0),0)</f>
        <v>1349350.1909716164</v>
      </c>
      <c r="G105" s="625">
        <f>+HLOOKUP(G4,'פירוט נכסי מים וביוב'!$1:$289,277,0)+IFERROR(VLOOKUP(G4,'פחתי מים לרשויות מצטרפות'!#REF!,HLOOKUP('תחשיב עלות תפעול לשנת 2016'!$B$105,'פחתי מים לרשויות מצטרפות'!#REF!,2,0),0),0)</f>
        <v>1970729.1</v>
      </c>
      <c r="H105" s="625">
        <f>+HLOOKUP(H4,'פירוט נכסי מים וביוב'!$1:$289,277,0)+IFERROR(VLOOKUP(H4,'פחתי מים לרשויות מצטרפות'!#REF!,HLOOKUP('תחשיב עלות תפעול לשנת 2016'!$B$105,'פחתי מים לרשויות מצטרפות'!#REF!,2,0),0),0)</f>
        <v>0</v>
      </c>
      <c r="I105" s="625">
        <f>+HLOOKUP(I4,'פירוט נכסי מים וביוב'!$1:$289,277,0)+IFERROR(VLOOKUP(I4,'פחתי מים לרשויות מצטרפות'!#REF!,HLOOKUP('תחשיב עלות תפעול לשנת 2016'!$B$105,'פחתי מים לרשויות מצטרפות'!#REF!,2,0),0),0)</f>
        <v>13000</v>
      </c>
      <c r="J105" s="625">
        <f>+HLOOKUP(J4,'פירוט נכסי מים וביוב'!$1:$289,277,0)+IFERROR(VLOOKUP(J4,'פחתי מים לרשויות מצטרפות'!#REF!,HLOOKUP('תחשיב עלות תפעול לשנת 2016'!$B$105,'פחתי מים לרשויות מצטרפות'!#REF!,2,0),0),0)</f>
        <v>120674</v>
      </c>
      <c r="K105" s="625">
        <f>+HLOOKUP(K4,'פירוט נכסי מים וביוב'!$1:$289,277,0)+IFERROR(VLOOKUP(K4,'פחתי מים לרשויות מצטרפות'!#REF!,HLOOKUP('תחשיב עלות תפעול לשנת 2016'!$B$105,'פחתי מים לרשויות מצטרפות'!#REF!,2,0),0),0)</f>
        <v>107819</v>
      </c>
      <c r="L105" s="625">
        <f>+HLOOKUP(L4,'פירוט נכסי מים וביוב'!$1:$289,277,0)+IFERROR(VLOOKUP(L4,'פחתי מים לרשויות מצטרפות'!#REF!,HLOOKUP('תחשיב עלות תפעול לשנת 2016'!$B$105,'פחתי מים לרשויות מצטרפות'!#REF!,2,0),0),0)</f>
        <v>1500000</v>
      </c>
      <c r="M105" s="625">
        <f>+HLOOKUP(M4,'פירוט נכסי מים וביוב'!$1:$289,277,0)+IFERROR(VLOOKUP(M4,'פחתי מים לרשויות מצטרפות'!#REF!,HLOOKUP('תחשיב עלות תפעול לשנת 2016'!$B$105,'פחתי מים לרשויות מצטרפות'!#REF!,2,0),0),0)</f>
        <v>762731</v>
      </c>
      <c r="N105" s="625">
        <f>+HLOOKUP(N4,'פירוט נכסי מים וביוב'!$1:$289,277,0)+IFERROR(VLOOKUP(N4,'פחתי מים לרשויות מצטרפות'!#REF!,HLOOKUP('תחשיב עלות תפעול לשנת 2016'!$B$105,'פחתי מים לרשויות מצטרפות'!#REF!,2,0),0),0)</f>
        <v>93870</v>
      </c>
      <c r="O105" s="625">
        <f>+HLOOKUP(O4,'פירוט נכסי מים וביוב'!$1:$289,277,0)+IFERROR(VLOOKUP(O4,'פחתי מים לרשויות מצטרפות'!#REF!,HLOOKUP('תחשיב עלות תפעול לשנת 2016'!$B$105,'פחתי מים לרשויות מצטרפות'!#REF!,2,0),0),0)</f>
        <v>74284.33</v>
      </c>
      <c r="P105" s="625">
        <f>+HLOOKUP(P4,'פירוט נכסי מים וביוב'!$1:$289,277,0)+IFERROR(VLOOKUP(P4,'פחתי מים לרשויות מצטרפות'!#REF!,HLOOKUP('תחשיב עלות תפעול לשנת 2016'!$B$105,'פחתי מים לרשויות מצטרפות'!#REF!,2,0),0),0)</f>
        <v>439962</v>
      </c>
      <c r="Q105" s="625">
        <f>+HLOOKUP(Q4,'פירוט נכסי מים וביוב'!$1:$289,277,0)+IFERROR(VLOOKUP(Q4,'פחתי מים לרשויות מצטרפות'!#REF!,HLOOKUP('תחשיב עלות תפעול לשנת 2016'!$B$105,'פחתי מים לרשויות מצטרפות'!#REF!,2,0),0),0)</f>
        <v>510172</v>
      </c>
      <c r="R105" s="625">
        <f>+HLOOKUP(R4,'פירוט נכסי מים וביוב'!$1:$289,277,0)+IFERROR(VLOOKUP(R4,'פחתי מים לרשויות מצטרפות'!#REF!,HLOOKUP('תחשיב עלות תפעול לשנת 2016'!$B$105,'פחתי מים לרשויות מצטרפות'!#REF!,2,0),0),0)</f>
        <v>275820</v>
      </c>
      <c r="S105" s="625">
        <f>+HLOOKUP(S4,'פירוט נכסי מים וביוב'!$1:$289,277,0)+IFERROR(VLOOKUP(S4,'פחתי מים לרשויות מצטרפות'!#REF!,HLOOKUP('תחשיב עלות תפעול לשנת 2016'!$B$105,'פחתי מים לרשויות מצטרפות'!#REF!,2,0),0),0)</f>
        <v>32756</v>
      </c>
      <c r="T105" s="625">
        <f>+HLOOKUP(T4,'פירוט נכסי מים וביוב'!$1:$289,277,0)+IFERROR(VLOOKUP(T4,'פחתי מים לרשויות מצטרפות'!#REF!,HLOOKUP('תחשיב עלות תפעול לשנת 2016'!$B$105,'פחתי מים לרשויות מצטרפות'!#REF!,2,0),0),0)</f>
        <v>300000</v>
      </c>
      <c r="U105" s="625">
        <f>+HLOOKUP(U4,'פירוט נכסי מים וביוב'!$1:$289,277,0)+IFERROR(VLOOKUP(U4,'פחתי מים לרשויות מצטרפות'!#REF!,HLOOKUP('תחשיב עלות תפעול לשנת 2016'!$B$105,'פחתי מים לרשויות מצטרפות'!#REF!,2,0),0),0)</f>
        <v>3510000</v>
      </c>
      <c r="V105" s="625">
        <f>+HLOOKUP(V4,'פירוט נכסי מים וביוב'!$1:$289,277,0)+IFERROR(VLOOKUP(V4,'פחתי מים לרשויות מצטרפות'!#REF!,HLOOKUP('תחשיב עלות תפעול לשנת 2016'!$B$105,'פחתי מים לרשויות מצטרפות'!#REF!,2,0),0),0)</f>
        <v>6664.7999999999993</v>
      </c>
      <c r="W105" s="625">
        <f>+HLOOKUP(W4,'פירוט נכסי מים וביוב'!$1:$289,277,0)+IFERROR(VLOOKUP(W4,'פחתי מים לרשויות מצטרפות'!#REF!,HLOOKUP('תחשיב עלות תפעול לשנת 2016'!$B$105,'פחתי מים לרשויות מצטרפות'!#REF!,2,0),0),0)</f>
        <v>120000</v>
      </c>
      <c r="X105" s="625">
        <f>+HLOOKUP(X4,'פירוט נכסי מים וביוב'!$1:$289,277,0)+IFERROR(VLOOKUP(X4,'פחתי מים לרשויות מצטרפות'!#REF!,HLOOKUP('תחשיב עלות תפעול לשנת 2016'!$B$105,'פחתי מים לרשויות מצטרפות'!#REF!,2,0),0),0)</f>
        <v>0</v>
      </c>
      <c r="Y105" s="625">
        <f>+HLOOKUP(Y4,'פירוט נכסי מים וביוב'!$1:$289,277,0)+IFERROR(VLOOKUP(Y4,'פחתי מים לרשויות מצטרפות'!#REF!,HLOOKUP('תחשיב עלות תפעול לשנת 2016'!$B$105,'פחתי מים לרשויות מצטרפות'!#REF!,2,0),0),0)</f>
        <v>362590</v>
      </c>
      <c r="Z105" s="625">
        <f>+HLOOKUP(Z4,'פירוט נכסי מים וביוב'!$1:$289,277,0)+IFERROR(VLOOKUP(Z4,'פחתי מים לרשויות מצטרפות'!#REF!,HLOOKUP('תחשיב עלות תפעול לשנת 2016'!$B$105,'פחתי מים לרשויות מצטרפות'!#REF!,2,0),0),0)</f>
        <v>17053</v>
      </c>
      <c r="AA105" s="625">
        <f>+HLOOKUP(AA4,'פירוט נכסי מים וביוב'!$1:$289,277,0)+IFERROR(VLOOKUP(AA4,'פחתי מים לרשויות מצטרפות'!#REF!,HLOOKUP('תחשיב עלות תפעול לשנת 2016'!$B$105,'פחתי מים לרשויות מצטרפות'!#REF!,2,0),0),0)</f>
        <v>0</v>
      </c>
      <c r="AB105" s="625">
        <f>+HLOOKUP(AB4,'פירוט נכסי מים וביוב'!$1:$289,277,0)+IFERROR(VLOOKUP(AB4,'פחתי מים לרשויות מצטרפות'!#REF!,HLOOKUP('תחשיב עלות תפעול לשנת 2016'!$B$105,'פחתי מים לרשויות מצטרפות'!#REF!,2,0),0),0)</f>
        <v>4145497</v>
      </c>
      <c r="AC105" s="625">
        <f>+HLOOKUP(AC4,'פירוט נכסי מים וביוב'!$1:$289,277,0)+IFERROR(VLOOKUP(AC4,'פחתי מים לרשויות מצטרפות'!#REF!,HLOOKUP('תחשיב עלות תפעול לשנת 2016'!$B$105,'פחתי מים לרשויות מצטרפות'!#REF!,2,0),0),0)</f>
        <v>95500</v>
      </c>
      <c r="AD105" s="625">
        <f>+HLOOKUP(AD4,'פירוט נכסי מים וביוב'!$1:$289,277,0)+IFERROR(VLOOKUP(AD4,'פחתי מים לרשויות מצטרפות'!#REF!,HLOOKUP('תחשיב עלות תפעול לשנת 2016'!$B$105,'פחתי מים לרשויות מצטרפות'!#REF!,2,0),0),0)</f>
        <v>4119</v>
      </c>
      <c r="AE105" s="625">
        <f>+HLOOKUP(AE4,'פירוט נכסי מים וביוב'!$1:$289,277,0)+IFERROR(VLOOKUP(AE4,'פחתי מים לרשויות מצטרפות'!#REF!,HLOOKUP('תחשיב עלות תפעול לשנת 2016'!$B$105,'פחתי מים לרשויות מצטרפות'!#REF!,2,0),0),0)</f>
        <v>1050073</v>
      </c>
      <c r="AF105" s="625">
        <f>+HLOOKUP(AF4,'פירוט נכסי מים וביוב'!$1:$289,277,0)+IFERROR(VLOOKUP(AF4,'פחתי מים לרשויות מצטרפות'!#REF!,HLOOKUP('תחשיב עלות תפעול לשנת 2016'!$B$105,'פחתי מים לרשויות מצטרפות'!#REF!,2,0),0),0)</f>
        <v>292058</v>
      </c>
      <c r="AG105" s="625">
        <f>+HLOOKUP(AG4,'פירוט נכסי מים וביוב'!$1:$289,277,0)+IFERROR(VLOOKUP(AG4,'פחתי מים לרשויות מצטרפות'!#REF!,HLOOKUP('תחשיב עלות תפעול לשנת 2016'!$B$105,'פחתי מים לרשויות מצטרפות'!#REF!,2,0),0),0)</f>
        <v>1113</v>
      </c>
      <c r="AH105" s="625">
        <f>+HLOOKUP(AH4,'פירוט נכסי מים וביוב'!$1:$289,277,0)+IFERROR(VLOOKUP(AH4,'פחתי מים לרשויות מצטרפות'!#REF!,HLOOKUP('תחשיב עלות תפעול לשנת 2016'!$B$105,'פחתי מים לרשויות מצטרפות'!#REF!,2,0),0),0)</f>
        <v>40000</v>
      </c>
      <c r="AI105" s="625">
        <f>+HLOOKUP(AI4,'פירוט נכסי מים וביוב'!$1:$289,277,0)+IFERROR(VLOOKUP(AI4,'פחתי מים לרשויות מצטרפות'!#REF!,HLOOKUP('תחשיב עלות תפעול לשנת 2016'!$B$105,'פחתי מים לרשויות מצטרפות'!#REF!,2,0),0),0)</f>
        <v>0</v>
      </c>
      <c r="AJ105" s="625">
        <f>+HLOOKUP(AJ4,'פירוט נכסי מים וביוב'!$1:$289,277,0)+IFERROR(VLOOKUP(AJ4,'פחתי מים לרשויות מצטרפות'!#REF!,HLOOKUP('תחשיב עלות תפעול לשנת 2016'!$B$105,'פחתי מים לרשויות מצטרפות'!#REF!,2,0),0),0)</f>
        <v>0</v>
      </c>
      <c r="AK105" s="625">
        <f>+HLOOKUP(AK4,'פירוט נכסי מים וביוב'!$1:$289,277,0)+IFERROR(VLOOKUP(AK4,'פחתי מים לרשויות מצטרפות'!#REF!,HLOOKUP('תחשיב עלות תפעול לשנת 2016'!$B$105,'פחתי מים לרשויות מצטרפות'!#REF!,2,0),0),0)</f>
        <v>75000</v>
      </c>
      <c r="AL105" s="625">
        <f>+HLOOKUP(AL4,'פירוט נכסי מים וביוב'!$1:$289,277,0)+IFERROR(VLOOKUP(AL4,'פחתי מים לרשויות מצטרפות'!#REF!,HLOOKUP('תחשיב עלות תפעול לשנת 2016'!$B$105,'פחתי מים לרשויות מצטרפות'!#REF!,2,0),0),0)</f>
        <v>1882617</v>
      </c>
      <c r="AM105" s="625">
        <f>+HLOOKUP(AM4,'פירוט נכסי מים וביוב'!$1:$289,277,0)+IFERROR(VLOOKUP(AM4,'פחתי מים לרשויות מצטרפות'!#REF!,HLOOKUP('תחשיב עלות תפעול לשנת 2016'!$B$105,'פחתי מים לרשויות מצטרפות'!#REF!,2,0),0),0)</f>
        <v>0</v>
      </c>
      <c r="AN105" s="625">
        <f>+HLOOKUP(AN4,'פירוט נכסי מים וביוב'!$1:$289,277,0)+IFERROR(VLOOKUP(AN4,'פחתי מים לרשויות מצטרפות'!#REF!,HLOOKUP('תחשיב עלות תפעול לשנת 2016'!$B$105,'פחתי מים לרשויות מצטרפות'!#REF!,2,0),0),0)</f>
        <v>150000</v>
      </c>
      <c r="AO105" s="625">
        <f>+HLOOKUP(AO4,'פירוט נכסי מים וביוב'!$1:$289,277,0)+IFERROR(VLOOKUP(AO4,'פחתי מים לרשויות מצטרפות'!#REF!,HLOOKUP('תחשיב עלות תפעול לשנת 2016'!$B$105,'פחתי מים לרשויות מצטרפות'!#REF!,2,0),0),0)</f>
        <v>0</v>
      </c>
      <c r="AP105" s="625">
        <f>+HLOOKUP(AP4,'פירוט נכסי מים וביוב'!$1:$289,277,0)+IFERROR(VLOOKUP(AP4,'פחתי מים לרשויות מצטרפות'!#REF!,HLOOKUP('תחשיב עלות תפעול לשנת 2016'!$B$105,'פחתי מים לרשויות מצטרפות'!#REF!,2,0),0),0)</f>
        <v>138735</v>
      </c>
      <c r="AQ105" s="625">
        <f>+HLOOKUP(AQ4,'פירוט נכסי מים וביוב'!$1:$289,277,0)+IFERROR(VLOOKUP(AQ4,'פחתי מים לרשויות מצטרפות'!#REF!,HLOOKUP('תחשיב עלות תפעול לשנת 2016'!$B$105,'פחתי מים לרשויות מצטרפות'!#REF!,2,0),0),0)</f>
        <v>0</v>
      </c>
      <c r="AR105" s="625">
        <f>+HLOOKUP(AR4,'פירוט נכסי מים וביוב'!$1:$289,277,0)+IFERROR(VLOOKUP(AR4,'פחתי מים לרשויות מצטרפות'!#REF!,HLOOKUP('תחשיב עלות תפעול לשנת 2016'!$B$105,'פחתי מים לרשויות מצטרפות'!#REF!,2,0),0),0)</f>
        <v>15929</v>
      </c>
      <c r="AS105" s="625">
        <f>+HLOOKUP(AS4,'פירוט נכסי מים וביוב'!$1:$289,277,0)+IFERROR(VLOOKUP(AS4,'פחתי מים לרשויות מצטרפות'!#REF!,HLOOKUP('תחשיב עלות תפעול לשנת 2016'!$B$105,'פחתי מים לרשויות מצטרפות'!#REF!,2,0),0),0)</f>
        <v>250000</v>
      </c>
      <c r="AT105" s="625">
        <f>+HLOOKUP(AT4,'פירוט נכסי מים וביוב'!$1:$289,277,0)+IFERROR(VLOOKUP(AT4,'פחתי מים לרשויות מצטרפות'!#REF!,HLOOKUP('תחשיב עלות תפעול לשנת 2016'!$B$105,'פחתי מים לרשויות מצטרפות'!#REF!,2,0),0),0)</f>
        <v>0</v>
      </c>
      <c r="AU105" s="625">
        <f>+HLOOKUP(AU4,'פירוט נכסי מים וביוב'!$1:$289,277,0)+IFERROR(VLOOKUP(AU4,'פחתי מים לרשויות מצטרפות'!#REF!,HLOOKUP('תחשיב עלות תפעול לשנת 2016'!$B$105,'פחתי מים לרשויות מצטרפות'!#REF!,2,0),0),0)</f>
        <v>4962</v>
      </c>
      <c r="AV105" s="625">
        <f>+HLOOKUP(AV4,'פירוט נכסי מים וביוב'!$1:$289,277,0)+IFERROR(VLOOKUP(AV4,'פחתי מים לרשויות מצטרפות'!#REF!,HLOOKUP('תחשיב עלות תפעול לשנת 2016'!$B$105,'פחתי מים לרשויות מצטרפות'!#REF!,2,0),0),0)</f>
        <v>0</v>
      </c>
      <c r="AW105" s="625">
        <f>+HLOOKUP(AW4,'פירוט נכסי מים וביוב'!$1:$289,277,0)+IFERROR(VLOOKUP(AW4,'פחתי מים לרשויות מצטרפות'!#REF!,HLOOKUP('תחשיב עלות תפעול לשנת 2016'!$B$105,'פחתי מים לרשויות מצטרפות'!#REF!,2,0),0),0)</f>
        <v>14000</v>
      </c>
      <c r="AX105" s="625">
        <f>+HLOOKUP(AX4,'פירוט נכסי מים וביוב'!$1:$289,277,0)+IFERROR(VLOOKUP(AX4,'פחתי מים לרשויות מצטרפות'!#REF!,HLOOKUP('תחשיב עלות תפעול לשנת 2016'!$B$105,'פחתי מים לרשויות מצטרפות'!#REF!,2,0),0),0)</f>
        <v>1567243</v>
      </c>
      <c r="AY105" s="625">
        <f>+HLOOKUP(AY4,'פירוט נכסי מים וביוב'!$1:$289,277,0)+IFERROR(VLOOKUP(AY4,'פחתי מים לרשויות מצטרפות'!#REF!,HLOOKUP('תחשיב עלות תפעול לשנת 2016'!$B$105,'פחתי מים לרשויות מצטרפות'!#REF!,2,0),0),0)</f>
        <v>539240</v>
      </c>
      <c r="AZ105" s="625">
        <f>+HLOOKUP(AZ4,'פירוט נכסי מים וביוב'!$1:$289,277,0)+IFERROR(VLOOKUP(AZ4,'פחתי מים לרשויות מצטרפות'!#REF!,HLOOKUP('תחשיב עלות תפעול לשנת 2016'!$B$105,'פחתי מים לרשויות מצטרפות'!#REF!,2,0),0),0)</f>
        <v>0</v>
      </c>
      <c r="BA105" s="625">
        <f>+HLOOKUP(BA4,'פירוט נכסי מים וביוב'!$1:$289,277,0)+IFERROR(VLOOKUP(BA4,'פחתי מים לרשויות מצטרפות'!#REF!,HLOOKUP('תחשיב עלות תפעול לשנת 2016'!$B$105,'פחתי מים לרשויות מצטרפות'!#REF!,2,0),0),0)</f>
        <v>0</v>
      </c>
      <c r="BB105" s="625">
        <f>+HLOOKUP(BB4,'פירוט נכסי מים וביוב'!$1:$289,277,0)+IFERROR(VLOOKUP(BB4,'פחתי מים לרשויות מצטרפות'!#REF!,HLOOKUP('תחשיב עלות תפעול לשנת 2016'!$B$105,'פחתי מים לרשויות מצטרפות'!#REF!,2,0),0),0)</f>
        <v>0</v>
      </c>
      <c r="BC105" s="625">
        <f>+HLOOKUP(BC4,'פירוט נכסי מים וביוב'!$1:$289,277,0)+IFERROR(VLOOKUP(BC4,'פחתי מים לרשויות מצטרפות'!#REF!,HLOOKUP('תחשיב עלות תפעול לשנת 2016'!$B$105,'פחתי מים לרשויות מצטרפות'!#REF!,2,0),0),0)</f>
        <v>0</v>
      </c>
      <c r="BD105" s="625">
        <f>+HLOOKUP(BD4,'פירוט נכסי מים וביוב'!$1:$289,277,0)+IFERROR(VLOOKUP(BD4,'פחתי מים לרשויות מצטרפות'!#REF!,HLOOKUP('תחשיב עלות תפעול לשנת 2016'!$B$105,'פחתי מים לרשויות מצטרפות'!#REF!,2,0),0),0)</f>
        <v>0</v>
      </c>
      <c r="BE105" s="625">
        <f>+HLOOKUP(BE4,'פירוט נכסי מים וביוב'!$1:$289,277,0)+IFERROR(VLOOKUP(BE4,'פחתי מים לרשויות מצטרפות'!#REF!,HLOOKUP('תחשיב עלות תפעול לשנת 2016'!$B$105,'פחתי מים לרשויות מצטרפות'!#REF!,2,0),0),0)</f>
        <v>0</v>
      </c>
      <c r="BF105" s="625">
        <f>+HLOOKUP(BF4,'פירוט נכסי מים וביוב'!$1:$289,277,0)+IFERROR(VLOOKUP(BF4,'פחתי מים לרשויות מצטרפות'!#REF!,HLOOKUP('תחשיב עלות תפעול לשנת 2016'!$B$105,'פחתי מים לרשויות מצטרפות'!#REF!,2,0),0),0)</f>
        <v>0</v>
      </c>
    </row>
    <row r="106" spans="1:58" x14ac:dyDescent="0.2">
      <c r="A106" s="1816"/>
      <c r="B106" s="376" t="s">
        <v>1070</v>
      </c>
      <c r="C106" s="627">
        <v>0.9</v>
      </c>
      <c r="D106" s="627">
        <v>0.9</v>
      </c>
      <c r="E106" s="627">
        <v>0.9</v>
      </c>
      <c r="F106" s="627">
        <v>0.9</v>
      </c>
      <c r="G106" s="627">
        <v>0.9</v>
      </c>
      <c r="H106" s="627">
        <v>0.9</v>
      </c>
      <c r="I106" s="627">
        <v>0.9</v>
      </c>
      <c r="J106" s="627">
        <v>0.9</v>
      </c>
      <c r="K106" s="627">
        <v>0.9</v>
      </c>
      <c r="L106" s="627">
        <v>0.9</v>
      </c>
      <c r="M106" s="627">
        <v>0.9</v>
      </c>
      <c r="N106" s="627">
        <v>0.9</v>
      </c>
      <c r="O106" s="627">
        <v>0.9</v>
      </c>
      <c r="P106" s="627">
        <v>0.9</v>
      </c>
      <c r="Q106" s="627">
        <v>0.9</v>
      </c>
      <c r="R106" s="627">
        <v>0.9</v>
      </c>
      <c r="S106" s="627">
        <v>0.9</v>
      </c>
      <c r="T106" s="627">
        <v>0.9</v>
      </c>
      <c r="U106" s="627">
        <v>0.9</v>
      </c>
      <c r="V106" s="627">
        <v>0.9</v>
      </c>
      <c r="W106" s="627">
        <v>0.9</v>
      </c>
      <c r="X106" s="627">
        <v>0.9</v>
      </c>
      <c r="Y106" s="627">
        <v>0.9</v>
      </c>
      <c r="Z106" s="627">
        <v>0.9</v>
      </c>
      <c r="AA106" s="627">
        <v>0.9</v>
      </c>
      <c r="AB106" s="627">
        <v>0.9</v>
      </c>
      <c r="AC106" s="627">
        <v>0.9</v>
      </c>
      <c r="AD106" s="627">
        <v>0.9</v>
      </c>
      <c r="AE106" s="627">
        <v>0.9</v>
      </c>
      <c r="AF106" s="627">
        <v>0.9</v>
      </c>
      <c r="AG106" s="627">
        <v>0.9</v>
      </c>
      <c r="AH106" s="627">
        <v>0.9</v>
      </c>
      <c r="AI106" s="627">
        <v>0.9</v>
      </c>
      <c r="AJ106" s="627">
        <v>0.9</v>
      </c>
      <c r="AK106" s="627">
        <v>0.9</v>
      </c>
      <c r="AL106" s="627">
        <v>0.9</v>
      </c>
      <c r="AM106" s="627">
        <v>0.9</v>
      </c>
      <c r="AN106" s="627">
        <v>0.9</v>
      </c>
      <c r="AO106" s="627">
        <v>0.9</v>
      </c>
      <c r="AP106" s="627">
        <v>0.9</v>
      </c>
      <c r="AQ106" s="627">
        <v>0.9</v>
      </c>
      <c r="AR106" s="627">
        <v>0.9</v>
      </c>
      <c r="AS106" s="627">
        <v>0.9</v>
      </c>
      <c r="AT106" s="627">
        <v>0.9</v>
      </c>
      <c r="AU106" s="627">
        <v>0.9</v>
      </c>
      <c r="AV106" s="627">
        <v>0.9</v>
      </c>
      <c r="AW106" s="627">
        <v>0.9</v>
      </c>
      <c r="AX106" s="627">
        <v>0.9</v>
      </c>
      <c r="AY106" s="627">
        <v>0.9</v>
      </c>
      <c r="AZ106" s="627">
        <v>0.9</v>
      </c>
      <c r="BA106" s="627">
        <v>0.9</v>
      </c>
      <c r="BB106" s="627">
        <v>0.9</v>
      </c>
      <c r="BC106" s="627">
        <v>0.9</v>
      </c>
      <c r="BD106" s="627">
        <v>0.9</v>
      </c>
      <c r="BE106" s="627">
        <v>0.9</v>
      </c>
      <c r="BF106" s="627">
        <v>0.9</v>
      </c>
    </row>
    <row r="107" spans="1:58" x14ac:dyDescent="0.2">
      <c r="A107" s="1817"/>
      <c r="B107" s="770" t="s">
        <v>1071</v>
      </c>
      <c r="C107" s="773">
        <f>+(C105/1000*C106)/(C104-C105/1000)</f>
        <v>5.7746865381691971E-2</v>
      </c>
      <c r="D107" s="773">
        <f t="shared" ref="D107:BE107" si="76">+(D105/1000*D106)/(D104-D105/1000)</f>
        <v>0</v>
      </c>
      <c r="E107" s="773">
        <f t="shared" si="76"/>
        <v>1.9247272792624406E-2</v>
      </c>
      <c r="F107" s="773">
        <f t="shared" si="76"/>
        <v>2.293200910920035E-2</v>
      </c>
      <c r="G107" s="773">
        <f t="shared" si="76"/>
        <v>0.11762645881185961</v>
      </c>
      <c r="H107" s="773">
        <f t="shared" si="76"/>
        <v>0</v>
      </c>
      <c r="I107" s="773">
        <f t="shared" si="76"/>
        <v>2.70728238135335E-3</v>
      </c>
      <c r="J107" s="773">
        <f t="shared" si="76"/>
        <v>1.5188166592035677E-2</v>
      </c>
      <c r="K107" s="773">
        <f t="shared" si="76"/>
        <v>1.8365866025482461E-2</v>
      </c>
      <c r="L107" s="773">
        <f t="shared" si="76"/>
        <v>0.16016170875222047</v>
      </c>
      <c r="M107" s="773">
        <f t="shared" si="76"/>
        <v>4.3005714315785676E-2</v>
      </c>
      <c r="N107" s="773">
        <f t="shared" si="76"/>
        <v>9.249094966374145E-3</v>
      </c>
      <c r="O107" s="773">
        <f t="shared" si="76"/>
        <v>1.1923106927476152E-2</v>
      </c>
      <c r="P107" s="773">
        <f t="shared" si="76"/>
        <v>9.2605664354521375E-2</v>
      </c>
      <c r="Q107" s="773">
        <f t="shared" si="76"/>
        <v>2.2486656905491256E-2</v>
      </c>
      <c r="R107" s="773">
        <f t="shared" si="76"/>
        <v>1.3502837446372243E-2</v>
      </c>
      <c r="S107" s="773">
        <f t="shared" si="76"/>
        <v>1.5016159470672282E-3</v>
      </c>
      <c r="T107" s="773">
        <f t="shared" si="76"/>
        <v>1.38109288949441E-2</v>
      </c>
      <c r="U107" s="773">
        <f t="shared" si="76"/>
        <v>0.41721195437056274</v>
      </c>
      <c r="V107" s="773">
        <f t="shared" si="76"/>
        <v>6.9908125018895034E-4</v>
      </c>
      <c r="W107" s="773">
        <f t="shared" si="76"/>
        <v>1.2527104362146524E-2</v>
      </c>
      <c r="X107" s="773">
        <f t="shared" si="76"/>
        <v>0</v>
      </c>
      <c r="Y107" s="773">
        <f t="shared" si="76"/>
        <v>0.11496652970402894</v>
      </c>
      <c r="Z107" s="773">
        <f t="shared" si="76"/>
        <v>3.9353319097348294E-3</v>
      </c>
      <c r="AA107" s="773">
        <f t="shared" si="76"/>
        <v>0</v>
      </c>
      <c r="AB107" s="773">
        <f t="shared" si="76"/>
        <v>1.4108706643286699</v>
      </c>
      <c r="AC107" s="773">
        <f t="shared" si="76"/>
        <v>8.2848763654502829E-3</v>
      </c>
      <c r="AD107" s="773">
        <f t="shared" si="76"/>
        <v>7.8798268482924486E-4</v>
      </c>
      <c r="AE107" s="773">
        <f t="shared" si="76"/>
        <v>4.2829675502788843E-2</v>
      </c>
      <c r="AF107" s="773">
        <f t="shared" si="76"/>
        <v>5.1333126843807593E-2</v>
      </c>
      <c r="AG107" s="773">
        <f t="shared" si="76"/>
        <v>2.673730418468038E-4</v>
      </c>
      <c r="AH107" s="773">
        <f t="shared" si="76"/>
        <v>1.1485722927353441E-2</v>
      </c>
      <c r="AI107" s="773">
        <f t="shared" si="76"/>
        <v>0</v>
      </c>
      <c r="AJ107" s="773">
        <f t="shared" si="76"/>
        <v>0</v>
      </c>
      <c r="AK107" s="773">
        <f t="shared" si="76"/>
        <v>2.3702848450307769E-2</v>
      </c>
      <c r="AL107" s="773">
        <f t="shared" si="76"/>
        <v>3.8297660688963793E-2</v>
      </c>
      <c r="AM107" s="773">
        <f t="shared" si="76"/>
        <v>0</v>
      </c>
      <c r="AN107" s="773">
        <f t="shared" si="76"/>
        <v>1.1367051263127786E-2</v>
      </c>
      <c r="AO107" s="773">
        <f t="shared" si="76"/>
        <v>0</v>
      </c>
      <c r="AP107" s="773">
        <f t="shared" si="76"/>
        <v>1.4048838875053251E-2</v>
      </c>
      <c r="AQ107" s="773">
        <f t="shared" si="76"/>
        <v>0</v>
      </c>
      <c r="AR107" s="773">
        <f t="shared" si="76"/>
        <v>1.3904742894503832E-3</v>
      </c>
      <c r="AS107" s="773">
        <f t="shared" si="76"/>
        <v>7.0908374089891021E-2</v>
      </c>
      <c r="AT107" s="773">
        <f t="shared" si="76"/>
        <v>0</v>
      </c>
      <c r="AU107" s="773">
        <f t="shared" si="76"/>
        <v>9.4902371135466572E-4</v>
      </c>
      <c r="AV107" s="773">
        <f t="shared" si="76"/>
        <v>0</v>
      </c>
      <c r="AW107" s="773">
        <f t="shared" si="76"/>
        <v>1.7515118953374336E-3</v>
      </c>
      <c r="AX107" s="773">
        <f t="shared" si="76"/>
        <v>0.11025601020173105</v>
      </c>
      <c r="AY107" s="773">
        <f t="shared" si="76"/>
        <v>7.9544391043265772E-2</v>
      </c>
      <c r="AZ107" s="773">
        <f t="shared" si="76"/>
        <v>0</v>
      </c>
      <c r="BA107" s="773">
        <f t="shared" si="76"/>
        <v>0</v>
      </c>
      <c r="BB107" s="773">
        <f t="shared" si="76"/>
        <v>0</v>
      </c>
      <c r="BC107" s="773">
        <f t="shared" si="76"/>
        <v>0</v>
      </c>
      <c r="BD107" s="773">
        <f t="shared" si="76"/>
        <v>0</v>
      </c>
      <c r="BE107" s="773">
        <f t="shared" si="76"/>
        <v>0</v>
      </c>
      <c r="BF107" s="773">
        <f t="shared" ref="BF107" si="77">+(BF105/1000*BF106)/(BF104-BF105/1000)</f>
        <v>0</v>
      </c>
    </row>
    <row r="108" spans="1:58" x14ac:dyDescent="0.2">
      <c r="A108" s="765" t="s">
        <v>1072</v>
      </c>
      <c r="B108" s="376" t="s">
        <v>1073</v>
      </c>
      <c r="C108" s="627"/>
      <c r="D108" s="627"/>
      <c r="E108" s="627">
        <v>2</v>
      </c>
      <c r="F108" s="627"/>
      <c r="G108" s="627"/>
      <c r="H108" s="627"/>
      <c r="I108" s="627"/>
      <c r="J108" s="627"/>
      <c r="K108" s="627"/>
      <c r="L108" s="627"/>
      <c r="M108" s="627"/>
      <c r="N108" s="627"/>
      <c r="O108" s="627"/>
      <c r="P108" s="627"/>
      <c r="Q108" s="627"/>
      <c r="R108" s="627"/>
      <c r="S108" s="627"/>
      <c r="T108" s="627"/>
      <c r="U108" s="627"/>
      <c r="V108" s="627"/>
      <c r="W108" s="627">
        <v>3</v>
      </c>
      <c r="X108" s="627"/>
      <c r="Y108" s="627"/>
      <c r="Z108" s="627"/>
      <c r="AA108" s="627"/>
      <c r="AB108" s="627"/>
      <c r="AC108" s="627"/>
      <c r="AD108" s="627"/>
      <c r="AE108" s="627"/>
      <c r="AF108" s="627"/>
      <c r="AG108" s="627"/>
      <c r="AH108" s="627"/>
      <c r="AI108" s="627"/>
      <c r="AJ108" s="627"/>
      <c r="AK108" s="627"/>
      <c r="AL108" s="627"/>
      <c r="AM108" s="627"/>
      <c r="AN108" s="627"/>
      <c r="AO108" s="627"/>
      <c r="AP108" s="627"/>
      <c r="AQ108" s="627">
        <v>1</v>
      </c>
      <c r="AR108" s="627"/>
      <c r="AS108" s="627"/>
      <c r="AT108" s="627"/>
      <c r="AU108" s="627"/>
      <c r="AV108" s="627"/>
      <c r="AW108" s="627"/>
      <c r="AX108" s="627"/>
      <c r="AY108" s="627"/>
      <c r="AZ108" s="627"/>
      <c r="BA108" s="627"/>
      <c r="BB108" s="627"/>
      <c r="BC108" s="627"/>
      <c r="BD108" s="627"/>
      <c r="BE108" s="627"/>
      <c r="BF108" s="627"/>
    </row>
    <row r="109" spans="1:58" x14ac:dyDescent="0.2">
      <c r="B109" s="376" t="s">
        <v>1074</v>
      </c>
      <c r="C109" s="625">
        <f>+HLOOKUP(C4,'פירוט נכסי מים וביוב'!$1:$289,279,0)</f>
        <v>1</v>
      </c>
      <c r="D109" s="625">
        <f>+HLOOKUP(D4,'פירוט נכסי מים וביוב'!$1:$289,279,0)</f>
        <v>5</v>
      </c>
      <c r="E109" s="625">
        <f>+HLOOKUP(E4,'פירוט נכסי מים וביוב'!$1:$289,279,0)</f>
        <v>7</v>
      </c>
      <c r="F109" s="625">
        <f>+HLOOKUP(F4,'פירוט נכסי מים וביוב'!$1:$289,279,0)</f>
        <v>3</v>
      </c>
      <c r="G109" s="625">
        <f>+HLOOKUP(G4,'פירוט נכסי מים וביוב'!$1:$289,279,0)</f>
        <v>1</v>
      </c>
      <c r="H109" s="625">
        <f>+HLOOKUP(H4,'פירוט נכסי מים וביוב'!$1:$289,279,0)</f>
        <v>2</v>
      </c>
      <c r="I109" s="625">
        <f>+HLOOKUP(I4,'פירוט נכסי מים וביוב'!$1:$289,279,0)</f>
        <v>7</v>
      </c>
      <c r="J109" s="625">
        <f>+HLOOKUP(J4,'פירוט נכסי מים וביוב'!$1:$289,279,0)</f>
        <v>1</v>
      </c>
      <c r="K109" s="625">
        <f>+HLOOKUP(K4,'פירוט נכסי מים וביוב'!$1:$289,279,0)</f>
        <v>1</v>
      </c>
      <c r="L109" s="625">
        <f>+HLOOKUP(L4,'פירוט נכסי מים וביוב'!$1:$289,279,0)</f>
        <v>3</v>
      </c>
      <c r="M109" s="625">
        <f>+HLOOKUP(M4,'פירוט נכסי מים וביוב'!$1:$289,279,0)</f>
        <v>1</v>
      </c>
      <c r="N109" s="625">
        <f>+HLOOKUP(N4,'פירוט נכסי מים וביוב'!$1:$289,279,0)</f>
        <v>7</v>
      </c>
      <c r="O109" s="625">
        <f>+HLOOKUP(O4,'פירוט נכסי מים וביוב'!$1:$289,279,0)</f>
        <v>3</v>
      </c>
      <c r="P109" s="625">
        <f>+HLOOKUP(P4,'פירוט נכסי מים וביוב'!$1:$289,279,0)</f>
        <v>4</v>
      </c>
      <c r="Q109" s="625">
        <f>+HLOOKUP(Q4,'פירוט נכסי מים וביוב'!$1:$289,279,0)</f>
        <v>2</v>
      </c>
      <c r="R109" s="625">
        <f>+HLOOKUP(R4,'פירוט נכסי מים וביוב'!$1:$289,279,0)</f>
        <v>4</v>
      </c>
      <c r="S109" s="625">
        <f>+HLOOKUP(S4,'פירוט נכסי מים וביוב'!$1:$289,279,0)</f>
        <v>3</v>
      </c>
      <c r="T109" s="625">
        <f>+HLOOKUP(T4,'פירוט נכסי מים וביוב'!$1:$289,279,0)</f>
        <v>1</v>
      </c>
      <c r="U109" s="625">
        <f>+HLOOKUP(U4,'פירוט נכסי מים וביוב'!$1:$289,279,0)</f>
        <v>1</v>
      </c>
      <c r="V109" s="625">
        <f>+HLOOKUP(V4,'פירוט נכסי מים וביוב'!$1:$289,279,0)</f>
        <v>13</v>
      </c>
      <c r="W109" s="625">
        <f>+HLOOKUP(W4,'פירוט נכסי מים וביוב'!$1:$289,279,0)</f>
        <v>4</v>
      </c>
      <c r="X109" s="625">
        <f>+HLOOKUP(X4,'פירוט נכסי מים וביוב'!$1:$289,279,0)</f>
        <v>1</v>
      </c>
      <c r="Y109" s="625">
        <f>+HLOOKUP(Y4,'פירוט נכסי מים וביוב'!$1:$289,279,0)</f>
        <v>4</v>
      </c>
      <c r="Z109" s="625">
        <f>+HLOOKUP(Z4,'פירוט נכסי מים וביוב'!$1:$289,279,0)</f>
        <v>2</v>
      </c>
      <c r="AA109" s="625">
        <f>+HLOOKUP(AA4,'פירוט נכסי מים וביוב'!$1:$289,279,0)</f>
        <v>1</v>
      </c>
      <c r="AB109" s="625">
        <f>+HLOOKUP(AB4,'פירוט נכסי מים וביוב'!$1:$289,279,0)</f>
        <v>1</v>
      </c>
      <c r="AC109" s="625">
        <f>+HLOOKUP(AC4,'פירוט נכסי מים וביוב'!$1:$289,279,0)</f>
        <v>1</v>
      </c>
      <c r="AD109" s="625">
        <f>+HLOOKUP(AD4,'פירוט נכסי מים וביוב'!$1:$289,279,0)</f>
        <v>1</v>
      </c>
      <c r="AE109" s="625">
        <f>+HLOOKUP(AE4,'פירוט נכסי מים וביוב'!$1:$289,279,0)</f>
        <v>1</v>
      </c>
      <c r="AF109" s="625">
        <f>+HLOOKUP(AF4,'פירוט נכסי מים וביוב'!$1:$289,279,0)</f>
        <v>2</v>
      </c>
      <c r="AG109" s="625">
        <f>+HLOOKUP(AG4,'פירוט נכסי מים וביוב'!$1:$289,279,0)</f>
        <v>1</v>
      </c>
      <c r="AH109" s="625">
        <f>+HLOOKUP(AH4,'פירוט נכסי מים וביוב'!$1:$289,279,0)</f>
        <v>1</v>
      </c>
      <c r="AI109" s="625">
        <f>+HLOOKUP(AI4,'פירוט נכסי מים וביוב'!$1:$289,279,0)</f>
        <v>1</v>
      </c>
      <c r="AJ109" s="625">
        <f>+HLOOKUP(AJ4,'פירוט נכסי מים וביוב'!$1:$289,279,0)</f>
        <v>2</v>
      </c>
      <c r="AK109" s="625">
        <f>+HLOOKUP(AK4,'פירוט נכסי מים וביוב'!$1:$289,279,0)</f>
        <v>1</v>
      </c>
      <c r="AL109" s="625">
        <f>+HLOOKUP(AL4,'פירוט נכסי מים וביוב'!$1:$289,279,0)</f>
        <v>1</v>
      </c>
      <c r="AM109" s="625">
        <f>+HLOOKUP(AM4,'פירוט נכסי מים וביוב'!$1:$289,279,0)</f>
        <v>5</v>
      </c>
      <c r="AN109" s="625">
        <f>+HLOOKUP(AN4,'פירוט נכסי מים וביוב'!$1:$289,279,0)</f>
        <v>1</v>
      </c>
      <c r="AO109" s="625">
        <f>+HLOOKUP(AO4,'פירוט נכסי מים וביוב'!$1:$289,279,0)</f>
        <v>1</v>
      </c>
      <c r="AP109" s="625">
        <f>+HLOOKUP(AP4,'פירוט נכסי מים וביוב'!$1:$289,279,0)</f>
        <v>1</v>
      </c>
      <c r="AQ109" s="625">
        <f>+HLOOKUP(AQ4,'פירוט נכסי מים וביוב'!$1:$289,279,0)</f>
        <v>2</v>
      </c>
      <c r="AR109" s="625">
        <f>+HLOOKUP(AR4,'פירוט נכסי מים וביוב'!$1:$289,279,0)</f>
        <v>11</v>
      </c>
      <c r="AS109" s="625">
        <f>+HLOOKUP(AS4,'פירוט נכסי מים וביוב'!$1:$289,279,0)</f>
        <v>1</v>
      </c>
      <c r="AT109" s="625">
        <f>+HLOOKUP(AT4,'פירוט נכסי מים וביוב'!$1:$289,279,0)</f>
        <v>1</v>
      </c>
      <c r="AU109" s="625">
        <f>+HLOOKUP(AU4,'פירוט נכסי מים וביוב'!$1:$289,279,0)</f>
        <v>1</v>
      </c>
      <c r="AV109" s="625">
        <f>+HLOOKUP(AV4,'פירוט נכסי מים וביוב'!$1:$289,279,0)</f>
        <v>7</v>
      </c>
      <c r="AW109" s="625">
        <f>+HLOOKUP(AW4,'פירוט נכסי מים וביוב'!$1:$289,279,0)</f>
        <v>7</v>
      </c>
      <c r="AX109" s="625">
        <f>+HLOOKUP(AX4,'פירוט נכסי מים וביוב'!$1:$289,279,0)</f>
        <v>2</v>
      </c>
      <c r="AY109" s="625">
        <f>+HLOOKUP(AY4,'פירוט נכסי מים וביוב'!$1:$289,279,0)</f>
        <v>4</v>
      </c>
      <c r="AZ109" s="625">
        <f>+HLOOKUP(AZ4,'פירוט נכסי מים וביוב'!$1:$289,279,0)</f>
        <v>4</v>
      </c>
      <c r="BA109" s="625">
        <f>+HLOOKUP(BA4,'פירוט נכסי מים וביוב'!$1:$289,279,0)</f>
        <v>1</v>
      </c>
      <c r="BB109" s="625">
        <f>+HLOOKUP(BB4,'פירוט נכסי מים וביוב'!$1:$289,279,0)</f>
        <v>3</v>
      </c>
      <c r="BC109" s="625">
        <f>+HLOOKUP(BC4,'פירוט נכסי מים וביוב'!$1:$289,279,0)</f>
        <v>6</v>
      </c>
      <c r="BD109" s="625">
        <f>+HLOOKUP(BD4,'פירוט נכסי מים וביוב'!$1:$289,279,0)</f>
        <v>2</v>
      </c>
      <c r="BE109" s="625">
        <f>+HLOOKUP(BE4,'פירוט נכסי מים וביוב'!$1:$289,279,0)</f>
        <v>1</v>
      </c>
      <c r="BF109" s="625">
        <f>+HLOOKUP(BF4,'פירוט נכסי מים וביוב'!$1:$289,279,0)</f>
        <v>1</v>
      </c>
    </row>
    <row r="110" spans="1:58" x14ac:dyDescent="0.2">
      <c r="A110" s="765"/>
      <c r="B110" s="376" t="s">
        <v>1075</v>
      </c>
      <c r="C110" s="627">
        <v>1.4999999999999999E-2</v>
      </c>
      <c r="D110" s="627">
        <v>1.4999999999999999E-2</v>
      </c>
      <c r="E110" s="627">
        <v>1.4999999999999999E-2</v>
      </c>
      <c r="F110" s="627">
        <v>1.4999999999999999E-2</v>
      </c>
      <c r="G110" s="627">
        <v>1.4999999999999999E-2</v>
      </c>
      <c r="H110" s="627">
        <v>1.4999999999999999E-2</v>
      </c>
      <c r="I110" s="627">
        <v>1.4999999999999999E-2</v>
      </c>
      <c r="J110" s="627">
        <v>1.4999999999999999E-2</v>
      </c>
      <c r="K110" s="627">
        <v>1.4999999999999999E-2</v>
      </c>
      <c r="L110" s="627">
        <v>1.4999999999999999E-2</v>
      </c>
      <c r="M110" s="627">
        <v>1.4999999999999999E-2</v>
      </c>
      <c r="N110" s="627">
        <v>1.4999999999999999E-2</v>
      </c>
      <c r="O110" s="627">
        <v>1.4999999999999999E-2</v>
      </c>
      <c r="P110" s="627">
        <v>1.4999999999999999E-2</v>
      </c>
      <c r="Q110" s="627">
        <v>1.4999999999999999E-2</v>
      </c>
      <c r="R110" s="627">
        <v>1.4999999999999999E-2</v>
      </c>
      <c r="S110" s="627">
        <v>1.4999999999999999E-2</v>
      </c>
      <c r="T110" s="627">
        <v>1.4999999999999999E-2</v>
      </c>
      <c r="U110" s="627">
        <v>1.4999999999999999E-2</v>
      </c>
      <c r="V110" s="627">
        <v>1.4999999999999999E-2</v>
      </c>
      <c r="W110" s="627">
        <v>1.4999999999999999E-2</v>
      </c>
      <c r="X110" s="627">
        <v>1.4999999999999999E-2</v>
      </c>
      <c r="Y110" s="627">
        <v>1.4999999999999999E-2</v>
      </c>
      <c r="Z110" s="627">
        <v>1.4999999999999999E-2</v>
      </c>
      <c r="AA110" s="627">
        <v>1.4999999999999999E-2</v>
      </c>
      <c r="AB110" s="627">
        <v>1.4999999999999999E-2</v>
      </c>
      <c r="AC110" s="627">
        <v>1.4999999999999999E-2</v>
      </c>
      <c r="AD110" s="627">
        <v>1.4999999999999999E-2</v>
      </c>
      <c r="AE110" s="627">
        <v>1.4999999999999999E-2</v>
      </c>
      <c r="AF110" s="627">
        <v>1.4999999999999999E-2</v>
      </c>
      <c r="AG110" s="627">
        <v>1.4999999999999999E-2</v>
      </c>
      <c r="AH110" s="627">
        <v>1.4999999999999999E-2</v>
      </c>
      <c r="AI110" s="627">
        <v>1.4999999999999999E-2</v>
      </c>
      <c r="AJ110" s="627">
        <v>1.4999999999999999E-2</v>
      </c>
      <c r="AK110" s="627">
        <v>1.4999999999999999E-2</v>
      </c>
      <c r="AL110" s="627">
        <v>1.4999999999999999E-2</v>
      </c>
      <c r="AM110" s="627">
        <v>1.4999999999999999E-2</v>
      </c>
      <c r="AN110" s="627">
        <v>1.4999999999999999E-2</v>
      </c>
      <c r="AO110" s="627">
        <v>1.4999999999999999E-2</v>
      </c>
      <c r="AP110" s="627">
        <v>1.4999999999999999E-2</v>
      </c>
      <c r="AQ110" s="627">
        <v>1.4999999999999999E-2</v>
      </c>
      <c r="AR110" s="627">
        <v>1.4999999999999999E-2</v>
      </c>
      <c r="AS110" s="627">
        <v>1.4999999999999999E-2</v>
      </c>
      <c r="AT110" s="627">
        <v>1.4999999999999999E-2</v>
      </c>
      <c r="AU110" s="627">
        <v>1.4999999999999999E-2</v>
      </c>
      <c r="AV110" s="627">
        <v>1.4999999999999999E-2</v>
      </c>
      <c r="AW110" s="627">
        <v>1.4999999999999999E-2</v>
      </c>
      <c r="AX110" s="627">
        <v>1.4999999999999999E-2</v>
      </c>
      <c r="AY110" s="627">
        <v>1.4999999999999999E-2</v>
      </c>
      <c r="AZ110" s="627">
        <v>1.4999999999999999E-2</v>
      </c>
      <c r="BA110" s="627">
        <v>1.4999999999999999E-2</v>
      </c>
      <c r="BB110" s="627">
        <v>1.4999999999999999E-2</v>
      </c>
      <c r="BC110" s="627">
        <v>1.4999999999999999E-2</v>
      </c>
      <c r="BD110" s="627">
        <v>1.4999999999999999E-2</v>
      </c>
      <c r="BE110" s="627">
        <v>1.4999999999999999E-2</v>
      </c>
      <c r="BF110" s="627">
        <v>1.4999999999999999E-2</v>
      </c>
    </row>
    <row r="111" spans="1:58" s="772" customFormat="1" x14ac:dyDescent="0.2">
      <c r="A111" s="769"/>
      <c r="B111" s="770" t="s">
        <v>1076</v>
      </c>
      <c r="C111" s="773">
        <f t="shared" ref="C111:AH111" si="78">+(C109-1+C108)*C110</f>
        <v>0</v>
      </c>
      <c r="D111" s="773">
        <f t="shared" si="78"/>
        <v>0.06</v>
      </c>
      <c r="E111" s="773">
        <f t="shared" si="78"/>
        <v>0.12</v>
      </c>
      <c r="F111" s="773">
        <f t="shared" si="78"/>
        <v>0.03</v>
      </c>
      <c r="G111" s="773">
        <f t="shared" si="78"/>
        <v>0</v>
      </c>
      <c r="H111" s="773">
        <f t="shared" si="78"/>
        <v>1.4999999999999999E-2</v>
      </c>
      <c r="I111" s="773">
        <f t="shared" si="78"/>
        <v>0.09</v>
      </c>
      <c r="J111" s="773">
        <f t="shared" si="78"/>
        <v>0</v>
      </c>
      <c r="K111" s="773">
        <f t="shared" si="78"/>
        <v>0</v>
      </c>
      <c r="L111" s="773">
        <f t="shared" si="78"/>
        <v>0.03</v>
      </c>
      <c r="M111" s="773">
        <f t="shared" si="78"/>
        <v>0</v>
      </c>
      <c r="N111" s="773">
        <f t="shared" si="78"/>
        <v>0.09</v>
      </c>
      <c r="O111" s="773">
        <f t="shared" si="78"/>
        <v>0.03</v>
      </c>
      <c r="P111" s="773">
        <f t="shared" si="78"/>
        <v>4.4999999999999998E-2</v>
      </c>
      <c r="Q111" s="773">
        <f t="shared" si="78"/>
        <v>1.4999999999999999E-2</v>
      </c>
      <c r="R111" s="773">
        <f t="shared" si="78"/>
        <v>4.4999999999999998E-2</v>
      </c>
      <c r="S111" s="773">
        <f t="shared" si="78"/>
        <v>0.03</v>
      </c>
      <c r="T111" s="773">
        <f t="shared" si="78"/>
        <v>0</v>
      </c>
      <c r="U111" s="773">
        <f t="shared" si="78"/>
        <v>0</v>
      </c>
      <c r="V111" s="773">
        <f t="shared" si="78"/>
        <v>0.18</v>
      </c>
      <c r="W111" s="773">
        <f t="shared" si="78"/>
        <v>0.09</v>
      </c>
      <c r="X111" s="773">
        <f t="shared" si="78"/>
        <v>0</v>
      </c>
      <c r="Y111" s="773">
        <f t="shared" si="78"/>
        <v>4.4999999999999998E-2</v>
      </c>
      <c r="Z111" s="773">
        <f t="shared" si="78"/>
        <v>1.4999999999999999E-2</v>
      </c>
      <c r="AA111" s="773">
        <f t="shared" si="78"/>
        <v>0</v>
      </c>
      <c r="AB111" s="773">
        <f t="shared" si="78"/>
        <v>0</v>
      </c>
      <c r="AC111" s="773">
        <f t="shared" si="78"/>
        <v>0</v>
      </c>
      <c r="AD111" s="773">
        <f t="shared" si="78"/>
        <v>0</v>
      </c>
      <c r="AE111" s="773">
        <f t="shared" si="78"/>
        <v>0</v>
      </c>
      <c r="AF111" s="773">
        <f t="shared" si="78"/>
        <v>1.4999999999999999E-2</v>
      </c>
      <c r="AG111" s="773">
        <f t="shared" si="78"/>
        <v>0</v>
      </c>
      <c r="AH111" s="773">
        <f t="shared" si="78"/>
        <v>0</v>
      </c>
      <c r="AI111" s="773">
        <f t="shared" ref="AI111:BE111" si="79">+(AI109-1+AI108)*AI110</f>
        <v>0</v>
      </c>
      <c r="AJ111" s="773">
        <f t="shared" si="79"/>
        <v>1.4999999999999999E-2</v>
      </c>
      <c r="AK111" s="773">
        <f t="shared" si="79"/>
        <v>0</v>
      </c>
      <c r="AL111" s="773">
        <f t="shared" si="79"/>
        <v>0</v>
      </c>
      <c r="AM111" s="773">
        <f t="shared" si="79"/>
        <v>0.06</v>
      </c>
      <c r="AN111" s="773">
        <f t="shared" si="79"/>
        <v>0</v>
      </c>
      <c r="AO111" s="773">
        <f t="shared" si="79"/>
        <v>0</v>
      </c>
      <c r="AP111" s="773">
        <f t="shared" si="79"/>
        <v>0</v>
      </c>
      <c r="AQ111" s="773">
        <f t="shared" si="79"/>
        <v>0.03</v>
      </c>
      <c r="AR111" s="773">
        <f t="shared" si="79"/>
        <v>0.15</v>
      </c>
      <c r="AS111" s="773">
        <f t="shared" si="79"/>
        <v>0</v>
      </c>
      <c r="AT111" s="773">
        <f t="shared" si="79"/>
        <v>0</v>
      </c>
      <c r="AU111" s="773">
        <f t="shared" si="79"/>
        <v>0</v>
      </c>
      <c r="AV111" s="773">
        <f t="shared" si="79"/>
        <v>0.09</v>
      </c>
      <c r="AW111" s="773">
        <f t="shared" si="79"/>
        <v>0.09</v>
      </c>
      <c r="AX111" s="773">
        <f t="shared" si="79"/>
        <v>1.4999999999999999E-2</v>
      </c>
      <c r="AY111" s="773">
        <f t="shared" si="79"/>
        <v>4.4999999999999998E-2</v>
      </c>
      <c r="AZ111" s="773">
        <f t="shared" si="79"/>
        <v>4.4999999999999998E-2</v>
      </c>
      <c r="BA111" s="773">
        <f t="shared" si="79"/>
        <v>0</v>
      </c>
      <c r="BB111" s="773">
        <f t="shared" si="79"/>
        <v>0.03</v>
      </c>
      <c r="BC111" s="773">
        <f t="shared" si="79"/>
        <v>7.4999999999999997E-2</v>
      </c>
      <c r="BD111" s="773">
        <f t="shared" si="79"/>
        <v>1.4999999999999999E-2</v>
      </c>
      <c r="BE111" s="773">
        <f t="shared" si="79"/>
        <v>0</v>
      </c>
      <c r="BF111" s="773">
        <f t="shared" ref="BF111" si="80">+(BF109-1+BF108)*BF110</f>
        <v>0</v>
      </c>
    </row>
    <row r="112" spans="1:58" x14ac:dyDescent="0.2">
      <c r="A112" s="765"/>
      <c r="B112" s="376"/>
      <c r="C112" s="627"/>
      <c r="D112" s="627"/>
      <c r="E112" s="627"/>
      <c r="F112" s="627"/>
      <c r="G112" s="627"/>
      <c r="H112" s="627"/>
      <c r="I112" s="627"/>
      <c r="J112" s="627"/>
      <c r="K112" s="627"/>
      <c r="L112" s="627"/>
      <c r="M112" s="627"/>
      <c r="N112" s="627"/>
      <c r="O112" s="627"/>
      <c r="P112" s="627"/>
      <c r="Q112" s="627"/>
      <c r="R112" s="627"/>
      <c r="S112" s="627"/>
      <c r="T112" s="627"/>
      <c r="U112" s="627"/>
      <c r="V112" s="627">
        <f>+V111+V81+V75+V102</f>
        <v>0.55327022756177691</v>
      </c>
      <c r="W112" s="627"/>
      <c r="X112" s="627"/>
      <c r="Y112" s="627"/>
      <c r="Z112" s="627"/>
      <c r="AA112" s="627"/>
      <c r="AB112" s="627"/>
      <c r="AC112" s="627"/>
      <c r="AD112" s="627"/>
      <c r="AE112" s="627"/>
      <c r="AF112" s="627"/>
      <c r="AG112" s="627"/>
      <c r="AH112" s="627"/>
      <c r="AI112" s="627"/>
      <c r="AJ112" s="627"/>
      <c r="AK112" s="627"/>
      <c r="AL112" s="627"/>
      <c r="AM112" s="627"/>
      <c r="AN112" s="627"/>
      <c r="AO112" s="627"/>
      <c r="AP112" s="627"/>
      <c r="AQ112" s="627"/>
      <c r="AR112" s="627"/>
      <c r="AS112" s="627"/>
      <c r="AT112" s="627"/>
      <c r="AU112" s="627"/>
      <c r="AV112" s="627"/>
      <c r="AW112" s="627"/>
      <c r="AX112" s="627"/>
      <c r="AY112" s="627"/>
      <c r="AZ112" s="627"/>
      <c r="BA112" s="627"/>
      <c r="BB112" s="627"/>
      <c r="BC112" s="627"/>
      <c r="BD112" s="627"/>
      <c r="BE112" s="627"/>
      <c r="BF112" s="627"/>
    </row>
    <row r="113" spans="1:59" x14ac:dyDescent="0.2">
      <c r="A113" s="765"/>
      <c r="B113" s="376"/>
      <c r="C113" s="627"/>
      <c r="D113" s="627"/>
      <c r="E113" s="627"/>
      <c r="F113" s="627"/>
      <c r="G113" s="627"/>
      <c r="H113" s="627"/>
      <c r="I113" s="627"/>
      <c r="J113" s="627"/>
      <c r="K113" s="627"/>
      <c r="L113" s="627"/>
      <c r="M113" s="627"/>
      <c r="N113" s="627"/>
      <c r="O113" s="627"/>
      <c r="P113" s="627"/>
      <c r="Q113" s="627"/>
      <c r="R113" s="627"/>
      <c r="S113" s="627"/>
      <c r="T113" s="627"/>
      <c r="U113" s="627"/>
      <c r="V113" s="627">
        <f>+V112*'[19]עלויות תפעול בהתאם לנורמות'!W58</f>
        <v>1405.7188464942631</v>
      </c>
      <c r="W113" s="627"/>
      <c r="X113" s="627"/>
      <c r="Y113" s="627"/>
      <c r="Z113" s="627"/>
      <c r="AA113" s="627"/>
      <c r="AB113" s="627"/>
      <c r="AC113" s="627"/>
      <c r="AD113" s="627"/>
      <c r="AE113" s="627"/>
      <c r="AF113" s="627"/>
      <c r="AG113" s="627"/>
      <c r="AH113" s="627"/>
      <c r="AI113" s="627"/>
      <c r="AJ113" s="627"/>
      <c r="AK113" s="627"/>
      <c r="AL113" s="627"/>
      <c r="AM113" s="627"/>
      <c r="AN113" s="627"/>
      <c r="AO113" s="627"/>
      <c r="AP113" s="627"/>
      <c r="AQ113" s="627"/>
      <c r="AR113" s="627"/>
      <c r="AS113" s="627"/>
      <c r="AT113" s="627"/>
      <c r="AU113" s="627"/>
      <c r="AV113" s="627"/>
      <c r="AW113" s="627"/>
      <c r="AX113" s="627"/>
      <c r="AY113" s="627"/>
      <c r="AZ113" s="627"/>
      <c r="BA113" s="627"/>
      <c r="BB113" s="627"/>
      <c r="BC113" s="627"/>
      <c r="BD113" s="627"/>
      <c r="BE113" s="627"/>
      <c r="BF113" s="627"/>
    </row>
    <row r="114" spans="1:59" x14ac:dyDescent="0.2">
      <c r="A114" s="1818" t="s">
        <v>1077</v>
      </c>
      <c r="B114" s="376"/>
      <c r="C114" s="627">
        <f>-710/40000</f>
        <v>-1.7749999999999998E-2</v>
      </c>
      <c r="D114" s="627">
        <f t="shared" ref="D114:BF114" si="81">-710/40000</f>
        <v>-1.7749999999999998E-2</v>
      </c>
      <c r="E114" s="627">
        <f t="shared" si="81"/>
        <v>-1.7749999999999998E-2</v>
      </c>
      <c r="F114" s="627">
        <f t="shared" si="81"/>
        <v>-1.7749999999999998E-2</v>
      </c>
      <c r="G114" s="627">
        <f t="shared" si="81"/>
        <v>-1.7749999999999998E-2</v>
      </c>
      <c r="H114" s="627">
        <f t="shared" si="81"/>
        <v>-1.7749999999999998E-2</v>
      </c>
      <c r="I114" s="627">
        <f t="shared" si="81"/>
        <v>-1.7749999999999998E-2</v>
      </c>
      <c r="J114" s="627">
        <f t="shared" si="81"/>
        <v>-1.7749999999999998E-2</v>
      </c>
      <c r="K114" s="627">
        <f t="shared" si="81"/>
        <v>-1.7749999999999998E-2</v>
      </c>
      <c r="L114" s="627">
        <f t="shared" si="81"/>
        <v>-1.7749999999999998E-2</v>
      </c>
      <c r="M114" s="627">
        <f t="shared" si="81"/>
        <v>-1.7749999999999998E-2</v>
      </c>
      <c r="N114" s="627">
        <f t="shared" si="81"/>
        <v>-1.7749999999999998E-2</v>
      </c>
      <c r="O114" s="627">
        <f t="shared" si="81"/>
        <v>-1.7749999999999998E-2</v>
      </c>
      <c r="P114" s="627">
        <f t="shared" si="81"/>
        <v>-1.7749999999999998E-2</v>
      </c>
      <c r="Q114" s="627">
        <f t="shared" si="81"/>
        <v>-1.7749999999999998E-2</v>
      </c>
      <c r="R114" s="627">
        <f t="shared" si="81"/>
        <v>-1.7749999999999998E-2</v>
      </c>
      <c r="S114" s="627">
        <f t="shared" si="81"/>
        <v>-1.7749999999999998E-2</v>
      </c>
      <c r="T114" s="627">
        <f t="shared" si="81"/>
        <v>-1.7749999999999998E-2</v>
      </c>
      <c r="U114" s="627">
        <f t="shared" si="81"/>
        <v>-1.7749999999999998E-2</v>
      </c>
      <c r="V114" s="627">
        <f t="shared" si="81"/>
        <v>-1.7749999999999998E-2</v>
      </c>
      <c r="W114" s="627">
        <f t="shared" si="81"/>
        <v>-1.7749999999999998E-2</v>
      </c>
      <c r="X114" s="627">
        <f t="shared" si="81"/>
        <v>-1.7749999999999998E-2</v>
      </c>
      <c r="Y114" s="627">
        <f t="shared" si="81"/>
        <v>-1.7749999999999998E-2</v>
      </c>
      <c r="Z114" s="627">
        <f t="shared" si="81"/>
        <v>-1.7749999999999998E-2</v>
      </c>
      <c r="AA114" s="627">
        <f t="shared" si="81"/>
        <v>-1.7749999999999998E-2</v>
      </c>
      <c r="AB114" s="627">
        <f t="shared" si="81"/>
        <v>-1.7749999999999998E-2</v>
      </c>
      <c r="AC114" s="627">
        <f t="shared" si="81"/>
        <v>-1.7749999999999998E-2</v>
      </c>
      <c r="AD114" s="627">
        <f t="shared" si="81"/>
        <v>-1.7749999999999998E-2</v>
      </c>
      <c r="AE114" s="627">
        <f t="shared" si="81"/>
        <v>-1.7749999999999998E-2</v>
      </c>
      <c r="AF114" s="627">
        <f t="shared" si="81"/>
        <v>-1.7749999999999998E-2</v>
      </c>
      <c r="AG114" s="627">
        <f t="shared" si="81"/>
        <v>-1.7749999999999998E-2</v>
      </c>
      <c r="AH114" s="627">
        <f t="shared" si="81"/>
        <v>-1.7749999999999998E-2</v>
      </c>
      <c r="AI114" s="627">
        <f t="shared" si="81"/>
        <v>-1.7749999999999998E-2</v>
      </c>
      <c r="AJ114" s="627">
        <f t="shared" si="81"/>
        <v>-1.7749999999999998E-2</v>
      </c>
      <c r="AK114" s="627">
        <f t="shared" si="81"/>
        <v>-1.7749999999999998E-2</v>
      </c>
      <c r="AL114" s="627">
        <f t="shared" si="81"/>
        <v>-1.7749999999999998E-2</v>
      </c>
      <c r="AM114" s="627">
        <f t="shared" si="81"/>
        <v>-1.7749999999999998E-2</v>
      </c>
      <c r="AN114" s="627">
        <f t="shared" si="81"/>
        <v>-1.7749999999999998E-2</v>
      </c>
      <c r="AO114" s="627">
        <f t="shared" si="81"/>
        <v>-1.7749999999999998E-2</v>
      </c>
      <c r="AP114" s="627">
        <f t="shared" si="81"/>
        <v>-1.7749999999999998E-2</v>
      </c>
      <c r="AQ114" s="627">
        <f t="shared" si="81"/>
        <v>-1.7749999999999998E-2</v>
      </c>
      <c r="AR114" s="627">
        <f t="shared" si="81"/>
        <v>-1.7749999999999998E-2</v>
      </c>
      <c r="AS114" s="627">
        <f t="shared" si="81"/>
        <v>-1.7749999999999998E-2</v>
      </c>
      <c r="AT114" s="627">
        <f t="shared" si="81"/>
        <v>-1.7749999999999998E-2</v>
      </c>
      <c r="AU114" s="627">
        <f t="shared" si="81"/>
        <v>-1.7749999999999998E-2</v>
      </c>
      <c r="AV114" s="627">
        <f t="shared" si="81"/>
        <v>-1.7749999999999998E-2</v>
      </c>
      <c r="AW114" s="627">
        <f t="shared" si="81"/>
        <v>-1.7749999999999998E-2</v>
      </c>
      <c r="AX114" s="627">
        <f t="shared" si="81"/>
        <v>-1.7749999999999998E-2</v>
      </c>
      <c r="AY114" s="627">
        <f t="shared" si="81"/>
        <v>-1.7749999999999998E-2</v>
      </c>
      <c r="AZ114" s="627">
        <f t="shared" si="81"/>
        <v>-1.7749999999999998E-2</v>
      </c>
      <c r="BA114" s="627">
        <f t="shared" si="81"/>
        <v>-1.7749999999999998E-2</v>
      </c>
      <c r="BB114" s="627">
        <f t="shared" si="81"/>
        <v>-1.7749999999999998E-2</v>
      </c>
      <c r="BC114" s="627">
        <f t="shared" si="81"/>
        <v>-1.7749999999999998E-2</v>
      </c>
      <c r="BD114" s="627">
        <f t="shared" si="81"/>
        <v>-1.7749999999999998E-2</v>
      </c>
      <c r="BE114" s="627">
        <f t="shared" si="81"/>
        <v>-1.7749999999999998E-2</v>
      </c>
      <c r="BF114" s="627">
        <f t="shared" si="81"/>
        <v>-1.7749999999999998E-2</v>
      </c>
    </row>
    <row r="115" spans="1:59" x14ac:dyDescent="0.2">
      <c r="A115" s="1819"/>
      <c r="B115" s="376"/>
      <c r="C115" s="627"/>
      <c r="D115" s="622"/>
      <c r="E115" s="622"/>
      <c r="F115" s="622"/>
      <c r="G115" s="622"/>
      <c r="H115" s="622"/>
      <c r="I115" s="622"/>
      <c r="J115" s="622"/>
      <c r="K115" s="622"/>
      <c r="L115" s="622"/>
      <c r="M115" s="622"/>
      <c r="N115" s="622"/>
      <c r="O115" s="622"/>
      <c r="P115" s="622"/>
      <c r="Q115" s="622"/>
      <c r="R115" s="622"/>
      <c r="S115" s="624"/>
      <c r="T115" s="622"/>
      <c r="U115" s="622"/>
      <c r="V115" s="628"/>
      <c r="W115" s="622"/>
      <c r="X115" s="622"/>
      <c r="Y115" s="622"/>
      <c r="Z115" s="622"/>
      <c r="AA115" s="622"/>
      <c r="AB115" s="622"/>
      <c r="AC115" s="622"/>
      <c r="AD115" s="622"/>
      <c r="AE115" s="622"/>
      <c r="AF115" s="622"/>
      <c r="AG115" s="622"/>
      <c r="AH115" s="622"/>
      <c r="AI115" s="622"/>
      <c r="AJ115" s="622"/>
      <c r="AK115" s="622"/>
      <c r="AL115" s="622"/>
      <c r="AM115" s="622"/>
      <c r="AN115" s="622"/>
      <c r="AO115" s="622"/>
      <c r="AP115" s="622"/>
      <c r="AQ115" s="622"/>
      <c r="AR115" s="622"/>
      <c r="AS115" s="622"/>
      <c r="AT115" s="622"/>
      <c r="AU115" s="622"/>
      <c r="AV115" s="622"/>
      <c r="AW115" s="622"/>
      <c r="AX115" s="622"/>
      <c r="AY115" s="622"/>
      <c r="AZ115" s="622"/>
      <c r="BA115" s="622"/>
      <c r="BB115" s="622"/>
      <c r="BC115" s="622"/>
      <c r="BD115" s="622"/>
      <c r="BE115" s="622"/>
      <c r="BF115" s="622"/>
    </row>
    <row r="116" spans="1:59" x14ac:dyDescent="0.2">
      <c r="A116" s="376"/>
      <c r="B116" s="376"/>
      <c r="C116" s="627"/>
      <c r="D116" s="622"/>
      <c r="E116" s="622"/>
      <c r="F116" s="622"/>
      <c r="G116" s="622"/>
      <c r="H116" s="622"/>
      <c r="I116" s="622"/>
      <c r="J116" s="622"/>
      <c r="K116" s="622"/>
      <c r="L116" s="622"/>
      <c r="M116" s="622"/>
      <c r="N116" s="622"/>
      <c r="O116" s="622"/>
      <c r="P116" s="622"/>
      <c r="Q116" s="622"/>
      <c r="R116" s="622"/>
      <c r="S116" s="624"/>
      <c r="T116" s="622"/>
      <c r="U116" s="622"/>
      <c r="V116" s="628"/>
      <c r="W116" s="622"/>
      <c r="X116" s="622"/>
      <c r="Y116" s="622"/>
      <c r="Z116" s="622"/>
      <c r="AA116" s="622"/>
      <c r="AB116" s="622"/>
      <c r="AC116" s="622"/>
      <c r="AD116" s="622"/>
      <c r="AE116" s="622"/>
      <c r="AF116" s="622"/>
      <c r="AG116" s="622"/>
      <c r="AH116" s="622"/>
      <c r="AI116" s="622"/>
      <c r="AJ116" s="622"/>
      <c r="AK116" s="622"/>
      <c r="AL116" s="622"/>
      <c r="AM116" s="622"/>
      <c r="AN116" s="622"/>
      <c r="AO116" s="622"/>
      <c r="AP116" s="622"/>
      <c r="AQ116" s="622"/>
      <c r="AR116" s="622"/>
      <c r="AS116" s="622"/>
      <c r="AT116" s="622"/>
      <c r="AU116" s="622"/>
      <c r="AV116" s="622"/>
      <c r="AW116" s="622"/>
      <c r="AX116" s="622"/>
      <c r="AY116" s="622"/>
      <c r="AZ116" s="622"/>
      <c r="BA116" s="622"/>
      <c r="BB116" s="622"/>
      <c r="BC116" s="622"/>
      <c r="BD116" s="622"/>
      <c r="BE116" s="622"/>
      <c r="BF116" s="622"/>
    </row>
    <row r="117" spans="1:59" x14ac:dyDescent="0.2">
      <c r="A117" s="1818" t="s">
        <v>1078</v>
      </c>
      <c r="B117" s="376"/>
      <c r="C117" s="628"/>
      <c r="D117" s="628">
        <f>0.01*D118</f>
        <v>0.01</v>
      </c>
      <c r="E117" s="628">
        <f t="shared" ref="E117:BF117" si="82">0.01*E118</f>
        <v>0.04</v>
      </c>
      <c r="F117" s="628">
        <f t="shared" si="82"/>
        <v>0.03</v>
      </c>
      <c r="G117" s="628">
        <f t="shared" si="82"/>
        <v>0.01</v>
      </c>
      <c r="H117" s="628">
        <f t="shared" si="82"/>
        <v>0.01</v>
      </c>
      <c r="I117" s="628">
        <f t="shared" si="82"/>
        <v>0.02</v>
      </c>
      <c r="J117" s="628">
        <f t="shared" si="82"/>
        <v>0</v>
      </c>
      <c r="K117" s="628">
        <f t="shared" si="82"/>
        <v>0</v>
      </c>
      <c r="L117" s="628">
        <f t="shared" si="82"/>
        <v>0.05</v>
      </c>
      <c r="M117" s="628">
        <f t="shared" si="82"/>
        <v>0.01</v>
      </c>
      <c r="N117" s="628">
        <f t="shared" si="82"/>
        <v>0.02</v>
      </c>
      <c r="O117" s="628">
        <f t="shared" si="82"/>
        <v>0</v>
      </c>
      <c r="P117" s="628">
        <f t="shared" si="82"/>
        <v>0.03</v>
      </c>
      <c r="Q117" s="628">
        <f t="shared" si="82"/>
        <v>0.01</v>
      </c>
      <c r="R117" s="628">
        <f t="shared" si="82"/>
        <v>0</v>
      </c>
      <c r="S117" s="628">
        <f t="shared" si="82"/>
        <v>0</v>
      </c>
      <c r="T117" s="628">
        <f t="shared" si="82"/>
        <v>0</v>
      </c>
      <c r="U117" s="628">
        <f t="shared" si="82"/>
        <v>0.01</v>
      </c>
      <c r="V117" s="628">
        <f t="shared" si="82"/>
        <v>0.06</v>
      </c>
      <c r="W117" s="628">
        <f t="shared" si="82"/>
        <v>0.02</v>
      </c>
      <c r="X117" s="628">
        <f t="shared" si="82"/>
        <v>0</v>
      </c>
      <c r="Y117" s="628">
        <f t="shared" si="82"/>
        <v>0.01</v>
      </c>
      <c r="Z117" s="628">
        <f t="shared" si="82"/>
        <v>0</v>
      </c>
      <c r="AA117" s="628">
        <f t="shared" si="82"/>
        <v>0.01</v>
      </c>
      <c r="AB117" s="628">
        <f t="shared" si="82"/>
        <v>0.01</v>
      </c>
      <c r="AC117" s="628">
        <f t="shared" si="82"/>
        <v>0.01</v>
      </c>
      <c r="AD117" s="628">
        <f t="shared" si="82"/>
        <v>0.01</v>
      </c>
      <c r="AE117" s="628">
        <f t="shared" si="82"/>
        <v>0</v>
      </c>
      <c r="AF117" s="628">
        <f t="shared" si="82"/>
        <v>0.01</v>
      </c>
      <c r="AG117" s="628">
        <f t="shared" si="82"/>
        <v>0</v>
      </c>
      <c r="AH117" s="628">
        <f t="shared" si="82"/>
        <v>0.01</v>
      </c>
      <c r="AI117" s="628">
        <f t="shared" si="82"/>
        <v>0</v>
      </c>
      <c r="AJ117" s="628">
        <f t="shared" si="82"/>
        <v>0</v>
      </c>
      <c r="AK117" s="628">
        <f t="shared" si="82"/>
        <v>0</v>
      </c>
      <c r="AL117" s="628">
        <f t="shared" si="82"/>
        <v>0</v>
      </c>
      <c r="AM117" s="628">
        <f t="shared" si="82"/>
        <v>0</v>
      </c>
      <c r="AN117" s="628">
        <f t="shared" si="82"/>
        <v>0</v>
      </c>
      <c r="AO117" s="628">
        <f t="shared" si="82"/>
        <v>0</v>
      </c>
      <c r="AP117" s="628">
        <f t="shared" si="82"/>
        <v>0</v>
      </c>
      <c r="AQ117" s="628">
        <f t="shared" si="82"/>
        <v>0</v>
      </c>
      <c r="AR117" s="628">
        <f t="shared" si="82"/>
        <v>0.02</v>
      </c>
      <c r="AS117" s="628">
        <f t="shared" si="82"/>
        <v>0.01</v>
      </c>
      <c r="AT117" s="628">
        <f t="shared" si="82"/>
        <v>0</v>
      </c>
      <c r="AU117" s="628">
        <f t="shared" si="82"/>
        <v>0.01</v>
      </c>
      <c r="AV117" s="628">
        <f t="shared" si="82"/>
        <v>0.01</v>
      </c>
      <c r="AW117" s="628">
        <f t="shared" si="82"/>
        <v>0</v>
      </c>
      <c r="AX117" s="628">
        <f t="shared" si="82"/>
        <v>0.02</v>
      </c>
      <c r="AY117" s="628">
        <f t="shared" si="82"/>
        <v>0.04</v>
      </c>
      <c r="AZ117" s="628">
        <f t="shared" si="82"/>
        <v>0.02</v>
      </c>
      <c r="BA117" s="628">
        <f t="shared" si="82"/>
        <v>0.01</v>
      </c>
      <c r="BB117" s="628">
        <f t="shared" si="82"/>
        <v>0</v>
      </c>
      <c r="BC117" s="628">
        <f t="shared" si="82"/>
        <v>0.02</v>
      </c>
      <c r="BD117" s="628">
        <f t="shared" si="82"/>
        <v>0.01</v>
      </c>
      <c r="BE117" s="628">
        <f t="shared" si="82"/>
        <v>0</v>
      </c>
      <c r="BF117" s="628">
        <f t="shared" si="82"/>
        <v>0</v>
      </c>
    </row>
    <row r="118" spans="1:59" x14ac:dyDescent="0.2">
      <c r="A118" s="1819"/>
      <c r="B118" s="376" t="s">
        <v>2072</v>
      </c>
      <c r="C118" s="627"/>
      <c r="D118" s="622">
        <v>1</v>
      </c>
      <c r="E118" s="622">
        <v>4</v>
      </c>
      <c r="F118" s="622">
        <v>3</v>
      </c>
      <c r="G118" s="622">
        <v>1</v>
      </c>
      <c r="H118" s="622">
        <v>1</v>
      </c>
      <c r="I118" s="622">
        <v>2</v>
      </c>
      <c r="J118" s="622"/>
      <c r="K118" s="622"/>
      <c r="L118" s="622">
        <v>5</v>
      </c>
      <c r="M118" s="622">
        <v>1</v>
      </c>
      <c r="N118" s="622">
        <v>2</v>
      </c>
      <c r="O118" s="622"/>
      <c r="P118" s="622">
        <v>3</v>
      </c>
      <c r="Q118" s="622">
        <v>1</v>
      </c>
      <c r="R118" s="622"/>
      <c r="S118" s="624"/>
      <c r="T118" s="622"/>
      <c r="U118" s="622">
        <v>1</v>
      </c>
      <c r="V118" s="622">
        <v>6</v>
      </c>
      <c r="W118" s="622">
        <v>2</v>
      </c>
      <c r="X118" s="622"/>
      <c r="Y118" s="622">
        <v>1</v>
      </c>
      <c r="Z118" s="622"/>
      <c r="AA118" s="622">
        <v>1</v>
      </c>
      <c r="AB118" s="622">
        <v>1</v>
      </c>
      <c r="AC118" s="622">
        <v>1</v>
      </c>
      <c r="AD118" s="622">
        <v>1</v>
      </c>
      <c r="AE118" s="622"/>
      <c r="AF118" s="622">
        <v>1</v>
      </c>
      <c r="AG118" s="622"/>
      <c r="AH118" s="622">
        <v>1</v>
      </c>
      <c r="AI118" s="622"/>
      <c r="AJ118" s="622"/>
      <c r="AK118" s="622"/>
      <c r="AL118" s="622"/>
      <c r="AM118" s="622"/>
      <c r="AN118" s="622"/>
      <c r="AO118" s="622"/>
      <c r="AP118" s="622"/>
      <c r="AQ118" s="622"/>
      <c r="AR118" s="622">
        <v>2</v>
      </c>
      <c r="AS118" s="622">
        <v>1</v>
      </c>
      <c r="AT118" s="622"/>
      <c r="AU118" s="622">
        <v>1</v>
      </c>
      <c r="AV118" s="622">
        <v>1</v>
      </c>
      <c r="AW118" s="622"/>
      <c r="AX118" s="622">
        <v>2</v>
      </c>
      <c r="AY118" s="622">
        <v>4</v>
      </c>
      <c r="AZ118" s="622">
        <v>2</v>
      </c>
      <c r="BA118" s="622">
        <v>1</v>
      </c>
      <c r="BB118" s="622"/>
      <c r="BC118" s="622">
        <v>2</v>
      </c>
      <c r="BD118" s="622">
        <v>1</v>
      </c>
      <c r="BE118" s="622"/>
      <c r="BF118" s="622"/>
    </row>
    <row r="119" spans="1:59" x14ac:dyDescent="0.2">
      <c r="A119" s="1815" t="s">
        <v>1079</v>
      </c>
      <c r="B119" s="376" t="s">
        <v>1080</v>
      </c>
      <c r="C119" s="761">
        <v>144.80531000366707</v>
      </c>
      <c r="D119" s="622">
        <v>0</v>
      </c>
      <c r="E119" s="622"/>
      <c r="F119" s="622">
        <f>-450-0.8*0.9*4800</f>
        <v>-3906.0000000000005</v>
      </c>
      <c r="G119" s="622"/>
      <c r="H119" s="622"/>
      <c r="I119" s="622"/>
      <c r="J119" s="622"/>
      <c r="K119" s="622"/>
      <c r="L119" s="622"/>
      <c r="M119" s="622"/>
      <c r="N119" s="622"/>
      <c r="O119" s="622"/>
      <c r="P119" s="622"/>
      <c r="Q119" s="622"/>
      <c r="R119" s="622"/>
      <c r="S119" s="624"/>
      <c r="T119" s="622"/>
      <c r="U119" s="622"/>
      <c r="V119" s="622"/>
      <c r="W119" s="622"/>
      <c r="X119" s="622"/>
      <c r="Y119" s="622"/>
      <c r="Z119" s="622"/>
      <c r="AA119" s="622"/>
      <c r="AB119" s="622"/>
      <c r="AC119" s="622"/>
      <c r="AD119" s="622"/>
      <c r="AE119" s="622"/>
      <c r="AF119" s="622"/>
      <c r="AG119" s="622"/>
      <c r="AH119" s="622"/>
      <c r="AI119" s="622"/>
      <c r="AJ119" s="622"/>
      <c r="AK119" s="622"/>
      <c r="AL119" s="622">
        <v>458.65214580447457</v>
      </c>
      <c r="AM119" s="622"/>
      <c r="AN119" s="622">
        <v>165.20577628333567</v>
      </c>
      <c r="AO119" s="622">
        <v>51.336767908522425</v>
      </c>
      <c r="AP119" s="622"/>
      <c r="AQ119" s="622">
        <v>445</v>
      </c>
      <c r="AR119" s="622"/>
      <c r="AS119" s="622"/>
      <c r="AT119" s="622"/>
      <c r="AU119" s="624">
        <f>0.331/1.17*170</f>
        <v>48.094017094017104</v>
      </c>
      <c r="AV119" s="622"/>
      <c r="AW119" s="622"/>
      <c r="AX119" s="622"/>
      <c r="AY119" s="622"/>
      <c r="AZ119" s="622"/>
      <c r="BA119" s="622"/>
      <c r="BB119" s="622"/>
      <c r="BC119" s="622"/>
      <c r="BD119" s="622"/>
      <c r="BE119" s="622"/>
      <c r="BF119" s="622"/>
    </row>
    <row r="120" spans="1:59" x14ac:dyDescent="0.2">
      <c r="A120" s="1816"/>
      <c r="B120" s="376" t="s">
        <v>1057</v>
      </c>
      <c r="C120" s="625">
        <f>+C10</f>
        <v>10780.42</v>
      </c>
      <c r="D120" s="625">
        <f t="shared" ref="D120:BE120" si="83">+D10</f>
        <v>9340.4369999999999</v>
      </c>
      <c r="E120" s="625">
        <f t="shared" si="83"/>
        <v>4262.473</v>
      </c>
      <c r="F120" s="625">
        <f t="shared" si="83"/>
        <v>54306.558000000005</v>
      </c>
      <c r="G120" s="625">
        <f t="shared" si="83"/>
        <v>17049.447</v>
      </c>
      <c r="H120" s="625">
        <f t="shared" si="83"/>
        <v>2004.4870000000001</v>
      </c>
      <c r="I120" s="625">
        <f t="shared" si="83"/>
        <v>4334.6769999999997</v>
      </c>
      <c r="J120" s="625">
        <f t="shared" si="83"/>
        <v>7271.4120000000003</v>
      </c>
      <c r="K120" s="625">
        <f t="shared" si="83"/>
        <v>5391.3759999999993</v>
      </c>
      <c r="L120" s="625">
        <f t="shared" si="83"/>
        <v>9928.9809999999998</v>
      </c>
      <c r="M120" s="625">
        <f t="shared" si="83"/>
        <v>16724.746999999999</v>
      </c>
      <c r="N120" s="625">
        <f t="shared" si="83"/>
        <v>9228.0609999999997</v>
      </c>
      <c r="O120" s="625">
        <f t="shared" si="83"/>
        <v>5681.5389999999998</v>
      </c>
      <c r="P120" s="625">
        <f t="shared" si="83"/>
        <v>4715.7889999999998</v>
      </c>
      <c r="Q120" s="625">
        <f t="shared" si="83"/>
        <v>20929.161</v>
      </c>
      <c r="R120" s="625">
        <f t="shared" si="83"/>
        <v>18659.955999999998</v>
      </c>
      <c r="S120" s="625">
        <f t="shared" si="83"/>
        <v>19665.205999999998</v>
      </c>
      <c r="T120" s="625">
        <f t="shared" si="83"/>
        <v>19849.735000000001</v>
      </c>
      <c r="U120" s="625">
        <f t="shared" si="83"/>
        <v>11081.690999999999</v>
      </c>
      <c r="V120" s="625">
        <f t="shared" si="83"/>
        <v>8586.9550000000017</v>
      </c>
      <c r="W120" s="625">
        <f t="shared" si="83"/>
        <v>8741.3060000000005</v>
      </c>
      <c r="X120" s="625">
        <f t="shared" si="83"/>
        <v>6495.7709999999997</v>
      </c>
      <c r="Y120" s="625">
        <f t="shared" si="83"/>
        <v>3201.0769999999998</v>
      </c>
      <c r="Z120" s="625">
        <f t="shared" si="83"/>
        <v>3917.029</v>
      </c>
      <c r="AA120" s="625">
        <f t="shared" si="83"/>
        <v>6640.0940000000001</v>
      </c>
      <c r="AB120" s="625">
        <f t="shared" si="83"/>
        <v>6789.9260000000004</v>
      </c>
      <c r="AC120" s="625">
        <f t="shared" si="83"/>
        <v>10469.824999999999</v>
      </c>
      <c r="AD120" s="625">
        <f t="shared" si="83"/>
        <v>4708.6639999999998</v>
      </c>
      <c r="AE120" s="625">
        <f t="shared" si="83"/>
        <v>23115.748</v>
      </c>
      <c r="AF120" s="625">
        <f t="shared" si="83"/>
        <v>5412.576</v>
      </c>
      <c r="AG120" s="625">
        <f t="shared" si="83"/>
        <v>3747.5639999999999</v>
      </c>
      <c r="AH120" s="625">
        <f t="shared" si="83"/>
        <v>3174.326</v>
      </c>
      <c r="AI120" s="625">
        <f t="shared" si="83"/>
        <v>3853.471</v>
      </c>
      <c r="AJ120" s="625">
        <f t="shared" si="83"/>
        <v>3276.6880000000001</v>
      </c>
      <c r="AK120" s="625">
        <f t="shared" si="83"/>
        <v>2922.759</v>
      </c>
      <c r="AL120" s="625">
        <f t="shared" si="83"/>
        <v>46124.361000000004</v>
      </c>
      <c r="AM120" s="625">
        <f t="shared" si="83"/>
        <v>5738.3119999999999</v>
      </c>
      <c r="AN120" s="625">
        <f t="shared" si="83"/>
        <v>12026.431</v>
      </c>
      <c r="AO120" s="625">
        <f t="shared" si="83"/>
        <v>3748.2510000000002</v>
      </c>
      <c r="AP120" s="625">
        <f t="shared" si="83"/>
        <v>9026.4089999999997</v>
      </c>
      <c r="AQ120" s="625">
        <f t="shared" si="83"/>
        <v>5354.7740000000003</v>
      </c>
      <c r="AR120" s="625">
        <f t="shared" si="83"/>
        <v>10326.152000000002</v>
      </c>
      <c r="AS120" s="625">
        <f t="shared" si="83"/>
        <v>3423.1089999999999</v>
      </c>
      <c r="AT120" s="625">
        <f t="shared" si="83"/>
        <v>2910.1680000000001</v>
      </c>
      <c r="AU120" s="625">
        <f t="shared" si="83"/>
        <v>4710.6399999999994</v>
      </c>
      <c r="AV120" s="625">
        <f t="shared" si="83"/>
        <v>5711.9690000000001</v>
      </c>
      <c r="AW120" s="625">
        <f t="shared" si="83"/>
        <v>7207.7849999999999</v>
      </c>
      <c r="AX120" s="625">
        <f t="shared" si="83"/>
        <v>14360.366</v>
      </c>
      <c r="AY120" s="625">
        <f t="shared" si="83"/>
        <v>6640.4369999999999</v>
      </c>
      <c r="AZ120" s="625">
        <f t="shared" si="83"/>
        <v>5883.2190000000001</v>
      </c>
      <c r="BA120" s="625">
        <f t="shared" si="83"/>
        <v>5761.5990000000002</v>
      </c>
      <c r="BB120" s="625">
        <f t="shared" si="83"/>
        <v>4786.3330000000005</v>
      </c>
      <c r="BC120" s="625">
        <f t="shared" si="83"/>
        <v>6044.5029999999997</v>
      </c>
      <c r="BD120" s="625">
        <f t="shared" si="83"/>
        <v>975.60500000000002</v>
      </c>
      <c r="BE120" s="625">
        <f t="shared" si="83"/>
        <v>1173.269</v>
      </c>
      <c r="BF120" s="625">
        <f t="shared" ref="BF120" si="84">+BF10</f>
        <v>10422.161</v>
      </c>
    </row>
    <row r="121" spans="1:59" x14ac:dyDescent="0.2">
      <c r="A121" s="1817"/>
      <c r="B121" s="376" t="s">
        <v>1081</v>
      </c>
      <c r="C121" s="627">
        <f>+C119/C120</f>
        <v>1.3432251248436246E-2</v>
      </c>
      <c r="D121" s="627">
        <f t="shared" ref="D121:BE121" si="85">+D119/D120</f>
        <v>0</v>
      </c>
      <c r="E121" s="627">
        <f t="shared" si="85"/>
        <v>0</v>
      </c>
      <c r="F121" s="627">
        <f t="shared" si="85"/>
        <v>-7.1925015023047489E-2</v>
      </c>
      <c r="G121" s="627">
        <f t="shared" si="85"/>
        <v>0</v>
      </c>
      <c r="H121" s="627">
        <f t="shared" si="85"/>
        <v>0</v>
      </c>
      <c r="I121" s="627">
        <f t="shared" si="85"/>
        <v>0</v>
      </c>
      <c r="J121" s="627">
        <f t="shared" si="85"/>
        <v>0</v>
      </c>
      <c r="K121" s="627">
        <f t="shared" si="85"/>
        <v>0</v>
      </c>
      <c r="L121" s="627">
        <f t="shared" si="85"/>
        <v>0</v>
      </c>
      <c r="M121" s="627">
        <f t="shared" si="85"/>
        <v>0</v>
      </c>
      <c r="N121" s="627">
        <f t="shared" si="85"/>
        <v>0</v>
      </c>
      <c r="O121" s="627">
        <f t="shared" si="85"/>
        <v>0</v>
      </c>
      <c r="P121" s="627">
        <f t="shared" si="85"/>
        <v>0</v>
      </c>
      <c r="Q121" s="627">
        <f t="shared" si="85"/>
        <v>0</v>
      </c>
      <c r="R121" s="627">
        <f t="shared" si="85"/>
        <v>0</v>
      </c>
      <c r="S121" s="627">
        <f t="shared" si="85"/>
        <v>0</v>
      </c>
      <c r="T121" s="627">
        <f t="shared" si="85"/>
        <v>0</v>
      </c>
      <c r="U121" s="627">
        <f t="shared" si="85"/>
        <v>0</v>
      </c>
      <c r="V121" s="627">
        <f t="shared" si="85"/>
        <v>0</v>
      </c>
      <c r="W121" s="627">
        <f t="shared" si="85"/>
        <v>0</v>
      </c>
      <c r="X121" s="627">
        <f t="shared" si="85"/>
        <v>0</v>
      </c>
      <c r="Y121" s="627">
        <f t="shared" si="85"/>
        <v>0</v>
      </c>
      <c r="Z121" s="627">
        <f t="shared" si="85"/>
        <v>0</v>
      </c>
      <c r="AA121" s="627">
        <f t="shared" si="85"/>
        <v>0</v>
      </c>
      <c r="AB121" s="627">
        <f t="shared" si="85"/>
        <v>0</v>
      </c>
      <c r="AC121" s="627">
        <f t="shared" si="85"/>
        <v>0</v>
      </c>
      <c r="AD121" s="627">
        <f t="shared" si="85"/>
        <v>0</v>
      </c>
      <c r="AE121" s="627">
        <f t="shared" si="85"/>
        <v>0</v>
      </c>
      <c r="AF121" s="627">
        <f t="shared" si="85"/>
        <v>0</v>
      </c>
      <c r="AG121" s="627">
        <f t="shared" si="85"/>
        <v>0</v>
      </c>
      <c r="AH121" s="627">
        <f t="shared" si="85"/>
        <v>0</v>
      </c>
      <c r="AI121" s="627">
        <f t="shared" si="85"/>
        <v>0</v>
      </c>
      <c r="AJ121" s="627">
        <f t="shared" si="85"/>
        <v>0</v>
      </c>
      <c r="AK121" s="627">
        <f t="shared" si="85"/>
        <v>0</v>
      </c>
      <c r="AL121" s="627">
        <f t="shared" si="85"/>
        <v>9.9438157160480663E-3</v>
      </c>
      <c r="AM121" s="627">
        <f t="shared" si="85"/>
        <v>0</v>
      </c>
      <c r="AN121" s="627">
        <f t="shared" si="85"/>
        <v>1.3736891375615564E-2</v>
      </c>
      <c r="AO121" s="627">
        <f t="shared" si="85"/>
        <v>1.3696192679871872E-2</v>
      </c>
      <c r="AP121" s="627">
        <f t="shared" si="85"/>
        <v>0</v>
      </c>
      <c r="AQ121" s="627">
        <f t="shared" si="85"/>
        <v>8.3103413888242522E-2</v>
      </c>
      <c r="AR121" s="627">
        <f t="shared" si="85"/>
        <v>0</v>
      </c>
      <c r="AS121" s="627">
        <f t="shared" si="85"/>
        <v>0</v>
      </c>
      <c r="AT121" s="627">
        <f t="shared" si="85"/>
        <v>0</v>
      </c>
      <c r="AU121" s="627">
        <f t="shared" si="85"/>
        <v>1.0209656669585685E-2</v>
      </c>
      <c r="AV121" s="627">
        <f t="shared" si="85"/>
        <v>0</v>
      </c>
      <c r="AW121" s="627">
        <f t="shared" si="85"/>
        <v>0</v>
      </c>
      <c r="AX121" s="627">
        <f t="shared" si="85"/>
        <v>0</v>
      </c>
      <c r="AY121" s="627">
        <f t="shared" si="85"/>
        <v>0</v>
      </c>
      <c r="AZ121" s="627">
        <f t="shared" si="85"/>
        <v>0</v>
      </c>
      <c r="BA121" s="627">
        <f t="shared" si="85"/>
        <v>0</v>
      </c>
      <c r="BB121" s="627">
        <f t="shared" si="85"/>
        <v>0</v>
      </c>
      <c r="BC121" s="627">
        <f t="shared" si="85"/>
        <v>0</v>
      </c>
      <c r="BD121" s="627">
        <f t="shared" si="85"/>
        <v>0</v>
      </c>
      <c r="BE121" s="627">
        <f t="shared" si="85"/>
        <v>0</v>
      </c>
      <c r="BF121" s="627">
        <f t="shared" ref="BF121" si="86">+BF119/BF120</f>
        <v>0</v>
      </c>
    </row>
    <row r="122" spans="1:59" x14ac:dyDescent="0.2">
      <c r="A122" s="765"/>
      <c r="B122" s="376"/>
      <c r="C122" s="627"/>
      <c r="D122" s="622"/>
      <c r="E122" s="622"/>
      <c r="F122" s="622"/>
      <c r="G122" s="622"/>
      <c r="H122" s="622"/>
      <c r="I122" s="622"/>
      <c r="J122" s="622"/>
      <c r="K122" s="622"/>
      <c r="L122" s="622"/>
      <c r="M122" s="622"/>
      <c r="N122" s="622"/>
      <c r="O122" s="622"/>
      <c r="P122" s="622"/>
      <c r="Q122" s="622"/>
      <c r="R122" s="622"/>
      <c r="S122" s="624"/>
      <c r="T122" s="622"/>
      <c r="U122" s="622"/>
      <c r="V122" s="622"/>
      <c r="W122" s="622"/>
      <c r="X122" s="622"/>
      <c r="Y122" s="622"/>
      <c r="Z122" s="622"/>
      <c r="AA122" s="622"/>
      <c r="AB122" s="622"/>
      <c r="AC122" s="622"/>
      <c r="AD122" s="622"/>
      <c r="AE122" s="622"/>
      <c r="AF122" s="622"/>
      <c r="AG122" s="622"/>
      <c r="AH122" s="622"/>
      <c r="AI122" s="622"/>
      <c r="AJ122" s="622"/>
      <c r="AK122" s="622"/>
      <c r="AL122" s="622"/>
      <c r="AM122" s="622"/>
      <c r="AN122" s="622"/>
      <c r="AO122" s="622"/>
      <c r="AP122" s="622"/>
      <c r="AQ122" s="622"/>
      <c r="AR122" s="622"/>
      <c r="AS122" s="622"/>
      <c r="AT122" s="622"/>
      <c r="AU122" s="622"/>
      <c r="AV122" s="622"/>
      <c r="AW122" s="622"/>
      <c r="AX122" s="622"/>
      <c r="AY122" s="622"/>
      <c r="AZ122" s="622"/>
      <c r="BA122" s="622"/>
      <c r="BB122" s="622"/>
      <c r="BC122" s="622"/>
      <c r="BD122" s="622"/>
      <c r="BE122" s="622"/>
      <c r="BF122" s="622"/>
    </row>
    <row r="123" spans="1:59" x14ac:dyDescent="0.2">
      <c r="A123" s="1815" t="s">
        <v>1082</v>
      </c>
      <c r="B123" s="376" t="s">
        <v>1083</v>
      </c>
      <c r="C123" s="627">
        <v>0</v>
      </c>
      <c r="D123" s="622"/>
      <c r="E123" s="622"/>
      <c r="F123" s="622">
        <v>0.92</v>
      </c>
      <c r="G123" s="622"/>
      <c r="H123" s="622"/>
      <c r="I123" s="622"/>
      <c r="J123" s="622"/>
      <c r="K123" s="622">
        <f>897-(165*2*0.9)</f>
        <v>600</v>
      </c>
      <c r="L123" s="622"/>
      <c r="M123" s="622">
        <v>-475.20000000000022</v>
      </c>
      <c r="N123" s="622"/>
      <c r="O123" s="622">
        <v>600</v>
      </c>
      <c r="P123" s="622"/>
      <c r="Q123" s="622">
        <f>-BC123*0.9</f>
        <v>-1265.6610000000001</v>
      </c>
      <c r="R123" s="622">
        <f>180+(750-180)</f>
        <v>750</v>
      </c>
      <c r="S123" s="624"/>
      <c r="T123" s="622"/>
      <c r="U123" s="622"/>
      <c r="V123" s="622">
        <f>107+101</f>
        <v>208</v>
      </c>
      <c r="W123" s="622">
        <f>-890*0.9</f>
        <v>-801</v>
      </c>
      <c r="X123" s="622">
        <v>-60</v>
      </c>
      <c r="Y123" s="622"/>
      <c r="Z123" s="622"/>
      <c r="AA123" s="622"/>
      <c r="AB123" s="622"/>
      <c r="AC123" s="622"/>
      <c r="AD123" s="622"/>
      <c r="AE123" s="622">
        <f>-235*0.9</f>
        <v>-211.5</v>
      </c>
      <c r="AF123" s="622"/>
      <c r="AG123" s="622"/>
      <c r="AH123" s="622"/>
      <c r="AI123" s="622"/>
      <c r="AJ123" s="622"/>
      <c r="AK123" s="622">
        <f>-590*0.9</f>
        <v>-531</v>
      </c>
      <c r="AL123" s="622">
        <f>63000*0.015-180</f>
        <v>765</v>
      </c>
      <c r="AM123" s="622">
        <v>528</v>
      </c>
      <c r="AN123" s="622"/>
      <c r="AO123" s="622"/>
      <c r="AP123" s="622"/>
      <c r="AQ123" s="622"/>
      <c r="AR123" s="622">
        <v>590</v>
      </c>
      <c r="AS123" s="622"/>
      <c r="AT123" s="622"/>
      <c r="AU123" s="622"/>
      <c r="AV123" s="622"/>
      <c r="AW123" s="622"/>
      <c r="AX123" s="622"/>
      <c r="AY123" s="622"/>
      <c r="AZ123" s="622"/>
      <c r="BA123" s="622"/>
      <c r="BB123" s="622"/>
      <c r="BC123" s="622">
        <v>1406.29</v>
      </c>
      <c r="BD123" s="622"/>
      <c r="BE123" s="622"/>
      <c r="BF123" s="622">
        <f>1200+16000*0.4/3</f>
        <v>3333.3333333333335</v>
      </c>
      <c r="BG123" s="743"/>
    </row>
    <row r="124" spans="1:59" x14ac:dyDescent="0.2">
      <c r="A124" s="1816"/>
      <c r="B124" s="376" t="s">
        <v>1038</v>
      </c>
      <c r="C124" s="625">
        <f>+C40</f>
        <v>10687.855</v>
      </c>
      <c r="D124" s="625">
        <f t="shared" ref="D124:BE124" si="87">+D40</f>
        <v>9055.2800000000007</v>
      </c>
      <c r="E124" s="625">
        <f t="shared" si="87"/>
        <v>4030.194</v>
      </c>
      <c r="F124" s="625">
        <v>435</v>
      </c>
      <c r="G124" s="625">
        <f t="shared" si="87"/>
        <v>16005.333000000001</v>
      </c>
      <c r="H124" s="625">
        <f t="shared" si="87"/>
        <v>1788.1780000000001</v>
      </c>
      <c r="I124" s="625">
        <f t="shared" si="87"/>
        <v>4309.6179999999995</v>
      </c>
      <c r="J124" s="625">
        <f t="shared" si="87"/>
        <v>6909.7800000000007</v>
      </c>
      <c r="K124" s="625">
        <f t="shared" si="87"/>
        <v>5187.3189999999995</v>
      </c>
      <c r="L124" s="625">
        <f t="shared" si="87"/>
        <v>9623.1640000000007</v>
      </c>
      <c r="M124" s="625">
        <f t="shared" si="87"/>
        <v>15637.956999999999</v>
      </c>
      <c r="N124" s="625">
        <f t="shared" si="87"/>
        <v>9167.7950000000001</v>
      </c>
      <c r="O124" s="625">
        <f t="shared" si="87"/>
        <v>5282.7240000000002</v>
      </c>
      <c r="P124" s="625">
        <f t="shared" si="87"/>
        <v>4539.3530000000001</v>
      </c>
      <c r="Q124" s="625">
        <f t="shared" si="87"/>
        <v>19454.196</v>
      </c>
      <c r="R124" s="625">
        <f t="shared" si="87"/>
        <v>17691.512999999999</v>
      </c>
      <c r="S124" s="625">
        <f t="shared" si="87"/>
        <v>18837.516</v>
      </c>
      <c r="T124" s="625">
        <f t="shared" si="87"/>
        <v>18472.741000000002</v>
      </c>
      <c r="U124" s="625">
        <f t="shared" si="87"/>
        <v>9784.3889999999992</v>
      </c>
      <c r="V124" s="625">
        <f t="shared" si="87"/>
        <v>8445.7630000000026</v>
      </c>
      <c r="W124" s="625">
        <f t="shared" si="87"/>
        <v>8240.5010000000002</v>
      </c>
      <c r="X124" s="625">
        <f t="shared" si="87"/>
        <v>5832.9979999999996</v>
      </c>
      <c r="Y124" s="625">
        <f t="shared" si="87"/>
        <v>2952.962</v>
      </c>
      <c r="Z124" s="625">
        <f t="shared" si="87"/>
        <v>3444.9430000000002</v>
      </c>
      <c r="AA124" s="625">
        <f t="shared" si="87"/>
        <v>6002.3060000000005</v>
      </c>
      <c r="AB124" s="625">
        <f t="shared" si="87"/>
        <v>6493.2190000000001</v>
      </c>
      <c r="AC124" s="625">
        <f t="shared" si="87"/>
        <v>9731.9999999999982</v>
      </c>
      <c r="AD124" s="625">
        <f t="shared" si="87"/>
        <v>4363.1009999999997</v>
      </c>
      <c r="AE124" s="625">
        <f t="shared" si="87"/>
        <v>22111.684000000001</v>
      </c>
      <c r="AF124" s="625">
        <f t="shared" si="87"/>
        <v>4985.741</v>
      </c>
      <c r="AG124" s="625">
        <f t="shared" si="87"/>
        <v>3259.576</v>
      </c>
      <c r="AH124" s="625">
        <f t="shared" si="87"/>
        <v>3128.6480000000001</v>
      </c>
      <c r="AI124" s="625">
        <f t="shared" si="87"/>
        <v>3446.8580000000002</v>
      </c>
      <c r="AJ124" s="625">
        <f t="shared" si="87"/>
        <v>3056.2750000000001</v>
      </c>
      <c r="AK124" s="625">
        <f t="shared" si="87"/>
        <v>2686.3910000000001</v>
      </c>
      <c r="AL124" s="625">
        <f t="shared" si="87"/>
        <v>42680.793000000005</v>
      </c>
      <c r="AM124" s="625">
        <f t="shared" si="87"/>
        <v>5323.2070000000003</v>
      </c>
      <c r="AN124" s="625">
        <f t="shared" si="87"/>
        <v>11220.945</v>
      </c>
      <c r="AO124" s="625">
        <f t="shared" si="87"/>
        <v>3602.181</v>
      </c>
      <c r="AP124" s="625">
        <f t="shared" si="87"/>
        <v>8567.8269999999993</v>
      </c>
      <c r="AQ124" s="625">
        <f t="shared" si="87"/>
        <v>5051.9580000000005</v>
      </c>
      <c r="AR124" s="625">
        <f t="shared" si="87"/>
        <v>10090.055000000002</v>
      </c>
      <c r="AS124" s="625">
        <f t="shared" si="87"/>
        <v>3169.9650000000001</v>
      </c>
      <c r="AT124" s="625">
        <f t="shared" si="87"/>
        <v>2562.8160000000003</v>
      </c>
      <c r="AU124" s="625">
        <f t="shared" si="87"/>
        <v>4253.8219999999992</v>
      </c>
      <c r="AV124" s="625">
        <f t="shared" si="87"/>
        <v>5709.3289999999997</v>
      </c>
      <c r="AW124" s="625">
        <f t="shared" si="87"/>
        <v>7199.768</v>
      </c>
      <c r="AX124" s="625">
        <f t="shared" si="87"/>
        <v>12153.178</v>
      </c>
      <c r="AY124" s="625">
        <f t="shared" si="87"/>
        <v>5805.2910000000002</v>
      </c>
      <c r="AZ124" s="625">
        <f t="shared" si="87"/>
        <v>5512.06</v>
      </c>
      <c r="BA124" s="625">
        <f t="shared" si="87"/>
        <v>5548.8330000000005</v>
      </c>
      <c r="BB124" s="625">
        <f t="shared" si="87"/>
        <v>4760.7890000000007</v>
      </c>
      <c r="BC124" s="625">
        <f t="shared" si="87"/>
        <v>4810.4272000000001</v>
      </c>
      <c r="BD124" s="625">
        <f t="shared" si="87"/>
        <v>7956.9939999999997</v>
      </c>
      <c r="BE124" s="625">
        <f t="shared" si="87"/>
        <v>1061.6970000000001</v>
      </c>
      <c r="BF124" s="625">
        <f t="shared" ref="BF124" si="88">+BF40</f>
        <v>9551.634</v>
      </c>
    </row>
    <row r="125" spans="1:59" x14ac:dyDescent="0.2">
      <c r="A125" s="1817"/>
      <c r="B125" s="376" t="s">
        <v>1084</v>
      </c>
      <c r="C125" s="778">
        <f>+C123/C124</f>
        <v>0</v>
      </c>
      <c r="D125" s="778">
        <f t="shared" ref="D125:BE125" si="89">+D123/D124</f>
        <v>0</v>
      </c>
      <c r="E125" s="778">
        <f t="shared" si="89"/>
        <v>0</v>
      </c>
      <c r="F125" s="1592">
        <f t="shared" si="89"/>
        <v>2.1149425287356324E-3</v>
      </c>
      <c r="G125" s="778">
        <f t="shared" si="89"/>
        <v>0</v>
      </c>
      <c r="H125" s="778">
        <f t="shared" si="89"/>
        <v>0</v>
      </c>
      <c r="I125" s="778">
        <f t="shared" si="89"/>
        <v>0</v>
      </c>
      <c r="J125" s="778">
        <f t="shared" si="89"/>
        <v>0</v>
      </c>
      <c r="K125" s="779">
        <f t="shared" si="89"/>
        <v>0.11566668639426264</v>
      </c>
      <c r="L125" s="778">
        <f t="shared" si="89"/>
        <v>0</v>
      </c>
      <c r="M125" s="778">
        <f t="shared" si="89"/>
        <v>-3.0387601142527778E-2</v>
      </c>
      <c r="N125" s="778">
        <f t="shared" si="89"/>
        <v>0</v>
      </c>
      <c r="O125" s="778">
        <f t="shared" si="89"/>
        <v>0.11357776783341321</v>
      </c>
      <c r="P125" s="778">
        <f t="shared" si="89"/>
        <v>0</v>
      </c>
      <c r="Q125" s="778">
        <f t="shared" si="89"/>
        <v>-6.5058509742576875E-2</v>
      </c>
      <c r="R125" s="778">
        <f t="shared" si="89"/>
        <v>4.2393208540162736E-2</v>
      </c>
      <c r="S125" s="778">
        <f t="shared" si="89"/>
        <v>0</v>
      </c>
      <c r="T125" s="778">
        <f t="shared" si="89"/>
        <v>0</v>
      </c>
      <c r="U125" s="778">
        <f t="shared" si="89"/>
        <v>0</v>
      </c>
      <c r="V125" s="778">
        <f t="shared" si="89"/>
        <v>2.4627733456408844E-2</v>
      </c>
      <c r="W125" s="780">
        <f t="shared" si="89"/>
        <v>-9.7202827837773453E-2</v>
      </c>
      <c r="X125" s="778">
        <f t="shared" si="89"/>
        <v>-1.0286305601339141E-2</v>
      </c>
      <c r="Y125" s="778">
        <f t="shared" si="89"/>
        <v>0</v>
      </c>
      <c r="Z125" s="778">
        <f t="shared" si="89"/>
        <v>0</v>
      </c>
      <c r="AA125" s="778">
        <f t="shared" si="89"/>
        <v>0</v>
      </c>
      <c r="AB125" s="778">
        <f t="shared" si="89"/>
        <v>0</v>
      </c>
      <c r="AC125" s="778">
        <f t="shared" si="89"/>
        <v>0</v>
      </c>
      <c r="AD125" s="778">
        <f t="shared" si="89"/>
        <v>0</v>
      </c>
      <c r="AE125" s="778">
        <f t="shared" si="89"/>
        <v>-9.5650788062998718E-3</v>
      </c>
      <c r="AF125" s="778">
        <f t="shared" si="89"/>
        <v>0</v>
      </c>
      <c r="AG125" s="778">
        <f t="shared" si="89"/>
        <v>0</v>
      </c>
      <c r="AH125" s="778">
        <f t="shared" si="89"/>
        <v>0</v>
      </c>
      <c r="AI125" s="778">
        <f t="shared" si="89"/>
        <v>0</v>
      </c>
      <c r="AJ125" s="778">
        <f t="shared" si="89"/>
        <v>0</v>
      </c>
      <c r="AK125" s="624">
        <f t="shared" si="89"/>
        <v>-0.19766296119961688</v>
      </c>
      <c r="AL125" s="778">
        <f t="shared" si="89"/>
        <v>1.7923753197369129E-2</v>
      </c>
      <c r="AM125" s="778">
        <f t="shared" si="89"/>
        <v>9.918832763783185E-2</v>
      </c>
      <c r="AN125" s="778">
        <f t="shared" si="89"/>
        <v>0</v>
      </c>
      <c r="AO125" s="778">
        <f t="shared" si="89"/>
        <v>0</v>
      </c>
      <c r="AP125" s="778">
        <f t="shared" si="89"/>
        <v>0</v>
      </c>
      <c r="AQ125" s="624">
        <f t="shared" si="89"/>
        <v>0</v>
      </c>
      <c r="AR125" s="778">
        <f t="shared" si="89"/>
        <v>5.8473417637465788E-2</v>
      </c>
      <c r="AS125" s="778">
        <f t="shared" si="89"/>
        <v>0</v>
      </c>
      <c r="AT125" s="778">
        <f t="shared" si="89"/>
        <v>0</v>
      </c>
      <c r="AU125" s="778">
        <f t="shared" si="89"/>
        <v>0</v>
      </c>
      <c r="AV125" s="778">
        <f t="shared" si="89"/>
        <v>0</v>
      </c>
      <c r="AW125" s="778">
        <f t="shared" si="89"/>
        <v>0</v>
      </c>
      <c r="AX125" s="778">
        <f t="shared" si="89"/>
        <v>0</v>
      </c>
      <c r="AY125" s="778">
        <f t="shared" si="89"/>
        <v>0</v>
      </c>
      <c r="AZ125" s="778">
        <f t="shared" si="89"/>
        <v>0</v>
      </c>
      <c r="BA125" s="778">
        <f t="shared" si="89"/>
        <v>0</v>
      </c>
      <c r="BB125" s="778">
        <f t="shared" si="89"/>
        <v>0</v>
      </c>
      <c r="BC125" s="778">
        <f t="shared" si="89"/>
        <v>0.29234201902068074</v>
      </c>
      <c r="BD125" s="778">
        <f t="shared" si="89"/>
        <v>0</v>
      </c>
      <c r="BE125" s="778">
        <f t="shared" si="89"/>
        <v>0</v>
      </c>
      <c r="BF125" s="779">
        <f t="shared" ref="BF125" si="90">+BF123/BF124</f>
        <v>0.34898042924732392</v>
      </c>
    </row>
    <row r="126" spans="1:59" x14ac:dyDescent="0.2">
      <c r="A126" s="765"/>
      <c r="B126" s="376"/>
      <c r="C126" s="778"/>
      <c r="D126" s="778"/>
      <c r="E126" s="778"/>
      <c r="F126" s="778"/>
      <c r="G126" s="778"/>
      <c r="H126" s="778"/>
      <c r="I126" s="778"/>
      <c r="J126" s="778"/>
      <c r="K126" s="778"/>
      <c r="L126" s="778"/>
      <c r="M126" s="778"/>
      <c r="N126" s="778"/>
      <c r="O126" s="778"/>
      <c r="P126" s="778"/>
      <c r="Q126" s="778"/>
      <c r="R126" s="778"/>
      <c r="S126" s="778"/>
      <c r="T126" s="778"/>
      <c r="U126" s="778"/>
      <c r="V126" s="778"/>
      <c r="W126" s="778"/>
      <c r="X126" s="778"/>
      <c r="Y126" s="778"/>
      <c r="Z126" s="778"/>
      <c r="AA126" s="778"/>
      <c r="AB126" s="778"/>
      <c r="AC126" s="778"/>
      <c r="AD126" s="778"/>
      <c r="AE126" s="778"/>
      <c r="AF126" s="778"/>
      <c r="AG126" s="778"/>
      <c r="AH126" s="778"/>
      <c r="AI126" s="778"/>
      <c r="AJ126" s="778"/>
      <c r="AK126" s="778"/>
      <c r="AL126" s="778"/>
      <c r="AM126" s="778"/>
      <c r="AN126" s="778"/>
      <c r="AO126" s="778"/>
      <c r="AP126" s="778"/>
      <c r="AQ126" s="778"/>
      <c r="AR126" s="778"/>
      <c r="AS126" s="778"/>
      <c r="AT126" s="778"/>
      <c r="AU126" s="778"/>
      <c r="AV126" s="778"/>
      <c r="AW126" s="778"/>
      <c r="AX126" s="778"/>
      <c r="AY126" s="778"/>
      <c r="AZ126" s="778"/>
      <c r="BA126" s="778"/>
      <c r="BB126" s="778"/>
      <c r="BC126" s="778"/>
      <c r="BD126" s="778"/>
      <c r="BE126" s="778"/>
      <c r="BF126" s="778"/>
    </row>
    <row r="127" spans="1:59" x14ac:dyDescent="0.2">
      <c r="A127" s="765" t="s">
        <v>679</v>
      </c>
      <c r="B127" s="376"/>
      <c r="C127" s="624">
        <f>+IFERROR(VLOOKUP(C4,ביוביות!$T$18:$V$27,3,0),0)</f>
        <v>0</v>
      </c>
      <c r="D127" s="624">
        <f>+IFERROR(VLOOKUP(D4,ביוביות!$T$18:$V$27,3,0),0)</f>
        <v>1.3955911191863181E-2</v>
      </c>
      <c r="E127" s="624">
        <f>+IFERROR(VLOOKUP(E4,ביוביות!$T$18:$V$27,3,0),0)</f>
        <v>0</v>
      </c>
      <c r="F127" s="624">
        <f>+IFERROR(VLOOKUP(F4,ביוביות!$T$18:$V$27,3,0),0)</f>
        <v>0</v>
      </c>
      <c r="G127" s="624">
        <f>+IFERROR(VLOOKUP(G4,ביוביות!$T$18:$V$27,3,0),0)</f>
        <v>0</v>
      </c>
      <c r="H127" s="624">
        <f>+IFERROR(VLOOKUP(H4,ביוביות!$T$18:$V$27,3,0),0)</f>
        <v>0</v>
      </c>
      <c r="I127" s="624">
        <f>+IFERROR(VLOOKUP(I4,ביוביות!$T$18:$V$27,3,0),0)</f>
        <v>0.12766245895860492</v>
      </c>
      <c r="J127" s="624">
        <f>+IFERROR(VLOOKUP(J4,ביוביות!$T$18:$V$27,3,0),0)</f>
        <v>0</v>
      </c>
      <c r="K127" s="624">
        <f>+IFERROR(VLOOKUP(K4,ביוביות!$T$18:$V$27,3,0),0)</f>
        <v>0</v>
      </c>
      <c r="L127" s="624">
        <f>+IFERROR(VLOOKUP(L4,ביוביות!$T$18:$V$27,3,0),0)</f>
        <v>0</v>
      </c>
      <c r="M127" s="624">
        <f>+IFERROR(VLOOKUP(M4,ביוביות!$T$18:$V$27,3,0),0)</f>
        <v>0</v>
      </c>
      <c r="N127" s="624">
        <f>+IFERROR(VLOOKUP(N4,ביוביות!$T$18:$V$27,3,0),0)</f>
        <v>0.2823799791386824</v>
      </c>
      <c r="O127" s="624">
        <f>+IFERROR(VLOOKUP(O4,ביוביות!$T$18:$V$27,3,0),0)</f>
        <v>0</v>
      </c>
      <c r="P127" s="624">
        <f>+IFERROR(VLOOKUP(P4,ביוביות!$T$18:$V$27,3,0),0)</f>
        <v>0</v>
      </c>
      <c r="Q127" s="624">
        <f>+IFERROR(VLOOKUP(Q4,ביוביות!$T$18:$V$27,3,0),0)</f>
        <v>0</v>
      </c>
      <c r="R127" s="624">
        <f>+IFERROR(VLOOKUP(R4,ביוביות!$T$18:$V$27,3,0),0)</f>
        <v>0</v>
      </c>
      <c r="S127" s="624">
        <f>+IFERROR(VLOOKUP(S4,ביוביות!$T$18:$V$27,3,0),0)</f>
        <v>0</v>
      </c>
      <c r="T127" s="624">
        <f>+IFERROR(VLOOKUP(T4,ביוביות!$T$18:$V$27,3,0),0)</f>
        <v>0</v>
      </c>
      <c r="U127" s="624">
        <f>+IFERROR(VLOOKUP(U4,ביוביות!$T$18:$V$27,3,0),0)</f>
        <v>0</v>
      </c>
      <c r="V127" s="624">
        <f>+IFERROR(VLOOKUP(V4,ביוביות!$T$18:$V$27,3,0),0)</f>
        <v>6.0525998449757201E-2</v>
      </c>
      <c r="W127" s="624">
        <f>+IFERROR(VLOOKUP(W4,ביוביות!$T$18:$V$27,3,0),0)</f>
        <v>0</v>
      </c>
      <c r="X127" s="624">
        <f>+IFERROR(VLOOKUP(X4,ביוביות!$T$18:$V$27,3,0),0)</f>
        <v>0</v>
      </c>
      <c r="Y127" s="624">
        <f>+IFERROR(VLOOKUP(Y4,ביוביות!$T$18:$V$27,3,0),0)</f>
        <v>0</v>
      </c>
      <c r="Z127" s="624">
        <f>+IFERROR(VLOOKUP(Z4,ביוביות!$T$18:$V$27,3,0),0)</f>
        <v>0</v>
      </c>
      <c r="AA127" s="624">
        <f>+IFERROR(VLOOKUP(AA4,ביוביות!$T$18:$V$27,3,0),0)</f>
        <v>0</v>
      </c>
      <c r="AB127" s="624">
        <f>+IFERROR(VLOOKUP(AB4,ביוביות!$T$18:$V$27,3,0),0)</f>
        <v>0</v>
      </c>
      <c r="AC127" s="624">
        <f>+IFERROR(VLOOKUP(AC4,ביוביות!$T$18:$V$27,3,0),0)</f>
        <v>0</v>
      </c>
      <c r="AD127" s="624">
        <f>+IFERROR(VLOOKUP(AD4,ביוביות!$T$18:$V$27,3,0),0)</f>
        <v>0</v>
      </c>
      <c r="AE127" s="624">
        <f>+IFERROR(VLOOKUP(AE4,ביוביות!$T$18:$V$27,3,0),0)</f>
        <v>0</v>
      </c>
      <c r="AF127" s="624">
        <f>+IFERROR(VLOOKUP(AF4,ביוביות!$T$18:$V$27,3,0),0)</f>
        <v>0</v>
      </c>
      <c r="AG127" s="624">
        <f>+IFERROR(VLOOKUP(AG4,ביוביות!$T$18:$V$27,3,0),0)</f>
        <v>0</v>
      </c>
      <c r="AH127" s="624">
        <f>+IFERROR(VLOOKUP(AH4,ביוביות!$T$18:$V$27,3,0),0)</f>
        <v>0</v>
      </c>
      <c r="AI127" s="624">
        <f>+IFERROR(VLOOKUP(AI4,ביוביות!$T$18:$V$27,3,0),0)</f>
        <v>0</v>
      </c>
      <c r="AJ127" s="624">
        <f>+IFERROR(VLOOKUP(AJ4,ביוביות!$T$18:$V$27,3,0),0)</f>
        <v>0</v>
      </c>
      <c r="AK127" s="624">
        <f>+IFERROR(VLOOKUP(AK4,ביוביות!$T$18:$V$27,3,0),0)</f>
        <v>0</v>
      </c>
      <c r="AL127" s="624">
        <f>+IFERROR(VLOOKUP(AL4,ביוביות!$T$18:$V$27,3,0),0)</f>
        <v>0</v>
      </c>
      <c r="AM127" s="624">
        <f>+IFERROR(VLOOKUP(AM4,ביוביות!$T$18:$V$27,3,0),0)</f>
        <v>0</v>
      </c>
      <c r="AN127" s="624">
        <f>+IFERROR(VLOOKUP(AN4,ביוביות!$T$18:$V$27,3,0),0)</f>
        <v>0</v>
      </c>
      <c r="AO127" s="624">
        <f>+IFERROR(VLOOKUP(AO4,ביוביות!$T$18:$V$27,3,0),0)</f>
        <v>0</v>
      </c>
      <c r="AP127" s="624">
        <f>+IFERROR(VLOOKUP(AP4,ביוביות!$T$18:$V$27,3,0),0)</f>
        <v>0</v>
      </c>
      <c r="AQ127" s="624">
        <f>+IFERROR(VLOOKUP(AQ4,ביוביות!$T$18:$V$27,3,0),0)</f>
        <v>0</v>
      </c>
      <c r="AR127" s="624">
        <f>+IFERROR(VLOOKUP(AR4,ביוביות!$T$18:$V$27,3,0),0)</f>
        <v>7.7146307216590687E-2</v>
      </c>
      <c r="AS127" s="624">
        <f>+IFERROR(VLOOKUP(AS4,ביוביות!$T$18:$V$27,3,0),0)</f>
        <v>0</v>
      </c>
      <c r="AT127" s="624">
        <f>+IFERROR(VLOOKUP(AT4,ביוביות!$T$18:$V$27,3,0),0)</f>
        <v>0</v>
      </c>
      <c r="AU127" s="624">
        <f>+IFERROR(VLOOKUP(AU4,ביוביות!$T$18:$V$27,3,0),0)</f>
        <v>0</v>
      </c>
      <c r="AV127" s="624">
        <f>+IFERROR(VLOOKUP(AV4,ביוביות!$T$18:$V$27,3,0),0)</f>
        <v>1.5191701598837743E-2</v>
      </c>
      <c r="AW127" s="624">
        <f>+IFERROR(VLOOKUP(AW4,ביוביות!$T$18:$V$27,3,0),0)</f>
        <v>2.6479715676492259E-2</v>
      </c>
      <c r="AX127" s="624">
        <f>+IFERROR(VLOOKUP(AX4,ביוביות!$T$18:$V$27,3,0),0)</f>
        <v>0</v>
      </c>
      <c r="AY127" s="624">
        <f>+IFERROR(VLOOKUP(AY4,ביוביות!$T$18:$V$27,3,0),0)</f>
        <v>0</v>
      </c>
      <c r="AZ127" s="624">
        <f>+IFERROR(VLOOKUP(AZ4,ביוביות!$T$18:$V$27,3,0),0)</f>
        <v>0</v>
      </c>
      <c r="BA127" s="624">
        <f>+IFERROR(VLOOKUP(BA4,ביוביות!$T$18:$V$27,3,0),0)</f>
        <v>0</v>
      </c>
      <c r="BB127" s="624">
        <f>+IFERROR(VLOOKUP(BB4,ביוביות!$T$18:$V$27,3,0),0)</f>
        <v>8.5061295886562083E-2</v>
      </c>
      <c r="BC127" s="624">
        <f>+IFERROR(VLOOKUP(BC4,ביוביות!$T$18:$V$27,3,0),0)</f>
        <v>0.19519318351630324</v>
      </c>
      <c r="BD127" s="624">
        <f>+IFERROR(VLOOKUP(BD4,ביוביות!$T$18:$V$27,3,0),0)</f>
        <v>0</v>
      </c>
      <c r="BE127" s="624">
        <f>+IFERROR(VLOOKUP(BE4,ביוביות!$T$18:$V$27,3,0),0)</f>
        <v>0</v>
      </c>
      <c r="BF127" s="624">
        <f>+IFERROR(VLOOKUP(BF4,ביוביות!$T$18:$V$27,3,0),0)</f>
        <v>0</v>
      </c>
    </row>
    <row r="128" spans="1:59" x14ac:dyDescent="0.2">
      <c r="A128" s="765"/>
      <c r="B128" s="376"/>
      <c r="C128" s="778"/>
      <c r="D128" s="778"/>
      <c r="E128" s="778"/>
      <c r="F128" s="778"/>
      <c r="G128" s="778"/>
      <c r="H128" s="778"/>
      <c r="I128" s="778"/>
      <c r="J128" s="778"/>
      <c r="K128" s="778"/>
      <c r="L128" s="778"/>
      <c r="M128" s="778"/>
      <c r="N128" s="778"/>
      <c r="O128" s="778"/>
      <c r="P128" s="778"/>
      <c r="Q128" s="778"/>
      <c r="R128" s="778"/>
      <c r="S128" s="778"/>
      <c r="T128" s="778"/>
      <c r="U128" s="778"/>
      <c r="V128" s="778"/>
      <c r="W128" s="778"/>
      <c r="X128" s="778"/>
      <c r="Y128" s="778"/>
      <c r="Z128" s="778"/>
      <c r="AA128" s="778"/>
      <c r="AB128" s="778"/>
      <c r="AC128" s="778"/>
      <c r="AD128" s="778"/>
      <c r="AE128" s="778"/>
      <c r="AF128" s="778"/>
      <c r="AG128" s="778"/>
      <c r="AH128" s="778"/>
      <c r="AI128" s="778"/>
      <c r="AJ128" s="778"/>
      <c r="AK128" s="778"/>
      <c r="AL128" s="778"/>
      <c r="AM128" s="778"/>
      <c r="AN128" s="778"/>
      <c r="AO128" s="778"/>
      <c r="AP128" s="778"/>
      <c r="AQ128" s="778"/>
      <c r="AR128" s="778"/>
      <c r="AS128" s="778"/>
      <c r="AT128" s="778"/>
      <c r="AU128" s="778"/>
      <c r="AV128" s="778"/>
      <c r="AW128" s="778"/>
      <c r="AX128" s="778"/>
      <c r="AY128" s="778"/>
      <c r="AZ128" s="778"/>
      <c r="BA128" s="778"/>
      <c r="BB128" s="778"/>
      <c r="BC128" s="778"/>
      <c r="BD128" s="778"/>
      <c r="BE128" s="778"/>
      <c r="BF128" s="778"/>
    </row>
    <row r="129" spans="1:58" x14ac:dyDescent="0.2">
      <c r="A129" s="765"/>
      <c r="B129" s="376"/>
      <c r="C129" s="778"/>
      <c r="D129" s="778"/>
      <c r="E129" s="778"/>
      <c r="F129" s="778"/>
      <c r="G129" s="778"/>
      <c r="H129" s="778"/>
      <c r="I129" s="778"/>
      <c r="J129" s="778"/>
      <c r="K129" s="778"/>
      <c r="L129" s="778"/>
      <c r="M129" s="778"/>
      <c r="N129" s="778"/>
      <c r="O129" s="778"/>
      <c r="P129" s="778"/>
      <c r="Q129" s="778"/>
      <c r="R129" s="778"/>
      <c r="S129" s="778"/>
      <c r="T129" s="778"/>
      <c r="U129" s="778"/>
      <c r="V129" s="778"/>
      <c r="W129" s="778"/>
      <c r="X129" s="778"/>
      <c r="Y129" s="778"/>
      <c r="Z129" s="778"/>
      <c r="AA129" s="778"/>
      <c r="AB129" s="778"/>
      <c r="AC129" s="778"/>
      <c r="AD129" s="778"/>
      <c r="AE129" s="778"/>
      <c r="AF129" s="778"/>
      <c r="AG129" s="778"/>
      <c r="AH129" s="778"/>
      <c r="AI129" s="778"/>
      <c r="AJ129" s="778"/>
      <c r="AK129" s="778"/>
      <c r="AL129" s="778"/>
      <c r="AM129" s="778"/>
      <c r="AN129" s="778"/>
      <c r="AO129" s="778"/>
      <c r="AP129" s="778"/>
      <c r="AQ129" s="778"/>
      <c r="AR129" s="778"/>
      <c r="AS129" s="778"/>
      <c r="AT129" s="778"/>
      <c r="AU129" s="778"/>
      <c r="AV129" s="778"/>
      <c r="AW129" s="778"/>
      <c r="AX129" s="778"/>
      <c r="AY129" s="778"/>
      <c r="AZ129" s="778"/>
      <c r="BA129" s="778"/>
      <c r="BB129" s="778"/>
      <c r="BC129" s="778"/>
      <c r="BD129" s="778"/>
      <c r="BE129" s="778"/>
      <c r="BF129" s="778"/>
    </row>
    <row r="130" spans="1:58" x14ac:dyDescent="0.2">
      <c r="A130" s="765"/>
      <c r="B130" s="376"/>
      <c r="C130" s="628"/>
      <c r="D130" s="622"/>
      <c r="E130" s="622"/>
      <c r="F130" s="622"/>
      <c r="G130" s="622"/>
      <c r="H130" s="622"/>
      <c r="I130" s="622"/>
      <c r="J130" s="622"/>
      <c r="K130" s="622"/>
      <c r="L130" s="622"/>
      <c r="M130" s="622"/>
      <c r="N130" s="622"/>
      <c r="O130" s="622"/>
      <c r="P130" s="622"/>
      <c r="Q130" s="622"/>
      <c r="R130" s="622"/>
      <c r="S130" s="624"/>
      <c r="T130" s="622"/>
      <c r="U130" s="622"/>
      <c r="V130" s="622"/>
      <c r="W130" s="622"/>
      <c r="X130" s="622"/>
      <c r="Y130" s="622"/>
      <c r="Z130" s="622"/>
      <c r="AA130" s="622"/>
      <c r="AB130" s="622"/>
      <c r="AC130" s="622"/>
      <c r="AD130" s="622"/>
      <c r="AE130" s="622"/>
      <c r="AF130" s="622"/>
      <c r="AG130" s="622"/>
      <c r="AH130" s="622"/>
      <c r="AI130" s="622"/>
      <c r="AJ130" s="622"/>
      <c r="AK130" s="622"/>
      <c r="AL130" s="622"/>
      <c r="AM130" s="622"/>
      <c r="AN130" s="622"/>
      <c r="AO130" s="622"/>
      <c r="AP130" s="622"/>
      <c r="AQ130" s="622"/>
      <c r="AR130" s="622"/>
      <c r="AS130" s="622"/>
      <c r="AT130" s="622"/>
      <c r="AU130" s="622"/>
      <c r="AV130" s="622"/>
      <c r="AW130" s="622"/>
      <c r="AX130" s="622"/>
      <c r="AY130" s="622"/>
      <c r="AZ130" s="622"/>
      <c r="BA130" s="622"/>
      <c r="BB130" s="622"/>
      <c r="BC130" s="622"/>
      <c r="BD130" s="622"/>
      <c r="BE130" s="622"/>
      <c r="BF130" s="622"/>
    </row>
    <row r="131" spans="1:58" x14ac:dyDescent="0.2">
      <c r="A131" s="376" t="s">
        <v>1085</v>
      </c>
      <c r="B131" s="376"/>
      <c r="C131" s="627"/>
      <c r="D131" s="622"/>
      <c r="E131" s="622"/>
      <c r="F131" s="622"/>
      <c r="G131" s="622"/>
      <c r="H131" s="622"/>
      <c r="I131" s="622"/>
      <c r="J131" s="622"/>
      <c r="K131" s="622"/>
      <c r="L131" s="622"/>
      <c r="M131" s="622"/>
      <c r="N131" s="622"/>
      <c r="O131" s="622"/>
      <c r="P131" s="622"/>
      <c r="Q131" s="622"/>
      <c r="R131" s="622"/>
      <c r="S131" s="624"/>
      <c r="T131" s="622"/>
      <c r="U131" s="622"/>
      <c r="V131" s="622"/>
      <c r="W131" s="622"/>
      <c r="X131" s="622"/>
      <c r="Y131" s="622"/>
      <c r="Z131" s="622"/>
      <c r="AA131" s="622"/>
      <c r="AB131" s="622"/>
      <c r="AC131" s="622"/>
      <c r="AD131" s="622"/>
      <c r="AE131" s="622"/>
      <c r="AF131" s="622"/>
      <c r="AG131" s="622"/>
      <c r="AH131" s="622"/>
      <c r="AI131" s="622"/>
      <c r="AJ131" s="622"/>
      <c r="AK131" s="622"/>
      <c r="AL131" s="622"/>
      <c r="AM131" s="622"/>
      <c r="AN131" s="622"/>
      <c r="AO131" s="622"/>
      <c r="AP131" s="622"/>
      <c r="AQ131" s="622"/>
      <c r="AR131" s="622"/>
      <c r="AS131" s="622"/>
      <c r="AT131" s="622"/>
      <c r="AU131" s="622"/>
      <c r="AV131" s="622"/>
      <c r="AW131" s="622"/>
      <c r="AX131" s="622"/>
      <c r="AY131" s="622"/>
      <c r="AZ131" s="622"/>
      <c r="BA131" s="622"/>
      <c r="BB131" s="622"/>
      <c r="BC131" s="622"/>
      <c r="BD131" s="622"/>
      <c r="BE131" s="622"/>
      <c r="BF131" s="622"/>
    </row>
    <row r="132" spans="1:58" ht="12.75" customHeight="1" x14ac:dyDescent="0.2">
      <c r="A132" s="376"/>
      <c r="B132" s="635" t="s">
        <v>1086</v>
      </c>
      <c r="C132" s="781">
        <f>(+C35+C30+C21+C16+C11+C26+C121+C111+C92)</f>
        <v>0.48817978074059254</v>
      </c>
      <c r="D132" s="781">
        <f t="shared" ref="D132:BE132" si="91">+D35+D30+D21+D16+D11+D26+D121+D111+D92</f>
        <v>0.59384079844576954</v>
      </c>
      <c r="E132" s="781">
        <f>+E35+E30+E21+E16+E11+E26+E121+E111+E92</f>
        <v>0.86047311498851364</v>
      </c>
      <c r="F132" s="781">
        <f t="shared" si="91"/>
        <v>0.63667811536950902</v>
      </c>
      <c r="G132" s="781">
        <f t="shared" si="91"/>
        <v>0.52997218476246344</v>
      </c>
      <c r="H132" s="781">
        <f t="shared" si="91"/>
        <v>1.3360122700932222</v>
      </c>
      <c r="I132" s="781">
        <f t="shared" si="91"/>
        <v>0.84018078173149691</v>
      </c>
      <c r="J132" s="781">
        <f t="shared" si="91"/>
        <v>0.58241181536477871</v>
      </c>
      <c r="K132" s="781">
        <f t="shared" si="91"/>
        <v>0.45254124494215536</v>
      </c>
      <c r="L132" s="781">
        <f t="shared" si="91"/>
        <v>0.6432381481187881</v>
      </c>
      <c r="M132" s="781">
        <f t="shared" si="91"/>
        <v>0.55656397511191358</v>
      </c>
      <c r="N132" s="781">
        <f t="shared" si="91"/>
        <v>0.67106812590802511</v>
      </c>
      <c r="O132" s="781">
        <f t="shared" si="91"/>
        <v>0.57772818524989489</v>
      </c>
      <c r="P132" s="781">
        <f>+P35+P30+P21+P16+P11+P26+P121+P111+P92</f>
        <v>1.3146478680909817</v>
      </c>
      <c r="Q132" s="781">
        <f t="shared" si="91"/>
        <v>0.61399642473893234</v>
      </c>
      <c r="R132" s="781">
        <f t="shared" si="91"/>
        <v>0.54382535552568223</v>
      </c>
      <c r="S132" s="781">
        <f t="shared" si="91"/>
        <v>0.71599194388729481</v>
      </c>
      <c r="T132" s="781">
        <f t="shared" si="91"/>
        <v>0.7558059669310605</v>
      </c>
      <c r="U132" s="781">
        <f t="shared" si="91"/>
        <v>0.41727111727393429</v>
      </c>
      <c r="V132" s="781">
        <f t="shared" si="91"/>
        <v>0.92790036487000571</v>
      </c>
      <c r="W132" s="781">
        <f t="shared" si="91"/>
        <v>0.73758378662063906</v>
      </c>
      <c r="X132" s="781">
        <f t="shared" si="91"/>
        <v>0.68264908561030757</v>
      </c>
      <c r="Y132" s="781">
        <f t="shared" si="91"/>
        <v>0.72671931011332214</v>
      </c>
      <c r="Z132" s="781">
        <f t="shared" si="91"/>
        <v>0.70669813069424903</v>
      </c>
      <c r="AA132" s="781">
        <f t="shared" si="91"/>
        <v>0.77526282274873104</v>
      </c>
      <c r="AB132" s="781">
        <f t="shared" si="91"/>
        <v>0.3631838665101913</v>
      </c>
      <c r="AC132" s="781">
        <f t="shared" si="91"/>
        <v>0.55020218192029124</v>
      </c>
      <c r="AD132" s="781">
        <f t="shared" si="91"/>
        <v>0.76257305289015886</v>
      </c>
      <c r="AE132" s="781">
        <f t="shared" si="91"/>
        <v>1.0112525087933621</v>
      </c>
      <c r="AF132" s="781">
        <f t="shared" si="91"/>
        <v>0.62409988034709718</v>
      </c>
      <c r="AG132" s="781">
        <f t="shared" si="91"/>
        <v>0.6410265745281355</v>
      </c>
      <c r="AH132" s="781">
        <f t="shared" si="91"/>
        <v>0.68612168778427407</v>
      </c>
      <c r="AI132" s="781">
        <f t="shared" si="91"/>
        <v>0.71149168175456301</v>
      </c>
      <c r="AJ132" s="781">
        <f t="shared" si="91"/>
        <v>0.49134472512925348</v>
      </c>
      <c r="AK132" s="781">
        <f t="shared" si="91"/>
        <v>0.4708338158577855</v>
      </c>
      <c r="AL132" s="781">
        <f t="shared" si="91"/>
        <v>0.53287545589408469</v>
      </c>
      <c r="AM132" s="781">
        <f t="shared" si="91"/>
        <v>0.71351081637670988</v>
      </c>
      <c r="AN132" s="781">
        <f t="shared" si="91"/>
        <v>0.62890364499298623</v>
      </c>
      <c r="AO132" s="781">
        <f t="shared" si="91"/>
        <v>0.64682283021946552</v>
      </c>
      <c r="AP132" s="781">
        <f t="shared" si="91"/>
        <v>0.53373496587568325</v>
      </c>
      <c r="AQ132" s="781">
        <f t="shared" si="91"/>
        <v>0.71551734252372301</v>
      </c>
      <c r="AR132" s="781">
        <f t="shared" si="91"/>
        <v>0.9749013052764709</v>
      </c>
      <c r="AS132" s="781">
        <f t="shared" si="91"/>
        <v>0.74267143440787942</v>
      </c>
      <c r="AT132" s="781">
        <f t="shared" si="91"/>
        <v>0.42690183315283603</v>
      </c>
      <c r="AU132" s="781">
        <f t="shared" si="91"/>
        <v>0.77893013132611333</v>
      </c>
      <c r="AV132" s="781">
        <f t="shared" si="91"/>
        <v>0.78753331968407403</v>
      </c>
      <c r="AW132" s="781">
        <f t="shared" si="91"/>
        <v>0.67221143719054477</v>
      </c>
      <c r="AX132" s="781">
        <f>+AX35+AX30+AX21+AX16+AX11+AX26+AX121+AX111+AX92</f>
        <v>0.45076972755082584</v>
      </c>
      <c r="AY132" s="781">
        <f t="shared" si="91"/>
        <v>0.60976895425942379</v>
      </c>
      <c r="AZ132" s="781">
        <f t="shared" si="91"/>
        <v>0.77355883953692495</v>
      </c>
      <c r="BA132" s="781">
        <f t="shared" si="91"/>
        <v>0.52797460354619719</v>
      </c>
      <c r="BB132" s="781">
        <f t="shared" si="91"/>
        <v>0.5030812909779071</v>
      </c>
      <c r="BC132" s="781">
        <f t="shared" si="91"/>
        <v>0.5374702866061829</v>
      </c>
      <c r="BD132" s="781">
        <f t="shared" si="91"/>
        <v>0.71939776744395156</v>
      </c>
      <c r="BE132" s="781">
        <f t="shared" si="91"/>
        <v>0.75174991827573656</v>
      </c>
      <c r="BF132" s="781">
        <f t="shared" ref="BF132" si="92">+BF35+BF30+BF21+BF16+BF11+BF26+BF121+BF111+BF92</f>
        <v>0.43265632812587951</v>
      </c>
    </row>
    <row r="133" spans="1:58" x14ac:dyDescent="0.2">
      <c r="A133" s="376"/>
      <c r="B133" s="376"/>
      <c r="C133" s="624"/>
      <c r="D133" s="624"/>
      <c r="E133" s="624"/>
      <c r="F133" s="624"/>
      <c r="G133" s="624"/>
      <c r="H133" s="624"/>
      <c r="I133" s="624"/>
      <c r="J133" s="624"/>
      <c r="K133" s="624"/>
      <c r="L133" s="624"/>
      <c r="M133" s="624"/>
      <c r="N133" s="624"/>
      <c r="O133" s="624"/>
      <c r="P133" s="624"/>
      <c r="Q133" s="624"/>
      <c r="R133" s="624"/>
      <c r="S133" s="624"/>
      <c r="T133" s="624"/>
      <c r="U133" s="624"/>
      <c r="V133" s="624"/>
      <c r="W133" s="624"/>
      <c r="X133" s="624"/>
      <c r="Y133" s="624"/>
      <c r="Z133" s="624"/>
      <c r="AA133" s="624"/>
      <c r="AB133" s="624"/>
      <c r="AC133" s="624"/>
      <c r="AD133" s="624"/>
      <c r="AE133" s="624"/>
      <c r="AF133" s="624"/>
      <c r="AG133" s="624"/>
      <c r="AH133" s="624"/>
      <c r="AI133" s="624"/>
      <c r="AJ133" s="624"/>
      <c r="AK133" s="624"/>
      <c r="AL133" s="624"/>
      <c r="AM133" s="624"/>
      <c r="AN133" s="624"/>
      <c r="AO133" s="624"/>
      <c r="AP133" s="624"/>
      <c r="AQ133" s="624"/>
      <c r="AR133" s="624"/>
      <c r="AS133" s="624"/>
      <c r="AT133" s="624"/>
      <c r="AU133" s="624"/>
      <c r="AV133" s="624"/>
      <c r="AW133" s="624"/>
      <c r="AX133" s="624"/>
      <c r="AY133" s="624"/>
      <c r="AZ133" s="624"/>
      <c r="BA133" s="624"/>
      <c r="BB133" s="624"/>
      <c r="BC133" s="624"/>
      <c r="BD133" s="624"/>
      <c r="BE133" s="624"/>
      <c r="BF133" s="624"/>
    </row>
    <row r="134" spans="1:58" ht="12.75" customHeight="1" x14ac:dyDescent="0.2">
      <c r="A134" s="376"/>
      <c r="B134" s="635" t="s">
        <v>1087</v>
      </c>
      <c r="C134" s="781">
        <f>+C65+C60+C56+C51+C46+C41+C114+C117+C125+C97+C127</f>
        <v>0.19099581059838663</v>
      </c>
      <c r="D134" s="781">
        <f t="shared" ref="D134:BE134" si="93">+D65+D60+D56+D51+D46+D41+D114+D117+D125+D97+D127</f>
        <v>0.32134184251450681</v>
      </c>
      <c r="E134" s="781">
        <f t="shared" si="93"/>
        <v>0.64315902252739066</v>
      </c>
      <c r="F134" s="781">
        <f t="shared" si="93"/>
        <v>0.3217827360028041</v>
      </c>
      <c r="G134" s="781">
        <f t="shared" si="93"/>
        <v>0.46875408118359541</v>
      </c>
      <c r="H134" s="781">
        <f t="shared" si="93"/>
        <v>0.96229734675442291</v>
      </c>
      <c r="I134" s="781">
        <f t="shared" si="93"/>
        <v>0.84026195380352442</v>
      </c>
      <c r="J134" s="781">
        <f t="shared" si="93"/>
        <v>0.34901218918862498</v>
      </c>
      <c r="K134" s="781">
        <f t="shared" si="93"/>
        <v>0.70753050573381093</v>
      </c>
      <c r="L134" s="781">
        <f t="shared" si="93"/>
        <v>0.47914819664506525</v>
      </c>
      <c r="M134" s="781">
        <f t="shared" si="93"/>
        <v>0.48420194561947105</v>
      </c>
      <c r="N134" s="781">
        <f t="shared" si="93"/>
        <v>0.72737390337436481</v>
      </c>
      <c r="O134" s="781">
        <f t="shared" si="93"/>
        <v>0.52299186191664571</v>
      </c>
      <c r="P134" s="781">
        <f t="shared" si="93"/>
        <v>0.77534586511776205</v>
      </c>
      <c r="Q134" s="781">
        <f t="shared" si="93"/>
        <v>0.43205294222515983</v>
      </c>
      <c r="R134" s="781">
        <f t="shared" si="93"/>
        <v>0.33712058128812361</v>
      </c>
      <c r="S134" s="781">
        <f t="shared" si="93"/>
        <v>0.29107179479674528</v>
      </c>
      <c r="T134" s="781">
        <f t="shared" si="93"/>
        <v>0.48851205122168773</v>
      </c>
      <c r="U134" s="781">
        <f t="shared" si="93"/>
        <v>0.5589308437076278</v>
      </c>
      <c r="V134" s="781">
        <f t="shared" si="93"/>
        <v>0.80324986575000112</v>
      </c>
      <c r="W134" s="781">
        <f t="shared" si="93"/>
        <v>0.41881954341615091</v>
      </c>
      <c r="X134" s="781">
        <f t="shared" si="93"/>
        <v>0.411825369228702</v>
      </c>
      <c r="Y134" s="781">
        <f t="shared" si="93"/>
        <v>1.0132561066205594</v>
      </c>
      <c r="Z134" s="781">
        <f t="shared" si="93"/>
        <v>0.60570621493510957</v>
      </c>
      <c r="AA134" s="781">
        <f t="shared" si="93"/>
        <v>0.57346397424366335</v>
      </c>
      <c r="AB134" s="781">
        <f t="shared" si="93"/>
        <v>0.23307528604455502</v>
      </c>
      <c r="AC134" s="781">
        <f t="shared" si="93"/>
        <v>0.45191071042673381</v>
      </c>
      <c r="AD134" s="781">
        <f t="shared" si="93"/>
        <v>0.50193766506345572</v>
      </c>
      <c r="AE134" s="781">
        <f t="shared" si="93"/>
        <v>0.56122531762614014</v>
      </c>
      <c r="AF134" s="781">
        <f t="shared" si="93"/>
        <v>0.6053683069824578</v>
      </c>
      <c r="AG134" s="781">
        <f t="shared" si="93"/>
        <v>0.38400720707028357</v>
      </c>
      <c r="AH134" s="781">
        <f t="shared" si="93"/>
        <v>0.38806704069916453</v>
      </c>
      <c r="AI134" s="781">
        <f t="shared" si="93"/>
        <v>0.90260792079220797</v>
      </c>
      <c r="AJ134" s="781">
        <f t="shared" si="93"/>
        <v>0.69921651109658278</v>
      </c>
      <c r="AK134" s="781">
        <f t="shared" si="93"/>
        <v>0.34688047034372405</v>
      </c>
      <c r="AL134" s="781">
        <f t="shared" si="93"/>
        <v>0.33122469912398761</v>
      </c>
      <c r="AM134" s="781">
        <f t="shared" si="93"/>
        <v>0.62624671032239709</v>
      </c>
      <c r="AN134" s="781">
        <f t="shared" si="93"/>
        <v>0.30708770461837326</v>
      </c>
      <c r="AO134" s="781">
        <f t="shared" si="93"/>
        <v>0.3174394369046189</v>
      </c>
      <c r="AP134" s="781">
        <f t="shared" si="93"/>
        <v>0.30587098816388669</v>
      </c>
      <c r="AQ134" s="781">
        <f t="shared" si="93"/>
        <v>0.317014616966593</v>
      </c>
      <c r="AR134" s="781">
        <f t="shared" si="93"/>
        <v>0.85510315776666468</v>
      </c>
      <c r="AS134" s="781">
        <f t="shared" si="93"/>
        <v>0.73188714543364308</v>
      </c>
      <c r="AT134" s="781">
        <f t="shared" si="93"/>
        <v>0.50137264848193086</v>
      </c>
      <c r="AU134" s="781">
        <f t="shared" si="93"/>
        <v>0.52801049592762894</v>
      </c>
      <c r="AV134" s="781">
        <f t="shared" si="93"/>
        <v>0.49870194504650428</v>
      </c>
      <c r="AW134" s="781">
        <f t="shared" si="93"/>
        <v>0.4461387123570027</v>
      </c>
      <c r="AX134" s="781">
        <f t="shared" si="93"/>
        <v>0.35538124584524861</v>
      </c>
      <c r="AY134" s="781">
        <f t="shared" si="93"/>
        <v>0.59424898904955503</v>
      </c>
      <c r="AZ134" s="781">
        <f t="shared" si="93"/>
        <v>0.61918268411211164</v>
      </c>
      <c r="BA134" s="781">
        <f t="shared" si="93"/>
        <v>0.36913623476562429</v>
      </c>
      <c r="BB134" s="781">
        <f t="shared" si="93"/>
        <v>0.62308664775421219</v>
      </c>
      <c r="BC134" s="781">
        <f t="shared" si="93"/>
        <v>1.2659344220620519</v>
      </c>
      <c r="BD134" s="781">
        <f t="shared" si="93"/>
        <v>0.47407290653140399</v>
      </c>
      <c r="BE134" s="781">
        <f t="shared" si="93"/>
        <v>0.51956685744078968</v>
      </c>
      <c r="BF134" s="781">
        <f t="shared" ref="BF134" si="94">+BF65+BF60+BF56+BF51+BF46+BF41+BF114+BF117+BF125+BF97+BF127</f>
        <v>0.67779109899068424</v>
      </c>
    </row>
    <row r="135" spans="1:58" ht="12.75" customHeight="1" x14ac:dyDescent="0.2">
      <c r="A135" s="376"/>
      <c r="B135" s="376"/>
      <c r="C135" s="782"/>
      <c r="D135" s="782"/>
      <c r="E135" s="782"/>
      <c r="F135" s="782"/>
      <c r="G135" s="782"/>
      <c r="H135" s="782"/>
      <c r="I135" s="782"/>
      <c r="J135" s="782"/>
      <c r="K135" s="782"/>
      <c r="L135" s="782"/>
      <c r="M135" s="782"/>
      <c r="N135" s="782"/>
      <c r="O135" s="782"/>
      <c r="P135" s="782"/>
      <c r="Q135" s="782"/>
      <c r="R135" s="782"/>
      <c r="S135" s="782"/>
      <c r="T135" s="782"/>
      <c r="U135" s="782"/>
      <c r="V135" s="782"/>
      <c r="W135" s="782"/>
      <c r="X135" s="782"/>
      <c r="Y135" s="782"/>
      <c r="Z135" s="782"/>
      <c r="AA135" s="782"/>
      <c r="AB135" s="782"/>
      <c r="AC135" s="782"/>
      <c r="AD135" s="782"/>
      <c r="AE135" s="782"/>
      <c r="AF135" s="782"/>
      <c r="AG135" s="782"/>
      <c r="AH135" s="782"/>
      <c r="AI135" s="782"/>
      <c r="AJ135" s="782"/>
      <c r="AK135" s="782"/>
      <c r="AL135" s="782"/>
      <c r="AM135" s="782"/>
      <c r="AN135" s="782"/>
      <c r="AO135" s="782"/>
      <c r="AP135" s="782"/>
      <c r="AQ135" s="782"/>
      <c r="AR135" s="782"/>
      <c r="AS135" s="782"/>
      <c r="AT135" s="782"/>
      <c r="AU135" s="782"/>
      <c r="AV135" s="782"/>
      <c r="AW135" s="782"/>
      <c r="AX135" s="782"/>
      <c r="AY135" s="782"/>
      <c r="AZ135" s="782"/>
      <c r="BA135" s="782"/>
      <c r="BB135" s="782"/>
      <c r="BC135" s="782"/>
      <c r="BD135" s="782"/>
      <c r="BE135" s="782"/>
      <c r="BF135" s="782"/>
    </row>
    <row r="136" spans="1:58" ht="12.75" customHeight="1" x14ac:dyDescent="0.2">
      <c r="A136" s="376"/>
      <c r="B136" s="635" t="s">
        <v>1088</v>
      </c>
      <c r="C136" s="781">
        <f>+C75+C81+C87+C102+C107</f>
        <v>0.42627474780674174</v>
      </c>
      <c r="D136" s="781">
        <f t="shared" ref="D136:BE136" si="95">+D75+D81+D87+D102+D107</f>
        <v>0.31324106503115368</v>
      </c>
      <c r="E136" s="781">
        <f t="shared" si="95"/>
        <v>0.5125508437521441</v>
      </c>
      <c r="F136" s="781">
        <f t="shared" si="95"/>
        <v>0.36492328633092719</v>
      </c>
      <c r="G136" s="781">
        <f t="shared" si="95"/>
        <v>0.48671976844497655</v>
      </c>
      <c r="H136" s="781">
        <f t="shared" si="95"/>
        <v>1.1801935247403987</v>
      </c>
      <c r="I136" s="781">
        <f t="shared" si="95"/>
        <v>0.35602775273154175</v>
      </c>
      <c r="J136" s="781">
        <f t="shared" si="95"/>
        <v>0.40995433345671212</v>
      </c>
      <c r="K136" s="781">
        <f t="shared" si="95"/>
        <v>0.38367191602807887</v>
      </c>
      <c r="L136" s="781">
        <f t="shared" si="95"/>
        <v>0.53011719354563314</v>
      </c>
      <c r="M136" s="781">
        <f t="shared" si="95"/>
        <v>0.42118219242350263</v>
      </c>
      <c r="N136" s="781">
        <f t="shared" si="95"/>
        <v>0.32165045068545189</v>
      </c>
      <c r="O136" s="781">
        <f t="shared" si="95"/>
        <v>0.35577130163301735</v>
      </c>
      <c r="P136" s="781">
        <f t="shared" si="95"/>
        <v>0.57077705972167436</v>
      </c>
      <c r="Q136" s="781">
        <f t="shared" si="95"/>
        <v>0.45946581138462517</v>
      </c>
      <c r="R136" s="781">
        <f t="shared" si="95"/>
        <v>0.41345589495416057</v>
      </c>
      <c r="S136" s="781">
        <f t="shared" si="95"/>
        <v>0.42683704775577685</v>
      </c>
      <c r="T136" s="781">
        <f t="shared" si="95"/>
        <v>0.36360661568416336</v>
      </c>
      <c r="U136" s="781">
        <f t="shared" si="95"/>
        <v>0.78696324929797024</v>
      </c>
      <c r="V136" s="781">
        <f t="shared" si="95"/>
        <v>0.55130216141717203</v>
      </c>
      <c r="W136" s="781">
        <f t="shared" si="95"/>
        <v>0.36602648607383881</v>
      </c>
      <c r="X136" s="781">
        <f t="shared" si="95"/>
        <v>0.33374831445252207</v>
      </c>
      <c r="Y136" s="781">
        <f t="shared" si="95"/>
        <v>0.54367982417481442</v>
      </c>
      <c r="Z136" s="781">
        <f t="shared" si="95"/>
        <v>0.41093459876680494</v>
      </c>
      <c r="AA136" s="781">
        <f t="shared" si="95"/>
        <v>0.3738206258548657</v>
      </c>
      <c r="AB136" s="781">
        <f t="shared" si="95"/>
        <v>1.6962680709427942</v>
      </c>
      <c r="AC136" s="781">
        <f t="shared" si="95"/>
        <v>0.35614830527371677</v>
      </c>
      <c r="AD136" s="781">
        <f t="shared" si="95"/>
        <v>0.39555342055643861</v>
      </c>
      <c r="AE136" s="781">
        <f t="shared" si="95"/>
        <v>0.52577494190519936</v>
      </c>
      <c r="AF136" s="781">
        <f t="shared" si="95"/>
        <v>0.38114094109985297</v>
      </c>
      <c r="AG136" s="781">
        <f t="shared" si="95"/>
        <v>0.47894129047064377</v>
      </c>
      <c r="AH136" s="781">
        <f t="shared" si="95"/>
        <v>0.28744656463155799</v>
      </c>
      <c r="AI136" s="781">
        <f t="shared" si="95"/>
        <v>0.3147842246946827</v>
      </c>
      <c r="AJ136" s="781">
        <f t="shared" si="95"/>
        <v>0.44158128645789846</v>
      </c>
      <c r="AK136" s="781">
        <f t="shared" si="95"/>
        <v>0.47778724125790728</v>
      </c>
      <c r="AL136" s="781">
        <f t="shared" si="95"/>
        <v>0.42329027388748552</v>
      </c>
      <c r="AM136" s="781">
        <f t="shared" si="95"/>
        <v>0.31417238339352233</v>
      </c>
      <c r="AN136" s="781">
        <f t="shared" si="95"/>
        <v>0.42180947270571911</v>
      </c>
      <c r="AO136" s="781">
        <f t="shared" si="95"/>
        <v>0.46806229238596464</v>
      </c>
      <c r="AP136" s="781">
        <f t="shared" si="95"/>
        <v>0.46282940983124843</v>
      </c>
      <c r="AQ136" s="781">
        <f t="shared" si="95"/>
        <v>0.36320128946297392</v>
      </c>
      <c r="AR136" s="781">
        <f t="shared" si="95"/>
        <v>0.33121025046629654</v>
      </c>
      <c r="AS136" s="781">
        <f t="shared" si="95"/>
        <v>0.46568268311059524</v>
      </c>
      <c r="AT136" s="781">
        <f t="shared" si="95"/>
        <v>0.41815771328076778</v>
      </c>
      <c r="AU136" s="781">
        <f t="shared" si="95"/>
        <v>0.34209796456709063</v>
      </c>
      <c r="AV136" s="781">
        <f t="shared" si="95"/>
        <v>0.41079354994472639</v>
      </c>
      <c r="AW136" s="781">
        <f t="shared" si="95"/>
        <v>0.4231217054779764</v>
      </c>
      <c r="AX136" s="781">
        <f t="shared" si="95"/>
        <v>0.46265496824252611</v>
      </c>
      <c r="AY136" s="781">
        <f t="shared" si="95"/>
        <v>0.44166886578242437</v>
      </c>
      <c r="AZ136" s="781">
        <f>+AZ75+AZ81+AZ87+AZ102+AZ107</f>
        <v>0.3416229117740277</v>
      </c>
      <c r="BA136" s="781">
        <f t="shared" si="95"/>
        <v>0.34325231955843177</v>
      </c>
      <c r="BB136" s="781">
        <f t="shared" si="95"/>
        <v>0.30528527348157602</v>
      </c>
      <c r="BC136" s="781">
        <f t="shared" si="95"/>
        <v>0.24603724139206229</v>
      </c>
      <c r="BD136" s="781">
        <f t="shared" si="95"/>
        <v>0.53271113568158168</v>
      </c>
      <c r="BE136" s="781">
        <f t="shared" si="95"/>
        <v>0.36963050168978284</v>
      </c>
      <c r="BF136" s="781">
        <f t="shared" ref="BF136" si="96">+BF75+BF81+BF87+BF102+BF107</f>
        <v>0.35057128777819535</v>
      </c>
    </row>
    <row r="137" spans="1:58" ht="12.75" customHeight="1" x14ac:dyDescent="0.2">
      <c r="A137" s="376"/>
      <c r="B137" s="376"/>
      <c r="C137" s="782"/>
      <c r="D137" s="782"/>
      <c r="E137" s="782"/>
      <c r="F137" s="782"/>
      <c r="G137" s="782"/>
      <c r="H137" s="782"/>
      <c r="I137" s="782"/>
      <c r="J137" s="782"/>
      <c r="K137" s="782"/>
      <c r="L137" s="782"/>
      <c r="M137" s="782"/>
      <c r="N137" s="782"/>
      <c r="O137" s="782"/>
      <c r="P137" s="782"/>
      <c r="Q137" s="782"/>
      <c r="R137" s="782"/>
      <c r="S137" s="782"/>
      <c r="T137" s="782"/>
      <c r="U137" s="782"/>
      <c r="V137" s="782"/>
      <c r="W137" s="782"/>
      <c r="X137" s="782"/>
      <c r="Y137" s="782"/>
      <c r="Z137" s="782"/>
      <c r="AA137" s="782"/>
      <c r="AB137" s="782"/>
      <c r="AC137" s="782"/>
      <c r="AD137" s="782"/>
      <c r="AE137" s="782"/>
      <c r="AF137" s="782"/>
      <c r="AG137" s="782"/>
      <c r="AH137" s="782"/>
      <c r="AI137" s="782"/>
      <c r="AJ137" s="782"/>
      <c r="AK137" s="782"/>
      <c r="AL137" s="782"/>
      <c r="AM137" s="782"/>
      <c r="AN137" s="782"/>
      <c r="AO137" s="782"/>
      <c r="AP137" s="782"/>
      <c r="AQ137" s="782"/>
      <c r="AR137" s="782"/>
      <c r="AS137" s="782"/>
      <c r="AT137" s="782"/>
      <c r="AU137" s="782"/>
      <c r="AV137" s="782"/>
      <c r="AW137" s="782"/>
      <c r="AX137" s="782"/>
      <c r="AY137" s="782"/>
      <c r="AZ137" s="782"/>
      <c r="BA137" s="782"/>
      <c r="BB137" s="782"/>
      <c r="BC137" s="782"/>
      <c r="BD137" s="782"/>
      <c r="BE137" s="782"/>
      <c r="BF137" s="782"/>
    </row>
    <row r="138" spans="1:58" ht="12.75" customHeight="1" x14ac:dyDescent="0.2">
      <c r="A138" s="376"/>
      <c r="B138" s="635" t="s">
        <v>1089</v>
      </c>
      <c r="C138" s="781">
        <f>+C73</f>
        <v>0.15392808447509845</v>
      </c>
      <c r="D138" s="781">
        <f t="shared" ref="D138:BE138" si="97">+D73</f>
        <v>0.15495381122127339</v>
      </c>
      <c r="E138" s="781">
        <f t="shared" si="97"/>
        <v>0.28438617604280275</v>
      </c>
      <c r="F138" s="781">
        <f t="shared" si="97"/>
        <v>0.1430695989196156</v>
      </c>
      <c r="G138" s="781">
        <f t="shared" si="97"/>
        <v>0.15337134010851036</v>
      </c>
      <c r="H138" s="781">
        <f t="shared" si="97"/>
        <v>0.94013720218689367</v>
      </c>
      <c r="I138" s="781">
        <f t="shared" si="97"/>
        <v>0.15495381122127339</v>
      </c>
      <c r="J138" s="781">
        <f t="shared" si="97"/>
        <v>0.14690955091445757</v>
      </c>
      <c r="K138" s="781">
        <f t="shared" si="97"/>
        <v>0.14494880909733729</v>
      </c>
      <c r="L138" s="781">
        <f t="shared" si="97"/>
        <v>0.15495381122127339</v>
      </c>
      <c r="M138" s="781">
        <f t="shared" si="97"/>
        <v>0.14690955091445757</v>
      </c>
      <c r="N138" s="781">
        <f t="shared" si="97"/>
        <v>0.14690955091445757</v>
      </c>
      <c r="O138" s="781">
        <f t="shared" si="97"/>
        <v>0.15251039020435345</v>
      </c>
      <c r="P138" s="781">
        <f t="shared" si="97"/>
        <v>0.28438617604280275</v>
      </c>
      <c r="Q138" s="781">
        <f t="shared" si="97"/>
        <v>0.15015694078694156</v>
      </c>
      <c r="R138" s="781">
        <f t="shared" si="97"/>
        <v>0.15251039020435345</v>
      </c>
      <c r="S138" s="781">
        <f t="shared" si="97"/>
        <v>0.15392808447509845</v>
      </c>
      <c r="T138" s="781">
        <f t="shared" si="97"/>
        <v>0.14494880909733729</v>
      </c>
      <c r="U138" s="781">
        <f t="shared" si="97"/>
        <v>0.26641891145794749</v>
      </c>
      <c r="V138" s="781">
        <f t="shared" si="97"/>
        <v>0.28438617604280275</v>
      </c>
      <c r="W138" s="781">
        <f t="shared" si="97"/>
        <v>0.14494880909733729</v>
      </c>
      <c r="X138" s="781">
        <f t="shared" si="97"/>
        <v>0.14494880909733729</v>
      </c>
      <c r="Y138" s="781">
        <f t="shared" si="97"/>
        <v>0.23402141485415306</v>
      </c>
      <c r="Z138" s="781">
        <f t="shared" si="97"/>
        <v>0.15325341624265737</v>
      </c>
      <c r="AA138" s="781">
        <f t="shared" si="97"/>
        <v>0.16255385228748798</v>
      </c>
      <c r="AB138" s="781">
        <f t="shared" si="97"/>
        <v>0.15015694078694156</v>
      </c>
      <c r="AC138" s="781">
        <f t="shared" si="97"/>
        <v>0.16255385228748798</v>
      </c>
      <c r="AD138" s="781">
        <f t="shared" si="97"/>
        <v>0.16255385228748798</v>
      </c>
      <c r="AE138" s="781">
        <f t="shared" si="97"/>
        <v>0.15325341624265737</v>
      </c>
      <c r="AF138" s="781">
        <f t="shared" si="97"/>
        <v>0.15337134010851036</v>
      </c>
      <c r="AG138" s="781">
        <f t="shared" si="97"/>
        <v>0.23402141485415306</v>
      </c>
      <c r="AH138" s="781">
        <f t="shared" si="97"/>
        <v>0.15015694078694156</v>
      </c>
      <c r="AI138" s="781">
        <f t="shared" si="97"/>
        <v>0.15392808447509845</v>
      </c>
      <c r="AJ138" s="781">
        <f t="shared" si="97"/>
        <v>0.15325341624265737</v>
      </c>
      <c r="AK138" s="781">
        <f t="shared" si="97"/>
        <v>0.15325341624265737</v>
      </c>
      <c r="AL138" s="781">
        <f t="shared" si="97"/>
        <v>0.13852139923713308</v>
      </c>
      <c r="AM138" s="781">
        <f t="shared" si="97"/>
        <v>0.14690955091445757</v>
      </c>
      <c r="AN138" s="781">
        <f t="shared" si="97"/>
        <v>0.13852139923713308</v>
      </c>
      <c r="AO138" s="781">
        <f t="shared" si="97"/>
        <v>0.13852139923713308</v>
      </c>
      <c r="AP138" s="781">
        <f t="shared" si="97"/>
        <v>0.15251039020435345</v>
      </c>
      <c r="AQ138" s="781">
        <f t="shared" si="97"/>
        <v>0.15392808447509845</v>
      </c>
      <c r="AR138" s="781">
        <f t="shared" si="97"/>
        <v>0.15495381122127339</v>
      </c>
      <c r="AS138" s="781">
        <f t="shared" si="97"/>
        <v>0.15325341624265737</v>
      </c>
      <c r="AT138" s="781">
        <f t="shared" si="97"/>
        <v>0.15325341624265737</v>
      </c>
      <c r="AU138" s="781">
        <f t="shared" si="97"/>
        <v>0.16255385228748798</v>
      </c>
      <c r="AV138" s="781">
        <f t="shared" si="97"/>
        <v>0.23402141485415306</v>
      </c>
      <c r="AW138" s="781">
        <f t="shared" si="97"/>
        <v>0.23402141485415306</v>
      </c>
      <c r="AX138" s="781">
        <f t="shared" si="97"/>
        <v>0.15337134010851036</v>
      </c>
      <c r="AY138" s="781">
        <f t="shared" si="97"/>
        <v>0.15015694078694156</v>
      </c>
      <c r="AZ138" s="781">
        <f t="shared" si="97"/>
        <v>0.15495381122127339</v>
      </c>
      <c r="BA138" s="781">
        <f t="shared" si="97"/>
        <v>0.14494880909733729</v>
      </c>
      <c r="BB138" s="781">
        <f t="shared" si="97"/>
        <v>0.16255385228748798</v>
      </c>
      <c r="BC138" s="781">
        <f t="shared" si="97"/>
        <v>0.15015694078694156</v>
      </c>
      <c r="BD138" s="781">
        <f t="shared" si="97"/>
        <v>0.16255385228748798</v>
      </c>
      <c r="BE138" s="781">
        <f t="shared" si="97"/>
        <v>0.15392808447509845</v>
      </c>
      <c r="BF138" s="781">
        <f t="shared" ref="BF138" si="98">+BF73</f>
        <v>0.15251039020435345</v>
      </c>
    </row>
    <row r="139" spans="1:58" ht="12.75" customHeight="1" x14ac:dyDescent="0.2">
      <c r="A139" s="376"/>
      <c r="B139" s="376"/>
      <c r="C139" s="783"/>
      <c r="D139" s="783"/>
      <c r="E139" s="783"/>
      <c r="F139" s="783"/>
      <c r="G139" s="783"/>
      <c r="H139" s="783"/>
      <c r="I139" s="783"/>
      <c r="J139" s="783"/>
      <c r="K139" s="783"/>
      <c r="L139" s="783"/>
      <c r="M139" s="783"/>
      <c r="N139" s="783"/>
      <c r="O139" s="783"/>
      <c r="P139" s="783"/>
      <c r="Q139" s="783"/>
      <c r="R139" s="783"/>
      <c r="S139" s="783"/>
      <c r="T139" s="783"/>
      <c r="U139" s="783"/>
      <c r="V139" s="783"/>
      <c r="W139" s="783"/>
      <c r="X139" s="783"/>
      <c r="Y139" s="783"/>
      <c r="Z139" s="783"/>
      <c r="AA139" s="783"/>
      <c r="AB139" s="783"/>
      <c r="AC139" s="783"/>
      <c r="AD139" s="783"/>
      <c r="AE139" s="783"/>
      <c r="AF139" s="783"/>
      <c r="AG139" s="783"/>
      <c r="AH139" s="783"/>
      <c r="AI139" s="783"/>
      <c r="AJ139" s="783"/>
      <c r="AK139" s="783"/>
      <c r="AL139" s="783"/>
      <c r="AM139" s="783"/>
      <c r="AN139" s="783"/>
      <c r="AO139" s="783"/>
      <c r="AP139" s="783"/>
      <c r="AQ139" s="783"/>
      <c r="AR139" s="783"/>
      <c r="AS139" s="783"/>
      <c r="AT139" s="783"/>
      <c r="AU139" s="783"/>
      <c r="AV139" s="783"/>
      <c r="AW139" s="783"/>
      <c r="AX139" s="783"/>
      <c r="AY139" s="783"/>
      <c r="AZ139" s="783"/>
      <c r="BA139" s="783"/>
      <c r="BB139" s="783"/>
      <c r="BC139" s="783"/>
      <c r="BD139" s="783"/>
      <c r="BE139" s="783"/>
      <c r="BF139" s="783"/>
    </row>
    <row r="140" spans="1:58" ht="12.75" customHeight="1" x14ac:dyDescent="0.2">
      <c r="A140" s="376"/>
      <c r="B140" s="376" t="s">
        <v>1090</v>
      </c>
      <c r="C140" s="783">
        <f>+C132+C134+C138+C136</f>
        <v>1.2593784236208194</v>
      </c>
      <c r="D140" s="783">
        <f>+D132+D134+D138+D136</f>
        <v>1.3833775172127034</v>
      </c>
      <c r="E140" s="783">
        <f t="shared" ref="E140:BE140" si="99">+E132+E134+E138+E136</f>
        <v>2.3005691573108513</v>
      </c>
      <c r="F140" s="783">
        <f t="shared" si="99"/>
        <v>1.4664537366228561</v>
      </c>
      <c r="G140" s="783">
        <f t="shared" si="99"/>
        <v>1.6388173744995456</v>
      </c>
      <c r="H140" s="783">
        <f t="shared" si="99"/>
        <v>4.4186403437749373</v>
      </c>
      <c r="I140" s="783">
        <f t="shared" si="99"/>
        <v>2.1914242994878363</v>
      </c>
      <c r="J140" s="783">
        <f t="shared" si="99"/>
        <v>1.4882878889245734</v>
      </c>
      <c r="K140" s="783">
        <f t="shared" si="99"/>
        <v>1.6886924758013824</v>
      </c>
      <c r="L140" s="783">
        <f t="shared" si="99"/>
        <v>1.8074573495307598</v>
      </c>
      <c r="M140" s="783">
        <f t="shared" si="99"/>
        <v>1.6088576640693448</v>
      </c>
      <c r="N140" s="783">
        <f t="shared" si="99"/>
        <v>1.8670020308822994</v>
      </c>
      <c r="O140" s="783">
        <f t="shared" si="99"/>
        <v>1.6090017390039113</v>
      </c>
      <c r="P140" s="783">
        <f t="shared" si="99"/>
        <v>2.9451569689732207</v>
      </c>
      <c r="Q140" s="783">
        <f t="shared" si="99"/>
        <v>1.6556721191356591</v>
      </c>
      <c r="R140" s="783">
        <f t="shared" si="99"/>
        <v>1.4469122219723198</v>
      </c>
      <c r="S140" s="783">
        <f t="shared" si="99"/>
        <v>1.5878288709149155</v>
      </c>
      <c r="T140" s="783">
        <f t="shared" si="99"/>
        <v>1.7528734429342487</v>
      </c>
      <c r="U140" s="783">
        <f t="shared" si="99"/>
        <v>2.0295841217374799</v>
      </c>
      <c r="V140" s="783">
        <f t="shared" si="99"/>
        <v>2.5668385680799819</v>
      </c>
      <c r="W140" s="783">
        <f t="shared" si="99"/>
        <v>1.6673786252079661</v>
      </c>
      <c r="X140" s="783">
        <f t="shared" si="99"/>
        <v>1.5731715783888687</v>
      </c>
      <c r="Y140" s="783">
        <f t="shared" si="99"/>
        <v>2.5176766557628492</v>
      </c>
      <c r="Z140" s="783">
        <f t="shared" si="99"/>
        <v>1.8765923606388208</v>
      </c>
      <c r="AA140" s="783">
        <f t="shared" si="99"/>
        <v>1.8851012751347482</v>
      </c>
      <c r="AB140" s="783">
        <f t="shared" si="99"/>
        <v>2.4426841642844819</v>
      </c>
      <c r="AC140" s="783">
        <f t="shared" si="99"/>
        <v>1.5208150499082298</v>
      </c>
      <c r="AD140" s="783">
        <f t="shared" si="99"/>
        <v>1.8226179907975411</v>
      </c>
      <c r="AE140" s="783">
        <f t="shared" si="99"/>
        <v>2.2515061845673587</v>
      </c>
      <c r="AF140" s="783">
        <f t="shared" si="99"/>
        <v>1.7639804685379183</v>
      </c>
      <c r="AG140" s="783">
        <f t="shared" si="99"/>
        <v>1.7379964869232158</v>
      </c>
      <c r="AH140" s="783">
        <f t="shared" si="99"/>
        <v>1.5117922339019383</v>
      </c>
      <c r="AI140" s="783">
        <f t="shared" si="99"/>
        <v>2.0828119117165524</v>
      </c>
      <c r="AJ140" s="783">
        <f t="shared" si="99"/>
        <v>1.785395938926392</v>
      </c>
      <c r="AK140" s="783">
        <f t="shared" si="99"/>
        <v>1.4487549437020744</v>
      </c>
      <c r="AL140" s="783">
        <f t="shared" si="99"/>
        <v>1.4259118281426908</v>
      </c>
      <c r="AM140" s="783">
        <f t="shared" si="99"/>
        <v>1.800839461007087</v>
      </c>
      <c r="AN140" s="783">
        <f t="shared" si="99"/>
        <v>1.4963222215542116</v>
      </c>
      <c r="AO140" s="783">
        <f t="shared" si="99"/>
        <v>1.5708459587471819</v>
      </c>
      <c r="AP140" s="783">
        <f t="shared" si="99"/>
        <v>1.4549457540751718</v>
      </c>
      <c r="AQ140" s="783">
        <f t="shared" si="99"/>
        <v>1.5496613334283884</v>
      </c>
      <c r="AR140" s="783">
        <f t="shared" si="99"/>
        <v>2.3161685247307053</v>
      </c>
      <c r="AS140" s="783">
        <f t="shared" si="99"/>
        <v>2.0934946791947748</v>
      </c>
      <c r="AT140" s="783">
        <f t="shared" si="99"/>
        <v>1.499685611158192</v>
      </c>
      <c r="AU140" s="783">
        <f t="shared" si="99"/>
        <v>1.8115924441083209</v>
      </c>
      <c r="AV140" s="783">
        <f t="shared" si="99"/>
        <v>1.9310502295294578</v>
      </c>
      <c r="AW140" s="783">
        <f t="shared" si="99"/>
        <v>1.7754932698796768</v>
      </c>
      <c r="AX140" s="783">
        <f t="shared" si="99"/>
        <v>1.422177281747111</v>
      </c>
      <c r="AY140" s="783">
        <f t="shared" si="99"/>
        <v>1.7958437498783448</v>
      </c>
      <c r="AZ140" s="783">
        <f t="shared" si="99"/>
        <v>1.8893182466443377</v>
      </c>
      <c r="BA140" s="783">
        <f t="shared" si="99"/>
        <v>1.3853119669675906</v>
      </c>
      <c r="BB140" s="783">
        <f t="shared" si="99"/>
        <v>1.5940070645011835</v>
      </c>
      <c r="BC140" s="783">
        <f t="shared" si="99"/>
        <v>2.1995988908472386</v>
      </c>
      <c r="BD140" s="783">
        <f t="shared" si="99"/>
        <v>1.8887356619444253</v>
      </c>
      <c r="BE140" s="783">
        <f t="shared" si="99"/>
        <v>1.7948753618814077</v>
      </c>
      <c r="BF140" s="783">
        <f t="shared" ref="BF140" si="100">+BF132+BF134+BF138+BF136</f>
        <v>1.6135291050991123</v>
      </c>
    </row>
    <row r="141" spans="1:58" ht="12.75" customHeight="1" x14ac:dyDescent="0.2">
      <c r="A141" s="376"/>
      <c r="B141" s="376"/>
      <c r="C141" s="783"/>
      <c r="D141" s="783"/>
      <c r="E141" s="783"/>
      <c r="F141" s="783"/>
      <c r="G141" s="783"/>
      <c r="H141" s="783"/>
      <c r="I141" s="783"/>
      <c r="J141" s="783"/>
      <c r="K141" s="783"/>
      <c r="L141" s="783"/>
      <c r="M141" s="783"/>
      <c r="N141" s="783"/>
      <c r="O141" s="783"/>
      <c r="P141" s="783"/>
      <c r="Q141" s="783"/>
      <c r="R141" s="783"/>
      <c r="S141" s="783"/>
      <c r="T141" s="783"/>
      <c r="U141" s="783"/>
      <c r="V141" s="783"/>
      <c r="W141" s="783"/>
      <c r="X141" s="783"/>
      <c r="Y141" s="783"/>
      <c r="Z141" s="783"/>
      <c r="AA141" s="783"/>
      <c r="AB141" s="783"/>
      <c r="AC141" s="783"/>
      <c r="AD141" s="783"/>
      <c r="AE141" s="783"/>
      <c r="AF141" s="783"/>
      <c r="AG141" s="783"/>
      <c r="AH141" s="783"/>
      <c r="AI141" s="783"/>
      <c r="AJ141" s="783"/>
      <c r="AK141" s="783"/>
      <c r="AL141" s="783"/>
      <c r="AM141" s="783"/>
      <c r="AN141" s="783"/>
      <c r="AO141" s="783"/>
      <c r="AP141" s="783"/>
      <c r="AQ141" s="783"/>
      <c r="AR141" s="783"/>
      <c r="AS141" s="783"/>
      <c r="AT141" s="783"/>
      <c r="AU141" s="783"/>
      <c r="AV141" s="783"/>
      <c r="AW141" s="783"/>
      <c r="AX141" s="783"/>
      <c r="AY141" s="783"/>
      <c r="AZ141" s="783"/>
      <c r="BA141" s="783"/>
      <c r="BB141" s="783"/>
      <c r="BC141" s="783"/>
      <c r="BD141" s="783"/>
      <c r="BE141" s="783"/>
      <c r="BF141" s="783"/>
    </row>
    <row r="142" spans="1:58" ht="12.75" customHeight="1" x14ac:dyDescent="0.2">
      <c r="A142" s="376">
        <v>3</v>
      </c>
      <c r="B142" s="635" t="s">
        <v>1086</v>
      </c>
      <c r="C142" s="783">
        <f>+IF(SUM(C132:C138)&lt;$A$142,C132,A142/4)</f>
        <v>0.48817978074059254</v>
      </c>
      <c r="D142" s="783">
        <f>+IF(SUM(D132:D138)&lt;$A$142,D132,$A$142/4)</f>
        <v>0.59384079844576954</v>
      </c>
      <c r="E142" s="783">
        <f t="shared" ref="E142:BE142" si="101">+IF(SUM(E132:E138)&lt;$A$142,E132,$A$142/4)</f>
        <v>0.86047311498851364</v>
      </c>
      <c r="F142" s="783">
        <f t="shared" si="101"/>
        <v>0.63667811536950902</v>
      </c>
      <c r="G142" s="783">
        <f t="shared" si="101"/>
        <v>0.52997218476246344</v>
      </c>
      <c r="H142" s="783">
        <f t="shared" si="101"/>
        <v>0.75</v>
      </c>
      <c r="I142" s="783">
        <f t="shared" si="101"/>
        <v>0.84018078173149691</v>
      </c>
      <c r="J142" s="783">
        <f t="shared" si="101"/>
        <v>0.58241181536477871</v>
      </c>
      <c r="K142" s="783">
        <f t="shared" si="101"/>
        <v>0.45254124494215536</v>
      </c>
      <c r="L142" s="783">
        <f t="shared" si="101"/>
        <v>0.6432381481187881</v>
      </c>
      <c r="M142" s="783">
        <f t="shared" si="101"/>
        <v>0.55656397511191358</v>
      </c>
      <c r="N142" s="783">
        <f t="shared" si="101"/>
        <v>0.67106812590802511</v>
      </c>
      <c r="O142" s="783">
        <f t="shared" si="101"/>
        <v>0.57772818524989489</v>
      </c>
      <c r="P142" s="783">
        <f t="shared" si="101"/>
        <v>1.3146478680909817</v>
      </c>
      <c r="Q142" s="783">
        <f t="shared" si="101"/>
        <v>0.61399642473893234</v>
      </c>
      <c r="R142" s="783">
        <f t="shared" si="101"/>
        <v>0.54382535552568223</v>
      </c>
      <c r="S142" s="783">
        <f t="shared" si="101"/>
        <v>0.71599194388729481</v>
      </c>
      <c r="T142" s="783">
        <f t="shared" si="101"/>
        <v>0.7558059669310605</v>
      </c>
      <c r="U142" s="783">
        <f t="shared" si="101"/>
        <v>0.41727111727393429</v>
      </c>
      <c r="V142" s="783">
        <f t="shared" si="101"/>
        <v>0.92790036487000571</v>
      </c>
      <c r="W142" s="783">
        <f t="shared" si="101"/>
        <v>0.73758378662063906</v>
      </c>
      <c r="X142" s="783">
        <f t="shared" si="101"/>
        <v>0.68264908561030757</v>
      </c>
      <c r="Y142" s="783">
        <f t="shared" si="101"/>
        <v>0.72671931011332214</v>
      </c>
      <c r="Z142" s="783">
        <f t="shared" si="101"/>
        <v>0.70669813069424903</v>
      </c>
      <c r="AA142" s="783">
        <f t="shared" si="101"/>
        <v>0.77526282274873104</v>
      </c>
      <c r="AB142" s="783">
        <f t="shared" si="101"/>
        <v>0.3631838665101913</v>
      </c>
      <c r="AC142" s="783">
        <f t="shared" si="101"/>
        <v>0.55020218192029124</v>
      </c>
      <c r="AD142" s="783">
        <f t="shared" si="101"/>
        <v>0.76257305289015886</v>
      </c>
      <c r="AE142" s="783">
        <f t="shared" si="101"/>
        <v>1.0112525087933621</v>
      </c>
      <c r="AF142" s="783">
        <f t="shared" si="101"/>
        <v>0.62409988034709718</v>
      </c>
      <c r="AG142" s="783">
        <f t="shared" si="101"/>
        <v>0.6410265745281355</v>
      </c>
      <c r="AH142" s="783">
        <f t="shared" si="101"/>
        <v>0.68612168778427407</v>
      </c>
      <c r="AI142" s="783">
        <f t="shared" si="101"/>
        <v>0.71149168175456301</v>
      </c>
      <c r="AJ142" s="783">
        <f t="shared" si="101"/>
        <v>0.49134472512925348</v>
      </c>
      <c r="AK142" s="783">
        <f t="shared" si="101"/>
        <v>0.4708338158577855</v>
      </c>
      <c r="AL142" s="783">
        <f t="shared" si="101"/>
        <v>0.53287545589408469</v>
      </c>
      <c r="AM142" s="783">
        <f t="shared" si="101"/>
        <v>0.71351081637670988</v>
      </c>
      <c r="AN142" s="783">
        <f t="shared" si="101"/>
        <v>0.62890364499298623</v>
      </c>
      <c r="AO142" s="783">
        <f t="shared" si="101"/>
        <v>0.64682283021946552</v>
      </c>
      <c r="AP142" s="783">
        <f t="shared" si="101"/>
        <v>0.53373496587568325</v>
      </c>
      <c r="AQ142" s="783">
        <f t="shared" si="101"/>
        <v>0.71551734252372301</v>
      </c>
      <c r="AR142" s="783">
        <f t="shared" si="101"/>
        <v>0.9749013052764709</v>
      </c>
      <c r="AS142" s="783">
        <f t="shared" si="101"/>
        <v>0.74267143440787942</v>
      </c>
      <c r="AT142" s="783">
        <f t="shared" si="101"/>
        <v>0.42690183315283603</v>
      </c>
      <c r="AU142" s="783">
        <f t="shared" si="101"/>
        <v>0.77893013132611333</v>
      </c>
      <c r="AV142" s="783">
        <f t="shared" si="101"/>
        <v>0.78753331968407403</v>
      </c>
      <c r="AW142" s="783">
        <f t="shared" si="101"/>
        <v>0.67221143719054477</v>
      </c>
      <c r="AX142" s="783">
        <f t="shared" si="101"/>
        <v>0.45076972755082584</v>
      </c>
      <c r="AY142" s="783">
        <f t="shared" si="101"/>
        <v>0.60976895425942379</v>
      </c>
      <c r="AZ142" s="783">
        <f t="shared" si="101"/>
        <v>0.77355883953692495</v>
      </c>
      <c r="BA142" s="783">
        <f t="shared" si="101"/>
        <v>0.52797460354619719</v>
      </c>
      <c r="BB142" s="783">
        <f t="shared" si="101"/>
        <v>0.5030812909779071</v>
      </c>
      <c r="BC142" s="783">
        <f t="shared" si="101"/>
        <v>0.5374702866061829</v>
      </c>
      <c r="BD142" s="783">
        <f t="shared" si="101"/>
        <v>0.71939776744395156</v>
      </c>
      <c r="BE142" s="783">
        <f t="shared" si="101"/>
        <v>0.75174991827573656</v>
      </c>
      <c r="BF142" s="783">
        <f t="shared" ref="BF142" si="102">+IF(SUM(BF132:BF138)&lt;$A$142,BF132,$A$142/4)</f>
        <v>0.43265632812587951</v>
      </c>
    </row>
    <row r="143" spans="1:58" ht="12.75" customHeight="1" x14ac:dyDescent="0.2">
      <c r="A143" s="376"/>
      <c r="B143" s="376"/>
      <c r="C143" s="783"/>
      <c r="D143" s="783"/>
      <c r="E143" s="783"/>
      <c r="F143" s="783"/>
      <c r="G143" s="783"/>
      <c r="H143" s="783"/>
      <c r="I143" s="783"/>
      <c r="J143" s="783"/>
      <c r="K143" s="783"/>
      <c r="L143" s="783"/>
      <c r="M143" s="783"/>
      <c r="N143" s="783"/>
      <c r="O143" s="783"/>
      <c r="P143" s="783"/>
      <c r="Q143" s="783"/>
      <c r="R143" s="783"/>
      <c r="S143" s="783"/>
      <c r="T143" s="783"/>
      <c r="U143" s="783"/>
      <c r="V143" s="783"/>
      <c r="W143" s="783"/>
      <c r="X143" s="783"/>
      <c r="Y143" s="783"/>
      <c r="Z143" s="783"/>
      <c r="AA143" s="783"/>
      <c r="AB143" s="783"/>
      <c r="AC143" s="783"/>
      <c r="AD143" s="783"/>
      <c r="AE143" s="783"/>
      <c r="AF143" s="783"/>
      <c r="AG143" s="783"/>
      <c r="AH143" s="783"/>
      <c r="AI143" s="783"/>
      <c r="AJ143" s="783"/>
      <c r="AK143" s="783"/>
      <c r="AL143" s="783"/>
      <c r="AM143" s="783"/>
      <c r="AN143" s="783"/>
      <c r="AO143" s="783"/>
      <c r="AP143" s="783"/>
      <c r="AQ143" s="783"/>
      <c r="AR143" s="783"/>
      <c r="AS143" s="783"/>
      <c r="AT143" s="783"/>
      <c r="AU143" s="783"/>
      <c r="AV143" s="783"/>
      <c r="AW143" s="783"/>
      <c r="AX143" s="783"/>
      <c r="AY143" s="783"/>
      <c r="AZ143" s="783"/>
      <c r="BA143" s="783"/>
      <c r="BB143" s="783"/>
      <c r="BC143" s="783"/>
      <c r="BD143" s="783"/>
      <c r="BE143" s="783"/>
      <c r="BF143" s="783"/>
    </row>
    <row r="144" spans="1:58" ht="12.75" customHeight="1" x14ac:dyDescent="0.2">
      <c r="A144" s="376"/>
      <c r="B144" s="635" t="s">
        <v>1087</v>
      </c>
      <c r="C144" s="783">
        <f>+IF(SUM(C132:C138)&lt;$A$142,C134,$A$142/4)</f>
        <v>0.19099581059838663</v>
      </c>
      <c r="D144" s="783">
        <f t="shared" ref="D144:BE144" si="103">+IF(SUM(D132:D138)&lt;$A$142,D134,$A$142/4)</f>
        <v>0.32134184251450681</v>
      </c>
      <c r="E144" s="783">
        <f t="shared" si="103"/>
        <v>0.64315902252739066</v>
      </c>
      <c r="F144" s="783">
        <f t="shared" si="103"/>
        <v>0.3217827360028041</v>
      </c>
      <c r="G144" s="783">
        <f t="shared" si="103"/>
        <v>0.46875408118359541</v>
      </c>
      <c r="H144" s="783">
        <f t="shared" si="103"/>
        <v>0.75</v>
      </c>
      <c r="I144" s="783">
        <f t="shared" si="103"/>
        <v>0.84026195380352442</v>
      </c>
      <c r="J144" s="783">
        <f t="shared" si="103"/>
        <v>0.34901218918862498</v>
      </c>
      <c r="K144" s="783">
        <f t="shared" si="103"/>
        <v>0.70753050573381093</v>
      </c>
      <c r="L144" s="783">
        <f t="shared" si="103"/>
        <v>0.47914819664506525</v>
      </c>
      <c r="M144" s="783">
        <f t="shared" si="103"/>
        <v>0.48420194561947105</v>
      </c>
      <c r="N144" s="783">
        <f t="shared" si="103"/>
        <v>0.72737390337436481</v>
      </c>
      <c r="O144" s="783">
        <f t="shared" si="103"/>
        <v>0.52299186191664571</v>
      </c>
      <c r="P144" s="783">
        <f t="shared" si="103"/>
        <v>0.77534586511776205</v>
      </c>
      <c r="Q144" s="783">
        <f t="shared" si="103"/>
        <v>0.43205294222515983</v>
      </c>
      <c r="R144" s="783">
        <f t="shared" si="103"/>
        <v>0.33712058128812361</v>
      </c>
      <c r="S144" s="783">
        <f t="shared" si="103"/>
        <v>0.29107179479674528</v>
      </c>
      <c r="T144" s="783">
        <f t="shared" si="103"/>
        <v>0.48851205122168773</v>
      </c>
      <c r="U144" s="783">
        <f t="shared" si="103"/>
        <v>0.5589308437076278</v>
      </c>
      <c r="V144" s="783">
        <f t="shared" si="103"/>
        <v>0.80324986575000112</v>
      </c>
      <c r="W144" s="783">
        <f t="shared" si="103"/>
        <v>0.41881954341615091</v>
      </c>
      <c r="X144" s="783">
        <f t="shared" si="103"/>
        <v>0.411825369228702</v>
      </c>
      <c r="Y144" s="783">
        <f t="shared" si="103"/>
        <v>1.0132561066205594</v>
      </c>
      <c r="Z144" s="783">
        <f t="shared" si="103"/>
        <v>0.60570621493510957</v>
      </c>
      <c r="AA144" s="783">
        <f t="shared" si="103"/>
        <v>0.57346397424366335</v>
      </c>
      <c r="AB144" s="783">
        <f t="shared" si="103"/>
        <v>0.23307528604455502</v>
      </c>
      <c r="AC144" s="783">
        <f t="shared" si="103"/>
        <v>0.45191071042673381</v>
      </c>
      <c r="AD144" s="783">
        <f t="shared" si="103"/>
        <v>0.50193766506345572</v>
      </c>
      <c r="AE144" s="783">
        <f t="shared" si="103"/>
        <v>0.56122531762614014</v>
      </c>
      <c r="AF144" s="783">
        <f t="shared" si="103"/>
        <v>0.6053683069824578</v>
      </c>
      <c r="AG144" s="783">
        <f t="shared" si="103"/>
        <v>0.38400720707028357</v>
      </c>
      <c r="AH144" s="783">
        <f t="shared" si="103"/>
        <v>0.38806704069916453</v>
      </c>
      <c r="AI144" s="783">
        <f t="shared" si="103"/>
        <v>0.90260792079220797</v>
      </c>
      <c r="AJ144" s="783">
        <f t="shared" si="103"/>
        <v>0.69921651109658278</v>
      </c>
      <c r="AK144" s="783">
        <f t="shared" si="103"/>
        <v>0.34688047034372405</v>
      </c>
      <c r="AL144" s="783">
        <f t="shared" si="103"/>
        <v>0.33122469912398761</v>
      </c>
      <c r="AM144" s="783">
        <f t="shared" si="103"/>
        <v>0.62624671032239709</v>
      </c>
      <c r="AN144" s="783">
        <f t="shared" si="103"/>
        <v>0.30708770461837326</v>
      </c>
      <c r="AO144" s="783">
        <f t="shared" si="103"/>
        <v>0.3174394369046189</v>
      </c>
      <c r="AP144" s="783">
        <f t="shared" si="103"/>
        <v>0.30587098816388669</v>
      </c>
      <c r="AQ144" s="783">
        <f t="shared" si="103"/>
        <v>0.317014616966593</v>
      </c>
      <c r="AR144" s="783">
        <f t="shared" si="103"/>
        <v>0.85510315776666468</v>
      </c>
      <c r="AS144" s="783">
        <f t="shared" si="103"/>
        <v>0.73188714543364308</v>
      </c>
      <c r="AT144" s="783">
        <f t="shared" si="103"/>
        <v>0.50137264848193086</v>
      </c>
      <c r="AU144" s="783">
        <f t="shared" si="103"/>
        <v>0.52801049592762894</v>
      </c>
      <c r="AV144" s="783">
        <f t="shared" si="103"/>
        <v>0.49870194504650428</v>
      </c>
      <c r="AW144" s="783">
        <f t="shared" si="103"/>
        <v>0.4461387123570027</v>
      </c>
      <c r="AX144" s="783">
        <f t="shared" si="103"/>
        <v>0.35538124584524861</v>
      </c>
      <c r="AY144" s="783">
        <f t="shared" si="103"/>
        <v>0.59424898904955503</v>
      </c>
      <c r="AZ144" s="783">
        <f t="shared" si="103"/>
        <v>0.61918268411211164</v>
      </c>
      <c r="BA144" s="783">
        <f t="shared" si="103"/>
        <v>0.36913623476562429</v>
      </c>
      <c r="BB144" s="783">
        <f t="shared" si="103"/>
        <v>0.62308664775421219</v>
      </c>
      <c r="BC144" s="783">
        <f t="shared" si="103"/>
        <v>1.2659344220620519</v>
      </c>
      <c r="BD144" s="783">
        <f t="shared" si="103"/>
        <v>0.47407290653140399</v>
      </c>
      <c r="BE144" s="783">
        <f t="shared" si="103"/>
        <v>0.51956685744078968</v>
      </c>
      <c r="BF144" s="783">
        <f t="shared" ref="BF144" si="104">+IF(SUM(BF132:BF138)&lt;$A$142,BF134,$A$142/4)</f>
        <v>0.67779109899068424</v>
      </c>
    </row>
    <row r="145" spans="1:60" ht="12.75" customHeight="1" x14ac:dyDescent="0.2">
      <c r="A145" s="376"/>
      <c r="B145" s="376"/>
      <c r="C145" s="783"/>
      <c r="D145" s="783"/>
      <c r="E145" s="783"/>
      <c r="F145" s="783"/>
      <c r="G145" s="783"/>
      <c r="H145" s="783"/>
      <c r="I145" s="783"/>
      <c r="J145" s="783"/>
      <c r="K145" s="783"/>
      <c r="L145" s="783"/>
      <c r="M145" s="783"/>
      <c r="N145" s="783"/>
      <c r="O145" s="783"/>
      <c r="P145" s="783"/>
      <c r="Q145" s="783"/>
      <c r="R145" s="783"/>
      <c r="S145" s="783"/>
      <c r="T145" s="783"/>
      <c r="U145" s="783"/>
      <c r="V145" s="783"/>
      <c r="W145" s="783"/>
      <c r="X145" s="783"/>
      <c r="Y145" s="783"/>
      <c r="Z145" s="783"/>
      <c r="AA145" s="783"/>
      <c r="AB145" s="783"/>
      <c r="AC145" s="783"/>
      <c r="AD145" s="783"/>
      <c r="AE145" s="783"/>
      <c r="AF145" s="783"/>
      <c r="AG145" s="783"/>
      <c r="AH145" s="783"/>
      <c r="AI145" s="783"/>
      <c r="AJ145" s="783"/>
      <c r="AK145" s="783"/>
      <c r="AL145" s="783"/>
      <c r="AM145" s="783"/>
      <c r="AN145" s="783"/>
      <c r="AO145" s="783"/>
      <c r="AP145" s="783"/>
      <c r="AQ145" s="783"/>
      <c r="AR145" s="783"/>
      <c r="AS145" s="783"/>
      <c r="AT145" s="783"/>
      <c r="AU145" s="783"/>
      <c r="AV145" s="783"/>
      <c r="AW145" s="783"/>
      <c r="AX145" s="783"/>
      <c r="AY145" s="783"/>
      <c r="AZ145" s="783"/>
      <c r="BA145" s="783"/>
      <c r="BB145" s="783"/>
      <c r="BC145" s="783"/>
      <c r="BD145" s="783"/>
      <c r="BE145" s="783"/>
      <c r="BF145" s="783"/>
    </row>
    <row r="146" spans="1:60" ht="12.75" customHeight="1" x14ac:dyDescent="0.2">
      <c r="A146" s="376"/>
      <c r="B146" s="635" t="s">
        <v>1088</v>
      </c>
      <c r="C146" s="783">
        <f>+IF(SUM(C132:C138)&lt;$A$142,C136,$A$142/4)</f>
        <v>0.42627474780674174</v>
      </c>
      <c r="D146" s="783">
        <f t="shared" ref="D146:BE146" si="105">+IF(SUM(D132:D138)&lt;$A$142,D136,$A$142/4)</f>
        <v>0.31324106503115368</v>
      </c>
      <c r="E146" s="783">
        <f t="shared" si="105"/>
        <v>0.5125508437521441</v>
      </c>
      <c r="F146" s="783">
        <f t="shared" si="105"/>
        <v>0.36492328633092719</v>
      </c>
      <c r="G146" s="783">
        <f t="shared" si="105"/>
        <v>0.48671976844497655</v>
      </c>
      <c r="H146" s="783">
        <f t="shared" si="105"/>
        <v>0.75</v>
      </c>
      <c r="I146" s="783">
        <f t="shared" si="105"/>
        <v>0.35602775273154175</v>
      </c>
      <c r="J146" s="783">
        <f t="shared" si="105"/>
        <v>0.40995433345671212</v>
      </c>
      <c r="K146" s="783">
        <f t="shared" si="105"/>
        <v>0.38367191602807887</v>
      </c>
      <c r="L146" s="783">
        <f t="shared" si="105"/>
        <v>0.53011719354563314</v>
      </c>
      <c r="M146" s="783">
        <f t="shared" si="105"/>
        <v>0.42118219242350263</v>
      </c>
      <c r="N146" s="783">
        <f t="shared" si="105"/>
        <v>0.32165045068545189</v>
      </c>
      <c r="O146" s="783">
        <f t="shared" si="105"/>
        <v>0.35577130163301735</v>
      </c>
      <c r="P146" s="783">
        <f t="shared" si="105"/>
        <v>0.57077705972167436</v>
      </c>
      <c r="Q146" s="783">
        <f t="shared" si="105"/>
        <v>0.45946581138462517</v>
      </c>
      <c r="R146" s="783">
        <f t="shared" si="105"/>
        <v>0.41345589495416057</v>
      </c>
      <c r="S146" s="783">
        <f t="shared" si="105"/>
        <v>0.42683704775577685</v>
      </c>
      <c r="T146" s="783">
        <f t="shared" si="105"/>
        <v>0.36360661568416336</v>
      </c>
      <c r="U146" s="783">
        <f t="shared" si="105"/>
        <v>0.78696324929797024</v>
      </c>
      <c r="V146" s="783">
        <f t="shared" si="105"/>
        <v>0.55130216141717203</v>
      </c>
      <c r="W146" s="783">
        <f t="shared" si="105"/>
        <v>0.36602648607383881</v>
      </c>
      <c r="X146" s="783">
        <f t="shared" si="105"/>
        <v>0.33374831445252207</v>
      </c>
      <c r="Y146" s="783">
        <f t="shared" si="105"/>
        <v>0.54367982417481442</v>
      </c>
      <c r="Z146" s="783">
        <f t="shared" si="105"/>
        <v>0.41093459876680494</v>
      </c>
      <c r="AA146" s="783">
        <f t="shared" si="105"/>
        <v>0.3738206258548657</v>
      </c>
      <c r="AB146" s="783">
        <f t="shared" si="105"/>
        <v>1.6962680709427942</v>
      </c>
      <c r="AC146" s="783">
        <f t="shared" si="105"/>
        <v>0.35614830527371677</v>
      </c>
      <c r="AD146" s="783">
        <f t="shared" si="105"/>
        <v>0.39555342055643861</v>
      </c>
      <c r="AE146" s="783">
        <f t="shared" si="105"/>
        <v>0.52577494190519936</v>
      </c>
      <c r="AF146" s="783">
        <f t="shared" si="105"/>
        <v>0.38114094109985297</v>
      </c>
      <c r="AG146" s="783">
        <f t="shared" si="105"/>
        <v>0.47894129047064377</v>
      </c>
      <c r="AH146" s="783">
        <f t="shared" si="105"/>
        <v>0.28744656463155799</v>
      </c>
      <c r="AI146" s="783">
        <f t="shared" si="105"/>
        <v>0.3147842246946827</v>
      </c>
      <c r="AJ146" s="783">
        <f t="shared" si="105"/>
        <v>0.44158128645789846</v>
      </c>
      <c r="AK146" s="783">
        <f t="shared" si="105"/>
        <v>0.47778724125790728</v>
      </c>
      <c r="AL146" s="783">
        <f t="shared" si="105"/>
        <v>0.42329027388748552</v>
      </c>
      <c r="AM146" s="783">
        <f t="shared" si="105"/>
        <v>0.31417238339352233</v>
      </c>
      <c r="AN146" s="783">
        <f t="shared" si="105"/>
        <v>0.42180947270571911</v>
      </c>
      <c r="AO146" s="783">
        <f t="shared" si="105"/>
        <v>0.46806229238596464</v>
      </c>
      <c r="AP146" s="783">
        <f t="shared" si="105"/>
        <v>0.46282940983124843</v>
      </c>
      <c r="AQ146" s="783">
        <f t="shared" si="105"/>
        <v>0.36320128946297392</v>
      </c>
      <c r="AR146" s="783">
        <f t="shared" si="105"/>
        <v>0.33121025046629654</v>
      </c>
      <c r="AS146" s="783">
        <f t="shared" si="105"/>
        <v>0.46568268311059524</v>
      </c>
      <c r="AT146" s="783">
        <f t="shared" si="105"/>
        <v>0.41815771328076778</v>
      </c>
      <c r="AU146" s="783">
        <f t="shared" si="105"/>
        <v>0.34209796456709063</v>
      </c>
      <c r="AV146" s="783">
        <f t="shared" si="105"/>
        <v>0.41079354994472639</v>
      </c>
      <c r="AW146" s="783">
        <f t="shared" si="105"/>
        <v>0.4231217054779764</v>
      </c>
      <c r="AX146" s="783">
        <f t="shared" si="105"/>
        <v>0.46265496824252611</v>
      </c>
      <c r="AY146" s="783">
        <f t="shared" si="105"/>
        <v>0.44166886578242437</v>
      </c>
      <c r="AZ146" s="783">
        <f t="shared" si="105"/>
        <v>0.3416229117740277</v>
      </c>
      <c r="BA146" s="783">
        <f t="shared" si="105"/>
        <v>0.34325231955843177</v>
      </c>
      <c r="BB146" s="783">
        <f t="shared" si="105"/>
        <v>0.30528527348157602</v>
      </c>
      <c r="BC146" s="783">
        <f t="shared" si="105"/>
        <v>0.24603724139206229</v>
      </c>
      <c r="BD146" s="783">
        <f t="shared" si="105"/>
        <v>0.53271113568158168</v>
      </c>
      <c r="BE146" s="783">
        <f t="shared" si="105"/>
        <v>0.36963050168978284</v>
      </c>
      <c r="BF146" s="783">
        <f t="shared" ref="BF146" si="106">+IF(SUM(BF132:BF138)&lt;$A$142,BF136,$A$142/4)</f>
        <v>0.35057128777819535</v>
      </c>
    </row>
    <row r="147" spans="1:60" ht="12.75" customHeight="1" x14ac:dyDescent="0.2">
      <c r="A147" s="376"/>
      <c r="B147" s="376"/>
      <c r="C147" s="783"/>
      <c r="D147" s="783"/>
      <c r="E147" s="783"/>
      <c r="F147" s="783"/>
      <c r="G147" s="783"/>
      <c r="H147" s="783"/>
      <c r="I147" s="783"/>
      <c r="J147" s="783"/>
      <c r="K147" s="783"/>
      <c r="L147" s="783"/>
      <c r="M147" s="783"/>
      <c r="N147" s="783"/>
      <c r="O147" s="783"/>
      <c r="P147" s="783"/>
      <c r="Q147" s="783"/>
      <c r="R147" s="783"/>
      <c r="S147" s="783"/>
      <c r="T147" s="783"/>
      <c r="U147" s="783"/>
      <c r="V147" s="783"/>
      <c r="W147" s="783"/>
      <c r="X147" s="783"/>
      <c r="Y147" s="783"/>
      <c r="Z147" s="783"/>
      <c r="AA147" s="783"/>
      <c r="AB147" s="783"/>
      <c r="AC147" s="783"/>
      <c r="AD147" s="783"/>
      <c r="AE147" s="783"/>
      <c r="AF147" s="783"/>
      <c r="AG147" s="783"/>
      <c r="AH147" s="783"/>
      <c r="AI147" s="783"/>
      <c r="AJ147" s="783"/>
      <c r="AK147" s="783"/>
      <c r="AL147" s="783"/>
      <c r="AM147" s="783"/>
      <c r="AN147" s="783"/>
      <c r="AO147" s="783"/>
      <c r="AP147" s="783"/>
      <c r="AQ147" s="783"/>
      <c r="AR147" s="783"/>
      <c r="AS147" s="783"/>
      <c r="AT147" s="783"/>
      <c r="AU147" s="783"/>
      <c r="AV147" s="783"/>
      <c r="AW147" s="783"/>
      <c r="AX147" s="783"/>
      <c r="AY147" s="783"/>
      <c r="AZ147" s="783"/>
      <c r="BA147" s="783"/>
      <c r="BB147" s="783"/>
      <c r="BC147" s="783"/>
      <c r="BD147" s="783"/>
      <c r="BE147" s="783"/>
      <c r="BF147" s="783"/>
    </row>
    <row r="148" spans="1:60" ht="12.75" customHeight="1" x14ac:dyDescent="0.2">
      <c r="A148" s="376"/>
      <c r="B148" s="635" t="s">
        <v>1089</v>
      </c>
      <c r="C148" s="783">
        <f>+IF(SUM(C132:C138)&lt;$A$142,C138,$A$142/4)</f>
        <v>0.15392808447509845</v>
      </c>
      <c r="D148" s="783">
        <f t="shared" ref="D148:BE148" si="107">+IF(SUM(D132:D138)&lt;$A$142,D138,$A$142/4)</f>
        <v>0.15495381122127339</v>
      </c>
      <c r="E148" s="783">
        <f t="shared" si="107"/>
        <v>0.28438617604280275</v>
      </c>
      <c r="F148" s="783">
        <f t="shared" si="107"/>
        <v>0.1430695989196156</v>
      </c>
      <c r="G148" s="783">
        <f t="shared" si="107"/>
        <v>0.15337134010851036</v>
      </c>
      <c r="H148" s="783">
        <f t="shared" si="107"/>
        <v>0.75</v>
      </c>
      <c r="I148" s="783">
        <f t="shared" si="107"/>
        <v>0.15495381122127339</v>
      </c>
      <c r="J148" s="783">
        <f t="shared" si="107"/>
        <v>0.14690955091445757</v>
      </c>
      <c r="K148" s="783">
        <f t="shared" si="107"/>
        <v>0.14494880909733729</v>
      </c>
      <c r="L148" s="783">
        <f t="shared" si="107"/>
        <v>0.15495381122127339</v>
      </c>
      <c r="M148" s="783">
        <f t="shared" si="107"/>
        <v>0.14690955091445757</v>
      </c>
      <c r="N148" s="783">
        <f t="shared" si="107"/>
        <v>0.14690955091445757</v>
      </c>
      <c r="O148" s="783">
        <f t="shared" si="107"/>
        <v>0.15251039020435345</v>
      </c>
      <c r="P148" s="783">
        <f t="shared" si="107"/>
        <v>0.28438617604280275</v>
      </c>
      <c r="Q148" s="783">
        <f t="shared" si="107"/>
        <v>0.15015694078694156</v>
      </c>
      <c r="R148" s="783">
        <f t="shared" si="107"/>
        <v>0.15251039020435345</v>
      </c>
      <c r="S148" s="783">
        <f t="shared" si="107"/>
        <v>0.15392808447509845</v>
      </c>
      <c r="T148" s="783">
        <f t="shared" si="107"/>
        <v>0.14494880909733729</v>
      </c>
      <c r="U148" s="783">
        <f t="shared" si="107"/>
        <v>0.26641891145794749</v>
      </c>
      <c r="V148" s="783">
        <f t="shared" si="107"/>
        <v>0.28438617604280275</v>
      </c>
      <c r="W148" s="783">
        <f t="shared" si="107"/>
        <v>0.14494880909733729</v>
      </c>
      <c r="X148" s="783">
        <f t="shared" si="107"/>
        <v>0.14494880909733729</v>
      </c>
      <c r="Y148" s="783">
        <f t="shared" si="107"/>
        <v>0.23402141485415306</v>
      </c>
      <c r="Z148" s="783">
        <f t="shared" si="107"/>
        <v>0.15325341624265737</v>
      </c>
      <c r="AA148" s="783">
        <f t="shared" si="107"/>
        <v>0.16255385228748798</v>
      </c>
      <c r="AB148" s="783">
        <f t="shared" si="107"/>
        <v>0.15015694078694156</v>
      </c>
      <c r="AC148" s="783">
        <f t="shared" si="107"/>
        <v>0.16255385228748798</v>
      </c>
      <c r="AD148" s="783">
        <f t="shared" si="107"/>
        <v>0.16255385228748798</v>
      </c>
      <c r="AE148" s="783">
        <f t="shared" si="107"/>
        <v>0.15325341624265737</v>
      </c>
      <c r="AF148" s="783">
        <f t="shared" si="107"/>
        <v>0.15337134010851036</v>
      </c>
      <c r="AG148" s="783">
        <f t="shared" si="107"/>
        <v>0.23402141485415306</v>
      </c>
      <c r="AH148" s="783">
        <f t="shared" si="107"/>
        <v>0.15015694078694156</v>
      </c>
      <c r="AI148" s="783">
        <f t="shared" si="107"/>
        <v>0.15392808447509845</v>
      </c>
      <c r="AJ148" s="783">
        <f t="shared" si="107"/>
        <v>0.15325341624265737</v>
      </c>
      <c r="AK148" s="783">
        <f t="shared" si="107"/>
        <v>0.15325341624265737</v>
      </c>
      <c r="AL148" s="783">
        <f t="shared" si="107"/>
        <v>0.13852139923713308</v>
      </c>
      <c r="AM148" s="783">
        <f t="shared" si="107"/>
        <v>0.14690955091445757</v>
      </c>
      <c r="AN148" s="783">
        <f t="shared" si="107"/>
        <v>0.13852139923713308</v>
      </c>
      <c r="AO148" s="783">
        <f t="shared" si="107"/>
        <v>0.13852139923713308</v>
      </c>
      <c r="AP148" s="783">
        <f t="shared" si="107"/>
        <v>0.15251039020435345</v>
      </c>
      <c r="AQ148" s="783">
        <f t="shared" si="107"/>
        <v>0.15392808447509845</v>
      </c>
      <c r="AR148" s="783">
        <f t="shared" si="107"/>
        <v>0.15495381122127339</v>
      </c>
      <c r="AS148" s="783">
        <f t="shared" si="107"/>
        <v>0.15325341624265737</v>
      </c>
      <c r="AT148" s="783">
        <f t="shared" si="107"/>
        <v>0.15325341624265737</v>
      </c>
      <c r="AU148" s="783">
        <f t="shared" si="107"/>
        <v>0.16255385228748798</v>
      </c>
      <c r="AV148" s="783">
        <f t="shared" si="107"/>
        <v>0.23402141485415306</v>
      </c>
      <c r="AW148" s="783">
        <f t="shared" si="107"/>
        <v>0.23402141485415306</v>
      </c>
      <c r="AX148" s="783">
        <f t="shared" si="107"/>
        <v>0.15337134010851036</v>
      </c>
      <c r="AY148" s="783">
        <f t="shared" si="107"/>
        <v>0.15015694078694156</v>
      </c>
      <c r="AZ148" s="783">
        <f t="shared" si="107"/>
        <v>0.15495381122127339</v>
      </c>
      <c r="BA148" s="783">
        <f t="shared" si="107"/>
        <v>0.14494880909733729</v>
      </c>
      <c r="BB148" s="783">
        <f t="shared" si="107"/>
        <v>0.16255385228748798</v>
      </c>
      <c r="BC148" s="783">
        <f t="shared" si="107"/>
        <v>0.15015694078694156</v>
      </c>
      <c r="BD148" s="783">
        <f t="shared" si="107"/>
        <v>0.16255385228748798</v>
      </c>
      <c r="BE148" s="783">
        <f t="shared" si="107"/>
        <v>0.15392808447509845</v>
      </c>
      <c r="BF148" s="783">
        <f t="shared" ref="BF148" si="108">+IF(SUM(BF132:BF138)&lt;$A$142,BF138,$A$142/4)</f>
        <v>0.15251039020435345</v>
      </c>
    </row>
    <row r="149" spans="1:60" ht="12.75" customHeight="1" x14ac:dyDescent="0.2">
      <c r="A149" s="376"/>
      <c r="B149" s="376"/>
      <c r="C149" s="783"/>
      <c r="D149" s="783"/>
      <c r="E149" s="783"/>
      <c r="F149" s="783"/>
      <c r="G149" s="783"/>
      <c r="H149" s="783"/>
      <c r="I149" s="783"/>
      <c r="J149" s="783"/>
      <c r="K149" s="783"/>
      <c r="L149" s="783"/>
      <c r="M149" s="783"/>
      <c r="N149" s="783"/>
      <c r="O149" s="783"/>
      <c r="P149" s="783"/>
      <c r="Q149" s="783"/>
      <c r="R149" s="783"/>
      <c r="S149" s="783"/>
      <c r="T149" s="783"/>
      <c r="U149" s="783"/>
      <c r="V149" s="783"/>
      <c r="W149" s="783"/>
      <c r="X149" s="783"/>
      <c r="Y149" s="783"/>
      <c r="Z149" s="783"/>
      <c r="AA149" s="783"/>
      <c r="AB149" s="783"/>
      <c r="AC149" s="783"/>
      <c r="AD149" s="783"/>
      <c r="AE149" s="783"/>
      <c r="AF149" s="783"/>
      <c r="AG149" s="783"/>
      <c r="AH149" s="783"/>
      <c r="AI149" s="783"/>
      <c r="AJ149" s="783"/>
      <c r="AK149" s="783"/>
      <c r="AL149" s="783"/>
      <c r="AM149" s="783"/>
      <c r="AN149" s="783"/>
      <c r="AO149" s="783"/>
      <c r="AP149" s="783"/>
      <c r="AQ149" s="783"/>
      <c r="AR149" s="783"/>
      <c r="AS149" s="783"/>
      <c r="AT149" s="783"/>
      <c r="AU149" s="783"/>
      <c r="AV149" s="783"/>
      <c r="AW149" s="783"/>
      <c r="AX149" s="783"/>
      <c r="AY149" s="783"/>
      <c r="AZ149" s="783"/>
      <c r="BA149" s="783"/>
      <c r="BB149" s="783"/>
      <c r="BC149" s="783"/>
      <c r="BD149" s="783"/>
      <c r="BE149" s="783"/>
      <c r="BF149" s="783"/>
    </row>
    <row r="150" spans="1:60" ht="12.75" customHeight="1" x14ac:dyDescent="0.2">
      <c r="A150" s="376"/>
      <c r="B150" s="376" t="s">
        <v>1091</v>
      </c>
      <c r="C150" s="783">
        <f>SUM(C142:C148)</f>
        <v>1.2593784236208194</v>
      </c>
      <c r="D150" s="783">
        <f t="shared" ref="D150:BE150" si="109">SUM(D142:D148)</f>
        <v>1.3833775172127034</v>
      </c>
      <c r="E150" s="783">
        <f t="shared" si="109"/>
        <v>2.3005691573108509</v>
      </c>
      <c r="F150" s="783">
        <f t="shared" si="109"/>
        <v>1.4664537366228558</v>
      </c>
      <c r="G150" s="783">
        <f t="shared" si="109"/>
        <v>1.6388173744995458</v>
      </c>
      <c r="H150" s="783">
        <f t="shared" si="109"/>
        <v>3</v>
      </c>
      <c r="I150" s="783">
        <f t="shared" si="109"/>
        <v>2.1914242994878368</v>
      </c>
      <c r="J150" s="783">
        <f t="shared" si="109"/>
        <v>1.4882878889245734</v>
      </c>
      <c r="K150" s="783">
        <f t="shared" si="109"/>
        <v>1.6886924758013824</v>
      </c>
      <c r="L150" s="783">
        <f t="shared" si="109"/>
        <v>1.80745734953076</v>
      </c>
      <c r="M150" s="783">
        <f t="shared" si="109"/>
        <v>1.6088576640693448</v>
      </c>
      <c r="N150" s="783">
        <f t="shared" si="109"/>
        <v>1.8670020308822994</v>
      </c>
      <c r="O150" s="783">
        <f t="shared" si="109"/>
        <v>1.6090017390039113</v>
      </c>
      <c r="P150" s="783">
        <f t="shared" si="109"/>
        <v>2.9451569689732207</v>
      </c>
      <c r="Q150" s="783">
        <f t="shared" si="109"/>
        <v>1.6556721191356591</v>
      </c>
      <c r="R150" s="783">
        <f t="shared" si="109"/>
        <v>1.4469122219723198</v>
      </c>
      <c r="S150" s="783">
        <f t="shared" si="109"/>
        <v>1.5878288709149155</v>
      </c>
      <c r="T150" s="783">
        <f t="shared" si="109"/>
        <v>1.7528734429342487</v>
      </c>
      <c r="U150" s="783">
        <f t="shared" si="109"/>
        <v>2.0295841217374799</v>
      </c>
      <c r="V150" s="783">
        <f t="shared" si="109"/>
        <v>2.5668385680799815</v>
      </c>
      <c r="W150" s="783">
        <f t="shared" si="109"/>
        <v>1.6673786252079659</v>
      </c>
      <c r="X150" s="783">
        <f t="shared" si="109"/>
        <v>1.5731715783888689</v>
      </c>
      <c r="Y150" s="783">
        <f t="shared" si="109"/>
        <v>2.5176766557628492</v>
      </c>
      <c r="Z150" s="783">
        <f t="shared" si="109"/>
        <v>1.8765923606388208</v>
      </c>
      <c r="AA150" s="783">
        <f t="shared" si="109"/>
        <v>1.885101275134748</v>
      </c>
      <c r="AB150" s="783">
        <f t="shared" si="109"/>
        <v>2.4426841642844819</v>
      </c>
      <c r="AC150" s="783">
        <f t="shared" si="109"/>
        <v>1.5208150499082298</v>
      </c>
      <c r="AD150" s="783">
        <f t="shared" si="109"/>
        <v>1.8226179907975411</v>
      </c>
      <c r="AE150" s="783">
        <f t="shared" si="109"/>
        <v>2.2515061845673592</v>
      </c>
      <c r="AF150" s="783">
        <f t="shared" si="109"/>
        <v>1.7639804685379183</v>
      </c>
      <c r="AG150" s="783">
        <f t="shared" si="109"/>
        <v>1.7379964869232158</v>
      </c>
      <c r="AH150" s="783">
        <f t="shared" si="109"/>
        <v>1.5117922339019383</v>
      </c>
      <c r="AI150" s="783">
        <f t="shared" si="109"/>
        <v>2.0828119117165524</v>
      </c>
      <c r="AJ150" s="783">
        <f t="shared" si="109"/>
        <v>1.785395938926392</v>
      </c>
      <c r="AK150" s="783">
        <f t="shared" si="109"/>
        <v>1.4487549437020741</v>
      </c>
      <c r="AL150" s="783">
        <f t="shared" si="109"/>
        <v>1.4259118281426908</v>
      </c>
      <c r="AM150" s="783">
        <f t="shared" si="109"/>
        <v>1.800839461007087</v>
      </c>
      <c r="AN150" s="783">
        <f t="shared" si="109"/>
        <v>1.4963222215542116</v>
      </c>
      <c r="AO150" s="783">
        <f t="shared" si="109"/>
        <v>1.5708459587471819</v>
      </c>
      <c r="AP150" s="783">
        <f t="shared" si="109"/>
        <v>1.4549457540751718</v>
      </c>
      <c r="AQ150" s="783">
        <f t="shared" si="109"/>
        <v>1.5496613334283884</v>
      </c>
      <c r="AR150" s="783">
        <f t="shared" si="109"/>
        <v>2.3161685247307053</v>
      </c>
      <c r="AS150" s="783">
        <f t="shared" si="109"/>
        <v>2.0934946791947753</v>
      </c>
      <c r="AT150" s="783">
        <f t="shared" si="109"/>
        <v>1.499685611158192</v>
      </c>
      <c r="AU150" s="783">
        <f t="shared" si="109"/>
        <v>1.8115924441083209</v>
      </c>
      <c r="AV150" s="783">
        <f t="shared" si="109"/>
        <v>1.9310502295294578</v>
      </c>
      <c r="AW150" s="783">
        <f t="shared" si="109"/>
        <v>1.7754932698796768</v>
      </c>
      <c r="AX150" s="783">
        <f t="shared" si="109"/>
        <v>1.422177281747111</v>
      </c>
      <c r="AY150" s="783">
        <f t="shared" si="109"/>
        <v>1.7958437498783448</v>
      </c>
      <c r="AZ150" s="783">
        <f t="shared" si="109"/>
        <v>1.8893182466443377</v>
      </c>
      <c r="BA150" s="783">
        <f t="shared" si="109"/>
        <v>1.3853119669675904</v>
      </c>
      <c r="BB150" s="783">
        <f t="shared" si="109"/>
        <v>1.5940070645011835</v>
      </c>
      <c r="BC150" s="783">
        <f t="shared" si="109"/>
        <v>2.1995988908472386</v>
      </c>
      <c r="BD150" s="783">
        <f t="shared" si="109"/>
        <v>1.8887356619444251</v>
      </c>
      <c r="BE150" s="783">
        <f t="shared" si="109"/>
        <v>1.7948753618814077</v>
      </c>
      <c r="BF150" s="783">
        <f t="shared" ref="BF150" si="110">SUM(BF142:BF148)</f>
        <v>1.6135291050991125</v>
      </c>
    </row>
    <row r="151" spans="1:60" ht="12.75" customHeight="1" x14ac:dyDescent="0.2">
      <c r="A151" s="376"/>
      <c r="B151" s="376"/>
      <c r="C151" s="783"/>
      <c r="D151" s="783"/>
      <c r="E151" s="783"/>
      <c r="F151" s="783"/>
      <c r="G151" s="783"/>
      <c r="H151" s="783"/>
      <c r="I151" s="783"/>
      <c r="J151" s="783"/>
      <c r="K151" s="783"/>
      <c r="L151" s="783"/>
      <c r="M151" s="783"/>
      <c r="N151" s="783"/>
      <c r="O151" s="783"/>
      <c r="P151" s="783"/>
      <c r="Q151" s="783"/>
      <c r="R151" s="783"/>
      <c r="S151" s="783"/>
      <c r="T151" s="783"/>
      <c r="U151" s="783"/>
      <c r="V151" s="783"/>
      <c r="W151" s="783"/>
      <c r="X151" s="783"/>
      <c r="Y151" s="783"/>
      <c r="Z151" s="783"/>
      <c r="AA151" s="783"/>
      <c r="AB151" s="783"/>
      <c r="AC151" s="783"/>
      <c r="AD151" s="783"/>
      <c r="AE151" s="783"/>
      <c r="AF151" s="783"/>
      <c r="AG151" s="783"/>
      <c r="AH151" s="783"/>
      <c r="AI151" s="783"/>
      <c r="AJ151" s="783"/>
      <c r="AK151" s="783"/>
      <c r="AL151" s="783"/>
      <c r="AM151" s="783"/>
      <c r="AN151" s="783"/>
      <c r="AO151" s="783"/>
      <c r="AP151" s="783"/>
      <c r="AQ151" s="783"/>
      <c r="AR151" s="783"/>
      <c r="AS151" s="783"/>
      <c r="AT151" s="783"/>
      <c r="AU151" s="783"/>
      <c r="AV151" s="783"/>
      <c r="AW151" s="783"/>
      <c r="AX151" s="783"/>
      <c r="AY151" s="783"/>
      <c r="AZ151" s="783"/>
      <c r="BA151" s="783"/>
      <c r="BB151" s="783"/>
      <c r="BC151" s="783"/>
      <c r="BD151" s="783"/>
      <c r="BE151" s="783"/>
      <c r="BF151" s="783"/>
    </row>
    <row r="152" spans="1:60" ht="12.75" customHeight="1" x14ac:dyDescent="0.2">
      <c r="A152" s="376"/>
      <c r="B152" s="376" t="s">
        <v>194</v>
      </c>
      <c r="C152" s="783">
        <f>+C150-C140</f>
        <v>0</v>
      </c>
      <c r="D152" s="783">
        <f t="shared" ref="D152:BE152" si="111">+D150-D140</f>
        <v>0</v>
      </c>
      <c r="E152" s="783">
        <f t="shared" si="111"/>
        <v>0</v>
      </c>
      <c r="F152" s="783">
        <f t="shared" si="111"/>
        <v>0</v>
      </c>
      <c r="G152" s="783">
        <f t="shared" si="111"/>
        <v>0</v>
      </c>
      <c r="H152" s="783">
        <f t="shared" si="111"/>
        <v>-1.4186403437749373</v>
      </c>
      <c r="I152" s="783">
        <f t="shared" si="111"/>
        <v>0</v>
      </c>
      <c r="J152" s="783">
        <f t="shared" si="111"/>
        <v>0</v>
      </c>
      <c r="K152" s="783">
        <f t="shared" si="111"/>
        <v>0</v>
      </c>
      <c r="L152" s="783">
        <f t="shared" si="111"/>
        <v>0</v>
      </c>
      <c r="M152" s="783">
        <f t="shared" si="111"/>
        <v>0</v>
      </c>
      <c r="N152" s="783">
        <f t="shared" si="111"/>
        <v>0</v>
      </c>
      <c r="O152" s="783">
        <f t="shared" si="111"/>
        <v>0</v>
      </c>
      <c r="P152" s="783">
        <f t="shared" si="111"/>
        <v>0</v>
      </c>
      <c r="Q152" s="783">
        <f t="shared" si="111"/>
        <v>0</v>
      </c>
      <c r="R152" s="783">
        <f t="shared" si="111"/>
        <v>0</v>
      </c>
      <c r="S152" s="783">
        <f t="shared" si="111"/>
        <v>0</v>
      </c>
      <c r="T152" s="783">
        <f t="shared" si="111"/>
        <v>0</v>
      </c>
      <c r="U152" s="783">
        <f t="shared" si="111"/>
        <v>0</v>
      </c>
      <c r="V152" s="783">
        <f t="shared" si="111"/>
        <v>0</v>
      </c>
      <c r="W152" s="783">
        <f t="shared" si="111"/>
        <v>0</v>
      </c>
      <c r="X152" s="783">
        <f t="shared" si="111"/>
        <v>0</v>
      </c>
      <c r="Y152" s="783">
        <f t="shared" si="111"/>
        <v>0</v>
      </c>
      <c r="Z152" s="783">
        <f t="shared" si="111"/>
        <v>0</v>
      </c>
      <c r="AA152" s="783">
        <f t="shared" si="111"/>
        <v>0</v>
      </c>
      <c r="AB152" s="783">
        <f t="shared" si="111"/>
        <v>0</v>
      </c>
      <c r="AC152" s="783">
        <f t="shared" si="111"/>
        <v>0</v>
      </c>
      <c r="AD152" s="783">
        <f t="shared" si="111"/>
        <v>0</v>
      </c>
      <c r="AE152" s="783">
        <f t="shared" si="111"/>
        <v>0</v>
      </c>
      <c r="AF152" s="783">
        <f t="shared" si="111"/>
        <v>0</v>
      </c>
      <c r="AG152" s="783">
        <f t="shared" si="111"/>
        <v>0</v>
      </c>
      <c r="AH152" s="783">
        <f t="shared" si="111"/>
        <v>0</v>
      </c>
      <c r="AI152" s="783">
        <f t="shared" si="111"/>
        <v>0</v>
      </c>
      <c r="AJ152" s="783">
        <f t="shared" si="111"/>
        <v>0</v>
      </c>
      <c r="AK152" s="783">
        <f t="shared" si="111"/>
        <v>0</v>
      </c>
      <c r="AL152" s="783">
        <f t="shared" si="111"/>
        <v>0</v>
      </c>
      <c r="AM152" s="783">
        <f t="shared" si="111"/>
        <v>0</v>
      </c>
      <c r="AN152" s="783">
        <f t="shared" si="111"/>
        <v>0</v>
      </c>
      <c r="AO152" s="783">
        <f t="shared" si="111"/>
        <v>0</v>
      </c>
      <c r="AP152" s="783">
        <f t="shared" si="111"/>
        <v>0</v>
      </c>
      <c r="AQ152" s="783">
        <f t="shared" si="111"/>
        <v>0</v>
      </c>
      <c r="AR152" s="783">
        <f t="shared" si="111"/>
        <v>0</v>
      </c>
      <c r="AS152" s="783">
        <f t="shared" si="111"/>
        <v>0</v>
      </c>
      <c r="AT152" s="783">
        <f t="shared" si="111"/>
        <v>0</v>
      </c>
      <c r="AU152" s="783">
        <f t="shared" si="111"/>
        <v>0</v>
      </c>
      <c r="AV152" s="783">
        <f t="shared" si="111"/>
        <v>0</v>
      </c>
      <c r="AW152" s="783">
        <f t="shared" si="111"/>
        <v>0</v>
      </c>
      <c r="AX152" s="783">
        <f t="shared" si="111"/>
        <v>0</v>
      </c>
      <c r="AY152" s="783">
        <f t="shared" si="111"/>
        <v>0</v>
      </c>
      <c r="AZ152" s="783">
        <f t="shared" si="111"/>
        <v>0</v>
      </c>
      <c r="BA152" s="783">
        <f t="shared" si="111"/>
        <v>0</v>
      </c>
      <c r="BB152" s="783">
        <f t="shared" si="111"/>
        <v>0</v>
      </c>
      <c r="BC152" s="783">
        <f t="shared" si="111"/>
        <v>0</v>
      </c>
      <c r="BD152" s="783">
        <f t="shared" si="111"/>
        <v>0</v>
      </c>
      <c r="BE152" s="783">
        <f t="shared" si="111"/>
        <v>0</v>
      </c>
      <c r="BF152" s="783">
        <f t="shared" ref="BF152" si="112">+BF150-BF140</f>
        <v>0</v>
      </c>
    </row>
    <row r="153" spans="1:60" ht="12.75" customHeight="1" x14ac:dyDescent="0.2">
      <c r="A153" s="376"/>
      <c r="B153" s="376"/>
      <c r="C153" s="783"/>
      <c r="D153" s="783"/>
      <c r="E153" s="783"/>
      <c r="F153" s="783"/>
      <c r="G153" s="783"/>
      <c r="H153" s="783"/>
      <c r="I153" s="783"/>
      <c r="J153" s="783"/>
      <c r="K153" s="783"/>
      <c r="L153" s="783"/>
      <c r="M153" s="783"/>
      <c r="N153" s="783"/>
      <c r="O153" s="783"/>
      <c r="P153" s="783"/>
      <c r="Q153" s="783"/>
      <c r="R153" s="783"/>
      <c r="S153" s="783"/>
      <c r="T153" s="783"/>
      <c r="U153" s="783"/>
      <c r="V153" s="783"/>
      <c r="W153" s="783"/>
      <c r="X153" s="783"/>
      <c r="Y153" s="783"/>
      <c r="Z153" s="783"/>
      <c r="AA153" s="783"/>
      <c r="AB153" s="783"/>
      <c r="AC153" s="783"/>
      <c r="AD153" s="783"/>
      <c r="AE153" s="783"/>
      <c r="AF153" s="783"/>
      <c r="AG153" s="783"/>
      <c r="AH153" s="783"/>
      <c r="AI153" s="783"/>
      <c r="AJ153" s="783"/>
      <c r="AK153" s="783"/>
      <c r="AL153" s="783"/>
      <c r="AM153" s="783"/>
      <c r="AN153" s="783"/>
      <c r="AO153" s="783"/>
      <c r="AP153" s="783"/>
      <c r="AQ153" s="783"/>
      <c r="AR153" s="783"/>
      <c r="AS153" s="783"/>
      <c r="AT153" s="783"/>
      <c r="AU153" s="783"/>
      <c r="AV153" s="783"/>
      <c r="AW153" s="783"/>
      <c r="AX153" s="783"/>
      <c r="AY153" s="783"/>
      <c r="AZ153" s="783"/>
      <c r="BA153" s="783"/>
      <c r="BB153" s="783"/>
      <c r="BC153" s="783"/>
      <c r="BD153" s="783"/>
      <c r="BE153" s="783"/>
      <c r="BF153" s="783"/>
      <c r="BG153" s="1212"/>
      <c r="BH153" s="1211"/>
    </row>
    <row r="154" spans="1:60" ht="12.75" customHeight="1" x14ac:dyDescent="0.2">
      <c r="A154" s="376"/>
      <c r="B154" s="376"/>
      <c r="C154" s="783"/>
      <c r="D154" s="783"/>
      <c r="E154" s="783"/>
      <c r="F154" s="783"/>
      <c r="G154" s="783"/>
      <c r="H154" s="783"/>
      <c r="I154" s="783"/>
      <c r="J154" s="783"/>
      <c r="K154" s="783"/>
      <c r="L154" s="783"/>
      <c r="M154" s="783"/>
      <c r="N154" s="783"/>
      <c r="O154" s="783"/>
      <c r="P154" s="783"/>
      <c r="Q154" s="783"/>
      <c r="R154" s="783"/>
      <c r="S154" s="783"/>
      <c r="T154" s="783"/>
      <c r="U154" s="783"/>
      <c r="V154" s="783"/>
      <c r="W154" s="783"/>
      <c r="X154" s="783"/>
      <c r="Y154" s="783"/>
      <c r="Z154" s="783"/>
      <c r="AA154" s="783"/>
      <c r="AB154" s="783"/>
      <c r="AC154" s="783"/>
      <c r="AD154" s="783"/>
      <c r="AE154" s="783"/>
      <c r="AF154" s="783"/>
      <c r="AG154" s="783"/>
      <c r="AH154" s="783"/>
      <c r="AI154" s="783"/>
      <c r="AJ154" s="783"/>
      <c r="AK154" s="783"/>
      <c r="AL154" s="783"/>
      <c r="AM154" s="783"/>
      <c r="AN154" s="783"/>
      <c r="AO154" s="783"/>
      <c r="AP154" s="783"/>
      <c r="AQ154" s="783"/>
      <c r="AR154" s="783"/>
      <c r="AS154" s="783"/>
      <c r="AT154" s="783"/>
      <c r="AU154" s="783"/>
      <c r="AV154" s="783"/>
      <c r="AW154" s="783"/>
      <c r="AX154" s="783"/>
      <c r="AY154" s="783"/>
      <c r="AZ154" s="783"/>
      <c r="BA154" s="783"/>
      <c r="BB154" s="783"/>
      <c r="BC154" s="783"/>
      <c r="BD154" s="783"/>
      <c r="BE154" s="783"/>
      <c r="BF154" s="783"/>
      <c r="BG154" s="1212"/>
    </row>
    <row r="155" spans="1:60" ht="12.75" customHeight="1" x14ac:dyDescent="0.2">
      <c r="A155" s="376"/>
      <c r="B155" s="376"/>
      <c r="C155" s="783"/>
      <c r="D155" s="783"/>
      <c r="E155" s="783"/>
      <c r="F155" s="783"/>
      <c r="G155" s="783"/>
      <c r="H155" s="783"/>
      <c r="I155" s="783"/>
      <c r="J155" s="783"/>
      <c r="K155" s="783"/>
      <c r="L155" s="783"/>
      <c r="M155" s="783"/>
      <c r="N155" s="783"/>
      <c r="O155" s="783"/>
      <c r="P155" s="783"/>
      <c r="Q155" s="783"/>
      <c r="R155" s="783"/>
      <c r="S155" s="783"/>
      <c r="T155" s="783"/>
      <c r="U155" s="783"/>
      <c r="V155" s="783"/>
      <c r="W155" s="783"/>
      <c r="X155" s="783"/>
      <c r="Y155" s="783"/>
      <c r="Z155" s="783"/>
      <c r="AA155" s="783"/>
      <c r="AB155" s="783"/>
      <c r="AC155" s="783"/>
      <c r="AD155" s="783"/>
      <c r="AE155" s="783"/>
      <c r="AF155" s="783"/>
      <c r="AG155" s="783"/>
      <c r="AH155" s="783"/>
      <c r="AI155" s="783"/>
      <c r="AJ155" s="783"/>
      <c r="AK155" s="783"/>
      <c r="AL155" s="783"/>
      <c r="AM155" s="783"/>
      <c r="AN155" s="783"/>
      <c r="AO155" s="783"/>
      <c r="AP155" s="783"/>
      <c r="AQ155" s="783"/>
      <c r="AR155" s="783"/>
      <c r="AS155" s="783"/>
      <c r="AT155" s="783"/>
      <c r="AU155" s="783"/>
      <c r="AV155" s="783"/>
      <c r="AW155" s="783"/>
      <c r="AX155" s="783"/>
      <c r="AY155" s="783"/>
      <c r="AZ155" s="783"/>
      <c r="BA155" s="783"/>
      <c r="BB155" s="783"/>
      <c r="BC155" s="783"/>
      <c r="BD155" s="783"/>
      <c r="BE155" s="783"/>
      <c r="BF155" s="783"/>
    </row>
    <row r="156" spans="1:60" ht="12.75" customHeight="1" x14ac:dyDescent="0.2">
      <c r="A156" s="376"/>
      <c r="B156" s="376"/>
      <c r="C156" s="783"/>
      <c r="D156" s="783"/>
      <c r="E156" s="783"/>
      <c r="F156" s="783"/>
      <c r="G156" s="783"/>
      <c r="H156" s="783"/>
      <c r="I156" s="783"/>
      <c r="J156" s="783"/>
      <c r="K156" s="783"/>
      <c r="L156" s="783"/>
      <c r="M156" s="783"/>
      <c r="N156" s="783"/>
      <c r="O156" s="783"/>
      <c r="P156" s="783"/>
      <c r="Q156" s="783"/>
      <c r="R156" s="783"/>
      <c r="S156" s="783"/>
      <c r="T156" s="783"/>
      <c r="U156" s="783"/>
      <c r="V156" s="783"/>
      <c r="W156" s="783"/>
      <c r="X156" s="783"/>
      <c r="Y156" s="783"/>
      <c r="Z156" s="783"/>
      <c r="AA156" s="783"/>
      <c r="AB156" s="783"/>
      <c r="AC156" s="783"/>
      <c r="AD156" s="783"/>
      <c r="AE156" s="783"/>
      <c r="AF156" s="783"/>
      <c r="AG156" s="783"/>
      <c r="AH156" s="783"/>
      <c r="AI156" s="783"/>
      <c r="AJ156" s="783"/>
      <c r="AK156" s="783"/>
      <c r="AL156" s="783"/>
      <c r="AM156" s="783"/>
      <c r="AN156" s="783"/>
      <c r="AO156" s="783"/>
      <c r="AP156" s="783"/>
      <c r="AQ156" s="783"/>
      <c r="AR156" s="783"/>
      <c r="AS156" s="783"/>
      <c r="AT156" s="783"/>
      <c r="AU156" s="783"/>
      <c r="AV156" s="783"/>
      <c r="AW156" s="783"/>
      <c r="AX156" s="783"/>
      <c r="AY156" s="783"/>
      <c r="AZ156" s="783"/>
      <c r="BA156" s="783"/>
      <c r="BB156" s="783"/>
      <c r="BC156" s="783"/>
      <c r="BD156" s="783"/>
      <c r="BE156" s="783"/>
      <c r="BF156" s="783"/>
    </row>
    <row r="157" spans="1:60" ht="12.75" customHeight="1" x14ac:dyDescent="0.2">
      <c r="A157" s="376"/>
      <c r="B157" s="376"/>
      <c r="C157" s="783"/>
      <c r="D157" s="783"/>
      <c r="E157" s="783"/>
      <c r="F157" s="783"/>
      <c r="G157" s="783"/>
      <c r="H157" s="783"/>
      <c r="I157" s="783"/>
      <c r="J157" s="783"/>
      <c r="K157" s="783"/>
      <c r="L157" s="783"/>
      <c r="M157" s="783"/>
      <c r="N157" s="783"/>
      <c r="O157" s="783"/>
      <c r="P157" s="783"/>
      <c r="Q157" s="783"/>
      <c r="R157" s="783"/>
      <c r="S157" s="783"/>
      <c r="T157" s="783"/>
      <c r="U157" s="783"/>
      <c r="V157" s="783"/>
      <c r="W157" s="783"/>
      <c r="X157" s="783"/>
      <c r="Y157" s="783"/>
      <c r="Z157" s="783"/>
      <c r="AA157" s="783"/>
      <c r="AB157" s="783"/>
      <c r="AC157" s="783"/>
      <c r="AD157" s="783"/>
      <c r="AE157" s="783"/>
      <c r="AF157" s="783"/>
      <c r="AG157" s="783"/>
      <c r="AH157" s="783"/>
      <c r="AI157" s="783"/>
      <c r="AJ157" s="783"/>
      <c r="AK157" s="783"/>
      <c r="AL157" s="783"/>
      <c r="AM157" s="783"/>
      <c r="AN157" s="783"/>
      <c r="AO157" s="783"/>
      <c r="AP157" s="783"/>
      <c r="AQ157" s="783"/>
      <c r="AR157" s="783"/>
      <c r="AS157" s="783"/>
      <c r="AT157" s="783"/>
      <c r="AU157" s="783"/>
      <c r="AV157" s="783"/>
      <c r="AW157" s="783"/>
      <c r="AX157" s="783"/>
      <c r="AY157" s="783"/>
      <c r="AZ157" s="783"/>
      <c r="BA157" s="783"/>
      <c r="BB157" s="783"/>
      <c r="BC157" s="783"/>
      <c r="BD157" s="783"/>
      <c r="BE157" s="783"/>
      <c r="BF157" s="783"/>
    </row>
    <row r="158" spans="1:60" ht="12.75" customHeight="1" x14ac:dyDescent="0.2">
      <c r="A158" s="376"/>
      <c r="B158" s="376"/>
      <c r="C158" s="783"/>
      <c r="D158" s="783"/>
      <c r="E158" s="783"/>
      <c r="F158" s="783"/>
      <c r="G158" s="783"/>
      <c r="H158" s="783"/>
      <c r="I158" s="783"/>
      <c r="J158" s="783"/>
      <c r="K158" s="783"/>
      <c r="L158" s="783"/>
      <c r="M158" s="783"/>
      <c r="N158" s="783"/>
      <c r="O158" s="783"/>
      <c r="P158" s="783"/>
      <c r="Q158" s="783"/>
      <c r="R158" s="783"/>
      <c r="S158" s="783"/>
      <c r="T158" s="783"/>
      <c r="U158" s="783"/>
      <c r="V158" s="783"/>
      <c r="W158" s="783"/>
      <c r="X158" s="783"/>
      <c r="Y158" s="783"/>
      <c r="Z158" s="783"/>
      <c r="AA158" s="783"/>
      <c r="AB158" s="783"/>
      <c r="AC158" s="783"/>
      <c r="AD158" s="783"/>
      <c r="AE158" s="783"/>
      <c r="AF158" s="783"/>
      <c r="AG158" s="783"/>
      <c r="AH158" s="783"/>
      <c r="AI158" s="783"/>
      <c r="AJ158" s="783"/>
      <c r="AK158" s="783"/>
      <c r="AL158" s="783"/>
      <c r="AM158" s="783"/>
      <c r="AN158" s="783"/>
      <c r="AO158" s="783"/>
      <c r="AP158" s="783"/>
      <c r="AQ158" s="783"/>
      <c r="AR158" s="783"/>
      <c r="AS158" s="783"/>
      <c r="AT158" s="783"/>
      <c r="AU158" s="783"/>
      <c r="AV158" s="783"/>
      <c r="AW158" s="783"/>
      <c r="AX158" s="783"/>
      <c r="AY158" s="783"/>
      <c r="AZ158" s="783"/>
      <c r="BA158" s="783"/>
      <c r="BB158" s="783"/>
      <c r="BC158" s="783"/>
      <c r="BD158" s="783"/>
      <c r="BE158" s="783"/>
      <c r="BF158" s="783"/>
    </row>
    <row r="159" spans="1:60" s="786" customFormat="1" ht="12.75" customHeight="1" x14ac:dyDescent="0.2">
      <c r="A159" s="784"/>
      <c r="B159" s="784"/>
      <c r="C159" s="785"/>
      <c r="D159" s="785"/>
      <c r="E159" s="785"/>
      <c r="F159" s="785"/>
      <c r="G159" s="785"/>
      <c r="H159" s="785"/>
      <c r="I159" s="785"/>
      <c r="J159" s="785"/>
      <c r="K159" s="785"/>
      <c r="L159" s="785"/>
      <c r="M159" s="785"/>
      <c r="N159" s="785"/>
      <c r="O159" s="785"/>
      <c r="P159" s="785"/>
      <c r="Q159" s="785"/>
      <c r="R159" s="785"/>
      <c r="S159" s="785"/>
      <c r="T159" s="785"/>
      <c r="U159" s="785"/>
      <c r="V159" s="785"/>
      <c r="W159" s="785"/>
      <c r="X159" s="785"/>
      <c r="Y159" s="785"/>
      <c r="Z159" s="785"/>
      <c r="AA159" s="785"/>
      <c r="AB159" s="785"/>
      <c r="AC159" s="785"/>
      <c r="AD159" s="785"/>
      <c r="AE159" s="785"/>
      <c r="AF159" s="785"/>
      <c r="AG159" s="785"/>
      <c r="AH159" s="785"/>
      <c r="AI159" s="785"/>
      <c r="AJ159" s="785"/>
      <c r="AK159" s="785"/>
      <c r="AL159" s="785"/>
      <c r="AM159" s="785"/>
      <c r="AN159" s="785"/>
      <c r="AO159" s="785"/>
      <c r="AP159" s="785"/>
      <c r="AQ159" s="785"/>
      <c r="AR159" s="785"/>
      <c r="AS159" s="785"/>
      <c r="AT159" s="785"/>
      <c r="AU159" s="785"/>
      <c r="AV159" s="785"/>
      <c r="AW159" s="785"/>
      <c r="AX159" s="785"/>
      <c r="AY159" s="785"/>
      <c r="AZ159" s="785"/>
      <c r="BA159" s="785"/>
      <c r="BB159" s="785"/>
      <c r="BC159" s="785"/>
      <c r="BD159" s="785"/>
      <c r="BE159" s="785"/>
      <c r="BF159" s="785"/>
    </row>
    <row r="160" spans="1:60" s="786" customFormat="1" ht="12.75" customHeight="1" x14ac:dyDescent="0.2">
      <c r="A160" s="784"/>
      <c r="B160" s="784"/>
      <c r="C160" s="787"/>
      <c r="D160" s="788"/>
      <c r="E160" s="789"/>
      <c r="F160" s="788"/>
      <c r="G160" s="788"/>
      <c r="H160" s="788"/>
      <c r="I160" s="788"/>
      <c r="J160" s="788"/>
      <c r="K160" s="788"/>
      <c r="L160" s="788"/>
      <c r="M160" s="788"/>
      <c r="N160" s="788"/>
      <c r="O160" s="788"/>
      <c r="P160" s="788"/>
      <c r="Q160" s="788"/>
      <c r="R160" s="788"/>
      <c r="S160" s="788"/>
      <c r="T160" s="788"/>
      <c r="U160" s="788"/>
      <c r="V160" s="788"/>
      <c r="W160" s="788"/>
      <c r="X160" s="788"/>
      <c r="Y160" s="788"/>
      <c r="Z160" s="788"/>
      <c r="AA160" s="788"/>
      <c r="AB160" s="788"/>
      <c r="AC160" s="788"/>
      <c r="AD160" s="788"/>
      <c r="AE160" s="788"/>
      <c r="AF160" s="788"/>
      <c r="AG160" s="788"/>
      <c r="AH160" s="788"/>
      <c r="AI160" s="788"/>
      <c r="AJ160" s="788"/>
      <c r="AK160" s="788"/>
      <c r="AL160" s="788"/>
      <c r="AM160" s="788"/>
      <c r="AN160" s="788"/>
      <c r="AO160" s="788"/>
      <c r="AP160" s="788"/>
      <c r="AQ160" s="788"/>
      <c r="AR160" s="788"/>
      <c r="AS160" s="788"/>
      <c r="AT160" s="788"/>
      <c r="AU160" s="788"/>
      <c r="AV160" s="788"/>
      <c r="AW160" s="788"/>
      <c r="AX160" s="788"/>
      <c r="AY160" s="788"/>
      <c r="AZ160" s="788"/>
      <c r="BA160" s="788"/>
      <c r="BB160" s="788"/>
      <c r="BC160" s="788"/>
      <c r="BD160" s="788"/>
      <c r="BE160" s="788"/>
      <c r="BF160" s="788"/>
    </row>
    <row r="161" spans="1:59" s="786" customFormat="1" ht="12.75" customHeight="1" x14ac:dyDescent="0.2">
      <c r="A161" s="784"/>
      <c r="B161" s="784"/>
      <c r="C161" s="787"/>
      <c r="D161" s="787"/>
      <c r="E161" s="787"/>
      <c r="F161" s="787"/>
      <c r="G161" s="787"/>
      <c r="H161" s="787"/>
      <c r="I161" s="787"/>
      <c r="J161" s="787"/>
      <c r="K161" s="787"/>
      <c r="L161" s="787"/>
      <c r="M161" s="787"/>
      <c r="N161" s="787"/>
      <c r="O161" s="787"/>
      <c r="P161" s="787"/>
      <c r="Q161" s="787"/>
      <c r="R161" s="787"/>
      <c r="S161" s="787"/>
      <c r="T161" s="787"/>
      <c r="U161" s="787"/>
      <c r="V161" s="787"/>
      <c r="W161" s="787"/>
      <c r="X161" s="787"/>
      <c r="Y161" s="787"/>
      <c r="Z161" s="787"/>
      <c r="AA161" s="787"/>
      <c r="AB161" s="787"/>
      <c r="AC161" s="787"/>
      <c r="AD161" s="787"/>
      <c r="AE161" s="787"/>
      <c r="AF161" s="787"/>
      <c r="AG161" s="787"/>
      <c r="AH161" s="787"/>
      <c r="AI161" s="787"/>
      <c r="AJ161" s="787"/>
      <c r="AK161" s="787"/>
      <c r="AL161" s="787"/>
      <c r="AM161" s="787"/>
      <c r="AN161" s="787"/>
      <c r="AO161" s="787"/>
      <c r="AP161" s="787"/>
      <c r="AQ161" s="787"/>
      <c r="AR161" s="787"/>
      <c r="AS161" s="787"/>
      <c r="AT161" s="787"/>
      <c r="AU161" s="787"/>
      <c r="AV161" s="787"/>
      <c r="AW161" s="787"/>
      <c r="AX161" s="787"/>
      <c r="AY161" s="787"/>
      <c r="AZ161" s="787"/>
      <c r="BA161" s="787"/>
      <c r="BB161" s="787"/>
      <c r="BC161" s="787"/>
      <c r="BD161" s="787"/>
      <c r="BE161" s="787"/>
      <c r="BF161" s="787"/>
      <c r="BG161" s="790"/>
    </row>
    <row r="162" spans="1:59" s="786" customFormat="1" ht="12.75" customHeight="1" x14ac:dyDescent="0.2">
      <c r="A162" s="784"/>
      <c r="B162" s="784"/>
      <c r="C162" s="787"/>
      <c r="D162" s="788"/>
      <c r="E162" s="788"/>
      <c r="F162" s="791"/>
      <c r="G162" s="788"/>
      <c r="H162" s="788"/>
      <c r="I162" s="788"/>
      <c r="J162" s="788"/>
      <c r="K162" s="788"/>
      <c r="L162" s="788"/>
      <c r="M162" s="788"/>
      <c r="N162" s="788"/>
      <c r="O162" s="788"/>
      <c r="P162" s="788"/>
      <c r="Q162" s="788"/>
      <c r="R162" s="788"/>
      <c r="S162" s="788"/>
      <c r="T162" s="788"/>
      <c r="U162" s="788"/>
      <c r="V162" s="788"/>
      <c r="W162" s="788"/>
      <c r="X162" s="788"/>
      <c r="Y162" s="788"/>
      <c r="Z162" s="788"/>
      <c r="AA162" s="788"/>
      <c r="AB162" s="788"/>
      <c r="AC162" s="788"/>
      <c r="AD162" s="788"/>
      <c r="AE162" s="788"/>
      <c r="AF162" s="788"/>
      <c r="AG162" s="788"/>
      <c r="AH162" s="788"/>
      <c r="AI162" s="788"/>
      <c r="AJ162" s="788"/>
      <c r="AK162" s="788"/>
      <c r="AL162" s="788"/>
      <c r="AM162" s="788"/>
      <c r="AN162" s="788"/>
      <c r="AO162" s="788"/>
      <c r="AP162" s="788"/>
      <c r="AQ162" s="788"/>
      <c r="AR162" s="788"/>
      <c r="AS162" s="788"/>
      <c r="AT162" s="788"/>
      <c r="AU162" s="788"/>
      <c r="AV162" s="788"/>
      <c r="AW162" s="788"/>
      <c r="AX162" s="788"/>
      <c r="AY162" s="788"/>
      <c r="AZ162" s="788"/>
      <c r="BA162" s="788"/>
      <c r="BB162" s="788"/>
      <c r="BC162" s="788"/>
      <c r="BD162" s="788"/>
      <c r="BE162" s="788"/>
      <c r="BF162" s="788"/>
    </row>
    <row r="163" spans="1:59" s="786" customFormat="1" ht="12.75" customHeight="1" x14ac:dyDescent="0.2">
      <c r="A163" s="784"/>
      <c r="B163" s="784"/>
      <c r="C163" s="787"/>
      <c r="D163" s="787"/>
      <c r="E163" s="787"/>
      <c r="F163" s="787"/>
      <c r="G163" s="787"/>
      <c r="H163" s="787"/>
      <c r="I163" s="787"/>
      <c r="J163" s="787"/>
      <c r="K163" s="787"/>
      <c r="L163" s="787"/>
      <c r="M163" s="787"/>
      <c r="N163" s="787"/>
      <c r="O163" s="787"/>
      <c r="P163" s="787"/>
      <c r="Q163" s="787"/>
      <c r="R163" s="787"/>
      <c r="S163" s="787"/>
      <c r="T163" s="787"/>
      <c r="U163" s="787"/>
      <c r="V163" s="787"/>
      <c r="W163" s="787"/>
      <c r="X163" s="787"/>
      <c r="Y163" s="787"/>
      <c r="Z163" s="787"/>
      <c r="AA163" s="787"/>
      <c r="AB163" s="787"/>
      <c r="AC163" s="787"/>
      <c r="AD163" s="787"/>
      <c r="AE163" s="787"/>
      <c r="AF163" s="787"/>
      <c r="AG163" s="787"/>
      <c r="AH163" s="787"/>
      <c r="AI163" s="787"/>
      <c r="AJ163" s="787"/>
      <c r="AK163" s="787"/>
      <c r="AL163" s="787"/>
      <c r="AM163" s="787"/>
      <c r="AN163" s="787"/>
      <c r="AO163" s="787"/>
      <c r="AP163" s="787"/>
      <c r="AQ163" s="787"/>
      <c r="AR163" s="787"/>
      <c r="AS163" s="787"/>
      <c r="AT163" s="787"/>
      <c r="AU163" s="787"/>
      <c r="AV163" s="787"/>
      <c r="AW163" s="787"/>
      <c r="AX163" s="787"/>
      <c r="AY163" s="787"/>
      <c r="AZ163" s="787"/>
      <c r="BA163" s="787"/>
      <c r="BB163" s="787"/>
      <c r="BC163" s="787"/>
      <c r="BD163" s="787"/>
      <c r="BE163" s="787"/>
      <c r="BF163" s="787"/>
      <c r="BG163" s="790"/>
    </row>
    <row r="164" spans="1:59" s="786" customFormat="1" ht="12.75" customHeight="1" x14ac:dyDescent="0.2">
      <c r="A164" s="784"/>
      <c r="B164" s="792"/>
      <c r="C164" s="793"/>
      <c r="D164" s="792"/>
      <c r="E164" s="794"/>
      <c r="F164" s="795"/>
      <c r="G164" s="794"/>
      <c r="H164" s="794"/>
      <c r="I164" s="792"/>
      <c r="J164" s="792"/>
      <c r="K164" s="792"/>
      <c r="L164" s="792"/>
      <c r="M164" s="792"/>
      <c r="N164" s="792"/>
      <c r="O164" s="792"/>
      <c r="P164" s="792"/>
      <c r="Q164" s="792"/>
      <c r="R164" s="792"/>
      <c r="S164" s="792"/>
      <c r="T164" s="792"/>
      <c r="U164" s="792"/>
      <c r="V164" s="792"/>
      <c r="W164" s="792"/>
      <c r="X164" s="792"/>
      <c r="Y164" s="792"/>
      <c r="Z164" s="792"/>
      <c r="AA164" s="792"/>
      <c r="AB164" s="792"/>
      <c r="AC164" s="792"/>
      <c r="AD164" s="792"/>
      <c r="AE164" s="792"/>
      <c r="AF164" s="792"/>
      <c r="AG164" s="792"/>
      <c r="AH164" s="792"/>
      <c r="AI164" s="792"/>
      <c r="AJ164" s="792"/>
      <c r="AK164" s="792"/>
      <c r="AL164" s="792"/>
      <c r="AM164" s="792"/>
      <c r="AN164" s="792"/>
      <c r="AO164" s="792"/>
      <c r="AP164" s="792"/>
      <c r="AQ164" s="792"/>
      <c r="AR164" s="792"/>
      <c r="AS164" s="792"/>
      <c r="AT164" s="792"/>
      <c r="AU164" s="792"/>
      <c r="AV164" s="792"/>
      <c r="AW164" s="792"/>
      <c r="AX164" s="792"/>
      <c r="AY164" s="792"/>
      <c r="AZ164" s="792"/>
      <c r="BA164" s="792"/>
      <c r="BB164" s="792"/>
      <c r="BC164" s="792"/>
      <c r="BD164" s="792"/>
      <c r="BE164" s="792"/>
      <c r="BF164" s="792"/>
    </row>
    <row r="165" spans="1:59" s="786" customFormat="1" hidden="1" x14ac:dyDescent="0.2">
      <c r="A165" s="465"/>
      <c r="B165" s="784"/>
      <c r="C165" s="796"/>
      <c r="D165" s="796"/>
      <c r="E165" s="796"/>
      <c r="F165" s="796"/>
      <c r="G165" s="796"/>
      <c r="H165" s="796"/>
      <c r="I165" s="796"/>
      <c r="J165" s="796"/>
      <c r="K165" s="796"/>
      <c r="L165" s="796"/>
      <c r="M165" s="796"/>
      <c r="N165" s="796"/>
      <c r="O165" s="796"/>
      <c r="P165" s="796"/>
      <c r="Q165" s="796"/>
      <c r="R165" s="796"/>
      <c r="S165" s="796"/>
      <c r="T165" s="796"/>
      <c r="U165" s="796"/>
      <c r="V165" s="796"/>
      <c r="W165" s="796"/>
      <c r="X165" s="796"/>
      <c r="Y165" s="796"/>
      <c r="Z165" s="796"/>
      <c r="AA165" s="796"/>
      <c r="AB165" s="796"/>
      <c r="AC165" s="796"/>
      <c r="AD165" s="796"/>
      <c r="AE165" s="796"/>
      <c r="AF165" s="796"/>
      <c r="AG165" s="796"/>
      <c r="AH165" s="796"/>
      <c r="AI165" s="796"/>
      <c r="AJ165" s="796"/>
      <c r="AK165" s="796"/>
      <c r="AL165" s="796"/>
      <c r="AM165" s="796"/>
      <c r="AN165" s="796"/>
      <c r="AO165" s="796"/>
      <c r="AP165" s="796"/>
      <c r="AQ165" s="796"/>
      <c r="AR165" s="796"/>
      <c r="AS165" s="796"/>
      <c r="AT165" s="796"/>
      <c r="AU165" s="796"/>
      <c r="AV165" s="796"/>
      <c r="AW165" s="796"/>
      <c r="AX165" s="796"/>
      <c r="AY165" s="796"/>
      <c r="AZ165" s="796"/>
      <c r="BA165" s="796"/>
      <c r="BB165" s="796"/>
      <c r="BC165" s="796"/>
      <c r="BD165" s="796"/>
      <c r="BE165" s="796"/>
      <c r="BF165" s="796"/>
    </row>
    <row r="166" spans="1:59" s="786" customFormat="1" hidden="1" x14ac:dyDescent="0.2">
      <c r="A166" s="788"/>
      <c r="B166" s="784"/>
      <c r="C166" s="785"/>
      <c r="D166" s="785"/>
      <c r="E166" s="785"/>
      <c r="F166" s="785"/>
      <c r="G166" s="785"/>
      <c r="H166" s="785"/>
      <c r="I166" s="785"/>
      <c r="J166" s="785"/>
      <c r="K166" s="785"/>
      <c r="L166" s="785"/>
      <c r="M166" s="785"/>
      <c r="N166" s="785"/>
      <c r="O166" s="785"/>
      <c r="P166" s="785"/>
      <c r="Q166" s="785"/>
      <c r="R166" s="785"/>
      <c r="S166" s="785"/>
      <c r="T166" s="785"/>
      <c r="U166" s="785"/>
      <c r="V166" s="785"/>
      <c r="W166" s="785"/>
      <c r="X166" s="785"/>
      <c r="Y166" s="785"/>
      <c r="Z166" s="785"/>
      <c r="AA166" s="785"/>
      <c r="AB166" s="785"/>
      <c r="AC166" s="785"/>
      <c r="AD166" s="785"/>
      <c r="AE166" s="785"/>
      <c r="AF166" s="785"/>
      <c r="AG166" s="785"/>
      <c r="AH166" s="785"/>
      <c r="AI166" s="785"/>
      <c r="AJ166" s="785"/>
      <c r="AK166" s="785"/>
      <c r="AL166" s="785"/>
      <c r="AM166" s="785"/>
      <c r="AN166" s="785"/>
      <c r="AO166" s="785"/>
      <c r="AP166" s="785"/>
      <c r="AQ166" s="785"/>
      <c r="AR166" s="785"/>
      <c r="AS166" s="785"/>
      <c r="AT166" s="785"/>
      <c r="AU166" s="785"/>
      <c r="AV166" s="785"/>
      <c r="AW166" s="785"/>
      <c r="AX166" s="785"/>
      <c r="AY166" s="785"/>
      <c r="AZ166" s="785"/>
      <c r="BA166" s="785"/>
      <c r="BB166" s="785"/>
      <c r="BC166" s="785"/>
      <c r="BD166" s="785"/>
      <c r="BE166" s="785"/>
      <c r="BF166" s="785"/>
    </row>
    <row r="167" spans="1:59" s="786" customFormat="1" x14ac:dyDescent="0.2">
      <c r="A167" s="791"/>
      <c r="B167" s="784"/>
      <c r="C167" s="785"/>
      <c r="D167" s="785"/>
      <c r="E167" s="785"/>
      <c r="F167" s="785"/>
      <c r="G167" s="785"/>
      <c r="H167" s="785"/>
      <c r="I167" s="785"/>
      <c r="J167" s="785"/>
      <c r="K167" s="785"/>
      <c r="L167" s="785"/>
      <c r="M167" s="785"/>
      <c r="N167" s="785"/>
      <c r="O167" s="785"/>
      <c r="P167" s="785"/>
      <c r="Q167" s="785"/>
      <c r="R167" s="785"/>
      <c r="S167" s="785"/>
      <c r="T167" s="785"/>
      <c r="U167" s="785"/>
      <c r="V167" s="785"/>
      <c r="W167" s="785"/>
      <c r="X167" s="785"/>
      <c r="Y167" s="785"/>
      <c r="Z167" s="785"/>
      <c r="AA167" s="785"/>
      <c r="AB167" s="785"/>
      <c r="AC167" s="785"/>
      <c r="AD167" s="785"/>
      <c r="AE167" s="785"/>
      <c r="AF167" s="785"/>
      <c r="AG167" s="785"/>
      <c r="AH167" s="785"/>
      <c r="AI167" s="785"/>
      <c r="AJ167" s="785"/>
      <c r="AK167" s="785"/>
      <c r="AL167" s="785"/>
      <c r="AM167" s="785"/>
      <c r="AN167" s="785"/>
      <c r="AO167" s="785"/>
      <c r="AP167" s="785"/>
      <c r="AQ167" s="785"/>
      <c r="AR167" s="785"/>
      <c r="AS167" s="785"/>
      <c r="AT167" s="785"/>
      <c r="AU167" s="785"/>
      <c r="AV167" s="785"/>
      <c r="AW167" s="785"/>
      <c r="AX167" s="785"/>
      <c r="AY167" s="785"/>
      <c r="AZ167" s="785"/>
      <c r="BA167" s="785"/>
      <c r="BB167" s="785"/>
      <c r="BC167" s="785"/>
      <c r="BD167" s="785"/>
      <c r="BE167" s="785"/>
      <c r="BF167" s="785"/>
    </row>
    <row r="168" spans="1:59" s="786" customFormat="1" x14ac:dyDescent="0.2">
      <c r="A168" s="791"/>
      <c r="B168" s="784"/>
      <c r="C168" s="785"/>
      <c r="D168" s="785"/>
      <c r="E168" s="785"/>
      <c r="F168" s="785"/>
      <c r="G168" s="785"/>
      <c r="H168" s="785"/>
      <c r="I168" s="785"/>
      <c r="J168" s="785"/>
      <c r="K168" s="785"/>
      <c r="L168" s="785"/>
      <c r="M168" s="785"/>
      <c r="N168" s="785"/>
      <c r="O168" s="785"/>
      <c r="P168" s="785"/>
      <c r="Q168" s="785"/>
      <c r="R168" s="785"/>
      <c r="S168" s="785"/>
      <c r="T168" s="785"/>
      <c r="U168" s="785"/>
      <c r="V168" s="785"/>
      <c r="W168" s="785"/>
      <c r="X168" s="785"/>
      <c r="Y168" s="785"/>
      <c r="Z168" s="785"/>
      <c r="AA168" s="785"/>
      <c r="AB168" s="785"/>
      <c r="AC168" s="785"/>
      <c r="AD168" s="785"/>
      <c r="AE168" s="785"/>
      <c r="AF168" s="785"/>
      <c r="AG168" s="785"/>
      <c r="AH168" s="785"/>
      <c r="AI168" s="785"/>
      <c r="AJ168" s="785"/>
      <c r="AK168" s="785"/>
      <c r="AL168" s="785"/>
      <c r="AM168" s="785"/>
      <c r="AN168" s="785"/>
      <c r="AO168" s="785"/>
      <c r="AP168" s="785"/>
      <c r="AQ168" s="785"/>
      <c r="AR168" s="785"/>
      <c r="AS168" s="785"/>
      <c r="AT168" s="785"/>
      <c r="AU168" s="785"/>
      <c r="AV168" s="785"/>
      <c r="AW168" s="785"/>
      <c r="AX168" s="785"/>
      <c r="AY168" s="785"/>
      <c r="AZ168" s="785"/>
      <c r="BA168" s="785"/>
      <c r="BB168" s="785"/>
      <c r="BC168" s="785"/>
      <c r="BD168" s="785"/>
      <c r="BE168" s="785"/>
      <c r="BF168" s="785"/>
    </row>
    <row r="169" spans="1:59" s="786" customFormat="1" x14ac:dyDescent="0.2">
      <c r="A169" s="788"/>
      <c r="B169" s="784"/>
      <c r="C169" s="797"/>
      <c r="D169" s="797"/>
      <c r="E169" s="797"/>
      <c r="F169" s="797"/>
      <c r="G169" s="797"/>
      <c r="H169" s="797"/>
      <c r="I169" s="797"/>
      <c r="J169" s="797"/>
      <c r="K169" s="797"/>
      <c r="L169" s="797"/>
      <c r="M169" s="797"/>
      <c r="N169" s="797"/>
      <c r="O169" s="797"/>
      <c r="P169" s="797"/>
      <c r="Q169" s="797"/>
      <c r="R169" s="797"/>
      <c r="S169" s="797"/>
      <c r="T169" s="797"/>
      <c r="U169" s="797"/>
      <c r="V169" s="797"/>
      <c r="W169" s="797"/>
      <c r="X169" s="797"/>
      <c r="Y169" s="797"/>
      <c r="Z169" s="797"/>
      <c r="AA169" s="797"/>
      <c r="AB169" s="797"/>
      <c r="AC169" s="797"/>
      <c r="AD169" s="797"/>
      <c r="AE169" s="797"/>
      <c r="AF169" s="797"/>
      <c r="AG169" s="797"/>
      <c r="AH169" s="797"/>
      <c r="AI169" s="797"/>
      <c r="AJ169" s="797"/>
      <c r="AK169" s="797"/>
      <c r="AL169" s="797"/>
      <c r="AM169" s="797"/>
      <c r="AN169" s="797"/>
      <c r="AO169" s="797"/>
      <c r="AP169" s="797"/>
      <c r="AQ169" s="797"/>
      <c r="AR169" s="797"/>
      <c r="AS169" s="797"/>
      <c r="AT169" s="797"/>
      <c r="AU169" s="797"/>
      <c r="AV169" s="797"/>
      <c r="AW169" s="797"/>
      <c r="AX169" s="797"/>
      <c r="AY169" s="797"/>
      <c r="AZ169" s="797"/>
      <c r="BA169" s="797"/>
      <c r="BB169" s="797"/>
      <c r="BC169" s="797"/>
      <c r="BD169" s="797"/>
      <c r="BE169" s="797"/>
      <c r="BF169" s="797"/>
    </row>
    <row r="170" spans="1:59" s="786" customFormat="1" x14ac:dyDescent="0.2">
      <c r="A170" s="788"/>
      <c r="B170" s="784"/>
      <c r="C170" s="785"/>
      <c r="D170" s="785"/>
      <c r="E170" s="785"/>
      <c r="F170" s="785"/>
      <c r="G170" s="785"/>
      <c r="H170" s="785"/>
      <c r="I170" s="785"/>
      <c r="J170" s="785"/>
      <c r="K170" s="785"/>
      <c r="L170" s="785"/>
      <c r="M170" s="785"/>
      <c r="N170" s="785"/>
      <c r="O170" s="785"/>
      <c r="P170" s="785"/>
      <c r="Q170" s="785"/>
      <c r="R170" s="785"/>
      <c r="S170" s="785"/>
      <c r="T170" s="785"/>
      <c r="U170" s="785"/>
      <c r="V170" s="785"/>
      <c r="W170" s="785"/>
      <c r="X170" s="785"/>
      <c r="Y170" s="785"/>
      <c r="Z170" s="785"/>
      <c r="AA170" s="785"/>
      <c r="AB170" s="785"/>
      <c r="AC170" s="785"/>
      <c r="AD170" s="785"/>
      <c r="AE170" s="785"/>
      <c r="AF170" s="785"/>
      <c r="AG170" s="785"/>
      <c r="AH170" s="785"/>
      <c r="AI170" s="785"/>
      <c r="AJ170" s="785"/>
      <c r="AK170" s="785"/>
      <c r="AL170" s="785"/>
      <c r="AM170" s="785"/>
      <c r="AN170" s="785"/>
      <c r="AO170" s="785"/>
      <c r="AP170" s="785"/>
      <c r="AQ170" s="785"/>
      <c r="AR170" s="785"/>
      <c r="AS170" s="785"/>
      <c r="AT170" s="785"/>
      <c r="AU170" s="785"/>
      <c r="AV170" s="785"/>
      <c r="AW170" s="785"/>
      <c r="AX170" s="785"/>
      <c r="AY170" s="785"/>
      <c r="AZ170" s="785"/>
      <c r="BA170" s="785"/>
      <c r="BB170" s="785"/>
      <c r="BC170" s="785"/>
      <c r="BD170" s="785"/>
      <c r="BE170" s="785"/>
      <c r="BF170" s="785"/>
    </row>
    <row r="171" spans="1:59" s="786" customFormat="1" x14ac:dyDescent="0.2">
      <c r="A171" s="788"/>
      <c r="B171" s="788"/>
      <c r="C171" s="788"/>
      <c r="D171" s="788"/>
      <c r="E171" s="788"/>
      <c r="F171" s="788"/>
      <c r="G171" s="788"/>
      <c r="H171" s="788"/>
      <c r="I171" s="788"/>
      <c r="J171" s="788"/>
      <c r="K171" s="788"/>
      <c r="L171" s="788"/>
      <c r="M171" s="788"/>
      <c r="N171" s="788"/>
      <c r="O171" s="788"/>
      <c r="P171" s="788"/>
      <c r="Q171" s="788"/>
      <c r="R171" s="788"/>
      <c r="S171" s="785"/>
      <c r="T171" s="785"/>
      <c r="U171" s="785"/>
      <c r="V171" s="788"/>
      <c r="W171" s="788"/>
      <c r="X171" s="788"/>
      <c r="Y171" s="788"/>
      <c r="Z171" s="788"/>
      <c r="AA171" s="788"/>
      <c r="AB171" s="788"/>
      <c r="AC171" s="788"/>
      <c r="AD171" s="788"/>
      <c r="AE171" s="788"/>
      <c r="AF171" s="788"/>
      <c r="AG171" s="788"/>
      <c r="AH171" s="788"/>
      <c r="AI171" s="788"/>
      <c r="AJ171" s="788"/>
      <c r="AK171" s="788"/>
      <c r="AL171" s="788"/>
      <c r="AM171" s="788"/>
      <c r="AN171" s="788"/>
      <c r="AO171" s="788"/>
      <c r="AP171" s="788"/>
      <c r="AQ171" s="788"/>
      <c r="AR171" s="788"/>
      <c r="AS171" s="788"/>
      <c r="AT171" s="788"/>
      <c r="AU171" s="788"/>
      <c r="AV171" s="788"/>
      <c r="AW171" s="788"/>
      <c r="AX171" s="788"/>
      <c r="AY171" s="788"/>
      <c r="AZ171" s="788"/>
      <c r="BA171" s="788"/>
      <c r="BB171" s="788"/>
      <c r="BC171" s="788"/>
      <c r="BD171" s="788"/>
      <c r="BE171" s="788"/>
      <c r="BF171" s="788"/>
    </row>
    <row r="172" spans="1:59" s="786" customFormat="1" ht="14.25" x14ac:dyDescent="0.2">
      <c r="A172" s="798"/>
      <c r="B172" s="784"/>
      <c r="C172" s="785"/>
      <c r="D172" s="785"/>
      <c r="E172" s="785"/>
      <c r="F172" s="785"/>
      <c r="G172" s="785"/>
      <c r="H172" s="785"/>
      <c r="I172" s="785"/>
      <c r="J172" s="785"/>
      <c r="K172" s="785"/>
      <c r="L172" s="785"/>
      <c r="M172" s="785"/>
      <c r="N172" s="785"/>
      <c r="O172" s="785"/>
      <c r="P172" s="785"/>
      <c r="Q172" s="785"/>
      <c r="R172" s="785"/>
      <c r="S172" s="785"/>
      <c r="T172" s="785"/>
      <c r="U172" s="785"/>
      <c r="V172" s="785"/>
      <c r="W172" s="785"/>
      <c r="X172" s="785"/>
      <c r="Y172" s="785"/>
      <c r="Z172" s="785"/>
      <c r="AA172" s="785"/>
      <c r="AB172" s="785"/>
      <c r="AC172" s="785"/>
      <c r="AD172" s="785"/>
      <c r="AE172" s="785"/>
      <c r="AF172" s="785"/>
      <c r="AG172" s="785"/>
      <c r="AH172" s="785"/>
      <c r="AI172" s="785"/>
      <c r="AJ172" s="785"/>
      <c r="AK172" s="785"/>
      <c r="AL172" s="785"/>
      <c r="AM172" s="785"/>
      <c r="AN172" s="785"/>
      <c r="AO172" s="785"/>
      <c r="AP172" s="785"/>
      <c r="AQ172" s="785"/>
      <c r="AR172" s="785"/>
      <c r="AS172" s="785"/>
      <c r="AT172" s="785"/>
      <c r="AU172" s="785"/>
      <c r="AV172" s="785"/>
      <c r="AW172" s="785"/>
      <c r="AX172" s="785"/>
      <c r="AY172" s="785"/>
      <c r="AZ172" s="785"/>
      <c r="BA172" s="785"/>
      <c r="BB172" s="785"/>
      <c r="BC172" s="785"/>
      <c r="BD172" s="785"/>
      <c r="BE172" s="785"/>
      <c r="BF172" s="785"/>
    </row>
    <row r="173" spans="1:59" s="786" customFormat="1" x14ac:dyDescent="0.2">
      <c r="A173" s="788"/>
      <c r="B173" s="784"/>
      <c r="C173" s="785"/>
      <c r="D173" s="785"/>
      <c r="E173" s="785"/>
      <c r="F173" s="785"/>
      <c r="G173" s="785"/>
      <c r="H173" s="785"/>
      <c r="I173" s="785"/>
      <c r="J173" s="785"/>
      <c r="K173" s="785"/>
      <c r="L173" s="785"/>
      <c r="M173" s="785"/>
      <c r="N173" s="785"/>
      <c r="O173" s="785"/>
      <c r="P173" s="785"/>
      <c r="Q173" s="785"/>
      <c r="R173" s="785"/>
      <c r="S173" s="785"/>
      <c r="T173" s="785"/>
      <c r="U173" s="785"/>
      <c r="V173" s="785"/>
      <c r="W173" s="785"/>
      <c r="X173" s="785"/>
      <c r="Y173" s="785"/>
      <c r="Z173" s="785"/>
      <c r="AA173" s="785"/>
      <c r="AB173" s="785"/>
      <c r="AC173" s="785"/>
      <c r="AD173" s="785"/>
      <c r="AE173" s="785"/>
      <c r="AF173" s="785"/>
      <c r="AG173" s="785"/>
      <c r="AH173" s="785"/>
      <c r="AI173" s="785"/>
      <c r="AJ173" s="785"/>
      <c r="AK173" s="785"/>
      <c r="AL173" s="785"/>
      <c r="AM173" s="785"/>
      <c r="AN173" s="785"/>
      <c r="AO173" s="785"/>
      <c r="AP173" s="785"/>
      <c r="AQ173" s="785"/>
      <c r="AR173" s="785"/>
      <c r="AS173" s="785"/>
      <c r="AT173" s="785"/>
      <c r="AU173" s="785"/>
      <c r="AV173" s="785"/>
      <c r="AW173" s="785"/>
      <c r="AX173" s="785"/>
      <c r="AY173" s="785"/>
      <c r="AZ173" s="785"/>
      <c r="BA173" s="785"/>
      <c r="BB173" s="785"/>
      <c r="BC173" s="785"/>
      <c r="BD173" s="785"/>
      <c r="BE173" s="785"/>
      <c r="BF173" s="785"/>
      <c r="BG173" s="799"/>
    </row>
    <row r="174" spans="1:59" s="786" customFormat="1" x14ac:dyDescent="0.2">
      <c r="A174" s="788"/>
      <c r="B174" s="784"/>
      <c r="C174" s="787"/>
      <c r="D174" s="787"/>
      <c r="E174" s="787"/>
      <c r="F174" s="787"/>
      <c r="G174" s="787"/>
      <c r="H174" s="787"/>
      <c r="I174" s="787"/>
      <c r="J174" s="787"/>
      <c r="K174" s="787"/>
      <c r="L174" s="787"/>
      <c r="M174" s="787"/>
      <c r="N174" s="787"/>
      <c r="O174" s="787"/>
      <c r="P174" s="787"/>
      <c r="Q174" s="787"/>
      <c r="R174" s="787"/>
      <c r="S174" s="787"/>
      <c r="T174" s="787"/>
      <c r="U174" s="787"/>
      <c r="V174" s="787"/>
      <c r="W174" s="787"/>
      <c r="X174" s="787"/>
      <c r="Y174" s="787"/>
      <c r="Z174" s="787"/>
      <c r="AA174" s="787"/>
      <c r="AB174" s="787"/>
      <c r="AC174" s="787"/>
      <c r="AD174" s="787"/>
      <c r="AE174" s="787"/>
      <c r="AF174" s="787"/>
      <c r="AG174" s="787"/>
      <c r="AH174" s="787"/>
      <c r="AI174" s="787"/>
      <c r="AJ174" s="787"/>
      <c r="AK174" s="787"/>
      <c r="AL174" s="787"/>
      <c r="AM174" s="787"/>
      <c r="AN174" s="787"/>
      <c r="AO174" s="787"/>
      <c r="AP174" s="787"/>
      <c r="AQ174" s="787"/>
      <c r="AR174" s="787"/>
      <c r="AS174" s="787"/>
      <c r="AT174" s="787"/>
      <c r="AU174" s="787"/>
      <c r="AV174" s="787"/>
      <c r="AW174" s="787"/>
      <c r="AX174" s="787"/>
      <c r="AY174" s="787"/>
      <c r="AZ174" s="787"/>
      <c r="BA174" s="787"/>
      <c r="BB174" s="787"/>
      <c r="BC174" s="787"/>
      <c r="BD174" s="787"/>
      <c r="BE174" s="787"/>
      <c r="BF174" s="787"/>
    </row>
    <row r="175" spans="1:59" s="786" customFormat="1" x14ac:dyDescent="0.2">
      <c r="A175" s="788"/>
      <c r="B175" s="788"/>
      <c r="C175" s="788"/>
      <c r="D175" s="788"/>
      <c r="E175" s="788"/>
      <c r="F175" s="788"/>
      <c r="G175" s="788"/>
      <c r="H175" s="788"/>
      <c r="I175" s="788"/>
      <c r="J175" s="788"/>
      <c r="K175" s="788"/>
      <c r="L175" s="788"/>
      <c r="M175" s="787"/>
      <c r="N175" s="788"/>
      <c r="O175" s="788"/>
      <c r="P175" s="788"/>
      <c r="Q175" s="788"/>
      <c r="R175" s="788"/>
      <c r="S175" s="788"/>
      <c r="T175" s="788"/>
      <c r="U175" s="788"/>
      <c r="V175" s="788"/>
      <c r="W175" s="788"/>
      <c r="X175" s="788"/>
      <c r="Y175" s="788"/>
      <c r="Z175" s="788"/>
      <c r="AA175" s="788"/>
      <c r="AB175" s="788"/>
      <c r="AC175" s="788"/>
      <c r="AD175" s="788"/>
      <c r="AE175" s="788"/>
      <c r="AF175" s="788"/>
      <c r="AG175" s="788"/>
      <c r="AH175" s="788"/>
      <c r="AI175" s="788"/>
      <c r="AJ175" s="788"/>
      <c r="AK175" s="788"/>
      <c r="AL175" s="788"/>
      <c r="AM175" s="788"/>
      <c r="AN175" s="788"/>
      <c r="AO175" s="788"/>
      <c r="AP175" s="788"/>
      <c r="AQ175" s="788"/>
      <c r="AR175" s="788"/>
      <c r="AS175" s="788"/>
      <c r="AT175" s="788"/>
      <c r="AU175" s="788"/>
      <c r="AV175" s="788"/>
      <c r="AW175" s="788"/>
      <c r="AX175" s="788"/>
      <c r="AY175" s="788"/>
      <c r="AZ175" s="788"/>
      <c r="BA175" s="788"/>
      <c r="BB175" s="788"/>
      <c r="BC175" s="788"/>
      <c r="BD175" s="788"/>
      <c r="BE175" s="788"/>
      <c r="BF175" s="788"/>
    </row>
    <row r="176" spans="1:59" s="786" customFormat="1" x14ac:dyDescent="0.2">
      <c r="A176" s="788"/>
      <c r="B176" s="788"/>
      <c r="C176" s="788"/>
      <c r="D176" s="788"/>
      <c r="E176" s="788"/>
      <c r="F176" s="788"/>
      <c r="G176" s="788"/>
      <c r="H176" s="788"/>
      <c r="I176" s="788"/>
      <c r="J176" s="788"/>
      <c r="K176" s="788"/>
      <c r="L176" s="788"/>
      <c r="M176" s="788"/>
      <c r="N176" s="788"/>
      <c r="O176" s="788"/>
      <c r="P176" s="788"/>
      <c r="Q176" s="788"/>
      <c r="R176" s="788"/>
      <c r="S176" s="788"/>
      <c r="T176" s="788"/>
      <c r="U176" s="788"/>
      <c r="V176" s="788"/>
      <c r="W176" s="788"/>
      <c r="X176" s="788"/>
      <c r="Y176" s="788"/>
      <c r="Z176" s="788"/>
      <c r="AA176" s="788"/>
      <c r="AB176" s="788"/>
      <c r="AC176" s="788"/>
      <c r="AD176" s="788"/>
      <c r="AE176" s="788"/>
      <c r="AF176" s="788"/>
      <c r="AG176" s="788"/>
      <c r="AH176" s="788"/>
      <c r="AI176" s="788"/>
      <c r="AJ176" s="788"/>
      <c r="AK176" s="788"/>
      <c r="AL176" s="788"/>
      <c r="AM176" s="788"/>
      <c r="AN176" s="788"/>
      <c r="AO176" s="788"/>
      <c r="AP176" s="788"/>
      <c r="AQ176" s="788"/>
      <c r="AR176" s="788"/>
      <c r="AS176" s="788"/>
      <c r="AT176" s="788"/>
      <c r="AU176" s="788"/>
      <c r="AV176" s="788"/>
      <c r="AW176" s="788"/>
      <c r="AX176" s="788"/>
      <c r="AY176" s="788"/>
      <c r="AZ176" s="788"/>
      <c r="BA176" s="788"/>
      <c r="BB176" s="788"/>
      <c r="BC176" s="788"/>
      <c r="BD176" s="788"/>
      <c r="BE176" s="788"/>
      <c r="BF176" s="788"/>
    </row>
    <row r="177" spans="1:243" s="786" customFormat="1" ht="14.25" x14ac:dyDescent="0.2">
      <c r="A177" s="798"/>
      <c r="B177" s="784"/>
      <c r="C177" s="788"/>
      <c r="D177" s="788"/>
      <c r="E177" s="788"/>
      <c r="F177" s="788"/>
      <c r="G177" s="788"/>
      <c r="H177" s="788"/>
      <c r="I177" s="788"/>
      <c r="J177" s="788"/>
      <c r="K177" s="788"/>
      <c r="L177" s="788"/>
      <c r="M177" s="788"/>
      <c r="N177" s="788"/>
      <c r="O177" s="788"/>
      <c r="P177" s="788"/>
      <c r="Q177" s="788"/>
      <c r="R177" s="788"/>
      <c r="S177" s="788"/>
      <c r="T177" s="788"/>
      <c r="U177" s="788"/>
      <c r="V177" s="788"/>
      <c r="W177" s="788"/>
      <c r="X177" s="788"/>
      <c r="Y177" s="788"/>
      <c r="Z177" s="788"/>
      <c r="AA177" s="788"/>
      <c r="AB177" s="788"/>
      <c r="AC177" s="788"/>
      <c r="AD177" s="788"/>
      <c r="AE177" s="788"/>
      <c r="AF177" s="788"/>
      <c r="AG177" s="788"/>
      <c r="AH177" s="788"/>
      <c r="AI177" s="788"/>
      <c r="AJ177" s="788"/>
      <c r="AK177" s="788"/>
      <c r="AL177" s="788"/>
      <c r="AM177" s="788"/>
      <c r="AN177" s="788"/>
      <c r="AO177" s="788"/>
      <c r="AP177" s="788"/>
      <c r="AQ177" s="788"/>
      <c r="AR177" s="788"/>
      <c r="AS177" s="788"/>
      <c r="AT177" s="788"/>
      <c r="AU177" s="788"/>
      <c r="AV177" s="788"/>
      <c r="AW177" s="788"/>
      <c r="AX177" s="788"/>
      <c r="AY177" s="788"/>
      <c r="AZ177" s="788"/>
      <c r="BA177" s="788"/>
      <c r="BB177" s="788"/>
      <c r="BC177" s="788"/>
      <c r="BD177" s="788"/>
      <c r="BE177" s="788"/>
      <c r="BF177" s="788"/>
    </row>
    <row r="178" spans="1:243" s="786" customFormat="1" x14ac:dyDescent="0.2">
      <c r="A178" s="788"/>
      <c r="B178" s="784"/>
      <c r="C178" s="785"/>
      <c r="D178" s="785"/>
      <c r="E178" s="785"/>
      <c r="F178" s="785"/>
      <c r="G178" s="785"/>
      <c r="H178" s="785"/>
      <c r="I178" s="785"/>
      <c r="J178" s="785"/>
      <c r="K178" s="785"/>
      <c r="L178" s="785"/>
      <c r="M178" s="785"/>
      <c r="N178" s="785"/>
      <c r="O178" s="785"/>
      <c r="P178" s="785"/>
      <c r="Q178" s="785"/>
      <c r="R178" s="785"/>
      <c r="S178" s="785"/>
      <c r="T178" s="785"/>
      <c r="U178" s="785"/>
      <c r="V178" s="785"/>
      <c r="W178" s="785"/>
      <c r="X178" s="785"/>
      <c r="Y178" s="785"/>
      <c r="Z178" s="785"/>
      <c r="AA178" s="785"/>
      <c r="AB178" s="785"/>
      <c r="AC178" s="785"/>
      <c r="AD178" s="785"/>
      <c r="AE178" s="785"/>
      <c r="AF178" s="785"/>
      <c r="AG178" s="785"/>
      <c r="AH178" s="785"/>
      <c r="AI178" s="785"/>
      <c r="AJ178" s="785"/>
      <c r="AK178" s="785"/>
      <c r="AL178" s="785"/>
      <c r="AM178" s="785"/>
      <c r="AN178" s="785"/>
      <c r="AO178" s="785"/>
      <c r="AP178" s="785"/>
      <c r="AQ178" s="785"/>
      <c r="AR178" s="785"/>
      <c r="AS178" s="785"/>
      <c r="AT178" s="785"/>
      <c r="AU178" s="785"/>
      <c r="AV178" s="785"/>
      <c r="AW178" s="785"/>
      <c r="AX178" s="785"/>
      <c r="AY178" s="785"/>
      <c r="AZ178" s="785"/>
      <c r="BA178" s="785"/>
      <c r="BB178" s="785"/>
      <c r="BC178" s="785"/>
      <c r="BD178" s="785"/>
      <c r="BE178" s="785"/>
      <c r="BF178" s="785"/>
    </row>
    <row r="179" spans="1:243" s="786" customFormat="1" x14ac:dyDescent="0.2">
      <c r="A179" s="788"/>
      <c r="B179" s="784"/>
      <c r="C179" s="791"/>
      <c r="D179" s="791"/>
      <c r="E179" s="791"/>
      <c r="F179" s="791"/>
      <c r="G179" s="791"/>
      <c r="H179" s="791"/>
      <c r="I179" s="791"/>
      <c r="J179" s="791"/>
      <c r="K179" s="791"/>
      <c r="L179" s="791"/>
      <c r="M179" s="791"/>
      <c r="N179" s="791"/>
      <c r="O179" s="791"/>
      <c r="P179" s="791"/>
      <c r="Q179" s="791"/>
      <c r="R179" s="791"/>
      <c r="S179" s="791"/>
      <c r="T179" s="791"/>
      <c r="U179" s="791"/>
      <c r="V179" s="791"/>
      <c r="W179" s="791"/>
      <c r="X179" s="791"/>
      <c r="Y179" s="791"/>
      <c r="Z179" s="791"/>
      <c r="AA179" s="791"/>
      <c r="AB179" s="791"/>
      <c r="AC179" s="791"/>
      <c r="AD179" s="791"/>
      <c r="AE179" s="791"/>
      <c r="AF179" s="791"/>
      <c r="AG179" s="791"/>
      <c r="AH179" s="791"/>
      <c r="AI179" s="791"/>
      <c r="AJ179" s="791"/>
      <c r="AK179" s="791"/>
      <c r="AL179" s="791"/>
      <c r="AM179" s="791"/>
      <c r="AN179" s="791"/>
      <c r="AO179" s="791"/>
      <c r="AP179" s="791"/>
      <c r="AQ179" s="791"/>
      <c r="AR179" s="791"/>
      <c r="AS179" s="791"/>
      <c r="AT179" s="791"/>
      <c r="AU179" s="791"/>
      <c r="AV179" s="791"/>
      <c r="AW179" s="791"/>
      <c r="AX179" s="791"/>
      <c r="AY179" s="791"/>
      <c r="AZ179" s="791"/>
      <c r="BA179" s="791"/>
      <c r="BB179" s="791"/>
      <c r="BC179" s="791"/>
      <c r="BD179" s="791"/>
      <c r="BE179" s="791"/>
      <c r="BF179" s="791"/>
    </row>
    <row r="180" spans="1:243" s="786" customFormat="1" x14ac:dyDescent="0.2">
      <c r="A180" s="788"/>
      <c r="B180" s="784"/>
      <c r="C180" s="791"/>
      <c r="D180" s="791"/>
      <c r="E180" s="791"/>
      <c r="F180" s="791"/>
      <c r="G180" s="791"/>
      <c r="H180" s="791"/>
      <c r="I180" s="791"/>
      <c r="J180" s="791"/>
      <c r="K180" s="791"/>
      <c r="L180" s="791"/>
      <c r="M180" s="791"/>
      <c r="N180" s="791"/>
      <c r="O180" s="791"/>
      <c r="P180" s="791"/>
      <c r="Q180" s="791"/>
      <c r="R180" s="791"/>
      <c r="S180" s="791"/>
      <c r="T180" s="791"/>
      <c r="U180" s="791"/>
      <c r="V180" s="791"/>
      <c r="W180" s="791"/>
      <c r="X180" s="791"/>
      <c r="Y180" s="791"/>
      <c r="Z180" s="791"/>
      <c r="AA180" s="791"/>
      <c r="AB180" s="791"/>
      <c r="AC180" s="791"/>
      <c r="AD180" s="791"/>
      <c r="AE180" s="791"/>
      <c r="AF180" s="791"/>
      <c r="AG180" s="791"/>
      <c r="AH180" s="791"/>
      <c r="AI180" s="791"/>
      <c r="AJ180" s="791"/>
      <c r="AK180" s="791"/>
      <c r="AL180" s="791"/>
      <c r="AM180" s="791"/>
      <c r="AN180" s="791"/>
      <c r="AO180" s="791"/>
      <c r="AP180" s="791"/>
      <c r="AQ180" s="791"/>
      <c r="AR180" s="791"/>
      <c r="AS180" s="791"/>
      <c r="AT180" s="791"/>
      <c r="AU180" s="791"/>
      <c r="AV180" s="791"/>
      <c r="AW180" s="791"/>
      <c r="AX180" s="791"/>
      <c r="AY180" s="791"/>
      <c r="AZ180" s="791"/>
      <c r="BA180" s="791"/>
      <c r="BB180" s="791"/>
      <c r="BC180" s="791"/>
      <c r="BD180" s="791"/>
      <c r="BE180" s="791"/>
      <c r="BF180" s="791"/>
    </row>
    <row r="181" spans="1:243" s="802" customFormat="1" x14ac:dyDescent="0.2">
      <c r="A181" s="800"/>
      <c r="B181" s="792"/>
      <c r="C181" s="801"/>
      <c r="D181" s="801"/>
      <c r="E181" s="801"/>
      <c r="F181" s="801"/>
      <c r="G181" s="801"/>
      <c r="H181" s="801"/>
      <c r="I181" s="801"/>
      <c r="J181" s="801"/>
      <c r="K181" s="801"/>
      <c r="L181" s="801"/>
      <c r="M181" s="801"/>
      <c r="N181" s="801"/>
      <c r="O181" s="801"/>
      <c r="P181" s="801"/>
      <c r="Q181" s="801"/>
      <c r="R181" s="801"/>
      <c r="S181" s="801"/>
      <c r="T181" s="801"/>
      <c r="U181" s="801"/>
      <c r="V181" s="801"/>
      <c r="W181" s="801"/>
      <c r="X181" s="801"/>
      <c r="Y181" s="801"/>
      <c r="Z181" s="801"/>
      <c r="AA181" s="801"/>
      <c r="AB181" s="801"/>
      <c r="AC181" s="801"/>
      <c r="AD181" s="801"/>
      <c r="AE181" s="801"/>
      <c r="AF181" s="801"/>
      <c r="AG181" s="801"/>
      <c r="AH181" s="801"/>
      <c r="AI181" s="801"/>
      <c r="AJ181" s="801"/>
      <c r="AK181" s="801"/>
      <c r="AL181" s="801"/>
      <c r="AM181" s="801"/>
      <c r="AN181" s="801"/>
      <c r="AO181" s="801"/>
      <c r="AP181" s="801"/>
      <c r="AQ181" s="801"/>
      <c r="AR181" s="801"/>
      <c r="AS181" s="801"/>
      <c r="AT181" s="801"/>
      <c r="AU181" s="801"/>
      <c r="AV181" s="801"/>
      <c r="AW181" s="801"/>
      <c r="AX181" s="801"/>
      <c r="AY181" s="801"/>
      <c r="AZ181" s="801"/>
      <c r="BA181" s="801"/>
      <c r="BB181" s="801"/>
      <c r="BC181" s="801"/>
      <c r="BD181" s="801"/>
      <c r="BE181" s="801"/>
      <c r="BF181" s="801"/>
    </row>
    <row r="182" spans="1:243" s="786" customFormat="1" x14ac:dyDescent="0.2">
      <c r="A182" s="788"/>
      <c r="B182" s="788"/>
      <c r="C182" s="788"/>
      <c r="D182" s="788"/>
      <c r="E182" s="788"/>
      <c r="F182" s="788"/>
      <c r="G182" s="788"/>
      <c r="H182" s="788"/>
      <c r="I182" s="788"/>
      <c r="J182" s="788"/>
      <c r="K182" s="788"/>
      <c r="L182" s="788"/>
      <c r="M182" s="788"/>
      <c r="N182" s="788"/>
      <c r="O182" s="788"/>
      <c r="P182" s="788"/>
      <c r="Q182" s="788"/>
      <c r="R182" s="788"/>
      <c r="S182" s="788"/>
      <c r="T182" s="788"/>
      <c r="U182" s="788"/>
      <c r="V182" s="788"/>
      <c r="W182" s="788"/>
      <c r="X182" s="788"/>
      <c r="Y182" s="788"/>
      <c r="Z182" s="788"/>
      <c r="AA182" s="788"/>
      <c r="AB182" s="788"/>
      <c r="AC182" s="788"/>
      <c r="AD182" s="788"/>
      <c r="AE182" s="788"/>
      <c r="AF182" s="788"/>
      <c r="AG182" s="788"/>
      <c r="AH182" s="788"/>
      <c r="AI182" s="788"/>
      <c r="AJ182" s="788"/>
      <c r="AK182" s="788"/>
      <c r="AL182" s="788"/>
      <c r="AM182" s="788"/>
      <c r="AN182" s="788"/>
      <c r="AO182" s="788"/>
      <c r="AP182" s="788"/>
      <c r="AQ182" s="788"/>
      <c r="AR182" s="788"/>
      <c r="AS182" s="788"/>
      <c r="AT182" s="788"/>
      <c r="AU182" s="788"/>
      <c r="AV182" s="788"/>
      <c r="AW182" s="788"/>
      <c r="AX182" s="788"/>
      <c r="AY182" s="788"/>
      <c r="AZ182" s="788"/>
      <c r="BA182" s="788"/>
      <c r="BB182" s="788"/>
      <c r="BC182" s="788"/>
      <c r="BD182" s="788"/>
      <c r="BE182" s="788"/>
      <c r="BF182" s="788"/>
    </row>
    <row r="183" spans="1:243" s="786" customFormat="1" x14ac:dyDescent="0.2">
      <c r="A183" s="788"/>
      <c r="B183" s="788"/>
      <c r="C183" s="788"/>
      <c r="D183" s="788"/>
      <c r="E183" s="788"/>
      <c r="F183" s="788"/>
      <c r="G183" s="788"/>
      <c r="H183" s="788"/>
      <c r="I183" s="788"/>
      <c r="J183" s="788"/>
      <c r="K183" s="788"/>
      <c r="L183" s="788"/>
      <c r="M183" s="788"/>
      <c r="N183" s="788"/>
      <c r="O183" s="788"/>
      <c r="P183" s="788"/>
      <c r="Q183" s="788"/>
      <c r="R183" s="788"/>
      <c r="S183" s="788"/>
      <c r="T183" s="788"/>
      <c r="U183" s="788"/>
      <c r="V183" s="788"/>
      <c r="W183" s="788"/>
      <c r="X183" s="788"/>
      <c r="Y183" s="788"/>
      <c r="Z183" s="788"/>
      <c r="AA183" s="788"/>
      <c r="AB183" s="788"/>
      <c r="AC183" s="788"/>
      <c r="AD183" s="788"/>
      <c r="AE183" s="788"/>
      <c r="AF183" s="788"/>
      <c r="AG183" s="788"/>
      <c r="AH183" s="788"/>
      <c r="AI183" s="788"/>
      <c r="AJ183" s="788"/>
      <c r="AK183" s="788"/>
      <c r="AL183" s="788"/>
      <c r="AM183" s="788"/>
      <c r="AN183" s="788"/>
      <c r="AO183" s="788"/>
      <c r="AP183" s="788"/>
      <c r="AQ183" s="788"/>
      <c r="AR183" s="788"/>
      <c r="AS183" s="788"/>
      <c r="AT183" s="788"/>
      <c r="AU183" s="788"/>
      <c r="AV183" s="788"/>
      <c r="AW183" s="788"/>
      <c r="AX183" s="788"/>
      <c r="AY183" s="788"/>
      <c r="AZ183" s="788"/>
      <c r="BA183" s="788"/>
      <c r="BB183" s="788"/>
      <c r="BC183" s="788"/>
      <c r="BD183" s="788"/>
      <c r="BE183" s="788"/>
      <c r="BF183" s="788"/>
    </row>
    <row r="184" spans="1:243" s="786" customFormat="1" x14ac:dyDescent="0.2">
      <c r="A184" s="788"/>
      <c r="B184" s="784"/>
      <c r="C184" s="803"/>
      <c r="D184" s="803"/>
      <c r="E184" s="803"/>
      <c r="F184" s="803"/>
      <c r="G184" s="803"/>
      <c r="H184" s="803"/>
      <c r="I184" s="803"/>
      <c r="J184" s="803"/>
      <c r="K184" s="803"/>
      <c r="L184" s="803"/>
      <c r="M184" s="803"/>
      <c r="N184" s="803"/>
      <c r="O184" s="803"/>
      <c r="P184" s="803"/>
      <c r="Q184" s="803"/>
      <c r="R184" s="803"/>
      <c r="S184" s="803"/>
      <c r="T184" s="803"/>
      <c r="U184" s="803"/>
      <c r="V184" s="803"/>
      <c r="W184" s="803"/>
      <c r="X184" s="803"/>
      <c r="Y184" s="803"/>
      <c r="Z184" s="803"/>
      <c r="AA184" s="803"/>
      <c r="AB184" s="803"/>
      <c r="AC184" s="803"/>
      <c r="AD184" s="803"/>
      <c r="AE184" s="803"/>
      <c r="AF184" s="788"/>
      <c r="AG184" s="784"/>
      <c r="AH184" s="803"/>
      <c r="AI184" s="803"/>
      <c r="AJ184" s="803"/>
      <c r="AK184" s="803"/>
      <c r="AL184" s="803"/>
      <c r="AM184" s="803"/>
      <c r="AN184" s="803"/>
      <c r="AO184" s="803"/>
      <c r="AP184" s="803"/>
      <c r="AQ184" s="803"/>
      <c r="AR184" s="803"/>
      <c r="AS184" s="803"/>
      <c r="AT184" s="803"/>
      <c r="AU184" s="803"/>
      <c r="AV184" s="803"/>
      <c r="AW184" s="803"/>
      <c r="AX184" s="803"/>
      <c r="AY184" s="803"/>
      <c r="AZ184" s="803"/>
      <c r="BA184" s="803"/>
      <c r="BB184" s="803"/>
      <c r="BC184" s="803"/>
      <c r="BD184" s="803"/>
      <c r="BE184" s="803"/>
      <c r="BF184" s="803"/>
      <c r="BG184" s="803"/>
      <c r="BH184" s="803"/>
      <c r="BI184" s="803"/>
      <c r="BJ184" s="803"/>
      <c r="BK184" s="803"/>
      <c r="BL184" s="803"/>
      <c r="BM184" s="803"/>
      <c r="BN184" s="803"/>
      <c r="BO184" s="803"/>
      <c r="BP184" s="803"/>
      <c r="BQ184" s="803"/>
      <c r="BR184" s="803"/>
      <c r="BS184" s="803"/>
      <c r="BT184" s="803"/>
      <c r="BU184" s="803"/>
      <c r="BV184" s="803"/>
      <c r="BW184" s="803"/>
      <c r="BX184" s="803"/>
      <c r="BY184" s="803"/>
      <c r="BZ184" s="803"/>
      <c r="CA184" s="803"/>
      <c r="CB184" s="803"/>
      <c r="CC184" s="788"/>
      <c r="CD184" s="784"/>
      <c r="CE184" s="803"/>
      <c r="CF184" s="803"/>
      <c r="CG184" s="803"/>
      <c r="CH184" s="803"/>
      <c r="CI184" s="803"/>
      <c r="CJ184" s="803"/>
      <c r="CK184" s="803"/>
      <c r="CL184" s="803"/>
      <c r="CM184" s="803"/>
      <c r="CN184" s="803"/>
      <c r="CO184" s="803"/>
      <c r="CP184" s="803"/>
      <c r="CQ184" s="803"/>
      <c r="CR184" s="803"/>
      <c r="CS184" s="803"/>
      <c r="CT184" s="803"/>
      <c r="CU184" s="803"/>
      <c r="CV184" s="803"/>
      <c r="CW184" s="803"/>
      <c r="CX184" s="803"/>
      <c r="CY184" s="803"/>
      <c r="CZ184" s="803"/>
      <c r="DA184" s="803"/>
      <c r="DB184" s="803"/>
      <c r="DC184" s="803"/>
      <c r="DD184" s="803"/>
      <c r="DE184" s="803"/>
      <c r="DF184" s="803"/>
      <c r="DG184" s="803"/>
      <c r="DH184" s="788"/>
      <c r="DI184" s="784"/>
      <c r="DJ184" s="803"/>
      <c r="DK184" s="803"/>
      <c r="DL184" s="803"/>
      <c r="DM184" s="803"/>
      <c r="DN184" s="803"/>
      <c r="DO184" s="803"/>
      <c r="DP184" s="803"/>
      <c r="DQ184" s="803"/>
      <c r="DR184" s="803"/>
      <c r="DS184" s="803"/>
      <c r="DT184" s="803"/>
      <c r="DU184" s="803"/>
      <c r="DV184" s="803"/>
      <c r="DW184" s="803"/>
      <c r="DX184" s="803"/>
      <c r="DY184" s="803"/>
      <c r="DZ184" s="803"/>
      <c r="EA184" s="803"/>
      <c r="EB184" s="803"/>
      <c r="EC184" s="803"/>
      <c r="ED184" s="803"/>
      <c r="EE184" s="803"/>
      <c r="EF184" s="803"/>
      <c r="EG184" s="803"/>
      <c r="EH184" s="803"/>
      <c r="EI184" s="803"/>
      <c r="EJ184" s="803"/>
      <c r="EK184" s="803"/>
      <c r="EL184" s="803"/>
      <c r="EM184" s="788"/>
      <c r="EN184" s="784"/>
      <c r="EO184" s="803"/>
      <c r="EP184" s="803"/>
      <c r="EQ184" s="803"/>
      <c r="ER184" s="803"/>
      <c r="ES184" s="803"/>
      <c r="ET184" s="803"/>
      <c r="EU184" s="803"/>
      <c r="EV184" s="803"/>
      <c r="EW184" s="803"/>
      <c r="EX184" s="803"/>
      <c r="EY184" s="803"/>
      <c r="EZ184" s="803"/>
      <c r="FA184" s="803"/>
      <c r="FB184" s="803"/>
      <c r="FC184" s="803"/>
      <c r="FD184" s="803"/>
      <c r="FE184" s="803"/>
      <c r="FF184" s="803"/>
      <c r="FG184" s="803"/>
      <c r="FH184" s="803"/>
      <c r="FI184" s="803"/>
      <c r="FJ184" s="803"/>
      <c r="FK184" s="803"/>
      <c r="FL184" s="803"/>
      <c r="FM184" s="803"/>
      <c r="FN184" s="803"/>
      <c r="FO184" s="803"/>
      <c r="FP184" s="803"/>
      <c r="FQ184" s="803"/>
      <c r="FR184" s="788"/>
      <c r="FS184" s="784"/>
      <c r="FT184" s="803"/>
      <c r="FU184" s="803"/>
      <c r="FV184" s="803"/>
      <c r="FW184" s="803"/>
      <c r="FX184" s="803"/>
      <c r="FY184" s="803"/>
      <c r="FZ184" s="803"/>
      <c r="GA184" s="803"/>
      <c r="GB184" s="803"/>
      <c r="GC184" s="803"/>
      <c r="GD184" s="803"/>
      <c r="GE184" s="803"/>
      <c r="GF184" s="803"/>
      <c r="GG184" s="803"/>
      <c r="GH184" s="803"/>
      <c r="GI184" s="803"/>
      <c r="GJ184" s="803"/>
      <c r="GK184" s="803"/>
      <c r="GL184" s="803"/>
      <c r="GM184" s="803"/>
      <c r="GN184" s="803"/>
      <c r="GO184" s="803"/>
      <c r="GP184" s="803"/>
      <c r="GQ184" s="803"/>
      <c r="GR184" s="803"/>
      <c r="GS184" s="803"/>
      <c r="GT184" s="803"/>
      <c r="GU184" s="803"/>
      <c r="GV184" s="803"/>
      <c r="GW184" s="788"/>
      <c r="GX184" s="784"/>
      <c r="GY184" s="803"/>
      <c r="GZ184" s="803"/>
      <c r="HA184" s="803"/>
      <c r="HB184" s="803"/>
      <c r="HC184" s="803"/>
      <c r="HD184" s="803"/>
      <c r="HE184" s="803"/>
      <c r="HF184" s="803"/>
      <c r="HG184" s="803"/>
      <c r="HH184" s="803"/>
      <c r="HI184" s="803"/>
      <c r="HJ184" s="803"/>
      <c r="HK184" s="803"/>
      <c r="HL184" s="803"/>
      <c r="HM184" s="803"/>
      <c r="HN184" s="803"/>
      <c r="HO184" s="803"/>
      <c r="HP184" s="803"/>
      <c r="HQ184" s="803"/>
      <c r="HR184" s="803"/>
      <c r="HS184" s="803"/>
      <c r="HT184" s="803"/>
      <c r="HU184" s="803"/>
      <c r="HV184" s="803"/>
      <c r="HW184" s="803"/>
      <c r="HX184" s="803"/>
      <c r="HY184" s="803"/>
      <c r="HZ184" s="803"/>
      <c r="IA184" s="803"/>
      <c r="IB184" s="788"/>
      <c r="IC184" s="784"/>
      <c r="ID184" s="803"/>
      <c r="IE184" s="803"/>
      <c r="IF184" s="803"/>
      <c r="IG184" s="803"/>
      <c r="IH184" s="803"/>
      <c r="II184" s="803"/>
    </row>
    <row r="185" spans="1:243" s="786" customFormat="1" x14ac:dyDescent="0.2">
      <c r="A185" s="788"/>
      <c r="B185" s="788"/>
      <c r="C185" s="788"/>
      <c r="D185" s="785"/>
      <c r="E185" s="788"/>
      <c r="F185" s="788"/>
      <c r="G185" s="788"/>
      <c r="H185" s="788"/>
      <c r="I185" s="788"/>
      <c r="J185" s="788"/>
      <c r="K185" s="788"/>
      <c r="L185" s="788"/>
      <c r="M185" s="788"/>
      <c r="N185" s="788"/>
      <c r="O185" s="788"/>
      <c r="P185" s="788"/>
      <c r="Q185" s="788"/>
      <c r="R185" s="788"/>
      <c r="S185" s="788"/>
      <c r="T185" s="788"/>
      <c r="U185" s="788"/>
      <c r="V185" s="788"/>
      <c r="W185" s="788"/>
      <c r="X185" s="788"/>
      <c r="Y185" s="788"/>
      <c r="Z185" s="788"/>
      <c r="AA185" s="788"/>
      <c r="AB185" s="788"/>
      <c r="AC185" s="788"/>
      <c r="AD185" s="788"/>
      <c r="AE185" s="788"/>
      <c r="AF185" s="788"/>
      <c r="AG185" s="788"/>
      <c r="AH185" s="788"/>
      <c r="AI185" s="788"/>
      <c r="AJ185" s="788"/>
      <c r="AK185" s="788"/>
      <c r="AL185" s="788"/>
      <c r="AM185" s="788"/>
      <c r="AN185" s="788"/>
      <c r="AO185" s="788"/>
      <c r="AP185" s="788"/>
      <c r="AQ185" s="788"/>
      <c r="AR185" s="788"/>
      <c r="AS185" s="788"/>
      <c r="AT185" s="788"/>
      <c r="AU185" s="788"/>
      <c r="AV185" s="788"/>
      <c r="AW185" s="788"/>
      <c r="AX185" s="788"/>
      <c r="AY185" s="788"/>
      <c r="AZ185" s="788"/>
      <c r="BA185" s="788"/>
      <c r="BB185" s="788"/>
      <c r="BC185" s="788"/>
      <c r="BD185" s="788"/>
      <c r="BE185" s="788"/>
      <c r="BF185" s="788"/>
    </row>
    <row r="186" spans="1:243" x14ac:dyDescent="0.2">
      <c r="A186" s="622"/>
      <c r="B186" s="376"/>
      <c r="C186" s="622"/>
      <c r="D186" s="622"/>
      <c r="E186" s="622"/>
      <c r="F186" s="622"/>
      <c r="G186" s="622"/>
      <c r="H186" s="622"/>
      <c r="I186" s="622"/>
      <c r="J186" s="622"/>
      <c r="K186" s="622"/>
      <c r="L186" s="622"/>
      <c r="M186" s="622"/>
      <c r="N186" s="622"/>
      <c r="O186" s="622"/>
      <c r="P186" s="622"/>
      <c r="Q186" s="622"/>
      <c r="R186" s="622"/>
      <c r="S186" s="622"/>
      <c r="T186" s="622"/>
      <c r="U186" s="622"/>
      <c r="V186" s="622"/>
      <c r="W186" s="622"/>
      <c r="X186" s="622"/>
      <c r="Y186" s="622"/>
      <c r="Z186" s="622"/>
      <c r="AA186" s="622"/>
      <c r="AB186" s="622"/>
      <c r="AC186" s="622"/>
      <c r="AD186" s="622"/>
      <c r="AE186" s="622"/>
      <c r="AF186" s="622"/>
      <c r="AG186" s="622"/>
      <c r="AH186" s="622"/>
      <c r="AI186" s="622"/>
      <c r="AJ186" s="622"/>
      <c r="AK186" s="622"/>
      <c r="AL186" s="622"/>
      <c r="AM186" s="622"/>
      <c r="AN186" s="622"/>
      <c r="AO186" s="622"/>
      <c r="AP186" s="622"/>
      <c r="AQ186" s="622"/>
      <c r="AR186" s="622"/>
      <c r="AS186" s="622"/>
      <c r="AT186" s="622"/>
      <c r="AU186" s="622"/>
      <c r="AV186" s="622"/>
      <c r="AW186" s="622"/>
      <c r="AX186" s="622"/>
      <c r="AY186" s="622"/>
      <c r="AZ186" s="622"/>
      <c r="BA186" s="622"/>
      <c r="BB186" s="622"/>
      <c r="BC186" s="622"/>
      <c r="BD186" s="622"/>
      <c r="BE186" s="622"/>
      <c r="BF186" s="622"/>
    </row>
    <row r="187" spans="1:243" x14ac:dyDescent="0.2">
      <c r="A187" s="622"/>
      <c r="B187" s="376"/>
      <c r="C187" s="627"/>
      <c r="D187" s="627"/>
      <c r="E187" s="627"/>
      <c r="F187" s="627"/>
      <c r="G187" s="627"/>
      <c r="H187" s="627"/>
      <c r="I187" s="627"/>
      <c r="J187" s="627"/>
      <c r="K187" s="627"/>
      <c r="L187" s="627"/>
      <c r="M187" s="627"/>
      <c r="N187" s="627"/>
      <c r="O187" s="627"/>
      <c r="P187" s="627"/>
      <c r="Q187" s="627"/>
      <c r="R187" s="627"/>
      <c r="S187" s="627"/>
      <c r="T187" s="627"/>
      <c r="U187" s="627"/>
      <c r="V187" s="627"/>
      <c r="W187" s="627"/>
      <c r="X187" s="627"/>
      <c r="Y187" s="627"/>
      <c r="Z187" s="627"/>
      <c r="AA187" s="627"/>
      <c r="AB187" s="627"/>
      <c r="AC187" s="627"/>
      <c r="AD187" s="627"/>
      <c r="AE187" s="627"/>
      <c r="AF187" s="627"/>
      <c r="AG187" s="627"/>
      <c r="AH187" s="627"/>
      <c r="AI187" s="627"/>
      <c r="AJ187" s="627"/>
      <c r="AK187" s="627"/>
      <c r="AL187" s="627"/>
      <c r="AM187" s="627"/>
      <c r="AN187" s="627"/>
      <c r="AO187" s="627"/>
      <c r="AP187" s="627"/>
      <c r="AQ187" s="627"/>
      <c r="AR187" s="627"/>
      <c r="AS187" s="627"/>
      <c r="AT187" s="627"/>
      <c r="AU187" s="627"/>
      <c r="AV187" s="627"/>
      <c r="AW187" s="627"/>
      <c r="AX187" s="627"/>
      <c r="AY187" s="627"/>
      <c r="AZ187" s="627"/>
      <c r="BA187" s="627"/>
      <c r="BB187" s="627"/>
      <c r="BC187" s="627"/>
      <c r="BD187" s="627"/>
      <c r="BE187" s="627"/>
      <c r="BF187" s="627"/>
    </row>
    <row r="188" spans="1:243" s="637" customFormat="1" x14ac:dyDescent="0.2">
      <c r="A188" s="634"/>
      <c r="B188" s="635"/>
      <c r="C188" s="636"/>
      <c r="D188" s="636"/>
      <c r="E188" s="636"/>
      <c r="F188" s="636"/>
      <c r="G188" s="636"/>
      <c r="H188" s="636"/>
      <c r="I188" s="636"/>
      <c r="J188" s="636"/>
      <c r="K188" s="636"/>
      <c r="L188" s="636"/>
      <c r="M188" s="636"/>
      <c r="N188" s="636"/>
      <c r="O188" s="636"/>
      <c r="P188" s="636"/>
      <c r="Q188" s="636"/>
      <c r="R188" s="636"/>
      <c r="S188" s="636"/>
      <c r="T188" s="636"/>
      <c r="U188" s="636"/>
      <c r="V188" s="636"/>
      <c r="W188" s="636"/>
      <c r="X188" s="636"/>
      <c r="Y188" s="636"/>
      <c r="Z188" s="636"/>
      <c r="AA188" s="636"/>
      <c r="AB188" s="636"/>
      <c r="AC188" s="636"/>
      <c r="AD188" s="636"/>
      <c r="AE188" s="636"/>
      <c r="AF188" s="636"/>
      <c r="AG188" s="636"/>
      <c r="AH188" s="636"/>
      <c r="AI188" s="636"/>
      <c r="AJ188" s="636"/>
      <c r="AK188" s="636"/>
      <c r="AL188" s="636"/>
      <c r="AM188" s="636"/>
      <c r="AN188" s="636"/>
      <c r="AO188" s="636"/>
      <c r="AP188" s="636"/>
      <c r="AQ188" s="636"/>
      <c r="AR188" s="636"/>
      <c r="AS188" s="636"/>
      <c r="AT188" s="636"/>
      <c r="AU188" s="636"/>
      <c r="AV188" s="636"/>
      <c r="AW188" s="636"/>
      <c r="AX188" s="636"/>
      <c r="AY188" s="636"/>
      <c r="AZ188" s="636"/>
      <c r="BA188" s="636"/>
      <c r="BB188" s="636"/>
      <c r="BC188" s="636"/>
      <c r="BD188" s="636"/>
      <c r="BE188" s="636"/>
      <c r="BF188" s="636"/>
    </row>
    <row r="190" spans="1:243" x14ac:dyDescent="0.2">
      <c r="C190" s="804"/>
      <c r="D190" s="804"/>
      <c r="E190" s="804"/>
      <c r="F190" s="804"/>
    </row>
    <row r="191" spans="1:243" x14ac:dyDescent="0.2">
      <c r="C191" s="804"/>
      <c r="D191" s="804"/>
      <c r="E191" s="804"/>
      <c r="F191" s="804"/>
    </row>
    <row r="192" spans="1:243" x14ac:dyDescent="0.2">
      <c r="C192" s="804"/>
      <c r="D192" s="804"/>
      <c r="E192" s="804"/>
      <c r="F192" s="804"/>
    </row>
    <row r="240" spans="2:2" x14ac:dyDescent="0.2">
      <c r="B240" s="375" t="s">
        <v>1093</v>
      </c>
    </row>
  </sheetData>
  <mergeCells count="23">
    <mergeCell ref="A104:A107"/>
    <mergeCell ref="A114:A115"/>
    <mergeCell ref="A117:A118"/>
    <mergeCell ref="A119:A121"/>
    <mergeCell ref="A123:A125"/>
    <mergeCell ref="A99:A102"/>
    <mergeCell ref="A38:A41"/>
    <mergeCell ref="A43:A46"/>
    <mergeCell ref="A48:A51"/>
    <mergeCell ref="A53:A56"/>
    <mergeCell ref="A58:A60"/>
    <mergeCell ref="A62:A65"/>
    <mergeCell ref="A67:A73"/>
    <mergeCell ref="A77:A81"/>
    <mergeCell ref="A83:A87"/>
    <mergeCell ref="A89:A92"/>
    <mergeCell ref="A94:A97"/>
    <mergeCell ref="A32:A35"/>
    <mergeCell ref="A8:A11"/>
    <mergeCell ref="A13:A16"/>
    <mergeCell ref="A18:A21"/>
    <mergeCell ref="A23:A25"/>
    <mergeCell ref="A28:A30"/>
  </mergeCells>
  <dataValidations disablePrompts="1" count="1">
    <dataValidation type="list" allowBlank="1" showInputMessage="1" showErrorMessage="1" sqref="A4">
      <formula1>$B$165:$B$166</formula1>
    </dataValidation>
  </dataValidations>
  <pageMargins left="0.7" right="0.7" top="0.75" bottom="0.75" header="0.3" footer="0.3"/>
  <legacy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H146"/>
  <sheetViews>
    <sheetView rightToLeft="1" workbookViewId="0">
      <pane xSplit="3" ySplit="1" topLeftCell="D50" activePane="bottomRight" state="frozen"/>
      <selection activeCell="E49" sqref="E49"/>
      <selection pane="topRight" activeCell="E49" sqref="E49"/>
      <selection pane="bottomLeft" activeCell="E49" sqref="E49"/>
      <selection pane="bottomRight" activeCell="A64" sqref="A64:XFD66"/>
    </sheetView>
  </sheetViews>
  <sheetFormatPr defaultRowHeight="12.75" x14ac:dyDescent="0.2"/>
  <cols>
    <col min="1" max="1" width="35.28515625" bestFit="1" customWidth="1"/>
    <col min="2" max="2" width="19.5703125" bestFit="1" customWidth="1"/>
    <col min="3" max="3" width="4.28515625" customWidth="1"/>
    <col min="4" max="4" width="21.85546875" style="1" bestFit="1" customWidth="1"/>
    <col min="5" max="5" width="14.28515625" style="1" bestFit="1" customWidth="1"/>
    <col min="6" max="11" width="15.5703125" style="1" bestFit="1" customWidth="1"/>
    <col min="12" max="12" width="12.85546875" style="1" bestFit="1" customWidth="1"/>
    <col min="13" max="17" width="13" style="1" bestFit="1" customWidth="1"/>
    <col min="18" max="18" width="12.42578125" style="1072" bestFit="1" customWidth="1"/>
    <col min="19" max="19" width="17.42578125" style="1" bestFit="1" customWidth="1"/>
    <col min="20" max="21" width="12" style="1" bestFit="1" customWidth="1"/>
    <col min="22" max="22" width="11.85546875" style="1" customWidth="1"/>
    <col min="23" max="23" width="15" style="1" customWidth="1"/>
    <col min="24" max="24" width="13" style="1" bestFit="1" customWidth="1"/>
    <col min="25" max="25" width="17" style="1" customWidth="1"/>
    <col min="26" max="26" width="13.140625" style="1" bestFit="1" customWidth="1"/>
    <col min="27" max="37" width="12" style="1" bestFit="1" customWidth="1"/>
    <col min="38" max="38" width="15.5703125" style="1072" customWidth="1"/>
    <col min="39" max="39" width="13" style="1" bestFit="1" customWidth="1"/>
    <col min="40" max="43" width="12" style="1" bestFit="1" customWidth="1"/>
    <col min="44" max="46" width="11.7109375" style="1" bestFit="1" customWidth="1"/>
    <col min="47" max="47" width="12" style="1" bestFit="1" customWidth="1"/>
    <col min="48" max="48" width="12" style="1072" bestFit="1" customWidth="1"/>
    <col min="49" max="49" width="12.7109375" style="1" bestFit="1" customWidth="1"/>
    <col min="50" max="50" width="11.7109375" style="1" bestFit="1" customWidth="1"/>
    <col min="51" max="51" width="14.85546875" style="1" customWidth="1"/>
    <col min="52" max="52" width="12" style="1" bestFit="1" customWidth="1"/>
    <col min="53" max="53" width="15.140625" style="1" customWidth="1"/>
    <col min="54" max="54" width="13" style="1" bestFit="1" customWidth="1"/>
    <col min="55" max="59" width="13.140625" style="1" bestFit="1" customWidth="1"/>
    <col min="60" max="60" width="12" style="2" bestFit="1" customWidth="1"/>
  </cols>
  <sheetData>
    <row r="1" spans="2:60" x14ac:dyDescent="0.2">
      <c r="B1" t="s">
        <v>273</v>
      </c>
      <c r="D1" s="438" t="s">
        <v>454</v>
      </c>
      <c r="E1" s="438" t="s">
        <v>440</v>
      </c>
      <c r="F1" s="602" t="s">
        <v>448</v>
      </c>
      <c r="G1" s="602" t="s">
        <v>443</v>
      </c>
      <c r="H1" s="602" t="s">
        <v>257</v>
      </c>
      <c r="I1" s="602" t="s">
        <v>441</v>
      </c>
      <c r="J1" s="602" t="s">
        <v>455</v>
      </c>
      <c r="K1" s="602" t="s">
        <v>456</v>
      </c>
      <c r="L1" s="602" t="s">
        <v>447</v>
      </c>
      <c r="M1" s="602" t="s">
        <v>828</v>
      </c>
      <c r="N1" s="602" t="s">
        <v>442</v>
      </c>
      <c r="O1" s="602" t="s">
        <v>452</v>
      </c>
      <c r="P1" s="602" t="s">
        <v>453</v>
      </c>
      <c r="Q1" s="602" t="s">
        <v>457</v>
      </c>
      <c r="R1" s="1070" t="s">
        <v>691</v>
      </c>
      <c r="S1" s="602" t="s">
        <v>450</v>
      </c>
      <c r="T1" s="602" t="s">
        <v>446</v>
      </c>
      <c r="U1" s="602" t="s">
        <v>458</v>
      </c>
      <c r="V1" s="602" t="s">
        <v>445</v>
      </c>
      <c r="W1" s="602" t="s">
        <v>444</v>
      </c>
      <c r="X1" s="602" t="s">
        <v>449</v>
      </c>
      <c r="Y1" s="602" t="s">
        <v>439</v>
      </c>
      <c r="Z1" s="602" t="s">
        <v>260</v>
      </c>
      <c r="AA1" s="602" t="s">
        <v>658</v>
      </c>
      <c r="AB1" s="602" t="s">
        <v>258</v>
      </c>
      <c r="AC1" s="602" t="s">
        <v>659</v>
      </c>
      <c r="AD1" s="602" t="s">
        <v>254</v>
      </c>
      <c r="AE1" s="602" t="s">
        <v>264</v>
      </c>
      <c r="AF1" s="602" t="s">
        <v>256</v>
      </c>
      <c r="AG1" s="602" t="s">
        <v>255</v>
      </c>
      <c r="AH1" s="603" t="s">
        <v>660</v>
      </c>
      <c r="AI1" s="603" t="s">
        <v>269</v>
      </c>
      <c r="AJ1" s="603" t="s">
        <v>262</v>
      </c>
      <c r="AK1" s="602" t="s">
        <v>263</v>
      </c>
      <c r="AL1" s="1070" t="s">
        <v>275</v>
      </c>
      <c r="AM1" s="439" t="s">
        <v>687</v>
      </c>
      <c r="AN1" s="602" t="s">
        <v>259</v>
      </c>
      <c r="AO1" s="602" t="s">
        <v>578</v>
      </c>
      <c r="AP1" s="602" t="s">
        <v>281</v>
      </c>
      <c r="AQ1" s="602" t="s">
        <v>529</v>
      </c>
      <c r="AR1" s="602" t="s">
        <v>530</v>
      </c>
      <c r="AS1" s="602" t="s">
        <v>266</v>
      </c>
      <c r="AT1" s="602" t="s">
        <v>261</v>
      </c>
      <c r="AU1" s="602" t="s">
        <v>531</v>
      </c>
      <c r="AV1" s="1070" t="s">
        <v>253</v>
      </c>
      <c r="AW1" s="602" t="s">
        <v>271</v>
      </c>
      <c r="AX1" s="602" t="s">
        <v>268</v>
      </c>
      <c r="AY1" s="602" t="s">
        <v>661</v>
      </c>
      <c r="AZ1" s="602" t="s">
        <v>265</v>
      </c>
      <c r="BA1" s="602" t="s">
        <v>270</v>
      </c>
      <c r="BB1" s="602" t="s">
        <v>267</v>
      </c>
      <c r="BC1" s="602" t="s">
        <v>250</v>
      </c>
      <c r="BD1" s="602" t="s">
        <v>252</v>
      </c>
      <c r="BE1" s="602" t="s">
        <v>272</v>
      </c>
      <c r="BF1" s="602" t="s">
        <v>681</v>
      </c>
      <c r="BG1" s="602" t="s">
        <v>274</v>
      </c>
      <c r="BH1"/>
    </row>
    <row r="2" spans="2:60" x14ac:dyDescent="0.2">
      <c r="D2" s="39"/>
      <c r="E2" s="479"/>
      <c r="F2" s="39"/>
      <c r="G2" s="39"/>
      <c r="H2" s="39"/>
      <c r="I2" s="39"/>
      <c r="J2" s="39"/>
      <c r="K2" s="39"/>
      <c r="L2" s="39"/>
      <c r="M2" s="39"/>
      <c r="N2" s="39"/>
      <c r="O2" s="39"/>
      <c r="P2" s="39"/>
      <c r="Q2" s="39"/>
      <c r="R2" s="1071"/>
      <c r="S2" s="39"/>
      <c r="T2" s="39"/>
      <c r="U2" s="39"/>
      <c r="V2" s="39"/>
      <c r="W2" s="39"/>
      <c r="X2" s="39"/>
      <c r="Y2" s="39"/>
      <c r="Z2" s="39"/>
      <c r="AA2" s="39"/>
      <c r="AB2" s="39"/>
      <c r="AC2" s="39"/>
      <c r="AD2" s="39"/>
      <c r="AE2" s="39"/>
      <c r="AF2" s="39"/>
      <c r="AG2" s="39"/>
      <c r="AH2" s="805"/>
      <c r="AI2" s="805"/>
      <c r="AJ2" s="805"/>
      <c r="AK2" s="39"/>
      <c r="AL2" s="1071"/>
      <c r="AM2" s="39"/>
      <c r="AN2" s="39"/>
      <c r="AO2" s="39"/>
      <c r="AP2" s="39"/>
      <c r="AQ2" s="39"/>
      <c r="AR2" s="39"/>
      <c r="AS2" s="39"/>
      <c r="AT2" s="39"/>
      <c r="AU2" s="39"/>
      <c r="AV2" s="1071"/>
      <c r="AW2" s="39"/>
      <c r="AX2" s="39"/>
      <c r="AY2" s="39"/>
      <c r="AZ2" s="39"/>
      <c r="BA2" s="39"/>
      <c r="BB2" s="39"/>
      <c r="BC2" s="39"/>
      <c r="BD2" s="39"/>
      <c r="BE2" s="39"/>
      <c r="BF2" s="39"/>
      <c r="BG2" s="39"/>
      <c r="BH2"/>
    </row>
    <row r="3" spans="2:60" x14ac:dyDescent="0.2">
      <c r="B3" s="806" t="s">
        <v>1110</v>
      </c>
      <c r="D3" s="1240" t="s">
        <v>100</v>
      </c>
      <c r="E3" s="1240" t="s">
        <v>56</v>
      </c>
      <c r="F3" s="1240" t="s">
        <v>101</v>
      </c>
      <c r="G3" s="1240" t="s">
        <v>136</v>
      </c>
      <c r="H3" s="1240" t="s">
        <v>104</v>
      </c>
      <c r="I3" s="1240" t="s">
        <v>64</v>
      </c>
      <c r="J3" s="1240" t="s">
        <v>144</v>
      </c>
      <c r="K3" s="1240" t="s">
        <v>1</v>
      </c>
      <c r="L3" s="1240" t="s">
        <v>103</v>
      </c>
      <c r="M3" s="1240" t="s">
        <v>17</v>
      </c>
      <c r="N3" s="1240" t="s">
        <v>2</v>
      </c>
      <c r="O3" s="1240" t="s">
        <v>7</v>
      </c>
      <c r="P3" s="1240" t="s">
        <v>61</v>
      </c>
      <c r="Q3" s="1240" t="s">
        <v>48</v>
      </c>
      <c r="R3" s="1241" t="s">
        <v>57</v>
      </c>
      <c r="S3" s="1240" t="s">
        <v>59</v>
      </c>
      <c r="T3" s="5" t="s">
        <v>28</v>
      </c>
      <c r="U3" s="1240" t="s">
        <v>60</v>
      </c>
      <c r="V3" s="5" t="s">
        <v>138</v>
      </c>
      <c r="W3" s="1240" t="s">
        <v>27</v>
      </c>
      <c r="X3" s="1240" t="s">
        <v>3</v>
      </c>
      <c r="Y3" s="1240" t="s">
        <v>55</v>
      </c>
      <c r="Z3" s="5" t="s">
        <v>30</v>
      </c>
      <c r="AA3" s="1240" t="s">
        <v>50</v>
      </c>
      <c r="AB3" s="1240" t="s">
        <v>54</v>
      </c>
      <c r="AC3" s="1240" t="s">
        <v>51</v>
      </c>
      <c r="AD3" s="1240" t="s">
        <v>62</v>
      </c>
      <c r="AE3" s="1240" t="s">
        <v>53</v>
      </c>
      <c r="AF3" s="1240" t="s">
        <v>63</v>
      </c>
      <c r="AG3" s="5" t="s">
        <v>68</v>
      </c>
      <c r="AH3" s="1240" t="s">
        <v>73</v>
      </c>
      <c r="AI3" s="1240" t="s">
        <v>66</v>
      </c>
      <c r="AJ3" s="1240" t="s">
        <v>76</v>
      </c>
      <c r="AK3" s="5" t="s">
        <v>74</v>
      </c>
      <c r="AL3" s="1241" t="s">
        <v>75</v>
      </c>
      <c r="AM3" s="1240" t="s">
        <v>134</v>
      </c>
      <c r="AN3" s="1240" t="s">
        <v>86</v>
      </c>
      <c r="AO3" s="5" t="s">
        <v>80</v>
      </c>
      <c r="AP3" s="5" t="s">
        <v>248</v>
      </c>
      <c r="AQ3" s="5" t="s">
        <v>98</v>
      </c>
      <c r="AR3" s="5" t="s">
        <v>97</v>
      </c>
      <c r="AS3" s="5" t="s">
        <v>99</v>
      </c>
      <c r="AT3" s="5" t="s">
        <v>39</v>
      </c>
      <c r="AU3" s="1240" t="s">
        <v>106</v>
      </c>
      <c r="AV3" s="1241" t="s">
        <v>15</v>
      </c>
      <c r="AW3" s="5" t="s">
        <v>107</v>
      </c>
      <c r="AX3" s="1240" t="s">
        <v>123</v>
      </c>
      <c r="AY3" s="1242" t="s">
        <v>314</v>
      </c>
      <c r="AZ3" s="1243" t="s">
        <v>112</v>
      </c>
      <c r="BA3" s="5" t="s">
        <v>113</v>
      </c>
      <c r="BB3" s="1240" t="s">
        <v>127</v>
      </c>
      <c r="BC3" s="5" t="s">
        <v>88</v>
      </c>
      <c r="BD3" s="1240" t="s">
        <v>740</v>
      </c>
      <c r="BE3" s="1240" t="s">
        <v>87</v>
      </c>
      <c r="BF3" s="1240" t="s">
        <v>102</v>
      </c>
      <c r="BG3" s="1240" t="s">
        <v>72</v>
      </c>
      <c r="BH3"/>
    </row>
    <row r="4" spans="2:60" x14ac:dyDescent="0.2">
      <c r="D4" s="1240" t="s">
        <v>6</v>
      </c>
      <c r="E4" s="1240" t="s">
        <v>140</v>
      </c>
      <c r="F4" s="1240"/>
      <c r="G4" s="1240" t="s">
        <v>58</v>
      </c>
      <c r="H4" s="1240"/>
      <c r="I4" s="1240" t="s">
        <v>9</v>
      </c>
      <c r="J4" s="1240"/>
      <c r="K4" s="1240"/>
      <c r="L4" s="1240" t="s">
        <v>67</v>
      </c>
      <c r="M4" s="1240" t="s">
        <v>148</v>
      </c>
      <c r="N4" s="1240"/>
      <c r="O4" s="1240" t="s">
        <v>141</v>
      </c>
      <c r="P4" s="1240" t="s">
        <v>4</v>
      </c>
      <c r="Q4" s="1240" t="s">
        <v>16</v>
      </c>
      <c r="R4" s="1241"/>
      <c r="S4" s="1240" t="s">
        <v>71</v>
      </c>
      <c r="T4" s="5"/>
      <c r="U4" s="1240"/>
      <c r="V4" s="5"/>
      <c r="W4" s="1240" t="s">
        <v>0</v>
      </c>
      <c r="X4" s="1240" t="s">
        <v>149</v>
      </c>
      <c r="Y4" s="1240" t="s">
        <v>40</v>
      </c>
      <c r="Z4" s="5" t="s">
        <v>38</v>
      </c>
      <c r="AA4" s="1240"/>
      <c r="AB4" s="1240"/>
      <c r="AC4" s="1240"/>
      <c r="AD4" s="1240"/>
      <c r="AE4" s="1240"/>
      <c r="AF4" s="1240"/>
      <c r="AG4" s="5" t="s">
        <v>77</v>
      </c>
      <c r="AH4" s="1240"/>
      <c r="AI4" s="1240"/>
      <c r="AJ4" s="1240"/>
      <c r="AK4" s="5" t="s">
        <v>247</v>
      </c>
      <c r="AL4" s="1241"/>
      <c r="AM4" s="1240"/>
      <c r="AN4" s="1240" t="s">
        <v>70</v>
      </c>
      <c r="AO4" s="5" t="s">
        <v>82</v>
      </c>
      <c r="AP4" s="5"/>
      <c r="AQ4" s="5"/>
      <c r="AR4" s="5"/>
      <c r="AS4" s="5"/>
      <c r="AT4" s="5" t="s">
        <v>93</v>
      </c>
      <c r="AU4" s="1240"/>
      <c r="AV4" s="1241"/>
      <c r="AW4" s="5" t="s">
        <v>108</v>
      </c>
      <c r="AX4" s="1240"/>
      <c r="AY4" s="1240" t="s">
        <v>109</v>
      </c>
      <c r="AZ4" s="1240"/>
      <c r="BA4" s="5" t="s">
        <v>125</v>
      </c>
      <c r="BB4" s="1240" t="s">
        <v>128</v>
      </c>
      <c r="BC4" s="5" t="s">
        <v>69</v>
      </c>
      <c r="BD4" s="5" t="s">
        <v>14</v>
      </c>
      <c r="BE4" s="5" t="s">
        <v>495</v>
      </c>
      <c r="BF4" s="1240"/>
      <c r="BG4" s="1240" t="s">
        <v>202</v>
      </c>
      <c r="BH4"/>
    </row>
    <row r="5" spans="2:60" x14ac:dyDescent="0.2">
      <c r="B5" s="23"/>
      <c r="D5" s="1240" t="s">
        <v>25</v>
      </c>
      <c r="E5" s="1240" t="s">
        <v>52</v>
      </c>
      <c r="F5" s="1240"/>
      <c r="G5" s="1240"/>
      <c r="H5" s="1240"/>
      <c r="I5" s="1240" t="s">
        <v>119</v>
      </c>
      <c r="J5" s="1240"/>
      <c r="K5" s="1240"/>
      <c r="L5" s="1240" t="s">
        <v>238</v>
      </c>
      <c r="M5" s="1240" t="s">
        <v>124</v>
      </c>
      <c r="N5" s="1240"/>
      <c r="O5" s="1240"/>
      <c r="P5" s="1240" t="s">
        <v>206</v>
      </c>
      <c r="Q5" s="1240" t="s">
        <v>18</v>
      </c>
      <c r="R5" s="1241"/>
      <c r="S5" s="1240" t="s">
        <v>78</v>
      </c>
      <c r="T5" s="5"/>
      <c r="U5" s="1240"/>
      <c r="V5" s="5"/>
      <c r="W5" s="1242" t="s">
        <v>139</v>
      </c>
      <c r="X5" s="1240" t="s">
        <v>23</v>
      </c>
      <c r="Y5" s="1240" t="s">
        <v>20</v>
      </c>
      <c r="Z5" s="5" t="s">
        <v>26</v>
      </c>
      <c r="AA5" s="1240"/>
      <c r="AB5" s="1240"/>
      <c r="AC5" s="1240"/>
      <c r="AD5" s="1240"/>
      <c r="AE5" s="1240"/>
      <c r="AF5" s="1240"/>
      <c r="AG5" s="5"/>
      <c r="AH5" s="1240"/>
      <c r="AI5" s="1240"/>
      <c r="AJ5" s="1240"/>
      <c r="AK5" s="1240"/>
      <c r="AL5" s="1241"/>
      <c r="AM5" s="1240"/>
      <c r="AN5" s="1240" t="s">
        <v>85</v>
      </c>
      <c r="AO5" s="1240" t="s">
        <v>83</v>
      </c>
      <c r="AP5" s="1240"/>
      <c r="AQ5" s="1240"/>
      <c r="AR5" s="5"/>
      <c r="AS5" s="5"/>
      <c r="AT5" s="5" t="s">
        <v>94</v>
      </c>
      <c r="AU5" s="1240"/>
      <c r="AV5" s="1241"/>
      <c r="AW5" s="5"/>
      <c r="AX5" s="1240"/>
      <c r="AY5" s="1240" t="s">
        <v>122</v>
      </c>
      <c r="AZ5" s="1240"/>
      <c r="BA5" s="5" t="s">
        <v>115</v>
      </c>
      <c r="BB5" s="1240" t="s">
        <v>129</v>
      </c>
      <c r="BC5" s="5" t="s">
        <v>96</v>
      </c>
      <c r="BD5" s="5" t="s">
        <v>105</v>
      </c>
      <c r="BE5" s="5"/>
      <c r="BF5" s="1240"/>
      <c r="BG5" s="1240"/>
      <c r="BH5"/>
    </row>
    <row r="6" spans="2:60" x14ac:dyDescent="0.2">
      <c r="D6" s="1240"/>
      <c r="E6" s="1240" t="s">
        <v>223</v>
      </c>
      <c r="F6" s="1240"/>
      <c r="G6" s="1240"/>
      <c r="H6" s="1240"/>
      <c r="I6" s="1240"/>
      <c r="J6" s="1240"/>
      <c r="K6" s="1240"/>
      <c r="L6" s="1240"/>
      <c r="M6" s="1240" t="s">
        <v>219</v>
      </c>
      <c r="N6" s="1240"/>
      <c r="O6" s="1240"/>
      <c r="P6" s="1240" t="s">
        <v>196</v>
      </c>
      <c r="Q6" s="1240" t="s">
        <v>12</v>
      </c>
      <c r="R6" s="1241"/>
      <c r="S6" s="1240"/>
      <c r="T6" s="5"/>
      <c r="U6" s="1240"/>
      <c r="V6" s="5"/>
      <c r="W6" s="1240" t="s">
        <v>13</v>
      </c>
      <c r="X6" s="1240" t="s">
        <v>34</v>
      </c>
      <c r="Y6" s="1240" t="s">
        <v>46</v>
      </c>
      <c r="Z6" s="5" t="s">
        <v>22</v>
      </c>
      <c r="AA6" s="1240"/>
      <c r="AB6" s="1240"/>
      <c r="AC6" s="1240"/>
      <c r="AD6" s="1240"/>
      <c r="AE6" s="1240"/>
      <c r="AF6" s="1240"/>
      <c r="AG6" s="5"/>
      <c r="AH6" s="1240"/>
      <c r="AI6" s="1240"/>
      <c r="AJ6" s="1240"/>
      <c r="AK6" s="5"/>
      <c r="AL6" s="1241"/>
      <c r="AM6" s="1240"/>
      <c r="AN6" s="1240" t="s">
        <v>65</v>
      </c>
      <c r="AO6" s="5" t="s">
        <v>81</v>
      </c>
      <c r="AP6" s="5"/>
      <c r="AQ6" s="5"/>
      <c r="AR6" s="5"/>
      <c r="AS6" s="5"/>
      <c r="AT6" s="5" t="s">
        <v>89</v>
      </c>
      <c r="AU6" s="1240"/>
      <c r="AV6" s="1241"/>
      <c r="AW6" s="5"/>
      <c r="AX6" s="1240"/>
      <c r="AZ6" s="1240"/>
      <c r="BA6" s="5"/>
      <c r="BB6" s="1240" t="s">
        <v>130</v>
      </c>
      <c r="BC6" s="5" t="s">
        <v>90</v>
      </c>
      <c r="BD6" s="5" t="s">
        <v>45</v>
      </c>
      <c r="BE6" s="5"/>
      <c r="BF6" s="1240"/>
      <c r="BG6" s="1240"/>
      <c r="BH6"/>
    </row>
    <row r="7" spans="2:60" x14ac:dyDescent="0.2">
      <c r="D7" s="1240"/>
      <c r="E7" s="1240" t="s">
        <v>33</v>
      </c>
      <c r="F7" s="1240"/>
      <c r="G7" s="1240"/>
      <c r="H7" s="1240"/>
      <c r="I7" s="1240"/>
      <c r="J7" s="1240"/>
      <c r="K7" s="1240"/>
      <c r="L7" s="1240"/>
      <c r="M7" s="1240"/>
      <c r="N7" s="1240"/>
      <c r="O7" s="1240"/>
      <c r="P7" s="1240"/>
      <c r="Q7" s="1240" t="s">
        <v>21</v>
      </c>
      <c r="R7" s="1241"/>
      <c r="S7" s="1240"/>
      <c r="T7" s="5"/>
      <c r="U7" s="1240"/>
      <c r="V7" s="5"/>
      <c r="W7" s="1240" t="s">
        <v>36</v>
      </c>
      <c r="X7" s="1240" t="s">
        <v>8</v>
      </c>
      <c r="Y7" s="1240" t="s">
        <v>5</v>
      </c>
      <c r="Z7" s="5"/>
      <c r="AA7" s="1240"/>
      <c r="AB7" s="1240"/>
      <c r="AC7" s="1240"/>
      <c r="AD7" s="1240"/>
      <c r="AE7" s="1240"/>
      <c r="AF7" s="1240"/>
      <c r="AG7" s="5"/>
      <c r="AH7" s="1240"/>
      <c r="AI7" s="1240"/>
      <c r="AJ7" s="1240"/>
      <c r="AK7" s="5"/>
      <c r="AL7" s="1241"/>
      <c r="AM7" s="1240"/>
      <c r="AN7" s="1240" t="s">
        <v>84</v>
      </c>
      <c r="AO7" s="5" t="s">
        <v>143</v>
      </c>
      <c r="AP7" s="5"/>
      <c r="AQ7" s="5"/>
      <c r="AR7" s="5"/>
      <c r="AS7" s="5"/>
      <c r="AT7" s="5" t="s">
        <v>42</v>
      </c>
      <c r="AU7" s="1240"/>
      <c r="AV7" s="1241"/>
      <c r="AW7" s="5"/>
      <c r="AX7" s="1240"/>
      <c r="AY7" s="1240"/>
      <c r="AZ7" s="1240"/>
      <c r="BA7" s="5"/>
      <c r="BB7" s="1240"/>
      <c r="BC7" s="5" t="s">
        <v>91</v>
      </c>
      <c r="BD7" s="5" t="s">
        <v>35</v>
      </c>
      <c r="BE7" s="5"/>
      <c r="BF7" s="1240"/>
      <c r="BG7" s="1240"/>
      <c r="BH7"/>
    </row>
    <row r="8" spans="2:60" x14ac:dyDescent="0.2">
      <c r="B8" s="23"/>
      <c r="D8" s="1240"/>
      <c r="F8" s="1240"/>
      <c r="G8" s="1240"/>
      <c r="H8" s="1240"/>
      <c r="I8" s="1240"/>
      <c r="J8" s="1240"/>
      <c r="K8" s="1240"/>
      <c r="L8" s="1240"/>
      <c r="M8" s="1240"/>
      <c r="N8" s="1240"/>
      <c r="O8" s="1240"/>
      <c r="P8" s="1240"/>
      <c r="Q8" s="1240" t="s">
        <v>132</v>
      </c>
      <c r="R8" s="1241"/>
      <c r="S8" s="1240"/>
      <c r="T8" s="5"/>
      <c r="U8" s="1240"/>
      <c r="V8" s="5"/>
      <c r="W8" s="1240" t="s">
        <v>32</v>
      </c>
      <c r="X8" s="1240" t="s">
        <v>560</v>
      </c>
      <c r="Y8" s="1240"/>
      <c r="Z8" s="5"/>
      <c r="AA8" s="1240"/>
      <c r="AB8" s="1240"/>
      <c r="AC8" s="1240"/>
      <c r="AD8" s="1240"/>
      <c r="AE8" s="1240"/>
      <c r="AF8" s="1240"/>
      <c r="AG8" s="5"/>
      <c r="AH8" s="1240"/>
      <c r="AI8" s="1240"/>
      <c r="AJ8" s="1240"/>
      <c r="AK8" s="5"/>
      <c r="AL8" s="1241"/>
      <c r="AM8" s="1240"/>
      <c r="AN8" s="1240"/>
      <c r="AO8" s="5" t="s">
        <v>145</v>
      </c>
      <c r="AP8" s="5"/>
      <c r="AQ8" s="5"/>
      <c r="AR8" s="5"/>
      <c r="AS8" s="5"/>
      <c r="AT8" s="5" t="s">
        <v>92</v>
      </c>
      <c r="AU8" s="1240"/>
      <c r="AV8" s="1241"/>
      <c r="AW8" s="5"/>
      <c r="AX8" s="1240"/>
      <c r="AY8" s="1240"/>
      <c r="AZ8" s="1240"/>
      <c r="BA8" s="5"/>
      <c r="BB8" s="1240"/>
      <c r="BC8" s="5" t="s">
        <v>142</v>
      </c>
      <c r="BD8" s="1240" t="s">
        <v>738</v>
      </c>
      <c r="BE8" s="1240"/>
      <c r="BF8" s="1240"/>
      <c r="BG8" s="1240"/>
      <c r="BH8"/>
    </row>
    <row r="9" spans="2:60" x14ac:dyDescent="0.2">
      <c r="B9" s="23"/>
      <c r="D9" s="1240"/>
      <c r="F9" s="1240"/>
      <c r="G9" s="1240"/>
      <c r="H9" s="1240"/>
      <c r="I9" s="1240"/>
      <c r="J9" s="1240"/>
      <c r="K9" s="1240"/>
      <c r="L9" s="1240"/>
      <c r="M9" s="1240"/>
      <c r="N9" s="1240"/>
      <c r="O9" s="1240"/>
      <c r="P9" s="1240"/>
      <c r="Q9" s="1240" t="s">
        <v>133</v>
      </c>
      <c r="R9" s="1241"/>
      <c r="S9" s="1240"/>
      <c r="T9" s="5"/>
      <c r="U9" s="1240"/>
      <c r="V9" s="5"/>
      <c r="W9" s="1240" t="s">
        <v>135</v>
      </c>
      <c r="X9" s="1240"/>
      <c r="Y9" s="1240"/>
      <c r="Z9" s="5"/>
      <c r="AA9" s="1240"/>
      <c r="AB9" s="1240"/>
      <c r="AC9" s="1240"/>
      <c r="AD9" s="1240"/>
      <c r="AE9" s="1240"/>
      <c r="AF9" s="1240"/>
      <c r="AG9" s="5"/>
      <c r="AH9" s="1240"/>
      <c r="AI9" s="1240"/>
      <c r="AJ9" s="1240"/>
      <c r="AK9" s="5"/>
      <c r="AL9" s="1241"/>
      <c r="AM9" s="1240"/>
      <c r="AN9" s="1240"/>
      <c r="AO9" s="5"/>
      <c r="AP9" s="5"/>
      <c r="AQ9" s="5"/>
      <c r="AR9" s="5"/>
      <c r="AS9" s="5"/>
      <c r="AT9" s="5" t="s">
        <v>41</v>
      </c>
      <c r="AU9" s="1240"/>
      <c r="AV9" s="1241"/>
      <c r="AW9" s="5"/>
      <c r="AX9" s="1240"/>
      <c r="AY9" s="1240"/>
      <c r="AZ9" s="1240"/>
      <c r="BA9" s="5"/>
      <c r="BB9" s="1240"/>
      <c r="BC9" s="5" t="s">
        <v>131</v>
      </c>
      <c r="BD9" s="1240" t="s">
        <v>739</v>
      </c>
      <c r="BE9" s="1240"/>
      <c r="BF9" s="1240"/>
      <c r="BG9" s="1240"/>
      <c r="BH9"/>
    </row>
    <row r="10" spans="2:60" x14ac:dyDescent="0.2">
      <c r="Q10" s="1" t="s">
        <v>146</v>
      </c>
      <c r="AT10" s="1" t="s">
        <v>11</v>
      </c>
      <c r="BH10"/>
    </row>
    <row r="11" spans="2:60" x14ac:dyDescent="0.2">
      <c r="Q11" s="1" t="s">
        <v>224</v>
      </c>
      <c r="AT11" s="1" t="s">
        <v>484</v>
      </c>
      <c r="BH11"/>
    </row>
    <row r="12" spans="2:60" x14ac:dyDescent="0.2">
      <c r="Q12" s="1" t="s">
        <v>245</v>
      </c>
      <c r="AT12" s="1" t="s">
        <v>485</v>
      </c>
      <c r="BH12"/>
    </row>
    <row r="13" spans="2:60" x14ac:dyDescent="0.2">
      <c r="Q13" s="1" t="s">
        <v>233</v>
      </c>
      <c r="BH13"/>
    </row>
    <row r="14" spans="2:60" x14ac:dyDescent="0.2">
      <c r="B14" s="22"/>
      <c r="Q14" s="1" t="s">
        <v>37</v>
      </c>
      <c r="BH14"/>
    </row>
    <row r="15" spans="2:60" x14ac:dyDescent="0.2">
      <c r="Q15" s="1" t="s">
        <v>147</v>
      </c>
      <c r="BH15"/>
    </row>
    <row r="16" spans="2:60" x14ac:dyDescent="0.2">
      <c r="BH16"/>
    </row>
    <row r="19" spans="1:242" x14ac:dyDescent="0.2">
      <c r="B19" t="s">
        <v>151</v>
      </c>
      <c r="C19" s="808"/>
      <c r="D19" s="106" t="s">
        <v>1111</v>
      </c>
      <c r="E19" s="106" t="s">
        <v>1112</v>
      </c>
      <c r="F19" s="106" t="s">
        <v>1113</v>
      </c>
      <c r="G19" s="106" t="s">
        <v>1114</v>
      </c>
      <c r="H19" s="106" t="s">
        <v>1115</v>
      </c>
      <c r="I19" s="106" t="s">
        <v>1116</v>
      </c>
      <c r="J19" s="106" t="s">
        <v>1117</v>
      </c>
      <c r="K19" s="106" t="s">
        <v>1118</v>
      </c>
      <c r="L19" s="106" t="s">
        <v>1119</v>
      </c>
      <c r="M19" s="106" t="s">
        <v>1120</v>
      </c>
      <c r="N19" s="106" t="s">
        <v>1121</v>
      </c>
      <c r="O19" s="106" t="s">
        <v>1122</v>
      </c>
      <c r="P19" s="106" t="s">
        <v>1123</v>
      </c>
      <c r="Q19" s="106" t="s">
        <v>1124</v>
      </c>
      <c r="R19" s="1073" t="s">
        <v>1125</v>
      </c>
      <c r="S19" s="106" t="s">
        <v>1126</v>
      </c>
      <c r="T19" s="106" t="s">
        <v>1127</v>
      </c>
      <c r="U19" s="106" t="s">
        <v>1128</v>
      </c>
      <c r="V19" s="106" t="s">
        <v>1129</v>
      </c>
      <c r="W19" s="106" t="s">
        <v>1130</v>
      </c>
      <c r="X19" s="106" t="s">
        <v>1131</v>
      </c>
      <c r="Y19" s="106" t="s">
        <v>1132</v>
      </c>
      <c r="Z19" s="106" t="s">
        <v>1133</v>
      </c>
      <c r="AA19" s="106" t="s">
        <v>1134</v>
      </c>
      <c r="AB19" s="106" t="s">
        <v>1135</v>
      </c>
      <c r="AC19" s="106" t="s">
        <v>1136</v>
      </c>
      <c r="AD19" s="106" t="s">
        <v>1137</v>
      </c>
      <c r="AE19" s="106" t="s">
        <v>1138</v>
      </c>
      <c r="AF19" s="106" t="s">
        <v>1139</v>
      </c>
      <c r="AG19" s="106" t="s">
        <v>1140</v>
      </c>
      <c r="AH19" s="106" t="s">
        <v>1141</v>
      </c>
      <c r="AI19" s="106" t="s">
        <v>1142</v>
      </c>
      <c r="AJ19" s="106" t="s">
        <v>1143</v>
      </c>
      <c r="AK19" s="106" t="s">
        <v>1144</v>
      </c>
      <c r="AL19" s="1073" t="s">
        <v>1145</v>
      </c>
      <c r="AM19" s="106" t="s">
        <v>1146</v>
      </c>
      <c r="AN19" s="106" t="s">
        <v>1147</v>
      </c>
      <c r="AO19" s="106" t="s">
        <v>1148</v>
      </c>
      <c r="AP19" s="106" t="s">
        <v>1149</v>
      </c>
      <c r="AQ19" s="106" t="s">
        <v>1150</v>
      </c>
      <c r="AR19" s="106" t="s">
        <v>1151</v>
      </c>
      <c r="AS19" s="106" t="s">
        <v>1152</v>
      </c>
      <c r="AT19" s="106" t="s">
        <v>1153</v>
      </c>
      <c r="AU19" s="106" t="s">
        <v>1154</v>
      </c>
      <c r="AV19" s="1073" t="s">
        <v>1155</v>
      </c>
      <c r="AW19" s="106" t="s">
        <v>1156</v>
      </c>
      <c r="AX19" s="106" t="s">
        <v>1157</v>
      </c>
      <c r="AY19" s="106" t="s">
        <v>1158</v>
      </c>
      <c r="AZ19" s="106" t="s">
        <v>1159</v>
      </c>
      <c r="BA19" s="106" t="s">
        <v>1160</v>
      </c>
      <c r="BB19" s="106" t="s">
        <v>1161</v>
      </c>
      <c r="BC19" s="106" t="s">
        <v>1162</v>
      </c>
      <c r="BD19" s="106" t="s">
        <v>1163</v>
      </c>
      <c r="BE19" s="106" t="s">
        <v>1164</v>
      </c>
      <c r="BF19" s="106" t="s">
        <v>1165</v>
      </c>
      <c r="BG19" s="106" t="s">
        <v>1565</v>
      </c>
      <c r="BH19" s="1074"/>
      <c r="BI19" s="808"/>
      <c r="BJ19" s="808"/>
      <c r="BK19" s="808"/>
      <c r="BL19" s="808"/>
      <c r="BM19" s="808"/>
      <c r="BN19" s="808"/>
      <c r="BO19" s="808"/>
      <c r="BP19" s="808"/>
      <c r="BQ19" s="808"/>
      <c r="BR19" s="808"/>
      <c r="BS19" s="808"/>
      <c r="BT19" s="808"/>
      <c r="BU19" s="808"/>
      <c r="BV19" s="808"/>
      <c r="BW19" s="808"/>
      <c r="BX19" s="808"/>
      <c r="BY19" s="808"/>
      <c r="BZ19" s="808"/>
      <c r="CA19" s="808"/>
      <c r="CB19" s="808"/>
      <c r="CC19" s="808"/>
      <c r="CD19" s="808"/>
      <c r="CE19" s="808"/>
      <c r="CF19" s="808"/>
      <c r="CG19" s="808"/>
      <c r="CH19" s="808"/>
      <c r="CI19" s="808"/>
      <c r="CJ19" s="808"/>
      <c r="CK19" s="808"/>
      <c r="CL19" s="808"/>
      <c r="CM19" s="808"/>
      <c r="CN19" s="808"/>
      <c r="CO19" s="808"/>
      <c r="CP19" s="808"/>
      <c r="CQ19" s="808"/>
      <c r="CR19" s="808"/>
      <c r="CS19" s="808"/>
      <c r="CT19" s="808"/>
      <c r="CU19" s="808"/>
      <c r="CV19" s="808"/>
      <c r="CW19" s="808"/>
      <c r="CX19" s="808"/>
      <c r="CY19" s="808"/>
      <c r="CZ19" s="808"/>
      <c r="DA19" s="808"/>
      <c r="DB19" s="808"/>
      <c r="DC19" s="808"/>
      <c r="DD19" s="808"/>
      <c r="DE19" s="808"/>
      <c r="DF19" s="808"/>
      <c r="DG19" s="808"/>
      <c r="DH19" s="808"/>
      <c r="DI19" s="808"/>
      <c r="DJ19" s="808"/>
      <c r="DK19" s="808"/>
      <c r="DL19" s="808"/>
      <c r="DM19" s="808"/>
      <c r="DN19" s="808"/>
      <c r="DO19" s="808"/>
      <c r="DP19" s="808"/>
      <c r="DQ19" s="808"/>
      <c r="DR19" s="808"/>
      <c r="DS19" s="808"/>
      <c r="DT19" s="808"/>
      <c r="DU19" s="808"/>
      <c r="DV19" s="808"/>
      <c r="DW19" s="808"/>
      <c r="DX19" s="808"/>
      <c r="DY19" s="808"/>
      <c r="DZ19" s="808"/>
      <c r="EA19" s="808"/>
      <c r="EB19" s="808"/>
      <c r="EC19" s="808"/>
      <c r="ED19" s="808"/>
      <c r="EE19" s="808"/>
      <c r="EF19" s="808"/>
      <c r="EG19" s="808"/>
      <c r="EH19" s="808"/>
      <c r="EI19" s="808"/>
      <c r="EJ19" s="808"/>
      <c r="EK19" s="808"/>
      <c r="EL19" s="808"/>
      <c r="EM19" s="808"/>
      <c r="EN19" s="808"/>
      <c r="EO19" s="808"/>
      <c r="EP19" s="808"/>
      <c r="EQ19" s="808"/>
      <c r="ER19" s="808"/>
      <c r="ES19" s="808"/>
      <c r="ET19" s="808"/>
      <c r="EU19" s="808"/>
      <c r="EV19" s="808"/>
      <c r="EW19" s="808"/>
      <c r="EX19" s="808"/>
      <c r="EY19" s="808"/>
      <c r="EZ19" s="808"/>
      <c r="FA19" s="808"/>
      <c r="FB19" s="808"/>
      <c r="FC19" s="808"/>
      <c r="FD19" s="808"/>
      <c r="FE19" s="808"/>
      <c r="FF19" s="808"/>
      <c r="FG19" s="808"/>
      <c r="FH19" s="808"/>
      <c r="FI19" s="808"/>
      <c r="FJ19" s="808"/>
      <c r="FK19" s="808"/>
      <c r="FL19" s="808"/>
      <c r="FM19" s="808"/>
      <c r="FN19" s="808"/>
      <c r="FO19" s="808"/>
      <c r="FP19" s="808"/>
      <c r="FQ19" s="808"/>
      <c r="FR19" s="808"/>
      <c r="FS19" s="808"/>
      <c r="FT19" s="808"/>
      <c r="FU19" s="808"/>
      <c r="FV19" s="808"/>
      <c r="FW19" s="808"/>
      <c r="FX19" s="808"/>
      <c r="FY19" s="808"/>
      <c r="FZ19" s="808"/>
      <c r="GA19" s="808"/>
      <c r="GB19" s="808"/>
      <c r="GC19" s="808"/>
      <c r="GD19" s="808"/>
      <c r="GE19" s="808"/>
      <c r="GF19" s="808"/>
      <c r="GG19" s="808"/>
      <c r="GH19" s="808"/>
      <c r="GI19" s="808" t="e">
        <v>#REF!</v>
      </c>
      <c r="GJ19" s="808" t="e">
        <v>#REF!</v>
      </c>
      <c r="GK19" s="808" t="e">
        <v>#REF!</v>
      </c>
      <c r="GL19" s="808" t="e">
        <v>#REF!</v>
      </c>
      <c r="GM19" s="808" t="e">
        <v>#REF!</v>
      </c>
      <c r="GN19" s="808" t="e">
        <v>#REF!</v>
      </c>
      <c r="GO19" s="808" t="e">
        <v>#REF!</v>
      </c>
      <c r="GP19" s="808" t="e">
        <v>#REF!</v>
      </c>
      <c r="GQ19" s="808" t="e">
        <v>#REF!</v>
      </c>
      <c r="GR19" s="808" t="e">
        <v>#REF!</v>
      </c>
      <c r="GS19" s="808" t="e">
        <v>#REF!</v>
      </c>
      <c r="GT19" s="808" t="e">
        <v>#REF!</v>
      </c>
      <c r="GU19" s="808" t="e">
        <v>#REF!</v>
      </c>
      <c r="GV19" s="808" t="e">
        <v>#REF!</v>
      </c>
      <c r="GW19" s="808" t="e">
        <v>#REF!</v>
      </c>
      <c r="GX19" s="808" t="e">
        <v>#REF!</v>
      </c>
      <c r="GY19" s="808" t="e">
        <v>#REF!</v>
      </c>
      <c r="GZ19" s="808" t="e">
        <v>#REF!</v>
      </c>
      <c r="HA19" s="808" t="e">
        <v>#REF!</v>
      </c>
      <c r="HB19" s="808" t="e">
        <v>#REF!</v>
      </c>
      <c r="HC19" s="808" t="e">
        <v>#REF!</v>
      </c>
      <c r="HD19" s="808" t="e">
        <v>#REF!</v>
      </c>
      <c r="HE19" s="808" t="e">
        <v>#REF!</v>
      </c>
      <c r="HF19" s="808" t="e">
        <v>#REF!</v>
      </c>
      <c r="HG19" s="808" t="e">
        <v>#REF!</v>
      </c>
      <c r="HH19" s="808" t="e">
        <v>#REF!</v>
      </c>
      <c r="HI19" s="808" t="e">
        <v>#REF!</v>
      </c>
      <c r="HJ19" s="808" t="e">
        <v>#REF!</v>
      </c>
      <c r="HK19" s="808" t="e">
        <v>#REF!</v>
      </c>
      <c r="HL19" s="808" t="e">
        <v>#REF!</v>
      </c>
      <c r="HM19" s="808" t="e">
        <v>#REF!</v>
      </c>
      <c r="HN19" s="808" t="e">
        <v>#REF!</v>
      </c>
      <c r="HO19" s="808" t="e">
        <v>#REF!</v>
      </c>
      <c r="HP19" s="808" t="e">
        <v>#REF!</v>
      </c>
      <c r="HQ19" s="808" t="e">
        <v>#REF!</v>
      </c>
      <c r="HR19" s="808" t="e">
        <v>#REF!</v>
      </c>
      <c r="HS19" s="808" t="e">
        <v>#REF!</v>
      </c>
      <c r="HT19" s="808" t="e">
        <v>#REF!</v>
      </c>
      <c r="HU19" s="808" t="e">
        <v>#REF!</v>
      </c>
      <c r="HV19" s="808" t="e">
        <v>#REF!</v>
      </c>
      <c r="HW19" s="808" t="e">
        <v>#REF!</v>
      </c>
      <c r="HX19" s="808" t="e">
        <v>#REF!</v>
      </c>
      <c r="HY19" s="808" t="e">
        <v>#REF!</v>
      </c>
      <c r="HZ19" s="808" t="e">
        <v>#REF!</v>
      </c>
      <c r="IA19" s="808" t="e">
        <v>#REF!</v>
      </c>
      <c r="IB19" s="808" t="e">
        <v>#REF!</v>
      </c>
      <c r="IC19" s="808" t="e">
        <v>#REF!</v>
      </c>
      <c r="ID19" s="808" t="e">
        <v>#REF!</v>
      </c>
      <c r="IE19" s="808" t="e">
        <v>#REF!</v>
      </c>
      <c r="IF19" s="808" t="e">
        <v>#REF!</v>
      </c>
      <c r="IG19" s="808" t="e">
        <v>#REF!</v>
      </c>
      <c r="IH19" s="808" t="e">
        <v>#REF!</v>
      </c>
    </row>
    <row r="20" spans="1:242" x14ac:dyDescent="0.2">
      <c r="B20" s="1228" t="s">
        <v>1167</v>
      </c>
      <c r="R20" s="1"/>
      <c r="AL20" s="1"/>
      <c r="AV20" s="1"/>
    </row>
    <row r="21" spans="1:242" x14ac:dyDescent="0.2">
      <c r="B21" s="1228">
        <v>2010</v>
      </c>
      <c r="H21" s="1">
        <v>313</v>
      </c>
      <c r="L21" s="1">
        <v>1113</v>
      </c>
      <c r="M21" s="5">
        <v>12238</v>
      </c>
      <c r="N21" s="5"/>
      <c r="O21" s="5">
        <v>595</v>
      </c>
      <c r="P21" s="5"/>
      <c r="Q21" s="5"/>
      <c r="R21" s="1"/>
      <c r="T21" s="1">
        <v>260</v>
      </c>
      <c r="U21" s="1">
        <v>53</v>
      </c>
      <c r="V21" s="1">
        <v>707</v>
      </c>
      <c r="Y21" s="504">
        <f>603281/1000</f>
        <v>603.28099999999995</v>
      </c>
      <c r="AB21" s="1">
        <v>301</v>
      </c>
      <c r="AD21" s="1">
        <v>15</v>
      </c>
      <c r="AE21" s="1">
        <v>1150</v>
      </c>
      <c r="AF21" s="1">
        <v>490</v>
      </c>
      <c r="AJ21" s="1">
        <v>77</v>
      </c>
      <c r="AL21" s="1"/>
      <c r="AU21" s="5">
        <f>(63276-48552)</f>
        <v>14724</v>
      </c>
      <c r="AV21" s="1">
        <v>150</v>
      </c>
      <c r="BD21" s="1">
        <v>3195</v>
      </c>
    </row>
    <row r="22" spans="1:242" x14ac:dyDescent="0.2">
      <c r="B22" s="1228">
        <v>2011</v>
      </c>
      <c r="D22" s="1240">
        <v>14850</v>
      </c>
      <c r="E22" s="1240">
        <v>929</v>
      </c>
      <c r="F22" s="1240">
        <v>2065</v>
      </c>
      <c r="G22" s="1240">
        <v>1671</v>
      </c>
      <c r="H22" s="1240">
        <v>2975</v>
      </c>
      <c r="I22" s="1240">
        <v>13259</v>
      </c>
      <c r="J22" s="1240">
        <v>0</v>
      </c>
      <c r="K22" s="1240">
        <v>1020</v>
      </c>
      <c r="L22" s="1240">
        <v>1047</v>
      </c>
      <c r="M22" s="1240">
        <v>4073</v>
      </c>
      <c r="N22" s="1240">
        <v>3030</v>
      </c>
      <c r="O22" s="1240">
        <v>6555</v>
      </c>
      <c r="P22" s="1240">
        <v>9494</v>
      </c>
      <c r="Q22" s="1240">
        <v>13451</v>
      </c>
      <c r="R22" s="1240">
        <v>0</v>
      </c>
      <c r="S22" s="1240">
        <v>2030.68</v>
      </c>
      <c r="T22" s="1240">
        <v>8862</v>
      </c>
      <c r="U22" s="1240">
        <v>949</v>
      </c>
      <c r="V22" s="1240">
        <v>3216</v>
      </c>
      <c r="W22" s="1240">
        <v>3447</v>
      </c>
      <c r="X22" s="1240">
        <v>0</v>
      </c>
      <c r="Y22" s="1240">
        <v>0</v>
      </c>
      <c r="Z22" s="1240">
        <v>0</v>
      </c>
      <c r="AA22" s="1240">
        <v>0</v>
      </c>
      <c r="AB22" s="1240">
        <v>2511</v>
      </c>
      <c r="AC22" s="1240">
        <v>0</v>
      </c>
      <c r="AD22" s="1240">
        <v>5152</v>
      </c>
      <c r="AE22" s="1240">
        <v>3155</v>
      </c>
      <c r="AF22" s="1240">
        <v>0</v>
      </c>
      <c r="AG22" s="1240">
        <v>9618</v>
      </c>
      <c r="AH22" s="1240">
        <v>15</v>
      </c>
      <c r="AI22" s="1240">
        <v>0</v>
      </c>
      <c r="AJ22" s="1240">
        <v>413</v>
      </c>
      <c r="AK22" s="1240">
        <v>0</v>
      </c>
      <c r="AL22" s="1240">
        <v>0</v>
      </c>
      <c r="AM22" s="1240">
        <v>5621</v>
      </c>
      <c r="AN22" s="1240">
        <v>769</v>
      </c>
      <c r="AO22" s="1240">
        <v>0</v>
      </c>
      <c r="AP22" s="1240">
        <v>0</v>
      </c>
      <c r="AQ22" s="1240">
        <v>259.06400000000002</v>
      </c>
      <c r="AR22" s="1240">
        <v>0</v>
      </c>
      <c r="AS22" s="1240">
        <v>0</v>
      </c>
      <c r="AT22" s="1240">
        <v>0</v>
      </c>
      <c r="AU22" s="1240">
        <v>118</v>
      </c>
      <c r="AV22" s="1240">
        <v>0</v>
      </c>
      <c r="AW22" s="1240">
        <v>3484</v>
      </c>
      <c r="AX22" s="1240">
        <v>1630</v>
      </c>
      <c r="AY22" s="1240">
        <v>0</v>
      </c>
      <c r="AZ22" s="1240">
        <v>591</v>
      </c>
      <c r="BA22" s="1240">
        <v>86</v>
      </c>
      <c r="BB22" s="1240">
        <v>324</v>
      </c>
      <c r="BC22" s="1240">
        <v>0</v>
      </c>
      <c r="BD22" s="1240">
        <v>3195</v>
      </c>
      <c r="BE22" s="1240">
        <v>0</v>
      </c>
      <c r="BF22" s="1240">
        <v>0</v>
      </c>
      <c r="BG22" s="1240">
        <v>0</v>
      </c>
    </row>
    <row r="23" spans="1:242" x14ac:dyDescent="0.2">
      <c r="B23" s="1228">
        <v>2012</v>
      </c>
      <c r="D23" s="5">
        <v>8383</v>
      </c>
      <c r="E23" s="5">
        <v>1706</v>
      </c>
      <c r="F23" s="5">
        <v>8164</v>
      </c>
      <c r="G23" s="5">
        <v>393</v>
      </c>
      <c r="H23" s="5">
        <v>1062</v>
      </c>
      <c r="I23" s="5">
        <v>24481</v>
      </c>
      <c r="J23" s="5">
        <v>16133</v>
      </c>
      <c r="K23" s="5">
        <v>2217</v>
      </c>
      <c r="L23" s="5">
        <v>0</v>
      </c>
      <c r="M23" s="5">
        <v>8254</v>
      </c>
      <c r="N23" s="5">
        <v>2287</v>
      </c>
      <c r="O23" s="5">
        <v>2994</v>
      </c>
      <c r="P23" s="5">
        <v>10804</v>
      </c>
      <c r="Q23" s="5">
        <v>5990</v>
      </c>
      <c r="R23" s="5">
        <v>6680</v>
      </c>
      <c r="S23" s="5">
        <v>4079.319</v>
      </c>
      <c r="T23" s="5">
        <v>6009</v>
      </c>
      <c r="U23" s="5">
        <v>1857</v>
      </c>
      <c r="V23" s="5">
        <v>6824</v>
      </c>
      <c r="W23" s="5">
        <v>4344</v>
      </c>
      <c r="X23" s="5">
        <v>2209</v>
      </c>
      <c r="Y23" s="5">
        <v>8586</v>
      </c>
      <c r="Z23" s="5">
        <v>878</v>
      </c>
      <c r="AA23" s="5">
        <v>1008</v>
      </c>
      <c r="AB23" s="5">
        <v>715</v>
      </c>
      <c r="AC23" s="5">
        <v>1571</v>
      </c>
      <c r="AD23" s="5">
        <v>5098</v>
      </c>
      <c r="AE23" s="5">
        <v>1121</v>
      </c>
      <c r="AF23" s="5">
        <v>15418</v>
      </c>
      <c r="AG23" s="5">
        <v>4686</v>
      </c>
      <c r="AH23" s="5">
        <v>1683</v>
      </c>
      <c r="AI23" s="5">
        <v>0</v>
      </c>
      <c r="AJ23" s="5">
        <v>1542</v>
      </c>
      <c r="AK23" s="5">
        <v>140</v>
      </c>
      <c r="AL23" s="5">
        <v>0</v>
      </c>
      <c r="AM23" s="5">
        <v>13688</v>
      </c>
      <c r="AN23" s="5">
        <v>523</v>
      </c>
      <c r="AO23" s="5">
        <v>3237</v>
      </c>
      <c r="AP23" s="5">
        <v>280</v>
      </c>
      <c r="AQ23" s="5">
        <v>2665.4189999999999</v>
      </c>
      <c r="AR23" s="5">
        <v>7210</v>
      </c>
      <c r="AS23" s="5">
        <v>4324</v>
      </c>
      <c r="AT23" s="5">
        <v>0</v>
      </c>
      <c r="AU23" s="5">
        <v>684</v>
      </c>
      <c r="AV23" s="5">
        <v>7536</v>
      </c>
      <c r="AW23" s="5">
        <v>7950</v>
      </c>
      <c r="AX23" s="5">
        <v>2359</v>
      </c>
      <c r="AY23" s="5">
        <v>198</v>
      </c>
      <c r="AZ23" s="5">
        <v>222</v>
      </c>
      <c r="BA23" s="5">
        <v>2166</v>
      </c>
      <c r="BB23" s="5">
        <v>1732</v>
      </c>
      <c r="BC23" s="5">
        <f>2131+3448*0.8</f>
        <v>4889.3999999999996</v>
      </c>
      <c r="BD23" s="5">
        <v>20173</v>
      </c>
      <c r="BE23" s="5">
        <v>102</v>
      </c>
      <c r="BF23" s="5">
        <v>0</v>
      </c>
      <c r="BG23" s="5">
        <v>0</v>
      </c>
    </row>
    <row r="24" spans="1:242" s="2" customFormat="1" x14ac:dyDescent="0.2">
      <c r="A24" s="810"/>
      <c r="B24" s="2">
        <v>2013</v>
      </c>
      <c r="D24" s="5">
        <v>12436</v>
      </c>
      <c r="E24" s="5">
        <v>2750</v>
      </c>
      <c r="F24" s="5">
        <v>2338</v>
      </c>
      <c r="G24" s="5">
        <v>1243</v>
      </c>
      <c r="H24" s="5">
        <v>2338</v>
      </c>
      <c r="I24" s="5">
        <v>53781</v>
      </c>
      <c r="J24" s="5">
        <v>16406</v>
      </c>
      <c r="K24" s="5">
        <v>3971</v>
      </c>
      <c r="L24" s="5">
        <v>2579</v>
      </c>
      <c r="M24" s="5">
        <v>3520</v>
      </c>
      <c r="N24" s="5">
        <v>3097</v>
      </c>
      <c r="O24" s="5">
        <v>3546</v>
      </c>
      <c r="P24" s="5">
        <v>11982</v>
      </c>
      <c r="Q24" s="5">
        <v>18221</v>
      </c>
      <c r="R24" s="1241">
        <v>2896</v>
      </c>
      <c r="S24" s="5">
        <f>8368634/1000</f>
        <v>8368.634</v>
      </c>
      <c r="T24" s="5">
        <v>2357</v>
      </c>
      <c r="U24" s="5">
        <v>4090</v>
      </c>
      <c r="V24" s="5">
        <v>4800</v>
      </c>
      <c r="W24" s="5">
        <v>2655</v>
      </c>
      <c r="X24" s="5">
        <f>5886154/1000</f>
        <v>5886.1540000000005</v>
      </c>
      <c r="Y24" s="5">
        <v>12906</v>
      </c>
      <c r="Z24" s="5">
        <v>1453</v>
      </c>
      <c r="AA24" s="5">
        <v>7739</v>
      </c>
      <c r="AB24" s="5">
        <v>3454</v>
      </c>
      <c r="AC24" s="5">
        <v>5373</v>
      </c>
      <c r="AD24" s="5">
        <v>5368</v>
      </c>
      <c r="AE24" s="5">
        <v>3963</v>
      </c>
      <c r="AF24" s="5">
        <v>7997</v>
      </c>
      <c r="AG24" s="5">
        <v>4466</v>
      </c>
      <c r="AH24" s="5">
        <v>1211</v>
      </c>
      <c r="AI24" s="5">
        <v>214</v>
      </c>
      <c r="AJ24" s="5">
        <v>576</v>
      </c>
      <c r="AK24" s="5">
        <v>696</v>
      </c>
      <c r="AL24" s="5">
        <v>718</v>
      </c>
      <c r="AM24" s="5">
        <v>16875</v>
      </c>
      <c r="AN24" s="5">
        <v>2795</v>
      </c>
      <c r="AO24" s="5">
        <v>8447</v>
      </c>
      <c r="AP24" s="5">
        <v>4203</v>
      </c>
      <c r="AQ24" s="5">
        <v>7517</v>
      </c>
      <c r="AR24" s="5">
        <v>16060</v>
      </c>
      <c r="AS24" s="5">
        <v>3185</v>
      </c>
      <c r="AT24" s="5">
        <v>0</v>
      </c>
      <c r="AU24" s="5">
        <f>1516146/1000</f>
        <v>1516.146</v>
      </c>
      <c r="AV24" s="5">
        <v>14253</v>
      </c>
      <c r="AW24" s="5">
        <v>10500</v>
      </c>
      <c r="AX24" s="5">
        <v>317</v>
      </c>
      <c r="AY24" s="5">
        <f>4191895/1000</f>
        <v>4191.8950000000004</v>
      </c>
      <c r="AZ24" s="5">
        <v>71</v>
      </c>
      <c r="BA24" s="5">
        <v>8106</v>
      </c>
      <c r="BB24" s="5">
        <v>6882</v>
      </c>
      <c r="BC24" s="5">
        <f>3252+2033*0.8</f>
        <v>4878.3999999999996</v>
      </c>
      <c r="BD24" s="5">
        <v>7556</v>
      </c>
      <c r="BE24" s="5">
        <v>3870</v>
      </c>
      <c r="BF24" s="1240">
        <v>1969</v>
      </c>
      <c r="BG24" s="1240"/>
    </row>
    <row r="25" spans="1:242" s="2" customFormat="1" x14ac:dyDescent="0.2">
      <c r="B25" s="5">
        <v>2014</v>
      </c>
      <c r="D25" s="5">
        <v>12355</v>
      </c>
      <c r="E25" s="5">
        <v>6803</v>
      </c>
      <c r="F25" s="1240">
        <v>10795</v>
      </c>
      <c r="G25" s="1240">
        <v>2336</v>
      </c>
      <c r="H25" s="1240">
        <v>5034</v>
      </c>
      <c r="I25" s="1240">
        <v>38605</v>
      </c>
      <c r="J25" s="1240">
        <v>35729</v>
      </c>
      <c r="K25" s="1240">
        <v>784</v>
      </c>
      <c r="L25" s="5">
        <v>4992</v>
      </c>
      <c r="M25" s="5">
        <v>1725</v>
      </c>
      <c r="N25" s="5">
        <v>2822</v>
      </c>
      <c r="O25" s="5">
        <v>25361</v>
      </c>
      <c r="P25" s="5">
        <v>22638</v>
      </c>
      <c r="Q25" s="5">
        <v>4491</v>
      </c>
      <c r="R25" s="1241">
        <v>5289</v>
      </c>
      <c r="S25" s="5">
        <v>6693</v>
      </c>
      <c r="T25" s="5">
        <v>2165</v>
      </c>
      <c r="U25" s="5">
        <v>1610</v>
      </c>
      <c r="V25" s="5">
        <v>5314</v>
      </c>
      <c r="W25" s="5">
        <v>9109</v>
      </c>
      <c r="X25" s="5">
        <v>5622</v>
      </c>
      <c r="Y25" s="5">
        <v>15398</v>
      </c>
      <c r="Z25" s="5">
        <v>3154</v>
      </c>
      <c r="AA25" s="5">
        <v>10800</v>
      </c>
      <c r="AB25" s="5">
        <v>1643</v>
      </c>
      <c r="AC25" s="5">
        <v>3751</v>
      </c>
      <c r="AD25" s="5">
        <v>8502</v>
      </c>
      <c r="AE25" s="5">
        <v>2468</v>
      </c>
      <c r="AF25" s="5">
        <v>16117</v>
      </c>
      <c r="AG25" s="5">
        <v>13426</v>
      </c>
      <c r="AH25" s="5">
        <v>3242</v>
      </c>
      <c r="AI25" s="5">
        <v>0</v>
      </c>
      <c r="AJ25" s="5">
        <v>3</v>
      </c>
      <c r="AK25" s="5">
        <f>691</f>
        <v>691</v>
      </c>
      <c r="AL25" s="5">
        <v>448</v>
      </c>
      <c r="AM25" s="5">
        <v>11097</v>
      </c>
      <c r="AN25" s="5">
        <v>1350</v>
      </c>
      <c r="AO25" s="5">
        <v>1956</v>
      </c>
      <c r="AP25" s="5">
        <v>7030</v>
      </c>
      <c r="AQ25" s="5">
        <v>1380</v>
      </c>
      <c r="AR25" s="5">
        <v>8423</v>
      </c>
      <c r="AS25" s="5">
        <v>2758</v>
      </c>
      <c r="AT25" s="5">
        <v>0</v>
      </c>
      <c r="AU25" s="5">
        <v>6731</v>
      </c>
      <c r="AV25" s="5">
        <v>8040</v>
      </c>
      <c r="AW25" s="5">
        <v>7442</v>
      </c>
      <c r="AX25" s="5">
        <v>8545</v>
      </c>
      <c r="AY25" s="5">
        <v>3355</v>
      </c>
      <c r="AZ25" s="5">
        <v>373</v>
      </c>
      <c r="BA25" s="5">
        <v>7214</v>
      </c>
      <c r="BB25" s="5">
        <v>848</v>
      </c>
      <c r="BC25" s="5">
        <f>4889</f>
        <v>4889</v>
      </c>
      <c r="BD25" s="5">
        <v>9495</v>
      </c>
      <c r="BE25" s="5">
        <v>4347</v>
      </c>
      <c r="BF25" s="1240">
        <v>638</v>
      </c>
      <c r="BG25" s="1240"/>
    </row>
    <row r="26" spans="1:242" x14ac:dyDescent="0.2">
      <c r="B26" s="1"/>
      <c r="C26" s="651"/>
      <c r="D26" s="1240"/>
      <c r="E26" s="1240"/>
      <c r="F26" s="1240"/>
      <c r="G26" s="1240"/>
      <c r="H26" s="1240"/>
      <c r="I26" s="1240"/>
      <c r="J26" s="1240"/>
      <c r="K26" s="1240"/>
      <c r="L26" s="1240"/>
      <c r="M26" s="1240"/>
      <c r="N26" s="1240"/>
      <c r="O26" s="1240"/>
      <c r="P26" s="1240"/>
      <c r="Q26" s="1240"/>
      <c r="R26" s="1241"/>
      <c r="S26" s="1240"/>
      <c r="T26" s="1240"/>
      <c r="U26" s="1240"/>
      <c r="V26" s="1240"/>
      <c r="W26" s="1240"/>
      <c r="X26" s="1240"/>
      <c r="Y26" s="1240"/>
      <c r="Z26" s="1240"/>
      <c r="AA26" s="1240"/>
      <c r="AB26" s="1240"/>
      <c r="AC26" s="1240"/>
      <c r="AD26" s="1240"/>
      <c r="AE26" s="1240"/>
      <c r="AF26" s="1240"/>
      <c r="AG26" s="1240"/>
      <c r="AH26" s="1240"/>
      <c r="AI26" s="1240"/>
      <c r="AJ26" s="1240"/>
      <c r="AK26" s="1240"/>
      <c r="AL26" s="1241"/>
      <c r="AM26" s="1240"/>
      <c r="AN26" s="1240"/>
      <c r="AO26" s="1240"/>
      <c r="AP26" s="1240"/>
      <c r="AQ26" s="1240"/>
      <c r="AR26" s="1240"/>
      <c r="AS26" s="1240"/>
      <c r="AT26" s="1240"/>
      <c r="AU26" s="1240"/>
      <c r="AV26" s="1241"/>
      <c r="AW26" s="1240"/>
      <c r="AX26" s="1240"/>
      <c r="AY26" s="1240">
        <v>3355</v>
      </c>
      <c r="AZ26" s="1240"/>
      <c r="BA26" s="1240"/>
      <c r="BB26" s="1240"/>
      <c r="BC26" s="1240"/>
      <c r="BD26" s="1240"/>
      <c r="BE26" s="1240"/>
      <c r="BF26" s="1240"/>
      <c r="BG26" s="1240"/>
    </row>
    <row r="27" spans="1:242" x14ac:dyDescent="0.2">
      <c r="C27" s="12"/>
      <c r="D27" s="78"/>
      <c r="E27" s="78"/>
      <c r="BF27" s="1240"/>
      <c r="BG27" s="1240"/>
    </row>
    <row r="28" spans="1:242" x14ac:dyDescent="0.2">
      <c r="D28" s="1240"/>
      <c r="E28" s="1240"/>
      <c r="F28" s="1240"/>
      <c r="G28" s="1240"/>
      <c r="H28" s="1240"/>
      <c r="I28" s="1240"/>
      <c r="J28" s="1240"/>
      <c r="K28" s="1240"/>
      <c r="L28" s="1240"/>
      <c r="M28" s="1240"/>
      <c r="N28" s="1240"/>
      <c r="O28" s="1240"/>
      <c r="P28" s="1240"/>
      <c r="Q28" s="1240"/>
      <c r="R28" s="1241"/>
      <c r="S28" s="1240"/>
      <c r="T28" s="1240"/>
      <c r="U28" s="1240"/>
      <c r="V28" s="1240"/>
      <c r="W28" s="1240"/>
      <c r="X28" s="1240"/>
      <c r="Y28" s="1240"/>
      <c r="Z28" s="1240"/>
      <c r="AA28" s="1240"/>
      <c r="AB28" s="1240"/>
      <c r="AC28" s="1240"/>
      <c r="AD28" s="1240"/>
      <c r="AE28" s="1240"/>
      <c r="AF28" s="1240"/>
      <c r="AG28" s="1240"/>
      <c r="AH28" s="1240"/>
      <c r="AI28" s="1240"/>
      <c r="AJ28" s="1240"/>
      <c r="AK28" s="1240"/>
      <c r="AL28" s="1241"/>
      <c r="AM28" s="1240"/>
      <c r="AN28" s="1240"/>
      <c r="AO28" s="1240"/>
      <c r="AP28" s="1240"/>
      <c r="AQ28" s="1240"/>
      <c r="AR28" s="1240"/>
      <c r="AS28" s="1240"/>
      <c r="AT28" s="1240"/>
      <c r="AU28" s="1240"/>
      <c r="AV28" s="1241"/>
      <c r="AW28" s="1240"/>
      <c r="AX28" s="1240"/>
      <c r="AY28" s="1240"/>
      <c r="AZ28" s="1240"/>
      <c r="BA28" s="1240"/>
      <c r="BB28" s="1240"/>
      <c r="BC28" s="1240"/>
      <c r="BD28" s="1240"/>
      <c r="BE28" s="1240"/>
      <c r="BF28" s="1240"/>
      <c r="BG28" s="1240"/>
    </row>
    <row r="29" spans="1:242" x14ac:dyDescent="0.2">
      <c r="D29" s="1240"/>
      <c r="E29" s="1240"/>
      <c r="F29" s="1240"/>
      <c r="G29" s="1240"/>
      <c r="H29" s="1240"/>
      <c r="I29" s="1240"/>
      <c r="J29" s="1240"/>
      <c r="K29" s="1240"/>
      <c r="L29" s="1240"/>
      <c r="M29" s="1240"/>
      <c r="N29" s="1240"/>
      <c r="O29" s="1240"/>
      <c r="P29" s="1240"/>
      <c r="Q29" s="1240"/>
      <c r="R29" s="1241"/>
      <c r="S29" s="1240"/>
      <c r="T29" s="1240"/>
      <c r="U29" s="1240"/>
      <c r="V29" s="1240"/>
      <c r="W29" s="1240"/>
      <c r="X29" s="1240"/>
      <c r="Y29" s="1240"/>
      <c r="Z29" s="1240"/>
      <c r="AA29" s="1240"/>
      <c r="AB29" s="1240"/>
      <c r="AC29" s="1240"/>
      <c r="AD29" s="1240"/>
      <c r="AE29" s="1240"/>
      <c r="AF29" s="1240"/>
      <c r="AG29" s="1240"/>
      <c r="AH29" s="1240"/>
      <c r="AI29" s="1240"/>
      <c r="AJ29" s="1240"/>
      <c r="AK29" s="1240"/>
      <c r="AL29" s="1241"/>
      <c r="AM29" s="1240"/>
      <c r="AN29" s="1240"/>
      <c r="AO29" s="1240"/>
      <c r="AP29" s="1240"/>
      <c r="AQ29" s="1240"/>
      <c r="AR29" s="1240"/>
      <c r="AS29" s="1240"/>
      <c r="AT29" s="1240"/>
      <c r="AU29" s="1240"/>
      <c r="AV29" s="1241"/>
      <c r="AW29" s="1240"/>
      <c r="AX29" s="1240"/>
      <c r="AY29" s="1240"/>
      <c r="AZ29" s="1240"/>
      <c r="BA29" s="1240"/>
      <c r="BB29" s="1240"/>
      <c r="BC29" s="1240"/>
      <c r="BD29" s="1240"/>
      <c r="BE29" s="1240"/>
      <c r="BF29" s="1240"/>
      <c r="BG29" s="1240"/>
    </row>
    <row r="31" spans="1:242" s="648" customFormat="1" ht="18" customHeight="1" x14ac:dyDescent="0.2">
      <c r="A31" s="646"/>
      <c r="B31" s="811" t="s">
        <v>164</v>
      </c>
      <c r="C31" s="646"/>
      <c r="D31" s="646">
        <f>+D23+D24+D25</f>
        <v>33174</v>
      </c>
      <c r="E31" s="646">
        <f t="shared" ref="E31:BG31" si="0">+E23+E24+E25</f>
        <v>11259</v>
      </c>
      <c r="F31" s="646">
        <f t="shared" si="0"/>
        <v>21297</v>
      </c>
      <c r="G31" s="646">
        <f t="shared" si="0"/>
        <v>3972</v>
      </c>
      <c r="H31" s="646">
        <f t="shared" si="0"/>
        <v>8434</v>
      </c>
      <c r="I31" s="646">
        <f t="shared" si="0"/>
        <v>116867</v>
      </c>
      <c r="J31" s="646">
        <f t="shared" si="0"/>
        <v>68268</v>
      </c>
      <c r="K31" s="646">
        <f t="shared" si="0"/>
        <v>6972</v>
      </c>
      <c r="L31" s="646">
        <f t="shared" si="0"/>
        <v>7571</v>
      </c>
      <c r="M31" s="646">
        <f t="shared" si="0"/>
        <v>13499</v>
      </c>
      <c r="N31" s="646">
        <f t="shared" si="0"/>
        <v>8206</v>
      </c>
      <c r="O31" s="646">
        <f t="shared" si="0"/>
        <v>31901</v>
      </c>
      <c r="P31" s="646">
        <f t="shared" si="0"/>
        <v>45424</v>
      </c>
      <c r="Q31" s="646">
        <f t="shared" si="0"/>
        <v>28702</v>
      </c>
      <c r="R31" s="646">
        <f t="shared" si="0"/>
        <v>14865</v>
      </c>
      <c r="S31" s="646">
        <f t="shared" si="0"/>
        <v>19140.953000000001</v>
      </c>
      <c r="T31" s="646">
        <f t="shared" si="0"/>
        <v>10531</v>
      </c>
      <c r="U31" s="646">
        <f t="shared" si="0"/>
        <v>7557</v>
      </c>
      <c r="V31" s="646">
        <f t="shared" si="0"/>
        <v>16938</v>
      </c>
      <c r="W31" s="646">
        <f t="shared" si="0"/>
        <v>16108</v>
      </c>
      <c r="X31" s="646">
        <f t="shared" si="0"/>
        <v>13717.154</v>
      </c>
      <c r="Y31" s="646">
        <f t="shared" si="0"/>
        <v>36890</v>
      </c>
      <c r="Z31" s="646">
        <f t="shared" si="0"/>
        <v>5485</v>
      </c>
      <c r="AA31" s="646">
        <f t="shared" si="0"/>
        <v>19547</v>
      </c>
      <c r="AB31" s="646">
        <f t="shared" si="0"/>
        <v>5812</v>
      </c>
      <c r="AC31" s="646">
        <f t="shared" si="0"/>
        <v>10695</v>
      </c>
      <c r="AD31" s="646">
        <f t="shared" si="0"/>
        <v>18968</v>
      </c>
      <c r="AE31" s="646">
        <f t="shared" si="0"/>
        <v>7552</v>
      </c>
      <c r="AF31" s="646">
        <f t="shared" si="0"/>
        <v>39532</v>
      </c>
      <c r="AG31" s="646">
        <f t="shared" si="0"/>
        <v>22578</v>
      </c>
      <c r="AH31" s="646">
        <f t="shared" si="0"/>
        <v>6136</v>
      </c>
      <c r="AI31" s="646">
        <f t="shared" si="0"/>
        <v>214</v>
      </c>
      <c r="AJ31" s="646">
        <f t="shared" si="0"/>
        <v>2121</v>
      </c>
      <c r="AK31" s="646">
        <f t="shared" si="0"/>
        <v>1527</v>
      </c>
      <c r="AL31" s="646">
        <f t="shared" si="0"/>
        <v>1166</v>
      </c>
      <c r="AM31" s="646">
        <f t="shared" si="0"/>
        <v>41660</v>
      </c>
      <c r="AN31" s="646">
        <f t="shared" si="0"/>
        <v>4668</v>
      </c>
      <c r="AO31" s="646">
        <f t="shared" si="0"/>
        <v>13640</v>
      </c>
      <c r="AP31" s="646">
        <f t="shared" si="0"/>
        <v>11513</v>
      </c>
      <c r="AQ31" s="646">
        <f t="shared" si="0"/>
        <v>11562.419</v>
      </c>
      <c r="AR31" s="646">
        <f t="shared" si="0"/>
        <v>31693</v>
      </c>
      <c r="AS31" s="646">
        <f t="shared" si="0"/>
        <v>10267</v>
      </c>
      <c r="AT31" s="646">
        <f t="shared" si="0"/>
        <v>0</v>
      </c>
      <c r="AU31" s="646">
        <f t="shared" si="0"/>
        <v>8931.1460000000006</v>
      </c>
      <c r="AV31" s="646">
        <f t="shared" si="0"/>
        <v>29829</v>
      </c>
      <c r="AW31" s="646">
        <f t="shared" si="0"/>
        <v>25892</v>
      </c>
      <c r="AX31" s="646">
        <f t="shared" si="0"/>
        <v>11221</v>
      </c>
      <c r="AY31" s="646">
        <f t="shared" si="0"/>
        <v>7744.8950000000004</v>
      </c>
      <c r="AZ31" s="646">
        <f t="shared" si="0"/>
        <v>666</v>
      </c>
      <c r="BA31" s="646">
        <f t="shared" si="0"/>
        <v>17486</v>
      </c>
      <c r="BB31" s="646">
        <f t="shared" si="0"/>
        <v>9462</v>
      </c>
      <c r="BC31" s="646">
        <f t="shared" si="0"/>
        <v>14656.8</v>
      </c>
      <c r="BD31" s="646">
        <f t="shared" si="0"/>
        <v>37224</v>
      </c>
      <c r="BE31" s="646">
        <f t="shared" si="0"/>
        <v>8319</v>
      </c>
      <c r="BF31" s="646">
        <f t="shared" si="0"/>
        <v>2607</v>
      </c>
      <c r="BG31" s="646">
        <f t="shared" si="0"/>
        <v>0</v>
      </c>
    </row>
    <row r="32" spans="1:242" s="13" customFormat="1" x14ac:dyDescent="0.2">
      <c r="A32" t="s">
        <v>151</v>
      </c>
      <c r="D32" s="812"/>
      <c r="E32" s="812"/>
      <c r="F32" s="812"/>
      <c r="G32" s="812"/>
      <c r="H32" s="812"/>
      <c r="I32" s="812"/>
      <c r="J32" s="812"/>
      <c r="K32" s="812"/>
      <c r="L32" s="812"/>
      <c r="M32" s="812"/>
      <c r="N32" s="812"/>
      <c r="O32" s="812"/>
      <c r="P32" s="812"/>
      <c r="Q32" s="812"/>
      <c r="R32" s="812"/>
      <c r="S32" s="812"/>
      <c r="T32" s="812"/>
      <c r="U32" s="812"/>
      <c r="V32" s="812"/>
      <c r="W32" s="812"/>
      <c r="X32" s="812"/>
      <c r="Y32" s="812"/>
      <c r="Z32" s="812"/>
      <c r="AA32" s="812"/>
      <c r="AB32" s="812"/>
      <c r="AC32" s="812"/>
      <c r="AD32" s="812"/>
      <c r="AE32" s="812"/>
      <c r="AF32" s="812"/>
      <c r="AG32" s="812"/>
      <c r="AH32" s="812"/>
      <c r="AI32" s="812"/>
      <c r="AJ32" s="812"/>
      <c r="AK32" s="812"/>
      <c r="AL32" s="812"/>
      <c r="AM32" s="812"/>
      <c r="AN32" s="812"/>
      <c r="AO32" s="812"/>
      <c r="AP32" s="812"/>
      <c r="AQ32" s="812"/>
      <c r="AR32" s="812"/>
      <c r="AS32" s="812"/>
      <c r="AT32" s="812"/>
      <c r="AU32" s="812"/>
      <c r="AV32" s="812"/>
      <c r="AW32" s="812"/>
      <c r="AX32" s="812"/>
      <c r="AY32" s="812"/>
      <c r="AZ32" s="812"/>
      <c r="BA32" s="812"/>
      <c r="BB32" s="812"/>
      <c r="BC32" s="812"/>
      <c r="BD32" s="812"/>
      <c r="BE32" s="812"/>
      <c r="BF32" s="812"/>
      <c r="BG32" s="812"/>
      <c r="BH32" s="1074"/>
    </row>
    <row r="33" spans="1:60" s="1074" customFormat="1" x14ac:dyDescent="0.2">
      <c r="A33" s="1244" t="s">
        <v>1168</v>
      </c>
      <c r="B33" s="1074">
        <v>2012</v>
      </c>
      <c r="D33" s="1074">
        <v>0</v>
      </c>
      <c r="E33" s="1074">
        <v>0</v>
      </c>
      <c r="F33" s="1074">
        <v>0</v>
      </c>
      <c r="G33" s="1074">
        <v>0</v>
      </c>
      <c r="H33" s="1074">
        <v>0</v>
      </c>
      <c r="I33" s="1074">
        <v>958</v>
      </c>
      <c r="J33" s="1074">
        <v>0</v>
      </c>
      <c r="K33" s="1074">
        <v>27</v>
      </c>
      <c r="L33" s="1074">
        <v>94</v>
      </c>
      <c r="M33" s="1074">
        <v>444</v>
      </c>
      <c r="N33" s="1074">
        <v>0</v>
      </c>
      <c r="P33" s="1074">
        <v>0</v>
      </c>
      <c r="Q33" s="1074">
        <v>0</v>
      </c>
      <c r="R33" s="1074">
        <v>0</v>
      </c>
      <c r="S33" s="1074">
        <v>0</v>
      </c>
      <c r="T33" s="1074">
        <v>0</v>
      </c>
      <c r="U33" s="1074">
        <v>0</v>
      </c>
      <c r="V33" s="1074">
        <v>0</v>
      </c>
      <c r="W33" s="1074">
        <v>0</v>
      </c>
      <c r="X33" s="1074">
        <v>0</v>
      </c>
      <c r="Y33" s="1074">
        <v>0</v>
      </c>
      <c r="Z33" s="1074">
        <v>0</v>
      </c>
      <c r="AA33" s="1074">
        <v>0</v>
      </c>
      <c r="AB33" s="1074">
        <v>0</v>
      </c>
      <c r="AC33" s="1074">
        <v>0</v>
      </c>
      <c r="AD33" s="1074">
        <v>0</v>
      </c>
      <c r="AE33" s="1074">
        <v>344</v>
      </c>
      <c r="AF33" s="1074">
        <v>3360</v>
      </c>
      <c r="AG33" s="1074">
        <v>0</v>
      </c>
      <c r="AH33" s="1074">
        <v>0</v>
      </c>
      <c r="AI33" s="1074">
        <v>0</v>
      </c>
      <c r="AJ33" s="1074">
        <v>0</v>
      </c>
      <c r="AK33" s="1074">
        <v>0</v>
      </c>
      <c r="AL33" s="1074">
        <v>0</v>
      </c>
      <c r="AM33" s="1074">
        <v>0</v>
      </c>
      <c r="AN33" s="1074">
        <v>210</v>
      </c>
      <c r="AO33" s="1074">
        <v>0</v>
      </c>
      <c r="AP33" s="1074">
        <v>0</v>
      </c>
      <c r="AQ33" s="1074">
        <v>0</v>
      </c>
      <c r="AR33" s="1074">
        <v>0</v>
      </c>
      <c r="AS33" s="1074">
        <v>0</v>
      </c>
      <c r="AT33" s="1074">
        <v>16094</v>
      </c>
      <c r="AU33" s="1074">
        <v>0</v>
      </c>
      <c r="AV33" s="1074">
        <v>0</v>
      </c>
      <c r="AW33" s="1074">
        <v>47</v>
      </c>
      <c r="AX33" s="1074">
        <v>73</v>
      </c>
      <c r="AY33" s="1074">
        <v>0</v>
      </c>
      <c r="AZ33" s="1074">
        <v>0</v>
      </c>
      <c r="BA33" s="1074">
        <v>283</v>
      </c>
      <c r="BB33" s="1074">
        <v>0</v>
      </c>
      <c r="BC33" s="1074">
        <v>1082</v>
      </c>
      <c r="BD33" s="1074">
        <v>0</v>
      </c>
      <c r="BE33" s="1074">
        <v>0</v>
      </c>
      <c r="BF33" s="1074">
        <v>0</v>
      </c>
      <c r="BG33" s="1074">
        <v>0</v>
      </c>
    </row>
    <row r="34" spans="1:60" x14ac:dyDescent="0.2">
      <c r="B34" s="813">
        <v>2013</v>
      </c>
      <c r="D34" s="5">
        <v>0</v>
      </c>
      <c r="E34" s="5">
        <v>0</v>
      </c>
      <c r="F34" s="5">
        <v>0</v>
      </c>
      <c r="G34" s="5">
        <v>0</v>
      </c>
      <c r="H34" s="5">
        <v>0</v>
      </c>
      <c r="I34" s="5">
        <v>1972</v>
      </c>
      <c r="J34" s="5">
        <v>0</v>
      </c>
      <c r="K34" s="5">
        <v>0</v>
      </c>
      <c r="L34" s="5">
        <v>0</v>
      </c>
      <c r="M34" s="5">
        <v>0</v>
      </c>
      <c r="N34" s="5"/>
      <c r="O34" s="5">
        <v>0</v>
      </c>
      <c r="P34" s="5">
        <v>0</v>
      </c>
      <c r="Q34" s="5">
        <v>0</v>
      </c>
      <c r="R34" s="1241">
        <v>0</v>
      </c>
      <c r="S34" s="5">
        <f>702213/1000</f>
        <v>702.21299999999997</v>
      </c>
      <c r="T34" s="5">
        <v>33</v>
      </c>
      <c r="U34" s="5">
        <v>0</v>
      </c>
      <c r="V34" s="5">
        <v>0</v>
      </c>
      <c r="W34" s="5">
        <v>0</v>
      </c>
      <c r="X34" s="5">
        <v>0</v>
      </c>
      <c r="Y34" s="5">
        <v>77</v>
      </c>
      <c r="Z34" s="5">
        <v>0</v>
      </c>
      <c r="AA34" s="5">
        <v>70</v>
      </c>
      <c r="AB34" s="5">
        <v>59</v>
      </c>
      <c r="AC34" s="5">
        <v>0</v>
      </c>
      <c r="AD34" s="5">
        <v>0</v>
      </c>
      <c r="AE34" s="5">
        <v>6107</v>
      </c>
      <c r="AF34" s="5">
        <v>221</v>
      </c>
      <c r="AG34" s="5">
        <v>0</v>
      </c>
      <c r="AH34" s="5">
        <v>0</v>
      </c>
      <c r="AI34" s="5">
        <v>0</v>
      </c>
      <c r="AJ34" s="5">
        <v>0</v>
      </c>
      <c r="AK34" s="5">
        <v>0</v>
      </c>
      <c r="AL34" s="5">
        <v>0</v>
      </c>
      <c r="AM34" s="5">
        <v>0</v>
      </c>
      <c r="AN34" s="5">
        <v>3460</v>
      </c>
      <c r="AO34" s="5">
        <v>0</v>
      </c>
      <c r="AP34" s="5">
        <v>0</v>
      </c>
      <c r="AQ34" s="5">
        <v>0</v>
      </c>
      <c r="AR34" s="5">
        <v>2590</v>
      </c>
      <c r="AS34" s="5">
        <v>0</v>
      </c>
      <c r="AT34" s="5">
        <v>13508</v>
      </c>
      <c r="AU34" s="5">
        <v>0</v>
      </c>
      <c r="AV34" s="5">
        <v>0</v>
      </c>
      <c r="AW34" s="5">
        <v>0</v>
      </c>
      <c r="AX34" s="5">
        <v>0</v>
      </c>
      <c r="AY34" s="5">
        <v>0</v>
      </c>
      <c r="AZ34" s="5">
        <v>0</v>
      </c>
      <c r="BA34" s="5">
        <v>124</v>
      </c>
      <c r="BB34" s="5">
        <v>0</v>
      </c>
      <c r="BC34" s="5">
        <v>0</v>
      </c>
      <c r="BD34" s="5">
        <v>0</v>
      </c>
      <c r="BE34" s="5">
        <v>330</v>
      </c>
      <c r="BF34" s="5">
        <v>0</v>
      </c>
      <c r="BG34" s="5">
        <v>0</v>
      </c>
    </row>
    <row r="35" spans="1:60" x14ac:dyDescent="0.2">
      <c r="B35" s="813">
        <v>2014</v>
      </c>
      <c r="D35" s="5">
        <v>0</v>
      </c>
      <c r="E35" s="5">
        <v>19</v>
      </c>
      <c r="F35" s="5">
        <v>0</v>
      </c>
      <c r="G35" s="5">
        <v>0</v>
      </c>
      <c r="H35" s="5"/>
      <c r="I35" s="5">
        <v>1437</v>
      </c>
      <c r="J35" s="5">
        <v>190</v>
      </c>
      <c r="K35" s="5">
        <v>0</v>
      </c>
      <c r="L35" s="5"/>
      <c r="M35" s="5">
        <v>40</v>
      </c>
      <c r="N35" s="5">
        <v>23222</v>
      </c>
      <c r="O35" s="5"/>
      <c r="P35" s="5"/>
      <c r="Q35" s="5"/>
      <c r="R35" s="1241">
        <v>1438</v>
      </c>
      <c r="S35" s="5"/>
      <c r="T35" s="5">
        <v>480</v>
      </c>
      <c r="U35" s="5">
        <v>182</v>
      </c>
      <c r="V35" s="5">
        <v>216</v>
      </c>
      <c r="W35" s="5">
        <v>480</v>
      </c>
      <c r="X35" s="5">
        <v>544</v>
      </c>
      <c r="Y35" s="5">
        <v>783</v>
      </c>
      <c r="Z35" s="5"/>
      <c r="AA35" s="5"/>
      <c r="AB35" s="5"/>
      <c r="AC35" s="5"/>
      <c r="AD35" s="5"/>
      <c r="AE35" s="5">
        <v>4772</v>
      </c>
      <c r="AF35" s="5">
        <v>9904</v>
      </c>
      <c r="AG35" s="5"/>
      <c r="AH35" s="5"/>
      <c r="AI35" s="5"/>
      <c r="AJ35" s="5">
        <v>3807</v>
      </c>
      <c r="AK35" s="5"/>
      <c r="AL35" s="5"/>
      <c r="AM35" s="5">
        <v>0</v>
      </c>
      <c r="AN35" s="5">
        <v>776</v>
      </c>
      <c r="AO35" s="5"/>
      <c r="AP35" s="5">
        <v>776</v>
      </c>
      <c r="AQ35" s="5"/>
      <c r="AR35" s="5"/>
      <c r="AS35" s="5"/>
      <c r="AT35" s="5">
        <v>17463</v>
      </c>
      <c r="AU35" s="5"/>
      <c r="AV35" s="5"/>
      <c r="AW35" s="5">
        <v>3</v>
      </c>
      <c r="AX35" s="5"/>
      <c r="AY35" s="5"/>
      <c r="AZ35" s="5"/>
      <c r="BA35" s="5"/>
      <c r="BB35" s="5"/>
      <c r="BC35" s="5"/>
      <c r="BD35" s="5">
        <v>0</v>
      </c>
      <c r="BE35" s="5">
        <v>0</v>
      </c>
      <c r="BF35" s="5"/>
      <c r="BG35" s="5"/>
    </row>
    <row r="36" spans="1:60" x14ac:dyDescent="0.2">
      <c r="D36" s="1240"/>
      <c r="E36" s="1240"/>
      <c r="F36" s="1240"/>
      <c r="G36" s="1240"/>
      <c r="H36" s="1240"/>
      <c r="I36" s="1240"/>
      <c r="J36" s="1240"/>
      <c r="K36" s="1240"/>
      <c r="L36" s="1240"/>
      <c r="M36" s="1240"/>
      <c r="N36" s="1240"/>
      <c r="O36" s="1240"/>
      <c r="P36" s="1240"/>
      <c r="Q36" s="1240"/>
      <c r="R36" s="1241"/>
      <c r="S36" s="1240"/>
      <c r="T36" s="1240"/>
      <c r="U36" s="1240"/>
      <c r="V36" s="1240"/>
      <c r="W36" s="1240"/>
      <c r="X36" s="1240"/>
      <c r="Y36" s="1240"/>
      <c r="Z36" s="1240"/>
      <c r="AA36" s="1240"/>
      <c r="AB36" s="1240"/>
      <c r="AC36" s="1240"/>
      <c r="AD36" s="1240"/>
      <c r="AE36" s="1240"/>
      <c r="AF36" s="1240"/>
      <c r="AG36" s="1240"/>
      <c r="AH36" s="1240"/>
      <c r="AI36" s="1240"/>
      <c r="AJ36" s="1240"/>
      <c r="AK36" s="1240"/>
      <c r="AL36" s="1241"/>
      <c r="AM36" s="1240"/>
      <c r="AN36" s="1240"/>
      <c r="AO36" s="1240"/>
      <c r="AP36" s="1240"/>
      <c r="AQ36" s="1240"/>
      <c r="AR36" s="1240"/>
      <c r="AS36" s="1240"/>
      <c r="AT36" s="1240"/>
      <c r="AU36" s="1240"/>
      <c r="AV36" s="1241"/>
      <c r="AW36" s="1240"/>
      <c r="AX36" s="1240"/>
      <c r="AY36" s="1240"/>
      <c r="AZ36" s="1240"/>
      <c r="BA36" s="1240"/>
      <c r="BB36" s="1240"/>
      <c r="BC36" s="1240"/>
      <c r="BD36" s="1240"/>
      <c r="BE36" s="1240"/>
      <c r="BF36" s="1240"/>
      <c r="BG36" s="1240"/>
    </row>
    <row r="37" spans="1:60" x14ac:dyDescent="0.2">
      <c r="D37" s="1240"/>
      <c r="E37" s="1240"/>
      <c r="F37" s="1240"/>
      <c r="G37" s="1240"/>
      <c r="H37" s="1240"/>
      <c r="I37" s="1240"/>
      <c r="J37" s="1240"/>
      <c r="K37" s="1240"/>
      <c r="L37" s="1240"/>
      <c r="M37" s="1240"/>
      <c r="N37" s="1240"/>
      <c r="O37" s="1240"/>
      <c r="P37" s="1240"/>
      <c r="Q37" s="1240"/>
      <c r="R37" s="1241"/>
      <c r="S37" s="1240"/>
      <c r="T37" s="1240"/>
      <c r="U37" s="1240"/>
      <c r="V37" s="1240"/>
      <c r="W37" s="1240"/>
      <c r="X37" s="1240"/>
      <c r="Y37" s="1240"/>
      <c r="Z37" s="1240"/>
      <c r="AA37" s="1240"/>
      <c r="AB37" s="1240"/>
      <c r="AC37" s="1240"/>
      <c r="AD37" s="1240"/>
      <c r="AE37" s="1240"/>
      <c r="AF37" s="1240"/>
      <c r="AG37" s="1240"/>
      <c r="AH37" s="1240"/>
      <c r="AI37" s="1240"/>
      <c r="AJ37" s="1240"/>
      <c r="AK37" s="1240"/>
      <c r="AL37" s="1241"/>
      <c r="AM37" s="1240"/>
      <c r="AN37" s="1240"/>
      <c r="AO37" s="1240"/>
      <c r="AP37" s="1240"/>
      <c r="AQ37" s="1240"/>
      <c r="AR37" s="1240"/>
      <c r="AS37" s="1240"/>
      <c r="AT37" s="1240"/>
      <c r="AU37" s="1240"/>
      <c r="AV37" s="1241"/>
      <c r="AW37" s="1240"/>
      <c r="AX37" s="1240"/>
      <c r="AY37" s="1240"/>
      <c r="AZ37" s="1240"/>
      <c r="BA37" s="1240"/>
      <c r="BB37" s="1240"/>
      <c r="BC37" s="1240"/>
      <c r="BD37" s="1240"/>
      <c r="BE37" s="1240"/>
      <c r="BF37" s="1240"/>
      <c r="BG37" s="1240"/>
    </row>
    <row r="38" spans="1:60" x14ac:dyDescent="0.2">
      <c r="D38" s="1240"/>
      <c r="E38" s="1240"/>
      <c r="F38" s="1240"/>
      <c r="G38" s="1240"/>
      <c r="H38" s="1240"/>
      <c r="I38" s="1240"/>
      <c r="J38" s="1240"/>
      <c r="K38" s="1240"/>
      <c r="L38" s="1240"/>
      <c r="M38" s="1240"/>
      <c r="N38" s="1240"/>
      <c r="O38" s="1240"/>
      <c r="P38" s="1240"/>
      <c r="Q38" s="1240"/>
      <c r="R38" s="1241"/>
      <c r="S38" s="1240"/>
      <c r="T38" s="1240"/>
      <c r="U38" s="1240"/>
      <c r="V38" s="1240"/>
      <c r="W38" s="1240"/>
      <c r="X38" s="1240"/>
      <c r="Y38" s="1240"/>
      <c r="Z38" s="1240"/>
      <c r="AA38" s="1240"/>
      <c r="AB38" s="1240"/>
      <c r="AC38" s="1240"/>
      <c r="AD38" s="1240"/>
      <c r="AE38" s="1240"/>
      <c r="AF38" s="1240"/>
      <c r="AG38" s="1240"/>
      <c r="AH38" s="1240"/>
      <c r="AI38" s="1240"/>
      <c r="AJ38" s="1240"/>
      <c r="AK38" s="1240"/>
      <c r="AL38" s="1241"/>
      <c r="AM38" s="1240"/>
      <c r="AN38" s="1240"/>
      <c r="AO38" s="1240"/>
      <c r="AP38" s="1240"/>
      <c r="AQ38" s="1240"/>
      <c r="AR38" s="1240"/>
      <c r="AS38" s="1240"/>
      <c r="AT38" s="1240"/>
      <c r="AU38" s="1240"/>
      <c r="AV38" s="1241"/>
      <c r="AW38" s="1240"/>
      <c r="AX38" s="1240"/>
      <c r="AY38" s="1240"/>
      <c r="AZ38" s="1240"/>
      <c r="BA38" s="1240"/>
      <c r="BB38" s="1240"/>
      <c r="BC38" s="1240"/>
      <c r="BD38" s="1240"/>
      <c r="BE38" s="1240"/>
      <c r="BF38" s="1240"/>
      <c r="BG38" s="1240"/>
    </row>
    <row r="39" spans="1:60" x14ac:dyDescent="0.2">
      <c r="D39" s="1240"/>
      <c r="E39" s="1240"/>
      <c r="F39" s="1240"/>
      <c r="G39" s="1240"/>
      <c r="H39" s="1240"/>
      <c r="I39" s="1240"/>
      <c r="J39" s="1240"/>
      <c r="K39" s="1240"/>
      <c r="L39" s="1240"/>
      <c r="M39" s="1240"/>
      <c r="N39" s="1240"/>
      <c r="O39" s="1240"/>
      <c r="P39" s="1240"/>
      <c r="Q39" s="1240"/>
      <c r="R39" s="1241"/>
      <c r="S39" s="1240"/>
      <c r="T39" s="1240"/>
      <c r="U39" s="1240"/>
      <c r="V39" s="1240"/>
      <c r="W39" s="1240"/>
      <c r="X39" s="1240"/>
      <c r="Y39" s="1240"/>
      <c r="Z39" s="1240"/>
      <c r="AA39" s="1240"/>
      <c r="AB39" s="1240"/>
      <c r="AC39" s="1240"/>
      <c r="AD39" s="1240"/>
      <c r="AE39" s="1240"/>
      <c r="AF39" s="1240"/>
      <c r="AG39" s="1240"/>
      <c r="AH39" s="1240"/>
      <c r="AI39" s="1240"/>
      <c r="AJ39" s="1240"/>
      <c r="AK39" s="1240"/>
      <c r="AL39" s="1241"/>
      <c r="AM39" s="1240"/>
      <c r="AN39" s="1240"/>
      <c r="AO39" s="1240"/>
      <c r="AP39" s="1240"/>
      <c r="AQ39" s="1240"/>
      <c r="AR39" s="1240"/>
      <c r="AS39" s="1240"/>
      <c r="AT39" s="1240"/>
      <c r="AU39" s="1240"/>
      <c r="AV39" s="1241"/>
      <c r="AW39" s="1240"/>
      <c r="AX39" s="1240"/>
      <c r="AY39" s="1240"/>
      <c r="AZ39" s="1240"/>
      <c r="BA39" s="1240"/>
      <c r="BB39" s="1240"/>
      <c r="BC39" s="1240"/>
      <c r="BD39" s="1240"/>
      <c r="BE39" s="1240"/>
      <c r="BF39" s="1240"/>
      <c r="BG39" s="1240"/>
    </row>
    <row r="40" spans="1:60" x14ac:dyDescent="0.2">
      <c r="D40" s="1240"/>
      <c r="E40" s="1240"/>
      <c r="F40" s="1240"/>
      <c r="G40" s="1240"/>
      <c r="H40" s="1240"/>
      <c r="I40" s="1240"/>
      <c r="J40" s="1240"/>
      <c r="K40" s="1240"/>
      <c r="L40" s="1240"/>
      <c r="M40" s="1240"/>
      <c r="N40" s="1240"/>
      <c r="O40" s="1240"/>
      <c r="P40" s="1240"/>
      <c r="Q40" s="1240"/>
      <c r="R40" s="1241"/>
      <c r="S40" s="1240"/>
      <c r="T40" s="1240"/>
      <c r="U40" s="1240"/>
      <c r="V40" s="1240"/>
      <c r="W40" s="1240"/>
      <c r="X40" s="1240"/>
      <c r="Y40" s="1240"/>
      <c r="Z40" s="1240"/>
      <c r="AA40" s="1240"/>
      <c r="AB40" s="1240"/>
      <c r="AC40" s="1240"/>
      <c r="AD40" s="1240"/>
      <c r="AE40" s="1240"/>
      <c r="AF40" s="1240"/>
      <c r="AG40" s="1240"/>
      <c r="AH40" s="1240"/>
      <c r="AI40" s="1240"/>
      <c r="AJ40" s="1240"/>
      <c r="AK40" s="1240"/>
      <c r="AL40" s="1241"/>
      <c r="AM40" s="1240"/>
      <c r="AN40" s="1240"/>
      <c r="AO40" s="1240"/>
      <c r="AP40" s="1240"/>
      <c r="AQ40" s="1240"/>
      <c r="AR40" s="1240"/>
      <c r="AS40" s="1240"/>
      <c r="AT40" s="1240"/>
      <c r="AU40" s="1240"/>
      <c r="AV40" s="1241"/>
      <c r="AW40" s="1240"/>
      <c r="AX40" s="1240"/>
      <c r="AY40" s="1240"/>
      <c r="AZ40" s="1240"/>
      <c r="BA40" s="1240"/>
      <c r="BB40" s="1240"/>
      <c r="BC40" s="1240"/>
      <c r="BD40" s="1240"/>
      <c r="BE40" s="1240"/>
      <c r="BF40" s="1240"/>
      <c r="BG40" s="1240"/>
    </row>
    <row r="41" spans="1:60" s="648" customFormat="1" ht="18.75" customHeight="1" x14ac:dyDescent="0.2">
      <c r="A41" s="646"/>
      <c r="B41" s="811" t="s">
        <v>164</v>
      </c>
      <c r="C41" s="646"/>
      <c r="D41" s="646">
        <f>SUM(D33:D35)</f>
        <v>0</v>
      </c>
      <c r="E41" s="646">
        <f t="shared" ref="E41:BG41" si="1">SUM(E33:E35)</f>
        <v>19</v>
      </c>
      <c r="F41" s="646">
        <f t="shared" si="1"/>
        <v>0</v>
      </c>
      <c r="G41" s="646">
        <f t="shared" si="1"/>
        <v>0</v>
      </c>
      <c r="H41" s="646">
        <f t="shared" si="1"/>
        <v>0</v>
      </c>
      <c r="I41" s="646">
        <f t="shared" si="1"/>
        <v>4367</v>
      </c>
      <c r="J41" s="646">
        <f t="shared" si="1"/>
        <v>190</v>
      </c>
      <c r="K41" s="646">
        <f t="shared" si="1"/>
        <v>27</v>
      </c>
      <c r="L41" s="646">
        <f t="shared" si="1"/>
        <v>94</v>
      </c>
      <c r="M41" s="646">
        <f t="shared" si="1"/>
        <v>484</v>
      </c>
      <c r="N41" s="646">
        <f t="shared" si="1"/>
        <v>23222</v>
      </c>
      <c r="O41" s="646">
        <f t="shared" si="1"/>
        <v>0</v>
      </c>
      <c r="P41" s="646">
        <f t="shared" si="1"/>
        <v>0</v>
      </c>
      <c r="Q41" s="646">
        <f t="shared" si="1"/>
        <v>0</v>
      </c>
      <c r="R41" s="646">
        <f t="shared" si="1"/>
        <v>1438</v>
      </c>
      <c r="S41" s="646">
        <f t="shared" si="1"/>
        <v>702.21299999999997</v>
      </c>
      <c r="T41" s="646">
        <f t="shared" si="1"/>
        <v>513</v>
      </c>
      <c r="U41" s="646">
        <f t="shared" si="1"/>
        <v>182</v>
      </c>
      <c r="V41" s="646">
        <f t="shared" si="1"/>
        <v>216</v>
      </c>
      <c r="W41" s="646">
        <f t="shared" si="1"/>
        <v>480</v>
      </c>
      <c r="X41" s="646">
        <f t="shared" si="1"/>
        <v>544</v>
      </c>
      <c r="Y41" s="646">
        <f t="shared" si="1"/>
        <v>860</v>
      </c>
      <c r="Z41" s="646">
        <f t="shared" si="1"/>
        <v>0</v>
      </c>
      <c r="AA41" s="646">
        <f t="shared" si="1"/>
        <v>70</v>
      </c>
      <c r="AB41" s="646">
        <f t="shared" si="1"/>
        <v>59</v>
      </c>
      <c r="AC41" s="646">
        <f t="shared" si="1"/>
        <v>0</v>
      </c>
      <c r="AD41" s="646">
        <f t="shared" si="1"/>
        <v>0</v>
      </c>
      <c r="AE41" s="646">
        <f t="shared" si="1"/>
        <v>11223</v>
      </c>
      <c r="AF41" s="646">
        <f t="shared" si="1"/>
        <v>13485</v>
      </c>
      <c r="AG41" s="646">
        <f t="shared" si="1"/>
        <v>0</v>
      </c>
      <c r="AH41" s="646">
        <f t="shared" si="1"/>
        <v>0</v>
      </c>
      <c r="AI41" s="646">
        <f t="shared" si="1"/>
        <v>0</v>
      </c>
      <c r="AJ41" s="646">
        <f t="shared" si="1"/>
        <v>3807</v>
      </c>
      <c r="AK41" s="646">
        <f t="shared" si="1"/>
        <v>0</v>
      </c>
      <c r="AL41" s="646">
        <f t="shared" si="1"/>
        <v>0</v>
      </c>
      <c r="AM41" s="646">
        <f t="shared" si="1"/>
        <v>0</v>
      </c>
      <c r="AN41" s="646">
        <f t="shared" si="1"/>
        <v>4446</v>
      </c>
      <c r="AO41" s="646">
        <f t="shared" si="1"/>
        <v>0</v>
      </c>
      <c r="AP41" s="646">
        <f t="shared" si="1"/>
        <v>776</v>
      </c>
      <c r="AQ41" s="646">
        <f t="shared" si="1"/>
        <v>0</v>
      </c>
      <c r="AR41" s="646">
        <f t="shared" si="1"/>
        <v>2590</v>
      </c>
      <c r="AS41" s="646">
        <f t="shared" si="1"/>
        <v>0</v>
      </c>
      <c r="AT41" s="646">
        <f t="shared" si="1"/>
        <v>47065</v>
      </c>
      <c r="AU41" s="646">
        <f t="shared" si="1"/>
        <v>0</v>
      </c>
      <c r="AV41" s="646">
        <f t="shared" si="1"/>
        <v>0</v>
      </c>
      <c r="AW41" s="646">
        <f t="shared" si="1"/>
        <v>50</v>
      </c>
      <c r="AX41" s="646">
        <f t="shared" si="1"/>
        <v>73</v>
      </c>
      <c r="AY41" s="646">
        <f t="shared" si="1"/>
        <v>0</v>
      </c>
      <c r="AZ41" s="646">
        <f t="shared" si="1"/>
        <v>0</v>
      </c>
      <c r="BA41" s="646">
        <f t="shared" si="1"/>
        <v>407</v>
      </c>
      <c r="BB41" s="646">
        <f t="shared" si="1"/>
        <v>0</v>
      </c>
      <c r="BC41" s="646">
        <f t="shared" si="1"/>
        <v>1082</v>
      </c>
      <c r="BD41" s="646">
        <f t="shared" si="1"/>
        <v>0</v>
      </c>
      <c r="BE41" s="646">
        <f t="shared" si="1"/>
        <v>330</v>
      </c>
      <c r="BF41" s="646">
        <f t="shared" si="1"/>
        <v>0</v>
      </c>
      <c r="BG41" s="646">
        <f t="shared" si="1"/>
        <v>0</v>
      </c>
    </row>
    <row r="42" spans="1:60" x14ac:dyDescent="0.2">
      <c r="A42" s="1245" t="s">
        <v>151</v>
      </c>
      <c r="D42" s="1246"/>
      <c r="E42" s="1246"/>
      <c r="F42" s="1246"/>
      <c r="G42" s="1246"/>
      <c r="H42" s="1246"/>
      <c r="I42" s="1246"/>
      <c r="J42" s="1246"/>
      <c r="K42" s="1246"/>
      <c r="L42" s="1246"/>
      <c r="M42" s="1246"/>
      <c r="N42" s="1246"/>
      <c r="O42" s="1246"/>
      <c r="P42" s="1246"/>
      <c r="Q42" s="1246"/>
      <c r="R42" s="1246"/>
      <c r="S42" s="1246"/>
      <c r="T42" s="1246"/>
      <c r="U42" s="1246"/>
      <c r="V42" s="1246"/>
      <c r="W42" s="1246"/>
      <c r="X42" s="1246"/>
      <c r="Y42" s="1246"/>
      <c r="Z42" s="1246"/>
      <c r="AA42" s="1246"/>
      <c r="AB42" s="1246"/>
      <c r="AC42" s="1246"/>
      <c r="AD42" s="1246"/>
      <c r="AE42" s="1246"/>
      <c r="AF42" s="1246"/>
      <c r="AG42" s="1246"/>
      <c r="AH42" s="1246"/>
      <c r="AI42" s="1246"/>
      <c r="AJ42" s="1246"/>
      <c r="AK42" s="1246"/>
      <c r="AL42" s="1246"/>
      <c r="AM42" s="1246"/>
      <c r="AN42" s="1246"/>
      <c r="AO42" s="1246"/>
      <c r="AP42" s="1246"/>
      <c r="AQ42" s="1246"/>
      <c r="AR42" s="1246"/>
      <c r="AS42" s="1246"/>
      <c r="AT42" s="1246"/>
      <c r="AU42" s="1246"/>
      <c r="AV42" s="1246"/>
      <c r="AW42" s="1246"/>
      <c r="AX42" s="1246"/>
      <c r="AY42" s="1246"/>
      <c r="AZ42" s="1246"/>
      <c r="BA42" s="1246"/>
      <c r="BB42" s="1246"/>
      <c r="BC42" s="1246"/>
      <c r="BD42" s="1246"/>
      <c r="BE42" s="1246"/>
      <c r="BF42" s="1246"/>
      <c r="BG42" s="1246"/>
    </row>
    <row r="43" spans="1:60" x14ac:dyDescent="0.2">
      <c r="A43" s="1247" t="s">
        <v>1169</v>
      </c>
      <c r="B43">
        <v>2012</v>
      </c>
      <c r="D43" s="1246">
        <v>0</v>
      </c>
      <c r="E43" s="1246">
        <v>587</v>
      </c>
      <c r="F43" s="1246">
        <v>121</v>
      </c>
      <c r="G43" s="1246">
        <v>0</v>
      </c>
      <c r="H43" s="1246">
        <v>0</v>
      </c>
      <c r="I43" s="1246">
        <v>0</v>
      </c>
      <c r="J43" s="1246">
        <v>10</v>
      </c>
      <c r="K43" s="1246">
        <v>0</v>
      </c>
      <c r="L43" s="1246">
        <v>66</v>
      </c>
      <c r="M43" s="1246">
        <v>0</v>
      </c>
      <c r="N43" s="1246">
        <v>0</v>
      </c>
      <c r="O43" s="1246">
        <v>0</v>
      </c>
      <c r="P43" s="1246">
        <v>0</v>
      </c>
      <c r="Q43" s="1246">
        <v>1588</v>
      </c>
      <c r="R43" s="1248">
        <v>582</v>
      </c>
      <c r="S43" s="1246">
        <v>129.35599999999999</v>
      </c>
      <c r="T43" s="1246">
        <v>0</v>
      </c>
      <c r="U43" s="1246">
        <v>0</v>
      </c>
      <c r="V43" s="1246">
        <v>0</v>
      </c>
      <c r="W43" s="1246">
        <v>549</v>
      </c>
      <c r="X43" s="1246">
        <v>0</v>
      </c>
      <c r="Y43" s="1246">
        <v>0</v>
      </c>
      <c r="Z43" s="1246">
        <v>26</v>
      </c>
      <c r="AA43" s="1246">
        <v>0</v>
      </c>
      <c r="AB43" s="1246">
        <v>0</v>
      </c>
      <c r="AC43" s="1246">
        <v>0</v>
      </c>
      <c r="AD43" s="1246">
        <v>3</v>
      </c>
      <c r="AE43" s="1246">
        <v>0</v>
      </c>
      <c r="AF43" s="1246">
        <v>0</v>
      </c>
      <c r="AG43" s="1246">
        <v>21</v>
      </c>
      <c r="AH43" s="1246">
        <v>191</v>
      </c>
      <c r="AI43" s="1246">
        <v>0</v>
      </c>
      <c r="AJ43" s="1246">
        <v>0</v>
      </c>
      <c r="AK43" s="1246">
        <v>0</v>
      </c>
      <c r="AL43" s="1246">
        <v>0</v>
      </c>
      <c r="AM43" s="1246">
        <v>112</v>
      </c>
      <c r="AN43" s="1246">
        <v>0</v>
      </c>
      <c r="AO43" s="1246">
        <v>0</v>
      </c>
      <c r="AP43" s="1246">
        <v>0</v>
      </c>
      <c r="AQ43" s="1246">
        <v>0</v>
      </c>
      <c r="AR43" s="1246">
        <v>1</v>
      </c>
      <c r="AS43" s="1246">
        <v>2229</v>
      </c>
      <c r="AT43" s="1246">
        <v>0</v>
      </c>
      <c r="AU43" s="1246">
        <v>909</v>
      </c>
      <c r="AV43" s="1246">
        <v>0</v>
      </c>
      <c r="AW43" s="1246">
        <v>0</v>
      </c>
      <c r="AX43" s="1246">
        <v>0</v>
      </c>
      <c r="AY43" s="1246">
        <v>0</v>
      </c>
      <c r="AZ43" s="1246">
        <v>0</v>
      </c>
      <c r="BA43" s="1246">
        <v>1</v>
      </c>
      <c r="BB43" s="1246">
        <v>0</v>
      </c>
      <c r="BC43" s="1246">
        <v>0</v>
      </c>
      <c r="BD43" s="1246">
        <v>0</v>
      </c>
      <c r="BE43" s="1246">
        <v>0</v>
      </c>
      <c r="BF43" s="1246">
        <v>0</v>
      </c>
      <c r="BG43" s="1246">
        <v>0</v>
      </c>
    </row>
    <row r="44" spans="1:60" s="17" customFormat="1" x14ac:dyDescent="0.2">
      <c r="B44" s="745">
        <v>2013</v>
      </c>
      <c r="D44" s="1249">
        <v>0</v>
      </c>
      <c r="E44" s="1249">
        <v>129</v>
      </c>
      <c r="F44" s="1249">
        <v>90</v>
      </c>
      <c r="G44" s="1249">
        <v>0</v>
      </c>
      <c r="H44" s="1249">
        <v>0</v>
      </c>
      <c r="I44" s="1249">
        <v>68</v>
      </c>
      <c r="J44" s="1249">
        <v>188</v>
      </c>
      <c r="K44" s="1249">
        <v>0</v>
      </c>
      <c r="L44" s="1249">
        <v>0</v>
      </c>
      <c r="M44" s="1249">
        <v>17</v>
      </c>
      <c r="N44" s="1249">
        <v>0</v>
      </c>
      <c r="O44" s="1249">
        <v>0</v>
      </c>
      <c r="P44" s="1249">
        <v>0</v>
      </c>
      <c r="Q44" s="1249">
        <v>3968</v>
      </c>
      <c r="R44" s="1250">
        <v>0</v>
      </c>
      <c r="S44" s="1249">
        <v>0</v>
      </c>
      <c r="T44" s="1249">
        <v>12</v>
      </c>
      <c r="U44" s="1249">
        <v>0</v>
      </c>
      <c r="V44" s="1249">
        <v>0</v>
      </c>
      <c r="W44" s="1249">
        <v>1645</v>
      </c>
      <c r="X44" s="1249">
        <v>330</v>
      </c>
      <c r="Y44" s="1249">
        <v>39</v>
      </c>
      <c r="Z44" s="1249">
        <v>44</v>
      </c>
      <c r="AA44" s="1249">
        <v>10</v>
      </c>
      <c r="AB44" s="1249">
        <v>0</v>
      </c>
      <c r="AC44" s="1249">
        <v>0</v>
      </c>
      <c r="AD44" s="1249">
        <v>0</v>
      </c>
      <c r="AE44" s="1249">
        <v>1175</v>
      </c>
      <c r="AF44" s="1249">
        <v>0</v>
      </c>
      <c r="AG44" s="1249">
        <v>0</v>
      </c>
      <c r="AH44" s="1249">
        <v>182</v>
      </c>
      <c r="AI44" s="1249">
        <v>0</v>
      </c>
      <c r="AJ44" s="1249">
        <v>0</v>
      </c>
      <c r="AK44" s="1249">
        <v>0</v>
      </c>
      <c r="AL44" s="1249">
        <v>0</v>
      </c>
      <c r="AM44" s="1249">
        <v>1764</v>
      </c>
      <c r="AN44" s="1249">
        <v>0</v>
      </c>
      <c r="AO44" s="1249">
        <v>0</v>
      </c>
      <c r="AP44" s="1249">
        <v>0</v>
      </c>
      <c r="AQ44" s="1249">
        <v>0</v>
      </c>
      <c r="AR44" s="1249">
        <v>0</v>
      </c>
      <c r="AS44" s="1249">
        <v>115</v>
      </c>
      <c r="AT44" s="1249">
        <v>0</v>
      </c>
      <c r="AU44" s="1249">
        <v>68</v>
      </c>
      <c r="AV44" s="1249">
        <v>0</v>
      </c>
      <c r="AW44" s="1249">
        <v>205</v>
      </c>
      <c r="AX44" s="1249">
        <v>0</v>
      </c>
      <c r="AY44" s="1249">
        <v>0</v>
      </c>
      <c r="AZ44" s="1249">
        <v>0</v>
      </c>
      <c r="BA44" s="1249">
        <v>0</v>
      </c>
      <c r="BB44" s="1249">
        <v>0</v>
      </c>
      <c r="BC44" s="1249">
        <v>0</v>
      </c>
      <c r="BD44" s="1249">
        <v>0</v>
      </c>
      <c r="BE44" s="1249">
        <v>0</v>
      </c>
      <c r="BF44" s="1249">
        <v>0</v>
      </c>
      <c r="BG44" s="1249">
        <v>0</v>
      </c>
      <c r="BH44" s="2"/>
    </row>
    <row r="45" spans="1:60" s="17" customFormat="1" x14ac:dyDescent="0.2">
      <c r="B45" s="745">
        <v>2014</v>
      </c>
      <c r="D45" s="1249">
        <v>381</v>
      </c>
      <c r="E45" s="1249">
        <v>503</v>
      </c>
      <c r="F45" s="1249">
        <v>0</v>
      </c>
      <c r="G45" s="1249">
        <v>0</v>
      </c>
      <c r="H45" s="1249"/>
      <c r="I45" s="1249">
        <v>113</v>
      </c>
      <c r="J45" s="1249">
        <v>14</v>
      </c>
      <c r="K45" s="1249">
        <v>0</v>
      </c>
      <c r="L45" s="1249">
        <v>8</v>
      </c>
      <c r="M45" s="1249">
        <v>0</v>
      </c>
      <c r="N45" s="1249"/>
      <c r="O45" s="1249"/>
      <c r="P45" s="1249"/>
      <c r="Q45" s="1249">
        <v>158</v>
      </c>
      <c r="R45" s="1250">
        <v>272</v>
      </c>
      <c r="S45" s="1252"/>
      <c r="T45" s="1252"/>
      <c r="U45" s="1252"/>
      <c r="V45" s="1252"/>
      <c r="W45" s="1249">
        <v>535</v>
      </c>
      <c r="X45" s="1249">
        <v>1708</v>
      </c>
      <c r="Y45" s="1249">
        <v>553</v>
      </c>
      <c r="Z45" s="1249">
        <v>66</v>
      </c>
      <c r="AA45" s="1252"/>
      <c r="AB45" s="1252"/>
      <c r="AC45" s="1252"/>
      <c r="AD45" s="1252"/>
      <c r="AE45" s="1252">
        <v>43</v>
      </c>
      <c r="AF45" s="1252"/>
      <c r="AG45" s="1252"/>
      <c r="AH45" s="1249">
        <v>491</v>
      </c>
      <c r="AI45" s="1249"/>
      <c r="AJ45" s="1249"/>
      <c r="AK45" s="1252"/>
      <c r="AL45" s="1252"/>
      <c r="AM45" s="1249">
        <v>2750</v>
      </c>
      <c r="AN45" s="1249">
        <v>61</v>
      </c>
      <c r="AO45" s="1252"/>
      <c r="AP45" s="1252"/>
      <c r="AQ45" s="1252"/>
      <c r="AR45" s="1249"/>
      <c r="AS45" s="1249">
        <v>5</v>
      </c>
      <c r="AT45" s="1249"/>
      <c r="AU45" s="1252"/>
      <c r="AV45" s="1252">
        <v>2</v>
      </c>
      <c r="AW45" s="1249">
        <v>19</v>
      </c>
      <c r="AX45" s="1252"/>
      <c r="AY45" s="1252"/>
      <c r="AZ45" s="1252"/>
      <c r="BA45" s="1252"/>
      <c r="BB45" s="1252"/>
      <c r="BC45" s="1252"/>
      <c r="BD45" s="1249">
        <v>4351</v>
      </c>
      <c r="BE45" s="1249"/>
      <c r="BF45" s="1252"/>
      <c r="BG45" s="1252"/>
      <c r="BH45" s="2"/>
    </row>
    <row r="46" spans="1:60" s="17" customFormat="1" x14ac:dyDescent="0.2">
      <c r="B46" s="745"/>
      <c r="D46" s="1252"/>
      <c r="E46" s="1252"/>
      <c r="F46" s="1252"/>
      <c r="G46" s="1252"/>
      <c r="H46" s="1252"/>
      <c r="I46" s="1252"/>
      <c r="J46" s="1252"/>
      <c r="K46" s="1252"/>
      <c r="L46" s="1252"/>
      <c r="M46" s="1252"/>
      <c r="N46" s="1252"/>
      <c r="O46" s="1252"/>
      <c r="P46" s="1252"/>
      <c r="Q46" s="1252"/>
      <c r="R46" s="1251"/>
      <c r="S46" s="1252"/>
      <c r="T46" s="1252"/>
      <c r="U46" s="1252"/>
      <c r="V46" s="1252"/>
      <c r="W46" s="1252"/>
      <c r="X46" s="1252"/>
      <c r="Y46" s="1252"/>
      <c r="Z46" s="1252"/>
      <c r="AA46" s="1252"/>
      <c r="AB46" s="1252"/>
      <c r="AC46" s="1252"/>
      <c r="AD46" s="1252"/>
      <c r="AE46" s="1252"/>
      <c r="AF46" s="1252"/>
      <c r="AG46" s="1252"/>
      <c r="AH46" s="1252"/>
      <c r="AI46" s="1252"/>
      <c r="AJ46" s="1252"/>
      <c r="AK46" s="1252"/>
      <c r="AL46" s="1251"/>
      <c r="AM46" s="1252"/>
      <c r="AN46" s="1252"/>
      <c r="AO46" s="1252"/>
      <c r="AP46" s="1252"/>
      <c r="AQ46" s="1252"/>
      <c r="AR46" s="1252"/>
      <c r="AS46" s="1252"/>
      <c r="AT46" s="1252"/>
      <c r="AU46" s="1252"/>
      <c r="AV46" s="1251"/>
      <c r="AW46" s="1252"/>
      <c r="AX46" s="1252"/>
      <c r="AY46" s="1252"/>
      <c r="AZ46" s="1252"/>
      <c r="BA46" s="1252"/>
      <c r="BB46" s="1252"/>
      <c r="BC46" s="1252"/>
      <c r="BD46" s="1252"/>
      <c r="BE46" s="1252"/>
      <c r="BF46" s="1252"/>
      <c r="BG46" s="1252"/>
      <c r="BH46" s="2"/>
    </row>
    <row r="47" spans="1:60" x14ac:dyDescent="0.2">
      <c r="B47" s="34"/>
      <c r="D47" s="5"/>
      <c r="E47" s="5"/>
      <c r="F47" s="5"/>
      <c r="G47" s="5"/>
      <c r="H47" s="5"/>
      <c r="I47" s="5"/>
      <c r="J47" s="5"/>
      <c r="K47" s="5"/>
      <c r="L47" s="5"/>
      <c r="M47" s="5"/>
      <c r="N47" s="5"/>
      <c r="O47" s="5"/>
      <c r="P47" s="5"/>
      <c r="Q47" s="5"/>
      <c r="R47" s="1241"/>
      <c r="S47" s="5"/>
      <c r="T47" s="5"/>
      <c r="U47" s="5"/>
      <c r="V47" s="5"/>
      <c r="W47" s="5"/>
      <c r="X47" s="5"/>
      <c r="Y47" s="5"/>
      <c r="Z47" s="5"/>
      <c r="AA47" s="5"/>
      <c r="AB47" s="5"/>
      <c r="AC47" s="5"/>
      <c r="AD47" s="5"/>
      <c r="AE47" s="5"/>
      <c r="AF47" s="5"/>
      <c r="AG47" s="5"/>
      <c r="AH47" s="5"/>
      <c r="AI47" s="5"/>
      <c r="AJ47" s="5"/>
      <c r="AK47" s="5"/>
      <c r="AL47" s="1241"/>
      <c r="AM47" s="5"/>
      <c r="AN47" s="5"/>
      <c r="AO47" s="5"/>
      <c r="AP47" s="5"/>
      <c r="AQ47" s="5"/>
      <c r="AR47" s="5"/>
      <c r="AS47" s="5"/>
      <c r="AT47" s="5"/>
      <c r="AU47" s="5"/>
      <c r="AV47" s="1241"/>
      <c r="AW47" s="5"/>
      <c r="AX47" s="5"/>
      <c r="AY47" s="5"/>
      <c r="AZ47" s="5"/>
      <c r="BA47" s="5"/>
      <c r="BB47" s="5"/>
      <c r="BC47" s="5"/>
      <c r="BD47" s="5"/>
      <c r="BE47" s="5"/>
      <c r="BF47" s="5"/>
      <c r="BG47" s="5"/>
    </row>
    <row r="48" spans="1:60" x14ac:dyDescent="0.2">
      <c r="D48" s="1240"/>
      <c r="E48" s="1240"/>
      <c r="F48" s="1240"/>
      <c r="G48" s="1240"/>
      <c r="H48" s="1240"/>
      <c r="I48" s="1240"/>
      <c r="J48" s="1240"/>
      <c r="K48" s="1240"/>
      <c r="L48" s="1240"/>
      <c r="M48" s="1240"/>
      <c r="N48" s="1240"/>
      <c r="O48" s="1240"/>
      <c r="P48" s="1240"/>
      <c r="Q48" s="1240"/>
      <c r="R48" s="1241"/>
      <c r="S48" s="1240"/>
      <c r="T48" s="1240"/>
      <c r="U48" s="1240"/>
      <c r="V48" s="1240"/>
      <c r="W48" s="1240"/>
      <c r="X48" s="1240"/>
      <c r="Y48" s="1240"/>
      <c r="Z48" s="1240"/>
      <c r="AA48" s="1240"/>
      <c r="AB48" s="1240"/>
      <c r="AC48" s="1240"/>
      <c r="AD48" s="1240"/>
      <c r="AE48" s="1240"/>
      <c r="AF48" s="1240"/>
      <c r="AG48" s="1240"/>
      <c r="AH48" s="1240"/>
      <c r="AI48" s="1240"/>
      <c r="AJ48" s="1240"/>
      <c r="AK48" s="1240"/>
      <c r="AL48" s="1241"/>
      <c r="AM48" s="1240"/>
      <c r="AN48" s="1240"/>
      <c r="AO48" s="1240"/>
      <c r="AP48" s="1240"/>
      <c r="AQ48" s="1240"/>
      <c r="AR48" s="1240"/>
      <c r="AS48" s="1240"/>
      <c r="AT48" s="1240"/>
      <c r="AU48" s="1240"/>
      <c r="AV48" s="1241"/>
      <c r="AW48" s="1240"/>
      <c r="AX48" s="1240"/>
      <c r="AY48" s="1240"/>
      <c r="AZ48" s="1240"/>
      <c r="BA48" s="1240"/>
      <c r="BB48" s="1240"/>
      <c r="BC48" s="1240"/>
      <c r="BD48" s="1240"/>
      <c r="BE48" s="1240"/>
      <c r="BF48" s="1240"/>
      <c r="BG48" s="1240"/>
    </row>
    <row r="49" spans="1:60" x14ac:dyDescent="0.2">
      <c r="D49" s="1240"/>
      <c r="E49" s="1240"/>
      <c r="F49" s="1240"/>
      <c r="G49" s="1240"/>
      <c r="H49" s="1240"/>
      <c r="I49" s="1240"/>
      <c r="J49" s="1240"/>
      <c r="K49" s="1240"/>
      <c r="L49" s="1240"/>
      <c r="M49" s="1240"/>
      <c r="N49" s="1240"/>
      <c r="O49" s="1240"/>
      <c r="P49" s="1240"/>
      <c r="Q49" s="1240"/>
      <c r="R49" s="1241"/>
      <c r="S49" s="1240"/>
      <c r="T49" s="1240"/>
      <c r="U49" s="1240"/>
      <c r="V49" s="1240"/>
      <c r="W49" s="1240"/>
      <c r="X49" s="1240"/>
      <c r="Y49" s="1240"/>
      <c r="Z49" s="1240"/>
      <c r="AA49" s="1240"/>
      <c r="AB49" s="1240"/>
      <c r="AC49" s="1240"/>
      <c r="AD49" s="1240"/>
      <c r="AE49" s="1240"/>
      <c r="AF49" s="1240"/>
      <c r="AG49" s="1240"/>
      <c r="AH49" s="1240"/>
      <c r="AI49" s="1240"/>
      <c r="AJ49" s="1240"/>
      <c r="AK49" s="1240"/>
      <c r="AL49" s="1241"/>
      <c r="AM49" s="1240"/>
      <c r="AN49" s="1240"/>
      <c r="AO49" s="1240"/>
      <c r="AP49" s="1240"/>
      <c r="AQ49" s="1240"/>
      <c r="AR49" s="1240"/>
      <c r="AS49" s="1240"/>
      <c r="AT49" s="1240"/>
      <c r="AU49" s="1240"/>
      <c r="AV49" s="1241"/>
      <c r="AW49" s="1240"/>
      <c r="AX49" s="1240"/>
      <c r="AY49" s="1240"/>
      <c r="AZ49" s="1240"/>
      <c r="BA49" s="1240"/>
      <c r="BB49" s="1240"/>
      <c r="BC49" s="1240"/>
      <c r="BD49" s="1240"/>
      <c r="BE49" s="1240"/>
      <c r="BF49" s="1240"/>
      <c r="BG49" s="1240"/>
    </row>
    <row r="50" spans="1:60" x14ac:dyDescent="0.2">
      <c r="D50" s="1240"/>
      <c r="E50" s="1240"/>
      <c r="F50" s="1240"/>
      <c r="G50" s="1240"/>
      <c r="H50" s="1240"/>
      <c r="I50" s="1240"/>
      <c r="J50" s="1240"/>
      <c r="K50" s="1240"/>
      <c r="L50" s="1240"/>
      <c r="M50" s="1240"/>
      <c r="N50" s="1240"/>
      <c r="O50" s="1240"/>
      <c r="P50" s="1240"/>
      <c r="Q50" s="1240"/>
      <c r="R50" s="1241"/>
      <c r="S50" s="1240"/>
      <c r="T50" s="1240"/>
      <c r="U50" s="1240"/>
      <c r="V50" s="1240"/>
      <c r="W50" s="1240"/>
      <c r="X50" s="1240"/>
      <c r="Y50" s="1240"/>
      <c r="Z50" s="1240"/>
      <c r="AA50" s="1240"/>
      <c r="AB50" s="1240"/>
      <c r="AC50" s="1240"/>
      <c r="AD50" s="1240"/>
      <c r="AE50" s="1240"/>
      <c r="AF50" s="1240"/>
      <c r="AG50" s="1240"/>
      <c r="AH50" s="1240"/>
      <c r="AI50" s="1240"/>
      <c r="AJ50" s="1240"/>
      <c r="AK50" s="1240"/>
      <c r="AL50" s="1241"/>
      <c r="AM50" s="1240"/>
      <c r="AN50" s="1240"/>
      <c r="AO50" s="1240"/>
      <c r="AP50" s="1240"/>
      <c r="AQ50" s="1240"/>
      <c r="AR50" s="1240"/>
      <c r="AS50" s="1240"/>
      <c r="AT50" s="1240"/>
      <c r="AU50" s="1240"/>
      <c r="AV50" s="1241"/>
      <c r="AW50" s="1240"/>
      <c r="AX50" s="1240"/>
      <c r="AY50" s="1240"/>
      <c r="AZ50" s="1240"/>
      <c r="BA50" s="1240"/>
      <c r="BB50" s="1240"/>
      <c r="BC50" s="1240"/>
      <c r="BD50" s="1240"/>
      <c r="BE50" s="1240"/>
      <c r="BF50" s="1240"/>
      <c r="BG50" s="1240"/>
    </row>
    <row r="51" spans="1:60" x14ac:dyDescent="0.2">
      <c r="D51" s="1240"/>
      <c r="E51" s="1240"/>
      <c r="F51" s="1240"/>
      <c r="G51" s="1240"/>
      <c r="H51" s="1240"/>
      <c r="I51" s="1240"/>
      <c r="J51" s="1240"/>
      <c r="K51" s="1240"/>
      <c r="L51" s="1240"/>
      <c r="M51" s="1240"/>
      <c r="N51" s="1240"/>
      <c r="O51" s="1240"/>
      <c r="P51" s="1240"/>
      <c r="Q51" s="1240"/>
      <c r="R51" s="1241"/>
      <c r="S51" s="1240"/>
      <c r="T51" s="1240"/>
      <c r="U51" s="1240"/>
      <c r="V51" s="1240"/>
      <c r="W51" s="1240"/>
      <c r="X51" s="1240"/>
      <c r="Y51" s="1240"/>
      <c r="Z51" s="1240"/>
      <c r="AA51" s="1240"/>
      <c r="AB51" s="1240"/>
      <c r="AC51" s="1240"/>
      <c r="AD51" s="1240"/>
      <c r="AE51" s="1240"/>
      <c r="AF51" s="1240"/>
      <c r="AG51" s="1240"/>
      <c r="AH51" s="1240"/>
      <c r="AI51" s="1240"/>
      <c r="AJ51" s="1240"/>
      <c r="AK51" s="1240"/>
      <c r="AL51" s="1241"/>
      <c r="AM51" s="1240"/>
      <c r="AN51" s="1240"/>
      <c r="AO51" s="1240"/>
      <c r="AP51" s="1240"/>
      <c r="AQ51" s="1240"/>
      <c r="AR51" s="1240"/>
      <c r="AS51" s="1240"/>
      <c r="AT51" s="1240"/>
      <c r="AU51" s="1240"/>
      <c r="AV51" s="1241"/>
      <c r="AW51" s="1240"/>
      <c r="AX51" s="1240"/>
      <c r="AY51" s="1240"/>
      <c r="AZ51" s="1240"/>
      <c r="BA51" s="1240"/>
      <c r="BB51" s="1240"/>
      <c r="BC51" s="1240"/>
      <c r="BD51" s="1240"/>
      <c r="BE51" s="1240"/>
      <c r="BF51" s="1240"/>
      <c r="BG51" s="1240"/>
    </row>
    <row r="52" spans="1:60" s="648" customFormat="1" ht="18.75" customHeight="1" x14ac:dyDescent="0.2">
      <c r="A52" s="646"/>
      <c r="B52" s="811" t="s">
        <v>164</v>
      </c>
      <c r="C52" s="646"/>
      <c r="D52" s="646">
        <f>SUM(D43:D45)</f>
        <v>381</v>
      </c>
      <c r="E52" s="646">
        <f t="shared" ref="E52:BG52" si="2">SUM(E43:E45)</f>
        <v>1219</v>
      </c>
      <c r="F52" s="646">
        <f t="shared" si="2"/>
        <v>211</v>
      </c>
      <c r="G52" s="646">
        <f t="shared" si="2"/>
        <v>0</v>
      </c>
      <c r="H52" s="646">
        <f t="shared" si="2"/>
        <v>0</v>
      </c>
      <c r="I52" s="646">
        <f t="shared" si="2"/>
        <v>181</v>
      </c>
      <c r="J52" s="646">
        <f t="shared" si="2"/>
        <v>212</v>
      </c>
      <c r="K52" s="646">
        <f t="shared" si="2"/>
        <v>0</v>
      </c>
      <c r="L52" s="646">
        <f t="shared" si="2"/>
        <v>74</v>
      </c>
      <c r="M52" s="646">
        <f t="shared" si="2"/>
        <v>17</v>
      </c>
      <c r="N52" s="646">
        <f t="shared" si="2"/>
        <v>0</v>
      </c>
      <c r="O52" s="646">
        <f t="shared" si="2"/>
        <v>0</v>
      </c>
      <c r="P52" s="646">
        <f t="shared" si="2"/>
        <v>0</v>
      </c>
      <c r="Q52" s="646">
        <f t="shared" si="2"/>
        <v>5714</v>
      </c>
      <c r="R52" s="646">
        <f t="shared" si="2"/>
        <v>854</v>
      </c>
      <c r="S52" s="646">
        <f t="shared" si="2"/>
        <v>129.35599999999999</v>
      </c>
      <c r="T52" s="646">
        <f t="shared" si="2"/>
        <v>12</v>
      </c>
      <c r="U52" s="646">
        <f t="shared" si="2"/>
        <v>0</v>
      </c>
      <c r="V52" s="646">
        <f t="shared" si="2"/>
        <v>0</v>
      </c>
      <c r="W52" s="646">
        <f t="shared" si="2"/>
        <v>2729</v>
      </c>
      <c r="X52" s="646">
        <f t="shared" si="2"/>
        <v>2038</v>
      </c>
      <c r="Y52" s="646">
        <f t="shared" si="2"/>
        <v>592</v>
      </c>
      <c r="Z52" s="646">
        <f t="shared" si="2"/>
        <v>136</v>
      </c>
      <c r="AA52" s="646">
        <f t="shared" si="2"/>
        <v>10</v>
      </c>
      <c r="AB52" s="646">
        <f t="shared" si="2"/>
        <v>0</v>
      </c>
      <c r="AC52" s="646">
        <f t="shared" si="2"/>
        <v>0</v>
      </c>
      <c r="AD52" s="646">
        <f t="shared" si="2"/>
        <v>3</v>
      </c>
      <c r="AE52" s="646">
        <f t="shared" si="2"/>
        <v>1218</v>
      </c>
      <c r="AF52" s="646">
        <f t="shared" si="2"/>
        <v>0</v>
      </c>
      <c r="AG52" s="646">
        <f t="shared" si="2"/>
        <v>21</v>
      </c>
      <c r="AH52" s="646">
        <f t="shared" si="2"/>
        <v>864</v>
      </c>
      <c r="AI52" s="646">
        <f t="shared" si="2"/>
        <v>0</v>
      </c>
      <c r="AJ52" s="646">
        <f t="shared" si="2"/>
        <v>0</v>
      </c>
      <c r="AK52" s="646">
        <f t="shared" si="2"/>
        <v>0</v>
      </c>
      <c r="AL52" s="646">
        <f t="shared" si="2"/>
        <v>0</v>
      </c>
      <c r="AM52" s="646">
        <f t="shared" si="2"/>
        <v>4626</v>
      </c>
      <c r="AN52" s="646">
        <f t="shared" si="2"/>
        <v>61</v>
      </c>
      <c r="AO52" s="646">
        <f t="shared" si="2"/>
        <v>0</v>
      </c>
      <c r="AP52" s="646">
        <f t="shared" si="2"/>
        <v>0</v>
      </c>
      <c r="AQ52" s="646">
        <f t="shared" si="2"/>
        <v>0</v>
      </c>
      <c r="AR52" s="646">
        <f t="shared" si="2"/>
        <v>1</v>
      </c>
      <c r="AS52" s="646">
        <f t="shared" si="2"/>
        <v>2349</v>
      </c>
      <c r="AT52" s="646">
        <f t="shared" si="2"/>
        <v>0</v>
      </c>
      <c r="AU52" s="646">
        <f t="shared" si="2"/>
        <v>977</v>
      </c>
      <c r="AV52" s="646">
        <f t="shared" si="2"/>
        <v>2</v>
      </c>
      <c r="AW52" s="646">
        <f t="shared" si="2"/>
        <v>224</v>
      </c>
      <c r="AX52" s="646">
        <f t="shared" si="2"/>
        <v>0</v>
      </c>
      <c r="AY52" s="646">
        <f t="shared" si="2"/>
        <v>0</v>
      </c>
      <c r="AZ52" s="646">
        <f t="shared" si="2"/>
        <v>0</v>
      </c>
      <c r="BA52" s="646">
        <f t="shared" si="2"/>
        <v>1</v>
      </c>
      <c r="BB52" s="646">
        <f t="shared" si="2"/>
        <v>0</v>
      </c>
      <c r="BC52" s="646">
        <f t="shared" si="2"/>
        <v>0</v>
      </c>
      <c r="BD52" s="646">
        <f t="shared" si="2"/>
        <v>4351</v>
      </c>
      <c r="BE52" s="646">
        <f t="shared" si="2"/>
        <v>0</v>
      </c>
      <c r="BF52" s="646">
        <f t="shared" si="2"/>
        <v>0</v>
      </c>
      <c r="BG52" s="646">
        <f t="shared" si="2"/>
        <v>0</v>
      </c>
    </row>
    <row r="53" spans="1:60" x14ac:dyDescent="0.2">
      <c r="A53" s="1245" t="s">
        <v>167</v>
      </c>
      <c r="D53" s="1240"/>
      <c r="E53" s="1240"/>
      <c r="F53" s="1240"/>
      <c r="G53" s="1240"/>
      <c r="H53" s="1240"/>
      <c r="I53" s="1240"/>
      <c r="J53" s="1240"/>
      <c r="K53" s="1240"/>
      <c r="L53" s="1240"/>
      <c r="M53" s="1240"/>
      <c r="N53" s="1240"/>
      <c r="O53" s="1240"/>
      <c r="P53" s="1240"/>
      <c r="Q53" s="1240"/>
      <c r="R53" s="1240"/>
      <c r="S53" s="1240"/>
      <c r="T53" s="1240"/>
      <c r="U53" s="1240"/>
      <c r="V53" s="1240"/>
      <c r="W53" s="1240"/>
      <c r="X53" s="1240"/>
      <c r="Y53" s="1240"/>
      <c r="Z53" s="1240"/>
      <c r="AA53" s="1240"/>
      <c r="AB53" s="1240"/>
      <c r="AC53" s="1240"/>
      <c r="AD53" s="1240"/>
      <c r="AE53" s="1240"/>
      <c r="AF53" s="1240"/>
      <c r="AG53" s="1240"/>
      <c r="AH53" s="1240"/>
      <c r="AI53" s="1240"/>
      <c r="AJ53" s="1240"/>
      <c r="AK53" s="1240"/>
      <c r="AL53" s="1240"/>
      <c r="AM53" s="1240"/>
      <c r="AN53" s="1240"/>
      <c r="AO53" s="1240"/>
      <c r="AP53" s="1240"/>
      <c r="AQ53" s="1240"/>
      <c r="AR53" s="1240"/>
      <c r="AS53" s="1240"/>
      <c r="AT53" s="1240"/>
      <c r="AU53" s="1240"/>
      <c r="AV53" s="1240"/>
      <c r="AW53" s="1240"/>
      <c r="AX53" s="1240"/>
      <c r="AY53" s="1240"/>
      <c r="AZ53" s="1240"/>
      <c r="BA53" s="1240"/>
      <c r="BB53" s="1240"/>
      <c r="BC53" s="1240"/>
      <c r="BD53" s="1240"/>
      <c r="BE53" s="1240"/>
      <c r="BF53" s="1240"/>
      <c r="BG53" s="1240"/>
    </row>
    <row r="54" spans="1:60" x14ac:dyDescent="0.2">
      <c r="A54" s="1245" t="s">
        <v>1170</v>
      </c>
      <c r="B54">
        <v>2012</v>
      </c>
      <c r="D54" s="1240">
        <v>18466</v>
      </c>
      <c r="E54" s="1246">
        <v>699</v>
      </c>
      <c r="F54" s="1240">
        <v>13806</v>
      </c>
      <c r="G54" s="1240">
        <v>112</v>
      </c>
      <c r="H54" s="1240">
        <v>82</v>
      </c>
      <c r="I54" s="1240">
        <v>13311</v>
      </c>
      <c r="J54" s="1240">
        <v>24662</v>
      </c>
      <c r="K54" s="1240">
        <v>6077</v>
      </c>
      <c r="L54" s="1246">
        <v>1940</v>
      </c>
      <c r="M54" s="1246">
        <v>878</v>
      </c>
      <c r="N54" s="1246">
        <v>3452</v>
      </c>
      <c r="O54" s="1246">
        <v>6062</v>
      </c>
      <c r="P54" s="1246">
        <v>7249</v>
      </c>
      <c r="Q54" s="1246">
        <v>22186</v>
      </c>
      <c r="R54" s="1248">
        <v>4824</v>
      </c>
      <c r="S54" s="1246">
        <v>2993</v>
      </c>
      <c r="T54" s="1246">
        <v>22106</v>
      </c>
      <c r="U54" s="1246">
        <v>1320</v>
      </c>
      <c r="V54" s="1246">
        <v>2599</v>
      </c>
      <c r="W54" s="1246">
        <v>6351</v>
      </c>
      <c r="X54" s="1246">
        <v>16620</v>
      </c>
      <c r="Y54" s="1246">
        <v>1389</v>
      </c>
      <c r="Z54" s="1246">
        <v>1567</v>
      </c>
      <c r="AA54" s="1246">
        <v>1075.0909999999999</v>
      </c>
      <c r="AB54" s="1246">
        <v>1098</v>
      </c>
      <c r="AC54" s="1246">
        <v>3272</v>
      </c>
      <c r="AD54" s="1246">
        <v>6146</v>
      </c>
      <c r="AE54" s="1246">
        <v>1734</v>
      </c>
      <c r="AF54" s="1246">
        <v>6677</v>
      </c>
      <c r="AG54" s="1246">
        <v>1081</v>
      </c>
      <c r="AH54" s="1246">
        <v>0</v>
      </c>
      <c r="AI54" s="1246">
        <v>0</v>
      </c>
      <c r="AJ54" s="1246">
        <v>88</v>
      </c>
      <c r="AK54" s="1246">
        <v>143</v>
      </c>
      <c r="AL54" s="1246">
        <v>0</v>
      </c>
      <c r="AM54" s="1246">
        <v>22231</v>
      </c>
      <c r="AN54" s="1246">
        <v>390</v>
      </c>
      <c r="AO54" s="1246">
        <v>1041</v>
      </c>
      <c r="AP54" s="1246">
        <v>0</v>
      </c>
      <c r="AQ54" s="1246">
        <v>5746.0370000000003</v>
      </c>
      <c r="AR54" s="1246">
        <v>1415</v>
      </c>
      <c r="AS54" s="1246">
        <v>3619</v>
      </c>
      <c r="AT54" s="1246">
        <v>0</v>
      </c>
      <c r="AU54" s="1246">
        <v>1962</v>
      </c>
      <c r="AV54" s="1246">
        <v>3169</v>
      </c>
      <c r="AW54" s="1246">
        <v>7506</v>
      </c>
      <c r="AX54" s="1246">
        <v>1677</v>
      </c>
      <c r="AY54" s="1246">
        <v>0</v>
      </c>
      <c r="AZ54" s="1246">
        <v>45</v>
      </c>
      <c r="BA54" s="1246">
        <v>1331</v>
      </c>
      <c r="BB54" s="1246">
        <v>1552</v>
      </c>
      <c r="BC54" s="1246">
        <v>2004</v>
      </c>
      <c r="BD54" s="1246">
        <v>1048</v>
      </c>
      <c r="BE54" s="1246">
        <v>6247</v>
      </c>
      <c r="BF54" s="1246">
        <v>0</v>
      </c>
      <c r="BG54" s="1246">
        <v>0</v>
      </c>
    </row>
    <row r="55" spans="1:60" x14ac:dyDescent="0.2">
      <c r="B55" s="813">
        <v>2013</v>
      </c>
      <c r="D55" s="78">
        <v>15873</v>
      </c>
      <c r="E55" s="78">
        <v>1182</v>
      </c>
      <c r="F55" s="78">
        <v>5351</v>
      </c>
      <c r="G55" s="78">
        <v>1047</v>
      </c>
      <c r="H55" s="78">
        <v>397</v>
      </c>
      <c r="I55" s="78">
        <v>8483</v>
      </c>
      <c r="J55" s="78">
        <v>18993</v>
      </c>
      <c r="K55" s="78">
        <v>3609</v>
      </c>
      <c r="L55" s="78">
        <v>5116</v>
      </c>
      <c r="M55" s="78">
        <v>3338</v>
      </c>
      <c r="N55" s="78">
        <v>6407</v>
      </c>
      <c r="O55" s="78">
        <v>5365</v>
      </c>
      <c r="P55" s="78">
        <v>6619</v>
      </c>
      <c r="Q55" s="78">
        <v>9231</v>
      </c>
      <c r="R55" s="1075">
        <v>3752</v>
      </c>
      <c r="S55" s="78">
        <f>2234159/1000</f>
        <v>2234.1590000000001</v>
      </c>
      <c r="T55" s="78">
        <v>5662</v>
      </c>
      <c r="U55" s="78">
        <v>3170</v>
      </c>
      <c r="V55" s="78">
        <v>5732</v>
      </c>
      <c r="W55" s="5">
        <v>4311</v>
      </c>
      <c r="X55" s="78">
        <f>19539258/1000</f>
        <v>19539.258000000002</v>
      </c>
      <c r="Y55" s="78">
        <v>2340</v>
      </c>
      <c r="Z55" s="78">
        <v>1146</v>
      </c>
      <c r="AA55" s="78">
        <v>8228</v>
      </c>
      <c r="AB55" s="78">
        <v>242</v>
      </c>
      <c r="AC55" s="78">
        <v>5532</v>
      </c>
      <c r="AD55" s="78">
        <v>2078</v>
      </c>
      <c r="AE55" s="78">
        <v>6078</v>
      </c>
      <c r="AF55" s="78">
        <v>7663</v>
      </c>
      <c r="AG55" s="78">
        <v>2788</v>
      </c>
      <c r="AH55" s="78">
        <v>8323</v>
      </c>
      <c r="AI55" s="78">
        <v>214</v>
      </c>
      <c r="AJ55" s="78">
        <v>908</v>
      </c>
      <c r="AK55" s="78">
        <v>1676</v>
      </c>
      <c r="AL55" s="78">
        <v>992</v>
      </c>
      <c r="AM55" s="78">
        <v>33898</v>
      </c>
      <c r="AN55" s="78">
        <v>3908</v>
      </c>
      <c r="AO55" s="78">
        <v>13253</v>
      </c>
      <c r="AP55" s="78">
        <v>5907</v>
      </c>
      <c r="AQ55" s="78">
        <v>7228</v>
      </c>
      <c r="AR55" s="78">
        <v>321</v>
      </c>
      <c r="AS55" s="78">
        <v>2491</v>
      </c>
      <c r="AT55" s="78"/>
      <c r="AU55" s="78">
        <f>1197889/1000</f>
        <v>1197.8889999999999</v>
      </c>
      <c r="AV55" s="78">
        <v>15457</v>
      </c>
      <c r="AW55" s="78">
        <v>7169</v>
      </c>
      <c r="AX55" s="78">
        <v>1787</v>
      </c>
      <c r="AY55" s="78">
        <f>1950755/1000</f>
        <v>1950.7550000000001</v>
      </c>
      <c r="AZ55" s="78">
        <v>1</v>
      </c>
      <c r="BA55" s="78">
        <v>9622</v>
      </c>
      <c r="BB55" s="78">
        <v>1046</v>
      </c>
      <c r="BC55" s="78">
        <v>4584</v>
      </c>
      <c r="BD55" s="78">
        <v>5379</v>
      </c>
      <c r="BE55" s="78">
        <v>1282</v>
      </c>
      <c r="BF55" s="78">
        <v>92</v>
      </c>
      <c r="BG55" s="78"/>
    </row>
    <row r="56" spans="1:60" x14ac:dyDescent="0.2">
      <c r="B56" s="813">
        <v>2014</v>
      </c>
      <c r="D56" s="5">
        <v>17799</v>
      </c>
      <c r="E56" s="5">
        <v>4835</v>
      </c>
      <c r="F56" s="5">
        <v>27492</v>
      </c>
      <c r="G56" s="5">
        <v>871</v>
      </c>
      <c r="H56" s="5">
        <v>65</v>
      </c>
      <c r="I56" s="5">
        <v>33479</v>
      </c>
      <c r="J56" s="5">
        <v>32035</v>
      </c>
      <c r="K56" s="5">
        <v>6656</v>
      </c>
      <c r="L56" s="5">
        <v>9386</v>
      </c>
      <c r="M56" s="5">
        <v>514</v>
      </c>
      <c r="N56" s="5">
        <v>3015</v>
      </c>
      <c r="O56" s="5">
        <v>39710</v>
      </c>
      <c r="P56" s="5">
        <v>41005</v>
      </c>
      <c r="Q56" s="5">
        <v>12081</v>
      </c>
      <c r="R56" s="1241">
        <v>2857</v>
      </c>
      <c r="S56" s="5">
        <v>3331</v>
      </c>
      <c r="T56" s="5">
        <v>9216</v>
      </c>
      <c r="U56" s="5">
        <v>2337</v>
      </c>
      <c r="V56" s="5">
        <v>5646</v>
      </c>
      <c r="W56" s="5">
        <v>5631</v>
      </c>
      <c r="X56" s="5">
        <v>32018</v>
      </c>
      <c r="Y56" s="5">
        <v>7501</v>
      </c>
      <c r="Z56" s="5">
        <v>5574</v>
      </c>
      <c r="AA56" s="5">
        <v>16235</v>
      </c>
      <c r="AB56" s="5">
        <v>10414</v>
      </c>
      <c r="AC56" s="5">
        <v>4491</v>
      </c>
      <c r="AD56" s="5">
        <v>9602</v>
      </c>
      <c r="AE56" s="5">
        <v>8886</v>
      </c>
      <c r="AF56" s="5">
        <v>40014</v>
      </c>
      <c r="AG56" s="5">
        <v>2372</v>
      </c>
      <c r="AH56" s="5">
        <v>4995</v>
      </c>
      <c r="AI56" s="5">
        <v>0</v>
      </c>
      <c r="AJ56" s="5">
        <v>580</v>
      </c>
      <c r="AK56" s="5">
        <f>14903</f>
        <v>14903</v>
      </c>
      <c r="AL56" s="5">
        <v>750</v>
      </c>
      <c r="AM56" s="5">
        <v>28163</v>
      </c>
      <c r="AN56" s="5">
        <v>873</v>
      </c>
      <c r="AO56" s="5">
        <v>6381</v>
      </c>
      <c r="AP56" s="5">
        <v>16010</v>
      </c>
      <c r="AQ56" s="5">
        <v>2263</v>
      </c>
      <c r="AR56" s="5">
        <v>1879</v>
      </c>
      <c r="AS56" s="5">
        <v>1909</v>
      </c>
      <c r="AT56" s="5"/>
      <c r="AU56" s="5">
        <v>1301</v>
      </c>
      <c r="AV56" s="5">
        <v>10356</v>
      </c>
      <c r="AW56" s="5">
        <v>11143</v>
      </c>
      <c r="AX56" s="5">
        <v>14</v>
      </c>
      <c r="AY56" s="5">
        <v>10543</v>
      </c>
      <c r="AZ56" s="5">
        <v>10957</v>
      </c>
      <c r="BA56" s="5">
        <f>3961-140</f>
        <v>3821</v>
      </c>
      <c r="BB56" s="5">
        <v>3702</v>
      </c>
      <c r="BC56" s="5">
        <v>4584</v>
      </c>
      <c r="BD56" s="5">
        <v>3137</v>
      </c>
      <c r="BE56" s="5">
        <v>7237</v>
      </c>
      <c r="BF56" s="5">
        <v>788</v>
      </c>
      <c r="BG56" s="5"/>
    </row>
    <row r="57" spans="1:60" x14ac:dyDescent="0.2">
      <c r="A57" s="1245" t="s">
        <v>1171</v>
      </c>
      <c r="Q57" s="1">
        <v>6369</v>
      </c>
      <c r="AA57" s="5">
        <f>6142543/1000</f>
        <v>6142.5429999999997</v>
      </c>
      <c r="AB57" s="5"/>
      <c r="AC57" s="5"/>
      <c r="AD57" s="5"/>
      <c r="AE57" s="5"/>
      <c r="AF57" s="5">
        <v>31262</v>
      </c>
      <c r="AK57" s="5">
        <f>8518517/1000</f>
        <v>8518.5169999999998</v>
      </c>
      <c r="AL57" s="1241">
        <f>11398881/1000</f>
        <v>11398.880999999999</v>
      </c>
      <c r="AT57" s="1">
        <f>5824000/1000</f>
        <v>5824</v>
      </c>
      <c r="AZ57" s="5">
        <f>9491645/1000</f>
        <v>9491.6450000000004</v>
      </c>
      <c r="BH57" s="2">
        <f>SUM(D57:BF57)</f>
        <v>79006.585999999996</v>
      </c>
    </row>
    <row r="58" spans="1:60" x14ac:dyDescent="0.2">
      <c r="D58" s="1240"/>
      <c r="E58" s="1240"/>
      <c r="F58" s="1240"/>
      <c r="G58" s="1240"/>
      <c r="H58" s="1240"/>
      <c r="I58" s="1240"/>
      <c r="J58" s="1240"/>
      <c r="K58" s="1240"/>
      <c r="L58" s="1240"/>
      <c r="M58" s="1240"/>
      <c r="N58" s="1240"/>
      <c r="O58" s="1240"/>
      <c r="P58" s="1240"/>
      <c r="Q58" s="1240"/>
      <c r="R58" s="1241"/>
      <c r="S58" s="1240"/>
      <c r="T58" s="1240"/>
      <c r="U58" s="1240"/>
      <c r="V58" s="1240"/>
      <c r="W58" s="1240"/>
      <c r="X58" s="1240"/>
      <c r="Y58" s="1240"/>
      <c r="Z58" s="1240"/>
      <c r="AA58" s="1240"/>
      <c r="AB58" s="1240"/>
      <c r="AC58" s="1240"/>
      <c r="AD58" s="1240"/>
      <c r="AE58" s="1240"/>
      <c r="AF58" s="1240"/>
      <c r="AG58" s="1240"/>
      <c r="AH58" s="1240"/>
      <c r="AI58" s="1240"/>
      <c r="AJ58" s="1240"/>
      <c r="AK58" s="1240"/>
      <c r="AL58" s="1241"/>
      <c r="AM58" s="1240"/>
      <c r="AN58" s="1240"/>
      <c r="AO58" s="1240"/>
      <c r="AP58" s="1240"/>
      <c r="AQ58" s="1240"/>
      <c r="AR58" s="1240"/>
      <c r="AS58" s="1240"/>
      <c r="AT58" s="1240"/>
      <c r="AU58" s="1240"/>
      <c r="AV58" s="1241"/>
      <c r="AW58" s="1240"/>
      <c r="AX58" s="1240"/>
      <c r="AY58" s="1240"/>
      <c r="AZ58" s="1240"/>
      <c r="BA58" s="1240"/>
      <c r="BB58" s="1240"/>
      <c r="BC58" s="1240"/>
      <c r="BD58" s="1240"/>
      <c r="BE58" s="1240"/>
      <c r="BF58" s="1240"/>
      <c r="BG58" s="1240"/>
    </row>
    <row r="59" spans="1:60" x14ac:dyDescent="0.2">
      <c r="D59" s="1240"/>
      <c r="E59" s="1240"/>
      <c r="F59" s="1240"/>
      <c r="G59" s="1240"/>
      <c r="H59" s="1240"/>
      <c r="I59" s="1240"/>
      <c r="J59" s="1240"/>
      <c r="K59" s="1240"/>
      <c r="L59" s="1240"/>
      <c r="M59" s="1240"/>
      <c r="N59" s="1240"/>
      <c r="O59" s="1240"/>
      <c r="P59" s="1240"/>
      <c r="Q59" s="1240"/>
      <c r="R59" s="1241"/>
      <c r="S59" s="1240"/>
      <c r="T59" s="1240"/>
      <c r="U59" s="1240"/>
      <c r="V59" s="1240"/>
      <c r="W59" s="1240"/>
      <c r="X59" s="1240"/>
      <c r="Y59" s="1240"/>
      <c r="Z59" s="1240"/>
      <c r="AA59" s="1240"/>
      <c r="AB59" s="1240"/>
      <c r="AC59" s="1240"/>
      <c r="AD59" s="1240"/>
      <c r="AE59" s="1240"/>
      <c r="AF59" s="1240"/>
      <c r="AG59" s="1240"/>
      <c r="AH59" s="1240"/>
      <c r="AI59" s="1240"/>
      <c r="AJ59" s="1240"/>
      <c r="AK59" s="1240"/>
      <c r="AL59" s="1241"/>
      <c r="AM59" s="1240"/>
      <c r="AN59" s="1240"/>
      <c r="AO59" s="1240"/>
      <c r="AP59" s="1240"/>
      <c r="AQ59" s="1240"/>
      <c r="AR59" s="1240"/>
      <c r="AS59" s="1240"/>
      <c r="AT59" s="1240"/>
      <c r="AU59" s="1240"/>
      <c r="AV59" s="1241"/>
      <c r="AW59" s="1240"/>
      <c r="AX59" s="1240"/>
      <c r="AY59" s="1240"/>
      <c r="AZ59" s="1240"/>
      <c r="BA59" s="1240"/>
      <c r="BB59" s="1240"/>
      <c r="BC59" s="1240"/>
      <c r="BD59" s="1240"/>
      <c r="BE59" s="1240"/>
      <c r="BF59" s="1240"/>
      <c r="BG59" s="1240"/>
      <c r="BH59"/>
    </row>
    <row r="60" spans="1:60" x14ac:dyDescent="0.2">
      <c r="D60" s="1240"/>
      <c r="E60" s="1240"/>
      <c r="F60" s="1240"/>
      <c r="G60" s="1240"/>
      <c r="H60" s="1240"/>
      <c r="I60" s="1240"/>
      <c r="J60" s="1240"/>
      <c r="K60" s="1240"/>
      <c r="L60" s="1240"/>
      <c r="M60" s="1240"/>
      <c r="N60" s="1240"/>
      <c r="O60" s="1240"/>
      <c r="P60" s="1240"/>
      <c r="Q60" s="1240"/>
      <c r="R60" s="1241"/>
      <c r="S60" s="1240"/>
      <c r="T60" s="1240"/>
      <c r="U60" s="1240"/>
      <c r="V60" s="1240"/>
      <c r="W60" s="1240"/>
      <c r="X60" s="1240"/>
      <c r="Y60" s="1240"/>
      <c r="Z60" s="1240"/>
      <c r="AA60" s="1240"/>
      <c r="AB60" s="1240"/>
      <c r="AC60" s="1240"/>
      <c r="AD60" s="1240"/>
      <c r="AE60" s="1240"/>
      <c r="AF60" s="1240"/>
      <c r="AG60" s="1240"/>
      <c r="AH60" s="1240"/>
      <c r="AI60" s="1240"/>
      <c r="AJ60" s="1240"/>
      <c r="AK60" s="1240"/>
      <c r="AL60" s="1241"/>
      <c r="AM60" s="1240"/>
      <c r="AN60" s="1240"/>
      <c r="AO60" s="1240"/>
      <c r="AP60" s="1240"/>
      <c r="AQ60" s="1240"/>
      <c r="AR60" s="1240"/>
      <c r="AS60" s="1240"/>
      <c r="AT60" s="1240"/>
      <c r="AU60" s="1240"/>
      <c r="AV60" s="1241"/>
      <c r="AW60" s="1240"/>
      <c r="AX60" s="1240"/>
      <c r="AY60" s="1240"/>
      <c r="AZ60" s="1240"/>
      <c r="BA60" s="1240"/>
      <c r="BB60" s="1240"/>
      <c r="BC60" s="1240"/>
      <c r="BD60" s="1240"/>
      <c r="BE60" s="1240"/>
      <c r="BF60" s="1240"/>
      <c r="BG60" s="1240"/>
      <c r="BH60"/>
    </row>
    <row r="62" spans="1:60" s="648" customFormat="1" ht="18.75" customHeight="1" x14ac:dyDescent="0.2">
      <c r="A62" s="646"/>
      <c r="B62" s="811" t="s">
        <v>164</v>
      </c>
      <c r="C62" s="646"/>
      <c r="D62" s="646">
        <f>SUM(D54:D57)</f>
        <v>52138</v>
      </c>
      <c r="E62" s="646">
        <f t="shared" ref="E62:BG62" si="3">SUM(E54:E57)</f>
        <v>6716</v>
      </c>
      <c r="F62" s="646">
        <f t="shared" si="3"/>
        <v>46649</v>
      </c>
      <c r="G62" s="646">
        <f t="shared" si="3"/>
        <v>2030</v>
      </c>
      <c r="H62" s="646">
        <f t="shared" si="3"/>
        <v>544</v>
      </c>
      <c r="I62" s="646">
        <f t="shared" si="3"/>
        <v>55273</v>
      </c>
      <c r="J62" s="646">
        <f t="shared" si="3"/>
        <v>75690</v>
      </c>
      <c r="K62" s="646">
        <f t="shared" si="3"/>
        <v>16342</v>
      </c>
      <c r="L62" s="646">
        <f t="shared" si="3"/>
        <v>16442</v>
      </c>
      <c r="M62" s="646">
        <f t="shared" si="3"/>
        <v>4730</v>
      </c>
      <c r="N62" s="646">
        <f t="shared" si="3"/>
        <v>12874</v>
      </c>
      <c r="O62" s="646">
        <f t="shared" si="3"/>
        <v>51137</v>
      </c>
      <c r="P62" s="646">
        <f t="shared" si="3"/>
        <v>54873</v>
      </c>
      <c r="Q62" s="646">
        <f t="shared" si="3"/>
        <v>49867</v>
      </c>
      <c r="R62" s="646">
        <f t="shared" si="3"/>
        <v>11433</v>
      </c>
      <c r="S62" s="646">
        <f t="shared" si="3"/>
        <v>8558.1589999999997</v>
      </c>
      <c r="T62" s="646">
        <f t="shared" si="3"/>
        <v>36984</v>
      </c>
      <c r="U62" s="646">
        <f t="shared" si="3"/>
        <v>6827</v>
      </c>
      <c r="V62" s="646">
        <f t="shared" si="3"/>
        <v>13977</v>
      </c>
      <c r="W62" s="646">
        <f t="shared" si="3"/>
        <v>16293</v>
      </c>
      <c r="X62" s="646">
        <f t="shared" si="3"/>
        <v>68177.258000000002</v>
      </c>
      <c r="Y62" s="646">
        <f t="shared" si="3"/>
        <v>11230</v>
      </c>
      <c r="Z62" s="646">
        <f t="shared" si="3"/>
        <v>8287</v>
      </c>
      <c r="AA62" s="646">
        <f t="shared" si="3"/>
        <v>31680.633999999998</v>
      </c>
      <c r="AB62" s="646">
        <f t="shared" si="3"/>
        <v>11754</v>
      </c>
      <c r="AC62" s="646">
        <f t="shared" si="3"/>
        <v>13295</v>
      </c>
      <c r="AD62" s="646">
        <f t="shared" si="3"/>
        <v>17826</v>
      </c>
      <c r="AE62" s="646">
        <f t="shared" si="3"/>
        <v>16698</v>
      </c>
      <c r="AF62" s="646">
        <f t="shared" si="3"/>
        <v>85616</v>
      </c>
      <c r="AG62" s="646">
        <f t="shared" si="3"/>
        <v>6241</v>
      </c>
      <c r="AH62" s="646">
        <f t="shared" si="3"/>
        <v>13318</v>
      </c>
      <c r="AI62" s="646">
        <f t="shared" si="3"/>
        <v>214</v>
      </c>
      <c r="AJ62" s="646">
        <f t="shared" si="3"/>
        <v>1576</v>
      </c>
      <c r="AK62" s="646">
        <f t="shared" si="3"/>
        <v>25240.517</v>
      </c>
      <c r="AL62" s="646">
        <f t="shared" si="3"/>
        <v>13140.880999999999</v>
      </c>
      <c r="AM62" s="646">
        <f t="shared" si="3"/>
        <v>84292</v>
      </c>
      <c r="AN62" s="646">
        <f t="shared" si="3"/>
        <v>5171</v>
      </c>
      <c r="AO62" s="646">
        <f t="shared" si="3"/>
        <v>20675</v>
      </c>
      <c r="AP62" s="646">
        <f t="shared" si="3"/>
        <v>21917</v>
      </c>
      <c r="AQ62" s="646">
        <f t="shared" si="3"/>
        <v>15237.037</v>
      </c>
      <c r="AR62" s="646">
        <f t="shared" si="3"/>
        <v>3615</v>
      </c>
      <c r="AS62" s="646">
        <f t="shared" si="3"/>
        <v>8019</v>
      </c>
      <c r="AT62" s="646">
        <f t="shared" si="3"/>
        <v>5824</v>
      </c>
      <c r="AU62" s="646">
        <f t="shared" si="3"/>
        <v>4460.8890000000001</v>
      </c>
      <c r="AV62" s="646">
        <f t="shared" si="3"/>
        <v>28982</v>
      </c>
      <c r="AW62" s="646">
        <f t="shared" si="3"/>
        <v>25818</v>
      </c>
      <c r="AX62" s="646">
        <f t="shared" si="3"/>
        <v>3478</v>
      </c>
      <c r="AY62" s="646">
        <f t="shared" si="3"/>
        <v>12493.755000000001</v>
      </c>
      <c r="AZ62" s="646">
        <f t="shared" si="3"/>
        <v>20494.645</v>
      </c>
      <c r="BA62" s="646">
        <f t="shared" si="3"/>
        <v>14774</v>
      </c>
      <c r="BB62" s="646">
        <f t="shared" si="3"/>
        <v>6300</v>
      </c>
      <c r="BC62" s="646">
        <f t="shared" si="3"/>
        <v>11172</v>
      </c>
      <c r="BD62" s="646">
        <f t="shared" si="3"/>
        <v>9564</v>
      </c>
      <c r="BE62" s="646">
        <f t="shared" si="3"/>
        <v>14766</v>
      </c>
      <c r="BF62" s="646">
        <f t="shared" si="3"/>
        <v>880</v>
      </c>
      <c r="BG62" s="646">
        <f t="shared" si="3"/>
        <v>0</v>
      </c>
    </row>
    <row r="63" spans="1:60" x14ac:dyDescent="0.2">
      <c r="A63" s="1245" t="s">
        <v>167</v>
      </c>
      <c r="D63" s="78"/>
      <c r="E63" s="78"/>
      <c r="F63" s="78"/>
      <c r="G63" s="78"/>
      <c r="H63" s="78"/>
      <c r="I63" s="78"/>
      <c r="J63" s="78"/>
      <c r="K63" s="78"/>
      <c r="L63" s="78"/>
      <c r="M63" s="78"/>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78"/>
      <c r="BD63" s="78"/>
      <c r="BE63" s="78"/>
      <c r="BF63" s="78"/>
      <c r="BG63" s="78"/>
      <c r="BH63"/>
    </row>
    <row r="64" spans="1:60" x14ac:dyDescent="0.2">
      <c r="A64" s="1245" t="s">
        <v>1172</v>
      </c>
      <c r="B64">
        <v>2012</v>
      </c>
      <c r="D64" s="78">
        <v>0</v>
      </c>
      <c r="E64" s="78">
        <v>0</v>
      </c>
      <c r="F64" s="78">
        <v>0</v>
      </c>
      <c r="G64" s="78">
        <v>0</v>
      </c>
      <c r="H64" s="78">
        <v>0</v>
      </c>
      <c r="I64" s="78">
        <v>1170</v>
      </c>
      <c r="J64" s="78">
        <v>2964</v>
      </c>
      <c r="K64" s="78">
        <v>170</v>
      </c>
      <c r="L64" s="78">
        <v>0</v>
      </c>
      <c r="M64" s="78">
        <v>225</v>
      </c>
      <c r="N64" s="78">
        <v>29</v>
      </c>
      <c r="O64" s="78">
        <v>0</v>
      </c>
      <c r="P64" s="78">
        <v>0</v>
      </c>
      <c r="Q64" s="78">
        <v>1086</v>
      </c>
      <c r="R64" s="1075">
        <v>0</v>
      </c>
      <c r="S64" s="78">
        <v>76</v>
      </c>
      <c r="T64" s="78">
        <v>0</v>
      </c>
      <c r="U64" s="78">
        <v>50</v>
      </c>
      <c r="V64" s="78">
        <v>84</v>
      </c>
      <c r="W64" s="78">
        <v>1572</v>
      </c>
      <c r="X64" s="78">
        <v>0</v>
      </c>
      <c r="Y64" s="78">
        <v>0</v>
      </c>
      <c r="Z64" s="78">
        <v>1175</v>
      </c>
      <c r="AA64" s="78">
        <v>0</v>
      </c>
      <c r="AB64" s="78">
        <v>0</v>
      </c>
      <c r="AC64" s="78">
        <v>0</v>
      </c>
      <c r="AD64" s="78">
        <v>1606</v>
      </c>
      <c r="AE64" s="78">
        <v>0</v>
      </c>
      <c r="AF64" s="78">
        <v>959</v>
      </c>
      <c r="AG64" s="78">
        <v>374</v>
      </c>
      <c r="AH64" s="78">
        <v>0</v>
      </c>
      <c r="AI64" s="78">
        <v>0</v>
      </c>
      <c r="AJ64" s="78">
        <v>0</v>
      </c>
      <c r="AK64" s="78">
        <v>52</v>
      </c>
      <c r="AL64" s="78">
        <v>0</v>
      </c>
      <c r="AM64" s="78">
        <v>0</v>
      </c>
      <c r="AN64" s="78">
        <v>65</v>
      </c>
      <c r="AO64" s="78">
        <v>1690</v>
      </c>
      <c r="AP64" s="78">
        <v>0</v>
      </c>
      <c r="AQ64" s="78">
        <v>0</v>
      </c>
      <c r="AR64" s="78">
        <v>250</v>
      </c>
      <c r="AS64" s="78">
        <v>0</v>
      </c>
      <c r="AT64" s="78">
        <v>16190</v>
      </c>
      <c r="AU64" s="78">
        <v>0</v>
      </c>
      <c r="AV64" s="78">
        <v>0</v>
      </c>
      <c r="AW64" s="78">
        <v>303</v>
      </c>
      <c r="AX64" s="78">
        <v>280</v>
      </c>
      <c r="AY64" s="78">
        <v>0</v>
      </c>
      <c r="AZ64" s="78">
        <v>0</v>
      </c>
      <c r="BA64" s="78">
        <v>417</v>
      </c>
      <c r="BB64" s="78">
        <v>11</v>
      </c>
      <c r="BC64" s="78">
        <v>0</v>
      </c>
      <c r="BD64" s="78">
        <v>0</v>
      </c>
      <c r="BE64" s="78">
        <v>0</v>
      </c>
      <c r="BF64" s="78">
        <v>0</v>
      </c>
      <c r="BG64" s="78">
        <v>0</v>
      </c>
      <c r="BH64"/>
    </row>
    <row r="65" spans="1:60" x14ac:dyDescent="0.2">
      <c r="B65">
        <v>2013</v>
      </c>
      <c r="D65" s="78">
        <v>0</v>
      </c>
      <c r="E65" s="78">
        <v>119</v>
      </c>
      <c r="F65" s="78">
        <v>1032</v>
      </c>
      <c r="G65" s="78">
        <v>0</v>
      </c>
      <c r="H65" s="78">
        <v>0</v>
      </c>
      <c r="I65" s="78">
        <v>3614</v>
      </c>
      <c r="J65" s="78">
        <v>3529</v>
      </c>
      <c r="K65" s="78">
        <v>1831</v>
      </c>
      <c r="L65" s="78">
        <v>1281</v>
      </c>
      <c r="M65" s="78">
        <v>10743</v>
      </c>
      <c r="N65" s="78">
        <v>2</v>
      </c>
      <c r="O65" s="78">
        <v>287</v>
      </c>
      <c r="P65" s="78">
        <v>0</v>
      </c>
      <c r="Q65" s="78">
        <v>3535</v>
      </c>
      <c r="R65" s="1075">
        <v>0</v>
      </c>
      <c r="S65" s="78">
        <f>792160/1000</f>
        <v>792.16</v>
      </c>
      <c r="T65" s="78">
        <v>138</v>
      </c>
      <c r="U65" s="78">
        <v>0</v>
      </c>
      <c r="V65" s="78">
        <v>0</v>
      </c>
      <c r="W65" s="78">
        <v>222</v>
      </c>
      <c r="X65" s="78">
        <f>13775922/1000</f>
        <v>13775.922</v>
      </c>
      <c r="Y65" s="78">
        <v>316</v>
      </c>
      <c r="Z65" s="78">
        <v>2339</v>
      </c>
      <c r="AA65" s="78">
        <v>6</v>
      </c>
      <c r="AB65" s="78">
        <v>91</v>
      </c>
      <c r="AC65" s="78">
        <v>0</v>
      </c>
      <c r="AD65" s="78">
        <v>0</v>
      </c>
      <c r="AE65" s="78">
        <v>1545</v>
      </c>
      <c r="AF65" s="78">
        <v>370</v>
      </c>
      <c r="AG65" s="78">
        <v>49</v>
      </c>
      <c r="AH65" s="78">
        <v>461</v>
      </c>
      <c r="AI65" s="78">
        <v>0</v>
      </c>
      <c r="AJ65" s="78">
        <v>0</v>
      </c>
      <c r="AK65" s="78">
        <v>98</v>
      </c>
      <c r="AL65" s="78">
        <v>0</v>
      </c>
      <c r="AM65" s="78">
        <v>0</v>
      </c>
      <c r="AN65" s="78">
        <v>25</v>
      </c>
      <c r="AO65" s="78">
        <v>1152</v>
      </c>
      <c r="AP65" s="78">
        <v>0</v>
      </c>
      <c r="AQ65" s="78">
        <v>0</v>
      </c>
      <c r="AR65" s="78">
        <v>2590</v>
      </c>
      <c r="AS65" s="78">
        <v>0</v>
      </c>
      <c r="AT65" s="78">
        <v>3696</v>
      </c>
      <c r="AU65" s="78">
        <v>0</v>
      </c>
      <c r="AV65" s="78">
        <v>0</v>
      </c>
      <c r="AW65" s="78">
        <v>71</v>
      </c>
      <c r="AX65" s="78">
        <v>96</v>
      </c>
      <c r="AY65" s="78">
        <v>0</v>
      </c>
      <c r="AZ65" s="78">
        <v>0</v>
      </c>
      <c r="BA65" s="78">
        <v>1126</v>
      </c>
      <c r="BB65" s="78">
        <v>2</v>
      </c>
      <c r="BC65" s="78">
        <v>0</v>
      </c>
      <c r="BD65" s="78">
        <v>0</v>
      </c>
      <c r="BE65" s="78">
        <v>0</v>
      </c>
      <c r="BF65" s="78">
        <v>0</v>
      </c>
      <c r="BG65" s="78">
        <v>0</v>
      </c>
      <c r="BH65"/>
    </row>
    <row r="66" spans="1:60" x14ac:dyDescent="0.2">
      <c r="B66">
        <v>2014</v>
      </c>
      <c r="D66" s="78">
        <v>0</v>
      </c>
      <c r="E66" s="78">
        <v>293</v>
      </c>
      <c r="F66" s="78">
        <v>648</v>
      </c>
      <c r="G66" s="78"/>
      <c r="H66" s="78"/>
      <c r="I66" s="78"/>
      <c r="J66" s="78">
        <v>4483</v>
      </c>
      <c r="K66" s="78">
        <v>3522</v>
      </c>
      <c r="L66" s="78">
        <v>1915</v>
      </c>
      <c r="M66" s="78">
        <v>945</v>
      </c>
      <c r="N66" s="78">
        <v>19864</v>
      </c>
      <c r="O66" s="78">
        <v>136</v>
      </c>
      <c r="P66" s="78">
        <v>6199</v>
      </c>
      <c r="Q66" s="78"/>
      <c r="R66" s="1075"/>
      <c r="S66" s="78">
        <v>1169</v>
      </c>
      <c r="T66" s="78">
        <v>728</v>
      </c>
      <c r="U66" s="78">
        <v>478</v>
      </c>
      <c r="V66" s="78">
        <v>65</v>
      </c>
      <c r="W66" s="78">
        <v>615</v>
      </c>
      <c r="X66" s="78">
        <v>2348</v>
      </c>
      <c r="Y66" s="78">
        <v>67</v>
      </c>
      <c r="Z66" s="78">
        <v>328</v>
      </c>
      <c r="AA66" s="78"/>
      <c r="AB66" s="78">
        <v>8845</v>
      </c>
      <c r="AC66" s="78"/>
      <c r="AD66" s="78">
        <v>19</v>
      </c>
      <c r="AE66" s="78">
        <v>5706</v>
      </c>
      <c r="AF66" s="78">
        <v>8363</v>
      </c>
      <c r="AG66" s="78">
        <v>8074</v>
      </c>
      <c r="AH66" s="78"/>
      <c r="AI66" s="78"/>
      <c r="AJ66" s="78">
        <v>1345</v>
      </c>
      <c r="AK66" s="78">
        <v>404</v>
      </c>
      <c r="AL66" s="78"/>
      <c r="AM66" s="78"/>
      <c r="AN66" s="78">
        <v>84</v>
      </c>
      <c r="AO66" s="78">
        <v>178</v>
      </c>
      <c r="AP66" s="78">
        <v>65</v>
      </c>
      <c r="AQ66" s="78"/>
      <c r="AR66" s="78"/>
      <c r="AS66" s="78"/>
      <c r="AT66" s="78">
        <v>31932</v>
      </c>
      <c r="AU66" s="78"/>
      <c r="AV66" s="78">
        <v>135</v>
      </c>
      <c r="AW66" s="78">
        <v>21</v>
      </c>
      <c r="AX66" s="78">
        <v>4434</v>
      </c>
      <c r="AY66" s="78">
        <v>9322</v>
      </c>
      <c r="AZ66" s="78"/>
      <c r="BA66" s="5">
        <f>2256-847</f>
        <v>1409</v>
      </c>
      <c r="BB66" s="78"/>
      <c r="BC66" s="78"/>
      <c r="BD66" s="78">
        <v>195</v>
      </c>
      <c r="BE66" s="78">
        <v>3348</v>
      </c>
      <c r="BF66" s="78"/>
      <c r="BG66" s="78"/>
      <c r="BH66"/>
    </row>
    <row r="67" spans="1:60" x14ac:dyDescent="0.2">
      <c r="B67" s="12"/>
      <c r="D67" s="5"/>
      <c r="E67" s="5"/>
      <c r="F67" s="5"/>
      <c r="G67" s="5"/>
      <c r="H67" s="5"/>
      <c r="I67" s="5"/>
      <c r="J67" s="5"/>
      <c r="K67" s="5"/>
      <c r="L67" s="5"/>
      <c r="M67" s="5"/>
      <c r="N67" s="5"/>
      <c r="O67" s="5"/>
      <c r="P67" s="5"/>
      <c r="Q67" s="5"/>
      <c r="R67" s="1241"/>
      <c r="S67" s="5"/>
      <c r="T67" s="5"/>
      <c r="U67" s="5"/>
      <c r="V67" s="5"/>
      <c r="W67" s="5"/>
      <c r="X67" s="5"/>
      <c r="Y67" s="5"/>
      <c r="Z67" s="5"/>
      <c r="AA67" s="5"/>
      <c r="AB67" s="5"/>
      <c r="AC67" s="5"/>
      <c r="AD67" s="5"/>
      <c r="AE67" s="5"/>
      <c r="AF67" s="5"/>
      <c r="AG67" s="5"/>
      <c r="AH67" s="5"/>
      <c r="AI67" s="5"/>
      <c r="AJ67" s="5"/>
      <c r="AK67" s="5"/>
      <c r="AL67" s="1241"/>
      <c r="AM67" s="5"/>
      <c r="AN67" s="5"/>
      <c r="AO67" s="5"/>
      <c r="AP67" s="5"/>
      <c r="AQ67" s="5"/>
      <c r="AR67" s="5"/>
      <c r="AS67" s="5"/>
      <c r="AT67" s="5"/>
      <c r="AU67" s="5"/>
      <c r="AV67" s="1241"/>
      <c r="AW67" s="5"/>
      <c r="AX67" s="5"/>
      <c r="AY67" s="5"/>
      <c r="AZ67" s="5"/>
      <c r="BA67" s="5"/>
      <c r="BB67" s="5"/>
      <c r="BC67" s="5"/>
      <c r="BD67" s="5"/>
      <c r="BE67" s="5"/>
      <c r="BF67" s="5"/>
      <c r="BG67" s="5"/>
      <c r="BH67"/>
    </row>
    <row r="69" spans="1:60" x14ac:dyDescent="0.2">
      <c r="D69" s="1240"/>
      <c r="E69" s="1240"/>
      <c r="F69" s="1240"/>
      <c r="G69" s="1240"/>
      <c r="H69" s="1240"/>
      <c r="I69" s="1240"/>
      <c r="J69" s="1240"/>
      <c r="K69" s="1240"/>
      <c r="L69" s="1240"/>
      <c r="M69" s="1240"/>
      <c r="N69" s="1240"/>
      <c r="O69" s="1240"/>
      <c r="P69" s="1240"/>
      <c r="Q69" s="1240"/>
      <c r="R69" s="1241"/>
      <c r="S69" s="1240"/>
      <c r="T69" s="1240"/>
      <c r="U69" s="1240"/>
      <c r="V69" s="1240"/>
      <c r="W69" s="1240"/>
      <c r="X69" s="1240"/>
      <c r="Y69" s="1240"/>
      <c r="Z69" s="1240"/>
      <c r="AA69" s="1240"/>
      <c r="AB69" s="1240"/>
      <c r="AC69" s="1240"/>
      <c r="AD69" s="1240"/>
      <c r="AE69" s="1240"/>
      <c r="AF69" s="1240"/>
      <c r="AG69" s="1240"/>
      <c r="AH69" s="1240"/>
      <c r="AI69" s="1240"/>
      <c r="AJ69" s="1240"/>
      <c r="AK69" s="1240"/>
      <c r="AL69" s="1241"/>
      <c r="AM69" s="1240"/>
      <c r="AN69" s="1240"/>
      <c r="AO69" s="1240"/>
      <c r="AP69" s="1240"/>
      <c r="AQ69" s="1240"/>
      <c r="AR69" s="1240"/>
      <c r="AS69" s="1240"/>
      <c r="AT69" s="1240"/>
      <c r="AU69" s="1240"/>
      <c r="AV69" s="1241"/>
      <c r="AW69" s="1240"/>
      <c r="AX69" s="1240"/>
      <c r="AY69" s="1240"/>
      <c r="AZ69" s="1240"/>
      <c r="BA69" s="1240"/>
      <c r="BB69" s="1240"/>
      <c r="BC69" s="1240"/>
      <c r="BD69" s="1240"/>
      <c r="BE69" s="1240"/>
      <c r="BF69" s="1240"/>
      <c r="BG69" s="1240"/>
      <c r="BH69"/>
    </row>
    <row r="70" spans="1:60" x14ac:dyDescent="0.2">
      <c r="D70" s="1240"/>
      <c r="E70" s="1240"/>
      <c r="F70" s="1240"/>
      <c r="G70" s="1240"/>
      <c r="H70" s="1240"/>
      <c r="I70" s="1240"/>
      <c r="J70" s="1240"/>
      <c r="K70" s="1240"/>
      <c r="L70" s="1240"/>
      <c r="M70" s="1240"/>
      <c r="N70" s="1240"/>
      <c r="O70" s="1240"/>
      <c r="P70" s="1240"/>
      <c r="Q70" s="1240"/>
      <c r="R70" s="1241"/>
      <c r="S70" s="1240"/>
      <c r="T70" s="1240"/>
      <c r="U70" s="1240"/>
      <c r="V70" s="1240"/>
      <c r="W70" s="1240"/>
      <c r="X70" s="1240"/>
      <c r="Y70" s="1240"/>
      <c r="Z70" s="1240"/>
      <c r="AA70" s="1240"/>
      <c r="AB70" s="1240"/>
      <c r="AC70" s="1240"/>
      <c r="AD70" s="1240"/>
      <c r="AE70" s="1240"/>
      <c r="AF70" s="1240"/>
      <c r="AG70" s="1240"/>
      <c r="AH70" s="1240"/>
      <c r="AI70" s="1240"/>
      <c r="AJ70" s="1240"/>
      <c r="AK70" s="1240"/>
      <c r="AL70" s="1241"/>
      <c r="AM70" s="1240"/>
      <c r="AN70" s="1240"/>
      <c r="AO70" s="1240"/>
      <c r="AP70" s="1240"/>
      <c r="AQ70" s="1240"/>
      <c r="AR70" s="1240"/>
      <c r="AS70" s="1240"/>
      <c r="AT70" s="1240"/>
      <c r="AU70" s="1240"/>
      <c r="AV70" s="1241"/>
      <c r="AW70" s="1240"/>
      <c r="AX70" s="1240"/>
      <c r="AY70" s="1240"/>
      <c r="AZ70" s="1240"/>
      <c r="BA70" s="1240"/>
      <c r="BB70" s="1240"/>
      <c r="BC70" s="1240"/>
      <c r="BD70" s="1240"/>
      <c r="BE70" s="1240"/>
      <c r="BF70" s="1240"/>
      <c r="BG70" s="1240"/>
      <c r="BH70"/>
    </row>
    <row r="72" spans="1:60" s="648" customFormat="1" ht="18.75" customHeight="1" x14ac:dyDescent="0.2">
      <c r="A72" s="646"/>
      <c r="B72" s="811" t="s">
        <v>1173</v>
      </c>
      <c r="C72" s="646"/>
      <c r="D72" s="646">
        <f>SUM(D64:D66)</f>
        <v>0</v>
      </c>
      <c r="E72" s="646">
        <f t="shared" ref="E72:BG72" si="4">SUM(E64:E66)</f>
        <v>412</v>
      </c>
      <c r="F72" s="646">
        <f t="shared" si="4"/>
        <v>1680</v>
      </c>
      <c r="G72" s="646">
        <f t="shared" si="4"/>
        <v>0</v>
      </c>
      <c r="H72" s="646">
        <f t="shared" si="4"/>
        <v>0</v>
      </c>
      <c r="I72" s="646">
        <f t="shared" si="4"/>
        <v>4784</v>
      </c>
      <c r="J72" s="646">
        <f t="shared" si="4"/>
        <v>10976</v>
      </c>
      <c r="K72" s="646">
        <f t="shared" si="4"/>
        <v>5523</v>
      </c>
      <c r="L72" s="646">
        <f t="shared" si="4"/>
        <v>3196</v>
      </c>
      <c r="M72" s="646">
        <f t="shared" si="4"/>
        <v>11913</v>
      </c>
      <c r="N72" s="646">
        <f t="shared" si="4"/>
        <v>19895</v>
      </c>
      <c r="O72" s="646">
        <f t="shared" si="4"/>
        <v>423</v>
      </c>
      <c r="P72" s="646">
        <f t="shared" si="4"/>
        <v>6199</v>
      </c>
      <c r="Q72" s="646">
        <f t="shared" si="4"/>
        <v>4621</v>
      </c>
      <c r="R72" s="646">
        <f t="shared" si="4"/>
        <v>0</v>
      </c>
      <c r="S72" s="646">
        <f t="shared" si="4"/>
        <v>2037.1599999999999</v>
      </c>
      <c r="T72" s="646">
        <f t="shared" si="4"/>
        <v>866</v>
      </c>
      <c r="U72" s="646">
        <f t="shared" si="4"/>
        <v>528</v>
      </c>
      <c r="V72" s="646">
        <f t="shared" si="4"/>
        <v>149</v>
      </c>
      <c r="W72" s="646">
        <f t="shared" si="4"/>
        <v>2409</v>
      </c>
      <c r="X72" s="646">
        <f t="shared" si="4"/>
        <v>16123.922</v>
      </c>
      <c r="Y72" s="646">
        <f t="shared" si="4"/>
        <v>383</v>
      </c>
      <c r="Z72" s="646">
        <f t="shared" si="4"/>
        <v>3842</v>
      </c>
      <c r="AA72" s="646">
        <f t="shared" si="4"/>
        <v>6</v>
      </c>
      <c r="AB72" s="646">
        <f t="shared" si="4"/>
        <v>8936</v>
      </c>
      <c r="AC72" s="646">
        <f t="shared" si="4"/>
        <v>0</v>
      </c>
      <c r="AD72" s="646">
        <f t="shared" si="4"/>
        <v>1625</v>
      </c>
      <c r="AE72" s="646">
        <f t="shared" si="4"/>
        <v>7251</v>
      </c>
      <c r="AF72" s="646">
        <f t="shared" si="4"/>
        <v>9692</v>
      </c>
      <c r="AG72" s="646">
        <f t="shared" si="4"/>
        <v>8497</v>
      </c>
      <c r="AH72" s="646">
        <f t="shared" si="4"/>
        <v>461</v>
      </c>
      <c r="AI72" s="646">
        <f t="shared" si="4"/>
        <v>0</v>
      </c>
      <c r="AJ72" s="646">
        <f t="shared" si="4"/>
        <v>1345</v>
      </c>
      <c r="AK72" s="646">
        <f t="shared" si="4"/>
        <v>554</v>
      </c>
      <c r="AL72" s="646">
        <f t="shared" si="4"/>
        <v>0</v>
      </c>
      <c r="AM72" s="646">
        <f t="shared" si="4"/>
        <v>0</v>
      </c>
      <c r="AN72" s="646">
        <f t="shared" si="4"/>
        <v>174</v>
      </c>
      <c r="AO72" s="646">
        <f t="shared" si="4"/>
        <v>3020</v>
      </c>
      <c r="AP72" s="646">
        <f t="shared" si="4"/>
        <v>65</v>
      </c>
      <c r="AQ72" s="646">
        <f t="shared" si="4"/>
        <v>0</v>
      </c>
      <c r="AR72" s="646">
        <f t="shared" si="4"/>
        <v>2840</v>
      </c>
      <c r="AS72" s="646">
        <f t="shared" si="4"/>
        <v>0</v>
      </c>
      <c r="AT72" s="646">
        <f t="shared" si="4"/>
        <v>51818</v>
      </c>
      <c r="AU72" s="646">
        <f t="shared" si="4"/>
        <v>0</v>
      </c>
      <c r="AV72" s="646">
        <f t="shared" si="4"/>
        <v>135</v>
      </c>
      <c r="AW72" s="646">
        <f t="shared" si="4"/>
        <v>395</v>
      </c>
      <c r="AX72" s="646">
        <f t="shared" si="4"/>
        <v>4810</v>
      </c>
      <c r="AY72" s="646">
        <f t="shared" si="4"/>
        <v>9322</v>
      </c>
      <c r="AZ72" s="646">
        <f t="shared" si="4"/>
        <v>0</v>
      </c>
      <c r="BA72" s="646">
        <f t="shared" si="4"/>
        <v>2952</v>
      </c>
      <c r="BB72" s="646">
        <f t="shared" si="4"/>
        <v>13</v>
      </c>
      <c r="BC72" s="646">
        <f t="shared" si="4"/>
        <v>0</v>
      </c>
      <c r="BD72" s="646">
        <f t="shared" si="4"/>
        <v>195</v>
      </c>
      <c r="BE72" s="646">
        <f t="shared" si="4"/>
        <v>3348</v>
      </c>
      <c r="BF72" s="646">
        <f t="shared" si="4"/>
        <v>0</v>
      </c>
      <c r="BG72" s="646">
        <f t="shared" si="4"/>
        <v>0</v>
      </c>
    </row>
    <row r="73" spans="1:60" x14ac:dyDescent="0.2">
      <c r="A73" s="1245" t="s">
        <v>167</v>
      </c>
      <c r="D73" s="78"/>
      <c r="E73" s="78"/>
      <c r="F73" s="78"/>
      <c r="G73" s="78"/>
      <c r="H73" s="78"/>
      <c r="I73" s="78"/>
      <c r="J73" s="78"/>
      <c r="K73" s="78"/>
      <c r="L73" s="78"/>
      <c r="M73" s="78"/>
      <c r="N73" s="78"/>
      <c r="O73" s="78"/>
      <c r="P73" s="78"/>
      <c r="Q73" s="78"/>
      <c r="R73" s="1075"/>
      <c r="S73" s="78"/>
      <c r="T73" s="78"/>
      <c r="U73" s="78"/>
      <c r="V73" s="78"/>
      <c r="W73" s="78"/>
      <c r="X73" s="78"/>
      <c r="Y73" s="78"/>
      <c r="Z73" s="78"/>
      <c r="AA73" s="78"/>
      <c r="AB73" s="78"/>
      <c r="AC73" s="78"/>
      <c r="AD73" s="78"/>
      <c r="AE73" s="78"/>
      <c r="AF73" s="78"/>
      <c r="AG73" s="78"/>
      <c r="AH73" s="78"/>
      <c r="AI73" s="78"/>
      <c r="AJ73" s="78"/>
      <c r="AK73" s="78"/>
      <c r="AL73" s="1075"/>
      <c r="AM73" s="78"/>
      <c r="AN73" s="78"/>
      <c r="AO73" s="78"/>
      <c r="AP73" s="78"/>
      <c r="AQ73" s="78"/>
      <c r="AR73" s="78"/>
      <c r="AS73" s="78"/>
      <c r="AT73" s="78"/>
      <c r="AU73" s="78"/>
      <c r="AV73" s="1075"/>
      <c r="AW73" s="78"/>
      <c r="AX73" s="78"/>
      <c r="AY73" s="78"/>
      <c r="AZ73" s="78"/>
      <c r="BA73" s="78"/>
      <c r="BB73" s="78"/>
      <c r="BC73" s="78"/>
      <c r="BD73" s="78"/>
      <c r="BE73" s="78"/>
      <c r="BF73" s="78"/>
      <c r="BG73" s="78"/>
    </row>
    <row r="74" spans="1:60" x14ac:dyDescent="0.2">
      <c r="A74" s="1245" t="s">
        <v>1174</v>
      </c>
      <c r="D74" s="78"/>
      <c r="E74" s="78"/>
      <c r="F74" s="78"/>
      <c r="G74" s="78"/>
      <c r="H74" s="78"/>
      <c r="I74" s="78"/>
      <c r="J74" s="78"/>
      <c r="K74" s="78"/>
      <c r="L74" s="78"/>
      <c r="M74" s="78"/>
      <c r="N74" s="78"/>
      <c r="O74" s="78"/>
      <c r="P74" s="78"/>
      <c r="Q74" s="78"/>
      <c r="R74" s="1075"/>
      <c r="S74" s="78"/>
      <c r="T74" s="78"/>
      <c r="U74" s="78"/>
      <c r="V74" s="78"/>
      <c r="W74" s="78"/>
      <c r="X74" s="78"/>
      <c r="Y74" s="78"/>
      <c r="Z74" s="78"/>
      <c r="AA74" s="78"/>
      <c r="AB74" s="78"/>
      <c r="AC74" s="78"/>
      <c r="AD74" s="78"/>
      <c r="AE74" s="78"/>
      <c r="AF74" s="78"/>
      <c r="AG74" s="78"/>
      <c r="AH74" s="78"/>
      <c r="AI74" s="78"/>
      <c r="AJ74" s="78"/>
      <c r="AK74" s="78"/>
      <c r="AL74" s="1075"/>
      <c r="AM74" s="78"/>
      <c r="AN74" s="78"/>
      <c r="AO74" s="78"/>
      <c r="AP74" s="78"/>
      <c r="AQ74" s="78"/>
      <c r="AR74" s="78"/>
      <c r="AS74" s="78"/>
      <c r="AT74" s="78"/>
      <c r="AU74" s="78"/>
      <c r="AV74" s="1075"/>
      <c r="AW74" s="78"/>
      <c r="AX74" s="78"/>
      <c r="AY74" s="78"/>
      <c r="AZ74" s="78"/>
      <c r="BA74" s="78"/>
      <c r="BB74" s="78"/>
      <c r="BC74" s="78"/>
      <c r="BD74" s="78"/>
      <c r="BE74" s="78"/>
      <c r="BF74" s="78"/>
      <c r="BG74" s="78"/>
    </row>
    <row r="75" spans="1:60" x14ac:dyDescent="0.2">
      <c r="B75" s="813">
        <v>2013</v>
      </c>
      <c r="D75" s="5">
        <v>0</v>
      </c>
      <c r="E75" s="5">
        <v>0</v>
      </c>
      <c r="F75" s="5">
        <v>0</v>
      </c>
      <c r="G75" s="5">
        <v>0</v>
      </c>
      <c r="H75" s="5">
        <v>0</v>
      </c>
      <c r="I75" s="5">
        <v>0</v>
      </c>
      <c r="J75" s="5">
        <v>0</v>
      </c>
      <c r="K75" s="5"/>
      <c r="L75" s="5">
        <v>0</v>
      </c>
      <c r="M75" s="5">
        <v>0</v>
      </c>
      <c r="N75" s="5">
        <v>0</v>
      </c>
      <c r="O75" s="5">
        <v>0</v>
      </c>
      <c r="P75" s="5">
        <v>0</v>
      </c>
      <c r="Q75" s="5">
        <v>0</v>
      </c>
      <c r="R75" s="1241">
        <v>0</v>
      </c>
      <c r="S75" s="5">
        <v>0</v>
      </c>
      <c r="T75" s="5">
        <v>0</v>
      </c>
      <c r="U75" s="5">
        <v>0</v>
      </c>
      <c r="V75" s="5">
        <v>0</v>
      </c>
      <c r="X75" s="5">
        <v>0</v>
      </c>
      <c r="Y75" s="5">
        <v>0</v>
      </c>
      <c r="Z75" s="5">
        <v>0</v>
      </c>
      <c r="AA75" s="5">
        <v>0</v>
      </c>
      <c r="AB75" s="5">
        <v>0</v>
      </c>
      <c r="AC75" s="5">
        <v>0</v>
      </c>
      <c r="AD75" s="5">
        <v>0</v>
      </c>
      <c r="AE75" s="5">
        <v>0</v>
      </c>
      <c r="AF75" s="5">
        <v>0</v>
      </c>
      <c r="AG75" s="5">
        <v>0</v>
      </c>
      <c r="AH75" s="5">
        <v>0</v>
      </c>
      <c r="AI75" s="5">
        <v>0</v>
      </c>
      <c r="AJ75" s="5">
        <v>0</v>
      </c>
      <c r="AK75" s="5">
        <v>0</v>
      </c>
      <c r="AL75" s="1241">
        <v>0</v>
      </c>
      <c r="AM75" s="5">
        <v>0</v>
      </c>
      <c r="AN75" s="5">
        <v>0</v>
      </c>
      <c r="AO75" s="5">
        <v>0</v>
      </c>
      <c r="AP75" s="5">
        <v>0</v>
      </c>
      <c r="AQ75" s="5">
        <v>0</v>
      </c>
      <c r="AR75" s="5">
        <v>0</v>
      </c>
      <c r="AS75" s="5">
        <v>0</v>
      </c>
      <c r="AT75" s="5">
        <v>0</v>
      </c>
      <c r="AU75" s="5">
        <v>0</v>
      </c>
      <c r="AV75" s="1241">
        <v>0</v>
      </c>
      <c r="AW75" s="5">
        <v>0</v>
      </c>
      <c r="AX75" s="5">
        <v>0</v>
      </c>
      <c r="AY75" s="5">
        <v>0</v>
      </c>
      <c r="AZ75" s="5">
        <v>0</v>
      </c>
      <c r="BA75" s="5">
        <v>0</v>
      </c>
      <c r="BB75" s="5">
        <v>0</v>
      </c>
      <c r="BC75" s="5">
        <v>0</v>
      </c>
      <c r="BD75" s="5">
        <v>0</v>
      </c>
      <c r="BE75" s="5">
        <v>0</v>
      </c>
      <c r="BF75" s="5">
        <v>0</v>
      </c>
      <c r="BG75" s="5">
        <v>0</v>
      </c>
    </row>
    <row r="76" spans="1:60" x14ac:dyDescent="0.2">
      <c r="B76" s="1076">
        <v>2014</v>
      </c>
      <c r="D76" s="28">
        <v>0</v>
      </c>
      <c r="E76" s="1046">
        <v>0</v>
      </c>
    </row>
    <row r="77" spans="1:60" s="815" customFormat="1" ht="14.25" x14ac:dyDescent="0.2">
      <c r="D77" s="816"/>
      <c r="E77" s="816"/>
      <c r="F77" s="816"/>
      <c r="G77" s="816"/>
      <c r="H77" s="816"/>
      <c r="I77" s="816"/>
      <c r="J77" s="816"/>
      <c r="K77" s="816"/>
      <c r="L77" s="816"/>
      <c r="M77" s="816"/>
      <c r="N77" s="816"/>
      <c r="O77" s="816"/>
      <c r="P77" s="816"/>
      <c r="Q77" s="816"/>
      <c r="R77" s="1077"/>
      <c r="S77" s="816"/>
      <c r="T77" s="816"/>
      <c r="U77" s="816"/>
      <c r="V77" s="816"/>
      <c r="W77" s="816"/>
      <c r="X77" s="816"/>
      <c r="Y77" s="816"/>
      <c r="Z77" s="816"/>
      <c r="AA77" s="816"/>
      <c r="AB77" s="816"/>
      <c r="AC77" s="816"/>
      <c r="AD77" s="816"/>
      <c r="AE77" s="816"/>
      <c r="AF77" s="816"/>
      <c r="AG77" s="816"/>
      <c r="AH77" s="816"/>
      <c r="AI77" s="816"/>
      <c r="AJ77" s="816"/>
      <c r="AK77" s="816"/>
      <c r="AL77" s="1077"/>
      <c r="AM77" s="816"/>
      <c r="AN77" s="816"/>
      <c r="AO77" s="816"/>
      <c r="AP77" s="816"/>
      <c r="AQ77" s="816"/>
      <c r="AR77" s="816"/>
      <c r="AS77" s="816"/>
      <c r="AT77" s="816"/>
      <c r="AU77" s="816"/>
      <c r="AV77" s="1077"/>
      <c r="AW77" s="816"/>
      <c r="AX77" s="816"/>
      <c r="AY77" s="816"/>
      <c r="AZ77" s="816"/>
      <c r="BA77" s="816"/>
      <c r="BB77" s="816"/>
      <c r="BC77" s="816"/>
      <c r="BD77" s="816"/>
      <c r="BE77" s="816"/>
      <c r="BF77" s="816"/>
      <c r="BG77" s="816"/>
      <c r="BH77" s="1078"/>
    </row>
    <row r="78" spans="1:60" x14ac:dyDescent="0.2">
      <c r="D78" s="1240"/>
      <c r="E78" s="1240"/>
      <c r="F78" s="1240"/>
      <c r="G78" s="1240"/>
      <c r="H78" s="1240"/>
      <c r="I78" s="1240"/>
      <c r="J78" s="1240"/>
      <c r="K78" s="1240"/>
      <c r="L78" s="1240"/>
      <c r="M78" s="1240"/>
      <c r="N78" s="1240"/>
      <c r="O78" s="1240"/>
      <c r="P78" s="1240"/>
      <c r="Q78" s="1240"/>
      <c r="R78" s="1241"/>
      <c r="S78" s="1240"/>
      <c r="T78" s="1240"/>
      <c r="U78" s="1240"/>
      <c r="V78" s="1240"/>
      <c r="W78" s="1240"/>
      <c r="X78" s="1240"/>
      <c r="Y78" s="1240"/>
      <c r="Z78" s="1240"/>
      <c r="AA78" s="1240"/>
      <c r="AB78" s="1240"/>
      <c r="AC78" s="1240"/>
      <c r="AD78" s="1240"/>
      <c r="AE78" s="1240"/>
      <c r="AF78" s="1240"/>
      <c r="AG78" s="1240"/>
      <c r="AH78" s="1240"/>
      <c r="AI78" s="1240"/>
      <c r="AJ78" s="1240"/>
      <c r="AK78" s="1240"/>
      <c r="AL78" s="1241"/>
      <c r="AM78" s="1240"/>
      <c r="AN78" s="1240"/>
      <c r="AO78" s="1240"/>
      <c r="AP78" s="1240"/>
      <c r="AQ78" s="1240"/>
      <c r="AR78" s="1240"/>
      <c r="AS78" s="1240"/>
      <c r="AT78" s="1240"/>
      <c r="AU78" s="1240"/>
      <c r="AV78" s="1241"/>
      <c r="AW78" s="1240"/>
      <c r="AX78" s="1240"/>
      <c r="AY78" s="1240"/>
      <c r="AZ78" s="1240"/>
      <c r="BA78" s="1240"/>
      <c r="BB78" s="1240"/>
      <c r="BC78" s="1240"/>
      <c r="BD78" s="1240"/>
      <c r="BE78" s="1240"/>
      <c r="BF78" s="1240"/>
      <c r="BG78" s="1240"/>
    </row>
    <row r="79" spans="1:60" x14ac:dyDescent="0.2">
      <c r="D79" s="1240"/>
      <c r="E79" s="1240"/>
      <c r="F79" s="1240"/>
      <c r="G79" s="1240"/>
      <c r="H79" s="1240"/>
      <c r="I79" s="1240"/>
      <c r="J79" s="1240"/>
      <c r="K79" s="1240"/>
      <c r="L79" s="1240"/>
      <c r="M79" s="1240"/>
      <c r="N79" s="1240"/>
      <c r="O79" s="1240"/>
      <c r="P79" s="1240"/>
      <c r="Q79" s="1240"/>
      <c r="R79" s="1241"/>
      <c r="S79" s="1240"/>
      <c r="T79" s="1240"/>
      <c r="U79" s="1240"/>
      <c r="V79" s="1240"/>
      <c r="W79" s="1240"/>
      <c r="X79" s="1240"/>
      <c r="Y79" s="1240"/>
      <c r="Z79" s="1240"/>
      <c r="AA79" s="1240"/>
      <c r="AB79" s="1240"/>
      <c r="AC79" s="1240"/>
      <c r="AD79" s="1240"/>
      <c r="AE79" s="1240"/>
      <c r="AF79" s="1240"/>
      <c r="AG79" s="1240"/>
      <c r="AH79" s="1240"/>
      <c r="AI79" s="1240"/>
      <c r="AJ79" s="1240"/>
      <c r="AK79" s="1240"/>
      <c r="AL79" s="1241"/>
      <c r="AM79" s="1240"/>
      <c r="AN79" s="1240"/>
      <c r="AO79" s="1240"/>
      <c r="AP79" s="1240"/>
      <c r="AQ79" s="1240"/>
      <c r="AR79" s="1240"/>
      <c r="AS79" s="1240"/>
      <c r="AT79" s="1240"/>
      <c r="AU79" s="1240"/>
      <c r="AV79" s="1241"/>
      <c r="AW79" s="1240"/>
      <c r="AX79" s="1240"/>
      <c r="AY79" s="1240"/>
      <c r="AZ79" s="1240"/>
      <c r="BA79" s="1240"/>
      <c r="BB79" s="1240"/>
      <c r="BC79" s="1240"/>
      <c r="BD79" s="1240"/>
      <c r="BE79" s="1240"/>
      <c r="BF79" s="1240"/>
      <c r="BG79" s="1240"/>
    </row>
    <row r="80" spans="1:60" x14ac:dyDescent="0.2">
      <c r="D80" s="1240"/>
      <c r="E80" s="1240"/>
      <c r="F80" s="1240"/>
      <c r="G80" s="1240"/>
      <c r="H80" s="1240"/>
      <c r="I80" s="1240"/>
      <c r="J80" s="1240"/>
      <c r="K80" s="1240"/>
      <c r="L80" s="1240"/>
      <c r="M80" s="1240"/>
      <c r="N80" s="1240"/>
      <c r="O80" s="1240"/>
      <c r="P80" s="1240"/>
      <c r="Q80" s="1240"/>
      <c r="R80" s="1241"/>
      <c r="S80" s="1240"/>
      <c r="T80" s="1240"/>
      <c r="U80" s="1240"/>
      <c r="V80" s="1240"/>
      <c r="W80" s="1240"/>
      <c r="X80" s="1240"/>
      <c r="Y80" s="1240"/>
      <c r="Z80" s="1240"/>
      <c r="AA80" s="1240"/>
      <c r="AB80" s="1240"/>
      <c r="AC80" s="1240"/>
      <c r="AD80" s="1240"/>
      <c r="AE80" s="1240"/>
      <c r="AF80" s="1240"/>
      <c r="AG80" s="1240"/>
      <c r="AH80" s="1240"/>
      <c r="AI80" s="1240"/>
      <c r="AJ80" s="1240"/>
      <c r="AK80" s="1240"/>
      <c r="AL80" s="1241"/>
      <c r="AM80" s="1240"/>
      <c r="AN80" s="1240"/>
      <c r="AO80" s="1240"/>
      <c r="AP80" s="1240"/>
      <c r="AQ80" s="1240"/>
      <c r="AR80" s="1240"/>
      <c r="AS80" s="1240"/>
      <c r="AT80" s="1240"/>
      <c r="AU80" s="1240"/>
      <c r="AV80" s="1241"/>
      <c r="AW80" s="1240"/>
      <c r="AX80" s="1240"/>
      <c r="AY80" s="1240"/>
      <c r="AZ80" s="1240"/>
      <c r="BA80" s="1240"/>
      <c r="BB80" s="1240"/>
      <c r="BC80" s="1240"/>
      <c r="BD80" s="1240"/>
      <c r="BE80" s="1240"/>
      <c r="BF80" s="1240"/>
      <c r="BG80" s="1240"/>
    </row>
    <row r="81" spans="1:59" customFormat="1" x14ac:dyDescent="0.2">
      <c r="D81" s="1240"/>
      <c r="E81" s="1240"/>
      <c r="F81" s="1240"/>
      <c r="G81" s="1240"/>
      <c r="H81" s="1240"/>
      <c r="I81" s="1240"/>
      <c r="J81" s="1240"/>
      <c r="K81" s="1240"/>
      <c r="L81" s="1240"/>
      <c r="M81" s="1240"/>
      <c r="N81" s="1240"/>
      <c r="O81" s="1240"/>
      <c r="P81" s="1240"/>
      <c r="Q81" s="1240"/>
      <c r="R81" s="1241"/>
      <c r="S81" s="1240"/>
      <c r="T81" s="1240"/>
      <c r="U81" s="1240"/>
      <c r="V81" s="1240"/>
      <c r="W81" s="1240"/>
      <c r="X81" s="1240"/>
      <c r="Y81" s="1240"/>
      <c r="Z81" s="1240"/>
      <c r="AA81" s="1240"/>
      <c r="AB81" s="1240"/>
      <c r="AC81" s="1240"/>
      <c r="AD81" s="1240"/>
      <c r="AE81" s="1240"/>
      <c r="AF81" s="1240"/>
      <c r="AG81" s="1240"/>
      <c r="AH81" s="1240"/>
      <c r="AI81" s="1240"/>
      <c r="AJ81" s="1240"/>
      <c r="AK81" s="1240"/>
      <c r="AL81" s="1241"/>
      <c r="AM81" s="1240"/>
      <c r="AN81" s="1240"/>
      <c r="AO81" s="1240"/>
      <c r="AP81" s="1240"/>
      <c r="AQ81" s="1240"/>
      <c r="AR81" s="1240"/>
      <c r="AS81" s="1240"/>
      <c r="AT81" s="1240"/>
      <c r="AU81" s="1240"/>
      <c r="AV81" s="1241"/>
      <c r="AW81" s="1240"/>
      <c r="AX81" s="1240"/>
      <c r="AY81" s="1240"/>
      <c r="AZ81" s="1240"/>
      <c r="BA81" s="1240"/>
      <c r="BB81" s="1240"/>
      <c r="BC81" s="1240"/>
      <c r="BD81" s="1240"/>
      <c r="BE81" s="1240"/>
      <c r="BF81" s="1240"/>
      <c r="BG81" s="1240"/>
    </row>
    <row r="83" spans="1:59" s="648" customFormat="1" ht="18.75" customHeight="1" x14ac:dyDescent="0.2">
      <c r="A83" s="646"/>
      <c r="B83" s="811" t="s">
        <v>1175</v>
      </c>
      <c r="C83" s="646"/>
      <c r="D83" s="646">
        <f>SUM(D75:D76)</f>
        <v>0</v>
      </c>
      <c r="E83" s="646">
        <f t="shared" ref="E83:BG83" si="5">SUM(E75:E76)</f>
        <v>0</v>
      </c>
      <c r="F83" s="646">
        <f t="shared" si="5"/>
        <v>0</v>
      </c>
      <c r="G83" s="646">
        <f t="shared" si="5"/>
        <v>0</v>
      </c>
      <c r="H83" s="646">
        <f t="shared" si="5"/>
        <v>0</v>
      </c>
      <c r="I83" s="646">
        <f t="shared" si="5"/>
        <v>0</v>
      </c>
      <c r="J83" s="646">
        <f t="shared" si="5"/>
        <v>0</v>
      </c>
      <c r="K83" s="646">
        <f t="shared" si="5"/>
        <v>0</v>
      </c>
      <c r="L83" s="646">
        <f t="shared" si="5"/>
        <v>0</v>
      </c>
      <c r="M83" s="646">
        <f t="shared" si="5"/>
        <v>0</v>
      </c>
      <c r="N83" s="646">
        <f t="shared" si="5"/>
        <v>0</v>
      </c>
      <c r="O83" s="646">
        <f t="shared" si="5"/>
        <v>0</v>
      </c>
      <c r="P83" s="646">
        <f t="shared" si="5"/>
        <v>0</v>
      </c>
      <c r="Q83" s="646">
        <f t="shared" si="5"/>
        <v>0</v>
      </c>
      <c r="R83" s="646">
        <f t="shared" si="5"/>
        <v>0</v>
      </c>
      <c r="S83" s="646">
        <f t="shared" si="5"/>
        <v>0</v>
      </c>
      <c r="T83" s="646">
        <f t="shared" si="5"/>
        <v>0</v>
      </c>
      <c r="U83" s="646">
        <f t="shared" si="5"/>
        <v>0</v>
      </c>
      <c r="V83" s="646">
        <f t="shared" si="5"/>
        <v>0</v>
      </c>
      <c r="W83" s="646">
        <f t="shared" si="5"/>
        <v>0</v>
      </c>
      <c r="X83" s="646">
        <f t="shared" si="5"/>
        <v>0</v>
      </c>
      <c r="Y83" s="646">
        <f t="shared" si="5"/>
        <v>0</v>
      </c>
      <c r="Z83" s="646">
        <f t="shared" si="5"/>
        <v>0</v>
      </c>
      <c r="AA83" s="646">
        <f t="shared" si="5"/>
        <v>0</v>
      </c>
      <c r="AB83" s="646">
        <f t="shared" si="5"/>
        <v>0</v>
      </c>
      <c r="AC83" s="646">
        <f t="shared" si="5"/>
        <v>0</v>
      </c>
      <c r="AD83" s="646">
        <f t="shared" si="5"/>
        <v>0</v>
      </c>
      <c r="AE83" s="646">
        <f t="shared" si="5"/>
        <v>0</v>
      </c>
      <c r="AF83" s="646">
        <f t="shared" si="5"/>
        <v>0</v>
      </c>
      <c r="AG83" s="646">
        <f t="shared" si="5"/>
        <v>0</v>
      </c>
      <c r="AH83" s="646">
        <f t="shared" si="5"/>
        <v>0</v>
      </c>
      <c r="AI83" s="646">
        <f t="shared" si="5"/>
        <v>0</v>
      </c>
      <c r="AJ83" s="646">
        <f t="shared" si="5"/>
        <v>0</v>
      </c>
      <c r="AK83" s="646">
        <f t="shared" si="5"/>
        <v>0</v>
      </c>
      <c r="AL83" s="646">
        <f t="shared" si="5"/>
        <v>0</v>
      </c>
      <c r="AM83" s="646">
        <f t="shared" si="5"/>
        <v>0</v>
      </c>
      <c r="AN83" s="646">
        <f t="shared" si="5"/>
        <v>0</v>
      </c>
      <c r="AO83" s="646">
        <f t="shared" si="5"/>
        <v>0</v>
      </c>
      <c r="AP83" s="646">
        <f t="shared" si="5"/>
        <v>0</v>
      </c>
      <c r="AQ83" s="646">
        <f t="shared" si="5"/>
        <v>0</v>
      </c>
      <c r="AR83" s="646">
        <f t="shared" si="5"/>
        <v>0</v>
      </c>
      <c r="AS83" s="646">
        <f t="shared" si="5"/>
        <v>0</v>
      </c>
      <c r="AT83" s="646">
        <f t="shared" si="5"/>
        <v>0</v>
      </c>
      <c r="AU83" s="646">
        <f t="shared" si="5"/>
        <v>0</v>
      </c>
      <c r="AV83" s="646">
        <f t="shared" si="5"/>
        <v>0</v>
      </c>
      <c r="AW83" s="646">
        <f t="shared" si="5"/>
        <v>0</v>
      </c>
      <c r="AX83" s="646">
        <f t="shared" si="5"/>
        <v>0</v>
      </c>
      <c r="AY83" s="646">
        <f t="shared" si="5"/>
        <v>0</v>
      </c>
      <c r="AZ83" s="646">
        <f t="shared" si="5"/>
        <v>0</v>
      </c>
      <c r="BA83" s="646">
        <f t="shared" si="5"/>
        <v>0</v>
      </c>
      <c r="BB83" s="646">
        <f t="shared" si="5"/>
        <v>0</v>
      </c>
      <c r="BC83" s="646">
        <f t="shared" si="5"/>
        <v>0</v>
      </c>
      <c r="BD83" s="646">
        <f t="shared" si="5"/>
        <v>0</v>
      </c>
      <c r="BE83" s="646">
        <f t="shared" si="5"/>
        <v>0</v>
      </c>
      <c r="BF83" s="646">
        <f t="shared" si="5"/>
        <v>0</v>
      </c>
      <c r="BG83" s="646">
        <f t="shared" si="5"/>
        <v>0</v>
      </c>
    </row>
    <row r="85" spans="1:59" customFormat="1" x14ac:dyDescent="0.2">
      <c r="D85" s="1"/>
      <c r="E85" s="1"/>
      <c r="F85" s="1"/>
      <c r="G85" s="1"/>
      <c r="H85" s="1"/>
      <c r="I85" s="1"/>
      <c r="J85" s="1"/>
      <c r="K85" s="1"/>
      <c r="L85" s="1"/>
      <c r="M85" s="1"/>
      <c r="N85" s="1"/>
      <c r="O85" s="1"/>
      <c r="P85" s="1"/>
      <c r="Q85" s="1"/>
      <c r="R85" s="1072"/>
      <c r="S85" s="1"/>
      <c r="T85" s="1"/>
      <c r="U85" s="1"/>
      <c r="V85" s="1"/>
      <c r="W85" s="1"/>
      <c r="X85" s="1"/>
      <c r="Y85" s="1"/>
      <c r="Z85" s="1"/>
      <c r="AA85" s="1"/>
      <c r="AB85" s="1"/>
      <c r="AC85" s="1"/>
      <c r="AD85" s="1"/>
      <c r="AE85" s="1"/>
      <c r="AF85" s="1"/>
      <c r="AG85" s="1"/>
      <c r="AH85" s="1"/>
      <c r="AI85" s="1"/>
      <c r="AJ85" s="1"/>
      <c r="AK85" s="1"/>
      <c r="AL85" s="1072"/>
      <c r="AM85" s="1"/>
      <c r="AN85" s="1"/>
      <c r="AO85" s="1"/>
      <c r="AP85" s="1"/>
      <c r="AQ85" s="1"/>
      <c r="AR85" s="1"/>
      <c r="AS85" s="1"/>
      <c r="AT85" s="1"/>
      <c r="AU85" s="1"/>
      <c r="AV85" s="1072"/>
      <c r="AW85" s="1"/>
      <c r="AX85" s="1"/>
      <c r="AY85" s="1"/>
      <c r="AZ85" s="1"/>
      <c r="BA85" s="1"/>
      <c r="BB85" s="1"/>
      <c r="BC85" s="1"/>
      <c r="BD85" s="1"/>
      <c r="BE85" s="1"/>
      <c r="BF85" s="1"/>
      <c r="BG85" s="1"/>
    </row>
    <row r="86" spans="1:59" customFormat="1" x14ac:dyDescent="0.2">
      <c r="A86" s="1245" t="s">
        <v>1516</v>
      </c>
      <c r="D86" s="5">
        <f>+D23+D33+D43</f>
        <v>8383</v>
      </c>
      <c r="E86" s="5">
        <f>+E23+E33+E43</f>
        <v>2293</v>
      </c>
      <c r="F86" s="5">
        <f t="shared" ref="F86:BG86" si="6">+F23+F33+F43</f>
        <v>8285</v>
      </c>
      <c r="G86" s="5">
        <f t="shared" si="6"/>
        <v>393</v>
      </c>
      <c r="H86" s="5">
        <f t="shared" si="6"/>
        <v>1062</v>
      </c>
      <c r="I86" s="5">
        <f t="shared" si="6"/>
        <v>25439</v>
      </c>
      <c r="J86" s="5">
        <f t="shared" si="6"/>
        <v>16143</v>
      </c>
      <c r="K86" s="5">
        <f t="shared" si="6"/>
        <v>2244</v>
      </c>
      <c r="L86" s="5">
        <f t="shared" si="6"/>
        <v>160</v>
      </c>
      <c r="M86" s="5">
        <f t="shared" si="6"/>
        <v>8698</v>
      </c>
      <c r="N86" s="5">
        <f t="shared" si="6"/>
        <v>2287</v>
      </c>
      <c r="O86" s="5">
        <f t="shared" si="6"/>
        <v>2994</v>
      </c>
      <c r="P86" s="5">
        <f t="shared" si="6"/>
        <v>10804</v>
      </c>
      <c r="Q86" s="5">
        <f t="shared" si="6"/>
        <v>7578</v>
      </c>
      <c r="R86" s="5">
        <f t="shared" si="6"/>
        <v>7262</v>
      </c>
      <c r="S86" s="5">
        <f t="shared" si="6"/>
        <v>4208.6750000000002</v>
      </c>
      <c r="T86" s="5">
        <f t="shared" si="6"/>
        <v>6009</v>
      </c>
      <c r="U86" s="5">
        <f t="shared" si="6"/>
        <v>1857</v>
      </c>
      <c r="V86" s="5">
        <f t="shared" si="6"/>
        <v>6824</v>
      </c>
      <c r="W86" s="5">
        <f t="shared" si="6"/>
        <v>4893</v>
      </c>
      <c r="X86" s="5">
        <f t="shared" si="6"/>
        <v>2209</v>
      </c>
      <c r="Y86" s="5">
        <f t="shared" si="6"/>
        <v>8586</v>
      </c>
      <c r="Z86" s="5">
        <f t="shared" si="6"/>
        <v>904</v>
      </c>
      <c r="AA86" s="5">
        <f t="shared" si="6"/>
        <v>1008</v>
      </c>
      <c r="AB86" s="5">
        <f t="shared" si="6"/>
        <v>715</v>
      </c>
      <c r="AC86" s="5">
        <f t="shared" si="6"/>
        <v>1571</v>
      </c>
      <c r="AD86" s="5">
        <f t="shared" si="6"/>
        <v>5101</v>
      </c>
      <c r="AE86" s="5">
        <f t="shared" si="6"/>
        <v>1465</v>
      </c>
      <c r="AF86" s="5">
        <f t="shared" si="6"/>
        <v>18778</v>
      </c>
      <c r="AG86" s="5">
        <f t="shared" si="6"/>
        <v>4707</v>
      </c>
      <c r="AH86" s="5">
        <f t="shared" si="6"/>
        <v>1874</v>
      </c>
      <c r="AI86" s="5">
        <f t="shared" si="6"/>
        <v>0</v>
      </c>
      <c r="AJ86" s="5">
        <f t="shared" si="6"/>
        <v>1542</v>
      </c>
      <c r="AK86" s="5">
        <f t="shared" si="6"/>
        <v>140</v>
      </c>
      <c r="AL86" s="5">
        <f t="shared" si="6"/>
        <v>0</v>
      </c>
      <c r="AM86" s="5">
        <f t="shared" si="6"/>
        <v>13800</v>
      </c>
      <c r="AN86" s="5">
        <f t="shared" si="6"/>
        <v>733</v>
      </c>
      <c r="AO86" s="5">
        <f t="shared" si="6"/>
        <v>3237</v>
      </c>
      <c r="AP86" s="5">
        <f t="shared" si="6"/>
        <v>280</v>
      </c>
      <c r="AQ86" s="5">
        <f t="shared" si="6"/>
        <v>2665.4189999999999</v>
      </c>
      <c r="AR86" s="5">
        <f t="shared" si="6"/>
        <v>7211</v>
      </c>
      <c r="AS86" s="5">
        <f t="shared" si="6"/>
        <v>6553</v>
      </c>
      <c r="AT86" s="5">
        <f t="shared" si="6"/>
        <v>16094</v>
      </c>
      <c r="AU86" s="5">
        <f t="shared" si="6"/>
        <v>1593</v>
      </c>
      <c r="AV86" s="5">
        <f t="shared" si="6"/>
        <v>7536</v>
      </c>
      <c r="AW86" s="5">
        <f t="shared" si="6"/>
        <v>7997</v>
      </c>
      <c r="AX86" s="5">
        <f t="shared" si="6"/>
        <v>2432</v>
      </c>
      <c r="AY86" s="5">
        <f t="shared" si="6"/>
        <v>198</v>
      </c>
      <c r="AZ86" s="5">
        <f t="shared" si="6"/>
        <v>222</v>
      </c>
      <c r="BA86" s="5">
        <f t="shared" si="6"/>
        <v>2450</v>
      </c>
      <c r="BB86" s="5">
        <f t="shared" si="6"/>
        <v>1732</v>
      </c>
      <c r="BC86" s="5">
        <f t="shared" si="6"/>
        <v>5971.4</v>
      </c>
      <c r="BD86" s="5">
        <f t="shared" si="6"/>
        <v>20173</v>
      </c>
      <c r="BE86" s="5">
        <f t="shared" si="6"/>
        <v>102</v>
      </c>
      <c r="BF86" s="5">
        <f t="shared" si="6"/>
        <v>0</v>
      </c>
      <c r="BG86" s="5">
        <f t="shared" si="6"/>
        <v>0</v>
      </c>
    </row>
    <row r="87" spans="1:59" customFormat="1" x14ac:dyDescent="0.2">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row>
    <row r="88" spans="1:59" customFormat="1" x14ac:dyDescent="0.2">
      <c r="A88" s="1245" t="s">
        <v>1517</v>
      </c>
      <c r="D88" s="78">
        <f>+D54+D64</f>
        <v>18466</v>
      </c>
      <c r="E88" s="78">
        <f>+E54+E64</f>
        <v>699</v>
      </c>
      <c r="F88" s="78">
        <f t="shared" ref="F88:BG88" si="7">+F54+F64</f>
        <v>13806</v>
      </c>
      <c r="G88" s="78">
        <f t="shared" si="7"/>
        <v>112</v>
      </c>
      <c r="H88" s="78">
        <f t="shared" si="7"/>
        <v>82</v>
      </c>
      <c r="I88" s="78">
        <f t="shared" si="7"/>
        <v>14481</v>
      </c>
      <c r="J88" s="78">
        <f t="shared" si="7"/>
        <v>27626</v>
      </c>
      <c r="K88" s="78">
        <f t="shared" si="7"/>
        <v>6247</v>
      </c>
      <c r="L88" s="78">
        <f t="shared" si="7"/>
        <v>1940</v>
      </c>
      <c r="M88" s="78">
        <f t="shared" si="7"/>
        <v>1103</v>
      </c>
      <c r="N88" s="78">
        <f t="shared" si="7"/>
        <v>3481</v>
      </c>
      <c r="O88" s="78">
        <f t="shared" si="7"/>
        <v>6062</v>
      </c>
      <c r="P88" s="78">
        <f t="shared" si="7"/>
        <v>7249</v>
      </c>
      <c r="Q88" s="78">
        <f t="shared" si="7"/>
        <v>23272</v>
      </c>
      <c r="R88" s="78">
        <f t="shared" si="7"/>
        <v>4824</v>
      </c>
      <c r="S88" s="78">
        <f t="shared" si="7"/>
        <v>3069</v>
      </c>
      <c r="T88" s="78">
        <f t="shared" si="7"/>
        <v>22106</v>
      </c>
      <c r="U88" s="78">
        <f t="shared" si="7"/>
        <v>1370</v>
      </c>
      <c r="V88" s="78">
        <f t="shared" si="7"/>
        <v>2683</v>
      </c>
      <c r="W88" s="78">
        <f t="shared" si="7"/>
        <v>7923</v>
      </c>
      <c r="X88" s="78">
        <f t="shared" si="7"/>
        <v>16620</v>
      </c>
      <c r="Y88" s="78">
        <f t="shared" si="7"/>
        <v>1389</v>
      </c>
      <c r="Z88" s="78">
        <f t="shared" si="7"/>
        <v>2742</v>
      </c>
      <c r="AA88" s="78">
        <f t="shared" si="7"/>
        <v>1075.0909999999999</v>
      </c>
      <c r="AB88" s="78">
        <f t="shared" si="7"/>
        <v>1098</v>
      </c>
      <c r="AC88" s="78">
        <f t="shared" si="7"/>
        <v>3272</v>
      </c>
      <c r="AD88" s="78">
        <f t="shared" si="7"/>
        <v>7752</v>
      </c>
      <c r="AE88" s="78">
        <f t="shared" si="7"/>
        <v>1734</v>
      </c>
      <c r="AF88" s="78">
        <f t="shared" si="7"/>
        <v>7636</v>
      </c>
      <c r="AG88" s="78">
        <f t="shared" si="7"/>
        <v>1455</v>
      </c>
      <c r="AH88" s="78">
        <f t="shared" si="7"/>
        <v>0</v>
      </c>
      <c r="AI88" s="78">
        <f t="shared" si="7"/>
        <v>0</v>
      </c>
      <c r="AJ88" s="78">
        <f t="shared" si="7"/>
        <v>88</v>
      </c>
      <c r="AK88" s="78">
        <f t="shared" si="7"/>
        <v>195</v>
      </c>
      <c r="AL88" s="78">
        <f t="shared" si="7"/>
        <v>0</v>
      </c>
      <c r="AM88" s="78">
        <f t="shared" si="7"/>
        <v>22231</v>
      </c>
      <c r="AN88" s="78">
        <f t="shared" si="7"/>
        <v>455</v>
      </c>
      <c r="AO88" s="78">
        <f t="shared" si="7"/>
        <v>2731</v>
      </c>
      <c r="AP88" s="78">
        <f t="shared" si="7"/>
        <v>0</v>
      </c>
      <c r="AQ88" s="78">
        <f t="shared" si="7"/>
        <v>5746.0370000000003</v>
      </c>
      <c r="AR88" s="78">
        <f t="shared" si="7"/>
        <v>1665</v>
      </c>
      <c r="AS88" s="78">
        <f t="shared" si="7"/>
        <v>3619</v>
      </c>
      <c r="AT88" s="78">
        <f t="shared" si="7"/>
        <v>16190</v>
      </c>
      <c r="AU88" s="78">
        <f t="shared" si="7"/>
        <v>1962</v>
      </c>
      <c r="AV88" s="78">
        <f t="shared" si="7"/>
        <v>3169</v>
      </c>
      <c r="AW88" s="78">
        <f t="shared" si="7"/>
        <v>7809</v>
      </c>
      <c r="AX88" s="78">
        <f t="shared" si="7"/>
        <v>1957</v>
      </c>
      <c r="AY88" s="78">
        <f t="shared" si="7"/>
        <v>0</v>
      </c>
      <c r="AZ88" s="78">
        <f t="shared" si="7"/>
        <v>45</v>
      </c>
      <c r="BA88" s="78">
        <f t="shared" si="7"/>
        <v>1748</v>
      </c>
      <c r="BB88" s="78">
        <f t="shared" si="7"/>
        <v>1563</v>
      </c>
      <c r="BC88" s="78">
        <f t="shared" si="7"/>
        <v>2004</v>
      </c>
      <c r="BD88" s="78">
        <f t="shared" si="7"/>
        <v>1048</v>
      </c>
      <c r="BE88" s="78">
        <f t="shared" si="7"/>
        <v>6247</v>
      </c>
      <c r="BF88" s="78">
        <f t="shared" si="7"/>
        <v>0</v>
      </c>
      <c r="BG88" s="78">
        <f t="shared" si="7"/>
        <v>0</v>
      </c>
    </row>
    <row r="89" spans="1:59" customFormat="1" x14ac:dyDescent="0.2">
      <c r="D89" s="1"/>
      <c r="E89" s="1"/>
      <c r="F89" s="1"/>
      <c r="G89" s="1"/>
      <c r="H89" s="1"/>
      <c r="I89" s="1"/>
      <c r="J89" s="1"/>
      <c r="K89" s="1"/>
      <c r="L89" s="1"/>
      <c r="M89" s="1"/>
      <c r="N89" s="1"/>
      <c r="O89" s="1"/>
      <c r="P89" s="1"/>
      <c r="Q89" s="1"/>
      <c r="R89" s="1072"/>
      <c r="S89" s="1"/>
      <c r="T89" s="1"/>
      <c r="U89" s="1"/>
      <c r="V89" s="1"/>
      <c r="W89" s="1"/>
      <c r="X89" s="1"/>
      <c r="Y89" s="1"/>
      <c r="Z89" s="1"/>
      <c r="AA89" s="1"/>
      <c r="AB89" s="1"/>
      <c r="AC89" s="1"/>
      <c r="AD89" s="1"/>
      <c r="AE89" s="1"/>
      <c r="AF89" s="1"/>
      <c r="AG89" s="1"/>
      <c r="AH89" s="1"/>
      <c r="AI89" s="1"/>
      <c r="AJ89" s="1"/>
      <c r="AK89" s="1"/>
      <c r="AL89" s="1072"/>
      <c r="AM89" s="1"/>
      <c r="AN89" s="1"/>
      <c r="AO89" s="1"/>
      <c r="AP89" s="1"/>
      <c r="AQ89" s="1"/>
      <c r="AR89" s="1"/>
      <c r="AS89" s="1"/>
      <c r="AT89" s="1"/>
      <c r="AU89" s="1"/>
      <c r="AV89" s="1072"/>
      <c r="AW89" s="1"/>
      <c r="AX89" s="1"/>
      <c r="AY89" s="1"/>
      <c r="AZ89" s="1"/>
      <c r="BA89" s="1"/>
      <c r="BB89" s="1"/>
      <c r="BC89" s="1"/>
      <c r="BD89" s="1"/>
      <c r="BE89" s="1"/>
      <c r="BF89" s="1"/>
      <c r="BG89" s="1"/>
    </row>
    <row r="90" spans="1:59" customFormat="1" x14ac:dyDescent="0.2">
      <c r="A90" s="1245" t="s">
        <v>1509</v>
      </c>
      <c r="D90" s="78">
        <f>+D24+D34+D44</f>
        <v>12436</v>
      </c>
      <c r="E90" s="78">
        <f t="shared" ref="E90:BG90" si="8">+E24+E34+E44</f>
        <v>2879</v>
      </c>
      <c r="F90" s="78">
        <f t="shared" si="8"/>
        <v>2428</v>
      </c>
      <c r="G90" s="78">
        <f t="shared" si="8"/>
        <v>1243</v>
      </c>
      <c r="H90" s="78">
        <f t="shared" si="8"/>
        <v>2338</v>
      </c>
      <c r="I90" s="78">
        <f t="shared" si="8"/>
        <v>55821</v>
      </c>
      <c r="J90" s="78">
        <f t="shared" si="8"/>
        <v>16594</v>
      </c>
      <c r="K90" s="78">
        <f t="shared" si="8"/>
        <v>3971</v>
      </c>
      <c r="L90" s="78">
        <f t="shared" si="8"/>
        <v>2579</v>
      </c>
      <c r="M90" s="78">
        <f t="shared" si="8"/>
        <v>3537</v>
      </c>
      <c r="N90" s="78">
        <f t="shared" si="8"/>
        <v>3097</v>
      </c>
      <c r="O90" s="78">
        <f t="shared" si="8"/>
        <v>3546</v>
      </c>
      <c r="P90" s="78">
        <f t="shared" si="8"/>
        <v>11982</v>
      </c>
      <c r="Q90" s="78">
        <f t="shared" si="8"/>
        <v>22189</v>
      </c>
      <c r="R90" s="78">
        <f t="shared" si="8"/>
        <v>2896</v>
      </c>
      <c r="S90" s="78">
        <f t="shared" si="8"/>
        <v>9070.8469999999998</v>
      </c>
      <c r="T90" s="78">
        <f t="shared" si="8"/>
        <v>2402</v>
      </c>
      <c r="U90" s="78">
        <f t="shared" si="8"/>
        <v>4090</v>
      </c>
      <c r="V90" s="78">
        <f t="shared" si="8"/>
        <v>4800</v>
      </c>
      <c r="W90" s="78">
        <f t="shared" si="8"/>
        <v>4300</v>
      </c>
      <c r="X90" s="78">
        <f t="shared" si="8"/>
        <v>6216.1540000000005</v>
      </c>
      <c r="Y90" s="78">
        <f t="shared" si="8"/>
        <v>13022</v>
      </c>
      <c r="Z90" s="78">
        <f t="shared" si="8"/>
        <v>1497</v>
      </c>
      <c r="AA90" s="78">
        <f t="shared" si="8"/>
        <v>7819</v>
      </c>
      <c r="AB90" s="78">
        <f t="shared" si="8"/>
        <v>3513</v>
      </c>
      <c r="AC90" s="78">
        <f t="shared" si="8"/>
        <v>5373</v>
      </c>
      <c r="AD90" s="78">
        <f t="shared" si="8"/>
        <v>5368</v>
      </c>
      <c r="AE90" s="78">
        <f t="shared" si="8"/>
        <v>11245</v>
      </c>
      <c r="AF90" s="78">
        <f t="shared" si="8"/>
        <v>8218</v>
      </c>
      <c r="AG90" s="78">
        <f t="shared" si="8"/>
        <v>4466</v>
      </c>
      <c r="AH90" s="78">
        <f t="shared" si="8"/>
        <v>1393</v>
      </c>
      <c r="AI90" s="78">
        <f t="shared" si="8"/>
        <v>214</v>
      </c>
      <c r="AJ90" s="78">
        <f t="shared" si="8"/>
        <v>576</v>
      </c>
      <c r="AK90" s="78">
        <f t="shared" si="8"/>
        <v>696</v>
      </c>
      <c r="AL90" s="78">
        <f t="shared" si="8"/>
        <v>718</v>
      </c>
      <c r="AM90" s="78">
        <f t="shared" si="8"/>
        <v>18639</v>
      </c>
      <c r="AN90" s="78">
        <f t="shared" si="8"/>
        <v>6255</v>
      </c>
      <c r="AO90" s="78">
        <f t="shared" si="8"/>
        <v>8447</v>
      </c>
      <c r="AP90" s="78">
        <f t="shared" si="8"/>
        <v>4203</v>
      </c>
      <c r="AQ90" s="78">
        <f t="shared" si="8"/>
        <v>7517</v>
      </c>
      <c r="AR90" s="78">
        <f t="shared" si="8"/>
        <v>18650</v>
      </c>
      <c r="AS90" s="78">
        <f t="shared" si="8"/>
        <v>3300</v>
      </c>
      <c r="AT90" s="78">
        <f t="shared" si="8"/>
        <v>13508</v>
      </c>
      <c r="AU90" s="78">
        <f t="shared" si="8"/>
        <v>1584.146</v>
      </c>
      <c r="AV90" s="78">
        <f t="shared" si="8"/>
        <v>14253</v>
      </c>
      <c r="AW90" s="78">
        <f t="shared" si="8"/>
        <v>10705</v>
      </c>
      <c r="AX90" s="78">
        <f t="shared" si="8"/>
        <v>317</v>
      </c>
      <c r="AY90" s="78">
        <f t="shared" si="8"/>
        <v>4191.8950000000004</v>
      </c>
      <c r="AZ90" s="78">
        <f t="shared" si="8"/>
        <v>71</v>
      </c>
      <c r="BA90" s="78">
        <f t="shared" si="8"/>
        <v>8230</v>
      </c>
      <c r="BB90" s="78">
        <f t="shared" si="8"/>
        <v>6882</v>
      </c>
      <c r="BC90" s="78">
        <f t="shared" si="8"/>
        <v>4878.3999999999996</v>
      </c>
      <c r="BD90" s="78">
        <f t="shared" si="8"/>
        <v>7556</v>
      </c>
      <c r="BE90" s="78">
        <f t="shared" si="8"/>
        <v>4200</v>
      </c>
      <c r="BF90" s="78">
        <f t="shared" si="8"/>
        <v>1969</v>
      </c>
      <c r="BG90" s="78">
        <f t="shared" si="8"/>
        <v>0</v>
      </c>
    </row>
    <row r="91" spans="1:59" customFormat="1" x14ac:dyDescent="0.2">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row>
    <row r="92" spans="1:59" customFormat="1" x14ac:dyDescent="0.2">
      <c r="A92" s="1245" t="s">
        <v>1510</v>
      </c>
      <c r="D92" s="78">
        <f>+D55+D65+D75</f>
        <v>15873</v>
      </c>
      <c r="E92" s="78">
        <f t="shared" ref="E92:BG92" si="9">+E55+E65+E75</f>
        <v>1301</v>
      </c>
      <c r="F92" s="78">
        <f t="shared" si="9"/>
        <v>6383</v>
      </c>
      <c r="G92" s="78">
        <f t="shared" si="9"/>
        <v>1047</v>
      </c>
      <c r="H92" s="78">
        <f t="shared" si="9"/>
        <v>397</v>
      </c>
      <c r="I92" s="78">
        <f t="shared" si="9"/>
        <v>12097</v>
      </c>
      <c r="J92" s="78">
        <f t="shared" si="9"/>
        <v>22522</v>
      </c>
      <c r="K92" s="78">
        <f t="shared" si="9"/>
        <v>5440</v>
      </c>
      <c r="L92" s="78">
        <f t="shared" si="9"/>
        <v>6397</v>
      </c>
      <c r="M92" s="78">
        <f t="shared" si="9"/>
        <v>14081</v>
      </c>
      <c r="N92" s="78">
        <f t="shared" si="9"/>
        <v>6409</v>
      </c>
      <c r="O92" s="78">
        <f t="shared" si="9"/>
        <v>5652</v>
      </c>
      <c r="P92" s="78">
        <f t="shared" si="9"/>
        <v>6619</v>
      </c>
      <c r="Q92" s="78">
        <f t="shared" si="9"/>
        <v>12766</v>
      </c>
      <c r="R92" s="78">
        <f t="shared" si="9"/>
        <v>3752</v>
      </c>
      <c r="S92" s="78">
        <f t="shared" si="9"/>
        <v>3026.319</v>
      </c>
      <c r="T92" s="78">
        <f t="shared" si="9"/>
        <v>5800</v>
      </c>
      <c r="U92" s="78">
        <f t="shared" si="9"/>
        <v>3170</v>
      </c>
      <c r="V92" s="78">
        <f t="shared" si="9"/>
        <v>5732</v>
      </c>
      <c r="W92" s="78">
        <f t="shared" si="9"/>
        <v>4533</v>
      </c>
      <c r="X92" s="78">
        <f t="shared" si="9"/>
        <v>33315.18</v>
      </c>
      <c r="Y92" s="78">
        <f t="shared" si="9"/>
        <v>2656</v>
      </c>
      <c r="Z92" s="78">
        <f t="shared" si="9"/>
        <v>3485</v>
      </c>
      <c r="AA92" s="78">
        <f t="shared" si="9"/>
        <v>8234</v>
      </c>
      <c r="AB92" s="78">
        <f t="shared" si="9"/>
        <v>333</v>
      </c>
      <c r="AC92" s="78">
        <f t="shared" si="9"/>
        <v>5532</v>
      </c>
      <c r="AD92" s="78">
        <f t="shared" si="9"/>
        <v>2078</v>
      </c>
      <c r="AE92" s="78">
        <f t="shared" si="9"/>
        <v>7623</v>
      </c>
      <c r="AF92" s="78">
        <f t="shared" si="9"/>
        <v>8033</v>
      </c>
      <c r="AG92" s="78">
        <f t="shared" si="9"/>
        <v>2837</v>
      </c>
      <c r="AH92" s="78">
        <f t="shared" si="9"/>
        <v>8784</v>
      </c>
      <c r="AI92" s="78">
        <f t="shared" si="9"/>
        <v>214</v>
      </c>
      <c r="AJ92" s="78">
        <f t="shared" si="9"/>
        <v>908</v>
      </c>
      <c r="AK92" s="78">
        <f t="shared" si="9"/>
        <v>1774</v>
      </c>
      <c r="AL92" s="78">
        <f t="shared" si="9"/>
        <v>992</v>
      </c>
      <c r="AM92" s="78">
        <f t="shared" si="9"/>
        <v>33898</v>
      </c>
      <c r="AN92" s="78">
        <f t="shared" si="9"/>
        <v>3933</v>
      </c>
      <c r="AO92" s="78">
        <f t="shared" si="9"/>
        <v>14405</v>
      </c>
      <c r="AP92" s="78">
        <f t="shared" si="9"/>
        <v>5907</v>
      </c>
      <c r="AQ92" s="78">
        <f t="shared" si="9"/>
        <v>7228</v>
      </c>
      <c r="AR92" s="78">
        <f t="shared" si="9"/>
        <v>2911</v>
      </c>
      <c r="AS92" s="78">
        <f t="shared" si="9"/>
        <v>2491</v>
      </c>
      <c r="AT92" s="78">
        <f t="shared" si="9"/>
        <v>3696</v>
      </c>
      <c r="AU92" s="78">
        <f t="shared" si="9"/>
        <v>1197.8889999999999</v>
      </c>
      <c r="AV92" s="78">
        <f t="shared" si="9"/>
        <v>15457</v>
      </c>
      <c r="AW92" s="78">
        <f t="shared" si="9"/>
        <v>7240</v>
      </c>
      <c r="AX92" s="78">
        <f t="shared" si="9"/>
        <v>1883</v>
      </c>
      <c r="AY92" s="78">
        <f t="shared" si="9"/>
        <v>1950.7550000000001</v>
      </c>
      <c r="AZ92" s="78">
        <f t="shared" si="9"/>
        <v>1</v>
      </c>
      <c r="BA92" s="78">
        <f t="shared" si="9"/>
        <v>10748</v>
      </c>
      <c r="BB92" s="78">
        <f t="shared" si="9"/>
        <v>1048</v>
      </c>
      <c r="BC92" s="78">
        <f t="shared" si="9"/>
        <v>4584</v>
      </c>
      <c r="BD92" s="78">
        <f t="shared" si="9"/>
        <v>5379</v>
      </c>
      <c r="BE92" s="78">
        <f t="shared" si="9"/>
        <v>1282</v>
      </c>
      <c r="BF92" s="78">
        <f t="shared" si="9"/>
        <v>92</v>
      </c>
      <c r="BG92" s="78">
        <f t="shared" si="9"/>
        <v>0</v>
      </c>
    </row>
    <row r="93" spans="1:59" customFormat="1" x14ac:dyDescent="0.2">
      <c r="D93" s="1"/>
      <c r="E93" s="1"/>
      <c r="F93" s="1"/>
      <c r="G93" s="1"/>
      <c r="H93" s="1"/>
      <c r="I93" s="1"/>
      <c r="J93" s="1"/>
      <c r="K93" s="1"/>
      <c r="L93" s="1"/>
      <c r="M93" s="1"/>
      <c r="N93" s="1"/>
      <c r="O93" s="1"/>
      <c r="P93" s="1"/>
      <c r="Q93" s="1"/>
      <c r="R93" s="1072"/>
      <c r="S93" s="1"/>
      <c r="T93" s="1"/>
      <c r="U93" s="1"/>
      <c r="V93" s="1"/>
      <c r="W93" s="1"/>
      <c r="X93" s="1"/>
      <c r="Y93" s="1"/>
      <c r="Z93" s="1"/>
      <c r="AA93" s="1"/>
      <c r="AB93" s="1"/>
      <c r="AC93" s="1"/>
      <c r="AD93" s="1"/>
      <c r="AE93" s="1"/>
      <c r="AF93" s="1"/>
      <c r="AG93" s="1"/>
      <c r="AH93" s="1"/>
      <c r="AI93" s="1"/>
      <c r="AJ93" s="1"/>
      <c r="AK93" s="1"/>
      <c r="AL93" s="1072"/>
      <c r="AM93" s="1"/>
      <c r="AN93" s="1"/>
      <c r="AO93" s="1"/>
      <c r="AP93" s="1"/>
      <c r="AQ93" s="1"/>
      <c r="AR93" s="1"/>
      <c r="AS93" s="1"/>
      <c r="AT93" s="1"/>
      <c r="AU93" s="1"/>
      <c r="AV93" s="1072"/>
      <c r="AW93" s="1"/>
      <c r="AX93" s="1"/>
      <c r="AY93" s="1"/>
      <c r="AZ93" s="1"/>
      <c r="BA93" s="1"/>
      <c r="BB93" s="1"/>
      <c r="BC93" s="1"/>
      <c r="BD93" s="1"/>
      <c r="BE93" s="1"/>
      <c r="BF93" s="1"/>
      <c r="BG93" s="1"/>
    </row>
    <row r="94" spans="1:59" s="2" customFormat="1" x14ac:dyDescent="0.2">
      <c r="A94" s="1245" t="s">
        <v>1511</v>
      </c>
      <c r="D94" s="5">
        <f>+D25+D35+D45</f>
        <v>12736</v>
      </c>
      <c r="E94" s="5">
        <f t="shared" ref="E94:BG94" si="10">+E25+E35+E45</f>
        <v>7325</v>
      </c>
      <c r="F94" s="5">
        <f t="shared" si="10"/>
        <v>10795</v>
      </c>
      <c r="G94" s="5">
        <f t="shared" si="10"/>
        <v>2336</v>
      </c>
      <c r="H94" s="5">
        <f t="shared" si="10"/>
        <v>5034</v>
      </c>
      <c r="I94" s="5">
        <f t="shared" si="10"/>
        <v>40155</v>
      </c>
      <c r="J94" s="5">
        <f t="shared" si="10"/>
        <v>35933</v>
      </c>
      <c r="K94" s="5">
        <f t="shared" si="10"/>
        <v>784</v>
      </c>
      <c r="L94" s="5">
        <f t="shared" si="10"/>
        <v>5000</v>
      </c>
      <c r="M94" s="5">
        <f t="shared" si="10"/>
        <v>1765</v>
      </c>
      <c r="N94" s="5">
        <f t="shared" si="10"/>
        <v>26044</v>
      </c>
      <c r="O94" s="5">
        <f t="shared" si="10"/>
        <v>25361</v>
      </c>
      <c r="P94" s="5">
        <f t="shared" si="10"/>
        <v>22638</v>
      </c>
      <c r="Q94" s="5">
        <f t="shared" si="10"/>
        <v>4649</v>
      </c>
      <c r="R94" s="5">
        <f t="shared" si="10"/>
        <v>6999</v>
      </c>
      <c r="S94" s="5">
        <f t="shared" si="10"/>
        <v>6693</v>
      </c>
      <c r="T94" s="5">
        <f t="shared" si="10"/>
        <v>2645</v>
      </c>
      <c r="U94" s="5">
        <f t="shared" si="10"/>
        <v>1792</v>
      </c>
      <c r="V94" s="5">
        <f t="shared" si="10"/>
        <v>5530</v>
      </c>
      <c r="W94" s="5">
        <f t="shared" si="10"/>
        <v>10124</v>
      </c>
      <c r="X94" s="5">
        <f t="shared" si="10"/>
        <v>7874</v>
      </c>
      <c r="Y94" s="5">
        <f t="shared" si="10"/>
        <v>16734</v>
      </c>
      <c r="Z94" s="5">
        <f t="shared" si="10"/>
        <v>3220</v>
      </c>
      <c r="AA94" s="5">
        <f t="shared" si="10"/>
        <v>10800</v>
      </c>
      <c r="AB94" s="5">
        <f t="shared" si="10"/>
        <v>1643</v>
      </c>
      <c r="AC94" s="5">
        <f t="shared" si="10"/>
        <v>3751</v>
      </c>
      <c r="AD94" s="5">
        <f t="shared" si="10"/>
        <v>8502</v>
      </c>
      <c r="AE94" s="5">
        <f t="shared" si="10"/>
        <v>7283</v>
      </c>
      <c r="AF94" s="5">
        <f t="shared" si="10"/>
        <v>26021</v>
      </c>
      <c r="AG94" s="5">
        <f t="shared" si="10"/>
        <v>13426</v>
      </c>
      <c r="AH94" s="5">
        <f t="shared" si="10"/>
        <v>3733</v>
      </c>
      <c r="AI94" s="5">
        <f t="shared" si="10"/>
        <v>0</v>
      </c>
      <c r="AJ94" s="5">
        <f t="shared" si="10"/>
        <v>3810</v>
      </c>
      <c r="AK94" s="5">
        <f t="shared" si="10"/>
        <v>691</v>
      </c>
      <c r="AL94" s="5">
        <f t="shared" si="10"/>
        <v>448</v>
      </c>
      <c r="AM94" s="5">
        <f t="shared" si="10"/>
        <v>13847</v>
      </c>
      <c r="AN94" s="5">
        <f t="shared" si="10"/>
        <v>2187</v>
      </c>
      <c r="AO94" s="5">
        <f t="shared" si="10"/>
        <v>1956</v>
      </c>
      <c r="AP94" s="5">
        <f t="shared" si="10"/>
        <v>7806</v>
      </c>
      <c r="AQ94" s="5">
        <f t="shared" si="10"/>
        <v>1380</v>
      </c>
      <c r="AR94" s="5">
        <f t="shared" si="10"/>
        <v>8423</v>
      </c>
      <c r="AS94" s="5">
        <f t="shared" si="10"/>
        <v>2763</v>
      </c>
      <c r="AT94" s="5">
        <f t="shared" si="10"/>
        <v>17463</v>
      </c>
      <c r="AU94" s="5">
        <f t="shared" si="10"/>
        <v>6731</v>
      </c>
      <c r="AV94" s="5">
        <f t="shared" si="10"/>
        <v>8042</v>
      </c>
      <c r="AW94" s="5">
        <f t="shared" si="10"/>
        <v>7464</v>
      </c>
      <c r="AX94" s="5">
        <f t="shared" si="10"/>
        <v>8545</v>
      </c>
      <c r="AY94" s="5">
        <f t="shared" si="10"/>
        <v>3355</v>
      </c>
      <c r="AZ94" s="5">
        <f t="shared" si="10"/>
        <v>373</v>
      </c>
      <c r="BA94" s="5">
        <f t="shared" si="10"/>
        <v>7214</v>
      </c>
      <c r="BB94" s="5">
        <f t="shared" si="10"/>
        <v>848</v>
      </c>
      <c r="BC94" s="5">
        <f t="shared" si="10"/>
        <v>4889</v>
      </c>
      <c r="BD94" s="5">
        <f t="shared" si="10"/>
        <v>13846</v>
      </c>
      <c r="BE94" s="5">
        <f t="shared" si="10"/>
        <v>4347</v>
      </c>
      <c r="BF94" s="5">
        <f t="shared" si="10"/>
        <v>638</v>
      </c>
      <c r="BG94" s="5">
        <f t="shared" si="10"/>
        <v>0</v>
      </c>
    </row>
    <row r="95" spans="1:59" s="2" customFormat="1" x14ac:dyDescent="0.2">
      <c r="A95"/>
      <c r="D95" s="5"/>
      <c r="E95" s="5"/>
      <c r="F95" s="5"/>
      <c r="G95" s="5"/>
      <c r="H95" s="5"/>
      <c r="I95" s="5"/>
      <c r="J95" s="5"/>
      <c r="K95" s="5"/>
      <c r="L95" s="5"/>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row>
    <row r="96" spans="1:59" s="2" customFormat="1" x14ac:dyDescent="0.2">
      <c r="A96" s="1245" t="s">
        <v>1512</v>
      </c>
      <c r="D96" s="5">
        <f>+D56+D66+D76</f>
        <v>17799</v>
      </c>
      <c r="E96" s="5">
        <f t="shared" ref="E96:BG96" si="11">+E56+E66+E76</f>
        <v>5128</v>
      </c>
      <c r="F96" s="5">
        <f t="shared" si="11"/>
        <v>28140</v>
      </c>
      <c r="G96" s="5">
        <f t="shared" si="11"/>
        <v>871</v>
      </c>
      <c r="H96" s="5">
        <f t="shared" si="11"/>
        <v>65</v>
      </c>
      <c r="I96" s="5">
        <f t="shared" si="11"/>
        <v>33479</v>
      </c>
      <c r="J96" s="5">
        <f t="shared" si="11"/>
        <v>36518</v>
      </c>
      <c r="K96" s="5">
        <f t="shared" si="11"/>
        <v>10178</v>
      </c>
      <c r="L96" s="5">
        <f t="shared" si="11"/>
        <v>11301</v>
      </c>
      <c r="M96" s="5">
        <f t="shared" si="11"/>
        <v>1459</v>
      </c>
      <c r="N96" s="5">
        <f t="shared" si="11"/>
        <v>22879</v>
      </c>
      <c r="O96" s="5">
        <f t="shared" si="11"/>
        <v>39846</v>
      </c>
      <c r="P96" s="5">
        <f t="shared" si="11"/>
        <v>47204</v>
      </c>
      <c r="Q96" s="5">
        <f t="shared" si="11"/>
        <v>12081</v>
      </c>
      <c r="R96" s="5">
        <f t="shared" si="11"/>
        <v>2857</v>
      </c>
      <c r="S96" s="5">
        <f t="shared" si="11"/>
        <v>4500</v>
      </c>
      <c r="T96" s="5">
        <f t="shared" si="11"/>
        <v>9944</v>
      </c>
      <c r="U96" s="5">
        <f t="shared" si="11"/>
        <v>2815</v>
      </c>
      <c r="V96" s="5">
        <f t="shared" si="11"/>
        <v>5711</v>
      </c>
      <c r="W96" s="5">
        <f t="shared" si="11"/>
        <v>6246</v>
      </c>
      <c r="X96" s="5">
        <f t="shared" si="11"/>
        <v>34366</v>
      </c>
      <c r="Y96" s="5">
        <f t="shared" si="11"/>
        <v>7568</v>
      </c>
      <c r="Z96" s="5">
        <f t="shared" si="11"/>
        <v>5902</v>
      </c>
      <c r="AA96" s="5">
        <f t="shared" si="11"/>
        <v>16235</v>
      </c>
      <c r="AB96" s="5">
        <f t="shared" si="11"/>
        <v>19259</v>
      </c>
      <c r="AC96" s="5">
        <f t="shared" si="11"/>
        <v>4491</v>
      </c>
      <c r="AD96" s="5">
        <f t="shared" si="11"/>
        <v>9621</v>
      </c>
      <c r="AE96" s="5">
        <f t="shared" si="11"/>
        <v>14592</v>
      </c>
      <c r="AF96" s="5">
        <f t="shared" si="11"/>
        <v>48377</v>
      </c>
      <c r="AG96" s="5">
        <f t="shared" si="11"/>
        <v>10446</v>
      </c>
      <c r="AH96" s="5">
        <f t="shared" si="11"/>
        <v>4995</v>
      </c>
      <c r="AI96" s="5">
        <f t="shared" si="11"/>
        <v>0</v>
      </c>
      <c r="AJ96" s="5">
        <f t="shared" si="11"/>
        <v>1925</v>
      </c>
      <c r="AK96" s="5">
        <f t="shared" si="11"/>
        <v>15307</v>
      </c>
      <c r="AL96" s="5">
        <f t="shared" si="11"/>
        <v>750</v>
      </c>
      <c r="AM96" s="5">
        <f t="shared" si="11"/>
        <v>28163</v>
      </c>
      <c r="AN96" s="5">
        <f t="shared" si="11"/>
        <v>957</v>
      </c>
      <c r="AO96" s="5">
        <f t="shared" si="11"/>
        <v>6559</v>
      </c>
      <c r="AP96" s="5">
        <f t="shared" si="11"/>
        <v>16075</v>
      </c>
      <c r="AQ96" s="5">
        <f t="shared" si="11"/>
        <v>2263</v>
      </c>
      <c r="AR96" s="5">
        <f t="shared" si="11"/>
        <v>1879</v>
      </c>
      <c r="AS96" s="5">
        <f t="shared" si="11"/>
        <v>1909</v>
      </c>
      <c r="AT96" s="5">
        <f t="shared" si="11"/>
        <v>31932</v>
      </c>
      <c r="AU96" s="5">
        <f t="shared" si="11"/>
        <v>1301</v>
      </c>
      <c r="AV96" s="5">
        <f t="shared" si="11"/>
        <v>10491</v>
      </c>
      <c r="AW96" s="5">
        <f t="shared" si="11"/>
        <v>11164</v>
      </c>
      <c r="AX96" s="5">
        <f t="shared" si="11"/>
        <v>4448</v>
      </c>
      <c r="AY96" s="5">
        <f t="shared" si="11"/>
        <v>19865</v>
      </c>
      <c r="AZ96" s="5">
        <f t="shared" si="11"/>
        <v>10957</v>
      </c>
      <c r="BA96" s="5">
        <f t="shared" si="11"/>
        <v>5230</v>
      </c>
      <c r="BB96" s="5">
        <f t="shared" si="11"/>
        <v>3702</v>
      </c>
      <c r="BC96" s="5">
        <f t="shared" si="11"/>
        <v>4584</v>
      </c>
      <c r="BD96" s="5">
        <f t="shared" si="11"/>
        <v>3332</v>
      </c>
      <c r="BE96" s="5">
        <f t="shared" si="11"/>
        <v>10585</v>
      </c>
      <c r="BF96" s="5">
        <f t="shared" si="11"/>
        <v>788</v>
      </c>
      <c r="BG96" s="5">
        <f t="shared" si="11"/>
        <v>0</v>
      </c>
    </row>
    <row r="99" spans="1:61" x14ac:dyDescent="0.2">
      <c r="A99" s="1245" t="s">
        <v>1535</v>
      </c>
      <c r="D99" s="1228">
        <v>0</v>
      </c>
      <c r="E99" s="1228">
        <v>0</v>
      </c>
      <c r="F99" s="1228">
        <v>0</v>
      </c>
      <c r="G99" s="1228">
        <v>0</v>
      </c>
      <c r="H99" s="1228">
        <v>0</v>
      </c>
      <c r="I99" s="1228">
        <v>0</v>
      </c>
      <c r="J99" s="1228">
        <v>0</v>
      </c>
      <c r="K99" s="1228">
        <v>0</v>
      </c>
      <c r="L99" s="1228">
        <v>0</v>
      </c>
      <c r="M99" s="1228">
        <v>0</v>
      </c>
      <c r="N99" s="1228">
        <v>0</v>
      </c>
      <c r="O99" s="1228">
        <v>0</v>
      </c>
      <c r="P99" s="1228">
        <v>0</v>
      </c>
      <c r="Q99" s="1228">
        <v>0</v>
      </c>
      <c r="R99" s="1228">
        <v>0</v>
      </c>
      <c r="S99" s="1228">
        <v>0</v>
      </c>
      <c r="T99" s="1228">
        <v>0</v>
      </c>
      <c r="U99" s="1228">
        <v>0</v>
      </c>
      <c r="V99" s="1228">
        <v>0</v>
      </c>
      <c r="W99" s="1228">
        <v>0</v>
      </c>
      <c r="X99" s="1228">
        <v>0</v>
      </c>
      <c r="Y99" s="1228">
        <v>0</v>
      </c>
      <c r="Z99" s="1228">
        <v>0</v>
      </c>
      <c r="AA99" s="1228">
        <v>0</v>
      </c>
      <c r="AB99" s="1228">
        <v>0</v>
      </c>
      <c r="AC99" s="1228">
        <v>0</v>
      </c>
      <c r="AD99" s="1228">
        <v>0</v>
      </c>
      <c r="AE99" s="1228">
        <v>0</v>
      </c>
      <c r="AF99" s="1228">
        <v>0</v>
      </c>
      <c r="AG99" s="1228">
        <v>0</v>
      </c>
      <c r="AH99" s="1228">
        <v>0</v>
      </c>
      <c r="AI99" s="1228">
        <v>0</v>
      </c>
      <c r="AJ99" s="1228" t="str">
        <f>+IF($BH$99="כן",+HLOOKUP(AJ1,'[20]2011-2012'!$D$1:$BF$60,59,0),0)</f>
        <v>לא</v>
      </c>
      <c r="AK99" s="1228">
        <v>0</v>
      </c>
      <c r="AL99" s="1228">
        <v>0</v>
      </c>
      <c r="AM99" s="1228">
        <v>0</v>
      </c>
      <c r="AN99" s="1228">
        <v>0</v>
      </c>
      <c r="AO99" s="1228">
        <v>0</v>
      </c>
      <c r="AP99" s="1228">
        <v>0</v>
      </c>
      <c r="AQ99" s="1228">
        <v>0</v>
      </c>
      <c r="AR99" s="1228">
        <v>0</v>
      </c>
      <c r="AS99" s="1228">
        <v>0</v>
      </c>
      <c r="AT99" s="1228">
        <v>0</v>
      </c>
      <c r="AU99" s="1228">
        <v>0</v>
      </c>
      <c r="AV99" s="1228">
        <v>0</v>
      </c>
      <c r="AW99" s="1228">
        <v>0</v>
      </c>
      <c r="AX99" s="1228">
        <v>0</v>
      </c>
      <c r="AY99" s="1228">
        <v>0</v>
      </c>
      <c r="AZ99" s="1228">
        <v>0</v>
      </c>
      <c r="BA99" s="1228">
        <v>0</v>
      </c>
      <c r="BB99" s="1228">
        <v>0</v>
      </c>
      <c r="BC99" s="1228">
        <v>0</v>
      </c>
      <c r="BD99" s="1228">
        <v>0</v>
      </c>
      <c r="BE99" s="1228">
        <v>0</v>
      </c>
      <c r="BF99" s="1228">
        <v>0</v>
      </c>
      <c r="BG99" s="1228">
        <v>0</v>
      </c>
      <c r="BH99" s="2" t="str">
        <f>+'[6]גיליון סימולציה לתעריפי 2016'!$F$15</f>
        <v>כן</v>
      </c>
      <c r="BI99">
        <f>+COUNTIF(D99:BF99,"לא")</f>
        <v>1</v>
      </c>
    </row>
    <row r="100" spans="1:61" x14ac:dyDescent="0.2">
      <c r="R100" s="1"/>
      <c r="AL100" s="1"/>
      <c r="AV100" s="1"/>
    </row>
    <row r="101" spans="1:61" x14ac:dyDescent="0.2">
      <c r="A101" s="1245" t="s">
        <v>1536</v>
      </c>
      <c r="D101" s="1">
        <v>0</v>
      </c>
      <c r="E101" s="1">
        <v>0</v>
      </c>
      <c r="F101" s="1">
        <v>0</v>
      </c>
      <c r="G101" s="1">
        <v>0</v>
      </c>
      <c r="H101" s="1">
        <v>0</v>
      </c>
      <c r="I101" s="1">
        <v>0</v>
      </c>
      <c r="J101" s="1">
        <v>0</v>
      </c>
      <c r="K101" s="1">
        <v>0</v>
      </c>
      <c r="L101" s="1">
        <v>0</v>
      </c>
      <c r="M101" s="1">
        <v>0</v>
      </c>
      <c r="N101" s="1">
        <v>0</v>
      </c>
      <c r="O101" s="1">
        <v>0</v>
      </c>
      <c r="P101" s="1">
        <v>0</v>
      </c>
      <c r="Q101" s="1">
        <v>0</v>
      </c>
      <c r="R101" s="1">
        <v>0</v>
      </c>
      <c r="S101" s="1">
        <v>0</v>
      </c>
      <c r="T101" s="1">
        <v>0</v>
      </c>
      <c r="U101" s="1">
        <v>0</v>
      </c>
      <c r="V101" s="1">
        <v>0</v>
      </c>
      <c r="W101" s="1">
        <v>0</v>
      </c>
      <c r="X101" s="1">
        <v>0</v>
      </c>
      <c r="Y101" s="1">
        <v>0</v>
      </c>
      <c r="Z101" s="1">
        <v>0</v>
      </c>
      <c r="AA101" s="1">
        <v>0</v>
      </c>
      <c r="AB101" s="1">
        <v>0</v>
      </c>
      <c r="AC101" s="1">
        <v>0</v>
      </c>
      <c r="AD101" s="1">
        <v>0</v>
      </c>
      <c r="AE101" s="1">
        <v>0</v>
      </c>
      <c r="AF101" s="1">
        <v>0</v>
      </c>
      <c r="AG101" s="1">
        <v>0</v>
      </c>
      <c r="AH101" s="1">
        <v>0</v>
      </c>
      <c r="AI101" s="1">
        <v>0</v>
      </c>
      <c r="AJ101" s="1">
        <v>0</v>
      </c>
      <c r="AK101" s="1">
        <v>0</v>
      </c>
      <c r="AL101" s="1">
        <v>0</v>
      </c>
      <c r="AM101" s="1">
        <v>0</v>
      </c>
      <c r="AN101" s="1">
        <v>0</v>
      </c>
      <c r="AO101" s="1">
        <v>0</v>
      </c>
      <c r="AP101" s="1">
        <v>0</v>
      </c>
      <c r="AQ101" s="1">
        <v>0</v>
      </c>
      <c r="AR101" s="1">
        <v>0</v>
      </c>
      <c r="AS101" s="1">
        <v>0</v>
      </c>
      <c r="AT101" s="1">
        <v>0</v>
      </c>
      <c r="AU101" s="1">
        <v>0</v>
      </c>
      <c r="AV101" s="1">
        <v>0</v>
      </c>
      <c r="AW101" s="1">
        <v>0</v>
      </c>
      <c r="AX101" s="1">
        <v>0</v>
      </c>
      <c r="AY101" s="1">
        <v>0</v>
      </c>
      <c r="AZ101" s="1">
        <v>0</v>
      </c>
      <c r="BA101" s="1">
        <v>0</v>
      </c>
      <c r="BB101" s="1">
        <v>0</v>
      </c>
      <c r="BC101" s="1">
        <v>0</v>
      </c>
      <c r="BD101" s="1">
        <v>0</v>
      </c>
      <c r="BE101" s="1">
        <v>0</v>
      </c>
      <c r="BF101" s="1">
        <v>0</v>
      </c>
      <c r="BG101" s="1">
        <v>0</v>
      </c>
      <c r="BI101">
        <f t="shared" ref="BI101:BI103" si="12">+COUNTIF(D101:BF101,"לא")</f>
        <v>0</v>
      </c>
    </row>
    <row r="102" spans="1:61" x14ac:dyDescent="0.2">
      <c r="R102" s="1"/>
      <c r="AL102" s="1"/>
      <c r="AV102" s="1"/>
    </row>
    <row r="103" spans="1:61" x14ac:dyDescent="0.2">
      <c r="A103" s="1245" t="s">
        <v>1537</v>
      </c>
      <c r="D103" s="1">
        <v>0</v>
      </c>
      <c r="E103" s="1">
        <v>0</v>
      </c>
      <c r="F103" s="1">
        <v>0</v>
      </c>
      <c r="G103" s="1">
        <v>0</v>
      </c>
      <c r="H103" s="1">
        <v>0</v>
      </c>
      <c r="I103" s="1">
        <v>0</v>
      </c>
      <c r="J103" s="1">
        <v>0</v>
      </c>
      <c r="K103" s="1">
        <v>0</v>
      </c>
      <c r="L103" s="1">
        <v>0</v>
      </c>
      <c r="M103" s="1">
        <v>0</v>
      </c>
      <c r="N103" s="1">
        <v>0</v>
      </c>
      <c r="O103" s="1">
        <v>0</v>
      </c>
      <c r="P103" s="1">
        <v>0</v>
      </c>
      <c r="Q103" s="1">
        <v>0</v>
      </c>
      <c r="R103" s="1">
        <v>0</v>
      </c>
      <c r="S103" s="1">
        <v>0</v>
      </c>
      <c r="T103" s="1">
        <v>0</v>
      </c>
      <c r="U103" s="1">
        <v>0</v>
      </c>
      <c r="V103" s="1">
        <v>0</v>
      </c>
      <c r="W103" s="1">
        <v>0</v>
      </c>
      <c r="X103" s="1">
        <v>0</v>
      </c>
      <c r="Y103" s="1">
        <v>0</v>
      </c>
      <c r="Z103" s="1">
        <v>0</v>
      </c>
      <c r="AA103" s="1">
        <v>0</v>
      </c>
      <c r="AB103" s="1">
        <v>0</v>
      </c>
      <c r="AC103" s="1">
        <v>0</v>
      </c>
      <c r="AD103" s="1">
        <v>0</v>
      </c>
      <c r="AE103" s="1">
        <v>0</v>
      </c>
      <c r="AF103" s="1">
        <v>0</v>
      </c>
      <c r="AG103" s="1">
        <v>0</v>
      </c>
      <c r="AH103" s="1">
        <v>0</v>
      </c>
      <c r="AI103" s="1">
        <v>0</v>
      </c>
      <c r="AJ103" s="1">
        <v>0</v>
      </c>
      <c r="AK103" s="1">
        <v>0</v>
      </c>
      <c r="AL103" s="1">
        <v>0</v>
      </c>
      <c r="AM103" s="1">
        <v>0</v>
      </c>
      <c r="AN103" s="1">
        <v>0</v>
      </c>
      <c r="AO103" s="1">
        <v>0</v>
      </c>
      <c r="AP103" s="1">
        <v>0</v>
      </c>
      <c r="AQ103" s="1">
        <v>0</v>
      </c>
      <c r="AR103" s="1">
        <v>0</v>
      </c>
      <c r="AS103" s="1">
        <v>0</v>
      </c>
      <c r="AT103" s="1">
        <v>0</v>
      </c>
      <c r="AU103" s="1">
        <v>0</v>
      </c>
      <c r="AV103" s="1">
        <v>0</v>
      </c>
      <c r="AW103" s="1">
        <v>0</v>
      </c>
      <c r="AX103" s="1">
        <v>0</v>
      </c>
      <c r="AY103" s="1">
        <v>0</v>
      </c>
      <c r="AZ103" s="1">
        <v>0</v>
      </c>
      <c r="BA103" s="1">
        <v>0</v>
      </c>
      <c r="BB103" s="1">
        <v>0</v>
      </c>
      <c r="BC103" s="1">
        <v>0</v>
      </c>
      <c r="BD103" s="1">
        <v>0</v>
      </c>
      <c r="BE103" s="1">
        <v>0</v>
      </c>
      <c r="BF103" s="1">
        <v>0</v>
      </c>
      <c r="BG103" s="1">
        <v>0</v>
      </c>
      <c r="BI103">
        <f t="shared" si="12"/>
        <v>0</v>
      </c>
    </row>
    <row r="106" spans="1:61" x14ac:dyDescent="0.2">
      <c r="R106" s="1"/>
      <c r="AL106" s="1"/>
      <c r="AV106" s="1"/>
    </row>
    <row r="107" spans="1:61" x14ac:dyDescent="0.2">
      <c r="R107" s="1"/>
      <c r="AL107" s="1"/>
      <c r="AV107" s="1"/>
    </row>
    <row r="108" spans="1:61" x14ac:dyDescent="0.2">
      <c r="R108" s="1"/>
      <c r="AL108" s="1"/>
      <c r="AV108" s="1"/>
    </row>
    <row r="109" spans="1:61" x14ac:dyDescent="0.2">
      <c r="R109" s="1"/>
      <c r="AL109" s="1"/>
      <c r="AV109" s="1"/>
    </row>
    <row r="110" spans="1:61" x14ac:dyDescent="0.2">
      <c r="R110" s="1"/>
      <c r="AL110" s="1"/>
      <c r="AV110" s="1"/>
    </row>
    <row r="112" spans="1:61" x14ac:dyDescent="0.2">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row>
    <row r="113" spans="1:59" customFormat="1" x14ac:dyDescent="0.2">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row>
    <row r="114" spans="1:59" customFormat="1" x14ac:dyDescent="0.2">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row>
    <row r="115" spans="1:59" customFormat="1" x14ac:dyDescent="0.2">
      <c r="D115" s="1"/>
      <c r="E115" s="1"/>
      <c r="F115" s="1"/>
      <c r="G115" s="1"/>
      <c r="H115" s="1"/>
      <c r="I115" s="1"/>
      <c r="J115" s="1"/>
      <c r="K115" s="1"/>
      <c r="L115" s="1"/>
      <c r="M115" s="1"/>
      <c r="N115" s="1"/>
      <c r="O115" s="1"/>
      <c r="P115" s="1"/>
      <c r="Q115" s="1"/>
      <c r="R115" s="1072"/>
      <c r="S115" s="1"/>
      <c r="T115" s="1"/>
      <c r="U115" s="1"/>
      <c r="V115" s="1"/>
      <c r="W115" s="1"/>
      <c r="X115" s="1"/>
      <c r="Y115" s="1"/>
      <c r="Z115" s="1"/>
      <c r="AA115" s="1"/>
      <c r="AB115" s="1"/>
      <c r="AC115" s="1"/>
      <c r="AD115" s="1"/>
      <c r="AE115" s="1"/>
      <c r="AF115" s="1"/>
      <c r="AG115" s="1"/>
      <c r="AH115" s="1"/>
      <c r="AI115" s="1"/>
      <c r="AJ115" s="1"/>
      <c r="AK115" s="1"/>
      <c r="AL115" s="1072"/>
      <c r="AM115" s="1"/>
      <c r="AN115" s="1"/>
      <c r="AO115" s="1"/>
      <c r="AP115" s="1"/>
      <c r="AQ115" s="1"/>
      <c r="AR115" s="1"/>
      <c r="AS115" s="1"/>
      <c r="AT115" s="1"/>
      <c r="AU115" s="1"/>
      <c r="AV115" s="1072"/>
      <c r="AW115" s="1"/>
      <c r="AX115" s="1"/>
      <c r="AY115" s="1"/>
      <c r="AZ115" s="1"/>
      <c r="BA115" s="1"/>
      <c r="BB115" s="1"/>
      <c r="BC115" s="1"/>
      <c r="BD115" s="1"/>
      <c r="BE115" s="1"/>
      <c r="BF115" s="1"/>
      <c r="BG115" s="1"/>
    </row>
    <row r="116" spans="1:59" customFormat="1" x14ac:dyDescent="0.2">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8"/>
      <c r="AZ116" s="28"/>
      <c r="BA116" s="28"/>
      <c r="BB116" s="28"/>
      <c r="BC116" s="28"/>
      <c r="BD116" s="28"/>
      <c r="BE116" s="28"/>
      <c r="BF116" s="28"/>
      <c r="BG116" s="28"/>
    </row>
    <row r="117" spans="1:59" customFormat="1" x14ac:dyDescent="0.2">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row>
    <row r="118" spans="1:59" customFormat="1" x14ac:dyDescent="0.2">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c r="AZ118" s="28"/>
      <c r="BA118" s="28"/>
      <c r="BB118" s="28"/>
      <c r="BC118" s="28"/>
      <c r="BD118" s="28"/>
      <c r="BE118" s="28"/>
      <c r="BF118" s="28"/>
      <c r="BG118" s="28"/>
    </row>
    <row r="119" spans="1:59" customFormat="1" x14ac:dyDescent="0.2">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row>
    <row r="120" spans="1:59" customFormat="1" x14ac:dyDescent="0.2">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8"/>
      <c r="BE120" s="28"/>
      <c r="BF120" s="28"/>
      <c r="BG120" s="28"/>
    </row>
    <row r="121" spans="1:59" customFormat="1" x14ac:dyDescent="0.2">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row>
    <row r="122" spans="1:59" customFormat="1" x14ac:dyDescent="0.2">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row>
    <row r="123" spans="1:59" customFormat="1" x14ac:dyDescent="0.2">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row>
    <row r="124" spans="1:59" customFormat="1" x14ac:dyDescent="0.2">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row>
    <row r="126" spans="1:59" customFormat="1" x14ac:dyDescent="0.2">
      <c r="A126" s="1245"/>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row>
    <row r="127" spans="1:59" customFormat="1" x14ac:dyDescent="0.2">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row>
    <row r="128" spans="1:59" customFormat="1" x14ac:dyDescent="0.2">
      <c r="A128" s="1245"/>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row>
    <row r="129" spans="1:59" customFormat="1" x14ac:dyDescent="0.2">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row>
    <row r="130" spans="1:59" customFormat="1" x14ac:dyDescent="0.2">
      <c r="A130" s="1245"/>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row>
    <row r="131" spans="1:59" customFormat="1" x14ac:dyDescent="0.2">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row>
    <row r="132" spans="1:59" customFormat="1" x14ac:dyDescent="0.2">
      <c r="A132" s="1245"/>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row>
    <row r="133" spans="1:59" customFormat="1" x14ac:dyDescent="0.2">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row>
    <row r="134" spans="1:59" customFormat="1" x14ac:dyDescent="0.2">
      <c r="A134" s="1245"/>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row>
    <row r="137" spans="1:59" customFormat="1" x14ac:dyDescent="0.2">
      <c r="A137" s="1214"/>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5"/>
      <c r="AX137" s="5"/>
      <c r="AY137" s="5"/>
      <c r="AZ137" s="5"/>
      <c r="BA137" s="5"/>
      <c r="BB137" s="5"/>
      <c r="BC137" s="5"/>
      <c r="BD137" s="5"/>
      <c r="BE137" s="5"/>
      <c r="BF137" s="5"/>
      <c r="BG137" s="5"/>
    </row>
    <row r="138" spans="1:59" customFormat="1" x14ac:dyDescent="0.2">
      <c r="A138" s="1214"/>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c r="AZ138" s="5"/>
      <c r="BA138" s="5"/>
      <c r="BB138" s="5"/>
      <c r="BC138" s="5"/>
      <c r="BD138" s="5"/>
      <c r="BE138" s="5"/>
      <c r="BF138" s="5"/>
      <c r="BG138" s="5"/>
    </row>
    <row r="139" spans="1:59" customFormat="1" x14ac:dyDescent="0.2">
      <c r="A139" s="1214"/>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row>
    <row r="140" spans="1:59" customFormat="1" x14ac:dyDescent="0.2">
      <c r="A140" s="1214"/>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row>
    <row r="141" spans="1:59" customFormat="1" x14ac:dyDescent="0.2">
      <c r="A141" s="1214"/>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c r="BA141" s="5"/>
      <c r="BB141" s="5"/>
      <c r="BC141" s="5"/>
      <c r="BD141" s="5"/>
      <c r="BE141" s="5"/>
      <c r="BF141" s="5"/>
      <c r="BG141" s="5"/>
    </row>
    <row r="142" spans="1:59" customFormat="1" x14ac:dyDescent="0.2">
      <c r="A142" s="1214"/>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c r="AJ142" s="5"/>
      <c r="AK142" s="5"/>
      <c r="AL142" s="5"/>
      <c r="AM142" s="5"/>
      <c r="AN142" s="5"/>
      <c r="AO142" s="5"/>
      <c r="AP142" s="5"/>
      <c r="AQ142" s="5"/>
      <c r="AR142" s="5"/>
      <c r="AS142" s="5"/>
      <c r="AT142" s="5"/>
      <c r="AU142" s="5"/>
      <c r="AV142" s="5"/>
      <c r="AW142" s="5"/>
      <c r="AX142" s="5"/>
      <c r="AY142" s="5"/>
      <c r="AZ142" s="5"/>
      <c r="BA142" s="5"/>
      <c r="BB142" s="5"/>
      <c r="BC142" s="5"/>
      <c r="BD142" s="5"/>
      <c r="BE142" s="5"/>
      <c r="BF142" s="5"/>
      <c r="BG142" s="5"/>
    </row>
    <row r="143" spans="1:59" customFormat="1" x14ac:dyDescent="0.2">
      <c r="A143" s="1214"/>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c r="AZ143" s="5"/>
      <c r="BA143" s="5"/>
      <c r="BB143" s="5"/>
      <c r="BC143" s="5"/>
      <c r="BD143" s="5"/>
      <c r="BE143" s="5"/>
      <c r="BF143" s="5"/>
      <c r="BG143" s="5"/>
    </row>
    <row r="144" spans="1:59" customFormat="1" x14ac:dyDescent="0.2">
      <c r="A144" s="1214"/>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row>
    <row r="145" spans="1:59" customFormat="1" x14ac:dyDescent="0.2">
      <c r="A145" s="1214"/>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c r="AY145" s="5"/>
      <c r="AZ145" s="5"/>
      <c r="BA145" s="5"/>
      <c r="BB145" s="5"/>
      <c r="BC145" s="5"/>
      <c r="BD145" s="5"/>
      <c r="BE145" s="5"/>
      <c r="BF145" s="5"/>
      <c r="BG145" s="5"/>
    </row>
    <row r="146" spans="1:59" customFormat="1" x14ac:dyDescent="0.2">
      <c r="A146" s="1214"/>
      <c r="D146" s="1"/>
      <c r="E146" s="1"/>
      <c r="F146" s="1"/>
      <c r="G146" s="1"/>
      <c r="H146" s="1"/>
      <c r="I146" s="1"/>
      <c r="J146" s="1"/>
      <c r="K146" s="1"/>
      <c r="L146" s="1"/>
      <c r="M146" s="1"/>
      <c r="N146" s="1"/>
      <c r="O146" s="1"/>
      <c r="P146" s="1"/>
      <c r="Q146" s="1"/>
      <c r="R146" s="1072"/>
      <c r="S146" s="1"/>
      <c r="T146" s="1"/>
      <c r="U146" s="1"/>
      <c r="V146" s="1"/>
      <c r="W146" s="1"/>
      <c r="X146" s="1"/>
      <c r="Y146" s="1"/>
      <c r="Z146" s="1"/>
      <c r="AA146" s="1"/>
      <c r="AB146" s="1"/>
      <c r="AC146" s="1"/>
      <c r="AD146" s="1"/>
      <c r="AE146" s="1"/>
      <c r="AF146" s="1"/>
      <c r="AG146" s="1"/>
      <c r="AH146" s="1"/>
      <c r="AI146" s="1"/>
      <c r="AJ146" s="1"/>
      <c r="AK146" s="1"/>
      <c r="AL146" s="1072"/>
      <c r="AM146" s="1"/>
      <c r="AN146" s="1"/>
      <c r="AO146" s="1"/>
      <c r="AP146" s="1"/>
      <c r="AQ146" s="1"/>
      <c r="AR146" s="1"/>
      <c r="AS146" s="1"/>
      <c r="AT146" s="1"/>
      <c r="AU146" s="1"/>
      <c r="AV146" s="1072"/>
      <c r="AW146" s="1"/>
      <c r="AX146" s="1"/>
      <c r="AY146" s="1"/>
      <c r="AZ146" s="1"/>
      <c r="BA146" s="1"/>
      <c r="BB146" s="1"/>
      <c r="BC146" s="1"/>
      <c r="BD146" s="1"/>
      <c r="BE146" s="1"/>
      <c r="BF146" s="1"/>
      <c r="BG146" s="1"/>
    </row>
  </sheetData>
  <pageMargins left="0.7" right="0.7" top="0.75" bottom="0.75" header="0.3" footer="0.3"/>
  <legacy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22"/>
  <dimension ref="A1:IG98"/>
  <sheetViews>
    <sheetView rightToLeft="1" workbookViewId="0">
      <pane xSplit="3" ySplit="2" topLeftCell="AG3" activePane="bottomRight" state="frozen"/>
      <selection activeCell="E49" sqref="E49"/>
      <selection pane="topRight" activeCell="E49" sqref="E49"/>
      <selection pane="bottomLeft" activeCell="E49" sqref="E49"/>
      <selection pane="bottomRight" activeCell="AJ28" sqref="AJ28"/>
    </sheetView>
  </sheetViews>
  <sheetFormatPr defaultRowHeight="12.75" x14ac:dyDescent="0.2"/>
  <cols>
    <col min="1" max="1" width="22" bestFit="1" customWidth="1"/>
    <col min="2" max="2" width="19.5703125" bestFit="1" customWidth="1"/>
    <col min="3" max="3" width="4.28515625" customWidth="1"/>
    <col min="4" max="4" width="21.85546875" style="1" bestFit="1" customWidth="1"/>
    <col min="5" max="5" width="14.28515625" style="1" bestFit="1" customWidth="1"/>
    <col min="6" max="6" width="15.5703125" style="1" bestFit="1" customWidth="1"/>
    <col min="7" max="7" width="15.42578125" style="1" bestFit="1" customWidth="1"/>
    <col min="8" max="8" width="16.85546875" style="1" bestFit="1" customWidth="1"/>
    <col min="9" max="9" width="14.7109375" style="1" bestFit="1" customWidth="1"/>
    <col min="10" max="10" width="17.140625" style="1" bestFit="1" customWidth="1"/>
    <col min="11" max="11" width="15" style="1" bestFit="1" customWidth="1"/>
    <col min="12" max="12" width="12.85546875" style="1" bestFit="1" customWidth="1"/>
    <col min="13" max="14" width="13" style="1" bestFit="1" customWidth="1"/>
    <col min="15" max="15" width="16.7109375" style="1" bestFit="1" customWidth="1"/>
    <col min="16" max="16" width="13.140625" style="1" bestFit="1" customWidth="1"/>
    <col min="17" max="17" width="12.5703125" style="1" customWidth="1"/>
    <col min="18" max="18" width="12.42578125" style="1" bestFit="1" customWidth="1"/>
    <col min="19" max="19" width="17.42578125" style="1" bestFit="1" customWidth="1"/>
    <col min="20" max="21" width="12" style="1" bestFit="1" customWidth="1"/>
    <col min="22" max="22" width="11.85546875" style="1" customWidth="1"/>
    <col min="23" max="23" width="15" style="1" customWidth="1"/>
    <col min="24" max="24" width="13" style="1" bestFit="1" customWidth="1"/>
    <col min="25" max="25" width="17" style="1" customWidth="1"/>
    <col min="26" max="26" width="13.140625" style="1" bestFit="1" customWidth="1"/>
    <col min="27" max="27" width="12" style="1" bestFit="1" customWidth="1"/>
    <col min="28" max="28" width="12.42578125" style="1" bestFit="1" customWidth="1"/>
    <col min="29" max="29" width="12" style="1" bestFit="1" customWidth="1"/>
    <col min="30" max="30" width="13" style="1" bestFit="1" customWidth="1"/>
    <col min="31" max="31" width="12" style="1" bestFit="1" customWidth="1"/>
    <col min="32" max="32" width="13" style="1" bestFit="1" customWidth="1"/>
    <col min="33" max="37" width="12" style="1" bestFit="1" customWidth="1"/>
    <col min="38" max="38" width="15.5703125" style="1" customWidth="1"/>
    <col min="39" max="39" width="13" style="1" bestFit="1" customWidth="1"/>
    <col min="40" max="41" width="12" style="1" bestFit="1" customWidth="1"/>
    <col min="42" max="42" width="12.5703125" style="1" customWidth="1"/>
    <col min="43" max="43" width="11.7109375" style="1" bestFit="1" customWidth="1"/>
    <col min="44" max="44" width="12.42578125" style="1" bestFit="1" customWidth="1"/>
    <col min="45" max="46" width="11.7109375" style="1" bestFit="1" customWidth="1"/>
    <col min="47" max="47" width="14" style="1" bestFit="1" customWidth="1"/>
    <col min="48" max="48" width="12" style="1" bestFit="1" customWidth="1"/>
    <col min="49" max="49" width="12.7109375" style="1" bestFit="1" customWidth="1"/>
    <col min="50" max="51" width="11.7109375" style="1" bestFit="1" customWidth="1"/>
    <col min="52" max="52" width="12" style="1" bestFit="1" customWidth="1"/>
    <col min="53" max="53" width="15.140625" style="1" customWidth="1"/>
    <col min="54" max="54" width="13" style="1" bestFit="1" customWidth="1"/>
    <col min="55" max="58" width="13.140625" style="1" bestFit="1" customWidth="1"/>
  </cols>
  <sheetData>
    <row r="1" spans="2:58" x14ac:dyDescent="0.2">
      <c r="B1" t="s">
        <v>273</v>
      </c>
      <c r="D1" s="438" t="s">
        <v>454</v>
      </c>
      <c r="E1" s="438" t="s">
        <v>440</v>
      </c>
      <c r="F1" s="602" t="s">
        <v>448</v>
      </c>
      <c r="G1" s="602" t="s">
        <v>443</v>
      </c>
      <c r="H1" s="602" t="s">
        <v>257</v>
      </c>
      <c r="I1" s="602" t="s">
        <v>441</v>
      </c>
      <c r="J1" s="602" t="s">
        <v>455</v>
      </c>
      <c r="K1" s="602" t="s">
        <v>456</v>
      </c>
      <c r="L1" s="602" t="s">
        <v>447</v>
      </c>
      <c r="M1" s="602" t="s">
        <v>828</v>
      </c>
      <c r="N1" s="602" t="s">
        <v>442</v>
      </c>
      <c r="O1" s="602" t="s">
        <v>452</v>
      </c>
      <c r="P1" s="602" t="s">
        <v>453</v>
      </c>
      <c r="Q1" s="602" t="s">
        <v>457</v>
      </c>
      <c r="R1" s="602" t="s">
        <v>691</v>
      </c>
      <c r="S1" s="602" t="s">
        <v>450</v>
      </c>
      <c r="T1" s="602" t="s">
        <v>446</v>
      </c>
      <c r="U1" s="602" t="s">
        <v>458</v>
      </c>
      <c r="V1" s="602" t="s">
        <v>445</v>
      </c>
      <c r="W1" s="602" t="s">
        <v>444</v>
      </c>
      <c r="X1" s="602" t="s">
        <v>449</v>
      </c>
      <c r="Y1" s="602" t="s">
        <v>439</v>
      </c>
      <c r="Z1" s="602" t="s">
        <v>260</v>
      </c>
      <c r="AA1" s="602" t="s">
        <v>658</v>
      </c>
      <c r="AB1" s="602" t="s">
        <v>258</v>
      </c>
      <c r="AC1" s="602" t="s">
        <v>659</v>
      </c>
      <c r="AD1" s="602" t="s">
        <v>254</v>
      </c>
      <c r="AE1" s="602" t="s">
        <v>264</v>
      </c>
      <c r="AF1" s="602" t="s">
        <v>256</v>
      </c>
      <c r="AG1" s="602" t="s">
        <v>255</v>
      </c>
      <c r="AH1" s="603" t="s">
        <v>660</v>
      </c>
      <c r="AI1" s="602" t="s">
        <v>269</v>
      </c>
      <c r="AJ1" s="602" t="s">
        <v>262</v>
      </c>
      <c r="AK1" s="602" t="s">
        <v>263</v>
      </c>
      <c r="AL1" s="602" t="s">
        <v>275</v>
      </c>
      <c r="AM1" s="439" t="s">
        <v>687</v>
      </c>
      <c r="AN1" s="602" t="s">
        <v>259</v>
      </c>
      <c r="AO1" s="602" t="s">
        <v>578</v>
      </c>
      <c r="AP1" s="602" t="s">
        <v>281</v>
      </c>
      <c r="AQ1" s="602" t="s">
        <v>529</v>
      </c>
      <c r="AR1" s="602" t="s">
        <v>530</v>
      </c>
      <c r="AS1" s="602" t="s">
        <v>266</v>
      </c>
      <c r="AT1" s="602" t="s">
        <v>261</v>
      </c>
      <c r="AU1" s="602" t="s">
        <v>531</v>
      </c>
      <c r="AV1" s="602" t="s">
        <v>253</v>
      </c>
      <c r="AW1" s="602" t="s">
        <v>271</v>
      </c>
      <c r="AX1" s="602" t="s">
        <v>268</v>
      </c>
      <c r="AY1" s="602" t="s">
        <v>661</v>
      </c>
      <c r="AZ1" s="602" t="s">
        <v>265</v>
      </c>
      <c r="BA1" s="602" t="s">
        <v>270</v>
      </c>
      <c r="BB1" s="602" t="s">
        <v>267</v>
      </c>
      <c r="BC1" s="602" t="s">
        <v>250</v>
      </c>
      <c r="BD1" s="602" t="s">
        <v>252</v>
      </c>
      <c r="BE1" s="602" t="s">
        <v>272</v>
      </c>
      <c r="BF1" s="602" t="s">
        <v>681</v>
      </c>
    </row>
    <row r="2" spans="2:58" x14ac:dyDescent="0.2">
      <c r="D2" s="39"/>
      <c r="E2" s="47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805"/>
      <c r="AI2" s="39"/>
      <c r="AJ2" s="39"/>
      <c r="AK2" s="39"/>
      <c r="AL2" s="39"/>
      <c r="AM2" s="39"/>
      <c r="AN2" s="39"/>
      <c r="AO2" s="39"/>
      <c r="AP2" s="39"/>
      <c r="AQ2" s="39"/>
      <c r="AR2" s="39"/>
      <c r="AS2" s="39"/>
      <c r="AT2" s="39"/>
      <c r="AU2" s="39"/>
      <c r="AV2" s="39"/>
      <c r="AW2" s="39"/>
      <c r="AX2" s="39"/>
      <c r="AY2" s="39"/>
      <c r="AZ2" s="39"/>
      <c r="BA2" s="39"/>
      <c r="BB2" s="39"/>
      <c r="BC2" s="39"/>
      <c r="BD2" s="39"/>
      <c r="BE2" s="39"/>
      <c r="BF2" s="39"/>
    </row>
    <row r="3" spans="2:58" x14ac:dyDescent="0.2">
      <c r="B3" s="806" t="s">
        <v>1110</v>
      </c>
      <c r="D3" s="47" t="s">
        <v>100</v>
      </c>
      <c r="E3" s="47" t="s">
        <v>56</v>
      </c>
      <c r="F3" s="47" t="s">
        <v>101</v>
      </c>
      <c r="G3" s="47" t="s">
        <v>136</v>
      </c>
      <c r="H3" s="47" t="s">
        <v>104</v>
      </c>
      <c r="I3" s="47" t="s">
        <v>64</v>
      </c>
      <c r="J3" s="47" t="s">
        <v>144</v>
      </c>
      <c r="K3" s="47" t="s">
        <v>1</v>
      </c>
      <c r="L3" s="47" t="s">
        <v>103</v>
      </c>
      <c r="M3" s="47" t="s">
        <v>17</v>
      </c>
      <c r="N3" s="47" t="s">
        <v>2</v>
      </c>
      <c r="O3" s="47" t="s">
        <v>7</v>
      </c>
      <c r="P3" s="47" t="s">
        <v>61</v>
      </c>
      <c r="Q3" s="47" t="s">
        <v>48</v>
      </c>
      <c r="R3" s="5" t="s">
        <v>57</v>
      </c>
      <c r="S3" s="47" t="s">
        <v>59</v>
      </c>
      <c r="T3" s="5" t="s">
        <v>28</v>
      </c>
      <c r="U3" s="47" t="s">
        <v>60</v>
      </c>
      <c r="V3" s="5" t="s">
        <v>138</v>
      </c>
      <c r="W3" s="47" t="s">
        <v>27</v>
      </c>
      <c r="X3" s="47" t="s">
        <v>3</v>
      </c>
      <c r="Y3" s="47" t="s">
        <v>55</v>
      </c>
      <c r="Z3" s="5" t="s">
        <v>30</v>
      </c>
      <c r="AA3" s="47" t="s">
        <v>50</v>
      </c>
      <c r="AB3" s="47" t="s">
        <v>54</v>
      </c>
      <c r="AC3" s="47" t="s">
        <v>51</v>
      </c>
      <c r="AD3" s="5" t="s">
        <v>62</v>
      </c>
      <c r="AE3" s="5" t="s">
        <v>53</v>
      </c>
      <c r="AF3" s="5" t="s">
        <v>63</v>
      </c>
      <c r="AG3" s="5" t="s">
        <v>68</v>
      </c>
      <c r="AH3" s="47" t="s">
        <v>73</v>
      </c>
      <c r="AI3" s="5" t="s">
        <v>66</v>
      </c>
      <c r="AJ3" s="47" t="s">
        <v>76</v>
      </c>
      <c r="AK3" s="5" t="s">
        <v>74</v>
      </c>
      <c r="AL3" s="47" t="s">
        <v>75</v>
      </c>
      <c r="AM3" s="47" t="s">
        <v>134</v>
      </c>
      <c r="AN3" s="47" t="s">
        <v>86</v>
      </c>
      <c r="AO3" s="5" t="s">
        <v>80</v>
      </c>
      <c r="AP3" s="5" t="s">
        <v>248</v>
      </c>
      <c r="AQ3" s="5" t="s">
        <v>98</v>
      </c>
      <c r="AR3" s="5" t="s">
        <v>97</v>
      </c>
      <c r="AS3" s="5" t="s">
        <v>99</v>
      </c>
      <c r="AT3" s="47" t="s">
        <v>39</v>
      </c>
      <c r="AU3" s="47" t="s">
        <v>106</v>
      </c>
      <c r="AV3" s="5" t="s">
        <v>15</v>
      </c>
      <c r="AW3" s="5" t="s">
        <v>107</v>
      </c>
      <c r="AX3" s="47" t="s">
        <v>123</v>
      </c>
      <c r="AY3" s="350" t="s">
        <v>314</v>
      </c>
      <c r="AZ3" s="807" t="s">
        <v>112</v>
      </c>
      <c r="BA3" s="5" t="s">
        <v>113</v>
      </c>
      <c r="BB3" s="47" t="s">
        <v>127</v>
      </c>
      <c r="BC3" s="5" t="s">
        <v>88</v>
      </c>
      <c r="BD3" s="47" t="s">
        <v>740</v>
      </c>
      <c r="BE3" s="47" t="s">
        <v>87</v>
      </c>
      <c r="BF3" s="47" t="s">
        <v>102</v>
      </c>
    </row>
    <row r="4" spans="2:58" x14ac:dyDescent="0.2">
      <c r="D4" s="47" t="s">
        <v>6</v>
      </c>
      <c r="E4" s="47" t="s">
        <v>140</v>
      </c>
      <c r="F4" s="47"/>
      <c r="G4" s="47" t="s">
        <v>58</v>
      </c>
      <c r="H4" s="47"/>
      <c r="I4" s="47" t="s">
        <v>9</v>
      </c>
      <c r="J4" s="47"/>
      <c r="K4" s="47"/>
      <c r="L4" s="47" t="s">
        <v>67</v>
      </c>
      <c r="M4" s="47" t="s">
        <v>148</v>
      </c>
      <c r="N4" s="47"/>
      <c r="O4" s="47" t="s">
        <v>141</v>
      </c>
      <c r="P4" s="47" t="s">
        <v>4</v>
      </c>
      <c r="Q4" s="47" t="s">
        <v>16</v>
      </c>
      <c r="R4" s="5"/>
      <c r="S4" s="47" t="s">
        <v>71</v>
      </c>
      <c r="T4" s="5"/>
      <c r="U4" s="47" t="s">
        <v>211</v>
      </c>
      <c r="V4" s="47" t="s">
        <v>110</v>
      </c>
      <c r="W4" s="47" t="s">
        <v>0</v>
      </c>
      <c r="X4" s="47" t="s">
        <v>149</v>
      </c>
      <c r="Y4" s="47" t="s">
        <v>40</v>
      </c>
      <c r="Z4" s="5" t="s">
        <v>38</v>
      </c>
      <c r="AA4" s="47"/>
      <c r="AB4" s="47"/>
      <c r="AC4" s="47"/>
      <c r="AD4" s="5"/>
      <c r="AE4" s="5"/>
      <c r="AF4" s="5"/>
      <c r="AG4" s="5" t="s">
        <v>77</v>
      </c>
      <c r="AH4" s="47"/>
      <c r="AI4" s="5"/>
      <c r="AJ4" s="47"/>
      <c r="AK4" s="5" t="s">
        <v>247</v>
      </c>
      <c r="AL4" s="47" t="s">
        <v>741</v>
      </c>
      <c r="AM4" s="47"/>
      <c r="AN4" s="47" t="s">
        <v>70</v>
      </c>
      <c r="AO4" s="5" t="s">
        <v>82</v>
      </c>
      <c r="AP4" s="5"/>
      <c r="AQ4" s="5"/>
      <c r="AR4" s="5"/>
      <c r="AS4" s="5" t="s">
        <v>680</v>
      </c>
      <c r="AT4" s="47" t="s">
        <v>93</v>
      </c>
      <c r="AU4" s="47" t="s">
        <v>243</v>
      </c>
      <c r="AV4" s="5"/>
      <c r="AW4" s="5" t="s">
        <v>108</v>
      </c>
      <c r="AX4" s="47"/>
      <c r="AY4" s="47" t="s">
        <v>109</v>
      </c>
      <c r="AZ4" s="47"/>
      <c r="BA4" s="5" t="s">
        <v>125</v>
      </c>
      <c r="BB4" s="47" t="s">
        <v>128</v>
      </c>
      <c r="BC4" s="5" t="s">
        <v>69</v>
      </c>
      <c r="BD4" s="5" t="s">
        <v>14</v>
      </c>
      <c r="BE4" s="47" t="s">
        <v>495</v>
      </c>
      <c r="BF4" s="47"/>
    </row>
    <row r="5" spans="2:58" x14ac:dyDescent="0.2">
      <c r="B5" s="23"/>
      <c r="D5" s="47" t="s">
        <v>25</v>
      </c>
      <c r="E5" s="47" t="s">
        <v>52</v>
      </c>
      <c r="F5" s="47"/>
      <c r="G5" s="47"/>
      <c r="H5" s="47"/>
      <c r="I5" s="47" t="s">
        <v>119</v>
      </c>
      <c r="J5" s="47"/>
      <c r="K5" s="47"/>
      <c r="L5" s="47" t="s">
        <v>238</v>
      </c>
      <c r="M5" s="47" t="s">
        <v>124</v>
      </c>
      <c r="N5" s="47"/>
      <c r="O5" s="47"/>
      <c r="P5" s="47" t="s">
        <v>206</v>
      </c>
      <c r="Q5" s="47" t="s">
        <v>18</v>
      </c>
      <c r="R5" s="5"/>
      <c r="S5" s="47" t="s">
        <v>78</v>
      </c>
      <c r="T5" s="5"/>
      <c r="U5" s="47" t="s">
        <v>244</v>
      </c>
      <c r="V5" s="47" t="s">
        <v>114</v>
      </c>
      <c r="W5" s="350" t="s">
        <v>139</v>
      </c>
      <c r="X5" s="47" t="s">
        <v>23</v>
      </c>
      <c r="Y5" s="47" t="s">
        <v>20</v>
      </c>
      <c r="Z5" s="5" t="s">
        <v>26</v>
      </c>
      <c r="AA5" s="47"/>
      <c r="AB5" s="47"/>
      <c r="AC5" s="47"/>
      <c r="AD5" s="5"/>
      <c r="AE5" s="5"/>
      <c r="AF5" s="5"/>
      <c r="AG5" s="47" t="s">
        <v>79</v>
      </c>
      <c r="AH5" s="47"/>
      <c r="AI5" s="5"/>
      <c r="AJ5" s="47"/>
      <c r="AK5" s="5" t="s">
        <v>497</v>
      </c>
      <c r="AL5" s="47"/>
      <c r="AM5" s="47"/>
      <c r="AN5" s="47" t="s">
        <v>85</v>
      </c>
      <c r="AO5" s="47" t="s">
        <v>83</v>
      </c>
      <c r="AP5" s="5"/>
      <c r="AQ5" s="5"/>
      <c r="AR5" s="5"/>
      <c r="AS5" s="5"/>
      <c r="AT5" s="47" t="s">
        <v>94</v>
      </c>
      <c r="AU5" s="47"/>
      <c r="AV5" s="5"/>
      <c r="AW5" s="47" t="s">
        <v>244</v>
      </c>
      <c r="AX5" s="47"/>
      <c r="AY5" s="47" t="s">
        <v>122</v>
      </c>
      <c r="AZ5" s="47"/>
      <c r="BA5" s="5" t="s">
        <v>115</v>
      </c>
      <c r="BB5" s="47" t="s">
        <v>129</v>
      </c>
      <c r="BC5" s="5" t="s">
        <v>96</v>
      </c>
      <c r="BD5" s="5" t="s">
        <v>105</v>
      </c>
      <c r="BE5" s="47"/>
      <c r="BF5" s="47"/>
    </row>
    <row r="6" spans="2:58" x14ac:dyDescent="0.2">
      <c r="D6" s="47" t="s">
        <v>116</v>
      </c>
      <c r="E6" s="47" t="s">
        <v>223</v>
      </c>
      <c r="F6" s="47"/>
      <c r="G6" s="47"/>
      <c r="H6" s="47"/>
      <c r="I6" s="47"/>
      <c r="J6" s="47"/>
      <c r="K6" s="47"/>
      <c r="L6" s="47" t="s">
        <v>126</v>
      </c>
      <c r="M6" s="47" t="s">
        <v>219</v>
      </c>
      <c r="N6" s="47"/>
      <c r="O6" s="47"/>
      <c r="P6" s="47" t="s">
        <v>196</v>
      </c>
      <c r="Q6" s="47" t="s">
        <v>12</v>
      </c>
      <c r="R6" s="5"/>
      <c r="S6" s="47"/>
      <c r="T6" s="5"/>
      <c r="U6" s="47" t="s">
        <v>79</v>
      </c>
      <c r="V6" s="47" t="s">
        <v>121</v>
      </c>
      <c r="W6" s="47" t="s">
        <v>13</v>
      </c>
      <c r="X6" s="47" t="s">
        <v>34</v>
      </c>
      <c r="Y6" s="47" t="s">
        <v>46</v>
      </c>
      <c r="Z6" s="5" t="s">
        <v>22</v>
      </c>
      <c r="AA6" s="47"/>
      <c r="AB6" s="47"/>
      <c r="AC6" s="47"/>
      <c r="AD6" s="5"/>
      <c r="AE6" s="5"/>
      <c r="AF6" s="5"/>
      <c r="AG6" s="5"/>
      <c r="AH6" s="47"/>
      <c r="AI6" s="5"/>
      <c r="AJ6" s="47"/>
      <c r="AK6" s="5" t="s">
        <v>498</v>
      </c>
      <c r="AL6" s="47"/>
      <c r="AM6" s="47"/>
      <c r="AN6" s="47" t="s">
        <v>65</v>
      </c>
      <c r="AO6" s="5" t="s">
        <v>81</v>
      </c>
      <c r="AP6" s="5"/>
      <c r="AQ6" s="5"/>
      <c r="AR6" s="5"/>
      <c r="AS6" s="5"/>
      <c r="AT6" s="47" t="s">
        <v>89</v>
      </c>
      <c r="AU6" s="47"/>
      <c r="AV6" s="5"/>
      <c r="AW6" s="5"/>
      <c r="AX6" s="47"/>
      <c r="AZ6" s="47"/>
      <c r="BA6" s="5"/>
      <c r="BB6" s="47" t="s">
        <v>130</v>
      </c>
      <c r="BC6" s="5" t="s">
        <v>90</v>
      </c>
      <c r="BD6" s="5" t="s">
        <v>45</v>
      </c>
      <c r="BE6" s="47"/>
      <c r="BF6" s="47"/>
    </row>
    <row r="7" spans="2:58" x14ac:dyDescent="0.2">
      <c r="D7" s="47"/>
      <c r="E7" s="47" t="s">
        <v>33</v>
      </c>
      <c r="F7" s="47"/>
      <c r="G7" s="47"/>
      <c r="H7" s="47"/>
      <c r="I7" s="47"/>
      <c r="J7" s="47"/>
      <c r="K7" s="47"/>
      <c r="L7" s="47"/>
      <c r="M7" s="47"/>
      <c r="N7" s="47"/>
      <c r="O7" s="47"/>
      <c r="P7" s="47"/>
      <c r="Q7" s="47" t="s">
        <v>21</v>
      </c>
      <c r="R7" s="5"/>
      <c r="S7" s="47"/>
      <c r="T7" s="5"/>
      <c r="U7" s="47"/>
      <c r="V7" s="5"/>
      <c r="W7" s="47" t="s">
        <v>36</v>
      </c>
      <c r="X7" s="47" t="s">
        <v>8</v>
      </c>
      <c r="Y7" s="47" t="s">
        <v>5</v>
      </c>
      <c r="Z7" s="5"/>
      <c r="AA7" s="47"/>
      <c r="AB7" s="47"/>
      <c r="AC7" s="47"/>
      <c r="AD7" s="5"/>
      <c r="AE7" s="5"/>
      <c r="AF7" s="5"/>
      <c r="AG7" s="5"/>
      <c r="AH7" s="47"/>
      <c r="AI7" s="5"/>
      <c r="AJ7" s="47"/>
      <c r="AK7" s="5"/>
      <c r="AL7" s="47"/>
      <c r="AM7" s="47"/>
      <c r="AN7" s="47" t="s">
        <v>84</v>
      </c>
      <c r="AO7" s="5" t="s">
        <v>143</v>
      </c>
      <c r="AP7" s="5"/>
      <c r="AQ7" s="5"/>
      <c r="AR7" s="5"/>
      <c r="AS7" s="5"/>
      <c r="AT7" s="47" t="s">
        <v>42</v>
      </c>
      <c r="AU7" s="47"/>
      <c r="AV7" s="5"/>
      <c r="AW7" s="5"/>
      <c r="AX7" s="47"/>
      <c r="AY7" s="47"/>
      <c r="AZ7" s="47"/>
      <c r="BA7" s="5"/>
      <c r="BB7" s="47"/>
      <c r="BC7" s="5" t="s">
        <v>91</v>
      </c>
      <c r="BD7" s="5" t="s">
        <v>35</v>
      </c>
      <c r="BE7" s="47"/>
      <c r="BF7" s="47"/>
    </row>
    <row r="8" spans="2:58" x14ac:dyDescent="0.2">
      <c r="B8" s="23"/>
      <c r="D8" s="47"/>
      <c r="F8" s="47"/>
      <c r="G8" s="47"/>
      <c r="H8" s="47"/>
      <c r="I8" s="47"/>
      <c r="J8" s="47"/>
      <c r="K8" s="47"/>
      <c r="L8" s="47"/>
      <c r="M8" s="47"/>
      <c r="N8" s="47"/>
      <c r="O8" s="47"/>
      <c r="P8" s="47"/>
      <c r="Q8" s="47" t="s">
        <v>132</v>
      </c>
      <c r="R8" s="5"/>
      <c r="S8" s="47"/>
      <c r="T8" s="5"/>
      <c r="U8" s="47"/>
      <c r="V8" s="5"/>
      <c r="W8" s="47" t="s">
        <v>32</v>
      </c>
      <c r="X8" s="47" t="s">
        <v>560</v>
      </c>
      <c r="Y8" s="47"/>
      <c r="Z8" s="5"/>
      <c r="AA8" s="47"/>
      <c r="AB8" s="47"/>
      <c r="AC8" s="47"/>
      <c r="AD8" s="5"/>
      <c r="AE8" s="5"/>
      <c r="AF8" s="5"/>
      <c r="AG8" s="5"/>
      <c r="AH8" s="47"/>
      <c r="AI8" s="5"/>
      <c r="AJ8" s="47"/>
      <c r="AK8" s="5"/>
      <c r="AL8" s="47"/>
      <c r="AM8" s="47"/>
      <c r="AN8" s="47" t="s">
        <v>49</v>
      </c>
      <c r="AO8" s="5" t="s">
        <v>145</v>
      </c>
      <c r="AP8" s="5"/>
      <c r="AQ8" s="5"/>
      <c r="AR8" s="5"/>
      <c r="AS8" s="5"/>
      <c r="AT8" s="47" t="s">
        <v>92</v>
      </c>
      <c r="AU8" s="47"/>
      <c r="AV8" s="5"/>
      <c r="AW8" s="5"/>
      <c r="AX8" s="47"/>
      <c r="AY8" s="47"/>
      <c r="AZ8" s="47"/>
      <c r="BA8" s="5"/>
      <c r="BB8" s="47"/>
      <c r="BC8" s="5" t="s">
        <v>142</v>
      </c>
      <c r="BD8" s="47" t="s">
        <v>738</v>
      </c>
      <c r="BE8" s="47"/>
      <c r="BF8" s="47"/>
    </row>
    <row r="9" spans="2:58" x14ac:dyDescent="0.2">
      <c r="B9" s="23"/>
      <c r="D9" s="47"/>
      <c r="F9" s="47"/>
      <c r="G9" s="47"/>
      <c r="H9" s="47"/>
      <c r="I9" s="47"/>
      <c r="J9" s="47"/>
      <c r="K9" s="47"/>
      <c r="L9" s="47"/>
      <c r="M9" s="47"/>
      <c r="N9" s="47"/>
      <c r="O9" s="47"/>
      <c r="P9" s="47"/>
      <c r="Q9" s="47" t="s">
        <v>133</v>
      </c>
      <c r="R9" s="5"/>
      <c r="S9" s="47"/>
      <c r="T9" s="5"/>
      <c r="U9" s="47"/>
      <c r="V9" s="5"/>
      <c r="W9" s="47" t="s">
        <v>135</v>
      </c>
      <c r="X9" s="47" t="s">
        <v>214</v>
      </c>
      <c r="Y9" s="47"/>
      <c r="Z9" s="5"/>
      <c r="AA9" s="47"/>
      <c r="AB9" s="47"/>
      <c r="AC9" s="47"/>
      <c r="AD9" s="5"/>
      <c r="AE9" s="5"/>
      <c r="AF9" s="5"/>
      <c r="AG9" s="5"/>
      <c r="AH9" s="47"/>
      <c r="AI9" s="5"/>
      <c r="AJ9" s="47"/>
      <c r="AK9" s="5"/>
      <c r="AL9" s="47"/>
      <c r="AM9" s="47"/>
      <c r="AN9" s="47"/>
      <c r="AO9" s="5"/>
      <c r="AP9" s="5"/>
      <c r="AQ9" s="5"/>
      <c r="AR9" s="5"/>
      <c r="AS9" s="5"/>
      <c r="AT9" s="47" t="s">
        <v>41</v>
      </c>
      <c r="AU9" s="47"/>
      <c r="AV9" s="5"/>
      <c r="AW9" s="5"/>
      <c r="AX9" s="47"/>
      <c r="AY9" s="47"/>
      <c r="AZ9" s="47"/>
      <c r="BA9" s="5"/>
      <c r="BB9" s="47"/>
      <c r="BC9" s="5" t="s">
        <v>131</v>
      </c>
      <c r="BD9" s="47" t="s">
        <v>739</v>
      </c>
      <c r="BE9" s="47"/>
      <c r="BF9" s="47"/>
    </row>
    <row r="10" spans="2:58" x14ac:dyDescent="0.2">
      <c r="Q10" s="1" t="s">
        <v>146</v>
      </c>
      <c r="AT10" s="1" t="s">
        <v>11</v>
      </c>
    </row>
    <row r="11" spans="2:58" x14ac:dyDescent="0.2">
      <c r="Q11" s="481" t="s">
        <v>224</v>
      </c>
      <c r="AT11" s="1" t="s">
        <v>484</v>
      </c>
    </row>
    <row r="12" spans="2:58" x14ac:dyDescent="0.2">
      <c r="Q12" s="481" t="s">
        <v>245</v>
      </c>
      <c r="AT12" s="1" t="s">
        <v>485</v>
      </c>
    </row>
    <row r="13" spans="2:58" x14ac:dyDescent="0.2">
      <c r="Q13" s="481" t="s">
        <v>233</v>
      </c>
    </row>
    <row r="14" spans="2:58" x14ac:dyDescent="0.2">
      <c r="B14" s="22"/>
      <c r="J14" s="47"/>
      <c r="Q14" s="481" t="s">
        <v>37</v>
      </c>
    </row>
    <row r="15" spans="2:58" x14ac:dyDescent="0.2">
      <c r="Q15" s="481" t="s">
        <v>147</v>
      </c>
    </row>
    <row r="16" spans="2:58" x14ac:dyDescent="0.2">
      <c r="Q16" s="481"/>
    </row>
    <row r="17" spans="1:241" x14ac:dyDescent="0.2">
      <c r="Q17" s="481"/>
      <c r="U17" s="5"/>
    </row>
    <row r="18" spans="1:241" x14ac:dyDescent="0.2">
      <c r="Q18" s="481"/>
    </row>
    <row r="19" spans="1:241" x14ac:dyDescent="0.2">
      <c r="B19" t="s">
        <v>151</v>
      </c>
      <c r="C19" s="808"/>
      <c r="D19" s="106" t="s">
        <v>1111</v>
      </c>
      <c r="E19" s="106" t="s">
        <v>1112</v>
      </c>
      <c r="F19" s="106" t="s">
        <v>1113</v>
      </c>
      <c r="G19" s="106" t="s">
        <v>1114</v>
      </c>
      <c r="H19" s="106" t="s">
        <v>1115</v>
      </c>
      <c r="I19" s="106" t="s">
        <v>1116</v>
      </c>
      <c r="J19" s="106" t="s">
        <v>1117</v>
      </c>
      <c r="K19" s="106" t="s">
        <v>1118</v>
      </c>
      <c r="L19" s="106" t="s">
        <v>1119</v>
      </c>
      <c r="M19" s="106" t="s">
        <v>1120</v>
      </c>
      <c r="N19" s="106" t="s">
        <v>1121</v>
      </c>
      <c r="O19" s="106" t="s">
        <v>1122</v>
      </c>
      <c r="P19" s="106" t="s">
        <v>1123</v>
      </c>
      <c r="Q19" s="106" t="s">
        <v>1124</v>
      </c>
      <c r="R19" s="106" t="s">
        <v>1125</v>
      </c>
      <c r="S19" s="106" t="s">
        <v>1126</v>
      </c>
      <c r="T19" s="106" t="s">
        <v>1127</v>
      </c>
      <c r="U19" s="106" t="s">
        <v>1128</v>
      </c>
      <c r="V19" s="106" t="s">
        <v>1129</v>
      </c>
      <c r="W19" s="106" t="s">
        <v>1130</v>
      </c>
      <c r="X19" s="106" t="s">
        <v>1131</v>
      </c>
      <c r="Y19" s="106" t="s">
        <v>1132</v>
      </c>
      <c r="Z19" s="106" t="s">
        <v>1133</v>
      </c>
      <c r="AA19" s="106" t="s">
        <v>1134</v>
      </c>
      <c r="AB19" s="106" t="s">
        <v>1135</v>
      </c>
      <c r="AC19" s="106" t="s">
        <v>1136</v>
      </c>
      <c r="AD19" s="106" t="s">
        <v>1137</v>
      </c>
      <c r="AE19" s="106" t="s">
        <v>1138</v>
      </c>
      <c r="AF19" s="106" t="s">
        <v>1139</v>
      </c>
      <c r="AG19" s="106" t="s">
        <v>1140</v>
      </c>
      <c r="AH19" s="106" t="s">
        <v>1141</v>
      </c>
      <c r="AI19" s="106" t="s">
        <v>1142</v>
      </c>
      <c r="AJ19" s="106" t="s">
        <v>1143</v>
      </c>
      <c r="AK19" s="106" t="s">
        <v>1144</v>
      </c>
      <c r="AL19" s="106" t="s">
        <v>1145</v>
      </c>
      <c r="AM19" s="106" t="s">
        <v>1146</v>
      </c>
      <c r="AN19" s="106" t="s">
        <v>1147</v>
      </c>
      <c r="AO19" s="106" t="s">
        <v>1148</v>
      </c>
      <c r="AP19" s="106" t="s">
        <v>1149</v>
      </c>
      <c r="AQ19" s="106" t="s">
        <v>1150</v>
      </c>
      <c r="AR19" s="106" t="s">
        <v>1151</v>
      </c>
      <c r="AS19" s="106" t="s">
        <v>1152</v>
      </c>
      <c r="AT19" s="106" t="s">
        <v>1153</v>
      </c>
      <c r="AU19" s="106" t="s">
        <v>1154</v>
      </c>
      <c r="AV19" s="106" t="s">
        <v>1155</v>
      </c>
      <c r="AW19" s="106" t="s">
        <v>1156</v>
      </c>
      <c r="AX19" s="106" t="s">
        <v>1157</v>
      </c>
      <c r="AY19" s="106" t="s">
        <v>1158</v>
      </c>
      <c r="AZ19" s="106" t="s">
        <v>1159</v>
      </c>
      <c r="BA19" s="106" t="s">
        <v>1160</v>
      </c>
      <c r="BB19" s="106" t="s">
        <v>1161</v>
      </c>
      <c r="BC19" s="106" t="s">
        <v>1162</v>
      </c>
      <c r="BD19" s="106" t="s">
        <v>1163</v>
      </c>
      <c r="BE19" s="106" t="s">
        <v>1164</v>
      </c>
      <c r="BF19" s="106" t="s">
        <v>1165</v>
      </c>
      <c r="BG19" s="808"/>
      <c r="BH19" s="808"/>
      <c r="BI19" s="808"/>
      <c r="BJ19" s="808"/>
      <c r="BK19" s="808"/>
      <c r="BL19" s="808"/>
      <c r="BM19" s="808"/>
      <c r="BN19" s="808"/>
      <c r="BO19" s="808"/>
      <c r="BP19" s="808"/>
      <c r="BQ19" s="808"/>
      <c r="BR19" s="808"/>
      <c r="BS19" s="808"/>
      <c r="BT19" s="808"/>
      <c r="BU19" s="808"/>
      <c r="BV19" s="808"/>
      <c r="BW19" s="808"/>
      <c r="BX19" s="808"/>
      <c r="BY19" s="808"/>
      <c r="BZ19" s="808"/>
      <c r="CA19" s="808"/>
      <c r="CB19" s="808"/>
      <c r="CC19" s="808"/>
      <c r="CD19" s="808"/>
      <c r="CE19" s="808"/>
      <c r="CF19" s="808"/>
      <c r="CG19" s="808"/>
      <c r="CH19" s="808"/>
      <c r="CI19" s="808"/>
      <c r="CJ19" s="808"/>
      <c r="CK19" s="808"/>
      <c r="CL19" s="808"/>
      <c r="CM19" s="808"/>
      <c r="CN19" s="808"/>
      <c r="CO19" s="808"/>
      <c r="CP19" s="808"/>
      <c r="CQ19" s="808"/>
      <c r="CR19" s="808"/>
      <c r="CS19" s="808"/>
      <c r="CT19" s="808"/>
      <c r="CU19" s="808"/>
      <c r="CV19" s="808"/>
      <c r="CW19" s="808"/>
      <c r="CX19" s="808"/>
      <c r="CY19" s="808"/>
      <c r="CZ19" s="808"/>
      <c r="DA19" s="808"/>
      <c r="DB19" s="808"/>
      <c r="DC19" s="808"/>
      <c r="DD19" s="808"/>
      <c r="DE19" s="808"/>
      <c r="DF19" s="808"/>
      <c r="DG19" s="808"/>
      <c r="DH19" s="808"/>
      <c r="DI19" s="808"/>
      <c r="DJ19" s="808"/>
      <c r="DK19" s="808"/>
      <c r="DL19" s="808"/>
      <c r="DM19" s="808"/>
      <c r="DN19" s="808"/>
      <c r="DO19" s="808"/>
      <c r="DP19" s="808"/>
      <c r="DQ19" s="808"/>
      <c r="DR19" s="808"/>
      <c r="DS19" s="808"/>
      <c r="DT19" s="808"/>
      <c r="DU19" s="808"/>
      <c r="DV19" s="808"/>
      <c r="DW19" s="808"/>
      <c r="DX19" s="808"/>
      <c r="DY19" s="808"/>
      <c r="DZ19" s="808"/>
      <c r="EA19" s="808"/>
      <c r="EB19" s="808"/>
      <c r="EC19" s="808"/>
      <c r="ED19" s="808"/>
      <c r="EE19" s="808"/>
      <c r="EF19" s="808"/>
      <c r="EG19" s="808"/>
      <c r="EH19" s="808"/>
      <c r="EI19" s="808"/>
      <c r="EJ19" s="808"/>
      <c r="EK19" s="808"/>
      <c r="EL19" s="808"/>
      <c r="EM19" s="808"/>
      <c r="EN19" s="808"/>
      <c r="EO19" s="808"/>
      <c r="EP19" s="808"/>
      <c r="EQ19" s="808"/>
      <c r="ER19" s="808"/>
      <c r="ES19" s="808"/>
      <c r="ET19" s="808"/>
      <c r="EU19" s="808"/>
      <c r="EV19" s="808"/>
      <c r="EW19" s="808"/>
      <c r="EX19" s="808"/>
      <c r="EY19" s="808"/>
      <c r="EZ19" s="808"/>
      <c r="FA19" s="808"/>
      <c r="FB19" s="808"/>
      <c r="FC19" s="808"/>
      <c r="FD19" s="808"/>
      <c r="FE19" s="808"/>
      <c r="FF19" s="808"/>
      <c r="FG19" s="808"/>
      <c r="FH19" s="808"/>
      <c r="FI19" s="808"/>
      <c r="FJ19" s="808"/>
      <c r="FK19" s="808"/>
      <c r="FL19" s="808"/>
      <c r="FM19" s="808"/>
      <c r="FN19" s="808"/>
      <c r="FO19" s="808"/>
      <c r="FP19" s="808"/>
      <c r="FQ19" s="808"/>
      <c r="FR19" s="808"/>
      <c r="FS19" s="808"/>
      <c r="FT19" s="808"/>
      <c r="FU19" s="808"/>
      <c r="FV19" s="808"/>
      <c r="FW19" s="808"/>
      <c r="FX19" s="808"/>
      <c r="FY19" s="808"/>
      <c r="FZ19" s="808"/>
      <c r="GA19" s="808"/>
      <c r="GB19" s="808"/>
      <c r="GC19" s="808"/>
      <c r="GD19" s="808"/>
      <c r="GE19" s="808"/>
      <c r="GF19" s="808"/>
      <c r="GG19" s="808"/>
      <c r="GH19" s="808" t="e">
        <v>#REF!</v>
      </c>
      <c r="GI19" s="808" t="e">
        <v>#REF!</v>
      </c>
      <c r="GJ19" s="808" t="e">
        <v>#REF!</v>
      </c>
      <c r="GK19" s="808" t="e">
        <v>#REF!</v>
      </c>
      <c r="GL19" s="808" t="e">
        <v>#REF!</v>
      </c>
      <c r="GM19" s="808" t="e">
        <v>#REF!</v>
      </c>
      <c r="GN19" s="808" t="e">
        <v>#REF!</v>
      </c>
      <c r="GO19" s="808" t="e">
        <v>#REF!</v>
      </c>
      <c r="GP19" s="808" t="e">
        <v>#REF!</v>
      </c>
      <c r="GQ19" s="808" t="e">
        <v>#REF!</v>
      </c>
      <c r="GR19" s="808" t="e">
        <v>#REF!</v>
      </c>
      <c r="GS19" s="808" t="e">
        <v>#REF!</v>
      </c>
      <c r="GT19" s="808" t="e">
        <v>#REF!</v>
      </c>
      <c r="GU19" s="808" t="e">
        <v>#REF!</v>
      </c>
      <c r="GV19" s="808" t="e">
        <v>#REF!</v>
      </c>
      <c r="GW19" s="808" t="e">
        <v>#REF!</v>
      </c>
      <c r="GX19" s="808" t="e">
        <v>#REF!</v>
      </c>
      <c r="GY19" s="808" t="e">
        <v>#REF!</v>
      </c>
      <c r="GZ19" s="808" t="e">
        <v>#REF!</v>
      </c>
      <c r="HA19" s="808" t="e">
        <v>#REF!</v>
      </c>
      <c r="HB19" s="808" t="e">
        <v>#REF!</v>
      </c>
      <c r="HC19" s="808" t="e">
        <v>#REF!</v>
      </c>
      <c r="HD19" s="808" t="e">
        <v>#REF!</v>
      </c>
      <c r="HE19" s="808" t="e">
        <v>#REF!</v>
      </c>
      <c r="HF19" s="808" t="e">
        <v>#REF!</v>
      </c>
      <c r="HG19" s="808" t="e">
        <v>#REF!</v>
      </c>
      <c r="HH19" s="808" t="e">
        <v>#REF!</v>
      </c>
      <c r="HI19" s="808" t="e">
        <v>#REF!</v>
      </c>
      <c r="HJ19" s="808" t="e">
        <v>#REF!</v>
      </c>
      <c r="HK19" s="808" t="e">
        <v>#REF!</v>
      </c>
      <c r="HL19" s="808" t="e">
        <v>#REF!</v>
      </c>
      <c r="HM19" s="808" t="e">
        <v>#REF!</v>
      </c>
      <c r="HN19" s="808" t="e">
        <v>#REF!</v>
      </c>
      <c r="HO19" s="808" t="e">
        <v>#REF!</v>
      </c>
      <c r="HP19" s="808" t="e">
        <v>#REF!</v>
      </c>
      <c r="HQ19" s="808" t="e">
        <v>#REF!</v>
      </c>
      <c r="HR19" s="808" t="e">
        <v>#REF!</v>
      </c>
      <c r="HS19" s="808" t="e">
        <v>#REF!</v>
      </c>
      <c r="HT19" s="808" t="e">
        <v>#REF!</v>
      </c>
      <c r="HU19" s="808" t="e">
        <v>#REF!</v>
      </c>
      <c r="HV19" s="808" t="e">
        <v>#REF!</v>
      </c>
      <c r="HW19" s="808" t="e">
        <v>#REF!</v>
      </c>
      <c r="HX19" s="808" t="e">
        <v>#REF!</v>
      </c>
      <c r="HY19" s="808" t="e">
        <v>#REF!</v>
      </c>
      <c r="HZ19" s="808" t="e">
        <v>#REF!</v>
      </c>
      <c r="IA19" s="808" t="e">
        <v>#REF!</v>
      </c>
      <c r="IB19" s="808" t="e">
        <v>#REF!</v>
      </c>
      <c r="IC19" s="808" t="e">
        <v>#REF!</v>
      </c>
      <c r="ID19" s="808" t="e">
        <v>#REF!</v>
      </c>
      <c r="IE19" s="808" t="e">
        <v>#REF!</v>
      </c>
      <c r="IF19" s="808" t="e">
        <v>#REF!</v>
      </c>
      <c r="IG19" s="808" t="e">
        <v>#REF!</v>
      </c>
    </row>
    <row r="20" spans="1:241" x14ac:dyDescent="0.2">
      <c r="A20" t="s">
        <v>1166</v>
      </c>
      <c r="B20" s="46" t="s">
        <v>1167</v>
      </c>
      <c r="D20" s="47"/>
      <c r="E20" s="47"/>
      <c r="F20" s="47"/>
      <c r="G20" s="47"/>
      <c r="H20" s="47"/>
      <c r="I20" s="47"/>
      <c r="J20" s="47"/>
      <c r="K20" s="47"/>
      <c r="L20" s="47"/>
      <c r="M20" s="47"/>
      <c r="N20" s="47"/>
      <c r="O20" s="47"/>
      <c r="P20" s="47"/>
      <c r="Q20" s="47"/>
      <c r="R20" s="5"/>
      <c r="S20" s="47"/>
      <c r="T20" s="5"/>
      <c r="U20" s="47"/>
      <c r="V20" s="5"/>
      <c r="W20" s="47"/>
      <c r="X20" s="47"/>
      <c r="Y20" s="47"/>
      <c r="Z20" s="5"/>
      <c r="AA20" s="47"/>
      <c r="AB20" s="47"/>
      <c r="AC20" s="47"/>
      <c r="AD20" s="5"/>
      <c r="AE20" s="5"/>
      <c r="AF20" s="5"/>
      <c r="AG20" s="5"/>
      <c r="AH20" s="47"/>
      <c r="AI20" s="5"/>
      <c r="AJ20" s="47"/>
      <c r="AK20" s="5"/>
      <c r="AL20" s="47"/>
      <c r="AM20" s="47"/>
      <c r="AN20" s="47"/>
      <c r="AO20" s="5"/>
      <c r="AP20" s="5"/>
      <c r="AQ20" s="5"/>
      <c r="AR20" s="5"/>
      <c r="AS20" s="5"/>
      <c r="AT20" s="47"/>
      <c r="AU20" s="47"/>
      <c r="AV20" s="5"/>
      <c r="AW20" s="5"/>
      <c r="AX20" s="47"/>
      <c r="AY20" s="47"/>
      <c r="AZ20" s="47"/>
      <c r="BA20" s="5"/>
      <c r="BB20" s="47"/>
      <c r="BC20" s="5"/>
      <c r="BD20" s="5"/>
      <c r="BE20" s="47"/>
      <c r="BF20" s="47"/>
    </row>
    <row r="21" spans="1:241" x14ac:dyDescent="0.2">
      <c r="B21">
        <v>2010</v>
      </c>
      <c r="H21" s="1">
        <v>313</v>
      </c>
      <c r="L21" s="1">
        <v>1113</v>
      </c>
      <c r="M21" s="5">
        <f>12238-5035</f>
        <v>7203</v>
      </c>
      <c r="O21" s="1">
        <v>1387</v>
      </c>
      <c r="P21" s="820">
        <v>12717</v>
      </c>
      <c r="R21" s="1">
        <v>4894</v>
      </c>
      <c r="T21" s="1">
        <v>260</v>
      </c>
      <c r="U21" s="1">
        <v>3032</v>
      </c>
      <c r="V21" s="1">
        <v>1218</v>
      </c>
      <c r="Y21" s="1">
        <f>603281/1000</f>
        <v>603.28099999999995</v>
      </c>
      <c r="AB21" s="1">
        <v>1887</v>
      </c>
      <c r="AD21" s="1">
        <v>376</v>
      </c>
      <c r="AE21" s="1">
        <v>1150</v>
      </c>
      <c r="AF21" s="1">
        <v>490</v>
      </c>
      <c r="AI21" s="1">
        <v>85</v>
      </c>
      <c r="AJ21" s="1">
        <v>131</v>
      </c>
      <c r="AU21" s="5">
        <f>(63276-48552)</f>
        <v>14724</v>
      </c>
      <c r="AV21" s="1">
        <v>150</v>
      </c>
      <c r="BD21" s="1">
        <v>3195</v>
      </c>
    </row>
    <row r="22" spans="1:241" x14ac:dyDescent="0.2">
      <c r="A22" s="1245" t="s">
        <v>153</v>
      </c>
      <c r="B22">
        <v>2011</v>
      </c>
      <c r="D22" s="1240">
        <v>14850</v>
      </c>
      <c r="E22" s="1240">
        <v>929</v>
      </c>
      <c r="F22" s="1240">
        <v>2065</v>
      </c>
      <c r="G22" s="1240">
        <v>1671</v>
      </c>
      <c r="H22" s="1240">
        <v>2975</v>
      </c>
      <c r="I22" s="1240">
        <v>0</v>
      </c>
      <c r="J22" s="1240">
        <v>13547</v>
      </c>
      <c r="K22" s="1240">
        <v>1020</v>
      </c>
      <c r="L22" s="1240">
        <v>1047</v>
      </c>
      <c r="M22" s="1240">
        <v>4073</v>
      </c>
      <c r="N22" s="1240">
        <v>3030</v>
      </c>
      <c r="O22" s="1240">
        <v>6555</v>
      </c>
      <c r="P22" s="1240">
        <v>9494</v>
      </c>
      <c r="Q22" s="1240">
        <v>0</v>
      </c>
      <c r="R22" s="1240">
        <v>331</v>
      </c>
      <c r="S22" s="1240">
        <v>2030.68</v>
      </c>
      <c r="T22" s="1240">
        <v>8862</v>
      </c>
      <c r="U22" s="1240">
        <f>949+HLOOKUP(A22,'[7]תוספת נכסים'!$F$4:$I$8,5,0)/1000</f>
        <v>10451.928022</v>
      </c>
      <c r="V22" s="1240">
        <v>3216</v>
      </c>
      <c r="W22" s="1240">
        <v>3447</v>
      </c>
      <c r="X22" s="1240">
        <v>0</v>
      </c>
      <c r="Y22" s="1240">
        <v>5366</v>
      </c>
      <c r="Z22" s="1240">
        <v>0</v>
      </c>
      <c r="AA22" s="1240">
        <v>0</v>
      </c>
      <c r="AB22" s="1240">
        <v>2511</v>
      </c>
      <c r="AC22" s="1240">
        <v>0</v>
      </c>
      <c r="AD22" s="1240">
        <v>5152</v>
      </c>
      <c r="AE22" s="1240">
        <v>3155</v>
      </c>
      <c r="AF22" s="1240">
        <v>2976</v>
      </c>
      <c r="AG22" s="1240">
        <v>9618</v>
      </c>
      <c r="AH22" s="1240">
        <v>15</v>
      </c>
      <c r="AI22" s="1240">
        <v>0</v>
      </c>
      <c r="AJ22" s="1240">
        <v>413</v>
      </c>
      <c r="AK22" s="1240">
        <v>0</v>
      </c>
      <c r="AL22" s="1240">
        <v>0</v>
      </c>
      <c r="AM22" s="1240">
        <v>5621</v>
      </c>
      <c r="AN22" s="1240">
        <v>769</v>
      </c>
      <c r="AO22" s="1240">
        <v>0</v>
      </c>
      <c r="AP22" s="1240">
        <v>0</v>
      </c>
      <c r="AQ22" s="1240">
        <v>259.06400000000002</v>
      </c>
      <c r="AR22" s="1240">
        <v>0</v>
      </c>
      <c r="AS22" s="1240">
        <v>0</v>
      </c>
      <c r="AT22" s="1240">
        <v>0</v>
      </c>
      <c r="AU22" s="1240">
        <v>118</v>
      </c>
      <c r="AV22" s="1240">
        <v>0</v>
      </c>
      <c r="AW22" s="1240">
        <v>3484</v>
      </c>
      <c r="AX22" s="1240">
        <v>1630</v>
      </c>
      <c r="AY22" s="1240">
        <v>0</v>
      </c>
      <c r="AZ22" s="1240">
        <v>591</v>
      </c>
      <c r="BA22" s="1240">
        <v>86</v>
      </c>
      <c r="BB22" s="1240">
        <v>324</v>
      </c>
      <c r="BC22" s="1240">
        <v>6324</v>
      </c>
      <c r="BD22" s="1240">
        <v>0</v>
      </c>
      <c r="BE22" s="1240">
        <v>104.9</v>
      </c>
      <c r="BF22" s="1">
        <v>0</v>
      </c>
    </row>
    <row r="23" spans="1:241" x14ac:dyDescent="0.2">
      <c r="A23" s="809"/>
      <c r="B23">
        <v>2012</v>
      </c>
      <c r="D23" s="47">
        <f>+IF(HLOOKUP(D1,'השקעות 2012-2014'!$1:$124,99,0)="לא",0,+HLOOKUP(D1,'השקעות 2012-2014'!$1:$125,23,0)+HLOOKUP(D1,'השקעות 2012-2014'!$1:$140,126,0))</f>
        <v>8383</v>
      </c>
      <c r="E23" s="47">
        <f>+IF(HLOOKUP(E1,'השקעות 2012-2014'!$1:$124,99,0)="לא",0,+HLOOKUP(E1,'השקעות 2012-2014'!$1:$125,23,0)+HLOOKUP(E1,'השקעות 2012-2014'!$1:$140,126,0))</f>
        <v>1706</v>
      </c>
      <c r="F23" s="47">
        <f>+IF(HLOOKUP(F1,'השקעות 2012-2014'!$1:$124,99,0)="לא",0,+HLOOKUP(F1,'השקעות 2012-2014'!$1:$125,23,0)+HLOOKUP(F1,'השקעות 2012-2014'!$1:$140,126,0))</f>
        <v>8164</v>
      </c>
      <c r="G23" s="47">
        <f>+IF(HLOOKUP(G1,'השקעות 2012-2014'!$1:$124,99,0)="לא",0,+HLOOKUP(G1,'השקעות 2012-2014'!$1:$125,23,0)+HLOOKUP(G1,'השקעות 2012-2014'!$1:$140,126,0))</f>
        <v>393</v>
      </c>
      <c r="H23" s="47">
        <f>+IF(HLOOKUP(H1,'השקעות 2012-2014'!$1:$124,99,0)="לא",0,+HLOOKUP(H1,'השקעות 2012-2014'!$1:$125,23,0)+HLOOKUP(H1,'השקעות 2012-2014'!$1:$140,126,0))</f>
        <v>1062</v>
      </c>
      <c r="I23" s="47">
        <f>+IF(HLOOKUP(I1,'השקעות 2012-2014'!$1:$124,99,0)="לא",0,+HLOOKUP(I1,'השקעות 2012-2014'!$1:$125,23,0)+HLOOKUP(I1,'השקעות 2012-2014'!$1:$140,126,0))</f>
        <v>24481</v>
      </c>
      <c r="J23" s="47">
        <f>+IF(HLOOKUP(J1,'השקעות 2012-2014'!$1:$124,99,0)="לא",0,+HLOOKUP(J1,'השקעות 2012-2014'!$1:$125,23,0)+HLOOKUP(J1,'השקעות 2012-2014'!$1:$140,126,0))</f>
        <v>16133</v>
      </c>
      <c r="K23" s="47">
        <f>+IF(HLOOKUP(K1,'השקעות 2012-2014'!$1:$124,99,0)="לא",0,+HLOOKUP(K1,'השקעות 2012-2014'!$1:$125,23,0)+HLOOKUP(K1,'השקעות 2012-2014'!$1:$140,126,0))</f>
        <v>2217</v>
      </c>
      <c r="L23" s="47">
        <f>+IF(HLOOKUP(L1,'השקעות 2012-2014'!$1:$124,99,0)="לא",0,+HLOOKUP(L1,'השקעות 2012-2014'!$1:$125,23,0)+HLOOKUP(L1,'השקעות 2012-2014'!$1:$140,126,0))</f>
        <v>0</v>
      </c>
      <c r="M23" s="47">
        <f>+IF(HLOOKUP(M1,'השקעות 2012-2014'!$1:$124,99,0)="לא",0,+HLOOKUP(M1,'השקעות 2012-2014'!$1:$125,23,0)+HLOOKUP(M1,'השקעות 2012-2014'!$1:$140,126,0))</f>
        <v>8254</v>
      </c>
      <c r="N23" s="47">
        <f>+IF(HLOOKUP(N1,'השקעות 2012-2014'!$1:$124,99,0)="לא",0,+HLOOKUP(N1,'השקעות 2012-2014'!$1:$125,23,0)+HLOOKUP(N1,'השקעות 2012-2014'!$1:$140,126,0))</f>
        <v>2287</v>
      </c>
      <c r="O23" s="47">
        <f>+IF(HLOOKUP(O1,'השקעות 2012-2014'!$1:$124,99,0)="לא",0,+HLOOKUP(O1,'השקעות 2012-2014'!$1:$125,23,0)+HLOOKUP(O1,'השקעות 2012-2014'!$1:$140,126,0))</f>
        <v>2994</v>
      </c>
      <c r="P23" s="47">
        <f>+IF(HLOOKUP(P1,'השקעות 2012-2014'!$1:$124,99,0)="לא",0,+HLOOKUP(P1,'השקעות 2012-2014'!$1:$125,23,0)+HLOOKUP(P1,'השקעות 2012-2014'!$1:$140,126,0))</f>
        <v>10804</v>
      </c>
      <c r="Q23" s="47">
        <f>+IF(HLOOKUP(Q1,'השקעות 2012-2014'!$1:$124,99,0)="לא",0,+HLOOKUP(Q1,'השקעות 2012-2014'!$1:$125,23,0)+HLOOKUP(Q1,'השקעות 2012-2014'!$1:$140,126,0))</f>
        <v>5990</v>
      </c>
      <c r="R23" s="47">
        <f>+IF(HLOOKUP(R1,'השקעות 2012-2014'!$1:$124,99,0)="לא",0,+HLOOKUP(R1,'השקעות 2012-2014'!$1:$125,23,0)+HLOOKUP(R1,'השקעות 2012-2014'!$1:$140,126,0))</f>
        <v>6680</v>
      </c>
      <c r="S23" s="47">
        <f>+IF(HLOOKUP(S1,'השקעות 2012-2014'!$1:$124,99,0)="לא",0,+HLOOKUP(S1,'השקעות 2012-2014'!$1:$125,23,0)+HLOOKUP(S1,'השקעות 2012-2014'!$1:$140,126,0))</f>
        <v>4079.319</v>
      </c>
      <c r="T23" s="47">
        <f>+IF(HLOOKUP(T1,'השקעות 2012-2014'!$1:$124,99,0)="לא",0,+HLOOKUP(T1,'השקעות 2012-2014'!$1:$125,23,0)+HLOOKUP(T1,'השקעות 2012-2014'!$1:$140,126,0))</f>
        <v>6009</v>
      </c>
      <c r="U23" s="47">
        <f>+IF(HLOOKUP(U1,'השקעות 2012-2014'!$1:$124,99,0)="לא",0,+HLOOKUP(U1,'השקעות 2012-2014'!$1:$125,23,0)+HLOOKUP(U1,'השקעות 2012-2014'!$1:$140,126,0))</f>
        <v>1857</v>
      </c>
      <c r="V23" s="47">
        <f>+IF(HLOOKUP(V1,'השקעות 2012-2014'!$1:$124,99,0)="לא",0,+HLOOKUP(V1,'השקעות 2012-2014'!$1:$125,23,0)+HLOOKUP(V1,'השקעות 2012-2014'!$1:$140,126,0))</f>
        <v>6824</v>
      </c>
      <c r="W23" s="47">
        <f>+IF(HLOOKUP(W1,'השקעות 2012-2014'!$1:$124,99,0)="לא",0,+HLOOKUP(W1,'השקעות 2012-2014'!$1:$125,23,0)+HLOOKUP(W1,'השקעות 2012-2014'!$1:$140,126,0))</f>
        <v>4344</v>
      </c>
      <c r="X23" s="47">
        <f>+IF(HLOOKUP(X1,'השקעות 2012-2014'!$1:$124,99,0)="לא",0,+HLOOKUP(X1,'השקעות 2012-2014'!$1:$125,23,0)+HLOOKUP(X1,'השקעות 2012-2014'!$1:$140,126,0))</f>
        <v>2209</v>
      </c>
      <c r="Y23" s="47">
        <f>+IF(HLOOKUP(Y1,'השקעות 2012-2014'!$1:$124,99,0)="לא",0,+HLOOKUP(Y1,'השקעות 2012-2014'!$1:$125,23,0)+HLOOKUP(Y1,'השקעות 2012-2014'!$1:$140,126,0))</f>
        <v>8586</v>
      </c>
      <c r="Z23" s="47">
        <f>+IF(HLOOKUP(Z1,'השקעות 2012-2014'!$1:$124,99,0)="לא",0,+HLOOKUP(Z1,'השקעות 2012-2014'!$1:$125,23,0)+HLOOKUP(Z1,'השקעות 2012-2014'!$1:$140,126,0))</f>
        <v>878</v>
      </c>
      <c r="AA23" s="47">
        <f>+IF(HLOOKUP(AA1,'השקעות 2012-2014'!$1:$124,99,0)="לא",0,+HLOOKUP(AA1,'השקעות 2012-2014'!$1:$125,23,0)+HLOOKUP(AA1,'השקעות 2012-2014'!$1:$140,126,0))</f>
        <v>1008</v>
      </c>
      <c r="AB23" s="47">
        <f>+IF(HLOOKUP(AB1,'השקעות 2012-2014'!$1:$124,99,0)="לא",0,+HLOOKUP(AB1,'השקעות 2012-2014'!$1:$125,23,0)+HLOOKUP(AB1,'השקעות 2012-2014'!$1:$140,126,0))</f>
        <v>715</v>
      </c>
      <c r="AC23" s="47">
        <f>+IF(HLOOKUP(AC1,'השקעות 2012-2014'!$1:$124,99,0)="לא",0,+HLOOKUP(AC1,'השקעות 2012-2014'!$1:$125,23,0)+HLOOKUP(AC1,'השקעות 2012-2014'!$1:$140,126,0))</f>
        <v>1571</v>
      </c>
      <c r="AD23" s="47">
        <f>+IF(HLOOKUP(AD1,'השקעות 2012-2014'!$1:$124,99,0)="לא",0,+HLOOKUP(AD1,'השקעות 2012-2014'!$1:$125,23,0)+HLOOKUP(AD1,'השקעות 2012-2014'!$1:$140,126,0))</f>
        <v>5098</v>
      </c>
      <c r="AE23" s="47">
        <f>+IF(HLOOKUP(AE1,'השקעות 2012-2014'!$1:$124,99,0)="לא",0,+HLOOKUP(AE1,'השקעות 2012-2014'!$1:$125,23,0)+HLOOKUP(AE1,'השקעות 2012-2014'!$1:$140,126,0))</f>
        <v>1121</v>
      </c>
      <c r="AF23" s="47">
        <f>+IF(HLOOKUP(AF1,'השקעות 2012-2014'!$1:$124,99,0)="לא",0,+HLOOKUP(AF1,'השקעות 2012-2014'!$1:$125,23,0)+HLOOKUP(AF1,'השקעות 2012-2014'!$1:$140,126,0))</f>
        <v>15418</v>
      </c>
      <c r="AG23" s="47">
        <f>+IF(HLOOKUP(AG1,'השקעות 2012-2014'!$1:$124,99,0)="לא",0,+HLOOKUP(AG1,'השקעות 2012-2014'!$1:$125,23,0)+HLOOKUP(AG1,'השקעות 2012-2014'!$1:$140,126,0))</f>
        <v>4686</v>
      </c>
      <c r="AH23" s="47">
        <f>+IF(HLOOKUP(AH1,'השקעות 2012-2014'!$1:$124,99,0)="לא",0,+HLOOKUP(AH1,'השקעות 2012-2014'!$1:$125,23,0)+HLOOKUP(AH1,'השקעות 2012-2014'!$1:$140,126,0))</f>
        <v>1683</v>
      </c>
      <c r="AI23" s="47">
        <f>+IF(HLOOKUP(AI1,'השקעות 2012-2014'!$1:$124,99,0)="לא",0,+HLOOKUP(AI1,'השקעות 2012-2014'!$1:$125,23,0)+HLOOKUP(AI1,'השקעות 2012-2014'!$1:$140,126,0))</f>
        <v>0</v>
      </c>
      <c r="AJ23" s="47">
        <f>+IF(HLOOKUP(AJ1,'השקעות 2012-2014'!$1:$124,99,0)="לא",0,+HLOOKUP(AJ1,'השקעות 2012-2014'!$1:$125,23,0)+HLOOKUP(AJ1,'השקעות 2012-2014'!$1:$140,126,0))</f>
        <v>0</v>
      </c>
      <c r="AK23" s="47">
        <f>+IF(HLOOKUP(AK1,'השקעות 2012-2014'!$1:$124,99,0)="לא",0,+HLOOKUP(AK1,'השקעות 2012-2014'!$1:$125,23,0)+HLOOKUP(AK1,'השקעות 2012-2014'!$1:$140,126,0))</f>
        <v>140</v>
      </c>
      <c r="AL23" s="47">
        <f>+IF(HLOOKUP(AL1,'השקעות 2012-2014'!$1:$124,99,0)="לא",0,+HLOOKUP(AL1,'השקעות 2012-2014'!$1:$125,23,0)+HLOOKUP(AL1,'השקעות 2012-2014'!$1:$140,126,0))</f>
        <v>0</v>
      </c>
      <c r="AM23" s="47">
        <f>+IF(HLOOKUP(AM1,'השקעות 2012-2014'!$1:$124,99,0)="לא",0,+HLOOKUP(AM1,'השקעות 2012-2014'!$1:$125,23,0)+HLOOKUP(AM1,'השקעות 2012-2014'!$1:$140,126,0))</f>
        <v>13688</v>
      </c>
      <c r="AN23" s="47">
        <f>+IF(HLOOKUP(AN1,'השקעות 2012-2014'!$1:$124,99,0)="לא",0,+HLOOKUP(AN1,'השקעות 2012-2014'!$1:$125,23,0)+HLOOKUP(AN1,'השקעות 2012-2014'!$1:$140,126,0))</f>
        <v>523</v>
      </c>
      <c r="AO23" s="47">
        <f>+IF(HLOOKUP(AO1,'השקעות 2012-2014'!$1:$124,99,0)="לא",0,+HLOOKUP(AO1,'השקעות 2012-2014'!$1:$125,23,0)+HLOOKUP(AO1,'השקעות 2012-2014'!$1:$140,126,0))</f>
        <v>3237</v>
      </c>
      <c r="AP23" s="47">
        <f>+IF(HLOOKUP(AP1,'השקעות 2012-2014'!$1:$124,99,0)="לא",0,+HLOOKUP(AP1,'השקעות 2012-2014'!$1:$125,23,0)+HLOOKUP(AP1,'השקעות 2012-2014'!$1:$140,126,0))</f>
        <v>280</v>
      </c>
      <c r="AQ23" s="47">
        <f>+IF(HLOOKUP(AQ1,'השקעות 2012-2014'!$1:$124,99,0)="לא",0,+HLOOKUP(AQ1,'השקעות 2012-2014'!$1:$125,23,0)+HLOOKUP(AQ1,'השקעות 2012-2014'!$1:$140,126,0))</f>
        <v>2665.4189999999999</v>
      </c>
      <c r="AR23" s="47">
        <f>+IF(HLOOKUP(AR1,'השקעות 2012-2014'!$1:$124,99,0)="לא",0,+HLOOKUP(AR1,'השקעות 2012-2014'!$1:$125,23,0)+HLOOKUP(AR1,'השקעות 2012-2014'!$1:$140,126,0))</f>
        <v>7210</v>
      </c>
      <c r="AS23" s="47">
        <f>+IF(HLOOKUP(AS1,'השקעות 2012-2014'!$1:$124,99,0)="לא",0,+HLOOKUP(AS1,'השקעות 2012-2014'!$1:$125,23,0)+HLOOKUP(AS1,'השקעות 2012-2014'!$1:$140,126,0))</f>
        <v>4324</v>
      </c>
      <c r="AT23" s="47">
        <f>+IF(HLOOKUP(AT1,'השקעות 2012-2014'!$1:$124,99,0)="לא",0,+HLOOKUP(AT1,'השקעות 2012-2014'!$1:$125,23,0)+HLOOKUP(AT1,'השקעות 2012-2014'!$1:$140,126,0))</f>
        <v>0</v>
      </c>
      <c r="AU23" s="47">
        <f>+IF(HLOOKUP(AU1,'השקעות 2012-2014'!$1:$124,99,0)="לא",0,+HLOOKUP(AU1,'השקעות 2012-2014'!$1:$125,23,0)+HLOOKUP(AU1,'השקעות 2012-2014'!$1:$140,126,0))</f>
        <v>684</v>
      </c>
      <c r="AV23" s="47">
        <f>+IF(HLOOKUP(AV1,'השקעות 2012-2014'!$1:$124,99,0)="לא",0,+HLOOKUP(AV1,'השקעות 2012-2014'!$1:$125,23,0)+HLOOKUP(AV1,'השקעות 2012-2014'!$1:$140,126,0))</f>
        <v>7536</v>
      </c>
      <c r="AW23" s="47">
        <f>+IF(HLOOKUP(AW1,'השקעות 2012-2014'!$1:$124,99,0)="לא",0,+HLOOKUP(AW1,'השקעות 2012-2014'!$1:$125,23,0)+HLOOKUP(AW1,'השקעות 2012-2014'!$1:$140,126,0))</f>
        <v>7950</v>
      </c>
      <c r="AX23" s="47">
        <f>+IF(HLOOKUP(AX1,'השקעות 2012-2014'!$1:$124,99,0)="לא",0,+HLOOKUP(AX1,'השקעות 2012-2014'!$1:$125,23,0)+HLOOKUP(AX1,'השקעות 2012-2014'!$1:$140,126,0))</f>
        <v>2359</v>
      </c>
      <c r="AY23" s="47">
        <f>+IF(HLOOKUP(AY1,'השקעות 2012-2014'!$1:$124,99,0)="לא",0,+HLOOKUP(AY1,'השקעות 2012-2014'!$1:$125,23,0)+HLOOKUP(AY1,'השקעות 2012-2014'!$1:$140,126,0))</f>
        <v>198</v>
      </c>
      <c r="AZ23" s="47">
        <f>+IF(HLOOKUP(AZ1,'השקעות 2012-2014'!$1:$124,99,0)="לא",0,+HLOOKUP(AZ1,'השקעות 2012-2014'!$1:$125,23,0)+HLOOKUP(AZ1,'השקעות 2012-2014'!$1:$140,126,0))</f>
        <v>222</v>
      </c>
      <c r="BA23" s="47">
        <f>+IF(HLOOKUP(BA1,'השקעות 2012-2014'!$1:$124,99,0)="לא",0,+HLOOKUP(BA1,'השקעות 2012-2014'!$1:$125,23,0)+HLOOKUP(BA1,'השקעות 2012-2014'!$1:$140,126,0))</f>
        <v>2166</v>
      </c>
      <c r="BB23" s="47">
        <f>+IF(HLOOKUP(BB1,'השקעות 2012-2014'!$1:$124,99,0)="לא",0,+HLOOKUP(BB1,'השקעות 2012-2014'!$1:$125,23,0)+HLOOKUP(BB1,'השקעות 2012-2014'!$1:$140,126,0))</f>
        <v>1732</v>
      </c>
      <c r="BC23" s="47">
        <f>+IF(HLOOKUP(BC1,'השקעות 2012-2014'!$1:$124,99,0)="לא",0,+HLOOKUP(BC1,'השקעות 2012-2014'!$1:$125,23,0)+HLOOKUP(BC1,'השקעות 2012-2014'!$1:$140,126,0))</f>
        <v>4889.3999999999996</v>
      </c>
      <c r="BD23" s="47">
        <f>+IF(HLOOKUP(BD1,'השקעות 2012-2014'!$1:$124,99,0)="לא",0,+HLOOKUP(BD1,'השקעות 2012-2014'!$1:$125,23,0)+HLOOKUP(BD1,'השקעות 2012-2014'!$1:$140,126,0))</f>
        <v>20173</v>
      </c>
      <c r="BE23" s="47">
        <f>+IF(HLOOKUP(BE1,'השקעות 2012-2014'!$1:$124,99,0)="לא",0,+HLOOKUP(BE1,'השקעות 2012-2014'!$1:$125,23,0)+HLOOKUP(BE1,'השקעות 2012-2014'!$1:$140,126,0))</f>
        <v>102</v>
      </c>
      <c r="BF23" s="47">
        <f>+IF(HLOOKUP(BF1,'השקעות 2012-2014'!$1:$124,99,0)="לא",0,+HLOOKUP(BF1,'השקעות 2012-2014'!$1:$125,23,0)+HLOOKUP(BF1,'השקעות 2012-2014'!$1:$140,126,0))</f>
        <v>0</v>
      </c>
    </row>
    <row r="24" spans="1:241" s="2" customFormat="1" x14ac:dyDescent="0.2">
      <c r="A24" s="810"/>
      <c r="B24" s="2">
        <v>2013</v>
      </c>
      <c r="D24" s="5">
        <f>+IF(HLOOKUP(D1,'השקעות 2012-2014'!$1:$124,101,0)="לא",0,+HLOOKUP(D1,'השקעות 2012-2014'!$1:$125,24,0)+HLOOKUP(D1,'השקעות 2012-2014'!$1:$124,106,0))</f>
        <v>12436</v>
      </c>
      <c r="E24" s="5">
        <f>+IF(HLOOKUP(E1,'השקעות 2012-2014'!$1:$124,99,0)="לא",0,+HLOOKUP(E1,'השקעות 2012-2014'!$1:$125,24,0)+HLOOKUP(E1,'השקעות 2012-2014'!$1:$124,106,0))</f>
        <v>2750</v>
      </c>
      <c r="F24" s="5">
        <f>+IF(HLOOKUP(F1,'השקעות 2012-2014'!$1:$124,99,0)="לא",0,+HLOOKUP(F1,'השקעות 2012-2014'!$1:$125,24,0)+HLOOKUP(F1,'השקעות 2012-2014'!$1:$124,106,0))</f>
        <v>2338</v>
      </c>
      <c r="G24" s="5">
        <f>+IF(HLOOKUP(G1,'השקעות 2012-2014'!$1:$124,99,0)="לא",0,+HLOOKUP(G1,'השקעות 2012-2014'!$1:$125,24,0)+HLOOKUP(G1,'השקעות 2012-2014'!$1:$124,106,0))</f>
        <v>1243</v>
      </c>
      <c r="H24" s="5">
        <f>+IF(HLOOKUP(H1,'השקעות 2012-2014'!$1:$124,99,0)="לא",0,+HLOOKUP(H1,'השקעות 2012-2014'!$1:$125,24,0)+HLOOKUP(H1,'השקעות 2012-2014'!$1:$124,106,0))</f>
        <v>2338</v>
      </c>
      <c r="I24" s="5">
        <f>+IF(HLOOKUP(I1,'השקעות 2012-2014'!$1:$124,99,0)="לא",0,+HLOOKUP(I1,'השקעות 2012-2014'!$1:$125,24,0)+HLOOKUP(I1,'השקעות 2012-2014'!$1:$124,106,0))</f>
        <v>53781</v>
      </c>
      <c r="J24" s="5">
        <f>+IF(HLOOKUP(J1,'השקעות 2012-2014'!$1:$124,99,0)="לא",0,+HLOOKUP(J1,'השקעות 2012-2014'!$1:$125,24,0)+HLOOKUP(J1,'השקעות 2012-2014'!$1:$124,106,0))</f>
        <v>16406</v>
      </c>
      <c r="K24" s="5">
        <f>+IF(HLOOKUP(K1,'השקעות 2012-2014'!$1:$124,99,0)="לא",0,+HLOOKUP(K1,'השקעות 2012-2014'!$1:$125,24,0)+HLOOKUP(K1,'השקעות 2012-2014'!$1:$124,106,0))</f>
        <v>3971</v>
      </c>
      <c r="L24" s="5">
        <f>+IF(HLOOKUP(L1,'השקעות 2012-2014'!$1:$124,99,0)="לא",0,+HLOOKUP(L1,'השקעות 2012-2014'!$1:$125,24,0)+HLOOKUP(L1,'השקעות 2012-2014'!$1:$124,106,0))</f>
        <v>2579</v>
      </c>
      <c r="M24" s="5">
        <f>+IF(HLOOKUP(M1,'השקעות 2012-2014'!$1:$124,99,0)="לא",0,+HLOOKUP(M1,'השקעות 2012-2014'!$1:$125,24,0)+HLOOKUP(M1,'השקעות 2012-2014'!$1:$124,106,0))</f>
        <v>3520</v>
      </c>
      <c r="N24" s="5">
        <f>+IF(HLOOKUP(N1,'השקעות 2012-2014'!$1:$124,99,0)="לא",0,+HLOOKUP(N1,'השקעות 2012-2014'!$1:$125,24,0)+HLOOKUP(N1,'השקעות 2012-2014'!$1:$124,106,0))</f>
        <v>3097</v>
      </c>
      <c r="O24" s="5">
        <f>+IF(HLOOKUP(O1,'השקעות 2012-2014'!$1:$124,99,0)="לא",0,+HLOOKUP(O1,'השקעות 2012-2014'!$1:$125,24,0)+HLOOKUP(O1,'השקעות 2012-2014'!$1:$124,106,0))</f>
        <v>3546</v>
      </c>
      <c r="P24" s="5">
        <f>+IF(HLOOKUP(P1,'השקעות 2012-2014'!$1:$124,99,0)="לא",0,+HLOOKUP(P1,'השקעות 2012-2014'!$1:$125,24,0)+HLOOKUP(P1,'השקעות 2012-2014'!$1:$124,106,0))</f>
        <v>11982</v>
      </c>
      <c r="Q24" s="5">
        <f>+IF(HLOOKUP(Q1,'השקעות 2012-2014'!$1:$124,99,0)="לא",0,+HLOOKUP(Q1,'השקעות 2012-2014'!$1:$125,24,0)+HLOOKUP(Q1,'השקעות 2012-2014'!$1:$124,106,0))</f>
        <v>18221</v>
      </c>
      <c r="R24" s="5">
        <f>+IF(HLOOKUP(R1,'השקעות 2012-2014'!$1:$124,99,0)="לא",0,+HLOOKUP(R1,'השקעות 2012-2014'!$1:$125,24,0)+HLOOKUP(R1,'השקעות 2012-2014'!$1:$124,106,0))</f>
        <v>2896</v>
      </c>
      <c r="S24" s="5">
        <f>+IF(HLOOKUP(S1,'השקעות 2012-2014'!$1:$124,99,0)="לא",0,+HLOOKUP(S1,'השקעות 2012-2014'!$1:$125,24,0)+HLOOKUP(S1,'השקעות 2012-2014'!$1:$124,106,0))</f>
        <v>8368.634</v>
      </c>
      <c r="T24" s="5">
        <f>+IF(HLOOKUP(T1,'השקעות 2012-2014'!$1:$124,99,0)="לא",0,+HLOOKUP(T1,'השקעות 2012-2014'!$1:$125,24,0)+HLOOKUP(T1,'השקעות 2012-2014'!$1:$124,106,0))</f>
        <v>2357</v>
      </c>
      <c r="U24" s="5">
        <f>+IF(HLOOKUP(U1,'השקעות 2012-2014'!$1:$124,99,0)="לא",0,+HLOOKUP(U1,'השקעות 2012-2014'!$1:$125,24,0)+HLOOKUP(U1,'השקעות 2012-2014'!$1:$124,106,0))</f>
        <v>4090</v>
      </c>
      <c r="V24" s="5">
        <f>+IF(HLOOKUP(V1,'השקעות 2012-2014'!$1:$124,99,0)="לא",0,+HLOOKUP(V1,'השקעות 2012-2014'!$1:$125,24,0)+HLOOKUP(V1,'השקעות 2012-2014'!$1:$124,106,0))</f>
        <v>4800</v>
      </c>
      <c r="W24" s="5">
        <f>+IF(HLOOKUP(W1,'השקעות 2012-2014'!$1:$124,99,0)="לא",0,+HLOOKUP(W1,'השקעות 2012-2014'!$1:$125,24,0)+HLOOKUP(W1,'השקעות 2012-2014'!$1:$124,106,0))</f>
        <v>2655</v>
      </c>
      <c r="X24" s="5">
        <f>+IF(HLOOKUP(X1,'השקעות 2012-2014'!$1:$124,99,0)="לא",0,+HLOOKUP(X1,'השקעות 2012-2014'!$1:$125,24,0)+HLOOKUP(X1,'השקעות 2012-2014'!$1:$124,106,0))</f>
        <v>5886.1540000000005</v>
      </c>
      <c r="Y24" s="5">
        <f>+IF(HLOOKUP(Y1,'השקעות 2012-2014'!$1:$124,99,0)="לא",0,+HLOOKUP(Y1,'השקעות 2012-2014'!$1:$125,24,0)+HLOOKUP(Y1,'השקעות 2012-2014'!$1:$124,106,0))</f>
        <v>12906</v>
      </c>
      <c r="Z24" s="5">
        <f>+IF(HLOOKUP(Z1,'השקעות 2012-2014'!$1:$124,99,0)="לא",0,+HLOOKUP(Z1,'השקעות 2012-2014'!$1:$125,24,0)+HLOOKUP(Z1,'השקעות 2012-2014'!$1:$124,106,0))</f>
        <v>1453</v>
      </c>
      <c r="AA24" s="5">
        <f>+IF(HLOOKUP(AA1,'השקעות 2012-2014'!$1:$124,99,0)="לא",0,+HLOOKUP(AA1,'השקעות 2012-2014'!$1:$125,24,0)+HLOOKUP(AA1,'השקעות 2012-2014'!$1:$124,106,0))</f>
        <v>7739</v>
      </c>
      <c r="AB24" s="5">
        <f>+IF(HLOOKUP(AB1,'השקעות 2012-2014'!$1:$124,99,0)="לא",0,+HLOOKUP(AB1,'השקעות 2012-2014'!$1:$125,24,0)+HLOOKUP(AB1,'השקעות 2012-2014'!$1:$124,106,0))</f>
        <v>3454</v>
      </c>
      <c r="AC24" s="5">
        <f>+IF(HLOOKUP(AC1,'השקעות 2012-2014'!$1:$124,99,0)="לא",0,+HLOOKUP(AC1,'השקעות 2012-2014'!$1:$125,24,0)+HLOOKUP(AC1,'השקעות 2012-2014'!$1:$124,106,0))</f>
        <v>5373</v>
      </c>
      <c r="AD24" s="5">
        <f>+IF(HLOOKUP(AD1,'השקעות 2012-2014'!$1:$124,99,0)="לא",0,+HLOOKUP(AD1,'השקעות 2012-2014'!$1:$125,24,0)+HLOOKUP(AD1,'השקעות 2012-2014'!$1:$124,106,0))</f>
        <v>5368</v>
      </c>
      <c r="AE24" s="5">
        <f>+IF(HLOOKUP(AE1,'השקעות 2012-2014'!$1:$124,99,0)="לא",0,+HLOOKUP(AE1,'השקעות 2012-2014'!$1:$125,24,0)+HLOOKUP(AE1,'השקעות 2012-2014'!$1:$124,106,0))</f>
        <v>3963</v>
      </c>
      <c r="AF24" s="5">
        <f>+IF(HLOOKUP(AF1,'השקעות 2012-2014'!$1:$124,99,0)="לא",0,+HLOOKUP(AF1,'השקעות 2012-2014'!$1:$125,24,0)+HLOOKUP(AF1,'השקעות 2012-2014'!$1:$124,106,0))</f>
        <v>7997</v>
      </c>
      <c r="AG24" s="5">
        <f>+IF(HLOOKUP(AG1,'השקעות 2012-2014'!$1:$124,99,0)="לא",0,+HLOOKUP(AG1,'השקעות 2012-2014'!$1:$125,24,0)+HLOOKUP(AG1,'השקעות 2012-2014'!$1:$124,106,0))</f>
        <v>4466</v>
      </c>
      <c r="AH24" s="5">
        <f>+IF(HLOOKUP(AH1,'השקעות 2012-2014'!$1:$124,99,0)="לא",0,+HLOOKUP(AH1,'השקעות 2012-2014'!$1:$125,24,0)+HLOOKUP(AH1,'השקעות 2012-2014'!$1:$124,106,0))</f>
        <v>1211</v>
      </c>
      <c r="AI24" s="5">
        <f>+IF(HLOOKUP(AI1,'השקעות 2012-2014'!$1:$124,99,0)="לא",0,+HLOOKUP(AI1,'השקעות 2012-2014'!$1:$125,24,0)+HLOOKUP(AI1,'השקעות 2012-2014'!$1:$124,106,0))</f>
        <v>214</v>
      </c>
      <c r="AJ24" s="5">
        <f>+IF(HLOOKUP(AJ1,'השקעות 2012-2014'!$1:$124,99,0)="לא",0,+HLOOKUP(AJ1,'השקעות 2012-2014'!$1:$125,24,0)+HLOOKUP(AJ1,'השקעות 2012-2014'!$1:$124,106,0))</f>
        <v>0</v>
      </c>
      <c r="AK24" s="5">
        <f>+IF(HLOOKUP(AK1,'השקעות 2012-2014'!$1:$124,99,0)="לא",0,+HLOOKUP(AK1,'השקעות 2012-2014'!$1:$125,24,0)+HLOOKUP(AK1,'השקעות 2012-2014'!$1:$124,106,0))</f>
        <v>696</v>
      </c>
      <c r="AL24" s="5">
        <f>+IF(HLOOKUP(AL1,'השקעות 2012-2014'!$1:$124,99,0)="לא",0,+HLOOKUP(AL1,'השקעות 2012-2014'!$1:$125,24,0)+HLOOKUP(AL1,'השקעות 2012-2014'!$1:$124,106,0))</f>
        <v>718</v>
      </c>
      <c r="AM24" s="5">
        <f>+IF(HLOOKUP(AM1,'השקעות 2012-2014'!$1:$124,99,0)="לא",0,+HLOOKUP(AM1,'השקעות 2012-2014'!$1:$125,24,0)+HLOOKUP(AM1,'השקעות 2012-2014'!$1:$124,106,0))</f>
        <v>16875</v>
      </c>
      <c r="AN24" s="5">
        <f>+IF(HLOOKUP(AN1,'השקעות 2012-2014'!$1:$124,99,0)="לא",0,+HLOOKUP(AN1,'השקעות 2012-2014'!$1:$125,24,0)+HLOOKUP(AN1,'השקעות 2012-2014'!$1:$124,106,0))</f>
        <v>2795</v>
      </c>
      <c r="AO24" s="5">
        <f>+IF(HLOOKUP(AO1,'השקעות 2012-2014'!$1:$124,99,0)="לא",0,+HLOOKUP(AO1,'השקעות 2012-2014'!$1:$125,24,0)+HLOOKUP(AO1,'השקעות 2012-2014'!$1:$124,106,0))</f>
        <v>8447</v>
      </c>
      <c r="AP24" s="5">
        <f>+IF(HLOOKUP(AP1,'השקעות 2012-2014'!$1:$124,99,0)="לא",0,+HLOOKUP(AP1,'השקעות 2012-2014'!$1:$125,24,0)+HLOOKUP(AP1,'השקעות 2012-2014'!$1:$124,106,0))</f>
        <v>4203</v>
      </c>
      <c r="AQ24" s="5">
        <f>+IF(HLOOKUP(AQ1,'השקעות 2012-2014'!$1:$124,99,0)="לא",0,+HLOOKUP(AQ1,'השקעות 2012-2014'!$1:$125,24,0)+HLOOKUP(AQ1,'השקעות 2012-2014'!$1:$124,106,0))</f>
        <v>7517</v>
      </c>
      <c r="AR24" s="5">
        <f>+IF(HLOOKUP(AR1,'השקעות 2012-2014'!$1:$124,99,0)="לא",0,+HLOOKUP(AR1,'השקעות 2012-2014'!$1:$125,24,0)+HLOOKUP(AR1,'השקעות 2012-2014'!$1:$124,106,0))</f>
        <v>16060</v>
      </c>
      <c r="AS24" s="5">
        <f>+IF(HLOOKUP(AS1,'השקעות 2012-2014'!$1:$124,99,0)="לא",0,+HLOOKUP(AS1,'השקעות 2012-2014'!$1:$125,24,0)+HLOOKUP(AS1,'השקעות 2012-2014'!$1:$124,106,0))</f>
        <v>3185</v>
      </c>
      <c r="AT24" s="5">
        <f>+IF(HLOOKUP(AT1,'השקעות 2012-2014'!$1:$124,99,0)="לא",0,+HLOOKUP(AT1,'השקעות 2012-2014'!$1:$125,24,0)+HLOOKUP(AT1,'השקעות 2012-2014'!$1:$124,106,0))</f>
        <v>0</v>
      </c>
      <c r="AU24" s="5">
        <f>+IF(HLOOKUP(AU1,'השקעות 2012-2014'!$1:$124,99,0)="לא",0,+HLOOKUP(AU1,'השקעות 2012-2014'!$1:$125,24,0)+HLOOKUP(AU1,'השקעות 2012-2014'!$1:$124,106,0))</f>
        <v>1516.146</v>
      </c>
      <c r="AV24" s="5">
        <f>+IF(HLOOKUP(AV1,'השקעות 2012-2014'!$1:$124,99,0)="לא",0,+HLOOKUP(AV1,'השקעות 2012-2014'!$1:$125,24,0)+HLOOKUP(AV1,'השקעות 2012-2014'!$1:$124,106,0))</f>
        <v>14253</v>
      </c>
      <c r="AW24" s="5">
        <f>+IF(HLOOKUP(AW1,'השקעות 2012-2014'!$1:$124,99,0)="לא",0,+HLOOKUP(AW1,'השקעות 2012-2014'!$1:$125,24,0)+HLOOKUP(AW1,'השקעות 2012-2014'!$1:$124,106,0))</f>
        <v>10500</v>
      </c>
      <c r="AX24" s="5">
        <f>+IF(HLOOKUP(AX1,'השקעות 2012-2014'!$1:$124,99,0)="לא",0,+HLOOKUP(AX1,'השקעות 2012-2014'!$1:$125,24,0)+HLOOKUP(AX1,'השקעות 2012-2014'!$1:$124,106,0))</f>
        <v>317</v>
      </c>
      <c r="AY24" s="5">
        <f>+IF(HLOOKUP(AY1,'השקעות 2012-2014'!$1:$124,99,0)="לא",0,+HLOOKUP(AY1,'השקעות 2012-2014'!$1:$125,24,0)+HLOOKUP(AY1,'השקעות 2012-2014'!$1:$124,106,0))</f>
        <v>4191.8950000000004</v>
      </c>
      <c r="AZ24" s="5">
        <f>+IF(HLOOKUP(AZ1,'השקעות 2012-2014'!$1:$124,99,0)="לא",0,+HLOOKUP(AZ1,'השקעות 2012-2014'!$1:$125,24,0)+HLOOKUP(AZ1,'השקעות 2012-2014'!$1:$124,106,0))</f>
        <v>71</v>
      </c>
      <c r="BA24" s="5">
        <f>+IF(HLOOKUP(BA1,'השקעות 2012-2014'!$1:$124,99,0)="לא",0,+HLOOKUP(BA1,'השקעות 2012-2014'!$1:$125,24,0)+HLOOKUP(BA1,'השקעות 2012-2014'!$1:$124,106,0))</f>
        <v>8106</v>
      </c>
      <c r="BB24" s="5">
        <f>+IF(HLOOKUP(BB1,'השקעות 2012-2014'!$1:$124,99,0)="לא",0,+HLOOKUP(BB1,'השקעות 2012-2014'!$1:$125,24,0)+HLOOKUP(BB1,'השקעות 2012-2014'!$1:$124,106,0))</f>
        <v>6882</v>
      </c>
      <c r="BC24" s="5">
        <f>+IF(HLOOKUP(BC1,'השקעות 2012-2014'!$1:$124,99,0)="לא",0,+HLOOKUP(BC1,'השקעות 2012-2014'!$1:$125,24,0)+HLOOKUP(BC1,'השקעות 2012-2014'!$1:$124,106,0))</f>
        <v>4878.3999999999996</v>
      </c>
      <c r="BD24" s="5">
        <f>+IF(HLOOKUP(BD1,'השקעות 2012-2014'!$1:$124,99,0)="לא",0,+HLOOKUP(BD1,'השקעות 2012-2014'!$1:$125,24,0)+HLOOKUP(BD1,'השקעות 2012-2014'!$1:$124,106,0))</f>
        <v>7556</v>
      </c>
      <c r="BE24" s="5">
        <f>+IF(HLOOKUP(BE1,'השקעות 2012-2014'!$1:$124,99,0)="לא",0,+HLOOKUP(BE1,'השקעות 2012-2014'!$1:$125,24,0)+HLOOKUP(BE1,'השקעות 2012-2014'!$1:$124,106,0))</f>
        <v>3870</v>
      </c>
      <c r="BF24" s="5">
        <f>+IF(HLOOKUP(BF1,'השקעות 2012-2014'!$1:$124,99,0)="לא",0,+HLOOKUP(BF1,'השקעות 2012-2014'!$1:$125,24,0)+HLOOKUP(BF1,'השקעות 2012-2014'!$1:$124,106,0))</f>
        <v>1969</v>
      </c>
    </row>
    <row r="25" spans="1:241" s="2" customFormat="1" x14ac:dyDescent="0.2">
      <c r="B25" s="5">
        <v>2014</v>
      </c>
      <c r="D25" s="5">
        <f>+IF(HLOOKUP(D1,'השקעות 2012-2014'!$1:$124,101,0)="לא",0,+HLOOKUP(D1,'השקעות 2012-2014'!$1:$125,25,0)+HLOOKUP(D1,'השקעות 2012-2014'!$1:$124,116,0))</f>
        <v>12355</v>
      </c>
      <c r="E25" s="5">
        <f>+IF(HLOOKUP(E1,'השקעות 2012-2014'!$1:$124,101,0)="לא",0,+HLOOKUP(E1,'השקעות 2012-2014'!$1:$125,25,0)+HLOOKUP(E1,'השקעות 2012-2014'!$1:$124,116,0))</f>
        <v>6803</v>
      </c>
      <c r="F25" s="5">
        <f>+IF(HLOOKUP(F1,'השקעות 2012-2014'!$1:$124,101,0)="לא",0,+HLOOKUP(F1,'השקעות 2012-2014'!$1:$125,25,0)+HLOOKUP(F1,'השקעות 2012-2014'!$1:$124,116,0))</f>
        <v>10795</v>
      </c>
      <c r="G25" s="5">
        <f>+IF(HLOOKUP(G1,'השקעות 2012-2014'!$1:$124,101,0)="לא",0,+HLOOKUP(G1,'השקעות 2012-2014'!$1:$125,25,0)+HLOOKUP(G1,'השקעות 2012-2014'!$1:$124,116,0))</f>
        <v>2336</v>
      </c>
      <c r="H25" s="5">
        <f>+IF(HLOOKUP(H1,'השקעות 2012-2014'!$1:$124,101,0)="לא",0,+HLOOKUP(H1,'השקעות 2012-2014'!$1:$125,25,0)+HLOOKUP(H1,'השקעות 2012-2014'!$1:$124,116,0))</f>
        <v>5034</v>
      </c>
      <c r="I25" s="5">
        <f>+IF(HLOOKUP(I1,'השקעות 2012-2014'!$1:$124,101,0)="לא",0,+HLOOKUP(I1,'השקעות 2012-2014'!$1:$125,25,0)+HLOOKUP(I1,'השקעות 2012-2014'!$1:$124,116,0))</f>
        <v>38605</v>
      </c>
      <c r="J25" s="5">
        <f>+IF(HLOOKUP(J1,'השקעות 2012-2014'!$1:$124,101,0)="לא",0,+HLOOKUP(J1,'השקעות 2012-2014'!$1:$125,25,0)+HLOOKUP(J1,'השקעות 2012-2014'!$1:$124,116,0))</f>
        <v>35729</v>
      </c>
      <c r="K25" s="5">
        <f>+IF(HLOOKUP(K1,'השקעות 2012-2014'!$1:$124,101,0)="לא",0,+HLOOKUP(K1,'השקעות 2012-2014'!$1:$125,25,0)+HLOOKUP(K1,'השקעות 2012-2014'!$1:$124,116,0))</f>
        <v>784</v>
      </c>
      <c r="L25" s="5">
        <f>+IF(HLOOKUP(L1,'השקעות 2012-2014'!$1:$124,101,0)="לא",0,+HLOOKUP(L1,'השקעות 2012-2014'!$1:$125,25,0)+HLOOKUP(L1,'השקעות 2012-2014'!$1:$124,116,0))</f>
        <v>4992</v>
      </c>
      <c r="M25" s="5">
        <f>+IF(HLOOKUP(M1,'השקעות 2012-2014'!$1:$124,101,0)="לא",0,+HLOOKUP(M1,'השקעות 2012-2014'!$1:$125,25,0)+HLOOKUP(M1,'השקעות 2012-2014'!$1:$124,116,0))</f>
        <v>1725</v>
      </c>
      <c r="N25" s="5">
        <f>+IF(HLOOKUP(N1,'השקעות 2012-2014'!$1:$124,101,0)="לא",0,+HLOOKUP(N1,'השקעות 2012-2014'!$1:$125,25,0)+HLOOKUP(N1,'השקעות 2012-2014'!$1:$124,116,0))</f>
        <v>2822</v>
      </c>
      <c r="O25" s="5">
        <f>+IF(HLOOKUP(O1,'השקעות 2012-2014'!$1:$124,101,0)="לא",0,+HLOOKUP(O1,'השקעות 2012-2014'!$1:$125,25,0)+HLOOKUP(O1,'השקעות 2012-2014'!$1:$124,116,0))</f>
        <v>25361</v>
      </c>
      <c r="P25" s="5">
        <f>+IF(HLOOKUP(P1,'השקעות 2012-2014'!$1:$124,101,0)="לא",0,+HLOOKUP(P1,'השקעות 2012-2014'!$1:$125,25,0)+HLOOKUP(P1,'השקעות 2012-2014'!$1:$124,116,0))</f>
        <v>22638</v>
      </c>
      <c r="Q25" s="5">
        <f>+IF(HLOOKUP(Q1,'השקעות 2012-2014'!$1:$124,101,0)="לא",0,+HLOOKUP(Q1,'השקעות 2012-2014'!$1:$125,25,0)+HLOOKUP(Q1,'השקעות 2012-2014'!$1:$124,116,0))</f>
        <v>4491</v>
      </c>
      <c r="R25" s="5">
        <f>+IF(HLOOKUP(R1,'השקעות 2012-2014'!$1:$124,101,0)="לא",0,+HLOOKUP(R1,'השקעות 2012-2014'!$1:$125,25,0)+HLOOKUP(R1,'השקעות 2012-2014'!$1:$124,116,0))</f>
        <v>5289</v>
      </c>
      <c r="S25" s="5">
        <f>+IF(HLOOKUP(S1,'השקעות 2012-2014'!$1:$124,101,0)="לא",0,+HLOOKUP(S1,'השקעות 2012-2014'!$1:$125,25,0)+HLOOKUP(S1,'השקעות 2012-2014'!$1:$124,116,0))</f>
        <v>6693</v>
      </c>
      <c r="T25" s="5">
        <f>+IF(HLOOKUP(T1,'השקעות 2012-2014'!$1:$124,101,0)="לא",0,+HLOOKUP(T1,'השקעות 2012-2014'!$1:$125,25,0)+HLOOKUP(T1,'השקעות 2012-2014'!$1:$124,116,0))</f>
        <v>2165</v>
      </c>
      <c r="U25" s="5">
        <f>+IF(HLOOKUP(U1,'השקעות 2012-2014'!$1:$124,101,0)="לא",0,+HLOOKUP(U1,'השקעות 2012-2014'!$1:$125,25,0)+HLOOKUP(U1,'השקעות 2012-2014'!$1:$124,116,0))</f>
        <v>1610</v>
      </c>
      <c r="V25" s="5">
        <f>+IF(HLOOKUP(V1,'השקעות 2012-2014'!$1:$124,101,0)="לא",0,+HLOOKUP(V1,'השקעות 2012-2014'!$1:$125,25,0)+HLOOKUP(V1,'השקעות 2012-2014'!$1:$124,116,0))</f>
        <v>5314</v>
      </c>
      <c r="W25" s="5">
        <f>+IF(HLOOKUP(W1,'השקעות 2012-2014'!$1:$124,101,0)="לא",0,+HLOOKUP(W1,'השקעות 2012-2014'!$1:$125,25,0)+HLOOKUP(W1,'השקעות 2012-2014'!$1:$124,116,0))</f>
        <v>9109</v>
      </c>
      <c r="X25" s="5">
        <f>+IF(HLOOKUP(X1,'השקעות 2012-2014'!$1:$124,101,0)="לא",0,+HLOOKUP(X1,'השקעות 2012-2014'!$1:$125,25,0)+HLOOKUP(X1,'השקעות 2012-2014'!$1:$124,116,0))</f>
        <v>5622</v>
      </c>
      <c r="Y25" s="5">
        <f>+IF(HLOOKUP(Y1,'השקעות 2012-2014'!$1:$124,101,0)="לא",0,+HLOOKUP(Y1,'השקעות 2012-2014'!$1:$125,25,0)+HLOOKUP(Y1,'השקעות 2012-2014'!$1:$124,116,0))</f>
        <v>15398</v>
      </c>
      <c r="Z25" s="5">
        <f>+IF(HLOOKUP(Z1,'השקעות 2012-2014'!$1:$124,101,0)="לא",0,+HLOOKUP(Z1,'השקעות 2012-2014'!$1:$125,25,0)+HLOOKUP(Z1,'השקעות 2012-2014'!$1:$124,116,0))</f>
        <v>3154</v>
      </c>
      <c r="AA25" s="5">
        <f>+IF(HLOOKUP(AA1,'השקעות 2012-2014'!$1:$124,101,0)="לא",0,+HLOOKUP(AA1,'השקעות 2012-2014'!$1:$125,25,0)+HLOOKUP(AA1,'השקעות 2012-2014'!$1:$124,116,0))</f>
        <v>10800</v>
      </c>
      <c r="AB25" s="5">
        <f>+IF(HLOOKUP(AB1,'השקעות 2012-2014'!$1:$124,101,0)="לא",0,+HLOOKUP(AB1,'השקעות 2012-2014'!$1:$125,25,0)+HLOOKUP(AB1,'השקעות 2012-2014'!$1:$124,116,0))</f>
        <v>1643</v>
      </c>
      <c r="AC25" s="5">
        <f>+IF(HLOOKUP(AC1,'השקעות 2012-2014'!$1:$124,101,0)="לא",0,+HLOOKUP(AC1,'השקעות 2012-2014'!$1:$125,25,0)+HLOOKUP(AC1,'השקעות 2012-2014'!$1:$124,116,0))</f>
        <v>3751</v>
      </c>
      <c r="AD25" s="5">
        <f>+IF(HLOOKUP(AD1,'השקעות 2012-2014'!$1:$124,101,0)="לא",0,+HLOOKUP(AD1,'השקעות 2012-2014'!$1:$125,25,0)+HLOOKUP(AD1,'השקעות 2012-2014'!$1:$124,116,0))</f>
        <v>8502</v>
      </c>
      <c r="AE25" s="5">
        <f>+IF(HLOOKUP(AE1,'השקעות 2012-2014'!$1:$124,101,0)="לא",0,+HLOOKUP(AE1,'השקעות 2012-2014'!$1:$125,25,0)+HLOOKUP(AE1,'השקעות 2012-2014'!$1:$124,116,0))</f>
        <v>2468</v>
      </c>
      <c r="AF25" s="5">
        <f>+IF(HLOOKUP(AF1,'השקעות 2012-2014'!$1:$124,101,0)="לא",0,+HLOOKUP(AF1,'השקעות 2012-2014'!$1:$125,25,0)+HLOOKUP(AF1,'השקעות 2012-2014'!$1:$124,116,0))</f>
        <v>16117</v>
      </c>
      <c r="AG25" s="5">
        <f>+IF(HLOOKUP(AG1,'השקעות 2012-2014'!$1:$124,101,0)="לא",0,+HLOOKUP(AG1,'השקעות 2012-2014'!$1:$125,25,0)+HLOOKUP(AG1,'השקעות 2012-2014'!$1:$124,116,0))</f>
        <v>13426</v>
      </c>
      <c r="AH25" s="5">
        <f>+IF(HLOOKUP(AH1,'השקעות 2012-2014'!$1:$124,101,0)="לא",0,+HLOOKUP(AH1,'השקעות 2012-2014'!$1:$125,25,0)+HLOOKUP(AH1,'השקעות 2012-2014'!$1:$124,116,0))</f>
        <v>3242</v>
      </c>
      <c r="AI25" s="5">
        <f>+IF(HLOOKUP(AI1,'השקעות 2012-2014'!$1:$124,101,0)="לא",0,+HLOOKUP(AI1,'השקעות 2012-2014'!$1:$125,25,0)+HLOOKUP(AI1,'השקעות 2012-2014'!$1:$124,116,0))</f>
        <v>0</v>
      </c>
      <c r="AJ25" s="5">
        <f>+IF(HLOOKUP(AJ1,'השקעות 2012-2014'!$1:$124,101,0)="לא",0,+HLOOKUP(AJ1,'השקעות 2012-2014'!$1:$125,25,0)+HLOOKUP(AJ1,'השקעות 2012-2014'!$1:$124,116,0))</f>
        <v>3</v>
      </c>
      <c r="AK25" s="5">
        <f>+IF(HLOOKUP(AK1,'השקעות 2012-2014'!$1:$124,101,0)="לא",0,+HLOOKUP(AK1,'השקעות 2012-2014'!$1:$125,25,0)+HLOOKUP(AK1,'השקעות 2012-2014'!$1:$124,116,0))</f>
        <v>691</v>
      </c>
      <c r="AL25" s="5">
        <f>+IF(HLOOKUP(AL1,'השקעות 2012-2014'!$1:$124,101,0)="לא",0,+HLOOKUP(AL1,'השקעות 2012-2014'!$1:$125,25,0)+HLOOKUP(AL1,'השקעות 2012-2014'!$1:$124,116,0))</f>
        <v>448</v>
      </c>
      <c r="AM25" s="5">
        <f>+IF(HLOOKUP(AM1,'השקעות 2012-2014'!$1:$124,101,0)="לא",0,+HLOOKUP(AM1,'השקעות 2012-2014'!$1:$125,25,0)+HLOOKUP(AM1,'השקעות 2012-2014'!$1:$124,116,0))</f>
        <v>11097</v>
      </c>
      <c r="AN25" s="5">
        <f>+IF(HLOOKUP(AN1,'השקעות 2012-2014'!$1:$124,101,0)="לא",0,+HLOOKUP(AN1,'השקעות 2012-2014'!$1:$125,25,0)+HLOOKUP(AN1,'השקעות 2012-2014'!$1:$124,116,0))</f>
        <v>1350</v>
      </c>
      <c r="AO25" s="5">
        <f>+IF(HLOOKUP(AO1,'השקעות 2012-2014'!$1:$124,101,0)="לא",0,+HLOOKUP(AO1,'השקעות 2012-2014'!$1:$125,25,0)+HLOOKUP(AO1,'השקעות 2012-2014'!$1:$124,116,0))</f>
        <v>1956</v>
      </c>
      <c r="AP25" s="5">
        <f>+IF(HLOOKUP(AP1,'השקעות 2012-2014'!$1:$124,101,0)="לא",0,+HLOOKUP(AP1,'השקעות 2012-2014'!$1:$125,25,0)+HLOOKUP(AP1,'השקעות 2012-2014'!$1:$124,116,0))</f>
        <v>7030</v>
      </c>
      <c r="AQ25" s="5">
        <f>+IF(HLOOKUP(AQ1,'השקעות 2012-2014'!$1:$124,101,0)="לא",0,+HLOOKUP(AQ1,'השקעות 2012-2014'!$1:$125,25,0)+HLOOKUP(AQ1,'השקעות 2012-2014'!$1:$124,116,0))</f>
        <v>1380</v>
      </c>
      <c r="AR25" s="5">
        <f>+IF(HLOOKUP(AR1,'השקעות 2012-2014'!$1:$124,101,0)="לא",0,+HLOOKUP(AR1,'השקעות 2012-2014'!$1:$125,25,0)+HLOOKUP(AR1,'השקעות 2012-2014'!$1:$124,116,0))</f>
        <v>8423</v>
      </c>
      <c r="AS25" s="5">
        <f>+IF(HLOOKUP(AS1,'השקעות 2012-2014'!$1:$124,101,0)="לא",0,+HLOOKUP(AS1,'השקעות 2012-2014'!$1:$125,25,0)+HLOOKUP(AS1,'השקעות 2012-2014'!$1:$124,116,0))</f>
        <v>2758</v>
      </c>
      <c r="AT25" s="5">
        <f>+IF(HLOOKUP(AT1,'השקעות 2012-2014'!$1:$124,101,0)="לא",0,+HLOOKUP(AT1,'השקעות 2012-2014'!$1:$125,25,0)+HLOOKUP(AT1,'השקעות 2012-2014'!$1:$124,116,0))</f>
        <v>0</v>
      </c>
      <c r="AU25" s="5">
        <f>+IF(HLOOKUP(AU1,'השקעות 2012-2014'!$1:$124,101,0)="לא",0,+HLOOKUP(AU1,'השקעות 2012-2014'!$1:$125,25,0)+HLOOKUP(AU1,'השקעות 2012-2014'!$1:$124,116,0))</f>
        <v>6731</v>
      </c>
      <c r="AV25" s="5">
        <f>+IF(HLOOKUP(AV1,'השקעות 2012-2014'!$1:$124,101,0)="לא",0,+HLOOKUP(AV1,'השקעות 2012-2014'!$1:$125,25,0)+HLOOKUP(AV1,'השקעות 2012-2014'!$1:$124,116,0))</f>
        <v>8040</v>
      </c>
      <c r="AW25" s="5">
        <f>+IF(HLOOKUP(AW1,'השקעות 2012-2014'!$1:$124,101,0)="לא",0,+HLOOKUP(AW1,'השקעות 2012-2014'!$1:$125,25,0)+HLOOKUP(AW1,'השקעות 2012-2014'!$1:$124,116,0))</f>
        <v>7442</v>
      </c>
      <c r="AX25" s="5">
        <f>+IF(HLOOKUP(AX1,'השקעות 2012-2014'!$1:$124,101,0)="לא",0,+HLOOKUP(AX1,'השקעות 2012-2014'!$1:$125,25,0)+HLOOKUP(AX1,'השקעות 2012-2014'!$1:$124,116,0))</f>
        <v>8545</v>
      </c>
      <c r="AY25" s="5">
        <f>+IF(HLOOKUP(AY1,'השקעות 2012-2014'!$1:$124,101,0)="לא",0,+HLOOKUP(AY1,'השקעות 2012-2014'!$1:$125,25,0)+HLOOKUP(AY1,'השקעות 2012-2014'!$1:$124,116,0))</f>
        <v>3355</v>
      </c>
      <c r="AZ25" s="5">
        <f>+IF(HLOOKUP(AZ1,'השקעות 2012-2014'!$1:$124,101,0)="לא",0,+HLOOKUP(AZ1,'השקעות 2012-2014'!$1:$125,25,0)+HLOOKUP(AZ1,'השקעות 2012-2014'!$1:$124,116,0))</f>
        <v>373</v>
      </c>
      <c r="BA25" s="5">
        <f>+IF(HLOOKUP(BA1,'השקעות 2012-2014'!$1:$124,101,0)="לא",0,+HLOOKUP(BA1,'השקעות 2012-2014'!$1:$125,25,0)+HLOOKUP(BA1,'השקעות 2012-2014'!$1:$124,116,0))</f>
        <v>7214</v>
      </c>
      <c r="BB25" s="5">
        <f>+IF(HLOOKUP(BB1,'השקעות 2012-2014'!$1:$124,101,0)="לא",0,+HLOOKUP(BB1,'השקעות 2012-2014'!$1:$125,25,0)+HLOOKUP(BB1,'השקעות 2012-2014'!$1:$124,116,0))</f>
        <v>848</v>
      </c>
      <c r="BC25" s="5">
        <f>+IF(HLOOKUP(BC1,'השקעות 2012-2014'!$1:$124,101,0)="לא",0,+HLOOKUP(BC1,'השקעות 2012-2014'!$1:$125,25,0)+HLOOKUP(BC1,'השקעות 2012-2014'!$1:$124,116,0))</f>
        <v>4889</v>
      </c>
      <c r="BD25" s="5">
        <f>+IF(HLOOKUP(BD1,'השקעות 2012-2014'!$1:$124,101,0)="לא",0,+HLOOKUP(BD1,'השקעות 2012-2014'!$1:$125,25,0)+HLOOKUP(BD1,'השקעות 2012-2014'!$1:$124,116,0))</f>
        <v>9495</v>
      </c>
      <c r="BE25" s="5">
        <f>+IF(HLOOKUP(BE1,'השקעות 2012-2014'!$1:$124,101,0)="לא",0,+HLOOKUP(BE1,'השקעות 2012-2014'!$1:$125,25,0)+HLOOKUP(BE1,'השקעות 2012-2014'!$1:$124,116,0))</f>
        <v>4347</v>
      </c>
      <c r="BF25" s="5">
        <f>+IF(HLOOKUP(BF1,'השקעות 2012-2014'!$1:$124,101,0)="לא",0,+HLOOKUP(BF1,'השקעות 2012-2014'!$1:$125,25,0)+HLOOKUP(BF1,'השקעות 2012-2014'!$1:$124,116,0))</f>
        <v>638</v>
      </c>
    </row>
    <row r="26" spans="1:241" x14ac:dyDescent="0.2">
      <c r="B26" s="1"/>
      <c r="C26" s="651"/>
      <c r="D26" s="47"/>
      <c r="E26" s="47"/>
      <c r="F26" s="47"/>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row>
    <row r="27" spans="1:241" x14ac:dyDescent="0.2">
      <c r="C27" s="12"/>
      <c r="D27" s="78"/>
      <c r="E27" s="78"/>
      <c r="BF27" s="47"/>
    </row>
    <row r="28" spans="1:241" x14ac:dyDescent="0.2">
      <c r="A28" s="6"/>
      <c r="B28" t="s">
        <v>669</v>
      </c>
      <c r="D28" s="47">
        <f>SUM(D21:D22)</f>
        <v>14850</v>
      </c>
      <c r="E28" s="47">
        <f t="shared" ref="E28:BF28" si="0">SUM(E21:E22)</f>
        <v>929</v>
      </c>
      <c r="F28" s="47">
        <f t="shared" si="0"/>
        <v>2065</v>
      </c>
      <c r="G28" s="47">
        <f t="shared" si="0"/>
        <v>1671</v>
      </c>
      <c r="H28" s="47">
        <f t="shared" si="0"/>
        <v>3288</v>
      </c>
      <c r="I28" s="47">
        <f t="shared" si="0"/>
        <v>0</v>
      </c>
      <c r="J28" s="47">
        <f t="shared" si="0"/>
        <v>13547</v>
      </c>
      <c r="K28" s="47">
        <f t="shared" si="0"/>
        <v>1020</v>
      </c>
      <c r="L28" s="47">
        <f t="shared" si="0"/>
        <v>2160</v>
      </c>
      <c r="M28" s="47">
        <f t="shared" si="0"/>
        <v>11276</v>
      </c>
      <c r="N28" s="47">
        <f t="shared" si="0"/>
        <v>3030</v>
      </c>
      <c r="O28" s="47">
        <f t="shared" si="0"/>
        <v>7942</v>
      </c>
      <c r="P28" s="47">
        <f t="shared" si="0"/>
        <v>22211</v>
      </c>
      <c r="Q28" s="47">
        <f t="shared" si="0"/>
        <v>0</v>
      </c>
      <c r="R28" s="47">
        <f t="shared" si="0"/>
        <v>5225</v>
      </c>
      <c r="S28" s="47">
        <f t="shared" si="0"/>
        <v>2030.68</v>
      </c>
      <c r="T28" s="47">
        <f t="shared" si="0"/>
        <v>9122</v>
      </c>
      <c r="U28" s="47">
        <f t="shared" si="0"/>
        <v>13483.928022</v>
      </c>
      <c r="V28" s="47">
        <f t="shared" si="0"/>
        <v>4434</v>
      </c>
      <c r="W28" s="47">
        <f t="shared" si="0"/>
        <v>3447</v>
      </c>
      <c r="X28" s="47">
        <f t="shared" si="0"/>
        <v>0</v>
      </c>
      <c r="Y28" s="47">
        <f t="shared" si="0"/>
        <v>5969.2809999999999</v>
      </c>
      <c r="Z28" s="47">
        <f t="shared" si="0"/>
        <v>0</v>
      </c>
      <c r="AA28" s="47">
        <f t="shared" si="0"/>
        <v>0</v>
      </c>
      <c r="AB28" s="47">
        <f t="shared" si="0"/>
        <v>4398</v>
      </c>
      <c r="AC28" s="47">
        <f t="shared" si="0"/>
        <v>0</v>
      </c>
      <c r="AD28" s="47">
        <f t="shared" si="0"/>
        <v>5528</v>
      </c>
      <c r="AE28" s="47">
        <f t="shared" si="0"/>
        <v>4305</v>
      </c>
      <c r="AF28" s="47">
        <f t="shared" si="0"/>
        <v>3466</v>
      </c>
      <c r="AG28" s="47">
        <f t="shared" si="0"/>
        <v>9618</v>
      </c>
      <c r="AH28" s="47">
        <f t="shared" si="0"/>
        <v>15</v>
      </c>
      <c r="AI28" s="47">
        <f t="shared" si="0"/>
        <v>85</v>
      </c>
      <c r="AJ28" s="47">
        <f t="shared" si="0"/>
        <v>544</v>
      </c>
      <c r="AK28" s="47">
        <f t="shared" si="0"/>
        <v>0</v>
      </c>
      <c r="AL28" s="47">
        <f t="shared" si="0"/>
        <v>0</v>
      </c>
      <c r="AM28" s="47">
        <f t="shared" si="0"/>
        <v>5621</v>
      </c>
      <c r="AN28" s="47">
        <f t="shared" si="0"/>
        <v>769</v>
      </c>
      <c r="AO28" s="47">
        <f t="shared" si="0"/>
        <v>0</v>
      </c>
      <c r="AP28" s="47">
        <f t="shared" si="0"/>
        <v>0</v>
      </c>
      <c r="AQ28" s="47">
        <f t="shared" si="0"/>
        <v>259.06400000000002</v>
      </c>
      <c r="AR28" s="47">
        <f t="shared" si="0"/>
        <v>0</v>
      </c>
      <c r="AS28" s="47">
        <f t="shared" si="0"/>
        <v>0</v>
      </c>
      <c r="AT28" s="47">
        <f t="shared" si="0"/>
        <v>0</v>
      </c>
      <c r="AU28" s="47">
        <f t="shared" si="0"/>
        <v>14842</v>
      </c>
      <c r="AV28" s="47">
        <f t="shared" si="0"/>
        <v>150</v>
      </c>
      <c r="AW28" s="47">
        <f t="shared" si="0"/>
        <v>3484</v>
      </c>
      <c r="AX28" s="47">
        <f t="shared" si="0"/>
        <v>1630</v>
      </c>
      <c r="AY28" s="47">
        <f t="shared" si="0"/>
        <v>0</v>
      </c>
      <c r="AZ28" s="47">
        <f t="shared" si="0"/>
        <v>591</v>
      </c>
      <c r="BA28" s="47">
        <f t="shared" si="0"/>
        <v>86</v>
      </c>
      <c r="BB28" s="47">
        <f t="shared" si="0"/>
        <v>324</v>
      </c>
      <c r="BC28" s="47">
        <f t="shared" si="0"/>
        <v>6324</v>
      </c>
      <c r="BD28" s="47">
        <f t="shared" si="0"/>
        <v>3195</v>
      </c>
      <c r="BE28" s="47">
        <f t="shared" si="0"/>
        <v>104.9</v>
      </c>
      <c r="BF28" s="47">
        <f t="shared" si="0"/>
        <v>0</v>
      </c>
    </row>
    <row r="29" spans="1:241" x14ac:dyDescent="0.2">
      <c r="D29" s="47"/>
      <c r="E29" s="47"/>
      <c r="F29" s="47"/>
      <c r="G29" s="47"/>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7"/>
      <c r="AY29" s="47"/>
      <c r="AZ29" s="47"/>
      <c r="BA29" s="47"/>
      <c r="BB29" s="47"/>
      <c r="BC29" s="47"/>
      <c r="BD29" s="47"/>
      <c r="BE29" s="47"/>
      <c r="BF29" s="47"/>
    </row>
    <row r="31" spans="1:241" s="648" customFormat="1" ht="18" customHeight="1" x14ac:dyDescent="0.2">
      <c r="A31" s="646"/>
      <c r="B31" s="811" t="s">
        <v>164</v>
      </c>
      <c r="C31" s="646"/>
      <c r="D31" s="646">
        <f>SUM(D21:D25)</f>
        <v>48024</v>
      </c>
      <c r="E31" s="646">
        <f>SUM(E21:E25)</f>
        <v>12188</v>
      </c>
      <c r="F31" s="646">
        <f t="shared" ref="F31:BF31" si="1">SUM(F21:F25)</f>
        <v>23362</v>
      </c>
      <c r="G31" s="646">
        <f t="shared" si="1"/>
        <v>5643</v>
      </c>
      <c r="H31" s="646">
        <f t="shared" si="1"/>
        <v>11722</v>
      </c>
      <c r="I31" s="646">
        <f t="shared" si="1"/>
        <v>116867</v>
      </c>
      <c r="J31" s="646">
        <f t="shared" si="1"/>
        <v>81815</v>
      </c>
      <c r="K31" s="646">
        <f t="shared" si="1"/>
        <v>7992</v>
      </c>
      <c r="L31" s="646">
        <f t="shared" si="1"/>
        <v>9731</v>
      </c>
      <c r="M31" s="646">
        <f t="shared" si="1"/>
        <v>24775</v>
      </c>
      <c r="N31" s="646">
        <f t="shared" si="1"/>
        <v>11236</v>
      </c>
      <c r="O31" s="646">
        <f t="shared" si="1"/>
        <v>39843</v>
      </c>
      <c r="P31" s="646">
        <f t="shared" si="1"/>
        <v>67635</v>
      </c>
      <c r="Q31" s="646">
        <f t="shared" si="1"/>
        <v>28702</v>
      </c>
      <c r="R31" s="646">
        <f t="shared" si="1"/>
        <v>20090</v>
      </c>
      <c r="S31" s="646">
        <f t="shared" si="1"/>
        <v>21171.633000000002</v>
      </c>
      <c r="T31" s="646">
        <f t="shared" si="1"/>
        <v>19653</v>
      </c>
      <c r="U31" s="646">
        <f t="shared" si="1"/>
        <v>21040.928022</v>
      </c>
      <c r="V31" s="646">
        <f t="shared" si="1"/>
        <v>21372</v>
      </c>
      <c r="W31" s="646">
        <f t="shared" si="1"/>
        <v>19555</v>
      </c>
      <c r="X31" s="646">
        <f t="shared" si="1"/>
        <v>13717.154</v>
      </c>
      <c r="Y31" s="646">
        <f t="shared" si="1"/>
        <v>42859.281000000003</v>
      </c>
      <c r="Z31" s="646">
        <f t="shared" si="1"/>
        <v>5485</v>
      </c>
      <c r="AA31" s="646">
        <f t="shared" si="1"/>
        <v>19547</v>
      </c>
      <c r="AB31" s="646">
        <f t="shared" si="1"/>
        <v>10210</v>
      </c>
      <c r="AC31" s="646">
        <f t="shared" si="1"/>
        <v>10695</v>
      </c>
      <c r="AD31" s="646">
        <f t="shared" si="1"/>
        <v>24496</v>
      </c>
      <c r="AE31" s="646">
        <f t="shared" si="1"/>
        <v>11857</v>
      </c>
      <c r="AF31" s="646">
        <f t="shared" si="1"/>
        <v>42998</v>
      </c>
      <c r="AG31" s="646">
        <f t="shared" si="1"/>
        <v>32196</v>
      </c>
      <c r="AH31" s="646">
        <f t="shared" si="1"/>
        <v>6151</v>
      </c>
      <c r="AI31" s="646">
        <f t="shared" si="1"/>
        <v>299</v>
      </c>
      <c r="AJ31" s="646">
        <f t="shared" si="1"/>
        <v>547</v>
      </c>
      <c r="AK31" s="646">
        <f t="shared" si="1"/>
        <v>1527</v>
      </c>
      <c r="AL31" s="646">
        <f t="shared" si="1"/>
        <v>1166</v>
      </c>
      <c r="AM31" s="646">
        <f t="shared" si="1"/>
        <v>47281</v>
      </c>
      <c r="AN31" s="646">
        <f t="shared" si="1"/>
        <v>5437</v>
      </c>
      <c r="AO31" s="646">
        <f t="shared" si="1"/>
        <v>13640</v>
      </c>
      <c r="AP31" s="646">
        <f t="shared" si="1"/>
        <v>11513</v>
      </c>
      <c r="AQ31" s="646">
        <f t="shared" si="1"/>
        <v>11821.483</v>
      </c>
      <c r="AR31" s="646">
        <f t="shared" si="1"/>
        <v>31693</v>
      </c>
      <c r="AS31" s="646">
        <f t="shared" si="1"/>
        <v>10267</v>
      </c>
      <c r="AT31" s="646">
        <f t="shared" si="1"/>
        <v>0</v>
      </c>
      <c r="AU31" s="646">
        <f t="shared" si="1"/>
        <v>23773.146000000001</v>
      </c>
      <c r="AV31" s="646">
        <f t="shared" si="1"/>
        <v>29979</v>
      </c>
      <c r="AW31" s="646">
        <f t="shared" si="1"/>
        <v>29376</v>
      </c>
      <c r="AX31" s="646">
        <f t="shared" si="1"/>
        <v>12851</v>
      </c>
      <c r="AY31" s="646">
        <f t="shared" si="1"/>
        <v>7744.8950000000004</v>
      </c>
      <c r="AZ31" s="646">
        <f t="shared" si="1"/>
        <v>1257</v>
      </c>
      <c r="BA31" s="646">
        <f t="shared" si="1"/>
        <v>17572</v>
      </c>
      <c r="BB31" s="646">
        <f t="shared" si="1"/>
        <v>9786</v>
      </c>
      <c r="BC31" s="646">
        <f t="shared" si="1"/>
        <v>20980.799999999999</v>
      </c>
      <c r="BD31" s="646">
        <f t="shared" si="1"/>
        <v>40419</v>
      </c>
      <c r="BE31" s="646">
        <f t="shared" si="1"/>
        <v>8423.9</v>
      </c>
      <c r="BF31" s="646">
        <f t="shared" si="1"/>
        <v>2607</v>
      </c>
      <c r="BH31" s="648">
        <f>SUM(D31:BG31)</f>
        <v>1172590.2200219999</v>
      </c>
      <c r="BJ31" s="648">
        <v>562933.11202200013</v>
      </c>
    </row>
    <row r="32" spans="1:241" s="13" customFormat="1" x14ac:dyDescent="0.2">
      <c r="A32" t="s">
        <v>151</v>
      </c>
      <c r="D32" s="812"/>
      <c r="E32" s="502"/>
      <c r="F32" s="502"/>
      <c r="G32" s="502"/>
      <c r="H32" s="502"/>
      <c r="I32" s="502"/>
      <c r="J32" s="502"/>
      <c r="K32" s="502"/>
      <c r="L32" s="502"/>
      <c r="M32" s="502"/>
      <c r="N32" s="502"/>
      <c r="O32" s="502"/>
      <c r="P32" s="502"/>
      <c r="Q32" s="502"/>
      <c r="R32" s="502"/>
      <c r="S32" s="502"/>
      <c r="T32" s="502"/>
      <c r="U32" s="502"/>
      <c r="V32" s="502"/>
      <c r="W32" s="502"/>
      <c r="X32" s="502"/>
      <c r="Y32" s="502"/>
      <c r="Z32" s="502"/>
      <c r="AA32" s="502"/>
      <c r="AB32" s="502"/>
      <c r="AC32" s="502"/>
      <c r="AD32" s="502"/>
      <c r="AE32" s="502"/>
      <c r="AF32" s="502"/>
      <c r="AG32" s="502"/>
      <c r="AH32" s="502"/>
      <c r="AI32" s="502"/>
      <c r="AJ32" s="502"/>
      <c r="AK32" s="502"/>
      <c r="AL32" s="502"/>
      <c r="AM32" s="502"/>
      <c r="AN32" s="502"/>
      <c r="AO32" s="502"/>
      <c r="AP32" s="502"/>
      <c r="AQ32" s="502"/>
      <c r="AR32" s="502"/>
      <c r="AS32" s="502"/>
      <c r="AT32" s="502"/>
      <c r="AU32" s="502"/>
      <c r="AV32" s="502"/>
      <c r="AW32" s="502"/>
      <c r="AX32" s="502"/>
      <c r="AY32" s="502"/>
      <c r="AZ32" s="502"/>
      <c r="BA32" s="502"/>
      <c r="BB32" s="502"/>
      <c r="BC32" s="502"/>
      <c r="BD32" s="502"/>
      <c r="BE32" s="502"/>
      <c r="BF32" s="502"/>
    </row>
    <row r="33" spans="1:58" x14ac:dyDescent="0.2">
      <c r="A33" s="1245" t="s">
        <v>1168</v>
      </c>
      <c r="B33">
        <v>2010</v>
      </c>
      <c r="L33" s="1">
        <v>962</v>
      </c>
      <c r="M33" s="1">
        <v>0</v>
      </c>
      <c r="Y33" s="1">
        <v>650</v>
      </c>
      <c r="AF33" s="1">
        <v>2930</v>
      </c>
    </row>
    <row r="34" spans="1:58" x14ac:dyDescent="0.2">
      <c r="A34" s="1245" t="s">
        <v>1500</v>
      </c>
      <c r="B34" s="813">
        <v>2011</v>
      </c>
      <c r="D34" s="5">
        <v>0</v>
      </c>
      <c r="E34" s="5">
        <v>0</v>
      </c>
      <c r="F34" s="5">
        <v>230</v>
      </c>
      <c r="G34" s="5">
        <v>0</v>
      </c>
      <c r="H34" s="5">
        <v>109</v>
      </c>
      <c r="I34" s="5">
        <v>0</v>
      </c>
      <c r="J34" s="5">
        <v>0</v>
      </c>
      <c r="K34" s="5">
        <v>5</v>
      </c>
      <c r="L34" s="5">
        <v>7</v>
      </c>
      <c r="M34" s="5">
        <v>0</v>
      </c>
      <c r="N34" s="5">
        <v>0</v>
      </c>
      <c r="O34" s="5">
        <v>0</v>
      </c>
      <c r="P34" s="5">
        <v>0</v>
      </c>
      <c r="Q34" s="5">
        <v>0</v>
      </c>
      <c r="R34" s="5">
        <v>278</v>
      </c>
      <c r="S34" s="5">
        <v>0</v>
      </c>
      <c r="T34" s="5">
        <v>0</v>
      </c>
      <c r="U34" s="5">
        <f>120+HLOOKUP(A34,'[7]תוספת נכסים'!$F$4:$I$8,5,0)/1000</f>
        <v>1001.4906</v>
      </c>
      <c r="V34" s="5">
        <v>132</v>
      </c>
      <c r="W34" s="5">
        <v>47</v>
      </c>
      <c r="X34" s="5">
        <v>0</v>
      </c>
      <c r="Y34" s="5">
        <v>22</v>
      </c>
      <c r="Z34" s="5">
        <v>0</v>
      </c>
      <c r="AA34" s="5">
        <v>0</v>
      </c>
      <c r="AB34" s="5">
        <v>0</v>
      </c>
      <c r="AC34" s="5">
        <v>0</v>
      </c>
      <c r="AD34" s="5">
        <v>398.87400000000002</v>
      </c>
      <c r="AE34" s="5">
        <v>102</v>
      </c>
      <c r="AF34" s="5">
        <v>5149</v>
      </c>
      <c r="AG34" s="5">
        <v>0</v>
      </c>
      <c r="AH34" s="5">
        <v>0</v>
      </c>
      <c r="AI34" s="5">
        <v>0</v>
      </c>
      <c r="AJ34" s="5">
        <v>68</v>
      </c>
      <c r="AK34" s="5">
        <v>0</v>
      </c>
      <c r="AL34" s="5">
        <v>0</v>
      </c>
      <c r="AM34" s="5">
        <v>0</v>
      </c>
      <c r="AN34" s="5">
        <v>35</v>
      </c>
      <c r="AO34" s="5">
        <v>0</v>
      </c>
      <c r="AP34" s="5">
        <v>0</v>
      </c>
      <c r="AQ34" s="5">
        <v>0</v>
      </c>
      <c r="AR34" s="5">
        <v>0</v>
      </c>
      <c r="AS34" s="5">
        <v>130</v>
      </c>
      <c r="AT34" s="5">
        <v>0</v>
      </c>
      <c r="AU34" s="5">
        <v>0</v>
      </c>
      <c r="AV34" s="5">
        <v>0</v>
      </c>
      <c r="AW34" s="5">
        <v>0</v>
      </c>
      <c r="AX34" s="5">
        <v>15</v>
      </c>
      <c r="AY34" s="5">
        <v>0</v>
      </c>
      <c r="AZ34" s="5">
        <v>0</v>
      </c>
      <c r="BA34" s="5">
        <v>12</v>
      </c>
      <c r="BB34" s="5">
        <v>0</v>
      </c>
      <c r="BC34" s="5">
        <v>0</v>
      </c>
      <c r="BD34" s="5">
        <v>0</v>
      </c>
      <c r="BE34" s="5">
        <v>9.5</v>
      </c>
      <c r="BF34" s="5">
        <v>0</v>
      </c>
    </row>
    <row r="35" spans="1:58" x14ac:dyDescent="0.2">
      <c r="B35" s="813">
        <v>2012</v>
      </c>
      <c r="D35" s="5">
        <v>0</v>
      </c>
      <c r="E35" s="5">
        <v>2</v>
      </c>
      <c r="F35" s="5">
        <v>0</v>
      </c>
      <c r="G35" s="5">
        <v>0</v>
      </c>
      <c r="H35" s="5">
        <v>0</v>
      </c>
      <c r="I35" s="5">
        <v>0</v>
      </c>
      <c r="J35" s="5">
        <v>0</v>
      </c>
      <c r="K35" s="5">
        <v>27</v>
      </c>
      <c r="L35" s="5">
        <v>94</v>
      </c>
      <c r="M35" s="5">
        <v>444</v>
      </c>
      <c r="N35" s="5">
        <v>0</v>
      </c>
      <c r="O35" s="5">
        <v>0</v>
      </c>
      <c r="P35" s="5">
        <v>0</v>
      </c>
      <c r="Q35" s="5">
        <v>0</v>
      </c>
      <c r="R35" s="5">
        <v>0</v>
      </c>
      <c r="S35" s="5">
        <v>0</v>
      </c>
      <c r="T35" s="5">
        <v>0</v>
      </c>
      <c r="U35" s="5">
        <v>0</v>
      </c>
      <c r="V35" s="5">
        <v>0</v>
      </c>
      <c r="W35" s="5">
        <v>0</v>
      </c>
      <c r="X35" s="5">
        <v>0</v>
      </c>
      <c r="Y35" s="5">
        <v>0</v>
      </c>
      <c r="Z35" s="5">
        <v>0</v>
      </c>
      <c r="AA35" s="5">
        <v>0</v>
      </c>
      <c r="AB35" s="5">
        <v>0</v>
      </c>
      <c r="AC35" s="5">
        <v>0</v>
      </c>
      <c r="AD35" s="5">
        <v>0</v>
      </c>
      <c r="AE35" s="5">
        <v>344</v>
      </c>
      <c r="AF35" s="5">
        <v>3360</v>
      </c>
      <c r="AG35" s="5">
        <v>0</v>
      </c>
      <c r="AH35" s="5">
        <v>0</v>
      </c>
      <c r="AI35" s="5">
        <v>0</v>
      </c>
      <c r="AJ35" s="5">
        <v>0</v>
      </c>
      <c r="AK35" s="5">
        <v>0</v>
      </c>
      <c r="AL35" s="5">
        <v>0</v>
      </c>
      <c r="AM35" s="5">
        <v>0</v>
      </c>
      <c r="AN35" s="5">
        <v>210</v>
      </c>
      <c r="AO35" s="5">
        <v>0</v>
      </c>
      <c r="AP35" s="5">
        <v>0</v>
      </c>
      <c r="AQ35" s="5">
        <v>0</v>
      </c>
      <c r="AR35" s="5">
        <v>0</v>
      </c>
      <c r="AS35" s="5">
        <v>0</v>
      </c>
      <c r="AT35" s="5">
        <v>16094</v>
      </c>
      <c r="AU35" s="5">
        <v>0</v>
      </c>
      <c r="AV35" s="5">
        <v>0</v>
      </c>
      <c r="AW35" s="5">
        <v>47</v>
      </c>
      <c r="AX35" s="5">
        <v>73</v>
      </c>
      <c r="AY35" s="5">
        <v>0</v>
      </c>
      <c r="AZ35" s="5">
        <v>0</v>
      </c>
      <c r="BA35" s="5">
        <v>283</v>
      </c>
      <c r="BB35" s="5">
        <v>0</v>
      </c>
      <c r="BC35" s="5">
        <v>1082</v>
      </c>
      <c r="BD35" s="5">
        <v>6</v>
      </c>
      <c r="BE35" s="5">
        <v>0</v>
      </c>
      <c r="BF35" s="5">
        <v>0</v>
      </c>
    </row>
    <row r="36" spans="1:58" x14ac:dyDescent="0.2">
      <c r="B36" s="813">
        <v>2013</v>
      </c>
      <c r="D36" s="5">
        <f>+IF(HLOOKUP(D1,'השקעות 2012-2014'!$1:$124,101,0)="לא",0,+HLOOKUP(D1,'השקעות 2012-2014'!$1:$125,34,0)+HLOOKUP(D1,'השקעות 2012-2014'!$1:$124,108,0))</f>
        <v>0</v>
      </c>
      <c r="E36" s="5">
        <f>+IF(HLOOKUP(E1,'השקעות 2012-2014'!$1:$124,101,0)="לא",0,+HLOOKUP(E1,'השקעות 2012-2014'!$1:$125,34,0)+HLOOKUP(E1,'השקעות 2012-2014'!$1:$124,108,0))</f>
        <v>0</v>
      </c>
      <c r="F36" s="5">
        <f>+IF(HLOOKUP(F1,'השקעות 2012-2014'!$1:$124,101,0)="לא",0,+HLOOKUP(F1,'השקעות 2012-2014'!$1:$125,34,0)+HLOOKUP(F1,'השקעות 2012-2014'!$1:$124,108,0))</f>
        <v>0</v>
      </c>
      <c r="G36" s="5">
        <f>+IF(HLOOKUP(G1,'השקעות 2012-2014'!$1:$124,101,0)="לא",0,+HLOOKUP(G1,'השקעות 2012-2014'!$1:$125,34,0)+HLOOKUP(G1,'השקעות 2012-2014'!$1:$124,108,0))</f>
        <v>0</v>
      </c>
      <c r="H36" s="5">
        <f>+IF(HLOOKUP(H1,'השקעות 2012-2014'!$1:$124,101,0)="לא",0,+HLOOKUP(H1,'השקעות 2012-2014'!$1:$125,34,0)+HLOOKUP(H1,'השקעות 2012-2014'!$1:$124,108,0))</f>
        <v>0</v>
      </c>
      <c r="I36" s="5">
        <f>+IF(HLOOKUP(I1,'השקעות 2012-2014'!$1:$124,101,0)="לא",0,+HLOOKUP(I1,'השקעות 2012-2014'!$1:$125,34,0)+HLOOKUP(I1,'השקעות 2012-2014'!$1:$124,108,0))</f>
        <v>1972</v>
      </c>
      <c r="J36" s="5">
        <f>+IF(HLOOKUP(J1,'השקעות 2012-2014'!$1:$124,101,0)="לא",0,+HLOOKUP(J1,'השקעות 2012-2014'!$1:$125,34,0)+HLOOKUP(J1,'השקעות 2012-2014'!$1:$124,108,0))</f>
        <v>0</v>
      </c>
      <c r="K36" s="5">
        <f>+IF(HLOOKUP(K1,'השקעות 2012-2014'!$1:$124,101,0)="לא",0,+HLOOKUP(K1,'השקעות 2012-2014'!$1:$125,34,0)+HLOOKUP(K1,'השקעות 2012-2014'!$1:$124,108,0))</f>
        <v>0</v>
      </c>
      <c r="L36" s="5">
        <f>+IF(HLOOKUP(L1,'השקעות 2012-2014'!$1:$124,101,0)="לא",0,+HLOOKUP(L1,'השקעות 2012-2014'!$1:$125,34,0)+HLOOKUP(L1,'השקעות 2012-2014'!$1:$124,108,0))</f>
        <v>0</v>
      </c>
      <c r="M36" s="5">
        <f>+IF(HLOOKUP(M1,'השקעות 2012-2014'!$1:$124,101,0)="לא",0,+HLOOKUP(M1,'השקעות 2012-2014'!$1:$125,34,0)+HLOOKUP(M1,'השקעות 2012-2014'!$1:$124,108,0))</f>
        <v>0</v>
      </c>
      <c r="N36" s="5">
        <f>+IF(HLOOKUP(N1,'השקעות 2012-2014'!$1:$124,101,0)="לא",0,+HLOOKUP(N1,'השקעות 2012-2014'!$1:$125,34,0)+HLOOKUP(N1,'השקעות 2012-2014'!$1:$124,108,0))</f>
        <v>0</v>
      </c>
      <c r="O36" s="5">
        <f>+IF(HLOOKUP(O1,'השקעות 2012-2014'!$1:$124,101,0)="לא",0,+HLOOKUP(O1,'השקעות 2012-2014'!$1:$125,34,0)+HLOOKUP(O1,'השקעות 2012-2014'!$1:$124,108,0))</f>
        <v>0</v>
      </c>
      <c r="P36" s="5">
        <f>+IF(HLOOKUP(P1,'השקעות 2012-2014'!$1:$124,101,0)="לא",0,+HLOOKUP(P1,'השקעות 2012-2014'!$1:$125,34,0)+HLOOKUP(P1,'השקעות 2012-2014'!$1:$124,108,0))</f>
        <v>0</v>
      </c>
      <c r="Q36" s="5">
        <f>+IF(HLOOKUP(Q1,'השקעות 2012-2014'!$1:$124,101,0)="לא",0,+HLOOKUP(Q1,'השקעות 2012-2014'!$1:$125,34,0)+HLOOKUP(Q1,'השקעות 2012-2014'!$1:$124,108,0))</f>
        <v>0</v>
      </c>
      <c r="R36" s="5">
        <f>+IF(HLOOKUP(R1,'השקעות 2012-2014'!$1:$124,101,0)="לא",0,+HLOOKUP(R1,'השקעות 2012-2014'!$1:$125,34,0)+HLOOKUP(R1,'השקעות 2012-2014'!$1:$124,108,0))</f>
        <v>0</v>
      </c>
      <c r="S36" s="5">
        <f>+IF(HLOOKUP(S1,'השקעות 2012-2014'!$1:$124,101,0)="לא",0,+HLOOKUP(S1,'השקעות 2012-2014'!$1:$125,34,0)+HLOOKUP(S1,'השקעות 2012-2014'!$1:$124,108,0))</f>
        <v>702.21299999999997</v>
      </c>
      <c r="T36" s="5">
        <f>+IF(HLOOKUP(T1,'השקעות 2012-2014'!$1:$124,101,0)="לא",0,+HLOOKUP(T1,'השקעות 2012-2014'!$1:$125,34,0)+HLOOKUP(T1,'השקעות 2012-2014'!$1:$124,108,0))</f>
        <v>33</v>
      </c>
      <c r="U36" s="5">
        <f>+IF(HLOOKUP(U1,'השקעות 2012-2014'!$1:$124,101,0)="לא",0,+HLOOKUP(U1,'השקעות 2012-2014'!$1:$125,34,0)+HLOOKUP(U1,'השקעות 2012-2014'!$1:$124,108,0))</f>
        <v>0</v>
      </c>
      <c r="V36" s="5">
        <f>+IF(HLOOKUP(V1,'השקעות 2012-2014'!$1:$124,101,0)="לא",0,+HLOOKUP(V1,'השקעות 2012-2014'!$1:$125,34,0)+HLOOKUP(V1,'השקעות 2012-2014'!$1:$124,108,0))</f>
        <v>0</v>
      </c>
      <c r="W36" s="5">
        <f>+IF(HLOOKUP(W1,'השקעות 2012-2014'!$1:$124,101,0)="לא",0,+HLOOKUP(W1,'השקעות 2012-2014'!$1:$125,34,0)+HLOOKUP(W1,'השקעות 2012-2014'!$1:$124,108,0))</f>
        <v>0</v>
      </c>
      <c r="X36" s="5">
        <f>+IF(HLOOKUP(X1,'השקעות 2012-2014'!$1:$124,101,0)="לא",0,+HLOOKUP(X1,'השקעות 2012-2014'!$1:$125,34,0)+HLOOKUP(X1,'השקעות 2012-2014'!$1:$124,108,0))</f>
        <v>0</v>
      </c>
      <c r="Y36" s="5">
        <f>+IF(HLOOKUP(Y1,'השקעות 2012-2014'!$1:$124,101,0)="לא",0,+HLOOKUP(Y1,'השקעות 2012-2014'!$1:$125,34,0)+HLOOKUP(Y1,'השקעות 2012-2014'!$1:$124,108,0))</f>
        <v>77</v>
      </c>
      <c r="Z36" s="5">
        <f>+IF(HLOOKUP(Z1,'השקעות 2012-2014'!$1:$124,101,0)="לא",0,+HLOOKUP(Z1,'השקעות 2012-2014'!$1:$125,34,0)+HLOOKUP(Z1,'השקעות 2012-2014'!$1:$124,108,0))</f>
        <v>0</v>
      </c>
      <c r="AA36" s="5">
        <f>+IF(HLOOKUP(AA1,'השקעות 2012-2014'!$1:$124,101,0)="לא",0,+HLOOKUP(AA1,'השקעות 2012-2014'!$1:$125,34,0)+HLOOKUP(AA1,'השקעות 2012-2014'!$1:$124,108,0))</f>
        <v>70</v>
      </c>
      <c r="AB36" s="5">
        <f>+IF(HLOOKUP(AB1,'השקעות 2012-2014'!$1:$124,101,0)="לא",0,+HLOOKUP(AB1,'השקעות 2012-2014'!$1:$125,34,0)+HLOOKUP(AB1,'השקעות 2012-2014'!$1:$124,108,0))</f>
        <v>59</v>
      </c>
      <c r="AC36" s="5">
        <f>+IF(HLOOKUP(AC1,'השקעות 2012-2014'!$1:$124,101,0)="לא",0,+HLOOKUP(AC1,'השקעות 2012-2014'!$1:$125,34,0)+HLOOKUP(AC1,'השקעות 2012-2014'!$1:$124,108,0))</f>
        <v>0</v>
      </c>
      <c r="AD36" s="5">
        <f>+IF(HLOOKUP(AD1,'השקעות 2012-2014'!$1:$124,101,0)="לא",0,+HLOOKUP(AD1,'השקעות 2012-2014'!$1:$125,34,0)+HLOOKUP(AD1,'השקעות 2012-2014'!$1:$124,108,0))</f>
        <v>0</v>
      </c>
      <c r="AE36" s="5">
        <f>+IF(HLOOKUP(AE1,'השקעות 2012-2014'!$1:$124,101,0)="לא",0,+HLOOKUP(AE1,'השקעות 2012-2014'!$1:$125,34,0)+HLOOKUP(AE1,'השקעות 2012-2014'!$1:$124,108,0))</f>
        <v>6107</v>
      </c>
      <c r="AF36" s="5">
        <f>+IF(HLOOKUP(AF1,'השקעות 2012-2014'!$1:$124,101,0)="לא",0,+HLOOKUP(AF1,'השקעות 2012-2014'!$1:$125,34,0)+HLOOKUP(AF1,'השקעות 2012-2014'!$1:$124,108,0))</f>
        <v>221</v>
      </c>
      <c r="AG36" s="5">
        <f>+IF(HLOOKUP(AG1,'השקעות 2012-2014'!$1:$124,101,0)="לא",0,+HLOOKUP(AG1,'השקעות 2012-2014'!$1:$125,34,0)+HLOOKUP(AG1,'השקעות 2012-2014'!$1:$124,108,0))</f>
        <v>0</v>
      </c>
      <c r="AH36" s="5">
        <f>+IF(HLOOKUP(AH1,'השקעות 2012-2014'!$1:$124,101,0)="לא",0,+HLOOKUP(AH1,'השקעות 2012-2014'!$1:$125,34,0)+HLOOKUP(AH1,'השקעות 2012-2014'!$1:$124,108,0))</f>
        <v>0</v>
      </c>
      <c r="AI36" s="5">
        <f>+IF(HLOOKUP(AI1,'השקעות 2012-2014'!$1:$124,101,0)="לא",0,+HLOOKUP(AI1,'השקעות 2012-2014'!$1:$125,34,0)+HLOOKUP(AI1,'השקעות 2012-2014'!$1:$124,108,0))</f>
        <v>0</v>
      </c>
      <c r="AJ36" s="5">
        <f>+IF(HLOOKUP(AJ1,'השקעות 2012-2014'!$1:$124,101,0)="לא",0,+HLOOKUP(AJ1,'השקעות 2012-2014'!$1:$125,34,0)+HLOOKUP(AJ1,'השקעות 2012-2014'!$1:$124,108,0))</f>
        <v>0</v>
      </c>
      <c r="AK36" s="5">
        <f>+IF(HLOOKUP(AK1,'השקעות 2012-2014'!$1:$124,101,0)="לא",0,+HLOOKUP(AK1,'השקעות 2012-2014'!$1:$125,34,0)+HLOOKUP(AK1,'השקעות 2012-2014'!$1:$124,108,0))</f>
        <v>0</v>
      </c>
      <c r="AL36" s="5">
        <f>+IF(HLOOKUP(AL1,'השקעות 2012-2014'!$1:$124,101,0)="לא",0,+HLOOKUP(AL1,'השקעות 2012-2014'!$1:$125,34,0)+HLOOKUP(AL1,'השקעות 2012-2014'!$1:$124,108,0))</f>
        <v>0</v>
      </c>
      <c r="AM36" s="5">
        <f>+IF(HLOOKUP(AM1,'השקעות 2012-2014'!$1:$124,101,0)="לא",0,+HLOOKUP(AM1,'השקעות 2012-2014'!$1:$125,34,0)+HLOOKUP(AM1,'השקעות 2012-2014'!$1:$124,108,0))</f>
        <v>0</v>
      </c>
      <c r="AN36" s="5">
        <f>+IF(HLOOKUP(AN1,'השקעות 2012-2014'!$1:$124,101,0)="לא",0,+HLOOKUP(AN1,'השקעות 2012-2014'!$1:$125,34,0)+HLOOKUP(AN1,'השקעות 2012-2014'!$1:$124,108,0))</f>
        <v>3460</v>
      </c>
      <c r="AO36" s="5">
        <f>+IF(HLOOKUP(AO1,'השקעות 2012-2014'!$1:$124,101,0)="לא",0,+HLOOKUP(AO1,'השקעות 2012-2014'!$1:$125,34,0)+HLOOKUP(AO1,'השקעות 2012-2014'!$1:$124,108,0))</f>
        <v>0</v>
      </c>
      <c r="AP36" s="5">
        <f>+IF(HLOOKUP(AP1,'השקעות 2012-2014'!$1:$124,101,0)="לא",0,+HLOOKUP(AP1,'השקעות 2012-2014'!$1:$125,34,0)+HLOOKUP(AP1,'השקעות 2012-2014'!$1:$124,108,0))</f>
        <v>0</v>
      </c>
      <c r="AQ36" s="5">
        <f>+IF(HLOOKUP(AQ1,'השקעות 2012-2014'!$1:$124,101,0)="לא",0,+HLOOKUP(AQ1,'השקעות 2012-2014'!$1:$125,34,0)+HLOOKUP(AQ1,'השקעות 2012-2014'!$1:$124,108,0))</f>
        <v>0</v>
      </c>
      <c r="AR36" s="5">
        <f>+IF(HLOOKUP(AR1,'השקעות 2012-2014'!$1:$124,101,0)="לא",0,+HLOOKUP(AR1,'השקעות 2012-2014'!$1:$125,34,0)+HLOOKUP(AR1,'השקעות 2012-2014'!$1:$124,108,0))</f>
        <v>2590</v>
      </c>
      <c r="AS36" s="5">
        <f>+IF(HLOOKUP(AS1,'השקעות 2012-2014'!$1:$124,101,0)="לא",0,+HLOOKUP(AS1,'השקעות 2012-2014'!$1:$125,34,0)+HLOOKUP(AS1,'השקעות 2012-2014'!$1:$124,108,0))</f>
        <v>0</v>
      </c>
      <c r="AT36" s="5">
        <f>+IF(HLOOKUP(AT1,'השקעות 2012-2014'!$1:$124,101,0)="לא",0,+HLOOKUP(AT1,'השקעות 2012-2014'!$1:$125,34,0)+HLOOKUP(AT1,'השקעות 2012-2014'!$1:$124,108,0))</f>
        <v>13508</v>
      </c>
      <c r="AU36" s="5">
        <f>+IF(HLOOKUP(AU1,'השקעות 2012-2014'!$1:$124,101,0)="לא",0,+HLOOKUP(AU1,'השקעות 2012-2014'!$1:$125,34,0)+HLOOKUP(AU1,'השקעות 2012-2014'!$1:$124,108,0))</f>
        <v>0</v>
      </c>
      <c r="AV36" s="5">
        <f>+IF(HLOOKUP(AV1,'השקעות 2012-2014'!$1:$124,101,0)="לא",0,+HLOOKUP(AV1,'השקעות 2012-2014'!$1:$125,34,0)+HLOOKUP(AV1,'השקעות 2012-2014'!$1:$124,108,0))</f>
        <v>0</v>
      </c>
      <c r="AW36" s="5">
        <f>+IF(HLOOKUP(AW1,'השקעות 2012-2014'!$1:$124,101,0)="לא",0,+HLOOKUP(AW1,'השקעות 2012-2014'!$1:$125,34,0)+HLOOKUP(AW1,'השקעות 2012-2014'!$1:$124,108,0))</f>
        <v>0</v>
      </c>
      <c r="AX36" s="5">
        <f>+IF(HLOOKUP(AX1,'השקעות 2012-2014'!$1:$124,101,0)="לא",0,+HLOOKUP(AX1,'השקעות 2012-2014'!$1:$125,34,0)+HLOOKUP(AX1,'השקעות 2012-2014'!$1:$124,108,0))</f>
        <v>0</v>
      </c>
      <c r="AY36" s="5">
        <f>+IF(HLOOKUP(AY1,'השקעות 2012-2014'!$1:$124,101,0)="לא",0,+HLOOKUP(AY1,'השקעות 2012-2014'!$1:$125,34,0)+HLOOKUP(AY1,'השקעות 2012-2014'!$1:$124,108,0))</f>
        <v>0</v>
      </c>
      <c r="AZ36" s="5">
        <f>+IF(HLOOKUP(AZ1,'השקעות 2012-2014'!$1:$124,101,0)="לא",0,+HLOOKUP(AZ1,'השקעות 2012-2014'!$1:$125,34,0)+HLOOKUP(AZ1,'השקעות 2012-2014'!$1:$124,108,0))</f>
        <v>0</v>
      </c>
      <c r="BA36" s="5">
        <f>+IF(HLOOKUP(BA1,'השקעות 2012-2014'!$1:$124,101,0)="לא",0,+HLOOKUP(BA1,'השקעות 2012-2014'!$1:$125,34,0)+HLOOKUP(BA1,'השקעות 2012-2014'!$1:$124,108,0))</f>
        <v>124</v>
      </c>
      <c r="BB36" s="5">
        <f>+IF(HLOOKUP(BB1,'השקעות 2012-2014'!$1:$124,101,0)="לא",0,+HLOOKUP(BB1,'השקעות 2012-2014'!$1:$125,34,0)+HLOOKUP(BB1,'השקעות 2012-2014'!$1:$124,108,0))</f>
        <v>0</v>
      </c>
      <c r="BC36" s="5">
        <f>+IF(HLOOKUP(BC1,'השקעות 2012-2014'!$1:$124,101,0)="לא",0,+HLOOKUP(BC1,'השקעות 2012-2014'!$1:$125,34,0)+HLOOKUP(BC1,'השקעות 2012-2014'!$1:$124,108,0))</f>
        <v>0</v>
      </c>
      <c r="BD36" s="5">
        <f>+IF(HLOOKUP(BD1,'השקעות 2012-2014'!$1:$124,101,0)="לא",0,+HLOOKUP(BD1,'השקעות 2012-2014'!$1:$125,34,0)+HLOOKUP(BD1,'השקעות 2012-2014'!$1:$124,108,0))</f>
        <v>0</v>
      </c>
      <c r="BE36" s="5">
        <f>+IF(HLOOKUP(BE1,'השקעות 2012-2014'!$1:$124,101,0)="לא",0,+HLOOKUP(BE1,'השקעות 2012-2014'!$1:$125,34,0)+HLOOKUP(BE1,'השקעות 2012-2014'!$1:$124,108,0))</f>
        <v>330</v>
      </c>
      <c r="BF36" s="5">
        <f>+IF(HLOOKUP(BF1,'השקעות 2012-2014'!$1:$124,101,0)="לא",0,+HLOOKUP(BF1,'השקעות 2012-2014'!$1:$125,34,0)+HLOOKUP(BF1,'השקעות 2012-2014'!$1:$124,108,0))</f>
        <v>0</v>
      </c>
    </row>
    <row r="37" spans="1:58" x14ac:dyDescent="0.2">
      <c r="B37" s="813">
        <v>2014</v>
      </c>
      <c r="D37" s="5">
        <f>+IF(HLOOKUP(D1,'השקעות 2012-2014'!$1:$124,103,0)="לא",0,+HLOOKUP(D1,'השקעות 2012-2014'!$1:$125,35,0)+HLOOKUP(D1,'השקעות 2012-2014'!$1:$124,118,0))</f>
        <v>0</v>
      </c>
      <c r="E37" s="5">
        <f>+IF(HLOOKUP(E1,'השקעות 2012-2014'!$1:$124,103,0)="לא",0,+HLOOKUP(E1,'השקעות 2012-2014'!$1:$125,35,0)+HLOOKUP(E1,'השקעות 2012-2014'!$1:$124,118,0))</f>
        <v>19</v>
      </c>
      <c r="F37" s="5">
        <f>+IF(HLOOKUP(F1,'השקעות 2012-2014'!$1:$124,103,0)="לא",0,+HLOOKUP(F1,'השקעות 2012-2014'!$1:$125,35,0)+HLOOKUP(F1,'השקעות 2012-2014'!$1:$124,118,0))</f>
        <v>0</v>
      </c>
      <c r="G37" s="5">
        <f>+IF(HLOOKUP(G1,'השקעות 2012-2014'!$1:$124,103,0)="לא",0,+HLOOKUP(G1,'השקעות 2012-2014'!$1:$125,35,0)+HLOOKUP(G1,'השקעות 2012-2014'!$1:$124,118,0))</f>
        <v>0</v>
      </c>
      <c r="H37" s="5">
        <f>+IF(HLOOKUP(H1,'השקעות 2012-2014'!$1:$124,103,0)="לא",0,+HLOOKUP(H1,'השקעות 2012-2014'!$1:$125,35,0)+HLOOKUP(H1,'השקעות 2012-2014'!$1:$124,118,0))</f>
        <v>0</v>
      </c>
      <c r="I37" s="5">
        <f>+IF(HLOOKUP(I1,'השקעות 2012-2014'!$1:$124,103,0)="לא",0,+HLOOKUP(I1,'השקעות 2012-2014'!$1:$125,35,0)+HLOOKUP(I1,'השקעות 2012-2014'!$1:$124,118,0))</f>
        <v>1437</v>
      </c>
      <c r="J37" s="5">
        <f>+IF(HLOOKUP(J1,'השקעות 2012-2014'!$1:$124,103,0)="לא",0,+HLOOKUP(J1,'השקעות 2012-2014'!$1:$125,35,0)+HLOOKUP(J1,'השקעות 2012-2014'!$1:$124,118,0))</f>
        <v>190</v>
      </c>
      <c r="K37" s="5">
        <f>+IF(HLOOKUP(K1,'השקעות 2012-2014'!$1:$124,103,0)="לא",0,+HLOOKUP(K1,'השקעות 2012-2014'!$1:$125,35,0)+HLOOKUP(K1,'השקעות 2012-2014'!$1:$124,118,0))</f>
        <v>0</v>
      </c>
      <c r="L37" s="5">
        <f>+IF(HLOOKUP(L1,'השקעות 2012-2014'!$1:$124,103,0)="לא",0,+HLOOKUP(L1,'השקעות 2012-2014'!$1:$125,35,0)+HLOOKUP(L1,'השקעות 2012-2014'!$1:$124,118,0))</f>
        <v>0</v>
      </c>
      <c r="M37" s="5">
        <f>+IF(HLOOKUP(M1,'השקעות 2012-2014'!$1:$124,103,0)="לא",0,+HLOOKUP(M1,'השקעות 2012-2014'!$1:$125,35,0)+HLOOKUP(M1,'השקעות 2012-2014'!$1:$124,118,0))</f>
        <v>40</v>
      </c>
      <c r="N37" s="5">
        <f>+IF(HLOOKUP(N1,'השקעות 2012-2014'!$1:$124,103,0)="לא",0,+HLOOKUP(N1,'השקעות 2012-2014'!$1:$125,35,0)+HLOOKUP(N1,'השקעות 2012-2014'!$1:$124,118,0))</f>
        <v>23222</v>
      </c>
      <c r="O37" s="5">
        <f>+IF(HLOOKUP(O1,'השקעות 2012-2014'!$1:$124,103,0)="לא",0,+HLOOKUP(O1,'השקעות 2012-2014'!$1:$125,35,0)+HLOOKUP(O1,'השקעות 2012-2014'!$1:$124,118,0))</f>
        <v>0</v>
      </c>
      <c r="P37" s="5">
        <f>+IF(HLOOKUP(P1,'השקעות 2012-2014'!$1:$124,103,0)="לא",0,+HLOOKUP(P1,'השקעות 2012-2014'!$1:$125,35,0)+HLOOKUP(P1,'השקעות 2012-2014'!$1:$124,118,0))</f>
        <v>0</v>
      </c>
      <c r="Q37" s="5">
        <f>+IF(HLOOKUP(Q1,'השקעות 2012-2014'!$1:$124,103,0)="לא",0,+HLOOKUP(Q1,'השקעות 2012-2014'!$1:$125,35,0)+HLOOKUP(Q1,'השקעות 2012-2014'!$1:$124,118,0))</f>
        <v>0</v>
      </c>
      <c r="R37" s="5">
        <f>+IF(HLOOKUP(R1,'השקעות 2012-2014'!$1:$124,103,0)="לא",0,+HLOOKUP(R1,'השקעות 2012-2014'!$1:$125,35,0)+HLOOKUP(R1,'השקעות 2012-2014'!$1:$124,118,0))</f>
        <v>1438</v>
      </c>
      <c r="S37" s="5">
        <f>+IF(HLOOKUP(S1,'השקעות 2012-2014'!$1:$124,103,0)="לא",0,+HLOOKUP(S1,'השקעות 2012-2014'!$1:$125,35,0)+HLOOKUP(S1,'השקעות 2012-2014'!$1:$124,118,0))</f>
        <v>0</v>
      </c>
      <c r="T37" s="5">
        <f>+IF(HLOOKUP(T1,'השקעות 2012-2014'!$1:$124,103,0)="לא",0,+HLOOKUP(T1,'השקעות 2012-2014'!$1:$125,35,0)+HLOOKUP(T1,'השקעות 2012-2014'!$1:$124,118,0))</f>
        <v>480</v>
      </c>
      <c r="U37" s="5">
        <f>+IF(HLOOKUP(U1,'השקעות 2012-2014'!$1:$124,103,0)="לא",0,+HLOOKUP(U1,'השקעות 2012-2014'!$1:$125,35,0)+HLOOKUP(U1,'השקעות 2012-2014'!$1:$124,118,0))</f>
        <v>182</v>
      </c>
      <c r="V37" s="5">
        <f>+IF(HLOOKUP(V1,'השקעות 2012-2014'!$1:$124,103,0)="לא",0,+HLOOKUP(V1,'השקעות 2012-2014'!$1:$125,35,0)+HLOOKUP(V1,'השקעות 2012-2014'!$1:$124,118,0))</f>
        <v>216</v>
      </c>
      <c r="W37" s="5">
        <f>+IF(HLOOKUP(W1,'השקעות 2012-2014'!$1:$124,103,0)="לא",0,+HLOOKUP(W1,'השקעות 2012-2014'!$1:$125,35,0)+HLOOKUP(W1,'השקעות 2012-2014'!$1:$124,118,0))</f>
        <v>480</v>
      </c>
      <c r="X37" s="5">
        <f>+IF(HLOOKUP(X1,'השקעות 2012-2014'!$1:$124,103,0)="לא",0,+HLOOKUP(X1,'השקעות 2012-2014'!$1:$125,35,0)+HLOOKUP(X1,'השקעות 2012-2014'!$1:$124,118,0))</f>
        <v>544</v>
      </c>
      <c r="Y37" s="5">
        <f>+IF(HLOOKUP(Y1,'השקעות 2012-2014'!$1:$124,103,0)="לא",0,+HLOOKUP(Y1,'השקעות 2012-2014'!$1:$125,35,0)+HLOOKUP(Y1,'השקעות 2012-2014'!$1:$124,118,0))</f>
        <v>783</v>
      </c>
      <c r="Z37" s="5">
        <f>+IF(HLOOKUP(Z1,'השקעות 2012-2014'!$1:$124,103,0)="לא",0,+HLOOKUP(Z1,'השקעות 2012-2014'!$1:$125,35,0)+HLOOKUP(Z1,'השקעות 2012-2014'!$1:$124,118,0))</f>
        <v>0</v>
      </c>
      <c r="AA37" s="5">
        <f>+IF(HLOOKUP(AA1,'השקעות 2012-2014'!$1:$124,103,0)="לא",0,+HLOOKUP(AA1,'השקעות 2012-2014'!$1:$125,35,0)+HLOOKUP(AA1,'השקעות 2012-2014'!$1:$124,118,0))</f>
        <v>0</v>
      </c>
      <c r="AB37" s="5">
        <f>+IF(HLOOKUP(AB1,'השקעות 2012-2014'!$1:$124,103,0)="לא",0,+HLOOKUP(AB1,'השקעות 2012-2014'!$1:$125,35,0)+HLOOKUP(AB1,'השקעות 2012-2014'!$1:$124,118,0))</f>
        <v>0</v>
      </c>
      <c r="AC37" s="5">
        <f>+IF(HLOOKUP(AC1,'השקעות 2012-2014'!$1:$124,103,0)="לא",0,+HLOOKUP(AC1,'השקעות 2012-2014'!$1:$125,35,0)+HLOOKUP(AC1,'השקעות 2012-2014'!$1:$124,118,0))</f>
        <v>0</v>
      </c>
      <c r="AD37" s="5">
        <f>+IF(HLOOKUP(AD1,'השקעות 2012-2014'!$1:$124,103,0)="לא",0,+HLOOKUP(AD1,'השקעות 2012-2014'!$1:$125,35,0)+HLOOKUP(AD1,'השקעות 2012-2014'!$1:$124,118,0))</f>
        <v>0</v>
      </c>
      <c r="AE37" s="5">
        <f>+IF(HLOOKUP(AE1,'השקעות 2012-2014'!$1:$124,103,0)="לא",0,+HLOOKUP(AE1,'השקעות 2012-2014'!$1:$125,35,0)+HLOOKUP(AE1,'השקעות 2012-2014'!$1:$124,118,0))</f>
        <v>4772</v>
      </c>
      <c r="AF37" s="5">
        <f>+IF(HLOOKUP(AF1,'השקעות 2012-2014'!$1:$124,103,0)="לא",0,+HLOOKUP(AF1,'השקעות 2012-2014'!$1:$125,35,0)+HLOOKUP(AF1,'השקעות 2012-2014'!$1:$124,118,0))</f>
        <v>9904</v>
      </c>
      <c r="AG37" s="5">
        <f>+IF(HLOOKUP(AG1,'השקעות 2012-2014'!$1:$124,103,0)="לא",0,+HLOOKUP(AG1,'השקעות 2012-2014'!$1:$125,35,0)+HLOOKUP(AG1,'השקעות 2012-2014'!$1:$124,118,0))</f>
        <v>0</v>
      </c>
      <c r="AH37" s="5">
        <f>+IF(HLOOKUP(AH1,'השקעות 2012-2014'!$1:$124,103,0)="לא",0,+HLOOKUP(AH1,'השקעות 2012-2014'!$1:$125,35,0)+HLOOKUP(AH1,'השקעות 2012-2014'!$1:$124,118,0))</f>
        <v>0</v>
      </c>
      <c r="AI37" s="5">
        <f>+IF(HLOOKUP(AI1,'השקעות 2012-2014'!$1:$124,103,0)="לא",0,+HLOOKUP(AI1,'השקעות 2012-2014'!$1:$125,35,0)+HLOOKUP(AI1,'השקעות 2012-2014'!$1:$124,118,0))</f>
        <v>0</v>
      </c>
      <c r="AJ37" s="5">
        <f>+IF(HLOOKUP(AJ1,'השקעות 2012-2014'!$1:$124,103,0)="לא",0,+HLOOKUP(AJ1,'השקעות 2012-2014'!$1:$125,35,0)+HLOOKUP(AJ1,'השקעות 2012-2014'!$1:$124,118,0))</f>
        <v>3807</v>
      </c>
      <c r="AK37" s="5">
        <f>+IF(HLOOKUP(AK1,'השקעות 2012-2014'!$1:$124,103,0)="לא",0,+HLOOKUP(AK1,'השקעות 2012-2014'!$1:$125,35,0)+HLOOKUP(AK1,'השקעות 2012-2014'!$1:$124,118,0))</f>
        <v>0</v>
      </c>
      <c r="AL37" s="5">
        <f>+IF(HLOOKUP(AL1,'השקעות 2012-2014'!$1:$124,103,0)="לא",0,+HLOOKUP(AL1,'השקעות 2012-2014'!$1:$125,35,0)+HLOOKUP(AL1,'השקעות 2012-2014'!$1:$124,118,0))</f>
        <v>0</v>
      </c>
      <c r="AM37" s="5">
        <f>+IF(HLOOKUP(AM1,'השקעות 2012-2014'!$1:$124,103,0)="לא",0,+HLOOKUP(AM1,'השקעות 2012-2014'!$1:$125,35,0)+HLOOKUP(AM1,'השקעות 2012-2014'!$1:$124,118,0))</f>
        <v>0</v>
      </c>
      <c r="AN37" s="5">
        <f>+IF(HLOOKUP(AN1,'השקעות 2012-2014'!$1:$124,103,0)="לא",0,+HLOOKUP(AN1,'השקעות 2012-2014'!$1:$125,35,0)+HLOOKUP(AN1,'השקעות 2012-2014'!$1:$124,118,0))</f>
        <v>776</v>
      </c>
      <c r="AO37" s="5">
        <f>+IF(HLOOKUP(AO1,'השקעות 2012-2014'!$1:$124,103,0)="לא",0,+HLOOKUP(AO1,'השקעות 2012-2014'!$1:$125,35,0)+HLOOKUP(AO1,'השקעות 2012-2014'!$1:$124,118,0))</f>
        <v>0</v>
      </c>
      <c r="AP37" s="5">
        <f>+IF(HLOOKUP(AP1,'השקעות 2012-2014'!$1:$124,103,0)="לא",0,+HLOOKUP(AP1,'השקעות 2012-2014'!$1:$125,35,0)+HLOOKUP(AP1,'השקעות 2012-2014'!$1:$124,118,0))</f>
        <v>776</v>
      </c>
      <c r="AQ37" s="5">
        <f>+IF(HLOOKUP(AQ1,'השקעות 2012-2014'!$1:$124,103,0)="לא",0,+HLOOKUP(AQ1,'השקעות 2012-2014'!$1:$125,35,0)+HLOOKUP(AQ1,'השקעות 2012-2014'!$1:$124,118,0))</f>
        <v>0</v>
      </c>
      <c r="AR37" s="5">
        <f>+IF(HLOOKUP(AR1,'השקעות 2012-2014'!$1:$124,103,0)="לא",0,+HLOOKUP(AR1,'השקעות 2012-2014'!$1:$125,35,0)+HLOOKUP(AR1,'השקעות 2012-2014'!$1:$124,118,0))</f>
        <v>0</v>
      </c>
      <c r="AS37" s="5">
        <f>+IF(HLOOKUP(AS1,'השקעות 2012-2014'!$1:$124,103,0)="לא",0,+HLOOKUP(AS1,'השקעות 2012-2014'!$1:$125,35,0)+HLOOKUP(AS1,'השקעות 2012-2014'!$1:$124,118,0))</f>
        <v>0</v>
      </c>
      <c r="AT37" s="5">
        <f>+IF(HLOOKUP(AT1,'השקעות 2012-2014'!$1:$124,103,0)="לא",0,+HLOOKUP(AT1,'השקעות 2012-2014'!$1:$125,35,0)+HLOOKUP(AT1,'השקעות 2012-2014'!$1:$124,118,0))</f>
        <v>17463</v>
      </c>
      <c r="AU37" s="5">
        <f>+IF(HLOOKUP(AU1,'השקעות 2012-2014'!$1:$124,103,0)="לא",0,+HLOOKUP(AU1,'השקעות 2012-2014'!$1:$125,35,0)+HLOOKUP(AU1,'השקעות 2012-2014'!$1:$124,118,0))</f>
        <v>0</v>
      </c>
      <c r="AV37" s="5">
        <f>+IF(HLOOKUP(AV1,'השקעות 2012-2014'!$1:$124,103,0)="לא",0,+HLOOKUP(AV1,'השקעות 2012-2014'!$1:$125,35,0)+HLOOKUP(AV1,'השקעות 2012-2014'!$1:$124,118,0))</f>
        <v>0</v>
      </c>
      <c r="AW37" s="5">
        <f>+IF(HLOOKUP(AW1,'השקעות 2012-2014'!$1:$124,103,0)="לא",0,+HLOOKUP(AW1,'השקעות 2012-2014'!$1:$125,35,0)+HLOOKUP(AW1,'השקעות 2012-2014'!$1:$124,118,0))</f>
        <v>3</v>
      </c>
      <c r="AX37" s="5">
        <f>+IF(HLOOKUP(AX1,'השקעות 2012-2014'!$1:$124,103,0)="לא",0,+HLOOKUP(AX1,'השקעות 2012-2014'!$1:$125,35,0)+HLOOKUP(AX1,'השקעות 2012-2014'!$1:$124,118,0))</f>
        <v>0</v>
      </c>
      <c r="AY37" s="5">
        <f>+IF(HLOOKUP(AY1,'השקעות 2012-2014'!$1:$124,103,0)="לא",0,+HLOOKUP(AY1,'השקעות 2012-2014'!$1:$125,35,0)+HLOOKUP(AY1,'השקעות 2012-2014'!$1:$124,118,0))</f>
        <v>0</v>
      </c>
      <c r="AZ37" s="5">
        <f>+IF(HLOOKUP(AZ1,'השקעות 2012-2014'!$1:$124,103,0)="לא",0,+HLOOKUP(AZ1,'השקעות 2012-2014'!$1:$125,35,0)+HLOOKUP(AZ1,'השקעות 2012-2014'!$1:$124,118,0))</f>
        <v>0</v>
      </c>
      <c r="BA37" s="5">
        <f>+IF(HLOOKUP(BA1,'השקעות 2012-2014'!$1:$124,103,0)="לא",0,+HLOOKUP(BA1,'השקעות 2012-2014'!$1:$125,35,0)+HLOOKUP(BA1,'השקעות 2012-2014'!$1:$124,118,0))</f>
        <v>0</v>
      </c>
      <c r="BB37" s="5">
        <f>+IF(HLOOKUP(BB1,'השקעות 2012-2014'!$1:$124,103,0)="לא",0,+HLOOKUP(BB1,'השקעות 2012-2014'!$1:$125,35,0)+HLOOKUP(BB1,'השקעות 2012-2014'!$1:$124,118,0))</f>
        <v>0</v>
      </c>
      <c r="BC37" s="5">
        <f>+IF(HLOOKUP(BC1,'השקעות 2012-2014'!$1:$124,103,0)="לא",0,+HLOOKUP(BC1,'השקעות 2012-2014'!$1:$125,35,0)+HLOOKUP(BC1,'השקעות 2012-2014'!$1:$124,118,0))</f>
        <v>0</v>
      </c>
      <c r="BD37" s="5">
        <f>+IF(HLOOKUP(BD1,'השקעות 2012-2014'!$1:$124,103,0)="לא",0,+HLOOKUP(BD1,'השקעות 2012-2014'!$1:$125,35,0)+HLOOKUP(BD1,'השקעות 2012-2014'!$1:$124,118,0))</f>
        <v>0</v>
      </c>
      <c r="BE37" s="5">
        <f>+IF(HLOOKUP(BE1,'השקעות 2012-2014'!$1:$124,103,0)="לא",0,+HLOOKUP(BE1,'השקעות 2012-2014'!$1:$125,35,0)+HLOOKUP(BE1,'השקעות 2012-2014'!$1:$124,118,0))</f>
        <v>0</v>
      </c>
      <c r="BF37" s="5">
        <f>+IF(HLOOKUP(BF1,'השקעות 2012-2014'!$1:$124,103,0)="לא",0,+HLOOKUP(BF1,'השקעות 2012-2014'!$1:$125,35,0)+HLOOKUP(BF1,'השקעות 2012-2014'!$1:$124,118,0))</f>
        <v>0</v>
      </c>
    </row>
    <row r="38" spans="1:58" x14ac:dyDescent="0.2">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row>
    <row r="39" spans="1:58" x14ac:dyDescent="0.2">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c r="AJ39" s="47"/>
      <c r="AK39" s="47"/>
      <c r="AL39" s="47"/>
      <c r="AM39" s="47"/>
      <c r="AN39" s="47"/>
      <c r="AO39" s="47"/>
      <c r="AP39" s="47"/>
      <c r="AQ39" s="47"/>
      <c r="AR39" s="47"/>
      <c r="AS39" s="47"/>
      <c r="AT39" s="47"/>
      <c r="AU39" s="47"/>
      <c r="AV39" s="47"/>
      <c r="AW39" s="47"/>
      <c r="AX39" s="47"/>
      <c r="AY39" s="47"/>
      <c r="AZ39" s="47"/>
      <c r="BA39" s="47"/>
      <c r="BB39" s="47"/>
      <c r="BC39" s="47"/>
      <c r="BD39" s="47"/>
      <c r="BE39" s="47"/>
      <c r="BF39" s="47"/>
    </row>
    <row r="40" spans="1:58" x14ac:dyDescent="0.2">
      <c r="B40" t="s">
        <v>669</v>
      </c>
      <c r="D40" s="47">
        <f>SUM(D33:D34)</f>
        <v>0</v>
      </c>
      <c r="E40" s="47">
        <f t="shared" ref="E40:BF40" si="2">SUM(E33:E34)</f>
        <v>0</v>
      </c>
      <c r="F40" s="47">
        <f t="shared" si="2"/>
        <v>230</v>
      </c>
      <c r="G40" s="47">
        <f t="shared" si="2"/>
        <v>0</v>
      </c>
      <c r="H40" s="47">
        <f t="shared" si="2"/>
        <v>109</v>
      </c>
      <c r="I40" s="47">
        <f t="shared" si="2"/>
        <v>0</v>
      </c>
      <c r="J40" s="47">
        <f t="shared" si="2"/>
        <v>0</v>
      </c>
      <c r="K40" s="47">
        <f t="shared" si="2"/>
        <v>5</v>
      </c>
      <c r="L40" s="47">
        <f t="shared" si="2"/>
        <v>969</v>
      </c>
      <c r="M40" s="47">
        <f t="shared" si="2"/>
        <v>0</v>
      </c>
      <c r="N40" s="47">
        <f t="shared" si="2"/>
        <v>0</v>
      </c>
      <c r="O40" s="47">
        <f t="shared" si="2"/>
        <v>0</v>
      </c>
      <c r="P40" s="47">
        <f t="shared" si="2"/>
        <v>0</v>
      </c>
      <c r="Q40" s="47">
        <f t="shared" si="2"/>
        <v>0</v>
      </c>
      <c r="R40" s="47">
        <f t="shared" si="2"/>
        <v>278</v>
      </c>
      <c r="S40" s="47">
        <f t="shared" si="2"/>
        <v>0</v>
      </c>
      <c r="T40" s="47">
        <f t="shared" si="2"/>
        <v>0</v>
      </c>
      <c r="U40" s="47">
        <f t="shared" si="2"/>
        <v>1001.4906</v>
      </c>
      <c r="V40" s="47">
        <f t="shared" si="2"/>
        <v>132</v>
      </c>
      <c r="W40" s="47">
        <f t="shared" si="2"/>
        <v>47</v>
      </c>
      <c r="X40" s="47">
        <f t="shared" si="2"/>
        <v>0</v>
      </c>
      <c r="Y40" s="47">
        <f t="shared" si="2"/>
        <v>672</v>
      </c>
      <c r="Z40" s="47">
        <f t="shared" si="2"/>
        <v>0</v>
      </c>
      <c r="AA40" s="47">
        <f t="shared" si="2"/>
        <v>0</v>
      </c>
      <c r="AB40" s="47">
        <f t="shared" si="2"/>
        <v>0</v>
      </c>
      <c r="AC40" s="47">
        <f t="shared" si="2"/>
        <v>0</v>
      </c>
      <c r="AD40" s="47">
        <f t="shared" si="2"/>
        <v>398.87400000000002</v>
      </c>
      <c r="AE40" s="47">
        <f t="shared" si="2"/>
        <v>102</v>
      </c>
      <c r="AF40" s="47">
        <f t="shared" si="2"/>
        <v>8079</v>
      </c>
      <c r="AG40" s="47">
        <f t="shared" si="2"/>
        <v>0</v>
      </c>
      <c r="AH40" s="47">
        <f t="shared" si="2"/>
        <v>0</v>
      </c>
      <c r="AI40" s="47">
        <f t="shared" si="2"/>
        <v>0</v>
      </c>
      <c r="AJ40" s="47">
        <f t="shared" si="2"/>
        <v>68</v>
      </c>
      <c r="AK40" s="47">
        <f t="shared" si="2"/>
        <v>0</v>
      </c>
      <c r="AL40" s="47">
        <f t="shared" si="2"/>
        <v>0</v>
      </c>
      <c r="AM40" s="47">
        <f t="shared" si="2"/>
        <v>0</v>
      </c>
      <c r="AN40" s="47">
        <f t="shared" si="2"/>
        <v>35</v>
      </c>
      <c r="AO40" s="47">
        <f t="shared" si="2"/>
        <v>0</v>
      </c>
      <c r="AP40" s="47">
        <f t="shared" si="2"/>
        <v>0</v>
      </c>
      <c r="AQ40" s="47">
        <f t="shared" si="2"/>
        <v>0</v>
      </c>
      <c r="AR40" s="47">
        <f t="shared" si="2"/>
        <v>0</v>
      </c>
      <c r="AS40" s="47">
        <f t="shared" si="2"/>
        <v>130</v>
      </c>
      <c r="AT40" s="47">
        <f t="shared" si="2"/>
        <v>0</v>
      </c>
      <c r="AU40" s="47">
        <f t="shared" si="2"/>
        <v>0</v>
      </c>
      <c r="AV40" s="47">
        <f t="shared" si="2"/>
        <v>0</v>
      </c>
      <c r="AW40" s="47">
        <f t="shared" si="2"/>
        <v>0</v>
      </c>
      <c r="AX40" s="47">
        <f t="shared" si="2"/>
        <v>15</v>
      </c>
      <c r="AY40" s="47">
        <f t="shared" si="2"/>
        <v>0</v>
      </c>
      <c r="AZ40" s="47">
        <f t="shared" si="2"/>
        <v>0</v>
      </c>
      <c r="BA40" s="47">
        <f t="shared" si="2"/>
        <v>12</v>
      </c>
      <c r="BB40" s="47">
        <f t="shared" si="2"/>
        <v>0</v>
      </c>
      <c r="BC40" s="47">
        <f t="shared" si="2"/>
        <v>0</v>
      </c>
      <c r="BD40" s="47">
        <f t="shared" si="2"/>
        <v>0</v>
      </c>
      <c r="BE40" s="47">
        <f t="shared" si="2"/>
        <v>9.5</v>
      </c>
      <c r="BF40" s="47">
        <f t="shared" si="2"/>
        <v>0</v>
      </c>
    </row>
    <row r="41" spans="1:58" x14ac:dyDescent="0.2">
      <c r="D41" s="47"/>
      <c r="E41" s="47"/>
      <c r="F41" s="47"/>
      <c r="G41" s="47"/>
      <c r="H41" s="47"/>
      <c r="I41" s="47"/>
      <c r="J41" s="47"/>
      <c r="K41" s="47"/>
      <c r="L41" s="47"/>
      <c r="M41" s="47"/>
      <c r="N41" s="47"/>
      <c r="O41" s="47"/>
      <c r="P41" s="47"/>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row>
    <row r="42" spans="1:58" x14ac:dyDescent="0.2">
      <c r="D42" s="47"/>
      <c r="E42" s="47"/>
      <c r="F42" s="47"/>
      <c r="G42" s="47"/>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7"/>
      <c r="BF42" s="47"/>
    </row>
    <row r="43" spans="1:58" s="648" customFormat="1" ht="18.75" customHeight="1" x14ac:dyDescent="0.2">
      <c r="A43" s="646"/>
      <c r="B43" s="811" t="s">
        <v>164</v>
      </c>
      <c r="C43" s="646"/>
      <c r="D43" s="646">
        <f>SUM(D33:D37)</f>
        <v>0</v>
      </c>
      <c r="E43" s="646">
        <f t="shared" ref="E43:BF43" si="3">SUM(E33:E37)</f>
        <v>21</v>
      </c>
      <c r="F43" s="646">
        <f t="shared" si="3"/>
        <v>230</v>
      </c>
      <c r="G43" s="646">
        <f t="shared" si="3"/>
        <v>0</v>
      </c>
      <c r="H43" s="646">
        <f t="shared" si="3"/>
        <v>109</v>
      </c>
      <c r="I43" s="646">
        <f t="shared" si="3"/>
        <v>3409</v>
      </c>
      <c r="J43" s="646">
        <f t="shared" si="3"/>
        <v>190</v>
      </c>
      <c r="K43" s="646">
        <f t="shared" si="3"/>
        <v>32</v>
      </c>
      <c r="L43" s="646">
        <f t="shared" si="3"/>
        <v>1063</v>
      </c>
      <c r="M43" s="646">
        <f t="shared" si="3"/>
        <v>484</v>
      </c>
      <c r="N43" s="646">
        <f t="shared" si="3"/>
        <v>23222</v>
      </c>
      <c r="O43" s="646">
        <f t="shared" si="3"/>
        <v>0</v>
      </c>
      <c r="P43" s="646">
        <f t="shared" si="3"/>
        <v>0</v>
      </c>
      <c r="Q43" s="646">
        <f t="shared" si="3"/>
        <v>0</v>
      </c>
      <c r="R43" s="646">
        <f t="shared" si="3"/>
        <v>1716</v>
      </c>
      <c r="S43" s="646">
        <f t="shared" si="3"/>
        <v>702.21299999999997</v>
      </c>
      <c r="T43" s="646">
        <f t="shared" si="3"/>
        <v>513</v>
      </c>
      <c r="U43" s="646">
        <f t="shared" si="3"/>
        <v>1183.4906000000001</v>
      </c>
      <c r="V43" s="646">
        <f t="shared" si="3"/>
        <v>348</v>
      </c>
      <c r="W43" s="646">
        <f t="shared" si="3"/>
        <v>527</v>
      </c>
      <c r="X43" s="646">
        <f t="shared" si="3"/>
        <v>544</v>
      </c>
      <c r="Y43" s="646">
        <f t="shared" si="3"/>
        <v>1532</v>
      </c>
      <c r="Z43" s="646">
        <f t="shared" si="3"/>
        <v>0</v>
      </c>
      <c r="AA43" s="646">
        <f t="shared" si="3"/>
        <v>70</v>
      </c>
      <c r="AB43" s="646">
        <f t="shared" si="3"/>
        <v>59</v>
      </c>
      <c r="AC43" s="646">
        <f t="shared" si="3"/>
        <v>0</v>
      </c>
      <c r="AD43" s="646">
        <f t="shared" si="3"/>
        <v>398.87400000000002</v>
      </c>
      <c r="AE43" s="646">
        <f t="shared" si="3"/>
        <v>11325</v>
      </c>
      <c r="AF43" s="646">
        <f t="shared" si="3"/>
        <v>21564</v>
      </c>
      <c r="AG43" s="646">
        <f t="shared" si="3"/>
        <v>0</v>
      </c>
      <c r="AH43" s="646">
        <f t="shared" si="3"/>
        <v>0</v>
      </c>
      <c r="AI43" s="646">
        <f t="shared" si="3"/>
        <v>0</v>
      </c>
      <c r="AJ43" s="646">
        <f t="shared" si="3"/>
        <v>3875</v>
      </c>
      <c r="AK43" s="646">
        <f t="shared" si="3"/>
        <v>0</v>
      </c>
      <c r="AL43" s="646">
        <f t="shared" si="3"/>
        <v>0</v>
      </c>
      <c r="AM43" s="646">
        <f t="shared" si="3"/>
        <v>0</v>
      </c>
      <c r="AN43" s="646">
        <f t="shared" si="3"/>
        <v>4481</v>
      </c>
      <c r="AO43" s="646">
        <f t="shared" si="3"/>
        <v>0</v>
      </c>
      <c r="AP43" s="646">
        <f t="shared" si="3"/>
        <v>776</v>
      </c>
      <c r="AQ43" s="646">
        <f t="shared" si="3"/>
        <v>0</v>
      </c>
      <c r="AR43" s="646">
        <f t="shared" si="3"/>
        <v>2590</v>
      </c>
      <c r="AS43" s="646">
        <f t="shared" si="3"/>
        <v>130</v>
      </c>
      <c r="AT43" s="646">
        <f t="shared" si="3"/>
        <v>47065</v>
      </c>
      <c r="AU43" s="646">
        <f t="shared" si="3"/>
        <v>0</v>
      </c>
      <c r="AV43" s="646">
        <f t="shared" si="3"/>
        <v>0</v>
      </c>
      <c r="AW43" s="646">
        <f t="shared" si="3"/>
        <v>50</v>
      </c>
      <c r="AX43" s="646">
        <f t="shared" si="3"/>
        <v>88</v>
      </c>
      <c r="AY43" s="646">
        <f t="shared" si="3"/>
        <v>0</v>
      </c>
      <c r="AZ43" s="646">
        <f t="shared" si="3"/>
        <v>0</v>
      </c>
      <c r="BA43" s="646">
        <f t="shared" si="3"/>
        <v>419</v>
      </c>
      <c r="BB43" s="646">
        <f t="shared" si="3"/>
        <v>0</v>
      </c>
      <c r="BC43" s="646">
        <f t="shared" si="3"/>
        <v>1082</v>
      </c>
      <c r="BD43" s="646">
        <f t="shared" si="3"/>
        <v>6</v>
      </c>
      <c r="BE43" s="646">
        <f t="shared" si="3"/>
        <v>339.5</v>
      </c>
      <c r="BF43" s="646">
        <f t="shared" si="3"/>
        <v>0</v>
      </c>
    </row>
    <row r="44" spans="1:58" x14ac:dyDescent="0.2">
      <c r="A44" s="16" t="s">
        <v>151</v>
      </c>
      <c r="D44" s="351"/>
      <c r="E44" s="351"/>
      <c r="F44" s="351"/>
      <c r="G44" s="351"/>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row>
    <row r="45" spans="1:58" x14ac:dyDescent="0.2">
      <c r="A45" s="1245"/>
      <c r="B45">
        <v>2010</v>
      </c>
      <c r="D45" s="1246"/>
      <c r="E45" s="1246"/>
      <c r="F45" s="1246"/>
      <c r="G45" s="1246"/>
      <c r="H45" s="1246"/>
      <c r="I45" s="1246"/>
      <c r="J45" s="1246"/>
      <c r="K45" s="1246"/>
      <c r="L45" s="1246"/>
      <c r="M45" s="1246">
        <f>940-940</f>
        <v>0</v>
      </c>
      <c r="N45" s="1246"/>
      <c r="O45" s="1246"/>
      <c r="P45" s="1246"/>
      <c r="Q45" s="1246"/>
      <c r="R45" s="1246"/>
      <c r="S45" s="1246"/>
      <c r="T45" s="1246"/>
      <c r="U45" s="1246"/>
      <c r="V45" s="1246"/>
      <c r="W45" s="1246"/>
      <c r="X45" s="1246"/>
      <c r="Y45" s="1246"/>
      <c r="Z45" s="1246"/>
      <c r="AA45" s="1246"/>
      <c r="AB45" s="1246"/>
      <c r="AC45" s="1246"/>
      <c r="AD45" s="1246"/>
      <c r="AE45" s="1246"/>
      <c r="AF45" s="1246"/>
      <c r="AG45" s="1246"/>
      <c r="AH45" s="1246"/>
      <c r="AI45" s="1246"/>
      <c r="AJ45" s="1246"/>
      <c r="AK45" s="1246"/>
      <c r="AL45" s="1246"/>
      <c r="AM45" s="1246"/>
      <c r="AN45" s="1246"/>
      <c r="AO45" s="1246"/>
      <c r="AP45" s="1246"/>
      <c r="AQ45" s="1246"/>
      <c r="AR45" s="1246"/>
      <c r="AS45" s="1246"/>
      <c r="AT45" s="1246"/>
      <c r="AU45" s="1246">
        <v>6000</v>
      </c>
      <c r="AV45" s="1246"/>
      <c r="AW45" s="1246"/>
      <c r="AX45" s="1246"/>
      <c r="AY45" s="1246"/>
      <c r="AZ45" s="1246"/>
      <c r="BA45" s="1246"/>
      <c r="BB45" s="1246"/>
      <c r="BC45" s="1246"/>
      <c r="BD45" s="1246"/>
      <c r="BE45" s="1246"/>
      <c r="BF45" s="1246"/>
    </row>
    <row r="46" spans="1:58" s="17" customFormat="1" x14ac:dyDescent="0.2">
      <c r="A46" s="1247" t="s">
        <v>1169</v>
      </c>
      <c r="B46" s="745">
        <v>2011</v>
      </c>
      <c r="D46" s="1249">
        <v>927</v>
      </c>
      <c r="E46" s="1249">
        <v>268</v>
      </c>
      <c r="F46" s="1249">
        <v>0</v>
      </c>
      <c r="G46" s="1249">
        <v>0</v>
      </c>
      <c r="H46" s="1249">
        <v>0</v>
      </c>
      <c r="I46" s="1249">
        <v>0</v>
      </c>
      <c r="J46" s="1249">
        <v>3023</v>
      </c>
      <c r="K46" s="1249">
        <v>0</v>
      </c>
      <c r="L46" s="1249">
        <v>214</v>
      </c>
      <c r="M46" s="1249">
        <v>0</v>
      </c>
      <c r="N46" s="1249">
        <v>0</v>
      </c>
      <c r="O46" s="1249">
        <v>0</v>
      </c>
      <c r="P46" s="1249">
        <v>0</v>
      </c>
      <c r="Q46" s="1249">
        <v>0</v>
      </c>
      <c r="R46" s="1249">
        <v>0</v>
      </c>
      <c r="S46" s="1249">
        <v>0</v>
      </c>
      <c r="T46" s="1249">
        <v>0</v>
      </c>
      <c r="U46" s="1249">
        <v>34</v>
      </c>
      <c r="V46" s="1249">
        <v>0</v>
      </c>
      <c r="W46" s="1249">
        <v>0</v>
      </c>
      <c r="X46" s="1249">
        <v>0</v>
      </c>
      <c r="Y46" s="1249">
        <v>0</v>
      </c>
      <c r="Z46" s="1249">
        <v>0</v>
      </c>
      <c r="AA46" s="1249">
        <v>0</v>
      </c>
      <c r="AB46" s="1249">
        <v>0</v>
      </c>
      <c r="AC46" s="1249">
        <v>0</v>
      </c>
      <c r="AD46" s="1249">
        <v>0</v>
      </c>
      <c r="AE46" s="1249">
        <v>81</v>
      </c>
      <c r="AF46" s="1249">
        <v>0</v>
      </c>
      <c r="AG46" s="1249">
        <v>0</v>
      </c>
      <c r="AH46" s="1249">
        <v>23</v>
      </c>
      <c r="AI46" s="1249">
        <v>0</v>
      </c>
      <c r="AJ46" s="1249">
        <v>0</v>
      </c>
      <c r="AK46" s="1249">
        <v>0</v>
      </c>
      <c r="AL46" s="1249">
        <v>0</v>
      </c>
      <c r="AM46" s="1249">
        <v>0</v>
      </c>
      <c r="AN46" s="1249">
        <v>0</v>
      </c>
      <c r="AO46" s="1249">
        <v>0</v>
      </c>
      <c r="AP46" s="1249">
        <v>0</v>
      </c>
      <c r="AQ46" s="1249">
        <v>0</v>
      </c>
      <c r="AR46" s="1249">
        <v>0</v>
      </c>
      <c r="AS46" s="1249">
        <v>0</v>
      </c>
      <c r="AT46" s="1249">
        <v>0</v>
      </c>
      <c r="AU46" s="1249">
        <v>57</v>
      </c>
      <c r="AV46" s="1249">
        <v>0</v>
      </c>
      <c r="AW46" s="1249">
        <v>0</v>
      </c>
      <c r="AX46" s="1249">
        <v>0</v>
      </c>
      <c r="AY46" s="1249">
        <v>0</v>
      </c>
      <c r="AZ46" s="1249">
        <v>0</v>
      </c>
      <c r="BA46" s="1249">
        <v>0</v>
      </c>
      <c r="BB46" s="1249">
        <v>0</v>
      </c>
      <c r="BC46" s="1249">
        <v>0</v>
      </c>
      <c r="BD46" s="1249">
        <v>0</v>
      </c>
      <c r="BE46" s="1249">
        <v>0</v>
      </c>
      <c r="BF46" s="1249">
        <v>0</v>
      </c>
    </row>
    <row r="47" spans="1:58" s="17" customFormat="1" x14ac:dyDescent="0.2">
      <c r="B47" s="745">
        <v>2012</v>
      </c>
      <c r="D47" s="814">
        <v>0</v>
      </c>
      <c r="E47" s="814">
        <v>587</v>
      </c>
      <c r="F47" s="814">
        <v>121</v>
      </c>
      <c r="G47" s="814">
        <v>0</v>
      </c>
      <c r="H47" s="814">
        <v>0</v>
      </c>
      <c r="I47" s="814">
        <v>0</v>
      </c>
      <c r="J47" s="814">
        <v>10</v>
      </c>
      <c r="K47" s="814">
        <v>0</v>
      </c>
      <c r="L47" s="814">
        <v>66</v>
      </c>
      <c r="M47" s="814">
        <v>0</v>
      </c>
      <c r="N47" s="814">
        <v>0</v>
      </c>
      <c r="O47" s="814">
        <v>0</v>
      </c>
      <c r="P47" s="814">
        <v>0</v>
      </c>
      <c r="Q47" s="814">
        <v>0</v>
      </c>
      <c r="R47" s="814">
        <v>582</v>
      </c>
      <c r="S47" s="814">
        <v>129.35599999999999</v>
      </c>
      <c r="T47" s="814">
        <v>0</v>
      </c>
      <c r="U47" s="814">
        <v>0</v>
      </c>
      <c r="V47" s="814">
        <v>0</v>
      </c>
      <c r="W47" s="814">
        <v>549</v>
      </c>
      <c r="X47" s="814">
        <v>0</v>
      </c>
      <c r="Y47" s="814">
        <v>0</v>
      </c>
      <c r="Z47" s="814">
        <v>26</v>
      </c>
      <c r="AA47" s="814">
        <v>0</v>
      </c>
      <c r="AB47" s="814">
        <v>0</v>
      </c>
      <c r="AC47" s="814">
        <v>0</v>
      </c>
      <c r="AD47" s="814">
        <v>0</v>
      </c>
      <c r="AE47" s="814"/>
      <c r="AF47" s="814">
        <v>0</v>
      </c>
      <c r="AG47" s="814">
        <v>21</v>
      </c>
      <c r="AH47" s="814">
        <v>-40</v>
      </c>
      <c r="AI47" s="814">
        <v>0</v>
      </c>
      <c r="AJ47" s="814">
        <v>0</v>
      </c>
      <c r="AK47" s="814">
        <v>0</v>
      </c>
      <c r="AL47" s="814">
        <v>0</v>
      </c>
      <c r="AM47" s="814">
        <v>0</v>
      </c>
      <c r="AN47" s="814">
        <v>0</v>
      </c>
      <c r="AO47" s="814">
        <v>0</v>
      </c>
      <c r="AP47" s="814">
        <v>0</v>
      </c>
      <c r="AQ47" s="814">
        <v>0</v>
      </c>
      <c r="AR47" s="814">
        <v>1</v>
      </c>
      <c r="AS47" s="814">
        <v>2229</v>
      </c>
      <c r="AT47" s="814">
        <v>0</v>
      </c>
      <c r="AU47" s="814">
        <v>760</v>
      </c>
      <c r="AV47" s="814">
        <v>0</v>
      </c>
      <c r="AW47" s="814">
        <v>0</v>
      </c>
      <c r="AX47" s="814">
        <v>5300</v>
      </c>
      <c r="AY47" s="814">
        <v>0</v>
      </c>
      <c r="AZ47" s="814">
        <v>0</v>
      </c>
      <c r="BA47" s="814">
        <v>1</v>
      </c>
      <c r="BB47" s="814">
        <v>0</v>
      </c>
      <c r="BC47" s="814">
        <v>0</v>
      </c>
      <c r="BD47" s="814">
        <v>0</v>
      </c>
      <c r="BE47" s="814">
        <v>0</v>
      </c>
      <c r="BF47" s="814">
        <v>0</v>
      </c>
    </row>
    <row r="48" spans="1:58" s="17" customFormat="1" x14ac:dyDescent="0.2">
      <c r="B48" s="745">
        <v>2013</v>
      </c>
      <c r="D48" s="814">
        <f>+IF(HLOOKUP(D1,'השקעות 2012-2014'!$1:$124,101,0)="לא",0,+HLOOKUP(D1,'השקעות 2012-2014'!$1:$125,44,0)+HLOOKUP(D1,'השקעות 2012-2014'!$1:$124,110,0))</f>
        <v>0</v>
      </c>
      <c r="E48" s="814">
        <f>+IF(HLOOKUP(E1,'השקעות 2012-2014'!$1:$124,101,0)="לא",0,+HLOOKUP(E1,'השקעות 2012-2014'!$1:$125,44,0)+HLOOKUP(E1,'השקעות 2012-2014'!$1:$124,110,0))</f>
        <v>129</v>
      </c>
      <c r="F48" s="814">
        <f>+IF(HLOOKUP(F1,'השקעות 2012-2014'!$1:$124,101,0)="לא",0,+HLOOKUP(F1,'השקעות 2012-2014'!$1:$125,44,0)+HLOOKUP(F1,'השקעות 2012-2014'!$1:$124,110,0))</f>
        <v>90</v>
      </c>
      <c r="G48" s="814">
        <f>+IF(HLOOKUP(G1,'השקעות 2012-2014'!$1:$124,101,0)="לא",0,+HLOOKUP(G1,'השקעות 2012-2014'!$1:$125,44,0)+HLOOKUP(G1,'השקעות 2012-2014'!$1:$124,110,0))</f>
        <v>0</v>
      </c>
      <c r="H48" s="814">
        <f>+IF(HLOOKUP(H1,'השקעות 2012-2014'!$1:$124,101,0)="לא",0,+HLOOKUP(H1,'השקעות 2012-2014'!$1:$125,44,0)+HLOOKUP(H1,'השקעות 2012-2014'!$1:$124,110,0))</f>
        <v>0</v>
      </c>
      <c r="I48" s="814">
        <f>+IF(HLOOKUP(I1,'השקעות 2012-2014'!$1:$124,101,0)="לא",0,+HLOOKUP(I1,'השקעות 2012-2014'!$1:$125,44,0)+HLOOKUP(I1,'השקעות 2012-2014'!$1:$124,110,0))</f>
        <v>68</v>
      </c>
      <c r="J48" s="814">
        <f>+IF(HLOOKUP(J1,'השקעות 2012-2014'!$1:$124,101,0)="לא",0,+HLOOKUP(J1,'השקעות 2012-2014'!$1:$125,44,0)+HLOOKUP(J1,'השקעות 2012-2014'!$1:$124,110,0))</f>
        <v>188</v>
      </c>
      <c r="K48" s="814">
        <f>+IF(HLOOKUP(K1,'השקעות 2012-2014'!$1:$124,101,0)="לא",0,+HLOOKUP(K1,'השקעות 2012-2014'!$1:$125,44,0)+HLOOKUP(K1,'השקעות 2012-2014'!$1:$124,110,0))</f>
        <v>0</v>
      </c>
      <c r="L48" s="814">
        <f>+IF(HLOOKUP(L1,'השקעות 2012-2014'!$1:$124,101,0)="לא",0,+HLOOKUP(L1,'השקעות 2012-2014'!$1:$125,44,0)+HLOOKUP(L1,'השקעות 2012-2014'!$1:$124,110,0))</f>
        <v>0</v>
      </c>
      <c r="M48" s="814">
        <f>+IF(HLOOKUP(M1,'השקעות 2012-2014'!$1:$124,101,0)="לא",0,+HLOOKUP(M1,'השקעות 2012-2014'!$1:$125,44,0)+HLOOKUP(M1,'השקעות 2012-2014'!$1:$124,110,0))</f>
        <v>17</v>
      </c>
      <c r="N48" s="814">
        <f>+IF(HLOOKUP(N1,'השקעות 2012-2014'!$1:$124,101,0)="לא",0,+HLOOKUP(N1,'השקעות 2012-2014'!$1:$125,44,0)+HLOOKUP(N1,'השקעות 2012-2014'!$1:$124,110,0))</f>
        <v>0</v>
      </c>
      <c r="O48" s="814">
        <f>+IF(HLOOKUP(O1,'השקעות 2012-2014'!$1:$124,101,0)="לא",0,+HLOOKUP(O1,'השקעות 2012-2014'!$1:$125,44,0)+HLOOKUP(O1,'השקעות 2012-2014'!$1:$124,110,0))</f>
        <v>0</v>
      </c>
      <c r="P48" s="814">
        <f>+IF(HLOOKUP(P1,'השקעות 2012-2014'!$1:$124,101,0)="לא",0,+HLOOKUP(P1,'השקעות 2012-2014'!$1:$125,44,0)+HLOOKUP(P1,'השקעות 2012-2014'!$1:$124,110,0))</f>
        <v>0</v>
      </c>
      <c r="Q48" s="814">
        <f>+IF(HLOOKUP(Q1,'השקעות 2012-2014'!$1:$124,101,0)="לא",0,+HLOOKUP(Q1,'השקעות 2012-2014'!$1:$125,44,0)+HLOOKUP(Q1,'השקעות 2012-2014'!$1:$124,110,0))</f>
        <v>3968</v>
      </c>
      <c r="R48" s="814">
        <f>+IF(HLOOKUP(R1,'השקעות 2012-2014'!$1:$124,101,0)="לא",0,+HLOOKUP(R1,'השקעות 2012-2014'!$1:$125,44,0)+HLOOKUP(R1,'השקעות 2012-2014'!$1:$124,110,0))</f>
        <v>0</v>
      </c>
      <c r="S48" s="814">
        <f>+IF(HLOOKUP(S1,'השקעות 2012-2014'!$1:$124,101,0)="לא",0,+HLOOKUP(S1,'השקעות 2012-2014'!$1:$125,44,0)+HLOOKUP(S1,'השקעות 2012-2014'!$1:$124,110,0))</f>
        <v>0</v>
      </c>
      <c r="T48" s="814">
        <f>+IF(HLOOKUP(T1,'השקעות 2012-2014'!$1:$124,101,0)="לא",0,+HLOOKUP(T1,'השקעות 2012-2014'!$1:$125,44,0)+HLOOKUP(T1,'השקעות 2012-2014'!$1:$124,110,0))</f>
        <v>12</v>
      </c>
      <c r="U48" s="814">
        <f>+IF(HLOOKUP(U1,'השקעות 2012-2014'!$1:$124,101,0)="לא",0,+HLOOKUP(U1,'השקעות 2012-2014'!$1:$125,44,0)+HLOOKUP(U1,'השקעות 2012-2014'!$1:$124,110,0))</f>
        <v>0</v>
      </c>
      <c r="V48" s="814">
        <f>+IF(HLOOKUP(V1,'השקעות 2012-2014'!$1:$124,101,0)="לא",0,+HLOOKUP(V1,'השקעות 2012-2014'!$1:$125,44,0)+HLOOKUP(V1,'השקעות 2012-2014'!$1:$124,110,0))</f>
        <v>0</v>
      </c>
      <c r="W48" s="814">
        <f>+IF(HLOOKUP(W1,'השקעות 2012-2014'!$1:$124,101,0)="לא",0,+HLOOKUP(W1,'השקעות 2012-2014'!$1:$125,44,0)+HLOOKUP(W1,'השקעות 2012-2014'!$1:$124,110,0))</f>
        <v>1645</v>
      </c>
      <c r="X48" s="814">
        <f>+IF(HLOOKUP(X1,'השקעות 2012-2014'!$1:$124,101,0)="לא",0,+HLOOKUP(X1,'השקעות 2012-2014'!$1:$125,44,0)+HLOOKUP(X1,'השקעות 2012-2014'!$1:$124,110,0))</f>
        <v>330</v>
      </c>
      <c r="Y48" s="814">
        <f>+IF(HLOOKUP(Y1,'השקעות 2012-2014'!$1:$124,101,0)="לא",0,+HLOOKUP(Y1,'השקעות 2012-2014'!$1:$125,44,0)+HLOOKUP(Y1,'השקעות 2012-2014'!$1:$124,110,0))</f>
        <v>39</v>
      </c>
      <c r="Z48" s="814">
        <f>+IF(HLOOKUP(Z1,'השקעות 2012-2014'!$1:$124,101,0)="לא",0,+HLOOKUP(Z1,'השקעות 2012-2014'!$1:$125,44,0)+HLOOKUP(Z1,'השקעות 2012-2014'!$1:$124,110,0))</f>
        <v>44</v>
      </c>
      <c r="AA48" s="814">
        <f>+IF(HLOOKUP(AA1,'השקעות 2012-2014'!$1:$124,101,0)="לא",0,+HLOOKUP(AA1,'השקעות 2012-2014'!$1:$125,44,0)+HLOOKUP(AA1,'השקעות 2012-2014'!$1:$124,110,0))</f>
        <v>10</v>
      </c>
      <c r="AB48" s="814">
        <f>+IF(HLOOKUP(AB1,'השקעות 2012-2014'!$1:$124,101,0)="לא",0,+HLOOKUP(AB1,'השקעות 2012-2014'!$1:$125,44,0)+HLOOKUP(AB1,'השקעות 2012-2014'!$1:$124,110,0))</f>
        <v>0</v>
      </c>
      <c r="AC48" s="814">
        <f>+IF(HLOOKUP(AC1,'השקעות 2012-2014'!$1:$124,101,0)="לא",0,+HLOOKUP(AC1,'השקעות 2012-2014'!$1:$125,44,0)+HLOOKUP(AC1,'השקעות 2012-2014'!$1:$124,110,0))</f>
        <v>0</v>
      </c>
      <c r="AD48" s="814">
        <f>+IF(HLOOKUP(AD1,'השקעות 2012-2014'!$1:$124,101,0)="לא",0,+HLOOKUP(AD1,'השקעות 2012-2014'!$1:$125,44,0)+HLOOKUP(AD1,'השקעות 2012-2014'!$1:$124,110,0))</f>
        <v>0</v>
      </c>
      <c r="AE48" s="814">
        <f>+IF(HLOOKUP(AE1,'השקעות 2012-2014'!$1:$124,101,0)="לא",0,+HLOOKUP(AE1,'השקעות 2012-2014'!$1:$125,44,0)+HLOOKUP(AE1,'השקעות 2012-2014'!$1:$124,110,0))</f>
        <v>1175</v>
      </c>
      <c r="AF48" s="814">
        <f>+IF(HLOOKUP(AF1,'השקעות 2012-2014'!$1:$124,101,0)="לא",0,+HLOOKUP(AF1,'השקעות 2012-2014'!$1:$125,44,0)+HLOOKUP(AF1,'השקעות 2012-2014'!$1:$124,110,0))</f>
        <v>0</v>
      </c>
      <c r="AG48" s="814">
        <f>+IF(HLOOKUP(AG1,'השקעות 2012-2014'!$1:$124,101,0)="לא",0,+HLOOKUP(AG1,'השקעות 2012-2014'!$1:$125,44,0)+HLOOKUP(AG1,'השקעות 2012-2014'!$1:$124,110,0))</f>
        <v>0</v>
      </c>
      <c r="AH48" s="814">
        <f>+IF(HLOOKUP(AH1,'השקעות 2012-2014'!$1:$124,101,0)="לא",0,+HLOOKUP(AH1,'השקעות 2012-2014'!$1:$125,44,0)+HLOOKUP(AH1,'השקעות 2012-2014'!$1:$124,110,0))</f>
        <v>182</v>
      </c>
      <c r="AI48" s="814">
        <f>+IF(HLOOKUP(AI1,'השקעות 2012-2014'!$1:$124,101,0)="לא",0,+HLOOKUP(AI1,'השקעות 2012-2014'!$1:$125,44,0)+HLOOKUP(AI1,'השקעות 2012-2014'!$1:$124,110,0))</f>
        <v>0</v>
      </c>
      <c r="AJ48" s="814">
        <f>+IF(HLOOKUP(AJ1,'השקעות 2012-2014'!$1:$124,101,0)="לא",0,+HLOOKUP(AJ1,'השקעות 2012-2014'!$1:$125,44,0)+HLOOKUP(AJ1,'השקעות 2012-2014'!$1:$124,110,0))</f>
        <v>0</v>
      </c>
      <c r="AK48" s="814">
        <f>+IF(HLOOKUP(AK1,'השקעות 2012-2014'!$1:$124,101,0)="לא",0,+HLOOKUP(AK1,'השקעות 2012-2014'!$1:$125,44,0)+HLOOKUP(AK1,'השקעות 2012-2014'!$1:$124,110,0))</f>
        <v>0</v>
      </c>
      <c r="AL48" s="814">
        <f>+IF(HLOOKUP(AL1,'השקעות 2012-2014'!$1:$124,101,0)="לא",0,+HLOOKUP(AL1,'השקעות 2012-2014'!$1:$125,44,0)+HLOOKUP(AL1,'השקעות 2012-2014'!$1:$124,110,0))</f>
        <v>0</v>
      </c>
      <c r="AM48" s="814">
        <f>+IF(HLOOKUP(AM1,'השקעות 2012-2014'!$1:$124,101,0)="לא",0,+HLOOKUP(AM1,'השקעות 2012-2014'!$1:$125,44,0)+HLOOKUP(AM1,'השקעות 2012-2014'!$1:$124,110,0))</f>
        <v>1764</v>
      </c>
      <c r="AN48" s="814">
        <f>+IF(HLOOKUP(AN1,'השקעות 2012-2014'!$1:$124,101,0)="לא",0,+HLOOKUP(AN1,'השקעות 2012-2014'!$1:$125,44,0)+HLOOKUP(AN1,'השקעות 2012-2014'!$1:$124,110,0))</f>
        <v>0</v>
      </c>
      <c r="AO48" s="814">
        <f>+IF(HLOOKUP(AO1,'השקעות 2012-2014'!$1:$124,101,0)="לא",0,+HLOOKUP(AO1,'השקעות 2012-2014'!$1:$125,44,0)+HLOOKUP(AO1,'השקעות 2012-2014'!$1:$124,110,0))</f>
        <v>0</v>
      </c>
      <c r="AP48" s="814">
        <f>+IF(HLOOKUP(AP1,'השקעות 2012-2014'!$1:$124,101,0)="לא",0,+HLOOKUP(AP1,'השקעות 2012-2014'!$1:$125,44,0)+HLOOKUP(AP1,'השקעות 2012-2014'!$1:$124,110,0))</f>
        <v>0</v>
      </c>
      <c r="AQ48" s="814">
        <f>+IF(HLOOKUP(AQ1,'השקעות 2012-2014'!$1:$124,101,0)="לא",0,+HLOOKUP(AQ1,'השקעות 2012-2014'!$1:$125,44,0)+HLOOKUP(AQ1,'השקעות 2012-2014'!$1:$124,110,0))</f>
        <v>0</v>
      </c>
      <c r="AR48" s="814">
        <f>+IF(HLOOKUP(AR1,'השקעות 2012-2014'!$1:$124,101,0)="לא",0,+HLOOKUP(AR1,'השקעות 2012-2014'!$1:$125,44,0)+HLOOKUP(AR1,'השקעות 2012-2014'!$1:$124,110,0))</f>
        <v>0</v>
      </c>
      <c r="AS48" s="814">
        <f>+IF(HLOOKUP(AS1,'השקעות 2012-2014'!$1:$124,101,0)="לא",0,+HLOOKUP(AS1,'השקעות 2012-2014'!$1:$125,44,0)+HLOOKUP(AS1,'השקעות 2012-2014'!$1:$124,110,0))</f>
        <v>115</v>
      </c>
      <c r="AT48" s="814">
        <f>+IF(HLOOKUP(AT1,'השקעות 2012-2014'!$1:$124,101,0)="לא",0,+HLOOKUP(AT1,'השקעות 2012-2014'!$1:$125,44,0)+HLOOKUP(AT1,'השקעות 2012-2014'!$1:$124,110,0))</f>
        <v>0</v>
      </c>
      <c r="AU48" s="814">
        <f>+IF(HLOOKUP(AU1,'השקעות 2012-2014'!$1:$124,101,0)="לא",0,+HLOOKUP(AU1,'השקעות 2012-2014'!$1:$125,44,0)+HLOOKUP(AU1,'השקעות 2012-2014'!$1:$124,110,0))</f>
        <v>68</v>
      </c>
      <c r="AV48" s="814">
        <f>+IF(HLOOKUP(AV1,'השקעות 2012-2014'!$1:$124,101,0)="לא",0,+HLOOKUP(AV1,'השקעות 2012-2014'!$1:$125,44,0)+HLOOKUP(AV1,'השקעות 2012-2014'!$1:$124,110,0))</f>
        <v>0</v>
      </c>
      <c r="AW48" s="814">
        <f>+IF(HLOOKUP(AW1,'השקעות 2012-2014'!$1:$124,101,0)="לא",0,+HLOOKUP(AW1,'השקעות 2012-2014'!$1:$125,44,0)+HLOOKUP(AW1,'השקעות 2012-2014'!$1:$124,110,0))</f>
        <v>205</v>
      </c>
      <c r="AX48" s="814">
        <f>+IF(HLOOKUP(AX1,'השקעות 2012-2014'!$1:$124,101,0)="לא",0,+HLOOKUP(AX1,'השקעות 2012-2014'!$1:$125,44,0)+HLOOKUP(AX1,'השקעות 2012-2014'!$1:$124,110,0))</f>
        <v>0</v>
      </c>
      <c r="AY48" s="814">
        <f>+IF(HLOOKUP(AY1,'השקעות 2012-2014'!$1:$124,101,0)="לא",0,+HLOOKUP(AY1,'השקעות 2012-2014'!$1:$125,44,0)+HLOOKUP(AY1,'השקעות 2012-2014'!$1:$124,110,0))</f>
        <v>0</v>
      </c>
      <c r="AZ48" s="814">
        <f>+IF(HLOOKUP(AZ1,'השקעות 2012-2014'!$1:$124,101,0)="לא",0,+HLOOKUP(AZ1,'השקעות 2012-2014'!$1:$125,44,0)+HLOOKUP(AZ1,'השקעות 2012-2014'!$1:$124,110,0))</f>
        <v>0</v>
      </c>
      <c r="BA48" s="814">
        <f>+IF(HLOOKUP(BA1,'השקעות 2012-2014'!$1:$124,101,0)="לא",0,+HLOOKUP(BA1,'השקעות 2012-2014'!$1:$125,44,0)+HLOOKUP(BA1,'השקעות 2012-2014'!$1:$124,110,0))</f>
        <v>0</v>
      </c>
      <c r="BB48" s="814">
        <f>+IF(HLOOKUP(BB1,'השקעות 2012-2014'!$1:$124,101,0)="לא",0,+HLOOKUP(BB1,'השקעות 2012-2014'!$1:$125,44,0)+HLOOKUP(BB1,'השקעות 2012-2014'!$1:$124,110,0))</f>
        <v>0</v>
      </c>
      <c r="BC48" s="814">
        <f>+IF(HLOOKUP(BC1,'השקעות 2012-2014'!$1:$124,101,0)="לא",0,+HLOOKUP(BC1,'השקעות 2012-2014'!$1:$125,44,0)+HLOOKUP(BC1,'השקעות 2012-2014'!$1:$124,110,0))</f>
        <v>0</v>
      </c>
      <c r="BD48" s="814">
        <f>+IF(HLOOKUP(BD1,'השקעות 2012-2014'!$1:$124,101,0)="לא",0,+HLOOKUP(BD1,'השקעות 2012-2014'!$1:$125,44,0)+HLOOKUP(BD1,'השקעות 2012-2014'!$1:$124,110,0))</f>
        <v>0</v>
      </c>
      <c r="BE48" s="814">
        <f>+IF(HLOOKUP(BE1,'השקעות 2012-2014'!$1:$124,101,0)="לא",0,+HLOOKUP(BE1,'השקעות 2012-2014'!$1:$125,44,0)+HLOOKUP(BE1,'השקעות 2012-2014'!$1:$124,110,0))</f>
        <v>0</v>
      </c>
      <c r="BF48" s="814">
        <f>+IF(HLOOKUP(BF1,'השקעות 2012-2014'!$1:$124,101,0)="לא",0,+HLOOKUP(BF1,'השקעות 2012-2014'!$1:$125,44,0)+HLOOKUP(BF1,'השקעות 2012-2014'!$1:$124,110,0))</f>
        <v>0</v>
      </c>
    </row>
    <row r="49" spans="1:59" s="17" customFormat="1" x14ac:dyDescent="0.2">
      <c r="B49" s="745">
        <v>2014</v>
      </c>
      <c r="D49" s="814">
        <f>+IF(HLOOKUP(D1,'השקעות 2012-2014'!$1:$124,103,0)="לא",0,+HLOOKUP(D1,'השקעות 2012-2014'!$1:$125,45,0)+HLOOKUP(D1,'השקעות 2012-2014'!$1:$124,120,0))</f>
        <v>381</v>
      </c>
      <c r="E49" s="814">
        <f>+IF(HLOOKUP(E1,'השקעות 2012-2014'!$1:$124,103,0)="לא",0,+HLOOKUP(E1,'השקעות 2012-2014'!$1:$125,45,0)+HLOOKUP(E1,'השקעות 2012-2014'!$1:$124,120,0))</f>
        <v>503</v>
      </c>
      <c r="F49" s="814">
        <f>+IF(HLOOKUP(F1,'השקעות 2012-2014'!$1:$124,103,0)="לא",0,+HLOOKUP(F1,'השקעות 2012-2014'!$1:$125,45,0)+HLOOKUP(F1,'השקעות 2012-2014'!$1:$124,120,0))</f>
        <v>0</v>
      </c>
      <c r="G49" s="814">
        <f>+IF(HLOOKUP(G1,'השקעות 2012-2014'!$1:$124,103,0)="לא",0,+HLOOKUP(G1,'השקעות 2012-2014'!$1:$125,45,0)+HLOOKUP(G1,'השקעות 2012-2014'!$1:$124,120,0))</f>
        <v>0</v>
      </c>
      <c r="H49" s="814">
        <f>+IF(HLOOKUP(H1,'השקעות 2012-2014'!$1:$124,103,0)="לא",0,+HLOOKUP(H1,'השקעות 2012-2014'!$1:$125,45,0)+HLOOKUP(H1,'השקעות 2012-2014'!$1:$124,120,0))</f>
        <v>0</v>
      </c>
      <c r="I49" s="814">
        <f>+IF(HLOOKUP(I1,'השקעות 2012-2014'!$1:$124,103,0)="לא",0,+HLOOKUP(I1,'השקעות 2012-2014'!$1:$125,45,0)+HLOOKUP(I1,'השקעות 2012-2014'!$1:$124,120,0))</f>
        <v>113</v>
      </c>
      <c r="J49" s="814">
        <f>+IF(HLOOKUP(J1,'השקעות 2012-2014'!$1:$124,103,0)="לא",0,+HLOOKUP(J1,'השקעות 2012-2014'!$1:$125,45,0)+HLOOKUP(J1,'השקעות 2012-2014'!$1:$124,120,0))</f>
        <v>14</v>
      </c>
      <c r="K49" s="814">
        <f>+IF(HLOOKUP(K1,'השקעות 2012-2014'!$1:$124,103,0)="לא",0,+HLOOKUP(K1,'השקעות 2012-2014'!$1:$125,45,0)+HLOOKUP(K1,'השקעות 2012-2014'!$1:$124,120,0))</f>
        <v>0</v>
      </c>
      <c r="L49" s="814">
        <f>+IF(HLOOKUP(L1,'השקעות 2012-2014'!$1:$124,103,0)="לא",0,+HLOOKUP(L1,'השקעות 2012-2014'!$1:$125,45,0)+HLOOKUP(L1,'השקעות 2012-2014'!$1:$124,120,0))</f>
        <v>8</v>
      </c>
      <c r="M49" s="814">
        <f>+IF(HLOOKUP(M1,'השקעות 2012-2014'!$1:$124,103,0)="לא",0,+HLOOKUP(M1,'השקעות 2012-2014'!$1:$125,45,0)+HLOOKUP(M1,'השקעות 2012-2014'!$1:$124,120,0))</f>
        <v>0</v>
      </c>
      <c r="N49" s="814">
        <f>+IF(HLOOKUP(N1,'השקעות 2012-2014'!$1:$124,103,0)="לא",0,+HLOOKUP(N1,'השקעות 2012-2014'!$1:$125,45,0)+HLOOKUP(N1,'השקעות 2012-2014'!$1:$124,120,0))</f>
        <v>0</v>
      </c>
      <c r="O49" s="814">
        <f>+IF(HLOOKUP(O1,'השקעות 2012-2014'!$1:$124,103,0)="לא",0,+HLOOKUP(O1,'השקעות 2012-2014'!$1:$125,45,0)+HLOOKUP(O1,'השקעות 2012-2014'!$1:$124,120,0))</f>
        <v>0</v>
      </c>
      <c r="P49" s="814">
        <f>+IF(HLOOKUP(P1,'השקעות 2012-2014'!$1:$124,103,0)="לא",0,+HLOOKUP(P1,'השקעות 2012-2014'!$1:$125,45,0)+HLOOKUP(P1,'השקעות 2012-2014'!$1:$124,120,0))</f>
        <v>0</v>
      </c>
      <c r="Q49" s="814">
        <f>+IF(HLOOKUP(Q1,'השקעות 2012-2014'!$1:$124,103,0)="לא",0,+HLOOKUP(Q1,'השקעות 2012-2014'!$1:$125,45,0)+HLOOKUP(Q1,'השקעות 2012-2014'!$1:$124,120,0))</f>
        <v>158</v>
      </c>
      <c r="R49" s="814">
        <f>+IF(HLOOKUP(R1,'השקעות 2012-2014'!$1:$124,103,0)="לא",0,+HLOOKUP(R1,'השקעות 2012-2014'!$1:$125,45,0)+HLOOKUP(R1,'השקעות 2012-2014'!$1:$124,120,0))</f>
        <v>272</v>
      </c>
      <c r="S49" s="814">
        <f>+IF(HLOOKUP(S1,'השקעות 2012-2014'!$1:$124,103,0)="לא",0,+HLOOKUP(S1,'השקעות 2012-2014'!$1:$125,45,0)+HLOOKUP(S1,'השקעות 2012-2014'!$1:$124,120,0))</f>
        <v>0</v>
      </c>
      <c r="T49" s="814">
        <f>+IF(HLOOKUP(T1,'השקעות 2012-2014'!$1:$124,103,0)="לא",0,+HLOOKUP(T1,'השקעות 2012-2014'!$1:$125,45,0)+HLOOKUP(T1,'השקעות 2012-2014'!$1:$124,120,0))</f>
        <v>0</v>
      </c>
      <c r="U49" s="814">
        <f>+IF(HLOOKUP(U1,'השקעות 2012-2014'!$1:$124,103,0)="לא",0,+HLOOKUP(U1,'השקעות 2012-2014'!$1:$125,45,0)+HLOOKUP(U1,'השקעות 2012-2014'!$1:$124,120,0))</f>
        <v>0</v>
      </c>
      <c r="V49" s="814">
        <f>+IF(HLOOKUP(V1,'השקעות 2012-2014'!$1:$124,103,0)="לא",0,+HLOOKUP(V1,'השקעות 2012-2014'!$1:$125,45,0)+HLOOKUP(V1,'השקעות 2012-2014'!$1:$124,120,0))</f>
        <v>0</v>
      </c>
      <c r="W49" s="814">
        <f>+IF(HLOOKUP(W1,'השקעות 2012-2014'!$1:$124,103,0)="לא",0,+HLOOKUP(W1,'השקעות 2012-2014'!$1:$125,45,0)+HLOOKUP(W1,'השקעות 2012-2014'!$1:$124,120,0))</f>
        <v>535</v>
      </c>
      <c r="X49" s="814">
        <f>+IF(HLOOKUP(X1,'השקעות 2012-2014'!$1:$124,103,0)="לא",0,+HLOOKUP(X1,'השקעות 2012-2014'!$1:$125,45,0)+HLOOKUP(X1,'השקעות 2012-2014'!$1:$124,120,0))</f>
        <v>1708</v>
      </c>
      <c r="Y49" s="814">
        <f>+IF(HLOOKUP(Y1,'השקעות 2012-2014'!$1:$124,103,0)="לא",0,+HLOOKUP(Y1,'השקעות 2012-2014'!$1:$125,45,0)+HLOOKUP(Y1,'השקעות 2012-2014'!$1:$124,120,0))</f>
        <v>553</v>
      </c>
      <c r="Z49" s="814">
        <f>+IF(HLOOKUP(Z1,'השקעות 2012-2014'!$1:$124,103,0)="לא",0,+HLOOKUP(Z1,'השקעות 2012-2014'!$1:$125,45,0)+HLOOKUP(Z1,'השקעות 2012-2014'!$1:$124,120,0))</f>
        <v>66</v>
      </c>
      <c r="AA49" s="814">
        <f>+IF(HLOOKUP(AA1,'השקעות 2012-2014'!$1:$124,103,0)="לא",0,+HLOOKUP(AA1,'השקעות 2012-2014'!$1:$125,45,0)+HLOOKUP(AA1,'השקעות 2012-2014'!$1:$124,120,0))</f>
        <v>0</v>
      </c>
      <c r="AB49" s="814">
        <f>+IF(HLOOKUP(AB1,'השקעות 2012-2014'!$1:$124,103,0)="לא",0,+HLOOKUP(AB1,'השקעות 2012-2014'!$1:$125,45,0)+HLOOKUP(AB1,'השקעות 2012-2014'!$1:$124,120,0))</f>
        <v>0</v>
      </c>
      <c r="AC49" s="814">
        <f>+IF(HLOOKUP(AC1,'השקעות 2012-2014'!$1:$124,103,0)="לא",0,+HLOOKUP(AC1,'השקעות 2012-2014'!$1:$125,45,0)+HLOOKUP(AC1,'השקעות 2012-2014'!$1:$124,120,0))</f>
        <v>0</v>
      </c>
      <c r="AD49" s="814">
        <f>+IF(HLOOKUP(AD1,'השקעות 2012-2014'!$1:$124,103,0)="לא",0,+HLOOKUP(AD1,'השקעות 2012-2014'!$1:$125,45,0)+HLOOKUP(AD1,'השקעות 2012-2014'!$1:$124,120,0))</f>
        <v>0</v>
      </c>
      <c r="AE49" s="814">
        <f>+IF(HLOOKUP(AE1,'השקעות 2012-2014'!$1:$124,103,0)="לא",0,+HLOOKUP(AE1,'השקעות 2012-2014'!$1:$125,45,0)+HLOOKUP(AE1,'השקעות 2012-2014'!$1:$124,120,0))</f>
        <v>43</v>
      </c>
      <c r="AF49" s="814">
        <f>+IF(HLOOKUP(AF1,'השקעות 2012-2014'!$1:$124,103,0)="לא",0,+HLOOKUP(AF1,'השקעות 2012-2014'!$1:$125,45,0)+HLOOKUP(AF1,'השקעות 2012-2014'!$1:$124,120,0))</f>
        <v>0</v>
      </c>
      <c r="AG49" s="814">
        <f>+IF(HLOOKUP(AG1,'השקעות 2012-2014'!$1:$124,103,0)="לא",0,+HLOOKUP(AG1,'השקעות 2012-2014'!$1:$125,45,0)+HLOOKUP(AG1,'השקעות 2012-2014'!$1:$124,120,0))</f>
        <v>0</v>
      </c>
      <c r="AH49" s="814">
        <f>+IF(HLOOKUP(AH1,'השקעות 2012-2014'!$1:$124,103,0)="לא",0,+HLOOKUP(AH1,'השקעות 2012-2014'!$1:$125,45,0)+HLOOKUP(AH1,'השקעות 2012-2014'!$1:$124,120,0))</f>
        <v>491</v>
      </c>
      <c r="AI49" s="814">
        <f>+IF(HLOOKUP(AI1,'השקעות 2012-2014'!$1:$124,103,0)="לא",0,+HLOOKUP(AI1,'השקעות 2012-2014'!$1:$125,45,0)+HLOOKUP(AI1,'השקעות 2012-2014'!$1:$124,120,0))</f>
        <v>0</v>
      </c>
      <c r="AJ49" s="814">
        <f>+IF(HLOOKUP(AJ1,'השקעות 2012-2014'!$1:$124,103,0)="לא",0,+HLOOKUP(AJ1,'השקעות 2012-2014'!$1:$125,45,0)+HLOOKUP(AJ1,'השקעות 2012-2014'!$1:$124,120,0))</f>
        <v>0</v>
      </c>
      <c r="AK49" s="814">
        <f>+IF(HLOOKUP(AK1,'השקעות 2012-2014'!$1:$124,103,0)="לא",0,+HLOOKUP(AK1,'השקעות 2012-2014'!$1:$125,45,0)+HLOOKUP(AK1,'השקעות 2012-2014'!$1:$124,120,0))</f>
        <v>0</v>
      </c>
      <c r="AL49" s="814">
        <f>+IF(HLOOKUP(AL1,'השקעות 2012-2014'!$1:$124,103,0)="לא",0,+HLOOKUP(AL1,'השקעות 2012-2014'!$1:$125,45,0)+HLOOKUP(AL1,'השקעות 2012-2014'!$1:$124,120,0))</f>
        <v>0</v>
      </c>
      <c r="AM49" s="814">
        <f>+IF(HLOOKUP(AM1,'השקעות 2012-2014'!$1:$124,103,0)="לא",0,+HLOOKUP(AM1,'השקעות 2012-2014'!$1:$125,45,0)+HLOOKUP(AM1,'השקעות 2012-2014'!$1:$124,120,0))</f>
        <v>2750</v>
      </c>
      <c r="AN49" s="814">
        <f>+IF(HLOOKUP(AN1,'השקעות 2012-2014'!$1:$124,103,0)="לא",0,+HLOOKUP(AN1,'השקעות 2012-2014'!$1:$125,45,0)+HLOOKUP(AN1,'השקעות 2012-2014'!$1:$124,120,0))</f>
        <v>61</v>
      </c>
      <c r="AO49" s="814">
        <f>+IF(HLOOKUP(AO1,'השקעות 2012-2014'!$1:$124,103,0)="לא",0,+HLOOKUP(AO1,'השקעות 2012-2014'!$1:$125,45,0)+HLOOKUP(AO1,'השקעות 2012-2014'!$1:$124,120,0))</f>
        <v>0</v>
      </c>
      <c r="AP49" s="814">
        <f>+IF(HLOOKUP(AP1,'השקעות 2012-2014'!$1:$124,103,0)="לא",0,+HLOOKUP(AP1,'השקעות 2012-2014'!$1:$125,45,0)+HLOOKUP(AP1,'השקעות 2012-2014'!$1:$124,120,0))</f>
        <v>0</v>
      </c>
      <c r="AQ49" s="814">
        <f>+IF(HLOOKUP(AQ1,'השקעות 2012-2014'!$1:$124,103,0)="לא",0,+HLOOKUP(AQ1,'השקעות 2012-2014'!$1:$125,45,0)+HLOOKUP(AQ1,'השקעות 2012-2014'!$1:$124,120,0))</f>
        <v>0</v>
      </c>
      <c r="AR49" s="814">
        <f>+IF(HLOOKUP(AR1,'השקעות 2012-2014'!$1:$124,103,0)="לא",0,+HLOOKUP(AR1,'השקעות 2012-2014'!$1:$125,45,0)+HLOOKUP(AR1,'השקעות 2012-2014'!$1:$124,120,0))</f>
        <v>0</v>
      </c>
      <c r="AS49" s="814">
        <f>+IF(HLOOKUP(AS1,'השקעות 2012-2014'!$1:$124,103,0)="לא",0,+HLOOKUP(AS1,'השקעות 2012-2014'!$1:$125,45,0)+HLOOKUP(AS1,'השקעות 2012-2014'!$1:$124,120,0))</f>
        <v>5</v>
      </c>
      <c r="AT49" s="814">
        <f>+IF(HLOOKUP(AT1,'השקעות 2012-2014'!$1:$124,103,0)="לא",0,+HLOOKUP(AT1,'השקעות 2012-2014'!$1:$125,45,0)+HLOOKUP(AT1,'השקעות 2012-2014'!$1:$124,120,0))</f>
        <v>0</v>
      </c>
      <c r="AU49" s="814">
        <f>+IF(HLOOKUP(AU1,'השקעות 2012-2014'!$1:$124,103,0)="לא",0,+HLOOKUP(AU1,'השקעות 2012-2014'!$1:$125,45,0)+HLOOKUP(AU1,'השקעות 2012-2014'!$1:$124,120,0))</f>
        <v>0</v>
      </c>
      <c r="AV49" s="814">
        <f>+IF(HLOOKUP(AV1,'השקעות 2012-2014'!$1:$124,103,0)="לא",0,+HLOOKUP(AV1,'השקעות 2012-2014'!$1:$125,45,0)+HLOOKUP(AV1,'השקעות 2012-2014'!$1:$124,120,0))</f>
        <v>2</v>
      </c>
      <c r="AW49" s="814">
        <f>+IF(HLOOKUP(AW1,'השקעות 2012-2014'!$1:$124,103,0)="לא",0,+HLOOKUP(AW1,'השקעות 2012-2014'!$1:$125,45,0)+HLOOKUP(AW1,'השקעות 2012-2014'!$1:$124,120,0))</f>
        <v>19</v>
      </c>
      <c r="AX49" s="814">
        <f>+IF(HLOOKUP(AX1,'השקעות 2012-2014'!$1:$124,103,0)="לא",0,+HLOOKUP(AX1,'השקעות 2012-2014'!$1:$125,45,0)+HLOOKUP(AX1,'השקעות 2012-2014'!$1:$124,120,0))</f>
        <v>0</v>
      </c>
      <c r="AY49" s="814">
        <f>+IF(HLOOKUP(AY1,'השקעות 2012-2014'!$1:$124,103,0)="לא",0,+HLOOKUP(AY1,'השקעות 2012-2014'!$1:$125,45,0)+HLOOKUP(AY1,'השקעות 2012-2014'!$1:$124,120,0))</f>
        <v>0</v>
      </c>
      <c r="AZ49" s="814">
        <f>+IF(HLOOKUP(AZ1,'השקעות 2012-2014'!$1:$124,103,0)="לא",0,+HLOOKUP(AZ1,'השקעות 2012-2014'!$1:$125,45,0)+HLOOKUP(AZ1,'השקעות 2012-2014'!$1:$124,120,0))</f>
        <v>0</v>
      </c>
      <c r="BA49" s="814">
        <f>+IF(HLOOKUP(BA1,'השקעות 2012-2014'!$1:$124,103,0)="לא",0,+HLOOKUP(BA1,'השקעות 2012-2014'!$1:$125,45,0)+HLOOKUP(BA1,'השקעות 2012-2014'!$1:$124,120,0))</f>
        <v>0</v>
      </c>
      <c r="BB49" s="814">
        <f>+IF(HLOOKUP(BB1,'השקעות 2012-2014'!$1:$124,103,0)="לא",0,+HLOOKUP(BB1,'השקעות 2012-2014'!$1:$125,45,0)+HLOOKUP(BB1,'השקעות 2012-2014'!$1:$124,120,0))</f>
        <v>0</v>
      </c>
      <c r="BC49" s="814">
        <f>+IF(HLOOKUP(BC1,'השקעות 2012-2014'!$1:$124,103,0)="לא",0,+HLOOKUP(BC1,'השקעות 2012-2014'!$1:$125,45,0)+HLOOKUP(BC1,'השקעות 2012-2014'!$1:$124,120,0))</f>
        <v>0</v>
      </c>
      <c r="BD49" s="814">
        <f>+IF(HLOOKUP(BD1,'השקעות 2012-2014'!$1:$124,103,0)="לא",0,+HLOOKUP(BD1,'השקעות 2012-2014'!$1:$125,45,0)+HLOOKUP(BD1,'השקעות 2012-2014'!$1:$124,120,0))</f>
        <v>4351</v>
      </c>
      <c r="BE49" s="814">
        <f>+IF(HLOOKUP(BE1,'השקעות 2012-2014'!$1:$124,103,0)="לא",0,+HLOOKUP(BE1,'השקעות 2012-2014'!$1:$125,45,0)+HLOOKUP(BE1,'השקעות 2012-2014'!$1:$124,120,0))</f>
        <v>0</v>
      </c>
      <c r="BF49" s="814">
        <f>+IF(HLOOKUP(BF1,'השקעות 2012-2014'!$1:$124,103,0)="לא",0,+HLOOKUP(BF1,'השקעות 2012-2014'!$1:$125,45,0)+HLOOKUP(BF1,'השקעות 2012-2014'!$1:$124,120,0))</f>
        <v>0</v>
      </c>
    </row>
    <row r="50" spans="1:59" s="17" customFormat="1" x14ac:dyDescent="0.2">
      <c r="B50" s="745"/>
      <c r="D50" s="352"/>
      <c r="E50" s="352"/>
      <c r="F50" s="352"/>
      <c r="G50" s="352"/>
      <c r="H50" s="352"/>
      <c r="I50" s="352"/>
      <c r="J50" s="352"/>
      <c r="K50" s="352"/>
      <c r="L50" s="352"/>
      <c r="M50" s="352"/>
      <c r="N50" s="352"/>
      <c r="O50" s="352"/>
      <c r="P50" s="352"/>
      <c r="Q50" s="352"/>
      <c r="R50" s="352"/>
      <c r="S50" s="352"/>
      <c r="T50" s="352"/>
      <c r="U50" s="352"/>
      <c r="V50" s="352"/>
      <c r="W50" s="352"/>
      <c r="X50" s="352"/>
      <c r="Y50" s="352"/>
      <c r="Z50" s="352"/>
      <c r="AA50" s="352"/>
      <c r="AB50" s="352"/>
      <c r="AC50" s="352"/>
      <c r="AD50" s="352"/>
      <c r="AE50" s="352"/>
      <c r="AF50" s="352"/>
      <c r="AG50" s="352"/>
      <c r="AH50" s="352"/>
      <c r="AI50" s="352"/>
      <c r="AJ50" s="352"/>
      <c r="AK50" s="352"/>
      <c r="AL50" s="352"/>
      <c r="AM50" s="352"/>
      <c r="AN50" s="352"/>
      <c r="AO50" s="352"/>
      <c r="AP50" s="352"/>
      <c r="AQ50" s="352"/>
      <c r="AR50" s="352"/>
      <c r="AS50" s="352"/>
      <c r="AT50" s="352"/>
      <c r="AU50" s="352"/>
      <c r="AV50" s="352"/>
      <c r="AW50" s="352"/>
      <c r="AX50" s="352"/>
      <c r="AY50" s="352"/>
      <c r="AZ50" s="352"/>
      <c r="BA50" s="352"/>
      <c r="BB50" s="352"/>
      <c r="BC50" s="352"/>
      <c r="BD50" s="352"/>
      <c r="BE50" s="352"/>
      <c r="BF50" s="352"/>
    </row>
    <row r="51" spans="1:59" x14ac:dyDescent="0.2">
      <c r="B51" s="34"/>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row>
    <row r="52" spans="1:59" x14ac:dyDescent="0.2">
      <c r="B52" t="s">
        <v>669</v>
      </c>
      <c r="D52" s="47">
        <f>SUM(D45:D46)</f>
        <v>927</v>
      </c>
      <c r="E52" s="47">
        <f t="shared" ref="E52:BF52" si="4">SUM(E45:E46)</f>
        <v>268</v>
      </c>
      <c r="F52" s="47">
        <f t="shared" si="4"/>
        <v>0</v>
      </c>
      <c r="G52" s="47">
        <f t="shared" si="4"/>
        <v>0</v>
      </c>
      <c r="H52" s="47">
        <f t="shared" si="4"/>
        <v>0</v>
      </c>
      <c r="I52" s="47">
        <f t="shared" si="4"/>
        <v>0</v>
      </c>
      <c r="J52" s="47">
        <f t="shared" si="4"/>
        <v>3023</v>
      </c>
      <c r="K52" s="47">
        <f t="shared" si="4"/>
        <v>0</v>
      </c>
      <c r="L52" s="47">
        <f t="shared" si="4"/>
        <v>214</v>
      </c>
      <c r="M52" s="47">
        <f t="shared" si="4"/>
        <v>0</v>
      </c>
      <c r="N52" s="47">
        <f t="shared" si="4"/>
        <v>0</v>
      </c>
      <c r="O52" s="47">
        <f t="shared" si="4"/>
        <v>0</v>
      </c>
      <c r="P52" s="47">
        <f t="shared" si="4"/>
        <v>0</v>
      </c>
      <c r="Q52" s="47">
        <f t="shared" si="4"/>
        <v>0</v>
      </c>
      <c r="R52" s="47">
        <f t="shared" si="4"/>
        <v>0</v>
      </c>
      <c r="S52" s="47">
        <f t="shared" si="4"/>
        <v>0</v>
      </c>
      <c r="T52" s="47">
        <f t="shared" si="4"/>
        <v>0</v>
      </c>
      <c r="U52" s="47">
        <f t="shared" si="4"/>
        <v>34</v>
      </c>
      <c r="V52" s="47">
        <f t="shared" si="4"/>
        <v>0</v>
      </c>
      <c r="W52" s="47">
        <f t="shared" si="4"/>
        <v>0</v>
      </c>
      <c r="X52" s="47">
        <f t="shared" si="4"/>
        <v>0</v>
      </c>
      <c r="Y52" s="47">
        <f t="shared" si="4"/>
        <v>0</v>
      </c>
      <c r="Z52" s="47">
        <f t="shared" si="4"/>
        <v>0</v>
      </c>
      <c r="AA52" s="47">
        <f t="shared" si="4"/>
        <v>0</v>
      </c>
      <c r="AB52" s="47">
        <f t="shared" si="4"/>
        <v>0</v>
      </c>
      <c r="AC52" s="47">
        <f t="shared" si="4"/>
        <v>0</v>
      </c>
      <c r="AD52" s="47">
        <f t="shared" si="4"/>
        <v>0</v>
      </c>
      <c r="AE52" s="47">
        <f t="shared" si="4"/>
        <v>81</v>
      </c>
      <c r="AF52" s="47">
        <f t="shared" si="4"/>
        <v>0</v>
      </c>
      <c r="AG52" s="47">
        <f t="shared" si="4"/>
        <v>0</v>
      </c>
      <c r="AH52" s="47">
        <f t="shared" si="4"/>
        <v>23</v>
      </c>
      <c r="AI52" s="47">
        <f t="shared" si="4"/>
        <v>0</v>
      </c>
      <c r="AJ52" s="47">
        <f t="shared" si="4"/>
        <v>0</v>
      </c>
      <c r="AK52" s="47">
        <f t="shared" si="4"/>
        <v>0</v>
      </c>
      <c r="AL52" s="47">
        <f t="shared" si="4"/>
        <v>0</v>
      </c>
      <c r="AM52" s="47">
        <f t="shared" si="4"/>
        <v>0</v>
      </c>
      <c r="AN52" s="47">
        <f t="shared" si="4"/>
        <v>0</v>
      </c>
      <c r="AO52" s="47">
        <f t="shared" si="4"/>
        <v>0</v>
      </c>
      <c r="AP52" s="47">
        <f t="shared" si="4"/>
        <v>0</v>
      </c>
      <c r="AQ52" s="47">
        <f t="shared" si="4"/>
        <v>0</v>
      </c>
      <c r="AR52" s="47">
        <f t="shared" si="4"/>
        <v>0</v>
      </c>
      <c r="AS52" s="47">
        <f t="shared" si="4"/>
        <v>0</v>
      </c>
      <c r="AT52" s="47">
        <f t="shared" si="4"/>
        <v>0</v>
      </c>
      <c r="AU52" s="47">
        <f t="shared" si="4"/>
        <v>6057</v>
      </c>
      <c r="AV52" s="47">
        <f t="shared" si="4"/>
        <v>0</v>
      </c>
      <c r="AW52" s="47">
        <f t="shared" si="4"/>
        <v>0</v>
      </c>
      <c r="AX52" s="47">
        <f t="shared" si="4"/>
        <v>0</v>
      </c>
      <c r="AY52" s="47">
        <f t="shared" si="4"/>
        <v>0</v>
      </c>
      <c r="AZ52" s="47">
        <f t="shared" si="4"/>
        <v>0</v>
      </c>
      <c r="BA52" s="47">
        <f t="shared" si="4"/>
        <v>0</v>
      </c>
      <c r="BB52" s="47">
        <f t="shared" si="4"/>
        <v>0</v>
      </c>
      <c r="BC52" s="47">
        <f t="shared" si="4"/>
        <v>0</v>
      </c>
      <c r="BD52" s="47">
        <f t="shared" si="4"/>
        <v>0</v>
      </c>
      <c r="BE52" s="47">
        <f t="shared" si="4"/>
        <v>0</v>
      </c>
      <c r="BF52" s="47">
        <f t="shared" si="4"/>
        <v>0</v>
      </c>
    </row>
    <row r="53" spans="1:59" x14ac:dyDescent="0.2">
      <c r="D53" s="47"/>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7"/>
    </row>
    <row r="54" spans="1:59" x14ac:dyDescent="0.2">
      <c r="D54" s="47"/>
      <c r="E54" s="47"/>
      <c r="F54" s="47"/>
      <c r="G54" s="47"/>
      <c r="H54" s="47"/>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c r="AY54" s="47"/>
      <c r="AZ54" s="47"/>
      <c r="BA54" s="47"/>
      <c r="BB54" s="47"/>
      <c r="BC54" s="47"/>
      <c r="BD54" s="47"/>
      <c r="BE54" s="47"/>
      <c r="BF54" s="47"/>
    </row>
    <row r="55" spans="1:59" x14ac:dyDescent="0.2">
      <c r="D55" s="47"/>
      <c r="E55" s="47"/>
      <c r="F55" s="47"/>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47"/>
      <c r="AN55" s="47"/>
      <c r="AO55" s="47"/>
      <c r="AP55" s="47"/>
      <c r="AQ55" s="47"/>
      <c r="AR55" s="47"/>
      <c r="AS55" s="47"/>
      <c r="AT55" s="47"/>
      <c r="AU55" s="47"/>
      <c r="AV55" s="47"/>
      <c r="AW55" s="47"/>
      <c r="AX55" s="47"/>
      <c r="AY55" s="47"/>
      <c r="AZ55" s="47"/>
      <c r="BA55" s="47"/>
      <c r="BB55" s="47"/>
      <c r="BC55" s="47"/>
      <c r="BD55" s="47"/>
      <c r="BE55" s="47"/>
      <c r="BF55" s="47"/>
    </row>
    <row r="56" spans="1:59" s="648" customFormat="1" ht="18.75" customHeight="1" x14ac:dyDescent="0.2">
      <c r="A56" s="646"/>
      <c r="B56" s="811" t="s">
        <v>164</v>
      </c>
      <c r="C56" s="646"/>
      <c r="D56" s="646">
        <f>SUM(D45:D49)</f>
        <v>1308</v>
      </c>
      <c r="E56" s="646">
        <f t="shared" ref="E56:BF56" si="5">SUM(E45:E49)</f>
        <v>1487</v>
      </c>
      <c r="F56" s="646">
        <f t="shared" si="5"/>
        <v>211</v>
      </c>
      <c r="G56" s="646">
        <f t="shared" si="5"/>
        <v>0</v>
      </c>
      <c r="H56" s="646">
        <f t="shared" si="5"/>
        <v>0</v>
      </c>
      <c r="I56" s="646">
        <f t="shared" si="5"/>
        <v>181</v>
      </c>
      <c r="J56" s="646">
        <f t="shared" si="5"/>
        <v>3235</v>
      </c>
      <c r="K56" s="646">
        <f t="shared" si="5"/>
        <v>0</v>
      </c>
      <c r="L56" s="646">
        <f t="shared" si="5"/>
        <v>288</v>
      </c>
      <c r="M56" s="646">
        <f t="shared" si="5"/>
        <v>17</v>
      </c>
      <c r="N56" s="646">
        <f t="shared" si="5"/>
        <v>0</v>
      </c>
      <c r="O56" s="646">
        <f t="shared" si="5"/>
        <v>0</v>
      </c>
      <c r="P56" s="646">
        <f t="shared" si="5"/>
        <v>0</v>
      </c>
      <c r="Q56" s="646">
        <f t="shared" si="5"/>
        <v>4126</v>
      </c>
      <c r="R56" s="646">
        <f t="shared" si="5"/>
        <v>854</v>
      </c>
      <c r="S56" s="646">
        <f t="shared" si="5"/>
        <v>129.35599999999999</v>
      </c>
      <c r="T56" s="646">
        <f t="shared" si="5"/>
        <v>12</v>
      </c>
      <c r="U56" s="646">
        <f t="shared" si="5"/>
        <v>34</v>
      </c>
      <c r="V56" s="646">
        <f t="shared" si="5"/>
        <v>0</v>
      </c>
      <c r="W56" s="646">
        <f t="shared" si="5"/>
        <v>2729</v>
      </c>
      <c r="X56" s="646">
        <f t="shared" si="5"/>
        <v>2038</v>
      </c>
      <c r="Y56" s="646">
        <f t="shared" si="5"/>
        <v>592</v>
      </c>
      <c r="Z56" s="646">
        <f t="shared" si="5"/>
        <v>136</v>
      </c>
      <c r="AA56" s="646">
        <f t="shared" si="5"/>
        <v>10</v>
      </c>
      <c r="AB56" s="646">
        <f t="shared" si="5"/>
        <v>0</v>
      </c>
      <c r="AC56" s="646">
        <f t="shared" si="5"/>
        <v>0</v>
      </c>
      <c r="AD56" s="646">
        <f t="shared" si="5"/>
        <v>0</v>
      </c>
      <c r="AE56" s="646">
        <f t="shared" si="5"/>
        <v>1299</v>
      </c>
      <c r="AF56" s="646">
        <f t="shared" si="5"/>
        <v>0</v>
      </c>
      <c r="AG56" s="646">
        <f t="shared" si="5"/>
        <v>21</v>
      </c>
      <c r="AH56" s="646">
        <f t="shared" si="5"/>
        <v>656</v>
      </c>
      <c r="AI56" s="646">
        <f t="shared" si="5"/>
        <v>0</v>
      </c>
      <c r="AJ56" s="646">
        <f t="shared" si="5"/>
        <v>0</v>
      </c>
      <c r="AK56" s="646">
        <f t="shared" si="5"/>
        <v>0</v>
      </c>
      <c r="AL56" s="646">
        <f t="shared" si="5"/>
        <v>0</v>
      </c>
      <c r="AM56" s="646">
        <f t="shared" si="5"/>
        <v>4514</v>
      </c>
      <c r="AN56" s="646">
        <f t="shared" si="5"/>
        <v>61</v>
      </c>
      <c r="AO56" s="646">
        <f t="shared" si="5"/>
        <v>0</v>
      </c>
      <c r="AP56" s="646">
        <f t="shared" si="5"/>
        <v>0</v>
      </c>
      <c r="AQ56" s="646">
        <f t="shared" si="5"/>
        <v>0</v>
      </c>
      <c r="AR56" s="646">
        <f t="shared" si="5"/>
        <v>1</v>
      </c>
      <c r="AS56" s="646">
        <f t="shared" si="5"/>
        <v>2349</v>
      </c>
      <c r="AT56" s="646">
        <f t="shared" si="5"/>
        <v>0</v>
      </c>
      <c r="AU56" s="646">
        <f t="shared" si="5"/>
        <v>6885</v>
      </c>
      <c r="AV56" s="646">
        <f t="shared" si="5"/>
        <v>2</v>
      </c>
      <c r="AW56" s="646">
        <f t="shared" si="5"/>
        <v>224</v>
      </c>
      <c r="AX56" s="646">
        <f t="shared" si="5"/>
        <v>5300</v>
      </c>
      <c r="AY56" s="646">
        <f t="shared" si="5"/>
        <v>0</v>
      </c>
      <c r="AZ56" s="646">
        <f t="shared" si="5"/>
        <v>0</v>
      </c>
      <c r="BA56" s="646">
        <f t="shared" si="5"/>
        <v>1</v>
      </c>
      <c r="BB56" s="646">
        <f t="shared" si="5"/>
        <v>0</v>
      </c>
      <c r="BC56" s="646">
        <f t="shared" si="5"/>
        <v>0</v>
      </c>
      <c r="BD56" s="646">
        <f t="shared" si="5"/>
        <v>4351</v>
      </c>
      <c r="BE56" s="646">
        <f t="shared" si="5"/>
        <v>0</v>
      </c>
      <c r="BF56" s="646">
        <f t="shared" si="5"/>
        <v>0</v>
      </c>
    </row>
    <row r="57" spans="1:59" x14ac:dyDescent="0.2">
      <c r="A57" s="16" t="s">
        <v>167</v>
      </c>
      <c r="D57" s="351"/>
      <c r="E57" s="351"/>
      <c r="F57" s="351"/>
      <c r="G57" s="351"/>
      <c r="H57" s="351"/>
      <c r="I57" s="351"/>
      <c r="J57" s="351"/>
      <c r="K57" s="351"/>
      <c r="L57" s="351"/>
      <c r="M57" s="351"/>
      <c r="N57" s="351"/>
      <c r="O57" s="351"/>
      <c r="P57" s="351"/>
      <c r="Q57" s="351"/>
      <c r="R57" s="351"/>
      <c r="S57" s="351"/>
      <c r="T57" s="351"/>
      <c r="U57" s="351"/>
      <c r="V57" s="351"/>
      <c r="W57" s="351"/>
      <c r="X57" s="351"/>
      <c r="Y57" s="351"/>
      <c r="Z57" s="351"/>
      <c r="AA57" s="351"/>
      <c r="AB57" s="351"/>
      <c r="AC57" s="351"/>
      <c r="AD57" s="351"/>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row>
    <row r="58" spans="1:59" x14ac:dyDescent="0.2">
      <c r="A58" s="1245" t="s">
        <v>1170</v>
      </c>
      <c r="B58">
        <v>2010</v>
      </c>
      <c r="G58" s="1">
        <v>1449</v>
      </c>
      <c r="L58" s="1">
        <v>161</v>
      </c>
      <c r="M58" s="1">
        <f>6749-6749</f>
        <v>0</v>
      </c>
      <c r="O58" s="1">
        <v>2522</v>
      </c>
      <c r="P58" s="1">
        <v>6182</v>
      </c>
      <c r="T58" s="1">
        <v>436</v>
      </c>
      <c r="U58" s="1">
        <v>1985</v>
      </c>
      <c r="V58" s="1">
        <v>1789</v>
      </c>
      <c r="Y58" s="1">
        <f>538874/1000</f>
        <v>538.87400000000002</v>
      </c>
      <c r="AD58" s="1">
        <v>207</v>
      </c>
      <c r="AE58" s="1">
        <v>538</v>
      </c>
      <c r="AF58" s="1">
        <v>1591</v>
      </c>
      <c r="AJ58" s="1">
        <v>248</v>
      </c>
      <c r="AV58" s="1">
        <v>84</v>
      </c>
      <c r="BD58" s="1">
        <v>1007</v>
      </c>
      <c r="BE58" s="1">
        <f>105+5774</f>
        <v>5879</v>
      </c>
    </row>
    <row r="59" spans="1:59" x14ac:dyDescent="0.2">
      <c r="A59" s="1245" t="s">
        <v>168</v>
      </c>
      <c r="B59" s="813">
        <v>2011</v>
      </c>
      <c r="D59" s="5">
        <v>17640</v>
      </c>
      <c r="E59" s="5">
        <v>892</v>
      </c>
      <c r="F59" s="5">
        <v>5606</v>
      </c>
      <c r="G59" s="5">
        <v>615</v>
      </c>
      <c r="H59" s="5">
        <v>261</v>
      </c>
      <c r="I59" s="5">
        <v>0</v>
      </c>
      <c r="J59" s="5">
        <v>22512</v>
      </c>
      <c r="K59" s="5">
        <v>20778</v>
      </c>
      <c r="L59" s="5">
        <v>594</v>
      </c>
      <c r="M59" s="5">
        <v>3477</v>
      </c>
      <c r="N59" s="5">
        <v>0</v>
      </c>
      <c r="O59" s="5">
        <v>3162</v>
      </c>
      <c r="P59" s="5">
        <v>8699</v>
      </c>
      <c r="Q59" s="5">
        <v>0</v>
      </c>
      <c r="R59" s="5">
        <v>1033</v>
      </c>
      <c r="S59" s="5">
        <v>1345</v>
      </c>
      <c r="T59" s="5">
        <v>7362</v>
      </c>
      <c r="U59" s="5">
        <f>1608+HLOOKUP(A59,'[7]תוספת נכסים'!$F$4:$I$8,5,0)/1000</f>
        <v>10466.262328000001</v>
      </c>
      <c r="V59" s="5">
        <v>1904</v>
      </c>
      <c r="W59" s="5">
        <v>1190</v>
      </c>
      <c r="X59" s="5">
        <v>0</v>
      </c>
      <c r="Y59" s="5">
        <v>885</v>
      </c>
      <c r="Z59" s="5">
        <v>1567</v>
      </c>
      <c r="AA59" s="5">
        <v>0</v>
      </c>
      <c r="AB59" s="5">
        <v>358</v>
      </c>
      <c r="AC59" s="5">
        <v>0</v>
      </c>
      <c r="AD59" s="5">
        <v>1773</v>
      </c>
      <c r="AE59" s="5">
        <v>3719</v>
      </c>
      <c r="AF59" s="5">
        <v>2844</v>
      </c>
      <c r="AG59" s="5">
        <v>1830</v>
      </c>
      <c r="AH59" s="5">
        <v>61</v>
      </c>
      <c r="AI59" s="5">
        <v>0</v>
      </c>
      <c r="AJ59" s="5">
        <v>1280</v>
      </c>
      <c r="AK59" s="5">
        <v>0</v>
      </c>
      <c r="AL59" s="5">
        <v>0</v>
      </c>
      <c r="AM59" s="5">
        <v>24477</v>
      </c>
      <c r="AN59" s="5">
        <v>279</v>
      </c>
      <c r="AO59" s="5">
        <v>0</v>
      </c>
      <c r="AP59" s="5">
        <v>0</v>
      </c>
      <c r="AQ59" s="5">
        <v>0</v>
      </c>
      <c r="AR59" s="5">
        <v>0</v>
      </c>
      <c r="AS59" s="5">
        <v>0</v>
      </c>
      <c r="AT59" s="5">
        <v>0</v>
      </c>
      <c r="AU59" s="5">
        <v>1174</v>
      </c>
      <c r="AV59" s="5">
        <v>2029</v>
      </c>
      <c r="AW59" s="5">
        <v>0</v>
      </c>
      <c r="AX59" s="5">
        <v>917</v>
      </c>
      <c r="AY59" s="5">
        <v>0</v>
      </c>
      <c r="AZ59" s="5">
        <v>0</v>
      </c>
      <c r="BA59" s="5">
        <v>199</v>
      </c>
      <c r="BB59" s="5">
        <v>777</v>
      </c>
      <c r="BC59" s="5">
        <v>0</v>
      </c>
      <c r="BD59" s="5">
        <v>0</v>
      </c>
      <c r="BE59" s="5">
        <v>6</v>
      </c>
      <c r="BF59" s="5">
        <v>0</v>
      </c>
    </row>
    <row r="60" spans="1:59" x14ac:dyDescent="0.2">
      <c r="B60" s="813">
        <v>2012</v>
      </c>
      <c r="D60" s="5">
        <v>18466</v>
      </c>
      <c r="E60" s="50">
        <v>699</v>
      </c>
      <c r="F60" s="5">
        <v>13806</v>
      </c>
      <c r="G60" s="5">
        <v>45</v>
      </c>
      <c r="H60" s="50">
        <v>0</v>
      </c>
      <c r="I60" s="50">
        <v>0</v>
      </c>
      <c r="J60" s="5">
        <v>16984</v>
      </c>
      <c r="K60" s="5">
        <v>4075</v>
      </c>
      <c r="L60" s="50">
        <v>1940</v>
      </c>
      <c r="M60" s="50">
        <v>878</v>
      </c>
      <c r="N60" s="50">
        <v>2070</v>
      </c>
      <c r="O60" s="50">
        <v>4769</v>
      </c>
      <c r="P60" s="50">
        <v>7249</v>
      </c>
      <c r="Q60" s="50">
        <v>0</v>
      </c>
      <c r="R60" s="5">
        <v>4411</v>
      </c>
      <c r="S60" s="50">
        <v>2993</v>
      </c>
      <c r="T60" s="5">
        <v>22106</v>
      </c>
      <c r="U60" s="50">
        <v>1028</v>
      </c>
      <c r="V60" s="5">
        <v>2599</v>
      </c>
      <c r="W60" s="50">
        <v>6351</v>
      </c>
      <c r="X60" s="50">
        <v>0</v>
      </c>
      <c r="Y60" s="50">
        <v>0</v>
      </c>
      <c r="Z60" s="50">
        <v>0</v>
      </c>
      <c r="AA60" s="50">
        <v>1263</v>
      </c>
      <c r="AB60" s="5">
        <v>1098</v>
      </c>
      <c r="AC60" s="5">
        <v>3272</v>
      </c>
      <c r="AD60" s="5">
        <v>4972</v>
      </c>
      <c r="AE60" s="5">
        <v>1734</v>
      </c>
      <c r="AF60" s="50">
        <f>4135+6318</f>
        <v>10453</v>
      </c>
      <c r="AG60" s="50">
        <v>1081</v>
      </c>
      <c r="AH60" s="50">
        <v>0</v>
      </c>
      <c r="AI60" s="50">
        <v>14986</v>
      </c>
      <c r="AJ60" s="50">
        <v>158</v>
      </c>
      <c r="AK60" s="50">
        <v>143</v>
      </c>
      <c r="AL60" s="50">
        <v>0</v>
      </c>
      <c r="AM60" s="50">
        <v>0</v>
      </c>
      <c r="AN60" s="50">
        <v>390</v>
      </c>
      <c r="AO60" s="50">
        <v>0</v>
      </c>
      <c r="AP60" s="50">
        <v>0</v>
      </c>
      <c r="AQ60" s="50">
        <v>5746</v>
      </c>
      <c r="AR60" s="50">
        <v>1415</v>
      </c>
      <c r="AS60" s="50">
        <v>3619</v>
      </c>
      <c r="AT60" s="50">
        <v>0</v>
      </c>
      <c r="AU60" s="50">
        <v>1728</v>
      </c>
      <c r="AV60" s="50">
        <v>0</v>
      </c>
      <c r="AW60" s="50">
        <v>7506</v>
      </c>
      <c r="AX60" s="50">
        <v>1677</v>
      </c>
      <c r="AY60" s="50">
        <v>0</v>
      </c>
      <c r="AZ60" s="50">
        <v>45</v>
      </c>
      <c r="BA60" s="50">
        <v>1331</v>
      </c>
      <c r="BB60" s="50">
        <v>1552</v>
      </c>
      <c r="BC60" s="50">
        <v>2004</v>
      </c>
      <c r="BD60" s="50">
        <v>1042</v>
      </c>
      <c r="BE60" s="50">
        <v>6247</v>
      </c>
      <c r="BF60" s="50">
        <v>0</v>
      </c>
    </row>
    <row r="61" spans="1:59" x14ac:dyDescent="0.2">
      <c r="B61" s="813">
        <v>2013</v>
      </c>
      <c r="D61" s="78">
        <f>+IF(HLOOKUP(D1,'השקעות 2012-2014'!$1:$124,101,0)="לא",0,+HLOOKUP(D1,'השקעות 2012-2014'!$1:$125,55,0)+HLOOKUP(D1,'השקעות 2012-2014'!$1:$124,112,0))</f>
        <v>15873</v>
      </c>
      <c r="E61" s="78">
        <f>+IF(HLOOKUP(E1,'השקעות 2012-2014'!$1:$124,101,0)="לא",0,+HLOOKUP(E1,'השקעות 2012-2014'!$1:$125,55,0)+HLOOKUP(E1,'השקעות 2012-2014'!$1:$124,112,0))</f>
        <v>1182</v>
      </c>
      <c r="F61" s="78">
        <f>+IF(HLOOKUP(F1,'השקעות 2012-2014'!$1:$124,101,0)="לא",0,+HLOOKUP(F1,'השקעות 2012-2014'!$1:$125,55,0)+HLOOKUP(F1,'השקעות 2012-2014'!$1:$124,112,0))</f>
        <v>5351</v>
      </c>
      <c r="G61" s="78">
        <f>+IF(HLOOKUP(G1,'השקעות 2012-2014'!$1:$124,101,0)="לא",0,+HLOOKUP(G1,'השקעות 2012-2014'!$1:$125,55,0)+HLOOKUP(G1,'השקעות 2012-2014'!$1:$124,112,0))</f>
        <v>1047</v>
      </c>
      <c r="H61" s="78">
        <f>+IF(HLOOKUP(H1,'השקעות 2012-2014'!$1:$124,101,0)="לא",0,+HLOOKUP(H1,'השקעות 2012-2014'!$1:$125,55,0)+HLOOKUP(H1,'השקעות 2012-2014'!$1:$124,112,0))</f>
        <v>397</v>
      </c>
      <c r="I61" s="78">
        <f>+IF(HLOOKUP(I1,'השקעות 2012-2014'!$1:$124,101,0)="לא",0,+HLOOKUP(I1,'השקעות 2012-2014'!$1:$125,55,0)+HLOOKUP(I1,'השקעות 2012-2014'!$1:$124,112,0))</f>
        <v>8483</v>
      </c>
      <c r="J61" s="78">
        <f>+IF(HLOOKUP(J1,'השקעות 2012-2014'!$1:$124,101,0)="לא",0,+HLOOKUP(J1,'השקעות 2012-2014'!$1:$125,55,0)+HLOOKUP(J1,'השקעות 2012-2014'!$1:$124,112,0))</f>
        <v>18993</v>
      </c>
      <c r="K61" s="78">
        <f>+IF(HLOOKUP(K1,'השקעות 2012-2014'!$1:$124,101,0)="לא",0,+HLOOKUP(K1,'השקעות 2012-2014'!$1:$125,55,0)+HLOOKUP(K1,'השקעות 2012-2014'!$1:$124,112,0))</f>
        <v>3609</v>
      </c>
      <c r="L61" s="78">
        <f>+IF(HLOOKUP(L1,'השקעות 2012-2014'!$1:$124,101,0)="לא",0,+HLOOKUP(L1,'השקעות 2012-2014'!$1:$125,55,0)+HLOOKUP(L1,'השקעות 2012-2014'!$1:$124,112,0))</f>
        <v>5116</v>
      </c>
      <c r="M61" s="78">
        <f>+IF(HLOOKUP(M1,'השקעות 2012-2014'!$1:$124,101,0)="לא",0,+HLOOKUP(M1,'השקעות 2012-2014'!$1:$125,55,0)+HLOOKUP(M1,'השקעות 2012-2014'!$1:$124,112,0))</f>
        <v>3338</v>
      </c>
      <c r="N61" s="78">
        <f>+IF(HLOOKUP(N1,'השקעות 2012-2014'!$1:$124,101,0)="לא",0,+HLOOKUP(N1,'השקעות 2012-2014'!$1:$125,55,0)+HLOOKUP(N1,'השקעות 2012-2014'!$1:$124,112,0))</f>
        <v>6407</v>
      </c>
      <c r="O61" s="78">
        <f>+IF(HLOOKUP(O1,'השקעות 2012-2014'!$1:$124,101,0)="לא",0,+HLOOKUP(O1,'השקעות 2012-2014'!$1:$125,55,0)+HLOOKUP(O1,'השקעות 2012-2014'!$1:$124,112,0))</f>
        <v>5365</v>
      </c>
      <c r="P61" s="78">
        <f>+IF(HLOOKUP(P1,'השקעות 2012-2014'!$1:$124,101,0)="לא",0,+HLOOKUP(P1,'השקעות 2012-2014'!$1:$125,55,0)+HLOOKUP(P1,'השקעות 2012-2014'!$1:$124,112,0))</f>
        <v>6619</v>
      </c>
      <c r="Q61" s="78">
        <f>+IF(HLOOKUP(Q1,'השקעות 2012-2014'!$1:$124,101,0)="לא",0,+HLOOKUP(Q1,'השקעות 2012-2014'!$1:$125,55,0)+HLOOKUP(Q1,'השקעות 2012-2014'!$1:$124,112,0))</f>
        <v>9231</v>
      </c>
      <c r="R61" s="78">
        <f>+IF(HLOOKUP(R1,'השקעות 2012-2014'!$1:$124,101,0)="לא",0,+HLOOKUP(R1,'השקעות 2012-2014'!$1:$125,55,0)+HLOOKUP(R1,'השקעות 2012-2014'!$1:$124,112,0))</f>
        <v>3752</v>
      </c>
      <c r="S61" s="78">
        <f>+IF(HLOOKUP(S1,'השקעות 2012-2014'!$1:$124,101,0)="לא",0,+HLOOKUP(S1,'השקעות 2012-2014'!$1:$125,55,0)+HLOOKUP(S1,'השקעות 2012-2014'!$1:$124,112,0))</f>
        <v>2234.1590000000001</v>
      </c>
      <c r="T61" s="78">
        <f>+IF(HLOOKUP(T1,'השקעות 2012-2014'!$1:$124,101,0)="לא",0,+HLOOKUP(T1,'השקעות 2012-2014'!$1:$125,55,0)+HLOOKUP(T1,'השקעות 2012-2014'!$1:$124,112,0))</f>
        <v>5662</v>
      </c>
      <c r="U61" s="78">
        <f>+IF(HLOOKUP(U1,'השקעות 2012-2014'!$1:$124,101,0)="לא",0,+HLOOKUP(U1,'השקעות 2012-2014'!$1:$125,55,0)+HLOOKUP(U1,'השקעות 2012-2014'!$1:$124,112,0))</f>
        <v>3170</v>
      </c>
      <c r="V61" s="78">
        <f>+IF(HLOOKUP(V1,'השקעות 2012-2014'!$1:$124,101,0)="לא",0,+HLOOKUP(V1,'השקעות 2012-2014'!$1:$125,55,0)+HLOOKUP(V1,'השקעות 2012-2014'!$1:$124,112,0))</f>
        <v>5732</v>
      </c>
      <c r="W61" s="78">
        <f>+IF(HLOOKUP(W1,'השקעות 2012-2014'!$1:$124,101,0)="לא",0,+HLOOKUP(W1,'השקעות 2012-2014'!$1:$125,55,0)+HLOOKUP(W1,'השקעות 2012-2014'!$1:$124,112,0))</f>
        <v>4311</v>
      </c>
      <c r="X61" s="78">
        <f>+IF(HLOOKUP(X1,'השקעות 2012-2014'!$1:$124,101,0)="לא",0,+HLOOKUP(X1,'השקעות 2012-2014'!$1:$125,55,0)+HLOOKUP(X1,'השקעות 2012-2014'!$1:$124,112,0))</f>
        <v>19539.258000000002</v>
      </c>
      <c r="Y61" s="78">
        <f>+IF(HLOOKUP(Y1,'השקעות 2012-2014'!$1:$124,101,0)="לא",0,+HLOOKUP(Y1,'השקעות 2012-2014'!$1:$125,55,0)+HLOOKUP(Y1,'השקעות 2012-2014'!$1:$124,112,0))</f>
        <v>2340</v>
      </c>
      <c r="Z61" s="78">
        <f>+IF(HLOOKUP(Z1,'השקעות 2012-2014'!$1:$124,101,0)="לא",0,+HLOOKUP(Z1,'השקעות 2012-2014'!$1:$125,55,0)+HLOOKUP(Z1,'השקעות 2012-2014'!$1:$124,112,0))</f>
        <v>1146</v>
      </c>
      <c r="AA61" s="78">
        <f>+IF(HLOOKUP(AA1,'השקעות 2012-2014'!$1:$124,101,0)="לא",0,+HLOOKUP(AA1,'השקעות 2012-2014'!$1:$125,55,0)+HLOOKUP(AA1,'השקעות 2012-2014'!$1:$124,112,0))</f>
        <v>8228</v>
      </c>
      <c r="AB61" s="78">
        <f>+IF(HLOOKUP(AB1,'השקעות 2012-2014'!$1:$124,101,0)="לא",0,+HLOOKUP(AB1,'השקעות 2012-2014'!$1:$125,55,0)+HLOOKUP(AB1,'השקעות 2012-2014'!$1:$124,112,0))</f>
        <v>242</v>
      </c>
      <c r="AC61" s="78">
        <f>+IF(HLOOKUP(AC1,'השקעות 2012-2014'!$1:$124,101,0)="לא",0,+HLOOKUP(AC1,'השקעות 2012-2014'!$1:$125,55,0)+HLOOKUP(AC1,'השקעות 2012-2014'!$1:$124,112,0))</f>
        <v>5532</v>
      </c>
      <c r="AD61" s="78">
        <f>+IF(HLOOKUP(AD1,'השקעות 2012-2014'!$1:$124,101,0)="לא",0,+HLOOKUP(AD1,'השקעות 2012-2014'!$1:$125,55,0)+HLOOKUP(AD1,'השקעות 2012-2014'!$1:$124,112,0))</f>
        <v>2078</v>
      </c>
      <c r="AE61" s="78">
        <f>+IF(HLOOKUP(AE1,'השקעות 2012-2014'!$1:$124,101,0)="לא",0,+HLOOKUP(AE1,'השקעות 2012-2014'!$1:$125,55,0)+HLOOKUP(AE1,'השקעות 2012-2014'!$1:$124,112,0))</f>
        <v>6078</v>
      </c>
      <c r="AF61" s="78">
        <f>+IF(HLOOKUP(AF1,'השקעות 2012-2014'!$1:$124,101,0)="לא",0,+HLOOKUP(AF1,'השקעות 2012-2014'!$1:$125,55,0)+HLOOKUP(AF1,'השקעות 2012-2014'!$1:$124,112,0))</f>
        <v>7663</v>
      </c>
      <c r="AG61" s="78">
        <f>+IF(HLOOKUP(AG1,'השקעות 2012-2014'!$1:$124,101,0)="לא",0,+HLOOKUP(AG1,'השקעות 2012-2014'!$1:$125,55,0)+HLOOKUP(AG1,'השקעות 2012-2014'!$1:$124,112,0))</f>
        <v>2788</v>
      </c>
      <c r="AH61" s="78">
        <f>+IF(HLOOKUP(AH1,'השקעות 2012-2014'!$1:$124,101,0)="לא",0,+HLOOKUP(AH1,'השקעות 2012-2014'!$1:$125,55,0)+HLOOKUP(AH1,'השקעות 2012-2014'!$1:$124,112,0))</f>
        <v>8323</v>
      </c>
      <c r="AI61" s="78">
        <f>+IF(HLOOKUP(AI1,'השקעות 2012-2014'!$1:$124,101,0)="לא",0,+HLOOKUP(AI1,'השקעות 2012-2014'!$1:$125,55,0)+HLOOKUP(AI1,'השקעות 2012-2014'!$1:$124,112,0))</f>
        <v>214</v>
      </c>
      <c r="AJ61" s="78">
        <f>+IF(HLOOKUP(AJ1,'השקעות 2012-2014'!$1:$124,101,0)="לא",0,+HLOOKUP(AJ1,'השקעות 2012-2014'!$1:$125,55,0)+HLOOKUP(AJ1,'השקעות 2012-2014'!$1:$124,112,0))</f>
        <v>908</v>
      </c>
      <c r="AK61" s="78">
        <f>+IF(HLOOKUP(AK1,'השקעות 2012-2014'!$1:$124,101,0)="לא",0,+HLOOKUP(AK1,'השקעות 2012-2014'!$1:$125,55,0)+HLOOKUP(AK1,'השקעות 2012-2014'!$1:$124,112,0))</f>
        <v>1676</v>
      </c>
      <c r="AL61" s="78">
        <f>+IF(HLOOKUP(AL1,'השקעות 2012-2014'!$1:$124,101,0)="לא",0,+HLOOKUP(AL1,'השקעות 2012-2014'!$1:$125,55,0)+HLOOKUP(AL1,'השקעות 2012-2014'!$1:$124,112,0))</f>
        <v>992</v>
      </c>
      <c r="AM61" s="78">
        <f>+IF(HLOOKUP(AM1,'השקעות 2012-2014'!$1:$124,101,0)="לא",0,+HLOOKUP(AM1,'השקעות 2012-2014'!$1:$125,55,0)+HLOOKUP(AM1,'השקעות 2012-2014'!$1:$124,112,0))</f>
        <v>33898</v>
      </c>
      <c r="AN61" s="78">
        <f>+IF(HLOOKUP(AN1,'השקעות 2012-2014'!$1:$124,101,0)="לא",0,+HLOOKUP(AN1,'השקעות 2012-2014'!$1:$125,55,0)+HLOOKUP(AN1,'השקעות 2012-2014'!$1:$124,112,0))</f>
        <v>3908</v>
      </c>
      <c r="AO61" s="78">
        <f>+IF(HLOOKUP(AO1,'השקעות 2012-2014'!$1:$124,101,0)="לא",0,+HLOOKUP(AO1,'השקעות 2012-2014'!$1:$125,55,0)+HLOOKUP(AO1,'השקעות 2012-2014'!$1:$124,112,0))</f>
        <v>13253</v>
      </c>
      <c r="AP61" s="78">
        <f>+IF(HLOOKUP(AP1,'השקעות 2012-2014'!$1:$124,101,0)="לא",0,+HLOOKUP(AP1,'השקעות 2012-2014'!$1:$125,55,0)+HLOOKUP(AP1,'השקעות 2012-2014'!$1:$124,112,0))</f>
        <v>5907</v>
      </c>
      <c r="AQ61" s="78">
        <f>+IF(HLOOKUP(AQ1,'השקעות 2012-2014'!$1:$124,101,0)="לא",0,+HLOOKUP(AQ1,'השקעות 2012-2014'!$1:$125,55,0)+HLOOKUP(AQ1,'השקעות 2012-2014'!$1:$124,112,0))</f>
        <v>7228</v>
      </c>
      <c r="AR61" s="78">
        <f>+IF(HLOOKUP(AR1,'השקעות 2012-2014'!$1:$124,101,0)="לא",0,+HLOOKUP(AR1,'השקעות 2012-2014'!$1:$125,55,0)+HLOOKUP(AR1,'השקעות 2012-2014'!$1:$124,112,0))</f>
        <v>321</v>
      </c>
      <c r="AS61" s="78">
        <f>+IF(HLOOKUP(AS1,'השקעות 2012-2014'!$1:$124,101,0)="לא",0,+HLOOKUP(AS1,'השקעות 2012-2014'!$1:$125,55,0)+HLOOKUP(AS1,'השקעות 2012-2014'!$1:$124,112,0))</f>
        <v>2491</v>
      </c>
      <c r="AT61" s="78">
        <f>+IF(HLOOKUP(AT1,'השקעות 2012-2014'!$1:$124,101,0)="לא",0,+HLOOKUP(AT1,'השקעות 2012-2014'!$1:$125,55,0)+HLOOKUP(AT1,'השקעות 2012-2014'!$1:$124,112,0))</f>
        <v>0</v>
      </c>
      <c r="AU61" s="78">
        <f>+IF(HLOOKUP(AU1,'השקעות 2012-2014'!$1:$124,101,0)="לא",0,+HLOOKUP(AU1,'השקעות 2012-2014'!$1:$125,55,0)+HLOOKUP(AU1,'השקעות 2012-2014'!$1:$124,112,0))</f>
        <v>1197.8889999999999</v>
      </c>
      <c r="AV61" s="78">
        <f>+IF(HLOOKUP(AV1,'השקעות 2012-2014'!$1:$124,101,0)="לא",0,+HLOOKUP(AV1,'השקעות 2012-2014'!$1:$125,55,0)+HLOOKUP(AV1,'השקעות 2012-2014'!$1:$124,112,0))</f>
        <v>15457</v>
      </c>
      <c r="AW61" s="78">
        <f>+IF(HLOOKUP(AW1,'השקעות 2012-2014'!$1:$124,101,0)="לא",0,+HLOOKUP(AW1,'השקעות 2012-2014'!$1:$125,55,0)+HLOOKUP(AW1,'השקעות 2012-2014'!$1:$124,112,0))</f>
        <v>7169</v>
      </c>
      <c r="AX61" s="78">
        <f>+IF(HLOOKUP(AX1,'השקעות 2012-2014'!$1:$124,101,0)="לא",0,+HLOOKUP(AX1,'השקעות 2012-2014'!$1:$125,55,0)+HLOOKUP(AX1,'השקעות 2012-2014'!$1:$124,112,0))</f>
        <v>1787</v>
      </c>
      <c r="AY61" s="78">
        <f>+IF(HLOOKUP(AY1,'השקעות 2012-2014'!$1:$124,101,0)="לא",0,+HLOOKUP(AY1,'השקעות 2012-2014'!$1:$125,55,0)+HLOOKUP(AY1,'השקעות 2012-2014'!$1:$124,112,0))</f>
        <v>1950.7550000000001</v>
      </c>
      <c r="AZ61" s="78">
        <f>+IF(HLOOKUP(AZ1,'השקעות 2012-2014'!$1:$124,101,0)="לא",0,+HLOOKUP(AZ1,'השקעות 2012-2014'!$1:$125,55,0)+HLOOKUP(AZ1,'השקעות 2012-2014'!$1:$124,112,0))</f>
        <v>1</v>
      </c>
      <c r="BA61" s="78">
        <f>+IF(HLOOKUP(BA1,'השקעות 2012-2014'!$1:$124,101,0)="לא",0,+HLOOKUP(BA1,'השקעות 2012-2014'!$1:$125,55,0)+HLOOKUP(BA1,'השקעות 2012-2014'!$1:$124,112,0))</f>
        <v>9622</v>
      </c>
      <c r="BB61" s="78">
        <f>+IF(HLOOKUP(BB1,'השקעות 2012-2014'!$1:$124,101,0)="לא",0,+HLOOKUP(BB1,'השקעות 2012-2014'!$1:$125,55,0)+HLOOKUP(BB1,'השקעות 2012-2014'!$1:$124,112,0))</f>
        <v>1046</v>
      </c>
      <c r="BC61" s="78">
        <f>+IF(HLOOKUP(BC1,'השקעות 2012-2014'!$1:$124,101,0)="לא",0,+HLOOKUP(BC1,'השקעות 2012-2014'!$1:$125,55,0)+HLOOKUP(BC1,'השקעות 2012-2014'!$1:$124,112,0))</f>
        <v>4584</v>
      </c>
      <c r="BD61" s="78">
        <f>+IF(HLOOKUP(BD1,'השקעות 2012-2014'!$1:$124,101,0)="לא",0,+HLOOKUP(BD1,'השקעות 2012-2014'!$1:$125,55,0)+HLOOKUP(BD1,'השקעות 2012-2014'!$1:$124,112,0))</f>
        <v>5379</v>
      </c>
      <c r="BE61" s="78">
        <f>+IF(HLOOKUP(BE1,'השקעות 2012-2014'!$1:$124,101,0)="לא",0,+HLOOKUP(BE1,'השקעות 2012-2014'!$1:$125,55,0)+HLOOKUP(BE1,'השקעות 2012-2014'!$1:$124,112,0))</f>
        <v>1282</v>
      </c>
      <c r="BF61" s="78">
        <f>+IF(HLOOKUP(BF1,'השקעות 2012-2014'!$1:$124,101,0)="לא",0,+HLOOKUP(BF1,'השקעות 2012-2014'!$1:$125,55,0)+HLOOKUP(BF1,'השקעות 2012-2014'!$1:$124,112,0))</f>
        <v>92</v>
      </c>
    </row>
    <row r="62" spans="1:59" x14ac:dyDescent="0.2">
      <c r="B62" s="813">
        <v>2014</v>
      </c>
      <c r="D62" s="5">
        <f>+IF(HLOOKUP(D1,'השקעות 2012-2014'!$1:$124,103,0)="לא",0,+HLOOKUP(D1,'השקעות 2012-2014'!$1:$125,56,0)+HLOOKUP(D1,'השקעות 2012-2014'!$1:$124,122,0))</f>
        <v>17799</v>
      </c>
      <c r="E62" s="5">
        <f>+IF(HLOOKUP(E1,'השקעות 2012-2014'!$1:$124,103,0)="לא",0,+HLOOKUP(E1,'השקעות 2012-2014'!$1:$125,56,0)+HLOOKUP(E1,'השקעות 2012-2014'!$1:$124,122,0))</f>
        <v>4835</v>
      </c>
      <c r="F62" s="5">
        <f>+IF(HLOOKUP(F1,'השקעות 2012-2014'!$1:$124,103,0)="לא",0,+HLOOKUP(F1,'השקעות 2012-2014'!$1:$125,56,0)+HLOOKUP(F1,'השקעות 2012-2014'!$1:$124,122,0))</f>
        <v>27492</v>
      </c>
      <c r="G62" s="5">
        <f>+IF(HLOOKUP(G1,'השקעות 2012-2014'!$1:$124,103,0)="לא",0,+HLOOKUP(G1,'השקעות 2012-2014'!$1:$125,56,0)+HLOOKUP(G1,'השקעות 2012-2014'!$1:$124,122,0))</f>
        <v>871</v>
      </c>
      <c r="H62" s="5">
        <f>+IF(HLOOKUP(H1,'השקעות 2012-2014'!$1:$124,103,0)="לא",0,+HLOOKUP(H1,'השקעות 2012-2014'!$1:$125,56,0)+HLOOKUP(H1,'השקעות 2012-2014'!$1:$124,122,0))</f>
        <v>65</v>
      </c>
      <c r="I62" s="5">
        <f>+IF(HLOOKUP(I1,'השקעות 2012-2014'!$1:$124,103,0)="לא",0,+HLOOKUP(I1,'השקעות 2012-2014'!$1:$125,56,0)+HLOOKUP(I1,'השקעות 2012-2014'!$1:$124,122,0))</f>
        <v>33479</v>
      </c>
      <c r="J62" s="5">
        <f>+IF(HLOOKUP(J1,'השקעות 2012-2014'!$1:$124,103,0)="לא",0,+HLOOKUP(J1,'השקעות 2012-2014'!$1:$125,56,0)+HLOOKUP(J1,'השקעות 2012-2014'!$1:$124,122,0))</f>
        <v>32035</v>
      </c>
      <c r="K62" s="5">
        <f>+IF(HLOOKUP(K1,'השקעות 2012-2014'!$1:$124,103,0)="לא",0,+HLOOKUP(K1,'השקעות 2012-2014'!$1:$125,56,0)+HLOOKUP(K1,'השקעות 2012-2014'!$1:$124,122,0))</f>
        <v>6656</v>
      </c>
      <c r="L62" s="5">
        <f>+IF(HLOOKUP(L1,'השקעות 2012-2014'!$1:$124,103,0)="לא",0,+HLOOKUP(L1,'השקעות 2012-2014'!$1:$125,56,0)+HLOOKUP(L1,'השקעות 2012-2014'!$1:$124,122,0))</f>
        <v>9386</v>
      </c>
      <c r="M62" s="5">
        <f>+IF(HLOOKUP(M1,'השקעות 2012-2014'!$1:$124,103,0)="לא",0,+HLOOKUP(M1,'השקעות 2012-2014'!$1:$125,56,0)+HLOOKUP(M1,'השקעות 2012-2014'!$1:$124,122,0))</f>
        <v>514</v>
      </c>
      <c r="N62" s="5">
        <f>+IF(HLOOKUP(N1,'השקעות 2012-2014'!$1:$124,103,0)="לא",0,+HLOOKUP(N1,'השקעות 2012-2014'!$1:$125,56,0)+HLOOKUP(N1,'השקעות 2012-2014'!$1:$124,122,0))</f>
        <v>3015</v>
      </c>
      <c r="O62" s="5">
        <f>+IF(HLOOKUP(O1,'השקעות 2012-2014'!$1:$124,103,0)="לא",0,+HLOOKUP(O1,'השקעות 2012-2014'!$1:$125,56,0)+HLOOKUP(O1,'השקעות 2012-2014'!$1:$124,122,0))</f>
        <v>39710</v>
      </c>
      <c r="P62" s="5">
        <f>+IF(HLOOKUP(P1,'השקעות 2012-2014'!$1:$124,103,0)="לא",0,+HLOOKUP(P1,'השקעות 2012-2014'!$1:$125,56,0)+HLOOKUP(P1,'השקעות 2012-2014'!$1:$124,122,0))</f>
        <v>41005</v>
      </c>
      <c r="Q62" s="5">
        <f>+IF(HLOOKUP(Q1,'השקעות 2012-2014'!$1:$124,103,0)="לא",0,+HLOOKUP(Q1,'השקעות 2012-2014'!$1:$125,56,0)+HLOOKUP(Q1,'השקעות 2012-2014'!$1:$124,122,0))</f>
        <v>12081</v>
      </c>
      <c r="R62" s="5">
        <f>+IF(HLOOKUP(R1,'השקעות 2012-2014'!$1:$124,103,0)="לא",0,+HLOOKUP(R1,'השקעות 2012-2014'!$1:$125,56,0)+HLOOKUP(R1,'השקעות 2012-2014'!$1:$124,122,0))</f>
        <v>2857</v>
      </c>
      <c r="S62" s="5">
        <f>+IF(HLOOKUP(S1,'השקעות 2012-2014'!$1:$124,103,0)="לא",0,+HLOOKUP(S1,'השקעות 2012-2014'!$1:$125,56,0)+HLOOKUP(S1,'השקעות 2012-2014'!$1:$124,122,0))</f>
        <v>3331</v>
      </c>
      <c r="T62" s="5">
        <f>+IF(HLOOKUP(T1,'השקעות 2012-2014'!$1:$124,103,0)="לא",0,+HLOOKUP(T1,'השקעות 2012-2014'!$1:$125,56,0)+HLOOKUP(T1,'השקעות 2012-2014'!$1:$124,122,0))</f>
        <v>9216</v>
      </c>
      <c r="U62" s="5">
        <f>+IF(HLOOKUP(U1,'השקעות 2012-2014'!$1:$124,103,0)="לא",0,+HLOOKUP(U1,'השקעות 2012-2014'!$1:$125,56,0)+HLOOKUP(U1,'השקעות 2012-2014'!$1:$124,122,0))</f>
        <v>2337</v>
      </c>
      <c r="V62" s="5">
        <f>+IF(HLOOKUP(V1,'השקעות 2012-2014'!$1:$124,103,0)="לא",0,+HLOOKUP(V1,'השקעות 2012-2014'!$1:$125,56,0)+HLOOKUP(V1,'השקעות 2012-2014'!$1:$124,122,0))</f>
        <v>5646</v>
      </c>
      <c r="W62" s="5">
        <f>+IF(HLOOKUP(W1,'השקעות 2012-2014'!$1:$124,103,0)="לא",0,+HLOOKUP(W1,'השקעות 2012-2014'!$1:$125,56,0)+HLOOKUP(W1,'השקעות 2012-2014'!$1:$124,122,0))</f>
        <v>5631</v>
      </c>
      <c r="X62" s="5">
        <f>+IF(HLOOKUP(X1,'השקעות 2012-2014'!$1:$124,103,0)="לא",0,+HLOOKUP(X1,'השקעות 2012-2014'!$1:$125,56,0)+HLOOKUP(X1,'השקעות 2012-2014'!$1:$124,122,0))</f>
        <v>32018</v>
      </c>
      <c r="Y62" s="5">
        <f>+IF(HLOOKUP(Y1,'השקעות 2012-2014'!$1:$124,103,0)="לא",0,+HLOOKUP(Y1,'השקעות 2012-2014'!$1:$125,56,0)+HLOOKUP(Y1,'השקעות 2012-2014'!$1:$124,122,0))</f>
        <v>7501</v>
      </c>
      <c r="Z62" s="5">
        <f>+IF(HLOOKUP(Z1,'השקעות 2012-2014'!$1:$124,103,0)="לא",0,+HLOOKUP(Z1,'השקעות 2012-2014'!$1:$125,56,0)+HLOOKUP(Z1,'השקעות 2012-2014'!$1:$124,122,0))</f>
        <v>5574</v>
      </c>
      <c r="AA62" s="5">
        <f>+IF(HLOOKUP(AA1,'השקעות 2012-2014'!$1:$124,103,0)="לא",0,+HLOOKUP(AA1,'השקעות 2012-2014'!$1:$125,56,0)+HLOOKUP(AA1,'השקעות 2012-2014'!$1:$124,122,0))</f>
        <v>16235</v>
      </c>
      <c r="AB62" s="5">
        <f>+IF(HLOOKUP(AB1,'השקעות 2012-2014'!$1:$124,103,0)="לא",0,+HLOOKUP(AB1,'השקעות 2012-2014'!$1:$125,56,0)+HLOOKUP(AB1,'השקעות 2012-2014'!$1:$124,122,0))</f>
        <v>10414</v>
      </c>
      <c r="AC62" s="5">
        <f>+IF(HLOOKUP(AC1,'השקעות 2012-2014'!$1:$124,103,0)="לא",0,+HLOOKUP(AC1,'השקעות 2012-2014'!$1:$125,56,0)+HLOOKUP(AC1,'השקעות 2012-2014'!$1:$124,122,0))</f>
        <v>4491</v>
      </c>
      <c r="AD62" s="5">
        <f>+IF(HLOOKUP(AD1,'השקעות 2012-2014'!$1:$124,103,0)="לא",0,+HLOOKUP(AD1,'השקעות 2012-2014'!$1:$125,56,0)+HLOOKUP(AD1,'השקעות 2012-2014'!$1:$124,122,0))</f>
        <v>9602</v>
      </c>
      <c r="AE62" s="5">
        <f>+IF(HLOOKUP(AE1,'השקעות 2012-2014'!$1:$124,103,0)="לא",0,+HLOOKUP(AE1,'השקעות 2012-2014'!$1:$125,56,0)+HLOOKUP(AE1,'השקעות 2012-2014'!$1:$124,122,0))</f>
        <v>8886</v>
      </c>
      <c r="AF62" s="5">
        <f>+IF(HLOOKUP(AF1,'השקעות 2012-2014'!$1:$124,103,0)="לא",0,+HLOOKUP(AF1,'השקעות 2012-2014'!$1:$125,56,0)+HLOOKUP(AF1,'השקעות 2012-2014'!$1:$124,122,0))</f>
        <v>40014</v>
      </c>
      <c r="AG62" s="5">
        <f>+IF(HLOOKUP(AG1,'השקעות 2012-2014'!$1:$124,103,0)="לא",0,+HLOOKUP(AG1,'השקעות 2012-2014'!$1:$125,56,0)+HLOOKUP(AG1,'השקעות 2012-2014'!$1:$124,122,0))</f>
        <v>2372</v>
      </c>
      <c r="AH62" s="5">
        <f>+IF(HLOOKUP(AH1,'השקעות 2012-2014'!$1:$124,103,0)="לא",0,+HLOOKUP(AH1,'השקעות 2012-2014'!$1:$125,56,0)+HLOOKUP(AH1,'השקעות 2012-2014'!$1:$124,122,0))</f>
        <v>4995</v>
      </c>
      <c r="AI62" s="5">
        <f>+IF(HLOOKUP(AI1,'השקעות 2012-2014'!$1:$124,103,0)="לא",0,+HLOOKUP(AI1,'השקעות 2012-2014'!$1:$125,56,0)+HLOOKUP(AI1,'השקעות 2012-2014'!$1:$124,122,0))</f>
        <v>0</v>
      </c>
      <c r="AJ62" s="5">
        <f>+IF(HLOOKUP(AJ1,'השקעות 2012-2014'!$1:$124,103,0)="לא",0,+HLOOKUP(AJ1,'השקעות 2012-2014'!$1:$125,56,0)+HLOOKUP(AJ1,'השקעות 2012-2014'!$1:$124,122,0))</f>
        <v>580</v>
      </c>
      <c r="AK62" s="5">
        <f>+IF(HLOOKUP(AK1,'השקעות 2012-2014'!$1:$124,103,0)="לא",0,+HLOOKUP(AK1,'השקעות 2012-2014'!$1:$125,56,0)+HLOOKUP(AK1,'השקעות 2012-2014'!$1:$124,122,0))</f>
        <v>14903</v>
      </c>
      <c r="AL62" s="5">
        <f>+IF(HLOOKUP(AL1,'השקעות 2012-2014'!$1:$124,103,0)="לא",0,+HLOOKUP(AL1,'השקעות 2012-2014'!$1:$125,56,0)+HLOOKUP(AL1,'השקעות 2012-2014'!$1:$124,122,0))</f>
        <v>750</v>
      </c>
      <c r="AM62" s="5">
        <f>+IF(HLOOKUP(AM1,'השקעות 2012-2014'!$1:$124,103,0)="לא",0,+HLOOKUP(AM1,'השקעות 2012-2014'!$1:$125,56,0)+HLOOKUP(AM1,'השקעות 2012-2014'!$1:$124,122,0))</f>
        <v>28163</v>
      </c>
      <c r="AN62" s="5">
        <f>+IF(HLOOKUP(AN1,'השקעות 2012-2014'!$1:$124,103,0)="לא",0,+HLOOKUP(AN1,'השקעות 2012-2014'!$1:$125,56,0)+HLOOKUP(AN1,'השקעות 2012-2014'!$1:$124,122,0))</f>
        <v>873</v>
      </c>
      <c r="AO62" s="5">
        <f>+IF(HLOOKUP(AO1,'השקעות 2012-2014'!$1:$124,103,0)="לא",0,+HLOOKUP(AO1,'השקעות 2012-2014'!$1:$125,56,0)+HLOOKUP(AO1,'השקעות 2012-2014'!$1:$124,122,0))</f>
        <v>6381</v>
      </c>
      <c r="AP62" s="5">
        <f>+IF(HLOOKUP(AP1,'השקעות 2012-2014'!$1:$124,103,0)="לא",0,+HLOOKUP(AP1,'השקעות 2012-2014'!$1:$125,56,0)+HLOOKUP(AP1,'השקעות 2012-2014'!$1:$124,122,0))</f>
        <v>16010</v>
      </c>
      <c r="AQ62" s="5">
        <f>+IF(HLOOKUP(AQ1,'השקעות 2012-2014'!$1:$124,103,0)="לא",0,+HLOOKUP(AQ1,'השקעות 2012-2014'!$1:$125,56,0)+HLOOKUP(AQ1,'השקעות 2012-2014'!$1:$124,122,0))</f>
        <v>2263</v>
      </c>
      <c r="AR62" s="5">
        <f>+IF(HLOOKUP(AR1,'השקעות 2012-2014'!$1:$124,103,0)="לא",0,+HLOOKUP(AR1,'השקעות 2012-2014'!$1:$125,56,0)+HLOOKUP(AR1,'השקעות 2012-2014'!$1:$124,122,0))</f>
        <v>1879</v>
      </c>
      <c r="AS62" s="5">
        <f>+IF(HLOOKUP(AS1,'השקעות 2012-2014'!$1:$124,103,0)="לא",0,+HLOOKUP(AS1,'השקעות 2012-2014'!$1:$125,56,0)+HLOOKUP(AS1,'השקעות 2012-2014'!$1:$124,122,0))</f>
        <v>1909</v>
      </c>
      <c r="AT62" s="5">
        <f>+IF(HLOOKUP(AT1,'השקעות 2012-2014'!$1:$124,103,0)="לא",0,+HLOOKUP(AT1,'השקעות 2012-2014'!$1:$125,56,0)+HLOOKUP(AT1,'השקעות 2012-2014'!$1:$124,122,0))</f>
        <v>0</v>
      </c>
      <c r="AU62" s="5">
        <f>+IF(HLOOKUP(AU1,'השקעות 2012-2014'!$1:$124,103,0)="לא",0,+HLOOKUP(AU1,'השקעות 2012-2014'!$1:$125,56,0)+HLOOKUP(AU1,'השקעות 2012-2014'!$1:$124,122,0))</f>
        <v>1301</v>
      </c>
      <c r="AV62" s="5">
        <f>+IF(HLOOKUP(AV1,'השקעות 2012-2014'!$1:$124,103,0)="לא",0,+HLOOKUP(AV1,'השקעות 2012-2014'!$1:$125,56,0)+HLOOKUP(AV1,'השקעות 2012-2014'!$1:$124,122,0))</f>
        <v>10356</v>
      </c>
      <c r="AW62" s="5">
        <f>+IF(HLOOKUP(AW1,'השקעות 2012-2014'!$1:$124,103,0)="לא",0,+HLOOKUP(AW1,'השקעות 2012-2014'!$1:$125,56,0)+HLOOKUP(AW1,'השקעות 2012-2014'!$1:$124,122,0))</f>
        <v>11143</v>
      </c>
      <c r="AX62" s="5">
        <f>+IF(HLOOKUP(AX1,'השקעות 2012-2014'!$1:$124,103,0)="לא",0,+HLOOKUP(AX1,'השקעות 2012-2014'!$1:$125,56,0)+HLOOKUP(AX1,'השקעות 2012-2014'!$1:$124,122,0))</f>
        <v>14</v>
      </c>
      <c r="AY62" s="5">
        <f>+IF(HLOOKUP(AY1,'השקעות 2012-2014'!$1:$124,103,0)="לא",0,+HLOOKUP(AY1,'השקעות 2012-2014'!$1:$125,56,0)+HLOOKUP(AY1,'השקעות 2012-2014'!$1:$124,122,0))</f>
        <v>10543</v>
      </c>
      <c r="AZ62" s="5">
        <f>+IF(HLOOKUP(AZ1,'השקעות 2012-2014'!$1:$124,103,0)="לא",0,+HLOOKUP(AZ1,'השקעות 2012-2014'!$1:$125,56,0)+HLOOKUP(AZ1,'השקעות 2012-2014'!$1:$124,122,0))</f>
        <v>10957</v>
      </c>
      <c r="BA62" s="5">
        <f>+IF(HLOOKUP(BA1,'השקעות 2012-2014'!$1:$124,103,0)="לא",0,+HLOOKUP(BA1,'השקעות 2012-2014'!$1:$125,56,0)+HLOOKUP(BA1,'השקעות 2012-2014'!$1:$124,122,0))</f>
        <v>3821</v>
      </c>
      <c r="BB62" s="5">
        <f>+IF(HLOOKUP(BB1,'השקעות 2012-2014'!$1:$124,103,0)="לא",0,+HLOOKUP(BB1,'השקעות 2012-2014'!$1:$125,56,0)+HLOOKUP(BB1,'השקעות 2012-2014'!$1:$124,122,0))</f>
        <v>3702</v>
      </c>
      <c r="BC62" s="5">
        <f>+IF(HLOOKUP(BC1,'השקעות 2012-2014'!$1:$124,103,0)="לא",0,+HLOOKUP(BC1,'השקעות 2012-2014'!$1:$125,56,0)+HLOOKUP(BC1,'השקעות 2012-2014'!$1:$124,122,0))</f>
        <v>4584</v>
      </c>
      <c r="BD62" s="5">
        <f>+IF(HLOOKUP(BD1,'השקעות 2012-2014'!$1:$124,103,0)="לא",0,+HLOOKUP(BD1,'השקעות 2012-2014'!$1:$125,56,0)+HLOOKUP(BD1,'השקעות 2012-2014'!$1:$124,122,0))</f>
        <v>3137</v>
      </c>
      <c r="BE62" s="5">
        <f>+IF(HLOOKUP(BE1,'השקעות 2012-2014'!$1:$124,103,0)="לא",0,+HLOOKUP(BE1,'השקעות 2012-2014'!$1:$125,56,0)+HLOOKUP(BE1,'השקעות 2012-2014'!$1:$124,122,0))</f>
        <v>7237</v>
      </c>
      <c r="BF62" s="5">
        <f>+IF(HLOOKUP(BF1,'השקעות 2012-2014'!$1:$124,103,0)="לא",0,+HLOOKUP(BF1,'השקעות 2012-2014'!$1:$125,56,0)+HLOOKUP(BF1,'השקעות 2012-2014'!$1:$124,122,0))</f>
        <v>788</v>
      </c>
    </row>
    <row r="63" spans="1:59" x14ac:dyDescent="0.2">
      <c r="B63" s="813"/>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row>
    <row r="64" spans="1:59" x14ac:dyDescent="0.2">
      <c r="A64" s="16" t="s">
        <v>1171</v>
      </c>
      <c r="AA64" s="5">
        <f>6142543/1000</f>
        <v>6142.5429999999997</v>
      </c>
      <c r="AF64" s="5">
        <v>31262</v>
      </c>
      <c r="AK64" s="5">
        <f>8518517/1000</f>
        <v>8518.5169999999998</v>
      </c>
      <c r="AL64" s="47">
        <f>11398881/1000</f>
        <v>11398.880999999999</v>
      </c>
      <c r="AT64" s="1">
        <f>5824000/1000</f>
        <v>5824</v>
      </c>
      <c r="AZ64" s="5">
        <f>9491645/1000</f>
        <v>9491.6450000000004</v>
      </c>
      <c r="BG64" s="6">
        <f>SUM(D64:BF64)</f>
        <v>72637.585999999996</v>
      </c>
    </row>
    <row r="65" spans="1:58" x14ac:dyDescent="0.2">
      <c r="D65" s="47"/>
      <c r="E65" s="47"/>
      <c r="F65" s="47"/>
      <c r="G65" s="47"/>
      <c r="H65" s="47"/>
      <c r="I65" s="47"/>
      <c r="J65" s="47"/>
      <c r="K65" s="47"/>
      <c r="L65" s="47"/>
      <c r="M65" s="47"/>
      <c r="N65" s="47"/>
      <c r="O65" s="47"/>
      <c r="P65" s="47"/>
      <c r="Q65" s="47"/>
      <c r="R65" s="47"/>
      <c r="S65" s="47"/>
      <c r="T65" s="47"/>
      <c r="U65" s="47"/>
      <c r="V65" s="47"/>
      <c r="W65" s="47"/>
      <c r="X65" s="47"/>
      <c r="Y65" s="47"/>
      <c r="Z65" s="47"/>
      <c r="AA65" s="47"/>
      <c r="AB65" s="47"/>
      <c r="AC65" s="47"/>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row>
    <row r="66" spans="1:58" x14ac:dyDescent="0.2">
      <c r="B66" t="s">
        <v>669</v>
      </c>
      <c r="D66" s="47">
        <f>SUM(D58:D59)</f>
        <v>17640</v>
      </c>
      <c r="E66" s="47">
        <f t="shared" ref="E66:BF66" si="6">SUM(E58:E59)</f>
        <v>892</v>
      </c>
      <c r="F66" s="47">
        <f t="shared" si="6"/>
        <v>5606</v>
      </c>
      <c r="G66" s="47">
        <f t="shared" si="6"/>
        <v>2064</v>
      </c>
      <c r="H66" s="47">
        <f t="shared" si="6"/>
        <v>261</v>
      </c>
      <c r="I66" s="47">
        <f t="shared" si="6"/>
        <v>0</v>
      </c>
      <c r="J66" s="47">
        <f t="shared" si="6"/>
        <v>22512</v>
      </c>
      <c r="K66" s="47">
        <f t="shared" si="6"/>
        <v>20778</v>
      </c>
      <c r="L66" s="47">
        <f t="shared" si="6"/>
        <v>755</v>
      </c>
      <c r="M66" s="47">
        <f t="shared" si="6"/>
        <v>3477</v>
      </c>
      <c r="N66" s="47">
        <f t="shared" si="6"/>
        <v>0</v>
      </c>
      <c r="O66" s="47">
        <f t="shared" si="6"/>
        <v>5684</v>
      </c>
      <c r="P66" s="47">
        <f t="shared" si="6"/>
        <v>14881</v>
      </c>
      <c r="Q66" s="47">
        <f t="shared" si="6"/>
        <v>0</v>
      </c>
      <c r="R66" s="47">
        <f t="shared" si="6"/>
        <v>1033</v>
      </c>
      <c r="S66" s="47">
        <f t="shared" si="6"/>
        <v>1345</v>
      </c>
      <c r="T66" s="47">
        <f t="shared" si="6"/>
        <v>7798</v>
      </c>
      <c r="U66" s="47">
        <f t="shared" si="6"/>
        <v>12451.262328000001</v>
      </c>
      <c r="V66" s="47">
        <f t="shared" si="6"/>
        <v>3693</v>
      </c>
      <c r="W66" s="47">
        <f t="shared" si="6"/>
        <v>1190</v>
      </c>
      <c r="X66" s="47">
        <f t="shared" si="6"/>
        <v>0</v>
      </c>
      <c r="Y66" s="47">
        <f t="shared" si="6"/>
        <v>1423.874</v>
      </c>
      <c r="Z66" s="47">
        <f t="shared" si="6"/>
        <v>1567</v>
      </c>
      <c r="AA66" s="47">
        <f t="shared" si="6"/>
        <v>0</v>
      </c>
      <c r="AB66" s="47">
        <f t="shared" si="6"/>
        <v>358</v>
      </c>
      <c r="AC66" s="47">
        <f t="shared" si="6"/>
        <v>0</v>
      </c>
      <c r="AD66" s="47">
        <f t="shared" si="6"/>
        <v>1980</v>
      </c>
      <c r="AE66" s="47">
        <f t="shared" si="6"/>
        <v>4257</v>
      </c>
      <c r="AF66" s="47">
        <f t="shared" si="6"/>
        <v>4435</v>
      </c>
      <c r="AG66" s="47">
        <f t="shared" si="6"/>
        <v>1830</v>
      </c>
      <c r="AH66" s="47">
        <f t="shared" si="6"/>
        <v>61</v>
      </c>
      <c r="AI66" s="47">
        <f t="shared" si="6"/>
        <v>0</v>
      </c>
      <c r="AJ66" s="47">
        <f t="shared" si="6"/>
        <v>1528</v>
      </c>
      <c r="AK66" s="47">
        <f t="shared" si="6"/>
        <v>0</v>
      </c>
      <c r="AL66" s="47">
        <f t="shared" si="6"/>
        <v>0</v>
      </c>
      <c r="AM66" s="47">
        <f t="shared" si="6"/>
        <v>24477</v>
      </c>
      <c r="AN66" s="47">
        <f t="shared" si="6"/>
        <v>279</v>
      </c>
      <c r="AO66" s="47">
        <f t="shared" si="6"/>
        <v>0</v>
      </c>
      <c r="AP66" s="47">
        <f t="shared" si="6"/>
        <v>0</v>
      </c>
      <c r="AQ66" s="47">
        <f t="shared" si="6"/>
        <v>0</v>
      </c>
      <c r="AR66" s="47">
        <f t="shared" si="6"/>
        <v>0</v>
      </c>
      <c r="AS66" s="47">
        <f t="shared" si="6"/>
        <v>0</v>
      </c>
      <c r="AT66" s="47">
        <f t="shared" si="6"/>
        <v>0</v>
      </c>
      <c r="AU66" s="47">
        <f t="shared" si="6"/>
        <v>1174</v>
      </c>
      <c r="AV66" s="47">
        <f t="shared" si="6"/>
        <v>2113</v>
      </c>
      <c r="AW66" s="47">
        <f t="shared" si="6"/>
        <v>0</v>
      </c>
      <c r="AX66" s="47">
        <f t="shared" si="6"/>
        <v>917</v>
      </c>
      <c r="AY66" s="47">
        <f t="shared" si="6"/>
        <v>0</v>
      </c>
      <c r="AZ66" s="47">
        <f t="shared" si="6"/>
        <v>0</v>
      </c>
      <c r="BA66" s="47">
        <f t="shared" si="6"/>
        <v>199</v>
      </c>
      <c r="BB66" s="47">
        <f t="shared" si="6"/>
        <v>777</v>
      </c>
      <c r="BC66" s="47">
        <f t="shared" si="6"/>
        <v>0</v>
      </c>
      <c r="BD66" s="47">
        <f t="shared" si="6"/>
        <v>1007</v>
      </c>
      <c r="BE66" s="47">
        <f t="shared" si="6"/>
        <v>5885</v>
      </c>
      <c r="BF66" s="47">
        <f t="shared" si="6"/>
        <v>0</v>
      </c>
    </row>
    <row r="67" spans="1:58" x14ac:dyDescent="0.2">
      <c r="D67" s="47"/>
      <c r="E67" s="47"/>
      <c r="F67" s="47"/>
      <c r="G67" s="47"/>
      <c r="H67" s="47"/>
      <c r="I67" s="47"/>
      <c r="J67" s="47"/>
      <c r="K67" s="47"/>
      <c r="L67" s="47"/>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row>
    <row r="69" spans="1:58" s="648" customFormat="1" ht="18.75" customHeight="1" x14ac:dyDescent="0.2">
      <c r="A69" s="646"/>
      <c r="B69" s="811" t="s">
        <v>164</v>
      </c>
      <c r="C69" s="646"/>
      <c r="D69" s="646">
        <f>SUM(D58:D62)+D64</f>
        <v>69778</v>
      </c>
      <c r="E69" s="646">
        <f>SUM(E58:E62)+E64</f>
        <v>7608</v>
      </c>
      <c r="F69" s="646">
        <f t="shared" ref="F69:BF69" si="7">SUM(F58:F62)+F64</f>
        <v>52255</v>
      </c>
      <c r="G69" s="646">
        <f t="shared" si="7"/>
        <v>4027</v>
      </c>
      <c r="H69" s="646">
        <f t="shared" si="7"/>
        <v>723</v>
      </c>
      <c r="I69" s="646">
        <f t="shared" si="7"/>
        <v>41962</v>
      </c>
      <c r="J69" s="646">
        <f t="shared" si="7"/>
        <v>90524</v>
      </c>
      <c r="K69" s="646">
        <f t="shared" si="7"/>
        <v>35118</v>
      </c>
      <c r="L69" s="646">
        <f t="shared" si="7"/>
        <v>17197</v>
      </c>
      <c r="M69" s="646">
        <f t="shared" si="7"/>
        <v>8207</v>
      </c>
      <c r="N69" s="646">
        <f t="shared" si="7"/>
        <v>11492</v>
      </c>
      <c r="O69" s="646">
        <f t="shared" si="7"/>
        <v>55528</v>
      </c>
      <c r="P69" s="646">
        <f t="shared" si="7"/>
        <v>69754</v>
      </c>
      <c r="Q69" s="646">
        <f t="shared" si="7"/>
        <v>21312</v>
      </c>
      <c r="R69" s="646">
        <f t="shared" si="7"/>
        <v>12053</v>
      </c>
      <c r="S69" s="646">
        <f t="shared" si="7"/>
        <v>9903.1589999999997</v>
      </c>
      <c r="T69" s="646">
        <f t="shared" si="7"/>
        <v>44782</v>
      </c>
      <c r="U69" s="646">
        <f t="shared" si="7"/>
        <v>18986.262328000001</v>
      </c>
      <c r="V69" s="646">
        <f t="shared" si="7"/>
        <v>17670</v>
      </c>
      <c r="W69" s="646">
        <f t="shared" si="7"/>
        <v>17483</v>
      </c>
      <c r="X69" s="646">
        <f t="shared" si="7"/>
        <v>51557.258000000002</v>
      </c>
      <c r="Y69" s="646">
        <f t="shared" si="7"/>
        <v>11264.874</v>
      </c>
      <c r="Z69" s="646">
        <f t="shared" si="7"/>
        <v>8287</v>
      </c>
      <c r="AA69" s="646">
        <f t="shared" si="7"/>
        <v>31868.542999999998</v>
      </c>
      <c r="AB69" s="646">
        <f t="shared" si="7"/>
        <v>12112</v>
      </c>
      <c r="AC69" s="646">
        <f t="shared" si="7"/>
        <v>13295</v>
      </c>
      <c r="AD69" s="646">
        <f t="shared" si="7"/>
        <v>18632</v>
      </c>
      <c r="AE69" s="646">
        <f t="shared" si="7"/>
        <v>20955</v>
      </c>
      <c r="AF69" s="646">
        <f t="shared" si="7"/>
        <v>93827</v>
      </c>
      <c r="AG69" s="646">
        <f t="shared" si="7"/>
        <v>8071</v>
      </c>
      <c r="AH69" s="646">
        <f t="shared" si="7"/>
        <v>13379</v>
      </c>
      <c r="AI69" s="646">
        <f t="shared" si="7"/>
        <v>15200</v>
      </c>
      <c r="AJ69" s="646">
        <f t="shared" si="7"/>
        <v>3174</v>
      </c>
      <c r="AK69" s="646">
        <f t="shared" si="7"/>
        <v>25240.517</v>
      </c>
      <c r="AL69" s="646">
        <f t="shared" si="7"/>
        <v>13140.880999999999</v>
      </c>
      <c r="AM69" s="646">
        <f t="shared" si="7"/>
        <v>86538</v>
      </c>
      <c r="AN69" s="646">
        <f t="shared" si="7"/>
        <v>5450</v>
      </c>
      <c r="AO69" s="646">
        <f t="shared" si="7"/>
        <v>19634</v>
      </c>
      <c r="AP69" s="646">
        <f t="shared" si="7"/>
        <v>21917</v>
      </c>
      <c r="AQ69" s="646">
        <f t="shared" si="7"/>
        <v>15237</v>
      </c>
      <c r="AR69" s="646">
        <f t="shared" si="7"/>
        <v>3615</v>
      </c>
      <c r="AS69" s="646">
        <f t="shared" si="7"/>
        <v>8019</v>
      </c>
      <c r="AT69" s="646">
        <f t="shared" si="7"/>
        <v>5824</v>
      </c>
      <c r="AU69" s="646">
        <f t="shared" si="7"/>
        <v>5400.8890000000001</v>
      </c>
      <c r="AV69" s="646">
        <f t="shared" si="7"/>
        <v>27926</v>
      </c>
      <c r="AW69" s="646">
        <f t="shared" si="7"/>
        <v>25818</v>
      </c>
      <c r="AX69" s="646">
        <f t="shared" si="7"/>
        <v>4395</v>
      </c>
      <c r="AY69" s="646">
        <f t="shared" si="7"/>
        <v>12493.755000000001</v>
      </c>
      <c r="AZ69" s="646">
        <f t="shared" si="7"/>
        <v>20494.645</v>
      </c>
      <c r="BA69" s="646">
        <f t="shared" si="7"/>
        <v>14973</v>
      </c>
      <c r="BB69" s="646">
        <f t="shared" si="7"/>
        <v>7077</v>
      </c>
      <c r="BC69" s="646">
        <f t="shared" si="7"/>
        <v>11172</v>
      </c>
      <c r="BD69" s="646">
        <f t="shared" si="7"/>
        <v>10565</v>
      </c>
      <c r="BE69" s="646">
        <f t="shared" si="7"/>
        <v>20651</v>
      </c>
      <c r="BF69" s="646">
        <f t="shared" si="7"/>
        <v>880</v>
      </c>
    </row>
    <row r="70" spans="1:58" x14ac:dyDescent="0.2">
      <c r="A70" s="16" t="s">
        <v>167</v>
      </c>
      <c r="D70" s="78"/>
      <c r="E70" s="78"/>
      <c r="F70" s="78"/>
      <c r="G70" s="78"/>
      <c r="H70" s="78"/>
      <c r="I70" s="78"/>
      <c r="J70" s="78"/>
      <c r="K70" s="78"/>
      <c r="L70" s="78"/>
      <c r="M70" s="78"/>
      <c r="N70" s="78"/>
      <c r="O70" s="78"/>
      <c r="P70" s="78"/>
      <c r="Q70" s="78"/>
      <c r="R70" s="78"/>
      <c r="S70" s="78"/>
      <c r="T70" s="78"/>
      <c r="U70" s="78"/>
      <c r="V70" s="78"/>
      <c r="W70" s="78"/>
      <c r="X70" s="78"/>
      <c r="Y70" s="78"/>
      <c r="Z70" s="78"/>
      <c r="AA70" s="78"/>
      <c r="AB70" s="78"/>
      <c r="AC70" s="78"/>
      <c r="AD70" s="78"/>
      <c r="AE70" s="78"/>
      <c r="AF70" s="78"/>
      <c r="AG70" s="78"/>
      <c r="AH70" s="78"/>
      <c r="AI70" s="78"/>
      <c r="AJ70" s="78"/>
      <c r="AK70" s="78"/>
      <c r="AL70" s="78"/>
      <c r="AM70" s="78"/>
      <c r="AN70" s="78"/>
      <c r="AO70" s="78"/>
      <c r="AP70" s="78"/>
      <c r="AQ70" s="78"/>
      <c r="AR70" s="78"/>
      <c r="AS70" s="78"/>
      <c r="AT70" s="78"/>
      <c r="AU70" s="78"/>
      <c r="AV70" s="78"/>
      <c r="AW70" s="78"/>
      <c r="AX70" s="78"/>
      <c r="AY70" s="78"/>
      <c r="AZ70" s="78"/>
      <c r="BA70" s="78"/>
      <c r="BB70" s="78"/>
      <c r="BC70" s="78"/>
      <c r="BD70" s="78"/>
      <c r="BE70" s="78"/>
      <c r="BF70" s="78"/>
    </row>
    <row r="71" spans="1:58" x14ac:dyDescent="0.2">
      <c r="B71">
        <v>2010</v>
      </c>
      <c r="H71" s="1">
        <v>217</v>
      </c>
      <c r="M71" s="1">
        <f>2059-269</f>
        <v>1790</v>
      </c>
      <c r="T71" s="1">
        <v>2832</v>
      </c>
      <c r="V71" s="1">
        <v>96</v>
      </c>
      <c r="AU71" s="1">
        <f>(67610-50392)</f>
        <v>17218</v>
      </c>
      <c r="AX71" s="1">
        <f>5902869/1000</f>
        <v>5902.8689999999997</v>
      </c>
      <c r="BE71" s="1">
        <v>10</v>
      </c>
    </row>
    <row r="72" spans="1:58" x14ac:dyDescent="0.2">
      <c r="A72" s="1245" t="s">
        <v>1172</v>
      </c>
      <c r="B72">
        <v>2011</v>
      </c>
      <c r="D72" s="78">
        <v>0</v>
      </c>
      <c r="E72" s="78">
        <v>358</v>
      </c>
      <c r="F72" s="78">
        <v>-241</v>
      </c>
      <c r="G72" s="78">
        <v>0</v>
      </c>
      <c r="H72" s="78">
        <v>0</v>
      </c>
      <c r="I72" s="78">
        <v>0</v>
      </c>
      <c r="J72" s="78">
        <v>491</v>
      </c>
      <c r="K72" s="78">
        <v>674</v>
      </c>
      <c r="L72" s="78">
        <v>1530</v>
      </c>
      <c r="M72" s="78">
        <v>12</v>
      </c>
      <c r="N72" s="78">
        <v>0</v>
      </c>
      <c r="O72" s="78">
        <v>0</v>
      </c>
      <c r="P72" s="78">
        <v>0</v>
      </c>
      <c r="Q72" s="78">
        <v>0</v>
      </c>
      <c r="R72" s="78">
        <v>0</v>
      </c>
      <c r="S72" s="78">
        <v>0</v>
      </c>
      <c r="T72" s="78">
        <v>0</v>
      </c>
      <c r="U72" s="78">
        <v>41</v>
      </c>
      <c r="V72" s="78">
        <v>22</v>
      </c>
      <c r="W72" s="78">
        <v>1329</v>
      </c>
      <c r="X72" s="78">
        <v>0</v>
      </c>
      <c r="Y72" s="78">
        <v>14</v>
      </c>
      <c r="Z72" s="78">
        <v>0</v>
      </c>
      <c r="AA72" s="78">
        <v>0</v>
      </c>
      <c r="AB72" s="78">
        <v>0</v>
      </c>
      <c r="AC72" s="78">
        <v>0</v>
      </c>
      <c r="AD72" s="78">
        <v>6174.5069999999996</v>
      </c>
      <c r="AE72" s="78">
        <v>527</v>
      </c>
      <c r="AF72" s="78">
        <v>1616</v>
      </c>
      <c r="AG72" s="78">
        <v>0</v>
      </c>
      <c r="AH72" s="78">
        <v>10</v>
      </c>
      <c r="AI72" s="78">
        <v>0</v>
      </c>
      <c r="AJ72" s="78">
        <v>0</v>
      </c>
      <c r="AK72" s="78">
        <v>0</v>
      </c>
      <c r="AL72" s="78">
        <v>0</v>
      </c>
      <c r="AM72" s="78">
        <v>0</v>
      </c>
      <c r="AN72" s="78">
        <v>0</v>
      </c>
      <c r="AO72" s="78">
        <v>0</v>
      </c>
      <c r="AP72" s="78">
        <v>0</v>
      </c>
      <c r="AQ72" s="78">
        <v>0</v>
      </c>
      <c r="AR72" s="78">
        <v>0</v>
      </c>
      <c r="AS72" s="78">
        <v>0</v>
      </c>
      <c r="AT72" s="78">
        <v>0</v>
      </c>
      <c r="AU72" s="78">
        <v>0</v>
      </c>
      <c r="AV72" s="78">
        <v>0</v>
      </c>
      <c r="AW72" s="78">
        <v>0</v>
      </c>
      <c r="AX72" s="78">
        <v>91</v>
      </c>
      <c r="AY72" s="78">
        <v>0</v>
      </c>
      <c r="AZ72" s="78">
        <v>0</v>
      </c>
      <c r="BA72" s="78">
        <v>146</v>
      </c>
      <c r="BB72" s="78">
        <v>0</v>
      </c>
      <c r="BC72" s="78">
        <v>0</v>
      </c>
      <c r="BD72" s="78">
        <v>847</v>
      </c>
      <c r="BE72" s="78">
        <v>21.3</v>
      </c>
      <c r="BF72" s="78">
        <v>0</v>
      </c>
    </row>
    <row r="73" spans="1:58" x14ac:dyDescent="0.2">
      <c r="B73">
        <v>2012</v>
      </c>
      <c r="D73" s="78">
        <v>0</v>
      </c>
      <c r="E73" s="78">
        <v>0</v>
      </c>
      <c r="F73" s="78">
        <v>8859</v>
      </c>
      <c r="G73" s="78">
        <v>0</v>
      </c>
      <c r="H73" s="78">
        <v>0</v>
      </c>
      <c r="I73" s="78">
        <v>0</v>
      </c>
      <c r="J73" s="78">
        <v>2964</v>
      </c>
      <c r="K73" s="78">
        <v>170</v>
      </c>
      <c r="L73" s="78">
        <v>0</v>
      </c>
      <c r="M73" s="78">
        <v>225</v>
      </c>
      <c r="N73" s="78">
        <v>29</v>
      </c>
      <c r="O73" s="78">
        <v>0</v>
      </c>
      <c r="P73" s="78">
        <v>0</v>
      </c>
      <c r="Q73" s="78">
        <v>0</v>
      </c>
      <c r="R73" s="78">
        <v>0</v>
      </c>
      <c r="S73" s="78">
        <v>76</v>
      </c>
      <c r="T73" s="78">
        <v>0</v>
      </c>
      <c r="U73" s="78">
        <v>50</v>
      </c>
      <c r="V73" s="78">
        <v>84</v>
      </c>
      <c r="W73" s="78">
        <v>1572</v>
      </c>
      <c r="X73" s="78">
        <v>0</v>
      </c>
      <c r="Y73" s="78">
        <v>0</v>
      </c>
      <c r="Z73" s="78">
        <v>1175</v>
      </c>
      <c r="AA73" s="78">
        <v>0</v>
      </c>
      <c r="AB73" s="78">
        <v>0</v>
      </c>
      <c r="AC73" s="78">
        <v>0</v>
      </c>
      <c r="AD73" s="78">
        <v>1606</v>
      </c>
      <c r="AE73" s="78">
        <v>0</v>
      </c>
      <c r="AF73" s="78">
        <v>959</v>
      </c>
      <c r="AG73" s="78">
        <v>374</v>
      </c>
      <c r="AH73" s="78">
        <v>0</v>
      </c>
      <c r="AI73" s="78">
        <v>592</v>
      </c>
      <c r="AJ73" s="78">
        <v>660</v>
      </c>
      <c r="AK73" s="78">
        <v>52</v>
      </c>
      <c r="AL73" s="78">
        <v>0</v>
      </c>
      <c r="AM73" s="78">
        <v>0</v>
      </c>
      <c r="AN73" s="78">
        <v>65</v>
      </c>
      <c r="AO73" s="78">
        <v>0</v>
      </c>
      <c r="AP73" s="78">
        <v>0</v>
      </c>
      <c r="AQ73" s="78">
        <v>0</v>
      </c>
      <c r="AR73" s="78">
        <v>250</v>
      </c>
      <c r="AS73" s="78">
        <v>0</v>
      </c>
      <c r="AT73" s="78">
        <v>16190</v>
      </c>
      <c r="AU73" s="78">
        <v>0</v>
      </c>
      <c r="AV73" s="78">
        <v>0</v>
      </c>
      <c r="AW73" s="78">
        <v>303</v>
      </c>
      <c r="AX73" s="78">
        <v>280</v>
      </c>
      <c r="AY73" s="78">
        <v>0</v>
      </c>
      <c r="AZ73" s="78">
        <v>0</v>
      </c>
      <c r="BA73" s="78">
        <v>417</v>
      </c>
      <c r="BB73" s="78">
        <v>11</v>
      </c>
      <c r="BC73" s="78">
        <v>0</v>
      </c>
      <c r="BD73" s="78">
        <v>0</v>
      </c>
      <c r="BE73" s="78">
        <v>0</v>
      </c>
      <c r="BF73" s="78">
        <v>0</v>
      </c>
    </row>
    <row r="74" spans="1:58" x14ac:dyDescent="0.2">
      <c r="B74">
        <v>2013</v>
      </c>
      <c r="D74" s="78">
        <f>+IF(HLOOKUP(D1,'השקעות 2012-2014'!$1:$124,101,0)="לא",0,+HLOOKUP(D1,'השקעות 2012-2014'!$1:$125,65,0)+HLOOKUP(D1,'השקעות 2012-2014'!$1:$124,114,0))</f>
        <v>0</v>
      </c>
      <c r="E74" s="78">
        <f>+IF(HLOOKUP(E1,'השקעות 2012-2014'!$1:$124,101,0)="לא",0,+HLOOKUP(E1,'השקעות 2012-2014'!$1:$125,65,0)+HLOOKUP(E1,'השקעות 2012-2014'!$1:$124,114,0))</f>
        <v>119</v>
      </c>
      <c r="F74" s="78">
        <f>+IF(HLOOKUP(F1,'השקעות 2012-2014'!$1:$124,101,0)="לא",0,+HLOOKUP(F1,'השקעות 2012-2014'!$1:$125,65,0)+HLOOKUP(F1,'השקעות 2012-2014'!$1:$124,114,0))</f>
        <v>1032</v>
      </c>
      <c r="G74" s="78">
        <f>+IF(HLOOKUP(G1,'השקעות 2012-2014'!$1:$124,101,0)="לא",0,+HLOOKUP(G1,'השקעות 2012-2014'!$1:$125,65,0)+HLOOKUP(G1,'השקעות 2012-2014'!$1:$124,114,0))</f>
        <v>0</v>
      </c>
      <c r="H74" s="78">
        <f>+IF(HLOOKUP(H1,'השקעות 2012-2014'!$1:$124,101,0)="לא",0,+HLOOKUP(H1,'השקעות 2012-2014'!$1:$125,65,0)+HLOOKUP(H1,'השקעות 2012-2014'!$1:$124,114,0))</f>
        <v>0</v>
      </c>
      <c r="I74" s="78">
        <f>+IF(HLOOKUP(I1,'השקעות 2012-2014'!$1:$124,101,0)="לא",0,+HLOOKUP(I1,'השקעות 2012-2014'!$1:$125,65,0)+HLOOKUP(I1,'השקעות 2012-2014'!$1:$124,114,0))</f>
        <v>3614</v>
      </c>
      <c r="J74" s="78">
        <f>+IF(HLOOKUP(J1,'השקעות 2012-2014'!$1:$124,101,0)="לא",0,+HLOOKUP(J1,'השקעות 2012-2014'!$1:$125,65,0)+HLOOKUP(J1,'השקעות 2012-2014'!$1:$124,114,0))</f>
        <v>3529</v>
      </c>
      <c r="K74" s="78">
        <f>+IF(HLOOKUP(K1,'השקעות 2012-2014'!$1:$124,101,0)="לא",0,+HLOOKUP(K1,'השקעות 2012-2014'!$1:$125,65,0)+HLOOKUP(K1,'השקעות 2012-2014'!$1:$124,114,0))</f>
        <v>1831</v>
      </c>
      <c r="L74" s="78">
        <f>+IF(HLOOKUP(L1,'השקעות 2012-2014'!$1:$124,101,0)="לא",0,+HLOOKUP(L1,'השקעות 2012-2014'!$1:$125,65,0)+HLOOKUP(L1,'השקעות 2012-2014'!$1:$124,114,0))</f>
        <v>1281</v>
      </c>
      <c r="M74" s="78">
        <f>+IF(HLOOKUP(M1,'השקעות 2012-2014'!$1:$124,101,0)="לא",0,+HLOOKUP(M1,'השקעות 2012-2014'!$1:$125,65,0)+HLOOKUP(M1,'השקעות 2012-2014'!$1:$124,114,0))</f>
        <v>10743</v>
      </c>
      <c r="N74" s="78">
        <f>+IF(HLOOKUP(N1,'השקעות 2012-2014'!$1:$124,101,0)="לא",0,+HLOOKUP(N1,'השקעות 2012-2014'!$1:$125,65,0)+HLOOKUP(N1,'השקעות 2012-2014'!$1:$124,114,0))</f>
        <v>2</v>
      </c>
      <c r="O74" s="78">
        <f>+IF(HLOOKUP(O1,'השקעות 2012-2014'!$1:$124,101,0)="לא",0,+HLOOKUP(O1,'השקעות 2012-2014'!$1:$125,65,0)+HLOOKUP(O1,'השקעות 2012-2014'!$1:$124,114,0))</f>
        <v>287</v>
      </c>
      <c r="P74" s="78">
        <f>+IF(HLOOKUP(P1,'השקעות 2012-2014'!$1:$124,101,0)="לא",0,+HLOOKUP(P1,'השקעות 2012-2014'!$1:$125,65,0)+HLOOKUP(P1,'השקעות 2012-2014'!$1:$124,114,0))</f>
        <v>0</v>
      </c>
      <c r="Q74" s="78">
        <f>+IF(HLOOKUP(Q1,'השקעות 2012-2014'!$1:$124,101,0)="לא",0,+HLOOKUP(Q1,'השקעות 2012-2014'!$1:$125,65,0)+HLOOKUP(Q1,'השקעות 2012-2014'!$1:$124,114,0))</f>
        <v>3535</v>
      </c>
      <c r="R74" s="78">
        <f>+IF(HLOOKUP(R1,'השקעות 2012-2014'!$1:$124,101,0)="לא",0,+HLOOKUP(R1,'השקעות 2012-2014'!$1:$125,65,0)+HLOOKUP(R1,'השקעות 2012-2014'!$1:$124,114,0))</f>
        <v>0</v>
      </c>
      <c r="S74" s="78">
        <f>+IF(HLOOKUP(S1,'השקעות 2012-2014'!$1:$124,101,0)="לא",0,+HLOOKUP(S1,'השקעות 2012-2014'!$1:$125,65,0)+HLOOKUP(S1,'השקעות 2012-2014'!$1:$124,114,0))</f>
        <v>792.16</v>
      </c>
      <c r="T74" s="78">
        <f>+IF(HLOOKUP(T1,'השקעות 2012-2014'!$1:$124,101,0)="לא",0,+HLOOKUP(T1,'השקעות 2012-2014'!$1:$125,65,0)+HLOOKUP(T1,'השקעות 2012-2014'!$1:$124,114,0))</f>
        <v>138</v>
      </c>
      <c r="U74" s="78">
        <f>+IF(HLOOKUP(U1,'השקעות 2012-2014'!$1:$124,101,0)="לא",0,+HLOOKUP(U1,'השקעות 2012-2014'!$1:$125,65,0)+HLOOKUP(U1,'השקעות 2012-2014'!$1:$124,114,0))</f>
        <v>0</v>
      </c>
      <c r="V74" s="78">
        <f>+IF(HLOOKUP(V1,'השקעות 2012-2014'!$1:$124,101,0)="לא",0,+HLOOKUP(V1,'השקעות 2012-2014'!$1:$125,65,0)+HLOOKUP(V1,'השקעות 2012-2014'!$1:$124,114,0))</f>
        <v>0</v>
      </c>
      <c r="W74" s="78">
        <f>+IF(HLOOKUP(W1,'השקעות 2012-2014'!$1:$124,101,0)="לא",0,+HLOOKUP(W1,'השקעות 2012-2014'!$1:$125,65,0)+HLOOKUP(W1,'השקעות 2012-2014'!$1:$124,114,0))</f>
        <v>222</v>
      </c>
      <c r="X74" s="78">
        <f>+IF(HLOOKUP(X1,'השקעות 2012-2014'!$1:$124,101,0)="לא",0,+HLOOKUP(X1,'השקעות 2012-2014'!$1:$125,65,0)+HLOOKUP(X1,'השקעות 2012-2014'!$1:$124,114,0))</f>
        <v>13775.922</v>
      </c>
      <c r="Y74" s="78">
        <f>+IF(HLOOKUP(Y1,'השקעות 2012-2014'!$1:$124,101,0)="לא",0,+HLOOKUP(Y1,'השקעות 2012-2014'!$1:$125,65,0)+HLOOKUP(Y1,'השקעות 2012-2014'!$1:$124,114,0))</f>
        <v>316</v>
      </c>
      <c r="Z74" s="78">
        <f>+IF(HLOOKUP(Z1,'השקעות 2012-2014'!$1:$124,101,0)="לא",0,+HLOOKUP(Z1,'השקעות 2012-2014'!$1:$125,65,0)+HLOOKUP(Z1,'השקעות 2012-2014'!$1:$124,114,0))</f>
        <v>2339</v>
      </c>
      <c r="AA74" s="78">
        <f>+IF(HLOOKUP(AA1,'השקעות 2012-2014'!$1:$124,101,0)="לא",0,+HLOOKUP(AA1,'השקעות 2012-2014'!$1:$125,65,0)+HLOOKUP(AA1,'השקעות 2012-2014'!$1:$124,114,0))</f>
        <v>6</v>
      </c>
      <c r="AB74" s="78">
        <f>+IF(HLOOKUP(AB1,'השקעות 2012-2014'!$1:$124,101,0)="לא",0,+HLOOKUP(AB1,'השקעות 2012-2014'!$1:$125,65,0)+HLOOKUP(AB1,'השקעות 2012-2014'!$1:$124,114,0))</f>
        <v>91</v>
      </c>
      <c r="AC74" s="78">
        <f>+IF(HLOOKUP(AC1,'השקעות 2012-2014'!$1:$124,101,0)="לא",0,+HLOOKUP(AC1,'השקעות 2012-2014'!$1:$125,65,0)+HLOOKUP(AC1,'השקעות 2012-2014'!$1:$124,114,0))</f>
        <v>0</v>
      </c>
      <c r="AD74" s="78">
        <f>+IF(HLOOKUP(AD1,'השקעות 2012-2014'!$1:$124,101,0)="לא",0,+HLOOKUP(AD1,'השקעות 2012-2014'!$1:$125,65,0)+HLOOKUP(AD1,'השקעות 2012-2014'!$1:$124,114,0))</f>
        <v>0</v>
      </c>
      <c r="AE74" s="78">
        <f>+IF(HLOOKUP(AE1,'השקעות 2012-2014'!$1:$124,101,0)="לא",0,+HLOOKUP(AE1,'השקעות 2012-2014'!$1:$125,65,0)+HLOOKUP(AE1,'השקעות 2012-2014'!$1:$124,114,0))</f>
        <v>1545</v>
      </c>
      <c r="AF74" s="78">
        <f>+IF(HLOOKUP(AF1,'השקעות 2012-2014'!$1:$124,101,0)="לא",0,+HLOOKUP(AF1,'השקעות 2012-2014'!$1:$125,65,0)+HLOOKUP(AF1,'השקעות 2012-2014'!$1:$124,114,0))</f>
        <v>370</v>
      </c>
      <c r="AG74" s="78">
        <f>+IF(HLOOKUP(AG1,'השקעות 2012-2014'!$1:$124,101,0)="לא",0,+HLOOKUP(AG1,'השקעות 2012-2014'!$1:$125,65,0)+HLOOKUP(AG1,'השקעות 2012-2014'!$1:$124,114,0))</f>
        <v>49</v>
      </c>
      <c r="AH74" s="78">
        <f>+IF(HLOOKUP(AH1,'השקעות 2012-2014'!$1:$124,101,0)="לא",0,+HLOOKUP(AH1,'השקעות 2012-2014'!$1:$125,65,0)+HLOOKUP(AH1,'השקעות 2012-2014'!$1:$124,114,0))</f>
        <v>461</v>
      </c>
      <c r="AI74" s="78">
        <f>+IF(HLOOKUP(AI1,'השקעות 2012-2014'!$1:$124,101,0)="לא",0,+HLOOKUP(AI1,'השקעות 2012-2014'!$1:$125,65,0)+HLOOKUP(AI1,'השקעות 2012-2014'!$1:$124,114,0))</f>
        <v>0</v>
      </c>
      <c r="AJ74" s="78">
        <f>+IF(HLOOKUP(AJ1,'השקעות 2012-2014'!$1:$124,101,0)="לא",0,+HLOOKUP(AJ1,'השקעות 2012-2014'!$1:$125,65,0)+HLOOKUP(AJ1,'השקעות 2012-2014'!$1:$124,114,0))</f>
        <v>0</v>
      </c>
      <c r="AK74" s="78">
        <f>+IF(HLOOKUP(AK1,'השקעות 2012-2014'!$1:$124,101,0)="לא",0,+HLOOKUP(AK1,'השקעות 2012-2014'!$1:$125,65,0)+HLOOKUP(AK1,'השקעות 2012-2014'!$1:$124,114,0))</f>
        <v>98</v>
      </c>
      <c r="AL74" s="78">
        <f>+IF(HLOOKUP(AL1,'השקעות 2012-2014'!$1:$124,101,0)="לא",0,+HLOOKUP(AL1,'השקעות 2012-2014'!$1:$125,65,0)+HLOOKUP(AL1,'השקעות 2012-2014'!$1:$124,114,0))</f>
        <v>0</v>
      </c>
      <c r="AM74" s="78">
        <f>+IF(HLOOKUP(AM1,'השקעות 2012-2014'!$1:$124,101,0)="לא",0,+HLOOKUP(AM1,'השקעות 2012-2014'!$1:$125,65,0)+HLOOKUP(AM1,'השקעות 2012-2014'!$1:$124,114,0))</f>
        <v>0</v>
      </c>
      <c r="AN74" s="78">
        <f>+IF(HLOOKUP(AN1,'השקעות 2012-2014'!$1:$124,101,0)="לא",0,+HLOOKUP(AN1,'השקעות 2012-2014'!$1:$125,65,0)+HLOOKUP(AN1,'השקעות 2012-2014'!$1:$124,114,0))</f>
        <v>25</v>
      </c>
      <c r="AO74" s="78">
        <f>+IF(HLOOKUP(AO1,'השקעות 2012-2014'!$1:$124,101,0)="לא",0,+HLOOKUP(AO1,'השקעות 2012-2014'!$1:$125,65,0)+HLOOKUP(AO1,'השקעות 2012-2014'!$1:$124,114,0))</f>
        <v>1152</v>
      </c>
      <c r="AP74" s="78">
        <f>+IF(HLOOKUP(AP1,'השקעות 2012-2014'!$1:$124,101,0)="לא",0,+HLOOKUP(AP1,'השקעות 2012-2014'!$1:$125,65,0)+HLOOKUP(AP1,'השקעות 2012-2014'!$1:$124,114,0))</f>
        <v>0</v>
      </c>
      <c r="AQ74" s="78">
        <f>+IF(HLOOKUP(AQ1,'השקעות 2012-2014'!$1:$124,101,0)="לא",0,+HLOOKUP(AQ1,'השקעות 2012-2014'!$1:$125,65,0)+HLOOKUP(AQ1,'השקעות 2012-2014'!$1:$124,114,0))</f>
        <v>0</v>
      </c>
      <c r="AR74" s="78">
        <f>+IF(HLOOKUP(AR1,'השקעות 2012-2014'!$1:$124,101,0)="לא",0,+HLOOKUP(AR1,'השקעות 2012-2014'!$1:$125,65,0)+HLOOKUP(AR1,'השקעות 2012-2014'!$1:$124,114,0))</f>
        <v>2590</v>
      </c>
      <c r="AS74" s="78">
        <f>+IF(HLOOKUP(AS1,'השקעות 2012-2014'!$1:$124,101,0)="לא",0,+HLOOKUP(AS1,'השקעות 2012-2014'!$1:$125,65,0)+HLOOKUP(AS1,'השקעות 2012-2014'!$1:$124,114,0))</f>
        <v>0</v>
      </c>
      <c r="AT74" s="78">
        <f>+IF(HLOOKUP(AT1,'השקעות 2012-2014'!$1:$124,101,0)="לא",0,+HLOOKUP(AT1,'השקעות 2012-2014'!$1:$125,65,0)+HLOOKUP(AT1,'השקעות 2012-2014'!$1:$124,114,0))</f>
        <v>3696</v>
      </c>
      <c r="AU74" s="78">
        <f>+IF(HLOOKUP(AU1,'השקעות 2012-2014'!$1:$124,101,0)="לא",0,+HLOOKUP(AU1,'השקעות 2012-2014'!$1:$125,65,0)+HLOOKUP(AU1,'השקעות 2012-2014'!$1:$124,114,0))</f>
        <v>0</v>
      </c>
      <c r="AV74" s="78">
        <f>+IF(HLOOKUP(AV1,'השקעות 2012-2014'!$1:$124,101,0)="לא",0,+HLOOKUP(AV1,'השקעות 2012-2014'!$1:$125,65,0)+HLOOKUP(AV1,'השקעות 2012-2014'!$1:$124,114,0))</f>
        <v>0</v>
      </c>
      <c r="AW74" s="78">
        <f>+IF(HLOOKUP(AW1,'השקעות 2012-2014'!$1:$124,101,0)="לא",0,+HLOOKUP(AW1,'השקעות 2012-2014'!$1:$125,65,0)+HLOOKUP(AW1,'השקעות 2012-2014'!$1:$124,114,0))</f>
        <v>71</v>
      </c>
      <c r="AX74" s="78">
        <f>+IF(HLOOKUP(AX1,'השקעות 2012-2014'!$1:$124,101,0)="לא",0,+HLOOKUP(AX1,'השקעות 2012-2014'!$1:$125,65,0)+HLOOKUP(AX1,'השקעות 2012-2014'!$1:$124,114,0))</f>
        <v>96</v>
      </c>
      <c r="AY74" s="78">
        <f>+IF(HLOOKUP(AY1,'השקעות 2012-2014'!$1:$124,101,0)="לא",0,+HLOOKUP(AY1,'השקעות 2012-2014'!$1:$125,65,0)+HLOOKUP(AY1,'השקעות 2012-2014'!$1:$124,114,0))</f>
        <v>0</v>
      </c>
      <c r="AZ74" s="78">
        <f>+IF(HLOOKUP(AZ1,'השקעות 2012-2014'!$1:$124,101,0)="לא",0,+HLOOKUP(AZ1,'השקעות 2012-2014'!$1:$125,65,0)+HLOOKUP(AZ1,'השקעות 2012-2014'!$1:$124,114,0))</f>
        <v>0</v>
      </c>
      <c r="BA74" s="78">
        <f>+IF(HLOOKUP(BA1,'השקעות 2012-2014'!$1:$124,101,0)="לא",0,+HLOOKUP(BA1,'השקעות 2012-2014'!$1:$125,65,0)+HLOOKUP(BA1,'השקעות 2012-2014'!$1:$124,114,0))</f>
        <v>1126</v>
      </c>
      <c r="BB74" s="78">
        <f>+IF(HLOOKUP(BB1,'השקעות 2012-2014'!$1:$124,101,0)="לא",0,+HLOOKUP(BB1,'השקעות 2012-2014'!$1:$125,65,0)+HLOOKUP(BB1,'השקעות 2012-2014'!$1:$124,114,0))</f>
        <v>2</v>
      </c>
      <c r="BC74" s="78">
        <f>+IF(HLOOKUP(BC1,'השקעות 2012-2014'!$1:$124,101,0)="לא",0,+HLOOKUP(BC1,'השקעות 2012-2014'!$1:$125,65,0)+HLOOKUP(BC1,'השקעות 2012-2014'!$1:$124,114,0))</f>
        <v>0</v>
      </c>
      <c r="BD74" s="78">
        <f>+IF(HLOOKUP(BD1,'השקעות 2012-2014'!$1:$124,101,0)="לא",0,+HLOOKUP(BD1,'השקעות 2012-2014'!$1:$125,65,0)+HLOOKUP(BD1,'השקעות 2012-2014'!$1:$124,114,0))</f>
        <v>0</v>
      </c>
      <c r="BE74" s="78">
        <f>+IF(HLOOKUP(BE1,'השקעות 2012-2014'!$1:$124,101,0)="לא",0,+HLOOKUP(BE1,'השקעות 2012-2014'!$1:$125,65,0)+HLOOKUP(BE1,'השקעות 2012-2014'!$1:$124,114,0))</f>
        <v>0</v>
      </c>
      <c r="BF74" s="78">
        <f>+IF(HLOOKUP(BF1,'השקעות 2012-2014'!$1:$124,101,0)="לא",0,+HLOOKUP(BF1,'השקעות 2012-2014'!$1:$125,65,0)+HLOOKUP(BF1,'השקעות 2012-2014'!$1:$124,114,0))</f>
        <v>0</v>
      </c>
    </row>
    <row r="75" spans="1:58" x14ac:dyDescent="0.2">
      <c r="B75">
        <v>2014</v>
      </c>
      <c r="D75" s="78">
        <f>+IF(HLOOKUP(D1,'השקעות 2012-2014'!$1:$124,103,0)="לא",0,+HLOOKUP(D1,'השקעות 2012-2014'!$1:$125,66,0)+HLOOKUP(D1,'השקעות 2012-2014'!$1:$124,124,0))</f>
        <v>0</v>
      </c>
      <c r="E75" s="78">
        <f>+IF(HLOOKUP(E1,'השקעות 2012-2014'!$1:$124,103,0)="לא",0,+HLOOKUP(E1,'השקעות 2012-2014'!$1:$125,66,0)+HLOOKUP(E1,'השקעות 2012-2014'!$1:$124,124,0))</f>
        <v>293</v>
      </c>
      <c r="F75" s="78">
        <f>+IF(HLOOKUP(F1,'השקעות 2012-2014'!$1:$124,103,0)="לא",0,+HLOOKUP(F1,'השקעות 2012-2014'!$1:$125,66,0)+HLOOKUP(F1,'השקעות 2012-2014'!$1:$124,124,0))</f>
        <v>648</v>
      </c>
      <c r="G75" s="78">
        <f>+IF(HLOOKUP(G1,'השקעות 2012-2014'!$1:$124,103,0)="לא",0,+HLOOKUP(G1,'השקעות 2012-2014'!$1:$125,66,0)+HLOOKUP(G1,'השקעות 2012-2014'!$1:$124,124,0))</f>
        <v>0</v>
      </c>
      <c r="H75" s="78">
        <f>+IF(HLOOKUP(H1,'השקעות 2012-2014'!$1:$124,103,0)="לא",0,+HLOOKUP(H1,'השקעות 2012-2014'!$1:$125,66,0)+HLOOKUP(H1,'השקעות 2012-2014'!$1:$124,124,0))</f>
        <v>0</v>
      </c>
      <c r="I75" s="78">
        <f>+IF(HLOOKUP(I1,'השקעות 2012-2014'!$1:$124,103,0)="לא",0,+HLOOKUP(I1,'השקעות 2012-2014'!$1:$125,66,0)+HLOOKUP(I1,'השקעות 2012-2014'!$1:$124,124,0))</f>
        <v>0</v>
      </c>
      <c r="J75" s="78">
        <f>+IF(HLOOKUP(J1,'השקעות 2012-2014'!$1:$124,103,0)="לא",0,+HLOOKUP(J1,'השקעות 2012-2014'!$1:$125,66,0)+HLOOKUP(J1,'השקעות 2012-2014'!$1:$124,124,0))</f>
        <v>4483</v>
      </c>
      <c r="K75" s="78">
        <f>+IF(HLOOKUP(K1,'השקעות 2012-2014'!$1:$124,103,0)="לא",0,+HLOOKUP(K1,'השקעות 2012-2014'!$1:$125,66,0)+HLOOKUP(K1,'השקעות 2012-2014'!$1:$124,124,0))</f>
        <v>3522</v>
      </c>
      <c r="L75" s="78">
        <f>+IF(HLOOKUP(L1,'השקעות 2012-2014'!$1:$124,103,0)="לא",0,+HLOOKUP(L1,'השקעות 2012-2014'!$1:$125,66,0)+HLOOKUP(L1,'השקעות 2012-2014'!$1:$124,124,0))</f>
        <v>1915</v>
      </c>
      <c r="M75" s="78">
        <f>+IF(HLOOKUP(M1,'השקעות 2012-2014'!$1:$124,103,0)="לא",0,+HLOOKUP(M1,'השקעות 2012-2014'!$1:$125,66,0)+HLOOKUP(M1,'השקעות 2012-2014'!$1:$124,124,0))</f>
        <v>945</v>
      </c>
      <c r="N75" s="78">
        <f>+IF(HLOOKUP(N1,'השקעות 2012-2014'!$1:$124,103,0)="לא",0,+HLOOKUP(N1,'השקעות 2012-2014'!$1:$125,66,0)+HLOOKUP(N1,'השקעות 2012-2014'!$1:$124,124,0))</f>
        <v>19864</v>
      </c>
      <c r="O75" s="78">
        <f>+IF(HLOOKUP(O1,'השקעות 2012-2014'!$1:$124,103,0)="לא",0,+HLOOKUP(O1,'השקעות 2012-2014'!$1:$125,66,0)+HLOOKUP(O1,'השקעות 2012-2014'!$1:$124,124,0))</f>
        <v>136</v>
      </c>
      <c r="P75" s="78">
        <f>+IF(HLOOKUP(P1,'השקעות 2012-2014'!$1:$124,103,0)="לא",0,+HLOOKUP(P1,'השקעות 2012-2014'!$1:$125,66,0)+HLOOKUP(P1,'השקעות 2012-2014'!$1:$124,124,0))</f>
        <v>6199</v>
      </c>
      <c r="Q75" s="78">
        <f>+IF(HLOOKUP(Q1,'השקעות 2012-2014'!$1:$124,103,0)="לא",0,+HLOOKUP(Q1,'השקעות 2012-2014'!$1:$125,66,0)+HLOOKUP(Q1,'השקעות 2012-2014'!$1:$124,124,0))</f>
        <v>0</v>
      </c>
      <c r="R75" s="78">
        <f>+IF(HLOOKUP(R1,'השקעות 2012-2014'!$1:$124,103,0)="לא",0,+HLOOKUP(R1,'השקעות 2012-2014'!$1:$125,66,0)+HLOOKUP(R1,'השקעות 2012-2014'!$1:$124,124,0))</f>
        <v>0</v>
      </c>
      <c r="S75" s="78">
        <f>+IF(HLOOKUP(S1,'השקעות 2012-2014'!$1:$124,103,0)="לא",0,+HLOOKUP(S1,'השקעות 2012-2014'!$1:$125,66,0)+HLOOKUP(S1,'השקעות 2012-2014'!$1:$124,124,0))</f>
        <v>1169</v>
      </c>
      <c r="T75" s="78">
        <f>+IF(HLOOKUP(T1,'השקעות 2012-2014'!$1:$124,103,0)="לא",0,+HLOOKUP(T1,'השקעות 2012-2014'!$1:$125,66,0)+HLOOKUP(T1,'השקעות 2012-2014'!$1:$124,124,0))</f>
        <v>728</v>
      </c>
      <c r="U75" s="78">
        <f>+IF(HLOOKUP(U1,'השקעות 2012-2014'!$1:$124,103,0)="לא",0,+HLOOKUP(U1,'השקעות 2012-2014'!$1:$125,66,0)+HLOOKUP(U1,'השקעות 2012-2014'!$1:$124,124,0))</f>
        <v>478</v>
      </c>
      <c r="V75" s="78">
        <f>+IF(HLOOKUP(V1,'השקעות 2012-2014'!$1:$124,103,0)="לא",0,+HLOOKUP(V1,'השקעות 2012-2014'!$1:$125,66,0)+HLOOKUP(V1,'השקעות 2012-2014'!$1:$124,124,0))</f>
        <v>65</v>
      </c>
      <c r="W75" s="78">
        <f>+IF(HLOOKUP(W1,'השקעות 2012-2014'!$1:$124,103,0)="לא",0,+HLOOKUP(W1,'השקעות 2012-2014'!$1:$125,66,0)+HLOOKUP(W1,'השקעות 2012-2014'!$1:$124,124,0))</f>
        <v>615</v>
      </c>
      <c r="X75" s="78">
        <f>+IF(HLOOKUP(X1,'השקעות 2012-2014'!$1:$124,103,0)="לא",0,+HLOOKUP(X1,'השקעות 2012-2014'!$1:$125,66,0)+HLOOKUP(X1,'השקעות 2012-2014'!$1:$124,124,0))</f>
        <v>2348</v>
      </c>
      <c r="Y75" s="78">
        <f>+IF(HLOOKUP(Y1,'השקעות 2012-2014'!$1:$124,103,0)="לא",0,+HLOOKUP(Y1,'השקעות 2012-2014'!$1:$125,66,0)+HLOOKUP(Y1,'השקעות 2012-2014'!$1:$124,124,0))</f>
        <v>67</v>
      </c>
      <c r="Z75" s="78">
        <f>+IF(HLOOKUP(Z1,'השקעות 2012-2014'!$1:$124,103,0)="לא",0,+HLOOKUP(Z1,'השקעות 2012-2014'!$1:$125,66,0)+HLOOKUP(Z1,'השקעות 2012-2014'!$1:$124,124,0))</f>
        <v>328</v>
      </c>
      <c r="AA75" s="78">
        <f>+IF(HLOOKUP(AA1,'השקעות 2012-2014'!$1:$124,103,0)="לא",0,+HLOOKUP(AA1,'השקעות 2012-2014'!$1:$125,66,0)+HLOOKUP(AA1,'השקעות 2012-2014'!$1:$124,124,0))</f>
        <v>0</v>
      </c>
      <c r="AB75" s="78">
        <f>+IF(HLOOKUP(AB1,'השקעות 2012-2014'!$1:$124,103,0)="לא",0,+HLOOKUP(AB1,'השקעות 2012-2014'!$1:$125,66,0)+HLOOKUP(AB1,'השקעות 2012-2014'!$1:$124,124,0))</f>
        <v>8845</v>
      </c>
      <c r="AC75" s="78">
        <f>+IF(HLOOKUP(AC1,'השקעות 2012-2014'!$1:$124,103,0)="לא",0,+HLOOKUP(AC1,'השקעות 2012-2014'!$1:$125,66,0)+HLOOKUP(AC1,'השקעות 2012-2014'!$1:$124,124,0))</f>
        <v>0</v>
      </c>
      <c r="AD75" s="78">
        <f>+IF(HLOOKUP(AD1,'השקעות 2012-2014'!$1:$124,103,0)="לא",0,+HLOOKUP(AD1,'השקעות 2012-2014'!$1:$125,66,0)+HLOOKUP(AD1,'השקעות 2012-2014'!$1:$124,124,0))</f>
        <v>19</v>
      </c>
      <c r="AE75" s="78">
        <f>+IF(HLOOKUP(AE1,'השקעות 2012-2014'!$1:$124,103,0)="לא",0,+HLOOKUP(AE1,'השקעות 2012-2014'!$1:$125,66,0)+HLOOKUP(AE1,'השקעות 2012-2014'!$1:$124,124,0))</f>
        <v>5706</v>
      </c>
      <c r="AF75" s="78">
        <f>+IF(HLOOKUP(AF1,'השקעות 2012-2014'!$1:$124,103,0)="לא",0,+HLOOKUP(AF1,'השקעות 2012-2014'!$1:$125,66,0)+HLOOKUP(AF1,'השקעות 2012-2014'!$1:$124,124,0))</f>
        <v>8363</v>
      </c>
      <c r="AG75" s="78">
        <f>+IF(HLOOKUP(AG1,'השקעות 2012-2014'!$1:$124,103,0)="לא",0,+HLOOKUP(AG1,'השקעות 2012-2014'!$1:$125,66,0)+HLOOKUP(AG1,'השקעות 2012-2014'!$1:$124,124,0))</f>
        <v>8074</v>
      </c>
      <c r="AH75" s="78">
        <f>+IF(HLOOKUP(AH1,'השקעות 2012-2014'!$1:$124,103,0)="לא",0,+HLOOKUP(AH1,'השקעות 2012-2014'!$1:$125,66,0)+HLOOKUP(AH1,'השקעות 2012-2014'!$1:$124,124,0))</f>
        <v>0</v>
      </c>
      <c r="AI75" s="78">
        <f>+IF(HLOOKUP(AI1,'השקעות 2012-2014'!$1:$124,103,0)="לא",0,+HLOOKUP(AI1,'השקעות 2012-2014'!$1:$125,66,0)+HLOOKUP(AI1,'השקעות 2012-2014'!$1:$124,124,0))</f>
        <v>0</v>
      </c>
      <c r="AJ75" s="78">
        <f>+IF(HLOOKUP(AJ1,'השקעות 2012-2014'!$1:$124,103,0)="לא",0,+HLOOKUP(AJ1,'השקעות 2012-2014'!$1:$125,66,0)+HLOOKUP(AJ1,'השקעות 2012-2014'!$1:$124,124,0))</f>
        <v>1345</v>
      </c>
      <c r="AK75" s="78">
        <f>+IF(HLOOKUP(AK1,'השקעות 2012-2014'!$1:$124,103,0)="לא",0,+HLOOKUP(AK1,'השקעות 2012-2014'!$1:$125,66,0)+HLOOKUP(AK1,'השקעות 2012-2014'!$1:$124,124,0))</f>
        <v>404</v>
      </c>
      <c r="AL75" s="78">
        <f>+IF(HLOOKUP(AL1,'השקעות 2012-2014'!$1:$124,103,0)="לא",0,+HLOOKUP(AL1,'השקעות 2012-2014'!$1:$125,66,0)+HLOOKUP(AL1,'השקעות 2012-2014'!$1:$124,124,0))</f>
        <v>0</v>
      </c>
      <c r="AM75" s="78">
        <f>+IF(HLOOKUP(AM1,'השקעות 2012-2014'!$1:$124,103,0)="לא",0,+HLOOKUP(AM1,'השקעות 2012-2014'!$1:$125,66,0)+HLOOKUP(AM1,'השקעות 2012-2014'!$1:$124,124,0))</f>
        <v>0</v>
      </c>
      <c r="AN75" s="78">
        <f>+IF(HLOOKUP(AN1,'השקעות 2012-2014'!$1:$124,103,0)="לא",0,+HLOOKUP(AN1,'השקעות 2012-2014'!$1:$125,66,0)+HLOOKUP(AN1,'השקעות 2012-2014'!$1:$124,124,0))</f>
        <v>84</v>
      </c>
      <c r="AO75" s="78">
        <f>+IF(HLOOKUP(AO1,'השקעות 2012-2014'!$1:$124,103,0)="לא",0,+HLOOKUP(AO1,'השקעות 2012-2014'!$1:$125,66,0)+HLOOKUP(AO1,'השקעות 2012-2014'!$1:$124,124,0))</f>
        <v>178</v>
      </c>
      <c r="AP75" s="78">
        <f>+IF(HLOOKUP(AP1,'השקעות 2012-2014'!$1:$124,103,0)="לא",0,+HLOOKUP(AP1,'השקעות 2012-2014'!$1:$125,66,0)+HLOOKUP(AP1,'השקעות 2012-2014'!$1:$124,124,0))</f>
        <v>65</v>
      </c>
      <c r="AQ75" s="78">
        <f>+IF(HLOOKUP(AQ1,'השקעות 2012-2014'!$1:$124,103,0)="לא",0,+HLOOKUP(AQ1,'השקעות 2012-2014'!$1:$125,66,0)+HLOOKUP(AQ1,'השקעות 2012-2014'!$1:$124,124,0))</f>
        <v>0</v>
      </c>
      <c r="AR75" s="78">
        <f>+IF(HLOOKUP(AR1,'השקעות 2012-2014'!$1:$124,103,0)="לא",0,+HLOOKUP(AR1,'השקעות 2012-2014'!$1:$125,66,0)+HLOOKUP(AR1,'השקעות 2012-2014'!$1:$124,124,0))</f>
        <v>0</v>
      </c>
      <c r="AS75" s="78">
        <f>+IF(HLOOKUP(AS1,'השקעות 2012-2014'!$1:$124,103,0)="לא",0,+HLOOKUP(AS1,'השקעות 2012-2014'!$1:$125,66,0)+HLOOKUP(AS1,'השקעות 2012-2014'!$1:$124,124,0))</f>
        <v>0</v>
      </c>
      <c r="AT75" s="78">
        <f>+IF(HLOOKUP(AT1,'השקעות 2012-2014'!$1:$124,103,0)="לא",0,+HLOOKUP(AT1,'השקעות 2012-2014'!$1:$125,66,0)+HLOOKUP(AT1,'השקעות 2012-2014'!$1:$124,124,0))</f>
        <v>31932</v>
      </c>
      <c r="AU75" s="78">
        <f>+IF(HLOOKUP(AU1,'השקעות 2012-2014'!$1:$124,103,0)="לא",0,+HLOOKUP(AU1,'השקעות 2012-2014'!$1:$125,66,0)+HLOOKUP(AU1,'השקעות 2012-2014'!$1:$124,124,0))</f>
        <v>0</v>
      </c>
      <c r="AV75" s="78">
        <f>+IF(HLOOKUP(AV1,'השקעות 2012-2014'!$1:$124,103,0)="לא",0,+HLOOKUP(AV1,'השקעות 2012-2014'!$1:$125,66,0)+HLOOKUP(AV1,'השקעות 2012-2014'!$1:$124,124,0))</f>
        <v>135</v>
      </c>
      <c r="AW75" s="78">
        <f>+IF(HLOOKUP(AW1,'השקעות 2012-2014'!$1:$124,103,0)="לא",0,+HLOOKUP(AW1,'השקעות 2012-2014'!$1:$125,66,0)+HLOOKUP(AW1,'השקעות 2012-2014'!$1:$124,124,0))</f>
        <v>21</v>
      </c>
      <c r="AX75" s="78">
        <f>+IF(HLOOKUP(AX1,'השקעות 2012-2014'!$1:$124,103,0)="לא",0,+HLOOKUP(AX1,'השקעות 2012-2014'!$1:$125,66,0)+HLOOKUP(AX1,'השקעות 2012-2014'!$1:$124,124,0))</f>
        <v>4434</v>
      </c>
      <c r="AY75" s="78">
        <f>+IF(HLOOKUP(AY1,'השקעות 2012-2014'!$1:$124,103,0)="לא",0,+HLOOKUP(AY1,'השקעות 2012-2014'!$1:$125,66,0)+HLOOKUP(AY1,'השקעות 2012-2014'!$1:$124,124,0))</f>
        <v>9322</v>
      </c>
      <c r="AZ75" s="78">
        <f>+IF(HLOOKUP(AZ1,'השקעות 2012-2014'!$1:$124,103,0)="לא",0,+HLOOKUP(AZ1,'השקעות 2012-2014'!$1:$125,66,0)+HLOOKUP(AZ1,'השקעות 2012-2014'!$1:$124,124,0))</f>
        <v>0</v>
      </c>
      <c r="BA75" s="78">
        <f>+IF(HLOOKUP(BA1,'השקעות 2012-2014'!$1:$124,103,0)="לא",0,+HLOOKUP(BA1,'השקעות 2012-2014'!$1:$125,66,0)+HLOOKUP(BA1,'השקעות 2012-2014'!$1:$124,124,0))</f>
        <v>1409</v>
      </c>
      <c r="BB75" s="78">
        <f>+IF(HLOOKUP(BB1,'השקעות 2012-2014'!$1:$124,103,0)="לא",0,+HLOOKUP(BB1,'השקעות 2012-2014'!$1:$125,66,0)+HLOOKUP(BB1,'השקעות 2012-2014'!$1:$124,124,0))</f>
        <v>0</v>
      </c>
      <c r="BC75" s="78">
        <f>+IF(HLOOKUP(BC1,'השקעות 2012-2014'!$1:$124,103,0)="לא",0,+HLOOKUP(BC1,'השקעות 2012-2014'!$1:$125,66,0)+HLOOKUP(BC1,'השקעות 2012-2014'!$1:$124,124,0))</f>
        <v>0</v>
      </c>
      <c r="BD75" s="78">
        <f>+IF(HLOOKUP(BD1,'השקעות 2012-2014'!$1:$124,103,0)="לא",0,+HLOOKUP(BD1,'השקעות 2012-2014'!$1:$125,66,0)+HLOOKUP(BD1,'השקעות 2012-2014'!$1:$124,124,0))</f>
        <v>195</v>
      </c>
      <c r="BE75" s="78">
        <f>+IF(HLOOKUP(BE1,'השקעות 2012-2014'!$1:$124,103,0)="לא",0,+HLOOKUP(BE1,'השקעות 2012-2014'!$1:$125,66,0)+HLOOKUP(BE1,'השקעות 2012-2014'!$1:$124,124,0))</f>
        <v>3348</v>
      </c>
      <c r="BF75" s="78">
        <f>+IF(HLOOKUP(BF1,'השקעות 2012-2014'!$1:$124,103,0)="לא",0,+HLOOKUP(BF1,'השקעות 2012-2014'!$1:$125,66,0)+HLOOKUP(BF1,'השקעות 2012-2014'!$1:$124,124,0))</f>
        <v>0</v>
      </c>
    </row>
    <row r="76" spans="1:58" x14ac:dyDescent="0.2">
      <c r="B76" s="12"/>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row>
    <row r="78" spans="1:58" x14ac:dyDescent="0.2">
      <c r="B78" t="s">
        <v>669</v>
      </c>
      <c r="D78" s="47">
        <f>SUM(D71:D72)</f>
        <v>0</v>
      </c>
      <c r="E78" s="47">
        <f t="shared" ref="E78:BF78" si="8">SUM(E71:E72)</f>
        <v>358</v>
      </c>
      <c r="F78" s="47">
        <f t="shared" si="8"/>
        <v>-241</v>
      </c>
      <c r="G78" s="47">
        <f t="shared" si="8"/>
        <v>0</v>
      </c>
      <c r="H78" s="47">
        <f t="shared" si="8"/>
        <v>217</v>
      </c>
      <c r="I78" s="47">
        <f t="shared" si="8"/>
        <v>0</v>
      </c>
      <c r="J78" s="47">
        <f t="shared" si="8"/>
        <v>491</v>
      </c>
      <c r="K78" s="47">
        <f t="shared" si="8"/>
        <v>674</v>
      </c>
      <c r="L78" s="47">
        <f t="shared" si="8"/>
        <v>1530</v>
      </c>
      <c r="M78" s="47">
        <f t="shared" si="8"/>
        <v>1802</v>
      </c>
      <c r="N78" s="47">
        <f t="shared" si="8"/>
        <v>0</v>
      </c>
      <c r="O78" s="47">
        <f t="shared" si="8"/>
        <v>0</v>
      </c>
      <c r="P78" s="47">
        <f t="shared" si="8"/>
        <v>0</v>
      </c>
      <c r="Q78" s="47">
        <f t="shared" si="8"/>
        <v>0</v>
      </c>
      <c r="R78" s="47">
        <f t="shared" si="8"/>
        <v>0</v>
      </c>
      <c r="S78" s="47">
        <f t="shared" si="8"/>
        <v>0</v>
      </c>
      <c r="T78" s="47">
        <f t="shared" si="8"/>
        <v>2832</v>
      </c>
      <c r="U78" s="47">
        <f t="shared" si="8"/>
        <v>41</v>
      </c>
      <c r="V78" s="47">
        <f t="shared" si="8"/>
        <v>118</v>
      </c>
      <c r="W78" s="47">
        <f t="shared" si="8"/>
        <v>1329</v>
      </c>
      <c r="X78" s="47">
        <f t="shared" si="8"/>
        <v>0</v>
      </c>
      <c r="Y78" s="47">
        <f t="shared" si="8"/>
        <v>14</v>
      </c>
      <c r="Z78" s="47">
        <f t="shared" si="8"/>
        <v>0</v>
      </c>
      <c r="AA78" s="47">
        <f t="shared" si="8"/>
        <v>0</v>
      </c>
      <c r="AB78" s="47">
        <f t="shared" si="8"/>
        <v>0</v>
      </c>
      <c r="AC78" s="47">
        <f t="shared" si="8"/>
        <v>0</v>
      </c>
      <c r="AD78" s="47">
        <f t="shared" si="8"/>
        <v>6174.5069999999996</v>
      </c>
      <c r="AE78" s="47">
        <f t="shared" si="8"/>
        <v>527</v>
      </c>
      <c r="AF78" s="47">
        <f t="shared" si="8"/>
        <v>1616</v>
      </c>
      <c r="AG78" s="47">
        <f t="shared" si="8"/>
        <v>0</v>
      </c>
      <c r="AH78" s="47">
        <f t="shared" si="8"/>
        <v>10</v>
      </c>
      <c r="AI78" s="47">
        <f t="shared" si="8"/>
        <v>0</v>
      </c>
      <c r="AJ78" s="47">
        <f t="shared" si="8"/>
        <v>0</v>
      </c>
      <c r="AK78" s="47">
        <f t="shared" si="8"/>
        <v>0</v>
      </c>
      <c r="AL78" s="47">
        <f t="shared" si="8"/>
        <v>0</v>
      </c>
      <c r="AM78" s="47">
        <f t="shared" si="8"/>
        <v>0</v>
      </c>
      <c r="AN78" s="47">
        <f t="shared" si="8"/>
        <v>0</v>
      </c>
      <c r="AO78" s="47">
        <f t="shared" si="8"/>
        <v>0</v>
      </c>
      <c r="AP78" s="47">
        <f t="shared" si="8"/>
        <v>0</v>
      </c>
      <c r="AQ78" s="47">
        <f t="shared" si="8"/>
        <v>0</v>
      </c>
      <c r="AR78" s="47">
        <f t="shared" si="8"/>
        <v>0</v>
      </c>
      <c r="AS78" s="47">
        <f t="shared" si="8"/>
        <v>0</v>
      </c>
      <c r="AT78" s="47">
        <f t="shared" si="8"/>
        <v>0</v>
      </c>
      <c r="AU78" s="47">
        <f t="shared" si="8"/>
        <v>17218</v>
      </c>
      <c r="AV78" s="47">
        <f t="shared" si="8"/>
        <v>0</v>
      </c>
      <c r="AW78" s="47">
        <f t="shared" si="8"/>
        <v>0</v>
      </c>
      <c r="AX78" s="47">
        <f t="shared" si="8"/>
        <v>5993.8689999999997</v>
      </c>
      <c r="AY78" s="47">
        <f t="shared" si="8"/>
        <v>0</v>
      </c>
      <c r="AZ78" s="47">
        <f t="shared" si="8"/>
        <v>0</v>
      </c>
      <c r="BA78" s="47">
        <f t="shared" si="8"/>
        <v>146</v>
      </c>
      <c r="BB78" s="47">
        <f t="shared" si="8"/>
        <v>0</v>
      </c>
      <c r="BC78" s="47">
        <f t="shared" si="8"/>
        <v>0</v>
      </c>
      <c r="BD78" s="47">
        <f t="shared" si="8"/>
        <v>847</v>
      </c>
      <c r="BE78" s="47">
        <f t="shared" si="8"/>
        <v>31.3</v>
      </c>
      <c r="BF78" s="47">
        <f t="shared" si="8"/>
        <v>0</v>
      </c>
    </row>
    <row r="79" spans="1:58" x14ac:dyDescent="0.2">
      <c r="D79" s="47"/>
      <c r="E79" s="47"/>
      <c r="F79" s="47"/>
      <c r="G79" s="47"/>
      <c r="H79" s="47"/>
      <c r="I79" s="47"/>
      <c r="J79" s="47"/>
      <c r="K79" s="47"/>
      <c r="L79" s="47"/>
      <c r="M79" s="47"/>
      <c r="N79" s="47"/>
      <c r="O79" s="47"/>
      <c r="P79" s="47"/>
      <c r="Q79" s="47"/>
      <c r="R79" s="47"/>
      <c r="S79" s="47"/>
      <c r="T79" s="47"/>
      <c r="U79" s="47"/>
      <c r="V79" s="47"/>
      <c r="W79" s="47"/>
      <c r="X79" s="47"/>
      <c r="Y79" s="47"/>
      <c r="Z79" s="47"/>
      <c r="AA79" s="47"/>
      <c r="AB79" s="47"/>
      <c r="AC79" s="47"/>
      <c r="AD79" s="47"/>
      <c r="AE79" s="47"/>
      <c r="AF79" s="47"/>
      <c r="AG79" s="47"/>
      <c r="AH79" s="47"/>
      <c r="AI79" s="47"/>
      <c r="AJ79" s="47"/>
      <c r="AK79" s="47"/>
      <c r="AL79" s="47"/>
      <c r="AM79" s="47"/>
      <c r="AN79" s="47"/>
      <c r="AO79" s="47"/>
      <c r="AP79" s="47"/>
      <c r="AQ79" s="47"/>
      <c r="AR79" s="47"/>
      <c r="AS79" s="47"/>
      <c r="AT79" s="47"/>
      <c r="AU79" s="47"/>
      <c r="AV79" s="47"/>
      <c r="AW79" s="47"/>
      <c r="AX79" s="47"/>
      <c r="AY79" s="47"/>
      <c r="AZ79" s="47"/>
      <c r="BA79" s="47"/>
      <c r="BB79" s="47"/>
      <c r="BC79" s="47"/>
      <c r="BD79" s="47"/>
      <c r="BE79" s="47"/>
      <c r="BF79" s="47"/>
    </row>
    <row r="81" spans="1:58" s="648" customFormat="1" ht="18.75" customHeight="1" x14ac:dyDescent="0.2">
      <c r="A81" s="646"/>
      <c r="B81" s="811" t="s">
        <v>1173</v>
      </c>
      <c r="C81" s="646"/>
      <c r="D81" s="646">
        <f>SUM(D71:D75)</f>
        <v>0</v>
      </c>
      <c r="E81" s="646">
        <f t="shared" ref="E81:BF81" si="9">SUM(E71:E75)</f>
        <v>770</v>
      </c>
      <c r="F81" s="646">
        <f t="shared" si="9"/>
        <v>10298</v>
      </c>
      <c r="G81" s="646">
        <f t="shared" si="9"/>
        <v>0</v>
      </c>
      <c r="H81" s="646">
        <f t="shared" si="9"/>
        <v>217</v>
      </c>
      <c r="I81" s="646">
        <f t="shared" si="9"/>
        <v>3614</v>
      </c>
      <c r="J81" s="646">
        <f t="shared" si="9"/>
        <v>11467</v>
      </c>
      <c r="K81" s="646">
        <f t="shared" si="9"/>
        <v>6197</v>
      </c>
      <c r="L81" s="646">
        <f t="shared" si="9"/>
        <v>4726</v>
      </c>
      <c r="M81" s="646">
        <f t="shared" si="9"/>
        <v>13715</v>
      </c>
      <c r="N81" s="646">
        <f t="shared" si="9"/>
        <v>19895</v>
      </c>
      <c r="O81" s="646">
        <f t="shared" si="9"/>
        <v>423</v>
      </c>
      <c r="P81" s="646">
        <f t="shared" si="9"/>
        <v>6199</v>
      </c>
      <c r="Q81" s="646">
        <f t="shared" si="9"/>
        <v>3535</v>
      </c>
      <c r="R81" s="646">
        <f t="shared" si="9"/>
        <v>0</v>
      </c>
      <c r="S81" s="646">
        <f t="shared" si="9"/>
        <v>2037.1599999999999</v>
      </c>
      <c r="T81" s="646">
        <f t="shared" si="9"/>
        <v>3698</v>
      </c>
      <c r="U81" s="646">
        <f t="shared" si="9"/>
        <v>569</v>
      </c>
      <c r="V81" s="646">
        <f t="shared" si="9"/>
        <v>267</v>
      </c>
      <c r="W81" s="646">
        <f t="shared" si="9"/>
        <v>3738</v>
      </c>
      <c r="X81" s="646">
        <f t="shared" si="9"/>
        <v>16123.922</v>
      </c>
      <c r="Y81" s="646">
        <f t="shared" si="9"/>
        <v>397</v>
      </c>
      <c r="Z81" s="646">
        <f t="shared" si="9"/>
        <v>3842</v>
      </c>
      <c r="AA81" s="646">
        <f t="shared" si="9"/>
        <v>6</v>
      </c>
      <c r="AB81" s="646">
        <f t="shared" si="9"/>
        <v>8936</v>
      </c>
      <c r="AC81" s="646">
        <f t="shared" si="9"/>
        <v>0</v>
      </c>
      <c r="AD81" s="646">
        <f t="shared" si="9"/>
        <v>7799.5069999999996</v>
      </c>
      <c r="AE81" s="646">
        <f t="shared" si="9"/>
        <v>7778</v>
      </c>
      <c r="AF81" s="646">
        <f t="shared" si="9"/>
        <v>11308</v>
      </c>
      <c r="AG81" s="646">
        <f t="shared" si="9"/>
        <v>8497</v>
      </c>
      <c r="AH81" s="646">
        <f t="shared" si="9"/>
        <v>471</v>
      </c>
      <c r="AI81" s="646">
        <f t="shared" si="9"/>
        <v>592</v>
      </c>
      <c r="AJ81" s="646">
        <f t="shared" si="9"/>
        <v>2005</v>
      </c>
      <c r="AK81" s="646">
        <f t="shared" si="9"/>
        <v>554</v>
      </c>
      <c r="AL81" s="646">
        <f t="shared" si="9"/>
        <v>0</v>
      </c>
      <c r="AM81" s="646">
        <f t="shared" si="9"/>
        <v>0</v>
      </c>
      <c r="AN81" s="646">
        <f t="shared" si="9"/>
        <v>174</v>
      </c>
      <c r="AO81" s="646">
        <f t="shared" si="9"/>
        <v>1330</v>
      </c>
      <c r="AP81" s="646">
        <f t="shared" si="9"/>
        <v>65</v>
      </c>
      <c r="AQ81" s="646">
        <f t="shared" si="9"/>
        <v>0</v>
      </c>
      <c r="AR81" s="646">
        <f t="shared" si="9"/>
        <v>2840</v>
      </c>
      <c r="AS81" s="646">
        <f t="shared" si="9"/>
        <v>0</v>
      </c>
      <c r="AT81" s="646">
        <f t="shared" si="9"/>
        <v>51818</v>
      </c>
      <c r="AU81" s="646">
        <f t="shared" si="9"/>
        <v>17218</v>
      </c>
      <c r="AV81" s="646">
        <f t="shared" si="9"/>
        <v>135</v>
      </c>
      <c r="AW81" s="646">
        <f t="shared" si="9"/>
        <v>395</v>
      </c>
      <c r="AX81" s="646">
        <f t="shared" si="9"/>
        <v>10803.868999999999</v>
      </c>
      <c r="AY81" s="646">
        <f t="shared" si="9"/>
        <v>9322</v>
      </c>
      <c r="AZ81" s="646">
        <f t="shared" si="9"/>
        <v>0</v>
      </c>
      <c r="BA81" s="646">
        <f t="shared" si="9"/>
        <v>3098</v>
      </c>
      <c r="BB81" s="646">
        <f t="shared" si="9"/>
        <v>13</v>
      </c>
      <c r="BC81" s="646">
        <f t="shared" si="9"/>
        <v>0</v>
      </c>
      <c r="BD81" s="646">
        <f t="shared" si="9"/>
        <v>1042</v>
      </c>
      <c r="BE81" s="646">
        <f t="shared" si="9"/>
        <v>3379.3</v>
      </c>
      <c r="BF81" s="646">
        <f t="shared" si="9"/>
        <v>0</v>
      </c>
    </row>
    <row r="82" spans="1:58" x14ac:dyDescent="0.2">
      <c r="A82" s="16" t="s">
        <v>167</v>
      </c>
      <c r="D82" s="78"/>
      <c r="E82" s="78"/>
      <c r="F82" s="78"/>
      <c r="G82" s="78"/>
      <c r="H82" s="78"/>
      <c r="I82" s="78"/>
      <c r="J82" s="78"/>
      <c r="K82" s="78"/>
      <c r="L82" s="78"/>
      <c r="M82" s="78"/>
      <c r="N82" s="78"/>
      <c r="O82" s="78"/>
      <c r="P82" s="78"/>
      <c r="Q82" s="78"/>
      <c r="R82" s="78"/>
      <c r="S82" s="78"/>
      <c r="T82" s="78"/>
      <c r="U82" s="78"/>
      <c r="V82" s="78"/>
      <c r="W82" s="78"/>
      <c r="X82" s="78"/>
      <c r="Y82" s="78"/>
      <c r="Z82" s="78"/>
      <c r="AA82" s="78"/>
      <c r="AB82" s="78"/>
      <c r="AC82" s="78"/>
      <c r="AD82" s="78"/>
      <c r="AE82" s="78"/>
      <c r="AF82" s="78"/>
      <c r="AG82" s="78"/>
      <c r="AH82" s="78"/>
      <c r="AI82" s="78"/>
      <c r="AJ82" s="78"/>
      <c r="AK82" s="78"/>
      <c r="AL82" s="78"/>
      <c r="AM82" s="78"/>
      <c r="AN82" s="78"/>
      <c r="AO82" s="78"/>
      <c r="AP82" s="78"/>
      <c r="AQ82" s="78"/>
      <c r="AR82" s="78"/>
      <c r="AS82" s="78"/>
      <c r="AT82" s="78"/>
      <c r="AU82" s="78"/>
      <c r="AV82" s="78"/>
      <c r="AW82" s="78"/>
      <c r="AX82" s="78"/>
      <c r="AY82" s="78"/>
      <c r="AZ82" s="78"/>
      <c r="BA82" s="78"/>
      <c r="BB82" s="78"/>
      <c r="BC82" s="78"/>
      <c r="BD82" s="78"/>
      <c r="BE82" s="78"/>
      <c r="BF82" s="78"/>
    </row>
    <row r="83" spans="1:58" x14ac:dyDescent="0.2">
      <c r="A83" s="1245" t="s">
        <v>1174</v>
      </c>
      <c r="B83" s="813">
        <v>2011</v>
      </c>
      <c r="E83" s="5">
        <v>0</v>
      </c>
      <c r="H83" s="5">
        <v>0</v>
      </c>
      <c r="I83" s="5">
        <v>0</v>
      </c>
      <c r="L83" s="5">
        <v>0</v>
      </c>
      <c r="M83" s="5"/>
      <c r="N83" s="5">
        <v>0</v>
      </c>
      <c r="O83" s="5">
        <v>0</v>
      </c>
      <c r="P83" s="5"/>
      <c r="Q83" s="5">
        <v>0</v>
      </c>
      <c r="S83" s="5">
        <v>0</v>
      </c>
      <c r="W83" s="5">
        <v>0</v>
      </c>
      <c r="X83" s="5">
        <v>0</v>
      </c>
      <c r="Y83" s="5">
        <v>0</v>
      </c>
      <c r="Z83" s="5">
        <v>0</v>
      </c>
      <c r="AA83" s="5">
        <v>0</v>
      </c>
      <c r="AF83" s="5">
        <v>0</v>
      </c>
      <c r="AG83" s="5">
        <v>0</v>
      </c>
      <c r="AH83" s="5">
        <v>0</v>
      </c>
      <c r="AI83" s="5">
        <v>0</v>
      </c>
      <c r="AJ83" s="5">
        <v>0</v>
      </c>
      <c r="AK83" s="5">
        <v>0</v>
      </c>
      <c r="AL83" s="5">
        <v>0</v>
      </c>
      <c r="AM83" s="5">
        <v>0</v>
      </c>
      <c r="AN83" s="5">
        <v>0</v>
      </c>
      <c r="AO83" s="5">
        <v>0</v>
      </c>
      <c r="AP83" s="5">
        <v>0</v>
      </c>
      <c r="AQ83" s="5">
        <v>0</v>
      </c>
      <c r="AR83" s="5">
        <v>0</v>
      </c>
      <c r="AS83" s="5">
        <v>2132</v>
      </c>
      <c r="AT83" s="5">
        <v>0</v>
      </c>
      <c r="AU83" s="5">
        <v>0</v>
      </c>
      <c r="AV83" s="5">
        <v>0</v>
      </c>
      <c r="AW83" s="5">
        <v>0</v>
      </c>
      <c r="AX83" s="5">
        <v>0</v>
      </c>
      <c r="AY83" s="5">
        <v>0</v>
      </c>
      <c r="AZ83" s="5">
        <v>0</v>
      </c>
      <c r="BA83" s="5">
        <v>0</v>
      </c>
      <c r="BB83" s="5">
        <v>0</v>
      </c>
      <c r="BC83" s="5">
        <v>0</v>
      </c>
      <c r="BD83" s="5">
        <v>0</v>
      </c>
      <c r="BE83" s="5">
        <v>0</v>
      </c>
      <c r="BF83" s="5">
        <v>0</v>
      </c>
    </row>
    <row r="84" spans="1:58" x14ac:dyDescent="0.2">
      <c r="B84" s="813">
        <v>2012</v>
      </c>
      <c r="E84" s="5">
        <v>0</v>
      </c>
      <c r="H84" s="5">
        <v>0</v>
      </c>
      <c r="I84" s="5">
        <v>0</v>
      </c>
      <c r="L84" s="5"/>
      <c r="M84" s="5">
        <v>0</v>
      </c>
      <c r="N84" s="5">
        <v>0</v>
      </c>
      <c r="O84" s="5">
        <v>0</v>
      </c>
      <c r="P84" s="5">
        <v>0</v>
      </c>
      <c r="Q84" s="5">
        <v>0</v>
      </c>
      <c r="S84" s="5">
        <v>0</v>
      </c>
      <c r="U84" s="5">
        <v>0</v>
      </c>
      <c r="W84" s="5">
        <v>0</v>
      </c>
      <c r="X84" s="5">
        <v>0</v>
      </c>
      <c r="Y84" s="5">
        <v>0</v>
      </c>
      <c r="Z84" s="5">
        <v>0</v>
      </c>
      <c r="AA84" s="5">
        <v>0</v>
      </c>
      <c r="AF84" s="5">
        <v>0</v>
      </c>
      <c r="AG84" s="5">
        <v>0</v>
      </c>
      <c r="AH84" s="5">
        <v>0</v>
      </c>
      <c r="AI84" s="5">
        <v>0</v>
      </c>
      <c r="AJ84" s="5">
        <v>0</v>
      </c>
      <c r="AK84" s="5">
        <v>0</v>
      </c>
      <c r="AL84" s="5">
        <v>0</v>
      </c>
      <c r="AM84" s="5">
        <v>0</v>
      </c>
      <c r="AN84" s="5">
        <v>0</v>
      </c>
      <c r="AO84" s="5">
        <v>0</v>
      </c>
      <c r="AP84" s="5">
        <v>0</v>
      </c>
      <c r="AQ84" s="5">
        <v>0</v>
      </c>
      <c r="AR84" s="5">
        <v>0</v>
      </c>
      <c r="AS84" s="5">
        <v>295</v>
      </c>
      <c r="AT84" s="5">
        <v>0</v>
      </c>
      <c r="AU84" s="5">
        <v>0</v>
      </c>
      <c r="AV84" s="5">
        <v>0</v>
      </c>
      <c r="AW84" s="5">
        <v>0</v>
      </c>
      <c r="AX84" s="5">
        <v>0</v>
      </c>
      <c r="AY84" s="5">
        <v>0</v>
      </c>
      <c r="AZ84" s="5">
        <v>0</v>
      </c>
      <c r="BA84" s="5">
        <v>0</v>
      </c>
      <c r="BB84" s="5">
        <v>0</v>
      </c>
      <c r="BC84" s="5">
        <v>0</v>
      </c>
      <c r="BD84" s="5">
        <v>0</v>
      </c>
      <c r="BE84" s="5">
        <v>0</v>
      </c>
      <c r="BF84" s="5">
        <v>0</v>
      </c>
    </row>
    <row r="85" spans="1:58" x14ac:dyDescent="0.2">
      <c r="B85" s="813">
        <v>2013</v>
      </c>
      <c r="D85" s="5">
        <f>+HLOOKUP(D1,'השקעות 2012-2014'!$1:$124,75,0)</f>
        <v>0</v>
      </c>
      <c r="E85" s="5">
        <f>+HLOOKUP(E1,'השקעות 2012-2014'!$1:$124,75,0)</f>
        <v>0</v>
      </c>
      <c r="F85" s="5">
        <f>+HLOOKUP(F1,'השקעות 2012-2014'!$1:$124,75,0)</f>
        <v>0</v>
      </c>
      <c r="G85" s="5">
        <f>+HLOOKUP(G1,'השקעות 2012-2014'!$1:$124,75,0)</f>
        <v>0</v>
      </c>
      <c r="H85" s="5">
        <f>+HLOOKUP(H1,'השקעות 2012-2014'!$1:$124,75,0)</f>
        <v>0</v>
      </c>
      <c r="I85" s="5">
        <f>+HLOOKUP(I1,'השקעות 2012-2014'!$1:$124,75,0)</f>
        <v>0</v>
      </c>
      <c r="J85" s="5">
        <f>+HLOOKUP(J1,'השקעות 2012-2014'!$1:$124,75,0)</f>
        <v>0</v>
      </c>
      <c r="K85" s="5">
        <f>+HLOOKUP(K1,'השקעות 2012-2014'!$1:$124,75,0)</f>
        <v>0</v>
      </c>
      <c r="L85" s="5">
        <f>+HLOOKUP(L1,'השקעות 2012-2014'!$1:$124,75,0)</f>
        <v>0</v>
      </c>
      <c r="M85" s="5">
        <f>+HLOOKUP(M1,'השקעות 2012-2014'!$1:$124,75,0)</f>
        <v>0</v>
      </c>
      <c r="N85" s="5">
        <f>+HLOOKUP(N1,'השקעות 2012-2014'!$1:$124,75,0)</f>
        <v>0</v>
      </c>
      <c r="O85" s="5">
        <f>+HLOOKUP(O1,'השקעות 2012-2014'!$1:$124,75,0)</f>
        <v>0</v>
      </c>
      <c r="P85" s="5">
        <f>+HLOOKUP(P1,'השקעות 2012-2014'!$1:$124,75,0)</f>
        <v>0</v>
      </c>
      <c r="Q85" s="5">
        <f>+HLOOKUP(Q1,'השקעות 2012-2014'!$1:$124,75,0)</f>
        <v>0</v>
      </c>
      <c r="R85" s="5">
        <f>+HLOOKUP(R1,'השקעות 2012-2014'!$1:$124,75,0)</f>
        <v>0</v>
      </c>
      <c r="S85" s="5">
        <f>+HLOOKUP(S1,'השקעות 2012-2014'!$1:$124,75,0)</f>
        <v>0</v>
      </c>
      <c r="T85" s="5">
        <f>+HLOOKUP(T1,'השקעות 2012-2014'!$1:$124,75,0)</f>
        <v>0</v>
      </c>
      <c r="U85" s="5">
        <f>+HLOOKUP(U1,'השקעות 2012-2014'!$1:$124,75,0)</f>
        <v>0</v>
      </c>
      <c r="V85" s="5">
        <f>+HLOOKUP(V1,'השקעות 2012-2014'!$1:$124,75,0)</f>
        <v>0</v>
      </c>
      <c r="W85" s="5">
        <f>+HLOOKUP(W1,'השקעות 2012-2014'!$1:$124,75,0)</f>
        <v>0</v>
      </c>
      <c r="X85" s="5">
        <f>+HLOOKUP(X1,'השקעות 2012-2014'!$1:$124,75,0)</f>
        <v>0</v>
      </c>
      <c r="Y85" s="5">
        <f>+HLOOKUP(Y1,'השקעות 2012-2014'!$1:$124,75,0)</f>
        <v>0</v>
      </c>
      <c r="Z85" s="5">
        <f>+HLOOKUP(Z1,'השקעות 2012-2014'!$1:$124,75,0)</f>
        <v>0</v>
      </c>
      <c r="AA85" s="5">
        <f>+HLOOKUP(AA1,'השקעות 2012-2014'!$1:$124,75,0)</f>
        <v>0</v>
      </c>
      <c r="AB85" s="5">
        <f>+HLOOKUP(AB1,'השקעות 2012-2014'!$1:$124,75,0)</f>
        <v>0</v>
      </c>
      <c r="AC85" s="5">
        <f>+HLOOKUP(AC1,'השקעות 2012-2014'!$1:$124,75,0)</f>
        <v>0</v>
      </c>
      <c r="AD85" s="5">
        <f>+HLOOKUP(AD1,'השקעות 2012-2014'!$1:$124,75,0)</f>
        <v>0</v>
      </c>
      <c r="AE85" s="5">
        <f>+HLOOKUP(AE1,'השקעות 2012-2014'!$1:$124,75,0)</f>
        <v>0</v>
      </c>
      <c r="AF85" s="5">
        <f>+HLOOKUP(AF1,'השקעות 2012-2014'!$1:$124,75,0)</f>
        <v>0</v>
      </c>
      <c r="AG85" s="5">
        <f>+HLOOKUP(AG1,'השקעות 2012-2014'!$1:$124,75,0)</f>
        <v>0</v>
      </c>
      <c r="AH85" s="5">
        <f>+HLOOKUP(AH1,'השקעות 2012-2014'!$1:$124,75,0)</f>
        <v>0</v>
      </c>
      <c r="AI85" s="5">
        <f>+HLOOKUP(AI1,'השקעות 2012-2014'!$1:$124,75,0)</f>
        <v>0</v>
      </c>
      <c r="AJ85" s="5">
        <f>+HLOOKUP(AJ1,'השקעות 2012-2014'!$1:$124,75,0)</f>
        <v>0</v>
      </c>
      <c r="AK85" s="5">
        <f>+HLOOKUP(AK1,'השקעות 2012-2014'!$1:$124,75,0)</f>
        <v>0</v>
      </c>
      <c r="AL85" s="5">
        <f>+HLOOKUP(AL1,'השקעות 2012-2014'!$1:$124,75,0)</f>
        <v>0</v>
      </c>
      <c r="AM85" s="5">
        <f>+HLOOKUP(AM1,'השקעות 2012-2014'!$1:$124,75,0)</f>
        <v>0</v>
      </c>
      <c r="AN85" s="5">
        <f>+HLOOKUP(AN1,'השקעות 2012-2014'!$1:$124,75,0)</f>
        <v>0</v>
      </c>
      <c r="AO85" s="5">
        <f>+HLOOKUP(AO1,'השקעות 2012-2014'!$1:$124,75,0)</f>
        <v>0</v>
      </c>
      <c r="AP85" s="5">
        <f>+HLOOKUP(AP1,'השקעות 2012-2014'!$1:$124,75,0)</f>
        <v>0</v>
      </c>
      <c r="AQ85" s="5">
        <f>+HLOOKUP(AQ1,'השקעות 2012-2014'!$1:$124,75,0)</f>
        <v>0</v>
      </c>
      <c r="AR85" s="5">
        <f>+HLOOKUP(AR1,'השקעות 2012-2014'!$1:$124,75,0)</f>
        <v>0</v>
      </c>
      <c r="AS85" s="5">
        <f>+HLOOKUP(AS1,'השקעות 2012-2014'!$1:$124,75,0)</f>
        <v>0</v>
      </c>
      <c r="AT85" s="5">
        <f>+HLOOKUP(AT1,'השקעות 2012-2014'!$1:$124,75,0)</f>
        <v>0</v>
      </c>
      <c r="AU85" s="5">
        <f>+HLOOKUP(AU1,'השקעות 2012-2014'!$1:$124,75,0)</f>
        <v>0</v>
      </c>
      <c r="AV85" s="5">
        <f>+HLOOKUP(AV1,'השקעות 2012-2014'!$1:$124,75,0)</f>
        <v>0</v>
      </c>
      <c r="AW85" s="5">
        <f>+HLOOKUP(AW1,'השקעות 2012-2014'!$1:$124,75,0)</f>
        <v>0</v>
      </c>
      <c r="AX85" s="5">
        <f>+HLOOKUP(AX1,'השקעות 2012-2014'!$1:$124,75,0)</f>
        <v>0</v>
      </c>
      <c r="AY85" s="5">
        <f>+HLOOKUP(AY1,'השקעות 2012-2014'!$1:$124,75,0)</f>
        <v>0</v>
      </c>
      <c r="AZ85" s="5">
        <f>+HLOOKUP(AZ1,'השקעות 2012-2014'!$1:$124,75,0)</f>
        <v>0</v>
      </c>
      <c r="BA85" s="5">
        <f>+HLOOKUP(BA1,'השקעות 2012-2014'!$1:$124,75,0)</f>
        <v>0</v>
      </c>
      <c r="BB85" s="5">
        <f>+HLOOKUP(BB1,'השקעות 2012-2014'!$1:$124,75,0)</f>
        <v>0</v>
      </c>
      <c r="BC85" s="5">
        <f>+HLOOKUP(BC1,'השקעות 2012-2014'!$1:$124,75,0)</f>
        <v>0</v>
      </c>
      <c r="BD85" s="5">
        <f>+HLOOKUP(BD1,'השקעות 2012-2014'!$1:$124,75,0)</f>
        <v>0</v>
      </c>
      <c r="BE85" s="5">
        <f>+HLOOKUP(BE1,'השקעות 2012-2014'!$1:$124,75,0)</f>
        <v>0</v>
      </c>
      <c r="BF85" s="5">
        <f>+HLOOKUP(BF1,'השקעות 2012-2014'!$1:$124,75,0)</f>
        <v>0</v>
      </c>
    </row>
    <row r="86" spans="1:58" x14ac:dyDescent="0.2">
      <c r="B86" s="1076">
        <v>2014</v>
      </c>
      <c r="D86" s="28">
        <f>+HLOOKUP(D1,'השקעות 2012-2014'!$1:$124,76,0)</f>
        <v>0</v>
      </c>
      <c r="E86" s="28">
        <f>+HLOOKUP(E1,'השקעות 2012-2014'!$1:$124,76,0)</f>
        <v>0</v>
      </c>
      <c r="F86" s="28">
        <f>+HLOOKUP(F1,'השקעות 2012-2014'!$1:$124,76,0)</f>
        <v>0</v>
      </c>
      <c r="G86" s="28">
        <f>+HLOOKUP(G1,'השקעות 2012-2014'!$1:$124,76,0)</f>
        <v>0</v>
      </c>
      <c r="H86" s="28">
        <f>+HLOOKUP(H1,'השקעות 2012-2014'!$1:$124,76,0)</f>
        <v>0</v>
      </c>
      <c r="I86" s="28">
        <f>+HLOOKUP(I1,'השקעות 2012-2014'!$1:$124,76,0)</f>
        <v>0</v>
      </c>
      <c r="J86" s="28">
        <f>+HLOOKUP(J1,'השקעות 2012-2014'!$1:$124,76,0)</f>
        <v>0</v>
      </c>
      <c r="K86" s="28">
        <f>+HLOOKUP(K1,'השקעות 2012-2014'!$1:$124,76,0)</f>
        <v>0</v>
      </c>
      <c r="L86" s="28">
        <f>+HLOOKUP(L1,'השקעות 2012-2014'!$1:$124,76,0)</f>
        <v>0</v>
      </c>
      <c r="M86" s="28">
        <f>+HLOOKUP(M1,'השקעות 2012-2014'!$1:$124,76,0)</f>
        <v>0</v>
      </c>
      <c r="N86" s="28">
        <f>+HLOOKUP(N1,'השקעות 2012-2014'!$1:$124,76,0)</f>
        <v>0</v>
      </c>
      <c r="O86" s="28">
        <f>+HLOOKUP(O1,'השקעות 2012-2014'!$1:$124,76,0)</f>
        <v>0</v>
      </c>
      <c r="P86" s="28">
        <f>+HLOOKUP(P1,'השקעות 2012-2014'!$1:$124,76,0)</f>
        <v>0</v>
      </c>
      <c r="Q86" s="28">
        <f>+HLOOKUP(Q1,'השקעות 2012-2014'!$1:$124,76,0)</f>
        <v>0</v>
      </c>
      <c r="R86" s="28">
        <f>+HLOOKUP(R1,'השקעות 2012-2014'!$1:$124,76,0)</f>
        <v>0</v>
      </c>
      <c r="S86" s="28">
        <f>+HLOOKUP(S1,'השקעות 2012-2014'!$1:$124,76,0)</f>
        <v>0</v>
      </c>
      <c r="T86" s="28">
        <f>+HLOOKUP(T1,'השקעות 2012-2014'!$1:$124,76,0)</f>
        <v>0</v>
      </c>
      <c r="U86" s="28">
        <f>+HLOOKUP(U1,'השקעות 2012-2014'!$1:$124,76,0)</f>
        <v>0</v>
      </c>
      <c r="V86" s="28">
        <f>+HLOOKUP(V1,'השקעות 2012-2014'!$1:$124,76,0)</f>
        <v>0</v>
      </c>
      <c r="W86" s="28">
        <f>+HLOOKUP(W1,'השקעות 2012-2014'!$1:$124,76,0)</f>
        <v>0</v>
      </c>
      <c r="X86" s="28">
        <f>+HLOOKUP(X1,'השקעות 2012-2014'!$1:$124,76,0)</f>
        <v>0</v>
      </c>
      <c r="Y86" s="28">
        <f>+HLOOKUP(Y1,'השקעות 2012-2014'!$1:$124,76,0)</f>
        <v>0</v>
      </c>
      <c r="Z86" s="28">
        <f>+HLOOKUP(Z1,'השקעות 2012-2014'!$1:$124,76,0)</f>
        <v>0</v>
      </c>
      <c r="AA86" s="28">
        <f>+HLOOKUP(AA1,'השקעות 2012-2014'!$1:$124,76,0)</f>
        <v>0</v>
      </c>
      <c r="AB86" s="28">
        <f>+HLOOKUP(AB1,'השקעות 2012-2014'!$1:$124,76,0)</f>
        <v>0</v>
      </c>
      <c r="AC86" s="28">
        <f>+HLOOKUP(AC1,'השקעות 2012-2014'!$1:$124,76,0)</f>
        <v>0</v>
      </c>
      <c r="AD86" s="28">
        <f>+HLOOKUP(AD1,'השקעות 2012-2014'!$1:$124,76,0)</f>
        <v>0</v>
      </c>
      <c r="AE86" s="28">
        <f>+HLOOKUP(AE1,'השקעות 2012-2014'!$1:$124,76,0)</f>
        <v>0</v>
      </c>
      <c r="AF86" s="28">
        <f>+HLOOKUP(AF1,'השקעות 2012-2014'!$1:$124,76,0)</f>
        <v>0</v>
      </c>
      <c r="AG86" s="28">
        <f>+HLOOKUP(AG1,'השקעות 2012-2014'!$1:$124,76,0)</f>
        <v>0</v>
      </c>
      <c r="AH86" s="28">
        <f>+HLOOKUP(AH1,'השקעות 2012-2014'!$1:$124,76,0)</f>
        <v>0</v>
      </c>
      <c r="AI86" s="28">
        <f>+HLOOKUP(AI1,'השקעות 2012-2014'!$1:$124,76,0)</f>
        <v>0</v>
      </c>
      <c r="AJ86" s="28">
        <f>+HLOOKUP(AJ1,'השקעות 2012-2014'!$1:$124,76,0)</f>
        <v>0</v>
      </c>
      <c r="AK86" s="28">
        <f>+HLOOKUP(AK1,'השקעות 2012-2014'!$1:$124,76,0)</f>
        <v>0</v>
      </c>
      <c r="AL86" s="28">
        <f>+HLOOKUP(AL1,'השקעות 2012-2014'!$1:$124,76,0)</f>
        <v>0</v>
      </c>
      <c r="AM86" s="28">
        <f>+HLOOKUP(AM1,'השקעות 2012-2014'!$1:$124,76,0)</f>
        <v>0</v>
      </c>
      <c r="AN86" s="28">
        <f>+HLOOKUP(AN1,'השקעות 2012-2014'!$1:$124,76,0)</f>
        <v>0</v>
      </c>
      <c r="AO86" s="28">
        <f>+HLOOKUP(AO1,'השקעות 2012-2014'!$1:$124,76,0)</f>
        <v>0</v>
      </c>
      <c r="AP86" s="28">
        <f>+HLOOKUP(AP1,'השקעות 2012-2014'!$1:$124,76,0)</f>
        <v>0</v>
      </c>
      <c r="AQ86" s="28">
        <f>+HLOOKUP(AQ1,'השקעות 2012-2014'!$1:$124,76,0)</f>
        <v>0</v>
      </c>
      <c r="AR86" s="28">
        <f>+HLOOKUP(AR1,'השקעות 2012-2014'!$1:$124,76,0)</f>
        <v>0</v>
      </c>
      <c r="AS86" s="28">
        <f>+HLOOKUP(AS1,'השקעות 2012-2014'!$1:$124,76,0)</f>
        <v>0</v>
      </c>
      <c r="AT86" s="28">
        <f>+HLOOKUP(AT1,'השקעות 2012-2014'!$1:$124,76,0)</f>
        <v>0</v>
      </c>
      <c r="AU86" s="28">
        <f>+HLOOKUP(AU1,'השקעות 2012-2014'!$1:$124,76,0)</f>
        <v>0</v>
      </c>
      <c r="AV86" s="28">
        <f>+HLOOKUP(AV1,'השקעות 2012-2014'!$1:$124,76,0)</f>
        <v>0</v>
      </c>
      <c r="AW86" s="28">
        <f>+HLOOKUP(AW1,'השקעות 2012-2014'!$1:$124,76,0)</f>
        <v>0</v>
      </c>
      <c r="AX86" s="28">
        <f>+HLOOKUP(AX1,'השקעות 2012-2014'!$1:$124,76,0)</f>
        <v>0</v>
      </c>
      <c r="AY86" s="28">
        <f>+HLOOKUP(AY1,'השקעות 2012-2014'!$1:$124,76,0)</f>
        <v>0</v>
      </c>
      <c r="AZ86" s="28">
        <f>+HLOOKUP(AZ1,'השקעות 2012-2014'!$1:$124,76,0)</f>
        <v>0</v>
      </c>
      <c r="BA86" s="28">
        <f>+HLOOKUP(BA1,'השקעות 2012-2014'!$1:$124,76,0)</f>
        <v>0</v>
      </c>
      <c r="BB86" s="28">
        <f>+HLOOKUP(BB1,'השקעות 2012-2014'!$1:$124,76,0)</f>
        <v>0</v>
      </c>
      <c r="BC86" s="28">
        <f>+HLOOKUP(BC1,'השקעות 2012-2014'!$1:$124,76,0)</f>
        <v>0</v>
      </c>
      <c r="BD86" s="28">
        <f>+HLOOKUP(BD1,'השקעות 2012-2014'!$1:$124,76,0)</f>
        <v>0</v>
      </c>
      <c r="BE86" s="28">
        <f>+HLOOKUP(BE1,'השקעות 2012-2014'!$1:$124,76,0)</f>
        <v>0</v>
      </c>
      <c r="BF86" s="28">
        <f>+HLOOKUP(BF1,'השקעות 2012-2014'!$1:$124,76,0)</f>
        <v>0</v>
      </c>
    </row>
    <row r="87" spans="1:58" s="815" customFormat="1" ht="14.25" x14ac:dyDescent="0.2">
      <c r="D87" s="816"/>
      <c r="E87" s="816"/>
      <c r="F87" s="816"/>
      <c r="G87" s="816"/>
      <c r="H87" s="816"/>
      <c r="I87" s="816"/>
      <c r="J87" s="816"/>
      <c r="K87" s="816"/>
      <c r="L87" s="816"/>
      <c r="M87" s="816"/>
      <c r="N87" s="816"/>
      <c r="O87" s="816"/>
      <c r="P87" s="816"/>
      <c r="Q87" s="816"/>
      <c r="R87" s="816"/>
      <c r="S87" s="816"/>
      <c r="T87" s="816"/>
      <c r="U87" s="816"/>
      <c r="V87" s="816"/>
      <c r="W87" s="816"/>
      <c r="X87" s="816"/>
      <c r="Y87" s="816"/>
      <c r="Z87" s="816"/>
      <c r="AA87" s="816"/>
      <c r="AB87" s="816"/>
      <c r="AC87" s="816"/>
      <c r="AD87" s="816"/>
      <c r="AE87" s="816"/>
      <c r="AF87" s="816"/>
      <c r="AG87" s="816"/>
      <c r="AH87" s="816"/>
      <c r="AI87" s="816"/>
      <c r="AJ87" s="816"/>
      <c r="AK87" s="816"/>
      <c r="AL87" s="816"/>
      <c r="AM87" s="816"/>
      <c r="AN87" s="816"/>
      <c r="AO87" s="816"/>
      <c r="AP87" s="816"/>
      <c r="AQ87" s="816"/>
      <c r="AR87" s="816"/>
      <c r="AS87" s="816"/>
      <c r="AT87" s="816"/>
      <c r="AU87" s="816"/>
      <c r="AV87" s="816"/>
      <c r="AW87" s="816"/>
      <c r="AX87" s="816"/>
      <c r="AY87" s="816"/>
      <c r="AZ87" s="816"/>
      <c r="BA87" s="816"/>
      <c r="BB87" s="816"/>
      <c r="BC87" s="816"/>
      <c r="BD87" s="816"/>
      <c r="BE87" s="816"/>
      <c r="BF87" s="816"/>
    </row>
    <row r="88" spans="1:58" x14ac:dyDescent="0.2">
      <c r="D88" s="47"/>
      <c r="E88" s="47"/>
      <c r="F88" s="47"/>
      <c r="G88" s="47"/>
      <c r="H88" s="47"/>
      <c r="I88" s="47"/>
      <c r="J88" s="47"/>
      <c r="K88" s="47"/>
      <c r="L88" s="47"/>
      <c r="M88" s="47"/>
      <c r="N88" s="47"/>
      <c r="O88" s="47"/>
      <c r="P88" s="47"/>
      <c r="Q88" s="47"/>
      <c r="R88" s="47"/>
      <c r="S88" s="47"/>
      <c r="T88" s="47"/>
      <c r="U88" s="47"/>
      <c r="V88" s="47"/>
      <c r="W88" s="47"/>
      <c r="X88" s="47"/>
      <c r="Y88" s="47"/>
      <c r="Z88" s="47"/>
      <c r="AA88" s="47"/>
      <c r="AB88" s="47"/>
      <c r="AC88" s="47"/>
      <c r="AD88" s="47"/>
      <c r="AE88" s="47"/>
      <c r="AF88" s="47"/>
      <c r="AG88" s="47"/>
      <c r="AH88" s="47"/>
      <c r="AI88" s="47"/>
      <c r="AJ88" s="47"/>
      <c r="AK88" s="47"/>
      <c r="AL88" s="47"/>
      <c r="AM88" s="47"/>
      <c r="AN88" s="47"/>
      <c r="AO88" s="47"/>
      <c r="AP88" s="47"/>
      <c r="AQ88" s="47"/>
      <c r="AR88" s="47"/>
      <c r="AS88" s="47"/>
      <c r="AT88" s="47"/>
      <c r="AU88" s="47"/>
      <c r="AV88" s="47"/>
      <c r="AW88" s="47"/>
      <c r="AX88" s="47"/>
      <c r="AY88" s="47"/>
      <c r="AZ88" s="47"/>
      <c r="BA88" s="47"/>
      <c r="BB88" s="47"/>
      <c r="BC88" s="47"/>
      <c r="BD88" s="47"/>
      <c r="BE88" s="47"/>
      <c r="BF88" s="47"/>
    </row>
    <row r="89" spans="1:58" x14ac:dyDescent="0.2">
      <c r="D89" s="47"/>
      <c r="E89" s="47"/>
      <c r="F89" s="47"/>
      <c r="G89" s="47"/>
      <c r="H89" s="47"/>
      <c r="I89" s="47"/>
      <c r="J89" s="47"/>
      <c r="K89" s="47"/>
      <c r="L89" s="47"/>
      <c r="M89" s="47"/>
      <c r="N89" s="47"/>
      <c r="O89" s="47"/>
      <c r="P89" s="47"/>
      <c r="Q89" s="47"/>
      <c r="R89" s="47"/>
      <c r="S89" s="47"/>
      <c r="T89" s="47"/>
      <c r="U89" s="47"/>
      <c r="V89" s="47"/>
      <c r="W89" s="47"/>
      <c r="X89" s="47"/>
      <c r="Y89" s="47"/>
      <c r="Z89" s="47"/>
      <c r="AA89" s="47"/>
      <c r="AB89" s="47"/>
      <c r="AC89" s="47"/>
      <c r="AD89" s="47"/>
      <c r="AE89" s="47"/>
      <c r="AF89" s="47"/>
      <c r="AG89" s="47"/>
      <c r="AH89" s="47"/>
      <c r="AI89" s="47"/>
      <c r="AJ89" s="47"/>
      <c r="AK89" s="47"/>
      <c r="AL89" s="47"/>
      <c r="AM89" s="47"/>
      <c r="AN89" s="47"/>
      <c r="AO89" s="47"/>
      <c r="AP89" s="47"/>
      <c r="AQ89" s="47"/>
      <c r="AR89" s="47"/>
      <c r="AS89" s="47"/>
      <c r="AT89" s="47"/>
      <c r="AU89" s="47"/>
      <c r="AV89" s="47"/>
      <c r="AW89" s="47"/>
      <c r="AX89" s="47"/>
      <c r="AY89" s="47"/>
      <c r="AZ89" s="47"/>
      <c r="BA89" s="47"/>
      <c r="BB89" s="47"/>
      <c r="BC89" s="47"/>
      <c r="BD89" s="47"/>
      <c r="BE89" s="47"/>
      <c r="BF89" s="47"/>
    </row>
    <row r="90" spans="1:58" x14ac:dyDescent="0.2">
      <c r="B90" t="s">
        <v>669</v>
      </c>
      <c r="D90" s="47">
        <f>SUM(D83:D84)</f>
        <v>0</v>
      </c>
      <c r="E90" s="47">
        <f t="shared" ref="E90:BF90" si="10">SUM(E83:E84)</f>
        <v>0</v>
      </c>
      <c r="F90" s="47">
        <f t="shared" si="10"/>
        <v>0</v>
      </c>
      <c r="G90" s="47">
        <f t="shared" si="10"/>
        <v>0</v>
      </c>
      <c r="H90" s="47">
        <f t="shared" si="10"/>
        <v>0</v>
      </c>
      <c r="I90" s="47">
        <f t="shared" si="10"/>
        <v>0</v>
      </c>
      <c r="J90" s="47">
        <f t="shared" si="10"/>
        <v>0</v>
      </c>
      <c r="K90" s="47">
        <f t="shared" si="10"/>
        <v>0</v>
      </c>
      <c r="L90" s="47">
        <f t="shared" si="10"/>
        <v>0</v>
      </c>
      <c r="M90" s="47">
        <f t="shared" si="10"/>
        <v>0</v>
      </c>
      <c r="N90" s="47">
        <f t="shared" si="10"/>
        <v>0</v>
      </c>
      <c r="O90" s="47">
        <f t="shared" si="10"/>
        <v>0</v>
      </c>
      <c r="P90" s="47">
        <f t="shared" si="10"/>
        <v>0</v>
      </c>
      <c r="Q90" s="47">
        <f t="shared" si="10"/>
        <v>0</v>
      </c>
      <c r="R90" s="47">
        <f t="shared" si="10"/>
        <v>0</v>
      </c>
      <c r="S90" s="47">
        <f t="shared" si="10"/>
        <v>0</v>
      </c>
      <c r="T90" s="47">
        <f t="shared" si="10"/>
        <v>0</v>
      </c>
      <c r="U90" s="47">
        <f t="shared" si="10"/>
        <v>0</v>
      </c>
      <c r="V90" s="47">
        <f t="shared" si="10"/>
        <v>0</v>
      </c>
      <c r="W90" s="47">
        <f t="shared" si="10"/>
        <v>0</v>
      </c>
      <c r="X90" s="47">
        <f t="shared" si="10"/>
        <v>0</v>
      </c>
      <c r="Y90" s="47">
        <f t="shared" si="10"/>
        <v>0</v>
      </c>
      <c r="Z90" s="47">
        <f t="shared" si="10"/>
        <v>0</v>
      </c>
      <c r="AA90" s="47">
        <f t="shared" si="10"/>
        <v>0</v>
      </c>
      <c r="AB90" s="47">
        <f t="shared" si="10"/>
        <v>0</v>
      </c>
      <c r="AC90" s="47">
        <f t="shared" si="10"/>
        <v>0</v>
      </c>
      <c r="AD90" s="47">
        <f t="shared" si="10"/>
        <v>0</v>
      </c>
      <c r="AE90" s="47">
        <f t="shared" si="10"/>
        <v>0</v>
      </c>
      <c r="AF90" s="47">
        <f t="shared" si="10"/>
        <v>0</v>
      </c>
      <c r="AG90" s="47">
        <f t="shared" si="10"/>
        <v>0</v>
      </c>
      <c r="AH90" s="47">
        <f t="shared" si="10"/>
        <v>0</v>
      </c>
      <c r="AI90" s="47">
        <f t="shared" si="10"/>
        <v>0</v>
      </c>
      <c r="AJ90" s="47">
        <f t="shared" si="10"/>
        <v>0</v>
      </c>
      <c r="AK90" s="47">
        <f t="shared" si="10"/>
        <v>0</v>
      </c>
      <c r="AL90" s="47">
        <f t="shared" si="10"/>
        <v>0</v>
      </c>
      <c r="AM90" s="47">
        <f t="shared" si="10"/>
        <v>0</v>
      </c>
      <c r="AN90" s="47">
        <f t="shared" si="10"/>
        <v>0</v>
      </c>
      <c r="AO90" s="47">
        <f t="shared" si="10"/>
        <v>0</v>
      </c>
      <c r="AP90" s="47">
        <f t="shared" si="10"/>
        <v>0</v>
      </c>
      <c r="AQ90" s="47">
        <f t="shared" si="10"/>
        <v>0</v>
      </c>
      <c r="AR90" s="47">
        <f t="shared" si="10"/>
        <v>0</v>
      </c>
      <c r="AS90" s="47">
        <f t="shared" si="10"/>
        <v>2427</v>
      </c>
      <c r="AT90" s="47">
        <f t="shared" si="10"/>
        <v>0</v>
      </c>
      <c r="AU90" s="47">
        <f t="shared" si="10"/>
        <v>0</v>
      </c>
      <c r="AV90" s="47">
        <f t="shared" si="10"/>
        <v>0</v>
      </c>
      <c r="AW90" s="47">
        <f t="shared" si="10"/>
        <v>0</v>
      </c>
      <c r="AX90" s="47">
        <f t="shared" si="10"/>
        <v>0</v>
      </c>
      <c r="AY90" s="47">
        <f t="shared" si="10"/>
        <v>0</v>
      </c>
      <c r="AZ90" s="47">
        <f t="shared" si="10"/>
        <v>0</v>
      </c>
      <c r="BA90" s="47">
        <f t="shared" si="10"/>
        <v>0</v>
      </c>
      <c r="BB90" s="47">
        <f t="shared" si="10"/>
        <v>0</v>
      </c>
      <c r="BC90" s="47">
        <f t="shared" si="10"/>
        <v>0</v>
      </c>
      <c r="BD90" s="47">
        <f t="shared" si="10"/>
        <v>0</v>
      </c>
      <c r="BE90" s="47">
        <f t="shared" si="10"/>
        <v>0</v>
      </c>
      <c r="BF90" s="47">
        <f t="shared" si="10"/>
        <v>0</v>
      </c>
    </row>
    <row r="91" spans="1:58" x14ac:dyDescent="0.2">
      <c r="D91" s="47"/>
      <c r="E91" s="47"/>
      <c r="F91" s="47"/>
      <c r="G91" s="47"/>
      <c r="H91" s="47"/>
      <c r="I91" s="47"/>
      <c r="J91" s="47"/>
      <c r="K91" s="47"/>
      <c r="L91" s="47"/>
      <c r="M91" s="47"/>
      <c r="N91" s="47"/>
      <c r="O91" s="47"/>
      <c r="P91" s="47"/>
      <c r="Q91" s="47"/>
      <c r="R91" s="47"/>
      <c r="S91" s="47"/>
      <c r="T91" s="47"/>
      <c r="U91" s="47"/>
      <c r="V91" s="47"/>
      <c r="W91" s="47"/>
      <c r="X91" s="47"/>
      <c r="Y91" s="47"/>
      <c r="Z91" s="47"/>
      <c r="AA91" s="47"/>
      <c r="AB91" s="47"/>
      <c r="AC91" s="47"/>
      <c r="AD91" s="47"/>
      <c r="AE91" s="47"/>
      <c r="AF91" s="47"/>
      <c r="AG91" s="47"/>
      <c r="AH91" s="47"/>
      <c r="AI91" s="47"/>
      <c r="AJ91" s="47"/>
      <c r="AK91" s="47"/>
      <c r="AL91" s="47"/>
      <c r="AM91" s="47"/>
      <c r="AN91" s="47"/>
      <c r="AO91" s="47"/>
      <c r="AP91" s="47"/>
      <c r="AQ91" s="47"/>
      <c r="AR91" s="47"/>
      <c r="AS91" s="47"/>
      <c r="AT91" s="47"/>
      <c r="AU91" s="47"/>
      <c r="AV91" s="47"/>
      <c r="AW91" s="47"/>
      <c r="AX91" s="47"/>
      <c r="AY91" s="47"/>
      <c r="AZ91" s="47"/>
      <c r="BA91" s="47"/>
      <c r="BB91" s="47"/>
      <c r="BC91" s="47"/>
      <c r="BD91" s="47"/>
      <c r="BE91" s="47"/>
      <c r="BF91" s="47"/>
    </row>
    <row r="93" spans="1:58" s="648" customFormat="1" ht="18.75" customHeight="1" x14ac:dyDescent="0.2">
      <c r="A93" s="646"/>
      <c r="B93" s="811" t="s">
        <v>1175</v>
      </c>
      <c r="C93" s="646"/>
      <c r="D93" s="646">
        <f>SUM(D83:D86)</f>
        <v>0</v>
      </c>
      <c r="E93" s="646">
        <f t="shared" ref="E93:BF93" si="11">SUM(E83:E86)</f>
        <v>0</v>
      </c>
      <c r="F93" s="646">
        <f t="shared" si="11"/>
        <v>0</v>
      </c>
      <c r="G93" s="646">
        <f t="shared" si="11"/>
        <v>0</v>
      </c>
      <c r="H93" s="646">
        <f t="shared" si="11"/>
        <v>0</v>
      </c>
      <c r="I93" s="646">
        <f t="shared" si="11"/>
        <v>0</v>
      </c>
      <c r="J93" s="646">
        <f t="shared" si="11"/>
        <v>0</v>
      </c>
      <c r="K93" s="646">
        <f t="shared" si="11"/>
        <v>0</v>
      </c>
      <c r="L93" s="646">
        <f t="shared" si="11"/>
        <v>0</v>
      </c>
      <c r="M93" s="646">
        <f t="shared" si="11"/>
        <v>0</v>
      </c>
      <c r="N93" s="646">
        <f t="shared" si="11"/>
        <v>0</v>
      </c>
      <c r="O93" s="646">
        <f t="shared" si="11"/>
        <v>0</v>
      </c>
      <c r="P93" s="646">
        <f t="shared" si="11"/>
        <v>0</v>
      </c>
      <c r="Q93" s="646">
        <f t="shared" si="11"/>
        <v>0</v>
      </c>
      <c r="R93" s="646">
        <f t="shared" si="11"/>
        <v>0</v>
      </c>
      <c r="S93" s="646">
        <f t="shared" si="11"/>
        <v>0</v>
      </c>
      <c r="T93" s="646">
        <f t="shared" si="11"/>
        <v>0</v>
      </c>
      <c r="U93" s="646">
        <f t="shared" si="11"/>
        <v>0</v>
      </c>
      <c r="V93" s="646">
        <f t="shared" si="11"/>
        <v>0</v>
      </c>
      <c r="W93" s="646">
        <f t="shared" si="11"/>
        <v>0</v>
      </c>
      <c r="X93" s="646">
        <f t="shared" si="11"/>
        <v>0</v>
      </c>
      <c r="Y93" s="646">
        <f t="shared" si="11"/>
        <v>0</v>
      </c>
      <c r="Z93" s="646">
        <f t="shared" si="11"/>
        <v>0</v>
      </c>
      <c r="AA93" s="646">
        <f t="shared" si="11"/>
        <v>0</v>
      </c>
      <c r="AB93" s="646">
        <f t="shared" si="11"/>
        <v>0</v>
      </c>
      <c r="AC93" s="646">
        <f t="shared" si="11"/>
        <v>0</v>
      </c>
      <c r="AD93" s="646">
        <f t="shared" si="11"/>
        <v>0</v>
      </c>
      <c r="AE93" s="646">
        <f t="shared" si="11"/>
        <v>0</v>
      </c>
      <c r="AF93" s="646">
        <f t="shared" si="11"/>
        <v>0</v>
      </c>
      <c r="AG93" s="646">
        <f t="shared" si="11"/>
        <v>0</v>
      </c>
      <c r="AH93" s="646">
        <f t="shared" si="11"/>
        <v>0</v>
      </c>
      <c r="AI93" s="646">
        <f t="shared" si="11"/>
        <v>0</v>
      </c>
      <c r="AJ93" s="646">
        <f t="shared" si="11"/>
        <v>0</v>
      </c>
      <c r="AK93" s="646">
        <f t="shared" si="11"/>
        <v>0</v>
      </c>
      <c r="AL93" s="646">
        <f t="shared" si="11"/>
        <v>0</v>
      </c>
      <c r="AM93" s="646">
        <f t="shared" si="11"/>
        <v>0</v>
      </c>
      <c r="AN93" s="646">
        <f t="shared" si="11"/>
        <v>0</v>
      </c>
      <c r="AO93" s="646">
        <f t="shared" si="11"/>
        <v>0</v>
      </c>
      <c r="AP93" s="646">
        <f t="shared" si="11"/>
        <v>0</v>
      </c>
      <c r="AQ93" s="646">
        <f t="shared" si="11"/>
        <v>0</v>
      </c>
      <c r="AR93" s="646">
        <f t="shared" si="11"/>
        <v>0</v>
      </c>
      <c r="AS93" s="646">
        <f t="shared" si="11"/>
        <v>2427</v>
      </c>
      <c r="AT93" s="646">
        <f t="shared" si="11"/>
        <v>0</v>
      </c>
      <c r="AU93" s="646">
        <f t="shared" si="11"/>
        <v>0</v>
      </c>
      <c r="AV93" s="646">
        <f t="shared" si="11"/>
        <v>0</v>
      </c>
      <c r="AW93" s="646">
        <f t="shared" si="11"/>
        <v>0</v>
      </c>
      <c r="AX93" s="646">
        <f t="shared" si="11"/>
        <v>0</v>
      </c>
      <c r="AY93" s="646">
        <f t="shared" si="11"/>
        <v>0</v>
      </c>
      <c r="AZ93" s="646">
        <f t="shared" si="11"/>
        <v>0</v>
      </c>
      <c r="BA93" s="646">
        <f t="shared" si="11"/>
        <v>0</v>
      </c>
      <c r="BB93" s="646">
        <f t="shared" si="11"/>
        <v>0</v>
      </c>
      <c r="BC93" s="646">
        <f t="shared" si="11"/>
        <v>0</v>
      </c>
      <c r="BD93" s="646">
        <f t="shared" si="11"/>
        <v>0</v>
      </c>
      <c r="BE93" s="646">
        <f t="shared" si="11"/>
        <v>0</v>
      </c>
      <c r="BF93" s="646">
        <f t="shared" si="11"/>
        <v>0</v>
      </c>
    </row>
    <row r="95" spans="1:58" x14ac:dyDescent="0.2">
      <c r="D95" s="482"/>
      <c r="E95" s="482"/>
      <c r="F95" s="482"/>
      <c r="G95" s="482"/>
      <c r="H95" s="482"/>
      <c r="I95" s="482"/>
      <c r="J95" s="482"/>
      <c r="K95" s="482"/>
      <c r="L95" s="482"/>
      <c r="M95" s="482"/>
      <c r="N95" s="482"/>
      <c r="O95" s="482"/>
      <c r="P95" s="482"/>
      <c r="Q95" s="482"/>
      <c r="R95" s="482"/>
      <c r="S95" s="482"/>
      <c r="T95" s="482"/>
      <c r="U95" s="482"/>
      <c r="V95" s="482"/>
      <c r="W95" s="482"/>
      <c r="X95" s="482"/>
      <c r="Y95" s="482"/>
      <c r="Z95" s="482"/>
      <c r="AA95" s="482"/>
      <c r="AB95" s="482"/>
      <c r="AC95" s="482"/>
      <c r="AD95" s="482"/>
      <c r="AE95" s="482"/>
      <c r="AF95" s="482"/>
      <c r="AG95" s="482"/>
      <c r="AH95" s="482"/>
      <c r="AI95" s="482"/>
      <c r="AJ95" s="482"/>
      <c r="AK95" s="482"/>
      <c r="AL95" s="482"/>
      <c r="AM95" s="482"/>
      <c r="AN95" s="482"/>
      <c r="AO95" s="482"/>
      <c r="AP95" s="482"/>
      <c r="AQ95" s="482"/>
      <c r="AR95" s="482"/>
      <c r="AS95" s="482"/>
      <c r="AT95" s="482"/>
      <c r="AU95" s="482"/>
      <c r="AV95" s="482"/>
      <c r="AW95" s="482"/>
      <c r="AX95" s="482"/>
      <c r="AY95" s="482"/>
      <c r="AZ95" s="482"/>
      <c r="BA95" s="482"/>
      <c r="BB95" s="482"/>
      <c r="BC95" s="482"/>
      <c r="BD95" s="482"/>
      <c r="BE95" s="482"/>
      <c r="BF95" s="482"/>
    </row>
    <row r="96" spans="1:58" x14ac:dyDescent="0.2">
      <c r="D96" s="817"/>
      <c r="E96" s="817"/>
      <c r="F96" s="817"/>
      <c r="G96" s="817"/>
      <c r="H96" s="817"/>
      <c r="I96" s="817"/>
      <c r="J96" s="817"/>
      <c r="K96" s="817"/>
      <c r="L96" s="817"/>
      <c r="M96" s="817"/>
      <c r="N96" s="817"/>
      <c r="O96" s="817"/>
      <c r="P96" s="817"/>
      <c r="Q96" s="817"/>
      <c r="R96" s="817"/>
      <c r="S96" s="817"/>
      <c r="T96" s="817"/>
      <c r="U96" s="817"/>
      <c r="V96" s="817"/>
      <c r="W96" s="817"/>
      <c r="X96" s="817"/>
      <c r="Y96" s="817"/>
      <c r="Z96" s="817"/>
      <c r="AA96" s="817"/>
      <c r="AB96" s="817"/>
      <c r="AC96" s="817"/>
      <c r="AD96" s="817"/>
      <c r="AE96" s="817"/>
      <c r="AF96" s="817"/>
      <c r="AG96" s="817"/>
      <c r="AH96" s="817"/>
      <c r="AI96" s="817"/>
      <c r="AJ96" s="817"/>
      <c r="AK96" s="817"/>
      <c r="AL96" s="817"/>
      <c r="AM96" s="817"/>
      <c r="AN96" s="817"/>
      <c r="AO96" s="817"/>
      <c r="AP96" s="817"/>
      <c r="AQ96" s="817"/>
      <c r="AR96" s="817"/>
      <c r="AS96" s="817"/>
      <c r="AT96" s="817"/>
      <c r="AU96" s="817"/>
      <c r="AV96" s="817"/>
      <c r="AW96" s="817"/>
      <c r="AX96" s="817"/>
      <c r="AY96" s="817"/>
      <c r="AZ96" s="817"/>
      <c r="BA96" s="817"/>
      <c r="BB96" s="817"/>
      <c r="BC96" s="817"/>
      <c r="BD96" s="817"/>
      <c r="BE96" s="817"/>
      <c r="BF96" s="817"/>
    </row>
    <row r="97" spans="2:58" x14ac:dyDescent="0.2">
      <c r="D97" s="817"/>
      <c r="E97" s="817"/>
      <c r="F97" s="817"/>
      <c r="G97" s="817"/>
      <c r="H97" s="817"/>
      <c r="I97" s="817"/>
      <c r="J97" s="817"/>
      <c r="K97" s="817"/>
      <c r="L97" s="817"/>
      <c r="M97" s="817"/>
      <c r="N97" s="817"/>
      <c r="O97" s="817"/>
      <c r="P97" s="817"/>
      <c r="Q97" s="817"/>
      <c r="R97" s="817"/>
      <c r="S97" s="817"/>
      <c r="T97" s="817"/>
      <c r="U97" s="817"/>
      <c r="V97" s="817"/>
      <c r="W97" s="817"/>
      <c r="X97" s="817"/>
      <c r="Y97" s="817"/>
      <c r="Z97" s="817"/>
      <c r="AA97" s="817"/>
      <c r="AB97" s="817"/>
      <c r="AC97" s="817"/>
      <c r="AD97" s="817"/>
      <c r="AE97" s="817"/>
      <c r="AF97" s="817"/>
      <c r="AG97" s="817"/>
      <c r="AH97" s="817"/>
      <c r="AI97" s="817"/>
      <c r="AJ97" s="817"/>
      <c r="AK97" s="817"/>
      <c r="AL97" s="817"/>
      <c r="AM97" s="817"/>
      <c r="AN97" s="817"/>
      <c r="AO97" s="817"/>
      <c r="AP97" s="817"/>
      <c r="AQ97" s="817"/>
      <c r="AR97" s="817"/>
      <c r="AS97" s="817"/>
      <c r="AT97" s="817"/>
      <c r="AU97" s="817"/>
      <c r="AV97" s="817"/>
      <c r="AW97" s="817"/>
      <c r="AX97" s="817"/>
      <c r="AY97" s="817"/>
      <c r="AZ97" s="817"/>
      <c r="BA97" s="817"/>
      <c r="BB97" s="817"/>
      <c r="BC97" s="817"/>
      <c r="BD97" s="817"/>
      <c r="BE97" s="817"/>
      <c r="BF97" s="817"/>
    </row>
    <row r="98" spans="2:58" x14ac:dyDescent="0.2">
      <c r="B98" s="12"/>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row>
  </sheetData>
  <pageMargins left="0.7" right="0.7" top="0.75" bottom="0.75" header="0.3" footer="0.3"/>
  <legacy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23"/>
  <dimension ref="A1:IF348"/>
  <sheetViews>
    <sheetView rightToLeft="1" workbookViewId="0">
      <pane xSplit="2" ySplit="1" topLeftCell="H152" activePane="bottomRight" state="frozen"/>
      <selection activeCell="E49" sqref="E49"/>
      <selection pane="topRight" activeCell="E49" sqref="E49"/>
      <selection pane="bottomLeft" activeCell="E49" sqref="E49"/>
      <selection pane="bottomRight" activeCell="K167" sqref="K167"/>
    </sheetView>
  </sheetViews>
  <sheetFormatPr defaultRowHeight="12.75" x14ac:dyDescent="0.2"/>
  <cols>
    <col min="1" max="1" width="38" style="1" bestFit="1" customWidth="1"/>
    <col min="2" max="2" width="4" style="1" customWidth="1"/>
    <col min="3" max="3" width="22" style="1" bestFit="1" customWidth="1"/>
    <col min="4" max="4" width="15.42578125" style="1" customWidth="1"/>
    <col min="5" max="5" width="15" style="1" bestFit="1" customWidth="1"/>
    <col min="6" max="6" width="15.5703125" style="1" bestFit="1" customWidth="1"/>
    <col min="7" max="7" width="17" style="1" bestFit="1" customWidth="1"/>
    <col min="8" max="8" width="14.85546875" style="1" bestFit="1" customWidth="1"/>
    <col min="9" max="9" width="17.28515625" style="1" bestFit="1" customWidth="1"/>
    <col min="10" max="10" width="15.140625" style="1" bestFit="1" customWidth="1"/>
    <col min="11" max="11" width="13" style="1" bestFit="1" customWidth="1"/>
    <col min="12" max="13" width="14" style="1" bestFit="1" customWidth="1"/>
    <col min="14" max="14" width="15.42578125" style="1" bestFit="1" customWidth="1"/>
    <col min="15" max="15" width="14" style="1" bestFit="1" customWidth="1"/>
    <col min="16" max="16" width="12.5703125" style="1" customWidth="1"/>
    <col min="17" max="17" width="14" style="1" bestFit="1" customWidth="1"/>
    <col min="18" max="18" width="17.5703125" style="1" bestFit="1" customWidth="1"/>
    <col min="19" max="20" width="14" style="1" bestFit="1" customWidth="1"/>
    <col min="21" max="21" width="11.85546875" style="1" customWidth="1"/>
    <col min="22" max="22" width="15" style="1" customWidth="1"/>
    <col min="23" max="23" width="14" style="1" bestFit="1" customWidth="1"/>
    <col min="24" max="24" width="24.5703125" style="1" bestFit="1" customWidth="1"/>
    <col min="25" max="25" width="13.28515625" style="1" bestFit="1" customWidth="1"/>
    <col min="26" max="26" width="14" style="1" bestFit="1" customWidth="1"/>
    <col min="27" max="27" width="12.85546875" style="1" bestFit="1" customWidth="1"/>
    <col min="28" max="32" width="14" style="1" bestFit="1" customWidth="1"/>
    <col min="33" max="33" width="12.85546875" style="1" bestFit="1" customWidth="1"/>
    <col min="34" max="34" width="11.85546875" style="1" customWidth="1"/>
    <col min="35" max="36" width="12.85546875" style="1" bestFit="1" customWidth="1"/>
    <col min="37" max="37" width="29.28515625" style="1" bestFit="1" customWidth="1"/>
    <col min="38" max="39" width="14" style="1" bestFit="1" customWidth="1"/>
    <col min="40" max="40" width="12.140625" style="1" bestFit="1" customWidth="1"/>
    <col min="41" max="43" width="14" style="1" bestFit="1" customWidth="1"/>
    <col min="44" max="44" width="12.85546875" style="1" bestFit="1" customWidth="1"/>
    <col min="45" max="49" width="14" style="1" bestFit="1" customWidth="1"/>
    <col min="50" max="51" width="12.85546875" style="1" bestFit="1" customWidth="1"/>
    <col min="52" max="52" width="28" style="1" bestFit="1" customWidth="1"/>
    <col min="53" max="53" width="13.140625" style="1" bestFit="1" customWidth="1"/>
    <col min="54" max="54" width="13.28515625" style="1" bestFit="1" customWidth="1"/>
    <col min="55" max="55" width="14" style="1" bestFit="1" customWidth="1"/>
    <col min="56" max="58" width="13.28515625" style="1" bestFit="1" customWidth="1"/>
    <col min="59" max="60" width="14" style="1" bestFit="1" customWidth="1"/>
    <col min="61" max="61" width="15" style="1" bestFit="1" customWidth="1"/>
    <col min="62" max="62" width="14" style="1" bestFit="1" customWidth="1"/>
    <col min="63" max="16384" width="9.140625" style="1"/>
  </cols>
  <sheetData>
    <row r="1" spans="1:60" ht="18.75" customHeight="1" x14ac:dyDescent="0.2">
      <c r="C1" s="438" t="s">
        <v>454</v>
      </c>
      <c r="D1" s="438" t="s">
        <v>440</v>
      </c>
      <c r="E1" s="602" t="s">
        <v>448</v>
      </c>
      <c r="F1" s="602" t="s">
        <v>443</v>
      </c>
      <c r="G1" s="602" t="s">
        <v>257</v>
      </c>
      <c r="H1" s="602" t="s">
        <v>441</v>
      </c>
      <c r="I1" s="602" t="s">
        <v>455</v>
      </c>
      <c r="J1" s="602" t="s">
        <v>456</v>
      </c>
      <c r="K1" s="602" t="s">
        <v>447</v>
      </c>
      <c r="L1" s="602" t="s">
        <v>828</v>
      </c>
      <c r="M1" s="602" t="s">
        <v>442</v>
      </c>
      <c r="N1" s="602" t="s">
        <v>452</v>
      </c>
      <c r="O1" s="602" t="s">
        <v>453</v>
      </c>
      <c r="P1" s="602" t="s">
        <v>457</v>
      </c>
      <c r="Q1" s="602" t="s">
        <v>691</v>
      </c>
      <c r="R1" s="602" t="s">
        <v>450</v>
      </c>
      <c r="S1" s="602" t="s">
        <v>446</v>
      </c>
      <c r="T1" s="602" t="s">
        <v>458</v>
      </c>
      <c r="U1" s="602" t="s">
        <v>445</v>
      </c>
      <c r="V1" s="602" t="s">
        <v>444</v>
      </c>
      <c r="W1" s="602" t="s">
        <v>449</v>
      </c>
      <c r="X1" s="602" t="s">
        <v>439</v>
      </c>
      <c r="Y1" s="602" t="s">
        <v>260</v>
      </c>
      <c r="Z1" s="602" t="s">
        <v>658</v>
      </c>
      <c r="AA1" s="602" t="s">
        <v>258</v>
      </c>
      <c r="AB1" s="602" t="s">
        <v>659</v>
      </c>
      <c r="AC1" s="602" t="s">
        <v>254</v>
      </c>
      <c r="AD1" s="602" t="s">
        <v>264</v>
      </c>
      <c r="AE1" s="602" t="s">
        <v>256</v>
      </c>
      <c r="AF1" s="602" t="s">
        <v>255</v>
      </c>
      <c r="AG1" s="603" t="s">
        <v>660</v>
      </c>
      <c r="AH1" s="602" t="s">
        <v>269</v>
      </c>
      <c r="AI1" s="602" t="s">
        <v>262</v>
      </c>
      <c r="AJ1" s="602" t="s">
        <v>263</v>
      </c>
      <c r="AK1" s="602" t="s">
        <v>275</v>
      </c>
      <c r="AL1" s="439" t="s">
        <v>687</v>
      </c>
      <c r="AM1" s="602" t="s">
        <v>259</v>
      </c>
      <c r="AN1" s="602" t="s">
        <v>578</v>
      </c>
      <c r="AO1" s="602" t="s">
        <v>281</v>
      </c>
      <c r="AP1" s="602" t="s">
        <v>529</v>
      </c>
      <c r="AQ1" s="602" t="s">
        <v>530</v>
      </c>
      <c r="AR1" s="602" t="s">
        <v>266</v>
      </c>
      <c r="AS1" s="602" t="s">
        <v>261</v>
      </c>
      <c r="AT1" s="602" t="s">
        <v>531</v>
      </c>
      <c r="AU1" s="602" t="s">
        <v>253</v>
      </c>
      <c r="AV1" s="602" t="s">
        <v>271</v>
      </c>
      <c r="AW1" s="602" t="s">
        <v>268</v>
      </c>
      <c r="AX1" s="602" t="s">
        <v>661</v>
      </c>
      <c r="AY1" s="602" t="s">
        <v>265</v>
      </c>
      <c r="AZ1" s="602" t="s">
        <v>270</v>
      </c>
      <c r="BA1" s="602" t="s">
        <v>267</v>
      </c>
      <c r="BB1" s="602" t="s">
        <v>250</v>
      </c>
      <c r="BC1" s="602" t="s">
        <v>252</v>
      </c>
      <c r="BD1" s="602" t="s">
        <v>272</v>
      </c>
      <c r="BE1" s="602" t="s">
        <v>681</v>
      </c>
      <c r="BF1" s="602" t="s">
        <v>274</v>
      </c>
    </row>
    <row r="2" spans="1:60" x14ac:dyDescent="0.2">
      <c r="A2" s="1" t="s">
        <v>1094</v>
      </c>
      <c r="C2" s="438" t="s">
        <v>1095</v>
      </c>
      <c r="D2" s="438" t="s">
        <v>1096</v>
      </c>
      <c r="E2" s="438" t="s">
        <v>1097</v>
      </c>
      <c r="F2" s="438" t="s">
        <v>1098</v>
      </c>
      <c r="G2" s="438" t="s">
        <v>1099</v>
      </c>
      <c r="H2" s="438" t="s">
        <v>1100</v>
      </c>
      <c r="I2" s="438" t="s">
        <v>1099</v>
      </c>
      <c r="J2" s="438" t="s">
        <v>1101</v>
      </c>
      <c r="K2" s="438" t="s">
        <v>1102</v>
      </c>
      <c r="L2" s="438" t="s">
        <v>1096</v>
      </c>
      <c r="M2" s="438" t="s">
        <v>1103</v>
      </c>
      <c r="N2" s="438" t="s">
        <v>1104</v>
      </c>
      <c r="O2" s="438" t="s">
        <v>1105</v>
      </c>
      <c r="P2" s="438" t="s">
        <v>1096</v>
      </c>
      <c r="Q2" s="438" t="s">
        <v>1095</v>
      </c>
      <c r="R2" s="438" t="s">
        <v>1105</v>
      </c>
      <c r="S2" s="438" t="s">
        <v>1099</v>
      </c>
      <c r="T2" s="438" t="s">
        <v>1099</v>
      </c>
      <c r="U2" s="438" t="s">
        <v>1097</v>
      </c>
      <c r="V2" s="438" t="s">
        <v>1102</v>
      </c>
      <c r="W2" s="438" t="s">
        <v>1097</v>
      </c>
      <c r="X2" s="438" t="s">
        <v>1102</v>
      </c>
      <c r="Y2" s="438" t="s">
        <v>1106</v>
      </c>
      <c r="Z2" s="438" t="s">
        <v>1107</v>
      </c>
      <c r="AA2" s="438" t="s">
        <v>1108</v>
      </c>
      <c r="AB2" s="438" t="s">
        <v>1104</v>
      </c>
      <c r="AC2" s="438" t="s">
        <v>1108</v>
      </c>
      <c r="AD2" s="438" t="s">
        <v>1108</v>
      </c>
      <c r="AE2" s="438" t="s">
        <v>1107</v>
      </c>
      <c r="AF2" s="438" t="s">
        <v>1103</v>
      </c>
      <c r="AG2" s="438" t="s">
        <v>1106</v>
      </c>
      <c r="AH2" s="438" t="s">
        <v>1104</v>
      </c>
      <c r="AI2" s="438" t="s">
        <v>1095</v>
      </c>
      <c r="AJ2" s="438" t="s">
        <v>1107</v>
      </c>
      <c r="AK2" s="438" t="s">
        <v>1107</v>
      </c>
      <c r="AL2" s="438" t="s">
        <v>1109</v>
      </c>
      <c r="AM2" s="438" t="s">
        <v>1097</v>
      </c>
      <c r="AN2" s="438" t="s">
        <v>1104</v>
      </c>
      <c r="AO2" s="438" t="s">
        <v>1109</v>
      </c>
      <c r="AP2" s="438" t="s">
        <v>1109</v>
      </c>
      <c r="AQ2" s="438" t="s">
        <v>1105</v>
      </c>
      <c r="AR2" s="438" t="s">
        <v>1095</v>
      </c>
      <c r="AS2" s="438" t="s">
        <v>1102</v>
      </c>
      <c r="AT2" s="438" t="s">
        <v>1099</v>
      </c>
      <c r="AU2" s="438" t="s">
        <v>1108</v>
      </c>
      <c r="AV2" s="438" t="s">
        <v>1103</v>
      </c>
      <c r="AW2" s="438" t="s">
        <v>1107</v>
      </c>
      <c r="AX2" s="438" t="s">
        <v>1108</v>
      </c>
      <c r="AY2" s="438" t="s">
        <v>1107</v>
      </c>
      <c r="AZ2" s="438" t="s">
        <v>1102</v>
      </c>
      <c r="BA2" s="438" t="s">
        <v>1104</v>
      </c>
      <c r="BB2" s="438" t="s">
        <v>1106</v>
      </c>
      <c r="BC2" s="438" t="s">
        <v>1106</v>
      </c>
      <c r="BD2" s="438" t="s">
        <v>1108</v>
      </c>
      <c r="BE2" s="438" t="s">
        <v>1095</v>
      </c>
      <c r="BF2" s="438" t="s">
        <v>1095</v>
      </c>
    </row>
    <row r="3" spans="1:60" s="482" customFormat="1" ht="12.75" customHeight="1" x14ac:dyDescent="0.2">
      <c r="A3" s="482" t="s">
        <v>564</v>
      </c>
      <c r="C3" s="1240">
        <v>2004</v>
      </c>
      <c r="D3" s="1240">
        <v>2008</v>
      </c>
      <c r="E3" s="1240">
        <v>2003</v>
      </c>
      <c r="F3" s="1240">
        <v>2008</v>
      </c>
      <c r="G3" s="1240">
        <v>2006</v>
      </c>
      <c r="H3" s="1240">
        <v>2003</v>
      </c>
      <c r="I3" s="1240">
        <v>2003</v>
      </c>
      <c r="J3" s="1240">
        <v>2006</v>
      </c>
      <c r="K3" s="1240">
        <v>2003</v>
      </c>
      <c r="L3" s="1240">
        <v>2008</v>
      </c>
      <c r="M3" s="1240">
        <v>2008</v>
      </c>
      <c r="N3" s="1240">
        <v>2007</v>
      </c>
      <c r="O3" s="1240">
        <v>2008</v>
      </c>
      <c r="P3" s="1240">
        <v>2008</v>
      </c>
      <c r="Q3" s="5">
        <v>2009</v>
      </c>
      <c r="R3" s="1240">
        <v>2009</v>
      </c>
      <c r="S3" s="5">
        <v>2009</v>
      </c>
      <c r="T3" s="1240">
        <v>2009</v>
      </c>
      <c r="U3" s="5">
        <v>2009</v>
      </c>
      <c r="V3" s="1240">
        <v>2009</v>
      </c>
      <c r="W3" s="1240">
        <v>2009</v>
      </c>
      <c r="X3" s="1240">
        <v>2009</v>
      </c>
      <c r="Y3" s="5">
        <v>2009</v>
      </c>
      <c r="Z3" s="1240">
        <v>2009</v>
      </c>
      <c r="AA3" s="1240">
        <v>2010</v>
      </c>
      <c r="AB3" s="1240">
        <v>2009</v>
      </c>
      <c r="AC3" s="5">
        <v>2010</v>
      </c>
      <c r="AD3" s="5">
        <v>2009</v>
      </c>
      <c r="AE3" s="5">
        <v>2010</v>
      </c>
      <c r="AF3" s="5">
        <v>2009</v>
      </c>
      <c r="AG3" s="1240">
        <v>2010</v>
      </c>
      <c r="AH3" s="5">
        <v>2010</v>
      </c>
      <c r="AI3" s="1240">
        <v>2009</v>
      </c>
      <c r="AJ3" s="5">
        <v>2009</v>
      </c>
      <c r="AK3" s="1240">
        <v>2013</v>
      </c>
      <c r="AL3" s="1240">
        <v>2010</v>
      </c>
      <c r="AM3" s="1240">
        <v>2010</v>
      </c>
      <c r="AN3" s="5">
        <v>2011</v>
      </c>
      <c r="AO3" s="5">
        <v>2012</v>
      </c>
      <c r="AP3" s="5">
        <v>2010</v>
      </c>
      <c r="AQ3" s="5">
        <v>2009</v>
      </c>
      <c r="AR3" s="5">
        <v>2010</v>
      </c>
      <c r="AS3" s="1240">
        <v>2010</v>
      </c>
      <c r="AT3" s="1240">
        <v>2010</v>
      </c>
      <c r="AU3" s="5">
        <v>2010</v>
      </c>
      <c r="AV3" s="5">
        <v>2010</v>
      </c>
      <c r="AW3" s="1240">
        <v>2010</v>
      </c>
      <c r="AX3" s="1240">
        <v>2010</v>
      </c>
      <c r="AY3" s="1240">
        <v>2010</v>
      </c>
      <c r="AZ3" s="5">
        <v>2010</v>
      </c>
      <c r="BA3" s="1240">
        <v>2010</v>
      </c>
      <c r="BB3" s="5">
        <v>2010</v>
      </c>
      <c r="BC3" s="5">
        <v>2010</v>
      </c>
      <c r="BD3" s="1240">
        <v>2011</v>
      </c>
      <c r="BE3" s="1240">
        <v>2013</v>
      </c>
      <c r="BF3" s="1240">
        <v>2016</v>
      </c>
      <c r="BG3" s="5">
        <v>2009</v>
      </c>
      <c r="BH3" s="1240">
        <v>2009</v>
      </c>
    </row>
    <row r="4" spans="1:60" x14ac:dyDescent="0.2">
      <c r="A4" s="501" t="s">
        <v>1176</v>
      </c>
      <c r="B4" s="1">
        <v>1</v>
      </c>
      <c r="C4" s="1240" t="s">
        <v>100</v>
      </c>
      <c r="D4" s="1240" t="s">
        <v>56</v>
      </c>
      <c r="E4" s="1240" t="s">
        <v>101</v>
      </c>
      <c r="F4" s="1240" t="s">
        <v>136</v>
      </c>
      <c r="G4" s="1240" t="s">
        <v>104</v>
      </c>
      <c r="H4" s="1240" t="s">
        <v>64</v>
      </c>
      <c r="I4" s="1240" t="s">
        <v>144</v>
      </c>
      <c r="J4" s="1240" t="s">
        <v>1</v>
      </c>
      <c r="K4" s="1240" t="s">
        <v>103</v>
      </c>
      <c r="L4" s="1240" t="s">
        <v>17</v>
      </c>
      <c r="M4" s="1240" t="s">
        <v>2</v>
      </c>
      <c r="N4" s="1240" t="s">
        <v>7</v>
      </c>
      <c r="O4" s="1240" t="s">
        <v>61</v>
      </c>
      <c r="P4" s="1240" t="s">
        <v>48</v>
      </c>
      <c r="Q4" s="5" t="s">
        <v>57</v>
      </c>
      <c r="R4" s="1240" t="s">
        <v>59</v>
      </c>
      <c r="S4" s="5" t="s">
        <v>28</v>
      </c>
      <c r="T4" s="1240" t="s">
        <v>60</v>
      </c>
      <c r="U4" s="5" t="s">
        <v>138</v>
      </c>
      <c r="V4" s="1240" t="s">
        <v>27</v>
      </c>
      <c r="W4" s="1240" t="s">
        <v>3</v>
      </c>
      <c r="X4" s="1240" t="s">
        <v>55</v>
      </c>
      <c r="Y4" s="5" t="s">
        <v>30</v>
      </c>
      <c r="Z4" s="1240" t="s">
        <v>50</v>
      </c>
      <c r="AA4" s="1240" t="s">
        <v>54</v>
      </c>
      <c r="AB4" s="1240" t="s">
        <v>51</v>
      </c>
      <c r="AC4" s="5" t="s">
        <v>62</v>
      </c>
      <c r="AD4" s="5" t="s">
        <v>53</v>
      </c>
      <c r="AE4" s="5" t="s">
        <v>63</v>
      </c>
      <c r="AF4" s="5" t="s">
        <v>68</v>
      </c>
      <c r="AG4" s="1240" t="s">
        <v>73</v>
      </c>
      <c r="AH4" s="5" t="s">
        <v>66</v>
      </c>
      <c r="AI4" s="1240" t="s">
        <v>76</v>
      </c>
      <c r="AJ4" s="5" t="s">
        <v>74</v>
      </c>
      <c r="AK4" s="1240" t="s">
        <v>75</v>
      </c>
      <c r="AL4" s="1240" t="s">
        <v>134</v>
      </c>
      <c r="AM4" s="1240" t="s">
        <v>86</v>
      </c>
      <c r="AN4" s="5" t="s">
        <v>80</v>
      </c>
      <c r="AO4" s="5" t="s">
        <v>248</v>
      </c>
      <c r="AP4" s="5" t="s">
        <v>98</v>
      </c>
      <c r="AQ4" s="5" t="s">
        <v>97</v>
      </c>
      <c r="AR4" s="5" t="s">
        <v>99</v>
      </c>
      <c r="AS4" s="1240" t="s">
        <v>39</v>
      </c>
      <c r="AT4" s="1240" t="s">
        <v>106</v>
      </c>
      <c r="AU4" s="5" t="s">
        <v>15</v>
      </c>
      <c r="AV4" s="5" t="s">
        <v>107</v>
      </c>
      <c r="AW4" s="1240" t="s">
        <v>123</v>
      </c>
      <c r="AX4" s="1240"/>
      <c r="AY4" s="1240" t="s">
        <v>112</v>
      </c>
      <c r="AZ4" s="5" t="s">
        <v>113</v>
      </c>
      <c r="BA4" s="1240" t="s">
        <v>127</v>
      </c>
      <c r="BB4" s="5" t="s">
        <v>88</v>
      </c>
      <c r="BC4" s="1240" t="s">
        <v>740</v>
      </c>
      <c r="BD4" s="1240" t="s">
        <v>87</v>
      </c>
      <c r="BE4" s="1240" t="s">
        <v>102</v>
      </c>
      <c r="BF4" s="1240" t="s">
        <v>72</v>
      </c>
    </row>
    <row r="5" spans="1:60" x14ac:dyDescent="0.2">
      <c r="B5" s="1">
        <v>2</v>
      </c>
      <c r="C5" s="1240" t="s">
        <v>6</v>
      </c>
      <c r="D5" s="1240" t="s">
        <v>140</v>
      </c>
      <c r="E5" s="1240"/>
      <c r="F5" s="1240" t="s">
        <v>58</v>
      </c>
      <c r="G5" s="1240"/>
      <c r="H5" s="1240" t="s">
        <v>9</v>
      </c>
      <c r="I5" s="1240"/>
      <c r="J5" s="1240"/>
      <c r="K5" s="1240" t="s">
        <v>67</v>
      </c>
      <c r="L5" s="1240" t="s">
        <v>148</v>
      </c>
      <c r="M5" s="1240"/>
      <c r="N5" s="1240" t="s">
        <v>141</v>
      </c>
      <c r="O5" s="1240" t="s">
        <v>4</v>
      </c>
      <c r="P5" s="1240" t="s">
        <v>16</v>
      </c>
      <c r="Q5" s="5"/>
      <c r="R5" s="1240" t="s">
        <v>71</v>
      </c>
      <c r="S5" s="5"/>
      <c r="T5" s="1240" t="s">
        <v>211</v>
      </c>
      <c r="U5" s="1240"/>
      <c r="V5" s="1240" t="s">
        <v>0</v>
      </c>
      <c r="W5" s="1240" t="s">
        <v>149</v>
      </c>
      <c r="X5" s="1240" t="s">
        <v>40</v>
      </c>
      <c r="Y5" s="5" t="s">
        <v>38</v>
      </c>
      <c r="Z5" s="1240">
        <v>1</v>
      </c>
      <c r="AA5" s="1240"/>
      <c r="AB5" s="1240"/>
      <c r="AC5" s="5"/>
      <c r="AD5" s="5"/>
      <c r="AE5" s="5"/>
      <c r="AF5" s="5" t="s">
        <v>77</v>
      </c>
      <c r="AG5" s="1240"/>
      <c r="AH5" s="5"/>
      <c r="AI5" s="1240"/>
      <c r="AJ5" s="5" t="s">
        <v>247</v>
      </c>
      <c r="AK5" s="1240"/>
      <c r="AL5" s="1240"/>
      <c r="AM5" s="1240" t="s">
        <v>70</v>
      </c>
      <c r="AN5" s="5" t="s">
        <v>82</v>
      </c>
      <c r="AO5" s="5"/>
      <c r="AP5" s="5"/>
      <c r="AQ5" s="5"/>
      <c r="AR5" s="5" t="s">
        <v>680</v>
      </c>
      <c r="AS5" s="1240" t="s">
        <v>93</v>
      </c>
      <c r="AT5" s="1240"/>
      <c r="AU5" s="5"/>
      <c r="AV5" s="5" t="s">
        <v>108</v>
      </c>
      <c r="AW5" s="1240"/>
      <c r="AX5" s="1242" t="s">
        <v>314</v>
      </c>
      <c r="AY5" s="1240"/>
      <c r="AZ5" s="5" t="s">
        <v>125</v>
      </c>
      <c r="BA5" s="1240" t="s">
        <v>128</v>
      </c>
      <c r="BB5" s="5" t="s">
        <v>69</v>
      </c>
      <c r="BC5" s="5" t="s">
        <v>14</v>
      </c>
      <c r="BD5" s="1240" t="s">
        <v>495</v>
      </c>
      <c r="BE5" s="1240"/>
      <c r="BF5" s="1240"/>
    </row>
    <row r="6" spans="1:60" x14ac:dyDescent="0.2">
      <c r="A6" s="482"/>
      <c r="B6" s="1">
        <v>3</v>
      </c>
      <c r="C6" s="1240" t="s">
        <v>25</v>
      </c>
      <c r="D6" s="1240" t="s">
        <v>52</v>
      </c>
      <c r="E6" s="1240"/>
      <c r="F6" s="1240"/>
      <c r="G6" s="1240"/>
      <c r="H6" s="1240" t="s">
        <v>119</v>
      </c>
      <c r="I6" s="1240"/>
      <c r="J6" s="1240"/>
      <c r="K6" s="1240" t="s">
        <v>238</v>
      </c>
      <c r="L6" s="1240" t="s">
        <v>124</v>
      </c>
      <c r="M6" s="1240"/>
      <c r="N6" s="1240"/>
      <c r="O6" s="1240" t="s">
        <v>206</v>
      </c>
      <c r="P6" s="1240" t="s">
        <v>18</v>
      </c>
      <c r="Q6" s="5"/>
      <c r="R6" s="1240" t="s">
        <v>78</v>
      </c>
      <c r="S6" s="5"/>
      <c r="T6" s="1240" t="s">
        <v>244</v>
      </c>
      <c r="U6" s="1240"/>
      <c r="V6" s="1242" t="s">
        <v>139</v>
      </c>
      <c r="W6" s="1240" t="s">
        <v>23</v>
      </c>
      <c r="X6" s="1240" t="s">
        <v>20</v>
      </c>
      <c r="Y6" s="5" t="s">
        <v>26</v>
      </c>
      <c r="Z6" s="1240"/>
      <c r="AA6" s="1240"/>
      <c r="AB6" s="1240"/>
      <c r="AC6" s="5"/>
      <c r="AD6" s="5"/>
      <c r="AE6" s="5"/>
      <c r="AF6" s="1240"/>
      <c r="AG6" s="1240"/>
      <c r="AH6" s="5"/>
      <c r="AI6" s="1240"/>
      <c r="AJ6" s="5"/>
      <c r="AK6" s="1240"/>
      <c r="AL6" s="1240"/>
      <c r="AM6" s="1240" t="s">
        <v>85</v>
      </c>
      <c r="AN6" s="1240" t="s">
        <v>83</v>
      </c>
      <c r="AO6" s="5"/>
      <c r="AP6" s="5"/>
      <c r="AQ6" s="5"/>
      <c r="AR6" s="5"/>
      <c r="AS6" s="1240" t="s">
        <v>94</v>
      </c>
      <c r="AT6" s="1240"/>
      <c r="AU6" s="5"/>
      <c r="AV6" s="1240"/>
      <c r="AW6" s="1240"/>
      <c r="AX6" s="1240" t="s">
        <v>109</v>
      </c>
      <c r="AY6" s="1240"/>
      <c r="AZ6" s="5" t="s">
        <v>115</v>
      </c>
      <c r="BA6" s="1240" t="s">
        <v>129</v>
      </c>
      <c r="BB6" s="5" t="s">
        <v>96</v>
      </c>
      <c r="BC6" s="5" t="s">
        <v>105</v>
      </c>
      <c r="BD6" s="1240"/>
      <c r="BE6" s="1240"/>
      <c r="BF6" s="1240"/>
    </row>
    <row r="7" spans="1:60" x14ac:dyDescent="0.2">
      <c r="B7" s="1">
        <v>4</v>
      </c>
      <c r="C7" s="1240"/>
      <c r="D7" s="1240" t="s">
        <v>223</v>
      </c>
      <c r="E7" s="1240"/>
      <c r="F7" s="1240"/>
      <c r="G7" s="1240"/>
      <c r="H7" s="1240"/>
      <c r="I7" s="1240"/>
      <c r="J7" s="1240"/>
      <c r="K7" s="1240"/>
      <c r="L7" s="1240" t="s">
        <v>219</v>
      </c>
      <c r="M7" s="1240"/>
      <c r="N7" s="1240"/>
      <c r="O7" s="1240" t="s">
        <v>196</v>
      </c>
      <c r="P7" s="1240" t="s">
        <v>12</v>
      </c>
      <c r="Q7" s="5"/>
      <c r="R7" s="1240"/>
      <c r="S7" s="5"/>
      <c r="T7" s="1240" t="s">
        <v>79</v>
      </c>
      <c r="U7" s="1240"/>
      <c r="V7" s="1240" t="s">
        <v>13</v>
      </c>
      <c r="W7" s="1240" t="s">
        <v>34</v>
      </c>
      <c r="X7" s="1240" t="s">
        <v>46</v>
      </c>
      <c r="Y7" s="5" t="s">
        <v>22</v>
      </c>
      <c r="Z7" s="1240"/>
      <c r="AA7" s="1240"/>
      <c r="AB7" s="1240"/>
      <c r="AC7" s="5"/>
      <c r="AD7" s="5"/>
      <c r="AE7" s="5"/>
      <c r="AF7" s="5"/>
      <c r="AG7" s="1240"/>
      <c r="AH7" s="5"/>
      <c r="AI7" s="1240"/>
      <c r="AJ7" s="5"/>
      <c r="AK7" s="1240"/>
      <c r="AL7" s="1240"/>
      <c r="AM7" s="1240" t="s">
        <v>65</v>
      </c>
      <c r="AN7" s="5" t="s">
        <v>81</v>
      </c>
      <c r="AO7" s="5"/>
      <c r="AP7" s="5"/>
      <c r="AQ7" s="5"/>
      <c r="AR7" s="5"/>
      <c r="AS7" s="1240" t="s">
        <v>89</v>
      </c>
      <c r="AT7" s="1240"/>
      <c r="AU7" s="5"/>
      <c r="AV7" s="5"/>
      <c r="AW7" s="1240"/>
      <c r="AX7" s="1240" t="s">
        <v>122</v>
      </c>
      <c r="AY7" s="1240"/>
      <c r="AZ7" s="1240" t="s">
        <v>120</v>
      </c>
      <c r="BA7" s="1240" t="s">
        <v>130</v>
      </c>
      <c r="BB7" s="5" t="s">
        <v>90</v>
      </c>
      <c r="BC7" s="5" t="s">
        <v>45</v>
      </c>
      <c r="BD7" s="1240"/>
      <c r="BE7" s="1240"/>
      <c r="BF7" s="1240"/>
    </row>
    <row r="8" spans="1:60" x14ac:dyDescent="0.2">
      <c r="B8" s="1">
        <v>5</v>
      </c>
      <c r="C8" s="1240"/>
      <c r="D8" s="1240" t="s">
        <v>33</v>
      </c>
      <c r="E8" s="1240"/>
      <c r="F8" s="1240"/>
      <c r="G8" s="1240"/>
      <c r="H8" s="1240"/>
      <c r="I8" s="1240"/>
      <c r="J8" s="1240"/>
      <c r="K8" s="1240"/>
      <c r="L8" s="1240"/>
      <c r="M8" s="1240"/>
      <c r="N8" s="1240"/>
      <c r="O8" s="1240"/>
      <c r="P8" s="1240" t="s">
        <v>21</v>
      </c>
      <c r="Q8" s="5"/>
      <c r="R8" s="1240"/>
      <c r="S8" s="5"/>
      <c r="T8" s="1240"/>
      <c r="U8" s="1240"/>
      <c r="V8" s="1240" t="s">
        <v>36</v>
      </c>
      <c r="W8" s="1240" t="s">
        <v>8</v>
      </c>
      <c r="X8" s="1240" t="s">
        <v>5</v>
      </c>
      <c r="Y8" s="5"/>
      <c r="Z8" s="1240"/>
      <c r="AA8" s="1240"/>
      <c r="AB8" s="1240"/>
      <c r="AC8" s="5"/>
      <c r="AD8" s="5"/>
      <c r="AE8" s="5"/>
      <c r="AF8" s="5"/>
      <c r="AG8" s="1240"/>
      <c r="AH8" s="5"/>
      <c r="AI8" s="1240"/>
      <c r="AJ8" s="5"/>
      <c r="AK8" s="1240"/>
      <c r="AL8" s="1240"/>
      <c r="AM8" s="1240" t="s">
        <v>84</v>
      </c>
      <c r="AN8" s="5" t="s">
        <v>143</v>
      </c>
      <c r="AO8" s="5"/>
      <c r="AP8" s="5"/>
      <c r="AQ8" s="5"/>
      <c r="AR8" s="5"/>
      <c r="AS8" s="1240" t="s">
        <v>42</v>
      </c>
      <c r="AT8" s="1240"/>
      <c r="AU8" s="5"/>
      <c r="AV8" s="5"/>
      <c r="AW8" s="1240"/>
      <c r="AX8" s="1240"/>
      <c r="AY8" s="1240"/>
      <c r="AZ8" s="5"/>
      <c r="BA8" s="1240"/>
      <c r="BB8" s="5" t="s">
        <v>91</v>
      </c>
      <c r="BC8" s="5" t="s">
        <v>35</v>
      </c>
      <c r="BD8" s="1240"/>
      <c r="BE8" s="1240"/>
      <c r="BF8" s="1240"/>
    </row>
    <row r="9" spans="1:60" x14ac:dyDescent="0.2">
      <c r="A9" s="482"/>
      <c r="B9" s="1">
        <v>6</v>
      </c>
      <c r="C9" s="1240"/>
      <c r="D9" s="1240" t="s">
        <v>47</v>
      </c>
      <c r="E9" s="1240"/>
      <c r="F9" s="1240"/>
      <c r="G9" s="1240"/>
      <c r="H9" s="1240"/>
      <c r="I9" s="1240"/>
      <c r="J9" s="1240"/>
      <c r="K9" s="1240"/>
      <c r="L9" s="1240"/>
      <c r="M9" s="1240"/>
      <c r="N9" s="1240"/>
      <c r="O9" s="1240"/>
      <c r="P9" s="1240" t="s">
        <v>132</v>
      </c>
      <c r="Q9" s="5"/>
      <c r="R9" s="1240"/>
      <c r="S9" s="5"/>
      <c r="T9" s="1240"/>
      <c r="U9" s="5"/>
      <c r="V9" s="1240" t="s">
        <v>32</v>
      </c>
      <c r="W9" s="1240" t="s">
        <v>560</v>
      </c>
      <c r="X9" s="1240"/>
      <c r="Y9" s="5"/>
      <c r="Z9" s="1240"/>
      <c r="AA9" s="1240"/>
      <c r="AB9" s="1240"/>
      <c r="AC9" s="5"/>
      <c r="AD9" s="5"/>
      <c r="AE9" s="5"/>
      <c r="AF9" s="5"/>
      <c r="AG9" s="1240"/>
      <c r="AH9" s="5"/>
      <c r="AI9" s="1240"/>
      <c r="AJ9" s="5"/>
      <c r="AK9" s="1240"/>
      <c r="AL9" s="1240"/>
      <c r="AM9" s="1240"/>
      <c r="AN9" s="5" t="s">
        <v>145</v>
      </c>
      <c r="AO9" s="5"/>
      <c r="AP9" s="5"/>
      <c r="AQ9" s="5"/>
      <c r="AR9" s="5"/>
      <c r="AS9" s="1240" t="s">
        <v>92</v>
      </c>
      <c r="AT9" s="1240"/>
      <c r="AU9" s="5"/>
      <c r="AV9" s="5"/>
      <c r="AW9" s="1240"/>
      <c r="AX9" s="1240"/>
      <c r="AY9" s="1240"/>
      <c r="AZ9" s="5"/>
      <c r="BA9" s="1240"/>
      <c r="BB9" s="5" t="s">
        <v>142</v>
      </c>
      <c r="BC9" s="1240" t="s">
        <v>738</v>
      </c>
      <c r="BD9" s="1240"/>
      <c r="BE9" s="1240"/>
      <c r="BF9" s="1240"/>
    </row>
    <row r="10" spans="1:60" x14ac:dyDescent="0.2">
      <c r="A10" s="482"/>
      <c r="B10" s="1">
        <v>7</v>
      </c>
      <c r="C10" s="1240"/>
      <c r="D10" s="1240" t="s">
        <v>31</v>
      </c>
      <c r="E10" s="1240"/>
      <c r="F10" s="1240"/>
      <c r="G10" s="1240"/>
      <c r="H10" s="1240"/>
      <c r="I10" s="1240"/>
      <c r="J10" s="1240"/>
      <c r="K10" s="1240"/>
      <c r="L10" s="1240"/>
      <c r="M10" s="1240"/>
      <c r="N10" s="1240"/>
      <c r="O10" s="1240"/>
      <c r="P10" s="1240" t="s">
        <v>133</v>
      </c>
      <c r="Q10" s="5"/>
      <c r="R10" s="1240"/>
      <c r="S10" s="5"/>
      <c r="T10" s="1240"/>
      <c r="U10" s="5"/>
      <c r="V10" s="1240" t="s">
        <v>135</v>
      </c>
      <c r="W10" s="1240" t="s">
        <v>214</v>
      </c>
      <c r="X10" s="1240"/>
      <c r="Y10" s="5"/>
      <c r="Z10" s="1240"/>
      <c r="AA10" s="1240"/>
      <c r="AB10" s="1240"/>
      <c r="AC10" s="5"/>
      <c r="AD10" s="5"/>
      <c r="AE10" s="5"/>
      <c r="AF10" s="5"/>
      <c r="AG10" s="1240"/>
      <c r="AH10" s="5"/>
      <c r="AI10" s="1240"/>
      <c r="AJ10" s="5"/>
      <c r="AK10" s="1240"/>
      <c r="AL10" s="1240"/>
      <c r="AM10" s="1240"/>
      <c r="AN10" s="5"/>
      <c r="AO10" s="5"/>
      <c r="AP10" s="5"/>
      <c r="AQ10" s="5"/>
      <c r="AR10" s="5"/>
      <c r="AS10" s="1240" t="s">
        <v>41</v>
      </c>
      <c r="AT10" s="1240"/>
      <c r="AU10" s="5"/>
      <c r="AV10" s="5"/>
      <c r="AW10" s="1240"/>
      <c r="AX10" s="1240"/>
      <c r="AY10" s="1240"/>
      <c r="AZ10" s="5"/>
      <c r="BA10" s="1240"/>
      <c r="BB10" s="5" t="s">
        <v>131</v>
      </c>
      <c r="BC10" s="1240" t="s">
        <v>739</v>
      </c>
      <c r="BD10" s="1240"/>
      <c r="BE10" s="1240"/>
      <c r="BF10" s="1240"/>
    </row>
    <row r="11" spans="1:60" x14ac:dyDescent="0.2">
      <c r="B11" s="1">
        <v>8</v>
      </c>
      <c r="P11" s="1" t="s">
        <v>146</v>
      </c>
      <c r="AS11" s="1" t="s">
        <v>11</v>
      </c>
    </row>
    <row r="12" spans="1:60" x14ac:dyDescent="0.2">
      <c r="B12" s="1">
        <v>9</v>
      </c>
      <c r="P12" s="1296" t="s">
        <v>224</v>
      </c>
      <c r="AS12" s="1" t="s">
        <v>484</v>
      </c>
    </row>
    <row r="13" spans="1:60" x14ac:dyDescent="0.2">
      <c r="B13" s="1">
        <v>10</v>
      </c>
      <c r="P13" s="1296" t="s">
        <v>245</v>
      </c>
      <c r="AS13" s="1" t="s">
        <v>485</v>
      </c>
    </row>
    <row r="14" spans="1:60" x14ac:dyDescent="0.2">
      <c r="B14" s="1">
        <v>11</v>
      </c>
      <c r="P14" s="1296" t="s">
        <v>233</v>
      </c>
      <c r="AS14" s="1" t="s">
        <v>1502</v>
      </c>
    </row>
    <row r="15" spans="1:60" x14ac:dyDescent="0.2">
      <c r="B15" s="1">
        <v>12</v>
      </c>
      <c r="P15" s="1296" t="s">
        <v>37</v>
      </c>
    </row>
    <row r="16" spans="1:60" x14ac:dyDescent="0.2">
      <c r="B16" s="1">
        <v>13</v>
      </c>
      <c r="P16" s="1296" t="s">
        <v>147</v>
      </c>
    </row>
    <row r="17" spans="1:16" x14ac:dyDescent="0.2">
      <c r="B17" s="1">
        <v>14</v>
      </c>
      <c r="P17" s="1296"/>
    </row>
    <row r="18" spans="1:16" x14ac:dyDescent="0.2">
      <c r="B18" s="1">
        <v>15</v>
      </c>
      <c r="P18" s="1296"/>
    </row>
    <row r="19" spans="1:16" x14ac:dyDescent="0.2">
      <c r="B19" s="1">
        <v>16</v>
      </c>
      <c r="P19" s="1296"/>
    </row>
    <row r="20" spans="1:16" x14ac:dyDescent="0.2">
      <c r="B20" s="1">
        <v>17</v>
      </c>
      <c r="P20" s="1296"/>
    </row>
    <row r="21" spans="1:16" x14ac:dyDescent="0.2">
      <c r="B21" s="1">
        <v>18</v>
      </c>
      <c r="P21" s="1296"/>
    </row>
    <row r="22" spans="1:16" x14ac:dyDescent="0.2">
      <c r="B22" s="1">
        <v>19</v>
      </c>
      <c r="P22" s="1296"/>
    </row>
    <row r="23" spans="1:16" x14ac:dyDescent="0.2">
      <c r="B23" s="1">
        <v>20</v>
      </c>
      <c r="P23" s="1296"/>
    </row>
    <row r="24" spans="1:16" x14ac:dyDescent="0.2">
      <c r="B24" s="1">
        <v>21</v>
      </c>
      <c r="P24" s="1296"/>
    </row>
    <row r="25" spans="1:16" x14ac:dyDescent="0.2">
      <c r="B25" s="1">
        <v>22</v>
      </c>
    </row>
    <row r="26" spans="1:16" x14ac:dyDescent="0.2">
      <c r="B26" s="1">
        <v>23</v>
      </c>
      <c r="P26" s="1296"/>
    </row>
    <row r="27" spans="1:16" x14ac:dyDescent="0.2">
      <c r="B27" s="1">
        <v>24</v>
      </c>
      <c r="P27" s="1296"/>
    </row>
    <row r="28" spans="1:16" x14ac:dyDescent="0.2">
      <c r="B28" s="1">
        <v>25</v>
      </c>
      <c r="P28" s="1296"/>
    </row>
    <row r="29" spans="1:16" x14ac:dyDescent="0.2">
      <c r="B29" s="1">
        <v>26</v>
      </c>
    </row>
    <row r="30" spans="1:16" x14ac:dyDescent="0.2">
      <c r="A30" s="42"/>
      <c r="B30" s="1">
        <v>27</v>
      </c>
      <c r="I30" s="1240"/>
    </row>
    <row r="31" spans="1:16" x14ac:dyDescent="0.2">
      <c r="B31" s="1">
        <v>28</v>
      </c>
    </row>
    <row r="32" spans="1:16" x14ac:dyDescent="0.2">
      <c r="B32" s="1">
        <v>29</v>
      </c>
      <c r="P32" s="1296"/>
    </row>
    <row r="33" spans="1:240" x14ac:dyDescent="0.2">
      <c r="B33" s="1">
        <v>30</v>
      </c>
      <c r="P33" s="1296"/>
    </row>
    <row r="34" spans="1:240" x14ac:dyDescent="0.2">
      <c r="P34" s="1296"/>
    </row>
    <row r="35" spans="1:240" x14ac:dyDescent="0.2">
      <c r="A35" s="106"/>
      <c r="B35" s="106"/>
      <c r="C35" s="656" t="str">
        <f t="shared" ref="C35:BF35" si="0">+CONCATENATE(C4," ",C5," ",C6," ",C7," ",C8," ",C9," ",C10," ",C11," ",C12," ",C13," ",C14," ",C15," ",C16," ",C17," ",C18)&amp;+CONCATENATE(C19," ",C20," ",C21," ",C22," ",C23," ",C24," ",C25," ",C26," ",C27," ",C28," ",C29," ",C30," ",C31," ",C32," ",C33)</f>
        <v xml:space="preserve">פתח תקוה  אלעד כפר ברא                          </v>
      </c>
      <c r="D35" s="656" t="str">
        <f t="shared" si="0"/>
        <v xml:space="preserve">קרית שמונה מטולה  קצרין מג'דל שמס מסעדה עין קיניא בוקעאתא                      </v>
      </c>
      <c r="E35" s="656" t="str">
        <f t="shared" si="0"/>
        <v xml:space="preserve">נתניה                            </v>
      </c>
      <c r="F35" s="656" t="str">
        <f t="shared" si="0"/>
        <v xml:space="preserve">אריאל קרני שומרון                           </v>
      </c>
      <c r="G35" s="656" t="str">
        <f t="shared" si="0"/>
        <v xml:space="preserve">מודיעין-מכבים-רעות                            </v>
      </c>
      <c r="H35" s="656" t="str">
        <f t="shared" si="0"/>
        <v xml:space="preserve">ירושלים  אבו גוש מבשרת ציון                          </v>
      </c>
      <c r="I35" s="656" t="str">
        <f t="shared" si="0"/>
        <v xml:space="preserve">ראשון לציון                            </v>
      </c>
      <c r="J35" s="656" t="str">
        <f t="shared" si="0"/>
        <v xml:space="preserve">אילת                             </v>
      </c>
      <c r="K35" s="656" t="str">
        <f t="shared" si="0"/>
        <v xml:space="preserve">נצרת עילית  מגדל העמק עפולה                          </v>
      </c>
      <c r="L35" s="656" t="str">
        <f t="shared" si="0"/>
        <v xml:space="preserve">טבריה מגדל יבניאל כפר כמא                         </v>
      </c>
      <c r="M35" s="656" t="str">
        <f t="shared" si="0"/>
        <v xml:space="preserve">אשדוד                            </v>
      </c>
      <c r="N35" s="656" t="str">
        <f t="shared" si="0"/>
        <v xml:space="preserve">באר שבע אופקים                           </v>
      </c>
      <c r="O35" s="656" t="str">
        <f t="shared" si="0"/>
        <v xml:space="preserve">חולון אזור בית דגן אור יהודה                         </v>
      </c>
      <c r="P35" s="656" t="str">
        <f t="shared" si="0"/>
        <v xml:space="preserve">צפת חצור הגלילית טובא-זנגרייה גוש חלב יסוד המעלה פקיעין חורפיש פסוטה מגאר ראמה סאג'ור עילבון בית ג'אן                </v>
      </c>
      <c r="Q35" s="656" t="str">
        <f t="shared" si="0"/>
        <v xml:space="preserve">בני ברק                            </v>
      </c>
      <c r="R35" s="656" t="str">
        <f t="shared" si="0"/>
        <v xml:space="preserve">נס ציונה קריית עקרון מזכרת בתיה                          </v>
      </c>
      <c r="S35" s="656" t="str">
        <f t="shared" si="0"/>
        <v xml:space="preserve">לוד                            </v>
      </c>
      <c r="T35" s="656" t="str">
        <f t="shared" si="0"/>
        <v xml:space="preserve">רמלה גדרה קריית מלאכי בני עייש                         </v>
      </c>
      <c r="U35" s="656" t="str">
        <f t="shared" si="0"/>
        <v xml:space="preserve">חדרה                            </v>
      </c>
      <c r="V35" s="656" t="str">
        <f t="shared" si="0"/>
        <v xml:space="preserve">כפר כנא טורעאן בועיינה-נוג'ידאת דבורייה עין מאהל משהד שיבלי                      </v>
      </c>
      <c r="W35" s="656" t="str">
        <f t="shared" si="0"/>
        <v xml:space="preserve">אום אל-פחם ערערה כפר קרע מעלה עירון בסמ"ה באקה ג'את זמר                      </v>
      </c>
      <c r="X35" s="656" t="str">
        <f t="shared" si="0"/>
        <v xml:space="preserve">נצרת ריינה יפיע עילוט אכסאל                        </v>
      </c>
      <c r="Y35" s="656" t="str">
        <f t="shared" si="0"/>
        <v xml:space="preserve">מעלות-תרשיחא שלומי כפר ורדים כסרא-סמיע                         </v>
      </c>
      <c r="Z35" s="656" t="str">
        <f t="shared" si="0"/>
        <v xml:space="preserve">קריית אתא 1                           </v>
      </c>
      <c r="AA35" s="656" t="str">
        <f t="shared" si="0"/>
        <v xml:space="preserve">רעננה                            </v>
      </c>
      <c r="AB35" s="656" t="str">
        <f t="shared" si="0"/>
        <v xml:space="preserve">קריית גת                            </v>
      </c>
      <c r="AC35" s="656" t="str">
        <f t="shared" si="0"/>
        <v xml:space="preserve">הרצליה                            </v>
      </c>
      <c r="AD35" s="656" t="str">
        <f t="shared" si="0"/>
        <v xml:space="preserve">רמת השרון                            </v>
      </c>
      <c r="AE35" s="656" t="str">
        <f t="shared" si="0"/>
        <v xml:space="preserve">חיפה                            </v>
      </c>
      <c r="AF35" s="656" t="str">
        <f t="shared" si="0"/>
        <v xml:space="preserve">יבנה גן יבנה                           </v>
      </c>
      <c r="AG35" s="656" t="str">
        <f t="shared" si="0"/>
        <v xml:space="preserve">כרמיאל                            </v>
      </c>
      <c r="AH35" s="656" t="str">
        <f t="shared" si="0"/>
        <v xml:space="preserve">רהט                            </v>
      </c>
      <c r="AI35" s="656" t="str">
        <f t="shared" si="0"/>
        <v xml:space="preserve">ראש העין                            </v>
      </c>
      <c r="AJ35" s="656" t="str">
        <f t="shared" si="0"/>
        <v xml:space="preserve">קריית מוצקין רכסים                           </v>
      </c>
      <c r="AK35" s="656" t="str">
        <f t="shared" si="0"/>
        <v xml:space="preserve">קריית ביאליק                            </v>
      </c>
      <c r="AL35" s="656" t="str">
        <f t="shared" si="0"/>
        <v xml:space="preserve">תל אביב-יפו                            </v>
      </c>
      <c r="AM35" s="656" t="str">
        <f t="shared" si="0"/>
        <v xml:space="preserve">אבן יהודה כפר יונה פרדסיה קדימה צורן תל מונד                        </v>
      </c>
      <c r="AN35" s="656" t="str">
        <f t="shared" si="0"/>
        <v xml:space="preserve">תל שבע כסיפה ערערה בנגב לקיה חורה שגב שלום                       </v>
      </c>
      <c r="AO35" s="656" t="str">
        <f t="shared" si="0"/>
        <v xml:space="preserve">רמת גן                            </v>
      </c>
      <c r="AP35" s="656" t="str">
        <f t="shared" si="0"/>
        <v xml:space="preserve">גבעתיים                             </v>
      </c>
      <c r="AQ35" s="656" t="str">
        <f t="shared" si="0"/>
        <v xml:space="preserve">בת ים                             </v>
      </c>
      <c r="AR35" s="656" t="str">
        <f t="shared" si="0"/>
        <v xml:space="preserve">קרית אונו  יהוד מונוסון                           </v>
      </c>
      <c r="AS35" s="656" t="str">
        <f t="shared" si="0"/>
        <v xml:space="preserve">שפרעם  כפר מנדא  זרזיר כאבול  טמרה בסמת טבעון  שעב  אעבלין   כאוכב ביר אל מכסור כעביה                  </v>
      </c>
      <c r="AT35" s="656" t="str">
        <f t="shared" si="0"/>
        <v xml:space="preserve">בית שמש                            </v>
      </c>
      <c r="AU35" s="656" t="str">
        <f t="shared" si="0"/>
        <v xml:space="preserve">הוד השרון                            </v>
      </c>
      <c r="AV35" s="656" t="str">
        <f t="shared" si="0"/>
        <v xml:space="preserve">אשקלון  נתיבות                           </v>
      </c>
      <c r="AW35" s="656" t="str">
        <f t="shared" si="0"/>
        <v xml:space="preserve">עכו                            </v>
      </c>
      <c r="AX35" s="656" t="str">
        <f t="shared" si="0"/>
        <v xml:space="preserve"> ג'לג'וליה  כפר קאסם טירה                         </v>
      </c>
      <c r="AY35" s="656" t="str">
        <f t="shared" si="0"/>
        <v xml:space="preserve">קריית ים                            </v>
      </c>
      <c r="AZ35" s="656" t="str">
        <f t="shared" si="0"/>
        <v xml:space="preserve">קריית טבעון יקנעם עילית רמת ישי זכרון יעקב                         </v>
      </c>
      <c r="BA35" s="656" t="str">
        <f t="shared" si="0"/>
        <v xml:space="preserve">דימונה ערד ירוחם מצפה רמון                         </v>
      </c>
      <c r="BB35" s="656" t="str">
        <f t="shared" si="0"/>
        <v xml:space="preserve">אבו סנאן ג'דידה אלמכר ג'וליס  כפר יאסיף ירכא מזרעה יאנוח ג'ת                      </v>
      </c>
      <c r="BC35" s="656" t="str">
        <f t="shared" si="0"/>
        <v xml:space="preserve">דיר אלאסד דיר חנא נחף עראבה סכנין בענה מג'דל כרום                      </v>
      </c>
      <c r="BD35" s="656" t="str">
        <f t="shared" si="0"/>
        <v xml:space="preserve">כפר סבא צור יגאל                           </v>
      </c>
      <c r="BE35" s="656" t="str">
        <f t="shared" si="0"/>
        <v xml:space="preserve">גני תקווה                            </v>
      </c>
      <c r="BF35" s="656" t="str">
        <f t="shared" si="0"/>
        <v xml:space="preserve">רחובות                            </v>
      </c>
      <c r="BG35" s="106"/>
      <c r="BH35" s="106"/>
      <c r="BI35" s="106"/>
      <c r="BJ35" s="106"/>
      <c r="BK35" s="106"/>
      <c r="BL35" s="106"/>
      <c r="BM35" s="106"/>
      <c r="BN35" s="106"/>
      <c r="BO35" s="106"/>
      <c r="BP35" s="106"/>
      <c r="BQ35" s="106"/>
      <c r="BR35" s="106"/>
      <c r="BS35" s="106"/>
      <c r="BT35" s="106"/>
      <c r="BU35" s="106"/>
      <c r="BV35" s="106"/>
      <c r="BW35" s="106"/>
      <c r="BX35" s="106"/>
      <c r="BY35" s="106"/>
      <c r="BZ35" s="106"/>
      <c r="CA35" s="106"/>
      <c r="CB35" s="106"/>
      <c r="CC35" s="106"/>
      <c r="CD35" s="106"/>
      <c r="CE35" s="106"/>
      <c r="CF35" s="106"/>
      <c r="CG35" s="106"/>
      <c r="CH35" s="106"/>
      <c r="CI35" s="106"/>
      <c r="CJ35" s="106"/>
      <c r="CK35" s="106"/>
      <c r="CL35" s="106"/>
      <c r="CM35" s="106"/>
      <c r="CN35" s="106"/>
      <c r="CO35" s="106"/>
      <c r="CP35" s="106"/>
      <c r="CQ35" s="106"/>
      <c r="CR35" s="106"/>
      <c r="CS35" s="106"/>
      <c r="CT35" s="106"/>
      <c r="CU35" s="106"/>
      <c r="CV35" s="106"/>
      <c r="CW35" s="106"/>
      <c r="CX35" s="106"/>
      <c r="CY35" s="106"/>
      <c r="CZ35" s="106"/>
      <c r="DA35" s="106"/>
      <c r="DB35" s="106"/>
      <c r="DC35" s="106"/>
      <c r="DD35" s="106"/>
      <c r="DE35" s="106"/>
      <c r="DF35" s="106"/>
      <c r="DG35" s="106"/>
      <c r="DH35" s="106"/>
      <c r="DI35" s="106"/>
      <c r="DJ35" s="106"/>
      <c r="DK35" s="106"/>
      <c r="DL35" s="106"/>
      <c r="DM35" s="106"/>
      <c r="DN35" s="106"/>
      <c r="DO35" s="106"/>
      <c r="DP35" s="106"/>
      <c r="DQ35" s="106"/>
      <c r="DR35" s="106"/>
      <c r="DS35" s="106"/>
      <c r="DT35" s="106"/>
      <c r="DU35" s="106"/>
      <c r="DV35" s="106"/>
      <c r="DW35" s="106"/>
      <c r="DX35" s="106"/>
      <c r="DY35" s="106"/>
      <c r="DZ35" s="106"/>
      <c r="EA35" s="106"/>
      <c r="EB35" s="106"/>
      <c r="EC35" s="106"/>
      <c r="ED35" s="106"/>
      <c r="EE35" s="106"/>
      <c r="EF35" s="106"/>
      <c r="EG35" s="106"/>
      <c r="EH35" s="106"/>
      <c r="EI35" s="106"/>
      <c r="EJ35" s="106"/>
      <c r="EK35" s="106"/>
      <c r="EL35" s="106"/>
      <c r="EM35" s="106"/>
      <c r="EN35" s="106"/>
      <c r="EO35" s="106"/>
      <c r="EP35" s="106"/>
      <c r="EQ35" s="106"/>
      <c r="ER35" s="106"/>
      <c r="ES35" s="106"/>
      <c r="ET35" s="106"/>
      <c r="EU35" s="106"/>
      <c r="EV35" s="106"/>
      <c r="EW35" s="106"/>
      <c r="EX35" s="106"/>
      <c r="EY35" s="106"/>
      <c r="EZ35" s="106"/>
      <c r="FA35" s="106"/>
      <c r="FB35" s="106"/>
      <c r="FC35" s="106"/>
      <c r="FD35" s="106"/>
      <c r="FE35" s="106"/>
      <c r="FF35" s="106"/>
      <c r="FG35" s="106"/>
      <c r="FH35" s="106"/>
      <c r="FI35" s="106"/>
      <c r="FJ35" s="106"/>
      <c r="FK35" s="106"/>
      <c r="FL35" s="106"/>
      <c r="FM35" s="106"/>
      <c r="FN35" s="106"/>
      <c r="FO35" s="106"/>
      <c r="FP35" s="106"/>
      <c r="FQ35" s="106"/>
      <c r="FR35" s="106"/>
      <c r="FS35" s="106"/>
      <c r="FT35" s="106"/>
      <c r="FU35" s="106"/>
      <c r="FV35" s="106"/>
      <c r="FW35" s="106"/>
      <c r="FX35" s="106"/>
      <c r="FY35" s="106"/>
      <c r="FZ35" s="106"/>
      <c r="GA35" s="106"/>
      <c r="GB35" s="106"/>
      <c r="GC35" s="106"/>
      <c r="GD35" s="106"/>
      <c r="GE35" s="106"/>
      <c r="GF35" s="106"/>
      <c r="GG35" s="106" t="e">
        <f>+#REF!/(1-GG9)</f>
        <v>#REF!</v>
      </c>
      <c r="GH35" s="106" t="e">
        <f>+#REF!/(1-GH9)</f>
        <v>#REF!</v>
      </c>
      <c r="GI35" s="106" t="e">
        <f>+#REF!/(1-GI9)</f>
        <v>#REF!</v>
      </c>
      <c r="GJ35" s="106" t="e">
        <f>+#REF!/(1-GJ9)</f>
        <v>#REF!</v>
      </c>
      <c r="GK35" s="106" t="e">
        <f>+#REF!/(1-GK9)</f>
        <v>#REF!</v>
      </c>
      <c r="GL35" s="106" t="e">
        <f>+#REF!/(1-GL9)</f>
        <v>#REF!</v>
      </c>
      <c r="GM35" s="106" t="e">
        <f>+#REF!/(1-GM9)</f>
        <v>#REF!</v>
      </c>
      <c r="GN35" s="106" t="e">
        <f>+#REF!/(1-GN9)</f>
        <v>#REF!</v>
      </c>
      <c r="GO35" s="106" t="e">
        <f>+#REF!/(1-GO9)</f>
        <v>#REF!</v>
      </c>
      <c r="GP35" s="106" t="e">
        <f>+#REF!/(1-GP9)</f>
        <v>#REF!</v>
      </c>
      <c r="GQ35" s="106" t="e">
        <f>+#REF!/(1-GQ9)</f>
        <v>#REF!</v>
      </c>
      <c r="GR35" s="106" t="e">
        <f>+#REF!/(1-GR9)</f>
        <v>#REF!</v>
      </c>
      <c r="GS35" s="106" t="e">
        <f>+#REF!/(1-GS9)</f>
        <v>#REF!</v>
      </c>
      <c r="GT35" s="106" t="e">
        <f>+#REF!/(1-GT9)</f>
        <v>#REF!</v>
      </c>
      <c r="GU35" s="106" t="e">
        <f>+#REF!/(1-GU9)</f>
        <v>#REF!</v>
      </c>
      <c r="GV35" s="106" t="e">
        <f>+#REF!/(1-GV9)</f>
        <v>#REF!</v>
      </c>
      <c r="GW35" s="106" t="e">
        <f>+#REF!/(1-GW9)</f>
        <v>#REF!</v>
      </c>
      <c r="GX35" s="106" t="e">
        <f>+#REF!/(1-GX9)</f>
        <v>#REF!</v>
      </c>
      <c r="GY35" s="106" t="e">
        <f>+#REF!/(1-GY9)</f>
        <v>#REF!</v>
      </c>
      <c r="GZ35" s="106" t="e">
        <f>+#REF!/(1-GZ9)</f>
        <v>#REF!</v>
      </c>
      <c r="HA35" s="106" t="e">
        <f>+#REF!/(1-HA9)</f>
        <v>#REF!</v>
      </c>
      <c r="HB35" s="106" t="e">
        <f>+#REF!/(1-HB9)</f>
        <v>#REF!</v>
      </c>
      <c r="HC35" s="106" t="e">
        <f>+#REF!/(1-HC9)</f>
        <v>#REF!</v>
      </c>
      <c r="HD35" s="106" t="e">
        <f>+#REF!/(1-HD9)</f>
        <v>#REF!</v>
      </c>
      <c r="HE35" s="106" t="e">
        <f>+#REF!/(1-HE9)</f>
        <v>#REF!</v>
      </c>
      <c r="HF35" s="106" t="e">
        <f>+#REF!/(1-HF9)</f>
        <v>#REF!</v>
      </c>
      <c r="HG35" s="106" t="e">
        <f>+#REF!/(1-HG9)</f>
        <v>#REF!</v>
      </c>
      <c r="HH35" s="106" t="e">
        <f>+#REF!/(1-HH9)</f>
        <v>#REF!</v>
      </c>
      <c r="HI35" s="106" t="e">
        <f>+#REF!/(1-HI9)</f>
        <v>#REF!</v>
      </c>
      <c r="HJ35" s="106" t="e">
        <f>+#REF!/(1-HJ9)</f>
        <v>#REF!</v>
      </c>
      <c r="HK35" s="106" t="e">
        <f>+#REF!/(1-HK9)</f>
        <v>#REF!</v>
      </c>
      <c r="HL35" s="106" t="e">
        <f>+#REF!/(1-HL9)</f>
        <v>#REF!</v>
      </c>
      <c r="HM35" s="106" t="e">
        <f>+#REF!/(1-HM9)</f>
        <v>#REF!</v>
      </c>
      <c r="HN35" s="106" t="e">
        <f>+#REF!/(1-HN9)</f>
        <v>#REF!</v>
      </c>
      <c r="HO35" s="106" t="e">
        <f>+#REF!/(1-HO9)</f>
        <v>#REF!</v>
      </c>
      <c r="HP35" s="106" t="e">
        <f>+#REF!/(1-HP9)</f>
        <v>#REF!</v>
      </c>
      <c r="HQ35" s="106" t="e">
        <f>+#REF!/(1-HQ9)</f>
        <v>#REF!</v>
      </c>
      <c r="HR35" s="106" t="e">
        <f>+#REF!/(1-HR9)</f>
        <v>#REF!</v>
      </c>
      <c r="HS35" s="106" t="e">
        <f>+#REF!/(1-HS9)</f>
        <v>#REF!</v>
      </c>
      <c r="HT35" s="106" t="e">
        <f>+#REF!/(1-HT9)</f>
        <v>#REF!</v>
      </c>
      <c r="HU35" s="106" t="e">
        <f>+#REF!/(1-HU9)</f>
        <v>#REF!</v>
      </c>
      <c r="HV35" s="106" t="e">
        <f>+#REF!/(1-HV9)</f>
        <v>#REF!</v>
      </c>
      <c r="HW35" s="106" t="e">
        <f>+#REF!/(1-HW9)</f>
        <v>#REF!</v>
      </c>
      <c r="HX35" s="106" t="e">
        <f>+#REF!/(1-HX9)</f>
        <v>#REF!</v>
      </c>
      <c r="HY35" s="106" t="e">
        <f>+#REF!/(1-HY9)</f>
        <v>#REF!</v>
      </c>
      <c r="HZ35" s="106" t="e">
        <f>+#REF!/(1-HZ9)</f>
        <v>#REF!</v>
      </c>
      <c r="IA35" s="106" t="e">
        <f>+#REF!/(1-IA9)</f>
        <v>#REF!</v>
      </c>
      <c r="IB35" s="106" t="e">
        <f>+#REF!/(1-IB9)</f>
        <v>#REF!</v>
      </c>
      <c r="IC35" s="106" t="e">
        <f>+#REF!/(1-IC9)</f>
        <v>#REF!</v>
      </c>
      <c r="ID35" s="106" t="e">
        <f>+#REF!/(1-ID9)</f>
        <v>#REF!</v>
      </c>
      <c r="IE35" s="106" t="e">
        <f>+#REF!/(1-IE9)</f>
        <v>#REF!</v>
      </c>
      <c r="IF35" s="106" t="e">
        <f>+#REF!/(1-IF9)</f>
        <v>#REF!</v>
      </c>
    </row>
    <row r="36" spans="1:240" x14ac:dyDescent="0.2">
      <c r="C36" s="1240"/>
      <c r="D36" s="1240"/>
      <c r="E36" s="1240"/>
      <c r="F36" s="1240"/>
      <c r="G36" s="1240"/>
      <c r="H36" s="1240"/>
      <c r="I36" s="1240"/>
      <c r="J36" s="1240"/>
      <c r="K36" s="1240"/>
      <c r="L36" s="1240"/>
      <c r="M36" s="1240"/>
      <c r="N36" s="1240"/>
      <c r="O36" s="1240"/>
      <c r="P36" s="1240"/>
      <c r="Q36" s="5"/>
      <c r="R36" s="1240"/>
      <c r="S36" s="5"/>
      <c r="T36" s="1240"/>
      <c r="U36" s="5"/>
      <c r="V36" s="1240"/>
      <c r="W36" s="1240"/>
      <c r="X36" s="1240"/>
      <c r="Y36" s="5"/>
      <c r="Z36" s="1240"/>
      <c r="AA36" s="1240"/>
      <c r="AB36" s="1240"/>
      <c r="AC36" s="5"/>
      <c r="AD36" s="5"/>
      <c r="AE36" s="5"/>
      <c r="AF36" s="5"/>
      <c r="AG36" s="1240"/>
      <c r="AH36" s="5"/>
      <c r="AI36" s="1240"/>
      <c r="AJ36" s="5"/>
      <c r="AK36" s="1240"/>
      <c r="AL36" s="1240"/>
      <c r="AM36" s="1240"/>
      <c r="AN36" s="5"/>
      <c r="AO36" s="5"/>
      <c r="AP36" s="5"/>
      <c r="AQ36" s="5"/>
      <c r="AR36" s="5"/>
      <c r="AS36" s="1240"/>
      <c r="AT36" s="1240"/>
      <c r="AU36" s="5"/>
      <c r="AV36" s="5"/>
      <c r="AW36" s="1240"/>
      <c r="AX36" s="1240"/>
      <c r="AY36" s="1240"/>
      <c r="AZ36" s="5"/>
      <c r="BA36" s="1240"/>
      <c r="BB36" s="5"/>
      <c r="BC36" s="5"/>
      <c r="BD36" s="1240"/>
      <c r="BE36" s="1240"/>
      <c r="BF36" s="1240"/>
    </row>
    <row r="39" spans="1:240" x14ac:dyDescent="0.2">
      <c r="A39" s="1228" t="s">
        <v>153</v>
      </c>
      <c r="B39" s="1">
        <v>1</v>
      </c>
      <c r="C39" s="1240">
        <f>+IFERROR(HLOOKUP(C4,'סקרי נכסים-יתרות פתיחה'!$2:$110,5,0),0)-IFERROR(HLOOKUP(C4,'סקרי נכסים-יתרות פתיחה'!$2:$110,90,0),0)*(1-C$309)</f>
        <v>230335469.7142857</v>
      </c>
      <c r="D39" s="1240">
        <f>+IFERROR(HLOOKUP(D4,'סקרי נכסים-יתרות פתיחה'!$2:$110,5,0),0)-IFERROR(HLOOKUP(D4,'סקרי נכסים-יתרות פתיחה'!$2:$110,90,0),0)*(1-D$309)</f>
        <v>21684000</v>
      </c>
      <c r="E39" s="1240">
        <f>+IFERROR(HLOOKUP(E4,'סקרי נכסים-יתרות פתיחה'!$2:$110,5,0),0)-IFERROR(HLOOKUP(E4,'סקרי נכסים-יתרות פתיחה'!$2:$110,90,0),0)*(1-E$309)</f>
        <v>192664846.62857142</v>
      </c>
      <c r="F39" s="1240">
        <f>+IFERROR(HLOOKUP(F4,'סקרי נכסים-יתרות פתיחה'!$2:$110,5,0),0)-IFERROR(HLOOKUP(F4,'סקרי נכסים-יתרות פתיחה'!$2:$110,90,0),0)*(1-F$309)</f>
        <v>23141868.800000001</v>
      </c>
      <c r="G39" s="1240">
        <f>+IFERROR(HLOOKUP(G4,'סקרי נכסים-יתרות פתיחה'!$2:$110,5,0),0)-IFERROR(HLOOKUP(G4,'סקרי נכסים-יתרות פתיחה'!$2:$110,90,0),0)*(1-G$309)</f>
        <v>93607232.914285719</v>
      </c>
      <c r="H39" s="1240">
        <f>+IFERROR(HLOOKUP(H4,'סקרי נכסים-יתרות פתיחה'!$2:$110,5,0),0)-IFERROR(HLOOKUP(H4,'סקרי נכסים-יתרות פתיחה'!$2:$110,90,0),0)*(1-H$309)</f>
        <v>784763954.28571427</v>
      </c>
      <c r="I39" s="1240">
        <f>+IFERROR(HLOOKUP(I4,'סקרי נכסים-יתרות פתיחה'!$2:$110,5,0),0)-IFERROR(HLOOKUP(I4,'סקרי נכסים-יתרות פתיחה'!$2:$110,90,0),0)*(1-I$309)</f>
        <v>248633568</v>
      </c>
      <c r="J39" s="1240">
        <f>+IFERROR(HLOOKUP(J4,'סקרי נכסים-יתרות פתיחה'!$2:$110,5,0),0)-IFERROR(HLOOKUP(J4,'סקרי נכסים-יתרות פתיחה'!$2:$110,90,0),0)*(1-J$309)</f>
        <v>65007634.285714284</v>
      </c>
      <c r="K39" s="1240">
        <f>+IFERROR(HLOOKUP(K4,'סקרי נכסים-יתרות פתיחה'!$2:$110,5,0),0)-IFERROR(HLOOKUP(K4,'סקרי נכסים-יתרות פתיחה'!$2:$110,90,0),0)*(1-K$309)</f>
        <v>32902486.857142858</v>
      </c>
      <c r="L39" s="1240">
        <f>+IFERROR(HLOOKUP(L4,'סקרי נכסים-יתרות פתיחה'!$2:$110,5,0),0)-IFERROR(HLOOKUP(L4,'סקרי נכסים-יתרות פתיחה'!$2:$110,90,0),0)*(1-L$309)</f>
        <v>74997257.142857149</v>
      </c>
      <c r="M39" s="1240">
        <f>+IFERROR(HLOOKUP(M4,'סקרי נכסים-יתרות פתיחה'!$2:$110,5,0),0)-IFERROR(HLOOKUP(M4,'סקרי נכסים-יתרות פתיחה'!$2:$110,90,0),0)*(1-M$309)</f>
        <v>125527771.42857143</v>
      </c>
      <c r="N39" s="1240">
        <f>+IFERROR(HLOOKUP(N4,'סקרי נכסים-יתרות פתיחה'!$2:$110,5,0),0)-IFERROR(HLOOKUP(N4,'סקרי נכסים-יתרות פתיחה'!$2:$110,90,0),0)*(1-N$309)</f>
        <v>198192503.77142859</v>
      </c>
      <c r="O39" s="1240">
        <f>+IFERROR(HLOOKUP(O4,'סקרי נכסים-יתרות פתיחה'!$2:$110,5,0),0)-IFERROR(HLOOKUP(O4,'סקרי נכסים-יתרות פתיחה'!$2:$110,90,0),0)*(1-O$309)</f>
        <v>113572052.11428571</v>
      </c>
      <c r="P39" s="1240">
        <f>+IFERROR(HLOOKUP(P4,'סקרי נכסים-יתרות פתיחה'!$2:$110,5,0),0)-IFERROR(HLOOKUP(P4,'סקרי נכסים-יתרות פתיחה'!$2:$110,90,0),0)*(1-P$309)</f>
        <v>33100470</v>
      </c>
      <c r="Q39" s="1240">
        <f>+IFERROR(HLOOKUP(Q4,'סקרי נכסים-יתרות פתיחה'!$2:$110,5,0),0)-IFERROR(HLOOKUP(Q4,'סקרי נכסים-יתרות פתיחה'!$2:$110,90,0),0)*(1-Q$309)</f>
        <v>62864309.028571427</v>
      </c>
      <c r="R39" s="1240">
        <f>+IFERROR(HLOOKUP(R4,'סקרי נכסים-יתרות פתיחה'!$2:$110,5,0),0)-IFERROR(HLOOKUP(R4,'סקרי נכסים-יתרות פתיחה'!$2:$110,90,0),0)*(1-R$309)</f>
        <v>40987203.657142855</v>
      </c>
      <c r="S39" s="1240">
        <f>+IFERROR(HLOOKUP(S4,'סקרי נכסים-יתרות פתיחה'!$2:$110,5,0),0)-IFERROR(HLOOKUP(S4,'סקרי נכסים-יתרות פתיחה'!$2:$110,90,0),0)*(1-S$309)</f>
        <v>34016833</v>
      </c>
      <c r="T39" s="1240">
        <f>+IFERROR(HLOOKUP(T4,'סקרי נכסים-יתרות פתיחה'!$2:$110,5,0),0)-IFERROR(HLOOKUP(T4,'סקרי נכסים-יתרות פתיחה'!$2:$110,90,0),0)*(1-T$309)</f>
        <v>36034228</v>
      </c>
      <c r="U39" s="1240">
        <f>+IFERROR(HLOOKUP(U4,'סקרי נכסים-יתרות פתיחה'!$2:$110,5,0),0)-IFERROR(HLOOKUP(U4,'סקרי נכסים-יתרות פתיחה'!$2:$110,90,0),0)*(1-U$309)</f>
        <v>79738512.45714286</v>
      </c>
      <c r="V39" s="1240">
        <f>+IFERROR(HLOOKUP(V4,'סקרי נכסים-יתרות פתיחה'!$2:$110,5,0),0)-IFERROR(HLOOKUP(V4,'סקרי נכסים-יתרות פתיחה'!$2:$110,90,0),0)*(1-V$309)</f>
        <v>16450439</v>
      </c>
      <c r="W39" s="1240">
        <f>+IFERROR(HLOOKUP(W4,'סקרי נכסים-יתרות פתיחה'!$2:$110,5,0),0)-IFERROR(HLOOKUP(W4,'סקרי נכסים-יתרות פתיחה'!$2:$110,90,0),0)*(1-W$309)</f>
        <v>36140450</v>
      </c>
      <c r="X39" s="1240">
        <f>+IFERROR(HLOOKUP(X4,'סקרי נכסים-יתרות פתיחה'!$2:$110,5,0),0)-IFERROR(HLOOKUP(X4,'סקרי נכסים-יתרות פתיחה'!$2:$110,90,0),0)*(1-X$309)</f>
        <v>51532750</v>
      </c>
      <c r="Y39" s="1240">
        <f>+IFERROR(HLOOKUP(Y4,'סקרי נכסים-יתרות פתיחה'!$2:$110,5,0),0)-IFERROR(HLOOKUP(Y4,'סקרי נכסים-יתרות פתיחה'!$2:$110,90,0),0)*(1-Y$309)</f>
        <v>27908854.857142858</v>
      </c>
      <c r="Z39" s="1240">
        <f>+IFERROR(HLOOKUP(Z4,'סקרי נכסים-יתרות פתיחה'!$2:$110,5,0),0)-IFERROR(HLOOKUP(Z4,'סקרי נכסים-יתרות פתיחה'!$2:$110,90,0),0)*(1-Z$309)</f>
        <v>48717565.257142857</v>
      </c>
      <c r="AA39" s="1240">
        <f>+IFERROR(HLOOKUP(AA4,'סקרי נכסים-יתרות פתיחה'!$2:$110,5,0),0)-IFERROR(HLOOKUP(AA4,'סקרי נכסים-יתרות פתיחה'!$2:$110,90,0),0)*(1-AA$309)</f>
        <v>101302524.51904762</v>
      </c>
      <c r="AB39" s="1240">
        <f>+IFERROR(HLOOKUP(AB4,'סקרי נכסים-יתרות פתיחה'!$2:$110,5,0),0)-IFERROR(HLOOKUP(AB4,'סקרי נכסים-יתרות פתיחה'!$2:$110,90,0),0)*(1-AB$309)</f>
        <v>44357952</v>
      </c>
      <c r="AC39" s="1240">
        <f>+IFERROR(HLOOKUP(AC4,'סקרי נכסים-יתרות פתיחה'!$2:$110,5,0),0)-IFERROR(HLOOKUP(AC4,'סקרי נכסים-יתרות פתיחה'!$2:$110,90,0),0)*(1-AC$309)</f>
        <v>110249511.14285715</v>
      </c>
      <c r="AD39" s="1240">
        <f>+IFERROR(HLOOKUP(AD4,'סקרי נכסים-יתרות פתיחה'!$2:$110,5,0),0)-IFERROR(HLOOKUP(AD4,'סקרי נכסים-יתרות פתיחה'!$2:$110,90,0),0)*(1-AD$309)</f>
        <v>45659541.942857146</v>
      </c>
      <c r="AE39" s="1240">
        <f>+IFERROR(HLOOKUP(AE4,'סקרי נכסים-יתרות פתיחה'!$2:$110,5,0),0)-IFERROR(HLOOKUP(AE4,'סקרי נכסים-יתרות פתיחה'!$2:$110,90,0),0)*(1-AE$309)</f>
        <v>368747519.5714286</v>
      </c>
      <c r="AF39" s="1240">
        <f>+IFERROR(HLOOKUP(AF4,'סקרי נכסים-יתרות פתיחה'!$2:$110,5,0),0)-IFERROR(HLOOKUP(AF4,'סקרי נכסים-יתרות פתיחה'!$2:$110,90,0),0)*(1-AF$309)</f>
        <v>28101643.885714285</v>
      </c>
      <c r="AG39" s="1240">
        <f>+IFERROR(HLOOKUP(AG4,'סקרי נכסים-יתרות פתיחה'!$2:$110,5,0),0)-IFERROR(HLOOKUP(AG4,'סקרי נכסים-יתרות פתיחה'!$2:$110,90,0),0)*(1-AG$309)</f>
        <v>48691724.590476193</v>
      </c>
      <c r="AH39" s="1240">
        <f>+IFERROR(HLOOKUP(AH4,'סקרי נכסים-יתרות פתיחה'!$2:$110,5,0),0)-IFERROR(HLOOKUP(AH4,'סקרי נכסים-יתרות פתיחה'!$2:$110,90,0),0)*(1-AH$309)</f>
        <v>50695900</v>
      </c>
      <c r="AI39" s="1240">
        <f>+IFERROR(HLOOKUP(AI4,'סקרי נכסים-יתרות פתיחה'!$2:$110,5,0),0)-IFERROR(HLOOKUP(AI4,'סקרי נכסים-יתרות פתיחה'!$2:$110,90,0),0)*(1-AI$309)</f>
        <v>42010322.285714284</v>
      </c>
      <c r="AJ39" s="1240">
        <f>+IFERROR(HLOOKUP(AJ4,'סקרי נכסים-יתרות פתיחה'!$2:$110,5,0),0)-IFERROR(HLOOKUP(AJ4,'סקרי נכסים-יתרות פתיחה'!$2:$110,90,0),0)*(1-AJ$309)</f>
        <v>22348039.314285714</v>
      </c>
      <c r="AK39" s="1240">
        <f>+IFERROR(HLOOKUP(AK4,'סקרי נכסים-יתרות פתיחה'!$2:$110,5,0),0)-IFERROR(HLOOKUP(AK4,'סקרי נכסים-יתרות פתיחה'!$2:$110,90,0),0)*(1-AK$309)</f>
        <v>26073448.971428573</v>
      </c>
      <c r="AL39" s="1240">
        <f>+IFERROR(HLOOKUP(AL4,'סקרי נכסים-יתרות פתיחה'!$2:$110,5,0),0)-IFERROR(HLOOKUP(AL4,'סקרי נכסים-יתרות פתיחה'!$2:$110,90,0),0)*(1-AL$309)</f>
        <v>559535020.24761903</v>
      </c>
      <c r="AM39" s="1240">
        <f>+IFERROR(HLOOKUP(AM4,'סקרי נכסים-יתרות פתיחה'!$2:$110,5,0),0)-IFERROR(HLOOKUP(AM4,'סקרי נכסים-יתרות פתיחה'!$2:$110,90,0),0)*(1-AM$309)</f>
        <v>17757725.671428572</v>
      </c>
      <c r="AN39" s="1240">
        <f>+IFERROR(HLOOKUP(AN4,'סקרי נכסים-יתרות פתיחה'!$2:$110,5,0),0)-IFERROR(HLOOKUP(AN4,'סקרי נכסים-יתרות פתיחה'!$2:$110,90,0),0)*(1-AN$309)</f>
        <v>15344191</v>
      </c>
      <c r="AO39" s="1240">
        <f>+IFERROR(HLOOKUP(AO4,'סקרי נכסים-יתרות פתיחה'!$2:$110,5,0),0)-IFERROR(HLOOKUP(AO4,'סקרי נכסים-יתרות פתיחה'!$2:$110,90,0),0)*(1-AO$309)</f>
        <v>144338122.97142857</v>
      </c>
      <c r="AP39" s="1240">
        <f>+IFERROR(HLOOKUP(AP4,'סקרי נכסים-יתרות פתיחה'!$2:$110,5,0),0)-IFERROR(HLOOKUP(AP4,'סקרי נכסים-יתרות פתיחה'!$2:$110,90,0),0)*(1-AP$309)</f>
        <v>43523142.714285716</v>
      </c>
      <c r="AQ39" s="1240">
        <f>+IFERROR(HLOOKUP(AQ4,'סקרי נכסים-יתרות פתיחה'!$2:$110,5,0),0)-IFERROR(HLOOKUP(AQ4,'סקרי נכסים-יתרות פתיחה'!$2:$110,90,0),0)*(1-AQ$309)</f>
        <v>69910014.171428576</v>
      </c>
      <c r="AR39" s="1240">
        <f>+IFERROR(HLOOKUP(AR4,'סקרי נכסים-יתרות פתיחה'!$2:$110,5,0),0)-IFERROR(HLOOKUP(AR4,'סקרי נכסים-יתרות פתיחה'!$2:$110,90,0),0)*(1-AR$309)</f>
        <v>29808621.46190476</v>
      </c>
      <c r="AS39" s="1240">
        <f>+IFERROR(HLOOKUP(AS4,'סקרי נכסים-יתרות פתיחה'!$2:$110,5,0),0)-IFERROR(HLOOKUP(AS4,'סקרי נכסים-יתרות פתיחה'!$2:$110,90,0),0)*(1-AS$309)</f>
        <v>34736330</v>
      </c>
      <c r="AT39" s="1240">
        <f>+IFERROR(HLOOKUP(AT4,'סקרי נכסים-יתרות פתיחה'!$2:$110,5,0),0)-IFERROR(HLOOKUP(AT4,'סקרי נכסים-יתרות פתיחה'!$2:$110,90,0),0)*(1-AT$309)</f>
        <v>44159238.200000003</v>
      </c>
      <c r="AU39" s="1240">
        <f>+IFERROR(HLOOKUP(AU4,'סקרי נכסים-יתרות פתיחה'!$2:$110,5,0),0)-IFERROR(HLOOKUP(AU4,'סקרי נכסים-יתרות פתיחה'!$2:$110,90,0),0)*(1-AU$309)</f>
        <v>53290109.619047619</v>
      </c>
      <c r="AV39" s="1240">
        <f>+IFERROR(HLOOKUP(AV4,'סקרי נכסים-יתרות פתיחה'!$2:$110,5,0),0)-IFERROR(HLOOKUP(AV4,'סקרי נכסים-יתרות פתיחה'!$2:$110,90,0),0)*(1-AV$309)</f>
        <v>87465976.09523809</v>
      </c>
      <c r="AW39" s="1240">
        <f>+IFERROR(HLOOKUP(AW4,'סקרי נכסים-יתרות פתיחה'!$2:$110,5,0),0)-IFERROR(HLOOKUP(AW4,'סקרי נכסים-יתרות פתיחה'!$2:$110,90,0),0)*(1-AW$309)</f>
        <v>57244284.39047619</v>
      </c>
      <c r="AX39" s="1240">
        <f>+IFERROR(HLOOKUP(AX4,'סקרי נכסים-יתרות פתיחה'!$2:$110,5,0),0)-IFERROR(HLOOKUP(AX4,'סקרי נכסים-יתרות פתיחה'!$2:$110,90,0),0)*(1-AX$309)</f>
        <v>0</v>
      </c>
      <c r="AY39" s="1240">
        <f>+IFERROR(HLOOKUP(AY4,'סקרי נכסים-יתרות פתיחה'!$2:$110,5,0),0)-IFERROR(HLOOKUP(AY4,'סקרי נכסים-יתרות פתיחה'!$2:$110,90,0),0)*(1-AY$309)</f>
        <v>22859866.833333332</v>
      </c>
      <c r="AZ39" s="1240">
        <f>+IFERROR(HLOOKUP(AZ4,'סקרי נכסים-יתרות פתיחה'!$2:$110,5,0),0)-IFERROR(HLOOKUP(AZ4,'סקרי נכסים-יתרות פתיחה'!$2:$110,90,0),0)*(1-AZ$309)</f>
        <v>20340581.380952381</v>
      </c>
      <c r="BA39" s="1240">
        <f>+IFERROR(HLOOKUP(BA4,'סקרי נכסים-יתרות פתיחה'!$2:$110,5,0),0)-IFERROR(HLOOKUP(BA4,'סקרי נכסים-יתרות פתיחה'!$2:$110,90,0),0)*(1-BA$309)</f>
        <v>26328304.047619049</v>
      </c>
      <c r="BB39" s="1240">
        <f>+IFERROR(HLOOKUP(BB4,'סקרי נכסים-יתרות פתיחה'!$2:$110,5,0),0)-IFERROR(HLOOKUP(BB4,'סקרי נכסים-יתרות פתיחה'!$2:$110,90,0),0)*(1-BB$309)</f>
        <v>13269780</v>
      </c>
      <c r="BC39" s="1240">
        <f>+IFERROR(HLOOKUP(BC4,'סקרי נכסים-יתרות פתיחה'!$2:$110,5,0),0)-IFERROR(HLOOKUP(BC4,'סקרי נכסים-יתרות פתיחה'!$2:$110,90,0),0)*(1-BC$309)</f>
        <v>6223943.666666667</v>
      </c>
      <c r="BD39" s="1240">
        <f>+IFERROR(HLOOKUP(BD4,'סקרי נכסים-יתרות פתיחה'!$2:$110,5,0),0)-IFERROR(HLOOKUP(BD4,'סקרי נכסים-יתרות פתיחה'!$2:$110,90,0),0)*(1-BD$309)</f>
        <v>0</v>
      </c>
      <c r="BE39" s="1240">
        <f>+IFERROR(HLOOKUP(BE4,'סקרי נכסים-יתרות פתיחה'!$2:$110,5,0),0)-IFERROR(HLOOKUP(BE4,'סקרי נכסים-יתרות פתיחה'!$2:$110,90,0),0)*(1-BE$309)</f>
        <v>10550109.428571429</v>
      </c>
      <c r="BF39" s="1240">
        <f>+IFERROR(HLOOKUP(BF4,'סקרי נכסים-יתרות פתיחה'!$2:$110,5,0),0)-IFERROR(HLOOKUP(BF4,'סקרי נכסים-יתרות פתיחה'!$2:$110,90,0),0)*(1-BF$309)</f>
        <v>84644665</v>
      </c>
    </row>
    <row r="40" spans="1:240" x14ac:dyDescent="0.2">
      <c r="B40" s="1">
        <v>2</v>
      </c>
      <c r="C40" s="1240">
        <f>+IFERROR(HLOOKUP(C5,'סקרי נכסים-יתרות פתיחה'!$2:$110,5,0),0)-IFERROR(HLOOKUP(C5,'סקרי נכסים-יתרות פתיחה'!$2:$110,90,0),0)*(1-C$309)</f>
        <v>12278225.80952381</v>
      </c>
      <c r="D40" s="1240">
        <f>+IFERROR(HLOOKUP(D5,'סקרי נכסים-יתרות פתיחה'!$2:$110,5,0),0)-IFERROR(HLOOKUP(D5,'סקרי נכסים-יתרות פתיחה'!$2:$110,90,0),0)*(1-D$309)</f>
        <v>5828740</v>
      </c>
      <c r="E40" s="1240">
        <f>+IFERROR(HLOOKUP(E5,'סקרי נכסים-יתרות פתיחה'!$2:$110,5,0),0)-IFERROR(HLOOKUP(E5,'סקרי נכסים-יתרות פתיחה'!$2:$110,90,0),0)*(1-E$309)</f>
        <v>0</v>
      </c>
      <c r="F40" s="1240">
        <f>+IFERROR(HLOOKUP(F5,'סקרי נכסים-יתרות פתיחה'!$2:$110,5,0),0)-IFERROR(HLOOKUP(F5,'סקרי נכסים-יתרות פתיחה'!$2:$110,90,0),0)*(1-F$309)</f>
        <v>9963754.9714285713</v>
      </c>
      <c r="G40" s="1240">
        <f>+IFERROR(HLOOKUP(G5,'סקרי נכסים-יתרות פתיחה'!$2:$110,5,0),0)-IFERROR(HLOOKUP(G5,'סקרי נכסים-יתרות פתיחה'!$2:$110,90,0),0)*(1-G$309)</f>
        <v>0</v>
      </c>
      <c r="H40" s="1240">
        <f>+IFERROR(HLOOKUP(H5,'סקרי נכסים-יתרות פתיחה'!$2:$110,5,0),0)-IFERROR(HLOOKUP(H5,'סקרי נכסים-יתרות פתיחה'!$2:$110,90,0),0)*(1-H$309)</f>
        <v>4606178.7380952379</v>
      </c>
      <c r="I40" s="1240">
        <f>+IFERROR(HLOOKUP(I5,'סקרי נכסים-יתרות פתיחה'!$2:$110,5,0),0)-IFERROR(HLOOKUP(I5,'סקרי נכסים-יתרות פתיחה'!$2:$110,90,0),0)*(1-I$309)</f>
        <v>0</v>
      </c>
      <c r="J40" s="1240">
        <f>+IFERROR(HLOOKUP(J5,'סקרי נכסים-יתרות פתיחה'!$2:$110,5,0),0)-IFERROR(HLOOKUP(J5,'סקרי נכסים-יתרות פתיחה'!$2:$110,90,0),0)*(1-J$309)</f>
        <v>0</v>
      </c>
      <c r="K40" s="1240">
        <f>+IFERROR(HLOOKUP(K5,'סקרי נכסים-יתרות פתיחה'!$2:$110,5,0),0)-IFERROR(HLOOKUP(K5,'סקרי נכסים-יתרות פתיחה'!$2:$110,90,0),0)*(1-K$309)</f>
        <v>27664365.714285713</v>
      </c>
      <c r="L40" s="1240">
        <f>+IFERROR(HLOOKUP(L5,'סקרי נכסים-יתרות פתיחה'!$2:$110,5,0),0)-IFERROR(HLOOKUP(L5,'סקרי נכסים-יתרות פתיחה'!$2:$110,90,0),0)*(1-L$309)</f>
        <v>7161157.4857142856</v>
      </c>
      <c r="M40" s="1240">
        <f>+IFERROR(HLOOKUP(M5,'סקרי נכסים-יתרות פתיחה'!$2:$110,5,0),0)-IFERROR(HLOOKUP(M5,'סקרי נכסים-יתרות פתיחה'!$2:$110,90,0),0)*(1-M$309)</f>
        <v>0</v>
      </c>
      <c r="N40" s="1240">
        <f>+IFERROR(HLOOKUP(N5,'סקרי נכסים-יתרות פתיחה'!$2:$110,5,0),0)-IFERROR(HLOOKUP(N5,'סקרי נכסים-יתרות פתיחה'!$2:$110,90,0),0)*(1-N$309)</f>
        <v>23445724.77142857</v>
      </c>
      <c r="O40" s="1240">
        <f>+IFERROR(HLOOKUP(O5,'סקרי נכסים-יתרות פתיחה'!$2:$110,5,0),0)-IFERROR(HLOOKUP(O5,'סקרי נכסים-יתרות פתיחה'!$2:$110,90,0),0)*(1-O$309)</f>
        <v>6389421.7142857146</v>
      </c>
      <c r="P40" s="1240">
        <f>+IFERROR(HLOOKUP(P5,'סקרי נכסים-יתרות פתיחה'!$2:$110,5,0),0)-IFERROR(HLOOKUP(P5,'סקרי נכסים-יתרות פתיחה'!$2:$110,90,0),0)*(1-P$309)</f>
        <v>17944720</v>
      </c>
      <c r="Q40" s="1240">
        <f>+IFERROR(HLOOKUP(Q5,'סקרי נכסים-יתרות פתיחה'!$2:$110,5,0),0)-IFERROR(HLOOKUP(Q5,'סקרי נכסים-יתרות פתיחה'!$2:$110,90,0),0)*(1-Q$309)</f>
        <v>0</v>
      </c>
      <c r="R40" s="1240">
        <f>+IFERROR(HLOOKUP(R5,'סקרי נכסים-יתרות פתיחה'!$2:$110,5,0),0)-IFERROR(HLOOKUP(R5,'סקרי נכסים-יתרות פתיחה'!$2:$110,90,0),0)*(1-R$309)</f>
        <v>10521451.285714285</v>
      </c>
      <c r="S40" s="1240">
        <f>+IFERROR(HLOOKUP(S5,'סקרי נכסים-יתרות פתיחה'!$2:$110,5,0),0)-IFERROR(HLOOKUP(S5,'סקרי נכסים-יתרות פתיחה'!$2:$110,90,0),0)*(1-S$309)</f>
        <v>0</v>
      </c>
      <c r="T40" s="1240">
        <f>+IFERROR(HLOOKUP(T5,'סקרי נכסים-יתרות פתיחה'!$2:$110,5,0),0)-IFERROR(HLOOKUP(T5,'סקרי נכסים-יתרות פתיחה'!$2:$110,90,0),0)*(1-T$309)</f>
        <v>19758450</v>
      </c>
      <c r="U40" s="1240">
        <f>+IFERROR(HLOOKUP(U5,'סקרי נכסים-יתרות פתיחה'!$2:$110,5,0),0)-IFERROR(HLOOKUP(U5,'סקרי נכסים-יתרות פתיחה'!$2:$110,90,0),0)*(1-U$309)</f>
        <v>0</v>
      </c>
      <c r="V40" s="1240">
        <f>+IFERROR(HLOOKUP(V5,'סקרי נכסים-יתרות פתיחה'!$2:$110,5,0),0)-IFERROR(HLOOKUP(V5,'סקרי נכסים-יתרות פתיחה'!$2:$110,90,0),0)*(1-V$309)</f>
        <v>9397190</v>
      </c>
      <c r="W40" s="1240">
        <f>+IFERROR(HLOOKUP(W5,'סקרי נכסים-יתרות פתיחה'!$2:$110,5,0),0)-IFERROR(HLOOKUP(W5,'סקרי נכסים-יתרות פתיחה'!$2:$110,90,0),0)*(1-W$309)</f>
        <v>6330160</v>
      </c>
      <c r="X40" s="1240">
        <f>+IFERROR(HLOOKUP(X5,'סקרי נכסים-יתרות פתיחה'!$2:$110,5,0),0)-IFERROR(HLOOKUP(X5,'סקרי נכסים-יתרות פתיחה'!$2:$110,90,0),0)*(1-X$309)</f>
        <v>14082170</v>
      </c>
      <c r="Y40" s="1240">
        <f>+IFERROR(HLOOKUP(Y5,'סקרי נכסים-יתרות פתיחה'!$2:$110,5,0),0)-IFERROR(HLOOKUP(Y5,'סקרי נכסים-יתרות פתיחה'!$2:$110,90,0),0)*(1-Y$309)</f>
        <v>8613990.4000000004</v>
      </c>
      <c r="Z40" s="1240">
        <f>+IFERROR(HLOOKUP(Z5,'סקרי נכסים-יתרות פתיחה'!$2:$110,5,0),0)-IFERROR(HLOOKUP(Z5,'סקרי נכסים-יתרות פתיחה'!$2:$110,90,0),0)*(1-Z$309)</f>
        <v>0</v>
      </c>
      <c r="AA40" s="1240">
        <f>+IFERROR(HLOOKUP(AA5,'סקרי נכסים-יתרות פתיחה'!$2:$110,5,0),0)-IFERROR(HLOOKUP(AA5,'סקרי נכסים-יתרות פתיחה'!$2:$110,90,0),0)*(1-AA$309)</f>
        <v>0</v>
      </c>
      <c r="AB40" s="1240">
        <f>+IFERROR(HLOOKUP(AB5,'סקרי נכסים-יתרות פתיחה'!$2:$110,5,0),0)-IFERROR(HLOOKUP(AB5,'סקרי נכסים-יתרות פתיחה'!$2:$110,90,0),0)*(1-AB$309)</f>
        <v>0</v>
      </c>
      <c r="AC40" s="1240">
        <f>+IFERROR(HLOOKUP(AC5,'סקרי נכסים-יתרות פתיחה'!$2:$110,5,0),0)-IFERROR(HLOOKUP(AC5,'סקרי נכסים-יתרות פתיחה'!$2:$110,90,0),0)*(1-AC$309)</f>
        <v>0</v>
      </c>
      <c r="AD40" s="1240">
        <f>+IFERROR(HLOOKUP(AD5,'סקרי נכסים-יתרות פתיחה'!$2:$110,5,0),0)-IFERROR(HLOOKUP(AD5,'סקרי נכסים-יתרות פתיחה'!$2:$110,90,0),0)*(1-AD$309)</f>
        <v>0</v>
      </c>
      <c r="AE40" s="1240">
        <f>+IFERROR(HLOOKUP(AE5,'סקרי נכסים-יתרות פתיחה'!$2:$110,5,0),0)-IFERROR(HLOOKUP(AE5,'סקרי נכסים-יתרות פתיחה'!$2:$110,90,0),0)*(1-AE$309)</f>
        <v>0</v>
      </c>
      <c r="AF40" s="1240">
        <f>+IFERROR(HLOOKUP(AF5,'סקרי נכסים-יתרות פתיחה'!$2:$110,5,0),0)-IFERROR(HLOOKUP(AF5,'סקרי נכסים-יתרות פתיחה'!$2:$110,90,0),0)*(1-AF$309)</f>
        <v>23711285.714285716</v>
      </c>
      <c r="AG40" s="1240">
        <f>+IFERROR(HLOOKUP(AG5,'סקרי נכסים-יתרות פתיחה'!$2:$110,5,0),0)-IFERROR(HLOOKUP(AG5,'סקרי נכסים-יתרות פתיחה'!$2:$110,90,0),0)*(1-AG$309)</f>
        <v>0</v>
      </c>
      <c r="AH40" s="1240">
        <f>+IFERROR(HLOOKUP(AH5,'סקרי נכסים-יתרות פתיחה'!$2:$110,5,0),0)-IFERROR(HLOOKUP(AH5,'סקרי נכסים-יתרות פתיחה'!$2:$110,90,0),0)*(1-AH$309)</f>
        <v>0</v>
      </c>
      <c r="AI40" s="1240">
        <f>+IFERROR(HLOOKUP(AI5,'סקרי נכסים-יתרות פתיחה'!$2:$110,5,0),0)-IFERROR(HLOOKUP(AI5,'סקרי נכסים-יתרות פתיחה'!$2:$110,90,0),0)*(1-AI$309)</f>
        <v>0</v>
      </c>
      <c r="AJ40" s="1240">
        <f>+IFERROR(HLOOKUP(AJ5,'סקרי נכסים-יתרות פתיחה'!$2:$110,5,0),0)-IFERROR(HLOOKUP(AJ5,'סקרי נכסים-יתרות פתיחה'!$2:$110,90,0),0)*(1-AJ$309)</f>
        <v>8039945.5714285718</v>
      </c>
      <c r="AK40" s="1240">
        <f>+IFERROR(HLOOKUP(AK5,'סקרי נכסים-יתרות פתיחה'!$2:$110,5,0),0)-IFERROR(HLOOKUP(AK5,'סקרי נכסים-יתרות פתיחה'!$2:$110,90,0),0)*(1-AK$309)</f>
        <v>0</v>
      </c>
      <c r="AL40" s="1240">
        <f>+IFERROR(HLOOKUP(AL5,'סקרי נכסים-יתרות פתיחה'!$2:$110,5,0),0)-IFERROR(HLOOKUP(AL5,'סקרי נכסים-יתרות פתיחה'!$2:$110,90,0),0)*(1-AL$309)</f>
        <v>0</v>
      </c>
      <c r="AM40" s="1240">
        <f>+IFERROR(HLOOKUP(AM5,'סקרי נכסים-יתרות פתיחה'!$2:$110,5,0),0)-IFERROR(HLOOKUP(AM5,'סקרי נכסים-יתרות פתיחה'!$2:$110,90,0),0)*(1-AM$309)</f>
        <v>26171930.528571427</v>
      </c>
      <c r="AN40" s="1240">
        <f>+IFERROR(HLOOKUP(AN5,'סקרי נכסים-יתרות פתיחה'!$2:$110,5,0),0)-IFERROR(HLOOKUP(AN5,'סקרי נכסים-יתרות פתיחה'!$2:$110,90,0),0)*(1-AN$309)</f>
        <v>9716580</v>
      </c>
      <c r="AO40" s="1240">
        <f>+IFERROR(HLOOKUP(AO5,'סקרי נכסים-יתרות פתיחה'!$2:$110,5,0),0)-IFERROR(HLOOKUP(AO5,'סקרי נכסים-יתרות פתיחה'!$2:$110,90,0),0)*(1-AO$309)</f>
        <v>0</v>
      </c>
      <c r="AP40" s="1240">
        <f>+IFERROR(HLOOKUP(AP5,'סקרי נכסים-יתרות פתיחה'!$2:$110,5,0),0)-IFERROR(HLOOKUP(AP5,'סקרי נכסים-יתרות פתיחה'!$2:$110,90,0),0)*(1-AP$309)</f>
        <v>0</v>
      </c>
      <c r="AQ40" s="1240">
        <f>+IFERROR(HLOOKUP(AQ5,'סקרי נכסים-יתרות פתיחה'!$2:$110,5,0),0)-IFERROR(HLOOKUP(AQ5,'סקרי נכסים-יתרות פתיחה'!$2:$110,90,0),0)*(1-AQ$309)</f>
        <v>0</v>
      </c>
      <c r="AR40" s="1240">
        <f>+IFERROR(HLOOKUP(AR5,'סקרי נכסים-יתרות פתיחה'!$2:$110,5,0),0)-IFERROR(HLOOKUP(AR5,'סקרי נכסים-יתרות פתיחה'!$2:$110,90,0),0)*(1-AR$309)</f>
        <v>26378175</v>
      </c>
      <c r="AS40" s="1240">
        <f>+IFERROR(HLOOKUP(AS5,'סקרי נכסים-יתרות פתיחה'!$2:$110,5,0),0)-IFERROR(HLOOKUP(AS5,'סקרי נכסים-יתרות פתיחה'!$2:$110,90,0),0)*(1-AS$309)</f>
        <v>9117140</v>
      </c>
      <c r="AT40" s="1240">
        <f>+IFERROR(HLOOKUP(AT5,'סקרי נכסים-יתרות פתיחה'!$2:$110,5,0),0)-IFERROR(HLOOKUP(AT5,'סקרי נכסים-יתרות פתיחה'!$2:$110,90,0),0)*(1-AT$309)</f>
        <v>0</v>
      </c>
      <c r="AU40" s="1240">
        <f>+IFERROR(HLOOKUP(AU5,'סקרי נכסים-יתרות פתיחה'!$2:$110,5,0),0)-IFERROR(HLOOKUP(AU5,'סקרי נכסים-יתרות פתיחה'!$2:$110,90,0),0)*(1-AU$309)</f>
        <v>0</v>
      </c>
      <c r="AV40" s="1240">
        <f>+IFERROR(HLOOKUP(AV5,'סקרי נכסים-יתרות פתיחה'!$2:$110,5,0),0)-IFERROR(HLOOKUP(AV5,'סקרי נכסים-יתרות פתיחה'!$2:$110,90,0),0)*(1-AV$309)</f>
        <v>25786803.585714284</v>
      </c>
      <c r="AW40" s="1240">
        <f>+IFERROR(HLOOKUP(AW5,'סקרי נכסים-יתרות פתיחה'!$2:$110,5,0),0)-IFERROR(HLOOKUP(AW5,'סקרי נכסים-יתרות פתיחה'!$2:$110,90,0),0)*(1-AW$309)</f>
        <v>0</v>
      </c>
      <c r="AX40" s="1240">
        <f>+IFERROR(HLOOKUP(AX5,'סקרי נכסים-יתרות פתיחה'!$2:$110,5,0),0)-IFERROR(HLOOKUP(AX5,'סקרי נכסים-יתרות פתיחה'!$2:$110,90,0),0)*(1-AX$309)</f>
        <v>5647650</v>
      </c>
      <c r="AY40" s="1240">
        <f>+IFERROR(HLOOKUP(AY5,'סקרי נכסים-יתרות פתיחה'!$2:$110,5,0),0)-IFERROR(HLOOKUP(AY5,'סקרי נכסים-יתרות פתיחה'!$2:$110,90,0),0)*(1-AY$309)</f>
        <v>0</v>
      </c>
      <c r="AZ40" s="1240">
        <f>+IFERROR(HLOOKUP(AZ5,'סקרי נכסים-יתרות פתיחה'!$2:$110,5,0),0)-IFERROR(HLOOKUP(AZ5,'סקרי נכסים-יתרות פתיחה'!$2:$110,90,0),0)*(1-AZ$309)</f>
        <v>21302223.633333333</v>
      </c>
      <c r="BA40" s="1240">
        <f>+IFERROR(HLOOKUP(BA5,'סקרי נכסים-יתרות פתיחה'!$2:$110,5,0),0)-IFERROR(HLOOKUP(BA5,'סקרי נכסים-יתרות פתיחה'!$2:$110,90,0),0)*(1-BA$309)</f>
        <v>28307633.409523811</v>
      </c>
      <c r="BB40" s="1240">
        <f>+IFERROR(HLOOKUP(BB5,'סקרי נכסים-יתרות פתיחה'!$2:$110,5,0),0)-IFERROR(HLOOKUP(BB5,'סקרי נכסים-יתרות פתיחה'!$2:$110,90,0),0)*(1-BB$309)</f>
        <v>14953245</v>
      </c>
      <c r="BC40" s="1240">
        <f>+IFERROR(HLOOKUP(BC5,'סקרי נכסים-יתרות פתיחה'!$2:$110,5,0),0)-IFERROR(HLOOKUP(BC5,'סקרי נכסים-יתרות פתיחה'!$2:$110,90,0),0)*(1-BC$309)</f>
        <v>8044240</v>
      </c>
      <c r="BD40" s="1240">
        <f>+IFERROR(HLOOKUP(BD5,'סקרי נכסים-יתרות פתיחה'!$2:$110,5,0),0)-IFERROR(HLOOKUP(BD5,'סקרי נכסים-יתרות פתיחה'!$2:$110,90,0),0)*(1-BD$309)</f>
        <v>15494590.476190476</v>
      </c>
      <c r="BE40" s="1240">
        <f>+IFERROR(HLOOKUP(BE5,'סקרי נכסים-יתרות פתיחה'!$2:$110,5,0),0)-IFERROR(HLOOKUP(BE5,'סקרי נכסים-יתרות פתיחה'!$2:$110,90,0),0)*(1-BE$309)</f>
        <v>0</v>
      </c>
      <c r="BF40" s="1240">
        <f>+IFERROR(HLOOKUP(BF5,'סקרי נכסים-יתרות פתיחה'!$2:$110,5,0),0)-IFERROR(HLOOKUP(BF5,'סקרי נכסים-יתרות פתיחה'!$2:$110,90,0),0)*(1-BF$309)</f>
        <v>0</v>
      </c>
    </row>
    <row r="41" spans="1:240" x14ac:dyDescent="0.2">
      <c r="B41" s="1">
        <v>3</v>
      </c>
      <c r="C41" s="1240">
        <f>+IFERROR(HLOOKUP(C6,'סקרי נכסים-יתרות פתיחה'!$2:$110,5,0),0)-IFERROR(HLOOKUP(C6,'סקרי נכסים-יתרות פתיחה'!$2:$110,90,0),0)*(1-C$309)</f>
        <v>2832370.8333333335</v>
      </c>
      <c r="D41" s="1240">
        <f>+IFERROR(HLOOKUP(D6,'סקרי נכסים-יתרות פתיחה'!$2:$110,5,0),0)-IFERROR(HLOOKUP(D6,'סקרי נכסים-יתרות פתיחה'!$2:$110,90,0),0)*(1-D$309)</f>
        <v>11980535</v>
      </c>
      <c r="E41" s="1240">
        <f>+IFERROR(HLOOKUP(E6,'סקרי נכסים-יתרות פתיחה'!$2:$110,5,0),0)-IFERROR(HLOOKUP(E6,'סקרי נכסים-יתרות פתיחה'!$2:$110,90,0),0)*(1-E$309)</f>
        <v>0</v>
      </c>
      <c r="F41" s="1240">
        <f>+IFERROR(HLOOKUP(F6,'סקרי נכסים-יתרות פתיחה'!$2:$110,5,0),0)-IFERROR(HLOOKUP(F6,'סקרי נכסים-יתרות פתיחה'!$2:$110,90,0),0)*(1-F$309)</f>
        <v>0</v>
      </c>
      <c r="G41" s="1240">
        <f>+IFERROR(HLOOKUP(G6,'סקרי נכסים-יתרות פתיחה'!$2:$110,5,0),0)-IFERROR(HLOOKUP(G6,'סקרי נכסים-יתרות פתיחה'!$2:$110,90,0),0)*(1-G$309)</f>
        <v>0</v>
      </c>
      <c r="H41" s="1240">
        <f>+IFERROR(HLOOKUP(H6,'סקרי נכסים-יתרות פתיחה'!$2:$110,5,0),0)-IFERROR(HLOOKUP(H6,'סקרי נכסים-יתרות פתיחה'!$2:$110,90,0),0)*(1-H$309)</f>
        <v>22228189.571428571</v>
      </c>
      <c r="I41" s="1240">
        <f>+IFERROR(HLOOKUP(I6,'סקרי נכסים-יתרות פתיחה'!$2:$110,5,0),0)-IFERROR(HLOOKUP(I6,'סקרי נכסים-יתרות פתיחה'!$2:$110,90,0),0)*(1-I$309)</f>
        <v>0</v>
      </c>
      <c r="J41" s="1240">
        <f>+IFERROR(HLOOKUP(J6,'סקרי נכסים-יתרות פתיחה'!$2:$110,5,0),0)-IFERROR(HLOOKUP(J6,'סקרי נכסים-יתרות פתיחה'!$2:$110,90,0),0)*(1-J$309)</f>
        <v>0</v>
      </c>
      <c r="K41" s="1240">
        <f>+IFERROR(HLOOKUP(K6,'סקרי נכסים-יתרות פתיחה'!$2:$110,5,0),0)-IFERROR(HLOOKUP(K6,'סקרי נכסים-יתרות פתיחה'!$2:$110,90,0),0)*(1-K$309)</f>
        <v>32837713.542857144</v>
      </c>
      <c r="L41" s="1240">
        <f>+IFERROR(HLOOKUP(L6,'סקרי נכסים-יתרות פתיחה'!$2:$110,5,0),0)-IFERROR(HLOOKUP(L6,'סקרי נכסים-יתרות פתיחה'!$2:$110,90,0),0)*(1-L$309)</f>
        <v>0</v>
      </c>
      <c r="M41" s="1240">
        <f>+IFERROR(HLOOKUP(M6,'סקרי נכסים-יתרות פתיחה'!$2:$110,5,0),0)-IFERROR(HLOOKUP(M6,'סקרי נכסים-יתרות פתיחה'!$2:$110,90,0),0)*(1-M$309)</f>
        <v>0</v>
      </c>
      <c r="N41" s="1240">
        <f>+IFERROR(HLOOKUP(N6,'סקרי נכסים-יתרות פתיחה'!$2:$110,5,0),0)-IFERROR(HLOOKUP(N6,'סקרי נכסים-יתרות פתיחה'!$2:$110,90,0),0)*(1-N$309)</f>
        <v>0</v>
      </c>
      <c r="O41" s="1240">
        <f>+IFERROR(HLOOKUP(O6,'סקרי נכסים-יתרות פתיחה'!$2:$110,5,0),0)-IFERROR(HLOOKUP(O6,'סקרי נכסים-יתרות פתיחה'!$2:$110,90,0),0)*(1-O$309)</f>
        <v>6554173.9523809524</v>
      </c>
      <c r="P41" s="1240">
        <f>+IFERROR(HLOOKUP(P6,'סקרי נכסים-יתרות פתיחה'!$2:$110,5,0),0)-IFERROR(HLOOKUP(P6,'סקרי נכסים-יתרות פתיחה'!$2:$110,90,0),0)*(1-P$309)</f>
        <v>9166270</v>
      </c>
      <c r="Q41" s="1240">
        <f>+IFERROR(HLOOKUP(Q6,'סקרי נכסים-יתרות פתיחה'!$2:$110,5,0),0)-IFERROR(HLOOKUP(Q6,'סקרי נכסים-יתרות פתיחה'!$2:$110,90,0),0)*(1-Q$309)</f>
        <v>0</v>
      </c>
      <c r="R41" s="1240">
        <f>+IFERROR(HLOOKUP(R6,'סקרי נכסים-יתרות פתיחה'!$2:$110,5,0),0)-IFERROR(HLOOKUP(R6,'סקרי נכסים-יתרות פתיחה'!$2:$110,90,0),0)*(1-R$309)</f>
        <v>10120562.571428571</v>
      </c>
      <c r="S41" s="1240">
        <f>+IFERROR(HLOOKUP(S6,'סקרי נכסים-יתרות פתיחה'!$2:$110,5,0),0)-IFERROR(HLOOKUP(S6,'סקרי נכסים-יתרות פתיחה'!$2:$110,90,0),0)*(1-S$309)</f>
        <v>0</v>
      </c>
      <c r="T41" s="1240">
        <f>+IFERROR(HLOOKUP(T6,'סקרי נכסים-יתרות פתיחה'!$2:$110,5,0),0)-IFERROR(HLOOKUP(T6,'סקרי נכסים-יתרות פתיחה'!$2:$110,90,0),0)*(1-T$309)</f>
        <v>14619068</v>
      </c>
      <c r="U41" s="1240">
        <f>+IFERROR(HLOOKUP(U6,'סקרי נכסים-יתרות פתיחה'!$2:$110,5,0),0)-IFERROR(HLOOKUP(U6,'סקרי נכסים-יתרות פתיחה'!$2:$110,90,0),0)*(1-U$309)</f>
        <v>0</v>
      </c>
      <c r="V41" s="1240">
        <f>+IFERROR(HLOOKUP(V6,'סקרי נכסים-יתרות פתיחה'!$2:$110,5,0),0)-IFERROR(HLOOKUP(V6,'סקרי נכסים-יתרות פתיחה'!$2:$110,90,0),0)*(1-V$309)</f>
        <v>8508363</v>
      </c>
      <c r="W41" s="1240">
        <f>+IFERROR(HLOOKUP(W6,'סקרי נכסים-יתרות פתיחה'!$2:$110,5,0),0)-IFERROR(HLOOKUP(W6,'סקרי נכסים-יתרות פתיחה'!$2:$110,90,0),0)*(1-W$309)</f>
        <v>16765735</v>
      </c>
      <c r="X41" s="1240">
        <f>+IFERROR(HLOOKUP(X6,'סקרי נכסים-יתרות פתיחה'!$2:$110,5,0),0)-IFERROR(HLOOKUP(X6,'סקרי נכסים-יתרות פתיחה'!$2:$110,90,0),0)*(1-X$309)</f>
        <v>14526530</v>
      </c>
      <c r="Y41" s="1240">
        <f>+IFERROR(HLOOKUP(Y6,'סקרי נכסים-יתרות פתיחה'!$2:$110,5,0),0)-IFERROR(HLOOKUP(Y6,'סקרי נכסים-יתרות פתיחה'!$2:$110,90,0),0)*(1-Y$309)</f>
        <v>8661975.771428572</v>
      </c>
      <c r="Z41" s="1240">
        <f>+IFERROR(HLOOKUP(Z6,'סקרי נכסים-יתרות פתיחה'!$2:$110,5,0),0)-IFERROR(HLOOKUP(Z6,'סקרי נכסים-יתרות פתיחה'!$2:$110,90,0),0)*(1-Z$309)</f>
        <v>0</v>
      </c>
      <c r="AA41" s="1240">
        <f>+IFERROR(HLOOKUP(AA6,'סקרי נכסים-יתרות פתיחה'!$2:$110,5,0),0)-IFERROR(HLOOKUP(AA6,'סקרי נכסים-יתרות פתיחה'!$2:$110,90,0),0)*(1-AA$309)</f>
        <v>0</v>
      </c>
      <c r="AB41" s="1240">
        <f>+IFERROR(HLOOKUP(AB6,'סקרי נכסים-יתרות פתיחה'!$2:$110,5,0),0)-IFERROR(HLOOKUP(AB6,'סקרי נכסים-יתרות פתיחה'!$2:$110,90,0),0)*(1-AB$309)</f>
        <v>0</v>
      </c>
      <c r="AC41" s="1240">
        <f>+IFERROR(HLOOKUP(AC6,'סקרי נכסים-יתרות פתיחה'!$2:$110,5,0),0)-IFERROR(HLOOKUP(AC6,'סקרי נכסים-יתרות פתיחה'!$2:$110,90,0),0)*(1-AC$309)</f>
        <v>0</v>
      </c>
      <c r="AD41" s="1240">
        <f>+IFERROR(HLOOKUP(AD6,'סקרי נכסים-יתרות פתיחה'!$2:$110,5,0),0)-IFERROR(HLOOKUP(AD6,'סקרי נכסים-יתרות פתיחה'!$2:$110,90,0),0)*(1-AD$309)</f>
        <v>0</v>
      </c>
      <c r="AE41" s="1240">
        <f>+IFERROR(HLOOKUP(AE6,'סקרי נכסים-יתרות פתיחה'!$2:$110,5,0),0)-IFERROR(HLOOKUP(AE6,'סקרי נכסים-יתרות פתיחה'!$2:$110,90,0),0)*(1-AE$309)</f>
        <v>0</v>
      </c>
      <c r="AF41" s="1240">
        <f>+IFERROR(HLOOKUP(AF6,'סקרי נכסים-יתרות פתיחה'!$2:$110,5,0),0)-IFERROR(HLOOKUP(AF6,'סקרי נכסים-יתרות פתיחה'!$2:$110,90,0),0)*(1-AF$309)</f>
        <v>0</v>
      </c>
      <c r="AG41" s="1240">
        <f>+IFERROR(HLOOKUP(AG6,'סקרי נכסים-יתרות פתיחה'!$2:$110,5,0),0)-IFERROR(HLOOKUP(AG6,'סקרי נכסים-יתרות פתיחה'!$2:$110,90,0),0)*(1-AG$309)</f>
        <v>0</v>
      </c>
      <c r="AH41" s="1240">
        <f>+IFERROR(HLOOKUP(AH6,'סקרי נכסים-יתרות פתיחה'!$2:$110,5,0),0)-IFERROR(HLOOKUP(AH6,'סקרי נכסים-יתרות פתיחה'!$2:$110,90,0),0)*(1-AH$309)</f>
        <v>0</v>
      </c>
      <c r="AI41" s="1240">
        <f>+IFERROR(HLOOKUP(AI6,'סקרי נכסים-יתרות פתיחה'!$2:$110,5,0),0)-IFERROR(HLOOKUP(AI6,'סקרי נכסים-יתרות פתיחה'!$2:$110,90,0),0)*(1-AI$309)</f>
        <v>0</v>
      </c>
      <c r="AJ41" s="1240">
        <f>+IFERROR(HLOOKUP(AJ6,'סקרי נכסים-יתרות פתיחה'!$2:$110,5,0),0)-IFERROR(HLOOKUP(AJ6,'סקרי נכסים-יתרות פתיחה'!$2:$110,90,0),0)*(1-AJ$309)</f>
        <v>0</v>
      </c>
      <c r="AK41" s="1240">
        <f>+IFERROR(HLOOKUP(AK6,'סקרי נכסים-יתרות פתיחה'!$2:$110,5,0),0)-IFERROR(HLOOKUP(AK6,'סקרי נכסים-יתרות פתיחה'!$2:$110,90,0),0)*(1-AK$309)</f>
        <v>0</v>
      </c>
      <c r="AL41" s="1240">
        <f>+IFERROR(HLOOKUP(AL6,'סקרי נכסים-יתרות פתיחה'!$2:$110,5,0),0)-IFERROR(HLOOKUP(AL6,'סקרי נכסים-יתרות פתיחה'!$2:$110,90,0),0)*(1-AL$309)</f>
        <v>0</v>
      </c>
      <c r="AM41" s="1240">
        <f>+IFERROR(HLOOKUP(AM6,'סקרי נכסים-יתרות פתיחה'!$2:$110,5,0),0)-IFERROR(HLOOKUP(AM6,'סקרי נכסים-יתרות פתיחה'!$2:$110,90,0),0)*(1-AM$309)</f>
        <v>8099309.5238095243</v>
      </c>
      <c r="AN41" s="1240">
        <f>+IFERROR(HLOOKUP(AN6,'סקרי נכסים-יתרות פתיחה'!$2:$110,5,0),0)-IFERROR(HLOOKUP(AN6,'סקרי נכסים-יתרות פתיחה'!$2:$110,90,0),0)*(1-AN$309)</f>
        <v>13140700</v>
      </c>
      <c r="AO41" s="1240">
        <f>+IFERROR(HLOOKUP(AO6,'סקרי נכסים-יתרות פתיחה'!$2:$110,5,0),0)-IFERROR(HLOOKUP(AO6,'סקרי נכסים-יתרות פתיחה'!$2:$110,90,0),0)*(1-AO$309)</f>
        <v>0</v>
      </c>
      <c r="AP41" s="1240">
        <f>+IFERROR(HLOOKUP(AP6,'סקרי נכסים-יתרות פתיחה'!$2:$110,5,0),0)-IFERROR(HLOOKUP(AP6,'סקרי נכסים-יתרות פתיחה'!$2:$110,90,0),0)*(1-AP$309)</f>
        <v>0</v>
      </c>
      <c r="AQ41" s="1240">
        <f>+IFERROR(HLOOKUP(AQ6,'סקרי נכסים-יתרות פתיחה'!$2:$110,5,0),0)-IFERROR(HLOOKUP(AQ6,'סקרי נכסים-יתרות פתיחה'!$2:$110,90,0),0)*(1-AQ$309)</f>
        <v>0</v>
      </c>
      <c r="AR41" s="1240">
        <f>+IFERROR(HLOOKUP(AR6,'סקרי נכסים-יתרות פתיחה'!$2:$110,5,0),0)-IFERROR(HLOOKUP(AR6,'סקרי נכסים-יתרות פתיחה'!$2:$110,90,0),0)*(1-AR$309)</f>
        <v>0</v>
      </c>
      <c r="AS41" s="1240">
        <f>+IFERROR(HLOOKUP(AS6,'סקרי נכסים-יתרות פתיחה'!$2:$110,5,0),0)-IFERROR(HLOOKUP(AS6,'סקרי נכסים-יתרות פתיחה'!$2:$110,90,0),0)*(1-AS$309)</f>
        <v>3787100</v>
      </c>
      <c r="AT41" s="1240">
        <f>+IFERROR(HLOOKUP(AT6,'סקרי נכסים-יתרות פתיחה'!$2:$110,5,0),0)-IFERROR(HLOOKUP(AT6,'סקרי נכסים-יתרות פתיחה'!$2:$110,90,0),0)*(1-AT$309)</f>
        <v>0</v>
      </c>
      <c r="AU41" s="1240">
        <f>+IFERROR(HLOOKUP(AU6,'סקרי נכסים-יתרות פתיחה'!$2:$110,5,0),0)-IFERROR(HLOOKUP(AU6,'סקרי נכסים-יתרות פתיחה'!$2:$110,90,0),0)*(1-AU$309)</f>
        <v>0</v>
      </c>
      <c r="AV41" s="1240">
        <f>+IFERROR(HLOOKUP(AV6,'סקרי נכסים-יתרות פתיחה'!$2:$110,5,0),0)-IFERROR(HLOOKUP(AV6,'סקרי נכסים-יתרות פתיחה'!$2:$110,90,0),0)*(1-AV$309)</f>
        <v>0</v>
      </c>
      <c r="AW41" s="1240">
        <f>+IFERROR(HLOOKUP(AW6,'סקרי נכסים-יתרות פתיחה'!$2:$110,5,0),0)-IFERROR(HLOOKUP(AW6,'סקרי נכסים-יתרות פתיחה'!$2:$110,90,0),0)*(1-AW$309)</f>
        <v>0</v>
      </c>
      <c r="AX41" s="1240">
        <f>+IFERROR(HLOOKUP(AX6,'סקרי נכסים-יתרות פתיחה'!$2:$110,5,0),0)-IFERROR(HLOOKUP(AX6,'סקרי נכסים-יתרות פתיחה'!$2:$110,90,0),0)*(1-AX$309)</f>
        <v>13737410</v>
      </c>
      <c r="AY41" s="1240">
        <f>+IFERROR(HLOOKUP(AY6,'סקרי נכסים-יתרות פתיחה'!$2:$110,5,0),0)-IFERROR(HLOOKUP(AY6,'סקרי נכסים-יתרות פתיחה'!$2:$110,90,0),0)*(1-AY$309)</f>
        <v>0</v>
      </c>
      <c r="AZ41" s="1240">
        <f>+IFERROR(HLOOKUP(AZ6,'סקרי נכסים-יתרות פתיחה'!$2:$110,5,0),0)-IFERROR(HLOOKUP(AZ6,'סקרי נכסים-יתרות פתיחה'!$2:$110,90,0),0)*(1-AZ$309)</f>
        <v>9647882.9523809515</v>
      </c>
      <c r="BA41" s="1240">
        <f>+IFERROR(HLOOKUP(BA6,'סקרי נכסים-יתרות פתיחה'!$2:$110,5,0),0)-IFERROR(HLOOKUP(BA6,'סקרי נכסים-יתרות פתיחה'!$2:$110,90,0),0)*(1-BA$309)</f>
        <v>14476731.30952381</v>
      </c>
      <c r="BB41" s="1240">
        <f>+IFERROR(HLOOKUP(BB6,'סקרי נכסים-יתרות פתיחה'!$2:$110,5,0),0)-IFERROR(HLOOKUP(BB6,'סקרי נכסים-יתרות פתיחה'!$2:$110,90,0),0)*(1-BB$309)</f>
        <v>10013170</v>
      </c>
      <c r="BC41" s="1240">
        <f>+IFERROR(HLOOKUP(BC6,'סקרי נכסים-יתרות פתיחה'!$2:$110,5,0),0)-IFERROR(HLOOKUP(BC6,'סקרי נכסים-יתרות פתיחה'!$2:$110,90,0),0)*(1-BC$309)</f>
        <v>6512211</v>
      </c>
      <c r="BD41" s="1240">
        <f>+IFERROR(HLOOKUP(BD6,'סקרי נכסים-יתרות פתיחה'!$2:$110,5,0),0)-IFERROR(HLOOKUP(BD6,'סקרי נכסים-יתרות פתיחה'!$2:$110,90,0),0)*(1-BD$309)</f>
        <v>0</v>
      </c>
      <c r="BE41" s="1240">
        <f>+IFERROR(HLOOKUP(BE6,'סקרי נכסים-יתרות פתיחה'!$2:$110,5,0),0)-IFERROR(HLOOKUP(BE6,'סקרי נכסים-יתרות פתיחה'!$2:$110,90,0),0)*(1-BE$309)</f>
        <v>0</v>
      </c>
      <c r="BF41" s="1240">
        <f>+IFERROR(HLOOKUP(BF6,'סקרי נכסים-יתרות פתיחה'!$2:$110,5,0),0)-IFERROR(HLOOKUP(BF6,'סקרי נכסים-יתרות פתיחה'!$2:$110,90,0),0)*(1-BF$309)</f>
        <v>0</v>
      </c>
    </row>
    <row r="42" spans="1:240" x14ac:dyDescent="0.2">
      <c r="B42" s="1">
        <v>4</v>
      </c>
      <c r="C42" s="1240">
        <f>+IFERROR(HLOOKUP(C7,'סקרי נכסים-יתרות פתיחה'!$2:$110,5,0),0)-IFERROR(HLOOKUP(C7,'סקרי נכסים-יתרות פתיחה'!$2:$110,90,0),0)*(1-C$309)</f>
        <v>0</v>
      </c>
      <c r="D42" s="1240">
        <f>+IFERROR(HLOOKUP(D7,'סקרי נכסים-יתרות פתיחה'!$2:$110,5,0),0)-IFERROR(HLOOKUP(D7,'סקרי נכסים-יתרות פתיחה'!$2:$110,90,0),0)*(1-D$309)</f>
        <v>6416803</v>
      </c>
      <c r="E42" s="1240">
        <f>+IFERROR(HLOOKUP(E7,'סקרי נכסים-יתרות פתיחה'!$2:$110,5,0),0)-IFERROR(HLOOKUP(E7,'סקרי נכסים-יתרות פתיחה'!$2:$110,90,0),0)*(1-E$309)</f>
        <v>0</v>
      </c>
      <c r="F42" s="1240">
        <f>+IFERROR(HLOOKUP(F7,'סקרי נכסים-יתרות פתיחה'!$2:$110,5,0),0)-IFERROR(HLOOKUP(F7,'סקרי נכסים-יתרות פתיחה'!$2:$110,90,0),0)*(1-F$309)</f>
        <v>0</v>
      </c>
      <c r="G42" s="1240">
        <f>+IFERROR(HLOOKUP(G7,'סקרי נכסים-יתרות פתיחה'!$2:$110,5,0),0)-IFERROR(HLOOKUP(G7,'סקרי נכסים-יתרות פתיחה'!$2:$110,90,0),0)*(1-G$309)</f>
        <v>0</v>
      </c>
      <c r="H42" s="1240">
        <f>+IFERROR(HLOOKUP(H7,'סקרי נכסים-יתרות פתיחה'!$2:$110,5,0),0)-IFERROR(HLOOKUP(H7,'סקרי נכסים-יתרות פתיחה'!$2:$110,90,0),0)*(1-H$309)</f>
        <v>0</v>
      </c>
      <c r="I42" s="1240">
        <f>+IFERROR(HLOOKUP(I7,'סקרי נכסים-יתרות פתיחה'!$2:$110,5,0),0)-IFERROR(HLOOKUP(I7,'סקרי נכסים-יתרות פתיחה'!$2:$110,90,0),0)*(1-I$309)</f>
        <v>0</v>
      </c>
      <c r="J42" s="1240">
        <f>+IFERROR(HLOOKUP(J7,'סקרי נכסים-יתרות פתיחה'!$2:$110,5,0),0)-IFERROR(HLOOKUP(J7,'סקרי נכסים-יתרות פתיחה'!$2:$110,90,0),0)*(1-J$309)</f>
        <v>0</v>
      </c>
      <c r="K42" s="1240">
        <f>+IFERROR(HLOOKUP(K7,'סקרי נכסים-יתרות פתיחה'!$2:$110,5,0),0)-IFERROR(HLOOKUP(K7,'סקרי נכסים-יתרות פתיחה'!$2:$110,90,0),0)*(1-K$309)</f>
        <v>0</v>
      </c>
      <c r="L42" s="1240">
        <f>+IFERROR(HLOOKUP(L7,'סקרי נכסים-יתרות פתיחה'!$2:$110,5,0),0)-IFERROR(HLOOKUP(L7,'סקרי נכסים-יתרות פתיחה'!$2:$110,90,0),0)*(1-L$309)</f>
        <v>4579421.4571428569</v>
      </c>
      <c r="M42" s="1240">
        <f>+IFERROR(HLOOKUP(M7,'סקרי נכסים-יתרות פתיחה'!$2:$110,5,0),0)-IFERROR(HLOOKUP(M7,'סקרי נכסים-יתרות פתיחה'!$2:$110,90,0),0)*(1-M$309)</f>
        <v>0</v>
      </c>
      <c r="N42" s="1240">
        <f>+IFERROR(HLOOKUP(N7,'סקרי נכסים-יתרות פתיחה'!$2:$110,5,0),0)-IFERROR(HLOOKUP(N7,'סקרי נכסים-יתרות פתיחה'!$2:$110,90,0),0)*(1-N$309)</f>
        <v>0</v>
      </c>
      <c r="O42" s="1240">
        <f>+IFERROR(HLOOKUP(O7,'סקרי נכסים-יתרות פתיחה'!$2:$110,5,0),0)-IFERROR(HLOOKUP(O7,'סקרי נכסים-יתרות פתיחה'!$2:$110,90,0),0)*(1-O$309)</f>
        <v>25950167.571428571</v>
      </c>
      <c r="P42" s="1240">
        <f>+IFERROR(HLOOKUP(P7,'סקרי נכסים-יתרות פתיחה'!$2:$110,5,0),0)-IFERROR(HLOOKUP(P7,'סקרי נכסים-יתרות פתיחה'!$2:$110,90,0),0)*(1-P$309)</f>
        <v>2766945</v>
      </c>
      <c r="Q42" s="1240">
        <f>+IFERROR(HLOOKUP(Q7,'סקרי נכסים-יתרות פתיחה'!$2:$110,5,0),0)-IFERROR(HLOOKUP(Q7,'סקרי נכסים-יתרות פתיחה'!$2:$110,90,0),0)*(1-Q$309)</f>
        <v>0</v>
      </c>
      <c r="R42" s="1240">
        <f>+IFERROR(HLOOKUP(R7,'סקרי נכסים-יתרות פתיחה'!$2:$110,5,0),0)-IFERROR(HLOOKUP(R7,'סקרי נכסים-יתרות פתיחה'!$2:$110,90,0),0)*(1-R$309)</f>
        <v>0</v>
      </c>
      <c r="S42" s="1240">
        <f>+IFERROR(HLOOKUP(S7,'סקרי נכסים-יתרות פתיחה'!$2:$110,5,0),0)-IFERROR(HLOOKUP(S7,'סקרי נכסים-יתרות פתיחה'!$2:$110,90,0),0)*(1-S$309)</f>
        <v>0</v>
      </c>
      <c r="T42" s="1240">
        <f>+IFERROR(HLOOKUP(T7,'סקרי נכסים-יתרות פתיחה'!$2:$110,5,0),0)-IFERROR(HLOOKUP(T7,'סקרי נכסים-יתרות פתיחה'!$2:$110,90,0),0)*(1-T$309)</f>
        <v>4832905</v>
      </c>
      <c r="U42" s="1240">
        <f>+IFERROR(HLOOKUP(U7,'סקרי נכסים-יתרות פתיחה'!$2:$110,5,0),0)-IFERROR(HLOOKUP(U7,'סקרי נכסים-יתרות פתיחה'!$2:$110,90,0),0)*(1-U$309)</f>
        <v>0</v>
      </c>
      <c r="V42" s="1240">
        <f>+IFERROR(HLOOKUP(V7,'סקרי נכסים-יתרות פתיחה'!$2:$110,5,0),0)-IFERROR(HLOOKUP(V7,'סקרי נכסים-יתרות פתיחה'!$2:$110,90,0),0)*(1-V$309)</f>
        <v>10427913</v>
      </c>
      <c r="W42" s="1240">
        <f>+IFERROR(HLOOKUP(W7,'סקרי נכסים-יתרות פתיחה'!$2:$110,5,0),0)-IFERROR(HLOOKUP(W7,'סקרי נכסים-יתרות פתיחה'!$2:$110,90,0),0)*(1-W$309)</f>
        <v>1437550</v>
      </c>
      <c r="X42" s="1240">
        <f>+IFERROR(HLOOKUP(X7,'סקרי נכסים-יתרות פתיחה'!$2:$110,5,0),0)-IFERROR(HLOOKUP(X7,'סקרי נכסים-יתרות פתיחה'!$2:$110,90,0),0)*(1-X$309)</f>
        <v>6643020</v>
      </c>
      <c r="Y42" s="1240">
        <f>+IFERROR(HLOOKUP(Y7,'סקרי נכסים-יתרות פתיחה'!$2:$110,5,0),0)-IFERROR(HLOOKUP(Y7,'סקרי נכסים-יתרות פתיחה'!$2:$110,90,0),0)*(1-Y$309)</f>
        <v>6894322.2857142854</v>
      </c>
      <c r="Z42" s="1240">
        <f>+IFERROR(HLOOKUP(Z7,'סקרי נכסים-יתרות פתיחה'!$2:$110,5,0),0)-IFERROR(HLOOKUP(Z7,'סקרי נכסים-יתרות פתיחה'!$2:$110,90,0),0)*(1-Z$309)</f>
        <v>0</v>
      </c>
      <c r="AA42" s="1240">
        <f>+IFERROR(HLOOKUP(AA7,'סקרי נכסים-יתרות פתיחה'!$2:$110,5,0),0)-IFERROR(HLOOKUP(AA7,'סקרי נכסים-יתרות פתיחה'!$2:$110,90,0),0)*(1-AA$309)</f>
        <v>0</v>
      </c>
      <c r="AB42" s="1240">
        <f>+IFERROR(HLOOKUP(AB7,'סקרי נכסים-יתרות פתיחה'!$2:$110,5,0),0)-IFERROR(HLOOKUP(AB7,'סקרי נכסים-יתרות פתיחה'!$2:$110,90,0),0)*(1-AB$309)</f>
        <v>0</v>
      </c>
      <c r="AC42" s="1240">
        <f>+IFERROR(HLOOKUP(AC7,'סקרי נכסים-יתרות פתיחה'!$2:$110,5,0),0)-IFERROR(HLOOKUP(AC7,'סקרי נכסים-יתרות פתיחה'!$2:$110,90,0),0)*(1-AC$309)</f>
        <v>0</v>
      </c>
      <c r="AD42" s="1240">
        <f>+IFERROR(HLOOKUP(AD7,'סקרי נכסים-יתרות פתיחה'!$2:$110,5,0),0)-IFERROR(HLOOKUP(AD7,'סקרי נכסים-יתרות פתיחה'!$2:$110,90,0),0)*(1-AD$309)</f>
        <v>0</v>
      </c>
      <c r="AE42" s="1240">
        <f>+IFERROR(HLOOKUP(AE7,'סקרי נכסים-יתרות פתיחה'!$2:$110,5,0),0)-IFERROR(HLOOKUP(AE7,'סקרי נכסים-יתרות פתיחה'!$2:$110,90,0),0)*(1-AE$309)</f>
        <v>0</v>
      </c>
      <c r="AF42" s="1240">
        <f>+IFERROR(HLOOKUP(AF7,'סקרי נכסים-יתרות פתיחה'!$2:$110,5,0),0)-IFERROR(HLOOKUP(AF7,'סקרי נכסים-יתרות פתיחה'!$2:$110,90,0),0)*(1-AF$309)</f>
        <v>0</v>
      </c>
      <c r="AG42" s="1240">
        <f>+IFERROR(HLOOKUP(AG7,'סקרי נכסים-יתרות פתיחה'!$2:$110,5,0),0)-IFERROR(HLOOKUP(AG7,'סקרי נכסים-יתרות פתיחה'!$2:$110,90,0),0)*(1-AG$309)</f>
        <v>0</v>
      </c>
      <c r="AH42" s="1240">
        <f>+IFERROR(HLOOKUP(AH7,'סקרי נכסים-יתרות פתיחה'!$2:$110,5,0),0)-IFERROR(HLOOKUP(AH7,'סקרי נכסים-יתרות פתיחה'!$2:$110,90,0),0)*(1-AH$309)</f>
        <v>0</v>
      </c>
      <c r="AI42" s="1240">
        <f>+IFERROR(HLOOKUP(AI7,'סקרי נכסים-יתרות פתיחה'!$2:$110,5,0),0)-IFERROR(HLOOKUP(AI7,'סקרי נכסים-יתרות פתיחה'!$2:$110,90,0),0)*(1-AI$309)</f>
        <v>0</v>
      </c>
      <c r="AJ42" s="1240">
        <f>+IFERROR(HLOOKUP(AJ7,'סקרי נכסים-יתרות פתיחה'!$2:$110,5,0),0)-IFERROR(HLOOKUP(AJ7,'סקרי נכסים-יתרות פתיחה'!$2:$110,90,0),0)*(1-AJ$309)</f>
        <v>0</v>
      </c>
      <c r="AK42" s="1240">
        <f>+IFERROR(HLOOKUP(AK7,'סקרי נכסים-יתרות פתיחה'!$2:$110,5,0),0)-IFERROR(HLOOKUP(AK7,'סקרי נכסים-יתרות פתיחה'!$2:$110,90,0),0)*(1-AK$309)</f>
        <v>0</v>
      </c>
      <c r="AL42" s="1240">
        <f>+IFERROR(HLOOKUP(AL7,'סקרי נכסים-יתרות פתיחה'!$2:$110,5,0),0)-IFERROR(HLOOKUP(AL7,'סקרי נכסים-יתרות פתיחה'!$2:$110,90,0),0)*(1-AL$309)</f>
        <v>0</v>
      </c>
      <c r="AM42" s="1240">
        <f>+IFERROR(HLOOKUP(AM7,'סקרי נכסים-יתרות פתיחה'!$2:$110,5,0),0)-IFERROR(HLOOKUP(AM7,'סקרי נכסים-יתרות פתיחה'!$2:$110,90,0),0)*(1-AM$309)</f>
        <v>16334381.847619047</v>
      </c>
      <c r="AN42" s="1240">
        <f>+IFERROR(HLOOKUP(AN7,'סקרי נכסים-יתרות פתיחה'!$2:$110,5,0),0)-IFERROR(HLOOKUP(AN7,'סקרי נכסים-יתרות פתיחה'!$2:$110,90,0),0)*(1-AN$309)</f>
        <v>12177175</v>
      </c>
      <c r="AO42" s="1240">
        <f>+IFERROR(HLOOKUP(AO7,'סקרי נכסים-יתרות פתיחה'!$2:$110,5,0),0)-IFERROR(HLOOKUP(AO7,'סקרי נכסים-יתרות פתיחה'!$2:$110,90,0),0)*(1-AO$309)</f>
        <v>0</v>
      </c>
      <c r="AP42" s="1240">
        <f>+IFERROR(HLOOKUP(AP7,'סקרי נכסים-יתרות פתיחה'!$2:$110,5,0),0)-IFERROR(HLOOKUP(AP7,'סקרי נכסים-יתרות פתיחה'!$2:$110,90,0),0)*(1-AP$309)</f>
        <v>0</v>
      </c>
      <c r="AQ42" s="1240">
        <f>+IFERROR(HLOOKUP(AQ7,'סקרי נכסים-יתרות פתיחה'!$2:$110,5,0),0)-IFERROR(HLOOKUP(AQ7,'סקרי נכסים-יתרות פתיחה'!$2:$110,90,0),0)*(1-AQ$309)</f>
        <v>0</v>
      </c>
      <c r="AR42" s="1240">
        <f>+IFERROR(HLOOKUP(AR7,'סקרי נכסים-יתרות פתיחה'!$2:$110,5,0),0)-IFERROR(HLOOKUP(AR7,'סקרי נכסים-יתרות פתיחה'!$2:$110,90,0),0)*(1-AR$309)</f>
        <v>0</v>
      </c>
      <c r="AS42" s="1240">
        <f>+IFERROR(HLOOKUP(AS7,'סקרי נכסים-יתרות פתיחה'!$2:$110,5,0),0)-IFERROR(HLOOKUP(AS7,'סקרי נכסים-יתרות פתיחה'!$2:$110,90,0),0)*(1-AS$309)</f>
        <v>11112690</v>
      </c>
      <c r="AT42" s="1240">
        <f>+IFERROR(HLOOKUP(AT7,'סקרי נכסים-יתרות פתיחה'!$2:$110,5,0),0)-IFERROR(HLOOKUP(AT7,'סקרי נכסים-יתרות פתיחה'!$2:$110,90,0),0)*(1-AT$309)</f>
        <v>0</v>
      </c>
      <c r="AU42" s="1240">
        <f>+IFERROR(HLOOKUP(AU7,'סקרי נכסים-יתרות פתיחה'!$2:$110,5,0),0)-IFERROR(HLOOKUP(AU7,'סקרי נכסים-יתרות פתיחה'!$2:$110,90,0),0)*(1-AU$309)</f>
        <v>0</v>
      </c>
      <c r="AV42" s="1240">
        <f>+IFERROR(HLOOKUP(AV7,'סקרי נכסים-יתרות פתיחה'!$2:$110,5,0),0)-IFERROR(HLOOKUP(AV7,'סקרי נכסים-יתרות פתיחה'!$2:$110,90,0),0)*(1-AV$309)</f>
        <v>0</v>
      </c>
      <c r="AW42" s="1240">
        <f>+IFERROR(HLOOKUP(AW7,'סקרי נכסים-יתרות פתיחה'!$2:$110,5,0),0)-IFERROR(HLOOKUP(AW7,'סקרי נכסים-יתרות פתיחה'!$2:$110,90,0),0)*(1-AW$309)</f>
        <v>0</v>
      </c>
      <c r="AX42" s="1240">
        <f>+IFERROR(HLOOKUP(AX7,'סקרי נכסים-יתרות פתיחה'!$2:$110,5,0),0)-IFERROR(HLOOKUP(AX7,'סקרי נכסים-יתרות פתיחה'!$2:$110,90,0),0)*(1-AX$309)</f>
        <v>19935263</v>
      </c>
      <c r="AY42" s="1240">
        <f>+IFERROR(HLOOKUP(AY7,'סקרי נכסים-יתרות פתיחה'!$2:$110,5,0),0)-IFERROR(HLOOKUP(AY7,'סקרי נכסים-יתרות פתיחה'!$2:$110,90,0),0)*(1-AY$309)</f>
        <v>0</v>
      </c>
      <c r="AZ42" s="1240">
        <f>+IFERROR(HLOOKUP(AZ7,'סקרי נכסים-יתרות פתיחה'!$2:$110,5,0),0)-IFERROR(HLOOKUP(AZ7,'סקרי נכסים-יתרות פתיחה'!$2:$110,90,0),0)*(1-AZ$309)</f>
        <v>31482575</v>
      </c>
      <c r="BA42" s="1240">
        <f>+IFERROR(HLOOKUP(BA7,'סקרי נכסים-יתרות פתיחה'!$2:$110,5,0),0)-IFERROR(HLOOKUP(BA7,'סקרי נכסים-יתרות פתיחה'!$2:$110,90,0),0)*(1-BA$309)</f>
        <v>10785983.738095239</v>
      </c>
      <c r="BB42" s="1240">
        <f>+IFERROR(HLOOKUP(BB7,'סקרי נכסים-יתרות פתיחה'!$2:$110,5,0),0)-IFERROR(HLOOKUP(BB7,'סקרי נכסים-יתרות פתיחה'!$2:$110,90,0),0)*(1-BB$309)</f>
        <v>9394860</v>
      </c>
      <c r="BC42" s="1240">
        <f>+IFERROR(HLOOKUP(BC7,'סקרי נכסים-יתרות פתיחה'!$2:$110,5,0),0)-IFERROR(HLOOKUP(BC7,'סקרי נכסים-יתרות פתיחה'!$2:$110,90,0),0)*(1-BC$309)</f>
        <v>15249605</v>
      </c>
      <c r="BD42" s="1240">
        <f>+IFERROR(HLOOKUP(BD7,'סקרי נכסים-יתרות פתיחה'!$2:$110,5,0),0)-IFERROR(HLOOKUP(BD7,'סקרי נכסים-יתרות פתיחה'!$2:$110,90,0),0)*(1-BD$309)</f>
        <v>0</v>
      </c>
      <c r="BE42" s="1240">
        <f>+IFERROR(HLOOKUP(BE7,'סקרי נכסים-יתרות פתיחה'!$2:$110,5,0),0)-IFERROR(HLOOKUP(BE7,'סקרי נכסים-יתרות פתיחה'!$2:$110,90,0),0)*(1-BE$309)</f>
        <v>0</v>
      </c>
      <c r="BF42" s="1240">
        <f>+IFERROR(HLOOKUP(BF7,'סקרי נכסים-יתרות פתיחה'!$2:$110,5,0),0)-IFERROR(HLOOKUP(BF7,'סקרי נכסים-יתרות פתיחה'!$2:$110,90,0),0)*(1-BF$309)</f>
        <v>0</v>
      </c>
    </row>
    <row r="43" spans="1:240" x14ac:dyDescent="0.2">
      <c r="B43" s="1">
        <v>5</v>
      </c>
      <c r="C43" s="1240">
        <f>+IFERROR(HLOOKUP(C8,'סקרי נכסים-יתרות פתיחה'!$2:$110,5,0),0)-IFERROR(HLOOKUP(C8,'סקרי נכסים-יתרות פתיחה'!$2:$110,90,0),0)*(1-C$309)</f>
        <v>0</v>
      </c>
      <c r="D43" s="1240">
        <f>+IFERROR(HLOOKUP(D8,'סקרי נכסים-יתרות פתיחה'!$2:$110,5,0),0)-IFERROR(HLOOKUP(D8,'סקרי נכסים-יתרות פתיחה'!$2:$110,90,0),0)*(1-D$309)</f>
        <v>4602310</v>
      </c>
      <c r="E43" s="1240">
        <f>+IFERROR(HLOOKUP(E8,'סקרי נכסים-יתרות פתיחה'!$2:$110,5,0),0)-IFERROR(HLOOKUP(E8,'סקרי נכסים-יתרות פתיחה'!$2:$110,90,0),0)*(1-E$309)</f>
        <v>0</v>
      </c>
      <c r="F43" s="1240">
        <f>+IFERROR(HLOOKUP(F8,'סקרי נכסים-יתרות פתיחה'!$2:$110,5,0),0)-IFERROR(HLOOKUP(F8,'סקרי נכסים-יתרות פתיחה'!$2:$110,90,0),0)*(1-F$309)</f>
        <v>0</v>
      </c>
      <c r="G43" s="1240">
        <f>+IFERROR(HLOOKUP(G8,'סקרי נכסים-יתרות פתיחה'!$2:$110,5,0),0)-IFERROR(HLOOKUP(G8,'סקרי נכסים-יתרות פתיחה'!$2:$110,90,0),0)*(1-G$309)</f>
        <v>0</v>
      </c>
      <c r="H43" s="1240">
        <f>+IFERROR(HLOOKUP(H8,'סקרי נכסים-יתרות פתיחה'!$2:$110,5,0),0)-IFERROR(HLOOKUP(H8,'סקרי נכסים-יתרות פתיחה'!$2:$110,90,0),0)*(1-H$309)</f>
        <v>0</v>
      </c>
      <c r="I43" s="1240">
        <f>+IFERROR(HLOOKUP(I8,'סקרי נכסים-יתרות פתיחה'!$2:$110,5,0),0)-IFERROR(HLOOKUP(I8,'סקרי נכסים-יתרות פתיחה'!$2:$110,90,0),0)*(1-I$309)</f>
        <v>0</v>
      </c>
      <c r="J43" s="1240">
        <f>+IFERROR(HLOOKUP(J8,'סקרי נכסים-יתרות פתיחה'!$2:$110,5,0),0)-IFERROR(HLOOKUP(J8,'סקרי נכסים-יתרות פתיחה'!$2:$110,90,0),0)*(1-J$309)</f>
        <v>0</v>
      </c>
      <c r="K43" s="1240">
        <f>+IFERROR(HLOOKUP(K8,'סקרי נכסים-יתרות פתיחה'!$2:$110,5,0),0)-IFERROR(HLOOKUP(K8,'סקרי נכסים-יתרות פתיחה'!$2:$110,90,0),0)*(1-K$309)</f>
        <v>0</v>
      </c>
      <c r="L43" s="1240">
        <f>+IFERROR(HLOOKUP(L8,'סקרי נכסים-יתרות פתיחה'!$2:$110,5,0),0)-IFERROR(HLOOKUP(L8,'סקרי נכסים-יתרות פתיחה'!$2:$110,90,0),0)*(1-L$309)</f>
        <v>0</v>
      </c>
      <c r="M43" s="1240">
        <f>+IFERROR(HLOOKUP(M8,'סקרי נכסים-יתרות פתיחה'!$2:$110,5,0),0)-IFERROR(HLOOKUP(M8,'סקרי נכסים-יתרות פתיחה'!$2:$110,90,0),0)*(1-M$309)</f>
        <v>0</v>
      </c>
      <c r="N43" s="1240">
        <f>+IFERROR(HLOOKUP(N8,'סקרי נכסים-יתרות פתיחה'!$2:$110,5,0),0)-IFERROR(HLOOKUP(N8,'סקרי נכסים-יתרות פתיחה'!$2:$110,90,0),0)*(1-N$309)</f>
        <v>0</v>
      </c>
      <c r="O43" s="1240">
        <f>+IFERROR(HLOOKUP(O8,'סקרי נכסים-יתרות פתיחה'!$2:$110,5,0),0)-IFERROR(HLOOKUP(O8,'סקרי נכסים-יתרות פתיחה'!$2:$110,90,0),0)*(1-O$309)</f>
        <v>0</v>
      </c>
      <c r="P43" s="1240">
        <f>+IFERROR(HLOOKUP(P8,'סקרי נכסים-יתרות פתיחה'!$2:$110,5,0),0)-IFERROR(HLOOKUP(P8,'סקרי נכסים-יתרות פתיחה'!$2:$110,90,0),0)*(1-P$309)</f>
        <v>3957412</v>
      </c>
      <c r="Q43" s="1240">
        <f>+IFERROR(HLOOKUP(Q8,'סקרי נכסים-יתרות פתיחה'!$2:$110,5,0),0)-IFERROR(HLOOKUP(Q8,'סקרי נכסים-יתרות פתיחה'!$2:$110,90,0),0)*(1-Q$309)</f>
        <v>0</v>
      </c>
      <c r="R43" s="1240">
        <f>+IFERROR(HLOOKUP(R8,'סקרי נכסים-יתרות פתיחה'!$2:$110,5,0),0)-IFERROR(HLOOKUP(R8,'סקרי נכסים-יתרות פתיחה'!$2:$110,90,0),0)*(1-R$309)</f>
        <v>0</v>
      </c>
      <c r="S43" s="1240">
        <f>+IFERROR(HLOOKUP(S8,'סקרי נכסים-יתרות פתיחה'!$2:$110,5,0),0)-IFERROR(HLOOKUP(S8,'סקרי נכסים-יתרות פתיחה'!$2:$110,90,0),0)*(1-S$309)</f>
        <v>0</v>
      </c>
      <c r="T43" s="1240">
        <f>+IFERROR(HLOOKUP(T8,'סקרי נכסים-יתרות פתיחה'!$2:$110,5,0),0)-IFERROR(HLOOKUP(T8,'סקרי נכסים-יתרות פתיחה'!$2:$110,90,0),0)*(1-T$309)</f>
        <v>0</v>
      </c>
      <c r="U43" s="1240">
        <f>+IFERROR(HLOOKUP(U8,'סקרי נכסים-יתרות פתיחה'!$2:$110,5,0),0)-IFERROR(HLOOKUP(U8,'סקרי נכסים-יתרות פתיחה'!$2:$110,90,0),0)*(1-U$309)</f>
        <v>0</v>
      </c>
      <c r="V43" s="1240">
        <f>+IFERROR(HLOOKUP(V8,'סקרי נכסים-יתרות פתיחה'!$2:$110,5,0),0)-IFERROR(HLOOKUP(V8,'סקרי נכסים-יתרות פתיחה'!$2:$110,90,0),0)*(1-V$309)</f>
        <v>8273915</v>
      </c>
      <c r="W43" s="1240">
        <f>+IFERROR(HLOOKUP(W8,'סקרי נכסים-יתרות פתיחה'!$2:$110,5,0),0)-IFERROR(HLOOKUP(W8,'סקרי נכסים-יתרות פתיחה'!$2:$110,90,0),0)*(1-W$309)</f>
        <v>0</v>
      </c>
      <c r="X43" s="1240">
        <f>+IFERROR(HLOOKUP(X8,'סקרי נכסים-יתרות פתיחה'!$2:$110,5,0),0)-IFERROR(HLOOKUP(X8,'סקרי נכסים-יתרות פתיחה'!$2:$110,90,0),0)*(1-X$309)</f>
        <v>7793639</v>
      </c>
      <c r="Y43" s="1240">
        <f>+IFERROR(HLOOKUP(Y8,'סקרי נכסים-יתרות פתיחה'!$2:$110,5,0),0)-IFERROR(HLOOKUP(Y8,'סקרי נכסים-יתרות פתיחה'!$2:$110,90,0),0)*(1-Y$309)</f>
        <v>0</v>
      </c>
      <c r="Z43" s="1240">
        <f>+IFERROR(HLOOKUP(Z8,'סקרי נכסים-יתרות פתיחה'!$2:$110,5,0),0)-IFERROR(HLOOKUP(Z8,'סקרי נכסים-יתרות פתיחה'!$2:$110,90,0),0)*(1-Z$309)</f>
        <v>0</v>
      </c>
      <c r="AA43" s="1240">
        <f>+IFERROR(HLOOKUP(AA8,'סקרי נכסים-יתרות פתיחה'!$2:$110,5,0),0)-IFERROR(HLOOKUP(AA8,'סקרי נכסים-יתרות פתיחה'!$2:$110,90,0),0)*(1-AA$309)</f>
        <v>0</v>
      </c>
      <c r="AB43" s="1240">
        <f>+IFERROR(HLOOKUP(AB8,'סקרי נכסים-יתרות פתיחה'!$2:$110,5,0),0)-IFERROR(HLOOKUP(AB8,'סקרי נכסים-יתרות פתיחה'!$2:$110,90,0),0)*(1-AB$309)</f>
        <v>0</v>
      </c>
      <c r="AC43" s="1240">
        <f>+IFERROR(HLOOKUP(AC8,'סקרי נכסים-יתרות פתיחה'!$2:$110,5,0),0)-IFERROR(HLOOKUP(AC8,'סקרי נכסים-יתרות פתיחה'!$2:$110,90,0),0)*(1-AC$309)</f>
        <v>0</v>
      </c>
      <c r="AD43" s="1240">
        <f>+IFERROR(HLOOKUP(AD8,'סקרי נכסים-יתרות פתיחה'!$2:$110,5,0),0)-IFERROR(HLOOKUP(AD8,'סקרי נכסים-יתרות פתיחה'!$2:$110,90,0),0)*(1-AD$309)</f>
        <v>0</v>
      </c>
      <c r="AE43" s="1240">
        <f>+IFERROR(HLOOKUP(AE8,'סקרי נכסים-יתרות פתיחה'!$2:$110,5,0),0)-IFERROR(HLOOKUP(AE8,'סקרי נכסים-יתרות פתיחה'!$2:$110,90,0),0)*(1-AE$309)</f>
        <v>0</v>
      </c>
      <c r="AF43" s="1240">
        <f>+IFERROR(HLOOKUP(AF8,'סקרי נכסים-יתרות פתיחה'!$2:$110,5,0),0)-IFERROR(HLOOKUP(AF8,'סקרי נכסים-יתרות פתיחה'!$2:$110,90,0),0)*(1-AF$309)</f>
        <v>0</v>
      </c>
      <c r="AG43" s="1240">
        <f>+IFERROR(HLOOKUP(AG8,'סקרי נכסים-יתרות פתיחה'!$2:$110,5,0),0)-IFERROR(HLOOKUP(AG8,'סקרי נכסים-יתרות פתיחה'!$2:$110,90,0),0)*(1-AG$309)</f>
        <v>0</v>
      </c>
      <c r="AH43" s="1240">
        <f>+IFERROR(HLOOKUP(AH8,'סקרי נכסים-יתרות פתיחה'!$2:$110,5,0),0)-IFERROR(HLOOKUP(AH8,'סקרי נכסים-יתרות פתיחה'!$2:$110,90,0),0)*(1-AH$309)</f>
        <v>0</v>
      </c>
      <c r="AI43" s="1240">
        <f>+IFERROR(HLOOKUP(AI8,'סקרי נכסים-יתרות פתיחה'!$2:$110,5,0),0)-IFERROR(HLOOKUP(AI8,'סקרי נכסים-יתרות פתיחה'!$2:$110,90,0),0)*(1-AI$309)</f>
        <v>0</v>
      </c>
      <c r="AJ43" s="1240">
        <f>+IFERROR(HLOOKUP(AJ8,'סקרי נכסים-יתרות פתיחה'!$2:$110,5,0),0)-IFERROR(HLOOKUP(AJ8,'סקרי נכסים-יתרות פתיחה'!$2:$110,90,0),0)*(1-AJ$309)</f>
        <v>0</v>
      </c>
      <c r="AK43" s="1240">
        <f>+IFERROR(HLOOKUP(AK8,'סקרי נכסים-יתרות פתיחה'!$2:$110,5,0),0)-IFERROR(HLOOKUP(AK8,'סקרי נכסים-יתרות פתיחה'!$2:$110,90,0),0)*(1-AK$309)</f>
        <v>0</v>
      </c>
      <c r="AL43" s="1240">
        <f>+IFERROR(HLOOKUP(AL8,'סקרי נכסים-יתרות פתיחה'!$2:$110,5,0),0)-IFERROR(HLOOKUP(AL8,'סקרי נכסים-יתרות פתיחה'!$2:$110,90,0),0)*(1-AL$309)</f>
        <v>0</v>
      </c>
      <c r="AM43" s="1240">
        <f>+IFERROR(HLOOKUP(AM8,'סקרי נכסים-יתרות פתיחה'!$2:$110,5,0),0)-IFERROR(HLOOKUP(AM8,'סקרי נכסים-יתרות פתיחה'!$2:$110,90,0),0)*(1-AM$309)</f>
        <v>12620017.580952382</v>
      </c>
      <c r="AN43" s="1240">
        <f>+IFERROR(HLOOKUP(AN8,'סקרי נכסים-יתרות פתיחה'!$2:$110,5,0),0)-IFERROR(HLOOKUP(AN8,'סקרי נכסים-יתרות פתיחה'!$2:$110,90,0),0)*(1-AN$309)</f>
        <v>16931925</v>
      </c>
      <c r="AO43" s="1240">
        <f>+IFERROR(HLOOKUP(AO8,'סקרי נכסים-יתרות פתיחה'!$2:$110,5,0),0)-IFERROR(HLOOKUP(AO8,'סקרי נכסים-יתרות פתיחה'!$2:$110,90,0),0)*(1-AO$309)</f>
        <v>0</v>
      </c>
      <c r="AP43" s="1240">
        <f>+IFERROR(HLOOKUP(AP8,'סקרי נכסים-יתרות פתיחה'!$2:$110,5,0),0)-IFERROR(HLOOKUP(AP8,'סקרי נכסים-יתרות פתיחה'!$2:$110,90,0),0)*(1-AP$309)</f>
        <v>0</v>
      </c>
      <c r="AQ43" s="1240">
        <f>+IFERROR(HLOOKUP(AQ8,'סקרי נכסים-יתרות פתיחה'!$2:$110,5,0),0)-IFERROR(HLOOKUP(AQ8,'סקרי נכסים-יתרות פתיחה'!$2:$110,90,0),0)*(1-AQ$309)</f>
        <v>0</v>
      </c>
      <c r="AR43" s="1240">
        <f>+IFERROR(HLOOKUP(AR8,'סקרי נכסים-יתרות פתיחה'!$2:$110,5,0),0)-IFERROR(HLOOKUP(AR8,'סקרי נכסים-יתרות פתיחה'!$2:$110,90,0),0)*(1-AR$309)</f>
        <v>0</v>
      </c>
      <c r="AS43" s="1240">
        <f>+IFERROR(HLOOKUP(AS8,'סקרי נכסים-יתרות פתיחה'!$2:$110,5,0),0)-IFERROR(HLOOKUP(AS8,'סקרי נכסים-יתרות פתיחה'!$2:$110,90,0),0)*(1-AS$309)</f>
        <v>16709690</v>
      </c>
      <c r="AT43" s="1240">
        <f>+IFERROR(HLOOKUP(AT8,'סקרי נכסים-יתרות פתיחה'!$2:$110,5,0),0)-IFERROR(HLOOKUP(AT8,'סקרי נכסים-יתרות פתיחה'!$2:$110,90,0),0)*(1-AT$309)</f>
        <v>0</v>
      </c>
      <c r="AU43" s="1240">
        <f>+IFERROR(HLOOKUP(AU8,'סקרי נכסים-יתרות פתיחה'!$2:$110,5,0),0)-IFERROR(HLOOKUP(AU8,'סקרי נכסים-יתרות פתיחה'!$2:$110,90,0),0)*(1-AU$309)</f>
        <v>0</v>
      </c>
      <c r="AV43" s="1240">
        <f>+IFERROR(HLOOKUP(AV8,'סקרי נכסים-יתרות פתיחה'!$2:$110,5,0),0)-IFERROR(HLOOKUP(AV8,'סקרי נכסים-יתרות פתיחה'!$2:$110,90,0),0)*(1-AV$309)</f>
        <v>0</v>
      </c>
      <c r="AW43" s="1240">
        <f>+IFERROR(HLOOKUP(AW8,'סקרי נכסים-יתרות פתיחה'!$2:$110,5,0),0)-IFERROR(HLOOKUP(AW8,'סקרי נכסים-יתרות פתיחה'!$2:$110,90,0),0)*(1-AW$309)</f>
        <v>0</v>
      </c>
      <c r="AX43" s="1240">
        <f>+IFERROR(HLOOKUP(AX8,'סקרי נכסים-יתרות פתיחה'!$2:$110,5,0),0)-IFERROR(HLOOKUP(AX8,'סקרי נכסים-יתרות פתיחה'!$2:$110,90,0),0)*(1-AX$309)</f>
        <v>0</v>
      </c>
      <c r="AY43" s="1240">
        <f>+IFERROR(HLOOKUP(AY8,'סקרי נכסים-יתרות פתיחה'!$2:$110,5,0),0)-IFERROR(HLOOKUP(AY8,'סקרי נכסים-יתרות פתיחה'!$2:$110,90,0),0)*(1-AY$309)</f>
        <v>0</v>
      </c>
      <c r="AZ43" s="1240">
        <f>+IFERROR(HLOOKUP(AZ8,'סקרי נכסים-יתרות פתיחה'!$2:$110,5,0),0)-IFERROR(HLOOKUP(AZ8,'סקרי נכסים-יתרות פתיחה'!$2:$110,90,0),0)*(1-AZ$309)</f>
        <v>0</v>
      </c>
      <c r="BA43" s="1240">
        <f>+IFERROR(HLOOKUP(BA8,'סקרי נכסים-יתרות פתיחה'!$2:$110,5,0),0)-IFERROR(HLOOKUP(BA8,'סקרי נכסים-יתרות פתיחה'!$2:$110,90,0),0)*(1-BA$309)</f>
        <v>0</v>
      </c>
      <c r="BB43" s="1240">
        <f>+IFERROR(HLOOKUP(BB8,'סקרי נכסים-יתרות פתיחה'!$2:$110,5,0),0)-IFERROR(HLOOKUP(BB8,'סקרי נכסים-יתרות פתיחה'!$2:$110,90,0),0)*(1-BB$309)</f>
        <v>16256505</v>
      </c>
      <c r="BC43" s="1240">
        <f>+IFERROR(HLOOKUP(BC8,'סקרי נכסים-יתרות פתיחה'!$2:$110,5,0),0)-IFERROR(HLOOKUP(BC8,'סקרי נכסים-יתרות פתיחה'!$2:$110,90,0),0)*(1-BC$309)</f>
        <v>20261730</v>
      </c>
      <c r="BD43" s="1240">
        <f>+IFERROR(HLOOKUP(BD8,'סקרי נכסים-יתרות פתיחה'!$2:$110,5,0),0)-IFERROR(HLOOKUP(BD8,'סקרי נכסים-יתרות פתיחה'!$2:$110,90,0),0)*(1-BD$309)</f>
        <v>0</v>
      </c>
      <c r="BE43" s="1240">
        <f>+IFERROR(HLOOKUP(BE8,'סקרי נכסים-יתרות פתיחה'!$2:$110,5,0),0)-IFERROR(HLOOKUP(BE8,'סקרי נכסים-יתרות פתיחה'!$2:$110,90,0),0)*(1-BE$309)</f>
        <v>0</v>
      </c>
      <c r="BF43" s="1240">
        <f>+IFERROR(HLOOKUP(BF8,'סקרי נכסים-יתרות פתיחה'!$2:$110,5,0),0)-IFERROR(HLOOKUP(BF8,'סקרי נכסים-יתרות פתיחה'!$2:$110,90,0),0)*(1-BF$309)</f>
        <v>0</v>
      </c>
    </row>
    <row r="44" spans="1:240" x14ac:dyDescent="0.2">
      <c r="B44" s="1">
        <v>6</v>
      </c>
      <c r="C44" s="1240">
        <f>+IFERROR(HLOOKUP(C9,'סקרי נכסים-יתרות פתיחה'!$2:$110,5,0),0)-IFERROR(HLOOKUP(C9,'סקרי נכסים-יתרות פתיחה'!$2:$110,90,0),0)*(1-C$309)</f>
        <v>0</v>
      </c>
      <c r="D44" s="1240">
        <f>+IFERROR(HLOOKUP(D9,'סקרי נכסים-יתרות פתיחה'!$2:$110,5,0),0)-IFERROR(HLOOKUP(D9,'סקרי נכסים-יתרות פתיחה'!$2:$110,90,0),0)*(1-D$309)</f>
        <v>3875970</v>
      </c>
      <c r="E44" s="1240">
        <f>+IFERROR(HLOOKUP(E9,'סקרי נכסים-יתרות פתיחה'!$2:$110,5,0),0)-IFERROR(HLOOKUP(E9,'סקרי נכסים-יתרות פתיחה'!$2:$110,90,0),0)*(1-E$309)</f>
        <v>0</v>
      </c>
      <c r="F44" s="1240">
        <f>+IFERROR(HLOOKUP(F9,'סקרי נכסים-יתרות פתיחה'!$2:$110,5,0),0)-IFERROR(HLOOKUP(F9,'סקרי נכסים-יתרות פתיחה'!$2:$110,90,0),0)*(1-F$309)</f>
        <v>0</v>
      </c>
      <c r="G44" s="1240">
        <f>+IFERROR(HLOOKUP(G9,'סקרי נכסים-יתרות פתיחה'!$2:$110,5,0),0)-IFERROR(HLOOKUP(G9,'סקרי נכסים-יתרות פתיחה'!$2:$110,90,0),0)*(1-G$309)</f>
        <v>0</v>
      </c>
      <c r="H44" s="1240">
        <f>+IFERROR(HLOOKUP(H9,'סקרי נכסים-יתרות פתיחה'!$2:$110,5,0),0)-IFERROR(HLOOKUP(H9,'סקרי נכסים-יתרות פתיחה'!$2:$110,90,0),0)*(1-H$309)</f>
        <v>0</v>
      </c>
      <c r="I44" s="1240">
        <f>+IFERROR(HLOOKUP(I9,'סקרי נכסים-יתרות פתיחה'!$2:$110,5,0),0)-IFERROR(HLOOKUP(I9,'סקרי נכסים-יתרות פתיחה'!$2:$110,90,0),0)*(1-I$309)</f>
        <v>0</v>
      </c>
      <c r="J44" s="1240">
        <f>+IFERROR(HLOOKUP(J9,'סקרי נכסים-יתרות פתיחה'!$2:$110,5,0),0)-IFERROR(HLOOKUP(J9,'סקרי נכסים-יתרות פתיחה'!$2:$110,90,0),0)*(1-J$309)</f>
        <v>0</v>
      </c>
      <c r="K44" s="1240">
        <f>+IFERROR(HLOOKUP(K9,'סקרי נכסים-יתרות פתיחה'!$2:$110,5,0),0)-IFERROR(HLOOKUP(K9,'סקרי נכסים-יתרות פתיחה'!$2:$110,90,0),0)*(1-K$309)</f>
        <v>0</v>
      </c>
      <c r="L44" s="1240">
        <f>+IFERROR(HLOOKUP(L9,'סקרי נכסים-יתרות פתיחה'!$2:$110,5,0),0)-IFERROR(HLOOKUP(L9,'סקרי נכסים-יתרות פתיחה'!$2:$110,90,0),0)*(1-L$309)</f>
        <v>0</v>
      </c>
      <c r="M44" s="1240">
        <f>+IFERROR(HLOOKUP(M9,'סקרי נכסים-יתרות פתיחה'!$2:$110,5,0),0)-IFERROR(HLOOKUP(M9,'סקרי נכסים-יתרות פתיחה'!$2:$110,90,0),0)*(1-M$309)</f>
        <v>0</v>
      </c>
      <c r="N44" s="1240">
        <f>+IFERROR(HLOOKUP(N9,'סקרי נכסים-יתרות פתיחה'!$2:$110,5,0),0)-IFERROR(HLOOKUP(N9,'סקרי נכסים-יתרות פתיחה'!$2:$110,90,0),0)*(1-N$309)</f>
        <v>0</v>
      </c>
      <c r="O44" s="1240">
        <f>+IFERROR(HLOOKUP(O9,'סקרי נכסים-יתרות פתיחה'!$2:$110,5,0),0)-IFERROR(HLOOKUP(O9,'סקרי נכסים-יתרות פתיחה'!$2:$110,90,0),0)*(1-O$309)</f>
        <v>0</v>
      </c>
      <c r="P44" s="1240">
        <f>+IFERROR(HLOOKUP(P9,'סקרי נכסים-יתרות פתיחה'!$2:$110,5,0),0)-IFERROR(HLOOKUP(P9,'סקרי נכסים-יתרות פתיחה'!$2:$110,90,0),0)*(1-P$309)</f>
        <v>8068900</v>
      </c>
      <c r="Q44" s="1240">
        <f>+IFERROR(HLOOKUP(Q9,'סקרי נכסים-יתרות פתיחה'!$2:$110,5,0),0)-IFERROR(HLOOKUP(Q9,'סקרי נכסים-יתרות פתיחה'!$2:$110,90,0),0)*(1-Q$309)</f>
        <v>0</v>
      </c>
      <c r="R44" s="1240">
        <f>+IFERROR(HLOOKUP(R9,'סקרי נכסים-יתרות פתיחה'!$2:$110,5,0),0)-IFERROR(HLOOKUP(R9,'סקרי נכסים-יתרות פתיחה'!$2:$110,90,0),0)*(1-R$309)</f>
        <v>0</v>
      </c>
      <c r="S44" s="1240">
        <f>+IFERROR(HLOOKUP(S9,'סקרי נכסים-יתרות פתיחה'!$2:$110,5,0),0)-IFERROR(HLOOKUP(S9,'סקרי נכסים-יתרות פתיחה'!$2:$110,90,0),0)*(1-S$309)</f>
        <v>0</v>
      </c>
      <c r="T44" s="1240">
        <f>+IFERROR(HLOOKUP(T9,'סקרי נכסים-יתרות פתיחה'!$2:$110,5,0),0)-IFERROR(HLOOKUP(T9,'סקרי נכסים-יתרות פתיחה'!$2:$110,90,0),0)*(1-T$309)</f>
        <v>0</v>
      </c>
      <c r="U44" s="1240">
        <f>+IFERROR(HLOOKUP(U9,'סקרי נכסים-יתרות פתיחה'!$2:$110,5,0),0)-IFERROR(HLOOKUP(U9,'סקרי נכסים-יתרות פתיחה'!$2:$110,90,0),0)*(1-U$309)</f>
        <v>0</v>
      </c>
      <c r="V44" s="1240">
        <f>+IFERROR(HLOOKUP(V9,'סקרי נכסים-יתרות פתיחה'!$2:$110,5,0),0)-IFERROR(HLOOKUP(V9,'סקרי נכסים-יתרות פתיחה'!$2:$110,90,0),0)*(1-V$309)</f>
        <v>6166860</v>
      </c>
      <c r="W44" s="1240">
        <f>+IFERROR(HLOOKUP(W9,'סקרי נכסים-יתרות פתיחה'!$2:$110,5,0),0)-IFERROR(HLOOKUP(W9,'סקרי נכסים-יתרות פתיחה'!$2:$110,90,0),0)*(1-W$309)</f>
        <v>32434140</v>
      </c>
      <c r="X44" s="1240">
        <f>+IFERROR(HLOOKUP(X9,'סקרי נכסים-יתרות פתיחה'!$2:$110,5,0),0)-IFERROR(HLOOKUP(X9,'סקרי נכסים-יתרות פתיחה'!$2:$110,90,0),0)*(1-X$309)</f>
        <v>0</v>
      </c>
      <c r="Y44" s="1240">
        <f>+IFERROR(HLOOKUP(Y9,'סקרי נכסים-יתרות פתיחה'!$2:$110,5,0),0)-IFERROR(HLOOKUP(Y9,'סקרי נכסים-יתרות פתיחה'!$2:$110,90,0),0)*(1-Y$309)</f>
        <v>0</v>
      </c>
      <c r="Z44" s="1240">
        <f>+IFERROR(HLOOKUP(Z9,'סקרי נכסים-יתרות פתיחה'!$2:$110,5,0),0)-IFERROR(HLOOKUP(Z9,'סקרי נכסים-יתרות פתיחה'!$2:$110,90,0),0)*(1-Z$309)</f>
        <v>0</v>
      </c>
      <c r="AA44" s="1240">
        <f>+IFERROR(HLOOKUP(AA9,'סקרי נכסים-יתרות פתיחה'!$2:$110,5,0),0)-IFERROR(HLOOKUP(AA9,'סקרי נכסים-יתרות פתיחה'!$2:$110,90,0),0)*(1-AA$309)</f>
        <v>0</v>
      </c>
      <c r="AB44" s="1240">
        <f>+IFERROR(HLOOKUP(AB9,'סקרי נכסים-יתרות פתיחה'!$2:$110,5,0),0)-IFERROR(HLOOKUP(AB9,'סקרי נכסים-יתרות פתיחה'!$2:$110,90,0),0)*(1-AB$309)</f>
        <v>0</v>
      </c>
      <c r="AC44" s="1240">
        <f>+IFERROR(HLOOKUP(AC9,'סקרי נכסים-יתרות פתיחה'!$2:$110,5,0),0)-IFERROR(HLOOKUP(AC9,'סקרי נכסים-יתרות פתיחה'!$2:$110,90,0),0)*(1-AC$309)</f>
        <v>0</v>
      </c>
      <c r="AD44" s="1240">
        <f>+IFERROR(HLOOKUP(AD9,'סקרי נכסים-יתרות פתיחה'!$2:$110,5,0),0)-IFERROR(HLOOKUP(AD9,'סקרי נכסים-יתרות פתיחה'!$2:$110,90,0),0)*(1-AD$309)</f>
        <v>0</v>
      </c>
      <c r="AE44" s="1240">
        <f>+IFERROR(HLOOKUP(AE9,'סקרי נכסים-יתרות פתיחה'!$2:$110,5,0),0)-IFERROR(HLOOKUP(AE9,'סקרי נכסים-יתרות פתיחה'!$2:$110,90,0),0)*(1-AE$309)</f>
        <v>0</v>
      </c>
      <c r="AF44" s="1240">
        <f>+IFERROR(HLOOKUP(AF9,'סקרי נכסים-יתרות פתיחה'!$2:$110,5,0),0)-IFERROR(HLOOKUP(AF9,'סקרי נכסים-יתרות פתיחה'!$2:$110,90,0),0)*(1-AF$309)</f>
        <v>0</v>
      </c>
      <c r="AG44" s="1240">
        <f>+IFERROR(HLOOKUP(AG9,'סקרי נכסים-יתרות פתיחה'!$2:$110,5,0),0)-IFERROR(HLOOKUP(AG9,'סקרי נכסים-יתרות פתיחה'!$2:$110,90,0),0)*(1-AG$309)</f>
        <v>0</v>
      </c>
      <c r="AH44" s="1240">
        <f>+IFERROR(HLOOKUP(AH9,'סקרי נכסים-יתרות פתיחה'!$2:$110,5,0),0)-IFERROR(HLOOKUP(AH9,'סקרי נכסים-יתרות פתיחה'!$2:$110,90,0),0)*(1-AH$309)</f>
        <v>0</v>
      </c>
      <c r="AI44" s="1240">
        <f>+IFERROR(HLOOKUP(AI9,'סקרי נכסים-יתרות פתיחה'!$2:$110,5,0),0)-IFERROR(HLOOKUP(AI9,'סקרי נכסים-יתרות פתיחה'!$2:$110,90,0),0)*(1-AI$309)</f>
        <v>0</v>
      </c>
      <c r="AJ44" s="1240">
        <f>+IFERROR(HLOOKUP(AJ9,'סקרי נכסים-יתרות פתיחה'!$2:$110,5,0),0)-IFERROR(HLOOKUP(AJ9,'סקרי נכסים-יתרות פתיחה'!$2:$110,90,0),0)*(1-AJ$309)</f>
        <v>0</v>
      </c>
      <c r="AK44" s="1240">
        <f>+IFERROR(HLOOKUP(AK9,'סקרי נכסים-יתרות פתיחה'!$2:$110,5,0),0)-IFERROR(HLOOKUP(AK9,'סקרי נכסים-יתרות פתיחה'!$2:$110,90,0),0)*(1-AK$309)</f>
        <v>0</v>
      </c>
      <c r="AL44" s="1240">
        <f>+IFERROR(HLOOKUP(AL9,'סקרי נכסים-יתרות פתיחה'!$2:$110,5,0),0)-IFERROR(HLOOKUP(AL9,'סקרי נכסים-יתרות פתיחה'!$2:$110,90,0),0)*(1-AL$309)</f>
        <v>0</v>
      </c>
      <c r="AM44" s="1240">
        <f>+IFERROR(HLOOKUP(AM9,'סקרי נכסים-יתרות פתיחה'!$2:$110,5,0),0)-IFERROR(HLOOKUP(AM9,'סקרי נכסים-יתרות פתיחה'!$2:$110,90,0),0)*(1-AM$309)</f>
        <v>0</v>
      </c>
      <c r="AN44" s="1240">
        <f>+IFERROR(HLOOKUP(AN9,'סקרי נכסים-יתרות פתיחה'!$2:$110,5,0),0)-IFERROR(HLOOKUP(AN9,'סקרי נכסים-יתרות פתיחה'!$2:$110,90,0),0)*(1-AN$309)</f>
        <v>9178300</v>
      </c>
      <c r="AO44" s="1240">
        <f>+IFERROR(HLOOKUP(AO9,'סקרי נכסים-יתרות פתיחה'!$2:$110,5,0),0)-IFERROR(HLOOKUP(AO9,'סקרי נכסים-יתרות פתיחה'!$2:$110,90,0),0)*(1-AO$309)</f>
        <v>0</v>
      </c>
      <c r="AP44" s="1240">
        <f>+IFERROR(HLOOKUP(AP9,'סקרי נכסים-יתרות פתיחה'!$2:$110,5,0),0)-IFERROR(HLOOKUP(AP9,'סקרי נכסים-יתרות פתיחה'!$2:$110,90,0),0)*(1-AP$309)</f>
        <v>0</v>
      </c>
      <c r="AQ44" s="1240">
        <f>+IFERROR(HLOOKUP(AQ9,'סקרי נכסים-יתרות פתיחה'!$2:$110,5,0),0)-IFERROR(HLOOKUP(AQ9,'סקרי נכסים-יתרות פתיחה'!$2:$110,90,0),0)*(1-AQ$309)</f>
        <v>0</v>
      </c>
      <c r="AR44" s="1240">
        <f>+IFERROR(HLOOKUP(AR9,'סקרי נכסים-יתרות פתיחה'!$2:$110,5,0),0)-IFERROR(HLOOKUP(AR9,'סקרי נכסים-יתרות פתיחה'!$2:$110,90,0),0)*(1-AR$309)</f>
        <v>0</v>
      </c>
      <c r="AS44" s="1240">
        <f>+IFERROR(HLOOKUP(AS9,'סקרי נכסים-יתרות פתיחה'!$2:$110,5,0),0)-IFERROR(HLOOKUP(AS9,'סקרי נכסים-יתרות פתיחה'!$2:$110,90,0),0)*(1-AS$309)</f>
        <v>8062500</v>
      </c>
      <c r="AT44" s="1240">
        <f>+IFERROR(HLOOKUP(AT9,'סקרי נכסים-יתרות פתיחה'!$2:$110,5,0),0)-IFERROR(HLOOKUP(AT9,'סקרי נכסים-יתרות פתיחה'!$2:$110,90,0),0)*(1-AT$309)</f>
        <v>0</v>
      </c>
      <c r="AU44" s="1240">
        <f>+IFERROR(HLOOKUP(AU9,'סקרי נכסים-יתרות פתיחה'!$2:$110,5,0),0)-IFERROR(HLOOKUP(AU9,'סקרי נכסים-יתרות פתיחה'!$2:$110,90,0),0)*(1-AU$309)</f>
        <v>0</v>
      </c>
      <c r="AV44" s="1240">
        <f>+IFERROR(HLOOKUP(AV9,'סקרי נכסים-יתרות פתיחה'!$2:$110,5,0),0)-IFERROR(HLOOKUP(AV9,'סקרי נכסים-יתרות פתיחה'!$2:$110,90,0),0)*(1-AV$309)</f>
        <v>0</v>
      </c>
      <c r="AW44" s="1240">
        <f>+IFERROR(HLOOKUP(AW9,'סקרי נכסים-יתרות פתיחה'!$2:$110,5,0),0)-IFERROR(HLOOKUP(AW9,'סקרי נכסים-יתרות פתיחה'!$2:$110,90,0),0)*(1-AW$309)</f>
        <v>0</v>
      </c>
      <c r="AX44" s="1240">
        <f>+IFERROR(HLOOKUP(AX9,'סקרי נכסים-יתרות פתיחה'!$2:$110,5,0),0)-IFERROR(HLOOKUP(AX9,'סקרי נכסים-יתרות פתיחה'!$2:$110,90,0),0)*(1-AX$309)</f>
        <v>0</v>
      </c>
      <c r="AY44" s="1240">
        <f>+IFERROR(HLOOKUP(AY9,'סקרי נכסים-יתרות פתיחה'!$2:$110,5,0),0)-IFERROR(HLOOKUP(AY9,'סקרי נכסים-יתרות פתיחה'!$2:$110,90,0),0)*(1-AY$309)</f>
        <v>0</v>
      </c>
      <c r="AZ44" s="1240">
        <f>+IFERROR(HLOOKUP(AZ9,'סקרי נכסים-יתרות פתיחה'!$2:$110,5,0),0)-IFERROR(HLOOKUP(AZ9,'סקרי נכסים-יתרות פתיחה'!$2:$110,90,0),0)*(1-AZ$309)</f>
        <v>0</v>
      </c>
      <c r="BA44" s="1240">
        <f>+IFERROR(HLOOKUP(BA9,'סקרי נכסים-יתרות פתיחה'!$2:$110,5,0),0)-IFERROR(HLOOKUP(BA9,'סקרי נכסים-יתרות פתיחה'!$2:$110,90,0),0)*(1-BA$309)</f>
        <v>0</v>
      </c>
      <c r="BB44" s="1240">
        <f>+IFERROR(HLOOKUP(BB9,'סקרי נכסים-יתרות פתיחה'!$2:$110,5,0),0)-IFERROR(HLOOKUP(BB9,'סקרי נכסים-יתרות פתיחה'!$2:$110,90,0),0)*(1-BB$309)</f>
        <v>2134205</v>
      </c>
      <c r="BC44" s="1240">
        <f>+IFERROR(HLOOKUP(BC9,'סקרי נכסים-יתרות פתיחה'!$2:$110,5,0),0)-IFERROR(HLOOKUP(BC9,'סקרי נכסים-יתרות פתיחה'!$2:$110,90,0),0)*(1-BC$309)</f>
        <v>6223943.666666667</v>
      </c>
      <c r="BD44" s="1240">
        <f>+IFERROR(HLOOKUP(BD9,'סקרי נכסים-יתרות פתיחה'!$2:$110,5,0),0)-IFERROR(HLOOKUP(BD9,'סקרי נכסים-יתרות פתיחה'!$2:$110,90,0),0)*(1-BD$309)</f>
        <v>0</v>
      </c>
      <c r="BE44" s="1240">
        <f>+IFERROR(HLOOKUP(BE9,'סקרי נכסים-יתרות פתיחה'!$2:$110,5,0),0)-IFERROR(HLOOKUP(BE9,'סקרי נכסים-יתרות פתיחה'!$2:$110,90,0),0)*(1-BE$309)</f>
        <v>0</v>
      </c>
      <c r="BF44" s="1240">
        <f>+IFERROR(HLOOKUP(BF9,'סקרי נכסים-יתרות פתיחה'!$2:$110,5,0),0)-IFERROR(HLOOKUP(BF9,'סקרי נכסים-יתרות פתיחה'!$2:$110,90,0),0)*(1-BF$309)</f>
        <v>0</v>
      </c>
    </row>
    <row r="45" spans="1:240" x14ac:dyDescent="0.2">
      <c r="B45" s="1">
        <v>7</v>
      </c>
      <c r="C45" s="1240">
        <f>+IFERROR(HLOOKUP(C10,'סקרי נכסים-יתרות פתיחה'!$2:$110,5,0),0)-IFERROR(HLOOKUP(C10,'סקרי נכסים-יתרות פתיחה'!$2:$110,90,0),0)*(1-C$309)</f>
        <v>0</v>
      </c>
      <c r="D45" s="1240">
        <f>+IFERROR(HLOOKUP(D10,'סקרי נכסים-יתרות פתיחה'!$2:$110,5,0),0)-IFERROR(HLOOKUP(D10,'סקרי נכסים-יתרות פתיחה'!$2:$110,90,0),0)*(1-D$309)</f>
        <v>7267740</v>
      </c>
      <c r="E45" s="1240">
        <f>+IFERROR(HLOOKUP(E10,'סקרי נכסים-יתרות פתיחה'!$2:$110,5,0),0)-IFERROR(HLOOKUP(E10,'סקרי נכסים-יתרות פתיחה'!$2:$110,90,0),0)*(1-E$309)</f>
        <v>0</v>
      </c>
      <c r="F45" s="1240">
        <f>+IFERROR(HLOOKUP(F10,'סקרי נכסים-יתרות פתיחה'!$2:$110,5,0),0)-IFERROR(HLOOKUP(F10,'סקרי נכסים-יתרות פתיחה'!$2:$110,90,0),0)*(1-F$309)</f>
        <v>0</v>
      </c>
      <c r="G45" s="1240">
        <f>+IFERROR(HLOOKUP(G10,'סקרי נכסים-יתרות פתיחה'!$2:$110,5,0),0)-IFERROR(HLOOKUP(G10,'סקרי נכסים-יתרות פתיחה'!$2:$110,90,0),0)*(1-G$309)</f>
        <v>0</v>
      </c>
      <c r="H45" s="1240">
        <f>+IFERROR(HLOOKUP(H10,'סקרי נכסים-יתרות פתיחה'!$2:$110,5,0),0)-IFERROR(HLOOKUP(H10,'סקרי נכסים-יתרות פתיחה'!$2:$110,90,0),0)*(1-H$309)</f>
        <v>0</v>
      </c>
      <c r="I45" s="1240">
        <f>+IFERROR(HLOOKUP(I10,'סקרי נכסים-יתרות פתיחה'!$2:$110,5,0),0)-IFERROR(HLOOKUP(I10,'סקרי נכסים-יתרות פתיחה'!$2:$110,90,0),0)*(1-I$309)</f>
        <v>0</v>
      </c>
      <c r="J45" s="1240">
        <f>+IFERROR(HLOOKUP(J10,'סקרי נכסים-יתרות פתיחה'!$2:$110,5,0),0)-IFERROR(HLOOKUP(J10,'סקרי נכסים-יתרות פתיחה'!$2:$110,90,0),0)*(1-J$309)</f>
        <v>0</v>
      </c>
      <c r="K45" s="1240">
        <f>+IFERROR(HLOOKUP(K10,'סקרי נכסים-יתרות פתיחה'!$2:$110,5,0),0)-IFERROR(HLOOKUP(K10,'סקרי נכסים-יתרות פתיחה'!$2:$110,90,0),0)*(1-K$309)</f>
        <v>0</v>
      </c>
      <c r="L45" s="1240">
        <f>+IFERROR(HLOOKUP(L10,'סקרי נכסים-יתרות פתיחה'!$2:$110,5,0),0)-IFERROR(HLOOKUP(L10,'סקרי נכסים-יתרות פתיחה'!$2:$110,90,0),0)*(1-L$309)</f>
        <v>0</v>
      </c>
      <c r="M45" s="1240">
        <f>+IFERROR(HLOOKUP(M10,'סקרי נכסים-יתרות פתיחה'!$2:$110,5,0),0)-IFERROR(HLOOKUP(M10,'סקרי נכסים-יתרות פתיחה'!$2:$110,90,0),0)*(1-M$309)</f>
        <v>0</v>
      </c>
      <c r="N45" s="1240">
        <f>+IFERROR(HLOOKUP(N10,'סקרי נכסים-יתרות פתיחה'!$2:$110,5,0),0)-IFERROR(HLOOKUP(N10,'סקרי נכסים-יתרות פתיחה'!$2:$110,90,0),0)*(1-N$309)</f>
        <v>0</v>
      </c>
      <c r="O45" s="1240">
        <f>+IFERROR(HLOOKUP(O10,'סקרי נכסים-יתרות פתיחה'!$2:$110,5,0),0)-IFERROR(HLOOKUP(O10,'סקרי נכסים-יתרות פתיחה'!$2:$110,90,0),0)*(1-O$309)</f>
        <v>0</v>
      </c>
      <c r="P45" s="1240">
        <f>+IFERROR(HLOOKUP(P10,'סקרי נכסים-יתרות פתיחה'!$2:$110,5,0),0)-IFERROR(HLOOKUP(P10,'סקרי נכסים-יתרות פתיחה'!$2:$110,90,0),0)*(1-P$309)</f>
        <v>7816036</v>
      </c>
      <c r="Q45" s="1240">
        <f>+IFERROR(HLOOKUP(Q10,'סקרי נכסים-יתרות פתיחה'!$2:$110,5,0),0)-IFERROR(HLOOKUP(Q10,'סקרי נכסים-יתרות פתיחה'!$2:$110,90,0),0)*(1-Q$309)</f>
        <v>0</v>
      </c>
      <c r="R45" s="1240">
        <f>+IFERROR(HLOOKUP(R10,'סקרי נכסים-יתרות פתיחה'!$2:$110,5,0),0)-IFERROR(HLOOKUP(R10,'סקרי נכסים-יתרות פתיחה'!$2:$110,90,0),0)*(1-R$309)</f>
        <v>0</v>
      </c>
      <c r="S45" s="1240">
        <f>+IFERROR(HLOOKUP(S10,'סקרי נכסים-יתרות פתיחה'!$2:$110,5,0),0)-IFERROR(HLOOKUP(S10,'סקרי נכסים-יתרות פתיחה'!$2:$110,90,0),0)*(1-S$309)</f>
        <v>0</v>
      </c>
      <c r="T45" s="1240">
        <f>+IFERROR(HLOOKUP(T10,'סקרי נכסים-יתרות פתיחה'!$2:$110,5,0),0)-IFERROR(HLOOKUP(T10,'סקרי נכסים-יתרות פתיחה'!$2:$110,90,0),0)*(1-T$309)</f>
        <v>0</v>
      </c>
      <c r="U45" s="1240">
        <f>+IFERROR(HLOOKUP(U10,'סקרי נכסים-יתרות פתיחה'!$2:$110,5,0),0)-IFERROR(HLOOKUP(U10,'סקרי נכסים-יתרות פתיחה'!$2:$110,90,0),0)*(1-U$309)</f>
        <v>0</v>
      </c>
      <c r="V45" s="1240">
        <f>+IFERROR(HLOOKUP(V10,'סקרי נכסים-יתרות פתיחה'!$2:$110,5,0),0)-IFERROR(HLOOKUP(V10,'סקרי נכסים-יתרות פתיחה'!$2:$110,90,0),0)*(1-V$309)</f>
        <v>7773677</v>
      </c>
      <c r="W45" s="1240">
        <f>+IFERROR(HLOOKUP(W10,'סקרי נכסים-יתרות פתיחה'!$2:$110,5,0),0)-IFERROR(HLOOKUP(W10,'סקרי נכסים-יתרות פתיחה'!$2:$110,90,0),0)*(1-W$309)</f>
        <v>5183045</v>
      </c>
      <c r="X45" s="1240">
        <f>+IFERROR(HLOOKUP(X10,'סקרי נכסים-יתרות פתיחה'!$2:$110,5,0),0)-IFERROR(HLOOKUP(X10,'סקרי נכסים-יתרות פתיחה'!$2:$110,90,0),0)*(1-X$309)</f>
        <v>0</v>
      </c>
      <c r="Y45" s="1240">
        <f>+IFERROR(HLOOKUP(Y10,'סקרי נכסים-יתרות פתיחה'!$2:$110,5,0),0)-IFERROR(HLOOKUP(Y10,'סקרי נכסים-יתרות פתיחה'!$2:$110,90,0),0)*(1-Y$309)</f>
        <v>0</v>
      </c>
      <c r="Z45" s="1240">
        <f>+IFERROR(HLOOKUP(Z10,'סקרי נכסים-יתרות פתיחה'!$2:$110,5,0),0)-IFERROR(HLOOKUP(Z10,'סקרי נכסים-יתרות פתיחה'!$2:$110,90,0),0)*(1-Z$309)</f>
        <v>0</v>
      </c>
      <c r="AA45" s="1240">
        <f>+IFERROR(HLOOKUP(AA10,'סקרי נכסים-יתרות פתיחה'!$2:$110,5,0),0)-IFERROR(HLOOKUP(AA10,'סקרי נכסים-יתרות פתיחה'!$2:$110,90,0),0)*(1-AA$309)</f>
        <v>0</v>
      </c>
      <c r="AB45" s="1240">
        <f>+IFERROR(HLOOKUP(AB10,'סקרי נכסים-יתרות פתיחה'!$2:$110,5,0),0)-IFERROR(HLOOKUP(AB10,'סקרי נכסים-יתרות פתיחה'!$2:$110,90,0),0)*(1-AB$309)</f>
        <v>0</v>
      </c>
      <c r="AC45" s="1240">
        <f>+IFERROR(HLOOKUP(AC10,'סקרי נכסים-יתרות פתיחה'!$2:$110,5,0),0)-IFERROR(HLOOKUP(AC10,'סקרי נכסים-יתרות פתיחה'!$2:$110,90,0),0)*(1-AC$309)</f>
        <v>0</v>
      </c>
      <c r="AD45" s="1240">
        <f>+IFERROR(HLOOKUP(AD10,'סקרי נכסים-יתרות פתיחה'!$2:$110,5,0),0)-IFERROR(HLOOKUP(AD10,'סקרי נכסים-יתרות פתיחה'!$2:$110,90,0),0)*(1-AD$309)</f>
        <v>0</v>
      </c>
      <c r="AE45" s="1240">
        <f>+IFERROR(HLOOKUP(AE10,'סקרי נכסים-יתרות פתיחה'!$2:$110,5,0),0)-IFERROR(HLOOKUP(AE10,'סקרי נכסים-יתרות פתיחה'!$2:$110,90,0),0)*(1-AE$309)</f>
        <v>0</v>
      </c>
      <c r="AF45" s="1240">
        <f>+IFERROR(HLOOKUP(AF10,'סקרי נכסים-יתרות פתיחה'!$2:$110,5,0),0)-IFERROR(HLOOKUP(AF10,'סקרי נכסים-יתרות פתיחה'!$2:$110,90,0),0)*(1-AF$309)</f>
        <v>0</v>
      </c>
      <c r="AG45" s="1240">
        <f>+IFERROR(HLOOKUP(AG10,'סקרי נכסים-יתרות פתיחה'!$2:$110,5,0),0)-IFERROR(HLOOKUP(AG10,'סקרי נכסים-יתרות פתיחה'!$2:$110,90,0),0)*(1-AG$309)</f>
        <v>0</v>
      </c>
      <c r="AH45" s="1240">
        <f>+IFERROR(HLOOKUP(AH10,'סקרי נכסים-יתרות פתיחה'!$2:$110,5,0),0)-IFERROR(HLOOKUP(AH10,'סקרי נכסים-יתרות פתיחה'!$2:$110,90,0),0)*(1-AH$309)</f>
        <v>0</v>
      </c>
      <c r="AI45" s="1240">
        <f>+IFERROR(HLOOKUP(AI10,'סקרי נכסים-יתרות פתיחה'!$2:$110,5,0),0)-IFERROR(HLOOKUP(AI10,'סקרי נכסים-יתרות פתיחה'!$2:$110,90,0),0)*(1-AI$309)</f>
        <v>0</v>
      </c>
      <c r="AJ45" s="1240">
        <f>+IFERROR(HLOOKUP(AJ10,'סקרי נכסים-יתרות פתיחה'!$2:$110,5,0),0)-IFERROR(HLOOKUP(AJ10,'סקרי נכסים-יתרות פתיחה'!$2:$110,90,0),0)*(1-AJ$309)</f>
        <v>0</v>
      </c>
      <c r="AK45" s="1240">
        <f>+IFERROR(HLOOKUP(AK10,'סקרי נכסים-יתרות פתיחה'!$2:$110,5,0),0)-IFERROR(HLOOKUP(AK10,'סקרי נכסים-יתרות פתיחה'!$2:$110,90,0),0)*(1-AK$309)</f>
        <v>0</v>
      </c>
      <c r="AL45" s="1240">
        <f>+IFERROR(HLOOKUP(AL10,'סקרי נכסים-יתרות פתיחה'!$2:$110,5,0),0)-IFERROR(HLOOKUP(AL10,'סקרי נכסים-יתרות פתיחה'!$2:$110,90,0),0)*(1-AL$309)</f>
        <v>0</v>
      </c>
      <c r="AM45" s="1240">
        <f>+IFERROR(HLOOKUP(AM10,'סקרי נכסים-יתרות פתיחה'!$2:$110,5,0),0)-IFERROR(HLOOKUP(AM10,'סקרי נכסים-יתרות פתיחה'!$2:$110,90,0),0)*(1-AM$309)</f>
        <v>0</v>
      </c>
      <c r="AN45" s="1240">
        <f>+IFERROR(HLOOKUP(AN10,'סקרי נכסים-יתרות פתיחה'!$2:$110,5,0),0)-IFERROR(HLOOKUP(AN10,'סקרי נכסים-יתרות פתיחה'!$2:$110,90,0),0)*(1-AN$309)</f>
        <v>0</v>
      </c>
      <c r="AO45" s="1240">
        <f>+IFERROR(HLOOKUP(AO10,'סקרי נכסים-יתרות פתיחה'!$2:$110,5,0),0)-IFERROR(HLOOKUP(AO10,'סקרי נכסים-יתרות פתיחה'!$2:$110,90,0),0)*(1-AO$309)</f>
        <v>0</v>
      </c>
      <c r="AP45" s="1240">
        <f>+IFERROR(HLOOKUP(AP10,'סקרי נכסים-יתרות פתיחה'!$2:$110,5,0),0)-IFERROR(HLOOKUP(AP10,'סקרי נכסים-יתרות פתיחה'!$2:$110,90,0),0)*(1-AP$309)</f>
        <v>0</v>
      </c>
      <c r="AQ45" s="1240">
        <f>+IFERROR(HLOOKUP(AQ10,'סקרי נכסים-יתרות פתיחה'!$2:$110,5,0),0)-IFERROR(HLOOKUP(AQ10,'סקרי נכסים-יתרות פתיחה'!$2:$110,90,0),0)*(1-AQ$309)</f>
        <v>0</v>
      </c>
      <c r="AR45" s="1240">
        <f>+IFERROR(HLOOKUP(AR10,'סקרי נכסים-יתרות פתיחה'!$2:$110,5,0),0)-IFERROR(HLOOKUP(AR10,'סקרי נכסים-יתרות פתיחה'!$2:$110,90,0),0)*(1-AR$309)</f>
        <v>0</v>
      </c>
      <c r="AS45" s="1240">
        <f>+IFERROR(HLOOKUP(AS10,'סקרי נכסים-יתרות פתיחה'!$2:$110,5,0),0)-IFERROR(HLOOKUP(AS10,'סקרי נכסים-יתרות פתיחה'!$2:$110,90,0),0)*(1-AS$309)</f>
        <v>5057780</v>
      </c>
      <c r="AT45" s="1240">
        <f>+IFERROR(HLOOKUP(AT10,'סקרי נכסים-יתרות פתיחה'!$2:$110,5,0),0)-IFERROR(HLOOKUP(AT10,'סקרי נכסים-יתרות פתיחה'!$2:$110,90,0),0)*(1-AT$309)</f>
        <v>0</v>
      </c>
      <c r="AU45" s="1240">
        <f>+IFERROR(HLOOKUP(AU10,'סקרי נכסים-יתרות פתיחה'!$2:$110,5,0),0)-IFERROR(HLOOKUP(AU10,'סקרי נכסים-יתרות פתיחה'!$2:$110,90,0),0)*(1-AU$309)</f>
        <v>0</v>
      </c>
      <c r="AV45" s="1240">
        <f>+IFERROR(HLOOKUP(AV10,'סקרי נכסים-יתרות פתיחה'!$2:$110,5,0),0)-IFERROR(HLOOKUP(AV10,'סקרי נכסים-יתרות פתיחה'!$2:$110,90,0),0)*(1-AV$309)</f>
        <v>0</v>
      </c>
      <c r="AW45" s="1240">
        <f>+IFERROR(HLOOKUP(AW10,'סקרי נכסים-יתרות פתיחה'!$2:$110,5,0),0)-IFERROR(HLOOKUP(AW10,'סקרי נכסים-יתרות פתיחה'!$2:$110,90,0),0)*(1-AW$309)</f>
        <v>0</v>
      </c>
      <c r="AX45" s="1240">
        <f>+IFERROR(HLOOKUP(AX10,'סקרי נכסים-יתרות פתיחה'!$2:$110,5,0),0)-IFERROR(HLOOKUP(AX10,'סקרי נכסים-יתרות פתיחה'!$2:$110,90,0),0)*(1-AX$309)</f>
        <v>0</v>
      </c>
      <c r="AY45" s="1240">
        <f>+IFERROR(HLOOKUP(AY10,'סקרי נכסים-יתרות פתיחה'!$2:$110,5,0),0)-IFERROR(HLOOKUP(AY10,'סקרי נכסים-יתרות פתיחה'!$2:$110,90,0),0)*(1-AY$309)</f>
        <v>0</v>
      </c>
      <c r="AZ45" s="1240">
        <f>+IFERROR(HLOOKUP(AZ10,'סקרי נכסים-יתרות פתיחה'!$2:$110,5,0),0)-IFERROR(HLOOKUP(AZ10,'סקרי נכסים-יתרות פתיחה'!$2:$110,90,0),0)*(1-AZ$309)</f>
        <v>0</v>
      </c>
      <c r="BA45" s="1240">
        <f>+IFERROR(HLOOKUP(BA10,'סקרי נכסים-יתרות פתיחה'!$2:$110,5,0),0)-IFERROR(HLOOKUP(BA10,'סקרי נכסים-יתרות פתיחה'!$2:$110,90,0),0)*(1-BA$309)</f>
        <v>0</v>
      </c>
      <c r="BB45" s="1240">
        <f>+IFERROR(HLOOKUP(BB10,'סקרי נכסים-יתרות פתיחה'!$2:$110,5,0),0)-IFERROR(HLOOKUP(BB10,'סקרי נכסים-יתרות פתיחה'!$2:$110,90,0),0)*(1-BB$309)</f>
        <v>10990832</v>
      </c>
      <c r="BC45" s="1240">
        <f>+IFERROR(HLOOKUP(BC10,'סקרי נכסים-יתרות פתיחה'!$2:$110,5,0),0)-IFERROR(HLOOKUP(BC10,'סקרי נכסים-יתרות פתיחה'!$2:$110,90,0),0)*(1-BC$309)</f>
        <v>6223943.666666667</v>
      </c>
      <c r="BD45" s="1240">
        <f>+IFERROR(HLOOKUP(BD10,'סקרי נכסים-יתרות פתיחה'!$2:$110,5,0),0)-IFERROR(HLOOKUP(BD10,'סקרי נכסים-יתרות פתיחה'!$2:$110,90,0),0)*(1-BD$309)</f>
        <v>0</v>
      </c>
      <c r="BE45" s="1240">
        <f>+IFERROR(HLOOKUP(BE10,'סקרי נכסים-יתרות פתיחה'!$2:$110,5,0),0)-IFERROR(HLOOKUP(BE10,'סקרי נכסים-יתרות פתיחה'!$2:$110,90,0),0)*(1-BE$309)</f>
        <v>0</v>
      </c>
      <c r="BF45" s="1240">
        <f>+IFERROR(HLOOKUP(BF10,'סקרי נכסים-יתרות פתיחה'!$2:$110,5,0),0)-IFERROR(HLOOKUP(BF10,'סקרי נכסים-יתרות פתיחה'!$2:$110,90,0),0)*(1-BF$309)</f>
        <v>0</v>
      </c>
    </row>
    <row r="46" spans="1:240" x14ac:dyDescent="0.2">
      <c r="B46" s="1">
        <v>8</v>
      </c>
      <c r="C46" s="1240">
        <f>+IFERROR(HLOOKUP(C11,'סקרי נכסים-יתרות פתיחה'!$2:$110,5,0),0)-IFERROR(HLOOKUP(C11,'סקרי נכסים-יתרות פתיחה'!$2:$110,90,0),0)*(1-C$309)</f>
        <v>0</v>
      </c>
      <c r="D46" s="1240">
        <f>+IFERROR(HLOOKUP(D11,'סקרי נכסים-יתרות פתיחה'!$2:$110,5,0),0)-IFERROR(HLOOKUP(D11,'סקרי נכסים-יתרות פתיחה'!$2:$110,90,0),0)*(1-D$309)</f>
        <v>0</v>
      </c>
      <c r="E46" s="1240">
        <f>+IFERROR(HLOOKUP(E11,'סקרי נכסים-יתרות פתיחה'!$2:$110,5,0),0)-IFERROR(HLOOKUP(E11,'סקרי נכסים-יתרות פתיחה'!$2:$110,90,0),0)*(1-E$309)</f>
        <v>0</v>
      </c>
      <c r="F46" s="1240">
        <f>+IFERROR(HLOOKUP(F11,'סקרי נכסים-יתרות פתיחה'!$2:$110,5,0),0)-IFERROR(HLOOKUP(F11,'סקרי נכסים-יתרות פתיחה'!$2:$110,90,0),0)*(1-F$309)</f>
        <v>0</v>
      </c>
      <c r="G46" s="1240">
        <f>+IFERROR(HLOOKUP(G11,'סקרי נכסים-יתרות פתיחה'!$2:$110,5,0),0)-IFERROR(HLOOKUP(G11,'סקרי נכסים-יתרות פתיחה'!$2:$110,90,0),0)*(1-G$309)</f>
        <v>0</v>
      </c>
      <c r="H46" s="1240">
        <f>+IFERROR(HLOOKUP(H11,'סקרי נכסים-יתרות פתיחה'!$2:$110,5,0),0)-IFERROR(HLOOKUP(H11,'סקרי נכסים-יתרות פתיחה'!$2:$110,90,0),0)*(1-H$309)</f>
        <v>0</v>
      </c>
      <c r="I46" s="1240">
        <f>+IFERROR(HLOOKUP(I11,'סקרי נכסים-יתרות פתיחה'!$2:$110,5,0),0)-IFERROR(HLOOKUP(I11,'סקרי נכסים-יתרות פתיחה'!$2:$110,90,0),0)*(1-I$309)</f>
        <v>0</v>
      </c>
      <c r="J46" s="1240">
        <f>+IFERROR(HLOOKUP(J11,'סקרי נכסים-יתרות פתיחה'!$2:$110,5,0),0)-IFERROR(HLOOKUP(J11,'סקרי נכסים-יתרות פתיחה'!$2:$110,90,0),0)*(1-J$309)</f>
        <v>0</v>
      </c>
      <c r="K46" s="1240">
        <f>+IFERROR(HLOOKUP(K11,'סקרי נכסים-יתרות פתיחה'!$2:$110,5,0),0)-IFERROR(HLOOKUP(K11,'סקרי נכסים-יתרות פתיחה'!$2:$110,90,0),0)*(1-K$309)</f>
        <v>0</v>
      </c>
      <c r="L46" s="1240">
        <f>+IFERROR(HLOOKUP(L11,'סקרי נכסים-יתרות פתיחה'!$2:$110,5,0),0)-IFERROR(HLOOKUP(L11,'סקרי נכסים-יתרות פתיחה'!$2:$110,90,0),0)*(1-L$309)</f>
        <v>0</v>
      </c>
      <c r="M46" s="1240">
        <f>+IFERROR(HLOOKUP(M11,'סקרי נכסים-יתרות פתיחה'!$2:$110,5,0),0)-IFERROR(HLOOKUP(M11,'סקרי נכסים-יתרות פתיחה'!$2:$110,90,0),0)*(1-M$309)</f>
        <v>0</v>
      </c>
      <c r="N46" s="1240">
        <f>+IFERROR(HLOOKUP(N11,'סקרי נכסים-יתרות פתיחה'!$2:$110,5,0),0)-IFERROR(HLOOKUP(N11,'סקרי נכסים-יתרות פתיחה'!$2:$110,90,0),0)*(1-N$309)</f>
        <v>0</v>
      </c>
      <c r="O46" s="1240">
        <f>+IFERROR(HLOOKUP(O11,'סקרי נכסים-יתרות פתיחה'!$2:$110,5,0),0)-IFERROR(HLOOKUP(O11,'סקרי נכסים-יתרות פתיחה'!$2:$110,90,0),0)*(1-O$309)</f>
        <v>0</v>
      </c>
      <c r="P46" s="1240">
        <f>+IFERROR(HLOOKUP(P11,'סקרי נכסים-יתרות פתיחה'!$2:$110,5,0),0)-IFERROR(HLOOKUP(P11,'סקרי נכסים-יתרות פתיחה'!$2:$110,90,0),0)*(1-P$309)</f>
        <v>3310350</v>
      </c>
      <c r="Q46" s="1240">
        <f>+IFERROR(HLOOKUP(Q11,'סקרי נכסים-יתרות פתיחה'!$2:$110,5,0),0)-IFERROR(HLOOKUP(Q11,'סקרי נכסים-יתרות פתיחה'!$2:$110,90,0),0)*(1-Q$309)</f>
        <v>0</v>
      </c>
      <c r="R46" s="1240">
        <f>+IFERROR(HLOOKUP(R11,'סקרי נכסים-יתרות פתיחה'!$2:$110,5,0),0)-IFERROR(HLOOKUP(R11,'סקרי נכסים-יתרות פתיחה'!$2:$110,90,0),0)*(1-R$309)</f>
        <v>0</v>
      </c>
      <c r="S46" s="1240">
        <f>+IFERROR(HLOOKUP(S11,'סקרי נכסים-יתרות פתיחה'!$2:$110,5,0),0)-IFERROR(HLOOKUP(S11,'סקרי נכסים-יתרות פתיחה'!$2:$110,90,0),0)*(1-S$309)</f>
        <v>0</v>
      </c>
      <c r="T46" s="1240">
        <f>+IFERROR(HLOOKUP(T11,'סקרי נכסים-יתרות פתיחה'!$2:$110,5,0),0)-IFERROR(HLOOKUP(T11,'סקרי נכסים-יתרות פתיחה'!$2:$110,90,0),0)*(1-T$309)</f>
        <v>0</v>
      </c>
      <c r="U46" s="1240">
        <f>+IFERROR(HLOOKUP(U11,'סקרי נכסים-יתרות פתיחה'!$2:$110,5,0),0)-IFERROR(HLOOKUP(U11,'סקרי נכסים-יתרות פתיחה'!$2:$110,90,0),0)*(1-U$309)</f>
        <v>0</v>
      </c>
      <c r="V46" s="1240">
        <f>+IFERROR(HLOOKUP(V11,'סקרי נכסים-יתרות פתיחה'!$2:$110,5,0),0)-IFERROR(HLOOKUP(V11,'סקרי נכסים-יתרות פתיחה'!$2:$110,90,0),0)*(1-V$309)</f>
        <v>0</v>
      </c>
      <c r="W46" s="1240">
        <f>+IFERROR(HLOOKUP(W11,'סקרי נכסים-יתרות פתיחה'!$2:$110,5,0),0)-IFERROR(HLOOKUP(W11,'סקרי נכסים-יתרות פתיחה'!$2:$110,90,0),0)*(1-W$309)</f>
        <v>0</v>
      </c>
      <c r="X46" s="1240">
        <f>+IFERROR(HLOOKUP(X11,'סקרי נכסים-יתרות פתיחה'!$2:$110,5,0),0)-IFERROR(HLOOKUP(X11,'סקרי נכסים-יתרות פתיחה'!$2:$110,90,0),0)*(1-X$309)</f>
        <v>0</v>
      </c>
      <c r="Y46" s="1240">
        <f>+IFERROR(HLOOKUP(Y11,'סקרי נכסים-יתרות פתיחה'!$2:$110,5,0),0)-IFERROR(HLOOKUP(Y11,'סקרי נכסים-יתרות פתיחה'!$2:$110,90,0),0)*(1-Y$309)</f>
        <v>0</v>
      </c>
      <c r="Z46" s="1240">
        <f>+IFERROR(HLOOKUP(Z11,'סקרי נכסים-יתרות פתיחה'!$2:$110,5,0),0)-IFERROR(HLOOKUP(Z11,'סקרי נכסים-יתרות פתיחה'!$2:$110,90,0),0)*(1-Z$309)</f>
        <v>0</v>
      </c>
      <c r="AA46" s="1240">
        <f>+IFERROR(HLOOKUP(AA11,'סקרי נכסים-יתרות פתיחה'!$2:$110,5,0),0)-IFERROR(HLOOKUP(AA11,'סקרי נכסים-יתרות פתיחה'!$2:$110,90,0),0)*(1-AA$309)</f>
        <v>0</v>
      </c>
      <c r="AB46" s="1240">
        <f>+IFERROR(HLOOKUP(AB11,'סקרי נכסים-יתרות פתיחה'!$2:$110,5,0),0)-IFERROR(HLOOKUP(AB11,'סקרי נכסים-יתרות פתיחה'!$2:$110,90,0),0)*(1-AB$309)</f>
        <v>0</v>
      </c>
      <c r="AC46" s="1240">
        <f>+IFERROR(HLOOKUP(AC11,'סקרי נכסים-יתרות פתיחה'!$2:$110,5,0),0)-IFERROR(HLOOKUP(AC11,'סקרי נכסים-יתרות פתיחה'!$2:$110,90,0),0)*(1-AC$309)</f>
        <v>0</v>
      </c>
      <c r="AD46" s="1240">
        <f>+IFERROR(HLOOKUP(AD11,'סקרי נכסים-יתרות פתיחה'!$2:$110,5,0),0)-IFERROR(HLOOKUP(AD11,'סקרי נכסים-יתרות פתיחה'!$2:$110,90,0),0)*(1-AD$309)</f>
        <v>0</v>
      </c>
      <c r="AE46" s="1240">
        <f>+IFERROR(HLOOKUP(AE11,'סקרי נכסים-יתרות פתיחה'!$2:$110,5,0),0)-IFERROR(HLOOKUP(AE11,'סקרי נכסים-יתרות פתיחה'!$2:$110,90,0),0)*(1-AE$309)</f>
        <v>0</v>
      </c>
      <c r="AF46" s="1240">
        <f>+IFERROR(HLOOKUP(AF11,'סקרי נכסים-יתרות פתיחה'!$2:$110,5,0),0)-IFERROR(HLOOKUP(AF11,'סקרי נכסים-יתרות פתיחה'!$2:$110,90,0),0)*(1-AF$309)</f>
        <v>0</v>
      </c>
      <c r="AG46" s="1240">
        <f>+IFERROR(HLOOKUP(AG11,'סקרי נכסים-יתרות פתיחה'!$2:$110,5,0),0)-IFERROR(HLOOKUP(AG11,'סקרי נכסים-יתרות פתיחה'!$2:$110,90,0),0)*(1-AG$309)</f>
        <v>0</v>
      </c>
      <c r="AH46" s="1240">
        <f>+IFERROR(HLOOKUP(AH11,'סקרי נכסים-יתרות פתיחה'!$2:$110,5,0),0)-IFERROR(HLOOKUP(AH11,'סקרי נכסים-יתרות פתיחה'!$2:$110,90,0),0)*(1-AH$309)</f>
        <v>0</v>
      </c>
      <c r="AI46" s="1240">
        <f>+IFERROR(HLOOKUP(AI11,'סקרי נכסים-יתרות פתיחה'!$2:$110,5,0),0)-IFERROR(HLOOKUP(AI11,'סקרי נכסים-יתרות פתיחה'!$2:$110,90,0),0)*(1-AI$309)</f>
        <v>0</v>
      </c>
      <c r="AJ46" s="1240">
        <f>+IFERROR(HLOOKUP(AJ11,'סקרי נכסים-יתרות פתיחה'!$2:$110,5,0),0)-IFERROR(HLOOKUP(AJ11,'סקרי נכסים-יתרות פתיחה'!$2:$110,90,0),0)*(1-AJ$309)</f>
        <v>0</v>
      </c>
      <c r="AK46" s="1240">
        <f>+IFERROR(HLOOKUP(AK11,'סקרי נכסים-יתרות פתיחה'!$2:$110,5,0),0)-IFERROR(HLOOKUP(AK11,'סקרי נכסים-יתרות פתיחה'!$2:$110,90,0),0)*(1-AK$309)</f>
        <v>0</v>
      </c>
      <c r="AL46" s="1240">
        <f>+IFERROR(HLOOKUP(AL11,'סקרי נכסים-יתרות פתיחה'!$2:$110,5,0),0)-IFERROR(HLOOKUP(AL11,'סקרי נכסים-יתרות פתיחה'!$2:$110,90,0),0)*(1-AL$309)</f>
        <v>0</v>
      </c>
      <c r="AM46" s="1240">
        <f>+IFERROR(HLOOKUP(AM11,'סקרי נכסים-יתרות פתיחה'!$2:$110,5,0),0)-IFERROR(HLOOKUP(AM11,'סקרי נכסים-יתרות פתיחה'!$2:$110,90,0),0)*(1-AM$309)</f>
        <v>0</v>
      </c>
      <c r="AN46" s="1240">
        <f>+IFERROR(HLOOKUP(AN11,'סקרי נכסים-יתרות פתיחה'!$2:$110,5,0),0)-IFERROR(HLOOKUP(AN11,'סקרי נכסים-יתרות פתיחה'!$2:$110,90,0),0)*(1-AN$309)</f>
        <v>0</v>
      </c>
      <c r="AO46" s="1240">
        <f>+IFERROR(HLOOKUP(AO11,'סקרי נכסים-יתרות פתיחה'!$2:$110,5,0),0)-IFERROR(HLOOKUP(AO11,'סקרי נכסים-יתרות פתיחה'!$2:$110,90,0),0)*(1-AO$309)</f>
        <v>0</v>
      </c>
      <c r="AP46" s="1240">
        <f>+IFERROR(HLOOKUP(AP11,'סקרי נכסים-יתרות פתיחה'!$2:$110,5,0),0)-IFERROR(HLOOKUP(AP11,'סקרי נכסים-יתרות פתיחה'!$2:$110,90,0),0)*(1-AP$309)</f>
        <v>0</v>
      </c>
      <c r="AQ46" s="1240">
        <f>+IFERROR(HLOOKUP(AQ11,'סקרי נכסים-יתרות פתיחה'!$2:$110,5,0),0)-IFERROR(HLOOKUP(AQ11,'סקרי נכסים-יתרות פתיחה'!$2:$110,90,0),0)*(1-AQ$309)</f>
        <v>0</v>
      </c>
      <c r="AR46" s="1240">
        <f>+IFERROR(HLOOKUP(AR11,'סקרי נכסים-יתרות פתיחה'!$2:$110,5,0),0)-IFERROR(HLOOKUP(AR11,'סקרי נכסים-יתרות פתיחה'!$2:$110,90,0),0)*(1-AR$309)</f>
        <v>0</v>
      </c>
      <c r="AS46" s="1240">
        <f>+IFERROR(HLOOKUP(AS11,'סקרי נכסים-יתרות פתיחה'!$2:$110,5,0),0)-IFERROR(HLOOKUP(AS11,'סקרי נכסים-יתרות פתיחה'!$2:$110,90,0),0)*(1-AS$309)</f>
        <v>10650530</v>
      </c>
      <c r="AT46" s="1240">
        <f>+IFERROR(HLOOKUP(AT11,'סקרי נכסים-יתרות פתיחה'!$2:$110,5,0),0)-IFERROR(HLOOKUP(AT11,'סקרי נכסים-יתרות פתיחה'!$2:$110,90,0),0)*(1-AT$309)</f>
        <v>0</v>
      </c>
      <c r="AU46" s="1240">
        <f>+IFERROR(HLOOKUP(AU11,'סקרי נכסים-יתרות פתיחה'!$2:$110,5,0),0)-IFERROR(HLOOKUP(AU11,'סקרי נכסים-יתרות פתיחה'!$2:$110,90,0),0)*(1-AU$309)</f>
        <v>0</v>
      </c>
      <c r="AV46" s="1240">
        <f>+IFERROR(HLOOKUP(AV11,'סקרי נכסים-יתרות פתיחה'!$2:$110,5,0),0)-IFERROR(HLOOKUP(AV11,'סקרי נכסים-יתרות פתיחה'!$2:$110,90,0),0)*(1-AV$309)</f>
        <v>0</v>
      </c>
      <c r="AW46" s="1240">
        <f>+IFERROR(HLOOKUP(AW11,'סקרי נכסים-יתרות פתיחה'!$2:$110,5,0),0)-IFERROR(HLOOKUP(AW11,'סקרי נכסים-יתרות פתיחה'!$2:$110,90,0),0)*(1-AW$309)</f>
        <v>0</v>
      </c>
      <c r="AX46" s="1240">
        <f>+IFERROR(HLOOKUP(AX11,'סקרי נכסים-יתרות פתיחה'!$2:$110,5,0),0)-IFERROR(HLOOKUP(AX11,'סקרי נכסים-יתרות פתיחה'!$2:$110,90,0),0)*(1-AX$309)</f>
        <v>0</v>
      </c>
      <c r="AY46" s="1240">
        <f>+IFERROR(HLOOKUP(AY11,'סקרי נכסים-יתרות פתיחה'!$2:$110,5,0),0)-IFERROR(HLOOKUP(AY11,'סקרי נכסים-יתרות פתיחה'!$2:$110,90,0),0)*(1-AY$309)</f>
        <v>0</v>
      </c>
      <c r="AZ46" s="1240">
        <f>+IFERROR(HLOOKUP(AZ11,'סקרי נכסים-יתרות פתיחה'!$2:$110,5,0),0)-IFERROR(HLOOKUP(AZ11,'סקרי נכסים-יתרות פתיחה'!$2:$110,90,0),0)*(1-AZ$309)</f>
        <v>0</v>
      </c>
      <c r="BA46" s="1240">
        <f>+IFERROR(HLOOKUP(BA11,'סקרי נכסים-יתרות פתיחה'!$2:$110,5,0),0)-IFERROR(HLOOKUP(BA11,'סקרי נכסים-יתרות פתיחה'!$2:$110,90,0),0)*(1-BA$309)</f>
        <v>0</v>
      </c>
      <c r="BB46" s="1240">
        <f>+IFERROR(HLOOKUP(BB11,'סקרי נכסים-יתרות פתיחה'!$2:$110,5,0),0)-IFERROR(HLOOKUP(BB11,'סקרי נכסים-יתרות פתיחה'!$2:$110,90,0),0)*(1-BB$309)</f>
        <v>0</v>
      </c>
      <c r="BC46" s="1240">
        <f>+IFERROR(HLOOKUP(BC11,'סקרי נכסים-יתרות פתיחה'!$2:$110,5,0),0)-IFERROR(HLOOKUP(BC11,'סקרי נכסים-יתרות פתיחה'!$2:$110,90,0),0)*(1-BC$309)</f>
        <v>0</v>
      </c>
      <c r="BD46" s="1240">
        <f>+IFERROR(HLOOKUP(BD11,'סקרי נכסים-יתרות פתיחה'!$2:$110,5,0),0)-IFERROR(HLOOKUP(BD11,'סקרי נכסים-יתרות פתיחה'!$2:$110,90,0),0)*(1-BD$309)</f>
        <v>0</v>
      </c>
      <c r="BE46" s="1240">
        <f>+IFERROR(HLOOKUP(BE11,'סקרי נכסים-יתרות פתיחה'!$2:$110,5,0),0)-IFERROR(HLOOKUP(BE11,'סקרי נכסים-יתרות פתיחה'!$2:$110,90,0),0)*(1-BE$309)</f>
        <v>0</v>
      </c>
      <c r="BF46" s="1240">
        <f>+IFERROR(HLOOKUP(BF11,'סקרי נכסים-יתרות פתיחה'!$2:$110,5,0),0)-IFERROR(HLOOKUP(BF11,'סקרי נכסים-יתרות פתיחה'!$2:$110,90,0),0)*(1-BF$309)</f>
        <v>0</v>
      </c>
    </row>
    <row r="47" spans="1:240" x14ac:dyDescent="0.2">
      <c r="B47" s="1">
        <v>9</v>
      </c>
      <c r="C47" s="1240">
        <f>+IFERROR(HLOOKUP(C12,'סקרי נכסים-יתרות פתיחה'!$2:$110,5,0),0)-IFERROR(HLOOKUP(C12,'סקרי נכסים-יתרות פתיחה'!$2:$110,90,0),0)*(1-C$309)</f>
        <v>0</v>
      </c>
      <c r="D47" s="1240">
        <f>+IFERROR(HLOOKUP(D12,'סקרי נכסים-יתרות פתיחה'!$2:$110,5,0),0)-IFERROR(HLOOKUP(D12,'סקרי נכסים-יתרות פתיחה'!$2:$110,90,0),0)*(1-D$309)</f>
        <v>0</v>
      </c>
      <c r="E47" s="1240">
        <f>+IFERROR(HLOOKUP(E12,'סקרי נכסים-יתרות פתיחה'!$2:$110,5,0),0)-IFERROR(HLOOKUP(E12,'סקרי נכסים-יתרות פתיחה'!$2:$110,90,0),0)*(1-E$309)</f>
        <v>0</v>
      </c>
      <c r="F47" s="1240">
        <f>+IFERROR(HLOOKUP(F12,'סקרי נכסים-יתרות פתיחה'!$2:$110,5,0),0)-IFERROR(HLOOKUP(F12,'סקרי נכסים-יתרות פתיחה'!$2:$110,90,0),0)*(1-F$309)</f>
        <v>0</v>
      </c>
      <c r="G47" s="1240">
        <f>+IFERROR(HLOOKUP(G12,'סקרי נכסים-יתרות פתיחה'!$2:$110,5,0),0)-IFERROR(HLOOKUP(G12,'סקרי נכסים-יתרות פתיחה'!$2:$110,90,0),0)*(1-G$309)</f>
        <v>0</v>
      </c>
      <c r="H47" s="1240">
        <f>+IFERROR(HLOOKUP(H12,'סקרי נכסים-יתרות פתיחה'!$2:$110,5,0),0)-IFERROR(HLOOKUP(H12,'סקרי נכסים-יתרות פתיחה'!$2:$110,90,0),0)*(1-H$309)</f>
        <v>0</v>
      </c>
      <c r="I47" s="1240">
        <f>+IFERROR(HLOOKUP(I12,'סקרי נכסים-יתרות פתיחה'!$2:$110,5,0),0)-IFERROR(HLOOKUP(I12,'סקרי נכסים-יתרות פתיחה'!$2:$110,90,0),0)*(1-I$309)</f>
        <v>0</v>
      </c>
      <c r="J47" s="1240">
        <f>+IFERROR(HLOOKUP(J12,'סקרי נכסים-יתרות פתיחה'!$2:$110,5,0),0)-IFERROR(HLOOKUP(J12,'סקרי נכסים-יתרות פתיחה'!$2:$110,90,0),0)*(1-J$309)</f>
        <v>0</v>
      </c>
      <c r="K47" s="1240">
        <f>+IFERROR(HLOOKUP(K12,'סקרי נכסים-יתרות פתיחה'!$2:$110,5,0),0)-IFERROR(HLOOKUP(K12,'סקרי נכסים-יתרות פתיחה'!$2:$110,90,0),0)*(1-K$309)</f>
        <v>0</v>
      </c>
      <c r="L47" s="1240">
        <f>+IFERROR(HLOOKUP(L12,'סקרי נכסים-יתרות פתיחה'!$2:$110,5,0),0)-IFERROR(HLOOKUP(L12,'סקרי נכסים-יתרות פתיחה'!$2:$110,90,0),0)*(1-L$309)</f>
        <v>0</v>
      </c>
      <c r="M47" s="1240">
        <f>+IFERROR(HLOOKUP(M12,'סקרי נכסים-יתרות פתיחה'!$2:$110,5,0),0)-IFERROR(HLOOKUP(M12,'סקרי נכסים-יתרות פתיחה'!$2:$110,90,0),0)*(1-M$309)</f>
        <v>0</v>
      </c>
      <c r="N47" s="1240">
        <f>+IFERROR(HLOOKUP(N12,'סקרי נכסים-יתרות פתיחה'!$2:$110,5,0),0)-IFERROR(HLOOKUP(N12,'סקרי נכסים-יתרות פתיחה'!$2:$110,90,0),0)*(1-N$309)</f>
        <v>0</v>
      </c>
      <c r="O47" s="1240">
        <f>+IFERROR(HLOOKUP(O12,'סקרי נכסים-יתרות פתיחה'!$2:$110,5,0),0)-IFERROR(HLOOKUP(O12,'סקרי נכסים-יתרות פתיחה'!$2:$110,90,0),0)*(1-O$309)</f>
        <v>0</v>
      </c>
      <c r="P47" s="1240">
        <f>+IFERROR(HLOOKUP(P12,'סקרי נכסים-יתרות פתיחה'!$2:$110,5,0),0)-IFERROR(HLOOKUP(P12,'סקרי נכסים-יתרות פתיחה'!$2:$110,90,0),0)*(1-P$309)</f>
        <v>12087425</v>
      </c>
      <c r="Q47" s="1240">
        <f>+IFERROR(HLOOKUP(Q12,'סקרי נכסים-יתרות פתיחה'!$2:$110,5,0),0)-IFERROR(HLOOKUP(Q12,'סקרי נכסים-יתרות פתיחה'!$2:$110,90,0),0)*(1-Q$309)</f>
        <v>0</v>
      </c>
      <c r="R47" s="1240">
        <f>+IFERROR(HLOOKUP(R12,'סקרי נכסים-יתרות פתיחה'!$2:$110,5,0),0)-IFERROR(HLOOKUP(R12,'סקרי נכסים-יתרות פתיחה'!$2:$110,90,0),0)*(1-R$309)</f>
        <v>0</v>
      </c>
      <c r="S47" s="1240">
        <f>+IFERROR(HLOOKUP(S12,'סקרי נכסים-יתרות פתיחה'!$2:$110,5,0),0)-IFERROR(HLOOKUP(S12,'סקרי נכסים-יתרות פתיחה'!$2:$110,90,0),0)*(1-S$309)</f>
        <v>0</v>
      </c>
      <c r="T47" s="1240">
        <f>+IFERROR(HLOOKUP(T12,'סקרי נכסים-יתרות פתיחה'!$2:$110,5,0),0)-IFERROR(HLOOKUP(T12,'סקרי נכסים-יתרות פתיחה'!$2:$110,90,0),0)*(1-T$309)</f>
        <v>0</v>
      </c>
      <c r="U47" s="1240">
        <f>+IFERROR(HLOOKUP(U12,'סקרי נכסים-יתרות פתיחה'!$2:$110,5,0),0)-IFERROR(HLOOKUP(U12,'סקרי נכסים-יתרות פתיחה'!$2:$110,90,0),0)*(1-U$309)</f>
        <v>0</v>
      </c>
      <c r="V47" s="1240">
        <f>+IFERROR(HLOOKUP(V12,'סקרי נכסים-יתרות פתיחה'!$2:$110,5,0),0)-IFERROR(HLOOKUP(V12,'סקרי נכסים-יתרות פתיחה'!$2:$110,90,0),0)*(1-V$309)</f>
        <v>0</v>
      </c>
      <c r="W47" s="1240">
        <f>+IFERROR(HLOOKUP(W12,'סקרי נכסים-יתרות פתיחה'!$2:$110,5,0),0)-IFERROR(HLOOKUP(W12,'סקרי נכסים-יתרות פתיחה'!$2:$110,90,0),0)*(1-W$309)</f>
        <v>0</v>
      </c>
      <c r="X47" s="1240">
        <f>+IFERROR(HLOOKUP(X12,'סקרי נכסים-יתרות פתיחה'!$2:$110,5,0),0)-IFERROR(HLOOKUP(X12,'סקרי נכסים-יתרות פתיחה'!$2:$110,90,0),0)*(1-X$309)</f>
        <v>0</v>
      </c>
      <c r="Y47" s="1240">
        <f>+IFERROR(HLOOKUP(Y12,'סקרי נכסים-יתרות פתיחה'!$2:$110,5,0),0)-IFERROR(HLOOKUP(Y12,'סקרי נכסים-יתרות פתיחה'!$2:$110,90,0),0)*(1-Y$309)</f>
        <v>0</v>
      </c>
      <c r="Z47" s="1240">
        <f>+IFERROR(HLOOKUP(Z12,'סקרי נכסים-יתרות פתיחה'!$2:$110,5,0),0)-IFERROR(HLOOKUP(Z12,'סקרי נכסים-יתרות פתיחה'!$2:$110,90,0),0)*(1-Z$309)</f>
        <v>0</v>
      </c>
      <c r="AA47" s="1240">
        <f>+IFERROR(HLOOKUP(AA12,'סקרי נכסים-יתרות פתיחה'!$2:$110,5,0),0)-IFERROR(HLOOKUP(AA12,'סקרי נכסים-יתרות פתיחה'!$2:$110,90,0),0)*(1-AA$309)</f>
        <v>0</v>
      </c>
      <c r="AB47" s="1240">
        <f>+IFERROR(HLOOKUP(AB12,'סקרי נכסים-יתרות פתיחה'!$2:$110,5,0),0)-IFERROR(HLOOKUP(AB12,'סקרי נכסים-יתרות פתיחה'!$2:$110,90,0),0)*(1-AB$309)</f>
        <v>0</v>
      </c>
      <c r="AC47" s="1240">
        <f>+IFERROR(HLOOKUP(AC12,'סקרי נכסים-יתרות פתיחה'!$2:$110,5,0),0)-IFERROR(HLOOKUP(AC12,'סקרי נכסים-יתרות פתיחה'!$2:$110,90,0),0)*(1-AC$309)</f>
        <v>0</v>
      </c>
      <c r="AD47" s="1240">
        <f>+IFERROR(HLOOKUP(AD12,'סקרי נכסים-יתרות פתיחה'!$2:$110,5,0),0)-IFERROR(HLOOKUP(AD12,'סקרי נכסים-יתרות פתיחה'!$2:$110,90,0),0)*(1-AD$309)</f>
        <v>0</v>
      </c>
      <c r="AE47" s="1240">
        <f>+IFERROR(HLOOKUP(AE12,'סקרי נכסים-יתרות פתיחה'!$2:$110,5,0),0)-IFERROR(HLOOKUP(AE12,'סקרי נכסים-יתרות פתיחה'!$2:$110,90,0),0)*(1-AE$309)</f>
        <v>0</v>
      </c>
      <c r="AF47" s="1240">
        <f>+IFERROR(HLOOKUP(AF12,'סקרי נכסים-יתרות פתיחה'!$2:$110,5,0),0)-IFERROR(HLOOKUP(AF12,'סקרי נכסים-יתרות פתיחה'!$2:$110,90,0),0)*(1-AF$309)</f>
        <v>0</v>
      </c>
      <c r="AG47" s="1240">
        <f>+IFERROR(HLOOKUP(AG12,'סקרי נכסים-יתרות פתיחה'!$2:$110,5,0),0)-IFERROR(HLOOKUP(AG12,'סקרי נכסים-יתרות פתיחה'!$2:$110,90,0),0)*(1-AG$309)</f>
        <v>0</v>
      </c>
      <c r="AH47" s="1240">
        <f>+IFERROR(HLOOKUP(AH12,'סקרי נכסים-יתרות פתיחה'!$2:$110,5,0),0)-IFERROR(HLOOKUP(AH12,'סקרי נכסים-יתרות פתיחה'!$2:$110,90,0),0)*(1-AH$309)</f>
        <v>0</v>
      </c>
      <c r="AI47" s="1240">
        <f>+IFERROR(HLOOKUP(AI12,'סקרי נכסים-יתרות פתיחה'!$2:$110,5,0),0)-IFERROR(HLOOKUP(AI12,'סקרי נכסים-יתרות פתיחה'!$2:$110,90,0),0)*(1-AI$309)</f>
        <v>0</v>
      </c>
      <c r="AJ47" s="1240">
        <f>+IFERROR(HLOOKUP(AJ12,'סקרי נכסים-יתרות פתיחה'!$2:$110,5,0),0)-IFERROR(HLOOKUP(AJ12,'סקרי נכסים-יתרות פתיחה'!$2:$110,90,0),0)*(1-AJ$309)</f>
        <v>0</v>
      </c>
      <c r="AK47" s="1240">
        <f>+IFERROR(HLOOKUP(AK12,'סקרי נכסים-יתרות פתיחה'!$2:$110,5,0),0)-IFERROR(HLOOKUP(AK12,'סקרי נכסים-יתרות פתיחה'!$2:$110,90,0),0)*(1-AK$309)</f>
        <v>0</v>
      </c>
      <c r="AL47" s="1240">
        <f>+IFERROR(HLOOKUP(AL12,'סקרי נכסים-יתרות פתיחה'!$2:$110,5,0),0)-IFERROR(HLOOKUP(AL12,'סקרי נכסים-יתרות פתיחה'!$2:$110,90,0),0)*(1-AL$309)</f>
        <v>0</v>
      </c>
      <c r="AM47" s="1240">
        <f>+IFERROR(HLOOKUP(AM12,'סקרי נכסים-יתרות פתיחה'!$2:$110,5,0),0)-IFERROR(HLOOKUP(AM12,'סקרי נכסים-יתרות פתיחה'!$2:$110,90,0),0)*(1-AM$309)</f>
        <v>0</v>
      </c>
      <c r="AN47" s="1240">
        <f>+IFERROR(HLOOKUP(AN12,'סקרי נכסים-יתרות פתיחה'!$2:$110,5,0),0)-IFERROR(HLOOKUP(AN12,'סקרי נכסים-יתרות פתיחה'!$2:$110,90,0),0)*(1-AN$309)</f>
        <v>0</v>
      </c>
      <c r="AO47" s="1240">
        <f>+IFERROR(HLOOKUP(AO12,'סקרי נכסים-יתרות פתיחה'!$2:$110,5,0),0)-IFERROR(HLOOKUP(AO12,'סקרי נכסים-יתרות פתיחה'!$2:$110,90,0),0)*(1-AO$309)</f>
        <v>0</v>
      </c>
      <c r="AP47" s="1240">
        <f>+IFERROR(HLOOKUP(AP12,'סקרי נכסים-יתרות פתיחה'!$2:$110,5,0),0)-IFERROR(HLOOKUP(AP12,'סקרי נכסים-יתרות פתיחה'!$2:$110,90,0),0)*(1-AP$309)</f>
        <v>0</v>
      </c>
      <c r="AQ47" s="1240">
        <f>+IFERROR(HLOOKUP(AQ12,'סקרי נכסים-יתרות פתיחה'!$2:$110,5,0),0)-IFERROR(HLOOKUP(AQ12,'סקרי נכסים-יתרות פתיחה'!$2:$110,90,0),0)*(1-AQ$309)</f>
        <v>0</v>
      </c>
      <c r="AR47" s="1240">
        <f>+IFERROR(HLOOKUP(AR12,'סקרי נכסים-יתרות פתיחה'!$2:$110,5,0),0)-IFERROR(HLOOKUP(AR12,'סקרי נכסים-יתרות פתיחה'!$2:$110,90,0),0)*(1-AR$309)</f>
        <v>0</v>
      </c>
      <c r="AS47" s="1240">
        <f>+IFERROR(HLOOKUP(AS12,'סקרי נכסים-יתרות פתיחה'!$2:$110,5,0),0)-IFERROR(HLOOKUP(AS12,'סקרי נכסים-יתרות פתיחה'!$2:$110,90,0),0)*(1-AS$309)</f>
        <v>5257202</v>
      </c>
      <c r="AT47" s="1240">
        <f>+IFERROR(HLOOKUP(AT12,'סקרי נכסים-יתרות פתיחה'!$2:$110,5,0),0)-IFERROR(HLOOKUP(AT12,'סקרי נכסים-יתרות פתיחה'!$2:$110,90,0),0)*(1-AT$309)</f>
        <v>0</v>
      </c>
      <c r="AU47" s="1240">
        <f>+IFERROR(HLOOKUP(AU12,'סקרי נכסים-יתרות פתיחה'!$2:$110,5,0),0)-IFERROR(HLOOKUP(AU12,'סקרי נכסים-יתרות פתיחה'!$2:$110,90,0),0)*(1-AU$309)</f>
        <v>0</v>
      </c>
      <c r="AV47" s="1240">
        <f>+IFERROR(HLOOKUP(AV12,'סקרי נכסים-יתרות פתיחה'!$2:$110,5,0),0)-IFERROR(HLOOKUP(AV12,'סקרי נכסים-יתרות פתיחה'!$2:$110,90,0),0)*(1-AV$309)</f>
        <v>0</v>
      </c>
      <c r="AW47" s="1240">
        <f>+IFERROR(HLOOKUP(AW12,'סקרי נכסים-יתרות פתיחה'!$2:$110,5,0),0)-IFERROR(HLOOKUP(AW12,'סקרי נכסים-יתרות פתיחה'!$2:$110,90,0),0)*(1-AW$309)</f>
        <v>0</v>
      </c>
      <c r="AX47" s="1240">
        <f>+IFERROR(HLOOKUP(AX12,'סקרי נכסים-יתרות פתיחה'!$2:$110,5,0),0)-IFERROR(HLOOKUP(AX12,'סקרי נכסים-יתרות פתיחה'!$2:$110,90,0),0)*(1-AX$309)</f>
        <v>0</v>
      </c>
      <c r="AY47" s="1240">
        <f>+IFERROR(HLOOKUP(AY12,'סקרי נכסים-יתרות פתיחה'!$2:$110,5,0),0)-IFERROR(HLOOKUP(AY12,'סקרי נכסים-יתרות פתיחה'!$2:$110,90,0),0)*(1-AY$309)</f>
        <v>0</v>
      </c>
      <c r="AZ47" s="1240">
        <f>+IFERROR(HLOOKUP(AZ12,'סקרי נכסים-יתרות פתיחה'!$2:$110,5,0),0)-IFERROR(HLOOKUP(AZ12,'סקרי נכסים-יתרות פתיחה'!$2:$110,90,0),0)*(1-AZ$309)</f>
        <v>0</v>
      </c>
      <c r="BA47" s="1240">
        <f>+IFERROR(HLOOKUP(BA12,'סקרי נכסים-יתרות פתיחה'!$2:$110,5,0),0)-IFERROR(HLOOKUP(BA12,'סקרי נכסים-יתרות פתיחה'!$2:$110,90,0),0)*(1-BA$309)</f>
        <v>0</v>
      </c>
      <c r="BB47" s="1240">
        <f>+IFERROR(HLOOKUP(BB12,'סקרי נכסים-יתרות פתיחה'!$2:$110,5,0),0)-IFERROR(HLOOKUP(BB12,'סקרי נכסים-יתרות פתיחה'!$2:$110,90,0),0)*(1-BB$309)</f>
        <v>0</v>
      </c>
      <c r="BC47" s="1240">
        <f>+IFERROR(HLOOKUP(BC12,'סקרי נכסים-יתרות פתיחה'!$2:$110,5,0),0)-IFERROR(HLOOKUP(BC12,'סקרי נכסים-יתרות פתיחה'!$2:$110,90,0),0)*(1-BC$309)</f>
        <v>0</v>
      </c>
      <c r="BD47" s="1240">
        <f>+IFERROR(HLOOKUP(BD12,'סקרי נכסים-יתרות פתיחה'!$2:$110,5,0),0)-IFERROR(HLOOKUP(BD12,'סקרי נכסים-יתרות פתיחה'!$2:$110,90,0),0)*(1-BD$309)</f>
        <v>0</v>
      </c>
      <c r="BE47" s="1240">
        <f>+IFERROR(HLOOKUP(BE12,'סקרי נכסים-יתרות פתיחה'!$2:$110,5,0),0)-IFERROR(HLOOKUP(BE12,'סקרי נכסים-יתרות פתיחה'!$2:$110,90,0),0)*(1-BE$309)</f>
        <v>0</v>
      </c>
      <c r="BF47" s="1240">
        <f>+IFERROR(HLOOKUP(BF12,'סקרי נכסים-יתרות פתיחה'!$2:$110,5,0),0)-IFERROR(HLOOKUP(BF12,'סקרי נכסים-יתרות פתיחה'!$2:$110,90,0),0)*(1-BF$309)</f>
        <v>0</v>
      </c>
    </row>
    <row r="48" spans="1:240" x14ac:dyDescent="0.2">
      <c r="B48" s="1">
        <v>10</v>
      </c>
      <c r="C48" s="1240">
        <f>+IFERROR(HLOOKUP(C13,'סקרי נכסים-יתרות פתיחה'!$2:$110,5,0),0)-IFERROR(HLOOKUP(C13,'סקרי נכסים-יתרות פתיחה'!$2:$110,90,0),0)*(1-C$309)</f>
        <v>0</v>
      </c>
      <c r="D48" s="1240">
        <f>+IFERROR(HLOOKUP(D13,'סקרי נכסים-יתרות פתיחה'!$2:$110,5,0),0)-IFERROR(HLOOKUP(D13,'סקרי נכסים-יתרות פתיחה'!$2:$110,90,0),0)*(1-D$309)</f>
        <v>0</v>
      </c>
      <c r="E48" s="1240">
        <f>+IFERROR(HLOOKUP(E13,'סקרי נכסים-יתרות פתיחה'!$2:$110,5,0),0)-IFERROR(HLOOKUP(E13,'סקרי נכסים-יתרות פתיחה'!$2:$110,90,0),0)*(1-E$309)</f>
        <v>0</v>
      </c>
      <c r="F48" s="1240">
        <f>+IFERROR(HLOOKUP(F13,'סקרי נכסים-יתרות פתיחה'!$2:$110,5,0),0)-IFERROR(HLOOKUP(F13,'סקרי נכסים-יתרות פתיחה'!$2:$110,90,0),0)*(1-F$309)</f>
        <v>0</v>
      </c>
      <c r="G48" s="1240">
        <f>+IFERROR(HLOOKUP(G13,'סקרי נכסים-יתרות פתיחה'!$2:$110,5,0),0)-IFERROR(HLOOKUP(G13,'סקרי נכסים-יתרות פתיחה'!$2:$110,90,0),0)*(1-G$309)</f>
        <v>0</v>
      </c>
      <c r="H48" s="1240">
        <f>+IFERROR(HLOOKUP(H13,'סקרי נכסים-יתרות פתיחה'!$2:$110,5,0),0)-IFERROR(HLOOKUP(H13,'סקרי נכסים-יתרות פתיחה'!$2:$110,90,0),0)*(1-H$309)</f>
        <v>0</v>
      </c>
      <c r="I48" s="1240">
        <f>+IFERROR(HLOOKUP(I13,'סקרי נכסים-יתרות פתיחה'!$2:$110,5,0),0)-IFERROR(HLOOKUP(I13,'סקרי נכסים-יתרות פתיחה'!$2:$110,90,0),0)*(1-I$309)</f>
        <v>0</v>
      </c>
      <c r="J48" s="1240">
        <f>+IFERROR(HLOOKUP(J13,'סקרי נכסים-יתרות פתיחה'!$2:$110,5,0),0)-IFERROR(HLOOKUP(J13,'סקרי נכסים-יתרות פתיחה'!$2:$110,90,0),0)*(1-J$309)</f>
        <v>0</v>
      </c>
      <c r="K48" s="1240">
        <f>+IFERROR(HLOOKUP(K13,'סקרי נכסים-יתרות פתיחה'!$2:$110,5,0),0)-IFERROR(HLOOKUP(K13,'סקרי נכסים-יתרות פתיחה'!$2:$110,90,0),0)*(1-K$309)</f>
        <v>0</v>
      </c>
      <c r="L48" s="1240">
        <f>+IFERROR(HLOOKUP(L13,'סקרי נכסים-יתרות פתיחה'!$2:$110,5,0),0)-IFERROR(HLOOKUP(L13,'סקרי נכסים-יתרות פתיחה'!$2:$110,90,0),0)*(1-L$309)</f>
        <v>0</v>
      </c>
      <c r="M48" s="1240">
        <f>+IFERROR(HLOOKUP(M13,'סקרי נכסים-יתרות פתיחה'!$2:$110,5,0),0)-IFERROR(HLOOKUP(M13,'סקרי נכסים-יתרות פתיחה'!$2:$110,90,0),0)*(1-M$309)</f>
        <v>0</v>
      </c>
      <c r="N48" s="1240">
        <f>+IFERROR(HLOOKUP(N13,'סקרי נכסים-יתרות פתיחה'!$2:$110,5,0),0)-IFERROR(HLOOKUP(N13,'סקרי נכסים-יתרות פתיחה'!$2:$110,90,0),0)*(1-N$309)</f>
        <v>0</v>
      </c>
      <c r="O48" s="1240">
        <f>+IFERROR(HLOOKUP(O13,'סקרי נכסים-יתרות פתיחה'!$2:$110,5,0),0)-IFERROR(HLOOKUP(O13,'סקרי נכסים-יתרות פתיחה'!$2:$110,90,0),0)*(1-O$309)</f>
        <v>0</v>
      </c>
      <c r="P48" s="1240">
        <f>+IFERROR(HLOOKUP(P13,'סקרי נכסים-יתרות פתיחה'!$2:$110,5,0),0)-IFERROR(HLOOKUP(P13,'סקרי נכסים-יתרות פתיחה'!$2:$110,90,0),0)*(1-P$309)</f>
        <v>7027270</v>
      </c>
      <c r="Q48" s="1240">
        <f>+IFERROR(HLOOKUP(Q13,'סקרי נכסים-יתרות פתיחה'!$2:$110,5,0),0)-IFERROR(HLOOKUP(Q13,'סקרי נכסים-יתרות פתיחה'!$2:$110,90,0),0)*(1-Q$309)</f>
        <v>0</v>
      </c>
      <c r="R48" s="1240">
        <f>+IFERROR(HLOOKUP(R13,'סקרי נכסים-יתרות פתיחה'!$2:$110,5,0),0)-IFERROR(HLOOKUP(R13,'סקרי נכסים-יתרות פתיחה'!$2:$110,90,0),0)*(1-R$309)</f>
        <v>0</v>
      </c>
      <c r="S48" s="1240">
        <f>+IFERROR(HLOOKUP(S13,'סקרי נכסים-יתרות פתיחה'!$2:$110,5,0),0)-IFERROR(HLOOKUP(S13,'סקרי נכסים-יתרות פתיחה'!$2:$110,90,0),0)*(1-S$309)</f>
        <v>0</v>
      </c>
      <c r="T48" s="1240">
        <f>+IFERROR(HLOOKUP(T13,'סקרי נכסים-יתרות פתיחה'!$2:$110,5,0),0)-IFERROR(HLOOKUP(T13,'סקרי נכסים-יתרות פתיחה'!$2:$110,90,0),0)*(1-T$309)</f>
        <v>0</v>
      </c>
      <c r="U48" s="1240">
        <f>+IFERROR(HLOOKUP(U13,'סקרי נכסים-יתרות פתיחה'!$2:$110,5,0),0)-IFERROR(HLOOKUP(U13,'סקרי נכסים-יתרות פתיחה'!$2:$110,90,0),0)*(1-U$309)</f>
        <v>0</v>
      </c>
      <c r="V48" s="1240">
        <f>+IFERROR(HLOOKUP(V13,'סקרי נכסים-יתרות פתיחה'!$2:$110,5,0),0)-IFERROR(HLOOKUP(V13,'סקרי נכסים-יתרות פתיחה'!$2:$110,90,0),0)*(1-V$309)</f>
        <v>0</v>
      </c>
      <c r="W48" s="1240">
        <f>+IFERROR(HLOOKUP(W13,'סקרי נכסים-יתרות פתיחה'!$2:$110,5,0),0)-IFERROR(HLOOKUP(W13,'סקרי נכסים-יתרות פתיחה'!$2:$110,90,0),0)*(1-W$309)</f>
        <v>0</v>
      </c>
      <c r="X48" s="1240">
        <f>+IFERROR(HLOOKUP(X13,'סקרי נכסים-יתרות פתיחה'!$2:$110,5,0),0)-IFERROR(HLOOKUP(X13,'סקרי נכסים-יתרות פתיחה'!$2:$110,90,0),0)*(1-X$309)</f>
        <v>0</v>
      </c>
      <c r="Y48" s="1240">
        <f>+IFERROR(HLOOKUP(Y13,'סקרי נכסים-יתרות פתיחה'!$2:$110,5,0),0)-IFERROR(HLOOKUP(Y13,'סקרי נכסים-יתרות פתיחה'!$2:$110,90,0),0)*(1-Y$309)</f>
        <v>0</v>
      </c>
      <c r="Z48" s="1240">
        <f>+IFERROR(HLOOKUP(Z13,'סקרי נכסים-יתרות פתיחה'!$2:$110,5,0),0)-IFERROR(HLOOKUP(Z13,'סקרי נכסים-יתרות פתיחה'!$2:$110,90,0),0)*(1-Z$309)</f>
        <v>0</v>
      </c>
      <c r="AA48" s="1240">
        <f>+IFERROR(HLOOKUP(AA13,'סקרי נכסים-יתרות פתיחה'!$2:$110,5,0),0)-IFERROR(HLOOKUP(AA13,'סקרי נכסים-יתרות פתיחה'!$2:$110,90,0),0)*(1-AA$309)</f>
        <v>0</v>
      </c>
      <c r="AB48" s="1240">
        <f>+IFERROR(HLOOKUP(AB13,'סקרי נכסים-יתרות פתיחה'!$2:$110,5,0),0)-IFERROR(HLOOKUP(AB13,'סקרי נכסים-יתרות פתיחה'!$2:$110,90,0),0)*(1-AB$309)</f>
        <v>0</v>
      </c>
      <c r="AC48" s="1240">
        <f>+IFERROR(HLOOKUP(AC13,'סקרי נכסים-יתרות פתיחה'!$2:$110,5,0),0)-IFERROR(HLOOKUP(AC13,'סקרי נכסים-יתרות פתיחה'!$2:$110,90,0),0)*(1-AC$309)</f>
        <v>0</v>
      </c>
      <c r="AD48" s="1240">
        <f>+IFERROR(HLOOKUP(AD13,'סקרי נכסים-יתרות פתיחה'!$2:$110,5,0),0)-IFERROR(HLOOKUP(AD13,'סקרי נכסים-יתרות פתיחה'!$2:$110,90,0),0)*(1-AD$309)</f>
        <v>0</v>
      </c>
      <c r="AE48" s="1240">
        <f>+IFERROR(HLOOKUP(AE13,'סקרי נכסים-יתרות פתיחה'!$2:$110,5,0),0)-IFERROR(HLOOKUP(AE13,'סקרי נכסים-יתרות פתיחה'!$2:$110,90,0),0)*(1-AE$309)</f>
        <v>0</v>
      </c>
      <c r="AF48" s="1240">
        <f>+IFERROR(HLOOKUP(AF13,'סקרי נכסים-יתרות פתיחה'!$2:$110,5,0),0)-IFERROR(HLOOKUP(AF13,'סקרי נכסים-יתרות פתיחה'!$2:$110,90,0),0)*(1-AF$309)</f>
        <v>0</v>
      </c>
      <c r="AG48" s="1240">
        <f>+IFERROR(HLOOKUP(AG13,'סקרי נכסים-יתרות פתיחה'!$2:$110,5,0),0)-IFERROR(HLOOKUP(AG13,'סקרי נכסים-יתרות פתיחה'!$2:$110,90,0),0)*(1-AG$309)</f>
        <v>0</v>
      </c>
      <c r="AH48" s="1240">
        <f>+IFERROR(HLOOKUP(AH13,'סקרי נכסים-יתרות פתיחה'!$2:$110,5,0),0)-IFERROR(HLOOKUP(AH13,'סקרי נכסים-יתרות פתיחה'!$2:$110,90,0),0)*(1-AH$309)</f>
        <v>0</v>
      </c>
      <c r="AI48" s="1240">
        <f>+IFERROR(HLOOKUP(AI13,'סקרי נכסים-יתרות פתיחה'!$2:$110,5,0),0)-IFERROR(HLOOKUP(AI13,'סקרי נכסים-יתרות פתיחה'!$2:$110,90,0),0)*(1-AI$309)</f>
        <v>0</v>
      </c>
      <c r="AJ48" s="1240">
        <f>+IFERROR(HLOOKUP(AJ13,'סקרי נכסים-יתרות פתיחה'!$2:$110,5,0),0)-IFERROR(HLOOKUP(AJ13,'סקרי נכסים-יתרות פתיחה'!$2:$110,90,0),0)*(1-AJ$309)</f>
        <v>0</v>
      </c>
      <c r="AK48" s="1240">
        <f>+IFERROR(HLOOKUP(AK13,'סקרי נכסים-יתרות פתיחה'!$2:$110,5,0),0)-IFERROR(HLOOKUP(AK13,'סקרי נכסים-יתרות פתיחה'!$2:$110,90,0),0)*(1-AK$309)</f>
        <v>0</v>
      </c>
      <c r="AL48" s="1240">
        <f>+IFERROR(HLOOKUP(AL13,'סקרי נכסים-יתרות פתיחה'!$2:$110,5,0),0)-IFERROR(HLOOKUP(AL13,'סקרי נכסים-יתרות פתיחה'!$2:$110,90,0),0)*(1-AL$309)</f>
        <v>0</v>
      </c>
      <c r="AM48" s="1240">
        <f>+IFERROR(HLOOKUP(AM13,'סקרי נכסים-יתרות פתיחה'!$2:$110,5,0),0)-IFERROR(HLOOKUP(AM13,'סקרי נכסים-יתרות פתיחה'!$2:$110,90,0),0)*(1-AM$309)</f>
        <v>0</v>
      </c>
      <c r="AN48" s="1240">
        <f>+IFERROR(HLOOKUP(AN13,'סקרי נכסים-יתרות פתיחה'!$2:$110,5,0),0)-IFERROR(HLOOKUP(AN13,'סקרי נכסים-יתרות פתיחה'!$2:$110,90,0),0)*(1-AN$309)</f>
        <v>0</v>
      </c>
      <c r="AO48" s="1240">
        <f>+IFERROR(HLOOKUP(AO13,'סקרי נכסים-יתרות פתיחה'!$2:$110,5,0),0)-IFERROR(HLOOKUP(AO13,'סקרי נכסים-יתרות פתיחה'!$2:$110,90,0),0)*(1-AO$309)</f>
        <v>0</v>
      </c>
      <c r="AP48" s="1240">
        <f>+IFERROR(HLOOKUP(AP13,'סקרי נכסים-יתרות פתיחה'!$2:$110,5,0),0)-IFERROR(HLOOKUP(AP13,'סקרי נכסים-יתרות פתיחה'!$2:$110,90,0),0)*(1-AP$309)</f>
        <v>0</v>
      </c>
      <c r="AQ48" s="1240">
        <f>+IFERROR(HLOOKUP(AQ13,'סקרי נכסים-יתרות פתיחה'!$2:$110,5,0),0)-IFERROR(HLOOKUP(AQ13,'סקרי נכסים-יתרות פתיחה'!$2:$110,90,0),0)*(1-AQ$309)</f>
        <v>0</v>
      </c>
      <c r="AR48" s="1240">
        <f>+IFERROR(HLOOKUP(AR13,'סקרי נכסים-יתרות פתיחה'!$2:$110,5,0),0)-IFERROR(HLOOKUP(AR13,'סקרי נכסים-יתרות פתיחה'!$2:$110,90,0),0)*(1-AR$309)</f>
        <v>0</v>
      </c>
      <c r="AS48" s="1240">
        <f>+IFERROR(HLOOKUP(AS13,'סקרי נכסים-יתרות פתיחה'!$2:$110,5,0),0)-IFERROR(HLOOKUP(AS13,'סקרי נכסים-יתרות פתיחה'!$2:$110,90,0),0)*(1-AS$309)</f>
        <v>10482005</v>
      </c>
      <c r="AT48" s="1240">
        <f>+IFERROR(HLOOKUP(AT13,'סקרי נכסים-יתרות פתיחה'!$2:$110,5,0),0)-IFERROR(HLOOKUP(AT13,'סקרי נכסים-יתרות פתיחה'!$2:$110,90,0),0)*(1-AT$309)</f>
        <v>0</v>
      </c>
      <c r="AU48" s="1240">
        <f>+IFERROR(HLOOKUP(AU13,'סקרי נכסים-יתרות פתיחה'!$2:$110,5,0),0)-IFERROR(HLOOKUP(AU13,'סקרי נכסים-יתרות פתיחה'!$2:$110,90,0),0)*(1-AU$309)</f>
        <v>0</v>
      </c>
      <c r="AV48" s="1240">
        <f>+IFERROR(HLOOKUP(AV13,'סקרי נכסים-יתרות פתיחה'!$2:$110,5,0),0)-IFERROR(HLOOKUP(AV13,'סקרי נכסים-יתרות פתיחה'!$2:$110,90,0),0)*(1-AV$309)</f>
        <v>0</v>
      </c>
      <c r="AW48" s="1240">
        <f>+IFERROR(HLOOKUP(AW13,'סקרי נכסים-יתרות פתיחה'!$2:$110,5,0),0)-IFERROR(HLOOKUP(AW13,'סקרי נכסים-יתרות פתיחה'!$2:$110,90,0),0)*(1-AW$309)</f>
        <v>0</v>
      </c>
      <c r="AX48" s="1240">
        <f>+IFERROR(HLOOKUP(AX13,'סקרי נכסים-יתרות פתיחה'!$2:$110,5,0),0)-IFERROR(HLOOKUP(AX13,'סקרי נכסים-יתרות פתיחה'!$2:$110,90,0),0)*(1-AX$309)</f>
        <v>0</v>
      </c>
      <c r="AY48" s="1240">
        <f>+IFERROR(HLOOKUP(AY13,'סקרי נכסים-יתרות פתיחה'!$2:$110,5,0),0)-IFERROR(HLOOKUP(AY13,'סקרי נכסים-יתרות פתיחה'!$2:$110,90,0),0)*(1-AY$309)</f>
        <v>0</v>
      </c>
      <c r="AZ48" s="1240">
        <f>+IFERROR(HLOOKUP(AZ13,'סקרי נכסים-יתרות פתיחה'!$2:$110,5,0),0)-IFERROR(HLOOKUP(AZ13,'סקרי נכסים-יתרות פתיחה'!$2:$110,90,0),0)*(1-AZ$309)</f>
        <v>0</v>
      </c>
      <c r="BA48" s="1240">
        <f>+IFERROR(HLOOKUP(BA13,'סקרי נכסים-יתרות פתיחה'!$2:$110,5,0),0)-IFERROR(HLOOKUP(BA13,'סקרי נכסים-יתרות פתיחה'!$2:$110,90,0),0)*(1-BA$309)</f>
        <v>0</v>
      </c>
      <c r="BB48" s="1240">
        <f>+IFERROR(HLOOKUP(BB13,'סקרי נכסים-יתרות פתיחה'!$2:$110,5,0),0)-IFERROR(HLOOKUP(BB13,'סקרי נכסים-יתרות פתיחה'!$2:$110,90,0),0)*(1-BB$309)</f>
        <v>0</v>
      </c>
      <c r="BC48" s="1240">
        <f>+IFERROR(HLOOKUP(BC13,'סקרי נכסים-יתרות פתיחה'!$2:$110,5,0),0)-IFERROR(HLOOKUP(BC13,'סקרי נכסים-יתרות פתיחה'!$2:$110,90,0),0)*(1-BC$309)</f>
        <v>0</v>
      </c>
      <c r="BD48" s="1240">
        <f>+IFERROR(HLOOKUP(BD13,'סקרי נכסים-יתרות פתיחה'!$2:$110,5,0),0)-IFERROR(HLOOKUP(BD13,'סקרי נכסים-יתרות פתיחה'!$2:$110,90,0),0)*(1-BD$309)</f>
        <v>0</v>
      </c>
      <c r="BE48" s="1240">
        <f>+IFERROR(HLOOKUP(BE13,'סקרי נכסים-יתרות פתיחה'!$2:$110,5,0),0)-IFERROR(HLOOKUP(BE13,'סקרי נכסים-יתרות פתיחה'!$2:$110,90,0),0)*(1-BE$309)</f>
        <v>0</v>
      </c>
      <c r="BF48" s="1240">
        <f>+IFERROR(HLOOKUP(BF13,'סקרי נכסים-יתרות פתיחה'!$2:$110,5,0),0)-IFERROR(HLOOKUP(BF13,'סקרי נכסים-יתרות פתיחה'!$2:$110,90,0),0)*(1-BF$309)</f>
        <v>0</v>
      </c>
    </row>
    <row r="49" spans="2:58" x14ac:dyDescent="0.2">
      <c r="B49" s="1">
        <v>11</v>
      </c>
      <c r="C49" s="1240">
        <f>+IFERROR(HLOOKUP(C14,'סקרי נכסים-יתרות פתיחה'!$2:$110,5,0),0)-IFERROR(HLOOKUP(C14,'סקרי נכסים-יתרות פתיחה'!$2:$110,90,0),0)*(1-C$309)</f>
        <v>0</v>
      </c>
      <c r="D49" s="1240">
        <f>+IFERROR(HLOOKUP(D14,'סקרי נכסים-יתרות פתיחה'!$2:$110,5,0),0)-IFERROR(HLOOKUP(D14,'סקרי נכסים-יתרות פתיחה'!$2:$110,90,0),0)*(1-D$309)</f>
        <v>0</v>
      </c>
      <c r="E49" s="1240">
        <f>+IFERROR(HLOOKUP(E14,'סקרי נכסים-יתרות פתיחה'!$2:$110,5,0),0)-IFERROR(HLOOKUP(E14,'סקרי נכסים-יתרות פתיחה'!$2:$110,90,0),0)*(1-E$309)</f>
        <v>0</v>
      </c>
      <c r="F49" s="1240">
        <f>+IFERROR(HLOOKUP(F14,'סקרי נכסים-יתרות פתיחה'!$2:$110,5,0),0)-IFERROR(HLOOKUP(F14,'סקרי נכסים-יתרות פתיחה'!$2:$110,90,0),0)*(1-F$309)</f>
        <v>0</v>
      </c>
      <c r="G49" s="1240">
        <f>+IFERROR(HLOOKUP(G14,'סקרי נכסים-יתרות פתיחה'!$2:$110,5,0),0)-IFERROR(HLOOKUP(G14,'סקרי נכסים-יתרות פתיחה'!$2:$110,90,0),0)*(1-G$309)</f>
        <v>0</v>
      </c>
      <c r="H49" s="1240">
        <f>+IFERROR(HLOOKUP(H14,'סקרי נכסים-יתרות פתיחה'!$2:$110,5,0),0)-IFERROR(HLOOKUP(H14,'סקרי נכסים-יתרות פתיחה'!$2:$110,90,0),0)*(1-H$309)</f>
        <v>0</v>
      </c>
      <c r="I49" s="1240">
        <f>+IFERROR(HLOOKUP(I14,'סקרי נכסים-יתרות פתיחה'!$2:$110,5,0),0)-IFERROR(HLOOKUP(I14,'סקרי נכסים-יתרות פתיחה'!$2:$110,90,0),0)*(1-I$309)</f>
        <v>0</v>
      </c>
      <c r="J49" s="1240">
        <f>+IFERROR(HLOOKUP(J14,'סקרי נכסים-יתרות פתיחה'!$2:$110,5,0),0)-IFERROR(HLOOKUP(J14,'סקרי נכסים-יתרות פתיחה'!$2:$110,90,0),0)*(1-J$309)</f>
        <v>0</v>
      </c>
      <c r="K49" s="1240">
        <f>+IFERROR(HLOOKUP(K14,'סקרי נכסים-יתרות פתיחה'!$2:$110,5,0),0)-IFERROR(HLOOKUP(K14,'סקרי נכסים-יתרות פתיחה'!$2:$110,90,0),0)*(1-K$309)</f>
        <v>0</v>
      </c>
      <c r="L49" s="1240">
        <f>+IFERROR(HLOOKUP(L14,'סקרי נכסים-יתרות פתיחה'!$2:$110,5,0),0)-IFERROR(HLOOKUP(L14,'סקרי נכסים-יתרות פתיחה'!$2:$110,90,0),0)*(1-L$309)</f>
        <v>0</v>
      </c>
      <c r="M49" s="1240">
        <f>+IFERROR(HLOOKUP(M14,'סקרי נכסים-יתרות פתיחה'!$2:$110,5,0),0)-IFERROR(HLOOKUP(M14,'סקרי נכסים-יתרות פתיחה'!$2:$110,90,0),0)*(1-M$309)</f>
        <v>0</v>
      </c>
      <c r="N49" s="1240">
        <f>+IFERROR(HLOOKUP(N14,'סקרי נכסים-יתרות פתיחה'!$2:$110,5,0),0)-IFERROR(HLOOKUP(N14,'סקרי נכסים-יתרות פתיחה'!$2:$110,90,0),0)*(1-N$309)</f>
        <v>0</v>
      </c>
      <c r="O49" s="1240">
        <f>+IFERROR(HLOOKUP(O14,'סקרי נכסים-יתרות פתיחה'!$2:$110,5,0),0)-IFERROR(HLOOKUP(O14,'סקרי נכסים-יתרות פתיחה'!$2:$110,90,0),0)*(1-O$309)</f>
        <v>0</v>
      </c>
      <c r="P49" s="1240">
        <f>+IFERROR(HLOOKUP(P14,'סקרי נכסים-יתרות פתיחה'!$2:$110,5,0),0)-IFERROR(HLOOKUP(P14,'סקרי נכסים-יתרות פתיחה'!$2:$110,90,0),0)*(1-P$309)</f>
        <v>5371991</v>
      </c>
      <c r="Q49" s="1240">
        <f>+IFERROR(HLOOKUP(Q14,'סקרי נכסים-יתרות פתיחה'!$2:$110,5,0),0)-IFERROR(HLOOKUP(Q14,'סקרי נכסים-יתרות פתיחה'!$2:$110,90,0),0)*(1-Q$309)</f>
        <v>0</v>
      </c>
      <c r="R49" s="1240">
        <f>+IFERROR(HLOOKUP(R14,'סקרי נכסים-יתרות פתיחה'!$2:$110,5,0),0)-IFERROR(HLOOKUP(R14,'סקרי נכסים-יתרות פתיחה'!$2:$110,90,0),0)*(1-R$309)</f>
        <v>0</v>
      </c>
      <c r="S49" s="1240">
        <f>+IFERROR(HLOOKUP(S14,'סקרי נכסים-יתרות פתיחה'!$2:$110,5,0),0)-IFERROR(HLOOKUP(S14,'סקרי נכסים-יתרות פתיחה'!$2:$110,90,0),0)*(1-S$309)</f>
        <v>0</v>
      </c>
      <c r="T49" s="1240">
        <f>+IFERROR(HLOOKUP(T14,'סקרי נכסים-יתרות פתיחה'!$2:$110,5,0),0)-IFERROR(HLOOKUP(T14,'סקרי נכסים-יתרות פתיחה'!$2:$110,90,0),0)*(1-T$309)</f>
        <v>0</v>
      </c>
      <c r="U49" s="1240">
        <f>+IFERROR(HLOOKUP(U14,'סקרי נכסים-יתרות פתיחה'!$2:$110,5,0),0)-IFERROR(HLOOKUP(U14,'סקרי נכסים-יתרות פתיחה'!$2:$110,90,0),0)*(1-U$309)</f>
        <v>0</v>
      </c>
      <c r="V49" s="1240">
        <f>+IFERROR(HLOOKUP(V14,'סקרי נכסים-יתרות פתיחה'!$2:$110,5,0),0)-IFERROR(HLOOKUP(V14,'סקרי נכסים-יתרות פתיחה'!$2:$110,90,0),0)*(1-V$309)</f>
        <v>0</v>
      </c>
      <c r="W49" s="1240">
        <f>+IFERROR(HLOOKUP(W14,'סקרי נכסים-יתרות פתיחה'!$2:$110,5,0),0)-IFERROR(HLOOKUP(W14,'סקרי נכסים-יתרות פתיחה'!$2:$110,90,0),0)*(1-W$309)</f>
        <v>0</v>
      </c>
      <c r="X49" s="1240">
        <f>+IFERROR(HLOOKUP(X14,'סקרי נכסים-יתרות פתיחה'!$2:$110,5,0),0)-IFERROR(HLOOKUP(X14,'סקרי נכסים-יתרות פתיחה'!$2:$110,90,0),0)*(1-X$309)</f>
        <v>0</v>
      </c>
      <c r="Y49" s="1240">
        <f>+IFERROR(HLOOKUP(Y14,'סקרי נכסים-יתרות פתיחה'!$2:$110,5,0),0)-IFERROR(HLOOKUP(Y14,'סקרי נכסים-יתרות פתיחה'!$2:$110,90,0),0)*(1-Y$309)</f>
        <v>0</v>
      </c>
      <c r="Z49" s="1240">
        <f>+IFERROR(HLOOKUP(Z14,'סקרי נכסים-יתרות פתיחה'!$2:$110,5,0),0)-IFERROR(HLOOKUP(Z14,'סקרי נכסים-יתרות פתיחה'!$2:$110,90,0),0)*(1-Z$309)</f>
        <v>0</v>
      </c>
      <c r="AA49" s="1240">
        <f>+IFERROR(HLOOKUP(AA14,'סקרי נכסים-יתרות פתיחה'!$2:$110,5,0),0)-IFERROR(HLOOKUP(AA14,'סקרי נכסים-יתרות פתיחה'!$2:$110,90,0),0)*(1-AA$309)</f>
        <v>0</v>
      </c>
      <c r="AB49" s="1240">
        <f>+IFERROR(HLOOKUP(AB14,'סקרי נכסים-יתרות פתיחה'!$2:$110,5,0),0)-IFERROR(HLOOKUP(AB14,'סקרי נכסים-יתרות פתיחה'!$2:$110,90,0),0)*(1-AB$309)</f>
        <v>0</v>
      </c>
      <c r="AC49" s="1240">
        <f>+IFERROR(HLOOKUP(AC14,'סקרי נכסים-יתרות פתיחה'!$2:$110,5,0),0)-IFERROR(HLOOKUP(AC14,'סקרי נכסים-יתרות פתיחה'!$2:$110,90,0),0)*(1-AC$309)</f>
        <v>0</v>
      </c>
      <c r="AD49" s="1240">
        <f>+IFERROR(HLOOKUP(AD14,'סקרי נכסים-יתרות פתיחה'!$2:$110,5,0),0)-IFERROR(HLOOKUP(AD14,'סקרי נכסים-יתרות פתיחה'!$2:$110,90,0),0)*(1-AD$309)</f>
        <v>0</v>
      </c>
      <c r="AE49" s="1240">
        <f>+IFERROR(HLOOKUP(AE14,'סקרי נכסים-יתרות פתיחה'!$2:$110,5,0),0)-IFERROR(HLOOKUP(AE14,'סקרי נכסים-יתרות פתיחה'!$2:$110,90,0),0)*(1-AE$309)</f>
        <v>0</v>
      </c>
      <c r="AF49" s="1240">
        <f>+IFERROR(HLOOKUP(AF14,'סקרי נכסים-יתרות פתיחה'!$2:$110,5,0),0)-IFERROR(HLOOKUP(AF14,'סקרי נכסים-יתרות פתיחה'!$2:$110,90,0),0)*(1-AF$309)</f>
        <v>0</v>
      </c>
      <c r="AG49" s="1240">
        <f>+IFERROR(HLOOKUP(AG14,'סקרי נכסים-יתרות פתיחה'!$2:$110,5,0),0)-IFERROR(HLOOKUP(AG14,'סקרי נכסים-יתרות פתיחה'!$2:$110,90,0),0)*(1-AG$309)</f>
        <v>0</v>
      </c>
      <c r="AH49" s="1240">
        <f>+IFERROR(HLOOKUP(AH14,'סקרי נכסים-יתרות פתיחה'!$2:$110,5,0),0)-IFERROR(HLOOKUP(AH14,'סקרי נכסים-יתרות פתיחה'!$2:$110,90,0),0)*(1-AH$309)</f>
        <v>0</v>
      </c>
      <c r="AI49" s="1240">
        <f>+IFERROR(HLOOKUP(AI14,'סקרי נכסים-יתרות פתיחה'!$2:$110,5,0),0)-IFERROR(HLOOKUP(AI14,'סקרי נכסים-יתרות פתיחה'!$2:$110,90,0),0)*(1-AI$309)</f>
        <v>0</v>
      </c>
      <c r="AJ49" s="1240">
        <f>+IFERROR(HLOOKUP(AJ14,'סקרי נכסים-יתרות פתיחה'!$2:$110,5,0),0)-IFERROR(HLOOKUP(AJ14,'סקרי נכסים-יתרות פתיחה'!$2:$110,90,0),0)*(1-AJ$309)</f>
        <v>0</v>
      </c>
      <c r="AK49" s="1240">
        <f>+IFERROR(HLOOKUP(AK14,'סקרי נכסים-יתרות פתיחה'!$2:$110,5,0),0)-IFERROR(HLOOKUP(AK14,'סקרי נכסים-יתרות פתיחה'!$2:$110,90,0),0)*(1-AK$309)</f>
        <v>0</v>
      </c>
      <c r="AL49" s="1240">
        <f>+IFERROR(HLOOKUP(AL14,'סקרי נכסים-יתרות פתיחה'!$2:$110,5,0),0)-IFERROR(HLOOKUP(AL14,'סקרי נכסים-יתרות פתיחה'!$2:$110,90,0),0)*(1-AL$309)</f>
        <v>0</v>
      </c>
      <c r="AM49" s="1240">
        <f>+IFERROR(HLOOKUP(AM14,'סקרי נכסים-יתרות פתיחה'!$2:$110,5,0),0)-IFERROR(HLOOKUP(AM14,'סקרי נכסים-יתרות פתיחה'!$2:$110,90,0),0)*(1-AM$309)</f>
        <v>0</v>
      </c>
      <c r="AN49" s="1240">
        <f>+IFERROR(HLOOKUP(AN14,'סקרי נכסים-יתרות פתיחה'!$2:$110,5,0),0)-IFERROR(HLOOKUP(AN14,'סקרי נכסים-יתרות פתיחה'!$2:$110,90,0),0)*(1-AN$309)</f>
        <v>0</v>
      </c>
      <c r="AO49" s="1240">
        <f>+IFERROR(HLOOKUP(AO14,'סקרי נכסים-יתרות פתיחה'!$2:$110,5,0),0)-IFERROR(HLOOKUP(AO14,'סקרי נכסים-יתרות פתיחה'!$2:$110,90,0),0)*(1-AO$309)</f>
        <v>0</v>
      </c>
      <c r="AP49" s="1240">
        <f>+IFERROR(HLOOKUP(AP14,'סקרי נכסים-יתרות פתיחה'!$2:$110,5,0),0)-IFERROR(HLOOKUP(AP14,'סקרי נכסים-יתרות פתיחה'!$2:$110,90,0),0)*(1-AP$309)</f>
        <v>0</v>
      </c>
      <c r="AQ49" s="1240">
        <f>+IFERROR(HLOOKUP(AQ14,'סקרי נכסים-יתרות פתיחה'!$2:$110,5,0),0)-IFERROR(HLOOKUP(AQ14,'סקרי נכסים-יתרות פתיחה'!$2:$110,90,0),0)*(1-AQ$309)</f>
        <v>0</v>
      </c>
      <c r="AR49" s="1240">
        <f>+IFERROR(HLOOKUP(AR14,'סקרי נכסים-יתרות פתיחה'!$2:$110,5,0),0)-IFERROR(HLOOKUP(AR14,'סקרי נכסים-יתרות פתיחה'!$2:$110,90,0),0)*(1-AR$309)</f>
        <v>0</v>
      </c>
      <c r="AS49" s="1240">
        <f>+IFERROR(HLOOKUP(AS14,'סקרי נכסים-יתרות פתיחה'!$2:$110,5,0),0)-IFERROR(HLOOKUP(AS14,'סקרי נכסים-יתרות פתיחה'!$2:$110,90,0),0)*(1-AS$309)</f>
        <v>0</v>
      </c>
      <c r="AT49" s="1240">
        <f>+IFERROR(HLOOKUP(AT14,'סקרי נכסים-יתרות פתיחה'!$2:$110,5,0),0)-IFERROR(HLOOKUP(AT14,'סקרי נכסים-יתרות פתיחה'!$2:$110,90,0),0)*(1-AT$309)</f>
        <v>0</v>
      </c>
      <c r="AU49" s="1240">
        <f>+IFERROR(HLOOKUP(AU14,'סקרי נכסים-יתרות פתיחה'!$2:$110,5,0),0)-IFERROR(HLOOKUP(AU14,'סקרי נכסים-יתרות פתיחה'!$2:$110,90,0),0)*(1-AU$309)</f>
        <v>0</v>
      </c>
      <c r="AV49" s="1240">
        <f>+IFERROR(HLOOKUP(AV14,'סקרי נכסים-יתרות פתיחה'!$2:$110,5,0),0)-IFERROR(HLOOKUP(AV14,'סקרי נכסים-יתרות פתיחה'!$2:$110,90,0),0)*(1-AV$309)</f>
        <v>0</v>
      </c>
      <c r="AW49" s="1240">
        <f>+IFERROR(HLOOKUP(AW14,'סקרי נכסים-יתרות פתיחה'!$2:$110,5,0),0)-IFERROR(HLOOKUP(AW14,'סקרי נכסים-יתרות פתיחה'!$2:$110,90,0),0)*(1-AW$309)</f>
        <v>0</v>
      </c>
      <c r="AX49" s="1240">
        <f>+IFERROR(HLOOKUP(AX14,'סקרי נכסים-יתרות פתיחה'!$2:$110,5,0),0)-IFERROR(HLOOKUP(AX14,'סקרי נכסים-יתרות פתיחה'!$2:$110,90,0),0)*(1-AX$309)</f>
        <v>0</v>
      </c>
      <c r="AY49" s="1240">
        <f>+IFERROR(HLOOKUP(AY14,'סקרי נכסים-יתרות פתיחה'!$2:$110,5,0),0)-IFERROR(HLOOKUP(AY14,'סקרי נכסים-יתרות פתיחה'!$2:$110,90,0),0)*(1-AY$309)</f>
        <v>0</v>
      </c>
      <c r="AZ49" s="1240">
        <f>+IFERROR(HLOOKUP(AZ14,'סקרי נכסים-יתרות פתיחה'!$2:$110,5,0),0)-IFERROR(HLOOKUP(AZ14,'סקרי נכסים-יתרות פתיחה'!$2:$110,90,0),0)*(1-AZ$309)</f>
        <v>0</v>
      </c>
      <c r="BA49" s="1240">
        <f>+IFERROR(HLOOKUP(BA14,'סקרי נכסים-יתרות פתיחה'!$2:$110,5,0),0)-IFERROR(HLOOKUP(BA14,'סקרי נכסים-יתרות פתיחה'!$2:$110,90,0),0)*(1-BA$309)</f>
        <v>0</v>
      </c>
      <c r="BB49" s="1240">
        <f>+IFERROR(HLOOKUP(BB14,'סקרי נכסים-יתרות פתיחה'!$2:$110,5,0),0)-IFERROR(HLOOKUP(BB14,'סקרי נכסים-יתרות פתיחה'!$2:$110,90,0),0)*(1-BB$309)</f>
        <v>0</v>
      </c>
      <c r="BC49" s="1240">
        <f>+IFERROR(HLOOKUP(BC14,'סקרי נכסים-יתרות פתיחה'!$2:$110,5,0),0)-IFERROR(HLOOKUP(BC14,'סקרי נכסים-יתרות פתיחה'!$2:$110,90,0),0)*(1-BC$309)</f>
        <v>0</v>
      </c>
      <c r="BD49" s="1240">
        <f>+IFERROR(HLOOKUP(BD14,'סקרי נכסים-יתרות פתיחה'!$2:$110,5,0),0)-IFERROR(HLOOKUP(BD14,'סקרי נכסים-יתרות פתיחה'!$2:$110,90,0),0)*(1-BD$309)</f>
        <v>0</v>
      </c>
      <c r="BE49" s="1240">
        <f>+IFERROR(HLOOKUP(BE14,'סקרי נכסים-יתרות פתיחה'!$2:$110,5,0),0)-IFERROR(HLOOKUP(BE14,'סקרי נכסים-יתרות פתיחה'!$2:$110,90,0),0)*(1-BE$309)</f>
        <v>0</v>
      </c>
      <c r="BF49" s="1240">
        <f>+IFERROR(HLOOKUP(BF14,'סקרי נכסים-יתרות פתיחה'!$2:$110,5,0),0)-IFERROR(HLOOKUP(BF14,'סקרי נכסים-יתרות פתיחה'!$2:$110,90,0),0)*(1-BF$309)</f>
        <v>0</v>
      </c>
    </row>
    <row r="50" spans="2:58" x14ac:dyDescent="0.2">
      <c r="B50" s="1">
        <v>12</v>
      </c>
      <c r="C50" s="1240">
        <f>+IFERROR(HLOOKUP(C15,'סקרי נכסים-יתרות פתיחה'!$2:$110,5,0),0)-IFERROR(HLOOKUP(C15,'סקרי נכסים-יתרות פתיחה'!$2:$110,90,0),0)*(1-C$309)</f>
        <v>0</v>
      </c>
      <c r="D50" s="1240">
        <f>+IFERROR(HLOOKUP(D15,'סקרי נכסים-יתרות פתיחה'!$2:$110,5,0),0)-IFERROR(HLOOKUP(D15,'סקרי נכסים-יתרות פתיחה'!$2:$110,90,0),0)*(1-D$309)</f>
        <v>0</v>
      </c>
      <c r="E50" s="1240">
        <f>+IFERROR(HLOOKUP(E15,'סקרי נכסים-יתרות פתיחה'!$2:$110,5,0),0)-IFERROR(HLOOKUP(E15,'סקרי נכסים-יתרות פתיחה'!$2:$110,90,0),0)*(1-E$309)</f>
        <v>0</v>
      </c>
      <c r="F50" s="1240">
        <f>+IFERROR(HLOOKUP(F15,'סקרי נכסים-יתרות פתיחה'!$2:$110,5,0),0)-IFERROR(HLOOKUP(F15,'סקרי נכסים-יתרות פתיחה'!$2:$110,90,0),0)*(1-F$309)</f>
        <v>0</v>
      </c>
      <c r="G50" s="1240">
        <f>+IFERROR(HLOOKUP(G15,'סקרי נכסים-יתרות פתיחה'!$2:$110,5,0),0)-IFERROR(HLOOKUP(G15,'סקרי נכסים-יתרות פתיחה'!$2:$110,90,0),0)*(1-G$309)</f>
        <v>0</v>
      </c>
      <c r="H50" s="1240">
        <f>+IFERROR(HLOOKUP(H15,'סקרי נכסים-יתרות פתיחה'!$2:$110,5,0),0)-IFERROR(HLOOKUP(H15,'סקרי נכסים-יתרות פתיחה'!$2:$110,90,0),0)*(1-H$309)</f>
        <v>0</v>
      </c>
      <c r="I50" s="1240">
        <f>+IFERROR(HLOOKUP(I15,'סקרי נכסים-יתרות פתיחה'!$2:$110,5,0),0)-IFERROR(HLOOKUP(I15,'סקרי נכסים-יתרות פתיחה'!$2:$110,90,0),0)*(1-I$309)</f>
        <v>0</v>
      </c>
      <c r="J50" s="1240">
        <f>+IFERROR(HLOOKUP(J15,'סקרי נכסים-יתרות פתיחה'!$2:$110,5,0),0)-IFERROR(HLOOKUP(J15,'סקרי נכסים-יתרות פתיחה'!$2:$110,90,0),0)*(1-J$309)</f>
        <v>0</v>
      </c>
      <c r="K50" s="1240">
        <f>+IFERROR(HLOOKUP(K15,'סקרי נכסים-יתרות פתיחה'!$2:$110,5,0),0)-IFERROR(HLOOKUP(K15,'סקרי נכסים-יתרות פתיחה'!$2:$110,90,0),0)*(1-K$309)</f>
        <v>0</v>
      </c>
      <c r="L50" s="1240">
        <f>+IFERROR(HLOOKUP(L15,'סקרי נכסים-יתרות פתיחה'!$2:$110,5,0),0)-IFERROR(HLOOKUP(L15,'סקרי נכסים-יתרות פתיחה'!$2:$110,90,0),0)*(1-L$309)</f>
        <v>0</v>
      </c>
      <c r="M50" s="1240">
        <f>+IFERROR(HLOOKUP(M15,'סקרי נכסים-יתרות פתיחה'!$2:$110,5,0),0)-IFERROR(HLOOKUP(M15,'סקרי נכסים-יתרות פתיחה'!$2:$110,90,0),0)*(1-M$309)</f>
        <v>0</v>
      </c>
      <c r="N50" s="1240">
        <f>+IFERROR(HLOOKUP(N15,'סקרי נכסים-יתרות פתיחה'!$2:$110,5,0),0)-IFERROR(HLOOKUP(N15,'סקרי נכסים-יתרות פתיחה'!$2:$110,90,0),0)*(1-N$309)</f>
        <v>0</v>
      </c>
      <c r="O50" s="1240">
        <f>+IFERROR(HLOOKUP(O15,'סקרי נכסים-יתרות פתיחה'!$2:$110,5,0),0)-IFERROR(HLOOKUP(O15,'סקרי נכסים-יתרות פתיחה'!$2:$110,90,0),0)*(1-O$309)</f>
        <v>0</v>
      </c>
      <c r="P50" s="1240">
        <f>+IFERROR(HLOOKUP(P15,'סקרי נכסים-יתרות פתיחה'!$2:$110,5,0),0)-IFERROR(HLOOKUP(P15,'סקרי נכסים-יתרות פתיחה'!$2:$110,90,0),0)*(1-P$309)</f>
        <v>8344555</v>
      </c>
      <c r="Q50" s="1240">
        <f>+IFERROR(HLOOKUP(Q15,'סקרי נכסים-יתרות פתיחה'!$2:$110,5,0),0)-IFERROR(HLOOKUP(Q15,'סקרי נכסים-יתרות פתיחה'!$2:$110,90,0),0)*(1-Q$309)</f>
        <v>0</v>
      </c>
      <c r="R50" s="1240">
        <f>+IFERROR(HLOOKUP(R15,'סקרי נכסים-יתרות פתיחה'!$2:$110,5,0),0)-IFERROR(HLOOKUP(R15,'סקרי נכסים-יתרות פתיחה'!$2:$110,90,0),0)*(1-R$309)</f>
        <v>0</v>
      </c>
      <c r="S50" s="1240">
        <f>+IFERROR(HLOOKUP(S15,'סקרי נכסים-יתרות פתיחה'!$2:$110,5,0),0)-IFERROR(HLOOKUP(S15,'סקרי נכסים-יתרות פתיחה'!$2:$110,90,0),0)*(1-S$309)</f>
        <v>0</v>
      </c>
      <c r="T50" s="1240">
        <f>+IFERROR(HLOOKUP(T15,'סקרי נכסים-יתרות פתיחה'!$2:$110,5,0),0)-IFERROR(HLOOKUP(T15,'סקרי נכסים-יתרות פתיחה'!$2:$110,90,0),0)*(1-T$309)</f>
        <v>0</v>
      </c>
      <c r="U50" s="1240">
        <f>+IFERROR(HLOOKUP(U15,'סקרי נכסים-יתרות פתיחה'!$2:$110,5,0),0)-IFERROR(HLOOKUP(U15,'סקרי נכסים-יתרות פתיחה'!$2:$110,90,0),0)*(1-U$309)</f>
        <v>0</v>
      </c>
      <c r="V50" s="1240">
        <f>+IFERROR(HLOOKUP(V15,'סקרי נכסים-יתרות פתיחה'!$2:$110,5,0),0)-IFERROR(HLOOKUP(V15,'סקרי נכסים-יתרות פתיחה'!$2:$110,90,0),0)*(1-V$309)</f>
        <v>0</v>
      </c>
      <c r="W50" s="1240">
        <f>+IFERROR(HLOOKUP(W15,'סקרי נכסים-יתרות פתיחה'!$2:$110,5,0),0)-IFERROR(HLOOKUP(W15,'סקרי נכסים-יתרות פתיחה'!$2:$110,90,0),0)*(1-W$309)</f>
        <v>0</v>
      </c>
      <c r="X50" s="1240">
        <f>+IFERROR(HLOOKUP(X15,'סקרי נכסים-יתרות פתיחה'!$2:$110,5,0),0)-IFERROR(HLOOKUP(X15,'סקרי נכסים-יתרות פתיחה'!$2:$110,90,0),0)*(1-X$309)</f>
        <v>0</v>
      </c>
      <c r="Y50" s="1240">
        <f>+IFERROR(HLOOKUP(Y15,'סקרי נכסים-יתרות פתיחה'!$2:$110,5,0),0)-IFERROR(HLOOKUP(Y15,'סקרי נכסים-יתרות פתיחה'!$2:$110,90,0),0)*(1-Y$309)</f>
        <v>0</v>
      </c>
      <c r="Z50" s="1240">
        <f>+IFERROR(HLOOKUP(Z15,'סקרי נכסים-יתרות פתיחה'!$2:$110,5,0),0)-IFERROR(HLOOKUP(Z15,'סקרי נכסים-יתרות פתיחה'!$2:$110,90,0),0)*(1-Z$309)</f>
        <v>0</v>
      </c>
      <c r="AA50" s="1240">
        <f>+IFERROR(HLOOKUP(AA15,'סקרי נכסים-יתרות פתיחה'!$2:$110,5,0),0)-IFERROR(HLOOKUP(AA15,'סקרי נכסים-יתרות פתיחה'!$2:$110,90,0),0)*(1-AA$309)</f>
        <v>0</v>
      </c>
      <c r="AB50" s="1240">
        <f>+IFERROR(HLOOKUP(AB15,'סקרי נכסים-יתרות פתיחה'!$2:$110,5,0),0)-IFERROR(HLOOKUP(AB15,'סקרי נכסים-יתרות פתיחה'!$2:$110,90,0),0)*(1-AB$309)</f>
        <v>0</v>
      </c>
      <c r="AC50" s="1240">
        <f>+IFERROR(HLOOKUP(AC15,'סקרי נכסים-יתרות פתיחה'!$2:$110,5,0),0)-IFERROR(HLOOKUP(AC15,'סקרי נכסים-יתרות פתיחה'!$2:$110,90,0),0)*(1-AC$309)</f>
        <v>0</v>
      </c>
      <c r="AD50" s="1240">
        <f>+IFERROR(HLOOKUP(AD15,'סקרי נכסים-יתרות פתיחה'!$2:$110,5,0),0)-IFERROR(HLOOKUP(AD15,'סקרי נכסים-יתרות פתיחה'!$2:$110,90,0),0)*(1-AD$309)</f>
        <v>0</v>
      </c>
      <c r="AE50" s="1240">
        <f>+IFERROR(HLOOKUP(AE15,'סקרי נכסים-יתרות פתיחה'!$2:$110,5,0),0)-IFERROR(HLOOKUP(AE15,'סקרי נכסים-יתרות פתיחה'!$2:$110,90,0),0)*(1-AE$309)</f>
        <v>0</v>
      </c>
      <c r="AF50" s="1240">
        <f>+IFERROR(HLOOKUP(AF15,'סקרי נכסים-יתרות פתיחה'!$2:$110,5,0),0)-IFERROR(HLOOKUP(AF15,'סקרי נכסים-יתרות פתיחה'!$2:$110,90,0),0)*(1-AF$309)</f>
        <v>0</v>
      </c>
      <c r="AG50" s="1240">
        <f>+IFERROR(HLOOKUP(AG15,'סקרי נכסים-יתרות פתיחה'!$2:$110,5,0),0)-IFERROR(HLOOKUP(AG15,'סקרי נכסים-יתרות פתיחה'!$2:$110,90,0),0)*(1-AG$309)</f>
        <v>0</v>
      </c>
      <c r="AH50" s="1240">
        <f>+IFERROR(HLOOKUP(AH15,'סקרי נכסים-יתרות פתיחה'!$2:$110,5,0),0)-IFERROR(HLOOKUP(AH15,'סקרי נכסים-יתרות פתיחה'!$2:$110,90,0),0)*(1-AH$309)</f>
        <v>0</v>
      </c>
      <c r="AI50" s="1240">
        <f>+IFERROR(HLOOKUP(AI15,'סקרי נכסים-יתרות פתיחה'!$2:$110,5,0),0)-IFERROR(HLOOKUP(AI15,'סקרי נכסים-יתרות פתיחה'!$2:$110,90,0),0)*(1-AI$309)</f>
        <v>0</v>
      </c>
      <c r="AJ50" s="1240">
        <f>+IFERROR(HLOOKUP(AJ15,'סקרי נכסים-יתרות פתיחה'!$2:$110,5,0),0)-IFERROR(HLOOKUP(AJ15,'סקרי נכסים-יתרות פתיחה'!$2:$110,90,0),0)*(1-AJ$309)</f>
        <v>0</v>
      </c>
      <c r="AK50" s="1240">
        <f>+IFERROR(HLOOKUP(AK15,'סקרי נכסים-יתרות פתיחה'!$2:$110,5,0),0)-IFERROR(HLOOKUP(AK15,'סקרי נכסים-יתרות פתיחה'!$2:$110,90,0),0)*(1-AK$309)</f>
        <v>0</v>
      </c>
      <c r="AL50" s="1240">
        <f>+IFERROR(HLOOKUP(AL15,'סקרי נכסים-יתרות פתיחה'!$2:$110,5,0),0)-IFERROR(HLOOKUP(AL15,'סקרי נכסים-יתרות פתיחה'!$2:$110,90,0),0)*(1-AL$309)</f>
        <v>0</v>
      </c>
      <c r="AM50" s="1240">
        <f>+IFERROR(HLOOKUP(AM15,'סקרי נכסים-יתרות פתיחה'!$2:$110,5,0),0)-IFERROR(HLOOKUP(AM15,'סקרי נכסים-יתרות פתיחה'!$2:$110,90,0),0)*(1-AM$309)</f>
        <v>0</v>
      </c>
      <c r="AN50" s="1240">
        <f>+IFERROR(HLOOKUP(AN15,'סקרי נכסים-יתרות פתיחה'!$2:$110,5,0),0)-IFERROR(HLOOKUP(AN15,'סקרי נכסים-יתרות פתיחה'!$2:$110,90,0),0)*(1-AN$309)</f>
        <v>0</v>
      </c>
      <c r="AO50" s="1240">
        <f>+IFERROR(HLOOKUP(AO15,'סקרי נכסים-יתרות פתיחה'!$2:$110,5,0),0)-IFERROR(HLOOKUP(AO15,'סקרי נכסים-יתרות פתיחה'!$2:$110,90,0),0)*(1-AO$309)</f>
        <v>0</v>
      </c>
      <c r="AP50" s="1240">
        <f>+IFERROR(HLOOKUP(AP15,'סקרי נכסים-יתרות פתיחה'!$2:$110,5,0),0)-IFERROR(HLOOKUP(AP15,'סקרי נכסים-יתרות פתיחה'!$2:$110,90,0),0)*(1-AP$309)</f>
        <v>0</v>
      </c>
      <c r="AQ50" s="1240">
        <f>+IFERROR(HLOOKUP(AQ15,'סקרי נכסים-יתרות פתיחה'!$2:$110,5,0),0)-IFERROR(HLOOKUP(AQ15,'סקרי נכסים-יתרות פתיחה'!$2:$110,90,0),0)*(1-AQ$309)</f>
        <v>0</v>
      </c>
      <c r="AR50" s="1240">
        <f>+IFERROR(HLOOKUP(AR15,'סקרי נכסים-יתרות פתיחה'!$2:$110,5,0),0)-IFERROR(HLOOKUP(AR15,'סקרי נכסים-יתרות פתיחה'!$2:$110,90,0),0)*(1-AR$309)</f>
        <v>0</v>
      </c>
      <c r="AS50" s="1240">
        <f>+IFERROR(HLOOKUP(AS15,'סקרי נכסים-יתרות פתיחה'!$2:$110,5,0),0)-IFERROR(HLOOKUP(AS15,'סקרי נכסים-יתרות פתיחה'!$2:$110,90,0),0)*(1-AS$309)</f>
        <v>0</v>
      </c>
      <c r="AT50" s="1240">
        <f>+IFERROR(HLOOKUP(AT15,'סקרי נכסים-יתרות פתיחה'!$2:$110,5,0),0)-IFERROR(HLOOKUP(AT15,'סקרי נכסים-יתרות פתיחה'!$2:$110,90,0),0)*(1-AT$309)</f>
        <v>0</v>
      </c>
      <c r="AU50" s="1240">
        <f>+IFERROR(HLOOKUP(AU15,'סקרי נכסים-יתרות פתיחה'!$2:$110,5,0),0)-IFERROR(HLOOKUP(AU15,'סקרי נכסים-יתרות פתיחה'!$2:$110,90,0),0)*(1-AU$309)</f>
        <v>0</v>
      </c>
      <c r="AV50" s="1240">
        <f>+IFERROR(HLOOKUP(AV15,'סקרי נכסים-יתרות פתיחה'!$2:$110,5,0),0)-IFERROR(HLOOKUP(AV15,'סקרי נכסים-יתרות פתיחה'!$2:$110,90,0),0)*(1-AV$309)</f>
        <v>0</v>
      </c>
      <c r="AW50" s="1240">
        <f>+IFERROR(HLOOKUP(AW15,'סקרי נכסים-יתרות פתיחה'!$2:$110,5,0),0)-IFERROR(HLOOKUP(AW15,'סקרי נכסים-יתרות פתיחה'!$2:$110,90,0),0)*(1-AW$309)</f>
        <v>0</v>
      </c>
      <c r="AX50" s="1240">
        <f>+IFERROR(HLOOKUP(AX15,'סקרי נכסים-יתרות פתיחה'!$2:$110,5,0),0)-IFERROR(HLOOKUP(AX15,'סקרי נכסים-יתרות פתיחה'!$2:$110,90,0),0)*(1-AX$309)</f>
        <v>0</v>
      </c>
      <c r="AY50" s="1240">
        <f>+IFERROR(HLOOKUP(AY15,'סקרי נכסים-יתרות פתיחה'!$2:$110,5,0),0)-IFERROR(HLOOKUP(AY15,'סקרי נכסים-יתרות פתיחה'!$2:$110,90,0),0)*(1-AY$309)</f>
        <v>0</v>
      </c>
      <c r="AZ50" s="1240">
        <f>+IFERROR(HLOOKUP(AZ15,'סקרי נכסים-יתרות פתיחה'!$2:$110,5,0),0)-IFERROR(HLOOKUP(AZ15,'סקרי נכסים-יתרות פתיחה'!$2:$110,90,0),0)*(1-AZ$309)</f>
        <v>0</v>
      </c>
      <c r="BA50" s="1240">
        <f>+IFERROR(HLOOKUP(BA15,'סקרי נכסים-יתרות פתיחה'!$2:$110,5,0),0)-IFERROR(HLOOKUP(BA15,'סקרי נכסים-יתרות פתיחה'!$2:$110,90,0),0)*(1-BA$309)</f>
        <v>0</v>
      </c>
      <c r="BB50" s="1240">
        <f>+IFERROR(HLOOKUP(BB15,'סקרי נכסים-יתרות פתיחה'!$2:$110,5,0),0)-IFERROR(HLOOKUP(BB15,'סקרי נכסים-יתרות פתיחה'!$2:$110,90,0),0)*(1-BB$309)</f>
        <v>0</v>
      </c>
      <c r="BC50" s="1240">
        <f>+IFERROR(HLOOKUP(BC15,'סקרי נכסים-יתרות פתיחה'!$2:$110,5,0),0)-IFERROR(HLOOKUP(BC15,'סקרי נכסים-יתרות פתיחה'!$2:$110,90,0),0)*(1-BC$309)</f>
        <v>0</v>
      </c>
      <c r="BD50" s="1240">
        <f>+IFERROR(HLOOKUP(BD15,'סקרי נכסים-יתרות פתיחה'!$2:$110,5,0),0)-IFERROR(HLOOKUP(BD15,'סקרי נכסים-יתרות פתיחה'!$2:$110,90,0),0)*(1-BD$309)</f>
        <v>0</v>
      </c>
      <c r="BE50" s="1240">
        <f>+IFERROR(HLOOKUP(BE15,'סקרי נכסים-יתרות פתיחה'!$2:$110,5,0),0)-IFERROR(HLOOKUP(BE15,'סקרי נכסים-יתרות פתיחה'!$2:$110,90,0),0)*(1-BE$309)</f>
        <v>0</v>
      </c>
      <c r="BF50" s="1240">
        <f>+IFERROR(HLOOKUP(BF15,'סקרי נכסים-יתרות פתיחה'!$2:$110,5,0),0)-IFERROR(HLOOKUP(BF15,'סקרי נכסים-יתרות פתיחה'!$2:$110,90,0),0)*(1-BF$309)</f>
        <v>0</v>
      </c>
    </row>
    <row r="51" spans="2:58" x14ac:dyDescent="0.2">
      <c r="B51" s="1">
        <v>13</v>
      </c>
      <c r="C51" s="1240">
        <f>+IFERROR(HLOOKUP(C16,'סקרי נכסים-יתרות פתיחה'!$2:$110,5,0),0)-IFERROR(HLOOKUP(C16,'סקרי נכסים-יתרות פתיחה'!$2:$110,90,0),0)*(1-C$309)</f>
        <v>0</v>
      </c>
      <c r="D51" s="1240">
        <f>+IFERROR(HLOOKUP(D16,'סקרי נכסים-יתרות פתיחה'!$2:$110,5,0),0)-IFERROR(HLOOKUP(D16,'סקרי נכסים-יתרות פתיחה'!$2:$110,90,0),0)*(1-D$309)</f>
        <v>0</v>
      </c>
      <c r="E51" s="1240">
        <f>+IFERROR(HLOOKUP(E16,'סקרי נכסים-יתרות פתיחה'!$2:$110,5,0),0)-IFERROR(HLOOKUP(E16,'סקרי נכסים-יתרות פתיחה'!$2:$110,90,0),0)*(1-E$309)</f>
        <v>0</v>
      </c>
      <c r="F51" s="1240">
        <f>+IFERROR(HLOOKUP(F16,'סקרי נכסים-יתרות פתיחה'!$2:$110,5,0),0)-IFERROR(HLOOKUP(F16,'סקרי נכסים-יתרות פתיחה'!$2:$110,90,0),0)*(1-F$309)</f>
        <v>0</v>
      </c>
      <c r="G51" s="1240">
        <f>+IFERROR(HLOOKUP(G16,'סקרי נכסים-יתרות פתיחה'!$2:$110,5,0),0)-IFERROR(HLOOKUP(G16,'סקרי נכסים-יתרות פתיחה'!$2:$110,90,0),0)*(1-G$309)</f>
        <v>0</v>
      </c>
      <c r="H51" s="1240">
        <f>+IFERROR(HLOOKUP(H16,'סקרי נכסים-יתרות פתיחה'!$2:$110,5,0),0)-IFERROR(HLOOKUP(H16,'סקרי נכסים-יתרות פתיחה'!$2:$110,90,0),0)*(1-H$309)</f>
        <v>0</v>
      </c>
      <c r="I51" s="1240">
        <f>+IFERROR(HLOOKUP(I16,'סקרי נכסים-יתרות פתיחה'!$2:$110,5,0),0)-IFERROR(HLOOKUP(I16,'סקרי נכסים-יתרות פתיחה'!$2:$110,90,0),0)*(1-I$309)</f>
        <v>0</v>
      </c>
      <c r="J51" s="1240">
        <f>+IFERROR(HLOOKUP(J16,'סקרי נכסים-יתרות פתיחה'!$2:$110,5,0),0)-IFERROR(HLOOKUP(J16,'סקרי נכסים-יתרות פתיחה'!$2:$110,90,0),0)*(1-J$309)</f>
        <v>0</v>
      </c>
      <c r="K51" s="1240">
        <f>+IFERROR(HLOOKUP(K16,'סקרי נכסים-יתרות פתיחה'!$2:$110,5,0),0)-IFERROR(HLOOKUP(K16,'סקרי נכסים-יתרות פתיחה'!$2:$110,90,0),0)*(1-K$309)</f>
        <v>0</v>
      </c>
      <c r="L51" s="1240">
        <f>+IFERROR(HLOOKUP(L16,'סקרי נכסים-יתרות פתיחה'!$2:$110,5,0),0)-IFERROR(HLOOKUP(L16,'סקרי נכסים-יתרות פתיחה'!$2:$110,90,0),0)*(1-L$309)</f>
        <v>0</v>
      </c>
      <c r="M51" s="1240">
        <f>+IFERROR(HLOOKUP(M16,'סקרי נכסים-יתרות פתיחה'!$2:$110,5,0),0)-IFERROR(HLOOKUP(M16,'סקרי נכסים-יתרות פתיחה'!$2:$110,90,0),0)*(1-M$309)</f>
        <v>0</v>
      </c>
      <c r="N51" s="1240">
        <f>+IFERROR(HLOOKUP(N16,'סקרי נכסים-יתרות פתיחה'!$2:$110,5,0),0)-IFERROR(HLOOKUP(N16,'סקרי נכסים-יתרות פתיחה'!$2:$110,90,0),0)*(1-N$309)</f>
        <v>0</v>
      </c>
      <c r="O51" s="1240">
        <f>+IFERROR(HLOOKUP(O16,'סקרי נכסים-יתרות פתיחה'!$2:$110,5,0),0)-IFERROR(HLOOKUP(O16,'סקרי נכסים-יתרות פתיחה'!$2:$110,90,0),0)*(1-O$309)</f>
        <v>0</v>
      </c>
      <c r="P51" s="1240">
        <f>+IFERROR(HLOOKUP(P16,'סקרי נכסים-יתרות פתיחה'!$2:$110,5,0),0)-IFERROR(HLOOKUP(P16,'סקרי נכסים-יתרות פתיחה'!$2:$110,90,0),0)*(1-P$309)</f>
        <v>13614000</v>
      </c>
      <c r="Q51" s="1240">
        <f>+IFERROR(HLOOKUP(Q16,'סקרי נכסים-יתרות פתיחה'!$2:$110,5,0),0)-IFERROR(HLOOKUP(Q16,'סקרי נכסים-יתרות פתיחה'!$2:$110,90,0),0)*(1-Q$309)</f>
        <v>0</v>
      </c>
      <c r="R51" s="1240">
        <f>+IFERROR(HLOOKUP(R16,'סקרי נכסים-יתרות פתיחה'!$2:$110,5,0),0)-IFERROR(HLOOKUP(R16,'סקרי נכסים-יתרות פתיחה'!$2:$110,90,0),0)*(1-R$309)</f>
        <v>0</v>
      </c>
      <c r="S51" s="1240">
        <f>+IFERROR(HLOOKUP(S16,'סקרי נכסים-יתרות פתיחה'!$2:$110,5,0),0)-IFERROR(HLOOKUP(S16,'סקרי נכסים-יתרות פתיחה'!$2:$110,90,0),0)*(1-S$309)</f>
        <v>0</v>
      </c>
      <c r="T51" s="1240">
        <f>+IFERROR(HLOOKUP(T16,'סקרי נכסים-יתרות פתיחה'!$2:$110,5,0),0)-IFERROR(HLOOKUP(T16,'סקרי נכסים-יתרות פתיחה'!$2:$110,90,0),0)*(1-T$309)</f>
        <v>0</v>
      </c>
      <c r="U51" s="1240">
        <f>+IFERROR(HLOOKUP(U16,'סקרי נכסים-יתרות פתיחה'!$2:$110,5,0),0)-IFERROR(HLOOKUP(U16,'סקרי נכסים-יתרות פתיחה'!$2:$110,90,0),0)*(1-U$309)</f>
        <v>0</v>
      </c>
      <c r="V51" s="1240">
        <f>+IFERROR(HLOOKUP(V16,'סקרי נכסים-יתרות פתיחה'!$2:$110,5,0),0)-IFERROR(HLOOKUP(V16,'סקרי נכסים-יתרות פתיחה'!$2:$110,90,0),0)*(1-V$309)</f>
        <v>0</v>
      </c>
      <c r="W51" s="1240">
        <f>+IFERROR(HLOOKUP(W16,'סקרי נכסים-יתרות פתיחה'!$2:$110,5,0),0)-IFERROR(HLOOKUP(W16,'סקרי נכסים-יתרות פתיחה'!$2:$110,90,0),0)*(1-W$309)</f>
        <v>0</v>
      </c>
      <c r="X51" s="1240">
        <f>+IFERROR(HLOOKUP(X16,'סקרי נכסים-יתרות פתיחה'!$2:$110,5,0),0)-IFERROR(HLOOKUP(X16,'סקרי נכסים-יתרות פתיחה'!$2:$110,90,0),0)*(1-X$309)</f>
        <v>0</v>
      </c>
      <c r="Y51" s="1240">
        <f>+IFERROR(HLOOKUP(Y16,'סקרי נכסים-יתרות פתיחה'!$2:$110,5,0),0)-IFERROR(HLOOKUP(Y16,'סקרי נכסים-יתרות פתיחה'!$2:$110,90,0),0)*(1-Y$309)</f>
        <v>0</v>
      </c>
      <c r="Z51" s="1240">
        <f>+IFERROR(HLOOKUP(Z16,'סקרי נכסים-יתרות פתיחה'!$2:$110,5,0),0)-IFERROR(HLOOKUP(Z16,'סקרי נכסים-יתרות פתיחה'!$2:$110,90,0),0)*(1-Z$309)</f>
        <v>0</v>
      </c>
      <c r="AA51" s="1240">
        <f>+IFERROR(HLOOKUP(AA16,'סקרי נכסים-יתרות פתיחה'!$2:$110,5,0),0)-IFERROR(HLOOKUP(AA16,'סקרי נכסים-יתרות פתיחה'!$2:$110,90,0),0)*(1-AA$309)</f>
        <v>0</v>
      </c>
      <c r="AB51" s="1240">
        <f>+IFERROR(HLOOKUP(AB16,'סקרי נכסים-יתרות פתיחה'!$2:$110,5,0),0)-IFERROR(HLOOKUP(AB16,'סקרי נכסים-יתרות פתיחה'!$2:$110,90,0),0)*(1-AB$309)</f>
        <v>0</v>
      </c>
      <c r="AC51" s="1240">
        <f>+IFERROR(HLOOKUP(AC16,'סקרי נכסים-יתרות פתיחה'!$2:$110,5,0),0)-IFERROR(HLOOKUP(AC16,'סקרי נכסים-יתרות פתיחה'!$2:$110,90,0),0)*(1-AC$309)</f>
        <v>0</v>
      </c>
      <c r="AD51" s="1240">
        <f>+IFERROR(HLOOKUP(AD16,'סקרי נכסים-יתרות פתיחה'!$2:$110,5,0),0)-IFERROR(HLOOKUP(AD16,'סקרי נכסים-יתרות פתיחה'!$2:$110,90,0),0)*(1-AD$309)</f>
        <v>0</v>
      </c>
      <c r="AE51" s="1240">
        <f>+IFERROR(HLOOKUP(AE16,'סקרי נכסים-יתרות פתיחה'!$2:$110,5,0),0)-IFERROR(HLOOKUP(AE16,'סקרי נכסים-יתרות פתיחה'!$2:$110,90,0),0)*(1-AE$309)</f>
        <v>0</v>
      </c>
      <c r="AF51" s="1240">
        <f>+IFERROR(HLOOKUP(AF16,'סקרי נכסים-יתרות פתיחה'!$2:$110,5,0),0)-IFERROR(HLOOKUP(AF16,'סקרי נכסים-יתרות פתיחה'!$2:$110,90,0),0)*(1-AF$309)</f>
        <v>0</v>
      </c>
      <c r="AG51" s="1240">
        <f>+IFERROR(HLOOKUP(AG16,'סקרי נכסים-יתרות פתיחה'!$2:$110,5,0),0)-IFERROR(HLOOKUP(AG16,'סקרי נכסים-יתרות פתיחה'!$2:$110,90,0),0)*(1-AG$309)</f>
        <v>0</v>
      </c>
      <c r="AH51" s="1240">
        <f>+IFERROR(HLOOKUP(AH16,'סקרי נכסים-יתרות פתיחה'!$2:$110,5,0),0)-IFERROR(HLOOKUP(AH16,'סקרי נכסים-יתרות פתיחה'!$2:$110,90,0),0)*(1-AH$309)</f>
        <v>0</v>
      </c>
      <c r="AI51" s="1240">
        <f>+IFERROR(HLOOKUP(AI16,'סקרי נכסים-יתרות פתיחה'!$2:$110,5,0),0)-IFERROR(HLOOKUP(AI16,'סקרי נכסים-יתרות פתיחה'!$2:$110,90,0),0)*(1-AI$309)</f>
        <v>0</v>
      </c>
      <c r="AJ51" s="1240">
        <f>+IFERROR(HLOOKUP(AJ16,'סקרי נכסים-יתרות פתיחה'!$2:$110,5,0),0)-IFERROR(HLOOKUP(AJ16,'סקרי נכסים-יתרות פתיחה'!$2:$110,90,0),0)*(1-AJ$309)</f>
        <v>0</v>
      </c>
      <c r="AK51" s="1240">
        <f>+IFERROR(HLOOKUP(AK16,'סקרי נכסים-יתרות פתיחה'!$2:$110,5,0),0)-IFERROR(HLOOKUP(AK16,'סקרי נכסים-יתרות פתיחה'!$2:$110,90,0),0)*(1-AK$309)</f>
        <v>0</v>
      </c>
      <c r="AL51" s="1240">
        <f>+IFERROR(HLOOKUP(AL16,'סקרי נכסים-יתרות פתיחה'!$2:$110,5,0),0)-IFERROR(HLOOKUP(AL16,'סקרי נכסים-יתרות פתיחה'!$2:$110,90,0),0)*(1-AL$309)</f>
        <v>0</v>
      </c>
      <c r="AM51" s="1240">
        <f>+IFERROR(HLOOKUP(AM16,'סקרי נכסים-יתרות פתיחה'!$2:$110,5,0),0)-IFERROR(HLOOKUP(AM16,'סקרי נכסים-יתרות פתיחה'!$2:$110,90,0),0)*(1-AM$309)</f>
        <v>0</v>
      </c>
      <c r="AN51" s="1240">
        <f>+IFERROR(HLOOKUP(AN16,'סקרי נכסים-יתרות פתיחה'!$2:$110,5,0),0)-IFERROR(HLOOKUP(AN16,'סקרי נכסים-יתרות פתיחה'!$2:$110,90,0),0)*(1-AN$309)</f>
        <v>0</v>
      </c>
      <c r="AO51" s="1240">
        <f>+IFERROR(HLOOKUP(AO16,'סקרי נכסים-יתרות פתיחה'!$2:$110,5,0),0)-IFERROR(HLOOKUP(AO16,'סקרי נכסים-יתרות פתיחה'!$2:$110,90,0),0)*(1-AO$309)</f>
        <v>0</v>
      </c>
      <c r="AP51" s="1240">
        <f>+IFERROR(HLOOKUP(AP16,'סקרי נכסים-יתרות פתיחה'!$2:$110,5,0),0)-IFERROR(HLOOKUP(AP16,'סקרי נכסים-יתרות פתיחה'!$2:$110,90,0),0)*(1-AP$309)</f>
        <v>0</v>
      </c>
      <c r="AQ51" s="1240">
        <f>+IFERROR(HLOOKUP(AQ16,'סקרי נכסים-יתרות פתיחה'!$2:$110,5,0),0)-IFERROR(HLOOKUP(AQ16,'סקרי נכסים-יתרות פתיחה'!$2:$110,90,0),0)*(1-AQ$309)</f>
        <v>0</v>
      </c>
      <c r="AR51" s="1240">
        <f>+IFERROR(HLOOKUP(AR16,'סקרי נכסים-יתרות פתיחה'!$2:$110,5,0),0)-IFERROR(HLOOKUP(AR16,'סקרי נכסים-יתרות פתיחה'!$2:$110,90,0),0)*(1-AR$309)</f>
        <v>0</v>
      </c>
      <c r="AS51" s="1240">
        <f>+IFERROR(HLOOKUP(AS16,'סקרי נכסים-יתרות פתיחה'!$2:$110,5,0),0)-IFERROR(HLOOKUP(AS16,'סקרי נכסים-יתרות פתיחה'!$2:$110,90,0),0)*(1-AS$309)</f>
        <v>0</v>
      </c>
      <c r="AT51" s="1240">
        <f>+IFERROR(HLOOKUP(AT16,'סקרי נכסים-יתרות פתיחה'!$2:$110,5,0),0)-IFERROR(HLOOKUP(AT16,'סקרי נכסים-יתרות פתיחה'!$2:$110,90,0),0)*(1-AT$309)</f>
        <v>0</v>
      </c>
      <c r="AU51" s="1240">
        <f>+IFERROR(HLOOKUP(AU16,'סקרי נכסים-יתרות פתיחה'!$2:$110,5,0),0)-IFERROR(HLOOKUP(AU16,'סקרי נכסים-יתרות פתיחה'!$2:$110,90,0),0)*(1-AU$309)</f>
        <v>0</v>
      </c>
      <c r="AV51" s="1240">
        <f>+IFERROR(HLOOKUP(AV16,'סקרי נכסים-יתרות פתיחה'!$2:$110,5,0),0)-IFERROR(HLOOKUP(AV16,'סקרי נכסים-יתרות פתיחה'!$2:$110,90,0),0)*(1-AV$309)</f>
        <v>0</v>
      </c>
      <c r="AW51" s="1240">
        <f>+IFERROR(HLOOKUP(AW16,'סקרי נכסים-יתרות פתיחה'!$2:$110,5,0),0)-IFERROR(HLOOKUP(AW16,'סקרי נכסים-יתרות פתיחה'!$2:$110,90,0),0)*(1-AW$309)</f>
        <v>0</v>
      </c>
      <c r="AX51" s="1240">
        <f>+IFERROR(HLOOKUP(AX16,'סקרי נכסים-יתרות פתיחה'!$2:$110,5,0),0)-IFERROR(HLOOKUP(AX16,'סקרי נכסים-יתרות פתיחה'!$2:$110,90,0),0)*(1-AX$309)</f>
        <v>0</v>
      </c>
      <c r="AY51" s="1240">
        <f>+IFERROR(HLOOKUP(AY16,'סקרי נכסים-יתרות פתיחה'!$2:$110,5,0),0)-IFERROR(HLOOKUP(AY16,'סקרי נכסים-יתרות פתיחה'!$2:$110,90,0),0)*(1-AY$309)</f>
        <v>0</v>
      </c>
      <c r="AZ51" s="1240">
        <f>+IFERROR(HLOOKUP(AZ16,'סקרי נכסים-יתרות פתיחה'!$2:$110,5,0),0)-IFERROR(HLOOKUP(AZ16,'סקרי נכסים-יתרות פתיחה'!$2:$110,90,0),0)*(1-AZ$309)</f>
        <v>0</v>
      </c>
      <c r="BA51" s="1240">
        <f>+IFERROR(HLOOKUP(BA16,'סקרי נכסים-יתרות פתיחה'!$2:$110,5,0),0)-IFERROR(HLOOKUP(BA16,'סקרי נכסים-יתרות פתיחה'!$2:$110,90,0),0)*(1-BA$309)</f>
        <v>0</v>
      </c>
      <c r="BB51" s="1240">
        <f>+IFERROR(HLOOKUP(BB16,'סקרי נכסים-יתרות פתיחה'!$2:$110,5,0),0)-IFERROR(HLOOKUP(BB16,'סקרי נכסים-יתרות פתיחה'!$2:$110,90,0),0)*(1-BB$309)</f>
        <v>0</v>
      </c>
      <c r="BC51" s="1240">
        <f>+IFERROR(HLOOKUP(BC16,'סקרי נכסים-יתרות פתיחה'!$2:$110,5,0),0)-IFERROR(HLOOKUP(BC16,'סקרי נכסים-יתרות פתיחה'!$2:$110,90,0),0)*(1-BC$309)</f>
        <v>0</v>
      </c>
      <c r="BD51" s="1240">
        <f>+IFERROR(HLOOKUP(BD16,'סקרי נכסים-יתרות פתיחה'!$2:$110,5,0),0)-IFERROR(HLOOKUP(BD16,'סקרי נכסים-יתרות פתיחה'!$2:$110,90,0),0)*(1-BD$309)</f>
        <v>0</v>
      </c>
      <c r="BE51" s="1240">
        <f>+IFERROR(HLOOKUP(BE16,'סקרי נכסים-יתרות פתיחה'!$2:$110,5,0),0)-IFERROR(HLOOKUP(BE16,'סקרי נכסים-יתרות פתיחה'!$2:$110,90,0),0)*(1-BE$309)</f>
        <v>0</v>
      </c>
      <c r="BF51" s="1240">
        <f>+IFERROR(HLOOKUP(BF16,'סקרי נכסים-יתרות פתיחה'!$2:$110,5,0),0)-IFERROR(HLOOKUP(BF16,'סקרי נכסים-יתרות פתיחה'!$2:$110,90,0),0)*(1-BF$309)</f>
        <v>0</v>
      </c>
    </row>
    <row r="52" spans="2:58" x14ac:dyDescent="0.2">
      <c r="B52" s="1">
        <v>14</v>
      </c>
      <c r="C52" s="1240">
        <f>+IFERROR(HLOOKUP(C17,'סקרי נכסים-יתרות פתיחה'!$2:$110,5,0),0)-IFERROR(HLOOKUP(C17,'סקרי נכסים-יתרות פתיחה'!$2:$110,90,0),0)*(1-C$309)</f>
        <v>0</v>
      </c>
      <c r="D52" s="1240">
        <f>+IFERROR(HLOOKUP(D17,'סקרי נכסים-יתרות פתיחה'!$2:$110,5,0),0)-IFERROR(HLOOKUP(D17,'סקרי נכסים-יתרות פתיחה'!$2:$110,90,0),0)*(1-D$309)</f>
        <v>0</v>
      </c>
      <c r="E52" s="1240">
        <f>+IFERROR(HLOOKUP(E17,'סקרי נכסים-יתרות פתיחה'!$2:$110,5,0),0)-IFERROR(HLOOKUP(E17,'סקרי נכסים-יתרות פתיחה'!$2:$110,90,0),0)*(1-E$309)</f>
        <v>0</v>
      </c>
      <c r="F52" s="1240">
        <f>+IFERROR(HLOOKUP(F17,'סקרי נכסים-יתרות פתיחה'!$2:$110,5,0),0)-IFERROR(HLOOKUP(F17,'סקרי נכסים-יתרות פתיחה'!$2:$110,90,0),0)*(1-F$309)</f>
        <v>0</v>
      </c>
      <c r="G52" s="1240">
        <f>+IFERROR(HLOOKUP(G17,'סקרי נכסים-יתרות פתיחה'!$2:$110,5,0),0)-IFERROR(HLOOKUP(G17,'סקרי נכסים-יתרות פתיחה'!$2:$110,90,0),0)*(1-G$309)</f>
        <v>0</v>
      </c>
      <c r="H52" s="1240">
        <f>+IFERROR(HLOOKUP(H17,'סקרי נכסים-יתרות פתיחה'!$2:$110,5,0),0)-IFERROR(HLOOKUP(H17,'סקרי נכסים-יתרות פתיחה'!$2:$110,90,0),0)*(1-H$309)</f>
        <v>0</v>
      </c>
      <c r="I52" s="1240">
        <f>+IFERROR(HLOOKUP(I17,'סקרי נכסים-יתרות פתיחה'!$2:$110,5,0),0)-IFERROR(HLOOKUP(I17,'סקרי נכסים-יתרות פתיחה'!$2:$110,90,0),0)*(1-I$309)</f>
        <v>0</v>
      </c>
      <c r="J52" s="1240">
        <f>+IFERROR(HLOOKUP(J17,'סקרי נכסים-יתרות פתיחה'!$2:$110,5,0),0)-IFERROR(HLOOKUP(J17,'סקרי נכסים-יתרות פתיחה'!$2:$110,90,0),0)*(1-J$309)</f>
        <v>0</v>
      </c>
      <c r="K52" s="1240">
        <f>+IFERROR(HLOOKUP(K17,'סקרי נכסים-יתרות פתיחה'!$2:$110,5,0),0)-IFERROR(HLOOKUP(K17,'סקרי נכסים-יתרות פתיחה'!$2:$110,90,0),0)*(1-K$309)</f>
        <v>0</v>
      </c>
      <c r="L52" s="1240">
        <f>+IFERROR(HLOOKUP(L17,'סקרי נכסים-יתרות פתיחה'!$2:$110,5,0),0)-IFERROR(HLOOKUP(L17,'סקרי נכסים-יתרות פתיחה'!$2:$110,90,0),0)*(1-L$309)</f>
        <v>0</v>
      </c>
      <c r="M52" s="1240">
        <f>+IFERROR(HLOOKUP(M17,'סקרי נכסים-יתרות פתיחה'!$2:$110,5,0),0)-IFERROR(HLOOKUP(M17,'סקרי נכסים-יתרות פתיחה'!$2:$110,90,0),0)*(1-M$309)</f>
        <v>0</v>
      </c>
      <c r="N52" s="1240">
        <f>+IFERROR(HLOOKUP(N17,'סקרי נכסים-יתרות פתיחה'!$2:$110,5,0),0)-IFERROR(HLOOKUP(N17,'סקרי נכסים-יתרות פתיחה'!$2:$110,90,0),0)*(1-N$309)</f>
        <v>0</v>
      </c>
      <c r="O52" s="1240">
        <f>+IFERROR(HLOOKUP(O17,'סקרי נכסים-יתרות פתיחה'!$2:$110,5,0),0)-IFERROR(HLOOKUP(O17,'סקרי נכסים-יתרות פתיחה'!$2:$110,90,0),0)*(1-O$309)</f>
        <v>0</v>
      </c>
      <c r="P52" s="1240">
        <f>+IFERROR(HLOOKUP(P17,'סקרי נכסים-יתרות פתיחה'!$2:$110,5,0),0)-IFERROR(HLOOKUP(P17,'סקרי נכסים-יתרות פתיחה'!$2:$110,90,0),0)*(1-P$309)</f>
        <v>0</v>
      </c>
      <c r="Q52" s="1240">
        <f>+IFERROR(HLOOKUP(Q17,'סקרי נכסים-יתרות פתיחה'!$2:$110,5,0),0)-IFERROR(HLOOKUP(Q17,'סקרי נכסים-יתרות פתיחה'!$2:$110,90,0),0)*(1-Q$309)</f>
        <v>0</v>
      </c>
      <c r="R52" s="1240">
        <f>+IFERROR(HLOOKUP(R17,'סקרי נכסים-יתרות פתיחה'!$2:$110,5,0),0)-IFERROR(HLOOKUP(R17,'סקרי נכסים-יתרות פתיחה'!$2:$110,90,0),0)*(1-R$309)</f>
        <v>0</v>
      </c>
      <c r="S52" s="1240">
        <f>+IFERROR(HLOOKUP(S17,'סקרי נכסים-יתרות פתיחה'!$2:$110,5,0),0)-IFERROR(HLOOKUP(S17,'סקרי נכסים-יתרות פתיחה'!$2:$110,90,0),0)*(1-S$309)</f>
        <v>0</v>
      </c>
      <c r="T52" s="1240">
        <f>+IFERROR(HLOOKUP(T17,'סקרי נכסים-יתרות פתיחה'!$2:$110,5,0),0)-IFERROR(HLOOKUP(T17,'סקרי נכסים-יתרות פתיחה'!$2:$110,90,0),0)*(1-T$309)</f>
        <v>0</v>
      </c>
      <c r="U52" s="1240">
        <f>+IFERROR(HLOOKUP(U17,'סקרי נכסים-יתרות פתיחה'!$2:$110,5,0),0)-IFERROR(HLOOKUP(U17,'סקרי נכסים-יתרות פתיחה'!$2:$110,90,0),0)*(1-U$309)</f>
        <v>0</v>
      </c>
      <c r="V52" s="1240">
        <f>+IFERROR(HLOOKUP(V17,'סקרי נכסים-יתרות פתיחה'!$2:$110,5,0),0)-IFERROR(HLOOKUP(V17,'סקרי נכסים-יתרות פתיחה'!$2:$110,90,0),0)*(1-V$309)</f>
        <v>0</v>
      </c>
      <c r="W52" s="1240">
        <f>+IFERROR(HLOOKUP(W17,'סקרי נכסים-יתרות פתיחה'!$2:$110,5,0),0)-IFERROR(HLOOKUP(W17,'סקרי נכסים-יתרות פתיחה'!$2:$110,90,0),0)*(1-W$309)</f>
        <v>0</v>
      </c>
      <c r="X52" s="1240">
        <f>+IFERROR(HLOOKUP(X17,'סקרי נכסים-יתרות פתיחה'!$2:$110,5,0),0)-IFERROR(HLOOKUP(X17,'סקרי נכסים-יתרות פתיחה'!$2:$110,90,0),0)*(1-X$309)</f>
        <v>0</v>
      </c>
      <c r="Y52" s="1240">
        <f>+IFERROR(HLOOKUP(Y17,'סקרי נכסים-יתרות פתיחה'!$2:$110,5,0),0)-IFERROR(HLOOKUP(Y17,'סקרי נכסים-יתרות פתיחה'!$2:$110,90,0),0)*(1-Y$309)</f>
        <v>0</v>
      </c>
      <c r="Z52" s="1240">
        <f>+IFERROR(HLOOKUP(Z17,'סקרי נכסים-יתרות פתיחה'!$2:$110,5,0),0)-IFERROR(HLOOKUP(Z17,'סקרי נכסים-יתרות פתיחה'!$2:$110,90,0),0)*(1-Z$309)</f>
        <v>0</v>
      </c>
      <c r="AA52" s="1240">
        <f>+IFERROR(HLOOKUP(AA17,'סקרי נכסים-יתרות פתיחה'!$2:$110,5,0),0)-IFERROR(HLOOKUP(AA17,'סקרי נכסים-יתרות פתיחה'!$2:$110,90,0),0)*(1-AA$309)</f>
        <v>0</v>
      </c>
      <c r="AB52" s="1240">
        <f>+IFERROR(HLOOKUP(AB17,'סקרי נכסים-יתרות פתיחה'!$2:$110,5,0),0)-IFERROR(HLOOKUP(AB17,'סקרי נכסים-יתרות פתיחה'!$2:$110,90,0),0)*(1-AB$309)</f>
        <v>0</v>
      </c>
      <c r="AC52" s="1240">
        <f>+IFERROR(HLOOKUP(AC17,'סקרי נכסים-יתרות פתיחה'!$2:$110,5,0),0)-IFERROR(HLOOKUP(AC17,'סקרי נכסים-יתרות פתיחה'!$2:$110,90,0),0)*(1-AC$309)</f>
        <v>0</v>
      </c>
      <c r="AD52" s="1240">
        <f>+IFERROR(HLOOKUP(AD17,'סקרי נכסים-יתרות פתיחה'!$2:$110,5,0),0)-IFERROR(HLOOKUP(AD17,'סקרי נכסים-יתרות פתיחה'!$2:$110,90,0),0)*(1-AD$309)</f>
        <v>0</v>
      </c>
      <c r="AE52" s="1240">
        <f>+IFERROR(HLOOKUP(AE17,'סקרי נכסים-יתרות פתיחה'!$2:$110,5,0),0)-IFERROR(HLOOKUP(AE17,'סקרי נכסים-יתרות פתיחה'!$2:$110,90,0),0)*(1-AE$309)</f>
        <v>0</v>
      </c>
      <c r="AF52" s="1240">
        <f>+IFERROR(HLOOKUP(AF17,'סקרי נכסים-יתרות פתיחה'!$2:$110,5,0),0)-IFERROR(HLOOKUP(AF17,'סקרי נכסים-יתרות פתיחה'!$2:$110,90,0),0)*(1-AF$309)</f>
        <v>0</v>
      </c>
      <c r="AG52" s="1240">
        <f>+IFERROR(HLOOKUP(AG17,'סקרי נכסים-יתרות פתיחה'!$2:$110,5,0),0)-IFERROR(HLOOKUP(AG17,'סקרי נכסים-יתרות פתיחה'!$2:$110,90,0),0)*(1-AG$309)</f>
        <v>0</v>
      </c>
      <c r="AH52" s="1240">
        <f>+IFERROR(HLOOKUP(AH17,'סקרי נכסים-יתרות פתיחה'!$2:$110,5,0),0)-IFERROR(HLOOKUP(AH17,'סקרי נכסים-יתרות פתיחה'!$2:$110,90,0),0)*(1-AH$309)</f>
        <v>0</v>
      </c>
      <c r="AI52" s="1240">
        <f>+IFERROR(HLOOKUP(AI17,'סקרי נכסים-יתרות פתיחה'!$2:$110,5,0),0)-IFERROR(HLOOKUP(AI17,'סקרי נכסים-יתרות פתיחה'!$2:$110,90,0),0)*(1-AI$309)</f>
        <v>0</v>
      </c>
      <c r="AJ52" s="1240">
        <f>+IFERROR(HLOOKUP(AJ17,'סקרי נכסים-יתרות פתיחה'!$2:$110,5,0),0)-IFERROR(HLOOKUP(AJ17,'סקרי נכסים-יתרות פתיחה'!$2:$110,90,0),0)*(1-AJ$309)</f>
        <v>0</v>
      </c>
      <c r="AK52" s="1240">
        <f>+IFERROR(HLOOKUP(AK17,'סקרי נכסים-יתרות פתיחה'!$2:$110,5,0),0)-IFERROR(HLOOKUP(AK17,'סקרי נכסים-יתרות פתיחה'!$2:$110,90,0),0)*(1-AK$309)</f>
        <v>0</v>
      </c>
      <c r="AL52" s="1240">
        <f>+IFERROR(HLOOKUP(AL17,'סקרי נכסים-יתרות פתיחה'!$2:$110,5,0),0)-IFERROR(HLOOKUP(AL17,'סקרי נכסים-יתרות פתיחה'!$2:$110,90,0),0)*(1-AL$309)</f>
        <v>0</v>
      </c>
      <c r="AM52" s="1240">
        <f>+IFERROR(HLOOKUP(AM17,'סקרי נכסים-יתרות פתיחה'!$2:$110,5,0),0)-IFERROR(HLOOKUP(AM17,'סקרי נכסים-יתרות פתיחה'!$2:$110,90,0),0)*(1-AM$309)</f>
        <v>0</v>
      </c>
      <c r="AN52" s="1240">
        <f>+IFERROR(HLOOKUP(AN17,'סקרי נכסים-יתרות פתיחה'!$2:$110,5,0),0)-IFERROR(HLOOKUP(AN17,'סקרי נכסים-יתרות פתיחה'!$2:$110,90,0),0)*(1-AN$309)</f>
        <v>0</v>
      </c>
      <c r="AO52" s="1240">
        <f>+IFERROR(HLOOKUP(AO17,'סקרי נכסים-יתרות פתיחה'!$2:$110,5,0),0)-IFERROR(HLOOKUP(AO17,'סקרי נכסים-יתרות פתיחה'!$2:$110,90,0),0)*(1-AO$309)</f>
        <v>0</v>
      </c>
      <c r="AP52" s="1240">
        <f>+IFERROR(HLOOKUP(AP17,'סקרי נכסים-יתרות פתיחה'!$2:$110,5,0),0)-IFERROR(HLOOKUP(AP17,'סקרי נכסים-יתרות פתיחה'!$2:$110,90,0),0)*(1-AP$309)</f>
        <v>0</v>
      </c>
      <c r="AQ52" s="1240">
        <f>+IFERROR(HLOOKUP(AQ17,'סקרי נכסים-יתרות פתיחה'!$2:$110,5,0),0)-IFERROR(HLOOKUP(AQ17,'סקרי נכסים-יתרות פתיחה'!$2:$110,90,0),0)*(1-AQ$309)</f>
        <v>0</v>
      </c>
      <c r="AR52" s="1240">
        <f>+IFERROR(HLOOKUP(AR17,'סקרי נכסים-יתרות פתיחה'!$2:$110,5,0),0)-IFERROR(HLOOKUP(AR17,'סקרי נכסים-יתרות פתיחה'!$2:$110,90,0),0)*(1-AR$309)</f>
        <v>0</v>
      </c>
      <c r="AS52" s="1240">
        <f>+IFERROR(HLOOKUP(AS17,'סקרי נכסים-יתרות פתיחה'!$2:$110,5,0),0)-IFERROR(HLOOKUP(AS17,'סקרי נכסים-יתרות פתיחה'!$2:$110,90,0),0)*(1-AS$309)</f>
        <v>0</v>
      </c>
      <c r="AT52" s="1240">
        <f>+IFERROR(HLOOKUP(AT17,'סקרי נכסים-יתרות פתיחה'!$2:$110,5,0),0)-IFERROR(HLOOKUP(AT17,'סקרי נכסים-יתרות פתיחה'!$2:$110,90,0),0)*(1-AT$309)</f>
        <v>0</v>
      </c>
      <c r="AU52" s="1240">
        <f>+IFERROR(HLOOKUP(AU17,'סקרי נכסים-יתרות פתיחה'!$2:$110,5,0),0)-IFERROR(HLOOKUP(AU17,'סקרי נכסים-יתרות פתיחה'!$2:$110,90,0),0)*(1-AU$309)</f>
        <v>0</v>
      </c>
      <c r="AV52" s="1240">
        <f>+IFERROR(HLOOKUP(AV17,'סקרי נכסים-יתרות פתיחה'!$2:$110,5,0),0)-IFERROR(HLOOKUP(AV17,'סקרי נכסים-יתרות פתיחה'!$2:$110,90,0),0)*(1-AV$309)</f>
        <v>0</v>
      </c>
      <c r="AW52" s="1240">
        <f>+IFERROR(HLOOKUP(AW17,'סקרי נכסים-יתרות פתיחה'!$2:$110,5,0),0)-IFERROR(HLOOKUP(AW17,'סקרי נכסים-יתרות פתיחה'!$2:$110,90,0),0)*(1-AW$309)</f>
        <v>0</v>
      </c>
      <c r="AX52" s="1240">
        <f>+IFERROR(HLOOKUP(AX17,'סקרי נכסים-יתרות פתיחה'!$2:$110,5,0),0)-IFERROR(HLOOKUP(AX17,'סקרי נכסים-יתרות פתיחה'!$2:$110,90,0),0)*(1-AX$309)</f>
        <v>0</v>
      </c>
      <c r="AY52" s="1240">
        <f>+IFERROR(HLOOKUP(AY17,'סקרי נכסים-יתרות פתיחה'!$2:$110,5,0),0)-IFERROR(HLOOKUP(AY17,'סקרי נכסים-יתרות פתיחה'!$2:$110,90,0),0)*(1-AY$309)</f>
        <v>0</v>
      </c>
      <c r="AZ52" s="1240">
        <f>+IFERROR(HLOOKUP(AZ17,'סקרי נכסים-יתרות פתיחה'!$2:$110,5,0),0)-IFERROR(HLOOKUP(AZ17,'סקרי נכסים-יתרות פתיחה'!$2:$110,90,0),0)*(1-AZ$309)</f>
        <v>0</v>
      </c>
      <c r="BA52" s="1240">
        <f>+IFERROR(HLOOKUP(BA17,'סקרי נכסים-יתרות פתיחה'!$2:$110,5,0),0)-IFERROR(HLOOKUP(BA17,'סקרי נכסים-יתרות פתיחה'!$2:$110,90,0),0)*(1-BA$309)</f>
        <v>0</v>
      </c>
      <c r="BB52" s="1240">
        <f>+IFERROR(HLOOKUP(BB17,'סקרי נכסים-יתרות פתיחה'!$2:$110,5,0),0)-IFERROR(HLOOKUP(BB17,'סקרי נכסים-יתרות פתיחה'!$2:$110,90,0),0)*(1-BB$309)</f>
        <v>0</v>
      </c>
      <c r="BC52" s="1240">
        <f>+IFERROR(HLOOKUP(BC17,'סקרי נכסים-יתרות פתיחה'!$2:$110,5,0),0)-IFERROR(HLOOKUP(BC17,'סקרי נכסים-יתרות פתיחה'!$2:$110,90,0),0)*(1-BC$309)</f>
        <v>0</v>
      </c>
      <c r="BD52" s="1240">
        <f>+IFERROR(HLOOKUP(BD17,'סקרי נכסים-יתרות פתיחה'!$2:$110,5,0),0)-IFERROR(HLOOKUP(BD17,'סקרי נכסים-יתרות פתיחה'!$2:$110,90,0),0)*(1-BD$309)</f>
        <v>0</v>
      </c>
      <c r="BE52" s="1240">
        <f>+IFERROR(HLOOKUP(BE17,'סקרי נכסים-יתרות פתיחה'!$2:$110,5,0),0)-IFERROR(HLOOKUP(BE17,'סקרי נכסים-יתרות פתיחה'!$2:$110,90,0),0)*(1-BE$309)</f>
        <v>0</v>
      </c>
      <c r="BF52" s="1240">
        <f>+IFERROR(HLOOKUP(BF17,'סקרי נכסים-יתרות פתיחה'!$2:$110,5,0),0)-IFERROR(HLOOKUP(BF17,'סקרי נכסים-יתרות פתיחה'!$2:$110,90,0),0)*(1-BF$309)</f>
        <v>0</v>
      </c>
    </row>
    <row r="53" spans="2:58" x14ac:dyDescent="0.2">
      <c r="B53" s="1">
        <v>15</v>
      </c>
      <c r="C53" s="1240">
        <f>+IFERROR(HLOOKUP(C18,'סקרי נכסים-יתרות פתיחה'!$2:$110,5,0),0)-IFERROR(HLOOKUP(C18,'סקרי נכסים-יתרות פתיחה'!$2:$110,90,0),0)*(1-C$309)</f>
        <v>0</v>
      </c>
      <c r="D53" s="1240">
        <f>+IFERROR(HLOOKUP(D18,'סקרי נכסים-יתרות פתיחה'!$2:$110,5,0),0)-IFERROR(HLOOKUP(D18,'סקרי נכסים-יתרות פתיחה'!$2:$110,90,0),0)*(1-D$309)</f>
        <v>0</v>
      </c>
      <c r="E53" s="1240">
        <f>+IFERROR(HLOOKUP(E18,'סקרי נכסים-יתרות פתיחה'!$2:$110,5,0),0)-IFERROR(HLOOKUP(E18,'סקרי נכסים-יתרות פתיחה'!$2:$110,90,0),0)*(1-E$309)</f>
        <v>0</v>
      </c>
      <c r="F53" s="1240">
        <f>+IFERROR(HLOOKUP(F18,'סקרי נכסים-יתרות פתיחה'!$2:$110,5,0),0)-IFERROR(HLOOKUP(F18,'סקרי נכסים-יתרות פתיחה'!$2:$110,90,0),0)*(1-F$309)</f>
        <v>0</v>
      </c>
      <c r="G53" s="1240">
        <f>+IFERROR(HLOOKUP(G18,'סקרי נכסים-יתרות פתיחה'!$2:$110,5,0),0)-IFERROR(HLOOKUP(G18,'סקרי נכסים-יתרות פתיחה'!$2:$110,90,0),0)*(1-G$309)</f>
        <v>0</v>
      </c>
      <c r="H53" s="1240">
        <f>+IFERROR(HLOOKUP(H18,'סקרי נכסים-יתרות פתיחה'!$2:$110,5,0),0)-IFERROR(HLOOKUP(H18,'סקרי נכסים-יתרות פתיחה'!$2:$110,90,0),0)*(1-H$309)</f>
        <v>0</v>
      </c>
      <c r="I53" s="1240">
        <f>+IFERROR(HLOOKUP(I18,'סקרי נכסים-יתרות פתיחה'!$2:$110,5,0),0)-IFERROR(HLOOKUP(I18,'סקרי נכסים-יתרות פתיחה'!$2:$110,90,0),0)*(1-I$309)</f>
        <v>0</v>
      </c>
      <c r="J53" s="1240">
        <f>+IFERROR(HLOOKUP(J18,'סקרי נכסים-יתרות פתיחה'!$2:$110,5,0),0)-IFERROR(HLOOKUP(J18,'סקרי נכסים-יתרות פתיחה'!$2:$110,90,0),0)*(1-J$309)</f>
        <v>0</v>
      </c>
      <c r="K53" s="1240">
        <f>+IFERROR(HLOOKUP(K18,'סקרי נכסים-יתרות פתיחה'!$2:$110,5,0),0)-IFERROR(HLOOKUP(K18,'סקרי נכסים-יתרות פתיחה'!$2:$110,90,0),0)*(1-K$309)</f>
        <v>0</v>
      </c>
      <c r="L53" s="1240">
        <f>+IFERROR(HLOOKUP(L18,'סקרי נכסים-יתרות פתיחה'!$2:$110,5,0),0)-IFERROR(HLOOKUP(L18,'סקרי נכסים-יתרות פתיחה'!$2:$110,90,0),0)*(1-L$309)</f>
        <v>0</v>
      </c>
      <c r="M53" s="1240">
        <f>+IFERROR(HLOOKUP(M18,'סקרי נכסים-יתרות פתיחה'!$2:$110,5,0),0)-IFERROR(HLOOKUP(M18,'סקרי נכסים-יתרות פתיחה'!$2:$110,90,0),0)*(1-M$309)</f>
        <v>0</v>
      </c>
      <c r="N53" s="1240">
        <f>+IFERROR(HLOOKUP(N18,'סקרי נכסים-יתרות פתיחה'!$2:$110,5,0),0)-IFERROR(HLOOKUP(N18,'סקרי נכסים-יתרות פתיחה'!$2:$110,90,0),0)*(1-N$309)</f>
        <v>0</v>
      </c>
      <c r="O53" s="1240">
        <f>+IFERROR(HLOOKUP(O18,'סקרי נכסים-יתרות פתיחה'!$2:$110,5,0),0)-IFERROR(HLOOKUP(O18,'סקרי נכסים-יתרות פתיחה'!$2:$110,90,0),0)*(1-O$309)</f>
        <v>0</v>
      </c>
      <c r="P53" s="1240">
        <f>+IFERROR(HLOOKUP(P18,'סקרי נכסים-יתרות פתיחה'!$2:$110,5,0),0)-IFERROR(HLOOKUP(P18,'סקרי נכסים-יתרות פתיחה'!$2:$110,90,0),0)*(1-P$309)</f>
        <v>0</v>
      </c>
      <c r="Q53" s="1240">
        <f>+IFERROR(HLOOKUP(Q18,'סקרי נכסים-יתרות פתיחה'!$2:$110,5,0),0)-IFERROR(HLOOKUP(Q18,'סקרי נכסים-יתרות פתיחה'!$2:$110,90,0),0)*(1-Q$309)</f>
        <v>0</v>
      </c>
      <c r="R53" s="1240">
        <f>+IFERROR(HLOOKUP(R18,'סקרי נכסים-יתרות פתיחה'!$2:$110,5,0),0)-IFERROR(HLOOKUP(R18,'סקרי נכסים-יתרות פתיחה'!$2:$110,90,0),0)*(1-R$309)</f>
        <v>0</v>
      </c>
      <c r="S53" s="1240">
        <f>+IFERROR(HLOOKUP(S18,'סקרי נכסים-יתרות פתיחה'!$2:$110,5,0),0)-IFERROR(HLOOKUP(S18,'סקרי נכסים-יתרות פתיחה'!$2:$110,90,0),0)*(1-S$309)</f>
        <v>0</v>
      </c>
      <c r="T53" s="1240">
        <f>+IFERROR(HLOOKUP(T18,'סקרי נכסים-יתרות פתיחה'!$2:$110,5,0),0)-IFERROR(HLOOKUP(T18,'סקרי נכסים-יתרות פתיחה'!$2:$110,90,0),0)*(1-T$309)</f>
        <v>0</v>
      </c>
      <c r="U53" s="1240">
        <f>+IFERROR(HLOOKUP(U18,'סקרי נכסים-יתרות פתיחה'!$2:$110,5,0),0)-IFERROR(HLOOKUP(U18,'סקרי נכסים-יתרות פתיחה'!$2:$110,90,0),0)*(1-U$309)</f>
        <v>0</v>
      </c>
      <c r="V53" s="1240">
        <f>+IFERROR(HLOOKUP(V18,'סקרי נכסים-יתרות פתיחה'!$2:$110,5,0),0)-IFERROR(HLOOKUP(V18,'סקרי נכסים-יתרות פתיחה'!$2:$110,90,0),0)*(1-V$309)</f>
        <v>0</v>
      </c>
      <c r="W53" s="1240">
        <f>+IFERROR(HLOOKUP(W18,'סקרי נכסים-יתרות פתיחה'!$2:$110,5,0),0)-IFERROR(HLOOKUP(W18,'סקרי נכסים-יתרות פתיחה'!$2:$110,90,0),0)*(1-W$309)</f>
        <v>0</v>
      </c>
      <c r="X53" s="1240">
        <f>+IFERROR(HLOOKUP(X18,'סקרי נכסים-יתרות פתיחה'!$2:$110,5,0),0)-IFERROR(HLOOKUP(X18,'סקרי נכסים-יתרות פתיחה'!$2:$110,90,0),0)*(1-X$309)</f>
        <v>0</v>
      </c>
      <c r="Y53" s="1240">
        <f>+IFERROR(HLOOKUP(Y18,'סקרי נכסים-יתרות פתיחה'!$2:$110,5,0),0)-IFERROR(HLOOKUP(Y18,'סקרי נכסים-יתרות פתיחה'!$2:$110,90,0),0)*(1-Y$309)</f>
        <v>0</v>
      </c>
      <c r="Z53" s="1240">
        <f>+IFERROR(HLOOKUP(Z18,'סקרי נכסים-יתרות פתיחה'!$2:$110,5,0),0)-IFERROR(HLOOKUP(Z18,'סקרי נכסים-יתרות פתיחה'!$2:$110,90,0),0)*(1-Z$309)</f>
        <v>0</v>
      </c>
      <c r="AA53" s="1240">
        <f>+IFERROR(HLOOKUP(AA18,'סקרי נכסים-יתרות פתיחה'!$2:$110,5,0),0)-IFERROR(HLOOKUP(AA18,'סקרי נכסים-יתרות פתיחה'!$2:$110,90,0),0)*(1-AA$309)</f>
        <v>0</v>
      </c>
      <c r="AB53" s="1240">
        <f>+IFERROR(HLOOKUP(AB18,'סקרי נכסים-יתרות פתיחה'!$2:$110,5,0),0)-IFERROR(HLOOKUP(AB18,'סקרי נכסים-יתרות פתיחה'!$2:$110,90,0),0)*(1-AB$309)</f>
        <v>0</v>
      </c>
      <c r="AC53" s="1240">
        <f>+IFERROR(HLOOKUP(AC18,'סקרי נכסים-יתרות פתיחה'!$2:$110,5,0),0)-IFERROR(HLOOKUP(AC18,'סקרי נכסים-יתרות פתיחה'!$2:$110,90,0),0)*(1-AC$309)</f>
        <v>0</v>
      </c>
      <c r="AD53" s="1240">
        <f>+IFERROR(HLOOKUP(AD18,'סקרי נכסים-יתרות פתיחה'!$2:$110,5,0),0)-IFERROR(HLOOKUP(AD18,'סקרי נכסים-יתרות פתיחה'!$2:$110,90,0),0)*(1-AD$309)</f>
        <v>0</v>
      </c>
      <c r="AE53" s="1240">
        <f>+IFERROR(HLOOKUP(AE18,'סקרי נכסים-יתרות פתיחה'!$2:$110,5,0),0)-IFERROR(HLOOKUP(AE18,'סקרי נכסים-יתרות פתיחה'!$2:$110,90,0),0)*(1-AE$309)</f>
        <v>0</v>
      </c>
      <c r="AF53" s="1240">
        <f>+IFERROR(HLOOKUP(AF18,'סקרי נכסים-יתרות פתיחה'!$2:$110,5,0),0)-IFERROR(HLOOKUP(AF18,'סקרי נכסים-יתרות פתיחה'!$2:$110,90,0),0)*(1-AF$309)</f>
        <v>0</v>
      </c>
      <c r="AG53" s="1240">
        <f>+IFERROR(HLOOKUP(AG18,'סקרי נכסים-יתרות פתיחה'!$2:$110,5,0),0)-IFERROR(HLOOKUP(AG18,'סקרי נכסים-יתרות פתיחה'!$2:$110,90,0),0)*(1-AG$309)</f>
        <v>0</v>
      </c>
      <c r="AH53" s="1240">
        <f>+IFERROR(HLOOKUP(AH18,'סקרי נכסים-יתרות פתיחה'!$2:$110,5,0),0)-IFERROR(HLOOKUP(AH18,'סקרי נכסים-יתרות פתיחה'!$2:$110,90,0),0)*(1-AH$309)</f>
        <v>0</v>
      </c>
      <c r="AI53" s="1240">
        <f>+IFERROR(HLOOKUP(AI18,'סקרי נכסים-יתרות פתיחה'!$2:$110,5,0),0)-IFERROR(HLOOKUP(AI18,'סקרי נכסים-יתרות פתיחה'!$2:$110,90,0),0)*(1-AI$309)</f>
        <v>0</v>
      </c>
      <c r="AJ53" s="1240">
        <f>+IFERROR(HLOOKUP(AJ18,'סקרי נכסים-יתרות פתיחה'!$2:$110,5,0),0)-IFERROR(HLOOKUP(AJ18,'סקרי נכסים-יתרות פתיחה'!$2:$110,90,0),0)*(1-AJ$309)</f>
        <v>0</v>
      </c>
      <c r="AK53" s="1240">
        <f>+IFERROR(HLOOKUP(AK18,'סקרי נכסים-יתרות פתיחה'!$2:$110,5,0),0)-IFERROR(HLOOKUP(AK18,'סקרי נכסים-יתרות פתיחה'!$2:$110,90,0),0)*(1-AK$309)</f>
        <v>0</v>
      </c>
      <c r="AL53" s="1240">
        <f>+IFERROR(HLOOKUP(AL18,'סקרי נכסים-יתרות פתיחה'!$2:$110,5,0),0)-IFERROR(HLOOKUP(AL18,'סקרי נכסים-יתרות פתיחה'!$2:$110,90,0),0)*(1-AL$309)</f>
        <v>0</v>
      </c>
      <c r="AM53" s="1240">
        <f>+IFERROR(HLOOKUP(AM18,'סקרי נכסים-יתרות פתיחה'!$2:$110,5,0),0)-IFERROR(HLOOKUP(AM18,'סקרי נכסים-יתרות פתיחה'!$2:$110,90,0),0)*(1-AM$309)</f>
        <v>0</v>
      </c>
      <c r="AN53" s="1240">
        <f>+IFERROR(HLOOKUP(AN18,'סקרי נכסים-יתרות פתיחה'!$2:$110,5,0),0)-IFERROR(HLOOKUP(AN18,'סקרי נכסים-יתרות פתיחה'!$2:$110,90,0),0)*(1-AN$309)</f>
        <v>0</v>
      </c>
      <c r="AO53" s="1240">
        <f>+IFERROR(HLOOKUP(AO18,'סקרי נכסים-יתרות פתיחה'!$2:$110,5,0),0)-IFERROR(HLOOKUP(AO18,'סקרי נכסים-יתרות פתיחה'!$2:$110,90,0),0)*(1-AO$309)</f>
        <v>0</v>
      </c>
      <c r="AP53" s="1240">
        <f>+IFERROR(HLOOKUP(AP18,'סקרי נכסים-יתרות פתיחה'!$2:$110,5,0),0)-IFERROR(HLOOKUP(AP18,'סקרי נכסים-יתרות פתיחה'!$2:$110,90,0),0)*(1-AP$309)</f>
        <v>0</v>
      </c>
      <c r="AQ53" s="1240">
        <f>+IFERROR(HLOOKUP(AQ18,'סקרי נכסים-יתרות פתיחה'!$2:$110,5,0),0)-IFERROR(HLOOKUP(AQ18,'סקרי נכסים-יתרות פתיחה'!$2:$110,90,0),0)*(1-AQ$309)</f>
        <v>0</v>
      </c>
      <c r="AR53" s="1240">
        <f>+IFERROR(HLOOKUP(AR18,'סקרי נכסים-יתרות פתיחה'!$2:$110,5,0),0)-IFERROR(HLOOKUP(AR18,'סקרי נכסים-יתרות פתיחה'!$2:$110,90,0),0)*(1-AR$309)</f>
        <v>0</v>
      </c>
      <c r="AS53" s="1240">
        <f>+IFERROR(HLOOKUP(AS18,'סקרי נכסים-יתרות פתיחה'!$2:$110,5,0),0)-IFERROR(HLOOKUP(AS18,'סקרי נכסים-יתרות פתיחה'!$2:$110,90,0),0)*(1-AS$309)</f>
        <v>0</v>
      </c>
      <c r="AT53" s="1240">
        <f>+IFERROR(HLOOKUP(AT18,'סקרי נכסים-יתרות פתיחה'!$2:$110,5,0),0)-IFERROR(HLOOKUP(AT18,'סקרי נכסים-יתרות פתיחה'!$2:$110,90,0),0)*(1-AT$309)</f>
        <v>0</v>
      </c>
      <c r="AU53" s="1240">
        <f>+IFERROR(HLOOKUP(AU18,'סקרי נכסים-יתרות פתיחה'!$2:$110,5,0),0)-IFERROR(HLOOKUP(AU18,'סקרי נכסים-יתרות פתיחה'!$2:$110,90,0),0)*(1-AU$309)</f>
        <v>0</v>
      </c>
      <c r="AV53" s="1240">
        <f>+IFERROR(HLOOKUP(AV18,'סקרי נכסים-יתרות פתיחה'!$2:$110,5,0),0)-IFERROR(HLOOKUP(AV18,'סקרי נכסים-יתרות פתיחה'!$2:$110,90,0),0)*(1-AV$309)</f>
        <v>0</v>
      </c>
      <c r="AW53" s="1240">
        <f>+IFERROR(HLOOKUP(AW18,'סקרי נכסים-יתרות פתיחה'!$2:$110,5,0),0)-IFERROR(HLOOKUP(AW18,'סקרי נכסים-יתרות פתיחה'!$2:$110,90,0),0)*(1-AW$309)</f>
        <v>0</v>
      </c>
      <c r="AX53" s="1240">
        <f>+IFERROR(HLOOKUP(AX18,'סקרי נכסים-יתרות פתיחה'!$2:$110,5,0),0)-IFERROR(HLOOKUP(AX18,'סקרי נכסים-יתרות פתיחה'!$2:$110,90,0),0)*(1-AX$309)</f>
        <v>0</v>
      </c>
      <c r="AY53" s="1240">
        <f>+IFERROR(HLOOKUP(AY18,'סקרי נכסים-יתרות פתיחה'!$2:$110,5,0),0)-IFERROR(HLOOKUP(AY18,'סקרי נכסים-יתרות פתיחה'!$2:$110,90,0),0)*(1-AY$309)</f>
        <v>0</v>
      </c>
      <c r="AZ53" s="1240">
        <f>+IFERROR(HLOOKUP(AZ18,'סקרי נכסים-יתרות פתיחה'!$2:$110,5,0),0)-IFERROR(HLOOKUP(AZ18,'סקרי נכסים-יתרות פתיחה'!$2:$110,90,0),0)*(1-AZ$309)</f>
        <v>0</v>
      </c>
      <c r="BA53" s="1240">
        <f>+IFERROR(HLOOKUP(BA18,'סקרי נכסים-יתרות פתיחה'!$2:$110,5,0),0)-IFERROR(HLOOKUP(BA18,'סקרי נכסים-יתרות פתיחה'!$2:$110,90,0),0)*(1-BA$309)</f>
        <v>0</v>
      </c>
      <c r="BB53" s="1240">
        <f>+IFERROR(HLOOKUP(BB18,'סקרי נכסים-יתרות פתיחה'!$2:$110,5,0),0)-IFERROR(HLOOKUP(BB18,'סקרי נכסים-יתרות פתיחה'!$2:$110,90,0),0)*(1-BB$309)</f>
        <v>0</v>
      </c>
      <c r="BC53" s="1240">
        <f>+IFERROR(HLOOKUP(BC18,'סקרי נכסים-יתרות פתיחה'!$2:$110,5,0),0)-IFERROR(HLOOKUP(BC18,'סקרי נכסים-יתרות פתיחה'!$2:$110,90,0),0)*(1-BC$309)</f>
        <v>0</v>
      </c>
      <c r="BD53" s="1240">
        <f>+IFERROR(HLOOKUP(BD18,'סקרי נכסים-יתרות פתיחה'!$2:$110,5,0),0)-IFERROR(HLOOKUP(BD18,'סקרי נכסים-יתרות פתיחה'!$2:$110,90,0),0)*(1-BD$309)</f>
        <v>0</v>
      </c>
      <c r="BE53" s="1240">
        <f>+IFERROR(HLOOKUP(BE18,'סקרי נכסים-יתרות פתיחה'!$2:$110,5,0),0)-IFERROR(HLOOKUP(BE18,'סקרי נכסים-יתרות פתיחה'!$2:$110,90,0),0)*(1-BE$309)</f>
        <v>0</v>
      </c>
      <c r="BF53" s="1240">
        <f>+IFERROR(HLOOKUP(BF18,'סקרי נכסים-יתרות פתיחה'!$2:$110,5,0),0)-IFERROR(HLOOKUP(BF18,'סקרי נכסים-יתרות פתיחה'!$2:$110,90,0),0)*(1-BF$309)</f>
        <v>0</v>
      </c>
    </row>
    <row r="54" spans="2:58" x14ac:dyDescent="0.2">
      <c r="B54" s="1">
        <v>16</v>
      </c>
      <c r="C54" s="1240">
        <f>+IFERROR(HLOOKUP(C19,'סקרי נכסים-יתרות פתיחה'!$2:$110,5,0),0)-IFERROR(HLOOKUP(C19,'סקרי נכסים-יתרות פתיחה'!$2:$110,90,0),0)*(1-C$309)</f>
        <v>0</v>
      </c>
      <c r="D54" s="1240">
        <f>+IFERROR(HLOOKUP(D19,'סקרי נכסים-יתרות פתיחה'!$2:$110,5,0),0)-IFERROR(HLOOKUP(D19,'סקרי נכסים-יתרות פתיחה'!$2:$110,90,0),0)*(1-D$309)</f>
        <v>0</v>
      </c>
      <c r="E54" s="1240">
        <f>+IFERROR(HLOOKUP(E19,'סקרי נכסים-יתרות פתיחה'!$2:$110,5,0),0)-IFERROR(HLOOKUP(E19,'סקרי נכסים-יתרות פתיחה'!$2:$110,90,0),0)*(1-E$309)</f>
        <v>0</v>
      </c>
      <c r="F54" s="1240">
        <f>+IFERROR(HLOOKUP(F19,'סקרי נכסים-יתרות פתיחה'!$2:$110,5,0),0)-IFERROR(HLOOKUP(F19,'סקרי נכסים-יתרות פתיחה'!$2:$110,90,0),0)*(1-F$309)</f>
        <v>0</v>
      </c>
      <c r="G54" s="1240">
        <f>+IFERROR(HLOOKUP(G19,'סקרי נכסים-יתרות פתיחה'!$2:$110,5,0),0)-IFERROR(HLOOKUP(G19,'סקרי נכסים-יתרות פתיחה'!$2:$110,90,0),0)*(1-G$309)</f>
        <v>0</v>
      </c>
      <c r="H54" s="1240">
        <f>+IFERROR(HLOOKUP(H19,'סקרי נכסים-יתרות פתיחה'!$2:$110,5,0),0)-IFERROR(HLOOKUP(H19,'סקרי נכסים-יתרות פתיחה'!$2:$110,90,0),0)*(1-H$309)</f>
        <v>0</v>
      </c>
      <c r="I54" s="1240">
        <f>+IFERROR(HLOOKUP(I19,'סקרי נכסים-יתרות פתיחה'!$2:$110,5,0),0)-IFERROR(HLOOKUP(I19,'סקרי נכסים-יתרות פתיחה'!$2:$110,90,0),0)*(1-I$309)</f>
        <v>0</v>
      </c>
      <c r="J54" s="1240">
        <f>+IFERROR(HLOOKUP(J19,'סקרי נכסים-יתרות פתיחה'!$2:$110,5,0),0)-IFERROR(HLOOKUP(J19,'סקרי נכסים-יתרות פתיחה'!$2:$110,90,0),0)*(1-J$309)</f>
        <v>0</v>
      </c>
      <c r="K54" s="1240">
        <f>+IFERROR(HLOOKUP(K19,'סקרי נכסים-יתרות פתיחה'!$2:$110,5,0),0)-IFERROR(HLOOKUP(K19,'סקרי נכסים-יתרות פתיחה'!$2:$110,90,0),0)*(1-K$309)</f>
        <v>0</v>
      </c>
      <c r="L54" s="1240">
        <f>+IFERROR(HLOOKUP(L19,'סקרי נכסים-יתרות פתיחה'!$2:$110,5,0),0)-IFERROR(HLOOKUP(L19,'סקרי נכסים-יתרות פתיחה'!$2:$110,90,0),0)*(1-L$309)</f>
        <v>0</v>
      </c>
      <c r="M54" s="1240">
        <f>+IFERROR(HLOOKUP(M19,'סקרי נכסים-יתרות פתיחה'!$2:$110,5,0),0)-IFERROR(HLOOKUP(M19,'סקרי נכסים-יתרות פתיחה'!$2:$110,90,0),0)*(1-M$309)</f>
        <v>0</v>
      </c>
      <c r="N54" s="1240">
        <f>+IFERROR(HLOOKUP(N19,'סקרי נכסים-יתרות פתיחה'!$2:$110,5,0),0)-IFERROR(HLOOKUP(N19,'סקרי נכסים-יתרות פתיחה'!$2:$110,90,0),0)*(1-N$309)</f>
        <v>0</v>
      </c>
      <c r="O54" s="1240">
        <f>+IFERROR(HLOOKUP(O19,'סקרי נכסים-יתרות פתיחה'!$2:$110,5,0),0)-IFERROR(HLOOKUP(O19,'סקרי נכסים-יתרות פתיחה'!$2:$110,90,0),0)*(1-O$309)</f>
        <v>0</v>
      </c>
      <c r="P54" s="1240">
        <f>+IFERROR(HLOOKUP(P19,'סקרי נכסים-יתרות פתיחה'!$2:$110,5,0),0)-IFERROR(HLOOKUP(P19,'סקרי נכסים-יתרות פתיחה'!$2:$110,90,0),0)*(1-P$309)</f>
        <v>0</v>
      </c>
      <c r="Q54" s="1240">
        <f>+IFERROR(HLOOKUP(Q19,'סקרי נכסים-יתרות פתיחה'!$2:$110,5,0),0)-IFERROR(HLOOKUP(Q19,'סקרי נכסים-יתרות פתיחה'!$2:$110,90,0),0)*(1-Q$309)</f>
        <v>0</v>
      </c>
      <c r="R54" s="1240">
        <f>+IFERROR(HLOOKUP(R19,'סקרי נכסים-יתרות פתיחה'!$2:$110,5,0),0)-IFERROR(HLOOKUP(R19,'סקרי נכסים-יתרות פתיחה'!$2:$110,90,0),0)*(1-R$309)</f>
        <v>0</v>
      </c>
      <c r="S54" s="1240">
        <f>+IFERROR(HLOOKUP(S19,'סקרי נכסים-יתרות פתיחה'!$2:$110,5,0),0)-IFERROR(HLOOKUP(S19,'סקרי נכסים-יתרות פתיחה'!$2:$110,90,0),0)*(1-S$309)</f>
        <v>0</v>
      </c>
      <c r="T54" s="1240">
        <f>+IFERROR(HLOOKUP(T19,'סקרי נכסים-יתרות פתיחה'!$2:$110,5,0),0)-IFERROR(HLOOKUP(T19,'סקרי נכסים-יתרות פתיחה'!$2:$110,90,0),0)*(1-T$309)</f>
        <v>0</v>
      </c>
      <c r="U54" s="1240">
        <f>+IFERROR(HLOOKUP(U19,'סקרי נכסים-יתרות פתיחה'!$2:$110,5,0),0)-IFERROR(HLOOKUP(U19,'סקרי נכסים-יתרות פתיחה'!$2:$110,90,0),0)*(1-U$309)</f>
        <v>0</v>
      </c>
      <c r="V54" s="1240">
        <f>+IFERROR(HLOOKUP(V19,'סקרי נכסים-יתרות פתיחה'!$2:$110,5,0),0)-IFERROR(HLOOKUP(V19,'סקרי נכסים-יתרות פתיחה'!$2:$110,90,0),0)*(1-V$309)</f>
        <v>0</v>
      </c>
      <c r="W54" s="1240">
        <f>+IFERROR(HLOOKUP(W19,'סקרי נכסים-יתרות פתיחה'!$2:$110,5,0),0)-IFERROR(HLOOKUP(W19,'סקרי נכסים-יתרות פתיחה'!$2:$110,90,0),0)*(1-W$309)</f>
        <v>0</v>
      </c>
      <c r="X54" s="1240">
        <f>+IFERROR(HLOOKUP(X19,'סקרי נכסים-יתרות פתיחה'!$2:$110,5,0),0)-IFERROR(HLOOKUP(X19,'סקרי נכסים-יתרות פתיחה'!$2:$110,90,0),0)*(1-X$309)</f>
        <v>0</v>
      </c>
      <c r="Y54" s="1240">
        <f>+IFERROR(HLOOKUP(Y19,'סקרי נכסים-יתרות פתיחה'!$2:$110,5,0),0)-IFERROR(HLOOKUP(Y19,'סקרי נכסים-יתרות פתיחה'!$2:$110,90,0),0)*(1-Y$309)</f>
        <v>0</v>
      </c>
      <c r="Z54" s="1240">
        <f>+IFERROR(HLOOKUP(Z19,'סקרי נכסים-יתרות פתיחה'!$2:$110,5,0),0)-IFERROR(HLOOKUP(Z19,'סקרי נכסים-יתרות פתיחה'!$2:$110,90,0),0)*(1-Z$309)</f>
        <v>0</v>
      </c>
      <c r="AA54" s="1240">
        <f>+IFERROR(HLOOKUP(AA19,'סקרי נכסים-יתרות פתיחה'!$2:$110,5,0),0)-IFERROR(HLOOKUP(AA19,'סקרי נכסים-יתרות פתיחה'!$2:$110,90,0),0)*(1-AA$309)</f>
        <v>0</v>
      </c>
      <c r="AB54" s="1240">
        <f>+IFERROR(HLOOKUP(AB19,'סקרי נכסים-יתרות פתיחה'!$2:$110,5,0),0)-IFERROR(HLOOKUP(AB19,'סקרי נכסים-יתרות פתיחה'!$2:$110,90,0),0)*(1-AB$309)</f>
        <v>0</v>
      </c>
      <c r="AC54" s="1240">
        <f>+IFERROR(HLOOKUP(AC19,'סקרי נכסים-יתרות פתיחה'!$2:$110,5,0),0)-IFERROR(HLOOKUP(AC19,'סקרי נכסים-יתרות פתיחה'!$2:$110,90,0),0)*(1-AC$309)</f>
        <v>0</v>
      </c>
      <c r="AD54" s="1240">
        <f>+IFERROR(HLOOKUP(AD19,'סקרי נכסים-יתרות פתיחה'!$2:$110,5,0),0)-IFERROR(HLOOKUP(AD19,'סקרי נכסים-יתרות פתיחה'!$2:$110,90,0),0)*(1-AD$309)</f>
        <v>0</v>
      </c>
      <c r="AE54" s="1240">
        <f>+IFERROR(HLOOKUP(AE19,'סקרי נכסים-יתרות פתיחה'!$2:$110,5,0),0)-IFERROR(HLOOKUP(AE19,'סקרי נכסים-יתרות פתיחה'!$2:$110,90,0),0)*(1-AE$309)</f>
        <v>0</v>
      </c>
      <c r="AF54" s="1240">
        <f>+IFERROR(HLOOKUP(AF19,'סקרי נכסים-יתרות פתיחה'!$2:$110,5,0),0)-IFERROR(HLOOKUP(AF19,'סקרי נכסים-יתרות פתיחה'!$2:$110,90,0),0)*(1-AF$309)</f>
        <v>0</v>
      </c>
      <c r="AG54" s="1240">
        <f>+IFERROR(HLOOKUP(AG19,'סקרי נכסים-יתרות פתיחה'!$2:$110,5,0),0)-IFERROR(HLOOKUP(AG19,'סקרי נכסים-יתרות פתיחה'!$2:$110,90,0),0)*(1-AG$309)</f>
        <v>0</v>
      </c>
      <c r="AH54" s="1240">
        <f>+IFERROR(HLOOKUP(AH19,'סקרי נכסים-יתרות פתיחה'!$2:$110,5,0),0)-IFERROR(HLOOKUP(AH19,'סקרי נכסים-יתרות פתיחה'!$2:$110,90,0),0)*(1-AH$309)</f>
        <v>0</v>
      </c>
      <c r="AI54" s="1240">
        <f>+IFERROR(HLOOKUP(AI19,'סקרי נכסים-יתרות פתיחה'!$2:$110,5,0),0)-IFERROR(HLOOKUP(AI19,'סקרי נכסים-יתרות פתיחה'!$2:$110,90,0),0)*(1-AI$309)</f>
        <v>0</v>
      </c>
      <c r="AJ54" s="1240">
        <f>+IFERROR(HLOOKUP(AJ19,'סקרי נכסים-יתרות פתיחה'!$2:$110,5,0),0)-IFERROR(HLOOKUP(AJ19,'סקרי נכסים-יתרות פתיחה'!$2:$110,90,0),0)*(1-AJ$309)</f>
        <v>0</v>
      </c>
      <c r="AK54" s="1240">
        <f>+IFERROR(HLOOKUP(AK19,'סקרי נכסים-יתרות פתיחה'!$2:$110,5,0),0)-IFERROR(HLOOKUP(AK19,'סקרי נכסים-יתרות פתיחה'!$2:$110,90,0),0)*(1-AK$309)</f>
        <v>0</v>
      </c>
      <c r="AL54" s="1240">
        <f>+IFERROR(HLOOKUP(AL19,'סקרי נכסים-יתרות פתיחה'!$2:$110,5,0),0)-IFERROR(HLOOKUP(AL19,'סקרי נכסים-יתרות פתיחה'!$2:$110,90,0),0)*(1-AL$309)</f>
        <v>0</v>
      </c>
      <c r="AM54" s="1240">
        <f>+IFERROR(HLOOKUP(AM19,'סקרי נכסים-יתרות פתיחה'!$2:$110,5,0),0)-IFERROR(HLOOKUP(AM19,'סקרי נכסים-יתרות פתיחה'!$2:$110,90,0),0)*(1-AM$309)</f>
        <v>0</v>
      </c>
      <c r="AN54" s="1240">
        <f>+IFERROR(HLOOKUP(AN19,'סקרי נכסים-יתרות פתיחה'!$2:$110,5,0),0)-IFERROR(HLOOKUP(AN19,'סקרי נכסים-יתרות פתיחה'!$2:$110,90,0),0)*(1-AN$309)</f>
        <v>0</v>
      </c>
      <c r="AO54" s="1240">
        <f>+IFERROR(HLOOKUP(AO19,'סקרי נכסים-יתרות פתיחה'!$2:$110,5,0),0)-IFERROR(HLOOKUP(AO19,'סקרי נכסים-יתרות פתיחה'!$2:$110,90,0),0)*(1-AO$309)</f>
        <v>0</v>
      </c>
      <c r="AP54" s="1240">
        <f>+IFERROR(HLOOKUP(AP19,'סקרי נכסים-יתרות פתיחה'!$2:$110,5,0),0)-IFERROR(HLOOKUP(AP19,'סקרי נכסים-יתרות פתיחה'!$2:$110,90,0),0)*(1-AP$309)</f>
        <v>0</v>
      </c>
      <c r="AQ54" s="1240">
        <f>+IFERROR(HLOOKUP(AQ19,'סקרי נכסים-יתרות פתיחה'!$2:$110,5,0),0)-IFERROR(HLOOKUP(AQ19,'סקרי נכסים-יתרות פתיחה'!$2:$110,90,0),0)*(1-AQ$309)</f>
        <v>0</v>
      </c>
      <c r="AR54" s="1240">
        <f>+IFERROR(HLOOKUP(AR19,'סקרי נכסים-יתרות פתיחה'!$2:$110,5,0),0)-IFERROR(HLOOKUP(AR19,'סקרי נכסים-יתרות פתיחה'!$2:$110,90,0),0)*(1-AR$309)</f>
        <v>0</v>
      </c>
      <c r="AS54" s="1240">
        <f>+IFERROR(HLOOKUP(AS19,'סקרי נכסים-יתרות פתיחה'!$2:$110,5,0),0)-IFERROR(HLOOKUP(AS19,'סקרי נכסים-יתרות פתיחה'!$2:$110,90,0),0)*(1-AS$309)</f>
        <v>0</v>
      </c>
      <c r="AT54" s="1240">
        <f>+IFERROR(HLOOKUP(AT19,'סקרי נכסים-יתרות פתיחה'!$2:$110,5,0),0)-IFERROR(HLOOKUP(AT19,'סקרי נכסים-יתרות פתיחה'!$2:$110,90,0),0)*(1-AT$309)</f>
        <v>0</v>
      </c>
      <c r="AU54" s="1240">
        <f>+IFERROR(HLOOKUP(AU19,'סקרי נכסים-יתרות פתיחה'!$2:$110,5,0),0)-IFERROR(HLOOKUP(AU19,'סקרי נכסים-יתרות פתיחה'!$2:$110,90,0),0)*(1-AU$309)</f>
        <v>0</v>
      </c>
      <c r="AV54" s="1240">
        <f>+IFERROR(HLOOKUP(AV19,'סקרי נכסים-יתרות פתיחה'!$2:$110,5,0),0)-IFERROR(HLOOKUP(AV19,'סקרי נכסים-יתרות פתיחה'!$2:$110,90,0),0)*(1-AV$309)</f>
        <v>0</v>
      </c>
      <c r="AW54" s="1240">
        <f>+IFERROR(HLOOKUP(AW19,'סקרי נכסים-יתרות פתיחה'!$2:$110,5,0),0)-IFERROR(HLOOKUP(AW19,'סקרי נכסים-יתרות פתיחה'!$2:$110,90,0),0)*(1-AW$309)</f>
        <v>0</v>
      </c>
      <c r="AX54" s="1240">
        <f>+IFERROR(HLOOKUP(AX19,'סקרי נכסים-יתרות פתיחה'!$2:$110,5,0),0)-IFERROR(HLOOKUP(AX19,'סקרי נכסים-יתרות פתיחה'!$2:$110,90,0),0)*(1-AX$309)</f>
        <v>0</v>
      </c>
      <c r="AY54" s="1240">
        <f>+IFERROR(HLOOKUP(AY19,'סקרי נכסים-יתרות פתיחה'!$2:$110,5,0),0)-IFERROR(HLOOKUP(AY19,'סקרי נכסים-יתרות פתיחה'!$2:$110,90,0),0)*(1-AY$309)</f>
        <v>0</v>
      </c>
      <c r="AZ54" s="1240">
        <f>+IFERROR(HLOOKUP(AZ19,'סקרי נכסים-יתרות פתיחה'!$2:$110,5,0),0)-IFERROR(HLOOKUP(AZ19,'סקרי נכסים-יתרות פתיחה'!$2:$110,90,0),0)*(1-AZ$309)</f>
        <v>0</v>
      </c>
      <c r="BA54" s="1240">
        <f>+IFERROR(HLOOKUP(BA19,'סקרי נכסים-יתרות פתיחה'!$2:$110,5,0),0)-IFERROR(HLOOKUP(BA19,'סקרי נכסים-יתרות פתיחה'!$2:$110,90,0),0)*(1-BA$309)</f>
        <v>0</v>
      </c>
      <c r="BB54" s="1240">
        <f>+IFERROR(HLOOKUP(BB19,'סקרי נכסים-יתרות פתיחה'!$2:$110,5,0),0)-IFERROR(HLOOKUP(BB19,'סקרי נכסים-יתרות פתיחה'!$2:$110,90,0),0)*(1-BB$309)</f>
        <v>0</v>
      </c>
      <c r="BC54" s="1240">
        <f>+IFERROR(HLOOKUP(BC19,'סקרי נכסים-יתרות פתיחה'!$2:$110,5,0),0)-IFERROR(HLOOKUP(BC19,'סקרי נכסים-יתרות פתיחה'!$2:$110,90,0),0)*(1-BC$309)</f>
        <v>0</v>
      </c>
      <c r="BD54" s="1240">
        <f>+IFERROR(HLOOKUP(BD19,'סקרי נכסים-יתרות פתיחה'!$2:$110,5,0),0)-IFERROR(HLOOKUP(BD19,'סקרי נכסים-יתרות פתיחה'!$2:$110,90,0),0)*(1-BD$309)</f>
        <v>0</v>
      </c>
      <c r="BE54" s="1240">
        <f>+IFERROR(HLOOKUP(BE19,'סקרי נכסים-יתרות פתיחה'!$2:$110,5,0),0)-IFERROR(HLOOKUP(BE19,'סקרי נכסים-יתרות פתיחה'!$2:$110,90,0),0)*(1-BE$309)</f>
        <v>0</v>
      </c>
      <c r="BF54" s="1240">
        <f>+IFERROR(HLOOKUP(BF19,'סקרי נכסים-יתרות פתיחה'!$2:$110,5,0),0)-IFERROR(HLOOKUP(BF19,'סקרי נכסים-יתרות פתיחה'!$2:$110,90,0),0)*(1-BF$309)</f>
        <v>0</v>
      </c>
    </row>
    <row r="55" spans="2:58" x14ac:dyDescent="0.2">
      <c r="B55" s="1">
        <v>17</v>
      </c>
      <c r="C55" s="1240">
        <f>+IFERROR(HLOOKUP(C20,'סקרי נכסים-יתרות פתיחה'!$2:$110,5,0),0)-IFERROR(HLOOKUP(C20,'סקרי נכסים-יתרות פתיחה'!$2:$110,90,0),0)*(1-C$309)</f>
        <v>0</v>
      </c>
      <c r="D55" s="1240">
        <f>+IFERROR(HLOOKUP(D20,'סקרי נכסים-יתרות פתיחה'!$2:$110,5,0),0)-IFERROR(HLOOKUP(D20,'סקרי נכסים-יתרות פתיחה'!$2:$110,90,0),0)*(1-D$309)</f>
        <v>0</v>
      </c>
      <c r="E55" s="1240">
        <f>+IFERROR(HLOOKUP(E20,'סקרי נכסים-יתרות פתיחה'!$2:$110,5,0),0)-IFERROR(HLOOKUP(E20,'סקרי נכסים-יתרות פתיחה'!$2:$110,90,0),0)*(1-E$309)</f>
        <v>0</v>
      </c>
      <c r="F55" s="1240">
        <f>+IFERROR(HLOOKUP(F20,'סקרי נכסים-יתרות פתיחה'!$2:$110,5,0),0)-IFERROR(HLOOKUP(F20,'סקרי נכסים-יתרות פתיחה'!$2:$110,90,0),0)*(1-F$309)</f>
        <v>0</v>
      </c>
      <c r="G55" s="1240">
        <f>+IFERROR(HLOOKUP(G20,'סקרי נכסים-יתרות פתיחה'!$2:$110,5,0),0)-IFERROR(HLOOKUP(G20,'סקרי נכסים-יתרות פתיחה'!$2:$110,90,0),0)*(1-G$309)</f>
        <v>0</v>
      </c>
      <c r="H55" s="1240">
        <f>+IFERROR(HLOOKUP(H20,'סקרי נכסים-יתרות פתיחה'!$2:$110,5,0),0)-IFERROR(HLOOKUP(H20,'סקרי נכסים-יתרות פתיחה'!$2:$110,90,0),0)*(1-H$309)</f>
        <v>0</v>
      </c>
      <c r="I55" s="1240">
        <f>+IFERROR(HLOOKUP(I20,'סקרי נכסים-יתרות פתיחה'!$2:$110,5,0),0)-IFERROR(HLOOKUP(I20,'סקרי נכסים-יתרות פתיחה'!$2:$110,90,0),0)*(1-I$309)</f>
        <v>0</v>
      </c>
      <c r="J55" s="1240">
        <f>+IFERROR(HLOOKUP(J20,'סקרי נכסים-יתרות פתיחה'!$2:$110,5,0),0)-IFERROR(HLOOKUP(J20,'סקרי נכסים-יתרות פתיחה'!$2:$110,90,0),0)*(1-J$309)</f>
        <v>0</v>
      </c>
      <c r="K55" s="1240">
        <f>+IFERROR(HLOOKUP(K20,'סקרי נכסים-יתרות פתיחה'!$2:$110,5,0),0)-IFERROR(HLOOKUP(K20,'סקרי נכסים-יתרות פתיחה'!$2:$110,90,0),0)*(1-K$309)</f>
        <v>0</v>
      </c>
      <c r="L55" s="1240">
        <f>+IFERROR(HLOOKUP(L20,'סקרי נכסים-יתרות פתיחה'!$2:$110,5,0),0)-IFERROR(HLOOKUP(L20,'סקרי נכסים-יתרות פתיחה'!$2:$110,90,0),0)*(1-L$309)</f>
        <v>0</v>
      </c>
      <c r="M55" s="1240">
        <f>+IFERROR(HLOOKUP(M20,'סקרי נכסים-יתרות פתיחה'!$2:$110,5,0),0)-IFERROR(HLOOKUP(M20,'סקרי נכסים-יתרות פתיחה'!$2:$110,90,0),0)*(1-M$309)</f>
        <v>0</v>
      </c>
      <c r="N55" s="1240">
        <f>+IFERROR(HLOOKUP(N20,'סקרי נכסים-יתרות פתיחה'!$2:$110,5,0),0)-IFERROR(HLOOKUP(N20,'סקרי נכסים-יתרות פתיחה'!$2:$110,90,0),0)*(1-N$309)</f>
        <v>0</v>
      </c>
      <c r="O55" s="1240">
        <f>+IFERROR(HLOOKUP(O20,'סקרי נכסים-יתרות פתיחה'!$2:$110,5,0),0)-IFERROR(HLOOKUP(O20,'סקרי נכסים-יתרות פתיחה'!$2:$110,90,0),0)*(1-O$309)</f>
        <v>0</v>
      </c>
      <c r="P55" s="1240">
        <f>+IFERROR(HLOOKUP(P20,'סקרי נכסים-יתרות פתיחה'!$2:$110,5,0),0)-IFERROR(HLOOKUP(P20,'סקרי נכסים-יתרות פתיחה'!$2:$110,90,0),0)*(1-P$309)</f>
        <v>0</v>
      </c>
      <c r="Q55" s="1240">
        <f>+IFERROR(HLOOKUP(Q20,'סקרי נכסים-יתרות פתיחה'!$2:$110,5,0),0)-IFERROR(HLOOKUP(Q20,'סקרי נכסים-יתרות פתיחה'!$2:$110,90,0),0)*(1-Q$309)</f>
        <v>0</v>
      </c>
      <c r="R55" s="1240">
        <f>+IFERROR(HLOOKUP(R20,'סקרי נכסים-יתרות פתיחה'!$2:$110,5,0),0)-IFERROR(HLOOKUP(R20,'סקרי נכסים-יתרות פתיחה'!$2:$110,90,0),0)*(1-R$309)</f>
        <v>0</v>
      </c>
      <c r="S55" s="1240">
        <f>+IFERROR(HLOOKUP(S20,'סקרי נכסים-יתרות פתיחה'!$2:$110,5,0),0)-IFERROR(HLOOKUP(S20,'סקרי נכסים-יתרות פתיחה'!$2:$110,90,0),0)*(1-S$309)</f>
        <v>0</v>
      </c>
      <c r="T55" s="1240">
        <f>+IFERROR(HLOOKUP(T20,'סקרי נכסים-יתרות פתיחה'!$2:$110,5,0),0)-IFERROR(HLOOKUP(T20,'סקרי נכסים-יתרות פתיחה'!$2:$110,90,0),0)*(1-T$309)</f>
        <v>0</v>
      </c>
      <c r="U55" s="1240">
        <f>+IFERROR(HLOOKUP(U20,'סקרי נכסים-יתרות פתיחה'!$2:$110,5,0),0)-IFERROR(HLOOKUP(U20,'סקרי נכסים-יתרות פתיחה'!$2:$110,90,0),0)*(1-U$309)</f>
        <v>0</v>
      </c>
      <c r="V55" s="1240">
        <f>+IFERROR(HLOOKUP(V20,'סקרי נכסים-יתרות פתיחה'!$2:$110,5,0),0)-IFERROR(HLOOKUP(V20,'סקרי נכסים-יתרות פתיחה'!$2:$110,90,0),0)*(1-V$309)</f>
        <v>0</v>
      </c>
      <c r="W55" s="1240">
        <f>+IFERROR(HLOOKUP(W20,'סקרי נכסים-יתרות פתיחה'!$2:$110,5,0),0)-IFERROR(HLOOKUP(W20,'סקרי נכסים-יתרות פתיחה'!$2:$110,90,0),0)*(1-W$309)</f>
        <v>0</v>
      </c>
      <c r="X55" s="1240">
        <f>+IFERROR(HLOOKUP(X20,'סקרי נכסים-יתרות פתיחה'!$2:$110,5,0),0)-IFERROR(HLOOKUP(X20,'סקרי נכסים-יתרות פתיחה'!$2:$110,90,0),0)*(1-X$309)</f>
        <v>0</v>
      </c>
      <c r="Y55" s="1240">
        <f>+IFERROR(HLOOKUP(Y20,'סקרי נכסים-יתרות פתיחה'!$2:$110,5,0),0)-IFERROR(HLOOKUP(Y20,'סקרי נכסים-יתרות פתיחה'!$2:$110,90,0),0)*(1-Y$309)</f>
        <v>0</v>
      </c>
      <c r="Z55" s="1240">
        <f>+IFERROR(HLOOKUP(Z20,'סקרי נכסים-יתרות פתיחה'!$2:$110,5,0),0)-IFERROR(HLOOKUP(Z20,'סקרי נכסים-יתרות פתיחה'!$2:$110,90,0),0)*(1-Z$309)</f>
        <v>0</v>
      </c>
      <c r="AA55" s="1240">
        <f>+IFERROR(HLOOKUP(AA20,'סקרי נכסים-יתרות פתיחה'!$2:$110,5,0),0)-IFERROR(HLOOKUP(AA20,'סקרי נכסים-יתרות פתיחה'!$2:$110,90,0),0)*(1-AA$309)</f>
        <v>0</v>
      </c>
      <c r="AB55" s="1240">
        <f>+IFERROR(HLOOKUP(AB20,'סקרי נכסים-יתרות פתיחה'!$2:$110,5,0),0)-IFERROR(HLOOKUP(AB20,'סקרי נכסים-יתרות פתיחה'!$2:$110,90,0),0)*(1-AB$309)</f>
        <v>0</v>
      </c>
      <c r="AC55" s="1240">
        <f>+IFERROR(HLOOKUP(AC20,'סקרי נכסים-יתרות פתיחה'!$2:$110,5,0),0)-IFERROR(HLOOKUP(AC20,'סקרי נכסים-יתרות פתיחה'!$2:$110,90,0),0)*(1-AC$309)</f>
        <v>0</v>
      </c>
      <c r="AD55" s="1240">
        <f>+IFERROR(HLOOKUP(AD20,'סקרי נכסים-יתרות פתיחה'!$2:$110,5,0),0)-IFERROR(HLOOKUP(AD20,'סקרי נכסים-יתרות פתיחה'!$2:$110,90,0),0)*(1-AD$309)</f>
        <v>0</v>
      </c>
      <c r="AE55" s="1240">
        <f>+IFERROR(HLOOKUP(AE20,'סקרי נכסים-יתרות פתיחה'!$2:$110,5,0),0)-IFERROR(HLOOKUP(AE20,'סקרי נכסים-יתרות פתיחה'!$2:$110,90,0),0)*(1-AE$309)</f>
        <v>0</v>
      </c>
      <c r="AF55" s="1240">
        <f>+IFERROR(HLOOKUP(AF20,'סקרי נכסים-יתרות פתיחה'!$2:$110,5,0),0)-IFERROR(HLOOKUP(AF20,'סקרי נכסים-יתרות פתיחה'!$2:$110,90,0),0)*(1-AF$309)</f>
        <v>0</v>
      </c>
      <c r="AG55" s="1240">
        <f>+IFERROR(HLOOKUP(AG20,'סקרי נכסים-יתרות פתיחה'!$2:$110,5,0),0)-IFERROR(HLOOKUP(AG20,'סקרי נכסים-יתרות פתיחה'!$2:$110,90,0),0)*(1-AG$309)</f>
        <v>0</v>
      </c>
      <c r="AH55" s="1240">
        <f>+IFERROR(HLOOKUP(AH20,'סקרי נכסים-יתרות פתיחה'!$2:$110,5,0),0)-IFERROR(HLOOKUP(AH20,'סקרי נכסים-יתרות פתיחה'!$2:$110,90,0),0)*(1-AH$309)</f>
        <v>0</v>
      </c>
      <c r="AI55" s="1240">
        <f>+IFERROR(HLOOKUP(AI20,'סקרי נכסים-יתרות פתיחה'!$2:$110,5,0),0)-IFERROR(HLOOKUP(AI20,'סקרי נכסים-יתרות פתיחה'!$2:$110,90,0),0)*(1-AI$309)</f>
        <v>0</v>
      </c>
      <c r="AJ55" s="1240">
        <f>+IFERROR(HLOOKUP(AJ20,'סקרי נכסים-יתרות פתיחה'!$2:$110,5,0),0)-IFERROR(HLOOKUP(AJ20,'סקרי נכסים-יתרות פתיחה'!$2:$110,90,0),0)*(1-AJ$309)</f>
        <v>0</v>
      </c>
      <c r="AK55" s="1240">
        <f>+IFERROR(HLOOKUP(AK20,'סקרי נכסים-יתרות פתיחה'!$2:$110,5,0),0)-IFERROR(HLOOKUP(AK20,'סקרי נכסים-יתרות פתיחה'!$2:$110,90,0),0)*(1-AK$309)</f>
        <v>0</v>
      </c>
      <c r="AL55" s="1240">
        <f>+IFERROR(HLOOKUP(AL20,'סקרי נכסים-יתרות פתיחה'!$2:$110,5,0),0)-IFERROR(HLOOKUP(AL20,'סקרי נכסים-יתרות פתיחה'!$2:$110,90,0),0)*(1-AL$309)</f>
        <v>0</v>
      </c>
      <c r="AM55" s="1240">
        <f>+IFERROR(HLOOKUP(AM20,'סקרי נכסים-יתרות פתיחה'!$2:$110,5,0),0)-IFERROR(HLOOKUP(AM20,'סקרי נכסים-יתרות פתיחה'!$2:$110,90,0),0)*(1-AM$309)</f>
        <v>0</v>
      </c>
      <c r="AN55" s="1240">
        <f>+IFERROR(HLOOKUP(AN20,'סקרי נכסים-יתרות פתיחה'!$2:$110,5,0),0)-IFERROR(HLOOKUP(AN20,'סקרי נכסים-יתרות פתיחה'!$2:$110,90,0),0)*(1-AN$309)</f>
        <v>0</v>
      </c>
      <c r="AO55" s="1240">
        <f>+IFERROR(HLOOKUP(AO20,'סקרי נכסים-יתרות פתיחה'!$2:$110,5,0),0)-IFERROR(HLOOKUP(AO20,'סקרי נכסים-יתרות פתיחה'!$2:$110,90,0),0)*(1-AO$309)</f>
        <v>0</v>
      </c>
      <c r="AP55" s="1240">
        <f>+IFERROR(HLOOKUP(AP20,'סקרי נכסים-יתרות פתיחה'!$2:$110,5,0),0)-IFERROR(HLOOKUP(AP20,'סקרי נכסים-יתרות פתיחה'!$2:$110,90,0),0)*(1-AP$309)</f>
        <v>0</v>
      </c>
      <c r="AQ55" s="1240">
        <f>+IFERROR(HLOOKUP(AQ20,'סקרי נכסים-יתרות פתיחה'!$2:$110,5,0),0)-IFERROR(HLOOKUP(AQ20,'סקרי נכסים-יתרות פתיחה'!$2:$110,90,0),0)*(1-AQ$309)</f>
        <v>0</v>
      </c>
      <c r="AR55" s="1240">
        <f>+IFERROR(HLOOKUP(AR20,'סקרי נכסים-יתרות פתיחה'!$2:$110,5,0),0)-IFERROR(HLOOKUP(AR20,'סקרי נכסים-יתרות פתיחה'!$2:$110,90,0),0)*(1-AR$309)</f>
        <v>0</v>
      </c>
      <c r="AS55" s="1240">
        <f>+IFERROR(HLOOKUP(AS20,'סקרי נכסים-יתרות פתיחה'!$2:$110,5,0),0)-IFERROR(HLOOKUP(AS20,'סקרי נכסים-יתרות פתיחה'!$2:$110,90,0),0)*(1-AS$309)</f>
        <v>0</v>
      </c>
      <c r="AT55" s="1240">
        <f>+IFERROR(HLOOKUP(AT20,'סקרי נכסים-יתרות פתיחה'!$2:$110,5,0),0)-IFERROR(HLOOKUP(AT20,'סקרי נכסים-יתרות פתיחה'!$2:$110,90,0),0)*(1-AT$309)</f>
        <v>0</v>
      </c>
      <c r="AU55" s="1240">
        <f>+IFERROR(HLOOKUP(AU20,'סקרי נכסים-יתרות פתיחה'!$2:$110,5,0),0)-IFERROR(HLOOKUP(AU20,'סקרי נכסים-יתרות פתיחה'!$2:$110,90,0),0)*(1-AU$309)</f>
        <v>0</v>
      </c>
      <c r="AV55" s="1240">
        <f>+IFERROR(HLOOKUP(AV20,'סקרי נכסים-יתרות פתיחה'!$2:$110,5,0),0)-IFERROR(HLOOKUP(AV20,'סקרי נכסים-יתרות פתיחה'!$2:$110,90,0),0)*(1-AV$309)</f>
        <v>0</v>
      </c>
      <c r="AW55" s="1240">
        <f>+IFERROR(HLOOKUP(AW20,'סקרי נכסים-יתרות פתיחה'!$2:$110,5,0),0)-IFERROR(HLOOKUP(AW20,'סקרי נכסים-יתרות פתיחה'!$2:$110,90,0),0)*(1-AW$309)</f>
        <v>0</v>
      </c>
      <c r="AX55" s="1240">
        <f>+IFERROR(HLOOKUP(AX20,'סקרי נכסים-יתרות פתיחה'!$2:$110,5,0),0)-IFERROR(HLOOKUP(AX20,'סקרי נכסים-יתרות פתיחה'!$2:$110,90,0),0)*(1-AX$309)</f>
        <v>0</v>
      </c>
      <c r="AY55" s="1240">
        <f>+IFERROR(HLOOKUP(AY20,'סקרי נכסים-יתרות פתיחה'!$2:$110,5,0),0)-IFERROR(HLOOKUP(AY20,'סקרי נכסים-יתרות פתיחה'!$2:$110,90,0),0)*(1-AY$309)</f>
        <v>0</v>
      </c>
      <c r="AZ55" s="1240">
        <f>+IFERROR(HLOOKUP(AZ20,'סקרי נכסים-יתרות פתיחה'!$2:$110,5,0),0)-IFERROR(HLOOKUP(AZ20,'סקרי נכסים-יתרות פתיחה'!$2:$110,90,0),0)*(1-AZ$309)</f>
        <v>0</v>
      </c>
      <c r="BA55" s="1240">
        <f>+IFERROR(HLOOKUP(BA20,'סקרי נכסים-יתרות פתיחה'!$2:$110,5,0),0)-IFERROR(HLOOKUP(BA20,'סקרי נכסים-יתרות פתיחה'!$2:$110,90,0),0)*(1-BA$309)</f>
        <v>0</v>
      </c>
      <c r="BB55" s="1240">
        <f>+IFERROR(HLOOKUP(BB20,'סקרי נכסים-יתרות פתיחה'!$2:$110,5,0),0)-IFERROR(HLOOKUP(BB20,'סקרי נכסים-יתרות פתיחה'!$2:$110,90,0),0)*(1-BB$309)</f>
        <v>0</v>
      </c>
      <c r="BC55" s="1240">
        <f>+IFERROR(HLOOKUP(BC20,'סקרי נכסים-יתרות פתיחה'!$2:$110,5,0),0)-IFERROR(HLOOKUP(BC20,'סקרי נכסים-יתרות פתיחה'!$2:$110,90,0),0)*(1-BC$309)</f>
        <v>0</v>
      </c>
      <c r="BD55" s="1240">
        <f>+IFERROR(HLOOKUP(BD20,'סקרי נכסים-יתרות פתיחה'!$2:$110,5,0),0)-IFERROR(HLOOKUP(BD20,'סקרי נכסים-יתרות פתיחה'!$2:$110,90,0),0)*(1-BD$309)</f>
        <v>0</v>
      </c>
      <c r="BE55" s="1240">
        <f>+IFERROR(HLOOKUP(BE20,'סקרי נכסים-יתרות פתיחה'!$2:$110,5,0),0)-IFERROR(HLOOKUP(BE20,'סקרי נכסים-יתרות פתיחה'!$2:$110,90,0),0)*(1-BE$309)</f>
        <v>0</v>
      </c>
      <c r="BF55" s="1240">
        <f>+IFERROR(HLOOKUP(BF20,'סקרי נכסים-יתרות פתיחה'!$2:$110,5,0),0)-IFERROR(HLOOKUP(BF20,'סקרי נכסים-יתרות פתיחה'!$2:$110,90,0),0)*(1-BF$309)</f>
        <v>0</v>
      </c>
    </row>
    <row r="56" spans="2:58" x14ac:dyDescent="0.2">
      <c r="B56" s="1">
        <v>18</v>
      </c>
      <c r="C56" s="1240">
        <f>+IFERROR(HLOOKUP(C21,'סקרי נכסים-יתרות פתיחה'!$2:$110,5,0),0)-IFERROR(HLOOKUP(C21,'סקרי נכסים-יתרות פתיחה'!$2:$110,90,0),0)*(1-C$309)</f>
        <v>0</v>
      </c>
      <c r="D56" s="1240">
        <f>+IFERROR(HLOOKUP(D21,'סקרי נכסים-יתרות פתיחה'!$2:$110,5,0),0)-IFERROR(HLOOKUP(D21,'סקרי נכסים-יתרות פתיחה'!$2:$110,90,0),0)*(1-D$309)</f>
        <v>0</v>
      </c>
      <c r="E56" s="1240">
        <f>+IFERROR(HLOOKUP(E21,'סקרי נכסים-יתרות פתיחה'!$2:$110,5,0),0)-IFERROR(HLOOKUP(E21,'סקרי נכסים-יתרות פתיחה'!$2:$110,90,0),0)*(1-E$309)</f>
        <v>0</v>
      </c>
      <c r="F56" s="1240">
        <f>+IFERROR(HLOOKUP(F21,'סקרי נכסים-יתרות פתיחה'!$2:$110,5,0),0)-IFERROR(HLOOKUP(F21,'סקרי נכסים-יתרות פתיחה'!$2:$110,90,0),0)*(1-F$309)</f>
        <v>0</v>
      </c>
      <c r="G56" s="1240">
        <f>+IFERROR(HLOOKUP(G21,'סקרי נכסים-יתרות פתיחה'!$2:$110,5,0),0)-IFERROR(HLOOKUP(G21,'סקרי נכסים-יתרות פתיחה'!$2:$110,90,0),0)*(1-G$309)</f>
        <v>0</v>
      </c>
      <c r="H56" s="1240">
        <f>+IFERROR(HLOOKUP(H21,'סקרי נכסים-יתרות פתיחה'!$2:$110,5,0),0)-IFERROR(HLOOKUP(H21,'סקרי נכסים-יתרות פתיחה'!$2:$110,90,0),0)*(1-H$309)</f>
        <v>0</v>
      </c>
      <c r="I56" s="1240">
        <f>+IFERROR(HLOOKUP(I21,'סקרי נכסים-יתרות פתיחה'!$2:$110,5,0),0)-IFERROR(HLOOKUP(I21,'סקרי נכסים-יתרות פתיחה'!$2:$110,90,0),0)*(1-I$309)</f>
        <v>0</v>
      </c>
      <c r="J56" s="1240">
        <f>+IFERROR(HLOOKUP(J21,'סקרי נכסים-יתרות פתיחה'!$2:$110,5,0),0)-IFERROR(HLOOKUP(J21,'סקרי נכסים-יתרות פתיחה'!$2:$110,90,0),0)*(1-J$309)</f>
        <v>0</v>
      </c>
      <c r="K56" s="1240">
        <f>+IFERROR(HLOOKUP(K21,'סקרי נכסים-יתרות פתיחה'!$2:$110,5,0),0)-IFERROR(HLOOKUP(K21,'סקרי נכסים-יתרות פתיחה'!$2:$110,90,0),0)*(1-K$309)</f>
        <v>0</v>
      </c>
      <c r="L56" s="1240">
        <f>+IFERROR(HLOOKUP(L21,'סקרי נכסים-יתרות פתיחה'!$2:$110,5,0),0)-IFERROR(HLOOKUP(L21,'סקרי נכסים-יתרות פתיחה'!$2:$110,90,0),0)*(1-L$309)</f>
        <v>0</v>
      </c>
      <c r="M56" s="1240">
        <f>+IFERROR(HLOOKUP(M21,'סקרי נכסים-יתרות פתיחה'!$2:$110,5,0),0)-IFERROR(HLOOKUP(M21,'סקרי נכסים-יתרות פתיחה'!$2:$110,90,0),0)*(1-M$309)</f>
        <v>0</v>
      </c>
      <c r="N56" s="1240">
        <f>+IFERROR(HLOOKUP(N21,'סקרי נכסים-יתרות פתיחה'!$2:$110,5,0),0)-IFERROR(HLOOKUP(N21,'סקרי נכסים-יתרות פתיחה'!$2:$110,90,0),0)*(1-N$309)</f>
        <v>0</v>
      </c>
      <c r="O56" s="1240">
        <f>+IFERROR(HLOOKUP(O21,'סקרי נכסים-יתרות פתיחה'!$2:$110,5,0),0)-IFERROR(HLOOKUP(O21,'סקרי נכסים-יתרות פתיחה'!$2:$110,90,0),0)*(1-O$309)</f>
        <v>0</v>
      </c>
      <c r="P56" s="1240">
        <f>+IFERROR(HLOOKUP(P21,'סקרי נכסים-יתרות פתיחה'!$2:$110,5,0),0)-IFERROR(HLOOKUP(P21,'סקרי נכסים-יתרות פתיחה'!$2:$110,90,0),0)*(1-P$309)</f>
        <v>0</v>
      </c>
      <c r="Q56" s="1240">
        <f>+IFERROR(HLOOKUP(Q21,'סקרי נכסים-יתרות פתיחה'!$2:$110,5,0),0)-IFERROR(HLOOKUP(Q21,'סקרי נכסים-יתרות פתיחה'!$2:$110,90,0),0)*(1-Q$309)</f>
        <v>0</v>
      </c>
      <c r="R56" s="1240">
        <f>+IFERROR(HLOOKUP(R21,'סקרי נכסים-יתרות פתיחה'!$2:$110,5,0),0)-IFERROR(HLOOKUP(R21,'סקרי נכסים-יתרות פתיחה'!$2:$110,90,0),0)*(1-R$309)</f>
        <v>0</v>
      </c>
      <c r="S56" s="1240">
        <f>+IFERROR(HLOOKUP(S21,'סקרי נכסים-יתרות פתיחה'!$2:$110,5,0),0)-IFERROR(HLOOKUP(S21,'סקרי נכסים-יתרות פתיחה'!$2:$110,90,0),0)*(1-S$309)</f>
        <v>0</v>
      </c>
      <c r="T56" s="1240">
        <f>+IFERROR(HLOOKUP(T21,'סקרי נכסים-יתרות פתיחה'!$2:$110,5,0),0)-IFERROR(HLOOKUP(T21,'סקרי נכסים-יתרות פתיחה'!$2:$110,90,0),0)*(1-T$309)</f>
        <v>0</v>
      </c>
      <c r="U56" s="1240">
        <f>+IFERROR(HLOOKUP(U21,'סקרי נכסים-יתרות פתיחה'!$2:$110,5,0),0)-IFERROR(HLOOKUP(U21,'סקרי נכסים-יתרות פתיחה'!$2:$110,90,0),0)*(1-U$309)</f>
        <v>0</v>
      </c>
      <c r="V56" s="1240">
        <f>+IFERROR(HLOOKUP(V21,'סקרי נכסים-יתרות פתיחה'!$2:$110,5,0),0)-IFERROR(HLOOKUP(V21,'סקרי נכסים-יתרות פתיחה'!$2:$110,90,0),0)*(1-V$309)</f>
        <v>0</v>
      </c>
      <c r="W56" s="1240">
        <f>+IFERROR(HLOOKUP(W21,'סקרי נכסים-יתרות פתיחה'!$2:$110,5,0),0)-IFERROR(HLOOKUP(W21,'סקרי נכסים-יתרות פתיחה'!$2:$110,90,0),0)*(1-W$309)</f>
        <v>0</v>
      </c>
      <c r="X56" s="1240">
        <f>+IFERROR(HLOOKUP(X21,'סקרי נכסים-יתרות פתיחה'!$2:$110,5,0),0)-IFERROR(HLOOKUP(X21,'סקרי נכסים-יתרות פתיחה'!$2:$110,90,0),0)*(1-X$309)</f>
        <v>0</v>
      </c>
      <c r="Y56" s="1240">
        <f>+IFERROR(HLOOKUP(Y21,'סקרי נכסים-יתרות פתיחה'!$2:$110,5,0),0)-IFERROR(HLOOKUP(Y21,'סקרי נכסים-יתרות פתיחה'!$2:$110,90,0),0)*(1-Y$309)</f>
        <v>0</v>
      </c>
      <c r="Z56" s="1240">
        <f>+IFERROR(HLOOKUP(Z21,'סקרי נכסים-יתרות פתיחה'!$2:$110,5,0),0)-IFERROR(HLOOKUP(Z21,'סקרי נכסים-יתרות פתיחה'!$2:$110,90,0),0)*(1-Z$309)</f>
        <v>0</v>
      </c>
      <c r="AA56" s="1240">
        <f>+IFERROR(HLOOKUP(AA21,'סקרי נכסים-יתרות פתיחה'!$2:$110,5,0),0)-IFERROR(HLOOKUP(AA21,'סקרי נכסים-יתרות פתיחה'!$2:$110,90,0),0)*(1-AA$309)</f>
        <v>0</v>
      </c>
      <c r="AB56" s="1240">
        <f>+IFERROR(HLOOKUP(AB21,'סקרי נכסים-יתרות פתיחה'!$2:$110,5,0),0)-IFERROR(HLOOKUP(AB21,'סקרי נכסים-יתרות פתיחה'!$2:$110,90,0),0)*(1-AB$309)</f>
        <v>0</v>
      </c>
      <c r="AC56" s="1240">
        <f>+IFERROR(HLOOKUP(AC21,'סקרי נכסים-יתרות פתיחה'!$2:$110,5,0),0)-IFERROR(HLOOKUP(AC21,'סקרי נכסים-יתרות פתיחה'!$2:$110,90,0),0)*(1-AC$309)</f>
        <v>0</v>
      </c>
      <c r="AD56" s="1240">
        <f>+IFERROR(HLOOKUP(AD21,'סקרי נכסים-יתרות פתיחה'!$2:$110,5,0),0)-IFERROR(HLOOKUP(AD21,'סקרי נכסים-יתרות פתיחה'!$2:$110,90,0),0)*(1-AD$309)</f>
        <v>0</v>
      </c>
      <c r="AE56" s="1240">
        <f>+IFERROR(HLOOKUP(AE21,'סקרי נכסים-יתרות פתיחה'!$2:$110,5,0),0)-IFERROR(HLOOKUP(AE21,'סקרי נכסים-יתרות פתיחה'!$2:$110,90,0),0)*(1-AE$309)</f>
        <v>0</v>
      </c>
      <c r="AF56" s="1240">
        <f>+IFERROR(HLOOKUP(AF21,'סקרי נכסים-יתרות פתיחה'!$2:$110,5,0),0)-IFERROR(HLOOKUP(AF21,'סקרי נכסים-יתרות פתיחה'!$2:$110,90,0),0)*(1-AF$309)</f>
        <v>0</v>
      </c>
      <c r="AG56" s="1240">
        <f>+IFERROR(HLOOKUP(AG21,'סקרי נכסים-יתרות פתיחה'!$2:$110,5,0),0)-IFERROR(HLOOKUP(AG21,'סקרי נכסים-יתרות פתיחה'!$2:$110,90,0),0)*(1-AG$309)</f>
        <v>0</v>
      </c>
      <c r="AH56" s="1240">
        <f>+IFERROR(HLOOKUP(AH21,'סקרי נכסים-יתרות פתיחה'!$2:$110,5,0),0)-IFERROR(HLOOKUP(AH21,'סקרי נכסים-יתרות פתיחה'!$2:$110,90,0),0)*(1-AH$309)</f>
        <v>0</v>
      </c>
      <c r="AI56" s="1240">
        <f>+IFERROR(HLOOKUP(AI21,'סקרי נכסים-יתרות פתיחה'!$2:$110,5,0),0)-IFERROR(HLOOKUP(AI21,'סקרי נכסים-יתרות פתיחה'!$2:$110,90,0),0)*(1-AI$309)</f>
        <v>0</v>
      </c>
      <c r="AJ56" s="1240">
        <f>+IFERROR(HLOOKUP(AJ21,'סקרי נכסים-יתרות פתיחה'!$2:$110,5,0),0)-IFERROR(HLOOKUP(AJ21,'סקרי נכסים-יתרות פתיחה'!$2:$110,90,0),0)*(1-AJ$309)</f>
        <v>0</v>
      </c>
      <c r="AK56" s="1240">
        <f>+IFERROR(HLOOKUP(AK21,'סקרי נכסים-יתרות פתיחה'!$2:$110,5,0),0)-IFERROR(HLOOKUP(AK21,'סקרי נכסים-יתרות פתיחה'!$2:$110,90,0),0)*(1-AK$309)</f>
        <v>0</v>
      </c>
      <c r="AL56" s="1240">
        <f>+IFERROR(HLOOKUP(AL21,'סקרי נכסים-יתרות פתיחה'!$2:$110,5,0),0)-IFERROR(HLOOKUP(AL21,'סקרי נכסים-יתרות פתיחה'!$2:$110,90,0),0)*(1-AL$309)</f>
        <v>0</v>
      </c>
      <c r="AM56" s="1240">
        <f>+IFERROR(HLOOKUP(AM21,'סקרי נכסים-יתרות פתיחה'!$2:$110,5,0),0)-IFERROR(HLOOKUP(AM21,'סקרי נכסים-יתרות פתיחה'!$2:$110,90,0),0)*(1-AM$309)</f>
        <v>0</v>
      </c>
      <c r="AN56" s="1240">
        <f>+IFERROR(HLOOKUP(AN21,'סקרי נכסים-יתרות פתיחה'!$2:$110,5,0),0)-IFERROR(HLOOKUP(AN21,'סקרי נכסים-יתרות פתיחה'!$2:$110,90,0),0)*(1-AN$309)</f>
        <v>0</v>
      </c>
      <c r="AO56" s="1240">
        <f>+IFERROR(HLOOKUP(AO21,'סקרי נכסים-יתרות פתיחה'!$2:$110,5,0),0)-IFERROR(HLOOKUP(AO21,'סקרי נכסים-יתרות פתיחה'!$2:$110,90,0),0)*(1-AO$309)</f>
        <v>0</v>
      </c>
      <c r="AP56" s="1240">
        <f>+IFERROR(HLOOKUP(AP21,'סקרי נכסים-יתרות פתיחה'!$2:$110,5,0),0)-IFERROR(HLOOKUP(AP21,'סקרי נכסים-יתרות פתיחה'!$2:$110,90,0),0)*(1-AP$309)</f>
        <v>0</v>
      </c>
      <c r="AQ56" s="1240">
        <f>+IFERROR(HLOOKUP(AQ21,'סקרי נכסים-יתרות פתיחה'!$2:$110,5,0),0)-IFERROR(HLOOKUP(AQ21,'סקרי נכסים-יתרות פתיחה'!$2:$110,90,0),0)*(1-AQ$309)</f>
        <v>0</v>
      </c>
      <c r="AR56" s="1240">
        <f>+IFERROR(HLOOKUP(AR21,'סקרי נכסים-יתרות פתיחה'!$2:$110,5,0),0)-IFERROR(HLOOKUP(AR21,'סקרי נכסים-יתרות פתיחה'!$2:$110,90,0),0)*(1-AR$309)</f>
        <v>0</v>
      </c>
      <c r="AS56" s="1240">
        <f>+IFERROR(HLOOKUP(AS21,'סקרי נכסים-יתרות פתיחה'!$2:$110,5,0),0)-IFERROR(HLOOKUP(AS21,'סקרי נכסים-יתרות פתיחה'!$2:$110,90,0),0)*(1-AS$309)</f>
        <v>0</v>
      </c>
      <c r="AT56" s="1240">
        <f>+IFERROR(HLOOKUP(AT21,'סקרי נכסים-יתרות פתיחה'!$2:$110,5,0),0)-IFERROR(HLOOKUP(AT21,'סקרי נכסים-יתרות פתיחה'!$2:$110,90,0),0)*(1-AT$309)</f>
        <v>0</v>
      </c>
      <c r="AU56" s="1240">
        <f>+IFERROR(HLOOKUP(AU21,'סקרי נכסים-יתרות פתיחה'!$2:$110,5,0),0)-IFERROR(HLOOKUP(AU21,'סקרי נכסים-יתרות פתיחה'!$2:$110,90,0),0)*(1-AU$309)</f>
        <v>0</v>
      </c>
      <c r="AV56" s="1240">
        <f>+IFERROR(HLOOKUP(AV21,'סקרי נכסים-יתרות פתיחה'!$2:$110,5,0),0)-IFERROR(HLOOKUP(AV21,'סקרי נכסים-יתרות פתיחה'!$2:$110,90,0),0)*(1-AV$309)</f>
        <v>0</v>
      </c>
      <c r="AW56" s="1240">
        <f>+IFERROR(HLOOKUP(AW21,'סקרי נכסים-יתרות פתיחה'!$2:$110,5,0),0)-IFERROR(HLOOKUP(AW21,'סקרי נכסים-יתרות פתיחה'!$2:$110,90,0),0)*(1-AW$309)</f>
        <v>0</v>
      </c>
      <c r="AX56" s="1240">
        <f>+IFERROR(HLOOKUP(AX21,'סקרי נכסים-יתרות פתיחה'!$2:$110,5,0),0)-IFERROR(HLOOKUP(AX21,'סקרי נכסים-יתרות פתיחה'!$2:$110,90,0),0)*(1-AX$309)</f>
        <v>0</v>
      </c>
      <c r="AY56" s="1240">
        <f>+IFERROR(HLOOKUP(AY21,'סקרי נכסים-יתרות פתיחה'!$2:$110,5,0),0)-IFERROR(HLOOKUP(AY21,'סקרי נכסים-יתרות פתיחה'!$2:$110,90,0),0)*(1-AY$309)</f>
        <v>0</v>
      </c>
      <c r="AZ56" s="1240">
        <f>+IFERROR(HLOOKUP(AZ21,'סקרי נכסים-יתרות פתיחה'!$2:$110,5,0),0)-IFERROR(HLOOKUP(AZ21,'סקרי נכסים-יתרות פתיחה'!$2:$110,90,0),0)*(1-AZ$309)</f>
        <v>0</v>
      </c>
      <c r="BA56" s="1240">
        <f>+IFERROR(HLOOKUP(BA21,'סקרי נכסים-יתרות פתיחה'!$2:$110,5,0),0)-IFERROR(HLOOKUP(BA21,'סקרי נכסים-יתרות פתיחה'!$2:$110,90,0),0)*(1-BA$309)</f>
        <v>0</v>
      </c>
      <c r="BB56" s="1240">
        <f>+IFERROR(HLOOKUP(BB21,'סקרי נכסים-יתרות פתיחה'!$2:$110,5,0),0)-IFERROR(HLOOKUP(BB21,'סקרי נכסים-יתרות פתיחה'!$2:$110,90,0),0)*(1-BB$309)</f>
        <v>0</v>
      </c>
      <c r="BC56" s="1240">
        <f>+IFERROR(HLOOKUP(BC21,'סקרי נכסים-יתרות פתיחה'!$2:$110,5,0),0)-IFERROR(HLOOKUP(BC21,'סקרי נכסים-יתרות פתיחה'!$2:$110,90,0),0)*(1-BC$309)</f>
        <v>0</v>
      </c>
      <c r="BD56" s="1240">
        <f>+IFERROR(HLOOKUP(BD21,'סקרי נכסים-יתרות פתיחה'!$2:$110,5,0),0)-IFERROR(HLOOKUP(BD21,'סקרי נכסים-יתרות פתיחה'!$2:$110,90,0),0)*(1-BD$309)</f>
        <v>0</v>
      </c>
      <c r="BE56" s="1240">
        <f>+IFERROR(HLOOKUP(BE21,'סקרי נכסים-יתרות פתיחה'!$2:$110,5,0),0)-IFERROR(HLOOKUP(BE21,'סקרי נכסים-יתרות פתיחה'!$2:$110,90,0),0)*(1-BE$309)</f>
        <v>0</v>
      </c>
      <c r="BF56" s="1240">
        <f>+IFERROR(HLOOKUP(BF21,'סקרי נכסים-יתרות פתיחה'!$2:$110,5,0),0)-IFERROR(HLOOKUP(BF21,'סקרי נכסים-יתרות פתיחה'!$2:$110,90,0),0)*(1-BF$309)</f>
        <v>0</v>
      </c>
    </row>
    <row r="57" spans="2:58" x14ac:dyDescent="0.2">
      <c r="B57" s="1">
        <v>19</v>
      </c>
      <c r="C57" s="1240">
        <f>+IFERROR(HLOOKUP(C22,'סקרי נכסים-יתרות פתיחה'!$2:$110,5,0),0)-IFERROR(HLOOKUP(C22,'סקרי נכסים-יתרות פתיחה'!$2:$110,90,0),0)*(1-C$309)</f>
        <v>0</v>
      </c>
      <c r="D57" s="1240">
        <f>+IFERROR(HLOOKUP(D22,'סקרי נכסים-יתרות פתיחה'!$2:$110,5,0),0)-IFERROR(HLOOKUP(D22,'סקרי נכסים-יתרות פתיחה'!$2:$110,90,0),0)*(1-D$309)</f>
        <v>0</v>
      </c>
      <c r="E57" s="1240">
        <f>+IFERROR(HLOOKUP(E22,'סקרי נכסים-יתרות פתיחה'!$2:$110,5,0),0)-IFERROR(HLOOKUP(E22,'סקרי נכסים-יתרות פתיחה'!$2:$110,90,0),0)*(1-E$309)</f>
        <v>0</v>
      </c>
      <c r="F57" s="1240">
        <f>+IFERROR(HLOOKUP(F22,'סקרי נכסים-יתרות פתיחה'!$2:$110,5,0),0)-IFERROR(HLOOKUP(F22,'סקרי נכסים-יתרות פתיחה'!$2:$110,90,0),0)*(1-F$309)</f>
        <v>0</v>
      </c>
      <c r="G57" s="1240">
        <f>+IFERROR(HLOOKUP(G22,'סקרי נכסים-יתרות פתיחה'!$2:$110,5,0),0)-IFERROR(HLOOKUP(G22,'סקרי נכסים-יתרות פתיחה'!$2:$110,90,0),0)*(1-G$309)</f>
        <v>0</v>
      </c>
      <c r="H57" s="1240">
        <f>+IFERROR(HLOOKUP(H22,'סקרי נכסים-יתרות פתיחה'!$2:$110,5,0),0)-IFERROR(HLOOKUP(H22,'סקרי נכסים-יתרות פתיחה'!$2:$110,90,0),0)*(1-H$309)</f>
        <v>0</v>
      </c>
      <c r="I57" s="1240">
        <f>+IFERROR(HLOOKUP(I22,'סקרי נכסים-יתרות פתיחה'!$2:$110,5,0),0)-IFERROR(HLOOKUP(I22,'סקרי נכסים-יתרות פתיחה'!$2:$110,90,0),0)*(1-I$309)</f>
        <v>0</v>
      </c>
      <c r="J57" s="1240">
        <f>+IFERROR(HLOOKUP(J22,'סקרי נכסים-יתרות פתיחה'!$2:$110,5,0),0)-IFERROR(HLOOKUP(J22,'סקרי נכסים-יתרות פתיחה'!$2:$110,90,0),0)*(1-J$309)</f>
        <v>0</v>
      </c>
      <c r="K57" s="1240">
        <f>+IFERROR(HLOOKUP(K22,'סקרי נכסים-יתרות פתיחה'!$2:$110,5,0),0)-IFERROR(HLOOKUP(K22,'סקרי נכסים-יתרות פתיחה'!$2:$110,90,0),0)*(1-K$309)</f>
        <v>0</v>
      </c>
      <c r="L57" s="1240">
        <f>+IFERROR(HLOOKUP(L22,'סקרי נכסים-יתרות פתיחה'!$2:$110,5,0),0)-IFERROR(HLOOKUP(L22,'סקרי נכסים-יתרות פתיחה'!$2:$110,90,0),0)*(1-L$309)</f>
        <v>0</v>
      </c>
      <c r="M57" s="1240">
        <f>+IFERROR(HLOOKUP(M22,'סקרי נכסים-יתרות פתיחה'!$2:$110,5,0),0)-IFERROR(HLOOKUP(M22,'סקרי נכסים-יתרות פתיחה'!$2:$110,90,0),0)*(1-M$309)</f>
        <v>0</v>
      </c>
      <c r="N57" s="1240">
        <f>+IFERROR(HLOOKUP(N22,'סקרי נכסים-יתרות פתיחה'!$2:$110,5,0),0)-IFERROR(HLOOKUP(N22,'סקרי נכסים-יתרות פתיחה'!$2:$110,90,0),0)*(1-N$309)</f>
        <v>0</v>
      </c>
      <c r="O57" s="1240">
        <f>+IFERROR(HLOOKUP(O22,'סקרי נכסים-יתרות פתיחה'!$2:$110,5,0),0)-IFERROR(HLOOKUP(O22,'סקרי נכסים-יתרות פתיחה'!$2:$110,90,0),0)*(1-O$309)</f>
        <v>0</v>
      </c>
      <c r="P57" s="1240">
        <f>+IFERROR(HLOOKUP(P22,'סקרי נכסים-יתרות פתיחה'!$2:$110,5,0),0)-IFERROR(HLOOKUP(P22,'סקרי נכסים-יתרות פתיחה'!$2:$110,90,0),0)*(1-P$309)</f>
        <v>0</v>
      </c>
      <c r="Q57" s="1240">
        <f>+IFERROR(HLOOKUP(Q22,'סקרי נכסים-יתרות פתיחה'!$2:$110,5,0),0)-IFERROR(HLOOKUP(Q22,'סקרי נכסים-יתרות פתיחה'!$2:$110,90,0),0)*(1-Q$309)</f>
        <v>0</v>
      </c>
      <c r="R57" s="1240">
        <f>+IFERROR(HLOOKUP(R22,'סקרי נכסים-יתרות פתיחה'!$2:$110,5,0),0)-IFERROR(HLOOKUP(R22,'סקרי נכסים-יתרות פתיחה'!$2:$110,90,0),0)*(1-R$309)</f>
        <v>0</v>
      </c>
      <c r="S57" s="1240">
        <f>+IFERROR(HLOOKUP(S22,'סקרי נכסים-יתרות פתיחה'!$2:$110,5,0),0)-IFERROR(HLOOKUP(S22,'סקרי נכסים-יתרות פתיחה'!$2:$110,90,0),0)*(1-S$309)</f>
        <v>0</v>
      </c>
      <c r="T57" s="1240">
        <f>+IFERROR(HLOOKUP(T22,'סקרי נכסים-יתרות פתיחה'!$2:$110,5,0),0)-IFERROR(HLOOKUP(T22,'סקרי נכסים-יתרות פתיחה'!$2:$110,90,0),0)*(1-T$309)</f>
        <v>0</v>
      </c>
      <c r="U57" s="1240">
        <f>+IFERROR(HLOOKUP(U22,'סקרי נכסים-יתרות פתיחה'!$2:$110,5,0),0)-IFERROR(HLOOKUP(U22,'סקרי נכסים-יתרות פתיחה'!$2:$110,90,0),0)*(1-U$309)</f>
        <v>0</v>
      </c>
      <c r="V57" s="1240">
        <f>+IFERROR(HLOOKUP(V22,'סקרי נכסים-יתרות פתיחה'!$2:$110,5,0),0)-IFERROR(HLOOKUP(V22,'סקרי נכסים-יתרות פתיחה'!$2:$110,90,0),0)*(1-V$309)</f>
        <v>0</v>
      </c>
      <c r="W57" s="1240">
        <f>+IFERROR(HLOOKUP(W22,'סקרי נכסים-יתרות פתיחה'!$2:$110,5,0),0)-IFERROR(HLOOKUP(W22,'סקרי נכסים-יתרות פתיחה'!$2:$110,90,0),0)*(1-W$309)</f>
        <v>0</v>
      </c>
      <c r="X57" s="1240">
        <f>+IFERROR(HLOOKUP(X22,'סקרי נכסים-יתרות פתיחה'!$2:$110,5,0),0)-IFERROR(HLOOKUP(X22,'סקרי נכסים-יתרות פתיחה'!$2:$110,90,0),0)*(1-X$309)</f>
        <v>0</v>
      </c>
      <c r="Y57" s="1240">
        <f>+IFERROR(HLOOKUP(Y22,'סקרי נכסים-יתרות פתיחה'!$2:$110,5,0),0)-IFERROR(HLOOKUP(Y22,'סקרי נכסים-יתרות פתיחה'!$2:$110,90,0),0)*(1-Y$309)</f>
        <v>0</v>
      </c>
      <c r="Z57" s="1240">
        <f>+IFERROR(HLOOKUP(Z22,'סקרי נכסים-יתרות פתיחה'!$2:$110,5,0),0)-IFERROR(HLOOKUP(Z22,'סקרי נכסים-יתרות פתיחה'!$2:$110,90,0),0)*(1-Z$309)</f>
        <v>0</v>
      </c>
      <c r="AA57" s="1240">
        <f>+IFERROR(HLOOKUP(AA22,'סקרי נכסים-יתרות פתיחה'!$2:$110,5,0),0)-IFERROR(HLOOKUP(AA22,'סקרי נכסים-יתרות פתיחה'!$2:$110,90,0),0)*(1-AA$309)</f>
        <v>0</v>
      </c>
      <c r="AB57" s="1240">
        <f>+IFERROR(HLOOKUP(AB22,'סקרי נכסים-יתרות פתיחה'!$2:$110,5,0),0)-IFERROR(HLOOKUP(AB22,'סקרי נכסים-יתרות פתיחה'!$2:$110,90,0),0)*(1-AB$309)</f>
        <v>0</v>
      </c>
      <c r="AC57" s="1240">
        <f>+IFERROR(HLOOKUP(AC22,'סקרי נכסים-יתרות פתיחה'!$2:$110,5,0),0)-IFERROR(HLOOKUP(AC22,'סקרי נכסים-יתרות פתיחה'!$2:$110,90,0),0)*(1-AC$309)</f>
        <v>0</v>
      </c>
      <c r="AD57" s="1240">
        <f>+IFERROR(HLOOKUP(AD22,'סקרי נכסים-יתרות פתיחה'!$2:$110,5,0),0)-IFERROR(HLOOKUP(AD22,'סקרי נכסים-יתרות פתיחה'!$2:$110,90,0),0)*(1-AD$309)</f>
        <v>0</v>
      </c>
      <c r="AE57" s="1240">
        <f>+IFERROR(HLOOKUP(AE22,'סקרי נכסים-יתרות פתיחה'!$2:$110,5,0),0)-IFERROR(HLOOKUP(AE22,'סקרי נכסים-יתרות פתיחה'!$2:$110,90,0),0)*(1-AE$309)</f>
        <v>0</v>
      </c>
      <c r="AF57" s="1240">
        <f>+IFERROR(HLOOKUP(AF22,'סקרי נכסים-יתרות פתיחה'!$2:$110,5,0),0)-IFERROR(HLOOKUP(AF22,'סקרי נכסים-יתרות פתיחה'!$2:$110,90,0),0)*(1-AF$309)</f>
        <v>0</v>
      </c>
      <c r="AG57" s="1240">
        <f>+IFERROR(HLOOKUP(AG22,'סקרי נכסים-יתרות פתיחה'!$2:$110,5,0),0)-IFERROR(HLOOKUP(AG22,'סקרי נכסים-יתרות פתיחה'!$2:$110,90,0),0)*(1-AG$309)</f>
        <v>0</v>
      </c>
      <c r="AH57" s="1240">
        <f>+IFERROR(HLOOKUP(AH22,'סקרי נכסים-יתרות פתיחה'!$2:$110,5,0),0)-IFERROR(HLOOKUP(AH22,'סקרי נכסים-יתרות פתיחה'!$2:$110,90,0),0)*(1-AH$309)</f>
        <v>0</v>
      </c>
      <c r="AI57" s="1240">
        <f>+IFERROR(HLOOKUP(AI22,'סקרי נכסים-יתרות פתיחה'!$2:$110,5,0),0)-IFERROR(HLOOKUP(AI22,'סקרי נכסים-יתרות פתיחה'!$2:$110,90,0),0)*(1-AI$309)</f>
        <v>0</v>
      </c>
      <c r="AJ57" s="1240">
        <f>+IFERROR(HLOOKUP(AJ22,'סקרי נכסים-יתרות פתיחה'!$2:$110,5,0),0)-IFERROR(HLOOKUP(AJ22,'סקרי נכסים-יתרות פתיחה'!$2:$110,90,0),0)*(1-AJ$309)</f>
        <v>0</v>
      </c>
      <c r="AK57" s="1240">
        <f>+IFERROR(HLOOKUP(AK22,'סקרי נכסים-יתרות פתיחה'!$2:$110,5,0),0)-IFERROR(HLOOKUP(AK22,'סקרי נכסים-יתרות פתיחה'!$2:$110,90,0),0)*(1-AK$309)</f>
        <v>0</v>
      </c>
      <c r="AL57" s="1240">
        <f>+IFERROR(HLOOKUP(AL22,'סקרי נכסים-יתרות פתיחה'!$2:$110,5,0),0)-IFERROR(HLOOKUP(AL22,'סקרי נכסים-יתרות פתיחה'!$2:$110,90,0),0)*(1-AL$309)</f>
        <v>0</v>
      </c>
      <c r="AM57" s="1240">
        <f>+IFERROR(HLOOKUP(AM22,'סקרי נכסים-יתרות פתיחה'!$2:$110,5,0),0)-IFERROR(HLOOKUP(AM22,'סקרי נכסים-יתרות פתיחה'!$2:$110,90,0),0)*(1-AM$309)</f>
        <v>0</v>
      </c>
      <c r="AN57" s="1240">
        <f>+IFERROR(HLOOKUP(AN22,'סקרי נכסים-יתרות פתיחה'!$2:$110,5,0),0)-IFERROR(HLOOKUP(AN22,'סקרי נכסים-יתרות פתיחה'!$2:$110,90,0),0)*(1-AN$309)</f>
        <v>0</v>
      </c>
      <c r="AO57" s="1240">
        <f>+IFERROR(HLOOKUP(AO22,'סקרי נכסים-יתרות פתיחה'!$2:$110,5,0),0)-IFERROR(HLOOKUP(AO22,'סקרי נכסים-יתרות פתיחה'!$2:$110,90,0),0)*(1-AO$309)</f>
        <v>0</v>
      </c>
      <c r="AP57" s="1240">
        <f>+IFERROR(HLOOKUP(AP22,'סקרי נכסים-יתרות פתיחה'!$2:$110,5,0),0)-IFERROR(HLOOKUP(AP22,'סקרי נכסים-יתרות פתיחה'!$2:$110,90,0),0)*(1-AP$309)</f>
        <v>0</v>
      </c>
      <c r="AQ57" s="1240">
        <f>+IFERROR(HLOOKUP(AQ22,'סקרי נכסים-יתרות פתיחה'!$2:$110,5,0),0)-IFERROR(HLOOKUP(AQ22,'סקרי נכסים-יתרות פתיחה'!$2:$110,90,0),0)*(1-AQ$309)</f>
        <v>0</v>
      </c>
      <c r="AR57" s="1240">
        <f>+IFERROR(HLOOKUP(AR22,'סקרי נכסים-יתרות פתיחה'!$2:$110,5,0),0)-IFERROR(HLOOKUP(AR22,'סקרי נכסים-יתרות פתיחה'!$2:$110,90,0),0)*(1-AR$309)</f>
        <v>0</v>
      </c>
      <c r="AS57" s="1240">
        <f>+IFERROR(HLOOKUP(AS22,'סקרי נכסים-יתרות פתיחה'!$2:$110,5,0),0)-IFERROR(HLOOKUP(AS22,'סקרי נכסים-יתרות פתיחה'!$2:$110,90,0),0)*(1-AS$309)</f>
        <v>0</v>
      </c>
      <c r="AT57" s="1240">
        <f>+IFERROR(HLOOKUP(AT22,'סקרי נכסים-יתרות פתיחה'!$2:$110,5,0),0)-IFERROR(HLOOKUP(AT22,'סקרי נכסים-יתרות פתיחה'!$2:$110,90,0),0)*(1-AT$309)</f>
        <v>0</v>
      </c>
      <c r="AU57" s="1240">
        <f>+IFERROR(HLOOKUP(AU22,'סקרי נכסים-יתרות פתיחה'!$2:$110,5,0),0)-IFERROR(HLOOKUP(AU22,'סקרי נכסים-יתרות פתיחה'!$2:$110,90,0),0)*(1-AU$309)</f>
        <v>0</v>
      </c>
      <c r="AV57" s="1240">
        <f>+IFERROR(HLOOKUP(AV22,'סקרי נכסים-יתרות פתיחה'!$2:$110,5,0),0)-IFERROR(HLOOKUP(AV22,'סקרי נכסים-יתרות פתיחה'!$2:$110,90,0),0)*(1-AV$309)</f>
        <v>0</v>
      </c>
      <c r="AW57" s="1240">
        <f>+IFERROR(HLOOKUP(AW22,'סקרי נכסים-יתרות פתיחה'!$2:$110,5,0),0)-IFERROR(HLOOKUP(AW22,'סקרי נכסים-יתרות פתיחה'!$2:$110,90,0),0)*(1-AW$309)</f>
        <v>0</v>
      </c>
      <c r="AX57" s="1240">
        <f>+IFERROR(HLOOKUP(AX22,'סקרי נכסים-יתרות פתיחה'!$2:$110,5,0),0)-IFERROR(HLOOKUP(AX22,'סקרי נכסים-יתרות פתיחה'!$2:$110,90,0),0)*(1-AX$309)</f>
        <v>0</v>
      </c>
      <c r="AY57" s="1240">
        <f>+IFERROR(HLOOKUP(AY22,'סקרי נכסים-יתרות פתיחה'!$2:$110,5,0),0)-IFERROR(HLOOKUP(AY22,'סקרי נכסים-יתרות פתיחה'!$2:$110,90,0),0)*(1-AY$309)</f>
        <v>0</v>
      </c>
      <c r="AZ57" s="1240">
        <f>+IFERROR(HLOOKUP(AZ22,'סקרי נכסים-יתרות פתיחה'!$2:$110,5,0),0)-IFERROR(HLOOKUP(AZ22,'סקרי נכסים-יתרות פתיחה'!$2:$110,90,0),0)*(1-AZ$309)</f>
        <v>0</v>
      </c>
      <c r="BA57" s="1240">
        <f>+IFERROR(HLOOKUP(BA22,'סקרי נכסים-יתרות פתיחה'!$2:$110,5,0),0)-IFERROR(HLOOKUP(BA22,'סקרי נכסים-יתרות פתיחה'!$2:$110,90,0),0)*(1-BA$309)</f>
        <v>0</v>
      </c>
      <c r="BB57" s="1240">
        <f>+IFERROR(HLOOKUP(BB22,'סקרי נכסים-יתרות פתיחה'!$2:$110,5,0),0)-IFERROR(HLOOKUP(BB22,'סקרי נכסים-יתרות פתיחה'!$2:$110,90,0),0)*(1-BB$309)</f>
        <v>0</v>
      </c>
      <c r="BC57" s="1240">
        <f>+IFERROR(HLOOKUP(BC22,'סקרי נכסים-יתרות פתיחה'!$2:$110,5,0),0)-IFERROR(HLOOKUP(BC22,'סקרי נכסים-יתרות פתיחה'!$2:$110,90,0),0)*(1-BC$309)</f>
        <v>0</v>
      </c>
      <c r="BD57" s="1240">
        <f>+IFERROR(HLOOKUP(BD22,'סקרי נכסים-יתרות פתיחה'!$2:$110,5,0),0)-IFERROR(HLOOKUP(BD22,'סקרי נכסים-יתרות פתיחה'!$2:$110,90,0),0)*(1-BD$309)</f>
        <v>0</v>
      </c>
      <c r="BE57" s="1240">
        <f>+IFERROR(HLOOKUP(BE22,'סקרי נכסים-יתרות פתיחה'!$2:$110,5,0),0)-IFERROR(HLOOKUP(BE22,'סקרי נכסים-יתרות פתיחה'!$2:$110,90,0),0)*(1-BE$309)</f>
        <v>0</v>
      </c>
      <c r="BF57" s="1240">
        <f>+IFERROR(HLOOKUP(BF22,'סקרי נכסים-יתרות פתיחה'!$2:$110,5,0),0)-IFERROR(HLOOKUP(BF22,'סקרי נכסים-יתרות פתיחה'!$2:$110,90,0),0)*(1-BF$309)</f>
        <v>0</v>
      </c>
    </row>
    <row r="58" spans="2:58" x14ac:dyDescent="0.2">
      <c r="B58" s="1">
        <v>20</v>
      </c>
      <c r="C58" s="1240">
        <f>+IFERROR(HLOOKUP(C23,'סקרי נכסים-יתרות פתיחה'!$2:$110,5,0),0)-IFERROR(HLOOKUP(C23,'סקרי נכסים-יתרות פתיחה'!$2:$110,90,0),0)*(1-C$309)</f>
        <v>0</v>
      </c>
      <c r="D58" s="1240">
        <f>+IFERROR(HLOOKUP(D23,'סקרי נכסים-יתרות פתיחה'!$2:$110,5,0),0)-IFERROR(HLOOKUP(D23,'סקרי נכסים-יתרות פתיחה'!$2:$110,90,0),0)*(1-D$309)</f>
        <v>0</v>
      </c>
      <c r="E58" s="1240">
        <f>+IFERROR(HLOOKUP(E23,'סקרי נכסים-יתרות פתיחה'!$2:$110,5,0),0)-IFERROR(HLOOKUP(E23,'סקרי נכסים-יתרות פתיחה'!$2:$110,90,0),0)*(1-E$309)</f>
        <v>0</v>
      </c>
      <c r="F58" s="1240">
        <f>+IFERROR(HLOOKUP(F23,'סקרי נכסים-יתרות פתיחה'!$2:$110,5,0),0)-IFERROR(HLOOKUP(F23,'סקרי נכסים-יתרות פתיחה'!$2:$110,90,0),0)*(1-F$309)</f>
        <v>0</v>
      </c>
      <c r="G58" s="1240">
        <f>+IFERROR(HLOOKUP(G23,'סקרי נכסים-יתרות פתיחה'!$2:$110,5,0),0)-IFERROR(HLOOKUP(G23,'סקרי נכסים-יתרות פתיחה'!$2:$110,90,0),0)*(1-G$309)</f>
        <v>0</v>
      </c>
      <c r="H58" s="1240">
        <f>+IFERROR(HLOOKUP(H23,'סקרי נכסים-יתרות פתיחה'!$2:$110,5,0),0)-IFERROR(HLOOKUP(H23,'סקרי נכסים-יתרות פתיחה'!$2:$110,90,0),0)*(1-H$309)</f>
        <v>0</v>
      </c>
      <c r="I58" s="1240">
        <f>+IFERROR(HLOOKUP(I23,'סקרי נכסים-יתרות פתיחה'!$2:$110,5,0),0)-IFERROR(HLOOKUP(I23,'סקרי נכסים-יתרות פתיחה'!$2:$110,90,0),0)*(1-I$309)</f>
        <v>0</v>
      </c>
      <c r="J58" s="1240">
        <f>+IFERROR(HLOOKUP(J23,'סקרי נכסים-יתרות פתיחה'!$2:$110,5,0),0)-IFERROR(HLOOKUP(J23,'סקרי נכסים-יתרות פתיחה'!$2:$110,90,0),0)*(1-J$309)</f>
        <v>0</v>
      </c>
      <c r="K58" s="1240">
        <f>+IFERROR(HLOOKUP(K23,'סקרי נכסים-יתרות פתיחה'!$2:$110,5,0),0)-IFERROR(HLOOKUP(K23,'סקרי נכסים-יתרות פתיחה'!$2:$110,90,0),0)*(1-K$309)</f>
        <v>0</v>
      </c>
      <c r="L58" s="1240">
        <f>+IFERROR(HLOOKUP(L23,'סקרי נכסים-יתרות פתיחה'!$2:$110,5,0),0)-IFERROR(HLOOKUP(L23,'סקרי נכסים-יתרות פתיחה'!$2:$110,90,0),0)*(1-L$309)</f>
        <v>0</v>
      </c>
      <c r="M58" s="1240">
        <f>+IFERROR(HLOOKUP(M23,'סקרי נכסים-יתרות פתיחה'!$2:$110,5,0),0)-IFERROR(HLOOKUP(M23,'סקרי נכסים-יתרות פתיחה'!$2:$110,90,0),0)*(1-M$309)</f>
        <v>0</v>
      </c>
      <c r="N58" s="1240">
        <f>+IFERROR(HLOOKUP(N23,'סקרי נכסים-יתרות פתיחה'!$2:$110,5,0),0)-IFERROR(HLOOKUP(N23,'סקרי נכסים-יתרות פתיחה'!$2:$110,90,0),0)*(1-N$309)</f>
        <v>0</v>
      </c>
      <c r="O58" s="1240">
        <f>+IFERROR(HLOOKUP(O23,'סקרי נכסים-יתרות פתיחה'!$2:$110,5,0),0)-IFERROR(HLOOKUP(O23,'סקרי נכסים-יתרות פתיחה'!$2:$110,90,0),0)*(1-O$309)</f>
        <v>0</v>
      </c>
      <c r="P58" s="1240">
        <f>+IFERROR(HLOOKUP(P23,'סקרי נכסים-יתרות פתיחה'!$2:$110,5,0),0)-IFERROR(HLOOKUP(P23,'סקרי נכסים-יתרות פתיחה'!$2:$110,90,0),0)*(1-P$309)</f>
        <v>0</v>
      </c>
      <c r="Q58" s="1240">
        <f>+IFERROR(HLOOKUP(Q23,'סקרי נכסים-יתרות פתיחה'!$2:$110,5,0),0)-IFERROR(HLOOKUP(Q23,'סקרי נכסים-יתרות פתיחה'!$2:$110,90,0),0)*(1-Q$309)</f>
        <v>0</v>
      </c>
      <c r="R58" s="1240">
        <f>+IFERROR(HLOOKUP(R23,'סקרי נכסים-יתרות פתיחה'!$2:$110,5,0),0)-IFERROR(HLOOKUP(R23,'סקרי נכסים-יתרות פתיחה'!$2:$110,90,0),0)*(1-R$309)</f>
        <v>0</v>
      </c>
      <c r="S58" s="1240">
        <f>+IFERROR(HLOOKUP(S23,'סקרי נכסים-יתרות פתיחה'!$2:$110,5,0),0)-IFERROR(HLOOKUP(S23,'סקרי נכסים-יתרות פתיחה'!$2:$110,90,0),0)*(1-S$309)</f>
        <v>0</v>
      </c>
      <c r="T58" s="1240">
        <f>+IFERROR(HLOOKUP(T23,'סקרי נכסים-יתרות פתיחה'!$2:$110,5,0),0)-IFERROR(HLOOKUP(T23,'סקרי נכסים-יתרות פתיחה'!$2:$110,90,0),0)*(1-T$309)</f>
        <v>0</v>
      </c>
      <c r="U58" s="1240">
        <f>+IFERROR(HLOOKUP(U23,'סקרי נכסים-יתרות פתיחה'!$2:$110,5,0),0)-IFERROR(HLOOKUP(U23,'סקרי נכסים-יתרות פתיחה'!$2:$110,90,0),0)*(1-U$309)</f>
        <v>0</v>
      </c>
      <c r="V58" s="1240">
        <f>+IFERROR(HLOOKUP(V23,'סקרי נכסים-יתרות פתיחה'!$2:$110,5,0),0)-IFERROR(HLOOKUP(V23,'סקרי נכסים-יתרות פתיחה'!$2:$110,90,0),0)*(1-V$309)</f>
        <v>0</v>
      </c>
      <c r="W58" s="1240">
        <f>+IFERROR(HLOOKUP(W23,'סקרי נכסים-יתרות פתיחה'!$2:$110,5,0),0)-IFERROR(HLOOKUP(W23,'סקרי נכסים-יתרות פתיחה'!$2:$110,90,0),0)*(1-W$309)</f>
        <v>0</v>
      </c>
      <c r="X58" s="1240">
        <f>+IFERROR(HLOOKUP(X23,'סקרי נכסים-יתרות פתיחה'!$2:$110,5,0),0)-IFERROR(HLOOKUP(X23,'סקרי נכסים-יתרות פתיחה'!$2:$110,90,0),0)*(1-X$309)</f>
        <v>0</v>
      </c>
      <c r="Y58" s="1240">
        <f>+IFERROR(HLOOKUP(Y23,'סקרי נכסים-יתרות פתיחה'!$2:$110,5,0),0)-IFERROR(HLOOKUP(Y23,'סקרי נכסים-יתרות פתיחה'!$2:$110,90,0),0)*(1-Y$309)</f>
        <v>0</v>
      </c>
      <c r="Z58" s="1240">
        <f>+IFERROR(HLOOKUP(Z23,'סקרי נכסים-יתרות פתיחה'!$2:$110,5,0),0)-IFERROR(HLOOKUP(Z23,'סקרי נכסים-יתרות פתיחה'!$2:$110,90,0),0)*(1-Z$309)</f>
        <v>0</v>
      </c>
      <c r="AA58" s="1240">
        <f>+IFERROR(HLOOKUP(AA23,'סקרי נכסים-יתרות פתיחה'!$2:$110,5,0),0)-IFERROR(HLOOKUP(AA23,'סקרי נכסים-יתרות פתיחה'!$2:$110,90,0),0)*(1-AA$309)</f>
        <v>0</v>
      </c>
      <c r="AB58" s="1240">
        <f>+IFERROR(HLOOKUP(AB23,'סקרי נכסים-יתרות פתיחה'!$2:$110,5,0),0)-IFERROR(HLOOKUP(AB23,'סקרי נכסים-יתרות פתיחה'!$2:$110,90,0),0)*(1-AB$309)</f>
        <v>0</v>
      </c>
      <c r="AC58" s="1240">
        <f>+IFERROR(HLOOKUP(AC23,'סקרי נכסים-יתרות פתיחה'!$2:$110,5,0),0)-IFERROR(HLOOKUP(AC23,'סקרי נכסים-יתרות פתיחה'!$2:$110,90,0),0)*(1-AC$309)</f>
        <v>0</v>
      </c>
      <c r="AD58" s="1240">
        <f>+IFERROR(HLOOKUP(AD23,'סקרי נכסים-יתרות פתיחה'!$2:$110,5,0),0)-IFERROR(HLOOKUP(AD23,'סקרי נכסים-יתרות פתיחה'!$2:$110,90,0),0)*(1-AD$309)</f>
        <v>0</v>
      </c>
      <c r="AE58" s="1240">
        <f>+IFERROR(HLOOKUP(AE23,'סקרי נכסים-יתרות פתיחה'!$2:$110,5,0),0)-IFERROR(HLOOKUP(AE23,'סקרי נכסים-יתרות פתיחה'!$2:$110,90,0),0)*(1-AE$309)</f>
        <v>0</v>
      </c>
      <c r="AF58" s="1240">
        <f>+IFERROR(HLOOKUP(AF23,'סקרי נכסים-יתרות פתיחה'!$2:$110,5,0),0)-IFERROR(HLOOKUP(AF23,'סקרי נכסים-יתרות פתיחה'!$2:$110,90,0),0)*(1-AF$309)</f>
        <v>0</v>
      </c>
      <c r="AG58" s="1240">
        <f>+IFERROR(HLOOKUP(AG23,'סקרי נכסים-יתרות פתיחה'!$2:$110,5,0),0)-IFERROR(HLOOKUP(AG23,'סקרי נכסים-יתרות פתיחה'!$2:$110,90,0),0)*(1-AG$309)</f>
        <v>0</v>
      </c>
      <c r="AH58" s="1240">
        <f>+IFERROR(HLOOKUP(AH23,'סקרי נכסים-יתרות פתיחה'!$2:$110,5,0),0)-IFERROR(HLOOKUP(AH23,'סקרי נכסים-יתרות פתיחה'!$2:$110,90,0),0)*(1-AH$309)</f>
        <v>0</v>
      </c>
      <c r="AI58" s="1240">
        <f>+IFERROR(HLOOKUP(AI23,'סקרי נכסים-יתרות פתיחה'!$2:$110,5,0),0)-IFERROR(HLOOKUP(AI23,'סקרי נכסים-יתרות פתיחה'!$2:$110,90,0),0)*(1-AI$309)</f>
        <v>0</v>
      </c>
      <c r="AJ58" s="1240">
        <f>+IFERROR(HLOOKUP(AJ23,'סקרי נכסים-יתרות פתיחה'!$2:$110,5,0),0)-IFERROR(HLOOKUP(AJ23,'סקרי נכסים-יתרות פתיחה'!$2:$110,90,0),0)*(1-AJ$309)</f>
        <v>0</v>
      </c>
      <c r="AK58" s="1240">
        <f>+IFERROR(HLOOKUP(AK23,'סקרי נכסים-יתרות פתיחה'!$2:$110,5,0),0)-IFERROR(HLOOKUP(AK23,'סקרי נכסים-יתרות פתיחה'!$2:$110,90,0),0)*(1-AK$309)</f>
        <v>0</v>
      </c>
      <c r="AL58" s="1240">
        <f>+IFERROR(HLOOKUP(AL23,'סקרי נכסים-יתרות פתיחה'!$2:$110,5,0),0)-IFERROR(HLOOKUP(AL23,'סקרי נכסים-יתרות פתיחה'!$2:$110,90,0),0)*(1-AL$309)</f>
        <v>0</v>
      </c>
      <c r="AM58" s="1240">
        <f>+IFERROR(HLOOKUP(AM23,'סקרי נכסים-יתרות פתיחה'!$2:$110,5,0),0)-IFERROR(HLOOKUP(AM23,'סקרי נכסים-יתרות פתיחה'!$2:$110,90,0),0)*(1-AM$309)</f>
        <v>0</v>
      </c>
      <c r="AN58" s="1240">
        <f>+IFERROR(HLOOKUP(AN23,'סקרי נכסים-יתרות פתיחה'!$2:$110,5,0),0)-IFERROR(HLOOKUP(AN23,'סקרי נכסים-יתרות פתיחה'!$2:$110,90,0),0)*(1-AN$309)</f>
        <v>0</v>
      </c>
      <c r="AO58" s="1240">
        <f>+IFERROR(HLOOKUP(AO23,'סקרי נכסים-יתרות פתיחה'!$2:$110,5,0),0)-IFERROR(HLOOKUP(AO23,'סקרי נכסים-יתרות פתיחה'!$2:$110,90,0),0)*(1-AO$309)</f>
        <v>0</v>
      </c>
      <c r="AP58" s="1240">
        <f>+IFERROR(HLOOKUP(AP23,'סקרי נכסים-יתרות פתיחה'!$2:$110,5,0),0)-IFERROR(HLOOKUP(AP23,'סקרי נכסים-יתרות פתיחה'!$2:$110,90,0),0)*(1-AP$309)</f>
        <v>0</v>
      </c>
      <c r="AQ58" s="1240">
        <f>+IFERROR(HLOOKUP(AQ23,'סקרי נכסים-יתרות פתיחה'!$2:$110,5,0),0)-IFERROR(HLOOKUP(AQ23,'סקרי נכסים-יתרות פתיחה'!$2:$110,90,0),0)*(1-AQ$309)</f>
        <v>0</v>
      </c>
      <c r="AR58" s="1240">
        <f>+IFERROR(HLOOKUP(AR23,'סקרי נכסים-יתרות פתיחה'!$2:$110,5,0),0)-IFERROR(HLOOKUP(AR23,'סקרי נכסים-יתרות פתיחה'!$2:$110,90,0),0)*(1-AR$309)</f>
        <v>0</v>
      </c>
      <c r="AS58" s="1240">
        <f>+IFERROR(HLOOKUP(AS23,'סקרי נכסים-יתרות פתיחה'!$2:$110,5,0),0)-IFERROR(HLOOKUP(AS23,'סקרי נכסים-יתרות פתיחה'!$2:$110,90,0),0)*(1-AS$309)</f>
        <v>0</v>
      </c>
      <c r="AT58" s="1240">
        <f>+IFERROR(HLOOKUP(AT23,'סקרי נכסים-יתרות פתיחה'!$2:$110,5,0),0)-IFERROR(HLOOKUP(AT23,'סקרי נכסים-יתרות פתיחה'!$2:$110,90,0),0)*(1-AT$309)</f>
        <v>0</v>
      </c>
      <c r="AU58" s="1240">
        <f>+IFERROR(HLOOKUP(AU23,'סקרי נכסים-יתרות פתיחה'!$2:$110,5,0),0)-IFERROR(HLOOKUP(AU23,'סקרי נכסים-יתרות פתיחה'!$2:$110,90,0),0)*(1-AU$309)</f>
        <v>0</v>
      </c>
      <c r="AV58" s="1240">
        <f>+IFERROR(HLOOKUP(AV23,'סקרי נכסים-יתרות פתיחה'!$2:$110,5,0),0)-IFERROR(HLOOKUP(AV23,'סקרי נכסים-יתרות פתיחה'!$2:$110,90,0),0)*(1-AV$309)</f>
        <v>0</v>
      </c>
      <c r="AW58" s="1240">
        <f>+IFERROR(HLOOKUP(AW23,'סקרי נכסים-יתרות פתיחה'!$2:$110,5,0),0)-IFERROR(HLOOKUP(AW23,'סקרי נכסים-יתרות פתיחה'!$2:$110,90,0),0)*(1-AW$309)</f>
        <v>0</v>
      </c>
      <c r="AX58" s="1240">
        <f>+IFERROR(HLOOKUP(AX23,'סקרי נכסים-יתרות פתיחה'!$2:$110,5,0),0)-IFERROR(HLOOKUP(AX23,'סקרי נכסים-יתרות פתיחה'!$2:$110,90,0),0)*(1-AX$309)</f>
        <v>0</v>
      </c>
      <c r="AY58" s="1240">
        <f>+IFERROR(HLOOKUP(AY23,'סקרי נכסים-יתרות פתיחה'!$2:$110,5,0),0)-IFERROR(HLOOKUP(AY23,'סקרי נכסים-יתרות פתיחה'!$2:$110,90,0),0)*(1-AY$309)</f>
        <v>0</v>
      </c>
      <c r="AZ58" s="1240">
        <f>+IFERROR(HLOOKUP(AZ23,'סקרי נכסים-יתרות פתיחה'!$2:$110,5,0),0)-IFERROR(HLOOKUP(AZ23,'סקרי נכסים-יתרות פתיחה'!$2:$110,90,0),0)*(1-AZ$309)</f>
        <v>0</v>
      </c>
      <c r="BA58" s="1240">
        <f>+IFERROR(HLOOKUP(BA23,'סקרי נכסים-יתרות פתיחה'!$2:$110,5,0),0)-IFERROR(HLOOKUP(BA23,'סקרי נכסים-יתרות פתיחה'!$2:$110,90,0),0)*(1-BA$309)</f>
        <v>0</v>
      </c>
      <c r="BB58" s="1240">
        <f>+IFERROR(HLOOKUP(BB23,'סקרי נכסים-יתרות פתיחה'!$2:$110,5,0),0)-IFERROR(HLOOKUP(BB23,'סקרי נכסים-יתרות פתיחה'!$2:$110,90,0),0)*(1-BB$309)</f>
        <v>0</v>
      </c>
      <c r="BC58" s="1240">
        <f>+IFERROR(HLOOKUP(BC23,'סקרי נכסים-יתרות פתיחה'!$2:$110,5,0),0)-IFERROR(HLOOKUP(BC23,'סקרי נכסים-יתרות פתיחה'!$2:$110,90,0),0)*(1-BC$309)</f>
        <v>0</v>
      </c>
      <c r="BD58" s="1240">
        <f>+IFERROR(HLOOKUP(BD23,'סקרי נכסים-יתרות פתיחה'!$2:$110,5,0),0)-IFERROR(HLOOKUP(BD23,'סקרי נכסים-יתרות פתיחה'!$2:$110,90,0),0)*(1-BD$309)</f>
        <v>0</v>
      </c>
      <c r="BE58" s="1240">
        <f>+IFERROR(HLOOKUP(BE23,'סקרי נכסים-יתרות פתיחה'!$2:$110,5,0),0)-IFERROR(HLOOKUP(BE23,'סקרי נכסים-יתרות פתיחה'!$2:$110,90,0),0)*(1-BE$309)</f>
        <v>0</v>
      </c>
      <c r="BF58" s="1240">
        <f>+IFERROR(HLOOKUP(BF23,'סקרי נכסים-יתרות פתיחה'!$2:$110,5,0),0)-IFERROR(HLOOKUP(BF23,'סקרי נכסים-יתרות פתיחה'!$2:$110,90,0),0)*(1-BF$309)</f>
        <v>0</v>
      </c>
    </row>
    <row r="59" spans="2:58" x14ac:dyDescent="0.2">
      <c r="B59" s="1">
        <v>21</v>
      </c>
      <c r="C59" s="1240">
        <f>+IFERROR(HLOOKUP(C24,'סקרי נכסים-יתרות פתיחה'!$2:$110,5,0),0)-IFERROR(HLOOKUP(C24,'סקרי נכסים-יתרות פתיחה'!$2:$110,90,0),0)*(1-C$309)</f>
        <v>0</v>
      </c>
      <c r="D59" s="1240">
        <f>+IFERROR(HLOOKUP(D24,'סקרי נכסים-יתרות פתיחה'!$2:$110,5,0),0)-IFERROR(HLOOKUP(D24,'סקרי נכסים-יתרות פתיחה'!$2:$110,90,0),0)*(1-D$309)</f>
        <v>0</v>
      </c>
      <c r="E59" s="1240">
        <f>+IFERROR(HLOOKUP(E24,'סקרי נכסים-יתרות פתיחה'!$2:$110,5,0),0)-IFERROR(HLOOKUP(E24,'סקרי נכסים-יתרות פתיחה'!$2:$110,90,0),0)*(1-E$309)</f>
        <v>0</v>
      </c>
      <c r="F59" s="1240">
        <f>+IFERROR(HLOOKUP(F24,'סקרי נכסים-יתרות פתיחה'!$2:$110,5,0),0)-IFERROR(HLOOKUP(F24,'סקרי נכסים-יתרות פתיחה'!$2:$110,90,0),0)*(1-F$309)</f>
        <v>0</v>
      </c>
      <c r="G59" s="1240">
        <f>+IFERROR(HLOOKUP(G24,'סקרי נכסים-יתרות פתיחה'!$2:$110,5,0),0)-IFERROR(HLOOKUP(G24,'סקרי נכסים-יתרות פתיחה'!$2:$110,90,0),0)*(1-G$309)</f>
        <v>0</v>
      </c>
      <c r="H59" s="1240">
        <f>+IFERROR(HLOOKUP(H24,'סקרי נכסים-יתרות פתיחה'!$2:$110,5,0),0)-IFERROR(HLOOKUP(H24,'סקרי נכסים-יתרות פתיחה'!$2:$110,90,0),0)*(1-H$309)</f>
        <v>0</v>
      </c>
      <c r="I59" s="1240">
        <f>+IFERROR(HLOOKUP(I24,'סקרי נכסים-יתרות פתיחה'!$2:$110,5,0),0)-IFERROR(HLOOKUP(I24,'סקרי נכסים-יתרות פתיחה'!$2:$110,90,0),0)*(1-I$309)</f>
        <v>0</v>
      </c>
      <c r="J59" s="1240">
        <f>+IFERROR(HLOOKUP(J24,'סקרי נכסים-יתרות פתיחה'!$2:$110,5,0),0)-IFERROR(HLOOKUP(J24,'סקרי נכסים-יתרות פתיחה'!$2:$110,90,0),0)*(1-J$309)</f>
        <v>0</v>
      </c>
      <c r="K59" s="1240">
        <f>+IFERROR(HLOOKUP(K24,'סקרי נכסים-יתרות פתיחה'!$2:$110,5,0),0)-IFERROR(HLOOKUP(K24,'סקרי נכסים-יתרות פתיחה'!$2:$110,90,0),0)*(1-K$309)</f>
        <v>0</v>
      </c>
      <c r="L59" s="1240">
        <f>+IFERROR(HLOOKUP(L24,'סקרי נכסים-יתרות פתיחה'!$2:$110,5,0),0)-IFERROR(HLOOKUP(L24,'סקרי נכסים-יתרות פתיחה'!$2:$110,90,0),0)*(1-L$309)</f>
        <v>0</v>
      </c>
      <c r="M59" s="1240">
        <f>+IFERROR(HLOOKUP(M24,'סקרי נכסים-יתרות פתיחה'!$2:$110,5,0),0)-IFERROR(HLOOKUP(M24,'סקרי נכסים-יתרות פתיחה'!$2:$110,90,0),0)*(1-M$309)</f>
        <v>0</v>
      </c>
      <c r="N59" s="1240">
        <f>+IFERROR(HLOOKUP(N24,'סקרי נכסים-יתרות פתיחה'!$2:$110,5,0),0)-IFERROR(HLOOKUP(N24,'סקרי נכסים-יתרות פתיחה'!$2:$110,90,0),0)*(1-N$309)</f>
        <v>0</v>
      </c>
      <c r="O59" s="1240">
        <f>+IFERROR(HLOOKUP(O24,'סקרי נכסים-יתרות פתיחה'!$2:$110,5,0),0)-IFERROR(HLOOKUP(O24,'סקרי נכסים-יתרות פתיחה'!$2:$110,90,0),0)*(1-O$309)</f>
        <v>0</v>
      </c>
      <c r="P59" s="1240">
        <f>+IFERROR(HLOOKUP(P24,'סקרי נכסים-יתרות פתיחה'!$2:$110,5,0),0)-IFERROR(HLOOKUP(P24,'סקרי נכסים-יתרות פתיחה'!$2:$110,90,0),0)*(1-P$309)</f>
        <v>0</v>
      </c>
      <c r="Q59" s="1240">
        <f>+IFERROR(HLOOKUP(Q24,'סקרי נכסים-יתרות פתיחה'!$2:$110,5,0),0)-IFERROR(HLOOKUP(Q24,'סקרי נכסים-יתרות פתיחה'!$2:$110,90,0),0)*(1-Q$309)</f>
        <v>0</v>
      </c>
      <c r="R59" s="1240">
        <f>+IFERROR(HLOOKUP(R24,'סקרי נכסים-יתרות פתיחה'!$2:$110,5,0),0)-IFERROR(HLOOKUP(R24,'סקרי נכסים-יתרות פתיחה'!$2:$110,90,0),0)*(1-R$309)</f>
        <v>0</v>
      </c>
      <c r="S59" s="1240">
        <f>+IFERROR(HLOOKUP(S24,'סקרי נכסים-יתרות פתיחה'!$2:$110,5,0),0)-IFERROR(HLOOKUP(S24,'סקרי נכסים-יתרות פתיחה'!$2:$110,90,0),0)*(1-S$309)</f>
        <v>0</v>
      </c>
      <c r="T59" s="1240">
        <f>+IFERROR(HLOOKUP(T24,'סקרי נכסים-יתרות פתיחה'!$2:$110,5,0),0)-IFERROR(HLOOKUP(T24,'סקרי נכסים-יתרות פתיחה'!$2:$110,90,0),0)*(1-T$309)</f>
        <v>0</v>
      </c>
      <c r="U59" s="1240">
        <f>+IFERROR(HLOOKUP(U24,'סקרי נכסים-יתרות פתיחה'!$2:$110,5,0),0)-IFERROR(HLOOKUP(U24,'סקרי נכסים-יתרות פתיחה'!$2:$110,90,0),0)*(1-U$309)</f>
        <v>0</v>
      </c>
      <c r="V59" s="1240">
        <f>+IFERROR(HLOOKUP(V24,'סקרי נכסים-יתרות פתיחה'!$2:$110,5,0),0)-IFERROR(HLOOKUP(V24,'סקרי נכסים-יתרות פתיחה'!$2:$110,90,0),0)*(1-V$309)</f>
        <v>0</v>
      </c>
      <c r="W59" s="1240">
        <f>+IFERROR(HLOOKUP(W24,'סקרי נכסים-יתרות פתיחה'!$2:$110,5,0),0)-IFERROR(HLOOKUP(W24,'סקרי נכסים-יתרות פתיחה'!$2:$110,90,0),0)*(1-W$309)</f>
        <v>0</v>
      </c>
      <c r="X59" s="1240">
        <f>+IFERROR(HLOOKUP(X24,'סקרי נכסים-יתרות פתיחה'!$2:$110,5,0),0)-IFERROR(HLOOKUP(X24,'סקרי נכסים-יתרות פתיחה'!$2:$110,90,0),0)*(1-X$309)</f>
        <v>0</v>
      </c>
      <c r="Y59" s="1240">
        <f>+IFERROR(HLOOKUP(Y24,'סקרי נכסים-יתרות פתיחה'!$2:$110,5,0),0)-IFERROR(HLOOKUP(Y24,'סקרי נכסים-יתרות פתיחה'!$2:$110,90,0),0)*(1-Y$309)</f>
        <v>0</v>
      </c>
      <c r="Z59" s="1240">
        <f>+IFERROR(HLOOKUP(Z24,'סקרי נכסים-יתרות פתיחה'!$2:$110,5,0),0)-IFERROR(HLOOKUP(Z24,'סקרי נכסים-יתרות פתיחה'!$2:$110,90,0),0)*(1-Z$309)</f>
        <v>0</v>
      </c>
      <c r="AA59" s="1240">
        <f>+IFERROR(HLOOKUP(AA24,'סקרי נכסים-יתרות פתיחה'!$2:$110,5,0),0)-IFERROR(HLOOKUP(AA24,'סקרי נכסים-יתרות פתיחה'!$2:$110,90,0),0)*(1-AA$309)</f>
        <v>0</v>
      </c>
      <c r="AB59" s="1240">
        <f>+IFERROR(HLOOKUP(AB24,'סקרי נכסים-יתרות פתיחה'!$2:$110,5,0),0)-IFERROR(HLOOKUP(AB24,'סקרי נכסים-יתרות פתיחה'!$2:$110,90,0),0)*(1-AB$309)</f>
        <v>0</v>
      </c>
      <c r="AC59" s="1240">
        <f>+IFERROR(HLOOKUP(AC24,'סקרי נכסים-יתרות פתיחה'!$2:$110,5,0),0)-IFERROR(HLOOKUP(AC24,'סקרי נכסים-יתרות פתיחה'!$2:$110,90,0),0)*(1-AC$309)</f>
        <v>0</v>
      </c>
      <c r="AD59" s="1240">
        <f>+IFERROR(HLOOKUP(AD24,'סקרי נכסים-יתרות פתיחה'!$2:$110,5,0),0)-IFERROR(HLOOKUP(AD24,'סקרי נכסים-יתרות פתיחה'!$2:$110,90,0),0)*(1-AD$309)</f>
        <v>0</v>
      </c>
      <c r="AE59" s="1240">
        <f>+IFERROR(HLOOKUP(AE24,'סקרי נכסים-יתרות פתיחה'!$2:$110,5,0),0)-IFERROR(HLOOKUP(AE24,'סקרי נכסים-יתרות פתיחה'!$2:$110,90,0),0)*(1-AE$309)</f>
        <v>0</v>
      </c>
      <c r="AF59" s="1240">
        <f>+IFERROR(HLOOKUP(AF24,'סקרי נכסים-יתרות פתיחה'!$2:$110,5,0),0)-IFERROR(HLOOKUP(AF24,'סקרי נכסים-יתרות פתיחה'!$2:$110,90,0),0)*(1-AF$309)</f>
        <v>0</v>
      </c>
      <c r="AG59" s="1240">
        <f>+IFERROR(HLOOKUP(AG24,'סקרי נכסים-יתרות פתיחה'!$2:$110,5,0),0)-IFERROR(HLOOKUP(AG24,'סקרי נכסים-יתרות פתיחה'!$2:$110,90,0),0)*(1-AG$309)</f>
        <v>0</v>
      </c>
      <c r="AH59" s="1240">
        <f>+IFERROR(HLOOKUP(AH24,'סקרי נכסים-יתרות פתיחה'!$2:$110,5,0),0)-IFERROR(HLOOKUP(AH24,'סקרי נכסים-יתרות פתיחה'!$2:$110,90,0),0)*(1-AH$309)</f>
        <v>0</v>
      </c>
      <c r="AI59" s="1240">
        <f>+IFERROR(HLOOKUP(AI24,'סקרי נכסים-יתרות פתיחה'!$2:$110,5,0),0)-IFERROR(HLOOKUP(AI24,'סקרי נכסים-יתרות פתיחה'!$2:$110,90,0),0)*(1-AI$309)</f>
        <v>0</v>
      </c>
      <c r="AJ59" s="1240">
        <f>+IFERROR(HLOOKUP(AJ24,'סקרי נכסים-יתרות פתיחה'!$2:$110,5,0),0)-IFERROR(HLOOKUP(AJ24,'סקרי נכסים-יתרות פתיחה'!$2:$110,90,0),0)*(1-AJ$309)</f>
        <v>0</v>
      </c>
      <c r="AK59" s="1240">
        <f>+IFERROR(HLOOKUP(AK24,'סקרי נכסים-יתרות פתיחה'!$2:$110,5,0),0)-IFERROR(HLOOKUP(AK24,'סקרי נכסים-יתרות פתיחה'!$2:$110,90,0),0)*(1-AK$309)</f>
        <v>0</v>
      </c>
      <c r="AL59" s="1240">
        <f>+IFERROR(HLOOKUP(AL24,'סקרי נכסים-יתרות פתיחה'!$2:$110,5,0),0)-IFERROR(HLOOKUP(AL24,'סקרי נכסים-יתרות פתיחה'!$2:$110,90,0),0)*(1-AL$309)</f>
        <v>0</v>
      </c>
      <c r="AM59" s="1240">
        <f>+IFERROR(HLOOKUP(AM24,'סקרי נכסים-יתרות פתיחה'!$2:$110,5,0),0)-IFERROR(HLOOKUP(AM24,'סקרי נכסים-יתרות פתיחה'!$2:$110,90,0),0)*(1-AM$309)</f>
        <v>0</v>
      </c>
      <c r="AN59" s="1240">
        <f>+IFERROR(HLOOKUP(AN24,'סקרי נכסים-יתרות פתיחה'!$2:$110,5,0),0)-IFERROR(HLOOKUP(AN24,'סקרי נכסים-יתרות פתיחה'!$2:$110,90,0),0)*(1-AN$309)</f>
        <v>0</v>
      </c>
      <c r="AO59" s="1240">
        <f>+IFERROR(HLOOKUP(AO24,'סקרי נכסים-יתרות פתיחה'!$2:$110,5,0),0)-IFERROR(HLOOKUP(AO24,'סקרי נכסים-יתרות פתיחה'!$2:$110,90,0),0)*(1-AO$309)</f>
        <v>0</v>
      </c>
      <c r="AP59" s="1240">
        <f>+IFERROR(HLOOKUP(AP24,'סקרי נכסים-יתרות פתיחה'!$2:$110,5,0),0)-IFERROR(HLOOKUP(AP24,'סקרי נכסים-יתרות פתיחה'!$2:$110,90,0),0)*(1-AP$309)</f>
        <v>0</v>
      </c>
      <c r="AQ59" s="1240">
        <f>+IFERROR(HLOOKUP(AQ24,'סקרי נכסים-יתרות פתיחה'!$2:$110,5,0),0)-IFERROR(HLOOKUP(AQ24,'סקרי נכסים-יתרות פתיחה'!$2:$110,90,0),0)*(1-AQ$309)</f>
        <v>0</v>
      </c>
      <c r="AR59" s="1240">
        <f>+IFERROR(HLOOKUP(AR24,'סקרי נכסים-יתרות פתיחה'!$2:$110,5,0),0)-IFERROR(HLOOKUP(AR24,'סקרי נכסים-יתרות פתיחה'!$2:$110,90,0),0)*(1-AR$309)</f>
        <v>0</v>
      </c>
      <c r="AS59" s="1240">
        <f>+IFERROR(HLOOKUP(AS24,'סקרי נכסים-יתרות פתיחה'!$2:$110,5,0),0)-IFERROR(HLOOKUP(AS24,'סקרי נכסים-יתרות פתיחה'!$2:$110,90,0),0)*(1-AS$309)</f>
        <v>0</v>
      </c>
      <c r="AT59" s="1240">
        <f>+IFERROR(HLOOKUP(AT24,'סקרי נכסים-יתרות פתיחה'!$2:$110,5,0),0)-IFERROR(HLOOKUP(AT24,'סקרי נכסים-יתרות פתיחה'!$2:$110,90,0),0)*(1-AT$309)</f>
        <v>0</v>
      </c>
      <c r="AU59" s="1240">
        <f>+IFERROR(HLOOKUP(AU24,'סקרי נכסים-יתרות פתיחה'!$2:$110,5,0),0)-IFERROR(HLOOKUP(AU24,'סקרי נכסים-יתרות פתיחה'!$2:$110,90,0),0)*(1-AU$309)</f>
        <v>0</v>
      </c>
      <c r="AV59" s="1240">
        <f>+IFERROR(HLOOKUP(AV24,'סקרי נכסים-יתרות פתיחה'!$2:$110,5,0),0)-IFERROR(HLOOKUP(AV24,'סקרי נכסים-יתרות פתיחה'!$2:$110,90,0),0)*(1-AV$309)</f>
        <v>0</v>
      </c>
      <c r="AW59" s="1240">
        <f>+IFERROR(HLOOKUP(AW24,'סקרי נכסים-יתרות פתיחה'!$2:$110,5,0),0)-IFERROR(HLOOKUP(AW24,'סקרי נכסים-יתרות פתיחה'!$2:$110,90,0),0)*(1-AW$309)</f>
        <v>0</v>
      </c>
      <c r="AX59" s="1240">
        <f>+IFERROR(HLOOKUP(AX24,'סקרי נכסים-יתרות פתיחה'!$2:$110,5,0),0)-IFERROR(HLOOKUP(AX24,'סקרי נכסים-יתרות פתיחה'!$2:$110,90,0),0)*(1-AX$309)</f>
        <v>0</v>
      </c>
      <c r="AY59" s="1240">
        <f>+IFERROR(HLOOKUP(AY24,'סקרי נכסים-יתרות פתיחה'!$2:$110,5,0),0)-IFERROR(HLOOKUP(AY24,'סקרי נכסים-יתרות פתיחה'!$2:$110,90,0),0)*(1-AY$309)</f>
        <v>0</v>
      </c>
      <c r="AZ59" s="1240">
        <f>+IFERROR(HLOOKUP(AZ24,'סקרי נכסים-יתרות פתיחה'!$2:$110,5,0),0)-IFERROR(HLOOKUP(AZ24,'סקרי נכסים-יתרות פתיחה'!$2:$110,90,0),0)*(1-AZ$309)</f>
        <v>0</v>
      </c>
      <c r="BA59" s="1240">
        <f>+IFERROR(HLOOKUP(BA24,'סקרי נכסים-יתרות פתיחה'!$2:$110,5,0),0)-IFERROR(HLOOKUP(BA24,'סקרי נכסים-יתרות פתיחה'!$2:$110,90,0),0)*(1-BA$309)</f>
        <v>0</v>
      </c>
      <c r="BB59" s="1240">
        <f>+IFERROR(HLOOKUP(BB24,'סקרי נכסים-יתרות פתיחה'!$2:$110,5,0),0)-IFERROR(HLOOKUP(BB24,'סקרי נכסים-יתרות פתיחה'!$2:$110,90,0),0)*(1-BB$309)</f>
        <v>0</v>
      </c>
      <c r="BC59" s="1240">
        <f>+IFERROR(HLOOKUP(BC24,'סקרי נכסים-יתרות פתיחה'!$2:$110,5,0),0)-IFERROR(HLOOKUP(BC24,'סקרי נכסים-יתרות פתיחה'!$2:$110,90,0),0)*(1-BC$309)</f>
        <v>0</v>
      </c>
      <c r="BD59" s="1240">
        <f>+IFERROR(HLOOKUP(BD24,'סקרי נכסים-יתרות פתיחה'!$2:$110,5,0),0)-IFERROR(HLOOKUP(BD24,'סקרי נכסים-יתרות פתיחה'!$2:$110,90,0),0)*(1-BD$309)</f>
        <v>0</v>
      </c>
      <c r="BE59" s="1240">
        <f>+IFERROR(HLOOKUP(BE24,'סקרי נכסים-יתרות פתיחה'!$2:$110,5,0),0)-IFERROR(HLOOKUP(BE24,'סקרי נכסים-יתרות פתיחה'!$2:$110,90,0),0)*(1-BE$309)</f>
        <v>0</v>
      </c>
      <c r="BF59" s="1240">
        <f>+IFERROR(HLOOKUP(BF24,'סקרי נכסים-יתרות פתיחה'!$2:$110,5,0),0)-IFERROR(HLOOKUP(BF24,'סקרי נכסים-יתרות פתיחה'!$2:$110,90,0),0)*(1-BF$309)</f>
        <v>0</v>
      </c>
    </row>
    <row r="60" spans="2:58" x14ac:dyDescent="0.2">
      <c r="B60" s="1">
        <v>22</v>
      </c>
      <c r="C60" s="1240">
        <f>+IFERROR(HLOOKUP(C25,'סקרי נכסים-יתרות פתיחה'!$2:$110,5,0),0)-IFERROR(HLOOKUP(C25,'סקרי נכסים-יתרות פתיחה'!$2:$110,90,0),0)*(1-C$309)</f>
        <v>0</v>
      </c>
      <c r="D60" s="1240">
        <f>+IFERROR(HLOOKUP(D25,'סקרי נכסים-יתרות פתיחה'!$2:$110,5,0),0)-IFERROR(HLOOKUP(D25,'סקרי נכסים-יתרות פתיחה'!$2:$110,90,0),0)*(1-D$309)</f>
        <v>0</v>
      </c>
      <c r="E60" s="1240">
        <f>+IFERROR(HLOOKUP(E25,'סקרי נכסים-יתרות פתיחה'!$2:$110,5,0),0)-IFERROR(HLOOKUP(E25,'סקרי נכסים-יתרות פתיחה'!$2:$110,90,0),0)*(1-E$309)</f>
        <v>0</v>
      </c>
      <c r="F60" s="1240">
        <f>+IFERROR(HLOOKUP(F25,'סקרי נכסים-יתרות פתיחה'!$2:$110,5,0),0)-IFERROR(HLOOKUP(F25,'סקרי נכסים-יתרות פתיחה'!$2:$110,90,0),0)*(1-F$309)</f>
        <v>0</v>
      </c>
      <c r="G60" s="1240">
        <f>+IFERROR(HLOOKUP(G25,'סקרי נכסים-יתרות פתיחה'!$2:$110,5,0),0)-IFERROR(HLOOKUP(G25,'סקרי נכסים-יתרות פתיחה'!$2:$110,90,0),0)*(1-G$309)</f>
        <v>0</v>
      </c>
      <c r="H60" s="1240">
        <f>+IFERROR(HLOOKUP(H25,'סקרי נכסים-יתרות פתיחה'!$2:$110,5,0),0)-IFERROR(HLOOKUP(H25,'סקרי נכסים-יתרות פתיחה'!$2:$110,90,0),0)*(1-H$309)</f>
        <v>0</v>
      </c>
      <c r="I60" s="1240">
        <f>+IFERROR(HLOOKUP(I25,'סקרי נכסים-יתרות פתיחה'!$2:$110,5,0),0)-IFERROR(HLOOKUP(I25,'סקרי נכסים-יתרות פתיחה'!$2:$110,90,0),0)*(1-I$309)</f>
        <v>0</v>
      </c>
      <c r="J60" s="1240">
        <f>+IFERROR(HLOOKUP(J25,'סקרי נכסים-יתרות פתיחה'!$2:$110,5,0),0)-IFERROR(HLOOKUP(J25,'סקרי נכסים-יתרות פתיחה'!$2:$110,90,0),0)*(1-J$309)</f>
        <v>0</v>
      </c>
      <c r="K60" s="1240">
        <f>+IFERROR(HLOOKUP(K25,'סקרי נכסים-יתרות פתיחה'!$2:$110,5,0),0)-IFERROR(HLOOKUP(K25,'סקרי נכסים-יתרות פתיחה'!$2:$110,90,0),0)*(1-K$309)</f>
        <v>0</v>
      </c>
      <c r="L60" s="1240">
        <f>+IFERROR(HLOOKUP(L25,'סקרי נכסים-יתרות פתיחה'!$2:$110,5,0),0)-IFERROR(HLOOKUP(L25,'סקרי נכסים-יתרות פתיחה'!$2:$110,90,0),0)*(1-L$309)</f>
        <v>0</v>
      </c>
      <c r="M60" s="1240">
        <f>+IFERROR(HLOOKUP(M25,'סקרי נכסים-יתרות פתיחה'!$2:$110,5,0),0)-IFERROR(HLOOKUP(M25,'סקרי נכסים-יתרות פתיחה'!$2:$110,90,0),0)*(1-M$309)</f>
        <v>0</v>
      </c>
      <c r="N60" s="1240">
        <f>+IFERROR(HLOOKUP(N25,'סקרי נכסים-יתרות פתיחה'!$2:$110,5,0),0)-IFERROR(HLOOKUP(N25,'סקרי נכסים-יתרות פתיחה'!$2:$110,90,0),0)*(1-N$309)</f>
        <v>0</v>
      </c>
      <c r="O60" s="1240">
        <f>+IFERROR(HLOOKUP(O25,'סקרי נכסים-יתרות פתיחה'!$2:$110,5,0),0)-IFERROR(HLOOKUP(O25,'סקרי נכסים-יתרות פתיחה'!$2:$110,90,0),0)*(1-O$309)</f>
        <v>0</v>
      </c>
      <c r="P60" s="1240">
        <f>+IFERROR(HLOOKUP(P25,'סקרי נכסים-יתרות פתיחה'!$2:$110,5,0),0)-IFERROR(HLOOKUP(P25,'סקרי נכסים-יתרות פתיחה'!$2:$110,90,0),0)*(1-P$309)</f>
        <v>0</v>
      </c>
      <c r="Q60" s="1240">
        <f>+IFERROR(HLOOKUP(Q25,'סקרי נכסים-יתרות פתיחה'!$2:$110,5,0),0)-IFERROR(HLOOKUP(Q25,'סקרי נכסים-יתרות פתיחה'!$2:$110,90,0),0)*(1-Q$309)</f>
        <v>0</v>
      </c>
      <c r="R60" s="1240">
        <f>+IFERROR(HLOOKUP(R25,'סקרי נכסים-יתרות פתיחה'!$2:$110,5,0),0)-IFERROR(HLOOKUP(R25,'סקרי נכסים-יתרות פתיחה'!$2:$110,90,0),0)*(1-R$309)</f>
        <v>0</v>
      </c>
      <c r="S60" s="1240">
        <f>+IFERROR(HLOOKUP(S25,'סקרי נכסים-יתרות פתיחה'!$2:$110,5,0),0)-IFERROR(HLOOKUP(S25,'סקרי נכסים-יתרות פתיחה'!$2:$110,90,0),0)*(1-S$309)</f>
        <v>0</v>
      </c>
      <c r="T60" s="1240">
        <f>+IFERROR(HLOOKUP(T25,'סקרי נכסים-יתרות פתיחה'!$2:$110,5,0),0)-IFERROR(HLOOKUP(T25,'סקרי נכסים-יתרות פתיחה'!$2:$110,90,0),0)*(1-T$309)</f>
        <v>0</v>
      </c>
      <c r="U60" s="1240">
        <f>+IFERROR(HLOOKUP(U25,'סקרי נכסים-יתרות פתיחה'!$2:$110,5,0),0)-IFERROR(HLOOKUP(U25,'סקרי נכסים-יתרות פתיחה'!$2:$110,90,0),0)*(1-U$309)</f>
        <v>0</v>
      </c>
      <c r="V60" s="1240">
        <f>+IFERROR(HLOOKUP(V25,'סקרי נכסים-יתרות פתיחה'!$2:$110,5,0),0)-IFERROR(HLOOKUP(V25,'סקרי נכסים-יתרות פתיחה'!$2:$110,90,0),0)*(1-V$309)</f>
        <v>0</v>
      </c>
      <c r="W60" s="1240">
        <f>+IFERROR(HLOOKUP(W25,'סקרי נכסים-יתרות פתיחה'!$2:$110,5,0),0)-IFERROR(HLOOKUP(W25,'סקרי נכסים-יתרות פתיחה'!$2:$110,90,0),0)*(1-W$309)</f>
        <v>0</v>
      </c>
      <c r="X60" s="1240">
        <f>+IFERROR(HLOOKUP(X25,'סקרי נכסים-יתרות פתיחה'!$2:$110,5,0),0)-IFERROR(HLOOKUP(X25,'סקרי נכסים-יתרות פתיחה'!$2:$110,90,0),0)*(1-X$309)</f>
        <v>0</v>
      </c>
      <c r="Y60" s="1240">
        <f>+IFERROR(HLOOKUP(Y25,'סקרי נכסים-יתרות פתיחה'!$2:$110,5,0),0)-IFERROR(HLOOKUP(Y25,'סקרי נכסים-יתרות פתיחה'!$2:$110,90,0),0)*(1-Y$309)</f>
        <v>0</v>
      </c>
      <c r="Z60" s="1240">
        <f>+IFERROR(HLOOKUP(Z25,'סקרי נכסים-יתרות פתיחה'!$2:$110,5,0),0)-IFERROR(HLOOKUP(Z25,'סקרי נכסים-יתרות פתיחה'!$2:$110,90,0),0)*(1-Z$309)</f>
        <v>0</v>
      </c>
      <c r="AA60" s="1240">
        <f>+IFERROR(HLOOKUP(AA25,'סקרי נכסים-יתרות פתיחה'!$2:$110,5,0),0)-IFERROR(HLOOKUP(AA25,'סקרי נכסים-יתרות פתיחה'!$2:$110,90,0),0)*(1-AA$309)</f>
        <v>0</v>
      </c>
      <c r="AB60" s="1240">
        <f>+IFERROR(HLOOKUP(AB25,'סקרי נכסים-יתרות פתיחה'!$2:$110,5,0),0)-IFERROR(HLOOKUP(AB25,'סקרי נכסים-יתרות פתיחה'!$2:$110,90,0),0)*(1-AB$309)</f>
        <v>0</v>
      </c>
      <c r="AC60" s="1240">
        <f>+IFERROR(HLOOKUP(AC25,'סקרי נכסים-יתרות פתיחה'!$2:$110,5,0),0)-IFERROR(HLOOKUP(AC25,'סקרי נכסים-יתרות פתיחה'!$2:$110,90,0),0)*(1-AC$309)</f>
        <v>0</v>
      </c>
      <c r="AD60" s="1240">
        <f>+IFERROR(HLOOKUP(AD25,'סקרי נכסים-יתרות פתיחה'!$2:$110,5,0),0)-IFERROR(HLOOKUP(AD25,'סקרי נכסים-יתרות פתיחה'!$2:$110,90,0),0)*(1-AD$309)</f>
        <v>0</v>
      </c>
      <c r="AE60" s="1240">
        <f>+IFERROR(HLOOKUP(AE25,'סקרי נכסים-יתרות פתיחה'!$2:$110,5,0),0)-IFERROR(HLOOKUP(AE25,'סקרי נכסים-יתרות פתיחה'!$2:$110,90,0),0)*(1-AE$309)</f>
        <v>0</v>
      </c>
      <c r="AF60" s="1240">
        <f>+IFERROR(HLOOKUP(AF25,'סקרי נכסים-יתרות פתיחה'!$2:$110,5,0),0)-IFERROR(HLOOKUP(AF25,'סקרי נכסים-יתרות פתיחה'!$2:$110,90,0),0)*(1-AF$309)</f>
        <v>0</v>
      </c>
      <c r="AG60" s="1240">
        <f>+IFERROR(HLOOKUP(AG25,'סקרי נכסים-יתרות פתיחה'!$2:$110,5,0),0)-IFERROR(HLOOKUP(AG25,'סקרי נכסים-יתרות פתיחה'!$2:$110,90,0),0)*(1-AG$309)</f>
        <v>0</v>
      </c>
      <c r="AH60" s="1240">
        <f>+IFERROR(HLOOKUP(AH25,'סקרי נכסים-יתרות פתיחה'!$2:$110,5,0),0)-IFERROR(HLOOKUP(AH25,'סקרי נכסים-יתרות פתיחה'!$2:$110,90,0),0)*(1-AH$309)</f>
        <v>0</v>
      </c>
      <c r="AI60" s="1240">
        <f>+IFERROR(HLOOKUP(AI25,'סקרי נכסים-יתרות פתיחה'!$2:$110,5,0),0)-IFERROR(HLOOKUP(AI25,'סקרי נכסים-יתרות פתיחה'!$2:$110,90,0),0)*(1-AI$309)</f>
        <v>0</v>
      </c>
      <c r="AJ60" s="1240">
        <f>+IFERROR(HLOOKUP(AJ25,'סקרי נכסים-יתרות פתיחה'!$2:$110,5,0),0)-IFERROR(HLOOKUP(AJ25,'סקרי נכסים-יתרות פתיחה'!$2:$110,90,0),0)*(1-AJ$309)</f>
        <v>0</v>
      </c>
      <c r="AK60" s="1240">
        <f>+IFERROR(HLOOKUP(AK25,'סקרי נכסים-יתרות פתיחה'!$2:$110,5,0),0)-IFERROR(HLOOKUP(AK25,'סקרי נכסים-יתרות פתיחה'!$2:$110,90,0),0)*(1-AK$309)</f>
        <v>0</v>
      </c>
      <c r="AL60" s="1240">
        <f>+IFERROR(HLOOKUP(AL25,'סקרי נכסים-יתרות פתיחה'!$2:$110,5,0),0)-IFERROR(HLOOKUP(AL25,'סקרי נכסים-יתרות פתיחה'!$2:$110,90,0),0)*(1-AL$309)</f>
        <v>0</v>
      </c>
      <c r="AM60" s="1240">
        <f>+IFERROR(HLOOKUP(AM25,'סקרי נכסים-יתרות פתיחה'!$2:$110,5,0),0)-IFERROR(HLOOKUP(AM25,'סקרי נכסים-יתרות פתיחה'!$2:$110,90,0),0)*(1-AM$309)</f>
        <v>0</v>
      </c>
      <c r="AN60" s="1240">
        <f>+IFERROR(HLOOKUP(AN25,'סקרי נכסים-יתרות פתיחה'!$2:$110,5,0),0)-IFERROR(HLOOKUP(AN25,'סקרי נכסים-יתרות פתיחה'!$2:$110,90,0),0)*(1-AN$309)</f>
        <v>0</v>
      </c>
      <c r="AO60" s="1240">
        <f>+IFERROR(HLOOKUP(AO25,'סקרי נכסים-יתרות פתיחה'!$2:$110,5,0),0)-IFERROR(HLOOKUP(AO25,'סקרי נכסים-יתרות פתיחה'!$2:$110,90,0),0)*(1-AO$309)</f>
        <v>0</v>
      </c>
      <c r="AP60" s="1240">
        <f>+IFERROR(HLOOKUP(AP25,'סקרי נכסים-יתרות פתיחה'!$2:$110,5,0),0)-IFERROR(HLOOKUP(AP25,'סקרי נכסים-יתרות פתיחה'!$2:$110,90,0),0)*(1-AP$309)</f>
        <v>0</v>
      </c>
      <c r="AQ60" s="1240">
        <f>+IFERROR(HLOOKUP(AQ25,'סקרי נכסים-יתרות פתיחה'!$2:$110,5,0),0)-IFERROR(HLOOKUP(AQ25,'סקרי נכסים-יתרות פתיחה'!$2:$110,90,0),0)*(1-AQ$309)</f>
        <v>0</v>
      </c>
      <c r="AR60" s="1240">
        <f>+IFERROR(HLOOKUP(AR25,'סקרי נכסים-יתרות פתיחה'!$2:$110,5,0),0)-IFERROR(HLOOKUP(AR25,'סקרי נכסים-יתרות פתיחה'!$2:$110,90,0),0)*(1-AR$309)</f>
        <v>0</v>
      </c>
      <c r="AS60" s="1240">
        <f>+IFERROR(HLOOKUP(AS25,'סקרי נכסים-יתרות פתיחה'!$2:$110,5,0),0)-IFERROR(HLOOKUP(AS25,'סקרי נכסים-יתרות פתיחה'!$2:$110,90,0),0)*(1-AS$309)</f>
        <v>0</v>
      </c>
      <c r="AT60" s="1240">
        <f>+IFERROR(HLOOKUP(AT25,'סקרי נכסים-יתרות פתיחה'!$2:$110,5,0),0)-IFERROR(HLOOKUP(AT25,'סקרי נכסים-יתרות פתיחה'!$2:$110,90,0),0)*(1-AT$309)</f>
        <v>0</v>
      </c>
      <c r="AU60" s="1240">
        <f>+IFERROR(HLOOKUP(AU25,'סקרי נכסים-יתרות פתיחה'!$2:$110,5,0),0)-IFERROR(HLOOKUP(AU25,'סקרי נכסים-יתרות פתיחה'!$2:$110,90,0),0)*(1-AU$309)</f>
        <v>0</v>
      </c>
      <c r="AV60" s="1240">
        <f>+IFERROR(HLOOKUP(AV25,'סקרי נכסים-יתרות פתיחה'!$2:$110,5,0),0)-IFERROR(HLOOKUP(AV25,'סקרי נכסים-יתרות פתיחה'!$2:$110,90,0),0)*(1-AV$309)</f>
        <v>0</v>
      </c>
      <c r="AW60" s="1240">
        <f>+IFERROR(HLOOKUP(AW25,'סקרי נכסים-יתרות פתיחה'!$2:$110,5,0),0)-IFERROR(HLOOKUP(AW25,'סקרי נכסים-יתרות פתיחה'!$2:$110,90,0),0)*(1-AW$309)</f>
        <v>0</v>
      </c>
      <c r="AX60" s="1240">
        <f>+IFERROR(HLOOKUP(AX25,'סקרי נכסים-יתרות פתיחה'!$2:$110,5,0),0)-IFERROR(HLOOKUP(AX25,'סקרי נכסים-יתרות פתיחה'!$2:$110,90,0),0)*(1-AX$309)</f>
        <v>0</v>
      </c>
      <c r="AY60" s="1240">
        <f>+IFERROR(HLOOKUP(AY25,'סקרי נכסים-יתרות פתיחה'!$2:$110,5,0),0)-IFERROR(HLOOKUP(AY25,'סקרי נכסים-יתרות פתיחה'!$2:$110,90,0),0)*(1-AY$309)</f>
        <v>0</v>
      </c>
      <c r="AZ60" s="1240">
        <f>+IFERROR(HLOOKUP(AZ25,'סקרי נכסים-יתרות פתיחה'!$2:$110,5,0),0)-IFERROR(HLOOKUP(AZ25,'סקרי נכסים-יתרות פתיחה'!$2:$110,90,0),0)*(1-AZ$309)</f>
        <v>0</v>
      </c>
      <c r="BA60" s="1240">
        <f>+IFERROR(HLOOKUP(BA25,'סקרי נכסים-יתרות פתיחה'!$2:$110,5,0),0)-IFERROR(HLOOKUP(BA25,'סקרי נכסים-יתרות פתיחה'!$2:$110,90,0),0)*(1-BA$309)</f>
        <v>0</v>
      </c>
      <c r="BB60" s="1240">
        <f>+IFERROR(HLOOKUP(BB25,'סקרי נכסים-יתרות פתיחה'!$2:$110,5,0),0)-IFERROR(HLOOKUP(BB25,'סקרי נכסים-יתרות פתיחה'!$2:$110,90,0),0)*(1-BB$309)</f>
        <v>0</v>
      </c>
      <c r="BC60" s="1240">
        <f>+IFERROR(HLOOKUP(BC25,'סקרי נכסים-יתרות פתיחה'!$2:$110,5,0),0)-IFERROR(HLOOKUP(BC25,'סקרי נכסים-יתרות פתיחה'!$2:$110,90,0),0)*(1-BC$309)</f>
        <v>0</v>
      </c>
      <c r="BD60" s="1240">
        <f>+IFERROR(HLOOKUP(BD25,'סקרי נכסים-יתרות פתיחה'!$2:$110,5,0),0)-IFERROR(HLOOKUP(BD25,'סקרי נכסים-יתרות פתיחה'!$2:$110,90,0),0)*(1-BD$309)</f>
        <v>0</v>
      </c>
      <c r="BE60" s="1240">
        <f>+IFERROR(HLOOKUP(BE25,'סקרי נכסים-יתרות פתיחה'!$2:$110,5,0),0)-IFERROR(HLOOKUP(BE25,'סקרי נכסים-יתרות פתיחה'!$2:$110,90,0),0)*(1-BE$309)</f>
        <v>0</v>
      </c>
      <c r="BF60" s="1240">
        <f>+IFERROR(HLOOKUP(BF25,'סקרי נכסים-יתרות פתיחה'!$2:$110,5,0),0)-IFERROR(HLOOKUP(BF25,'סקרי נכסים-יתרות פתיחה'!$2:$110,90,0),0)*(1-BF$309)</f>
        <v>0</v>
      </c>
    </row>
    <row r="61" spans="2:58" x14ac:dyDescent="0.2">
      <c r="B61" s="1">
        <v>23</v>
      </c>
      <c r="C61" s="1240">
        <f>+IFERROR(HLOOKUP(C26,'סקרי נכסים-יתרות פתיחה'!$2:$110,5,0),0)-IFERROR(HLOOKUP(C26,'סקרי נכסים-יתרות פתיחה'!$2:$110,90,0),0)*(1-C$309)</f>
        <v>0</v>
      </c>
      <c r="D61" s="1240">
        <f>+IFERROR(HLOOKUP(D26,'סקרי נכסים-יתרות פתיחה'!$2:$110,5,0),0)-IFERROR(HLOOKUP(D26,'סקרי נכסים-יתרות פתיחה'!$2:$110,90,0),0)*(1-D$309)</f>
        <v>0</v>
      </c>
      <c r="E61" s="1240">
        <f>+IFERROR(HLOOKUP(E26,'סקרי נכסים-יתרות פתיחה'!$2:$110,5,0),0)-IFERROR(HLOOKUP(E26,'סקרי נכסים-יתרות פתיחה'!$2:$110,90,0),0)*(1-E$309)</f>
        <v>0</v>
      </c>
      <c r="F61" s="1240">
        <f>+IFERROR(HLOOKUP(F26,'סקרי נכסים-יתרות פתיחה'!$2:$110,5,0),0)-IFERROR(HLOOKUP(F26,'סקרי נכסים-יתרות פתיחה'!$2:$110,90,0),0)*(1-F$309)</f>
        <v>0</v>
      </c>
      <c r="G61" s="1240">
        <f>+IFERROR(HLOOKUP(G26,'סקרי נכסים-יתרות פתיחה'!$2:$110,5,0),0)-IFERROR(HLOOKUP(G26,'סקרי נכסים-יתרות פתיחה'!$2:$110,90,0),0)*(1-G$309)</f>
        <v>0</v>
      </c>
      <c r="H61" s="1240">
        <f>+IFERROR(HLOOKUP(H26,'סקרי נכסים-יתרות פתיחה'!$2:$110,5,0),0)-IFERROR(HLOOKUP(H26,'סקרי נכסים-יתרות פתיחה'!$2:$110,90,0),0)*(1-H$309)</f>
        <v>0</v>
      </c>
      <c r="I61" s="1240">
        <f>+IFERROR(HLOOKUP(I26,'סקרי נכסים-יתרות פתיחה'!$2:$110,5,0),0)-IFERROR(HLOOKUP(I26,'סקרי נכסים-יתרות פתיחה'!$2:$110,90,0),0)*(1-I$309)</f>
        <v>0</v>
      </c>
      <c r="J61" s="1240">
        <f>+IFERROR(HLOOKUP(J26,'סקרי נכסים-יתרות פתיחה'!$2:$110,5,0),0)-IFERROR(HLOOKUP(J26,'סקרי נכסים-יתרות פתיחה'!$2:$110,90,0),0)*(1-J$309)</f>
        <v>0</v>
      </c>
      <c r="K61" s="1240">
        <f>+IFERROR(HLOOKUP(K26,'סקרי נכסים-יתרות פתיחה'!$2:$110,5,0),0)-IFERROR(HLOOKUP(K26,'סקרי נכסים-יתרות פתיחה'!$2:$110,90,0),0)*(1-K$309)</f>
        <v>0</v>
      </c>
      <c r="L61" s="1240">
        <f>+IFERROR(HLOOKUP(L26,'סקרי נכסים-יתרות פתיחה'!$2:$110,5,0),0)-IFERROR(HLOOKUP(L26,'סקרי נכסים-יתרות פתיחה'!$2:$110,90,0),0)*(1-L$309)</f>
        <v>0</v>
      </c>
      <c r="M61" s="1240">
        <f>+IFERROR(HLOOKUP(M26,'סקרי נכסים-יתרות פתיחה'!$2:$110,5,0),0)-IFERROR(HLOOKUP(M26,'סקרי נכסים-יתרות פתיחה'!$2:$110,90,0),0)*(1-M$309)</f>
        <v>0</v>
      </c>
      <c r="N61" s="1240">
        <f>+IFERROR(HLOOKUP(N26,'סקרי נכסים-יתרות פתיחה'!$2:$110,5,0),0)-IFERROR(HLOOKUP(N26,'סקרי נכסים-יתרות פתיחה'!$2:$110,90,0),0)*(1-N$309)</f>
        <v>0</v>
      </c>
      <c r="O61" s="1240">
        <f>+IFERROR(HLOOKUP(O26,'סקרי נכסים-יתרות פתיחה'!$2:$110,5,0),0)-IFERROR(HLOOKUP(O26,'סקרי נכסים-יתרות פתיחה'!$2:$110,90,0),0)*(1-O$309)</f>
        <v>0</v>
      </c>
      <c r="P61" s="1240">
        <f>+IFERROR(HLOOKUP(P26,'סקרי נכסים-יתרות פתיחה'!$2:$110,5,0),0)-IFERROR(HLOOKUP(P26,'סקרי נכסים-יתרות פתיחה'!$2:$110,90,0),0)*(1-P$309)</f>
        <v>0</v>
      </c>
      <c r="Q61" s="1240">
        <f>+IFERROR(HLOOKUP(Q26,'סקרי נכסים-יתרות פתיחה'!$2:$110,5,0),0)-IFERROR(HLOOKUP(Q26,'סקרי נכסים-יתרות פתיחה'!$2:$110,90,0),0)*(1-Q$309)</f>
        <v>0</v>
      </c>
      <c r="R61" s="1240">
        <f>+IFERROR(HLOOKUP(R26,'סקרי נכסים-יתרות פתיחה'!$2:$110,5,0),0)-IFERROR(HLOOKUP(R26,'סקרי נכסים-יתרות פתיחה'!$2:$110,90,0),0)*(1-R$309)</f>
        <v>0</v>
      </c>
      <c r="S61" s="1240">
        <f>+IFERROR(HLOOKUP(S26,'סקרי נכסים-יתרות פתיחה'!$2:$110,5,0),0)-IFERROR(HLOOKUP(S26,'סקרי נכסים-יתרות פתיחה'!$2:$110,90,0),0)*(1-S$309)</f>
        <v>0</v>
      </c>
      <c r="T61" s="1240">
        <f>+IFERROR(HLOOKUP(T26,'סקרי נכסים-יתרות פתיחה'!$2:$110,5,0),0)-IFERROR(HLOOKUP(T26,'סקרי נכסים-יתרות פתיחה'!$2:$110,90,0),0)*(1-T$309)</f>
        <v>0</v>
      </c>
      <c r="U61" s="1240">
        <f>+IFERROR(HLOOKUP(U26,'סקרי נכסים-יתרות פתיחה'!$2:$110,5,0),0)-IFERROR(HLOOKUP(U26,'סקרי נכסים-יתרות פתיחה'!$2:$110,90,0),0)*(1-U$309)</f>
        <v>0</v>
      </c>
      <c r="V61" s="1240">
        <f>+IFERROR(HLOOKUP(V26,'סקרי נכסים-יתרות פתיחה'!$2:$110,5,0),0)-IFERROR(HLOOKUP(V26,'סקרי נכסים-יתרות פתיחה'!$2:$110,90,0),0)*(1-V$309)</f>
        <v>0</v>
      </c>
      <c r="W61" s="1240">
        <f>+IFERROR(HLOOKUP(W26,'סקרי נכסים-יתרות פתיחה'!$2:$110,5,0),0)-IFERROR(HLOOKUP(W26,'סקרי נכסים-יתרות פתיחה'!$2:$110,90,0),0)*(1-W$309)</f>
        <v>0</v>
      </c>
      <c r="X61" s="1240">
        <f>+IFERROR(HLOOKUP(X26,'סקרי נכסים-יתרות פתיחה'!$2:$110,5,0),0)-IFERROR(HLOOKUP(X26,'סקרי נכסים-יתרות פתיחה'!$2:$110,90,0),0)*(1-X$309)</f>
        <v>0</v>
      </c>
      <c r="Y61" s="1240">
        <f>+IFERROR(HLOOKUP(Y26,'סקרי נכסים-יתרות פתיחה'!$2:$110,5,0),0)-IFERROR(HLOOKUP(Y26,'סקרי נכסים-יתרות פתיחה'!$2:$110,90,0),0)*(1-Y$309)</f>
        <v>0</v>
      </c>
      <c r="Z61" s="1240">
        <f>+IFERROR(HLOOKUP(Z26,'סקרי נכסים-יתרות פתיחה'!$2:$110,5,0),0)-IFERROR(HLOOKUP(Z26,'סקרי נכסים-יתרות פתיחה'!$2:$110,90,0),0)*(1-Z$309)</f>
        <v>0</v>
      </c>
      <c r="AA61" s="1240">
        <f>+IFERROR(HLOOKUP(AA26,'סקרי נכסים-יתרות פתיחה'!$2:$110,5,0),0)-IFERROR(HLOOKUP(AA26,'סקרי נכסים-יתרות פתיחה'!$2:$110,90,0),0)*(1-AA$309)</f>
        <v>0</v>
      </c>
      <c r="AB61" s="1240">
        <f>+IFERROR(HLOOKUP(AB26,'סקרי נכסים-יתרות פתיחה'!$2:$110,5,0),0)-IFERROR(HLOOKUP(AB26,'סקרי נכסים-יתרות פתיחה'!$2:$110,90,0),0)*(1-AB$309)</f>
        <v>0</v>
      </c>
      <c r="AC61" s="1240">
        <f>+IFERROR(HLOOKUP(AC26,'סקרי נכסים-יתרות פתיחה'!$2:$110,5,0),0)-IFERROR(HLOOKUP(AC26,'סקרי נכסים-יתרות פתיחה'!$2:$110,90,0),0)*(1-AC$309)</f>
        <v>0</v>
      </c>
      <c r="AD61" s="1240">
        <f>+IFERROR(HLOOKUP(AD26,'סקרי נכסים-יתרות פתיחה'!$2:$110,5,0),0)-IFERROR(HLOOKUP(AD26,'סקרי נכסים-יתרות פתיחה'!$2:$110,90,0),0)*(1-AD$309)</f>
        <v>0</v>
      </c>
      <c r="AE61" s="1240">
        <f>+IFERROR(HLOOKUP(AE26,'סקרי נכסים-יתרות פתיחה'!$2:$110,5,0),0)-IFERROR(HLOOKUP(AE26,'סקרי נכסים-יתרות פתיחה'!$2:$110,90,0),0)*(1-AE$309)</f>
        <v>0</v>
      </c>
      <c r="AF61" s="1240">
        <f>+IFERROR(HLOOKUP(AF26,'סקרי נכסים-יתרות פתיחה'!$2:$110,5,0),0)-IFERROR(HLOOKUP(AF26,'סקרי נכסים-יתרות פתיחה'!$2:$110,90,0),0)*(1-AF$309)</f>
        <v>0</v>
      </c>
      <c r="AG61" s="1240">
        <f>+IFERROR(HLOOKUP(AG26,'סקרי נכסים-יתרות פתיחה'!$2:$110,5,0),0)-IFERROR(HLOOKUP(AG26,'סקרי נכסים-יתרות פתיחה'!$2:$110,90,0),0)*(1-AG$309)</f>
        <v>0</v>
      </c>
      <c r="AH61" s="1240">
        <f>+IFERROR(HLOOKUP(AH26,'סקרי נכסים-יתרות פתיחה'!$2:$110,5,0),0)-IFERROR(HLOOKUP(AH26,'סקרי נכסים-יתרות פתיחה'!$2:$110,90,0),0)*(1-AH$309)</f>
        <v>0</v>
      </c>
      <c r="AI61" s="1240">
        <f>+IFERROR(HLOOKUP(AI26,'סקרי נכסים-יתרות פתיחה'!$2:$110,5,0),0)-IFERROR(HLOOKUP(AI26,'סקרי נכסים-יתרות פתיחה'!$2:$110,90,0),0)*(1-AI$309)</f>
        <v>0</v>
      </c>
      <c r="AJ61" s="1240">
        <f>+IFERROR(HLOOKUP(AJ26,'סקרי נכסים-יתרות פתיחה'!$2:$110,5,0),0)-IFERROR(HLOOKUP(AJ26,'סקרי נכסים-יתרות פתיחה'!$2:$110,90,0),0)*(1-AJ$309)</f>
        <v>0</v>
      </c>
      <c r="AK61" s="1240">
        <f>+IFERROR(HLOOKUP(AK26,'סקרי נכסים-יתרות פתיחה'!$2:$110,5,0),0)-IFERROR(HLOOKUP(AK26,'סקרי נכסים-יתרות פתיחה'!$2:$110,90,0),0)*(1-AK$309)</f>
        <v>0</v>
      </c>
      <c r="AL61" s="1240">
        <f>+IFERROR(HLOOKUP(AL26,'סקרי נכסים-יתרות פתיחה'!$2:$110,5,0),0)-IFERROR(HLOOKUP(AL26,'סקרי נכסים-יתרות פתיחה'!$2:$110,90,0),0)*(1-AL$309)</f>
        <v>0</v>
      </c>
      <c r="AM61" s="1240">
        <f>+IFERROR(HLOOKUP(AM26,'סקרי נכסים-יתרות פתיחה'!$2:$110,5,0),0)-IFERROR(HLOOKUP(AM26,'סקרי נכסים-יתרות פתיחה'!$2:$110,90,0),0)*(1-AM$309)</f>
        <v>0</v>
      </c>
      <c r="AN61" s="1240">
        <f>+IFERROR(HLOOKUP(AN26,'סקרי נכסים-יתרות פתיחה'!$2:$110,5,0),0)-IFERROR(HLOOKUP(AN26,'סקרי נכסים-יתרות פתיחה'!$2:$110,90,0),0)*(1-AN$309)</f>
        <v>0</v>
      </c>
      <c r="AO61" s="1240">
        <f>+IFERROR(HLOOKUP(AO26,'סקרי נכסים-יתרות פתיחה'!$2:$110,5,0),0)-IFERROR(HLOOKUP(AO26,'סקרי נכסים-יתרות פתיחה'!$2:$110,90,0),0)*(1-AO$309)</f>
        <v>0</v>
      </c>
      <c r="AP61" s="1240">
        <f>+IFERROR(HLOOKUP(AP26,'סקרי נכסים-יתרות פתיחה'!$2:$110,5,0),0)-IFERROR(HLOOKUP(AP26,'סקרי נכסים-יתרות פתיחה'!$2:$110,90,0),0)*(1-AP$309)</f>
        <v>0</v>
      </c>
      <c r="AQ61" s="1240">
        <f>+IFERROR(HLOOKUP(AQ26,'סקרי נכסים-יתרות פתיחה'!$2:$110,5,0),0)-IFERROR(HLOOKUP(AQ26,'סקרי נכסים-יתרות פתיחה'!$2:$110,90,0),0)*(1-AQ$309)</f>
        <v>0</v>
      </c>
      <c r="AR61" s="1240">
        <f>+IFERROR(HLOOKUP(AR26,'סקרי נכסים-יתרות פתיחה'!$2:$110,5,0),0)-IFERROR(HLOOKUP(AR26,'סקרי נכסים-יתרות פתיחה'!$2:$110,90,0),0)*(1-AR$309)</f>
        <v>0</v>
      </c>
      <c r="AS61" s="1240">
        <f>+IFERROR(HLOOKUP(AS26,'סקרי נכסים-יתרות פתיחה'!$2:$110,5,0),0)-IFERROR(HLOOKUP(AS26,'סקרי נכסים-יתרות פתיחה'!$2:$110,90,0),0)*(1-AS$309)</f>
        <v>0</v>
      </c>
      <c r="AT61" s="1240">
        <f>+IFERROR(HLOOKUP(AT26,'סקרי נכסים-יתרות פתיחה'!$2:$110,5,0),0)-IFERROR(HLOOKUP(AT26,'סקרי נכסים-יתרות פתיחה'!$2:$110,90,0),0)*(1-AT$309)</f>
        <v>0</v>
      </c>
      <c r="AU61" s="1240">
        <f>+IFERROR(HLOOKUP(AU26,'סקרי נכסים-יתרות פתיחה'!$2:$110,5,0),0)-IFERROR(HLOOKUP(AU26,'סקרי נכסים-יתרות פתיחה'!$2:$110,90,0),0)*(1-AU$309)</f>
        <v>0</v>
      </c>
      <c r="AV61" s="1240">
        <f>+IFERROR(HLOOKUP(AV26,'סקרי נכסים-יתרות פתיחה'!$2:$110,5,0),0)-IFERROR(HLOOKUP(AV26,'סקרי נכסים-יתרות פתיחה'!$2:$110,90,0),0)*(1-AV$309)</f>
        <v>0</v>
      </c>
      <c r="AW61" s="1240">
        <f>+IFERROR(HLOOKUP(AW26,'סקרי נכסים-יתרות פתיחה'!$2:$110,5,0),0)-IFERROR(HLOOKUP(AW26,'סקרי נכסים-יתרות פתיחה'!$2:$110,90,0),0)*(1-AW$309)</f>
        <v>0</v>
      </c>
      <c r="AX61" s="1240">
        <f>+IFERROR(HLOOKUP(AX26,'סקרי נכסים-יתרות פתיחה'!$2:$110,5,0),0)-IFERROR(HLOOKUP(AX26,'סקרי נכסים-יתרות פתיחה'!$2:$110,90,0),0)*(1-AX$309)</f>
        <v>0</v>
      </c>
      <c r="AY61" s="1240">
        <f>+IFERROR(HLOOKUP(AY26,'סקרי נכסים-יתרות פתיחה'!$2:$110,5,0),0)-IFERROR(HLOOKUP(AY26,'סקרי נכסים-יתרות פתיחה'!$2:$110,90,0),0)*(1-AY$309)</f>
        <v>0</v>
      </c>
      <c r="AZ61" s="1240">
        <f>+IFERROR(HLOOKUP(AZ26,'סקרי נכסים-יתרות פתיחה'!$2:$110,5,0),0)-IFERROR(HLOOKUP(AZ26,'סקרי נכסים-יתרות פתיחה'!$2:$110,90,0),0)*(1-AZ$309)</f>
        <v>0</v>
      </c>
      <c r="BA61" s="1240">
        <f>+IFERROR(HLOOKUP(BA26,'סקרי נכסים-יתרות פתיחה'!$2:$110,5,0),0)-IFERROR(HLOOKUP(BA26,'סקרי נכסים-יתרות פתיחה'!$2:$110,90,0),0)*(1-BA$309)</f>
        <v>0</v>
      </c>
      <c r="BB61" s="1240">
        <f>+IFERROR(HLOOKUP(BB26,'סקרי נכסים-יתרות פתיחה'!$2:$110,5,0),0)-IFERROR(HLOOKUP(BB26,'סקרי נכסים-יתרות פתיחה'!$2:$110,90,0),0)*(1-BB$309)</f>
        <v>0</v>
      </c>
      <c r="BC61" s="1240">
        <f>+IFERROR(HLOOKUP(BC26,'סקרי נכסים-יתרות פתיחה'!$2:$110,5,0),0)-IFERROR(HLOOKUP(BC26,'סקרי נכסים-יתרות פתיחה'!$2:$110,90,0),0)*(1-BC$309)</f>
        <v>0</v>
      </c>
      <c r="BD61" s="1240">
        <f>+IFERROR(HLOOKUP(BD26,'סקרי נכסים-יתרות פתיחה'!$2:$110,5,0),0)-IFERROR(HLOOKUP(BD26,'סקרי נכסים-יתרות פתיחה'!$2:$110,90,0),0)*(1-BD$309)</f>
        <v>0</v>
      </c>
      <c r="BE61" s="1240">
        <f>+IFERROR(HLOOKUP(BE26,'סקרי נכסים-יתרות פתיחה'!$2:$110,5,0),0)-IFERROR(HLOOKUP(BE26,'סקרי נכסים-יתרות פתיחה'!$2:$110,90,0),0)*(1-BE$309)</f>
        <v>0</v>
      </c>
      <c r="BF61" s="1240">
        <f>+IFERROR(HLOOKUP(BF26,'סקרי נכסים-יתרות פתיחה'!$2:$110,5,0),0)-IFERROR(HLOOKUP(BF26,'סקרי נכסים-יתרות פתיחה'!$2:$110,90,0),0)*(1-BF$309)</f>
        <v>0</v>
      </c>
    </row>
    <row r="62" spans="2:58" x14ac:dyDescent="0.2">
      <c r="B62" s="1">
        <v>24</v>
      </c>
      <c r="C62" s="1240">
        <f>+IFERROR(HLOOKUP(C27,'סקרי נכסים-יתרות פתיחה'!$2:$110,5,0),0)-IFERROR(HLOOKUP(C27,'סקרי נכסים-יתרות פתיחה'!$2:$110,90,0),0)*(1-C$309)</f>
        <v>0</v>
      </c>
      <c r="D62" s="1240">
        <f>+IFERROR(HLOOKUP(D27,'סקרי נכסים-יתרות פתיחה'!$2:$110,5,0),0)-IFERROR(HLOOKUP(D27,'סקרי נכסים-יתרות פתיחה'!$2:$110,90,0),0)*(1-D$309)</f>
        <v>0</v>
      </c>
      <c r="E62" s="1240">
        <f>+IFERROR(HLOOKUP(E27,'סקרי נכסים-יתרות פתיחה'!$2:$110,5,0),0)-IFERROR(HLOOKUP(E27,'סקרי נכסים-יתרות פתיחה'!$2:$110,90,0),0)*(1-E$309)</f>
        <v>0</v>
      </c>
      <c r="F62" s="1240">
        <f>+IFERROR(HLOOKUP(F27,'סקרי נכסים-יתרות פתיחה'!$2:$110,5,0),0)-IFERROR(HLOOKUP(F27,'סקרי נכסים-יתרות פתיחה'!$2:$110,90,0),0)*(1-F$309)</f>
        <v>0</v>
      </c>
      <c r="G62" s="1240">
        <f>+IFERROR(HLOOKUP(G27,'סקרי נכסים-יתרות פתיחה'!$2:$110,5,0),0)-IFERROR(HLOOKUP(G27,'סקרי נכסים-יתרות פתיחה'!$2:$110,90,0),0)*(1-G$309)</f>
        <v>0</v>
      </c>
      <c r="H62" s="1240">
        <f>+IFERROR(HLOOKUP(H27,'סקרי נכסים-יתרות פתיחה'!$2:$110,5,0),0)-IFERROR(HLOOKUP(H27,'סקרי נכסים-יתרות פתיחה'!$2:$110,90,0),0)*(1-H$309)</f>
        <v>0</v>
      </c>
      <c r="I62" s="1240">
        <f>+IFERROR(HLOOKUP(I27,'סקרי נכסים-יתרות פתיחה'!$2:$110,5,0),0)-IFERROR(HLOOKUP(I27,'סקרי נכסים-יתרות פתיחה'!$2:$110,90,0),0)*(1-I$309)</f>
        <v>0</v>
      </c>
      <c r="J62" s="1240">
        <f>+IFERROR(HLOOKUP(J27,'סקרי נכסים-יתרות פתיחה'!$2:$110,5,0),0)-IFERROR(HLOOKUP(J27,'סקרי נכסים-יתרות פתיחה'!$2:$110,90,0),0)*(1-J$309)</f>
        <v>0</v>
      </c>
      <c r="K62" s="1240">
        <f>+IFERROR(HLOOKUP(K27,'סקרי נכסים-יתרות פתיחה'!$2:$110,5,0),0)-IFERROR(HLOOKUP(K27,'סקרי נכסים-יתרות פתיחה'!$2:$110,90,0),0)*(1-K$309)</f>
        <v>0</v>
      </c>
      <c r="L62" s="1240">
        <f>+IFERROR(HLOOKUP(L27,'סקרי נכסים-יתרות פתיחה'!$2:$110,5,0),0)-IFERROR(HLOOKUP(L27,'סקרי נכסים-יתרות פתיחה'!$2:$110,90,0),0)*(1-L$309)</f>
        <v>0</v>
      </c>
      <c r="M62" s="1240">
        <f>+IFERROR(HLOOKUP(M27,'סקרי נכסים-יתרות פתיחה'!$2:$110,5,0),0)-IFERROR(HLOOKUP(M27,'סקרי נכסים-יתרות פתיחה'!$2:$110,90,0),0)*(1-M$309)</f>
        <v>0</v>
      </c>
      <c r="N62" s="1240">
        <f>+IFERROR(HLOOKUP(N27,'סקרי נכסים-יתרות פתיחה'!$2:$110,5,0),0)-IFERROR(HLOOKUP(N27,'סקרי נכסים-יתרות פתיחה'!$2:$110,90,0),0)*(1-N$309)</f>
        <v>0</v>
      </c>
      <c r="O62" s="1240">
        <f>+IFERROR(HLOOKUP(O27,'סקרי נכסים-יתרות פתיחה'!$2:$110,5,0),0)-IFERROR(HLOOKUP(O27,'סקרי נכסים-יתרות פתיחה'!$2:$110,90,0),0)*(1-O$309)</f>
        <v>0</v>
      </c>
      <c r="P62" s="1240">
        <f>+IFERROR(HLOOKUP(P27,'סקרי נכסים-יתרות פתיחה'!$2:$110,5,0),0)-IFERROR(HLOOKUP(P27,'סקרי נכסים-יתרות פתיחה'!$2:$110,90,0),0)*(1-P$309)</f>
        <v>0</v>
      </c>
      <c r="Q62" s="1240">
        <f>+IFERROR(HLOOKUP(Q27,'סקרי נכסים-יתרות פתיחה'!$2:$110,5,0),0)-IFERROR(HLOOKUP(Q27,'סקרי נכסים-יתרות פתיחה'!$2:$110,90,0),0)*(1-Q$309)</f>
        <v>0</v>
      </c>
      <c r="R62" s="1240">
        <f>+IFERROR(HLOOKUP(R27,'סקרי נכסים-יתרות פתיחה'!$2:$110,5,0),0)-IFERROR(HLOOKUP(R27,'סקרי נכסים-יתרות פתיחה'!$2:$110,90,0),0)*(1-R$309)</f>
        <v>0</v>
      </c>
      <c r="S62" s="1240">
        <f>+IFERROR(HLOOKUP(S27,'סקרי נכסים-יתרות פתיחה'!$2:$110,5,0),0)-IFERROR(HLOOKUP(S27,'סקרי נכסים-יתרות פתיחה'!$2:$110,90,0),0)*(1-S$309)</f>
        <v>0</v>
      </c>
      <c r="T62" s="1240">
        <f>+IFERROR(HLOOKUP(T27,'סקרי נכסים-יתרות פתיחה'!$2:$110,5,0),0)-IFERROR(HLOOKUP(T27,'סקרי נכסים-יתרות פתיחה'!$2:$110,90,0),0)*(1-T$309)</f>
        <v>0</v>
      </c>
      <c r="U62" s="1240">
        <f>+IFERROR(HLOOKUP(U27,'סקרי נכסים-יתרות פתיחה'!$2:$110,5,0),0)-IFERROR(HLOOKUP(U27,'סקרי נכסים-יתרות פתיחה'!$2:$110,90,0),0)*(1-U$309)</f>
        <v>0</v>
      </c>
      <c r="V62" s="1240">
        <f>+IFERROR(HLOOKUP(V27,'סקרי נכסים-יתרות פתיחה'!$2:$110,5,0),0)-IFERROR(HLOOKUP(V27,'סקרי נכסים-יתרות פתיחה'!$2:$110,90,0),0)*(1-V$309)</f>
        <v>0</v>
      </c>
      <c r="W62" s="1240">
        <f>+IFERROR(HLOOKUP(W27,'סקרי נכסים-יתרות פתיחה'!$2:$110,5,0),0)-IFERROR(HLOOKUP(W27,'סקרי נכסים-יתרות פתיחה'!$2:$110,90,0),0)*(1-W$309)</f>
        <v>0</v>
      </c>
      <c r="X62" s="1240">
        <f>+IFERROR(HLOOKUP(X27,'סקרי נכסים-יתרות פתיחה'!$2:$110,5,0),0)-IFERROR(HLOOKUP(X27,'סקרי נכסים-יתרות פתיחה'!$2:$110,90,0),0)*(1-X$309)</f>
        <v>0</v>
      </c>
      <c r="Y62" s="1240">
        <f>+IFERROR(HLOOKUP(Y27,'סקרי נכסים-יתרות פתיחה'!$2:$110,5,0),0)-IFERROR(HLOOKUP(Y27,'סקרי נכסים-יתרות פתיחה'!$2:$110,90,0),0)*(1-Y$309)</f>
        <v>0</v>
      </c>
      <c r="Z62" s="1240">
        <f>+IFERROR(HLOOKUP(Z27,'סקרי נכסים-יתרות פתיחה'!$2:$110,5,0),0)-IFERROR(HLOOKUP(Z27,'סקרי נכסים-יתרות פתיחה'!$2:$110,90,0),0)*(1-Z$309)</f>
        <v>0</v>
      </c>
      <c r="AA62" s="1240">
        <f>+IFERROR(HLOOKUP(AA27,'סקרי נכסים-יתרות פתיחה'!$2:$110,5,0),0)-IFERROR(HLOOKUP(AA27,'סקרי נכסים-יתרות פתיחה'!$2:$110,90,0),0)*(1-AA$309)</f>
        <v>0</v>
      </c>
      <c r="AB62" s="1240">
        <f>+IFERROR(HLOOKUP(AB27,'סקרי נכסים-יתרות פתיחה'!$2:$110,5,0),0)-IFERROR(HLOOKUP(AB27,'סקרי נכסים-יתרות פתיחה'!$2:$110,90,0),0)*(1-AB$309)</f>
        <v>0</v>
      </c>
      <c r="AC62" s="1240">
        <f>+IFERROR(HLOOKUP(AC27,'סקרי נכסים-יתרות פתיחה'!$2:$110,5,0),0)-IFERROR(HLOOKUP(AC27,'סקרי נכסים-יתרות פתיחה'!$2:$110,90,0),0)*(1-AC$309)</f>
        <v>0</v>
      </c>
      <c r="AD62" s="1240">
        <f>+IFERROR(HLOOKUP(AD27,'סקרי נכסים-יתרות פתיחה'!$2:$110,5,0),0)-IFERROR(HLOOKUP(AD27,'סקרי נכסים-יתרות פתיחה'!$2:$110,90,0),0)*(1-AD$309)</f>
        <v>0</v>
      </c>
      <c r="AE62" s="1240">
        <f>+IFERROR(HLOOKUP(AE27,'סקרי נכסים-יתרות פתיחה'!$2:$110,5,0),0)-IFERROR(HLOOKUP(AE27,'סקרי נכסים-יתרות פתיחה'!$2:$110,90,0),0)*(1-AE$309)</f>
        <v>0</v>
      </c>
      <c r="AF62" s="1240">
        <f>+IFERROR(HLOOKUP(AF27,'סקרי נכסים-יתרות פתיחה'!$2:$110,5,0),0)-IFERROR(HLOOKUP(AF27,'סקרי נכסים-יתרות פתיחה'!$2:$110,90,0),0)*(1-AF$309)</f>
        <v>0</v>
      </c>
      <c r="AG62" s="1240">
        <f>+IFERROR(HLOOKUP(AG27,'סקרי נכסים-יתרות פתיחה'!$2:$110,5,0),0)-IFERROR(HLOOKUP(AG27,'סקרי נכסים-יתרות פתיחה'!$2:$110,90,0),0)*(1-AG$309)</f>
        <v>0</v>
      </c>
      <c r="AH62" s="1240">
        <f>+IFERROR(HLOOKUP(AH27,'סקרי נכסים-יתרות פתיחה'!$2:$110,5,0),0)-IFERROR(HLOOKUP(AH27,'סקרי נכסים-יתרות פתיחה'!$2:$110,90,0),0)*(1-AH$309)</f>
        <v>0</v>
      </c>
      <c r="AI62" s="1240">
        <f>+IFERROR(HLOOKUP(AI27,'סקרי נכסים-יתרות פתיחה'!$2:$110,5,0),0)-IFERROR(HLOOKUP(AI27,'סקרי נכסים-יתרות פתיחה'!$2:$110,90,0),0)*(1-AI$309)</f>
        <v>0</v>
      </c>
      <c r="AJ62" s="1240">
        <f>+IFERROR(HLOOKUP(AJ27,'סקרי נכסים-יתרות פתיחה'!$2:$110,5,0),0)-IFERROR(HLOOKUP(AJ27,'סקרי נכסים-יתרות פתיחה'!$2:$110,90,0),0)*(1-AJ$309)</f>
        <v>0</v>
      </c>
      <c r="AK62" s="1240">
        <f>+IFERROR(HLOOKUP(AK27,'סקרי נכסים-יתרות פתיחה'!$2:$110,5,0),0)-IFERROR(HLOOKUP(AK27,'סקרי נכסים-יתרות פתיחה'!$2:$110,90,0),0)*(1-AK$309)</f>
        <v>0</v>
      </c>
      <c r="AL62" s="1240">
        <f>+IFERROR(HLOOKUP(AL27,'סקרי נכסים-יתרות פתיחה'!$2:$110,5,0),0)-IFERROR(HLOOKUP(AL27,'סקרי נכסים-יתרות פתיחה'!$2:$110,90,0),0)*(1-AL$309)</f>
        <v>0</v>
      </c>
      <c r="AM62" s="1240">
        <f>+IFERROR(HLOOKUP(AM27,'סקרי נכסים-יתרות פתיחה'!$2:$110,5,0),0)-IFERROR(HLOOKUP(AM27,'סקרי נכסים-יתרות פתיחה'!$2:$110,90,0),0)*(1-AM$309)</f>
        <v>0</v>
      </c>
      <c r="AN62" s="1240">
        <f>+IFERROR(HLOOKUP(AN27,'סקרי נכסים-יתרות פתיחה'!$2:$110,5,0),0)-IFERROR(HLOOKUP(AN27,'סקרי נכסים-יתרות פתיחה'!$2:$110,90,0),0)*(1-AN$309)</f>
        <v>0</v>
      </c>
      <c r="AO62" s="1240">
        <f>+IFERROR(HLOOKUP(AO27,'סקרי נכסים-יתרות פתיחה'!$2:$110,5,0),0)-IFERROR(HLOOKUP(AO27,'סקרי נכסים-יתרות פתיחה'!$2:$110,90,0),0)*(1-AO$309)</f>
        <v>0</v>
      </c>
      <c r="AP62" s="1240">
        <f>+IFERROR(HLOOKUP(AP27,'סקרי נכסים-יתרות פתיחה'!$2:$110,5,0),0)-IFERROR(HLOOKUP(AP27,'סקרי נכסים-יתרות פתיחה'!$2:$110,90,0),0)*(1-AP$309)</f>
        <v>0</v>
      </c>
      <c r="AQ62" s="1240">
        <f>+IFERROR(HLOOKUP(AQ27,'סקרי נכסים-יתרות פתיחה'!$2:$110,5,0),0)-IFERROR(HLOOKUP(AQ27,'סקרי נכסים-יתרות פתיחה'!$2:$110,90,0),0)*(1-AQ$309)</f>
        <v>0</v>
      </c>
      <c r="AR62" s="1240">
        <f>+IFERROR(HLOOKUP(AR27,'סקרי נכסים-יתרות פתיחה'!$2:$110,5,0),0)-IFERROR(HLOOKUP(AR27,'סקרי נכסים-יתרות פתיחה'!$2:$110,90,0),0)*(1-AR$309)</f>
        <v>0</v>
      </c>
      <c r="AS62" s="1240">
        <f>+IFERROR(HLOOKUP(AS27,'סקרי נכסים-יתרות פתיחה'!$2:$110,5,0),0)-IFERROR(HLOOKUP(AS27,'סקרי נכסים-יתרות פתיחה'!$2:$110,90,0),0)*(1-AS$309)</f>
        <v>0</v>
      </c>
      <c r="AT62" s="1240">
        <f>+IFERROR(HLOOKUP(AT27,'סקרי נכסים-יתרות פתיחה'!$2:$110,5,0),0)-IFERROR(HLOOKUP(AT27,'סקרי נכסים-יתרות פתיחה'!$2:$110,90,0),0)*(1-AT$309)</f>
        <v>0</v>
      </c>
      <c r="AU62" s="1240">
        <f>+IFERROR(HLOOKUP(AU27,'סקרי נכסים-יתרות פתיחה'!$2:$110,5,0),0)-IFERROR(HLOOKUP(AU27,'סקרי נכסים-יתרות פתיחה'!$2:$110,90,0),0)*(1-AU$309)</f>
        <v>0</v>
      </c>
      <c r="AV62" s="1240">
        <f>+IFERROR(HLOOKUP(AV27,'סקרי נכסים-יתרות פתיחה'!$2:$110,5,0),0)-IFERROR(HLOOKUP(AV27,'סקרי נכסים-יתרות פתיחה'!$2:$110,90,0),0)*(1-AV$309)</f>
        <v>0</v>
      </c>
      <c r="AW62" s="1240">
        <f>+IFERROR(HLOOKUP(AW27,'סקרי נכסים-יתרות פתיחה'!$2:$110,5,0),0)-IFERROR(HLOOKUP(AW27,'סקרי נכסים-יתרות פתיחה'!$2:$110,90,0),0)*(1-AW$309)</f>
        <v>0</v>
      </c>
      <c r="AX62" s="1240">
        <f>+IFERROR(HLOOKUP(AX27,'סקרי נכסים-יתרות פתיחה'!$2:$110,5,0),0)-IFERROR(HLOOKUP(AX27,'סקרי נכסים-יתרות פתיחה'!$2:$110,90,0),0)*(1-AX$309)</f>
        <v>0</v>
      </c>
      <c r="AY62" s="1240">
        <f>+IFERROR(HLOOKUP(AY27,'סקרי נכסים-יתרות פתיחה'!$2:$110,5,0),0)-IFERROR(HLOOKUP(AY27,'סקרי נכסים-יתרות פתיחה'!$2:$110,90,0),0)*(1-AY$309)</f>
        <v>0</v>
      </c>
      <c r="AZ62" s="1240">
        <f>+IFERROR(HLOOKUP(AZ27,'סקרי נכסים-יתרות פתיחה'!$2:$110,5,0),0)-IFERROR(HLOOKUP(AZ27,'סקרי נכסים-יתרות פתיחה'!$2:$110,90,0),0)*(1-AZ$309)</f>
        <v>0</v>
      </c>
      <c r="BA62" s="1240">
        <f>+IFERROR(HLOOKUP(BA27,'סקרי נכסים-יתרות פתיחה'!$2:$110,5,0),0)-IFERROR(HLOOKUP(BA27,'סקרי נכסים-יתרות פתיחה'!$2:$110,90,0),0)*(1-BA$309)</f>
        <v>0</v>
      </c>
      <c r="BB62" s="1240">
        <f>+IFERROR(HLOOKUP(BB27,'סקרי נכסים-יתרות פתיחה'!$2:$110,5,0),0)-IFERROR(HLOOKUP(BB27,'סקרי נכסים-יתרות פתיחה'!$2:$110,90,0),0)*(1-BB$309)</f>
        <v>0</v>
      </c>
      <c r="BC62" s="1240">
        <f>+IFERROR(HLOOKUP(BC27,'סקרי נכסים-יתרות פתיחה'!$2:$110,5,0),0)-IFERROR(HLOOKUP(BC27,'סקרי נכסים-יתרות פתיחה'!$2:$110,90,0),0)*(1-BC$309)</f>
        <v>0</v>
      </c>
      <c r="BD62" s="1240">
        <f>+IFERROR(HLOOKUP(BD27,'סקרי נכסים-יתרות פתיחה'!$2:$110,5,0),0)-IFERROR(HLOOKUP(BD27,'סקרי נכסים-יתרות פתיחה'!$2:$110,90,0),0)*(1-BD$309)</f>
        <v>0</v>
      </c>
      <c r="BE62" s="1240">
        <f>+IFERROR(HLOOKUP(BE27,'סקרי נכסים-יתרות פתיחה'!$2:$110,5,0),0)-IFERROR(HLOOKUP(BE27,'סקרי נכסים-יתרות פתיחה'!$2:$110,90,0),0)*(1-BE$309)</f>
        <v>0</v>
      </c>
      <c r="BF62" s="1240">
        <f>+IFERROR(HLOOKUP(BF27,'סקרי נכסים-יתרות פתיחה'!$2:$110,5,0),0)-IFERROR(HLOOKUP(BF27,'סקרי נכסים-יתרות פתיחה'!$2:$110,90,0),0)*(1-BF$309)</f>
        <v>0</v>
      </c>
    </row>
    <row r="63" spans="2:58" x14ac:dyDescent="0.2">
      <c r="B63" s="1">
        <v>25</v>
      </c>
      <c r="C63" s="1240">
        <f>+IFERROR(HLOOKUP(C28,'סקרי נכסים-יתרות פתיחה'!$2:$110,5,0),0)-IFERROR(HLOOKUP(C28,'סקרי נכסים-יתרות פתיחה'!$2:$110,90,0),0)*(1-C$309)</f>
        <v>0</v>
      </c>
      <c r="D63" s="1240">
        <f>+IFERROR(HLOOKUP(D28,'סקרי נכסים-יתרות פתיחה'!$2:$110,5,0),0)-IFERROR(HLOOKUP(D28,'סקרי נכסים-יתרות פתיחה'!$2:$110,90,0),0)*(1-D$309)</f>
        <v>0</v>
      </c>
      <c r="E63" s="1240">
        <f>+IFERROR(HLOOKUP(E28,'סקרי נכסים-יתרות פתיחה'!$2:$110,5,0),0)-IFERROR(HLOOKUP(E28,'סקרי נכסים-יתרות פתיחה'!$2:$110,90,0),0)*(1-E$309)</f>
        <v>0</v>
      </c>
      <c r="F63" s="1240">
        <f>+IFERROR(HLOOKUP(F28,'סקרי נכסים-יתרות פתיחה'!$2:$110,5,0),0)-IFERROR(HLOOKUP(F28,'סקרי נכסים-יתרות פתיחה'!$2:$110,90,0),0)*(1-F$309)</f>
        <v>0</v>
      </c>
      <c r="G63" s="1240">
        <f>+IFERROR(HLOOKUP(G28,'סקרי נכסים-יתרות פתיחה'!$2:$110,5,0),0)-IFERROR(HLOOKUP(G28,'סקרי נכסים-יתרות פתיחה'!$2:$110,90,0),0)*(1-G$309)</f>
        <v>0</v>
      </c>
      <c r="H63" s="1240">
        <f>+IFERROR(HLOOKUP(H28,'סקרי נכסים-יתרות פתיחה'!$2:$110,5,0),0)-IFERROR(HLOOKUP(H28,'סקרי נכסים-יתרות פתיחה'!$2:$110,90,0),0)*(1-H$309)</f>
        <v>0</v>
      </c>
      <c r="I63" s="1240">
        <f>+IFERROR(HLOOKUP(I28,'סקרי נכסים-יתרות פתיחה'!$2:$110,5,0),0)-IFERROR(HLOOKUP(I28,'סקרי נכסים-יתרות פתיחה'!$2:$110,90,0),0)*(1-I$309)</f>
        <v>0</v>
      </c>
      <c r="J63" s="1240">
        <f>+IFERROR(HLOOKUP(J28,'סקרי נכסים-יתרות פתיחה'!$2:$110,5,0),0)-IFERROR(HLOOKUP(J28,'סקרי נכסים-יתרות פתיחה'!$2:$110,90,0),0)*(1-J$309)</f>
        <v>0</v>
      </c>
      <c r="K63" s="1240">
        <f>+IFERROR(HLOOKUP(K28,'סקרי נכסים-יתרות פתיחה'!$2:$110,5,0),0)-IFERROR(HLOOKUP(K28,'סקרי נכסים-יתרות פתיחה'!$2:$110,90,0),0)*(1-K$309)</f>
        <v>0</v>
      </c>
      <c r="L63" s="1240">
        <f>+IFERROR(HLOOKUP(L28,'סקרי נכסים-יתרות פתיחה'!$2:$110,5,0),0)-IFERROR(HLOOKUP(L28,'סקרי נכסים-יתרות פתיחה'!$2:$110,90,0),0)*(1-L$309)</f>
        <v>0</v>
      </c>
      <c r="M63" s="1240">
        <f>+IFERROR(HLOOKUP(M28,'סקרי נכסים-יתרות פתיחה'!$2:$110,5,0),0)-IFERROR(HLOOKUP(M28,'סקרי נכסים-יתרות פתיחה'!$2:$110,90,0),0)*(1-M$309)</f>
        <v>0</v>
      </c>
      <c r="N63" s="1240">
        <f>+IFERROR(HLOOKUP(N28,'סקרי נכסים-יתרות פתיחה'!$2:$110,5,0),0)-IFERROR(HLOOKUP(N28,'סקרי נכסים-יתרות פתיחה'!$2:$110,90,0),0)*(1-N$309)</f>
        <v>0</v>
      </c>
      <c r="O63" s="1240">
        <f>+IFERROR(HLOOKUP(O28,'סקרי נכסים-יתרות פתיחה'!$2:$110,5,0),0)-IFERROR(HLOOKUP(O28,'סקרי נכסים-יתרות פתיחה'!$2:$110,90,0),0)*(1-O$309)</f>
        <v>0</v>
      </c>
      <c r="P63" s="1240">
        <f>+IFERROR(HLOOKUP(P28,'סקרי נכסים-יתרות פתיחה'!$2:$110,5,0),0)-IFERROR(HLOOKUP(P28,'סקרי נכסים-יתרות פתיחה'!$2:$110,90,0),0)*(1-P$309)</f>
        <v>0</v>
      </c>
      <c r="Q63" s="1240">
        <f>+IFERROR(HLOOKUP(Q28,'סקרי נכסים-יתרות פתיחה'!$2:$110,5,0),0)-IFERROR(HLOOKUP(Q28,'סקרי נכסים-יתרות פתיחה'!$2:$110,90,0),0)*(1-Q$309)</f>
        <v>0</v>
      </c>
      <c r="R63" s="1240">
        <f>+IFERROR(HLOOKUP(R28,'סקרי נכסים-יתרות פתיחה'!$2:$110,5,0),0)-IFERROR(HLOOKUP(R28,'סקרי נכסים-יתרות פתיחה'!$2:$110,90,0),0)*(1-R$309)</f>
        <v>0</v>
      </c>
      <c r="S63" s="1240">
        <f>+IFERROR(HLOOKUP(S28,'סקרי נכסים-יתרות פתיחה'!$2:$110,5,0),0)-IFERROR(HLOOKUP(S28,'סקרי נכסים-יתרות פתיחה'!$2:$110,90,0),0)*(1-S$309)</f>
        <v>0</v>
      </c>
      <c r="T63" s="1240">
        <f>+IFERROR(HLOOKUP(T28,'סקרי נכסים-יתרות פתיחה'!$2:$110,5,0),0)-IFERROR(HLOOKUP(T28,'סקרי נכסים-יתרות פתיחה'!$2:$110,90,0),0)*(1-T$309)</f>
        <v>0</v>
      </c>
      <c r="U63" s="1240">
        <f>+IFERROR(HLOOKUP(U28,'סקרי נכסים-יתרות פתיחה'!$2:$110,5,0),0)-IFERROR(HLOOKUP(U28,'סקרי נכסים-יתרות פתיחה'!$2:$110,90,0),0)*(1-U$309)</f>
        <v>0</v>
      </c>
      <c r="V63" s="1240">
        <f>+IFERROR(HLOOKUP(V28,'סקרי נכסים-יתרות פתיחה'!$2:$110,5,0),0)-IFERROR(HLOOKUP(V28,'סקרי נכסים-יתרות פתיחה'!$2:$110,90,0),0)*(1-V$309)</f>
        <v>0</v>
      </c>
      <c r="W63" s="1240">
        <f>+IFERROR(HLOOKUP(W28,'סקרי נכסים-יתרות פתיחה'!$2:$110,5,0),0)-IFERROR(HLOOKUP(W28,'סקרי נכסים-יתרות פתיחה'!$2:$110,90,0),0)*(1-W$309)</f>
        <v>0</v>
      </c>
      <c r="X63" s="1240">
        <f>+IFERROR(HLOOKUP(X28,'סקרי נכסים-יתרות פתיחה'!$2:$110,5,0),0)-IFERROR(HLOOKUP(X28,'סקרי נכסים-יתרות פתיחה'!$2:$110,90,0),0)*(1-X$309)</f>
        <v>0</v>
      </c>
      <c r="Y63" s="1240">
        <f>+IFERROR(HLOOKUP(Y28,'סקרי נכסים-יתרות פתיחה'!$2:$110,5,0),0)-IFERROR(HLOOKUP(Y28,'סקרי נכסים-יתרות פתיחה'!$2:$110,90,0),0)*(1-Y$309)</f>
        <v>0</v>
      </c>
      <c r="Z63" s="1240">
        <f>+IFERROR(HLOOKUP(Z28,'סקרי נכסים-יתרות פתיחה'!$2:$110,5,0),0)-IFERROR(HLOOKUP(Z28,'סקרי נכסים-יתרות פתיחה'!$2:$110,90,0),0)*(1-Z$309)</f>
        <v>0</v>
      </c>
      <c r="AA63" s="1240">
        <f>+IFERROR(HLOOKUP(AA28,'סקרי נכסים-יתרות פתיחה'!$2:$110,5,0),0)-IFERROR(HLOOKUP(AA28,'סקרי נכסים-יתרות פתיחה'!$2:$110,90,0),0)*(1-AA$309)</f>
        <v>0</v>
      </c>
      <c r="AB63" s="1240">
        <f>+IFERROR(HLOOKUP(AB28,'סקרי נכסים-יתרות פתיחה'!$2:$110,5,0),0)-IFERROR(HLOOKUP(AB28,'סקרי נכסים-יתרות פתיחה'!$2:$110,90,0),0)*(1-AB$309)</f>
        <v>0</v>
      </c>
      <c r="AC63" s="1240">
        <f>+IFERROR(HLOOKUP(AC28,'סקרי נכסים-יתרות פתיחה'!$2:$110,5,0),0)-IFERROR(HLOOKUP(AC28,'סקרי נכסים-יתרות פתיחה'!$2:$110,90,0),0)*(1-AC$309)</f>
        <v>0</v>
      </c>
      <c r="AD63" s="1240">
        <f>+IFERROR(HLOOKUP(AD28,'סקרי נכסים-יתרות פתיחה'!$2:$110,5,0),0)-IFERROR(HLOOKUP(AD28,'סקרי נכסים-יתרות פתיחה'!$2:$110,90,0),0)*(1-AD$309)</f>
        <v>0</v>
      </c>
      <c r="AE63" s="1240">
        <f>+IFERROR(HLOOKUP(AE28,'סקרי נכסים-יתרות פתיחה'!$2:$110,5,0),0)-IFERROR(HLOOKUP(AE28,'סקרי נכסים-יתרות פתיחה'!$2:$110,90,0),0)*(1-AE$309)</f>
        <v>0</v>
      </c>
      <c r="AF63" s="1240">
        <f>+IFERROR(HLOOKUP(AF28,'סקרי נכסים-יתרות פתיחה'!$2:$110,5,0),0)-IFERROR(HLOOKUP(AF28,'סקרי נכסים-יתרות פתיחה'!$2:$110,90,0),0)*(1-AF$309)</f>
        <v>0</v>
      </c>
      <c r="AG63" s="1240">
        <f>+IFERROR(HLOOKUP(AG28,'סקרי נכסים-יתרות פתיחה'!$2:$110,5,0),0)-IFERROR(HLOOKUP(AG28,'סקרי נכסים-יתרות פתיחה'!$2:$110,90,0),0)*(1-AG$309)</f>
        <v>0</v>
      </c>
      <c r="AH63" s="1240">
        <f>+IFERROR(HLOOKUP(AH28,'סקרי נכסים-יתרות פתיחה'!$2:$110,5,0),0)-IFERROR(HLOOKUP(AH28,'סקרי נכסים-יתרות פתיחה'!$2:$110,90,0),0)*(1-AH$309)</f>
        <v>0</v>
      </c>
      <c r="AI63" s="1240">
        <f>+IFERROR(HLOOKUP(AI28,'סקרי נכסים-יתרות פתיחה'!$2:$110,5,0),0)-IFERROR(HLOOKUP(AI28,'סקרי נכסים-יתרות פתיחה'!$2:$110,90,0),0)*(1-AI$309)</f>
        <v>0</v>
      </c>
      <c r="AJ63" s="1240">
        <f>+IFERROR(HLOOKUP(AJ28,'סקרי נכסים-יתרות פתיחה'!$2:$110,5,0),0)-IFERROR(HLOOKUP(AJ28,'סקרי נכסים-יתרות פתיחה'!$2:$110,90,0),0)*(1-AJ$309)</f>
        <v>0</v>
      </c>
      <c r="AK63" s="1240">
        <f>+IFERROR(HLOOKUP(AK28,'סקרי נכסים-יתרות פתיחה'!$2:$110,5,0),0)-IFERROR(HLOOKUP(AK28,'סקרי נכסים-יתרות פתיחה'!$2:$110,90,0),0)*(1-AK$309)</f>
        <v>0</v>
      </c>
      <c r="AL63" s="1240">
        <f>+IFERROR(HLOOKUP(AL28,'סקרי נכסים-יתרות פתיחה'!$2:$110,5,0),0)-IFERROR(HLOOKUP(AL28,'סקרי נכסים-יתרות פתיחה'!$2:$110,90,0),0)*(1-AL$309)</f>
        <v>0</v>
      </c>
      <c r="AM63" s="1240">
        <f>+IFERROR(HLOOKUP(AM28,'סקרי נכסים-יתרות פתיחה'!$2:$110,5,0),0)-IFERROR(HLOOKUP(AM28,'סקרי נכסים-יתרות פתיחה'!$2:$110,90,0),0)*(1-AM$309)</f>
        <v>0</v>
      </c>
      <c r="AN63" s="1240">
        <f>+IFERROR(HLOOKUP(AN28,'סקרי נכסים-יתרות פתיחה'!$2:$110,5,0),0)-IFERROR(HLOOKUP(AN28,'סקרי נכסים-יתרות פתיחה'!$2:$110,90,0),0)*(1-AN$309)</f>
        <v>0</v>
      </c>
      <c r="AO63" s="1240">
        <f>+IFERROR(HLOOKUP(AO28,'סקרי נכסים-יתרות פתיחה'!$2:$110,5,0),0)-IFERROR(HLOOKUP(AO28,'סקרי נכסים-יתרות פתיחה'!$2:$110,90,0),0)*(1-AO$309)</f>
        <v>0</v>
      </c>
      <c r="AP63" s="1240">
        <f>+IFERROR(HLOOKUP(AP28,'סקרי נכסים-יתרות פתיחה'!$2:$110,5,0),0)-IFERROR(HLOOKUP(AP28,'סקרי נכסים-יתרות פתיחה'!$2:$110,90,0),0)*(1-AP$309)</f>
        <v>0</v>
      </c>
      <c r="AQ63" s="1240">
        <f>+IFERROR(HLOOKUP(AQ28,'סקרי נכסים-יתרות פתיחה'!$2:$110,5,0),0)-IFERROR(HLOOKUP(AQ28,'סקרי נכסים-יתרות פתיחה'!$2:$110,90,0),0)*(1-AQ$309)</f>
        <v>0</v>
      </c>
      <c r="AR63" s="1240">
        <f>+IFERROR(HLOOKUP(AR28,'סקרי נכסים-יתרות פתיחה'!$2:$110,5,0),0)-IFERROR(HLOOKUP(AR28,'סקרי נכסים-יתרות פתיחה'!$2:$110,90,0),0)*(1-AR$309)</f>
        <v>0</v>
      </c>
      <c r="AS63" s="1240">
        <f>+IFERROR(HLOOKUP(AS28,'סקרי נכסים-יתרות פתיחה'!$2:$110,5,0),0)-IFERROR(HLOOKUP(AS28,'סקרי נכסים-יתרות פתיחה'!$2:$110,90,0),0)*(1-AS$309)</f>
        <v>0</v>
      </c>
      <c r="AT63" s="1240">
        <f>+IFERROR(HLOOKUP(AT28,'סקרי נכסים-יתרות פתיחה'!$2:$110,5,0),0)-IFERROR(HLOOKUP(AT28,'סקרי נכסים-יתרות פתיחה'!$2:$110,90,0),0)*(1-AT$309)</f>
        <v>0</v>
      </c>
      <c r="AU63" s="1240">
        <f>+IFERROR(HLOOKUP(AU28,'סקרי נכסים-יתרות פתיחה'!$2:$110,5,0),0)-IFERROR(HLOOKUP(AU28,'סקרי נכסים-יתרות פתיחה'!$2:$110,90,0),0)*(1-AU$309)</f>
        <v>0</v>
      </c>
      <c r="AV63" s="1240">
        <f>+IFERROR(HLOOKUP(AV28,'סקרי נכסים-יתרות פתיחה'!$2:$110,5,0),0)-IFERROR(HLOOKUP(AV28,'סקרי נכסים-יתרות פתיחה'!$2:$110,90,0),0)*(1-AV$309)</f>
        <v>0</v>
      </c>
      <c r="AW63" s="1240">
        <f>+IFERROR(HLOOKUP(AW28,'סקרי נכסים-יתרות פתיחה'!$2:$110,5,0),0)-IFERROR(HLOOKUP(AW28,'סקרי נכסים-יתרות פתיחה'!$2:$110,90,0),0)*(1-AW$309)</f>
        <v>0</v>
      </c>
      <c r="AX63" s="1240">
        <f>+IFERROR(HLOOKUP(AX28,'סקרי נכסים-יתרות פתיחה'!$2:$110,5,0),0)-IFERROR(HLOOKUP(AX28,'סקרי נכסים-יתרות פתיחה'!$2:$110,90,0),0)*(1-AX$309)</f>
        <v>0</v>
      </c>
      <c r="AY63" s="1240">
        <f>+IFERROR(HLOOKUP(AY28,'סקרי נכסים-יתרות פתיחה'!$2:$110,5,0),0)-IFERROR(HLOOKUP(AY28,'סקרי נכסים-יתרות פתיחה'!$2:$110,90,0),0)*(1-AY$309)</f>
        <v>0</v>
      </c>
      <c r="AZ63" s="1240">
        <f>+IFERROR(HLOOKUP(AZ28,'סקרי נכסים-יתרות פתיחה'!$2:$110,5,0),0)-IFERROR(HLOOKUP(AZ28,'סקרי נכסים-יתרות פתיחה'!$2:$110,90,0),0)*(1-AZ$309)</f>
        <v>0</v>
      </c>
      <c r="BA63" s="1240">
        <f>+IFERROR(HLOOKUP(BA28,'סקרי נכסים-יתרות פתיחה'!$2:$110,5,0),0)-IFERROR(HLOOKUP(BA28,'סקרי נכסים-יתרות פתיחה'!$2:$110,90,0),0)*(1-BA$309)</f>
        <v>0</v>
      </c>
      <c r="BB63" s="1240">
        <f>+IFERROR(HLOOKUP(BB28,'סקרי נכסים-יתרות פתיחה'!$2:$110,5,0),0)-IFERROR(HLOOKUP(BB28,'סקרי נכסים-יתרות פתיחה'!$2:$110,90,0),0)*(1-BB$309)</f>
        <v>0</v>
      </c>
      <c r="BC63" s="1240">
        <f>+IFERROR(HLOOKUP(BC28,'סקרי נכסים-יתרות פתיחה'!$2:$110,5,0),0)-IFERROR(HLOOKUP(BC28,'סקרי נכסים-יתרות פתיחה'!$2:$110,90,0),0)*(1-BC$309)</f>
        <v>0</v>
      </c>
      <c r="BD63" s="1240">
        <f>+IFERROR(HLOOKUP(BD28,'סקרי נכסים-יתרות פתיחה'!$2:$110,5,0),0)-IFERROR(HLOOKUP(BD28,'סקרי נכסים-יתרות פתיחה'!$2:$110,90,0),0)*(1-BD$309)</f>
        <v>0</v>
      </c>
      <c r="BE63" s="1240">
        <f>+IFERROR(HLOOKUP(BE28,'סקרי נכסים-יתרות פתיחה'!$2:$110,5,0),0)-IFERROR(HLOOKUP(BE28,'סקרי נכסים-יתרות פתיחה'!$2:$110,90,0),0)*(1-BE$309)</f>
        <v>0</v>
      </c>
      <c r="BF63" s="1240">
        <f>+IFERROR(HLOOKUP(BF28,'סקרי נכסים-יתרות פתיחה'!$2:$110,5,0),0)-IFERROR(HLOOKUP(BF28,'סקרי נכסים-יתרות פתיחה'!$2:$110,90,0),0)*(1-BF$309)</f>
        <v>0</v>
      </c>
    </row>
    <row r="64" spans="2:58" x14ac:dyDescent="0.2">
      <c r="B64" s="1">
        <v>26</v>
      </c>
      <c r="C64" s="1240">
        <f>+IFERROR(HLOOKUP(C29,'סקרי נכסים-יתרות פתיחה'!$2:$110,5,0),0)-IFERROR(HLOOKUP(C29,'סקרי נכסים-יתרות פתיחה'!$2:$110,90,0),0)*(1-C$309)</f>
        <v>0</v>
      </c>
      <c r="D64" s="1240">
        <f>+IFERROR(HLOOKUP(D29,'סקרי נכסים-יתרות פתיחה'!$2:$110,5,0),0)-IFERROR(HLOOKUP(D29,'סקרי נכסים-יתרות פתיחה'!$2:$110,90,0),0)*(1-D$309)</f>
        <v>0</v>
      </c>
      <c r="E64" s="1240">
        <f>+IFERROR(HLOOKUP(E29,'סקרי נכסים-יתרות פתיחה'!$2:$110,5,0),0)-IFERROR(HLOOKUP(E29,'סקרי נכסים-יתרות פתיחה'!$2:$110,90,0),0)*(1-E$309)</f>
        <v>0</v>
      </c>
      <c r="F64" s="1240">
        <f>+IFERROR(HLOOKUP(F29,'סקרי נכסים-יתרות פתיחה'!$2:$110,5,0),0)-IFERROR(HLOOKUP(F29,'סקרי נכסים-יתרות פתיחה'!$2:$110,90,0),0)*(1-F$309)</f>
        <v>0</v>
      </c>
      <c r="G64" s="1240">
        <f>+IFERROR(HLOOKUP(G29,'סקרי נכסים-יתרות פתיחה'!$2:$110,5,0),0)-IFERROR(HLOOKUP(G29,'סקרי נכסים-יתרות פתיחה'!$2:$110,90,0),0)*(1-G$309)</f>
        <v>0</v>
      </c>
      <c r="H64" s="1240">
        <f>+IFERROR(HLOOKUP(H29,'סקרי נכסים-יתרות פתיחה'!$2:$110,5,0),0)-IFERROR(HLOOKUP(H29,'סקרי נכסים-יתרות פתיחה'!$2:$110,90,0),0)*(1-H$309)</f>
        <v>0</v>
      </c>
      <c r="I64" s="1240">
        <f>+IFERROR(HLOOKUP(I29,'סקרי נכסים-יתרות פתיחה'!$2:$110,5,0),0)-IFERROR(HLOOKUP(I29,'סקרי נכסים-יתרות פתיחה'!$2:$110,90,0),0)*(1-I$309)</f>
        <v>0</v>
      </c>
      <c r="J64" s="1240">
        <f>+IFERROR(HLOOKUP(J29,'סקרי נכסים-יתרות פתיחה'!$2:$110,5,0),0)-IFERROR(HLOOKUP(J29,'סקרי נכסים-יתרות פתיחה'!$2:$110,90,0),0)*(1-J$309)</f>
        <v>0</v>
      </c>
      <c r="K64" s="1240">
        <f>+IFERROR(HLOOKUP(K29,'סקרי נכסים-יתרות פתיחה'!$2:$110,5,0),0)-IFERROR(HLOOKUP(K29,'סקרי נכסים-יתרות פתיחה'!$2:$110,90,0),0)*(1-K$309)</f>
        <v>0</v>
      </c>
      <c r="L64" s="1240">
        <f>+IFERROR(HLOOKUP(L29,'סקרי נכסים-יתרות פתיחה'!$2:$110,5,0),0)-IFERROR(HLOOKUP(L29,'סקרי נכסים-יתרות פתיחה'!$2:$110,90,0),0)*(1-L$309)</f>
        <v>0</v>
      </c>
      <c r="M64" s="1240">
        <f>+IFERROR(HLOOKUP(M29,'סקרי נכסים-יתרות פתיחה'!$2:$110,5,0),0)-IFERROR(HLOOKUP(M29,'סקרי נכסים-יתרות פתיחה'!$2:$110,90,0),0)*(1-M$309)</f>
        <v>0</v>
      </c>
      <c r="N64" s="1240">
        <f>+IFERROR(HLOOKUP(N29,'סקרי נכסים-יתרות פתיחה'!$2:$110,5,0),0)-IFERROR(HLOOKUP(N29,'סקרי נכסים-יתרות פתיחה'!$2:$110,90,0),0)*(1-N$309)</f>
        <v>0</v>
      </c>
      <c r="O64" s="1240">
        <f>+IFERROR(HLOOKUP(O29,'סקרי נכסים-יתרות פתיחה'!$2:$110,5,0),0)-IFERROR(HLOOKUP(O29,'סקרי נכסים-יתרות פתיחה'!$2:$110,90,0),0)*(1-O$309)</f>
        <v>0</v>
      </c>
      <c r="P64" s="1240">
        <f>+IFERROR(HLOOKUP(P29,'סקרי נכסים-יתרות פתיחה'!$2:$110,5,0),0)-IFERROR(HLOOKUP(P29,'סקרי נכסים-יתרות פתיחה'!$2:$110,90,0),0)*(1-P$309)</f>
        <v>0</v>
      </c>
      <c r="Q64" s="1240">
        <f>+IFERROR(HLOOKUP(Q29,'סקרי נכסים-יתרות פתיחה'!$2:$110,5,0),0)-IFERROR(HLOOKUP(Q29,'סקרי נכסים-יתרות פתיחה'!$2:$110,90,0),0)*(1-Q$309)</f>
        <v>0</v>
      </c>
      <c r="R64" s="1240">
        <f>+IFERROR(HLOOKUP(R29,'סקרי נכסים-יתרות פתיחה'!$2:$110,5,0),0)-IFERROR(HLOOKUP(R29,'סקרי נכסים-יתרות פתיחה'!$2:$110,90,0),0)*(1-R$309)</f>
        <v>0</v>
      </c>
      <c r="S64" s="1240">
        <f>+IFERROR(HLOOKUP(S29,'סקרי נכסים-יתרות פתיחה'!$2:$110,5,0),0)-IFERROR(HLOOKUP(S29,'סקרי נכסים-יתרות פתיחה'!$2:$110,90,0),0)*(1-S$309)</f>
        <v>0</v>
      </c>
      <c r="T64" s="1240">
        <f>+IFERROR(HLOOKUP(T29,'סקרי נכסים-יתרות פתיחה'!$2:$110,5,0),0)-IFERROR(HLOOKUP(T29,'סקרי נכסים-יתרות פתיחה'!$2:$110,90,0),0)*(1-T$309)</f>
        <v>0</v>
      </c>
      <c r="U64" s="1240">
        <f>+IFERROR(HLOOKUP(U29,'סקרי נכסים-יתרות פתיחה'!$2:$110,5,0),0)-IFERROR(HLOOKUP(U29,'סקרי נכסים-יתרות פתיחה'!$2:$110,90,0),0)*(1-U$309)</f>
        <v>0</v>
      </c>
      <c r="V64" s="1240">
        <f>+IFERROR(HLOOKUP(V29,'סקרי נכסים-יתרות פתיחה'!$2:$110,5,0),0)-IFERROR(HLOOKUP(V29,'סקרי נכסים-יתרות פתיחה'!$2:$110,90,0),0)*(1-V$309)</f>
        <v>0</v>
      </c>
      <c r="W64" s="1240">
        <f>+IFERROR(HLOOKUP(W29,'סקרי נכסים-יתרות פתיחה'!$2:$110,5,0),0)-IFERROR(HLOOKUP(W29,'סקרי נכסים-יתרות פתיחה'!$2:$110,90,0),0)*(1-W$309)</f>
        <v>0</v>
      </c>
      <c r="X64" s="1240">
        <f>+IFERROR(HLOOKUP(X29,'סקרי נכסים-יתרות פתיחה'!$2:$110,5,0),0)-IFERROR(HLOOKUP(X29,'סקרי נכסים-יתרות פתיחה'!$2:$110,90,0),0)*(1-X$309)</f>
        <v>0</v>
      </c>
      <c r="Y64" s="1240">
        <f>+IFERROR(HLOOKUP(Y29,'סקרי נכסים-יתרות פתיחה'!$2:$110,5,0),0)-IFERROR(HLOOKUP(Y29,'סקרי נכסים-יתרות פתיחה'!$2:$110,90,0),0)*(1-Y$309)</f>
        <v>0</v>
      </c>
      <c r="Z64" s="1240">
        <f>+IFERROR(HLOOKUP(Z29,'סקרי נכסים-יתרות פתיחה'!$2:$110,5,0),0)-IFERROR(HLOOKUP(Z29,'סקרי נכסים-יתרות פתיחה'!$2:$110,90,0),0)*(1-Z$309)</f>
        <v>0</v>
      </c>
      <c r="AA64" s="1240">
        <f>+IFERROR(HLOOKUP(AA29,'סקרי נכסים-יתרות פתיחה'!$2:$110,5,0),0)-IFERROR(HLOOKUP(AA29,'סקרי נכסים-יתרות פתיחה'!$2:$110,90,0),0)*(1-AA$309)</f>
        <v>0</v>
      </c>
      <c r="AB64" s="1240">
        <f>+IFERROR(HLOOKUP(AB29,'סקרי נכסים-יתרות פתיחה'!$2:$110,5,0),0)-IFERROR(HLOOKUP(AB29,'סקרי נכסים-יתרות פתיחה'!$2:$110,90,0),0)*(1-AB$309)</f>
        <v>0</v>
      </c>
      <c r="AC64" s="1240">
        <f>+IFERROR(HLOOKUP(AC29,'סקרי נכסים-יתרות פתיחה'!$2:$110,5,0),0)-IFERROR(HLOOKUP(AC29,'סקרי נכסים-יתרות פתיחה'!$2:$110,90,0),0)*(1-AC$309)</f>
        <v>0</v>
      </c>
      <c r="AD64" s="1240">
        <f>+IFERROR(HLOOKUP(AD29,'סקרי נכסים-יתרות פתיחה'!$2:$110,5,0),0)-IFERROR(HLOOKUP(AD29,'סקרי נכסים-יתרות פתיחה'!$2:$110,90,0),0)*(1-AD$309)</f>
        <v>0</v>
      </c>
      <c r="AE64" s="1240">
        <f>+IFERROR(HLOOKUP(AE29,'סקרי נכסים-יתרות פתיחה'!$2:$110,5,0),0)-IFERROR(HLOOKUP(AE29,'סקרי נכסים-יתרות פתיחה'!$2:$110,90,0),0)*(1-AE$309)</f>
        <v>0</v>
      </c>
      <c r="AF64" s="1240">
        <f>+IFERROR(HLOOKUP(AF29,'סקרי נכסים-יתרות פתיחה'!$2:$110,5,0),0)-IFERROR(HLOOKUP(AF29,'סקרי נכסים-יתרות פתיחה'!$2:$110,90,0),0)*(1-AF$309)</f>
        <v>0</v>
      </c>
      <c r="AG64" s="1240">
        <f>+IFERROR(HLOOKUP(AG29,'סקרי נכסים-יתרות פתיחה'!$2:$110,5,0),0)-IFERROR(HLOOKUP(AG29,'סקרי נכסים-יתרות פתיחה'!$2:$110,90,0),0)*(1-AG$309)</f>
        <v>0</v>
      </c>
      <c r="AH64" s="1240">
        <f>+IFERROR(HLOOKUP(AH29,'סקרי נכסים-יתרות פתיחה'!$2:$110,5,0),0)-IFERROR(HLOOKUP(AH29,'סקרי נכסים-יתרות פתיחה'!$2:$110,90,0),0)*(1-AH$309)</f>
        <v>0</v>
      </c>
      <c r="AI64" s="1240">
        <f>+IFERROR(HLOOKUP(AI29,'סקרי נכסים-יתרות פתיחה'!$2:$110,5,0),0)-IFERROR(HLOOKUP(AI29,'סקרי נכסים-יתרות פתיחה'!$2:$110,90,0),0)*(1-AI$309)</f>
        <v>0</v>
      </c>
      <c r="AJ64" s="1240">
        <f>+IFERROR(HLOOKUP(AJ29,'סקרי נכסים-יתרות פתיחה'!$2:$110,5,0),0)-IFERROR(HLOOKUP(AJ29,'סקרי נכסים-יתרות פתיחה'!$2:$110,90,0),0)*(1-AJ$309)</f>
        <v>0</v>
      </c>
      <c r="AK64" s="1240">
        <f>+IFERROR(HLOOKUP(AK29,'סקרי נכסים-יתרות פתיחה'!$2:$110,5,0),0)-IFERROR(HLOOKUP(AK29,'סקרי נכסים-יתרות פתיחה'!$2:$110,90,0),0)*(1-AK$309)</f>
        <v>0</v>
      </c>
      <c r="AL64" s="1240">
        <f>+IFERROR(HLOOKUP(AL29,'סקרי נכסים-יתרות פתיחה'!$2:$110,5,0),0)-IFERROR(HLOOKUP(AL29,'סקרי נכסים-יתרות פתיחה'!$2:$110,90,0),0)*(1-AL$309)</f>
        <v>0</v>
      </c>
      <c r="AM64" s="1240">
        <f>+IFERROR(HLOOKUP(AM29,'סקרי נכסים-יתרות פתיחה'!$2:$110,5,0),0)-IFERROR(HLOOKUP(AM29,'סקרי נכסים-יתרות פתיחה'!$2:$110,90,0),0)*(1-AM$309)</f>
        <v>0</v>
      </c>
      <c r="AN64" s="1240">
        <f>+IFERROR(HLOOKUP(AN29,'סקרי נכסים-יתרות פתיחה'!$2:$110,5,0),0)-IFERROR(HLOOKUP(AN29,'סקרי נכסים-יתרות פתיחה'!$2:$110,90,0),0)*(1-AN$309)</f>
        <v>0</v>
      </c>
      <c r="AO64" s="1240">
        <f>+IFERROR(HLOOKUP(AO29,'סקרי נכסים-יתרות פתיחה'!$2:$110,5,0),0)-IFERROR(HLOOKUP(AO29,'סקרי נכסים-יתרות פתיחה'!$2:$110,90,0),0)*(1-AO$309)</f>
        <v>0</v>
      </c>
      <c r="AP64" s="1240">
        <f>+IFERROR(HLOOKUP(AP29,'סקרי נכסים-יתרות פתיחה'!$2:$110,5,0),0)-IFERROR(HLOOKUP(AP29,'סקרי נכסים-יתרות פתיחה'!$2:$110,90,0),0)*(1-AP$309)</f>
        <v>0</v>
      </c>
      <c r="AQ64" s="1240">
        <f>+IFERROR(HLOOKUP(AQ29,'סקרי נכסים-יתרות פתיחה'!$2:$110,5,0),0)-IFERROR(HLOOKUP(AQ29,'סקרי נכסים-יתרות פתיחה'!$2:$110,90,0),0)*(1-AQ$309)</f>
        <v>0</v>
      </c>
      <c r="AR64" s="1240">
        <f>+IFERROR(HLOOKUP(AR29,'סקרי נכסים-יתרות פתיחה'!$2:$110,5,0),0)-IFERROR(HLOOKUP(AR29,'סקרי נכסים-יתרות פתיחה'!$2:$110,90,0),0)*(1-AR$309)</f>
        <v>0</v>
      </c>
      <c r="AS64" s="1240">
        <f>+IFERROR(HLOOKUP(AS29,'סקרי נכסים-יתרות פתיחה'!$2:$110,5,0),0)-IFERROR(HLOOKUP(AS29,'סקרי נכסים-יתרות פתיחה'!$2:$110,90,0),0)*(1-AS$309)</f>
        <v>0</v>
      </c>
      <c r="AT64" s="1240">
        <f>+IFERROR(HLOOKUP(AT29,'סקרי נכסים-יתרות פתיחה'!$2:$110,5,0),0)-IFERROR(HLOOKUP(AT29,'סקרי נכסים-יתרות פתיחה'!$2:$110,90,0),0)*(1-AT$309)</f>
        <v>0</v>
      </c>
      <c r="AU64" s="1240">
        <f>+IFERROR(HLOOKUP(AU29,'סקרי נכסים-יתרות פתיחה'!$2:$110,5,0),0)-IFERROR(HLOOKUP(AU29,'סקרי נכסים-יתרות פתיחה'!$2:$110,90,0),0)*(1-AU$309)</f>
        <v>0</v>
      </c>
      <c r="AV64" s="1240">
        <f>+IFERROR(HLOOKUP(AV29,'סקרי נכסים-יתרות פתיחה'!$2:$110,5,0),0)-IFERROR(HLOOKUP(AV29,'סקרי נכסים-יתרות פתיחה'!$2:$110,90,0),0)*(1-AV$309)</f>
        <v>0</v>
      </c>
      <c r="AW64" s="1240">
        <f>+IFERROR(HLOOKUP(AW29,'סקרי נכסים-יתרות פתיחה'!$2:$110,5,0),0)-IFERROR(HLOOKUP(AW29,'סקרי נכסים-יתרות פתיחה'!$2:$110,90,0),0)*(1-AW$309)</f>
        <v>0</v>
      </c>
      <c r="AX64" s="1240">
        <f>+IFERROR(HLOOKUP(AX29,'סקרי נכסים-יתרות פתיחה'!$2:$110,5,0),0)-IFERROR(HLOOKUP(AX29,'סקרי נכסים-יתרות פתיחה'!$2:$110,90,0),0)*(1-AX$309)</f>
        <v>0</v>
      </c>
      <c r="AY64" s="1240">
        <f>+IFERROR(HLOOKUP(AY29,'סקרי נכסים-יתרות פתיחה'!$2:$110,5,0),0)-IFERROR(HLOOKUP(AY29,'סקרי נכסים-יתרות פתיחה'!$2:$110,90,0),0)*(1-AY$309)</f>
        <v>0</v>
      </c>
      <c r="AZ64" s="1240">
        <f>+IFERROR(HLOOKUP(AZ29,'סקרי נכסים-יתרות פתיחה'!$2:$110,5,0),0)-IFERROR(HLOOKUP(AZ29,'סקרי נכסים-יתרות פתיחה'!$2:$110,90,0),0)*(1-AZ$309)</f>
        <v>0</v>
      </c>
      <c r="BA64" s="1240">
        <f>+IFERROR(HLOOKUP(BA29,'סקרי נכסים-יתרות פתיחה'!$2:$110,5,0),0)-IFERROR(HLOOKUP(BA29,'סקרי נכסים-יתרות פתיחה'!$2:$110,90,0),0)*(1-BA$309)</f>
        <v>0</v>
      </c>
      <c r="BB64" s="1240">
        <f>+IFERROR(HLOOKUP(BB29,'סקרי נכסים-יתרות פתיחה'!$2:$110,5,0),0)-IFERROR(HLOOKUP(BB29,'סקרי נכסים-יתרות פתיחה'!$2:$110,90,0),0)*(1-BB$309)</f>
        <v>0</v>
      </c>
      <c r="BC64" s="1240">
        <f>+IFERROR(HLOOKUP(BC29,'סקרי נכסים-יתרות פתיחה'!$2:$110,5,0),0)-IFERROR(HLOOKUP(BC29,'סקרי נכסים-יתרות פתיחה'!$2:$110,90,0),0)*(1-BC$309)</f>
        <v>0</v>
      </c>
      <c r="BD64" s="1240">
        <f>+IFERROR(HLOOKUP(BD29,'סקרי נכסים-יתרות פתיחה'!$2:$110,5,0),0)-IFERROR(HLOOKUP(BD29,'סקרי נכסים-יתרות פתיחה'!$2:$110,90,0),0)*(1-BD$309)</f>
        <v>0</v>
      </c>
      <c r="BE64" s="1240">
        <f>+IFERROR(HLOOKUP(BE29,'סקרי נכסים-יתרות פתיחה'!$2:$110,5,0),0)-IFERROR(HLOOKUP(BE29,'סקרי נכסים-יתרות פתיחה'!$2:$110,90,0),0)*(1-BE$309)</f>
        <v>0</v>
      </c>
      <c r="BF64" s="1240">
        <f>+IFERROR(HLOOKUP(BF29,'סקרי נכסים-יתרות פתיחה'!$2:$110,5,0),0)-IFERROR(HLOOKUP(BF29,'סקרי נכסים-יתרות פתיחה'!$2:$110,90,0),0)*(1-BF$309)</f>
        <v>0</v>
      </c>
    </row>
    <row r="65" spans="1:62" x14ac:dyDescent="0.2">
      <c r="B65" s="1">
        <v>27</v>
      </c>
      <c r="C65" s="1240">
        <f>+IFERROR(HLOOKUP(C30,'סקרי נכסים-יתרות פתיחה'!$2:$110,5,0),0)-IFERROR(HLOOKUP(C30,'סקרי נכסים-יתרות פתיחה'!$2:$110,90,0),0)*(1-C$309)</f>
        <v>0</v>
      </c>
      <c r="D65" s="1240">
        <f>+IFERROR(HLOOKUP(D30,'סקרי נכסים-יתרות פתיחה'!$2:$110,5,0),0)-IFERROR(HLOOKUP(D30,'סקרי נכסים-יתרות פתיחה'!$2:$110,90,0),0)*(1-D$309)</f>
        <v>0</v>
      </c>
      <c r="E65" s="1240">
        <f>+IFERROR(HLOOKUP(E30,'סקרי נכסים-יתרות פתיחה'!$2:$110,5,0),0)-IFERROR(HLOOKUP(E30,'סקרי נכסים-יתרות פתיחה'!$2:$110,90,0),0)*(1-E$309)</f>
        <v>0</v>
      </c>
      <c r="F65" s="1240">
        <f>+IFERROR(HLOOKUP(F30,'סקרי נכסים-יתרות פתיחה'!$2:$110,5,0),0)-IFERROR(HLOOKUP(F30,'סקרי נכסים-יתרות פתיחה'!$2:$110,90,0),0)*(1-F$309)</f>
        <v>0</v>
      </c>
      <c r="G65" s="1240">
        <f>+IFERROR(HLOOKUP(G30,'סקרי נכסים-יתרות פתיחה'!$2:$110,5,0),0)-IFERROR(HLOOKUP(G30,'סקרי נכסים-יתרות פתיחה'!$2:$110,90,0),0)*(1-G$309)</f>
        <v>0</v>
      </c>
      <c r="H65" s="1240">
        <f>+IFERROR(HLOOKUP(H30,'סקרי נכסים-יתרות פתיחה'!$2:$110,5,0),0)-IFERROR(HLOOKUP(H30,'סקרי נכסים-יתרות פתיחה'!$2:$110,90,0),0)*(1-H$309)</f>
        <v>0</v>
      </c>
      <c r="I65" s="1240">
        <f>+IFERROR(HLOOKUP(I30,'סקרי נכסים-יתרות פתיחה'!$2:$110,5,0),0)-IFERROR(HLOOKUP(I30,'סקרי נכסים-יתרות פתיחה'!$2:$110,90,0),0)*(1-I$309)</f>
        <v>0</v>
      </c>
      <c r="J65" s="1240">
        <f>+IFERROR(HLOOKUP(J30,'סקרי נכסים-יתרות פתיחה'!$2:$110,5,0),0)-IFERROR(HLOOKUP(J30,'סקרי נכסים-יתרות פתיחה'!$2:$110,90,0),0)*(1-J$309)</f>
        <v>0</v>
      </c>
      <c r="K65" s="1240">
        <f>+IFERROR(HLOOKUP(K30,'סקרי נכסים-יתרות פתיחה'!$2:$110,5,0),0)-IFERROR(HLOOKUP(K30,'סקרי נכסים-יתרות פתיחה'!$2:$110,90,0),0)*(1-K$309)</f>
        <v>0</v>
      </c>
      <c r="L65" s="1240">
        <f>+IFERROR(HLOOKUP(L30,'סקרי נכסים-יתרות פתיחה'!$2:$110,5,0),0)-IFERROR(HLOOKUP(L30,'סקרי נכסים-יתרות פתיחה'!$2:$110,90,0),0)*(1-L$309)</f>
        <v>0</v>
      </c>
      <c r="M65" s="1240">
        <f>+IFERROR(HLOOKUP(M30,'סקרי נכסים-יתרות פתיחה'!$2:$110,5,0),0)-IFERROR(HLOOKUP(M30,'סקרי נכסים-יתרות פתיחה'!$2:$110,90,0),0)*(1-M$309)</f>
        <v>0</v>
      </c>
      <c r="N65" s="1240">
        <f>+IFERROR(HLOOKUP(N30,'סקרי נכסים-יתרות פתיחה'!$2:$110,5,0),0)-IFERROR(HLOOKUP(N30,'סקרי נכסים-יתרות פתיחה'!$2:$110,90,0),0)*(1-N$309)</f>
        <v>0</v>
      </c>
      <c r="O65" s="1240">
        <f>+IFERROR(HLOOKUP(O30,'סקרי נכסים-יתרות פתיחה'!$2:$110,5,0),0)-IFERROR(HLOOKUP(O30,'סקרי נכסים-יתרות פתיחה'!$2:$110,90,0),0)*(1-O$309)</f>
        <v>0</v>
      </c>
      <c r="P65" s="1240">
        <f>+IFERROR(HLOOKUP(P30,'סקרי נכסים-יתרות פתיחה'!$2:$110,5,0),0)-IFERROR(HLOOKUP(P30,'סקרי נכסים-יתרות פתיחה'!$2:$110,90,0),0)*(1-P$309)</f>
        <v>0</v>
      </c>
      <c r="Q65" s="1240">
        <f>+IFERROR(HLOOKUP(Q30,'סקרי נכסים-יתרות פתיחה'!$2:$110,5,0),0)-IFERROR(HLOOKUP(Q30,'סקרי נכסים-יתרות פתיחה'!$2:$110,90,0),0)*(1-Q$309)</f>
        <v>0</v>
      </c>
      <c r="R65" s="1240">
        <f>+IFERROR(HLOOKUP(R30,'סקרי נכסים-יתרות פתיחה'!$2:$110,5,0),0)-IFERROR(HLOOKUP(R30,'סקרי נכסים-יתרות פתיחה'!$2:$110,90,0),0)*(1-R$309)</f>
        <v>0</v>
      </c>
      <c r="S65" s="1240">
        <f>+IFERROR(HLOOKUP(S30,'סקרי נכסים-יתרות פתיחה'!$2:$110,5,0),0)-IFERROR(HLOOKUP(S30,'סקרי נכסים-יתרות פתיחה'!$2:$110,90,0),0)*(1-S$309)</f>
        <v>0</v>
      </c>
      <c r="T65" s="1240">
        <f>+IFERROR(HLOOKUP(T30,'סקרי נכסים-יתרות פתיחה'!$2:$110,5,0),0)-IFERROR(HLOOKUP(T30,'סקרי נכסים-יתרות פתיחה'!$2:$110,90,0),0)*(1-T$309)</f>
        <v>0</v>
      </c>
      <c r="U65" s="1240">
        <f>+IFERROR(HLOOKUP(U30,'סקרי נכסים-יתרות פתיחה'!$2:$110,5,0),0)-IFERROR(HLOOKUP(U30,'סקרי נכסים-יתרות פתיחה'!$2:$110,90,0),0)*(1-U$309)</f>
        <v>0</v>
      </c>
      <c r="V65" s="1240">
        <f>+IFERROR(HLOOKUP(V30,'סקרי נכסים-יתרות פתיחה'!$2:$110,5,0),0)-IFERROR(HLOOKUP(V30,'סקרי נכסים-יתרות פתיחה'!$2:$110,90,0),0)*(1-V$309)</f>
        <v>0</v>
      </c>
      <c r="W65" s="1240">
        <f>+IFERROR(HLOOKUP(W30,'סקרי נכסים-יתרות פתיחה'!$2:$110,5,0),0)-IFERROR(HLOOKUP(W30,'סקרי נכסים-יתרות פתיחה'!$2:$110,90,0),0)*(1-W$309)</f>
        <v>0</v>
      </c>
      <c r="X65" s="1240">
        <f>+IFERROR(HLOOKUP(X30,'סקרי נכסים-יתרות פתיחה'!$2:$110,5,0),0)-IFERROR(HLOOKUP(X30,'סקרי נכסים-יתרות פתיחה'!$2:$110,90,0),0)*(1-X$309)</f>
        <v>0</v>
      </c>
      <c r="Y65" s="1240">
        <f>+IFERROR(HLOOKUP(Y30,'סקרי נכסים-יתרות פתיחה'!$2:$110,5,0),0)-IFERROR(HLOOKUP(Y30,'סקרי נכסים-יתרות פתיחה'!$2:$110,90,0),0)*(1-Y$309)</f>
        <v>0</v>
      </c>
      <c r="Z65" s="1240">
        <f>+IFERROR(HLOOKUP(Z30,'סקרי נכסים-יתרות פתיחה'!$2:$110,5,0),0)-IFERROR(HLOOKUP(Z30,'סקרי נכסים-יתרות פתיחה'!$2:$110,90,0),0)*(1-Z$309)</f>
        <v>0</v>
      </c>
      <c r="AA65" s="1240">
        <f>+IFERROR(HLOOKUP(AA30,'סקרי נכסים-יתרות פתיחה'!$2:$110,5,0),0)-IFERROR(HLOOKUP(AA30,'סקרי נכסים-יתרות פתיחה'!$2:$110,90,0),0)*(1-AA$309)</f>
        <v>0</v>
      </c>
      <c r="AB65" s="1240">
        <f>+IFERROR(HLOOKUP(AB30,'סקרי נכסים-יתרות פתיחה'!$2:$110,5,0),0)-IFERROR(HLOOKUP(AB30,'סקרי נכסים-יתרות פתיחה'!$2:$110,90,0),0)*(1-AB$309)</f>
        <v>0</v>
      </c>
      <c r="AC65" s="1240">
        <f>+IFERROR(HLOOKUP(AC30,'סקרי נכסים-יתרות פתיחה'!$2:$110,5,0),0)-IFERROR(HLOOKUP(AC30,'סקרי נכסים-יתרות פתיחה'!$2:$110,90,0),0)*(1-AC$309)</f>
        <v>0</v>
      </c>
      <c r="AD65" s="1240">
        <f>+IFERROR(HLOOKUP(AD30,'סקרי נכסים-יתרות פתיחה'!$2:$110,5,0),0)-IFERROR(HLOOKUP(AD30,'סקרי נכסים-יתרות פתיחה'!$2:$110,90,0),0)*(1-AD$309)</f>
        <v>0</v>
      </c>
      <c r="AE65" s="1240">
        <f>+IFERROR(HLOOKUP(AE30,'סקרי נכסים-יתרות פתיחה'!$2:$110,5,0),0)-IFERROR(HLOOKUP(AE30,'סקרי נכסים-יתרות פתיחה'!$2:$110,90,0),0)*(1-AE$309)</f>
        <v>0</v>
      </c>
      <c r="AF65" s="1240">
        <f>+IFERROR(HLOOKUP(AF30,'סקרי נכסים-יתרות פתיחה'!$2:$110,5,0),0)-IFERROR(HLOOKUP(AF30,'סקרי נכסים-יתרות פתיחה'!$2:$110,90,0),0)*(1-AF$309)</f>
        <v>0</v>
      </c>
      <c r="AG65" s="1240">
        <f>+IFERROR(HLOOKUP(AG30,'סקרי נכסים-יתרות פתיחה'!$2:$110,5,0),0)-IFERROR(HLOOKUP(AG30,'סקרי נכסים-יתרות פתיחה'!$2:$110,90,0),0)*(1-AG$309)</f>
        <v>0</v>
      </c>
      <c r="AH65" s="1240">
        <f>+IFERROR(HLOOKUP(AH30,'סקרי נכסים-יתרות פתיחה'!$2:$110,5,0),0)-IFERROR(HLOOKUP(AH30,'סקרי נכסים-יתרות פתיחה'!$2:$110,90,0),0)*(1-AH$309)</f>
        <v>0</v>
      </c>
      <c r="AI65" s="1240">
        <f>+IFERROR(HLOOKUP(AI30,'סקרי נכסים-יתרות פתיחה'!$2:$110,5,0),0)-IFERROR(HLOOKUP(AI30,'סקרי נכסים-יתרות פתיחה'!$2:$110,90,0),0)*(1-AI$309)</f>
        <v>0</v>
      </c>
      <c r="AJ65" s="1240">
        <f>+IFERROR(HLOOKUP(AJ30,'סקרי נכסים-יתרות פתיחה'!$2:$110,5,0),0)-IFERROR(HLOOKUP(AJ30,'סקרי נכסים-יתרות פתיחה'!$2:$110,90,0),0)*(1-AJ$309)</f>
        <v>0</v>
      </c>
      <c r="AK65" s="1240">
        <f>+IFERROR(HLOOKUP(AK30,'סקרי נכסים-יתרות פתיחה'!$2:$110,5,0),0)-IFERROR(HLOOKUP(AK30,'סקרי נכסים-יתרות פתיחה'!$2:$110,90,0),0)*(1-AK$309)</f>
        <v>0</v>
      </c>
      <c r="AL65" s="1240">
        <f>+IFERROR(HLOOKUP(AL30,'סקרי נכסים-יתרות פתיחה'!$2:$110,5,0),0)-IFERROR(HLOOKUP(AL30,'סקרי נכסים-יתרות פתיחה'!$2:$110,90,0),0)*(1-AL$309)</f>
        <v>0</v>
      </c>
      <c r="AM65" s="1240">
        <f>+IFERROR(HLOOKUP(AM30,'סקרי נכסים-יתרות פתיחה'!$2:$110,5,0),0)-IFERROR(HLOOKUP(AM30,'סקרי נכסים-יתרות פתיחה'!$2:$110,90,0),0)*(1-AM$309)</f>
        <v>0</v>
      </c>
      <c r="AN65" s="1240">
        <f>+IFERROR(HLOOKUP(AN30,'סקרי נכסים-יתרות פתיחה'!$2:$110,5,0),0)-IFERROR(HLOOKUP(AN30,'סקרי נכסים-יתרות פתיחה'!$2:$110,90,0),0)*(1-AN$309)</f>
        <v>0</v>
      </c>
      <c r="AO65" s="1240">
        <f>+IFERROR(HLOOKUP(AO30,'סקרי נכסים-יתרות פתיחה'!$2:$110,5,0),0)-IFERROR(HLOOKUP(AO30,'סקרי נכסים-יתרות פתיחה'!$2:$110,90,0),0)*(1-AO$309)</f>
        <v>0</v>
      </c>
      <c r="AP65" s="1240">
        <f>+IFERROR(HLOOKUP(AP30,'סקרי נכסים-יתרות פתיחה'!$2:$110,5,0),0)-IFERROR(HLOOKUP(AP30,'סקרי נכסים-יתרות פתיחה'!$2:$110,90,0),0)*(1-AP$309)</f>
        <v>0</v>
      </c>
      <c r="AQ65" s="1240">
        <f>+IFERROR(HLOOKUP(AQ30,'סקרי נכסים-יתרות פתיחה'!$2:$110,5,0),0)-IFERROR(HLOOKUP(AQ30,'סקרי נכסים-יתרות פתיחה'!$2:$110,90,0),0)*(1-AQ$309)</f>
        <v>0</v>
      </c>
      <c r="AR65" s="1240">
        <f>+IFERROR(HLOOKUP(AR30,'סקרי נכסים-יתרות פתיחה'!$2:$110,5,0),0)-IFERROR(HLOOKUP(AR30,'סקרי נכסים-יתרות פתיחה'!$2:$110,90,0),0)*(1-AR$309)</f>
        <v>0</v>
      </c>
      <c r="AS65" s="1240">
        <f>+IFERROR(HLOOKUP(AS30,'סקרי נכסים-יתרות פתיחה'!$2:$110,5,0),0)-IFERROR(HLOOKUP(AS30,'סקרי נכסים-יתרות פתיחה'!$2:$110,90,0),0)*(1-AS$309)</f>
        <v>0</v>
      </c>
      <c r="AT65" s="1240">
        <f>+IFERROR(HLOOKUP(AT30,'סקרי נכסים-יתרות פתיחה'!$2:$110,5,0),0)-IFERROR(HLOOKUP(AT30,'סקרי נכסים-יתרות פתיחה'!$2:$110,90,0),0)*(1-AT$309)</f>
        <v>0</v>
      </c>
      <c r="AU65" s="1240">
        <f>+IFERROR(HLOOKUP(AU30,'סקרי נכסים-יתרות פתיחה'!$2:$110,5,0),0)-IFERROR(HLOOKUP(AU30,'סקרי נכסים-יתרות פתיחה'!$2:$110,90,0),0)*(1-AU$309)</f>
        <v>0</v>
      </c>
      <c r="AV65" s="1240">
        <f>+IFERROR(HLOOKUP(AV30,'סקרי נכסים-יתרות פתיחה'!$2:$110,5,0),0)-IFERROR(HLOOKUP(AV30,'סקרי נכסים-יתרות פתיחה'!$2:$110,90,0),0)*(1-AV$309)</f>
        <v>0</v>
      </c>
      <c r="AW65" s="1240">
        <f>+IFERROR(HLOOKUP(AW30,'סקרי נכסים-יתרות פתיחה'!$2:$110,5,0),0)-IFERROR(HLOOKUP(AW30,'סקרי נכסים-יתרות פתיחה'!$2:$110,90,0),0)*(1-AW$309)</f>
        <v>0</v>
      </c>
      <c r="AX65" s="1240">
        <f>+IFERROR(HLOOKUP(AX30,'סקרי נכסים-יתרות פתיחה'!$2:$110,5,0),0)-IFERROR(HLOOKUP(AX30,'סקרי נכסים-יתרות פתיחה'!$2:$110,90,0),0)*(1-AX$309)</f>
        <v>0</v>
      </c>
      <c r="AY65" s="1240">
        <f>+IFERROR(HLOOKUP(AY30,'סקרי נכסים-יתרות פתיחה'!$2:$110,5,0),0)-IFERROR(HLOOKUP(AY30,'סקרי נכסים-יתרות פתיחה'!$2:$110,90,0),0)*(1-AY$309)</f>
        <v>0</v>
      </c>
      <c r="AZ65" s="1240">
        <f>+IFERROR(HLOOKUP(AZ30,'סקרי נכסים-יתרות פתיחה'!$2:$110,5,0),0)-IFERROR(HLOOKUP(AZ30,'סקרי נכסים-יתרות פתיחה'!$2:$110,90,0),0)*(1-AZ$309)</f>
        <v>0</v>
      </c>
      <c r="BA65" s="1240">
        <f>+IFERROR(HLOOKUP(BA30,'סקרי נכסים-יתרות פתיחה'!$2:$110,5,0),0)-IFERROR(HLOOKUP(BA30,'סקרי נכסים-יתרות פתיחה'!$2:$110,90,0),0)*(1-BA$309)</f>
        <v>0</v>
      </c>
      <c r="BB65" s="1240">
        <f>+IFERROR(HLOOKUP(BB30,'סקרי נכסים-יתרות פתיחה'!$2:$110,5,0),0)-IFERROR(HLOOKUP(BB30,'סקרי נכסים-יתרות פתיחה'!$2:$110,90,0),0)*(1-BB$309)</f>
        <v>0</v>
      </c>
      <c r="BC65" s="1240">
        <f>+IFERROR(HLOOKUP(BC30,'סקרי נכסים-יתרות פתיחה'!$2:$110,5,0),0)-IFERROR(HLOOKUP(BC30,'סקרי נכסים-יתרות פתיחה'!$2:$110,90,0),0)*(1-BC$309)</f>
        <v>0</v>
      </c>
      <c r="BD65" s="1240">
        <f>+IFERROR(HLOOKUP(BD30,'סקרי נכסים-יתרות פתיחה'!$2:$110,5,0),0)-IFERROR(HLOOKUP(BD30,'סקרי נכסים-יתרות פתיחה'!$2:$110,90,0),0)*(1-BD$309)</f>
        <v>0</v>
      </c>
      <c r="BE65" s="1240">
        <f>+IFERROR(HLOOKUP(BE30,'סקרי נכסים-יתרות פתיחה'!$2:$110,5,0),0)-IFERROR(HLOOKUP(BE30,'סקרי נכסים-יתרות פתיחה'!$2:$110,90,0),0)*(1-BE$309)</f>
        <v>0</v>
      </c>
      <c r="BF65" s="1240">
        <f>+IFERROR(HLOOKUP(BF30,'סקרי נכסים-יתרות פתיחה'!$2:$110,5,0),0)-IFERROR(HLOOKUP(BF30,'סקרי נכסים-יתרות פתיחה'!$2:$110,90,0),0)*(1-BF$309)</f>
        <v>0</v>
      </c>
    </row>
    <row r="66" spans="1:62" x14ac:dyDescent="0.2">
      <c r="B66" s="1">
        <v>28</v>
      </c>
      <c r="C66" s="1240">
        <f>+IFERROR(HLOOKUP(C31,'סקרי נכסים-יתרות פתיחה'!$2:$110,5,0),0)-IFERROR(HLOOKUP(C31,'סקרי נכסים-יתרות פתיחה'!$2:$110,90,0),0)*(1-C$309)</f>
        <v>0</v>
      </c>
      <c r="D66" s="1240">
        <f>+IFERROR(HLOOKUP(D31,'סקרי נכסים-יתרות פתיחה'!$2:$110,5,0),0)-IFERROR(HLOOKUP(D31,'סקרי נכסים-יתרות פתיחה'!$2:$110,90,0),0)*(1-D$309)</f>
        <v>0</v>
      </c>
      <c r="E66" s="1240">
        <f>+IFERROR(HLOOKUP(E31,'סקרי נכסים-יתרות פתיחה'!$2:$110,5,0),0)-IFERROR(HLOOKUP(E31,'סקרי נכסים-יתרות פתיחה'!$2:$110,90,0),0)*(1-E$309)</f>
        <v>0</v>
      </c>
      <c r="F66" s="1240">
        <f>+IFERROR(HLOOKUP(F31,'סקרי נכסים-יתרות פתיחה'!$2:$110,5,0),0)-IFERROR(HLOOKUP(F31,'סקרי נכסים-יתרות פתיחה'!$2:$110,90,0),0)*(1-F$309)</f>
        <v>0</v>
      </c>
      <c r="G66" s="1240">
        <f>+IFERROR(HLOOKUP(G31,'סקרי נכסים-יתרות פתיחה'!$2:$110,5,0),0)-IFERROR(HLOOKUP(G31,'סקרי נכסים-יתרות פתיחה'!$2:$110,90,0),0)*(1-G$309)</f>
        <v>0</v>
      </c>
      <c r="H66" s="1240">
        <f>+IFERROR(HLOOKUP(H31,'סקרי נכסים-יתרות פתיחה'!$2:$110,5,0),0)-IFERROR(HLOOKUP(H31,'סקרי נכסים-יתרות פתיחה'!$2:$110,90,0),0)*(1-H$309)</f>
        <v>0</v>
      </c>
      <c r="I66" s="1240">
        <f>+IFERROR(HLOOKUP(I31,'סקרי נכסים-יתרות פתיחה'!$2:$110,5,0),0)-IFERROR(HLOOKUP(I31,'סקרי נכסים-יתרות פתיחה'!$2:$110,90,0),0)*(1-I$309)</f>
        <v>0</v>
      </c>
      <c r="J66" s="1240">
        <f>+IFERROR(HLOOKUP(J31,'סקרי נכסים-יתרות פתיחה'!$2:$110,5,0),0)-IFERROR(HLOOKUP(J31,'סקרי נכסים-יתרות פתיחה'!$2:$110,90,0),0)*(1-J$309)</f>
        <v>0</v>
      </c>
      <c r="K66" s="1240">
        <f>+IFERROR(HLOOKUP(K31,'סקרי נכסים-יתרות פתיחה'!$2:$110,5,0),0)-IFERROR(HLOOKUP(K31,'סקרי נכסים-יתרות פתיחה'!$2:$110,90,0),0)*(1-K$309)</f>
        <v>0</v>
      </c>
      <c r="L66" s="1240">
        <f>+IFERROR(HLOOKUP(L31,'סקרי נכסים-יתרות פתיחה'!$2:$110,5,0),0)-IFERROR(HLOOKUP(L31,'סקרי נכסים-יתרות פתיחה'!$2:$110,90,0),0)*(1-L$309)</f>
        <v>0</v>
      </c>
      <c r="M66" s="1240">
        <f>+IFERROR(HLOOKUP(M31,'סקרי נכסים-יתרות פתיחה'!$2:$110,5,0),0)-IFERROR(HLOOKUP(M31,'סקרי נכסים-יתרות פתיחה'!$2:$110,90,0),0)*(1-M$309)</f>
        <v>0</v>
      </c>
      <c r="N66" s="1240">
        <f>+IFERROR(HLOOKUP(N31,'סקרי נכסים-יתרות פתיחה'!$2:$110,5,0),0)-IFERROR(HLOOKUP(N31,'סקרי נכסים-יתרות פתיחה'!$2:$110,90,0),0)*(1-N$309)</f>
        <v>0</v>
      </c>
      <c r="O66" s="1240">
        <f>+IFERROR(HLOOKUP(O31,'סקרי נכסים-יתרות פתיחה'!$2:$110,5,0),0)-IFERROR(HLOOKUP(O31,'סקרי נכסים-יתרות פתיחה'!$2:$110,90,0),0)*(1-O$309)</f>
        <v>0</v>
      </c>
      <c r="P66" s="1240">
        <f>+IFERROR(HLOOKUP(P31,'סקרי נכסים-יתרות פתיחה'!$2:$110,5,0),0)-IFERROR(HLOOKUP(P31,'סקרי נכסים-יתרות פתיחה'!$2:$110,90,0),0)*(1-P$309)</f>
        <v>0</v>
      </c>
      <c r="Q66" s="1240">
        <f>+IFERROR(HLOOKUP(Q31,'סקרי נכסים-יתרות פתיחה'!$2:$110,5,0),0)-IFERROR(HLOOKUP(Q31,'סקרי נכסים-יתרות פתיחה'!$2:$110,90,0),0)*(1-Q$309)</f>
        <v>0</v>
      </c>
      <c r="R66" s="1240">
        <f>+IFERROR(HLOOKUP(R31,'סקרי נכסים-יתרות פתיחה'!$2:$110,5,0),0)-IFERROR(HLOOKUP(R31,'סקרי נכסים-יתרות פתיחה'!$2:$110,90,0),0)*(1-R$309)</f>
        <v>0</v>
      </c>
      <c r="S66" s="1240">
        <f>+IFERROR(HLOOKUP(S31,'סקרי נכסים-יתרות פתיחה'!$2:$110,5,0),0)-IFERROR(HLOOKUP(S31,'סקרי נכסים-יתרות פתיחה'!$2:$110,90,0),0)*(1-S$309)</f>
        <v>0</v>
      </c>
      <c r="T66" s="1240">
        <f>+IFERROR(HLOOKUP(T31,'סקרי נכסים-יתרות פתיחה'!$2:$110,5,0),0)-IFERROR(HLOOKUP(T31,'סקרי נכסים-יתרות פתיחה'!$2:$110,90,0),0)*(1-T$309)</f>
        <v>0</v>
      </c>
      <c r="U66" s="1240">
        <f>+IFERROR(HLOOKUP(U31,'סקרי נכסים-יתרות פתיחה'!$2:$110,5,0),0)-IFERROR(HLOOKUP(U31,'סקרי נכסים-יתרות פתיחה'!$2:$110,90,0),0)*(1-U$309)</f>
        <v>0</v>
      </c>
      <c r="V66" s="1240">
        <f>+IFERROR(HLOOKUP(V31,'סקרי נכסים-יתרות פתיחה'!$2:$110,5,0),0)-IFERROR(HLOOKUP(V31,'סקרי נכסים-יתרות פתיחה'!$2:$110,90,0),0)*(1-V$309)</f>
        <v>0</v>
      </c>
      <c r="W66" s="1240">
        <f>+IFERROR(HLOOKUP(W31,'סקרי נכסים-יתרות פתיחה'!$2:$110,5,0),0)-IFERROR(HLOOKUP(W31,'סקרי נכסים-יתרות פתיחה'!$2:$110,90,0),0)*(1-W$309)</f>
        <v>0</v>
      </c>
      <c r="X66" s="1240">
        <f>+IFERROR(HLOOKUP(X31,'סקרי נכסים-יתרות פתיחה'!$2:$110,5,0),0)-IFERROR(HLOOKUP(X31,'סקרי נכסים-יתרות פתיחה'!$2:$110,90,0),0)*(1-X$309)</f>
        <v>0</v>
      </c>
      <c r="Y66" s="1240">
        <f>+IFERROR(HLOOKUP(Y31,'סקרי נכסים-יתרות פתיחה'!$2:$110,5,0),0)-IFERROR(HLOOKUP(Y31,'סקרי נכסים-יתרות פתיחה'!$2:$110,90,0),0)*(1-Y$309)</f>
        <v>0</v>
      </c>
      <c r="Z66" s="1240">
        <f>+IFERROR(HLOOKUP(Z31,'סקרי נכסים-יתרות פתיחה'!$2:$110,5,0),0)-IFERROR(HLOOKUP(Z31,'סקרי נכסים-יתרות פתיחה'!$2:$110,90,0),0)*(1-Z$309)</f>
        <v>0</v>
      </c>
      <c r="AA66" s="1240">
        <f>+IFERROR(HLOOKUP(AA31,'סקרי נכסים-יתרות פתיחה'!$2:$110,5,0),0)-IFERROR(HLOOKUP(AA31,'סקרי נכסים-יתרות פתיחה'!$2:$110,90,0),0)*(1-AA$309)</f>
        <v>0</v>
      </c>
      <c r="AB66" s="1240">
        <f>+IFERROR(HLOOKUP(AB31,'סקרי נכסים-יתרות פתיחה'!$2:$110,5,0),0)-IFERROR(HLOOKUP(AB31,'סקרי נכסים-יתרות פתיחה'!$2:$110,90,0),0)*(1-AB$309)</f>
        <v>0</v>
      </c>
      <c r="AC66" s="1240">
        <f>+IFERROR(HLOOKUP(AC31,'סקרי נכסים-יתרות פתיחה'!$2:$110,5,0),0)-IFERROR(HLOOKUP(AC31,'סקרי נכסים-יתרות פתיחה'!$2:$110,90,0),0)*(1-AC$309)</f>
        <v>0</v>
      </c>
      <c r="AD66" s="1240">
        <f>+IFERROR(HLOOKUP(AD31,'סקרי נכסים-יתרות פתיחה'!$2:$110,5,0),0)-IFERROR(HLOOKUP(AD31,'סקרי נכסים-יתרות פתיחה'!$2:$110,90,0),0)*(1-AD$309)</f>
        <v>0</v>
      </c>
      <c r="AE66" s="1240">
        <f>+IFERROR(HLOOKUP(AE31,'סקרי נכסים-יתרות פתיחה'!$2:$110,5,0),0)-IFERROR(HLOOKUP(AE31,'סקרי נכסים-יתרות פתיחה'!$2:$110,90,0),0)*(1-AE$309)</f>
        <v>0</v>
      </c>
      <c r="AF66" s="1240">
        <f>+IFERROR(HLOOKUP(AF31,'סקרי נכסים-יתרות פתיחה'!$2:$110,5,0),0)-IFERROR(HLOOKUP(AF31,'סקרי נכסים-יתרות פתיחה'!$2:$110,90,0),0)*(1-AF$309)</f>
        <v>0</v>
      </c>
      <c r="AG66" s="1240">
        <f>+IFERROR(HLOOKUP(AG31,'סקרי נכסים-יתרות פתיחה'!$2:$110,5,0),0)-IFERROR(HLOOKUP(AG31,'סקרי נכסים-יתרות פתיחה'!$2:$110,90,0),0)*(1-AG$309)</f>
        <v>0</v>
      </c>
      <c r="AH66" s="1240">
        <f>+IFERROR(HLOOKUP(AH31,'סקרי נכסים-יתרות פתיחה'!$2:$110,5,0),0)-IFERROR(HLOOKUP(AH31,'סקרי נכסים-יתרות פתיחה'!$2:$110,90,0),0)*(1-AH$309)</f>
        <v>0</v>
      </c>
      <c r="AI66" s="1240">
        <f>+IFERROR(HLOOKUP(AI31,'סקרי נכסים-יתרות פתיחה'!$2:$110,5,0),0)-IFERROR(HLOOKUP(AI31,'סקרי נכסים-יתרות פתיחה'!$2:$110,90,0),0)*(1-AI$309)</f>
        <v>0</v>
      </c>
      <c r="AJ66" s="1240">
        <f>+IFERROR(HLOOKUP(AJ31,'סקרי נכסים-יתרות פתיחה'!$2:$110,5,0),0)-IFERROR(HLOOKUP(AJ31,'סקרי נכסים-יתרות פתיחה'!$2:$110,90,0),0)*(1-AJ$309)</f>
        <v>0</v>
      </c>
      <c r="AK66" s="1240">
        <f>+IFERROR(HLOOKUP(AK31,'סקרי נכסים-יתרות פתיחה'!$2:$110,5,0),0)-IFERROR(HLOOKUP(AK31,'סקרי נכסים-יתרות פתיחה'!$2:$110,90,0),0)*(1-AK$309)</f>
        <v>0</v>
      </c>
      <c r="AL66" s="1240">
        <f>+IFERROR(HLOOKUP(AL31,'סקרי נכסים-יתרות פתיחה'!$2:$110,5,0),0)-IFERROR(HLOOKUP(AL31,'סקרי נכסים-יתרות פתיחה'!$2:$110,90,0),0)*(1-AL$309)</f>
        <v>0</v>
      </c>
      <c r="AM66" s="1240">
        <f>+IFERROR(HLOOKUP(AM31,'סקרי נכסים-יתרות פתיחה'!$2:$110,5,0),0)-IFERROR(HLOOKUP(AM31,'סקרי נכסים-יתרות פתיחה'!$2:$110,90,0),0)*(1-AM$309)</f>
        <v>0</v>
      </c>
      <c r="AN66" s="1240">
        <f>+IFERROR(HLOOKUP(AN31,'סקרי נכסים-יתרות פתיחה'!$2:$110,5,0),0)-IFERROR(HLOOKUP(AN31,'סקרי נכסים-יתרות פתיחה'!$2:$110,90,0),0)*(1-AN$309)</f>
        <v>0</v>
      </c>
      <c r="AO66" s="1240">
        <f>+IFERROR(HLOOKUP(AO31,'סקרי נכסים-יתרות פתיחה'!$2:$110,5,0),0)-IFERROR(HLOOKUP(AO31,'סקרי נכסים-יתרות פתיחה'!$2:$110,90,0),0)*(1-AO$309)</f>
        <v>0</v>
      </c>
      <c r="AP66" s="1240">
        <f>+IFERROR(HLOOKUP(AP31,'סקרי נכסים-יתרות פתיחה'!$2:$110,5,0),0)-IFERROR(HLOOKUP(AP31,'סקרי נכסים-יתרות פתיחה'!$2:$110,90,0),0)*(1-AP$309)</f>
        <v>0</v>
      </c>
      <c r="AQ66" s="1240">
        <f>+IFERROR(HLOOKUP(AQ31,'סקרי נכסים-יתרות פתיחה'!$2:$110,5,0),0)-IFERROR(HLOOKUP(AQ31,'סקרי נכסים-יתרות פתיחה'!$2:$110,90,0),0)*(1-AQ$309)</f>
        <v>0</v>
      </c>
      <c r="AR66" s="1240">
        <f>+IFERROR(HLOOKUP(AR31,'סקרי נכסים-יתרות פתיחה'!$2:$110,5,0),0)-IFERROR(HLOOKUP(AR31,'סקרי נכסים-יתרות פתיחה'!$2:$110,90,0),0)*(1-AR$309)</f>
        <v>0</v>
      </c>
      <c r="AS66" s="1240">
        <f>+IFERROR(HLOOKUP(AS31,'סקרי נכסים-יתרות פתיחה'!$2:$110,5,0),0)-IFERROR(HLOOKUP(AS31,'סקרי נכסים-יתרות פתיחה'!$2:$110,90,0),0)*(1-AS$309)</f>
        <v>0</v>
      </c>
      <c r="AT66" s="1240">
        <f>+IFERROR(HLOOKUP(AT31,'סקרי נכסים-יתרות פתיחה'!$2:$110,5,0),0)-IFERROR(HLOOKUP(AT31,'סקרי נכסים-יתרות פתיחה'!$2:$110,90,0),0)*(1-AT$309)</f>
        <v>0</v>
      </c>
      <c r="AU66" s="1240">
        <f>+IFERROR(HLOOKUP(AU31,'סקרי נכסים-יתרות פתיחה'!$2:$110,5,0),0)-IFERROR(HLOOKUP(AU31,'סקרי נכסים-יתרות פתיחה'!$2:$110,90,0),0)*(1-AU$309)</f>
        <v>0</v>
      </c>
      <c r="AV66" s="1240">
        <f>+IFERROR(HLOOKUP(AV31,'סקרי נכסים-יתרות פתיחה'!$2:$110,5,0),0)-IFERROR(HLOOKUP(AV31,'סקרי נכסים-יתרות פתיחה'!$2:$110,90,0),0)*(1-AV$309)</f>
        <v>0</v>
      </c>
      <c r="AW66" s="1240">
        <f>+IFERROR(HLOOKUP(AW31,'סקרי נכסים-יתרות פתיחה'!$2:$110,5,0),0)-IFERROR(HLOOKUP(AW31,'סקרי נכסים-יתרות פתיחה'!$2:$110,90,0),0)*(1-AW$309)</f>
        <v>0</v>
      </c>
      <c r="AX66" s="1240">
        <f>+IFERROR(HLOOKUP(AX31,'סקרי נכסים-יתרות פתיחה'!$2:$110,5,0),0)-IFERROR(HLOOKUP(AX31,'סקרי נכסים-יתרות פתיחה'!$2:$110,90,0),0)*(1-AX$309)</f>
        <v>0</v>
      </c>
      <c r="AY66" s="1240">
        <f>+IFERROR(HLOOKUP(AY31,'סקרי נכסים-יתרות פתיחה'!$2:$110,5,0),0)-IFERROR(HLOOKUP(AY31,'סקרי נכסים-יתרות פתיחה'!$2:$110,90,0),0)*(1-AY$309)</f>
        <v>0</v>
      </c>
      <c r="AZ66" s="1240">
        <f>+IFERROR(HLOOKUP(AZ31,'סקרי נכסים-יתרות פתיחה'!$2:$110,5,0),0)-IFERROR(HLOOKUP(AZ31,'סקרי נכסים-יתרות פתיחה'!$2:$110,90,0),0)*(1-AZ$309)</f>
        <v>0</v>
      </c>
      <c r="BA66" s="1240">
        <f>+IFERROR(HLOOKUP(BA31,'סקרי נכסים-יתרות פתיחה'!$2:$110,5,0),0)-IFERROR(HLOOKUP(BA31,'סקרי נכסים-יתרות פתיחה'!$2:$110,90,0),0)*(1-BA$309)</f>
        <v>0</v>
      </c>
      <c r="BB66" s="1240">
        <f>+IFERROR(HLOOKUP(BB31,'סקרי נכסים-יתרות פתיחה'!$2:$110,5,0),0)-IFERROR(HLOOKUP(BB31,'סקרי נכסים-יתרות פתיחה'!$2:$110,90,0),0)*(1-BB$309)</f>
        <v>0</v>
      </c>
      <c r="BC66" s="1240">
        <f>+IFERROR(HLOOKUP(BC31,'סקרי נכסים-יתרות פתיחה'!$2:$110,5,0),0)-IFERROR(HLOOKUP(BC31,'סקרי נכסים-יתרות פתיחה'!$2:$110,90,0),0)*(1-BC$309)</f>
        <v>0</v>
      </c>
      <c r="BD66" s="1240">
        <f>+IFERROR(HLOOKUP(BD31,'סקרי נכסים-יתרות פתיחה'!$2:$110,5,0),0)-IFERROR(HLOOKUP(BD31,'סקרי נכסים-יתרות פתיחה'!$2:$110,90,0),0)*(1-BD$309)</f>
        <v>0</v>
      </c>
      <c r="BE66" s="1240">
        <f>+IFERROR(HLOOKUP(BE31,'סקרי נכסים-יתרות פתיחה'!$2:$110,5,0),0)-IFERROR(HLOOKUP(BE31,'סקרי נכסים-יתרות פתיחה'!$2:$110,90,0),0)*(1-BE$309)</f>
        <v>0</v>
      </c>
      <c r="BF66" s="1240">
        <f>+IFERROR(HLOOKUP(BF31,'סקרי נכסים-יתרות פתיחה'!$2:$110,5,0),0)-IFERROR(HLOOKUP(BF31,'סקרי נכסים-יתרות פתיחה'!$2:$110,90,0),0)*(1-BF$309)</f>
        <v>0</v>
      </c>
      <c r="BH66" s="78">
        <f>+BH68-BG300</f>
        <v>1222926149.0219998</v>
      </c>
    </row>
    <row r="67" spans="1:62" x14ac:dyDescent="0.2">
      <c r="B67" s="1">
        <v>29</v>
      </c>
      <c r="C67" s="1240">
        <f>+IFERROR(HLOOKUP(C32,'סקרי נכסים-יתרות פתיחה'!$2:$110,5,0),0)-IFERROR(HLOOKUP(C32,'סקרי נכסים-יתרות פתיחה'!$2:$110,90,0),0)*(1-C$309)</f>
        <v>0</v>
      </c>
      <c r="D67" s="1240">
        <f>+IFERROR(HLOOKUP(D32,'סקרי נכסים-יתרות פתיחה'!$2:$110,5,0),0)-IFERROR(HLOOKUP(D32,'סקרי נכסים-יתרות פתיחה'!$2:$110,90,0),0)*(1-D$309)</f>
        <v>0</v>
      </c>
      <c r="E67" s="1240">
        <f>+IFERROR(HLOOKUP(E32,'סקרי נכסים-יתרות פתיחה'!$2:$110,5,0),0)-IFERROR(HLOOKUP(E32,'סקרי נכסים-יתרות פתיחה'!$2:$110,90,0),0)*(1-E$309)</f>
        <v>0</v>
      </c>
      <c r="F67" s="1240">
        <f>+IFERROR(HLOOKUP(F32,'סקרי נכסים-יתרות פתיחה'!$2:$110,5,0),0)-IFERROR(HLOOKUP(F32,'סקרי נכסים-יתרות פתיחה'!$2:$110,90,0),0)*(1-F$309)</f>
        <v>0</v>
      </c>
      <c r="G67" s="1240">
        <f>+IFERROR(HLOOKUP(G32,'סקרי נכסים-יתרות פתיחה'!$2:$110,5,0),0)-IFERROR(HLOOKUP(G32,'סקרי נכסים-יתרות פתיחה'!$2:$110,90,0),0)*(1-G$309)</f>
        <v>0</v>
      </c>
      <c r="H67" s="1240">
        <f>+IFERROR(HLOOKUP(H32,'סקרי נכסים-יתרות פתיחה'!$2:$110,5,0),0)-IFERROR(HLOOKUP(H32,'סקרי נכסים-יתרות פתיחה'!$2:$110,90,0),0)*(1-H$309)</f>
        <v>0</v>
      </c>
      <c r="I67" s="1240">
        <f>+IFERROR(HLOOKUP(I32,'סקרי נכסים-יתרות פתיחה'!$2:$110,5,0),0)-IFERROR(HLOOKUP(I32,'סקרי נכסים-יתרות פתיחה'!$2:$110,90,0),0)*(1-I$309)</f>
        <v>0</v>
      </c>
      <c r="J67" s="1240">
        <f>+IFERROR(HLOOKUP(J32,'סקרי נכסים-יתרות פתיחה'!$2:$110,5,0),0)-IFERROR(HLOOKUP(J32,'סקרי נכסים-יתרות פתיחה'!$2:$110,90,0),0)*(1-J$309)</f>
        <v>0</v>
      </c>
      <c r="K67" s="1240">
        <f>+IFERROR(HLOOKUP(K32,'סקרי נכסים-יתרות פתיחה'!$2:$110,5,0),0)-IFERROR(HLOOKUP(K32,'סקרי נכסים-יתרות פתיחה'!$2:$110,90,0),0)*(1-K$309)</f>
        <v>0</v>
      </c>
      <c r="L67" s="1240">
        <f>+IFERROR(HLOOKUP(L32,'סקרי נכסים-יתרות פתיחה'!$2:$110,5,0),0)-IFERROR(HLOOKUP(L32,'סקרי נכסים-יתרות פתיחה'!$2:$110,90,0),0)*(1-L$309)</f>
        <v>0</v>
      </c>
      <c r="M67" s="1240">
        <f>+IFERROR(HLOOKUP(M32,'סקרי נכסים-יתרות פתיחה'!$2:$110,5,0),0)-IFERROR(HLOOKUP(M32,'סקרי נכסים-יתרות פתיחה'!$2:$110,90,0),0)*(1-M$309)</f>
        <v>0</v>
      </c>
      <c r="N67" s="1240">
        <f>+IFERROR(HLOOKUP(N32,'סקרי נכסים-יתרות פתיחה'!$2:$110,5,0),0)-IFERROR(HLOOKUP(N32,'סקרי נכסים-יתרות פתיחה'!$2:$110,90,0),0)*(1-N$309)</f>
        <v>0</v>
      </c>
      <c r="O67" s="1240">
        <f>+IFERROR(HLOOKUP(O32,'סקרי נכסים-יתרות פתיחה'!$2:$110,5,0),0)-IFERROR(HLOOKUP(O32,'סקרי נכסים-יתרות פתיחה'!$2:$110,90,0),0)*(1-O$309)</f>
        <v>0</v>
      </c>
      <c r="P67" s="1240">
        <f>+IFERROR(HLOOKUP(P32,'סקרי נכסים-יתרות פתיחה'!$2:$110,5,0),0)-IFERROR(HLOOKUP(P32,'סקרי נכסים-יתרות פתיחה'!$2:$110,90,0),0)*(1-P$309)</f>
        <v>0</v>
      </c>
      <c r="Q67" s="1240">
        <f>+IFERROR(HLOOKUP(Q32,'סקרי נכסים-יתרות פתיחה'!$2:$110,5,0),0)-IFERROR(HLOOKUP(Q32,'סקרי נכסים-יתרות פתיחה'!$2:$110,90,0),0)*(1-Q$309)</f>
        <v>0</v>
      </c>
      <c r="R67" s="1240">
        <f>+IFERROR(HLOOKUP(R32,'סקרי נכסים-יתרות פתיחה'!$2:$110,5,0),0)-IFERROR(HLOOKUP(R32,'סקרי נכסים-יתרות פתיחה'!$2:$110,90,0),0)*(1-R$309)</f>
        <v>0</v>
      </c>
      <c r="S67" s="1240">
        <f>+IFERROR(HLOOKUP(S32,'סקרי נכסים-יתרות פתיחה'!$2:$110,5,0),0)-IFERROR(HLOOKUP(S32,'סקרי נכסים-יתרות פתיחה'!$2:$110,90,0),0)*(1-S$309)</f>
        <v>0</v>
      </c>
      <c r="T67" s="1240">
        <f>+IFERROR(HLOOKUP(T32,'סקרי נכסים-יתרות פתיחה'!$2:$110,5,0),0)-IFERROR(HLOOKUP(T32,'סקרי נכסים-יתרות פתיחה'!$2:$110,90,0),0)*(1-T$309)</f>
        <v>0</v>
      </c>
      <c r="U67" s="1240">
        <f>+IFERROR(HLOOKUP(U32,'סקרי נכסים-יתרות פתיחה'!$2:$110,5,0),0)-IFERROR(HLOOKUP(U32,'סקרי נכסים-יתרות פתיחה'!$2:$110,90,0),0)*(1-U$309)</f>
        <v>0</v>
      </c>
      <c r="V67" s="1240">
        <f>+IFERROR(HLOOKUP(V32,'סקרי נכסים-יתרות פתיחה'!$2:$110,5,0),0)-IFERROR(HLOOKUP(V32,'סקרי נכסים-יתרות פתיחה'!$2:$110,90,0),0)*(1-V$309)</f>
        <v>0</v>
      </c>
      <c r="W67" s="1240">
        <f>+IFERROR(HLOOKUP(W32,'סקרי נכסים-יתרות פתיחה'!$2:$110,5,0),0)-IFERROR(HLOOKUP(W32,'סקרי נכסים-יתרות פתיחה'!$2:$110,90,0),0)*(1-W$309)</f>
        <v>0</v>
      </c>
      <c r="X67" s="1240">
        <f>+IFERROR(HLOOKUP(X32,'סקרי נכסים-יתרות פתיחה'!$2:$110,5,0),0)-IFERROR(HLOOKUP(X32,'סקרי נכסים-יתרות פתיחה'!$2:$110,90,0),0)*(1-X$309)</f>
        <v>0</v>
      </c>
      <c r="Y67" s="1240">
        <f>+IFERROR(HLOOKUP(Y32,'סקרי נכסים-יתרות פתיחה'!$2:$110,5,0),0)-IFERROR(HLOOKUP(Y32,'סקרי נכסים-יתרות פתיחה'!$2:$110,90,0),0)*(1-Y$309)</f>
        <v>0</v>
      </c>
      <c r="Z67" s="1240">
        <f>+IFERROR(HLOOKUP(Z32,'סקרי נכסים-יתרות פתיחה'!$2:$110,5,0),0)-IFERROR(HLOOKUP(Z32,'סקרי נכסים-יתרות פתיחה'!$2:$110,90,0),0)*(1-Z$309)</f>
        <v>0</v>
      </c>
      <c r="AA67" s="1240">
        <f>+IFERROR(HLOOKUP(AA32,'סקרי נכסים-יתרות פתיחה'!$2:$110,5,0),0)-IFERROR(HLOOKUP(AA32,'סקרי נכסים-יתרות פתיחה'!$2:$110,90,0),0)*(1-AA$309)</f>
        <v>0</v>
      </c>
      <c r="AB67" s="1240">
        <f>+IFERROR(HLOOKUP(AB32,'סקרי נכסים-יתרות פתיחה'!$2:$110,5,0),0)-IFERROR(HLOOKUP(AB32,'סקרי נכסים-יתרות פתיחה'!$2:$110,90,0),0)*(1-AB$309)</f>
        <v>0</v>
      </c>
      <c r="AC67" s="1240">
        <f>+IFERROR(HLOOKUP(AC32,'סקרי נכסים-יתרות פתיחה'!$2:$110,5,0),0)-IFERROR(HLOOKUP(AC32,'סקרי נכסים-יתרות פתיחה'!$2:$110,90,0),0)*(1-AC$309)</f>
        <v>0</v>
      </c>
      <c r="AD67" s="1240">
        <f>+IFERROR(HLOOKUP(AD32,'סקרי נכסים-יתרות פתיחה'!$2:$110,5,0),0)-IFERROR(HLOOKUP(AD32,'סקרי נכסים-יתרות פתיחה'!$2:$110,90,0),0)*(1-AD$309)</f>
        <v>0</v>
      </c>
      <c r="AE67" s="1240">
        <f>+IFERROR(HLOOKUP(AE32,'סקרי נכסים-יתרות פתיחה'!$2:$110,5,0),0)-IFERROR(HLOOKUP(AE32,'סקרי נכסים-יתרות פתיחה'!$2:$110,90,0),0)*(1-AE$309)</f>
        <v>0</v>
      </c>
      <c r="AF67" s="1240">
        <f>+IFERROR(HLOOKUP(AF32,'סקרי נכסים-יתרות פתיחה'!$2:$110,5,0),0)-IFERROR(HLOOKUP(AF32,'סקרי נכסים-יתרות פתיחה'!$2:$110,90,0),0)*(1-AF$309)</f>
        <v>0</v>
      </c>
      <c r="AG67" s="1240">
        <f>+IFERROR(HLOOKUP(AG32,'סקרי נכסים-יתרות פתיחה'!$2:$110,5,0),0)-IFERROR(HLOOKUP(AG32,'סקרי נכסים-יתרות פתיחה'!$2:$110,90,0),0)*(1-AG$309)</f>
        <v>0</v>
      </c>
      <c r="AH67" s="1240">
        <f>+IFERROR(HLOOKUP(AH32,'סקרי נכסים-יתרות פתיחה'!$2:$110,5,0),0)-IFERROR(HLOOKUP(AH32,'סקרי נכסים-יתרות פתיחה'!$2:$110,90,0),0)*(1-AH$309)</f>
        <v>0</v>
      </c>
      <c r="AI67" s="1240">
        <f>+IFERROR(HLOOKUP(AI32,'סקרי נכסים-יתרות פתיחה'!$2:$110,5,0),0)-IFERROR(HLOOKUP(AI32,'סקרי נכסים-יתרות פתיחה'!$2:$110,90,0),0)*(1-AI$309)</f>
        <v>0</v>
      </c>
      <c r="AJ67" s="1240">
        <f>+IFERROR(HLOOKUP(AJ32,'סקרי נכסים-יתרות פתיחה'!$2:$110,5,0),0)-IFERROR(HLOOKUP(AJ32,'סקרי נכסים-יתרות פתיחה'!$2:$110,90,0),0)*(1-AJ$309)</f>
        <v>0</v>
      </c>
      <c r="AK67" s="1240">
        <f>+IFERROR(HLOOKUP(AK32,'סקרי נכסים-יתרות פתיחה'!$2:$110,5,0),0)-IFERROR(HLOOKUP(AK32,'סקרי נכסים-יתרות פתיחה'!$2:$110,90,0),0)*(1-AK$309)</f>
        <v>0</v>
      </c>
      <c r="AL67" s="1240">
        <f>+IFERROR(HLOOKUP(AL32,'סקרי נכסים-יתרות פתיחה'!$2:$110,5,0),0)-IFERROR(HLOOKUP(AL32,'סקרי נכסים-יתרות פתיחה'!$2:$110,90,0),0)*(1-AL$309)</f>
        <v>0</v>
      </c>
      <c r="AM67" s="1240">
        <f>+IFERROR(HLOOKUP(AM32,'סקרי נכסים-יתרות פתיחה'!$2:$110,5,0),0)-IFERROR(HLOOKUP(AM32,'סקרי נכסים-יתרות פתיחה'!$2:$110,90,0),0)*(1-AM$309)</f>
        <v>0</v>
      </c>
      <c r="AN67" s="1240">
        <f>+IFERROR(HLOOKUP(AN32,'סקרי נכסים-יתרות פתיחה'!$2:$110,5,0),0)-IFERROR(HLOOKUP(AN32,'סקרי נכסים-יתרות פתיחה'!$2:$110,90,0),0)*(1-AN$309)</f>
        <v>0</v>
      </c>
      <c r="AO67" s="1240">
        <f>+IFERROR(HLOOKUP(AO32,'סקרי נכסים-יתרות פתיחה'!$2:$110,5,0),0)-IFERROR(HLOOKUP(AO32,'סקרי נכסים-יתרות פתיחה'!$2:$110,90,0),0)*(1-AO$309)</f>
        <v>0</v>
      </c>
      <c r="AP67" s="1240">
        <f>+IFERROR(HLOOKUP(AP32,'סקרי נכסים-יתרות פתיחה'!$2:$110,5,0),0)-IFERROR(HLOOKUP(AP32,'סקרי נכסים-יתרות פתיחה'!$2:$110,90,0),0)*(1-AP$309)</f>
        <v>0</v>
      </c>
      <c r="AQ67" s="1240">
        <f>+IFERROR(HLOOKUP(AQ32,'סקרי נכסים-יתרות פתיחה'!$2:$110,5,0),0)-IFERROR(HLOOKUP(AQ32,'סקרי נכסים-יתרות פתיחה'!$2:$110,90,0),0)*(1-AQ$309)</f>
        <v>0</v>
      </c>
      <c r="AR67" s="1240">
        <f>+IFERROR(HLOOKUP(AR32,'סקרי נכסים-יתרות פתיחה'!$2:$110,5,0),0)-IFERROR(HLOOKUP(AR32,'סקרי נכסים-יתרות פתיחה'!$2:$110,90,0),0)*(1-AR$309)</f>
        <v>0</v>
      </c>
      <c r="AS67" s="1240">
        <f>+IFERROR(HLOOKUP(AS32,'סקרי נכסים-יתרות פתיחה'!$2:$110,5,0),0)-IFERROR(HLOOKUP(AS32,'סקרי נכסים-יתרות פתיחה'!$2:$110,90,0),0)*(1-AS$309)</f>
        <v>0</v>
      </c>
      <c r="AT67" s="1240">
        <f>+IFERROR(HLOOKUP(AT32,'סקרי נכסים-יתרות פתיחה'!$2:$110,5,0),0)-IFERROR(HLOOKUP(AT32,'סקרי נכסים-יתרות פתיחה'!$2:$110,90,0),0)*(1-AT$309)</f>
        <v>0</v>
      </c>
      <c r="AU67" s="1240">
        <f>+IFERROR(HLOOKUP(AU32,'סקרי נכסים-יתרות פתיחה'!$2:$110,5,0),0)-IFERROR(HLOOKUP(AU32,'סקרי נכסים-יתרות פתיחה'!$2:$110,90,0),0)*(1-AU$309)</f>
        <v>0</v>
      </c>
      <c r="AV67" s="1240">
        <f>+IFERROR(HLOOKUP(AV32,'סקרי נכסים-יתרות פתיחה'!$2:$110,5,0),0)-IFERROR(HLOOKUP(AV32,'סקרי נכסים-יתרות פתיחה'!$2:$110,90,0),0)*(1-AV$309)</f>
        <v>0</v>
      </c>
      <c r="AW67" s="1240">
        <f>+IFERROR(HLOOKUP(AW32,'סקרי נכסים-יתרות פתיחה'!$2:$110,5,0),0)-IFERROR(HLOOKUP(AW32,'סקרי נכסים-יתרות פתיחה'!$2:$110,90,0),0)*(1-AW$309)</f>
        <v>0</v>
      </c>
      <c r="AX67" s="1240">
        <f>+IFERROR(HLOOKUP(AX32,'סקרי נכסים-יתרות פתיחה'!$2:$110,5,0),0)-IFERROR(HLOOKUP(AX32,'סקרי נכסים-יתרות פתיחה'!$2:$110,90,0),0)*(1-AX$309)</f>
        <v>0</v>
      </c>
      <c r="AY67" s="1240">
        <f>+IFERROR(HLOOKUP(AY32,'סקרי נכסים-יתרות פתיחה'!$2:$110,5,0),0)-IFERROR(HLOOKUP(AY32,'סקרי נכסים-יתרות פתיחה'!$2:$110,90,0),0)*(1-AY$309)</f>
        <v>0</v>
      </c>
      <c r="AZ67" s="1240">
        <f>+IFERROR(HLOOKUP(AZ32,'סקרי נכסים-יתרות פתיחה'!$2:$110,5,0),0)-IFERROR(HLOOKUP(AZ32,'סקרי נכסים-יתרות פתיחה'!$2:$110,90,0),0)*(1-AZ$309)</f>
        <v>0</v>
      </c>
      <c r="BA67" s="1240">
        <f>+IFERROR(HLOOKUP(BA32,'סקרי נכסים-יתרות פתיחה'!$2:$110,5,0),0)-IFERROR(HLOOKUP(BA32,'סקרי נכסים-יתרות פתיחה'!$2:$110,90,0),0)*(1-BA$309)</f>
        <v>0</v>
      </c>
      <c r="BB67" s="1240">
        <f>+IFERROR(HLOOKUP(BB32,'סקרי נכסים-יתרות פתיחה'!$2:$110,5,0),0)-IFERROR(HLOOKUP(BB32,'סקרי נכסים-יתרות פתיחה'!$2:$110,90,0),0)*(1-BB$309)</f>
        <v>0</v>
      </c>
      <c r="BC67" s="1240">
        <f>+IFERROR(HLOOKUP(BC32,'סקרי נכסים-יתרות פתיחה'!$2:$110,5,0),0)-IFERROR(HLOOKUP(BC32,'סקרי נכסים-יתרות פתיחה'!$2:$110,90,0),0)*(1-BC$309)</f>
        <v>0</v>
      </c>
      <c r="BD67" s="1240">
        <f>+IFERROR(HLOOKUP(BD32,'סקרי נכסים-יתרות פתיחה'!$2:$110,5,0),0)-IFERROR(HLOOKUP(BD32,'סקרי נכסים-יתרות פתיחה'!$2:$110,90,0),0)*(1-BD$309)</f>
        <v>0</v>
      </c>
      <c r="BE67" s="1240">
        <f>+IFERROR(HLOOKUP(BE32,'סקרי נכסים-יתרות פתיחה'!$2:$110,5,0),0)-IFERROR(HLOOKUP(BE32,'סקרי נכסים-יתרות פתיחה'!$2:$110,90,0),0)*(1-BE$309)</f>
        <v>0</v>
      </c>
      <c r="BF67" s="1240">
        <f>+IFERROR(HLOOKUP(BF32,'סקרי נכסים-יתרות פתיחה'!$2:$110,5,0),0)-IFERROR(HLOOKUP(BF32,'סקרי נכסים-יתרות פתיחה'!$2:$110,90,0),0)*(1-BF$309)</f>
        <v>0</v>
      </c>
    </row>
    <row r="68" spans="1:62" x14ac:dyDescent="0.2">
      <c r="A68" s="1228" t="s">
        <v>1538</v>
      </c>
      <c r="C68" s="1240">
        <f>+IFERROR(HLOOKUP(C1,'השקעות בניכוי גריעות'!$1:$93,28,0)*1000,0)+HLOOKUP(C1,'השקעות 2012-2014'!$1:$31,31,0)*1000</f>
        <v>48024000</v>
      </c>
      <c r="D68" s="1240">
        <f>+IFERROR(HLOOKUP(D1,'השקעות בניכוי גריעות'!$1:$93,28,0)*1000,0)+HLOOKUP(D1,'השקעות 2012-2014'!$1:$31,31,0)*1000</f>
        <v>12188000</v>
      </c>
      <c r="E68" s="1240">
        <f>+IFERROR(HLOOKUP(E1,'השקעות בניכוי גריעות'!$1:$93,28,0)*1000,0)+HLOOKUP(E1,'השקעות 2012-2014'!$1:$31,31,0)*1000</f>
        <v>23362000</v>
      </c>
      <c r="F68" s="1240">
        <f>+IFERROR(HLOOKUP(F1,'השקעות בניכוי גריעות'!$1:$93,28,0)*1000,0)+HLOOKUP(F1,'השקעות 2012-2014'!$1:$31,31,0)*1000</f>
        <v>5643000</v>
      </c>
      <c r="G68" s="1240">
        <f>+IFERROR(HLOOKUP(G1,'השקעות בניכוי גריעות'!$1:$93,28,0)*1000,0)+HLOOKUP(G1,'השקעות 2012-2014'!$1:$31,31,0)*1000+6959665</f>
        <v>18681665</v>
      </c>
      <c r="H68" s="1240">
        <f>+IFERROR(HLOOKUP(H1,'השקעות בניכוי גריעות'!$1:$93,28,0)*1000,0)+HLOOKUP(H1,'השקעות 2012-2014'!$1:$31,31,0)*1000</f>
        <v>116867000</v>
      </c>
      <c r="I68" s="1240">
        <f>+IFERROR(HLOOKUP(I1,'השקעות בניכוי גריעות'!$1:$93,28,0)*1000,0)+HLOOKUP(I1,'השקעות 2012-2014'!$1:$31,31,0)*1000</f>
        <v>81815000</v>
      </c>
      <c r="J68" s="1240">
        <f>+IFERROR(HLOOKUP(J1,'השקעות בניכוי גריעות'!$1:$93,28,0)*1000,0)+HLOOKUP(J1,'השקעות 2012-2014'!$1:$31,31,0)*1000</f>
        <v>7992000</v>
      </c>
      <c r="K68" s="1240">
        <f>+IFERROR(HLOOKUP(K1,'השקעות בניכוי גריעות'!$1:$93,28,0)*1000,0)+HLOOKUP(K1,'השקעות 2012-2014'!$1:$31,31,0)*1000+9972100</f>
        <v>19703100</v>
      </c>
      <c r="L68" s="1240">
        <f>+IFERROR(HLOOKUP(L1,'השקעות בניכוי גריעות'!$1:$93,28,0)*1000,0)+HLOOKUP(L1,'השקעות 2012-2014'!$1:$31,31,0)*1000</f>
        <v>24775000</v>
      </c>
      <c r="M68" s="1240">
        <f>+IFERROR(HLOOKUP(M1,'השקעות בניכוי גריעות'!$1:$93,28,0)*1000,0)+HLOOKUP(M1,'השקעות 2012-2014'!$1:$31,31,0)*1000</f>
        <v>11236000</v>
      </c>
      <c r="N68" s="1240">
        <f>+IFERROR(HLOOKUP(N1,'השקעות בניכוי גריעות'!$1:$93,28,0)*1000,0)+HLOOKUP(N1,'השקעות 2012-2014'!$1:$31,31,0)*1000</f>
        <v>39843000</v>
      </c>
      <c r="O68" s="1240">
        <f>+IFERROR(HLOOKUP(O1,'השקעות בניכוי גריעות'!$1:$93,28,0)*1000,0)+HLOOKUP(O1,'השקעות 2012-2014'!$1:$31,31,0)*1000</f>
        <v>67635000</v>
      </c>
      <c r="P68" s="1240">
        <f>+IFERROR(HLOOKUP(P1,'השקעות בניכוי גריעות'!$1:$93,28,0)*1000,0)+HLOOKUP(P1,'השקעות 2012-2014'!$1:$31,31,0)*1000</f>
        <v>28702000</v>
      </c>
      <c r="Q68" s="1240">
        <f>+IFERROR(HLOOKUP(Q1,'השקעות בניכוי גריעות'!$1:$93,28,0)*1000,0)+HLOOKUP(Q1,'השקעות 2012-2014'!$1:$31,31,0)*1000</f>
        <v>20090000</v>
      </c>
      <c r="R68" s="1240">
        <f>+IFERROR(HLOOKUP(R1,'השקעות בניכוי גריעות'!$1:$93,28,0)*1000,0)+HLOOKUP(R1,'השקעות 2012-2014'!$1:$31,31,0)*1000</f>
        <v>21171633</v>
      </c>
      <c r="S68" s="1240">
        <f>+IFERROR(HLOOKUP(S1,'השקעות בניכוי גריעות'!$1:$93,28,0)*1000,0)+HLOOKUP(S1,'השקעות 2012-2014'!$1:$31,31,0)*1000</f>
        <v>19653000</v>
      </c>
      <c r="T68" s="1240">
        <f>+IFERROR(HLOOKUP(T1,'השקעות בניכוי גריעות'!$1:$93,28,0)*1000,0)+HLOOKUP(T1,'השקעות 2012-2014'!$1:$31,31,0)*1000</f>
        <v>21040928.022</v>
      </c>
      <c r="U68" s="1240">
        <f>+IFERROR(HLOOKUP(U1,'השקעות בניכוי גריעות'!$1:$93,28,0)*1000,0)+HLOOKUP(U1,'השקעות 2012-2014'!$1:$31,31,0)*1000</f>
        <v>21372000</v>
      </c>
      <c r="V68" s="1240">
        <f>+IFERROR(HLOOKUP(V1,'השקעות בניכוי גריעות'!$1:$93,28,0)*1000,0)+HLOOKUP(V1,'השקעות 2012-2014'!$1:$31,31,0)*1000</f>
        <v>19555000</v>
      </c>
      <c r="W68" s="1240">
        <f>+IFERROR(HLOOKUP(W1,'השקעות בניכוי גריעות'!$1:$93,28,0)*1000,0)+HLOOKUP(W1,'השקעות 2012-2014'!$1:$31,31,0)*1000</f>
        <v>13717154</v>
      </c>
      <c r="X68" s="1240">
        <f>+IFERROR(HLOOKUP(X1,'השקעות בניכוי גריעות'!$1:$93,28,0)*1000,0)+HLOOKUP(X1,'השקעות 2012-2014'!$1:$31,31,0)*1000</f>
        <v>42859281</v>
      </c>
      <c r="Y68" s="1240">
        <f>+IFERROR(HLOOKUP(Y1,'השקעות בניכוי גריעות'!$1:$93,28,0)*1000,0)+HLOOKUP(Y1,'השקעות 2012-2014'!$1:$31,31,0)*1000</f>
        <v>5485000</v>
      </c>
      <c r="Z68" s="1240">
        <f>+IFERROR(HLOOKUP(Z1,'השקעות בניכוי גריעות'!$1:$93,28,0)*1000,0)+HLOOKUP(Z1,'השקעות 2012-2014'!$1:$31,31,0)*1000</f>
        <v>19547000</v>
      </c>
      <c r="AA68" s="1240">
        <f>+IFERROR(HLOOKUP(AA1,'השקעות בניכוי גריעות'!$1:$93,28,0)*1000,0)+HLOOKUP(AA1,'השקעות 2012-2014'!$1:$31,31,0)*1000</f>
        <v>10210000</v>
      </c>
      <c r="AB68" s="1240">
        <f>+IFERROR(HLOOKUP(AB1,'השקעות בניכוי גריעות'!$1:$93,28,0)*1000,0)+HLOOKUP(AB1,'השקעות 2012-2014'!$1:$31,31,0)*1000</f>
        <v>10695000</v>
      </c>
      <c r="AC68" s="1240">
        <f>+IFERROR(HLOOKUP(AC1,'השקעות בניכוי גריעות'!$1:$93,28,0)*1000,0)+HLOOKUP(AC1,'השקעות 2012-2014'!$1:$31,31,0)*1000</f>
        <v>24496000</v>
      </c>
      <c r="AD68" s="1240">
        <f>+IFERROR(HLOOKUP(AD1,'השקעות בניכוי גריעות'!$1:$93,28,0)*1000,0)+HLOOKUP(AD1,'השקעות 2012-2014'!$1:$31,31,0)*1000</f>
        <v>11857000</v>
      </c>
      <c r="AE68" s="1240">
        <f>+IFERROR(HLOOKUP(AE1,'השקעות בניכוי גריעות'!$1:$93,28,0)*1000,0)+HLOOKUP(AE1,'השקעות 2012-2014'!$1:$31,31,0)*1000</f>
        <v>42998000</v>
      </c>
      <c r="AF68" s="1240">
        <f>+IFERROR(HLOOKUP(AF1,'השקעות בניכוי גריעות'!$1:$93,28,0)*1000,0)+HLOOKUP(AF1,'השקעות 2012-2014'!$1:$31,31,0)*1000</f>
        <v>32196000</v>
      </c>
      <c r="AG68" s="1240">
        <f>+IFERROR(HLOOKUP(AG1,'השקעות בניכוי גריעות'!$1:$93,28,0)*1000,0)+HLOOKUP(AG1,'השקעות 2012-2014'!$1:$31,31,0)*1000</f>
        <v>6151000</v>
      </c>
      <c r="AH68" s="1240">
        <f>+IFERROR(HLOOKUP(AH1,'השקעות בניכוי גריעות'!$1:$93,28,0)*1000,0)+HLOOKUP(AH1,'השקעות 2012-2014'!$1:$31,31,0)*1000+16119954</f>
        <v>16418954</v>
      </c>
      <c r="AI68" s="1240">
        <f>+IFERROR(HLOOKUP(AI1,'השקעות בניכוי גריעות'!$1:$93,28,0)*1000,0)+HLOOKUP(AI1,'השקעות 2012-2014'!$1:$31,31,0)*1000+9792950</f>
        <v>12457950</v>
      </c>
      <c r="AJ68" s="1240">
        <f>+IFERROR(HLOOKUP(AJ1,'השקעות בניכוי גריעות'!$1:$93,28,0)*1000,0)+HLOOKUP(AJ1,'השקעות 2012-2014'!$1:$31,31,0)*1000+1077000*1.1</f>
        <v>2711700</v>
      </c>
      <c r="AK68" s="1240">
        <f>+IFERROR(HLOOKUP(AK1,'השקעות בניכוי גריעות'!$1:$93,28,0)*1000,0)+HLOOKUP(AK1,'השקעות 2012-2014'!$1:$31,31,0)*1000</f>
        <v>1166000</v>
      </c>
      <c r="AL68" s="1240">
        <f>+IFERROR(HLOOKUP(AL1,'השקעות בניכוי גריעות'!$1:$93,28,0)*1000,0)+HLOOKUP(AL1,'השקעות 2012-2014'!$1:$31,31,0)*1000</f>
        <v>47281000</v>
      </c>
      <c r="AM68" s="1240">
        <f>+IFERROR(HLOOKUP(AM1,'השקעות בניכוי גריעות'!$1:$93,28,0)*1000,0)+HLOOKUP(AM1,'השקעות 2012-2014'!$1:$31,31,0)*1000</f>
        <v>5437000</v>
      </c>
      <c r="AN68" s="1240">
        <f>+IFERROR(HLOOKUP(AN1,'השקעות בניכוי גריעות'!$1:$93,28,0)*1000,0)+HLOOKUP(AN1,'השקעות 2012-2014'!$1:$31,31,0)*1000+4188560</f>
        <v>17828560</v>
      </c>
      <c r="AO68" s="1240">
        <f>+IFERROR(HLOOKUP(AO1,'השקעות בניכוי גריעות'!$1:$93,28,0)*1000,0)+HLOOKUP(AO1,'השקעות 2012-2014'!$1:$31,31,0)*1000</f>
        <v>11513000</v>
      </c>
      <c r="AP68" s="1240">
        <f>+IFERROR(HLOOKUP(AP1,'השקעות בניכוי גריעות'!$1:$93,28,0)*1000,0)+HLOOKUP(AP1,'השקעות 2012-2014'!$1:$31,31,0)*1000</f>
        <v>11821483</v>
      </c>
      <c r="AQ68" s="1240">
        <f>+IFERROR(HLOOKUP(AQ1,'השקעות בניכוי גריעות'!$1:$93,28,0)*1000,0)+HLOOKUP(AQ1,'השקעות 2012-2014'!$1:$31,31,0)*1000</f>
        <v>31693000</v>
      </c>
      <c r="AR68" s="1240">
        <f>+IFERROR(HLOOKUP(AR1,'השקעות בניכוי גריעות'!$1:$93,28,0)*1000,0)+HLOOKUP(AR1,'השקעות 2012-2014'!$1:$31,31,0)*1000</f>
        <v>10267000</v>
      </c>
      <c r="AS68" s="1240">
        <f>+IFERROR(HLOOKUP(AS1,'השקעות בניכוי גריעות'!$1:$93,28,0)*1000,0)+HLOOKUP(AS1,'השקעות 2012-2014'!$1:$31,31,0)*1000</f>
        <v>0</v>
      </c>
      <c r="AT68" s="1240">
        <f>+IFERROR(HLOOKUP(AT1,'השקעות בניכוי גריעות'!$1:$93,28,0)*1000,0)+HLOOKUP(AT1,'השקעות 2012-2014'!$1:$31,31,0)*1000</f>
        <v>23773146</v>
      </c>
      <c r="AU68" s="1240">
        <f>+IFERROR(HLOOKUP(AU1,'השקעות בניכוי גריעות'!$1:$93,28,0)*1000,0)+HLOOKUP(AU1,'השקעות 2012-2014'!$1:$31,31,0)*1000</f>
        <v>29979000</v>
      </c>
      <c r="AV68" s="1240">
        <f>+IFERROR(HLOOKUP(AV1,'השקעות בניכוי גריעות'!$1:$93,28,0)*1000,0)+HLOOKUP(AV1,'השקעות 2012-2014'!$1:$31,31,0)*1000</f>
        <v>29376000</v>
      </c>
      <c r="AW68" s="1240">
        <f>+IFERROR(HLOOKUP(AW1,'השקעות בניכוי גריעות'!$1:$93,28,0)*1000,0)+HLOOKUP(AW1,'השקעות 2012-2014'!$1:$31,31,0)*1000</f>
        <v>12851000</v>
      </c>
      <c r="AX68" s="1240">
        <f>+IFERROR(HLOOKUP(AX1,'השקעות בניכוי גריעות'!$1:$93,28,0)*1000,0)+HLOOKUP(AX1,'השקעות 2012-2014'!$1:$31,31,0)*1000</f>
        <v>7744895</v>
      </c>
      <c r="AY68" s="1240">
        <f>+IFERROR(HLOOKUP(AY1,'השקעות בניכוי גריעות'!$1:$93,28,0)*1000,0)+HLOOKUP(AY1,'השקעות 2012-2014'!$1:$31,31,0)*1000</f>
        <v>1257000</v>
      </c>
      <c r="AZ68" s="1240">
        <f>+IFERROR(HLOOKUP(AZ1,'השקעות בניכוי גריעות'!$1:$93,28,0)*1000,0)+HLOOKUP(AZ1,'השקעות 2012-2014'!$1:$31,31,0)*1000</f>
        <v>17572000</v>
      </c>
      <c r="BA68" s="1240">
        <f>+IFERROR(HLOOKUP(BA1,'השקעות בניכוי גריעות'!$1:$93,28,0)*1000,0)+HLOOKUP(BA1,'השקעות 2012-2014'!$1:$31,31,0)*1000</f>
        <v>9786000</v>
      </c>
      <c r="BB68" s="1240">
        <f>+IFERROR(HLOOKUP(BB1,'השקעות בניכוי גריעות'!$1:$93,28,0)*1000,0)+HLOOKUP(BB1,'השקעות 2012-2014'!$1:$31,31,0)*1000</f>
        <v>20980800</v>
      </c>
      <c r="BC68" s="1240">
        <f>+IFERROR(HLOOKUP(BC1,'השקעות בניכוי גריעות'!$1:$93,28,0)*1000,0)+HLOOKUP(BC1,'השקעות 2012-2014'!$1:$31,31,0)*1000</f>
        <v>40419000</v>
      </c>
      <c r="BD68" s="1240">
        <f>+IFERROR(HLOOKUP(BD1,'השקעות בניכוי גריעות'!$1:$93,28,0)*1000,0)+HLOOKUP(BD1,'השקעות 2012-2014'!$1:$31,31,0)*1000</f>
        <v>8423900</v>
      </c>
      <c r="BE68" s="1240">
        <f>+IFERROR(HLOOKUP(BE1,'השקעות בניכוי גריעות'!$1:$93,28,0)*1000,0)+HLOOKUP(BE1,'השקעות 2012-2014'!$1:$31,31,0)*1000</f>
        <v>2607000</v>
      </c>
      <c r="BF68" s="1240">
        <f>+IFERROR(HLOOKUP(BF1,'השקעות בניכוי גריעות'!$1:$93,28,0)*1000,0)+HLOOKUP(BF1,'השקעות 2012-2014'!$1:$31,31,0)*1000</f>
        <v>0</v>
      </c>
      <c r="BG68" s="78">
        <f>MIN(C68:BE68)</f>
        <v>0</v>
      </c>
      <c r="BH68" s="78">
        <f>SUM(C68:BE68)</f>
        <v>1222926149.0219998</v>
      </c>
      <c r="BJ68" s="5">
        <v>1241484092.0219998</v>
      </c>
    </row>
    <row r="69" spans="1:62" x14ac:dyDescent="0.2">
      <c r="A69" s="1228"/>
      <c r="C69" s="78"/>
      <c r="D69" s="78"/>
      <c r="E69" s="78"/>
      <c r="F69" s="78"/>
      <c r="G69" s="78"/>
      <c r="H69" s="78"/>
      <c r="I69" s="78"/>
      <c r="J69" s="78"/>
      <c r="K69" s="78"/>
      <c r="L69" s="78"/>
      <c r="M69" s="78"/>
      <c r="N69" s="78"/>
      <c r="O69" s="78"/>
      <c r="P69" s="78"/>
      <c r="Q69" s="78"/>
      <c r="R69" s="78"/>
      <c r="S69" s="78"/>
      <c r="T69" s="78"/>
      <c r="U69" s="78"/>
      <c r="V69" s="78"/>
      <c r="W69" s="78"/>
      <c r="X69" s="78"/>
      <c r="Y69" s="78"/>
      <c r="Z69" s="78"/>
      <c r="AA69" s="78"/>
      <c r="AB69" s="78"/>
      <c r="AC69" s="78"/>
      <c r="AD69" s="78"/>
      <c r="AE69" s="78"/>
      <c r="AF69" s="78"/>
      <c r="AG69" s="78"/>
      <c r="AH69" s="78"/>
      <c r="AI69" s="78"/>
      <c r="AJ69" s="78"/>
      <c r="AK69" s="78"/>
      <c r="AL69" s="78"/>
      <c r="AM69" s="78"/>
      <c r="AN69" s="78"/>
      <c r="AO69" s="78"/>
      <c r="AP69" s="78"/>
      <c r="AQ69" s="78"/>
      <c r="AR69" s="78"/>
      <c r="AS69" s="78"/>
      <c r="AT69" s="78"/>
      <c r="AU69" s="78"/>
      <c r="AV69" s="78"/>
      <c r="AW69" s="78"/>
      <c r="AX69" s="78"/>
      <c r="AY69" s="78"/>
      <c r="AZ69" s="78"/>
      <c r="BA69" s="78"/>
      <c r="BB69" s="78"/>
      <c r="BC69" s="78"/>
      <c r="BD69" s="78"/>
      <c r="BE69" s="78"/>
      <c r="BF69" s="78"/>
      <c r="BH69" s="78"/>
      <c r="BJ69" s="5"/>
    </row>
    <row r="70" spans="1:62" s="43" customFormat="1" x14ac:dyDescent="0.2">
      <c r="A70" s="43" t="s">
        <v>164</v>
      </c>
      <c r="C70" s="812">
        <f>SUM(C39:C68)/1000</f>
        <v>293470.06635714287</v>
      </c>
      <c r="D70" s="812">
        <f t="shared" ref="D70:BE70" si="1">SUM(D39:D68)/1000</f>
        <v>73844.097999999998</v>
      </c>
      <c r="E70" s="812">
        <f t="shared" si="1"/>
        <v>216026.84662857142</v>
      </c>
      <c r="F70" s="812">
        <f t="shared" si="1"/>
        <v>38748.623771428567</v>
      </c>
      <c r="G70" s="812">
        <f t="shared" si="1"/>
        <v>112288.89791428571</v>
      </c>
      <c r="H70" s="812">
        <f>SUM(H39:H68)/1000</f>
        <v>928465.3225952381</v>
      </c>
      <c r="I70" s="812">
        <f t="shared" si="1"/>
        <v>330448.56800000003</v>
      </c>
      <c r="J70" s="812">
        <f t="shared" si="1"/>
        <v>72999.634285714288</v>
      </c>
      <c r="K70" s="812">
        <f t="shared" si="1"/>
        <v>113107.6661142857</v>
      </c>
      <c r="L70" s="812">
        <f t="shared" si="1"/>
        <v>111512.8360857143</v>
      </c>
      <c r="M70" s="812">
        <f>SUM(M39:M68)/1000</f>
        <v>136763.77142857143</v>
      </c>
      <c r="N70" s="812">
        <f t="shared" si="1"/>
        <v>261481.22854285716</v>
      </c>
      <c r="O70" s="812">
        <f t="shared" si="1"/>
        <v>220100.81535238097</v>
      </c>
      <c r="P70" s="812">
        <f t="shared" si="1"/>
        <v>161278.34400000001</v>
      </c>
      <c r="Q70" s="812">
        <f t="shared" si="1"/>
        <v>82954.309028571428</v>
      </c>
      <c r="R70" s="812">
        <f t="shared" si="1"/>
        <v>82800.850514285718</v>
      </c>
      <c r="S70" s="812">
        <f t="shared" si="1"/>
        <v>53669.832999999999</v>
      </c>
      <c r="T70" s="812">
        <f t="shared" si="1"/>
        <v>96285.579022000005</v>
      </c>
      <c r="U70" s="812">
        <f t="shared" si="1"/>
        <v>101110.51245714286</v>
      </c>
      <c r="V70" s="812">
        <f t="shared" si="1"/>
        <v>86553.357000000004</v>
      </c>
      <c r="W70" s="812">
        <f t="shared" si="1"/>
        <v>112008.234</v>
      </c>
      <c r="X70" s="812">
        <f t="shared" si="1"/>
        <v>137437.39000000001</v>
      </c>
      <c r="Y70" s="812">
        <f t="shared" si="1"/>
        <v>57564.143314285713</v>
      </c>
      <c r="Z70" s="812">
        <f t="shared" si="1"/>
        <v>68264.565257142851</v>
      </c>
      <c r="AA70" s="812">
        <f t="shared" si="1"/>
        <v>111512.52451904761</v>
      </c>
      <c r="AB70" s="812">
        <f t="shared" si="1"/>
        <v>55052.951999999997</v>
      </c>
      <c r="AC70" s="812">
        <f t="shared" si="1"/>
        <v>134745.51114285714</v>
      </c>
      <c r="AD70" s="812">
        <f t="shared" si="1"/>
        <v>57516.541942857148</v>
      </c>
      <c r="AE70" s="812">
        <f t="shared" si="1"/>
        <v>411745.51957142859</v>
      </c>
      <c r="AF70" s="812">
        <f t="shared" si="1"/>
        <v>84008.929599999989</v>
      </c>
      <c r="AG70" s="812">
        <f t="shared" si="1"/>
        <v>54842.724590476195</v>
      </c>
      <c r="AH70" s="812">
        <f t="shared" si="1"/>
        <v>67114.854000000007</v>
      </c>
      <c r="AI70" s="812">
        <f t="shared" si="1"/>
        <v>54468.272285714287</v>
      </c>
      <c r="AJ70" s="812">
        <f t="shared" si="1"/>
        <v>33099.684885714283</v>
      </c>
      <c r="AK70" s="812">
        <f t="shared" si="1"/>
        <v>27239.448971428574</v>
      </c>
      <c r="AL70" s="812">
        <f t="shared" si="1"/>
        <v>606816.02024761902</v>
      </c>
      <c r="AM70" s="812">
        <f t="shared" si="1"/>
        <v>86420.365152380939</v>
      </c>
      <c r="AN70" s="812">
        <f t="shared" si="1"/>
        <v>94317.430999999997</v>
      </c>
      <c r="AO70" s="812">
        <f t="shared" si="1"/>
        <v>155851.12297142859</v>
      </c>
      <c r="AP70" s="812">
        <f t="shared" si="1"/>
        <v>55344.625714285714</v>
      </c>
      <c r="AQ70" s="812">
        <f t="shared" si="1"/>
        <v>101603.01417142857</v>
      </c>
      <c r="AR70" s="812">
        <f t="shared" si="1"/>
        <v>66453.796461904771</v>
      </c>
      <c r="AS70" s="812">
        <f t="shared" si="1"/>
        <v>114972.967</v>
      </c>
      <c r="AT70" s="812">
        <f t="shared" si="1"/>
        <v>67932.3842</v>
      </c>
      <c r="AU70" s="812">
        <f t="shared" si="1"/>
        <v>83269.109619047609</v>
      </c>
      <c r="AV70" s="812">
        <f t="shared" si="1"/>
        <v>142628.77968095237</v>
      </c>
      <c r="AW70" s="812">
        <f t="shared" si="1"/>
        <v>70095.284390476198</v>
      </c>
      <c r="AX70" s="812">
        <f t="shared" si="1"/>
        <v>47065.218000000001</v>
      </c>
      <c r="AY70" s="812">
        <f t="shared" si="1"/>
        <v>24116.866833333333</v>
      </c>
      <c r="AZ70" s="812">
        <f t="shared" si="1"/>
        <v>100345.26296666666</v>
      </c>
      <c r="BA70" s="812">
        <f t="shared" si="1"/>
        <v>89684.652504761907</v>
      </c>
      <c r="BB70" s="812">
        <f t="shared" si="1"/>
        <v>97993.396999999997</v>
      </c>
      <c r="BC70" s="812">
        <f t="shared" si="1"/>
        <v>109158.617</v>
      </c>
      <c r="BD70" s="812">
        <f t="shared" si="1"/>
        <v>23918.490476190476</v>
      </c>
      <c r="BE70" s="812">
        <f t="shared" si="1"/>
        <v>13157.10942857143</v>
      </c>
      <c r="BF70" s="812">
        <f t="shared" ref="BF70" si="2">SUM(BF39:BF68)/1000</f>
        <v>84644.664999999994</v>
      </c>
      <c r="BH70" s="78">
        <f>SUM(C70:BE70)</f>
        <v>7191676.9709981913</v>
      </c>
      <c r="BJ70" s="49">
        <v>7152954.4095219988</v>
      </c>
    </row>
    <row r="71" spans="1:62" x14ac:dyDescent="0.2">
      <c r="C71" s="78"/>
      <c r="D71" s="78"/>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78"/>
      <c r="AG71" s="78"/>
      <c r="AH71" s="78"/>
      <c r="AI71" s="78"/>
      <c r="AJ71" s="78"/>
      <c r="AK71" s="78"/>
      <c r="AL71" s="78"/>
      <c r="AM71" s="78"/>
      <c r="AN71" s="78"/>
      <c r="AO71" s="78"/>
      <c r="AP71" s="78"/>
      <c r="AQ71" s="78"/>
      <c r="AR71" s="78"/>
      <c r="AS71" s="78"/>
      <c r="AT71" s="78"/>
      <c r="AU71" s="78"/>
      <c r="AV71" s="78"/>
      <c r="AW71" s="78"/>
      <c r="AX71" s="78"/>
      <c r="AY71" s="78"/>
      <c r="AZ71" s="78"/>
      <c r="BA71" s="78"/>
      <c r="BB71" s="78"/>
      <c r="BC71" s="78"/>
      <c r="BD71" s="78"/>
      <c r="BE71" s="78"/>
      <c r="BF71" s="78"/>
      <c r="BG71" s="78"/>
    </row>
    <row r="72" spans="1:62" x14ac:dyDescent="0.2">
      <c r="A72" s="1228" t="s">
        <v>154</v>
      </c>
      <c r="B72" s="1">
        <v>1</v>
      </c>
      <c r="C72" s="1240">
        <f>+IFERROR(HLOOKUP(C4,'סקרי נכסים-יתרות פתיחה'!$2:$110,6,0),0)-IFERROR(HLOOKUP(C4,'סקרי נכסים-יתרות פתיחה'!$2:$110,91,0),0)*(1-C$309)</f>
        <v>18137132.800000001</v>
      </c>
      <c r="D72" s="1240">
        <f>+IFERROR(HLOOKUP(D4,'סקרי נכסים-יתרות פתיחה'!$2:$110,6,0),0)-IFERROR(HLOOKUP(D4,'סקרי נכסים-יתרות פתיחה'!$2:$110,91,0),0)*(1-D$309)</f>
        <v>0</v>
      </c>
      <c r="E72" s="1240">
        <f>+IFERROR(HLOOKUP(E4,'סקרי נכסים-יתרות פתיחה'!$2:$110,6,0),0)-IFERROR(HLOOKUP(E4,'סקרי נכסים-יתרות פתיחה'!$2:$110,91,0),0)*(1-E$309)</f>
        <v>5394285.7142857146</v>
      </c>
      <c r="F72" s="1240">
        <f>+IFERROR(HLOOKUP(F4,'סקרי נכסים-יתרות פתיחה'!$2:$110,6,0),0)-IFERROR(HLOOKUP(F4,'סקרי נכסים-יתרות פתיחה'!$2:$110,91,0),0)*(1-F$309)</f>
        <v>1606400</v>
      </c>
      <c r="G72" s="1240">
        <f>+IFERROR(HLOOKUP(G4,'סקרי נכסים-יתרות פתיחה'!$2:$110,6,0),0)-IFERROR(HLOOKUP(G4,'סקרי נכסים-יתרות פתיחה'!$2:$110,91,0),0)*(1-G$309)</f>
        <v>5090742.8571428573</v>
      </c>
      <c r="H72" s="1240">
        <f>+IFERROR(HLOOKUP(H4,'סקרי נכסים-יתרות פתיחה'!$2:$110,6,0),0)-IFERROR(HLOOKUP(H4,'סקרי נכסים-יתרות פתיחה'!$2:$110,91,0),0)*(1-H$309)</f>
        <v>19586917.485714287</v>
      </c>
      <c r="I72" s="1240">
        <f>+IFERROR(HLOOKUP(I4,'סקרי נכסים-יתרות פתיחה'!$2:$110,6,0),0)-IFERROR(HLOOKUP(I4,'סקרי נכסים-יתרות פתיחה'!$2:$110,91,0),0)*(1-I$309)</f>
        <v>29496320</v>
      </c>
      <c r="J72" s="1240">
        <f>+IFERROR(HLOOKUP(J4,'סקרי נכסים-יתרות פתיחה'!$2:$110,6,0),0)-IFERROR(HLOOKUP(J4,'סקרי נכסים-יתרות פתיחה'!$2:$110,91,0),0)*(1-J$309)</f>
        <v>1576320</v>
      </c>
      <c r="K72" s="1240">
        <f>+IFERROR(HLOOKUP(K4,'סקרי נכסים-יתרות פתיחה'!$2:$110,6,0),0)-IFERROR(HLOOKUP(K4,'סקרי נכסים-יתרות פתיחה'!$2:$110,91,0),0)*(1-K$309)</f>
        <v>5747823.5428571431</v>
      </c>
      <c r="L72" s="1240">
        <f>+IFERROR(HLOOKUP(L4,'סקרי נכסים-יתרות פתיחה'!$2:$110,6,0),0)-IFERROR(HLOOKUP(L4,'סקרי נכסים-יתרות פתיחה'!$2:$110,91,0),0)*(1-L$309)</f>
        <v>22639542.857142858</v>
      </c>
      <c r="M72" s="1240">
        <f>+IFERROR(HLOOKUP(M4,'סקרי נכסים-יתרות פתיחה'!$2:$110,6,0),0)-IFERROR(HLOOKUP(M4,'סקרי נכסים-יתרות פתיחה'!$2:$110,91,0),0)*(1-M$309)</f>
        <v>8432457.1428571437</v>
      </c>
      <c r="N72" s="1240">
        <f>+IFERROR(HLOOKUP(N4,'סקרי נכסים-יתרות פתיחה'!$2:$110,6,0),0)-IFERROR(HLOOKUP(N4,'סקרי נכסים-יתרות פתיחה'!$2:$110,91,0),0)*(1-N$309)</f>
        <v>13465490.285714285</v>
      </c>
      <c r="O72" s="1240">
        <f>+IFERROR(HLOOKUP(O4,'סקרי נכסים-יתרות פתיחה'!$2:$110,6,0),0)-IFERROR(HLOOKUP(O4,'סקרי נכסים-יתרות פתיחה'!$2:$110,91,0),0)*(1-O$309)</f>
        <v>500662.85714285716</v>
      </c>
      <c r="P72" s="1240">
        <f>+IFERROR(HLOOKUP(P4,'סקרי נכסים-יתרות פתיחה'!$2:$110,6,0),0)-IFERROR(HLOOKUP(P4,'סקרי נכסים-יתרות פתיחה'!$2:$110,91,0),0)*(1-P$309)</f>
        <v>803000</v>
      </c>
      <c r="Q72" s="1240">
        <f>+IFERROR(HLOOKUP(Q4,'סקרי נכסים-יתרות פתיחה'!$2:$110,6,0),0)-IFERROR(HLOOKUP(Q4,'סקרי נכסים-יתרות פתיחה'!$2:$110,91,0),0)*(1-Q$309)</f>
        <v>3362786.7428571428</v>
      </c>
      <c r="R72" s="1240">
        <f>+IFERROR(HLOOKUP(R4,'סקרי נכסים-יתרות פתיחה'!$2:$110,6,0),0)-IFERROR(HLOOKUP(R4,'סקרי נכסים-יתרות פתיחה'!$2:$110,91,0),0)*(1-R$309)</f>
        <v>2455754.9714285713</v>
      </c>
      <c r="S72" s="1240">
        <f>+IFERROR(HLOOKUP(S4,'סקרי נכסים-יתרות פתיחה'!$2:$110,6,0),0)-IFERROR(HLOOKUP(S4,'סקרי נכסים-יתרות פתיחה'!$2:$110,91,0),0)*(1-S$309)</f>
        <v>1132143</v>
      </c>
      <c r="T72" s="1240">
        <f>+IFERROR(HLOOKUP(T4,'סקרי נכסים-יתרות פתיחה'!$2:$110,6,0),0)-IFERROR(HLOOKUP(T4,'סקרי נכסים-יתרות פתיחה'!$2:$110,91,0),0)*(1-T$309)</f>
        <v>8762400</v>
      </c>
      <c r="U72" s="1240">
        <f>+IFERROR(HLOOKUP(U4,'סקרי נכסים-יתרות פתיחה'!$2:$110,6,0),0)-IFERROR(HLOOKUP(U4,'סקרי נכסים-יתרות פתיחה'!$2:$110,91,0),0)*(1-U$309)</f>
        <v>5520914.2857142854</v>
      </c>
      <c r="V72" s="1240">
        <f>+IFERROR(HLOOKUP(V4,'סקרי נכסים-יתרות פתיחה'!$2:$110,6,0),0)-IFERROR(HLOOKUP(V4,'סקרי נכסים-יתרות פתיחה'!$2:$110,91,0),0)*(1-V$309)</f>
        <v>0</v>
      </c>
      <c r="W72" s="1240">
        <f>+IFERROR(HLOOKUP(W4,'סקרי נכסים-יתרות פתיחה'!$2:$110,6,0),0)-IFERROR(HLOOKUP(W4,'סקרי נכסים-יתרות פתיחה'!$2:$110,91,0),0)*(1-W$309)</f>
        <v>1907000</v>
      </c>
      <c r="X72" s="1240">
        <f>+IFERROR(HLOOKUP(X4,'סקרי נכסים-יתרות פתיחה'!$2:$110,6,0),0)-IFERROR(HLOOKUP(X4,'סקרי נכסים-יתרות פתיחה'!$2:$110,91,0),0)*(1-X$309)</f>
        <v>1594000</v>
      </c>
      <c r="Y72" s="1240">
        <f>+IFERROR(HLOOKUP(Y4,'סקרי נכסים-יתרות פתיחה'!$2:$110,6,0),0)-IFERROR(HLOOKUP(Y4,'סקרי נכסים-יתרות פתיחה'!$2:$110,91,0),0)*(1-Y$309)</f>
        <v>272822.85714285716</v>
      </c>
      <c r="Z72" s="1240">
        <f>+IFERROR(HLOOKUP(Z4,'סקרי נכסים-יתרות פתיחה'!$2:$110,6,0),0)-IFERROR(HLOOKUP(Z4,'סקרי נכסים-יתרות פתיחה'!$2:$110,91,0),0)*(1-Z$309)</f>
        <v>2011428.5714285714</v>
      </c>
      <c r="AA72" s="1240">
        <f>+IFERROR(HLOOKUP(AA4,'סקרי נכסים-יתרות פתיחה'!$2:$110,6,0),0)-IFERROR(HLOOKUP(AA4,'סקרי נכסים-יתרות פתיחה'!$2:$110,91,0),0)*(1-AA$309)</f>
        <v>7505764.2904761909</v>
      </c>
      <c r="AB72" s="1240">
        <f>+IFERROR(HLOOKUP(AB4,'סקרי נכסים-יתרות פתיחה'!$2:$110,6,0),0)-IFERROR(HLOOKUP(AB4,'סקרי נכסים-יתרות פתיחה'!$2:$110,91,0),0)*(1-AB$309)</f>
        <v>0</v>
      </c>
      <c r="AC72" s="1240">
        <f>+IFERROR(HLOOKUP(AC4,'סקרי נכסים-יתרות פתיחה'!$2:$110,6,0),0)-IFERROR(HLOOKUP(AC4,'סקרי נכסים-יתרות פתיחה'!$2:$110,91,0),0)*(1-AC$309)</f>
        <v>5602666.666666667</v>
      </c>
      <c r="AD72" s="1240">
        <f>+IFERROR(HLOOKUP(AD4,'סקרי נכסים-יתרות פתיחה'!$2:$110,6,0),0)-IFERROR(HLOOKUP(AD4,'סקרי נכסים-יתרות פתיחה'!$2:$110,91,0),0)*(1-AD$309)</f>
        <v>3291428.5714285714</v>
      </c>
      <c r="AE72" s="1240">
        <f>+IFERROR(HLOOKUP(AE4,'סקרי נכסים-יתרות פתיחה'!$2:$110,6,0),0)-IFERROR(HLOOKUP(AE4,'סקרי נכסים-יתרות פתיחה'!$2:$110,91,0),0)*(1-AE$309)</f>
        <v>44960701.485714287</v>
      </c>
      <c r="AF72" s="1240">
        <f>+IFERROR(HLOOKUP(AF4,'סקרי נכסים-יתרות פתיחה'!$2:$110,6,0),0)-IFERROR(HLOOKUP(AF4,'סקרי נכסים-יתרות פתיחה'!$2:$110,91,0),0)*(1-AF$309)</f>
        <v>1096429.7142857143</v>
      </c>
      <c r="AG72" s="1240">
        <f>+IFERROR(HLOOKUP(AG4,'סקרי נכסים-יתרות פתיחה'!$2:$110,6,0),0)-IFERROR(HLOOKUP(AG4,'סקרי נכסים-יתרות פתיחה'!$2:$110,91,0),0)*(1-AG$309)</f>
        <v>0</v>
      </c>
      <c r="AH72" s="1240">
        <f>+IFERROR(HLOOKUP(AH4,'סקרי נכסים-יתרות פתיחה'!$2:$110,6,0),0)-IFERROR(HLOOKUP(AH4,'סקרי נכסים-יתרות פתיחה'!$2:$110,91,0),0)*(1-AH$309)</f>
        <v>880000</v>
      </c>
      <c r="AI72" s="1240">
        <f>+IFERROR(HLOOKUP(AI4,'סקרי נכסים-יתרות פתיחה'!$2:$110,6,0),0)-IFERROR(HLOOKUP(AI4,'סקרי נכסים-יתרות פתיחה'!$2:$110,91,0),0)*(1-AI$309)</f>
        <v>1188571.4285714286</v>
      </c>
      <c r="AJ72" s="1240">
        <f>+IFERROR(HLOOKUP(AJ4,'סקרי נכסים-יתרות פתיחה'!$2:$110,6,0),0)-IFERROR(HLOOKUP(AJ4,'סקרי נכסים-יתרות פתיחה'!$2:$110,91,0),0)*(1-AJ$309)</f>
        <v>0</v>
      </c>
      <c r="AK72" s="1240">
        <f>+IFERROR(HLOOKUP(AK4,'סקרי נכסים-יתרות פתיחה'!$2:$110,6,0),0)-IFERROR(HLOOKUP(AK4,'סקרי נכסים-יתרות פתיחה'!$2:$110,91,0),0)*(1-AK$309)</f>
        <v>0</v>
      </c>
      <c r="AL72" s="1240">
        <f>+IFERROR(HLOOKUP(AL4,'סקרי נכסים-יתרות פתיחה'!$2:$110,6,0),0)-IFERROR(HLOOKUP(AL4,'סקרי נכסים-יתרות פתיחה'!$2:$110,91,0),0)*(1-AL$309)</f>
        <v>6269702.333333333</v>
      </c>
      <c r="AM72" s="1240">
        <f>+IFERROR(HLOOKUP(AM4,'סקרי נכסים-יתרות פתיחה'!$2:$110,6,0),0)-IFERROR(HLOOKUP(AM4,'סקרי נכסים-יתרות פתיחה'!$2:$110,91,0),0)*(1-AM$309)</f>
        <v>768365.71428571432</v>
      </c>
      <c r="AN72" s="1240">
        <f>+IFERROR(HLOOKUP(AN4,'סקרי נכסים-יתרות פתיחה'!$2:$110,6,0),0)-IFERROR(HLOOKUP(AN4,'סקרי נכסים-יתרות פתיחה'!$2:$110,91,0),0)*(1-AN$309)</f>
        <v>0</v>
      </c>
      <c r="AO72" s="1240">
        <f>+IFERROR(HLOOKUP(AO4,'סקרי נכסים-יתרות פתיחה'!$2:$110,6,0),0)-IFERROR(HLOOKUP(AO4,'סקרי נכסים-יתרות פתיחה'!$2:$110,91,0),0)*(1-AO$309)</f>
        <v>7940766.1714285715</v>
      </c>
      <c r="AP72" s="1240">
        <f>+IFERROR(HLOOKUP(AP4,'סקרי נכסים-יתרות פתיחה'!$2:$110,6,0),0)-IFERROR(HLOOKUP(AP4,'סקרי נכסים-יתרות פתיחה'!$2:$110,91,0),0)*(1-AP$309)</f>
        <v>2455714.2857142859</v>
      </c>
      <c r="AQ72" s="1240">
        <f>+IFERROR(HLOOKUP(AQ4,'סקרי נכסים-יתרות פתיחה'!$2:$110,6,0),0)-IFERROR(HLOOKUP(AQ4,'סקרי נכסים-יתרות פתיחה'!$2:$110,91,0),0)*(1-AQ$309)</f>
        <v>365714.28571428574</v>
      </c>
      <c r="AR72" s="1240">
        <f>+IFERROR(HLOOKUP(AR4,'סקרי נכסים-יתרות פתיחה'!$2:$110,6,0),0)-IFERROR(HLOOKUP(AR4,'סקרי נכסים-יתרות פתיחה'!$2:$110,91,0),0)*(1-AR$309)</f>
        <v>4411190.4761904757</v>
      </c>
      <c r="AS72" s="1240">
        <f>+IFERROR(HLOOKUP(AS4,'סקרי נכסים-יתרות פתיחה'!$2:$110,6,0),0)-IFERROR(HLOOKUP(AS4,'סקרי נכסים-יתרות פתיחה'!$2:$110,91,0),0)*(1-AS$309)</f>
        <v>2715000</v>
      </c>
      <c r="AT72" s="1240">
        <f>+IFERROR(HLOOKUP(AT4,'סקרי נכסים-יתרות פתיחה'!$2:$110,6,0),0)-IFERROR(HLOOKUP(AT4,'סקרי נכסים-יתרות פתיחה'!$2:$110,91,0),0)*(1-AT$309)</f>
        <v>1786595.8095238095</v>
      </c>
      <c r="AU72" s="1240">
        <f>+IFERROR(HLOOKUP(AU4,'סקרי נכסים-יתרות פתיחה'!$2:$110,6,0),0)-IFERROR(HLOOKUP(AU4,'סקרי נכסים-יתרות פתיחה'!$2:$110,91,0),0)*(1-AU$309)</f>
        <v>5411666.666666667</v>
      </c>
      <c r="AV72" s="1240">
        <f>+IFERROR(HLOOKUP(AV4,'סקרי נכסים-יתרות פתיחה'!$2:$110,6,0),0)-IFERROR(HLOOKUP(AV4,'סקרי נכסים-יתרות פתיחה'!$2:$110,91,0),0)*(1-AV$309)</f>
        <v>891379.71904761903</v>
      </c>
      <c r="AW72" s="1240">
        <f>+IFERROR(HLOOKUP(AW4,'סקרי נכסים-יתרות פתיחה'!$2:$110,6,0),0)-IFERROR(HLOOKUP(AW4,'סקרי נכסים-יתרות פתיחה'!$2:$110,91,0),0)*(1-AW$309)</f>
        <v>272857.14285714284</v>
      </c>
      <c r="AX72" s="1240">
        <f>+IFERROR(HLOOKUP(AX4,'סקרי נכסים-יתרות פתיחה'!$2:$110,6,0),0)-IFERROR(HLOOKUP(AX4,'סקרי נכסים-יתרות פתיחה'!$2:$110,91,0),0)*(1-AX$309)</f>
        <v>0</v>
      </c>
      <c r="AY72" s="1240">
        <f>+IFERROR(HLOOKUP(AY4,'סקרי נכסים-יתרות פתיחה'!$2:$110,6,0),0)-IFERROR(HLOOKUP(AY4,'סקרי נכסים-יתרות פתיחה'!$2:$110,91,0),0)*(1-AY$309)</f>
        <v>0</v>
      </c>
      <c r="AZ72" s="1240">
        <f>+IFERROR(HLOOKUP(AZ4,'סקרי נכסים-יתרות פתיחה'!$2:$110,6,0),0)-IFERROR(HLOOKUP(AZ4,'סקרי נכסים-יתרות פתיחה'!$2:$110,91,0),0)*(1-AZ$309)</f>
        <v>1123261.9047619049</v>
      </c>
      <c r="BA72" s="1240">
        <f>+IFERROR(HLOOKUP(BA4,'סקרי נכסים-יתרות פתיחה'!$2:$110,6,0),0)-IFERROR(HLOOKUP(BA4,'סקרי נכסים-יתרות פתיחה'!$2:$110,91,0),0)*(1-BA$309)</f>
        <v>591190.47619047621</v>
      </c>
      <c r="BB72" s="1240">
        <f>+IFERROR(HLOOKUP(BB4,'סקרי נכסים-יתרות פתיחה'!$2:$110,6,0),0)-IFERROR(HLOOKUP(BB4,'סקרי נכסים-יתרות פתיחה'!$2:$110,91,0),0)*(1-BB$309)</f>
        <v>625000</v>
      </c>
      <c r="BC72" s="1240">
        <f>+IFERROR(HLOOKUP(BC4,'סקרי נכסים-יתרות פתיחה'!$2:$110,6,0),0)-IFERROR(HLOOKUP(BC4,'סקרי נכסים-יתרות פתיחה'!$2:$110,91,0),0)*(1-BC$309)</f>
        <v>220000</v>
      </c>
      <c r="BD72" s="1240">
        <f>+IFERROR(HLOOKUP(BD4,'סקרי נכסים-יתרות פתיחה'!$2:$110,6,0),0)-IFERROR(HLOOKUP(BD4,'סקרי נכסים-יתרות פתיחה'!$2:$110,91,0),0)*(1-BD$309)</f>
        <v>0</v>
      </c>
      <c r="BE72" s="1240">
        <f>+IFERROR(HLOOKUP(BE4,'סקרי נכסים-יתרות פתיחה'!$2:$110,6,0),0)-IFERROR(HLOOKUP(BE4,'סקרי נכסים-יתרות פתיחה'!$2:$110,91,0),0)*(1-BE$309)</f>
        <v>2828571.4285714286</v>
      </c>
      <c r="BF72" s="1240">
        <f>+IFERROR(HLOOKUP(BF4,'סקרי נכסים-יתרות פתיחה'!$2:$110,6,0),0)-IFERROR(HLOOKUP(BF4,'סקרי נכסים-יתרות פתיחה'!$2:$110,91,0),0)*(1-BF$309)</f>
        <v>3771834</v>
      </c>
    </row>
    <row r="73" spans="1:62" x14ac:dyDescent="0.2">
      <c r="B73" s="1">
        <v>2</v>
      </c>
      <c r="C73" s="1240">
        <f>+IFERROR(HLOOKUP(C5,'סקרי נכסים-יתרות פתיחה'!$2:$110,6,0),0)-IFERROR(HLOOKUP(C5,'סקרי נכסים-יתרות פתיחה'!$2:$110,91,0),0)*(1-C$309)</f>
        <v>2728571.4285714286</v>
      </c>
      <c r="D73" s="1240">
        <f>+IFERROR(HLOOKUP(D5,'סקרי נכסים-יתרות פתיחה'!$2:$110,6,0),0)-IFERROR(HLOOKUP(D5,'סקרי נכסים-יתרות פתיחה'!$2:$110,91,0),0)*(1-D$309)</f>
        <v>341440</v>
      </c>
      <c r="E73" s="1240">
        <f>+IFERROR(HLOOKUP(E5,'סקרי נכסים-יתרות פתיחה'!$2:$110,6,0),0)-IFERROR(HLOOKUP(E5,'סקרי נכסים-יתרות פתיחה'!$2:$110,91,0),0)*(1-E$309)</f>
        <v>0</v>
      </c>
      <c r="F73" s="1240">
        <f>+IFERROR(HLOOKUP(F5,'סקרי נכסים-יתרות פתיחה'!$2:$110,6,0),0)-IFERROR(HLOOKUP(F5,'סקרי נכסים-יתרות פתיחה'!$2:$110,91,0),0)*(1-F$309)</f>
        <v>1682285.7142857143</v>
      </c>
      <c r="G73" s="1240">
        <f>+IFERROR(HLOOKUP(G5,'סקרי נכסים-יתרות פתיחה'!$2:$110,6,0),0)-IFERROR(HLOOKUP(G5,'סקרי נכסים-יתרות פתיחה'!$2:$110,91,0),0)*(1-G$309)</f>
        <v>0</v>
      </c>
      <c r="H73" s="1240">
        <f>+IFERROR(HLOOKUP(H5,'סקרי נכסים-יתרות פתיחה'!$2:$110,6,0),0)-IFERROR(HLOOKUP(H5,'סקרי נכסים-יתרות פתיחה'!$2:$110,91,0),0)*(1-H$309)</f>
        <v>0</v>
      </c>
      <c r="I73" s="1240">
        <f>+IFERROR(HLOOKUP(I5,'סקרי נכסים-יתרות פתיחה'!$2:$110,6,0),0)-IFERROR(HLOOKUP(I5,'סקרי נכסים-יתרות פתיחה'!$2:$110,91,0),0)*(1-I$309)</f>
        <v>0</v>
      </c>
      <c r="J73" s="1240">
        <f>+IFERROR(HLOOKUP(J5,'סקרי נכסים-יתרות פתיחה'!$2:$110,6,0),0)-IFERROR(HLOOKUP(J5,'סקרי נכסים-יתרות פתיחה'!$2:$110,91,0),0)*(1-J$309)</f>
        <v>0</v>
      </c>
      <c r="K73" s="1240">
        <f>+IFERROR(HLOOKUP(K5,'סקרי נכסים-יתרות פתיחה'!$2:$110,6,0),0)-IFERROR(HLOOKUP(K5,'סקרי נכסים-יתרות פתיחה'!$2:$110,91,0),0)*(1-K$309)</f>
        <v>1325714.2857142857</v>
      </c>
      <c r="L73" s="1240">
        <f>+IFERROR(HLOOKUP(L5,'סקרי נכסים-יתרות פתיחה'!$2:$110,6,0),0)-IFERROR(HLOOKUP(L5,'סקרי נכסים-יתרות פתיחה'!$2:$110,91,0),0)*(1-L$309)</f>
        <v>197485.71428571429</v>
      </c>
      <c r="M73" s="1240">
        <f>+IFERROR(HLOOKUP(M5,'סקרי נכסים-יתרות פתיחה'!$2:$110,6,0),0)-IFERROR(HLOOKUP(M5,'סקרי נכסים-יתרות פתיחה'!$2:$110,91,0),0)*(1-M$309)</f>
        <v>0</v>
      </c>
      <c r="N73" s="1240">
        <f>+IFERROR(HLOOKUP(N5,'סקרי נכסים-יתרות פתיחה'!$2:$110,6,0),0)-IFERROR(HLOOKUP(N5,'סקרי נכסים-יתרות פתיחה'!$2:$110,91,0),0)*(1-N$309)</f>
        <v>734895.23809523811</v>
      </c>
      <c r="O73" s="1240">
        <f>+IFERROR(HLOOKUP(O5,'סקרי נכסים-יתרות פתיחה'!$2:$110,6,0),0)-IFERROR(HLOOKUP(O5,'סקרי נכסים-יתרות פתיחה'!$2:$110,91,0),0)*(1-O$309)</f>
        <v>2285714.2857142859</v>
      </c>
      <c r="P73" s="1240">
        <f>+IFERROR(HLOOKUP(P5,'סקרי נכסים-יתרות פתיחה'!$2:$110,6,0),0)-IFERROR(HLOOKUP(P5,'סקרי נכסים-יתרות פתיחה'!$2:$110,91,0),0)*(1-P$309)</f>
        <v>0</v>
      </c>
      <c r="Q73" s="1240">
        <f>+IFERROR(HLOOKUP(Q5,'סקרי נכסים-יתרות פתיחה'!$2:$110,6,0),0)-IFERROR(HLOOKUP(Q5,'סקרי נכסים-יתרות פתיחה'!$2:$110,91,0),0)*(1-Q$309)</f>
        <v>0</v>
      </c>
      <c r="R73" s="1240">
        <f>+IFERROR(HLOOKUP(R5,'סקרי נכסים-יתרות פתיחה'!$2:$110,6,0),0)-IFERROR(HLOOKUP(R5,'סקרי נכסים-יתרות פתיחה'!$2:$110,91,0),0)*(1-R$309)</f>
        <v>0</v>
      </c>
      <c r="S73" s="1240">
        <f>+IFERROR(HLOOKUP(S5,'סקרי נכסים-יתרות פתיחה'!$2:$110,6,0),0)-IFERROR(HLOOKUP(S5,'סקרי נכסים-יתרות פתיחה'!$2:$110,91,0),0)*(1-S$309)</f>
        <v>0</v>
      </c>
      <c r="T73" s="1240">
        <f>+IFERROR(HLOOKUP(T5,'סקרי נכסים-יתרות פתיחה'!$2:$110,6,0),0)-IFERROR(HLOOKUP(T5,'סקרי נכסים-יתרות פתיחה'!$2:$110,91,0),0)*(1-T$309)</f>
        <v>5066646</v>
      </c>
      <c r="U73" s="1240">
        <f>+IFERROR(HLOOKUP(U5,'סקרי נכסים-יתרות פתיחה'!$2:$110,6,0),0)-IFERROR(HLOOKUP(U5,'סקרי נכסים-יתרות פתיחה'!$2:$110,91,0),0)*(1-U$309)</f>
        <v>0</v>
      </c>
      <c r="V73" s="1240">
        <f>+IFERROR(HLOOKUP(V5,'סקרי נכסים-יתרות פתיחה'!$2:$110,6,0),0)-IFERROR(HLOOKUP(V5,'סקרי נכסים-יתרות פתיחה'!$2:$110,91,0),0)*(1-V$309)</f>
        <v>935000</v>
      </c>
      <c r="W73" s="1240">
        <f>+IFERROR(HLOOKUP(W5,'סקרי נכסים-יתרות פתיחה'!$2:$110,6,0),0)-IFERROR(HLOOKUP(W5,'סקרי נכסים-יתרות פתיחה'!$2:$110,91,0),0)*(1-W$309)</f>
        <v>130000</v>
      </c>
      <c r="X73" s="1240">
        <f>+IFERROR(HLOOKUP(X5,'סקרי נכסים-יתרות פתיחה'!$2:$110,6,0),0)-IFERROR(HLOOKUP(X5,'סקרי נכסים-יתרות פתיחה'!$2:$110,91,0),0)*(1-X$309)</f>
        <v>0</v>
      </c>
      <c r="Y73" s="1240">
        <f>+IFERROR(HLOOKUP(Y5,'סקרי נכסים-יתרות פתיחה'!$2:$110,6,0),0)-IFERROR(HLOOKUP(Y5,'סקרי נכסים-יתרות פתיחה'!$2:$110,91,0),0)*(1-Y$309)</f>
        <v>0</v>
      </c>
      <c r="Z73" s="1240">
        <f>+IFERROR(HLOOKUP(Z5,'סקרי נכסים-יתרות פתיחה'!$2:$110,6,0),0)-IFERROR(HLOOKUP(Z5,'סקרי נכסים-יתרות פתיחה'!$2:$110,91,0),0)*(1-Z$309)</f>
        <v>0</v>
      </c>
      <c r="AA73" s="1240">
        <f>+IFERROR(HLOOKUP(AA5,'סקרי נכסים-יתרות פתיחה'!$2:$110,6,0),0)-IFERROR(HLOOKUP(AA5,'סקרי נכסים-יתרות פתיחה'!$2:$110,91,0),0)*(1-AA$309)</f>
        <v>0</v>
      </c>
      <c r="AB73" s="1240">
        <f>+IFERROR(HLOOKUP(AB5,'סקרי נכסים-יתרות פתיחה'!$2:$110,6,0),0)-IFERROR(HLOOKUP(AB5,'סקרי נכסים-יתרות פתיחה'!$2:$110,91,0),0)*(1-AB$309)</f>
        <v>0</v>
      </c>
      <c r="AC73" s="1240">
        <f>+IFERROR(HLOOKUP(AC5,'סקרי נכסים-יתרות פתיחה'!$2:$110,6,0),0)-IFERROR(HLOOKUP(AC5,'סקרי נכסים-יתרות פתיחה'!$2:$110,91,0),0)*(1-AC$309)</f>
        <v>0</v>
      </c>
      <c r="AD73" s="1240">
        <f>+IFERROR(HLOOKUP(AD5,'סקרי נכסים-יתרות פתיחה'!$2:$110,6,0),0)-IFERROR(HLOOKUP(AD5,'סקרי נכסים-יתרות פתיחה'!$2:$110,91,0),0)*(1-AD$309)</f>
        <v>0</v>
      </c>
      <c r="AE73" s="1240">
        <f>+IFERROR(HLOOKUP(AE5,'סקרי נכסים-יתרות פתיחה'!$2:$110,6,0),0)-IFERROR(HLOOKUP(AE5,'סקרי נכסים-יתרות פתיחה'!$2:$110,91,0),0)*(1-AE$309)</f>
        <v>0</v>
      </c>
      <c r="AF73" s="1240">
        <f>+IFERROR(HLOOKUP(AF5,'סקרי נכסים-יתרות פתיחה'!$2:$110,6,0),0)-IFERROR(HLOOKUP(AF5,'סקרי נכסים-יתרות פתיחה'!$2:$110,91,0),0)*(1-AF$309)</f>
        <v>2714019.0476190476</v>
      </c>
      <c r="AG73" s="1240">
        <f>+IFERROR(HLOOKUP(AG5,'סקרי נכסים-יתרות פתיחה'!$2:$110,6,0),0)-IFERROR(HLOOKUP(AG5,'סקרי נכסים-יתרות פתיחה'!$2:$110,91,0),0)*(1-AG$309)</f>
        <v>0</v>
      </c>
      <c r="AH73" s="1240">
        <f>+IFERROR(HLOOKUP(AH5,'סקרי נכסים-יתרות פתיחה'!$2:$110,6,0),0)-IFERROR(HLOOKUP(AH5,'סקרי נכסים-יתרות פתיחה'!$2:$110,91,0),0)*(1-AH$309)</f>
        <v>0</v>
      </c>
      <c r="AI73" s="1240">
        <f>+IFERROR(HLOOKUP(AI5,'סקרי נכסים-יתרות פתיחה'!$2:$110,6,0),0)-IFERROR(HLOOKUP(AI5,'סקרי נכסים-יתרות פתיחה'!$2:$110,91,0),0)*(1-AI$309)</f>
        <v>0</v>
      </c>
      <c r="AJ73" s="1240">
        <f>+IFERROR(HLOOKUP(AJ5,'סקרי נכסים-יתרות פתיחה'!$2:$110,6,0),0)-IFERROR(HLOOKUP(AJ5,'סקרי נכסים-יתרות פתיחה'!$2:$110,91,0),0)*(1-AJ$309)</f>
        <v>0</v>
      </c>
      <c r="AK73" s="1240">
        <f>+IFERROR(HLOOKUP(AK5,'סקרי נכסים-יתרות פתיחה'!$2:$110,6,0),0)-IFERROR(HLOOKUP(AK5,'סקרי נכסים-יתרות פתיחה'!$2:$110,91,0),0)*(1-AK$309)</f>
        <v>0</v>
      </c>
      <c r="AL73" s="1240">
        <f>+IFERROR(HLOOKUP(AL5,'סקרי נכסים-יתרות פתיחה'!$2:$110,6,0),0)-IFERROR(HLOOKUP(AL5,'סקרי נכסים-יתרות פתיחה'!$2:$110,91,0),0)*(1-AL$309)</f>
        <v>0</v>
      </c>
      <c r="AM73" s="1240">
        <f>+IFERROR(HLOOKUP(AM5,'סקרי נכסים-יתרות פתיחה'!$2:$110,6,0),0)-IFERROR(HLOOKUP(AM5,'סקרי נכסים-יתרות פתיחה'!$2:$110,91,0),0)*(1-AM$309)</f>
        <v>0</v>
      </c>
      <c r="AN73" s="1240">
        <f>+IFERROR(HLOOKUP(AN5,'סקרי נכסים-יתרות פתיחה'!$2:$110,6,0),0)-IFERROR(HLOOKUP(AN5,'סקרי נכסים-יתרות פתיחה'!$2:$110,91,0),0)*(1-AN$309)</f>
        <v>0</v>
      </c>
      <c r="AO73" s="1240">
        <f>+IFERROR(HLOOKUP(AO5,'סקרי נכסים-יתרות פתיחה'!$2:$110,6,0),0)-IFERROR(HLOOKUP(AO5,'סקרי נכסים-יתרות פתיחה'!$2:$110,91,0),0)*(1-AO$309)</f>
        <v>0</v>
      </c>
      <c r="AP73" s="1240">
        <f>+IFERROR(HLOOKUP(AP5,'סקרי נכסים-יתרות פתיחה'!$2:$110,6,0),0)-IFERROR(HLOOKUP(AP5,'סקרי נכסים-יתרות פתיחה'!$2:$110,91,0),0)*(1-AP$309)</f>
        <v>0</v>
      </c>
      <c r="AQ73" s="1240">
        <f>+IFERROR(HLOOKUP(AQ5,'סקרי נכסים-יתרות פתיחה'!$2:$110,6,0),0)-IFERROR(HLOOKUP(AQ5,'סקרי נכסים-יתרות פתיחה'!$2:$110,91,0),0)*(1-AQ$309)</f>
        <v>0</v>
      </c>
      <c r="AR73" s="1240">
        <f>+IFERROR(HLOOKUP(AR5,'סקרי נכסים-יתרות פתיחה'!$2:$110,6,0),0)-IFERROR(HLOOKUP(AR5,'סקרי נכסים-יתרות פתיחה'!$2:$110,91,0),0)*(1-AR$309)</f>
        <v>1018000</v>
      </c>
      <c r="AS73" s="1240">
        <f>+IFERROR(HLOOKUP(AS5,'סקרי נכסים-יתרות פתיחה'!$2:$110,6,0),0)-IFERROR(HLOOKUP(AS5,'סקרי נכסים-יתרות פתיחה'!$2:$110,91,0),0)*(1-AS$309)</f>
        <v>547000</v>
      </c>
      <c r="AT73" s="1240">
        <f>+IFERROR(HLOOKUP(AT5,'סקרי נכסים-יתרות פתיחה'!$2:$110,6,0),0)-IFERROR(HLOOKUP(AT5,'סקרי נכסים-יתרות פתיחה'!$2:$110,91,0),0)*(1-AT$309)</f>
        <v>0</v>
      </c>
      <c r="AU73" s="1240">
        <f>+IFERROR(HLOOKUP(AU5,'סקרי נכסים-יתרות פתיחה'!$2:$110,6,0),0)-IFERROR(HLOOKUP(AU5,'סקרי נכסים-יתרות פתיחה'!$2:$110,91,0),0)*(1-AU$309)</f>
        <v>0</v>
      </c>
      <c r="AV73" s="1240">
        <f>+IFERROR(HLOOKUP(AV5,'סקרי נכסים-יתרות פתיחה'!$2:$110,6,0),0)-IFERROR(HLOOKUP(AV5,'סקרי נכסים-יתרות פתיחה'!$2:$110,91,0),0)*(1-AV$309)</f>
        <v>0</v>
      </c>
      <c r="AW73" s="1240">
        <f>+IFERROR(HLOOKUP(AW5,'סקרי נכסים-יתרות פתיחה'!$2:$110,6,0),0)-IFERROR(HLOOKUP(AW5,'סקרי נכסים-יתרות פתיחה'!$2:$110,91,0),0)*(1-AW$309)</f>
        <v>0</v>
      </c>
      <c r="AX73" s="1240">
        <f>+IFERROR(HLOOKUP(AX5,'סקרי נכסים-יתרות פתיחה'!$2:$110,6,0),0)-IFERROR(HLOOKUP(AX5,'סקרי נכסים-יתרות פתיחה'!$2:$110,91,0),0)*(1-AX$309)</f>
        <v>1113905</v>
      </c>
      <c r="AY73" s="1240">
        <f>+IFERROR(HLOOKUP(AY5,'סקרי נכסים-יתרות פתיחה'!$2:$110,6,0),0)-IFERROR(HLOOKUP(AY5,'סקרי נכסים-יתרות פתיחה'!$2:$110,91,0),0)*(1-AY$309)</f>
        <v>0</v>
      </c>
      <c r="AZ73" s="1240">
        <f>+IFERROR(HLOOKUP(AZ5,'סקרי נכסים-יתרות פתיחה'!$2:$110,6,0),0)-IFERROR(HLOOKUP(AZ5,'סקרי נכסים-יתרות פתיחה'!$2:$110,91,0),0)*(1-AZ$309)</f>
        <v>2110095.2380952379</v>
      </c>
      <c r="BA73" s="1240">
        <f>+IFERROR(HLOOKUP(BA5,'סקרי נכסים-יתרות פתיחה'!$2:$110,6,0),0)-IFERROR(HLOOKUP(BA5,'סקרי נכסים-יתרות פתיחה'!$2:$110,91,0),0)*(1-BA$309)</f>
        <v>217761.82857142857</v>
      </c>
      <c r="BB73" s="1240">
        <f>+IFERROR(HLOOKUP(BB5,'סקרי נכסים-יתרות פתיחה'!$2:$110,6,0),0)-IFERROR(HLOOKUP(BB5,'סקרי נכסים-יתרות פתיחה'!$2:$110,91,0),0)*(1-BB$309)</f>
        <v>1544000</v>
      </c>
      <c r="BC73" s="1240">
        <f>+IFERROR(HLOOKUP(BC5,'סקרי נכסים-יתרות פתיחה'!$2:$110,6,0),0)-IFERROR(HLOOKUP(BC5,'סקרי נכסים-יתרות פתיחה'!$2:$110,91,0),0)*(1-BC$309)</f>
        <v>0</v>
      </c>
      <c r="BD73" s="1240">
        <f>+IFERROR(HLOOKUP(BD5,'סקרי נכסים-יתרות פתיחה'!$2:$110,6,0),0)-IFERROR(HLOOKUP(BD5,'סקרי נכסים-יתרות פתיחה'!$2:$110,91,0),0)*(1-BD$309)</f>
        <v>190000</v>
      </c>
      <c r="BE73" s="1240">
        <f>+IFERROR(HLOOKUP(BE5,'סקרי נכסים-יתרות פתיחה'!$2:$110,6,0),0)-IFERROR(HLOOKUP(BE5,'סקרי נכסים-יתרות פתיחה'!$2:$110,91,0),0)*(1-BE$309)</f>
        <v>0</v>
      </c>
      <c r="BF73" s="1240">
        <f>+IFERROR(HLOOKUP(BF5,'סקרי נכסים-יתרות פתיחה'!$2:$110,6,0),0)-IFERROR(HLOOKUP(BF5,'סקרי נכסים-יתרות פתיחה'!$2:$110,91,0),0)*(1-BF$309)</f>
        <v>0</v>
      </c>
    </row>
    <row r="74" spans="1:62" x14ac:dyDescent="0.2">
      <c r="B74" s="1">
        <v>3</v>
      </c>
      <c r="C74" s="1240">
        <f>+IFERROR(HLOOKUP(C6,'סקרי נכסים-יתרות פתיחה'!$2:$110,6,0),0)-IFERROR(HLOOKUP(C6,'סקרי נכסים-יתרות פתיחה'!$2:$110,91,0),0)*(1-C$309)</f>
        <v>679881.78095238097</v>
      </c>
      <c r="D74" s="1240">
        <f>+IFERROR(HLOOKUP(D6,'סקרי נכסים-יתרות פתיחה'!$2:$110,6,0),0)-IFERROR(HLOOKUP(D6,'סקרי נכסים-יתרות פתיחה'!$2:$110,91,0),0)*(1-D$309)</f>
        <v>976800</v>
      </c>
      <c r="E74" s="1240">
        <f>+IFERROR(HLOOKUP(E6,'סקרי נכסים-יתרות פתיחה'!$2:$110,6,0),0)-IFERROR(HLOOKUP(E6,'סקרי נכסים-יתרות פתיחה'!$2:$110,91,0),0)*(1-E$309)</f>
        <v>0</v>
      </c>
      <c r="F74" s="1240">
        <f>+IFERROR(HLOOKUP(F6,'סקרי נכסים-יתרות פתיחה'!$2:$110,6,0),0)-IFERROR(HLOOKUP(F6,'סקרי נכסים-יתרות פתיחה'!$2:$110,91,0),0)*(1-F$309)</f>
        <v>0</v>
      </c>
      <c r="G74" s="1240">
        <f>+IFERROR(HLOOKUP(G6,'סקרי נכסים-יתרות פתיחה'!$2:$110,6,0),0)-IFERROR(HLOOKUP(G6,'סקרי נכסים-יתרות פתיחה'!$2:$110,91,0),0)*(1-G$309)</f>
        <v>0</v>
      </c>
      <c r="H74" s="1240">
        <f>+IFERROR(HLOOKUP(H6,'סקרי נכסים-יתרות פתיחה'!$2:$110,6,0),0)-IFERROR(HLOOKUP(H6,'סקרי נכסים-יתרות פתיחה'!$2:$110,91,0),0)*(1-H$309)</f>
        <v>429761.90476190473</v>
      </c>
      <c r="I74" s="1240">
        <f>+IFERROR(HLOOKUP(I6,'סקרי נכסים-יתרות פתיחה'!$2:$110,6,0),0)-IFERROR(HLOOKUP(I6,'סקרי נכסים-יתרות פתיחה'!$2:$110,91,0),0)*(1-I$309)</f>
        <v>0</v>
      </c>
      <c r="J74" s="1240">
        <f>+IFERROR(HLOOKUP(J6,'סקרי נכסים-יתרות פתיחה'!$2:$110,6,0),0)-IFERROR(HLOOKUP(J6,'סקרי נכסים-יתרות פתיחה'!$2:$110,91,0),0)*(1-J$309)</f>
        <v>0</v>
      </c>
      <c r="K74" s="1240">
        <f>+IFERROR(HLOOKUP(K6,'סקרי נכסים-יתרות פתיחה'!$2:$110,6,0),0)-IFERROR(HLOOKUP(K6,'סקרי נכסים-יתרות פתיחה'!$2:$110,91,0),0)*(1-K$309)</f>
        <v>607501.71428571432</v>
      </c>
      <c r="L74" s="1240">
        <f>+IFERROR(HLOOKUP(L6,'סקרי נכסים-יתרות פתיחה'!$2:$110,6,0),0)-IFERROR(HLOOKUP(L6,'סקרי נכסים-יתרות פתיחה'!$2:$110,91,0),0)*(1-L$309)</f>
        <v>0</v>
      </c>
      <c r="M74" s="1240">
        <f>+IFERROR(HLOOKUP(M6,'סקרי נכסים-יתרות פתיחה'!$2:$110,6,0),0)-IFERROR(HLOOKUP(M6,'סקרי נכסים-יתרות פתיחה'!$2:$110,91,0),0)*(1-M$309)</f>
        <v>0</v>
      </c>
      <c r="N74" s="1240">
        <f>+IFERROR(HLOOKUP(N6,'סקרי נכסים-יתרות פתיחה'!$2:$110,6,0),0)-IFERROR(HLOOKUP(N6,'סקרי נכסים-יתרות פתיחה'!$2:$110,91,0),0)*(1-N$309)</f>
        <v>0</v>
      </c>
      <c r="O74" s="1240">
        <f>+IFERROR(HLOOKUP(O6,'סקרי נכסים-יתרות פתיחה'!$2:$110,6,0),0)-IFERROR(HLOOKUP(O6,'סקרי נכסים-יתרות פתיחה'!$2:$110,91,0),0)*(1-O$309)</f>
        <v>0</v>
      </c>
      <c r="P74" s="1240">
        <f>+IFERROR(HLOOKUP(P6,'סקרי נכסים-יתרות פתיחה'!$2:$110,6,0),0)-IFERROR(HLOOKUP(P6,'סקרי נכסים-יתרות פתיחה'!$2:$110,91,0),0)*(1-P$309)</f>
        <v>0</v>
      </c>
      <c r="Q74" s="1240">
        <f>+IFERROR(HLOOKUP(Q6,'סקרי נכסים-יתרות פתיחה'!$2:$110,6,0),0)-IFERROR(HLOOKUP(Q6,'סקרי נכסים-יתרות פתיחה'!$2:$110,91,0),0)*(1-Q$309)</f>
        <v>0</v>
      </c>
      <c r="R74" s="1240">
        <f>+IFERROR(HLOOKUP(R6,'סקרי נכסים-יתרות פתיחה'!$2:$110,6,0),0)-IFERROR(HLOOKUP(R6,'סקרי נכסים-יתרות פתיחה'!$2:$110,91,0),0)*(1-R$309)</f>
        <v>0</v>
      </c>
      <c r="S74" s="1240">
        <f>+IFERROR(HLOOKUP(S6,'סקרי נכסים-יתרות פתיחה'!$2:$110,6,0),0)-IFERROR(HLOOKUP(S6,'סקרי נכסים-יתרות פתיחה'!$2:$110,91,0),0)*(1-S$309)</f>
        <v>0</v>
      </c>
      <c r="T74" s="1240">
        <f>+IFERROR(HLOOKUP(T6,'סקרי נכסים-יתרות פתיחה'!$2:$110,6,0),0)-IFERROR(HLOOKUP(T6,'סקרי נכסים-יתרות פתיחה'!$2:$110,91,0),0)*(1-T$309)</f>
        <v>470000</v>
      </c>
      <c r="U74" s="1240">
        <f>+IFERROR(HLOOKUP(U6,'סקרי נכסים-יתרות פתיחה'!$2:$110,6,0),0)-IFERROR(HLOOKUP(U6,'סקרי נכסים-יתרות פתיחה'!$2:$110,91,0),0)*(1-U$309)</f>
        <v>0</v>
      </c>
      <c r="V74" s="1240">
        <f>+IFERROR(HLOOKUP(V6,'סקרי נכסים-יתרות פתיחה'!$2:$110,6,0),0)-IFERROR(HLOOKUP(V6,'סקרי נכסים-יתרות פתיחה'!$2:$110,91,0),0)*(1-V$309)</f>
        <v>1097487</v>
      </c>
      <c r="W74" s="1240">
        <f>+IFERROR(HLOOKUP(W6,'סקרי נכסים-יתרות פתיחה'!$2:$110,6,0),0)-IFERROR(HLOOKUP(W6,'סקרי נכסים-יתרות פתיחה'!$2:$110,91,0),0)*(1-W$309)</f>
        <v>893627</v>
      </c>
      <c r="X74" s="1240">
        <f>+IFERROR(HLOOKUP(X6,'סקרי נכסים-יתרות פתיחה'!$2:$110,6,0),0)-IFERROR(HLOOKUP(X6,'סקרי נכסים-יתרות פתיחה'!$2:$110,91,0),0)*(1-X$309)</f>
        <v>490000</v>
      </c>
      <c r="Y74" s="1240">
        <f>+IFERROR(HLOOKUP(Y6,'סקרי נכסים-יתרות פתיחה'!$2:$110,6,0),0)-IFERROR(HLOOKUP(Y6,'סקרי נכסים-יתרות פתיחה'!$2:$110,91,0),0)*(1-Y$309)</f>
        <v>0</v>
      </c>
      <c r="Z74" s="1240">
        <f>+IFERROR(HLOOKUP(Z6,'סקרי נכסים-יתרות פתיחה'!$2:$110,6,0),0)-IFERROR(HLOOKUP(Z6,'סקרי נכסים-יתרות פתיחה'!$2:$110,91,0),0)*(1-Z$309)</f>
        <v>0</v>
      </c>
      <c r="AA74" s="1240">
        <f>+IFERROR(HLOOKUP(AA6,'סקרי נכסים-יתרות פתיחה'!$2:$110,6,0),0)-IFERROR(HLOOKUP(AA6,'סקרי נכסים-יתרות פתיחה'!$2:$110,91,0),0)*(1-AA$309)</f>
        <v>0</v>
      </c>
      <c r="AB74" s="1240">
        <f>+IFERROR(HLOOKUP(AB6,'סקרי נכסים-יתרות פתיחה'!$2:$110,6,0),0)-IFERROR(HLOOKUP(AB6,'סקרי נכסים-יתרות פתיחה'!$2:$110,91,0),0)*(1-AB$309)</f>
        <v>0</v>
      </c>
      <c r="AC74" s="1240">
        <f>+IFERROR(HLOOKUP(AC6,'סקרי נכסים-יתרות פתיחה'!$2:$110,6,0),0)-IFERROR(HLOOKUP(AC6,'סקרי נכסים-יתרות פתיחה'!$2:$110,91,0),0)*(1-AC$309)</f>
        <v>0</v>
      </c>
      <c r="AD74" s="1240">
        <f>+IFERROR(HLOOKUP(AD6,'סקרי נכסים-יתרות פתיחה'!$2:$110,6,0),0)-IFERROR(HLOOKUP(AD6,'סקרי נכסים-יתרות פתיחה'!$2:$110,91,0),0)*(1-AD$309)</f>
        <v>0</v>
      </c>
      <c r="AE74" s="1240">
        <f>+IFERROR(HLOOKUP(AE6,'סקרי נכסים-יתרות פתיחה'!$2:$110,6,0),0)-IFERROR(HLOOKUP(AE6,'סקרי נכסים-יתרות פתיחה'!$2:$110,91,0),0)*(1-AE$309)</f>
        <v>0</v>
      </c>
      <c r="AF74" s="1240">
        <f>+IFERROR(HLOOKUP(AF6,'סקרי נכסים-יתרות פתיחה'!$2:$110,6,0),0)-IFERROR(HLOOKUP(AF6,'סקרי נכסים-יתרות פתיחה'!$2:$110,91,0),0)*(1-AF$309)</f>
        <v>0</v>
      </c>
      <c r="AG74" s="1240">
        <f>+IFERROR(HLOOKUP(AG6,'סקרי נכסים-יתרות פתיחה'!$2:$110,6,0),0)-IFERROR(HLOOKUP(AG6,'סקרי נכסים-יתרות פתיחה'!$2:$110,91,0),0)*(1-AG$309)</f>
        <v>0</v>
      </c>
      <c r="AH74" s="1240">
        <f>+IFERROR(HLOOKUP(AH6,'סקרי נכסים-יתרות פתיחה'!$2:$110,6,0),0)-IFERROR(HLOOKUP(AH6,'סקרי נכסים-יתרות פתיחה'!$2:$110,91,0),0)*(1-AH$309)</f>
        <v>0</v>
      </c>
      <c r="AI74" s="1240">
        <f>+IFERROR(HLOOKUP(AI6,'סקרי נכסים-יתרות פתיחה'!$2:$110,6,0),0)-IFERROR(HLOOKUP(AI6,'סקרי נכסים-יתרות פתיחה'!$2:$110,91,0),0)*(1-AI$309)</f>
        <v>0</v>
      </c>
      <c r="AJ74" s="1240">
        <f>+IFERROR(HLOOKUP(AJ6,'סקרי נכסים-יתרות פתיחה'!$2:$110,6,0),0)-IFERROR(HLOOKUP(AJ6,'סקרי נכסים-יתרות פתיחה'!$2:$110,91,0),0)*(1-AJ$309)</f>
        <v>0</v>
      </c>
      <c r="AK74" s="1240">
        <f>+IFERROR(HLOOKUP(AK6,'סקרי נכסים-יתרות פתיחה'!$2:$110,6,0),0)-IFERROR(HLOOKUP(AK6,'סקרי נכסים-יתרות פתיחה'!$2:$110,91,0),0)*(1-AK$309)</f>
        <v>0</v>
      </c>
      <c r="AL74" s="1240">
        <f>+IFERROR(HLOOKUP(AL6,'סקרי נכסים-יתרות פתיחה'!$2:$110,6,0),0)-IFERROR(HLOOKUP(AL6,'סקרי נכסים-יתרות פתיחה'!$2:$110,91,0),0)*(1-AL$309)</f>
        <v>0</v>
      </c>
      <c r="AM74" s="1240">
        <f>+IFERROR(HLOOKUP(AM6,'סקרי נכסים-יתרות פתיחה'!$2:$110,6,0),0)-IFERROR(HLOOKUP(AM6,'סקרי נכסים-יתרות פתיחה'!$2:$110,91,0),0)*(1-AM$309)</f>
        <v>329247.61904761905</v>
      </c>
      <c r="AN74" s="1240">
        <f>+IFERROR(HLOOKUP(AN6,'סקרי נכסים-יתרות פתיחה'!$2:$110,6,0),0)-IFERROR(HLOOKUP(AN6,'סקרי נכסים-יתרות פתיחה'!$2:$110,91,0),0)*(1-AN$309)</f>
        <v>200000</v>
      </c>
      <c r="AO74" s="1240">
        <f>+IFERROR(HLOOKUP(AO6,'סקרי נכסים-יתרות פתיחה'!$2:$110,6,0),0)-IFERROR(HLOOKUP(AO6,'סקרי נכסים-יתרות פתיחה'!$2:$110,91,0),0)*(1-AO$309)</f>
        <v>0</v>
      </c>
      <c r="AP74" s="1240">
        <f>+IFERROR(HLOOKUP(AP6,'סקרי נכסים-יתרות פתיחה'!$2:$110,6,0),0)-IFERROR(HLOOKUP(AP6,'סקרי נכסים-יתרות פתיחה'!$2:$110,91,0),0)*(1-AP$309)</f>
        <v>0</v>
      </c>
      <c r="AQ74" s="1240">
        <f>+IFERROR(HLOOKUP(AQ6,'סקרי נכסים-יתרות פתיחה'!$2:$110,6,0),0)-IFERROR(HLOOKUP(AQ6,'סקרי נכסים-יתרות פתיחה'!$2:$110,91,0),0)*(1-AQ$309)</f>
        <v>0</v>
      </c>
      <c r="AR74" s="1240">
        <f>+IFERROR(HLOOKUP(AR6,'סקרי נכסים-יתרות פתיחה'!$2:$110,6,0),0)-IFERROR(HLOOKUP(AR6,'סקרי נכסים-יתרות פתיחה'!$2:$110,91,0),0)*(1-AR$309)</f>
        <v>0</v>
      </c>
      <c r="AS74" s="1240">
        <f>+IFERROR(HLOOKUP(AS6,'סקרי נכסים-יתרות פתיחה'!$2:$110,6,0),0)-IFERROR(HLOOKUP(AS6,'סקרי נכסים-יתרות פתיחה'!$2:$110,91,0),0)*(1-AS$309)</f>
        <v>0</v>
      </c>
      <c r="AT74" s="1240">
        <f>+IFERROR(HLOOKUP(AT6,'סקרי נכסים-יתרות פתיחה'!$2:$110,6,0),0)-IFERROR(HLOOKUP(AT6,'סקרי נכסים-יתרות פתיחה'!$2:$110,91,0),0)*(1-AT$309)</f>
        <v>0</v>
      </c>
      <c r="AU74" s="1240">
        <f>+IFERROR(HLOOKUP(AU6,'סקרי נכסים-יתרות פתיחה'!$2:$110,6,0),0)-IFERROR(HLOOKUP(AU6,'סקרי נכסים-יתרות פתיחה'!$2:$110,91,0),0)*(1-AU$309)</f>
        <v>0</v>
      </c>
      <c r="AV74" s="1240">
        <f>+IFERROR(HLOOKUP(AV6,'סקרי נכסים-יתרות פתיחה'!$2:$110,6,0),0)-IFERROR(HLOOKUP(AV6,'סקרי נכסים-יתרות פתיחה'!$2:$110,91,0),0)*(1-AV$309)</f>
        <v>0</v>
      </c>
      <c r="AW74" s="1240">
        <f>+IFERROR(HLOOKUP(AW6,'סקרי נכסים-יתרות פתיחה'!$2:$110,6,0),0)-IFERROR(HLOOKUP(AW6,'סקרי נכסים-יתרות פתיחה'!$2:$110,91,0),0)*(1-AW$309)</f>
        <v>0</v>
      </c>
      <c r="AX74" s="1240">
        <f>+IFERROR(HLOOKUP(AX6,'סקרי נכסים-יתרות פתיחה'!$2:$110,6,0),0)-IFERROR(HLOOKUP(AX6,'סקרי נכסים-יתרות פתיחה'!$2:$110,91,0),0)*(1-AX$309)</f>
        <v>208200</v>
      </c>
      <c r="AY74" s="1240">
        <f>+IFERROR(HLOOKUP(AY6,'סקרי נכסים-יתרות פתיחה'!$2:$110,6,0),0)-IFERROR(HLOOKUP(AY6,'סקרי נכסים-יתרות פתיחה'!$2:$110,91,0),0)*(1-AY$309)</f>
        <v>0</v>
      </c>
      <c r="AZ74" s="1240">
        <f>+IFERROR(HLOOKUP(AZ6,'סקרי נכסים-יתרות פתיחה'!$2:$110,6,0),0)-IFERROR(HLOOKUP(AZ6,'סקרי נכסים-יתרות פתיחה'!$2:$110,91,0),0)*(1-AZ$309)</f>
        <v>627571.42857142852</v>
      </c>
      <c r="BA74" s="1240">
        <f>+IFERROR(HLOOKUP(BA6,'סקרי נכסים-יתרות פתיחה'!$2:$110,6,0),0)-IFERROR(HLOOKUP(BA6,'סקרי נכסים-יתרות פתיחה'!$2:$110,91,0),0)*(1-BA$309)</f>
        <v>454761.90476190473</v>
      </c>
      <c r="BB74" s="1240">
        <f>+IFERROR(HLOOKUP(BB6,'סקרי נכסים-יתרות פתיחה'!$2:$110,6,0),0)-IFERROR(HLOOKUP(BB6,'סקרי נכסים-יתרות פתיחה'!$2:$110,91,0),0)*(1-BB$309)</f>
        <v>500000</v>
      </c>
      <c r="BC74" s="1240">
        <f>+IFERROR(HLOOKUP(BC6,'סקרי נכסים-יתרות פתיחה'!$2:$110,6,0),0)-IFERROR(HLOOKUP(BC6,'סקרי נכסים-יתרות פתיחה'!$2:$110,91,0),0)*(1-BC$309)</f>
        <v>0</v>
      </c>
      <c r="BD74" s="1240">
        <f>+IFERROR(HLOOKUP(BD6,'סקרי נכסים-יתרות פתיחה'!$2:$110,6,0),0)-IFERROR(HLOOKUP(BD6,'סקרי נכסים-יתרות פתיחה'!$2:$110,91,0),0)*(1-BD$309)</f>
        <v>0</v>
      </c>
      <c r="BE74" s="1240">
        <f>+IFERROR(HLOOKUP(BE6,'סקרי נכסים-יתרות פתיחה'!$2:$110,6,0),0)-IFERROR(HLOOKUP(BE6,'סקרי נכסים-יתרות פתיחה'!$2:$110,91,0),0)*(1-BE$309)</f>
        <v>0</v>
      </c>
      <c r="BF74" s="1240">
        <f>+IFERROR(HLOOKUP(BF6,'סקרי נכסים-יתרות פתיחה'!$2:$110,6,0),0)-IFERROR(HLOOKUP(BF6,'סקרי נכסים-יתרות פתיחה'!$2:$110,91,0),0)*(1-BF$309)</f>
        <v>0</v>
      </c>
    </row>
    <row r="75" spans="1:62" x14ac:dyDescent="0.2">
      <c r="B75" s="1">
        <v>4</v>
      </c>
      <c r="C75" s="1240">
        <f>+IFERROR(HLOOKUP(C7,'סקרי נכסים-יתרות פתיחה'!$2:$110,6,0),0)-IFERROR(HLOOKUP(C7,'סקרי נכסים-יתרות פתיחה'!$2:$110,91,0),0)*(1-C$309)</f>
        <v>0</v>
      </c>
      <c r="D75" s="1240">
        <f>+IFERROR(HLOOKUP(D7,'סקרי נכסים-יתרות פתיחה'!$2:$110,6,0),0)-IFERROR(HLOOKUP(D7,'סקרי נכסים-יתרות פתיחה'!$2:$110,91,0),0)*(1-D$309)</f>
        <v>350000</v>
      </c>
      <c r="E75" s="1240">
        <f>+IFERROR(HLOOKUP(E7,'סקרי נכסים-יתרות פתיחה'!$2:$110,6,0),0)-IFERROR(HLOOKUP(E7,'סקרי נכסים-יתרות פתיחה'!$2:$110,91,0),0)*(1-E$309)</f>
        <v>0</v>
      </c>
      <c r="F75" s="1240">
        <f>+IFERROR(HLOOKUP(F7,'סקרי נכסים-יתרות פתיחה'!$2:$110,6,0),0)-IFERROR(HLOOKUP(F7,'סקרי נכסים-יתרות פתיחה'!$2:$110,91,0),0)*(1-F$309)</f>
        <v>0</v>
      </c>
      <c r="G75" s="1240">
        <f>+IFERROR(HLOOKUP(G7,'סקרי נכסים-יתרות פתיחה'!$2:$110,6,0),0)-IFERROR(HLOOKUP(G7,'סקרי נכסים-יתרות פתיחה'!$2:$110,91,0),0)*(1-G$309)</f>
        <v>0</v>
      </c>
      <c r="H75" s="1240">
        <f>+IFERROR(HLOOKUP(H7,'סקרי נכסים-יתרות פתיחה'!$2:$110,6,0),0)-IFERROR(HLOOKUP(H7,'סקרי נכסים-יתרות פתיחה'!$2:$110,91,0),0)*(1-H$309)</f>
        <v>0</v>
      </c>
      <c r="I75" s="1240">
        <f>+IFERROR(HLOOKUP(I7,'סקרי נכסים-יתרות פתיחה'!$2:$110,6,0),0)-IFERROR(HLOOKUP(I7,'סקרי נכסים-יתרות פתיחה'!$2:$110,91,0),0)*(1-I$309)</f>
        <v>0</v>
      </c>
      <c r="J75" s="1240">
        <f>+IFERROR(HLOOKUP(J7,'סקרי נכסים-יתרות פתיחה'!$2:$110,6,0),0)-IFERROR(HLOOKUP(J7,'סקרי נכסים-יתרות פתיחה'!$2:$110,91,0),0)*(1-J$309)</f>
        <v>0</v>
      </c>
      <c r="K75" s="1240">
        <f>+IFERROR(HLOOKUP(K7,'סקרי נכסים-יתרות פתיחה'!$2:$110,6,0),0)-IFERROR(HLOOKUP(K7,'סקרי נכסים-יתרות פתיחה'!$2:$110,91,0),0)*(1-K$309)</f>
        <v>0</v>
      </c>
      <c r="L75" s="1240">
        <f>+IFERROR(HLOOKUP(L7,'סקרי נכסים-יתרות פתיחה'!$2:$110,6,0),0)-IFERROR(HLOOKUP(L7,'סקרי נכסים-יתרות פתיחה'!$2:$110,91,0),0)*(1-L$309)</f>
        <v>0</v>
      </c>
      <c r="M75" s="1240">
        <f>+IFERROR(HLOOKUP(M7,'סקרי נכסים-יתרות פתיחה'!$2:$110,6,0),0)-IFERROR(HLOOKUP(M7,'סקרי נכסים-יתרות פתיחה'!$2:$110,91,0),0)*(1-M$309)</f>
        <v>0</v>
      </c>
      <c r="N75" s="1240">
        <f>+IFERROR(HLOOKUP(N7,'סקרי נכסים-יתרות פתיחה'!$2:$110,6,0),0)-IFERROR(HLOOKUP(N7,'סקרי נכסים-יתרות פתיחה'!$2:$110,91,0),0)*(1-N$309)</f>
        <v>0</v>
      </c>
      <c r="O75" s="1240">
        <f>+IFERROR(HLOOKUP(O7,'סקרי נכסים-יתרות פתיחה'!$2:$110,6,0),0)-IFERROR(HLOOKUP(O7,'סקרי נכסים-יתרות פתיחה'!$2:$110,91,0),0)*(1-O$309)</f>
        <v>0</v>
      </c>
      <c r="P75" s="1240">
        <f>+IFERROR(HLOOKUP(P7,'סקרי נכסים-יתרות פתיחה'!$2:$110,6,0),0)-IFERROR(HLOOKUP(P7,'סקרי נכסים-יתרות פתיחה'!$2:$110,91,0),0)*(1-P$309)</f>
        <v>0</v>
      </c>
      <c r="Q75" s="1240">
        <f>+IFERROR(HLOOKUP(Q7,'סקרי נכסים-יתרות פתיחה'!$2:$110,6,0),0)-IFERROR(HLOOKUP(Q7,'סקרי נכסים-יתרות פתיחה'!$2:$110,91,0),0)*(1-Q$309)</f>
        <v>0</v>
      </c>
      <c r="R75" s="1240">
        <f>+IFERROR(HLOOKUP(R7,'סקרי נכסים-יתרות פתיחה'!$2:$110,6,0),0)-IFERROR(HLOOKUP(R7,'סקרי נכסים-יתרות פתיחה'!$2:$110,91,0),0)*(1-R$309)</f>
        <v>0</v>
      </c>
      <c r="S75" s="1240">
        <f>+IFERROR(HLOOKUP(S7,'סקרי נכסים-יתרות פתיחה'!$2:$110,6,0),0)-IFERROR(HLOOKUP(S7,'סקרי נכסים-יתרות פתיחה'!$2:$110,91,0),0)*(1-S$309)</f>
        <v>0</v>
      </c>
      <c r="T75" s="1240">
        <f>+IFERROR(HLOOKUP(T7,'סקרי נכסים-יתרות פתיחה'!$2:$110,6,0),0)-IFERROR(HLOOKUP(T7,'סקרי נכסים-יתרות פתיחה'!$2:$110,91,0),0)*(1-T$309)</f>
        <v>0</v>
      </c>
      <c r="U75" s="1240">
        <f>+IFERROR(HLOOKUP(U7,'סקרי נכסים-יתרות פתיחה'!$2:$110,6,0),0)-IFERROR(HLOOKUP(U7,'סקרי נכסים-יתרות פתיחה'!$2:$110,91,0),0)*(1-U$309)</f>
        <v>0</v>
      </c>
      <c r="V75" s="1240">
        <f>+IFERROR(HLOOKUP(V7,'סקרי נכסים-יתרות פתיחה'!$2:$110,6,0),0)-IFERROR(HLOOKUP(V7,'סקרי נכסים-יתרות פתיחה'!$2:$110,91,0),0)*(1-V$309)</f>
        <v>0</v>
      </c>
      <c r="W75" s="1240">
        <f>+IFERROR(HLOOKUP(W7,'סקרי נכסים-יתרות פתיחה'!$2:$110,6,0),0)-IFERROR(HLOOKUP(W7,'סקרי נכסים-יתרות פתיחה'!$2:$110,91,0),0)*(1-W$309)</f>
        <v>0</v>
      </c>
      <c r="X75" s="1240">
        <f>+IFERROR(HLOOKUP(X7,'סקרי נכסים-יתרות פתיחה'!$2:$110,6,0),0)-IFERROR(HLOOKUP(X7,'סקרי נכסים-יתרות פתיחה'!$2:$110,91,0),0)*(1-X$309)</f>
        <v>0</v>
      </c>
      <c r="Y75" s="1240">
        <f>+IFERROR(HLOOKUP(Y7,'סקרי נכסים-יתרות פתיחה'!$2:$110,6,0),0)-IFERROR(HLOOKUP(Y7,'סקרי נכסים-יתרות פתיחה'!$2:$110,91,0),0)*(1-Y$309)</f>
        <v>0</v>
      </c>
      <c r="Z75" s="1240">
        <f>+IFERROR(HLOOKUP(Z7,'סקרי נכסים-יתרות פתיחה'!$2:$110,6,0),0)-IFERROR(HLOOKUP(Z7,'סקרי נכסים-יתרות פתיחה'!$2:$110,91,0),0)*(1-Z$309)</f>
        <v>0</v>
      </c>
      <c r="AA75" s="1240">
        <f>+IFERROR(HLOOKUP(AA7,'סקרי נכסים-יתרות פתיחה'!$2:$110,6,0),0)-IFERROR(HLOOKUP(AA7,'סקרי נכסים-יתרות פתיחה'!$2:$110,91,0),0)*(1-AA$309)</f>
        <v>0</v>
      </c>
      <c r="AB75" s="1240">
        <f>+IFERROR(HLOOKUP(AB7,'סקרי נכסים-יתרות פתיחה'!$2:$110,6,0),0)-IFERROR(HLOOKUP(AB7,'סקרי נכסים-יתרות פתיחה'!$2:$110,91,0),0)*(1-AB$309)</f>
        <v>0</v>
      </c>
      <c r="AC75" s="1240">
        <f>+IFERROR(HLOOKUP(AC7,'סקרי נכסים-יתרות פתיחה'!$2:$110,6,0),0)-IFERROR(HLOOKUP(AC7,'סקרי נכסים-יתרות פתיחה'!$2:$110,91,0),0)*(1-AC$309)</f>
        <v>0</v>
      </c>
      <c r="AD75" s="1240">
        <f>+IFERROR(HLOOKUP(AD7,'סקרי נכסים-יתרות פתיחה'!$2:$110,6,0),0)-IFERROR(HLOOKUP(AD7,'סקרי נכסים-יתרות פתיחה'!$2:$110,91,0),0)*(1-AD$309)</f>
        <v>0</v>
      </c>
      <c r="AE75" s="1240">
        <f>+IFERROR(HLOOKUP(AE7,'סקרי נכסים-יתרות פתיחה'!$2:$110,6,0),0)-IFERROR(HLOOKUP(AE7,'סקרי נכסים-יתרות פתיחה'!$2:$110,91,0),0)*(1-AE$309)</f>
        <v>0</v>
      </c>
      <c r="AF75" s="1240">
        <f>+IFERROR(HLOOKUP(AF7,'סקרי נכסים-יתרות פתיחה'!$2:$110,6,0),0)-IFERROR(HLOOKUP(AF7,'סקרי נכסים-יתרות פתיחה'!$2:$110,91,0),0)*(1-AF$309)</f>
        <v>0</v>
      </c>
      <c r="AG75" s="1240">
        <f>+IFERROR(HLOOKUP(AG7,'סקרי נכסים-יתרות פתיחה'!$2:$110,6,0),0)-IFERROR(HLOOKUP(AG7,'סקרי נכסים-יתרות פתיחה'!$2:$110,91,0),0)*(1-AG$309)</f>
        <v>0</v>
      </c>
      <c r="AH75" s="1240">
        <f>+IFERROR(HLOOKUP(AH7,'סקרי נכסים-יתרות פתיחה'!$2:$110,6,0),0)-IFERROR(HLOOKUP(AH7,'סקרי נכסים-יתרות פתיחה'!$2:$110,91,0),0)*(1-AH$309)</f>
        <v>0</v>
      </c>
      <c r="AI75" s="1240">
        <f>+IFERROR(HLOOKUP(AI7,'סקרי נכסים-יתרות פתיחה'!$2:$110,6,0),0)-IFERROR(HLOOKUP(AI7,'סקרי נכסים-יתרות פתיחה'!$2:$110,91,0),0)*(1-AI$309)</f>
        <v>0</v>
      </c>
      <c r="AJ75" s="1240">
        <f>+IFERROR(HLOOKUP(AJ7,'סקרי נכסים-יתרות פתיחה'!$2:$110,6,0),0)-IFERROR(HLOOKUP(AJ7,'סקרי נכסים-יתרות פתיחה'!$2:$110,91,0),0)*(1-AJ$309)</f>
        <v>0</v>
      </c>
      <c r="AK75" s="1240">
        <f>+IFERROR(HLOOKUP(AK7,'סקרי נכסים-יתרות פתיחה'!$2:$110,6,0),0)-IFERROR(HLOOKUP(AK7,'סקרי נכסים-יתרות פתיחה'!$2:$110,91,0),0)*(1-AK$309)</f>
        <v>0</v>
      </c>
      <c r="AL75" s="1240">
        <f>+IFERROR(HLOOKUP(AL7,'סקרי נכסים-יתרות פתיחה'!$2:$110,6,0),0)-IFERROR(HLOOKUP(AL7,'סקרי נכסים-יתרות פתיחה'!$2:$110,91,0),0)*(1-AL$309)</f>
        <v>0</v>
      </c>
      <c r="AM75" s="1240">
        <f>+IFERROR(HLOOKUP(AM7,'סקרי נכסים-יתרות פתיחה'!$2:$110,6,0),0)-IFERROR(HLOOKUP(AM7,'סקרי נכסים-יתרות פתיחה'!$2:$110,91,0),0)*(1-AM$309)</f>
        <v>1520024.3857142858</v>
      </c>
      <c r="AN75" s="1240">
        <f>+IFERROR(HLOOKUP(AN7,'סקרי נכסים-יתרות פתיחה'!$2:$110,6,0),0)-IFERROR(HLOOKUP(AN7,'סקרי נכסים-יתרות פתיחה'!$2:$110,91,0),0)*(1-AN$309)</f>
        <v>210000</v>
      </c>
      <c r="AO75" s="1240">
        <f>+IFERROR(HLOOKUP(AO7,'סקרי נכסים-יתרות פתיחה'!$2:$110,6,0),0)-IFERROR(HLOOKUP(AO7,'סקרי נכסים-יתרות פתיחה'!$2:$110,91,0),0)*(1-AO$309)</f>
        <v>0</v>
      </c>
      <c r="AP75" s="1240">
        <f>+IFERROR(HLOOKUP(AP7,'סקרי נכסים-יתרות פתיחה'!$2:$110,6,0),0)-IFERROR(HLOOKUP(AP7,'סקרי נכסים-יתרות פתיחה'!$2:$110,91,0),0)*(1-AP$309)</f>
        <v>0</v>
      </c>
      <c r="AQ75" s="1240">
        <f>+IFERROR(HLOOKUP(AQ7,'סקרי נכסים-יתרות פתיחה'!$2:$110,6,0),0)-IFERROR(HLOOKUP(AQ7,'סקרי נכסים-יתרות פתיחה'!$2:$110,91,0),0)*(1-AQ$309)</f>
        <v>0</v>
      </c>
      <c r="AR75" s="1240">
        <f>+IFERROR(HLOOKUP(AR7,'סקרי נכסים-יתרות פתיחה'!$2:$110,6,0),0)-IFERROR(HLOOKUP(AR7,'סקרי נכסים-יתרות פתיחה'!$2:$110,91,0),0)*(1-AR$309)</f>
        <v>0</v>
      </c>
      <c r="AS75" s="1240">
        <f>+IFERROR(HLOOKUP(AS7,'סקרי נכסים-יתרות פתיחה'!$2:$110,6,0),0)-IFERROR(HLOOKUP(AS7,'סקרי נכסים-יתרות פתיחה'!$2:$110,91,0),0)*(1-AS$309)</f>
        <v>979000</v>
      </c>
      <c r="AT75" s="1240">
        <f>+IFERROR(HLOOKUP(AT7,'סקרי נכסים-יתרות פתיחה'!$2:$110,6,0),0)-IFERROR(HLOOKUP(AT7,'סקרי נכסים-יתרות פתיחה'!$2:$110,91,0),0)*(1-AT$309)</f>
        <v>0</v>
      </c>
      <c r="AU75" s="1240">
        <f>+IFERROR(HLOOKUP(AU7,'סקרי נכסים-יתרות פתיחה'!$2:$110,6,0),0)-IFERROR(HLOOKUP(AU7,'סקרי נכסים-יתרות פתיחה'!$2:$110,91,0),0)*(1-AU$309)</f>
        <v>0</v>
      </c>
      <c r="AV75" s="1240">
        <f>+IFERROR(HLOOKUP(AV7,'סקרי נכסים-יתרות פתיחה'!$2:$110,6,0),0)-IFERROR(HLOOKUP(AV7,'סקרי נכסים-יתרות פתיחה'!$2:$110,91,0),0)*(1-AV$309)</f>
        <v>0</v>
      </c>
      <c r="AW75" s="1240">
        <f>+IFERROR(HLOOKUP(AW7,'סקרי נכסים-יתרות פתיחה'!$2:$110,6,0),0)-IFERROR(HLOOKUP(AW7,'סקרי נכסים-יתרות פתיחה'!$2:$110,91,0),0)*(1-AW$309)</f>
        <v>0</v>
      </c>
      <c r="AX75" s="1240">
        <f>+IFERROR(HLOOKUP(AX7,'סקרי נכסים-יתרות פתיחה'!$2:$110,6,0),0)-IFERROR(HLOOKUP(AX7,'סקרי נכסים-יתרות פתיחה'!$2:$110,91,0),0)*(1-AX$309)</f>
        <v>0</v>
      </c>
      <c r="AY75" s="1240">
        <f>+IFERROR(HLOOKUP(AY7,'סקרי נכסים-יתרות פתיחה'!$2:$110,6,0),0)-IFERROR(HLOOKUP(AY7,'סקרי נכסים-יתרות פתיחה'!$2:$110,91,0),0)*(1-AY$309)</f>
        <v>0</v>
      </c>
      <c r="AZ75" s="1240">
        <f>+IFERROR(HLOOKUP(AZ7,'סקרי נכסים-יתרות פתיחה'!$2:$110,6,0),0)-IFERROR(HLOOKUP(AZ7,'סקרי נכסים-יתרות פתיחה'!$2:$110,91,0),0)*(1-AZ$309)</f>
        <v>1400000</v>
      </c>
      <c r="BA75" s="1240">
        <f>+IFERROR(HLOOKUP(BA7,'סקרי נכסים-יתרות פתיחה'!$2:$110,6,0),0)-IFERROR(HLOOKUP(BA7,'סקרי נכסים-יתרות פתיחה'!$2:$110,91,0),0)*(1-BA$309)</f>
        <v>0</v>
      </c>
      <c r="BB75" s="1240">
        <f>+IFERROR(HLOOKUP(BB7,'סקרי נכסים-יתרות פתיחה'!$2:$110,6,0),0)-IFERROR(HLOOKUP(BB7,'סקרי נכסים-יתרות פתיחה'!$2:$110,91,0),0)*(1-BB$309)</f>
        <v>0</v>
      </c>
      <c r="BC75" s="1240">
        <f>+IFERROR(HLOOKUP(BC7,'סקרי נכסים-יתרות פתיחה'!$2:$110,6,0),0)-IFERROR(HLOOKUP(BC7,'סקרי נכסים-יתרות פתיחה'!$2:$110,91,0),0)*(1-BC$309)</f>
        <v>0</v>
      </c>
      <c r="BD75" s="1240">
        <f>+IFERROR(HLOOKUP(BD7,'סקרי נכסים-יתרות פתיחה'!$2:$110,6,0),0)-IFERROR(HLOOKUP(BD7,'סקרי נכסים-יתרות פתיחה'!$2:$110,91,0),0)*(1-BD$309)</f>
        <v>0</v>
      </c>
      <c r="BE75" s="1240">
        <f>+IFERROR(HLOOKUP(BE7,'סקרי נכסים-יתרות פתיחה'!$2:$110,6,0),0)-IFERROR(HLOOKUP(BE7,'סקרי נכסים-יתרות פתיחה'!$2:$110,91,0),0)*(1-BE$309)</f>
        <v>0</v>
      </c>
      <c r="BF75" s="1240">
        <f>+IFERROR(HLOOKUP(BF7,'סקרי נכסים-יתרות פתיחה'!$2:$110,6,0),0)-IFERROR(HLOOKUP(BF7,'סקרי נכסים-יתרות פתיחה'!$2:$110,91,0),0)*(1-BF$309)</f>
        <v>0</v>
      </c>
    </row>
    <row r="76" spans="1:62" x14ac:dyDescent="0.2">
      <c r="B76" s="1">
        <v>5</v>
      </c>
      <c r="C76" s="1240">
        <f>+IFERROR(HLOOKUP(C8,'סקרי נכסים-יתרות פתיחה'!$2:$110,6,0),0)-IFERROR(HLOOKUP(C8,'סקרי נכסים-יתרות פתיחה'!$2:$110,91,0),0)*(1-C$309)</f>
        <v>0</v>
      </c>
      <c r="D76" s="1240">
        <f>+IFERROR(HLOOKUP(D8,'סקרי נכסים-יתרות פתיחה'!$2:$110,6,0),0)-IFERROR(HLOOKUP(D8,'סקרי נכסים-יתרות פתיחה'!$2:$110,91,0),0)*(1-D$309)</f>
        <v>0</v>
      </c>
      <c r="E76" s="1240">
        <f>+IFERROR(HLOOKUP(E8,'סקרי נכסים-יתרות פתיחה'!$2:$110,6,0),0)-IFERROR(HLOOKUP(E8,'סקרי נכסים-יתרות פתיחה'!$2:$110,91,0),0)*(1-E$309)</f>
        <v>0</v>
      </c>
      <c r="F76" s="1240">
        <f>+IFERROR(HLOOKUP(F8,'סקרי נכסים-יתרות פתיחה'!$2:$110,6,0),0)-IFERROR(HLOOKUP(F8,'סקרי נכסים-יתרות פתיחה'!$2:$110,91,0),0)*(1-F$309)</f>
        <v>0</v>
      </c>
      <c r="G76" s="1240">
        <f>+IFERROR(HLOOKUP(G8,'סקרי נכסים-יתרות פתיחה'!$2:$110,6,0),0)-IFERROR(HLOOKUP(G8,'סקרי נכסים-יתרות פתיחה'!$2:$110,91,0),0)*(1-G$309)</f>
        <v>0</v>
      </c>
      <c r="H76" s="1240">
        <f>+IFERROR(HLOOKUP(H8,'סקרי נכסים-יתרות פתיחה'!$2:$110,6,0),0)-IFERROR(HLOOKUP(H8,'סקרי נכסים-יתרות פתיחה'!$2:$110,91,0),0)*(1-H$309)</f>
        <v>0</v>
      </c>
      <c r="I76" s="1240">
        <f>+IFERROR(HLOOKUP(I8,'סקרי נכסים-יתרות פתיחה'!$2:$110,6,0),0)-IFERROR(HLOOKUP(I8,'סקרי נכסים-יתרות פתיחה'!$2:$110,91,0),0)*(1-I$309)</f>
        <v>0</v>
      </c>
      <c r="J76" s="1240">
        <f>+IFERROR(HLOOKUP(J8,'סקרי נכסים-יתרות פתיחה'!$2:$110,6,0),0)-IFERROR(HLOOKUP(J8,'סקרי נכסים-יתרות פתיחה'!$2:$110,91,0),0)*(1-J$309)</f>
        <v>0</v>
      </c>
      <c r="K76" s="1240">
        <f>+IFERROR(HLOOKUP(K8,'סקרי נכסים-יתרות פתיחה'!$2:$110,6,0),0)-IFERROR(HLOOKUP(K8,'סקרי נכסים-יתרות פתיחה'!$2:$110,91,0),0)*(1-K$309)</f>
        <v>0</v>
      </c>
      <c r="L76" s="1240">
        <f>+IFERROR(HLOOKUP(L8,'סקרי נכסים-יתרות פתיחה'!$2:$110,6,0),0)-IFERROR(HLOOKUP(L8,'סקרי נכסים-יתרות פתיחה'!$2:$110,91,0),0)*(1-L$309)</f>
        <v>0</v>
      </c>
      <c r="M76" s="1240">
        <f>+IFERROR(HLOOKUP(M8,'סקרי נכסים-יתרות פתיחה'!$2:$110,6,0),0)-IFERROR(HLOOKUP(M8,'סקרי נכסים-יתרות פתיחה'!$2:$110,91,0),0)*(1-M$309)</f>
        <v>0</v>
      </c>
      <c r="N76" s="1240">
        <f>+IFERROR(HLOOKUP(N8,'סקרי נכסים-יתרות פתיחה'!$2:$110,6,0),0)-IFERROR(HLOOKUP(N8,'סקרי נכסים-יתרות פתיחה'!$2:$110,91,0),0)*(1-N$309)</f>
        <v>0</v>
      </c>
      <c r="O76" s="1240">
        <f>+IFERROR(HLOOKUP(O8,'סקרי נכסים-יתרות פתיחה'!$2:$110,6,0),0)-IFERROR(HLOOKUP(O8,'סקרי נכסים-יתרות פתיחה'!$2:$110,91,0),0)*(1-O$309)</f>
        <v>0</v>
      </c>
      <c r="P76" s="1240">
        <f>+IFERROR(HLOOKUP(P8,'סקרי נכסים-יתרות פתיחה'!$2:$110,6,0),0)-IFERROR(HLOOKUP(P8,'סקרי נכסים-יתרות פתיחה'!$2:$110,91,0),0)*(1-P$309)</f>
        <v>0</v>
      </c>
      <c r="Q76" s="1240">
        <f>+IFERROR(HLOOKUP(Q8,'סקרי נכסים-יתרות פתיחה'!$2:$110,6,0),0)-IFERROR(HLOOKUP(Q8,'סקרי נכסים-יתרות פתיחה'!$2:$110,91,0),0)*(1-Q$309)</f>
        <v>0</v>
      </c>
      <c r="R76" s="1240">
        <f>+IFERROR(HLOOKUP(R8,'סקרי נכסים-יתרות פתיחה'!$2:$110,6,0),0)-IFERROR(HLOOKUP(R8,'סקרי נכסים-יתרות פתיחה'!$2:$110,91,0),0)*(1-R$309)</f>
        <v>0</v>
      </c>
      <c r="S76" s="1240">
        <f>+IFERROR(HLOOKUP(S8,'סקרי נכסים-יתרות פתיחה'!$2:$110,6,0),0)-IFERROR(HLOOKUP(S8,'סקרי נכסים-יתרות פתיחה'!$2:$110,91,0),0)*(1-S$309)</f>
        <v>0</v>
      </c>
      <c r="T76" s="1240">
        <f>+IFERROR(HLOOKUP(T8,'סקרי נכסים-יתרות פתיחה'!$2:$110,6,0),0)-IFERROR(HLOOKUP(T8,'סקרי נכסים-יתרות פתיחה'!$2:$110,91,0),0)*(1-T$309)</f>
        <v>0</v>
      </c>
      <c r="U76" s="1240">
        <f>+IFERROR(HLOOKUP(U8,'סקרי נכסים-יתרות פתיחה'!$2:$110,6,0),0)-IFERROR(HLOOKUP(U8,'סקרי נכסים-יתרות פתיחה'!$2:$110,91,0),0)*(1-U$309)</f>
        <v>0</v>
      </c>
      <c r="V76" s="1240">
        <f>+IFERROR(HLOOKUP(V8,'סקרי נכסים-יתרות פתיחה'!$2:$110,6,0),0)-IFERROR(HLOOKUP(V8,'סקרי נכסים-יתרות פתיחה'!$2:$110,91,0),0)*(1-V$309)</f>
        <v>0</v>
      </c>
      <c r="W76" s="1240">
        <f>+IFERROR(HLOOKUP(W8,'סקרי נכסים-יתרות פתיחה'!$2:$110,6,0),0)-IFERROR(HLOOKUP(W8,'סקרי נכסים-יתרות פתיחה'!$2:$110,91,0),0)*(1-W$309)</f>
        <v>0</v>
      </c>
      <c r="X76" s="1240">
        <f>+IFERROR(HLOOKUP(X8,'סקרי נכסים-יתרות פתיחה'!$2:$110,6,0),0)-IFERROR(HLOOKUP(X8,'סקרי נכסים-יתרות פתיחה'!$2:$110,91,0),0)*(1-X$309)</f>
        <v>0</v>
      </c>
      <c r="Y76" s="1240">
        <f>+IFERROR(HLOOKUP(Y8,'סקרי נכסים-יתרות פתיחה'!$2:$110,6,0),0)-IFERROR(HLOOKUP(Y8,'סקרי נכסים-יתרות פתיחה'!$2:$110,91,0),0)*(1-Y$309)</f>
        <v>0</v>
      </c>
      <c r="Z76" s="1240">
        <f>+IFERROR(HLOOKUP(Z8,'סקרי נכסים-יתרות פתיחה'!$2:$110,6,0),0)-IFERROR(HLOOKUP(Z8,'סקרי נכסים-יתרות פתיחה'!$2:$110,91,0),0)*(1-Z$309)</f>
        <v>0</v>
      </c>
      <c r="AA76" s="1240">
        <f>+IFERROR(HLOOKUP(AA8,'סקרי נכסים-יתרות פתיחה'!$2:$110,6,0),0)-IFERROR(HLOOKUP(AA8,'סקרי נכסים-יתרות פתיחה'!$2:$110,91,0),0)*(1-AA$309)</f>
        <v>0</v>
      </c>
      <c r="AB76" s="1240">
        <f>+IFERROR(HLOOKUP(AB8,'סקרי נכסים-יתרות פתיחה'!$2:$110,6,0),0)-IFERROR(HLOOKUP(AB8,'סקרי נכסים-יתרות פתיחה'!$2:$110,91,0),0)*(1-AB$309)</f>
        <v>0</v>
      </c>
      <c r="AC76" s="1240">
        <f>+IFERROR(HLOOKUP(AC8,'סקרי נכסים-יתרות פתיחה'!$2:$110,6,0),0)-IFERROR(HLOOKUP(AC8,'סקרי נכסים-יתרות פתיחה'!$2:$110,91,0),0)*(1-AC$309)</f>
        <v>0</v>
      </c>
      <c r="AD76" s="1240">
        <f>+IFERROR(HLOOKUP(AD8,'סקרי נכסים-יתרות פתיחה'!$2:$110,6,0),0)-IFERROR(HLOOKUP(AD8,'סקרי נכסים-יתרות פתיחה'!$2:$110,91,0),0)*(1-AD$309)</f>
        <v>0</v>
      </c>
      <c r="AE76" s="1240">
        <f>+IFERROR(HLOOKUP(AE8,'סקרי נכסים-יתרות פתיחה'!$2:$110,6,0),0)-IFERROR(HLOOKUP(AE8,'סקרי נכסים-יתרות פתיחה'!$2:$110,91,0),0)*(1-AE$309)</f>
        <v>0</v>
      </c>
      <c r="AF76" s="1240">
        <f>+IFERROR(HLOOKUP(AF8,'סקרי נכסים-יתרות פתיחה'!$2:$110,6,0),0)-IFERROR(HLOOKUP(AF8,'סקרי נכסים-יתרות פתיחה'!$2:$110,91,0),0)*(1-AF$309)</f>
        <v>0</v>
      </c>
      <c r="AG76" s="1240">
        <f>+IFERROR(HLOOKUP(AG8,'סקרי נכסים-יתרות פתיחה'!$2:$110,6,0),0)-IFERROR(HLOOKUP(AG8,'סקרי נכסים-יתרות פתיחה'!$2:$110,91,0),0)*(1-AG$309)</f>
        <v>0</v>
      </c>
      <c r="AH76" s="1240">
        <f>+IFERROR(HLOOKUP(AH8,'סקרי נכסים-יתרות פתיחה'!$2:$110,6,0),0)-IFERROR(HLOOKUP(AH8,'סקרי נכסים-יתרות פתיחה'!$2:$110,91,0),0)*(1-AH$309)</f>
        <v>0</v>
      </c>
      <c r="AI76" s="1240">
        <f>+IFERROR(HLOOKUP(AI8,'סקרי נכסים-יתרות פתיחה'!$2:$110,6,0),0)-IFERROR(HLOOKUP(AI8,'סקרי נכסים-יתרות פתיחה'!$2:$110,91,0),0)*(1-AI$309)</f>
        <v>0</v>
      </c>
      <c r="AJ76" s="1240">
        <f>+IFERROR(HLOOKUP(AJ8,'סקרי נכסים-יתרות פתיחה'!$2:$110,6,0),0)-IFERROR(HLOOKUP(AJ8,'סקרי נכסים-יתרות פתיחה'!$2:$110,91,0),0)*(1-AJ$309)</f>
        <v>0</v>
      </c>
      <c r="AK76" s="1240">
        <f>+IFERROR(HLOOKUP(AK8,'סקרי נכסים-יתרות פתיחה'!$2:$110,6,0),0)-IFERROR(HLOOKUP(AK8,'סקרי נכסים-יתרות פתיחה'!$2:$110,91,0),0)*(1-AK$309)</f>
        <v>0</v>
      </c>
      <c r="AL76" s="1240">
        <f>+IFERROR(HLOOKUP(AL8,'סקרי נכסים-יתרות פתיחה'!$2:$110,6,0),0)-IFERROR(HLOOKUP(AL8,'סקרי נכסים-יתרות פתיחה'!$2:$110,91,0),0)*(1-AL$309)</f>
        <v>0</v>
      </c>
      <c r="AM76" s="1240">
        <f>+IFERROR(HLOOKUP(AM8,'סקרי נכסים-יתרות פתיחה'!$2:$110,6,0),0)-IFERROR(HLOOKUP(AM8,'סקרי נכסים-יתרות פתיחה'!$2:$110,91,0),0)*(1-AM$309)</f>
        <v>1716271.4285714286</v>
      </c>
      <c r="AN76" s="1240">
        <f>+IFERROR(HLOOKUP(AN8,'סקרי נכסים-יתרות פתיחה'!$2:$110,6,0),0)-IFERROR(HLOOKUP(AN8,'סקרי נכסים-יתרות פתיחה'!$2:$110,91,0),0)*(1-AN$309)</f>
        <v>0</v>
      </c>
      <c r="AO76" s="1240">
        <f>+IFERROR(HLOOKUP(AO8,'סקרי נכסים-יתרות פתיחה'!$2:$110,6,0),0)-IFERROR(HLOOKUP(AO8,'סקרי נכסים-יתרות פתיחה'!$2:$110,91,0),0)*(1-AO$309)</f>
        <v>0</v>
      </c>
      <c r="AP76" s="1240">
        <f>+IFERROR(HLOOKUP(AP8,'סקרי נכסים-יתרות פתיחה'!$2:$110,6,0),0)-IFERROR(HLOOKUP(AP8,'סקרי נכסים-יתרות פתיחה'!$2:$110,91,0),0)*(1-AP$309)</f>
        <v>0</v>
      </c>
      <c r="AQ76" s="1240">
        <f>+IFERROR(HLOOKUP(AQ8,'סקרי נכסים-יתרות פתיחה'!$2:$110,6,0),0)-IFERROR(HLOOKUP(AQ8,'סקרי נכסים-יתרות פתיחה'!$2:$110,91,0),0)*(1-AQ$309)</f>
        <v>0</v>
      </c>
      <c r="AR76" s="1240">
        <f>+IFERROR(HLOOKUP(AR8,'סקרי נכסים-יתרות פתיחה'!$2:$110,6,0),0)-IFERROR(HLOOKUP(AR8,'סקרי נכסים-יתרות פתיחה'!$2:$110,91,0),0)*(1-AR$309)</f>
        <v>0</v>
      </c>
      <c r="AS76" s="1240">
        <f>+IFERROR(HLOOKUP(AS8,'סקרי נכסים-יתרות פתיחה'!$2:$110,6,0),0)-IFERROR(HLOOKUP(AS8,'סקרי נכסים-יתרות פתיחה'!$2:$110,91,0),0)*(1-AS$309)</f>
        <v>1721000</v>
      </c>
      <c r="AT76" s="1240">
        <f>+IFERROR(HLOOKUP(AT8,'סקרי נכסים-יתרות פתיחה'!$2:$110,6,0),0)-IFERROR(HLOOKUP(AT8,'סקרי נכסים-יתרות פתיחה'!$2:$110,91,0),0)*(1-AT$309)</f>
        <v>0</v>
      </c>
      <c r="AU76" s="1240">
        <f>+IFERROR(HLOOKUP(AU8,'סקרי נכסים-יתרות פתיחה'!$2:$110,6,0),0)-IFERROR(HLOOKUP(AU8,'סקרי נכסים-יתרות פתיחה'!$2:$110,91,0),0)*(1-AU$309)</f>
        <v>0</v>
      </c>
      <c r="AV76" s="1240">
        <f>+IFERROR(HLOOKUP(AV8,'סקרי נכסים-יתרות פתיחה'!$2:$110,6,0),0)-IFERROR(HLOOKUP(AV8,'סקרי נכסים-יתרות פתיחה'!$2:$110,91,0),0)*(1-AV$309)</f>
        <v>0</v>
      </c>
      <c r="AW76" s="1240">
        <f>+IFERROR(HLOOKUP(AW8,'סקרי נכסים-יתרות פתיחה'!$2:$110,6,0),0)-IFERROR(HLOOKUP(AW8,'סקרי נכסים-יתרות פתיחה'!$2:$110,91,0),0)*(1-AW$309)</f>
        <v>0</v>
      </c>
      <c r="AX76" s="1240">
        <f>+IFERROR(HLOOKUP(AX8,'סקרי נכסים-יתרות פתיחה'!$2:$110,6,0),0)-IFERROR(HLOOKUP(AX8,'סקרי נכסים-יתרות פתיחה'!$2:$110,91,0),0)*(1-AX$309)</f>
        <v>0</v>
      </c>
      <c r="AY76" s="1240">
        <f>+IFERROR(HLOOKUP(AY8,'סקרי נכסים-יתרות פתיחה'!$2:$110,6,0),0)-IFERROR(HLOOKUP(AY8,'סקרי נכסים-יתרות פתיחה'!$2:$110,91,0),0)*(1-AY$309)</f>
        <v>0</v>
      </c>
      <c r="AZ76" s="1240">
        <f>+IFERROR(HLOOKUP(AZ8,'סקרי נכסים-יתרות פתיחה'!$2:$110,6,0),0)-IFERROR(HLOOKUP(AZ8,'סקרי נכסים-יתרות פתיחה'!$2:$110,91,0),0)*(1-AZ$309)</f>
        <v>0</v>
      </c>
      <c r="BA76" s="1240">
        <f>+IFERROR(HLOOKUP(BA8,'סקרי נכסים-יתרות פתיחה'!$2:$110,6,0),0)-IFERROR(HLOOKUP(BA8,'סקרי נכסים-יתרות פתיחה'!$2:$110,91,0),0)*(1-BA$309)</f>
        <v>0</v>
      </c>
      <c r="BB76" s="1240">
        <f>+IFERROR(HLOOKUP(BB8,'סקרי נכסים-יתרות פתיחה'!$2:$110,6,0),0)-IFERROR(HLOOKUP(BB8,'סקרי נכסים-יתרות פתיחה'!$2:$110,91,0),0)*(1-BB$309)</f>
        <v>674012</v>
      </c>
      <c r="BC76" s="1240">
        <f>+IFERROR(HLOOKUP(BC8,'סקרי נכסים-יתרות פתיחה'!$2:$110,6,0),0)-IFERROR(HLOOKUP(BC8,'סקרי נכסים-יתרות פתיחה'!$2:$110,91,0),0)*(1-BC$309)</f>
        <v>0</v>
      </c>
      <c r="BD76" s="1240">
        <f>+IFERROR(HLOOKUP(BD8,'סקרי נכסים-יתרות פתיחה'!$2:$110,6,0),0)-IFERROR(HLOOKUP(BD8,'סקרי נכסים-יתרות פתיחה'!$2:$110,91,0),0)*(1-BD$309)</f>
        <v>0</v>
      </c>
      <c r="BE76" s="1240">
        <f>+IFERROR(HLOOKUP(BE8,'סקרי נכסים-יתרות פתיחה'!$2:$110,6,0),0)-IFERROR(HLOOKUP(BE8,'סקרי נכסים-יתרות פתיחה'!$2:$110,91,0),0)*(1-BE$309)</f>
        <v>0</v>
      </c>
      <c r="BF76" s="1240">
        <f>+IFERROR(HLOOKUP(BF8,'סקרי נכסים-יתרות פתיחה'!$2:$110,6,0),0)-IFERROR(HLOOKUP(BF8,'סקרי נכסים-יתרות פתיחה'!$2:$110,91,0),0)*(1-BF$309)</f>
        <v>0</v>
      </c>
    </row>
    <row r="77" spans="1:62" x14ac:dyDescent="0.2">
      <c r="B77" s="1">
        <v>6</v>
      </c>
      <c r="C77" s="1240">
        <f>+IFERROR(HLOOKUP(C9,'סקרי נכסים-יתרות פתיחה'!$2:$110,6,0),0)-IFERROR(HLOOKUP(C9,'סקרי נכסים-יתרות פתיחה'!$2:$110,91,0),0)*(1-C$309)</f>
        <v>0</v>
      </c>
      <c r="D77" s="1240">
        <f>+IFERROR(HLOOKUP(D9,'סקרי נכסים-יתרות פתיחה'!$2:$110,6,0),0)-IFERROR(HLOOKUP(D9,'סקרי נכסים-יתרות פתיחה'!$2:$110,91,0),0)*(1-D$309)</f>
        <v>0</v>
      </c>
      <c r="E77" s="1240">
        <f>+IFERROR(HLOOKUP(E9,'סקרי נכסים-יתרות פתיחה'!$2:$110,6,0),0)-IFERROR(HLOOKUP(E9,'סקרי נכסים-יתרות פתיחה'!$2:$110,91,0),0)*(1-E$309)</f>
        <v>0</v>
      </c>
      <c r="F77" s="1240">
        <f>+IFERROR(HLOOKUP(F9,'סקרי נכסים-יתרות פתיחה'!$2:$110,6,0),0)-IFERROR(HLOOKUP(F9,'סקרי נכסים-יתרות פתיחה'!$2:$110,91,0),0)*(1-F$309)</f>
        <v>0</v>
      </c>
      <c r="G77" s="1240">
        <f>+IFERROR(HLOOKUP(G9,'סקרי נכסים-יתרות פתיחה'!$2:$110,6,0),0)-IFERROR(HLOOKUP(G9,'סקרי נכסים-יתרות פתיחה'!$2:$110,91,0),0)*(1-G$309)</f>
        <v>0</v>
      </c>
      <c r="H77" s="1240">
        <f>+IFERROR(HLOOKUP(H9,'סקרי נכסים-יתרות פתיחה'!$2:$110,6,0),0)-IFERROR(HLOOKUP(H9,'סקרי נכסים-יתרות פתיחה'!$2:$110,91,0),0)*(1-H$309)</f>
        <v>0</v>
      </c>
      <c r="I77" s="1240">
        <f>+IFERROR(HLOOKUP(I9,'סקרי נכסים-יתרות פתיחה'!$2:$110,6,0),0)-IFERROR(HLOOKUP(I9,'סקרי נכסים-יתרות פתיחה'!$2:$110,91,0),0)*(1-I$309)</f>
        <v>0</v>
      </c>
      <c r="J77" s="1240">
        <f>+IFERROR(HLOOKUP(J9,'סקרי נכסים-יתרות פתיחה'!$2:$110,6,0),0)-IFERROR(HLOOKUP(J9,'סקרי נכסים-יתרות פתיחה'!$2:$110,91,0),0)*(1-J$309)</f>
        <v>0</v>
      </c>
      <c r="K77" s="1240">
        <f>+IFERROR(HLOOKUP(K9,'סקרי נכסים-יתרות פתיחה'!$2:$110,6,0),0)-IFERROR(HLOOKUP(K9,'סקרי נכסים-יתרות פתיחה'!$2:$110,91,0),0)*(1-K$309)</f>
        <v>0</v>
      </c>
      <c r="L77" s="1240">
        <f>+IFERROR(HLOOKUP(L9,'סקרי נכסים-יתרות פתיחה'!$2:$110,6,0),0)-IFERROR(HLOOKUP(L9,'סקרי נכסים-יתרות פתיחה'!$2:$110,91,0),0)*(1-L$309)</f>
        <v>0</v>
      </c>
      <c r="M77" s="1240">
        <f>+IFERROR(HLOOKUP(M9,'סקרי נכסים-יתרות פתיחה'!$2:$110,6,0),0)-IFERROR(HLOOKUP(M9,'סקרי נכסים-יתרות פתיחה'!$2:$110,91,0),0)*(1-M$309)</f>
        <v>0</v>
      </c>
      <c r="N77" s="1240">
        <f>+IFERROR(HLOOKUP(N9,'סקרי נכסים-יתרות פתיחה'!$2:$110,6,0),0)-IFERROR(HLOOKUP(N9,'סקרי נכסים-יתרות פתיחה'!$2:$110,91,0),0)*(1-N$309)</f>
        <v>0</v>
      </c>
      <c r="O77" s="1240">
        <f>+IFERROR(HLOOKUP(O9,'סקרי נכסים-יתרות פתיחה'!$2:$110,6,0),0)-IFERROR(HLOOKUP(O9,'סקרי נכסים-יתרות פתיחה'!$2:$110,91,0),0)*(1-O$309)</f>
        <v>0</v>
      </c>
      <c r="P77" s="1240">
        <f>+IFERROR(HLOOKUP(P9,'סקרי נכסים-יתרות פתיחה'!$2:$110,6,0),0)-IFERROR(HLOOKUP(P9,'סקרי נכסים-יתרות פתיחה'!$2:$110,91,0),0)*(1-P$309)</f>
        <v>0</v>
      </c>
      <c r="Q77" s="1240">
        <f>+IFERROR(HLOOKUP(Q9,'סקרי נכסים-יתרות פתיחה'!$2:$110,6,0),0)-IFERROR(HLOOKUP(Q9,'סקרי נכסים-יתרות פתיחה'!$2:$110,91,0),0)*(1-Q$309)</f>
        <v>0</v>
      </c>
      <c r="R77" s="1240">
        <f>+IFERROR(HLOOKUP(R9,'סקרי נכסים-יתרות פתיחה'!$2:$110,6,0),0)-IFERROR(HLOOKUP(R9,'סקרי נכסים-יתרות פתיחה'!$2:$110,91,0),0)*(1-R$309)</f>
        <v>0</v>
      </c>
      <c r="S77" s="1240">
        <f>+IFERROR(HLOOKUP(S9,'סקרי נכסים-יתרות פתיחה'!$2:$110,6,0),0)-IFERROR(HLOOKUP(S9,'סקרי נכסים-יתרות פתיחה'!$2:$110,91,0),0)*(1-S$309)</f>
        <v>0</v>
      </c>
      <c r="T77" s="1240">
        <f>+IFERROR(HLOOKUP(T9,'סקרי נכסים-יתרות פתיחה'!$2:$110,6,0),0)-IFERROR(HLOOKUP(T9,'סקרי נכסים-יתרות פתיחה'!$2:$110,91,0),0)*(1-T$309)</f>
        <v>0</v>
      </c>
      <c r="U77" s="1240">
        <f>+IFERROR(HLOOKUP(U9,'סקרי נכסים-יתרות פתיחה'!$2:$110,6,0),0)-IFERROR(HLOOKUP(U9,'סקרי נכסים-יתרות פתיחה'!$2:$110,91,0),0)*(1-U$309)</f>
        <v>0</v>
      </c>
      <c r="V77" s="1240">
        <f>+IFERROR(HLOOKUP(V9,'סקרי נכסים-יתרות פתיחה'!$2:$110,6,0),0)-IFERROR(HLOOKUP(V9,'סקרי נכסים-יתרות פתיחה'!$2:$110,91,0),0)*(1-V$309)</f>
        <v>0</v>
      </c>
      <c r="W77" s="1240">
        <f>+IFERROR(HLOOKUP(W9,'סקרי נכסים-יתרות פתיחה'!$2:$110,6,0),0)-IFERROR(HLOOKUP(W9,'סקרי נכסים-יתרות פתיחה'!$2:$110,91,0),0)*(1-W$309)</f>
        <v>2350000</v>
      </c>
      <c r="X77" s="1240">
        <f>+IFERROR(HLOOKUP(X9,'סקרי נכסים-יתרות פתיחה'!$2:$110,6,0),0)-IFERROR(HLOOKUP(X9,'סקרי נכסים-יתרות פתיחה'!$2:$110,91,0),0)*(1-X$309)</f>
        <v>0</v>
      </c>
      <c r="Y77" s="1240">
        <f>+IFERROR(HLOOKUP(Y9,'סקרי נכסים-יתרות פתיחה'!$2:$110,6,0),0)-IFERROR(HLOOKUP(Y9,'סקרי נכסים-יתרות פתיחה'!$2:$110,91,0),0)*(1-Y$309)</f>
        <v>0</v>
      </c>
      <c r="Z77" s="1240">
        <f>+IFERROR(HLOOKUP(Z9,'סקרי נכסים-יתרות פתיחה'!$2:$110,6,0),0)-IFERROR(HLOOKUP(Z9,'סקרי נכסים-יתרות פתיחה'!$2:$110,91,0),0)*(1-Z$309)</f>
        <v>0</v>
      </c>
      <c r="AA77" s="1240">
        <f>+IFERROR(HLOOKUP(AA9,'סקרי נכסים-יתרות פתיחה'!$2:$110,6,0),0)-IFERROR(HLOOKUP(AA9,'סקרי נכסים-יתרות פתיחה'!$2:$110,91,0),0)*(1-AA$309)</f>
        <v>0</v>
      </c>
      <c r="AB77" s="1240">
        <f>+IFERROR(HLOOKUP(AB9,'סקרי נכסים-יתרות פתיחה'!$2:$110,6,0),0)-IFERROR(HLOOKUP(AB9,'סקרי נכסים-יתרות פתיחה'!$2:$110,91,0),0)*(1-AB$309)</f>
        <v>0</v>
      </c>
      <c r="AC77" s="1240">
        <f>+IFERROR(HLOOKUP(AC9,'סקרי נכסים-יתרות פתיחה'!$2:$110,6,0),0)-IFERROR(HLOOKUP(AC9,'סקרי נכסים-יתרות פתיחה'!$2:$110,91,0),0)*(1-AC$309)</f>
        <v>0</v>
      </c>
      <c r="AD77" s="1240">
        <f>+IFERROR(HLOOKUP(AD9,'סקרי נכסים-יתרות פתיחה'!$2:$110,6,0),0)-IFERROR(HLOOKUP(AD9,'סקרי נכסים-יתרות פתיחה'!$2:$110,91,0),0)*(1-AD$309)</f>
        <v>0</v>
      </c>
      <c r="AE77" s="1240">
        <f>+IFERROR(HLOOKUP(AE9,'סקרי נכסים-יתרות פתיחה'!$2:$110,6,0),0)-IFERROR(HLOOKUP(AE9,'סקרי נכסים-יתרות פתיחה'!$2:$110,91,0),0)*(1-AE$309)</f>
        <v>0</v>
      </c>
      <c r="AF77" s="1240">
        <f>+IFERROR(HLOOKUP(AF9,'סקרי נכסים-יתרות פתיחה'!$2:$110,6,0),0)-IFERROR(HLOOKUP(AF9,'סקרי נכסים-יתרות פתיחה'!$2:$110,91,0),0)*(1-AF$309)</f>
        <v>0</v>
      </c>
      <c r="AG77" s="1240">
        <f>+IFERROR(HLOOKUP(AG9,'סקרי נכסים-יתרות פתיחה'!$2:$110,6,0),0)-IFERROR(HLOOKUP(AG9,'סקרי נכסים-יתרות פתיחה'!$2:$110,91,0),0)*(1-AG$309)</f>
        <v>0</v>
      </c>
      <c r="AH77" s="1240">
        <f>+IFERROR(HLOOKUP(AH9,'סקרי נכסים-יתרות פתיחה'!$2:$110,6,0),0)-IFERROR(HLOOKUP(AH9,'סקרי נכסים-יתרות פתיחה'!$2:$110,91,0),0)*(1-AH$309)</f>
        <v>0</v>
      </c>
      <c r="AI77" s="1240">
        <f>+IFERROR(HLOOKUP(AI9,'סקרי נכסים-יתרות פתיחה'!$2:$110,6,0),0)-IFERROR(HLOOKUP(AI9,'סקרי נכסים-יתרות פתיחה'!$2:$110,91,0),0)*(1-AI$309)</f>
        <v>0</v>
      </c>
      <c r="AJ77" s="1240">
        <f>+IFERROR(HLOOKUP(AJ9,'סקרי נכסים-יתרות פתיחה'!$2:$110,6,0),0)-IFERROR(HLOOKUP(AJ9,'סקרי נכסים-יתרות פתיחה'!$2:$110,91,0),0)*(1-AJ$309)</f>
        <v>0</v>
      </c>
      <c r="AK77" s="1240">
        <f>+IFERROR(HLOOKUP(AK9,'סקרי נכסים-יתרות פתיחה'!$2:$110,6,0),0)-IFERROR(HLOOKUP(AK9,'סקרי נכסים-יתרות פתיחה'!$2:$110,91,0),0)*(1-AK$309)</f>
        <v>0</v>
      </c>
      <c r="AL77" s="1240">
        <f>+IFERROR(HLOOKUP(AL9,'סקרי נכסים-יתרות פתיחה'!$2:$110,6,0),0)-IFERROR(HLOOKUP(AL9,'סקרי נכסים-יתרות פתיחה'!$2:$110,91,0),0)*(1-AL$309)</f>
        <v>0</v>
      </c>
      <c r="AM77" s="1240">
        <f>+IFERROR(HLOOKUP(AM9,'סקרי נכסים-יתרות פתיחה'!$2:$110,6,0),0)-IFERROR(HLOOKUP(AM9,'סקרי נכסים-יתרות פתיחה'!$2:$110,91,0),0)*(1-AM$309)</f>
        <v>0</v>
      </c>
      <c r="AN77" s="1240">
        <f>+IFERROR(HLOOKUP(AN9,'סקרי נכסים-יתרות פתיחה'!$2:$110,6,0),0)-IFERROR(HLOOKUP(AN9,'סקרי נכסים-יתרות פתיחה'!$2:$110,91,0),0)*(1-AN$309)</f>
        <v>0</v>
      </c>
      <c r="AO77" s="1240">
        <f>+IFERROR(HLOOKUP(AO9,'סקרי נכסים-יתרות פתיחה'!$2:$110,6,0),0)-IFERROR(HLOOKUP(AO9,'סקרי נכסים-יתרות פתיחה'!$2:$110,91,0),0)*(1-AO$309)</f>
        <v>0</v>
      </c>
      <c r="AP77" s="1240">
        <f>+IFERROR(HLOOKUP(AP9,'סקרי נכסים-יתרות פתיחה'!$2:$110,6,0),0)-IFERROR(HLOOKUP(AP9,'סקרי נכסים-יתרות פתיחה'!$2:$110,91,0),0)*(1-AP$309)</f>
        <v>0</v>
      </c>
      <c r="AQ77" s="1240">
        <f>+IFERROR(HLOOKUP(AQ9,'סקרי נכסים-יתרות פתיחה'!$2:$110,6,0),0)-IFERROR(HLOOKUP(AQ9,'סקרי נכסים-יתרות פתיחה'!$2:$110,91,0),0)*(1-AQ$309)</f>
        <v>0</v>
      </c>
      <c r="AR77" s="1240">
        <f>+IFERROR(HLOOKUP(AR9,'סקרי נכסים-יתרות פתיחה'!$2:$110,6,0),0)-IFERROR(HLOOKUP(AR9,'סקרי נכסים-יתרות פתיחה'!$2:$110,91,0),0)*(1-AR$309)</f>
        <v>0</v>
      </c>
      <c r="AS77" s="1240">
        <f>+IFERROR(HLOOKUP(AS9,'סקרי נכסים-יתרות פתיחה'!$2:$110,6,0),0)-IFERROR(HLOOKUP(AS9,'סקרי נכסים-יתרות פתיחה'!$2:$110,91,0),0)*(1-AS$309)</f>
        <v>530787</v>
      </c>
      <c r="AT77" s="1240">
        <f>+IFERROR(HLOOKUP(AT9,'סקרי נכסים-יתרות פתיחה'!$2:$110,6,0),0)-IFERROR(HLOOKUP(AT9,'סקרי נכסים-יתרות פתיחה'!$2:$110,91,0),0)*(1-AT$309)</f>
        <v>0</v>
      </c>
      <c r="AU77" s="1240">
        <f>+IFERROR(HLOOKUP(AU9,'סקרי נכסים-יתרות פתיחה'!$2:$110,6,0),0)-IFERROR(HLOOKUP(AU9,'סקרי נכסים-יתרות פתיחה'!$2:$110,91,0),0)*(1-AU$309)</f>
        <v>0</v>
      </c>
      <c r="AV77" s="1240">
        <f>+IFERROR(HLOOKUP(AV9,'סקרי נכסים-יתרות פתיחה'!$2:$110,6,0),0)-IFERROR(HLOOKUP(AV9,'סקרי נכסים-יתרות פתיחה'!$2:$110,91,0),0)*(1-AV$309)</f>
        <v>0</v>
      </c>
      <c r="AW77" s="1240">
        <f>+IFERROR(HLOOKUP(AW9,'סקרי נכסים-יתרות פתיחה'!$2:$110,6,0),0)-IFERROR(HLOOKUP(AW9,'סקרי נכסים-יתרות פתיחה'!$2:$110,91,0),0)*(1-AW$309)</f>
        <v>0</v>
      </c>
      <c r="AX77" s="1240">
        <f>+IFERROR(HLOOKUP(AX9,'סקרי נכסים-יתרות פתיחה'!$2:$110,6,0),0)-IFERROR(HLOOKUP(AX9,'סקרי נכסים-יתרות פתיחה'!$2:$110,91,0),0)*(1-AX$309)</f>
        <v>0</v>
      </c>
      <c r="AY77" s="1240">
        <f>+IFERROR(HLOOKUP(AY9,'סקרי נכסים-יתרות פתיחה'!$2:$110,6,0),0)-IFERROR(HLOOKUP(AY9,'סקרי נכסים-יתרות פתיחה'!$2:$110,91,0),0)*(1-AY$309)</f>
        <v>0</v>
      </c>
      <c r="AZ77" s="1240">
        <f>+IFERROR(HLOOKUP(AZ9,'סקרי נכסים-יתרות פתיחה'!$2:$110,6,0),0)-IFERROR(HLOOKUP(AZ9,'סקרי נכסים-יתרות פתיחה'!$2:$110,91,0),0)*(1-AZ$309)</f>
        <v>0</v>
      </c>
      <c r="BA77" s="1240">
        <f>+IFERROR(HLOOKUP(BA9,'סקרי נכסים-יתרות פתיחה'!$2:$110,6,0),0)-IFERROR(HLOOKUP(BA9,'סקרי נכסים-יתרות פתיחה'!$2:$110,91,0),0)*(1-BA$309)</f>
        <v>0</v>
      </c>
      <c r="BB77" s="1240">
        <f>+IFERROR(HLOOKUP(BB9,'סקרי נכסים-יתרות פתיחה'!$2:$110,6,0),0)-IFERROR(HLOOKUP(BB9,'סקרי נכסים-יתרות פתיחה'!$2:$110,91,0),0)*(1-BB$309)</f>
        <v>0</v>
      </c>
      <c r="BC77" s="1240">
        <f>+IFERROR(HLOOKUP(BC9,'סקרי נכסים-יתרות פתיחה'!$2:$110,6,0),0)-IFERROR(HLOOKUP(BC9,'סקרי נכסים-יתרות פתיחה'!$2:$110,91,0),0)*(1-BC$309)</f>
        <v>220000</v>
      </c>
      <c r="BD77" s="1240">
        <f>+IFERROR(HLOOKUP(BD9,'סקרי נכסים-יתרות פתיחה'!$2:$110,6,0),0)-IFERROR(HLOOKUP(BD9,'סקרי נכסים-יתרות פתיחה'!$2:$110,91,0),0)*(1-BD$309)</f>
        <v>0</v>
      </c>
      <c r="BE77" s="1240">
        <f>+IFERROR(HLOOKUP(BE9,'סקרי נכסים-יתרות פתיחה'!$2:$110,6,0),0)-IFERROR(HLOOKUP(BE9,'סקרי נכסים-יתרות פתיחה'!$2:$110,91,0),0)*(1-BE$309)</f>
        <v>0</v>
      </c>
      <c r="BF77" s="1240">
        <f>+IFERROR(HLOOKUP(BF9,'סקרי נכסים-יתרות פתיחה'!$2:$110,6,0),0)-IFERROR(HLOOKUP(BF9,'סקרי נכסים-יתרות פתיחה'!$2:$110,91,0),0)*(1-BF$309)</f>
        <v>0</v>
      </c>
    </row>
    <row r="78" spans="1:62" x14ac:dyDescent="0.2">
      <c r="B78" s="1">
        <v>7</v>
      </c>
      <c r="C78" s="1240">
        <f>+IFERROR(HLOOKUP(C10,'סקרי נכסים-יתרות פתיחה'!$2:$110,6,0),0)-IFERROR(HLOOKUP(C10,'סקרי נכסים-יתרות פתיחה'!$2:$110,91,0),0)*(1-C$309)</f>
        <v>0</v>
      </c>
      <c r="D78" s="1240">
        <f>+IFERROR(HLOOKUP(D10,'סקרי נכסים-יתרות פתיחה'!$2:$110,6,0),0)-IFERROR(HLOOKUP(D10,'סקרי נכסים-יתרות פתיחה'!$2:$110,91,0),0)*(1-D$309)</f>
        <v>0</v>
      </c>
      <c r="E78" s="1240">
        <f>+IFERROR(HLOOKUP(E10,'סקרי נכסים-יתרות פתיחה'!$2:$110,6,0),0)-IFERROR(HLOOKUP(E10,'סקרי נכסים-יתרות פתיחה'!$2:$110,91,0),0)*(1-E$309)</f>
        <v>0</v>
      </c>
      <c r="F78" s="1240">
        <f>+IFERROR(HLOOKUP(F10,'סקרי נכסים-יתרות פתיחה'!$2:$110,6,0),0)-IFERROR(HLOOKUP(F10,'סקרי נכסים-יתרות פתיחה'!$2:$110,91,0),0)*(1-F$309)</f>
        <v>0</v>
      </c>
      <c r="G78" s="1240">
        <f>+IFERROR(HLOOKUP(G10,'סקרי נכסים-יתרות פתיחה'!$2:$110,6,0),0)-IFERROR(HLOOKUP(G10,'סקרי נכסים-יתרות פתיחה'!$2:$110,91,0),0)*(1-G$309)</f>
        <v>0</v>
      </c>
      <c r="H78" s="1240">
        <f>+IFERROR(HLOOKUP(H10,'סקרי נכסים-יתרות פתיחה'!$2:$110,6,0),0)-IFERROR(HLOOKUP(H10,'סקרי נכסים-יתרות פתיחה'!$2:$110,91,0),0)*(1-H$309)</f>
        <v>0</v>
      </c>
      <c r="I78" s="1240">
        <f>+IFERROR(HLOOKUP(I10,'סקרי נכסים-יתרות פתיחה'!$2:$110,6,0),0)-IFERROR(HLOOKUP(I10,'סקרי נכסים-יתרות פתיחה'!$2:$110,91,0),0)*(1-I$309)</f>
        <v>0</v>
      </c>
      <c r="J78" s="1240">
        <f>+IFERROR(HLOOKUP(J10,'סקרי נכסים-יתרות פתיחה'!$2:$110,6,0),0)-IFERROR(HLOOKUP(J10,'סקרי נכסים-יתרות פתיחה'!$2:$110,91,0),0)*(1-J$309)</f>
        <v>0</v>
      </c>
      <c r="K78" s="1240">
        <f>+IFERROR(HLOOKUP(K10,'סקרי נכסים-יתרות פתיחה'!$2:$110,6,0),0)-IFERROR(HLOOKUP(K10,'סקרי נכסים-יתרות פתיחה'!$2:$110,91,0),0)*(1-K$309)</f>
        <v>0</v>
      </c>
      <c r="L78" s="1240">
        <f>+IFERROR(HLOOKUP(L10,'סקרי נכסים-יתרות פתיחה'!$2:$110,6,0),0)-IFERROR(HLOOKUP(L10,'סקרי נכסים-יתרות פתיחה'!$2:$110,91,0),0)*(1-L$309)</f>
        <v>0</v>
      </c>
      <c r="M78" s="1240">
        <f>+IFERROR(HLOOKUP(M10,'סקרי נכסים-יתרות פתיחה'!$2:$110,6,0),0)-IFERROR(HLOOKUP(M10,'סקרי נכסים-יתרות פתיחה'!$2:$110,91,0),0)*(1-M$309)</f>
        <v>0</v>
      </c>
      <c r="N78" s="1240">
        <f>+IFERROR(HLOOKUP(N10,'סקרי נכסים-יתרות פתיחה'!$2:$110,6,0),0)-IFERROR(HLOOKUP(N10,'סקרי נכסים-יתרות פתיחה'!$2:$110,91,0),0)*(1-N$309)</f>
        <v>0</v>
      </c>
      <c r="O78" s="1240">
        <f>+IFERROR(HLOOKUP(O10,'סקרי נכסים-יתרות פתיחה'!$2:$110,6,0),0)-IFERROR(HLOOKUP(O10,'סקרי נכסים-יתרות פתיחה'!$2:$110,91,0),0)*(1-O$309)</f>
        <v>0</v>
      </c>
      <c r="P78" s="1240">
        <f>+IFERROR(HLOOKUP(P10,'סקרי נכסים-יתרות פתיחה'!$2:$110,6,0),0)-IFERROR(HLOOKUP(P10,'סקרי נכסים-יתרות פתיחה'!$2:$110,91,0),0)*(1-P$309)</f>
        <v>370000</v>
      </c>
      <c r="Q78" s="1240">
        <f>+IFERROR(HLOOKUP(Q10,'סקרי נכסים-יתרות פתיחה'!$2:$110,6,0),0)-IFERROR(HLOOKUP(Q10,'סקרי נכסים-יתרות פתיחה'!$2:$110,91,0),0)*(1-Q$309)</f>
        <v>0</v>
      </c>
      <c r="R78" s="1240">
        <f>+IFERROR(HLOOKUP(R10,'סקרי נכסים-יתרות פתיחה'!$2:$110,6,0),0)-IFERROR(HLOOKUP(R10,'סקרי נכסים-יתרות פתיחה'!$2:$110,91,0),0)*(1-R$309)</f>
        <v>0</v>
      </c>
      <c r="S78" s="1240">
        <f>+IFERROR(HLOOKUP(S10,'סקרי נכסים-יתרות פתיחה'!$2:$110,6,0),0)-IFERROR(HLOOKUP(S10,'סקרי נכסים-יתרות פתיחה'!$2:$110,91,0),0)*(1-S$309)</f>
        <v>0</v>
      </c>
      <c r="T78" s="1240">
        <f>+IFERROR(HLOOKUP(T10,'סקרי נכסים-יתרות פתיחה'!$2:$110,6,0),0)-IFERROR(HLOOKUP(T10,'סקרי נכסים-יתרות פתיחה'!$2:$110,91,0),0)*(1-T$309)</f>
        <v>0</v>
      </c>
      <c r="U78" s="1240">
        <f>+IFERROR(HLOOKUP(U10,'סקרי נכסים-יתרות פתיחה'!$2:$110,6,0),0)-IFERROR(HLOOKUP(U10,'סקרי נכסים-יתרות פתיחה'!$2:$110,91,0),0)*(1-U$309)</f>
        <v>0</v>
      </c>
      <c r="V78" s="1240">
        <f>+IFERROR(HLOOKUP(V10,'סקרי נכסים-יתרות פתיחה'!$2:$110,6,0),0)-IFERROR(HLOOKUP(V10,'סקרי נכסים-יתרות פתיחה'!$2:$110,91,0),0)*(1-V$309)</f>
        <v>730000</v>
      </c>
      <c r="W78" s="1240">
        <f>+IFERROR(HLOOKUP(W10,'סקרי נכסים-יתרות פתיחה'!$2:$110,6,0),0)-IFERROR(HLOOKUP(W10,'סקרי נכסים-יתרות פתיחה'!$2:$110,91,0),0)*(1-W$309)</f>
        <v>1034000</v>
      </c>
      <c r="X78" s="1240">
        <f>+IFERROR(HLOOKUP(X10,'סקרי נכסים-יתרות פתיחה'!$2:$110,6,0),0)-IFERROR(HLOOKUP(X10,'סקרי נכסים-יתרות פתיחה'!$2:$110,91,0),0)*(1-X$309)</f>
        <v>0</v>
      </c>
      <c r="Y78" s="1240">
        <f>+IFERROR(HLOOKUP(Y10,'סקרי נכסים-יתרות פתיחה'!$2:$110,6,0),0)-IFERROR(HLOOKUP(Y10,'סקרי נכסים-יתרות פתיחה'!$2:$110,91,0),0)*(1-Y$309)</f>
        <v>0</v>
      </c>
      <c r="Z78" s="1240">
        <f>+IFERROR(HLOOKUP(Z10,'סקרי נכסים-יתרות פתיחה'!$2:$110,6,0),0)-IFERROR(HLOOKUP(Z10,'סקרי נכסים-יתרות פתיחה'!$2:$110,91,0),0)*(1-Z$309)</f>
        <v>0</v>
      </c>
      <c r="AA78" s="1240">
        <f>+IFERROR(HLOOKUP(AA10,'סקרי נכסים-יתרות פתיחה'!$2:$110,6,0),0)-IFERROR(HLOOKUP(AA10,'סקרי נכסים-יתרות פתיחה'!$2:$110,91,0),0)*(1-AA$309)</f>
        <v>0</v>
      </c>
      <c r="AB78" s="1240">
        <f>+IFERROR(HLOOKUP(AB10,'סקרי נכסים-יתרות פתיחה'!$2:$110,6,0),0)-IFERROR(HLOOKUP(AB10,'סקרי נכסים-יתרות פתיחה'!$2:$110,91,0),0)*(1-AB$309)</f>
        <v>0</v>
      </c>
      <c r="AC78" s="1240">
        <f>+IFERROR(HLOOKUP(AC10,'סקרי נכסים-יתרות פתיחה'!$2:$110,6,0),0)-IFERROR(HLOOKUP(AC10,'סקרי נכסים-יתרות פתיחה'!$2:$110,91,0),0)*(1-AC$309)</f>
        <v>0</v>
      </c>
      <c r="AD78" s="1240">
        <f>+IFERROR(HLOOKUP(AD10,'סקרי נכסים-יתרות פתיחה'!$2:$110,6,0),0)-IFERROR(HLOOKUP(AD10,'סקרי נכסים-יתרות פתיחה'!$2:$110,91,0),0)*(1-AD$309)</f>
        <v>0</v>
      </c>
      <c r="AE78" s="1240">
        <f>+IFERROR(HLOOKUP(AE10,'סקרי נכסים-יתרות פתיחה'!$2:$110,6,0),0)-IFERROR(HLOOKUP(AE10,'סקרי נכסים-יתרות פתיחה'!$2:$110,91,0),0)*(1-AE$309)</f>
        <v>0</v>
      </c>
      <c r="AF78" s="1240">
        <f>+IFERROR(HLOOKUP(AF10,'סקרי נכסים-יתרות פתיחה'!$2:$110,6,0),0)-IFERROR(HLOOKUP(AF10,'סקרי נכסים-יתרות פתיחה'!$2:$110,91,0),0)*(1-AF$309)</f>
        <v>0</v>
      </c>
      <c r="AG78" s="1240">
        <f>+IFERROR(HLOOKUP(AG10,'סקרי נכסים-יתרות פתיחה'!$2:$110,6,0),0)-IFERROR(HLOOKUP(AG10,'סקרי נכסים-יתרות פתיחה'!$2:$110,91,0),0)*(1-AG$309)</f>
        <v>0</v>
      </c>
      <c r="AH78" s="1240">
        <f>+IFERROR(HLOOKUP(AH10,'סקרי נכסים-יתרות פתיחה'!$2:$110,6,0),0)-IFERROR(HLOOKUP(AH10,'סקרי נכסים-יתרות פתיחה'!$2:$110,91,0),0)*(1-AH$309)</f>
        <v>0</v>
      </c>
      <c r="AI78" s="1240">
        <f>+IFERROR(HLOOKUP(AI10,'סקרי נכסים-יתרות פתיחה'!$2:$110,6,0),0)-IFERROR(HLOOKUP(AI10,'סקרי נכסים-יתרות פתיחה'!$2:$110,91,0),0)*(1-AI$309)</f>
        <v>0</v>
      </c>
      <c r="AJ78" s="1240">
        <f>+IFERROR(HLOOKUP(AJ10,'סקרי נכסים-יתרות פתיחה'!$2:$110,6,0),0)-IFERROR(HLOOKUP(AJ10,'סקרי נכסים-יתרות פתיחה'!$2:$110,91,0),0)*(1-AJ$309)</f>
        <v>0</v>
      </c>
      <c r="AK78" s="1240">
        <f>+IFERROR(HLOOKUP(AK10,'סקרי נכסים-יתרות פתיחה'!$2:$110,6,0),0)-IFERROR(HLOOKUP(AK10,'סקרי נכסים-יתרות פתיחה'!$2:$110,91,0),0)*(1-AK$309)</f>
        <v>0</v>
      </c>
      <c r="AL78" s="1240">
        <f>+IFERROR(HLOOKUP(AL10,'סקרי נכסים-יתרות פתיחה'!$2:$110,6,0),0)-IFERROR(HLOOKUP(AL10,'סקרי נכסים-יתרות פתיחה'!$2:$110,91,0),0)*(1-AL$309)</f>
        <v>0</v>
      </c>
      <c r="AM78" s="1240">
        <f>+IFERROR(HLOOKUP(AM10,'סקרי נכסים-יתרות פתיחה'!$2:$110,6,0),0)-IFERROR(HLOOKUP(AM10,'סקרי נכסים-יתרות פתיחה'!$2:$110,91,0),0)*(1-AM$309)</f>
        <v>0</v>
      </c>
      <c r="AN78" s="1240">
        <f>+IFERROR(HLOOKUP(AN10,'סקרי נכסים-יתרות פתיחה'!$2:$110,6,0),0)-IFERROR(HLOOKUP(AN10,'סקרי נכסים-יתרות פתיחה'!$2:$110,91,0),0)*(1-AN$309)</f>
        <v>0</v>
      </c>
      <c r="AO78" s="1240">
        <f>+IFERROR(HLOOKUP(AO10,'סקרי נכסים-יתרות פתיחה'!$2:$110,6,0),0)-IFERROR(HLOOKUP(AO10,'סקרי נכסים-יתרות פתיחה'!$2:$110,91,0),0)*(1-AO$309)</f>
        <v>0</v>
      </c>
      <c r="AP78" s="1240">
        <f>+IFERROR(HLOOKUP(AP10,'סקרי נכסים-יתרות פתיחה'!$2:$110,6,0),0)-IFERROR(HLOOKUP(AP10,'סקרי נכסים-יתרות פתיחה'!$2:$110,91,0),0)*(1-AP$309)</f>
        <v>0</v>
      </c>
      <c r="AQ78" s="1240">
        <f>+IFERROR(HLOOKUP(AQ10,'סקרי נכסים-יתרות פתיחה'!$2:$110,6,0),0)-IFERROR(HLOOKUP(AQ10,'סקרי נכסים-יתרות פתיחה'!$2:$110,91,0),0)*(1-AQ$309)</f>
        <v>0</v>
      </c>
      <c r="AR78" s="1240">
        <f>+IFERROR(HLOOKUP(AR10,'סקרי נכסים-יתרות פתיחה'!$2:$110,6,0),0)-IFERROR(HLOOKUP(AR10,'סקרי נכסים-יתרות פתיחה'!$2:$110,91,0),0)*(1-AR$309)</f>
        <v>0</v>
      </c>
      <c r="AS78" s="1240">
        <f>+IFERROR(HLOOKUP(AS10,'סקרי נכסים-יתרות פתיחה'!$2:$110,6,0),0)-IFERROR(HLOOKUP(AS10,'סקרי נכסים-יתרות פתיחה'!$2:$110,91,0),0)*(1-AS$309)</f>
        <v>0</v>
      </c>
      <c r="AT78" s="1240">
        <f>+IFERROR(HLOOKUP(AT10,'סקרי נכסים-יתרות פתיחה'!$2:$110,6,0),0)-IFERROR(HLOOKUP(AT10,'סקרי נכסים-יתרות פתיחה'!$2:$110,91,0),0)*(1-AT$309)</f>
        <v>0</v>
      </c>
      <c r="AU78" s="1240">
        <f>+IFERROR(HLOOKUP(AU10,'סקרי נכסים-יתרות פתיחה'!$2:$110,6,0),0)-IFERROR(HLOOKUP(AU10,'סקרי נכסים-יתרות פתיחה'!$2:$110,91,0),0)*(1-AU$309)</f>
        <v>0</v>
      </c>
      <c r="AV78" s="1240">
        <f>+IFERROR(HLOOKUP(AV10,'סקרי נכסים-יתרות פתיחה'!$2:$110,6,0),0)-IFERROR(HLOOKUP(AV10,'סקרי נכסים-יתרות פתיחה'!$2:$110,91,0),0)*(1-AV$309)</f>
        <v>0</v>
      </c>
      <c r="AW78" s="1240">
        <f>+IFERROR(HLOOKUP(AW10,'סקרי נכסים-יתרות פתיחה'!$2:$110,6,0),0)-IFERROR(HLOOKUP(AW10,'סקרי נכסים-יתרות פתיחה'!$2:$110,91,0),0)*(1-AW$309)</f>
        <v>0</v>
      </c>
      <c r="AX78" s="1240">
        <f>+IFERROR(HLOOKUP(AX10,'סקרי נכסים-יתרות פתיחה'!$2:$110,6,0),0)-IFERROR(HLOOKUP(AX10,'סקרי נכסים-יתרות פתיחה'!$2:$110,91,0),0)*(1-AX$309)</f>
        <v>0</v>
      </c>
      <c r="AY78" s="1240">
        <f>+IFERROR(HLOOKUP(AY10,'סקרי נכסים-יתרות פתיחה'!$2:$110,6,0),0)-IFERROR(HLOOKUP(AY10,'סקרי נכסים-יתרות פתיחה'!$2:$110,91,0),0)*(1-AY$309)</f>
        <v>0</v>
      </c>
      <c r="AZ78" s="1240">
        <f>+IFERROR(HLOOKUP(AZ10,'סקרי נכסים-יתרות פתיחה'!$2:$110,6,0),0)-IFERROR(HLOOKUP(AZ10,'סקרי נכסים-יתרות פתיחה'!$2:$110,91,0),0)*(1-AZ$309)</f>
        <v>0</v>
      </c>
      <c r="BA78" s="1240">
        <f>+IFERROR(HLOOKUP(BA10,'סקרי נכסים-יתרות פתיחה'!$2:$110,6,0),0)-IFERROR(HLOOKUP(BA10,'סקרי נכסים-יתרות פתיחה'!$2:$110,91,0),0)*(1-BA$309)</f>
        <v>0</v>
      </c>
      <c r="BB78" s="1240">
        <f>+IFERROR(HLOOKUP(BB10,'סקרי נכסים-יתרות פתיחה'!$2:$110,6,0),0)-IFERROR(HLOOKUP(BB10,'סקרי נכסים-יתרות פתיחה'!$2:$110,91,0),0)*(1-BB$309)</f>
        <v>0</v>
      </c>
      <c r="BC78" s="1240">
        <f>+IFERROR(HLOOKUP(BC10,'סקרי נכסים-יתרות פתיחה'!$2:$110,6,0),0)-IFERROR(HLOOKUP(BC10,'סקרי נכסים-יתרות פתיחה'!$2:$110,91,0),0)*(1-BC$309)</f>
        <v>220000</v>
      </c>
      <c r="BD78" s="1240">
        <f>+IFERROR(HLOOKUP(BD10,'סקרי נכסים-יתרות פתיחה'!$2:$110,6,0),0)-IFERROR(HLOOKUP(BD10,'סקרי נכסים-יתרות פתיחה'!$2:$110,91,0),0)*(1-BD$309)</f>
        <v>0</v>
      </c>
      <c r="BE78" s="1240">
        <f>+IFERROR(HLOOKUP(BE10,'סקרי נכסים-יתרות פתיחה'!$2:$110,6,0),0)-IFERROR(HLOOKUP(BE10,'סקרי נכסים-יתרות פתיחה'!$2:$110,91,0),0)*(1-BE$309)</f>
        <v>0</v>
      </c>
      <c r="BF78" s="1240">
        <f>+IFERROR(HLOOKUP(BF10,'סקרי נכסים-יתרות פתיחה'!$2:$110,6,0),0)-IFERROR(HLOOKUP(BF10,'סקרי נכסים-יתרות פתיחה'!$2:$110,91,0),0)*(1-BF$309)</f>
        <v>0</v>
      </c>
    </row>
    <row r="79" spans="1:62" x14ac:dyDescent="0.2">
      <c r="B79" s="1">
        <v>8</v>
      </c>
      <c r="C79" s="1240">
        <f>+IFERROR(HLOOKUP(C11,'סקרי נכסים-יתרות פתיחה'!$2:$110,6,0),0)-IFERROR(HLOOKUP(C11,'סקרי נכסים-יתרות פתיחה'!$2:$110,91,0),0)*(1-C$309)</f>
        <v>0</v>
      </c>
      <c r="D79" s="1240">
        <f>+IFERROR(HLOOKUP(D11,'סקרי נכסים-יתרות פתיחה'!$2:$110,6,0),0)-IFERROR(HLOOKUP(D11,'סקרי נכסים-יתרות פתיחה'!$2:$110,91,0),0)*(1-D$309)</f>
        <v>0</v>
      </c>
      <c r="E79" s="1240">
        <f>+IFERROR(HLOOKUP(E11,'סקרי נכסים-יתרות פתיחה'!$2:$110,6,0),0)-IFERROR(HLOOKUP(E11,'סקרי נכסים-יתרות פתיחה'!$2:$110,91,0),0)*(1-E$309)</f>
        <v>0</v>
      </c>
      <c r="F79" s="1240">
        <f>+IFERROR(HLOOKUP(F11,'סקרי נכסים-יתרות פתיחה'!$2:$110,6,0),0)-IFERROR(HLOOKUP(F11,'סקרי נכסים-יתרות פתיחה'!$2:$110,91,0),0)*(1-F$309)</f>
        <v>0</v>
      </c>
      <c r="G79" s="1240">
        <f>+IFERROR(HLOOKUP(G11,'סקרי נכסים-יתרות פתיחה'!$2:$110,6,0),0)-IFERROR(HLOOKUP(G11,'סקרי נכסים-יתרות פתיחה'!$2:$110,91,0),0)*(1-G$309)</f>
        <v>0</v>
      </c>
      <c r="H79" s="1240">
        <f>+IFERROR(HLOOKUP(H11,'סקרי נכסים-יתרות פתיחה'!$2:$110,6,0),0)-IFERROR(HLOOKUP(H11,'סקרי נכסים-יתרות פתיחה'!$2:$110,91,0),0)*(1-H$309)</f>
        <v>0</v>
      </c>
      <c r="I79" s="1240">
        <f>+IFERROR(HLOOKUP(I11,'סקרי נכסים-יתרות פתיחה'!$2:$110,6,0),0)-IFERROR(HLOOKUP(I11,'סקרי נכסים-יתרות פתיחה'!$2:$110,91,0),0)*(1-I$309)</f>
        <v>0</v>
      </c>
      <c r="J79" s="1240">
        <f>+IFERROR(HLOOKUP(J11,'סקרי נכסים-יתרות פתיחה'!$2:$110,6,0),0)-IFERROR(HLOOKUP(J11,'סקרי נכסים-יתרות פתיחה'!$2:$110,91,0),0)*(1-J$309)</f>
        <v>0</v>
      </c>
      <c r="K79" s="1240">
        <f>+IFERROR(HLOOKUP(K11,'סקרי נכסים-יתרות פתיחה'!$2:$110,6,0),0)-IFERROR(HLOOKUP(K11,'סקרי נכסים-יתרות פתיחה'!$2:$110,91,0),0)*(1-K$309)</f>
        <v>0</v>
      </c>
      <c r="L79" s="1240">
        <f>+IFERROR(HLOOKUP(L11,'סקרי נכסים-יתרות פתיחה'!$2:$110,6,0),0)-IFERROR(HLOOKUP(L11,'סקרי נכסים-יתרות פתיחה'!$2:$110,91,0),0)*(1-L$309)</f>
        <v>0</v>
      </c>
      <c r="M79" s="1240">
        <f>+IFERROR(HLOOKUP(M11,'סקרי נכסים-יתרות פתיחה'!$2:$110,6,0),0)-IFERROR(HLOOKUP(M11,'סקרי נכסים-יתרות פתיחה'!$2:$110,91,0),0)*(1-M$309)</f>
        <v>0</v>
      </c>
      <c r="N79" s="1240">
        <f>+IFERROR(HLOOKUP(N11,'סקרי נכסים-יתרות פתיחה'!$2:$110,6,0),0)-IFERROR(HLOOKUP(N11,'סקרי נכסים-יתרות פתיחה'!$2:$110,91,0),0)*(1-N$309)</f>
        <v>0</v>
      </c>
      <c r="O79" s="1240">
        <f>+IFERROR(HLOOKUP(O11,'סקרי נכסים-יתרות פתיחה'!$2:$110,6,0),0)-IFERROR(HLOOKUP(O11,'סקרי נכסים-יתרות פתיחה'!$2:$110,91,0),0)*(1-O$309)</f>
        <v>0</v>
      </c>
      <c r="P79" s="1240">
        <f>+IFERROR(HLOOKUP(P11,'סקרי נכסים-יתרות פתיחה'!$2:$110,6,0),0)-IFERROR(HLOOKUP(P11,'סקרי נכסים-יתרות פתיחה'!$2:$110,91,0),0)*(1-P$309)</f>
        <v>0</v>
      </c>
      <c r="Q79" s="1240">
        <f>+IFERROR(HLOOKUP(Q11,'סקרי נכסים-יתרות פתיחה'!$2:$110,6,0),0)-IFERROR(HLOOKUP(Q11,'סקרי נכסים-יתרות פתיחה'!$2:$110,91,0),0)*(1-Q$309)</f>
        <v>0</v>
      </c>
      <c r="R79" s="1240">
        <f>+IFERROR(HLOOKUP(R11,'סקרי נכסים-יתרות פתיחה'!$2:$110,6,0),0)-IFERROR(HLOOKUP(R11,'סקרי נכסים-יתרות פתיחה'!$2:$110,91,0),0)*(1-R$309)</f>
        <v>0</v>
      </c>
      <c r="S79" s="1240">
        <f>+IFERROR(HLOOKUP(S11,'סקרי נכסים-יתרות פתיחה'!$2:$110,6,0),0)-IFERROR(HLOOKUP(S11,'סקרי נכסים-יתרות פתיחה'!$2:$110,91,0),0)*(1-S$309)</f>
        <v>0</v>
      </c>
      <c r="T79" s="1240">
        <f>+IFERROR(HLOOKUP(T11,'סקרי נכסים-יתרות פתיחה'!$2:$110,6,0),0)-IFERROR(HLOOKUP(T11,'סקרי נכסים-יתרות פתיחה'!$2:$110,91,0),0)*(1-T$309)</f>
        <v>0</v>
      </c>
      <c r="U79" s="1240">
        <f>+IFERROR(HLOOKUP(U11,'סקרי נכסים-יתרות פתיחה'!$2:$110,6,0),0)-IFERROR(HLOOKUP(U11,'סקרי נכסים-יתרות פתיחה'!$2:$110,91,0),0)*(1-U$309)</f>
        <v>0</v>
      </c>
      <c r="V79" s="1240">
        <f>+IFERROR(HLOOKUP(V11,'סקרי נכסים-יתרות פתיחה'!$2:$110,6,0),0)-IFERROR(HLOOKUP(V11,'סקרי נכסים-יתרות פתיחה'!$2:$110,91,0),0)*(1-V$309)</f>
        <v>0</v>
      </c>
      <c r="W79" s="1240">
        <f>+IFERROR(HLOOKUP(W11,'סקרי נכסים-יתרות פתיחה'!$2:$110,6,0),0)-IFERROR(HLOOKUP(W11,'סקרי נכסים-יתרות פתיחה'!$2:$110,91,0),0)*(1-W$309)</f>
        <v>0</v>
      </c>
      <c r="X79" s="1240">
        <f>+IFERROR(HLOOKUP(X11,'סקרי נכסים-יתרות פתיחה'!$2:$110,6,0),0)-IFERROR(HLOOKUP(X11,'סקרי נכסים-יתרות פתיחה'!$2:$110,91,0),0)*(1-X$309)</f>
        <v>0</v>
      </c>
      <c r="Y79" s="1240">
        <f>+IFERROR(HLOOKUP(Y11,'סקרי נכסים-יתרות פתיחה'!$2:$110,6,0),0)-IFERROR(HLOOKUP(Y11,'סקרי נכסים-יתרות פתיחה'!$2:$110,91,0),0)*(1-Y$309)</f>
        <v>0</v>
      </c>
      <c r="Z79" s="1240">
        <f>+IFERROR(HLOOKUP(Z11,'סקרי נכסים-יתרות פתיחה'!$2:$110,6,0),0)-IFERROR(HLOOKUP(Z11,'סקרי נכסים-יתרות פתיחה'!$2:$110,91,0),0)*(1-Z$309)</f>
        <v>0</v>
      </c>
      <c r="AA79" s="1240">
        <f>+IFERROR(HLOOKUP(AA11,'סקרי נכסים-יתרות פתיחה'!$2:$110,6,0),0)-IFERROR(HLOOKUP(AA11,'סקרי נכסים-יתרות פתיחה'!$2:$110,91,0),0)*(1-AA$309)</f>
        <v>0</v>
      </c>
      <c r="AB79" s="1240">
        <f>+IFERROR(HLOOKUP(AB11,'סקרי נכסים-יתרות פתיחה'!$2:$110,6,0),0)-IFERROR(HLOOKUP(AB11,'סקרי נכסים-יתרות פתיחה'!$2:$110,91,0),0)*(1-AB$309)</f>
        <v>0</v>
      </c>
      <c r="AC79" s="1240">
        <f>+IFERROR(HLOOKUP(AC11,'סקרי נכסים-יתרות פתיחה'!$2:$110,6,0),0)-IFERROR(HLOOKUP(AC11,'סקרי נכסים-יתרות פתיחה'!$2:$110,91,0),0)*(1-AC$309)</f>
        <v>0</v>
      </c>
      <c r="AD79" s="1240">
        <f>+IFERROR(HLOOKUP(AD11,'סקרי נכסים-יתרות פתיחה'!$2:$110,6,0),0)-IFERROR(HLOOKUP(AD11,'סקרי נכסים-יתרות פתיחה'!$2:$110,91,0),0)*(1-AD$309)</f>
        <v>0</v>
      </c>
      <c r="AE79" s="1240">
        <f>+IFERROR(HLOOKUP(AE11,'סקרי נכסים-יתרות פתיחה'!$2:$110,6,0),0)-IFERROR(HLOOKUP(AE11,'סקרי נכסים-יתרות פתיחה'!$2:$110,91,0),0)*(1-AE$309)</f>
        <v>0</v>
      </c>
      <c r="AF79" s="1240">
        <f>+IFERROR(HLOOKUP(AF11,'סקרי נכסים-יתרות פתיחה'!$2:$110,6,0),0)-IFERROR(HLOOKUP(AF11,'סקרי נכסים-יתרות פתיחה'!$2:$110,91,0),0)*(1-AF$309)</f>
        <v>0</v>
      </c>
      <c r="AG79" s="1240">
        <f>+IFERROR(HLOOKUP(AG11,'סקרי נכסים-יתרות פתיחה'!$2:$110,6,0),0)-IFERROR(HLOOKUP(AG11,'סקרי נכסים-יתרות פתיחה'!$2:$110,91,0),0)*(1-AG$309)</f>
        <v>0</v>
      </c>
      <c r="AH79" s="1240">
        <f>+IFERROR(HLOOKUP(AH11,'סקרי נכסים-יתרות פתיחה'!$2:$110,6,0),0)-IFERROR(HLOOKUP(AH11,'סקרי נכסים-יתרות פתיחה'!$2:$110,91,0),0)*(1-AH$309)</f>
        <v>0</v>
      </c>
      <c r="AI79" s="1240">
        <f>+IFERROR(HLOOKUP(AI11,'סקרי נכסים-יתרות פתיחה'!$2:$110,6,0),0)-IFERROR(HLOOKUP(AI11,'סקרי נכסים-יתרות פתיחה'!$2:$110,91,0),0)*(1-AI$309)</f>
        <v>0</v>
      </c>
      <c r="AJ79" s="1240">
        <f>+IFERROR(HLOOKUP(AJ11,'סקרי נכסים-יתרות פתיחה'!$2:$110,6,0),0)-IFERROR(HLOOKUP(AJ11,'סקרי נכסים-יתרות פתיחה'!$2:$110,91,0),0)*(1-AJ$309)</f>
        <v>0</v>
      </c>
      <c r="AK79" s="1240">
        <f>+IFERROR(HLOOKUP(AK11,'סקרי נכסים-יתרות פתיחה'!$2:$110,6,0),0)-IFERROR(HLOOKUP(AK11,'סקרי נכסים-יתרות פתיחה'!$2:$110,91,0),0)*(1-AK$309)</f>
        <v>0</v>
      </c>
      <c r="AL79" s="1240">
        <f>+IFERROR(HLOOKUP(AL11,'סקרי נכסים-יתרות פתיחה'!$2:$110,6,0),0)-IFERROR(HLOOKUP(AL11,'סקרי נכסים-יתרות פתיחה'!$2:$110,91,0),0)*(1-AL$309)</f>
        <v>0</v>
      </c>
      <c r="AM79" s="1240">
        <f>+IFERROR(HLOOKUP(AM11,'סקרי נכסים-יתרות פתיחה'!$2:$110,6,0),0)-IFERROR(HLOOKUP(AM11,'סקרי נכסים-יתרות פתיחה'!$2:$110,91,0),0)*(1-AM$309)</f>
        <v>0</v>
      </c>
      <c r="AN79" s="1240">
        <f>+IFERROR(HLOOKUP(AN11,'סקרי נכסים-יתרות פתיחה'!$2:$110,6,0),0)-IFERROR(HLOOKUP(AN11,'סקרי נכסים-יתרות פתיחה'!$2:$110,91,0),0)*(1-AN$309)</f>
        <v>0</v>
      </c>
      <c r="AO79" s="1240">
        <f>+IFERROR(HLOOKUP(AO11,'סקרי נכסים-יתרות פתיחה'!$2:$110,6,0),0)-IFERROR(HLOOKUP(AO11,'סקרי נכסים-יתרות פתיחה'!$2:$110,91,0),0)*(1-AO$309)</f>
        <v>0</v>
      </c>
      <c r="AP79" s="1240">
        <f>+IFERROR(HLOOKUP(AP11,'סקרי נכסים-יתרות פתיחה'!$2:$110,6,0),0)-IFERROR(HLOOKUP(AP11,'סקרי נכסים-יתרות פתיחה'!$2:$110,91,0),0)*(1-AP$309)</f>
        <v>0</v>
      </c>
      <c r="AQ79" s="1240">
        <f>+IFERROR(HLOOKUP(AQ11,'סקרי נכסים-יתרות פתיחה'!$2:$110,6,0),0)-IFERROR(HLOOKUP(AQ11,'סקרי נכסים-יתרות פתיחה'!$2:$110,91,0),0)*(1-AQ$309)</f>
        <v>0</v>
      </c>
      <c r="AR79" s="1240">
        <f>+IFERROR(HLOOKUP(AR11,'סקרי נכסים-יתרות פתיחה'!$2:$110,6,0),0)-IFERROR(HLOOKUP(AR11,'סקרי נכסים-יתרות פתיחה'!$2:$110,91,0),0)*(1-AR$309)</f>
        <v>0</v>
      </c>
      <c r="AS79" s="1240">
        <f>+IFERROR(HLOOKUP(AS11,'סקרי נכסים-יתרות פתיחה'!$2:$110,6,0),0)-IFERROR(HLOOKUP(AS11,'סקרי נכסים-יתרות פתיחה'!$2:$110,91,0),0)*(1-AS$309)</f>
        <v>20000</v>
      </c>
      <c r="AT79" s="1240">
        <f>+IFERROR(HLOOKUP(AT11,'סקרי נכסים-יתרות פתיחה'!$2:$110,6,0),0)-IFERROR(HLOOKUP(AT11,'סקרי נכסים-יתרות פתיחה'!$2:$110,91,0),0)*(1-AT$309)</f>
        <v>0</v>
      </c>
      <c r="AU79" s="1240">
        <f>+IFERROR(HLOOKUP(AU11,'סקרי נכסים-יתרות פתיחה'!$2:$110,6,0),0)-IFERROR(HLOOKUP(AU11,'סקרי נכסים-יתרות פתיחה'!$2:$110,91,0),0)*(1-AU$309)</f>
        <v>0</v>
      </c>
      <c r="AV79" s="1240">
        <f>+IFERROR(HLOOKUP(AV11,'סקרי נכסים-יתרות פתיחה'!$2:$110,6,0),0)-IFERROR(HLOOKUP(AV11,'סקרי נכסים-יתרות פתיחה'!$2:$110,91,0),0)*(1-AV$309)</f>
        <v>0</v>
      </c>
      <c r="AW79" s="1240">
        <f>+IFERROR(HLOOKUP(AW11,'סקרי נכסים-יתרות פתיחה'!$2:$110,6,0),0)-IFERROR(HLOOKUP(AW11,'סקרי נכסים-יתרות פתיחה'!$2:$110,91,0),0)*(1-AW$309)</f>
        <v>0</v>
      </c>
      <c r="AX79" s="1240">
        <f>+IFERROR(HLOOKUP(AX11,'סקרי נכסים-יתרות פתיחה'!$2:$110,6,0),0)-IFERROR(HLOOKUP(AX11,'סקרי נכסים-יתרות פתיחה'!$2:$110,91,0),0)*(1-AX$309)</f>
        <v>0</v>
      </c>
      <c r="AY79" s="1240">
        <f>+IFERROR(HLOOKUP(AY11,'סקרי נכסים-יתרות פתיחה'!$2:$110,6,0),0)-IFERROR(HLOOKUP(AY11,'סקרי נכסים-יתרות פתיחה'!$2:$110,91,0),0)*(1-AY$309)</f>
        <v>0</v>
      </c>
      <c r="AZ79" s="1240">
        <f>+IFERROR(HLOOKUP(AZ11,'סקרי נכסים-יתרות פתיחה'!$2:$110,6,0),0)-IFERROR(HLOOKUP(AZ11,'סקרי נכסים-יתרות פתיחה'!$2:$110,91,0),0)*(1-AZ$309)</f>
        <v>0</v>
      </c>
      <c r="BA79" s="1240">
        <f>+IFERROR(HLOOKUP(BA11,'סקרי נכסים-יתרות פתיחה'!$2:$110,6,0),0)-IFERROR(HLOOKUP(BA11,'סקרי נכסים-יתרות פתיחה'!$2:$110,91,0),0)*(1-BA$309)</f>
        <v>0</v>
      </c>
      <c r="BB79" s="1240">
        <f>+IFERROR(HLOOKUP(BB11,'סקרי נכסים-יתרות פתיחה'!$2:$110,6,0),0)-IFERROR(HLOOKUP(BB11,'סקרי נכסים-יתרות פתיחה'!$2:$110,91,0),0)*(1-BB$309)</f>
        <v>0</v>
      </c>
      <c r="BC79" s="1240">
        <f>+IFERROR(HLOOKUP(BC11,'סקרי נכסים-יתרות פתיחה'!$2:$110,6,0),0)-IFERROR(HLOOKUP(BC11,'סקרי נכסים-יתרות פתיחה'!$2:$110,91,0),0)*(1-BC$309)</f>
        <v>0</v>
      </c>
      <c r="BD79" s="1240">
        <f>+IFERROR(HLOOKUP(BD11,'סקרי נכסים-יתרות פתיחה'!$2:$110,6,0),0)-IFERROR(HLOOKUP(BD11,'סקרי נכסים-יתרות פתיחה'!$2:$110,91,0),0)*(1-BD$309)</f>
        <v>0</v>
      </c>
      <c r="BE79" s="1240">
        <f>+IFERROR(HLOOKUP(BE11,'סקרי נכסים-יתרות פתיחה'!$2:$110,6,0),0)-IFERROR(HLOOKUP(BE11,'סקרי נכסים-יתרות פתיחה'!$2:$110,91,0),0)*(1-BE$309)</f>
        <v>0</v>
      </c>
      <c r="BF79" s="1240">
        <f>+IFERROR(HLOOKUP(BF11,'סקרי נכסים-יתרות פתיחה'!$2:$110,6,0),0)-IFERROR(HLOOKUP(BF11,'סקרי נכסים-יתרות פתיחה'!$2:$110,91,0),0)*(1-BF$309)</f>
        <v>0</v>
      </c>
    </row>
    <row r="80" spans="1:62" x14ac:dyDescent="0.2">
      <c r="B80" s="1">
        <v>9</v>
      </c>
      <c r="C80" s="1240">
        <f>+IFERROR(HLOOKUP(C12,'סקרי נכסים-יתרות פתיחה'!$2:$110,6,0),0)-IFERROR(HLOOKUP(C12,'סקרי נכסים-יתרות פתיחה'!$2:$110,91,0),0)*(1-C$309)</f>
        <v>0</v>
      </c>
      <c r="D80" s="1240">
        <f>+IFERROR(HLOOKUP(D12,'סקרי נכסים-יתרות פתיחה'!$2:$110,6,0),0)-IFERROR(HLOOKUP(D12,'סקרי נכסים-יתרות פתיחה'!$2:$110,91,0),0)*(1-D$309)</f>
        <v>0</v>
      </c>
      <c r="E80" s="1240">
        <f>+IFERROR(HLOOKUP(E12,'סקרי נכסים-יתרות פתיחה'!$2:$110,6,0),0)-IFERROR(HLOOKUP(E12,'סקרי נכסים-יתרות פתיחה'!$2:$110,91,0),0)*(1-E$309)</f>
        <v>0</v>
      </c>
      <c r="F80" s="1240">
        <f>+IFERROR(HLOOKUP(F12,'סקרי נכסים-יתרות פתיחה'!$2:$110,6,0),0)-IFERROR(HLOOKUP(F12,'סקרי נכסים-יתרות פתיחה'!$2:$110,91,0),0)*(1-F$309)</f>
        <v>0</v>
      </c>
      <c r="G80" s="1240">
        <f>+IFERROR(HLOOKUP(G12,'סקרי נכסים-יתרות פתיחה'!$2:$110,6,0),0)-IFERROR(HLOOKUP(G12,'סקרי נכסים-יתרות פתיחה'!$2:$110,91,0),0)*(1-G$309)</f>
        <v>0</v>
      </c>
      <c r="H80" s="1240">
        <f>+IFERROR(HLOOKUP(H12,'סקרי נכסים-יתרות פתיחה'!$2:$110,6,0),0)-IFERROR(HLOOKUP(H12,'סקרי נכסים-יתרות פתיחה'!$2:$110,91,0),0)*(1-H$309)</f>
        <v>0</v>
      </c>
      <c r="I80" s="1240">
        <f>+IFERROR(HLOOKUP(I12,'סקרי נכסים-יתרות פתיחה'!$2:$110,6,0),0)-IFERROR(HLOOKUP(I12,'סקרי נכסים-יתרות פתיחה'!$2:$110,91,0),0)*(1-I$309)</f>
        <v>0</v>
      </c>
      <c r="J80" s="1240">
        <f>+IFERROR(HLOOKUP(J12,'סקרי נכסים-יתרות פתיחה'!$2:$110,6,0),0)-IFERROR(HLOOKUP(J12,'סקרי נכסים-יתרות פתיחה'!$2:$110,91,0),0)*(1-J$309)</f>
        <v>0</v>
      </c>
      <c r="K80" s="1240">
        <f>+IFERROR(HLOOKUP(K12,'סקרי נכסים-יתרות פתיחה'!$2:$110,6,0),0)-IFERROR(HLOOKUP(K12,'סקרי נכסים-יתרות פתיחה'!$2:$110,91,0),0)*(1-K$309)</f>
        <v>0</v>
      </c>
      <c r="L80" s="1240">
        <f>+IFERROR(HLOOKUP(L12,'סקרי נכסים-יתרות פתיחה'!$2:$110,6,0),0)-IFERROR(HLOOKUP(L12,'סקרי נכסים-יתרות פתיחה'!$2:$110,91,0),0)*(1-L$309)</f>
        <v>0</v>
      </c>
      <c r="M80" s="1240">
        <f>+IFERROR(HLOOKUP(M12,'סקרי נכסים-יתרות פתיחה'!$2:$110,6,0),0)-IFERROR(HLOOKUP(M12,'סקרי נכסים-יתרות פתיחה'!$2:$110,91,0),0)*(1-M$309)</f>
        <v>0</v>
      </c>
      <c r="N80" s="1240">
        <f>+IFERROR(HLOOKUP(N12,'סקרי נכסים-יתרות פתיחה'!$2:$110,6,0),0)-IFERROR(HLOOKUP(N12,'סקרי נכסים-יתרות פתיחה'!$2:$110,91,0),0)*(1-N$309)</f>
        <v>0</v>
      </c>
      <c r="O80" s="1240">
        <f>+IFERROR(HLOOKUP(O12,'סקרי נכסים-יתרות פתיחה'!$2:$110,6,0),0)-IFERROR(HLOOKUP(O12,'סקרי נכסים-יתרות פתיחה'!$2:$110,91,0),0)*(1-O$309)</f>
        <v>0</v>
      </c>
      <c r="P80" s="1240">
        <f>+IFERROR(HLOOKUP(P12,'סקרי נכסים-יתרות פתיחה'!$2:$110,6,0),0)-IFERROR(HLOOKUP(P12,'סקרי נכסים-יתרות פתיחה'!$2:$110,91,0),0)*(1-P$309)</f>
        <v>1266500</v>
      </c>
      <c r="Q80" s="1240">
        <f>+IFERROR(HLOOKUP(Q12,'סקרי נכסים-יתרות פתיחה'!$2:$110,6,0),0)-IFERROR(HLOOKUP(Q12,'סקרי נכסים-יתרות פתיחה'!$2:$110,91,0),0)*(1-Q$309)</f>
        <v>0</v>
      </c>
      <c r="R80" s="1240">
        <f>+IFERROR(HLOOKUP(R12,'סקרי נכסים-יתרות פתיחה'!$2:$110,6,0),0)-IFERROR(HLOOKUP(R12,'סקרי נכסים-יתרות פתיחה'!$2:$110,91,0),0)*(1-R$309)</f>
        <v>0</v>
      </c>
      <c r="S80" s="1240">
        <f>+IFERROR(HLOOKUP(S12,'סקרי נכסים-יתרות פתיחה'!$2:$110,6,0),0)-IFERROR(HLOOKUP(S12,'סקרי נכסים-יתרות פתיחה'!$2:$110,91,0),0)*(1-S$309)</f>
        <v>0</v>
      </c>
      <c r="T80" s="1240">
        <f>+IFERROR(HLOOKUP(T12,'סקרי נכסים-יתרות פתיחה'!$2:$110,6,0),0)-IFERROR(HLOOKUP(T12,'סקרי נכסים-יתרות פתיחה'!$2:$110,91,0),0)*(1-T$309)</f>
        <v>0</v>
      </c>
      <c r="U80" s="1240">
        <f>+IFERROR(HLOOKUP(U12,'סקרי נכסים-יתרות פתיחה'!$2:$110,6,0),0)-IFERROR(HLOOKUP(U12,'סקרי נכסים-יתרות פתיחה'!$2:$110,91,0),0)*(1-U$309)</f>
        <v>0</v>
      </c>
      <c r="V80" s="1240">
        <f>+IFERROR(HLOOKUP(V12,'סקרי נכסים-יתרות פתיחה'!$2:$110,6,0),0)-IFERROR(HLOOKUP(V12,'סקרי נכסים-יתרות פתיחה'!$2:$110,91,0),0)*(1-V$309)</f>
        <v>0</v>
      </c>
      <c r="W80" s="1240">
        <f>+IFERROR(HLOOKUP(W12,'סקרי נכסים-יתרות פתיחה'!$2:$110,6,0),0)-IFERROR(HLOOKUP(W12,'סקרי נכסים-יתרות פתיחה'!$2:$110,91,0),0)*(1-W$309)</f>
        <v>0</v>
      </c>
      <c r="X80" s="1240">
        <f>+IFERROR(HLOOKUP(X12,'סקרי נכסים-יתרות פתיחה'!$2:$110,6,0),0)-IFERROR(HLOOKUP(X12,'סקרי נכסים-יתרות פתיחה'!$2:$110,91,0),0)*(1-X$309)</f>
        <v>0</v>
      </c>
      <c r="Y80" s="1240">
        <f>+IFERROR(HLOOKUP(Y12,'סקרי נכסים-יתרות פתיחה'!$2:$110,6,0),0)-IFERROR(HLOOKUP(Y12,'סקרי נכסים-יתרות פתיחה'!$2:$110,91,0),0)*(1-Y$309)</f>
        <v>0</v>
      </c>
      <c r="Z80" s="1240">
        <f>+IFERROR(HLOOKUP(Z12,'סקרי נכסים-יתרות פתיחה'!$2:$110,6,0),0)-IFERROR(HLOOKUP(Z12,'סקרי נכסים-יתרות פתיחה'!$2:$110,91,0),0)*(1-Z$309)</f>
        <v>0</v>
      </c>
      <c r="AA80" s="1240">
        <f>+IFERROR(HLOOKUP(AA12,'סקרי נכסים-יתרות פתיחה'!$2:$110,6,0),0)-IFERROR(HLOOKUP(AA12,'סקרי נכסים-יתרות פתיחה'!$2:$110,91,0),0)*(1-AA$309)</f>
        <v>0</v>
      </c>
      <c r="AB80" s="1240">
        <f>+IFERROR(HLOOKUP(AB12,'סקרי נכסים-יתרות פתיחה'!$2:$110,6,0),0)-IFERROR(HLOOKUP(AB12,'סקרי נכסים-יתרות פתיחה'!$2:$110,91,0),0)*(1-AB$309)</f>
        <v>0</v>
      </c>
      <c r="AC80" s="1240">
        <f>+IFERROR(HLOOKUP(AC12,'סקרי נכסים-יתרות פתיחה'!$2:$110,6,0),0)-IFERROR(HLOOKUP(AC12,'סקרי נכסים-יתרות פתיחה'!$2:$110,91,0),0)*(1-AC$309)</f>
        <v>0</v>
      </c>
      <c r="AD80" s="1240">
        <f>+IFERROR(HLOOKUP(AD12,'סקרי נכסים-יתרות פתיחה'!$2:$110,6,0),0)-IFERROR(HLOOKUP(AD12,'סקרי נכסים-יתרות פתיחה'!$2:$110,91,0),0)*(1-AD$309)</f>
        <v>0</v>
      </c>
      <c r="AE80" s="1240">
        <f>+IFERROR(HLOOKUP(AE12,'סקרי נכסים-יתרות פתיחה'!$2:$110,6,0),0)-IFERROR(HLOOKUP(AE12,'סקרי נכסים-יתרות פתיחה'!$2:$110,91,0),0)*(1-AE$309)</f>
        <v>0</v>
      </c>
      <c r="AF80" s="1240">
        <f>+IFERROR(HLOOKUP(AF12,'סקרי נכסים-יתרות פתיחה'!$2:$110,6,0),0)-IFERROR(HLOOKUP(AF12,'סקרי נכסים-יתרות פתיחה'!$2:$110,91,0),0)*(1-AF$309)</f>
        <v>0</v>
      </c>
      <c r="AG80" s="1240">
        <f>+IFERROR(HLOOKUP(AG12,'סקרי נכסים-יתרות פתיחה'!$2:$110,6,0),0)-IFERROR(HLOOKUP(AG12,'סקרי נכסים-יתרות פתיחה'!$2:$110,91,0),0)*(1-AG$309)</f>
        <v>0</v>
      </c>
      <c r="AH80" s="1240">
        <f>+IFERROR(HLOOKUP(AH12,'סקרי נכסים-יתרות פתיחה'!$2:$110,6,0),0)-IFERROR(HLOOKUP(AH12,'סקרי נכסים-יתרות פתיחה'!$2:$110,91,0),0)*(1-AH$309)</f>
        <v>0</v>
      </c>
      <c r="AI80" s="1240">
        <f>+IFERROR(HLOOKUP(AI12,'סקרי נכסים-יתרות פתיחה'!$2:$110,6,0),0)-IFERROR(HLOOKUP(AI12,'סקרי נכסים-יתרות פתיחה'!$2:$110,91,0),0)*(1-AI$309)</f>
        <v>0</v>
      </c>
      <c r="AJ80" s="1240">
        <f>+IFERROR(HLOOKUP(AJ12,'סקרי נכסים-יתרות פתיחה'!$2:$110,6,0),0)-IFERROR(HLOOKUP(AJ12,'סקרי נכסים-יתרות פתיחה'!$2:$110,91,0),0)*(1-AJ$309)</f>
        <v>0</v>
      </c>
      <c r="AK80" s="1240">
        <f>+IFERROR(HLOOKUP(AK12,'סקרי נכסים-יתרות פתיחה'!$2:$110,6,0),0)-IFERROR(HLOOKUP(AK12,'סקרי נכסים-יתרות פתיחה'!$2:$110,91,0),0)*(1-AK$309)</f>
        <v>0</v>
      </c>
      <c r="AL80" s="1240">
        <f>+IFERROR(HLOOKUP(AL12,'סקרי נכסים-יתרות פתיחה'!$2:$110,6,0),0)-IFERROR(HLOOKUP(AL12,'סקרי נכסים-יתרות פתיחה'!$2:$110,91,0),0)*(1-AL$309)</f>
        <v>0</v>
      </c>
      <c r="AM80" s="1240">
        <f>+IFERROR(HLOOKUP(AM12,'סקרי נכסים-יתרות פתיחה'!$2:$110,6,0),0)-IFERROR(HLOOKUP(AM12,'סקרי נכסים-יתרות פתיחה'!$2:$110,91,0),0)*(1-AM$309)</f>
        <v>0</v>
      </c>
      <c r="AN80" s="1240">
        <f>+IFERROR(HLOOKUP(AN12,'סקרי נכסים-יתרות פתיחה'!$2:$110,6,0),0)-IFERROR(HLOOKUP(AN12,'סקרי נכסים-יתרות פתיחה'!$2:$110,91,0),0)*(1-AN$309)</f>
        <v>0</v>
      </c>
      <c r="AO80" s="1240">
        <f>+IFERROR(HLOOKUP(AO12,'סקרי נכסים-יתרות פתיחה'!$2:$110,6,0),0)-IFERROR(HLOOKUP(AO12,'סקרי נכסים-יתרות פתיחה'!$2:$110,91,0),0)*(1-AO$309)</f>
        <v>0</v>
      </c>
      <c r="AP80" s="1240">
        <f>+IFERROR(HLOOKUP(AP12,'סקרי נכסים-יתרות פתיחה'!$2:$110,6,0),0)-IFERROR(HLOOKUP(AP12,'סקרי נכסים-יתרות פתיחה'!$2:$110,91,0),0)*(1-AP$309)</f>
        <v>0</v>
      </c>
      <c r="AQ80" s="1240">
        <f>+IFERROR(HLOOKUP(AQ12,'סקרי נכסים-יתרות פתיחה'!$2:$110,6,0),0)-IFERROR(HLOOKUP(AQ12,'סקרי נכסים-יתרות פתיחה'!$2:$110,91,0),0)*(1-AQ$309)</f>
        <v>0</v>
      </c>
      <c r="AR80" s="1240">
        <f>+IFERROR(HLOOKUP(AR12,'סקרי נכסים-יתרות פתיחה'!$2:$110,6,0),0)-IFERROR(HLOOKUP(AR12,'סקרי נכסים-יתרות פתיחה'!$2:$110,91,0),0)*(1-AR$309)</f>
        <v>0</v>
      </c>
      <c r="AS80" s="1240">
        <f>+IFERROR(HLOOKUP(AS12,'סקרי נכסים-יתרות פתיחה'!$2:$110,6,0),0)-IFERROR(HLOOKUP(AS12,'סקרי נכסים-יתרות פתיחה'!$2:$110,91,0),0)*(1-AS$309)</f>
        <v>0</v>
      </c>
      <c r="AT80" s="1240">
        <f>+IFERROR(HLOOKUP(AT12,'סקרי נכסים-יתרות פתיחה'!$2:$110,6,0),0)-IFERROR(HLOOKUP(AT12,'סקרי נכסים-יתרות פתיחה'!$2:$110,91,0),0)*(1-AT$309)</f>
        <v>0</v>
      </c>
      <c r="AU80" s="1240">
        <f>+IFERROR(HLOOKUP(AU12,'סקרי נכסים-יתרות פתיחה'!$2:$110,6,0),0)-IFERROR(HLOOKUP(AU12,'סקרי נכסים-יתרות פתיחה'!$2:$110,91,0),0)*(1-AU$309)</f>
        <v>0</v>
      </c>
      <c r="AV80" s="1240">
        <f>+IFERROR(HLOOKUP(AV12,'סקרי נכסים-יתרות פתיחה'!$2:$110,6,0),0)-IFERROR(HLOOKUP(AV12,'סקרי נכסים-יתרות פתיחה'!$2:$110,91,0),0)*(1-AV$309)</f>
        <v>0</v>
      </c>
      <c r="AW80" s="1240">
        <f>+IFERROR(HLOOKUP(AW12,'סקרי נכסים-יתרות פתיחה'!$2:$110,6,0),0)-IFERROR(HLOOKUP(AW12,'סקרי נכסים-יתרות פתיחה'!$2:$110,91,0),0)*(1-AW$309)</f>
        <v>0</v>
      </c>
      <c r="AX80" s="1240">
        <f>+IFERROR(HLOOKUP(AX12,'סקרי נכסים-יתרות פתיחה'!$2:$110,6,0),0)-IFERROR(HLOOKUP(AX12,'סקרי נכסים-יתרות פתיחה'!$2:$110,91,0),0)*(1-AX$309)</f>
        <v>0</v>
      </c>
      <c r="AY80" s="1240">
        <f>+IFERROR(HLOOKUP(AY12,'סקרי נכסים-יתרות פתיחה'!$2:$110,6,0),0)-IFERROR(HLOOKUP(AY12,'סקרי נכסים-יתרות פתיחה'!$2:$110,91,0),0)*(1-AY$309)</f>
        <v>0</v>
      </c>
      <c r="AZ80" s="1240">
        <f>+IFERROR(HLOOKUP(AZ12,'סקרי נכסים-יתרות פתיחה'!$2:$110,6,0),0)-IFERROR(HLOOKUP(AZ12,'סקרי נכסים-יתרות פתיחה'!$2:$110,91,0),0)*(1-AZ$309)</f>
        <v>0</v>
      </c>
      <c r="BA80" s="1240">
        <f>+IFERROR(HLOOKUP(BA12,'סקרי נכסים-יתרות פתיחה'!$2:$110,6,0),0)-IFERROR(HLOOKUP(BA12,'סקרי נכסים-יתרות פתיחה'!$2:$110,91,0),0)*(1-BA$309)</f>
        <v>0</v>
      </c>
      <c r="BB80" s="1240">
        <f>+IFERROR(HLOOKUP(BB12,'סקרי נכסים-יתרות פתיחה'!$2:$110,6,0),0)-IFERROR(HLOOKUP(BB12,'סקרי נכסים-יתרות פתיחה'!$2:$110,91,0),0)*(1-BB$309)</f>
        <v>0</v>
      </c>
      <c r="BC80" s="1240">
        <f>+IFERROR(HLOOKUP(BC12,'סקרי נכסים-יתרות פתיחה'!$2:$110,6,0),0)-IFERROR(HLOOKUP(BC12,'סקרי נכסים-יתרות פתיחה'!$2:$110,91,0),0)*(1-BC$309)</f>
        <v>0</v>
      </c>
      <c r="BD80" s="1240">
        <f>+IFERROR(HLOOKUP(BD12,'סקרי נכסים-יתרות פתיחה'!$2:$110,6,0),0)-IFERROR(HLOOKUP(BD12,'סקרי נכסים-יתרות פתיחה'!$2:$110,91,0),0)*(1-BD$309)</f>
        <v>0</v>
      </c>
      <c r="BE80" s="1240">
        <f>+IFERROR(HLOOKUP(BE12,'סקרי נכסים-יתרות פתיחה'!$2:$110,6,0),0)-IFERROR(HLOOKUP(BE12,'סקרי נכסים-יתרות פתיחה'!$2:$110,91,0),0)*(1-BE$309)</f>
        <v>0</v>
      </c>
      <c r="BF80" s="1240">
        <f>+IFERROR(HLOOKUP(BF12,'סקרי נכסים-יתרות פתיחה'!$2:$110,6,0),0)-IFERROR(HLOOKUP(BF12,'סקרי נכסים-יתרות פתיחה'!$2:$110,91,0),0)*(1-BF$309)</f>
        <v>0</v>
      </c>
    </row>
    <row r="81" spans="2:58" x14ac:dyDescent="0.2">
      <c r="B81" s="1">
        <v>10</v>
      </c>
      <c r="C81" s="1240">
        <f>+IFERROR(HLOOKUP(C13,'סקרי נכסים-יתרות פתיחה'!$2:$110,6,0),0)-IFERROR(HLOOKUP(C13,'סקרי נכסים-יתרות פתיחה'!$2:$110,91,0),0)*(1-C$309)</f>
        <v>0</v>
      </c>
      <c r="D81" s="1240">
        <f>+IFERROR(HLOOKUP(D13,'סקרי נכסים-יתרות פתיחה'!$2:$110,6,0),0)-IFERROR(HLOOKUP(D13,'סקרי נכסים-יתרות פתיחה'!$2:$110,91,0),0)*(1-D$309)</f>
        <v>0</v>
      </c>
      <c r="E81" s="1240">
        <f>+IFERROR(HLOOKUP(E13,'סקרי נכסים-יתרות פתיחה'!$2:$110,6,0),0)-IFERROR(HLOOKUP(E13,'סקרי נכסים-יתרות פתיחה'!$2:$110,91,0),0)*(1-E$309)</f>
        <v>0</v>
      </c>
      <c r="F81" s="1240">
        <f>+IFERROR(HLOOKUP(F13,'סקרי נכסים-יתרות פתיחה'!$2:$110,6,0),0)-IFERROR(HLOOKUP(F13,'סקרי נכסים-יתרות פתיחה'!$2:$110,91,0),0)*(1-F$309)</f>
        <v>0</v>
      </c>
      <c r="G81" s="1240">
        <f>+IFERROR(HLOOKUP(G13,'סקרי נכסים-יתרות פתיחה'!$2:$110,6,0),0)-IFERROR(HLOOKUP(G13,'סקרי נכסים-יתרות פתיחה'!$2:$110,91,0),0)*(1-G$309)</f>
        <v>0</v>
      </c>
      <c r="H81" s="1240">
        <f>+IFERROR(HLOOKUP(H13,'סקרי נכסים-יתרות פתיחה'!$2:$110,6,0),0)-IFERROR(HLOOKUP(H13,'סקרי נכסים-יתרות פתיחה'!$2:$110,91,0),0)*(1-H$309)</f>
        <v>0</v>
      </c>
      <c r="I81" s="1240">
        <f>+IFERROR(HLOOKUP(I13,'סקרי נכסים-יתרות פתיחה'!$2:$110,6,0),0)-IFERROR(HLOOKUP(I13,'סקרי נכסים-יתרות פתיחה'!$2:$110,91,0),0)*(1-I$309)</f>
        <v>0</v>
      </c>
      <c r="J81" s="1240">
        <f>+IFERROR(HLOOKUP(J13,'סקרי נכסים-יתרות פתיחה'!$2:$110,6,0),0)-IFERROR(HLOOKUP(J13,'סקרי נכסים-יתרות פתיחה'!$2:$110,91,0),0)*(1-J$309)</f>
        <v>0</v>
      </c>
      <c r="K81" s="1240">
        <f>+IFERROR(HLOOKUP(K13,'סקרי נכסים-יתרות פתיחה'!$2:$110,6,0),0)-IFERROR(HLOOKUP(K13,'סקרי נכסים-יתרות פתיחה'!$2:$110,91,0),0)*(1-K$309)</f>
        <v>0</v>
      </c>
      <c r="L81" s="1240">
        <f>+IFERROR(HLOOKUP(L13,'סקרי נכסים-יתרות פתיחה'!$2:$110,6,0),0)-IFERROR(HLOOKUP(L13,'סקרי נכסים-יתרות פתיחה'!$2:$110,91,0),0)*(1-L$309)</f>
        <v>0</v>
      </c>
      <c r="M81" s="1240">
        <f>+IFERROR(HLOOKUP(M13,'סקרי נכסים-יתרות פתיחה'!$2:$110,6,0),0)-IFERROR(HLOOKUP(M13,'סקרי נכסים-יתרות פתיחה'!$2:$110,91,0),0)*(1-M$309)</f>
        <v>0</v>
      </c>
      <c r="N81" s="1240">
        <f>+IFERROR(HLOOKUP(N13,'סקרי נכסים-יתרות פתיחה'!$2:$110,6,0),0)-IFERROR(HLOOKUP(N13,'סקרי נכסים-יתרות פתיחה'!$2:$110,91,0),0)*(1-N$309)</f>
        <v>0</v>
      </c>
      <c r="O81" s="1240">
        <f>+IFERROR(HLOOKUP(O13,'סקרי נכסים-יתרות פתיחה'!$2:$110,6,0),0)-IFERROR(HLOOKUP(O13,'סקרי נכסים-יתרות פתיחה'!$2:$110,91,0),0)*(1-O$309)</f>
        <v>0</v>
      </c>
      <c r="P81" s="1240">
        <f>+IFERROR(HLOOKUP(P13,'סקרי נכסים-יתרות פתיחה'!$2:$110,6,0),0)-IFERROR(HLOOKUP(P13,'סקרי נכסים-יתרות פתיחה'!$2:$110,91,0),0)*(1-P$309)</f>
        <v>40000</v>
      </c>
      <c r="Q81" s="1240">
        <f>+IFERROR(HLOOKUP(Q13,'סקרי נכסים-יתרות פתיחה'!$2:$110,6,0),0)-IFERROR(HLOOKUP(Q13,'סקרי נכסים-יתרות פתיחה'!$2:$110,91,0),0)*(1-Q$309)</f>
        <v>0</v>
      </c>
      <c r="R81" s="1240">
        <f>+IFERROR(HLOOKUP(R13,'סקרי נכסים-יתרות פתיחה'!$2:$110,6,0),0)-IFERROR(HLOOKUP(R13,'סקרי נכסים-יתרות פתיחה'!$2:$110,91,0),0)*(1-R$309)</f>
        <v>0</v>
      </c>
      <c r="S81" s="1240">
        <f>+IFERROR(HLOOKUP(S13,'סקרי נכסים-יתרות פתיחה'!$2:$110,6,0),0)-IFERROR(HLOOKUP(S13,'סקרי נכסים-יתרות פתיחה'!$2:$110,91,0),0)*(1-S$309)</f>
        <v>0</v>
      </c>
      <c r="T81" s="1240">
        <f>+IFERROR(HLOOKUP(T13,'סקרי נכסים-יתרות פתיחה'!$2:$110,6,0),0)-IFERROR(HLOOKUP(T13,'סקרי נכסים-יתרות פתיחה'!$2:$110,91,0),0)*(1-T$309)</f>
        <v>0</v>
      </c>
      <c r="U81" s="1240">
        <f>+IFERROR(HLOOKUP(U13,'סקרי נכסים-יתרות פתיחה'!$2:$110,6,0),0)-IFERROR(HLOOKUP(U13,'סקרי נכסים-יתרות פתיחה'!$2:$110,91,0),0)*(1-U$309)</f>
        <v>0</v>
      </c>
      <c r="V81" s="1240">
        <f>+IFERROR(HLOOKUP(V13,'סקרי נכסים-יתרות פתיחה'!$2:$110,6,0),0)-IFERROR(HLOOKUP(V13,'סקרי נכסים-יתרות פתיחה'!$2:$110,91,0),0)*(1-V$309)</f>
        <v>0</v>
      </c>
      <c r="W81" s="1240">
        <f>+IFERROR(HLOOKUP(W13,'סקרי נכסים-יתרות פתיחה'!$2:$110,6,0),0)-IFERROR(HLOOKUP(W13,'סקרי נכסים-יתרות פתיחה'!$2:$110,91,0),0)*(1-W$309)</f>
        <v>0</v>
      </c>
      <c r="X81" s="1240">
        <f>+IFERROR(HLOOKUP(X13,'סקרי נכסים-יתרות פתיחה'!$2:$110,6,0),0)-IFERROR(HLOOKUP(X13,'סקרי נכסים-יתרות פתיחה'!$2:$110,91,0),0)*(1-X$309)</f>
        <v>0</v>
      </c>
      <c r="Y81" s="1240">
        <f>+IFERROR(HLOOKUP(Y13,'סקרי נכסים-יתרות פתיחה'!$2:$110,6,0),0)-IFERROR(HLOOKUP(Y13,'סקרי נכסים-יתרות פתיחה'!$2:$110,91,0),0)*(1-Y$309)</f>
        <v>0</v>
      </c>
      <c r="Z81" s="1240">
        <f>+IFERROR(HLOOKUP(Z13,'סקרי נכסים-יתרות פתיחה'!$2:$110,6,0),0)-IFERROR(HLOOKUP(Z13,'סקרי נכסים-יתרות פתיחה'!$2:$110,91,0),0)*(1-Z$309)</f>
        <v>0</v>
      </c>
      <c r="AA81" s="1240">
        <f>+IFERROR(HLOOKUP(AA13,'סקרי נכסים-יתרות פתיחה'!$2:$110,6,0),0)-IFERROR(HLOOKUP(AA13,'סקרי נכסים-יתרות פתיחה'!$2:$110,91,0),0)*(1-AA$309)</f>
        <v>0</v>
      </c>
      <c r="AB81" s="1240">
        <f>+IFERROR(HLOOKUP(AB13,'סקרי נכסים-יתרות פתיחה'!$2:$110,6,0),0)-IFERROR(HLOOKUP(AB13,'סקרי נכסים-יתרות פתיחה'!$2:$110,91,0),0)*(1-AB$309)</f>
        <v>0</v>
      </c>
      <c r="AC81" s="1240">
        <f>+IFERROR(HLOOKUP(AC13,'סקרי נכסים-יתרות פתיחה'!$2:$110,6,0),0)-IFERROR(HLOOKUP(AC13,'סקרי נכסים-יתרות פתיחה'!$2:$110,91,0),0)*(1-AC$309)</f>
        <v>0</v>
      </c>
      <c r="AD81" s="1240">
        <f>+IFERROR(HLOOKUP(AD13,'סקרי נכסים-יתרות פתיחה'!$2:$110,6,0),0)-IFERROR(HLOOKUP(AD13,'סקרי נכסים-יתרות פתיחה'!$2:$110,91,0),0)*(1-AD$309)</f>
        <v>0</v>
      </c>
      <c r="AE81" s="1240">
        <f>+IFERROR(HLOOKUP(AE13,'סקרי נכסים-יתרות פתיחה'!$2:$110,6,0),0)-IFERROR(HLOOKUP(AE13,'סקרי נכסים-יתרות פתיחה'!$2:$110,91,0),0)*(1-AE$309)</f>
        <v>0</v>
      </c>
      <c r="AF81" s="1240">
        <f>+IFERROR(HLOOKUP(AF13,'סקרי נכסים-יתרות פתיחה'!$2:$110,6,0),0)-IFERROR(HLOOKUP(AF13,'סקרי נכסים-יתרות פתיחה'!$2:$110,91,0),0)*(1-AF$309)</f>
        <v>0</v>
      </c>
      <c r="AG81" s="1240">
        <f>+IFERROR(HLOOKUP(AG13,'סקרי נכסים-יתרות פתיחה'!$2:$110,6,0),0)-IFERROR(HLOOKUP(AG13,'סקרי נכסים-יתרות פתיחה'!$2:$110,91,0),0)*(1-AG$309)</f>
        <v>0</v>
      </c>
      <c r="AH81" s="1240">
        <f>+IFERROR(HLOOKUP(AH13,'סקרי נכסים-יתרות פתיחה'!$2:$110,6,0),0)-IFERROR(HLOOKUP(AH13,'סקרי נכסים-יתרות פתיחה'!$2:$110,91,0),0)*(1-AH$309)</f>
        <v>0</v>
      </c>
      <c r="AI81" s="1240">
        <f>+IFERROR(HLOOKUP(AI13,'סקרי נכסים-יתרות פתיחה'!$2:$110,6,0),0)-IFERROR(HLOOKUP(AI13,'סקרי נכסים-יתרות פתיחה'!$2:$110,91,0),0)*(1-AI$309)</f>
        <v>0</v>
      </c>
      <c r="AJ81" s="1240">
        <f>+IFERROR(HLOOKUP(AJ13,'סקרי נכסים-יתרות פתיחה'!$2:$110,6,0),0)-IFERROR(HLOOKUP(AJ13,'סקרי נכסים-יתרות פתיחה'!$2:$110,91,0),0)*(1-AJ$309)</f>
        <v>0</v>
      </c>
      <c r="AK81" s="1240">
        <f>+IFERROR(HLOOKUP(AK13,'סקרי נכסים-יתרות פתיחה'!$2:$110,6,0),0)-IFERROR(HLOOKUP(AK13,'סקרי נכסים-יתרות פתיחה'!$2:$110,91,0),0)*(1-AK$309)</f>
        <v>0</v>
      </c>
      <c r="AL81" s="1240">
        <f>+IFERROR(HLOOKUP(AL13,'סקרי נכסים-יתרות פתיחה'!$2:$110,6,0),0)-IFERROR(HLOOKUP(AL13,'סקרי נכסים-יתרות פתיחה'!$2:$110,91,0),0)*(1-AL$309)</f>
        <v>0</v>
      </c>
      <c r="AM81" s="1240">
        <f>+IFERROR(HLOOKUP(AM13,'סקרי נכסים-יתרות פתיחה'!$2:$110,6,0),0)-IFERROR(HLOOKUP(AM13,'סקרי נכסים-יתרות פתיחה'!$2:$110,91,0),0)*(1-AM$309)</f>
        <v>0</v>
      </c>
      <c r="AN81" s="1240">
        <f>+IFERROR(HLOOKUP(AN13,'סקרי נכסים-יתרות פתיחה'!$2:$110,6,0),0)-IFERROR(HLOOKUP(AN13,'סקרי נכסים-יתרות פתיחה'!$2:$110,91,0),0)*(1-AN$309)</f>
        <v>0</v>
      </c>
      <c r="AO81" s="1240">
        <f>+IFERROR(HLOOKUP(AO13,'סקרי נכסים-יתרות פתיחה'!$2:$110,6,0),0)-IFERROR(HLOOKUP(AO13,'סקרי נכסים-יתרות פתיחה'!$2:$110,91,0),0)*(1-AO$309)</f>
        <v>0</v>
      </c>
      <c r="AP81" s="1240">
        <f>+IFERROR(HLOOKUP(AP13,'סקרי נכסים-יתרות פתיחה'!$2:$110,6,0),0)-IFERROR(HLOOKUP(AP13,'סקרי נכסים-יתרות פתיחה'!$2:$110,91,0),0)*(1-AP$309)</f>
        <v>0</v>
      </c>
      <c r="AQ81" s="1240">
        <f>+IFERROR(HLOOKUP(AQ13,'סקרי נכסים-יתרות פתיחה'!$2:$110,6,0),0)-IFERROR(HLOOKUP(AQ13,'סקרי נכסים-יתרות פתיחה'!$2:$110,91,0),0)*(1-AQ$309)</f>
        <v>0</v>
      </c>
      <c r="AR81" s="1240">
        <f>+IFERROR(HLOOKUP(AR13,'סקרי נכסים-יתרות פתיחה'!$2:$110,6,0),0)-IFERROR(HLOOKUP(AR13,'סקרי נכסים-יתרות פתיחה'!$2:$110,91,0),0)*(1-AR$309)</f>
        <v>0</v>
      </c>
      <c r="AS81" s="1240">
        <f>+IFERROR(HLOOKUP(AS13,'סקרי נכסים-יתרות פתיחה'!$2:$110,6,0),0)-IFERROR(HLOOKUP(AS13,'סקרי נכסים-יתרות פתיחה'!$2:$110,91,0),0)*(1-AS$309)</f>
        <v>0</v>
      </c>
      <c r="AT81" s="1240">
        <f>+IFERROR(HLOOKUP(AT13,'סקרי נכסים-יתרות פתיחה'!$2:$110,6,0),0)-IFERROR(HLOOKUP(AT13,'סקרי נכסים-יתרות פתיחה'!$2:$110,91,0),0)*(1-AT$309)</f>
        <v>0</v>
      </c>
      <c r="AU81" s="1240">
        <f>+IFERROR(HLOOKUP(AU13,'סקרי נכסים-יתרות פתיחה'!$2:$110,6,0),0)-IFERROR(HLOOKUP(AU13,'סקרי נכסים-יתרות פתיחה'!$2:$110,91,0),0)*(1-AU$309)</f>
        <v>0</v>
      </c>
      <c r="AV81" s="1240">
        <f>+IFERROR(HLOOKUP(AV13,'סקרי נכסים-יתרות פתיחה'!$2:$110,6,0),0)-IFERROR(HLOOKUP(AV13,'סקרי נכסים-יתרות פתיחה'!$2:$110,91,0),0)*(1-AV$309)</f>
        <v>0</v>
      </c>
      <c r="AW81" s="1240">
        <f>+IFERROR(HLOOKUP(AW13,'סקרי נכסים-יתרות פתיחה'!$2:$110,6,0),0)-IFERROR(HLOOKUP(AW13,'סקרי נכסים-יתרות פתיחה'!$2:$110,91,0),0)*(1-AW$309)</f>
        <v>0</v>
      </c>
      <c r="AX81" s="1240">
        <f>+IFERROR(HLOOKUP(AX13,'סקרי נכסים-יתרות פתיחה'!$2:$110,6,0),0)-IFERROR(HLOOKUP(AX13,'סקרי נכסים-יתרות פתיחה'!$2:$110,91,0),0)*(1-AX$309)</f>
        <v>0</v>
      </c>
      <c r="AY81" s="1240">
        <f>+IFERROR(HLOOKUP(AY13,'סקרי נכסים-יתרות פתיחה'!$2:$110,6,0),0)-IFERROR(HLOOKUP(AY13,'סקרי נכסים-יתרות פתיחה'!$2:$110,91,0),0)*(1-AY$309)</f>
        <v>0</v>
      </c>
      <c r="AZ81" s="1240">
        <f>+IFERROR(HLOOKUP(AZ13,'סקרי נכסים-יתרות פתיחה'!$2:$110,6,0),0)-IFERROR(HLOOKUP(AZ13,'סקרי נכסים-יתרות פתיחה'!$2:$110,91,0),0)*(1-AZ$309)</f>
        <v>0</v>
      </c>
      <c r="BA81" s="1240">
        <f>+IFERROR(HLOOKUP(BA13,'סקרי נכסים-יתרות פתיחה'!$2:$110,6,0),0)-IFERROR(HLOOKUP(BA13,'סקרי נכסים-יתרות פתיחה'!$2:$110,91,0),0)*(1-BA$309)</f>
        <v>0</v>
      </c>
      <c r="BB81" s="1240">
        <f>+IFERROR(HLOOKUP(BB13,'סקרי נכסים-יתרות פתיחה'!$2:$110,6,0),0)-IFERROR(HLOOKUP(BB13,'סקרי נכסים-יתרות פתיחה'!$2:$110,91,0),0)*(1-BB$309)</f>
        <v>0</v>
      </c>
      <c r="BC81" s="1240">
        <f>+IFERROR(HLOOKUP(BC13,'סקרי נכסים-יתרות פתיחה'!$2:$110,6,0),0)-IFERROR(HLOOKUP(BC13,'סקרי נכסים-יתרות פתיחה'!$2:$110,91,0),0)*(1-BC$309)</f>
        <v>0</v>
      </c>
      <c r="BD81" s="1240">
        <f>+IFERROR(HLOOKUP(BD13,'סקרי נכסים-יתרות פתיחה'!$2:$110,6,0),0)-IFERROR(HLOOKUP(BD13,'סקרי נכסים-יתרות פתיחה'!$2:$110,91,0),0)*(1-BD$309)</f>
        <v>0</v>
      </c>
      <c r="BE81" s="1240">
        <f>+IFERROR(HLOOKUP(BE13,'סקרי נכסים-יתרות פתיחה'!$2:$110,6,0),0)-IFERROR(HLOOKUP(BE13,'סקרי נכסים-יתרות פתיחה'!$2:$110,91,0),0)*(1-BE$309)</f>
        <v>0</v>
      </c>
      <c r="BF81" s="1240">
        <f>+IFERROR(HLOOKUP(BF13,'סקרי נכסים-יתרות פתיחה'!$2:$110,6,0),0)-IFERROR(HLOOKUP(BF13,'סקרי נכסים-יתרות פתיחה'!$2:$110,91,0),0)*(1-BF$309)</f>
        <v>0</v>
      </c>
    </row>
    <row r="82" spans="2:58" x14ac:dyDescent="0.2">
      <c r="B82" s="1">
        <v>11</v>
      </c>
      <c r="C82" s="1240">
        <f>+IFERROR(HLOOKUP(C14,'סקרי נכסים-יתרות פתיחה'!$2:$110,6,0),0)-IFERROR(HLOOKUP(C14,'סקרי נכסים-יתרות פתיחה'!$2:$110,91,0),0)*(1-C$309)</f>
        <v>0</v>
      </c>
      <c r="D82" s="1240">
        <f>+IFERROR(HLOOKUP(D14,'סקרי נכסים-יתרות פתיחה'!$2:$110,6,0),0)-IFERROR(HLOOKUP(D14,'סקרי נכסים-יתרות פתיחה'!$2:$110,91,0),0)*(1-D$309)</f>
        <v>0</v>
      </c>
      <c r="E82" s="1240">
        <f>+IFERROR(HLOOKUP(E14,'סקרי נכסים-יתרות פתיחה'!$2:$110,6,0),0)-IFERROR(HLOOKUP(E14,'סקרי נכסים-יתרות פתיחה'!$2:$110,91,0),0)*(1-E$309)</f>
        <v>0</v>
      </c>
      <c r="F82" s="1240">
        <f>+IFERROR(HLOOKUP(F14,'סקרי נכסים-יתרות פתיחה'!$2:$110,6,0),0)-IFERROR(HLOOKUP(F14,'סקרי נכסים-יתרות פתיחה'!$2:$110,91,0),0)*(1-F$309)</f>
        <v>0</v>
      </c>
      <c r="G82" s="1240">
        <f>+IFERROR(HLOOKUP(G14,'סקרי נכסים-יתרות פתיחה'!$2:$110,6,0),0)-IFERROR(HLOOKUP(G14,'סקרי נכסים-יתרות פתיחה'!$2:$110,91,0),0)*(1-G$309)</f>
        <v>0</v>
      </c>
      <c r="H82" s="1240">
        <f>+IFERROR(HLOOKUP(H14,'סקרי נכסים-יתרות פתיחה'!$2:$110,6,0),0)-IFERROR(HLOOKUP(H14,'סקרי נכסים-יתרות פתיחה'!$2:$110,91,0),0)*(1-H$309)</f>
        <v>0</v>
      </c>
      <c r="I82" s="1240">
        <f>+IFERROR(HLOOKUP(I14,'סקרי נכסים-יתרות פתיחה'!$2:$110,6,0),0)-IFERROR(HLOOKUP(I14,'סקרי נכסים-יתרות פתיחה'!$2:$110,91,0),0)*(1-I$309)</f>
        <v>0</v>
      </c>
      <c r="J82" s="1240">
        <f>+IFERROR(HLOOKUP(J14,'סקרי נכסים-יתרות פתיחה'!$2:$110,6,0),0)-IFERROR(HLOOKUP(J14,'סקרי נכסים-יתרות פתיחה'!$2:$110,91,0),0)*(1-J$309)</f>
        <v>0</v>
      </c>
      <c r="K82" s="1240">
        <f>+IFERROR(HLOOKUP(K14,'סקרי נכסים-יתרות פתיחה'!$2:$110,6,0),0)-IFERROR(HLOOKUP(K14,'סקרי נכסים-יתרות פתיחה'!$2:$110,91,0),0)*(1-K$309)</f>
        <v>0</v>
      </c>
      <c r="L82" s="1240">
        <f>+IFERROR(HLOOKUP(L14,'סקרי נכסים-יתרות פתיחה'!$2:$110,6,0),0)-IFERROR(HLOOKUP(L14,'סקרי נכסים-יתרות פתיחה'!$2:$110,91,0),0)*(1-L$309)</f>
        <v>0</v>
      </c>
      <c r="M82" s="1240">
        <f>+IFERROR(HLOOKUP(M14,'סקרי נכסים-יתרות פתיחה'!$2:$110,6,0),0)-IFERROR(HLOOKUP(M14,'סקרי נכסים-יתרות פתיחה'!$2:$110,91,0),0)*(1-M$309)</f>
        <v>0</v>
      </c>
      <c r="N82" s="1240">
        <f>+IFERROR(HLOOKUP(N14,'סקרי נכסים-יתרות פתיחה'!$2:$110,6,0),0)-IFERROR(HLOOKUP(N14,'סקרי נכסים-יתרות פתיחה'!$2:$110,91,0),0)*(1-N$309)</f>
        <v>0</v>
      </c>
      <c r="O82" s="1240">
        <f>+IFERROR(HLOOKUP(O14,'סקרי נכסים-יתרות פתיחה'!$2:$110,6,0),0)-IFERROR(HLOOKUP(O14,'סקרי נכסים-יתרות פתיחה'!$2:$110,91,0),0)*(1-O$309)</f>
        <v>0</v>
      </c>
      <c r="P82" s="1240">
        <f>+IFERROR(HLOOKUP(P14,'סקרי נכסים-יתרות פתיחה'!$2:$110,6,0),0)-IFERROR(HLOOKUP(P14,'סקרי נכסים-יתרות פתיחה'!$2:$110,91,0),0)*(1-P$309)</f>
        <v>0</v>
      </c>
      <c r="Q82" s="1240">
        <f>+IFERROR(HLOOKUP(Q14,'סקרי נכסים-יתרות פתיחה'!$2:$110,6,0),0)-IFERROR(HLOOKUP(Q14,'סקרי נכסים-יתרות פתיחה'!$2:$110,91,0),0)*(1-Q$309)</f>
        <v>0</v>
      </c>
      <c r="R82" s="1240">
        <f>+IFERROR(HLOOKUP(R14,'סקרי נכסים-יתרות פתיחה'!$2:$110,6,0),0)-IFERROR(HLOOKUP(R14,'סקרי נכסים-יתרות פתיחה'!$2:$110,91,0),0)*(1-R$309)</f>
        <v>0</v>
      </c>
      <c r="S82" s="1240">
        <f>+IFERROR(HLOOKUP(S14,'סקרי נכסים-יתרות פתיחה'!$2:$110,6,0),0)-IFERROR(HLOOKUP(S14,'סקרי נכסים-יתרות פתיחה'!$2:$110,91,0),0)*(1-S$309)</f>
        <v>0</v>
      </c>
      <c r="T82" s="1240">
        <f>+IFERROR(HLOOKUP(T14,'סקרי נכסים-יתרות פתיחה'!$2:$110,6,0),0)-IFERROR(HLOOKUP(T14,'סקרי נכסים-יתרות פתיחה'!$2:$110,91,0),0)*(1-T$309)</f>
        <v>0</v>
      </c>
      <c r="U82" s="1240">
        <f>+IFERROR(HLOOKUP(U14,'סקרי נכסים-יתרות פתיחה'!$2:$110,6,0),0)-IFERROR(HLOOKUP(U14,'סקרי נכסים-יתרות פתיחה'!$2:$110,91,0),0)*(1-U$309)</f>
        <v>0</v>
      </c>
      <c r="V82" s="1240">
        <f>+IFERROR(HLOOKUP(V14,'סקרי נכסים-יתרות פתיחה'!$2:$110,6,0),0)-IFERROR(HLOOKUP(V14,'סקרי נכסים-יתרות פתיחה'!$2:$110,91,0),0)*(1-V$309)</f>
        <v>0</v>
      </c>
      <c r="W82" s="1240">
        <f>+IFERROR(HLOOKUP(W14,'סקרי נכסים-יתרות פתיחה'!$2:$110,6,0),0)-IFERROR(HLOOKUP(W14,'סקרי נכסים-יתרות פתיחה'!$2:$110,91,0),0)*(1-W$309)</f>
        <v>0</v>
      </c>
      <c r="X82" s="1240">
        <f>+IFERROR(HLOOKUP(X14,'סקרי נכסים-יתרות פתיחה'!$2:$110,6,0),0)-IFERROR(HLOOKUP(X14,'סקרי נכסים-יתרות פתיחה'!$2:$110,91,0),0)*(1-X$309)</f>
        <v>0</v>
      </c>
      <c r="Y82" s="1240">
        <f>+IFERROR(HLOOKUP(Y14,'סקרי נכסים-יתרות פתיחה'!$2:$110,6,0),0)-IFERROR(HLOOKUP(Y14,'סקרי נכסים-יתרות פתיחה'!$2:$110,91,0),0)*(1-Y$309)</f>
        <v>0</v>
      </c>
      <c r="Z82" s="1240">
        <f>+IFERROR(HLOOKUP(Z14,'סקרי נכסים-יתרות פתיחה'!$2:$110,6,0),0)-IFERROR(HLOOKUP(Z14,'סקרי נכסים-יתרות פתיחה'!$2:$110,91,0),0)*(1-Z$309)</f>
        <v>0</v>
      </c>
      <c r="AA82" s="1240">
        <f>+IFERROR(HLOOKUP(AA14,'סקרי נכסים-יתרות פתיחה'!$2:$110,6,0),0)-IFERROR(HLOOKUP(AA14,'סקרי נכסים-יתרות פתיחה'!$2:$110,91,0),0)*(1-AA$309)</f>
        <v>0</v>
      </c>
      <c r="AB82" s="1240">
        <f>+IFERROR(HLOOKUP(AB14,'סקרי נכסים-יתרות פתיחה'!$2:$110,6,0),0)-IFERROR(HLOOKUP(AB14,'סקרי נכסים-יתרות פתיחה'!$2:$110,91,0),0)*(1-AB$309)</f>
        <v>0</v>
      </c>
      <c r="AC82" s="1240">
        <f>+IFERROR(HLOOKUP(AC14,'סקרי נכסים-יתרות פתיחה'!$2:$110,6,0),0)-IFERROR(HLOOKUP(AC14,'סקרי נכסים-יתרות פתיחה'!$2:$110,91,0),0)*(1-AC$309)</f>
        <v>0</v>
      </c>
      <c r="AD82" s="1240">
        <f>+IFERROR(HLOOKUP(AD14,'סקרי נכסים-יתרות פתיחה'!$2:$110,6,0),0)-IFERROR(HLOOKUP(AD14,'סקרי נכסים-יתרות פתיחה'!$2:$110,91,0),0)*(1-AD$309)</f>
        <v>0</v>
      </c>
      <c r="AE82" s="1240">
        <f>+IFERROR(HLOOKUP(AE14,'סקרי נכסים-יתרות פתיחה'!$2:$110,6,0),0)-IFERROR(HLOOKUP(AE14,'סקרי נכסים-יתרות פתיחה'!$2:$110,91,0),0)*(1-AE$309)</f>
        <v>0</v>
      </c>
      <c r="AF82" s="1240">
        <f>+IFERROR(HLOOKUP(AF14,'סקרי נכסים-יתרות פתיחה'!$2:$110,6,0),0)-IFERROR(HLOOKUP(AF14,'סקרי נכסים-יתרות פתיחה'!$2:$110,91,0),0)*(1-AF$309)</f>
        <v>0</v>
      </c>
      <c r="AG82" s="1240">
        <f>+IFERROR(HLOOKUP(AG14,'סקרי נכסים-יתרות פתיחה'!$2:$110,6,0),0)-IFERROR(HLOOKUP(AG14,'סקרי נכסים-יתרות פתיחה'!$2:$110,91,0),0)*(1-AG$309)</f>
        <v>0</v>
      </c>
      <c r="AH82" s="1240">
        <f>+IFERROR(HLOOKUP(AH14,'סקרי נכסים-יתרות פתיחה'!$2:$110,6,0),0)-IFERROR(HLOOKUP(AH14,'סקרי נכסים-יתרות פתיחה'!$2:$110,91,0),0)*(1-AH$309)</f>
        <v>0</v>
      </c>
      <c r="AI82" s="1240">
        <f>+IFERROR(HLOOKUP(AI14,'סקרי נכסים-יתרות פתיחה'!$2:$110,6,0),0)-IFERROR(HLOOKUP(AI14,'סקרי נכסים-יתרות פתיחה'!$2:$110,91,0),0)*(1-AI$309)</f>
        <v>0</v>
      </c>
      <c r="AJ82" s="1240">
        <f>+IFERROR(HLOOKUP(AJ14,'סקרי נכסים-יתרות פתיחה'!$2:$110,6,0),0)-IFERROR(HLOOKUP(AJ14,'סקרי נכסים-יתרות פתיחה'!$2:$110,91,0),0)*(1-AJ$309)</f>
        <v>0</v>
      </c>
      <c r="AK82" s="1240">
        <f>+IFERROR(HLOOKUP(AK14,'סקרי נכסים-יתרות פתיחה'!$2:$110,6,0),0)-IFERROR(HLOOKUP(AK14,'סקרי נכסים-יתרות פתיחה'!$2:$110,91,0),0)*(1-AK$309)</f>
        <v>0</v>
      </c>
      <c r="AL82" s="1240">
        <f>+IFERROR(HLOOKUP(AL14,'סקרי נכסים-יתרות פתיחה'!$2:$110,6,0),0)-IFERROR(HLOOKUP(AL14,'סקרי נכסים-יתרות פתיחה'!$2:$110,91,0),0)*(1-AL$309)</f>
        <v>0</v>
      </c>
      <c r="AM82" s="1240">
        <f>+IFERROR(HLOOKUP(AM14,'סקרי נכסים-יתרות פתיחה'!$2:$110,6,0),0)-IFERROR(HLOOKUP(AM14,'סקרי נכסים-יתרות פתיחה'!$2:$110,91,0),0)*(1-AM$309)</f>
        <v>0</v>
      </c>
      <c r="AN82" s="1240">
        <f>+IFERROR(HLOOKUP(AN14,'סקרי נכסים-יתרות פתיחה'!$2:$110,6,0),0)-IFERROR(HLOOKUP(AN14,'סקרי נכסים-יתרות פתיחה'!$2:$110,91,0),0)*(1-AN$309)</f>
        <v>0</v>
      </c>
      <c r="AO82" s="1240">
        <f>+IFERROR(HLOOKUP(AO14,'סקרי נכסים-יתרות פתיחה'!$2:$110,6,0),0)-IFERROR(HLOOKUP(AO14,'סקרי נכסים-יתרות פתיחה'!$2:$110,91,0),0)*(1-AO$309)</f>
        <v>0</v>
      </c>
      <c r="AP82" s="1240">
        <f>+IFERROR(HLOOKUP(AP14,'סקרי נכסים-יתרות פתיחה'!$2:$110,6,0),0)-IFERROR(HLOOKUP(AP14,'סקרי נכסים-יתרות פתיחה'!$2:$110,91,0),0)*(1-AP$309)</f>
        <v>0</v>
      </c>
      <c r="AQ82" s="1240">
        <f>+IFERROR(HLOOKUP(AQ14,'סקרי נכסים-יתרות פתיחה'!$2:$110,6,0),0)-IFERROR(HLOOKUP(AQ14,'סקרי נכסים-יתרות פתיחה'!$2:$110,91,0),0)*(1-AQ$309)</f>
        <v>0</v>
      </c>
      <c r="AR82" s="1240">
        <f>+IFERROR(HLOOKUP(AR14,'סקרי נכסים-יתרות פתיחה'!$2:$110,6,0),0)-IFERROR(HLOOKUP(AR14,'סקרי נכסים-יתרות פתיחה'!$2:$110,91,0),0)*(1-AR$309)</f>
        <v>0</v>
      </c>
      <c r="AS82" s="1240">
        <f>+IFERROR(HLOOKUP(AS14,'סקרי נכסים-יתרות פתיחה'!$2:$110,6,0),0)-IFERROR(HLOOKUP(AS14,'סקרי נכסים-יתרות פתיחה'!$2:$110,91,0),0)*(1-AS$309)</f>
        <v>0</v>
      </c>
      <c r="AT82" s="1240">
        <f>+IFERROR(HLOOKUP(AT14,'סקרי נכסים-יתרות פתיחה'!$2:$110,6,0),0)-IFERROR(HLOOKUP(AT14,'סקרי נכסים-יתרות פתיחה'!$2:$110,91,0),0)*(1-AT$309)</f>
        <v>0</v>
      </c>
      <c r="AU82" s="1240">
        <f>+IFERROR(HLOOKUP(AU14,'סקרי נכסים-יתרות פתיחה'!$2:$110,6,0),0)-IFERROR(HLOOKUP(AU14,'סקרי נכסים-יתרות פתיחה'!$2:$110,91,0),0)*(1-AU$309)</f>
        <v>0</v>
      </c>
      <c r="AV82" s="1240">
        <f>+IFERROR(HLOOKUP(AV14,'סקרי נכסים-יתרות פתיחה'!$2:$110,6,0),0)-IFERROR(HLOOKUP(AV14,'סקרי נכסים-יתרות פתיחה'!$2:$110,91,0),0)*(1-AV$309)</f>
        <v>0</v>
      </c>
      <c r="AW82" s="1240">
        <f>+IFERROR(HLOOKUP(AW14,'סקרי נכסים-יתרות פתיחה'!$2:$110,6,0),0)-IFERROR(HLOOKUP(AW14,'סקרי נכסים-יתרות פתיחה'!$2:$110,91,0),0)*(1-AW$309)</f>
        <v>0</v>
      </c>
      <c r="AX82" s="1240">
        <f>+IFERROR(HLOOKUP(AX14,'סקרי נכסים-יתרות פתיחה'!$2:$110,6,0),0)-IFERROR(HLOOKUP(AX14,'סקרי נכסים-יתרות פתיחה'!$2:$110,91,0),0)*(1-AX$309)</f>
        <v>0</v>
      </c>
      <c r="AY82" s="1240">
        <f>+IFERROR(HLOOKUP(AY14,'סקרי נכסים-יתרות פתיחה'!$2:$110,6,0),0)-IFERROR(HLOOKUP(AY14,'סקרי נכסים-יתרות פתיחה'!$2:$110,91,0),0)*(1-AY$309)</f>
        <v>0</v>
      </c>
      <c r="AZ82" s="1240">
        <f>+IFERROR(HLOOKUP(AZ14,'סקרי נכסים-יתרות פתיחה'!$2:$110,6,0),0)-IFERROR(HLOOKUP(AZ14,'סקרי נכסים-יתרות פתיחה'!$2:$110,91,0),0)*(1-AZ$309)</f>
        <v>0</v>
      </c>
      <c r="BA82" s="1240">
        <f>+IFERROR(HLOOKUP(BA14,'סקרי נכסים-יתרות פתיחה'!$2:$110,6,0),0)-IFERROR(HLOOKUP(BA14,'סקרי נכסים-יתרות פתיחה'!$2:$110,91,0),0)*(1-BA$309)</f>
        <v>0</v>
      </c>
      <c r="BB82" s="1240">
        <f>+IFERROR(HLOOKUP(BB14,'סקרי נכסים-יתרות פתיחה'!$2:$110,6,0),0)-IFERROR(HLOOKUP(BB14,'סקרי נכסים-יתרות פתיחה'!$2:$110,91,0),0)*(1-BB$309)</f>
        <v>0</v>
      </c>
      <c r="BC82" s="1240">
        <f>+IFERROR(HLOOKUP(BC14,'סקרי נכסים-יתרות פתיחה'!$2:$110,6,0),0)-IFERROR(HLOOKUP(BC14,'סקרי נכסים-יתרות פתיחה'!$2:$110,91,0),0)*(1-BC$309)</f>
        <v>0</v>
      </c>
      <c r="BD82" s="1240">
        <f>+IFERROR(HLOOKUP(BD14,'סקרי נכסים-יתרות פתיחה'!$2:$110,6,0),0)-IFERROR(HLOOKUP(BD14,'סקרי נכסים-יתרות פתיחה'!$2:$110,91,0),0)*(1-BD$309)</f>
        <v>0</v>
      </c>
      <c r="BE82" s="1240">
        <f>+IFERROR(HLOOKUP(BE14,'סקרי נכסים-יתרות פתיחה'!$2:$110,6,0),0)-IFERROR(HLOOKUP(BE14,'סקרי נכסים-יתרות פתיחה'!$2:$110,91,0),0)*(1-BE$309)</f>
        <v>0</v>
      </c>
      <c r="BF82" s="1240">
        <f>+IFERROR(HLOOKUP(BF14,'סקרי נכסים-יתרות פתיחה'!$2:$110,6,0),0)-IFERROR(HLOOKUP(BF14,'סקרי נכסים-יתרות פתיחה'!$2:$110,91,0),0)*(1-BF$309)</f>
        <v>0</v>
      </c>
    </row>
    <row r="83" spans="2:58" x14ac:dyDescent="0.2">
      <c r="B83" s="1">
        <v>12</v>
      </c>
      <c r="C83" s="1240">
        <f>+IFERROR(HLOOKUP(C15,'סקרי נכסים-יתרות פתיחה'!$2:$110,6,0),0)-IFERROR(HLOOKUP(C15,'סקרי נכסים-יתרות פתיחה'!$2:$110,91,0),0)*(1-C$309)</f>
        <v>0</v>
      </c>
      <c r="D83" s="1240">
        <f>+IFERROR(HLOOKUP(D15,'סקרי נכסים-יתרות פתיחה'!$2:$110,6,0),0)-IFERROR(HLOOKUP(D15,'סקרי נכסים-יתרות פתיחה'!$2:$110,91,0),0)*(1-D$309)</f>
        <v>0</v>
      </c>
      <c r="E83" s="1240">
        <f>+IFERROR(HLOOKUP(E15,'סקרי נכסים-יתרות פתיחה'!$2:$110,6,0),0)-IFERROR(HLOOKUP(E15,'סקרי נכסים-יתרות פתיחה'!$2:$110,91,0),0)*(1-E$309)</f>
        <v>0</v>
      </c>
      <c r="F83" s="1240">
        <f>+IFERROR(HLOOKUP(F15,'סקרי נכסים-יתרות פתיחה'!$2:$110,6,0),0)-IFERROR(HLOOKUP(F15,'סקרי נכסים-יתרות פתיחה'!$2:$110,91,0),0)*(1-F$309)</f>
        <v>0</v>
      </c>
      <c r="G83" s="1240">
        <f>+IFERROR(HLOOKUP(G15,'סקרי נכסים-יתרות פתיחה'!$2:$110,6,0),0)-IFERROR(HLOOKUP(G15,'סקרי נכסים-יתרות פתיחה'!$2:$110,91,0),0)*(1-G$309)</f>
        <v>0</v>
      </c>
      <c r="H83" s="1240">
        <f>+IFERROR(HLOOKUP(H15,'סקרי נכסים-יתרות פתיחה'!$2:$110,6,0),0)-IFERROR(HLOOKUP(H15,'סקרי נכסים-יתרות פתיחה'!$2:$110,91,0),0)*(1-H$309)</f>
        <v>0</v>
      </c>
      <c r="I83" s="1240">
        <f>+IFERROR(HLOOKUP(I15,'סקרי נכסים-יתרות פתיחה'!$2:$110,6,0),0)-IFERROR(HLOOKUP(I15,'סקרי נכסים-יתרות פתיחה'!$2:$110,91,0),0)*(1-I$309)</f>
        <v>0</v>
      </c>
      <c r="J83" s="1240">
        <f>+IFERROR(HLOOKUP(J15,'סקרי נכסים-יתרות פתיחה'!$2:$110,6,0),0)-IFERROR(HLOOKUP(J15,'סקרי נכסים-יתרות פתיחה'!$2:$110,91,0),0)*(1-J$309)</f>
        <v>0</v>
      </c>
      <c r="K83" s="1240">
        <f>+IFERROR(HLOOKUP(K15,'סקרי נכסים-יתרות פתיחה'!$2:$110,6,0),0)-IFERROR(HLOOKUP(K15,'סקרי נכסים-יתרות פתיחה'!$2:$110,91,0),0)*(1-K$309)</f>
        <v>0</v>
      </c>
      <c r="L83" s="1240">
        <f>+IFERROR(HLOOKUP(L15,'סקרי נכסים-יתרות פתיחה'!$2:$110,6,0),0)-IFERROR(HLOOKUP(L15,'סקרי נכסים-יתרות פתיחה'!$2:$110,91,0),0)*(1-L$309)</f>
        <v>0</v>
      </c>
      <c r="M83" s="1240">
        <f>+IFERROR(HLOOKUP(M15,'סקרי נכסים-יתרות פתיחה'!$2:$110,6,0),0)-IFERROR(HLOOKUP(M15,'סקרי נכסים-יתרות פתיחה'!$2:$110,91,0),0)*(1-M$309)</f>
        <v>0</v>
      </c>
      <c r="N83" s="1240">
        <f>+IFERROR(HLOOKUP(N15,'סקרי נכסים-יתרות פתיחה'!$2:$110,6,0),0)-IFERROR(HLOOKUP(N15,'סקרי נכסים-יתרות פתיחה'!$2:$110,91,0),0)*(1-N$309)</f>
        <v>0</v>
      </c>
      <c r="O83" s="1240">
        <f>+IFERROR(HLOOKUP(O15,'סקרי נכסים-יתרות פתיחה'!$2:$110,6,0),0)-IFERROR(HLOOKUP(O15,'סקרי נכסים-יתרות פתיחה'!$2:$110,91,0),0)*(1-O$309)</f>
        <v>0</v>
      </c>
      <c r="P83" s="1240">
        <f>+IFERROR(HLOOKUP(P15,'סקרי נכסים-יתרות פתיחה'!$2:$110,6,0),0)-IFERROR(HLOOKUP(P15,'סקרי נכסים-יתרות פתיחה'!$2:$110,91,0),0)*(1-P$309)</f>
        <v>0</v>
      </c>
      <c r="Q83" s="1240">
        <f>+IFERROR(HLOOKUP(Q15,'סקרי נכסים-יתרות פתיחה'!$2:$110,6,0),0)-IFERROR(HLOOKUP(Q15,'סקרי נכסים-יתרות פתיחה'!$2:$110,91,0),0)*(1-Q$309)</f>
        <v>0</v>
      </c>
      <c r="R83" s="1240">
        <f>+IFERROR(HLOOKUP(R15,'סקרי נכסים-יתרות פתיחה'!$2:$110,6,0),0)-IFERROR(HLOOKUP(R15,'סקרי נכסים-יתרות פתיחה'!$2:$110,91,0),0)*(1-R$309)</f>
        <v>0</v>
      </c>
      <c r="S83" s="1240">
        <f>+IFERROR(HLOOKUP(S15,'סקרי נכסים-יתרות פתיחה'!$2:$110,6,0),0)-IFERROR(HLOOKUP(S15,'סקרי נכסים-יתרות פתיחה'!$2:$110,91,0),0)*(1-S$309)</f>
        <v>0</v>
      </c>
      <c r="T83" s="1240">
        <f>+IFERROR(HLOOKUP(T15,'סקרי נכסים-יתרות פתיחה'!$2:$110,6,0),0)-IFERROR(HLOOKUP(T15,'סקרי נכסים-יתרות פתיחה'!$2:$110,91,0),0)*(1-T$309)</f>
        <v>0</v>
      </c>
      <c r="U83" s="1240">
        <f>+IFERROR(HLOOKUP(U15,'סקרי נכסים-יתרות פתיחה'!$2:$110,6,0),0)-IFERROR(HLOOKUP(U15,'סקרי נכסים-יתרות פתיחה'!$2:$110,91,0),0)*(1-U$309)</f>
        <v>0</v>
      </c>
      <c r="V83" s="1240">
        <f>+IFERROR(HLOOKUP(V15,'סקרי נכסים-יתרות פתיחה'!$2:$110,6,0),0)-IFERROR(HLOOKUP(V15,'סקרי נכסים-יתרות פתיחה'!$2:$110,91,0),0)*(1-V$309)</f>
        <v>0</v>
      </c>
      <c r="W83" s="1240">
        <f>+IFERROR(HLOOKUP(W15,'סקרי נכסים-יתרות פתיחה'!$2:$110,6,0),0)-IFERROR(HLOOKUP(W15,'סקרי נכסים-יתרות פתיחה'!$2:$110,91,0),0)*(1-W$309)</f>
        <v>0</v>
      </c>
      <c r="X83" s="1240">
        <f>+IFERROR(HLOOKUP(X15,'סקרי נכסים-יתרות פתיחה'!$2:$110,6,0),0)-IFERROR(HLOOKUP(X15,'סקרי נכסים-יתרות פתיחה'!$2:$110,91,0),0)*(1-X$309)</f>
        <v>0</v>
      </c>
      <c r="Y83" s="1240">
        <f>+IFERROR(HLOOKUP(Y15,'סקרי נכסים-יתרות פתיחה'!$2:$110,6,0),0)-IFERROR(HLOOKUP(Y15,'סקרי נכסים-יתרות פתיחה'!$2:$110,91,0),0)*(1-Y$309)</f>
        <v>0</v>
      </c>
      <c r="Z83" s="1240">
        <f>+IFERROR(HLOOKUP(Z15,'סקרי נכסים-יתרות פתיחה'!$2:$110,6,0),0)-IFERROR(HLOOKUP(Z15,'סקרי נכסים-יתרות פתיחה'!$2:$110,91,0),0)*(1-Z$309)</f>
        <v>0</v>
      </c>
      <c r="AA83" s="1240">
        <f>+IFERROR(HLOOKUP(AA15,'סקרי נכסים-יתרות פתיחה'!$2:$110,6,0),0)-IFERROR(HLOOKUP(AA15,'סקרי נכסים-יתרות פתיחה'!$2:$110,91,0),0)*(1-AA$309)</f>
        <v>0</v>
      </c>
      <c r="AB83" s="1240">
        <f>+IFERROR(HLOOKUP(AB15,'סקרי נכסים-יתרות פתיחה'!$2:$110,6,0),0)-IFERROR(HLOOKUP(AB15,'סקרי נכסים-יתרות פתיחה'!$2:$110,91,0),0)*(1-AB$309)</f>
        <v>0</v>
      </c>
      <c r="AC83" s="1240">
        <f>+IFERROR(HLOOKUP(AC15,'סקרי נכסים-יתרות פתיחה'!$2:$110,6,0),0)-IFERROR(HLOOKUP(AC15,'סקרי נכסים-יתרות פתיחה'!$2:$110,91,0),0)*(1-AC$309)</f>
        <v>0</v>
      </c>
      <c r="AD83" s="1240">
        <f>+IFERROR(HLOOKUP(AD15,'סקרי נכסים-יתרות פתיחה'!$2:$110,6,0),0)-IFERROR(HLOOKUP(AD15,'סקרי נכסים-יתרות פתיחה'!$2:$110,91,0),0)*(1-AD$309)</f>
        <v>0</v>
      </c>
      <c r="AE83" s="1240">
        <f>+IFERROR(HLOOKUP(AE15,'סקרי נכסים-יתרות פתיחה'!$2:$110,6,0),0)-IFERROR(HLOOKUP(AE15,'סקרי נכסים-יתרות פתיחה'!$2:$110,91,0),0)*(1-AE$309)</f>
        <v>0</v>
      </c>
      <c r="AF83" s="1240">
        <f>+IFERROR(HLOOKUP(AF15,'סקרי נכסים-יתרות פתיחה'!$2:$110,6,0),0)-IFERROR(HLOOKUP(AF15,'סקרי נכסים-יתרות פתיחה'!$2:$110,91,0),0)*(1-AF$309)</f>
        <v>0</v>
      </c>
      <c r="AG83" s="1240">
        <f>+IFERROR(HLOOKUP(AG15,'סקרי נכסים-יתרות פתיחה'!$2:$110,6,0),0)-IFERROR(HLOOKUP(AG15,'סקרי נכסים-יתרות פתיחה'!$2:$110,91,0),0)*(1-AG$309)</f>
        <v>0</v>
      </c>
      <c r="AH83" s="1240">
        <f>+IFERROR(HLOOKUP(AH15,'סקרי נכסים-יתרות פתיחה'!$2:$110,6,0),0)-IFERROR(HLOOKUP(AH15,'סקרי נכסים-יתרות פתיחה'!$2:$110,91,0),0)*(1-AH$309)</f>
        <v>0</v>
      </c>
      <c r="AI83" s="1240">
        <f>+IFERROR(HLOOKUP(AI15,'סקרי נכסים-יתרות פתיחה'!$2:$110,6,0),0)-IFERROR(HLOOKUP(AI15,'סקרי נכסים-יתרות פתיחה'!$2:$110,91,0),0)*(1-AI$309)</f>
        <v>0</v>
      </c>
      <c r="AJ83" s="1240">
        <f>+IFERROR(HLOOKUP(AJ15,'סקרי נכסים-יתרות פתיחה'!$2:$110,6,0),0)-IFERROR(HLOOKUP(AJ15,'סקרי נכסים-יתרות פתיחה'!$2:$110,91,0),0)*(1-AJ$309)</f>
        <v>0</v>
      </c>
      <c r="AK83" s="1240">
        <f>+IFERROR(HLOOKUP(AK15,'סקרי נכסים-יתרות פתיחה'!$2:$110,6,0),0)-IFERROR(HLOOKUP(AK15,'סקרי נכסים-יתרות פתיחה'!$2:$110,91,0),0)*(1-AK$309)</f>
        <v>0</v>
      </c>
      <c r="AL83" s="1240">
        <f>+IFERROR(HLOOKUP(AL15,'סקרי נכסים-יתרות פתיחה'!$2:$110,6,0),0)-IFERROR(HLOOKUP(AL15,'סקרי נכסים-יתרות פתיחה'!$2:$110,91,0),0)*(1-AL$309)</f>
        <v>0</v>
      </c>
      <c r="AM83" s="1240">
        <f>+IFERROR(HLOOKUP(AM15,'סקרי נכסים-יתרות פתיחה'!$2:$110,6,0),0)-IFERROR(HLOOKUP(AM15,'סקרי נכסים-יתרות פתיחה'!$2:$110,91,0),0)*(1-AM$309)</f>
        <v>0</v>
      </c>
      <c r="AN83" s="1240">
        <f>+IFERROR(HLOOKUP(AN15,'סקרי נכסים-יתרות פתיחה'!$2:$110,6,0),0)-IFERROR(HLOOKUP(AN15,'סקרי נכסים-יתרות פתיחה'!$2:$110,91,0),0)*(1-AN$309)</f>
        <v>0</v>
      </c>
      <c r="AO83" s="1240">
        <f>+IFERROR(HLOOKUP(AO15,'סקרי נכסים-יתרות פתיחה'!$2:$110,6,0),0)-IFERROR(HLOOKUP(AO15,'סקרי נכסים-יתרות פתיחה'!$2:$110,91,0),0)*(1-AO$309)</f>
        <v>0</v>
      </c>
      <c r="AP83" s="1240">
        <f>+IFERROR(HLOOKUP(AP15,'סקרי נכסים-יתרות פתיחה'!$2:$110,6,0),0)-IFERROR(HLOOKUP(AP15,'סקרי נכסים-יתרות פתיחה'!$2:$110,91,0),0)*(1-AP$309)</f>
        <v>0</v>
      </c>
      <c r="AQ83" s="1240">
        <f>+IFERROR(HLOOKUP(AQ15,'סקרי נכסים-יתרות פתיחה'!$2:$110,6,0),0)-IFERROR(HLOOKUP(AQ15,'סקרי נכסים-יתרות פתיחה'!$2:$110,91,0),0)*(1-AQ$309)</f>
        <v>0</v>
      </c>
      <c r="AR83" s="1240">
        <f>+IFERROR(HLOOKUP(AR15,'סקרי נכסים-יתרות פתיחה'!$2:$110,6,0),0)-IFERROR(HLOOKUP(AR15,'סקרי נכסים-יתרות פתיחה'!$2:$110,91,0),0)*(1-AR$309)</f>
        <v>0</v>
      </c>
      <c r="AS83" s="1240">
        <f>+IFERROR(HLOOKUP(AS15,'סקרי נכסים-יתרות פתיחה'!$2:$110,6,0),0)-IFERROR(HLOOKUP(AS15,'סקרי נכסים-יתרות פתיחה'!$2:$110,91,0),0)*(1-AS$309)</f>
        <v>0</v>
      </c>
      <c r="AT83" s="1240">
        <f>+IFERROR(HLOOKUP(AT15,'סקרי נכסים-יתרות פתיחה'!$2:$110,6,0),0)-IFERROR(HLOOKUP(AT15,'סקרי נכסים-יתרות פתיחה'!$2:$110,91,0),0)*(1-AT$309)</f>
        <v>0</v>
      </c>
      <c r="AU83" s="1240">
        <f>+IFERROR(HLOOKUP(AU15,'סקרי נכסים-יתרות פתיחה'!$2:$110,6,0),0)-IFERROR(HLOOKUP(AU15,'סקרי נכסים-יתרות פתיחה'!$2:$110,91,0),0)*(1-AU$309)</f>
        <v>0</v>
      </c>
      <c r="AV83" s="1240">
        <f>+IFERROR(HLOOKUP(AV15,'סקרי נכסים-יתרות פתיחה'!$2:$110,6,0),0)-IFERROR(HLOOKUP(AV15,'סקרי נכסים-יתרות פתיחה'!$2:$110,91,0),0)*(1-AV$309)</f>
        <v>0</v>
      </c>
      <c r="AW83" s="1240">
        <f>+IFERROR(HLOOKUP(AW15,'סקרי נכסים-יתרות פתיחה'!$2:$110,6,0),0)-IFERROR(HLOOKUP(AW15,'סקרי נכסים-יתרות פתיחה'!$2:$110,91,0),0)*(1-AW$309)</f>
        <v>0</v>
      </c>
      <c r="AX83" s="1240">
        <f>+IFERROR(HLOOKUP(AX15,'סקרי נכסים-יתרות פתיחה'!$2:$110,6,0),0)-IFERROR(HLOOKUP(AX15,'סקרי נכסים-יתרות פתיחה'!$2:$110,91,0),0)*(1-AX$309)</f>
        <v>0</v>
      </c>
      <c r="AY83" s="1240">
        <f>+IFERROR(HLOOKUP(AY15,'סקרי נכסים-יתרות פתיחה'!$2:$110,6,0),0)-IFERROR(HLOOKUP(AY15,'סקרי נכסים-יתרות פתיחה'!$2:$110,91,0),0)*(1-AY$309)</f>
        <v>0</v>
      </c>
      <c r="AZ83" s="1240">
        <f>+IFERROR(HLOOKUP(AZ15,'סקרי נכסים-יתרות פתיחה'!$2:$110,6,0),0)-IFERROR(HLOOKUP(AZ15,'סקרי נכסים-יתרות פתיחה'!$2:$110,91,0),0)*(1-AZ$309)</f>
        <v>0</v>
      </c>
      <c r="BA83" s="1240">
        <f>+IFERROR(HLOOKUP(BA15,'סקרי נכסים-יתרות פתיחה'!$2:$110,6,0),0)-IFERROR(HLOOKUP(BA15,'סקרי נכסים-יתרות פתיחה'!$2:$110,91,0),0)*(1-BA$309)</f>
        <v>0</v>
      </c>
      <c r="BB83" s="1240">
        <f>+IFERROR(HLOOKUP(BB15,'סקרי נכסים-יתרות פתיחה'!$2:$110,6,0),0)-IFERROR(HLOOKUP(BB15,'סקרי נכסים-יתרות פתיחה'!$2:$110,91,0),0)*(1-BB$309)</f>
        <v>0</v>
      </c>
      <c r="BC83" s="1240">
        <f>+IFERROR(HLOOKUP(BC15,'סקרי נכסים-יתרות פתיחה'!$2:$110,6,0),0)-IFERROR(HLOOKUP(BC15,'סקרי נכסים-יתרות פתיחה'!$2:$110,91,0),0)*(1-BC$309)</f>
        <v>0</v>
      </c>
      <c r="BD83" s="1240">
        <f>+IFERROR(HLOOKUP(BD15,'סקרי נכסים-יתרות פתיחה'!$2:$110,6,0),0)-IFERROR(HLOOKUP(BD15,'סקרי נכסים-יתרות פתיחה'!$2:$110,91,0),0)*(1-BD$309)</f>
        <v>0</v>
      </c>
      <c r="BE83" s="1240">
        <f>+IFERROR(HLOOKUP(BE15,'סקרי נכסים-יתרות פתיחה'!$2:$110,6,0),0)-IFERROR(HLOOKUP(BE15,'סקרי נכסים-יתרות פתיחה'!$2:$110,91,0),0)*(1-BE$309)</f>
        <v>0</v>
      </c>
      <c r="BF83" s="1240">
        <f>+IFERROR(HLOOKUP(BF15,'סקרי נכסים-יתרות פתיחה'!$2:$110,6,0),0)-IFERROR(HLOOKUP(BF15,'סקרי נכסים-יתרות פתיחה'!$2:$110,91,0),0)*(1-BF$309)</f>
        <v>0</v>
      </c>
    </row>
    <row r="84" spans="2:58" x14ac:dyDescent="0.2">
      <c r="B84" s="1">
        <v>13</v>
      </c>
      <c r="C84" s="1240">
        <f>+IFERROR(HLOOKUP(C16,'סקרי נכסים-יתרות פתיחה'!$2:$110,6,0),0)-IFERROR(HLOOKUP(C16,'סקרי נכסים-יתרות פתיחה'!$2:$110,91,0),0)*(1-C$309)</f>
        <v>0</v>
      </c>
      <c r="D84" s="1240">
        <f>+IFERROR(HLOOKUP(D16,'סקרי נכסים-יתרות פתיחה'!$2:$110,6,0),0)-IFERROR(HLOOKUP(D16,'סקרי נכסים-יתרות פתיחה'!$2:$110,91,0),0)*(1-D$309)</f>
        <v>0</v>
      </c>
      <c r="E84" s="1240">
        <f>+IFERROR(HLOOKUP(E16,'סקרי נכסים-יתרות פתיחה'!$2:$110,6,0),0)-IFERROR(HLOOKUP(E16,'סקרי נכסים-יתרות פתיחה'!$2:$110,91,0),0)*(1-E$309)</f>
        <v>0</v>
      </c>
      <c r="F84" s="1240">
        <f>+IFERROR(HLOOKUP(F16,'סקרי נכסים-יתרות פתיחה'!$2:$110,6,0),0)-IFERROR(HLOOKUP(F16,'סקרי נכסים-יתרות פתיחה'!$2:$110,91,0),0)*(1-F$309)</f>
        <v>0</v>
      </c>
      <c r="G84" s="1240">
        <f>+IFERROR(HLOOKUP(G16,'סקרי נכסים-יתרות פתיחה'!$2:$110,6,0),0)-IFERROR(HLOOKUP(G16,'סקרי נכסים-יתרות פתיחה'!$2:$110,91,0),0)*(1-G$309)</f>
        <v>0</v>
      </c>
      <c r="H84" s="1240">
        <f>+IFERROR(HLOOKUP(H16,'סקרי נכסים-יתרות פתיחה'!$2:$110,6,0),0)-IFERROR(HLOOKUP(H16,'סקרי נכסים-יתרות פתיחה'!$2:$110,91,0),0)*(1-H$309)</f>
        <v>0</v>
      </c>
      <c r="I84" s="1240">
        <f>+IFERROR(HLOOKUP(I16,'סקרי נכסים-יתרות פתיחה'!$2:$110,6,0),0)-IFERROR(HLOOKUP(I16,'סקרי נכסים-יתרות פתיחה'!$2:$110,91,0),0)*(1-I$309)</f>
        <v>0</v>
      </c>
      <c r="J84" s="1240">
        <f>+IFERROR(HLOOKUP(J16,'סקרי נכסים-יתרות פתיחה'!$2:$110,6,0),0)-IFERROR(HLOOKUP(J16,'סקרי נכסים-יתרות פתיחה'!$2:$110,91,0),0)*(1-J$309)</f>
        <v>0</v>
      </c>
      <c r="K84" s="1240">
        <f>+IFERROR(HLOOKUP(K16,'סקרי נכסים-יתרות פתיחה'!$2:$110,6,0),0)-IFERROR(HLOOKUP(K16,'סקרי נכסים-יתרות פתיחה'!$2:$110,91,0),0)*(1-K$309)</f>
        <v>0</v>
      </c>
      <c r="L84" s="1240">
        <f>+IFERROR(HLOOKUP(L16,'סקרי נכסים-יתרות פתיחה'!$2:$110,6,0),0)-IFERROR(HLOOKUP(L16,'סקרי נכסים-יתרות פתיחה'!$2:$110,91,0),0)*(1-L$309)</f>
        <v>0</v>
      </c>
      <c r="M84" s="1240">
        <f>+IFERROR(HLOOKUP(M16,'סקרי נכסים-יתרות פתיחה'!$2:$110,6,0),0)-IFERROR(HLOOKUP(M16,'סקרי נכסים-יתרות פתיחה'!$2:$110,91,0),0)*(1-M$309)</f>
        <v>0</v>
      </c>
      <c r="N84" s="1240">
        <f>+IFERROR(HLOOKUP(N16,'סקרי נכסים-יתרות פתיחה'!$2:$110,6,0),0)-IFERROR(HLOOKUP(N16,'סקרי נכסים-יתרות פתיחה'!$2:$110,91,0),0)*(1-N$309)</f>
        <v>0</v>
      </c>
      <c r="O84" s="1240">
        <f>+IFERROR(HLOOKUP(O16,'סקרי נכסים-יתרות פתיחה'!$2:$110,6,0),0)-IFERROR(HLOOKUP(O16,'סקרי נכסים-יתרות פתיחה'!$2:$110,91,0),0)*(1-O$309)</f>
        <v>0</v>
      </c>
      <c r="P84" s="1240">
        <f>+IFERROR(HLOOKUP(P16,'סקרי נכסים-יתרות פתיחה'!$2:$110,6,0),0)-IFERROR(HLOOKUP(P16,'סקרי נכסים-יתרות פתיחה'!$2:$110,91,0),0)*(1-P$309)</f>
        <v>0</v>
      </c>
      <c r="Q84" s="1240">
        <f>+IFERROR(HLOOKUP(Q16,'סקרי נכסים-יתרות פתיחה'!$2:$110,6,0),0)-IFERROR(HLOOKUP(Q16,'סקרי נכסים-יתרות פתיחה'!$2:$110,91,0),0)*(1-Q$309)</f>
        <v>0</v>
      </c>
      <c r="R84" s="1240">
        <f>+IFERROR(HLOOKUP(R16,'סקרי נכסים-יתרות פתיחה'!$2:$110,6,0),0)-IFERROR(HLOOKUP(R16,'סקרי נכסים-יתרות פתיחה'!$2:$110,91,0),0)*(1-R$309)</f>
        <v>0</v>
      </c>
      <c r="S84" s="1240">
        <f>+IFERROR(HLOOKUP(S16,'סקרי נכסים-יתרות פתיחה'!$2:$110,6,0),0)-IFERROR(HLOOKUP(S16,'סקרי נכסים-יתרות פתיחה'!$2:$110,91,0),0)*(1-S$309)</f>
        <v>0</v>
      </c>
      <c r="T84" s="1240">
        <f>+IFERROR(HLOOKUP(T16,'סקרי נכסים-יתרות פתיחה'!$2:$110,6,0),0)-IFERROR(HLOOKUP(T16,'סקרי נכסים-יתרות פתיחה'!$2:$110,91,0),0)*(1-T$309)</f>
        <v>0</v>
      </c>
      <c r="U84" s="1240">
        <f>+IFERROR(HLOOKUP(U16,'סקרי נכסים-יתרות פתיחה'!$2:$110,6,0),0)-IFERROR(HLOOKUP(U16,'סקרי נכסים-יתרות פתיחה'!$2:$110,91,0),0)*(1-U$309)</f>
        <v>0</v>
      </c>
      <c r="V84" s="1240">
        <f>+IFERROR(HLOOKUP(V16,'סקרי נכסים-יתרות פתיחה'!$2:$110,6,0),0)-IFERROR(HLOOKUP(V16,'סקרי נכסים-יתרות פתיחה'!$2:$110,91,0),0)*(1-V$309)</f>
        <v>0</v>
      </c>
      <c r="W84" s="1240">
        <f>+IFERROR(HLOOKUP(W16,'סקרי נכסים-יתרות פתיחה'!$2:$110,6,0),0)-IFERROR(HLOOKUP(W16,'סקרי נכסים-יתרות פתיחה'!$2:$110,91,0),0)*(1-W$309)</f>
        <v>0</v>
      </c>
      <c r="X84" s="1240">
        <f>+IFERROR(HLOOKUP(X16,'סקרי נכסים-יתרות פתיחה'!$2:$110,6,0),0)-IFERROR(HLOOKUP(X16,'סקרי נכסים-יתרות פתיחה'!$2:$110,91,0),0)*(1-X$309)</f>
        <v>0</v>
      </c>
      <c r="Y84" s="1240">
        <f>+IFERROR(HLOOKUP(Y16,'סקרי נכסים-יתרות פתיחה'!$2:$110,6,0),0)-IFERROR(HLOOKUP(Y16,'סקרי נכסים-יתרות פתיחה'!$2:$110,91,0),0)*(1-Y$309)</f>
        <v>0</v>
      </c>
      <c r="Z84" s="1240">
        <f>+IFERROR(HLOOKUP(Z16,'סקרי נכסים-יתרות פתיחה'!$2:$110,6,0),0)-IFERROR(HLOOKUP(Z16,'סקרי נכסים-יתרות פתיחה'!$2:$110,91,0),0)*(1-Z$309)</f>
        <v>0</v>
      </c>
      <c r="AA84" s="1240">
        <f>+IFERROR(HLOOKUP(AA16,'סקרי נכסים-יתרות פתיחה'!$2:$110,6,0),0)-IFERROR(HLOOKUP(AA16,'סקרי נכסים-יתרות פתיחה'!$2:$110,91,0),0)*(1-AA$309)</f>
        <v>0</v>
      </c>
      <c r="AB84" s="1240">
        <f>+IFERROR(HLOOKUP(AB16,'סקרי נכסים-יתרות פתיחה'!$2:$110,6,0),0)-IFERROR(HLOOKUP(AB16,'סקרי נכסים-יתרות פתיחה'!$2:$110,91,0),0)*(1-AB$309)</f>
        <v>0</v>
      </c>
      <c r="AC84" s="1240">
        <f>+IFERROR(HLOOKUP(AC16,'סקרי נכסים-יתרות פתיחה'!$2:$110,6,0),0)-IFERROR(HLOOKUP(AC16,'סקרי נכסים-יתרות פתיחה'!$2:$110,91,0),0)*(1-AC$309)</f>
        <v>0</v>
      </c>
      <c r="AD84" s="1240">
        <f>+IFERROR(HLOOKUP(AD16,'סקרי נכסים-יתרות פתיחה'!$2:$110,6,0),0)-IFERROR(HLOOKUP(AD16,'סקרי נכסים-יתרות פתיחה'!$2:$110,91,0),0)*(1-AD$309)</f>
        <v>0</v>
      </c>
      <c r="AE84" s="1240">
        <f>+IFERROR(HLOOKUP(AE16,'סקרי נכסים-יתרות פתיחה'!$2:$110,6,0),0)-IFERROR(HLOOKUP(AE16,'סקרי נכסים-יתרות פתיחה'!$2:$110,91,0),0)*(1-AE$309)</f>
        <v>0</v>
      </c>
      <c r="AF84" s="1240">
        <f>+IFERROR(HLOOKUP(AF16,'סקרי נכסים-יתרות פתיחה'!$2:$110,6,0),0)-IFERROR(HLOOKUP(AF16,'סקרי נכסים-יתרות פתיחה'!$2:$110,91,0),0)*(1-AF$309)</f>
        <v>0</v>
      </c>
      <c r="AG84" s="1240">
        <f>+IFERROR(HLOOKUP(AG16,'סקרי נכסים-יתרות פתיחה'!$2:$110,6,0),0)-IFERROR(HLOOKUP(AG16,'סקרי נכסים-יתרות פתיחה'!$2:$110,91,0),0)*(1-AG$309)</f>
        <v>0</v>
      </c>
      <c r="AH84" s="1240">
        <f>+IFERROR(HLOOKUP(AH16,'סקרי נכסים-יתרות פתיחה'!$2:$110,6,0),0)-IFERROR(HLOOKUP(AH16,'סקרי נכסים-יתרות פתיחה'!$2:$110,91,0),0)*(1-AH$309)</f>
        <v>0</v>
      </c>
      <c r="AI84" s="1240">
        <f>+IFERROR(HLOOKUP(AI16,'סקרי נכסים-יתרות פתיחה'!$2:$110,6,0),0)-IFERROR(HLOOKUP(AI16,'סקרי נכסים-יתרות פתיחה'!$2:$110,91,0),0)*(1-AI$309)</f>
        <v>0</v>
      </c>
      <c r="AJ84" s="1240">
        <f>+IFERROR(HLOOKUP(AJ16,'סקרי נכסים-יתרות פתיחה'!$2:$110,6,0),0)-IFERROR(HLOOKUP(AJ16,'סקרי נכסים-יתרות פתיחה'!$2:$110,91,0),0)*(1-AJ$309)</f>
        <v>0</v>
      </c>
      <c r="AK84" s="1240">
        <f>+IFERROR(HLOOKUP(AK16,'סקרי נכסים-יתרות פתיחה'!$2:$110,6,0),0)-IFERROR(HLOOKUP(AK16,'סקרי נכסים-יתרות פתיחה'!$2:$110,91,0),0)*(1-AK$309)</f>
        <v>0</v>
      </c>
      <c r="AL84" s="1240">
        <f>+IFERROR(HLOOKUP(AL16,'סקרי נכסים-יתרות פתיחה'!$2:$110,6,0),0)-IFERROR(HLOOKUP(AL16,'סקרי נכסים-יתרות פתיחה'!$2:$110,91,0),0)*(1-AL$309)</f>
        <v>0</v>
      </c>
      <c r="AM84" s="1240">
        <f>+IFERROR(HLOOKUP(AM16,'סקרי נכסים-יתרות פתיחה'!$2:$110,6,0),0)-IFERROR(HLOOKUP(AM16,'סקרי נכסים-יתרות פתיחה'!$2:$110,91,0),0)*(1-AM$309)</f>
        <v>0</v>
      </c>
      <c r="AN84" s="1240">
        <f>+IFERROR(HLOOKUP(AN16,'סקרי נכסים-יתרות פתיחה'!$2:$110,6,0),0)-IFERROR(HLOOKUP(AN16,'סקרי נכסים-יתרות פתיחה'!$2:$110,91,0),0)*(1-AN$309)</f>
        <v>0</v>
      </c>
      <c r="AO84" s="1240">
        <f>+IFERROR(HLOOKUP(AO16,'סקרי נכסים-יתרות פתיחה'!$2:$110,6,0),0)-IFERROR(HLOOKUP(AO16,'סקרי נכסים-יתרות פתיחה'!$2:$110,91,0),0)*(1-AO$309)</f>
        <v>0</v>
      </c>
      <c r="AP84" s="1240">
        <f>+IFERROR(HLOOKUP(AP16,'סקרי נכסים-יתרות פתיחה'!$2:$110,6,0),0)-IFERROR(HLOOKUP(AP16,'סקרי נכסים-יתרות פתיחה'!$2:$110,91,0),0)*(1-AP$309)</f>
        <v>0</v>
      </c>
      <c r="AQ84" s="1240">
        <f>+IFERROR(HLOOKUP(AQ16,'סקרי נכסים-יתרות פתיחה'!$2:$110,6,0),0)-IFERROR(HLOOKUP(AQ16,'סקרי נכסים-יתרות פתיחה'!$2:$110,91,0),0)*(1-AQ$309)</f>
        <v>0</v>
      </c>
      <c r="AR84" s="1240">
        <f>+IFERROR(HLOOKUP(AR16,'סקרי נכסים-יתרות פתיחה'!$2:$110,6,0),0)-IFERROR(HLOOKUP(AR16,'סקרי נכסים-יתרות פתיחה'!$2:$110,91,0),0)*(1-AR$309)</f>
        <v>0</v>
      </c>
      <c r="AS84" s="1240">
        <f>+IFERROR(HLOOKUP(AS16,'סקרי נכסים-יתרות פתיחה'!$2:$110,6,0),0)-IFERROR(HLOOKUP(AS16,'סקרי נכסים-יתרות פתיחה'!$2:$110,91,0),0)*(1-AS$309)</f>
        <v>0</v>
      </c>
      <c r="AT84" s="1240">
        <f>+IFERROR(HLOOKUP(AT16,'סקרי נכסים-יתרות פתיחה'!$2:$110,6,0),0)-IFERROR(HLOOKUP(AT16,'סקרי נכסים-יתרות פתיחה'!$2:$110,91,0),0)*(1-AT$309)</f>
        <v>0</v>
      </c>
      <c r="AU84" s="1240">
        <f>+IFERROR(HLOOKUP(AU16,'סקרי נכסים-יתרות פתיחה'!$2:$110,6,0),0)-IFERROR(HLOOKUP(AU16,'סקרי נכסים-יתרות פתיחה'!$2:$110,91,0),0)*(1-AU$309)</f>
        <v>0</v>
      </c>
      <c r="AV84" s="1240">
        <f>+IFERROR(HLOOKUP(AV16,'סקרי נכסים-יתרות פתיחה'!$2:$110,6,0),0)-IFERROR(HLOOKUP(AV16,'סקרי נכסים-יתרות פתיחה'!$2:$110,91,0),0)*(1-AV$309)</f>
        <v>0</v>
      </c>
      <c r="AW84" s="1240">
        <f>+IFERROR(HLOOKUP(AW16,'סקרי נכסים-יתרות פתיחה'!$2:$110,6,0),0)-IFERROR(HLOOKUP(AW16,'סקרי נכסים-יתרות פתיחה'!$2:$110,91,0),0)*(1-AW$309)</f>
        <v>0</v>
      </c>
      <c r="AX84" s="1240">
        <f>+IFERROR(HLOOKUP(AX16,'סקרי נכסים-יתרות פתיחה'!$2:$110,6,0),0)-IFERROR(HLOOKUP(AX16,'סקרי נכסים-יתרות פתיחה'!$2:$110,91,0),0)*(1-AX$309)</f>
        <v>0</v>
      </c>
      <c r="AY84" s="1240">
        <f>+IFERROR(HLOOKUP(AY16,'סקרי נכסים-יתרות פתיחה'!$2:$110,6,0),0)-IFERROR(HLOOKUP(AY16,'סקרי נכסים-יתרות פתיחה'!$2:$110,91,0),0)*(1-AY$309)</f>
        <v>0</v>
      </c>
      <c r="AZ84" s="1240">
        <f>+IFERROR(HLOOKUP(AZ16,'סקרי נכסים-יתרות פתיחה'!$2:$110,6,0),0)-IFERROR(HLOOKUP(AZ16,'סקרי נכסים-יתרות פתיחה'!$2:$110,91,0),0)*(1-AZ$309)</f>
        <v>0</v>
      </c>
      <c r="BA84" s="1240">
        <f>+IFERROR(HLOOKUP(BA16,'סקרי נכסים-יתרות פתיחה'!$2:$110,6,0),0)-IFERROR(HLOOKUP(BA16,'סקרי נכסים-יתרות פתיחה'!$2:$110,91,0),0)*(1-BA$309)</f>
        <v>0</v>
      </c>
      <c r="BB84" s="1240">
        <f>+IFERROR(HLOOKUP(BB16,'סקרי נכסים-יתרות פתיחה'!$2:$110,6,0),0)-IFERROR(HLOOKUP(BB16,'סקרי נכסים-יתרות פתיחה'!$2:$110,91,0),0)*(1-BB$309)</f>
        <v>0</v>
      </c>
      <c r="BC84" s="1240">
        <f>+IFERROR(HLOOKUP(BC16,'סקרי נכסים-יתרות פתיחה'!$2:$110,6,0),0)-IFERROR(HLOOKUP(BC16,'סקרי נכסים-יתרות פתיחה'!$2:$110,91,0),0)*(1-BC$309)</f>
        <v>0</v>
      </c>
      <c r="BD84" s="1240">
        <f>+IFERROR(HLOOKUP(BD16,'סקרי נכסים-יתרות פתיחה'!$2:$110,6,0),0)-IFERROR(HLOOKUP(BD16,'סקרי נכסים-יתרות פתיחה'!$2:$110,91,0),0)*(1-BD$309)</f>
        <v>0</v>
      </c>
      <c r="BE84" s="1240">
        <f>+IFERROR(HLOOKUP(BE16,'סקרי נכסים-יתרות פתיחה'!$2:$110,6,0),0)-IFERROR(HLOOKUP(BE16,'סקרי נכסים-יתרות פתיחה'!$2:$110,91,0),0)*(1-BE$309)</f>
        <v>0</v>
      </c>
      <c r="BF84" s="1240">
        <f>+IFERROR(HLOOKUP(BF16,'סקרי נכסים-יתרות פתיחה'!$2:$110,6,0),0)-IFERROR(HLOOKUP(BF16,'סקרי נכסים-יתרות פתיחה'!$2:$110,91,0),0)*(1-BF$309)</f>
        <v>0</v>
      </c>
    </row>
    <row r="85" spans="2:58" x14ac:dyDescent="0.2">
      <c r="B85" s="1">
        <v>14</v>
      </c>
      <c r="C85" s="1240">
        <f>+IFERROR(HLOOKUP(C17,'סקרי נכסים-יתרות פתיחה'!$2:$110,6,0),0)-IFERROR(HLOOKUP(C17,'סקרי נכסים-יתרות פתיחה'!$2:$110,91,0),0)*(1-C$309)</f>
        <v>0</v>
      </c>
      <c r="D85" s="1240">
        <f>+IFERROR(HLOOKUP(D17,'סקרי נכסים-יתרות פתיחה'!$2:$110,6,0),0)-IFERROR(HLOOKUP(D17,'סקרי נכסים-יתרות פתיחה'!$2:$110,91,0),0)*(1-D$309)</f>
        <v>0</v>
      </c>
      <c r="E85" s="1240">
        <f>+IFERROR(HLOOKUP(E17,'סקרי נכסים-יתרות פתיחה'!$2:$110,6,0),0)-IFERROR(HLOOKUP(E17,'סקרי נכסים-יתרות פתיחה'!$2:$110,91,0),0)*(1-E$309)</f>
        <v>0</v>
      </c>
      <c r="F85" s="1240">
        <f>+IFERROR(HLOOKUP(F17,'סקרי נכסים-יתרות פתיחה'!$2:$110,6,0),0)-IFERROR(HLOOKUP(F17,'סקרי נכסים-יתרות פתיחה'!$2:$110,91,0),0)*(1-F$309)</f>
        <v>0</v>
      </c>
      <c r="G85" s="1240">
        <f>+IFERROR(HLOOKUP(G17,'סקרי נכסים-יתרות פתיחה'!$2:$110,6,0),0)-IFERROR(HLOOKUP(G17,'סקרי נכסים-יתרות פתיחה'!$2:$110,91,0),0)*(1-G$309)</f>
        <v>0</v>
      </c>
      <c r="H85" s="1240">
        <f>+IFERROR(HLOOKUP(H17,'סקרי נכסים-יתרות פתיחה'!$2:$110,6,0),0)-IFERROR(HLOOKUP(H17,'סקרי נכסים-יתרות פתיחה'!$2:$110,91,0),0)*(1-H$309)</f>
        <v>0</v>
      </c>
      <c r="I85" s="1240">
        <f>+IFERROR(HLOOKUP(I17,'סקרי נכסים-יתרות פתיחה'!$2:$110,6,0),0)-IFERROR(HLOOKUP(I17,'סקרי נכסים-יתרות פתיחה'!$2:$110,91,0),0)*(1-I$309)</f>
        <v>0</v>
      </c>
      <c r="J85" s="1240">
        <f>+IFERROR(HLOOKUP(J17,'סקרי נכסים-יתרות פתיחה'!$2:$110,6,0),0)-IFERROR(HLOOKUP(J17,'סקרי נכסים-יתרות פתיחה'!$2:$110,91,0),0)*(1-J$309)</f>
        <v>0</v>
      </c>
      <c r="K85" s="1240">
        <f>+IFERROR(HLOOKUP(K17,'סקרי נכסים-יתרות פתיחה'!$2:$110,6,0),0)-IFERROR(HLOOKUP(K17,'סקרי נכסים-יתרות פתיחה'!$2:$110,91,0),0)*(1-K$309)</f>
        <v>0</v>
      </c>
      <c r="L85" s="1240">
        <f>+IFERROR(HLOOKUP(L17,'סקרי נכסים-יתרות פתיחה'!$2:$110,6,0),0)-IFERROR(HLOOKUP(L17,'סקרי נכסים-יתרות פתיחה'!$2:$110,91,0),0)*(1-L$309)</f>
        <v>0</v>
      </c>
      <c r="M85" s="1240">
        <f>+IFERROR(HLOOKUP(M17,'סקרי נכסים-יתרות פתיחה'!$2:$110,6,0),0)-IFERROR(HLOOKUP(M17,'סקרי נכסים-יתרות פתיחה'!$2:$110,91,0),0)*(1-M$309)</f>
        <v>0</v>
      </c>
      <c r="N85" s="1240">
        <f>+IFERROR(HLOOKUP(N17,'סקרי נכסים-יתרות פתיחה'!$2:$110,6,0),0)-IFERROR(HLOOKUP(N17,'סקרי נכסים-יתרות פתיחה'!$2:$110,91,0),0)*(1-N$309)</f>
        <v>0</v>
      </c>
      <c r="O85" s="1240">
        <f>+IFERROR(HLOOKUP(O17,'סקרי נכסים-יתרות פתיחה'!$2:$110,6,0),0)-IFERROR(HLOOKUP(O17,'סקרי נכסים-יתרות פתיחה'!$2:$110,91,0),0)*(1-O$309)</f>
        <v>0</v>
      </c>
      <c r="P85" s="1240">
        <f>+IFERROR(HLOOKUP(P17,'סקרי נכסים-יתרות פתיחה'!$2:$110,6,0),0)-IFERROR(HLOOKUP(P17,'סקרי נכסים-יתרות פתיחה'!$2:$110,91,0),0)*(1-P$309)</f>
        <v>0</v>
      </c>
      <c r="Q85" s="1240">
        <f>+IFERROR(HLOOKUP(Q17,'סקרי נכסים-יתרות פתיחה'!$2:$110,6,0),0)-IFERROR(HLOOKUP(Q17,'סקרי נכסים-יתרות פתיחה'!$2:$110,91,0),0)*(1-Q$309)</f>
        <v>0</v>
      </c>
      <c r="R85" s="1240">
        <f>+IFERROR(HLOOKUP(R17,'סקרי נכסים-יתרות פתיחה'!$2:$110,6,0),0)-IFERROR(HLOOKUP(R17,'סקרי נכסים-יתרות פתיחה'!$2:$110,91,0),0)*(1-R$309)</f>
        <v>0</v>
      </c>
      <c r="S85" s="1240">
        <f>+IFERROR(HLOOKUP(S17,'סקרי נכסים-יתרות פתיחה'!$2:$110,6,0),0)-IFERROR(HLOOKUP(S17,'סקרי נכסים-יתרות פתיחה'!$2:$110,91,0),0)*(1-S$309)</f>
        <v>0</v>
      </c>
      <c r="T85" s="1240">
        <f>+IFERROR(HLOOKUP(T17,'סקרי נכסים-יתרות פתיחה'!$2:$110,6,0),0)-IFERROR(HLOOKUP(T17,'סקרי נכסים-יתרות פתיחה'!$2:$110,91,0),0)*(1-T$309)</f>
        <v>0</v>
      </c>
      <c r="U85" s="1240">
        <f>+IFERROR(HLOOKUP(U17,'סקרי נכסים-יתרות פתיחה'!$2:$110,6,0),0)-IFERROR(HLOOKUP(U17,'סקרי נכסים-יתרות פתיחה'!$2:$110,91,0),0)*(1-U$309)</f>
        <v>0</v>
      </c>
      <c r="V85" s="1240">
        <f>+IFERROR(HLOOKUP(V17,'סקרי נכסים-יתרות פתיחה'!$2:$110,6,0),0)-IFERROR(HLOOKUP(V17,'סקרי נכסים-יתרות פתיחה'!$2:$110,91,0),0)*(1-V$309)</f>
        <v>0</v>
      </c>
      <c r="W85" s="1240">
        <f>+IFERROR(HLOOKUP(W17,'סקרי נכסים-יתרות פתיחה'!$2:$110,6,0),0)-IFERROR(HLOOKUP(W17,'סקרי נכסים-יתרות פתיחה'!$2:$110,91,0),0)*(1-W$309)</f>
        <v>0</v>
      </c>
      <c r="X85" s="1240">
        <f>+IFERROR(HLOOKUP(X17,'סקרי נכסים-יתרות פתיחה'!$2:$110,6,0),0)-IFERROR(HLOOKUP(X17,'סקרי נכסים-יתרות פתיחה'!$2:$110,91,0),0)*(1-X$309)</f>
        <v>0</v>
      </c>
      <c r="Y85" s="1240">
        <f>+IFERROR(HLOOKUP(Y17,'סקרי נכסים-יתרות פתיחה'!$2:$110,6,0),0)-IFERROR(HLOOKUP(Y17,'סקרי נכסים-יתרות פתיחה'!$2:$110,91,0),0)*(1-Y$309)</f>
        <v>0</v>
      </c>
      <c r="Z85" s="1240">
        <f>+IFERROR(HLOOKUP(Z17,'סקרי נכסים-יתרות פתיחה'!$2:$110,6,0),0)-IFERROR(HLOOKUP(Z17,'סקרי נכסים-יתרות פתיחה'!$2:$110,91,0),0)*(1-Z$309)</f>
        <v>0</v>
      </c>
      <c r="AA85" s="1240">
        <f>+IFERROR(HLOOKUP(AA17,'סקרי נכסים-יתרות פתיחה'!$2:$110,6,0),0)-IFERROR(HLOOKUP(AA17,'סקרי נכסים-יתרות פתיחה'!$2:$110,91,0),0)*(1-AA$309)</f>
        <v>0</v>
      </c>
      <c r="AB85" s="1240">
        <f>+IFERROR(HLOOKUP(AB17,'סקרי נכסים-יתרות פתיחה'!$2:$110,6,0),0)-IFERROR(HLOOKUP(AB17,'סקרי נכסים-יתרות פתיחה'!$2:$110,91,0),0)*(1-AB$309)</f>
        <v>0</v>
      </c>
      <c r="AC85" s="1240">
        <f>+IFERROR(HLOOKUP(AC17,'סקרי נכסים-יתרות פתיחה'!$2:$110,6,0),0)-IFERROR(HLOOKUP(AC17,'סקרי נכסים-יתרות פתיחה'!$2:$110,91,0),0)*(1-AC$309)</f>
        <v>0</v>
      </c>
      <c r="AD85" s="1240">
        <f>+IFERROR(HLOOKUP(AD17,'סקרי נכסים-יתרות פתיחה'!$2:$110,6,0),0)-IFERROR(HLOOKUP(AD17,'סקרי נכסים-יתרות פתיחה'!$2:$110,91,0),0)*(1-AD$309)</f>
        <v>0</v>
      </c>
      <c r="AE85" s="1240">
        <f>+IFERROR(HLOOKUP(AE17,'סקרי נכסים-יתרות פתיחה'!$2:$110,6,0),0)-IFERROR(HLOOKUP(AE17,'סקרי נכסים-יתרות פתיחה'!$2:$110,91,0),0)*(1-AE$309)</f>
        <v>0</v>
      </c>
      <c r="AF85" s="1240">
        <f>+IFERROR(HLOOKUP(AF17,'סקרי נכסים-יתרות פתיחה'!$2:$110,6,0),0)-IFERROR(HLOOKUP(AF17,'סקרי נכסים-יתרות פתיחה'!$2:$110,91,0),0)*(1-AF$309)</f>
        <v>0</v>
      </c>
      <c r="AG85" s="1240">
        <f>+IFERROR(HLOOKUP(AG17,'סקרי נכסים-יתרות פתיחה'!$2:$110,6,0),0)-IFERROR(HLOOKUP(AG17,'סקרי נכסים-יתרות פתיחה'!$2:$110,91,0),0)*(1-AG$309)</f>
        <v>0</v>
      </c>
      <c r="AH85" s="1240">
        <f>+IFERROR(HLOOKUP(AH17,'סקרי נכסים-יתרות פתיחה'!$2:$110,6,0),0)-IFERROR(HLOOKUP(AH17,'סקרי נכסים-יתרות פתיחה'!$2:$110,91,0),0)*(1-AH$309)</f>
        <v>0</v>
      </c>
      <c r="AI85" s="1240">
        <f>+IFERROR(HLOOKUP(AI17,'סקרי נכסים-יתרות פתיחה'!$2:$110,6,0),0)-IFERROR(HLOOKUP(AI17,'סקרי נכסים-יתרות פתיחה'!$2:$110,91,0),0)*(1-AI$309)</f>
        <v>0</v>
      </c>
      <c r="AJ85" s="1240">
        <f>+IFERROR(HLOOKUP(AJ17,'סקרי נכסים-יתרות פתיחה'!$2:$110,6,0),0)-IFERROR(HLOOKUP(AJ17,'סקרי נכסים-יתרות פתיחה'!$2:$110,91,0),0)*(1-AJ$309)</f>
        <v>0</v>
      </c>
      <c r="AK85" s="1240">
        <f>+IFERROR(HLOOKUP(AK17,'סקרי נכסים-יתרות פתיחה'!$2:$110,6,0),0)-IFERROR(HLOOKUP(AK17,'סקרי נכסים-יתרות פתיחה'!$2:$110,91,0),0)*(1-AK$309)</f>
        <v>0</v>
      </c>
      <c r="AL85" s="1240">
        <f>+IFERROR(HLOOKUP(AL17,'סקרי נכסים-יתרות פתיחה'!$2:$110,6,0),0)-IFERROR(HLOOKUP(AL17,'סקרי נכסים-יתרות פתיחה'!$2:$110,91,0),0)*(1-AL$309)</f>
        <v>0</v>
      </c>
      <c r="AM85" s="1240">
        <f>+IFERROR(HLOOKUP(AM17,'סקרי נכסים-יתרות פתיחה'!$2:$110,6,0),0)-IFERROR(HLOOKUP(AM17,'סקרי נכסים-יתרות פתיחה'!$2:$110,91,0),0)*(1-AM$309)</f>
        <v>0</v>
      </c>
      <c r="AN85" s="1240">
        <f>+IFERROR(HLOOKUP(AN17,'סקרי נכסים-יתרות פתיחה'!$2:$110,6,0),0)-IFERROR(HLOOKUP(AN17,'סקרי נכסים-יתרות פתיחה'!$2:$110,91,0),0)*(1-AN$309)</f>
        <v>0</v>
      </c>
      <c r="AO85" s="1240">
        <f>+IFERROR(HLOOKUP(AO17,'סקרי נכסים-יתרות פתיחה'!$2:$110,6,0),0)-IFERROR(HLOOKUP(AO17,'סקרי נכסים-יתרות פתיחה'!$2:$110,91,0),0)*(1-AO$309)</f>
        <v>0</v>
      </c>
      <c r="AP85" s="1240">
        <f>+IFERROR(HLOOKUP(AP17,'סקרי נכסים-יתרות פתיחה'!$2:$110,6,0),0)-IFERROR(HLOOKUP(AP17,'סקרי נכסים-יתרות פתיחה'!$2:$110,91,0),0)*(1-AP$309)</f>
        <v>0</v>
      </c>
      <c r="AQ85" s="1240">
        <f>+IFERROR(HLOOKUP(AQ17,'סקרי נכסים-יתרות פתיחה'!$2:$110,6,0),0)-IFERROR(HLOOKUP(AQ17,'סקרי נכסים-יתרות פתיחה'!$2:$110,91,0),0)*(1-AQ$309)</f>
        <v>0</v>
      </c>
      <c r="AR85" s="1240">
        <f>+IFERROR(HLOOKUP(AR17,'סקרי נכסים-יתרות פתיחה'!$2:$110,6,0),0)-IFERROR(HLOOKUP(AR17,'סקרי נכסים-יתרות פתיחה'!$2:$110,91,0),0)*(1-AR$309)</f>
        <v>0</v>
      </c>
      <c r="AS85" s="1240">
        <f>+IFERROR(HLOOKUP(AS17,'סקרי נכסים-יתרות פתיחה'!$2:$110,6,0),0)-IFERROR(HLOOKUP(AS17,'סקרי נכסים-יתרות פתיחה'!$2:$110,91,0),0)*(1-AS$309)</f>
        <v>0</v>
      </c>
      <c r="AT85" s="1240">
        <f>+IFERROR(HLOOKUP(AT17,'סקרי נכסים-יתרות פתיחה'!$2:$110,6,0),0)-IFERROR(HLOOKUP(AT17,'סקרי נכסים-יתרות פתיחה'!$2:$110,91,0),0)*(1-AT$309)</f>
        <v>0</v>
      </c>
      <c r="AU85" s="1240">
        <f>+IFERROR(HLOOKUP(AU17,'סקרי נכסים-יתרות פתיחה'!$2:$110,6,0),0)-IFERROR(HLOOKUP(AU17,'סקרי נכסים-יתרות פתיחה'!$2:$110,91,0),0)*(1-AU$309)</f>
        <v>0</v>
      </c>
      <c r="AV85" s="1240">
        <f>+IFERROR(HLOOKUP(AV17,'סקרי נכסים-יתרות פתיחה'!$2:$110,6,0),0)-IFERROR(HLOOKUP(AV17,'סקרי נכסים-יתרות פתיחה'!$2:$110,91,0),0)*(1-AV$309)</f>
        <v>0</v>
      </c>
      <c r="AW85" s="1240">
        <f>+IFERROR(HLOOKUP(AW17,'סקרי נכסים-יתרות פתיחה'!$2:$110,6,0),0)-IFERROR(HLOOKUP(AW17,'סקרי נכסים-יתרות פתיחה'!$2:$110,91,0),0)*(1-AW$309)</f>
        <v>0</v>
      </c>
      <c r="AX85" s="1240">
        <f>+IFERROR(HLOOKUP(AX17,'סקרי נכסים-יתרות פתיחה'!$2:$110,6,0),0)-IFERROR(HLOOKUP(AX17,'סקרי נכסים-יתרות פתיחה'!$2:$110,91,0),0)*(1-AX$309)</f>
        <v>0</v>
      </c>
      <c r="AY85" s="1240">
        <f>+IFERROR(HLOOKUP(AY17,'סקרי נכסים-יתרות פתיחה'!$2:$110,6,0),0)-IFERROR(HLOOKUP(AY17,'סקרי נכסים-יתרות פתיחה'!$2:$110,91,0),0)*(1-AY$309)</f>
        <v>0</v>
      </c>
      <c r="AZ85" s="1240">
        <f>+IFERROR(HLOOKUP(AZ17,'סקרי נכסים-יתרות פתיחה'!$2:$110,6,0),0)-IFERROR(HLOOKUP(AZ17,'סקרי נכסים-יתרות פתיחה'!$2:$110,91,0),0)*(1-AZ$309)</f>
        <v>0</v>
      </c>
      <c r="BA85" s="1240">
        <f>+IFERROR(HLOOKUP(BA17,'סקרי נכסים-יתרות פתיחה'!$2:$110,6,0),0)-IFERROR(HLOOKUP(BA17,'סקרי נכסים-יתרות פתיחה'!$2:$110,91,0),0)*(1-BA$309)</f>
        <v>0</v>
      </c>
      <c r="BB85" s="1240">
        <f>+IFERROR(HLOOKUP(BB17,'סקרי נכסים-יתרות פתיחה'!$2:$110,6,0),0)-IFERROR(HLOOKUP(BB17,'סקרי נכסים-יתרות פתיחה'!$2:$110,91,0),0)*(1-BB$309)</f>
        <v>0</v>
      </c>
      <c r="BC85" s="1240">
        <f>+IFERROR(HLOOKUP(BC17,'סקרי נכסים-יתרות פתיחה'!$2:$110,6,0),0)-IFERROR(HLOOKUP(BC17,'סקרי נכסים-יתרות פתיחה'!$2:$110,91,0),0)*(1-BC$309)</f>
        <v>0</v>
      </c>
      <c r="BD85" s="1240">
        <f>+IFERROR(HLOOKUP(BD17,'סקרי נכסים-יתרות פתיחה'!$2:$110,6,0),0)-IFERROR(HLOOKUP(BD17,'סקרי נכסים-יתרות פתיחה'!$2:$110,91,0),0)*(1-BD$309)</f>
        <v>0</v>
      </c>
      <c r="BE85" s="1240">
        <f>+IFERROR(HLOOKUP(BE17,'סקרי נכסים-יתרות פתיחה'!$2:$110,6,0),0)-IFERROR(HLOOKUP(BE17,'סקרי נכסים-יתרות פתיחה'!$2:$110,91,0),0)*(1-BE$309)</f>
        <v>0</v>
      </c>
      <c r="BF85" s="1240">
        <f>+IFERROR(HLOOKUP(BF17,'סקרי נכסים-יתרות פתיחה'!$2:$110,6,0),0)-IFERROR(HLOOKUP(BF17,'סקרי נכסים-יתרות פתיחה'!$2:$110,91,0),0)*(1-BF$309)</f>
        <v>0</v>
      </c>
    </row>
    <row r="86" spans="2:58" x14ac:dyDescent="0.2">
      <c r="B86" s="1">
        <v>15</v>
      </c>
      <c r="C86" s="1240">
        <f>+IFERROR(HLOOKUP(C18,'סקרי נכסים-יתרות פתיחה'!$2:$110,6,0),0)-IFERROR(HLOOKUP(C18,'סקרי נכסים-יתרות פתיחה'!$2:$110,91,0),0)*(1-C$309)</f>
        <v>0</v>
      </c>
      <c r="D86" s="1240">
        <f>+IFERROR(HLOOKUP(D18,'סקרי נכסים-יתרות פתיחה'!$2:$110,6,0),0)-IFERROR(HLOOKUP(D18,'סקרי נכסים-יתרות פתיחה'!$2:$110,91,0),0)*(1-D$309)</f>
        <v>0</v>
      </c>
      <c r="E86" s="1240">
        <f>+IFERROR(HLOOKUP(E18,'סקרי נכסים-יתרות פתיחה'!$2:$110,6,0),0)-IFERROR(HLOOKUP(E18,'סקרי נכסים-יתרות פתיחה'!$2:$110,91,0),0)*(1-E$309)</f>
        <v>0</v>
      </c>
      <c r="F86" s="1240">
        <f>+IFERROR(HLOOKUP(F18,'סקרי נכסים-יתרות פתיחה'!$2:$110,6,0),0)-IFERROR(HLOOKUP(F18,'סקרי נכסים-יתרות פתיחה'!$2:$110,91,0),0)*(1-F$309)</f>
        <v>0</v>
      </c>
      <c r="G86" s="1240">
        <f>+IFERROR(HLOOKUP(G18,'סקרי נכסים-יתרות פתיחה'!$2:$110,6,0),0)-IFERROR(HLOOKUP(G18,'סקרי נכסים-יתרות פתיחה'!$2:$110,91,0),0)*(1-G$309)</f>
        <v>0</v>
      </c>
      <c r="H86" s="1240">
        <f>+IFERROR(HLOOKUP(H18,'סקרי נכסים-יתרות פתיחה'!$2:$110,6,0),0)-IFERROR(HLOOKUP(H18,'סקרי נכסים-יתרות פתיחה'!$2:$110,91,0),0)*(1-H$309)</f>
        <v>0</v>
      </c>
      <c r="I86" s="1240">
        <f>+IFERROR(HLOOKUP(I18,'סקרי נכסים-יתרות פתיחה'!$2:$110,6,0),0)-IFERROR(HLOOKUP(I18,'סקרי נכסים-יתרות פתיחה'!$2:$110,91,0),0)*(1-I$309)</f>
        <v>0</v>
      </c>
      <c r="J86" s="1240">
        <f>+IFERROR(HLOOKUP(J18,'סקרי נכסים-יתרות פתיחה'!$2:$110,6,0),0)-IFERROR(HLOOKUP(J18,'סקרי נכסים-יתרות פתיחה'!$2:$110,91,0),0)*(1-J$309)</f>
        <v>0</v>
      </c>
      <c r="K86" s="1240">
        <f>+IFERROR(HLOOKUP(K18,'סקרי נכסים-יתרות פתיחה'!$2:$110,6,0),0)-IFERROR(HLOOKUP(K18,'סקרי נכסים-יתרות פתיחה'!$2:$110,91,0),0)*(1-K$309)</f>
        <v>0</v>
      </c>
      <c r="L86" s="1240">
        <f>+IFERROR(HLOOKUP(L18,'סקרי נכסים-יתרות פתיחה'!$2:$110,6,0),0)-IFERROR(HLOOKUP(L18,'סקרי נכסים-יתרות פתיחה'!$2:$110,91,0),0)*(1-L$309)</f>
        <v>0</v>
      </c>
      <c r="M86" s="1240">
        <f>+IFERROR(HLOOKUP(M18,'סקרי נכסים-יתרות פתיחה'!$2:$110,6,0),0)-IFERROR(HLOOKUP(M18,'סקרי נכסים-יתרות פתיחה'!$2:$110,91,0),0)*(1-M$309)</f>
        <v>0</v>
      </c>
      <c r="N86" s="1240">
        <f>+IFERROR(HLOOKUP(N18,'סקרי נכסים-יתרות פתיחה'!$2:$110,6,0),0)-IFERROR(HLOOKUP(N18,'סקרי נכסים-יתרות פתיחה'!$2:$110,91,0),0)*(1-N$309)</f>
        <v>0</v>
      </c>
      <c r="O86" s="1240">
        <f>+IFERROR(HLOOKUP(O18,'סקרי נכסים-יתרות פתיחה'!$2:$110,6,0),0)-IFERROR(HLOOKUP(O18,'סקרי נכסים-יתרות פתיחה'!$2:$110,91,0),0)*(1-O$309)</f>
        <v>0</v>
      </c>
      <c r="P86" s="1240">
        <f>+IFERROR(HLOOKUP(P18,'סקרי נכסים-יתרות פתיחה'!$2:$110,6,0),0)-IFERROR(HLOOKUP(P18,'סקרי נכסים-יתרות פתיחה'!$2:$110,91,0),0)*(1-P$309)</f>
        <v>0</v>
      </c>
      <c r="Q86" s="1240">
        <f>+IFERROR(HLOOKUP(Q18,'סקרי נכסים-יתרות פתיחה'!$2:$110,6,0),0)-IFERROR(HLOOKUP(Q18,'סקרי נכסים-יתרות פתיחה'!$2:$110,91,0),0)*(1-Q$309)</f>
        <v>0</v>
      </c>
      <c r="R86" s="1240">
        <f>+IFERROR(HLOOKUP(R18,'סקרי נכסים-יתרות פתיחה'!$2:$110,6,0),0)-IFERROR(HLOOKUP(R18,'סקרי נכסים-יתרות פתיחה'!$2:$110,91,0),0)*(1-R$309)</f>
        <v>0</v>
      </c>
      <c r="S86" s="1240">
        <f>+IFERROR(HLOOKUP(S18,'סקרי נכסים-יתרות פתיחה'!$2:$110,6,0),0)-IFERROR(HLOOKUP(S18,'סקרי נכסים-יתרות פתיחה'!$2:$110,91,0),0)*(1-S$309)</f>
        <v>0</v>
      </c>
      <c r="T86" s="1240">
        <f>+IFERROR(HLOOKUP(T18,'סקרי נכסים-יתרות פתיחה'!$2:$110,6,0),0)-IFERROR(HLOOKUP(T18,'סקרי נכסים-יתרות פתיחה'!$2:$110,91,0),0)*(1-T$309)</f>
        <v>0</v>
      </c>
      <c r="U86" s="1240">
        <f>+IFERROR(HLOOKUP(U18,'סקרי נכסים-יתרות פתיחה'!$2:$110,6,0),0)-IFERROR(HLOOKUP(U18,'סקרי נכסים-יתרות פתיחה'!$2:$110,91,0),0)*(1-U$309)</f>
        <v>0</v>
      </c>
      <c r="V86" s="1240">
        <f>+IFERROR(HLOOKUP(V18,'סקרי נכסים-יתרות פתיחה'!$2:$110,6,0),0)-IFERROR(HLOOKUP(V18,'סקרי נכסים-יתרות פתיחה'!$2:$110,91,0),0)*(1-V$309)</f>
        <v>0</v>
      </c>
      <c r="W86" s="1240">
        <f>+IFERROR(HLOOKUP(W18,'סקרי נכסים-יתרות פתיחה'!$2:$110,6,0),0)-IFERROR(HLOOKUP(W18,'סקרי נכסים-יתרות פתיחה'!$2:$110,91,0),0)*(1-W$309)</f>
        <v>0</v>
      </c>
      <c r="X86" s="1240">
        <f>+IFERROR(HLOOKUP(X18,'סקרי נכסים-יתרות פתיחה'!$2:$110,6,0),0)-IFERROR(HLOOKUP(X18,'סקרי נכסים-יתרות פתיחה'!$2:$110,91,0),0)*(1-X$309)</f>
        <v>0</v>
      </c>
      <c r="Y86" s="1240">
        <f>+IFERROR(HLOOKUP(Y18,'סקרי נכסים-יתרות פתיחה'!$2:$110,6,0),0)-IFERROR(HLOOKUP(Y18,'סקרי נכסים-יתרות פתיחה'!$2:$110,91,0),0)*(1-Y$309)</f>
        <v>0</v>
      </c>
      <c r="Z86" s="1240">
        <f>+IFERROR(HLOOKUP(Z18,'סקרי נכסים-יתרות פתיחה'!$2:$110,6,0),0)-IFERROR(HLOOKUP(Z18,'סקרי נכסים-יתרות פתיחה'!$2:$110,91,0),0)*(1-Z$309)</f>
        <v>0</v>
      </c>
      <c r="AA86" s="1240">
        <f>+IFERROR(HLOOKUP(AA18,'סקרי נכסים-יתרות פתיחה'!$2:$110,6,0),0)-IFERROR(HLOOKUP(AA18,'סקרי נכסים-יתרות פתיחה'!$2:$110,91,0),0)*(1-AA$309)</f>
        <v>0</v>
      </c>
      <c r="AB86" s="1240">
        <f>+IFERROR(HLOOKUP(AB18,'סקרי נכסים-יתרות פתיחה'!$2:$110,6,0),0)-IFERROR(HLOOKUP(AB18,'סקרי נכסים-יתרות פתיחה'!$2:$110,91,0),0)*(1-AB$309)</f>
        <v>0</v>
      </c>
      <c r="AC86" s="1240">
        <f>+IFERROR(HLOOKUP(AC18,'סקרי נכסים-יתרות פתיחה'!$2:$110,6,0),0)-IFERROR(HLOOKUP(AC18,'סקרי נכסים-יתרות פתיחה'!$2:$110,91,0),0)*(1-AC$309)</f>
        <v>0</v>
      </c>
      <c r="AD86" s="1240">
        <f>+IFERROR(HLOOKUP(AD18,'סקרי נכסים-יתרות פתיחה'!$2:$110,6,0),0)-IFERROR(HLOOKUP(AD18,'סקרי נכסים-יתרות פתיחה'!$2:$110,91,0),0)*(1-AD$309)</f>
        <v>0</v>
      </c>
      <c r="AE86" s="1240">
        <f>+IFERROR(HLOOKUP(AE18,'סקרי נכסים-יתרות פתיחה'!$2:$110,6,0),0)-IFERROR(HLOOKUP(AE18,'סקרי נכסים-יתרות פתיחה'!$2:$110,91,0),0)*(1-AE$309)</f>
        <v>0</v>
      </c>
      <c r="AF86" s="1240">
        <f>+IFERROR(HLOOKUP(AF18,'סקרי נכסים-יתרות פתיחה'!$2:$110,6,0),0)-IFERROR(HLOOKUP(AF18,'סקרי נכסים-יתרות פתיחה'!$2:$110,91,0),0)*(1-AF$309)</f>
        <v>0</v>
      </c>
      <c r="AG86" s="1240">
        <f>+IFERROR(HLOOKUP(AG18,'סקרי נכסים-יתרות פתיחה'!$2:$110,6,0),0)-IFERROR(HLOOKUP(AG18,'סקרי נכסים-יתרות פתיחה'!$2:$110,91,0),0)*(1-AG$309)</f>
        <v>0</v>
      </c>
      <c r="AH86" s="1240">
        <f>+IFERROR(HLOOKUP(AH18,'סקרי נכסים-יתרות פתיחה'!$2:$110,6,0),0)-IFERROR(HLOOKUP(AH18,'סקרי נכסים-יתרות פתיחה'!$2:$110,91,0),0)*(1-AH$309)</f>
        <v>0</v>
      </c>
      <c r="AI86" s="1240">
        <f>+IFERROR(HLOOKUP(AI18,'סקרי נכסים-יתרות פתיחה'!$2:$110,6,0),0)-IFERROR(HLOOKUP(AI18,'סקרי נכסים-יתרות פתיחה'!$2:$110,91,0),0)*(1-AI$309)</f>
        <v>0</v>
      </c>
      <c r="AJ86" s="1240">
        <f>+IFERROR(HLOOKUP(AJ18,'סקרי נכסים-יתרות פתיחה'!$2:$110,6,0),0)-IFERROR(HLOOKUP(AJ18,'סקרי נכסים-יתרות פתיחה'!$2:$110,91,0),0)*(1-AJ$309)</f>
        <v>0</v>
      </c>
      <c r="AK86" s="1240">
        <f>+IFERROR(HLOOKUP(AK18,'סקרי נכסים-יתרות פתיחה'!$2:$110,6,0),0)-IFERROR(HLOOKUP(AK18,'סקרי נכסים-יתרות פתיחה'!$2:$110,91,0),0)*(1-AK$309)</f>
        <v>0</v>
      </c>
      <c r="AL86" s="1240">
        <f>+IFERROR(HLOOKUP(AL18,'סקרי נכסים-יתרות פתיחה'!$2:$110,6,0),0)-IFERROR(HLOOKUP(AL18,'סקרי נכסים-יתרות פתיחה'!$2:$110,91,0),0)*(1-AL$309)</f>
        <v>0</v>
      </c>
      <c r="AM86" s="1240">
        <f>+IFERROR(HLOOKUP(AM18,'סקרי נכסים-יתרות פתיחה'!$2:$110,6,0),0)-IFERROR(HLOOKUP(AM18,'סקרי נכסים-יתרות פתיחה'!$2:$110,91,0),0)*(1-AM$309)</f>
        <v>0</v>
      </c>
      <c r="AN86" s="1240">
        <f>+IFERROR(HLOOKUP(AN18,'סקרי נכסים-יתרות פתיחה'!$2:$110,6,0),0)-IFERROR(HLOOKUP(AN18,'סקרי נכסים-יתרות פתיחה'!$2:$110,91,0),0)*(1-AN$309)</f>
        <v>0</v>
      </c>
      <c r="AO86" s="1240">
        <f>+IFERROR(HLOOKUP(AO18,'סקרי נכסים-יתרות פתיחה'!$2:$110,6,0),0)-IFERROR(HLOOKUP(AO18,'סקרי נכסים-יתרות פתיחה'!$2:$110,91,0),0)*(1-AO$309)</f>
        <v>0</v>
      </c>
      <c r="AP86" s="1240">
        <f>+IFERROR(HLOOKUP(AP18,'סקרי נכסים-יתרות פתיחה'!$2:$110,6,0),0)-IFERROR(HLOOKUP(AP18,'סקרי נכסים-יתרות פתיחה'!$2:$110,91,0),0)*(1-AP$309)</f>
        <v>0</v>
      </c>
      <c r="AQ86" s="1240">
        <f>+IFERROR(HLOOKUP(AQ18,'סקרי נכסים-יתרות פתיחה'!$2:$110,6,0),0)-IFERROR(HLOOKUP(AQ18,'סקרי נכסים-יתרות פתיחה'!$2:$110,91,0),0)*(1-AQ$309)</f>
        <v>0</v>
      </c>
      <c r="AR86" s="1240">
        <f>+IFERROR(HLOOKUP(AR18,'סקרי נכסים-יתרות פתיחה'!$2:$110,6,0),0)-IFERROR(HLOOKUP(AR18,'סקרי נכסים-יתרות פתיחה'!$2:$110,91,0),0)*(1-AR$309)</f>
        <v>0</v>
      </c>
      <c r="AS86" s="1240">
        <f>+IFERROR(HLOOKUP(AS18,'סקרי נכסים-יתרות פתיחה'!$2:$110,6,0),0)-IFERROR(HLOOKUP(AS18,'סקרי נכסים-יתרות פתיחה'!$2:$110,91,0),0)*(1-AS$309)</f>
        <v>0</v>
      </c>
      <c r="AT86" s="1240">
        <f>+IFERROR(HLOOKUP(AT18,'סקרי נכסים-יתרות פתיחה'!$2:$110,6,0),0)-IFERROR(HLOOKUP(AT18,'סקרי נכסים-יתרות פתיחה'!$2:$110,91,0),0)*(1-AT$309)</f>
        <v>0</v>
      </c>
      <c r="AU86" s="1240">
        <f>+IFERROR(HLOOKUP(AU18,'סקרי נכסים-יתרות פתיחה'!$2:$110,6,0),0)-IFERROR(HLOOKUP(AU18,'סקרי נכסים-יתרות פתיחה'!$2:$110,91,0),0)*(1-AU$309)</f>
        <v>0</v>
      </c>
      <c r="AV86" s="1240">
        <f>+IFERROR(HLOOKUP(AV18,'סקרי נכסים-יתרות פתיחה'!$2:$110,6,0),0)-IFERROR(HLOOKUP(AV18,'סקרי נכסים-יתרות פתיחה'!$2:$110,91,0),0)*(1-AV$309)</f>
        <v>0</v>
      </c>
      <c r="AW86" s="1240">
        <f>+IFERROR(HLOOKUP(AW18,'סקרי נכסים-יתרות פתיחה'!$2:$110,6,0),0)-IFERROR(HLOOKUP(AW18,'סקרי נכסים-יתרות פתיחה'!$2:$110,91,0),0)*(1-AW$309)</f>
        <v>0</v>
      </c>
      <c r="AX86" s="1240">
        <f>+IFERROR(HLOOKUP(AX18,'סקרי נכסים-יתרות פתיחה'!$2:$110,6,0),0)-IFERROR(HLOOKUP(AX18,'סקרי נכסים-יתרות פתיחה'!$2:$110,91,0),0)*(1-AX$309)</f>
        <v>0</v>
      </c>
      <c r="AY86" s="1240">
        <f>+IFERROR(HLOOKUP(AY18,'סקרי נכסים-יתרות פתיחה'!$2:$110,6,0),0)-IFERROR(HLOOKUP(AY18,'סקרי נכסים-יתרות פתיחה'!$2:$110,91,0),0)*(1-AY$309)</f>
        <v>0</v>
      </c>
      <c r="AZ86" s="1240">
        <f>+IFERROR(HLOOKUP(AZ18,'סקרי נכסים-יתרות פתיחה'!$2:$110,6,0),0)-IFERROR(HLOOKUP(AZ18,'סקרי נכסים-יתרות פתיחה'!$2:$110,91,0),0)*(1-AZ$309)</f>
        <v>0</v>
      </c>
      <c r="BA86" s="1240">
        <f>+IFERROR(HLOOKUP(BA18,'סקרי נכסים-יתרות פתיחה'!$2:$110,6,0),0)-IFERROR(HLOOKUP(BA18,'סקרי נכסים-יתרות פתיחה'!$2:$110,91,0),0)*(1-BA$309)</f>
        <v>0</v>
      </c>
      <c r="BB86" s="1240">
        <f>+IFERROR(HLOOKUP(BB18,'סקרי נכסים-יתרות פתיחה'!$2:$110,6,0),0)-IFERROR(HLOOKUP(BB18,'סקרי נכסים-יתרות פתיחה'!$2:$110,91,0),0)*(1-BB$309)</f>
        <v>0</v>
      </c>
      <c r="BC86" s="1240">
        <f>+IFERROR(HLOOKUP(BC18,'סקרי נכסים-יתרות פתיחה'!$2:$110,6,0),0)-IFERROR(HLOOKUP(BC18,'סקרי נכסים-יתרות פתיחה'!$2:$110,91,0),0)*(1-BC$309)</f>
        <v>0</v>
      </c>
      <c r="BD86" s="1240">
        <f>+IFERROR(HLOOKUP(BD18,'סקרי נכסים-יתרות פתיחה'!$2:$110,6,0),0)-IFERROR(HLOOKUP(BD18,'סקרי נכסים-יתרות פתיחה'!$2:$110,91,0),0)*(1-BD$309)</f>
        <v>0</v>
      </c>
      <c r="BE86" s="1240">
        <f>+IFERROR(HLOOKUP(BE18,'סקרי נכסים-יתרות פתיחה'!$2:$110,6,0),0)-IFERROR(HLOOKUP(BE18,'סקרי נכסים-יתרות פתיחה'!$2:$110,91,0),0)*(1-BE$309)</f>
        <v>0</v>
      </c>
      <c r="BF86" s="1240">
        <f>+IFERROR(HLOOKUP(BF18,'סקרי נכסים-יתרות פתיחה'!$2:$110,6,0),0)-IFERROR(HLOOKUP(BF18,'סקרי נכסים-יתרות פתיחה'!$2:$110,91,0),0)*(1-BF$309)</f>
        <v>0</v>
      </c>
    </row>
    <row r="87" spans="2:58" x14ac:dyDescent="0.2">
      <c r="B87" s="1">
        <v>16</v>
      </c>
      <c r="C87" s="1240">
        <f>+IFERROR(HLOOKUP(C19,'סקרי נכסים-יתרות פתיחה'!$2:$110,6,0),0)-IFERROR(HLOOKUP(C19,'סקרי נכסים-יתרות פתיחה'!$2:$110,91,0),0)*(1-C$309)</f>
        <v>0</v>
      </c>
      <c r="D87" s="1240">
        <f>+IFERROR(HLOOKUP(D19,'סקרי נכסים-יתרות פתיחה'!$2:$110,6,0),0)-IFERROR(HLOOKUP(D19,'סקרי נכסים-יתרות פתיחה'!$2:$110,91,0),0)*(1-D$309)</f>
        <v>0</v>
      </c>
      <c r="E87" s="1240">
        <f>+IFERROR(HLOOKUP(E19,'סקרי נכסים-יתרות פתיחה'!$2:$110,6,0),0)-IFERROR(HLOOKUP(E19,'סקרי נכסים-יתרות פתיחה'!$2:$110,91,0),0)*(1-E$309)</f>
        <v>0</v>
      </c>
      <c r="F87" s="1240">
        <f>+IFERROR(HLOOKUP(F19,'סקרי נכסים-יתרות פתיחה'!$2:$110,6,0),0)-IFERROR(HLOOKUP(F19,'סקרי נכסים-יתרות פתיחה'!$2:$110,91,0),0)*(1-F$309)</f>
        <v>0</v>
      </c>
      <c r="G87" s="1240">
        <f>+IFERROR(HLOOKUP(G19,'סקרי נכסים-יתרות פתיחה'!$2:$110,6,0),0)-IFERROR(HLOOKUP(G19,'סקרי נכסים-יתרות פתיחה'!$2:$110,91,0),0)*(1-G$309)</f>
        <v>0</v>
      </c>
      <c r="H87" s="1240">
        <f>+IFERROR(HLOOKUP(H19,'סקרי נכסים-יתרות פתיחה'!$2:$110,6,0),0)-IFERROR(HLOOKUP(H19,'סקרי נכסים-יתרות פתיחה'!$2:$110,91,0),0)*(1-H$309)</f>
        <v>0</v>
      </c>
      <c r="I87" s="1240">
        <f>+IFERROR(HLOOKUP(I19,'סקרי נכסים-יתרות פתיחה'!$2:$110,6,0),0)-IFERROR(HLOOKUP(I19,'סקרי נכסים-יתרות פתיחה'!$2:$110,91,0),0)*(1-I$309)</f>
        <v>0</v>
      </c>
      <c r="J87" s="1240">
        <f>+IFERROR(HLOOKUP(J19,'סקרי נכסים-יתרות פתיחה'!$2:$110,6,0),0)-IFERROR(HLOOKUP(J19,'סקרי נכסים-יתרות פתיחה'!$2:$110,91,0),0)*(1-J$309)</f>
        <v>0</v>
      </c>
      <c r="K87" s="1240">
        <f>+IFERROR(HLOOKUP(K19,'סקרי נכסים-יתרות פתיחה'!$2:$110,6,0),0)-IFERROR(HLOOKUP(K19,'סקרי נכסים-יתרות פתיחה'!$2:$110,91,0),0)*(1-K$309)</f>
        <v>0</v>
      </c>
      <c r="L87" s="1240">
        <f>+IFERROR(HLOOKUP(L19,'סקרי נכסים-יתרות פתיחה'!$2:$110,6,0),0)-IFERROR(HLOOKUP(L19,'סקרי נכסים-יתרות פתיחה'!$2:$110,91,0),0)*(1-L$309)</f>
        <v>0</v>
      </c>
      <c r="M87" s="1240">
        <f>+IFERROR(HLOOKUP(M19,'סקרי נכסים-יתרות פתיחה'!$2:$110,6,0),0)-IFERROR(HLOOKUP(M19,'סקרי נכסים-יתרות פתיחה'!$2:$110,91,0),0)*(1-M$309)</f>
        <v>0</v>
      </c>
      <c r="N87" s="1240">
        <f>+IFERROR(HLOOKUP(N19,'סקרי נכסים-יתרות פתיחה'!$2:$110,6,0),0)-IFERROR(HLOOKUP(N19,'סקרי נכסים-יתרות פתיחה'!$2:$110,91,0),0)*(1-N$309)</f>
        <v>0</v>
      </c>
      <c r="O87" s="1240">
        <f>+IFERROR(HLOOKUP(O19,'סקרי נכסים-יתרות פתיחה'!$2:$110,6,0),0)-IFERROR(HLOOKUP(O19,'סקרי נכסים-יתרות פתיחה'!$2:$110,91,0),0)*(1-O$309)</f>
        <v>0</v>
      </c>
      <c r="P87" s="1240">
        <f>+IFERROR(HLOOKUP(P19,'סקרי נכסים-יתרות פתיחה'!$2:$110,6,0),0)-IFERROR(HLOOKUP(P19,'סקרי נכסים-יתרות פתיחה'!$2:$110,91,0),0)*(1-P$309)</f>
        <v>0</v>
      </c>
      <c r="Q87" s="1240">
        <f>+IFERROR(HLOOKUP(Q19,'סקרי נכסים-יתרות פתיחה'!$2:$110,6,0),0)-IFERROR(HLOOKUP(Q19,'סקרי נכסים-יתרות פתיחה'!$2:$110,91,0),0)*(1-Q$309)</f>
        <v>0</v>
      </c>
      <c r="R87" s="1240">
        <f>+IFERROR(HLOOKUP(R19,'סקרי נכסים-יתרות פתיחה'!$2:$110,6,0),0)-IFERROR(HLOOKUP(R19,'סקרי נכסים-יתרות פתיחה'!$2:$110,91,0),0)*(1-R$309)</f>
        <v>0</v>
      </c>
      <c r="S87" s="1240">
        <f>+IFERROR(HLOOKUP(S19,'סקרי נכסים-יתרות פתיחה'!$2:$110,6,0),0)-IFERROR(HLOOKUP(S19,'סקרי נכסים-יתרות פתיחה'!$2:$110,91,0),0)*(1-S$309)</f>
        <v>0</v>
      </c>
      <c r="T87" s="1240">
        <f>+IFERROR(HLOOKUP(T19,'סקרי נכסים-יתרות פתיחה'!$2:$110,6,0),0)-IFERROR(HLOOKUP(T19,'סקרי נכסים-יתרות פתיחה'!$2:$110,91,0),0)*(1-T$309)</f>
        <v>0</v>
      </c>
      <c r="U87" s="1240">
        <f>+IFERROR(HLOOKUP(U19,'סקרי נכסים-יתרות פתיחה'!$2:$110,6,0),0)-IFERROR(HLOOKUP(U19,'סקרי נכסים-יתרות פתיחה'!$2:$110,91,0),0)*(1-U$309)</f>
        <v>0</v>
      </c>
      <c r="V87" s="1240">
        <f>+IFERROR(HLOOKUP(V19,'סקרי נכסים-יתרות פתיחה'!$2:$110,6,0),0)-IFERROR(HLOOKUP(V19,'סקרי נכסים-יתרות פתיחה'!$2:$110,91,0),0)*(1-V$309)</f>
        <v>0</v>
      </c>
      <c r="W87" s="1240">
        <f>+IFERROR(HLOOKUP(W19,'סקרי נכסים-יתרות פתיחה'!$2:$110,6,0),0)-IFERROR(HLOOKUP(W19,'סקרי נכסים-יתרות פתיחה'!$2:$110,91,0),0)*(1-W$309)</f>
        <v>0</v>
      </c>
      <c r="X87" s="1240">
        <f>+IFERROR(HLOOKUP(X19,'סקרי נכסים-יתרות פתיחה'!$2:$110,6,0),0)-IFERROR(HLOOKUP(X19,'סקרי נכסים-יתרות פתיחה'!$2:$110,91,0),0)*(1-X$309)</f>
        <v>0</v>
      </c>
      <c r="Y87" s="1240">
        <f>+IFERROR(HLOOKUP(Y19,'סקרי נכסים-יתרות פתיחה'!$2:$110,6,0),0)-IFERROR(HLOOKUP(Y19,'סקרי נכסים-יתרות פתיחה'!$2:$110,91,0),0)*(1-Y$309)</f>
        <v>0</v>
      </c>
      <c r="Z87" s="1240">
        <f>+IFERROR(HLOOKUP(Z19,'סקרי נכסים-יתרות פתיחה'!$2:$110,6,0),0)-IFERROR(HLOOKUP(Z19,'סקרי נכסים-יתרות פתיחה'!$2:$110,91,0),0)*(1-Z$309)</f>
        <v>0</v>
      </c>
      <c r="AA87" s="1240">
        <f>+IFERROR(HLOOKUP(AA19,'סקרי נכסים-יתרות פתיחה'!$2:$110,6,0),0)-IFERROR(HLOOKUP(AA19,'סקרי נכסים-יתרות פתיחה'!$2:$110,91,0),0)*(1-AA$309)</f>
        <v>0</v>
      </c>
      <c r="AB87" s="1240">
        <f>+IFERROR(HLOOKUP(AB19,'סקרי נכסים-יתרות פתיחה'!$2:$110,6,0),0)-IFERROR(HLOOKUP(AB19,'סקרי נכסים-יתרות פתיחה'!$2:$110,91,0),0)*(1-AB$309)</f>
        <v>0</v>
      </c>
      <c r="AC87" s="1240">
        <f>+IFERROR(HLOOKUP(AC19,'סקרי נכסים-יתרות פתיחה'!$2:$110,6,0),0)-IFERROR(HLOOKUP(AC19,'סקרי נכסים-יתרות פתיחה'!$2:$110,91,0),0)*(1-AC$309)</f>
        <v>0</v>
      </c>
      <c r="AD87" s="1240">
        <f>+IFERROR(HLOOKUP(AD19,'סקרי נכסים-יתרות פתיחה'!$2:$110,6,0),0)-IFERROR(HLOOKUP(AD19,'סקרי נכסים-יתרות פתיחה'!$2:$110,91,0),0)*(1-AD$309)</f>
        <v>0</v>
      </c>
      <c r="AE87" s="1240">
        <f>+IFERROR(HLOOKUP(AE19,'סקרי נכסים-יתרות פתיחה'!$2:$110,6,0),0)-IFERROR(HLOOKUP(AE19,'סקרי נכסים-יתרות פתיחה'!$2:$110,91,0),0)*(1-AE$309)</f>
        <v>0</v>
      </c>
      <c r="AF87" s="1240">
        <f>+IFERROR(HLOOKUP(AF19,'סקרי נכסים-יתרות פתיחה'!$2:$110,6,0),0)-IFERROR(HLOOKUP(AF19,'סקרי נכסים-יתרות פתיחה'!$2:$110,91,0),0)*(1-AF$309)</f>
        <v>0</v>
      </c>
      <c r="AG87" s="1240">
        <f>+IFERROR(HLOOKUP(AG19,'סקרי נכסים-יתרות פתיחה'!$2:$110,6,0),0)-IFERROR(HLOOKUP(AG19,'סקרי נכסים-יתרות פתיחה'!$2:$110,91,0),0)*(1-AG$309)</f>
        <v>0</v>
      </c>
      <c r="AH87" s="1240">
        <f>+IFERROR(HLOOKUP(AH19,'סקרי נכסים-יתרות פתיחה'!$2:$110,6,0),0)-IFERROR(HLOOKUP(AH19,'סקרי נכסים-יתרות פתיחה'!$2:$110,91,0),0)*(1-AH$309)</f>
        <v>0</v>
      </c>
      <c r="AI87" s="1240">
        <f>+IFERROR(HLOOKUP(AI19,'סקרי נכסים-יתרות פתיחה'!$2:$110,6,0),0)-IFERROR(HLOOKUP(AI19,'סקרי נכסים-יתרות פתיחה'!$2:$110,91,0),0)*(1-AI$309)</f>
        <v>0</v>
      </c>
      <c r="AJ87" s="1240">
        <f>+IFERROR(HLOOKUP(AJ19,'סקרי נכסים-יתרות פתיחה'!$2:$110,6,0),0)-IFERROR(HLOOKUP(AJ19,'סקרי נכסים-יתרות פתיחה'!$2:$110,91,0),0)*(1-AJ$309)</f>
        <v>0</v>
      </c>
      <c r="AK87" s="1240">
        <f>+IFERROR(HLOOKUP(AK19,'סקרי נכסים-יתרות פתיחה'!$2:$110,6,0),0)-IFERROR(HLOOKUP(AK19,'סקרי נכסים-יתרות פתיחה'!$2:$110,91,0),0)*(1-AK$309)</f>
        <v>0</v>
      </c>
      <c r="AL87" s="1240">
        <f>+IFERROR(HLOOKUP(AL19,'סקרי נכסים-יתרות פתיחה'!$2:$110,6,0),0)-IFERROR(HLOOKUP(AL19,'סקרי נכסים-יתרות פתיחה'!$2:$110,91,0),0)*(1-AL$309)</f>
        <v>0</v>
      </c>
      <c r="AM87" s="1240">
        <f>+IFERROR(HLOOKUP(AM19,'סקרי נכסים-יתרות פתיחה'!$2:$110,6,0),0)-IFERROR(HLOOKUP(AM19,'סקרי נכסים-יתרות פתיחה'!$2:$110,91,0),0)*(1-AM$309)</f>
        <v>0</v>
      </c>
      <c r="AN87" s="1240">
        <f>+IFERROR(HLOOKUP(AN19,'סקרי נכסים-יתרות פתיחה'!$2:$110,6,0),0)-IFERROR(HLOOKUP(AN19,'סקרי נכסים-יתרות פתיחה'!$2:$110,91,0),0)*(1-AN$309)</f>
        <v>0</v>
      </c>
      <c r="AO87" s="1240">
        <f>+IFERROR(HLOOKUP(AO19,'סקרי נכסים-יתרות פתיחה'!$2:$110,6,0),0)-IFERROR(HLOOKUP(AO19,'סקרי נכסים-יתרות פתיחה'!$2:$110,91,0),0)*(1-AO$309)</f>
        <v>0</v>
      </c>
      <c r="AP87" s="1240">
        <f>+IFERROR(HLOOKUP(AP19,'סקרי נכסים-יתרות פתיחה'!$2:$110,6,0),0)-IFERROR(HLOOKUP(AP19,'סקרי נכסים-יתרות פתיחה'!$2:$110,91,0),0)*(1-AP$309)</f>
        <v>0</v>
      </c>
      <c r="AQ87" s="1240">
        <f>+IFERROR(HLOOKUP(AQ19,'סקרי נכסים-יתרות פתיחה'!$2:$110,6,0),0)-IFERROR(HLOOKUP(AQ19,'סקרי נכסים-יתרות פתיחה'!$2:$110,91,0),0)*(1-AQ$309)</f>
        <v>0</v>
      </c>
      <c r="AR87" s="1240">
        <f>+IFERROR(HLOOKUP(AR19,'סקרי נכסים-יתרות פתיחה'!$2:$110,6,0),0)-IFERROR(HLOOKUP(AR19,'סקרי נכסים-יתרות פתיחה'!$2:$110,91,0),0)*(1-AR$309)</f>
        <v>0</v>
      </c>
      <c r="AS87" s="1240">
        <f>+IFERROR(HLOOKUP(AS19,'סקרי נכסים-יתרות פתיחה'!$2:$110,6,0),0)-IFERROR(HLOOKUP(AS19,'סקרי נכסים-יתרות פתיחה'!$2:$110,91,0),0)*(1-AS$309)</f>
        <v>0</v>
      </c>
      <c r="AT87" s="1240">
        <f>+IFERROR(HLOOKUP(AT19,'סקרי נכסים-יתרות פתיחה'!$2:$110,6,0),0)-IFERROR(HLOOKUP(AT19,'סקרי נכסים-יתרות פתיחה'!$2:$110,91,0),0)*(1-AT$309)</f>
        <v>0</v>
      </c>
      <c r="AU87" s="1240">
        <f>+IFERROR(HLOOKUP(AU19,'סקרי נכסים-יתרות פתיחה'!$2:$110,6,0),0)-IFERROR(HLOOKUP(AU19,'סקרי נכסים-יתרות פתיחה'!$2:$110,91,0),0)*(1-AU$309)</f>
        <v>0</v>
      </c>
      <c r="AV87" s="1240">
        <f>+IFERROR(HLOOKUP(AV19,'סקרי נכסים-יתרות פתיחה'!$2:$110,6,0),0)-IFERROR(HLOOKUP(AV19,'סקרי נכסים-יתרות פתיחה'!$2:$110,91,0),0)*(1-AV$309)</f>
        <v>0</v>
      </c>
      <c r="AW87" s="1240">
        <f>+IFERROR(HLOOKUP(AW19,'סקרי נכסים-יתרות פתיחה'!$2:$110,6,0),0)-IFERROR(HLOOKUP(AW19,'סקרי נכסים-יתרות פתיחה'!$2:$110,91,0),0)*(1-AW$309)</f>
        <v>0</v>
      </c>
      <c r="AX87" s="1240">
        <f>+IFERROR(HLOOKUP(AX19,'סקרי נכסים-יתרות פתיחה'!$2:$110,6,0),0)-IFERROR(HLOOKUP(AX19,'סקרי נכסים-יתרות פתיחה'!$2:$110,91,0),0)*(1-AX$309)</f>
        <v>0</v>
      </c>
      <c r="AY87" s="1240">
        <f>+IFERROR(HLOOKUP(AY19,'סקרי נכסים-יתרות פתיחה'!$2:$110,6,0),0)-IFERROR(HLOOKUP(AY19,'סקרי נכסים-יתרות פתיחה'!$2:$110,91,0),0)*(1-AY$309)</f>
        <v>0</v>
      </c>
      <c r="AZ87" s="1240">
        <f>+IFERROR(HLOOKUP(AZ19,'סקרי נכסים-יתרות פתיחה'!$2:$110,6,0),0)-IFERROR(HLOOKUP(AZ19,'סקרי נכסים-יתרות פתיחה'!$2:$110,91,0),0)*(1-AZ$309)</f>
        <v>0</v>
      </c>
      <c r="BA87" s="1240">
        <f>+IFERROR(HLOOKUP(BA19,'סקרי נכסים-יתרות פתיחה'!$2:$110,6,0),0)-IFERROR(HLOOKUP(BA19,'סקרי נכסים-יתרות פתיחה'!$2:$110,91,0),0)*(1-BA$309)</f>
        <v>0</v>
      </c>
      <c r="BB87" s="1240">
        <f>+IFERROR(HLOOKUP(BB19,'סקרי נכסים-יתרות פתיחה'!$2:$110,6,0),0)-IFERROR(HLOOKUP(BB19,'סקרי נכסים-יתרות פתיחה'!$2:$110,91,0),0)*(1-BB$309)</f>
        <v>0</v>
      </c>
      <c r="BC87" s="1240">
        <f>+IFERROR(HLOOKUP(BC19,'סקרי נכסים-יתרות פתיחה'!$2:$110,6,0),0)-IFERROR(HLOOKUP(BC19,'סקרי נכסים-יתרות פתיחה'!$2:$110,91,0),0)*(1-BC$309)</f>
        <v>0</v>
      </c>
      <c r="BD87" s="1240">
        <f>+IFERROR(HLOOKUP(BD19,'סקרי נכסים-יתרות פתיחה'!$2:$110,6,0),0)-IFERROR(HLOOKUP(BD19,'סקרי נכסים-יתרות פתיחה'!$2:$110,91,0),0)*(1-BD$309)</f>
        <v>0</v>
      </c>
      <c r="BE87" s="1240">
        <f>+IFERROR(HLOOKUP(BE19,'סקרי נכסים-יתרות פתיחה'!$2:$110,6,0),0)-IFERROR(HLOOKUP(BE19,'סקרי נכסים-יתרות פתיחה'!$2:$110,91,0),0)*(1-BE$309)</f>
        <v>0</v>
      </c>
      <c r="BF87" s="1240">
        <f>+IFERROR(HLOOKUP(BF19,'סקרי נכסים-יתרות פתיחה'!$2:$110,6,0),0)-IFERROR(HLOOKUP(BF19,'סקרי נכסים-יתרות פתיחה'!$2:$110,91,0),0)*(1-BF$309)</f>
        <v>0</v>
      </c>
    </row>
    <row r="88" spans="2:58" x14ac:dyDescent="0.2">
      <c r="B88" s="1">
        <v>17</v>
      </c>
      <c r="C88" s="1240">
        <f>+IFERROR(HLOOKUP(C20,'סקרי נכסים-יתרות פתיחה'!$2:$110,6,0),0)-IFERROR(HLOOKUP(C20,'סקרי נכסים-יתרות פתיחה'!$2:$110,91,0),0)*(1-C$309)</f>
        <v>0</v>
      </c>
      <c r="D88" s="1240">
        <f>+IFERROR(HLOOKUP(D20,'סקרי נכסים-יתרות פתיחה'!$2:$110,6,0),0)-IFERROR(HLOOKUP(D20,'סקרי נכסים-יתרות פתיחה'!$2:$110,91,0),0)*(1-D$309)</f>
        <v>0</v>
      </c>
      <c r="E88" s="1240">
        <f>+IFERROR(HLOOKUP(E20,'סקרי נכסים-יתרות פתיחה'!$2:$110,6,0),0)-IFERROR(HLOOKUP(E20,'סקרי נכסים-יתרות פתיחה'!$2:$110,91,0),0)*(1-E$309)</f>
        <v>0</v>
      </c>
      <c r="F88" s="1240">
        <f>+IFERROR(HLOOKUP(F20,'סקרי נכסים-יתרות פתיחה'!$2:$110,6,0),0)-IFERROR(HLOOKUP(F20,'סקרי נכסים-יתרות פתיחה'!$2:$110,91,0),0)*(1-F$309)</f>
        <v>0</v>
      </c>
      <c r="G88" s="1240">
        <f>+IFERROR(HLOOKUP(G20,'סקרי נכסים-יתרות פתיחה'!$2:$110,6,0),0)-IFERROR(HLOOKUP(G20,'סקרי נכסים-יתרות פתיחה'!$2:$110,91,0),0)*(1-G$309)</f>
        <v>0</v>
      </c>
      <c r="H88" s="1240">
        <f>+IFERROR(HLOOKUP(H20,'סקרי נכסים-יתרות פתיחה'!$2:$110,6,0),0)-IFERROR(HLOOKUP(H20,'סקרי נכסים-יתרות פתיחה'!$2:$110,91,0),0)*(1-H$309)</f>
        <v>0</v>
      </c>
      <c r="I88" s="1240">
        <f>+IFERROR(HLOOKUP(I20,'סקרי נכסים-יתרות פתיחה'!$2:$110,6,0),0)-IFERROR(HLOOKUP(I20,'סקרי נכסים-יתרות פתיחה'!$2:$110,91,0),0)*(1-I$309)</f>
        <v>0</v>
      </c>
      <c r="J88" s="1240">
        <f>+IFERROR(HLOOKUP(J20,'סקרי נכסים-יתרות פתיחה'!$2:$110,6,0),0)-IFERROR(HLOOKUP(J20,'סקרי נכסים-יתרות פתיחה'!$2:$110,91,0),0)*(1-J$309)</f>
        <v>0</v>
      </c>
      <c r="K88" s="1240">
        <f>+IFERROR(HLOOKUP(K20,'סקרי נכסים-יתרות פתיחה'!$2:$110,6,0),0)-IFERROR(HLOOKUP(K20,'סקרי נכסים-יתרות פתיחה'!$2:$110,91,0),0)*(1-K$309)</f>
        <v>0</v>
      </c>
      <c r="L88" s="1240">
        <f>+IFERROR(HLOOKUP(L20,'סקרי נכסים-יתרות פתיחה'!$2:$110,6,0),0)-IFERROR(HLOOKUP(L20,'סקרי נכסים-יתרות פתיחה'!$2:$110,91,0),0)*(1-L$309)</f>
        <v>0</v>
      </c>
      <c r="M88" s="1240">
        <f>+IFERROR(HLOOKUP(M20,'סקרי נכסים-יתרות פתיחה'!$2:$110,6,0),0)-IFERROR(HLOOKUP(M20,'סקרי נכסים-יתרות פתיחה'!$2:$110,91,0),0)*(1-M$309)</f>
        <v>0</v>
      </c>
      <c r="N88" s="1240">
        <f>+IFERROR(HLOOKUP(N20,'סקרי נכסים-יתרות פתיחה'!$2:$110,6,0),0)-IFERROR(HLOOKUP(N20,'סקרי נכסים-יתרות פתיחה'!$2:$110,91,0),0)*(1-N$309)</f>
        <v>0</v>
      </c>
      <c r="O88" s="1240">
        <f>+IFERROR(HLOOKUP(O20,'סקרי נכסים-יתרות פתיחה'!$2:$110,6,0),0)-IFERROR(HLOOKUP(O20,'סקרי נכסים-יתרות פתיחה'!$2:$110,91,0),0)*(1-O$309)</f>
        <v>0</v>
      </c>
      <c r="P88" s="1240">
        <f>+IFERROR(HLOOKUP(P20,'סקרי נכסים-יתרות פתיחה'!$2:$110,6,0),0)-IFERROR(HLOOKUP(P20,'סקרי נכסים-יתרות פתיחה'!$2:$110,91,0),0)*(1-P$309)</f>
        <v>0</v>
      </c>
      <c r="Q88" s="1240">
        <f>+IFERROR(HLOOKUP(Q20,'סקרי נכסים-יתרות פתיחה'!$2:$110,6,0),0)-IFERROR(HLOOKUP(Q20,'סקרי נכסים-יתרות פתיחה'!$2:$110,91,0),0)*(1-Q$309)</f>
        <v>0</v>
      </c>
      <c r="R88" s="1240">
        <f>+IFERROR(HLOOKUP(R20,'סקרי נכסים-יתרות פתיחה'!$2:$110,6,0),0)-IFERROR(HLOOKUP(R20,'סקרי נכסים-יתרות פתיחה'!$2:$110,91,0),0)*(1-R$309)</f>
        <v>0</v>
      </c>
      <c r="S88" s="1240">
        <f>+IFERROR(HLOOKUP(S20,'סקרי נכסים-יתרות פתיחה'!$2:$110,6,0),0)-IFERROR(HLOOKUP(S20,'סקרי נכסים-יתרות פתיחה'!$2:$110,91,0),0)*(1-S$309)</f>
        <v>0</v>
      </c>
      <c r="T88" s="1240">
        <f>+IFERROR(HLOOKUP(T20,'סקרי נכסים-יתרות פתיחה'!$2:$110,6,0),0)-IFERROR(HLOOKUP(T20,'סקרי נכסים-יתרות פתיחה'!$2:$110,91,0),0)*(1-T$309)</f>
        <v>0</v>
      </c>
      <c r="U88" s="1240">
        <f>+IFERROR(HLOOKUP(U20,'סקרי נכסים-יתרות פתיחה'!$2:$110,6,0),0)-IFERROR(HLOOKUP(U20,'סקרי נכסים-יתרות פתיחה'!$2:$110,91,0),0)*(1-U$309)</f>
        <v>0</v>
      </c>
      <c r="V88" s="1240">
        <f>+IFERROR(HLOOKUP(V20,'סקרי נכסים-יתרות פתיחה'!$2:$110,6,0),0)-IFERROR(HLOOKUP(V20,'סקרי נכסים-יתרות פתיחה'!$2:$110,91,0),0)*(1-V$309)</f>
        <v>0</v>
      </c>
      <c r="W88" s="1240">
        <f>+IFERROR(HLOOKUP(W20,'סקרי נכסים-יתרות פתיחה'!$2:$110,6,0),0)-IFERROR(HLOOKUP(W20,'סקרי נכסים-יתרות פתיחה'!$2:$110,91,0),0)*(1-W$309)</f>
        <v>0</v>
      </c>
      <c r="X88" s="1240">
        <f>+IFERROR(HLOOKUP(X20,'סקרי נכסים-יתרות פתיחה'!$2:$110,6,0),0)-IFERROR(HLOOKUP(X20,'סקרי נכסים-יתרות פתיחה'!$2:$110,91,0),0)*(1-X$309)</f>
        <v>0</v>
      </c>
      <c r="Y88" s="1240">
        <f>+IFERROR(HLOOKUP(Y20,'סקרי נכסים-יתרות פתיחה'!$2:$110,6,0),0)-IFERROR(HLOOKUP(Y20,'סקרי נכסים-יתרות פתיחה'!$2:$110,91,0),0)*(1-Y$309)</f>
        <v>0</v>
      </c>
      <c r="Z88" s="1240">
        <f>+IFERROR(HLOOKUP(Z20,'סקרי נכסים-יתרות פתיחה'!$2:$110,6,0),0)-IFERROR(HLOOKUP(Z20,'סקרי נכסים-יתרות פתיחה'!$2:$110,91,0),0)*(1-Z$309)</f>
        <v>0</v>
      </c>
      <c r="AA88" s="1240">
        <f>+IFERROR(HLOOKUP(AA20,'סקרי נכסים-יתרות פתיחה'!$2:$110,6,0),0)-IFERROR(HLOOKUP(AA20,'סקרי נכסים-יתרות פתיחה'!$2:$110,91,0),0)*(1-AA$309)</f>
        <v>0</v>
      </c>
      <c r="AB88" s="1240">
        <f>+IFERROR(HLOOKUP(AB20,'סקרי נכסים-יתרות פתיחה'!$2:$110,6,0),0)-IFERROR(HLOOKUP(AB20,'סקרי נכסים-יתרות פתיחה'!$2:$110,91,0),0)*(1-AB$309)</f>
        <v>0</v>
      </c>
      <c r="AC88" s="1240">
        <f>+IFERROR(HLOOKUP(AC20,'סקרי נכסים-יתרות פתיחה'!$2:$110,6,0),0)-IFERROR(HLOOKUP(AC20,'סקרי נכסים-יתרות פתיחה'!$2:$110,91,0),0)*(1-AC$309)</f>
        <v>0</v>
      </c>
      <c r="AD88" s="1240">
        <f>+IFERROR(HLOOKUP(AD20,'סקרי נכסים-יתרות פתיחה'!$2:$110,6,0),0)-IFERROR(HLOOKUP(AD20,'סקרי נכסים-יתרות פתיחה'!$2:$110,91,0),0)*(1-AD$309)</f>
        <v>0</v>
      </c>
      <c r="AE88" s="1240">
        <f>+IFERROR(HLOOKUP(AE20,'סקרי נכסים-יתרות פתיחה'!$2:$110,6,0),0)-IFERROR(HLOOKUP(AE20,'סקרי נכסים-יתרות פתיחה'!$2:$110,91,0),0)*(1-AE$309)</f>
        <v>0</v>
      </c>
      <c r="AF88" s="1240">
        <f>+IFERROR(HLOOKUP(AF20,'סקרי נכסים-יתרות פתיחה'!$2:$110,6,0),0)-IFERROR(HLOOKUP(AF20,'סקרי נכסים-יתרות פתיחה'!$2:$110,91,0),0)*(1-AF$309)</f>
        <v>0</v>
      </c>
      <c r="AG88" s="1240">
        <f>+IFERROR(HLOOKUP(AG20,'סקרי נכסים-יתרות פתיחה'!$2:$110,6,0),0)-IFERROR(HLOOKUP(AG20,'סקרי נכסים-יתרות פתיחה'!$2:$110,91,0),0)*(1-AG$309)</f>
        <v>0</v>
      </c>
      <c r="AH88" s="1240">
        <f>+IFERROR(HLOOKUP(AH20,'סקרי נכסים-יתרות פתיחה'!$2:$110,6,0),0)-IFERROR(HLOOKUP(AH20,'סקרי נכסים-יתרות פתיחה'!$2:$110,91,0),0)*(1-AH$309)</f>
        <v>0</v>
      </c>
      <c r="AI88" s="1240">
        <f>+IFERROR(HLOOKUP(AI20,'סקרי נכסים-יתרות פתיחה'!$2:$110,6,0),0)-IFERROR(HLOOKUP(AI20,'סקרי נכסים-יתרות פתיחה'!$2:$110,91,0),0)*(1-AI$309)</f>
        <v>0</v>
      </c>
      <c r="AJ88" s="1240">
        <f>+IFERROR(HLOOKUP(AJ20,'סקרי נכסים-יתרות פתיחה'!$2:$110,6,0),0)-IFERROR(HLOOKUP(AJ20,'סקרי נכסים-יתרות פתיחה'!$2:$110,91,0),0)*(1-AJ$309)</f>
        <v>0</v>
      </c>
      <c r="AK88" s="1240">
        <f>+IFERROR(HLOOKUP(AK20,'סקרי נכסים-יתרות פתיחה'!$2:$110,6,0),0)-IFERROR(HLOOKUP(AK20,'סקרי נכסים-יתרות פתיחה'!$2:$110,91,0),0)*(1-AK$309)</f>
        <v>0</v>
      </c>
      <c r="AL88" s="1240">
        <f>+IFERROR(HLOOKUP(AL20,'סקרי נכסים-יתרות פתיחה'!$2:$110,6,0),0)-IFERROR(HLOOKUP(AL20,'סקרי נכסים-יתרות פתיחה'!$2:$110,91,0),0)*(1-AL$309)</f>
        <v>0</v>
      </c>
      <c r="AM88" s="1240">
        <f>+IFERROR(HLOOKUP(AM20,'סקרי נכסים-יתרות פתיחה'!$2:$110,6,0),0)-IFERROR(HLOOKUP(AM20,'סקרי נכסים-יתרות פתיחה'!$2:$110,91,0),0)*(1-AM$309)</f>
        <v>0</v>
      </c>
      <c r="AN88" s="1240">
        <f>+IFERROR(HLOOKUP(AN20,'סקרי נכסים-יתרות פתיחה'!$2:$110,6,0),0)-IFERROR(HLOOKUP(AN20,'סקרי נכסים-יתרות פתיחה'!$2:$110,91,0),0)*(1-AN$309)</f>
        <v>0</v>
      </c>
      <c r="AO88" s="1240">
        <f>+IFERROR(HLOOKUP(AO20,'סקרי נכסים-יתרות פתיחה'!$2:$110,6,0),0)-IFERROR(HLOOKUP(AO20,'סקרי נכסים-יתרות פתיחה'!$2:$110,91,0),0)*(1-AO$309)</f>
        <v>0</v>
      </c>
      <c r="AP88" s="1240">
        <f>+IFERROR(HLOOKUP(AP20,'סקרי נכסים-יתרות פתיחה'!$2:$110,6,0),0)-IFERROR(HLOOKUP(AP20,'סקרי נכסים-יתרות פתיחה'!$2:$110,91,0),0)*(1-AP$309)</f>
        <v>0</v>
      </c>
      <c r="AQ88" s="1240">
        <f>+IFERROR(HLOOKUP(AQ20,'סקרי נכסים-יתרות פתיחה'!$2:$110,6,0),0)-IFERROR(HLOOKUP(AQ20,'סקרי נכסים-יתרות פתיחה'!$2:$110,91,0),0)*(1-AQ$309)</f>
        <v>0</v>
      </c>
      <c r="AR88" s="1240">
        <f>+IFERROR(HLOOKUP(AR20,'סקרי נכסים-יתרות פתיחה'!$2:$110,6,0),0)-IFERROR(HLOOKUP(AR20,'סקרי נכסים-יתרות פתיחה'!$2:$110,91,0),0)*(1-AR$309)</f>
        <v>0</v>
      </c>
      <c r="AS88" s="1240">
        <f>+IFERROR(HLOOKUP(AS20,'סקרי נכסים-יתרות פתיחה'!$2:$110,6,0),0)-IFERROR(HLOOKUP(AS20,'סקרי נכסים-יתרות פתיחה'!$2:$110,91,0),0)*(1-AS$309)</f>
        <v>0</v>
      </c>
      <c r="AT88" s="1240">
        <f>+IFERROR(HLOOKUP(AT20,'סקרי נכסים-יתרות פתיחה'!$2:$110,6,0),0)-IFERROR(HLOOKUP(AT20,'סקרי נכסים-יתרות פתיחה'!$2:$110,91,0),0)*(1-AT$309)</f>
        <v>0</v>
      </c>
      <c r="AU88" s="1240">
        <f>+IFERROR(HLOOKUP(AU20,'סקרי נכסים-יתרות פתיחה'!$2:$110,6,0),0)-IFERROR(HLOOKUP(AU20,'סקרי נכסים-יתרות פתיחה'!$2:$110,91,0),0)*(1-AU$309)</f>
        <v>0</v>
      </c>
      <c r="AV88" s="1240">
        <f>+IFERROR(HLOOKUP(AV20,'סקרי נכסים-יתרות פתיחה'!$2:$110,6,0),0)-IFERROR(HLOOKUP(AV20,'סקרי נכסים-יתרות פתיחה'!$2:$110,91,0),0)*(1-AV$309)</f>
        <v>0</v>
      </c>
      <c r="AW88" s="1240">
        <f>+IFERROR(HLOOKUP(AW20,'סקרי נכסים-יתרות פתיחה'!$2:$110,6,0),0)-IFERROR(HLOOKUP(AW20,'סקרי נכסים-יתרות פתיחה'!$2:$110,91,0),0)*(1-AW$309)</f>
        <v>0</v>
      </c>
      <c r="AX88" s="1240">
        <f>+IFERROR(HLOOKUP(AX20,'סקרי נכסים-יתרות פתיחה'!$2:$110,6,0),0)-IFERROR(HLOOKUP(AX20,'סקרי נכסים-יתרות פתיחה'!$2:$110,91,0),0)*(1-AX$309)</f>
        <v>0</v>
      </c>
      <c r="AY88" s="1240">
        <f>+IFERROR(HLOOKUP(AY20,'סקרי נכסים-יתרות פתיחה'!$2:$110,6,0),0)-IFERROR(HLOOKUP(AY20,'סקרי נכסים-יתרות פתיחה'!$2:$110,91,0),0)*(1-AY$309)</f>
        <v>0</v>
      </c>
      <c r="AZ88" s="1240">
        <f>+IFERROR(HLOOKUP(AZ20,'סקרי נכסים-יתרות פתיחה'!$2:$110,6,0),0)-IFERROR(HLOOKUP(AZ20,'סקרי נכסים-יתרות פתיחה'!$2:$110,91,0),0)*(1-AZ$309)</f>
        <v>0</v>
      </c>
      <c r="BA88" s="1240">
        <f>+IFERROR(HLOOKUP(BA20,'סקרי נכסים-יתרות פתיחה'!$2:$110,6,0),0)-IFERROR(HLOOKUP(BA20,'סקרי נכסים-יתרות פתיחה'!$2:$110,91,0),0)*(1-BA$309)</f>
        <v>0</v>
      </c>
      <c r="BB88" s="1240">
        <f>+IFERROR(HLOOKUP(BB20,'סקרי נכסים-יתרות פתיחה'!$2:$110,6,0),0)-IFERROR(HLOOKUP(BB20,'סקרי נכסים-יתרות פתיחה'!$2:$110,91,0),0)*(1-BB$309)</f>
        <v>0</v>
      </c>
      <c r="BC88" s="1240">
        <f>+IFERROR(HLOOKUP(BC20,'סקרי נכסים-יתרות פתיחה'!$2:$110,6,0),0)-IFERROR(HLOOKUP(BC20,'סקרי נכסים-יתרות פתיחה'!$2:$110,91,0),0)*(1-BC$309)</f>
        <v>0</v>
      </c>
      <c r="BD88" s="1240">
        <f>+IFERROR(HLOOKUP(BD20,'סקרי נכסים-יתרות פתיחה'!$2:$110,6,0),0)-IFERROR(HLOOKUP(BD20,'סקרי נכסים-יתרות פתיחה'!$2:$110,91,0),0)*(1-BD$309)</f>
        <v>0</v>
      </c>
      <c r="BE88" s="1240">
        <f>+IFERROR(HLOOKUP(BE20,'סקרי נכסים-יתרות פתיחה'!$2:$110,6,0),0)-IFERROR(HLOOKUP(BE20,'סקרי נכסים-יתרות פתיחה'!$2:$110,91,0),0)*(1-BE$309)</f>
        <v>0</v>
      </c>
      <c r="BF88" s="1240">
        <f>+IFERROR(HLOOKUP(BF20,'סקרי נכסים-יתרות פתיחה'!$2:$110,6,0),0)-IFERROR(HLOOKUP(BF20,'סקרי נכסים-יתרות פתיחה'!$2:$110,91,0),0)*(1-BF$309)</f>
        <v>0</v>
      </c>
    </row>
    <row r="89" spans="2:58" x14ac:dyDescent="0.2">
      <c r="B89" s="1">
        <v>18</v>
      </c>
      <c r="C89" s="1240">
        <f>+IFERROR(HLOOKUP(C21,'סקרי נכסים-יתרות פתיחה'!$2:$110,6,0),0)-IFERROR(HLOOKUP(C21,'סקרי נכסים-יתרות פתיחה'!$2:$110,91,0),0)*(1-C$309)</f>
        <v>0</v>
      </c>
      <c r="D89" s="1240">
        <f>+IFERROR(HLOOKUP(D21,'סקרי נכסים-יתרות פתיחה'!$2:$110,6,0),0)-IFERROR(HLOOKUP(D21,'סקרי נכסים-יתרות פתיחה'!$2:$110,91,0),0)*(1-D$309)</f>
        <v>0</v>
      </c>
      <c r="E89" s="1240">
        <f>+IFERROR(HLOOKUP(E21,'סקרי נכסים-יתרות פתיחה'!$2:$110,6,0),0)-IFERROR(HLOOKUP(E21,'סקרי נכסים-יתרות פתיחה'!$2:$110,91,0),0)*(1-E$309)</f>
        <v>0</v>
      </c>
      <c r="F89" s="1240">
        <f>+IFERROR(HLOOKUP(F21,'סקרי נכסים-יתרות פתיחה'!$2:$110,6,0),0)-IFERROR(HLOOKUP(F21,'סקרי נכסים-יתרות פתיחה'!$2:$110,91,0),0)*(1-F$309)</f>
        <v>0</v>
      </c>
      <c r="G89" s="1240">
        <f>+IFERROR(HLOOKUP(G21,'סקרי נכסים-יתרות פתיחה'!$2:$110,6,0),0)-IFERROR(HLOOKUP(G21,'סקרי נכסים-יתרות פתיחה'!$2:$110,91,0),0)*(1-G$309)</f>
        <v>0</v>
      </c>
      <c r="H89" s="1240">
        <f>+IFERROR(HLOOKUP(H21,'סקרי נכסים-יתרות פתיחה'!$2:$110,6,0),0)-IFERROR(HLOOKUP(H21,'סקרי נכסים-יתרות פתיחה'!$2:$110,91,0),0)*(1-H$309)</f>
        <v>0</v>
      </c>
      <c r="I89" s="1240">
        <f>+IFERROR(HLOOKUP(I21,'סקרי נכסים-יתרות פתיחה'!$2:$110,6,0),0)-IFERROR(HLOOKUP(I21,'סקרי נכסים-יתרות פתיחה'!$2:$110,91,0),0)*(1-I$309)</f>
        <v>0</v>
      </c>
      <c r="J89" s="1240">
        <f>+IFERROR(HLOOKUP(J21,'סקרי נכסים-יתרות פתיחה'!$2:$110,6,0),0)-IFERROR(HLOOKUP(J21,'סקרי נכסים-יתרות פתיחה'!$2:$110,91,0),0)*(1-J$309)</f>
        <v>0</v>
      </c>
      <c r="K89" s="1240">
        <f>+IFERROR(HLOOKUP(K21,'סקרי נכסים-יתרות פתיחה'!$2:$110,6,0),0)-IFERROR(HLOOKUP(K21,'סקרי נכסים-יתרות פתיחה'!$2:$110,91,0),0)*(1-K$309)</f>
        <v>0</v>
      </c>
      <c r="L89" s="1240">
        <f>+IFERROR(HLOOKUP(L21,'סקרי נכסים-יתרות פתיחה'!$2:$110,6,0),0)-IFERROR(HLOOKUP(L21,'סקרי נכסים-יתרות פתיחה'!$2:$110,91,0),0)*(1-L$309)</f>
        <v>0</v>
      </c>
      <c r="M89" s="1240">
        <f>+IFERROR(HLOOKUP(M21,'סקרי נכסים-יתרות פתיחה'!$2:$110,6,0),0)-IFERROR(HLOOKUP(M21,'סקרי נכסים-יתרות פתיחה'!$2:$110,91,0),0)*(1-M$309)</f>
        <v>0</v>
      </c>
      <c r="N89" s="1240">
        <f>+IFERROR(HLOOKUP(N21,'סקרי נכסים-יתרות פתיחה'!$2:$110,6,0),0)-IFERROR(HLOOKUP(N21,'סקרי נכסים-יתרות פתיחה'!$2:$110,91,0),0)*(1-N$309)</f>
        <v>0</v>
      </c>
      <c r="O89" s="1240">
        <f>+IFERROR(HLOOKUP(O21,'סקרי נכסים-יתרות פתיחה'!$2:$110,6,0),0)-IFERROR(HLOOKUP(O21,'סקרי נכסים-יתרות פתיחה'!$2:$110,91,0),0)*(1-O$309)</f>
        <v>0</v>
      </c>
      <c r="P89" s="1240">
        <f>+IFERROR(HLOOKUP(P21,'סקרי נכסים-יתרות פתיחה'!$2:$110,6,0),0)-IFERROR(HLOOKUP(P21,'סקרי נכסים-יתרות פתיחה'!$2:$110,91,0),0)*(1-P$309)</f>
        <v>0</v>
      </c>
      <c r="Q89" s="1240">
        <f>+IFERROR(HLOOKUP(Q21,'סקרי נכסים-יתרות פתיחה'!$2:$110,6,0),0)-IFERROR(HLOOKUP(Q21,'סקרי נכסים-יתרות פתיחה'!$2:$110,91,0),0)*(1-Q$309)</f>
        <v>0</v>
      </c>
      <c r="R89" s="1240">
        <f>+IFERROR(HLOOKUP(R21,'סקרי נכסים-יתרות פתיחה'!$2:$110,6,0),0)-IFERROR(HLOOKUP(R21,'סקרי נכסים-יתרות פתיחה'!$2:$110,91,0),0)*(1-R$309)</f>
        <v>0</v>
      </c>
      <c r="S89" s="1240">
        <f>+IFERROR(HLOOKUP(S21,'סקרי נכסים-יתרות פתיחה'!$2:$110,6,0),0)-IFERROR(HLOOKUP(S21,'סקרי נכסים-יתרות פתיחה'!$2:$110,91,0),0)*(1-S$309)</f>
        <v>0</v>
      </c>
      <c r="T89" s="1240">
        <f>+IFERROR(HLOOKUP(T21,'סקרי נכסים-יתרות פתיחה'!$2:$110,6,0),0)-IFERROR(HLOOKUP(T21,'סקרי נכסים-יתרות פתיחה'!$2:$110,91,0),0)*(1-T$309)</f>
        <v>0</v>
      </c>
      <c r="U89" s="1240">
        <f>+IFERROR(HLOOKUP(U21,'סקרי נכסים-יתרות פתיחה'!$2:$110,6,0),0)-IFERROR(HLOOKUP(U21,'סקרי נכסים-יתרות פתיחה'!$2:$110,91,0),0)*(1-U$309)</f>
        <v>0</v>
      </c>
      <c r="V89" s="1240">
        <f>+IFERROR(HLOOKUP(V21,'סקרי נכסים-יתרות פתיחה'!$2:$110,6,0),0)-IFERROR(HLOOKUP(V21,'סקרי נכסים-יתרות פתיחה'!$2:$110,91,0),0)*(1-V$309)</f>
        <v>0</v>
      </c>
      <c r="W89" s="1240">
        <f>+IFERROR(HLOOKUP(W21,'סקרי נכסים-יתרות פתיחה'!$2:$110,6,0),0)-IFERROR(HLOOKUP(W21,'סקרי נכסים-יתרות פתיחה'!$2:$110,91,0),0)*(1-W$309)</f>
        <v>0</v>
      </c>
      <c r="X89" s="1240">
        <f>+IFERROR(HLOOKUP(X21,'סקרי נכסים-יתרות פתיחה'!$2:$110,6,0),0)-IFERROR(HLOOKUP(X21,'סקרי נכסים-יתרות פתיחה'!$2:$110,91,0),0)*(1-X$309)</f>
        <v>0</v>
      </c>
      <c r="Y89" s="1240">
        <f>+IFERROR(HLOOKUP(Y21,'סקרי נכסים-יתרות פתיחה'!$2:$110,6,0),0)-IFERROR(HLOOKUP(Y21,'סקרי נכסים-יתרות פתיחה'!$2:$110,91,0),0)*(1-Y$309)</f>
        <v>0</v>
      </c>
      <c r="Z89" s="1240">
        <f>+IFERROR(HLOOKUP(Z21,'סקרי נכסים-יתרות פתיחה'!$2:$110,6,0),0)-IFERROR(HLOOKUP(Z21,'סקרי נכסים-יתרות פתיחה'!$2:$110,91,0),0)*(1-Z$309)</f>
        <v>0</v>
      </c>
      <c r="AA89" s="1240">
        <f>+IFERROR(HLOOKUP(AA21,'סקרי נכסים-יתרות פתיחה'!$2:$110,6,0),0)-IFERROR(HLOOKUP(AA21,'סקרי נכסים-יתרות פתיחה'!$2:$110,91,0),0)*(1-AA$309)</f>
        <v>0</v>
      </c>
      <c r="AB89" s="1240">
        <f>+IFERROR(HLOOKUP(AB21,'סקרי נכסים-יתרות פתיחה'!$2:$110,6,0),0)-IFERROR(HLOOKUP(AB21,'סקרי נכסים-יתרות פתיחה'!$2:$110,91,0),0)*(1-AB$309)</f>
        <v>0</v>
      </c>
      <c r="AC89" s="1240">
        <f>+IFERROR(HLOOKUP(AC21,'סקרי נכסים-יתרות פתיחה'!$2:$110,6,0),0)-IFERROR(HLOOKUP(AC21,'סקרי נכסים-יתרות פתיחה'!$2:$110,91,0),0)*(1-AC$309)</f>
        <v>0</v>
      </c>
      <c r="AD89" s="1240">
        <f>+IFERROR(HLOOKUP(AD21,'סקרי נכסים-יתרות פתיחה'!$2:$110,6,0),0)-IFERROR(HLOOKUP(AD21,'סקרי נכסים-יתרות פתיחה'!$2:$110,91,0),0)*(1-AD$309)</f>
        <v>0</v>
      </c>
      <c r="AE89" s="1240">
        <f>+IFERROR(HLOOKUP(AE21,'סקרי נכסים-יתרות פתיחה'!$2:$110,6,0),0)-IFERROR(HLOOKUP(AE21,'סקרי נכסים-יתרות פתיחה'!$2:$110,91,0),0)*(1-AE$309)</f>
        <v>0</v>
      </c>
      <c r="AF89" s="1240">
        <f>+IFERROR(HLOOKUP(AF21,'סקרי נכסים-יתרות פתיחה'!$2:$110,6,0),0)-IFERROR(HLOOKUP(AF21,'סקרי נכסים-יתרות פתיחה'!$2:$110,91,0),0)*(1-AF$309)</f>
        <v>0</v>
      </c>
      <c r="AG89" s="1240">
        <f>+IFERROR(HLOOKUP(AG21,'סקרי נכסים-יתרות פתיחה'!$2:$110,6,0),0)-IFERROR(HLOOKUP(AG21,'סקרי נכסים-יתרות פתיחה'!$2:$110,91,0),0)*(1-AG$309)</f>
        <v>0</v>
      </c>
      <c r="AH89" s="1240">
        <f>+IFERROR(HLOOKUP(AH21,'סקרי נכסים-יתרות פתיחה'!$2:$110,6,0),0)-IFERROR(HLOOKUP(AH21,'סקרי נכסים-יתרות פתיחה'!$2:$110,91,0),0)*(1-AH$309)</f>
        <v>0</v>
      </c>
      <c r="AI89" s="1240">
        <f>+IFERROR(HLOOKUP(AI21,'סקרי נכסים-יתרות פתיחה'!$2:$110,6,0),0)-IFERROR(HLOOKUP(AI21,'סקרי נכסים-יתרות פתיחה'!$2:$110,91,0),0)*(1-AI$309)</f>
        <v>0</v>
      </c>
      <c r="AJ89" s="1240">
        <f>+IFERROR(HLOOKUP(AJ21,'סקרי נכסים-יתרות פתיחה'!$2:$110,6,0),0)-IFERROR(HLOOKUP(AJ21,'סקרי נכסים-יתרות פתיחה'!$2:$110,91,0),0)*(1-AJ$309)</f>
        <v>0</v>
      </c>
      <c r="AK89" s="1240">
        <f>+IFERROR(HLOOKUP(AK21,'סקרי נכסים-יתרות פתיחה'!$2:$110,6,0),0)-IFERROR(HLOOKUP(AK21,'סקרי נכסים-יתרות פתיחה'!$2:$110,91,0),0)*(1-AK$309)</f>
        <v>0</v>
      </c>
      <c r="AL89" s="1240">
        <f>+IFERROR(HLOOKUP(AL21,'סקרי נכסים-יתרות פתיחה'!$2:$110,6,0),0)-IFERROR(HLOOKUP(AL21,'סקרי נכסים-יתרות פתיחה'!$2:$110,91,0),0)*(1-AL$309)</f>
        <v>0</v>
      </c>
      <c r="AM89" s="1240">
        <f>+IFERROR(HLOOKUP(AM21,'סקרי נכסים-יתרות פתיחה'!$2:$110,6,0),0)-IFERROR(HLOOKUP(AM21,'סקרי נכסים-יתרות פתיחה'!$2:$110,91,0),0)*(1-AM$309)</f>
        <v>0</v>
      </c>
      <c r="AN89" s="1240">
        <f>+IFERROR(HLOOKUP(AN21,'סקרי נכסים-יתרות פתיחה'!$2:$110,6,0),0)-IFERROR(HLOOKUP(AN21,'סקרי נכסים-יתרות פתיחה'!$2:$110,91,0),0)*(1-AN$309)</f>
        <v>0</v>
      </c>
      <c r="AO89" s="1240">
        <f>+IFERROR(HLOOKUP(AO21,'סקרי נכסים-יתרות פתיחה'!$2:$110,6,0),0)-IFERROR(HLOOKUP(AO21,'סקרי נכסים-יתרות פתיחה'!$2:$110,91,0),0)*(1-AO$309)</f>
        <v>0</v>
      </c>
      <c r="AP89" s="1240">
        <f>+IFERROR(HLOOKUP(AP21,'סקרי נכסים-יתרות פתיחה'!$2:$110,6,0),0)-IFERROR(HLOOKUP(AP21,'סקרי נכסים-יתרות פתיחה'!$2:$110,91,0),0)*(1-AP$309)</f>
        <v>0</v>
      </c>
      <c r="AQ89" s="1240">
        <f>+IFERROR(HLOOKUP(AQ21,'סקרי נכסים-יתרות פתיחה'!$2:$110,6,0),0)-IFERROR(HLOOKUP(AQ21,'סקרי נכסים-יתרות פתיחה'!$2:$110,91,0),0)*(1-AQ$309)</f>
        <v>0</v>
      </c>
      <c r="AR89" s="1240">
        <f>+IFERROR(HLOOKUP(AR21,'סקרי נכסים-יתרות פתיחה'!$2:$110,6,0),0)-IFERROR(HLOOKUP(AR21,'סקרי נכסים-יתרות פתיחה'!$2:$110,91,0),0)*(1-AR$309)</f>
        <v>0</v>
      </c>
      <c r="AS89" s="1240">
        <f>+IFERROR(HLOOKUP(AS21,'סקרי נכסים-יתרות פתיחה'!$2:$110,6,0),0)-IFERROR(HLOOKUP(AS21,'סקרי נכסים-יתרות פתיחה'!$2:$110,91,0),0)*(1-AS$309)</f>
        <v>0</v>
      </c>
      <c r="AT89" s="1240">
        <f>+IFERROR(HLOOKUP(AT21,'סקרי נכסים-יתרות פתיחה'!$2:$110,6,0),0)-IFERROR(HLOOKUP(AT21,'סקרי נכסים-יתרות פתיחה'!$2:$110,91,0),0)*(1-AT$309)</f>
        <v>0</v>
      </c>
      <c r="AU89" s="1240">
        <f>+IFERROR(HLOOKUP(AU21,'סקרי נכסים-יתרות פתיחה'!$2:$110,6,0),0)-IFERROR(HLOOKUP(AU21,'סקרי נכסים-יתרות פתיחה'!$2:$110,91,0),0)*(1-AU$309)</f>
        <v>0</v>
      </c>
      <c r="AV89" s="1240">
        <f>+IFERROR(HLOOKUP(AV21,'סקרי נכסים-יתרות פתיחה'!$2:$110,6,0),0)-IFERROR(HLOOKUP(AV21,'סקרי נכסים-יתרות פתיחה'!$2:$110,91,0),0)*(1-AV$309)</f>
        <v>0</v>
      </c>
      <c r="AW89" s="1240">
        <f>+IFERROR(HLOOKUP(AW21,'סקרי נכסים-יתרות פתיחה'!$2:$110,6,0),0)-IFERROR(HLOOKUP(AW21,'סקרי נכסים-יתרות פתיחה'!$2:$110,91,0),0)*(1-AW$309)</f>
        <v>0</v>
      </c>
      <c r="AX89" s="1240">
        <f>+IFERROR(HLOOKUP(AX21,'סקרי נכסים-יתרות פתיחה'!$2:$110,6,0),0)-IFERROR(HLOOKUP(AX21,'סקרי נכסים-יתרות פתיחה'!$2:$110,91,0),0)*(1-AX$309)</f>
        <v>0</v>
      </c>
      <c r="AY89" s="1240">
        <f>+IFERROR(HLOOKUP(AY21,'סקרי נכסים-יתרות פתיחה'!$2:$110,6,0),0)-IFERROR(HLOOKUP(AY21,'סקרי נכסים-יתרות פתיחה'!$2:$110,91,0),0)*(1-AY$309)</f>
        <v>0</v>
      </c>
      <c r="AZ89" s="1240">
        <f>+IFERROR(HLOOKUP(AZ21,'סקרי נכסים-יתרות פתיחה'!$2:$110,6,0),0)-IFERROR(HLOOKUP(AZ21,'סקרי נכסים-יתרות פתיחה'!$2:$110,91,0),0)*(1-AZ$309)</f>
        <v>0</v>
      </c>
      <c r="BA89" s="1240">
        <f>+IFERROR(HLOOKUP(BA21,'סקרי נכסים-יתרות פתיחה'!$2:$110,6,0),0)-IFERROR(HLOOKUP(BA21,'סקרי נכסים-יתרות פתיחה'!$2:$110,91,0),0)*(1-BA$309)</f>
        <v>0</v>
      </c>
      <c r="BB89" s="1240">
        <f>+IFERROR(HLOOKUP(BB21,'סקרי נכסים-יתרות פתיחה'!$2:$110,6,0),0)-IFERROR(HLOOKUP(BB21,'סקרי נכסים-יתרות פתיחה'!$2:$110,91,0),0)*(1-BB$309)</f>
        <v>0</v>
      </c>
      <c r="BC89" s="1240">
        <f>+IFERROR(HLOOKUP(BC21,'סקרי נכסים-יתרות פתיחה'!$2:$110,6,0),0)-IFERROR(HLOOKUP(BC21,'סקרי נכסים-יתרות פתיחה'!$2:$110,91,0),0)*(1-BC$309)</f>
        <v>0</v>
      </c>
      <c r="BD89" s="1240">
        <f>+IFERROR(HLOOKUP(BD21,'סקרי נכסים-יתרות פתיחה'!$2:$110,6,0),0)-IFERROR(HLOOKUP(BD21,'סקרי נכסים-יתרות פתיחה'!$2:$110,91,0),0)*(1-BD$309)</f>
        <v>0</v>
      </c>
      <c r="BE89" s="1240">
        <f>+IFERROR(HLOOKUP(BE21,'סקרי נכסים-יתרות פתיחה'!$2:$110,6,0),0)-IFERROR(HLOOKUP(BE21,'סקרי נכסים-יתרות פתיחה'!$2:$110,91,0),0)*(1-BE$309)</f>
        <v>0</v>
      </c>
      <c r="BF89" s="1240">
        <f>+IFERROR(HLOOKUP(BF21,'סקרי נכסים-יתרות פתיחה'!$2:$110,6,0),0)-IFERROR(HLOOKUP(BF21,'סקרי נכסים-יתרות פתיחה'!$2:$110,91,0),0)*(1-BF$309)</f>
        <v>0</v>
      </c>
    </row>
    <row r="90" spans="2:58" x14ac:dyDescent="0.2">
      <c r="B90" s="1">
        <v>19</v>
      </c>
      <c r="C90" s="1240">
        <f>+IFERROR(HLOOKUP(C22,'סקרי נכסים-יתרות פתיחה'!$2:$110,6,0),0)-IFERROR(HLOOKUP(C22,'סקרי נכסים-יתרות פתיחה'!$2:$110,91,0),0)*(1-C$309)</f>
        <v>0</v>
      </c>
      <c r="D90" s="1240">
        <f>+IFERROR(HLOOKUP(D22,'סקרי נכסים-יתרות פתיחה'!$2:$110,6,0),0)-IFERROR(HLOOKUP(D22,'סקרי נכסים-יתרות פתיחה'!$2:$110,91,0),0)*(1-D$309)</f>
        <v>0</v>
      </c>
      <c r="E90" s="1240">
        <f>+IFERROR(HLOOKUP(E22,'סקרי נכסים-יתרות פתיחה'!$2:$110,6,0),0)-IFERROR(HLOOKUP(E22,'סקרי נכסים-יתרות פתיחה'!$2:$110,91,0),0)*(1-E$309)</f>
        <v>0</v>
      </c>
      <c r="F90" s="1240">
        <f>+IFERROR(HLOOKUP(F22,'סקרי נכסים-יתרות פתיחה'!$2:$110,6,0),0)-IFERROR(HLOOKUP(F22,'סקרי נכסים-יתרות פתיחה'!$2:$110,91,0),0)*(1-F$309)</f>
        <v>0</v>
      </c>
      <c r="G90" s="1240">
        <f>+IFERROR(HLOOKUP(G22,'סקרי נכסים-יתרות פתיחה'!$2:$110,6,0),0)-IFERROR(HLOOKUP(G22,'סקרי נכסים-יתרות פתיחה'!$2:$110,91,0),0)*(1-G$309)</f>
        <v>0</v>
      </c>
      <c r="H90" s="1240">
        <f>+IFERROR(HLOOKUP(H22,'סקרי נכסים-יתרות פתיחה'!$2:$110,6,0),0)-IFERROR(HLOOKUP(H22,'סקרי נכסים-יתרות פתיחה'!$2:$110,91,0),0)*(1-H$309)</f>
        <v>0</v>
      </c>
      <c r="I90" s="1240">
        <f>+IFERROR(HLOOKUP(I22,'סקרי נכסים-יתרות פתיחה'!$2:$110,6,0),0)-IFERROR(HLOOKUP(I22,'סקרי נכסים-יתרות פתיחה'!$2:$110,91,0),0)*(1-I$309)</f>
        <v>0</v>
      </c>
      <c r="J90" s="1240">
        <f>+IFERROR(HLOOKUP(J22,'סקרי נכסים-יתרות פתיחה'!$2:$110,6,0),0)-IFERROR(HLOOKUP(J22,'סקרי נכסים-יתרות פתיחה'!$2:$110,91,0),0)*(1-J$309)</f>
        <v>0</v>
      </c>
      <c r="K90" s="1240">
        <f>+IFERROR(HLOOKUP(K22,'סקרי נכסים-יתרות פתיחה'!$2:$110,6,0),0)-IFERROR(HLOOKUP(K22,'סקרי נכסים-יתרות פתיחה'!$2:$110,91,0),0)*(1-K$309)</f>
        <v>0</v>
      </c>
      <c r="L90" s="1240">
        <f>+IFERROR(HLOOKUP(L22,'סקרי נכסים-יתרות פתיחה'!$2:$110,6,0),0)-IFERROR(HLOOKUP(L22,'סקרי נכסים-יתרות פתיחה'!$2:$110,91,0),0)*(1-L$309)</f>
        <v>0</v>
      </c>
      <c r="M90" s="1240">
        <f>+IFERROR(HLOOKUP(M22,'סקרי נכסים-יתרות פתיחה'!$2:$110,6,0),0)-IFERROR(HLOOKUP(M22,'סקרי נכסים-יתרות פתיחה'!$2:$110,91,0),0)*(1-M$309)</f>
        <v>0</v>
      </c>
      <c r="N90" s="1240">
        <f>+IFERROR(HLOOKUP(N22,'סקרי נכסים-יתרות פתיחה'!$2:$110,6,0),0)-IFERROR(HLOOKUP(N22,'סקרי נכסים-יתרות פתיחה'!$2:$110,91,0),0)*(1-N$309)</f>
        <v>0</v>
      </c>
      <c r="O90" s="1240">
        <f>+IFERROR(HLOOKUP(O22,'סקרי נכסים-יתרות פתיחה'!$2:$110,6,0),0)-IFERROR(HLOOKUP(O22,'סקרי נכסים-יתרות פתיחה'!$2:$110,91,0),0)*(1-O$309)</f>
        <v>0</v>
      </c>
      <c r="P90" s="1240">
        <f>+IFERROR(HLOOKUP(P22,'סקרי נכסים-יתרות פתיחה'!$2:$110,6,0),0)-IFERROR(HLOOKUP(P22,'סקרי נכסים-יתרות פתיחה'!$2:$110,91,0),0)*(1-P$309)</f>
        <v>0</v>
      </c>
      <c r="Q90" s="1240">
        <f>+IFERROR(HLOOKUP(Q22,'סקרי נכסים-יתרות פתיחה'!$2:$110,6,0),0)-IFERROR(HLOOKUP(Q22,'סקרי נכסים-יתרות פתיחה'!$2:$110,91,0),0)*(1-Q$309)</f>
        <v>0</v>
      </c>
      <c r="R90" s="1240">
        <f>+IFERROR(HLOOKUP(R22,'סקרי נכסים-יתרות פתיחה'!$2:$110,6,0),0)-IFERROR(HLOOKUP(R22,'סקרי נכסים-יתרות פתיחה'!$2:$110,91,0),0)*(1-R$309)</f>
        <v>0</v>
      </c>
      <c r="S90" s="1240">
        <f>+IFERROR(HLOOKUP(S22,'סקרי נכסים-יתרות פתיחה'!$2:$110,6,0),0)-IFERROR(HLOOKUP(S22,'סקרי נכסים-יתרות פתיחה'!$2:$110,91,0),0)*(1-S$309)</f>
        <v>0</v>
      </c>
      <c r="T90" s="1240">
        <f>+IFERROR(HLOOKUP(T22,'סקרי נכסים-יתרות פתיחה'!$2:$110,6,0),0)-IFERROR(HLOOKUP(T22,'סקרי נכסים-יתרות פתיחה'!$2:$110,91,0),0)*(1-T$309)</f>
        <v>0</v>
      </c>
      <c r="U90" s="1240">
        <f>+IFERROR(HLOOKUP(U22,'סקרי נכסים-יתרות פתיחה'!$2:$110,6,0),0)-IFERROR(HLOOKUP(U22,'סקרי נכסים-יתרות פתיחה'!$2:$110,91,0),0)*(1-U$309)</f>
        <v>0</v>
      </c>
      <c r="V90" s="1240">
        <f>+IFERROR(HLOOKUP(V22,'סקרי נכסים-יתרות פתיחה'!$2:$110,6,0),0)-IFERROR(HLOOKUP(V22,'סקרי נכסים-יתרות פתיחה'!$2:$110,91,0),0)*(1-V$309)</f>
        <v>0</v>
      </c>
      <c r="W90" s="1240">
        <f>+IFERROR(HLOOKUP(W22,'סקרי נכסים-יתרות פתיחה'!$2:$110,6,0),0)-IFERROR(HLOOKUP(W22,'סקרי נכסים-יתרות פתיחה'!$2:$110,91,0),0)*(1-W$309)</f>
        <v>0</v>
      </c>
      <c r="X90" s="1240">
        <f>+IFERROR(HLOOKUP(X22,'סקרי נכסים-יתרות פתיחה'!$2:$110,6,0),0)-IFERROR(HLOOKUP(X22,'סקרי נכסים-יתרות פתיחה'!$2:$110,91,0),0)*(1-X$309)</f>
        <v>0</v>
      </c>
      <c r="Y90" s="1240">
        <f>+IFERROR(HLOOKUP(Y22,'סקרי נכסים-יתרות פתיחה'!$2:$110,6,0),0)-IFERROR(HLOOKUP(Y22,'סקרי נכסים-יתרות פתיחה'!$2:$110,91,0),0)*(1-Y$309)</f>
        <v>0</v>
      </c>
      <c r="Z90" s="1240">
        <f>+IFERROR(HLOOKUP(Z22,'סקרי נכסים-יתרות פתיחה'!$2:$110,6,0),0)-IFERROR(HLOOKUP(Z22,'סקרי נכסים-יתרות פתיחה'!$2:$110,91,0),0)*(1-Z$309)</f>
        <v>0</v>
      </c>
      <c r="AA90" s="1240">
        <f>+IFERROR(HLOOKUP(AA22,'סקרי נכסים-יתרות פתיחה'!$2:$110,6,0),0)-IFERROR(HLOOKUP(AA22,'סקרי נכסים-יתרות פתיחה'!$2:$110,91,0),0)*(1-AA$309)</f>
        <v>0</v>
      </c>
      <c r="AB90" s="1240">
        <f>+IFERROR(HLOOKUP(AB22,'סקרי נכסים-יתרות פתיחה'!$2:$110,6,0),0)-IFERROR(HLOOKUP(AB22,'סקרי נכסים-יתרות פתיחה'!$2:$110,91,0),0)*(1-AB$309)</f>
        <v>0</v>
      </c>
      <c r="AC90" s="1240">
        <f>+IFERROR(HLOOKUP(AC22,'סקרי נכסים-יתרות פתיחה'!$2:$110,6,0),0)-IFERROR(HLOOKUP(AC22,'סקרי נכסים-יתרות פתיחה'!$2:$110,91,0),0)*(1-AC$309)</f>
        <v>0</v>
      </c>
      <c r="AD90" s="1240">
        <f>+IFERROR(HLOOKUP(AD22,'סקרי נכסים-יתרות פתיחה'!$2:$110,6,0),0)-IFERROR(HLOOKUP(AD22,'סקרי נכסים-יתרות פתיחה'!$2:$110,91,0),0)*(1-AD$309)</f>
        <v>0</v>
      </c>
      <c r="AE90" s="1240">
        <f>+IFERROR(HLOOKUP(AE22,'סקרי נכסים-יתרות פתיחה'!$2:$110,6,0),0)-IFERROR(HLOOKUP(AE22,'סקרי נכסים-יתרות פתיחה'!$2:$110,91,0),0)*(1-AE$309)</f>
        <v>0</v>
      </c>
      <c r="AF90" s="1240">
        <f>+IFERROR(HLOOKUP(AF22,'סקרי נכסים-יתרות פתיחה'!$2:$110,6,0),0)-IFERROR(HLOOKUP(AF22,'סקרי נכסים-יתרות פתיחה'!$2:$110,91,0),0)*(1-AF$309)</f>
        <v>0</v>
      </c>
      <c r="AG90" s="1240">
        <f>+IFERROR(HLOOKUP(AG22,'סקרי נכסים-יתרות פתיחה'!$2:$110,6,0),0)-IFERROR(HLOOKUP(AG22,'סקרי נכסים-יתרות פתיחה'!$2:$110,91,0),0)*(1-AG$309)</f>
        <v>0</v>
      </c>
      <c r="AH90" s="1240">
        <f>+IFERROR(HLOOKUP(AH22,'סקרי נכסים-יתרות פתיחה'!$2:$110,6,0),0)-IFERROR(HLOOKUP(AH22,'סקרי נכסים-יתרות פתיחה'!$2:$110,91,0),0)*(1-AH$309)</f>
        <v>0</v>
      </c>
      <c r="AI90" s="1240">
        <f>+IFERROR(HLOOKUP(AI22,'סקרי נכסים-יתרות פתיחה'!$2:$110,6,0),0)-IFERROR(HLOOKUP(AI22,'סקרי נכסים-יתרות פתיחה'!$2:$110,91,0),0)*(1-AI$309)</f>
        <v>0</v>
      </c>
      <c r="AJ90" s="1240">
        <f>+IFERROR(HLOOKUP(AJ22,'סקרי נכסים-יתרות פתיחה'!$2:$110,6,0),0)-IFERROR(HLOOKUP(AJ22,'סקרי נכסים-יתרות פתיחה'!$2:$110,91,0),0)*(1-AJ$309)</f>
        <v>0</v>
      </c>
      <c r="AK90" s="1240">
        <f>+IFERROR(HLOOKUP(AK22,'סקרי נכסים-יתרות פתיחה'!$2:$110,6,0),0)-IFERROR(HLOOKUP(AK22,'סקרי נכסים-יתרות פתיחה'!$2:$110,91,0),0)*(1-AK$309)</f>
        <v>0</v>
      </c>
      <c r="AL90" s="1240">
        <f>+IFERROR(HLOOKUP(AL22,'סקרי נכסים-יתרות פתיחה'!$2:$110,6,0),0)-IFERROR(HLOOKUP(AL22,'סקרי נכסים-יתרות פתיחה'!$2:$110,91,0),0)*(1-AL$309)</f>
        <v>0</v>
      </c>
      <c r="AM90" s="1240">
        <f>+IFERROR(HLOOKUP(AM22,'סקרי נכסים-יתרות פתיחה'!$2:$110,6,0),0)-IFERROR(HLOOKUP(AM22,'סקרי נכסים-יתרות פתיחה'!$2:$110,91,0),0)*(1-AM$309)</f>
        <v>0</v>
      </c>
      <c r="AN90" s="1240">
        <f>+IFERROR(HLOOKUP(AN22,'סקרי נכסים-יתרות פתיחה'!$2:$110,6,0),0)-IFERROR(HLOOKUP(AN22,'סקרי נכסים-יתרות פתיחה'!$2:$110,91,0),0)*(1-AN$309)</f>
        <v>0</v>
      </c>
      <c r="AO90" s="1240">
        <f>+IFERROR(HLOOKUP(AO22,'סקרי נכסים-יתרות פתיחה'!$2:$110,6,0),0)-IFERROR(HLOOKUP(AO22,'סקרי נכסים-יתרות פתיחה'!$2:$110,91,0),0)*(1-AO$309)</f>
        <v>0</v>
      </c>
      <c r="AP90" s="1240">
        <f>+IFERROR(HLOOKUP(AP22,'סקרי נכסים-יתרות פתיחה'!$2:$110,6,0),0)-IFERROR(HLOOKUP(AP22,'סקרי נכסים-יתרות פתיחה'!$2:$110,91,0),0)*(1-AP$309)</f>
        <v>0</v>
      </c>
      <c r="AQ90" s="1240">
        <f>+IFERROR(HLOOKUP(AQ22,'סקרי נכסים-יתרות פתיחה'!$2:$110,6,0),0)-IFERROR(HLOOKUP(AQ22,'סקרי נכסים-יתרות פתיחה'!$2:$110,91,0),0)*(1-AQ$309)</f>
        <v>0</v>
      </c>
      <c r="AR90" s="1240">
        <f>+IFERROR(HLOOKUP(AR22,'סקרי נכסים-יתרות פתיחה'!$2:$110,6,0),0)-IFERROR(HLOOKUP(AR22,'סקרי נכסים-יתרות פתיחה'!$2:$110,91,0),0)*(1-AR$309)</f>
        <v>0</v>
      </c>
      <c r="AS90" s="1240">
        <f>+IFERROR(HLOOKUP(AS22,'סקרי נכסים-יתרות פתיחה'!$2:$110,6,0),0)-IFERROR(HLOOKUP(AS22,'סקרי נכסים-יתרות פתיחה'!$2:$110,91,0),0)*(1-AS$309)</f>
        <v>0</v>
      </c>
      <c r="AT90" s="1240">
        <f>+IFERROR(HLOOKUP(AT22,'סקרי נכסים-יתרות פתיחה'!$2:$110,6,0),0)-IFERROR(HLOOKUP(AT22,'סקרי נכסים-יתרות פתיחה'!$2:$110,91,0),0)*(1-AT$309)</f>
        <v>0</v>
      </c>
      <c r="AU90" s="1240">
        <f>+IFERROR(HLOOKUP(AU22,'סקרי נכסים-יתרות פתיחה'!$2:$110,6,0),0)-IFERROR(HLOOKUP(AU22,'סקרי נכסים-יתרות פתיחה'!$2:$110,91,0),0)*(1-AU$309)</f>
        <v>0</v>
      </c>
      <c r="AV90" s="1240">
        <f>+IFERROR(HLOOKUP(AV22,'סקרי נכסים-יתרות פתיחה'!$2:$110,6,0),0)-IFERROR(HLOOKUP(AV22,'סקרי נכסים-יתרות פתיחה'!$2:$110,91,0),0)*(1-AV$309)</f>
        <v>0</v>
      </c>
      <c r="AW90" s="1240">
        <f>+IFERROR(HLOOKUP(AW22,'סקרי נכסים-יתרות פתיחה'!$2:$110,6,0),0)-IFERROR(HLOOKUP(AW22,'סקרי נכסים-יתרות פתיחה'!$2:$110,91,0),0)*(1-AW$309)</f>
        <v>0</v>
      </c>
      <c r="AX90" s="1240">
        <f>+IFERROR(HLOOKUP(AX22,'סקרי נכסים-יתרות פתיחה'!$2:$110,6,0),0)-IFERROR(HLOOKUP(AX22,'סקרי נכסים-יתרות פתיחה'!$2:$110,91,0),0)*(1-AX$309)</f>
        <v>0</v>
      </c>
      <c r="AY90" s="1240">
        <f>+IFERROR(HLOOKUP(AY22,'סקרי נכסים-יתרות פתיחה'!$2:$110,6,0),0)-IFERROR(HLOOKUP(AY22,'סקרי נכסים-יתרות פתיחה'!$2:$110,91,0),0)*(1-AY$309)</f>
        <v>0</v>
      </c>
      <c r="AZ90" s="1240">
        <f>+IFERROR(HLOOKUP(AZ22,'סקרי נכסים-יתרות פתיחה'!$2:$110,6,0),0)-IFERROR(HLOOKUP(AZ22,'סקרי נכסים-יתרות פתיחה'!$2:$110,91,0),0)*(1-AZ$309)</f>
        <v>0</v>
      </c>
      <c r="BA90" s="1240">
        <f>+IFERROR(HLOOKUP(BA22,'סקרי נכסים-יתרות פתיחה'!$2:$110,6,0),0)-IFERROR(HLOOKUP(BA22,'סקרי נכסים-יתרות פתיחה'!$2:$110,91,0),0)*(1-BA$309)</f>
        <v>0</v>
      </c>
      <c r="BB90" s="1240">
        <f>+IFERROR(HLOOKUP(BB22,'סקרי נכסים-יתרות פתיחה'!$2:$110,6,0),0)-IFERROR(HLOOKUP(BB22,'סקרי נכסים-יתרות פתיחה'!$2:$110,91,0),0)*(1-BB$309)</f>
        <v>0</v>
      </c>
      <c r="BC90" s="1240">
        <f>+IFERROR(HLOOKUP(BC22,'סקרי נכסים-יתרות פתיחה'!$2:$110,6,0),0)-IFERROR(HLOOKUP(BC22,'סקרי נכסים-יתרות פתיחה'!$2:$110,91,0),0)*(1-BC$309)</f>
        <v>0</v>
      </c>
      <c r="BD90" s="1240">
        <f>+IFERROR(HLOOKUP(BD22,'סקרי נכסים-יתרות פתיחה'!$2:$110,6,0),0)-IFERROR(HLOOKUP(BD22,'סקרי נכסים-יתרות פתיחה'!$2:$110,91,0),0)*(1-BD$309)</f>
        <v>0</v>
      </c>
      <c r="BE90" s="1240">
        <f>+IFERROR(HLOOKUP(BE22,'סקרי נכסים-יתרות פתיחה'!$2:$110,6,0),0)-IFERROR(HLOOKUP(BE22,'סקרי נכסים-יתרות פתיחה'!$2:$110,91,0),0)*(1-BE$309)</f>
        <v>0</v>
      </c>
      <c r="BF90" s="1240">
        <f>+IFERROR(HLOOKUP(BF22,'סקרי נכסים-יתרות פתיחה'!$2:$110,6,0),0)-IFERROR(HLOOKUP(BF22,'סקרי נכסים-יתרות פתיחה'!$2:$110,91,0),0)*(1-BF$309)</f>
        <v>0</v>
      </c>
    </row>
    <row r="91" spans="2:58" x14ac:dyDescent="0.2">
      <c r="B91" s="1">
        <v>20</v>
      </c>
      <c r="C91" s="1240">
        <f>+IFERROR(HLOOKUP(C23,'סקרי נכסים-יתרות פתיחה'!$2:$110,6,0),0)-IFERROR(HLOOKUP(C23,'סקרי נכסים-יתרות פתיחה'!$2:$110,91,0),0)*(1-C$309)</f>
        <v>0</v>
      </c>
      <c r="D91" s="1240">
        <f>+IFERROR(HLOOKUP(D23,'סקרי נכסים-יתרות פתיחה'!$2:$110,6,0),0)-IFERROR(HLOOKUP(D23,'סקרי נכסים-יתרות פתיחה'!$2:$110,91,0),0)*(1-D$309)</f>
        <v>0</v>
      </c>
      <c r="E91" s="1240">
        <f>+IFERROR(HLOOKUP(E23,'סקרי נכסים-יתרות פתיחה'!$2:$110,6,0),0)-IFERROR(HLOOKUP(E23,'סקרי נכסים-יתרות פתיחה'!$2:$110,91,0),0)*(1-E$309)</f>
        <v>0</v>
      </c>
      <c r="F91" s="1240">
        <f>+IFERROR(HLOOKUP(F23,'סקרי נכסים-יתרות פתיחה'!$2:$110,6,0),0)-IFERROR(HLOOKUP(F23,'סקרי נכסים-יתרות פתיחה'!$2:$110,91,0),0)*(1-F$309)</f>
        <v>0</v>
      </c>
      <c r="G91" s="1240">
        <f>+IFERROR(HLOOKUP(G23,'סקרי נכסים-יתרות פתיחה'!$2:$110,6,0),0)-IFERROR(HLOOKUP(G23,'סקרי נכסים-יתרות פתיחה'!$2:$110,91,0),0)*(1-G$309)</f>
        <v>0</v>
      </c>
      <c r="H91" s="1240">
        <f>+IFERROR(HLOOKUP(H23,'סקרי נכסים-יתרות פתיחה'!$2:$110,6,0),0)-IFERROR(HLOOKUP(H23,'סקרי נכסים-יתרות פתיחה'!$2:$110,91,0),0)*(1-H$309)</f>
        <v>0</v>
      </c>
      <c r="I91" s="1240">
        <f>+IFERROR(HLOOKUP(I23,'סקרי נכסים-יתרות פתיחה'!$2:$110,6,0),0)-IFERROR(HLOOKUP(I23,'סקרי נכסים-יתרות פתיחה'!$2:$110,91,0),0)*(1-I$309)</f>
        <v>0</v>
      </c>
      <c r="J91" s="1240">
        <f>+IFERROR(HLOOKUP(J23,'סקרי נכסים-יתרות פתיחה'!$2:$110,6,0),0)-IFERROR(HLOOKUP(J23,'סקרי נכסים-יתרות פתיחה'!$2:$110,91,0),0)*(1-J$309)</f>
        <v>0</v>
      </c>
      <c r="K91" s="1240">
        <f>+IFERROR(HLOOKUP(K23,'סקרי נכסים-יתרות פתיחה'!$2:$110,6,0),0)-IFERROR(HLOOKUP(K23,'סקרי נכסים-יתרות פתיחה'!$2:$110,91,0),0)*(1-K$309)</f>
        <v>0</v>
      </c>
      <c r="L91" s="1240">
        <f>+IFERROR(HLOOKUP(L23,'סקרי נכסים-יתרות פתיחה'!$2:$110,6,0),0)-IFERROR(HLOOKUP(L23,'סקרי נכסים-יתרות פתיחה'!$2:$110,91,0),0)*(1-L$309)</f>
        <v>0</v>
      </c>
      <c r="M91" s="1240">
        <f>+IFERROR(HLOOKUP(M23,'סקרי נכסים-יתרות פתיחה'!$2:$110,6,0),0)-IFERROR(HLOOKUP(M23,'סקרי נכסים-יתרות פתיחה'!$2:$110,91,0),0)*(1-M$309)</f>
        <v>0</v>
      </c>
      <c r="N91" s="1240">
        <f>+IFERROR(HLOOKUP(N23,'סקרי נכסים-יתרות פתיחה'!$2:$110,6,0),0)-IFERROR(HLOOKUP(N23,'סקרי נכסים-יתרות פתיחה'!$2:$110,91,0),0)*(1-N$309)</f>
        <v>0</v>
      </c>
      <c r="O91" s="1240">
        <f>+IFERROR(HLOOKUP(O23,'סקרי נכסים-יתרות פתיחה'!$2:$110,6,0),0)-IFERROR(HLOOKUP(O23,'סקרי נכסים-יתרות פתיחה'!$2:$110,91,0),0)*(1-O$309)</f>
        <v>0</v>
      </c>
      <c r="P91" s="1240">
        <f>+IFERROR(HLOOKUP(P23,'סקרי נכסים-יתרות פתיחה'!$2:$110,6,0),0)-IFERROR(HLOOKUP(P23,'סקרי נכסים-יתרות פתיחה'!$2:$110,91,0),0)*(1-P$309)</f>
        <v>0</v>
      </c>
      <c r="Q91" s="1240">
        <f>+IFERROR(HLOOKUP(Q23,'סקרי נכסים-יתרות פתיחה'!$2:$110,6,0),0)-IFERROR(HLOOKUP(Q23,'סקרי נכסים-יתרות פתיחה'!$2:$110,91,0),0)*(1-Q$309)</f>
        <v>0</v>
      </c>
      <c r="R91" s="1240">
        <f>+IFERROR(HLOOKUP(R23,'סקרי נכסים-יתרות פתיחה'!$2:$110,6,0),0)-IFERROR(HLOOKUP(R23,'סקרי נכסים-יתרות פתיחה'!$2:$110,91,0),0)*(1-R$309)</f>
        <v>0</v>
      </c>
      <c r="S91" s="1240">
        <f>+IFERROR(HLOOKUP(S23,'סקרי נכסים-יתרות פתיחה'!$2:$110,6,0),0)-IFERROR(HLOOKUP(S23,'סקרי נכסים-יתרות פתיחה'!$2:$110,91,0),0)*(1-S$309)</f>
        <v>0</v>
      </c>
      <c r="T91" s="1240">
        <f>+IFERROR(HLOOKUP(T23,'סקרי נכסים-יתרות פתיחה'!$2:$110,6,0),0)-IFERROR(HLOOKUP(T23,'סקרי נכסים-יתרות פתיחה'!$2:$110,91,0),0)*(1-T$309)</f>
        <v>0</v>
      </c>
      <c r="U91" s="1240">
        <f>+IFERROR(HLOOKUP(U23,'סקרי נכסים-יתרות פתיחה'!$2:$110,6,0),0)-IFERROR(HLOOKUP(U23,'סקרי נכסים-יתרות פתיחה'!$2:$110,91,0),0)*(1-U$309)</f>
        <v>0</v>
      </c>
      <c r="V91" s="1240">
        <f>+IFERROR(HLOOKUP(V23,'סקרי נכסים-יתרות פתיחה'!$2:$110,6,0),0)-IFERROR(HLOOKUP(V23,'סקרי נכסים-יתרות פתיחה'!$2:$110,91,0),0)*(1-V$309)</f>
        <v>0</v>
      </c>
      <c r="W91" s="1240">
        <f>+IFERROR(HLOOKUP(W23,'סקרי נכסים-יתרות פתיחה'!$2:$110,6,0),0)-IFERROR(HLOOKUP(W23,'סקרי נכסים-יתרות פתיחה'!$2:$110,91,0),0)*(1-W$309)</f>
        <v>0</v>
      </c>
      <c r="X91" s="1240">
        <f>+IFERROR(HLOOKUP(X23,'סקרי נכסים-יתרות פתיחה'!$2:$110,6,0),0)-IFERROR(HLOOKUP(X23,'סקרי נכסים-יתרות פתיחה'!$2:$110,91,0),0)*(1-X$309)</f>
        <v>0</v>
      </c>
      <c r="Y91" s="1240">
        <f>+IFERROR(HLOOKUP(Y23,'סקרי נכסים-יתרות פתיחה'!$2:$110,6,0),0)-IFERROR(HLOOKUP(Y23,'סקרי נכסים-יתרות פתיחה'!$2:$110,91,0),0)*(1-Y$309)</f>
        <v>0</v>
      </c>
      <c r="Z91" s="1240">
        <f>+IFERROR(HLOOKUP(Z23,'סקרי נכסים-יתרות פתיחה'!$2:$110,6,0),0)-IFERROR(HLOOKUP(Z23,'סקרי נכסים-יתרות פתיחה'!$2:$110,91,0),0)*(1-Z$309)</f>
        <v>0</v>
      </c>
      <c r="AA91" s="1240">
        <f>+IFERROR(HLOOKUP(AA23,'סקרי נכסים-יתרות פתיחה'!$2:$110,6,0),0)-IFERROR(HLOOKUP(AA23,'סקרי נכסים-יתרות פתיחה'!$2:$110,91,0),0)*(1-AA$309)</f>
        <v>0</v>
      </c>
      <c r="AB91" s="1240">
        <f>+IFERROR(HLOOKUP(AB23,'סקרי נכסים-יתרות פתיחה'!$2:$110,6,0),0)-IFERROR(HLOOKUP(AB23,'סקרי נכסים-יתרות פתיחה'!$2:$110,91,0),0)*(1-AB$309)</f>
        <v>0</v>
      </c>
      <c r="AC91" s="1240">
        <f>+IFERROR(HLOOKUP(AC23,'סקרי נכסים-יתרות פתיחה'!$2:$110,6,0),0)-IFERROR(HLOOKUP(AC23,'סקרי נכסים-יתרות פתיחה'!$2:$110,91,0),0)*(1-AC$309)</f>
        <v>0</v>
      </c>
      <c r="AD91" s="1240">
        <f>+IFERROR(HLOOKUP(AD23,'סקרי נכסים-יתרות פתיחה'!$2:$110,6,0),0)-IFERROR(HLOOKUP(AD23,'סקרי נכסים-יתרות פתיחה'!$2:$110,91,0),0)*(1-AD$309)</f>
        <v>0</v>
      </c>
      <c r="AE91" s="1240">
        <f>+IFERROR(HLOOKUP(AE23,'סקרי נכסים-יתרות פתיחה'!$2:$110,6,0),0)-IFERROR(HLOOKUP(AE23,'סקרי נכסים-יתרות פתיחה'!$2:$110,91,0),0)*(1-AE$309)</f>
        <v>0</v>
      </c>
      <c r="AF91" s="1240">
        <f>+IFERROR(HLOOKUP(AF23,'סקרי נכסים-יתרות פתיחה'!$2:$110,6,0),0)-IFERROR(HLOOKUP(AF23,'סקרי נכסים-יתרות פתיחה'!$2:$110,91,0),0)*(1-AF$309)</f>
        <v>0</v>
      </c>
      <c r="AG91" s="1240">
        <f>+IFERROR(HLOOKUP(AG23,'סקרי נכסים-יתרות פתיחה'!$2:$110,6,0),0)-IFERROR(HLOOKUP(AG23,'סקרי נכסים-יתרות פתיחה'!$2:$110,91,0),0)*(1-AG$309)</f>
        <v>0</v>
      </c>
      <c r="AH91" s="1240">
        <f>+IFERROR(HLOOKUP(AH23,'סקרי נכסים-יתרות פתיחה'!$2:$110,6,0),0)-IFERROR(HLOOKUP(AH23,'סקרי נכסים-יתרות פתיחה'!$2:$110,91,0),0)*(1-AH$309)</f>
        <v>0</v>
      </c>
      <c r="AI91" s="1240">
        <f>+IFERROR(HLOOKUP(AI23,'סקרי נכסים-יתרות פתיחה'!$2:$110,6,0),0)-IFERROR(HLOOKUP(AI23,'סקרי נכסים-יתרות פתיחה'!$2:$110,91,0),0)*(1-AI$309)</f>
        <v>0</v>
      </c>
      <c r="AJ91" s="1240">
        <f>+IFERROR(HLOOKUP(AJ23,'סקרי נכסים-יתרות פתיחה'!$2:$110,6,0),0)-IFERROR(HLOOKUP(AJ23,'סקרי נכסים-יתרות פתיחה'!$2:$110,91,0),0)*(1-AJ$309)</f>
        <v>0</v>
      </c>
      <c r="AK91" s="1240">
        <f>+IFERROR(HLOOKUP(AK23,'סקרי נכסים-יתרות פתיחה'!$2:$110,6,0),0)-IFERROR(HLOOKUP(AK23,'סקרי נכסים-יתרות פתיחה'!$2:$110,91,0),0)*(1-AK$309)</f>
        <v>0</v>
      </c>
      <c r="AL91" s="1240">
        <f>+IFERROR(HLOOKUP(AL23,'סקרי נכסים-יתרות פתיחה'!$2:$110,6,0),0)-IFERROR(HLOOKUP(AL23,'סקרי נכסים-יתרות פתיחה'!$2:$110,91,0),0)*(1-AL$309)</f>
        <v>0</v>
      </c>
      <c r="AM91" s="1240">
        <f>+IFERROR(HLOOKUP(AM23,'סקרי נכסים-יתרות פתיחה'!$2:$110,6,0),0)-IFERROR(HLOOKUP(AM23,'סקרי נכסים-יתרות פתיחה'!$2:$110,91,0),0)*(1-AM$309)</f>
        <v>0</v>
      </c>
      <c r="AN91" s="1240">
        <f>+IFERROR(HLOOKUP(AN23,'סקרי נכסים-יתרות פתיחה'!$2:$110,6,0),0)-IFERROR(HLOOKUP(AN23,'סקרי נכסים-יתרות פתיחה'!$2:$110,91,0),0)*(1-AN$309)</f>
        <v>0</v>
      </c>
      <c r="AO91" s="1240">
        <f>+IFERROR(HLOOKUP(AO23,'סקרי נכסים-יתרות פתיחה'!$2:$110,6,0),0)-IFERROR(HLOOKUP(AO23,'סקרי נכסים-יתרות פתיחה'!$2:$110,91,0),0)*(1-AO$309)</f>
        <v>0</v>
      </c>
      <c r="AP91" s="1240">
        <f>+IFERROR(HLOOKUP(AP23,'סקרי נכסים-יתרות פתיחה'!$2:$110,6,0),0)-IFERROR(HLOOKUP(AP23,'סקרי נכסים-יתרות פתיחה'!$2:$110,91,0),0)*(1-AP$309)</f>
        <v>0</v>
      </c>
      <c r="AQ91" s="1240">
        <f>+IFERROR(HLOOKUP(AQ23,'סקרי נכסים-יתרות פתיחה'!$2:$110,6,0),0)-IFERROR(HLOOKUP(AQ23,'סקרי נכסים-יתרות פתיחה'!$2:$110,91,0),0)*(1-AQ$309)</f>
        <v>0</v>
      </c>
      <c r="AR91" s="1240">
        <f>+IFERROR(HLOOKUP(AR23,'סקרי נכסים-יתרות פתיחה'!$2:$110,6,0),0)-IFERROR(HLOOKUP(AR23,'סקרי נכסים-יתרות פתיחה'!$2:$110,91,0),0)*(1-AR$309)</f>
        <v>0</v>
      </c>
      <c r="AS91" s="1240">
        <f>+IFERROR(HLOOKUP(AS23,'סקרי נכסים-יתרות פתיחה'!$2:$110,6,0),0)-IFERROR(HLOOKUP(AS23,'סקרי נכסים-יתרות פתיחה'!$2:$110,91,0),0)*(1-AS$309)</f>
        <v>0</v>
      </c>
      <c r="AT91" s="1240">
        <f>+IFERROR(HLOOKUP(AT23,'סקרי נכסים-יתרות פתיחה'!$2:$110,6,0),0)-IFERROR(HLOOKUP(AT23,'סקרי נכסים-יתרות פתיחה'!$2:$110,91,0),0)*(1-AT$309)</f>
        <v>0</v>
      </c>
      <c r="AU91" s="1240">
        <f>+IFERROR(HLOOKUP(AU23,'סקרי נכסים-יתרות פתיחה'!$2:$110,6,0),0)-IFERROR(HLOOKUP(AU23,'סקרי נכסים-יתרות פתיחה'!$2:$110,91,0),0)*(1-AU$309)</f>
        <v>0</v>
      </c>
      <c r="AV91" s="1240">
        <f>+IFERROR(HLOOKUP(AV23,'סקרי נכסים-יתרות פתיחה'!$2:$110,6,0),0)-IFERROR(HLOOKUP(AV23,'סקרי נכסים-יתרות פתיחה'!$2:$110,91,0),0)*(1-AV$309)</f>
        <v>0</v>
      </c>
      <c r="AW91" s="1240">
        <f>+IFERROR(HLOOKUP(AW23,'סקרי נכסים-יתרות פתיחה'!$2:$110,6,0),0)-IFERROR(HLOOKUP(AW23,'סקרי נכסים-יתרות פתיחה'!$2:$110,91,0),0)*(1-AW$309)</f>
        <v>0</v>
      </c>
      <c r="AX91" s="1240">
        <f>+IFERROR(HLOOKUP(AX23,'סקרי נכסים-יתרות פתיחה'!$2:$110,6,0),0)-IFERROR(HLOOKUP(AX23,'סקרי נכסים-יתרות פתיחה'!$2:$110,91,0),0)*(1-AX$309)</f>
        <v>0</v>
      </c>
      <c r="AY91" s="1240">
        <f>+IFERROR(HLOOKUP(AY23,'סקרי נכסים-יתרות פתיחה'!$2:$110,6,0),0)-IFERROR(HLOOKUP(AY23,'סקרי נכסים-יתרות פתיחה'!$2:$110,91,0),0)*(1-AY$309)</f>
        <v>0</v>
      </c>
      <c r="AZ91" s="1240">
        <f>+IFERROR(HLOOKUP(AZ23,'סקרי נכסים-יתרות פתיחה'!$2:$110,6,0),0)-IFERROR(HLOOKUP(AZ23,'סקרי נכסים-יתרות פתיחה'!$2:$110,91,0),0)*(1-AZ$309)</f>
        <v>0</v>
      </c>
      <c r="BA91" s="1240">
        <f>+IFERROR(HLOOKUP(BA23,'סקרי נכסים-יתרות פתיחה'!$2:$110,6,0),0)-IFERROR(HLOOKUP(BA23,'סקרי נכסים-יתרות פתיחה'!$2:$110,91,0),0)*(1-BA$309)</f>
        <v>0</v>
      </c>
      <c r="BB91" s="1240">
        <f>+IFERROR(HLOOKUP(BB23,'סקרי נכסים-יתרות פתיחה'!$2:$110,6,0),0)-IFERROR(HLOOKUP(BB23,'סקרי נכסים-יתרות פתיחה'!$2:$110,91,0),0)*(1-BB$309)</f>
        <v>0</v>
      </c>
      <c r="BC91" s="1240">
        <f>+IFERROR(HLOOKUP(BC23,'סקרי נכסים-יתרות פתיחה'!$2:$110,6,0),0)-IFERROR(HLOOKUP(BC23,'סקרי נכסים-יתרות פתיחה'!$2:$110,91,0),0)*(1-BC$309)</f>
        <v>0</v>
      </c>
      <c r="BD91" s="1240">
        <f>+IFERROR(HLOOKUP(BD23,'סקרי נכסים-יתרות פתיחה'!$2:$110,6,0),0)-IFERROR(HLOOKUP(BD23,'סקרי נכסים-יתרות פתיחה'!$2:$110,91,0),0)*(1-BD$309)</f>
        <v>0</v>
      </c>
      <c r="BE91" s="1240">
        <f>+IFERROR(HLOOKUP(BE23,'סקרי נכסים-יתרות פתיחה'!$2:$110,6,0),0)-IFERROR(HLOOKUP(BE23,'סקרי נכסים-יתרות פתיחה'!$2:$110,91,0),0)*(1-BE$309)</f>
        <v>0</v>
      </c>
      <c r="BF91" s="1240">
        <f>+IFERROR(HLOOKUP(BF23,'סקרי נכסים-יתרות פתיחה'!$2:$110,6,0),0)-IFERROR(HLOOKUP(BF23,'סקרי נכסים-יתרות פתיחה'!$2:$110,91,0),0)*(1-BF$309)</f>
        <v>0</v>
      </c>
    </row>
    <row r="92" spans="2:58" x14ac:dyDescent="0.2">
      <c r="B92" s="1">
        <v>21</v>
      </c>
      <c r="C92" s="1240">
        <f>+IFERROR(HLOOKUP(C24,'סקרי נכסים-יתרות פתיחה'!$2:$110,6,0),0)-IFERROR(HLOOKUP(C24,'סקרי נכסים-יתרות פתיחה'!$2:$110,91,0),0)*(1-C$309)</f>
        <v>0</v>
      </c>
      <c r="D92" s="1240">
        <f>+IFERROR(HLOOKUP(D24,'סקרי נכסים-יתרות פתיחה'!$2:$110,6,0),0)-IFERROR(HLOOKUP(D24,'סקרי נכסים-יתרות פתיחה'!$2:$110,91,0),0)*(1-D$309)</f>
        <v>0</v>
      </c>
      <c r="E92" s="1240">
        <f>+IFERROR(HLOOKUP(E24,'סקרי נכסים-יתרות פתיחה'!$2:$110,6,0),0)-IFERROR(HLOOKUP(E24,'סקרי נכסים-יתרות פתיחה'!$2:$110,91,0),0)*(1-E$309)</f>
        <v>0</v>
      </c>
      <c r="F92" s="1240">
        <f>+IFERROR(HLOOKUP(F24,'סקרי נכסים-יתרות פתיחה'!$2:$110,6,0),0)-IFERROR(HLOOKUP(F24,'סקרי נכסים-יתרות פתיחה'!$2:$110,91,0),0)*(1-F$309)</f>
        <v>0</v>
      </c>
      <c r="G92" s="1240">
        <f>+IFERROR(HLOOKUP(G24,'סקרי נכסים-יתרות פתיחה'!$2:$110,6,0),0)-IFERROR(HLOOKUP(G24,'סקרי נכסים-יתרות פתיחה'!$2:$110,91,0),0)*(1-G$309)</f>
        <v>0</v>
      </c>
      <c r="H92" s="1240">
        <f>+IFERROR(HLOOKUP(H24,'סקרי נכסים-יתרות פתיחה'!$2:$110,6,0),0)-IFERROR(HLOOKUP(H24,'סקרי נכסים-יתרות פתיחה'!$2:$110,91,0),0)*(1-H$309)</f>
        <v>0</v>
      </c>
      <c r="I92" s="1240">
        <f>+IFERROR(HLOOKUP(I24,'סקרי נכסים-יתרות פתיחה'!$2:$110,6,0),0)-IFERROR(HLOOKUP(I24,'סקרי נכסים-יתרות פתיחה'!$2:$110,91,0),0)*(1-I$309)</f>
        <v>0</v>
      </c>
      <c r="J92" s="1240">
        <f>+IFERROR(HLOOKUP(J24,'סקרי נכסים-יתרות פתיחה'!$2:$110,6,0),0)-IFERROR(HLOOKUP(J24,'סקרי נכסים-יתרות פתיחה'!$2:$110,91,0),0)*(1-J$309)</f>
        <v>0</v>
      </c>
      <c r="K92" s="1240">
        <f>+IFERROR(HLOOKUP(K24,'סקרי נכסים-יתרות פתיחה'!$2:$110,6,0),0)-IFERROR(HLOOKUP(K24,'סקרי נכסים-יתרות פתיחה'!$2:$110,91,0),0)*(1-K$309)</f>
        <v>0</v>
      </c>
      <c r="L92" s="1240">
        <f>+IFERROR(HLOOKUP(L24,'סקרי נכסים-יתרות פתיחה'!$2:$110,6,0),0)-IFERROR(HLOOKUP(L24,'סקרי נכסים-יתרות פתיחה'!$2:$110,91,0),0)*(1-L$309)</f>
        <v>0</v>
      </c>
      <c r="M92" s="1240">
        <f>+IFERROR(HLOOKUP(M24,'סקרי נכסים-יתרות פתיחה'!$2:$110,6,0),0)-IFERROR(HLOOKUP(M24,'סקרי נכסים-יתרות פתיחה'!$2:$110,91,0),0)*(1-M$309)</f>
        <v>0</v>
      </c>
      <c r="N92" s="1240">
        <f>+IFERROR(HLOOKUP(N24,'סקרי נכסים-יתרות פתיחה'!$2:$110,6,0),0)-IFERROR(HLOOKUP(N24,'סקרי נכסים-יתרות פתיחה'!$2:$110,91,0),0)*(1-N$309)</f>
        <v>0</v>
      </c>
      <c r="O92" s="1240">
        <f>+IFERROR(HLOOKUP(O24,'סקרי נכסים-יתרות פתיחה'!$2:$110,6,0),0)-IFERROR(HLOOKUP(O24,'סקרי נכסים-יתרות פתיחה'!$2:$110,91,0),0)*(1-O$309)</f>
        <v>0</v>
      </c>
      <c r="P92" s="1240">
        <f>+IFERROR(HLOOKUP(P24,'סקרי נכסים-יתרות פתיחה'!$2:$110,6,0),0)-IFERROR(HLOOKUP(P24,'סקרי נכסים-יתרות פתיחה'!$2:$110,91,0),0)*(1-P$309)</f>
        <v>0</v>
      </c>
      <c r="Q92" s="1240">
        <f>+IFERROR(HLOOKUP(Q24,'סקרי נכסים-יתרות פתיחה'!$2:$110,6,0),0)-IFERROR(HLOOKUP(Q24,'סקרי נכסים-יתרות פתיחה'!$2:$110,91,0),0)*(1-Q$309)</f>
        <v>0</v>
      </c>
      <c r="R92" s="1240">
        <f>+IFERROR(HLOOKUP(R24,'סקרי נכסים-יתרות פתיחה'!$2:$110,6,0),0)-IFERROR(HLOOKUP(R24,'סקרי נכסים-יתרות פתיחה'!$2:$110,91,0),0)*(1-R$309)</f>
        <v>0</v>
      </c>
      <c r="S92" s="1240">
        <f>+IFERROR(HLOOKUP(S24,'סקרי נכסים-יתרות פתיחה'!$2:$110,6,0),0)-IFERROR(HLOOKUP(S24,'סקרי נכסים-יתרות פתיחה'!$2:$110,91,0),0)*(1-S$309)</f>
        <v>0</v>
      </c>
      <c r="T92" s="1240">
        <f>+IFERROR(HLOOKUP(T24,'סקרי נכסים-יתרות פתיחה'!$2:$110,6,0),0)-IFERROR(HLOOKUP(T24,'סקרי נכסים-יתרות פתיחה'!$2:$110,91,0),0)*(1-T$309)</f>
        <v>0</v>
      </c>
      <c r="U92" s="1240">
        <f>+IFERROR(HLOOKUP(U24,'סקרי נכסים-יתרות פתיחה'!$2:$110,6,0),0)-IFERROR(HLOOKUP(U24,'סקרי נכסים-יתרות פתיחה'!$2:$110,91,0),0)*(1-U$309)</f>
        <v>0</v>
      </c>
      <c r="V92" s="1240">
        <f>+IFERROR(HLOOKUP(V24,'סקרי נכסים-יתרות פתיחה'!$2:$110,6,0),0)-IFERROR(HLOOKUP(V24,'סקרי נכסים-יתרות פתיחה'!$2:$110,91,0),0)*(1-V$309)</f>
        <v>0</v>
      </c>
      <c r="W92" s="1240">
        <f>+IFERROR(HLOOKUP(W24,'סקרי נכסים-יתרות פתיחה'!$2:$110,6,0),0)-IFERROR(HLOOKUP(W24,'סקרי נכסים-יתרות פתיחה'!$2:$110,91,0),0)*(1-W$309)</f>
        <v>0</v>
      </c>
      <c r="X92" s="1240">
        <f>+IFERROR(HLOOKUP(X24,'סקרי נכסים-יתרות פתיחה'!$2:$110,6,0),0)-IFERROR(HLOOKUP(X24,'סקרי נכסים-יתרות פתיחה'!$2:$110,91,0),0)*(1-X$309)</f>
        <v>0</v>
      </c>
      <c r="Y92" s="1240">
        <f>+IFERROR(HLOOKUP(Y24,'סקרי נכסים-יתרות פתיחה'!$2:$110,6,0),0)-IFERROR(HLOOKUP(Y24,'סקרי נכסים-יתרות פתיחה'!$2:$110,91,0),0)*(1-Y$309)</f>
        <v>0</v>
      </c>
      <c r="Z92" s="1240">
        <f>+IFERROR(HLOOKUP(Z24,'סקרי נכסים-יתרות פתיחה'!$2:$110,6,0),0)-IFERROR(HLOOKUP(Z24,'סקרי נכסים-יתרות פתיחה'!$2:$110,91,0),0)*(1-Z$309)</f>
        <v>0</v>
      </c>
      <c r="AA92" s="1240">
        <f>+IFERROR(HLOOKUP(AA24,'סקרי נכסים-יתרות פתיחה'!$2:$110,6,0),0)-IFERROR(HLOOKUP(AA24,'סקרי נכסים-יתרות פתיחה'!$2:$110,91,0),0)*(1-AA$309)</f>
        <v>0</v>
      </c>
      <c r="AB92" s="1240">
        <f>+IFERROR(HLOOKUP(AB24,'סקרי נכסים-יתרות פתיחה'!$2:$110,6,0),0)-IFERROR(HLOOKUP(AB24,'סקרי נכסים-יתרות פתיחה'!$2:$110,91,0),0)*(1-AB$309)</f>
        <v>0</v>
      </c>
      <c r="AC92" s="1240">
        <f>+IFERROR(HLOOKUP(AC24,'סקרי נכסים-יתרות פתיחה'!$2:$110,6,0),0)-IFERROR(HLOOKUP(AC24,'סקרי נכסים-יתרות פתיחה'!$2:$110,91,0),0)*(1-AC$309)</f>
        <v>0</v>
      </c>
      <c r="AD92" s="1240">
        <f>+IFERROR(HLOOKUP(AD24,'סקרי נכסים-יתרות פתיחה'!$2:$110,6,0),0)-IFERROR(HLOOKUP(AD24,'סקרי נכסים-יתרות פתיחה'!$2:$110,91,0),0)*(1-AD$309)</f>
        <v>0</v>
      </c>
      <c r="AE92" s="1240">
        <f>+IFERROR(HLOOKUP(AE24,'סקרי נכסים-יתרות פתיחה'!$2:$110,6,0),0)-IFERROR(HLOOKUP(AE24,'סקרי נכסים-יתרות פתיחה'!$2:$110,91,0),0)*(1-AE$309)</f>
        <v>0</v>
      </c>
      <c r="AF92" s="1240">
        <f>+IFERROR(HLOOKUP(AF24,'סקרי נכסים-יתרות פתיחה'!$2:$110,6,0),0)-IFERROR(HLOOKUP(AF24,'סקרי נכסים-יתרות פתיחה'!$2:$110,91,0),0)*(1-AF$309)</f>
        <v>0</v>
      </c>
      <c r="AG92" s="1240">
        <f>+IFERROR(HLOOKUP(AG24,'סקרי נכסים-יתרות פתיחה'!$2:$110,6,0),0)-IFERROR(HLOOKUP(AG24,'סקרי נכסים-יתרות פתיחה'!$2:$110,91,0),0)*(1-AG$309)</f>
        <v>0</v>
      </c>
      <c r="AH92" s="1240">
        <f>+IFERROR(HLOOKUP(AH24,'סקרי נכסים-יתרות פתיחה'!$2:$110,6,0),0)-IFERROR(HLOOKUP(AH24,'סקרי נכסים-יתרות פתיחה'!$2:$110,91,0),0)*(1-AH$309)</f>
        <v>0</v>
      </c>
      <c r="AI92" s="1240">
        <f>+IFERROR(HLOOKUP(AI24,'סקרי נכסים-יתרות פתיחה'!$2:$110,6,0),0)-IFERROR(HLOOKUP(AI24,'סקרי נכסים-יתרות פתיחה'!$2:$110,91,0),0)*(1-AI$309)</f>
        <v>0</v>
      </c>
      <c r="AJ92" s="1240">
        <f>+IFERROR(HLOOKUP(AJ24,'סקרי נכסים-יתרות פתיחה'!$2:$110,6,0),0)-IFERROR(HLOOKUP(AJ24,'סקרי נכסים-יתרות פתיחה'!$2:$110,91,0),0)*(1-AJ$309)</f>
        <v>0</v>
      </c>
      <c r="AK92" s="1240">
        <f>+IFERROR(HLOOKUP(AK24,'סקרי נכסים-יתרות פתיחה'!$2:$110,6,0),0)-IFERROR(HLOOKUP(AK24,'סקרי נכסים-יתרות פתיחה'!$2:$110,91,0),0)*(1-AK$309)</f>
        <v>0</v>
      </c>
      <c r="AL92" s="1240">
        <f>+IFERROR(HLOOKUP(AL24,'סקרי נכסים-יתרות פתיחה'!$2:$110,6,0),0)-IFERROR(HLOOKUP(AL24,'סקרי נכסים-יתרות פתיחה'!$2:$110,91,0),0)*(1-AL$309)</f>
        <v>0</v>
      </c>
      <c r="AM92" s="1240">
        <f>+IFERROR(HLOOKUP(AM24,'סקרי נכסים-יתרות פתיחה'!$2:$110,6,0),0)-IFERROR(HLOOKUP(AM24,'סקרי נכסים-יתרות פתיחה'!$2:$110,91,0),0)*(1-AM$309)</f>
        <v>0</v>
      </c>
      <c r="AN92" s="1240">
        <f>+IFERROR(HLOOKUP(AN24,'סקרי נכסים-יתרות פתיחה'!$2:$110,6,0),0)-IFERROR(HLOOKUP(AN24,'סקרי נכסים-יתרות פתיחה'!$2:$110,91,0),0)*(1-AN$309)</f>
        <v>0</v>
      </c>
      <c r="AO92" s="1240">
        <f>+IFERROR(HLOOKUP(AO24,'סקרי נכסים-יתרות פתיחה'!$2:$110,6,0),0)-IFERROR(HLOOKUP(AO24,'סקרי נכסים-יתרות פתיחה'!$2:$110,91,0),0)*(1-AO$309)</f>
        <v>0</v>
      </c>
      <c r="AP92" s="1240">
        <f>+IFERROR(HLOOKUP(AP24,'סקרי נכסים-יתרות פתיחה'!$2:$110,6,0),0)-IFERROR(HLOOKUP(AP24,'סקרי נכסים-יתרות פתיחה'!$2:$110,91,0),0)*(1-AP$309)</f>
        <v>0</v>
      </c>
      <c r="AQ92" s="1240">
        <f>+IFERROR(HLOOKUP(AQ24,'סקרי נכסים-יתרות פתיחה'!$2:$110,6,0),0)-IFERROR(HLOOKUP(AQ24,'סקרי נכסים-יתרות פתיחה'!$2:$110,91,0),0)*(1-AQ$309)</f>
        <v>0</v>
      </c>
      <c r="AR92" s="1240">
        <f>+IFERROR(HLOOKUP(AR24,'סקרי נכסים-יתרות פתיחה'!$2:$110,6,0),0)-IFERROR(HLOOKUP(AR24,'סקרי נכסים-יתרות פתיחה'!$2:$110,91,0),0)*(1-AR$309)</f>
        <v>0</v>
      </c>
      <c r="AS92" s="1240">
        <f>+IFERROR(HLOOKUP(AS24,'סקרי נכסים-יתרות פתיחה'!$2:$110,6,0),0)-IFERROR(HLOOKUP(AS24,'סקרי נכסים-יתרות פתיחה'!$2:$110,91,0),0)*(1-AS$309)</f>
        <v>0</v>
      </c>
      <c r="AT92" s="1240">
        <f>+IFERROR(HLOOKUP(AT24,'סקרי נכסים-יתרות פתיחה'!$2:$110,6,0),0)-IFERROR(HLOOKUP(AT24,'סקרי נכסים-יתרות פתיחה'!$2:$110,91,0),0)*(1-AT$309)</f>
        <v>0</v>
      </c>
      <c r="AU92" s="1240">
        <f>+IFERROR(HLOOKUP(AU24,'סקרי נכסים-יתרות פתיחה'!$2:$110,6,0),0)-IFERROR(HLOOKUP(AU24,'סקרי נכסים-יתרות פתיחה'!$2:$110,91,0),0)*(1-AU$309)</f>
        <v>0</v>
      </c>
      <c r="AV92" s="1240">
        <f>+IFERROR(HLOOKUP(AV24,'סקרי נכסים-יתרות פתיחה'!$2:$110,6,0),0)-IFERROR(HLOOKUP(AV24,'סקרי נכסים-יתרות פתיחה'!$2:$110,91,0),0)*(1-AV$309)</f>
        <v>0</v>
      </c>
      <c r="AW92" s="1240">
        <f>+IFERROR(HLOOKUP(AW24,'סקרי נכסים-יתרות פתיחה'!$2:$110,6,0),0)-IFERROR(HLOOKUP(AW24,'סקרי נכסים-יתרות פתיחה'!$2:$110,91,0),0)*(1-AW$309)</f>
        <v>0</v>
      </c>
      <c r="AX92" s="1240">
        <f>+IFERROR(HLOOKUP(AX24,'סקרי נכסים-יתרות פתיחה'!$2:$110,6,0),0)-IFERROR(HLOOKUP(AX24,'סקרי נכסים-יתרות פתיחה'!$2:$110,91,0),0)*(1-AX$309)</f>
        <v>0</v>
      </c>
      <c r="AY92" s="1240">
        <f>+IFERROR(HLOOKUP(AY24,'סקרי נכסים-יתרות פתיחה'!$2:$110,6,0),0)-IFERROR(HLOOKUP(AY24,'סקרי נכסים-יתרות פתיחה'!$2:$110,91,0),0)*(1-AY$309)</f>
        <v>0</v>
      </c>
      <c r="AZ92" s="1240">
        <f>+IFERROR(HLOOKUP(AZ24,'סקרי נכסים-יתרות פתיחה'!$2:$110,6,0),0)-IFERROR(HLOOKUP(AZ24,'סקרי נכסים-יתרות פתיחה'!$2:$110,91,0),0)*(1-AZ$309)</f>
        <v>0</v>
      </c>
      <c r="BA92" s="1240">
        <f>+IFERROR(HLOOKUP(BA24,'סקרי נכסים-יתרות פתיחה'!$2:$110,6,0),0)-IFERROR(HLOOKUP(BA24,'סקרי נכסים-יתרות פתיחה'!$2:$110,91,0),0)*(1-BA$309)</f>
        <v>0</v>
      </c>
      <c r="BB92" s="1240">
        <f>+IFERROR(HLOOKUP(BB24,'סקרי נכסים-יתרות פתיחה'!$2:$110,6,0),0)-IFERROR(HLOOKUP(BB24,'סקרי נכסים-יתרות פתיחה'!$2:$110,91,0),0)*(1-BB$309)</f>
        <v>0</v>
      </c>
      <c r="BC92" s="1240">
        <f>+IFERROR(HLOOKUP(BC24,'סקרי נכסים-יתרות פתיחה'!$2:$110,6,0),0)-IFERROR(HLOOKUP(BC24,'סקרי נכסים-יתרות פתיחה'!$2:$110,91,0),0)*(1-BC$309)</f>
        <v>0</v>
      </c>
      <c r="BD92" s="1240">
        <f>+IFERROR(HLOOKUP(BD24,'סקרי נכסים-יתרות פתיחה'!$2:$110,6,0),0)-IFERROR(HLOOKUP(BD24,'סקרי נכסים-יתרות פתיחה'!$2:$110,91,0),0)*(1-BD$309)</f>
        <v>0</v>
      </c>
      <c r="BE92" s="1240">
        <f>+IFERROR(HLOOKUP(BE24,'סקרי נכסים-יתרות פתיחה'!$2:$110,6,0),0)-IFERROR(HLOOKUP(BE24,'סקרי נכסים-יתרות פתיחה'!$2:$110,91,0),0)*(1-BE$309)</f>
        <v>0</v>
      </c>
      <c r="BF92" s="1240">
        <f>+IFERROR(HLOOKUP(BF24,'סקרי נכסים-יתרות פתיחה'!$2:$110,6,0),0)-IFERROR(HLOOKUP(BF24,'סקרי נכסים-יתרות פתיחה'!$2:$110,91,0),0)*(1-BF$309)</f>
        <v>0</v>
      </c>
    </row>
    <row r="93" spans="2:58" x14ac:dyDescent="0.2">
      <c r="B93" s="1">
        <v>22</v>
      </c>
      <c r="C93" s="1240">
        <f>+IFERROR(HLOOKUP(C25,'סקרי נכסים-יתרות פתיחה'!$2:$110,6,0),0)-IFERROR(HLOOKUP(C25,'סקרי נכסים-יתרות פתיחה'!$2:$110,91,0),0)*(1-C$309)</f>
        <v>0</v>
      </c>
      <c r="D93" s="1240">
        <f>+IFERROR(HLOOKUP(D25,'סקרי נכסים-יתרות פתיחה'!$2:$110,6,0),0)-IFERROR(HLOOKUP(D25,'סקרי נכסים-יתרות פתיחה'!$2:$110,91,0),0)*(1-D$309)</f>
        <v>0</v>
      </c>
      <c r="E93" s="1240">
        <f>+IFERROR(HLOOKUP(E25,'סקרי נכסים-יתרות פתיחה'!$2:$110,6,0),0)-IFERROR(HLOOKUP(E25,'סקרי נכסים-יתרות פתיחה'!$2:$110,91,0),0)*(1-E$309)</f>
        <v>0</v>
      </c>
      <c r="F93" s="1240">
        <f>+IFERROR(HLOOKUP(F25,'סקרי נכסים-יתרות פתיחה'!$2:$110,6,0),0)-IFERROR(HLOOKUP(F25,'סקרי נכסים-יתרות פתיחה'!$2:$110,91,0),0)*(1-F$309)</f>
        <v>0</v>
      </c>
      <c r="G93" s="1240">
        <f>+IFERROR(HLOOKUP(G25,'סקרי נכסים-יתרות פתיחה'!$2:$110,6,0),0)-IFERROR(HLOOKUP(G25,'סקרי נכסים-יתרות פתיחה'!$2:$110,91,0),0)*(1-G$309)</f>
        <v>0</v>
      </c>
      <c r="H93" s="1240">
        <f>+IFERROR(HLOOKUP(H25,'סקרי נכסים-יתרות פתיחה'!$2:$110,6,0),0)-IFERROR(HLOOKUP(H25,'סקרי נכסים-יתרות פתיחה'!$2:$110,91,0),0)*(1-H$309)</f>
        <v>0</v>
      </c>
      <c r="I93" s="1240">
        <f>+IFERROR(HLOOKUP(I25,'סקרי נכסים-יתרות פתיחה'!$2:$110,6,0),0)-IFERROR(HLOOKUP(I25,'סקרי נכסים-יתרות פתיחה'!$2:$110,91,0),0)*(1-I$309)</f>
        <v>0</v>
      </c>
      <c r="J93" s="1240">
        <f>+IFERROR(HLOOKUP(J25,'סקרי נכסים-יתרות פתיחה'!$2:$110,6,0),0)-IFERROR(HLOOKUP(J25,'סקרי נכסים-יתרות פתיחה'!$2:$110,91,0),0)*(1-J$309)</f>
        <v>0</v>
      </c>
      <c r="K93" s="1240">
        <f>+IFERROR(HLOOKUP(K25,'סקרי נכסים-יתרות פתיחה'!$2:$110,6,0),0)-IFERROR(HLOOKUP(K25,'סקרי נכסים-יתרות פתיחה'!$2:$110,91,0),0)*(1-K$309)</f>
        <v>0</v>
      </c>
      <c r="L93" s="1240">
        <f>+IFERROR(HLOOKUP(L25,'סקרי נכסים-יתרות פתיחה'!$2:$110,6,0),0)-IFERROR(HLOOKUP(L25,'סקרי נכסים-יתרות פתיחה'!$2:$110,91,0),0)*(1-L$309)</f>
        <v>0</v>
      </c>
      <c r="M93" s="1240">
        <f>+IFERROR(HLOOKUP(M25,'סקרי נכסים-יתרות פתיחה'!$2:$110,6,0),0)-IFERROR(HLOOKUP(M25,'סקרי נכסים-יתרות פתיחה'!$2:$110,91,0),0)*(1-M$309)</f>
        <v>0</v>
      </c>
      <c r="N93" s="1240">
        <f>+IFERROR(HLOOKUP(N25,'סקרי נכסים-יתרות פתיחה'!$2:$110,6,0),0)-IFERROR(HLOOKUP(N25,'סקרי נכסים-יתרות פתיחה'!$2:$110,91,0),0)*(1-N$309)</f>
        <v>0</v>
      </c>
      <c r="O93" s="1240">
        <f>+IFERROR(HLOOKUP(O25,'סקרי נכסים-יתרות פתיחה'!$2:$110,6,0),0)-IFERROR(HLOOKUP(O25,'סקרי נכסים-יתרות פתיחה'!$2:$110,91,0),0)*(1-O$309)</f>
        <v>0</v>
      </c>
      <c r="P93" s="1240">
        <f>+IFERROR(HLOOKUP(P25,'סקרי נכסים-יתרות פתיחה'!$2:$110,6,0),0)-IFERROR(HLOOKUP(P25,'סקרי נכסים-יתרות פתיחה'!$2:$110,91,0),0)*(1-P$309)</f>
        <v>0</v>
      </c>
      <c r="Q93" s="1240">
        <f>+IFERROR(HLOOKUP(Q25,'סקרי נכסים-יתרות פתיחה'!$2:$110,6,0),0)-IFERROR(HLOOKUP(Q25,'סקרי נכסים-יתרות פתיחה'!$2:$110,91,0),0)*(1-Q$309)</f>
        <v>0</v>
      </c>
      <c r="R93" s="1240">
        <f>+IFERROR(HLOOKUP(R25,'סקרי נכסים-יתרות פתיחה'!$2:$110,6,0),0)-IFERROR(HLOOKUP(R25,'סקרי נכסים-יתרות פתיחה'!$2:$110,91,0),0)*(1-R$309)</f>
        <v>0</v>
      </c>
      <c r="S93" s="1240">
        <f>+IFERROR(HLOOKUP(S25,'סקרי נכסים-יתרות פתיחה'!$2:$110,6,0),0)-IFERROR(HLOOKUP(S25,'סקרי נכסים-יתרות פתיחה'!$2:$110,91,0),0)*(1-S$309)</f>
        <v>0</v>
      </c>
      <c r="T93" s="1240">
        <f>+IFERROR(HLOOKUP(T25,'סקרי נכסים-יתרות פתיחה'!$2:$110,6,0),0)-IFERROR(HLOOKUP(T25,'סקרי נכסים-יתרות פתיחה'!$2:$110,91,0),0)*(1-T$309)</f>
        <v>0</v>
      </c>
      <c r="U93" s="1240">
        <f>+IFERROR(HLOOKUP(U25,'סקרי נכסים-יתרות פתיחה'!$2:$110,6,0),0)-IFERROR(HLOOKUP(U25,'סקרי נכסים-יתרות פתיחה'!$2:$110,91,0),0)*(1-U$309)</f>
        <v>0</v>
      </c>
      <c r="V93" s="1240">
        <f>+IFERROR(HLOOKUP(V25,'סקרי נכסים-יתרות פתיחה'!$2:$110,6,0),0)-IFERROR(HLOOKUP(V25,'סקרי נכסים-יתרות פתיחה'!$2:$110,91,0),0)*(1-V$309)</f>
        <v>0</v>
      </c>
      <c r="W93" s="1240">
        <f>+IFERROR(HLOOKUP(W25,'סקרי נכסים-יתרות פתיחה'!$2:$110,6,0),0)-IFERROR(HLOOKUP(W25,'סקרי נכסים-יתרות פתיחה'!$2:$110,91,0),0)*(1-W$309)</f>
        <v>0</v>
      </c>
      <c r="X93" s="1240">
        <f>+IFERROR(HLOOKUP(X25,'סקרי נכסים-יתרות פתיחה'!$2:$110,6,0),0)-IFERROR(HLOOKUP(X25,'סקרי נכסים-יתרות פתיחה'!$2:$110,91,0),0)*(1-X$309)</f>
        <v>0</v>
      </c>
      <c r="Y93" s="1240">
        <f>+IFERROR(HLOOKUP(Y25,'סקרי נכסים-יתרות פתיחה'!$2:$110,6,0),0)-IFERROR(HLOOKUP(Y25,'סקרי נכסים-יתרות פתיחה'!$2:$110,91,0),0)*(1-Y$309)</f>
        <v>0</v>
      </c>
      <c r="Z93" s="1240">
        <f>+IFERROR(HLOOKUP(Z25,'סקרי נכסים-יתרות פתיחה'!$2:$110,6,0),0)-IFERROR(HLOOKUP(Z25,'סקרי נכסים-יתרות פתיחה'!$2:$110,91,0),0)*(1-Z$309)</f>
        <v>0</v>
      </c>
      <c r="AA93" s="1240">
        <f>+IFERROR(HLOOKUP(AA25,'סקרי נכסים-יתרות פתיחה'!$2:$110,6,0),0)-IFERROR(HLOOKUP(AA25,'סקרי נכסים-יתרות פתיחה'!$2:$110,91,0),0)*(1-AA$309)</f>
        <v>0</v>
      </c>
      <c r="AB93" s="1240">
        <f>+IFERROR(HLOOKUP(AB25,'סקרי נכסים-יתרות פתיחה'!$2:$110,6,0),0)-IFERROR(HLOOKUP(AB25,'סקרי נכסים-יתרות פתיחה'!$2:$110,91,0),0)*(1-AB$309)</f>
        <v>0</v>
      </c>
      <c r="AC93" s="1240">
        <f>+IFERROR(HLOOKUP(AC25,'סקרי נכסים-יתרות פתיחה'!$2:$110,6,0),0)-IFERROR(HLOOKUP(AC25,'סקרי נכסים-יתרות פתיחה'!$2:$110,91,0),0)*(1-AC$309)</f>
        <v>0</v>
      </c>
      <c r="AD93" s="1240">
        <f>+IFERROR(HLOOKUP(AD25,'סקרי נכסים-יתרות פתיחה'!$2:$110,6,0),0)-IFERROR(HLOOKUP(AD25,'סקרי נכסים-יתרות פתיחה'!$2:$110,91,0),0)*(1-AD$309)</f>
        <v>0</v>
      </c>
      <c r="AE93" s="1240">
        <f>+IFERROR(HLOOKUP(AE25,'סקרי נכסים-יתרות פתיחה'!$2:$110,6,0),0)-IFERROR(HLOOKUP(AE25,'סקרי נכסים-יתרות פתיחה'!$2:$110,91,0),0)*(1-AE$309)</f>
        <v>0</v>
      </c>
      <c r="AF93" s="1240">
        <f>+IFERROR(HLOOKUP(AF25,'סקרי נכסים-יתרות פתיחה'!$2:$110,6,0),0)-IFERROR(HLOOKUP(AF25,'סקרי נכסים-יתרות פתיחה'!$2:$110,91,0),0)*(1-AF$309)</f>
        <v>0</v>
      </c>
      <c r="AG93" s="1240">
        <f>+IFERROR(HLOOKUP(AG25,'סקרי נכסים-יתרות פתיחה'!$2:$110,6,0),0)-IFERROR(HLOOKUP(AG25,'סקרי נכסים-יתרות פתיחה'!$2:$110,91,0),0)*(1-AG$309)</f>
        <v>0</v>
      </c>
      <c r="AH93" s="1240">
        <f>+IFERROR(HLOOKUP(AH25,'סקרי נכסים-יתרות פתיחה'!$2:$110,6,0),0)-IFERROR(HLOOKUP(AH25,'סקרי נכסים-יתרות פתיחה'!$2:$110,91,0),0)*(1-AH$309)</f>
        <v>0</v>
      </c>
      <c r="AI93" s="1240">
        <f>+IFERROR(HLOOKUP(AI25,'סקרי נכסים-יתרות פתיחה'!$2:$110,6,0),0)-IFERROR(HLOOKUP(AI25,'סקרי נכסים-יתרות פתיחה'!$2:$110,91,0),0)*(1-AI$309)</f>
        <v>0</v>
      </c>
      <c r="AJ93" s="1240">
        <f>+IFERROR(HLOOKUP(AJ25,'סקרי נכסים-יתרות פתיחה'!$2:$110,6,0),0)-IFERROR(HLOOKUP(AJ25,'סקרי נכסים-יתרות פתיחה'!$2:$110,91,0),0)*(1-AJ$309)</f>
        <v>0</v>
      </c>
      <c r="AK93" s="1240">
        <f>+IFERROR(HLOOKUP(AK25,'סקרי נכסים-יתרות פתיחה'!$2:$110,6,0),0)-IFERROR(HLOOKUP(AK25,'סקרי נכסים-יתרות פתיחה'!$2:$110,91,0),0)*(1-AK$309)</f>
        <v>0</v>
      </c>
      <c r="AL93" s="1240">
        <f>+IFERROR(HLOOKUP(AL25,'סקרי נכסים-יתרות פתיחה'!$2:$110,6,0),0)-IFERROR(HLOOKUP(AL25,'סקרי נכסים-יתרות פתיחה'!$2:$110,91,0),0)*(1-AL$309)</f>
        <v>0</v>
      </c>
      <c r="AM93" s="1240">
        <f>+IFERROR(HLOOKUP(AM25,'סקרי נכסים-יתרות פתיחה'!$2:$110,6,0),0)-IFERROR(HLOOKUP(AM25,'סקרי נכסים-יתרות פתיחה'!$2:$110,91,0),0)*(1-AM$309)</f>
        <v>0</v>
      </c>
      <c r="AN93" s="1240">
        <f>+IFERROR(HLOOKUP(AN25,'סקרי נכסים-יתרות פתיחה'!$2:$110,6,0),0)-IFERROR(HLOOKUP(AN25,'סקרי נכסים-יתרות פתיחה'!$2:$110,91,0),0)*(1-AN$309)</f>
        <v>0</v>
      </c>
      <c r="AO93" s="1240">
        <f>+IFERROR(HLOOKUP(AO25,'סקרי נכסים-יתרות פתיחה'!$2:$110,6,0),0)-IFERROR(HLOOKUP(AO25,'סקרי נכסים-יתרות פתיחה'!$2:$110,91,0),0)*(1-AO$309)</f>
        <v>0</v>
      </c>
      <c r="AP93" s="1240">
        <f>+IFERROR(HLOOKUP(AP25,'סקרי נכסים-יתרות פתיחה'!$2:$110,6,0),0)-IFERROR(HLOOKUP(AP25,'סקרי נכסים-יתרות פתיחה'!$2:$110,91,0),0)*(1-AP$309)</f>
        <v>0</v>
      </c>
      <c r="AQ93" s="1240">
        <f>+IFERROR(HLOOKUP(AQ25,'סקרי נכסים-יתרות פתיחה'!$2:$110,6,0),0)-IFERROR(HLOOKUP(AQ25,'סקרי נכסים-יתרות פתיחה'!$2:$110,91,0),0)*(1-AQ$309)</f>
        <v>0</v>
      </c>
      <c r="AR93" s="1240">
        <f>+IFERROR(HLOOKUP(AR25,'סקרי נכסים-יתרות פתיחה'!$2:$110,6,0),0)-IFERROR(HLOOKUP(AR25,'סקרי נכסים-יתרות פתיחה'!$2:$110,91,0),0)*(1-AR$309)</f>
        <v>0</v>
      </c>
      <c r="AS93" s="1240">
        <f>+IFERROR(HLOOKUP(AS25,'סקרי נכסים-יתרות פתיחה'!$2:$110,6,0),0)-IFERROR(HLOOKUP(AS25,'סקרי נכסים-יתרות פתיחה'!$2:$110,91,0),0)*(1-AS$309)</f>
        <v>0</v>
      </c>
      <c r="AT93" s="1240">
        <f>+IFERROR(HLOOKUP(AT25,'סקרי נכסים-יתרות פתיחה'!$2:$110,6,0),0)-IFERROR(HLOOKUP(AT25,'סקרי נכסים-יתרות פתיחה'!$2:$110,91,0),0)*(1-AT$309)</f>
        <v>0</v>
      </c>
      <c r="AU93" s="1240">
        <f>+IFERROR(HLOOKUP(AU25,'סקרי נכסים-יתרות פתיחה'!$2:$110,6,0),0)-IFERROR(HLOOKUP(AU25,'סקרי נכסים-יתרות פתיחה'!$2:$110,91,0),0)*(1-AU$309)</f>
        <v>0</v>
      </c>
      <c r="AV93" s="1240">
        <f>+IFERROR(HLOOKUP(AV25,'סקרי נכסים-יתרות פתיחה'!$2:$110,6,0),0)-IFERROR(HLOOKUP(AV25,'סקרי נכסים-יתרות פתיחה'!$2:$110,91,0),0)*(1-AV$309)</f>
        <v>0</v>
      </c>
      <c r="AW93" s="1240">
        <f>+IFERROR(HLOOKUP(AW25,'סקרי נכסים-יתרות פתיחה'!$2:$110,6,0),0)-IFERROR(HLOOKUP(AW25,'סקרי נכסים-יתרות פתיחה'!$2:$110,91,0),0)*(1-AW$309)</f>
        <v>0</v>
      </c>
      <c r="AX93" s="1240">
        <f>+IFERROR(HLOOKUP(AX25,'סקרי נכסים-יתרות פתיחה'!$2:$110,6,0),0)-IFERROR(HLOOKUP(AX25,'סקרי נכסים-יתרות פתיחה'!$2:$110,91,0),0)*(1-AX$309)</f>
        <v>0</v>
      </c>
      <c r="AY93" s="1240">
        <f>+IFERROR(HLOOKUP(AY25,'סקרי נכסים-יתרות פתיחה'!$2:$110,6,0),0)-IFERROR(HLOOKUP(AY25,'סקרי נכסים-יתרות פתיחה'!$2:$110,91,0),0)*(1-AY$309)</f>
        <v>0</v>
      </c>
      <c r="AZ93" s="1240">
        <f>+IFERROR(HLOOKUP(AZ25,'סקרי נכסים-יתרות פתיחה'!$2:$110,6,0),0)-IFERROR(HLOOKUP(AZ25,'סקרי נכסים-יתרות פתיחה'!$2:$110,91,0),0)*(1-AZ$309)</f>
        <v>0</v>
      </c>
      <c r="BA93" s="1240">
        <f>+IFERROR(HLOOKUP(BA25,'סקרי נכסים-יתרות פתיחה'!$2:$110,6,0),0)-IFERROR(HLOOKUP(BA25,'סקרי נכסים-יתרות פתיחה'!$2:$110,91,0),0)*(1-BA$309)</f>
        <v>0</v>
      </c>
      <c r="BB93" s="1240">
        <f>+IFERROR(HLOOKUP(BB25,'סקרי נכסים-יתרות פתיחה'!$2:$110,6,0),0)-IFERROR(HLOOKUP(BB25,'סקרי נכסים-יתרות פתיחה'!$2:$110,91,0),0)*(1-BB$309)</f>
        <v>0</v>
      </c>
      <c r="BC93" s="1240">
        <f>+IFERROR(HLOOKUP(BC25,'סקרי נכסים-יתרות פתיחה'!$2:$110,6,0),0)-IFERROR(HLOOKUP(BC25,'סקרי נכסים-יתרות פתיחה'!$2:$110,91,0),0)*(1-BC$309)</f>
        <v>0</v>
      </c>
      <c r="BD93" s="1240">
        <f>+IFERROR(HLOOKUP(BD25,'סקרי נכסים-יתרות פתיחה'!$2:$110,6,0),0)-IFERROR(HLOOKUP(BD25,'סקרי נכסים-יתרות פתיחה'!$2:$110,91,0),0)*(1-BD$309)</f>
        <v>0</v>
      </c>
      <c r="BE93" s="1240">
        <f>+IFERROR(HLOOKUP(BE25,'סקרי נכסים-יתרות פתיחה'!$2:$110,6,0),0)-IFERROR(HLOOKUP(BE25,'סקרי נכסים-יתרות פתיחה'!$2:$110,91,0),0)*(1-BE$309)</f>
        <v>0</v>
      </c>
      <c r="BF93" s="1240">
        <f>+IFERROR(HLOOKUP(BF25,'סקרי נכסים-יתרות פתיחה'!$2:$110,6,0),0)-IFERROR(HLOOKUP(BF25,'סקרי נכסים-יתרות פתיחה'!$2:$110,91,0),0)*(1-BF$309)</f>
        <v>0</v>
      </c>
    </row>
    <row r="94" spans="2:58" x14ac:dyDescent="0.2">
      <c r="B94" s="1">
        <v>23</v>
      </c>
      <c r="C94" s="1240">
        <f>+IFERROR(HLOOKUP(C26,'סקרי נכסים-יתרות פתיחה'!$2:$110,6,0),0)-IFERROR(HLOOKUP(C26,'סקרי נכסים-יתרות פתיחה'!$2:$110,91,0),0)*(1-C$309)</f>
        <v>0</v>
      </c>
      <c r="D94" s="1240">
        <f>+IFERROR(HLOOKUP(D26,'סקרי נכסים-יתרות פתיחה'!$2:$110,6,0),0)-IFERROR(HLOOKUP(D26,'סקרי נכסים-יתרות פתיחה'!$2:$110,91,0),0)*(1-D$309)</f>
        <v>0</v>
      </c>
      <c r="E94" s="1240">
        <f>+IFERROR(HLOOKUP(E26,'סקרי נכסים-יתרות פתיחה'!$2:$110,6,0),0)-IFERROR(HLOOKUP(E26,'סקרי נכסים-יתרות פתיחה'!$2:$110,91,0),0)*(1-E$309)</f>
        <v>0</v>
      </c>
      <c r="F94" s="1240">
        <f>+IFERROR(HLOOKUP(F26,'סקרי נכסים-יתרות פתיחה'!$2:$110,6,0),0)-IFERROR(HLOOKUP(F26,'סקרי נכסים-יתרות פתיחה'!$2:$110,91,0),0)*(1-F$309)</f>
        <v>0</v>
      </c>
      <c r="G94" s="1240">
        <f>+IFERROR(HLOOKUP(G26,'סקרי נכסים-יתרות פתיחה'!$2:$110,6,0),0)-IFERROR(HLOOKUP(G26,'סקרי נכסים-יתרות פתיחה'!$2:$110,91,0),0)*(1-G$309)</f>
        <v>0</v>
      </c>
      <c r="H94" s="1240">
        <f>+IFERROR(HLOOKUP(H26,'סקרי נכסים-יתרות פתיחה'!$2:$110,6,0),0)-IFERROR(HLOOKUP(H26,'סקרי נכסים-יתרות פתיחה'!$2:$110,91,0),0)*(1-H$309)</f>
        <v>0</v>
      </c>
      <c r="I94" s="1240">
        <f>+IFERROR(HLOOKUP(I26,'סקרי נכסים-יתרות פתיחה'!$2:$110,6,0),0)-IFERROR(HLOOKUP(I26,'סקרי נכסים-יתרות פתיחה'!$2:$110,91,0),0)*(1-I$309)</f>
        <v>0</v>
      </c>
      <c r="J94" s="1240">
        <f>+IFERROR(HLOOKUP(J26,'סקרי נכסים-יתרות פתיחה'!$2:$110,6,0),0)-IFERROR(HLOOKUP(J26,'סקרי נכסים-יתרות פתיחה'!$2:$110,91,0),0)*(1-J$309)</f>
        <v>0</v>
      </c>
      <c r="K94" s="1240">
        <f>+IFERROR(HLOOKUP(K26,'סקרי נכסים-יתרות פתיחה'!$2:$110,6,0),0)-IFERROR(HLOOKUP(K26,'סקרי נכסים-יתרות פתיחה'!$2:$110,91,0),0)*(1-K$309)</f>
        <v>0</v>
      </c>
      <c r="L94" s="1240">
        <f>+IFERROR(HLOOKUP(L26,'סקרי נכסים-יתרות פתיחה'!$2:$110,6,0),0)-IFERROR(HLOOKUP(L26,'סקרי נכסים-יתרות פתיחה'!$2:$110,91,0),0)*(1-L$309)</f>
        <v>0</v>
      </c>
      <c r="M94" s="1240">
        <f>+IFERROR(HLOOKUP(M26,'סקרי נכסים-יתרות פתיחה'!$2:$110,6,0),0)-IFERROR(HLOOKUP(M26,'סקרי נכסים-יתרות פתיחה'!$2:$110,91,0),0)*(1-M$309)</f>
        <v>0</v>
      </c>
      <c r="N94" s="1240">
        <f>+IFERROR(HLOOKUP(N26,'סקרי נכסים-יתרות פתיחה'!$2:$110,6,0),0)-IFERROR(HLOOKUP(N26,'סקרי נכסים-יתרות פתיחה'!$2:$110,91,0),0)*(1-N$309)</f>
        <v>0</v>
      </c>
      <c r="O94" s="1240">
        <f>+IFERROR(HLOOKUP(O26,'סקרי נכסים-יתרות פתיחה'!$2:$110,6,0),0)-IFERROR(HLOOKUP(O26,'סקרי נכסים-יתרות פתיחה'!$2:$110,91,0),0)*(1-O$309)</f>
        <v>0</v>
      </c>
      <c r="P94" s="1240">
        <f>+IFERROR(HLOOKUP(P26,'סקרי נכסים-יתרות פתיחה'!$2:$110,6,0),0)-IFERROR(HLOOKUP(P26,'סקרי נכסים-יתרות פתיחה'!$2:$110,91,0),0)*(1-P$309)</f>
        <v>0</v>
      </c>
      <c r="Q94" s="1240">
        <f>+IFERROR(HLOOKUP(Q26,'סקרי נכסים-יתרות פתיחה'!$2:$110,6,0),0)-IFERROR(HLOOKUP(Q26,'סקרי נכסים-יתרות פתיחה'!$2:$110,91,0),0)*(1-Q$309)</f>
        <v>0</v>
      </c>
      <c r="R94" s="1240">
        <f>+IFERROR(HLOOKUP(R26,'סקרי נכסים-יתרות פתיחה'!$2:$110,6,0),0)-IFERROR(HLOOKUP(R26,'סקרי נכסים-יתרות פתיחה'!$2:$110,91,0),0)*(1-R$309)</f>
        <v>0</v>
      </c>
      <c r="S94" s="1240">
        <f>+IFERROR(HLOOKUP(S26,'סקרי נכסים-יתרות פתיחה'!$2:$110,6,0),0)-IFERROR(HLOOKUP(S26,'סקרי נכסים-יתרות פתיחה'!$2:$110,91,0),0)*(1-S$309)</f>
        <v>0</v>
      </c>
      <c r="T94" s="1240">
        <f>+IFERROR(HLOOKUP(T26,'סקרי נכסים-יתרות פתיחה'!$2:$110,6,0),0)-IFERROR(HLOOKUP(T26,'סקרי נכסים-יתרות פתיחה'!$2:$110,91,0),0)*(1-T$309)</f>
        <v>0</v>
      </c>
      <c r="U94" s="1240">
        <f>+IFERROR(HLOOKUP(U26,'סקרי נכסים-יתרות פתיחה'!$2:$110,6,0),0)-IFERROR(HLOOKUP(U26,'סקרי נכסים-יתרות פתיחה'!$2:$110,91,0),0)*(1-U$309)</f>
        <v>0</v>
      </c>
      <c r="V94" s="1240">
        <f>+IFERROR(HLOOKUP(V26,'סקרי נכסים-יתרות פתיחה'!$2:$110,6,0),0)-IFERROR(HLOOKUP(V26,'סקרי נכסים-יתרות פתיחה'!$2:$110,91,0),0)*(1-V$309)</f>
        <v>0</v>
      </c>
      <c r="W94" s="1240">
        <f>+IFERROR(HLOOKUP(W26,'סקרי נכסים-יתרות פתיחה'!$2:$110,6,0),0)-IFERROR(HLOOKUP(W26,'סקרי נכסים-יתרות פתיחה'!$2:$110,91,0),0)*(1-W$309)</f>
        <v>0</v>
      </c>
      <c r="X94" s="1240">
        <f>+IFERROR(HLOOKUP(X26,'סקרי נכסים-יתרות פתיחה'!$2:$110,6,0),0)-IFERROR(HLOOKUP(X26,'סקרי נכסים-יתרות פתיחה'!$2:$110,91,0),0)*(1-X$309)</f>
        <v>0</v>
      </c>
      <c r="Y94" s="1240">
        <f>+IFERROR(HLOOKUP(Y26,'סקרי נכסים-יתרות פתיחה'!$2:$110,6,0),0)-IFERROR(HLOOKUP(Y26,'סקרי נכסים-יתרות פתיחה'!$2:$110,91,0),0)*(1-Y$309)</f>
        <v>0</v>
      </c>
      <c r="Z94" s="1240">
        <f>+IFERROR(HLOOKUP(Z26,'סקרי נכסים-יתרות פתיחה'!$2:$110,6,0),0)-IFERROR(HLOOKUP(Z26,'סקרי נכסים-יתרות פתיחה'!$2:$110,91,0),0)*(1-Z$309)</f>
        <v>0</v>
      </c>
      <c r="AA94" s="1240">
        <f>+IFERROR(HLOOKUP(AA26,'סקרי נכסים-יתרות פתיחה'!$2:$110,6,0),0)-IFERROR(HLOOKUP(AA26,'סקרי נכסים-יתרות פתיחה'!$2:$110,91,0),0)*(1-AA$309)</f>
        <v>0</v>
      </c>
      <c r="AB94" s="1240">
        <f>+IFERROR(HLOOKUP(AB26,'סקרי נכסים-יתרות פתיחה'!$2:$110,6,0),0)-IFERROR(HLOOKUP(AB26,'סקרי נכסים-יתרות פתיחה'!$2:$110,91,0),0)*(1-AB$309)</f>
        <v>0</v>
      </c>
      <c r="AC94" s="1240">
        <f>+IFERROR(HLOOKUP(AC26,'סקרי נכסים-יתרות פתיחה'!$2:$110,6,0),0)-IFERROR(HLOOKUP(AC26,'סקרי נכסים-יתרות פתיחה'!$2:$110,91,0),0)*(1-AC$309)</f>
        <v>0</v>
      </c>
      <c r="AD94" s="1240">
        <f>+IFERROR(HLOOKUP(AD26,'סקרי נכסים-יתרות פתיחה'!$2:$110,6,0),0)-IFERROR(HLOOKUP(AD26,'סקרי נכסים-יתרות פתיחה'!$2:$110,91,0),0)*(1-AD$309)</f>
        <v>0</v>
      </c>
      <c r="AE94" s="1240">
        <f>+IFERROR(HLOOKUP(AE26,'סקרי נכסים-יתרות פתיחה'!$2:$110,6,0),0)-IFERROR(HLOOKUP(AE26,'סקרי נכסים-יתרות פתיחה'!$2:$110,91,0),0)*(1-AE$309)</f>
        <v>0</v>
      </c>
      <c r="AF94" s="1240">
        <f>+IFERROR(HLOOKUP(AF26,'סקרי נכסים-יתרות פתיחה'!$2:$110,6,0),0)-IFERROR(HLOOKUP(AF26,'סקרי נכסים-יתרות פתיחה'!$2:$110,91,0),0)*(1-AF$309)</f>
        <v>0</v>
      </c>
      <c r="AG94" s="1240">
        <f>+IFERROR(HLOOKUP(AG26,'סקרי נכסים-יתרות פתיחה'!$2:$110,6,0),0)-IFERROR(HLOOKUP(AG26,'סקרי נכסים-יתרות פתיחה'!$2:$110,91,0),0)*(1-AG$309)</f>
        <v>0</v>
      </c>
      <c r="AH94" s="1240">
        <f>+IFERROR(HLOOKUP(AH26,'סקרי נכסים-יתרות פתיחה'!$2:$110,6,0),0)-IFERROR(HLOOKUP(AH26,'סקרי נכסים-יתרות פתיחה'!$2:$110,91,0),0)*(1-AH$309)</f>
        <v>0</v>
      </c>
      <c r="AI94" s="1240">
        <f>+IFERROR(HLOOKUP(AI26,'סקרי נכסים-יתרות פתיחה'!$2:$110,6,0),0)-IFERROR(HLOOKUP(AI26,'סקרי נכסים-יתרות פתיחה'!$2:$110,91,0),0)*(1-AI$309)</f>
        <v>0</v>
      </c>
      <c r="AJ94" s="1240">
        <f>+IFERROR(HLOOKUP(AJ26,'סקרי נכסים-יתרות פתיחה'!$2:$110,6,0),0)-IFERROR(HLOOKUP(AJ26,'סקרי נכסים-יתרות פתיחה'!$2:$110,91,0),0)*(1-AJ$309)</f>
        <v>0</v>
      </c>
      <c r="AK94" s="1240">
        <f>+IFERROR(HLOOKUP(AK26,'סקרי נכסים-יתרות פתיחה'!$2:$110,6,0),0)-IFERROR(HLOOKUP(AK26,'סקרי נכסים-יתרות פתיחה'!$2:$110,91,0),0)*(1-AK$309)</f>
        <v>0</v>
      </c>
      <c r="AL94" s="1240">
        <f>+IFERROR(HLOOKUP(AL26,'סקרי נכסים-יתרות פתיחה'!$2:$110,6,0),0)-IFERROR(HLOOKUP(AL26,'סקרי נכסים-יתרות פתיחה'!$2:$110,91,0),0)*(1-AL$309)</f>
        <v>0</v>
      </c>
      <c r="AM94" s="1240">
        <f>+IFERROR(HLOOKUP(AM26,'סקרי נכסים-יתרות פתיחה'!$2:$110,6,0),0)-IFERROR(HLOOKUP(AM26,'סקרי נכסים-יתרות פתיחה'!$2:$110,91,0),0)*(1-AM$309)</f>
        <v>0</v>
      </c>
      <c r="AN94" s="1240">
        <f>+IFERROR(HLOOKUP(AN26,'סקרי נכסים-יתרות פתיחה'!$2:$110,6,0),0)-IFERROR(HLOOKUP(AN26,'סקרי נכסים-יתרות פתיחה'!$2:$110,91,0),0)*(1-AN$309)</f>
        <v>0</v>
      </c>
      <c r="AO94" s="1240">
        <f>+IFERROR(HLOOKUP(AO26,'סקרי נכסים-יתרות פתיחה'!$2:$110,6,0),0)-IFERROR(HLOOKUP(AO26,'סקרי נכסים-יתרות פתיחה'!$2:$110,91,0),0)*(1-AO$309)</f>
        <v>0</v>
      </c>
      <c r="AP94" s="1240">
        <f>+IFERROR(HLOOKUP(AP26,'סקרי נכסים-יתרות פתיחה'!$2:$110,6,0),0)-IFERROR(HLOOKUP(AP26,'סקרי נכסים-יתרות פתיחה'!$2:$110,91,0),0)*(1-AP$309)</f>
        <v>0</v>
      </c>
      <c r="AQ94" s="1240">
        <f>+IFERROR(HLOOKUP(AQ26,'סקרי נכסים-יתרות פתיחה'!$2:$110,6,0),0)-IFERROR(HLOOKUP(AQ26,'סקרי נכסים-יתרות פתיחה'!$2:$110,91,0),0)*(1-AQ$309)</f>
        <v>0</v>
      </c>
      <c r="AR94" s="1240">
        <f>+IFERROR(HLOOKUP(AR26,'סקרי נכסים-יתרות פתיחה'!$2:$110,6,0),0)-IFERROR(HLOOKUP(AR26,'סקרי נכסים-יתרות פתיחה'!$2:$110,91,0),0)*(1-AR$309)</f>
        <v>0</v>
      </c>
      <c r="AS94" s="1240">
        <f>+IFERROR(HLOOKUP(AS26,'סקרי נכסים-יתרות פתיחה'!$2:$110,6,0),0)-IFERROR(HLOOKUP(AS26,'סקרי נכסים-יתרות פתיחה'!$2:$110,91,0),0)*(1-AS$309)</f>
        <v>0</v>
      </c>
      <c r="AT94" s="1240">
        <f>+IFERROR(HLOOKUP(AT26,'סקרי נכסים-יתרות פתיחה'!$2:$110,6,0),0)-IFERROR(HLOOKUP(AT26,'סקרי נכסים-יתרות פתיחה'!$2:$110,91,0),0)*(1-AT$309)</f>
        <v>0</v>
      </c>
      <c r="AU94" s="1240">
        <f>+IFERROR(HLOOKUP(AU26,'סקרי נכסים-יתרות פתיחה'!$2:$110,6,0),0)-IFERROR(HLOOKUP(AU26,'סקרי נכסים-יתרות פתיחה'!$2:$110,91,0),0)*(1-AU$309)</f>
        <v>0</v>
      </c>
      <c r="AV94" s="1240">
        <f>+IFERROR(HLOOKUP(AV26,'סקרי נכסים-יתרות פתיחה'!$2:$110,6,0),0)-IFERROR(HLOOKUP(AV26,'סקרי נכסים-יתרות פתיחה'!$2:$110,91,0),0)*(1-AV$309)</f>
        <v>0</v>
      </c>
      <c r="AW94" s="1240">
        <f>+IFERROR(HLOOKUP(AW26,'סקרי נכסים-יתרות פתיחה'!$2:$110,6,0),0)-IFERROR(HLOOKUP(AW26,'סקרי נכסים-יתרות פתיחה'!$2:$110,91,0),0)*(1-AW$309)</f>
        <v>0</v>
      </c>
      <c r="AX94" s="1240">
        <f>+IFERROR(HLOOKUP(AX26,'סקרי נכסים-יתרות פתיחה'!$2:$110,6,0),0)-IFERROR(HLOOKUP(AX26,'סקרי נכסים-יתרות פתיחה'!$2:$110,91,0),0)*(1-AX$309)</f>
        <v>0</v>
      </c>
      <c r="AY94" s="1240">
        <f>+IFERROR(HLOOKUP(AY26,'סקרי נכסים-יתרות פתיחה'!$2:$110,6,0),0)-IFERROR(HLOOKUP(AY26,'סקרי נכסים-יתרות פתיחה'!$2:$110,91,0),0)*(1-AY$309)</f>
        <v>0</v>
      </c>
      <c r="AZ94" s="1240">
        <f>+IFERROR(HLOOKUP(AZ26,'סקרי נכסים-יתרות פתיחה'!$2:$110,6,0),0)-IFERROR(HLOOKUP(AZ26,'סקרי נכסים-יתרות פתיחה'!$2:$110,91,0),0)*(1-AZ$309)</f>
        <v>0</v>
      </c>
      <c r="BA94" s="1240">
        <f>+IFERROR(HLOOKUP(BA26,'סקרי נכסים-יתרות פתיחה'!$2:$110,6,0),0)-IFERROR(HLOOKUP(BA26,'סקרי נכסים-יתרות פתיחה'!$2:$110,91,0),0)*(1-BA$309)</f>
        <v>0</v>
      </c>
      <c r="BB94" s="1240">
        <f>+IFERROR(HLOOKUP(BB26,'סקרי נכסים-יתרות פתיחה'!$2:$110,6,0),0)-IFERROR(HLOOKUP(BB26,'סקרי נכסים-יתרות פתיחה'!$2:$110,91,0),0)*(1-BB$309)</f>
        <v>0</v>
      </c>
      <c r="BC94" s="1240">
        <f>+IFERROR(HLOOKUP(BC26,'סקרי נכסים-יתרות פתיחה'!$2:$110,6,0),0)-IFERROR(HLOOKUP(BC26,'סקרי נכסים-יתרות פתיחה'!$2:$110,91,0),0)*(1-BC$309)</f>
        <v>0</v>
      </c>
      <c r="BD94" s="1240">
        <f>+IFERROR(HLOOKUP(BD26,'סקרי נכסים-יתרות פתיחה'!$2:$110,6,0),0)-IFERROR(HLOOKUP(BD26,'סקרי נכסים-יתרות פתיחה'!$2:$110,91,0),0)*(1-BD$309)</f>
        <v>0</v>
      </c>
      <c r="BE94" s="1240">
        <f>+IFERROR(HLOOKUP(BE26,'סקרי נכסים-יתרות פתיחה'!$2:$110,6,0),0)-IFERROR(HLOOKUP(BE26,'סקרי נכסים-יתרות פתיחה'!$2:$110,91,0),0)*(1-BE$309)</f>
        <v>0</v>
      </c>
      <c r="BF94" s="1240">
        <f>+IFERROR(HLOOKUP(BF26,'סקרי נכסים-יתרות פתיחה'!$2:$110,6,0),0)-IFERROR(HLOOKUP(BF26,'סקרי נכסים-יתרות פתיחה'!$2:$110,91,0),0)*(1-BF$309)</f>
        <v>0</v>
      </c>
    </row>
    <row r="95" spans="2:58" x14ac:dyDescent="0.2">
      <c r="B95" s="1">
        <v>24</v>
      </c>
      <c r="C95" s="1240">
        <f>+IFERROR(HLOOKUP(C27,'סקרי נכסים-יתרות פתיחה'!$2:$110,6,0),0)-IFERROR(HLOOKUP(C27,'סקרי נכסים-יתרות פתיחה'!$2:$110,91,0),0)*(1-C$309)</f>
        <v>0</v>
      </c>
      <c r="D95" s="1240">
        <f>+IFERROR(HLOOKUP(D27,'סקרי נכסים-יתרות פתיחה'!$2:$110,6,0),0)-IFERROR(HLOOKUP(D27,'סקרי נכסים-יתרות פתיחה'!$2:$110,91,0),0)*(1-D$309)</f>
        <v>0</v>
      </c>
      <c r="E95" s="1240">
        <f>+IFERROR(HLOOKUP(E27,'סקרי נכסים-יתרות פתיחה'!$2:$110,6,0),0)-IFERROR(HLOOKUP(E27,'סקרי נכסים-יתרות פתיחה'!$2:$110,91,0),0)*(1-E$309)</f>
        <v>0</v>
      </c>
      <c r="F95" s="1240">
        <f>+IFERROR(HLOOKUP(F27,'סקרי נכסים-יתרות פתיחה'!$2:$110,6,0),0)-IFERROR(HLOOKUP(F27,'סקרי נכסים-יתרות פתיחה'!$2:$110,91,0),0)*(1-F$309)</f>
        <v>0</v>
      </c>
      <c r="G95" s="1240">
        <f>+IFERROR(HLOOKUP(G27,'סקרי נכסים-יתרות פתיחה'!$2:$110,6,0),0)-IFERROR(HLOOKUP(G27,'סקרי נכסים-יתרות פתיחה'!$2:$110,91,0),0)*(1-G$309)</f>
        <v>0</v>
      </c>
      <c r="H95" s="1240">
        <f>+IFERROR(HLOOKUP(H27,'סקרי נכסים-יתרות פתיחה'!$2:$110,6,0),0)-IFERROR(HLOOKUP(H27,'סקרי נכסים-יתרות פתיחה'!$2:$110,91,0),0)*(1-H$309)</f>
        <v>0</v>
      </c>
      <c r="I95" s="1240">
        <f>+IFERROR(HLOOKUP(I27,'סקרי נכסים-יתרות פתיחה'!$2:$110,6,0),0)-IFERROR(HLOOKUP(I27,'סקרי נכסים-יתרות פתיחה'!$2:$110,91,0),0)*(1-I$309)</f>
        <v>0</v>
      </c>
      <c r="J95" s="1240">
        <f>+IFERROR(HLOOKUP(J27,'סקרי נכסים-יתרות פתיחה'!$2:$110,6,0),0)-IFERROR(HLOOKUP(J27,'סקרי נכסים-יתרות פתיחה'!$2:$110,91,0),0)*(1-J$309)</f>
        <v>0</v>
      </c>
      <c r="K95" s="1240">
        <f>+IFERROR(HLOOKUP(K27,'סקרי נכסים-יתרות פתיחה'!$2:$110,6,0),0)-IFERROR(HLOOKUP(K27,'סקרי נכסים-יתרות פתיחה'!$2:$110,91,0),0)*(1-K$309)</f>
        <v>0</v>
      </c>
      <c r="L95" s="1240">
        <f>+IFERROR(HLOOKUP(L27,'סקרי נכסים-יתרות פתיחה'!$2:$110,6,0),0)-IFERROR(HLOOKUP(L27,'סקרי נכסים-יתרות פתיחה'!$2:$110,91,0),0)*(1-L$309)</f>
        <v>0</v>
      </c>
      <c r="M95" s="1240">
        <f>+IFERROR(HLOOKUP(M27,'סקרי נכסים-יתרות פתיחה'!$2:$110,6,0),0)-IFERROR(HLOOKUP(M27,'סקרי נכסים-יתרות פתיחה'!$2:$110,91,0),0)*(1-M$309)</f>
        <v>0</v>
      </c>
      <c r="N95" s="1240">
        <f>+IFERROR(HLOOKUP(N27,'סקרי נכסים-יתרות פתיחה'!$2:$110,6,0),0)-IFERROR(HLOOKUP(N27,'סקרי נכסים-יתרות פתיחה'!$2:$110,91,0),0)*(1-N$309)</f>
        <v>0</v>
      </c>
      <c r="O95" s="1240">
        <f>+IFERROR(HLOOKUP(O27,'סקרי נכסים-יתרות פתיחה'!$2:$110,6,0),0)-IFERROR(HLOOKUP(O27,'סקרי נכסים-יתרות פתיחה'!$2:$110,91,0),0)*(1-O$309)</f>
        <v>0</v>
      </c>
      <c r="P95" s="1240">
        <f>+IFERROR(HLOOKUP(P27,'סקרי נכסים-יתרות פתיחה'!$2:$110,6,0),0)-IFERROR(HLOOKUP(P27,'סקרי נכסים-יתרות פתיחה'!$2:$110,91,0),0)*(1-P$309)</f>
        <v>0</v>
      </c>
      <c r="Q95" s="1240">
        <f>+IFERROR(HLOOKUP(Q27,'סקרי נכסים-יתרות פתיחה'!$2:$110,6,0),0)-IFERROR(HLOOKUP(Q27,'סקרי נכסים-יתרות פתיחה'!$2:$110,91,0),0)*(1-Q$309)</f>
        <v>0</v>
      </c>
      <c r="R95" s="1240">
        <f>+IFERROR(HLOOKUP(R27,'סקרי נכסים-יתרות פתיחה'!$2:$110,6,0),0)-IFERROR(HLOOKUP(R27,'סקרי נכסים-יתרות פתיחה'!$2:$110,91,0),0)*(1-R$309)</f>
        <v>0</v>
      </c>
      <c r="S95" s="1240">
        <f>+IFERROR(HLOOKUP(S27,'סקרי נכסים-יתרות פתיחה'!$2:$110,6,0),0)-IFERROR(HLOOKUP(S27,'סקרי נכסים-יתרות פתיחה'!$2:$110,91,0),0)*(1-S$309)</f>
        <v>0</v>
      </c>
      <c r="T95" s="1240">
        <f>+IFERROR(HLOOKUP(T27,'סקרי נכסים-יתרות פתיחה'!$2:$110,6,0),0)-IFERROR(HLOOKUP(T27,'סקרי נכסים-יתרות פתיחה'!$2:$110,91,0),0)*(1-T$309)</f>
        <v>0</v>
      </c>
      <c r="U95" s="1240">
        <f>+IFERROR(HLOOKUP(U27,'סקרי נכסים-יתרות פתיחה'!$2:$110,6,0),0)-IFERROR(HLOOKUP(U27,'סקרי נכסים-יתרות פתיחה'!$2:$110,91,0),0)*(1-U$309)</f>
        <v>0</v>
      </c>
      <c r="V95" s="1240">
        <f>+IFERROR(HLOOKUP(V27,'סקרי נכסים-יתרות פתיחה'!$2:$110,6,0),0)-IFERROR(HLOOKUP(V27,'סקרי נכסים-יתרות פתיחה'!$2:$110,91,0),0)*(1-V$309)</f>
        <v>0</v>
      </c>
      <c r="W95" s="1240">
        <f>+IFERROR(HLOOKUP(W27,'סקרי נכסים-יתרות פתיחה'!$2:$110,6,0),0)-IFERROR(HLOOKUP(W27,'סקרי נכסים-יתרות פתיחה'!$2:$110,91,0),0)*(1-W$309)</f>
        <v>0</v>
      </c>
      <c r="X95" s="1240">
        <f>+IFERROR(HLOOKUP(X27,'סקרי נכסים-יתרות פתיחה'!$2:$110,6,0),0)-IFERROR(HLOOKUP(X27,'סקרי נכסים-יתרות פתיחה'!$2:$110,91,0),0)*(1-X$309)</f>
        <v>0</v>
      </c>
      <c r="Y95" s="1240">
        <f>+IFERROR(HLOOKUP(Y27,'סקרי נכסים-יתרות פתיחה'!$2:$110,6,0),0)-IFERROR(HLOOKUP(Y27,'סקרי נכסים-יתרות פתיחה'!$2:$110,91,0),0)*(1-Y$309)</f>
        <v>0</v>
      </c>
      <c r="Z95" s="1240">
        <f>+IFERROR(HLOOKUP(Z27,'סקרי נכסים-יתרות פתיחה'!$2:$110,6,0),0)-IFERROR(HLOOKUP(Z27,'סקרי נכסים-יתרות פתיחה'!$2:$110,91,0),0)*(1-Z$309)</f>
        <v>0</v>
      </c>
      <c r="AA95" s="1240">
        <f>+IFERROR(HLOOKUP(AA27,'סקרי נכסים-יתרות פתיחה'!$2:$110,6,0),0)-IFERROR(HLOOKUP(AA27,'סקרי נכסים-יתרות פתיחה'!$2:$110,91,0),0)*(1-AA$309)</f>
        <v>0</v>
      </c>
      <c r="AB95" s="1240">
        <f>+IFERROR(HLOOKUP(AB27,'סקרי נכסים-יתרות פתיחה'!$2:$110,6,0),0)-IFERROR(HLOOKUP(AB27,'סקרי נכסים-יתרות פתיחה'!$2:$110,91,0),0)*(1-AB$309)</f>
        <v>0</v>
      </c>
      <c r="AC95" s="1240">
        <f>+IFERROR(HLOOKUP(AC27,'סקרי נכסים-יתרות פתיחה'!$2:$110,6,0),0)-IFERROR(HLOOKUP(AC27,'סקרי נכסים-יתרות פתיחה'!$2:$110,91,0),0)*(1-AC$309)</f>
        <v>0</v>
      </c>
      <c r="AD95" s="1240">
        <f>+IFERROR(HLOOKUP(AD27,'סקרי נכסים-יתרות פתיחה'!$2:$110,6,0),0)-IFERROR(HLOOKUP(AD27,'סקרי נכסים-יתרות פתיחה'!$2:$110,91,0),0)*(1-AD$309)</f>
        <v>0</v>
      </c>
      <c r="AE95" s="1240">
        <f>+IFERROR(HLOOKUP(AE27,'סקרי נכסים-יתרות פתיחה'!$2:$110,6,0),0)-IFERROR(HLOOKUP(AE27,'סקרי נכסים-יתרות פתיחה'!$2:$110,91,0),0)*(1-AE$309)</f>
        <v>0</v>
      </c>
      <c r="AF95" s="1240">
        <f>+IFERROR(HLOOKUP(AF27,'סקרי נכסים-יתרות פתיחה'!$2:$110,6,0),0)-IFERROR(HLOOKUP(AF27,'סקרי נכסים-יתרות פתיחה'!$2:$110,91,0),0)*(1-AF$309)</f>
        <v>0</v>
      </c>
      <c r="AG95" s="1240">
        <f>+IFERROR(HLOOKUP(AG27,'סקרי נכסים-יתרות פתיחה'!$2:$110,6,0),0)-IFERROR(HLOOKUP(AG27,'סקרי נכסים-יתרות פתיחה'!$2:$110,91,0),0)*(1-AG$309)</f>
        <v>0</v>
      </c>
      <c r="AH95" s="1240">
        <f>+IFERROR(HLOOKUP(AH27,'סקרי נכסים-יתרות פתיחה'!$2:$110,6,0),0)-IFERROR(HLOOKUP(AH27,'סקרי נכסים-יתרות פתיחה'!$2:$110,91,0),0)*(1-AH$309)</f>
        <v>0</v>
      </c>
      <c r="AI95" s="1240">
        <f>+IFERROR(HLOOKUP(AI27,'סקרי נכסים-יתרות פתיחה'!$2:$110,6,0),0)-IFERROR(HLOOKUP(AI27,'סקרי נכסים-יתרות פתיחה'!$2:$110,91,0),0)*(1-AI$309)</f>
        <v>0</v>
      </c>
      <c r="AJ95" s="1240">
        <f>+IFERROR(HLOOKUP(AJ27,'סקרי נכסים-יתרות פתיחה'!$2:$110,6,0),0)-IFERROR(HLOOKUP(AJ27,'סקרי נכסים-יתרות פתיחה'!$2:$110,91,0),0)*(1-AJ$309)</f>
        <v>0</v>
      </c>
      <c r="AK95" s="1240">
        <f>+IFERROR(HLOOKUP(AK27,'סקרי נכסים-יתרות פתיחה'!$2:$110,6,0),0)-IFERROR(HLOOKUP(AK27,'סקרי נכסים-יתרות פתיחה'!$2:$110,91,0),0)*(1-AK$309)</f>
        <v>0</v>
      </c>
      <c r="AL95" s="1240">
        <f>+IFERROR(HLOOKUP(AL27,'סקרי נכסים-יתרות פתיחה'!$2:$110,6,0),0)-IFERROR(HLOOKUP(AL27,'סקרי נכסים-יתרות פתיחה'!$2:$110,91,0),0)*(1-AL$309)</f>
        <v>0</v>
      </c>
      <c r="AM95" s="1240">
        <f>+IFERROR(HLOOKUP(AM27,'סקרי נכסים-יתרות פתיחה'!$2:$110,6,0),0)-IFERROR(HLOOKUP(AM27,'סקרי נכסים-יתרות פתיחה'!$2:$110,91,0),0)*(1-AM$309)</f>
        <v>0</v>
      </c>
      <c r="AN95" s="1240">
        <f>+IFERROR(HLOOKUP(AN27,'סקרי נכסים-יתרות פתיחה'!$2:$110,6,0),0)-IFERROR(HLOOKUP(AN27,'סקרי נכסים-יתרות פתיחה'!$2:$110,91,0),0)*(1-AN$309)</f>
        <v>0</v>
      </c>
      <c r="AO95" s="1240">
        <f>+IFERROR(HLOOKUP(AO27,'סקרי נכסים-יתרות פתיחה'!$2:$110,6,0),0)-IFERROR(HLOOKUP(AO27,'סקרי נכסים-יתרות פתיחה'!$2:$110,91,0),0)*(1-AO$309)</f>
        <v>0</v>
      </c>
      <c r="AP95" s="1240">
        <f>+IFERROR(HLOOKUP(AP27,'סקרי נכסים-יתרות פתיחה'!$2:$110,6,0),0)-IFERROR(HLOOKUP(AP27,'סקרי נכסים-יתרות פתיחה'!$2:$110,91,0),0)*(1-AP$309)</f>
        <v>0</v>
      </c>
      <c r="AQ95" s="1240">
        <f>+IFERROR(HLOOKUP(AQ27,'סקרי נכסים-יתרות פתיחה'!$2:$110,6,0),0)-IFERROR(HLOOKUP(AQ27,'סקרי נכסים-יתרות פתיחה'!$2:$110,91,0),0)*(1-AQ$309)</f>
        <v>0</v>
      </c>
      <c r="AR95" s="1240">
        <f>+IFERROR(HLOOKUP(AR27,'סקרי נכסים-יתרות פתיחה'!$2:$110,6,0),0)-IFERROR(HLOOKUP(AR27,'סקרי נכסים-יתרות פתיחה'!$2:$110,91,0),0)*(1-AR$309)</f>
        <v>0</v>
      </c>
      <c r="AS95" s="1240">
        <f>+IFERROR(HLOOKUP(AS27,'סקרי נכסים-יתרות פתיחה'!$2:$110,6,0),0)-IFERROR(HLOOKUP(AS27,'סקרי נכסים-יתרות פתיחה'!$2:$110,91,0),0)*(1-AS$309)</f>
        <v>0</v>
      </c>
      <c r="AT95" s="1240">
        <f>+IFERROR(HLOOKUP(AT27,'סקרי נכסים-יתרות פתיחה'!$2:$110,6,0),0)-IFERROR(HLOOKUP(AT27,'סקרי נכסים-יתרות פתיחה'!$2:$110,91,0),0)*(1-AT$309)</f>
        <v>0</v>
      </c>
      <c r="AU95" s="1240">
        <f>+IFERROR(HLOOKUP(AU27,'סקרי נכסים-יתרות פתיחה'!$2:$110,6,0),0)-IFERROR(HLOOKUP(AU27,'סקרי נכסים-יתרות פתיחה'!$2:$110,91,0),0)*(1-AU$309)</f>
        <v>0</v>
      </c>
      <c r="AV95" s="1240">
        <f>+IFERROR(HLOOKUP(AV27,'סקרי נכסים-יתרות פתיחה'!$2:$110,6,0),0)-IFERROR(HLOOKUP(AV27,'סקרי נכסים-יתרות פתיחה'!$2:$110,91,0),0)*(1-AV$309)</f>
        <v>0</v>
      </c>
      <c r="AW95" s="1240">
        <f>+IFERROR(HLOOKUP(AW27,'סקרי נכסים-יתרות פתיחה'!$2:$110,6,0),0)-IFERROR(HLOOKUP(AW27,'סקרי נכסים-יתרות פתיחה'!$2:$110,91,0),0)*(1-AW$309)</f>
        <v>0</v>
      </c>
      <c r="AX95" s="1240">
        <f>+IFERROR(HLOOKUP(AX27,'סקרי נכסים-יתרות פתיחה'!$2:$110,6,0),0)-IFERROR(HLOOKUP(AX27,'סקרי נכסים-יתרות פתיחה'!$2:$110,91,0),0)*(1-AX$309)</f>
        <v>0</v>
      </c>
      <c r="AY95" s="1240">
        <f>+IFERROR(HLOOKUP(AY27,'סקרי נכסים-יתרות פתיחה'!$2:$110,6,0),0)-IFERROR(HLOOKUP(AY27,'סקרי נכסים-יתרות פתיחה'!$2:$110,91,0),0)*(1-AY$309)</f>
        <v>0</v>
      </c>
      <c r="AZ95" s="1240">
        <f>+IFERROR(HLOOKUP(AZ27,'סקרי נכסים-יתרות פתיחה'!$2:$110,6,0),0)-IFERROR(HLOOKUP(AZ27,'סקרי נכסים-יתרות פתיחה'!$2:$110,91,0),0)*(1-AZ$309)</f>
        <v>0</v>
      </c>
      <c r="BA95" s="1240">
        <f>+IFERROR(HLOOKUP(BA27,'סקרי נכסים-יתרות פתיחה'!$2:$110,6,0),0)-IFERROR(HLOOKUP(BA27,'סקרי נכסים-יתרות פתיחה'!$2:$110,91,0),0)*(1-BA$309)</f>
        <v>0</v>
      </c>
      <c r="BB95" s="1240">
        <f>+IFERROR(HLOOKUP(BB27,'סקרי נכסים-יתרות פתיחה'!$2:$110,6,0),0)-IFERROR(HLOOKUP(BB27,'סקרי נכסים-יתרות פתיחה'!$2:$110,91,0),0)*(1-BB$309)</f>
        <v>0</v>
      </c>
      <c r="BC95" s="1240">
        <f>+IFERROR(HLOOKUP(BC27,'סקרי נכסים-יתרות פתיחה'!$2:$110,6,0),0)-IFERROR(HLOOKUP(BC27,'סקרי נכסים-יתרות פתיחה'!$2:$110,91,0),0)*(1-BC$309)</f>
        <v>0</v>
      </c>
      <c r="BD95" s="1240">
        <f>+IFERROR(HLOOKUP(BD27,'סקרי נכסים-יתרות פתיחה'!$2:$110,6,0),0)-IFERROR(HLOOKUP(BD27,'סקרי נכסים-יתרות פתיחה'!$2:$110,91,0),0)*(1-BD$309)</f>
        <v>0</v>
      </c>
      <c r="BE95" s="1240">
        <f>+IFERROR(HLOOKUP(BE27,'סקרי נכסים-יתרות פתיחה'!$2:$110,6,0),0)-IFERROR(HLOOKUP(BE27,'סקרי נכסים-יתרות פתיחה'!$2:$110,91,0),0)*(1-BE$309)</f>
        <v>0</v>
      </c>
      <c r="BF95" s="1240">
        <f>+IFERROR(HLOOKUP(BF27,'סקרי נכסים-יתרות פתיחה'!$2:$110,6,0),0)-IFERROR(HLOOKUP(BF27,'סקרי נכסים-יתרות פתיחה'!$2:$110,91,0),0)*(1-BF$309)</f>
        <v>0</v>
      </c>
    </row>
    <row r="96" spans="2:58" x14ac:dyDescent="0.2">
      <c r="B96" s="1">
        <v>25</v>
      </c>
      <c r="C96" s="1240">
        <f>+IFERROR(HLOOKUP(C28,'סקרי נכסים-יתרות פתיחה'!$2:$110,6,0),0)-IFERROR(HLOOKUP(C28,'סקרי נכסים-יתרות פתיחה'!$2:$110,91,0),0)*(1-C$309)</f>
        <v>0</v>
      </c>
      <c r="D96" s="1240">
        <f>+IFERROR(HLOOKUP(D28,'סקרי נכסים-יתרות פתיחה'!$2:$110,6,0),0)-IFERROR(HLOOKUP(D28,'סקרי נכסים-יתרות פתיחה'!$2:$110,91,0),0)*(1-D$309)</f>
        <v>0</v>
      </c>
      <c r="E96" s="1240">
        <f>+IFERROR(HLOOKUP(E28,'סקרי נכסים-יתרות פתיחה'!$2:$110,6,0),0)-IFERROR(HLOOKUP(E28,'סקרי נכסים-יתרות פתיחה'!$2:$110,91,0),0)*(1-E$309)</f>
        <v>0</v>
      </c>
      <c r="F96" s="1240">
        <f>+IFERROR(HLOOKUP(F28,'סקרי נכסים-יתרות פתיחה'!$2:$110,6,0),0)-IFERROR(HLOOKUP(F28,'סקרי נכסים-יתרות פתיחה'!$2:$110,91,0),0)*(1-F$309)</f>
        <v>0</v>
      </c>
      <c r="G96" s="1240">
        <f>+IFERROR(HLOOKUP(G28,'סקרי נכסים-יתרות פתיחה'!$2:$110,6,0),0)-IFERROR(HLOOKUP(G28,'סקרי נכסים-יתרות פתיחה'!$2:$110,91,0),0)*(1-G$309)</f>
        <v>0</v>
      </c>
      <c r="H96" s="1240">
        <f>+IFERROR(HLOOKUP(H28,'סקרי נכסים-יתרות פתיחה'!$2:$110,6,0),0)-IFERROR(HLOOKUP(H28,'סקרי נכסים-יתרות פתיחה'!$2:$110,91,0),0)*(1-H$309)</f>
        <v>0</v>
      </c>
      <c r="I96" s="1240">
        <f>+IFERROR(HLOOKUP(I28,'סקרי נכסים-יתרות פתיחה'!$2:$110,6,0),0)-IFERROR(HLOOKUP(I28,'סקרי נכסים-יתרות פתיחה'!$2:$110,91,0),0)*(1-I$309)</f>
        <v>0</v>
      </c>
      <c r="J96" s="1240">
        <f>+IFERROR(HLOOKUP(J28,'סקרי נכסים-יתרות פתיחה'!$2:$110,6,0),0)-IFERROR(HLOOKUP(J28,'סקרי נכסים-יתרות פתיחה'!$2:$110,91,0),0)*(1-J$309)</f>
        <v>0</v>
      </c>
      <c r="K96" s="1240">
        <f>+IFERROR(HLOOKUP(K28,'סקרי נכסים-יתרות פתיחה'!$2:$110,6,0),0)-IFERROR(HLOOKUP(K28,'סקרי נכסים-יתרות פתיחה'!$2:$110,91,0),0)*(1-K$309)</f>
        <v>0</v>
      </c>
      <c r="L96" s="1240">
        <f>+IFERROR(HLOOKUP(L28,'סקרי נכסים-יתרות פתיחה'!$2:$110,6,0),0)-IFERROR(HLOOKUP(L28,'סקרי נכסים-יתרות פתיחה'!$2:$110,91,0),0)*(1-L$309)</f>
        <v>0</v>
      </c>
      <c r="M96" s="1240">
        <f>+IFERROR(HLOOKUP(M28,'סקרי נכסים-יתרות פתיחה'!$2:$110,6,0),0)-IFERROR(HLOOKUP(M28,'סקרי נכסים-יתרות פתיחה'!$2:$110,91,0),0)*(1-M$309)</f>
        <v>0</v>
      </c>
      <c r="N96" s="1240">
        <f>+IFERROR(HLOOKUP(N28,'סקרי נכסים-יתרות פתיחה'!$2:$110,6,0),0)-IFERROR(HLOOKUP(N28,'סקרי נכסים-יתרות פתיחה'!$2:$110,91,0),0)*(1-N$309)</f>
        <v>0</v>
      </c>
      <c r="O96" s="1240">
        <f>+IFERROR(HLOOKUP(O28,'סקרי נכסים-יתרות פתיחה'!$2:$110,6,0),0)-IFERROR(HLOOKUP(O28,'סקרי נכסים-יתרות פתיחה'!$2:$110,91,0),0)*(1-O$309)</f>
        <v>0</v>
      </c>
      <c r="P96" s="1240">
        <f>+IFERROR(HLOOKUP(P28,'סקרי נכסים-יתרות פתיחה'!$2:$110,6,0),0)-IFERROR(HLOOKUP(P28,'סקרי נכסים-יתרות פתיחה'!$2:$110,91,0),0)*(1-P$309)</f>
        <v>0</v>
      </c>
      <c r="Q96" s="1240">
        <f>+IFERROR(HLOOKUP(Q28,'סקרי נכסים-יתרות פתיחה'!$2:$110,6,0),0)-IFERROR(HLOOKUP(Q28,'סקרי נכסים-יתרות פתיחה'!$2:$110,91,0),0)*(1-Q$309)</f>
        <v>0</v>
      </c>
      <c r="R96" s="1240">
        <f>+IFERROR(HLOOKUP(R28,'סקרי נכסים-יתרות פתיחה'!$2:$110,6,0),0)-IFERROR(HLOOKUP(R28,'סקרי נכסים-יתרות פתיחה'!$2:$110,91,0),0)*(1-R$309)</f>
        <v>0</v>
      </c>
      <c r="S96" s="1240">
        <f>+IFERROR(HLOOKUP(S28,'סקרי נכסים-יתרות פתיחה'!$2:$110,6,0),0)-IFERROR(HLOOKUP(S28,'סקרי נכסים-יתרות פתיחה'!$2:$110,91,0),0)*(1-S$309)</f>
        <v>0</v>
      </c>
      <c r="T96" s="1240">
        <f>+IFERROR(HLOOKUP(T28,'סקרי נכסים-יתרות פתיחה'!$2:$110,6,0),0)-IFERROR(HLOOKUP(T28,'סקרי נכסים-יתרות פתיחה'!$2:$110,91,0),0)*(1-T$309)</f>
        <v>0</v>
      </c>
      <c r="U96" s="1240">
        <f>+IFERROR(HLOOKUP(U28,'סקרי נכסים-יתרות פתיחה'!$2:$110,6,0),0)-IFERROR(HLOOKUP(U28,'סקרי נכסים-יתרות פתיחה'!$2:$110,91,0),0)*(1-U$309)</f>
        <v>0</v>
      </c>
      <c r="V96" s="1240">
        <f>+IFERROR(HLOOKUP(V28,'סקרי נכסים-יתרות פתיחה'!$2:$110,6,0),0)-IFERROR(HLOOKUP(V28,'סקרי נכסים-יתרות פתיחה'!$2:$110,91,0),0)*(1-V$309)</f>
        <v>0</v>
      </c>
      <c r="W96" s="1240">
        <f>+IFERROR(HLOOKUP(W28,'סקרי נכסים-יתרות פתיחה'!$2:$110,6,0),0)-IFERROR(HLOOKUP(W28,'סקרי נכסים-יתרות פתיחה'!$2:$110,91,0),0)*(1-W$309)</f>
        <v>0</v>
      </c>
      <c r="X96" s="1240">
        <f>+IFERROR(HLOOKUP(X28,'סקרי נכסים-יתרות פתיחה'!$2:$110,6,0),0)-IFERROR(HLOOKUP(X28,'סקרי נכסים-יתרות פתיחה'!$2:$110,91,0),0)*(1-X$309)</f>
        <v>0</v>
      </c>
      <c r="Y96" s="1240">
        <f>+IFERROR(HLOOKUP(Y28,'סקרי נכסים-יתרות פתיחה'!$2:$110,6,0),0)-IFERROR(HLOOKUP(Y28,'סקרי נכסים-יתרות פתיחה'!$2:$110,91,0),0)*(1-Y$309)</f>
        <v>0</v>
      </c>
      <c r="Z96" s="1240">
        <f>+IFERROR(HLOOKUP(Z28,'סקרי נכסים-יתרות פתיחה'!$2:$110,6,0),0)-IFERROR(HLOOKUP(Z28,'סקרי נכסים-יתרות פתיחה'!$2:$110,91,0),0)*(1-Z$309)</f>
        <v>0</v>
      </c>
      <c r="AA96" s="1240">
        <f>+IFERROR(HLOOKUP(AA28,'סקרי נכסים-יתרות פתיחה'!$2:$110,6,0),0)-IFERROR(HLOOKUP(AA28,'סקרי נכסים-יתרות פתיחה'!$2:$110,91,0),0)*(1-AA$309)</f>
        <v>0</v>
      </c>
      <c r="AB96" s="1240">
        <f>+IFERROR(HLOOKUP(AB28,'סקרי נכסים-יתרות פתיחה'!$2:$110,6,0),0)-IFERROR(HLOOKUP(AB28,'סקרי נכסים-יתרות פתיחה'!$2:$110,91,0),0)*(1-AB$309)</f>
        <v>0</v>
      </c>
      <c r="AC96" s="1240">
        <f>+IFERROR(HLOOKUP(AC28,'סקרי נכסים-יתרות פתיחה'!$2:$110,6,0),0)-IFERROR(HLOOKUP(AC28,'סקרי נכסים-יתרות פתיחה'!$2:$110,91,0),0)*(1-AC$309)</f>
        <v>0</v>
      </c>
      <c r="AD96" s="1240">
        <f>+IFERROR(HLOOKUP(AD28,'סקרי נכסים-יתרות פתיחה'!$2:$110,6,0),0)-IFERROR(HLOOKUP(AD28,'סקרי נכסים-יתרות פתיחה'!$2:$110,91,0),0)*(1-AD$309)</f>
        <v>0</v>
      </c>
      <c r="AE96" s="1240">
        <f>+IFERROR(HLOOKUP(AE28,'סקרי נכסים-יתרות פתיחה'!$2:$110,6,0),0)-IFERROR(HLOOKUP(AE28,'סקרי נכסים-יתרות פתיחה'!$2:$110,91,0),0)*(1-AE$309)</f>
        <v>0</v>
      </c>
      <c r="AF96" s="1240">
        <f>+IFERROR(HLOOKUP(AF28,'סקרי נכסים-יתרות פתיחה'!$2:$110,6,0),0)-IFERROR(HLOOKUP(AF28,'סקרי נכסים-יתרות פתיחה'!$2:$110,91,0),0)*(1-AF$309)</f>
        <v>0</v>
      </c>
      <c r="AG96" s="1240">
        <f>+IFERROR(HLOOKUP(AG28,'סקרי נכסים-יתרות פתיחה'!$2:$110,6,0),0)-IFERROR(HLOOKUP(AG28,'סקרי נכסים-יתרות פתיחה'!$2:$110,91,0),0)*(1-AG$309)</f>
        <v>0</v>
      </c>
      <c r="AH96" s="1240">
        <f>+IFERROR(HLOOKUP(AH28,'סקרי נכסים-יתרות פתיחה'!$2:$110,6,0),0)-IFERROR(HLOOKUP(AH28,'סקרי נכסים-יתרות פתיחה'!$2:$110,91,0),0)*(1-AH$309)</f>
        <v>0</v>
      </c>
      <c r="AI96" s="1240">
        <f>+IFERROR(HLOOKUP(AI28,'סקרי נכסים-יתרות פתיחה'!$2:$110,6,0),0)-IFERROR(HLOOKUP(AI28,'סקרי נכסים-יתרות פתיחה'!$2:$110,91,0),0)*(1-AI$309)</f>
        <v>0</v>
      </c>
      <c r="AJ96" s="1240">
        <f>+IFERROR(HLOOKUP(AJ28,'סקרי נכסים-יתרות פתיחה'!$2:$110,6,0),0)-IFERROR(HLOOKUP(AJ28,'סקרי נכסים-יתרות פתיחה'!$2:$110,91,0),0)*(1-AJ$309)</f>
        <v>0</v>
      </c>
      <c r="AK96" s="1240">
        <f>+IFERROR(HLOOKUP(AK28,'סקרי נכסים-יתרות פתיחה'!$2:$110,6,0),0)-IFERROR(HLOOKUP(AK28,'סקרי נכסים-יתרות פתיחה'!$2:$110,91,0),0)*(1-AK$309)</f>
        <v>0</v>
      </c>
      <c r="AL96" s="1240">
        <f>+IFERROR(HLOOKUP(AL28,'סקרי נכסים-יתרות פתיחה'!$2:$110,6,0),0)-IFERROR(HLOOKUP(AL28,'סקרי נכסים-יתרות פתיחה'!$2:$110,91,0),0)*(1-AL$309)</f>
        <v>0</v>
      </c>
      <c r="AM96" s="1240">
        <f>+IFERROR(HLOOKUP(AM28,'סקרי נכסים-יתרות פתיחה'!$2:$110,6,0),0)-IFERROR(HLOOKUP(AM28,'סקרי נכסים-יתרות פתיחה'!$2:$110,91,0),0)*(1-AM$309)</f>
        <v>0</v>
      </c>
      <c r="AN96" s="1240">
        <f>+IFERROR(HLOOKUP(AN28,'סקרי נכסים-יתרות פתיחה'!$2:$110,6,0),0)-IFERROR(HLOOKUP(AN28,'סקרי נכסים-יתרות פתיחה'!$2:$110,91,0),0)*(1-AN$309)</f>
        <v>0</v>
      </c>
      <c r="AO96" s="1240">
        <f>+IFERROR(HLOOKUP(AO28,'סקרי נכסים-יתרות פתיחה'!$2:$110,6,0),0)-IFERROR(HLOOKUP(AO28,'סקרי נכסים-יתרות פתיחה'!$2:$110,91,0),0)*(1-AO$309)</f>
        <v>0</v>
      </c>
      <c r="AP96" s="1240">
        <f>+IFERROR(HLOOKUP(AP28,'סקרי נכסים-יתרות פתיחה'!$2:$110,6,0),0)-IFERROR(HLOOKUP(AP28,'סקרי נכסים-יתרות פתיחה'!$2:$110,91,0),0)*(1-AP$309)</f>
        <v>0</v>
      </c>
      <c r="AQ96" s="1240">
        <f>+IFERROR(HLOOKUP(AQ28,'סקרי נכסים-יתרות פתיחה'!$2:$110,6,0),0)-IFERROR(HLOOKUP(AQ28,'סקרי נכסים-יתרות פתיחה'!$2:$110,91,0),0)*(1-AQ$309)</f>
        <v>0</v>
      </c>
      <c r="AR96" s="1240">
        <f>+IFERROR(HLOOKUP(AR28,'סקרי נכסים-יתרות פתיחה'!$2:$110,6,0),0)-IFERROR(HLOOKUP(AR28,'סקרי נכסים-יתרות פתיחה'!$2:$110,91,0),0)*(1-AR$309)</f>
        <v>0</v>
      </c>
      <c r="AS96" s="1240">
        <f>+IFERROR(HLOOKUP(AS28,'סקרי נכסים-יתרות פתיחה'!$2:$110,6,0),0)-IFERROR(HLOOKUP(AS28,'סקרי נכסים-יתרות פתיחה'!$2:$110,91,0),0)*(1-AS$309)</f>
        <v>0</v>
      </c>
      <c r="AT96" s="1240">
        <f>+IFERROR(HLOOKUP(AT28,'סקרי נכסים-יתרות פתיחה'!$2:$110,6,0),0)-IFERROR(HLOOKUP(AT28,'סקרי נכסים-יתרות פתיחה'!$2:$110,91,0),0)*(1-AT$309)</f>
        <v>0</v>
      </c>
      <c r="AU96" s="1240">
        <f>+IFERROR(HLOOKUP(AU28,'סקרי נכסים-יתרות פתיחה'!$2:$110,6,0),0)-IFERROR(HLOOKUP(AU28,'סקרי נכסים-יתרות פתיחה'!$2:$110,91,0),0)*(1-AU$309)</f>
        <v>0</v>
      </c>
      <c r="AV96" s="1240">
        <f>+IFERROR(HLOOKUP(AV28,'סקרי נכסים-יתרות פתיחה'!$2:$110,6,0),0)-IFERROR(HLOOKUP(AV28,'סקרי נכסים-יתרות פתיחה'!$2:$110,91,0),0)*(1-AV$309)</f>
        <v>0</v>
      </c>
      <c r="AW96" s="1240">
        <f>+IFERROR(HLOOKUP(AW28,'סקרי נכסים-יתרות פתיחה'!$2:$110,6,0),0)-IFERROR(HLOOKUP(AW28,'סקרי נכסים-יתרות פתיחה'!$2:$110,91,0),0)*(1-AW$309)</f>
        <v>0</v>
      </c>
      <c r="AX96" s="1240">
        <f>+IFERROR(HLOOKUP(AX28,'סקרי נכסים-יתרות פתיחה'!$2:$110,6,0),0)-IFERROR(HLOOKUP(AX28,'סקרי נכסים-יתרות פתיחה'!$2:$110,91,0),0)*(1-AX$309)</f>
        <v>0</v>
      </c>
      <c r="AY96" s="1240">
        <f>+IFERROR(HLOOKUP(AY28,'סקרי נכסים-יתרות פתיחה'!$2:$110,6,0),0)-IFERROR(HLOOKUP(AY28,'סקרי נכסים-יתרות פתיחה'!$2:$110,91,0),0)*(1-AY$309)</f>
        <v>0</v>
      </c>
      <c r="AZ96" s="1240">
        <f>+IFERROR(HLOOKUP(AZ28,'סקרי נכסים-יתרות פתיחה'!$2:$110,6,0),0)-IFERROR(HLOOKUP(AZ28,'סקרי נכסים-יתרות פתיחה'!$2:$110,91,0),0)*(1-AZ$309)</f>
        <v>0</v>
      </c>
      <c r="BA96" s="1240">
        <f>+IFERROR(HLOOKUP(BA28,'סקרי נכסים-יתרות פתיחה'!$2:$110,6,0),0)-IFERROR(HLOOKUP(BA28,'סקרי נכסים-יתרות פתיחה'!$2:$110,91,0),0)*(1-BA$309)</f>
        <v>0</v>
      </c>
      <c r="BB96" s="1240">
        <f>+IFERROR(HLOOKUP(BB28,'סקרי נכסים-יתרות פתיחה'!$2:$110,6,0),0)-IFERROR(HLOOKUP(BB28,'סקרי נכסים-יתרות פתיחה'!$2:$110,91,0),0)*(1-BB$309)</f>
        <v>0</v>
      </c>
      <c r="BC96" s="1240">
        <f>+IFERROR(HLOOKUP(BC28,'סקרי נכסים-יתרות פתיחה'!$2:$110,6,0),0)-IFERROR(HLOOKUP(BC28,'סקרי נכסים-יתרות פתיחה'!$2:$110,91,0),0)*(1-BC$309)</f>
        <v>0</v>
      </c>
      <c r="BD96" s="1240">
        <f>+IFERROR(HLOOKUP(BD28,'סקרי נכסים-יתרות פתיחה'!$2:$110,6,0),0)-IFERROR(HLOOKUP(BD28,'סקרי נכסים-יתרות פתיחה'!$2:$110,91,0),0)*(1-BD$309)</f>
        <v>0</v>
      </c>
      <c r="BE96" s="1240">
        <f>+IFERROR(HLOOKUP(BE28,'סקרי נכסים-יתרות פתיחה'!$2:$110,6,0),0)-IFERROR(HLOOKUP(BE28,'סקרי נכסים-יתרות פתיחה'!$2:$110,91,0),0)*(1-BE$309)</f>
        <v>0</v>
      </c>
      <c r="BF96" s="1240">
        <f>+IFERROR(HLOOKUP(BF28,'סקרי נכסים-יתרות פתיחה'!$2:$110,6,0),0)-IFERROR(HLOOKUP(BF28,'סקרי נכסים-יתרות פתיחה'!$2:$110,91,0),0)*(1-BF$309)</f>
        <v>0</v>
      </c>
    </row>
    <row r="97" spans="1:62" x14ac:dyDescent="0.2">
      <c r="B97" s="1">
        <v>26</v>
      </c>
      <c r="C97" s="1240">
        <f>+IFERROR(HLOOKUP(C29,'סקרי נכסים-יתרות פתיחה'!$2:$110,6,0),0)-IFERROR(HLOOKUP(C29,'סקרי נכסים-יתרות פתיחה'!$2:$110,91,0),0)*(1-C$309)</f>
        <v>0</v>
      </c>
      <c r="D97" s="1240">
        <f>+IFERROR(HLOOKUP(D29,'סקרי נכסים-יתרות פתיחה'!$2:$110,6,0),0)-IFERROR(HLOOKUP(D29,'סקרי נכסים-יתרות פתיחה'!$2:$110,91,0),0)*(1-D$309)</f>
        <v>0</v>
      </c>
      <c r="E97" s="1240">
        <f>+IFERROR(HLOOKUP(E29,'סקרי נכסים-יתרות פתיחה'!$2:$110,6,0),0)-IFERROR(HLOOKUP(E29,'סקרי נכסים-יתרות פתיחה'!$2:$110,91,0),0)*(1-E$309)</f>
        <v>0</v>
      </c>
      <c r="F97" s="1240">
        <f>+IFERROR(HLOOKUP(F29,'סקרי נכסים-יתרות פתיחה'!$2:$110,6,0),0)-IFERROR(HLOOKUP(F29,'סקרי נכסים-יתרות פתיחה'!$2:$110,91,0),0)*(1-F$309)</f>
        <v>0</v>
      </c>
      <c r="G97" s="1240">
        <f>+IFERROR(HLOOKUP(G29,'סקרי נכסים-יתרות פתיחה'!$2:$110,6,0),0)-IFERROR(HLOOKUP(G29,'סקרי נכסים-יתרות פתיחה'!$2:$110,91,0),0)*(1-G$309)</f>
        <v>0</v>
      </c>
      <c r="H97" s="1240">
        <f>+IFERROR(HLOOKUP(H29,'סקרי נכסים-יתרות פתיחה'!$2:$110,6,0),0)-IFERROR(HLOOKUP(H29,'סקרי נכסים-יתרות פתיחה'!$2:$110,91,0),0)*(1-H$309)</f>
        <v>0</v>
      </c>
      <c r="I97" s="1240">
        <f>+IFERROR(HLOOKUP(I29,'סקרי נכסים-יתרות פתיחה'!$2:$110,6,0),0)-IFERROR(HLOOKUP(I29,'סקרי נכסים-יתרות פתיחה'!$2:$110,91,0),0)*(1-I$309)</f>
        <v>0</v>
      </c>
      <c r="J97" s="1240">
        <f>+IFERROR(HLOOKUP(J29,'סקרי נכסים-יתרות פתיחה'!$2:$110,6,0),0)-IFERROR(HLOOKUP(J29,'סקרי נכסים-יתרות פתיחה'!$2:$110,91,0),0)*(1-J$309)</f>
        <v>0</v>
      </c>
      <c r="K97" s="1240">
        <f>+IFERROR(HLOOKUP(K29,'סקרי נכסים-יתרות פתיחה'!$2:$110,6,0),0)-IFERROR(HLOOKUP(K29,'סקרי נכסים-יתרות פתיחה'!$2:$110,91,0),0)*(1-K$309)</f>
        <v>0</v>
      </c>
      <c r="L97" s="1240">
        <f>+IFERROR(HLOOKUP(L29,'סקרי נכסים-יתרות פתיחה'!$2:$110,6,0),0)-IFERROR(HLOOKUP(L29,'סקרי נכסים-יתרות פתיחה'!$2:$110,91,0),0)*(1-L$309)</f>
        <v>0</v>
      </c>
      <c r="M97" s="1240">
        <f>+IFERROR(HLOOKUP(M29,'סקרי נכסים-יתרות פתיחה'!$2:$110,6,0),0)-IFERROR(HLOOKUP(M29,'סקרי נכסים-יתרות פתיחה'!$2:$110,91,0),0)*(1-M$309)</f>
        <v>0</v>
      </c>
      <c r="N97" s="1240">
        <f>+IFERROR(HLOOKUP(N29,'סקרי נכסים-יתרות פתיחה'!$2:$110,6,0),0)-IFERROR(HLOOKUP(N29,'סקרי נכסים-יתרות פתיחה'!$2:$110,91,0),0)*(1-N$309)</f>
        <v>0</v>
      </c>
      <c r="O97" s="1240">
        <f>+IFERROR(HLOOKUP(O29,'סקרי נכסים-יתרות פתיחה'!$2:$110,6,0),0)-IFERROR(HLOOKUP(O29,'סקרי נכסים-יתרות פתיחה'!$2:$110,91,0),0)*(1-O$309)</f>
        <v>0</v>
      </c>
      <c r="P97" s="1240">
        <f>+IFERROR(HLOOKUP(P29,'סקרי נכסים-יתרות פתיחה'!$2:$110,6,0),0)-IFERROR(HLOOKUP(P29,'סקרי נכסים-יתרות פתיחה'!$2:$110,91,0),0)*(1-P$309)</f>
        <v>0</v>
      </c>
      <c r="Q97" s="1240">
        <f>+IFERROR(HLOOKUP(Q29,'סקרי נכסים-יתרות פתיחה'!$2:$110,6,0),0)-IFERROR(HLOOKUP(Q29,'סקרי נכסים-יתרות פתיחה'!$2:$110,91,0),0)*(1-Q$309)</f>
        <v>0</v>
      </c>
      <c r="R97" s="1240">
        <f>+IFERROR(HLOOKUP(R29,'סקרי נכסים-יתרות פתיחה'!$2:$110,6,0),0)-IFERROR(HLOOKUP(R29,'סקרי נכסים-יתרות פתיחה'!$2:$110,91,0),0)*(1-R$309)</f>
        <v>0</v>
      </c>
      <c r="S97" s="1240">
        <f>+IFERROR(HLOOKUP(S29,'סקרי נכסים-יתרות פתיחה'!$2:$110,6,0),0)-IFERROR(HLOOKUP(S29,'סקרי נכסים-יתרות פתיחה'!$2:$110,91,0),0)*(1-S$309)</f>
        <v>0</v>
      </c>
      <c r="T97" s="1240">
        <f>+IFERROR(HLOOKUP(T29,'סקרי נכסים-יתרות פתיחה'!$2:$110,6,0),0)-IFERROR(HLOOKUP(T29,'סקרי נכסים-יתרות פתיחה'!$2:$110,91,0),0)*(1-T$309)</f>
        <v>0</v>
      </c>
      <c r="U97" s="1240">
        <f>+IFERROR(HLOOKUP(U29,'סקרי נכסים-יתרות פתיחה'!$2:$110,6,0),0)-IFERROR(HLOOKUP(U29,'סקרי נכסים-יתרות פתיחה'!$2:$110,91,0),0)*(1-U$309)</f>
        <v>0</v>
      </c>
      <c r="V97" s="1240">
        <f>+IFERROR(HLOOKUP(V29,'סקרי נכסים-יתרות פתיחה'!$2:$110,6,0),0)-IFERROR(HLOOKUP(V29,'סקרי נכסים-יתרות פתיחה'!$2:$110,91,0),0)*(1-V$309)</f>
        <v>0</v>
      </c>
      <c r="W97" s="1240">
        <f>+IFERROR(HLOOKUP(W29,'סקרי נכסים-יתרות פתיחה'!$2:$110,6,0),0)-IFERROR(HLOOKUP(W29,'סקרי נכסים-יתרות פתיחה'!$2:$110,91,0),0)*(1-W$309)</f>
        <v>0</v>
      </c>
      <c r="X97" s="1240">
        <f>+IFERROR(HLOOKUP(X29,'סקרי נכסים-יתרות פתיחה'!$2:$110,6,0),0)-IFERROR(HLOOKUP(X29,'סקרי נכסים-יתרות פתיחה'!$2:$110,91,0),0)*(1-X$309)</f>
        <v>0</v>
      </c>
      <c r="Y97" s="1240">
        <f>+IFERROR(HLOOKUP(Y29,'סקרי נכסים-יתרות פתיחה'!$2:$110,6,0),0)-IFERROR(HLOOKUP(Y29,'סקרי נכסים-יתרות פתיחה'!$2:$110,91,0),0)*(1-Y$309)</f>
        <v>0</v>
      </c>
      <c r="Z97" s="1240">
        <f>+IFERROR(HLOOKUP(Z29,'סקרי נכסים-יתרות פתיחה'!$2:$110,6,0),0)-IFERROR(HLOOKUP(Z29,'סקרי נכסים-יתרות פתיחה'!$2:$110,91,0),0)*(1-Z$309)</f>
        <v>0</v>
      </c>
      <c r="AA97" s="1240">
        <f>+IFERROR(HLOOKUP(AA29,'סקרי נכסים-יתרות פתיחה'!$2:$110,6,0),0)-IFERROR(HLOOKUP(AA29,'סקרי נכסים-יתרות פתיחה'!$2:$110,91,0),0)*(1-AA$309)</f>
        <v>0</v>
      </c>
      <c r="AB97" s="1240">
        <f>+IFERROR(HLOOKUP(AB29,'סקרי נכסים-יתרות פתיחה'!$2:$110,6,0),0)-IFERROR(HLOOKUP(AB29,'סקרי נכסים-יתרות פתיחה'!$2:$110,91,0),0)*(1-AB$309)</f>
        <v>0</v>
      </c>
      <c r="AC97" s="1240">
        <f>+IFERROR(HLOOKUP(AC29,'סקרי נכסים-יתרות פתיחה'!$2:$110,6,0),0)-IFERROR(HLOOKUP(AC29,'סקרי נכסים-יתרות פתיחה'!$2:$110,91,0),0)*(1-AC$309)</f>
        <v>0</v>
      </c>
      <c r="AD97" s="1240">
        <f>+IFERROR(HLOOKUP(AD29,'סקרי נכסים-יתרות פתיחה'!$2:$110,6,0),0)-IFERROR(HLOOKUP(AD29,'סקרי נכסים-יתרות פתיחה'!$2:$110,91,0),0)*(1-AD$309)</f>
        <v>0</v>
      </c>
      <c r="AE97" s="1240">
        <f>+IFERROR(HLOOKUP(AE29,'סקרי נכסים-יתרות פתיחה'!$2:$110,6,0),0)-IFERROR(HLOOKUP(AE29,'סקרי נכסים-יתרות פתיחה'!$2:$110,91,0),0)*(1-AE$309)</f>
        <v>0</v>
      </c>
      <c r="AF97" s="1240">
        <f>+IFERROR(HLOOKUP(AF29,'סקרי נכסים-יתרות פתיחה'!$2:$110,6,0),0)-IFERROR(HLOOKUP(AF29,'סקרי נכסים-יתרות פתיחה'!$2:$110,91,0),0)*(1-AF$309)</f>
        <v>0</v>
      </c>
      <c r="AG97" s="1240">
        <f>+IFERROR(HLOOKUP(AG29,'סקרי נכסים-יתרות פתיחה'!$2:$110,6,0),0)-IFERROR(HLOOKUP(AG29,'סקרי נכסים-יתרות פתיחה'!$2:$110,91,0),0)*(1-AG$309)</f>
        <v>0</v>
      </c>
      <c r="AH97" s="1240">
        <f>+IFERROR(HLOOKUP(AH29,'סקרי נכסים-יתרות פתיחה'!$2:$110,6,0),0)-IFERROR(HLOOKUP(AH29,'סקרי נכסים-יתרות פתיחה'!$2:$110,91,0),0)*(1-AH$309)</f>
        <v>0</v>
      </c>
      <c r="AI97" s="1240">
        <f>+IFERROR(HLOOKUP(AI29,'סקרי נכסים-יתרות פתיחה'!$2:$110,6,0),0)-IFERROR(HLOOKUP(AI29,'סקרי נכסים-יתרות פתיחה'!$2:$110,91,0),0)*(1-AI$309)</f>
        <v>0</v>
      </c>
      <c r="AJ97" s="1240">
        <f>+IFERROR(HLOOKUP(AJ29,'סקרי נכסים-יתרות פתיחה'!$2:$110,6,0),0)-IFERROR(HLOOKUP(AJ29,'סקרי נכסים-יתרות פתיחה'!$2:$110,91,0),0)*(1-AJ$309)</f>
        <v>0</v>
      </c>
      <c r="AK97" s="1240">
        <f>+IFERROR(HLOOKUP(AK29,'סקרי נכסים-יתרות פתיחה'!$2:$110,6,0),0)-IFERROR(HLOOKUP(AK29,'סקרי נכסים-יתרות פתיחה'!$2:$110,91,0),0)*(1-AK$309)</f>
        <v>0</v>
      </c>
      <c r="AL97" s="1240">
        <f>+IFERROR(HLOOKUP(AL29,'סקרי נכסים-יתרות פתיחה'!$2:$110,6,0),0)-IFERROR(HLOOKUP(AL29,'סקרי נכסים-יתרות פתיחה'!$2:$110,91,0),0)*(1-AL$309)</f>
        <v>0</v>
      </c>
      <c r="AM97" s="1240">
        <f>+IFERROR(HLOOKUP(AM29,'סקרי נכסים-יתרות פתיחה'!$2:$110,6,0),0)-IFERROR(HLOOKUP(AM29,'סקרי נכסים-יתרות פתיחה'!$2:$110,91,0),0)*(1-AM$309)</f>
        <v>0</v>
      </c>
      <c r="AN97" s="1240">
        <f>+IFERROR(HLOOKUP(AN29,'סקרי נכסים-יתרות פתיחה'!$2:$110,6,0),0)-IFERROR(HLOOKUP(AN29,'סקרי נכסים-יתרות פתיחה'!$2:$110,91,0),0)*(1-AN$309)</f>
        <v>0</v>
      </c>
      <c r="AO97" s="1240">
        <f>+IFERROR(HLOOKUP(AO29,'סקרי נכסים-יתרות פתיחה'!$2:$110,6,0),0)-IFERROR(HLOOKUP(AO29,'סקרי נכסים-יתרות פתיחה'!$2:$110,91,0),0)*(1-AO$309)</f>
        <v>0</v>
      </c>
      <c r="AP97" s="1240">
        <f>+IFERROR(HLOOKUP(AP29,'סקרי נכסים-יתרות פתיחה'!$2:$110,6,0),0)-IFERROR(HLOOKUP(AP29,'סקרי נכסים-יתרות פתיחה'!$2:$110,91,0),0)*(1-AP$309)</f>
        <v>0</v>
      </c>
      <c r="AQ97" s="1240">
        <f>+IFERROR(HLOOKUP(AQ29,'סקרי נכסים-יתרות פתיחה'!$2:$110,6,0),0)-IFERROR(HLOOKUP(AQ29,'סקרי נכסים-יתרות פתיחה'!$2:$110,91,0),0)*(1-AQ$309)</f>
        <v>0</v>
      </c>
      <c r="AR97" s="1240">
        <f>+IFERROR(HLOOKUP(AR29,'סקרי נכסים-יתרות פתיחה'!$2:$110,6,0),0)-IFERROR(HLOOKUP(AR29,'סקרי נכסים-יתרות פתיחה'!$2:$110,91,0),0)*(1-AR$309)</f>
        <v>0</v>
      </c>
      <c r="AS97" s="1240">
        <f>+IFERROR(HLOOKUP(AS29,'סקרי נכסים-יתרות פתיחה'!$2:$110,6,0),0)-IFERROR(HLOOKUP(AS29,'סקרי נכסים-יתרות פתיחה'!$2:$110,91,0),0)*(1-AS$309)</f>
        <v>0</v>
      </c>
      <c r="AT97" s="1240">
        <f>+IFERROR(HLOOKUP(AT29,'סקרי נכסים-יתרות פתיחה'!$2:$110,6,0),0)-IFERROR(HLOOKUP(AT29,'סקרי נכסים-יתרות פתיחה'!$2:$110,91,0),0)*(1-AT$309)</f>
        <v>0</v>
      </c>
      <c r="AU97" s="1240">
        <f>+IFERROR(HLOOKUP(AU29,'סקרי נכסים-יתרות פתיחה'!$2:$110,6,0),0)-IFERROR(HLOOKUP(AU29,'סקרי נכסים-יתרות פתיחה'!$2:$110,91,0),0)*(1-AU$309)</f>
        <v>0</v>
      </c>
      <c r="AV97" s="1240">
        <f>+IFERROR(HLOOKUP(AV29,'סקרי נכסים-יתרות פתיחה'!$2:$110,6,0),0)-IFERROR(HLOOKUP(AV29,'סקרי נכסים-יתרות פתיחה'!$2:$110,91,0),0)*(1-AV$309)</f>
        <v>0</v>
      </c>
      <c r="AW97" s="1240">
        <f>+IFERROR(HLOOKUP(AW29,'סקרי נכסים-יתרות פתיחה'!$2:$110,6,0),0)-IFERROR(HLOOKUP(AW29,'סקרי נכסים-יתרות פתיחה'!$2:$110,91,0),0)*(1-AW$309)</f>
        <v>0</v>
      </c>
      <c r="AX97" s="1240">
        <f>+IFERROR(HLOOKUP(AX29,'סקרי נכסים-יתרות פתיחה'!$2:$110,6,0),0)-IFERROR(HLOOKUP(AX29,'סקרי נכסים-יתרות פתיחה'!$2:$110,91,0),0)*(1-AX$309)</f>
        <v>0</v>
      </c>
      <c r="AY97" s="1240">
        <f>+IFERROR(HLOOKUP(AY29,'סקרי נכסים-יתרות פתיחה'!$2:$110,6,0),0)-IFERROR(HLOOKUP(AY29,'סקרי נכסים-יתרות פתיחה'!$2:$110,91,0),0)*(1-AY$309)</f>
        <v>0</v>
      </c>
      <c r="AZ97" s="1240">
        <f>+IFERROR(HLOOKUP(AZ29,'סקרי נכסים-יתרות פתיחה'!$2:$110,6,0),0)-IFERROR(HLOOKUP(AZ29,'סקרי נכסים-יתרות פתיחה'!$2:$110,91,0),0)*(1-AZ$309)</f>
        <v>0</v>
      </c>
      <c r="BA97" s="1240">
        <f>+IFERROR(HLOOKUP(BA29,'סקרי נכסים-יתרות פתיחה'!$2:$110,6,0),0)-IFERROR(HLOOKUP(BA29,'סקרי נכסים-יתרות פתיחה'!$2:$110,91,0),0)*(1-BA$309)</f>
        <v>0</v>
      </c>
      <c r="BB97" s="1240">
        <f>+IFERROR(HLOOKUP(BB29,'סקרי נכסים-יתרות פתיחה'!$2:$110,6,0),0)-IFERROR(HLOOKUP(BB29,'סקרי נכסים-יתרות פתיחה'!$2:$110,91,0),0)*(1-BB$309)</f>
        <v>0</v>
      </c>
      <c r="BC97" s="1240">
        <f>+IFERROR(HLOOKUP(BC29,'סקרי נכסים-יתרות פתיחה'!$2:$110,6,0),0)-IFERROR(HLOOKUP(BC29,'סקרי נכסים-יתרות פתיחה'!$2:$110,91,0),0)*(1-BC$309)</f>
        <v>0</v>
      </c>
      <c r="BD97" s="1240">
        <f>+IFERROR(HLOOKUP(BD29,'סקרי נכסים-יתרות פתיחה'!$2:$110,6,0),0)-IFERROR(HLOOKUP(BD29,'סקרי נכסים-יתרות פתיחה'!$2:$110,91,0),0)*(1-BD$309)</f>
        <v>0</v>
      </c>
      <c r="BE97" s="1240">
        <f>+IFERROR(HLOOKUP(BE29,'סקרי נכסים-יתרות פתיחה'!$2:$110,6,0),0)-IFERROR(HLOOKUP(BE29,'סקרי נכסים-יתרות פתיחה'!$2:$110,91,0),0)*(1-BE$309)</f>
        <v>0</v>
      </c>
      <c r="BF97" s="1240">
        <f>+IFERROR(HLOOKUP(BF29,'סקרי נכסים-יתרות פתיחה'!$2:$110,6,0),0)-IFERROR(HLOOKUP(BF29,'סקרי נכסים-יתרות פתיחה'!$2:$110,91,0),0)*(1-BF$309)</f>
        <v>0</v>
      </c>
      <c r="BH97" s="78"/>
    </row>
    <row r="98" spans="1:62" x14ac:dyDescent="0.2">
      <c r="B98" s="1">
        <v>27</v>
      </c>
      <c r="C98" s="1240">
        <f>+IFERROR(HLOOKUP(C30,'סקרי נכסים-יתרות פתיחה'!$2:$110,6,0),0)-IFERROR(HLOOKUP(C30,'סקרי נכסים-יתרות פתיחה'!$2:$110,91,0),0)*(1-C$309)</f>
        <v>0</v>
      </c>
      <c r="D98" s="1240">
        <f>+IFERROR(HLOOKUP(D30,'סקרי נכסים-יתרות פתיחה'!$2:$110,6,0),0)-IFERROR(HLOOKUP(D30,'סקרי נכסים-יתרות פתיחה'!$2:$110,91,0),0)*(1-D$309)</f>
        <v>0</v>
      </c>
      <c r="E98" s="1240">
        <f>+IFERROR(HLOOKUP(E30,'סקרי נכסים-יתרות פתיחה'!$2:$110,6,0),0)-IFERROR(HLOOKUP(E30,'סקרי נכסים-יתרות פתיחה'!$2:$110,91,0),0)*(1-E$309)</f>
        <v>0</v>
      </c>
      <c r="F98" s="1240">
        <f>+IFERROR(HLOOKUP(F30,'סקרי נכסים-יתרות פתיחה'!$2:$110,6,0),0)-IFERROR(HLOOKUP(F30,'סקרי נכסים-יתרות פתיחה'!$2:$110,91,0),0)*(1-F$309)</f>
        <v>0</v>
      </c>
      <c r="G98" s="1240">
        <f>+IFERROR(HLOOKUP(G30,'סקרי נכסים-יתרות פתיחה'!$2:$110,6,0),0)-IFERROR(HLOOKUP(G30,'סקרי נכסים-יתרות פתיחה'!$2:$110,91,0),0)*(1-G$309)</f>
        <v>0</v>
      </c>
      <c r="H98" s="1240">
        <f>+IFERROR(HLOOKUP(H30,'סקרי נכסים-יתרות פתיחה'!$2:$110,6,0),0)-IFERROR(HLOOKUP(H30,'סקרי נכסים-יתרות פתיחה'!$2:$110,91,0),0)*(1-H$309)</f>
        <v>0</v>
      </c>
      <c r="I98" s="1240">
        <f>+IFERROR(HLOOKUP(I30,'סקרי נכסים-יתרות פתיחה'!$2:$110,6,0),0)-IFERROR(HLOOKUP(I30,'סקרי נכסים-יתרות פתיחה'!$2:$110,91,0),0)*(1-I$309)</f>
        <v>0</v>
      </c>
      <c r="J98" s="1240">
        <f>+IFERROR(HLOOKUP(J30,'סקרי נכסים-יתרות פתיחה'!$2:$110,6,0),0)-IFERROR(HLOOKUP(J30,'סקרי נכסים-יתרות פתיחה'!$2:$110,91,0),0)*(1-J$309)</f>
        <v>0</v>
      </c>
      <c r="K98" s="1240">
        <f>+IFERROR(HLOOKUP(K30,'סקרי נכסים-יתרות פתיחה'!$2:$110,6,0),0)-IFERROR(HLOOKUP(K30,'סקרי נכסים-יתרות פתיחה'!$2:$110,91,0),0)*(1-K$309)</f>
        <v>0</v>
      </c>
      <c r="L98" s="1240">
        <f>+IFERROR(HLOOKUP(L30,'סקרי נכסים-יתרות פתיחה'!$2:$110,6,0),0)-IFERROR(HLOOKUP(L30,'סקרי נכסים-יתרות פתיחה'!$2:$110,91,0),0)*(1-L$309)</f>
        <v>0</v>
      </c>
      <c r="M98" s="1240">
        <f>+IFERROR(HLOOKUP(M30,'סקרי נכסים-יתרות פתיחה'!$2:$110,6,0),0)-IFERROR(HLOOKUP(M30,'סקרי נכסים-יתרות פתיחה'!$2:$110,91,0),0)*(1-M$309)</f>
        <v>0</v>
      </c>
      <c r="N98" s="1240">
        <f>+IFERROR(HLOOKUP(N30,'סקרי נכסים-יתרות פתיחה'!$2:$110,6,0),0)-IFERROR(HLOOKUP(N30,'סקרי נכסים-יתרות פתיחה'!$2:$110,91,0),0)*(1-N$309)</f>
        <v>0</v>
      </c>
      <c r="O98" s="1240">
        <f>+IFERROR(HLOOKUP(O30,'סקרי נכסים-יתרות פתיחה'!$2:$110,6,0),0)-IFERROR(HLOOKUP(O30,'סקרי נכסים-יתרות פתיחה'!$2:$110,91,0),0)*(1-O$309)</f>
        <v>0</v>
      </c>
      <c r="P98" s="1240">
        <f>+IFERROR(HLOOKUP(P30,'סקרי נכסים-יתרות פתיחה'!$2:$110,6,0),0)-IFERROR(HLOOKUP(P30,'סקרי נכסים-יתרות פתיחה'!$2:$110,91,0),0)*(1-P$309)</f>
        <v>0</v>
      </c>
      <c r="Q98" s="1240">
        <f>+IFERROR(HLOOKUP(Q30,'סקרי נכסים-יתרות פתיחה'!$2:$110,6,0),0)-IFERROR(HLOOKUP(Q30,'סקרי נכסים-יתרות פתיחה'!$2:$110,91,0),0)*(1-Q$309)</f>
        <v>0</v>
      </c>
      <c r="R98" s="1240">
        <f>+IFERROR(HLOOKUP(R30,'סקרי נכסים-יתרות פתיחה'!$2:$110,6,0),0)-IFERROR(HLOOKUP(R30,'סקרי נכסים-יתרות פתיחה'!$2:$110,91,0),0)*(1-R$309)</f>
        <v>0</v>
      </c>
      <c r="S98" s="1240">
        <f>+IFERROR(HLOOKUP(S30,'סקרי נכסים-יתרות פתיחה'!$2:$110,6,0),0)-IFERROR(HLOOKUP(S30,'סקרי נכסים-יתרות פתיחה'!$2:$110,91,0),0)*(1-S$309)</f>
        <v>0</v>
      </c>
      <c r="T98" s="1240">
        <f>+IFERROR(HLOOKUP(T30,'סקרי נכסים-יתרות פתיחה'!$2:$110,6,0),0)-IFERROR(HLOOKUP(T30,'סקרי נכסים-יתרות פתיחה'!$2:$110,91,0),0)*(1-T$309)</f>
        <v>0</v>
      </c>
      <c r="U98" s="1240">
        <f>+IFERROR(HLOOKUP(U30,'סקרי נכסים-יתרות פתיחה'!$2:$110,6,0),0)-IFERROR(HLOOKUP(U30,'סקרי נכסים-יתרות פתיחה'!$2:$110,91,0),0)*(1-U$309)</f>
        <v>0</v>
      </c>
      <c r="V98" s="1240">
        <f>+IFERROR(HLOOKUP(V30,'סקרי נכסים-יתרות פתיחה'!$2:$110,6,0),0)-IFERROR(HLOOKUP(V30,'סקרי נכסים-יתרות פתיחה'!$2:$110,91,0),0)*(1-V$309)</f>
        <v>0</v>
      </c>
      <c r="W98" s="1240">
        <f>+IFERROR(HLOOKUP(W30,'סקרי נכסים-יתרות פתיחה'!$2:$110,6,0),0)-IFERROR(HLOOKUP(W30,'סקרי נכסים-יתרות פתיחה'!$2:$110,91,0),0)*(1-W$309)</f>
        <v>0</v>
      </c>
      <c r="X98" s="1240">
        <f>+IFERROR(HLOOKUP(X30,'סקרי נכסים-יתרות פתיחה'!$2:$110,6,0),0)-IFERROR(HLOOKUP(X30,'סקרי נכסים-יתרות פתיחה'!$2:$110,91,0),0)*(1-X$309)</f>
        <v>0</v>
      </c>
      <c r="Y98" s="1240">
        <f>+IFERROR(HLOOKUP(Y30,'סקרי נכסים-יתרות פתיחה'!$2:$110,6,0),0)-IFERROR(HLOOKUP(Y30,'סקרי נכסים-יתרות פתיחה'!$2:$110,91,0),0)*(1-Y$309)</f>
        <v>0</v>
      </c>
      <c r="Z98" s="1240">
        <f>+IFERROR(HLOOKUP(Z30,'סקרי נכסים-יתרות פתיחה'!$2:$110,6,0),0)-IFERROR(HLOOKUP(Z30,'סקרי נכסים-יתרות פתיחה'!$2:$110,91,0),0)*(1-Z$309)</f>
        <v>0</v>
      </c>
      <c r="AA98" s="1240">
        <f>+IFERROR(HLOOKUP(AA30,'סקרי נכסים-יתרות פתיחה'!$2:$110,6,0),0)-IFERROR(HLOOKUP(AA30,'סקרי נכסים-יתרות פתיחה'!$2:$110,91,0),0)*(1-AA$309)</f>
        <v>0</v>
      </c>
      <c r="AB98" s="1240">
        <f>+IFERROR(HLOOKUP(AB30,'סקרי נכסים-יתרות פתיחה'!$2:$110,6,0),0)-IFERROR(HLOOKUP(AB30,'סקרי נכסים-יתרות פתיחה'!$2:$110,91,0),0)*(1-AB$309)</f>
        <v>0</v>
      </c>
      <c r="AC98" s="1240">
        <f>+IFERROR(HLOOKUP(AC30,'סקרי נכסים-יתרות פתיחה'!$2:$110,6,0),0)-IFERROR(HLOOKUP(AC30,'סקרי נכסים-יתרות פתיחה'!$2:$110,91,0),0)*(1-AC$309)</f>
        <v>0</v>
      </c>
      <c r="AD98" s="1240">
        <f>+IFERROR(HLOOKUP(AD30,'סקרי נכסים-יתרות פתיחה'!$2:$110,6,0),0)-IFERROR(HLOOKUP(AD30,'סקרי נכסים-יתרות פתיחה'!$2:$110,91,0),0)*(1-AD$309)</f>
        <v>0</v>
      </c>
      <c r="AE98" s="1240">
        <f>+IFERROR(HLOOKUP(AE30,'סקרי נכסים-יתרות פתיחה'!$2:$110,6,0),0)-IFERROR(HLOOKUP(AE30,'סקרי נכסים-יתרות פתיחה'!$2:$110,91,0),0)*(1-AE$309)</f>
        <v>0</v>
      </c>
      <c r="AF98" s="1240">
        <f>+IFERROR(HLOOKUP(AF30,'סקרי נכסים-יתרות פתיחה'!$2:$110,6,0),0)-IFERROR(HLOOKUP(AF30,'סקרי נכסים-יתרות פתיחה'!$2:$110,91,0),0)*(1-AF$309)</f>
        <v>0</v>
      </c>
      <c r="AG98" s="1240">
        <f>+IFERROR(HLOOKUP(AG30,'סקרי נכסים-יתרות פתיחה'!$2:$110,6,0),0)-IFERROR(HLOOKUP(AG30,'סקרי נכסים-יתרות פתיחה'!$2:$110,91,0),0)*(1-AG$309)</f>
        <v>0</v>
      </c>
      <c r="AH98" s="1240">
        <f>+IFERROR(HLOOKUP(AH30,'סקרי נכסים-יתרות פתיחה'!$2:$110,6,0),0)-IFERROR(HLOOKUP(AH30,'סקרי נכסים-יתרות פתיחה'!$2:$110,91,0),0)*(1-AH$309)</f>
        <v>0</v>
      </c>
      <c r="AI98" s="1240">
        <f>+IFERROR(HLOOKUP(AI30,'סקרי נכסים-יתרות פתיחה'!$2:$110,6,0),0)-IFERROR(HLOOKUP(AI30,'סקרי נכסים-יתרות פתיחה'!$2:$110,91,0),0)*(1-AI$309)</f>
        <v>0</v>
      </c>
      <c r="AJ98" s="1240">
        <f>+IFERROR(HLOOKUP(AJ30,'סקרי נכסים-יתרות פתיחה'!$2:$110,6,0),0)-IFERROR(HLOOKUP(AJ30,'סקרי נכסים-יתרות פתיחה'!$2:$110,91,0),0)*(1-AJ$309)</f>
        <v>0</v>
      </c>
      <c r="AK98" s="1240">
        <f>+IFERROR(HLOOKUP(AK30,'סקרי נכסים-יתרות פתיחה'!$2:$110,6,0),0)-IFERROR(HLOOKUP(AK30,'סקרי נכסים-יתרות פתיחה'!$2:$110,91,0),0)*(1-AK$309)</f>
        <v>0</v>
      </c>
      <c r="AL98" s="1240">
        <f>+IFERROR(HLOOKUP(AL30,'סקרי נכסים-יתרות פתיחה'!$2:$110,6,0),0)-IFERROR(HLOOKUP(AL30,'סקרי נכסים-יתרות פתיחה'!$2:$110,91,0),0)*(1-AL$309)</f>
        <v>0</v>
      </c>
      <c r="AM98" s="1240">
        <f>+IFERROR(HLOOKUP(AM30,'סקרי נכסים-יתרות פתיחה'!$2:$110,6,0),0)-IFERROR(HLOOKUP(AM30,'סקרי נכסים-יתרות פתיחה'!$2:$110,91,0),0)*(1-AM$309)</f>
        <v>0</v>
      </c>
      <c r="AN98" s="1240">
        <f>+IFERROR(HLOOKUP(AN30,'סקרי נכסים-יתרות פתיחה'!$2:$110,6,0),0)-IFERROR(HLOOKUP(AN30,'סקרי נכסים-יתרות פתיחה'!$2:$110,91,0),0)*(1-AN$309)</f>
        <v>0</v>
      </c>
      <c r="AO98" s="1240">
        <f>+IFERROR(HLOOKUP(AO30,'סקרי נכסים-יתרות פתיחה'!$2:$110,6,0),0)-IFERROR(HLOOKUP(AO30,'סקרי נכסים-יתרות פתיחה'!$2:$110,91,0),0)*(1-AO$309)</f>
        <v>0</v>
      </c>
      <c r="AP98" s="1240">
        <f>+IFERROR(HLOOKUP(AP30,'סקרי נכסים-יתרות פתיחה'!$2:$110,6,0),0)-IFERROR(HLOOKUP(AP30,'סקרי נכסים-יתרות פתיחה'!$2:$110,91,0),0)*(1-AP$309)</f>
        <v>0</v>
      </c>
      <c r="AQ98" s="1240">
        <f>+IFERROR(HLOOKUP(AQ30,'סקרי נכסים-יתרות פתיחה'!$2:$110,6,0),0)-IFERROR(HLOOKUP(AQ30,'סקרי נכסים-יתרות פתיחה'!$2:$110,91,0),0)*(1-AQ$309)</f>
        <v>0</v>
      </c>
      <c r="AR98" s="1240">
        <f>+IFERROR(HLOOKUP(AR30,'סקרי נכסים-יתרות פתיחה'!$2:$110,6,0),0)-IFERROR(HLOOKUP(AR30,'סקרי נכסים-יתרות פתיחה'!$2:$110,91,0),0)*(1-AR$309)</f>
        <v>0</v>
      </c>
      <c r="AS98" s="1240">
        <f>+IFERROR(HLOOKUP(AS30,'סקרי נכסים-יתרות פתיחה'!$2:$110,6,0),0)-IFERROR(HLOOKUP(AS30,'סקרי נכסים-יתרות פתיחה'!$2:$110,91,0),0)*(1-AS$309)</f>
        <v>0</v>
      </c>
      <c r="AT98" s="1240">
        <f>+IFERROR(HLOOKUP(AT30,'סקרי נכסים-יתרות פתיחה'!$2:$110,6,0),0)-IFERROR(HLOOKUP(AT30,'סקרי נכסים-יתרות פתיחה'!$2:$110,91,0),0)*(1-AT$309)</f>
        <v>0</v>
      </c>
      <c r="AU98" s="1240">
        <f>+IFERROR(HLOOKUP(AU30,'סקרי נכסים-יתרות פתיחה'!$2:$110,6,0),0)-IFERROR(HLOOKUP(AU30,'סקרי נכסים-יתרות פתיחה'!$2:$110,91,0),0)*(1-AU$309)</f>
        <v>0</v>
      </c>
      <c r="AV98" s="1240">
        <f>+IFERROR(HLOOKUP(AV30,'סקרי נכסים-יתרות פתיחה'!$2:$110,6,0),0)-IFERROR(HLOOKUP(AV30,'סקרי נכסים-יתרות פתיחה'!$2:$110,91,0),0)*(1-AV$309)</f>
        <v>0</v>
      </c>
      <c r="AW98" s="1240">
        <f>+IFERROR(HLOOKUP(AW30,'סקרי נכסים-יתרות פתיחה'!$2:$110,6,0),0)-IFERROR(HLOOKUP(AW30,'סקרי נכסים-יתרות פתיחה'!$2:$110,91,0),0)*(1-AW$309)</f>
        <v>0</v>
      </c>
      <c r="AX98" s="1240">
        <f>+IFERROR(HLOOKUP(AX30,'סקרי נכסים-יתרות פתיחה'!$2:$110,6,0),0)-IFERROR(HLOOKUP(AX30,'סקרי נכסים-יתרות פתיחה'!$2:$110,91,0),0)*(1-AX$309)</f>
        <v>0</v>
      </c>
      <c r="AY98" s="1240">
        <f>+IFERROR(HLOOKUP(AY30,'סקרי נכסים-יתרות פתיחה'!$2:$110,6,0),0)-IFERROR(HLOOKUP(AY30,'סקרי נכסים-יתרות פתיחה'!$2:$110,91,0),0)*(1-AY$309)</f>
        <v>0</v>
      </c>
      <c r="AZ98" s="1240">
        <f>+IFERROR(HLOOKUP(AZ30,'סקרי נכסים-יתרות פתיחה'!$2:$110,6,0),0)-IFERROR(HLOOKUP(AZ30,'סקרי נכסים-יתרות פתיחה'!$2:$110,91,0),0)*(1-AZ$309)</f>
        <v>0</v>
      </c>
      <c r="BA98" s="1240">
        <f>+IFERROR(HLOOKUP(BA30,'סקרי נכסים-יתרות פתיחה'!$2:$110,6,0),0)-IFERROR(HLOOKUP(BA30,'סקרי נכסים-יתרות פתיחה'!$2:$110,91,0),0)*(1-BA$309)</f>
        <v>0</v>
      </c>
      <c r="BB98" s="1240">
        <f>+IFERROR(HLOOKUP(BB30,'סקרי נכסים-יתרות פתיחה'!$2:$110,6,0),0)-IFERROR(HLOOKUP(BB30,'סקרי נכסים-יתרות פתיחה'!$2:$110,91,0),0)*(1-BB$309)</f>
        <v>0</v>
      </c>
      <c r="BC98" s="1240">
        <f>+IFERROR(HLOOKUP(BC30,'סקרי נכסים-יתרות פתיחה'!$2:$110,6,0),0)-IFERROR(HLOOKUP(BC30,'סקרי נכסים-יתרות פתיחה'!$2:$110,91,0),0)*(1-BC$309)</f>
        <v>0</v>
      </c>
      <c r="BD98" s="1240">
        <f>+IFERROR(HLOOKUP(BD30,'סקרי נכסים-יתרות פתיחה'!$2:$110,6,0),0)-IFERROR(HLOOKUP(BD30,'סקרי נכסים-יתרות פתיחה'!$2:$110,91,0),0)*(1-BD$309)</f>
        <v>0</v>
      </c>
      <c r="BE98" s="1240">
        <f>+IFERROR(HLOOKUP(BE30,'סקרי נכסים-יתרות פתיחה'!$2:$110,6,0),0)-IFERROR(HLOOKUP(BE30,'סקרי נכסים-יתרות פתיחה'!$2:$110,91,0),0)*(1-BE$309)</f>
        <v>0</v>
      </c>
      <c r="BF98" s="1240">
        <f>+IFERROR(HLOOKUP(BF30,'סקרי נכסים-יתרות פתיחה'!$2:$110,6,0),0)-IFERROR(HLOOKUP(BF30,'סקרי נכסים-יתרות פתיחה'!$2:$110,91,0),0)*(1-BF$309)</f>
        <v>0</v>
      </c>
    </row>
    <row r="99" spans="1:62" x14ac:dyDescent="0.2">
      <c r="B99" s="1">
        <v>28</v>
      </c>
      <c r="C99" s="1240">
        <f>+IFERROR(HLOOKUP(C31,'סקרי נכסים-יתרות פתיחה'!$2:$110,6,0),0)-IFERROR(HLOOKUP(C31,'סקרי נכסים-יתרות פתיחה'!$2:$110,91,0),0)*(1-C$309)</f>
        <v>0</v>
      </c>
      <c r="D99" s="1240">
        <f>+IFERROR(HLOOKUP(D31,'סקרי נכסים-יתרות פתיחה'!$2:$110,6,0),0)-IFERROR(HLOOKUP(D31,'סקרי נכסים-יתרות פתיחה'!$2:$110,91,0),0)*(1-D$309)</f>
        <v>0</v>
      </c>
      <c r="E99" s="1240">
        <f>+IFERROR(HLOOKUP(E31,'סקרי נכסים-יתרות פתיחה'!$2:$110,6,0),0)-IFERROR(HLOOKUP(E31,'סקרי נכסים-יתרות פתיחה'!$2:$110,91,0),0)*(1-E$309)</f>
        <v>0</v>
      </c>
      <c r="F99" s="1240">
        <f>+IFERROR(HLOOKUP(F31,'סקרי נכסים-יתרות פתיחה'!$2:$110,6,0),0)-IFERROR(HLOOKUP(F31,'סקרי נכסים-יתרות פתיחה'!$2:$110,91,0),0)*(1-F$309)</f>
        <v>0</v>
      </c>
      <c r="G99" s="1240">
        <f>+IFERROR(HLOOKUP(G31,'סקרי נכסים-יתרות פתיחה'!$2:$110,6,0),0)-IFERROR(HLOOKUP(G31,'סקרי נכסים-יתרות פתיחה'!$2:$110,91,0),0)*(1-G$309)</f>
        <v>0</v>
      </c>
      <c r="H99" s="1240">
        <f>+IFERROR(HLOOKUP(H31,'סקרי נכסים-יתרות פתיחה'!$2:$110,6,0),0)-IFERROR(HLOOKUP(H31,'סקרי נכסים-יתרות פתיחה'!$2:$110,91,0),0)*(1-H$309)</f>
        <v>0</v>
      </c>
      <c r="I99" s="1240">
        <f>+IFERROR(HLOOKUP(I31,'סקרי נכסים-יתרות פתיחה'!$2:$110,6,0),0)-IFERROR(HLOOKUP(I31,'סקרי נכסים-יתרות פתיחה'!$2:$110,91,0),0)*(1-I$309)</f>
        <v>0</v>
      </c>
      <c r="J99" s="1240">
        <f>+IFERROR(HLOOKUP(J31,'סקרי נכסים-יתרות פתיחה'!$2:$110,6,0),0)-IFERROR(HLOOKUP(J31,'סקרי נכסים-יתרות פתיחה'!$2:$110,91,0),0)*(1-J$309)</f>
        <v>0</v>
      </c>
      <c r="K99" s="1240">
        <f>+IFERROR(HLOOKUP(K31,'סקרי נכסים-יתרות פתיחה'!$2:$110,6,0),0)-IFERROR(HLOOKUP(K31,'סקרי נכסים-יתרות פתיחה'!$2:$110,91,0),0)*(1-K$309)</f>
        <v>0</v>
      </c>
      <c r="L99" s="1240">
        <f>+IFERROR(HLOOKUP(L31,'סקרי נכסים-יתרות פתיחה'!$2:$110,6,0),0)-IFERROR(HLOOKUP(L31,'סקרי נכסים-יתרות פתיחה'!$2:$110,91,0),0)*(1-L$309)</f>
        <v>0</v>
      </c>
      <c r="M99" s="1240">
        <f>+IFERROR(HLOOKUP(M31,'סקרי נכסים-יתרות פתיחה'!$2:$110,6,0),0)-IFERROR(HLOOKUP(M31,'סקרי נכסים-יתרות פתיחה'!$2:$110,91,0),0)*(1-M$309)</f>
        <v>0</v>
      </c>
      <c r="N99" s="1240">
        <f>+IFERROR(HLOOKUP(N31,'סקרי נכסים-יתרות פתיחה'!$2:$110,6,0),0)-IFERROR(HLOOKUP(N31,'סקרי נכסים-יתרות פתיחה'!$2:$110,91,0),0)*(1-N$309)</f>
        <v>0</v>
      </c>
      <c r="O99" s="1240">
        <f>+IFERROR(HLOOKUP(O31,'סקרי נכסים-יתרות פתיחה'!$2:$110,6,0),0)-IFERROR(HLOOKUP(O31,'סקרי נכסים-יתרות פתיחה'!$2:$110,91,0),0)*(1-O$309)</f>
        <v>0</v>
      </c>
      <c r="P99" s="1240">
        <f>+IFERROR(HLOOKUP(P31,'סקרי נכסים-יתרות פתיחה'!$2:$110,6,0),0)-IFERROR(HLOOKUP(P31,'סקרי נכסים-יתרות פתיחה'!$2:$110,91,0),0)*(1-P$309)</f>
        <v>0</v>
      </c>
      <c r="Q99" s="1240">
        <f>+IFERROR(HLOOKUP(Q31,'סקרי נכסים-יתרות פתיחה'!$2:$110,6,0),0)-IFERROR(HLOOKUP(Q31,'סקרי נכסים-יתרות פתיחה'!$2:$110,91,0),0)*(1-Q$309)</f>
        <v>0</v>
      </c>
      <c r="R99" s="1240">
        <f>+IFERROR(HLOOKUP(R31,'סקרי נכסים-יתרות פתיחה'!$2:$110,6,0),0)-IFERROR(HLOOKUP(R31,'סקרי נכסים-יתרות פתיחה'!$2:$110,91,0),0)*(1-R$309)</f>
        <v>0</v>
      </c>
      <c r="S99" s="1240">
        <f>+IFERROR(HLOOKUP(S31,'סקרי נכסים-יתרות פתיחה'!$2:$110,6,0),0)-IFERROR(HLOOKUP(S31,'סקרי נכסים-יתרות פתיחה'!$2:$110,91,0),0)*(1-S$309)</f>
        <v>0</v>
      </c>
      <c r="T99" s="1240">
        <f>+IFERROR(HLOOKUP(T31,'סקרי נכסים-יתרות פתיחה'!$2:$110,6,0),0)-IFERROR(HLOOKUP(T31,'סקרי נכסים-יתרות פתיחה'!$2:$110,91,0),0)*(1-T$309)</f>
        <v>0</v>
      </c>
      <c r="U99" s="1240">
        <f>+IFERROR(HLOOKUP(U31,'סקרי נכסים-יתרות פתיחה'!$2:$110,6,0),0)-IFERROR(HLOOKUP(U31,'סקרי נכסים-יתרות פתיחה'!$2:$110,91,0),0)*(1-U$309)</f>
        <v>0</v>
      </c>
      <c r="V99" s="1240">
        <f>+IFERROR(HLOOKUP(V31,'סקרי נכסים-יתרות פתיחה'!$2:$110,6,0),0)-IFERROR(HLOOKUP(V31,'סקרי נכסים-יתרות פתיחה'!$2:$110,91,0),0)*(1-V$309)</f>
        <v>0</v>
      </c>
      <c r="W99" s="1240">
        <f>+IFERROR(HLOOKUP(W31,'סקרי נכסים-יתרות פתיחה'!$2:$110,6,0),0)-IFERROR(HLOOKUP(W31,'סקרי נכסים-יתרות פתיחה'!$2:$110,91,0),0)*(1-W$309)</f>
        <v>0</v>
      </c>
      <c r="X99" s="1240">
        <f>+IFERROR(HLOOKUP(X31,'סקרי נכסים-יתרות פתיחה'!$2:$110,6,0),0)-IFERROR(HLOOKUP(X31,'סקרי נכסים-יתרות פתיחה'!$2:$110,91,0),0)*(1-X$309)</f>
        <v>0</v>
      </c>
      <c r="Y99" s="1240">
        <f>+IFERROR(HLOOKUP(Y31,'סקרי נכסים-יתרות פתיחה'!$2:$110,6,0),0)-IFERROR(HLOOKUP(Y31,'סקרי נכסים-יתרות פתיחה'!$2:$110,91,0),0)*(1-Y$309)</f>
        <v>0</v>
      </c>
      <c r="Z99" s="1240">
        <f>+IFERROR(HLOOKUP(Z31,'סקרי נכסים-יתרות פתיחה'!$2:$110,6,0),0)-IFERROR(HLOOKUP(Z31,'סקרי נכסים-יתרות פתיחה'!$2:$110,91,0),0)*(1-Z$309)</f>
        <v>0</v>
      </c>
      <c r="AA99" s="1240">
        <f>+IFERROR(HLOOKUP(AA31,'סקרי נכסים-יתרות פתיחה'!$2:$110,6,0),0)-IFERROR(HLOOKUP(AA31,'סקרי נכסים-יתרות פתיחה'!$2:$110,91,0),0)*(1-AA$309)</f>
        <v>0</v>
      </c>
      <c r="AB99" s="1240">
        <f>+IFERROR(HLOOKUP(AB31,'סקרי נכסים-יתרות פתיחה'!$2:$110,6,0),0)-IFERROR(HLOOKUP(AB31,'סקרי נכסים-יתרות פתיחה'!$2:$110,91,0),0)*(1-AB$309)</f>
        <v>0</v>
      </c>
      <c r="AC99" s="1240">
        <f>+IFERROR(HLOOKUP(AC31,'סקרי נכסים-יתרות פתיחה'!$2:$110,6,0),0)-IFERROR(HLOOKUP(AC31,'סקרי נכסים-יתרות פתיחה'!$2:$110,91,0),0)*(1-AC$309)</f>
        <v>0</v>
      </c>
      <c r="AD99" s="1240">
        <f>+IFERROR(HLOOKUP(AD31,'סקרי נכסים-יתרות פתיחה'!$2:$110,6,0),0)-IFERROR(HLOOKUP(AD31,'סקרי נכסים-יתרות פתיחה'!$2:$110,91,0),0)*(1-AD$309)</f>
        <v>0</v>
      </c>
      <c r="AE99" s="1240">
        <f>+IFERROR(HLOOKUP(AE31,'סקרי נכסים-יתרות פתיחה'!$2:$110,6,0),0)-IFERROR(HLOOKUP(AE31,'סקרי נכסים-יתרות פתיחה'!$2:$110,91,0),0)*(1-AE$309)</f>
        <v>0</v>
      </c>
      <c r="AF99" s="1240">
        <f>+IFERROR(HLOOKUP(AF31,'סקרי נכסים-יתרות פתיחה'!$2:$110,6,0),0)-IFERROR(HLOOKUP(AF31,'סקרי נכסים-יתרות פתיחה'!$2:$110,91,0),0)*(1-AF$309)</f>
        <v>0</v>
      </c>
      <c r="AG99" s="1240">
        <f>+IFERROR(HLOOKUP(AG31,'סקרי נכסים-יתרות פתיחה'!$2:$110,6,0),0)-IFERROR(HLOOKUP(AG31,'סקרי נכסים-יתרות פתיחה'!$2:$110,91,0),0)*(1-AG$309)</f>
        <v>0</v>
      </c>
      <c r="AH99" s="1240">
        <f>+IFERROR(HLOOKUP(AH31,'סקרי נכסים-יתרות פתיחה'!$2:$110,6,0),0)-IFERROR(HLOOKUP(AH31,'סקרי נכסים-יתרות פתיחה'!$2:$110,91,0),0)*(1-AH$309)</f>
        <v>0</v>
      </c>
      <c r="AI99" s="1240">
        <f>+IFERROR(HLOOKUP(AI31,'סקרי נכסים-יתרות פתיחה'!$2:$110,6,0),0)-IFERROR(HLOOKUP(AI31,'סקרי נכסים-יתרות פתיחה'!$2:$110,91,0),0)*(1-AI$309)</f>
        <v>0</v>
      </c>
      <c r="AJ99" s="1240">
        <f>+IFERROR(HLOOKUP(AJ31,'סקרי נכסים-יתרות פתיחה'!$2:$110,6,0),0)-IFERROR(HLOOKUP(AJ31,'סקרי נכסים-יתרות פתיחה'!$2:$110,91,0),0)*(1-AJ$309)</f>
        <v>0</v>
      </c>
      <c r="AK99" s="1240">
        <f>+IFERROR(HLOOKUP(AK31,'סקרי נכסים-יתרות פתיחה'!$2:$110,6,0),0)-IFERROR(HLOOKUP(AK31,'סקרי נכסים-יתרות פתיחה'!$2:$110,91,0),0)*(1-AK$309)</f>
        <v>0</v>
      </c>
      <c r="AL99" s="1240">
        <f>+IFERROR(HLOOKUP(AL31,'סקרי נכסים-יתרות פתיחה'!$2:$110,6,0),0)-IFERROR(HLOOKUP(AL31,'סקרי נכסים-יתרות פתיחה'!$2:$110,91,0),0)*(1-AL$309)</f>
        <v>0</v>
      </c>
      <c r="AM99" s="1240">
        <f>+IFERROR(HLOOKUP(AM31,'סקרי נכסים-יתרות פתיחה'!$2:$110,6,0),0)-IFERROR(HLOOKUP(AM31,'סקרי נכסים-יתרות פתיחה'!$2:$110,91,0),0)*(1-AM$309)</f>
        <v>0</v>
      </c>
      <c r="AN99" s="1240">
        <f>+IFERROR(HLOOKUP(AN31,'סקרי נכסים-יתרות פתיחה'!$2:$110,6,0),0)-IFERROR(HLOOKUP(AN31,'סקרי נכסים-יתרות פתיחה'!$2:$110,91,0),0)*(1-AN$309)</f>
        <v>0</v>
      </c>
      <c r="AO99" s="1240">
        <f>+IFERROR(HLOOKUP(AO31,'סקרי נכסים-יתרות פתיחה'!$2:$110,6,0),0)-IFERROR(HLOOKUP(AO31,'סקרי נכסים-יתרות פתיחה'!$2:$110,91,0),0)*(1-AO$309)</f>
        <v>0</v>
      </c>
      <c r="AP99" s="1240">
        <f>+IFERROR(HLOOKUP(AP31,'סקרי נכסים-יתרות פתיחה'!$2:$110,6,0),0)-IFERROR(HLOOKUP(AP31,'סקרי נכסים-יתרות פתיחה'!$2:$110,91,0),0)*(1-AP$309)</f>
        <v>0</v>
      </c>
      <c r="AQ99" s="1240">
        <f>+IFERROR(HLOOKUP(AQ31,'סקרי נכסים-יתרות פתיחה'!$2:$110,6,0),0)-IFERROR(HLOOKUP(AQ31,'סקרי נכסים-יתרות פתיחה'!$2:$110,91,0),0)*(1-AQ$309)</f>
        <v>0</v>
      </c>
      <c r="AR99" s="1240">
        <f>+IFERROR(HLOOKUP(AR31,'סקרי נכסים-יתרות פתיחה'!$2:$110,6,0),0)-IFERROR(HLOOKUP(AR31,'סקרי נכסים-יתרות פתיחה'!$2:$110,91,0),0)*(1-AR$309)</f>
        <v>0</v>
      </c>
      <c r="AS99" s="1240">
        <f>+IFERROR(HLOOKUP(AS31,'סקרי נכסים-יתרות פתיחה'!$2:$110,6,0),0)-IFERROR(HLOOKUP(AS31,'סקרי נכסים-יתרות פתיחה'!$2:$110,91,0),0)*(1-AS$309)</f>
        <v>0</v>
      </c>
      <c r="AT99" s="1240">
        <f>+IFERROR(HLOOKUP(AT31,'סקרי נכסים-יתרות פתיחה'!$2:$110,6,0),0)-IFERROR(HLOOKUP(AT31,'סקרי נכסים-יתרות פתיחה'!$2:$110,91,0),0)*(1-AT$309)</f>
        <v>0</v>
      </c>
      <c r="AU99" s="1240">
        <f>+IFERROR(HLOOKUP(AU31,'סקרי נכסים-יתרות פתיחה'!$2:$110,6,0),0)-IFERROR(HLOOKUP(AU31,'סקרי נכסים-יתרות פתיחה'!$2:$110,91,0),0)*(1-AU$309)</f>
        <v>0</v>
      </c>
      <c r="AV99" s="1240">
        <f>+IFERROR(HLOOKUP(AV31,'סקרי נכסים-יתרות פתיחה'!$2:$110,6,0),0)-IFERROR(HLOOKUP(AV31,'סקרי נכסים-יתרות פתיחה'!$2:$110,91,0),0)*(1-AV$309)</f>
        <v>0</v>
      </c>
      <c r="AW99" s="1240">
        <f>+IFERROR(HLOOKUP(AW31,'סקרי נכסים-יתרות פתיחה'!$2:$110,6,0),0)-IFERROR(HLOOKUP(AW31,'סקרי נכסים-יתרות פתיחה'!$2:$110,91,0),0)*(1-AW$309)</f>
        <v>0</v>
      </c>
      <c r="AX99" s="1240">
        <f>+IFERROR(HLOOKUP(AX31,'סקרי נכסים-יתרות פתיחה'!$2:$110,6,0),0)-IFERROR(HLOOKUP(AX31,'סקרי נכסים-יתרות פתיחה'!$2:$110,91,0),0)*(1-AX$309)</f>
        <v>0</v>
      </c>
      <c r="AY99" s="1240">
        <f>+IFERROR(HLOOKUP(AY31,'סקרי נכסים-יתרות פתיחה'!$2:$110,6,0),0)-IFERROR(HLOOKUP(AY31,'סקרי נכסים-יתרות פתיחה'!$2:$110,91,0),0)*(1-AY$309)</f>
        <v>0</v>
      </c>
      <c r="AZ99" s="1240">
        <f>+IFERROR(HLOOKUP(AZ31,'סקרי נכסים-יתרות פתיחה'!$2:$110,6,0),0)-IFERROR(HLOOKUP(AZ31,'סקרי נכסים-יתרות פתיחה'!$2:$110,91,0),0)*(1-AZ$309)</f>
        <v>0</v>
      </c>
      <c r="BA99" s="1240">
        <f>+IFERROR(HLOOKUP(BA31,'סקרי נכסים-יתרות פתיחה'!$2:$110,6,0),0)-IFERROR(HLOOKUP(BA31,'סקרי נכסים-יתרות פתיחה'!$2:$110,91,0),0)*(1-BA$309)</f>
        <v>0</v>
      </c>
      <c r="BB99" s="1240">
        <f>+IFERROR(HLOOKUP(BB31,'סקרי נכסים-יתרות פתיחה'!$2:$110,6,0),0)-IFERROR(HLOOKUP(BB31,'סקרי נכסים-יתרות פתיחה'!$2:$110,91,0),0)*(1-BB$309)</f>
        <v>0</v>
      </c>
      <c r="BC99" s="1240">
        <f>+IFERROR(HLOOKUP(BC31,'סקרי נכסים-יתרות פתיחה'!$2:$110,6,0),0)-IFERROR(HLOOKUP(BC31,'סקרי נכסים-יתרות פתיחה'!$2:$110,91,0),0)*(1-BC$309)</f>
        <v>0</v>
      </c>
      <c r="BD99" s="1240">
        <f>+IFERROR(HLOOKUP(BD31,'סקרי נכסים-יתרות פתיחה'!$2:$110,6,0),0)-IFERROR(HLOOKUP(BD31,'סקרי נכסים-יתרות פתיחה'!$2:$110,91,0),0)*(1-BD$309)</f>
        <v>0</v>
      </c>
      <c r="BE99" s="1240">
        <f>+IFERROR(HLOOKUP(BE31,'סקרי נכסים-יתרות פתיחה'!$2:$110,6,0),0)-IFERROR(HLOOKUP(BE31,'סקרי נכסים-יתרות פתיחה'!$2:$110,91,0),0)*(1-BE$309)</f>
        <v>0</v>
      </c>
      <c r="BF99" s="1240">
        <f>+IFERROR(HLOOKUP(BF31,'סקרי נכסים-יתרות פתיחה'!$2:$110,6,0),0)-IFERROR(HLOOKUP(BF31,'סקרי נכסים-יתרות פתיחה'!$2:$110,91,0),0)*(1-BF$309)</f>
        <v>0</v>
      </c>
    </row>
    <row r="100" spans="1:62" x14ac:dyDescent="0.2">
      <c r="B100" s="1">
        <v>29</v>
      </c>
      <c r="C100" s="1240">
        <f>+IFERROR(HLOOKUP(C32,'סקרי נכסים-יתרות פתיחה'!$2:$110,6,0),0)-IFERROR(HLOOKUP(C32,'סקרי נכסים-יתרות פתיחה'!$2:$110,91,0),0)*(1-C$309)</f>
        <v>0</v>
      </c>
      <c r="D100" s="1240">
        <f>+IFERROR(HLOOKUP(D32,'סקרי נכסים-יתרות פתיחה'!$2:$110,6,0),0)-IFERROR(HLOOKUP(D32,'סקרי נכסים-יתרות פתיחה'!$2:$110,91,0),0)*(1-D$309)</f>
        <v>0</v>
      </c>
      <c r="E100" s="1240">
        <f>+IFERROR(HLOOKUP(E32,'סקרי נכסים-יתרות פתיחה'!$2:$110,6,0),0)-IFERROR(HLOOKUP(E32,'סקרי נכסים-יתרות פתיחה'!$2:$110,91,0),0)*(1-E$309)</f>
        <v>0</v>
      </c>
      <c r="F100" s="1240">
        <f>+IFERROR(HLOOKUP(F32,'סקרי נכסים-יתרות פתיחה'!$2:$110,6,0),0)-IFERROR(HLOOKUP(F32,'סקרי נכסים-יתרות פתיחה'!$2:$110,91,0),0)*(1-F$309)</f>
        <v>0</v>
      </c>
      <c r="G100" s="1240">
        <f>+IFERROR(HLOOKUP(G32,'סקרי נכסים-יתרות פתיחה'!$2:$110,6,0),0)-IFERROR(HLOOKUP(G32,'סקרי נכסים-יתרות פתיחה'!$2:$110,91,0),0)*(1-G$309)</f>
        <v>0</v>
      </c>
      <c r="H100" s="1240">
        <f>+IFERROR(HLOOKUP(H32,'סקרי נכסים-יתרות פתיחה'!$2:$110,6,0),0)-IFERROR(HLOOKUP(H32,'סקרי נכסים-יתרות פתיחה'!$2:$110,91,0),0)*(1-H$309)</f>
        <v>0</v>
      </c>
      <c r="I100" s="1240">
        <f>+IFERROR(HLOOKUP(I32,'סקרי נכסים-יתרות פתיחה'!$2:$110,6,0),0)-IFERROR(HLOOKUP(I32,'סקרי נכסים-יתרות פתיחה'!$2:$110,91,0),0)*(1-I$309)</f>
        <v>0</v>
      </c>
      <c r="J100" s="1240">
        <f>+IFERROR(HLOOKUP(J32,'סקרי נכסים-יתרות פתיחה'!$2:$110,6,0),0)-IFERROR(HLOOKUP(J32,'סקרי נכסים-יתרות פתיחה'!$2:$110,91,0),0)*(1-J$309)</f>
        <v>0</v>
      </c>
      <c r="K100" s="1240">
        <f>+IFERROR(HLOOKUP(K32,'סקרי נכסים-יתרות פתיחה'!$2:$110,6,0),0)-IFERROR(HLOOKUP(K32,'סקרי נכסים-יתרות פתיחה'!$2:$110,91,0),0)*(1-K$309)</f>
        <v>0</v>
      </c>
      <c r="L100" s="1240">
        <f>+IFERROR(HLOOKUP(L32,'סקרי נכסים-יתרות פתיחה'!$2:$110,6,0),0)-IFERROR(HLOOKUP(L32,'סקרי נכסים-יתרות פתיחה'!$2:$110,91,0),0)*(1-L$309)</f>
        <v>0</v>
      </c>
      <c r="M100" s="1240">
        <f>+IFERROR(HLOOKUP(M32,'סקרי נכסים-יתרות פתיחה'!$2:$110,6,0),0)-IFERROR(HLOOKUP(M32,'סקרי נכסים-יתרות פתיחה'!$2:$110,91,0),0)*(1-M$309)</f>
        <v>0</v>
      </c>
      <c r="N100" s="1240">
        <f>+IFERROR(HLOOKUP(N32,'סקרי נכסים-יתרות פתיחה'!$2:$110,6,0),0)-IFERROR(HLOOKUP(N32,'סקרי נכסים-יתרות פתיחה'!$2:$110,91,0),0)*(1-N$309)</f>
        <v>0</v>
      </c>
      <c r="O100" s="1240">
        <f>+IFERROR(HLOOKUP(O32,'סקרי נכסים-יתרות פתיחה'!$2:$110,6,0),0)-IFERROR(HLOOKUP(O32,'סקרי נכסים-יתרות פתיחה'!$2:$110,91,0),0)*(1-O$309)</f>
        <v>0</v>
      </c>
      <c r="P100" s="1240">
        <f>+IFERROR(HLOOKUP(P32,'סקרי נכסים-יתרות פתיחה'!$2:$110,6,0),0)-IFERROR(HLOOKUP(P32,'סקרי נכסים-יתרות פתיחה'!$2:$110,91,0),0)*(1-P$309)</f>
        <v>0</v>
      </c>
      <c r="Q100" s="1240">
        <f>+IFERROR(HLOOKUP(Q32,'סקרי נכסים-יתרות פתיחה'!$2:$110,6,0),0)-IFERROR(HLOOKUP(Q32,'סקרי נכסים-יתרות פתיחה'!$2:$110,91,0),0)*(1-Q$309)</f>
        <v>0</v>
      </c>
      <c r="R100" s="1240">
        <f>+IFERROR(HLOOKUP(R32,'סקרי נכסים-יתרות פתיחה'!$2:$110,6,0),0)-IFERROR(HLOOKUP(R32,'סקרי נכסים-יתרות פתיחה'!$2:$110,91,0),0)*(1-R$309)</f>
        <v>0</v>
      </c>
      <c r="S100" s="1240">
        <f>+IFERROR(HLOOKUP(S32,'סקרי נכסים-יתרות פתיחה'!$2:$110,6,0),0)-IFERROR(HLOOKUP(S32,'סקרי נכסים-יתרות פתיחה'!$2:$110,91,0),0)*(1-S$309)</f>
        <v>0</v>
      </c>
      <c r="T100" s="1240">
        <f>+IFERROR(HLOOKUP(T32,'סקרי נכסים-יתרות פתיחה'!$2:$110,6,0),0)-IFERROR(HLOOKUP(T32,'סקרי נכסים-יתרות פתיחה'!$2:$110,91,0),0)*(1-T$309)</f>
        <v>0</v>
      </c>
      <c r="U100" s="1240">
        <f>+IFERROR(HLOOKUP(U32,'סקרי נכסים-יתרות פתיחה'!$2:$110,6,0),0)-IFERROR(HLOOKUP(U32,'סקרי נכסים-יתרות פתיחה'!$2:$110,91,0),0)*(1-U$309)</f>
        <v>0</v>
      </c>
      <c r="V100" s="1240">
        <f>+IFERROR(HLOOKUP(V32,'סקרי נכסים-יתרות פתיחה'!$2:$110,6,0),0)-IFERROR(HLOOKUP(V32,'סקרי נכסים-יתרות פתיחה'!$2:$110,91,0),0)*(1-V$309)</f>
        <v>0</v>
      </c>
      <c r="W100" s="1240">
        <f>+IFERROR(HLOOKUP(W32,'סקרי נכסים-יתרות פתיחה'!$2:$110,6,0),0)-IFERROR(HLOOKUP(W32,'סקרי נכסים-יתרות פתיחה'!$2:$110,91,0),0)*(1-W$309)</f>
        <v>0</v>
      </c>
      <c r="X100" s="1240">
        <f>+IFERROR(HLOOKUP(X32,'סקרי נכסים-יתרות פתיחה'!$2:$110,6,0),0)-IFERROR(HLOOKUP(X32,'סקרי נכסים-יתרות פתיחה'!$2:$110,91,0),0)*(1-X$309)</f>
        <v>0</v>
      </c>
      <c r="Y100" s="1240">
        <f>+IFERROR(HLOOKUP(Y32,'סקרי נכסים-יתרות פתיחה'!$2:$110,6,0),0)-IFERROR(HLOOKUP(Y32,'סקרי נכסים-יתרות פתיחה'!$2:$110,91,0),0)*(1-Y$309)</f>
        <v>0</v>
      </c>
      <c r="Z100" s="1240">
        <f>+IFERROR(HLOOKUP(Z32,'סקרי נכסים-יתרות פתיחה'!$2:$110,6,0),0)-IFERROR(HLOOKUP(Z32,'סקרי נכסים-יתרות פתיחה'!$2:$110,91,0),0)*(1-Z$309)</f>
        <v>0</v>
      </c>
      <c r="AA100" s="1240">
        <f>+IFERROR(HLOOKUP(AA32,'סקרי נכסים-יתרות פתיחה'!$2:$110,6,0),0)-IFERROR(HLOOKUP(AA32,'סקרי נכסים-יתרות פתיחה'!$2:$110,91,0),0)*(1-AA$309)</f>
        <v>0</v>
      </c>
      <c r="AB100" s="1240">
        <f>+IFERROR(HLOOKUP(AB32,'סקרי נכסים-יתרות פתיחה'!$2:$110,6,0),0)-IFERROR(HLOOKUP(AB32,'סקרי נכסים-יתרות פתיחה'!$2:$110,91,0),0)*(1-AB$309)</f>
        <v>0</v>
      </c>
      <c r="AC100" s="1240">
        <f>+IFERROR(HLOOKUP(AC32,'סקרי נכסים-יתרות פתיחה'!$2:$110,6,0),0)-IFERROR(HLOOKUP(AC32,'סקרי נכסים-יתרות פתיחה'!$2:$110,91,0),0)*(1-AC$309)</f>
        <v>0</v>
      </c>
      <c r="AD100" s="1240">
        <f>+IFERROR(HLOOKUP(AD32,'סקרי נכסים-יתרות פתיחה'!$2:$110,6,0),0)-IFERROR(HLOOKUP(AD32,'סקרי נכסים-יתרות פתיחה'!$2:$110,91,0),0)*(1-AD$309)</f>
        <v>0</v>
      </c>
      <c r="AE100" s="1240">
        <f>+IFERROR(HLOOKUP(AE32,'סקרי נכסים-יתרות פתיחה'!$2:$110,6,0),0)-IFERROR(HLOOKUP(AE32,'סקרי נכסים-יתרות פתיחה'!$2:$110,91,0),0)*(1-AE$309)</f>
        <v>0</v>
      </c>
      <c r="AF100" s="1240">
        <f>+IFERROR(HLOOKUP(AF32,'סקרי נכסים-יתרות פתיחה'!$2:$110,6,0),0)-IFERROR(HLOOKUP(AF32,'סקרי נכסים-יתרות פתיחה'!$2:$110,91,0),0)*(1-AF$309)</f>
        <v>0</v>
      </c>
      <c r="AG100" s="1240">
        <f>+IFERROR(HLOOKUP(AG32,'סקרי נכסים-יתרות פתיחה'!$2:$110,6,0),0)-IFERROR(HLOOKUP(AG32,'סקרי נכסים-יתרות פתיחה'!$2:$110,91,0),0)*(1-AG$309)</f>
        <v>0</v>
      </c>
      <c r="AH100" s="1240">
        <f>+IFERROR(HLOOKUP(AH32,'סקרי נכסים-יתרות פתיחה'!$2:$110,6,0),0)-IFERROR(HLOOKUP(AH32,'סקרי נכסים-יתרות פתיחה'!$2:$110,91,0),0)*(1-AH$309)</f>
        <v>0</v>
      </c>
      <c r="AI100" s="1240">
        <f>+IFERROR(HLOOKUP(AI32,'סקרי נכסים-יתרות פתיחה'!$2:$110,6,0),0)-IFERROR(HLOOKUP(AI32,'סקרי נכסים-יתרות פתיחה'!$2:$110,91,0),0)*(1-AI$309)</f>
        <v>0</v>
      </c>
      <c r="AJ100" s="1240">
        <f>+IFERROR(HLOOKUP(AJ32,'סקרי נכסים-יתרות פתיחה'!$2:$110,6,0),0)-IFERROR(HLOOKUP(AJ32,'סקרי נכסים-יתרות פתיחה'!$2:$110,91,0),0)*(1-AJ$309)</f>
        <v>0</v>
      </c>
      <c r="AK100" s="1240">
        <f>+IFERROR(HLOOKUP(AK32,'סקרי נכסים-יתרות פתיחה'!$2:$110,6,0),0)-IFERROR(HLOOKUP(AK32,'סקרי נכסים-יתרות פתיחה'!$2:$110,91,0),0)*(1-AK$309)</f>
        <v>0</v>
      </c>
      <c r="AL100" s="1240">
        <f>+IFERROR(HLOOKUP(AL32,'סקרי נכסים-יתרות פתיחה'!$2:$110,6,0),0)-IFERROR(HLOOKUP(AL32,'סקרי נכסים-יתרות פתיחה'!$2:$110,91,0),0)*(1-AL$309)</f>
        <v>0</v>
      </c>
      <c r="AM100" s="1240">
        <f>+IFERROR(HLOOKUP(AM32,'סקרי נכסים-יתרות פתיחה'!$2:$110,6,0),0)-IFERROR(HLOOKUP(AM32,'סקרי נכסים-יתרות פתיחה'!$2:$110,91,0),0)*(1-AM$309)</f>
        <v>0</v>
      </c>
      <c r="AN100" s="1240">
        <f>+IFERROR(HLOOKUP(AN32,'סקרי נכסים-יתרות פתיחה'!$2:$110,6,0),0)-IFERROR(HLOOKUP(AN32,'סקרי נכסים-יתרות פתיחה'!$2:$110,91,0),0)*(1-AN$309)</f>
        <v>0</v>
      </c>
      <c r="AO100" s="1240">
        <f>+IFERROR(HLOOKUP(AO32,'סקרי נכסים-יתרות פתיחה'!$2:$110,6,0),0)-IFERROR(HLOOKUP(AO32,'סקרי נכסים-יתרות פתיחה'!$2:$110,91,0),0)*(1-AO$309)</f>
        <v>0</v>
      </c>
      <c r="AP100" s="1240">
        <f>+IFERROR(HLOOKUP(AP32,'סקרי נכסים-יתרות פתיחה'!$2:$110,6,0),0)-IFERROR(HLOOKUP(AP32,'סקרי נכסים-יתרות פתיחה'!$2:$110,91,0),0)*(1-AP$309)</f>
        <v>0</v>
      </c>
      <c r="AQ100" s="1240">
        <f>+IFERROR(HLOOKUP(AQ32,'סקרי נכסים-יתרות פתיחה'!$2:$110,6,0),0)-IFERROR(HLOOKUP(AQ32,'סקרי נכסים-יתרות פתיחה'!$2:$110,91,0),0)*(1-AQ$309)</f>
        <v>0</v>
      </c>
      <c r="AR100" s="1240">
        <f>+IFERROR(HLOOKUP(AR32,'סקרי נכסים-יתרות פתיחה'!$2:$110,6,0),0)-IFERROR(HLOOKUP(AR32,'סקרי נכסים-יתרות פתיחה'!$2:$110,91,0),0)*(1-AR$309)</f>
        <v>0</v>
      </c>
      <c r="AS100" s="1240">
        <f>+IFERROR(HLOOKUP(AS32,'סקרי נכסים-יתרות פתיחה'!$2:$110,6,0),0)-IFERROR(HLOOKUP(AS32,'סקרי נכסים-יתרות פתיחה'!$2:$110,91,0),0)*(1-AS$309)</f>
        <v>0</v>
      </c>
      <c r="AT100" s="1240">
        <f>+IFERROR(HLOOKUP(AT32,'סקרי נכסים-יתרות פתיחה'!$2:$110,6,0),0)-IFERROR(HLOOKUP(AT32,'סקרי נכסים-יתרות פתיחה'!$2:$110,91,0),0)*(1-AT$309)</f>
        <v>0</v>
      </c>
      <c r="AU100" s="1240">
        <f>+IFERROR(HLOOKUP(AU32,'סקרי נכסים-יתרות פתיחה'!$2:$110,6,0),0)-IFERROR(HLOOKUP(AU32,'סקרי נכסים-יתרות פתיחה'!$2:$110,91,0),0)*(1-AU$309)</f>
        <v>0</v>
      </c>
      <c r="AV100" s="1240">
        <f>+IFERROR(HLOOKUP(AV32,'סקרי נכסים-יתרות פתיחה'!$2:$110,6,0),0)-IFERROR(HLOOKUP(AV32,'סקרי נכסים-יתרות פתיחה'!$2:$110,91,0),0)*(1-AV$309)</f>
        <v>0</v>
      </c>
      <c r="AW100" s="1240">
        <f>+IFERROR(HLOOKUP(AW32,'סקרי נכסים-יתרות פתיחה'!$2:$110,6,0),0)-IFERROR(HLOOKUP(AW32,'סקרי נכסים-יתרות פתיחה'!$2:$110,91,0),0)*(1-AW$309)</f>
        <v>0</v>
      </c>
      <c r="AX100" s="1240">
        <f>+IFERROR(HLOOKUP(AX32,'סקרי נכסים-יתרות פתיחה'!$2:$110,6,0),0)-IFERROR(HLOOKUP(AX32,'סקרי נכסים-יתרות פתיחה'!$2:$110,91,0),0)*(1-AX$309)</f>
        <v>0</v>
      </c>
      <c r="AY100" s="1240">
        <f>+IFERROR(HLOOKUP(AY32,'סקרי נכסים-יתרות פתיחה'!$2:$110,6,0),0)-IFERROR(HLOOKUP(AY32,'סקרי נכסים-יתרות פתיחה'!$2:$110,91,0),0)*(1-AY$309)</f>
        <v>0</v>
      </c>
      <c r="AZ100" s="1240">
        <f>+IFERROR(HLOOKUP(AZ32,'סקרי נכסים-יתרות פתיחה'!$2:$110,6,0),0)-IFERROR(HLOOKUP(AZ32,'סקרי נכסים-יתרות פתיחה'!$2:$110,91,0),0)*(1-AZ$309)</f>
        <v>0</v>
      </c>
      <c r="BA100" s="1240">
        <f>+IFERROR(HLOOKUP(BA32,'סקרי נכסים-יתרות פתיחה'!$2:$110,6,0),0)-IFERROR(HLOOKUP(BA32,'סקרי נכסים-יתרות פתיחה'!$2:$110,91,0),0)*(1-BA$309)</f>
        <v>0</v>
      </c>
      <c r="BB100" s="1240">
        <f>+IFERROR(HLOOKUP(BB32,'סקרי נכסים-יתרות פתיחה'!$2:$110,6,0),0)-IFERROR(HLOOKUP(BB32,'סקרי נכסים-יתרות פתיחה'!$2:$110,91,0),0)*(1-BB$309)</f>
        <v>0</v>
      </c>
      <c r="BC100" s="1240">
        <f>+IFERROR(HLOOKUP(BC32,'סקרי נכסים-יתרות פתיחה'!$2:$110,6,0),0)-IFERROR(HLOOKUP(BC32,'סקרי נכסים-יתרות פתיחה'!$2:$110,91,0),0)*(1-BC$309)</f>
        <v>0</v>
      </c>
      <c r="BD100" s="1240">
        <f>+IFERROR(HLOOKUP(BD32,'סקרי נכסים-יתרות פתיחה'!$2:$110,6,0),0)-IFERROR(HLOOKUP(BD32,'סקרי נכסים-יתרות פתיחה'!$2:$110,91,0),0)*(1-BD$309)</f>
        <v>0</v>
      </c>
      <c r="BE100" s="1240">
        <f>+IFERROR(HLOOKUP(BE32,'סקרי נכסים-יתרות פתיחה'!$2:$110,6,0),0)-IFERROR(HLOOKUP(BE32,'סקרי נכסים-יתרות פתיחה'!$2:$110,91,0),0)*(1-BE$309)</f>
        <v>0</v>
      </c>
      <c r="BF100" s="1240">
        <f>+IFERROR(HLOOKUP(BF32,'סקרי נכסים-יתרות פתיחה'!$2:$110,6,0),0)-IFERROR(HLOOKUP(BF32,'סקרי נכסים-יתרות פתיחה'!$2:$110,91,0),0)*(1-BF$309)</f>
        <v>0</v>
      </c>
    </row>
    <row r="101" spans="1:62" x14ac:dyDescent="0.2">
      <c r="A101" s="1228" t="s">
        <v>1538</v>
      </c>
      <c r="C101" s="1240">
        <f>+IFERROR(HLOOKUP(C1,'השקעות בניכוי גריעות'!$1:$93,40,0)*1000,0)+HLOOKUP(C1,'השקעות 2012-2014'!$1:$124,41,0)*1000</f>
        <v>0</v>
      </c>
      <c r="D101" s="1240">
        <f>+IFERROR(HLOOKUP(D1,'השקעות בניכוי גריעות'!$1:$93,40,0)*1000,0)+HLOOKUP(D1,'השקעות 2012-2014'!$1:$124,41,0)*1000</f>
        <v>19000</v>
      </c>
      <c r="E101" s="1240">
        <f>+IFERROR(HLOOKUP(E1,'השקעות בניכוי גריעות'!$1:$93,40,0)*1000,0)+HLOOKUP(E1,'השקעות 2012-2014'!$1:$124,41,0)*1000</f>
        <v>230000</v>
      </c>
      <c r="F101" s="1240">
        <f>+IFERROR(HLOOKUP(F1,'השקעות בניכוי גריעות'!$1:$93,40,0)*1000,0)+HLOOKUP(F1,'השקעות 2012-2014'!$1:$124,41,0)*1000</f>
        <v>0</v>
      </c>
      <c r="G101" s="1240">
        <f>+IFERROR(HLOOKUP(G1,'השקעות בניכוי גריעות'!$1:$93,40,0)*1000,0)+HLOOKUP(G1,'השקעות 2012-2014'!$1:$124,41,0)*1000+3635420+403888</f>
        <v>4148308</v>
      </c>
      <c r="H101" s="1240">
        <f>+IFERROR(HLOOKUP(H1,'השקעות בניכוי גריעות'!$1:$93,40,0)*1000,0)+HLOOKUP(H1,'השקעות 2012-2014'!$1:$124,41,0)*1000</f>
        <v>4367000</v>
      </c>
      <c r="I101" s="1240">
        <f>+IFERROR(HLOOKUP(I1,'השקעות בניכוי גריעות'!$1:$93,40,0)*1000,0)+HLOOKUP(I1,'השקעות 2012-2014'!$1:$124,41,0)*1000</f>
        <v>190000</v>
      </c>
      <c r="J101" s="1240">
        <f>+IFERROR(HLOOKUP(J1,'השקעות בניכוי גריעות'!$1:$93,40,0)*1000,0)+HLOOKUP(J1,'השקעות 2012-2014'!$1:$124,41,0)*1000</f>
        <v>32000</v>
      </c>
      <c r="K101" s="1240">
        <f>+IFERROR(HLOOKUP(K1,'השקעות בניכוי גריעות'!$1:$93,40,0)*1000,0)+HLOOKUP(K1,'השקעות 2012-2014'!$1:$124,41,0)*1000</f>
        <v>1063000</v>
      </c>
      <c r="L101" s="1240">
        <f>+IFERROR(HLOOKUP(L1,'השקעות בניכוי גריעות'!$1:$93,40,0)*1000,0)+HLOOKUP(L1,'השקעות 2012-2014'!$1:$124,41,0)*1000</f>
        <v>484000</v>
      </c>
      <c r="M101" s="1240">
        <f>+IFERROR(HLOOKUP(M1,'השקעות בניכוי גריעות'!$1:$93,40,0)*1000,0)+HLOOKUP(M1,'השקעות 2012-2014'!$1:$124,41,0)*1000</f>
        <v>23222000</v>
      </c>
      <c r="N101" s="1240">
        <f>+IFERROR(HLOOKUP(N1,'השקעות בניכוי גריעות'!$1:$93,40,0)*1000,0)+HLOOKUP(N1,'השקעות 2012-2014'!$1:$124,41,0)*1000</f>
        <v>0</v>
      </c>
      <c r="O101" s="1240">
        <f>+IFERROR(HLOOKUP(O1,'השקעות בניכוי גריעות'!$1:$93,40,0)*1000,0)+HLOOKUP(O1,'השקעות 2012-2014'!$1:$124,41,0)*1000</f>
        <v>0</v>
      </c>
      <c r="P101" s="1240">
        <f>+IFERROR(HLOOKUP(P1,'השקעות בניכוי גריעות'!$1:$93,40,0)*1000,0)+HLOOKUP(P1,'השקעות 2012-2014'!$1:$124,41,0)*1000</f>
        <v>0</v>
      </c>
      <c r="Q101" s="1240">
        <f>+IFERROR(HLOOKUP(Q1,'השקעות בניכוי גריעות'!$1:$93,40,0)*1000,0)+HLOOKUP(Q1,'השקעות 2012-2014'!$1:$124,41,0)*1000</f>
        <v>1716000</v>
      </c>
      <c r="R101" s="1240">
        <f>+IFERROR(HLOOKUP(R1,'השקעות בניכוי גריעות'!$1:$93,40,0)*1000,0)+HLOOKUP(R1,'השקעות 2012-2014'!$1:$124,41,0)*1000</f>
        <v>702213</v>
      </c>
      <c r="S101" s="1240">
        <f>+IFERROR(HLOOKUP(S1,'השקעות בניכוי גריעות'!$1:$93,40,0)*1000,0)+HLOOKUP(S1,'השקעות 2012-2014'!$1:$124,41,0)*1000</f>
        <v>513000</v>
      </c>
      <c r="T101" s="1240">
        <f>+IFERROR(HLOOKUP(T1,'השקעות בניכוי גריעות'!$1:$93,40,0)*1000,0)+HLOOKUP(T1,'השקעות 2012-2014'!$1:$124,41,0)*1000</f>
        <v>1183490.6000000001</v>
      </c>
      <c r="U101" s="1240">
        <f>+IFERROR(HLOOKUP(U1,'השקעות בניכוי גריעות'!$1:$93,40,0)*1000,0)+HLOOKUP(U1,'השקעות 2012-2014'!$1:$124,41,0)*1000</f>
        <v>348000</v>
      </c>
      <c r="V101" s="1240">
        <f>+IFERROR(HLOOKUP(V1,'השקעות בניכוי גריעות'!$1:$93,40,0)*1000,0)+HLOOKUP(V1,'השקעות 2012-2014'!$1:$124,41,0)*1000</f>
        <v>527000</v>
      </c>
      <c r="W101" s="1240">
        <f>+IFERROR(HLOOKUP(W1,'השקעות בניכוי גריעות'!$1:$93,40,0)*1000,0)+HLOOKUP(W1,'השקעות 2012-2014'!$1:$124,41,0)*1000</f>
        <v>544000</v>
      </c>
      <c r="X101" s="1240">
        <f>+IFERROR(HLOOKUP(X1,'השקעות בניכוי גריעות'!$1:$93,40,0)*1000,0)+HLOOKUP(X1,'השקעות 2012-2014'!$1:$124,41,0)*1000</f>
        <v>1532000</v>
      </c>
      <c r="Y101" s="1240">
        <f>+IFERROR(HLOOKUP(Y1,'השקעות בניכוי גריעות'!$1:$93,40,0)*1000,0)+HLOOKUP(Y1,'השקעות 2012-2014'!$1:$124,41,0)*1000</f>
        <v>0</v>
      </c>
      <c r="Z101" s="1240">
        <f>+IFERROR(HLOOKUP(Z1,'השקעות בניכוי גריעות'!$1:$93,40,0)*1000,0)+HLOOKUP(Z1,'השקעות 2012-2014'!$1:$124,41,0)*1000</f>
        <v>70000</v>
      </c>
      <c r="AA101" s="1240">
        <f>+IFERROR(HLOOKUP(AA1,'השקעות בניכוי גריעות'!$1:$93,40,0)*1000,0)+HLOOKUP(AA1,'השקעות 2012-2014'!$1:$124,41,0)*1000</f>
        <v>59000</v>
      </c>
      <c r="AB101" s="1240">
        <f>+IFERROR(HLOOKUP(AB1,'השקעות בניכוי גריעות'!$1:$93,40,0)*1000,0)+HLOOKUP(AB1,'השקעות 2012-2014'!$1:$124,41,0)*1000</f>
        <v>0</v>
      </c>
      <c r="AC101" s="1240">
        <f>+IFERROR(HLOOKUP(AC1,'השקעות בניכוי גריעות'!$1:$93,40,0)*1000,0)+HLOOKUP(AC1,'השקעות 2012-2014'!$1:$124,41,0)*1000</f>
        <v>398874</v>
      </c>
      <c r="AD101" s="1240">
        <f>+IFERROR(HLOOKUP(AD1,'השקעות בניכוי גריעות'!$1:$93,40,0)*1000,0)+HLOOKUP(AD1,'השקעות 2012-2014'!$1:$124,41,0)*1000</f>
        <v>11325000</v>
      </c>
      <c r="AE101" s="1240">
        <f>+IFERROR(HLOOKUP(AE1,'השקעות בניכוי גריעות'!$1:$93,40,0)*1000,0)+HLOOKUP(AE1,'השקעות 2012-2014'!$1:$124,41,0)*1000</f>
        <v>21564000</v>
      </c>
      <c r="AF101" s="1240">
        <f>+IFERROR(HLOOKUP(AF1,'השקעות בניכוי גריעות'!$1:$93,40,0)*1000,0)+HLOOKUP(AF1,'השקעות 2012-2014'!$1:$124,41,0)*1000</f>
        <v>0</v>
      </c>
      <c r="AG101" s="1240">
        <f>+IFERROR(HLOOKUP(AG1,'השקעות בניכוי גריעות'!$1:$93,40,0)*1000,0)+HLOOKUP(AG1,'השקעות 2012-2014'!$1:$124,41,0)*1000</f>
        <v>0</v>
      </c>
      <c r="AH101" s="1240">
        <f>+IFERROR(HLOOKUP(AH1,'השקעות בניכוי גריעות'!$1:$93,40,0)*1000,0)+HLOOKUP(AH1,'השקעות 2012-2014'!$1:$124,41,0)*1000</f>
        <v>0</v>
      </c>
      <c r="AI101" s="1240">
        <f>+IFERROR(HLOOKUP(AI1,'השקעות בניכוי גריעות'!$1:$93,40,0)*1000,0)+HLOOKUP(AI1,'השקעות 2012-2014'!$1:$124,41,0)*1000+3074585</f>
        <v>6949585</v>
      </c>
      <c r="AJ101" s="1240">
        <f>+IFERROR(HLOOKUP(AJ1,'השקעות בניכוי גריעות'!$1:$93,40,0)*1000,0)+HLOOKUP(AJ1,'השקעות 2012-2014'!$1:$124,41,0)*1000</f>
        <v>0</v>
      </c>
      <c r="AK101" s="1240">
        <f>+IFERROR(HLOOKUP(AK1,'השקעות בניכוי גריעות'!$1:$93,40,0)*1000,0)+HLOOKUP(AK1,'השקעות 2012-2014'!$1:$124,41,0)*1000</f>
        <v>0</v>
      </c>
      <c r="AL101" s="1240">
        <f>+IFERROR(HLOOKUP(AL1,'השקעות בניכוי גריעות'!$1:$93,40,0)*1000,0)+HLOOKUP(AL1,'השקעות 2012-2014'!$1:$124,41,0)*1000</f>
        <v>0</v>
      </c>
      <c r="AM101" s="1240">
        <f>+IFERROR(HLOOKUP(AM1,'השקעות בניכוי גריעות'!$1:$93,40,0)*1000,0)+HLOOKUP(AM1,'השקעות 2012-2014'!$1:$124,41,0)*1000</f>
        <v>4481000</v>
      </c>
      <c r="AN101" s="1240">
        <f>+IFERROR(HLOOKUP(AN1,'השקעות בניכוי גריעות'!$1:$93,40,0)*1000,0)+HLOOKUP(AN1,'השקעות 2012-2014'!$1:$124,41,0)*1000</f>
        <v>0</v>
      </c>
      <c r="AO101" s="1240">
        <f>+IFERROR(HLOOKUP(AO1,'השקעות בניכוי גריעות'!$1:$93,40,0)*1000,0)+HLOOKUP(AO1,'השקעות 2012-2014'!$1:$124,41,0)*1000</f>
        <v>776000</v>
      </c>
      <c r="AP101" s="1240">
        <f>+IFERROR(HLOOKUP(AP1,'השקעות בניכוי גריעות'!$1:$93,40,0)*1000,0)+HLOOKUP(AP1,'השקעות 2012-2014'!$1:$124,41,0)*1000</f>
        <v>0</v>
      </c>
      <c r="AQ101" s="1240">
        <f>+IFERROR(HLOOKUP(AQ1,'השקעות בניכוי גריעות'!$1:$93,40,0)*1000,0)+HLOOKUP(AQ1,'השקעות 2012-2014'!$1:$124,41,0)*1000</f>
        <v>2590000</v>
      </c>
      <c r="AR101" s="1240">
        <f>+IFERROR(HLOOKUP(AR1,'השקעות בניכוי גריעות'!$1:$93,40,0)*1000,0)+HLOOKUP(AR1,'השקעות 2012-2014'!$1:$124,41,0)*1000</f>
        <v>130000</v>
      </c>
      <c r="AS101" s="1240">
        <f>+IFERROR(HLOOKUP(AS1,'השקעות בניכוי גריעות'!$1:$93,40,0)*1000,0)+HLOOKUP(AS1,'השקעות 2012-2014'!$1:$124,41,0)*1000</f>
        <v>47065000</v>
      </c>
      <c r="AT101" s="1240">
        <f>+IFERROR(HLOOKUP(AT1,'השקעות בניכוי גריעות'!$1:$93,40,0)*1000,0)+HLOOKUP(AT1,'השקעות 2012-2014'!$1:$124,41,0)*1000</f>
        <v>0</v>
      </c>
      <c r="AU101" s="1240">
        <f>+IFERROR(HLOOKUP(AU1,'השקעות בניכוי גריעות'!$1:$93,40,0)*1000,0)+HLOOKUP(AU1,'השקעות 2012-2014'!$1:$124,41,0)*1000</f>
        <v>0</v>
      </c>
      <c r="AV101" s="1240">
        <f>+IFERROR(HLOOKUP(AV1,'השקעות בניכוי גריעות'!$1:$93,40,0)*1000,0)+HLOOKUP(AV1,'השקעות 2012-2014'!$1:$124,41,0)*1000</f>
        <v>50000</v>
      </c>
      <c r="AW101" s="1240">
        <f>+IFERROR(HLOOKUP(AW1,'השקעות בניכוי גריעות'!$1:$93,40,0)*1000,0)+HLOOKUP(AW1,'השקעות 2012-2014'!$1:$124,41,0)*1000</f>
        <v>88000</v>
      </c>
      <c r="AX101" s="1240">
        <f>+IFERROR(HLOOKUP(AX1,'השקעות בניכוי גריעות'!$1:$93,40,0)*1000,0)+HLOOKUP(AX1,'השקעות 2012-2014'!$1:$124,41,0)*1000</f>
        <v>0</v>
      </c>
      <c r="AY101" s="1240">
        <f>+IFERROR(HLOOKUP(AY1,'השקעות בניכוי גריעות'!$1:$93,40,0)*1000,0)+HLOOKUP(AY1,'השקעות 2012-2014'!$1:$124,41,0)*1000</f>
        <v>0</v>
      </c>
      <c r="AZ101" s="1240">
        <f>+IFERROR(HLOOKUP(AZ1,'השקעות בניכוי גריעות'!$1:$93,40,0)*1000,0)+HLOOKUP(AZ1,'השקעות 2012-2014'!$1:$124,41,0)*1000</f>
        <v>419000</v>
      </c>
      <c r="BA101" s="1240">
        <f>+IFERROR(HLOOKUP(BA1,'השקעות בניכוי גריעות'!$1:$93,40,0)*1000,0)+HLOOKUP(BA1,'השקעות 2012-2014'!$1:$124,41,0)*1000</f>
        <v>0</v>
      </c>
      <c r="BB101" s="1240">
        <f>+IFERROR(HLOOKUP(BB1,'השקעות בניכוי גריעות'!$1:$93,40,0)*1000,0)+HLOOKUP(BB1,'השקעות 2012-2014'!$1:$124,41,0)*1000</f>
        <v>1082000</v>
      </c>
      <c r="BC101" s="1240">
        <f>+IFERROR(HLOOKUP(BC1,'השקעות בניכוי גריעות'!$1:$93,40,0)*1000,0)+HLOOKUP(BC1,'השקעות 2012-2014'!$1:$124,41,0)*1000</f>
        <v>0</v>
      </c>
      <c r="BD101" s="1240">
        <f>+IFERROR(HLOOKUP(BD1,'השקעות בניכוי גריעות'!$1:$93,40,0)*1000,0)+HLOOKUP(BD1,'השקעות 2012-2014'!$1:$124,41,0)*1000</f>
        <v>339500</v>
      </c>
      <c r="BE101" s="1240">
        <f>+IFERROR(HLOOKUP(BE1,'השקעות בניכוי גריעות'!$1:$93,40,0)*1000,0)+HLOOKUP(BE1,'השקעות 2012-2014'!$1:$124,41,0)*1000</f>
        <v>0</v>
      </c>
      <c r="BF101" s="1240">
        <f>+IFERROR(HLOOKUP(BF1,'השקעות בניכוי גריעות'!$1:$93,40,0)*1000,0)+HLOOKUP(BF1,'השקעות 2012-2014'!$1:$124,41,0)*1000</f>
        <v>0</v>
      </c>
      <c r="BH101" s="50">
        <f>SUM(C101:BG101)</f>
        <v>138207970.59999999</v>
      </c>
      <c r="BJ101" s="1">
        <v>47150077.600000001</v>
      </c>
    </row>
    <row r="102" spans="1:62" x14ac:dyDescent="0.2">
      <c r="C102" s="1240"/>
      <c r="D102" s="1240"/>
      <c r="E102" s="1240"/>
      <c r="F102" s="1240"/>
      <c r="G102" s="1240"/>
      <c r="H102" s="1240"/>
      <c r="I102" s="1240"/>
      <c r="J102" s="1240"/>
      <c r="K102" s="1240"/>
      <c r="L102" s="1240"/>
      <c r="M102" s="1240"/>
      <c r="N102" s="1240"/>
      <c r="O102" s="1240"/>
      <c r="P102" s="1240"/>
      <c r="Q102" s="1240"/>
      <c r="R102" s="1240"/>
      <c r="S102" s="1240"/>
      <c r="T102" s="1240"/>
      <c r="U102" s="1240"/>
      <c r="V102" s="1240"/>
      <c r="W102" s="1240"/>
      <c r="X102" s="1240"/>
      <c r="Y102" s="1240"/>
      <c r="Z102" s="1240"/>
      <c r="AA102" s="1240"/>
      <c r="AB102" s="1240"/>
      <c r="AC102" s="1240"/>
      <c r="AD102" s="1240"/>
      <c r="AE102" s="1240"/>
      <c r="AF102" s="1240"/>
      <c r="AG102" s="1240"/>
      <c r="AH102" s="1240"/>
      <c r="AI102" s="1240"/>
      <c r="AJ102" s="1240"/>
      <c r="AK102" s="1240"/>
      <c r="AL102" s="1240"/>
      <c r="AM102" s="1240"/>
      <c r="AN102" s="1240"/>
      <c r="AO102" s="1240"/>
      <c r="AP102" s="1240"/>
      <c r="AQ102" s="1240"/>
      <c r="AR102" s="1240"/>
      <c r="AS102" s="1240"/>
      <c r="AT102" s="1240"/>
      <c r="AU102" s="1240"/>
      <c r="AV102" s="1240"/>
      <c r="AW102" s="1240"/>
      <c r="AX102" s="1240"/>
      <c r="AY102" s="1240"/>
      <c r="AZ102" s="1240"/>
      <c r="BA102" s="1240"/>
      <c r="BB102" s="1240"/>
      <c r="BC102" s="1240"/>
      <c r="BD102" s="1240"/>
      <c r="BE102" s="1240"/>
      <c r="BF102" s="1240"/>
      <c r="BH102" s="50"/>
    </row>
    <row r="103" spans="1:62" x14ac:dyDescent="0.2">
      <c r="A103" s="1" t="s">
        <v>164</v>
      </c>
      <c r="C103" s="1246">
        <f>SUM(C72:C101)/1000</f>
        <v>21545.586009523809</v>
      </c>
      <c r="D103" s="1246">
        <f t="shared" ref="D103:BE103" si="3">SUM(D72:D101)/1000</f>
        <v>1687.24</v>
      </c>
      <c r="E103" s="1246">
        <f t="shared" si="3"/>
        <v>5624.2857142857147</v>
      </c>
      <c r="F103" s="1246">
        <f t="shared" si="3"/>
        <v>3288.6857142857148</v>
      </c>
      <c r="G103" s="1246">
        <f t="shared" si="3"/>
        <v>9239.0508571428581</v>
      </c>
      <c r="H103" s="1246">
        <f t="shared" si="3"/>
        <v>24383.679390476191</v>
      </c>
      <c r="I103" s="1246">
        <f t="shared" si="3"/>
        <v>29686.32</v>
      </c>
      <c r="J103" s="1246">
        <f t="shared" si="3"/>
        <v>1608.32</v>
      </c>
      <c r="K103" s="1246">
        <f t="shared" si="3"/>
        <v>8744.0395428571446</v>
      </c>
      <c r="L103" s="1246">
        <f t="shared" si="3"/>
        <v>23321.028571428571</v>
      </c>
      <c r="M103" s="1246">
        <f t="shared" si="3"/>
        <v>31654.457142857143</v>
      </c>
      <c r="N103" s="1246">
        <f t="shared" si="3"/>
        <v>14200.385523809524</v>
      </c>
      <c r="O103" s="1246">
        <f t="shared" si="3"/>
        <v>2786.3771428571431</v>
      </c>
      <c r="P103" s="1246">
        <f t="shared" si="3"/>
        <v>2479.5</v>
      </c>
      <c r="Q103" s="1246">
        <f t="shared" si="3"/>
        <v>5078.7867428571435</v>
      </c>
      <c r="R103" s="1246">
        <f t="shared" si="3"/>
        <v>3157.9679714285712</v>
      </c>
      <c r="S103" s="1246">
        <f t="shared" si="3"/>
        <v>1645.143</v>
      </c>
      <c r="T103" s="1246">
        <f t="shared" si="3"/>
        <v>15482.536599999999</v>
      </c>
      <c r="U103" s="1246">
        <f t="shared" si="3"/>
        <v>5868.9142857142851</v>
      </c>
      <c r="V103" s="1246">
        <f t="shared" si="3"/>
        <v>3289.4870000000001</v>
      </c>
      <c r="W103" s="1246">
        <f t="shared" si="3"/>
        <v>6858.6270000000004</v>
      </c>
      <c r="X103" s="1246">
        <f t="shared" si="3"/>
        <v>3616</v>
      </c>
      <c r="Y103" s="1246">
        <f t="shared" si="3"/>
        <v>272.82285714285717</v>
      </c>
      <c r="Z103" s="1246">
        <f t="shared" si="3"/>
        <v>2081.4285714285716</v>
      </c>
      <c r="AA103" s="1246">
        <f t="shared" si="3"/>
        <v>7564.7642904761906</v>
      </c>
      <c r="AB103" s="1246">
        <f t="shared" si="3"/>
        <v>0</v>
      </c>
      <c r="AC103" s="1246">
        <f t="shared" si="3"/>
        <v>6001.5406666666668</v>
      </c>
      <c r="AD103" s="1246">
        <f t="shared" si="3"/>
        <v>14616.428571428571</v>
      </c>
      <c r="AE103" s="1246">
        <f t="shared" si="3"/>
        <v>66524.701485714293</v>
      </c>
      <c r="AF103" s="1246">
        <f t="shared" si="3"/>
        <v>3810.4487619047623</v>
      </c>
      <c r="AG103" s="1246">
        <f t="shared" si="3"/>
        <v>0</v>
      </c>
      <c r="AH103" s="1246">
        <f t="shared" si="3"/>
        <v>880</v>
      </c>
      <c r="AI103" s="1246">
        <f t="shared" si="3"/>
        <v>8138.1564285714294</v>
      </c>
      <c r="AJ103" s="1246">
        <f t="shared" si="3"/>
        <v>0</v>
      </c>
      <c r="AK103" s="1246">
        <f t="shared" si="3"/>
        <v>0</v>
      </c>
      <c r="AL103" s="1246">
        <f t="shared" si="3"/>
        <v>6269.7023333333327</v>
      </c>
      <c r="AM103" s="1246">
        <f t="shared" si="3"/>
        <v>8814.9091476190479</v>
      </c>
      <c r="AN103" s="1246">
        <f t="shared" si="3"/>
        <v>410</v>
      </c>
      <c r="AO103" s="1246">
        <f t="shared" si="3"/>
        <v>8716.7661714285732</v>
      </c>
      <c r="AP103" s="1246">
        <f t="shared" si="3"/>
        <v>2455.7142857142858</v>
      </c>
      <c r="AQ103" s="1246">
        <f t="shared" si="3"/>
        <v>2955.7142857142858</v>
      </c>
      <c r="AR103" s="1246">
        <f t="shared" si="3"/>
        <v>5559.1904761904761</v>
      </c>
      <c r="AS103" s="1246">
        <f t="shared" si="3"/>
        <v>53577.786999999997</v>
      </c>
      <c r="AT103" s="1246">
        <f t="shared" si="3"/>
        <v>1786.5958095238095</v>
      </c>
      <c r="AU103" s="1246">
        <f t="shared" si="3"/>
        <v>5411.666666666667</v>
      </c>
      <c r="AV103" s="1246">
        <f t="shared" si="3"/>
        <v>941.37971904761901</v>
      </c>
      <c r="AW103" s="1246">
        <f t="shared" si="3"/>
        <v>360.85714285714283</v>
      </c>
      <c r="AX103" s="1246">
        <f t="shared" si="3"/>
        <v>1322.105</v>
      </c>
      <c r="AY103" s="1246">
        <f t="shared" si="3"/>
        <v>0</v>
      </c>
      <c r="AZ103" s="1246">
        <f t="shared" si="3"/>
        <v>5679.9285714285706</v>
      </c>
      <c r="BA103" s="1246">
        <f t="shared" si="3"/>
        <v>1263.7142095238096</v>
      </c>
      <c r="BB103" s="1246">
        <f t="shared" si="3"/>
        <v>4425.0119999999997</v>
      </c>
      <c r="BC103" s="1246">
        <f t="shared" si="3"/>
        <v>660</v>
      </c>
      <c r="BD103" s="1246">
        <f t="shared" si="3"/>
        <v>529.5</v>
      </c>
      <c r="BE103" s="1246">
        <f t="shared" si="3"/>
        <v>2828.5714285714284</v>
      </c>
      <c r="BF103" s="1246">
        <f t="shared" ref="BF103" si="4">SUM(BF72:BF101)/1000</f>
        <v>3771.8339999999998</v>
      </c>
      <c r="BH103" s="50">
        <f>SUM(C103:BG103)</f>
        <v>452877.65809047618</v>
      </c>
      <c r="BJ103" s="1">
        <v>381897.6226</v>
      </c>
    </row>
    <row r="104" spans="1:62" x14ac:dyDescent="0.2">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row>
    <row r="105" spans="1:62" x14ac:dyDescent="0.2">
      <c r="A105" s="1228" t="s">
        <v>156</v>
      </c>
      <c r="B105" s="1">
        <v>1</v>
      </c>
      <c r="C105" s="1240">
        <f>+IFERROR(HLOOKUP(C4,'סקרי נכסים-יתרות פתיחה'!$2:$110,8,0),0)-IFERROR(HLOOKUP(C4,'סקרי נכסים-יתרות פתיחה'!$2:$110,92,0),0)*(1-C$309)</f>
        <v>18495221.942857143</v>
      </c>
      <c r="D105" s="1240">
        <f>+IFERROR(HLOOKUP(D4,'סקרי נכסים-יתרות פתיחה'!$2:$110,8,0),0)-IFERROR(HLOOKUP(D4,'סקרי נכסים-יתרות פתיחה'!$2:$110,92,0),0)*(1-D$309)</f>
        <v>5800000</v>
      </c>
      <c r="E105" s="1240">
        <f>+IFERROR(HLOOKUP(E4,'סקרי נכסים-יתרות פתיחה'!$2:$110,8,0),0)-IFERROR(HLOOKUP(E4,'סקרי נכסים-יתרות פתיחה'!$2:$110,92,0),0)*(1-E$309)</f>
        <v>18285714.285714287</v>
      </c>
      <c r="F105" s="1240">
        <f>+IFERROR(HLOOKUP(F4,'סקרי נכסים-יתרות פתיחה'!$2:$110,8,0),0)-IFERROR(HLOOKUP(F4,'סקרי נכסים-יתרות פתיחה'!$2:$110,92,0),0)*(1-F$309)</f>
        <v>5440000</v>
      </c>
      <c r="G105" s="1240">
        <f>+IFERROR(HLOOKUP(G4,'סקרי נכסים-יתרות פתיחה'!$2:$110,8,0),0)-IFERROR(HLOOKUP(G4,'סקרי נכסים-יתרות פתיחה'!$2:$110,92,0),0)*(1-G$309)</f>
        <v>5851428.5714285718</v>
      </c>
      <c r="H105" s="1240">
        <f>+IFERROR(HLOOKUP(H4,'סקרי נכסים-יתרות פתיחה'!$2:$110,8,0),0)-IFERROR(HLOOKUP(H4,'סקרי נכסים-יתרות פתיחה'!$2:$110,92,0),0)*(1-H$309)</f>
        <v>176385090.74285716</v>
      </c>
      <c r="I105" s="1240">
        <f>+IFERROR(HLOOKUP(I4,'סקרי נכסים-יתרות פתיחה'!$2:$110,8,0),0)-IFERROR(HLOOKUP(I4,'סקרי נכסים-יתרות פתיחה'!$2:$110,92,0),0)*(1-I$309)</f>
        <v>51928685.714285716</v>
      </c>
      <c r="J105" s="1240">
        <f>+IFERROR(HLOOKUP(J4,'סקרי נכסים-יתרות פתיחה'!$2:$110,8,0),0)-IFERROR(HLOOKUP(J4,'סקרי נכסים-יתרות פתיחה'!$2:$110,92,0),0)*(1-J$309)</f>
        <v>11327085.714285715</v>
      </c>
      <c r="K105" s="1240">
        <f>+IFERROR(HLOOKUP(K4,'סקרי נכסים-יתרות פתיחה'!$2:$110,8,0),0)-IFERROR(HLOOKUP(K4,'סקרי נכסים-יתרות פתיחה'!$2:$110,92,0),0)*(1-K$309)</f>
        <v>10057142.857142856</v>
      </c>
      <c r="L105" s="1240">
        <f>+IFERROR(HLOOKUP(L4,'סקרי נכסים-יתרות פתיחה'!$2:$110,8,0),0)-IFERROR(HLOOKUP(L4,'סקרי נכסים-יתרות פתיחה'!$2:$110,92,0),0)*(1-L$309)</f>
        <v>15029028.571428571</v>
      </c>
      <c r="M105" s="1240">
        <f>+IFERROR(HLOOKUP(M4,'סקרי נכסים-יתרות פתיחה'!$2:$110,8,0),0)-IFERROR(HLOOKUP(M4,'סקרי נכסים-יתרות פתיחה'!$2:$110,92,0),0)*(1-M$309)</f>
        <v>12460800</v>
      </c>
      <c r="N105" s="1240">
        <f>+IFERROR(HLOOKUP(N4,'סקרי נכסים-יתרות פתיחה'!$2:$110,8,0),0)-IFERROR(HLOOKUP(N4,'סקרי נכסים-יתרות פתיחה'!$2:$110,92,0),0)*(1-N$309)</f>
        <v>24914285.714285713</v>
      </c>
      <c r="O105" s="1240">
        <f>+IFERROR(HLOOKUP(O4,'סקרי נכסים-יתרות פתיחה'!$2:$110,8,0),0)-IFERROR(HLOOKUP(O4,'סקרי נכסים-יתרות פתיחה'!$2:$110,92,0),0)*(1-O$309)</f>
        <v>0</v>
      </c>
      <c r="P105" s="1240">
        <f>+IFERROR(HLOOKUP(P4,'סקרי נכסים-יתרות פתיחה'!$2:$110,8,0),0)-IFERROR(HLOOKUP(P4,'סקרי נכסים-יתרות פתיחה'!$2:$110,92,0),0)*(1-P$309)</f>
        <v>5000000</v>
      </c>
      <c r="Q105" s="1240">
        <f>+IFERROR(HLOOKUP(Q4,'סקרי נכסים-יתרות פתיחה'!$2:$110,8,0),0)-IFERROR(HLOOKUP(Q4,'סקרי נכסים-יתרות פתיחה'!$2:$110,92,0),0)*(1-Q$309)</f>
        <v>6902857.1428571427</v>
      </c>
      <c r="R105" s="1240">
        <f>+IFERROR(HLOOKUP(R4,'סקרי נכסים-יתרות פתיחה'!$2:$110,8,0),0)-IFERROR(HLOOKUP(R4,'סקרי נכסים-יתרות פתיחה'!$2:$110,92,0),0)*(1-R$309)</f>
        <v>4433015.7714285711</v>
      </c>
      <c r="S105" s="1240">
        <f>+IFERROR(HLOOKUP(S4,'סקרי נכסים-יתרות פתיחה'!$2:$110,8,0),0)-IFERROR(HLOOKUP(S4,'סקרי נכסים-יתרות פתיחה'!$2:$110,92,0),0)*(1-S$309)</f>
        <v>2200000</v>
      </c>
      <c r="T105" s="1240">
        <f>+IFERROR(HLOOKUP(T4,'סקרי נכסים-יתרות פתיחה'!$2:$110,8,0),0)-IFERROR(HLOOKUP(T4,'סקרי נכסים-יתרות פתיחה'!$2:$110,92,0),0)*(1-T$309)</f>
        <v>3300000</v>
      </c>
      <c r="U105" s="1240">
        <f>+IFERROR(HLOOKUP(U4,'סקרי נכסים-יתרות פתיחה'!$2:$110,8,0),0)-IFERROR(HLOOKUP(U4,'סקרי נכסים-יתרות פתיחה'!$2:$110,92,0),0)*(1-U$309)</f>
        <v>7195957.0285714287</v>
      </c>
      <c r="V105" s="1240">
        <f>+IFERROR(HLOOKUP(V4,'סקרי נכסים-יתרות פתיחה'!$2:$110,8,0),0)-IFERROR(HLOOKUP(V4,'סקרי נכסים-יתרות פתיחה'!$2:$110,92,0),0)*(1-V$309)</f>
        <v>488100</v>
      </c>
      <c r="W105" s="1240">
        <f>+IFERROR(HLOOKUP(W4,'סקרי נכסים-יתרות פתיחה'!$2:$110,8,0),0)-IFERROR(HLOOKUP(W4,'סקרי נכסים-יתרות פתיחה'!$2:$110,92,0),0)*(1-W$309)</f>
        <v>4600000</v>
      </c>
      <c r="X105" s="1240">
        <f>+IFERROR(HLOOKUP(X4,'סקרי נכסים-יתרות פתיחה'!$2:$110,8,0),0)-IFERROR(HLOOKUP(X4,'סקרי נכסים-יתרות פתיחה'!$2:$110,92,0),0)*(1-X$309)</f>
        <v>4950000</v>
      </c>
      <c r="Y105" s="1240">
        <f>+IFERROR(HLOOKUP(Y4,'סקרי נכסים-יתרות פתיחה'!$2:$110,8,0),0)-IFERROR(HLOOKUP(Y4,'סקרי נכסים-יתרות פתיחה'!$2:$110,92,0),0)*(1-Y$309)</f>
        <v>5120000</v>
      </c>
      <c r="Z105" s="1240">
        <f>+IFERROR(HLOOKUP(Z4,'סקרי נכסים-יתרות פתיחה'!$2:$110,8,0),0)-IFERROR(HLOOKUP(Z4,'סקרי נכסים-יתרות פתיחה'!$2:$110,92,0),0)*(1-Z$309)</f>
        <v>4388571.4285714282</v>
      </c>
      <c r="AA105" s="1240">
        <f>+IFERROR(HLOOKUP(AA4,'סקרי נכסים-יתרות פתיחה'!$2:$110,8,0),0)-IFERROR(HLOOKUP(AA4,'סקרי נכסים-יתרות פתיחה'!$2:$110,92,0),0)*(1-AA$309)</f>
        <v>26003285.714285716</v>
      </c>
      <c r="AB105" s="1240">
        <f>+IFERROR(HLOOKUP(AB4,'סקרי נכסים-יתרות פתיחה'!$2:$110,8,0),0)-IFERROR(HLOOKUP(AB4,'סקרי נכסים-יתרות פתיחה'!$2:$110,92,0),0)*(1-AB$309)</f>
        <v>7314285.7142857146</v>
      </c>
      <c r="AC105" s="1240">
        <f>+IFERROR(HLOOKUP(AC4,'סקרי נכסים-יתרות פתיחה'!$2:$110,8,0),0)-IFERROR(HLOOKUP(AC4,'סקרי נכסים-יתרות פתיחה'!$2:$110,92,0),0)*(1-AC$309)</f>
        <v>20800809.523809522</v>
      </c>
      <c r="AD105" s="1240">
        <f>+IFERROR(HLOOKUP(AD4,'סקרי נכסים-יתרות פתיחה'!$2:$110,8,0),0)-IFERROR(HLOOKUP(AD4,'סקרי נכסים-יתרות פתיחה'!$2:$110,92,0),0)*(1-AD$309)</f>
        <v>12434285.714285715</v>
      </c>
      <c r="AE105" s="1240">
        <f>+IFERROR(HLOOKUP(AE4,'סקרי נכסים-יתרות פתיחה'!$2:$110,8,0),0)-IFERROR(HLOOKUP(AE4,'סקרי נכסים-יתרות פתיחה'!$2:$110,92,0),0)*(1-AE$309)</f>
        <v>66518023.809523806</v>
      </c>
      <c r="AF105" s="1240">
        <f>+IFERROR(HLOOKUP(AF4,'סקרי נכסים-יתרות פתיחה'!$2:$110,8,0),0)-IFERROR(HLOOKUP(AF4,'סקרי נכסים-יתרות פתיחה'!$2:$110,92,0),0)*(1-AF$309)</f>
        <v>0</v>
      </c>
      <c r="AG105" s="1240">
        <f>+IFERROR(HLOOKUP(AG4,'סקרי נכסים-יתרות פתיחה'!$2:$110,8,0),0)-IFERROR(HLOOKUP(AG4,'סקרי נכסים-יתרות פתיחה'!$2:$110,92,0),0)*(1-AG$309)</f>
        <v>6742336.3809523806</v>
      </c>
      <c r="AH105" s="1240">
        <f>+IFERROR(HLOOKUP(AH4,'סקרי נכסים-יתרות פתיחה'!$2:$110,8,0),0)-IFERROR(HLOOKUP(AH4,'סקרי נכסים-יתרות פתיחה'!$2:$110,92,0),0)*(1-AH$309)</f>
        <v>5100000</v>
      </c>
      <c r="AI105" s="1240">
        <f>+IFERROR(HLOOKUP(AI4,'סקרי נכסים-יתרות פתיחה'!$2:$110,8,0),0)-IFERROR(HLOOKUP(AI4,'סקרי נכסים-יתרות פתיחה'!$2:$110,92,0),0)*(1-AI$309)</f>
        <v>8502857.1428571437</v>
      </c>
      <c r="AJ105" s="1240">
        <f>+IFERROR(HLOOKUP(AJ4,'סקרי נכסים-יתרות פתיחה'!$2:$110,8,0),0)-IFERROR(HLOOKUP(AJ4,'סקרי נכסים-יתרות פתיחה'!$2:$110,92,0),0)*(1-AJ$309)</f>
        <v>0</v>
      </c>
      <c r="AK105" s="1240">
        <f>+IFERROR(HLOOKUP(AK4,'סקרי נכסים-יתרות פתיחה'!$2:$110,8,0),0)-IFERROR(HLOOKUP(AK4,'סקרי נכסים-יתרות פתיחה'!$2:$110,92,0),0)*(1-AK$309)</f>
        <v>0</v>
      </c>
      <c r="AL105" s="1240">
        <f>+IFERROR(HLOOKUP(AL4,'סקרי נכסים-יתרות פתיחה'!$2:$110,8,0),0)-IFERROR(HLOOKUP(AL4,'סקרי נכסים-יתרות פתיחה'!$2:$110,92,0),0)*(1-AL$309)</f>
        <v>20165870.952380951</v>
      </c>
      <c r="AM105" s="1240">
        <f>+IFERROR(HLOOKUP(AM4,'סקרי נכסים-יתרות פתיחה'!$2:$110,8,0),0)-IFERROR(HLOOKUP(AM4,'סקרי נכסים-יתרות פתיחה'!$2:$110,92,0),0)*(1-AM$309)</f>
        <v>2455714.2857142859</v>
      </c>
      <c r="AN105" s="1240">
        <f>+IFERROR(HLOOKUP(AN4,'סקרי נכסים-יתרות פתיחה'!$2:$110,8,0),0)-IFERROR(HLOOKUP(AN4,'סקרי נכסים-יתרות פתיחה'!$2:$110,92,0),0)*(1-AN$309)</f>
        <v>1000000</v>
      </c>
      <c r="AO105" s="1240">
        <f>+IFERROR(HLOOKUP(AO4,'סקרי נכסים-יתרות פתיחה'!$2:$110,8,0),0)-IFERROR(HLOOKUP(AO4,'סקרי נכסים-יתרות פתיחה'!$2:$110,92,0),0)*(1-AO$309)</f>
        <v>11108571.428571429</v>
      </c>
      <c r="AP105" s="1240">
        <f>+IFERROR(HLOOKUP(AP4,'סקרי נכסים-יתרות פתיחה'!$2:$110,8,0),0)-IFERROR(HLOOKUP(AP4,'סקרי נכסים-יתרות פתיחה'!$2:$110,92,0),0)*(1-AP$309)</f>
        <v>2910476.1904761903</v>
      </c>
      <c r="AQ105" s="1240">
        <f>+IFERROR(HLOOKUP(AQ4,'סקרי נכסים-יתרות פתיחה'!$2:$110,8,0),0)-IFERROR(HLOOKUP(AQ4,'סקרי נכסים-יתרות פתיחה'!$2:$110,92,0),0)*(1-AQ$309)</f>
        <v>6400000</v>
      </c>
      <c r="AR105" s="1240">
        <f>+IFERROR(HLOOKUP(AR4,'סקרי נכסים-יתרות פתיחה'!$2:$110,8,0),0)-IFERROR(HLOOKUP(AR4,'סקרי נכסים-יתרות פתיחה'!$2:$110,92,0),0)*(1-AR$309)</f>
        <v>8185714.2857142854</v>
      </c>
      <c r="AS105" s="1240">
        <f>+IFERROR(HLOOKUP(AS4,'סקרי נכסים-יתרות פתיחה'!$2:$110,8,0),0)-IFERROR(HLOOKUP(AS4,'סקרי נכסים-יתרות פתיחה'!$2:$110,92,0),0)*(1-AS$309)</f>
        <v>2000000</v>
      </c>
      <c r="AT105" s="1240">
        <f>+IFERROR(HLOOKUP(AT4,'סקרי נכסים-יתרות פתיחה'!$2:$110,8,0),0)-IFERROR(HLOOKUP(AT4,'סקרי נכסים-יתרות פתיחה'!$2:$110,92,0),0)*(1-AT$309)</f>
        <v>4547619.0476190476</v>
      </c>
      <c r="AU105" s="1240">
        <f>+IFERROR(HLOOKUP(AU4,'סקרי נכסים-יתרות פתיחה'!$2:$110,8,0),0)-IFERROR(HLOOKUP(AU4,'סקרי נכסים-יתרות פתיחה'!$2:$110,92,0),0)*(1-AU$309)</f>
        <v>8640476.1904761903</v>
      </c>
      <c r="AV105" s="1240">
        <f>+IFERROR(HLOOKUP(AV4,'סקרי נכסים-יתרות פתיחה'!$2:$110,8,0),0)-IFERROR(HLOOKUP(AV4,'סקרי נכסים-יתרות פתיחה'!$2:$110,92,0),0)*(1-AV$309)</f>
        <v>6730476.1904761903</v>
      </c>
      <c r="AW105" s="1240">
        <f>+IFERROR(HLOOKUP(AW4,'סקרי נכסים-יתרות פתיחה'!$2:$110,8,0),0)-IFERROR(HLOOKUP(AW4,'סקרי נכסים-יתרות פתיחה'!$2:$110,92,0),0)*(1-AW$309)</f>
        <v>4820476.1904761903</v>
      </c>
      <c r="AX105" s="1240">
        <f>+IFERROR(HLOOKUP(AX4,'סקרי נכסים-יתרות פתיחה'!$2:$110,8,0),0)-IFERROR(HLOOKUP(AX4,'סקרי נכסים-יתרות פתיחה'!$2:$110,92,0),0)*(1-AX$309)</f>
        <v>0</v>
      </c>
      <c r="AY105" s="1240">
        <f>+IFERROR(HLOOKUP(AY4,'סקרי נכסים-יתרות פתיחה'!$2:$110,8,0),0)-IFERROR(HLOOKUP(AY4,'סקרי נכסים-יתרות פתיחה'!$2:$110,92,0),0)*(1-AY$309)</f>
        <v>0</v>
      </c>
      <c r="AZ105" s="1240">
        <f>+IFERROR(HLOOKUP(AZ4,'סקרי נכסים-יתרות פתיחה'!$2:$110,8,0),0)-IFERROR(HLOOKUP(AZ4,'סקרי נכסים-יתרות פתיחה'!$2:$110,92,0),0)*(1-AZ$309)</f>
        <v>181904.76190476189</v>
      </c>
      <c r="BA105" s="1240">
        <f>+IFERROR(HLOOKUP(BA4,'סקרי נכסים-יתרות פתיחה'!$2:$110,8,0),0)-IFERROR(HLOOKUP(BA4,'סקרי נכסים-יתרות פתיחה'!$2:$110,92,0),0)*(1-BA$309)</f>
        <v>5730000</v>
      </c>
      <c r="BB105" s="1240">
        <f>+IFERROR(HLOOKUP(BB4,'סקרי נכסים-יתרות פתיחה'!$2:$110,8,0),0)-IFERROR(HLOOKUP(BB4,'סקרי נכסים-יתרות פתיחה'!$2:$110,92,0),0)*(1-BB$309)</f>
        <v>1581000</v>
      </c>
      <c r="BC105" s="1240">
        <f>+IFERROR(HLOOKUP(BC4,'סקרי נכסים-יתרות פתיחה'!$2:$110,8,0),0)-IFERROR(HLOOKUP(BC4,'סקרי נכסים-יתרות פתיחה'!$2:$110,92,0),0)*(1-BC$309)</f>
        <v>660000</v>
      </c>
      <c r="BD105" s="1240">
        <f>+IFERROR(HLOOKUP(BD4,'סקרי נכסים-יתרות פתיחה'!$2:$110,8,0),0)-IFERROR(HLOOKUP(BD4,'סקרי נכסים-יתרות פתיחה'!$2:$110,92,0),0)*(1-BD$309)</f>
        <v>0</v>
      </c>
      <c r="BE105" s="1240">
        <f>+IFERROR(HLOOKUP(BE4,'סקרי נכסים-יתרות פתיחה'!$2:$110,8,0),0)-IFERROR(HLOOKUP(BE4,'סקרי נכסים-יתרות פתיחה'!$2:$110,92,0),0)*(1-BE$309)</f>
        <v>4525714.2857142854</v>
      </c>
      <c r="BF105" s="1240">
        <f>+IFERROR(HLOOKUP(BF4,'סקרי נכסים-יתרות פתיחה'!$2:$110,8,0),0)-IFERROR(HLOOKUP(BF4,'סקרי נכסים-יתרות פתיחה'!$2:$110,92,0),0)*(1-BF$309)</f>
        <v>6163950</v>
      </c>
    </row>
    <row r="106" spans="1:62" x14ac:dyDescent="0.2">
      <c r="B106" s="1">
        <v>2</v>
      </c>
      <c r="C106" s="1240">
        <f>+IFERROR(HLOOKUP(C5,'סקרי נכסים-יתרות פתיחה'!$2:$110,8,0),0)-IFERROR(HLOOKUP(C5,'סקרי נכסים-יתרות פתיחה'!$2:$110,92,0),0)*(1-C$309)</f>
        <v>2501910.8190476191</v>
      </c>
      <c r="D106" s="1240">
        <f>+IFERROR(HLOOKUP(D5,'סקרי נכסים-יתרות פתיחה'!$2:$110,8,0),0)-IFERROR(HLOOKUP(D5,'סקרי נכסים-יתרות פתיחה'!$2:$110,92,0),0)*(1-D$309)</f>
        <v>215000</v>
      </c>
      <c r="E106" s="1240">
        <f>+IFERROR(HLOOKUP(E5,'סקרי נכסים-יתרות פתיחה'!$2:$110,8,0),0)-IFERROR(HLOOKUP(E5,'סקרי נכסים-יתרות פתיחה'!$2:$110,92,0),0)*(1-E$309)</f>
        <v>0</v>
      </c>
      <c r="F106" s="1240">
        <f>+IFERROR(HLOOKUP(F5,'סקרי נכסים-יתרות פתיחה'!$2:$110,8,0),0)-IFERROR(HLOOKUP(F5,'סקרי נכסים-יתרות פתיחה'!$2:$110,92,0),0)*(1-F$309)</f>
        <v>0</v>
      </c>
      <c r="G106" s="1240">
        <f>+IFERROR(HLOOKUP(G5,'סקרי נכסים-יתרות פתיחה'!$2:$110,8,0),0)-IFERROR(HLOOKUP(G5,'סקרי נכסים-יתרות פתיחה'!$2:$110,92,0),0)*(1-G$309)</f>
        <v>0</v>
      </c>
      <c r="H106" s="1240">
        <f>+IFERROR(HLOOKUP(H5,'סקרי נכסים-יתרות פתיחה'!$2:$110,8,0),0)-IFERROR(HLOOKUP(H5,'סקרי נכסים-יתרות פתיחה'!$2:$110,92,0),0)*(1-H$309)</f>
        <v>0</v>
      </c>
      <c r="I106" s="1240">
        <f>+IFERROR(HLOOKUP(I5,'סקרי נכסים-יתרות פתיחה'!$2:$110,8,0),0)-IFERROR(HLOOKUP(I5,'סקרי נכסים-יתרות פתיחה'!$2:$110,92,0),0)*(1-I$309)</f>
        <v>0</v>
      </c>
      <c r="J106" s="1240">
        <f>+IFERROR(HLOOKUP(J5,'סקרי נכסים-יתרות פתיחה'!$2:$110,8,0),0)-IFERROR(HLOOKUP(J5,'סקרי נכסים-יתרות פתיחה'!$2:$110,92,0),0)*(1-J$309)</f>
        <v>0</v>
      </c>
      <c r="K106" s="1240">
        <f>+IFERROR(HLOOKUP(K5,'סקרי נכסים-יתרות פתיחה'!$2:$110,8,0),0)-IFERROR(HLOOKUP(K5,'סקרי נכסים-יתרות פתיחה'!$2:$110,92,0),0)*(1-K$309)</f>
        <v>4342857.1428571427</v>
      </c>
      <c r="L106" s="1240">
        <f>+IFERROR(HLOOKUP(L5,'סקרי נכסים-יתרות פתיחה'!$2:$110,8,0),0)-IFERROR(HLOOKUP(L5,'סקרי נכסים-יתרות פתיחה'!$2:$110,92,0),0)*(1-L$309)</f>
        <v>1188571.4285714286</v>
      </c>
      <c r="M106" s="1240">
        <f>+IFERROR(HLOOKUP(M5,'סקרי נכסים-יתרות פתיחה'!$2:$110,8,0),0)-IFERROR(HLOOKUP(M5,'סקרי נכסים-יתרות פתיחה'!$2:$110,92,0),0)*(1-M$309)</f>
        <v>0</v>
      </c>
      <c r="N106" s="1240">
        <f>+IFERROR(HLOOKUP(N5,'סקרי נכסים-יתרות פתיחה'!$2:$110,8,0),0)-IFERROR(HLOOKUP(N5,'סקרי נכסים-יתרות פתיחה'!$2:$110,92,0),0)*(1-N$309)</f>
        <v>4274761.9047619049</v>
      </c>
      <c r="O106" s="1240">
        <f>+IFERROR(HLOOKUP(O5,'סקרי נכסים-יתרות פתיחה'!$2:$110,8,0),0)-IFERROR(HLOOKUP(O5,'סקרי נכסים-יתרות פתיחה'!$2:$110,92,0),0)*(1-O$309)</f>
        <v>1828571.4285714286</v>
      </c>
      <c r="P106" s="1240">
        <f>+IFERROR(HLOOKUP(P5,'סקרי נכסים-יתרות פתיחה'!$2:$110,8,0),0)-IFERROR(HLOOKUP(P5,'סקרי נכסים-יתרות פתיחה'!$2:$110,92,0),0)*(1-P$309)</f>
        <v>1000000</v>
      </c>
      <c r="Q106" s="1240">
        <f>+IFERROR(HLOOKUP(Q5,'סקרי נכסים-יתרות פתיחה'!$2:$110,8,0),0)-IFERROR(HLOOKUP(Q5,'סקרי נכסים-יתרות פתיחה'!$2:$110,92,0),0)*(1-Q$309)</f>
        <v>0</v>
      </c>
      <c r="R106" s="1240">
        <f>+IFERROR(HLOOKUP(R5,'סקרי נכסים-יתרות פתיחה'!$2:$110,8,0),0)-IFERROR(HLOOKUP(R5,'סקרי נכסים-יתרות פתיחה'!$2:$110,92,0),0)*(1-R$309)</f>
        <v>0</v>
      </c>
      <c r="S106" s="1240">
        <f>+IFERROR(HLOOKUP(S5,'סקרי נכסים-יתרות פתיחה'!$2:$110,8,0),0)-IFERROR(HLOOKUP(S5,'סקרי נכסים-יתרות פתיחה'!$2:$110,92,0),0)*(1-S$309)</f>
        <v>0</v>
      </c>
      <c r="T106" s="1240">
        <f>+IFERROR(HLOOKUP(T5,'סקרי נכסים-יתרות פתיחה'!$2:$110,8,0),0)-IFERROR(HLOOKUP(T5,'סקרי נכסים-יתרות פתיחה'!$2:$110,92,0),0)*(1-T$309)</f>
        <v>2705327</v>
      </c>
      <c r="U106" s="1240">
        <f>+IFERROR(HLOOKUP(U5,'סקרי נכסים-יתרות פתיחה'!$2:$110,8,0),0)-IFERROR(HLOOKUP(U5,'סקרי נכסים-יתרות פתיחה'!$2:$110,92,0),0)*(1-U$309)</f>
        <v>0</v>
      </c>
      <c r="V106" s="1240">
        <f>+IFERROR(HLOOKUP(V5,'סקרי נכסים-יתרות פתיחה'!$2:$110,8,0),0)-IFERROR(HLOOKUP(V5,'סקרי נכסים-יתרות פתיחה'!$2:$110,92,0),0)*(1-V$309)</f>
        <v>680000</v>
      </c>
      <c r="W106" s="1240">
        <f>+IFERROR(HLOOKUP(W5,'סקרי נכסים-יתרות פתיחה'!$2:$110,8,0),0)-IFERROR(HLOOKUP(W5,'סקרי נכסים-יתרות פתיחה'!$2:$110,92,0),0)*(1-W$309)</f>
        <v>300000</v>
      </c>
      <c r="X106" s="1240">
        <f>+IFERROR(HLOOKUP(X5,'סקרי נכסים-יתרות פתיחה'!$2:$110,8,0),0)-IFERROR(HLOOKUP(X5,'סקרי נכסים-יתרות פתיחה'!$2:$110,92,0),0)*(1-X$309)</f>
        <v>1100000</v>
      </c>
      <c r="Y106" s="1240">
        <f>+IFERROR(HLOOKUP(Y5,'סקרי נכסים-יתרות פתיחה'!$2:$110,8,0),0)-IFERROR(HLOOKUP(Y5,'סקרי נכסים-יתרות פתיחה'!$2:$110,92,0),0)*(1-Y$309)</f>
        <v>1188571.4285714286</v>
      </c>
      <c r="Z106" s="1240">
        <f>+IFERROR(HLOOKUP(Z5,'סקרי נכסים-יתרות פתיחה'!$2:$110,8,0),0)-IFERROR(HLOOKUP(Z5,'סקרי נכסים-יתרות פתיחה'!$2:$110,92,0),0)*(1-Z$309)</f>
        <v>0</v>
      </c>
      <c r="AA106" s="1240">
        <f>+IFERROR(HLOOKUP(AA5,'סקרי נכסים-יתרות פתיחה'!$2:$110,8,0),0)-IFERROR(HLOOKUP(AA5,'סקרי נכסים-יתרות פתיחה'!$2:$110,92,0),0)*(1-AA$309)</f>
        <v>0</v>
      </c>
      <c r="AB106" s="1240">
        <f>+IFERROR(HLOOKUP(AB5,'סקרי נכסים-יתרות פתיחה'!$2:$110,8,0),0)-IFERROR(HLOOKUP(AB5,'סקרי נכסים-יתרות פתיחה'!$2:$110,92,0),0)*(1-AB$309)</f>
        <v>0</v>
      </c>
      <c r="AC106" s="1240">
        <f>+IFERROR(HLOOKUP(AC5,'סקרי נכסים-יתרות פתיחה'!$2:$110,8,0),0)-IFERROR(HLOOKUP(AC5,'סקרי נכסים-יתרות פתיחה'!$2:$110,92,0),0)*(1-AC$309)</f>
        <v>0</v>
      </c>
      <c r="AD106" s="1240">
        <f>+IFERROR(HLOOKUP(AD5,'סקרי נכסים-יתרות פתיחה'!$2:$110,8,0),0)-IFERROR(HLOOKUP(AD5,'סקרי נכסים-יתרות פתיחה'!$2:$110,92,0),0)*(1-AD$309)</f>
        <v>0</v>
      </c>
      <c r="AE106" s="1240">
        <f>+IFERROR(HLOOKUP(AE5,'סקרי נכסים-יתרות פתיחה'!$2:$110,8,0),0)-IFERROR(HLOOKUP(AE5,'סקרי נכסים-יתרות פתיחה'!$2:$110,92,0),0)*(1-AE$309)</f>
        <v>0</v>
      </c>
      <c r="AF106" s="1240">
        <f>+IFERROR(HLOOKUP(AF5,'סקרי נכסים-יתרות פתיחה'!$2:$110,8,0),0)-IFERROR(HLOOKUP(AF5,'סקרי נכסים-יתרות פתיחה'!$2:$110,92,0),0)*(1-AF$309)</f>
        <v>5859152.3809523806</v>
      </c>
      <c r="AG106" s="1240">
        <f>+IFERROR(HLOOKUP(AG5,'סקרי נכסים-יתרות פתיחה'!$2:$110,8,0),0)-IFERROR(HLOOKUP(AG5,'סקרי נכסים-יתרות פתיחה'!$2:$110,92,0),0)*(1-AG$309)</f>
        <v>0</v>
      </c>
      <c r="AH106" s="1240">
        <f>+IFERROR(HLOOKUP(AH5,'סקרי נכסים-יתרות פתיחה'!$2:$110,8,0),0)-IFERROR(HLOOKUP(AH5,'סקרי נכסים-יתרות פתיחה'!$2:$110,92,0),0)*(1-AH$309)</f>
        <v>0</v>
      </c>
      <c r="AI106" s="1240">
        <f>+IFERROR(HLOOKUP(AI5,'סקרי נכסים-יתרות פתיחה'!$2:$110,8,0),0)-IFERROR(HLOOKUP(AI5,'סקרי נכסים-יתרות פתיחה'!$2:$110,92,0),0)*(1-AI$309)</f>
        <v>0</v>
      </c>
      <c r="AJ106" s="1240">
        <f>+IFERROR(HLOOKUP(AJ5,'סקרי נכסים-יתרות פתיחה'!$2:$110,8,0),0)-IFERROR(HLOOKUP(AJ5,'סקרי נכסים-יתרות פתיחה'!$2:$110,92,0),0)*(1-AJ$309)</f>
        <v>405248.48571428569</v>
      </c>
      <c r="AK106" s="1240">
        <f>+IFERROR(HLOOKUP(AK5,'סקרי נכסים-יתרות פתיחה'!$2:$110,8,0),0)-IFERROR(HLOOKUP(AK5,'סקרי נכסים-יתרות פתיחה'!$2:$110,92,0),0)*(1-AK$309)</f>
        <v>0</v>
      </c>
      <c r="AL106" s="1240">
        <f>+IFERROR(HLOOKUP(AL5,'סקרי נכסים-יתרות פתיחה'!$2:$110,8,0),0)-IFERROR(HLOOKUP(AL5,'סקרי נכסים-יתרות פתיחה'!$2:$110,92,0),0)*(1-AL$309)</f>
        <v>0</v>
      </c>
      <c r="AM106" s="1240">
        <f>+IFERROR(HLOOKUP(AM5,'סקרי נכסים-יתרות פתיחה'!$2:$110,8,0),0)-IFERROR(HLOOKUP(AM5,'סקרי נכסים-יתרות פתיחה'!$2:$110,92,0),0)*(1-AM$309)</f>
        <v>0</v>
      </c>
      <c r="AN106" s="1240">
        <f>+IFERROR(HLOOKUP(AN5,'סקרי נכסים-יתרות פתיחה'!$2:$110,8,0),0)-IFERROR(HLOOKUP(AN5,'סקרי נכסים-יתרות פתיחה'!$2:$110,92,0),0)*(1-AN$309)</f>
        <v>0</v>
      </c>
      <c r="AO106" s="1240">
        <f>+IFERROR(HLOOKUP(AO5,'סקרי נכסים-יתרות פתיחה'!$2:$110,8,0),0)-IFERROR(HLOOKUP(AO5,'סקרי נכסים-יתרות פתיחה'!$2:$110,92,0),0)*(1-AO$309)</f>
        <v>0</v>
      </c>
      <c r="AP106" s="1240">
        <f>+IFERROR(HLOOKUP(AP5,'סקרי נכסים-יתרות פתיחה'!$2:$110,8,0),0)-IFERROR(HLOOKUP(AP5,'סקרי נכסים-יתרות פתיחה'!$2:$110,92,0),0)*(1-AP$309)</f>
        <v>0</v>
      </c>
      <c r="AQ106" s="1240">
        <f>+IFERROR(HLOOKUP(AQ5,'סקרי נכסים-יתרות פתיחה'!$2:$110,8,0),0)-IFERROR(HLOOKUP(AQ5,'סקרי נכסים-יתרות פתיחה'!$2:$110,92,0),0)*(1-AQ$309)</f>
        <v>0</v>
      </c>
      <c r="AR106" s="1240">
        <f>+IFERROR(HLOOKUP(AR5,'סקרי נכסים-יתרות פתיחה'!$2:$110,8,0),0)-IFERROR(HLOOKUP(AR5,'סקרי נכסים-יתרות פתיחה'!$2:$110,92,0),0)*(1-AR$309)</f>
        <v>4200000</v>
      </c>
      <c r="AS106" s="1240">
        <f>+IFERROR(HLOOKUP(AS5,'סקרי נכסים-יתרות פתיחה'!$2:$110,8,0),0)-IFERROR(HLOOKUP(AS5,'סקרי נכסים-יתרות פתיחה'!$2:$110,92,0),0)*(1-AS$309)</f>
        <v>1350000</v>
      </c>
      <c r="AT106" s="1240">
        <f>+IFERROR(HLOOKUP(AT5,'סקרי נכסים-יתרות פתיחה'!$2:$110,8,0),0)-IFERROR(HLOOKUP(AT5,'סקרי נכסים-יתרות פתיחה'!$2:$110,92,0),0)*(1-AT$309)</f>
        <v>0</v>
      </c>
      <c r="AU106" s="1240">
        <f>+IFERROR(HLOOKUP(AU5,'סקרי נכסים-יתרות פתיחה'!$2:$110,8,0),0)-IFERROR(HLOOKUP(AU5,'סקרי נכסים-יתרות פתיחה'!$2:$110,92,0),0)*(1-AU$309)</f>
        <v>0</v>
      </c>
      <c r="AV106" s="1240">
        <f>+IFERROR(HLOOKUP(AV5,'סקרי נכסים-יתרות פתיחה'!$2:$110,8,0),0)-IFERROR(HLOOKUP(AV5,'סקרי נכסים-יתרות פתיחה'!$2:$110,92,0),0)*(1-AV$309)</f>
        <v>1568928.5714285714</v>
      </c>
      <c r="AW106" s="1240">
        <f>+IFERROR(HLOOKUP(AW5,'סקרי נכסים-יתרות פתיחה'!$2:$110,8,0),0)-IFERROR(HLOOKUP(AW5,'סקרי נכסים-יתרות פתיחה'!$2:$110,92,0),0)*(1-AW$309)</f>
        <v>0</v>
      </c>
      <c r="AX106" s="1240">
        <f>+IFERROR(HLOOKUP(AX5,'סקרי נכסים-יתרות פתיחה'!$2:$110,8,0),0)-IFERROR(HLOOKUP(AX5,'סקרי נכסים-יתרות פתיחה'!$2:$110,92,0),0)*(1-AX$309)</f>
        <v>2000000</v>
      </c>
      <c r="AY106" s="1240">
        <f>+IFERROR(HLOOKUP(AY5,'סקרי נכסים-יתרות פתיחה'!$2:$110,8,0),0)-IFERROR(HLOOKUP(AY5,'סקרי נכסים-יתרות פתיחה'!$2:$110,92,0),0)*(1-AY$309)</f>
        <v>0</v>
      </c>
      <c r="AZ106" s="1240">
        <f>+IFERROR(HLOOKUP(AZ5,'סקרי נכסים-יתרות פתיחה'!$2:$110,8,0),0)-IFERROR(HLOOKUP(AZ5,'סקרי נכסים-יתרות פתיחה'!$2:$110,92,0),0)*(1-AZ$309)</f>
        <v>1682619.0476190476</v>
      </c>
      <c r="BA106" s="1240">
        <f>+IFERROR(HLOOKUP(BA5,'סקרי נכסים-יתרות פתיחה'!$2:$110,8,0),0)-IFERROR(HLOOKUP(BA5,'סקרי נכסים-יתרות פתיחה'!$2:$110,92,0),0)*(1-BA$309)</f>
        <v>4547619.0476190476</v>
      </c>
      <c r="BB106" s="1240">
        <f>+IFERROR(HLOOKUP(BB5,'סקרי נכסים-יתרות פתיחה'!$2:$110,8,0),0)-IFERROR(HLOOKUP(BB5,'סקרי נכסים-יתרות פתיחה'!$2:$110,92,0),0)*(1-BB$309)</f>
        <v>3035000</v>
      </c>
      <c r="BC106" s="1240">
        <f>+IFERROR(HLOOKUP(BC5,'סקרי נכסים-יתרות פתיחה'!$2:$110,8,0),0)-IFERROR(HLOOKUP(BC5,'סקרי נכסים-יתרות פתיחה'!$2:$110,92,0),0)*(1-BC$309)</f>
        <v>300000</v>
      </c>
      <c r="BD106" s="1240">
        <f>+IFERROR(HLOOKUP(BD5,'סקרי נכסים-יתרות פתיחה'!$2:$110,8,0),0)-IFERROR(HLOOKUP(BD5,'סקרי נכסים-יתרות פתיחה'!$2:$110,92,0),0)*(1-BD$309)</f>
        <v>0</v>
      </c>
      <c r="BE106" s="1240">
        <f>+IFERROR(HLOOKUP(BE5,'סקרי נכסים-יתרות פתיחה'!$2:$110,8,0),0)-IFERROR(HLOOKUP(BE5,'סקרי נכסים-יתרות פתיחה'!$2:$110,92,0),0)*(1-BE$309)</f>
        <v>0</v>
      </c>
      <c r="BF106" s="1240">
        <f>+IFERROR(HLOOKUP(BF5,'סקרי נכסים-יתרות פתיחה'!$2:$110,8,0),0)-IFERROR(HLOOKUP(BF5,'סקרי נכסים-יתרות פתיחה'!$2:$110,92,0),0)*(1-BF$309)</f>
        <v>0</v>
      </c>
    </row>
    <row r="107" spans="1:62" x14ac:dyDescent="0.2">
      <c r="B107" s="1">
        <v>3</v>
      </c>
      <c r="C107" s="1240">
        <f>+IFERROR(HLOOKUP(C6,'סקרי נכסים-יתרות פתיחה'!$2:$110,8,0),0)-IFERROR(HLOOKUP(C6,'סקרי נכסים-יתרות פתיחה'!$2:$110,92,0),0)*(1-C$309)</f>
        <v>1264238.0952380951</v>
      </c>
      <c r="D107" s="1240">
        <f>+IFERROR(HLOOKUP(D6,'סקרי נכסים-יתרות פתיחה'!$2:$110,8,0),0)-IFERROR(HLOOKUP(D6,'סקרי נכסים-יתרות פתיחה'!$2:$110,92,0),0)*(1-D$309)</f>
        <v>0</v>
      </c>
      <c r="E107" s="1240">
        <f>+IFERROR(HLOOKUP(E6,'סקרי נכסים-יתרות פתיחה'!$2:$110,8,0),0)-IFERROR(HLOOKUP(E6,'סקרי נכסים-יתרות פתיחה'!$2:$110,92,0),0)*(1-E$309)</f>
        <v>0</v>
      </c>
      <c r="F107" s="1240">
        <f>+IFERROR(HLOOKUP(F6,'סקרי נכסים-יתרות פתיחה'!$2:$110,8,0),0)-IFERROR(HLOOKUP(F6,'סקרי נכסים-יתרות פתיחה'!$2:$110,92,0),0)*(1-F$309)</f>
        <v>0</v>
      </c>
      <c r="G107" s="1240">
        <f>+IFERROR(HLOOKUP(G6,'סקרי נכסים-יתרות פתיחה'!$2:$110,8,0),0)-IFERROR(HLOOKUP(G6,'סקרי נכסים-יתרות פתיחה'!$2:$110,92,0),0)*(1-G$309)</f>
        <v>0</v>
      </c>
      <c r="H107" s="1240">
        <f>+IFERROR(HLOOKUP(H6,'סקרי נכסים-יתרות פתיחה'!$2:$110,8,0),0)-IFERROR(HLOOKUP(H6,'סקרי נכסים-יתרות פתיחה'!$2:$110,92,0),0)*(1-H$309)</f>
        <v>8052380.9523809524</v>
      </c>
      <c r="I107" s="1240">
        <f>+IFERROR(HLOOKUP(I6,'סקרי נכסים-יתרות פתיחה'!$2:$110,8,0),0)-IFERROR(HLOOKUP(I6,'סקרי נכסים-יתרות פתיחה'!$2:$110,92,0),0)*(1-I$309)</f>
        <v>0</v>
      </c>
      <c r="J107" s="1240">
        <f>+IFERROR(HLOOKUP(J6,'סקרי נכסים-יתרות פתיחה'!$2:$110,8,0),0)-IFERROR(HLOOKUP(J6,'סקרי נכסים-יתרות פתיחה'!$2:$110,92,0),0)*(1-J$309)</f>
        <v>0</v>
      </c>
      <c r="K107" s="1240">
        <f>+IFERROR(HLOOKUP(K6,'סקרי נכסים-יתרות פתיחה'!$2:$110,8,0),0)-IFERROR(HLOOKUP(K6,'סקרי נכסים-יתרות פתיחה'!$2:$110,92,0),0)*(1-K$309)</f>
        <v>10263612.857142856</v>
      </c>
      <c r="L107" s="1240">
        <f>+IFERROR(HLOOKUP(L6,'סקרי נכסים-יתרות פתיחה'!$2:$110,8,0),0)-IFERROR(HLOOKUP(L6,'סקרי נכסים-יתרות פתיחה'!$2:$110,92,0),0)*(1-L$309)</f>
        <v>0</v>
      </c>
      <c r="M107" s="1240">
        <f>+IFERROR(HLOOKUP(M6,'סקרי נכסים-יתרות פתיחה'!$2:$110,8,0),0)-IFERROR(HLOOKUP(M6,'סקרי נכסים-יתרות פתיחה'!$2:$110,92,0),0)*(1-M$309)</f>
        <v>0</v>
      </c>
      <c r="N107" s="1240">
        <f>+IFERROR(HLOOKUP(N6,'סקרי נכסים-יתרות פתיחה'!$2:$110,8,0),0)-IFERROR(HLOOKUP(N6,'סקרי נכסים-יתרות פתיחה'!$2:$110,92,0),0)*(1-N$309)</f>
        <v>0</v>
      </c>
      <c r="O107" s="1240">
        <f>+IFERROR(HLOOKUP(O6,'סקרי נכסים-יתרות פתיחה'!$2:$110,8,0),0)-IFERROR(HLOOKUP(O6,'סקרי נכסים-יתרות פתיחה'!$2:$110,92,0),0)*(1-O$309)</f>
        <v>0</v>
      </c>
      <c r="P107" s="1240">
        <f>+IFERROR(HLOOKUP(P6,'סקרי נכסים-יתרות פתיחה'!$2:$110,8,0),0)-IFERROR(HLOOKUP(P6,'סקרי נכסים-יתרות פתיחה'!$2:$110,92,0),0)*(1-P$309)</f>
        <v>0</v>
      </c>
      <c r="Q107" s="1240">
        <f>+IFERROR(HLOOKUP(Q6,'סקרי נכסים-יתרות פתיחה'!$2:$110,8,0),0)-IFERROR(HLOOKUP(Q6,'סקרי נכסים-יתרות פתיחה'!$2:$110,92,0),0)*(1-Q$309)</f>
        <v>0</v>
      </c>
      <c r="R107" s="1240">
        <f>+IFERROR(HLOOKUP(R6,'סקרי נכסים-יתרות פתיחה'!$2:$110,8,0),0)-IFERROR(HLOOKUP(R6,'סקרי נכסים-יתרות פתיחה'!$2:$110,92,0),0)*(1-R$309)</f>
        <v>0</v>
      </c>
      <c r="S107" s="1240">
        <f>+IFERROR(HLOOKUP(S6,'סקרי נכסים-יתרות פתיחה'!$2:$110,8,0),0)-IFERROR(HLOOKUP(S6,'סקרי נכסים-יתרות פתיחה'!$2:$110,92,0),0)*(1-S$309)</f>
        <v>0</v>
      </c>
      <c r="T107" s="1240">
        <f>+IFERROR(HLOOKUP(T6,'סקרי נכסים-יתרות פתיחה'!$2:$110,8,0),0)-IFERROR(HLOOKUP(T6,'סקרי נכסים-יתרות פתיחה'!$2:$110,92,0),0)*(1-T$309)</f>
        <v>4222000</v>
      </c>
      <c r="U107" s="1240">
        <f>+IFERROR(HLOOKUP(U6,'סקרי נכסים-יתרות פתיחה'!$2:$110,8,0),0)-IFERROR(HLOOKUP(U6,'סקרי נכסים-יתרות פתיחה'!$2:$110,92,0),0)*(1-U$309)</f>
        <v>0</v>
      </c>
      <c r="V107" s="1240">
        <f>+IFERROR(HLOOKUP(V6,'סקרי נכסים-יתרות פתיחה'!$2:$110,8,0),0)-IFERROR(HLOOKUP(V6,'סקרי נכסים-יתרות פתיחה'!$2:$110,92,0),0)*(1-V$309)</f>
        <v>2100000</v>
      </c>
      <c r="W107" s="1240">
        <f>+IFERROR(HLOOKUP(W6,'סקרי נכסים-יתרות פתיחה'!$2:$110,8,0),0)-IFERROR(HLOOKUP(W6,'סקרי נכסים-יתרות פתיחה'!$2:$110,92,0),0)*(1-W$309)</f>
        <v>3184747</v>
      </c>
      <c r="X107" s="1240">
        <f>+IFERROR(HLOOKUP(X6,'סקרי נכסים-יתרות פתיחה'!$2:$110,8,0),0)-IFERROR(HLOOKUP(X6,'סקרי נכסים-יתרות פתיחה'!$2:$110,92,0),0)*(1-X$309)</f>
        <v>1200000</v>
      </c>
      <c r="Y107" s="1240">
        <f>+IFERROR(HLOOKUP(Y6,'סקרי נכסים-יתרות פתיחה'!$2:$110,8,0),0)-IFERROR(HLOOKUP(Y6,'סקרי נכסים-יתרות פתיחה'!$2:$110,92,0),0)*(1-Y$309)</f>
        <v>0</v>
      </c>
      <c r="Z107" s="1240">
        <f>+IFERROR(HLOOKUP(Z6,'סקרי נכסים-יתרות פתיחה'!$2:$110,8,0),0)-IFERROR(HLOOKUP(Z6,'סקרי נכסים-יתרות פתיחה'!$2:$110,92,0),0)*(1-Z$309)</f>
        <v>0</v>
      </c>
      <c r="AA107" s="1240">
        <f>+IFERROR(HLOOKUP(AA6,'סקרי נכסים-יתרות פתיחה'!$2:$110,8,0),0)-IFERROR(HLOOKUP(AA6,'סקרי נכסים-יתרות פתיחה'!$2:$110,92,0),0)*(1-AA$309)</f>
        <v>0</v>
      </c>
      <c r="AB107" s="1240">
        <f>+IFERROR(HLOOKUP(AB6,'סקרי נכסים-יתרות פתיחה'!$2:$110,8,0),0)-IFERROR(HLOOKUP(AB6,'סקרי נכסים-יתרות פתיחה'!$2:$110,92,0),0)*(1-AB$309)</f>
        <v>0</v>
      </c>
      <c r="AC107" s="1240">
        <f>+IFERROR(HLOOKUP(AC6,'סקרי נכסים-יתרות פתיחה'!$2:$110,8,0),0)-IFERROR(HLOOKUP(AC6,'סקרי נכסים-יתרות פתיחה'!$2:$110,92,0),0)*(1-AC$309)</f>
        <v>0</v>
      </c>
      <c r="AD107" s="1240">
        <f>+IFERROR(HLOOKUP(AD6,'סקרי נכסים-יתרות פתיחה'!$2:$110,8,0),0)-IFERROR(HLOOKUP(AD6,'סקרי נכסים-יתרות פתיחה'!$2:$110,92,0),0)*(1-AD$309)</f>
        <v>0</v>
      </c>
      <c r="AE107" s="1240">
        <f>+IFERROR(HLOOKUP(AE6,'סקרי נכסים-יתרות פתיחה'!$2:$110,8,0),0)-IFERROR(HLOOKUP(AE6,'סקרי נכסים-יתרות פתיחה'!$2:$110,92,0),0)*(1-AE$309)</f>
        <v>0</v>
      </c>
      <c r="AF107" s="1240">
        <f>+IFERROR(HLOOKUP(AF6,'סקרי נכסים-יתרות פתיחה'!$2:$110,8,0),0)-IFERROR(HLOOKUP(AF6,'סקרי נכסים-יתרות פתיחה'!$2:$110,92,0),0)*(1-AF$309)</f>
        <v>0</v>
      </c>
      <c r="AG107" s="1240">
        <f>+IFERROR(HLOOKUP(AG6,'סקרי נכסים-יתרות פתיחה'!$2:$110,8,0),0)-IFERROR(HLOOKUP(AG6,'סקרי נכסים-יתרות פתיחה'!$2:$110,92,0),0)*(1-AG$309)</f>
        <v>0</v>
      </c>
      <c r="AH107" s="1240">
        <f>+IFERROR(HLOOKUP(AH6,'סקרי נכסים-יתרות פתיחה'!$2:$110,8,0),0)-IFERROR(HLOOKUP(AH6,'סקרי נכסים-יתרות פתיחה'!$2:$110,92,0),0)*(1-AH$309)</f>
        <v>0</v>
      </c>
      <c r="AI107" s="1240">
        <f>+IFERROR(HLOOKUP(AI6,'סקרי נכסים-יתרות פתיחה'!$2:$110,8,0),0)-IFERROR(HLOOKUP(AI6,'סקרי נכסים-יתרות פתיחה'!$2:$110,92,0),0)*(1-AI$309)</f>
        <v>0</v>
      </c>
      <c r="AJ107" s="1240">
        <f>+IFERROR(HLOOKUP(AJ6,'סקרי נכסים-יתרות פתיחה'!$2:$110,8,0),0)-IFERROR(HLOOKUP(AJ6,'סקרי נכסים-יתרות פתיחה'!$2:$110,92,0),0)*(1-AJ$309)</f>
        <v>0</v>
      </c>
      <c r="AK107" s="1240">
        <f>+IFERROR(HLOOKUP(AK6,'סקרי נכסים-יתרות פתיחה'!$2:$110,8,0),0)-IFERROR(HLOOKUP(AK6,'סקרי נכסים-יתרות פתיחה'!$2:$110,92,0),0)*(1-AK$309)</f>
        <v>0</v>
      </c>
      <c r="AL107" s="1240">
        <f>+IFERROR(HLOOKUP(AL6,'סקרי נכסים-יתרות פתיחה'!$2:$110,8,0),0)-IFERROR(HLOOKUP(AL6,'סקרי נכסים-יתרות פתיחה'!$2:$110,92,0),0)*(1-AL$309)</f>
        <v>0</v>
      </c>
      <c r="AM107" s="1240">
        <f>+IFERROR(HLOOKUP(AM6,'סקרי נכסים-יתרות פתיחה'!$2:$110,8,0),0)-IFERROR(HLOOKUP(AM6,'סקרי נכסים-יתרות פתיחה'!$2:$110,92,0),0)*(1-AM$309)</f>
        <v>0</v>
      </c>
      <c r="AN107" s="1240">
        <f>+IFERROR(HLOOKUP(AN6,'סקרי נכסים-יתרות פתיחה'!$2:$110,8,0),0)-IFERROR(HLOOKUP(AN6,'סקרי נכסים-יתרות פתיחה'!$2:$110,92,0),0)*(1-AN$309)</f>
        <v>0</v>
      </c>
      <c r="AO107" s="1240">
        <f>+IFERROR(HLOOKUP(AO6,'סקרי נכסים-יתרות פתיחה'!$2:$110,8,0),0)-IFERROR(HLOOKUP(AO6,'סקרי נכסים-יתרות פתיחה'!$2:$110,92,0),0)*(1-AO$309)</f>
        <v>0</v>
      </c>
      <c r="AP107" s="1240">
        <f>+IFERROR(HLOOKUP(AP6,'סקרי נכסים-יתרות פתיחה'!$2:$110,8,0),0)-IFERROR(HLOOKUP(AP6,'סקרי נכסים-יתרות פתיחה'!$2:$110,92,0),0)*(1-AP$309)</f>
        <v>0</v>
      </c>
      <c r="AQ107" s="1240">
        <f>+IFERROR(HLOOKUP(AQ6,'סקרי נכסים-יתרות פתיחה'!$2:$110,8,0),0)-IFERROR(HLOOKUP(AQ6,'סקרי נכסים-יתרות פתיחה'!$2:$110,92,0),0)*(1-AQ$309)</f>
        <v>0</v>
      </c>
      <c r="AR107" s="1240">
        <f>+IFERROR(HLOOKUP(AR6,'סקרי נכסים-יתרות פתיחה'!$2:$110,8,0),0)-IFERROR(HLOOKUP(AR6,'סקרי נכסים-יתרות פתיחה'!$2:$110,92,0),0)*(1-AR$309)</f>
        <v>0</v>
      </c>
      <c r="AS107" s="1240">
        <f>+IFERROR(HLOOKUP(AS6,'סקרי נכסים-יתרות פתיחה'!$2:$110,8,0),0)-IFERROR(HLOOKUP(AS6,'סקרי נכסים-יתרות פתיחה'!$2:$110,92,0),0)*(1-AS$309)</f>
        <v>0</v>
      </c>
      <c r="AT107" s="1240">
        <f>+IFERROR(HLOOKUP(AT6,'סקרי נכסים-יתרות פתיחה'!$2:$110,8,0),0)-IFERROR(HLOOKUP(AT6,'סקרי נכסים-יתרות פתיחה'!$2:$110,92,0),0)*(1-AT$309)</f>
        <v>0</v>
      </c>
      <c r="AU107" s="1240">
        <f>+IFERROR(HLOOKUP(AU6,'סקרי נכסים-יתרות פתיחה'!$2:$110,8,0),0)-IFERROR(HLOOKUP(AU6,'סקרי נכסים-יתרות פתיחה'!$2:$110,92,0),0)*(1-AU$309)</f>
        <v>0</v>
      </c>
      <c r="AV107" s="1240">
        <f>+IFERROR(HLOOKUP(AV6,'סקרי נכסים-יתרות פתיחה'!$2:$110,8,0),0)-IFERROR(HLOOKUP(AV6,'סקרי נכסים-יתרות פתיחה'!$2:$110,92,0),0)*(1-AV$309)</f>
        <v>0</v>
      </c>
      <c r="AW107" s="1240">
        <f>+IFERROR(HLOOKUP(AW6,'סקרי נכסים-יתרות פתיחה'!$2:$110,8,0),0)-IFERROR(HLOOKUP(AW6,'סקרי נכסים-יתרות פתיחה'!$2:$110,92,0),0)*(1-AW$309)</f>
        <v>0</v>
      </c>
      <c r="AX107" s="1240">
        <f>+IFERROR(HLOOKUP(AX6,'סקרי נכסים-יתרות פתיחה'!$2:$110,8,0),0)-IFERROR(HLOOKUP(AX6,'סקרי נכסים-יתרות פתיחה'!$2:$110,92,0),0)*(1-AX$309)</f>
        <v>500000</v>
      </c>
      <c r="AY107" s="1240">
        <f>+IFERROR(HLOOKUP(AY6,'סקרי נכסים-יתרות פתיחה'!$2:$110,8,0),0)-IFERROR(HLOOKUP(AY6,'סקרי נכסים-יתרות פתיחה'!$2:$110,92,0),0)*(1-AY$309)</f>
        <v>0</v>
      </c>
      <c r="AZ107" s="1240">
        <f>+IFERROR(HLOOKUP(AZ6,'סקרי נכסים-יתרות פתיחה'!$2:$110,8,0),0)-IFERROR(HLOOKUP(AZ6,'סקרי נכסים-יתרות פתיחה'!$2:$110,92,0),0)*(1-AZ$309)</f>
        <v>636666.66666666663</v>
      </c>
      <c r="BA107" s="1240">
        <f>+IFERROR(HLOOKUP(BA6,'סקרי נכסים-יתרות פתיחה'!$2:$110,8,0),0)-IFERROR(HLOOKUP(BA6,'סקרי נכסים-יתרות פתיחה'!$2:$110,92,0),0)*(1-BA$309)</f>
        <v>3720861.9047619049</v>
      </c>
      <c r="BB107" s="1240">
        <f>+IFERROR(HLOOKUP(BB6,'סקרי נכסים-יתרות פתיחה'!$2:$110,8,0),0)-IFERROR(HLOOKUP(BB6,'סקרי נכסים-יתרות פתיחה'!$2:$110,92,0),0)*(1-BB$309)</f>
        <v>2450000</v>
      </c>
      <c r="BC107" s="1240">
        <f>+IFERROR(HLOOKUP(BC6,'סקרי נכסים-יתרות פתיחה'!$2:$110,8,0),0)-IFERROR(HLOOKUP(BC6,'סקרי נכסים-יתרות פתיחה'!$2:$110,92,0),0)*(1-BC$309)</f>
        <v>305633</v>
      </c>
      <c r="BD107" s="1240">
        <f>+IFERROR(HLOOKUP(BD6,'סקרי נכסים-יתרות פתיחה'!$2:$110,8,0),0)-IFERROR(HLOOKUP(BD6,'סקרי נכסים-יתרות פתיחה'!$2:$110,92,0),0)*(1-BD$309)</f>
        <v>0</v>
      </c>
      <c r="BE107" s="1240">
        <f>+IFERROR(HLOOKUP(BE6,'סקרי נכסים-יתרות פתיחה'!$2:$110,8,0),0)-IFERROR(HLOOKUP(BE6,'סקרי נכסים-יתרות פתיחה'!$2:$110,92,0),0)*(1-BE$309)</f>
        <v>0</v>
      </c>
      <c r="BF107" s="1240">
        <f>+IFERROR(HLOOKUP(BF6,'סקרי נכסים-יתרות פתיחה'!$2:$110,8,0),0)-IFERROR(HLOOKUP(BF6,'סקרי נכסים-יתרות פתיחה'!$2:$110,92,0),0)*(1-BF$309)</f>
        <v>0</v>
      </c>
    </row>
    <row r="108" spans="1:62" x14ac:dyDescent="0.2">
      <c r="B108" s="1">
        <v>4</v>
      </c>
      <c r="C108" s="1240">
        <f>+IFERROR(HLOOKUP(C7,'סקרי נכסים-יתרות פתיחה'!$2:$110,8,0),0)-IFERROR(HLOOKUP(C7,'סקרי נכסים-יתרות פתיחה'!$2:$110,92,0),0)*(1-C$309)</f>
        <v>0</v>
      </c>
      <c r="D108" s="1240">
        <f>+IFERROR(HLOOKUP(D7,'סקרי נכסים-יתרות פתיחה'!$2:$110,8,0),0)-IFERROR(HLOOKUP(D7,'סקרי נכסים-יתרות פתיחה'!$2:$110,92,0),0)*(1-D$309)</f>
        <v>400000</v>
      </c>
      <c r="E108" s="1240">
        <f>+IFERROR(HLOOKUP(E7,'סקרי נכסים-יתרות פתיחה'!$2:$110,8,0),0)-IFERROR(HLOOKUP(E7,'סקרי נכסים-יתרות פתיחה'!$2:$110,92,0),0)*(1-E$309)</f>
        <v>0</v>
      </c>
      <c r="F108" s="1240">
        <f>+IFERROR(HLOOKUP(F7,'סקרי נכסים-יתרות פתיחה'!$2:$110,8,0),0)-IFERROR(HLOOKUP(F7,'סקרי נכסים-יתרות פתיחה'!$2:$110,92,0),0)*(1-F$309)</f>
        <v>0</v>
      </c>
      <c r="G108" s="1240">
        <f>+IFERROR(HLOOKUP(G7,'סקרי נכסים-יתרות פתיחה'!$2:$110,8,0),0)-IFERROR(HLOOKUP(G7,'סקרי נכסים-יתרות פתיחה'!$2:$110,92,0),0)*(1-G$309)</f>
        <v>0</v>
      </c>
      <c r="H108" s="1240">
        <f>+IFERROR(HLOOKUP(H7,'סקרי נכסים-יתרות פתיחה'!$2:$110,8,0),0)-IFERROR(HLOOKUP(H7,'סקרי נכסים-יתרות פתיחה'!$2:$110,92,0),0)*(1-H$309)</f>
        <v>0</v>
      </c>
      <c r="I108" s="1240">
        <f>+IFERROR(HLOOKUP(I7,'סקרי נכסים-יתרות פתיחה'!$2:$110,8,0),0)-IFERROR(HLOOKUP(I7,'סקרי נכסים-יתרות פתיחה'!$2:$110,92,0),0)*(1-I$309)</f>
        <v>0</v>
      </c>
      <c r="J108" s="1240">
        <f>+IFERROR(HLOOKUP(J7,'סקרי נכסים-יתרות פתיחה'!$2:$110,8,0),0)-IFERROR(HLOOKUP(J7,'סקרי נכסים-יתרות פתיחה'!$2:$110,92,0),0)*(1-J$309)</f>
        <v>0</v>
      </c>
      <c r="K108" s="1240">
        <f>+IFERROR(HLOOKUP(K7,'סקרי נכסים-יתרות פתיחה'!$2:$110,8,0),0)-IFERROR(HLOOKUP(K7,'סקרי נכסים-יתרות פתיחה'!$2:$110,92,0),0)*(1-K$309)</f>
        <v>0</v>
      </c>
      <c r="L108" s="1240">
        <f>+IFERROR(HLOOKUP(L7,'סקרי נכסים-יתרות פתיחה'!$2:$110,8,0),0)-IFERROR(HLOOKUP(L7,'סקרי נכסים-יתרות פתיחה'!$2:$110,92,0),0)*(1-L$309)</f>
        <v>0</v>
      </c>
      <c r="M108" s="1240">
        <f>+IFERROR(HLOOKUP(M7,'סקרי נכסים-יתרות פתיחה'!$2:$110,8,0),0)-IFERROR(HLOOKUP(M7,'סקרי נכסים-יתרות פתיחה'!$2:$110,92,0),0)*(1-M$309)</f>
        <v>0</v>
      </c>
      <c r="N108" s="1240">
        <f>+IFERROR(HLOOKUP(N7,'סקרי נכסים-יתרות פתיחה'!$2:$110,8,0),0)-IFERROR(HLOOKUP(N7,'סקרי נכסים-יתרות פתיחה'!$2:$110,92,0),0)*(1-N$309)</f>
        <v>0</v>
      </c>
      <c r="O108" s="1240">
        <f>+IFERROR(HLOOKUP(O7,'סקרי נכסים-יתרות פתיחה'!$2:$110,8,0),0)-IFERROR(HLOOKUP(O7,'סקרי נכסים-יתרות פתיחה'!$2:$110,92,0),0)*(1-O$309)</f>
        <v>0</v>
      </c>
      <c r="P108" s="1240">
        <f>+IFERROR(HLOOKUP(P7,'סקרי נכסים-יתרות פתיחה'!$2:$110,8,0),0)-IFERROR(HLOOKUP(P7,'סקרי נכסים-יתרות פתיחה'!$2:$110,92,0),0)*(1-P$309)</f>
        <v>0</v>
      </c>
      <c r="Q108" s="1240">
        <f>+IFERROR(HLOOKUP(Q7,'סקרי נכסים-יתרות פתיחה'!$2:$110,8,0),0)-IFERROR(HLOOKUP(Q7,'סקרי נכסים-יתרות פתיחה'!$2:$110,92,0),0)*(1-Q$309)</f>
        <v>0</v>
      </c>
      <c r="R108" s="1240">
        <f>+IFERROR(HLOOKUP(R7,'סקרי נכסים-יתרות פתיחה'!$2:$110,8,0),0)-IFERROR(HLOOKUP(R7,'סקרי נכסים-יתרות פתיחה'!$2:$110,92,0),0)*(1-R$309)</f>
        <v>0</v>
      </c>
      <c r="S108" s="1240">
        <f>+IFERROR(HLOOKUP(S7,'סקרי נכסים-יתרות פתיחה'!$2:$110,8,0),0)-IFERROR(HLOOKUP(S7,'סקרי נכסים-יתרות פתיחה'!$2:$110,92,0),0)*(1-S$309)</f>
        <v>0</v>
      </c>
      <c r="T108" s="1240">
        <f>+IFERROR(HLOOKUP(T7,'סקרי נכסים-יתרות פתיחה'!$2:$110,8,0),0)-IFERROR(HLOOKUP(T7,'סקרי נכסים-יתרות פתיחה'!$2:$110,92,0),0)*(1-T$309)</f>
        <v>0</v>
      </c>
      <c r="U108" s="1240">
        <f>+IFERROR(HLOOKUP(U7,'סקרי נכסים-יתרות פתיחה'!$2:$110,8,0),0)-IFERROR(HLOOKUP(U7,'סקרי נכסים-יתרות פתיחה'!$2:$110,92,0),0)*(1-U$309)</f>
        <v>0</v>
      </c>
      <c r="V108" s="1240">
        <f>+IFERROR(HLOOKUP(V7,'סקרי נכסים-יתרות פתיחה'!$2:$110,8,0),0)-IFERROR(HLOOKUP(V7,'סקרי נכסים-יתרות פתיחה'!$2:$110,92,0),0)*(1-V$309)</f>
        <v>600000</v>
      </c>
      <c r="W108" s="1240">
        <f>+IFERROR(HLOOKUP(W7,'סקרי נכסים-יתרות פתיחה'!$2:$110,8,0),0)-IFERROR(HLOOKUP(W7,'סקרי נכסים-יתרות פתיחה'!$2:$110,92,0),0)*(1-W$309)</f>
        <v>0</v>
      </c>
      <c r="X108" s="1240">
        <f>+IFERROR(HLOOKUP(X7,'סקרי נכסים-יתרות פתיחה'!$2:$110,8,0),0)-IFERROR(HLOOKUP(X7,'סקרי נכסים-יתרות פתיחה'!$2:$110,92,0),0)*(1-X$309)</f>
        <v>250000</v>
      </c>
      <c r="Y108" s="1240">
        <f>+IFERROR(HLOOKUP(Y7,'סקרי נכסים-יתרות פתיחה'!$2:$110,8,0),0)-IFERROR(HLOOKUP(Y7,'סקרי נכסים-יתרות פתיחה'!$2:$110,92,0),0)*(1-Y$309)</f>
        <v>594285.71428571432</v>
      </c>
      <c r="Z108" s="1240">
        <f>+IFERROR(HLOOKUP(Z7,'סקרי נכסים-יתרות פתיחה'!$2:$110,8,0),0)-IFERROR(HLOOKUP(Z7,'סקרי נכסים-יתרות פתיחה'!$2:$110,92,0),0)*(1-Z$309)</f>
        <v>0</v>
      </c>
      <c r="AA108" s="1240">
        <f>+IFERROR(HLOOKUP(AA7,'סקרי נכסים-יתרות פתיחה'!$2:$110,8,0),0)-IFERROR(HLOOKUP(AA7,'סקרי נכסים-יתרות פתיחה'!$2:$110,92,0),0)*(1-AA$309)</f>
        <v>0</v>
      </c>
      <c r="AB108" s="1240">
        <f>+IFERROR(HLOOKUP(AB7,'סקרי נכסים-יתרות פתיחה'!$2:$110,8,0),0)-IFERROR(HLOOKUP(AB7,'סקרי נכסים-יתרות פתיחה'!$2:$110,92,0),0)*(1-AB$309)</f>
        <v>0</v>
      </c>
      <c r="AC108" s="1240">
        <f>+IFERROR(HLOOKUP(AC7,'סקרי נכסים-יתרות פתיחה'!$2:$110,8,0),0)-IFERROR(HLOOKUP(AC7,'סקרי נכסים-יתרות פתיחה'!$2:$110,92,0),0)*(1-AC$309)</f>
        <v>0</v>
      </c>
      <c r="AD108" s="1240">
        <f>+IFERROR(HLOOKUP(AD7,'סקרי נכסים-יתרות פתיחה'!$2:$110,8,0),0)-IFERROR(HLOOKUP(AD7,'סקרי נכסים-יתרות פתיחה'!$2:$110,92,0),0)*(1-AD$309)</f>
        <v>0</v>
      </c>
      <c r="AE108" s="1240">
        <f>+IFERROR(HLOOKUP(AE7,'סקרי נכסים-יתרות פתיחה'!$2:$110,8,0),0)-IFERROR(HLOOKUP(AE7,'סקרי נכסים-יתרות פתיחה'!$2:$110,92,0),0)*(1-AE$309)</f>
        <v>0</v>
      </c>
      <c r="AF108" s="1240">
        <f>+IFERROR(HLOOKUP(AF7,'סקרי נכסים-יתרות פתיחה'!$2:$110,8,0),0)-IFERROR(HLOOKUP(AF7,'סקרי נכסים-יתרות פתיחה'!$2:$110,92,0),0)*(1-AF$309)</f>
        <v>0</v>
      </c>
      <c r="AG108" s="1240">
        <f>+IFERROR(HLOOKUP(AG7,'סקרי נכסים-יתרות פתיחה'!$2:$110,8,0),0)-IFERROR(HLOOKUP(AG7,'סקרי נכסים-יתרות פתיחה'!$2:$110,92,0),0)*(1-AG$309)</f>
        <v>0</v>
      </c>
      <c r="AH108" s="1240">
        <f>+IFERROR(HLOOKUP(AH7,'סקרי נכסים-יתרות פתיחה'!$2:$110,8,0),0)-IFERROR(HLOOKUP(AH7,'סקרי נכסים-יתרות פתיחה'!$2:$110,92,0),0)*(1-AH$309)</f>
        <v>0</v>
      </c>
      <c r="AI108" s="1240">
        <f>+IFERROR(HLOOKUP(AI7,'סקרי נכסים-יתרות פתיחה'!$2:$110,8,0),0)-IFERROR(HLOOKUP(AI7,'סקרי נכסים-יתרות פתיחה'!$2:$110,92,0),0)*(1-AI$309)</f>
        <v>0</v>
      </c>
      <c r="AJ108" s="1240">
        <f>+IFERROR(HLOOKUP(AJ7,'סקרי נכסים-יתרות פתיחה'!$2:$110,8,0),0)-IFERROR(HLOOKUP(AJ7,'סקרי נכסים-יתרות פתיחה'!$2:$110,92,0),0)*(1-AJ$309)</f>
        <v>0</v>
      </c>
      <c r="AK108" s="1240">
        <f>+IFERROR(HLOOKUP(AK7,'סקרי נכסים-יתרות פתיחה'!$2:$110,8,0),0)-IFERROR(HLOOKUP(AK7,'סקרי נכסים-יתרות פתיחה'!$2:$110,92,0),0)*(1-AK$309)</f>
        <v>0</v>
      </c>
      <c r="AL108" s="1240">
        <f>+IFERROR(HLOOKUP(AL7,'סקרי נכסים-יתרות פתיחה'!$2:$110,8,0),0)-IFERROR(HLOOKUP(AL7,'סקרי נכסים-יתרות פתיחה'!$2:$110,92,0),0)*(1-AL$309)</f>
        <v>0</v>
      </c>
      <c r="AM108" s="1240">
        <f>+IFERROR(HLOOKUP(AM7,'סקרי נכסים-יתרות פתיחה'!$2:$110,8,0),0)-IFERROR(HLOOKUP(AM7,'סקרי נכסים-יתרות פתיחה'!$2:$110,92,0),0)*(1-AM$309)</f>
        <v>4547619.0476190476</v>
      </c>
      <c r="AN108" s="1240">
        <f>+IFERROR(HLOOKUP(AN7,'סקרי נכסים-יתרות פתיחה'!$2:$110,8,0),0)-IFERROR(HLOOKUP(AN7,'סקרי נכסים-יתרות פתיחה'!$2:$110,92,0),0)*(1-AN$309)</f>
        <v>1000000</v>
      </c>
      <c r="AO108" s="1240">
        <f>+IFERROR(HLOOKUP(AO7,'סקרי נכסים-יתרות פתיחה'!$2:$110,8,0),0)-IFERROR(HLOOKUP(AO7,'סקרי נכסים-יתרות פתיחה'!$2:$110,92,0),0)*(1-AO$309)</f>
        <v>0</v>
      </c>
      <c r="AP108" s="1240">
        <f>+IFERROR(HLOOKUP(AP7,'סקרי נכסים-יתרות פתיחה'!$2:$110,8,0),0)-IFERROR(HLOOKUP(AP7,'סקרי נכסים-יתרות פתיחה'!$2:$110,92,0),0)*(1-AP$309)</f>
        <v>0</v>
      </c>
      <c r="AQ108" s="1240">
        <f>+IFERROR(HLOOKUP(AQ7,'סקרי נכסים-יתרות פתיחה'!$2:$110,8,0),0)-IFERROR(HLOOKUP(AQ7,'סקרי נכסים-יתרות פתיחה'!$2:$110,92,0),0)*(1-AQ$309)</f>
        <v>0</v>
      </c>
      <c r="AR108" s="1240">
        <f>+IFERROR(HLOOKUP(AR7,'סקרי נכסים-יתרות פתיחה'!$2:$110,8,0),0)-IFERROR(HLOOKUP(AR7,'סקרי נכסים-יתרות פתיחה'!$2:$110,92,0),0)*(1-AR$309)</f>
        <v>0</v>
      </c>
      <c r="AS108" s="1240">
        <f>+IFERROR(HLOOKUP(AS7,'סקרי נכסים-יתרות פתיחה'!$2:$110,8,0),0)-IFERROR(HLOOKUP(AS7,'סקרי נכסים-יתרות פתיחה'!$2:$110,92,0),0)*(1-AS$309)</f>
        <v>1300000</v>
      </c>
      <c r="AT108" s="1240">
        <f>+IFERROR(HLOOKUP(AT7,'סקרי נכסים-יתרות פתיחה'!$2:$110,8,0),0)-IFERROR(HLOOKUP(AT7,'סקרי נכסים-יתרות פתיחה'!$2:$110,92,0),0)*(1-AT$309)</f>
        <v>0</v>
      </c>
      <c r="AU108" s="1240">
        <f>+IFERROR(HLOOKUP(AU7,'סקרי נכסים-יתרות פתיחה'!$2:$110,8,0),0)-IFERROR(HLOOKUP(AU7,'סקרי נכסים-יתרות פתיחה'!$2:$110,92,0),0)*(1-AU$309)</f>
        <v>0</v>
      </c>
      <c r="AV108" s="1240">
        <f>+IFERROR(HLOOKUP(AV7,'סקרי נכסים-יתרות פתיחה'!$2:$110,8,0),0)-IFERROR(HLOOKUP(AV7,'סקרי נכסים-יתרות פתיחה'!$2:$110,92,0),0)*(1-AV$309)</f>
        <v>0</v>
      </c>
      <c r="AW108" s="1240">
        <f>+IFERROR(HLOOKUP(AW7,'סקרי נכסים-יתרות פתיחה'!$2:$110,8,0),0)-IFERROR(HLOOKUP(AW7,'סקרי נכסים-יתרות פתיחה'!$2:$110,92,0),0)*(1-AW$309)</f>
        <v>0</v>
      </c>
      <c r="AX108" s="1240">
        <f>+IFERROR(HLOOKUP(AX7,'סקרי נכסים-יתרות פתיחה'!$2:$110,8,0),0)-IFERROR(HLOOKUP(AX7,'סקרי נכסים-יתרות פתיחה'!$2:$110,92,0),0)*(1-AX$309)</f>
        <v>0</v>
      </c>
      <c r="AY108" s="1240">
        <f>+IFERROR(HLOOKUP(AY7,'סקרי נכסים-יתרות פתיחה'!$2:$110,8,0),0)-IFERROR(HLOOKUP(AY7,'סקרי נכסים-יתרות פתיחה'!$2:$110,92,0),0)*(1-AY$309)</f>
        <v>0</v>
      </c>
      <c r="AZ108" s="1240">
        <f>+IFERROR(HLOOKUP(AZ7,'סקרי נכסים-יתרות פתיחה'!$2:$110,8,0),0)-IFERROR(HLOOKUP(AZ7,'סקרי נכסים-יתרות פתיחה'!$2:$110,92,0),0)*(1-AZ$309)</f>
        <v>4800000</v>
      </c>
      <c r="BA108" s="1240">
        <f>+IFERROR(HLOOKUP(BA7,'סקרי נכסים-יתרות פתיחה'!$2:$110,8,0),0)-IFERROR(HLOOKUP(BA7,'סקרי נכסים-יתרות פתיחה'!$2:$110,92,0),0)*(1-BA$309)</f>
        <v>1728095.2380952381</v>
      </c>
      <c r="BB108" s="1240">
        <f>+IFERROR(HLOOKUP(BB7,'סקרי נכסים-יתרות פתיחה'!$2:$110,8,0),0)-IFERROR(HLOOKUP(BB7,'סקרי נכסים-יתרות פתיחה'!$2:$110,92,0),0)*(1-BB$309)</f>
        <v>923000</v>
      </c>
      <c r="BC108" s="1240">
        <f>+IFERROR(HLOOKUP(BC7,'סקרי נכסים-יתרות פתיחה'!$2:$110,8,0),0)-IFERROR(HLOOKUP(BC7,'סקרי נכסים-יתרות פתיחה'!$2:$110,92,0),0)*(1-BC$309)</f>
        <v>1500000</v>
      </c>
      <c r="BD108" s="1240">
        <f>+IFERROR(HLOOKUP(BD7,'סקרי נכסים-יתרות פתיחה'!$2:$110,8,0),0)-IFERROR(HLOOKUP(BD7,'סקרי נכסים-יתרות פתיחה'!$2:$110,92,0),0)*(1-BD$309)</f>
        <v>0</v>
      </c>
      <c r="BE108" s="1240">
        <f>+IFERROR(HLOOKUP(BE7,'סקרי נכסים-יתרות פתיחה'!$2:$110,8,0),0)-IFERROR(HLOOKUP(BE7,'סקרי נכסים-יתרות פתיחה'!$2:$110,92,0),0)*(1-BE$309)</f>
        <v>0</v>
      </c>
      <c r="BF108" s="1240">
        <f>+IFERROR(HLOOKUP(BF7,'סקרי נכסים-יתרות פתיחה'!$2:$110,8,0),0)-IFERROR(HLOOKUP(BF7,'סקרי נכסים-יתרות פתיחה'!$2:$110,92,0),0)*(1-BF$309)</f>
        <v>0</v>
      </c>
    </row>
    <row r="109" spans="1:62" x14ac:dyDescent="0.2">
      <c r="B109" s="1">
        <v>5</v>
      </c>
      <c r="C109" s="1240">
        <f>+IFERROR(HLOOKUP(C8,'סקרי נכסים-יתרות פתיחה'!$2:$110,8,0),0)-IFERROR(HLOOKUP(C8,'סקרי נכסים-יתרות פתיחה'!$2:$110,92,0),0)*(1-C$309)</f>
        <v>0</v>
      </c>
      <c r="D109" s="1240">
        <f>+IFERROR(HLOOKUP(D8,'סקרי נכסים-יתרות פתיחה'!$2:$110,8,0),0)-IFERROR(HLOOKUP(D8,'סקרי נכסים-יתרות פתיחה'!$2:$110,92,0),0)*(1-D$309)</f>
        <v>0</v>
      </c>
      <c r="E109" s="1240">
        <f>+IFERROR(HLOOKUP(E8,'סקרי נכסים-יתרות פתיחה'!$2:$110,8,0),0)-IFERROR(HLOOKUP(E8,'סקרי נכסים-יתרות פתיחה'!$2:$110,92,0),0)*(1-E$309)</f>
        <v>0</v>
      </c>
      <c r="F109" s="1240">
        <f>+IFERROR(HLOOKUP(F8,'סקרי נכסים-יתרות פתיחה'!$2:$110,8,0),0)-IFERROR(HLOOKUP(F8,'סקרי נכסים-יתרות פתיחה'!$2:$110,92,0),0)*(1-F$309)</f>
        <v>0</v>
      </c>
      <c r="G109" s="1240">
        <f>+IFERROR(HLOOKUP(G8,'סקרי נכסים-יתרות פתיחה'!$2:$110,8,0),0)-IFERROR(HLOOKUP(G8,'סקרי נכסים-יתרות פתיחה'!$2:$110,92,0),0)*(1-G$309)</f>
        <v>0</v>
      </c>
      <c r="H109" s="1240">
        <f>+IFERROR(HLOOKUP(H8,'סקרי נכסים-יתרות פתיחה'!$2:$110,8,0),0)-IFERROR(HLOOKUP(H8,'סקרי נכסים-יתרות פתיחה'!$2:$110,92,0),0)*(1-H$309)</f>
        <v>0</v>
      </c>
      <c r="I109" s="1240">
        <f>+IFERROR(HLOOKUP(I8,'סקרי נכסים-יתרות פתיחה'!$2:$110,8,0),0)-IFERROR(HLOOKUP(I8,'סקרי נכסים-יתרות פתיחה'!$2:$110,92,0),0)*(1-I$309)</f>
        <v>0</v>
      </c>
      <c r="J109" s="1240">
        <f>+IFERROR(HLOOKUP(J8,'סקרי נכסים-יתרות פתיחה'!$2:$110,8,0),0)-IFERROR(HLOOKUP(J8,'סקרי נכסים-יתרות פתיחה'!$2:$110,92,0),0)*(1-J$309)</f>
        <v>0</v>
      </c>
      <c r="K109" s="1240">
        <f>+IFERROR(HLOOKUP(K8,'סקרי נכסים-יתרות פתיחה'!$2:$110,8,0),0)-IFERROR(HLOOKUP(K8,'סקרי נכסים-יתרות פתיחה'!$2:$110,92,0),0)*(1-K$309)</f>
        <v>0</v>
      </c>
      <c r="L109" s="1240">
        <f>+IFERROR(HLOOKUP(L8,'סקרי נכסים-יתרות פתיחה'!$2:$110,8,0),0)-IFERROR(HLOOKUP(L8,'סקרי נכסים-יתרות פתיחה'!$2:$110,92,0),0)*(1-L$309)</f>
        <v>0</v>
      </c>
      <c r="M109" s="1240">
        <f>+IFERROR(HLOOKUP(M8,'סקרי נכסים-יתרות פתיחה'!$2:$110,8,0),0)-IFERROR(HLOOKUP(M8,'סקרי נכסים-יתרות פתיחה'!$2:$110,92,0),0)*(1-M$309)</f>
        <v>0</v>
      </c>
      <c r="N109" s="1240">
        <f>+IFERROR(HLOOKUP(N8,'סקרי נכסים-יתרות פתיחה'!$2:$110,8,0),0)-IFERROR(HLOOKUP(N8,'סקרי נכסים-יתרות פתיחה'!$2:$110,92,0),0)*(1-N$309)</f>
        <v>0</v>
      </c>
      <c r="O109" s="1240">
        <f>+IFERROR(HLOOKUP(O8,'סקרי נכסים-יתרות פתיחה'!$2:$110,8,0),0)-IFERROR(HLOOKUP(O8,'סקרי נכסים-יתרות פתיחה'!$2:$110,92,0),0)*(1-O$309)</f>
        <v>0</v>
      </c>
      <c r="P109" s="1240">
        <f>+IFERROR(HLOOKUP(P8,'סקרי נכסים-יתרות פתיחה'!$2:$110,8,0),0)-IFERROR(HLOOKUP(P8,'סקרי נכסים-יתרות פתיחה'!$2:$110,92,0),0)*(1-P$309)</f>
        <v>0</v>
      </c>
      <c r="Q109" s="1240">
        <f>+IFERROR(HLOOKUP(Q8,'סקרי נכסים-יתרות פתיחה'!$2:$110,8,0),0)-IFERROR(HLOOKUP(Q8,'סקרי נכסים-יתרות פתיחה'!$2:$110,92,0),0)*(1-Q$309)</f>
        <v>0</v>
      </c>
      <c r="R109" s="1240">
        <f>+IFERROR(HLOOKUP(R8,'סקרי נכסים-יתרות פתיחה'!$2:$110,8,0),0)-IFERROR(HLOOKUP(R8,'סקרי נכסים-יתרות פתיחה'!$2:$110,92,0),0)*(1-R$309)</f>
        <v>0</v>
      </c>
      <c r="S109" s="1240">
        <f>+IFERROR(HLOOKUP(S8,'סקרי נכסים-יתרות פתיחה'!$2:$110,8,0),0)-IFERROR(HLOOKUP(S8,'סקרי נכסים-יתרות פתיחה'!$2:$110,92,0),0)*(1-S$309)</f>
        <v>0</v>
      </c>
      <c r="T109" s="1240">
        <f>+IFERROR(HLOOKUP(T8,'סקרי נכסים-יתרות פתיחה'!$2:$110,8,0),0)-IFERROR(HLOOKUP(T8,'סקרי נכסים-יתרות פתיחה'!$2:$110,92,0),0)*(1-T$309)</f>
        <v>0</v>
      </c>
      <c r="U109" s="1240">
        <f>+IFERROR(HLOOKUP(U8,'סקרי נכסים-יתרות פתיחה'!$2:$110,8,0),0)-IFERROR(HLOOKUP(U8,'סקרי נכסים-יתרות פתיחה'!$2:$110,92,0),0)*(1-U$309)</f>
        <v>0</v>
      </c>
      <c r="V109" s="1240">
        <f>+IFERROR(HLOOKUP(V8,'סקרי נכסים-יתרות פתיחה'!$2:$110,8,0),0)-IFERROR(HLOOKUP(V8,'סקרי נכסים-יתרות פתיחה'!$2:$110,92,0),0)*(1-V$309)</f>
        <v>800000</v>
      </c>
      <c r="W109" s="1240">
        <f>+IFERROR(HLOOKUP(W8,'סקרי נכסים-יתרות פתיחה'!$2:$110,8,0),0)-IFERROR(HLOOKUP(W8,'סקרי נכסים-יתרות פתיחה'!$2:$110,92,0),0)*(1-W$309)</f>
        <v>0</v>
      </c>
      <c r="X109" s="1240">
        <f>+IFERROR(HLOOKUP(X8,'סקרי נכסים-יתרות פתיחה'!$2:$110,8,0),0)-IFERROR(HLOOKUP(X8,'סקרי נכסים-יתרות פתיחה'!$2:$110,92,0),0)*(1-X$309)</f>
        <v>1248694</v>
      </c>
      <c r="Y109" s="1240">
        <f>+IFERROR(HLOOKUP(Y8,'סקרי נכסים-יתרות פתיחה'!$2:$110,8,0),0)-IFERROR(HLOOKUP(Y8,'סקרי נכסים-יתרות פתיחה'!$2:$110,92,0),0)*(1-Y$309)</f>
        <v>0</v>
      </c>
      <c r="Z109" s="1240">
        <f>+IFERROR(HLOOKUP(Z8,'סקרי נכסים-יתרות פתיחה'!$2:$110,8,0),0)-IFERROR(HLOOKUP(Z8,'סקרי נכסים-יתרות פתיחה'!$2:$110,92,0),0)*(1-Z$309)</f>
        <v>0</v>
      </c>
      <c r="AA109" s="1240">
        <f>+IFERROR(HLOOKUP(AA8,'סקרי נכסים-יתרות פתיחה'!$2:$110,8,0),0)-IFERROR(HLOOKUP(AA8,'סקרי נכסים-יתרות פתיחה'!$2:$110,92,0),0)*(1-AA$309)</f>
        <v>0</v>
      </c>
      <c r="AB109" s="1240">
        <f>+IFERROR(HLOOKUP(AB8,'סקרי נכסים-יתרות פתיחה'!$2:$110,8,0),0)-IFERROR(HLOOKUP(AB8,'סקרי נכסים-יתרות פתיחה'!$2:$110,92,0),0)*(1-AB$309)</f>
        <v>0</v>
      </c>
      <c r="AC109" s="1240">
        <f>+IFERROR(HLOOKUP(AC8,'סקרי נכסים-יתרות פתיחה'!$2:$110,8,0),0)-IFERROR(HLOOKUP(AC8,'סקרי נכסים-יתרות פתיחה'!$2:$110,92,0),0)*(1-AC$309)</f>
        <v>0</v>
      </c>
      <c r="AD109" s="1240">
        <f>+IFERROR(HLOOKUP(AD8,'סקרי נכסים-יתרות פתיחה'!$2:$110,8,0),0)-IFERROR(HLOOKUP(AD8,'סקרי נכסים-יתרות פתיחה'!$2:$110,92,0),0)*(1-AD$309)</f>
        <v>0</v>
      </c>
      <c r="AE109" s="1240">
        <f>+IFERROR(HLOOKUP(AE8,'סקרי נכסים-יתרות פתיחה'!$2:$110,8,0),0)-IFERROR(HLOOKUP(AE8,'סקרי נכסים-יתרות פתיחה'!$2:$110,92,0),0)*(1-AE$309)</f>
        <v>0</v>
      </c>
      <c r="AF109" s="1240">
        <f>+IFERROR(HLOOKUP(AF8,'סקרי נכסים-יתרות פתיחה'!$2:$110,8,0),0)-IFERROR(HLOOKUP(AF8,'סקרי נכסים-יתרות פתיחה'!$2:$110,92,0),0)*(1-AF$309)</f>
        <v>0</v>
      </c>
      <c r="AG109" s="1240">
        <f>+IFERROR(HLOOKUP(AG8,'סקרי נכסים-יתרות פתיחה'!$2:$110,8,0),0)-IFERROR(HLOOKUP(AG8,'סקרי נכסים-יתרות פתיחה'!$2:$110,92,0),0)*(1-AG$309)</f>
        <v>0</v>
      </c>
      <c r="AH109" s="1240">
        <f>+IFERROR(HLOOKUP(AH8,'סקרי נכסים-יתרות פתיחה'!$2:$110,8,0),0)-IFERROR(HLOOKUP(AH8,'סקרי נכסים-יתרות פתיחה'!$2:$110,92,0),0)*(1-AH$309)</f>
        <v>0</v>
      </c>
      <c r="AI109" s="1240">
        <f>+IFERROR(HLOOKUP(AI8,'סקרי נכסים-יתרות פתיחה'!$2:$110,8,0),0)-IFERROR(HLOOKUP(AI8,'סקרי נכסים-יתרות פתיחה'!$2:$110,92,0),0)*(1-AI$309)</f>
        <v>0</v>
      </c>
      <c r="AJ109" s="1240">
        <f>+IFERROR(HLOOKUP(AJ8,'סקרי נכסים-יתרות פתיחה'!$2:$110,8,0),0)-IFERROR(HLOOKUP(AJ8,'סקרי נכסים-יתרות פתיחה'!$2:$110,92,0),0)*(1-AJ$309)</f>
        <v>0</v>
      </c>
      <c r="AK109" s="1240">
        <f>+IFERROR(HLOOKUP(AK8,'סקרי נכסים-יתרות פתיחה'!$2:$110,8,0),0)-IFERROR(HLOOKUP(AK8,'סקרי נכסים-יתרות פתיחה'!$2:$110,92,0),0)*(1-AK$309)</f>
        <v>0</v>
      </c>
      <c r="AL109" s="1240">
        <f>+IFERROR(HLOOKUP(AL8,'סקרי נכסים-יתרות פתיחה'!$2:$110,8,0),0)-IFERROR(HLOOKUP(AL8,'סקרי נכסים-יתרות פתיחה'!$2:$110,92,0),0)*(1-AL$309)</f>
        <v>0</v>
      </c>
      <c r="AM109" s="1240">
        <f>+IFERROR(HLOOKUP(AM8,'סקרי נכסים-יתרות פתיחה'!$2:$110,8,0),0)-IFERROR(HLOOKUP(AM8,'סקרי נכסים-יתרות פתיחה'!$2:$110,92,0),0)*(1-AM$309)</f>
        <v>1819047.6190476189</v>
      </c>
      <c r="AN109" s="1240">
        <f>+IFERROR(HLOOKUP(AN8,'סקרי נכסים-יתרות פתיחה'!$2:$110,8,0),0)-IFERROR(HLOOKUP(AN8,'סקרי נכסים-יתרות פתיחה'!$2:$110,92,0),0)*(1-AN$309)</f>
        <v>120000</v>
      </c>
      <c r="AO109" s="1240">
        <f>+IFERROR(HLOOKUP(AO8,'סקרי נכסים-יתרות פתיחה'!$2:$110,8,0),0)-IFERROR(HLOOKUP(AO8,'סקרי נכסים-יתרות פתיחה'!$2:$110,92,0),0)*(1-AO$309)</f>
        <v>0</v>
      </c>
      <c r="AP109" s="1240">
        <f>+IFERROR(HLOOKUP(AP8,'סקרי נכסים-יתרות פתיחה'!$2:$110,8,0),0)-IFERROR(HLOOKUP(AP8,'סקרי נכסים-יתרות פתיחה'!$2:$110,92,0),0)*(1-AP$309)</f>
        <v>0</v>
      </c>
      <c r="AQ109" s="1240">
        <f>+IFERROR(HLOOKUP(AQ8,'סקרי נכסים-יתרות פתיחה'!$2:$110,8,0),0)-IFERROR(HLOOKUP(AQ8,'סקרי נכסים-יתרות פתיחה'!$2:$110,92,0),0)*(1-AQ$309)</f>
        <v>0</v>
      </c>
      <c r="AR109" s="1240">
        <f>+IFERROR(HLOOKUP(AR8,'סקרי נכסים-יתרות פתיחה'!$2:$110,8,0),0)-IFERROR(HLOOKUP(AR8,'סקרי נכסים-יתרות פתיחה'!$2:$110,92,0),0)*(1-AR$309)</f>
        <v>0</v>
      </c>
      <c r="AS109" s="1240">
        <f>+IFERROR(HLOOKUP(AS8,'סקרי נכסים-יתרות פתיחה'!$2:$110,8,0),0)-IFERROR(HLOOKUP(AS8,'סקרי נכסים-יתרות פתיחה'!$2:$110,92,0),0)*(1-AS$309)</f>
        <v>1800000</v>
      </c>
      <c r="AT109" s="1240">
        <f>+IFERROR(HLOOKUP(AT8,'סקרי נכסים-יתרות פתיחה'!$2:$110,8,0),0)-IFERROR(HLOOKUP(AT8,'סקרי נכסים-יתרות פתיחה'!$2:$110,92,0),0)*(1-AT$309)</f>
        <v>0</v>
      </c>
      <c r="AU109" s="1240">
        <f>+IFERROR(HLOOKUP(AU8,'סקרי נכסים-יתרות פתיחה'!$2:$110,8,0),0)-IFERROR(HLOOKUP(AU8,'סקרי נכסים-יתרות פתיחה'!$2:$110,92,0),0)*(1-AU$309)</f>
        <v>0</v>
      </c>
      <c r="AV109" s="1240">
        <f>+IFERROR(HLOOKUP(AV8,'סקרי נכסים-יתרות פתיחה'!$2:$110,8,0),0)-IFERROR(HLOOKUP(AV8,'סקרי נכסים-יתרות פתיחה'!$2:$110,92,0),0)*(1-AV$309)</f>
        <v>0</v>
      </c>
      <c r="AW109" s="1240">
        <f>+IFERROR(HLOOKUP(AW8,'סקרי נכסים-יתרות פתיחה'!$2:$110,8,0),0)-IFERROR(HLOOKUP(AW8,'סקרי נכסים-יתרות פתיחה'!$2:$110,92,0),0)*(1-AW$309)</f>
        <v>0</v>
      </c>
      <c r="AX109" s="1240">
        <f>+IFERROR(HLOOKUP(AX8,'סקרי נכסים-יתרות פתיחה'!$2:$110,8,0),0)-IFERROR(HLOOKUP(AX8,'סקרי נכסים-יתרות פתיחה'!$2:$110,92,0),0)*(1-AX$309)</f>
        <v>0</v>
      </c>
      <c r="AY109" s="1240">
        <f>+IFERROR(HLOOKUP(AY8,'סקרי נכסים-יתרות פתיחה'!$2:$110,8,0),0)-IFERROR(HLOOKUP(AY8,'סקרי נכסים-יתרות פתיחה'!$2:$110,92,0),0)*(1-AY$309)</f>
        <v>0</v>
      </c>
      <c r="AZ109" s="1240">
        <f>+IFERROR(HLOOKUP(AZ8,'סקרי נכסים-יתרות פתיחה'!$2:$110,8,0),0)-IFERROR(HLOOKUP(AZ8,'סקרי נכסים-יתרות פתיחה'!$2:$110,92,0),0)*(1-AZ$309)</f>
        <v>0</v>
      </c>
      <c r="BA109" s="1240">
        <f>+IFERROR(HLOOKUP(BA8,'סקרי נכסים-יתרות פתיחה'!$2:$110,8,0),0)-IFERROR(HLOOKUP(BA8,'סקרי נכסים-יתרות פתיחה'!$2:$110,92,0),0)*(1-BA$309)</f>
        <v>0</v>
      </c>
      <c r="BB109" s="1240">
        <f>+IFERROR(HLOOKUP(BB8,'סקרי נכסים-יתרות פתיחה'!$2:$110,8,0),0)-IFERROR(HLOOKUP(BB8,'סקרי נכסים-יתרות פתיחה'!$2:$110,92,0),0)*(1-BB$309)</f>
        <v>1764000</v>
      </c>
      <c r="BC109" s="1240">
        <f>+IFERROR(HLOOKUP(BC8,'סקרי נכסים-יתרות פתיחה'!$2:$110,8,0),0)-IFERROR(HLOOKUP(BC8,'סקרי נכסים-יתרות פתיחה'!$2:$110,92,0),0)*(1-BC$309)</f>
        <v>1000000</v>
      </c>
      <c r="BD109" s="1240">
        <f>+IFERROR(HLOOKUP(BD8,'סקרי נכסים-יתרות פתיחה'!$2:$110,8,0),0)-IFERROR(HLOOKUP(BD8,'סקרי נכסים-יתרות פתיחה'!$2:$110,92,0),0)*(1-BD$309)</f>
        <v>0</v>
      </c>
      <c r="BE109" s="1240">
        <f>+IFERROR(HLOOKUP(BE8,'סקרי נכסים-יתרות פתיחה'!$2:$110,8,0),0)-IFERROR(HLOOKUP(BE8,'סקרי נכסים-יתרות פתיחה'!$2:$110,92,0),0)*(1-BE$309)</f>
        <v>0</v>
      </c>
      <c r="BF109" s="1240">
        <f>+IFERROR(HLOOKUP(BF8,'סקרי נכסים-יתרות פתיחה'!$2:$110,8,0),0)-IFERROR(HLOOKUP(BF8,'סקרי נכסים-יתרות פתיחה'!$2:$110,92,0),0)*(1-BF$309)</f>
        <v>0</v>
      </c>
    </row>
    <row r="110" spans="1:62" x14ac:dyDescent="0.2">
      <c r="B110" s="1">
        <v>6</v>
      </c>
      <c r="C110" s="1240">
        <f>+IFERROR(HLOOKUP(C9,'סקרי נכסים-יתרות פתיחה'!$2:$110,8,0),0)-IFERROR(HLOOKUP(C9,'סקרי נכסים-יתרות פתיחה'!$2:$110,92,0),0)*(1-C$309)</f>
        <v>0</v>
      </c>
      <c r="D110" s="1240">
        <f>+IFERROR(HLOOKUP(D9,'סקרי נכסים-יתרות פתיחה'!$2:$110,8,0),0)-IFERROR(HLOOKUP(D9,'סקרי נכסים-יתרות פתיחה'!$2:$110,92,0),0)*(1-D$309)</f>
        <v>100000</v>
      </c>
      <c r="E110" s="1240">
        <f>+IFERROR(HLOOKUP(E9,'סקרי נכסים-יתרות פתיחה'!$2:$110,8,0),0)-IFERROR(HLOOKUP(E9,'סקרי נכסים-יתרות פתיחה'!$2:$110,92,0),0)*(1-E$309)</f>
        <v>0</v>
      </c>
      <c r="F110" s="1240">
        <f>+IFERROR(HLOOKUP(F9,'סקרי נכסים-יתרות פתיחה'!$2:$110,8,0),0)-IFERROR(HLOOKUP(F9,'סקרי נכסים-יתרות פתיחה'!$2:$110,92,0),0)*(1-F$309)</f>
        <v>0</v>
      </c>
      <c r="G110" s="1240">
        <f>+IFERROR(HLOOKUP(G9,'סקרי נכסים-יתרות פתיחה'!$2:$110,8,0),0)-IFERROR(HLOOKUP(G9,'סקרי נכסים-יתרות פתיחה'!$2:$110,92,0),0)*(1-G$309)</f>
        <v>0</v>
      </c>
      <c r="H110" s="1240">
        <f>+IFERROR(HLOOKUP(H9,'סקרי נכסים-יתרות פתיחה'!$2:$110,8,0),0)-IFERROR(HLOOKUP(H9,'סקרי נכסים-יתרות פתיחה'!$2:$110,92,0),0)*(1-H$309)</f>
        <v>0</v>
      </c>
      <c r="I110" s="1240">
        <f>+IFERROR(HLOOKUP(I9,'סקרי נכסים-יתרות פתיחה'!$2:$110,8,0),0)-IFERROR(HLOOKUP(I9,'סקרי נכסים-יתרות פתיחה'!$2:$110,92,0),0)*(1-I$309)</f>
        <v>0</v>
      </c>
      <c r="J110" s="1240">
        <f>+IFERROR(HLOOKUP(J9,'סקרי נכסים-יתרות פתיחה'!$2:$110,8,0),0)-IFERROR(HLOOKUP(J9,'סקרי נכסים-יתרות פתיחה'!$2:$110,92,0),0)*(1-J$309)</f>
        <v>0</v>
      </c>
      <c r="K110" s="1240">
        <f>+IFERROR(HLOOKUP(K9,'סקרי נכסים-יתרות פתיחה'!$2:$110,8,0),0)-IFERROR(HLOOKUP(K9,'סקרי נכסים-יתרות פתיחה'!$2:$110,92,0),0)*(1-K$309)</f>
        <v>0</v>
      </c>
      <c r="L110" s="1240">
        <f>+IFERROR(HLOOKUP(L9,'סקרי נכסים-יתרות פתיחה'!$2:$110,8,0),0)-IFERROR(HLOOKUP(L9,'סקרי נכסים-יתרות פתיחה'!$2:$110,92,0),0)*(1-L$309)</f>
        <v>0</v>
      </c>
      <c r="M110" s="1240">
        <f>+IFERROR(HLOOKUP(M9,'סקרי נכסים-יתרות פתיחה'!$2:$110,8,0),0)-IFERROR(HLOOKUP(M9,'סקרי נכסים-יתרות פתיחה'!$2:$110,92,0),0)*(1-M$309)</f>
        <v>0</v>
      </c>
      <c r="N110" s="1240">
        <f>+IFERROR(HLOOKUP(N9,'סקרי נכסים-יתרות פתיחה'!$2:$110,8,0),0)-IFERROR(HLOOKUP(N9,'סקרי נכסים-יתרות פתיחה'!$2:$110,92,0),0)*(1-N$309)</f>
        <v>0</v>
      </c>
      <c r="O110" s="1240">
        <f>+IFERROR(HLOOKUP(O9,'סקרי נכסים-יתרות פתיחה'!$2:$110,8,0),0)-IFERROR(HLOOKUP(O9,'סקרי נכסים-יתרות פתיחה'!$2:$110,92,0),0)*(1-O$309)</f>
        <v>0</v>
      </c>
      <c r="P110" s="1240">
        <f>+IFERROR(HLOOKUP(P9,'סקרי נכסים-יתרות פתיחה'!$2:$110,8,0),0)-IFERROR(HLOOKUP(P9,'סקרי נכסים-יתרות פתיחה'!$2:$110,92,0),0)*(1-P$309)</f>
        <v>550000</v>
      </c>
      <c r="Q110" s="1240">
        <f>+IFERROR(HLOOKUP(Q9,'סקרי נכסים-יתרות פתיחה'!$2:$110,8,0),0)-IFERROR(HLOOKUP(Q9,'סקרי נכסים-יתרות פתיחה'!$2:$110,92,0),0)*(1-Q$309)</f>
        <v>0</v>
      </c>
      <c r="R110" s="1240">
        <f>+IFERROR(HLOOKUP(R9,'סקרי נכסים-יתרות פתיחה'!$2:$110,8,0),0)-IFERROR(HLOOKUP(R9,'סקרי נכסים-יתרות פתיחה'!$2:$110,92,0),0)*(1-R$309)</f>
        <v>0</v>
      </c>
      <c r="S110" s="1240">
        <f>+IFERROR(HLOOKUP(S9,'סקרי נכסים-יתרות פתיחה'!$2:$110,8,0),0)-IFERROR(HLOOKUP(S9,'סקרי נכסים-יתרות פתיחה'!$2:$110,92,0),0)*(1-S$309)</f>
        <v>0</v>
      </c>
      <c r="T110" s="1240">
        <f>+IFERROR(HLOOKUP(T9,'סקרי נכסים-יתרות פתיחה'!$2:$110,8,0),0)-IFERROR(HLOOKUP(T9,'סקרי נכסים-יתרות פתיחה'!$2:$110,92,0),0)*(1-T$309)</f>
        <v>0</v>
      </c>
      <c r="U110" s="1240">
        <f>+IFERROR(HLOOKUP(U9,'סקרי נכסים-יתרות פתיחה'!$2:$110,8,0),0)-IFERROR(HLOOKUP(U9,'סקרי נכסים-יתרות פתיחה'!$2:$110,92,0),0)*(1-U$309)</f>
        <v>0</v>
      </c>
      <c r="V110" s="1240">
        <f>+IFERROR(HLOOKUP(V9,'סקרי נכסים-יתרות פתיחה'!$2:$110,8,0),0)-IFERROR(HLOOKUP(V9,'סקרי נכסים-יתרות פתיחה'!$2:$110,92,0),0)*(1-V$309)</f>
        <v>400000</v>
      </c>
      <c r="W110" s="1240">
        <f>+IFERROR(HLOOKUP(W9,'סקרי נכסים-יתרות פתיחה'!$2:$110,8,0),0)-IFERROR(HLOOKUP(W9,'סקרי נכסים-יתרות פתיחה'!$2:$110,92,0),0)*(1-W$309)</f>
        <v>2600000</v>
      </c>
      <c r="X110" s="1240">
        <f>+IFERROR(HLOOKUP(X9,'סקרי נכסים-יתרות פתיחה'!$2:$110,8,0),0)-IFERROR(HLOOKUP(X9,'סקרי נכסים-יתרות פתיחה'!$2:$110,92,0),0)*(1-X$309)</f>
        <v>0</v>
      </c>
      <c r="Y110" s="1240">
        <f>+IFERROR(HLOOKUP(Y9,'סקרי נכסים-יתרות פתיחה'!$2:$110,8,0),0)-IFERROR(HLOOKUP(Y9,'סקרי נכסים-יתרות פתיחה'!$2:$110,92,0),0)*(1-Y$309)</f>
        <v>0</v>
      </c>
      <c r="Z110" s="1240">
        <f>+IFERROR(HLOOKUP(Z9,'סקרי נכסים-יתרות פתיחה'!$2:$110,8,0),0)-IFERROR(HLOOKUP(Z9,'סקרי נכסים-יתרות פתיחה'!$2:$110,92,0),0)*(1-Z$309)</f>
        <v>0</v>
      </c>
      <c r="AA110" s="1240">
        <f>+IFERROR(HLOOKUP(AA9,'סקרי נכסים-יתרות פתיחה'!$2:$110,8,0),0)-IFERROR(HLOOKUP(AA9,'סקרי נכסים-יתרות פתיחה'!$2:$110,92,0),0)*(1-AA$309)</f>
        <v>0</v>
      </c>
      <c r="AB110" s="1240">
        <f>+IFERROR(HLOOKUP(AB9,'סקרי נכסים-יתרות פתיחה'!$2:$110,8,0),0)-IFERROR(HLOOKUP(AB9,'סקרי נכסים-יתרות פתיחה'!$2:$110,92,0),0)*(1-AB$309)</f>
        <v>0</v>
      </c>
      <c r="AC110" s="1240">
        <f>+IFERROR(HLOOKUP(AC9,'סקרי נכסים-יתרות פתיחה'!$2:$110,8,0),0)-IFERROR(HLOOKUP(AC9,'סקרי נכסים-יתרות פתיחה'!$2:$110,92,0),0)*(1-AC$309)</f>
        <v>0</v>
      </c>
      <c r="AD110" s="1240">
        <f>+IFERROR(HLOOKUP(AD9,'סקרי נכסים-יתרות פתיחה'!$2:$110,8,0),0)-IFERROR(HLOOKUP(AD9,'סקרי נכסים-יתרות פתיחה'!$2:$110,92,0),0)*(1-AD$309)</f>
        <v>0</v>
      </c>
      <c r="AE110" s="1240">
        <f>+IFERROR(HLOOKUP(AE9,'סקרי נכסים-יתרות פתיחה'!$2:$110,8,0),0)-IFERROR(HLOOKUP(AE9,'סקרי נכסים-יתרות פתיחה'!$2:$110,92,0),0)*(1-AE$309)</f>
        <v>0</v>
      </c>
      <c r="AF110" s="1240">
        <f>+IFERROR(HLOOKUP(AF9,'סקרי נכסים-יתרות פתיחה'!$2:$110,8,0),0)-IFERROR(HLOOKUP(AF9,'סקרי נכסים-יתרות פתיחה'!$2:$110,92,0),0)*(1-AF$309)</f>
        <v>0</v>
      </c>
      <c r="AG110" s="1240">
        <f>+IFERROR(HLOOKUP(AG9,'סקרי נכסים-יתרות פתיחה'!$2:$110,8,0),0)-IFERROR(HLOOKUP(AG9,'סקרי נכסים-יתרות פתיחה'!$2:$110,92,0),0)*(1-AG$309)</f>
        <v>0</v>
      </c>
      <c r="AH110" s="1240">
        <f>+IFERROR(HLOOKUP(AH9,'סקרי נכסים-יתרות פתיחה'!$2:$110,8,0),0)-IFERROR(HLOOKUP(AH9,'סקרי נכסים-יתרות פתיחה'!$2:$110,92,0),0)*(1-AH$309)</f>
        <v>0</v>
      </c>
      <c r="AI110" s="1240">
        <f>+IFERROR(HLOOKUP(AI9,'סקרי נכסים-יתרות פתיחה'!$2:$110,8,0),0)-IFERROR(HLOOKUP(AI9,'סקרי נכסים-יתרות פתיחה'!$2:$110,92,0),0)*(1-AI$309)</f>
        <v>0</v>
      </c>
      <c r="AJ110" s="1240">
        <f>+IFERROR(HLOOKUP(AJ9,'סקרי נכסים-יתרות פתיחה'!$2:$110,8,0),0)-IFERROR(HLOOKUP(AJ9,'סקרי נכסים-יתרות פתיחה'!$2:$110,92,0),0)*(1-AJ$309)</f>
        <v>0</v>
      </c>
      <c r="AK110" s="1240">
        <f>+IFERROR(HLOOKUP(AK9,'סקרי נכסים-יתרות פתיחה'!$2:$110,8,0),0)-IFERROR(HLOOKUP(AK9,'סקרי נכסים-יתרות פתיחה'!$2:$110,92,0),0)*(1-AK$309)</f>
        <v>0</v>
      </c>
      <c r="AL110" s="1240">
        <f>+IFERROR(HLOOKUP(AL9,'סקרי נכסים-יתרות פתיחה'!$2:$110,8,0),0)-IFERROR(HLOOKUP(AL9,'סקרי נכסים-יתרות פתיחה'!$2:$110,92,0),0)*(1-AL$309)</f>
        <v>0</v>
      </c>
      <c r="AM110" s="1240">
        <f>+IFERROR(HLOOKUP(AM9,'סקרי נכסים-יתרות פתיחה'!$2:$110,8,0),0)-IFERROR(HLOOKUP(AM9,'סקרי נכסים-יתרות פתיחה'!$2:$110,92,0),0)*(1-AM$309)</f>
        <v>0</v>
      </c>
      <c r="AN110" s="1240">
        <f>+IFERROR(HLOOKUP(AN9,'סקרי נכסים-יתרות פתיחה'!$2:$110,8,0),0)-IFERROR(HLOOKUP(AN9,'סקרי נכסים-יתרות פתיחה'!$2:$110,92,0),0)*(1-AN$309)</f>
        <v>0</v>
      </c>
      <c r="AO110" s="1240">
        <f>+IFERROR(HLOOKUP(AO9,'סקרי נכסים-יתרות פתיחה'!$2:$110,8,0),0)-IFERROR(HLOOKUP(AO9,'סקרי נכסים-יתרות פתיחה'!$2:$110,92,0),0)*(1-AO$309)</f>
        <v>0</v>
      </c>
      <c r="AP110" s="1240">
        <f>+IFERROR(HLOOKUP(AP9,'סקרי נכסים-יתרות פתיחה'!$2:$110,8,0),0)-IFERROR(HLOOKUP(AP9,'סקרי נכסים-יתרות פתיחה'!$2:$110,92,0),0)*(1-AP$309)</f>
        <v>0</v>
      </c>
      <c r="AQ110" s="1240">
        <f>+IFERROR(HLOOKUP(AQ9,'סקרי נכסים-יתרות פתיחה'!$2:$110,8,0),0)-IFERROR(HLOOKUP(AQ9,'סקרי נכסים-יתרות פתיחה'!$2:$110,92,0),0)*(1-AQ$309)</f>
        <v>0</v>
      </c>
      <c r="AR110" s="1240">
        <f>+IFERROR(HLOOKUP(AR9,'סקרי נכסים-יתרות פתיחה'!$2:$110,8,0),0)-IFERROR(HLOOKUP(AR9,'סקרי נכסים-יתרות פתיחה'!$2:$110,92,0),0)*(1-AR$309)</f>
        <v>0</v>
      </c>
      <c r="AS110" s="1240">
        <f>+IFERROR(HLOOKUP(AS9,'סקרי נכסים-יתרות פתיחה'!$2:$110,8,0),0)-IFERROR(HLOOKUP(AS9,'סקרי נכסים-יתרות פתיחה'!$2:$110,92,0),0)*(1-AS$309)</f>
        <v>1000000</v>
      </c>
      <c r="AT110" s="1240">
        <f>+IFERROR(HLOOKUP(AT9,'סקרי נכסים-יתרות פתיחה'!$2:$110,8,0),0)-IFERROR(HLOOKUP(AT9,'סקרי נכסים-יתרות פתיחה'!$2:$110,92,0),0)*(1-AT$309)</f>
        <v>0</v>
      </c>
      <c r="AU110" s="1240">
        <f>+IFERROR(HLOOKUP(AU9,'סקרי נכסים-יתרות פתיחה'!$2:$110,8,0),0)-IFERROR(HLOOKUP(AU9,'סקרי נכסים-יתרות פתיחה'!$2:$110,92,0),0)*(1-AU$309)</f>
        <v>0</v>
      </c>
      <c r="AV110" s="1240">
        <f>+IFERROR(HLOOKUP(AV9,'סקרי נכסים-יתרות פתיחה'!$2:$110,8,0),0)-IFERROR(HLOOKUP(AV9,'סקרי נכסים-יתרות פתיחה'!$2:$110,92,0),0)*(1-AV$309)</f>
        <v>0</v>
      </c>
      <c r="AW110" s="1240">
        <f>+IFERROR(HLOOKUP(AW9,'סקרי נכסים-יתרות פתיחה'!$2:$110,8,0),0)-IFERROR(HLOOKUP(AW9,'סקרי נכסים-יתרות פתיחה'!$2:$110,92,0),0)*(1-AW$309)</f>
        <v>0</v>
      </c>
      <c r="AX110" s="1240">
        <f>+IFERROR(HLOOKUP(AX9,'סקרי נכסים-יתרות פתיחה'!$2:$110,8,0),0)-IFERROR(HLOOKUP(AX9,'סקרי נכסים-יתרות פתיחה'!$2:$110,92,0),0)*(1-AX$309)</f>
        <v>0</v>
      </c>
      <c r="AY110" s="1240">
        <f>+IFERROR(HLOOKUP(AY9,'סקרי נכסים-יתרות פתיחה'!$2:$110,8,0),0)-IFERROR(HLOOKUP(AY9,'סקרי נכסים-יתרות פתיחה'!$2:$110,92,0),0)*(1-AY$309)</f>
        <v>0</v>
      </c>
      <c r="AZ110" s="1240">
        <f>+IFERROR(HLOOKUP(AZ9,'סקרי נכסים-יתרות פתיחה'!$2:$110,8,0),0)-IFERROR(HLOOKUP(AZ9,'סקרי נכסים-יתרות פתיחה'!$2:$110,92,0),0)*(1-AZ$309)</f>
        <v>0</v>
      </c>
      <c r="BA110" s="1240">
        <f>+IFERROR(HLOOKUP(BA9,'סקרי נכסים-יתרות פתיחה'!$2:$110,8,0),0)-IFERROR(HLOOKUP(BA9,'סקרי נכסים-יתרות פתיחה'!$2:$110,92,0),0)*(1-BA$309)</f>
        <v>0</v>
      </c>
      <c r="BB110" s="1240">
        <f>+IFERROR(HLOOKUP(BB9,'סקרי נכסים-יתרות פתיחה'!$2:$110,8,0),0)-IFERROR(HLOOKUP(BB9,'סקרי נכסים-יתרות פתיחה'!$2:$110,92,0),0)*(1-BB$309)</f>
        <v>0</v>
      </c>
      <c r="BC110" s="1240">
        <f>+IFERROR(HLOOKUP(BC9,'סקרי נכסים-יתרות פתיחה'!$2:$110,8,0),0)-IFERROR(HLOOKUP(BC9,'סקרי נכסים-יתרות פתיחה'!$2:$110,92,0),0)*(1-BC$309)</f>
        <v>660000</v>
      </c>
      <c r="BD110" s="1240">
        <f>+IFERROR(HLOOKUP(BD9,'סקרי נכסים-יתרות פתיחה'!$2:$110,8,0),0)-IFERROR(HLOOKUP(BD9,'סקרי נכסים-יתרות פתיחה'!$2:$110,92,0),0)*(1-BD$309)</f>
        <v>0</v>
      </c>
      <c r="BE110" s="1240">
        <f>+IFERROR(HLOOKUP(BE9,'סקרי נכסים-יתרות פתיחה'!$2:$110,8,0),0)-IFERROR(HLOOKUP(BE9,'סקרי נכסים-יתרות פתיחה'!$2:$110,92,0),0)*(1-BE$309)</f>
        <v>0</v>
      </c>
      <c r="BF110" s="1240">
        <f>+IFERROR(HLOOKUP(BF9,'סקרי נכסים-יתרות פתיחה'!$2:$110,8,0),0)-IFERROR(HLOOKUP(BF9,'סקרי נכסים-יתרות פתיחה'!$2:$110,92,0),0)*(1-BF$309)</f>
        <v>0</v>
      </c>
    </row>
    <row r="111" spans="1:62" x14ac:dyDescent="0.2">
      <c r="B111" s="1">
        <v>7</v>
      </c>
      <c r="C111" s="1240">
        <f>+IFERROR(HLOOKUP(C10,'סקרי נכסים-יתרות פתיחה'!$2:$110,8,0),0)-IFERROR(HLOOKUP(C10,'סקרי נכסים-יתרות פתיחה'!$2:$110,92,0),0)*(1-C$309)</f>
        <v>0</v>
      </c>
      <c r="D111" s="1240">
        <f>+IFERROR(HLOOKUP(D10,'סקרי נכסים-יתרות פתיחה'!$2:$110,8,0),0)-IFERROR(HLOOKUP(D10,'סקרי נכסים-יתרות פתיחה'!$2:$110,92,0),0)*(1-D$309)</f>
        <v>0</v>
      </c>
      <c r="E111" s="1240">
        <f>+IFERROR(HLOOKUP(E10,'סקרי נכסים-יתרות פתיחה'!$2:$110,8,0),0)-IFERROR(HLOOKUP(E10,'סקרי נכסים-יתרות פתיחה'!$2:$110,92,0),0)*(1-E$309)</f>
        <v>0</v>
      </c>
      <c r="F111" s="1240">
        <f>+IFERROR(HLOOKUP(F10,'סקרי נכסים-יתרות פתיחה'!$2:$110,8,0),0)-IFERROR(HLOOKUP(F10,'סקרי נכסים-יתרות פתיחה'!$2:$110,92,0),0)*(1-F$309)</f>
        <v>0</v>
      </c>
      <c r="G111" s="1240">
        <f>+IFERROR(HLOOKUP(G10,'סקרי נכסים-יתרות פתיחה'!$2:$110,8,0),0)-IFERROR(HLOOKUP(G10,'סקרי נכסים-יתרות פתיחה'!$2:$110,92,0),0)*(1-G$309)</f>
        <v>0</v>
      </c>
      <c r="H111" s="1240">
        <f>+IFERROR(HLOOKUP(H10,'סקרי נכסים-יתרות פתיחה'!$2:$110,8,0),0)-IFERROR(HLOOKUP(H10,'סקרי נכסים-יתרות פתיחה'!$2:$110,92,0),0)*(1-H$309)</f>
        <v>0</v>
      </c>
      <c r="I111" s="1240">
        <f>+IFERROR(HLOOKUP(I10,'סקרי נכסים-יתרות פתיחה'!$2:$110,8,0),0)-IFERROR(HLOOKUP(I10,'סקרי נכסים-יתרות פתיחה'!$2:$110,92,0),0)*(1-I$309)</f>
        <v>0</v>
      </c>
      <c r="J111" s="1240">
        <f>+IFERROR(HLOOKUP(J10,'סקרי נכסים-יתרות פתיחה'!$2:$110,8,0),0)-IFERROR(HLOOKUP(J10,'סקרי נכסים-יתרות פתיחה'!$2:$110,92,0),0)*(1-J$309)</f>
        <v>0</v>
      </c>
      <c r="K111" s="1240">
        <f>+IFERROR(HLOOKUP(K10,'סקרי נכסים-יתרות פתיחה'!$2:$110,8,0),0)-IFERROR(HLOOKUP(K10,'סקרי נכסים-יתרות פתיחה'!$2:$110,92,0),0)*(1-K$309)</f>
        <v>0</v>
      </c>
      <c r="L111" s="1240">
        <f>+IFERROR(HLOOKUP(L10,'סקרי נכסים-יתרות פתיחה'!$2:$110,8,0),0)-IFERROR(HLOOKUP(L10,'סקרי נכסים-יתרות פתיחה'!$2:$110,92,0),0)*(1-L$309)</f>
        <v>0</v>
      </c>
      <c r="M111" s="1240">
        <f>+IFERROR(HLOOKUP(M10,'סקרי נכסים-יתרות פתיחה'!$2:$110,8,0),0)-IFERROR(HLOOKUP(M10,'סקרי נכסים-יתרות פתיחה'!$2:$110,92,0),0)*(1-M$309)</f>
        <v>0</v>
      </c>
      <c r="N111" s="1240">
        <f>+IFERROR(HLOOKUP(N10,'סקרי נכסים-יתרות פתיחה'!$2:$110,8,0),0)-IFERROR(HLOOKUP(N10,'סקרי נכסים-יתרות פתיחה'!$2:$110,92,0),0)*(1-N$309)</f>
        <v>0</v>
      </c>
      <c r="O111" s="1240">
        <f>+IFERROR(HLOOKUP(O10,'סקרי נכסים-יתרות פתיחה'!$2:$110,8,0),0)-IFERROR(HLOOKUP(O10,'סקרי נכסים-יתרות פתיחה'!$2:$110,92,0),0)*(1-O$309)</f>
        <v>0</v>
      </c>
      <c r="P111" s="1240">
        <f>+IFERROR(HLOOKUP(P10,'סקרי נכסים-יתרות פתיחה'!$2:$110,8,0),0)-IFERROR(HLOOKUP(P10,'סקרי נכסים-יתרות פתיחה'!$2:$110,92,0),0)*(1-P$309)</f>
        <v>1750000</v>
      </c>
      <c r="Q111" s="1240">
        <f>+IFERROR(HLOOKUP(Q10,'סקרי נכסים-יתרות פתיחה'!$2:$110,8,0),0)-IFERROR(HLOOKUP(Q10,'סקרי נכסים-יתרות פתיחה'!$2:$110,92,0),0)*(1-Q$309)</f>
        <v>0</v>
      </c>
      <c r="R111" s="1240">
        <f>+IFERROR(HLOOKUP(R10,'סקרי נכסים-יתרות פתיחה'!$2:$110,8,0),0)-IFERROR(HLOOKUP(R10,'סקרי נכסים-יתרות פתיחה'!$2:$110,92,0),0)*(1-R$309)</f>
        <v>0</v>
      </c>
      <c r="S111" s="1240">
        <f>+IFERROR(HLOOKUP(S10,'סקרי נכסים-יתרות פתיחה'!$2:$110,8,0),0)-IFERROR(HLOOKUP(S10,'סקרי נכסים-יתרות פתיחה'!$2:$110,92,0),0)*(1-S$309)</f>
        <v>0</v>
      </c>
      <c r="T111" s="1240">
        <f>+IFERROR(HLOOKUP(T10,'סקרי נכסים-יתרות פתיחה'!$2:$110,8,0),0)-IFERROR(HLOOKUP(T10,'סקרי נכסים-יתרות פתיחה'!$2:$110,92,0),0)*(1-T$309)</f>
        <v>0</v>
      </c>
      <c r="U111" s="1240">
        <f>+IFERROR(HLOOKUP(U10,'סקרי נכסים-יתרות פתיחה'!$2:$110,8,0),0)-IFERROR(HLOOKUP(U10,'סקרי נכסים-יתרות פתיחה'!$2:$110,92,0),0)*(1-U$309)</f>
        <v>0</v>
      </c>
      <c r="V111" s="1240">
        <f>+IFERROR(HLOOKUP(V10,'סקרי נכסים-יתרות פתיחה'!$2:$110,8,0),0)-IFERROR(HLOOKUP(V10,'סקרי נכסים-יתרות פתיחה'!$2:$110,92,0),0)*(1-V$309)</f>
        <v>850000</v>
      </c>
      <c r="W111" s="1240">
        <f>+IFERROR(HLOOKUP(W10,'סקרי נכסים-יתרות פתיחה'!$2:$110,8,0),0)-IFERROR(HLOOKUP(W10,'סקרי נכסים-יתרות פתיחה'!$2:$110,92,0),0)*(1-W$309)</f>
        <v>623000</v>
      </c>
      <c r="X111" s="1240">
        <f>+IFERROR(HLOOKUP(X10,'סקרי נכסים-יתרות פתיחה'!$2:$110,8,0),0)-IFERROR(HLOOKUP(X10,'סקרי נכסים-יתרות פתיחה'!$2:$110,92,0),0)*(1-X$309)</f>
        <v>0</v>
      </c>
      <c r="Y111" s="1240">
        <f>+IFERROR(HLOOKUP(Y10,'סקרי נכסים-יתרות פתיחה'!$2:$110,8,0),0)-IFERROR(HLOOKUP(Y10,'סקרי נכסים-יתרות פתיחה'!$2:$110,92,0),0)*(1-Y$309)</f>
        <v>0</v>
      </c>
      <c r="Z111" s="1240">
        <f>+IFERROR(HLOOKUP(Z10,'סקרי נכסים-יתרות פתיחה'!$2:$110,8,0),0)-IFERROR(HLOOKUP(Z10,'סקרי נכסים-יתרות פתיחה'!$2:$110,92,0),0)*(1-Z$309)</f>
        <v>0</v>
      </c>
      <c r="AA111" s="1240">
        <f>+IFERROR(HLOOKUP(AA10,'סקרי נכסים-יתרות פתיחה'!$2:$110,8,0),0)-IFERROR(HLOOKUP(AA10,'סקרי נכסים-יתרות פתיחה'!$2:$110,92,0),0)*(1-AA$309)</f>
        <v>0</v>
      </c>
      <c r="AB111" s="1240">
        <f>+IFERROR(HLOOKUP(AB10,'סקרי נכסים-יתרות פתיחה'!$2:$110,8,0),0)-IFERROR(HLOOKUP(AB10,'סקרי נכסים-יתרות פתיחה'!$2:$110,92,0),0)*(1-AB$309)</f>
        <v>0</v>
      </c>
      <c r="AC111" s="1240">
        <f>+IFERROR(HLOOKUP(AC10,'סקרי נכסים-יתרות פתיחה'!$2:$110,8,0),0)-IFERROR(HLOOKUP(AC10,'סקרי נכסים-יתרות פתיחה'!$2:$110,92,0),0)*(1-AC$309)</f>
        <v>0</v>
      </c>
      <c r="AD111" s="1240">
        <f>+IFERROR(HLOOKUP(AD10,'סקרי נכסים-יתרות פתיחה'!$2:$110,8,0),0)-IFERROR(HLOOKUP(AD10,'סקרי נכסים-יתרות פתיחה'!$2:$110,92,0),0)*(1-AD$309)</f>
        <v>0</v>
      </c>
      <c r="AE111" s="1240">
        <f>+IFERROR(HLOOKUP(AE10,'סקרי נכסים-יתרות פתיחה'!$2:$110,8,0),0)-IFERROR(HLOOKUP(AE10,'סקרי נכסים-יתרות פתיחה'!$2:$110,92,0),0)*(1-AE$309)</f>
        <v>0</v>
      </c>
      <c r="AF111" s="1240">
        <f>+IFERROR(HLOOKUP(AF10,'סקרי נכסים-יתרות פתיחה'!$2:$110,8,0),0)-IFERROR(HLOOKUP(AF10,'סקרי נכסים-יתרות פתיחה'!$2:$110,92,0),0)*(1-AF$309)</f>
        <v>0</v>
      </c>
      <c r="AG111" s="1240">
        <f>+IFERROR(HLOOKUP(AG10,'סקרי נכסים-יתרות פתיחה'!$2:$110,8,0),0)-IFERROR(HLOOKUP(AG10,'סקרי נכסים-יתרות פתיחה'!$2:$110,92,0),0)*(1-AG$309)</f>
        <v>0</v>
      </c>
      <c r="AH111" s="1240">
        <f>+IFERROR(HLOOKUP(AH10,'סקרי נכסים-יתרות פתיחה'!$2:$110,8,0),0)-IFERROR(HLOOKUP(AH10,'סקרי נכסים-יתרות פתיחה'!$2:$110,92,0),0)*(1-AH$309)</f>
        <v>0</v>
      </c>
      <c r="AI111" s="1240">
        <f>+IFERROR(HLOOKUP(AI10,'סקרי נכסים-יתרות פתיחה'!$2:$110,8,0),0)-IFERROR(HLOOKUP(AI10,'סקרי נכסים-יתרות פתיחה'!$2:$110,92,0),0)*(1-AI$309)</f>
        <v>0</v>
      </c>
      <c r="AJ111" s="1240">
        <f>+IFERROR(HLOOKUP(AJ10,'סקרי נכסים-יתרות פתיחה'!$2:$110,8,0),0)-IFERROR(HLOOKUP(AJ10,'סקרי נכסים-יתרות פתיחה'!$2:$110,92,0),0)*(1-AJ$309)</f>
        <v>0</v>
      </c>
      <c r="AK111" s="1240">
        <f>+IFERROR(HLOOKUP(AK10,'סקרי נכסים-יתרות פתיחה'!$2:$110,8,0),0)-IFERROR(HLOOKUP(AK10,'סקרי נכסים-יתרות פתיחה'!$2:$110,92,0),0)*(1-AK$309)</f>
        <v>0</v>
      </c>
      <c r="AL111" s="1240">
        <f>+IFERROR(HLOOKUP(AL10,'סקרי נכסים-יתרות פתיחה'!$2:$110,8,0),0)-IFERROR(HLOOKUP(AL10,'סקרי נכסים-יתרות פתיחה'!$2:$110,92,0),0)*(1-AL$309)</f>
        <v>0</v>
      </c>
      <c r="AM111" s="1240">
        <f>+IFERROR(HLOOKUP(AM10,'סקרי נכסים-יתרות פתיחה'!$2:$110,8,0),0)-IFERROR(HLOOKUP(AM10,'סקרי נכסים-יתרות פתיחה'!$2:$110,92,0),0)*(1-AM$309)</f>
        <v>0</v>
      </c>
      <c r="AN111" s="1240">
        <f>+IFERROR(HLOOKUP(AN10,'סקרי נכסים-יתרות פתיחה'!$2:$110,8,0),0)-IFERROR(HLOOKUP(AN10,'סקרי נכסים-יתרות פתיחה'!$2:$110,92,0),0)*(1-AN$309)</f>
        <v>0</v>
      </c>
      <c r="AO111" s="1240">
        <f>+IFERROR(HLOOKUP(AO10,'סקרי נכסים-יתרות פתיחה'!$2:$110,8,0),0)-IFERROR(HLOOKUP(AO10,'סקרי נכסים-יתרות פתיחה'!$2:$110,92,0),0)*(1-AO$309)</f>
        <v>0</v>
      </c>
      <c r="AP111" s="1240">
        <f>+IFERROR(HLOOKUP(AP10,'סקרי נכסים-יתרות פתיחה'!$2:$110,8,0),0)-IFERROR(HLOOKUP(AP10,'סקרי נכסים-יתרות פתיחה'!$2:$110,92,0),0)*(1-AP$309)</f>
        <v>0</v>
      </c>
      <c r="AQ111" s="1240">
        <f>+IFERROR(HLOOKUP(AQ10,'סקרי נכסים-יתרות פתיחה'!$2:$110,8,0),0)-IFERROR(HLOOKUP(AQ10,'סקרי נכסים-יתרות פתיחה'!$2:$110,92,0),0)*(1-AQ$309)</f>
        <v>0</v>
      </c>
      <c r="AR111" s="1240">
        <f>+IFERROR(HLOOKUP(AR10,'סקרי נכסים-יתרות פתיחה'!$2:$110,8,0),0)-IFERROR(HLOOKUP(AR10,'סקרי נכסים-יתרות פתיחה'!$2:$110,92,0),0)*(1-AR$309)</f>
        <v>0</v>
      </c>
      <c r="AS111" s="1240">
        <f>+IFERROR(HLOOKUP(AS10,'סקרי נכסים-יתרות פתיחה'!$2:$110,8,0),0)-IFERROR(HLOOKUP(AS10,'סקרי נכסים-יתרות פתיחה'!$2:$110,92,0),0)*(1-AS$309)</f>
        <v>1100000</v>
      </c>
      <c r="AT111" s="1240">
        <f>+IFERROR(HLOOKUP(AT10,'סקרי נכסים-יתרות פתיחה'!$2:$110,8,0),0)-IFERROR(HLOOKUP(AT10,'סקרי נכסים-יתרות פתיחה'!$2:$110,92,0),0)*(1-AT$309)</f>
        <v>0</v>
      </c>
      <c r="AU111" s="1240">
        <f>+IFERROR(HLOOKUP(AU10,'סקרי נכסים-יתרות פתיחה'!$2:$110,8,0),0)-IFERROR(HLOOKUP(AU10,'סקרי נכסים-יתרות פתיחה'!$2:$110,92,0),0)*(1-AU$309)</f>
        <v>0</v>
      </c>
      <c r="AV111" s="1240">
        <f>+IFERROR(HLOOKUP(AV10,'סקרי נכסים-יתרות פתיחה'!$2:$110,8,0),0)-IFERROR(HLOOKUP(AV10,'סקרי נכסים-יתרות פתיחה'!$2:$110,92,0),0)*(1-AV$309)</f>
        <v>0</v>
      </c>
      <c r="AW111" s="1240">
        <f>+IFERROR(HLOOKUP(AW10,'סקרי נכסים-יתרות פתיחה'!$2:$110,8,0),0)-IFERROR(HLOOKUP(AW10,'סקרי נכסים-יתרות פתיחה'!$2:$110,92,0),0)*(1-AW$309)</f>
        <v>0</v>
      </c>
      <c r="AX111" s="1240">
        <f>+IFERROR(HLOOKUP(AX10,'סקרי נכסים-יתרות פתיחה'!$2:$110,8,0),0)-IFERROR(HLOOKUP(AX10,'סקרי נכסים-יתרות פתיחה'!$2:$110,92,0),0)*(1-AX$309)</f>
        <v>0</v>
      </c>
      <c r="AY111" s="1240">
        <f>+IFERROR(HLOOKUP(AY10,'סקרי נכסים-יתרות פתיחה'!$2:$110,8,0),0)-IFERROR(HLOOKUP(AY10,'סקרי נכסים-יתרות פתיחה'!$2:$110,92,0),0)*(1-AY$309)</f>
        <v>0</v>
      </c>
      <c r="AZ111" s="1240">
        <f>+IFERROR(HLOOKUP(AZ10,'סקרי נכסים-יתרות פתיחה'!$2:$110,8,0),0)-IFERROR(HLOOKUP(AZ10,'סקרי נכסים-יתרות פתיחה'!$2:$110,92,0),0)*(1-AZ$309)</f>
        <v>0</v>
      </c>
      <c r="BA111" s="1240">
        <f>+IFERROR(HLOOKUP(BA10,'סקרי נכסים-יתרות פתיחה'!$2:$110,8,0),0)-IFERROR(HLOOKUP(BA10,'סקרי נכסים-יתרות פתיחה'!$2:$110,92,0),0)*(1-BA$309)</f>
        <v>0</v>
      </c>
      <c r="BB111" s="1240">
        <f>+IFERROR(HLOOKUP(BB10,'סקרי נכסים-יתרות פתיחה'!$2:$110,8,0),0)-IFERROR(HLOOKUP(BB10,'סקרי נכסים-יתרות פתיחה'!$2:$110,92,0),0)*(1-BB$309)</f>
        <v>900000</v>
      </c>
      <c r="BC111" s="1240">
        <f>+IFERROR(HLOOKUP(BC10,'סקרי נכסים-יתרות פתיחה'!$2:$110,8,0),0)-IFERROR(HLOOKUP(BC10,'סקרי נכסים-יתרות פתיחה'!$2:$110,92,0),0)*(1-BC$309)</f>
        <v>660000</v>
      </c>
      <c r="BD111" s="1240">
        <f>+IFERROR(HLOOKUP(BD10,'סקרי נכסים-יתרות פתיחה'!$2:$110,8,0),0)-IFERROR(HLOOKUP(BD10,'סקרי נכסים-יתרות פתיחה'!$2:$110,92,0),0)*(1-BD$309)</f>
        <v>0</v>
      </c>
      <c r="BE111" s="1240">
        <f>+IFERROR(HLOOKUP(BE10,'סקרי נכסים-יתרות פתיחה'!$2:$110,8,0),0)-IFERROR(HLOOKUP(BE10,'סקרי נכסים-יתרות פתיחה'!$2:$110,92,0),0)*(1-BE$309)</f>
        <v>0</v>
      </c>
      <c r="BF111" s="1240">
        <f>+IFERROR(HLOOKUP(BF10,'סקרי נכסים-יתרות פתיחה'!$2:$110,8,0),0)-IFERROR(HLOOKUP(BF10,'סקרי נכסים-יתרות פתיחה'!$2:$110,92,0),0)*(1-BF$309)</f>
        <v>0</v>
      </c>
    </row>
    <row r="112" spans="1:62" x14ac:dyDescent="0.2">
      <c r="B112" s="1">
        <v>8</v>
      </c>
      <c r="C112" s="1240">
        <f>+IFERROR(HLOOKUP(C11,'סקרי נכסים-יתרות פתיחה'!$2:$110,8,0),0)-IFERROR(HLOOKUP(C11,'סקרי נכסים-יתרות פתיחה'!$2:$110,92,0),0)*(1-C$309)</f>
        <v>0</v>
      </c>
      <c r="D112" s="1240">
        <f>+IFERROR(HLOOKUP(D11,'סקרי נכסים-יתרות פתיחה'!$2:$110,8,0),0)-IFERROR(HLOOKUP(D11,'סקרי נכסים-יתרות פתיחה'!$2:$110,92,0),0)*(1-D$309)</f>
        <v>0</v>
      </c>
      <c r="E112" s="1240">
        <f>+IFERROR(HLOOKUP(E11,'סקרי נכסים-יתרות פתיחה'!$2:$110,8,0),0)-IFERROR(HLOOKUP(E11,'סקרי נכסים-יתרות פתיחה'!$2:$110,92,0),0)*(1-E$309)</f>
        <v>0</v>
      </c>
      <c r="F112" s="1240">
        <f>+IFERROR(HLOOKUP(F11,'סקרי נכסים-יתרות פתיחה'!$2:$110,8,0),0)-IFERROR(HLOOKUP(F11,'סקרי נכסים-יתרות פתיחה'!$2:$110,92,0),0)*(1-F$309)</f>
        <v>0</v>
      </c>
      <c r="G112" s="1240">
        <f>+IFERROR(HLOOKUP(G11,'סקרי נכסים-יתרות פתיחה'!$2:$110,8,0),0)-IFERROR(HLOOKUP(G11,'סקרי נכסים-יתרות פתיחה'!$2:$110,92,0),0)*(1-G$309)</f>
        <v>0</v>
      </c>
      <c r="H112" s="1240">
        <f>+IFERROR(HLOOKUP(H11,'סקרי נכסים-יתרות פתיחה'!$2:$110,8,0),0)-IFERROR(HLOOKUP(H11,'סקרי נכסים-יתרות פתיחה'!$2:$110,92,0),0)*(1-H$309)</f>
        <v>0</v>
      </c>
      <c r="I112" s="1240">
        <f>+IFERROR(HLOOKUP(I11,'סקרי נכסים-יתרות פתיחה'!$2:$110,8,0),0)-IFERROR(HLOOKUP(I11,'סקרי נכסים-יתרות פתיחה'!$2:$110,92,0),0)*(1-I$309)</f>
        <v>0</v>
      </c>
      <c r="J112" s="1240">
        <f>+IFERROR(HLOOKUP(J11,'סקרי נכסים-יתרות פתיחה'!$2:$110,8,0),0)-IFERROR(HLOOKUP(J11,'סקרי נכסים-יתרות פתיחה'!$2:$110,92,0),0)*(1-J$309)</f>
        <v>0</v>
      </c>
      <c r="K112" s="1240">
        <f>+IFERROR(HLOOKUP(K11,'סקרי נכסים-יתרות פתיחה'!$2:$110,8,0),0)-IFERROR(HLOOKUP(K11,'סקרי נכסים-יתרות פתיחה'!$2:$110,92,0),0)*(1-K$309)</f>
        <v>0</v>
      </c>
      <c r="L112" s="1240">
        <f>+IFERROR(HLOOKUP(L11,'סקרי נכסים-יתרות פתיחה'!$2:$110,8,0),0)-IFERROR(HLOOKUP(L11,'סקרי נכסים-יתרות פתיחה'!$2:$110,92,0),0)*(1-L$309)</f>
        <v>0</v>
      </c>
      <c r="M112" s="1240">
        <f>+IFERROR(HLOOKUP(M11,'סקרי נכסים-יתרות פתיחה'!$2:$110,8,0),0)-IFERROR(HLOOKUP(M11,'סקרי נכסים-יתרות פתיחה'!$2:$110,92,0),0)*(1-M$309)</f>
        <v>0</v>
      </c>
      <c r="N112" s="1240">
        <f>+IFERROR(HLOOKUP(N11,'סקרי נכסים-יתרות פתיחה'!$2:$110,8,0),0)-IFERROR(HLOOKUP(N11,'סקרי נכסים-יתרות פתיחה'!$2:$110,92,0),0)*(1-N$309)</f>
        <v>0</v>
      </c>
      <c r="O112" s="1240">
        <f>+IFERROR(HLOOKUP(O11,'סקרי נכסים-יתרות פתיחה'!$2:$110,8,0),0)-IFERROR(HLOOKUP(O11,'סקרי נכסים-יתרות פתיחה'!$2:$110,92,0),0)*(1-O$309)</f>
        <v>0</v>
      </c>
      <c r="P112" s="1240">
        <f>+IFERROR(HLOOKUP(P11,'סקרי נכסים-יתרות פתיחה'!$2:$110,8,0),0)-IFERROR(HLOOKUP(P11,'סקרי נכסים-יתרות פתיחה'!$2:$110,92,0),0)*(1-P$309)</f>
        <v>0</v>
      </c>
      <c r="Q112" s="1240">
        <f>+IFERROR(HLOOKUP(Q11,'סקרי נכסים-יתרות פתיחה'!$2:$110,8,0),0)-IFERROR(HLOOKUP(Q11,'סקרי נכסים-יתרות פתיחה'!$2:$110,92,0),0)*(1-Q$309)</f>
        <v>0</v>
      </c>
      <c r="R112" s="1240">
        <f>+IFERROR(HLOOKUP(R11,'סקרי נכסים-יתרות פתיחה'!$2:$110,8,0),0)-IFERROR(HLOOKUP(R11,'סקרי נכסים-יתרות פתיחה'!$2:$110,92,0),0)*(1-R$309)</f>
        <v>0</v>
      </c>
      <c r="S112" s="1240">
        <f>+IFERROR(HLOOKUP(S11,'סקרי נכסים-יתרות פתיחה'!$2:$110,8,0),0)-IFERROR(HLOOKUP(S11,'סקרי נכסים-יתרות פתיחה'!$2:$110,92,0),0)*(1-S$309)</f>
        <v>0</v>
      </c>
      <c r="T112" s="1240">
        <f>+IFERROR(HLOOKUP(T11,'סקרי נכסים-יתרות פתיחה'!$2:$110,8,0),0)-IFERROR(HLOOKUP(T11,'סקרי נכסים-יתרות פתיחה'!$2:$110,92,0),0)*(1-T$309)</f>
        <v>0</v>
      </c>
      <c r="U112" s="1240">
        <f>+IFERROR(HLOOKUP(U11,'סקרי נכסים-יתרות פתיחה'!$2:$110,8,0),0)-IFERROR(HLOOKUP(U11,'סקרי נכסים-יתרות פתיחה'!$2:$110,92,0),0)*(1-U$309)</f>
        <v>0</v>
      </c>
      <c r="V112" s="1240">
        <f>+IFERROR(HLOOKUP(V11,'סקרי נכסים-יתרות פתיחה'!$2:$110,8,0),0)-IFERROR(HLOOKUP(V11,'סקרי נכסים-יתרות פתיחה'!$2:$110,92,0),0)*(1-V$309)</f>
        <v>0</v>
      </c>
      <c r="W112" s="1240">
        <f>+IFERROR(HLOOKUP(W11,'סקרי נכסים-יתרות פתיחה'!$2:$110,8,0),0)-IFERROR(HLOOKUP(W11,'סקרי נכסים-יתרות פתיחה'!$2:$110,92,0),0)*(1-W$309)</f>
        <v>0</v>
      </c>
      <c r="X112" s="1240">
        <f>+IFERROR(HLOOKUP(X11,'סקרי נכסים-יתרות פתיחה'!$2:$110,8,0),0)-IFERROR(HLOOKUP(X11,'סקרי נכסים-יתרות פתיחה'!$2:$110,92,0),0)*(1-X$309)</f>
        <v>0</v>
      </c>
      <c r="Y112" s="1240">
        <f>+IFERROR(HLOOKUP(Y11,'סקרי נכסים-יתרות פתיחה'!$2:$110,8,0),0)-IFERROR(HLOOKUP(Y11,'סקרי נכסים-יתרות פתיחה'!$2:$110,92,0),0)*(1-Y$309)</f>
        <v>0</v>
      </c>
      <c r="Z112" s="1240">
        <f>+IFERROR(HLOOKUP(Z11,'סקרי נכסים-יתרות פתיחה'!$2:$110,8,0),0)-IFERROR(HLOOKUP(Z11,'סקרי נכסים-יתרות פתיחה'!$2:$110,92,0),0)*(1-Z$309)</f>
        <v>0</v>
      </c>
      <c r="AA112" s="1240">
        <f>+IFERROR(HLOOKUP(AA11,'סקרי נכסים-יתרות פתיחה'!$2:$110,8,0),0)-IFERROR(HLOOKUP(AA11,'סקרי נכסים-יתרות פתיחה'!$2:$110,92,0),0)*(1-AA$309)</f>
        <v>0</v>
      </c>
      <c r="AB112" s="1240">
        <f>+IFERROR(HLOOKUP(AB11,'סקרי נכסים-יתרות פתיחה'!$2:$110,8,0),0)-IFERROR(HLOOKUP(AB11,'סקרי נכסים-יתרות פתיחה'!$2:$110,92,0),0)*(1-AB$309)</f>
        <v>0</v>
      </c>
      <c r="AC112" s="1240">
        <f>+IFERROR(HLOOKUP(AC11,'סקרי נכסים-יתרות פתיחה'!$2:$110,8,0),0)-IFERROR(HLOOKUP(AC11,'סקרי נכסים-יתרות פתיחה'!$2:$110,92,0),0)*(1-AC$309)</f>
        <v>0</v>
      </c>
      <c r="AD112" s="1240">
        <f>+IFERROR(HLOOKUP(AD11,'סקרי נכסים-יתרות פתיחה'!$2:$110,8,0),0)-IFERROR(HLOOKUP(AD11,'סקרי נכסים-יתרות פתיחה'!$2:$110,92,0),0)*(1-AD$309)</f>
        <v>0</v>
      </c>
      <c r="AE112" s="1240">
        <f>+IFERROR(HLOOKUP(AE11,'סקרי נכסים-יתרות פתיחה'!$2:$110,8,0),0)-IFERROR(HLOOKUP(AE11,'סקרי נכסים-יתרות פתיחה'!$2:$110,92,0),0)*(1-AE$309)</f>
        <v>0</v>
      </c>
      <c r="AF112" s="1240">
        <f>+IFERROR(HLOOKUP(AF11,'סקרי נכסים-יתרות פתיחה'!$2:$110,8,0),0)-IFERROR(HLOOKUP(AF11,'סקרי נכסים-יתרות פתיחה'!$2:$110,92,0),0)*(1-AF$309)</f>
        <v>0</v>
      </c>
      <c r="AG112" s="1240">
        <f>+IFERROR(HLOOKUP(AG11,'סקרי נכסים-יתרות פתיחה'!$2:$110,8,0),0)-IFERROR(HLOOKUP(AG11,'סקרי נכסים-יתרות פתיחה'!$2:$110,92,0),0)*(1-AG$309)</f>
        <v>0</v>
      </c>
      <c r="AH112" s="1240">
        <f>+IFERROR(HLOOKUP(AH11,'סקרי נכסים-יתרות פתיחה'!$2:$110,8,0),0)-IFERROR(HLOOKUP(AH11,'סקרי נכסים-יתרות פתיחה'!$2:$110,92,0),0)*(1-AH$309)</f>
        <v>0</v>
      </c>
      <c r="AI112" s="1240">
        <f>+IFERROR(HLOOKUP(AI11,'סקרי נכסים-יתרות פתיחה'!$2:$110,8,0),0)-IFERROR(HLOOKUP(AI11,'סקרי נכסים-יתרות פתיחה'!$2:$110,92,0),0)*(1-AI$309)</f>
        <v>0</v>
      </c>
      <c r="AJ112" s="1240">
        <f>+IFERROR(HLOOKUP(AJ11,'סקרי נכסים-יתרות פתיחה'!$2:$110,8,0),0)-IFERROR(HLOOKUP(AJ11,'סקרי נכסים-יתרות פתיחה'!$2:$110,92,0),0)*(1-AJ$309)</f>
        <v>0</v>
      </c>
      <c r="AK112" s="1240">
        <f>+IFERROR(HLOOKUP(AK11,'סקרי נכסים-יתרות פתיחה'!$2:$110,8,0),0)-IFERROR(HLOOKUP(AK11,'סקרי נכסים-יתרות פתיחה'!$2:$110,92,0),0)*(1-AK$309)</f>
        <v>0</v>
      </c>
      <c r="AL112" s="1240">
        <f>+IFERROR(HLOOKUP(AL11,'סקרי נכסים-יתרות פתיחה'!$2:$110,8,0),0)-IFERROR(HLOOKUP(AL11,'סקרי נכסים-יתרות פתיחה'!$2:$110,92,0),0)*(1-AL$309)</f>
        <v>0</v>
      </c>
      <c r="AM112" s="1240">
        <f>+IFERROR(HLOOKUP(AM11,'סקרי נכסים-יתרות פתיחה'!$2:$110,8,0),0)-IFERROR(HLOOKUP(AM11,'סקרי נכסים-יתרות פתיחה'!$2:$110,92,0),0)*(1-AM$309)</f>
        <v>0</v>
      </c>
      <c r="AN112" s="1240">
        <f>+IFERROR(HLOOKUP(AN11,'סקרי נכסים-יתרות פתיחה'!$2:$110,8,0),0)-IFERROR(HLOOKUP(AN11,'סקרי נכסים-יתרות פתיחה'!$2:$110,92,0),0)*(1-AN$309)</f>
        <v>0</v>
      </c>
      <c r="AO112" s="1240">
        <f>+IFERROR(HLOOKUP(AO11,'סקרי נכסים-יתרות פתיחה'!$2:$110,8,0),0)-IFERROR(HLOOKUP(AO11,'סקרי נכסים-יתרות פתיחה'!$2:$110,92,0),0)*(1-AO$309)</f>
        <v>0</v>
      </c>
      <c r="AP112" s="1240">
        <f>+IFERROR(HLOOKUP(AP11,'סקרי נכסים-יתרות פתיחה'!$2:$110,8,0),0)-IFERROR(HLOOKUP(AP11,'סקרי נכסים-יתרות פתיחה'!$2:$110,92,0),0)*(1-AP$309)</f>
        <v>0</v>
      </c>
      <c r="AQ112" s="1240">
        <f>+IFERROR(HLOOKUP(AQ11,'סקרי נכסים-יתרות פתיחה'!$2:$110,8,0),0)-IFERROR(HLOOKUP(AQ11,'סקרי נכסים-יתרות פתיחה'!$2:$110,92,0),0)*(1-AQ$309)</f>
        <v>0</v>
      </c>
      <c r="AR112" s="1240">
        <f>+IFERROR(HLOOKUP(AR11,'סקרי נכסים-יתרות פתיחה'!$2:$110,8,0),0)-IFERROR(HLOOKUP(AR11,'סקרי נכסים-יתרות פתיחה'!$2:$110,92,0),0)*(1-AR$309)</f>
        <v>0</v>
      </c>
      <c r="AS112" s="1240">
        <f>+IFERROR(HLOOKUP(AS11,'סקרי נכסים-יתרות פתיחה'!$2:$110,8,0),0)-IFERROR(HLOOKUP(AS11,'סקרי נכסים-יתרות פתיחה'!$2:$110,92,0),0)*(1-AS$309)</f>
        <v>1350000</v>
      </c>
      <c r="AT112" s="1240">
        <f>+IFERROR(HLOOKUP(AT11,'סקרי נכסים-יתרות פתיחה'!$2:$110,8,0),0)-IFERROR(HLOOKUP(AT11,'סקרי נכסים-יתרות פתיחה'!$2:$110,92,0),0)*(1-AT$309)</f>
        <v>0</v>
      </c>
      <c r="AU112" s="1240">
        <f>+IFERROR(HLOOKUP(AU11,'סקרי נכסים-יתרות פתיחה'!$2:$110,8,0),0)-IFERROR(HLOOKUP(AU11,'סקרי נכסים-יתרות פתיחה'!$2:$110,92,0),0)*(1-AU$309)</f>
        <v>0</v>
      </c>
      <c r="AV112" s="1240">
        <f>+IFERROR(HLOOKUP(AV11,'סקרי נכסים-יתרות פתיחה'!$2:$110,8,0),0)-IFERROR(HLOOKUP(AV11,'סקרי נכסים-יתרות פתיחה'!$2:$110,92,0),0)*(1-AV$309)</f>
        <v>0</v>
      </c>
      <c r="AW112" s="1240">
        <f>+IFERROR(HLOOKUP(AW11,'סקרי נכסים-יתרות פתיחה'!$2:$110,8,0),0)-IFERROR(HLOOKUP(AW11,'סקרי נכסים-יתרות פתיחה'!$2:$110,92,0),0)*(1-AW$309)</f>
        <v>0</v>
      </c>
      <c r="AX112" s="1240">
        <f>+IFERROR(HLOOKUP(AX11,'סקרי נכסים-יתרות פתיחה'!$2:$110,8,0),0)-IFERROR(HLOOKUP(AX11,'סקרי נכסים-יתרות פתיחה'!$2:$110,92,0),0)*(1-AX$309)</f>
        <v>0</v>
      </c>
      <c r="AY112" s="1240">
        <f>+IFERROR(HLOOKUP(AY11,'סקרי נכסים-יתרות פתיחה'!$2:$110,8,0),0)-IFERROR(HLOOKUP(AY11,'סקרי נכסים-יתרות פתיחה'!$2:$110,92,0),0)*(1-AY$309)</f>
        <v>0</v>
      </c>
      <c r="AZ112" s="1240">
        <f>+IFERROR(HLOOKUP(AZ11,'סקרי נכסים-יתרות פתיחה'!$2:$110,8,0),0)-IFERROR(HLOOKUP(AZ11,'סקרי נכסים-יתרות פתיחה'!$2:$110,92,0),0)*(1-AZ$309)</f>
        <v>0</v>
      </c>
      <c r="BA112" s="1240">
        <f>+IFERROR(HLOOKUP(BA11,'סקרי נכסים-יתרות פתיחה'!$2:$110,8,0),0)-IFERROR(HLOOKUP(BA11,'סקרי נכסים-יתרות פתיחה'!$2:$110,92,0),0)*(1-BA$309)</f>
        <v>0</v>
      </c>
      <c r="BB112" s="1240">
        <f>+IFERROR(HLOOKUP(BB11,'סקרי נכסים-יתרות פתיחה'!$2:$110,8,0),0)-IFERROR(HLOOKUP(BB11,'סקרי נכסים-יתרות פתיחה'!$2:$110,92,0),0)*(1-BB$309)</f>
        <v>0</v>
      </c>
      <c r="BC112" s="1240">
        <f>+IFERROR(HLOOKUP(BC11,'סקרי נכסים-יתרות פתיחה'!$2:$110,8,0),0)-IFERROR(HLOOKUP(BC11,'סקרי נכסים-יתרות פתיחה'!$2:$110,92,0),0)*(1-BC$309)</f>
        <v>0</v>
      </c>
      <c r="BD112" s="1240">
        <f>+IFERROR(HLOOKUP(BD11,'סקרי נכסים-יתרות פתיחה'!$2:$110,8,0),0)-IFERROR(HLOOKUP(BD11,'סקרי נכסים-יתרות פתיחה'!$2:$110,92,0),0)*(1-BD$309)</f>
        <v>0</v>
      </c>
      <c r="BE112" s="1240">
        <f>+IFERROR(HLOOKUP(BE11,'סקרי נכסים-יתרות פתיחה'!$2:$110,8,0),0)-IFERROR(HLOOKUP(BE11,'סקרי נכסים-יתרות פתיחה'!$2:$110,92,0),0)*(1-BE$309)</f>
        <v>0</v>
      </c>
      <c r="BF112" s="1240">
        <f>+IFERROR(HLOOKUP(BF11,'סקרי נכסים-יתרות פתיחה'!$2:$110,8,0),0)-IFERROR(HLOOKUP(BF11,'סקרי נכסים-יתרות פתיחה'!$2:$110,92,0),0)*(1-BF$309)</f>
        <v>0</v>
      </c>
    </row>
    <row r="113" spans="2:58" x14ac:dyDescent="0.2">
      <c r="B113" s="1">
        <v>9</v>
      </c>
      <c r="C113" s="1240">
        <f>+IFERROR(HLOOKUP(C12,'סקרי נכסים-יתרות פתיחה'!$2:$110,8,0),0)-IFERROR(HLOOKUP(C12,'סקרי נכסים-יתרות פתיחה'!$2:$110,92,0),0)*(1-C$309)</f>
        <v>0</v>
      </c>
      <c r="D113" s="1240">
        <f>+IFERROR(HLOOKUP(D12,'סקרי נכסים-יתרות פתיחה'!$2:$110,8,0),0)-IFERROR(HLOOKUP(D12,'סקרי נכסים-יתרות פתיחה'!$2:$110,92,0),0)*(1-D$309)</f>
        <v>0</v>
      </c>
      <c r="E113" s="1240">
        <f>+IFERROR(HLOOKUP(E12,'סקרי נכסים-יתרות פתיחה'!$2:$110,8,0),0)-IFERROR(HLOOKUP(E12,'סקרי נכסים-יתרות פתיחה'!$2:$110,92,0),0)*(1-E$309)</f>
        <v>0</v>
      </c>
      <c r="F113" s="1240">
        <f>+IFERROR(HLOOKUP(F12,'סקרי נכסים-יתרות פתיחה'!$2:$110,8,0),0)-IFERROR(HLOOKUP(F12,'סקרי נכסים-יתרות פתיחה'!$2:$110,92,0),0)*(1-F$309)</f>
        <v>0</v>
      </c>
      <c r="G113" s="1240">
        <f>+IFERROR(HLOOKUP(G12,'סקרי נכסים-יתרות פתיחה'!$2:$110,8,0),0)-IFERROR(HLOOKUP(G12,'סקרי נכסים-יתרות פתיחה'!$2:$110,92,0),0)*(1-G$309)</f>
        <v>0</v>
      </c>
      <c r="H113" s="1240">
        <f>+IFERROR(HLOOKUP(H12,'סקרי נכסים-יתרות פתיחה'!$2:$110,8,0),0)-IFERROR(HLOOKUP(H12,'סקרי נכסים-יתרות פתיחה'!$2:$110,92,0),0)*(1-H$309)</f>
        <v>0</v>
      </c>
      <c r="I113" s="1240">
        <f>+IFERROR(HLOOKUP(I12,'סקרי נכסים-יתרות פתיחה'!$2:$110,8,0),0)-IFERROR(HLOOKUP(I12,'סקרי נכסים-יתרות פתיחה'!$2:$110,92,0),0)*(1-I$309)</f>
        <v>0</v>
      </c>
      <c r="J113" s="1240">
        <f>+IFERROR(HLOOKUP(J12,'סקרי נכסים-יתרות פתיחה'!$2:$110,8,0),0)-IFERROR(HLOOKUP(J12,'סקרי נכסים-יתרות פתיחה'!$2:$110,92,0),0)*(1-J$309)</f>
        <v>0</v>
      </c>
      <c r="K113" s="1240">
        <f>+IFERROR(HLOOKUP(K12,'סקרי נכסים-יתרות פתיחה'!$2:$110,8,0),0)-IFERROR(HLOOKUP(K12,'סקרי נכסים-יתרות פתיחה'!$2:$110,92,0),0)*(1-K$309)</f>
        <v>0</v>
      </c>
      <c r="L113" s="1240">
        <f>+IFERROR(HLOOKUP(L12,'סקרי נכסים-יתרות פתיחה'!$2:$110,8,0),0)-IFERROR(HLOOKUP(L12,'סקרי נכסים-יתרות פתיחה'!$2:$110,92,0),0)*(1-L$309)</f>
        <v>0</v>
      </c>
      <c r="M113" s="1240">
        <f>+IFERROR(HLOOKUP(M12,'סקרי נכסים-יתרות פתיחה'!$2:$110,8,0),0)-IFERROR(HLOOKUP(M12,'סקרי נכסים-יתרות פתיחה'!$2:$110,92,0),0)*(1-M$309)</f>
        <v>0</v>
      </c>
      <c r="N113" s="1240">
        <f>+IFERROR(HLOOKUP(N12,'סקרי נכסים-יתרות פתיחה'!$2:$110,8,0),0)-IFERROR(HLOOKUP(N12,'סקרי נכסים-יתרות פתיחה'!$2:$110,92,0),0)*(1-N$309)</f>
        <v>0</v>
      </c>
      <c r="O113" s="1240">
        <f>+IFERROR(HLOOKUP(O12,'סקרי נכסים-יתרות פתיחה'!$2:$110,8,0),0)-IFERROR(HLOOKUP(O12,'סקרי נכסים-יתרות פתיחה'!$2:$110,92,0),0)*(1-O$309)</f>
        <v>0</v>
      </c>
      <c r="P113" s="1240">
        <f>+IFERROR(HLOOKUP(P12,'סקרי נכסים-יתרות פתיחה'!$2:$110,8,0),0)-IFERROR(HLOOKUP(P12,'סקרי נכסים-יתרות פתיחה'!$2:$110,92,0),0)*(1-P$309)</f>
        <v>2350000</v>
      </c>
      <c r="Q113" s="1240">
        <f>+IFERROR(HLOOKUP(Q12,'סקרי נכסים-יתרות פתיחה'!$2:$110,8,0),0)-IFERROR(HLOOKUP(Q12,'סקרי נכסים-יתרות פתיחה'!$2:$110,92,0),0)*(1-Q$309)</f>
        <v>0</v>
      </c>
      <c r="R113" s="1240">
        <f>+IFERROR(HLOOKUP(R12,'סקרי נכסים-יתרות פתיחה'!$2:$110,8,0),0)-IFERROR(HLOOKUP(R12,'סקרי נכסים-יתרות פתיחה'!$2:$110,92,0),0)*(1-R$309)</f>
        <v>0</v>
      </c>
      <c r="S113" s="1240">
        <f>+IFERROR(HLOOKUP(S12,'סקרי נכסים-יתרות פתיחה'!$2:$110,8,0),0)-IFERROR(HLOOKUP(S12,'סקרי נכסים-יתרות פתיחה'!$2:$110,92,0),0)*(1-S$309)</f>
        <v>0</v>
      </c>
      <c r="T113" s="1240">
        <f>+IFERROR(HLOOKUP(T12,'סקרי נכסים-יתרות פתיחה'!$2:$110,8,0),0)-IFERROR(HLOOKUP(T12,'סקרי נכסים-יתרות פתיחה'!$2:$110,92,0),0)*(1-T$309)</f>
        <v>0</v>
      </c>
      <c r="U113" s="1240">
        <f>+IFERROR(HLOOKUP(U12,'סקרי נכסים-יתרות פתיחה'!$2:$110,8,0),0)-IFERROR(HLOOKUP(U12,'סקרי נכסים-יתרות פתיחה'!$2:$110,92,0),0)*(1-U$309)</f>
        <v>0</v>
      </c>
      <c r="V113" s="1240">
        <f>+IFERROR(HLOOKUP(V12,'סקרי נכסים-יתרות פתיחה'!$2:$110,8,0),0)-IFERROR(HLOOKUP(V12,'סקרי נכסים-יתרות פתיחה'!$2:$110,92,0),0)*(1-V$309)</f>
        <v>0</v>
      </c>
      <c r="W113" s="1240">
        <f>+IFERROR(HLOOKUP(W12,'סקרי נכסים-יתרות פתיחה'!$2:$110,8,0),0)-IFERROR(HLOOKUP(W12,'סקרי נכסים-יתרות פתיחה'!$2:$110,92,0),0)*(1-W$309)</f>
        <v>0</v>
      </c>
      <c r="X113" s="1240">
        <f>+IFERROR(HLOOKUP(X12,'סקרי נכסים-יתרות פתיחה'!$2:$110,8,0),0)-IFERROR(HLOOKUP(X12,'סקרי נכסים-יתרות פתיחה'!$2:$110,92,0),0)*(1-X$309)</f>
        <v>0</v>
      </c>
      <c r="Y113" s="1240">
        <f>+IFERROR(HLOOKUP(Y12,'סקרי נכסים-יתרות פתיחה'!$2:$110,8,0),0)-IFERROR(HLOOKUP(Y12,'סקרי נכסים-יתרות פתיחה'!$2:$110,92,0),0)*(1-Y$309)</f>
        <v>0</v>
      </c>
      <c r="Z113" s="1240">
        <f>+IFERROR(HLOOKUP(Z12,'סקרי נכסים-יתרות פתיחה'!$2:$110,8,0),0)-IFERROR(HLOOKUP(Z12,'סקרי נכסים-יתרות פתיחה'!$2:$110,92,0),0)*(1-Z$309)</f>
        <v>0</v>
      </c>
      <c r="AA113" s="1240">
        <f>+IFERROR(HLOOKUP(AA12,'סקרי נכסים-יתרות פתיחה'!$2:$110,8,0),0)-IFERROR(HLOOKUP(AA12,'סקרי נכסים-יתרות פתיחה'!$2:$110,92,0),0)*(1-AA$309)</f>
        <v>0</v>
      </c>
      <c r="AB113" s="1240">
        <f>+IFERROR(HLOOKUP(AB12,'סקרי נכסים-יתרות פתיחה'!$2:$110,8,0),0)-IFERROR(HLOOKUP(AB12,'סקרי נכסים-יתרות פתיחה'!$2:$110,92,0),0)*(1-AB$309)</f>
        <v>0</v>
      </c>
      <c r="AC113" s="1240">
        <f>+IFERROR(HLOOKUP(AC12,'סקרי נכסים-יתרות פתיחה'!$2:$110,8,0),0)-IFERROR(HLOOKUP(AC12,'סקרי נכסים-יתרות פתיחה'!$2:$110,92,0),0)*(1-AC$309)</f>
        <v>0</v>
      </c>
      <c r="AD113" s="1240">
        <f>+IFERROR(HLOOKUP(AD12,'סקרי נכסים-יתרות פתיחה'!$2:$110,8,0),0)-IFERROR(HLOOKUP(AD12,'סקרי נכסים-יתרות פתיחה'!$2:$110,92,0),0)*(1-AD$309)</f>
        <v>0</v>
      </c>
      <c r="AE113" s="1240">
        <f>+IFERROR(HLOOKUP(AE12,'סקרי נכסים-יתרות פתיחה'!$2:$110,8,0),0)-IFERROR(HLOOKUP(AE12,'סקרי נכסים-יתרות פתיחה'!$2:$110,92,0),0)*(1-AE$309)</f>
        <v>0</v>
      </c>
      <c r="AF113" s="1240">
        <f>+IFERROR(HLOOKUP(AF12,'סקרי נכסים-יתרות פתיחה'!$2:$110,8,0),0)-IFERROR(HLOOKUP(AF12,'סקרי נכסים-יתרות פתיחה'!$2:$110,92,0),0)*(1-AF$309)</f>
        <v>0</v>
      </c>
      <c r="AG113" s="1240">
        <f>+IFERROR(HLOOKUP(AG12,'סקרי נכסים-יתרות פתיחה'!$2:$110,8,0),0)-IFERROR(HLOOKUP(AG12,'סקרי נכסים-יתרות פתיחה'!$2:$110,92,0),0)*(1-AG$309)</f>
        <v>0</v>
      </c>
      <c r="AH113" s="1240">
        <f>+IFERROR(HLOOKUP(AH12,'סקרי נכסים-יתרות פתיחה'!$2:$110,8,0),0)-IFERROR(HLOOKUP(AH12,'סקרי נכסים-יתרות פתיחה'!$2:$110,92,0),0)*(1-AH$309)</f>
        <v>0</v>
      </c>
      <c r="AI113" s="1240">
        <f>+IFERROR(HLOOKUP(AI12,'סקרי נכסים-יתרות פתיחה'!$2:$110,8,0),0)-IFERROR(HLOOKUP(AI12,'סקרי נכסים-יתרות פתיחה'!$2:$110,92,0),0)*(1-AI$309)</f>
        <v>0</v>
      </c>
      <c r="AJ113" s="1240">
        <f>+IFERROR(HLOOKUP(AJ12,'סקרי נכסים-יתרות פתיחה'!$2:$110,8,0),0)-IFERROR(HLOOKUP(AJ12,'סקרי נכסים-יתרות פתיחה'!$2:$110,92,0),0)*(1-AJ$309)</f>
        <v>0</v>
      </c>
      <c r="AK113" s="1240">
        <f>+IFERROR(HLOOKUP(AK12,'סקרי נכסים-יתרות פתיחה'!$2:$110,8,0),0)-IFERROR(HLOOKUP(AK12,'סקרי נכסים-יתרות פתיחה'!$2:$110,92,0),0)*(1-AK$309)</f>
        <v>0</v>
      </c>
      <c r="AL113" s="1240">
        <f>+IFERROR(HLOOKUP(AL12,'סקרי נכסים-יתרות פתיחה'!$2:$110,8,0),0)-IFERROR(HLOOKUP(AL12,'סקרי נכסים-יתרות פתיחה'!$2:$110,92,0),0)*(1-AL$309)</f>
        <v>0</v>
      </c>
      <c r="AM113" s="1240">
        <f>+IFERROR(HLOOKUP(AM12,'סקרי נכסים-יתרות פתיחה'!$2:$110,8,0),0)-IFERROR(HLOOKUP(AM12,'סקרי נכסים-יתרות פתיחה'!$2:$110,92,0),0)*(1-AM$309)</f>
        <v>0</v>
      </c>
      <c r="AN113" s="1240">
        <f>+IFERROR(HLOOKUP(AN12,'סקרי נכסים-יתרות פתיחה'!$2:$110,8,0),0)-IFERROR(HLOOKUP(AN12,'סקרי נכסים-יתרות פתיחה'!$2:$110,92,0),0)*(1-AN$309)</f>
        <v>0</v>
      </c>
      <c r="AO113" s="1240">
        <f>+IFERROR(HLOOKUP(AO12,'סקרי נכסים-יתרות פתיחה'!$2:$110,8,0),0)-IFERROR(HLOOKUP(AO12,'סקרי נכסים-יתרות פתיחה'!$2:$110,92,0),0)*(1-AO$309)</f>
        <v>0</v>
      </c>
      <c r="AP113" s="1240">
        <f>+IFERROR(HLOOKUP(AP12,'סקרי נכסים-יתרות פתיחה'!$2:$110,8,0),0)-IFERROR(HLOOKUP(AP12,'סקרי נכסים-יתרות פתיחה'!$2:$110,92,0),0)*(1-AP$309)</f>
        <v>0</v>
      </c>
      <c r="AQ113" s="1240">
        <f>+IFERROR(HLOOKUP(AQ12,'סקרי נכסים-יתרות פתיחה'!$2:$110,8,0),0)-IFERROR(HLOOKUP(AQ12,'סקרי נכסים-יתרות פתיחה'!$2:$110,92,0),0)*(1-AQ$309)</f>
        <v>0</v>
      </c>
      <c r="AR113" s="1240">
        <f>+IFERROR(HLOOKUP(AR12,'סקרי נכסים-יתרות פתיחה'!$2:$110,8,0),0)-IFERROR(HLOOKUP(AR12,'סקרי נכסים-יתרות פתיחה'!$2:$110,92,0),0)*(1-AR$309)</f>
        <v>0</v>
      </c>
      <c r="AS113" s="1240">
        <f>+IFERROR(HLOOKUP(AS12,'סקרי נכסים-יתרות פתיחה'!$2:$110,8,0),0)-IFERROR(HLOOKUP(AS12,'סקרי נכסים-יתרות פתיחה'!$2:$110,92,0),0)*(1-AS$309)</f>
        <v>0</v>
      </c>
      <c r="AT113" s="1240">
        <f>+IFERROR(HLOOKUP(AT12,'סקרי נכסים-יתרות פתיחה'!$2:$110,8,0),0)-IFERROR(HLOOKUP(AT12,'סקרי נכסים-יתרות פתיחה'!$2:$110,92,0),0)*(1-AT$309)</f>
        <v>0</v>
      </c>
      <c r="AU113" s="1240">
        <f>+IFERROR(HLOOKUP(AU12,'סקרי נכסים-יתרות פתיחה'!$2:$110,8,0),0)-IFERROR(HLOOKUP(AU12,'סקרי נכסים-יתרות פתיחה'!$2:$110,92,0),0)*(1-AU$309)</f>
        <v>0</v>
      </c>
      <c r="AV113" s="1240">
        <f>+IFERROR(HLOOKUP(AV12,'סקרי נכסים-יתרות פתיחה'!$2:$110,8,0),0)-IFERROR(HLOOKUP(AV12,'סקרי נכסים-יתרות פתיחה'!$2:$110,92,0),0)*(1-AV$309)</f>
        <v>0</v>
      </c>
      <c r="AW113" s="1240">
        <f>+IFERROR(HLOOKUP(AW12,'סקרי נכסים-יתרות פתיחה'!$2:$110,8,0),0)-IFERROR(HLOOKUP(AW12,'סקרי נכסים-יתרות פתיחה'!$2:$110,92,0),0)*(1-AW$309)</f>
        <v>0</v>
      </c>
      <c r="AX113" s="1240">
        <f>+IFERROR(HLOOKUP(AX12,'סקרי נכסים-יתרות פתיחה'!$2:$110,8,0),0)-IFERROR(HLOOKUP(AX12,'סקרי נכסים-יתרות פתיחה'!$2:$110,92,0),0)*(1-AX$309)</f>
        <v>0</v>
      </c>
      <c r="AY113" s="1240">
        <f>+IFERROR(HLOOKUP(AY12,'סקרי נכסים-יתרות פתיחה'!$2:$110,8,0),0)-IFERROR(HLOOKUP(AY12,'סקרי נכסים-יתרות פתיחה'!$2:$110,92,0),0)*(1-AY$309)</f>
        <v>0</v>
      </c>
      <c r="AZ113" s="1240">
        <f>+IFERROR(HLOOKUP(AZ12,'סקרי נכסים-יתרות פתיחה'!$2:$110,8,0),0)-IFERROR(HLOOKUP(AZ12,'סקרי נכסים-יתרות פתיחה'!$2:$110,92,0),0)*(1-AZ$309)</f>
        <v>0</v>
      </c>
      <c r="BA113" s="1240">
        <f>+IFERROR(HLOOKUP(BA12,'סקרי נכסים-יתרות פתיחה'!$2:$110,8,0),0)-IFERROR(HLOOKUP(BA12,'סקרי נכסים-יתרות פתיחה'!$2:$110,92,0),0)*(1-BA$309)</f>
        <v>0</v>
      </c>
      <c r="BB113" s="1240">
        <f>+IFERROR(HLOOKUP(BB12,'סקרי נכסים-יתרות פתיחה'!$2:$110,8,0),0)-IFERROR(HLOOKUP(BB12,'סקרי נכסים-יתרות פתיחה'!$2:$110,92,0),0)*(1-BB$309)</f>
        <v>0</v>
      </c>
      <c r="BC113" s="1240">
        <f>+IFERROR(HLOOKUP(BC12,'סקרי נכסים-יתרות פתיחה'!$2:$110,8,0),0)-IFERROR(HLOOKUP(BC12,'סקרי נכסים-יתרות פתיחה'!$2:$110,92,0),0)*(1-BC$309)</f>
        <v>0</v>
      </c>
      <c r="BD113" s="1240">
        <f>+IFERROR(HLOOKUP(BD12,'סקרי נכסים-יתרות פתיחה'!$2:$110,8,0),0)-IFERROR(HLOOKUP(BD12,'סקרי נכסים-יתרות פתיחה'!$2:$110,92,0),0)*(1-BD$309)</f>
        <v>0</v>
      </c>
      <c r="BE113" s="1240">
        <f>+IFERROR(HLOOKUP(BE12,'סקרי נכסים-יתרות פתיחה'!$2:$110,8,0),0)-IFERROR(HLOOKUP(BE12,'סקרי נכסים-יתרות פתיחה'!$2:$110,92,0),0)*(1-BE$309)</f>
        <v>0</v>
      </c>
      <c r="BF113" s="1240">
        <f>+IFERROR(HLOOKUP(BF12,'סקרי נכסים-יתרות פתיחה'!$2:$110,8,0),0)-IFERROR(HLOOKUP(BF12,'סקרי נכסים-יתרות פתיחה'!$2:$110,92,0),0)*(1-BF$309)</f>
        <v>0</v>
      </c>
    </row>
    <row r="114" spans="2:58" x14ac:dyDescent="0.2">
      <c r="B114" s="1">
        <v>10</v>
      </c>
      <c r="C114" s="1240">
        <f>+IFERROR(HLOOKUP(C13,'סקרי נכסים-יתרות פתיחה'!$2:$110,8,0),0)-IFERROR(HLOOKUP(C13,'סקרי נכסים-יתרות פתיחה'!$2:$110,92,0),0)*(1-C$309)</f>
        <v>0</v>
      </c>
      <c r="D114" s="1240">
        <f>+IFERROR(HLOOKUP(D13,'סקרי נכסים-יתרות פתיחה'!$2:$110,8,0),0)-IFERROR(HLOOKUP(D13,'סקרי נכסים-יתרות פתיחה'!$2:$110,92,0),0)*(1-D$309)</f>
        <v>0</v>
      </c>
      <c r="E114" s="1240">
        <f>+IFERROR(HLOOKUP(E13,'סקרי נכסים-יתרות פתיחה'!$2:$110,8,0),0)-IFERROR(HLOOKUP(E13,'סקרי נכסים-יתרות פתיחה'!$2:$110,92,0),0)*(1-E$309)</f>
        <v>0</v>
      </c>
      <c r="F114" s="1240">
        <f>+IFERROR(HLOOKUP(F13,'סקרי נכסים-יתרות פתיחה'!$2:$110,8,0),0)-IFERROR(HLOOKUP(F13,'סקרי נכסים-יתרות פתיחה'!$2:$110,92,0),0)*(1-F$309)</f>
        <v>0</v>
      </c>
      <c r="G114" s="1240">
        <f>+IFERROR(HLOOKUP(G13,'סקרי נכסים-יתרות פתיחה'!$2:$110,8,0),0)-IFERROR(HLOOKUP(G13,'סקרי נכסים-יתרות פתיחה'!$2:$110,92,0),0)*(1-G$309)</f>
        <v>0</v>
      </c>
      <c r="H114" s="1240">
        <f>+IFERROR(HLOOKUP(H13,'סקרי נכסים-יתרות פתיחה'!$2:$110,8,0),0)-IFERROR(HLOOKUP(H13,'סקרי נכסים-יתרות פתיחה'!$2:$110,92,0),0)*(1-H$309)</f>
        <v>0</v>
      </c>
      <c r="I114" s="1240">
        <f>+IFERROR(HLOOKUP(I13,'סקרי נכסים-יתרות פתיחה'!$2:$110,8,0),0)-IFERROR(HLOOKUP(I13,'סקרי נכסים-יתרות פתיחה'!$2:$110,92,0),0)*(1-I$309)</f>
        <v>0</v>
      </c>
      <c r="J114" s="1240">
        <f>+IFERROR(HLOOKUP(J13,'סקרי נכסים-יתרות פתיחה'!$2:$110,8,0),0)-IFERROR(HLOOKUP(J13,'סקרי נכסים-יתרות פתיחה'!$2:$110,92,0),0)*(1-J$309)</f>
        <v>0</v>
      </c>
      <c r="K114" s="1240">
        <f>+IFERROR(HLOOKUP(K13,'סקרי נכסים-יתרות פתיחה'!$2:$110,8,0),0)-IFERROR(HLOOKUP(K13,'סקרי נכסים-יתרות פתיחה'!$2:$110,92,0),0)*(1-K$309)</f>
        <v>0</v>
      </c>
      <c r="L114" s="1240">
        <f>+IFERROR(HLOOKUP(L13,'סקרי נכסים-יתרות פתיחה'!$2:$110,8,0),0)-IFERROR(HLOOKUP(L13,'סקרי נכסים-יתרות פתיחה'!$2:$110,92,0),0)*(1-L$309)</f>
        <v>0</v>
      </c>
      <c r="M114" s="1240">
        <f>+IFERROR(HLOOKUP(M13,'סקרי נכסים-יתרות פתיחה'!$2:$110,8,0),0)-IFERROR(HLOOKUP(M13,'סקרי נכסים-יתרות פתיחה'!$2:$110,92,0),0)*(1-M$309)</f>
        <v>0</v>
      </c>
      <c r="N114" s="1240">
        <f>+IFERROR(HLOOKUP(N13,'סקרי נכסים-יתרות פתיחה'!$2:$110,8,0),0)-IFERROR(HLOOKUP(N13,'סקרי נכסים-יתרות פתיחה'!$2:$110,92,0),0)*(1-N$309)</f>
        <v>0</v>
      </c>
      <c r="O114" s="1240">
        <f>+IFERROR(HLOOKUP(O13,'סקרי נכסים-יתרות פתיחה'!$2:$110,8,0),0)-IFERROR(HLOOKUP(O13,'סקרי נכסים-יתרות פתיחה'!$2:$110,92,0),0)*(1-O$309)</f>
        <v>0</v>
      </c>
      <c r="P114" s="1240">
        <f>+IFERROR(HLOOKUP(P13,'סקרי נכסים-יתרות פתיחה'!$2:$110,8,0),0)-IFERROR(HLOOKUP(P13,'סקרי נכסים-יתרות פתיחה'!$2:$110,92,0),0)*(1-P$309)</f>
        <v>500000</v>
      </c>
      <c r="Q114" s="1240">
        <f>+IFERROR(HLOOKUP(Q13,'סקרי נכסים-יתרות פתיחה'!$2:$110,8,0),0)-IFERROR(HLOOKUP(Q13,'סקרי נכסים-יתרות פתיחה'!$2:$110,92,0),0)*(1-Q$309)</f>
        <v>0</v>
      </c>
      <c r="R114" s="1240">
        <f>+IFERROR(HLOOKUP(R13,'סקרי נכסים-יתרות פתיחה'!$2:$110,8,0),0)-IFERROR(HLOOKUP(R13,'סקרי נכסים-יתרות פתיחה'!$2:$110,92,0),0)*(1-R$309)</f>
        <v>0</v>
      </c>
      <c r="S114" s="1240">
        <f>+IFERROR(HLOOKUP(S13,'סקרי נכסים-יתרות פתיחה'!$2:$110,8,0),0)-IFERROR(HLOOKUP(S13,'סקרי נכסים-יתרות פתיחה'!$2:$110,92,0),0)*(1-S$309)</f>
        <v>0</v>
      </c>
      <c r="T114" s="1240">
        <f>+IFERROR(HLOOKUP(T13,'סקרי נכסים-יתרות פתיחה'!$2:$110,8,0),0)-IFERROR(HLOOKUP(T13,'סקרי נכסים-יתרות פתיחה'!$2:$110,92,0),0)*(1-T$309)</f>
        <v>0</v>
      </c>
      <c r="U114" s="1240">
        <f>+IFERROR(HLOOKUP(U13,'סקרי נכסים-יתרות פתיחה'!$2:$110,8,0),0)-IFERROR(HLOOKUP(U13,'סקרי נכסים-יתרות פתיחה'!$2:$110,92,0),0)*(1-U$309)</f>
        <v>0</v>
      </c>
      <c r="V114" s="1240">
        <f>+IFERROR(HLOOKUP(V13,'סקרי נכסים-יתרות פתיחה'!$2:$110,8,0),0)-IFERROR(HLOOKUP(V13,'סקרי נכסים-יתרות פתיחה'!$2:$110,92,0),0)*(1-V$309)</f>
        <v>0</v>
      </c>
      <c r="W114" s="1240">
        <f>+IFERROR(HLOOKUP(W13,'סקרי נכסים-יתרות פתיחה'!$2:$110,8,0),0)-IFERROR(HLOOKUP(W13,'סקרי נכסים-יתרות פתיחה'!$2:$110,92,0),0)*(1-W$309)</f>
        <v>0</v>
      </c>
      <c r="X114" s="1240">
        <f>+IFERROR(HLOOKUP(X13,'סקרי נכסים-יתרות פתיחה'!$2:$110,8,0),0)-IFERROR(HLOOKUP(X13,'סקרי נכסים-יתרות פתיחה'!$2:$110,92,0),0)*(1-X$309)</f>
        <v>0</v>
      </c>
      <c r="Y114" s="1240">
        <f>+IFERROR(HLOOKUP(Y13,'סקרי נכסים-יתרות פתיחה'!$2:$110,8,0),0)-IFERROR(HLOOKUP(Y13,'סקרי נכסים-יתרות פתיחה'!$2:$110,92,0),0)*(1-Y$309)</f>
        <v>0</v>
      </c>
      <c r="Z114" s="1240">
        <f>+IFERROR(HLOOKUP(Z13,'סקרי נכסים-יתרות פתיחה'!$2:$110,8,0),0)-IFERROR(HLOOKUP(Z13,'סקרי נכסים-יתרות פתיחה'!$2:$110,92,0),0)*(1-Z$309)</f>
        <v>0</v>
      </c>
      <c r="AA114" s="1240">
        <f>+IFERROR(HLOOKUP(AA13,'סקרי נכסים-יתרות פתיחה'!$2:$110,8,0),0)-IFERROR(HLOOKUP(AA13,'סקרי נכסים-יתרות פתיחה'!$2:$110,92,0),0)*(1-AA$309)</f>
        <v>0</v>
      </c>
      <c r="AB114" s="1240">
        <f>+IFERROR(HLOOKUP(AB13,'סקרי נכסים-יתרות פתיחה'!$2:$110,8,0),0)-IFERROR(HLOOKUP(AB13,'סקרי נכסים-יתרות פתיחה'!$2:$110,92,0),0)*(1-AB$309)</f>
        <v>0</v>
      </c>
      <c r="AC114" s="1240">
        <f>+IFERROR(HLOOKUP(AC13,'סקרי נכסים-יתרות פתיחה'!$2:$110,8,0),0)-IFERROR(HLOOKUP(AC13,'סקרי נכסים-יתרות פתיחה'!$2:$110,92,0),0)*(1-AC$309)</f>
        <v>0</v>
      </c>
      <c r="AD114" s="1240">
        <f>+IFERROR(HLOOKUP(AD13,'סקרי נכסים-יתרות פתיחה'!$2:$110,8,0),0)-IFERROR(HLOOKUP(AD13,'סקרי נכסים-יתרות פתיחה'!$2:$110,92,0),0)*(1-AD$309)</f>
        <v>0</v>
      </c>
      <c r="AE114" s="1240">
        <f>+IFERROR(HLOOKUP(AE13,'סקרי נכסים-יתרות פתיחה'!$2:$110,8,0),0)-IFERROR(HLOOKUP(AE13,'סקרי נכסים-יתרות פתיחה'!$2:$110,92,0),0)*(1-AE$309)</f>
        <v>0</v>
      </c>
      <c r="AF114" s="1240">
        <f>+IFERROR(HLOOKUP(AF13,'סקרי נכסים-יתרות פתיחה'!$2:$110,8,0),0)-IFERROR(HLOOKUP(AF13,'סקרי נכסים-יתרות פתיחה'!$2:$110,92,0),0)*(1-AF$309)</f>
        <v>0</v>
      </c>
      <c r="AG114" s="1240">
        <f>+IFERROR(HLOOKUP(AG13,'סקרי נכסים-יתרות פתיחה'!$2:$110,8,0),0)-IFERROR(HLOOKUP(AG13,'סקרי נכסים-יתרות פתיחה'!$2:$110,92,0),0)*(1-AG$309)</f>
        <v>0</v>
      </c>
      <c r="AH114" s="1240">
        <f>+IFERROR(HLOOKUP(AH13,'סקרי נכסים-יתרות פתיחה'!$2:$110,8,0),0)-IFERROR(HLOOKUP(AH13,'סקרי נכסים-יתרות פתיחה'!$2:$110,92,0),0)*(1-AH$309)</f>
        <v>0</v>
      </c>
      <c r="AI114" s="1240">
        <f>+IFERROR(HLOOKUP(AI13,'סקרי נכסים-יתרות פתיחה'!$2:$110,8,0),0)-IFERROR(HLOOKUP(AI13,'סקרי נכסים-יתרות פתיחה'!$2:$110,92,0),0)*(1-AI$309)</f>
        <v>0</v>
      </c>
      <c r="AJ114" s="1240">
        <f>+IFERROR(HLOOKUP(AJ13,'סקרי נכסים-יתרות פתיחה'!$2:$110,8,0),0)-IFERROR(HLOOKUP(AJ13,'סקרי נכסים-יתרות פתיחה'!$2:$110,92,0),0)*(1-AJ$309)</f>
        <v>0</v>
      </c>
      <c r="AK114" s="1240">
        <f>+IFERROR(HLOOKUP(AK13,'סקרי נכסים-יתרות פתיחה'!$2:$110,8,0),0)-IFERROR(HLOOKUP(AK13,'סקרי נכסים-יתרות פתיחה'!$2:$110,92,0),0)*(1-AK$309)</f>
        <v>0</v>
      </c>
      <c r="AL114" s="1240">
        <f>+IFERROR(HLOOKUP(AL13,'סקרי נכסים-יתרות פתיחה'!$2:$110,8,0),0)-IFERROR(HLOOKUP(AL13,'סקרי נכסים-יתרות פתיחה'!$2:$110,92,0),0)*(1-AL$309)</f>
        <v>0</v>
      </c>
      <c r="AM114" s="1240">
        <f>+IFERROR(HLOOKUP(AM13,'סקרי נכסים-יתרות פתיחה'!$2:$110,8,0),0)-IFERROR(HLOOKUP(AM13,'סקרי נכסים-יתרות פתיחה'!$2:$110,92,0),0)*(1-AM$309)</f>
        <v>0</v>
      </c>
      <c r="AN114" s="1240">
        <f>+IFERROR(HLOOKUP(AN13,'סקרי נכסים-יתרות פתיחה'!$2:$110,8,0),0)-IFERROR(HLOOKUP(AN13,'סקרי נכסים-יתרות פתיחה'!$2:$110,92,0),0)*(1-AN$309)</f>
        <v>0</v>
      </c>
      <c r="AO114" s="1240">
        <f>+IFERROR(HLOOKUP(AO13,'סקרי נכסים-יתרות פתיחה'!$2:$110,8,0),0)-IFERROR(HLOOKUP(AO13,'סקרי נכסים-יתרות פתיחה'!$2:$110,92,0),0)*(1-AO$309)</f>
        <v>0</v>
      </c>
      <c r="AP114" s="1240">
        <f>+IFERROR(HLOOKUP(AP13,'סקרי נכסים-יתרות פתיחה'!$2:$110,8,0),0)-IFERROR(HLOOKUP(AP13,'סקרי נכסים-יתרות פתיחה'!$2:$110,92,0),0)*(1-AP$309)</f>
        <v>0</v>
      </c>
      <c r="AQ114" s="1240">
        <f>+IFERROR(HLOOKUP(AQ13,'סקרי נכסים-יתרות פתיחה'!$2:$110,8,0),0)-IFERROR(HLOOKUP(AQ13,'סקרי נכסים-יתרות פתיחה'!$2:$110,92,0),0)*(1-AQ$309)</f>
        <v>0</v>
      </c>
      <c r="AR114" s="1240">
        <f>+IFERROR(HLOOKUP(AR13,'סקרי נכסים-יתרות פתיחה'!$2:$110,8,0),0)-IFERROR(HLOOKUP(AR13,'סקרי נכסים-יתרות פתיחה'!$2:$110,92,0),0)*(1-AR$309)</f>
        <v>0</v>
      </c>
      <c r="AS114" s="1240">
        <f>+IFERROR(HLOOKUP(AS13,'סקרי נכסים-יתרות פתיחה'!$2:$110,8,0),0)-IFERROR(HLOOKUP(AS13,'סקרי נכסים-יתרות פתיחה'!$2:$110,92,0),0)*(1-AS$309)</f>
        <v>2000000</v>
      </c>
      <c r="AT114" s="1240">
        <f>+IFERROR(HLOOKUP(AT13,'סקרי נכסים-יתרות פתיחה'!$2:$110,8,0),0)-IFERROR(HLOOKUP(AT13,'סקרי נכסים-יתרות פתיחה'!$2:$110,92,0),0)*(1-AT$309)</f>
        <v>0</v>
      </c>
      <c r="AU114" s="1240">
        <f>+IFERROR(HLOOKUP(AU13,'סקרי נכסים-יתרות פתיחה'!$2:$110,8,0),0)-IFERROR(HLOOKUP(AU13,'סקרי נכסים-יתרות פתיחה'!$2:$110,92,0),0)*(1-AU$309)</f>
        <v>0</v>
      </c>
      <c r="AV114" s="1240">
        <f>+IFERROR(HLOOKUP(AV13,'סקרי נכסים-יתרות פתיחה'!$2:$110,8,0),0)-IFERROR(HLOOKUP(AV13,'סקרי נכסים-יתרות פתיחה'!$2:$110,92,0),0)*(1-AV$309)</f>
        <v>0</v>
      </c>
      <c r="AW114" s="1240">
        <f>+IFERROR(HLOOKUP(AW13,'סקרי נכסים-יתרות פתיחה'!$2:$110,8,0),0)-IFERROR(HLOOKUP(AW13,'סקרי נכסים-יתרות פתיחה'!$2:$110,92,0),0)*(1-AW$309)</f>
        <v>0</v>
      </c>
      <c r="AX114" s="1240">
        <f>+IFERROR(HLOOKUP(AX13,'סקרי נכסים-יתרות פתיחה'!$2:$110,8,0),0)-IFERROR(HLOOKUP(AX13,'סקרי נכסים-יתרות פתיחה'!$2:$110,92,0),0)*(1-AX$309)</f>
        <v>0</v>
      </c>
      <c r="AY114" s="1240">
        <f>+IFERROR(HLOOKUP(AY13,'סקרי נכסים-יתרות פתיחה'!$2:$110,8,0),0)-IFERROR(HLOOKUP(AY13,'סקרי נכסים-יתרות פתיחה'!$2:$110,92,0),0)*(1-AY$309)</f>
        <v>0</v>
      </c>
      <c r="AZ114" s="1240">
        <f>+IFERROR(HLOOKUP(AZ13,'סקרי נכסים-יתרות פתיחה'!$2:$110,8,0),0)-IFERROR(HLOOKUP(AZ13,'סקרי נכסים-יתרות פתיחה'!$2:$110,92,0),0)*(1-AZ$309)</f>
        <v>0</v>
      </c>
      <c r="BA114" s="1240">
        <f>+IFERROR(HLOOKUP(BA13,'סקרי נכסים-יתרות פתיחה'!$2:$110,8,0),0)-IFERROR(HLOOKUP(BA13,'סקרי נכסים-יתרות פתיחה'!$2:$110,92,0),0)*(1-BA$309)</f>
        <v>0</v>
      </c>
      <c r="BB114" s="1240">
        <f>+IFERROR(HLOOKUP(BB13,'סקרי נכסים-יתרות פתיחה'!$2:$110,8,0),0)-IFERROR(HLOOKUP(BB13,'סקרי נכסים-יתרות פתיחה'!$2:$110,92,0),0)*(1-BB$309)</f>
        <v>0</v>
      </c>
      <c r="BC114" s="1240">
        <f>+IFERROR(HLOOKUP(BC13,'סקרי נכסים-יתרות פתיחה'!$2:$110,8,0),0)-IFERROR(HLOOKUP(BC13,'סקרי נכסים-יתרות פתיחה'!$2:$110,92,0),0)*(1-BC$309)</f>
        <v>0</v>
      </c>
      <c r="BD114" s="1240">
        <f>+IFERROR(HLOOKUP(BD13,'סקרי נכסים-יתרות פתיחה'!$2:$110,8,0),0)-IFERROR(HLOOKUP(BD13,'סקרי נכסים-יתרות פתיחה'!$2:$110,92,0),0)*(1-BD$309)</f>
        <v>0</v>
      </c>
      <c r="BE114" s="1240">
        <f>+IFERROR(HLOOKUP(BE13,'סקרי נכסים-יתרות פתיחה'!$2:$110,8,0),0)-IFERROR(HLOOKUP(BE13,'סקרי נכסים-יתרות פתיחה'!$2:$110,92,0),0)*(1-BE$309)</f>
        <v>0</v>
      </c>
      <c r="BF114" s="1240">
        <f>+IFERROR(HLOOKUP(BF13,'סקרי נכסים-יתרות פתיחה'!$2:$110,8,0),0)-IFERROR(HLOOKUP(BF13,'סקרי נכסים-יתרות פתיחה'!$2:$110,92,0),0)*(1-BF$309)</f>
        <v>0</v>
      </c>
    </row>
    <row r="115" spans="2:58" x14ac:dyDescent="0.2">
      <c r="B115" s="1">
        <v>11</v>
      </c>
      <c r="C115" s="1240">
        <f>+IFERROR(HLOOKUP(C14,'סקרי נכסים-יתרות פתיחה'!$2:$110,8,0),0)-IFERROR(HLOOKUP(C14,'סקרי נכסים-יתרות פתיחה'!$2:$110,92,0),0)*(1-C$309)</f>
        <v>0</v>
      </c>
      <c r="D115" s="1240">
        <f>+IFERROR(HLOOKUP(D14,'סקרי נכסים-יתרות פתיחה'!$2:$110,8,0),0)-IFERROR(HLOOKUP(D14,'סקרי נכסים-יתרות פתיחה'!$2:$110,92,0),0)*(1-D$309)</f>
        <v>0</v>
      </c>
      <c r="E115" s="1240">
        <f>+IFERROR(HLOOKUP(E14,'סקרי נכסים-יתרות פתיחה'!$2:$110,8,0),0)-IFERROR(HLOOKUP(E14,'סקרי נכסים-יתרות פתיחה'!$2:$110,92,0),0)*(1-E$309)</f>
        <v>0</v>
      </c>
      <c r="F115" s="1240">
        <f>+IFERROR(HLOOKUP(F14,'סקרי נכסים-יתרות פתיחה'!$2:$110,8,0),0)-IFERROR(HLOOKUP(F14,'סקרי נכסים-יתרות פתיחה'!$2:$110,92,0),0)*(1-F$309)</f>
        <v>0</v>
      </c>
      <c r="G115" s="1240">
        <f>+IFERROR(HLOOKUP(G14,'סקרי נכסים-יתרות פתיחה'!$2:$110,8,0),0)-IFERROR(HLOOKUP(G14,'סקרי נכסים-יתרות פתיחה'!$2:$110,92,0),0)*(1-G$309)</f>
        <v>0</v>
      </c>
      <c r="H115" s="1240">
        <f>+IFERROR(HLOOKUP(H14,'סקרי נכסים-יתרות פתיחה'!$2:$110,8,0),0)-IFERROR(HLOOKUP(H14,'סקרי נכסים-יתרות פתיחה'!$2:$110,92,0),0)*(1-H$309)</f>
        <v>0</v>
      </c>
      <c r="I115" s="1240">
        <f>+IFERROR(HLOOKUP(I14,'סקרי נכסים-יתרות פתיחה'!$2:$110,8,0),0)-IFERROR(HLOOKUP(I14,'סקרי נכסים-יתרות פתיחה'!$2:$110,92,0),0)*(1-I$309)</f>
        <v>0</v>
      </c>
      <c r="J115" s="1240">
        <f>+IFERROR(HLOOKUP(J14,'סקרי נכסים-יתרות פתיחה'!$2:$110,8,0),0)-IFERROR(HLOOKUP(J14,'סקרי נכסים-יתרות פתיחה'!$2:$110,92,0),0)*(1-J$309)</f>
        <v>0</v>
      </c>
      <c r="K115" s="1240">
        <f>+IFERROR(HLOOKUP(K14,'סקרי נכסים-יתרות פתיחה'!$2:$110,8,0),0)-IFERROR(HLOOKUP(K14,'סקרי נכסים-יתרות פתיחה'!$2:$110,92,0),0)*(1-K$309)</f>
        <v>0</v>
      </c>
      <c r="L115" s="1240">
        <f>+IFERROR(HLOOKUP(L14,'סקרי נכסים-יתרות פתיחה'!$2:$110,8,0),0)-IFERROR(HLOOKUP(L14,'סקרי נכסים-יתרות פתיחה'!$2:$110,92,0),0)*(1-L$309)</f>
        <v>0</v>
      </c>
      <c r="M115" s="1240">
        <f>+IFERROR(HLOOKUP(M14,'סקרי נכסים-יתרות פתיחה'!$2:$110,8,0),0)-IFERROR(HLOOKUP(M14,'סקרי נכסים-יתרות פתיחה'!$2:$110,92,0),0)*(1-M$309)</f>
        <v>0</v>
      </c>
      <c r="N115" s="1240">
        <f>+IFERROR(HLOOKUP(N14,'סקרי נכסים-יתרות פתיחה'!$2:$110,8,0),0)-IFERROR(HLOOKUP(N14,'סקרי נכסים-יתרות פתיחה'!$2:$110,92,0),0)*(1-N$309)</f>
        <v>0</v>
      </c>
      <c r="O115" s="1240">
        <f>+IFERROR(HLOOKUP(O14,'סקרי נכסים-יתרות פתיחה'!$2:$110,8,0),0)-IFERROR(HLOOKUP(O14,'סקרי נכסים-יתרות פתיחה'!$2:$110,92,0),0)*(1-O$309)</f>
        <v>0</v>
      </c>
      <c r="P115" s="1240">
        <f>+IFERROR(HLOOKUP(P14,'סקרי נכסים-יתרות פתיחה'!$2:$110,8,0),0)-IFERROR(HLOOKUP(P14,'סקרי נכסים-יתרות פתיחה'!$2:$110,92,0),0)*(1-P$309)</f>
        <v>0</v>
      </c>
      <c r="Q115" s="1240">
        <f>+IFERROR(HLOOKUP(Q14,'סקרי נכסים-יתרות פתיחה'!$2:$110,8,0),0)-IFERROR(HLOOKUP(Q14,'סקרי נכסים-יתרות פתיחה'!$2:$110,92,0),0)*(1-Q$309)</f>
        <v>0</v>
      </c>
      <c r="R115" s="1240">
        <f>+IFERROR(HLOOKUP(R14,'סקרי נכסים-יתרות פתיחה'!$2:$110,8,0),0)-IFERROR(HLOOKUP(R14,'סקרי נכסים-יתרות פתיחה'!$2:$110,92,0),0)*(1-R$309)</f>
        <v>0</v>
      </c>
      <c r="S115" s="1240">
        <f>+IFERROR(HLOOKUP(S14,'סקרי נכסים-יתרות פתיחה'!$2:$110,8,0),0)-IFERROR(HLOOKUP(S14,'סקרי נכסים-יתרות פתיחה'!$2:$110,92,0),0)*(1-S$309)</f>
        <v>0</v>
      </c>
      <c r="T115" s="1240">
        <f>+IFERROR(HLOOKUP(T14,'סקרי נכסים-יתרות פתיחה'!$2:$110,8,0),0)-IFERROR(HLOOKUP(T14,'סקרי נכסים-יתרות פתיחה'!$2:$110,92,0),0)*(1-T$309)</f>
        <v>0</v>
      </c>
      <c r="U115" s="1240">
        <f>+IFERROR(HLOOKUP(U14,'סקרי נכסים-יתרות פתיחה'!$2:$110,8,0),0)-IFERROR(HLOOKUP(U14,'סקרי נכסים-יתרות פתיחה'!$2:$110,92,0),0)*(1-U$309)</f>
        <v>0</v>
      </c>
      <c r="V115" s="1240">
        <f>+IFERROR(HLOOKUP(V14,'סקרי נכסים-יתרות פתיחה'!$2:$110,8,0),0)-IFERROR(HLOOKUP(V14,'סקרי נכסים-יתרות פתיחה'!$2:$110,92,0),0)*(1-V$309)</f>
        <v>0</v>
      </c>
      <c r="W115" s="1240">
        <f>+IFERROR(HLOOKUP(W14,'סקרי נכסים-יתרות פתיחה'!$2:$110,8,0),0)-IFERROR(HLOOKUP(W14,'סקרי נכסים-יתרות פתיחה'!$2:$110,92,0),0)*(1-W$309)</f>
        <v>0</v>
      </c>
      <c r="X115" s="1240">
        <f>+IFERROR(HLOOKUP(X14,'סקרי נכסים-יתרות פתיחה'!$2:$110,8,0),0)-IFERROR(HLOOKUP(X14,'סקרי נכסים-יתרות פתיחה'!$2:$110,92,0),0)*(1-X$309)</f>
        <v>0</v>
      </c>
      <c r="Y115" s="1240">
        <f>+IFERROR(HLOOKUP(Y14,'סקרי נכסים-יתרות פתיחה'!$2:$110,8,0),0)-IFERROR(HLOOKUP(Y14,'סקרי נכסים-יתרות פתיחה'!$2:$110,92,0),0)*(1-Y$309)</f>
        <v>0</v>
      </c>
      <c r="Z115" s="1240">
        <f>+IFERROR(HLOOKUP(Z14,'סקרי נכסים-יתרות פתיחה'!$2:$110,8,0),0)-IFERROR(HLOOKUP(Z14,'סקרי נכסים-יתרות פתיחה'!$2:$110,92,0),0)*(1-Z$309)</f>
        <v>0</v>
      </c>
      <c r="AA115" s="1240">
        <f>+IFERROR(HLOOKUP(AA14,'סקרי נכסים-יתרות פתיחה'!$2:$110,8,0),0)-IFERROR(HLOOKUP(AA14,'סקרי נכסים-יתרות פתיחה'!$2:$110,92,0),0)*(1-AA$309)</f>
        <v>0</v>
      </c>
      <c r="AB115" s="1240">
        <f>+IFERROR(HLOOKUP(AB14,'סקרי נכסים-יתרות פתיחה'!$2:$110,8,0),0)-IFERROR(HLOOKUP(AB14,'סקרי נכסים-יתרות פתיחה'!$2:$110,92,0),0)*(1-AB$309)</f>
        <v>0</v>
      </c>
      <c r="AC115" s="1240">
        <f>+IFERROR(HLOOKUP(AC14,'סקרי נכסים-יתרות פתיחה'!$2:$110,8,0),0)-IFERROR(HLOOKUP(AC14,'סקרי נכסים-יתרות פתיחה'!$2:$110,92,0),0)*(1-AC$309)</f>
        <v>0</v>
      </c>
      <c r="AD115" s="1240">
        <f>+IFERROR(HLOOKUP(AD14,'סקרי נכסים-יתרות פתיחה'!$2:$110,8,0),0)-IFERROR(HLOOKUP(AD14,'סקרי נכסים-יתרות פתיחה'!$2:$110,92,0),0)*(1-AD$309)</f>
        <v>0</v>
      </c>
      <c r="AE115" s="1240">
        <f>+IFERROR(HLOOKUP(AE14,'סקרי נכסים-יתרות פתיחה'!$2:$110,8,0),0)-IFERROR(HLOOKUP(AE14,'סקרי נכסים-יתרות פתיחה'!$2:$110,92,0),0)*(1-AE$309)</f>
        <v>0</v>
      </c>
      <c r="AF115" s="1240">
        <f>+IFERROR(HLOOKUP(AF14,'סקרי נכסים-יתרות פתיחה'!$2:$110,8,0),0)-IFERROR(HLOOKUP(AF14,'סקרי נכסים-יתרות פתיחה'!$2:$110,92,0),0)*(1-AF$309)</f>
        <v>0</v>
      </c>
      <c r="AG115" s="1240">
        <f>+IFERROR(HLOOKUP(AG14,'סקרי נכסים-יתרות פתיחה'!$2:$110,8,0),0)-IFERROR(HLOOKUP(AG14,'סקרי נכסים-יתרות פתיחה'!$2:$110,92,0),0)*(1-AG$309)</f>
        <v>0</v>
      </c>
      <c r="AH115" s="1240">
        <f>+IFERROR(HLOOKUP(AH14,'סקרי נכסים-יתרות פתיחה'!$2:$110,8,0),0)-IFERROR(HLOOKUP(AH14,'סקרי נכסים-יתרות פתיחה'!$2:$110,92,0),0)*(1-AH$309)</f>
        <v>0</v>
      </c>
      <c r="AI115" s="1240">
        <f>+IFERROR(HLOOKUP(AI14,'סקרי נכסים-יתרות פתיחה'!$2:$110,8,0),0)-IFERROR(HLOOKUP(AI14,'סקרי נכסים-יתרות פתיחה'!$2:$110,92,0),0)*(1-AI$309)</f>
        <v>0</v>
      </c>
      <c r="AJ115" s="1240">
        <f>+IFERROR(HLOOKUP(AJ14,'סקרי נכסים-יתרות פתיחה'!$2:$110,8,0),0)-IFERROR(HLOOKUP(AJ14,'סקרי נכסים-יתרות פתיחה'!$2:$110,92,0),0)*(1-AJ$309)</f>
        <v>0</v>
      </c>
      <c r="AK115" s="1240">
        <f>+IFERROR(HLOOKUP(AK14,'סקרי נכסים-יתרות פתיחה'!$2:$110,8,0),0)-IFERROR(HLOOKUP(AK14,'סקרי נכסים-יתרות פתיחה'!$2:$110,92,0),0)*(1-AK$309)</f>
        <v>0</v>
      </c>
      <c r="AL115" s="1240">
        <f>+IFERROR(HLOOKUP(AL14,'סקרי נכסים-יתרות פתיחה'!$2:$110,8,0),0)-IFERROR(HLOOKUP(AL14,'סקרי נכסים-יתרות פתיחה'!$2:$110,92,0),0)*(1-AL$309)</f>
        <v>0</v>
      </c>
      <c r="AM115" s="1240">
        <f>+IFERROR(HLOOKUP(AM14,'סקרי נכסים-יתרות פתיחה'!$2:$110,8,0),0)-IFERROR(HLOOKUP(AM14,'סקרי נכסים-יתרות פתיחה'!$2:$110,92,0),0)*(1-AM$309)</f>
        <v>0</v>
      </c>
      <c r="AN115" s="1240">
        <f>+IFERROR(HLOOKUP(AN14,'סקרי נכסים-יתרות פתיחה'!$2:$110,8,0),0)-IFERROR(HLOOKUP(AN14,'סקרי נכסים-יתרות פתיחה'!$2:$110,92,0),0)*(1-AN$309)</f>
        <v>0</v>
      </c>
      <c r="AO115" s="1240">
        <f>+IFERROR(HLOOKUP(AO14,'סקרי נכסים-יתרות פתיחה'!$2:$110,8,0),0)-IFERROR(HLOOKUP(AO14,'סקרי נכסים-יתרות פתיחה'!$2:$110,92,0),0)*(1-AO$309)</f>
        <v>0</v>
      </c>
      <c r="AP115" s="1240">
        <f>+IFERROR(HLOOKUP(AP14,'סקרי נכסים-יתרות פתיחה'!$2:$110,8,0),0)-IFERROR(HLOOKUP(AP14,'סקרי נכסים-יתרות פתיחה'!$2:$110,92,0),0)*(1-AP$309)</f>
        <v>0</v>
      </c>
      <c r="AQ115" s="1240">
        <f>+IFERROR(HLOOKUP(AQ14,'סקרי נכסים-יתרות פתיחה'!$2:$110,8,0),0)-IFERROR(HLOOKUP(AQ14,'סקרי נכסים-יתרות פתיחה'!$2:$110,92,0),0)*(1-AQ$309)</f>
        <v>0</v>
      </c>
      <c r="AR115" s="1240">
        <f>+IFERROR(HLOOKUP(AR14,'סקרי נכסים-יתרות פתיחה'!$2:$110,8,0),0)-IFERROR(HLOOKUP(AR14,'סקרי נכסים-יתרות פתיחה'!$2:$110,92,0),0)*(1-AR$309)</f>
        <v>0</v>
      </c>
      <c r="AS115" s="1240">
        <f>+IFERROR(HLOOKUP(AS14,'סקרי נכסים-יתרות פתיחה'!$2:$110,8,0),0)-IFERROR(HLOOKUP(AS14,'סקרי נכסים-יתרות פתיחה'!$2:$110,92,0),0)*(1-AS$309)</f>
        <v>0</v>
      </c>
      <c r="AT115" s="1240">
        <f>+IFERROR(HLOOKUP(AT14,'סקרי נכסים-יתרות פתיחה'!$2:$110,8,0),0)-IFERROR(HLOOKUP(AT14,'סקרי נכסים-יתרות פתיחה'!$2:$110,92,0),0)*(1-AT$309)</f>
        <v>0</v>
      </c>
      <c r="AU115" s="1240">
        <f>+IFERROR(HLOOKUP(AU14,'סקרי נכסים-יתרות פתיחה'!$2:$110,8,0),0)-IFERROR(HLOOKUP(AU14,'סקרי נכסים-יתרות פתיחה'!$2:$110,92,0),0)*(1-AU$309)</f>
        <v>0</v>
      </c>
      <c r="AV115" s="1240">
        <f>+IFERROR(HLOOKUP(AV14,'סקרי נכסים-יתרות פתיחה'!$2:$110,8,0),0)-IFERROR(HLOOKUP(AV14,'סקרי נכסים-יתרות פתיחה'!$2:$110,92,0),0)*(1-AV$309)</f>
        <v>0</v>
      </c>
      <c r="AW115" s="1240">
        <f>+IFERROR(HLOOKUP(AW14,'סקרי נכסים-יתרות פתיחה'!$2:$110,8,0),0)-IFERROR(HLOOKUP(AW14,'סקרי נכסים-יתרות פתיחה'!$2:$110,92,0),0)*(1-AW$309)</f>
        <v>0</v>
      </c>
      <c r="AX115" s="1240">
        <f>+IFERROR(HLOOKUP(AX14,'סקרי נכסים-יתרות פתיחה'!$2:$110,8,0),0)-IFERROR(HLOOKUP(AX14,'סקרי נכסים-יתרות פתיחה'!$2:$110,92,0),0)*(1-AX$309)</f>
        <v>0</v>
      </c>
      <c r="AY115" s="1240">
        <f>+IFERROR(HLOOKUP(AY14,'סקרי נכסים-יתרות פתיחה'!$2:$110,8,0),0)-IFERROR(HLOOKUP(AY14,'סקרי נכסים-יתרות פתיחה'!$2:$110,92,0),0)*(1-AY$309)</f>
        <v>0</v>
      </c>
      <c r="AZ115" s="1240">
        <f>+IFERROR(HLOOKUP(AZ14,'סקרי נכסים-יתרות פתיחה'!$2:$110,8,0),0)-IFERROR(HLOOKUP(AZ14,'סקרי נכסים-יתרות פתיחה'!$2:$110,92,0),0)*(1-AZ$309)</f>
        <v>0</v>
      </c>
      <c r="BA115" s="1240">
        <f>+IFERROR(HLOOKUP(BA14,'סקרי נכסים-יתרות פתיחה'!$2:$110,8,0),0)-IFERROR(HLOOKUP(BA14,'סקרי נכסים-יתרות פתיחה'!$2:$110,92,0),0)*(1-BA$309)</f>
        <v>0</v>
      </c>
      <c r="BB115" s="1240">
        <f>+IFERROR(HLOOKUP(BB14,'סקרי נכסים-יתרות פתיחה'!$2:$110,8,0),0)-IFERROR(HLOOKUP(BB14,'סקרי נכסים-יתרות פתיחה'!$2:$110,92,0),0)*(1-BB$309)</f>
        <v>0</v>
      </c>
      <c r="BC115" s="1240">
        <f>+IFERROR(HLOOKUP(BC14,'סקרי נכסים-יתרות פתיחה'!$2:$110,8,0),0)-IFERROR(HLOOKUP(BC14,'סקרי נכסים-יתרות פתיחה'!$2:$110,92,0),0)*(1-BC$309)</f>
        <v>0</v>
      </c>
      <c r="BD115" s="1240">
        <f>+IFERROR(HLOOKUP(BD14,'סקרי נכסים-יתרות פתיחה'!$2:$110,8,0),0)-IFERROR(HLOOKUP(BD14,'סקרי נכסים-יתרות פתיחה'!$2:$110,92,0),0)*(1-BD$309)</f>
        <v>0</v>
      </c>
      <c r="BE115" s="1240">
        <f>+IFERROR(HLOOKUP(BE14,'סקרי נכסים-יתרות פתיחה'!$2:$110,8,0),0)-IFERROR(HLOOKUP(BE14,'סקרי נכסים-יתרות פתיחה'!$2:$110,92,0),0)*(1-BE$309)</f>
        <v>0</v>
      </c>
      <c r="BF115" s="1240">
        <f>+IFERROR(HLOOKUP(BF14,'סקרי נכסים-יתרות פתיחה'!$2:$110,8,0),0)-IFERROR(HLOOKUP(BF14,'סקרי נכסים-יתרות פתיחה'!$2:$110,92,0),0)*(1-BF$309)</f>
        <v>0</v>
      </c>
    </row>
    <row r="116" spans="2:58" x14ac:dyDescent="0.2">
      <c r="B116" s="1">
        <v>12</v>
      </c>
      <c r="C116" s="1240">
        <f>+IFERROR(HLOOKUP(C15,'סקרי נכסים-יתרות פתיחה'!$2:$110,8,0),0)-IFERROR(HLOOKUP(C15,'סקרי נכסים-יתרות פתיחה'!$2:$110,92,0),0)*(1-C$309)</f>
        <v>0</v>
      </c>
      <c r="D116" s="1240">
        <f>+IFERROR(HLOOKUP(D15,'סקרי נכסים-יתרות פתיחה'!$2:$110,8,0),0)-IFERROR(HLOOKUP(D15,'סקרי נכסים-יתרות פתיחה'!$2:$110,92,0),0)*(1-D$309)</f>
        <v>0</v>
      </c>
      <c r="E116" s="1240">
        <f>+IFERROR(HLOOKUP(E15,'סקרי נכסים-יתרות פתיחה'!$2:$110,8,0),0)-IFERROR(HLOOKUP(E15,'סקרי נכסים-יתרות פתיחה'!$2:$110,92,0),0)*(1-E$309)</f>
        <v>0</v>
      </c>
      <c r="F116" s="1240">
        <f>+IFERROR(HLOOKUP(F15,'סקרי נכסים-יתרות פתיחה'!$2:$110,8,0),0)-IFERROR(HLOOKUP(F15,'סקרי נכסים-יתרות פתיחה'!$2:$110,92,0),0)*(1-F$309)</f>
        <v>0</v>
      </c>
      <c r="G116" s="1240">
        <f>+IFERROR(HLOOKUP(G15,'סקרי נכסים-יתרות פתיחה'!$2:$110,8,0),0)-IFERROR(HLOOKUP(G15,'סקרי נכסים-יתרות פתיחה'!$2:$110,92,0),0)*(1-G$309)</f>
        <v>0</v>
      </c>
      <c r="H116" s="1240">
        <f>+IFERROR(HLOOKUP(H15,'סקרי נכסים-יתרות פתיחה'!$2:$110,8,0),0)-IFERROR(HLOOKUP(H15,'סקרי נכסים-יתרות פתיחה'!$2:$110,92,0),0)*(1-H$309)</f>
        <v>0</v>
      </c>
      <c r="I116" s="1240">
        <f>+IFERROR(HLOOKUP(I15,'סקרי נכסים-יתרות פתיחה'!$2:$110,8,0),0)-IFERROR(HLOOKUP(I15,'סקרי נכסים-יתרות פתיחה'!$2:$110,92,0),0)*(1-I$309)</f>
        <v>0</v>
      </c>
      <c r="J116" s="1240">
        <f>+IFERROR(HLOOKUP(J15,'סקרי נכסים-יתרות פתיחה'!$2:$110,8,0),0)-IFERROR(HLOOKUP(J15,'סקרי נכסים-יתרות פתיחה'!$2:$110,92,0),0)*(1-J$309)</f>
        <v>0</v>
      </c>
      <c r="K116" s="1240">
        <f>+IFERROR(HLOOKUP(K15,'סקרי נכסים-יתרות פתיחה'!$2:$110,8,0),0)-IFERROR(HLOOKUP(K15,'סקרי נכסים-יתרות פתיחה'!$2:$110,92,0),0)*(1-K$309)</f>
        <v>0</v>
      </c>
      <c r="L116" s="1240">
        <f>+IFERROR(HLOOKUP(L15,'סקרי נכסים-יתרות פתיחה'!$2:$110,8,0),0)-IFERROR(HLOOKUP(L15,'סקרי נכסים-יתרות פתיחה'!$2:$110,92,0),0)*(1-L$309)</f>
        <v>0</v>
      </c>
      <c r="M116" s="1240">
        <f>+IFERROR(HLOOKUP(M15,'סקרי נכסים-יתרות פתיחה'!$2:$110,8,0),0)-IFERROR(HLOOKUP(M15,'סקרי נכסים-יתרות פתיחה'!$2:$110,92,0),0)*(1-M$309)</f>
        <v>0</v>
      </c>
      <c r="N116" s="1240">
        <f>+IFERROR(HLOOKUP(N15,'סקרי נכסים-יתרות פתיחה'!$2:$110,8,0),0)-IFERROR(HLOOKUP(N15,'סקרי נכסים-יתרות פתיחה'!$2:$110,92,0),0)*(1-N$309)</f>
        <v>0</v>
      </c>
      <c r="O116" s="1240">
        <f>+IFERROR(HLOOKUP(O15,'סקרי נכסים-יתרות פתיחה'!$2:$110,8,0),0)-IFERROR(HLOOKUP(O15,'סקרי נכסים-יתרות פתיחה'!$2:$110,92,0),0)*(1-O$309)</f>
        <v>0</v>
      </c>
      <c r="P116" s="1240">
        <f>+IFERROR(HLOOKUP(P15,'סקרי נכסים-יתרות פתיחה'!$2:$110,8,0),0)-IFERROR(HLOOKUP(P15,'סקרי נכסים-יתרות פתיחה'!$2:$110,92,0),0)*(1-P$309)</f>
        <v>1600000</v>
      </c>
      <c r="Q116" s="1240">
        <f>+IFERROR(HLOOKUP(Q15,'סקרי נכסים-יתרות פתיחה'!$2:$110,8,0),0)-IFERROR(HLOOKUP(Q15,'סקרי נכסים-יתרות פתיחה'!$2:$110,92,0),0)*(1-Q$309)</f>
        <v>0</v>
      </c>
      <c r="R116" s="1240">
        <f>+IFERROR(HLOOKUP(R15,'סקרי נכסים-יתרות פתיחה'!$2:$110,8,0),0)-IFERROR(HLOOKUP(R15,'סקרי נכסים-יתרות פתיחה'!$2:$110,92,0),0)*(1-R$309)</f>
        <v>0</v>
      </c>
      <c r="S116" s="1240">
        <f>+IFERROR(HLOOKUP(S15,'סקרי נכסים-יתרות פתיחה'!$2:$110,8,0),0)-IFERROR(HLOOKUP(S15,'סקרי נכסים-יתרות פתיחה'!$2:$110,92,0),0)*(1-S$309)</f>
        <v>0</v>
      </c>
      <c r="T116" s="1240">
        <f>+IFERROR(HLOOKUP(T15,'סקרי נכסים-יתרות פתיחה'!$2:$110,8,0),0)-IFERROR(HLOOKUP(T15,'סקרי נכסים-יתרות פתיחה'!$2:$110,92,0),0)*(1-T$309)</f>
        <v>0</v>
      </c>
      <c r="U116" s="1240">
        <f>+IFERROR(HLOOKUP(U15,'סקרי נכסים-יתרות פתיחה'!$2:$110,8,0),0)-IFERROR(HLOOKUP(U15,'סקרי נכסים-יתרות פתיחה'!$2:$110,92,0),0)*(1-U$309)</f>
        <v>0</v>
      </c>
      <c r="V116" s="1240">
        <f>+IFERROR(HLOOKUP(V15,'סקרי נכסים-יתרות פתיחה'!$2:$110,8,0),0)-IFERROR(HLOOKUP(V15,'סקרי נכסים-יתרות פתיחה'!$2:$110,92,0),0)*(1-V$309)</f>
        <v>0</v>
      </c>
      <c r="W116" s="1240">
        <f>+IFERROR(HLOOKUP(W15,'סקרי נכסים-יתרות פתיחה'!$2:$110,8,0),0)-IFERROR(HLOOKUP(W15,'סקרי נכסים-יתרות פתיחה'!$2:$110,92,0),0)*(1-W$309)</f>
        <v>0</v>
      </c>
      <c r="X116" s="1240">
        <f>+IFERROR(HLOOKUP(X15,'סקרי נכסים-יתרות פתיחה'!$2:$110,8,0),0)-IFERROR(HLOOKUP(X15,'סקרי נכסים-יתרות פתיחה'!$2:$110,92,0),0)*(1-X$309)</f>
        <v>0</v>
      </c>
      <c r="Y116" s="1240">
        <f>+IFERROR(HLOOKUP(Y15,'סקרי נכסים-יתרות פתיחה'!$2:$110,8,0),0)-IFERROR(HLOOKUP(Y15,'סקרי נכסים-יתרות פתיחה'!$2:$110,92,0),0)*(1-Y$309)</f>
        <v>0</v>
      </c>
      <c r="Z116" s="1240">
        <f>+IFERROR(HLOOKUP(Z15,'סקרי נכסים-יתרות פתיחה'!$2:$110,8,0),0)-IFERROR(HLOOKUP(Z15,'סקרי נכסים-יתרות פתיחה'!$2:$110,92,0),0)*(1-Z$309)</f>
        <v>0</v>
      </c>
      <c r="AA116" s="1240">
        <f>+IFERROR(HLOOKUP(AA15,'סקרי נכסים-יתרות פתיחה'!$2:$110,8,0),0)-IFERROR(HLOOKUP(AA15,'סקרי נכסים-יתרות פתיחה'!$2:$110,92,0),0)*(1-AA$309)</f>
        <v>0</v>
      </c>
      <c r="AB116" s="1240">
        <f>+IFERROR(HLOOKUP(AB15,'סקרי נכסים-יתרות פתיחה'!$2:$110,8,0),0)-IFERROR(HLOOKUP(AB15,'סקרי נכסים-יתרות פתיחה'!$2:$110,92,0),0)*(1-AB$309)</f>
        <v>0</v>
      </c>
      <c r="AC116" s="1240">
        <f>+IFERROR(HLOOKUP(AC15,'סקרי נכסים-יתרות פתיחה'!$2:$110,8,0),0)-IFERROR(HLOOKUP(AC15,'סקרי נכסים-יתרות פתיחה'!$2:$110,92,0),0)*(1-AC$309)</f>
        <v>0</v>
      </c>
      <c r="AD116" s="1240">
        <f>+IFERROR(HLOOKUP(AD15,'סקרי נכסים-יתרות פתיחה'!$2:$110,8,0),0)-IFERROR(HLOOKUP(AD15,'סקרי נכסים-יתרות פתיחה'!$2:$110,92,0),0)*(1-AD$309)</f>
        <v>0</v>
      </c>
      <c r="AE116" s="1240">
        <f>+IFERROR(HLOOKUP(AE15,'סקרי נכסים-יתרות פתיחה'!$2:$110,8,0),0)-IFERROR(HLOOKUP(AE15,'סקרי נכסים-יתרות פתיחה'!$2:$110,92,0),0)*(1-AE$309)</f>
        <v>0</v>
      </c>
      <c r="AF116" s="1240">
        <f>+IFERROR(HLOOKUP(AF15,'סקרי נכסים-יתרות פתיחה'!$2:$110,8,0),0)-IFERROR(HLOOKUP(AF15,'סקרי נכסים-יתרות פתיחה'!$2:$110,92,0),0)*(1-AF$309)</f>
        <v>0</v>
      </c>
      <c r="AG116" s="1240">
        <f>+IFERROR(HLOOKUP(AG15,'סקרי נכסים-יתרות פתיחה'!$2:$110,8,0),0)-IFERROR(HLOOKUP(AG15,'סקרי נכסים-יתרות פתיחה'!$2:$110,92,0),0)*(1-AG$309)</f>
        <v>0</v>
      </c>
      <c r="AH116" s="1240">
        <f>+IFERROR(HLOOKUP(AH15,'סקרי נכסים-יתרות פתיחה'!$2:$110,8,0),0)-IFERROR(HLOOKUP(AH15,'סקרי נכסים-יתרות פתיחה'!$2:$110,92,0),0)*(1-AH$309)</f>
        <v>0</v>
      </c>
      <c r="AI116" s="1240">
        <f>+IFERROR(HLOOKUP(AI15,'סקרי נכסים-יתרות פתיחה'!$2:$110,8,0),0)-IFERROR(HLOOKUP(AI15,'סקרי נכסים-יתרות פתיחה'!$2:$110,92,0),0)*(1-AI$309)</f>
        <v>0</v>
      </c>
      <c r="AJ116" s="1240">
        <f>+IFERROR(HLOOKUP(AJ15,'סקרי נכסים-יתרות פתיחה'!$2:$110,8,0),0)-IFERROR(HLOOKUP(AJ15,'סקרי נכסים-יתרות פתיחה'!$2:$110,92,0),0)*(1-AJ$309)</f>
        <v>0</v>
      </c>
      <c r="AK116" s="1240">
        <f>+IFERROR(HLOOKUP(AK15,'סקרי נכסים-יתרות פתיחה'!$2:$110,8,0),0)-IFERROR(HLOOKUP(AK15,'סקרי נכסים-יתרות פתיחה'!$2:$110,92,0),0)*(1-AK$309)</f>
        <v>0</v>
      </c>
      <c r="AL116" s="1240">
        <f>+IFERROR(HLOOKUP(AL15,'סקרי נכסים-יתרות פתיחה'!$2:$110,8,0),0)-IFERROR(HLOOKUP(AL15,'סקרי נכסים-יתרות פתיחה'!$2:$110,92,0),0)*(1-AL$309)</f>
        <v>0</v>
      </c>
      <c r="AM116" s="1240">
        <f>+IFERROR(HLOOKUP(AM15,'סקרי נכסים-יתרות פתיחה'!$2:$110,8,0),0)-IFERROR(HLOOKUP(AM15,'סקרי נכסים-יתרות פתיחה'!$2:$110,92,0),0)*(1-AM$309)</f>
        <v>0</v>
      </c>
      <c r="AN116" s="1240">
        <f>+IFERROR(HLOOKUP(AN15,'סקרי נכסים-יתרות פתיחה'!$2:$110,8,0),0)-IFERROR(HLOOKUP(AN15,'סקרי נכסים-יתרות פתיחה'!$2:$110,92,0),0)*(1-AN$309)</f>
        <v>0</v>
      </c>
      <c r="AO116" s="1240">
        <f>+IFERROR(HLOOKUP(AO15,'סקרי נכסים-יתרות פתיחה'!$2:$110,8,0),0)-IFERROR(HLOOKUP(AO15,'סקרי נכסים-יתרות פתיחה'!$2:$110,92,0),0)*(1-AO$309)</f>
        <v>0</v>
      </c>
      <c r="AP116" s="1240">
        <f>+IFERROR(HLOOKUP(AP15,'סקרי נכסים-יתרות פתיחה'!$2:$110,8,0),0)-IFERROR(HLOOKUP(AP15,'סקרי נכסים-יתרות פתיחה'!$2:$110,92,0),0)*(1-AP$309)</f>
        <v>0</v>
      </c>
      <c r="AQ116" s="1240">
        <f>+IFERROR(HLOOKUP(AQ15,'סקרי נכסים-יתרות פתיחה'!$2:$110,8,0),0)-IFERROR(HLOOKUP(AQ15,'סקרי נכסים-יתרות פתיחה'!$2:$110,92,0),0)*(1-AQ$309)</f>
        <v>0</v>
      </c>
      <c r="AR116" s="1240">
        <f>+IFERROR(HLOOKUP(AR15,'סקרי נכסים-יתרות פתיחה'!$2:$110,8,0),0)-IFERROR(HLOOKUP(AR15,'סקרי נכסים-יתרות פתיחה'!$2:$110,92,0),0)*(1-AR$309)</f>
        <v>0</v>
      </c>
      <c r="AS116" s="1240">
        <f>+IFERROR(HLOOKUP(AS15,'סקרי נכסים-יתרות פתיחה'!$2:$110,8,0),0)-IFERROR(HLOOKUP(AS15,'סקרי נכסים-יתרות פתיחה'!$2:$110,92,0),0)*(1-AS$309)</f>
        <v>0</v>
      </c>
      <c r="AT116" s="1240">
        <f>+IFERROR(HLOOKUP(AT15,'סקרי נכסים-יתרות פתיחה'!$2:$110,8,0),0)-IFERROR(HLOOKUP(AT15,'סקרי נכסים-יתרות פתיחה'!$2:$110,92,0),0)*(1-AT$309)</f>
        <v>0</v>
      </c>
      <c r="AU116" s="1240">
        <f>+IFERROR(HLOOKUP(AU15,'סקרי נכסים-יתרות פתיחה'!$2:$110,8,0),0)-IFERROR(HLOOKUP(AU15,'סקרי נכסים-יתרות פתיחה'!$2:$110,92,0),0)*(1-AU$309)</f>
        <v>0</v>
      </c>
      <c r="AV116" s="1240">
        <f>+IFERROR(HLOOKUP(AV15,'סקרי נכסים-יתרות פתיחה'!$2:$110,8,0),0)-IFERROR(HLOOKUP(AV15,'סקרי נכסים-יתרות פתיחה'!$2:$110,92,0),0)*(1-AV$309)</f>
        <v>0</v>
      </c>
      <c r="AW116" s="1240">
        <f>+IFERROR(HLOOKUP(AW15,'סקרי נכסים-יתרות פתיחה'!$2:$110,8,0),0)-IFERROR(HLOOKUP(AW15,'סקרי נכסים-יתרות פתיחה'!$2:$110,92,0),0)*(1-AW$309)</f>
        <v>0</v>
      </c>
      <c r="AX116" s="1240">
        <f>+IFERROR(HLOOKUP(AX15,'סקרי נכסים-יתרות פתיחה'!$2:$110,8,0),0)-IFERROR(HLOOKUP(AX15,'סקרי נכסים-יתרות פתיחה'!$2:$110,92,0),0)*(1-AX$309)</f>
        <v>0</v>
      </c>
      <c r="AY116" s="1240">
        <f>+IFERROR(HLOOKUP(AY15,'סקרי נכסים-יתרות פתיחה'!$2:$110,8,0),0)-IFERROR(HLOOKUP(AY15,'סקרי נכסים-יתרות פתיחה'!$2:$110,92,0),0)*(1-AY$309)</f>
        <v>0</v>
      </c>
      <c r="AZ116" s="1240">
        <f>+IFERROR(HLOOKUP(AZ15,'סקרי נכסים-יתרות פתיחה'!$2:$110,8,0),0)-IFERROR(HLOOKUP(AZ15,'סקרי נכסים-יתרות פתיחה'!$2:$110,92,0),0)*(1-AZ$309)</f>
        <v>0</v>
      </c>
      <c r="BA116" s="1240">
        <f>+IFERROR(HLOOKUP(BA15,'סקרי נכסים-יתרות פתיחה'!$2:$110,8,0),0)-IFERROR(HLOOKUP(BA15,'סקרי נכסים-יתרות פתיחה'!$2:$110,92,0),0)*(1-BA$309)</f>
        <v>0</v>
      </c>
      <c r="BB116" s="1240">
        <f>+IFERROR(HLOOKUP(BB15,'סקרי נכסים-יתרות פתיחה'!$2:$110,8,0),0)-IFERROR(HLOOKUP(BB15,'סקרי נכסים-יתרות פתיחה'!$2:$110,92,0),0)*(1-BB$309)</f>
        <v>0</v>
      </c>
      <c r="BC116" s="1240">
        <f>+IFERROR(HLOOKUP(BC15,'סקרי נכסים-יתרות פתיחה'!$2:$110,8,0),0)-IFERROR(HLOOKUP(BC15,'סקרי נכסים-יתרות פתיחה'!$2:$110,92,0),0)*(1-BC$309)</f>
        <v>0</v>
      </c>
      <c r="BD116" s="1240">
        <f>+IFERROR(HLOOKUP(BD15,'סקרי נכסים-יתרות פתיחה'!$2:$110,8,0),0)-IFERROR(HLOOKUP(BD15,'סקרי נכסים-יתרות פתיחה'!$2:$110,92,0),0)*(1-BD$309)</f>
        <v>0</v>
      </c>
      <c r="BE116" s="1240">
        <f>+IFERROR(HLOOKUP(BE15,'סקרי נכסים-יתרות פתיחה'!$2:$110,8,0),0)-IFERROR(HLOOKUP(BE15,'סקרי נכסים-יתרות פתיחה'!$2:$110,92,0),0)*(1-BE$309)</f>
        <v>0</v>
      </c>
      <c r="BF116" s="1240">
        <f>+IFERROR(HLOOKUP(BF15,'סקרי נכסים-יתרות פתיחה'!$2:$110,8,0),0)-IFERROR(HLOOKUP(BF15,'סקרי נכסים-יתרות פתיחה'!$2:$110,92,0),0)*(1-BF$309)</f>
        <v>0</v>
      </c>
    </row>
    <row r="117" spans="2:58" x14ac:dyDescent="0.2">
      <c r="B117" s="1">
        <v>13</v>
      </c>
      <c r="C117" s="1240">
        <f>+IFERROR(HLOOKUP(C16,'סקרי נכסים-יתרות פתיחה'!$2:$110,8,0),0)-IFERROR(HLOOKUP(C16,'סקרי נכסים-יתרות פתיחה'!$2:$110,92,0),0)*(1-C$309)</f>
        <v>0</v>
      </c>
      <c r="D117" s="1240">
        <f>+IFERROR(HLOOKUP(D16,'סקרי נכסים-יתרות פתיחה'!$2:$110,8,0),0)-IFERROR(HLOOKUP(D16,'סקרי נכסים-יתרות פתיחה'!$2:$110,92,0),0)*(1-D$309)</f>
        <v>0</v>
      </c>
      <c r="E117" s="1240">
        <f>+IFERROR(HLOOKUP(E16,'סקרי נכסים-יתרות פתיחה'!$2:$110,8,0),0)-IFERROR(HLOOKUP(E16,'סקרי נכסים-יתרות פתיחה'!$2:$110,92,0),0)*(1-E$309)</f>
        <v>0</v>
      </c>
      <c r="F117" s="1240">
        <f>+IFERROR(HLOOKUP(F16,'סקרי נכסים-יתרות פתיחה'!$2:$110,8,0),0)-IFERROR(HLOOKUP(F16,'סקרי נכסים-יתרות פתיחה'!$2:$110,92,0),0)*(1-F$309)</f>
        <v>0</v>
      </c>
      <c r="G117" s="1240">
        <f>+IFERROR(HLOOKUP(G16,'סקרי נכסים-יתרות פתיחה'!$2:$110,8,0),0)-IFERROR(HLOOKUP(G16,'סקרי נכסים-יתרות פתיחה'!$2:$110,92,0),0)*(1-G$309)</f>
        <v>0</v>
      </c>
      <c r="H117" s="1240">
        <f>+IFERROR(HLOOKUP(H16,'סקרי נכסים-יתרות פתיחה'!$2:$110,8,0),0)-IFERROR(HLOOKUP(H16,'סקרי נכסים-יתרות פתיחה'!$2:$110,92,0),0)*(1-H$309)</f>
        <v>0</v>
      </c>
      <c r="I117" s="1240">
        <f>+IFERROR(HLOOKUP(I16,'סקרי נכסים-יתרות פתיחה'!$2:$110,8,0),0)-IFERROR(HLOOKUP(I16,'סקרי נכסים-יתרות פתיחה'!$2:$110,92,0),0)*(1-I$309)</f>
        <v>0</v>
      </c>
      <c r="J117" s="1240">
        <f>+IFERROR(HLOOKUP(J16,'סקרי נכסים-יתרות פתיחה'!$2:$110,8,0),0)-IFERROR(HLOOKUP(J16,'סקרי נכסים-יתרות פתיחה'!$2:$110,92,0),0)*(1-J$309)</f>
        <v>0</v>
      </c>
      <c r="K117" s="1240">
        <f>+IFERROR(HLOOKUP(K16,'סקרי נכסים-יתרות פתיחה'!$2:$110,8,0),0)-IFERROR(HLOOKUP(K16,'סקרי נכסים-יתרות פתיחה'!$2:$110,92,0),0)*(1-K$309)</f>
        <v>0</v>
      </c>
      <c r="L117" s="1240">
        <f>+IFERROR(HLOOKUP(L16,'סקרי נכסים-יתרות פתיחה'!$2:$110,8,0),0)-IFERROR(HLOOKUP(L16,'סקרי נכסים-יתרות פתיחה'!$2:$110,92,0),0)*(1-L$309)</f>
        <v>0</v>
      </c>
      <c r="M117" s="1240">
        <f>+IFERROR(HLOOKUP(M16,'סקרי נכסים-יתרות פתיחה'!$2:$110,8,0),0)-IFERROR(HLOOKUP(M16,'סקרי נכסים-יתרות פתיחה'!$2:$110,92,0),0)*(1-M$309)</f>
        <v>0</v>
      </c>
      <c r="N117" s="1240">
        <f>+IFERROR(HLOOKUP(N16,'סקרי נכסים-יתרות פתיחה'!$2:$110,8,0),0)-IFERROR(HLOOKUP(N16,'סקרי נכסים-יתרות פתיחה'!$2:$110,92,0),0)*(1-N$309)</f>
        <v>0</v>
      </c>
      <c r="O117" s="1240">
        <f>+IFERROR(HLOOKUP(O16,'סקרי נכסים-יתרות פתיחה'!$2:$110,8,0),0)-IFERROR(HLOOKUP(O16,'סקרי נכסים-יתרות פתיחה'!$2:$110,92,0),0)*(1-O$309)</f>
        <v>0</v>
      </c>
      <c r="P117" s="1240">
        <f>+IFERROR(HLOOKUP(P16,'סקרי נכסים-יתרות פתיחה'!$2:$110,8,0),0)-IFERROR(HLOOKUP(P16,'סקרי נכסים-יתרות פתיחה'!$2:$110,92,0),0)*(1-P$309)</f>
        <v>0</v>
      </c>
      <c r="Q117" s="1240">
        <f>+IFERROR(HLOOKUP(Q16,'סקרי נכסים-יתרות פתיחה'!$2:$110,8,0),0)-IFERROR(HLOOKUP(Q16,'סקרי נכסים-יתרות פתיחה'!$2:$110,92,0),0)*(1-Q$309)</f>
        <v>0</v>
      </c>
      <c r="R117" s="1240">
        <f>+IFERROR(HLOOKUP(R16,'סקרי נכסים-יתרות פתיחה'!$2:$110,8,0),0)-IFERROR(HLOOKUP(R16,'סקרי נכסים-יתרות פתיחה'!$2:$110,92,0),0)*(1-R$309)</f>
        <v>0</v>
      </c>
      <c r="S117" s="1240">
        <f>+IFERROR(HLOOKUP(S16,'סקרי נכסים-יתרות פתיחה'!$2:$110,8,0),0)-IFERROR(HLOOKUP(S16,'סקרי נכסים-יתרות פתיחה'!$2:$110,92,0),0)*(1-S$309)</f>
        <v>0</v>
      </c>
      <c r="T117" s="1240">
        <f>+IFERROR(HLOOKUP(T16,'סקרי נכסים-יתרות פתיחה'!$2:$110,8,0),0)-IFERROR(HLOOKUP(T16,'סקרי נכסים-יתרות פתיחה'!$2:$110,92,0),0)*(1-T$309)</f>
        <v>0</v>
      </c>
      <c r="U117" s="1240">
        <f>+IFERROR(HLOOKUP(U16,'סקרי נכסים-יתרות פתיחה'!$2:$110,8,0),0)-IFERROR(HLOOKUP(U16,'סקרי נכסים-יתרות פתיחה'!$2:$110,92,0),0)*(1-U$309)</f>
        <v>0</v>
      </c>
      <c r="V117" s="1240">
        <f>+IFERROR(HLOOKUP(V16,'סקרי נכסים-יתרות פתיחה'!$2:$110,8,0),0)-IFERROR(HLOOKUP(V16,'סקרי נכסים-יתרות פתיחה'!$2:$110,92,0),0)*(1-V$309)</f>
        <v>0</v>
      </c>
      <c r="W117" s="1240">
        <f>+IFERROR(HLOOKUP(W16,'סקרי נכסים-יתרות פתיחה'!$2:$110,8,0),0)-IFERROR(HLOOKUP(W16,'סקרי נכסים-יתרות פתיחה'!$2:$110,92,0),0)*(1-W$309)</f>
        <v>0</v>
      </c>
      <c r="X117" s="1240">
        <f>+IFERROR(HLOOKUP(X16,'סקרי נכסים-יתרות פתיחה'!$2:$110,8,0),0)-IFERROR(HLOOKUP(X16,'סקרי נכסים-יתרות פתיחה'!$2:$110,92,0),0)*(1-X$309)</f>
        <v>0</v>
      </c>
      <c r="Y117" s="1240">
        <f>+IFERROR(HLOOKUP(Y16,'סקרי נכסים-יתרות פתיחה'!$2:$110,8,0),0)-IFERROR(HLOOKUP(Y16,'סקרי נכסים-יתרות פתיחה'!$2:$110,92,0),0)*(1-Y$309)</f>
        <v>0</v>
      </c>
      <c r="Z117" s="1240">
        <f>+IFERROR(HLOOKUP(Z16,'סקרי נכסים-יתרות פתיחה'!$2:$110,8,0),0)-IFERROR(HLOOKUP(Z16,'סקרי נכסים-יתרות פתיחה'!$2:$110,92,0),0)*(1-Z$309)</f>
        <v>0</v>
      </c>
      <c r="AA117" s="1240">
        <f>+IFERROR(HLOOKUP(AA16,'סקרי נכסים-יתרות פתיחה'!$2:$110,8,0),0)-IFERROR(HLOOKUP(AA16,'סקרי נכסים-יתרות פתיחה'!$2:$110,92,0),0)*(1-AA$309)</f>
        <v>0</v>
      </c>
      <c r="AB117" s="1240">
        <f>+IFERROR(HLOOKUP(AB16,'סקרי נכסים-יתרות פתיחה'!$2:$110,8,0),0)-IFERROR(HLOOKUP(AB16,'סקרי נכסים-יתרות פתיחה'!$2:$110,92,0),0)*(1-AB$309)</f>
        <v>0</v>
      </c>
      <c r="AC117" s="1240">
        <f>+IFERROR(HLOOKUP(AC16,'סקרי נכסים-יתרות פתיחה'!$2:$110,8,0),0)-IFERROR(HLOOKUP(AC16,'סקרי נכסים-יתרות פתיחה'!$2:$110,92,0),0)*(1-AC$309)</f>
        <v>0</v>
      </c>
      <c r="AD117" s="1240">
        <f>+IFERROR(HLOOKUP(AD16,'סקרי נכסים-יתרות פתיחה'!$2:$110,8,0),0)-IFERROR(HLOOKUP(AD16,'סקרי נכסים-יתרות פתיחה'!$2:$110,92,0),0)*(1-AD$309)</f>
        <v>0</v>
      </c>
      <c r="AE117" s="1240">
        <f>+IFERROR(HLOOKUP(AE16,'סקרי נכסים-יתרות פתיחה'!$2:$110,8,0),0)-IFERROR(HLOOKUP(AE16,'סקרי נכסים-יתרות פתיחה'!$2:$110,92,0),0)*(1-AE$309)</f>
        <v>0</v>
      </c>
      <c r="AF117" s="1240">
        <f>+IFERROR(HLOOKUP(AF16,'סקרי נכסים-יתרות פתיחה'!$2:$110,8,0),0)-IFERROR(HLOOKUP(AF16,'סקרי נכסים-יתרות פתיחה'!$2:$110,92,0),0)*(1-AF$309)</f>
        <v>0</v>
      </c>
      <c r="AG117" s="1240">
        <f>+IFERROR(HLOOKUP(AG16,'סקרי נכסים-יתרות פתיחה'!$2:$110,8,0),0)-IFERROR(HLOOKUP(AG16,'סקרי נכסים-יתרות פתיחה'!$2:$110,92,0),0)*(1-AG$309)</f>
        <v>0</v>
      </c>
      <c r="AH117" s="1240">
        <f>+IFERROR(HLOOKUP(AH16,'סקרי נכסים-יתרות פתיחה'!$2:$110,8,0),0)-IFERROR(HLOOKUP(AH16,'סקרי נכסים-יתרות פתיחה'!$2:$110,92,0),0)*(1-AH$309)</f>
        <v>0</v>
      </c>
      <c r="AI117" s="1240">
        <f>+IFERROR(HLOOKUP(AI16,'סקרי נכסים-יתרות פתיחה'!$2:$110,8,0),0)-IFERROR(HLOOKUP(AI16,'סקרי נכסים-יתרות פתיחה'!$2:$110,92,0),0)*(1-AI$309)</f>
        <v>0</v>
      </c>
      <c r="AJ117" s="1240">
        <f>+IFERROR(HLOOKUP(AJ16,'סקרי נכסים-יתרות פתיחה'!$2:$110,8,0),0)-IFERROR(HLOOKUP(AJ16,'סקרי נכסים-יתרות פתיחה'!$2:$110,92,0),0)*(1-AJ$309)</f>
        <v>0</v>
      </c>
      <c r="AK117" s="1240">
        <f>+IFERROR(HLOOKUP(AK16,'סקרי נכסים-יתרות פתיחה'!$2:$110,8,0),0)-IFERROR(HLOOKUP(AK16,'סקרי נכסים-יתרות פתיחה'!$2:$110,92,0),0)*(1-AK$309)</f>
        <v>0</v>
      </c>
      <c r="AL117" s="1240">
        <f>+IFERROR(HLOOKUP(AL16,'סקרי נכסים-יתרות פתיחה'!$2:$110,8,0),0)-IFERROR(HLOOKUP(AL16,'סקרי נכסים-יתרות פתיחה'!$2:$110,92,0),0)*(1-AL$309)</f>
        <v>0</v>
      </c>
      <c r="AM117" s="1240">
        <f>+IFERROR(HLOOKUP(AM16,'סקרי נכסים-יתרות פתיחה'!$2:$110,8,0),0)-IFERROR(HLOOKUP(AM16,'סקרי נכסים-יתרות פתיחה'!$2:$110,92,0),0)*(1-AM$309)</f>
        <v>0</v>
      </c>
      <c r="AN117" s="1240">
        <f>+IFERROR(HLOOKUP(AN16,'סקרי נכסים-יתרות פתיחה'!$2:$110,8,0),0)-IFERROR(HLOOKUP(AN16,'סקרי נכסים-יתרות פתיחה'!$2:$110,92,0),0)*(1-AN$309)</f>
        <v>0</v>
      </c>
      <c r="AO117" s="1240">
        <f>+IFERROR(HLOOKUP(AO16,'סקרי נכסים-יתרות פתיחה'!$2:$110,8,0),0)-IFERROR(HLOOKUP(AO16,'סקרי נכסים-יתרות פתיחה'!$2:$110,92,0),0)*(1-AO$309)</f>
        <v>0</v>
      </c>
      <c r="AP117" s="1240">
        <f>+IFERROR(HLOOKUP(AP16,'סקרי נכסים-יתרות פתיחה'!$2:$110,8,0),0)-IFERROR(HLOOKUP(AP16,'סקרי נכסים-יתרות פתיחה'!$2:$110,92,0),0)*(1-AP$309)</f>
        <v>0</v>
      </c>
      <c r="AQ117" s="1240">
        <f>+IFERROR(HLOOKUP(AQ16,'סקרי נכסים-יתרות פתיחה'!$2:$110,8,0),0)-IFERROR(HLOOKUP(AQ16,'סקרי נכסים-יתרות פתיחה'!$2:$110,92,0),0)*(1-AQ$309)</f>
        <v>0</v>
      </c>
      <c r="AR117" s="1240">
        <f>+IFERROR(HLOOKUP(AR16,'סקרי נכסים-יתרות פתיחה'!$2:$110,8,0),0)-IFERROR(HLOOKUP(AR16,'סקרי נכסים-יתרות פתיחה'!$2:$110,92,0),0)*(1-AR$309)</f>
        <v>0</v>
      </c>
      <c r="AS117" s="1240">
        <f>+IFERROR(HLOOKUP(AS16,'סקרי נכסים-יתרות פתיחה'!$2:$110,8,0),0)-IFERROR(HLOOKUP(AS16,'סקרי נכסים-יתרות פתיחה'!$2:$110,92,0),0)*(1-AS$309)</f>
        <v>0</v>
      </c>
      <c r="AT117" s="1240">
        <f>+IFERROR(HLOOKUP(AT16,'סקרי נכסים-יתרות פתיחה'!$2:$110,8,0),0)-IFERROR(HLOOKUP(AT16,'סקרי נכסים-יתרות פתיחה'!$2:$110,92,0),0)*(1-AT$309)</f>
        <v>0</v>
      </c>
      <c r="AU117" s="1240">
        <f>+IFERROR(HLOOKUP(AU16,'סקרי נכסים-יתרות פתיחה'!$2:$110,8,0),0)-IFERROR(HLOOKUP(AU16,'סקרי נכסים-יתרות פתיחה'!$2:$110,92,0),0)*(1-AU$309)</f>
        <v>0</v>
      </c>
      <c r="AV117" s="1240">
        <f>+IFERROR(HLOOKUP(AV16,'סקרי נכסים-יתרות פתיחה'!$2:$110,8,0),0)-IFERROR(HLOOKUP(AV16,'סקרי נכסים-יתרות פתיחה'!$2:$110,92,0),0)*(1-AV$309)</f>
        <v>0</v>
      </c>
      <c r="AW117" s="1240">
        <f>+IFERROR(HLOOKUP(AW16,'סקרי נכסים-יתרות פתיחה'!$2:$110,8,0),0)-IFERROR(HLOOKUP(AW16,'סקרי נכסים-יתרות פתיחה'!$2:$110,92,0),0)*(1-AW$309)</f>
        <v>0</v>
      </c>
      <c r="AX117" s="1240">
        <f>+IFERROR(HLOOKUP(AX16,'סקרי נכסים-יתרות פתיחה'!$2:$110,8,0),0)-IFERROR(HLOOKUP(AX16,'סקרי נכסים-יתרות פתיחה'!$2:$110,92,0),0)*(1-AX$309)</f>
        <v>0</v>
      </c>
      <c r="AY117" s="1240">
        <f>+IFERROR(HLOOKUP(AY16,'סקרי נכסים-יתרות פתיחה'!$2:$110,8,0),0)-IFERROR(HLOOKUP(AY16,'סקרי נכסים-יתרות פתיחה'!$2:$110,92,0),0)*(1-AY$309)</f>
        <v>0</v>
      </c>
      <c r="AZ117" s="1240">
        <f>+IFERROR(HLOOKUP(AZ16,'סקרי נכסים-יתרות פתיחה'!$2:$110,8,0),0)-IFERROR(HLOOKUP(AZ16,'סקרי נכסים-יתרות פתיחה'!$2:$110,92,0),0)*(1-AZ$309)</f>
        <v>0</v>
      </c>
      <c r="BA117" s="1240">
        <f>+IFERROR(HLOOKUP(BA16,'סקרי נכסים-יתרות פתיחה'!$2:$110,8,0),0)-IFERROR(HLOOKUP(BA16,'סקרי נכסים-יתרות פתיחה'!$2:$110,92,0),0)*(1-BA$309)</f>
        <v>0</v>
      </c>
      <c r="BB117" s="1240">
        <f>+IFERROR(HLOOKUP(BB16,'סקרי נכסים-יתרות פתיחה'!$2:$110,8,0),0)-IFERROR(HLOOKUP(BB16,'סקרי נכסים-יתרות פתיחה'!$2:$110,92,0),0)*(1-BB$309)</f>
        <v>0</v>
      </c>
      <c r="BC117" s="1240">
        <f>+IFERROR(HLOOKUP(BC16,'סקרי נכסים-יתרות פתיחה'!$2:$110,8,0),0)-IFERROR(HLOOKUP(BC16,'סקרי נכסים-יתרות פתיחה'!$2:$110,92,0),0)*(1-BC$309)</f>
        <v>0</v>
      </c>
      <c r="BD117" s="1240">
        <f>+IFERROR(HLOOKUP(BD16,'סקרי נכסים-יתרות פתיחה'!$2:$110,8,0),0)-IFERROR(HLOOKUP(BD16,'סקרי נכסים-יתרות פתיחה'!$2:$110,92,0),0)*(1-BD$309)</f>
        <v>0</v>
      </c>
      <c r="BE117" s="1240">
        <f>+IFERROR(HLOOKUP(BE16,'סקרי נכסים-יתרות פתיחה'!$2:$110,8,0),0)-IFERROR(HLOOKUP(BE16,'סקרי נכסים-יתרות פתיחה'!$2:$110,92,0),0)*(1-BE$309)</f>
        <v>0</v>
      </c>
      <c r="BF117" s="1240">
        <f>+IFERROR(HLOOKUP(BF16,'סקרי נכסים-יתרות פתיחה'!$2:$110,8,0),0)-IFERROR(HLOOKUP(BF16,'סקרי נכסים-יתרות פתיחה'!$2:$110,92,0),0)*(1-BF$309)</f>
        <v>0</v>
      </c>
    </row>
    <row r="118" spans="2:58" x14ac:dyDescent="0.2">
      <c r="B118" s="1">
        <v>14</v>
      </c>
      <c r="C118" s="1240">
        <f>+IFERROR(HLOOKUP(C17,'סקרי נכסים-יתרות פתיחה'!$2:$110,8,0),0)-IFERROR(HLOOKUP(C17,'סקרי נכסים-יתרות פתיחה'!$2:$110,92,0),0)*(1-C$309)</f>
        <v>0</v>
      </c>
      <c r="D118" s="1240">
        <f>+IFERROR(HLOOKUP(D17,'סקרי נכסים-יתרות פתיחה'!$2:$110,8,0),0)-IFERROR(HLOOKUP(D17,'סקרי נכסים-יתרות פתיחה'!$2:$110,92,0),0)*(1-D$309)</f>
        <v>0</v>
      </c>
      <c r="E118" s="1240">
        <f>+IFERROR(HLOOKUP(E17,'סקרי נכסים-יתרות פתיחה'!$2:$110,8,0),0)-IFERROR(HLOOKUP(E17,'סקרי נכסים-יתרות פתיחה'!$2:$110,92,0),0)*(1-E$309)</f>
        <v>0</v>
      </c>
      <c r="F118" s="1240">
        <f>+IFERROR(HLOOKUP(F17,'סקרי נכסים-יתרות פתיחה'!$2:$110,8,0),0)-IFERROR(HLOOKUP(F17,'סקרי נכסים-יתרות פתיחה'!$2:$110,92,0),0)*(1-F$309)</f>
        <v>0</v>
      </c>
      <c r="G118" s="1240">
        <f>+IFERROR(HLOOKUP(G17,'סקרי נכסים-יתרות פתיחה'!$2:$110,8,0),0)-IFERROR(HLOOKUP(G17,'סקרי נכסים-יתרות פתיחה'!$2:$110,92,0),0)*(1-G$309)</f>
        <v>0</v>
      </c>
      <c r="H118" s="1240">
        <f>+IFERROR(HLOOKUP(H17,'סקרי נכסים-יתרות פתיחה'!$2:$110,8,0),0)-IFERROR(HLOOKUP(H17,'סקרי נכסים-יתרות פתיחה'!$2:$110,92,0),0)*(1-H$309)</f>
        <v>0</v>
      </c>
      <c r="I118" s="1240">
        <f>+IFERROR(HLOOKUP(I17,'סקרי נכסים-יתרות פתיחה'!$2:$110,8,0),0)-IFERROR(HLOOKUP(I17,'סקרי נכסים-יתרות פתיחה'!$2:$110,92,0),0)*(1-I$309)</f>
        <v>0</v>
      </c>
      <c r="J118" s="1240">
        <f>+IFERROR(HLOOKUP(J17,'סקרי נכסים-יתרות פתיחה'!$2:$110,8,0),0)-IFERROR(HLOOKUP(J17,'סקרי נכסים-יתרות פתיחה'!$2:$110,92,0),0)*(1-J$309)</f>
        <v>0</v>
      </c>
      <c r="K118" s="1240">
        <f>+IFERROR(HLOOKUP(K17,'סקרי נכסים-יתרות פתיחה'!$2:$110,8,0),0)-IFERROR(HLOOKUP(K17,'סקרי נכסים-יתרות פתיחה'!$2:$110,92,0),0)*(1-K$309)</f>
        <v>0</v>
      </c>
      <c r="L118" s="1240">
        <f>+IFERROR(HLOOKUP(L17,'סקרי נכסים-יתרות פתיחה'!$2:$110,8,0),0)-IFERROR(HLOOKUP(L17,'סקרי נכסים-יתרות פתיחה'!$2:$110,92,0),0)*(1-L$309)</f>
        <v>0</v>
      </c>
      <c r="M118" s="1240">
        <f>+IFERROR(HLOOKUP(M17,'סקרי נכסים-יתרות פתיחה'!$2:$110,8,0),0)-IFERROR(HLOOKUP(M17,'סקרי נכסים-יתרות פתיחה'!$2:$110,92,0),0)*(1-M$309)</f>
        <v>0</v>
      </c>
      <c r="N118" s="1240">
        <f>+IFERROR(HLOOKUP(N17,'סקרי נכסים-יתרות פתיחה'!$2:$110,8,0),0)-IFERROR(HLOOKUP(N17,'סקרי נכסים-יתרות פתיחה'!$2:$110,92,0),0)*(1-N$309)</f>
        <v>0</v>
      </c>
      <c r="O118" s="1240">
        <f>+IFERROR(HLOOKUP(O17,'סקרי נכסים-יתרות פתיחה'!$2:$110,8,0),0)-IFERROR(HLOOKUP(O17,'סקרי נכסים-יתרות פתיחה'!$2:$110,92,0),0)*(1-O$309)</f>
        <v>0</v>
      </c>
      <c r="P118" s="1240">
        <f>+IFERROR(HLOOKUP(P17,'סקרי נכסים-יתרות פתיחה'!$2:$110,8,0),0)-IFERROR(HLOOKUP(P17,'סקרי נכסים-יתרות פתיחה'!$2:$110,92,0),0)*(1-P$309)</f>
        <v>0</v>
      </c>
      <c r="Q118" s="1240">
        <f>+IFERROR(HLOOKUP(Q17,'סקרי נכסים-יתרות פתיחה'!$2:$110,8,0),0)-IFERROR(HLOOKUP(Q17,'סקרי נכסים-יתרות פתיחה'!$2:$110,92,0),0)*(1-Q$309)</f>
        <v>0</v>
      </c>
      <c r="R118" s="1240">
        <f>+IFERROR(HLOOKUP(R17,'סקרי נכסים-יתרות פתיחה'!$2:$110,8,0),0)-IFERROR(HLOOKUP(R17,'סקרי נכסים-יתרות פתיחה'!$2:$110,92,0),0)*(1-R$309)</f>
        <v>0</v>
      </c>
      <c r="S118" s="1240">
        <f>+IFERROR(HLOOKUP(S17,'סקרי נכסים-יתרות פתיחה'!$2:$110,8,0),0)-IFERROR(HLOOKUP(S17,'סקרי נכסים-יתרות פתיחה'!$2:$110,92,0),0)*(1-S$309)</f>
        <v>0</v>
      </c>
      <c r="T118" s="1240">
        <f>+IFERROR(HLOOKUP(T17,'סקרי נכסים-יתרות פתיחה'!$2:$110,8,0),0)-IFERROR(HLOOKUP(T17,'סקרי נכסים-יתרות פתיחה'!$2:$110,92,0),0)*(1-T$309)</f>
        <v>0</v>
      </c>
      <c r="U118" s="1240">
        <f>+IFERROR(HLOOKUP(U17,'סקרי נכסים-יתרות פתיחה'!$2:$110,8,0),0)-IFERROR(HLOOKUP(U17,'סקרי נכסים-יתרות פתיחה'!$2:$110,92,0),0)*(1-U$309)</f>
        <v>0</v>
      </c>
      <c r="V118" s="1240">
        <f>+IFERROR(HLOOKUP(V17,'סקרי נכסים-יתרות פתיחה'!$2:$110,8,0),0)-IFERROR(HLOOKUP(V17,'סקרי נכסים-יתרות פתיחה'!$2:$110,92,0),0)*(1-V$309)</f>
        <v>0</v>
      </c>
      <c r="W118" s="1240">
        <f>+IFERROR(HLOOKUP(W17,'סקרי נכסים-יתרות פתיחה'!$2:$110,8,0),0)-IFERROR(HLOOKUP(W17,'סקרי נכסים-יתרות פתיחה'!$2:$110,92,0),0)*(1-W$309)</f>
        <v>0</v>
      </c>
      <c r="X118" s="1240">
        <f>+IFERROR(HLOOKUP(X17,'סקרי נכסים-יתרות פתיחה'!$2:$110,8,0),0)-IFERROR(HLOOKUP(X17,'סקרי נכסים-יתרות פתיחה'!$2:$110,92,0),0)*(1-X$309)</f>
        <v>0</v>
      </c>
      <c r="Y118" s="1240">
        <f>+IFERROR(HLOOKUP(Y17,'סקרי נכסים-יתרות פתיחה'!$2:$110,8,0),0)-IFERROR(HLOOKUP(Y17,'סקרי נכסים-יתרות פתיחה'!$2:$110,92,0),0)*(1-Y$309)</f>
        <v>0</v>
      </c>
      <c r="Z118" s="1240">
        <f>+IFERROR(HLOOKUP(Z17,'סקרי נכסים-יתרות פתיחה'!$2:$110,8,0),0)-IFERROR(HLOOKUP(Z17,'סקרי נכסים-יתרות פתיחה'!$2:$110,92,0),0)*(1-Z$309)</f>
        <v>0</v>
      </c>
      <c r="AA118" s="1240">
        <f>+IFERROR(HLOOKUP(AA17,'סקרי נכסים-יתרות פתיחה'!$2:$110,8,0),0)-IFERROR(HLOOKUP(AA17,'סקרי נכסים-יתרות פתיחה'!$2:$110,92,0),0)*(1-AA$309)</f>
        <v>0</v>
      </c>
      <c r="AB118" s="1240">
        <f>+IFERROR(HLOOKUP(AB17,'סקרי נכסים-יתרות פתיחה'!$2:$110,8,0),0)-IFERROR(HLOOKUP(AB17,'סקרי נכסים-יתרות פתיחה'!$2:$110,92,0),0)*(1-AB$309)</f>
        <v>0</v>
      </c>
      <c r="AC118" s="1240">
        <f>+IFERROR(HLOOKUP(AC17,'סקרי נכסים-יתרות פתיחה'!$2:$110,8,0),0)-IFERROR(HLOOKUP(AC17,'סקרי נכסים-יתרות פתיחה'!$2:$110,92,0),0)*(1-AC$309)</f>
        <v>0</v>
      </c>
      <c r="AD118" s="1240">
        <f>+IFERROR(HLOOKUP(AD17,'סקרי נכסים-יתרות פתיחה'!$2:$110,8,0),0)-IFERROR(HLOOKUP(AD17,'סקרי נכסים-יתרות פתיחה'!$2:$110,92,0),0)*(1-AD$309)</f>
        <v>0</v>
      </c>
      <c r="AE118" s="1240">
        <f>+IFERROR(HLOOKUP(AE17,'סקרי נכסים-יתרות פתיחה'!$2:$110,8,0),0)-IFERROR(HLOOKUP(AE17,'סקרי נכסים-יתרות פתיחה'!$2:$110,92,0),0)*(1-AE$309)</f>
        <v>0</v>
      </c>
      <c r="AF118" s="1240">
        <f>+IFERROR(HLOOKUP(AF17,'סקרי נכסים-יתרות פתיחה'!$2:$110,8,0),0)-IFERROR(HLOOKUP(AF17,'סקרי נכסים-יתרות פתיחה'!$2:$110,92,0),0)*(1-AF$309)</f>
        <v>0</v>
      </c>
      <c r="AG118" s="1240">
        <f>+IFERROR(HLOOKUP(AG17,'סקרי נכסים-יתרות פתיחה'!$2:$110,8,0),0)-IFERROR(HLOOKUP(AG17,'סקרי נכסים-יתרות פתיחה'!$2:$110,92,0),0)*(1-AG$309)</f>
        <v>0</v>
      </c>
      <c r="AH118" s="1240">
        <f>+IFERROR(HLOOKUP(AH17,'סקרי נכסים-יתרות פתיחה'!$2:$110,8,0),0)-IFERROR(HLOOKUP(AH17,'סקרי נכסים-יתרות פתיחה'!$2:$110,92,0),0)*(1-AH$309)</f>
        <v>0</v>
      </c>
      <c r="AI118" s="1240">
        <f>+IFERROR(HLOOKUP(AI17,'סקרי נכסים-יתרות פתיחה'!$2:$110,8,0),0)-IFERROR(HLOOKUP(AI17,'סקרי נכסים-יתרות פתיחה'!$2:$110,92,0),0)*(1-AI$309)</f>
        <v>0</v>
      </c>
      <c r="AJ118" s="1240">
        <f>+IFERROR(HLOOKUP(AJ17,'סקרי נכסים-יתרות פתיחה'!$2:$110,8,0),0)-IFERROR(HLOOKUP(AJ17,'סקרי נכסים-יתרות פתיחה'!$2:$110,92,0),0)*(1-AJ$309)</f>
        <v>0</v>
      </c>
      <c r="AK118" s="1240">
        <f>+IFERROR(HLOOKUP(AK17,'סקרי נכסים-יתרות פתיחה'!$2:$110,8,0),0)-IFERROR(HLOOKUP(AK17,'סקרי נכסים-יתרות פתיחה'!$2:$110,92,0),0)*(1-AK$309)</f>
        <v>0</v>
      </c>
      <c r="AL118" s="1240">
        <f>+IFERROR(HLOOKUP(AL17,'סקרי נכסים-יתרות פתיחה'!$2:$110,8,0),0)-IFERROR(HLOOKUP(AL17,'סקרי נכסים-יתרות פתיחה'!$2:$110,92,0),0)*(1-AL$309)</f>
        <v>0</v>
      </c>
      <c r="AM118" s="1240">
        <f>+IFERROR(HLOOKUP(AM17,'סקרי נכסים-יתרות פתיחה'!$2:$110,8,0),0)-IFERROR(HLOOKUP(AM17,'סקרי נכסים-יתרות פתיחה'!$2:$110,92,0),0)*(1-AM$309)</f>
        <v>0</v>
      </c>
      <c r="AN118" s="1240">
        <f>+IFERROR(HLOOKUP(AN17,'סקרי נכסים-יתרות פתיחה'!$2:$110,8,0),0)-IFERROR(HLOOKUP(AN17,'סקרי נכסים-יתרות פתיחה'!$2:$110,92,0),0)*(1-AN$309)</f>
        <v>0</v>
      </c>
      <c r="AO118" s="1240">
        <f>+IFERROR(HLOOKUP(AO17,'סקרי נכסים-יתרות פתיחה'!$2:$110,8,0),0)-IFERROR(HLOOKUP(AO17,'סקרי נכסים-יתרות פתיחה'!$2:$110,92,0),0)*(1-AO$309)</f>
        <v>0</v>
      </c>
      <c r="AP118" s="1240">
        <f>+IFERROR(HLOOKUP(AP17,'סקרי נכסים-יתרות פתיחה'!$2:$110,8,0),0)-IFERROR(HLOOKUP(AP17,'סקרי נכסים-יתרות פתיחה'!$2:$110,92,0),0)*(1-AP$309)</f>
        <v>0</v>
      </c>
      <c r="AQ118" s="1240">
        <f>+IFERROR(HLOOKUP(AQ17,'סקרי נכסים-יתרות פתיחה'!$2:$110,8,0),0)-IFERROR(HLOOKUP(AQ17,'סקרי נכסים-יתרות פתיחה'!$2:$110,92,0),0)*(1-AQ$309)</f>
        <v>0</v>
      </c>
      <c r="AR118" s="1240">
        <f>+IFERROR(HLOOKUP(AR17,'סקרי נכסים-יתרות פתיחה'!$2:$110,8,0),0)-IFERROR(HLOOKUP(AR17,'סקרי נכסים-יתרות פתיחה'!$2:$110,92,0),0)*(1-AR$309)</f>
        <v>0</v>
      </c>
      <c r="AS118" s="1240">
        <f>+IFERROR(HLOOKUP(AS17,'סקרי נכסים-יתרות פתיחה'!$2:$110,8,0),0)-IFERROR(HLOOKUP(AS17,'סקרי נכסים-יתרות פתיחה'!$2:$110,92,0),0)*(1-AS$309)</f>
        <v>0</v>
      </c>
      <c r="AT118" s="1240">
        <f>+IFERROR(HLOOKUP(AT17,'סקרי נכסים-יתרות פתיחה'!$2:$110,8,0),0)-IFERROR(HLOOKUP(AT17,'סקרי נכסים-יתרות פתיחה'!$2:$110,92,0),0)*(1-AT$309)</f>
        <v>0</v>
      </c>
      <c r="AU118" s="1240">
        <f>+IFERROR(HLOOKUP(AU17,'סקרי נכסים-יתרות פתיחה'!$2:$110,8,0),0)-IFERROR(HLOOKUP(AU17,'סקרי נכסים-יתרות פתיחה'!$2:$110,92,0),0)*(1-AU$309)</f>
        <v>0</v>
      </c>
      <c r="AV118" s="1240">
        <f>+IFERROR(HLOOKUP(AV17,'סקרי נכסים-יתרות פתיחה'!$2:$110,8,0),0)-IFERROR(HLOOKUP(AV17,'סקרי נכסים-יתרות פתיחה'!$2:$110,92,0),0)*(1-AV$309)</f>
        <v>0</v>
      </c>
      <c r="AW118" s="1240">
        <f>+IFERROR(HLOOKUP(AW17,'סקרי נכסים-יתרות פתיחה'!$2:$110,8,0),0)-IFERROR(HLOOKUP(AW17,'סקרי נכסים-יתרות פתיחה'!$2:$110,92,0),0)*(1-AW$309)</f>
        <v>0</v>
      </c>
      <c r="AX118" s="1240">
        <f>+IFERROR(HLOOKUP(AX17,'סקרי נכסים-יתרות פתיחה'!$2:$110,8,0),0)-IFERROR(HLOOKUP(AX17,'סקרי נכסים-יתרות פתיחה'!$2:$110,92,0),0)*(1-AX$309)</f>
        <v>0</v>
      </c>
      <c r="AY118" s="1240">
        <f>+IFERROR(HLOOKUP(AY17,'סקרי נכסים-יתרות פתיחה'!$2:$110,8,0),0)-IFERROR(HLOOKUP(AY17,'סקרי נכסים-יתרות פתיחה'!$2:$110,92,0),0)*(1-AY$309)</f>
        <v>0</v>
      </c>
      <c r="AZ118" s="1240">
        <f>+IFERROR(HLOOKUP(AZ17,'סקרי נכסים-יתרות פתיחה'!$2:$110,8,0),0)-IFERROR(HLOOKUP(AZ17,'סקרי נכסים-יתרות פתיחה'!$2:$110,92,0),0)*(1-AZ$309)</f>
        <v>0</v>
      </c>
      <c r="BA118" s="1240">
        <f>+IFERROR(HLOOKUP(BA17,'סקרי נכסים-יתרות פתיחה'!$2:$110,8,0),0)-IFERROR(HLOOKUP(BA17,'סקרי נכסים-יתרות פתיחה'!$2:$110,92,0),0)*(1-BA$309)</f>
        <v>0</v>
      </c>
      <c r="BB118" s="1240">
        <f>+IFERROR(HLOOKUP(BB17,'סקרי נכסים-יתרות פתיחה'!$2:$110,8,0),0)-IFERROR(HLOOKUP(BB17,'סקרי נכסים-יתרות פתיחה'!$2:$110,92,0),0)*(1-BB$309)</f>
        <v>0</v>
      </c>
      <c r="BC118" s="1240">
        <f>+IFERROR(HLOOKUP(BC17,'סקרי נכסים-יתרות פתיחה'!$2:$110,8,0),0)-IFERROR(HLOOKUP(BC17,'סקרי נכסים-יתרות פתיחה'!$2:$110,92,0),0)*(1-BC$309)</f>
        <v>0</v>
      </c>
      <c r="BD118" s="1240">
        <f>+IFERROR(HLOOKUP(BD17,'סקרי נכסים-יתרות פתיחה'!$2:$110,8,0),0)-IFERROR(HLOOKUP(BD17,'סקרי נכסים-יתרות פתיחה'!$2:$110,92,0),0)*(1-BD$309)</f>
        <v>0</v>
      </c>
      <c r="BE118" s="1240">
        <f>+IFERROR(HLOOKUP(BE17,'סקרי נכסים-יתרות פתיחה'!$2:$110,8,0),0)-IFERROR(HLOOKUP(BE17,'סקרי נכסים-יתרות פתיחה'!$2:$110,92,0),0)*(1-BE$309)</f>
        <v>0</v>
      </c>
      <c r="BF118" s="1240">
        <f>+IFERROR(HLOOKUP(BF17,'סקרי נכסים-יתרות פתיחה'!$2:$110,8,0),0)-IFERROR(HLOOKUP(BF17,'סקרי נכסים-יתרות פתיחה'!$2:$110,92,0),0)*(1-BF$309)</f>
        <v>0</v>
      </c>
    </row>
    <row r="119" spans="2:58" x14ac:dyDescent="0.2">
      <c r="B119" s="1">
        <v>15</v>
      </c>
      <c r="C119" s="1240">
        <f>+IFERROR(HLOOKUP(C18,'סקרי נכסים-יתרות פתיחה'!$2:$110,8,0),0)-IFERROR(HLOOKUP(C18,'סקרי נכסים-יתרות פתיחה'!$2:$110,92,0),0)*(1-C$309)</f>
        <v>0</v>
      </c>
      <c r="D119" s="1240">
        <f>+IFERROR(HLOOKUP(D18,'סקרי נכסים-יתרות פתיחה'!$2:$110,8,0),0)-IFERROR(HLOOKUP(D18,'סקרי נכסים-יתרות פתיחה'!$2:$110,92,0),0)*(1-D$309)</f>
        <v>0</v>
      </c>
      <c r="E119" s="1240">
        <f>+IFERROR(HLOOKUP(E18,'סקרי נכסים-יתרות פתיחה'!$2:$110,8,0),0)-IFERROR(HLOOKUP(E18,'סקרי נכסים-יתרות פתיחה'!$2:$110,92,0),0)*(1-E$309)</f>
        <v>0</v>
      </c>
      <c r="F119" s="1240">
        <f>+IFERROR(HLOOKUP(F18,'סקרי נכסים-יתרות פתיחה'!$2:$110,8,0),0)-IFERROR(HLOOKUP(F18,'סקרי נכסים-יתרות פתיחה'!$2:$110,92,0),0)*(1-F$309)</f>
        <v>0</v>
      </c>
      <c r="G119" s="1240">
        <f>+IFERROR(HLOOKUP(G18,'סקרי נכסים-יתרות פתיחה'!$2:$110,8,0),0)-IFERROR(HLOOKUP(G18,'סקרי נכסים-יתרות פתיחה'!$2:$110,92,0),0)*(1-G$309)</f>
        <v>0</v>
      </c>
      <c r="H119" s="1240">
        <f>+IFERROR(HLOOKUP(H18,'סקרי נכסים-יתרות פתיחה'!$2:$110,8,0),0)-IFERROR(HLOOKUP(H18,'סקרי נכסים-יתרות פתיחה'!$2:$110,92,0),0)*(1-H$309)</f>
        <v>0</v>
      </c>
      <c r="I119" s="1240">
        <f>+IFERROR(HLOOKUP(I18,'סקרי נכסים-יתרות פתיחה'!$2:$110,8,0),0)-IFERROR(HLOOKUP(I18,'סקרי נכסים-יתרות פתיחה'!$2:$110,92,0),0)*(1-I$309)</f>
        <v>0</v>
      </c>
      <c r="J119" s="1240">
        <f>+IFERROR(HLOOKUP(J18,'סקרי נכסים-יתרות פתיחה'!$2:$110,8,0),0)-IFERROR(HLOOKUP(J18,'סקרי נכסים-יתרות פתיחה'!$2:$110,92,0),0)*(1-J$309)</f>
        <v>0</v>
      </c>
      <c r="K119" s="1240">
        <f>+IFERROR(HLOOKUP(K18,'סקרי נכסים-יתרות פתיחה'!$2:$110,8,0),0)-IFERROR(HLOOKUP(K18,'סקרי נכסים-יתרות פתיחה'!$2:$110,92,0),0)*(1-K$309)</f>
        <v>0</v>
      </c>
      <c r="L119" s="1240">
        <f>+IFERROR(HLOOKUP(L18,'סקרי נכסים-יתרות פתיחה'!$2:$110,8,0),0)-IFERROR(HLOOKUP(L18,'סקרי נכסים-יתרות פתיחה'!$2:$110,92,0),0)*(1-L$309)</f>
        <v>0</v>
      </c>
      <c r="M119" s="1240">
        <f>+IFERROR(HLOOKUP(M18,'סקרי נכסים-יתרות פתיחה'!$2:$110,8,0),0)-IFERROR(HLOOKUP(M18,'סקרי נכסים-יתרות פתיחה'!$2:$110,92,0),0)*(1-M$309)</f>
        <v>0</v>
      </c>
      <c r="N119" s="1240">
        <f>+IFERROR(HLOOKUP(N18,'סקרי נכסים-יתרות פתיחה'!$2:$110,8,0),0)-IFERROR(HLOOKUP(N18,'סקרי נכסים-יתרות פתיחה'!$2:$110,92,0),0)*(1-N$309)</f>
        <v>0</v>
      </c>
      <c r="O119" s="1240">
        <f>+IFERROR(HLOOKUP(O18,'סקרי נכסים-יתרות פתיחה'!$2:$110,8,0),0)-IFERROR(HLOOKUP(O18,'סקרי נכסים-יתרות פתיחה'!$2:$110,92,0),0)*(1-O$309)</f>
        <v>0</v>
      </c>
      <c r="P119" s="1240">
        <f>+IFERROR(HLOOKUP(P18,'סקרי נכסים-יתרות פתיחה'!$2:$110,8,0),0)-IFERROR(HLOOKUP(P18,'סקרי נכסים-יתרות פתיחה'!$2:$110,92,0),0)*(1-P$309)</f>
        <v>0</v>
      </c>
      <c r="Q119" s="1240">
        <f>+IFERROR(HLOOKUP(Q18,'סקרי נכסים-יתרות פתיחה'!$2:$110,8,0),0)-IFERROR(HLOOKUP(Q18,'סקרי נכסים-יתרות פתיחה'!$2:$110,92,0),0)*(1-Q$309)</f>
        <v>0</v>
      </c>
      <c r="R119" s="1240">
        <f>+IFERROR(HLOOKUP(R18,'סקרי נכסים-יתרות פתיחה'!$2:$110,8,0),0)-IFERROR(HLOOKUP(R18,'סקרי נכסים-יתרות פתיחה'!$2:$110,92,0),0)*(1-R$309)</f>
        <v>0</v>
      </c>
      <c r="S119" s="1240">
        <f>+IFERROR(HLOOKUP(S18,'סקרי נכסים-יתרות פתיחה'!$2:$110,8,0),0)-IFERROR(HLOOKUP(S18,'סקרי נכסים-יתרות פתיחה'!$2:$110,92,0),0)*(1-S$309)</f>
        <v>0</v>
      </c>
      <c r="T119" s="1240">
        <f>+IFERROR(HLOOKUP(T18,'סקרי נכסים-יתרות פתיחה'!$2:$110,8,0),0)-IFERROR(HLOOKUP(T18,'סקרי נכסים-יתרות פתיחה'!$2:$110,92,0),0)*(1-T$309)</f>
        <v>0</v>
      </c>
      <c r="U119" s="1240">
        <f>+IFERROR(HLOOKUP(U18,'סקרי נכסים-יתרות פתיחה'!$2:$110,8,0),0)-IFERROR(HLOOKUP(U18,'סקרי נכסים-יתרות פתיחה'!$2:$110,92,0),0)*(1-U$309)</f>
        <v>0</v>
      </c>
      <c r="V119" s="1240">
        <f>+IFERROR(HLOOKUP(V18,'סקרי נכסים-יתרות פתיחה'!$2:$110,8,0),0)-IFERROR(HLOOKUP(V18,'סקרי נכסים-יתרות פתיחה'!$2:$110,92,0),0)*(1-V$309)</f>
        <v>0</v>
      </c>
      <c r="W119" s="1240">
        <f>+IFERROR(HLOOKUP(W18,'סקרי נכסים-יתרות פתיחה'!$2:$110,8,0),0)-IFERROR(HLOOKUP(W18,'סקרי נכסים-יתרות פתיחה'!$2:$110,92,0),0)*(1-W$309)</f>
        <v>0</v>
      </c>
      <c r="X119" s="1240">
        <f>+IFERROR(HLOOKUP(X18,'סקרי נכסים-יתרות פתיחה'!$2:$110,8,0),0)-IFERROR(HLOOKUP(X18,'סקרי נכסים-יתרות פתיחה'!$2:$110,92,0),0)*(1-X$309)</f>
        <v>0</v>
      </c>
      <c r="Y119" s="1240">
        <f>+IFERROR(HLOOKUP(Y18,'סקרי נכסים-יתרות פתיחה'!$2:$110,8,0),0)-IFERROR(HLOOKUP(Y18,'סקרי נכסים-יתרות פתיחה'!$2:$110,92,0),0)*(1-Y$309)</f>
        <v>0</v>
      </c>
      <c r="Z119" s="1240">
        <f>+IFERROR(HLOOKUP(Z18,'סקרי נכסים-יתרות פתיחה'!$2:$110,8,0),0)-IFERROR(HLOOKUP(Z18,'סקרי נכסים-יתרות פתיחה'!$2:$110,92,0),0)*(1-Z$309)</f>
        <v>0</v>
      </c>
      <c r="AA119" s="1240">
        <f>+IFERROR(HLOOKUP(AA18,'סקרי נכסים-יתרות פתיחה'!$2:$110,8,0),0)-IFERROR(HLOOKUP(AA18,'סקרי נכסים-יתרות פתיחה'!$2:$110,92,0),0)*(1-AA$309)</f>
        <v>0</v>
      </c>
      <c r="AB119" s="1240">
        <f>+IFERROR(HLOOKUP(AB18,'סקרי נכסים-יתרות פתיחה'!$2:$110,8,0),0)-IFERROR(HLOOKUP(AB18,'סקרי נכסים-יתרות פתיחה'!$2:$110,92,0),0)*(1-AB$309)</f>
        <v>0</v>
      </c>
      <c r="AC119" s="1240">
        <f>+IFERROR(HLOOKUP(AC18,'סקרי נכסים-יתרות פתיחה'!$2:$110,8,0),0)-IFERROR(HLOOKUP(AC18,'סקרי נכסים-יתרות פתיחה'!$2:$110,92,0),0)*(1-AC$309)</f>
        <v>0</v>
      </c>
      <c r="AD119" s="1240">
        <f>+IFERROR(HLOOKUP(AD18,'סקרי נכסים-יתרות פתיחה'!$2:$110,8,0),0)-IFERROR(HLOOKUP(AD18,'סקרי נכסים-יתרות פתיחה'!$2:$110,92,0),0)*(1-AD$309)</f>
        <v>0</v>
      </c>
      <c r="AE119" s="1240">
        <f>+IFERROR(HLOOKUP(AE18,'סקרי נכסים-יתרות פתיחה'!$2:$110,8,0),0)-IFERROR(HLOOKUP(AE18,'סקרי נכסים-יתרות פתיחה'!$2:$110,92,0),0)*(1-AE$309)</f>
        <v>0</v>
      </c>
      <c r="AF119" s="1240">
        <f>+IFERROR(HLOOKUP(AF18,'סקרי נכסים-יתרות פתיחה'!$2:$110,8,0),0)-IFERROR(HLOOKUP(AF18,'סקרי נכסים-יתרות פתיחה'!$2:$110,92,0),0)*(1-AF$309)</f>
        <v>0</v>
      </c>
      <c r="AG119" s="1240">
        <f>+IFERROR(HLOOKUP(AG18,'סקרי נכסים-יתרות פתיחה'!$2:$110,8,0),0)-IFERROR(HLOOKUP(AG18,'סקרי נכסים-יתרות פתיחה'!$2:$110,92,0),0)*(1-AG$309)</f>
        <v>0</v>
      </c>
      <c r="AH119" s="1240">
        <f>+IFERROR(HLOOKUP(AH18,'סקרי נכסים-יתרות פתיחה'!$2:$110,8,0),0)-IFERROR(HLOOKUP(AH18,'סקרי נכסים-יתרות פתיחה'!$2:$110,92,0),0)*(1-AH$309)</f>
        <v>0</v>
      </c>
      <c r="AI119" s="1240">
        <f>+IFERROR(HLOOKUP(AI18,'סקרי נכסים-יתרות פתיחה'!$2:$110,8,0),0)-IFERROR(HLOOKUP(AI18,'סקרי נכסים-יתרות פתיחה'!$2:$110,92,0),0)*(1-AI$309)</f>
        <v>0</v>
      </c>
      <c r="AJ119" s="1240">
        <f>+IFERROR(HLOOKUP(AJ18,'סקרי נכסים-יתרות פתיחה'!$2:$110,8,0),0)-IFERROR(HLOOKUP(AJ18,'סקרי נכסים-יתרות פתיחה'!$2:$110,92,0),0)*(1-AJ$309)</f>
        <v>0</v>
      </c>
      <c r="AK119" s="1240">
        <f>+IFERROR(HLOOKUP(AK18,'סקרי נכסים-יתרות פתיחה'!$2:$110,8,0),0)-IFERROR(HLOOKUP(AK18,'סקרי נכסים-יתרות פתיחה'!$2:$110,92,0),0)*(1-AK$309)</f>
        <v>0</v>
      </c>
      <c r="AL119" s="1240">
        <f>+IFERROR(HLOOKUP(AL18,'סקרי נכסים-יתרות פתיחה'!$2:$110,8,0),0)-IFERROR(HLOOKUP(AL18,'סקרי נכסים-יתרות פתיחה'!$2:$110,92,0),0)*(1-AL$309)</f>
        <v>0</v>
      </c>
      <c r="AM119" s="1240">
        <f>+IFERROR(HLOOKUP(AM18,'סקרי נכסים-יתרות פתיחה'!$2:$110,8,0),0)-IFERROR(HLOOKUP(AM18,'סקרי נכסים-יתרות פתיחה'!$2:$110,92,0),0)*(1-AM$309)</f>
        <v>0</v>
      </c>
      <c r="AN119" s="1240">
        <f>+IFERROR(HLOOKUP(AN18,'סקרי נכסים-יתרות פתיחה'!$2:$110,8,0),0)-IFERROR(HLOOKUP(AN18,'סקרי נכסים-יתרות פתיחה'!$2:$110,92,0),0)*(1-AN$309)</f>
        <v>0</v>
      </c>
      <c r="AO119" s="1240">
        <f>+IFERROR(HLOOKUP(AO18,'סקרי נכסים-יתרות פתיחה'!$2:$110,8,0),0)-IFERROR(HLOOKUP(AO18,'סקרי נכסים-יתרות פתיחה'!$2:$110,92,0),0)*(1-AO$309)</f>
        <v>0</v>
      </c>
      <c r="AP119" s="1240">
        <f>+IFERROR(HLOOKUP(AP18,'סקרי נכסים-יתרות פתיחה'!$2:$110,8,0),0)-IFERROR(HLOOKUP(AP18,'סקרי נכסים-יתרות פתיחה'!$2:$110,92,0),0)*(1-AP$309)</f>
        <v>0</v>
      </c>
      <c r="AQ119" s="1240">
        <f>+IFERROR(HLOOKUP(AQ18,'סקרי נכסים-יתרות פתיחה'!$2:$110,8,0),0)-IFERROR(HLOOKUP(AQ18,'סקרי נכסים-יתרות פתיחה'!$2:$110,92,0),0)*(1-AQ$309)</f>
        <v>0</v>
      </c>
      <c r="AR119" s="1240">
        <f>+IFERROR(HLOOKUP(AR18,'סקרי נכסים-יתרות פתיחה'!$2:$110,8,0),0)-IFERROR(HLOOKUP(AR18,'סקרי נכסים-יתרות פתיחה'!$2:$110,92,0),0)*(1-AR$309)</f>
        <v>0</v>
      </c>
      <c r="AS119" s="1240">
        <f>+IFERROR(HLOOKUP(AS18,'סקרי נכסים-יתרות פתיחה'!$2:$110,8,0),0)-IFERROR(HLOOKUP(AS18,'סקרי נכסים-יתרות פתיחה'!$2:$110,92,0),0)*(1-AS$309)</f>
        <v>0</v>
      </c>
      <c r="AT119" s="1240">
        <f>+IFERROR(HLOOKUP(AT18,'סקרי נכסים-יתרות פתיחה'!$2:$110,8,0),0)-IFERROR(HLOOKUP(AT18,'סקרי נכסים-יתרות פתיחה'!$2:$110,92,0),0)*(1-AT$309)</f>
        <v>0</v>
      </c>
      <c r="AU119" s="1240">
        <f>+IFERROR(HLOOKUP(AU18,'סקרי נכסים-יתרות פתיחה'!$2:$110,8,0),0)-IFERROR(HLOOKUP(AU18,'סקרי נכסים-יתרות פתיחה'!$2:$110,92,0),0)*(1-AU$309)</f>
        <v>0</v>
      </c>
      <c r="AV119" s="1240">
        <f>+IFERROR(HLOOKUP(AV18,'סקרי נכסים-יתרות פתיחה'!$2:$110,8,0),0)-IFERROR(HLOOKUP(AV18,'סקרי נכסים-יתרות פתיחה'!$2:$110,92,0),0)*(1-AV$309)</f>
        <v>0</v>
      </c>
      <c r="AW119" s="1240">
        <f>+IFERROR(HLOOKUP(AW18,'סקרי נכסים-יתרות פתיחה'!$2:$110,8,0),0)-IFERROR(HLOOKUP(AW18,'סקרי נכסים-יתרות פתיחה'!$2:$110,92,0),0)*(1-AW$309)</f>
        <v>0</v>
      </c>
      <c r="AX119" s="1240">
        <f>+IFERROR(HLOOKUP(AX18,'סקרי נכסים-יתרות פתיחה'!$2:$110,8,0),0)-IFERROR(HLOOKUP(AX18,'סקרי נכסים-יתרות פתיחה'!$2:$110,92,0),0)*(1-AX$309)</f>
        <v>0</v>
      </c>
      <c r="AY119" s="1240">
        <f>+IFERROR(HLOOKUP(AY18,'סקרי נכסים-יתרות פתיחה'!$2:$110,8,0),0)-IFERROR(HLOOKUP(AY18,'סקרי נכסים-יתרות פתיחה'!$2:$110,92,0),0)*(1-AY$309)</f>
        <v>0</v>
      </c>
      <c r="AZ119" s="1240">
        <f>+IFERROR(HLOOKUP(AZ18,'סקרי נכסים-יתרות פתיחה'!$2:$110,8,0),0)-IFERROR(HLOOKUP(AZ18,'סקרי נכסים-יתרות פתיחה'!$2:$110,92,0),0)*(1-AZ$309)</f>
        <v>0</v>
      </c>
      <c r="BA119" s="1240">
        <f>+IFERROR(HLOOKUP(BA18,'סקרי נכסים-יתרות פתיחה'!$2:$110,8,0),0)-IFERROR(HLOOKUP(BA18,'סקרי נכסים-יתרות פתיחה'!$2:$110,92,0),0)*(1-BA$309)</f>
        <v>0</v>
      </c>
      <c r="BB119" s="1240">
        <f>+IFERROR(HLOOKUP(BB18,'סקרי נכסים-יתרות פתיחה'!$2:$110,8,0),0)-IFERROR(HLOOKUP(BB18,'סקרי נכסים-יתרות פתיחה'!$2:$110,92,0),0)*(1-BB$309)</f>
        <v>0</v>
      </c>
      <c r="BC119" s="1240">
        <f>+IFERROR(HLOOKUP(BC18,'סקרי נכסים-יתרות פתיחה'!$2:$110,8,0),0)-IFERROR(HLOOKUP(BC18,'סקרי נכסים-יתרות פתיחה'!$2:$110,92,0),0)*(1-BC$309)</f>
        <v>0</v>
      </c>
      <c r="BD119" s="1240">
        <f>+IFERROR(HLOOKUP(BD18,'סקרי נכסים-יתרות פתיחה'!$2:$110,8,0),0)-IFERROR(HLOOKUP(BD18,'סקרי נכסים-יתרות פתיחה'!$2:$110,92,0),0)*(1-BD$309)</f>
        <v>0</v>
      </c>
      <c r="BE119" s="1240">
        <f>+IFERROR(HLOOKUP(BE18,'סקרי נכסים-יתרות פתיחה'!$2:$110,8,0),0)-IFERROR(HLOOKUP(BE18,'סקרי נכסים-יתרות פתיחה'!$2:$110,92,0),0)*(1-BE$309)</f>
        <v>0</v>
      </c>
      <c r="BF119" s="1240">
        <f>+IFERROR(HLOOKUP(BF18,'סקרי נכסים-יתרות פתיחה'!$2:$110,8,0),0)-IFERROR(HLOOKUP(BF18,'סקרי נכסים-יתרות פתיחה'!$2:$110,92,0),0)*(1-BF$309)</f>
        <v>0</v>
      </c>
    </row>
    <row r="120" spans="2:58" x14ac:dyDescent="0.2">
      <c r="B120" s="1">
        <v>16</v>
      </c>
      <c r="C120" s="1240">
        <f>+IFERROR(HLOOKUP(C19,'סקרי נכסים-יתרות פתיחה'!$2:$110,8,0),0)-IFERROR(HLOOKUP(C19,'סקרי נכסים-יתרות פתיחה'!$2:$110,92,0),0)*(1-C$309)</f>
        <v>0</v>
      </c>
      <c r="D120" s="1240">
        <f>+IFERROR(HLOOKUP(D19,'סקרי נכסים-יתרות פתיחה'!$2:$110,8,0),0)-IFERROR(HLOOKUP(D19,'סקרי נכסים-יתרות פתיחה'!$2:$110,92,0),0)*(1-D$309)</f>
        <v>0</v>
      </c>
      <c r="E120" s="1240">
        <f>+IFERROR(HLOOKUP(E19,'סקרי נכסים-יתרות פתיחה'!$2:$110,8,0),0)-IFERROR(HLOOKUP(E19,'סקרי נכסים-יתרות פתיחה'!$2:$110,92,0),0)*(1-E$309)</f>
        <v>0</v>
      </c>
      <c r="F120" s="1240">
        <f>+IFERROR(HLOOKUP(F19,'סקרי נכסים-יתרות פתיחה'!$2:$110,8,0),0)-IFERROR(HLOOKUP(F19,'סקרי נכסים-יתרות פתיחה'!$2:$110,92,0),0)*(1-F$309)</f>
        <v>0</v>
      </c>
      <c r="G120" s="1240">
        <f>+IFERROR(HLOOKUP(G19,'סקרי נכסים-יתרות פתיחה'!$2:$110,8,0),0)-IFERROR(HLOOKUP(G19,'סקרי נכסים-יתרות פתיחה'!$2:$110,92,0),0)*(1-G$309)</f>
        <v>0</v>
      </c>
      <c r="H120" s="1240">
        <f>+IFERROR(HLOOKUP(H19,'סקרי נכסים-יתרות פתיחה'!$2:$110,8,0),0)-IFERROR(HLOOKUP(H19,'סקרי נכסים-יתרות פתיחה'!$2:$110,92,0),0)*(1-H$309)</f>
        <v>0</v>
      </c>
      <c r="I120" s="1240">
        <f>+IFERROR(HLOOKUP(I19,'סקרי נכסים-יתרות פתיחה'!$2:$110,8,0),0)-IFERROR(HLOOKUP(I19,'סקרי נכסים-יתרות פתיחה'!$2:$110,92,0),0)*(1-I$309)</f>
        <v>0</v>
      </c>
      <c r="J120" s="1240">
        <f>+IFERROR(HLOOKUP(J19,'סקרי נכסים-יתרות פתיחה'!$2:$110,8,0),0)-IFERROR(HLOOKUP(J19,'סקרי נכסים-יתרות פתיחה'!$2:$110,92,0),0)*(1-J$309)</f>
        <v>0</v>
      </c>
      <c r="K120" s="1240">
        <f>+IFERROR(HLOOKUP(K19,'סקרי נכסים-יתרות פתיחה'!$2:$110,8,0),0)-IFERROR(HLOOKUP(K19,'סקרי נכסים-יתרות פתיחה'!$2:$110,92,0),0)*(1-K$309)</f>
        <v>0</v>
      </c>
      <c r="L120" s="1240">
        <f>+IFERROR(HLOOKUP(L19,'סקרי נכסים-יתרות פתיחה'!$2:$110,8,0),0)-IFERROR(HLOOKUP(L19,'סקרי נכסים-יתרות פתיחה'!$2:$110,92,0),0)*(1-L$309)</f>
        <v>0</v>
      </c>
      <c r="M120" s="1240">
        <f>+IFERROR(HLOOKUP(M19,'סקרי נכסים-יתרות פתיחה'!$2:$110,8,0),0)-IFERROR(HLOOKUP(M19,'סקרי נכסים-יתרות פתיחה'!$2:$110,92,0),0)*(1-M$309)</f>
        <v>0</v>
      </c>
      <c r="N120" s="1240">
        <f>+IFERROR(HLOOKUP(N19,'סקרי נכסים-יתרות פתיחה'!$2:$110,8,0),0)-IFERROR(HLOOKUP(N19,'סקרי נכסים-יתרות פתיחה'!$2:$110,92,0),0)*(1-N$309)</f>
        <v>0</v>
      </c>
      <c r="O120" s="1240">
        <f>+IFERROR(HLOOKUP(O19,'סקרי נכסים-יתרות פתיחה'!$2:$110,8,0),0)-IFERROR(HLOOKUP(O19,'סקרי נכסים-יתרות פתיחה'!$2:$110,92,0),0)*(1-O$309)</f>
        <v>0</v>
      </c>
      <c r="P120" s="1240">
        <f>+IFERROR(HLOOKUP(P19,'סקרי נכסים-יתרות פתיחה'!$2:$110,8,0),0)-IFERROR(HLOOKUP(P19,'סקרי נכסים-יתרות פתיחה'!$2:$110,92,0),0)*(1-P$309)</f>
        <v>0</v>
      </c>
      <c r="Q120" s="1240">
        <f>+IFERROR(HLOOKUP(Q19,'סקרי נכסים-יתרות פתיחה'!$2:$110,8,0),0)-IFERROR(HLOOKUP(Q19,'סקרי נכסים-יתרות פתיחה'!$2:$110,92,0),0)*(1-Q$309)</f>
        <v>0</v>
      </c>
      <c r="R120" s="1240">
        <f>+IFERROR(HLOOKUP(R19,'סקרי נכסים-יתרות פתיחה'!$2:$110,8,0),0)-IFERROR(HLOOKUP(R19,'סקרי נכסים-יתרות פתיחה'!$2:$110,92,0),0)*(1-R$309)</f>
        <v>0</v>
      </c>
      <c r="S120" s="1240">
        <f>+IFERROR(HLOOKUP(S19,'סקרי נכסים-יתרות פתיחה'!$2:$110,8,0),0)-IFERROR(HLOOKUP(S19,'סקרי נכסים-יתרות פתיחה'!$2:$110,92,0),0)*(1-S$309)</f>
        <v>0</v>
      </c>
      <c r="T120" s="1240">
        <f>+IFERROR(HLOOKUP(T19,'סקרי נכסים-יתרות פתיחה'!$2:$110,8,0),0)-IFERROR(HLOOKUP(T19,'סקרי נכסים-יתרות פתיחה'!$2:$110,92,0),0)*(1-T$309)</f>
        <v>0</v>
      </c>
      <c r="U120" s="1240">
        <f>+IFERROR(HLOOKUP(U19,'סקרי נכסים-יתרות פתיחה'!$2:$110,8,0),0)-IFERROR(HLOOKUP(U19,'סקרי נכסים-יתרות פתיחה'!$2:$110,92,0),0)*(1-U$309)</f>
        <v>0</v>
      </c>
      <c r="V120" s="1240">
        <f>+IFERROR(HLOOKUP(V19,'סקרי נכסים-יתרות פתיחה'!$2:$110,8,0),0)-IFERROR(HLOOKUP(V19,'סקרי נכסים-יתרות פתיחה'!$2:$110,92,0),0)*(1-V$309)</f>
        <v>0</v>
      </c>
      <c r="W120" s="1240">
        <f>+IFERROR(HLOOKUP(W19,'סקרי נכסים-יתרות פתיחה'!$2:$110,8,0),0)-IFERROR(HLOOKUP(W19,'סקרי נכסים-יתרות פתיחה'!$2:$110,92,0),0)*(1-W$309)</f>
        <v>0</v>
      </c>
      <c r="X120" s="1240">
        <f>+IFERROR(HLOOKUP(X19,'סקרי נכסים-יתרות פתיחה'!$2:$110,8,0),0)-IFERROR(HLOOKUP(X19,'סקרי נכסים-יתרות פתיחה'!$2:$110,92,0),0)*(1-X$309)</f>
        <v>0</v>
      </c>
      <c r="Y120" s="1240">
        <f>+IFERROR(HLOOKUP(Y19,'סקרי נכסים-יתרות פתיחה'!$2:$110,8,0),0)-IFERROR(HLOOKUP(Y19,'סקרי נכסים-יתרות פתיחה'!$2:$110,92,0),0)*(1-Y$309)</f>
        <v>0</v>
      </c>
      <c r="Z120" s="1240">
        <f>+IFERROR(HLOOKUP(Z19,'סקרי נכסים-יתרות פתיחה'!$2:$110,8,0),0)-IFERROR(HLOOKUP(Z19,'סקרי נכסים-יתרות פתיחה'!$2:$110,92,0),0)*(1-Z$309)</f>
        <v>0</v>
      </c>
      <c r="AA120" s="1240">
        <f>+IFERROR(HLOOKUP(AA19,'סקרי נכסים-יתרות פתיחה'!$2:$110,8,0),0)-IFERROR(HLOOKUP(AA19,'סקרי נכסים-יתרות פתיחה'!$2:$110,92,0),0)*(1-AA$309)</f>
        <v>0</v>
      </c>
      <c r="AB120" s="1240">
        <f>+IFERROR(HLOOKUP(AB19,'סקרי נכסים-יתרות פתיחה'!$2:$110,8,0),0)-IFERROR(HLOOKUP(AB19,'סקרי נכסים-יתרות פתיחה'!$2:$110,92,0),0)*(1-AB$309)</f>
        <v>0</v>
      </c>
      <c r="AC120" s="1240">
        <f>+IFERROR(HLOOKUP(AC19,'סקרי נכסים-יתרות פתיחה'!$2:$110,8,0),0)-IFERROR(HLOOKUP(AC19,'סקרי נכסים-יתרות פתיחה'!$2:$110,92,0),0)*(1-AC$309)</f>
        <v>0</v>
      </c>
      <c r="AD120" s="1240">
        <f>+IFERROR(HLOOKUP(AD19,'סקרי נכסים-יתרות פתיחה'!$2:$110,8,0),0)-IFERROR(HLOOKUP(AD19,'סקרי נכסים-יתרות פתיחה'!$2:$110,92,0),0)*(1-AD$309)</f>
        <v>0</v>
      </c>
      <c r="AE120" s="1240">
        <f>+IFERROR(HLOOKUP(AE19,'סקרי נכסים-יתרות פתיחה'!$2:$110,8,0),0)-IFERROR(HLOOKUP(AE19,'סקרי נכסים-יתרות פתיחה'!$2:$110,92,0),0)*(1-AE$309)</f>
        <v>0</v>
      </c>
      <c r="AF120" s="1240">
        <f>+IFERROR(HLOOKUP(AF19,'סקרי נכסים-יתרות פתיחה'!$2:$110,8,0),0)-IFERROR(HLOOKUP(AF19,'סקרי נכסים-יתרות פתיחה'!$2:$110,92,0),0)*(1-AF$309)</f>
        <v>0</v>
      </c>
      <c r="AG120" s="1240">
        <f>+IFERROR(HLOOKUP(AG19,'סקרי נכסים-יתרות פתיחה'!$2:$110,8,0),0)-IFERROR(HLOOKUP(AG19,'סקרי נכסים-יתרות פתיחה'!$2:$110,92,0),0)*(1-AG$309)</f>
        <v>0</v>
      </c>
      <c r="AH120" s="1240">
        <f>+IFERROR(HLOOKUP(AH19,'סקרי נכסים-יתרות פתיחה'!$2:$110,8,0),0)-IFERROR(HLOOKUP(AH19,'סקרי נכסים-יתרות פתיחה'!$2:$110,92,0),0)*(1-AH$309)</f>
        <v>0</v>
      </c>
      <c r="AI120" s="1240">
        <f>+IFERROR(HLOOKUP(AI19,'סקרי נכסים-יתרות פתיחה'!$2:$110,8,0),0)-IFERROR(HLOOKUP(AI19,'סקרי נכסים-יתרות פתיחה'!$2:$110,92,0),0)*(1-AI$309)</f>
        <v>0</v>
      </c>
      <c r="AJ120" s="1240">
        <f>+IFERROR(HLOOKUP(AJ19,'סקרי נכסים-יתרות פתיחה'!$2:$110,8,0),0)-IFERROR(HLOOKUP(AJ19,'סקרי נכסים-יתרות פתיחה'!$2:$110,92,0),0)*(1-AJ$309)</f>
        <v>0</v>
      </c>
      <c r="AK120" s="1240">
        <f>+IFERROR(HLOOKUP(AK19,'סקרי נכסים-יתרות פתיחה'!$2:$110,8,0),0)-IFERROR(HLOOKUP(AK19,'סקרי נכסים-יתרות פתיחה'!$2:$110,92,0),0)*(1-AK$309)</f>
        <v>0</v>
      </c>
      <c r="AL120" s="1240">
        <f>+IFERROR(HLOOKUP(AL19,'סקרי נכסים-יתרות פתיחה'!$2:$110,8,0),0)-IFERROR(HLOOKUP(AL19,'סקרי נכסים-יתרות פתיחה'!$2:$110,92,0),0)*(1-AL$309)</f>
        <v>0</v>
      </c>
      <c r="AM120" s="1240">
        <f>+IFERROR(HLOOKUP(AM19,'סקרי נכסים-יתרות פתיחה'!$2:$110,8,0),0)-IFERROR(HLOOKUP(AM19,'סקרי נכסים-יתרות פתיחה'!$2:$110,92,0),0)*(1-AM$309)</f>
        <v>0</v>
      </c>
      <c r="AN120" s="1240">
        <f>+IFERROR(HLOOKUP(AN19,'סקרי נכסים-יתרות פתיחה'!$2:$110,8,0),0)-IFERROR(HLOOKUP(AN19,'סקרי נכסים-יתרות פתיחה'!$2:$110,92,0),0)*(1-AN$309)</f>
        <v>0</v>
      </c>
      <c r="AO120" s="1240">
        <f>+IFERROR(HLOOKUP(AO19,'סקרי נכסים-יתרות פתיחה'!$2:$110,8,0),0)-IFERROR(HLOOKUP(AO19,'סקרי נכסים-יתרות פתיחה'!$2:$110,92,0),0)*(1-AO$309)</f>
        <v>0</v>
      </c>
      <c r="AP120" s="1240">
        <f>+IFERROR(HLOOKUP(AP19,'סקרי נכסים-יתרות פתיחה'!$2:$110,8,0),0)-IFERROR(HLOOKUP(AP19,'סקרי נכסים-יתרות פתיחה'!$2:$110,92,0),0)*(1-AP$309)</f>
        <v>0</v>
      </c>
      <c r="AQ120" s="1240">
        <f>+IFERROR(HLOOKUP(AQ19,'סקרי נכסים-יתרות פתיחה'!$2:$110,8,0),0)-IFERROR(HLOOKUP(AQ19,'סקרי נכסים-יתרות פתיחה'!$2:$110,92,0),0)*(1-AQ$309)</f>
        <v>0</v>
      </c>
      <c r="AR120" s="1240">
        <f>+IFERROR(HLOOKUP(AR19,'סקרי נכסים-יתרות פתיחה'!$2:$110,8,0),0)-IFERROR(HLOOKUP(AR19,'סקרי נכסים-יתרות פתיחה'!$2:$110,92,0),0)*(1-AR$309)</f>
        <v>0</v>
      </c>
      <c r="AS120" s="1240">
        <f>+IFERROR(HLOOKUP(AS19,'סקרי נכסים-יתרות פתיחה'!$2:$110,8,0),0)-IFERROR(HLOOKUP(AS19,'סקרי נכסים-יתרות פתיחה'!$2:$110,92,0),0)*(1-AS$309)</f>
        <v>0</v>
      </c>
      <c r="AT120" s="1240">
        <f>+IFERROR(HLOOKUP(AT19,'סקרי נכסים-יתרות פתיחה'!$2:$110,8,0),0)-IFERROR(HLOOKUP(AT19,'סקרי נכסים-יתרות פתיחה'!$2:$110,92,0),0)*(1-AT$309)</f>
        <v>0</v>
      </c>
      <c r="AU120" s="1240">
        <f>+IFERROR(HLOOKUP(AU19,'סקרי נכסים-יתרות פתיחה'!$2:$110,8,0),0)-IFERROR(HLOOKUP(AU19,'סקרי נכסים-יתרות פתיחה'!$2:$110,92,0),0)*(1-AU$309)</f>
        <v>0</v>
      </c>
      <c r="AV120" s="1240">
        <f>+IFERROR(HLOOKUP(AV19,'סקרי נכסים-יתרות פתיחה'!$2:$110,8,0),0)-IFERROR(HLOOKUP(AV19,'סקרי נכסים-יתרות פתיחה'!$2:$110,92,0),0)*(1-AV$309)</f>
        <v>0</v>
      </c>
      <c r="AW120" s="1240">
        <f>+IFERROR(HLOOKUP(AW19,'סקרי נכסים-יתרות פתיחה'!$2:$110,8,0),0)-IFERROR(HLOOKUP(AW19,'סקרי נכסים-יתרות פתיחה'!$2:$110,92,0),0)*(1-AW$309)</f>
        <v>0</v>
      </c>
      <c r="AX120" s="1240">
        <f>+IFERROR(HLOOKUP(AX19,'סקרי נכסים-יתרות פתיחה'!$2:$110,8,0),0)-IFERROR(HLOOKUP(AX19,'סקרי נכסים-יתרות פתיחה'!$2:$110,92,0),0)*(1-AX$309)</f>
        <v>0</v>
      </c>
      <c r="AY120" s="1240">
        <f>+IFERROR(HLOOKUP(AY19,'סקרי נכסים-יתרות פתיחה'!$2:$110,8,0),0)-IFERROR(HLOOKUP(AY19,'סקרי נכסים-יתרות פתיחה'!$2:$110,92,0),0)*(1-AY$309)</f>
        <v>0</v>
      </c>
      <c r="AZ120" s="1240">
        <f>+IFERROR(HLOOKUP(AZ19,'סקרי נכסים-יתרות פתיחה'!$2:$110,8,0),0)-IFERROR(HLOOKUP(AZ19,'סקרי נכסים-יתרות פתיחה'!$2:$110,92,0),0)*(1-AZ$309)</f>
        <v>0</v>
      </c>
      <c r="BA120" s="1240">
        <f>+IFERROR(HLOOKUP(BA19,'סקרי נכסים-יתרות פתיחה'!$2:$110,8,0),0)-IFERROR(HLOOKUP(BA19,'סקרי נכסים-יתרות פתיחה'!$2:$110,92,0),0)*(1-BA$309)</f>
        <v>0</v>
      </c>
      <c r="BB120" s="1240">
        <f>+IFERROR(HLOOKUP(BB19,'סקרי נכסים-יתרות פתיחה'!$2:$110,8,0),0)-IFERROR(HLOOKUP(BB19,'סקרי נכסים-יתרות פתיחה'!$2:$110,92,0),0)*(1-BB$309)</f>
        <v>0</v>
      </c>
      <c r="BC120" s="1240">
        <f>+IFERROR(HLOOKUP(BC19,'סקרי נכסים-יתרות פתיחה'!$2:$110,8,0),0)-IFERROR(HLOOKUP(BC19,'סקרי נכסים-יתרות פתיחה'!$2:$110,92,0),0)*(1-BC$309)</f>
        <v>0</v>
      </c>
      <c r="BD120" s="1240">
        <f>+IFERROR(HLOOKUP(BD19,'סקרי נכסים-יתרות פתיחה'!$2:$110,8,0),0)-IFERROR(HLOOKUP(BD19,'סקרי נכסים-יתרות פתיחה'!$2:$110,92,0),0)*(1-BD$309)</f>
        <v>0</v>
      </c>
      <c r="BE120" s="1240">
        <f>+IFERROR(HLOOKUP(BE19,'סקרי נכסים-יתרות פתיחה'!$2:$110,8,0),0)-IFERROR(HLOOKUP(BE19,'סקרי נכסים-יתרות פתיחה'!$2:$110,92,0),0)*(1-BE$309)</f>
        <v>0</v>
      </c>
      <c r="BF120" s="1240">
        <f>+IFERROR(HLOOKUP(BF19,'סקרי נכסים-יתרות פתיחה'!$2:$110,8,0),0)-IFERROR(HLOOKUP(BF19,'סקרי נכסים-יתרות פתיחה'!$2:$110,92,0),0)*(1-BF$309)</f>
        <v>0</v>
      </c>
    </row>
    <row r="121" spans="2:58" x14ac:dyDescent="0.2">
      <c r="B121" s="1">
        <v>17</v>
      </c>
      <c r="C121" s="1240">
        <f>+IFERROR(HLOOKUP(C20,'סקרי נכסים-יתרות פתיחה'!$2:$110,8,0),0)-IFERROR(HLOOKUP(C20,'סקרי נכסים-יתרות פתיחה'!$2:$110,92,0),0)*(1-C$309)</f>
        <v>0</v>
      </c>
      <c r="D121" s="1240">
        <f>+IFERROR(HLOOKUP(D20,'סקרי נכסים-יתרות פתיחה'!$2:$110,8,0),0)-IFERROR(HLOOKUP(D20,'סקרי נכסים-יתרות פתיחה'!$2:$110,92,0),0)*(1-D$309)</f>
        <v>0</v>
      </c>
      <c r="E121" s="1240">
        <f>+IFERROR(HLOOKUP(E20,'סקרי נכסים-יתרות פתיחה'!$2:$110,8,0),0)-IFERROR(HLOOKUP(E20,'סקרי נכסים-יתרות פתיחה'!$2:$110,92,0),0)*(1-E$309)</f>
        <v>0</v>
      </c>
      <c r="F121" s="1240">
        <f>+IFERROR(HLOOKUP(F20,'סקרי נכסים-יתרות פתיחה'!$2:$110,8,0),0)-IFERROR(HLOOKUP(F20,'סקרי נכסים-יתרות פתיחה'!$2:$110,92,0),0)*(1-F$309)</f>
        <v>0</v>
      </c>
      <c r="G121" s="1240">
        <f>+IFERROR(HLOOKUP(G20,'סקרי נכסים-יתרות פתיחה'!$2:$110,8,0),0)-IFERROR(HLOOKUP(G20,'סקרי נכסים-יתרות פתיחה'!$2:$110,92,0),0)*(1-G$309)</f>
        <v>0</v>
      </c>
      <c r="H121" s="1240">
        <f>+IFERROR(HLOOKUP(H20,'סקרי נכסים-יתרות פתיחה'!$2:$110,8,0),0)-IFERROR(HLOOKUP(H20,'סקרי נכסים-יתרות פתיחה'!$2:$110,92,0),0)*(1-H$309)</f>
        <v>0</v>
      </c>
      <c r="I121" s="1240">
        <f>+IFERROR(HLOOKUP(I20,'סקרי נכסים-יתרות פתיחה'!$2:$110,8,0),0)-IFERROR(HLOOKUP(I20,'סקרי נכסים-יתרות פתיחה'!$2:$110,92,0),0)*(1-I$309)</f>
        <v>0</v>
      </c>
      <c r="J121" s="1240">
        <f>+IFERROR(HLOOKUP(J20,'סקרי נכסים-יתרות פתיחה'!$2:$110,8,0),0)-IFERROR(HLOOKUP(J20,'סקרי נכסים-יתרות פתיחה'!$2:$110,92,0),0)*(1-J$309)</f>
        <v>0</v>
      </c>
      <c r="K121" s="1240">
        <f>+IFERROR(HLOOKUP(K20,'סקרי נכסים-יתרות פתיחה'!$2:$110,8,0),0)-IFERROR(HLOOKUP(K20,'סקרי נכסים-יתרות פתיחה'!$2:$110,92,0),0)*(1-K$309)</f>
        <v>0</v>
      </c>
      <c r="L121" s="1240">
        <f>+IFERROR(HLOOKUP(L20,'סקרי נכסים-יתרות פתיחה'!$2:$110,8,0),0)-IFERROR(HLOOKUP(L20,'סקרי נכסים-יתרות פתיחה'!$2:$110,92,0),0)*(1-L$309)</f>
        <v>0</v>
      </c>
      <c r="M121" s="1240">
        <f>+IFERROR(HLOOKUP(M20,'סקרי נכסים-יתרות פתיחה'!$2:$110,8,0),0)-IFERROR(HLOOKUP(M20,'סקרי נכסים-יתרות פתיחה'!$2:$110,92,0),0)*(1-M$309)</f>
        <v>0</v>
      </c>
      <c r="N121" s="1240">
        <f>+IFERROR(HLOOKUP(N20,'סקרי נכסים-יתרות פתיחה'!$2:$110,8,0),0)-IFERROR(HLOOKUP(N20,'סקרי נכסים-יתרות פתיחה'!$2:$110,92,0),0)*(1-N$309)</f>
        <v>0</v>
      </c>
      <c r="O121" s="1240">
        <f>+IFERROR(HLOOKUP(O20,'סקרי נכסים-יתרות פתיחה'!$2:$110,8,0),0)-IFERROR(HLOOKUP(O20,'סקרי נכסים-יתרות פתיחה'!$2:$110,92,0),0)*(1-O$309)</f>
        <v>0</v>
      </c>
      <c r="P121" s="1240">
        <f>+IFERROR(HLOOKUP(P20,'סקרי נכסים-יתרות פתיחה'!$2:$110,8,0),0)-IFERROR(HLOOKUP(P20,'סקרי נכסים-יתרות פתיחה'!$2:$110,92,0),0)*(1-P$309)</f>
        <v>0</v>
      </c>
      <c r="Q121" s="1240">
        <f>+IFERROR(HLOOKUP(Q20,'סקרי נכסים-יתרות פתיחה'!$2:$110,8,0),0)-IFERROR(HLOOKUP(Q20,'סקרי נכסים-יתרות פתיחה'!$2:$110,92,0),0)*(1-Q$309)</f>
        <v>0</v>
      </c>
      <c r="R121" s="1240">
        <f>+IFERROR(HLOOKUP(R20,'סקרי נכסים-יתרות פתיחה'!$2:$110,8,0),0)-IFERROR(HLOOKUP(R20,'סקרי נכסים-יתרות פתיחה'!$2:$110,92,0),0)*(1-R$309)</f>
        <v>0</v>
      </c>
      <c r="S121" s="1240">
        <f>+IFERROR(HLOOKUP(S20,'סקרי נכסים-יתרות פתיחה'!$2:$110,8,0),0)-IFERROR(HLOOKUP(S20,'סקרי נכסים-יתרות פתיחה'!$2:$110,92,0),0)*(1-S$309)</f>
        <v>0</v>
      </c>
      <c r="T121" s="1240">
        <f>+IFERROR(HLOOKUP(T20,'סקרי נכסים-יתרות פתיחה'!$2:$110,8,0),0)-IFERROR(HLOOKUP(T20,'סקרי נכסים-יתרות פתיחה'!$2:$110,92,0),0)*(1-T$309)</f>
        <v>0</v>
      </c>
      <c r="U121" s="1240">
        <f>+IFERROR(HLOOKUP(U20,'סקרי נכסים-יתרות פתיחה'!$2:$110,8,0),0)-IFERROR(HLOOKUP(U20,'סקרי נכסים-יתרות פתיחה'!$2:$110,92,0),0)*(1-U$309)</f>
        <v>0</v>
      </c>
      <c r="V121" s="1240">
        <f>+IFERROR(HLOOKUP(V20,'סקרי נכסים-יתרות פתיחה'!$2:$110,8,0),0)-IFERROR(HLOOKUP(V20,'סקרי נכסים-יתרות פתיחה'!$2:$110,92,0),0)*(1-V$309)</f>
        <v>0</v>
      </c>
      <c r="W121" s="1240">
        <f>+IFERROR(HLOOKUP(W20,'סקרי נכסים-יתרות פתיחה'!$2:$110,8,0),0)-IFERROR(HLOOKUP(W20,'סקרי נכסים-יתרות פתיחה'!$2:$110,92,0),0)*(1-W$309)</f>
        <v>0</v>
      </c>
      <c r="X121" s="1240">
        <f>+IFERROR(HLOOKUP(X20,'סקרי נכסים-יתרות פתיחה'!$2:$110,8,0),0)-IFERROR(HLOOKUP(X20,'סקרי נכסים-יתרות פתיחה'!$2:$110,92,0),0)*(1-X$309)</f>
        <v>0</v>
      </c>
      <c r="Y121" s="1240">
        <f>+IFERROR(HLOOKUP(Y20,'סקרי נכסים-יתרות פתיחה'!$2:$110,8,0),0)-IFERROR(HLOOKUP(Y20,'סקרי נכסים-יתרות פתיחה'!$2:$110,92,0),0)*(1-Y$309)</f>
        <v>0</v>
      </c>
      <c r="Z121" s="1240">
        <f>+IFERROR(HLOOKUP(Z20,'סקרי נכסים-יתרות פתיחה'!$2:$110,8,0),0)-IFERROR(HLOOKUP(Z20,'סקרי נכסים-יתרות פתיחה'!$2:$110,92,0),0)*(1-Z$309)</f>
        <v>0</v>
      </c>
      <c r="AA121" s="1240">
        <f>+IFERROR(HLOOKUP(AA20,'סקרי נכסים-יתרות פתיחה'!$2:$110,8,0),0)-IFERROR(HLOOKUP(AA20,'סקרי נכסים-יתרות פתיחה'!$2:$110,92,0),0)*(1-AA$309)</f>
        <v>0</v>
      </c>
      <c r="AB121" s="1240">
        <f>+IFERROR(HLOOKUP(AB20,'סקרי נכסים-יתרות פתיחה'!$2:$110,8,0),0)-IFERROR(HLOOKUP(AB20,'סקרי נכסים-יתרות פתיחה'!$2:$110,92,0),0)*(1-AB$309)</f>
        <v>0</v>
      </c>
      <c r="AC121" s="1240">
        <f>+IFERROR(HLOOKUP(AC20,'סקרי נכסים-יתרות פתיחה'!$2:$110,8,0),0)-IFERROR(HLOOKUP(AC20,'סקרי נכסים-יתרות פתיחה'!$2:$110,92,0),0)*(1-AC$309)</f>
        <v>0</v>
      </c>
      <c r="AD121" s="1240">
        <f>+IFERROR(HLOOKUP(AD20,'סקרי נכסים-יתרות פתיחה'!$2:$110,8,0),0)-IFERROR(HLOOKUP(AD20,'סקרי נכסים-יתרות פתיחה'!$2:$110,92,0),0)*(1-AD$309)</f>
        <v>0</v>
      </c>
      <c r="AE121" s="1240">
        <f>+IFERROR(HLOOKUP(AE20,'סקרי נכסים-יתרות פתיחה'!$2:$110,8,0),0)-IFERROR(HLOOKUP(AE20,'סקרי נכסים-יתרות פתיחה'!$2:$110,92,0),0)*(1-AE$309)</f>
        <v>0</v>
      </c>
      <c r="AF121" s="1240">
        <f>+IFERROR(HLOOKUP(AF20,'סקרי נכסים-יתרות פתיחה'!$2:$110,8,0),0)-IFERROR(HLOOKUP(AF20,'סקרי נכסים-יתרות פתיחה'!$2:$110,92,0),0)*(1-AF$309)</f>
        <v>0</v>
      </c>
      <c r="AG121" s="1240">
        <f>+IFERROR(HLOOKUP(AG20,'סקרי נכסים-יתרות פתיחה'!$2:$110,8,0),0)-IFERROR(HLOOKUP(AG20,'סקרי נכסים-יתרות פתיחה'!$2:$110,92,0),0)*(1-AG$309)</f>
        <v>0</v>
      </c>
      <c r="AH121" s="1240">
        <f>+IFERROR(HLOOKUP(AH20,'סקרי נכסים-יתרות פתיחה'!$2:$110,8,0),0)-IFERROR(HLOOKUP(AH20,'סקרי נכסים-יתרות פתיחה'!$2:$110,92,0),0)*(1-AH$309)</f>
        <v>0</v>
      </c>
      <c r="AI121" s="1240">
        <f>+IFERROR(HLOOKUP(AI20,'סקרי נכסים-יתרות פתיחה'!$2:$110,8,0),0)-IFERROR(HLOOKUP(AI20,'סקרי נכסים-יתרות פתיחה'!$2:$110,92,0),0)*(1-AI$309)</f>
        <v>0</v>
      </c>
      <c r="AJ121" s="1240">
        <f>+IFERROR(HLOOKUP(AJ20,'סקרי נכסים-יתרות פתיחה'!$2:$110,8,0),0)-IFERROR(HLOOKUP(AJ20,'סקרי נכסים-יתרות פתיחה'!$2:$110,92,0),0)*(1-AJ$309)</f>
        <v>0</v>
      </c>
      <c r="AK121" s="1240">
        <f>+IFERROR(HLOOKUP(AK20,'סקרי נכסים-יתרות פתיחה'!$2:$110,8,0),0)-IFERROR(HLOOKUP(AK20,'סקרי נכסים-יתרות פתיחה'!$2:$110,92,0),0)*(1-AK$309)</f>
        <v>0</v>
      </c>
      <c r="AL121" s="1240">
        <f>+IFERROR(HLOOKUP(AL20,'סקרי נכסים-יתרות פתיחה'!$2:$110,8,0),0)-IFERROR(HLOOKUP(AL20,'סקרי נכסים-יתרות פתיחה'!$2:$110,92,0),0)*(1-AL$309)</f>
        <v>0</v>
      </c>
      <c r="AM121" s="1240">
        <f>+IFERROR(HLOOKUP(AM20,'סקרי נכסים-יתרות פתיחה'!$2:$110,8,0),0)-IFERROR(HLOOKUP(AM20,'סקרי נכסים-יתרות פתיחה'!$2:$110,92,0),0)*(1-AM$309)</f>
        <v>0</v>
      </c>
      <c r="AN121" s="1240">
        <f>+IFERROR(HLOOKUP(AN20,'סקרי נכסים-יתרות פתיחה'!$2:$110,8,0),0)-IFERROR(HLOOKUP(AN20,'סקרי נכסים-יתרות פתיחה'!$2:$110,92,0),0)*(1-AN$309)</f>
        <v>0</v>
      </c>
      <c r="AO121" s="1240">
        <f>+IFERROR(HLOOKUP(AO20,'סקרי נכסים-יתרות פתיחה'!$2:$110,8,0),0)-IFERROR(HLOOKUP(AO20,'סקרי נכסים-יתרות פתיחה'!$2:$110,92,0),0)*(1-AO$309)</f>
        <v>0</v>
      </c>
      <c r="AP121" s="1240">
        <f>+IFERROR(HLOOKUP(AP20,'סקרי נכסים-יתרות פתיחה'!$2:$110,8,0),0)-IFERROR(HLOOKUP(AP20,'סקרי נכסים-יתרות פתיחה'!$2:$110,92,0),0)*(1-AP$309)</f>
        <v>0</v>
      </c>
      <c r="AQ121" s="1240">
        <f>+IFERROR(HLOOKUP(AQ20,'סקרי נכסים-יתרות פתיחה'!$2:$110,8,0),0)-IFERROR(HLOOKUP(AQ20,'סקרי נכסים-יתרות פתיחה'!$2:$110,92,0),0)*(1-AQ$309)</f>
        <v>0</v>
      </c>
      <c r="AR121" s="1240">
        <f>+IFERROR(HLOOKUP(AR20,'סקרי נכסים-יתרות פתיחה'!$2:$110,8,0),0)-IFERROR(HLOOKUP(AR20,'סקרי נכסים-יתרות פתיחה'!$2:$110,92,0),0)*(1-AR$309)</f>
        <v>0</v>
      </c>
      <c r="AS121" s="1240">
        <f>+IFERROR(HLOOKUP(AS20,'סקרי נכסים-יתרות פתיחה'!$2:$110,8,0),0)-IFERROR(HLOOKUP(AS20,'סקרי נכסים-יתרות פתיחה'!$2:$110,92,0),0)*(1-AS$309)</f>
        <v>0</v>
      </c>
      <c r="AT121" s="1240">
        <f>+IFERROR(HLOOKUP(AT20,'סקרי נכסים-יתרות פתיחה'!$2:$110,8,0),0)-IFERROR(HLOOKUP(AT20,'סקרי נכסים-יתרות פתיחה'!$2:$110,92,0),0)*(1-AT$309)</f>
        <v>0</v>
      </c>
      <c r="AU121" s="1240">
        <f>+IFERROR(HLOOKUP(AU20,'סקרי נכסים-יתרות פתיחה'!$2:$110,8,0),0)-IFERROR(HLOOKUP(AU20,'סקרי נכסים-יתרות פתיחה'!$2:$110,92,0),0)*(1-AU$309)</f>
        <v>0</v>
      </c>
      <c r="AV121" s="1240">
        <f>+IFERROR(HLOOKUP(AV20,'סקרי נכסים-יתרות פתיחה'!$2:$110,8,0),0)-IFERROR(HLOOKUP(AV20,'סקרי נכסים-יתרות פתיחה'!$2:$110,92,0),0)*(1-AV$309)</f>
        <v>0</v>
      </c>
      <c r="AW121" s="1240">
        <f>+IFERROR(HLOOKUP(AW20,'סקרי נכסים-יתרות פתיחה'!$2:$110,8,0),0)-IFERROR(HLOOKUP(AW20,'סקרי נכסים-יתרות פתיחה'!$2:$110,92,0),0)*(1-AW$309)</f>
        <v>0</v>
      </c>
      <c r="AX121" s="1240">
        <f>+IFERROR(HLOOKUP(AX20,'סקרי נכסים-יתרות פתיחה'!$2:$110,8,0),0)-IFERROR(HLOOKUP(AX20,'סקרי נכסים-יתרות פתיחה'!$2:$110,92,0),0)*(1-AX$309)</f>
        <v>0</v>
      </c>
      <c r="AY121" s="1240">
        <f>+IFERROR(HLOOKUP(AY20,'סקרי נכסים-יתרות פתיחה'!$2:$110,8,0),0)-IFERROR(HLOOKUP(AY20,'סקרי נכסים-יתרות פתיחה'!$2:$110,92,0),0)*(1-AY$309)</f>
        <v>0</v>
      </c>
      <c r="AZ121" s="1240">
        <f>+IFERROR(HLOOKUP(AZ20,'סקרי נכסים-יתרות פתיחה'!$2:$110,8,0),0)-IFERROR(HLOOKUP(AZ20,'סקרי נכסים-יתרות פתיחה'!$2:$110,92,0),0)*(1-AZ$309)</f>
        <v>0</v>
      </c>
      <c r="BA121" s="1240">
        <f>+IFERROR(HLOOKUP(BA20,'סקרי נכסים-יתרות פתיחה'!$2:$110,8,0),0)-IFERROR(HLOOKUP(BA20,'סקרי נכסים-יתרות פתיחה'!$2:$110,92,0),0)*(1-BA$309)</f>
        <v>0</v>
      </c>
      <c r="BB121" s="1240">
        <f>+IFERROR(HLOOKUP(BB20,'סקרי נכסים-יתרות פתיחה'!$2:$110,8,0),0)-IFERROR(HLOOKUP(BB20,'סקרי נכסים-יתרות פתיחה'!$2:$110,92,0),0)*(1-BB$309)</f>
        <v>0</v>
      </c>
      <c r="BC121" s="1240">
        <f>+IFERROR(HLOOKUP(BC20,'סקרי נכסים-יתרות פתיחה'!$2:$110,8,0),0)-IFERROR(HLOOKUP(BC20,'סקרי נכסים-יתרות פתיחה'!$2:$110,92,0),0)*(1-BC$309)</f>
        <v>0</v>
      </c>
      <c r="BD121" s="1240">
        <f>+IFERROR(HLOOKUP(BD20,'סקרי נכסים-יתרות פתיחה'!$2:$110,8,0),0)-IFERROR(HLOOKUP(BD20,'סקרי נכסים-יתרות פתיחה'!$2:$110,92,0),0)*(1-BD$309)</f>
        <v>0</v>
      </c>
      <c r="BE121" s="1240">
        <f>+IFERROR(HLOOKUP(BE20,'סקרי נכסים-יתרות פתיחה'!$2:$110,8,0),0)-IFERROR(HLOOKUP(BE20,'סקרי נכסים-יתרות פתיחה'!$2:$110,92,0),0)*(1-BE$309)</f>
        <v>0</v>
      </c>
      <c r="BF121" s="1240">
        <f>+IFERROR(HLOOKUP(BF20,'סקרי נכסים-יתרות פתיחה'!$2:$110,8,0),0)-IFERROR(HLOOKUP(BF20,'סקרי נכסים-יתרות פתיחה'!$2:$110,92,0),0)*(1-BF$309)</f>
        <v>0</v>
      </c>
    </row>
    <row r="122" spans="2:58" x14ac:dyDescent="0.2">
      <c r="B122" s="1">
        <v>18</v>
      </c>
      <c r="C122" s="1240">
        <f>+IFERROR(HLOOKUP(C21,'סקרי נכסים-יתרות פתיחה'!$2:$110,8,0),0)-IFERROR(HLOOKUP(C21,'סקרי נכסים-יתרות פתיחה'!$2:$110,92,0),0)*(1-C$309)</f>
        <v>0</v>
      </c>
      <c r="D122" s="1240">
        <f>+IFERROR(HLOOKUP(D21,'סקרי נכסים-יתרות פתיחה'!$2:$110,8,0),0)-IFERROR(HLOOKUP(D21,'סקרי נכסים-יתרות פתיחה'!$2:$110,92,0),0)*(1-D$309)</f>
        <v>0</v>
      </c>
      <c r="E122" s="1240">
        <f>+IFERROR(HLOOKUP(E21,'סקרי נכסים-יתרות פתיחה'!$2:$110,8,0),0)-IFERROR(HLOOKUP(E21,'סקרי נכסים-יתרות פתיחה'!$2:$110,92,0),0)*(1-E$309)</f>
        <v>0</v>
      </c>
      <c r="F122" s="1240">
        <f>+IFERROR(HLOOKUP(F21,'סקרי נכסים-יתרות פתיחה'!$2:$110,8,0),0)-IFERROR(HLOOKUP(F21,'סקרי נכסים-יתרות פתיחה'!$2:$110,92,0),0)*(1-F$309)</f>
        <v>0</v>
      </c>
      <c r="G122" s="1240">
        <f>+IFERROR(HLOOKUP(G21,'סקרי נכסים-יתרות פתיחה'!$2:$110,8,0),0)-IFERROR(HLOOKUP(G21,'סקרי נכסים-יתרות פתיחה'!$2:$110,92,0),0)*(1-G$309)</f>
        <v>0</v>
      </c>
      <c r="H122" s="1240">
        <f>+IFERROR(HLOOKUP(H21,'סקרי נכסים-יתרות פתיחה'!$2:$110,8,0),0)-IFERROR(HLOOKUP(H21,'סקרי נכסים-יתרות פתיחה'!$2:$110,92,0),0)*(1-H$309)</f>
        <v>0</v>
      </c>
      <c r="I122" s="1240">
        <f>+IFERROR(HLOOKUP(I21,'סקרי נכסים-יתרות פתיחה'!$2:$110,8,0),0)-IFERROR(HLOOKUP(I21,'סקרי נכסים-יתרות פתיחה'!$2:$110,92,0),0)*(1-I$309)</f>
        <v>0</v>
      </c>
      <c r="J122" s="1240">
        <f>+IFERROR(HLOOKUP(J21,'סקרי נכסים-יתרות פתיחה'!$2:$110,8,0),0)-IFERROR(HLOOKUP(J21,'סקרי נכסים-יתרות פתיחה'!$2:$110,92,0),0)*(1-J$309)</f>
        <v>0</v>
      </c>
      <c r="K122" s="1240">
        <f>+IFERROR(HLOOKUP(K21,'סקרי נכסים-יתרות פתיחה'!$2:$110,8,0),0)-IFERROR(HLOOKUP(K21,'סקרי נכסים-יתרות פתיחה'!$2:$110,92,0),0)*(1-K$309)</f>
        <v>0</v>
      </c>
      <c r="L122" s="1240">
        <f>+IFERROR(HLOOKUP(L21,'סקרי נכסים-יתרות פתיחה'!$2:$110,8,0),0)-IFERROR(HLOOKUP(L21,'סקרי נכסים-יתרות פתיחה'!$2:$110,92,0),0)*(1-L$309)</f>
        <v>0</v>
      </c>
      <c r="M122" s="1240">
        <f>+IFERROR(HLOOKUP(M21,'סקרי נכסים-יתרות פתיחה'!$2:$110,8,0),0)-IFERROR(HLOOKUP(M21,'סקרי נכסים-יתרות פתיחה'!$2:$110,92,0),0)*(1-M$309)</f>
        <v>0</v>
      </c>
      <c r="N122" s="1240">
        <f>+IFERROR(HLOOKUP(N21,'סקרי נכסים-יתרות פתיחה'!$2:$110,8,0),0)-IFERROR(HLOOKUP(N21,'סקרי נכסים-יתרות פתיחה'!$2:$110,92,0),0)*(1-N$309)</f>
        <v>0</v>
      </c>
      <c r="O122" s="1240">
        <f>+IFERROR(HLOOKUP(O21,'סקרי נכסים-יתרות פתיחה'!$2:$110,8,0),0)-IFERROR(HLOOKUP(O21,'סקרי נכסים-יתרות פתיחה'!$2:$110,92,0),0)*(1-O$309)</f>
        <v>0</v>
      </c>
      <c r="P122" s="1240">
        <f>+IFERROR(HLOOKUP(P21,'סקרי נכסים-יתרות פתיחה'!$2:$110,8,0),0)-IFERROR(HLOOKUP(P21,'סקרי נכסים-יתרות פתיחה'!$2:$110,92,0),0)*(1-P$309)</f>
        <v>0</v>
      </c>
      <c r="Q122" s="1240">
        <f>+IFERROR(HLOOKUP(Q21,'סקרי נכסים-יתרות פתיחה'!$2:$110,8,0),0)-IFERROR(HLOOKUP(Q21,'סקרי נכסים-יתרות פתיחה'!$2:$110,92,0),0)*(1-Q$309)</f>
        <v>0</v>
      </c>
      <c r="R122" s="1240">
        <f>+IFERROR(HLOOKUP(R21,'סקרי נכסים-יתרות פתיחה'!$2:$110,8,0),0)-IFERROR(HLOOKUP(R21,'סקרי נכסים-יתרות פתיחה'!$2:$110,92,0),0)*(1-R$309)</f>
        <v>0</v>
      </c>
      <c r="S122" s="1240">
        <f>+IFERROR(HLOOKUP(S21,'סקרי נכסים-יתרות פתיחה'!$2:$110,8,0),0)-IFERROR(HLOOKUP(S21,'סקרי נכסים-יתרות פתיחה'!$2:$110,92,0),0)*(1-S$309)</f>
        <v>0</v>
      </c>
      <c r="T122" s="1240">
        <f>+IFERROR(HLOOKUP(T21,'סקרי נכסים-יתרות פתיחה'!$2:$110,8,0),0)-IFERROR(HLOOKUP(T21,'סקרי נכסים-יתרות פתיחה'!$2:$110,92,0),0)*(1-T$309)</f>
        <v>0</v>
      </c>
      <c r="U122" s="1240">
        <f>+IFERROR(HLOOKUP(U21,'סקרי נכסים-יתרות פתיחה'!$2:$110,8,0),0)-IFERROR(HLOOKUP(U21,'סקרי נכסים-יתרות פתיחה'!$2:$110,92,0),0)*(1-U$309)</f>
        <v>0</v>
      </c>
      <c r="V122" s="1240">
        <f>+IFERROR(HLOOKUP(V21,'סקרי נכסים-יתרות פתיחה'!$2:$110,8,0),0)-IFERROR(HLOOKUP(V21,'סקרי נכסים-יתרות פתיחה'!$2:$110,92,0),0)*(1-V$309)</f>
        <v>0</v>
      </c>
      <c r="W122" s="1240">
        <f>+IFERROR(HLOOKUP(W21,'סקרי נכסים-יתרות פתיחה'!$2:$110,8,0),0)-IFERROR(HLOOKUP(W21,'סקרי נכסים-יתרות פתיחה'!$2:$110,92,0),0)*(1-W$309)</f>
        <v>0</v>
      </c>
      <c r="X122" s="1240">
        <f>+IFERROR(HLOOKUP(X21,'סקרי נכסים-יתרות פתיחה'!$2:$110,8,0),0)-IFERROR(HLOOKUP(X21,'סקרי נכסים-יתרות פתיחה'!$2:$110,92,0),0)*(1-X$309)</f>
        <v>0</v>
      </c>
      <c r="Y122" s="1240">
        <f>+IFERROR(HLOOKUP(Y21,'סקרי נכסים-יתרות פתיחה'!$2:$110,8,0),0)-IFERROR(HLOOKUP(Y21,'סקרי נכסים-יתרות פתיחה'!$2:$110,92,0),0)*(1-Y$309)</f>
        <v>0</v>
      </c>
      <c r="Z122" s="1240">
        <f>+IFERROR(HLOOKUP(Z21,'סקרי נכסים-יתרות פתיחה'!$2:$110,8,0),0)-IFERROR(HLOOKUP(Z21,'סקרי נכסים-יתרות פתיחה'!$2:$110,92,0),0)*(1-Z$309)</f>
        <v>0</v>
      </c>
      <c r="AA122" s="1240">
        <f>+IFERROR(HLOOKUP(AA21,'סקרי נכסים-יתרות פתיחה'!$2:$110,8,0),0)-IFERROR(HLOOKUP(AA21,'סקרי נכסים-יתרות פתיחה'!$2:$110,92,0),0)*(1-AA$309)</f>
        <v>0</v>
      </c>
      <c r="AB122" s="1240">
        <f>+IFERROR(HLOOKUP(AB21,'סקרי נכסים-יתרות פתיחה'!$2:$110,8,0),0)-IFERROR(HLOOKUP(AB21,'סקרי נכסים-יתרות פתיחה'!$2:$110,92,0),0)*(1-AB$309)</f>
        <v>0</v>
      </c>
      <c r="AC122" s="1240">
        <f>+IFERROR(HLOOKUP(AC21,'סקרי נכסים-יתרות פתיחה'!$2:$110,8,0),0)-IFERROR(HLOOKUP(AC21,'סקרי נכסים-יתרות פתיחה'!$2:$110,92,0),0)*(1-AC$309)</f>
        <v>0</v>
      </c>
      <c r="AD122" s="1240">
        <f>+IFERROR(HLOOKUP(AD21,'סקרי נכסים-יתרות פתיחה'!$2:$110,8,0),0)-IFERROR(HLOOKUP(AD21,'סקרי נכסים-יתרות פתיחה'!$2:$110,92,0),0)*(1-AD$309)</f>
        <v>0</v>
      </c>
      <c r="AE122" s="1240">
        <f>+IFERROR(HLOOKUP(AE21,'סקרי נכסים-יתרות פתיחה'!$2:$110,8,0),0)-IFERROR(HLOOKUP(AE21,'סקרי נכסים-יתרות פתיחה'!$2:$110,92,0),0)*(1-AE$309)</f>
        <v>0</v>
      </c>
      <c r="AF122" s="1240">
        <f>+IFERROR(HLOOKUP(AF21,'סקרי נכסים-יתרות פתיחה'!$2:$110,8,0),0)-IFERROR(HLOOKUP(AF21,'סקרי נכסים-יתרות פתיחה'!$2:$110,92,0),0)*(1-AF$309)</f>
        <v>0</v>
      </c>
      <c r="AG122" s="1240">
        <f>+IFERROR(HLOOKUP(AG21,'סקרי נכסים-יתרות פתיחה'!$2:$110,8,0),0)-IFERROR(HLOOKUP(AG21,'סקרי נכסים-יתרות פתיחה'!$2:$110,92,0),0)*(1-AG$309)</f>
        <v>0</v>
      </c>
      <c r="AH122" s="1240">
        <f>+IFERROR(HLOOKUP(AH21,'סקרי נכסים-יתרות פתיחה'!$2:$110,8,0),0)-IFERROR(HLOOKUP(AH21,'סקרי נכסים-יתרות פתיחה'!$2:$110,92,0),0)*(1-AH$309)</f>
        <v>0</v>
      </c>
      <c r="AI122" s="1240">
        <f>+IFERROR(HLOOKUP(AI21,'סקרי נכסים-יתרות פתיחה'!$2:$110,8,0),0)-IFERROR(HLOOKUP(AI21,'סקרי נכסים-יתרות פתיחה'!$2:$110,92,0),0)*(1-AI$309)</f>
        <v>0</v>
      </c>
      <c r="AJ122" s="1240">
        <f>+IFERROR(HLOOKUP(AJ21,'סקרי נכסים-יתרות פתיחה'!$2:$110,8,0),0)-IFERROR(HLOOKUP(AJ21,'סקרי נכסים-יתרות פתיחה'!$2:$110,92,0),0)*(1-AJ$309)</f>
        <v>0</v>
      </c>
      <c r="AK122" s="1240">
        <f>+IFERROR(HLOOKUP(AK21,'סקרי נכסים-יתרות פתיחה'!$2:$110,8,0),0)-IFERROR(HLOOKUP(AK21,'סקרי נכסים-יתרות פתיחה'!$2:$110,92,0),0)*(1-AK$309)</f>
        <v>0</v>
      </c>
      <c r="AL122" s="1240">
        <f>+IFERROR(HLOOKUP(AL21,'סקרי נכסים-יתרות פתיחה'!$2:$110,8,0),0)-IFERROR(HLOOKUP(AL21,'סקרי נכסים-יתרות פתיחה'!$2:$110,92,0),0)*(1-AL$309)</f>
        <v>0</v>
      </c>
      <c r="AM122" s="1240">
        <f>+IFERROR(HLOOKUP(AM21,'סקרי נכסים-יתרות פתיחה'!$2:$110,8,0),0)-IFERROR(HLOOKUP(AM21,'סקרי נכסים-יתרות פתיחה'!$2:$110,92,0),0)*(1-AM$309)</f>
        <v>0</v>
      </c>
      <c r="AN122" s="1240">
        <f>+IFERROR(HLOOKUP(AN21,'סקרי נכסים-יתרות פתיחה'!$2:$110,8,0),0)-IFERROR(HLOOKUP(AN21,'סקרי נכסים-יתרות פתיחה'!$2:$110,92,0),0)*(1-AN$309)</f>
        <v>0</v>
      </c>
      <c r="AO122" s="1240">
        <f>+IFERROR(HLOOKUP(AO21,'סקרי נכסים-יתרות פתיחה'!$2:$110,8,0),0)-IFERROR(HLOOKUP(AO21,'סקרי נכסים-יתרות פתיחה'!$2:$110,92,0),0)*(1-AO$309)</f>
        <v>0</v>
      </c>
      <c r="AP122" s="1240">
        <f>+IFERROR(HLOOKUP(AP21,'סקרי נכסים-יתרות פתיחה'!$2:$110,8,0),0)-IFERROR(HLOOKUP(AP21,'סקרי נכסים-יתרות פתיחה'!$2:$110,92,0),0)*(1-AP$309)</f>
        <v>0</v>
      </c>
      <c r="AQ122" s="1240">
        <f>+IFERROR(HLOOKUP(AQ21,'סקרי נכסים-יתרות פתיחה'!$2:$110,8,0),0)-IFERROR(HLOOKUP(AQ21,'סקרי נכסים-יתרות פתיחה'!$2:$110,92,0),0)*(1-AQ$309)</f>
        <v>0</v>
      </c>
      <c r="AR122" s="1240">
        <f>+IFERROR(HLOOKUP(AR21,'סקרי נכסים-יתרות פתיחה'!$2:$110,8,0),0)-IFERROR(HLOOKUP(AR21,'סקרי נכסים-יתרות פתיחה'!$2:$110,92,0),0)*(1-AR$309)</f>
        <v>0</v>
      </c>
      <c r="AS122" s="1240">
        <f>+IFERROR(HLOOKUP(AS21,'סקרי נכסים-יתרות פתיחה'!$2:$110,8,0),0)-IFERROR(HLOOKUP(AS21,'סקרי נכסים-יתרות פתיחה'!$2:$110,92,0),0)*(1-AS$309)</f>
        <v>0</v>
      </c>
      <c r="AT122" s="1240">
        <f>+IFERROR(HLOOKUP(AT21,'סקרי נכסים-יתרות פתיחה'!$2:$110,8,0),0)-IFERROR(HLOOKUP(AT21,'סקרי נכסים-יתרות פתיחה'!$2:$110,92,0),0)*(1-AT$309)</f>
        <v>0</v>
      </c>
      <c r="AU122" s="1240">
        <f>+IFERROR(HLOOKUP(AU21,'סקרי נכסים-יתרות פתיחה'!$2:$110,8,0),0)-IFERROR(HLOOKUP(AU21,'סקרי נכסים-יתרות פתיחה'!$2:$110,92,0),0)*(1-AU$309)</f>
        <v>0</v>
      </c>
      <c r="AV122" s="1240">
        <f>+IFERROR(HLOOKUP(AV21,'סקרי נכסים-יתרות פתיחה'!$2:$110,8,0),0)-IFERROR(HLOOKUP(AV21,'סקרי נכסים-יתרות פתיחה'!$2:$110,92,0),0)*(1-AV$309)</f>
        <v>0</v>
      </c>
      <c r="AW122" s="1240">
        <f>+IFERROR(HLOOKUP(AW21,'סקרי נכסים-יתרות פתיחה'!$2:$110,8,0),0)-IFERROR(HLOOKUP(AW21,'סקרי נכסים-יתרות פתיחה'!$2:$110,92,0),0)*(1-AW$309)</f>
        <v>0</v>
      </c>
      <c r="AX122" s="1240">
        <f>+IFERROR(HLOOKUP(AX21,'סקרי נכסים-יתרות פתיחה'!$2:$110,8,0),0)-IFERROR(HLOOKUP(AX21,'סקרי נכסים-יתרות פתיחה'!$2:$110,92,0),0)*(1-AX$309)</f>
        <v>0</v>
      </c>
      <c r="AY122" s="1240">
        <f>+IFERROR(HLOOKUP(AY21,'סקרי נכסים-יתרות פתיחה'!$2:$110,8,0),0)-IFERROR(HLOOKUP(AY21,'סקרי נכסים-יתרות פתיחה'!$2:$110,92,0),0)*(1-AY$309)</f>
        <v>0</v>
      </c>
      <c r="AZ122" s="1240">
        <f>+IFERROR(HLOOKUP(AZ21,'סקרי נכסים-יתרות פתיחה'!$2:$110,8,0),0)-IFERROR(HLOOKUP(AZ21,'סקרי נכסים-יתרות פתיחה'!$2:$110,92,0),0)*(1-AZ$309)</f>
        <v>0</v>
      </c>
      <c r="BA122" s="1240">
        <f>+IFERROR(HLOOKUP(BA21,'סקרי נכסים-יתרות פתיחה'!$2:$110,8,0),0)-IFERROR(HLOOKUP(BA21,'סקרי נכסים-יתרות פתיחה'!$2:$110,92,0),0)*(1-BA$309)</f>
        <v>0</v>
      </c>
      <c r="BB122" s="1240">
        <f>+IFERROR(HLOOKUP(BB21,'סקרי נכסים-יתרות פתיחה'!$2:$110,8,0),0)-IFERROR(HLOOKUP(BB21,'סקרי נכסים-יתרות פתיחה'!$2:$110,92,0),0)*(1-BB$309)</f>
        <v>0</v>
      </c>
      <c r="BC122" s="1240">
        <f>+IFERROR(HLOOKUP(BC21,'סקרי נכסים-יתרות פתיחה'!$2:$110,8,0),0)-IFERROR(HLOOKUP(BC21,'סקרי נכסים-יתרות פתיחה'!$2:$110,92,0),0)*(1-BC$309)</f>
        <v>0</v>
      </c>
      <c r="BD122" s="1240">
        <f>+IFERROR(HLOOKUP(BD21,'סקרי נכסים-יתרות פתיחה'!$2:$110,8,0),0)-IFERROR(HLOOKUP(BD21,'סקרי נכסים-יתרות פתיחה'!$2:$110,92,0),0)*(1-BD$309)</f>
        <v>0</v>
      </c>
      <c r="BE122" s="1240">
        <f>+IFERROR(HLOOKUP(BE21,'סקרי נכסים-יתרות פתיחה'!$2:$110,8,0),0)-IFERROR(HLOOKUP(BE21,'סקרי נכסים-יתרות פתיחה'!$2:$110,92,0),0)*(1-BE$309)</f>
        <v>0</v>
      </c>
      <c r="BF122" s="1240">
        <f>+IFERROR(HLOOKUP(BF21,'סקרי נכסים-יתרות פתיחה'!$2:$110,8,0),0)-IFERROR(HLOOKUP(BF21,'סקרי נכסים-יתרות פתיחה'!$2:$110,92,0),0)*(1-BF$309)</f>
        <v>0</v>
      </c>
    </row>
    <row r="123" spans="2:58" x14ac:dyDescent="0.2">
      <c r="B123" s="1">
        <v>19</v>
      </c>
      <c r="C123" s="1240">
        <f>+IFERROR(HLOOKUP(C22,'סקרי נכסים-יתרות פתיחה'!$2:$110,8,0),0)-IFERROR(HLOOKUP(C22,'סקרי נכסים-יתרות פתיחה'!$2:$110,92,0),0)*(1-C$309)</f>
        <v>0</v>
      </c>
      <c r="D123" s="1240">
        <f>+IFERROR(HLOOKUP(D22,'סקרי נכסים-יתרות פתיחה'!$2:$110,8,0),0)-IFERROR(HLOOKUP(D22,'סקרי נכסים-יתרות פתיחה'!$2:$110,92,0),0)*(1-D$309)</f>
        <v>0</v>
      </c>
      <c r="E123" s="1240">
        <f>+IFERROR(HLOOKUP(E22,'סקרי נכסים-יתרות פתיחה'!$2:$110,8,0),0)-IFERROR(HLOOKUP(E22,'סקרי נכסים-יתרות פתיחה'!$2:$110,92,0),0)*(1-E$309)</f>
        <v>0</v>
      </c>
      <c r="F123" s="1240">
        <f>+IFERROR(HLOOKUP(F22,'סקרי נכסים-יתרות פתיחה'!$2:$110,8,0),0)-IFERROR(HLOOKUP(F22,'סקרי נכסים-יתרות פתיחה'!$2:$110,92,0),0)*(1-F$309)</f>
        <v>0</v>
      </c>
      <c r="G123" s="1240">
        <f>+IFERROR(HLOOKUP(G22,'סקרי נכסים-יתרות פתיחה'!$2:$110,8,0),0)-IFERROR(HLOOKUP(G22,'סקרי נכסים-יתרות פתיחה'!$2:$110,92,0),0)*(1-G$309)</f>
        <v>0</v>
      </c>
      <c r="H123" s="1240">
        <f>+IFERROR(HLOOKUP(H22,'סקרי נכסים-יתרות פתיחה'!$2:$110,8,0),0)-IFERROR(HLOOKUP(H22,'סקרי נכסים-יתרות פתיחה'!$2:$110,92,0),0)*(1-H$309)</f>
        <v>0</v>
      </c>
      <c r="I123" s="1240">
        <f>+IFERROR(HLOOKUP(I22,'סקרי נכסים-יתרות פתיחה'!$2:$110,8,0),0)-IFERROR(HLOOKUP(I22,'סקרי נכסים-יתרות פתיחה'!$2:$110,92,0),0)*(1-I$309)</f>
        <v>0</v>
      </c>
      <c r="J123" s="1240">
        <f>+IFERROR(HLOOKUP(J22,'סקרי נכסים-יתרות פתיחה'!$2:$110,8,0),0)-IFERROR(HLOOKUP(J22,'סקרי נכסים-יתרות פתיחה'!$2:$110,92,0),0)*(1-J$309)</f>
        <v>0</v>
      </c>
      <c r="K123" s="1240">
        <f>+IFERROR(HLOOKUP(K22,'סקרי נכסים-יתרות פתיחה'!$2:$110,8,0),0)-IFERROR(HLOOKUP(K22,'סקרי נכסים-יתרות פתיחה'!$2:$110,92,0),0)*(1-K$309)</f>
        <v>0</v>
      </c>
      <c r="L123" s="1240">
        <f>+IFERROR(HLOOKUP(L22,'סקרי נכסים-יתרות פתיחה'!$2:$110,8,0),0)-IFERROR(HLOOKUP(L22,'סקרי נכסים-יתרות פתיחה'!$2:$110,92,0),0)*(1-L$309)</f>
        <v>0</v>
      </c>
      <c r="M123" s="1240">
        <f>+IFERROR(HLOOKUP(M22,'סקרי נכסים-יתרות פתיחה'!$2:$110,8,0),0)-IFERROR(HLOOKUP(M22,'סקרי נכסים-יתרות פתיחה'!$2:$110,92,0),0)*(1-M$309)</f>
        <v>0</v>
      </c>
      <c r="N123" s="1240">
        <f>+IFERROR(HLOOKUP(N22,'סקרי נכסים-יתרות פתיחה'!$2:$110,8,0),0)-IFERROR(HLOOKUP(N22,'סקרי נכסים-יתרות פתיחה'!$2:$110,92,0),0)*(1-N$309)</f>
        <v>0</v>
      </c>
      <c r="O123" s="1240">
        <f>+IFERROR(HLOOKUP(O22,'סקרי נכסים-יתרות פתיחה'!$2:$110,8,0),0)-IFERROR(HLOOKUP(O22,'סקרי נכסים-יתרות פתיחה'!$2:$110,92,0),0)*(1-O$309)</f>
        <v>0</v>
      </c>
      <c r="P123" s="1240">
        <f>+IFERROR(HLOOKUP(P22,'סקרי נכסים-יתרות פתיחה'!$2:$110,8,0),0)-IFERROR(HLOOKUP(P22,'סקרי נכסים-יתרות פתיחה'!$2:$110,92,0),0)*(1-P$309)</f>
        <v>0</v>
      </c>
      <c r="Q123" s="1240">
        <f>+IFERROR(HLOOKUP(Q22,'סקרי נכסים-יתרות פתיחה'!$2:$110,8,0),0)-IFERROR(HLOOKUP(Q22,'סקרי נכסים-יתרות פתיחה'!$2:$110,92,0),0)*(1-Q$309)</f>
        <v>0</v>
      </c>
      <c r="R123" s="1240">
        <f>+IFERROR(HLOOKUP(R22,'סקרי נכסים-יתרות פתיחה'!$2:$110,8,0),0)-IFERROR(HLOOKUP(R22,'סקרי נכסים-יתרות פתיחה'!$2:$110,92,0),0)*(1-R$309)</f>
        <v>0</v>
      </c>
      <c r="S123" s="1240">
        <f>+IFERROR(HLOOKUP(S22,'סקרי נכסים-יתרות פתיחה'!$2:$110,8,0),0)-IFERROR(HLOOKUP(S22,'סקרי נכסים-יתרות פתיחה'!$2:$110,92,0),0)*(1-S$309)</f>
        <v>0</v>
      </c>
      <c r="T123" s="1240">
        <f>+IFERROR(HLOOKUP(T22,'סקרי נכסים-יתרות פתיחה'!$2:$110,8,0),0)-IFERROR(HLOOKUP(T22,'סקרי נכסים-יתרות פתיחה'!$2:$110,92,0),0)*(1-T$309)</f>
        <v>0</v>
      </c>
      <c r="U123" s="1240">
        <f>+IFERROR(HLOOKUP(U22,'סקרי נכסים-יתרות פתיחה'!$2:$110,8,0),0)-IFERROR(HLOOKUP(U22,'סקרי נכסים-יתרות פתיחה'!$2:$110,92,0),0)*(1-U$309)</f>
        <v>0</v>
      </c>
      <c r="V123" s="1240">
        <f>+IFERROR(HLOOKUP(V22,'סקרי נכסים-יתרות פתיחה'!$2:$110,8,0),0)-IFERROR(HLOOKUP(V22,'סקרי נכסים-יתרות פתיחה'!$2:$110,92,0),0)*(1-V$309)</f>
        <v>0</v>
      </c>
      <c r="W123" s="1240">
        <f>+IFERROR(HLOOKUP(W22,'סקרי נכסים-יתרות פתיחה'!$2:$110,8,0),0)-IFERROR(HLOOKUP(W22,'סקרי נכסים-יתרות פתיחה'!$2:$110,92,0),0)*(1-W$309)</f>
        <v>0</v>
      </c>
      <c r="X123" s="1240">
        <f>+IFERROR(HLOOKUP(X22,'סקרי נכסים-יתרות פתיחה'!$2:$110,8,0),0)-IFERROR(HLOOKUP(X22,'סקרי נכסים-יתרות פתיחה'!$2:$110,92,0),0)*(1-X$309)</f>
        <v>0</v>
      </c>
      <c r="Y123" s="1240">
        <f>+IFERROR(HLOOKUP(Y22,'סקרי נכסים-יתרות פתיחה'!$2:$110,8,0),0)-IFERROR(HLOOKUP(Y22,'סקרי נכסים-יתרות פתיחה'!$2:$110,92,0),0)*(1-Y$309)</f>
        <v>0</v>
      </c>
      <c r="Z123" s="1240">
        <f>+IFERROR(HLOOKUP(Z22,'סקרי נכסים-יתרות פתיחה'!$2:$110,8,0),0)-IFERROR(HLOOKUP(Z22,'סקרי נכסים-יתרות פתיחה'!$2:$110,92,0),0)*(1-Z$309)</f>
        <v>0</v>
      </c>
      <c r="AA123" s="1240">
        <f>+IFERROR(HLOOKUP(AA22,'סקרי נכסים-יתרות פתיחה'!$2:$110,8,0),0)-IFERROR(HLOOKUP(AA22,'סקרי נכסים-יתרות פתיחה'!$2:$110,92,0),0)*(1-AA$309)</f>
        <v>0</v>
      </c>
      <c r="AB123" s="1240">
        <f>+IFERROR(HLOOKUP(AB22,'סקרי נכסים-יתרות פתיחה'!$2:$110,8,0),0)-IFERROR(HLOOKUP(AB22,'סקרי נכסים-יתרות פתיחה'!$2:$110,92,0),0)*(1-AB$309)</f>
        <v>0</v>
      </c>
      <c r="AC123" s="1240">
        <f>+IFERROR(HLOOKUP(AC22,'סקרי נכסים-יתרות פתיחה'!$2:$110,8,0),0)-IFERROR(HLOOKUP(AC22,'סקרי נכסים-יתרות פתיחה'!$2:$110,92,0),0)*(1-AC$309)</f>
        <v>0</v>
      </c>
      <c r="AD123" s="1240">
        <f>+IFERROR(HLOOKUP(AD22,'סקרי נכסים-יתרות פתיחה'!$2:$110,8,0),0)-IFERROR(HLOOKUP(AD22,'סקרי נכסים-יתרות פתיחה'!$2:$110,92,0),0)*(1-AD$309)</f>
        <v>0</v>
      </c>
      <c r="AE123" s="1240">
        <f>+IFERROR(HLOOKUP(AE22,'סקרי נכסים-יתרות פתיחה'!$2:$110,8,0),0)-IFERROR(HLOOKUP(AE22,'סקרי נכסים-יתרות פתיחה'!$2:$110,92,0),0)*(1-AE$309)</f>
        <v>0</v>
      </c>
      <c r="AF123" s="1240">
        <f>+IFERROR(HLOOKUP(AF22,'סקרי נכסים-יתרות פתיחה'!$2:$110,8,0),0)-IFERROR(HLOOKUP(AF22,'סקרי נכסים-יתרות פתיחה'!$2:$110,92,0),0)*(1-AF$309)</f>
        <v>0</v>
      </c>
      <c r="AG123" s="1240">
        <f>+IFERROR(HLOOKUP(AG22,'סקרי נכסים-יתרות פתיחה'!$2:$110,8,0),0)-IFERROR(HLOOKUP(AG22,'סקרי נכסים-יתרות פתיחה'!$2:$110,92,0),0)*(1-AG$309)</f>
        <v>0</v>
      </c>
      <c r="AH123" s="1240">
        <f>+IFERROR(HLOOKUP(AH22,'סקרי נכסים-יתרות פתיחה'!$2:$110,8,0),0)-IFERROR(HLOOKUP(AH22,'סקרי נכסים-יתרות פתיחה'!$2:$110,92,0),0)*(1-AH$309)</f>
        <v>0</v>
      </c>
      <c r="AI123" s="1240">
        <f>+IFERROR(HLOOKUP(AI22,'סקרי נכסים-יתרות פתיחה'!$2:$110,8,0),0)-IFERROR(HLOOKUP(AI22,'סקרי נכסים-יתרות פתיחה'!$2:$110,92,0),0)*(1-AI$309)</f>
        <v>0</v>
      </c>
      <c r="AJ123" s="1240">
        <f>+IFERROR(HLOOKUP(AJ22,'סקרי נכסים-יתרות פתיחה'!$2:$110,8,0),0)-IFERROR(HLOOKUP(AJ22,'סקרי נכסים-יתרות פתיחה'!$2:$110,92,0),0)*(1-AJ$309)</f>
        <v>0</v>
      </c>
      <c r="AK123" s="1240">
        <f>+IFERROR(HLOOKUP(AK22,'סקרי נכסים-יתרות פתיחה'!$2:$110,8,0),0)-IFERROR(HLOOKUP(AK22,'סקרי נכסים-יתרות פתיחה'!$2:$110,92,0),0)*(1-AK$309)</f>
        <v>0</v>
      </c>
      <c r="AL123" s="1240">
        <f>+IFERROR(HLOOKUP(AL22,'סקרי נכסים-יתרות פתיחה'!$2:$110,8,0),0)-IFERROR(HLOOKUP(AL22,'סקרי נכסים-יתרות פתיחה'!$2:$110,92,0),0)*(1-AL$309)</f>
        <v>0</v>
      </c>
      <c r="AM123" s="1240">
        <f>+IFERROR(HLOOKUP(AM22,'סקרי נכסים-יתרות פתיחה'!$2:$110,8,0),0)-IFERROR(HLOOKUP(AM22,'סקרי נכסים-יתרות פתיחה'!$2:$110,92,0),0)*(1-AM$309)</f>
        <v>0</v>
      </c>
      <c r="AN123" s="1240">
        <f>+IFERROR(HLOOKUP(AN22,'סקרי נכסים-יתרות פתיחה'!$2:$110,8,0),0)-IFERROR(HLOOKUP(AN22,'סקרי נכסים-יתרות פתיחה'!$2:$110,92,0),0)*(1-AN$309)</f>
        <v>0</v>
      </c>
      <c r="AO123" s="1240">
        <f>+IFERROR(HLOOKUP(AO22,'סקרי נכסים-יתרות פתיחה'!$2:$110,8,0),0)-IFERROR(HLOOKUP(AO22,'סקרי נכסים-יתרות פתיחה'!$2:$110,92,0),0)*(1-AO$309)</f>
        <v>0</v>
      </c>
      <c r="AP123" s="1240">
        <f>+IFERROR(HLOOKUP(AP22,'סקרי נכסים-יתרות פתיחה'!$2:$110,8,0),0)-IFERROR(HLOOKUP(AP22,'סקרי נכסים-יתרות פתיחה'!$2:$110,92,0),0)*(1-AP$309)</f>
        <v>0</v>
      </c>
      <c r="AQ123" s="1240">
        <f>+IFERROR(HLOOKUP(AQ22,'סקרי נכסים-יתרות פתיחה'!$2:$110,8,0),0)-IFERROR(HLOOKUP(AQ22,'סקרי נכסים-יתרות פתיחה'!$2:$110,92,0),0)*(1-AQ$309)</f>
        <v>0</v>
      </c>
      <c r="AR123" s="1240">
        <f>+IFERROR(HLOOKUP(AR22,'סקרי נכסים-יתרות פתיחה'!$2:$110,8,0),0)-IFERROR(HLOOKUP(AR22,'סקרי נכסים-יתרות פתיחה'!$2:$110,92,0),0)*(1-AR$309)</f>
        <v>0</v>
      </c>
      <c r="AS123" s="1240">
        <f>+IFERROR(HLOOKUP(AS22,'סקרי נכסים-יתרות פתיחה'!$2:$110,8,0),0)-IFERROR(HLOOKUP(AS22,'סקרי נכסים-יתרות פתיחה'!$2:$110,92,0),0)*(1-AS$309)</f>
        <v>0</v>
      </c>
      <c r="AT123" s="1240">
        <f>+IFERROR(HLOOKUP(AT22,'סקרי נכסים-יתרות פתיחה'!$2:$110,8,0),0)-IFERROR(HLOOKUP(AT22,'סקרי נכסים-יתרות פתיחה'!$2:$110,92,0),0)*(1-AT$309)</f>
        <v>0</v>
      </c>
      <c r="AU123" s="1240">
        <f>+IFERROR(HLOOKUP(AU22,'סקרי נכסים-יתרות פתיחה'!$2:$110,8,0),0)-IFERROR(HLOOKUP(AU22,'סקרי נכסים-יתרות פתיחה'!$2:$110,92,0),0)*(1-AU$309)</f>
        <v>0</v>
      </c>
      <c r="AV123" s="1240">
        <f>+IFERROR(HLOOKUP(AV22,'סקרי נכסים-יתרות פתיחה'!$2:$110,8,0),0)-IFERROR(HLOOKUP(AV22,'סקרי נכסים-יתרות פתיחה'!$2:$110,92,0),0)*(1-AV$309)</f>
        <v>0</v>
      </c>
      <c r="AW123" s="1240">
        <f>+IFERROR(HLOOKUP(AW22,'סקרי נכסים-יתרות פתיחה'!$2:$110,8,0),0)-IFERROR(HLOOKUP(AW22,'סקרי נכסים-יתרות פתיחה'!$2:$110,92,0),0)*(1-AW$309)</f>
        <v>0</v>
      </c>
      <c r="AX123" s="1240">
        <f>+IFERROR(HLOOKUP(AX22,'סקרי נכסים-יתרות פתיחה'!$2:$110,8,0),0)-IFERROR(HLOOKUP(AX22,'סקרי נכסים-יתרות פתיחה'!$2:$110,92,0),0)*(1-AX$309)</f>
        <v>0</v>
      </c>
      <c r="AY123" s="1240">
        <f>+IFERROR(HLOOKUP(AY22,'סקרי נכסים-יתרות פתיחה'!$2:$110,8,0),0)-IFERROR(HLOOKUP(AY22,'סקרי נכסים-יתרות פתיחה'!$2:$110,92,0),0)*(1-AY$309)</f>
        <v>0</v>
      </c>
      <c r="AZ123" s="1240">
        <f>+IFERROR(HLOOKUP(AZ22,'סקרי נכסים-יתרות פתיחה'!$2:$110,8,0),0)-IFERROR(HLOOKUP(AZ22,'סקרי נכסים-יתרות פתיחה'!$2:$110,92,0),0)*(1-AZ$309)</f>
        <v>0</v>
      </c>
      <c r="BA123" s="1240">
        <f>+IFERROR(HLOOKUP(BA22,'סקרי נכסים-יתרות פתיחה'!$2:$110,8,0),0)-IFERROR(HLOOKUP(BA22,'סקרי נכסים-יתרות פתיחה'!$2:$110,92,0),0)*(1-BA$309)</f>
        <v>0</v>
      </c>
      <c r="BB123" s="1240">
        <f>+IFERROR(HLOOKUP(BB22,'סקרי נכסים-יתרות פתיחה'!$2:$110,8,0),0)-IFERROR(HLOOKUP(BB22,'סקרי נכסים-יתרות פתיחה'!$2:$110,92,0),0)*(1-BB$309)</f>
        <v>0</v>
      </c>
      <c r="BC123" s="1240">
        <f>+IFERROR(HLOOKUP(BC22,'סקרי נכסים-יתרות פתיחה'!$2:$110,8,0),0)-IFERROR(HLOOKUP(BC22,'סקרי נכסים-יתרות פתיחה'!$2:$110,92,0),0)*(1-BC$309)</f>
        <v>0</v>
      </c>
      <c r="BD123" s="1240">
        <f>+IFERROR(HLOOKUP(BD22,'סקרי נכסים-יתרות פתיחה'!$2:$110,8,0),0)-IFERROR(HLOOKUP(BD22,'סקרי נכסים-יתרות פתיחה'!$2:$110,92,0),0)*(1-BD$309)</f>
        <v>0</v>
      </c>
      <c r="BE123" s="1240">
        <f>+IFERROR(HLOOKUP(BE22,'סקרי נכסים-יתרות פתיחה'!$2:$110,8,0),0)-IFERROR(HLOOKUP(BE22,'סקרי נכסים-יתרות פתיחה'!$2:$110,92,0),0)*(1-BE$309)</f>
        <v>0</v>
      </c>
      <c r="BF123" s="1240">
        <f>+IFERROR(HLOOKUP(BF22,'סקרי נכסים-יתרות פתיחה'!$2:$110,8,0),0)-IFERROR(HLOOKUP(BF22,'סקרי נכסים-יתרות פתיחה'!$2:$110,92,0),0)*(1-BF$309)</f>
        <v>0</v>
      </c>
    </row>
    <row r="124" spans="2:58" x14ac:dyDescent="0.2">
      <c r="B124" s="1">
        <v>20</v>
      </c>
      <c r="C124" s="1240">
        <f>+IFERROR(HLOOKUP(C23,'סקרי נכסים-יתרות פתיחה'!$2:$110,8,0),0)-IFERROR(HLOOKUP(C23,'סקרי נכסים-יתרות פתיחה'!$2:$110,92,0),0)*(1-C$309)</f>
        <v>0</v>
      </c>
      <c r="D124" s="1240">
        <f>+IFERROR(HLOOKUP(D23,'סקרי נכסים-יתרות פתיחה'!$2:$110,8,0),0)-IFERROR(HLOOKUP(D23,'סקרי נכסים-יתרות פתיחה'!$2:$110,92,0),0)*(1-D$309)</f>
        <v>0</v>
      </c>
      <c r="E124" s="1240">
        <f>+IFERROR(HLOOKUP(E23,'סקרי נכסים-יתרות פתיחה'!$2:$110,8,0),0)-IFERROR(HLOOKUP(E23,'סקרי נכסים-יתרות פתיחה'!$2:$110,92,0),0)*(1-E$309)</f>
        <v>0</v>
      </c>
      <c r="F124" s="1240">
        <f>+IFERROR(HLOOKUP(F23,'סקרי נכסים-יתרות פתיחה'!$2:$110,8,0),0)-IFERROR(HLOOKUP(F23,'סקרי נכסים-יתרות פתיחה'!$2:$110,92,0),0)*(1-F$309)</f>
        <v>0</v>
      </c>
      <c r="G124" s="1240">
        <f>+IFERROR(HLOOKUP(G23,'סקרי נכסים-יתרות פתיחה'!$2:$110,8,0),0)-IFERROR(HLOOKUP(G23,'סקרי נכסים-יתרות פתיחה'!$2:$110,92,0),0)*(1-G$309)</f>
        <v>0</v>
      </c>
      <c r="H124" s="1240">
        <f>+IFERROR(HLOOKUP(H23,'סקרי נכסים-יתרות פתיחה'!$2:$110,8,0),0)-IFERROR(HLOOKUP(H23,'סקרי נכסים-יתרות פתיחה'!$2:$110,92,0),0)*(1-H$309)</f>
        <v>0</v>
      </c>
      <c r="I124" s="1240">
        <f>+IFERROR(HLOOKUP(I23,'סקרי נכסים-יתרות פתיחה'!$2:$110,8,0),0)-IFERROR(HLOOKUP(I23,'סקרי נכסים-יתרות פתיחה'!$2:$110,92,0),0)*(1-I$309)</f>
        <v>0</v>
      </c>
      <c r="J124" s="1240">
        <f>+IFERROR(HLOOKUP(J23,'סקרי נכסים-יתרות פתיחה'!$2:$110,8,0),0)-IFERROR(HLOOKUP(J23,'סקרי נכסים-יתרות פתיחה'!$2:$110,92,0),0)*(1-J$309)</f>
        <v>0</v>
      </c>
      <c r="K124" s="1240">
        <f>+IFERROR(HLOOKUP(K23,'סקרי נכסים-יתרות פתיחה'!$2:$110,8,0),0)-IFERROR(HLOOKUP(K23,'סקרי נכסים-יתרות פתיחה'!$2:$110,92,0),0)*(1-K$309)</f>
        <v>0</v>
      </c>
      <c r="L124" s="1240">
        <f>+IFERROR(HLOOKUP(L23,'סקרי נכסים-יתרות פתיחה'!$2:$110,8,0),0)-IFERROR(HLOOKUP(L23,'סקרי נכסים-יתרות פתיחה'!$2:$110,92,0),0)*(1-L$309)</f>
        <v>0</v>
      </c>
      <c r="M124" s="1240">
        <f>+IFERROR(HLOOKUP(M23,'סקרי נכסים-יתרות פתיחה'!$2:$110,8,0),0)-IFERROR(HLOOKUP(M23,'סקרי נכסים-יתרות פתיחה'!$2:$110,92,0),0)*(1-M$309)</f>
        <v>0</v>
      </c>
      <c r="N124" s="1240">
        <f>+IFERROR(HLOOKUP(N23,'סקרי נכסים-יתרות פתיחה'!$2:$110,8,0),0)-IFERROR(HLOOKUP(N23,'סקרי נכסים-יתרות פתיחה'!$2:$110,92,0),0)*(1-N$309)</f>
        <v>0</v>
      </c>
      <c r="O124" s="1240">
        <f>+IFERROR(HLOOKUP(O23,'סקרי נכסים-יתרות פתיחה'!$2:$110,8,0),0)-IFERROR(HLOOKUP(O23,'סקרי נכסים-יתרות פתיחה'!$2:$110,92,0),0)*(1-O$309)</f>
        <v>0</v>
      </c>
      <c r="P124" s="1240">
        <f>+IFERROR(HLOOKUP(P23,'סקרי נכסים-יתרות פתיחה'!$2:$110,8,0),0)-IFERROR(HLOOKUP(P23,'סקרי נכסים-יתרות פתיחה'!$2:$110,92,0),0)*(1-P$309)</f>
        <v>0</v>
      </c>
      <c r="Q124" s="1240">
        <f>+IFERROR(HLOOKUP(Q23,'סקרי נכסים-יתרות פתיחה'!$2:$110,8,0),0)-IFERROR(HLOOKUP(Q23,'סקרי נכסים-יתרות פתיחה'!$2:$110,92,0),0)*(1-Q$309)</f>
        <v>0</v>
      </c>
      <c r="R124" s="1240">
        <f>+IFERROR(HLOOKUP(R23,'סקרי נכסים-יתרות פתיחה'!$2:$110,8,0),0)-IFERROR(HLOOKUP(R23,'סקרי נכסים-יתרות פתיחה'!$2:$110,92,0),0)*(1-R$309)</f>
        <v>0</v>
      </c>
      <c r="S124" s="1240">
        <f>+IFERROR(HLOOKUP(S23,'סקרי נכסים-יתרות פתיחה'!$2:$110,8,0),0)-IFERROR(HLOOKUP(S23,'סקרי נכסים-יתרות פתיחה'!$2:$110,92,0),0)*(1-S$309)</f>
        <v>0</v>
      </c>
      <c r="T124" s="1240">
        <f>+IFERROR(HLOOKUP(T23,'סקרי נכסים-יתרות פתיחה'!$2:$110,8,0),0)-IFERROR(HLOOKUP(T23,'סקרי נכסים-יתרות פתיחה'!$2:$110,92,0),0)*(1-T$309)</f>
        <v>0</v>
      </c>
      <c r="U124" s="1240">
        <f>+IFERROR(HLOOKUP(U23,'סקרי נכסים-יתרות פתיחה'!$2:$110,8,0),0)-IFERROR(HLOOKUP(U23,'סקרי נכסים-יתרות פתיחה'!$2:$110,92,0),0)*(1-U$309)</f>
        <v>0</v>
      </c>
      <c r="V124" s="1240">
        <f>+IFERROR(HLOOKUP(V23,'סקרי נכסים-יתרות פתיחה'!$2:$110,8,0),0)-IFERROR(HLOOKUP(V23,'סקרי נכסים-יתרות פתיחה'!$2:$110,92,0),0)*(1-V$309)</f>
        <v>0</v>
      </c>
      <c r="W124" s="1240">
        <f>+IFERROR(HLOOKUP(W23,'סקרי נכסים-יתרות פתיחה'!$2:$110,8,0),0)-IFERROR(HLOOKUP(W23,'סקרי נכסים-יתרות פתיחה'!$2:$110,92,0),0)*(1-W$309)</f>
        <v>0</v>
      </c>
      <c r="X124" s="1240">
        <f>+IFERROR(HLOOKUP(X23,'סקרי נכסים-יתרות פתיחה'!$2:$110,8,0),0)-IFERROR(HLOOKUP(X23,'סקרי נכסים-יתרות פתיחה'!$2:$110,92,0),0)*(1-X$309)</f>
        <v>0</v>
      </c>
      <c r="Y124" s="1240">
        <f>+IFERROR(HLOOKUP(Y23,'סקרי נכסים-יתרות פתיחה'!$2:$110,8,0),0)-IFERROR(HLOOKUP(Y23,'סקרי נכסים-יתרות פתיחה'!$2:$110,92,0),0)*(1-Y$309)</f>
        <v>0</v>
      </c>
      <c r="Z124" s="1240">
        <f>+IFERROR(HLOOKUP(Z23,'סקרי נכסים-יתרות פתיחה'!$2:$110,8,0),0)-IFERROR(HLOOKUP(Z23,'סקרי נכסים-יתרות פתיחה'!$2:$110,92,0),0)*(1-Z$309)</f>
        <v>0</v>
      </c>
      <c r="AA124" s="1240">
        <f>+IFERROR(HLOOKUP(AA23,'סקרי נכסים-יתרות פתיחה'!$2:$110,8,0),0)-IFERROR(HLOOKUP(AA23,'סקרי נכסים-יתרות פתיחה'!$2:$110,92,0),0)*(1-AA$309)</f>
        <v>0</v>
      </c>
      <c r="AB124" s="1240">
        <f>+IFERROR(HLOOKUP(AB23,'סקרי נכסים-יתרות פתיחה'!$2:$110,8,0),0)-IFERROR(HLOOKUP(AB23,'סקרי נכסים-יתרות פתיחה'!$2:$110,92,0),0)*(1-AB$309)</f>
        <v>0</v>
      </c>
      <c r="AC124" s="1240">
        <f>+IFERROR(HLOOKUP(AC23,'סקרי נכסים-יתרות פתיחה'!$2:$110,8,0),0)-IFERROR(HLOOKUP(AC23,'סקרי נכסים-יתרות פתיחה'!$2:$110,92,0),0)*(1-AC$309)</f>
        <v>0</v>
      </c>
      <c r="AD124" s="1240">
        <f>+IFERROR(HLOOKUP(AD23,'סקרי נכסים-יתרות פתיחה'!$2:$110,8,0),0)-IFERROR(HLOOKUP(AD23,'סקרי נכסים-יתרות פתיחה'!$2:$110,92,0),0)*(1-AD$309)</f>
        <v>0</v>
      </c>
      <c r="AE124" s="1240">
        <f>+IFERROR(HLOOKUP(AE23,'סקרי נכסים-יתרות פתיחה'!$2:$110,8,0),0)-IFERROR(HLOOKUP(AE23,'סקרי נכסים-יתרות פתיחה'!$2:$110,92,0),0)*(1-AE$309)</f>
        <v>0</v>
      </c>
      <c r="AF124" s="1240">
        <f>+IFERROR(HLOOKUP(AF23,'סקרי נכסים-יתרות פתיחה'!$2:$110,8,0),0)-IFERROR(HLOOKUP(AF23,'סקרי נכסים-יתרות פתיחה'!$2:$110,92,0),0)*(1-AF$309)</f>
        <v>0</v>
      </c>
      <c r="AG124" s="1240">
        <f>+IFERROR(HLOOKUP(AG23,'סקרי נכסים-יתרות פתיחה'!$2:$110,8,0),0)-IFERROR(HLOOKUP(AG23,'סקרי נכסים-יתרות פתיחה'!$2:$110,92,0),0)*(1-AG$309)</f>
        <v>0</v>
      </c>
      <c r="AH124" s="1240">
        <f>+IFERROR(HLOOKUP(AH23,'סקרי נכסים-יתרות פתיחה'!$2:$110,8,0),0)-IFERROR(HLOOKUP(AH23,'סקרי נכסים-יתרות פתיחה'!$2:$110,92,0),0)*(1-AH$309)</f>
        <v>0</v>
      </c>
      <c r="AI124" s="1240">
        <f>+IFERROR(HLOOKUP(AI23,'סקרי נכסים-יתרות פתיחה'!$2:$110,8,0),0)-IFERROR(HLOOKUP(AI23,'סקרי נכסים-יתרות פתיחה'!$2:$110,92,0),0)*(1-AI$309)</f>
        <v>0</v>
      </c>
      <c r="AJ124" s="1240">
        <f>+IFERROR(HLOOKUP(AJ23,'סקרי נכסים-יתרות פתיחה'!$2:$110,8,0),0)-IFERROR(HLOOKUP(AJ23,'סקרי נכסים-יתרות פתיחה'!$2:$110,92,0),0)*(1-AJ$309)</f>
        <v>0</v>
      </c>
      <c r="AK124" s="1240">
        <f>+IFERROR(HLOOKUP(AK23,'סקרי נכסים-יתרות פתיחה'!$2:$110,8,0),0)-IFERROR(HLOOKUP(AK23,'סקרי נכסים-יתרות פתיחה'!$2:$110,92,0),0)*(1-AK$309)</f>
        <v>0</v>
      </c>
      <c r="AL124" s="1240">
        <f>+IFERROR(HLOOKUP(AL23,'סקרי נכסים-יתרות פתיחה'!$2:$110,8,0),0)-IFERROR(HLOOKUP(AL23,'סקרי נכסים-יתרות פתיחה'!$2:$110,92,0),0)*(1-AL$309)</f>
        <v>0</v>
      </c>
      <c r="AM124" s="1240">
        <f>+IFERROR(HLOOKUP(AM23,'סקרי נכסים-יתרות פתיחה'!$2:$110,8,0),0)-IFERROR(HLOOKUP(AM23,'סקרי נכסים-יתרות פתיחה'!$2:$110,92,0),0)*(1-AM$309)</f>
        <v>0</v>
      </c>
      <c r="AN124" s="1240">
        <f>+IFERROR(HLOOKUP(AN23,'סקרי נכסים-יתרות פתיחה'!$2:$110,8,0),0)-IFERROR(HLOOKUP(AN23,'סקרי נכסים-יתרות פתיחה'!$2:$110,92,0),0)*(1-AN$309)</f>
        <v>0</v>
      </c>
      <c r="AO124" s="1240">
        <f>+IFERROR(HLOOKUP(AO23,'סקרי נכסים-יתרות פתיחה'!$2:$110,8,0),0)-IFERROR(HLOOKUP(AO23,'סקרי נכסים-יתרות פתיחה'!$2:$110,92,0),0)*(1-AO$309)</f>
        <v>0</v>
      </c>
      <c r="AP124" s="1240">
        <f>+IFERROR(HLOOKUP(AP23,'סקרי נכסים-יתרות פתיחה'!$2:$110,8,0),0)-IFERROR(HLOOKUP(AP23,'סקרי נכסים-יתרות פתיחה'!$2:$110,92,0),0)*(1-AP$309)</f>
        <v>0</v>
      </c>
      <c r="AQ124" s="1240">
        <f>+IFERROR(HLOOKUP(AQ23,'סקרי נכסים-יתרות פתיחה'!$2:$110,8,0),0)-IFERROR(HLOOKUP(AQ23,'סקרי נכסים-יתרות פתיחה'!$2:$110,92,0),0)*(1-AQ$309)</f>
        <v>0</v>
      </c>
      <c r="AR124" s="1240">
        <f>+IFERROR(HLOOKUP(AR23,'סקרי נכסים-יתרות פתיחה'!$2:$110,8,0),0)-IFERROR(HLOOKUP(AR23,'סקרי נכסים-יתרות פתיחה'!$2:$110,92,0),0)*(1-AR$309)</f>
        <v>0</v>
      </c>
      <c r="AS124" s="1240">
        <f>+IFERROR(HLOOKUP(AS23,'סקרי נכסים-יתרות פתיחה'!$2:$110,8,0),0)-IFERROR(HLOOKUP(AS23,'סקרי נכסים-יתרות פתיחה'!$2:$110,92,0),0)*(1-AS$309)</f>
        <v>0</v>
      </c>
      <c r="AT124" s="1240">
        <f>+IFERROR(HLOOKUP(AT23,'סקרי נכסים-יתרות פתיחה'!$2:$110,8,0),0)-IFERROR(HLOOKUP(AT23,'סקרי נכסים-יתרות פתיחה'!$2:$110,92,0),0)*(1-AT$309)</f>
        <v>0</v>
      </c>
      <c r="AU124" s="1240">
        <f>+IFERROR(HLOOKUP(AU23,'סקרי נכסים-יתרות פתיחה'!$2:$110,8,0),0)-IFERROR(HLOOKUP(AU23,'סקרי נכסים-יתרות פתיחה'!$2:$110,92,0),0)*(1-AU$309)</f>
        <v>0</v>
      </c>
      <c r="AV124" s="1240">
        <f>+IFERROR(HLOOKUP(AV23,'סקרי נכסים-יתרות פתיחה'!$2:$110,8,0),0)-IFERROR(HLOOKUP(AV23,'סקרי נכסים-יתרות פתיחה'!$2:$110,92,0),0)*(1-AV$309)</f>
        <v>0</v>
      </c>
      <c r="AW124" s="1240">
        <f>+IFERROR(HLOOKUP(AW23,'סקרי נכסים-יתרות פתיחה'!$2:$110,8,0),0)-IFERROR(HLOOKUP(AW23,'סקרי נכסים-יתרות פתיחה'!$2:$110,92,0),0)*(1-AW$309)</f>
        <v>0</v>
      </c>
      <c r="AX124" s="1240">
        <f>+IFERROR(HLOOKUP(AX23,'סקרי נכסים-יתרות פתיחה'!$2:$110,8,0),0)-IFERROR(HLOOKUP(AX23,'סקרי נכסים-יתרות פתיחה'!$2:$110,92,0),0)*(1-AX$309)</f>
        <v>0</v>
      </c>
      <c r="AY124" s="1240">
        <f>+IFERROR(HLOOKUP(AY23,'סקרי נכסים-יתרות פתיחה'!$2:$110,8,0),0)-IFERROR(HLOOKUP(AY23,'סקרי נכסים-יתרות פתיחה'!$2:$110,92,0),0)*(1-AY$309)</f>
        <v>0</v>
      </c>
      <c r="AZ124" s="1240">
        <f>+IFERROR(HLOOKUP(AZ23,'סקרי נכסים-יתרות פתיחה'!$2:$110,8,0),0)-IFERROR(HLOOKUP(AZ23,'סקרי נכסים-יתרות פתיחה'!$2:$110,92,0),0)*(1-AZ$309)</f>
        <v>0</v>
      </c>
      <c r="BA124" s="1240">
        <f>+IFERROR(HLOOKUP(BA23,'סקרי נכסים-יתרות פתיחה'!$2:$110,8,0),0)-IFERROR(HLOOKUP(BA23,'סקרי נכסים-יתרות פתיחה'!$2:$110,92,0),0)*(1-BA$309)</f>
        <v>0</v>
      </c>
      <c r="BB124" s="1240">
        <f>+IFERROR(HLOOKUP(BB23,'סקרי נכסים-יתרות פתיחה'!$2:$110,8,0),0)-IFERROR(HLOOKUP(BB23,'סקרי נכסים-יתרות פתיחה'!$2:$110,92,0),0)*(1-BB$309)</f>
        <v>0</v>
      </c>
      <c r="BC124" s="1240">
        <f>+IFERROR(HLOOKUP(BC23,'סקרי נכסים-יתרות פתיחה'!$2:$110,8,0),0)-IFERROR(HLOOKUP(BC23,'סקרי נכסים-יתרות פתיחה'!$2:$110,92,0),0)*(1-BC$309)</f>
        <v>0</v>
      </c>
      <c r="BD124" s="1240">
        <f>+IFERROR(HLOOKUP(BD23,'סקרי נכסים-יתרות פתיחה'!$2:$110,8,0),0)-IFERROR(HLOOKUP(BD23,'סקרי נכסים-יתרות פתיחה'!$2:$110,92,0),0)*(1-BD$309)</f>
        <v>0</v>
      </c>
      <c r="BE124" s="1240">
        <f>+IFERROR(HLOOKUP(BE23,'סקרי נכסים-יתרות פתיחה'!$2:$110,8,0),0)-IFERROR(HLOOKUP(BE23,'סקרי נכסים-יתרות פתיחה'!$2:$110,92,0),0)*(1-BE$309)</f>
        <v>0</v>
      </c>
      <c r="BF124" s="1240">
        <f>+IFERROR(HLOOKUP(BF23,'סקרי נכסים-יתרות פתיחה'!$2:$110,8,0),0)-IFERROR(HLOOKUP(BF23,'סקרי נכסים-יתרות פתיחה'!$2:$110,92,0),0)*(1-BF$309)</f>
        <v>0</v>
      </c>
    </row>
    <row r="125" spans="2:58" x14ac:dyDescent="0.2">
      <c r="B125" s="1">
        <v>21</v>
      </c>
      <c r="C125" s="1240">
        <f>+IFERROR(HLOOKUP(C24,'סקרי נכסים-יתרות פתיחה'!$2:$110,8,0),0)-IFERROR(HLOOKUP(C24,'סקרי נכסים-יתרות פתיחה'!$2:$110,92,0),0)*(1-C$309)</f>
        <v>0</v>
      </c>
      <c r="D125" s="1240">
        <f>+IFERROR(HLOOKUP(D24,'סקרי נכסים-יתרות פתיחה'!$2:$110,8,0),0)-IFERROR(HLOOKUP(D24,'סקרי נכסים-יתרות פתיחה'!$2:$110,92,0),0)*(1-D$309)</f>
        <v>0</v>
      </c>
      <c r="E125" s="1240">
        <f>+IFERROR(HLOOKUP(E24,'סקרי נכסים-יתרות פתיחה'!$2:$110,8,0),0)-IFERROR(HLOOKUP(E24,'סקרי נכסים-יתרות פתיחה'!$2:$110,92,0),0)*(1-E$309)</f>
        <v>0</v>
      </c>
      <c r="F125" s="1240">
        <f>+IFERROR(HLOOKUP(F24,'סקרי נכסים-יתרות פתיחה'!$2:$110,8,0),0)-IFERROR(HLOOKUP(F24,'סקרי נכסים-יתרות פתיחה'!$2:$110,92,0),0)*(1-F$309)</f>
        <v>0</v>
      </c>
      <c r="G125" s="1240">
        <f>+IFERROR(HLOOKUP(G24,'סקרי נכסים-יתרות פתיחה'!$2:$110,8,0),0)-IFERROR(HLOOKUP(G24,'סקרי נכסים-יתרות פתיחה'!$2:$110,92,0),0)*(1-G$309)</f>
        <v>0</v>
      </c>
      <c r="H125" s="1240">
        <f>+IFERROR(HLOOKUP(H24,'סקרי נכסים-יתרות פתיחה'!$2:$110,8,0),0)-IFERROR(HLOOKUP(H24,'סקרי נכסים-יתרות פתיחה'!$2:$110,92,0),0)*(1-H$309)</f>
        <v>0</v>
      </c>
      <c r="I125" s="1240">
        <f>+IFERROR(HLOOKUP(I24,'סקרי נכסים-יתרות פתיחה'!$2:$110,8,0),0)-IFERROR(HLOOKUP(I24,'סקרי נכסים-יתרות פתיחה'!$2:$110,92,0),0)*(1-I$309)</f>
        <v>0</v>
      </c>
      <c r="J125" s="1240">
        <f>+IFERROR(HLOOKUP(J24,'סקרי נכסים-יתרות פתיחה'!$2:$110,8,0),0)-IFERROR(HLOOKUP(J24,'סקרי נכסים-יתרות פתיחה'!$2:$110,92,0),0)*(1-J$309)</f>
        <v>0</v>
      </c>
      <c r="K125" s="1240">
        <f>+IFERROR(HLOOKUP(K24,'סקרי נכסים-יתרות פתיחה'!$2:$110,8,0),0)-IFERROR(HLOOKUP(K24,'סקרי נכסים-יתרות פתיחה'!$2:$110,92,0),0)*(1-K$309)</f>
        <v>0</v>
      </c>
      <c r="L125" s="1240">
        <f>+IFERROR(HLOOKUP(L24,'סקרי נכסים-יתרות פתיחה'!$2:$110,8,0),0)-IFERROR(HLOOKUP(L24,'סקרי נכסים-יתרות פתיחה'!$2:$110,92,0),0)*(1-L$309)</f>
        <v>0</v>
      </c>
      <c r="M125" s="1240">
        <f>+IFERROR(HLOOKUP(M24,'סקרי נכסים-יתרות פתיחה'!$2:$110,8,0),0)-IFERROR(HLOOKUP(M24,'סקרי נכסים-יתרות פתיחה'!$2:$110,92,0),0)*(1-M$309)</f>
        <v>0</v>
      </c>
      <c r="N125" s="1240">
        <f>+IFERROR(HLOOKUP(N24,'סקרי נכסים-יתרות פתיחה'!$2:$110,8,0),0)-IFERROR(HLOOKUP(N24,'סקרי נכסים-יתרות פתיחה'!$2:$110,92,0),0)*(1-N$309)</f>
        <v>0</v>
      </c>
      <c r="O125" s="1240">
        <f>+IFERROR(HLOOKUP(O24,'סקרי נכסים-יתרות פתיחה'!$2:$110,8,0),0)-IFERROR(HLOOKUP(O24,'סקרי נכסים-יתרות פתיחה'!$2:$110,92,0),0)*(1-O$309)</f>
        <v>0</v>
      </c>
      <c r="P125" s="1240">
        <f>+IFERROR(HLOOKUP(P24,'סקרי נכסים-יתרות פתיחה'!$2:$110,8,0),0)-IFERROR(HLOOKUP(P24,'סקרי נכסים-יתרות פתיחה'!$2:$110,92,0),0)*(1-P$309)</f>
        <v>0</v>
      </c>
      <c r="Q125" s="1240">
        <f>+IFERROR(HLOOKUP(Q24,'סקרי נכסים-יתרות פתיחה'!$2:$110,8,0),0)-IFERROR(HLOOKUP(Q24,'סקרי נכסים-יתרות פתיחה'!$2:$110,92,0),0)*(1-Q$309)</f>
        <v>0</v>
      </c>
      <c r="R125" s="1240">
        <f>+IFERROR(HLOOKUP(R24,'סקרי נכסים-יתרות פתיחה'!$2:$110,8,0),0)-IFERROR(HLOOKUP(R24,'סקרי נכסים-יתרות פתיחה'!$2:$110,92,0),0)*(1-R$309)</f>
        <v>0</v>
      </c>
      <c r="S125" s="1240">
        <f>+IFERROR(HLOOKUP(S24,'סקרי נכסים-יתרות פתיחה'!$2:$110,8,0),0)-IFERROR(HLOOKUP(S24,'סקרי נכסים-יתרות פתיחה'!$2:$110,92,0),0)*(1-S$309)</f>
        <v>0</v>
      </c>
      <c r="T125" s="1240">
        <f>+IFERROR(HLOOKUP(T24,'סקרי נכסים-יתרות פתיחה'!$2:$110,8,0),0)-IFERROR(HLOOKUP(T24,'סקרי נכסים-יתרות פתיחה'!$2:$110,92,0),0)*(1-T$309)</f>
        <v>0</v>
      </c>
      <c r="U125" s="1240">
        <f>+IFERROR(HLOOKUP(U24,'סקרי נכסים-יתרות פתיחה'!$2:$110,8,0),0)-IFERROR(HLOOKUP(U24,'סקרי נכסים-יתרות פתיחה'!$2:$110,92,0),0)*(1-U$309)</f>
        <v>0</v>
      </c>
      <c r="V125" s="1240">
        <f>+IFERROR(HLOOKUP(V24,'סקרי נכסים-יתרות פתיחה'!$2:$110,8,0),0)-IFERROR(HLOOKUP(V24,'סקרי נכסים-יתרות פתיחה'!$2:$110,92,0),0)*(1-V$309)</f>
        <v>0</v>
      </c>
      <c r="W125" s="1240">
        <f>+IFERROR(HLOOKUP(W24,'סקרי נכסים-יתרות פתיחה'!$2:$110,8,0),0)-IFERROR(HLOOKUP(W24,'סקרי נכסים-יתרות פתיחה'!$2:$110,92,0),0)*(1-W$309)</f>
        <v>0</v>
      </c>
      <c r="X125" s="1240">
        <f>+IFERROR(HLOOKUP(X24,'סקרי נכסים-יתרות פתיחה'!$2:$110,8,0),0)-IFERROR(HLOOKUP(X24,'סקרי נכסים-יתרות פתיחה'!$2:$110,92,0),0)*(1-X$309)</f>
        <v>0</v>
      </c>
      <c r="Y125" s="1240">
        <f>+IFERROR(HLOOKUP(Y24,'סקרי נכסים-יתרות פתיחה'!$2:$110,8,0),0)-IFERROR(HLOOKUP(Y24,'סקרי נכסים-יתרות פתיחה'!$2:$110,92,0),0)*(1-Y$309)</f>
        <v>0</v>
      </c>
      <c r="Z125" s="1240">
        <f>+IFERROR(HLOOKUP(Z24,'סקרי נכסים-יתרות פתיחה'!$2:$110,8,0),0)-IFERROR(HLOOKUP(Z24,'סקרי נכסים-יתרות פתיחה'!$2:$110,92,0),0)*(1-Z$309)</f>
        <v>0</v>
      </c>
      <c r="AA125" s="1240">
        <f>+IFERROR(HLOOKUP(AA24,'סקרי נכסים-יתרות פתיחה'!$2:$110,8,0),0)-IFERROR(HLOOKUP(AA24,'סקרי נכסים-יתרות פתיחה'!$2:$110,92,0),0)*(1-AA$309)</f>
        <v>0</v>
      </c>
      <c r="AB125" s="1240">
        <f>+IFERROR(HLOOKUP(AB24,'סקרי נכסים-יתרות פתיחה'!$2:$110,8,0),0)-IFERROR(HLOOKUP(AB24,'סקרי נכסים-יתרות פתיחה'!$2:$110,92,0),0)*(1-AB$309)</f>
        <v>0</v>
      </c>
      <c r="AC125" s="1240">
        <f>+IFERROR(HLOOKUP(AC24,'סקרי נכסים-יתרות פתיחה'!$2:$110,8,0),0)-IFERROR(HLOOKUP(AC24,'סקרי נכסים-יתרות פתיחה'!$2:$110,92,0),0)*(1-AC$309)</f>
        <v>0</v>
      </c>
      <c r="AD125" s="1240">
        <f>+IFERROR(HLOOKUP(AD24,'סקרי נכסים-יתרות פתיחה'!$2:$110,8,0),0)-IFERROR(HLOOKUP(AD24,'סקרי נכסים-יתרות פתיחה'!$2:$110,92,0),0)*(1-AD$309)</f>
        <v>0</v>
      </c>
      <c r="AE125" s="1240">
        <f>+IFERROR(HLOOKUP(AE24,'סקרי נכסים-יתרות פתיחה'!$2:$110,8,0),0)-IFERROR(HLOOKUP(AE24,'סקרי נכסים-יתרות פתיחה'!$2:$110,92,0),0)*(1-AE$309)</f>
        <v>0</v>
      </c>
      <c r="AF125" s="1240">
        <f>+IFERROR(HLOOKUP(AF24,'סקרי נכסים-יתרות פתיחה'!$2:$110,8,0),0)-IFERROR(HLOOKUP(AF24,'סקרי נכסים-יתרות פתיחה'!$2:$110,92,0),0)*(1-AF$309)</f>
        <v>0</v>
      </c>
      <c r="AG125" s="1240">
        <f>+IFERROR(HLOOKUP(AG24,'סקרי נכסים-יתרות פתיחה'!$2:$110,8,0),0)-IFERROR(HLOOKUP(AG24,'סקרי נכסים-יתרות פתיחה'!$2:$110,92,0),0)*(1-AG$309)</f>
        <v>0</v>
      </c>
      <c r="AH125" s="1240">
        <f>+IFERROR(HLOOKUP(AH24,'סקרי נכסים-יתרות פתיחה'!$2:$110,8,0),0)-IFERROR(HLOOKUP(AH24,'סקרי נכסים-יתרות פתיחה'!$2:$110,92,0),0)*(1-AH$309)</f>
        <v>0</v>
      </c>
      <c r="AI125" s="1240">
        <f>+IFERROR(HLOOKUP(AI24,'סקרי נכסים-יתרות פתיחה'!$2:$110,8,0),0)-IFERROR(HLOOKUP(AI24,'סקרי נכסים-יתרות פתיחה'!$2:$110,92,0),0)*(1-AI$309)</f>
        <v>0</v>
      </c>
      <c r="AJ125" s="1240">
        <f>+IFERROR(HLOOKUP(AJ24,'סקרי נכסים-יתרות פתיחה'!$2:$110,8,0),0)-IFERROR(HLOOKUP(AJ24,'סקרי נכסים-יתרות פתיחה'!$2:$110,92,0),0)*(1-AJ$309)</f>
        <v>0</v>
      </c>
      <c r="AK125" s="1240">
        <f>+IFERROR(HLOOKUP(AK24,'סקרי נכסים-יתרות פתיחה'!$2:$110,8,0),0)-IFERROR(HLOOKUP(AK24,'סקרי נכסים-יתרות פתיחה'!$2:$110,92,0),0)*(1-AK$309)</f>
        <v>0</v>
      </c>
      <c r="AL125" s="1240">
        <f>+IFERROR(HLOOKUP(AL24,'סקרי נכסים-יתרות פתיחה'!$2:$110,8,0),0)-IFERROR(HLOOKUP(AL24,'סקרי נכסים-יתרות פתיחה'!$2:$110,92,0),0)*(1-AL$309)</f>
        <v>0</v>
      </c>
      <c r="AM125" s="1240">
        <f>+IFERROR(HLOOKUP(AM24,'סקרי נכסים-יתרות פתיחה'!$2:$110,8,0),0)-IFERROR(HLOOKUP(AM24,'סקרי נכסים-יתרות פתיחה'!$2:$110,92,0),0)*(1-AM$309)</f>
        <v>0</v>
      </c>
      <c r="AN125" s="1240">
        <f>+IFERROR(HLOOKUP(AN24,'סקרי נכסים-יתרות פתיחה'!$2:$110,8,0),0)-IFERROR(HLOOKUP(AN24,'סקרי נכסים-יתרות פתיחה'!$2:$110,92,0),0)*(1-AN$309)</f>
        <v>0</v>
      </c>
      <c r="AO125" s="1240">
        <f>+IFERROR(HLOOKUP(AO24,'סקרי נכסים-יתרות פתיחה'!$2:$110,8,0),0)-IFERROR(HLOOKUP(AO24,'סקרי נכסים-יתרות פתיחה'!$2:$110,92,0),0)*(1-AO$309)</f>
        <v>0</v>
      </c>
      <c r="AP125" s="1240">
        <f>+IFERROR(HLOOKUP(AP24,'סקרי נכסים-יתרות פתיחה'!$2:$110,8,0),0)-IFERROR(HLOOKUP(AP24,'סקרי נכסים-יתרות פתיחה'!$2:$110,92,0),0)*(1-AP$309)</f>
        <v>0</v>
      </c>
      <c r="AQ125" s="1240">
        <f>+IFERROR(HLOOKUP(AQ24,'סקרי נכסים-יתרות פתיחה'!$2:$110,8,0),0)-IFERROR(HLOOKUP(AQ24,'סקרי נכסים-יתרות פתיחה'!$2:$110,92,0),0)*(1-AQ$309)</f>
        <v>0</v>
      </c>
      <c r="AR125" s="1240">
        <f>+IFERROR(HLOOKUP(AR24,'סקרי נכסים-יתרות פתיחה'!$2:$110,8,0),0)-IFERROR(HLOOKUP(AR24,'סקרי נכסים-יתרות פתיחה'!$2:$110,92,0),0)*(1-AR$309)</f>
        <v>0</v>
      </c>
      <c r="AS125" s="1240">
        <f>+IFERROR(HLOOKUP(AS24,'סקרי נכסים-יתרות פתיחה'!$2:$110,8,0),0)-IFERROR(HLOOKUP(AS24,'סקרי נכסים-יתרות פתיחה'!$2:$110,92,0),0)*(1-AS$309)</f>
        <v>0</v>
      </c>
      <c r="AT125" s="1240">
        <f>+IFERROR(HLOOKUP(AT24,'סקרי נכסים-יתרות פתיחה'!$2:$110,8,0),0)-IFERROR(HLOOKUP(AT24,'סקרי נכסים-יתרות פתיחה'!$2:$110,92,0),0)*(1-AT$309)</f>
        <v>0</v>
      </c>
      <c r="AU125" s="1240">
        <f>+IFERROR(HLOOKUP(AU24,'סקרי נכסים-יתרות פתיחה'!$2:$110,8,0),0)-IFERROR(HLOOKUP(AU24,'סקרי נכסים-יתרות פתיחה'!$2:$110,92,0),0)*(1-AU$309)</f>
        <v>0</v>
      </c>
      <c r="AV125" s="1240">
        <f>+IFERROR(HLOOKUP(AV24,'סקרי נכסים-יתרות פתיחה'!$2:$110,8,0),0)-IFERROR(HLOOKUP(AV24,'סקרי נכסים-יתרות פתיחה'!$2:$110,92,0),0)*(1-AV$309)</f>
        <v>0</v>
      </c>
      <c r="AW125" s="1240">
        <f>+IFERROR(HLOOKUP(AW24,'סקרי נכסים-יתרות פתיחה'!$2:$110,8,0),0)-IFERROR(HLOOKUP(AW24,'סקרי נכסים-יתרות פתיחה'!$2:$110,92,0),0)*(1-AW$309)</f>
        <v>0</v>
      </c>
      <c r="AX125" s="1240">
        <f>+IFERROR(HLOOKUP(AX24,'סקרי נכסים-יתרות פתיחה'!$2:$110,8,0),0)-IFERROR(HLOOKUP(AX24,'סקרי נכסים-יתרות פתיחה'!$2:$110,92,0),0)*(1-AX$309)</f>
        <v>0</v>
      </c>
      <c r="AY125" s="1240">
        <f>+IFERROR(HLOOKUP(AY24,'סקרי נכסים-יתרות פתיחה'!$2:$110,8,0),0)-IFERROR(HLOOKUP(AY24,'סקרי נכסים-יתרות פתיחה'!$2:$110,92,0),0)*(1-AY$309)</f>
        <v>0</v>
      </c>
      <c r="AZ125" s="1240">
        <f>+IFERROR(HLOOKUP(AZ24,'סקרי נכסים-יתרות פתיחה'!$2:$110,8,0),0)-IFERROR(HLOOKUP(AZ24,'סקרי נכסים-יתרות פתיחה'!$2:$110,92,0),0)*(1-AZ$309)</f>
        <v>0</v>
      </c>
      <c r="BA125" s="1240">
        <f>+IFERROR(HLOOKUP(BA24,'סקרי נכסים-יתרות פתיחה'!$2:$110,8,0),0)-IFERROR(HLOOKUP(BA24,'סקרי נכסים-יתרות פתיחה'!$2:$110,92,0),0)*(1-BA$309)</f>
        <v>0</v>
      </c>
      <c r="BB125" s="1240">
        <f>+IFERROR(HLOOKUP(BB24,'סקרי נכסים-יתרות פתיחה'!$2:$110,8,0),0)-IFERROR(HLOOKUP(BB24,'סקרי נכסים-יתרות פתיחה'!$2:$110,92,0),0)*(1-BB$309)</f>
        <v>0</v>
      </c>
      <c r="BC125" s="1240">
        <f>+IFERROR(HLOOKUP(BC24,'סקרי נכסים-יתרות פתיחה'!$2:$110,8,0),0)-IFERROR(HLOOKUP(BC24,'סקרי נכסים-יתרות פתיחה'!$2:$110,92,0),0)*(1-BC$309)</f>
        <v>0</v>
      </c>
      <c r="BD125" s="1240">
        <f>+IFERROR(HLOOKUP(BD24,'סקרי נכסים-יתרות פתיחה'!$2:$110,8,0),0)-IFERROR(HLOOKUP(BD24,'סקרי נכסים-יתרות פתיחה'!$2:$110,92,0),0)*(1-BD$309)</f>
        <v>0</v>
      </c>
      <c r="BE125" s="1240">
        <f>+IFERROR(HLOOKUP(BE24,'סקרי נכסים-יתרות פתיחה'!$2:$110,8,0),0)-IFERROR(HLOOKUP(BE24,'סקרי נכסים-יתרות פתיחה'!$2:$110,92,0),0)*(1-BE$309)</f>
        <v>0</v>
      </c>
      <c r="BF125" s="1240">
        <f>+IFERROR(HLOOKUP(BF24,'סקרי נכסים-יתרות פתיחה'!$2:$110,8,0),0)-IFERROR(HLOOKUP(BF24,'סקרי נכסים-יתרות פתיחה'!$2:$110,92,0),0)*(1-BF$309)</f>
        <v>0</v>
      </c>
    </row>
    <row r="126" spans="2:58" x14ac:dyDescent="0.2">
      <c r="B126" s="1">
        <v>22</v>
      </c>
      <c r="C126" s="1240">
        <f>+IFERROR(HLOOKUP(C25,'סקרי נכסים-יתרות פתיחה'!$2:$110,8,0),0)-IFERROR(HLOOKUP(C25,'סקרי נכסים-יתרות פתיחה'!$2:$110,92,0),0)*(1-C$309)</f>
        <v>0</v>
      </c>
      <c r="D126" s="1240">
        <f>+IFERROR(HLOOKUP(D25,'סקרי נכסים-יתרות פתיחה'!$2:$110,8,0),0)-IFERROR(HLOOKUP(D25,'סקרי נכסים-יתרות פתיחה'!$2:$110,92,0),0)*(1-D$309)</f>
        <v>0</v>
      </c>
      <c r="E126" s="1240">
        <f>+IFERROR(HLOOKUP(E25,'סקרי נכסים-יתרות פתיחה'!$2:$110,8,0),0)-IFERROR(HLOOKUP(E25,'סקרי נכסים-יתרות פתיחה'!$2:$110,92,0),0)*(1-E$309)</f>
        <v>0</v>
      </c>
      <c r="F126" s="1240">
        <f>+IFERROR(HLOOKUP(F25,'סקרי נכסים-יתרות פתיחה'!$2:$110,8,0),0)-IFERROR(HLOOKUP(F25,'סקרי נכסים-יתרות פתיחה'!$2:$110,92,0),0)*(1-F$309)</f>
        <v>0</v>
      </c>
      <c r="G126" s="1240">
        <f>+IFERROR(HLOOKUP(G25,'סקרי נכסים-יתרות פתיחה'!$2:$110,8,0),0)-IFERROR(HLOOKUP(G25,'סקרי נכסים-יתרות פתיחה'!$2:$110,92,0),0)*(1-G$309)</f>
        <v>0</v>
      </c>
      <c r="H126" s="1240">
        <f>+IFERROR(HLOOKUP(H25,'סקרי נכסים-יתרות פתיחה'!$2:$110,8,0),0)-IFERROR(HLOOKUP(H25,'סקרי נכסים-יתרות פתיחה'!$2:$110,92,0),0)*(1-H$309)</f>
        <v>0</v>
      </c>
      <c r="I126" s="1240">
        <f>+IFERROR(HLOOKUP(I25,'סקרי נכסים-יתרות פתיחה'!$2:$110,8,0),0)-IFERROR(HLOOKUP(I25,'סקרי נכסים-יתרות פתיחה'!$2:$110,92,0),0)*(1-I$309)</f>
        <v>0</v>
      </c>
      <c r="J126" s="1240">
        <f>+IFERROR(HLOOKUP(J25,'סקרי נכסים-יתרות פתיחה'!$2:$110,8,0),0)-IFERROR(HLOOKUP(J25,'סקרי נכסים-יתרות פתיחה'!$2:$110,92,0),0)*(1-J$309)</f>
        <v>0</v>
      </c>
      <c r="K126" s="1240">
        <f>+IFERROR(HLOOKUP(K25,'סקרי נכסים-יתרות פתיחה'!$2:$110,8,0),0)-IFERROR(HLOOKUP(K25,'סקרי נכסים-יתרות פתיחה'!$2:$110,92,0),0)*(1-K$309)</f>
        <v>0</v>
      </c>
      <c r="L126" s="1240">
        <f>+IFERROR(HLOOKUP(L25,'סקרי נכסים-יתרות פתיחה'!$2:$110,8,0),0)-IFERROR(HLOOKUP(L25,'סקרי נכסים-יתרות פתיחה'!$2:$110,92,0),0)*(1-L$309)</f>
        <v>0</v>
      </c>
      <c r="M126" s="1240">
        <f>+IFERROR(HLOOKUP(M25,'סקרי נכסים-יתרות פתיחה'!$2:$110,8,0),0)-IFERROR(HLOOKUP(M25,'סקרי נכסים-יתרות פתיחה'!$2:$110,92,0),0)*(1-M$309)</f>
        <v>0</v>
      </c>
      <c r="N126" s="1240">
        <f>+IFERROR(HLOOKUP(N25,'סקרי נכסים-יתרות פתיחה'!$2:$110,8,0),0)-IFERROR(HLOOKUP(N25,'סקרי נכסים-יתרות פתיחה'!$2:$110,92,0),0)*(1-N$309)</f>
        <v>0</v>
      </c>
      <c r="O126" s="1240">
        <f>+IFERROR(HLOOKUP(O25,'סקרי נכסים-יתרות פתיחה'!$2:$110,8,0),0)-IFERROR(HLOOKUP(O25,'סקרי נכסים-יתרות פתיחה'!$2:$110,92,0),0)*(1-O$309)</f>
        <v>0</v>
      </c>
      <c r="P126" s="1240">
        <f>+IFERROR(HLOOKUP(P25,'סקרי נכסים-יתרות פתיחה'!$2:$110,8,0),0)-IFERROR(HLOOKUP(P25,'סקרי נכסים-יתרות פתיחה'!$2:$110,92,0),0)*(1-P$309)</f>
        <v>0</v>
      </c>
      <c r="Q126" s="1240">
        <f>+IFERROR(HLOOKUP(Q25,'סקרי נכסים-יתרות פתיחה'!$2:$110,8,0),0)-IFERROR(HLOOKUP(Q25,'סקרי נכסים-יתרות פתיחה'!$2:$110,92,0),0)*(1-Q$309)</f>
        <v>0</v>
      </c>
      <c r="R126" s="1240">
        <f>+IFERROR(HLOOKUP(R25,'סקרי נכסים-יתרות פתיחה'!$2:$110,8,0),0)-IFERROR(HLOOKUP(R25,'סקרי נכסים-יתרות פתיחה'!$2:$110,92,0),0)*(1-R$309)</f>
        <v>0</v>
      </c>
      <c r="S126" s="1240">
        <f>+IFERROR(HLOOKUP(S25,'סקרי נכסים-יתרות פתיחה'!$2:$110,8,0),0)-IFERROR(HLOOKUP(S25,'סקרי נכסים-יתרות פתיחה'!$2:$110,92,0),0)*(1-S$309)</f>
        <v>0</v>
      </c>
      <c r="T126" s="1240">
        <f>+IFERROR(HLOOKUP(T25,'סקרי נכסים-יתרות פתיחה'!$2:$110,8,0),0)-IFERROR(HLOOKUP(T25,'סקרי נכסים-יתרות פתיחה'!$2:$110,92,0),0)*(1-T$309)</f>
        <v>0</v>
      </c>
      <c r="U126" s="1240">
        <f>+IFERROR(HLOOKUP(U25,'סקרי נכסים-יתרות פתיחה'!$2:$110,8,0),0)-IFERROR(HLOOKUP(U25,'סקרי נכסים-יתרות פתיחה'!$2:$110,92,0),0)*(1-U$309)</f>
        <v>0</v>
      </c>
      <c r="V126" s="1240">
        <f>+IFERROR(HLOOKUP(V25,'סקרי נכסים-יתרות פתיחה'!$2:$110,8,0),0)-IFERROR(HLOOKUP(V25,'סקרי נכסים-יתרות פתיחה'!$2:$110,92,0),0)*(1-V$309)</f>
        <v>0</v>
      </c>
      <c r="W126" s="1240">
        <f>+IFERROR(HLOOKUP(W25,'סקרי נכסים-יתרות פתיחה'!$2:$110,8,0),0)-IFERROR(HLOOKUP(W25,'סקרי נכסים-יתרות פתיחה'!$2:$110,92,0),0)*(1-W$309)</f>
        <v>0</v>
      </c>
      <c r="X126" s="1240">
        <f>+IFERROR(HLOOKUP(X25,'סקרי נכסים-יתרות פתיחה'!$2:$110,8,0),0)-IFERROR(HLOOKUP(X25,'סקרי נכסים-יתרות פתיחה'!$2:$110,92,0),0)*(1-X$309)</f>
        <v>0</v>
      </c>
      <c r="Y126" s="1240">
        <f>+IFERROR(HLOOKUP(Y25,'סקרי נכסים-יתרות פתיחה'!$2:$110,8,0),0)-IFERROR(HLOOKUP(Y25,'סקרי נכסים-יתרות פתיחה'!$2:$110,92,0),0)*(1-Y$309)</f>
        <v>0</v>
      </c>
      <c r="Z126" s="1240">
        <f>+IFERROR(HLOOKUP(Z25,'סקרי נכסים-יתרות פתיחה'!$2:$110,8,0),0)-IFERROR(HLOOKUP(Z25,'סקרי נכסים-יתרות פתיחה'!$2:$110,92,0),0)*(1-Z$309)</f>
        <v>0</v>
      </c>
      <c r="AA126" s="1240">
        <f>+IFERROR(HLOOKUP(AA25,'סקרי נכסים-יתרות פתיחה'!$2:$110,8,0),0)-IFERROR(HLOOKUP(AA25,'סקרי נכסים-יתרות פתיחה'!$2:$110,92,0),0)*(1-AA$309)</f>
        <v>0</v>
      </c>
      <c r="AB126" s="1240">
        <f>+IFERROR(HLOOKUP(AB25,'סקרי נכסים-יתרות פתיחה'!$2:$110,8,0),0)-IFERROR(HLOOKUP(AB25,'סקרי נכסים-יתרות פתיחה'!$2:$110,92,0),0)*(1-AB$309)</f>
        <v>0</v>
      </c>
      <c r="AC126" s="1240">
        <f>+IFERROR(HLOOKUP(AC25,'סקרי נכסים-יתרות פתיחה'!$2:$110,8,0),0)-IFERROR(HLOOKUP(AC25,'סקרי נכסים-יתרות פתיחה'!$2:$110,92,0),0)*(1-AC$309)</f>
        <v>0</v>
      </c>
      <c r="AD126" s="1240">
        <f>+IFERROR(HLOOKUP(AD25,'סקרי נכסים-יתרות פתיחה'!$2:$110,8,0),0)-IFERROR(HLOOKUP(AD25,'סקרי נכסים-יתרות פתיחה'!$2:$110,92,0),0)*(1-AD$309)</f>
        <v>0</v>
      </c>
      <c r="AE126" s="1240">
        <f>+IFERROR(HLOOKUP(AE25,'סקרי נכסים-יתרות פתיחה'!$2:$110,8,0),0)-IFERROR(HLOOKUP(AE25,'סקרי נכסים-יתרות פתיחה'!$2:$110,92,0),0)*(1-AE$309)</f>
        <v>0</v>
      </c>
      <c r="AF126" s="1240">
        <f>+IFERROR(HLOOKUP(AF25,'סקרי נכסים-יתרות פתיחה'!$2:$110,8,0),0)-IFERROR(HLOOKUP(AF25,'סקרי נכסים-יתרות פתיחה'!$2:$110,92,0),0)*(1-AF$309)</f>
        <v>0</v>
      </c>
      <c r="AG126" s="1240">
        <f>+IFERROR(HLOOKUP(AG25,'סקרי נכסים-יתרות פתיחה'!$2:$110,8,0),0)-IFERROR(HLOOKUP(AG25,'סקרי נכסים-יתרות פתיחה'!$2:$110,92,0),0)*(1-AG$309)</f>
        <v>0</v>
      </c>
      <c r="AH126" s="1240">
        <f>+IFERROR(HLOOKUP(AH25,'סקרי נכסים-יתרות פתיחה'!$2:$110,8,0),0)-IFERROR(HLOOKUP(AH25,'סקרי נכסים-יתרות פתיחה'!$2:$110,92,0),0)*(1-AH$309)</f>
        <v>0</v>
      </c>
      <c r="AI126" s="1240">
        <f>+IFERROR(HLOOKUP(AI25,'סקרי נכסים-יתרות פתיחה'!$2:$110,8,0),0)-IFERROR(HLOOKUP(AI25,'סקרי נכסים-יתרות פתיחה'!$2:$110,92,0),0)*(1-AI$309)</f>
        <v>0</v>
      </c>
      <c r="AJ126" s="1240">
        <f>+IFERROR(HLOOKUP(AJ25,'סקרי נכסים-יתרות פתיחה'!$2:$110,8,0),0)-IFERROR(HLOOKUP(AJ25,'סקרי נכסים-יתרות פתיחה'!$2:$110,92,0),0)*(1-AJ$309)</f>
        <v>0</v>
      </c>
      <c r="AK126" s="1240">
        <f>+IFERROR(HLOOKUP(AK25,'סקרי נכסים-יתרות פתיחה'!$2:$110,8,0),0)-IFERROR(HLOOKUP(AK25,'סקרי נכסים-יתרות פתיחה'!$2:$110,92,0),0)*(1-AK$309)</f>
        <v>0</v>
      </c>
      <c r="AL126" s="1240">
        <f>+IFERROR(HLOOKUP(AL25,'סקרי נכסים-יתרות פתיחה'!$2:$110,8,0),0)-IFERROR(HLOOKUP(AL25,'סקרי נכסים-יתרות פתיחה'!$2:$110,92,0),0)*(1-AL$309)</f>
        <v>0</v>
      </c>
      <c r="AM126" s="1240">
        <f>+IFERROR(HLOOKUP(AM25,'סקרי נכסים-יתרות פתיחה'!$2:$110,8,0),0)-IFERROR(HLOOKUP(AM25,'סקרי נכסים-יתרות פתיחה'!$2:$110,92,0),0)*(1-AM$309)</f>
        <v>0</v>
      </c>
      <c r="AN126" s="1240">
        <f>+IFERROR(HLOOKUP(AN25,'סקרי נכסים-יתרות פתיחה'!$2:$110,8,0),0)-IFERROR(HLOOKUP(AN25,'סקרי נכסים-יתרות פתיחה'!$2:$110,92,0),0)*(1-AN$309)</f>
        <v>0</v>
      </c>
      <c r="AO126" s="1240">
        <f>+IFERROR(HLOOKUP(AO25,'סקרי נכסים-יתרות פתיחה'!$2:$110,8,0),0)-IFERROR(HLOOKUP(AO25,'סקרי נכסים-יתרות פתיחה'!$2:$110,92,0),0)*(1-AO$309)</f>
        <v>0</v>
      </c>
      <c r="AP126" s="1240">
        <f>+IFERROR(HLOOKUP(AP25,'סקרי נכסים-יתרות פתיחה'!$2:$110,8,0),0)-IFERROR(HLOOKUP(AP25,'סקרי נכסים-יתרות פתיחה'!$2:$110,92,0),0)*(1-AP$309)</f>
        <v>0</v>
      </c>
      <c r="AQ126" s="1240">
        <f>+IFERROR(HLOOKUP(AQ25,'סקרי נכסים-יתרות פתיחה'!$2:$110,8,0),0)-IFERROR(HLOOKUP(AQ25,'סקרי נכסים-יתרות פתיחה'!$2:$110,92,0),0)*(1-AQ$309)</f>
        <v>0</v>
      </c>
      <c r="AR126" s="1240">
        <f>+IFERROR(HLOOKUP(AR25,'סקרי נכסים-יתרות פתיחה'!$2:$110,8,0),0)-IFERROR(HLOOKUP(AR25,'סקרי נכסים-יתרות פתיחה'!$2:$110,92,0),0)*(1-AR$309)</f>
        <v>0</v>
      </c>
      <c r="AS126" s="1240">
        <f>+IFERROR(HLOOKUP(AS25,'סקרי נכסים-יתרות פתיחה'!$2:$110,8,0),0)-IFERROR(HLOOKUP(AS25,'סקרי נכסים-יתרות פתיחה'!$2:$110,92,0),0)*(1-AS$309)</f>
        <v>0</v>
      </c>
      <c r="AT126" s="1240">
        <f>+IFERROR(HLOOKUP(AT25,'סקרי נכסים-יתרות פתיחה'!$2:$110,8,0),0)-IFERROR(HLOOKUP(AT25,'סקרי נכסים-יתרות פתיחה'!$2:$110,92,0),0)*(1-AT$309)</f>
        <v>0</v>
      </c>
      <c r="AU126" s="1240">
        <f>+IFERROR(HLOOKUP(AU25,'סקרי נכסים-יתרות פתיחה'!$2:$110,8,0),0)-IFERROR(HLOOKUP(AU25,'סקרי נכסים-יתרות פתיחה'!$2:$110,92,0),0)*(1-AU$309)</f>
        <v>0</v>
      </c>
      <c r="AV126" s="1240">
        <f>+IFERROR(HLOOKUP(AV25,'סקרי נכסים-יתרות פתיחה'!$2:$110,8,0),0)-IFERROR(HLOOKUP(AV25,'סקרי נכסים-יתרות פתיחה'!$2:$110,92,0),0)*(1-AV$309)</f>
        <v>0</v>
      </c>
      <c r="AW126" s="1240">
        <f>+IFERROR(HLOOKUP(AW25,'סקרי נכסים-יתרות פתיחה'!$2:$110,8,0),0)-IFERROR(HLOOKUP(AW25,'סקרי נכסים-יתרות פתיחה'!$2:$110,92,0),0)*(1-AW$309)</f>
        <v>0</v>
      </c>
      <c r="AX126" s="1240">
        <f>+IFERROR(HLOOKUP(AX25,'סקרי נכסים-יתרות פתיחה'!$2:$110,8,0),0)-IFERROR(HLOOKUP(AX25,'סקרי נכסים-יתרות פתיחה'!$2:$110,92,0),0)*(1-AX$309)</f>
        <v>0</v>
      </c>
      <c r="AY126" s="1240">
        <f>+IFERROR(HLOOKUP(AY25,'סקרי נכסים-יתרות פתיחה'!$2:$110,8,0),0)-IFERROR(HLOOKUP(AY25,'סקרי נכסים-יתרות פתיחה'!$2:$110,92,0),0)*(1-AY$309)</f>
        <v>0</v>
      </c>
      <c r="AZ126" s="1240">
        <f>+IFERROR(HLOOKUP(AZ25,'סקרי נכסים-יתרות פתיחה'!$2:$110,8,0),0)-IFERROR(HLOOKUP(AZ25,'סקרי נכסים-יתרות פתיחה'!$2:$110,92,0),0)*(1-AZ$309)</f>
        <v>0</v>
      </c>
      <c r="BA126" s="1240">
        <f>+IFERROR(HLOOKUP(BA25,'סקרי נכסים-יתרות פתיחה'!$2:$110,8,0),0)-IFERROR(HLOOKUP(BA25,'סקרי נכסים-יתרות פתיחה'!$2:$110,92,0),0)*(1-BA$309)</f>
        <v>0</v>
      </c>
      <c r="BB126" s="1240">
        <f>+IFERROR(HLOOKUP(BB25,'סקרי נכסים-יתרות פתיחה'!$2:$110,8,0),0)-IFERROR(HLOOKUP(BB25,'סקרי נכסים-יתרות פתיחה'!$2:$110,92,0),0)*(1-BB$309)</f>
        <v>0</v>
      </c>
      <c r="BC126" s="1240">
        <f>+IFERROR(HLOOKUP(BC25,'סקרי נכסים-יתרות פתיחה'!$2:$110,8,0),0)-IFERROR(HLOOKUP(BC25,'סקרי נכסים-יתרות פתיחה'!$2:$110,92,0),0)*(1-BC$309)</f>
        <v>0</v>
      </c>
      <c r="BD126" s="1240">
        <f>+IFERROR(HLOOKUP(BD25,'סקרי נכסים-יתרות פתיחה'!$2:$110,8,0),0)-IFERROR(HLOOKUP(BD25,'סקרי נכסים-יתרות פתיחה'!$2:$110,92,0),0)*(1-BD$309)</f>
        <v>0</v>
      </c>
      <c r="BE126" s="1240">
        <f>+IFERROR(HLOOKUP(BE25,'סקרי נכסים-יתרות פתיחה'!$2:$110,8,0),0)-IFERROR(HLOOKUP(BE25,'סקרי נכסים-יתרות פתיחה'!$2:$110,92,0),0)*(1-BE$309)</f>
        <v>0</v>
      </c>
      <c r="BF126" s="1240">
        <f>+IFERROR(HLOOKUP(BF25,'סקרי נכסים-יתרות פתיחה'!$2:$110,8,0),0)-IFERROR(HLOOKUP(BF25,'סקרי נכסים-יתרות פתיחה'!$2:$110,92,0),0)*(1-BF$309)</f>
        <v>0</v>
      </c>
    </row>
    <row r="127" spans="2:58" x14ac:dyDescent="0.2">
      <c r="B127" s="1">
        <v>23</v>
      </c>
      <c r="C127" s="1240">
        <f>+IFERROR(HLOOKUP(C26,'סקרי נכסים-יתרות פתיחה'!$2:$110,8,0),0)-IFERROR(HLOOKUP(C26,'סקרי נכסים-יתרות פתיחה'!$2:$110,92,0),0)*(1-C$309)</f>
        <v>0</v>
      </c>
      <c r="D127" s="1240">
        <f>+IFERROR(HLOOKUP(D26,'סקרי נכסים-יתרות פתיחה'!$2:$110,8,0),0)-IFERROR(HLOOKUP(D26,'סקרי נכסים-יתרות פתיחה'!$2:$110,92,0),0)*(1-D$309)</f>
        <v>0</v>
      </c>
      <c r="E127" s="1240">
        <f>+IFERROR(HLOOKUP(E26,'סקרי נכסים-יתרות פתיחה'!$2:$110,8,0),0)-IFERROR(HLOOKUP(E26,'סקרי נכסים-יתרות פתיחה'!$2:$110,92,0),0)*(1-E$309)</f>
        <v>0</v>
      </c>
      <c r="F127" s="1240">
        <f>+IFERROR(HLOOKUP(F26,'סקרי נכסים-יתרות פתיחה'!$2:$110,8,0),0)-IFERROR(HLOOKUP(F26,'סקרי נכסים-יתרות פתיחה'!$2:$110,92,0),0)*(1-F$309)</f>
        <v>0</v>
      </c>
      <c r="G127" s="1240">
        <f>+IFERROR(HLOOKUP(G26,'סקרי נכסים-יתרות פתיחה'!$2:$110,8,0),0)-IFERROR(HLOOKUP(G26,'סקרי נכסים-יתרות פתיחה'!$2:$110,92,0),0)*(1-G$309)</f>
        <v>0</v>
      </c>
      <c r="H127" s="1240">
        <f>+IFERROR(HLOOKUP(H26,'סקרי נכסים-יתרות פתיחה'!$2:$110,8,0),0)-IFERROR(HLOOKUP(H26,'סקרי נכסים-יתרות פתיחה'!$2:$110,92,0),0)*(1-H$309)</f>
        <v>0</v>
      </c>
      <c r="I127" s="1240">
        <f>+IFERROR(HLOOKUP(I26,'סקרי נכסים-יתרות פתיחה'!$2:$110,8,0),0)-IFERROR(HLOOKUP(I26,'סקרי נכסים-יתרות פתיחה'!$2:$110,92,0),0)*(1-I$309)</f>
        <v>0</v>
      </c>
      <c r="J127" s="1240">
        <f>+IFERROR(HLOOKUP(J26,'סקרי נכסים-יתרות פתיחה'!$2:$110,8,0),0)-IFERROR(HLOOKUP(J26,'סקרי נכסים-יתרות פתיחה'!$2:$110,92,0),0)*(1-J$309)</f>
        <v>0</v>
      </c>
      <c r="K127" s="1240">
        <f>+IFERROR(HLOOKUP(K26,'סקרי נכסים-יתרות פתיחה'!$2:$110,8,0),0)-IFERROR(HLOOKUP(K26,'סקרי נכסים-יתרות פתיחה'!$2:$110,92,0),0)*(1-K$309)</f>
        <v>0</v>
      </c>
      <c r="L127" s="1240">
        <f>+IFERROR(HLOOKUP(L26,'סקרי נכסים-יתרות פתיחה'!$2:$110,8,0),0)-IFERROR(HLOOKUP(L26,'סקרי נכסים-יתרות פתיחה'!$2:$110,92,0),0)*(1-L$309)</f>
        <v>0</v>
      </c>
      <c r="M127" s="1240">
        <f>+IFERROR(HLOOKUP(M26,'סקרי נכסים-יתרות פתיחה'!$2:$110,8,0),0)-IFERROR(HLOOKUP(M26,'סקרי נכסים-יתרות פתיחה'!$2:$110,92,0),0)*(1-M$309)</f>
        <v>0</v>
      </c>
      <c r="N127" s="1240">
        <f>+IFERROR(HLOOKUP(N26,'סקרי נכסים-יתרות פתיחה'!$2:$110,8,0),0)-IFERROR(HLOOKUP(N26,'סקרי נכסים-יתרות פתיחה'!$2:$110,92,0),0)*(1-N$309)</f>
        <v>0</v>
      </c>
      <c r="O127" s="1240">
        <f>+IFERROR(HLOOKUP(O26,'סקרי נכסים-יתרות פתיחה'!$2:$110,8,0),0)-IFERROR(HLOOKUP(O26,'סקרי נכסים-יתרות פתיחה'!$2:$110,92,0),0)*(1-O$309)</f>
        <v>0</v>
      </c>
      <c r="P127" s="1240">
        <f>+IFERROR(HLOOKUP(P26,'סקרי נכסים-יתרות פתיחה'!$2:$110,8,0),0)-IFERROR(HLOOKUP(P26,'סקרי נכסים-יתרות פתיחה'!$2:$110,92,0),0)*(1-P$309)</f>
        <v>0</v>
      </c>
      <c r="Q127" s="1240">
        <f>+IFERROR(HLOOKUP(Q26,'סקרי נכסים-יתרות פתיחה'!$2:$110,8,0),0)-IFERROR(HLOOKUP(Q26,'סקרי נכסים-יתרות פתיחה'!$2:$110,92,0),0)*(1-Q$309)</f>
        <v>0</v>
      </c>
      <c r="R127" s="1240">
        <f>+IFERROR(HLOOKUP(R26,'סקרי נכסים-יתרות פתיחה'!$2:$110,8,0),0)-IFERROR(HLOOKUP(R26,'סקרי נכסים-יתרות פתיחה'!$2:$110,92,0),0)*(1-R$309)</f>
        <v>0</v>
      </c>
      <c r="S127" s="1240">
        <f>+IFERROR(HLOOKUP(S26,'סקרי נכסים-יתרות פתיחה'!$2:$110,8,0),0)-IFERROR(HLOOKUP(S26,'סקרי נכסים-יתרות פתיחה'!$2:$110,92,0),0)*(1-S$309)</f>
        <v>0</v>
      </c>
      <c r="T127" s="1240">
        <f>+IFERROR(HLOOKUP(T26,'סקרי נכסים-יתרות פתיחה'!$2:$110,8,0),0)-IFERROR(HLOOKUP(T26,'סקרי נכסים-יתרות פתיחה'!$2:$110,92,0),0)*(1-T$309)</f>
        <v>0</v>
      </c>
      <c r="U127" s="1240">
        <f>+IFERROR(HLOOKUP(U26,'סקרי נכסים-יתרות פתיחה'!$2:$110,8,0),0)-IFERROR(HLOOKUP(U26,'סקרי נכסים-יתרות פתיחה'!$2:$110,92,0),0)*(1-U$309)</f>
        <v>0</v>
      </c>
      <c r="V127" s="1240">
        <f>+IFERROR(HLOOKUP(V26,'סקרי נכסים-יתרות פתיחה'!$2:$110,8,0),0)-IFERROR(HLOOKUP(V26,'סקרי נכסים-יתרות פתיחה'!$2:$110,92,0),0)*(1-V$309)</f>
        <v>0</v>
      </c>
      <c r="W127" s="1240">
        <f>+IFERROR(HLOOKUP(W26,'סקרי נכסים-יתרות פתיחה'!$2:$110,8,0),0)-IFERROR(HLOOKUP(W26,'סקרי נכסים-יתרות פתיחה'!$2:$110,92,0),0)*(1-W$309)</f>
        <v>0</v>
      </c>
      <c r="X127" s="1240">
        <f>+IFERROR(HLOOKUP(X26,'סקרי נכסים-יתרות פתיחה'!$2:$110,8,0),0)-IFERROR(HLOOKUP(X26,'סקרי נכסים-יתרות פתיחה'!$2:$110,92,0),0)*(1-X$309)</f>
        <v>0</v>
      </c>
      <c r="Y127" s="1240">
        <f>+IFERROR(HLOOKUP(Y26,'סקרי נכסים-יתרות פתיחה'!$2:$110,8,0),0)-IFERROR(HLOOKUP(Y26,'סקרי נכסים-יתרות פתיחה'!$2:$110,92,0),0)*(1-Y$309)</f>
        <v>0</v>
      </c>
      <c r="Z127" s="1240">
        <f>+IFERROR(HLOOKUP(Z26,'סקרי נכסים-יתרות פתיחה'!$2:$110,8,0),0)-IFERROR(HLOOKUP(Z26,'סקרי נכסים-יתרות פתיחה'!$2:$110,92,0),0)*(1-Z$309)</f>
        <v>0</v>
      </c>
      <c r="AA127" s="1240">
        <f>+IFERROR(HLOOKUP(AA26,'סקרי נכסים-יתרות פתיחה'!$2:$110,8,0),0)-IFERROR(HLOOKUP(AA26,'סקרי נכסים-יתרות פתיחה'!$2:$110,92,0),0)*(1-AA$309)</f>
        <v>0</v>
      </c>
      <c r="AB127" s="1240">
        <f>+IFERROR(HLOOKUP(AB26,'סקרי נכסים-יתרות פתיחה'!$2:$110,8,0),0)-IFERROR(HLOOKUP(AB26,'סקרי נכסים-יתרות פתיחה'!$2:$110,92,0),0)*(1-AB$309)</f>
        <v>0</v>
      </c>
      <c r="AC127" s="1240">
        <f>+IFERROR(HLOOKUP(AC26,'סקרי נכסים-יתרות פתיחה'!$2:$110,8,0),0)-IFERROR(HLOOKUP(AC26,'סקרי נכסים-יתרות פתיחה'!$2:$110,92,0),0)*(1-AC$309)</f>
        <v>0</v>
      </c>
      <c r="AD127" s="1240">
        <f>+IFERROR(HLOOKUP(AD26,'סקרי נכסים-יתרות פתיחה'!$2:$110,8,0),0)-IFERROR(HLOOKUP(AD26,'סקרי נכסים-יתרות פתיחה'!$2:$110,92,0),0)*(1-AD$309)</f>
        <v>0</v>
      </c>
      <c r="AE127" s="1240">
        <f>+IFERROR(HLOOKUP(AE26,'סקרי נכסים-יתרות פתיחה'!$2:$110,8,0),0)-IFERROR(HLOOKUP(AE26,'סקרי נכסים-יתרות פתיחה'!$2:$110,92,0),0)*(1-AE$309)</f>
        <v>0</v>
      </c>
      <c r="AF127" s="1240">
        <f>+IFERROR(HLOOKUP(AF26,'סקרי נכסים-יתרות פתיחה'!$2:$110,8,0),0)-IFERROR(HLOOKUP(AF26,'סקרי נכסים-יתרות פתיחה'!$2:$110,92,0),0)*(1-AF$309)</f>
        <v>0</v>
      </c>
      <c r="AG127" s="1240">
        <f>+IFERROR(HLOOKUP(AG26,'סקרי נכסים-יתרות פתיחה'!$2:$110,8,0),0)-IFERROR(HLOOKUP(AG26,'סקרי נכסים-יתרות פתיחה'!$2:$110,92,0),0)*(1-AG$309)</f>
        <v>0</v>
      </c>
      <c r="AH127" s="1240">
        <f>+IFERROR(HLOOKUP(AH26,'סקרי נכסים-יתרות פתיחה'!$2:$110,8,0),0)-IFERROR(HLOOKUP(AH26,'סקרי נכסים-יתרות פתיחה'!$2:$110,92,0),0)*(1-AH$309)</f>
        <v>0</v>
      </c>
      <c r="AI127" s="1240">
        <f>+IFERROR(HLOOKUP(AI26,'סקרי נכסים-יתרות פתיחה'!$2:$110,8,0),0)-IFERROR(HLOOKUP(AI26,'סקרי נכסים-יתרות פתיחה'!$2:$110,92,0),0)*(1-AI$309)</f>
        <v>0</v>
      </c>
      <c r="AJ127" s="1240">
        <f>+IFERROR(HLOOKUP(AJ26,'סקרי נכסים-יתרות פתיחה'!$2:$110,8,0),0)-IFERROR(HLOOKUP(AJ26,'סקרי נכסים-יתרות פתיחה'!$2:$110,92,0),0)*(1-AJ$309)</f>
        <v>0</v>
      </c>
      <c r="AK127" s="1240">
        <f>+IFERROR(HLOOKUP(AK26,'סקרי נכסים-יתרות פתיחה'!$2:$110,8,0),0)-IFERROR(HLOOKUP(AK26,'סקרי נכסים-יתרות פתיחה'!$2:$110,92,0),0)*(1-AK$309)</f>
        <v>0</v>
      </c>
      <c r="AL127" s="1240">
        <f>+IFERROR(HLOOKUP(AL26,'סקרי נכסים-יתרות פתיחה'!$2:$110,8,0),0)-IFERROR(HLOOKUP(AL26,'סקרי נכסים-יתרות פתיחה'!$2:$110,92,0),0)*(1-AL$309)</f>
        <v>0</v>
      </c>
      <c r="AM127" s="1240">
        <f>+IFERROR(HLOOKUP(AM26,'סקרי נכסים-יתרות פתיחה'!$2:$110,8,0),0)-IFERROR(HLOOKUP(AM26,'סקרי נכסים-יתרות פתיחה'!$2:$110,92,0),0)*(1-AM$309)</f>
        <v>0</v>
      </c>
      <c r="AN127" s="1240">
        <f>+IFERROR(HLOOKUP(AN26,'סקרי נכסים-יתרות פתיחה'!$2:$110,8,0),0)-IFERROR(HLOOKUP(AN26,'סקרי נכסים-יתרות פתיחה'!$2:$110,92,0),0)*(1-AN$309)</f>
        <v>0</v>
      </c>
      <c r="AO127" s="1240">
        <f>+IFERROR(HLOOKUP(AO26,'סקרי נכסים-יתרות פתיחה'!$2:$110,8,0),0)-IFERROR(HLOOKUP(AO26,'סקרי נכסים-יתרות פתיחה'!$2:$110,92,0),0)*(1-AO$309)</f>
        <v>0</v>
      </c>
      <c r="AP127" s="1240">
        <f>+IFERROR(HLOOKUP(AP26,'סקרי נכסים-יתרות פתיחה'!$2:$110,8,0),0)-IFERROR(HLOOKUP(AP26,'סקרי נכסים-יתרות פתיחה'!$2:$110,92,0),0)*(1-AP$309)</f>
        <v>0</v>
      </c>
      <c r="AQ127" s="1240">
        <f>+IFERROR(HLOOKUP(AQ26,'סקרי נכסים-יתרות פתיחה'!$2:$110,8,0),0)-IFERROR(HLOOKUP(AQ26,'סקרי נכסים-יתרות פתיחה'!$2:$110,92,0),0)*(1-AQ$309)</f>
        <v>0</v>
      </c>
      <c r="AR127" s="1240">
        <f>+IFERROR(HLOOKUP(AR26,'סקרי נכסים-יתרות פתיחה'!$2:$110,8,0),0)-IFERROR(HLOOKUP(AR26,'סקרי נכסים-יתרות פתיחה'!$2:$110,92,0),0)*(1-AR$309)</f>
        <v>0</v>
      </c>
      <c r="AS127" s="1240">
        <f>+IFERROR(HLOOKUP(AS26,'סקרי נכסים-יתרות פתיחה'!$2:$110,8,0),0)-IFERROR(HLOOKUP(AS26,'סקרי נכסים-יתרות פתיחה'!$2:$110,92,0),0)*(1-AS$309)</f>
        <v>0</v>
      </c>
      <c r="AT127" s="1240">
        <f>+IFERROR(HLOOKUP(AT26,'סקרי נכסים-יתרות פתיחה'!$2:$110,8,0),0)-IFERROR(HLOOKUP(AT26,'סקרי נכסים-יתרות פתיחה'!$2:$110,92,0),0)*(1-AT$309)</f>
        <v>0</v>
      </c>
      <c r="AU127" s="1240">
        <f>+IFERROR(HLOOKUP(AU26,'סקרי נכסים-יתרות פתיחה'!$2:$110,8,0),0)-IFERROR(HLOOKUP(AU26,'סקרי נכסים-יתרות פתיחה'!$2:$110,92,0),0)*(1-AU$309)</f>
        <v>0</v>
      </c>
      <c r="AV127" s="1240">
        <f>+IFERROR(HLOOKUP(AV26,'סקרי נכסים-יתרות פתיחה'!$2:$110,8,0),0)-IFERROR(HLOOKUP(AV26,'סקרי נכסים-יתרות פתיחה'!$2:$110,92,0),0)*(1-AV$309)</f>
        <v>0</v>
      </c>
      <c r="AW127" s="1240">
        <f>+IFERROR(HLOOKUP(AW26,'סקרי נכסים-יתרות פתיחה'!$2:$110,8,0),0)-IFERROR(HLOOKUP(AW26,'סקרי נכסים-יתרות פתיחה'!$2:$110,92,0),0)*(1-AW$309)</f>
        <v>0</v>
      </c>
      <c r="AX127" s="1240">
        <f>+IFERROR(HLOOKUP(AX26,'סקרי נכסים-יתרות פתיחה'!$2:$110,8,0),0)-IFERROR(HLOOKUP(AX26,'סקרי נכסים-יתרות פתיחה'!$2:$110,92,0),0)*(1-AX$309)</f>
        <v>0</v>
      </c>
      <c r="AY127" s="1240">
        <f>+IFERROR(HLOOKUP(AY26,'סקרי נכסים-יתרות פתיחה'!$2:$110,8,0),0)-IFERROR(HLOOKUP(AY26,'סקרי נכסים-יתרות פתיחה'!$2:$110,92,0),0)*(1-AY$309)</f>
        <v>0</v>
      </c>
      <c r="AZ127" s="1240">
        <f>+IFERROR(HLOOKUP(AZ26,'סקרי נכסים-יתרות פתיחה'!$2:$110,8,0),0)-IFERROR(HLOOKUP(AZ26,'סקרי נכסים-יתרות פתיחה'!$2:$110,92,0),0)*(1-AZ$309)</f>
        <v>0</v>
      </c>
      <c r="BA127" s="1240">
        <f>+IFERROR(HLOOKUP(BA26,'סקרי נכסים-יתרות פתיחה'!$2:$110,8,0),0)-IFERROR(HLOOKUP(BA26,'סקרי נכסים-יתרות פתיחה'!$2:$110,92,0),0)*(1-BA$309)</f>
        <v>0</v>
      </c>
      <c r="BB127" s="1240">
        <f>+IFERROR(HLOOKUP(BB26,'סקרי נכסים-יתרות פתיחה'!$2:$110,8,0),0)-IFERROR(HLOOKUP(BB26,'סקרי נכסים-יתרות פתיחה'!$2:$110,92,0),0)*(1-BB$309)</f>
        <v>0</v>
      </c>
      <c r="BC127" s="1240">
        <f>+IFERROR(HLOOKUP(BC26,'סקרי נכסים-יתרות פתיחה'!$2:$110,8,0),0)-IFERROR(HLOOKUP(BC26,'סקרי נכסים-יתרות פתיחה'!$2:$110,92,0),0)*(1-BC$309)</f>
        <v>0</v>
      </c>
      <c r="BD127" s="1240">
        <f>+IFERROR(HLOOKUP(BD26,'סקרי נכסים-יתרות פתיחה'!$2:$110,8,0),0)-IFERROR(HLOOKUP(BD26,'סקרי נכסים-יתרות פתיחה'!$2:$110,92,0),0)*(1-BD$309)</f>
        <v>0</v>
      </c>
      <c r="BE127" s="1240">
        <f>+IFERROR(HLOOKUP(BE26,'סקרי נכסים-יתרות פתיחה'!$2:$110,8,0),0)-IFERROR(HLOOKUP(BE26,'סקרי נכסים-יתרות פתיחה'!$2:$110,92,0),0)*(1-BE$309)</f>
        <v>0</v>
      </c>
      <c r="BF127" s="1240">
        <f>+IFERROR(HLOOKUP(BF26,'סקרי נכסים-יתרות פתיחה'!$2:$110,8,0),0)-IFERROR(HLOOKUP(BF26,'סקרי נכסים-יתרות פתיחה'!$2:$110,92,0),0)*(1-BF$309)</f>
        <v>0</v>
      </c>
    </row>
    <row r="128" spans="2:58" x14ac:dyDescent="0.2">
      <c r="B128" s="1">
        <v>24</v>
      </c>
      <c r="C128" s="1240">
        <f>+IFERROR(HLOOKUP(C27,'סקרי נכסים-יתרות פתיחה'!$2:$110,8,0),0)-IFERROR(HLOOKUP(C27,'סקרי נכסים-יתרות פתיחה'!$2:$110,92,0),0)*(1-C$309)</f>
        <v>0</v>
      </c>
      <c r="D128" s="1240">
        <f>+IFERROR(HLOOKUP(D27,'סקרי נכסים-יתרות פתיחה'!$2:$110,8,0),0)-IFERROR(HLOOKUP(D27,'סקרי נכסים-יתרות פתיחה'!$2:$110,92,0),0)*(1-D$309)</f>
        <v>0</v>
      </c>
      <c r="E128" s="1240">
        <f>+IFERROR(HLOOKUP(E27,'סקרי נכסים-יתרות פתיחה'!$2:$110,8,0),0)-IFERROR(HLOOKUP(E27,'סקרי נכסים-יתרות פתיחה'!$2:$110,92,0),0)*(1-E$309)</f>
        <v>0</v>
      </c>
      <c r="F128" s="1240">
        <f>+IFERROR(HLOOKUP(F27,'סקרי נכסים-יתרות פתיחה'!$2:$110,8,0),0)-IFERROR(HLOOKUP(F27,'סקרי נכסים-יתרות פתיחה'!$2:$110,92,0),0)*(1-F$309)</f>
        <v>0</v>
      </c>
      <c r="G128" s="1240">
        <f>+IFERROR(HLOOKUP(G27,'סקרי נכסים-יתרות פתיחה'!$2:$110,8,0),0)-IFERROR(HLOOKUP(G27,'סקרי נכסים-יתרות פתיחה'!$2:$110,92,0),0)*(1-G$309)</f>
        <v>0</v>
      </c>
      <c r="H128" s="1240">
        <f>+IFERROR(HLOOKUP(H27,'סקרי נכסים-יתרות פתיחה'!$2:$110,8,0),0)-IFERROR(HLOOKUP(H27,'סקרי נכסים-יתרות פתיחה'!$2:$110,92,0),0)*(1-H$309)</f>
        <v>0</v>
      </c>
      <c r="I128" s="1240">
        <f>+IFERROR(HLOOKUP(I27,'סקרי נכסים-יתרות פתיחה'!$2:$110,8,0),0)-IFERROR(HLOOKUP(I27,'סקרי נכסים-יתרות פתיחה'!$2:$110,92,0),0)*(1-I$309)</f>
        <v>0</v>
      </c>
      <c r="J128" s="1240">
        <f>+IFERROR(HLOOKUP(J27,'סקרי נכסים-יתרות פתיחה'!$2:$110,8,0),0)-IFERROR(HLOOKUP(J27,'סקרי נכסים-יתרות פתיחה'!$2:$110,92,0),0)*(1-J$309)</f>
        <v>0</v>
      </c>
      <c r="K128" s="1240">
        <f>+IFERROR(HLOOKUP(K27,'סקרי נכסים-יתרות פתיחה'!$2:$110,8,0),0)-IFERROR(HLOOKUP(K27,'סקרי נכסים-יתרות פתיחה'!$2:$110,92,0),0)*(1-K$309)</f>
        <v>0</v>
      </c>
      <c r="L128" s="1240">
        <f>+IFERROR(HLOOKUP(L27,'סקרי נכסים-יתרות פתיחה'!$2:$110,8,0),0)-IFERROR(HLOOKUP(L27,'סקרי נכסים-יתרות פתיחה'!$2:$110,92,0),0)*(1-L$309)</f>
        <v>0</v>
      </c>
      <c r="M128" s="1240">
        <f>+IFERROR(HLOOKUP(M27,'סקרי נכסים-יתרות פתיחה'!$2:$110,8,0),0)-IFERROR(HLOOKUP(M27,'סקרי נכסים-יתרות פתיחה'!$2:$110,92,0),0)*(1-M$309)</f>
        <v>0</v>
      </c>
      <c r="N128" s="1240">
        <f>+IFERROR(HLOOKUP(N27,'סקרי נכסים-יתרות פתיחה'!$2:$110,8,0),0)-IFERROR(HLOOKUP(N27,'סקרי נכסים-יתרות פתיחה'!$2:$110,92,0),0)*(1-N$309)</f>
        <v>0</v>
      </c>
      <c r="O128" s="1240">
        <f>+IFERROR(HLOOKUP(O27,'סקרי נכסים-יתרות פתיחה'!$2:$110,8,0),0)-IFERROR(HLOOKUP(O27,'סקרי נכסים-יתרות פתיחה'!$2:$110,92,0),0)*(1-O$309)</f>
        <v>0</v>
      </c>
      <c r="P128" s="1240">
        <f>+IFERROR(HLOOKUP(P27,'סקרי נכסים-יתרות פתיחה'!$2:$110,8,0),0)-IFERROR(HLOOKUP(P27,'סקרי נכסים-יתרות פתיחה'!$2:$110,92,0),0)*(1-P$309)</f>
        <v>0</v>
      </c>
      <c r="Q128" s="1240">
        <f>+IFERROR(HLOOKUP(Q27,'סקרי נכסים-יתרות פתיחה'!$2:$110,8,0),0)-IFERROR(HLOOKUP(Q27,'סקרי נכסים-יתרות פתיחה'!$2:$110,92,0),0)*(1-Q$309)</f>
        <v>0</v>
      </c>
      <c r="R128" s="1240">
        <f>+IFERROR(HLOOKUP(R27,'סקרי נכסים-יתרות פתיחה'!$2:$110,8,0),0)-IFERROR(HLOOKUP(R27,'סקרי נכסים-יתרות פתיחה'!$2:$110,92,0),0)*(1-R$309)</f>
        <v>0</v>
      </c>
      <c r="S128" s="1240">
        <f>+IFERROR(HLOOKUP(S27,'סקרי נכסים-יתרות פתיחה'!$2:$110,8,0),0)-IFERROR(HLOOKUP(S27,'סקרי נכסים-יתרות פתיחה'!$2:$110,92,0),0)*(1-S$309)</f>
        <v>0</v>
      </c>
      <c r="T128" s="1240">
        <f>+IFERROR(HLOOKUP(T27,'סקרי נכסים-יתרות פתיחה'!$2:$110,8,0),0)-IFERROR(HLOOKUP(T27,'סקרי נכסים-יתרות פתיחה'!$2:$110,92,0),0)*(1-T$309)</f>
        <v>0</v>
      </c>
      <c r="U128" s="1240">
        <f>+IFERROR(HLOOKUP(U27,'סקרי נכסים-יתרות פתיחה'!$2:$110,8,0),0)-IFERROR(HLOOKUP(U27,'סקרי נכסים-יתרות פתיחה'!$2:$110,92,0),0)*(1-U$309)</f>
        <v>0</v>
      </c>
      <c r="V128" s="1240">
        <f>+IFERROR(HLOOKUP(V27,'סקרי נכסים-יתרות פתיחה'!$2:$110,8,0),0)-IFERROR(HLOOKUP(V27,'סקרי נכסים-יתרות פתיחה'!$2:$110,92,0),0)*(1-V$309)</f>
        <v>0</v>
      </c>
      <c r="W128" s="1240">
        <f>+IFERROR(HLOOKUP(W27,'סקרי נכסים-יתרות פתיחה'!$2:$110,8,0),0)-IFERROR(HLOOKUP(W27,'סקרי נכסים-יתרות פתיחה'!$2:$110,92,0),0)*(1-W$309)</f>
        <v>0</v>
      </c>
      <c r="X128" s="1240">
        <f>+IFERROR(HLOOKUP(X27,'סקרי נכסים-יתרות פתיחה'!$2:$110,8,0),0)-IFERROR(HLOOKUP(X27,'סקרי נכסים-יתרות פתיחה'!$2:$110,92,0),0)*(1-X$309)</f>
        <v>0</v>
      </c>
      <c r="Y128" s="1240">
        <f>+IFERROR(HLOOKUP(Y27,'סקרי נכסים-יתרות פתיחה'!$2:$110,8,0),0)-IFERROR(HLOOKUP(Y27,'סקרי נכסים-יתרות פתיחה'!$2:$110,92,0),0)*(1-Y$309)</f>
        <v>0</v>
      </c>
      <c r="Z128" s="1240">
        <f>+IFERROR(HLOOKUP(Z27,'סקרי נכסים-יתרות פתיחה'!$2:$110,8,0),0)-IFERROR(HLOOKUP(Z27,'סקרי נכסים-יתרות פתיחה'!$2:$110,92,0),0)*(1-Z$309)</f>
        <v>0</v>
      </c>
      <c r="AA128" s="1240">
        <f>+IFERROR(HLOOKUP(AA27,'סקרי נכסים-יתרות פתיחה'!$2:$110,8,0),0)-IFERROR(HLOOKUP(AA27,'סקרי נכסים-יתרות פתיחה'!$2:$110,92,0),0)*(1-AA$309)</f>
        <v>0</v>
      </c>
      <c r="AB128" s="1240">
        <f>+IFERROR(HLOOKUP(AB27,'סקרי נכסים-יתרות פתיחה'!$2:$110,8,0),0)-IFERROR(HLOOKUP(AB27,'סקרי נכסים-יתרות פתיחה'!$2:$110,92,0),0)*(1-AB$309)</f>
        <v>0</v>
      </c>
      <c r="AC128" s="1240">
        <f>+IFERROR(HLOOKUP(AC27,'סקרי נכסים-יתרות פתיחה'!$2:$110,8,0),0)-IFERROR(HLOOKUP(AC27,'סקרי נכסים-יתרות פתיחה'!$2:$110,92,0),0)*(1-AC$309)</f>
        <v>0</v>
      </c>
      <c r="AD128" s="1240">
        <f>+IFERROR(HLOOKUP(AD27,'סקרי נכסים-יתרות פתיחה'!$2:$110,8,0),0)-IFERROR(HLOOKUP(AD27,'סקרי נכסים-יתרות פתיחה'!$2:$110,92,0),0)*(1-AD$309)</f>
        <v>0</v>
      </c>
      <c r="AE128" s="1240">
        <f>+IFERROR(HLOOKUP(AE27,'סקרי נכסים-יתרות פתיחה'!$2:$110,8,0),0)-IFERROR(HLOOKUP(AE27,'סקרי נכסים-יתרות פתיחה'!$2:$110,92,0),0)*(1-AE$309)</f>
        <v>0</v>
      </c>
      <c r="AF128" s="1240">
        <f>+IFERROR(HLOOKUP(AF27,'סקרי נכסים-יתרות פתיחה'!$2:$110,8,0),0)-IFERROR(HLOOKUP(AF27,'סקרי נכסים-יתרות פתיחה'!$2:$110,92,0),0)*(1-AF$309)</f>
        <v>0</v>
      </c>
      <c r="AG128" s="1240">
        <f>+IFERROR(HLOOKUP(AG27,'סקרי נכסים-יתרות פתיחה'!$2:$110,8,0),0)-IFERROR(HLOOKUP(AG27,'סקרי נכסים-יתרות פתיחה'!$2:$110,92,0),0)*(1-AG$309)</f>
        <v>0</v>
      </c>
      <c r="AH128" s="1240">
        <f>+IFERROR(HLOOKUP(AH27,'סקרי נכסים-יתרות פתיחה'!$2:$110,8,0),0)-IFERROR(HLOOKUP(AH27,'סקרי נכסים-יתרות פתיחה'!$2:$110,92,0),0)*(1-AH$309)</f>
        <v>0</v>
      </c>
      <c r="AI128" s="1240">
        <f>+IFERROR(HLOOKUP(AI27,'סקרי נכסים-יתרות פתיחה'!$2:$110,8,0),0)-IFERROR(HLOOKUP(AI27,'סקרי נכסים-יתרות פתיחה'!$2:$110,92,0),0)*(1-AI$309)</f>
        <v>0</v>
      </c>
      <c r="AJ128" s="1240">
        <f>+IFERROR(HLOOKUP(AJ27,'סקרי נכסים-יתרות פתיחה'!$2:$110,8,0),0)-IFERROR(HLOOKUP(AJ27,'סקרי נכסים-יתרות פתיחה'!$2:$110,92,0),0)*(1-AJ$309)</f>
        <v>0</v>
      </c>
      <c r="AK128" s="1240">
        <f>+IFERROR(HLOOKUP(AK27,'סקרי נכסים-יתרות פתיחה'!$2:$110,8,0),0)-IFERROR(HLOOKUP(AK27,'סקרי נכסים-יתרות פתיחה'!$2:$110,92,0),0)*(1-AK$309)</f>
        <v>0</v>
      </c>
      <c r="AL128" s="1240">
        <f>+IFERROR(HLOOKUP(AL27,'סקרי נכסים-יתרות פתיחה'!$2:$110,8,0),0)-IFERROR(HLOOKUP(AL27,'סקרי נכסים-יתרות פתיחה'!$2:$110,92,0),0)*(1-AL$309)</f>
        <v>0</v>
      </c>
      <c r="AM128" s="1240">
        <f>+IFERROR(HLOOKUP(AM27,'סקרי נכסים-יתרות פתיחה'!$2:$110,8,0),0)-IFERROR(HLOOKUP(AM27,'סקרי נכסים-יתרות פתיחה'!$2:$110,92,0),0)*(1-AM$309)</f>
        <v>0</v>
      </c>
      <c r="AN128" s="1240">
        <f>+IFERROR(HLOOKUP(AN27,'סקרי נכסים-יתרות פתיחה'!$2:$110,8,0),0)-IFERROR(HLOOKUP(AN27,'סקרי נכסים-יתרות פתיחה'!$2:$110,92,0),0)*(1-AN$309)</f>
        <v>0</v>
      </c>
      <c r="AO128" s="1240">
        <f>+IFERROR(HLOOKUP(AO27,'סקרי נכסים-יתרות פתיחה'!$2:$110,8,0),0)-IFERROR(HLOOKUP(AO27,'סקרי נכסים-יתרות פתיחה'!$2:$110,92,0),0)*(1-AO$309)</f>
        <v>0</v>
      </c>
      <c r="AP128" s="1240">
        <f>+IFERROR(HLOOKUP(AP27,'סקרי נכסים-יתרות פתיחה'!$2:$110,8,0),0)-IFERROR(HLOOKUP(AP27,'סקרי נכסים-יתרות פתיחה'!$2:$110,92,0),0)*(1-AP$309)</f>
        <v>0</v>
      </c>
      <c r="AQ128" s="1240">
        <f>+IFERROR(HLOOKUP(AQ27,'סקרי נכסים-יתרות פתיחה'!$2:$110,8,0),0)-IFERROR(HLOOKUP(AQ27,'סקרי נכסים-יתרות פתיחה'!$2:$110,92,0),0)*(1-AQ$309)</f>
        <v>0</v>
      </c>
      <c r="AR128" s="1240">
        <f>+IFERROR(HLOOKUP(AR27,'סקרי נכסים-יתרות פתיחה'!$2:$110,8,0),0)-IFERROR(HLOOKUP(AR27,'סקרי נכסים-יתרות פתיחה'!$2:$110,92,0),0)*(1-AR$309)</f>
        <v>0</v>
      </c>
      <c r="AS128" s="1240">
        <f>+IFERROR(HLOOKUP(AS27,'סקרי נכסים-יתרות פתיחה'!$2:$110,8,0),0)-IFERROR(HLOOKUP(AS27,'סקרי נכסים-יתרות פתיחה'!$2:$110,92,0),0)*(1-AS$309)</f>
        <v>0</v>
      </c>
      <c r="AT128" s="1240">
        <f>+IFERROR(HLOOKUP(AT27,'סקרי נכסים-יתרות פתיחה'!$2:$110,8,0),0)-IFERROR(HLOOKUP(AT27,'סקרי נכסים-יתרות פתיחה'!$2:$110,92,0),0)*(1-AT$309)</f>
        <v>0</v>
      </c>
      <c r="AU128" s="1240">
        <f>+IFERROR(HLOOKUP(AU27,'סקרי נכסים-יתרות פתיחה'!$2:$110,8,0),0)-IFERROR(HLOOKUP(AU27,'סקרי נכסים-יתרות פתיחה'!$2:$110,92,0),0)*(1-AU$309)</f>
        <v>0</v>
      </c>
      <c r="AV128" s="1240">
        <f>+IFERROR(HLOOKUP(AV27,'סקרי נכסים-יתרות פתיחה'!$2:$110,8,0),0)-IFERROR(HLOOKUP(AV27,'סקרי נכסים-יתרות פתיחה'!$2:$110,92,0),0)*(1-AV$309)</f>
        <v>0</v>
      </c>
      <c r="AW128" s="1240">
        <f>+IFERROR(HLOOKUP(AW27,'סקרי נכסים-יתרות פתיחה'!$2:$110,8,0),0)-IFERROR(HLOOKUP(AW27,'סקרי נכסים-יתרות פתיחה'!$2:$110,92,0),0)*(1-AW$309)</f>
        <v>0</v>
      </c>
      <c r="AX128" s="1240">
        <f>+IFERROR(HLOOKUP(AX27,'סקרי נכסים-יתרות פתיחה'!$2:$110,8,0),0)-IFERROR(HLOOKUP(AX27,'סקרי נכסים-יתרות פתיחה'!$2:$110,92,0),0)*(1-AX$309)</f>
        <v>0</v>
      </c>
      <c r="AY128" s="1240">
        <f>+IFERROR(HLOOKUP(AY27,'סקרי נכסים-יתרות פתיחה'!$2:$110,8,0),0)-IFERROR(HLOOKUP(AY27,'סקרי נכסים-יתרות פתיחה'!$2:$110,92,0),0)*(1-AY$309)</f>
        <v>0</v>
      </c>
      <c r="AZ128" s="1240">
        <f>+IFERROR(HLOOKUP(AZ27,'סקרי נכסים-יתרות פתיחה'!$2:$110,8,0),0)-IFERROR(HLOOKUP(AZ27,'סקרי נכסים-יתרות פתיחה'!$2:$110,92,0),0)*(1-AZ$309)</f>
        <v>0</v>
      </c>
      <c r="BA128" s="1240">
        <f>+IFERROR(HLOOKUP(BA27,'סקרי נכסים-יתרות פתיחה'!$2:$110,8,0),0)-IFERROR(HLOOKUP(BA27,'סקרי נכסים-יתרות פתיחה'!$2:$110,92,0),0)*(1-BA$309)</f>
        <v>0</v>
      </c>
      <c r="BB128" s="1240">
        <f>+IFERROR(HLOOKUP(BB27,'סקרי נכסים-יתרות פתיחה'!$2:$110,8,0),0)-IFERROR(HLOOKUP(BB27,'סקרי נכסים-יתרות פתיחה'!$2:$110,92,0),0)*(1-BB$309)</f>
        <v>0</v>
      </c>
      <c r="BC128" s="1240">
        <f>+IFERROR(HLOOKUP(BC27,'סקרי נכסים-יתרות פתיחה'!$2:$110,8,0),0)-IFERROR(HLOOKUP(BC27,'סקרי נכסים-יתרות פתיחה'!$2:$110,92,0),0)*(1-BC$309)</f>
        <v>0</v>
      </c>
      <c r="BD128" s="1240">
        <f>+IFERROR(HLOOKUP(BD27,'סקרי נכסים-יתרות פתיחה'!$2:$110,8,0),0)-IFERROR(HLOOKUP(BD27,'סקרי נכסים-יתרות פתיחה'!$2:$110,92,0),0)*(1-BD$309)</f>
        <v>0</v>
      </c>
      <c r="BE128" s="1240">
        <f>+IFERROR(HLOOKUP(BE27,'סקרי נכסים-יתרות פתיחה'!$2:$110,8,0),0)-IFERROR(HLOOKUP(BE27,'סקרי נכסים-יתרות פתיחה'!$2:$110,92,0),0)*(1-BE$309)</f>
        <v>0</v>
      </c>
      <c r="BF128" s="1240">
        <f>+IFERROR(HLOOKUP(BF27,'סקרי נכסים-יתרות פתיחה'!$2:$110,8,0),0)-IFERROR(HLOOKUP(BF27,'סקרי נכסים-יתרות פתיחה'!$2:$110,92,0),0)*(1-BF$309)</f>
        <v>0</v>
      </c>
    </row>
    <row r="129" spans="1:61" x14ac:dyDescent="0.2">
      <c r="B129" s="1">
        <v>25</v>
      </c>
      <c r="C129" s="1240">
        <f>+IFERROR(HLOOKUP(C28,'סקרי נכסים-יתרות פתיחה'!$2:$110,8,0),0)-IFERROR(HLOOKUP(C28,'סקרי נכסים-יתרות פתיחה'!$2:$110,92,0),0)*(1-C$309)</f>
        <v>0</v>
      </c>
      <c r="D129" s="1240">
        <f>+IFERROR(HLOOKUP(D28,'סקרי נכסים-יתרות פתיחה'!$2:$110,8,0),0)-IFERROR(HLOOKUP(D28,'סקרי נכסים-יתרות פתיחה'!$2:$110,92,0),0)*(1-D$309)</f>
        <v>0</v>
      </c>
      <c r="E129" s="1240">
        <f>+IFERROR(HLOOKUP(E28,'סקרי נכסים-יתרות פתיחה'!$2:$110,8,0),0)-IFERROR(HLOOKUP(E28,'סקרי נכסים-יתרות פתיחה'!$2:$110,92,0),0)*(1-E$309)</f>
        <v>0</v>
      </c>
      <c r="F129" s="1240">
        <f>+IFERROR(HLOOKUP(F28,'סקרי נכסים-יתרות פתיחה'!$2:$110,8,0),0)-IFERROR(HLOOKUP(F28,'סקרי נכסים-יתרות פתיחה'!$2:$110,92,0),0)*(1-F$309)</f>
        <v>0</v>
      </c>
      <c r="G129" s="1240">
        <f>+IFERROR(HLOOKUP(G28,'סקרי נכסים-יתרות פתיחה'!$2:$110,8,0),0)-IFERROR(HLOOKUP(G28,'סקרי נכסים-יתרות פתיחה'!$2:$110,92,0),0)*(1-G$309)</f>
        <v>0</v>
      </c>
      <c r="H129" s="1240">
        <f>+IFERROR(HLOOKUP(H28,'סקרי נכסים-יתרות פתיחה'!$2:$110,8,0),0)-IFERROR(HLOOKUP(H28,'סקרי נכסים-יתרות פתיחה'!$2:$110,92,0),0)*(1-H$309)</f>
        <v>0</v>
      </c>
      <c r="I129" s="1240">
        <f>+IFERROR(HLOOKUP(I28,'סקרי נכסים-יתרות פתיחה'!$2:$110,8,0),0)-IFERROR(HLOOKUP(I28,'סקרי נכסים-יתרות פתיחה'!$2:$110,92,0),0)*(1-I$309)</f>
        <v>0</v>
      </c>
      <c r="J129" s="1240">
        <f>+IFERROR(HLOOKUP(J28,'סקרי נכסים-יתרות פתיחה'!$2:$110,8,0),0)-IFERROR(HLOOKUP(J28,'סקרי נכסים-יתרות פתיחה'!$2:$110,92,0),0)*(1-J$309)</f>
        <v>0</v>
      </c>
      <c r="K129" s="1240">
        <f>+IFERROR(HLOOKUP(K28,'סקרי נכסים-יתרות פתיחה'!$2:$110,8,0),0)-IFERROR(HLOOKUP(K28,'סקרי נכסים-יתרות פתיחה'!$2:$110,92,0),0)*(1-K$309)</f>
        <v>0</v>
      </c>
      <c r="L129" s="1240">
        <f>+IFERROR(HLOOKUP(L28,'סקרי נכסים-יתרות פתיחה'!$2:$110,8,0),0)-IFERROR(HLOOKUP(L28,'סקרי נכסים-יתרות פתיחה'!$2:$110,92,0),0)*(1-L$309)</f>
        <v>0</v>
      </c>
      <c r="M129" s="1240">
        <f>+IFERROR(HLOOKUP(M28,'סקרי נכסים-יתרות פתיחה'!$2:$110,8,0),0)-IFERROR(HLOOKUP(M28,'סקרי נכסים-יתרות פתיחה'!$2:$110,92,0),0)*(1-M$309)</f>
        <v>0</v>
      </c>
      <c r="N129" s="1240">
        <f>+IFERROR(HLOOKUP(N28,'סקרי נכסים-יתרות פתיחה'!$2:$110,8,0),0)-IFERROR(HLOOKUP(N28,'סקרי נכסים-יתרות פתיחה'!$2:$110,92,0),0)*(1-N$309)</f>
        <v>0</v>
      </c>
      <c r="O129" s="1240">
        <f>+IFERROR(HLOOKUP(O28,'סקרי נכסים-יתרות פתיחה'!$2:$110,8,0),0)-IFERROR(HLOOKUP(O28,'סקרי נכסים-יתרות פתיחה'!$2:$110,92,0),0)*(1-O$309)</f>
        <v>0</v>
      </c>
      <c r="P129" s="1240">
        <f>+IFERROR(HLOOKUP(P28,'סקרי נכסים-יתרות פתיחה'!$2:$110,8,0),0)-IFERROR(HLOOKUP(P28,'סקרי נכסים-יתרות פתיחה'!$2:$110,92,0),0)*(1-P$309)</f>
        <v>0</v>
      </c>
      <c r="Q129" s="1240">
        <f>+IFERROR(HLOOKUP(Q28,'סקרי נכסים-יתרות פתיחה'!$2:$110,8,0),0)-IFERROR(HLOOKUP(Q28,'סקרי נכסים-יתרות פתיחה'!$2:$110,92,0),0)*(1-Q$309)</f>
        <v>0</v>
      </c>
      <c r="R129" s="1240">
        <f>+IFERROR(HLOOKUP(R28,'סקרי נכסים-יתרות פתיחה'!$2:$110,8,0),0)-IFERROR(HLOOKUP(R28,'סקרי נכסים-יתרות פתיחה'!$2:$110,92,0),0)*(1-R$309)</f>
        <v>0</v>
      </c>
      <c r="S129" s="1240">
        <f>+IFERROR(HLOOKUP(S28,'סקרי נכסים-יתרות פתיחה'!$2:$110,8,0),0)-IFERROR(HLOOKUP(S28,'סקרי נכסים-יתרות פתיחה'!$2:$110,92,0),0)*(1-S$309)</f>
        <v>0</v>
      </c>
      <c r="T129" s="1240">
        <f>+IFERROR(HLOOKUP(T28,'סקרי נכסים-יתרות פתיחה'!$2:$110,8,0),0)-IFERROR(HLOOKUP(T28,'סקרי נכסים-יתרות פתיחה'!$2:$110,92,0),0)*(1-T$309)</f>
        <v>0</v>
      </c>
      <c r="U129" s="1240">
        <f>+IFERROR(HLOOKUP(U28,'סקרי נכסים-יתרות פתיחה'!$2:$110,8,0),0)-IFERROR(HLOOKUP(U28,'סקרי נכסים-יתרות פתיחה'!$2:$110,92,0),0)*(1-U$309)</f>
        <v>0</v>
      </c>
      <c r="V129" s="1240">
        <f>+IFERROR(HLOOKUP(V28,'סקרי נכסים-יתרות פתיחה'!$2:$110,8,0),0)-IFERROR(HLOOKUP(V28,'סקרי נכסים-יתרות פתיחה'!$2:$110,92,0),0)*(1-V$309)</f>
        <v>0</v>
      </c>
      <c r="W129" s="1240">
        <f>+IFERROR(HLOOKUP(W28,'סקרי נכסים-יתרות פתיחה'!$2:$110,8,0),0)-IFERROR(HLOOKUP(W28,'סקרי נכסים-יתרות פתיחה'!$2:$110,92,0),0)*(1-W$309)</f>
        <v>0</v>
      </c>
      <c r="X129" s="1240">
        <f>+IFERROR(HLOOKUP(X28,'סקרי נכסים-יתרות פתיחה'!$2:$110,8,0),0)-IFERROR(HLOOKUP(X28,'סקרי נכסים-יתרות פתיחה'!$2:$110,92,0),0)*(1-X$309)</f>
        <v>0</v>
      </c>
      <c r="Y129" s="1240">
        <f>+IFERROR(HLOOKUP(Y28,'סקרי נכסים-יתרות פתיחה'!$2:$110,8,0),0)-IFERROR(HLOOKUP(Y28,'סקרי נכסים-יתרות פתיחה'!$2:$110,92,0),0)*(1-Y$309)</f>
        <v>0</v>
      </c>
      <c r="Z129" s="1240">
        <f>+IFERROR(HLOOKUP(Z28,'סקרי נכסים-יתרות פתיחה'!$2:$110,8,0),0)-IFERROR(HLOOKUP(Z28,'סקרי נכסים-יתרות פתיחה'!$2:$110,92,0),0)*(1-Z$309)</f>
        <v>0</v>
      </c>
      <c r="AA129" s="1240">
        <f>+IFERROR(HLOOKUP(AA28,'סקרי נכסים-יתרות פתיחה'!$2:$110,8,0),0)-IFERROR(HLOOKUP(AA28,'סקרי נכסים-יתרות פתיחה'!$2:$110,92,0),0)*(1-AA$309)</f>
        <v>0</v>
      </c>
      <c r="AB129" s="1240">
        <f>+IFERROR(HLOOKUP(AB28,'סקרי נכסים-יתרות פתיחה'!$2:$110,8,0),0)-IFERROR(HLOOKUP(AB28,'סקרי נכסים-יתרות פתיחה'!$2:$110,92,0),0)*(1-AB$309)</f>
        <v>0</v>
      </c>
      <c r="AC129" s="1240">
        <f>+IFERROR(HLOOKUP(AC28,'סקרי נכסים-יתרות פתיחה'!$2:$110,8,0),0)-IFERROR(HLOOKUP(AC28,'סקרי נכסים-יתרות פתיחה'!$2:$110,92,0),0)*(1-AC$309)</f>
        <v>0</v>
      </c>
      <c r="AD129" s="1240">
        <f>+IFERROR(HLOOKUP(AD28,'סקרי נכסים-יתרות פתיחה'!$2:$110,8,0),0)-IFERROR(HLOOKUP(AD28,'סקרי נכסים-יתרות פתיחה'!$2:$110,92,0),0)*(1-AD$309)</f>
        <v>0</v>
      </c>
      <c r="AE129" s="1240">
        <f>+IFERROR(HLOOKUP(AE28,'סקרי נכסים-יתרות פתיחה'!$2:$110,8,0),0)-IFERROR(HLOOKUP(AE28,'סקרי נכסים-יתרות פתיחה'!$2:$110,92,0),0)*(1-AE$309)</f>
        <v>0</v>
      </c>
      <c r="AF129" s="1240">
        <f>+IFERROR(HLOOKUP(AF28,'סקרי נכסים-יתרות פתיחה'!$2:$110,8,0),0)-IFERROR(HLOOKUP(AF28,'סקרי נכסים-יתרות פתיחה'!$2:$110,92,0),0)*(1-AF$309)</f>
        <v>0</v>
      </c>
      <c r="AG129" s="1240">
        <f>+IFERROR(HLOOKUP(AG28,'סקרי נכסים-יתרות פתיחה'!$2:$110,8,0),0)-IFERROR(HLOOKUP(AG28,'סקרי נכסים-יתרות פתיחה'!$2:$110,92,0),0)*(1-AG$309)</f>
        <v>0</v>
      </c>
      <c r="AH129" s="1240">
        <f>+IFERROR(HLOOKUP(AH28,'סקרי נכסים-יתרות פתיחה'!$2:$110,8,0),0)-IFERROR(HLOOKUP(AH28,'סקרי נכסים-יתרות פתיחה'!$2:$110,92,0),0)*(1-AH$309)</f>
        <v>0</v>
      </c>
      <c r="AI129" s="1240">
        <f>+IFERROR(HLOOKUP(AI28,'סקרי נכסים-יתרות פתיחה'!$2:$110,8,0),0)-IFERROR(HLOOKUP(AI28,'סקרי נכסים-יתרות פתיחה'!$2:$110,92,0),0)*(1-AI$309)</f>
        <v>0</v>
      </c>
      <c r="AJ129" s="1240">
        <f>+IFERROR(HLOOKUP(AJ28,'סקרי נכסים-יתרות פתיחה'!$2:$110,8,0),0)-IFERROR(HLOOKUP(AJ28,'סקרי נכסים-יתרות פתיחה'!$2:$110,92,0),0)*(1-AJ$309)</f>
        <v>0</v>
      </c>
      <c r="AK129" s="1240">
        <f>+IFERROR(HLOOKUP(AK28,'סקרי נכסים-יתרות פתיחה'!$2:$110,8,0),0)-IFERROR(HLOOKUP(AK28,'סקרי נכסים-יתרות פתיחה'!$2:$110,92,0),0)*(1-AK$309)</f>
        <v>0</v>
      </c>
      <c r="AL129" s="1240">
        <f>+IFERROR(HLOOKUP(AL28,'סקרי נכסים-יתרות פתיחה'!$2:$110,8,0),0)-IFERROR(HLOOKUP(AL28,'סקרי נכסים-יתרות פתיחה'!$2:$110,92,0),0)*(1-AL$309)</f>
        <v>0</v>
      </c>
      <c r="AM129" s="1240">
        <f>+IFERROR(HLOOKUP(AM28,'סקרי נכסים-יתרות פתיחה'!$2:$110,8,0),0)-IFERROR(HLOOKUP(AM28,'סקרי נכסים-יתרות פתיחה'!$2:$110,92,0),0)*(1-AM$309)</f>
        <v>0</v>
      </c>
      <c r="AN129" s="1240">
        <f>+IFERROR(HLOOKUP(AN28,'סקרי נכסים-יתרות פתיחה'!$2:$110,8,0),0)-IFERROR(HLOOKUP(AN28,'סקרי נכסים-יתרות פתיחה'!$2:$110,92,0),0)*(1-AN$309)</f>
        <v>0</v>
      </c>
      <c r="AO129" s="1240">
        <f>+IFERROR(HLOOKUP(AO28,'סקרי נכסים-יתרות פתיחה'!$2:$110,8,0),0)-IFERROR(HLOOKUP(AO28,'סקרי נכסים-יתרות פתיחה'!$2:$110,92,0),0)*(1-AO$309)</f>
        <v>0</v>
      </c>
      <c r="AP129" s="1240">
        <f>+IFERROR(HLOOKUP(AP28,'סקרי נכסים-יתרות פתיחה'!$2:$110,8,0),0)-IFERROR(HLOOKUP(AP28,'סקרי נכסים-יתרות פתיחה'!$2:$110,92,0),0)*(1-AP$309)</f>
        <v>0</v>
      </c>
      <c r="AQ129" s="1240">
        <f>+IFERROR(HLOOKUP(AQ28,'סקרי נכסים-יתרות פתיחה'!$2:$110,8,0),0)-IFERROR(HLOOKUP(AQ28,'סקרי נכסים-יתרות פתיחה'!$2:$110,92,0),0)*(1-AQ$309)</f>
        <v>0</v>
      </c>
      <c r="AR129" s="1240">
        <f>+IFERROR(HLOOKUP(AR28,'סקרי נכסים-יתרות פתיחה'!$2:$110,8,0),0)-IFERROR(HLOOKUP(AR28,'סקרי נכסים-יתרות פתיחה'!$2:$110,92,0),0)*(1-AR$309)</f>
        <v>0</v>
      </c>
      <c r="AS129" s="1240">
        <f>+IFERROR(HLOOKUP(AS28,'סקרי נכסים-יתרות פתיחה'!$2:$110,8,0),0)-IFERROR(HLOOKUP(AS28,'סקרי נכסים-יתרות פתיחה'!$2:$110,92,0),0)*(1-AS$309)</f>
        <v>0</v>
      </c>
      <c r="AT129" s="1240">
        <f>+IFERROR(HLOOKUP(AT28,'סקרי נכסים-יתרות פתיחה'!$2:$110,8,0),0)-IFERROR(HLOOKUP(AT28,'סקרי נכסים-יתרות פתיחה'!$2:$110,92,0),0)*(1-AT$309)</f>
        <v>0</v>
      </c>
      <c r="AU129" s="1240">
        <f>+IFERROR(HLOOKUP(AU28,'סקרי נכסים-יתרות פתיחה'!$2:$110,8,0),0)-IFERROR(HLOOKUP(AU28,'סקרי נכסים-יתרות פתיחה'!$2:$110,92,0),0)*(1-AU$309)</f>
        <v>0</v>
      </c>
      <c r="AV129" s="1240">
        <f>+IFERROR(HLOOKUP(AV28,'סקרי נכסים-יתרות פתיחה'!$2:$110,8,0),0)-IFERROR(HLOOKUP(AV28,'סקרי נכסים-יתרות פתיחה'!$2:$110,92,0),0)*(1-AV$309)</f>
        <v>0</v>
      </c>
      <c r="AW129" s="1240">
        <f>+IFERROR(HLOOKUP(AW28,'סקרי נכסים-יתרות פתיחה'!$2:$110,8,0),0)-IFERROR(HLOOKUP(AW28,'סקרי נכסים-יתרות פתיחה'!$2:$110,92,0),0)*(1-AW$309)</f>
        <v>0</v>
      </c>
      <c r="AX129" s="1240">
        <f>+IFERROR(HLOOKUP(AX28,'סקרי נכסים-יתרות פתיחה'!$2:$110,8,0),0)-IFERROR(HLOOKUP(AX28,'סקרי נכסים-יתרות פתיחה'!$2:$110,92,0),0)*(1-AX$309)</f>
        <v>0</v>
      </c>
      <c r="AY129" s="1240">
        <f>+IFERROR(HLOOKUP(AY28,'סקרי נכסים-יתרות פתיחה'!$2:$110,8,0),0)-IFERROR(HLOOKUP(AY28,'סקרי נכסים-יתרות פתיחה'!$2:$110,92,0),0)*(1-AY$309)</f>
        <v>0</v>
      </c>
      <c r="AZ129" s="1240">
        <f>+IFERROR(HLOOKUP(AZ28,'סקרי נכסים-יתרות פתיחה'!$2:$110,8,0),0)-IFERROR(HLOOKUP(AZ28,'סקרי נכסים-יתרות פתיחה'!$2:$110,92,0),0)*(1-AZ$309)</f>
        <v>0</v>
      </c>
      <c r="BA129" s="1240">
        <f>+IFERROR(HLOOKUP(BA28,'סקרי נכסים-יתרות פתיחה'!$2:$110,8,0),0)-IFERROR(HLOOKUP(BA28,'סקרי נכסים-יתרות פתיחה'!$2:$110,92,0),0)*(1-BA$309)</f>
        <v>0</v>
      </c>
      <c r="BB129" s="1240">
        <f>+IFERROR(HLOOKUP(BB28,'סקרי נכסים-יתרות פתיחה'!$2:$110,8,0),0)-IFERROR(HLOOKUP(BB28,'סקרי נכסים-יתרות פתיחה'!$2:$110,92,0),0)*(1-BB$309)</f>
        <v>0</v>
      </c>
      <c r="BC129" s="1240">
        <f>+IFERROR(HLOOKUP(BC28,'סקרי נכסים-יתרות פתיחה'!$2:$110,8,0),0)-IFERROR(HLOOKUP(BC28,'סקרי נכסים-יתרות פתיחה'!$2:$110,92,0),0)*(1-BC$309)</f>
        <v>0</v>
      </c>
      <c r="BD129" s="1240">
        <f>+IFERROR(HLOOKUP(BD28,'סקרי נכסים-יתרות פתיחה'!$2:$110,8,0),0)-IFERROR(HLOOKUP(BD28,'סקרי נכסים-יתרות פתיחה'!$2:$110,92,0),0)*(1-BD$309)</f>
        <v>0</v>
      </c>
      <c r="BE129" s="1240">
        <f>+IFERROR(HLOOKUP(BE28,'סקרי נכסים-יתרות פתיחה'!$2:$110,8,0),0)-IFERROR(HLOOKUP(BE28,'סקרי נכסים-יתרות פתיחה'!$2:$110,92,0),0)*(1-BE$309)</f>
        <v>0</v>
      </c>
      <c r="BF129" s="1240">
        <f>+IFERROR(HLOOKUP(BF28,'סקרי נכסים-יתרות פתיחה'!$2:$110,8,0),0)-IFERROR(HLOOKUP(BF28,'סקרי נכסים-יתרות פתיחה'!$2:$110,92,0),0)*(1-BF$309)</f>
        <v>0</v>
      </c>
    </row>
    <row r="130" spans="1:61" x14ac:dyDescent="0.2">
      <c r="B130" s="1">
        <v>26</v>
      </c>
      <c r="C130" s="1240">
        <f>+IFERROR(HLOOKUP(C29,'סקרי נכסים-יתרות פתיחה'!$2:$110,8,0),0)-IFERROR(HLOOKUP(C29,'סקרי נכסים-יתרות פתיחה'!$2:$110,92,0),0)*(1-C$309)</f>
        <v>0</v>
      </c>
      <c r="D130" s="1240">
        <f>+IFERROR(HLOOKUP(D29,'סקרי נכסים-יתרות פתיחה'!$2:$110,8,0),0)-IFERROR(HLOOKUP(D29,'סקרי נכסים-יתרות פתיחה'!$2:$110,92,0),0)*(1-D$309)</f>
        <v>0</v>
      </c>
      <c r="E130" s="1240">
        <f>+IFERROR(HLOOKUP(E29,'סקרי נכסים-יתרות פתיחה'!$2:$110,8,0),0)-IFERROR(HLOOKUP(E29,'סקרי נכסים-יתרות פתיחה'!$2:$110,92,0),0)*(1-E$309)</f>
        <v>0</v>
      </c>
      <c r="F130" s="1240">
        <f>+IFERROR(HLOOKUP(F29,'סקרי נכסים-יתרות פתיחה'!$2:$110,8,0),0)-IFERROR(HLOOKUP(F29,'סקרי נכסים-יתרות פתיחה'!$2:$110,92,0),0)*(1-F$309)</f>
        <v>0</v>
      </c>
      <c r="G130" s="1240">
        <f>+IFERROR(HLOOKUP(G29,'סקרי נכסים-יתרות פתיחה'!$2:$110,8,0),0)-IFERROR(HLOOKUP(G29,'סקרי נכסים-יתרות פתיחה'!$2:$110,92,0),0)*(1-G$309)</f>
        <v>0</v>
      </c>
      <c r="H130" s="1240">
        <f>+IFERROR(HLOOKUP(H29,'סקרי נכסים-יתרות פתיחה'!$2:$110,8,0),0)-IFERROR(HLOOKUP(H29,'סקרי נכסים-יתרות פתיחה'!$2:$110,92,0),0)*(1-H$309)</f>
        <v>0</v>
      </c>
      <c r="I130" s="1240">
        <f>+IFERROR(HLOOKUP(I29,'סקרי נכסים-יתרות פתיחה'!$2:$110,8,0),0)-IFERROR(HLOOKUP(I29,'סקרי נכסים-יתרות פתיחה'!$2:$110,92,0),0)*(1-I$309)</f>
        <v>0</v>
      </c>
      <c r="J130" s="1240">
        <f>+IFERROR(HLOOKUP(J29,'סקרי נכסים-יתרות פתיחה'!$2:$110,8,0),0)-IFERROR(HLOOKUP(J29,'סקרי נכסים-יתרות פתיחה'!$2:$110,92,0),0)*(1-J$309)</f>
        <v>0</v>
      </c>
      <c r="K130" s="1240">
        <f>+IFERROR(HLOOKUP(K29,'סקרי נכסים-יתרות פתיחה'!$2:$110,8,0),0)-IFERROR(HLOOKUP(K29,'סקרי נכסים-יתרות פתיחה'!$2:$110,92,0),0)*(1-K$309)</f>
        <v>0</v>
      </c>
      <c r="L130" s="1240">
        <f>+IFERROR(HLOOKUP(L29,'סקרי נכסים-יתרות פתיחה'!$2:$110,8,0),0)-IFERROR(HLOOKUP(L29,'סקרי נכסים-יתרות פתיחה'!$2:$110,92,0),0)*(1-L$309)</f>
        <v>0</v>
      </c>
      <c r="M130" s="1240">
        <f>+IFERROR(HLOOKUP(M29,'סקרי נכסים-יתרות פתיחה'!$2:$110,8,0),0)-IFERROR(HLOOKUP(M29,'סקרי נכסים-יתרות פתיחה'!$2:$110,92,0),0)*(1-M$309)</f>
        <v>0</v>
      </c>
      <c r="N130" s="1240">
        <f>+IFERROR(HLOOKUP(N29,'סקרי נכסים-יתרות פתיחה'!$2:$110,8,0),0)-IFERROR(HLOOKUP(N29,'סקרי נכסים-יתרות פתיחה'!$2:$110,92,0),0)*(1-N$309)</f>
        <v>0</v>
      </c>
      <c r="O130" s="1240">
        <f>+IFERROR(HLOOKUP(O29,'סקרי נכסים-יתרות פתיחה'!$2:$110,8,0),0)-IFERROR(HLOOKUP(O29,'סקרי נכסים-יתרות פתיחה'!$2:$110,92,0),0)*(1-O$309)</f>
        <v>0</v>
      </c>
      <c r="P130" s="1240">
        <f>+IFERROR(HLOOKUP(P29,'סקרי נכסים-יתרות פתיחה'!$2:$110,8,0),0)-IFERROR(HLOOKUP(P29,'סקרי נכסים-יתרות פתיחה'!$2:$110,92,0),0)*(1-P$309)</f>
        <v>0</v>
      </c>
      <c r="Q130" s="1240">
        <f>+IFERROR(HLOOKUP(Q29,'סקרי נכסים-יתרות פתיחה'!$2:$110,8,0),0)-IFERROR(HLOOKUP(Q29,'סקרי נכסים-יתרות פתיחה'!$2:$110,92,0),0)*(1-Q$309)</f>
        <v>0</v>
      </c>
      <c r="R130" s="1240">
        <f>+IFERROR(HLOOKUP(R29,'סקרי נכסים-יתרות פתיחה'!$2:$110,8,0),0)-IFERROR(HLOOKUP(R29,'סקרי נכסים-יתרות פתיחה'!$2:$110,92,0),0)*(1-R$309)</f>
        <v>0</v>
      </c>
      <c r="S130" s="1240">
        <f>+IFERROR(HLOOKUP(S29,'סקרי נכסים-יתרות פתיחה'!$2:$110,8,0),0)-IFERROR(HLOOKUP(S29,'סקרי נכסים-יתרות פתיחה'!$2:$110,92,0),0)*(1-S$309)</f>
        <v>0</v>
      </c>
      <c r="T130" s="1240">
        <f>+IFERROR(HLOOKUP(T29,'סקרי נכסים-יתרות פתיחה'!$2:$110,8,0),0)-IFERROR(HLOOKUP(T29,'סקרי נכסים-יתרות פתיחה'!$2:$110,92,0),0)*(1-T$309)</f>
        <v>0</v>
      </c>
      <c r="U130" s="1240">
        <f>+IFERROR(HLOOKUP(U29,'סקרי נכסים-יתרות פתיחה'!$2:$110,8,0),0)-IFERROR(HLOOKUP(U29,'סקרי נכסים-יתרות פתיחה'!$2:$110,92,0),0)*(1-U$309)</f>
        <v>0</v>
      </c>
      <c r="V130" s="1240">
        <f>+IFERROR(HLOOKUP(V29,'סקרי נכסים-יתרות פתיחה'!$2:$110,8,0),0)-IFERROR(HLOOKUP(V29,'סקרי נכסים-יתרות פתיחה'!$2:$110,92,0),0)*(1-V$309)</f>
        <v>0</v>
      </c>
      <c r="W130" s="1240">
        <f>+IFERROR(HLOOKUP(W29,'סקרי נכסים-יתרות פתיחה'!$2:$110,8,0),0)-IFERROR(HLOOKUP(W29,'סקרי נכסים-יתרות פתיחה'!$2:$110,92,0),0)*(1-W$309)</f>
        <v>0</v>
      </c>
      <c r="X130" s="1240">
        <f>+IFERROR(HLOOKUP(X29,'סקרי נכסים-יתרות פתיחה'!$2:$110,8,0),0)-IFERROR(HLOOKUP(X29,'סקרי נכסים-יתרות פתיחה'!$2:$110,92,0),0)*(1-X$309)</f>
        <v>0</v>
      </c>
      <c r="Y130" s="1240">
        <f>+IFERROR(HLOOKUP(Y29,'סקרי נכסים-יתרות פתיחה'!$2:$110,8,0),0)-IFERROR(HLOOKUP(Y29,'סקרי נכסים-יתרות פתיחה'!$2:$110,92,0),0)*(1-Y$309)</f>
        <v>0</v>
      </c>
      <c r="Z130" s="1240">
        <f>+IFERROR(HLOOKUP(Z29,'סקרי נכסים-יתרות פתיחה'!$2:$110,8,0),0)-IFERROR(HLOOKUP(Z29,'סקרי נכסים-יתרות פתיחה'!$2:$110,92,0),0)*(1-Z$309)</f>
        <v>0</v>
      </c>
      <c r="AA130" s="1240">
        <f>+IFERROR(HLOOKUP(AA29,'סקרי נכסים-יתרות פתיחה'!$2:$110,8,0),0)-IFERROR(HLOOKUP(AA29,'סקרי נכסים-יתרות פתיחה'!$2:$110,92,0),0)*(1-AA$309)</f>
        <v>0</v>
      </c>
      <c r="AB130" s="1240">
        <f>+IFERROR(HLOOKUP(AB29,'סקרי נכסים-יתרות פתיחה'!$2:$110,8,0),0)-IFERROR(HLOOKUP(AB29,'סקרי נכסים-יתרות פתיחה'!$2:$110,92,0),0)*(1-AB$309)</f>
        <v>0</v>
      </c>
      <c r="AC130" s="1240">
        <f>+IFERROR(HLOOKUP(AC29,'סקרי נכסים-יתרות פתיחה'!$2:$110,8,0),0)-IFERROR(HLOOKUP(AC29,'סקרי נכסים-יתרות פתיחה'!$2:$110,92,0),0)*(1-AC$309)</f>
        <v>0</v>
      </c>
      <c r="AD130" s="1240">
        <f>+IFERROR(HLOOKUP(AD29,'סקרי נכסים-יתרות פתיחה'!$2:$110,8,0),0)-IFERROR(HLOOKUP(AD29,'סקרי נכסים-יתרות פתיחה'!$2:$110,92,0),0)*(1-AD$309)</f>
        <v>0</v>
      </c>
      <c r="AE130" s="1240">
        <f>+IFERROR(HLOOKUP(AE29,'סקרי נכסים-יתרות פתיחה'!$2:$110,8,0),0)-IFERROR(HLOOKUP(AE29,'סקרי נכסים-יתרות פתיחה'!$2:$110,92,0),0)*(1-AE$309)</f>
        <v>0</v>
      </c>
      <c r="AF130" s="1240">
        <f>+IFERROR(HLOOKUP(AF29,'סקרי נכסים-יתרות פתיחה'!$2:$110,8,0),0)-IFERROR(HLOOKUP(AF29,'סקרי נכסים-יתרות פתיחה'!$2:$110,92,0),0)*(1-AF$309)</f>
        <v>0</v>
      </c>
      <c r="AG130" s="1240">
        <f>+IFERROR(HLOOKUP(AG29,'סקרי נכסים-יתרות פתיחה'!$2:$110,8,0),0)-IFERROR(HLOOKUP(AG29,'סקרי נכסים-יתרות פתיחה'!$2:$110,92,0),0)*(1-AG$309)</f>
        <v>0</v>
      </c>
      <c r="AH130" s="1240">
        <f>+IFERROR(HLOOKUP(AH29,'סקרי נכסים-יתרות פתיחה'!$2:$110,8,0),0)-IFERROR(HLOOKUP(AH29,'סקרי נכסים-יתרות פתיחה'!$2:$110,92,0),0)*(1-AH$309)</f>
        <v>0</v>
      </c>
      <c r="AI130" s="1240">
        <f>+IFERROR(HLOOKUP(AI29,'סקרי נכסים-יתרות פתיחה'!$2:$110,8,0),0)-IFERROR(HLOOKUP(AI29,'סקרי נכסים-יתרות פתיחה'!$2:$110,92,0),0)*(1-AI$309)</f>
        <v>0</v>
      </c>
      <c r="AJ130" s="1240">
        <f>+IFERROR(HLOOKUP(AJ29,'סקרי נכסים-יתרות פתיחה'!$2:$110,8,0),0)-IFERROR(HLOOKUP(AJ29,'סקרי נכסים-יתרות פתיחה'!$2:$110,92,0),0)*(1-AJ$309)</f>
        <v>0</v>
      </c>
      <c r="AK130" s="1240">
        <f>+IFERROR(HLOOKUP(AK29,'סקרי נכסים-יתרות פתיחה'!$2:$110,8,0),0)-IFERROR(HLOOKUP(AK29,'סקרי נכסים-יתרות פתיחה'!$2:$110,92,0),0)*(1-AK$309)</f>
        <v>0</v>
      </c>
      <c r="AL130" s="1240">
        <f>+IFERROR(HLOOKUP(AL29,'סקרי נכסים-יתרות פתיחה'!$2:$110,8,0),0)-IFERROR(HLOOKUP(AL29,'סקרי נכסים-יתרות פתיחה'!$2:$110,92,0),0)*(1-AL$309)</f>
        <v>0</v>
      </c>
      <c r="AM130" s="1240">
        <f>+IFERROR(HLOOKUP(AM29,'סקרי נכסים-יתרות פתיחה'!$2:$110,8,0),0)-IFERROR(HLOOKUP(AM29,'סקרי נכסים-יתרות פתיחה'!$2:$110,92,0),0)*(1-AM$309)</f>
        <v>0</v>
      </c>
      <c r="AN130" s="1240">
        <f>+IFERROR(HLOOKUP(AN29,'סקרי נכסים-יתרות פתיחה'!$2:$110,8,0),0)-IFERROR(HLOOKUP(AN29,'סקרי נכסים-יתרות פתיחה'!$2:$110,92,0),0)*(1-AN$309)</f>
        <v>0</v>
      </c>
      <c r="AO130" s="1240">
        <f>+IFERROR(HLOOKUP(AO29,'סקרי נכסים-יתרות פתיחה'!$2:$110,8,0),0)-IFERROR(HLOOKUP(AO29,'סקרי נכסים-יתרות פתיחה'!$2:$110,92,0),0)*(1-AO$309)</f>
        <v>0</v>
      </c>
      <c r="AP130" s="1240">
        <f>+IFERROR(HLOOKUP(AP29,'סקרי נכסים-יתרות פתיחה'!$2:$110,8,0),0)-IFERROR(HLOOKUP(AP29,'סקרי נכסים-יתרות פתיחה'!$2:$110,92,0),0)*(1-AP$309)</f>
        <v>0</v>
      </c>
      <c r="AQ130" s="1240">
        <f>+IFERROR(HLOOKUP(AQ29,'סקרי נכסים-יתרות פתיחה'!$2:$110,8,0),0)-IFERROR(HLOOKUP(AQ29,'סקרי נכסים-יתרות פתיחה'!$2:$110,92,0),0)*(1-AQ$309)</f>
        <v>0</v>
      </c>
      <c r="AR130" s="1240">
        <f>+IFERROR(HLOOKUP(AR29,'סקרי נכסים-יתרות פתיחה'!$2:$110,8,0),0)-IFERROR(HLOOKUP(AR29,'סקרי נכסים-יתרות פתיחה'!$2:$110,92,0),0)*(1-AR$309)</f>
        <v>0</v>
      </c>
      <c r="AS130" s="1240">
        <f>+IFERROR(HLOOKUP(AS29,'סקרי נכסים-יתרות פתיחה'!$2:$110,8,0),0)-IFERROR(HLOOKUP(AS29,'סקרי נכסים-יתרות פתיחה'!$2:$110,92,0),0)*(1-AS$309)</f>
        <v>0</v>
      </c>
      <c r="AT130" s="1240">
        <f>+IFERROR(HLOOKUP(AT29,'סקרי נכסים-יתרות פתיחה'!$2:$110,8,0),0)-IFERROR(HLOOKUP(AT29,'סקרי נכסים-יתרות פתיחה'!$2:$110,92,0),0)*(1-AT$309)</f>
        <v>0</v>
      </c>
      <c r="AU130" s="1240">
        <f>+IFERROR(HLOOKUP(AU29,'סקרי נכסים-יתרות פתיחה'!$2:$110,8,0),0)-IFERROR(HLOOKUP(AU29,'סקרי נכסים-יתרות פתיחה'!$2:$110,92,0),0)*(1-AU$309)</f>
        <v>0</v>
      </c>
      <c r="AV130" s="1240">
        <f>+IFERROR(HLOOKUP(AV29,'סקרי נכסים-יתרות פתיחה'!$2:$110,8,0),0)-IFERROR(HLOOKUP(AV29,'סקרי נכסים-יתרות פתיחה'!$2:$110,92,0),0)*(1-AV$309)</f>
        <v>0</v>
      </c>
      <c r="AW130" s="1240">
        <f>+IFERROR(HLOOKUP(AW29,'סקרי נכסים-יתרות פתיחה'!$2:$110,8,0),0)-IFERROR(HLOOKUP(AW29,'סקרי נכסים-יתרות פתיחה'!$2:$110,92,0),0)*(1-AW$309)</f>
        <v>0</v>
      </c>
      <c r="AX130" s="1240">
        <f>+IFERROR(HLOOKUP(AX29,'סקרי נכסים-יתרות פתיחה'!$2:$110,8,0),0)-IFERROR(HLOOKUP(AX29,'סקרי נכסים-יתרות פתיחה'!$2:$110,92,0),0)*(1-AX$309)</f>
        <v>0</v>
      </c>
      <c r="AY130" s="1240">
        <f>+IFERROR(HLOOKUP(AY29,'סקרי נכסים-יתרות פתיחה'!$2:$110,8,0),0)-IFERROR(HLOOKUP(AY29,'סקרי נכסים-יתרות פתיחה'!$2:$110,92,0),0)*(1-AY$309)</f>
        <v>0</v>
      </c>
      <c r="AZ130" s="1240">
        <f>+IFERROR(HLOOKUP(AZ29,'סקרי נכסים-יתרות פתיחה'!$2:$110,8,0),0)-IFERROR(HLOOKUP(AZ29,'סקרי נכסים-יתרות פתיחה'!$2:$110,92,0),0)*(1-AZ$309)</f>
        <v>0</v>
      </c>
      <c r="BA130" s="1240">
        <f>+IFERROR(HLOOKUP(BA29,'סקרי נכסים-יתרות פתיחה'!$2:$110,8,0),0)-IFERROR(HLOOKUP(BA29,'סקרי נכסים-יתרות פתיחה'!$2:$110,92,0),0)*(1-BA$309)</f>
        <v>0</v>
      </c>
      <c r="BB130" s="1240">
        <f>+IFERROR(HLOOKUP(BB29,'סקרי נכסים-יתרות פתיחה'!$2:$110,8,0),0)-IFERROR(HLOOKUP(BB29,'סקרי נכסים-יתרות פתיחה'!$2:$110,92,0),0)*(1-BB$309)</f>
        <v>0</v>
      </c>
      <c r="BC130" s="1240">
        <f>+IFERROR(HLOOKUP(BC29,'סקרי נכסים-יתרות פתיחה'!$2:$110,8,0),0)-IFERROR(HLOOKUP(BC29,'סקרי נכסים-יתרות פתיחה'!$2:$110,92,0),0)*(1-BC$309)</f>
        <v>0</v>
      </c>
      <c r="BD130" s="1240">
        <f>+IFERROR(HLOOKUP(BD29,'סקרי נכסים-יתרות פתיחה'!$2:$110,8,0),0)-IFERROR(HLOOKUP(BD29,'סקרי נכסים-יתרות פתיחה'!$2:$110,92,0),0)*(1-BD$309)</f>
        <v>0</v>
      </c>
      <c r="BE130" s="1240">
        <f>+IFERROR(HLOOKUP(BE29,'סקרי נכסים-יתרות פתיחה'!$2:$110,8,0),0)-IFERROR(HLOOKUP(BE29,'סקרי נכסים-יתרות פתיחה'!$2:$110,92,0),0)*(1-BE$309)</f>
        <v>0</v>
      </c>
      <c r="BF130" s="1240">
        <f>+IFERROR(HLOOKUP(BF29,'סקרי נכסים-יתרות פתיחה'!$2:$110,8,0),0)-IFERROR(HLOOKUP(BF29,'סקרי נכסים-יתרות פתיחה'!$2:$110,92,0),0)*(1-BF$309)</f>
        <v>0</v>
      </c>
    </row>
    <row r="131" spans="1:61" x14ac:dyDescent="0.2">
      <c r="B131" s="1">
        <v>27</v>
      </c>
      <c r="C131" s="1240">
        <f>+IFERROR(HLOOKUP(C30,'סקרי נכסים-יתרות פתיחה'!$2:$110,8,0),0)-IFERROR(HLOOKUP(C30,'סקרי נכסים-יתרות פתיחה'!$2:$110,92,0),0)*(1-C$309)</f>
        <v>0</v>
      </c>
      <c r="D131" s="1240">
        <f>+IFERROR(HLOOKUP(D30,'סקרי נכסים-יתרות פתיחה'!$2:$110,8,0),0)-IFERROR(HLOOKUP(D30,'סקרי נכסים-יתרות פתיחה'!$2:$110,92,0),0)*(1-D$309)</f>
        <v>0</v>
      </c>
      <c r="E131" s="1240">
        <f>+IFERROR(HLOOKUP(E30,'סקרי נכסים-יתרות פתיחה'!$2:$110,8,0),0)-IFERROR(HLOOKUP(E30,'סקרי נכסים-יתרות פתיחה'!$2:$110,92,0),0)*(1-E$309)</f>
        <v>0</v>
      </c>
      <c r="F131" s="1240">
        <f>+IFERROR(HLOOKUP(F30,'סקרי נכסים-יתרות פתיחה'!$2:$110,8,0),0)-IFERROR(HLOOKUP(F30,'סקרי נכסים-יתרות פתיחה'!$2:$110,92,0),0)*(1-F$309)</f>
        <v>0</v>
      </c>
      <c r="G131" s="1240">
        <f>+IFERROR(HLOOKUP(G30,'סקרי נכסים-יתרות פתיחה'!$2:$110,8,0),0)-IFERROR(HLOOKUP(G30,'סקרי נכסים-יתרות פתיחה'!$2:$110,92,0),0)*(1-G$309)</f>
        <v>0</v>
      </c>
      <c r="H131" s="1240">
        <f>+IFERROR(HLOOKUP(H30,'סקרי נכסים-יתרות פתיחה'!$2:$110,8,0),0)-IFERROR(HLOOKUP(H30,'סקרי נכסים-יתרות פתיחה'!$2:$110,92,0),0)*(1-H$309)</f>
        <v>0</v>
      </c>
      <c r="I131" s="1240">
        <f>+IFERROR(HLOOKUP(I30,'סקרי נכסים-יתרות פתיחה'!$2:$110,8,0),0)-IFERROR(HLOOKUP(I30,'סקרי נכסים-יתרות פתיחה'!$2:$110,92,0),0)*(1-I$309)</f>
        <v>0</v>
      </c>
      <c r="J131" s="1240">
        <f>+IFERROR(HLOOKUP(J30,'סקרי נכסים-יתרות פתיחה'!$2:$110,8,0),0)-IFERROR(HLOOKUP(J30,'סקרי נכסים-יתרות פתיחה'!$2:$110,92,0),0)*(1-J$309)</f>
        <v>0</v>
      </c>
      <c r="K131" s="1240">
        <f>+IFERROR(HLOOKUP(K30,'סקרי נכסים-יתרות פתיחה'!$2:$110,8,0),0)-IFERROR(HLOOKUP(K30,'סקרי נכסים-יתרות פתיחה'!$2:$110,92,0),0)*(1-K$309)</f>
        <v>0</v>
      </c>
      <c r="L131" s="1240">
        <f>+IFERROR(HLOOKUP(L30,'סקרי נכסים-יתרות פתיחה'!$2:$110,8,0),0)-IFERROR(HLOOKUP(L30,'סקרי נכסים-יתרות פתיחה'!$2:$110,92,0),0)*(1-L$309)</f>
        <v>0</v>
      </c>
      <c r="M131" s="1240">
        <f>+IFERROR(HLOOKUP(M30,'סקרי נכסים-יתרות פתיחה'!$2:$110,8,0),0)-IFERROR(HLOOKUP(M30,'סקרי נכסים-יתרות פתיחה'!$2:$110,92,0),0)*(1-M$309)</f>
        <v>0</v>
      </c>
      <c r="N131" s="1240">
        <f>+IFERROR(HLOOKUP(N30,'סקרי נכסים-יתרות פתיחה'!$2:$110,8,0),0)-IFERROR(HLOOKUP(N30,'סקרי נכסים-יתרות פתיחה'!$2:$110,92,0),0)*(1-N$309)</f>
        <v>0</v>
      </c>
      <c r="O131" s="1240">
        <f>+IFERROR(HLOOKUP(O30,'סקרי נכסים-יתרות פתיחה'!$2:$110,8,0),0)-IFERROR(HLOOKUP(O30,'סקרי נכסים-יתרות פתיחה'!$2:$110,92,0),0)*(1-O$309)</f>
        <v>0</v>
      </c>
      <c r="P131" s="1240">
        <f>+IFERROR(HLOOKUP(P30,'סקרי נכסים-יתרות פתיחה'!$2:$110,8,0),0)-IFERROR(HLOOKUP(P30,'סקרי נכסים-יתרות פתיחה'!$2:$110,92,0),0)*(1-P$309)</f>
        <v>0</v>
      </c>
      <c r="Q131" s="1240">
        <f>+IFERROR(HLOOKUP(Q30,'סקרי נכסים-יתרות פתיחה'!$2:$110,8,0),0)-IFERROR(HLOOKUP(Q30,'סקרי נכסים-יתרות פתיחה'!$2:$110,92,0),0)*(1-Q$309)</f>
        <v>0</v>
      </c>
      <c r="R131" s="1240">
        <f>+IFERROR(HLOOKUP(R30,'סקרי נכסים-יתרות פתיחה'!$2:$110,8,0),0)-IFERROR(HLOOKUP(R30,'סקרי נכסים-יתרות פתיחה'!$2:$110,92,0),0)*(1-R$309)</f>
        <v>0</v>
      </c>
      <c r="S131" s="1240">
        <f>+IFERROR(HLOOKUP(S30,'סקרי נכסים-יתרות פתיחה'!$2:$110,8,0),0)-IFERROR(HLOOKUP(S30,'סקרי נכסים-יתרות פתיחה'!$2:$110,92,0),0)*(1-S$309)</f>
        <v>0</v>
      </c>
      <c r="T131" s="1240">
        <f>+IFERROR(HLOOKUP(T30,'סקרי נכסים-יתרות פתיחה'!$2:$110,8,0),0)-IFERROR(HLOOKUP(T30,'סקרי נכסים-יתרות פתיחה'!$2:$110,92,0),0)*(1-T$309)</f>
        <v>0</v>
      </c>
      <c r="U131" s="1240">
        <f>+IFERROR(HLOOKUP(U30,'סקרי נכסים-יתרות פתיחה'!$2:$110,8,0),0)-IFERROR(HLOOKUP(U30,'סקרי נכסים-יתרות פתיחה'!$2:$110,92,0),0)*(1-U$309)</f>
        <v>0</v>
      </c>
      <c r="V131" s="1240">
        <f>+IFERROR(HLOOKUP(V30,'סקרי נכסים-יתרות פתיחה'!$2:$110,8,0),0)-IFERROR(HLOOKUP(V30,'סקרי נכסים-יתרות פתיחה'!$2:$110,92,0),0)*(1-V$309)</f>
        <v>0</v>
      </c>
      <c r="W131" s="1240">
        <f>+IFERROR(HLOOKUP(W30,'סקרי נכסים-יתרות פתיחה'!$2:$110,8,0),0)-IFERROR(HLOOKUP(W30,'סקרי נכסים-יתרות פתיחה'!$2:$110,92,0),0)*(1-W$309)</f>
        <v>0</v>
      </c>
      <c r="X131" s="1240">
        <f>+IFERROR(HLOOKUP(X30,'סקרי נכסים-יתרות פתיחה'!$2:$110,8,0),0)-IFERROR(HLOOKUP(X30,'סקרי נכסים-יתרות פתיחה'!$2:$110,92,0),0)*(1-X$309)</f>
        <v>0</v>
      </c>
      <c r="Y131" s="1240">
        <f>+IFERROR(HLOOKUP(Y30,'סקרי נכסים-יתרות פתיחה'!$2:$110,8,0),0)-IFERROR(HLOOKUP(Y30,'סקרי נכסים-יתרות פתיחה'!$2:$110,92,0),0)*(1-Y$309)</f>
        <v>0</v>
      </c>
      <c r="Z131" s="1240">
        <f>+IFERROR(HLOOKUP(Z30,'סקרי נכסים-יתרות פתיחה'!$2:$110,8,0),0)-IFERROR(HLOOKUP(Z30,'סקרי נכסים-יתרות פתיחה'!$2:$110,92,0),0)*(1-Z$309)</f>
        <v>0</v>
      </c>
      <c r="AA131" s="1240">
        <f>+IFERROR(HLOOKUP(AA30,'סקרי נכסים-יתרות פתיחה'!$2:$110,8,0),0)-IFERROR(HLOOKUP(AA30,'סקרי נכסים-יתרות פתיחה'!$2:$110,92,0),0)*(1-AA$309)</f>
        <v>0</v>
      </c>
      <c r="AB131" s="1240">
        <f>+IFERROR(HLOOKUP(AB30,'סקרי נכסים-יתרות פתיחה'!$2:$110,8,0),0)-IFERROR(HLOOKUP(AB30,'סקרי נכסים-יתרות פתיחה'!$2:$110,92,0),0)*(1-AB$309)</f>
        <v>0</v>
      </c>
      <c r="AC131" s="1240">
        <f>+IFERROR(HLOOKUP(AC30,'סקרי נכסים-יתרות פתיחה'!$2:$110,8,0),0)-IFERROR(HLOOKUP(AC30,'סקרי נכסים-יתרות פתיחה'!$2:$110,92,0),0)*(1-AC$309)</f>
        <v>0</v>
      </c>
      <c r="AD131" s="1240">
        <f>+IFERROR(HLOOKUP(AD30,'סקרי נכסים-יתרות פתיחה'!$2:$110,8,0),0)-IFERROR(HLOOKUP(AD30,'סקרי נכסים-יתרות פתיחה'!$2:$110,92,0),0)*(1-AD$309)</f>
        <v>0</v>
      </c>
      <c r="AE131" s="1240">
        <f>+IFERROR(HLOOKUP(AE30,'סקרי נכסים-יתרות פתיחה'!$2:$110,8,0),0)-IFERROR(HLOOKUP(AE30,'סקרי נכסים-יתרות פתיחה'!$2:$110,92,0),0)*(1-AE$309)</f>
        <v>0</v>
      </c>
      <c r="AF131" s="1240">
        <f>+IFERROR(HLOOKUP(AF30,'סקרי נכסים-יתרות פתיחה'!$2:$110,8,0),0)-IFERROR(HLOOKUP(AF30,'סקרי נכסים-יתרות פתיחה'!$2:$110,92,0),0)*(1-AF$309)</f>
        <v>0</v>
      </c>
      <c r="AG131" s="1240">
        <f>+IFERROR(HLOOKUP(AG30,'סקרי נכסים-יתרות פתיחה'!$2:$110,8,0),0)-IFERROR(HLOOKUP(AG30,'סקרי נכסים-יתרות פתיחה'!$2:$110,92,0),0)*(1-AG$309)</f>
        <v>0</v>
      </c>
      <c r="AH131" s="1240">
        <f>+IFERROR(HLOOKUP(AH30,'סקרי נכסים-יתרות פתיחה'!$2:$110,8,0),0)-IFERROR(HLOOKUP(AH30,'סקרי נכסים-יתרות פתיחה'!$2:$110,92,0),0)*(1-AH$309)</f>
        <v>0</v>
      </c>
      <c r="AI131" s="1240">
        <f>+IFERROR(HLOOKUP(AI30,'סקרי נכסים-יתרות פתיחה'!$2:$110,8,0),0)-IFERROR(HLOOKUP(AI30,'סקרי נכסים-יתרות פתיחה'!$2:$110,92,0),0)*(1-AI$309)</f>
        <v>0</v>
      </c>
      <c r="AJ131" s="1240">
        <f>+IFERROR(HLOOKUP(AJ30,'סקרי נכסים-יתרות פתיחה'!$2:$110,8,0),0)-IFERROR(HLOOKUP(AJ30,'סקרי נכסים-יתרות פתיחה'!$2:$110,92,0),0)*(1-AJ$309)</f>
        <v>0</v>
      </c>
      <c r="AK131" s="1240">
        <f>+IFERROR(HLOOKUP(AK30,'סקרי נכסים-יתרות פתיחה'!$2:$110,8,0),0)-IFERROR(HLOOKUP(AK30,'סקרי נכסים-יתרות פתיחה'!$2:$110,92,0),0)*(1-AK$309)</f>
        <v>0</v>
      </c>
      <c r="AL131" s="1240">
        <f>+IFERROR(HLOOKUP(AL30,'סקרי נכסים-יתרות פתיחה'!$2:$110,8,0),0)-IFERROR(HLOOKUP(AL30,'סקרי נכסים-יתרות פתיחה'!$2:$110,92,0),0)*(1-AL$309)</f>
        <v>0</v>
      </c>
      <c r="AM131" s="1240">
        <f>+IFERROR(HLOOKUP(AM30,'סקרי נכסים-יתרות פתיחה'!$2:$110,8,0),0)-IFERROR(HLOOKUP(AM30,'סקרי נכסים-יתרות פתיחה'!$2:$110,92,0),0)*(1-AM$309)</f>
        <v>0</v>
      </c>
      <c r="AN131" s="1240">
        <f>+IFERROR(HLOOKUP(AN30,'סקרי נכסים-יתרות פתיחה'!$2:$110,8,0),0)-IFERROR(HLOOKUP(AN30,'סקרי נכסים-יתרות פתיחה'!$2:$110,92,0),0)*(1-AN$309)</f>
        <v>0</v>
      </c>
      <c r="AO131" s="1240">
        <f>+IFERROR(HLOOKUP(AO30,'סקרי נכסים-יתרות פתיחה'!$2:$110,8,0),0)-IFERROR(HLOOKUP(AO30,'סקרי נכסים-יתרות פתיחה'!$2:$110,92,0),0)*(1-AO$309)</f>
        <v>0</v>
      </c>
      <c r="AP131" s="1240">
        <f>+IFERROR(HLOOKUP(AP30,'סקרי נכסים-יתרות פתיחה'!$2:$110,8,0),0)-IFERROR(HLOOKUP(AP30,'סקרי נכסים-יתרות פתיחה'!$2:$110,92,0),0)*(1-AP$309)</f>
        <v>0</v>
      </c>
      <c r="AQ131" s="1240">
        <f>+IFERROR(HLOOKUP(AQ30,'סקרי נכסים-יתרות פתיחה'!$2:$110,8,0),0)-IFERROR(HLOOKUP(AQ30,'סקרי נכסים-יתרות פתיחה'!$2:$110,92,0),0)*(1-AQ$309)</f>
        <v>0</v>
      </c>
      <c r="AR131" s="1240">
        <f>+IFERROR(HLOOKUP(AR30,'סקרי נכסים-יתרות פתיחה'!$2:$110,8,0),0)-IFERROR(HLOOKUP(AR30,'סקרי נכסים-יתרות פתיחה'!$2:$110,92,0),0)*(1-AR$309)</f>
        <v>0</v>
      </c>
      <c r="AS131" s="1240">
        <f>+IFERROR(HLOOKUP(AS30,'סקרי נכסים-יתרות פתיחה'!$2:$110,8,0),0)-IFERROR(HLOOKUP(AS30,'סקרי נכסים-יתרות פתיחה'!$2:$110,92,0),0)*(1-AS$309)</f>
        <v>0</v>
      </c>
      <c r="AT131" s="1240">
        <f>+IFERROR(HLOOKUP(AT30,'סקרי נכסים-יתרות פתיחה'!$2:$110,8,0),0)-IFERROR(HLOOKUP(AT30,'סקרי נכסים-יתרות פתיחה'!$2:$110,92,0),0)*(1-AT$309)</f>
        <v>0</v>
      </c>
      <c r="AU131" s="1240">
        <f>+IFERROR(HLOOKUP(AU30,'סקרי נכסים-יתרות פתיחה'!$2:$110,8,0),0)-IFERROR(HLOOKUP(AU30,'סקרי נכסים-יתרות פתיחה'!$2:$110,92,0),0)*(1-AU$309)</f>
        <v>0</v>
      </c>
      <c r="AV131" s="1240">
        <f>+IFERROR(HLOOKUP(AV30,'סקרי נכסים-יתרות פתיחה'!$2:$110,8,0),0)-IFERROR(HLOOKUP(AV30,'סקרי נכסים-יתרות פתיחה'!$2:$110,92,0),0)*(1-AV$309)</f>
        <v>0</v>
      </c>
      <c r="AW131" s="1240">
        <f>+IFERROR(HLOOKUP(AW30,'סקרי נכסים-יתרות פתיחה'!$2:$110,8,0),0)-IFERROR(HLOOKUP(AW30,'סקרי נכסים-יתרות פתיחה'!$2:$110,92,0),0)*(1-AW$309)</f>
        <v>0</v>
      </c>
      <c r="AX131" s="1240">
        <f>+IFERROR(HLOOKUP(AX30,'סקרי נכסים-יתרות פתיחה'!$2:$110,8,0),0)-IFERROR(HLOOKUP(AX30,'סקרי נכסים-יתרות פתיחה'!$2:$110,92,0),0)*(1-AX$309)</f>
        <v>0</v>
      </c>
      <c r="AY131" s="1240">
        <f>+IFERROR(HLOOKUP(AY30,'סקרי נכסים-יתרות פתיחה'!$2:$110,8,0),0)-IFERROR(HLOOKUP(AY30,'סקרי נכסים-יתרות פתיחה'!$2:$110,92,0),0)*(1-AY$309)</f>
        <v>0</v>
      </c>
      <c r="AZ131" s="1240">
        <f>+IFERROR(HLOOKUP(AZ30,'סקרי נכסים-יתרות פתיחה'!$2:$110,8,0),0)-IFERROR(HLOOKUP(AZ30,'סקרי נכסים-יתרות פתיחה'!$2:$110,92,0),0)*(1-AZ$309)</f>
        <v>0</v>
      </c>
      <c r="BA131" s="1240">
        <f>+IFERROR(HLOOKUP(BA30,'סקרי נכסים-יתרות פתיחה'!$2:$110,8,0),0)-IFERROR(HLOOKUP(BA30,'סקרי נכסים-יתרות פתיחה'!$2:$110,92,0),0)*(1-BA$309)</f>
        <v>0</v>
      </c>
      <c r="BB131" s="1240">
        <f>+IFERROR(HLOOKUP(BB30,'סקרי נכסים-יתרות פתיחה'!$2:$110,8,0),0)-IFERROR(HLOOKUP(BB30,'סקרי נכסים-יתרות פתיחה'!$2:$110,92,0),0)*(1-BB$309)</f>
        <v>0</v>
      </c>
      <c r="BC131" s="1240">
        <f>+IFERROR(HLOOKUP(BC30,'סקרי נכסים-יתרות פתיחה'!$2:$110,8,0),0)-IFERROR(HLOOKUP(BC30,'סקרי נכסים-יתרות פתיחה'!$2:$110,92,0),0)*(1-BC$309)</f>
        <v>0</v>
      </c>
      <c r="BD131" s="1240">
        <f>+IFERROR(HLOOKUP(BD30,'סקרי נכסים-יתרות פתיחה'!$2:$110,8,0),0)-IFERROR(HLOOKUP(BD30,'סקרי נכסים-יתרות פתיחה'!$2:$110,92,0),0)*(1-BD$309)</f>
        <v>0</v>
      </c>
      <c r="BE131" s="1240">
        <f>+IFERROR(HLOOKUP(BE30,'סקרי נכסים-יתרות פתיחה'!$2:$110,8,0),0)-IFERROR(HLOOKUP(BE30,'סקרי נכסים-יתרות פתיחה'!$2:$110,92,0),0)*(1-BE$309)</f>
        <v>0</v>
      </c>
      <c r="BF131" s="1240">
        <f>+IFERROR(HLOOKUP(BF30,'סקרי נכסים-יתרות פתיחה'!$2:$110,8,0),0)-IFERROR(HLOOKUP(BF30,'סקרי נכסים-יתרות פתיחה'!$2:$110,92,0),0)*(1-BF$309)</f>
        <v>0</v>
      </c>
    </row>
    <row r="132" spans="1:61" x14ac:dyDescent="0.2">
      <c r="B132" s="1">
        <v>28</v>
      </c>
      <c r="C132" s="1240">
        <f>+IFERROR(HLOOKUP(C31,'סקרי נכסים-יתרות פתיחה'!$2:$110,8,0),0)-IFERROR(HLOOKUP(C31,'סקרי נכסים-יתרות פתיחה'!$2:$110,92,0),0)*(1-C$309)</f>
        <v>0</v>
      </c>
      <c r="D132" s="1240">
        <f>+IFERROR(HLOOKUP(D31,'סקרי נכסים-יתרות פתיחה'!$2:$110,8,0),0)-IFERROR(HLOOKUP(D31,'סקרי נכסים-יתרות פתיחה'!$2:$110,92,0),0)*(1-D$309)</f>
        <v>0</v>
      </c>
      <c r="E132" s="1240">
        <f>+IFERROR(HLOOKUP(E31,'סקרי נכסים-יתרות פתיחה'!$2:$110,8,0),0)-IFERROR(HLOOKUP(E31,'סקרי נכסים-יתרות פתיחה'!$2:$110,92,0),0)*(1-E$309)</f>
        <v>0</v>
      </c>
      <c r="F132" s="1240">
        <f>+IFERROR(HLOOKUP(F31,'סקרי נכסים-יתרות פתיחה'!$2:$110,8,0),0)-IFERROR(HLOOKUP(F31,'סקרי נכסים-יתרות פתיחה'!$2:$110,92,0),0)*(1-F$309)</f>
        <v>0</v>
      </c>
      <c r="G132" s="1240">
        <f>+IFERROR(HLOOKUP(G31,'סקרי נכסים-יתרות פתיחה'!$2:$110,8,0),0)-IFERROR(HLOOKUP(G31,'סקרי נכסים-יתרות פתיחה'!$2:$110,92,0),0)*(1-G$309)</f>
        <v>0</v>
      </c>
      <c r="H132" s="1240">
        <f>+IFERROR(HLOOKUP(H31,'סקרי נכסים-יתרות פתיחה'!$2:$110,8,0),0)-IFERROR(HLOOKUP(H31,'סקרי נכסים-יתרות פתיחה'!$2:$110,92,0),0)*(1-H$309)</f>
        <v>0</v>
      </c>
      <c r="I132" s="1240">
        <f>+IFERROR(HLOOKUP(I31,'סקרי נכסים-יתרות פתיחה'!$2:$110,8,0),0)-IFERROR(HLOOKUP(I31,'סקרי נכסים-יתרות פתיחה'!$2:$110,92,0),0)*(1-I$309)</f>
        <v>0</v>
      </c>
      <c r="J132" s="1240">
        <f>+IFERROR(HLOOKUP(J31,'סקרי נכסים-יתרות פתיחה'!$2:$110,8,0),0)-IFERROR(HLOOKUP(J31,'סקרי נכסים-יתרות פתיחה'!$2:$110,92,0),0)*(1-J$309)</f>
        <v>0</v>
      </c>
      <c r="K132" s="1240">
        <f>+IFERROR(HLOOKUP(K31,'סקרי נכסים-יתרות פתיחה'!$2:$110,8,0),0)-IFERROR(HLOOKUP(K31,'סקרי נכסים-יתרות פתיחה'!$2:$110,92,0),0)*(1-K$309)</f>
        <v>0</v>
      </c>
      <c r="L132" s="1240">
        <f>+IFERROR(HLOOKUP(L31,'סקרי נכסים-יתרות פתיחה'!$2:$110,8,0),0)-IFERROR(HLOOKUP(L31,'סקרי נכסים-יתרות פתיחה'!$2:$110,92,0),0)*(1-L$309)</f>
        <v>0</v>
      </c>
      <c r="M132" s="1240">
        <f>+IFERROR(HLOOKUP(M31,'סקרי נכסים-יתרות פתיחה'!$2:$110,8,0),0)-IFERROR(HLOOKUP(M31,'סקרי נכסים-יתרות פתיחה'!$2:$110,92,0),0)*(1-M$309)</f>
        <v>0</v>
      </c>
      <c r="N132" s="1240">
        <f>+IFERROR(HLOOKUP(N31,'סקרי נכסים-יתרות פתיחה'!$2:$110,8,0),0)-IFERROR(HLOOKUP(N31,'סקרי נכסים-יתרות פתיחה'!$2:$110,92,0),0)*(1-N$309)</f>
        <v>0</v>
      </c>
      <c r="O132" s="1240">
        <f>+IFERROR(HLOOKUP(O31,'סקרי נכסים-יתרות פתיחה'!$2:$110,8,0),0)-IFERROR(HLOOKUP(O31,'סקרי נכסים-יתרות פתיחה'!$2:$110,92,0),0)*(1-O$309)</f>
        <v>0</v>
      </c>
      <c r="P132" s="1240">
        <f>+IFERROR(HLOOKUP(P31,'סקרי נכסים-יתרות פתיחה'!$2:$110,8,0),0)-IFERROR(HLOOKUP(P31,'סקרי נכסים-יתרות פתיחה'!$2:$110,92,0),0)*(1-P$309)</f>
        <v>0</v>
      </c>
      <c r="Q132" s="1240">
        <f>+IFERROR(HLOOKUP(Q31,'סקרי נכסים-יתרות פתיחה'!$2:$110,8,0),0)-IFERROR(HLOOKUP(Q31,'סקרי נכסים-יתרות פתיחה'!$2:$110,92,0),0)*(1-Q$309)</f>
        <v>0</v>
      </c>
      <c r="R132" s="1240">
        <f>+IFERROR(HLOOKUP(R31,'סקרי נכסים-יתרות פתיחה'!$2:$110,8,0),0)-IFERROR(HLOOKUP(R31,'סקרי נכסים-יתרות פתיחה'!$2:$110,92,0),0)*(1-R$309)</f>
        <v>0</v>
      </c>
      <c r="S132" s="1240">
        <f>+IFERROR(HLOOKUP(S31,'סקרי נכסים-יתרות פתיחה'!$2:$110,8,0),0)-IFERROR(HLOOKUP(S31,'סקרי נכסים-יתרות פתיחה'!$2:$110,92,0),0)*(1-S$309)</f>
        <v>0</v>
      </c>
      <c r="T132" s="1240">
        <f>+IFERROR(HLOOKUP(T31,'סקרי נכסים-יתרות פתיחה'!$2:$110,8,0),0)-IFERROR(HLOOKUP(T31,'סקרי נכסים-יתרות פתיחה'!$2:$110,92,0),0)*(1-T$309)</f>
        <v>0</v>
      </c>
      <c r="U132" s="1240">
        <f>+IFERROR(HLOOKUP(U31,'סקרי נכסים-יתרות פתיחה'!$2:$110,8,0),0)-IFERROR(HLOOKUP(U31,'סקרי נכסים-יתרות פתיחה'!$2:$110,92,0),0)*(1-U$309)</f>
        <v>0</v>
      </c>
      <c r="V132" s="1240">
        <f>+IFERROR(HLOOKUP(V31,'סקרי נכסים-יתרות פתיחה'!$2:$110,8,0),0)-IFERROR(HLOOKUP(V31,'סקרי נכסים-יתרות פתיחה'!$2:$110,92,0),0)*(1-V$309)</f>
        <v>0</v>
      </c>
      <c r="W132" s="1240">
        <f>+IFERROR(HLOOKUP(W31,'סקרי נכסים-יתרות פתיחה'!$2:$110,8,0),0)-IFERROR(HLOOKUP(W31,'סקרי נכסים-יתרות פתיחה'!$2:$110,92,0),0)*(1-W$309)</f>
        <v>0</v>
      </c>
      <c r="X132" s="1240">
        <f>+IFERROR(HLOOKUP(X31,'סקרי נכסים-יתרות פתיחה'!$2:$110,8,0),0)-IFERROR(HLOOKUP(X31,'סקרי נכסים-יתרות פתיחה'!$2:$110,92,0),0)*(1-X$309)</f>
        <v>0</v>
      </c>
      <c r="Y132" s="1240">
        <f>+IFERROR(HLOOKUP(Y31,'סקרי נכסים-יתרות פתיחה'!$2:$110,8,0),0)-IFERROR(HLOOKUP(Y31,'סקרי נכסים-יתרות פתיחה'!$2:$110,92,0),0)*(1-Y$309)</f>
        <v>0</v>
      </c>
      <c r="Z132" s="1240">
        <f>+IFERROR(HLOOKUP(Z31,'סקרי נכסים-יתרות פתיחה'!$2:$110,8,0),0)-IFERROR(HLOOKUP(Z31,'סקרי נכסים-יתרות פתיחה'!$2:$110,92,0),0)*(1-Z$309)</f>
        <v>0</v>
      </c>
      <c r="AA132" s="1240">
        <f>+IFERROR(HLOOKUP(AA31,'סקרי נכסים-יתרות פתיחה'!$2:$110,8,0),0)-IFERROR(HLOOKUP(AA31,'סקרי נכסים-יתרות פתיחה'!$2:$110,92,0),0)*(1-AA$309)</f>
        <v>0</v>
      </c>
      <c r="AB132" s="1240">
        <f>+IFERROR(HLOOKUP(AB31,'סקרי נכסים-יתרות פתיחה'!$2:$110,8,0),0)-IFERROR(HLOOKUP(AB31,'סקרי נכסים-יתרות פתיחה'!$2:$110,92,0),0)*(1-AB$309)</f>
        <v>0</v>
      </c>
      <c r="AC132" s="1240">
        <f>+IFERROR(HLOOKUP(AC31,'סקרי נכסים-יתרות פתיחה'!$2:$110,8,0),0)-IFERROR(HLOOKUP(AC31,'סקרי נכסים-יתרות פתיחה'!$2:$110,92,0),0)*(1-AC$309)</f>
        <v>0</v>
      </c>
      <c r="AD132" s="1240">
        <f>+IFERROR(HLOOKUP(AD31,'סקרי נכסים-יתרות פתיחה'!$2:$110,8,0),0)-IFERROR(HLOOKUP(AD31,'סקרי נכסים-יתרות פתיחה'!$2:$110,92,0),0)*(1-AD$309)</f>
        <v>0</v>
      </c>
      <c r="AE132" s="1240">
        <f>+IFERROR(HLOOKUP(AE31,'סקרי נכסים-יתרות פתיחה'!$2:$110,8,0),0)-IFERROR(HLOOKUP(AE31,'סקרי נכסים-יתרות פתיחה'!$2:$110,92,0),0)*(1-AE$309)</f>
        <v>0</v>
      </c>
      <c r="AF132" s="1240">
        <f>+IFERROR(HLOOKUP(AF31,'סקרי נכסים-יתרות פתיחה'!$2:$110,8,0),0)-IFERROR(HLOOKUP(AF31,'סקרי נכסים-יתרות פתיחה'!$2:$110,92,0),0)*(1-AF$309)</f>
        <v>0</v>
      </c>
      <c r="AG132" s="1240">
        <f>+IFERROR(HLOOKUP(AG31,'סקרי נכסים-יתרות פתיחה'!$2:$110,8,0),0)-IFERROR(HLOOKUP(AG31,'סקרי נכסים-יתרות פתיחה'!$2:$110,92,0),0)*(1-AG$309)</f>
        <v>0</v>
      </c>
      <c r="AH132" s="1240">
        <f>+IFERROR(HLOOKUP(AH31,'סקרי נכסים-יתרות פתיחה'!$2:$110,8,0),0)-IFERROR(HLOOKUP(AH31,'סקרי נכסים-יתרות פתיחה'!$2:$110,92,0),0)*(1-AH$309)</f>
        <v>0</v>
      </c>
      <c r="AI132" s="1240">
        <f>+IFERROR(HLOOKUP(AI31,'סקרי נכסים-יתרות פתיחה'!$2:$110,8,0),0)-IFERROR(HLOOKUP(AI31,'סקרי נכסים-יתרות פתיחה'!$2:$110,92,0),0)*(1-AI$309)</f>
        <v>0</v>
      </c>
      <c r="AJ132" s="1240">
        <f>+IFERROR(HLOOKUP(AJ31,'סקרי נכסים-יתרות פתיחה'!$2:$110,8,0),0)-IFERROR(HLOOKUP(AJ31,'סקרי נכסים-יתרות פתיחה'!$2:$110,92,0),0)*(1-AJ$309)</f>
        <v>0</v>
      </c>
      <c r="AK132" s="1240">
        <f>+IFERROR(HLOOKUP(AK31,'סקרי נכסים-יתרות פתיחה'!$2:$110,8,0),0)-IFERROR(HLOOKUP(AK31,'סקרי נכסים-יתרות פתיחה'!$2:$110,92,0),0)*(1-AK$309)</f>
        <v>0</v>
      </c>
      <c r="AL132" s="1240">
        <f>+IFERROR(HLOOKUP(AL31,'סקרי נכסים-יתרות פתיחה'!$2:$110,8,0),0)-IFERROR(HLOOKUP(AL31,'סקרי נכסים-יתרות פתיחה'!$2:$110,92,0),0)*(1-AL$309)</f>
        <v>0</v>
      </c>
      <c r="AM132" s="1240">
        <f>+IFERROR(HLOOKUP(AM31,'סקרי נכסים-יתרות פתיחה'!$2:$110,8,0),0)-IFERROR(HLOOKUP(AM31,'סקרי נכסים-יתרות פתיחה'!$2:$110,92,0),0)*(1-AM$309)</f>
        <v>0</v>
      </c>
      <c r="AN132" s="1240">
        <f>+IFERROR(HLOOKUP(AN31,'סקרי נכסים-יתרות פתיחה'!$2:$110,8,0),0)-IFERROR(HLOOKUP(AN31,'סקרי נכסים-יתרות פתיחה'!$2:$110,92,0),0)*(1-AN$309)</f>
        <v>0</v>
      </c>
      <c r="AO132" s="1240">
        <f>+IFERROR(HLOOKUP(AO31,'סקרי נכסים-יתרות פתיחה'!$2:$110,8,0),0)-IFERROR(HLOOKUP(AO31,'סקרי נכסים-יתרות פתיחה'!$2:$110,92,0),0)*(1-AO$309)</f>
        <v>0</v>
      </c>
      <c r="AP132" s="1240">
        <f>+IFERROR(HLOOKUP(AP31,'סקרי נכסים-יתרות פתיחה'!$2:$110,8,0),0)-IFERROR(HLOOKUP(AP31,'סקרי נכסים-יתרות פתיחה'!$2:$110,92,0),0)*(1-AP$309)</f>
        <v>0</v>
      </c>
      <c r="AQ132" s="1240">
        <f>+IFERROR(HLOOKUP(AQ31,'סקרי נכסים-יתרות פתיחה'!$2:$110,8,0),0)-IFERROR(HLOOKUP(AQ31,'סקרי נכסים-יתרות פתיחה'!$2:$110,92,0),0)*(1-AQ$309)</f>
        <v>0</v>
      </c>
      <c r="AR132" s="1240">
        <f>+IFERROR(HLOOKUP(AR31,'סקרי נכסים-יתרות פתיחה'!$2:$110,8,0),0)-IFERROR(HLOOKUP(AR31,'סקרי נכסים-יתרות פתיחה'!$2:$110,92,0),0)*(1-AR$309)</f>
        <v>0</v>
      </c>
      <c r="AS132" s="1240">
        <f>+IFERROR(HLOOKUP(AS31,'סקרי נכסים-יתרות פתיחה'!$2:$110,8,0),0)-IFERROR(HLOOKUP(AS31,'סקרי נכסים-יתרות פתיחה'!$2:$110,92,0),0)*(1-AS$309)</f>
        <v>0</v>
      </c>
      <c r="AT132" s="1240">
        <f>+IFERROR(HLOOKUP(AT31,'סקרי נכסים-יתרות פתיחה'!$2:$110,8,0),0)-IFERROR(HLOOKUP(AT31,'סקרי נכסים-יתרות פתיחה'!$2:$110,92,0),0)*(1-AT$309)</f>
        <v>0</v>
      </c>
      <c r="AU132" s="1240">
        <f>+IFERROR(HLOOKUP(AU31,'סקרי נכסים-יתרות פתיחה'!$2:$110,8,0),0)-IFERROR(HLOOKUP(AU31,'סקרי נכסים-יתרות פתיחה'!$2:$110,92,0),0)*(1-AU$309)</f>
        <v>0</v>
      </c>
      <c r="AV132" s="1240">
        <f>+IFERROR(HLOOKUP(AV31,'סקרי נכסים-יתרות פתיחה'!$2:$110,8,0),0)-IFERROR(HLOOKUP(AV31,'סקרי נכסים-יתרות פתיחה'!$2:$110,92,0),0)*(1-AV$309)</f>
        <v>0</v>
      </c>
      <c r="AW132" s="1240">
        <f>+IFERROR(HLOOKUP(AW31,'סקרי נכסים-יתרות פתיחה'!$2:$110,8,0),0)-IFERROR(HLOOKUP(AW31,'סקרי נכסים-יתרות פתיחה'!$2:$110,92,0),0)*(1-AW$309)</f>
        <v>0</v>
      </c>
      <c r="AX132" s="1240">
        <f>+IFERROR(HLOOKUP(AX31,'סקרי נכסים-יתרות פתיחה'!$2:$110,8,0),0)-IFERROR(HLOOKUP(AX31,'סקרי נכסים-יתרות פתיחה'!$2:$110,92,0),0)*(1-AX$309)</f>
        <v>0</v>
      </c>
      <c r="AY132" s="1240">
        <f>+IFERROR(HLOOKUP(AY31,'סקרי נכסים-יתרות פתיחה'!$2:$110,8,0),0)-IFERROR(HLOOKUP(AY31,'סקרי נכסים-יתרות פתיחה'!$2:$110,92,0),0)*(1-AY$309)</f>
        <v>0</v>
      </c>
      <c r="AZ132" s="1240">
        <f>+IFERROR(HLOOKUP(AZ31,'סקרי נכסים-יתרות פתיחה'!$2:$110,8,0),0)-IFERROR(HLOOKUP(AZ31,'סקרי נכסים-יתרות פתיחה'!$2:$110,92,0),0)*(1-AZ$309)</f>
        <v>0</v>
      </c>
      <c r="BA132" s="1240">
        <f>+IFERROR(HLOOKUP(BA31,'סקרי נכסים-יתרות פתיחה'!$2:$110,8,0),0)-IFERROR(HLOOKUP(BA31,'סקרי נכסים-יתרות פתיחה'!$2:$110,92,0),0)*(1-BA$309)</f>
        <v>0</v>
      </c>
      <c r="BB132" s="1240">
        <f>+IFERROR(HLOOKUP(BB31,'סקרי נכסים-יתרות פתיחה'!$2:$110,8,0),0)-IFERROR(HLOOKUP(BB31,'סקרי נכסים-יתרות פתיחה'!$2:$110,92,0),0)*(1-BB$309)</f>
        <v>0</v>
      </c>
      <c r="BC132" s="1240">
        <f>+IFERROR(HLOOKUP(BC31,'סקרי נכסים-יתרות פתיחה'!$2:$110,8,0),0)-IFERROR(HLOOKUP(BC31,'סקרי נכסים-יתרות פתיחה'!$2:$110,92,0),0)*(1-BC$309)</f>
        <v>0</v>
      </c>
      <c r="BD132" s="1240">
        <f>+IFERROR(HLOOKUP(BD31,'סקרי נכסים-יתרות פתיחה'!$2:$110,8,0),0)-IFERROR(HLOOKUP(BD31,'סקרי נכסים-יתרות פתיחה'!$2:$110,92,0),0)*(1-BD$309)</f>
        <v>0</v>
      </c>
      <c r="BE132" s="1240">
        <f>+IFERROR(HLOOKUP(BE31,'סקרי נכסים-יתרות פתיחה'!$2:$110,8,0),0)-IFERROR(HLOOKUP(BE31,'סקרי נכסים-יתרות פתיחה'!$2:$110,92,0),0)*(1-BE$309)</f>
        <v>0</v>
      </c>
      <c r="BF132" s="1240">
        <f>+IFERROR(HLOOKUP(BF31,'סקרי נכסים-יתרות פתיחה'!$2:$110,8,0),0)-IFERROR(HLOOKUP(BF31,'סקרי נכסים-יתרות פתיחה'!$2:$110,92,0),0)*(1-BF$309)</f>
        <v>0</v>
      </c>
    </row>
    <row r="133" spans="1:61" x14ac:dyDescent="0.2">
      <c r="B133" s="1">
        <v>29</v>
      </c>
      <c r="C133" s="1240">
        <f>+IFERROR(HLOOKUP(C32,'סקרי נכסים-יתרות פתיחה'!$2:$110,8,0),0)-IFERROR(HLOOKUP(C32,'סקרי נכסים-יתרות פתיחה'!$2:$110,92,0),0)*(1-C$309)</f>
        <v>0</v>
      </c>
      <c r="D133" s="1240">
        <f>+IFERROR(HLOOKUP(D32,'סקרי נכסים-יתרות פתיחה'!$2:$110,8,0),0)-IFERROR(HLOOKUP(D32,'סקרי נכסים-יתרות פתיחה'!$2:$110,92,0),0)*(1-D$309)</f>
        <v>0</v>
      </c>
      <c r="E133" s="1240">
        <f>+IFERROR(HLOOKUP(E32,'סקרי נכסים-יתרות פתיחה'!$2:$110,8,0),0)-IFERROR(HLOOKUP(E32,'סקרי נכסים-יתרות פתיחה'!$2:$110,92,0),0)*(1-E$309)</f>
        <v>0</v>
      </c>
      <c r="F133" s="1240">
        <f>+IFERROR(HLOOKUP(F32,'סקרי נכסים-יתרות פתיחה'!$2:$110,8,0),0)-IFERROR(HLOOKUP(F32,'סקרי נכסים-יתרות פתיחה'!$2:$110,92,0),0)*(1-F$309)</f>
        <v>0</v>
      </c>
      <c r="G133" s="1240">
        <f>+IFERROR(HLOOKUP(G32,'סקרי נכסים-יתרות פתיחה'!$2:$110,8,0),0)-IFERROR(HLOOKUP(G32,'סקרי נכסים-יתרות פתיחה'!$2:$110,92,0),0)*(1-G$309)</f>
        <v>0</v>
      </c>
      <c r="H133" s="1240">
        <f>+IFERROR(HLOOKUP(H32,'סקרי נכסים-יתרות פתיחה'!$2:$110,8,0),0)-IFERROR(HLOOKUP(H32,'סקרי נכסים-יתרות פתיחה'!$2:$110,92,0),0)*(1-H$309)</f>
        <v>0</v>
      </c>
      <c r="I133" s="1240">
        <f>+IFERROR(HLOOKUP(I32,'סקרי נכסים-יתרות פתיחה'!$2:$110,8,0),0)-IFERROR(HLOOKUP(I32,'סקרי נכסים-יתרות פתיחה'!$2:$110,92,0),0)*(1-I$309)</f>
        <v>0</v>
      </c>
      <c r="J133" s="1240">
        <f>+IFERROR(HLOOKUP(J32,'סקרי נכסים-יתרות פתיחה'!$2:$110,8,0),0)-IFERROR(HLOOKUP(J32,'סקרי נכסים-יתרות פתיחה'!$2:$110,92,0),0)*(1-J$309)</f>
        <v>0</v>
      </c>
      <c r="K133" s="1240">
        <f>+IFERROR(HLOOKUP(K32,'סקרי נכסים-יתרות פתיחה'!$2:$110,8,0),0)-IFERROR(HLOOKUP(K32,'סקרי נכסים-יתרות פתיחה'!$2:$110,92,0),0)*(1-K$309)</f>
        <v>0</v>
      </c>
      <c r="L133" s="1240">
        <f>+IFERROR(HLOOKUP(L32,'סקרי נכסים-יתרות פתיחה'!$2:$110,8,0),0)-IFERROR(HLOOKUP(L32,'סקרי נכסים-יתרות פתיחה'!$2:$110,92,0),0)*(1-L$309)</f>
        <v>0</v>
      </c>
      <c r="M133" s="1240">
        <f>+IFERROR(HLOOKUP(M32,'סקרי נכסים-יתרות פתיחה'!$2:$110,8,0),0)-IFERROR(HLOOKUP(M32,'סקרי נכסים-יתרות פתיחה'!$2:$110,92,0),0)*(1-M$309)</f>
        <v>0</v>
      </c>
      <c r="N133" s="1240">
        <f>+IFERROR(HLOOKUP(N32,'סקרי נכסים-יתרות פתיחה'!$2:$110,8,0),0)-IFERROR(HLOOKUP(N32,'סקרי נכסים-יתרות פתיחה'!$2:$110,92,0),0)*(1-N$309)</f>
        <v>0</v>
      </c>
      <c r="O133" s="1240">
        <f>+IFERROR(HLOOKUP(O32,'סקרי נכסים-יתרות פתיחה'!$2:$110,8,0),0)-IFERROR(HLOOKUP(O32,'סקרי נכסים-יתרות פתיחה'!$2:$110,92,0),0)*(1-O$309)</f>
        <v>0</v>
      </c>
      <c r="P133" s="1240">
        <f>+IFERROR(HLOOKUP(P32,'סקרי נכסים-יתרות פתיחה'!$2:$110,8,0),0)-IFERROR(HLOOKUP(P32,'סקרי נכסים-יתרות פתיחה'!$2:$110,92,0),0)*(1-P$309)</f>
        <v>0</v>
      </c>
      <c r="Q133" s="1240">
        <f>+IFERROR(HLOOKUP(Q32,'סקרי נכסים-יתרות פתיחה'!$2:$110,8,0),0)-IFERROR(HLOOKUP(Q32,'סקרי נכסים-יתרות פתיחה'!$2:$110,92,0),0)*(1-Q$309)</f>
        <v>0</v>
      </c>
      <c r="R133" s="1240">
        <f>+IFERROR(HLOOKUP(R32,'סקרי נכסים-יתרות פתיחה'!$2:$110,8,0),0)-IFERROR(HLOOKUP(R32,'סקרי נכסים-יתרות פתיחה'!$2:$110,92,0),0)*(1-R$309)</f>
        <v>0</v>
      </c>
      <c r="S133" s="1240">
        <f>+IFERROR(HLOOKUP(S32,'סקרי נכסים-יתרות פתיחה'!$2:$110,8,0),0)-IFERROR(HLOOKUP(S32,'סקרי נכסים-יתרות פתיחה'!$2:$110,92,0),0)*(1-S$309)</f>
        <v>0</v>
      </c>
      <c r="T133" s="1240">
        <f>+IFERROR(HLOOKUP(T32,'סקרי נכסים-יתרות פתיחה'!$2:$110,8,0),0)-IFERROR(HLOOKUP(T32,'סקרי נכסים-יתרות פתיחה'!$2:$110,92,0),0)*(1-T$309)</f>
        <v>0</v>
      </c>
      <c r="U133" s="1240">
        <f>+IFERROR(HLOOKUP(U32,'סקרי נכסים-יתרות פתיחה'!$2:$110,8,0),0)-IFERROR(HLOOKUP(U32,'סקרי נכסים-יתרות פתיחה'!$2:$110,92,0),0)*(1-U$309)</f>
        <v>0</v>
      </c>
      <c r="V133" s="1240">
        <f>+IFERROR(HLOOKUP(V32,'סקרי נכסים-יתרות פתיחה'!$2:$110,8,0),0)-IFERROR(HLOOKUP(V32,'סקרי נכסים-יתרות פתיחה'!$2:$110,92,0),0)*(1-V$309)</f>
        <v>0</v>
      </c>
      <c r="W133" s="1240">
        <f>+IFERROR(HLOOKUP(W32,'סקרי נכסים-יתרות פתיחה'!$2:$110,8,0),0)-IFERROR(HLOOKUP(W32,'סקרי נכסים-יתרות פתיחה'!$2:$110,92,0),0)*(1-W$309)</f>
        <v>0</v>
      </c>
      <c r="X133" s="1240">
        <f>+IFERROR(HLOOKUP(X32,'סקרי נכסים-יתרות פתיחה'!$2:$110,8,0),0)-IFERROR(HLOOKUP(X32,'סקרי נכסים-יתרות פתיחה'!$2:$110,92,0),0)*(1-X$309)</f>
        <v>0</v>
      </c>
      <c r="Y133" s="1240">
        <f>+IFERROR(HLOOKUP(Y32,'סקרי נכסים-יתרות פתיחה'!$2:$110,8,0),0)-IFERROR(HLOOKUP(Y32,'סקרי נכסים-יתרות פתיחה'!$2:$110,92,0),0)*(1-Y$309)</f>
        <v>0</v>
      </c>
      <c r="Z133" s="1240">
        <f>+IFERROR(HLOOKUP(Z32,'סקרי נכסים-יתרות פתיחה'!$2:$110,8,0),0)-IFERROR(HLOOKUP(Z32,'סקרי נכסים-יתרות פתיחה'!$2:$110,92,0),0)*(1-Z$309)</f>
        <v>0</v>
      </c>
      <c r="AA133" s="1240">
        <f>+IFERROR(HLOOKUP(AA32,'סקרי נכסים-יתרות פתיחה'!$2:$110,8,0),0)-IFERROR(HLOOKUP(AA32,'סקרי נכסים-יתרות פתיחה'!$2:$110,92,0),0)*(1-AA$309)</f>
        <v>0</v>
      </c>
      <c r="AB133" s="1240">
        <f>+IFERROR(HLOOKUP(AB32,'סקרי נכסים-יתרות פתיחה'!$2:$110,8,0),0)-IFERROR(HLOOKUP(AB32,'סקרי נכסים-יתרות פתיחה'!$2:$110,92,0),0)*(1-AB$309)</f>
        <v>0</v>
      </c>
      <c r="AC133" s="1240">
        <f>+IFERROR(HLOOKUP(AC32,'סקרי נכסים-יתרות פתיחה'!$2:$110,8,0),0)-IFERROR(HLOOKUP(AC32,'סקרי נכסים-יתרות פתיחה'!$2:$110,92,0),0)*(1-AC$309)</f>
        <v>0</v>
      </c>
      <c r="AD133" s="1240">
        <f>+IFERROR(HLOOKUP(AD32,'סקרי נכסים-יתרות פתיחה'!$2:$110,8,0),0)-IFERROR(HLOOKUP(AD32,'סקרי נכסים-יתרות פתיחה'!$2:$110,92,0),0)*(1-AD$309)</f>
        <v>0</v>
      </c>
      <c r="AE133" s="1240">
        <f>+IFERROR(HLOOKUP(AE32,'סקרי נכסים-יתרות פתיחה'!$2:$110,8,0),0)-IFERROR(HLOOKUP(AE32,'סקרי נכסים-יתרות פתיחה'!$2:$110,92,0),0)*(1-AE$309)</f>
        <v>0</v>
      </c>
      <c r="AF133" s="1240">
        <f>+IFERROR(HLOOKUP(AF32,'סקרי נכסים-יתרות פתיחה'!$2:$110,8,0),0)-IFERROR(HLOOKUP(AF32,'סקרי נכסים-יתרות פתיחה'!$2:$110,92,0),0)*(1-AF$309)</f>
        <v>0</v>
      </c>
      <c r="AG133" s="1240">
        <f>+IFERROR(HLOOKUP(AG32,'סקרי נכסים-יתרות פתיחה'!$2:$110,8,0),0)-IFERROR(HLOOKUP(AG32,'סקרי נכסים-יתרות פתיחה'!$2:$110,92,0),0)*(1-AG$309)</f>
        <v>0</v>
      </c>
      <c r="AH133" s="1240">
        <f>+IFERROR(HLOOKUP(AH32,'סקרי נכסים-יתרות פתיחה'!$2:$110,8,0),0)-IFERROR(HLOOKUP(AH32,'סקרי נכסים-יתרות פתיחה'!$2:$110,92,0),0)*(1-AH$309)</f>
        <v>0</v>
      </c>
      <c r="AI133" s="1240">
        <f>+IFERROR(HLOOKUP(AI32,'סקרי נכסים-יתרות פתיחה'!$2:$110,8,0),0)-IFERROR(HLOOKUP(AI32,'סקרי נכסים-יתרות פתיחה'!$2:$110,92,0),0)*(1-AI$309)</f>
        <v>0</v>
      </c>
      <c r="AJ133" s="1240">
        <f>+IFERROR(HLOOKUP(AJ32,'סקרי נכסים-יתרות פתיחה'!$2:$110,8,0),0)-IFERROR(HLOOKUP(AJ32,'סקרי נכסים-יתרות פתיחה'!$2:$110,92,0),0)*(1-AJ$309)</f>
        <v>0</v>
      </c>
      <c r="AK133" s="1240">
        <f>+IFERROR(HLOOKUP(AK32,'סקרי נכסים-יתרות פתיחה'!$2:$110,8,0),0)-IFERROR(HLOOKUP(AK32,'סקרי נכסים-יתרות פתיחה'!$2:$110,92,0),0)*(1-AK$309)</f>
        <v>0</v>
      </c>
      <c r="AL133" s="1240">
        <f>+IFERROR(HLOOKUP(AL32,'סקרי נכסים-יתרות פתיחה'!$2:$110,8,0),0)-IFERROR(HLOOKUP(AL32,'סקרי נכסים-יתרות פתיחה'!$2:$110,92,0),0)*(1-AL$309)</f>
        <v>0</v>
      </c>
      <c r="AM133" s="1240">
        <f>+IFERROR(HLOOKUP(AM32,'סקרי נכסים-יתרות פתיחה'!$2:$110,8,0),0)-IFERROR(HLOOKUP(AM32,'סקרי נכסים-יתרות פתיחה'!$2:$110,92,0),0)*(1-AM$309)</f>
        <v>0</v>
      </c>
      <c r="AN133" s="1240">
        <f>+IFERROR(HLOOKUP(AN32,'סקרי נכסים-יתרות פתיחה'!$2:$110,8,0),0)-IFERROR(HLOOKUP(AN32,'סקרי נכסים-יתרות פתיחה'!$2:$110,92,0),0)*(1-AN$309)</f>
        <v>0</v>
      </c>
      <c r="AO133" s="1240">
        <f>+IFERROR(HLOOKUP(AO32,'סקרי נכסים-יתרות פתיחה'!$2:$110,8,0),0)-IFERROR(HLOOKUP(AO32,'סקרי נכסים-יתרות פתיחה'!$2:$110,92,0),0)*(1-AO$309)</f>
        <v>0</v>
      </c>
      <c r="AP133" s="1240">
        <f>+IFERROR(HLOOKUP(AP32,'סקרי נכסים-יתרות פתיחה'!$2:$110,8,0),0)-IFERROR(HLOOKUP(AP32,'סקרי נכסים-יתרות פתיחה'!$2:$110,92,0),0)*(1-AP$309)</f>
        <v>0</v>
      </c>
      <c r="AQ133" s="1240">
        <f>+IFERROR(HLOOKUP(AQ32,'סקרי נכסים-יתרות פתיחה'!$2:$110,8,0),0)-IFERROR(HLOOKUP(AQ32,'סקרי נכסים-יתרות פתיחה'!$2:$110,92,0),0)*(1-AQ$309)</f>
        <v>0</v>
      </c>
      <c r="AR133" s="1240">
        <f>+IFERROR(HLOOKUP(AR32,'סקרי נכסים-יתרות פתיחה'!$2:$110,8,0),0)-IFERROR(HLOOKUP(AR32,'סקרי נכסים-יתרות פתיחה'!$2:$110,92,0),0)*(1-AR$309)</f>
        <v>0</v>
      </c>
      <c r="AS133" s="1240">
        <f>+IFERROR(HLOOKUP(AS32,'סקרי נכסים-יתרות פתיחה'!$2:$110,8,0),0)-IFERROR(HLOOKUP(AS32,'סקרי נכסים-יתרות פתיחה'!$2:$110,92,0),0)*(1-AS$309)</f>
        <v>0</v>
      </c>
      <c r="AT133" s="1240">
        <f>+IFERROR(HLOOKUP(AT32,'סקרי נכסים-יתרות פתיחה'!$2:$110,8,0),0)-IFERROR(HLOOKUP(AT32,'סקרי נכסים-יתרות פתיחה'!$2:$110,92,0),0)*(1-AT$309)</f>
        <v>0</v>
      </c>
      <c r="AU133" s="1240">
        <f>+IFERROR(HLOOKUP(AU32,'סקרי נכסים-יתרות פתיחה'!$2:$110,8,0),0)-IFERROR(HLOOKUP(AU32,'סקרי נכסים-יתרות פתיחה'!$2:$110,92,0),0)*(1-AU$309)</f>
        <v>0</v>
      </c>
      <c r="AV133" s="1240">
        <f>+IFERROR(HLOOKUP(AV32,'סקרי נכסים-יתרות פתיחה'!$2:$110,8,0),0)-IFERROR(HLOOKUP(AV32,'סקרי נכסים-יתרות פתיחה'!$2:$110,92,0),0)*(1-AV$309)</f>
        <v>0</v>
      </c>
      <c r="AW133" s="1240">
        <f>+IFERROR(HLOOKUP(AW32,'סקרי נכסים-יתרות פתיחה'!$2:$110,8,0),0)-IFERROR(HLOOKUP(AW32,'סקרי נכסים-יתרות פתיחה'!$2:$110,92,0),0)*(1-AW$309)</f>
        <v>0</v>
      </c>
      <c r="AX133" s="1240">
        <f>+IFERROR(HLOOKUP(AX32,'סקרי נכסים-יתרות פתיחה'!$2:$110,8,0),0)-IFERROR(HLOOKUP(AX32,'סקרי נכסים-יתרות פתיחה'!$2:$110,92,0),0)*(1-AX$309)</f>
        <v>0</v>
      </c>
      <c r="AY133" s="1240">
        <f>+IFERROR(HLOOKUP(AY32,'סקרי נכסים-יתרות פתיחה'!$2:$110,8,0),0)-IFERROR(HLOOKUP(AY32,'סקרי נכסים-יתרות פתיחה'!$2:$110,92,0),0)*(1-AY$309)</f>
        <v>0</v>
      </c>
      <c r="AZ133" s="1240">
        <f>+IFERROR(HLOOKUP(AZ32,'סקרי נכסים-יתרות פתיחה'!$2:$110,8,0),0)-IFERROR(HLOOKUP(AZ32,'סקרי נכסים-יתרות פתיחה'!$2:$110,92,0),0)*(1-AZ$309)</f>
        <v>0</v>
      </c>
      <c r="BA133" s="1240">
        <f>+IFERROR(HLOOKUP(BA32,'סקרי נכסים-יתרות פתיחה'!$2:$110,8,0),0)-IFERROR(HLOOKUP(BA32,'סקרי נכסים-יתרות פתיחה'!$2:$110,92,0),0)*(1-BA$309)</f>
        <v>0</v>
      </c>
      <c r="BB133" s="1240">
        <f>+IFERROR(HLOOKUP(BB32,'סקרי נכסים-יתרות פתיחה'!$2:$110,8,0),0)-IFERROR(HLOOKUP(BB32,'סקרי נכסים-יתרות פתיחה'!$2:$110,92,0),0)*(1-BB$309)</f>
        <v>0</v>
      </c>
      <c r="BC133" s="1240">
        <f>+IFERROR(HLOOKUP(BC32,'סקרי נכסים-יתרות פתיחה'!$2:$110,8,0),0)-IFERROR(HLOOKUP(BC32,'סקרי נכסים-יתרות פתיחה'!$2:$110,92,0),0)*(1-BC$309)</f>
        <v>0</v>
      </c>
      <c r="BD133" s="1240">
        <f>+IFERROR(HLOOKUP(BD32,'סקרי נכסים-יתרות פתיחה'!$2:$110,8,0),0)-IFERROR(HLOOKUP(BD32,'סקרי נכסים-יתרות פתיחה'!$2:$110,92,0),0)*(1-BD$309)</f>
        <v>0</v>
      </c>
      <c r="BE133" s="1240">
        <f>+IFERROR(HLOOKUP(BE32,'סקרי נכסים-יתרות פתיחה'!$2:$110,8,0),0)-IFERROR(HLOOKUP(BE32,'סקרי נכסים-יתרות פתיחה'!$2:$110,92,0),0)*(1-BE$309)</f>
        <v>0</v>
      </c>
      <c r="BF133" s="1240">
        <f>+IFERROR(HLOOKUP(BF32,'סקרי נכסים-יתרות פתיחה'!$2:$110,8,0),0)-IFERROR(HLOOKUP(BF32,'סקרי נכסים-יתרות פתיחה'!$2:$110,92,0),0)*(1-BF$309)</f>
        <v>0</v>
      </c>
    </row>
    <row r="134" spans="1:61" x14ac:dyDescent="0.2">
      <c r="A134" s="1228" t="s">
        <v>1538</v>
      </c>
      <c r="C134" s="1240">
        <f>+IFERROR(HLOOKUP(C1,'השקעות בניכוי גריעות'!$1:$93,52,0)*1000,0)+HLOOKUP(C1,'השקעות 2012-2014'!$1:$124,52,0)*1000</f>
        <v>1308000</v>
      </c>
      <c r="D134" s="1240">
        <f>+IFERROR(HLOOKUP(D1,'השקעות בניכוי גריעות'!$1:$93,52,0)*1000,0)+HLOOKUP(D1,'השקעות 2012-2014'!$1:$124,52,0)*1000</f>
        <v>1487000</v>
      </c>
      <c r="E134" s="1240">
        <f>+IFERROR(HLOOKUP(E1,'השקעות בניכוי גריעות'!$1:$93,52,0)*1000,0)+HLOOKUP(E1,'השקעות 2012-2014'!$1:$124,52,0)*1000</f>
        <v>211000</v>
      </c>
      <c r="F134" s="1240">
        <f>+IFERROR(HLOOKUP(F1,'השקעות בניכוי גריעות'!$1:$93,52,0)*1000,0)+HLOOKUP(F1,'השקעות 2012-2014'!$1:$124,52,0)*1000</f>
        <v>0</v>
      </c>
      <c r="G134" s="1240">
        <f>+IFERROR(HLOOKUP(G1,'השקעות בניכוי גריעות'!$1:$93,52,0)*1000,0)+HLOOKUP(G1,'השקעות 2012-2014'!$1:$124,52,0)*1000</f>
        <v>0</v>
      </c>
      <c r="H134" s="1240">
        <f>+IFERROR(HLOOKUP(H1,'השקעות בניכוי גריעות'!$1:$93,52,0)*1000,0)+HLOOKUP(H1,'השקעות 2012-2014'!$1:$124,52,0)*1000</f>
        <v>181000</v>
      </c>
      <c r="I134" s="1240">
        <f>+IFERROR(HLOOKUP(I1,'השקעות בניכוי גריעות'!$1:$93,52,0)*1000,0)+HLOOKUP(I1,'השקעות 2012-2014'!$1:$124,52,0)*1000</f>
        <v>3235000</v>
      </c>
      <c r="J134" s="1240">
        <f>+IFERROR(HLOOKUP(J1,'השקעות בניכוי גריעות'!$1:$93,52,0)*1000,0)+HLOOKUP(J1,'השקעות 2012-2014'!$1:$124,52,0)*1000</f>
        <v>0</v>
      </c>
      <c r="K134" s="1240">
        <f>+IFERROR(HLOOKUP(K1,'השקעות בניכוי גריעות'!$1:$93,52,0)*1000,0)+HLOOKUP(K1,'השקעות 2012-2014'!$1:$124,52,0)*1000</f>
        <v>288000</v>
      </c>
      <c r="L134" s="1240">
        <f>+IFERROR(HLOOKUP(L1,'השקעות בניכוי גריעות'!$1:$93,52,0)*1000,0)+HLOOKUP(L1,'השקעות 2012-2014'!$1:$124,52,0)*1000</f>
        <v>17000</v>
      </c>
      <c r="M134" s="1240">
        <f>+IFERROR(HLOOKUP(M1,'השקעות בניכוי גריעות'!$1:$93,52,0)*1000,0)+HLOOKUP(M1,'השקעות 2012-2014'!$1:$124,52,0)*1000</f>
        <v>0</v>
      </c>
      <c r="N134" s="1240">
        <f>+IFERROR(HLOOKUP(N1,'השקעות בניכוי גריעות'!$1:$93,52,0)*1000,0)+HLOOKUP(N1,'השקעות 2012-2014'!$1:$124,52,0)*1000</f>
        <v>0</v>
      </c>
      <c r="O134" s="1240">
        <f>+IFERROR(HLOOKUP(O1,'השקעות בניכוי גריעות'!$1:$93,52,0)*1000,0)+HLOOKUP(O1,'השקעות 2012-2014'!$1:$124,52,0)*1000</f>
        <v>0</v>
      </c>
      <c r="P134" s="1240">
        <f>+IFERROR(HLOOKUP(P1,'השקעות בניכוי גריעות'!$1:$93,52,0)*1000,0)+HLOOKUP(P1,'השקעות 2012-2014'!$1:$124,52,0)*1000</f>
        <v>5714000</v>
      </c>
      <c r="Q134" s="1240">
        <f>+IFERROR(HLOOKUP(Q1,'השקעות בניכוי גריעות'!$1:$93,52,0)*1000,0)+HLOOKUP(Q1,'השקעות 2012-2014'!$1:$124,52,0)*1000</f>
        <v>854000</v>
      </c>
      <c r="R134" s="1240">
        <f>+IFERROR(HLOOKUP(R1,'השקעות בניכוי גריעות'!$1:$93,52,0)*1000,0)+HLOOKUP(R1,'השקעות 2012-2014'!$1:$124,52,0)*1000</f>
        <v>129356</v>
      </c>
      <c r="S134" s="1240">
        <f>+IFERROR(HLOOKUP(S1,'השקעות בניכוי גריעות'!$1:$93,52,0)*1000,0)+HLOOKUP(S1,'השקעות 2012-2014'!$1:$124,52,0)*1000</f>
        <v>12000</v>
      </c>
      <c r="T134" s="1240">
        <f>+IFERROR(HLOOKUP(T1,'השקעות בניכוי גריעות'!$1:$93,52,0)*1000,0)+HLOOKUP(T1,'השקעות 2012-2014'!$1:$124,52,0)*1000</f>
        <v>34000</v>
      </c>
      <c r="U134" s="1240">
        <f>+IFERROR(HLOOKUP(U1,'השקעות בניכוי גריעות'!$1:$93,52,0)*1000,0)+HLOOKUP(U1,'השקעות 2012-2014'!$1:$124,52,0)*1000</f>
        <v>0</v>
      </c>
      <c r="V134" s="1240">
        <f>+IFERROR(HLOOKUP(V1,'השקעות בניכוי גריעות'!$1:$93,52,0)*1000,0)+HLOOKUP(V1,'השקעות 2012-2014'!$1:$124,52,0)*1000</f>
        <v>2729000</v>
      </c>
      <c r="W134" s="1240">
        <f>+IFERROR(HLOOKUP(W1,'השקעות בניכוי גריעות'!$1:$93,52,0)*1000,0)+HLOOKUP(W1,'השקעות 2012-2014'!$1:$124,52,0)*1000</f>
        <v>2038000</v>
      </c>
      <c r="X134" s="1240">
        <f>+IFERROR(HLOOKUP(X1,'השקעות בניכוי גריעות'!$1:$93,52,0)*1000,0)+HLOOKUP(X1,'השקעות 2012-2014'!$1:$124,52,0)*1000</f>
        <v>592000</v>
      </c>
      <c r="Y134" s="1240">
        <f>+IFERROR(HLOOKUP(Y1,'השקעות בניכוי גריעות'!$1:$93,52,0)*1000,0)+HLOOKUP(Y1,'השקעות 2012-2014'!$1:$124,52,0)*1000</f>
        <v>136000</v>
      </c>
      <c r="Z134" s="1240">
        <f>+IFERROR(HLOOKUP(Z1,'השקעות בניכוי גריעות'!$1:$93,52,0)*1000,0)+HLOOKUP(Z1,'השקעות 2012-2014'!$1:$124,52,0)*1000</f>
        <v>10000</v>
      </c>
      <c r="AA134" s="1240">
        <f>+IFERROR(HLOOKUP(AA1,'השקעות בניכוי גריעות'!$1:$93,52,0)*1000,0)+HLOOKUP(AA1,'השקעות 2012-2014'!$1:$124,52,0)*1000</f>
        <v>0</v>
      </c>
      <c r="AB134" s="1240">
        <f>+IFERROR(HLOOKUP(AB1,'השקעות בניכוי גריעות'!$1:$93,52,0)*1000,0)+HLOOKUP(AB1,'השקעות 2012-2014'!$1:$124,52,0)*1000</f>
        <v>0</v>
      </c>
      <c r="AC134" s="1240">
        <f>+IFERROR(HLOOKUP(AC1,'השקעות בניכוי גריעות'!$1:$93,52,0)*1000,0)+HLOOKUP(AC1,'השקעות 2012-2014'!$1:$124,52,0)*1000</f>
        <v>3000</v>
      </c>
      <c r="AD134" s="1240">
        <f>+IFERROR(HLOOKUP(AD1,'השקעות בניכוי גריעות'!$1:$93,52,0)*1000,0)+HLOOKUP(AD1,'השקעות 2012-2014'!$1:$124,52,0)*1000</f>
        <v>1299000</v>
      </c>
      <c r="AE134" s="1240">
        <f>+IFERROR(HLOOKUP(AE1,'השקעות בניכוי גריעות'!$1:$93,52,0)*1000,0)+HLOOKUP(AE1,'השקעות 2012-2014'!$1:$124,52,0)*1000</f>
        <v>0</v>
      </c>
      <c r="AF134" s="1240">
        <f>+IFERROR(HLOOKUP(AF1,'השקעות בניכוי גריעות'!$1:$93,52,0)*1000,0)+HLOOKUP(AF1,'השקעות 2012-2014'!$1:$124,52,0)*1000</f>
        <v>21000</v>
      </c>
      <c r="AG134" s="1240">
        <f>+IFERROR(HLOOKUP(AG1,'השקעות בניכוי גריעות'!$1:$93,52,0)*1000,0)+HLOOKUP(AG1,'השקעות 2012-2014'!$1:$124,52,0)*1000</f>
        <v>887000</v>
      </c>
      <c r="AH134" s="1240">
        <f>+IFERROR(HLOOKUP(AH1,'השקעות בניכוי גריעות'!$1:$93,52,0)*1000,0)+HLOOKUP(AH1,'השקעות 2012-2014'!$1:$124,52,0)*1000</f>
        <v>0</v>
      </c>
      <c r="AI134" s="1240">
        <f>+IFERROR(HLOOKUP(AI1,'השקעות בניכוי גריעות'!$1:$93,52,0)*1000,0)+HLOOKUP(AI1,'השקעות 2012-2014'!$1:$124,52,0)*1000</f>
        <v>0</v>
      </c>
      <c r="AJ134" s="1240">
        <f>+IFERROR(HLOOKUP(AJ1,'השקעות בניכוי גריעות'!$1:$93,52,0)*1000,0)+HLOOKUP(AJ1,'השקעות 2012-2014'!$1:$124,52,0)*1000</f>
        <v>0</v>
      </c>
      <c r="AK134" s="1240">
        <f>+IFERROR(HLOOKUP(AK1,'השקעות בניכוי גריעות'!$1:$93,52,0)*1000,0)+HLOOKUP(AK1,'השקעות 2012-2014'!$1:$124,52,0)*1000</f>
        <v>0</v>
      </c>
      <c r="AL134" s="1240">
        <f>+IFERROR(HLOOKUP(AL1,'השקעות בניכוי גריעות'!$1:$93,52,0)*1000,0)+HLOOKUP(AL1,'השקעות 2012-2014'!$1:$124,52,0)*1000</f>
        <v>4626000</v>
      </c>
      <c r="AM134" s="1240">
        <f>+IFERROR(HLOOKUP(AM1,'השקעות בניכוי גריעות'!$1:$93,52,0)*1000,0)+HLOOKUP(AM1,'השקעות 2012-2014'!$1:$124,52,0)*1000+5778000</f>
        <v>5839000</v>
      </c>
      <c r="AN134" s="1240">
        <f>+IFERROR(HLOOKUP(AN1,'השקעות בניכוי גריעות'!$1:$93,52,0)*1000,0)+HLOOKUP(AN1,'השקעות 2012-2014'!$1:$124,52,0)*1000</f>
        <v>0</v>
      </c>
      <c r="AO134" s="1240">
        <f>+IFERROR(HLOOKUP(AO1,'השקעות בניכוי גריעות'!$1:$93,52,0)*1000,0)+HLOOKUP(AO1,'השקעות 2012-2014'!$1:$124,52,0)*1000</f>
        <v>0</v>
      </c>
      <c r="AP134" s="1240">
        <f>+IFERROR(HLOOKUP(AP1,'השקעות בניכוי גריעות'!$1:$93,52,0)*1000,0)+HLOOKUP(AP1,'השקעות 2012-2014'!$1:$124,52,0)*1000</f>
        <v>0</v>
      </c>
      <c r="AQ134" s="1240">
        <f>+IFERROR(HLOOKUP(AQ1,'השקעות בניכוי גריעות'!$1:$93,52,0)*1000,0)+HLOOKUP(AQ1,'השקעות 2012-2014'!$1:$124,52,0)*1000</f>
        <v>1000</v>
      </c>
      <c r="AR134" s="1240">
        <f>+IFERROR(HLOOKUP(AR1,'השקעות בניכוי גריעות'!$1:$93,52,0)*1000,0)+HLOOKUP(AR1,'השקעות 2012-2014'!$1:$124,52,0)*1000</f>
        <v>2349000</v>
      </c>
      <c r="AS134" s="1240">
        <f>+IFERROR(HLOOKUP(AS1,'השקעות בניכוי גריעות'!$1:$93,52,0)*1000,0)+HLOOKUP(AS1,'השקעות 2012-2014'!$1:$124,52,0)*1000</f>
        <v>0</v>
      </c>
      <c r="AT134" s="1240">
        <f>+IFERROR(HLOOKUP(AT1,'השקעות בניכוי גריעות'!$1:$93,52,0)*1000,0)+HLOOKUP(AT1,'השקעות 2012-2014'!$1:$124,52,0)*1000</f>
        <v>7034000</v>
      </c>
      <c r="AU134" s="1240">
        <f>+IFERROR(HLOOKUP(AU1,'השקעות בניכוי גריעות'!$1:$93,52,0)*1000,0)+HLOOKUP(AU1,'השקעות 2012-2014'!$1:$124,52,0)*1000</f>
        <v>2000</v>
      </c>
      <c r="AV134" s="1240">
        <f>+IFERROR(HLOOKUP(AV1,'השקעות בניכוי גריעות'!$1:$93,52,0)*1000,0)+HLOOKUP(AV1,'השקעות 2012-2014'!$1:$124,52,0)*1000</f>
        <v>224000</v>
      </c>
      <c r="AW134" s="1240">
        <f>+IFERROR(HLOOKUP(AW1,'השקעות בניכוי גריעות'!$1:$93,52,0)*1000,0)+HLOOKUP(AW1,'השקעות 2012-2014'!$1:$124,52,0)*1000</f>
        <v>0</v>
      </c>
      <c r="AX134" s="1240">
        <f>+IFERROR(HLOOKUP(AX1,'השקעות בניכוי גריעות'!$1:$93,52,0)*1000,0)+HLOOKUP(AX1,'השקעות 2012-2014'!$1:$124,52,0)*1000</f>
        <v>0</v>
      </c>
      <c r="AY134" s="1240">
        <f>+IFERROR(HLOOKUP(AY1,'השקעות בניכוי גריעות'!$1:$93,52,0)*1000,0)+HLOOKUP(AY1,'השקעות 2012-2014'!$1:$124,52,0)*1000</f>
        <v>0</v>
      </c>
      <c r="AZ134" s="1240">
        <f>+IFERROR(HLOOKUP(AZ1,'השקעות בניכוי גריעות'!$1:$93,52,0)*1000,0)+HLOOKUP(AZ1,'השקעות 2012-2014'!$1:$124,52,0)*1000</f>
        <v>1000</v>
      </c>
      <c r="BA134" s="1240">
        <f>+IFERROR(HLOOKUP(BA1,'השקעות בניכוי גריעות'!$1:$93,52,0)*1000,0)+HLOOKUP(BA1,'השקעות 2012-2014'!$1:$124,52,0)*1000</f>
        <v>0</v>
      </c>
      <c r="BB134" s="1240">
        <f>+IFERROR(HLOOKUP(BB1,'השקעות בניכוי גריעות'!$1:$93,52,0)*1000,0)+HLOOKUP(BB1,'השקעות 2012-2014'!$1:$124,52,0)*1000</f>
        <v>0</v>
      </c>
      <c r="BC134" s="1240">
        <f>+IFERROR(HLOOKUP(BC1,'השקעות בניכוי גריעות'!$1:$93,52,0)*1000,0)+HLOOKUP(BC1,'השקעות 2012-2014'!$1:$124,52,0)*1000</f>
        <v>4351000</v>
      </c>
      <c r="BD134" s="1240">
        <f>+IFERROR(HLOOKUP(BD1,'השקעות בניכוי גריעות'!$1:$93,52,0)*1000,0)+HLOOKUP(BD1,'השקעות 2012-2014'!$1:$124,52,0)*1000</f>
        <v>0</v>
      </c>
      <c r="BE134" s="1240">
        <f>+IFERROR(HLOOKUP(BE1,'השקעות בניכוי גריעות'!$1:$93,52,0)*1000,0)+HLOOKUP(BE1,'השקעות 2012-2014'!$1:$124,52,0)*1000</f>
        <v>0</v>
      </c>
      <c r="BF134" s="1240">
        <f>+IFERROR(HLOOKUP(BF1,'השקעות בניכוי גריעות'!$1:$93,52,0)*1000,0)+HLOOKUP(BF1,'השקעות 2012-2014'!$1:$124,52,0)*1000</f>
        <v>0</v>
      </c>
      <c r="BG134" s="78">
        <f>SUM(C134:BE134)</f>
        <v>45612356</v>
      </c>
      <c r="BI134" s="5">
        <v>34062356</v>
      </c>
    </row>
    <row r="135" spans="1:61" x14ac:dyDescent="0.2">
      <c r="C135" s="1240"/>
      <c r="D135" s="1240"/>
      <c r="E135" s="1240"/>
      <c r="F135" s="1240"/>
      <c r="G135" s="1240"/>
      <c r="H135" s="1240"/>
      <c r="I135" s="1240"/>
      <c r="J135" s="1240"/>
      <c r="K135" s="1240"/>
      <c r="L135" s="1240"/>
      <c r="M135" s="1240"/>
      <c r="N135" s="1240"/>
      <c r="O135" s="1240"/>
      <c r="P135" s="1240"/>
      <c r="Q135" s="1240"/>
      <c r="R135" s="1240"/>
      <c r="S135" s="1240"/>
      <c r="T135" s="1240"/>
      <c r="U135" s="1240"/>
      <c r="V135" s="1240"/>
      <c r="W135" s="1240"/>
      <c r="X135" s="1240"/>
      <c r="Y135" s="1240"/>
      <c r="Z135" s="1240"/>
      <c r="AA135" s="1240"/>
      <c r="AB135" s="1240"/>
      <c r="AC135" s="1240"/>
      <c r="AD135" s="1240"/>
      <c r="AE135" s="1240"/>
      <c r="AF135" s="1240"/>
      <c r="AG135" s="1240"/>
      <c r="AH135" s="1240"/>
      <c r="AI135" s="1240"/>
      <c r="AJ135" s="1240"/>
      <c r="AK135" s="1240"/>
      <c r="AL135" s="1240"/>
      <c r="AM135" s="1240"/>
      <c r="AN135" s="1240"/>
      <c r="AO135" s="1240"/>
      <c r="AP135" s="1240"/>
      <c r="AQ135" s="1240"/>
      <c r="AR135" s="1240"/>
      <c r="AS135" s="1240"/>
      <c r="AT135" s="1240"/>
      <c r="AU135" s="1240"/>
      <c r="AV135" s="1240"/>
      <c r="AW135" s="1240"/>
      <c r="AX135" s="1240"/>
      <c r="AY135" s="1240"/>
      <c r="AZ135" s="1240"/>
      <c r="BA135" s="1240"/>
      <c r="BB135" s="1240"/>
      <c r="BC135" s="1240"/>
      <c r="BD135" s="1240"/>
      <c r="BE135" s="1240"/>
      <c r="BF135" s="1240"/>
      <c r="BG135" s="78"/>
      <c r="BI135" s="5"/>
    </row>
    <row r="136" spans="1:61" x14ac:dyDescent="0.2">
      <c r="A136" s="1" t="s">
        <v>164</v>
      </c>
      <c r="C136" s="1240">
        <f>SUM(C105:C134)/1000</f>
        <v>23569.370857142858</v>
      </c>
      <c r="D136" s="1240">
        <f t="shared" ref="D136:BE136" si="5">SUM(D105:D134)/1000</f>
        <v>8002</v>
      </c>
      <c r="E136" s="1240">
        <f t="shared" si="5"/>
        <v>18496.714285714286</v>
      </c>
      <c r="F136" s="1240">
        <f t="shared" si="5"/>
        <v>5440</v>
      </c>
      <c r="G136" s="1240">
        <f t="shared" si="5"/>
        <v>5851.4285714285716</v>
      </c>
      <c r="H136" s="1240">
        <f t="shared" si="5"/>
        <v>184618.47169523811</v>
      </c>
      <c r="I136" s="1240">
        <f t="shared" si="5"/>
        <v>55163.685714285719</v>
      </c>
      <c r="J136" s="1240">
        <f t="shared" si="5"/>
        <v>11327.085714285715</v>
      </c>
      <c r="K136" s="1240">
        <f t="shared" si="5"/>
        <v>24951.61285714286</v>
      </c>
      <c r="L136" s="1240">
        <f t="shared" si="5"/>
        <v>16234.6</v>
      </c>
      <c r="M136" s="1240">
        <f>SUM(M105:M134)/1000</f>
        <v>12460.8</v>
      </c>
      <c r="N136" s="1240">
        <f t="shared" si="5"/>
        <v>29189.047619047618</v>
      </c>
      <c r="O136" s="1240">
        <f t="shared" si="5"/>
        <v>1828.5714285714287</v>
      </c>
      <c r="P136" s="1240">
        <f t="shared" si="5"/>
        <v>18464</v>
      </c>
      <c r="Q136" s="1240">
        <f t="shared" si="5"/>
        <v>7756.8571428571431</v>
      </c>
      <c r="R136" s="1240">
        <f t="shared" si="5"/>
        <v>4562.3717714285713</v>
      </c>
      <c r="S136" s="1240">
        <f t="shared" si="5"/>
        <v>2212</v>
      </c>
      <c r="T136" s="1240">
        <f t="shared" si="5"/>
        <v>10261.326999999999</v>
      </c>
      <c r="U136" s="1240">
        <f t="shared" si="5"/>
        <v>7195.957028571429</v>
      </c>
      <c r="V136" s="1240">
        <f t="shared" si="5"/>
        <v>8647.1</v>
      </c>
      <c r="W136" s="1240">
        <f t="shared" si="5"/>
        <v>13345.746999999999</v>
      </c>
      <c r="X136" s="1240">
        <f t="shared" si="5"/>
        <v>9340.6939999999995</v>
      </c>
      <c r="Y136" s="1240">
        <f t="shared" si="5"/>
        <v>7038.857142857144</v>
      </c>
      <c r="Z136" s="1240">
        <f t="shared" si="5"/>
        <v>4398.5714285714284</v>
      </c>
      <c r="AA136" s="1240">
        <f t="shared" si="5"/>
        <v>26003.285714285717</v>
      </c>
      <c r="AB136" s="1240">
        <f t="shared" si="5"/>
        <v>7314.2857142857147</v>
      </c>
      <c r="AC136" s="1240">
        <f t="shared" si="5"/>
        <v>20803.809523809523</v>
      </c>
      <c r="AD136" s="1240">
        <f t="shared" si="5"/>
        <v>13733.285714285714</v>
      </c>
      <c r="AE136" s="1240">
        <f t="shared" si="5"/>
        <v>66518.023809523802</v>
      </c>
      <c r="AF136" s="1240">
        <f t="shared" si="5"/>
        <v>5880.1523809523806</v>
      </c>
      <c r="AG136" s="1240">
        <f t="shared" si="5"/>
        <v>7629.3363809523808</v>
      </c>
      <c r="AH136" s="1240">
        <f t="shared" si="5"/>
        <v>5100</v>
      </c>
      <c r="AI136" s="1240">
        <f t="shared" si="5"/>
        <v>8502.8571428571431</v>
      </c>
      <c r="AJ136" s="1240">
        <f t="shared" si="5"/>
        <v>405.24848571428572</v>
      </c>
      <c r="AK136" s="1240">
        <f t="shared" si="5"/>
        <v>0</v>
      </c>
      <c r="AL136" s="1240">
        <f t="shared" si="5"/>
        <v>24791.870952380952</v>
      </c>
      <c r="AM136" s="1240">
        <f t="shared" si="5"/>
        <v>14661.380952380954</v>
      </c>
      <c r="AN136" s="1240">
        <f t="shared" si="5"/>
        <v>2120</v>
      </c>
      <c r="AO136" s="1240">
        <f t="shared" si="5"/>
        <v>11108.571428571429</v>
      </c>
      <c r="AP136" s="1240">
        <f t="shared" si="5"/>
        <v>2910.4761904761904</v>
      </c>
      <c r="AQ136" s="1240">
        <f t="shared" si="5"/>
        <v>6401</v>
      </c>
      <c r="AR136" s="1240">
        <f t="shared" si="5"/>
        <v>14734.714285714286</v>
      </c>
      <c r="AS136" s="1240">
        <f t="shared" si="5"/>
        <v>11900</v>
      </c>
      <c r="AT136" s="1240">
        <f t="shared" si="5"/>
        <v>11581.619047619048</v>
      </c>
      <c r="AU136" s="1240">
        <f t="shared" si="5"/>
        <v>8642.4761904761908</v>
      </c>
      <c r="AV136" s="1240">
        <f t="shared" si="5"/>
        <v>8523.4047619047615</v>
      </c>
      <c r="AW136" s="1240">
        <f t="shared" si="5"/>
        <v>4820.4761904761899</v>
      </c>
      <c r="AX136" s="1240">
        <f t="shared" si="5"/>
        <v>2500</v>
      </c>
      <c r="AY136" s="1240">
        <f t="shared" si="5"/>
        <v>0</v>
      </c>
      <c r="AZ136" s="1240">
        <f t="shared" si="5"/>
        <v>7302.1904761904761</v>
      </c>
      <c r="BA136" s="1240">
        <f t="shared" si="5"/>
        <v>15726.576190476193</v>
      </c>
      <c r="BB136" s="1240">
        <f t="shared" si="5"/>
        <v>10653</v>
      </c>
      <c r="BC136" s="1240">
        <f t="shared" si="5"/>
        <v>9436.6329999999998</v>
      </c>
      <c r="BD136" s="1240">
        <f t="shared" si="5"/>
        <v>0</v>
      </c>
      <c r="BE136" s="1240">
        <f t="shared" si="5"/>
        <v>4525.7142857142853</v>
      </c>
      <c r="BF136" s="1240">
        <f t="shared" ref="BF136" si="6">SUM(BF105:BF134)/1000</f>
        <v>6163.95</v>
      </c>
      <c r="BG136" s="78">
        <f>SUM(C136:BE136)</f>
        <v>824587.26007619069</v>
      </c>
      <c r="BI136" s="5">
        <v>872354.57900000003</v>
      </c>
    </row>
    <row r="137" spans="1:61" x14ac:dyDescent="0.2">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row>
    <row r="138" spans="1:61" x14ac:dyDescent="0.2">
      <c r="A138" s="1228" t="s">
        <v>168</v>
      </c>
      <c r="B138" s="1">
        <v>1</v>
      </c>
      <c r="C138" s="1240">
        <f>+IFERROR(HLOOKUP(C4,'סקרי נכסים-יתרות פתיחה'!$2:$110,34,0),0)-IFERROR(HLOOKUP(C4,'סקרי נכסים-יתרות פתיחה'!$2:$110,93,0),0)*(1-C$309)</f>
        <v>199982116.57142857</v>
      </c>
      <c r="D138" s="1240">
        <f>+IFERROR(HLOOKUP(D4,'סקרי נכסים-יתרות פתיחה'!$2:$110,34,0),0)-IFERROR(HLOOKUP(D4,'סקרי נכסים-יתרות פתיחה'!$2:$110,93,0),0)*(1-D$309)</f>
        <v>28959000</v>
      </c>
      <c r="E138" s="1240">
        <f>+IFERROR(HLOOKUP(E4,'סקרי נכסים-יתרות פתיחה'!$2:$110,34,0),0)-IFERROR(HLOOKUP(E4,'סקרי נכסים-יתרות פתיחה'!$2:$110,93,0),0)*(1-E$309)</f>
        <v>161691622.40000001</v>
      </c>
      <c r="F138" s="1240">
        <f>+IFERROR(HLOOKUP(F4,'סקרי נכסים-יתרות פתיחה'!$2:$110,34,0),0)-IFERROR(HLOOKUP(F4,'סקרי נכסים-יתרות פתיחה'!$2:$110,93,0),0)*(1-F$309)</f>
        <v>26674212.571428571</v>
      </c>
      <c r="G138" s="1240">
        <f>+IFERROR(HLOOKUP(G4,'סקרי נכסים-יתרות פתיחה'!$2:$110,34,0),0)-IFERROR(HLOOKUP(G4,'סקרי נכסים-יתרות פתיחה'!$2:$110,93,0),0)*(1-G$309)</f>
        <v>100894020.57142857</v>
      </c>
      <c r="H138" s="1240">
        <f>+IFERROR(HLOOKUP(H4,'סקרי נכסים-יתרות פתיחה'!$2:$110,34,0),0)-IFERROR(HLOOKUP(H4,'סקרי נכסים-יתרות פתיחה'!$2:$110,93,0),0)*(1-H$309)</f>
        <v>599763913.14285719</v>
      </c>
      <c r="I138" s="1240">
        <f>+IFERROR(HLOOKUP(I4,'סקרי נכסים-יתרות פתיחה'!$2:$110,34,0),0)-IFERROR(HLOOKUP(I4,'סקרי נכסים-יתרות פתיחה'!$2:$110,93,0),0)*(1-I$309)</f>
        <v>220199363.65714285</v>
      </c>
      <c r="J138" s="1240">
        <f>+IFERROR(HLOOKUP(J4,'סקרי נכסים-יתרות פתיחה'!$2:$110,34,0),0)-IFERROR(HLOOKUP(J4,'סקרי נכסים-יתרות פתיחה'!$2:$110,93,0),0)*(1-J$309)</f>
        <v>81259520</v>
      </c>
      <c r="K138" s="1240">
        <f>+IFERROR(HLOOKUP(K4,'סקרי נכסים-יתרות פתיחה'!$2:$110,34,0),0)-IFERROR(HLOOKUP(K4,'סקרי נכסים-יתרות פתיחה'!$2:$110,93,0),0)*(1-K$309)</f>
        <v>41208736</v>
      </c>
      <c r="L138" s="1240">
        <f>+IFERROR(HLOOKUP(L4,'סקרי נכסים-יתרות פתיחה'!$2:$110,34,0),0)-IFERROR(HLOOKUP(L4,'סקרי נכסים-יתרות פתיחה'!$2:$110,93,0),0)*(1-L$309)</f>
        <v>60803446.857142858</v>
      </c>
      <c r="M138" s="1240">
        <f>+IFERROR(HLOOKUP(M4,'סקרי נכסים-יתרות פתיחה'!$2:$110,34,0),0)-IFERROR(HLOOKUP(M4,'סקרי נכסים-יתרות פתיחה'!$2:$110,93,0),0)*(1-M$309)</f>
        <v>142448457.14285713</v>
      </c>
      <c r="N138" s="1240">
        <f>+IFERROR(HLOOKUP(N4,'סקרי נכסים-יתרות פתיחה'!$2:$110,34,0),0)-IFERROR(HLOOKUP(N4,'סקרי נכסים-יתרות פתיחה'!$2:$110,93,0),0)*(1-N$309)</f>
        <v>297996461.71428573</v>
      </c>
      <c r="O138" s="1240">
        <f>+IFERROR(HLOOKUP(O4,'סקרי נכסים-יתרות פתיחה'!$2:$110,34,0),0)-IFERROR(HLOOKUP(O4,'סקרי נכסים-יתרות פתיחה'!$2:$110,93,0),0)*(1-O$309)</f>
        <v>122525013.02857143</v>
      </c>
      <c r="P138" s="1240">
        <f>+IFERROR(HLOOKUP(P4,'סקרי נכסים-יתרות פתיחה'!$2:$110,34,0),0)-IFERROR(HLOOKUP(P4,'סקרי נכסים-יתרות פתיחה'!$2:$110,93,0),0)*(1-P$309)</f>
        <v>27024950</v>
      </c>
      <c r="Q138" s="1240">
        <f>+IFERROR(HLOOKUP(Q4,'סקרי נכסים-יתרות פתיחה'!$2:$110,34,0),0)-IFERROR(HLOOKUP(Q4,'סקרי נכסים-יתרות פתיחה'!$2:$110,93,0),0)*(1-Q$309)</f>
        <v>79036490.971428573</v>
      </c>
      <c r="R138" s="1240">
        <f>+IFERROR(HLOOKUP(R4,'סקרי נכסים-יתרות פתיחה'!$2:$110,34,0),0)-IFERROR(HLOOKUP(R4,'סקרי נכסים-יתרות פתיחה'!$2:$110,93,0),0)*(1-R$309)</f>
        <v>40419609.600000001</v>
      </c>
      <c r="S138" s="1240">
        <f>+IFERROR(HLOOKUP(S4,'סקרי נכסים-יתרות פתיחה'!$2:$110,34,0),0)-IFERROR(HLOOKUP(S4,'סקרי נכסים-יתרות פתיחה'!$2:$110,93,0),0)*(1-S$309)</f>
        <v>44795745</v>
      </c>
      <c r="T138" s="1240">
        <f>+IFERROR(HLOOKUP(T4,'סקרי נכסים-יתרות פתיחה'!$2:$110,34,0),0)-IFERROR(HLOOKUP(T4,'סקרי נכסים-יתרות פתיחה'!$2:$110,93,0),0)*(1-T$309)</f>
        <v>48323342</v>
      </c>
      <c r="U138" s="1240">
        <f>+IFERROR(HLOOKUP(U4,'סקרי נכסים-יתרות פתיחה'!$2:$110,34,0),0)-IFERROR(HLOOKUP(U4,'סקרי נכסים-יתרות פתיחה'!$2:$110,93,0),0)*(1-U$309)</f>
        <v>71861376</v>
      </c>
      <c r="V138" s="1240">
        <f>+IFERROR(HLOOKUP(V4,'סקרי נכסים-יתרות פתיחה'!$2:$110,34,0),0)-IFERROR(HLOOKUP(V4,'סקרי נכסים-יתרות פתיחה'!$2:$110,93,0),0)*(1-V$309)</f>
        <v>21535938</v>
      </c>
      <c r="W138" s="1240">
        <f>+IFERROR(HLOOKUP(W4,'סקרי נכסים-יתרות פתיחה'!$2:$110,34,0),0)-IFERROR(HLOOKUP(W4,'סקרי נכסים-יתרות פתיחה'!$2:$110,93,0),0)*(1-W$309)</f>
        <v>47014481</v>
      </c>
      <c r="X138" s="1240">
        <f>+IFERROR(HLOOKUP(X4,'סקרי נכסים-יתרות פתיחה'!$2:$110,34,0),0)-IFERROR(HLOOKUP(X4,'סקרי נכסים-יתרות פתיחה'!$2:$110,93,0),0)*(1-X$309)</f>
        <v>58919047</v>
      </c>
      <c r="Y138" s="1240">
        <f>+IFERROR(HLOOKUP(Y4,'סקרי נכסים-יתרות פתיחה'!$2:$110,34,0),0)-IFERROR(HLOOKUP(Y4,'סקרי נכסים-יתרות פתיחה'!$2:$110,93,0),0)*(1-Y$309)</f>
        <v>30467616</v>
      </c>
      <c r="Z138" s="1240">
        <f>+IFERROR(HLOOKUP(Z4,'סקרי נכסים-יתרות פתיחה'!$2:$110,34,0),0)-IFERROR(HLOOKUP(Z4,'סקרי נכסים-יתרות פתיחה'!$2:$110,93,0),0)*(1-Z$309)</f>
        <v>52286030.628571428</v>
      </c>
      <c r="AA138" s="1240">
        <f>+IFERROR(HLOOKUP(AA4,'סקרי נכסים-יתרות פתיחה'!$2:$110,34,0),0)-IFERROR(HLOOKUP(AA4,'סקרי נכסים-יתרות פתיחה'!$2:$110,93,0),0)*(1-AA$309)</f>
        <v>96412934.523809522</v>
      </c>
      <c r="AB138" s="1240">
        <f>+IFERROR(HLOOKUP(AB4,'סקרי נכסים-יתרות פתיחה'!$2:$110,34,0),0)-IFERROR(HLOOKUP(AB4,'סקרי נכסים-יתרות פתיחה'!$2:$110,93,0),0)*(1-AB$309)</f>
        <v>45529760</v>
      </c>
      <c r="AC138" s="1240">
        <f>+IFERROR(HLOOKUP(AC4,'סקרי נכסים-יתרות פתיחה'!$2:$110,34,0),0)-IFERROR(HLOOKUP(AC4,'סקרי נכסים-יתרות פתיחה'!$2:$110,93,0),0)*(1-AC$309)</f>
        <v>110767944.26190476</v>
      </c>
      <c r="AD138" s="1240">
        <f>+IFERROR(HLOOKUP(AD4,'סקרי נכסים-יתרות פתיחה'!$2:$110,34,0),0)-IFERROR(HLOOKUP(AD4,'סקרי נכסים-יתרות פתיחה'!$2:$110,93,0),0)*(1-AD$309)</f>
        <v>47658648.68571429</v>
      </c>
      <c r="AE138" s="1240">
        <f>+IFERROR(HLOOKUP(AE4,'סקרי נכסים-יתרות פתיחה'!$2:$110,34,0),0)-IFERROR(HLOOKUP(AE4,'סקרי נכסים-יתרות פתיחה'!$2:$110,93,0),0)*(1-AE$309)</f>
        <v>446561498.02857143</v>
      </c>
      <c r="AF138" s="1240">
        <f>+IFERROR(HLOOKUP(AF4,'סקרי נכסים-יתרות פתיחה'!$2:$110,34,0),0)-IFERROR(HLOOKUP(AF4,'סקרי נכסים-יתרות פתיחה'!$2:$110,93,0),0)*(1-AF$309)</f>
        <v>37321554.285714284</v>
      </c>
      <c r="AG138" s="1240">
        <f>+IFERROR(HLOOKUP(AG4,'סקרי נכסים-יתרות פתיחה'!$2:$110,34,0),0)-IFERROR(HLOOKUP(AG4,'סקרי נכסים-יתרות פתיחה'!$2:$110,93,0),0)*(1-AG$309)</f>
        <v>36620311.761904761</v>
      </c>
      <c r="AH138" s="1240">
        <f>+IFERROR(HLOOKUP(AH4,'סקרי נכסים-יתרות פתיחה'!$2:$110,34,0),0)-IFERROR(HLOOKUP(AH4,'סקרי נכסים-יתרות פתיחה'!$2:$110,93,0),0)*(1-AH$309)</f>
        <v>52332750</v>
      </c>
      <c r="AI138" s="1240">
        <f>+IFERROR(HLOOKUP(AI4,'סקרי נכסים-יתרות פתיחה'!$2:$110,34,0),0)-IFERROR(HLOOKUP(AI4,'סקרי נכסים-יתרות פתיחה'!$2:$110,93,0),0)*(1-AI$309)</f>
        <v>61892086.857142858</v>
      </c>
      <c r="AJ138" s="1240">
        <f>+IFERROR(HLOOKUP(AJ4,'סקרי נכסים-יתרות פתיחה'!$2:$110,34,0),0)-IFERROR(HLOOKUP(AJ4,'סקרי נכסים-יתרות פתיחה'!$2:$110,93,0),0)*(1-AJ$309)</f>
        <v>22141408.914285716</v>
      </c>
      <c r="AK138" s="1240">
        <f>+IFERROR(HLOOKUP(AK4,'סקרי נכסים-יתרות פתיחה'!$2:$110,34,0),0)-IFERROR(HLOOKUP(AK4,'סקרי נכסים-יתרות פתיחה'!$2:$110,93,0),0)*(1-AK$309)</f>
        <v>27892816.285714287</v>
      </c>
      <c r="AL138" s="1240">
        <f>+IFERROR(HLOOKUP(AL4,'סקרי נכסים-יתרות פתיחה'!$2:$110,34,0),0)-IFERROR(HLOOKUP(AL4,'סקרי נכסים-יתרות פתיחה'!$2:$110,93,0),0)*(1-AL$309)</f>
        <v>545000345.90476191</v>
      </c>
      <c r="AM138" s="1240">
        <f>+IFERROR(HLOOKUP(AM4,'סקרי נכסים-יתרות פתיחה'!$2:$110,34,0),0)-IFERROR(HLOOKUP(AM4,'סקרי נכסים-יתרות פתיחה'!$2:$110,93,0),0)*(1-AM$309)</f>
        <v>21251480.39047619</v>
      </c>
      <c r="AN138" s="1240">
        <f>+IFERROR(HLOOKUP(AN4,'סקרי נכסים-יתרות פתיחה'!$2:$110,34,0),0)-IFERROR(HLOOKUP(AN4,'סקרי נכסים-יתרות פתיחה'!$2:$110,93,0),0)*(1-AN$309)</f>
        <v>19295704</v>
      </c>
      <c r="AO138" s="1240">
        <f>+IFERROR(HLOOKUP(AO4,'סקרי נכסים-יתרות פתיחה'!$2:$110,34,0),0)-IFERROR(HLOOKUP(AO4,'סקרי נכסים-יתרות פתיחה'!$2:$110,93,0),0)*(1-AO$309)</f>
        <v>146428650.05714285</v>
      </c>
      <c r="AP138" s="1240">
        <f>+IFERROR(HLOOKUP(AP4,'סקרי נכסים-יתרות פתיחה'!$2:$110,34,0),0)-IFERROR(HLOOKUP(AP4,'סקרי נכסים-יתרות פתיחה'!$2:$110,93,0),0)*(1-AP$309)</f>
        <v>41464712.976190478</v>
      </c>
      <c r="AQ138" s="1240">
        <f>+IFERROR(HLOOKUP(AQ4,'סקרי נכסים-יתרות פתיחה'!$2:$110,34,0),0)-IFERROR(HLOOKUP(AQ4,'סקרי נכסים-יתרות פתיחה'!$2:$110,93,0),0)*(1-AQ$309)</f>
        <v>65258566.399999999</v>
      </c>
      <c r="AR138" s="1240">
        <f>+IFERROR(HLOOKUP(AR4,'סקרי נכסים-יתרות פתיחה'!$2:$110,34,0),0)-IFERROR(HLOOKUP(AR4,'סקרי נכסים-יתרות פתיחה'!$2:$110,93,0),0)*(1-AR$309)</f>
        <v>27158460.990476191</v>
      </c>
      <c r="AS138" s="1240">
        <f>+IFERROR(HLOOKUP(AS4,'סקרי נכסים-יתרות פתיחה'!$2:$110,34,0),0)-IFERROR(HLOOKUP(AS4,'סקרי נכסים-יתרות פתיחה'!$2:$110,93,0),0)*(1-AS$309)</f>
        <v>52787635</v>
      </c>
      <c r="AT138" s="1240">
        <f>+IFERROR(HLOOKUP(AT4,'סקרי נכסים-יתרות פתיחה'!$2:$110,34,0),0)-IFERROR(HLOOKUP(AT4,'סקרי נכסים-יתרות פתיחה'!$2:$110,93,0),0)*(1-AT$309)</f>
        <v>45832537.357142858</v>
      </c>
      <c r="AU138" s="1240">
        <f>+IFERROR(HLOOKUP(AU4,'סקרי נכסים-יתרות פתיחה'!$2:$110,34,0),0)-IFERROR(HLOOKUP(AU4,'סקרי נכסים-יתרות פתיחה'!$2:$110,93,0),0)*(1-AU$309)</f>
        <v>64830047.666666664</v>
      </c>
      <c r="AV138" s="1240">
        <f>+IFERROR(HLOOKUP(AV4,'סקרי נכסים-יתרות פתיחה'!$2:$110,34,0),0)-IFERROR(HLOOKUP(AV4,'סקרי נכסים-יתרות פתיחה'!$2:$110,93,0),0)*(1-AV$309)</f>
        <v>100183983.95238096</v>
      </c>
      <c r="AW138" s="1240">
        <f>+IFERROR(HLOOKUP(AW4,'סקרי נכסים-יתרות פתיחה'!$2:$110,34,0),0)-IFERROR(HLOOKUP(AW4,'סקרי נכסים-יתרות פתיחה'!$2:$110,93,0),0)*(1-AW$309)</f>
        <v>54132105.833333336</v>
      </c>
      <c r="AX138" s="1240">
        <f>+IFERROR(HLOOKUP(AX4,'סקרי נכסים-יתרות פתיחה'!$2:$110,34,0),0)-IFERROR(HLOOKUP(AX4,'סקרי נכסים-יתרות פתיחה'!$2:$110,93,0),0)*(1-AX$309)</f>
        <v>0</v>
      </c>
      <c r="AY138" s="1240">
        <f>+IFERROR(HLOOKUP(AY4,'סקרי נכסים-יתרות פתיחה'!$2:$110,34,0),0)-IFERROR(HLOOKUP(AY4,'סקרי נכסים-יתרות פתיחה'!$2:$110,93,0),0)*(1-AY$309)</f>
        <v>24078415</v>
      </c>
      <c r="AZ138" s="1240">
        <f>+IFERROR(HLOOKUP(AZ4,'סקרי נכסים-יתרות פתיחה'!$2:$110,34,0),0)-IFERROR(HLOOKUP(AZ4,'סקרי נכסים-יתרות פתיחה'!$2:$110,93,0),0)*(1-AZ$309)</f>
        <v>38049179.123809524</v>
      </c>
      <c r="BA138" s="1240">
        <f>+IFERROR(HLOOKUP(BA4,'סקרי נכסים-יתרות פתיחה'!$2:$110,34,0),0)-IFERROR(HLOOKUP(BA4,'סקרי נכסים-יתרות פתיחה'!$2:$110,93,0),0)*(1-BA$309)</f>
        <v>30003416.904761903</v>
      </c>
      <c r="BB138" s="1240">
        <f>+IFERROR(HLOOKUP(BB4,'סקרי נכסים-יתרות פתיחה'!$2:$110,34,0),0)-IFERROR(HLOOKUP(BB4,'סקרי נכסים-יתרות פתיחה'!$2:$110,93,0),0)*(1-BB$309)</f>
        <v>12060340</v>
      </c>
      <c r="BC138" s="1240">
        <f>+IFERROR(HLOOKUP(BC4,'סקרי נכסים-יתרות פתיחה'!$2:$110,34,0),0)-IFERROR(HLOOKUP(BC4,'סקרי נכסים-יתרות פתיחה'!$2:$110,93,0),0)*(1-BC$309)</f>
        <v>11065861</v>
      </c>
      <c r="BD138" s="1240">
        <f>+IFERROR(HLOOKUP(BD4,'סקרי נכסים-יתרות פתיחה'!$2:$110,34,0),0)-IFERROR(HLOOKUP(BD4,'סקרי נכסים-יתרות פתיחה'!$2:$110,93,0),0)*(1-BD$309)</f>
        <v>96027184.333333328</v>
      </c>
      <c r="BE138" s="1240">
        <f>+IFERROR(HLOOKUP(BE4,'סקרי נכסים-יתרות פתיחה'!$2:$110,34,0),0)-IFERROR(HLOOKUP(BE4,'סקרי נכסים-יתרות פתיחה'!$2:$110,93,0),0)*(1-BE$309)</f>
        <v>12621964.457142858</v>
      </c>
      <c r="BF138" s="1240">
        <f>+IFERROR(HLOOKUP(BF4,'סקרי נכסים-יתרות פתיחה'!$2:$110,34,0),0)-IFERROR(HLOOKUP(BF4,'סקרי נכסים-יתרות פתיחה'!$2:$110,93,0),0)*(1-BF$309)</f>
        <v>127672130</v>
      </c>
    </row>
    <row r="139" spans="1:61" x14ac:dyDescent="0.2">
      <c r="B139" s="1">
        <v>2</v>
      </c>
      <c r="C139" s="1240">
        <f>+IFERROR(HLOOKUP(C5,'סקרי נכסים-יתרות פתיחה'!$2:$110,34,0),0)-IFERROR(HLOOKUP(C5,'סקרי נכסים-יתרות פתיחה'!$2:$110,93,0),0)*(1-C$309)</f>
        <v>13225649.476190476</v>
      </c>
      <c r="D139" s="1240">
        <f>+IFERROR(HLOOKUP(D5,'סקרי נכסים-יתרות פתיחה'!$2:$110,34,0),0)-IFERROR(HLOOKUP(D5,'סקרי נכסים-יתרות פתיחה'!$2:$110,93,0),0)*(1-D$309)</f>
        <v>15034725</v>
      </c>
      <c r="E139" s="1240">
        <f>+IFERROR(HLOOKUP(E5,'סקרי נכסים-יתרות פתיחה'!$2:$110,34,0),0)-IFERROR(HLOOKUP(E5,'סקרי נכסים-יתרות פתיחה'!$2:$110,93,0),0)*(1-E$309)</f>
        <v>0</v>
      </c>
      <c r="F139" s="1240">
        <f>+IFERROR(HLOOKUP(F5,'סקרי נכסים-יתרות פתיחה'!$2:$110,34,0),0)-IFERROR(HLOOKUP(F5,'סקרי נכסים-יתרות פתיחה'!$2:$110,93,0),0)*(1-F$309)</f>
        <v>19612726.857142858</v>
      </c>
      <c r="G139" s="1240">
        <f>+IFERROR(HLOOKUP(G5,'סקרי נכסים-יתרות פתיחה'!$2:$110,34,0),0)-IFERROR(HLOOKUP(G5,'סקרי נכסים-יתרות פתיחה'!$2:$110,93,0),0)*(1-G$309)</f>
        <v>0</v>
      </c>
      <c r="H139" s="1240">
        <f>+IFERROR(HLOOKUP(H5,'סקרי נכסים-יתרות פתיחה'!$2:$110,34,0),0)-IFERROR(HLOOKUP(H5,'סקרי נכסים-יתרות פתיחה'!$2:$110,93,0),0)*(1-H$309)</f>
        <v>7082652.9047619049</v>
      </c>
      <c r="I139" s="1240">
        <f>+IFERROR(HLOOKUP(I5,'סקרי נכסים-יתרות פתיחה'!$2:$110,34,0),0)-IFERROR(HLOOKUP(I5,'סקרי נכסים-יתרות פתיחה'!$2:$110,93,0),0)*(1-I$309)</f>
        <v>0</v>
      </c>
      <c r="J139" s="1240">
        <f>+IFERROR(HLOOKUP(J5,'סקרי נכסים-יתרות פתיחה'!$2:$110,34,0),0)-IFERROR(HLOOKUP(J5,'סקרי נכסים-יתרות פתיחה'!$2:$110,93,0),0)*(1-J$309)</f>
        <v>0</v>
      </c>
      <c r="K139" s="1240">
        <f>+IFERROR(HLOOKUP(K5,'סקרי נכסים-יתרות פתיחה'!$2:$110,34,0),0)-IFERROR(HLOOKUP(K5,'סקרי נכסים-יתרות פתיחה'!$2:$110,93,0),0)*(1-K$309)</f>
        <v>33999634.285714284</v>
      </c>
      <c r="L139" s="1240">
        <f>+IFERROR(HLOOKUP(L5,'סקרי נכסים-יתרות פתיחה'!$2:$110,34,0),0)-IFERROR(HLOOKUP(L5,'סקרי נכסים-יתרות פתיחה'!$2:$110,93,0),0)*(1-L$309)</f>
        <v>4254986.9714285713</v>
      </c>
      <c r="M139" s="1240">
        <f>+IFERROR(HLOOKUP(M5,'סקרי נכסים-יתרות פתיחה'!$2:$110,34,0),0)-IFERROR(HLOOKUP(M5,'סקרי נכסים-יתרות פתיחה'!$2:$110,93,0),0)*(1-M$309)</f>
        <v>0</v>
      </c>
      <c r="N139" s="1240">
        <f>+IFERROR(HLOOKUP(N5,'סקרי נכסים-יתרות פתיחה'!$2:$110,34,0),0)-IFERROR(HLOOKUP(N5,'סקרי נכסים-יתרות פתיחה'!$2:$110,93,0),0)*(1-N$309)</f>
        <v>31082319.514285713</v>
      </c>
      <c r="O139" s="1240">
        <f>+IFERROR(HLOOKUP(O5,'סקרי נכסים-יתרות פתיחה'!$2:$110,34,0),0)-IFERROR(HLOOKUP(O5,'סקרי נכסים-יתרות פתיחה'!$2:$110,93,0),0)*(1-O$309)</f>
        <v>8868598.8571428563</v>
      </c>
      <c r="P139" s="1240">
        <f>+IFERROR(HLOOKUP(P5,'סקרי נכסים-יתרות פתיחה'!$2:$110,34,0),0)-IFERROR(HLOOKUP(P5,'סקרי נכסים-יתרות פתיחה'!$2:$110,93,0),0)*(1-P$309)</f>
        <v>14757950</v>
      </c>
      <c r="Q139" s="1240">
        <f>+IFERROR(HLOOKUP(Q5,'סקרי נכסים-יתרות פתיחה'!$2:$110,34,0),0)-IFERROR(HLOOKUP(Q5,'סקרי נכסים-יתרות פתיחה'!$2:$110,93,0),0)*(1-Q$309)</f>
        <v>0</v>
      </c>
      <c r="R139" s="1240">
        <f>+IFERROR(HLOOKUP(R5,'סקרי נכסים-יתרות פתיחה'!$2:$110,34,0),0)-IFERROR(HLOOKUP(R5,'סקרי נכסים-יתרות פתיחה'!$2:$110,93,0),0)*(1-R$309)</f>
        <v>11427192.857142856</v>
      </c>
      <c r="S139" s="1240">
        <f>+IFERROR(HLOOKUP(S5,'סקרי נכסים-יתרות פתיחה'!$2:$110,34,0),0)-IFERROR(HLOOKUP(S5,'סקרי נכסים-יתרות פתיחה'!$2:$110,93,0),0)*(1-S$309)</f>
        <v>0</v>
      </c>
      <c r="T139" s="1240">
        <f>+IFERROR(HLOOKUP(T5,'סקרי נכסים-יתרות פתיחה'!$2:$110,34,0),0)-IFERROR(HLOOKUP(T5,'סקרי נכסים-יתרות פתיחה'!$2:$110,93,0),0)*(1-T$309)</f>
        <v>26220770</v>
      </c>
      <c r="U139" s="1240">
        <f>+IFERROR(HLOOKUP(U5,'סקרי נכסים-יתרות פתיחה'!$2:$110,34,0),0)-IFERROR(HLOOKUP(U5,'סקרי נכסים-יתרות פתיחה'!$2:$110,93,0),0)*(1-U$309)</f>
        <v>0</v>
      </c>
      <c r="V139" s="1240">
        <f>+IFERROR(HLOOKUP(V5,'סקרי נכסים-יתרות פתיחה'!$2:$110,34,0),0)-IFERROR(HLOOKUP(V5,'סקרי נכסים-יתרות פתיחה'!$2:$110,93,0),0)*(1-V$309)</f>
        <v>18479375</v>
      </c>
      <c r="W139" s="1240">
        <f>+IFERROR(HLOOKUP(W5,'סקרי נכסים-יתרות פתיחה'!$2:$110,34,0),0)-IFERROR(HLOOKUP(W5,'סקרי נכסים-יתרות פתיחה'!$2:$110,93,0),0)*(1-W$309)</f>
        <v>9002360</v>
      </c>
      <c r="X139" s="1240">
        <f>+IFERROR(HLOOKUP(X5,'סקרי נכסים-יתרות פתיחה'!$2:$110,34,0),0)-IFERROR(HLOOKUP(X5,'סקרי נכסים-יתרות פתיחה'!$2:$110,93,0),0)*(1-X$309)</f>
        <v>13383500</v>
      </c>
      <c r="Y139" s="1240">
        <f>+IFERROR(HLOOKUP(Y5,'סקרי נכסים-יתרות פתיחה'!$2:$110,34,0),0)-IFERROR(HLOOKUP(Y5,'סקרי נכסים-יתרות פתיחה'!$2:$110,93,0),0)*(1-Y$309)</f>
        <v>11472260.571428571</v>
      </c>
      <c r="Z139" s="1240">
        <f>+IFERROR(HLOOKUP(Z5,'סקרי נכסים-יתרות פתיחה'!$2:$110,34,0),0)-IFERROR(HLOOKUP(Z5,'סקרי נכסים-יתרות פתיחה'!$2:$110,93,0),0)*(1-Z$309)</f>
        <v>0</v>
      </c>
      <c r="AA139" s="1240">
        <f>+IFERROR(HLOOKUP(AA5,'סקרי נכסים-יתרות פתיחה'!$2:$110,34,0),0)-IFERROR(HLOOKUP(AA5,'סקרי נכסים-יתרות פתיחה'!$2:$110,93,0),0)*(1-AA$309)</f>
        <v>0</v>
      </c>
      <c r="AB139" s="1240">
        <f>+IFERROR(HLOOKUP(AB5,'סקרי נכסים-יתרות פתיחה'!$2:$110,34,0),0)-IFERROR(HLOOKUP(AB5,'סקרי נכסים-יתרות פתיחה'!$2:$110,93,0),0)*(1-AB$309)</f>
        <v>0</v>
      </c>
      <c r="AC139" s="1240">
        <f>+IFERROR(HLOOKUP(AC5,'סקרי נכסים-יתרות פתיחה'!$2:$110,34,0),0)-IFERROR(HLOOKUP(AC5,'סקרי נכסים-יתרות פתיחה'!$2:$110,93,0),0)*(1-AC$309)</f>
        <v>0</v>
      </c>
      <c r="AD139" s="1240">
        <f>+IFERROR(HLOOKUP(AD5,'סקרי נכסים-יתרות פתיחה'!$2:$110,34,0),0)-IFERROR(HLOOKUP(AD5,'סקרי נכסים-יתרות פתיחה'!$2:$110,93,0),0)*(1-AD$309)</f>
        <v>0</v>
      </c>
      <c r="AE139" s="1240">
        <f>+IFERROR(HLOOKUP(AE5,'סקרי נכסים-יתרות פתיחה'!$2:$110,34,0),0)-IFERROR(HLOOKUP(AE5,'סקרי נכסים-יתרות פתיחה'!$2:$110,93,0),0)*(1-AE$309)</f>
        <v>0</v>
      </c>
      <c r="AF139" s="1240">
        <f>+IFERROR(HLOOKUP(AF5,'סקרי נכסים-יתרות פתיחה'!$2:$110,34,0),0)-IFERROR(HLOOKUP(AF5,'סקרי נכסים-יתרות פתיחה'!$2:$110,93,0),0)*(1-AF$309)</f>
        <v>24618990.476190478</v>
      </c>
      <c r="AG139" s="1240">
        <f>+IFERROR(HLOOKUP(AG5,'סקרי נכסים-יתרות פתיחה'!$2:$110,34,0),0)-IFERROR(HLOOKUP(AG5,'סקרי נכסים-יתרות פתיחה'!$2:$110,93,0),0)*(1-AG$309)</f>
        <v>0</v>
      </c>
      <c r="AH139" s="1240">
        <f>+IFERROR(HLOOKUP(AH5,'סקרי נכסים-יתרות פתיחה'!$2:$110,34,0),0)-IFERROR(HLOOKUP(AH5,'סקרי נכסים-יתרות פתיחה'!$2:$110,93,0),0)*(1-AH$309)</f>
        <v>0</v>
      </c>
      <c r="AI139" s="1240">
        <f>+IFERROR(HLOOKUP(AI5,'סקרי נכסים-יתרות פתיחה'!$2:$110,34,0),0)-IFERROR(HLOOKUP(AI5,'סקרי נכסים-יתרות פתיחה'!$2:$110,93,0),0)*(1-AI$309)</f>
        <v>0</v>
      </c>
      <c r="AJ139" s="1240">
        <f>+IFERROR(HLOOKUP(AJ5,'סקרי נכסים-יתרות פתיחה'!$2:$110,34,0),0)-IFERROR(HLOOKUP(AJ5,'סקרי נכסים-יתרות פתיחה'!$2:$110,93,0),0)*(1-AJ$309)</f>
        <v>11210024.571428571</v>
      </c>
      <c r="AK139" s="1240">
        <f>+IFERROR(HLOOKUP(AK5,'סקרי נכסים-יתרות פתיחה'!$2:$110,34,0),0)-IFERROR(HLOOKUP(AK5,'סקרי נכסים-יתרות פתיחה'!$2:$110,93,0),0)*(1-AK$309)</f>
        <v>0</v>
      </c>
      <c r="AL139" s="1240">
        <f>+IFERROR(HLOOKUP(AL5,'סקרי נכסים-יתרות פתיחה'!$2:$110,34,0),0)-IFERROR(HLOOKUP(AL5,'סקרי נכסים-יתרות פתיחה'!$2:$110,93,0),0)*(1-AL$309)</f>
        <v>0</v>
      </c>
      <c r="AM139" s="1240">
        <f>+IFERROR(HLOOKUP(AM5,'סקרי נכסים-יתרות פתיחה'!$2:$110,34,0),0)-IFERROR(HLOOKUP(AM5,'סקרי נכסים-יתרות פתיחה'!$2:$110,93,0),0)*(1-AM$309)</f>
        <v>20712785.80952381</v>
      </c>
      <c r="AN139" s="1240">
        <f>+IFERROR(HLOOKUP(AN5,'סקרי נכסים-יתרות פתיחה'!$2:$110,34,0),0)-IFERROR(HLOOKUP(AN5,'סקרי נכסים-יתרות פתיחה'!$2:$110,93,0),0)*(1-AN$309)</f>
        <v>21085870</v>
      </c>
      <c r="AO139" s="1240">
        <f>+IFERROR(HLOOKUP(AO5,'סקרי נכסים-יתרות פתיחה'!$2:$110,34,0),0)-IFERROR(HLOOKUP(AO5,'סקרי נכסים-יתרות פתיחה'!$2:$110,93,0),0)*(1-AO$309)</f>
        <v>0</v>
      </c>
      <c r="AP139" s="1240">
        <f>+IFERROR(HLOOKUP(AP5,'סקרי נכסים-יתרות פתיחה'!$2:$110,34,0),0)-IFERROR(HLOOKUP(AP5,'סקרי נכסים-יתרות פתיחה'!$2:$110,93,0),0)*(1-AP$309)</f>
        <v>0</v>
      </c>
      <c r="AQ139" s="1240">
        <f>+IFERROR(HLOOKUP(AQ5,'סקרי נכסים-יתרות פתיחה'!$2:$110,34,0),0)-IFERROR(HLOOKUP(AQ5,'סקרי נכסים-יתרות פתיחה'!$2:$110,93,0),0)*(1-AQ$309)</f>
        <v>0</v>
      </c>
      <c r="AR139" s="1240">
        <f>+IFERROR(HLOOKUP(AR5,'סקרי נכסים-יתרות פתיחה'!$2:$110,34,0),0)-IFERROR(HLOOKUP(AR5,'סקרי נכסים-יתרות פתיחה'!$2:$110,93,0),0)*(1-AR$309)</f>
        <v>33649150</v>
      </c>
      <c r="AS139" s="1240">
        <f>+IFERROR(HLOOKUP(AS5,'סקרי נכסים-יתרות פתיחה'!$2:$110,34,0),0)-IFERROR(HLOOKUP(AS5,'סקרי נכסים-יתרות פתיחה'!$2:$110,93,0),0)*(1-AS$309)</f>
        <v>13643473</v>
      </c>
      <c r="AT139" s="1240">
        <f>+IFERROR(HLOOKUP(AT5,'סקרי נכסים-יתרות פתיחה'!$2:$110,34,0),0)-IFERROR(HLOOKUP(AT5,'סקרי נכסים-יתרות פתיחה'!$2:$110,93,0),0)*(1-AT$309)</f>
        <v>0</v>
      </c>
      <c r="AU139" s="1240">
        <f>+IFERROR(HLOOKUP(AU5,'סקרי נכסים-יתרות פתיחה'!$2:$110,34,0),0)-IFERROR(HLOOKUP(AU5,'סקרי נכסים-יתרות פתיחה'!$2:$110,93,0),0)*(1-AU$309)</f>
        <v>0</v>
      </c>
      <c r="AV139" s="1240">
        <f>+IFERROR(HLOOKUP(AV5,'סקרי נכסים-יתרות פתיחה'!$2:$110,34,0),0)-IFERROR(HLOOKUP(AV5,'סקרי נכסים-יתרות פתיחה'!$2:$110,93,0),0)*(1-AV$309)</f>
        <v>34181729.266666666</v>
      </c>
      <c r="AW139" s="1240">
        <f>+IFERROR(HLOOKUP(AW5,'סקרי נכסים-יתרות פתיחה'!$2:$110,34,0),0)-IFERROR(HLOOKUP(AW5,'סקרי נכסים-יתרות פתיחה'!$2:$110,93,0),0)*(1-AW$309)</f>
        <v>0</v>
      </c>
      <c r="AX139" s="1240">
        <f>+IFERROR(HLOOKUP(AX5,'סקרי נכסים-יתרות פתיחה'!$2:$110,34,0),0)-IFERROR(HLOOKUP(AX5,'סקרי נכסים-יתרות פתיחה'!$2:$110,93,0),0)*(1-AX$309)</f>
        <v>4938600</v>
      </c>
      <c r="AY139" s="1240">
        <f>+IFERROR(HLOOKUP(AY5,'סקרי נכסים-יתרות פתיחה'!$2:$110,34,0),0)-IFERROR(HLOOKUP(AY5,'סקרי נכסים-יתרות פתיחה'!$2:$110,93,0),0)*(1-AY$309)</f>
        <v>0</v>
      </c>
      <c r="AZ139" s="1240">
        <f>+IFERROR(HLOOKUP(AZ5,'סקרי נכסים-יתרות פתיחה'!$2:$110,34,0),0)-IFERROR(HLOOKUP(AZ5,'סקרי נכסים-יתרות פתיחה'!$2:$110,93,0),0)*(1-AZ$309)</f>
        <v>28166599.009523809</v>
      </c>
      <c r="BA139" s="1240">
        <f>+IFERROR(HLOOKUP(BA5,'סקרי נכסים-יתרות פתיחה'!$2:$110,34,0),0)-IFERROR(HLOOKUP(BA5,'סקרי נכסים-יתרות פתיחה'!$2:$110,93,0),0)*(1-BA$309)</f>
        <v>41296874</v>
      </c>
      <c r="BB139" s="1240">
        <f>+IFERROR(HLOOKUP(BB5,'סקרי נכסים-יתרות פתיחה'!$2:$110,34,0),0)-IFERROR(HLOOKUP(BB5,'סקרי נכסים-יתרות פתיחה'!$2:$110,93,0),0)*(1-BB$309)</f>
        <v>16850205</v>
      </c>
      <c r="BC139" s="1240">
        <f>+IFERROR(HLOOKUP(BC5,'סקרי נכסים-יתרות פתיחה'!$2:$110,34,0),0)-IFERROR(HLOOKUP(BC5,'סקרי נכסים-יתרות פתיחה'!$2:$110,93,0),0)*(1-BC$309)</f>
        <v>19662110</v>
      </c>
      <c r="BD139" s="1240">
        <f>+IFERROR(HLOOKUP(BD5,'סקרי נכסים-יתרות פתיחה'!$2:$110,34,0),0)-IFERROR(HLOOKUP(BD5,'סקרי נכסים-יתרות פתיחה'!$2:$110,93,0),0)*(1-BD$309)</f>
        <v>23349312.619047619</v>
      </c>
      <c r="BE139" s="1240">
        <f>+IFERROR(HLOOKUP(BE5,'סקרי נכסים-יתרות פתיחה'!$2:$110,34,0),0)-IFERROR(HLOOKUP(BE5,'סקרי נכסים-יתרות פתיחה'!$2:$110,93,0),0)*(1-BE$309)</f>
        <v>0</v>
      </c>
      <c r="BF139" s="1240">
        <f>+IFERROR(HLOOKUP(BF5,'סקרי נכסים-יתרות פתיחה'!$2:$110,34,0),0)-IFERROR(HLOOKUP(BF5,'סקרי נכסים-יתרות פתיחה'!$2:$110,93,0),0)*(1-BF$309)</f>
        <v>0</v>
      </c>
    </row>
    <row r="140" spans="1:61" x14ac:dyDescent="0.2">
      <c r="B140" s="1">
        <v>3</v>
      </c>
      <c r="C140" s="1240">
        <f>+IFERROR(HLOOKUP(C6,'סקרי נכסים-יתרות פתיחה'!$2:$110,34,0),0)-IFERROR(HLOOKUP(C6,'סקרי נכסים-יתרות פתיחה'!$2:$110,93,0),0)*(1-C$309)</f>
        <v>3967706.6666666665</v>
      </c>
      <c r="D140" s="1240">
        <f>+IFERROR(HLOOKUP(D6,'סקרי נכסים-יתרות פתיחה'!$2:$110,34,0),0)-IFERROR(HLOOKUP(D6,'סקרי נכסים-יתרות פתיחה'!$2:$110,93,0),0)*(1-D$309)</f>
        <v>12660489</v>
      </c>
      <c r="E140" s="1240">
        <f>+IFERROR(HLOOKUP(E6,'סקרי נכסים-יתרות פתיחה'!$2:$110,34,0),0)-IFERROR(HLOOKUP(E6,'סקרי נכסים-יתרות פתיחה'!$2:$110,93,0),0)*(1-E$309)</f>
        <v>0</v>
      </c>
      <c r="F140" s="1240">
        <f>+IFERROR(HLOOKUP(F6,'סקרי נכסים-יתרות פתיחה'!$2:$110,34,0),0)-IFERROR(HLOOKUP(F6,'סקרי נכסים-יתרות פתיחה'!$2:$110,93,0),0)*(1-F$309)</f>
        <v>0</v>
      </c>
      <c r="G140" s="1240">
        <f>+IFERROR(HLOOKUP(G6,'סקרי נכסים-יתרות פתיחה'!$2:$110,34,0),0)-IFERROR(HLOOKUP(G6,'סקרי נכסים-יתרות פתיחה'!$2:$110,93,0),0)*(1-G$309)</f>
        <v>0</v>
      </c>
      <c r="H140" s="1240">
        <f>+IFERROR(HLOOKUP(H6,'סקרי נכסים-יתרות פתיחה'!$2:$110,34,0),0)-IFERROR(HLOOKUP(H6,'סקרי נכסים-יתרות פתיחה'!$2:$110,93,0),0)*(1-H$309)</f>
        <v>30640362.666666664</v>
      </c>
      <c r="I140" s="1240">
        <f>+IFERROR(HLOOKUP(I6,'סקרי נכסים-יתרות פתיחה'!$2:$110,34,0),0)-IFERROR(HLOOKUP(I6,'סקרי נכסים-יתרות פתיחה'!$2:$110,93,0),0)*(1-I$309)</f>
        <v>0</v>
      </c>
      <c r="J140" s="1240">
        <f>+IFERROR(HLOOKUP(J6,'סקרי נכסים-יתרות פתיחה'!$2:$110,34,0),0)-IFERROR(HLOOKUP(J6,'סקרי נכסים-יתרות פתיחה'!$2:$110,93,0),0)*(1-J$309)</f>
        <v>0</v>
      </c>
      <c r="K140" s="1240">
        <f>+IFERROR(HLOOKUP(K6,'סקרי נכסים-יתרות פתיחה'!$2:$110,34,0),0)-IFERROR(HLOOKUP(K6,'סקרי נכסים-יתרות פתיחה'!$2:$110,93,0),0)*(1-K$309)</f>
        <v>53417335.714285716</v>
      </c>
      <c r="L140" s="1240">
        <f>+IFERROR(HLOOKUP(L6,'סקרי נכסים-יתרות פתיחה'!$2:$110,34,0),0)-IFERROR(HLOOKUP(L6,'סקרי נכסים-יתרות פתיחה'!$2:$110,93,0),0)*(1-L$309)</f>
        <v>10148937.142857144</v>
      </c>
      <c r="M140" s="1240">
        <f>+IFERROR(HLOOKUP(M6,'סקרי נכסים-יתרות פתיחה'!$2:$110,34,0),0)-IFERROR(HLOOKUP(M6,'סקרי נכסים-יתרות פתיחה'!$2:$110,93,0),0)*(1-M$309)</f>
        <v>0</v>
      </c>
      <c r="N140" s="1240">
        <f>+IFERROR(HLOOKUP(N6,'סקרי נכסים-יתרות פתיחה'!$2:$110,34,0),0)-IFERROR(HLOOKUP(N6,'סקרי נכסים-יתרות פתיחה'!$2:$110,93,0),0)*(1-N$309)</f>
        <v>0</v>
      </c>
      <c r="O140" s="1240">
        <f>+IFERROR(HLOOKUP(O6,'סקרי נכסים-יתרות פתיחה'!$2:$110,34,0),0)-IFERROR(HLOOKUP(O6,'סקרי נכסים-יתרות פתיחה'!$2:$110,93,0),0)*(1-O$309)</f>
        <v>7533934.2857142854</v>
      </c>
      <c r="P140" s="1240">
        <f>+IFERROR(HLOOKUP(P6,'סקרי נכסים-יתרות פתיחה'!$2:$110,34,0),0)-IFERROR(HLOOKUP(P6,'סקרי נכסים-יתרות פתיחה'!$2:$110,93,0),0)*(1-P$309)</f>
        <v>11681850</v>
      </c>
      <c r="Q140" s="1240">
        <f>+IFERROR(HLOOKUP(Q6,'סקרי נכסים-יתרות פתיחה'!$2:$110,34,0),0)-IFERROR(HLOOKUP(Q6,'סקרי נכסים-יתרות פתיחה'!$2:$110,93,0),0)*(1-Q$309)</f>
        <v>0</v>
      </c>
      <c r="R140" s="1240">
        <f>+IFERROR(HLOOKUP(R6,'סקרי נכסים-יתרות פתיחה'!$2:$110,34,0),0)-IFERROR(HLOOKUP(R6,'סקרי נכסים-יתרות פתיחה'!$2:$110,93,0),0)*(1-R$309)</f>
        <v>13136121.428571429</v>
      </c>
      <c r="S140" s="1240">
        <f>+IFERROR(HLOOKUP(S6,'סקרי נכסים-יתרות פתיחה'!$2:$110,34,0),0)-IFERROR(HLOOKUP(S6,'סקרי נכסים-יתרות פתיחה'!$2:$110,93,0),0)*(1-S$309)</f>
        <v>0</v>
      </c>
      <c r="T140" s="1240">
        <f>+IFERROR(HLOOKUP(T6,'סקרי נכסים-יתרות פתיחה'!$2:$110,34,0),0)-IFERROR(HLOOKUP(T6,'סקרי נכסים-יתרות פתיחה'!$2:$110,93,0),0)*(1-T$309)</f>
        <v>17400465</v>
      </c>
      <c r="U140" s="1240">
        <f>+IFERROR(HLOOKUP(U6,'סקרי נכסים-יתרות פתיחה'!$2:$110,34,0),0)-IFERROR(HLOOKUP(U6,'סקרי נכסים-יתרות פתיחה'!$2:$110,93,0),0)*(1-U$309)</f>
        <v>0</v>
      </c>
      <c r="V140" s="1240">
        <f>+IFERROR(HLOOKUP(V6,'סקרי נכסים-יתרות פתיחה'!$2:$110,34,0),0)-IFERROR(HLOOKUP(V6,'סקרי נכסים-יתרות פתיחה'!$2:$110,93,0),0)*(1-V$309)</f>
        <v>20487299</v>
      </c>
      <c r="W140" s="1240">
        <f>+IFERROR(HLOOKUP(W6,'סקרי נכסים-יתרות פתיחה'!$2:$110,34,0),0)-IFERROR(HLOOKUP(W6,'סקרי נכסים-יתרות פתיחה'!$2:$110,93,0),0)*(1-W$309)</f>
        <v>14101857</v>
      </c>
      <c r="X140" s="1240">
        <f>+IFERROR(HLOOKUP(X6,'סקרי נכסים-יתרות פתיחה'!$2:$110,34,0),0)-IFERROR(HLOOKUP(X6,'סקרי נכסים-יתרות פתיחה'!$2:$110,93,0),0)*(1-X$309)</f>
        <v>19506460</v>
      </c>
      <c r="Y140" s="1240">
        <f>+IFERROR(HLOOKUP(Y6,'סקרי נכסים-יתרות פתיחה'!$2:$110,34,0),0)-IFERROR(HLOOKUP(Y6,'סקרי נכסים-יתרות פתיחה'!$2:$110,93,0),0)*(1-Y$309)</f>
        <v>16119776.914285714</v>
      </c>
      <c r="Z140" s="1240">
        <f>+IFERROR(HLOOKUP(Z6,'סקרי נכסים-יתרות פתיחה'!$2:$110,34,0),0)-IFERROR(HLOOKUP(Z6,'סקרי נכסים-יתרות פתיחה'!$2:$110,93,0),0)*(1-Z$309)</f>
        <v>0</v>
      </c>
      <c r="AA140" s="1240">
        <f>+IFERROR(HLOOKUP(AA6,'סקרי נכסים-יתרות פתיחה'!$2:$110,34,0),0)-IFERROR(HLOOKUP(AA6,'סקרי נכסים-יתרות פתיחה'!$2:$110,93,0),0)*(1-AA$309)</f>
        <v>0</v>
      </c>
      <c r="AB140" s="1240">
        <f>+IFERROR(HLOOKUP(AB6,'סקרי נכסים-יתרות פתיחה'!$2:$110,34,0),0)-IFERROR(HLOOKUP(AB6,'סקרי נכסים-יתרות פתיחה'!$2:$110,93,0),0)*(1-AB$309)</f>
        <v>0</v>
      </c>
      <c r="AC140" s="1240">
        <f>+IFERROR(HLOOKUP(AC6,'סקרי נכסים-יתרות פתיחה'!$2:$110,34,0),0)-IFERROR(HLOOKUP(AC6,'סקרי נכסים-יתרות פתיחה'!$2:$110,93,0),0)*(1-AC$309)</f>
        <v>0</v>
      </c>
      <c r="AD140" s="1240">
        <f>+IFERROR(HLOOKUP(AD6,'סקרי נכסים-יתרות פתיחה'!$2:$110,34,0),0)-IFERROR(HLOOKUP(AD6,'סקרי נכסים-יתרות פתיחה'!$2:$110,93,0),0)*(1-AD$309)</f>
        <v>0</v>
      </c>
      <c r="AE140" s="1240">
        <f>+IFERROR(HLOOKUP(AE6,'סקרי נכסים-יתרות פתיחה'!$2:$110,34,0),0)-IFERROR(HLOOKUP(AE6,'סקרי נכסים-יתרות פתיחה'!$2:$110,93,0),0)*(1-AE$309)</f>
        <v>0</v>
      </c>
      <c r="AF140" s="1240">
        <f>+IFERROR(HLOOKUP(AF6,'סקרי נכסים-יתרות פתיחה'!$2:$110,34,0),0)-IFERROR(HLOOKUP(AF6,'סקרי נכסים-יתרות פתיחה'!$2:$110,93,0),0)*(1-AF$309)</f>
        <v>0</v>
      </c>
      <c r="AG140" s="1240">
        <f>+IFERROR(HLOOKUP(AG6,'סקרי נכסים-יתרות פתיחה'!$2:$110,34,0),0)-IFERROR(HLOOKUP(AG6,'סקרי נכסים-יתרות פתיחה'!$2:$110,93,0),0)*(1-AG$309)</f>
        <v>0</v>
      </c>
      <c r="AH140" s="1240">
        <f>+IFERROR(HLOOKUP(AH6,'סקרי נכסים-יתרות פתיחה'!$2:$110,34,0),0)-IFERROR(HLOOKUP(AH6,'סקרי נכסים-יתרות פתיחה'!$2:$110,93,0),0)*(1-AH$309)</f>
        <v>0</v>
      </c>
      <c r="AI140" s="1240">
        <f>+IFERROR(HLOOKUP(AI6,'סקרי נכסים-יתרות פתיחה'!$2:$110,34,0),0)-IFERROR(HLOOKUP(AI6,'סקרי נכסים-יתרות פתיחה'!$2:$110,93,0),0)*(1-AI$309)</f>
        <v>0</v>
      </c>
      <c r="AJ140" s="1240">
        <f>+IFERROR(HLOOKUP(AJ6,'סקרי נכסים-יתרות פתיחה'!$2:$110,34,0),0)-IFERROR(HLOOKUP(AJ6,'סקרי נכסים-יתרות פתיחה'!$2:$110,93,0),0)*(1-AJ$309)</f>
        <v>0</v>
      </c>
      <c r="AK140" s="1240">
        <f>+IFERROR(HLOOKUP(AK6,'סקרי נכסים-יתרות פתיחה'!$2:$110,34,0),0)-IFERROR(HLOOKUP(AK6,'סקרי נכסים-יתרות פתיחה'!$2:$110,93,0),0)*(1-AK$309)</f>
        <v>0</v>
      </c>
      <c r="AL140" s="1240">
        <f>+IFERROR(HLOOKUP(AL6,'סקרי נכסים-יתרות פתיחה'!$2:$110,34,0),0)-IFERROR(HLOOKUP(AL6,'סקרי נכסים-יתרות פתיחה'!$2:$110,93,0),0)*(1-AL$309)</f>
        <v>0</v>
      </c>
      <c r="AM140" s="1240">
        <f>+IFERROR(HLOOKUP(AM6,'סקרי נכסים-יתרות פתיחה'!$2:$110,34,0),0)-IFERROR(HLOOKUP(AM6,'סקרי נכסים-יתרות פתיחה'!$2:$110,93,0),0)*(1-AM$309)</f>
        <v>10715100</v>
      </c>
      <c r="AN140" s="1240">
        <f>+IFERROR(HLOOKUP(AN6,'סקרי נכסים-יתרות פתיחה'!$2:$110,34,0),0)-IFERROR(HLOOKUP(AN6,'סקרי נכסים-יתרות פתיחה'!$2:$110,93,0),0)*(1-AN$309)</f>
        <v>15871750</v>
      </c>
      <c r="AO140" s="1240">
        <f>+IFERROR(HLOOKUP(AO6,'סקרי נכסים-יתרות פתיחה'!$2:$110,34,0),0)-IFERROR(HLOOKUP(AO6,'סקרי נכסים-יתרות פתיחה'!$2:$110,93,0),0)*(1-AO$309)</f>
        <v>0</v>
      </c>
      <c r="AP140" s="1240">
        <f>+IFERROR(HLOOKUP(AP6,'סקרי נכסים-יתרות פתיחה'!$2:$110,34,0),0)-IFERROR(HLOOKUP(AP6,'סקרי נכסים-יתרות פתיחה'!$2:$110,93,0),0)*(1-AP$309)</f>
        <v>0</v>
      </c>
      <c r="AQ140" s="1240">
        <f>+IFERROR(HLOOKUP(AQ6,'סקרי נכסים-יתרות פתיחה'!$2:$110,34,0),0)-IFERROR(HLOOKUP(AQ6,'סקרי נכסים-יתרות פתיחה'!$2:$110,93,0),0)*(1-AQ$309)</f>
        <v>0</v>
      </c>
      <c r="AR140" s="1240">
        <f>+IFERROR(HLOOKUP(AR6,'סקרי נכסים-יתרות פתיחה'!$2:$110,34,0),0)-IFERROR(HLOOKUP(AR6,'סקרי נכסים-יתרות פתיחה'!$2:$110,93,0),0)*(1-AR$309)</f>
        <v>0</v>
      </c>
      <c r="AS140" s="1240">
        <f>+IFERROR(HLOOKUP(AS6,'סקרי נכסים-יתרות פתיחה'!$2:$110,34,0),0)-IFERROR(HLOOKUP(AS6,'סקרי נכסים-יתרות פתיחה'!$2:$110,93,0),0)*(1-AS$309)</f>
        <v>10211310</v>
      </c>
      <c r="AT140" s="1240">
        <f>+IFERROR(HLOOKUP(AT6,'סקרי נכסים-יתרות פתיחה'!$2:$110,34,0),0)-IFERROR(HLOOKUP(AT6,'סקרי נכסים-יתרות פתיחה'!$2:$110,93,0),0)*(1-AT$309)</f>
        <v>0</v>
      </c>
      <c r="AU140" s="1240">
        <f>+IFERROR(HLOOKUP(AU6,'סקרי נכסים-יתרות פתיחה'!$2:$110,34,0),0)-IFERROR(HLOOKUP(AU6,'סקרי נכסים-יתרות פתיחה'!$2:$110,93,0),0)*(1-AU$309)</f>
        <v>0</v>
      </c>
      <c r="AV140" s="1240">
        <f>+IFERROR(HLOOKUP(AV6,'סקרי נכסים-יתרות פתיחה'!$2:$110,34,0),0)-IFERROR(HLOOKUP(AV6,'סקרי נכסים-יתרות פתיחה'!$2:$110,93,0),0)*(1-AV$309)</f>
        <v>0</v>
      </c>
      <c r="AW140" s="1240">
        <f>+IFERROR(HLOOKUP(AW6,'סקרי נכסים-יתרות פתיחה'!$2:$110,34,0),0)-IFERROR(HLOOKUP(AW6,'סקרי נכסים-יתרות פתיחה'!$2:$110,93,0),0)*(1-AW$309)</f>
        <v>0</v>
      </c>
      <c r="AX140" s="1240">
        <f>+IFERROR(HLOOKUP(AX6,'סקרי נכסים-יתרות פתיחה'!$2:$110,34,0),0)-IFERROR(HLOOKUP(AX6,'סקרי נכסים-יתרות פתיחה'!$2:$110,93,0),0)*(1-AX$309)</f>
        <v>14681700</v>
      </c>
      <c r="AY140" s="1240">
        <f>+IFERROR(HLOOKUP(AY6,'סקרי נכסים-יתרות פתיחה'!$2:$110,34,0),0)-IFERROR(HLOOKUP(AY6,'סקרי נכסים-יתרות פתיחה'!$2:$110,93,0),0)*(1-AY$309)</f>
        <v>0</v>
      </c>
      <c r="AZ140" s="1240">
        <f>+IFERROR(HLOOKUP(AZ6,'סקרי נכסים-יתרות פתיחה'!$2:$110,34,0),0)-IFERROR(HLOOKUP(AZ6,'סקרי נכסים-יתרות פתיחה'!$2:$110,93,0),0)*(1-AZ$309)</f>
        <v>12332406.142857144</v>
      </c>
      <c r="BA140" s="1240">
        <f>+IFERROR(HLOOKUP(BA6,'סקרי נכסים-יתרות פתיחה'!$2:$110,34,0),0)-IFERROR(HLOOKUP(BA6,'סקרי נכסים-יתרות פתיחה'!$2:$110,93,0),0)*(1-BA$309)</f>
        <v>19477043.095238097</v>
      </c>
      <c r="BB140" s="1240">
        <f>+IFERROR(HLOOKUP(BB6,'סקרי נכסים-יתרות פתיחה'!$2:$110,34,0),0)-IFERROR(HLOOKUP(BB6,'סקרי נכסים-יתרות פתיחה'!$2:$110,93,0),0)*(1-BB$309)</f>
        <v>11245400</v>
      </c>
      <c r="BC140" s="1240">
        <f>+IFERROR(HLOOKUP(BC6,'סקרי נכסים-יתרות פתיחה'!$2:$110,34,0),0)-IFERROR(HLOOKUP(BC6,'סקרי נכסים-יתרות פתיחה'!$2:$110,93,0),0)*(1-BC$309)</f>
        <v>11438268</v>
      </c>
      <c r="BD140" s="1240">
        <f>+IFERROR(HLOOKUP(BD6,'סקרי נכסים-יתרות פתיחה'!$2:$110,34,0),0)-IFERROR(HLOOKUP(BD6,'סקרי נכסים-יתרות פתיחה'!$2:$110,93,0),0)*(1-BD$309)</f>
        <v>0</v>
      </c>
      <c r="BE140" s="1240">
        <f>+IFERROR(HLOOKUP(BE6,'סקרי נכסים-יתרות פתיחה'!$2:$110,34,0),0)-IFERROR(HLOOKUP(BE6,'סקרי נכסים-יתרות פתיחה'!$2:$110,93,0),0)*(1-BE$309)</f>
        <v>0</v>
      </c>
      <c r="BF140" s="1240">
        <f>+IFERROR(HLOOKUP(BF6,'סקרי נכסים-יתרות פתיחה'!$2:$110,34,0),0)-IFERROR(HLOOKUP(BF6,'סקרי נכסים-יתרות פתיחה'!$2:$110,93,0),0)*(1-BF$309)</f>
        <v>0</v>
      </c>
    </row>
    <row r="141" spans="1:61" x14ac:dyDescent="0.2">
      <c r="B141" s="1">
        <v>4</v>
      </c>
      <c r="C141" s="1240">
        <f>+IFERROR(HLOOKUP(C7,'סקרי נכסים-יתרות פתיחה'!$2:$110,34,0),0)-IFERROR(HLOOKUP(C7,'סקרי נכסים-יתרות פתיחה'!$2:$110,93,0),0)*(1-C$309)</f>
        <v>0</v>
      </c>
      <c r="D141" s="1240">
        <f>+IFERROR(HLOOKUP(D7,'סקרי נכסים-יתרות פתיחה'!$2:$110,34,0),0)-IFERROR(HLOOKUP(D7,'סקרי נכסים-יתרות פתיחה'!$2:$110,93,0),0)*(1-D$309)</f>
        <v>9553750</v>
      </c>
      <c r="E141" s="1240">
        <f>+IFERROR(HLOOKUP(E7,'סקרי נכסים-יתרות פתיחה'!$2:$110,34,0),0)-IFERROR(HLOOKUP(E7,'סקרי נכסים-יתרות פתיחה'!$2:$110,93,0),0)*(1-E$309)</f>
        <v>0</v>
      </c>
      <c r="F141" s="1240">
        <f>+IFERROR(HLOOKUP(F7,'סקרי נכסים-יתרות פתיחה'!$2:$110,34,0),0)-IFERROR(HLOOKUP(F7,'סקרי נכסים-יתרות פתיחה'!$2:$110,93,0),0)*(1-F$309)</f>
        <v>0</v>
      </c>
      <c r="G141" s="1240">
        <f>+IFERROR(HLOOKUP(G7,'סקרי נכסים-יתרות פתיחה'!$2:$110,34,0),0)-IFERROR(HLOOKUP(G7,'סקרי נכסים-יתרות פתיחה'!$2:$110,93,0),0)*(1-G$309)</f>
        <v>0</v>
      </c>
      <c r="H141" s="1240">
        <f>+IFERROR(HLOOKUP(H7,'סקרי נכסים-יתרות פתיחה'!$2:$110,34,0),0)-IFERROR(HLOOKUP(H7,'סקרי נכסים-יתרות פתיחה'!$2:$110,93,0),0)*(1-H$309)</f>
        <v>0</v>
      </c>
      <c r="I141" s="1240">
        <f>+IFERROR(HLOOKUP(I7,'סקרי נכסים-יתרות פתיחה'!$2:$110,34,0),0)-IFERROR(HLOOKUP(I7,'סקרי נכסים-יתרות פתיחה'!$2:$110,93,0),0)*(1-I$309)</f>
        <v>0</v>
      </c>
      <c r="J141" s="1240">
        <f>+IFERROR(HLOOKUP(J7,'סקרי נכסים-יתרות פתיחה'!$2:$110,34,0),0)-IFERROR(HLOOKUP(J7,'סקרי נכסים-יתרות פתיחה'!$2:$110,93,0),0)*(1-J$309)</f>
        <v>0</v>
      </c>
      <c r="K141" s="1240">
        <f>+IFERROR(HLOOKUP(K7,'סקרי נכסים-יתרות פתיחה'!$2:$110,34,0),0)-IFERROR(HLOOKUP(K7,'סקרי נכסים-יתרות פתיחה'!$2:$110,93,0),0)*(1-K$309)</f>
        <v>0</v>
      </c>
      <c r="L141" s="1240">
        <f>+IFERROR(HLOOKUP(L7,'סקרי נכסים-יתרות פתיחה'!$2:$110,34,0),0)-IFERROR(HLOOKUP(L7,'סקרי נכסים-יתרות פתיחה'!$2:$110,93,0),0)*(1-L$309)</f>
        <v>6118250.2476190478</v>
      </c>
      <c r="M141" s="1240">
        <f>+IFERROR(HLOOKUP(M7,'סקרי נכסים-יתרות פתיחה'!$2:$110,34,0),0)-IFERROR(HLOOKUP(M7,'סקרי נכסים-יתרות פתיחה'!$2:$110,93,0),0)*(1-M$309)</f>
        <v>0</v>
      </c>
      <c r="N141" s="1240">
        <f>+IFERROR(HLOOKUP(N7,'סקרי נכסים-יתרות פתיחה'!$2:$110,34,0),0)-IFERROR(HLOOKUP(N7,'סקרי נכסים-יתרות פתיחה'!$2:$110,93,0),0)*(1-N$309)</f>
        <v>0</v>
      </c>
      <c r="O141" s="1240">
        <f>+IFERROR(HLOOKUP(O7,'סקרי נכסים-יתרות פתיחה'!$2:$110,34,0),0)-IFERROR(HLOOKUP(O7,'סקרי נכסים-יתרות פתיחה'!$2:$110,93,0),0)*(1-O$309)</f>
        <v>23641412.142857142</v>
      </c>
      <c r="P141" s="1240">
        <f>+IFERROR(HLOOKUP(P7,'סקרי נכסים-יתרות פתיחה'!$2:$110,34,0),0)-IFERROR(HLOOKUP(P7,'סקרי נכסים-יתרות פתיחה'!$2:$110,93,0),0)*(1-P$309)</f>
        <v>4414788</v>
      </c>
      <c r="Q141" s="1240">
        <f>+IFERROR(HLOOKUP(Q7,'סקרי נכסים-יתרות פתיחה'!$2:$110,34,0),0)-IFERROR(HLOOKUP(Q7,'סקרי נכסים-יתרות פתיחה'!$2:$110,93,0),0)*(1-Q$309)</f>
        <v>0</v>
      </c>
      <c r="R141" s="1240">
        <f>+IFERROR(HLOOKUP(R7,'סקרי נכסים-יתרות פתיחה'!$2:$110,34,0),0)-IFERROR(HLOOKUP(R7,'סקרי נכסים-יתרות פתיחה'!$2:$110,93,0),0)*(1-R$309)</f>
        <v>0</v>
      </c>
      <c r="S141" s="1240">
        <f>+IFERROR(HLOOKUP(S7,'סקרי נכסים-יתרות פתיחה'!$2:$110,34,0),0)-IFERROR(HLOOKUP(S7,'סקרי נכסים-יתרות פתיחה'!$2:$110,93,0),0)*(1-S$309)</f>
        <v>0</v>
      </c>
      <c r="T141" s="1240">
        <f>+IFERROR(HLOOKUP(T7,'סקרי נכסים-יתרות פתיחה'!$2:$110,34,0),0)-IFERROR(HLOOKUP(T7,'סקרי נכסים-יתרות פתיחה'!$2:$110,93,0),0)*(1-T$309)</f>
        <v>6913760</v>
      </c>
      <c r="U141" s="1240">
        <f>+IFERROR(HLOOKUP(U7,'סקרי נכסים-יתרות פתיחה'!$2:$110,34,0),0)-IFERROR(HLOOKUP(U7,'סקרי נכסים-יתרות פתיחה'!$2:$110,93,0),0)*(1-U$309)</f>
        <v>0</v>
      </c>
      <c r="V141" s="1240">
        <f>+IFERROR(HLOOKUP(V7,'סקרי נכסים-יתרות פתיחה'!$2:$110,34,0),0)-IFERROR(HLOOKUP(V7,'סקרי נכסים-יתרות פתיחה'!$2:$110,93,0),0)*(1-V$309)</f>
        <v>11979695</v>
      </c>
      <c r="W141" s="1240">
        <f>+IFERROR(HLOOKUP(W7,'סקרי נכסים-יתרות פתיחה'!$2:$110,34,0),0)-IFERROR(HLOOKUP(W7,'סקרי נכסים-יתרות פתיחה'!$2:$110,93,0),0)*(1-W$309)</f>
        <v>7913312</v>
      </c>
      <c r="X141" s="1240">
        <f>+IFERROR(HLOOKUP(X7,'סקרי נכסים-יתרות פתיחה'!$2:$110,34,0),0)-IFERROR(HLOOKUP(X7,'סקרי נכסים-יתרות פתיחה'!$2:$110,93,0),0)*(1-X$309)</f>
        <v>8616790</v>
      </c>
      <c r="Y141" s="1240">
        <f>+IFERROR(HLOOKUP(Y7,'סקרי נכסים-יתרות פתיחה'!$2:$110,34,0),0)-IFERROR(HLOOKUP(Y7,'סקרי נכסים-יתרות פתיחה'!$2:$110,93,0),0)*(1-Y$309)</f>
        <v>16273801.142857144</v>
      </c>
      <c r="Z141" s="1240">
        <f>+IFERROR(HLOOKUP(Z7,'סקרי נכסים-יתרות פתיחה'!$2:$110,34,0),0)-IFERROR(HLOOKUP(Z7,'סקרי נכסים-יתרות פתיחה'!$2:$110,93,0),0)*(1-Z$309)</f>
        <v>0</v>
      </c>
      <c r="AA141" s="1240">
        <f>+IFERROR(HLOOKUP(AA7,'סקרי נכסים-יתרות פתיחה'!$2:$110,34,0),0)-IFERROR(HLOOKUP(AA7,'סקרי נכסים-יתרות פתיחה'!$2:$110,93,0),0)*(1-AA$309)</f>
        <v>0</v>
      </c>
      <c r="AB141" s="1240">
        <f>+IFERROR(HLOOKUP(AB7,'סקרי נכסים-יתרות פתיחה'!$2:$110,34,0),0)-IFERROR(HLOOKUP(AB7,'סקרי נכסים-יתרות פתיחה'!$2:$110,93,0),0)*(1-AB$309)</f>
        <v>0</v>
      </c>
      <c r="AC141" s="1240">
        <f>+IFERROR(HLOOKUP(AC7,'סקרי נכסים-יתרות פתיחה'!$2:$110,34,0),0)-IFERROR(HLOOKUP(AC7,'סקרי נכסים-יתרות פתיחה'!$2:$110,93,0),0)*(1-AC$309)</f>
        <v>0</v>
      </c>
      <c r="AD141" s="1240">
        <f>+IFERROR(HLOOKUP(AD7,'סקרי נכסים-יתרות פתיחה'!$2:$110,34,0),0)-IFERROR(HLOOKUP(AD7,'סקרי נכסים-יתרות פתיחה'!$2:$110,93,0),0)*(1-AD$309)</f>
        <v>0</v>
      </c>
      <c r="AE141" s="1240">
        <f>+IFERROR(HLOOKUP(AE7,'סקרי נכסים-יתרות פתיחה'!$2:$110,34,0),0)-IFERROR(HLOOKUP(AE7,'סקרי נכסים-יתרות פתיחה'!$2:$110,93,0),0)*(1-AE$309)</f>
        <v>0</v>
      </c>
      <c r="AF141" s="1240">
        <f>+IFERROR(HLOOKUP(AF7,'סקרי נכסים-יתרות פתיחה'!$2:$110,34,0),0)-IFERROR(HLOOKUP(AF7,'סקרי נכסים-יתרות פתיחה'!$2:$110,93,0),0)*(1-AF$309)</f>
        <v>0</v>
      </c>
      <c r="AG141" s="1240">
        <f>+IFERROR(HLOOKUP(AG7,'סקרי נכסים-יתרות פתיחה'!$2:$110,34,0),0)-IFERROR(HLOOKUP(AG7,'סקרי נכסים-יתרות פתיחה'!$2:$110,93,0),0)*(1-AG$309)</f>
        <v>0</v>
      </c>
      <c r="AH141" s="1240">
        <f>+IFERROR(HLOOKUP(AH7,'סקרי נכסים-יתרות פתיחה'!$2:$110,34,0),0)-IFERROR(HLOOKUP(AH7,'סקרי נכסים-יתרות פתיחה'!$2:$110,93,0),0)*(1-AH$309)</f>
        <v>0</v>
      </c>
      <c r="AI141" s="1240">
        <f>+IFERROR(HLOOKUP(AI7,'סקרי נכסים-יתרות פתיחה'!$2:$110,34,0),0)-IFERROR(HLOOKUP(AI7,'סקרי נכסים-יתרות פתיחה'!$2:$110,93,0),0)*(1-AI$309)</f>
        <v>0</v>
      </c>
      <c r="AJ141" s="1240">
        <f>+IFERROR(HLOOKUP(AJ7,'סקרי נכסים-יתרות פתיחה'!$2:$110,34,0),0)-IFERROR(HLOOKUP(AJ7,'סקרי נכסים-יתרות פתיחה'!$2:$110,93,0),0)*(1-AJ$309)</f>
        <v>0</v>
      </c>
      <c r="AK141" s="1240">
        <f>+IFERROR(HLOOKUP(AK7,'סקרי נכסים-יתרות פתיחה'!$2:$110,34,0),0)-IFERROR(HLOOKUP(AK7,'סקרי נכסים-יתרות פתיחה'!$2:$110,93,0),0)*(1-AK$309)</f>
        <v>0</v>
      </c>
      <c r="AL141" s="1240">
        <f>+IFERROR(HLOOKUP(AL7,'סקרי נכסים-יתרות פתיחה'!$2:$110,34,0),0)-IFERROR(HLOOKUP(AL7,'סקרי נכסים-יתרות פתיחה'!$2:$110,93,0),0)*(1-AL$309)</f>
        <v>0</v>
      </c>
      <c r="AM141" s="1240">
        <f>+IFERROR(HLOOKUP(AM7,'סקרי נכסים-יתרות פתיחה'!$2:$110,34,0),0)-IFERROR(HLOOKUP(AM7,'סקרי נכסים-יתרות פתיחה'!$2:$110,93,0),0)*(1-AM$309)</f>
        <v>23841997.019047618</v>
      </c>
      <c r="AN141" s="1240">
        <f>+IFERROR(HLOOKUP(AN7,'סקרי נכסים-יתרות פתיחה'!$2:$110,34,0),0)-IFERROR(HLOOKUP(AN7,'סקרי נכסים-יתרות פתיחה'!$2:$110,93,0),0)*(1-AN$309)</f>
        <v>16011050</v>
      </c>
      <c r="AO141" s="1240">
        <f>+IFERROR(HLOOKUP(AO7,'סקרי נכסים-יתרות פתיחה'!$2:$110,34,0),0)-IFERROR(HLOOKUP(AO7,'סקרי נכסים-יתרות פתיחה'!$2:$110,93,0),0)*(1-AO$309)</f>
        <v>0</v>
      </c>
      <c r="AP141" s="1240">
        <f>+IFERROR(HLOOKUP(AP7,'סקרי נכסים-יתרות פתיחה'!$2:$110,34,0),0)-IFERROR(HLOOKUP(AP7,'סקרי נכסים-יתרות פתיחה'!$2:$110,93,0),0)*(1-AP$309)</f>
        <v>0</v>
      </c>
      <c r="AQ141" s="1240">
        <f>+IFERROR(HLOOKUP(AQ7,'סקרי נכסים-יתרות פתיחה'!$2:$110,34,0),0)-IFERROR(HLOOKUP(AQ7,'סקרי נכסים-יתרות פתיחה'!$2:$110,93,0),0)*(1-AQ$309)</f>
        <v>0</v>
      </c>
      <c r="AR141" s="1240">
        <f>+IFERROR(HLOOKUP(AR7,'סקרי נכסים-יתרות פתיחה'!$2:$110,34,0),0)-IFERROR(HLOOKUP(AR7,'סקרי נכסים-יתרות פתיחה'!$2:$110,93,0),0)*(1-AR$309)</f>
        <v>0</v>
      </c>
      <c r="AS141" s="1240">
        <f>+IFERROR(HLOOKUP(AS7,'סקרי נכסים-יתרות פתיחה'!$2:$110,34,0),0)-IFERROR(HLOOKUP(AS7,'סקרי נכסים-יתרות פתיחה'!$2:$110,93,0),0)*(1-AS$309)</f>
        <v>10862140</v>
      </c>
      <c r="AT141" s="1240">
        <f>+IFERROR(HLOOKUP(AT7,'סקרי נכסים-יתרות פתיחה'!$2:$110,34,0),0)-IFERROR(HLOOKUP(AT7,'סקרי נכסים-יתרות פתיחה'!$2:$110,93,0),0)*(1-AT$309)</f>
        <v>0</v>
      </c>
      <c r="AU141" s="1240">
        <f>+IFERROR(HLOOKUP(AU7,'סקרי נכסים-יתרות פתיחה'!$2:$110,34,0),0)-IFERROR(HLOOKUP(AU7,'סקרי נכסים-יתרות פתיחה'!$2:$110,93,0),0)*(1-AU$309)</f>
        <v>0</v>
      </c>
      <c r="AV141" s="1240">
        <f>+IFERROR(HLOOKUP(AV7,'סקרי נכסים-יתרות פתיחה'!$2:$110,34,0),0)-IFERROR(HLOOKUP(AV7,'סקרי נכסים-יתרות פתיחה'!$2:$110,93,0),0)*(1-AV$309)</f>
        <v>0</v>
      </c>
      <c r="AW141" s="1240">
        <f>+IFERROR(HLOOKUP(AW7,'סקרי נכסים-יתרות פתיחה'!$2:$110,34,0),0)-IFERROR(HLOOKUP(AW7,'סקרי נכסים-יתרות פתיחה'!$2:$110,93,0),0)*(1-AW$309)</f>
        <v>0</v>
      </c>
      <c r="AX141" s="1240">
        <f>+IFERROR(HLOOKUP(AX7,'סקרי נכסים-יתרות פתיחה'!$2:$110,34,0),0)-IFERROR(HLOOKUP(AX7,'סקרי נכסים-יתרות פתיחה'!$2:$110,93,0),0)*(1-AX$309)</f>
        <v>25856950</v>
      </c>
      <c r="AY141" s="1240">
        <f>+IFERROR(HLOOKUP(AY7,'סקרי נכסים-יתרות פתיחה'!$2:$110,34,0),0)-IFERROR(HLOOKUP(AY7,'סקרי נכסים-יתרות פתיחה'!$2:$110,93,0),0)*(1-AY$309)</f>
        <v>0</v>
      </c>
      <c r="AZ141" s="1240">
        <f>+IFERROR(HLOOKUP(AZ7,'סקרי נכסים-יתרות פתיחה'!$2:$110,34,0),0)-IFERROR(HLOOKUP(AZ7,'סקרי נכסים-יתרות פתיחה'!$2:$110,93,0),0)*(1-AZ$309)</f>
        <v>44845430</v>
      </c>
      <c r="BA141" s="1240">
        <f>+IFERROR(HLOOKUP(BA7,'סקרי נכסים-יתרות פתיחה'!$2:$110,34,0),0)-IFERROR(HLOOKUP(BA7,'סקרי נכסים-יתרות פתיחה'!$2:$110,93,0),0)*(1-BA$309)</f>
        <v>13938616.095238095</v>
      </c>
      <c r="BB141" s="1240">
        <f>+IFERROR(HLOOKUP(BB7,'סקרי נכסים-יתרות פתיחה'!$2:$110,34,0),0)-IFERROR(HLOOKUP(BB7,'סקרי נכסים-יתרות פתיחה'!$2:$110,93,0),0)*(1-BB$309)</f>
        <v>10849020</v>
      </c>
      <c r="BC141" s="1240">
        <f>+IFERROR(HLOOKUP(BC7,'סקרי נכסים-יתרות פתיחה'!$2:$110,34,0),0)-IFERROR(HLOOKUP(BC7,'סקרי נכסים-יתרות פתיחה'!$2:$110,93,0),0)*(1-BC$309)</f>
        <v>18661490</v>
      </c>
      <c r="BD141" s="1240">
        <f>+IFERROR(HLOOKUP(BD7,'סקרי נכסים-יתרות פתיחה'!$2:$110,34,0),0)-IFERROR(HLOOKUP(BD7,'סקרי נכסים-יתרות פתיחה'!$2:$110,93,0),0)*(1-BD$309)</f>
        <v>0</v>
      </c>
      <c r="BE141" s="1240">
        <f>+IFERROR(HLOOKUP(BE7,'סקרי נכסים-יתרות פתיחה'!$2:$110,34,0),0)-IFERROR(HLOOKUP(BE7,'סקרי נכסים-יתרות פתיחה'!$2:$110,93,0),0)*(1-BE$309)</f>
        <v>0</v>
      </c>
      <c r="BF141" s="1240">
        <f>+IFERROR(HLOOKUP(BF7,'סקרי נכסים-יתרות פתיחה'!$2:$110,34,0),0)-IFERROR(HLOOKUP(BF7,'סקרי נכסים-יתרות פתיחה'!$2:$110,93,0),0)*(1-BF$309)</f>
        <v>0</v>
      </c>
    </row>
    <row r="142" spans="1:61" x14ac:dyDescent="0.2">
      <c r="B142" s="1">
        <v>5</v>
      </c>
      <c r="C142" s="1240">
        <f>+IFERROR(HLOOKUP(C8,'סקרי נכסים-יתרות פתיחה'!$2:$110,34,0),0)-IFERROR(HLOOKUP(C8,'סקרי נכסים-יתרות פתיחה'!$2:$110,93,0),0)*(1-C$309)</f>
        <v>0</v>
      </c>
      <c r="D142" s="1240">
        <f>+IFERROR(HLOOKUP(D8,'סקרי נכסים-יתרות פתיחה'!$2:$110,34,0),0)-IFERROR(HLOOKUP(D8,'סקרי נכסים-יתרות פתיחה'!$2:$110,93,0),0)*(1-D$309)</f>
        <v>4029400</v>
      </c>
      <c r="E142" s="1240">
        <f>+IFERROR(HLOOKUP(E8,'סקרי נכסים-יתרות פתיחה'!$2:$110,34,0),0)-IFERROR(HLOOKUP(E8,'סקרי נכסים-יתרות פתיחה'!$2:$110,93,0),0)*(1-E$309)</f>
        <v>0</v>
      </c>
      <c r="F142" s="1240">
        <f>+IFERROR(HLOOKUP(F8,'סקרי נכסים-יתרות פתיחה'!$2:$110,34,0),0)-IFERROR(HLOOKUP(F8,'סקרי נכסים-יתרות פתיחה'!$2:$110,93,0),0)*(1-F$309)</f>
        <v>0</v>
      </c>
      <c r="G142" s="1240">
        <f>+IFERROR(HLOOKUP(G8,'סקרי נכסים-יתרות פתיחה'!$2:$110,34,0),0)-IFERROR(HLOOKUP(G8,'סקרי נכסים-יתרות פתיחה'!$2:$110,93,0),0)*(1-G$309)</f>
        <v>0</v>
      </c>
      <c r="H142" s="1240">
        <f>+IFERROR(HLOOKUP(H8,'סקרי נכסים-יתרות פתיחה'!$2:$110,34,0),0)-IFERROR(HLOOKUP(H8,'סקרי נכסים-יתרות פתיחה'!$2:$110,93,0),0)*(1-H$309)</f>
        <v>0</v>
      </c>
      <c r="I142" s="1240">
        <f>+IFERROR(HLOOKUP(I8,'סקרי נכסים-יתרות פתיחה'!$2:$110,34,0),0)-IFERROR(HLOOKUP(I8,'סקרי נכסים-יתרות פתיחה'!$2:$110,93,0),0)*(1-I$309)</f>
        <v>0</v>
      </c>
      <c r="J142" s="1240">
        <f>+IFERROR(HLOOKUP(J8,'סקרי נכסים-יתרות פתיחה'!$2:$110,34,0),0)-IFERROR(HLOOKUP(J8,'סקרי נכסים-יתרות פתיחה'!$2:$110,93,0),0)*(1-J$309)</f>
        <v>0</v>
      </c>
      <c r="K142" s="1240">
        <f>+IFERROR(HLOOKUP(K8,'סקרי נכסים-יתרות פתיחה'!$2:$110,34,0),0)-IFERROR(HLOOKUP(K8,'סקרי נכסים-יתרות פתיחה'!$2:$110,93,0),0)*(1-K$309)</f>
        <v>0</v>
      </c>
      <c r="L142" s="1240">
        <f>+IFERROR(HLOOKUP(L8,'סקרי נכסים-יתרות פתיחה'!$2:$110,34,0),0)-IFERROR(HLOOKUP(L8,'סקרי נכסים-יתרות פתיחה'!$2:$110,93,0),0)*(1-L$309)</f>
        <v>0</v>
      </c>
      <c r="M142" s="1240">
        <f>+IFERROR(HLOOKUP(M8,'סקרי נכסים-יתרות פתיחה'!$2:$110,34,0),0)-IFERROR(HLOOKUP(M8,'סקרי נכסים-יתרות פתיחה'!$2:$110,93,0),0)*(1-M$309)</f>
        <v>0</v>
      </c>
      <c r="N142" s="1240">
        <f>+IFERROR(HLOOKUP(N8,'סקרי נכסים-יתרות פתיחה'!$2:$110,34,0),0)-IFERROR(HLOOKUP(N8,'סקרי נכסים-יתרות פתיחה'!$2:$110,93,0),0)*(1-N$309)</f>
        <v>0</v>
      </c>
      <c r="O142" s="1240">
        <f>+IFERROR(HLOOKUP(O8,'סקרי נכסים-יתרות פתיחה'!$2:$110,34,0),0)-IFERROR(HLOOKUP(O8,'סקרי נכסים-יתרות פתיחה'!$2:$110,93,0),0)*(1-O$309)</f>
        <v>0</v>
      </c>
      <c r="P142" s="1240">
        <f>+IFERROR(HLOOKUP(P8,'סקרי נכסים-יתרות פתיחה'!$2:$110,34,0),0)-IFERROR(HLOOKUP(P8,'סקרי נכסים-יתרות פתיחה'!$2:$110,93,0),0)*(1-P$309)</f>
        <v>6993355</v>
      </c>
      <c r="Q142" s="1240">
        <f>+IFERROR(HLOOKUP(Q8,'סקרי נכסים-יתרות פתיחה'!$2:$110,34,0),0)-IFERROR(HLOOKUP(Q8,'סקרי נכסים-יתרות פתיחה'!$2:$110,93,0),0)*(1-Q$309)</f>
        <v>0</v>
      </c>
      <c r="R142" s="1240">
        <f>+IFERROR(HLOOKUP(R8,'סקרי נכסים-יתרות פתיחה'!$2:$110,34,0),0)-IFERROR(HLOOKUP(R8,'סקרי נכסים-יתרות פתיחה'!$2:$110,93,0),0)*(1-R$309)</f>
        <v>0</v>
      </c>
      <c r="S142" s="1240">
        <f>+IFERROR(HLOOKUP(S8,'סקרי נכסים-יתרות פתיחה'!$2:$110,34,0),0)-IFERROR(HLOOKUP(S8,'סקרי נכסים-יתרות פתיחה'!$2:$110,93,0),0)*(1-S$309)</f>
        <v>0</v>
      </c>
      <c r="T142" s="1240">
        <f>+IFERROR(HLOOKUP(T8,'סקרי נכסים-יתרות פתיחה'!$2:$110,34,0),0)-IFERROR(HLOOKUP(T8,'סקרי נכסים-יתרות פתיחה'!$2:$110,93,0),0)*(1-T$309)</f>
        <v>0</v>
      </c>
      <c r="U142" s="1240">
        <f>+IFERROR(HLOOKUP(U8,'סקרי נכסים-יתרות פתיחה'!$2:$110,34,0),0)-IFERROR(HLOOKUP(U8,'סקרי נכסים-יתרות פתיחה'!$2:$110,93,0),0)*(1-U$309)</f>
        <v>0</v>
      </c>
      <c r="V142" s="1240">
        <f>+IFERROR(HLOOKUP(V8,'סקרי נכסים-יתרות פתיחה'!$2:$110,34,0),0)-IFERROR(HLOOKUP(V8,'סקרי נכסים-יתרות פתיחה'!$2:$110,93,0),0)*(1-V$309)</f>
        <v>12825660</v>
      </c>
      <c r="W142" s="1240">
        <f>+IFERROR(HLOOKUP(W8,'סקרי נכסים-יתרות פתיחה'!$2:$110,34,0),0)-IFERROR(HLOOKUP(W8,'סקרי נכסים-יתרות פתיחה'!$2:$110,93,0),0)*(1-W$309)</f>
        <v>4194760</v>
      </c>
      <c r="X142" s="1240">
        <f>+IFERROR(HLOOKUP(X8,'סקרי נכסים-יתרות פתיחה'!$2:$110,34,0),0)-IFERROR(HLOOKUP(X8,'סקרי נכסים-יתרות פתיחה'!$2:$110,93,0),0)*(1-X$309)</f>
        <v>11237602</v>
      </c>
      <c r="Y142" s="1240">
        <f>+IFERROR(HLOOKUP(Y8,'סקרי נכסים-יתרות פתיחה'!$2:$110,34,0),0)-IFERROR(HLOOKUP(Y8,'סקרי נכסים-יתרות פתיחה'!$2:$110,93,0),0)*(1-Y$309)</f>
        <v>0</v>
      </c>
      <c r="Z142" s="1240">
        <f>+IFERROR(HLOOKUP(Z8,'סקרי נכסים-יתרות פתיחה'!$2:$110,34,0),0)-IFERROR(HLOOKUP(Z8,'סקרי נכסים-יתרות פתיחה'!$2:$110,93,0),0)*(1-Z$309)</f>
        <v>0</v>
      </c>
      <c r="AA142" s="1240">
        <f>+IFERROR(HLOOKUP(AA8,'סקרי נכסים-יתרות פתיחה'!$2:$110,34,0),0)-IFERROR(HLOOKUP(AA8,'סקרי נכסים-יתרות פתיחה'!$2:$110,93,0),0)*(1-AA$309)</f>
        <v>0</v>
      </c>
      <c r="AB142" s="1240">
        <f>+IFERROR(HLOOKUP(AB8,'סקרי נכסים-יתרות פתיחה'!$2:$110,34,0),0)-IFERROR(HLOOKUP(AB8,'סקרי נכסים-יתרות פתיחה'!$2:$110,93,0),0)*(1-AB$309)</f>
        <v>0</v>
      </c>
      <c r="AC142" s="1240">
        <f>+IFERROR(HLOOKUP(AC8,'סקרי נכסים-יתרות פתיחה'!$2:$110,34,0),0)-IFERROR(HLOOKUP(AC8,'סקרי נכסים-יתרות פתיחה'!$2:$110,93,0),0)*(1-AC$309)</f>
        <v>0</v>
      </c>
      <c r="AD142" s="1240">
        <f>+IFERROR(HLOOKUP(AD8,'סקרי נכסים-יתרות פתיחה'!$2:$110,34,0),0)-IFERROR(HLOOKUP(AD8,'סקרי נכסים-יתרות פתיחה'!$2:$110,93,0),0)*(1-AD$309)</f>
        <v>0</v>
      </c>
      <c r="AE142" s="1240">
        <f>+IFERROR(HLOOKUP(AE8,'סקרי נכסים-יתרות פתיחה'!$2:$110,34,0),0)-IFERROR(HLOOKUP(AE8,'סקרי נכסים-יתרות פתיחה'!$2:$110,93,0),0)*(1-AE$309)</f>
        <v>0</v>
      </c>
      <c r="AF142" s="1240">
        <f>+IFERROR(HLOOKUP(AF8,'סקרי נכסים-יתרות פתיחה'!$2:$110,34,0),0)-IFERROR(HLOOKUP(AF8,'סקרי נכסים-יתרות פתיחה'!$2:$110,93,0),0)*(1-AF$309)</f>
        <v>0</v>
      </c>
      <c r="AG142" s="1240">
        <f>+IFERROR(HLOOKUP(AG8,'סקרי נכסים-יתרות פתיחה'!$2:$110,34,0),0)-IFERROR(HLOOKUP(AG8,'סקרי נכסים-יתרות פתיחה'!$2:$110,93,0),0)*(1-AG$309)</f>
        <v>0</v>
      </c>
      <c r="AH142" s="1240">
        <f>+IFERROR(HLOOKUP(AH8,'סקרי נכסים-יתרות פתיחה'!$2:$110,34,0),0)-IFERROR(HLOOKUP(AH8,'סקרי נכסים-יתרות פתיחה'!$2:$110,93,0),0)*(1-AH$309)</f>
        <v>0</v>
      </c>
      <c r="AI142" s="1240">
        <f>+IFERROR(HLOOKUP(AI8,'סקרי נכסים-יתרות פתיחה'!$2:$110,34,0),0)-IFERROR(HLOOKUP(AI8,'סקרי נכסים-יתרות פתיחה'!$2:$110,93,0),0)*(1-AI$309)</f>
        <v>0</v>
      </c>
      <c r="AJ142" s="1240">
        <f>+IFERROR(HLOOKUP(AJ8,'סקרי נכסים-יתרות פתיחה'!$2:$110,34,0),0)-IFERROR(HLOOKUP(AJ8,'סקרי נכסים-יתרות פתיחה'!$2:$110,93,0),0)*(1-AJ$309)</f>
        <v>0</v>
      </c>
      <c r="AK142" s="1240">
        <f>+IFERROR(HLOOKUP(AK8,'סקרי נכסים-יתרות פתיחה'!$2:$110,34,0),0)-IFERROR(HLOOKUP(AK8,'סקרי נכסים-יתרות פתיחה'!$2:$110,93,0),0)*(1-AK$309)</f>
        <v>0</v>
      </c>
      <c r="AL142" s="1240">
        <f>+IFERROR(HLOOKUP(AL8,'סקרי נכסים-יתרות פתיחה'!$2:$110,34,0),0)-IFERROR(HLOOKUP(AL8,'סקרי נכסים-יתרות פתיחה'!$2:$110,93,0),0)*(1-AL$309)</f>
        <v>0</v>
      </c>
      <c r="AM142" s="1240">
        <f>+IFERROR(HLOOKUP(AM8,'סקרי נכסים-יתרות פתיחה'!$2:$110,34,0),0)-IFERROR(HLOOKUP(AM8,'סקרי נכסים-יתרות פתיחה'!$2:$110,93,0),0)*(1-AM$309)</f>
        <v>16571405.571428571</v>
      </c>
      <c r="AN142" s="1240">
        <f>+IFERROR(HLOOKUP(AN8,'סקרי נכסים-יתרות פתיחה'!$2:$110,34,0),0)-IFERROR(HLOOKUP(AN8,'סקרי נכסים-יתרות פתיחה'!$2:$110,93,0),0)*(1-AN$309)</f>
        <v>25802100</v>
      </c>
      <c r="AO142" s="1240">
        <f>+IFERROR(HLOOKUP(AO8,'סקרי נכסים-יתרות פתיחה'!$2:$110,34,0),0)-IFERROR(HLOOKUP(AO8,'סקרי נכסים-יתרות פתיחה'!$2:$110,93,0),0)*(1-AO$309)</f>
        <v>0</v>
      </c>
      <c r="AP142" s="1240">
        <f>+IFERROR(HLOOKUP(AP8,'סקרי נכסים-יתרות פתיחה'!$2:$110,34,0),0)-IFERROR(HLOOKUP(AP8,'סקרי נכסים-יתרות פתיחה'!$2:$110,93,0),0)*(1-AP$309)</f>
        <v>0</v>
      </c>
      <c r="AQ142" s="1240">
        <f>+IFERROR(HLOOKUP(AQ8,'סקרי נכסים-יתרות פתיחה'!$2:$110,34,0),0)-IFERROR(HLOOKUP(AQ8,'סקרי נכסים-יתרות פתיחה'!$2:$110,93,0),0)*(1-AQ$309)</f>
        <v>0</v>
      </c>
      <c r="AR142" s="1240">
        <f>+IFERROR(HLOOKUP(AR8,'סקרי נכסים-יתרות פתיחה'!$2:$110,34,0),0)-IFERROR(HLOOKUP(AR8,'סקרי נכסים-יתרות פתיחה'!$2:$110,93,0),0)*(1-AR$309)</f>
        <v>0</v>
      </c>
      <c r="AS142" s="1240">
        <f>+IFERROR(HLOOKUP(AS8,'סקרי נכסים-יתרות פתיחה'!$2:$110,34,0),0)-IFERROR(HLOOKUP(AS8,'סקרי נכסים-יתרות פתיחה'!$2:$110,93,0),0)*(1-AS$309)</f>
        <v>25623698</v>
      </c>
      <c r="AT142" s="1240">
        <f>+IFERROR(HLOOKUP(AT8,'סקרי נכסים-יתרות פתיחה'!$2:$110,34,0),0)-IFERROR(HLOOKUP(AT8,'סקרי נכסים-יתרות פתיחה'!$2:$110,93,0),0)*(1-AT$309)</f>
        <v>0</v>
      </c>
      <c r="AU142" s="1240">
        <f>+IFERROR(HLOOKUP(AU8,'סקרי נכסים-יתרות פתיחה'!$2:$110,34,0),0)-IFERROR(HLOOKUP(AU8,'סקרי נכסים-יתרות פתיחה'!$2:$110,93,0),0)*(1-AU$309)</f>
        <v>0</v>
      </c>
      <c r="AV142" s="1240">
        <f>+IFERROR(HLOOKUP(AV8,'סקרי נכסים-יתרות פתיחה'!$2:$110,34,0),0)-IFERROR(HLOOKUP(AV8,'סקרי נכסים-יתרות פתיחה'!$2:$110,93,0),0)*(1-AV$309)</f>
        <v>0</v>
      </c>
      <c r="AW142" s="1240">
        <f>+IFERROR(HLOOKUP(AW8,'סקרי נכסים-יתרות פתיחה'!$2:$110,34,0),0)-IFERROR(HLOOKUP(AW8,'סקרי נכסים-יתרות פתיחה'!$2:$110,93,0),0)*(1-AW$309)</f>
        <v>0</v>
      </c>
      <c r="AX142" s="1240">
        <f>+IFERROR(HLOOKUP(AX8,'סקרי נכסים-יתרות פתיחה'!$2:$110,34,0),0)-IFERROR(HLOOKUP(AX8,'סקרי נכסים-יתרות פתיחה'!$2:$110,93,0),0)*(1-AX$309)</f>
        <v>0</v>
      </c>
      <c r="AY142" s="1240">
        <f>+IFERROR(HLOOKUP(AY8,'סקרי נכסים-יתרות פתיחה'!$2:$110,34,0),0)-IFERROR(HLOOKUP(AY8,'סקרי נכסים-יתרות פתיחה'!$2:$110,93,0),0)*(1-AY$309)</f>
        <v>0</v>
      </c>
      <c r="AZ142" s="1240">
        <f>+IFERROR(HLOOKUP(AZ8,'סקרי נכסים-יתרות פתיחה'!$2:$110,34,0),0)-IFERROR(HLOOKUP(AZ8,'סקרי נכסים-יתרות פתיחה'!$2:$110,93,0),0)*(1-AZ$309)</f>
        <v>0</v>
      </c>
      <c r="BA142" s="1240">
        <f>+IFERROR(HLOOKUP(BA8,'סקרי נכסים-יתרות פתיחה'!$2:$110,34,0),0)-IFERROR(HLOOKUP(BA8,'סקרי נכסים-יתרות פתיחה'!$2:$110,93,0),0)*(1-BA$309)</f>
        <v>0</v>
      </c>
      <c r="BB142" s="1240">
        <f>+IFERROR(HLOOKUP(BB8,'סקרי נכסים-יתרות פתיחה'!$2:$110,34,0),0)-IFERROR(HLOOKUP(BB8,'סקרי נכסים-יתרות פתיחה'!$2:$110,93,0),0)*(1-BB$309)</f>
        <v>25645460</v>
      </c>
      <c r="BC142" s="1240">
        <f>+IFERROR(HLOOKUP(BC8,'סקרי נכסים-יתרות פתיחה'!$2:$110,34,0),0)-IFERROR(HLOOKUP(BC8,'סקרי נכסים-יתרות פתיחה'!$2:$110,93,0),0)*(1-BC$309)</f>
        <v>31847470</v>
      </c>
      <c r="BD142" s="1240">
        <f>+IFERROR(HLOOKUP(BD8,'סקרי נכסים-יתרות פתיחה'!$2:$110,34,0),0)-IFERROR(HLOOKUP(BD8,'סקרי נכסים-יתרות פתיחה'!$2:$110,93,0),0)*(1-BD$309)</f>
        <v>0</v>
      </c>
      <c r="BE142" s="1240">
        <f>+IFERROR(HLOOKUP(BE8,'סקרי נכסים-יתרות פתיחה'!$2:$110,34,0),0)-IFERROR(HLOOKUP(BE8,'סקרי נכסים-יתרות פתיחה'!$2:$110,93,0),0)*(1-BE$309)</f>
        <v>0</v>
      </c>
      <c r="BF142" s="1240">
        <f>+IFERROR(HLOOKUP(BF8,'סקרי נכסים-יתרות פתיחה'!$2:$110,34,0),0)-IFERROR(HLOOKUP(BF8,'סקרי נכסים-יתרות פתיחה'!$2:$110,93,0),0)*(1-BF$309)</f>
        <v>0</v>
      </c>
    </row>
    <row r="143" spans="1:61" x14ac:dyDescent="0.2">
      <c r="B143" s="1">
        <v>6</v>
      </c>
      <c r="C143" s="1240">
        <f>+IFERROR(HLOOKUP(C9,'סקרי נכסים-יתרות פתיחה'!$2:$110,34,0),0)-IFERROR(HLOOKUP(C9,'סקרי נכסים-יתרות פתיחה'!$2:$110,93,0),0)*(1-C$309)</f>
        <v>0</v>
      </c>
      <c r="D143" s="1240">
        <f>+IFERROR(HLOOKUP(D9,'סקרי נכסים-יתרות פתיחה'!$2:$110,34,0),0)-IFERROR(HLOOKUP(D9,'סקרי נכסים-יתרות פתיחה'!$2:$110,93,0),0)*(1-D$309)</f>
        <v>4531112</v>
      </c>
      <c r="E143" s="1240">
        <f>+IFERROR(HLOOKUP(E9,'סקרי נכסים-יתרות פתיחה'!$2:$110,34,0),0)-IFERROR(HLOOKUP(E9,'סקרי נכסים-יתרות פתיחה'!$2:$110,93,0),0)*(1-E$309)</f>
        <v>0</v>
      </c>
      <c r="F143" s="1240">
        <f>+IFERROR(HLOOKUP(F9,'סקרי נכסים-יתרות פתיחה'!$2:$110,34,0),0)-IFERROR(HLOOKUP(F9,'סקרי נכסים-יתרות פתיחה'!$2:$110,93,0),0)*(1-F$309)</f>
        <v>0</v>
      </c>
      <c r="G143" s="1240">
        <f>+IFERROR(HLOOKUP(G9,'סקרי נכסים-יתרות פתיחה'!$2:$110,34,0),0)-IFERROR(HLOOKUP(G9,'סקרי נכסים-יתרות פתיחה'!$2:$110,93,0),0)*(1-G$309)</f>
        <v>0</v>
      </c>
      <c r="H143" s="1240">
        <f>+IFERROR(HLOOKUP(H9,'סקרי נכסים-יתרות פתיחה'!$2:$110,34,0),0)-IFERROR(HLOOKUP(H9,'סקרי נכסים-יתרות פתיחה'!$2:$110,93,0),0)*(1-H$309)</f>
        <v>0</v>
      </c>
      <c r="I143" s="1240">
        <f>+IFERROR(HLOOKUP(I9,'סקרי נכסים-יתרות פתיחה'!$2:$110,34,0),0)-IFERROR(HLOOKUP(I9,'סקרי נכסים-יתרות פתיחה'!$2:$110,93,0),0)*(1-I$309)</f>
        <v>0</v>
      </c>
      <c r="J143" s="1240">
        <f>+IFERROR(HLOOKUP(J9,'סקרי נכסים-יתרות פתיחה'!$2:$110,34,0),0)-IFERROR(HLOOKUP(J9,'סקרי נכסים-יתרות פתיחה'!$2:$110,93,0),0)*(1-J$309)</f>
        <v>0</v>
      </c>
      <c r="K143" s="1240">
        <f>+IFERROR(HLOOKUP(K9,'סקרי נכסים-יתרות פתיחה'!$2:$110,34,0),0)-IFERROR(HLOOKUP(K9,'סקרי נכסים-יתרות פתיחה'!$2:$110,93,0),0)*(1-K$309)</f>
        <v>0</v>
      </c>
      <c r="L143" s="1240">
        <f>+IFERROR(HLOOKUP(L9,'סקרי נכסים-יתרות פתיחה'!$2:$110,34,0),0)-IFERROR(HLOOKUP(L9,'סקרי נכסים-יתרות פתיחה'!$2:$110,93,0),0)*(1-L$309)</f>
        <v>0</v>
      </c>
      <c r="M143" s="1240">
        <f>+IFERROR(HLOOKUP(M9,'סקרי נכסים-יתרות פתיחה'!$2:$110,34,0),0)-IFERROR(HLOOKUP(M9,'סקרי נכסים-יתרות פתיחה'!$2:$110,93,0),0)*(1-M$309)</f>
        <v>0</v>
      </c>
      <c r="N143" s="1240">
        <f>+IFERROR(HLOOKUP(N9,'סקרי נכסים-יתרות פתיחה'!$2:$110,34,0),0)-IFERROR(HLOOKUP(N9,'סקרי נכסים-יתרות פתיחה'!$2:$110,93,0),0)*(1-N$309)</f>
        <v>0</v>
      </c>
      <c r="O143" s="1240">
        <f>+IFERROR(HLOOKUP(O9,'סקרי נכסים-יתרות פתיחה'!$2:$110,34,0),0)-IFERROR(HLOOKUP(O9,'סקרי נכסים-יתרות פתיחה'!$2:$110,93,0),0)*(1-O$309)</f>
        <v>0</v>
      </c>
      <c r="P143" s="1240">
        <f>+IFERROR(HLOOKUP(P9,'סקרי נכסים-יתרות פתיחה'!$2:$110,34,0),0)-IFERROR(HLOOKUP(P9,'סקרי נכסים-יתרות פתיחה'!$2:$110,93,0),0)*(1-P$309)</f>
        <v>10381140</v>
      </c>
      <c r="Q143" s="1240">
        <f>+IFERROR(HLOOKUP(Q9,'סקרי נכסים-יתרות פתיחה'!$2:$110,34,0),0)-IFERROR(HLOOKUP(Q9,'סקרי נכסים-יתרות פתיחה'!$2:$110,93,0),0)*(1-Q$309)</f>
        <v>0</v>
      </c>
      <c r="R143" s="1240">
        <f>+IFERROR(HLOOKUP(R9,'סקרי נכסים-יתרות פתיחה'!$2:$110,34,0),0)-IFERROR(HLOOKUP(R9,'סקרי נכסים-יתרות פתיחה'!$2:$110,93,0),0)*(1-R$309)</f>
        <v>0</v>
      </c>
      <c r="S143" s="1240">
        <f>+IFERROR(HLOOKUP(S9,'סקרי נכסים-יתרות פתיחה'!$2:$110,34,0),0)-IFERROR(HLOOKUP(S9,'סקרי נכסים-יתרות פתיחה'!$2:$110,93,0),0)*(1-S$309)</f>
        <v>0</v>
      </c>
      <c r="T143" s="1240">
        <f>+IFERROR(HLOOKUP(T9,'סקרי נכסים-יתרות פתיחה'!$2:$110,34,0),0)-IFERROR(HLOOKUP(T9,'סקרי נכסים-יתרות פתיחה'!$2:$110,93,0),0)*(1-T$309)</f>
        <v>0</v>
      </c>
      <c r="U143" s="1240">
        <f>+IFERROR(HLOOKUP(U9,'סקרי נכסים-יתרות פתיחה'!$2:$110,34,0),0)-IFERROR(HLOOKUP(U9,'סקרי נכסים-יתרות פתיחה'!$2:$110,93,0),0)*(1-U$309)</f>
        <v>0</v>
      </c>
      <c r="V143" s="1240">
        <f>+IFERROR(HLOOKUP(V9,'סקרי נכסים-יתרות פתיחה'!$2:$110,34,0),0)-IFERROR(HLOOKUP(V9,'סקרי נכסים-יתרות פתיחה'!$2:$110,93,0),0)*(1-V$309)</f>
        <v>7078080</v>
      </c>
      <c r="W143" s="1240">
        <f>+IFERROR(HLOOKUP(W9,'סקרי נכסים-יתרות פתיחה'!$2:$110,34,0),0)-IFERROR(HLOOKUP(W9,'סקרי נכסים-יתרות פתיחה'!$2:$110,93,0),0)*(1-W$309)</f>
        <v>17641226</v>
      </c>
      <c r="X143" s="1240">
        <f>+IFERROR(HLOOKUP(X9,'סקרי נכסים-יתרות פתיחה'!$2:$110,34,0),0)-IFERROR(HLOOKUP(X9,'סקרי נכסים-יתרות פתיחה'!$2:$110,93,0),0)*(1-X$309)</f>
        <v>0</v>
      </c>
      <c r="Y143" s="1240">
        <f>+IFERROR(HLOOKUP(Y9,'סקרי נכסים-יתרות פתיחה'!$2:$110,34,0),0)-IFERROR(HLOOKUP(Y9,'סקרי נכסים-יתרות פתיחה'!$2:$110,93,0),0)*(1-Y$309)</f>
        <v>0</v>
      </c>
      <c r="Z143" s="1240">
        <f>+IFERROR(HLOOKUP(Z9,'סקרי נכסים-יתרות פתיחה'!$2:$110,34,0),0)-IFERROR(HLOOKUP(Z9,'סקרי נכסים-יתרות פתיחה'!$2:$110,93,0),0)*(1-Z$309)</f>
        <v>0</v>
      </c>
      <c r="AA143" s="1240">
        <f>+IFERROR(HLOOKUP(AA9,'סקרי נכסים-יתרות פתיחה'!$2:$110,34,0),0)-IFERROR(HLOOKUP(AA9,'סקרי נכסים-יתרות פתיחה'!$2:$110,93,0),0)*(1-AA$309)</f>
        <v>0</v>
      </c>
      <c r="AB143" s="1240">
        <f>+IFERROR(HLOOKUP(AB9,'סקרי נכסים-יתרות פתיחה'!$2:$110,34,0),0)-IFERROR(HLOOKUP(AB9,'סקרי נכסים-יתרות פתיחה'!$2:$110,93,0),0)*(1-AB$309)</f>
        <v>0</v>
      </c>
      <c r="AC143" s="1240">
        <f>+IFERROR(HLOOKUP(AC9,'סקרי נכסים-יתרות פתיחה'!$2:$110,34,0),0)-IFERROR(HLOOKUP(AC9,'סקרי נכסים-יתרות פתיחה'!$2:$110,93,0),0)*(1-AC$309)</f>
        <v>0</v>
      </c>
      <c r="AD143" s="1240">
        <f>+IFERROR(HLOOKUP(AD9,'סקרי נכסים-יתרות פתיחה'!$2:$110,34,0),0)-IFERROR(HLOOKUP(AD9,'סקרי נכסים-יתרות פתיחה'!$2:$110,93,0),0)*(1-AD$309)</f>
        <v>0</v>
      </c>
      <c r="AE143" s="1240">
        <f>+IFERROR(HLOOKUP(AE9,'סקרי נכסים-יתרות פתיחה'!$2:$110,34,0),0)-IFERROR(HLOOKUP(AE9,'סקרי נכסים-יתרות פתיחה'!$2:$110,93,0),0)*(1-AE$309)</f>
        <v>0</v>
      </c>
      <c r="AF143" s="1240">
        <f>+IFERROR(HLOOKUP(AF9,'סקרי נכסים-יתרות פתיחה'!$2:$110,34,0),0)-IFERROR(HLOOKUP(AF9,'סקרי נכסים-יתרות פתיחה'!$2:$110,93,0),0)*(1-AF$309)</f>
        <v>0</v>
      </c>
      <c r="AG143" s="1240">
        <f>+IFERROR(HLOOKUP(AG9,'סקרי נכסים-יתרות פתיחה'!$2:$110,34,0),0)-IFERROR(HLOOKUP(AG9,'סקרי נכסים-יתרות פתיחה'!$2:$110,93,0),0)*(1-AG$309)</f>
        <v>0</v>
      </c>
      <c r="AH143" s="1240">
        <f>+IFERROR(HLOOKUP(AH9,'סקרי נכסים-יתרות פתיחה'!$2:$110,34,0),0)-IFERROR(HLOOKUP(AH9,'סקרי נכסים-יתרות פתיחה'!$2:$110,93,0),0)*(1-AH$309)</f>
        <v>0</v>
      </c>
      <c r="AI143" s="1240">
        <f>+IFERROR(HLOOKUP(AI9,'סקרי נכסים-יתרות פתיחה'!$2:$110,34,0),0)-IFERROR(HLOOKUP(AI9,'סקרי נכסים-יתרות פתיחה'!$2:$110,93,0),0)*(1-AI$309)</f>
        <v>0</v>
      </c>
      <c r="AJ143" s="1240">
        <f>+IFERROR(HLOOKUP(AJ9,'סקרי נכסים-יתרות פתיחה'!$2:$110,34,0),0)-IFERROR(HLOOKUP(AJ9,'סקרי נכסים-יתרות פתיחה'!$2:$110,93,0),0)*(1-AJ$309)</f>
        <v>0</v>
      </c>
      <c r="AK143" s="1240">
        <f>+IFERROR(HLOOKUP(AK9,'סקרי נכסים-יתרות פתיחה'!$2:$110,34,0),0)-IFERROR(HLOOKUP(AK9,'סקרי נכסים-יתרות פתיחה'!$2:$110,93,0),0)*(1-AK$309)</f>
        <v>0</v>
      </c>
      <c r="AL143" s="1240">
        <f>+IFERROR(HLOOKUP(AL9,'סקרי נכסים-יתרות פתיחה'!$2:$110,34,0),0)-IFERROR(HLOOKUP(AL9,'סקרי נכסים-יתרות פתיחה'!$2:$110,93,0),0)*(1-AL$309)</f>
        <v>0</v>
      </c>
      <c r="AM143" s="1240">
        <f>+IFERROR(HLOOKUP(AM9,'סקרי נכסים-יתרות פתיחה'!$2:$110,34,0),0)-IFERROR(HLOOKUP(AM9,'סקרי נכסים-יתרות פתיחה'!$2:$110,93,0),0)*(1-AM$309)</f>
        <v>0</v>
      </c>
      <c r="AN143" s="1240">
        <f>+IFERROR(HLOOKUP(AN9,'סקרי נכסים-יתרות פתיחה'!$2:$110,34,0),0)-IFERROR(HLOOKUP(AN9,'סקרי נכסים-יתרות פתיחה'!$2:$110,93,0),0)*(1-AN$309)</f>
        <v>18746240</v>
      </c>
      <c r="AO143" s="1240">
        <f>+IFERROR(HLOOKUP(AO9,'סקרי נכסים-יתרות פתיחה'!$2:$110,34,0),0)-IFERROR(HLOOKUP(AO9,'סקרי נכסים-יתרות פתיחה'!$2:$110,93,0),0)*(1-AO$309)</f>
        <v>0</v>
      </c>
      <c r="AP143" s="1240">
        <f>+IFERROR(HLOOKUP(AP9,'סקרי נכסים-יתרות פתיחה'!$2:$110,34,0),0)-IFERROR(HLOOKUP(AP9,'סקרי נכסים-יתרות פתיחה'!$2:$110,93,0),0)*(1-AP$309)</f>
        <v>0</v>
      </c>
      <c r="AQ143" s="1240">
        <f>+IFERROR(HLOOKUP(AQ9,'סקרי נכסים-יתרות פתיחה'!$2:$110,34,0),0)-IFERROR(HLOOKUP(AQ9,'סקרי נכסים-יתרות פתיחה'!$2:$110,93,0),0)*(1-AQ$309)</f>
        <v>0</v>
      </c>
      <c r="AR143" s="1240">
        <f>+IFERROR(HLOOKUP(AR9,'סקרי נכסים-יתרות פתיחה'!$2:$110,34,0),0)-IFERROR(HLOOKUP(AR9,'סקרי נכסים-יתרות פתיחה'!$2:$110,93,0),0)*(1-AR$309)</f>
        <v>0</v>
      </c>
      <c r="AS143" s="1240">
        <f>+IFERROR(HLOOKUP(AS9,'סקרי נכסים-יתרות פתיחה'!$2:$110,34,0),0)-IFERROR(HLOOKUP(AS9,'סקרי נכסים-יתרות פתיחה'!$2:$110,93,0),0)*(1-AS$309)</f>
        <v>9746220</v>
      </c>
      <c r="AT143" s="1240">
        <f>+IFERROR(HLOOKUP(AT9,'סקרי נכסים-יתרות פתיחה'!$2:$110,34,0),0)-IFERROR(HLOOKUP(AT9,'סקרי נכסים-יתרות פתיחה'!$2:$110,93,0),0)*(1-AT$309)</f>
        <v>0</v>
      </c>
      <c r="AU143" s="1240">
        <f>+IFERROR(HLOOKUP(AU9,'סקרי נכסים-יתרות פתיחה'!$2:$110,34,0),0)-IFERROR(HLOOKUP(AU9,'סקרי נכסים-יתרות פתיחה'!$2:$110,93,0),0)*(1-AU$309)</f>
        <v>0</v>
      </c>
      <c r="AV143" s="1240">
        <f>+IFERROR(HLOOKUP(AV9,'סקרי נכסים-יתרות פתיחה'!$2:$110,34,0),0)-IFERROR(HLOOKUP(AV9,'סקרי נכסים-יתרות פתיחה'!$2:$110,93,0),0)*(1-AV$309)</f>
        <v>0</v>
      </c>
      <c r="AW143" s="1240">
        <f>+IFERROR(HLOOKUP(AW9,'סקרי נכסים-יתרות פתיחה'!$2:$110,34,0),0)-IFERROR(HLOOKUP(AW9,'סקרי נכסים-יתרות פתיחה'!$2:$110,93,0),0)*(1-AW$309)</f>
        <v>0</v>
      </c>
      <c r="AX143" s="1240">
        <f>+IFERROR(HLOOKUP(AX9,'סקרי נכסים-יתרות פתיחה'!$2:$110,34,0),0)-IFERROR(HLOOKUP(AX9,'סקרי נכסים-יתרות פתיחה'!$2:$110,93,0),0)*(1-AX$309)</f>
        <v>0</v>
      </c>
      <c r="AY143" s="1240">
        <f>+IFERROR(HLOOKUP(AY9,'סקרי נכסים-יתרות פתיחה'!$2:$110,34,0),0)-IFERROR(HLOOKUP(AY9,'סקרי נכסים-יתרות פתיחה'!$2:$110,93,0),0)*(1-AY$309)</f>
        <v>0</v>
      </c>
      <c r="AZ143" s="1240">
        <f>+IFERROR(HLOOKUP(AZ9,'סקרי נכסים-יתרות פתיחה'!$2:$110,34,0),0)-IFERROR(HLOOKUP(AZ9,'סקרי נכסים-יתרות פתיחה'!$2:$110,93,0),0)*(1-AZ$309)</f>
        <v>0</v>
      </c>
      <c r="BA143" s="1240">
        <f>+IFERROR(HLOOKUP(BA9,'סקרי נכסים-יתרות פתיחה'!$2:$110,34,0),0)-IFERROR(HLOOKUP(BA9,'סקרי נכסים-יתרות פתיחה'!$2:$110,93,0),0)*(1-BA$309)</f>
        <v>0</v>
      </c>
      <c r="BB143" s="1240">
        <f>+IFERROR(HLOOKUP(BB9,'סקרי נכסים-יתרות פתיחה'!$2:$110,34,0),0)-IFERROR(HLOOKUP(BB9,'סקרי נכסים-יתרות פתיחה'!$2:$110,93,0),0)*(1-BB$309)</f>
        <v>2391407</v>
      </c>
      <c r="BC143" s="1240">
        <f>+IFERROR(HLOOKUP(BC9,'סקרי נכסים-יתרות פתיחה'!$2:$110,34,0),0)-IFERROR(HLOOKUP(BC9,'סקרי נכסים-יתרות פתיחה'!$2:$110,93,0),0)*(1-BC$309)</f>
        <v>11065861</v>
      </c>
      <c r="BD143" s="1240">
        <f>+IFERROR(HLOOKUP(BD9,'סקרי נכסים-יתרות פתיחה'!$2:$110,34,0),0)-IFERROR(HLOOKUP(BD9,'סקרי נכסים-יתרות פתיחה'!$2:$110,93,0),0)*(1-BD$309)</f>
        <v>0</v>
      </c>
      <c r="BE143" s="1240">
        <f>+IFERROR(HLOOKUP(BE9,'סקרי נכסים-יתרות פתיחה'!$2:$110,34,0),0)-IFERROR(HLOOKUP(BE9,'סקרי נכסים-יתרות פתיחה'!$2:$110,93,0),0)*(1-BE$309)</f>
        <v>0</v>
      </c>
      <c r="BF143" s="1240">
        <f>+IFERROR(HLOOKUP(BF9,'סקרי נכסים-יתרות פתיחה'!$2:$110,34,0),0)-IFERROR(HLOOKUP(BF9,'סקרי נכסים-יתרות פתיחה'!$2:$110,93,0),0)*(1-BF$309)</f>
        <v>0</v>
      </c>
    </row>
    <row r="144" spans="1:61" x14ac:dyDescent="0.2">
      <c r="B144" s="1">
        <v>7</v>
      </c>
      <c r="C144" s="1240">
        <f>+IFERROR(HLOOKUP(C10,'סקרי נכסים-יתרות פתיחה'!$2:$110,34,0),0)-IFERROR(HLOOKUP(C10,'סקרי נכסים-יתרות פתיחה'!$2:$110,93,0),0)*(1-C$309)</f>
        <v>0</v>
      </c>
      <c r="D144" s="1240">
        <f>+IFERROR(HLOOKUP(D10,'סקרי נכסים-יתרות פתיחה'!$2:$110,34,0),0)-IFERROR(HLOOKUP(D10,'סקרי נכסים-יתרות פתיחה'!$2:$110,93,0),0)*(1-D$309)</f>
        <v>6274890</v>
      </c>
      <c r="E144" s="1240">
        <f>+IFERROR(HLOOKUP(E10,'סקרי נכסים-יתרות פתיחה'!$2:$110,34,0),0)-IFERROR(HLOOKUP(E10,'סקרי נכסים-יתרות פתיחה'!$2:$110,93,0),0)*(1-E$309)</f>
        <v>0</v>
      </c>
      <c r="F144" s="1240">
        <f>+IFERROR(HLOOKUP(F10,'סקרי נכסים-יתרות פתיחה'!$2:$110,34,0),0)-IFERROR(HLOOKUP(F10,'סקרי נכסים-יתרות פתיחה'!$2:$110,93,0),0)*(1-F$309)</f>
        <v>0</v>
      </c>
      <c r="G144" s="1240">
        <f>+IFERROR(HLOOKUP(G10,'סקרי נכסים-יתרות פתיחה'!$2:$110,34,0),0)-IFERROR(HLOOKUP(G10,'סקרי נכסים-יתרות פתיחה'!$2:$110,93,0),0)*(1-G$309)</f>
        <v>0</v>
      </c>
      <c r="H144" s="1240">
        <f>+IFERROR(HLOOKUP(H10,'סקרי נכסים-יתרות פתיחה'!$2:$110,34,0),0)-IFERROR(HLOOKUP(H10,'סקרי נכסים-יתרות פתיחה'!$2:$110,93,0),0)*(1-H$309)</f>
        <v>0</v>
      </c>
      <c r="I144" s="1240">
        <f>+IFERROR(HLOOKUP(I10,'סקרי נכסים-יתרות פתיחה'!$2:$110,34,0),0)-IFERROR(HLOOKUP(I10,'סקרי נכסים-יתרות פתיחה'!$2:$110,93,0),0)*(1-I$309)</f>
        <v>0</v>
      </c>
      <c r="J144" s="1240">
        <f>+IFERROR(HLOOKUP(J10,'סקרי נכסים-יתרות פתיחה'!$2:$110,34,0),0)-IFERROR(HLOOKUP(J10,'סקרי נכסים-יתרות פתיחה'!$2:$110,93,0),0)*(1-J$309)</f>
        <v>0</v>
      </c>
      <c r="K144" s="1240">
        <f>+IFERROR(HLOOKUP(K10,'סקרי נכסים-יתרות פתיחה'!$2:$110,34,0),0)-IFERROR(HLOOKUP(K10,'סקרי נכסים-יתרות פתיחה'!$2:$110,93,0),0)*(1-K$309)</f>
        <v>0</v>
      </c>
      <c r="L144" s="1240">
        <f>+IFERROR(HLOOKUP(L10,'סקרי נכסים-יתרות פתיחה'!$2:$110,34,0),0)-IFERROR(HLOOKUP(L10,'סקרי נכסים-יתרות פתיחה'!$2:$110,93,0),0)*(1-L$309)</f>
        <v>0</v>
      </c>
      <c r="M144" s="1240">
        <f>+IFERROR(HLOOKUP(M10,'סקרי נכסים-יתרות פתיחה'!$2:$110,34,0),0)-IFERROR(HLOOKUP(M10,'סקרי נכסים-יתרות פתיחה'!$2:$110,93,0),0)*(1-M$309)</f>
        <v>0</v>
      </c>
      <c r="N144" s="1240">
        <f>+IFERROR(HLOOKUP(N10,'סקרי נכסים-יתרות פתיחה'!$2:$110,34,0),0)-IFERROR(HLOOKUP(N10,'סקרי נכסים-יתרות פתיחה'!$2:$110,93,0),0)*(1-N$309)</f>
        <v>0</v>
      </c>
      <c r="O144" s="1240">
        <f>+IFERROR(HLOOKUP(O10,'סקרי נכסים-יתרות פתיחה'!$2:$110,34,0),0)-IFERROR(HLOOKUP(O10,'סקרי נכסים-יתרות פתיחה'!$2:$110,93,0),0)*(1-O$309)</f>
        <v>0</v>
      </c>
      <c r="P144" s="1240">
        <f>+IFERROR(HLOOKUP(P10,'סקרי נכסים-יתרות פתיחה'!$2:$110,34,0),0)-IFERROR(HLOOKUP(P10,'סקרי נכסים-יתרות פתיחה'!$2:$110,93,0),0)*(1-P$309)</f>
        <v>11733305</v>
      </c>
      <c r="Q144" s="1240">
        <f>+IFERROR(HLOOKUP(Q10,'סקרי נכסים-יתרות פתיחה'!$2:$110,34,0),0)-IFERROR(HLOOKUP(Q10,'סקרי נכסים-יתרות פתיחה'!$2:$110,93,0),0)*(1-Q$309)</f>
        <v>0</v>
      </c>
      <c r="R144" s="1240">
        <f>+IFERROR(HLOOKUP(R10,'סקרי נכסים-יתרות פתיחה'!$2:$110,34,0),0)-IFERROR(HLOOKUP(R10,'סקרי נכסים-יתרות פתיחה'!$2:$110,93,0),0)*(1-R$309)</f>
        <v>0</v>
      </c>
      <c r="S144" s="1240">
        <f>+IFERROR(HLOOKUP(S10,'סקרי נכסים-יתרות פתיחה'!$2:$110,34,0),0)-IFERROR(HLOOKUP(S10,'סקרי נכסים-יתרות פתיחה'!$2:$110,93,0),0)*(1-S$309)</f>
        <v>0</v>
      </c>
      <c r="T144" s="1240">
        <f>+IFERROR(HLOOKUP(T10,'סקרי נכסים-יתרות פתיחה'!$2:$110,34,0),0)-IFERROR(HLOOKUP(T10,'סקרי נכסים-יתרות פתיחה'!$2:$110,93,0),0)*(1-T$309)</f>
        <v>0</v>
      </c>
      <c r="U144" s="1240">
        <f>+IFERROR(HLOOKUP(U10,'סקרי נכסים-יתרות פתיחה'!$2:$110,34,0),0)-IFERROR(HLOOKUP(U10,'סקרי נכסים-יתרות פתיחה'!$2:$110,93,0),0)*(1-U$309)</f>
        <v>0</v>
      </c>
      <c r="V144" s="1240">
        <f>+IFERROR(HLOOKUP(V10,'סקרי נכסים-יתרות פתיחה'!$2:$110,34,0),0)-IFERROR(HLOOKUP(V10,'סקרי נכסים-יתרות פתיחה'!$2:$110,93,0),0)*(1-V$309)</f>
        <v>9866473</v>
      </c>
      <c r="W144" s="1240">
        <f>+IFERROR(HLOOKUP(W10,'סקרי נכסים-יתרות פתיחה'!$2:$110,34,0),0)-IFERROR(HLOOKUP(W10,'סקרי נכסים-יתרות פתיחה'!$2:$110,93,0),0)*(1-W$309)</f>
        <v>0</v>
      </c>
      <c r="X144" s="1240">
        <f>+IFERROR(HLOOKUP(X10,'סקרי נכסים-יתרות פתיחה'!$2:$110,34,0),0)-IFERROR(HLOOKUP(X10,'סקרי נכסים-יתרות פתיחה'!$2:$110,93,0),0)*(1-X$309)</f>
        <v>0</v>
      </c>
      <c r="Y144" s="1240">
        <f>+IFERROR(HLOOKUP(Y10,'סקרי נכסים-יתרות פתיחה'!$2:$110,34,0),0)-IFERROR(HLOOKUP(Y10,'סקרי נכסים-יתרות פתיחה'!$2:$110,93,0),0)*(1-Y$309)</f>
        <v>0</v>
      </c>
      <c r="Z144" s="1240">
        <f>+IFERROR(HLOOKUP(Z10,'סקרי נכסים-יתרות פתיחה'!$2:$110,34,0),0)-IFERROR(HLOOKUP(Z10,'סקרי נכסים-יתרות פתיחה'!$2:$110,93,0),0)*(1-Z$309)</f>
        <v>0</v>
      </c>
      <c r="AA144" s="1240">
        <f>+IFERROR(HLOOKUP(AA10,'סקרי נכסים-יתרות פתיחה'!$2:$110,34,0),0)-IFERROR(HLOOKUP(AA10,'סקרי נכסים-יתרות פתיחה'!$2:$110,93,0),0)*(1-AA$309)</f>
        <v>0</v>
      </c>
      <c r="AB144" s="1240">
        <f>+IFERROR(HLOOKUP(AB10,'סקרי נכסים-יתרות פתיחה'!$2:$110,34,0),0)-IFERROR(HLOOKUP(AB10,'סקרי נכסים-יתרות פתיחה'!$2:$110,93,0),0)*(1-AB$309)</f>
        <v>0</v>
      </c>
      <c r="AC144" s="1240">
        <f>+IFERROR(HLOOKUP(AC10,'סקרי נכסים-יתרות פתיחה'!$2:$110,34,0),0)-IFERROR(HLOOKUP(AC10,'סקרי נכסים-יתרות פתיחה'!$2:$110,93,0),0)*(1-AC$309)</f>
        <v>0</v>
      </c>
      <c r="AD144" s="1240">
        <f>+IFERROR(HLOOKUP(AD10,'סקרי נכסים-יתרות פתיחה'!$2:$110,34,0),0)-IFERROR(HLOOKUP(AD10,'סקרי נכסים-יתרות פתיחה'!$2:$110,93,0),0)*(1-AD$309)</f>
        <v>0</v>
      </c>
      <c r="AE144" s="1240">
        <f>+IFERROR(HLOOKUP(AE10,'סקרי נכסים-יתרות פתיחה'!$2:$110,34,0),0)-IFERROR(HLOOKUP(AE10,'סקרי נכסים-יתרות פתיחה'!$2:$110,93,0),0)*(1-AE$309)</f>
        <v>0</v>
      </c>
      <c r="AF144" s="1240">
        <f>+IFERROR(HLOOKUP(AF10,'סקרי נכסים-יתרות פתיחה'!$2:$110,34,0),0)-IFERROR(HLOOKUP(AF10,'סקרי נכסים-יתרות פתיחה'!$2:$110,93,0),0)*(1-AF$309)</f>
        <v>0</v>
      </c>
      <c r="AG144" s="1240">
        <f>+IFERROR(HLOOKUP(AG10,'סקרי נכסים-יתרות פתיחה'!$2:$110,34,0),0)-IFERROR(HLOOKUP(AG10,'סקרי נכסים-יתרות פתיחה'!$2:$110,93,0),0)*(1-AG$309)</f>
        <v>0</v>
      </c>
      <c r="AH144" s="1240">
        <f>+IFERROR(HLOOKUP(AH10,'סקרי נכסים-יתרות פתיחה'!$2:$110,34,0),0)-IFERROR(HLOOKUP(AH10,'סקרי נכסים-יתרות פתיחה'!$2:$110,93,0),0)*(1-AH$309)</f>
        <v>0</v>
      </c>
      <c r="AI144" s="1240">
        <f>+IFERROR(HLOOKUP(AI10,'סקרי נכסים-יתרות פתיחה'!$2:$110,34,0),0)-IFERROR(HLOOKUP(AI10,'סקרי נכסים-יתרות פתיחה'!$2:$110,93,0),0)*(1-AI$309)</f>
        <v>0</v>
      </c>
      <c r="AJ144" s="1240">
        <f>+IFERROR(HLOOKUP(AJ10,'סקרי נכסים-יתרות פתיחה'!$2:$110,34,0),0)-IFERROR(HLOOKUP(AJ10,'סקרי נכסים-יתרות פתיחה'!$2:$110,93,0),0)*(1-AJ$309)</f>
        <v>0</v>
      </c>
      <c r="AK144" s="1240">
        <f>+IFERROR(HLOOKUP(AK10,'סקרי נכסים-יתרות פתיחה'!$2:$110,34,0),0)-IFERROR(HLOOKUP(AK10,'סקרי נכסים-יתרות פתיחה'!$2:$110,93,0),0)*(1-AK$309)</f>
        <v>0</v>
      </c>
      <c r="AL144" s="1240">
        <f>+IFERROR(HLOOKUP(AL10,'סקרי נכסים-יתרות פתיחה'!$2:$110,34,0),0)-IFERROR(HLOOKUP(AL10,'סקרי נכסים-יתרות פתיחה'!$2:$110,93,0),0)*(1-AL$309)</f>
        <v>0</v>
      </c>
      <c r="AM144" s="1240">
        <f>+IFERROR(HLOOKUP(AM10,'סקרי נכסים-יתרות פתיחה'!$2:$110,34,0),0)-IFERROR(HLOOKUP(AM10,'סקרי נכסים-יתרות פתיחה'!$2:$110,93,0),0)*(1-AM$309)</f>
        <v>0</v>
      </c>
      <c r="AN144" s="1240">
        <f>+IFERROR(HLOOKUP(AN10,'סקרי נכסים-יתרות פתיחה'!$2:$110,34,0),0)-IFERROR(HLOOKUP(AN10,'סקרי נכסים-יתרות פתיחה'!$2:$110,93,0),0)*(1-AN$309)</f>
        <v>0</v>
      </c>
      <c r="AO144" s="1240">
        <f>+IFERROR(HLOOKUP(AO10,'סקרי נכסים-יתרות פתיחה'!$2:$110,34,0),0)-IFERROR(HLOOKUP(AO10,'סקרי נכסים-יתרות פתיחה'!$2:$110,93,0),0)*(1-AO$309)</f>
        <v>0</v>
      </c>
      <c r="AP144" s="1240">
        <f>+IFERROR(HLOOKUP(AP10,'סקרי נכסים-יתרות פתיחה'!$2:$110,34,0),0)-IFERROR(HLOOKUP(AP10,'סקרי נכסים-יתרות פתיחה'!$2:$110,93,0),0)*(1-AP$309)</f>
        <v>0</v>
      </c>
      <c r="AQ144" s="1240">
        <f>+IFERROR(HLOOKUP(AQ10,'סקרי נכסים-יתרות פתיחה'!$2:$110,34,0),0)-IFERROR(HLOOKUP(AQ10,'סקרי נכסים-יתרות פתיחה'!$2:$110,93,0),0)*(1-AQ$309)</f>
        <v>0</v>
      </c>
      <c r="AR144" s="1240">
        <f>+IFERROR(HLOOKUP(AR10,'סקרי נכסים-יתרות פתיחה'!$2:$110,34,0),0)-IFERROR(HLOOKUP(AR10,'סקרי נכסים-יתרות פתיחה'!$2:$110,93,0),0)*(1-AR$309)</f>
        <v>0</v>
      </c>
      <c r="AS144" s="1240">
        <f>+IFERROR(HLOOKUP(AS10,'סקרי נכסים-יתרות פתיחה'!$2:$110,34,0),0)-IFERROR(HLOOKUP(AS10,'סקרי נכסים-יתרות פתיחה'!$2:$110,93,0),0)*(1-AS$309)</f>
        <v>6395090</v>
      </c>
      <c r="AT144" s="1240">
        <f>+IFERROR(HLOOKUP(AT10,'סקרי נכסים-יתרות פתיחה'!$2:$110,34,0),0)-IFERROR(HLOOKUP(AT10,'סקרי נכסים-יתרות פתיחה'!$2:$110,93,0),0)*(1-AT$309)</f>
        <v>0</v>
      </c>
      <c r="AU144" s="1240">
        <f>+IFERROR(HLOOKUP(AU10,'סקרי נכסים-יתרות פתיחה'!$2:$110,34,0),0)-IFERROR(HLOOKUP(AU10,'סקרי נכסים-יתרות פתיחה'!$2:$110,93,0),0)*(1-AU$309)</f>
        <v>0</v>
      </c>
      <c r="AV144" s="1240">
        <f>+IFERROR(HLOOKUP(AV10,'סקרי נכסים-יתרות פתיחה'!$2:$110,34,0),0)-IFERROR(HLOOKUP(AV10,'סקרי נכסים-יתרות פתיחה'!$2:$110,93,0),0)*(1-AV$309)</f>
        <v>0</v>
      </c>
      <c r="AW144" s="1240">
        <f>+IFERROR(HLOOKUP(AW10,'סקרי נכסים-יתרות פתיחה'!$2:$110,34,0),0)-IFERROR(HLOOKUP(AW10,'סקרי נכסים-יתרות פתיחה'!$2:$110,93,0),0)*(1-AW$309)</f>
        <v>0</v>
      </c>
      <c r="AX144" s="1240">
        <f>+IFERROR(HLOOKUP(AX10,'סקרי נכסים-יתרות פתיחה'!$2:$110,34,0),0)-IFERROR(HLOOKUP(AX10,'סקרי נכסים-יתרות פתיחה'!$2:$110,93,0),0)*(1-AX$309)</f>
        <v>0</v>
      </c>
      <c r="AY144" s="1240">
        <f>+IFERROR(HLOOKUP(AY10,'סקרי נכסים-יתרות פתיחה'!$2:$110,34,0),0)-IFERROR(HLOOKUP(AY10,'סקרי נכסים-יתרות פתיחה'!$2:$110,93,0),0)*(1-AY$309)</f>
        <v>0</v>
      </c>
      <c r="AZ144" s="1240">
        <f>+IFERROR(HLOOKUP(AZ10,'סקרי נכסים-יתרות פתיחה'!$2:$110,34,0),0)-IFERROR(HLOOKUP(AZ10,'סקרי נכסים-יתרות פתיחה'!$2:$110,93,0),0)*(1-AZ$309)</f>
        <v>0</v>
      </c>
      <c r="BA144" s="1240">
        <f>+IFERROR(HLOOKUP(BA10,'סקרי נכסים-יתרות פתיחה'!$2:$110,34,0),0)-IFERROR(HLOOKUP(BA10,'סקרי נכסים-יתרות פתיחה'!$2:$110,93,0),0)*(1-BA$309)</f>
        <v>0</v>
      </c>
      <c r="BB144" s="1240">
        <f>+IFERROR(HLOOKUP(BB10,'סקרי נכסים-יתרות פתיחה'!$2:$110,34,0),0)-IFERROR(HLOOKUP(BB10,'סקרי נכסים-יתרות פתיחה'!$2:$110,93,0),0)*(1-BB$309)</f>
        <v>14887498</v>
      </c>
      <c r="BC144" s="1240">
        <f>+IFERROR(HLOOKUP(BC10,'סקרי נכסים-יתרות פתיחה'!$2:$110,34,0),0)-IFERROR(HLOOKUP(BC10,'סקרי נכסים-יתרות פתיחה'!$2:$110,93,0),0)*(1-BC$309)</f>
        <v>11065861</v>
      </c>
      <c r="BD144" s="1240">
        <f>+IFERROR(HLOOKUP(BD10,'סקרי נכסים-יתרות פתיחה'!$2:$110,34,0),0)-IFERROR(HLOOKUP(BD10,'סקרי נכסים-יתרות פתיחה'!$2:$110,93,0),0)*(1-BD$309)</f>
        <v>0</v>
      </c>
      <c r="BE144" s="1240">
        <f>+IFERROR(HLOOKUP(BE10,'סקרי נכסים-יתרות פתיחה'!$2:$110,34,0),0)-IFERROR(HLOOKUP(BE10,'סקרי נכסים-יתרות פתיחה'!$2:$110,93,0),0)*(1-BE$309)</f>
        <v>0</v>
      </c>
      <c r="BF144" s="1240">
        <f>+IFERROR(HLOOKUP(BF10,'סקרי נכסים-יתרות פתיחה'!$2:$110,34,0),0)-IFERROR(HLOOKUP(BF10,'סקרי נכסים-יתרות פתיחה'!$2:$110,93,0),0)*(1-BF$309)</f>
        <v>0</v>
      </c>
    </row>
    <row r="145" spans="2:58" x14ac:dyDescent="0.2">
      <c r="B145" s="1">
        <v>8</v>
      </c>
      <c r="C145" s="1240">
        <f>+IFERROR(HLOOKUP(C11,'סקרי נכסים-יתרות פתיחה'!$2:$110,34,0),0)-IFERROR(HLOOKUP(C11,'סקרי נכסים-יתרות פתיחה'!$2:$110,93,0),0)*(1-C$309)</f>
        <v>0</v>
      </c>
      <c r="D145" s="1240">
        <f>+IFERROR(HLOOKUP(D11,'סקרי נכסים-יתרות פתיחה'!$2:$110,34,0),0)-IFERROR(HLOOKUP(D11,'סקרי נכסים-יתרות פתיחה'!$2:$110,93,0),0)*(1-D$309)</f>
        <v>0</v>
      </c>
      <c r="E145" s="1240">
        <f>+IFERROR(HLOOKUP(E11,'סקרי נכסים-יתרות פתיחה'!$2:$110,34,0),0)-IFERROR(HLOOKUP(E11,'סקרי נכסים-יתרות פתיחה'!$2:$110,93,0),0)*(1-E$309)</f>
        <v>0</v>
      </c>
      <c r="F145" s="1240">
        <f>+IFERROR(HLOOKUP(F11,'סקרי נכסים-יתרות פתיחה'!$2:$110,34,0),0)-IFERROR(HLOOKUP(F11,'סקרי נכסים-יתרות פתיחה'!$2:$110,93,0),0)*(1-F$309)</f>
        <v>0</v>
      </c>
      <c r="G145" s="1240">
        <f>+IFERROR(HLOOKUP(G11,'סקרי נכסים-יתרות פתיחה'!$2:$110,34,0),0)-IFERROR(HLOOKUP(G11,'סקרי נכסים-יתרות פתיחה'!$2:$110,93,0),0)*(1-G$309)</f>
        <v>0</v>
      </c>
      <c r="H145" s="1240">
        <f>+IFERROR(HLOOKUP(H11,'סקרי נכסים-יתרות פתיחה'!$2:$110,34,0),0)-IFERROR(HLOOKUP(H11,'סקרי נכסים-יתרות פתיחה'!$2:$110,93,0),0)*(1-H$309)</f>
        <v>0</v>
      </c>
      <c r="I145" s="1240">
        <f>+IFERROR(HLOOKUP(I11,'סקרי נכסים-יתרות פתיחה'!$2:$110,34,0),0)-IFERROR(HLOOKUP(I11,'סקרי נכסים-יתרות פתיחה'!$2:$110,93,0),0)*(1-I$309)</f>
        <v>0</v>
      </c>
      <c r="J145" s="1240">
        <f>+IFERROR(HLOOKUP(J11,'סקרי נכסים-יתרות פתיחה'!$2:$110,34,0),0)-IFERROR(HLOOKUP(J11,'סקרי נכסים-יתרות פתיחה'!$2:$110,93,0),0)*(1-J$309)</f>
        <v>0</v>
      </c>
      <c r="K145" s="1240">
        <f>+IFERROR(HLOOKUP(K11,'סקרי נכסים-יתרות פתיחה'!$2:$110,34,0),0)-IFERROR(HLOOKUP(K11,'סקרי נכסים-יתרות פתיחה'!$2:$110,93,0),0)*(1-K$309)</f>
        <v>0</v>
      </c>
      <c r="L145" s="1240">
        <f>+IFERROR(HLOOKUP(L11,'סקרי נכסים-יתרות פתיחה'!$2:$110,34,0),0)-IFERROR(HLOOKUP(L11,'סקרי נכסים-יתרות פתיחה'!$2:$110,93,0),0)*(1-L$309)</f>
        <v>0</v>
      </c>
      <c r="M145" s="1240">
        <f>+IFERROR(HLOOKUP(M11,'סקרי נכסים-יתרות פתיחה'!$2:$110,34,0),0)-IFERROR(HLOOKUP(M11,'סקרי נכסים-יתרות פתיחה'!$2:$110,93,0),0)*(1-M$309)</f>
        <v>0</v>
      </c>
      <c r="N145" s="1240">
        <f>+IFERROR(HLOOKUP(N11,'סקרי נכסים-יתרות פתיחה'!$2:$110,34,0),0)-IFERROR(HLOOKUP(N11,'סקרי נכסים-יתרות פתיחה'!$2:$110,93,0),0)*(1-N$309)</f>
        <v>0</v>
      </c>
      <c r="O145" s="1240">
        <f>+IFERROR(HLOOKUP(O11,'סקרי נכסים-יתרות פתיחה'!$2:$110,34,0),0)-IFERROR(HLOOKUP(O11,'סקרי נכסים-יתרות פתיחה'!$2:$110,93,0),0)*(1-O$309)</f>
        <v>0</v>
      </c>
      <c r="P145" s="1240">
        <f>+IFERROR(HLOOKUP(P11,'סקרי נכסים-יתרות פתיחה'!$2:$110,34,0),0)-IFERROR(HLOOKUP(P11,'סקרי נכסים-יתרות פתיחה'!$2:$110,93,0),0)*(1-P$309)</f>
        <v>8626739</v>
      </c>
      <c r="Q145" s="1240">
        <f>+IFERROR(HLOOKUP(Q11,'סקרי נכסים-יתרות פתיחה'!$2:$110,34,0),0)-IFERROR(HLOOKUP(Q11,'סקרי נכסים-יתרות פתיחה'!$2:$110,93,0),0)*(1-Q$309)</f>
        <v>0</v>
      </c>
      <c r="R145" s="1240">
        <f>+IFERROR(HLOOKUP(R11,'סקרי נכסים-יתרות פתיחה'!$2:$110,34,0),0)-IFERROR(HLOOKUP(R11,'סקרי נכסים-יתרות פתיחה'!$2:$110,93,0),0)*(1-R$309)</f>
        <v>0</v>
      </c>
      <c r="S145" s="1240">
        <f>+IFERROR(HLOOKUP(S11,'סקרי נכסים-יתרות פתיחה'!$2:$110,34,0),0)-IFERROR(HLOOKUP(S11,'סקרי נכסים-יתרות פתיחה'!$2:$110,93,0),0)*(1-S$309)</f>
        <v>0</v>
      </c>
      <c r="T145" s="1240">
        <f>+IFERROR(HLOOKUP(T11,'סקרי נכסים-יתרות פתיחה'!$2:$110,34,0),0)-IFERROR(HLOOKUP(T11,'סקרי נכסים-יתרות פתיחה'!$2:$110,93,0),0)*(1-T$309)</f>
        <v>0</v>
      </c>
      <c r="U145" s="1240">
        <f>+IFERROR(HLOOKUP(U11,'סקרי נכסים-יתרות פתיחה'!$2:$110,34,0),0)-IFERROR(HLOOKUP(U11,'סקרי נכסים-יתרות פתיחה'!$2:$110,93,0),0)*(1-U$309)</f>
        <v>0</v>
      </c>
      <c r="V145" s="1240">
        <f>+IFERROR(HLOOKUP(V11,'סקרי נכסים-יתרות פתיחה'!$2:$110,34,0),0)-IFERROR(HLOOKUP(V11,'סקרי נכסים-יתרות פתיחה'!$2:$110,93,0),0)*(1-V$309)</f>
        <v>0</v>
      </c>
      <c r="W145" s="1240">
        <f>+IFERROR(HLOOKUP(W11,'סקרי נכסים-יתרות פתיחה'!$2:$110,34,0),0)-IFERROR(HLOOKUP(W11,'סקרי נכסים-יתרות פתיחה'!$2:$110,93,0),0)*(1-W$309)</f>
        <v>0</v>
      </c>
      <c r="X145" s="1240">
        <f>+IFERROR(HLOOKUP(X11,'סקרי נכסים-יתרות פתיחה'!$2:$110,34,0),0)-IFERROR(HLOOKUP(X11,'סקרי נכסים-יתרות פתיחה'!$2:$110,93,0),0)*(1-X$309)</f>
        <v>0</v>
      </c>
      <c r="Y145" s="1240">
        <f>+IFERROR(HLOOKUP(Y11,'סקרי נכסים-יתרות פתיחה'!$2:$110,34,0),0)-IFERROR(HLOOKUP(Y11,'סקרי נכסים-יתרות פתיחה'!$2:$110,93,0),0)*(1-Y$309)</f>
        <v>0</v>
      </c>
      <c r="Z145" s="1240">
        <f>+IFERROR(HLOOKUP(Z11,'סקרי נכסים-יתרות פתיחה'!$2:$110,34,0),0)-IFERROR(HLOOKUP(Z11,'סקרי נכסים-יתרות פתיחה'!$2:$110,93,0),0)*(1-Z$309)</f>
        <v>0</v>
      </c>
      <c r="AA145" s="1240">
        <f>+IFERROR(HLOOKUP(AA11,'סקרי נכסים-יתרות פתיחה'!$2:$110,34,0),0)-IFERROR(HLOOKUP(AA11,'סקרי נכסים-יתרות פתיחה'!$2:$110,93,0),0)*(1-AA$309)</f>
        <v>0</v>
      </c>
      <c r="AB145" s="1240">
        <f>+IFERROR(HLOOKUP(AB11,'סקרי נכסים-יתרות פתיחה'!$2:$110,34,0),0)-IFERROR(HLOOKUP(AB11,'סקרי נכסים-יתרות פתיחה'!$2:$110,93,0),0)*(1-AB$309)</f>
        <v>0</v>
      </c>
      <c r="AC145" s="1240">
        <f>+IFERROR(HLOOKUP(AC11,'סקרי נכסים-יתרות פתיחה'!$2:$110,34,0),0)-IFERROR(HLOOKUP(AC11,'סקרי נכסים-יתרות פתיחה'!$2:$110,93,0),0)*(1-AC$309)</f>
        <v>0</v>
      </c>
      <c r="AD145" s="1240">
        <f>+IFERROR(HLOOKUP(AD11,'סקרי נכסים-יתרות פתיחה'!$2:$110,34,0),0)-IFERROR(HLOOKUP(AD11,'סקרי נכסים-יתרות פתיחה'!$2:$110,93,0),0)*(1-AD$309)</f>
        <v>0</v>
      </c>
      <c r="AE145" s="1240">
        <f>+IFERROR(HLOOKUP(AE11,'סקרי נכסים-יתרות פתיחה'!$2:$110,34,0),0)-IFERROR(HLOOKUP(AE11,'סקרי נכסים-יתרות פתיחה'!$2:$110,93,0),0)*(1-AE$309)</f>
        <v>0</v>
      </c>
      <c r="AF145" s="1240">
        <f>+IFERROR(HLOOKUP(AF11,'סקרי נכסים-יתרות פתיחה'!$2:$110,34,0),0)-IFERROR(HLOOKUP(AF11,'סקרי נכסים-יתרות פתיחה'!$2:$110,93,0),0)*(1-AF$309)</f>
        <v>0</v>
      </c>
      <c r="AG145" s="1240">
        <f>+IFERROR(HLOOKUP(AG11,'סקרי נכסים-יתרות פתיחה'!$2:$110,34,0),0)-IFERROR(HLOOKUP(AG11,'סקרי נכסים-יתרות פתיחה'!$2:$110,93,0),0)*(1-AG$309)</f>
        <v>0</v>
      </c>
      <c r="AH145" s="1240">
        <f>+IFERROR(HLOOKUP(AH11,'סקרי נכסים-יתרות פתיחה'!$2:$110,34,0),0)-IFERROR(HLOOKUP(AH11,'סקרי נכסים-יתרות פתיחה'!$2:$110,93,0),0)*(1-AH$309)</f>
        <v>0</v>
      </c>
      <c r="AI145" s="1240">
        <f>+IFERROR(HLOOKUP(AI11,'סקרי נכסים-יתרות פתיחה'!$2:$110,34,0),0)-IFERROR(HLOOKUP(AI11,'סקרי נכסים-יתרות פתיחה'!$2:$110,93,0),0)*(1-AI$309)</f>
        <v>0</v>
      </c>
      <c r="AJ145" s="1240">
        <f>+IFERROR(HLOOKUP(AJ11,'סקרי נכסים-יתרות פתיחה'!$2:$110,34,0),0)-IFERROR(HLOOKUP(AJ11,'סקרי נכסים-יתרות פתיחה'!$2:$110,93,0),0)*(1-AJ$309)</f>
        <v>0</v>
      </c>
      <c r="AK145" s="1240">
        <f>+IFERROR(HLOOKUP(AK11,'סקרי נכסים-יתרות פתיחה'!$2:$110,34,0),0)-IFERROR(HLOOKUP(AK11,'סקרי נכסים-יתרות פתיחה'!$2:$110,93,0),0)*(1-AK$309)</f>
        <v>0</v>
      </c>
      <c r="AL145" s="1240">
        <f>+IFERROR(HLOOKUP(AL11,'סקרי נכסים-יתרות פתיחה'!$2:$110,34,0),0)-IFERROR(HLOOKUP(AL11,'סקרי נכסים-יתרות פתיחה'!$2:$110,93,0),0)*(1-AL$309)</f>
        <v>0</v>
      </c>
      <c r="AM145" s="1240">
        <f>+IFERROR(HLOOKUP(AM11,'סקרי נכסים-יתרות פתיחה'!$2:$110,34,0),0)-IFERROR(HLOOKUP(AM11,'סקרי נכסים-יתרות פתיחה'!$2:$110,93,0),0)*(1-AM$309)</f>
        <v>0</v>
      </c>
      <c r="AN145" s="1240">
        <f>+IFERROR(HLOOKUP(AN11,'סקרי נכסים-יתרות פתיחה'!$2:$110,34,0),0)-IFERROR(HLOOKUP(AN11,'סקרי נכסים-יתרות פתיחה'!$2:$110,93,0),0)*(1-AN$309)</f>
        <v>0</v>
      </c>
      <c r="AO145" s="1240">
        <f>+IFERROR(HLOOKUP(AO11,'סקרי נכסים-יתרות פתיחה'!$2:$110,34,0),0)-IFERROR(HLOOKUP(AO11,'סקרי נכסים-יתרות פתיחה'!$2:$110,93,0),0)*(1-AO$309)</f>
        <v>0</v>
      </c>
      <c r="AP145" s="1240">
        <f>+IFERROR(HLOOKUP(AP11,'סקרי נכסים-יתרות פתיחה'!$2:$110,34,0),0)-IFERROR(HLOOKUP(AP11,'סקרי נכסים-יתרות פתיחה'!$2:$110,93,0),0)*(1-AP$309)</f>
        <v>0</v>
      </c>
      <c r="AQ145" s="1240">
        <f>+IFERROR(HLOOKUP(AQ11,'סקרי נכסים-יתרות פתיחה'!$2:$110,34,0),0)-IFERROR(HLOOKUP(AQ11,'סקרי נכסים-יתרות פתיחה'!$2:$110,93,0),0)*(1-AQ$309)</f>
        <v>0</v>
      </c>
      <c r="AR145" s="1240">
        <f>+IFERROR(HLOOKUP(AR11,'סקרי נכסים-יתרות פתיחה'!$2:$110,34,0),0)-IFERROR(HLOOKUP(AR11,'סקרי נכסים-יתרות פתיחה'!$2:$110,93,0),0)*(1-AR$309)</f>
        <v>0</v>
      </c>
      <c r="AS145" s="1240">
        <f>+IFERROR(HLOOKUP(AS11,'סקרי נכסים-יתרות פתיחה'!$2:$110,34,0),0)-IFERROR(HLOOKUP(AS11,'סקרי נכסים-יתרות פתיחה'!$2:$110,93,0),0)*(1-AS$309)</f>
        <v>18956348</v>
      </c>
      <c r="AT145" s="1240">
        <f>+IFERROR(HLOOKUP(AT11,'סקרי נכסים-יתרות פתיחה'!$2:$110,34,0),0)-IFERROR(HLOOKUP(AT11,'סקרי נכסים-יתרות פתיחה'!$2:$110,93,0),0)*(1-AT$309)</f>
        <v>0</v>
      </c>
      <c r="AU145" s="1240">
        <f>+IFERROR(HLOOKUP(AU11,'סקרי נכסים-יתרות פתיחה'!$2:$110,34,0),0)-IFERROR(HLOOKUP(AU11,'סקרי נכסים-יתרות פתיחה'!$2:$110,93,0),0)*(1-AU$309)</f>
        <v>0</v>
      </c>
      <c r="AV145" s="1240">
        <f>+IFERROR(HLOOKUP(AV11,'סקרי נכסים-יתרות פתיחה'!$2:$110,34,0),0)-IFERROR(HLOOKUP(AV11,'סקרי נכסים-יתרות פתיחה'!$2:$110,93,0),0)*(1-AV$309)</f>
        <v>0</v>
      </c>
      <c r="AW145" s="1240">
        <f>+IFERROR(HLOOKUP(AW11,'סקרי נכסים-יתרות פתיחה'!$2:$110,34,0),0)-IFERROR(HLOOKUP(AW11,'סקרי נכסים-יתרות פתיחה'!$2:$110,93,0),0)*(1-AW$309)</f>
        <v>0</v>
      </c>
      <c r="AX145" s="1240">
        <f>+IFERROR(HLOOKUP(AX11,'סקרי נכסים-יתרות פתיחה'!$2:$110,34,0),0)-IFERROR(HLOOKUP(AX11,'סקרי נכסים-יתרות פתיחה'!$2:$110,93,0),0)*(1-AX$309)</f>
        <v>0</v>
      </c>
      <c r="AY145" s="1240">
        <f>+IFERROR(HLOOKUP(AY11,'סקרי נכסים-יתרות פתיחה'!$2:$110,34,0),0)-IFERROR(HLOOKUP(AY11,'סקרי נכסים-יתרות פתיחה'!$2:$110,93,0),0)*(1-AY$309)</f>
        <v>0</v>
      </c>
      <c r="AZ145" s="1240">
        <f>+IFERROR(HLOOKUP(AZ11,'סקרי נכסים-יתרות פתיחה'!$2:$110,34,0),0)-IFERROR(HLOOKUP(AZ11,'סקרי נכסים-יתרות פתיחה'!$2:$110,93,0),0)*(1-AZ$309)</f>
        <v>0</v>
      </c>
      <c r="BA145" s="1240">
        <f>+IFERROR(HLOOKUP(BA11,'סקרי נכסים-יתרות פתיחה'!$2:$110,34,0),0)-IFERROR(HLOOKUP(BA11,'סקרי נכסים-יתרות פתיחה'!$2:$110,93,0),0)*(1-BA$309)</f>
        <v>0</v>
      </c>
      <c r="BB145" s="1240">
        <f>+IFERROR(HLOOKUP(BB11,'סקרי נכסים-יתרות פתיחה'!$2:$110,34,0),0)-IFERROR(HLOOKUP(BB11,'סקרי נכסים-יתרות פתיחה'!$2:$110,93,0),0)*(1-BB$309)</f>
        <v>0</v>
      </c>
      <c r="BC145" s="1240">
        <f>+IFERROR(HLOOKUP(BC11,'סקרי נכסים-יתרות פתיחה'!$2:$110,34,0),0)-IFERROR(HLOOKUP(BC11,'סקרי נכסים-יתרות פתיחה'!$2:$110,93,0),0)*(1-BC$309)</f>
        <v>0</v>
      </c>
      <c r="BD145" s="1240">
        <f>+IFERROR(HLOOKUP(BD11,'סקרי נכסים-יתרות פתיחה'!$2:$110,34,0),0)-IFERROR(HLOOKUP(BD11,'סקרי נכסים-יתרות פתיחה'!$2:$110,93,0),0)*(1-BD$309)</f>
        <v>0</v>
      </c>
      <c r="BE145" s="1240">
        <f>+IFERROR(HLOOKUP(BE11,'סקרי נכסים-יתרות פתיחה'!$2:$110,34,0),0)-IFERROR(HLOOKUP(BE11,'סקרי נכסים-יתרות פתיחה'!$2:$110,93,0),0)*(1-BE$309)</f>
        <v>0</v>
      </c>
      <c r="BF145" s="1240">
        <f>+IFERROR(HLOOKUP(BF11,'סקרי נכסים-יתרות פתיחה'!$2:$110,34,0),0)-IFERROR(HLOOKUP(BF11,'סקרי נכסים-יתרות פתיחה'!$2:$110,93,0),0)*(1-BF$309)</f>
        <v>0</v>
      </c>
    </row>
    <row r="146" spans="2:58" x14ac:dyDescent="0.2">
      <c r="B146" s="1">
        <v>9</v>
      </c>
      <c r="C146" s="1240">
        <f>+IFERROR(HLOOKUP(C12,'סקרי נכסים-יתרות פתיחה'!$2:$110,34,0),0)-IFERROR(HLOOKUP(C12,'סקרי נכסים-יתרות פתיחה'!$2:$110,93,0),0)*(1-C$309)</f>
        <v>0</v>
      </c>
      <c r="D146" s="1240">
        <f>+IFERROR(HLOOKUP(D12,'סקרי נכסים-יתרות פתיחה'!$2:$110,34,0),0)-IFERROR(HLOOKUP(D12,'סקרי נכסים-יתרות פתיחה'!$2:$110,93,0),0)*(1-D$309)</f>
        <v>0</v>
      </c>
      <c r="E146" s="1240">
        <f>+IFERROR(HLOOKUP(E12,'סקרי נכסים-יתרות פתיחה'!$2:$110,34,0),0)-IFERROR(HLOOKUP(E12,'סקרי נכסים-יתרות פתיחה'!$2:$110,93,0),0)*(1-E$309)</f>
        <v>0</v>
      </c>
      <c r="F146" s="1240">
        <f>+IFERROR(HLOOKUP(F12,'סקרי נכסים-יתרות פתיחה'!$2:$110,34,0),0)-IFERROR(HLOOKUP(F12,'סקרי נכסים-יתרות פתיחה'!$2:$110,93,0),0)*(1-F$309)</f>
        <v>0</v>
      </c>
      <c r="G146" s="1240">
        <f>+IFERROR(HLOOKUP(G12,'סקרי נכסים-יתרות פתיחה'!$2:$110,34,0),0)-IFERROR(HLOOKUP(G12,'סקרי נכסים-יתרות פתיחה'!$2:$110,93,0),0)*(1-G$309)</f>
        <v>0</v>
      </c>
      <c r="H146" s="1240">
        <f>+IFERROR(HLOOKUP(H12,'סקרי נכסים-יתרות פתיחה'!$2:$110,34,0),0)-IFERROR(HLOOKUP(H12,'סקרי נכסים-יתרות פתיחה'!$2:$110,93,0),0)*(1-H$309)</f>
        <v>0</v>
      </c>
      <c r="I146" s="1240">
        <f>+IFERROR(HLOOKUP(I12,'סקרי נכסים-יתרות פתיחה'!$2:$110,34,0),0)-IFERROR(HLOOKUP(I12,'סקרי נכסים-יתרות פתיחה'!$2:$110,93,0),0)*(1-I$309)</f>
        <v>0</v>
      </c>
      <c r="J146" s="1240">
        <f>+IFERROR(HLOOKUP(J12,'סקרי נכסים-יתרות פתיחה'!$2:$110,34,0),0)-IFERROR(HLOOKUP(J12,'סקרי נכסים-יתרות פתיחה'!$2:$110,93,0),0)*(1-J$309)</f>
        <v>0</v>
      </c>
      <c r="K146" s="1240">
        <f>+IFERROR(HLOOKUP(K12,'סקרי נכסים-יתרות פתיחה'!$2:$110,34,0),0)-IFERROR(HLOOKUP(K12,'סקרי נכסים-יתרות פתיחה'!$2:$110,93,0),0)*(1-K$309)</f>
        <v>0</v>
      </c>
      <c r="L146" s="1240">
        <f>+IFERROR(HLOOKUP(L12,'סקרי נכסים-יתרות פתיחה'!$2:$110,34,0),0)-IFERROR(HLOOKUP(L12,'סקרי נכסים-יתרות פתיחה'!$2:$110,93,0),0)*(1-L$309)</f>
        <v>0</v>
      </c>
      <c r="M146" s="1240">
        <f>+IFERROR(HLOOKUP(M12,'סקרי נכסים-יתרות פתיחה'!$2:$110,34,0),0)-IFERROR(HLOOKUP(M12,'סקרי נכסים-יתרות פתיחה'!$2:$110,93,0),0)*(1-M$309)</f>
        <v>0</v>
      </c>
      <c r="N146" s="1240">
        <f>+IFERROR(HLOOKUP(N12,'סקרי נכסים-יתרות פתיחה'!$2:$110,34,0),0)-IFERROR(HLOOKUP(N12,'סקרי נכסים-יתרות פתיחה'!$2:$110,93,0),0)*(1-N$309)</f>
        <v>0</v>
      </c>
      <c r="O146" s="1240">
        <f>+IFERROR(HLOOKUP(O12,'סקרי נכסים-יתרות פתיחה'!$2:$110,34,0),0)-IFERROR(HLOOKUP(O12,'סקרי נכסים-יתרות פתיחה'!$2:$110,93,0),0)*(1-O$309)</f>
        <v>0</v>
      </c>
      <c r="P146" s="1240">
        <f>+IFERROR(HLOOKUP(P12,'סקרי נכסים-יתרות פתיחה'!$2:$110,34,0),0)-IFERROR(HLOOKUP(P12,'סקרי נכסים-יתרות פתיחה'!$2:$110,93,0),0)*(1-P$309)</f>
        <v>21813700</v>
      </c>
      <c r="Q146" s="1240">
        <f>+IFERROR(HLOOKUP(Q12,'סקרי נכסים-יתרות פתיחה'!$2:$110,34,0),0)-IFERROR(HLOOKUP(Q12,'סקרי נכסים-יתרות פתיחה'!$2:$110,93,0),0)*(1-Q$309)</f>
        <v>0</v>
      </c>
      <c r="R146" s="1240">
        <f>+IFERROR(HLOOKUP(R12,'סקרי נכסים-יתרות פתיחה'!$2:$110,34,0),0)-IFERROR(HLOOKUP(R12,'סקרי נכסים-יתרות פתיחה'!$2:$110,93,0),0)*(1-R$309)</f>
        <v>0</v>
      </c>
      <c r="S146" s="1240">
        <f>+IFERROR(HLOOKUP(S12,'סקרי נכסים-יתרות פתיחה'!$2:$110,34,0),0)-IFERROR(HLOOKUP(S12,'סקרי נכסים-יתרות פתיחה'!$2:$110,93,0),0)*(1-S$309)</f>
        <v>0</v>
      </c>
      <c r="T146" s="1240">
        <f>+IFERROR(HLOOKUP(T12,'סקרי נכסים-יתרות פתיחה'!$2:$110,34,0),0)-IFERROR(HLOOKUP(T12,'סקרי נכסים-יתרות פתיחה'!$2:$110,93,0),0)*(1-T$309)</f>
        <v>0</v>
      </c>
      <c r="U146" s="1240">
        <f>+IFERROR(HLOOKUP(U12,'סקרי נכסים-יתרות פתיחה'!$2:$110,34,0),0)-IFERROR(HLOOKUP(U12,'סקרי נכסים-יתרות פתיחה'!$2:$110,93,0),0)*(1-U$309)</f>
        <v>0</v>
      </c>
      <c r="V146" s="1240">
        <f>+IFERROR(HLOOKUP(V12,'סקרי נכסים-יתרות פתיחה'!$2:$110,34,0),0)-IFERROR(HLOOKUP(V12,'סקרי נכסים-יתרות פתיחה'!$2:$110,93,0),0)*(1-V$309)</f>
        <v>0</v>
      </c>
      <c r="W146" s="1240">
        <f>+IFERROR(HLOOKUP(W12,'סקרי נכסים-יתרות פתיחה'!$2:$110,34,0),0)-IFERROR(HLOOKUP(W12,'סקרי נכסים-יתרות פתיחה'!$2:$110,93,0),0)*(1-W$309)</f>
        <v>0</v>
      </c>
      <c r="X146" s="1240">
        <f>+IFERROR(HLOOKUP(X12,'סקרי נכסים-יתרות פתיחה'!$2:$110,34,0),0)-IFERROR(HLOOKUP(X12,'סקרי נכסים-יתרות פתיחה'!$2:$110,93,0),0)*(1-X$309)</f>
        <v>0</v>
      </c>
      <c r="Y146" s="1240">
        <f>+IFERROR(HLOOKUP(Y12,'סקרי נכסים-יתרות פתיחה'!$2:$110,34,0),0)-IFERROR(HLOOKUP(Y12,'סקרי נכסים-יתרות פתיחה'!$2:$110,93,0),0)*(1-Y$309)</f>
        <v>0</v>
      </c>
      <c r="Z146" s="1240">
        <f>+IFERROR(HLOOKUP(Z12,'סקרי נכסים-יתרות פתיחה'!$2:$110,34,0),0)-IFERROR(HLOOKUP(Z12,'סקרי נכסים-יתרות פתיחה'!$2:$110,93,0),0)*(1-Z$309)</f>
        <v>0</v>
      </c>
      <c r="AA146" s="1240">
        <f>+IFERROR(HLOOKUP(AA12,'סקרי נכסים-יתרות פתיחה'!$2:$110,34,0),0)-IFERROR(HLOOKUP(AA12,'סקרי נכסים-יתרות פתיחה'!$2:$110,93,0),0)*(1-AA$309)</f>
        <v>0</v>
      </c>
      <c r="AB146" s="1240">
        <f>+IFERROR(HLOOKUP(AB12,'סקרי נכסים-יתרות פתיחה'!$2:$110,34,0),0)-IFERROR(HLOOKUP(AB12,'סקרי נכסים-יתרות פתיחה'!$2:$110,93,0),0)*(1-AB$309)</f>
        <v>0</v>
      </c>
      <c r="AC146" s="1240">
        <f>+IFERROR(HLOOKUP(AC12,'סקרי נכסים-יתרות פתיחה'!$2:$110,34,0),0)-IFERROR(HLOOKUP(AC12,'סקרי נכסים-יתרות פתיחה'!$2:$110,93,0),0)*(1-AC$309)</f>
        <v>0</v>
      </c>
      <c r="AD146" s="1240">
        <f>+IFERROR(HLOOKUP(AD12,'סקרי נכסים-יתרות פתיחה'!$2:$110,34,0),0)-IFERROR(HLOOKUP(AD12,'סקרי נכסים-יתרות פתיחה'!$2:$110,93,0),0)*(1-AD$309)</f>
        <v>0</v>
      </c>
      <c r="AE146" s="1240">
        <f>+IFERROR(HLOOKUP(AE12,'סקרי נכסים-יתרות פתיחה'!$2:$110,34,0),0)-IFERROR(HLOOKUP(AE12,'סקרי נכסים-יתרות פתיחה'!$2:$110,93,0),0)*(1-AE$309)</f>
        <v>0</v>
      </c>
      <c r="AF146" s="1240">
        <f>+IFERROR(HLOOKUP(AF12,'סקרי נכסים-יתרות פתיחה'!$2:$110,34,0),0)-IFERROR(HLOOKUP(AF12,'סקרי נכסים-יתרות פתיחה'!$2:$110,93,0),0)*(1-AF$309)</f>
        <v>0</v>
      </c>
      <c r="AG146" s="1240">
        <f>+IFERROR(HLOOKUP(AG12,'סקרי נכסים-יתרות פתיחה'!$2:$110,34,0),0)-IFERROR(HLOOKUP(AG12,'סקרי נכסים-יתרות פתיחה'!$2:$110,93,0),0)*(1-AG$309)</f>
        <v>0</v>
      </c>
      <c r="AH146" s="1240">
        <f>+IFERROR(HLOOKUP(AH12,'סקרי נכסים-יתרות פתיחה'!$2:$110,34,0),0)-IFERROR(HLOOKUP(AH12,'סקרי נכסים-יתרות פתיחה'!$2:$110,93,0),0)*(1-AH$309)</f>
        <v>0</v>
      </c>
      <c r="AI146" s="1240">
        <f>+IFERROR(HLOOKUP(AI12,'סקרי נכסים-יתרות פתיחה'!$2:$110,34,0),0)-IFERROR(HLOOKUP(AI12,'סקרי נכסים-יתרות פתיחה'!$2:$110,93,0),0)*(1-AI$309)</f>
        <v>0</v>
      </c>
      <c r="AJ146" s="1240">
        <f>+IFERROR(HLOOKUP(AJ12,'סקרי נכסים-יתרות פתיחה'!$2:$110,34,0),0)-IFERROR(HLOOKUP(AJ12,'סקרי נכסים-יתרות פתיחה'!$2:$110,93,0),0)*(1-AJ$309)</f>
        <v>0</v>
      </c>
      <c r="AK146" s="1240">
        <f>+IFERROR(HLOOKUP(AK12,'סקרי נכסים-יתרות פתיחה'!$2:$110,34,0),0)-IFERROR(HLOOKUP(AK12,'סקרי נכסים-יתרות פתיחה'!$2:$110,93,0),0)*(1-AK$309)</f>
        <v>0</v>
      </c>
      <c r="AL146" s="1240">
        <f>+IFERROR(HLOOKUP(AL12,'סקרי נכסים-יתרות פתיחה'!$2:$110,34,0),0)-IFERROR(HLOOKUP(AL12,'סקרי נכסים-יתרות פתיחה'!$2:$110,93,0),0)*(1-AL$309)</f>
        <v>0</v>
      </c>
      <c r="AM146" s="1240">
        <f>+IFERROR(HLOOKUP(AM12,'סקרי נכסים-יתרות פתיחה'!$2:$110,34,0),0)-IFERROR(HLOOKUP(AM12,'סקרי נכסים-יתרות פתיחה'!$2:$110,93,0),0)*(1-AM$309)</f>
        <v>0</v>
      </c>
      <c r="AN146" s="1240">
        <f>+IFERROR(HLOOKUP(AN12,'סקרי נכסים-יתרות פתיחה'!$2:$110,34,0),0)-IFERROR(HLOOKUP(AN12,'סקרי נכסים-יתרות פתיחה'!$2:$110,93,0),0)*(1-AN$309)</f>
        <v>0</v>
      </c>
      <c r="AO146" s="1240">
        <f>+IFERROR(HLOOKUP(AO12,'סקרי נכסים-יתרות פתיחה'!$2:$110,34,0),0)-IFERROR(HLOOKUP(AO12,'סקרי נכסים-יתרות פתיחה'!$2:$110,93,0),0)*(1-AO$309)</f>
        <v>0</v>
      </c>
      <c r="AP146" s="1240">
        <f>+IFERROR(HLOOKUP(AP12,'סקרי נכסים-יתרות פתיחה'!$2:$110,34,0),0)-IFERROR(HLOOKUP(AP12,'סקרי נכסים-יתרות פתיחה'!$2:$110,93,0),0)*(1-AP$309)</f>
        <v>0</v>
      </c>
      <c r="AQ146" s="1240">
        <f>+IFERROR(HLOOKUP(AQ12,'סקרי נכסים-יתרות פתיחה'!$2:$110,34,0),0)-IFERROR(HLOOKUP(AQ12,'סקרי נכסים-יתרות פתיחה'!$2:$110,93,0),0)*(1-AQ$309)</f>
        <v>0</v>
      </c>
      <c r="AR146" s="1240">
        <f>+IFERROR(HLOOKUP(AR12,'סקרי נכסים-יתרות פתיחה'!$2:$110,34,0),0)-IFERROR(HLOOKUP(AR12,'סקרי נכסים-יתרות פתיחה'!$2:$110,93,0),0)*(1-AR$309)</f>
        <v>0</v>
      </c>
      <c r="AS146" s="1240">
        <f>+IFERROR(HLOOKUP(AS12,'סקרי נכסים-יתרות פתיחה'!$2:$110,34,0),0)-IFERROR(HLOOKUP(AS12,'סקרי נכסים-יתרות פתיחה'!$2:$110,93,0),0)*(1-AS$309)</f>
        <v>5939500</v>
      </c>
      <c r="AT146" s="1240">
        <f>+IFERROR(HLOOKUP(AT12,'סקרי נכסים-יתרות פתיחה'!$2:$110,34,0),0)-IFERROR(HLOOKUP(AT12,'סקרי נכסים-יתרות פתיחה'!$2:$110,93,0),0)*(1-AT$309)</f>
        <v>0</v>
      </c>
      <c r="AU146" s="1240">
        <f>+IFERROR(HLOOKUP(AU12,'סקרי נכסים-יתרות פתיחה'!$2:$110,34,0),0)-IFERROR(HLOOKUP(AU12,'סקרי נכסים-יתרות פתיחה'!$2:$110,93,0),0)*(1-AU$309)</f>
        <v>0</v>
      </c>
      <c r="AV146" s="1240">
        <f>+IFERROR(HLOOKUP(AV12,'סקרי נכסים-יתרות פתיחה'!$2:$110,34,0),0)-IFERROR(HLOOKUP(AV12,'סקרי נכסים-יתרות פתיחה'!$2:$110,93,0),0)*(1-AV$309)</f>
        <v>0</v>
      </c>
      <c r="AW146" s="1240">
        <f>+IFERROR(HLOOKUP(AW12,'סקרי נכסים-יתרות פתיחה'!$2:$110,34,0),0)-IFERROR(HLOOKUP(AW12,'סקרי נכסים-יתרות פתיחה'!$2:$110,93,0),0)*(1-AW$309)</f>
        <v>0</v>
      </c>
      <c r="AX146" s="1240">
        <f>+IFERROR(HLOOKUP(AX12,'סקרי נכסים-יתרות פתיחה'!$2:$110,34,0),0)-IFERROR(HLOOKUP(AX12,'סקרי נכסים-יתרות פתיחה'!$2:$110,93,0),0)*(1-AX$309)</f>
        <v>0</v>
      </c>
      <c r="AY146" s="1240">
        <f>+IFERROR(HLOOKUP(AY12,'סקרי נכסים-יתרות פתיחה'!$2:$110,34,0),0)-IFERROR(HLOOKUP(AY12,'סקרי נכסים-יתרות פתיחה'!$2:$110,93,0),0)*(1-AY$309)</f>
        <v>0</v>
      </c>
      <c r="AZ146" s="1240">
        <f>+IFERROR(HLOOKUP(AZ12,'סקרי נכסים-יתרות פתיחה'!$2:$110,34,0),0)-IFERROR(HLOOKUP(AZ12,'סקרי נכסים-יתרות פתיחה'!$2:$110,93,0),0)*(1-AZ$309)</f>
        <v>0</v>
      </c>
      <c r="BA146" s="1240">
        <f>+IFERROR(HLOOKUP(BA12,'סקרי נכסים-יתרות פתיחה'!$2:$110,34,0),0)-IFERROR(HLOOKUP(BA12,'סקרי נכסים-יתרות פתיחה'!$2:$110,93,0),0)*(1-BA$309)</f>
        <v>0</v>
      </c>
      <c r="BB146" s="1240">
        <f>+IFERROR(HLOOKUP(BB12,'סקרי נכסים-יתרות פתיחה'!$2:$110,34,0),0)-IFERROR(HLOOKUP(BB12,'סקרי נכסים-יתרות פתיחה'!$2:$110,93,0),0)*(1-BB$309)</f>
        <v>0</v>
      </c>
      <c r="BC146" s="1240">
        <f>+IFERROR(HLOOKUP(BC12,'סקרי נכסים-יתרות פתיחה'!$2:$110,34,0),0)-IFERROR(HLOOKUP(BC12,'סקרי נכסים-יתרות פתיחה'!$2:$110,93,0),0)*(1-BC$309)</f>
        <v>0</v>
      </c>
      <c r="BD146" s="1240">
        <f>+IFERROR(HLOOKUP(BD12,'סקרי נכסים-יתרות פתיחה'!$2:$110,34,0),0)-IFERROR(HLOOKUP(BD12,'סקרי נכסים-יתרות פתיחה'!$2:$110,93,0),0)*(1-BD$309)</f>
        <v>0</v>
      </c>
      <c r="BE146" s="1240">
        <f>+IFERROR(HLOOKUP(BE12,'סקרי נכסים-יתרות פתיחה'!$2:$110,34,0),0)-IFERROR(HLOOKUP(BE12,'סקרי נכסים-יתרות פתיחה'!$2:$110,93,0),0)*(1-BE$309)</f>
        <v>0</v>
      </c>
      <c r="BF146" s="1240">
        <f>+IFERROR(HLOOKUP(BF12,'סקרי נכסים-יתרות פתיחה'!$2:$110,34,0),0)-IFERROR(HLOOKUP(BF12,'סקרי נכסים-יתרות פתיחה'!$2:$110,93,0),0)*(1-BF$309)</f>
        <v>0</v>
      </c>
    </row>
    <row r="147" spans="2:58" x14ac:dyDescent="0.2">
      <c r="B147" s="1">
        <v>10</v>
      </c>
      <c r="C147" s="1240">
        <f>+IFERROR(HLOOKUP(C13,'סקרי נכסים-יתרות פתיחה'!$2:$110,34,0),0)-IFERROR(HLOOKUP(C13,'סקרי נכסים-יתרות פתיחה'!$2:$110,93,0),0)*(1-C$309)</f>
        <v>0</v>
      </c>
      <c r="D147" s="1240">
        <f>+IFERROR(HLOOKUP(D13,'סקרי נכסים-יתרות פתיחה'!$2:$110,34,0),0)-IFERROR(HLOOKUP(D13,'סקרי נכסים-יתרות פתיחה'!$2:$110,93,0),0)*(1-D$309)</f>
        <v>0</v>
      </c>
      <c r="E147" s="1240">
        <f>+IFERROR(HLOOKUP(E13,'סקרי נכסים-יתרות פתיחה'!$2:$110,34,0),0)-IFERROR(HLOOKUP(E13,'סקרי נכסים-יתרות פתיחה'!$2:$110,93,0),0)*(1-E$309)</f>
        <v>0</v>
      </c>
      <c r="F147" s="1240">
        <f>+IFERROR(HLOOKUP(F13,'סקרי נכסים-יתרות פתיחה'!$2:$110,34,0),0)-IFERROR(HLOOKUP(F13,'סקרי נכסים-יתרות פתיחה'!$2:$110,93,0),0)*(1-F$309)</f>
        <v>0</v>
      </c>
      <c r="G147" s="1240">
        <f>+IFERROR(HLOOKUP(G13,'סקרי נכסים-יתרות פתיחה'!$2:$110,34,0),0)-IFERROR(HLOOKUP(G13,'סקרי נכסים-יתרות פתיחה'!$2:$110,93,0),0)*(1-G$309)</f>
        <v>0</v>
      </c>
      <c r="H147" s="1240">
        <f>+IFERROR(HLOOKUP(H13,'סקרי נכסים-יתרות פתיחה'!$2:$110,34,0),0)-IFERROR(HLOOKUP(H13,'סקרי נכסים-יתרות פתיחה'!$2:$110,93,0),0)*(1-H$309)</f>
        <v>0</v>
      </c>
      <c r="I147" s="1240">
        <f>+IFERROR(HLOOKUP(I13,'סקרי נכסים-יתרות פתיחה'!$2:$110,34,0),0)-IFERROR(HLOOKUP(I13,'סקרי נכסים-יתרות פתיחה'!$2:$110,93,0),0)*(1-I$309)</f>
        <v>0</v>
      </c>
      <c r="J147" s="1240">
        <f>+IFERROR(HLOOKUP(J13,'סקרי נכסים-יתרות פתיחה'!$2:$110,34,0),0)-IFERROR(HLOOKUP(J13,'סקרי נכסים-יתרות פתיחה'!$2:$110,93,0),0)*(1-J$309)</f>
        <v>0</v>
      </c>
      <c r="K147" s="1240">
        <f>+IFERROR(HLOOKUP(K13,'סקרי נכסים-יתרות פתיחה'!$2:$110,34,0),0)-IFERROR(HLOOKUP(K13,'סקרי נכסים-יתרות פתיחה'!$2:$110,93,0),0)*(1-K$309)</f>
        <v>0</v>
      </c>
      <c r="L147" s="1240">
        <f>+IFERROR(HLOOKUP(L13,'סקרי נכסים-יתרות פתיחה'!$2:$110,34,0),0)-IFERROR(HLOOKUP(L13,'סקרי נכסים-יתרות פתיחה'!$2:$110,93,0),0)*(1-L$309)</f>
        <v>0</v>
      </c>
      <c r="M147" s="1240">
        <f>+IFERROR(HLOOKUP(M13,'סקרי נכסים-יתרות פתיחה'!$2:$110,34,0),0)-IFERROR(HLOOKUP(M13,'סקרי נכסים-יתרות פתיחה'!$2:$110,93,0),0)*(1-M$309)</f>
        <v>0</v>
      </c>
      <c r="N147" s="1240">
        <f>+IFERROR(HLOOKUP(N13,'סקרי נכסים-יתרות פתיחה'!$2:$110,34,0),0)-IFERROR(HLOOKUP(N13,'סקרי נכסים-יתרות פתיחה'!$2:$110,93,0),0)*(1-N$309)</f>
        <v>0</v>
      </c>
      <c r="O147" s="1240">
        <f>+IFERROR(HLOOKUP(O13,'סקרי נכסים-יתרות פתיחה'!$2:$110,34,0),0)-IFERROR(HLOOKUP(O13,'סקרי נכסים-יתרות פתיחה'!$2:$110,93,0),0)*(1-O$309)</f>
        <v>0</v>
      </c>
      <c r="P147" s="1240">
        <f>+IFERROR(HLOOKUP(P13,'סקרי נכסים-יתרות פתיחה'!$2:$110,34,0),0)-IFERROR(HLOOKUP(P13,'סקרי נכסים-יתרות פתיחה'!$2:$110,93,0),0)*(1-P$309)</f>
        <v>13760282</v>
      </c>
      <c r="Q147" s="1240">
        <f>+IFERROR(HLOOKUP(Q13,'סקרי נכסים-יתרות פתיחה'!$2:$110,34,0),0)-IFERROR(HLOOKUP(Q13,'סקרי נכסים-יתרות פתיחה'!$2:$110,93,0),0)*(1-Q$309)</f>
        <v>0</v>
      </c>
      <c r="R147" s="1240">
        <f>+IFERROR(HLOOKUP(R13,'סקרי נכסים-יתרות פתיחה'!$2:$110,34,0),0)-IFERROR(HLOOKUP(R13,'סקרי נכסים-יתרות פתיחה'!$2:$110,93,0),0)*(1-R$309)</f>
        <v>0</v>
      </c>
      <c r="S147" s="1240">
        <f>+IFERROR(HLOOKUP(S13,'סקרי נכסים-יתרות פתיחה'!$2:$110,34,0),0)-IFERROR(HLOOKUP(S13,'סקרי נכסים-יתרות פתיחה'!$2:$110,93,0),0)*(1-S$309)</f>
        <v>0</v>
      </c>
      <c r="T147" s="1240">
        <f>+IFERROR(HLOOKUP(T13,'סקרי נכסים-יתרות פתיחה'!$2:$110,34,0),0)-IFERROR(HLOOKUP(T13,'סקרי נכסים-יתרות פתיחה'!$2:$110,93,0),0)*(1-T$309)</f>
        <v>0</v>
      </c>
      <c r="U147" s="1240">
        <f>+IFERROR(HLOOKUP(U13,'סקרי נכסים-יתרות פתיחה'!$2:$110,34,0),0)-IFERROR(HLOOKUP(U13,'סקרי נכסים-יתרות פתיחה'!$2:$110,93,0),0)*(1-U$309)</f>
        <v>0</v>
      </c>
      <c r="V147" s="1240">
        <f>+IFERROR(HLOOKUP(V13,'סקרי נכסים-יתרות פתיחה'!$2:$110,34,0),0)-IFERROR(HLOOKUP(V13,'סקרי נכסים-יתרות פתיחה'!$2:$110,93,0),0)*(1-V$309)</f>
        <v>0</v>
      </c>
      <c r="W147" s="1240">
        <f>+IFERROR(HLOOKUP(W13,'סקרי נכסים-יתרות פתיחה'!$2:$110,34,0),0)-IFERROR(HLOOKUP(W13,'סקרי נכסים-יתרות פתיחה'!$2:$110,93,0),0)*(1-W$309)</f>
        <v>0</v>
      </c>
      <c r="X147" s="1240">
        <f>+IFERROR(HLOOKUP(X13,'סקרי נכסים-יתרות פתיחה'!$2:$110,34,0),0)-IFERROR(HLOOKUP(X13,'סקרי נכסים-יתרות פתיחה'!$2:$110,93,0),0)*(1-X$309)</f>
        <v>0</v>
      </c>
      <c r="Y147" s="1240">
        <f>+IFERROR(HLOOKUP(Y13,'סקרי נכסים-יתרות פתיחה'!$2:$110,34,0),0)-IFERROR(HLOOKUP(Y13,'סקרי נכסים-יתרות פתיחה'!$2:$110,93,0),0)*(1-Y$309)</f>
        <v>0</v>
      </c>
      <c r="Z147" s="1240">
        <f>+IFERROR(HLOOKUP(Z13,'סקרי נכסים-יתרות פתיחה'!$2:$110,34,0),0)-IFERROR(HLOOKUP(Z13,'סקרי נכסים-יתרות פתיחה'!$2:$110,93,0),0)*(1-Z$309)</f>
        <v>0</v>
      </c>
      <c r="AA147" s="1240">
        <f>+IFERROR(HLOOKUP(AA13,'סקרי נכסים-יתרות פתיחה'!$2:$110,34,0),0)-IFERROR(HLOOKUP(AA13,'סקרי נכסים-יתרות פתיחה'!$2:$110,93,0),0)*(1-AA$309)</f>
        <v>0</v>
      </c>
      <c r="AB147" s="1240">
        <f>+IFERROR(HLOOKUP(AB13,'סקרי נכסים-יתרות פתיחה'!$2:$110,34,0),0)-IFERROR(HLOOKUP(AB13,'סקרי נכסים-יתרות פתיחה'!$2:$110,93,0),0)*(1-AB$309)</f>
        <v>0</v>
      </c>
      <c r="AC147" s="1240">
        <f>+IFERROR(HLOOKUP(AC13,'סקרי נכסים-יתרות פתיחה'!$2:$110,34,0),0)-IFERROR(HLOOKUP(AC13,'סקרי נכסים-יתרות פתיחה'!$2:$110,93,0),0)*(1-AC$309)</f>
        <v>0</v>
      </c>
      <c r="AD147" s="1240">
        <f>+IFERROR(HLOOKUP(AD13,'סקרי נכסים-יתרות פתיחה'!$2:$110,34,0),0)-IFERROR(HLOOKUP(AD13,'סקרי נכסים-יתרות פתיחה'!$2:$110,93,0),0)*(1-AD$309)</f>
        <v>0</v>
      </c>
      <c r="AE147" s="1240">
        <f>+IFERROR(HLOOKUP(AE13,'סקרי נכסים-יתרות פתיחה'!$2:$110,34,0),0)-IFERROR(HLOOKUP(AE13,'סקרי נכסים-יתרות פתיחה'!$2:$110,93,0),0)*(1-AE$309)</f>
        <v>0</v>
      </c>
      <c r="AF147" s="1240">
        <f>+IFERROR(HLOOKUP(AF13,'סקרי נכסים-יתרות פתיחה'!$2:$110,34,0),0)-IFERROR(HLOOKUP(AF13,'סקרי נכסים-יתרות פתיחה'!$2:$110,93,0),0)*(1-AF$309)</f>
        <v>0</v>
      </c>
      <c r="AG147" s="1240">
        <f>+IFERROR(HLOOKUP(AG13,'סקרי נכסים-יתרות פתיחה'!$2:$110,34,0),0)-IFERROR(HLOOKUP(AG13,'סקרי נכסים-יתרות פתיחה'!$2:$110,93,0),0)*(1-AG$309)</f>
        <v>0</v>
      </c>
      <c r="AH147" s="1240">
        <f>+IFERROR(HLOOKUP(AH13,'סקרי נכסים-יתרות פתיחה'!$2:$110,34,0),0)-IFERROR(HLOOKUP(AH13,'סקרי נכסים-יתרות פתיחה'!$2:$110,93,0),0)*(1-AH$309)</f>
        <v>0</v>
      </c>
      <c r="AI147" s="1240">
        <f>+IFERROR(HLOOKUP(AI13,'סקרי נכסים-יתרות פתיחה'!$2:$110,34,0),0)-IFERROR(HLOOKUP(AI13,'סקרי נכסים-יתרות פתיחה'!$2:$110,93,0),0)*(1-AI$309)</f>
        <v>0</v>
      </c>
      <c r="AJ147" s="1240">
        <f>+IFERROR(HLOOKUP(AJ13,'סקרי נכסים-יתרות פתיחה'!$2:$110,34,0),0)-IFERROR(HLOOKUP(AJ13,'סקרי נכסים-יתרות פתיחה'!$2:$110,93,0),0)*(1-AJ$309)</f>
        <v>0</v>
      </c>
      <c r="AK147" s="1240">
        <f>+IFERROR(HLOOKUP(AK13,'סקרי נכסים-יתרות פתיחה'!$2:$110,34,0),0)-IFERROR(HLOOKUP(AK13,'סקרי נכסים-יתרות פתיחה'!$2:$110,93,0),0)*(1-AK$309)</f>
        <v>0</v>
      </c>
      <c r="AL147" s="1240">
        <f>+IFERROR(HLOOKUP(AL13,'סקרי נכסים-יתרות פתיחה'!$2:$110,34,0),0)-IFERROR(HLOOKUP(AL13,'סקרי נכסים-יתרות פתיחה'!$2:$110,93,0),0)*(1-AL$309)</f>
        <v>0</v>
      </c>
      <c r="AM147" s="1240">
        <f>+IFERROR(HLOOKUP(AM13,'סקרי נכסים-יתרות פתיחה'!$2:$110,34,0),0)-IFERROR(HLOOKUP(AM13,'סקרי נכסים-יתרות פתיחה'!$2:$110,93,0),0)*(1-AM$309)</f>
        <v>0</v>
      </c>
      <c r="AN147" s="1240">
        <f>+IFERROR(HLOOKUP(AN13,'סקרי נכסים-יתרות פתיחה'!$2:$110,34,0),0)-IFERROR(HLOOKUP(AN13,'סקרי נכסים-יתרות פתיחה'!$2:$110,93,0),0)*(1-AN$309)</f>
        <v>0</v>
      </c>
      <c r="AO147" s="1240">
        <f>+IFERROR(HLOOKUP(AO13,'סקרי נכסים-יתרות פתיחה'!$2:$110,34,0),0)-IFERROR(HLOOKUP(AO13,'סקרי נכסים-יתרות פתיחה'!$2:$110,93,0),0)*(1-AO$309)</f>
        <v>0</v>
      </c>
      <c r="AP147" s="1240">
        <f>+IFERROR(HLOOKUP(AP13,'סקרי נכסים-יתרות פתיחה'!$2:$110,34,0),0)-IFERROR(HLOOKUP(AP13,'סקרי נכסים-יתרות פתיחה'!$2:$110,93,0),0)*(1-AP$309)</f>
        <v>0</v>
      </c>
      <c r="AQ147" s="1240">
        <f>+IFERROR(HLOOKUP(AQ13,'סקרי נכסים-יתרות פתיחה'!$2:$110,34,0),0)-IFERROR(HLOOKUP(AQ13,'סקרי נכסים-יתרות פתיחה'!$2:$110,93,0),0)*(1-AQ$309)</f>
        <v>0</v>
      </c>
      <c r="AR147" s="1240">
        <f>+IFERROR(HLOOKUP(AR13,'סקרי נכסים-יתרות פתיחה'!$2:$110,34,0),0)-IFERROR(HLOOKUP(AR13,'סקרי נכסים-יתרות פתיחה'!$2:$110,93,0),0)*(1-AR$309)</f>
        <v>0</v>
      </c>
      <c r="AS147" s="1240">
        <f>+IFERROR(HLOOKUP(AS13,'סקרי נכסים-יתרות פתיחה'!$2:$110,34,0),0)-IFERROR(HLOOKUP(AS13,'סקרי נכסים-יתרות פתיחה'!$2:$110,93,0),0)*(1-AS$309)</f>
        <v>7654750</v>
      </c>
      <c r="AT147" s="1240">
        <f>+IFERROR(HLOOKUP(AT13,'סקרי נכסים-יתרות פתיחה'!$2:$110,34,0),0)-IFERROR(HLOOKUP(AT13,'סקרי נכסים-יתרות פתיחה'!$2:$110,93,0),0)*(1-AT$309)</f>
        <v>0</v>
      </c>
      <c r="AU147" s="1240">
        <f>+IFERROR(HLOOKUP(AU13,'סקרי נכסים-יתרות פתיחה'!$2:$110,34,0),0)-IFERROR(HLOOKUP(AU13,'סקרי נכסים-יתרות פתיחה'!$2:$110,93,0),0)*(1-AU$309)</f>
        <v>0</v>
      </c>
      <c r="AV147" s="1240">
        <f>+IFERROR(HLOOKUP(AV13,'סקרי נכסים-יתרות פתיחה'!$2:$110,34,0),0)-IFERROR(HLOOKUP(AV13,'סקרי נכסים-יתרות פתיחה'!$2:$110,93,0),0)*(1-AV$309)</f>
        <v>0</v>
      </c>
      <c r="AW147" s="1240">
        <f>+IFERROR(HLOOKUP(AW13,'סקרי נכסים-יתרות פתיחה'!$2:$110,34,0),0)-IFERROR(HLOOKUP(AW13,'סקרי נכסים-יתרות פתיחה'!$2:$110,93,0),0)*(1-AW$309)</f>
        <v>0</v>
      </c>
      <c r="AX147" s="1240">
        <f>+IFERROR(HLOOKUP(AX13,'סקרי נכסים-יתרות פתיחה'!$2:$110,34,0),0)-IFERROR(HLOOKUP(AX13,'סקרי נכסים-יתרות פתיחה'!$2:$110,93,0),0)*(1-AX$309)</f>
        <v>0</v>
      </c>
      <c r="AY147" s="1240">
        <f>+IFERROR(HLOOKUP(AY13,'סקרי נכסים-יתרות פתיחה'!$2:$110,34,0),0)-IFERROR(HLOOKUP(AY13,'סקרי נכסים-יתרות פתיחה'!$2:$110,93,0),0)*(1-AY$309)</f>
        <v>0</v>
      </c>
      <c r="AZ147" s="1240">
        <f>+IFERROR(HLOOKUP(AZ13,'סקרי נכסים-יתרות פתיחה'!$2:$110,34,0),0)-IFERROR(HLOOKUP(AZ13,'סקרי נכסים-יתרות פתיחה'!$2:$110,93,0),0)*(1-AZ$309)</f>
        <v>0</v>
      </c>
      <c r="BA147" s="1240">
        <f>+IFERROR(HLOOKUP(BA13,'סקרי נכסים-יתרות פתיחה'!$2:$110,34,0),0)-IFERROR(HLOOKUP(BA13,'סקרי נכסים-יתרות פתיחה'!$2:$110,93,0),0)*(1-BA$309)</f>
        <v>0</v>
      </c>
      <c r="BB147" s="1240">
        <f>+IFERROR(HLOOKUP(BB13,'סקרי נכסים-יתרות פתיחה'!$2:$110,34,0),0)-IFERROR(HLOOKUP(BB13,'סקרי נכסים-יתרות פתיחה'!$2:$110,93,0),0)*(1-BB$309)</f>
        <v>0</v>
      </c>
      <c r="BC147" s="1240">
        <f>+IFERROR(HLOOKUP(BC13,'סקרי נכסים-יתרות פתיחה'!$2:$110,34,0),0)-IFERROR(HLOOKUP(BC13,'סקרי נכסים-יתרות פתיחה'!$2:$110,93,0),0)*(1-BC$309)</f>
        <v>0</v>
      </c>
      <c r="BD147" s="1240">
        <f>+IFERROR(HLOOKUP(BD13,'סקרי נכסים-יתרות פתיחה'!$2:$110,34,0),0)-IFERROR(HLOOKUP(BD13,'סקרי נכסים-יתרות פתיחה'!$2:$110,93,0),0)*(1-BD$309)</f>
        <v>0</v>
      </c>
      <c r="BE147" s="1240">
        <f>+IFERROR(HLOOKUP(BE13,'סקרי נכסים-יתרות פתיחה'!$2:$110,34,0),0)-IFERROR(HLOOKUP(BE13,'סקרי נכסים-יתרות פתיחה'!$2:$110,93,0),0)*(1-BE$309)</f>
        <v>0</v>
      </c>
      <c r="BF147" s="1240">
        <f>+IFERROR(HLOOKUP(BF13,'סקרי נכסים-יתרות פתיחה'!$2:$110,34,0),0)-IFERROR(HLOOKUP(BF13,'סקרי נכסים-יתרות פתיחה'!$2:$110,93,0),0)*(1-BF$309)</f>
        <v>0</v>
      </c>
    </row>
    <row r="148" spans="2:58" x14ac:dyDescent="0.2">
      <c r="B148" s="1">
        <v>11</v>
      </c>
      <c r="C148" s="1240">
        <f>+IFERROR(HLOOKUP(C14,'סקרי נכסים-יתרות פתיחה'!$2:$110,34,0),0)-IFERROR(HLOOKUP(C14,'סקרי נכסים-יתרות פתיחה'!$2:$110,93,0),0)*(1-C$309)</f>
        <v>0</v>
      </c>
      <c r="D148" s="1240">
        <f>+IFERROR(HLOOKUP(D14,'סקרי נכסים-יתרות פתיחה'!$2:$110,34,0),0)-IFERROR(HLOOKUP(D14,'סקרי נכסים-יתרות פתיחה'!$2:$110,93,0),0)*(1-D$309)</f>
        <v>0</v>
      </c>
      <c r="E148" s="1240">
        <f>+IFERROR(HLOOKUP(E14,'סקרי נכסים-יתרות פתיחה'!$2:$110,34,0),0)-IFERROR(HLOOKUP(E14,'סקרי נכסים-יתרות פתיחה'!$2:$110,93,0),0)*(1-E$309)</f>
        <v>0</v>
      </c>
      <c r="F148" s="1240">
        <f>+IFERROR(HLOOKUP(F14,'סקרי נכסים-יתרות פתיחה'!$2:$110,34,0),0)-IFERROR(HLOOKUP(F14,'סקרי נכסים-יתרות פתיחה'!$2:$110,93,0),0)*(1-F$309)</f>
        <v>0</v>
      </c>
      <c r="G148" s="1240">
        <f>+IFERROR(HLOOKUP(G14,'סקרי נכסים-יתרות פתיחה'!$2:$110,34,0),0)-IFERROR(HLOOKUP(G14,'סקרי נכסים-יתרות פתיחה'!$2:$110,93,0),0)*(1-G$309)</f>
        <v>0</v>
      </c>
      <c r="H148" s="1240">
        <f>+IFERROR(HLOOKUP(H14,'סקרי נכסים-יתרות פתיחה'!$2:$110,34,0),0)-IFERROR(HLOOKUP(H14,'סקרי נכסים-יתרות פתיחה'!$2:$110,93,0),0)*(1-H$309)</f>
        <v>0</v>
      </c>
      <c r="I148" s="1240">
        <f>+IFERROR(HLOOKUP(I14,'סקרי נכסים-יתרות פתיחה'!$2:$110,34,0),0)-IFERROR(HLOOKUP(I14,'סקרי נכסים-יתרות פתיחה'!$2:$110,93,0),0)*(1-I$309)</f>
        <v>0</v>
      </c>
      <c r="J148" s="1240">
        <f>+IFERROR(HLOOKUP(J14,'סקרי נכסים-יתרות פתיחה'!$2:$110,34,0),0)-IFERROR(HLOOKUP(J14,'סקרי נכסים-יתרות פתיחה'!$2:$110,93,0),0)*(1-J$309)</f>
        <v>0</v>
      </c>
      <c r="K148" s="1240">
        <f>+IFERROR(HLOOKUP(K14,'סקרי נכסים-יתרות פתיחה'!$2:$110,34,0),0)-IFERROR(HLOOKUP(K14,'סקרי נכסים-יתרות פתיחה'!$2:$110,93,0),0)*(1-K$309)</f>
        <v>0</v>
      </c>
      <c r="L148" s="1240">
        <f>+IFERROR(HLOOKUP(L14,'סקרי נכסים-יתרות פתיחה'!$2:$110,34,0),0)-IFERROR(HLOOKUP(L14,'סקרי נכסים-יתרות פתיחה'!$2:$110,93,0),0)*(1-L$309)</f>
        <v>0</v>
      </c>
      <c r="M148" s="1240">
        <f>+IFERROR(HLOOKUP(M14,'סקרי נכסים-יתרות פתיחה'!$2:$110,34,0),0)-IFERROR(HLOOKUP(M14,'סקרי נכסים-יתרות פתיחה'!$2:$110,93,0),0)*(1-M$309)</f>
        <v>0</v>
      </c>
      <c r="N148" s="1240">
        <f>+IFERROR(HLOOKUP(N14,'סקרי נכסים-יתרות פתיחה'!$2:$110,34,0),0)-IFERROR(HLOOKUP(N14,'סקרי נכסים-יתרות פתיחה'!$2:$110,93,0),0)*(1-N$309)</f>
        <v>0</v>
      </c>
      <c r="O148" s="1240">
        <f>+IFERROR(HLOOKUP(O14,'סקרי נכסים-יתרות פתיחה'!$2:$110,34,0),0)-IFERROR(HLOOKUP(O14,'סקרי נכסים-יתרות פתיחה'!$2:$110,93,0),0)*(1-O$309)</f>
        <v>0</v>
      </c>
      <c r="P148" s="1240">
        <f>+IFERROR(HLOOKUP(P14,'סקרי נכסים-יתרות פתיחה'!$2:$110,34,0),0)-IFERROR(HLOOKUP(P14,'סקרי נכסים-יתרות פתיחה'!$2:$110,93,0),0)*(1-P$309)</f>
        <v>11523615</v>
      </c>
      <c r="Q148" s="1240">
        <f>+IFERROR(HLOOKUP(Q14,'סקרי נכסים-יתרות פתיחה'!$2:$110,34,0),0)-IFERROR(HLOOKUP(Q14,'סקרי נכסים-יתרות פתיחה'!$2:$110,93,0),0)*(1-Q$309)</f>
        <v>0</v>
      </c>
      <c r="R148" s="1240">
        <f>+IFERROR(HLOOKUP(R14,'סקרי נכסים-יתרות פתיחה'!$2:$110,34,0),0)-IFERROR(HLOOKUP(R14,'סקרי נכסים-יתרות פתיחה'!$2:$110,93,0),0)*(1-R$309)</f>
        <v>0</v>
      </c>
      <c r="S148" s="1240">
        <f>+IFERROR(HLOOKUP(S14,'סקרי נכסים-יתרות פתיחה'!$2:$110,34,0),0)-IFERROR(HLOOKUP(S14,'סקרי נכסים-יתרות פתיחה'!$2:$110,93,0),0)*(1-S$309)</f>
        <v>0</v>
      </c>
      <c r="T148" s="1240">
        <f>+IFERROR(HLOOKUP(T14,'סקרי נכסים-יתרות פתיחה'!$2:$110,34,0),0)-IFERROR(HLOOKUP(T14,'סקרי נכסים-יתרות פתיחה'!$2:$110,93,0),0)*(1-T$309)</f>
        <v>0</v>
      </c>
      <c r="U148" s="1240">
        <f>+IFERROR(HLOOKUP(U14,'סקרי נכסים-יתרות פתיחה'!$2:$110,34,0),0)-IFERROR(HLOOKUP(U14,'סקרי נכסים-יתרות פתיחה'!$2:$110,93,0),0)*(1-U$309)</f>
        <v>0</v>
      </c>
      <c r="V148" s="1240">
        <f>+IFERROR(HLOOKUP(V14,'סקרי נכסים-יתרות פתיחה'!$2:$110,34,0),0)-IFERROR(HLOOKUP(V14,'סקרי נכסים-יתרות פתיחה'!$2:$110,93,0),0)*(1-V$309)</f>
        <v>0</v>
      </c>
      <c r="W148" s="1240">
        <f>+IFERROR(HLOOKUP(W14,'סקרי נכסים-יתרות פתיחה'!$2:$110,34,0),0)-IFERROR(HLOOKUP(W14,'סקרי נכסים-יתרות פתיחה'!$2:$110,93,0),0)*(1-W$309)</f>
        <v>0</v>
      </c>
      <c r="X148" s="1240">
        <f>+IFERROR(HLOOKUP(X14,'סקרי נכסים-יתרות פתיחה'!$2:$110,34,0),0)-IFERROR(HLOOKUP(X14,'סקרי נכסים-יתרות פתיחה'!$2:$110,93,0),0)*(1-X$309)</f>
        <v>0</v>
      </c>
      <c r="Y148" s="1240">
        <f>+IFERROR(HLOOKUP(Y14,'סקרי נכסים-יתרות פתיחה'!$2:$110,34,0),0)-IFERROR(HLOOKUP(Y14,'סקרי נכסים-יתרות פתיחה'!$2:$110,93,0),0)*(1-Y$309)</f>
        <v>0</v>
      </c>
      <c r="Z148" s="1240">
        <f>+IFERROR(HLOOKUP(Z14,'סקרי נכסים-יתרות פתיחה'!$2:$110,34,0),0)-IFERROR(HLOOKUP(Z14,'סקרי נכסים-יתרות פתיחה'!$2:$110,93,0),0)*(1-Z$309)</f>
        <v>0</v>
      </c>
      <c r="AA148" s="1240">
        <f>+IFERROR(HLOOKUP(AA14,'סקרי נכסים-יתרות פתיחה'!$2:$110,34,0),0)-IFERROR(HLOOKUP(AA14,'סקרי נכסים-יתרות פתיחה'!$2:$110,93,0),0)*(1-AA$309)</f>
        <v>0</v>
      </c>
      <c r="AB148" s="1240">
        <f>+IFERROR(HLOOKUP(AB14,'סקרי נכסים-יתרות פתיחה'!$2:$110,34,0),0)-IFERROR(HLOOKUP(AB14,'סקרי נכסים-יתרות פתיחה'!$2:$110,93,0),0)*(1-AB$309)</f>
        <v>0</v>
      </c>
      <c r="AC148" s="1240">
        <f>+IFERROR(HLOOKUP(AC14,'סקרי נכסים-יתרות פתיחה'!$2:$110,34,0),0)-IFERROR(HLOOKUP(AC14,'סקרי נכסים-יתרות פתיחה'!$2:$110,93,0),0)*(1-AC$309)</f>
        <v>0</v>
      </c>
      <c r="AD148" s="1240">
        <f>+IFERROR(HLOOKUP(AD14,'סקרי נכסים-יתרות פתיחה'!$2:$110,34,0),0)-IFERROR(HLOOKUP(AD14,'סקרי נכסים-יתרות פתיחה'!$2:$110,93,0),0)*(1-AD$309)</f>
        <v>0</v>
      </c>
      <c r="AE148" s="1240">
        <f>+IFERROR(HLOOKUP(AE14,'סקרי נכסים-יתרות פתיחה'!$2:$110,34,0),0)-IFERROR(HLOOKUP(AE14,'סקרי נכסים-יתרות פתיחה'!$2:$110,93,0),0)*(1-AE$309)</f>
        <v>0</v>
      </c>
      <c r="AF148" s="1240">
        <f>+IFERROR(HLOOKUP(AF14,'סקרי נכסים-יתרות פתיחה'!$2:$110,34,0),0)-IFERROR(HLOOKUP(AF14,'סקרי נכסים-יתרות פתיחה'!$2:$110,93,0),0)*(1-AF$309)</f>
        <v>0</v>
      </c>
      <c r="AG148" s="1240">
        <f>+IFERROR(HLOOKUP(AG14,'סקרי נכסים-יתרות פתיחה'!$2:$110,34,0),0)-IFERROR(HLOOKUP(AG14,'סקרי נכסים-יתרות פתיחה'!$2:$110,93,0),0)*(1-AG$309)</f>
        <v>0</v>
      </c>
      <c r="AH148" s="1240">
        <f>+IFERROR(HLOOKUP(AH14,'סקרי נכסים-יתרות פתיחה'!$2:$110,34,0),0)-IFERROR(HLOOKUP(AH14,'סקרי נכסים-יתרות פתיחה'!$2:$110,93,0),0)*(1-AH$309)</f>
        <v>0</v>
      </c>
      <c r="AI148" s="1240">
        <f>+IFERROR(HLOOKUP(AI14,'סקרי נכסים-יתרות פתיחה'!$2:$110,34,0),0)-IFERROR(HLOOKUP(AI14,'סקרי נכסים-יתרות פתיחה'!$2:$110,93,0),0)*(1-AI$309)</f>
        <v>0</v>
      </c>
      <c r="AJ148" s="1240">
        <f>+IFERROR(HLOOKUP(AJ14,'סקרי נכסים-יתרות פתיחה'!$2:$110,34,0),0)-IFERROR(HLOOKUP(AJ14,'סקרי נכסים-יתרות פתיחה'!$2:$110,93,0),0)*(1-AJ$309)</f>
        <v>0</v>
      </c>
      <c r="AK148" s="1240">
        <f>+IFERROR(HLOOKUP(AK14,'סקרי נכסים-יתרות פתיחה'!$2:$110,34,0),0)-IFERROR(HLOOKUP(AK14,'סקרי נכסים-יתרות פתיחה'!$2:$110,93,0),0)*(1-AK$309)</f>
        <v>0</v>
      </c>
      <c r="AL148" s="1240">
        <f>+IFERROR(HLOOKUP(AL14,'סקרי נכסים-יתרות פתיחה'!$2:$110,34,0),0)-IFERROR(HLOOKUP(AL14,'סקרי נכסים-יתרות פתיחה'!$2:$110,93,0),0)*(1-AL$309)</f>
        <v>0</v>
      </c>
      <c r="AM148" s="1240">
        <f>+IFERROR(HLOOKUP(AM14,'סקרי נכסים-יתרות פתיחה'!$2:$110,34,0),0)-IFERROR(HLOOKUP(AM14,'סקרי נכסים-יתרות פתיחה'!$2:$110,93,0),0)*(1-AM$309)</f>
        <v>0</v>
      </c>
      <c r="AN148" s="1240">
        <f>+IFERROR(HLOOKUP(AN14,'סקרי נכסים-יתרות פתיחה'!$2:$110,34,0),0)-IFERROR(HLOOKUP(AN14,'סקרי נכסים-יתרות פתיחה'!$2:$110,93,0),0)*(1-AN$309)</f>
        <v>0</v>
      </c>
      <c r="AO148" s="1240">
        <f>+IFERROR(HLOOKUP(AO14,'סקרי נכסים-יתרות פתיחה'!$2:$110,34,0),0)-IFERROR(HLOOKUP(AO14,'סקרי נכסים-יתרות פתיחה'!$2:$110,93,0),0)*(1-AO$309)</f>
        <v>0</v>
      </c>
      <c r="AP148" s="1240">
        <f>+IFERROR(HLOOKUP(AP14,'סקרי נכסים-יתרות פתיחה'!$2:$110,34,0),0)-IFERROR(HLOOKUP(AP14,'סקרי נכסים-יתרות פתיחה'!$2:$110,93,0),0)*(1-AP$309)</f>
        <v>0</v>
      </c>
      <c r="AQ148" s="1240">
        <f>+IFERROR(HLOOKUP(AQ14,'סקרי נכסים-יתרות פתיחה'!$2:$110,34,0),0)-IFERROR(HLOOKUP(AQ14,'סקרי נכסים-יתרות פתיחה'!$2:$110,93,0),0)*(1-AQ$309)</f>
        <v>0</v>
      </c>
      <c r="AR148" s="1240">
        <f>+IFERROR(HLOOKUP(AR14,'סקרי נכסים-יתרות פתיחה'!$2:$110,34,0),0)-IFERROR(HLOOKUP(AR14,'סקרי נכסים-יתרות פתיחה'!$2:$110,93,0),0)*(1-AR$309)</f>
        <v>0</v>
      </c>
      <c r="AS148" s="1240">
        <f>+IFERROR(HLOOKUP(AS14,'סקרי נכסים-יתרות פתיחה'!$2:$110,34,0),0)-IFERROR(HLOOKUP(AS14,'סקרי נכסים-יתרות פתיחה'!$2:$110,93,0),0)*(1-AS$309)</f>
        <v>5184530</v>
      </c>
      <c r="AT148" s="1240">
        <f>+IFERROR(HLOOKUP(AT14,'סקרי נכסים-יתרות פתיחה'!$2:$110,34,0),0)-IFERROR(HLOOKUP(AT14,'סקרי נכסים-יתרות פתיחה'!$2:$110,93,0),0)*(1-AT$309)</f>
        <v>0</v>
      </c>
      <c r="AU148" s="1240">
        <f>+IFERROR(HLOOKUP(AU14,'סקרי נכסים-יתרות פתיחה'!$2:$110,34,0),0)-IFERROR(HLOOKUP(AU14,'סקרי נכסים-יתרות פתיחה'!$2:$110,93,0),0)*(1-AU$309)</f>
        <v>0</v>
      </c>
      <c r="AV148" s="1240">
        <f>+IFERROR(HLOOKUP(AV14,'סקרי נכסים-יתרות פתיחה'!$2:$110,34,0),0)-IFERROR(HLOOKUP(AV14,'סקרי נכסים-יתרות פתיחה'!$2:$110,93,0),0)*(1-AV$309)</f>
        <v>0</v>
      </c>
      <c r="AW148" s="1240">
        <f>+IFERROR(HLOOKUP(AW14,'סקרי נכסים-יתרות פתיחה'!$2:$110,34,0),0)-IFERROR(HLOOKUP(AW14,'סקרי נכסים-יתרות פתיחה'!$2:$110,93,0),0)*(1-AW$309)</f>
        <v>0</v>
      </c>
      <c r="AX148" s="1240">
        <f>+IFERROR(HLOOKUP(AX14,'סקרי נכסים-יתרות פתיחה'!$2:$110,34,0),0)-IFERROR(HLOOKUP(AX14,'סקרי נכסים-יתרות פתיחה'!$2:$110,93,0),0)*(1-AX$309)</f>
        <v>0</v>
      </c>
      <c r="AY148" s="1240">
        <f>+IFERROR(HLOOKUP(AY14,'סקרי נכסים-יתרות פתיחה'!$2:$110,34,0),0)-IFERROR(HLOOKUP(AY14,'סקרי נכסים-יתרות פתיחה'!$2:$110,93,0),0)*(1-AY$309)</f>
        <v>0</v>
      </c>
      <c r="AZ148" s="1240">
        <f>+IFERROR(HLOOKUP(AZ14,'סקרי נכסים-יתרות פתיחה'!$2:$110,34,0),0)-IFERROR(HLOOKUP(AZ14,'סקרי נכסים-יתרות פתיחה'!$2:$110,93,0),0)*(1-AZ$309)</f>
        <v>0</v>
      </c>
      <c r="BA148" s="1240">
        <f>+IFERROR(HLOOKUP(BA14,'סקרי נכסים-יתרות פתיחה'!$2:$110,34,0),0)-IFERROR(HLOOKUP(BA14,'סקרי נכסים-יתרות פתיחה'!$2:$110,93,0),0)*(1-BA$309)</f>
        <v>0</v>
      </c>
      <c r="BB148" s="1240">
        <f>+IFERROR(HLOOKUP(BB14,'סקרי נכסים-יתרות פתיחה'!$2:$110,34,0),0)-IFERROR(HLOOKUP(BB14,'סקרי נכסים-יתרות פתיחה'!$2:$110,93,0),0)*(1-BB$309)</f>
        <v>0</v>
      </c>
      <c r="BC148" s="1240">
        <f>+IFERROR(HLOOKUP(BC14,'סקרי נכסים-יתרות פתיחה'!$2:$110,34,0),0)-IFERROR(HLOOKUP(BC14,'סקרי נכסים-יתרות פתיחה'!$2:$110,93,0),0)*(1-BC$309)</f>
        <v>0</v>
      </c>
      <c r="BD148" s="1240">
        <f>+IFERROR(HLOOKUP(BD14,'סקרי נכסים-יתרות פתיחה'!$2:$110,34,0),0)-IFERROR(HLOOKUP(BD14,'סקרי נכסים-יתרות פתיחה'!$2:$110,93,0),0)*(1-BD$309)</f>
        <v>0</v>
      </c>
      <c r="BE148" s="1240">
        <f>+IFERROR(HLOOKUP(BE14,'סקרי נכסים-יתרות פתיחה'!$2:$110,34,0),0)-IFERROR(HLOOKUP(BE14,'סקרי נכסים-יתרות פתיחה'!$2:$110,93,0),0)*(1-BE$309)</f>
        <v>0</v>
      </c>
      <c r="BF148" s="1240">
        <f>+IFERROR(HLOOKUP(BF14,'סקרי נכסים-יתרות פתיחה'!$2:$110,34,0),0)-IFERROR(HLOOKUP(BF14,'סקרי נכסים-יתרות פתיחה'!$2:$110,93,0),0)*(1-BF$309)</f>
        <v>0</v>
      </c>
    </row>
    <row r="149" spans="2:58" x14ac:dyDescent="0.2">
      <c r="B149" s="1">
        <v>12</v>
      </c>
      <c r="C149" s="1240">
        <f>+IFERROR(HLOOKUP(C15,'סקרי נכסים-יתרות פתיחה'!$2:$110,34,0),0)-IFERROR(HLOOKUP(C15,'סקרי נכסים-יתרות פתיחה'!$2:$110,93,0),0)*(1-C$309)</f>
        <v>0</v>
      </c>
      <c r="D149" s="1240">
        <f>+IFERROR(HLOOKUP(D15,'סקרי נכסים-יתרות פתיחה'!$2:$110,34,0),0)-IFERROR(HLOOKUP(D15,'סקרי נכסים-יתרות פתיחה'!$2:$110,93,0),0)*(1-D$309)</f>
        <v>0</v>
      </c>
      <c r="E149" s="1240">
        <f>+IFERROR(HLOOKUP(E15,'סקרי נכסים-יתרות פתיחה'!$2:$110,34,0),0)-IFERROR(HLOOKUP(E15,'סקרי נכסים-יתרות פתיחה'!$2:$110,93,0),0)*(1-E$309)</f>
        <v>0</v>
      </c>
      <c r="F149" s="1240">
        <f>+IFERROR(HLOOKUP(F15,'סקרי נכסים-יתרות פתיחה'!$2:$110,34,0),0)-IFERROR(HLOOKUP(F15,'סקרי נכסים-יתרות פתיחה'!$2:$110,93,0),0)*(1-F$309)</f>
        <v>0</v>
      </c>
      <c r="G149" s="1240">
        <f>+IFERROR(HLOOKUP(G15,'סקרי נכסים-יתרות פתיחה'!$2:$110,34,0),0)-IFERROR(HLOOKUP(G15,'סקרי נכסים-יתרות פתיחה'!$2:$110,93,0),0)*(1-G$309)</f>
        <v>0</v>
      </c>
      <c r="H149" s="1240">
        <f>+IFERROR(HLOOKUP(H15,'סקרי נכסים-יתרות פתיחה'!$2:$110,34,0),0)-IFERROR(HLOOKUP(H15,'סקרי נכסים-יתרות פתיחה'!$2:$110,93,0),0)*(1-H$309)</f>
        <v>0</v>
      </c>
      <c r="I149" s="1240">
        <f>+IFERROR(HLOOKUP(I15,'סקרי נכסים-יתרות פתיחה'!$2:$110,34,0),0)-IFERROR(HLOOKUP(I15,'סקרי נכסים-יתרות פתיחה'!$2:$110,93,0),0)*(1-I$309)</f>
        <v>0</v>
      </c>
      <c r="J149" s="1240">
        <f>+IFERROR(HLOOKUP(J15,'סקרי נכסים-יתרות פתיחה'!$2:$110,34,0),0)-IFERROR(HLOOKUP(J15,'סקרי נכסים-יתרות פתיחה'!$2:$110,93,0),0)*(1-J$309)</f>
        <v>0</v>
      </c>
      <c r="K149" s="1240">
        <f>+IFERROR(HLOOKUP(K15,'סקרי נכסים-יתרות פתיחה'!$2:$110,34,0),0)-IFERROR(HLOOKUP(K15,'סקרי נכסים-יתרות פתיחה'!$2:$110,93,0),0)*(1-K$309)</f>
        <v>0</v>
      </c>
      <c r="L149" s="1240">
        <f>+IFERROR(HLOOKUP(L15,'סקרי נכסים-יתרות פתיחה'!$2:$110,34,0),0)-IFERROR(HLOOKUP(L15,'סקרי נכסים-יתרות פתיחה'!$2:$110,93,0),0)*(1-L$309)</f>
        <v>0</v>
      </c>
      <c r="M149" s="1240">
        <f>+IFERROR(HLOOKUP(M15,'סקרי נכסים-יתרות פתיחה'!$2:$110,34,0),0)-IFERROR(HLOOKUP(M15,'סקרי נכסים-יתרות פתיחה'!$2:$110,93,0),0)*(1-M$309)</f>
        <v>0</v>
      </c>
      <c r="N149" s="1240">
        <f>+IFERROR(HLOOKUP(N15,'סקרי נכסים-יתרות פתיחה'!$2:$110,34,0),0)-IFERROR(HLOOKUP(N15,'סקרי נכסים-יתרות פתיחה'!$2:$110,93,0),0)*(1-N$309)</f>
        <v>0</v>
      </c>
      <c r="O149" s="1240">
        <f>+IFERROR(HLOOKUP(O15,'סקרי נכסים-יתרות פתיחה'!$2:$110,34,0),0)-IFERROR(HLOOKUP(O15,'סקרי נכסים-יתרות פתיחה'!$2:$110,93,0),0)*(1-O$309)</f>
        <v>0</v>
      </c>
      <c r="P149" s="1240">
        <f>+IFERROR(HLOOKUP(P15,'סקרי נכסים-יתרות פתיחה'!$2:$110,34,0),0)-IFERROR(HLOOKUP(P15,'סקרי נכסים-יתרות פתיחה'!$2:$110,93,0),0)*(1-P$309)</f>
        <v>9459360</v>
      </c>
      <c r="Q149" s="1240">
        <f>+IFERROR(HLOOKUP(Q15,'סקרי נכסים-יתרות פתיחה'!$2:$110,34,0),0)-IFERROR(HLOOKUP(Q15,'סקרי נכסים-יתרות פתיחה'!$2:$110,93,0),0)*(1-Q$309)</f>
        <v>0</v>
      </c>
      <c r="R149" s="1240">
        <f>+IFERROR(HLOOKUP(R15,'סקרי נכסים-יתרות פתיחה'!$2:$110,34,0),0)-IFERROR(HLOOKUP(R15,'סקרי נכסים-יתרות פתיחה'!$2:$110,93,0),0)*(1-R$309)</f>
        <v>0</v>
      </c>
      <c r="S149" s="1240">
        <f>+IFERROR(HLOOKUP(S15,'סקרי נכסים-יתרות פתיחה'!$2:$110,34,0),0)-IFERROR(HLOOKUP(S15,'סקרי נכסים-יתרות פתיחה'!$2:$110,93,0),0)*(1-S$309)</f>
        <v>0</v>
      </c>
      <c r="T149" s="1240">
        <f>+IFERROR(HLOOKUP(T15,'סקרי נכסים-יתרות פתיחה'!$2:$110,34,0),0)-IFERROR(HLOOKUP(T15,'סקרי נכסים-יתרות פתיחה'!$2:$110,93,0),0)*(1-T$309)</f>
        <v>0</v>
      </c>
      <c r="U149" s="1240">
        <f>+IFERROR(HLOOKUP(U15,'סקרי נכסים-יתרות פתיחה'!$2:$110,34,0),0)-IFERROR(HLOOKUP(U15,'סקרי נכסים-יתרות פתיחה'!$2:$110,93,0),0)*(1-U$309)</f>
        <v>0</v>
      </c>
      <c r="V149" s="1240">
        <f>+IFERROR(HLOOKUP(V15,'סקרי נכסים-יתרות פתיחה'!$2:$110,34,0),0)-IFERROR(HLOOKUP(V15,'סקרי נכסים-יתרות פתיחה'!$2:$110,93,0),0)*(1-V$309)</f>
        <v>0</v>
      </c>
      <c r="W149" s="1240">
        <f>+IFERROR(HLOOKUP(W15,'סקרי נכסים-יתרות פתיחה'!$2:$110,34,0),0)-IFERROR(HLOOKUP(W15,'סקרי נכסים-יתרות פתיחה'!$2:$110,93,0),0)*(1-W$309)</f>
        <v>0</v>
      </c>
      <c r="X149" s="1240">
        <f>+IFERROR(HLOOKUP(X15,'סקרי נכסים-יתרות פתיחה'!$2:$110,34,0),0)-IFERROR(HLOOKUP(X15,'סקרי נכסים-יתרות פתיחה'!$2:$110,93,0),0)*(1-X$309)</f>
        <v>0</v>
      </c>
      <c r="Y149" s="1240">
        <f>+IFERROR(HLOOKUP(Y15,'סקרי נכסים-יתרות פתיחה'!$2:$110,34,0),0)-IFERROR(HLOOKUP(Y15,'סקרי נכסים-יתרות פתיחה'!$2:$110,93,0),0)*(1-Y$309)</f>
        <v>0</v>
      </c>
      <c r="Z149" s="1240">
        <f>+IFERROR(HLOOKUP(Z15,'סקרי נכסים-יתרות פתיחה'!$2:$110,34,0),0)-IFERROR(HLOOKUP(Z15,'סקרי נכסים-יתרות פתיחה'!$2:$110,93,0),0)*(1-Z$309)</f>
        <v>0</v>
      </c>
      <c r="AA149" s="1240">
        <f>+IFERROR(HLOOKUP(AA15,'סקרי נכסים-יתרות פתיחה'!$2:$110,34,0),0)-IFERROR(HLOOKUP(AA15,'סקרי נכסים-יתרות פתיחה'!$2:$110,93,0),0)*(1-AA$309)</f>
        <v>0</v>
      </c>
      <c r="AB149" s="1240">
        <f>+IFERROR(HLOOKUP(AB15,'סקרי נכסים-יתרות פתיחה'!$2:$110,34,0),0)-IFERROR(HLOOKUP(AB15,'סקרי נכסים-יתרות פתיחה'!$2:$110,93,0),0)*(1-AB$309)</f>
        <v>0</v>
      </c>
      <c r="AC149" s="1240">
        <f>+IFERROR(HLOOKUP(AC15,'סקרי נכסים-יתרות פתיחה'!$2:$110,34,0),0)-IFERROR(HLOOKUP(AC15,'סקרי נכסים-יתרות פתיחה'!$2:$110,93,0),0)*(1-AC$309)</f>
        <v>0</v>
      </c>
      <c r="AD149" s="1240">
        <f>+IFERROR(HLOOKUP(AD15,'סקרי נכסים-יתרות פתיחה'!$2:$110,34,0),0)-IFERROR(HLOOKUP(AD15,'סקרי נכסים-יתרות פתיחה'!$2:$110,93,0),0)*(1-AD$309)</f>
        <v>0</v>
      </c>
      <c r="AE149" s="1240">
        <f>+IFERROR(HLOOKUP(AE15,'סקרי נכסים-יתרות פתיחה'!$2:$110,34,0),0)-IFERROR(HLOOKUP(AE15,'סקרי נכסים-יתרות פתיחה'!$2:$110,93,0),0)*(1-AE$309)</f>
        <v>0</v>
      </c>
      <c r="AF149" s="1240">
        <f>+IFERROR(HLOOKUP(AF15,'סקרי נכסים-יתרות פתיחה'!$2:$110,34,0),0)-IFERROR(HLOOKUP(AF15,'סקרי נכסים-יתרות פתיחה'!$2:$110,93,0),0)*(1-AF$309)</f>
        <v>0</v>
      </c>
      <c r="AG149" s="1240">
        <f>+IFERROR(HLOOKUP(AG15,'סקרי נכסים-יתרות פתיחה'!$2:$110,34,0),0)-IFERROR(HLOOKUP(AG15,'סקרי נכסים-יתרות פתיחה'!$2:$110,93,0),0)*(1-AG$309)</f>
        <v>0</v>
      </c>
      <c r="AH149" s="1240">
        <f>+IFERROR(HLOOKUP(AH15,'סקרי נכסים-יתרות פתיחה'!$2:$110,34,0),0)-IFERROR(HLOOKUP(AH15,'סקרי נכסים-יתרות פתיחה'!$2:$110,93,0),0)*(1-AH$309)</f>
        <v>0</v>
      </c>
      <c r="AI149" s="1240">
        <f>+IFERROR(HLOOKUP(AI15,'סקרי נכסים-יתרות פתיחה'!$2:$110,34,0),0)-IFERROR(HLOOKUP(AI15,'סקרי נכסים-יתרות פתיחה'!$2:$110,93,0),0)*(1-AI$309)</f>
        <v>0</v>
      </c>
      <c r="AJ149" s="1240">
        <f>+IFERROR(HLOOKUP(AJ15,'סקרי נכסים-יתרות פתיחה'!$2:$110,34,0),0)-IFERROR(HLOOKUP(AJ15,'סקרי נכסים-יתרות פתיחה'!$2:$110,93,0),0)*(1-AJ$309)</f>
        <v>0</v>
      </c>
      <c r="AK149" s="1240">
        <f>+IFERROR(HLOOKUP(AK15,'סקרי נכסים-יתרות פתיחה'!$2:$110,34,0),0)-IFERROR(HLOOKUP(AK15,'סקרי נכסים-יתרות פתיחה'!$2:$110,93,0),0)*(1-AK$309)</f>
        <v>0</v>
      </c>
      <c r="AL149" s="1240">
        <f>+IFERROR(HLOOKUP(AL15,'סקרי נכסים-יתרות פתיחה'!$2:$110,34,0),0)-IFERROR(HLOOKUP(AL15,'סקרי נכסים-יתרות פתיחה'!$2:$110,93,0),0)*(1-AL$309)</f>
        <v>0</v>
      </c>
      <c r="AM149" s="1240">
        <f>+IFERROR(HLOOKUP(AM15,'סקרי נכסים-יתרות פתיחה'!$2:$110,34,0),0)-IFERROR(HLOOKUP(AM15,'סקרי נכסים-יתרות פתיחה'!$2:$110,93,0),0)*(1-AM$309)</f>
        <v>0</v>
      </c>
      <c r="AN149" s="1240">
        <f>+IFERROR(HLOOKUP(AN15,'סקרי נכסים-יתרות פתיחה'!$2:$110,34,0),0)-IFERROR(HLOOKUP(AN15,'סקרי נכסים-יתרות פתיחה'!$2:$110,93,0),0)*(1-AN$309)</f>
        <v>0</v>
      </c>
      <c r="AO149" s="1240">
        <f>+IFERROR(HLOOKUP(AO15,'סקרי נכסים-יתרות פתיחה'!$2:$110,34,0),0)-IFERROR(HLOOKUP(AO15,'סקרי נכסים-יתרות פתיחה'!$2:$110,93,0),0)*(1-AO$309)</f>
        <v>0</v>
      </c>
      <c r="AP149" s="1240">
        <f>+IFERROR(HLOOKUP(AP15,'סקרי נכסים-יתרות פתיחה'!$2:$110,34,0),0)-IFERROR(HLOOKUP(AP15,'סקרי נכסים-יתרות פתיחה'!$2:$110,93,0),0)*(1-AP$309)</f>
        <v>0</v>
      </c>
      <c r="AQ149" s="1240">
        <f>+IFERROR(HLOOKUP(AQ15,'סקרי נכסים-יתרות פתיחה'!$2:$110,34,0),0)-IFERROR(HLOOKUP(AQ15,'סקרי נכסים-יתרות פתיחה'!$2:$110,93,0),0)*(1-AQ$309)</f>
        <v>0</v>
      </c>
      <c r="AR149" s="1240">
        <f>+IFERROR(HLOOKUP(AR15,'סקרי נכסים-יתרות פתיחה'!$2:$110,34,0),0)-IFERROR(HLOOKUP(AR15,'סקרי נכסים-יתרות פתיחה'!$2:$110,93,0),0)*(1-AR$309)</f>
        <v>0</v>
      </c>
      <c r="AS149" s="1240">
        <f>+IFERROR(HLOOKUP(AS15,'סקרי נכסים-יתרות פתיחה'!$2:$110,34,0),0)-IFERROR(HLOOKUP(AS15,'סקרי נכסים-יתרות פתיחה'!$2:$110,93,0),0)*(1-AS$309)</f>
        <v>0</v>
      </c>
      <c r="AT149" s="1240">
        <f>+IFERROR(HLOOKUP(AT15,'סקרי נכסים-יתרות פתיחה'!$2:$110,34,0),0)-IFERROR(HLOOKUP(AT15,'סקרי נכסים-יתרות פתיחה'!$2:$110,93,0),0)*(1-AT$309)</f>
        <v>0</v>
      </c>
      <c r="AU149" s="1240">
        <f>+IFERROR(HLOOKUP(AU15,'סקרי נכסים-יתרות פתיחה'!$2:$110,34,0),0)-IFERROR(HLOOKUP(AU15,'סקרי נכסים-יתרות פתיחה'!$2:$110,93,0),0)*(1-AU$309)</f>
        <v>0</v>
      </c>
      <c r="AV149" s="1240">
        <f>+IFERROR(HLOOKUP(AV15,'סקרי נכסים-יתרות פתיחה'!$2:$110,34,0),0)-IFERROR(HLOOKUP(AV15,'סקרי נכסים-יתרות פתיחה'!$2:$110,93,0),0)*(1-AV$309)</f>
        <v>0</v>
      </c>
      <c r="AW149" s="1240">
        <f>+IFERROR(HLOOKUP(AW15,'סקרי נכסים-יתרות פתיחה'!$2:$110,34,0),0)-IFERROR(HLOOKUP(AW15,'סקרי נכסים-יתרות פתיחה'!$2:$110,93,0),0)*(1-AW$309)</f>
        <v>0</v>
      </c>
      <c r="AX149" s="1240">
        <f>+IFERROR(HLOOKUP(AX15,'סקרי נכסים-יתרות פתיחה'!$2:$110,34,0),0)-IFERROR(HLOOKUP(AX15,'סקרי נכסים-יתרות פתיחה'!$2:$110,93,0),0)*(1-AX$309)</f>
        <v>0</v>
      </c>
      <c r="AY149" s="1240">
        <f>+IFERROR(HLOOKUP(AY15,'סקרי נכסים-יתרות פתיחה'!$2:$110,34,0),0)-IFERROR(HLOOKUP(AY15,'סקרי נכסים-יתרות פתיחה'!$2:$110,93,0),0)*(1-AY$309)</f>
        <v>0</v>
      </c>
      <c r="AZ149" s="1240">
        <f>+IFERROR(HLOOKUP(AZ15,'סקרי נכסים-יתרות פתיחה'!$2:$110,34,0),0)-IFERROR(HLOOKUP(AZ15,'סקרי נכסים-יתרות פתיחה'!$2:$110,93,0),0)*(1-AZ$309)</f>
        <v>0</v>
      </c>
      <c r="BA149" s="1240">
        <f>+IFERROR(HLOOKUP(BA15,'סקרי נכסים-יתרות פתיחה'!$2:$110,34,0),0)-IFERROR(HLOOKUP(BA15,'סקרי נכסים-יתרות פתיחה'!$2:$110,93,0),0)*(1-BA$309)</f>
        <v>0</v>
      </c>
      <c r="BB149" s="1240">
        <f>+IFERROR(HLOOKUP(BB15,'סקרי נכסים-יתרות פתיחה'!$2:$110,34,0),0)-IFERROR(HLOOKUP(BB15,'סקרי נכסים-יתרות פתיחה'!$2:$110,93,0),0)*(1-BB$309)</f>
        <v>0</v>
      </c>
      <c r="BC149" s="1240">
        <f>+IFERROR(HLOOKUP(BC15,'סקרי נכסים-יתרות פתיחה'!$2:$110,34,0),0)-IFERROR(HLOOKUP(BC15,'סקרי נכסים-יתרות פתיחה'!$2:$110,93,0),0)*(1-BC$309)</f>
        <v>0</v>
      </c>
      <c r="BD149" s="1240">
        <f>+IFERROR(HLOOKUP(BD15,'סקרי נכסים-יתרות פתיחה'!$2:$110,34,0),0)-IFERROR(HLOOKUP(BD15,'סקרי נכסים-יתרות פתיחה'!$2:$110,93,0),0)*(1-BD$309)</f>
        <v>0</v>
      </c>
      <c r="BE149" s="1240">
        <f>+IFERROR(HLOOKUP(BE15,'סקרי נכסים-יתרות פתיחה'!$2:$110,34,0),0)-IFERROR(HLOOKUP(BE15,'סקרי נכסים-יתרות פתיחה'!$2:$110,93,0),0)*(1-BE$309)</f>
        <v>0</v>
      </c>
      <c r="BF149" s="1240">
        <f>+IFERROR(HLOOKUP(BF15,'סקרי נכסים-יתרות פתיחה'!$2:$110,34,0),0)-IFERROR(HLOOKUP(BF15,'סקרי נכסים-יתרות פתיחה'!$2:$110,93,0),0)*(1-BF$309)</f>
        <v>0</v>
      </c>
    </row>
    <row r="150" spans="2:58" x14ac:dyDescent="0.2">
      <c r="B150" s="1">
        <v>13</v>
      </c>
      <c r="C150" s="1240">
        <f>+IFERROR(HLOOKUP(C16,'סקרי נכסים-יתרות פתיחה'!$2:$110,34,0),0)-IFERROR(HLOOKUP(C16,'סקרי נכסים-יתרות פתיחה'!$2:$110,93,0),0)*(1-C$309)</f>
        <v>0</v>
      </c>
      <c r="D150" s="1240">
        <f>+IFERROR(HLOOKUP(D16,'סקרי נכסים-יתרות פתיחה'!$2:$110,34,0),0)-IFERROR(HLOOKUP(D16,'סקרי נכסים-יתרות פתיחה'!$2:$110,93,0),0)*(1-D$309)</f>
        <v>0</v>
      </c>
      <c r="E150" s="1240">
        <f>+IFERROR(HLOOKUP(E16,'סקרי נכסים-יתרות פתיחה'!$2:$110,34,0),0)-IFERROR(HLOOKUP(E16,'סקרי נכסים-יתרות פתיחה'!$2:$110,93,0),0)*(1-E$309)</f>
        <v>0</v>
      </c>
      <c r="F150" s="1240">
        <f>+IFERROR(HLOOKUP(F16,'סקרי נכסים-יתרות פתיחה'!$2:$110,34,0),0)-IFERROR(HLOOKUP(F16,'סקרי נכסים-יתרות פתיחה'!$2:$110,93,0),0)*(1-F$309)</f>
        <v>0</v>
      </c>
      <c r="G150" s="1240">
        <f>+IFERROR(HLOOKUP(G16,'סקרי נכסים-יתרות פתיחה'!$2:$110,34,0),0)-IFERROR(HLOOKUP(G16,'סקרי נכסים-יתרות פתיחה'!$2:$110,93,0),0)*(1-G$309)</f>
        <v>0</v>
      </c>
      <c r="H150" s="1240">
        <f>+IFERROR(HLOOKUP(H16,'סקרי נכסים-יתרות פתיחה'!$2:$110,34,0),0)-IFERROR(HLOOKUP(H16,'סקרי נכסים-יתרות פתיחה'!$2:$110,93,0),0)*(1-H$309)</f>
        <v>0</v>
      </c>
      <c r="I150" s="1240">
        <f>+IFERROR(HLOOKUP(I16,'סקרי נכסים-יתרות פתיחה'!$2:$110,34,0),0)-IFERROR(HLOOKUP(I16,'סקרי נכסים-יתרות פתיחה'!$2:$110,93,0),0)*(1-I$309)</f>
        <v>0</v>
      </c>
      <c r="J150" s="1240">
        <f>+IFERROR(HLOOKUP(J16,'סקרי נכסים-יתרות פתיחה'!$2:$110,34,0),0)-IFERROR(HLOOKUP(J16,'סקרי נכסים-יתרות פתיחה'!$2:$110,93,0),0)*(1-J$309)</f>
        <v>0</v>
      </c>
      <c r="K150" s="1240">
        <f>+IFERROR(HLOOKUP(K16,'סקרי נכסים-יתרות פתיחה'!$2:$110,34,0),0)-IFERROR(HLOOKUP(K16,'סקרי נכסים-יתרות פתיחה'!$2:$110,93,0),0)*(1-K$309)</f>
        <v>0</v>
      </c>
      <c r="L150" s="1240">
        <f>+IFERROR(HLOOKUP(L16,'סקרי נכסים-יתרות פתיחה'!$2:$110,34,0),0)-IFERROR(HLOOKUP(L16,'סקרי נכסים-יתרות פתיחה'!$2:$110,93,0),0)*(1-L$309)</f>
        <v>0</v>
      </c>
      <c r="M150" s="1240">
        <f>+IFERROR(HLOOKUP(M16,'סקרי נכסים-יתרות פתיחה'!$2:$110,34,0),0)-IFERROR(HLOOKUP(M16,'סקרי נכסים-יתרות פתיחה'!$2:$110,93,0),0)*(1-M$309)</f>
        <v>0</v>
      </c>
      <c r="N150" s="1240">
        <f>+IFERROR(HLOOKUP(N16,'סקרי נכסים-יתרות פתיחה'!$2:$110,34,0),0)-IFERROR(HLOOKUP(N16,'סקרי נכסים-יתרות פתיחה'!$2:$110,93,0),0)*(1-N$309)</f>
        <v>0</v>
      </c>
      <c r="O150" s="1240">
        <f>+IFERROR(HLOOKUP(O16,'סקרי נכסים-יתרות פתיחה'!$2:$110,34,0),0)-IFERROR(HLOOKUP(O16,'סקרי נכסים-יתרות פתיחה'!$2:$110,93,0),0)*(1-O$309)</f>
        <v>0</v>
      </c>
      <c r="P150" s="1240">
        <f>+IFERROR(HLOOKUP(P16,'סקרי נכסים-יתרות פתיחה'!$2:$110,34,0),0)-IFERROR(HLOOKUP(P16,'סקרי נכסים-יתרות פתיחה'!$2:$110,93,0),0)*(1-P$309)</f>
        <v>17212000</v>
      </c>
      <c r="Q150" s="1240">
        <f>+IFERROR(HLOOKUP(Q16,'סקרי נכסים-יתרות פתיחה'!$2:$110,34,0),0)-IFERROR(HLOOKUP(Q16,'סקרי נכסים-יתרות פתיחה'!$2:$110,93,0),0)*(1-Q$309)</f>
        <v>0</v>
      </c>
      <c r="R150" s="1240">
        <f>+IFERROR(HLOOKUP(R16,'סקרי נכסים-יתרות פתיחה'!$2:$110,34,0),0)-IFERROR(HLOOKUP(R16,'סקרי נכסים-יתרות פתיחה'!$2:$110,93,0),0)*(1-R$309)</f>
        <v>0</v>
      </c>
      <c r="S150" s="1240">
        <f>+IFERROR(HLOOKUP(S16,'סקרי נכסים-יתרות פתיחה'!$2:$110,34,0),0)-IFERROR(HLOOKUP(S16,'סקרי נכסים-יתרות פתיחה'!$2:$110,93,0),0)*(1-S$309)</f>
        <v>0</v>
      </c>
      <c r="T150" s="1240">
        <f>+IFERROR(HLOOKUP(T16,'סקרי נכסים-יתרות פתיחה'!$2:$110,34,0),0)-IFERROR(HLOOKUP(T16,'סקרי נכסים-יתרות פתיחה'!$2:$110,93,0),0)*(1-T$309)</f>
        <v>0</v>
      </c>
      <c r="U150" s="1240">
        <f>+IFERROR(HLOOKUP(U16,'סקרי נכסים-יתרות פתיחה'!$2:$110,34,0),0)-IFERROR(HLOOKUP(U16,'סקרי נכסים-יתרות פתיחה'!$2:$110,93,0),0)*(1-U$309)</f>
        <v>0</v>
      </c>
      <c r="V150" s="1240">
        <f>+IFERROR(HLOOKUP(V16,'סקרי נכסים-יתרות פתיחה'!$2:$110,34,0),0)-IFERROR(HLOOKUP(V16,'סקרי נכסים-יתרות פתיחה'!$2:$110,93,0),0)*(1-V$309)</f>
        <v>0</v>
      </c>
      <c r="W150" s="1240">
        <f>+IFERROR(HLOOKUP(W16,'סקרי נכסים-יתרות פתיחה'!$2:$110,34,0),0)-IFERROR(HLOOKUP(W16,'סקרי נכסים-יתרות פתיחה'!$2:$110,93,0),0)*(1-W$309)</f>
        <v>0</v>
      </c>
      <c r="X150" s="1240">
        <f>+IFERROR(HLOOKUP(X16,'סקרי נכסים-יתרות פתיחה'!$2:$110,34,0),0)-IFERROR(HLOOKUP(X16,'סקרי נכסים-יתרות פתיחה'!$2:$110,93,0),0)*(1-X$309)</f>
        <v>0</v>
      </c>
      <c r="Y150" s="1240">
        <f>+IFERROR(HLOOKUP(Y16,'סקרי נכסים-יתרות פתיחה'!$2:$110,34,0),0)-IFERROR(HLOOKUP(Y16,'סקרי נכסים-יתרות פתיחה'!$2:$110,93,0),0)*(1-Y$309)</f>
        <v>0</v>
      </c>
      <c r="Z150" s="1240">
        <f>+IFERROR(HLOOKUP(Z16,'סקרי נכסים-יתרות פתיחה'!$2:$110,34,0),0)-IFERROR(HLOOKUP(Z16,'סקרי נכסים-יתרות פתיחה'!$2:$110,93,0),0)*(1-Z$309)</f>
        <v>0</v>
      </c>
      <c r="AA150" s="1240">
        <f>+IFERROR(HLOOKUP(AA16,'סקרי נכסים-יתרות פתיחה'!$2:$110,34,0),0)-IFERROR(HLOOKUP(AA16,'סקרי נכסים-יתרות פתיחה'!$2:$110,93,0),0)*(1-AA$309)</f>
        <v>0</v>
      </c>
      <c r="AB150" s="1240">
        <f>+IFERROR(HLOOKUP(AB16,'סקרי נכסים-יתרות פתיחה'!$2:$110,34,0),0)-IFERROR(HLOOKUP(AB16,'סקרי נכסים-יתרות פתיחה'!$2:$110,93,0),0)*(1-AB$309)</f>
        <v>0</v>
      </c>
      <c r="AC150" s="1240">
        <f>+IFERROR(HLOOKUP(AC16,'סקרי נכסים-יתרות פתיחה'!$2:$110,34,0),0)-IFERROR(HLOOKUP(AC16,'סקרי נכסים-יתרות פתיחה'!$2:$110,93,0),0)*(1-AC$309)</f>
        <v>0</v>
      </c>
      <c r="AD150" s="1240">
        <f>+IFERROR(HLOOKUP(AD16,'סקרי נכסים-יתרות פתיחה'!$2:$110,34,0),0)-IFERROR(HLOOKUP(AD16,'סקרי נכסים-יתרות פתיחה'!$2:$110,93,0),0)*(1-AD$309)</f>
        <v>0</v>
      </c>
      <c r="AE150" s="1240">
        <f>+IFERROR(HLOOKUP(AE16,'סקרי נכסים-יתרות פתיחה'!$2:$110,34,0),0)-IFERROR(HLOOKUP(AE16,'סקרי נכסים-יתרות פתיחה'!$2:$110,93,0),0)*(1-AE$309)</f>
        <v>0</v>
      </c>
      <c r="AF150" s="1240">
        <f>+IFERROR(HLOOKUP(AF16,'סקרי נכסים-יתרות פתיחה'!$2:$110,34,0),0)-IFERROR(HLOOKUP(AF16,'סקרי נכסים-יתרות פתיחה'!$2:$110,93,0),0)*(1-AF$309)</f>
        <v>0</v>
      </c>
      <c r="AG150" s="1240">
        <f>+IFERROR(HLOOKUP(AG16,'סקרי נכסים-יתרות פתיחה'!$2:$110,34,0),0)-IFERROR(HLOOKUP(AG16,'סקרי נכסים-יתרות פתיחה'!$2:$110,93,0),0)*(1-AG$309)</f>
        <v>0</v>
      </c>
      <c r="AH150" s="1240">
        <f>+IFERROR(HLOOKUP(AH16,'סקרי נכסים-יתרות פתיחה'!$2:$110,34,0),0)-IFERROR(HLOOKUP(AH16,'סקרי נכסים-יתרות פתיחה'!$2:$110,93,0),0)*(1-AH$309)</f>
        <v>0</v>
      </c>
      <c r="AI150" s="1240">
        <f>+IFERROR(HLOOKUP(AI16,'סקרי נכסים-יתרות פתיחה'!$2:$110,34,0),0)-IFERROR(HLOOKUP(AI16,'סקרי נכסים-יתרות פתיחה'!$2:$110,93,0),0)*(1-AI$309)</f>
        <v>0</v>
      </c>
      <c r="AJ150" s="1240">
        <f>+IFERROR(HLOOKUP(AJ16,'סקרי נכסים-יתרות פתיחה'!$2:$110,34,0),0)-IFERROR(HLOOKUP(AJ16,'סקרי נכסים-יתרות פתיחה'!$2:$110,93,0),0)*(1-AJ$309)</f>
        <v>0</v>
      </c>
      <c r="AK150" s="1240">
        <f>+IFERROR(HLOOKUP(AK16,'סקרי נכסים-יתרות פתיחה'!$2:$110,34,0),0)-IFERROR(HLOOKUP(AK16,'סקרי נכסים-יתרות פתיחה'!$2:$110,93,0),0)*(1-AK$309)</f>
        <v>0</v>
      </c>
      <c r="AL150" s="1240">
        <f>+IFERROR(HLOOKUP(AL16,'סקרי נכסים-יתרות פתיחה'!$2:$110,34,0),0)-IFERROR(HLOOKUP(AL16,'סקרי נכסים-יתרות פתיחה'!$2:$110,93,0),0)*(1-AL$309)</f>
        <v>0</v>
      </c>
      <c r="AM150" s="1240">
        <f>+IFERROR(HLOOKUP(AM16,'סקרי נכסים-יתרות פתיחה'!$2:$110,34,0),0)-IFERROR(HLOOKUP(AM16,'סקרי נכסים-יתרות פתיחה'!$2:$110,93,0),0)*(1-AM$309)</f>
        <v>0</v>
      </c>
      <c r="AN150" s="1240">
        <f>+IFERROR(HLOOKUP(AN16,'סקרי נכסים-יתרות פתיחה'!$2:$110,34,0),0)-IFERROR(HLOOKUP(AN16,'סקרי נכסים-יתרות פתיחה'!$2:$110,93,0),0)*(1-AN$309)</f>
        <v>0</v>
      </c>
      <c r="AO150" s="1240">
        <f>+IFERROR(HLOOKUP(AO16,'סקרי נכסים-יתרות פתיחה'!$2:$110,34,0),0)-IFERROR(HLOOKUP(AO16,'סקרי נכסים-יתרות פתיחה'!$2:$110,93,0),0)*(1-AO$309)</f>
        <v>0</v>
      </c>
      <c r="AP150" s="1240">
        <f>+IFERROR(HLOOKUP(AP16,'סקרי נכסים-יתרות פתיחה'!$2:$110,34,0),0)-IFERROR(HLOOKUP(AP16,'סקרי נכסים-יתרות פתיחה'!$2:$110,93,0),0)*(1-AP$309)</f>
        <v>0</v>
      </c>
      <c r="AQ150" s="1240">
        <f>+IFERROR(HLOOKUP(AQ16,'סקרי נכסים-יתרות פתיחה'!$2:$110,34,0),0)-IFERROR(HLOOKUP(AQ16,'סקרי נכסים-יתרות פתיחה'!$2:$110,93,0),0)*(1-AQ$309)</f>
        <v>0</v>
      </c>
      <c r="AR150" s="1240">
        <f>+IFERROR(HLOOKUP(AR16,'סקרי נכסים-יתרות פתיחה'!$2:$110,34,0),0)-IFERROR(HLOOKUP(AR16,'סקרי נכסים-יתרות פתיחה'!$2:$110,93,0),0)*(1-AR$309)</f>
        <v>0</v>
      </c>
      <c r="AS150" s="1240">
        <f>+IFERROR(HLOOKUP(AS16,'סקרי נכסים-יתרות פתיחה'!$2:$110,34,0),0)-IFERROR(HLOOKUP(AS16,'סקרי נכסים-יתרות פתיחה'!$2:$110,93,0),0)*(1-AS$309)</f>
        <v>0</v>
      </c>
      <c r="AT150" s="1240">
        <f>+IFERROR(HLOOKUP(AT16,'סקרי נכסים-יתרות פתיחה'!$2:$110,34,0),0)-IFERROR(HLOOKUP(AT16,'סקרי נכסים-יתרות פתיחה'!$2:$110,93,0),0)*(1-AT$309)</f>
        <v>0</v>
      </c>
      <c r="AU150" s="1240">
        <f>+IFERROR(HLOOKUP(AU16,'סקרי נכסים-יתרות פתיחה'!$2:$110,34,0),0)-IFERROR(HLOOKUP(AU16,'סקרי נכסים-יתרות פתיחה'!$2:$110,93,0),0)*(1-AU$309)</f>
        <v>0</v>
      </c>
      <c r="AV150" s="1240">
        <f>+IFERROR(HLOOKUP(AV16,'סקרי נכסים-יתרות פתיחה'!$2:$110,34,0),0)-IFERROR(HLOOKUP(AV16,'סקרי נכסים-יתרות פתיחה'!$2:$110,93,0),0)*(1-AV$309)</f>
        <v>0</v>
      </c>
      <c r="AW150" s="1240">
        <f>+IFERROR(HLOOKUP(AW16,'סקרי נכסים-יתרות פתיחה'!$2:$110,34,0),0)-IFERROR(HLOOKUP(AW16,'סקרי נכסים-יתרות פתיחה'!$2:$110,93,0),0)*(1-AW$309)</f>
        <v>0</v>
      </c>
      <c r="AX150" s="1240">
        <f>+IFERROR(HLOOKUP(AX16,'סקרי נכסים-יתרות פתיחה'!$2:$110,34,0),0)-IFERROR(HLOOKUP(AX16,'סקרי נכסים-יתרות פתיחה'!$2:$110,93,0),0)*(1-AX$309)</f>
        <v>0</v>
      </c>
      <c r="AY150" s="1240">
        <f>+IFERROR(HLOOKUP(AY16,'סקרי נכסים-יתרות פתיחה'!$2:$110,34,0),0)-IFERROR(HLOOKUP(AY16,'סקרי נכסים-יתרות פתיחה'!$2:$110,93,0),0)*(1-AY$309)</f>
        <v>0</v>
      </c>
      <c r="AZ150" s="1240">
        <f>+IFERROR(HLOOKUP(AZ16,'סקרי נכסים-יתרות פתיחה'!$2:$110,34,0),0)-IFERROR(HLOOKUP(AZ16,'סקרי נכסים-יתרות פתיחה'!$2:$110,93,0),0)*(1-AZ$309)</f>
        <v>0</v>
      </c>
      <c r="BA150" s="1240">
        <f>+IFERROR(HLOOKUP(BA16,'סקרי נכסים-יתרות פתיחה'!$2:$110,34,0),0)-IFERROR(HLOOKUP(BA16,'סקרי נכסים-יתרות פתיחה'!$2:$110,93,0),0)*(1-BA$309)</f>
        <v>0</v>
      </c>
      <c r="BB150" s="1240">
        <f>+IFERROR(HLOOKUP(BB16,'סקרי נכסים-יתרות פתיחה'!$2:$110,34,0),0)-IFERROR(HLOOKUP(BB16,'סקרי נכסים-יתרות פתיחה'!$2:$110,93,0),0)*(1-BB$309)</f>
        <v>0</v>
      </c>
      <c r="BC150" s="1240">
        <f>+IFERROR(HLOOKUP(BC16,'סקרי נכסים-יתרות פתיחה'!$2:$110,34,0),0)-IFERROR(HLOOKUP(BC16,'סקרי נכסים-יתרות פתיחה'!$2:$110,93,0),0)*(1-BC$309)</f>
        <v>0</v>
      </c>
      <c r="BD150" s="1240">
        <f>+IFERROR(HLOOKUP(BD16,'סקרי נכסים-יתרות פתיחה'!$2:$110,34,0),0)-IFERROR(HLOOKUP(BD16,'סקרי נכסים-יתרות פתיחה'!$2:$110,93,0),0)*(1-BD$309)</f>
        <v>0</v>
      </c>
      <c r="BE150" s="1240">
        <f>+IFERROR(HLOOKUP(BE16,'סקרי נכסים-יתרות פתיחה'!$2:$110,34,0),0)-IFERROR(HLOOKUP(BE16,'סקרי נכסים-יתרות פתיחה'!$2:$110,93,0),0)*(1-BE$309)</f>
        <v>0</v>
      </c>
      <c r="BF150" s="1240">
        <f>+IFERROR(HLOOKUP(BF16,'סקרי נכסים-יתרות פתיחה'!$2:$110,34,0),0)-IFERROR(HLOOKUP(BF16,'סקרי נכסים-יתרות פתיחה'!$2:$110,93,0),0)*(1-BF$309)</f>
        <v>0</v>
      </c>
    </row>
    <row r="151" spans="2:58" x14ac:dyDescent="0.2">
      <c r="B151" s="1">
        <v>14</v>
      </c>
      <c r="C151" s="1240">
        <f>+IFERROR(HLOOKUP(C17,'סקרי נכסים-יתרות פתיחה'!$2:$110,34,0),0)-IFERROR(HLOOKUP(C17,'סקרי נכסים-יתרות פתיחה'!$2:$110,93,0),0)*(1-C$309)</f>
        <v>0</v>
      </c>
      <c r="D151" s="1240">
        <f>+IFERROR(HLOOKUP(D17,'סקרי נכסים-יתרות פתיחה'!$2:$110,34,0),0)-IFERROR(HLOOKUP(D17,'סקרי נכסים-יתרות פתיחה'!$2:$110,93,0),0)*(1-D$309)</f>
        <v>0</v>
      </c>
      <c r="E151" s="1240">
        <f>+IFERROR(HLOOKUP(E17,'סקרי נכסים-יתרות פתיחה'!$2:$110,34,0),0)-IFERROR(HLOOKUP(E17,'סקרי נכסים-יתרות פתיחה'!$2:$110,93,0),0)*(1-E$309)</f>
        <v>0</v>
      </c>
      <c r="F151" s="1240">
        <f>+IFERROR(HLOOKUP(F17,'סקרי נכסים-יתרות פתיחה'!$2:$110,34,0),0)-IFERROR(HLOOKUP(F17,'סקרי נכסים-יתרות פתיחה'!$2:$110,93,0),0)*(1-F$309)</f>
        <v>0</v>
      </c>
      <c r="G151" s="1240">
        <f>+IFERROR(HLOOKUP(G17,'סקרי נכסים-יתרות פתיחה'!$2:$110,34,0),0)-IFERROR(HLOOKUP(G17,'סקרי נכסים-יתרות פתיחה'!$2:$110,93,0),0)*(1-G$309)</f>
        <v>0</v>
      </c>
      <c r="H151" s="1240">
        <f>+IFERROR(HLOOKUP(H17,'סקרי נכסים-יתרות פתיחה'!$2:$110,34,0),0)-IFERROR(HLOOKUP(H17,'סקרי נכסים-יתרות פתיחה'!$2:$110,93,0),0)*(1-H$309)</f>
        <v>0</v>
      </c>
      <c r="I151" s="1240">
        <f>+IFERROR(HLOOKUP(I17,'סקרי נכסים-יתרות פתיחה'!$2:$110,34,0),0)-IFERROR(HLOOKUP(I17,'סקרי נכסים-יתרות פתיחה'!$2:$110,93,0),0)*(1-I$309)</f>
        <v>0</v>
      </c>
      <c r="J151" s="1240">
        <f>+IFERROR(HLOOKUP(J17,'סקרי נכסים-יתרות פתיחה'!$2:$110,34,0),0)-IFERROR(HLOOKUP(J17,'סקרי נכסים-יתרות פתיחה'!$2:$110,93,0),0)*(1-J$309)</f>
        <v>0</v>
      </c>
      <c r="K151" s="1240">
        <f>+IFERROR(HLOOKUP(K17,'סקרי נכסים-יתרות פתיחה'!$2:$110,34,0),0)-IFERROR(HLOOKUP(K17,'סקרי נכסים-יתרות פתיחה'!$2:$110,93,0),0)*(1-K$309)</f>
        <v>0</v>
      </c>
      <c r="L151" s="1240">
        <f>+IFERROR(HLOOKUP(L17,'סקרי נכסים-יתרות פתיחה'!$2:$110,34,0),0)-IFERROR(HLOOKUP(L17,'סקרי נכסים-יתרות פתיחה'!$2:$110,93,0),0)*(1-L$309)</f>
        <v>0</v>
      </c>
      <c r="M151" s="1240">
        <f>+IFERROR(HLOOKUP(M17,'סקרי נכסים-יתרות פתיחה'!$2:$110,34,0),0)-IFERROR(HLOOKUP(M17,'סקרי נכסים-יתרות פתיחה'!$2:$110,93,0),0)*(1-M$309)</f>
        <v>0</v>
      </c>
      <c r="N151" s="1240">
        <f>+IFERROR(HLOOKUP(N17,'סקרי נכסים-יתרות פתיחה'!$2:$110,34,0),0)-IFERROR(HLOOKUP(N17,'סקרי נכסים-יתרות פתיחה'!$2:$110,93,0),0)*(1-N$309)</f>
        <v>0</v>
      </c>
      <c r="O151" s="1240">
        <f>+IFERROR(HLOOKUP(O17,'סקרי נכסים-יתרות פתיחה'!$2:$110,34,0),0)-IFERROR(HLOOKUP(O17,'סקרי נכסים-יתרות פתיחה'!$2:$110,93,0),0)*(1-O$309)</f>
        <v>0</v>
      </c>
      <c r="P151" s="1240">
        <f>+IFERROR(HLOOKUP(P17,'סקרי נכסים-יתרות פתיחה'!$2:$110,34,0),0)-IFERROR(HLOOKUP(P17,'סקרי נכסים-יתרות פתיחה'!$2:$110,93,0),0)*(1-P$309)</f>
        <v>0</v>
      </c>
      <c r="Q151" s="1240">
        <f>+IFERROR(HLOOKUP(Q17,'סקרי נכסים-יתרות פתיחה'!$2:$110,34,0),0)-IFERROR(HLOOKUP(Q17,'סקרי נכסים-יתרות פתיחה'!$2:$110,93,0),0)*(1-Q$309)</f>
        <v>0</v>
      </c>
      <c r="R151" s="1240">
        <f>+IFERROR(HLOOKUP(R17,'סקרי נכסים-יתרות פתיחה'!$2:$110,34,0),0)-IFERROR(HLOOKUP(R17,'סקרי נכסים-יתרות פתיחה'!$2:$110,93,0),0)*(1-R$309)</f>
        <v>0</v>
      </c>
      <c r="S151" s="1240">
        <f>+IFERROR(HLOOKUP(S17,'סקרי נכסים-יתרות פתיחה'!$2:$110,34,0),0)-IFERROR(HLOOKUP(S17,'סקרי נכסים-יתרות פתיחה'!$2:$110,93,0),0)*(1-S$309)</f>
        <v>0</v>
      </c>
      <c r="T151" s="1240">
        <f>+IFERROR(HLOOKUP(T17,'סקרי נכסים-יתרות פתיחה'!$2:$110,34,0),0)-IFERROR(HLOOKUP(T17,'סקרי נכסים-יתרות פתיחה'!$2:$110,93,0),0)*(1-T$309)</f>
        <v>0</v>
      </c>
      <c r="U151" s="1240">
        <f>+IFERROR(HLOOKUP(U17,'סקרי נכסים-יתרות פתיחה'!$2:$110,34,0),0)-IFERROR(HLOOKUP(U17,'סקרי נכסים-יתרות פתיחה'!$2:$110,93,0),0)*(1-U$309)</f>
        <v>0</v>
      </c>
      <c r="V151" s="1240">
        <f>+IFERROR(HLOOKUP(V17,'סקרי נכסים-יתרות פתיחה'!$2:$110,34,0),0)-IFERROR(HLOOKUP(V17,'סקרי נכסים-יתרות פתיחה'!$2:$110,93,0),0)*(1-V$309)</f>
        <v>0</v>
      </c>
      <c r="W151" s="1240">
        <f>+IFERROR(HLOOKUP(W17,'סקרי נכסים-יתרות פתיחה'!$2:$110,34,0),0)-IFERROR(HLOOKUP(W17,'סקרי נכסים-יתרות פתיחה'!$2:$110,93,0),0)*(1-W$309)</f>
        <v>0</v>
      </c>
      <c r="X151" s="1240">
        <f>+IFERROR(HLOOKUP(X17,'סקרי נכסים-יתרות פתיחה'!$2:$110,34,0),0)-IFERROR(HLOOKUP(X17,'סקרי נכסים-יתרות פתיחה'!$2:$110,93,0),0)*(1-X$309)</f>
        <v>0</v>
      </c>
      <c r="Y151" s="1240">
        <f>+IFERROR(HLOOKUP(Y17,'סקרי נכסים-יתרות פתיחה'!$2:$110,34,0),0)-IFERROR(HLOOKUP(Y17,'סקרי נכסים-יתרות פתיחה'!$2:$110,93,0),0)*(1-Y$309)</f>
        <v>0</v>
      </c>
      <c r="Z151" s="1240">
        <f>+IFERROR(HLOOKUP(Z17,'סקרי נכסים-יתרות פתיחה'!$2:$110,34,0),0)-IFERROR(HLOOKUP(Z17,'סקרי נכסים-יתרות פתיחה'!$2:$110,93,0),0)*(1-Z$309)</f>
        <v>0</v>
      </c>
      <c r="AA151" s="1240">
        <f>+IFERROR(HLOOKUP(AA17,'סקרי נכסים-יתרות פתיחה'!$2:$110,34,0),0)-IFERROR(HLOOKUP(AA17,'סקרי נכסים-יתרות פתיחה'!$2:$110,93,0),0)*(1-AA$309)</f>
        <v>0</v>
      </c>
      <c r="AB151" s="1240">
        <f>+IFERROR(HLOOKUP(AB17,'סקרי נכסים-יתרות פתיחה'!$2:$110,34,0),0)-IFERROR(HLOOKUP(AB17,'סקרי נכסים-יתרות פתיחה'!$2:$110,93,0),0)*(1-AB$309)</f>
        <v>0</v>
      </c>
      <c r="AC151" s="1240">
        <f>+IFERROR(HLOOKUP(AC17,'סקרי נכסים-יתרות פתיחה'!$2:$110,34,0),0)-IFERROR(HLOOKUP(AC17,'סקרי נכסים-יתרות פתיחה'!$2:$110,93,0),0)*(1-AC$309)</f>
        <v>0</v>
      </c>
      <c r="AD151" s="1240">
        <f>+IFERROR(HLOOKUP(AD17,'סקרי נכסים-יתרות פתיחה'!$2:$110,34,0),0)-IFERROR(HLOOKUP(AD17,'סקרי נכסים-יתרות פתיחה'!$2:$110,93,0),0)*(1-AD$309)</f>
        <v>0</v>
      </c>
      <c r="AE151" s="1240">
        <f>+IFERROR(HLOOKUP(AE17,'סקרי נכסים-יתרות פתיחה'!$2:$110,34,0),0)-IFERROR(HLOOKUP(AE17,'סקרי נכסים-יתרות פתיחה'!$2:$110,93,0),0)*(1-AE$309)</f>
        <v>0</v>
      </c>
      <c r="AF151" s="1240">
        <f>+IFERROR(HLOOKUP(AF17,'סקרי נכסים-יתרות פתיחה'!$2:$110,34,0),0)-IFERROR(HLOOKUP(AF17,'סקרי נכסים-יתרות פתיחה'!$2:$110,93,0),0)*(1-AF$309)</f>
        <v>0</v>
      </c>
      <c r="AG151" s="1240">
        <f>+IFERROR(HLOOKUP(AG17,'סקרי נכסים-יתרות פתיחה'!$2:$110,34,0),0)-IFERROR(HLOOKUP(AG17,'סקרי נכסים-יתרות פתיחה'!$2:$110,93,0),0)*(1-AG$309)</f>
        <v>0</v>
      </c>
      <c r="AH151" s="1240">
        <f>+IFERROR(HLOOKUP(AH17,'סקרי נכסים-יתרות פתיחה'!$2:$110,34,0),0)-IFERROR(HLOOKUP(AH17,'סקרי נכסים-יתרות פתיחה'!$2:$110,93,0),0)*(1-AH$309)</f>
        <v>0</v>
      </c>
      <c r="AI151" s="1240">
        <f>+IFERROR(HLOOKUP(AI17,'סקרי נכסים-יתרות פתיחה'!$2:$110,34,0),0)-IFERROR(HLOOKUP(AI17,'סקרי נכסים-יתרות פתיחה'!$2:$110,93,0),0)*(1-AI$309)</f>
        <v>0</v>
      </c>
      <c r="AJ151" s="1240">
        <f>+IFERROR(HLOOKUP(AJ17,'סקרי נכסים-יתרות פתיחה'!$2:$110,34,0),0)-IFERROR(HLOOKUP(AJ17,'סקרי נכסים-יתרות פתיחה'!$2:$110,93,0),0)*(1-AJ$309)</f>
        <v>0</v>
      </c>
      <c r="AK151" s="1240">
        <f>+IFERROR(HLOOKUP(AK17,'סקרי נכסים-יתרות פתיחה'!$2:$110,34,0),0)-IFERROR(HLOOKUP(AK17,'סקרי נכסים-יתרות פתיחה'!$2:$110,93,0),0)*(1-AK$309)</f>
        <v>0</v>
      </c>
      <c r="AL151" s="1240">
        <f>+IFERROR(HLOOKUP(AL17,'סקרי נכסים-יתרות פתיחה'!$2:$110,34,0),0)-IFERROR(HLOOKUP(AL17,'סקרי נכסים-יתרות פתיחה'!$2:$110,93,0),0)*(1-AL$309)</f>
        <v>0</v>
      </c>
      <c r="AM151" s="1240">
        <f>+IFERROR(HLOOKUP(AM17,'סקרי נכסים-יתרות פתיחה'!$2:$110,34,0),0)-IFERROR(HLOOKUP(AM17,'סקרי נכסים-יתרות פתיחה'!$2:$110,93,0),0)*(1-AM$309)</f>
        <v>0</v>
      </c>
      <c r="AN151" s="1240">
        <f>+IFERROR(HLOOKUP(AN17,'סקרי נכסים-יתרות פתיחה'!$2:$110,34,0),0)-IFERROR(HLOOKUP(AN17,'סקרי נכסים-יתרות פתיחה'!$2:$110,93,0),0)*(1-AN$309)</f>
        <v>0</v>
      </c>
      <c r="AO151" s="1240">
        <f>+IFERROR(HLOOKUP(AO17,'סקרי נכסים-יתרות פתיחה'!$2:$110,34,0),0)-IFERROR(HLOOKUP(AO17,'סקרי נכסים-יתרות פתיחה'!$2:$110,93,0),0)*(1-AO$309)</f>
        <v>0</v>
      </c>
      <c r="AP151" s="1240">
        <f>+IFERROR(HLOOKUP(AP17,'סקרי נכסים-יתרות פתיחה'!$2:$110,34,0),0)-IFERROR(HLOOKUP(AP17,'סקרי נכסים-יתרות פתיחה'!$2:$110,93,0),0)*(1-AP$309)</f>
        <v>0</v>
      </c>
      <c r="AQ151" s="1240">
        <f>+IFERROR(HLOOKUP(AQ17,'סקרי נכסים-יתרות פתיחה'!$2:$110,34,0),0)-IFERROR(HLOOKUP(AQ17,'סקרי נכסים-יתרות פתיחה'!$2:$110,93,0),0)*(1-AQ$309)</f>
        <v>0</v>
      </c>
      <c r="AR151" s="1240">
        <f>+IFERROR(HLOOKUP(AR17,'סקרי נכסים-יתרות פתיחה'!$2:$110,34,0),0)-IFERROR(HLOOKUP(AR17,'סקרי נכסים-יתרות פתיחה'!$2:$110,93,0),0)*(1-AR$309)</f>
        <v>0</v>
      </c>
      <c r="AS151" s="1240">
        <f>+IFERROR(HLOOKUP(AS17,'סקרי נכסים-יתרות פתיחה'!$2:$110,34,0),0)-IFERROR(HLOOKUP(AS17,'סקרי נכסים-יתרות פתיחה'!$2:$110,93,0),0)*(1-AS$309)</f>
        <v>0</v>
      </c>
      <c r="AT151" s="1240">
        <f>+IFERROR(HLOOKUP(AT17,'סקרי נכסים-יתרות פתיחה'!$2:$110,34,0),0)-IFERROR(HLOOKUP(AT17,'סקרי נכסים-יתרות פתיחה'!$2:$110,93,0),0)*(1-AT$309)</f>
        <v>0</v>
      </c>
      <c r="AU151" s="1240">
        <f>+IFERROR(HLOOKUP(AU17,'סקרי נכסים-יתרות פתיחה'!$2:$110,34,0),0)-IFERROR(HLOOKUP(AU17,'סקרי נכסים-יתרות פתיחה'!$2:$110,93,0),0)*(1-AU$309)</f>
        <v>0</v>
      </c>
      <c r="AV151" s="1240">
        <f>+IFERROR(HLOOKUP(AV17,'סקרי נכסים-יתרות פתיחה'!$2:$110,34,0),0)-IFERROR(HLOOKUP(AV17,'סקרי נכסים-יתרות פתיחה'!$2:$110,93,0),0)*(1-AV$309)</f>
        <v>0</v>
      </c>
      <c r="AW151" s="1240">
        <f>+IFERROR(HLOOKUP(AW17,'סקרי נכסים-יתרות פתיחה'!$2:$110,34,0),0)-IFERROR(HLOOKUP(AW17,'סקרי נכסים-יתרות פתיחה'!$2:$110,93,0),0)*(1-AW$309)</f>
        <v>0</v>
      </c>
      <c r="AX151" s="1240">
        <f>+IFERROR(HLOOKUP(AX17,'סקרי נכסים-יתרות פתיחה'!$2:$110,34,0),0)-IFERROR(HLOOKUP(AX17,'סקרי נכסים-יתרות פתיחה'!$2:$110,93,0),0)*(1-AX$309)</f>
        <v>0</v>
      </c>
      <c r="AY151" s="1240">
        <f>+IFERROR(HLOOKUP(AY17,'סקרי נכסים-יתרות פתיחה'!$2:$110,34,0),0)-IFERROR(HLOOKUP(AY17,'סקרי נכסים-יתרות פתיחה'!$2:$110,93,0),0)*(1-AY$309)</f>
        <v>0</v>
      </c>
      <c r="AZ151" s="1240">
        <f>+IFERROR(HLOOKUP(AZ17,'סקרי נכסים-יתרות פתיחה'!$2:$110,34,0),0)-IFERROR(HLOOKUP(AZ17,'סקרי נכסים-יתרות פתיחה'!$2:$110,93,0),0)*(1-AZ$309)</f>
        <v>0</v>
      </c>
      <c r="BA151" s="1240">
        <f>+IFERROR(HLOOKUP(BA17,'סקרי נכסים-יתרות פתיחה'!$2:$110,34,0),0)-IFERROR(HLOOKUP(BA17,'סקרי נכסים-יתרות פתיחה'!$2:$110,93,0),0)*(1-BA$309)</f>
        <v>0</v>
      </c>
      <c r="BB151" s="1240">
        <f>+IFERROR(HLOOKUP(BB17,'סקרי נכסים-יתרות פתיחה'!$2:$110,34,0),0)-IFERROR(HLOOKUP(BB17,'סקרי נכסים-יתרות פתיחה'!$2:$110,93,0),0)*(1-BB$309)</f>
        <v>0</v>
      </c>
      <c r="BC151" s="1240">
        <f>+IFERROR(HLOOKUP(BC17,'סקרי נכסים-יתרות פתיחה'!$2:$110,34,0),0)-IFERROR(HLOOKUP(BC17,'סקרי נכסים-יתרות פתיחה'!$2:$110,93,0),0)*(1-BC$309)</f>
        <v>0</v>
      </c>
      <c r="BD151" s="1240">
        <f>+IFERROR(HLOOKUP(BD17,'סקרי נכסים-יתרות פתיחה'!$2:$110,34,0),0)-IFERROR(HLOOKUP(BD17,'סקרי נכסים-יתרות פתיחה'!$2:$110,93,0),0)*(1-BD$309)</f>
        <v>0</v>
      </c>
      <c r="BE151" s="1240">
        <f>+IFERROR(HLOOKUP(BE17,'סקרי נכסים-יתרות פתיחה'!$2:$110,34,0),0)-IFERROR(HLOOKUP(BE17,'סקרי נכסים-יתרות פתיחה'!$2:$110,93,0),0)*(1-BE$309)</f>
        <v>0</v>
      </c>
      <c r="BF151" s="1240">
        <f>+IFERROR(HLOOKUP(BF17,'סקרי נכסים-יתרות פתיחה'!$2:$110,34,0),0)-IFERROR(HLOOKUP(BF17,'סקרי נכסים-יתרות פתיחה'!$2:$110,93,0),0)*(1-BF$309)</f>
        <v>0</v>
      </c>
    </row>
    <row r="152" spans="2:58" x14ac:dyDescent="0.2">
      <c r="B152" s="1">
        <v>15</v>
      </c>
      <c r="C152" s="1240">
        <f>+IFERROR(HLOOKUP(C18,'סקרי נכסים-יתרות פתיחה'!$2:$110,34,0),0)-IFERROR(HLOOKUP(C18,'סקרי נכסים-יתרות פתיחה'!$2:$110,93,0),0)*(1-C$309)</f>
        <v>0</v>
      </c>
      <c r="D152" s="1240">
        <f>+IFERROR(HLOOKUP(D18,'סקרי נכסים-יתרות פתיחה'!$2:$110,34,0),0)-IFERROR(HLOOKUP(D18,'סקרי נכסים-יתרות פתיחה'!$2:$110,93,0),0)*(1-D$309)</f>
        <v>0</v>
      </c>
      <c r="E152" s="1240">
        <f>+IFERROR(HLOOKUP(E18,'סקרי נכסים-יתרות פתיחה'!$2:$110,34,0),0)-IFERROR(HLOOKUP(E18,'סקרי נכסים-יתרות פתיחה'!$2:$110,93,0),0)*(1-E$309)</f>
        <v>0</v>
      </c>
      <c r="F152" s="1240">
        <f>+IFERROR(HLOOKUP(F18,'סקרי נכסים-יתרות פתיחה'!$2:$110,34,0),0)-IFERROR(HLOOKUP(F18,'סקרי נכסים-יתרות פתיחה'!$2:$110,93,0),0)*(1-F$309)</f>
        <v>0</v>
      </c>
      <c r="G152" s="1240">
        <f>+IFERROR(HLOOKUP(G18,'סקרי נכסים-יתרות פתיחה'!$2:$110,34,0),0)-IFERROR(HLOOKUP(G18,'סקרי נכסים-יתרות פתיחה'!$2:$110,93,0),0)*(1-G$309)</f>
        <v>0</v>
      </c>
      <c r="H152" s="1240">
        <f>+IFERROR(HLOOKUP(H18,'סקרי נכסים-יתרות פתיחה'!$2:$110,34,0),0)-IFERROR(HLOOKUP(H18,'סקרי נכסים-יתרות פתיחה'!$2:$110,93,0),0)*(1-H$309)</f>
        <v>0</v>
      </c>
      <c r="I152" s="1240">
        <f>+IFERROR(HLOOKUP(I18,'סקרי נכסים-יתרות פתיחה'!$2:$110,34,0),0)-IFERROR(HLOOKUP(I18,'סקרי נכסים-יתרות פתיחה'!$2:$110,93,0),0)*(1-I$309)</f>
        <v>0</v>
      </c>
      <c r="J152" s="1240">
        <f>+IFERROR(HLOOKUP(J18,'סקרי נכסים-יתרות פתיחה'!$2:$110,34,0),0)-IFERROR(HLOOKUP(J18,'סקרי נכסים-יתרות פתיחה'!$2:$110,93,0),0)*(1-J$309)</f>
        <v>0</v>
      </c>
      <c r="K152" s="1240">
        <f>+IFERROR(HLOOKUP(K18,'סקרי נכסים-יתרות פתיחה'!$2:$110,34,0),0)-IFERROR(HLOOKUP(K18,'סקרי נכסים-יתרות פתיחה'!$2:$110,93,0),0)*(1-K$309)</f>
        <v>0</v>
      </c>
      <c r="L152" s="1240">
        <f>+IFERROR(HLOOKUP(L18,'סקרי נכסים-יתרות פתיחה'!$2:$110,34,0),0)-IFERROR(HLOOKUP(L18,'סקרי נכסים-יתרות פתיחה'!$2:$110,93,0),0)*(1-L$309)</f>
        <v>0</v>
      </c>
      <c r="M152" s="1240">
        <f>+IFERROR(HLOOKUP(M18,'סקרי נכסים-יתרות פתיחה'!$2:$110,34,0),0)-IFERROR(HLOOKUP(M18,'סקרי נכסים-יתרות פתיחה'!$2:$110,93,0),0)*(1-M$309)</f>
        <v>0</v>
      </c>
      <c r="N152" s="1240">
        <f>+IFERROR(HLOOKUP(N18,'סקרי נכסים-יתרות פתיחה'!$2:$110,34,0),0)-IFERROR(HLOOKUP(N18,'סקרי נכסים-יתרות פתיחה'!$2:$110,93,0),0)*(1-N$309)</f>
        <v>0</v>
      </c>
      <c r="O152" s="1240">
        <f>+IFERROR(HLOOKUP(O18,'סקרי נכסים-יתרות פתיחה'!$2:$110,34,0),0)-IFERROR(HLOOKUP(O18,'סקרי נכסים-יתרות פתיחה'!$2:$110,93,0),0)*(1-O$309)</f>
        <v>0</v>
      </c>
      <c r="P152" s="1240">
        <f>+IFERROR(HLOOKUP(P18,'סקרי נכסים-יתרות פתיחה'!$2:$110,34,0),0)-IFERROR(HLOOKUP(P18,'סקרי נכסים-יתרות פתיחה'!$2:$110,93,0),0)*(1-P$309)</f>
        <v>0</v>
      </c>
      <c r="Q152" s="1240">
        <f>+IFERROR(HLOOKUP(Q18,'סקרי נכסים-יתרות פתיחה'!$2:$110,34,0),0)-IFERROR(HLOOKUP(Q18,'סקרי נכסים-יתרות פתיחה'!$2:$110,93,0),0)*(1-Q$309)</f>
        <v>0</v>
      </c>
      <c r="R152" s="1240">
        <f>+IFERROR(HLOOKUP(R18,'סקרי נכסים-יתרות פתיחה'!$2:$110,34,0),0)-IFERROR(HLOOKUP(R18,'סקרי נכסים-יתרות פתיחה'!$2:$110,93,0),0)*(1-R$309)</f>
        <v>0</v>
      </c>
      <c r="S152" s="1240">
        <f>+IFERROR(HLOOKUP(S18,'סקרי נכסים-יתרות פתיחה'!$2:$110,34,0),0)-IFERROR(HLOOKUP(S18,'סקרי נכסים-יתרות פתיחה'!$2:$110,93,0),0)*(1-S$309)</f>
        <v>0</v>
      </c>
      <c r="T152" s="1240">
        <f>+IFERROR(HLOOKUP(T18,'סקרי נכסים-יתרות פתיחה'!$2:$110,34,0),0)-IFERROR(HLOOKUP(T18,'סקרי נכסים-יתרות פתיחה'!$2:$110,93,0),0)*(1-T$309)</f>
        <v>0</v>
      </c>
      <c r="U152" s="1240">
        <f>+IFERROR(HLOOKUP(U18,'סקרי נכסים-יתרות פתיחה'!$2:$110,34,0),0)-IFERROR(HLOOKUP(U18,'סקרי נכסים-יתרות פתיחה'!$2:$110,93,0),0)*(1-U$309)</f>
        <v>0</v>
      </c>
      <c r="V152" s="1240">
        <f>+IFERROR(HLOOKUP(V18,'סקרי נכסים-יתרות פתיחה'!$2:$110,34,0),0)-IFERROR(HLOOKUP(V18,'סקרי נכסים-יתרות פתיחה'!$2:$110,93,0),0)*(1-V$309)</f>
        <v>0</v>
      </c>
      <c r="W152" s="1240">
        <f>+IFERROR(HLOOKUP(W18,'סקרי נכסים-יתרות פתיחה'!$2:$110,34,0),0)-IFERROR(HLOOKUP(W18,'סקרי נכסים-יתרות פתיחה'!$2:$110,93,0),0)*(1-W$309)</f>
        <v>0</v>
      </c>
      <c r="X152" s="1240">
        <f>+IFERROR(HLOOKUP(X18,'סקרי נכסים-יתרות פתיחה'!$2:$110,34,0),0)-IFERROR(HLOOKUP(X18,'סקרי נכסים-יתרות פתיחה'!$2:$110,93,0),0)*(1-X$309)</f>
        <v>0</v>
      </c>
      <c r="Y152" s="1240">
        <f>+IFERROR(HLOOKUP(Y18,'סקרי נכסים-יתרות פתיחה'!$2:$110,34,0),0)-IFERROR(HLOOKUP(Y18,'סקרי נכסים-יתרות פתיחה'!$2:$110,93,0),0)*(1-Y$309)</f>
        <v>0</v>
      </c>
      <c r="Z152" s="1240">
        <f>+IFERROR(HLOOKUP(Z18,'סקרי נכסים-יתרות פתיחה'!$2:$110,34,0),0)-IFERROR(HLOOKUP(Z18,'סקרי נכסים-יתרות פתיחה'!$2:$110,93,0),0)*(1-Z$309)</f>
        <v>0</v>
      </c>
      <c r="AA152" s="1240">
        <f>+IFERROR(HLOOKUP(AA18,'סקרי נכסים-יתרות פתיחה'!$2:$110,34,0),0)-IFERROR(HLOOKUP(AA18,'סקרי נכסים-יתרות פתיחה'!$2:$110,93,0),0)*(1-AA$309)</f>
        <v>0</v>
      </c>
      <c r="AB152" s="1240">
        <f>+IFERROR(HLOOKUP(AB18,'סקרי נכסים-יתרות פתיחה'!$2:$110,34,0),0)-IFERROR(HLOOKUP(AB18,'סקרי נכסים-יתרות פתיחה'!$2:$110,93,0),0)*(1-AB$309)</f>
        <v>0</v>
      </c>
      <c r="AC152" s="1240">
        <f>+IFERROR(HLOOKUP(AC18,'סקרי נכסים-יתרות פתיחה'!$2:$110,34,0),0)-IFERROR(HLOOKUP(AC18,'סקרי נכסים-יתרות פתיחה'!$2:$110,93,0),0)*(1-AC$309)</f>
        <v>0</v>
      </c>
      <c r="AD152" s="1240">
        <f>+IFERROR(HLOOKUP(AD18,'סקרי נכסים-יתרות פתיחה'!$2:$110,34,0),0)-IFERROR(HLOOKUP(AD18,'סקרי נכסים-יתרות פתיחה'!$2:$110,93,0),0)*(1-AD$309)</f>
        <v>0</v>
      </c>
      <c r="AE152" s="1240">
        <f>+IFERROR(HLOOKUP(AE18,'סקרי נכסים-יתרות פתיחה'!$2:$110,34,0),0)-IFERROR(HLOOKUP(AE18,'סקרי נכסים-יתרות פתיחה'!$2:$110,93,0),0)*(1-AE$309)</f>
        <v>0</v>
      </c>
      <c r="AF152" s="1240">
        <f>+IFERROR(HLOOKUP(AF18,'סקרי נכסים-יתרות פתיחה'!$2:$110,34,0),0)-IFERROR(HLOOKUP(AF18,'סקרי נכסים-יתרות פתיחה'!$2:$110,93,0),0)*(1-AF$309)</f>
        <v>0</v>
      </c>
      <c r="AG152" s="1240">
        <f>+IFERROR(HLOOKUP(AG18,'סקרי נכסים-יתרות פתיחה'!$2:$110,34,0),0)-IFERROR(HLOOKUP(AG18,'סקרי נכסים-יתרות פתיחה'!$2:$110,93,0),0)*(1-AG$309)</f>
        <v>0</v>
      </c>
      <c r="AH152" s="1240">
        <f>+IFERROR(HLOOKUP(AH18,'סקרי נכסים-יתרות פתיחה'!$2:$110,34,0),0)-IFERROR(HLOOKUP(AH18,'סקרי נכסים-יתרות פתיחה'!$2:$110,93,0),0)*(1-AH$309)</f>
        <v>0</v>
      </c>
      <c r="AI152" s="1240">
        <f>+IFERROR(HLOOKUP(AI18,'סקרי נכסים-יתרות פתיחה'!$2:$110,34,0),0)-IFERROR(HLOOKUP(AI18,'סקרי נכסים-יתרות פתיחה'!$2:$110,93,0),0)*(1-AI$309)</f>
        <v>0</v>
      </c>
      <c r="AJ152" s="1240">
        <f>+IFERROR(HLOOKUP(AJ18,'סקרי נכסים-יתרות פתיחה'!$2:$110,34,0),0)-IFERROR(HLOOKUP(AJ18,'סקרי נכסים-יתרות פתיחה'!$2:$110,93,0),0)*(1-AJ$309)</f>
        <v>0</v>
      </c>
      <c r="AK152" s="1240">
        <f>+IFERROR(HLOOKUP(AK18,'סקרי נכסים-יתרות פתיחה'!$2:$110,34,0),0)-IFERROR(HLOOKUP(AK18,'סקרי נכסים-יתרות פתיחה'!$2:$110,93,0),0)*(1-AK$309)</f>
        <v>0</v>
      </c>
      <c r="AL152" s="1240">
        <f>+IFERROR(HLOOKUP(AL18,'סקרי נכסים-יתרות פתיחה'!$2:$110,34,0),0)-IFERROR(HLOOKUP(AL18,'סקרי נכסים-יתרות פתיחה'!$2:$110,93,0),0)*(1-AL$309)</f>
        <v>0</v>
      </c>
      <c r="AM152" s="1240">
        <f>+IFERROR(HLOOKUP(AM18,'סקרי נכסים-יתרות פתיחה'!$2:$110,34,0),0)-IFERROR(HLOOKUP(AM18,'סקרי נכסים-יתרות פתיחה'!$2:$110,93,0),0)*(1-AM$309)</f>
        <v>0</v>
      </c>
      <c r="AN152" s="1240">
        <f>+IFERROR(HLOOKUP(AN18,'סקרי נכסים-יתרות פתיחה'!$2:$110,34,0),0)-IFERROR(HLOOKUP(AN18,'סקרי נכסים-יתרות פתיחה'!$2:$110,93,0),0)*(1-AN$309)</f>
        <v>0</v>
      </c>
      <c r="AO152" s="1240">
        <f>+IFERROR(HLOOKUP(AO18,'סקרי נכסים-יתרות פתיחה'!$2:$110,34,0),0)-IFERROR(HLOOKUP(AO18,'סקרי נכסים-יתרות פתיחה'!$2:$110,93,0),0)*(1-AO$309)</f>
        <v>0</v>
      </c>
      <c r="AP152" s="1240">
        <f>+IFERROR(HLOOKUP(AP18,'סקרי נכסים-יתרות פתיחה'!$2:$110,34,0),0)-IFERROR(HLOOKUP(AP18,'סקרי נכסים-יתרות פתיחה'!$2:$110,93,0),0)*(1-AP$309)</f>
        <v>0</v>
      </c>
      <c r="AQ152" s="1240">
        <f>+IFERROR(HLOOKUP(AQ18,'סקרי נכסים-יתרות פתיחה'!$2:$110,34,0),0)-IFERROR(HLOOKUP(AQ18,'סקרי נכסים-יתרות פתיחה'!$2:$110,93,0),0)*(1-AQ$309)</f>
        <v>0</v>
      </c>
      <c r="AR152" s="1240">
        <f>+IFERROR(HLOOKUP(AR18,'סקרי נכסים-יתרות פתיחה'!$2:$110,34,0),0)-IFERROR(HLOOKUP(AR18,'סקרי נכסים-יתרות פתיחה'!$2:$110,93,0),0)*(1-AR$309)</f>
        <v>0</v>
      </c>
      <c r="AS152" s="1240">
        <f>+IFERROR(HLOOKUP(AS18,'סקרי נכסים-יתרות פתיחה'!$2:$110,34,0),0)-IFERROR(HLOOKUP(AS18,'סקרי נכסים-יתרות פתיחה'!$2:$110,93,0),0)*(1-AS$309)</f>
        <v>0</v>
      </c>
      <c r="AT152" s="1240">
        <f>+IFERROR(HLOOKUP(AT18,'סקרי נכסים-יתרות פתיחה'!$2:$110,34,0),0)-IFERROR(HLOOKUP(AT18,'סקרי נכסים-יתרות פתיחה'!$2:$110,93,0),0)*(1-AT$309)</f>
        <v>0</v>
      </c>
      <c r="AU152" s="1240">
        <f>+IFERROR(HLOOKUP(AU18,'סקרי נכסים-יתרות פתיחה'!$2:$110,34,0),0)-IFERROR(HLOOKUP(AU18,'סקרי נכסים-יתרות פתיחה'!$2:$110,93,0),0)*(1-AU$309)</f>
        <v>0</v>
      </c>
      <c r="AV152" s="1240">
        <f>+IFERROR(HLOOKUP(AV18,'סקרי נכסים-יתרות פתיחה'!$2:$110,34,0),0)-IFERROR(HLOOKUP(AV18,'סקרי נכסים-יתרות פתיחה'!$2:$110,93,0),0)*(1-AV$309)</f>
        <v>0</v>
      </c>
      <c r="AW152" s="1240">
        <f>+IFERROR(HLOOKUP(AW18,'סקרי נכסים-יתרות פתיחה'!$2:$110,34,0),0)-IFERROR(HLOOKUP(AW18,'סקרי נכסים-יתרות פתיחה'!$2:$110,93,0),0)*(1-AW$309)</f>
        <v>0</v>
      </c>
      <c r="AX152" s="1240">
        <f>+IFERROR(HLOOKUP(AX18,'סקרי נכסים-יתרות פתיחה'!$2:$110,34,0),0)-IFERROR(HLOOKUP(AX18,'סקרי נכסים-יתרות פתיחה'!$2:$110,93,0),0)*(1-AX$309)</f>
        <v>0</v>
      </c>
      <c r="AY152" s="1240">
        <f>+IFERROR(HLOOKUP(AY18,'סקרי נכסים-יתרות פתיחה'!$2:$110,34,0),0)-IFERROR(HLOOKUP(AY18,'סקרי נכסים-יתרות פתיחה'!$2:$110,93,0),0)*(1-AY$309)</f>
        <v>0</v>
      </c>
      <c r="AZ152" s="1240">
        <f>+IFERROR(HLOOKUP(AZ18,'סקרי נכסים-יתרות פתיחה'!$2:$110,34,0),0)-IFERROR(HLOOKUP(AZ18,'סקרי נכסים-יתרות פתיחה'!$2:$110,93,0),0)*(1-AZ$309)</f>
        <v>0</v>
      </c>
      <c r="BA152" s="1240">
        <f>+IFERROR(HLOOKUP(BA18,'סקרי נכסים-יתרות פתיחה'!$2:$110,34,0),0)-IFERROR(HLOOKUP(BA18,'סקרי נכסים-יתרות פתיחה'!$2:$110,93,0),0)*(1-BA$309)</f>
        <v>0</v>
      </c>
      <c r="BB152" s="1240">
        <f>+IFERROR(HLOOKUP(BB18,'סקרי נכסים-יתרות פתיחה'!$2:$110,34,0),0)-IFERROR(HLOOKUP(BB18,'סקרי נכסים-יתרות פתיחה'!$2:$110,93,0),0)*(1-BB$309)</f>
        <v>0</v>
      </c>
      <c r="BC152" s="1240">
        <f>+IFERROR(HLOOKUP(BC18,'סקרי נכסים-יתרות פתיחה'!$2:$110,34,0),0)-IFERROR(HLOOKUP(BC18,'סקרי נכסים-יתרות פתיחה'!$2:$110,93,0),0)*(1-BC$309)</f>
        <v>0</v>
      </c>
      <c r="BD152" s="1240">
        <f>+IFERROR(HLOOKUP(BD18,'סקרי נכסים-יתרות פתיחה'!$2:$110,34,0),0)-IFERROR(HLOOKUP(BD18,'סקרי נכסים-יתרות פתיחה'!$2:$110,93,0),0)*(1-BD$309)</f>
        <v>0</v>
      </c>
      <c r="BE152" s="1240">
        <f>+IFERROR(HLOOKUP(BE18,'סקרי נכסים-יתרות פתיחה'!$2:$110,34,0),0)-IFERROR(HLOOKUP(BE18,'סקרי נכסים-יתרות פתיחה'!$2:$110,93,0),0)*(1-BE$309)</f>
        <v>0</v>
      </c>
      <c r="BF152" s="1240">
        <f>+IFERROR(HLOOKUP(BF18,'סקרי נכסים-יתרות פתיחה'!$2:$110,34,0),0)-IFERROR(HLOOKUP(BF18,'סקרי נכסים-יתרות פתיחה'!$2:$110,93,0),0)*(1-BF$309)</f>
        <v>0</v>
      </c>
    </row>
    <row r="153" spans="2:58" x14ac:dyDescent="0.2">
      <c r="B153" s="1">
        <v>16</v>
      </c>
      <c r="C153" s="1240">
        <f>+IFERROR(HLOOKUP(C19,'סקרי נכסים-יתרות פתיחה'!$2:$110,34,0),0)-IFERROR(HLOOKUP(C19,'סקרי נכסים-יתרות פתיחה'!$2:$110,93,0),0)*(1-C$309)</f>
        <v>0</v>
      </c>
      <c r="D153" s="1240">
        <f>+IFERROR(HLOOKUP(D19,'סקרי נכסים-יתרות פתיחה'!$2:$110,34,0),0)-IFERROR(HLOOKUP(D19,'סקרי נכסים-יתרות פתיחה'!$2:$110,93,0),0)*(1-D$309)</f>
        <v>0</v>
      </c>
      <c r="E153" s="1240">
        <f>+IFERROR(HLOOKUP(E19,'סקרי נכסים-יתרות פתיחה'!$2:$110,34,0),0)-IFERROR(HLOOKUP(E19,'סקרי נכסים-יתרות פתיחה'!$2:$110,93,0),0)*(1-E$309)</f>
        <v>0</v>
      </c>
      <c r="F153" s="1240">
        <f>+IFERROR(HLOOKUP(F19,'סקרי נכסים-יתרות פתיחה'!$2:$110,34,0),0)-IFERROR(HLOOKUP(F19,'סקרי נכסים-יתרות פתיחה'!$2:$110,93,0),0)*(1-F$309)</f>
        <v>0</v>
      </c>
      <c r="G153" s="1240">
        <f>+IFERROR(HLOOKUP(G19,'סקרי נכסים-יתרות פתיחה'!$2:$110,34,0),0)-IFERROR(HLOOKUP(G19,'סקרי נכסים-יתרות פתיחה'!$2:$110,93,0),0)*(1-G$309)</f>
        <v>0</v>
      </c>
      <c r="H153" s="1240">
        <f>+IFERROR(HLOOKUP(H19,'סקרי נכסים-יתרות פתיחה'!$2:$110,34,0),0)-IFERROR(HLOOKUP(H19,'סקרי נכסים-יתרות פתיחה'!$2:$110,93,0),0)*(1-H$309)</f>
        <v>0</v>
      </c>
      <c r="I153" s="1240">
        <f>+IFERROR(HLOOKUP(I19,'סקרי נכסים-יתרות פתיחה'!$2:$110,34,0),0)-IFERROR(HLOOKUP(I19,'סקרי נכסים-יתרות פתיחה'!$2:$110,93,0),0)*(1-I$309)</f>
        <v>0</v>
      </c>
      <c r="J153" s="1240">
        <f>+IFERROR(HLOOKUP(J19,'סקרי נכסים-יתרות פתיחה'!$2:$110,34,0),0)-IFERROR(HLOOKUP(J19,'סקרי נכסים-יתרות פתיחה'!$2:$110,93,0),0)*(1-J$309)</f>
        <v>0</v>
      </c>
      <c r="K153" s="1240">
        <f>+IFERROR(HLOOKUP(K19,'סקרי נכסים-יתרות פתיחה'!$2:$110,34,0),0)-IFERROR(HLOOKUP(K19,'סקרי נכסים-יתרות פתיחה'!$2:$110,93,0),0)*(1-K$309)</f>
        <v>0</v>
      </c>
      <c r="L153" s="1240">
        <f>+IFERROR(HLOOKUP(L19,'סקרי נכסים-יתרות פתיחה'!$2:$110,34,0),0)-IFERROR(HLOOKUP(L19,'סקרי נכסים-יתרות פתיחה'!$2:$110,93,0),0)*(1-L$309)</f>
        <v>0</v>
      </c>
      <c r="M153" s="1240">
        <f>+IFERROR(HLOOKUP(M19,'סקרי נכסים-יתרות פתיחה'!$2:$110,34,0),0)-IFERROR(HLOOKUP(M19,'סקרי נכסים-יתרות פתיחה'!$2:$110,93,0),0)*(1-M$309)</f>
        <v>0</v>
      </c>
      <c r="N153" s="1240">
        <f>+IFERROR(HLOOKUP(N19,'סקרי נכסים-יתרות פתיחה'!$2:$110,34,0),0)-IFERROR(HLOOKUP(N19,'סקרי נכסים-יתרות פתיחה'!$2:$110,93,0),0)*(1-N$309)</f>
        <v>0</v>
      </c>
      <c r="O153" s="1240">
        <f>+IFERROR(HLOOKUP(O19,'סקרי נכסים-יתרות פתיחה'!$2:$110,34,0),0)-IFERROR(HLOOKUP(O19,'סקרי נכסים-יתרות פתיחה'!$2:$110,93,0),0)*(1-O$309)</f>
        <v>0</v>
      </c>
      <c r="P153" s="1240">
        <f>+IFERROR(HLOOKUP(P19,'סקרי נכסים-יתרות פתיחה'!$2:$110,34,0),0)-IFERROR(HLOOKUP(P19,'סקרי נכסים-יתרות פתיחה'!$2:$110,93,0),0)*(1-P$309)</f>
        <v>0</v>
      </c>
      <c r="Q153" s="1240">
        <f>+IFERROR(HLOOKUP(Q19,'סקרי נכסים-יתרות פתיחה'!$2:$110,34,0),0)-IFERROR(HLOOKUP(Q19,'סקרי נכסים-יתרות פתיחה'!$2:$110,93,0),0)*(1-Q$309)</f>
        <v>0</v>
      </c>
      <c r="R153" s="1240">
        <f>+IFERROR(HLOOKUP(R19,'סקרי נכסים-יתרות פתיחה'!$2:$110,34,0),0)-IFERROR(HLOOKUP(R19,'סקרי נכסים-יתרות פתיחה'!$2:$110,93,0),0)*(1-R$309)</f>
        <v>0</v>
      </c>
      <c r="S153" s="1240">
        <f>+IFERROR(HLOOKUP(S19,'סקרי נכסים-יתרות פתיחה'!$2:$110,34,0),0)-IFERROR(HLOOKUP(S19,'סקרי נכסים-יתרות פתיחה'!$2:$110,93,0),0)*(1-S$309)</f>
        <v>0</v>
      </c>
      <c r="T153" s="1240">
        <f>+IFERROR(HLOOKUP(T19,'סקרי נכסים-יתרות פתיחה'!$2:$110,34,0),0)-IFERROR(HLOOKUP(T19,'סקרי נכסים-יתרות פתיחה'!$2:$110,93,0),0)*(1-T$309)</f>
        <v>0</v>
      </c>
      <c r="U153" s="1240">
        <f>+IFERROR(HLOOKUP(U19,'סקרי נכסים-יתרות פתיחה'!$2:$110,34,0),0)-IFERROR(HLOOKUP(U19,'סקרי נכסים-יתרות פתיחה'!$2:$110,93,0),0)*(1-U$309)</f>
        <v>0</v>
      </c>
      <c r="V153" s="1240">
        <f>+IFERROR(HLOOKUP(V19,'סקרי נכסים-יתרות פתיחה'!$2:$110,34,0),0)-IFERROR(HLOOKUP(V19,'סקרי נכסים-יתרות פתיחה'!$2:$110,93,0),0)*(1-V$309)</f>
        <v>0</v>
      </c>
      <c r="W153" s="1240">
        <f>+IFERROR(HLOOKUP(W19,'סקרי נכסים-יתרות פתיחה'!$2:$110,34,0),0)-IFERROR(HLOOKUP(W19,'סקרי נכסים-יתרות פתיחה'!$2:$110,93,0),0)*(1-W$309)</f>
        <v>0</v>
      </c>
      <c r="X153" s="1240">
        <f>+IFERROR(HLOOKUP(X19,'סקרי נכסים-יתרות פתיחה'!$2:$110,34,0),0)-IFERROR(HLOOKUP(X19,'סקרי נכסים-יתרות פתיחה'!$2:$110,93,0),0)*(1-X$309)</f>
        <v>0</v>
      </c>
      <c r="Y153" s="1240">
        <f>+IFERROR(HLOOKUP(Y19,'סקרי נכסים-יתרות פתיחה'!$2:$110,34,0),0)-IFERROR(HLOOKUP(Y19,'סקרי נכסים-יתרות פתיחה'!$2:$110,93,0),0)*(1-Y$309)</f>
        <v>0</v>
      </c>
      <c r="Z153" s="1240">
        <f>+IFERROR(HLOOKUP(Z19,'סקרי נכסים-יתרות פתיחה'!$2:$110,34,0),0)-IFERROR(HLOOKUP(Z19,'סקרי נכסים-יתרות פתיחה'!$2:$110,93,0),0)*(1-Z$309)</f>
        <v>0</v>
      </c>
      <c r="AA153" s="1240">
        <f>+IFERROR(HLOOKUP(AA19,'סקרי נכסים-יתרות פתיחה'!$2:$110,34,0),0)-IFERROR(HLOOKUP(AA19,'סקרי נכסים-יתרות פתיחה'!$2:$110,93,0),0)*(1-AA$309)</f>
        <v>0</v>
      </c>
      <c r="AB153" s="1240">
        <f>+IFERROR(HLOOKUP(AB19,'סקרי נכסים-יתרות פתיחה'!$2:$110,34,0),0)-IFERROR(HLOOKUP(AB19,'סקרי נכסים-יתרות פתיחה'!$2:$110,93,0),0)*(1-AB$309)</f>
        <v>0</v>
      </c>
      <c r="AC153" s="1240">
        <f>+IFERROR(HLOOKUP(AC19,'סקרי נכסים-יתרות פתיחה'!$2:$110,34,0),0)-IFERROR(HLOOKUP(AC19,'סקרי נכסים-יתרות פתיחה'!$2:$110,93,0),0)*(1-AC$309)</f>
        <v>0</v>
      </c>
      <c r="AD153" s="1240">
        <f>+IFERROR(HLOOKUP(AD19,'סקרי נכסים-יתרות פתיחה'!$2:$110,34,0),0)-IFERROR(HLOOKUP(AD19,'סקרי נכסים-יתרות פתיחה'!$2:$110,93,0),0)*(1-AD$309)</f>
        <v>0</v>
      </c>
      <c r="AE153" s="1240">
        <f>+IFERROR(HLOOKUP(AE19,'סקרי נכסים-יתרות פתיחה'!$2:$110,34,0),0)-IFERROR(HLOOKUP(AE19,'סקרי נכסים-יתרות פתיחה'!$2:$110,93,0),0)*(1-AE$309)</f>
        <v>0</v>
      </c>
      <c r="AF153" s="1240">
        <f>+IFERROR(HLOOKUP(AF19,'סקרי נכסים-יתרות פתיחה'!$2:$110,34,0),0)-IFERROR(HLOOKUP(AF19,'סקרי נכסים-יתרות פתיחה'!$2:$110,93,0),0)*(1-AF$309)</f>
        <v>0</v>
      </c>
      <c r="AG153" s="1240">
        <f>+IFERROR(HLOOKUP(AG19,'סקרי נכסים-יתרות פתיחה'!$2:$110,34,0),0)-IFERROR(HLOOKUP(AG19,'סקרי נכסים-יתרות פתיחה'!$2:$110,93,0),0)*(1-AG$309)</f>
        <v>0</v>
      </c>
      <c r="AH153" s="1240">
        <f>+IFERROR(HLOOKUP(AH19,'סקרי נכסים-יתרות פתיחה'!$2:$110,34,0),0)-IFERROR(HLOOKUP(AH19,'סקרי נכסים-יתרות פתיחה'!$2:$110,93,0),0)*(1-AH$309)</f>
        <v>0</v>
      </c>
      <c r="AI153" s="1240">
        <f>+IFERROR(HLOOKUP(AI19,'סקרי נכסים-יתרות פתיחה'!$2:$110,34,0),0)-IFERROR(HLOOKUP(AI19,'סקרי נכסים-יתרות פתיחה'!$2:$110,93,0),0)*(1-AI$309)</f>
        <v>0</v>
      </c>
      <c r="AJ153" s="1240">
        <f>+IFERROR(HLOOKUP(AJ19,'סקרי נכסים-יתרות פתיחה'!$2:$110,34,0),0)-IFERROR(HLOOKUP(AJ19,'סקרי נכסים-יתרות פתיחה'!$2:$110,93,0),0)*(1-AJ$309)</f>
        <v>0</v>
      </c>
      <c r="AK153" s="1240">
        <f>+IFERROR(HLOOKUP(AK19,'סקרי נכסים-יתרות פתיחה'!$2:$110,34,0),0)-IFERROR(HLOOKUP(AK19,'סקרי נכסים-יתרות פתיחה'!$2:$110,93,0),0)*(1-AK$309)</f>
        <v>0</v>
      </c>
      <c r="AL153" s="1240">
        <f>+IFERROR(HLOOKUP(AL19,'סקרי נכסים-יתרות פתיחה'!$2:$110,34,0),0)-IFERROR(HLOOKUP(AL19,'סקרי נכסים-יתרות פתיחה'!$2:$110,93,0),0)*(1-AL$309)</f>
        <v>0</v>
      </c>
      <c r="AM153" s="1240">
        <f>+IFERROR(HLOOKUP(AM19,'סקרי נכסים-יתרות פתיחה'!$2:$110,34,0),0)-IFERROR(HLOOKUP(AM19,'סקרי נכסים-יתרות פתיחה'!$2:$110,93,0),0)*(1-AM$309)</f>
        <v>0</v>
      </c>
      <c r="AN153" s="1240">
        <f>+IFERROR(HLOOKUP(AN19,'סקרי נכסים-יתרות פתיחה'!$2:$110,34,0),0)-IFERROR(HLOOKUP(AN19,'סקרי נכסים-יתרות פתיחה'!$2:$110,93,0),0)*(1-AN$309)</f>
        <v>0</v>
      </c>
      <c r="AO153" s="1240">
        <f>+IFERROR(HLOOKUP(AO19,'סקרי נכסים-יתרות פתיחה'!$2:$110,34,0),0)-IFERROR(HLOOKUP(AO19,'סקרי נכסים-יתרות פתיחה'!$2:$110,93,0),0)*(1-AO$309)</f>
        <v>0</v>
      </c>
      <c r="AP153" s="1240">
        <f>+IFERROR(HLOOKUP(AP19,'סקרי נכסים-יתרות פתיחה'!$2:$110,34,0),0)-IFERROR(HLOOKUP(AP19,'סקרי נכסים-יתרות פתיחה'!$2:$110,93,0),0)*(1-AP$309)</f>
        <v>0</v>
      </c>
      <c r="AQ153" s="1240">
        <f>+IFERROR(HLOOKUP(AQ19,'סקרי נכסים-יתרות פתיחה'!$2:$110,34,0),0)-IFERROR(HLOOKUP(AQ19,'סקרי נכסים-יתרות פתיחה'!$2:$110,93,0),0)*(1-AQ$309)</f>
        <v>0</v>
      </c>
      <c r="AR153" s="1240">
        <f>+IFERROR(HLOOKUP(AR19,'סקרי נכסים-יתרות פתיחה'!$2:$110,34,0),0)-IFERROR(HLOOKUP(AR19,'סקרי נכסים-יתרות פתיחה'!$2:$110,93,0),0)*(1-AR$309)</f>
        <v>0</v>
      </c>
      <c r="AS153" s="1240">
        <f>+IFERROR(HLOOKUP(AS19,'סקרי נכסים-יתרות פתיחה'!$2:$110,34,0),0)-IFERROR(HLOOKUP(AS19,'סקרי נכסים-יתרות פתיחה'!$2:$110,93,0),0)*(1-AS$309)</f>
        <v>0</v>
      </c>
      <c r="AT153" s="1240">
        <f>+IFERROR(HLOOKUP(AT19,'סקרי נכסים-יתרות פתיחה'!$2:$110,34,0),0)-IFERROR(HLOOKUP(AT19,'סקרי נכסים-יתרות פתיחה'!$2:$110,93,0),0)*(1-AT$309)</f>
        <v>0</v>
      </c>
      <c r="AU153" s="1240">
        <f>+IFERROR(HLOOKUP(AU19,'סקרי נכסים-יתרות פתיחה'!$2:$110,34,0),0)-IFERROR(HLOOKUP(AU19,'סקרי נכסים-יתרות פתיחה'!$2:$110,93,0),0)*(1-AU$309)</f>
        <v>0</v>
      </c>
      <c r="AV153" s="1240">
        <f>+IFERROR(HLOOKUP(AV19,'סקרי נכסים-יתרות פתיחה'!$2:$110,34,0),0)-IFERROR(HLOOKUP(AV19,'סקרי נכסים-יתרות פתיחה'!$2:$110,93,0),0)*(1-AV$309)</f>
        <v>0</v>
      </c>
      <c r="AW153" s="1240">
        <f>+IFERROR(HLOOKUP(AW19,'סקרי נכסים-יתרות פתיחה'!$2:$110,34,0),0)-IFERROR(HLOOKUP(AW19,'סקרי נכסים-יתרות פתיחה'!$2:$110,93,0),0)*(1-AW$309)</f>
        <v>0</v>
      </c>
      <c r="AX153" s="1240">
        <f>+IFERROR(HLOOKUP(AX19,'סקרי נכסים-יתרות פתיחה'!$2:$110,34,0),0)-IFERROR(HLOOKUP(AX19,'סקרי נכסים-יתרות פתיחה'!$2:$110,93,0),0)*(1-AX$309)</f>
        <v>0</v>
      </c>
      <c r="AY153" s="1240">
        <f>+IFERROR(HLOOKUP(AY19,'סקרי נכסים-יתרות פתיחה'!$2:$110,34,0),0)-IFERROR(HLOOKUP(AY19,'סקרי נכסים-יתרות פתיחה'!$2:$110,93,0),0)*(1-AY$309)</f>
        <v>0</v>
      </c>
      <c r="AZ153" s="1240">
        <f>+IFERROR(HLOOKUP(AZ19,'סקרי נכסים-יתרות פתיחה'!$2:$110,34,0),0)-IFERROR(HLOOKUP(AZ19,'סקרי נכסים-יתרות פתיחה'!$2:$110,93,0),0)*(1-AZ$309)</f>
        <v>0</v>
      </c>
      <c r="BA153" s="1240">
        <f>+IFERROR(HLOOKUP(BA19,'סקרי נכסים-יתרות פתיחה'!$2:$110,34,0),0)-IFERROR(HLOOKUP(BA19,'סקרי נכסים-יתרות פתיחה'!$2:$110,93,0),0)*(1-BA$309)</f>
        <v>0</v>
      </c>
      <c r="BB153" s="1240">
        <f>+IFERROR(HLOOKUP(BB19,'סקרי נכסים-יתרות פתיחה'!$2:$110,34,0),0)-IFERROR(HLOOKUP(BB19,'סקרי נכסים-יתרות פתיחה'!$2:$110,93,0),0)*(1-BB$309)</f>
        <v>0</v>
      </c>
      <c r="BC153" s="1240">
        <f>+IFERROR(HLOOKUP(BC19,'סקרי נכסים-יתרות פתיחה'!$2:$110,34,0),0)-IFERROR(HLOOKUP(BC19,'סקרי נכסים-יתרות פתיחה'!$2:$110,93,0),0)*(1-BC$309)</f>
        <v>0</v>
      </c>
      <c r="BD153" s="1240">
        <f>+IFERROR(HLOOKUP(BD19,'סקרי נכסים-יתרות פתיחה'!$2:$110,34,0),0)-IFERROR(HLOOKUP(BD19,'סקרי נכסים-יתרות פתיחה'!$2:$110,93,0),0)*(1-BD$309)</f>
        <v>0</v>
      </c>
      <c r="BE153" s="1240">
        <f>+IFERROR(HLOOKUP(BE19,'סקרי נכסים-יתרות פתיחה'!$2:$110,34,0),0)-IFERROR(HLOOKUP(BE19,'סקרי נכסים-יתרות פתיחה'!$2:$110,93,0),0)*(1-BE$309)</f>
        <v>0</v>
      </c>
      <c r="BF153" s="1240">
        <f>+IFERROR(HLOOKUP(BF19,'סקרי נכסים-יתרות פתיחה'!$2:$110,34,0),0)-IFERROR(HLOOKUP(BF19,'סקרי נכסים-יתרות פתיחה'!$2:$110,93,0),0)*(1-BF$309)</f>
        <v>0</v>
      </c>
    </row>
    <row r="154" spans="2:58" x14ac:dyDescent="0.2">
      <c r="B154" s="1">
        <v>17</v>
      </c>
      <c r="C154" s="1240">
        <f>+IFERROR(HLOOKUP(C20,'סקרי נכסים-יתרות פתיחה'!$2:$110,34,0),0)-IFERROR(HLOOKUP(C20,'סקרי נכסים-יתרות פתיחה'!$2:$110,93,0),0)*(1-C$309)</f>
        <v>0</v>
      </c>
      <c r="D154" s="1240">
        <f>+IFERROR(HLOOKUP(D20,'סקרי נכסים-יתרות פתיחה'!$2:$110,34,0),0)-IFERROR(HLOOKUP(D20,'סקרי נכסים-יתרות פתיחה'!$2:$110,93,0),0)*(1-D$309)</f>
        <v>0</v>
      </c>
      <c r="E154" s="1240">
        <f>+IFERROR(HLOOKUP(E20,'סקרי נכסים-יתרות פתיחה'!$2:$110,34,0),0)-IFERROR(HLOOKUP(E20,'סקרי נכסים-יתרות פתיחה'!$2:$110,93,0),0)*(1-E$309)</f>
        <v>0</v>
      </c>
      <c r="F154" s="1240">
        <f>+IFERROR(HLOOKUP(F20,'סקרי נכסים-יתרות פתיחה'!$2:$110,34,0),0)-IFERROR(HLOOKUP(F20,'סקרי נכסים-יתרות פתיחה'!$2:$110,93,0),0)*(1-F$309)</f>
        <v>0</v>
      </c>
      <c r="G154" s="1240">
        <f>+IFERROR(HLOOKUP(G20,'סקרי נכסים-יתרות פתיחה'!$2:$110,34,0),0)-IFERROR(HLOOKUP(G20,'סקרי נכסים-יתרות פתיחה'!$2:$110,93,0),0)*(1-G$309)</f>
        <v>0</v>
      </c>
      <c r="H154" s="1240">
        <f>+IFERROR(HLOOKUP(H20,'סקרי נכסים-יתרות פתיחה'!$2:$110,34,0),0)-IFERROR(HLOOKUP(H20,'סקרי נכסים-יתרות פתיחה'!$2:$110,93,0),0)*(1-H$309)</f>
        <v>0</v>
      </c>
      <c r="I154" s="1240">
        <f>+IFERROR(HLOOKUP(I20,'סקרי נכסים-יתרות פתיחה'!$2:$110,34,0),0)-IFERROR(HLOOKUP(I20,'סקרי נכסים-יתרות פתיחה'!$2:$110,93,0),0)*(1-I$309)</f>
        <v>0</v>
      </c>
      <c r="J154" s="1240">
        <f>+IFERROR(HLOOKUP(J20,'סקרי נכסים-יתרות פתיחה'!$2:$110,34,0),0)-IFERROR(HLOOKUP(J20,'סקרי נכסים-יתרות פתיחה'!$2:$110,93,0),0)*(1-J$309)</f>
        <v>0</v>
      </c>
      <c r="K154" s="1240">
        <f>+IFERROR(HLOOKUP(K20,'סקרי נכסים-יתרות פתיחה'!$2:$110,34,0),0)-IFERROR(HLOOKUP(K20,'סקרי נכסים-יתרות פתיחה'!$2:$110,93,0),0)*(1-K$309)</f>
        <v>0</v>
      </c>
      <c r="L154" s="1240">
        <f>+IFERROR(HLOOKUP(L20,'סקרי נכסים-יתרות פתיחה'!$2:$110,34,0),0)-IFERROR(HLOOKUP(L20,'סקרי נכסים-יתרות פתיחה'!$2:$110,93,0),0)*(1-L$309)</f>
        <v>0</v>
      </c>
      <c r="M154" s="1240">
        <f>+IFERROR(HLOOKUP(M20,'סקרי נכסים-יתרות פתיחה'!$2:$110,34,0),0)-IFERROR(HLOOKUP(M20,'סקרי נכסים-יתרות פתיחה'!$2:$110,93,0),0)*(1-M$309)</f>
        <v>0</v>
      </c>
      <c r="N154" s="1240">
        <f>+IFERROR(HLOOKUP(N20,'סקרי נכסים-יתרות פתיחה'!$2:$110,34,0),0)-IFERROR(HLOOKUP(N20,'סקרי נכסים-יתרות פתיחה'!$2:$110,93,0),0)*(1-N$309)</f>
        <v>0</v>
      </c>
      <c r="O154" s="1240">
        <f>+IFERROR(HLOOKUP(O20,'סקרי נכסים-יתרות פתיחה'!$2:$110,34,0),0)-IFERROR(HLOOKUP(O20,'סקרי נכסים-יתרות פתיחה'!$2:$110,93,0),0)*(1-O$309)</f>
        <v>0</v>
      </c>
      <c r="P154" s="1240">
        <f>+IFERROR(HLOOKUP(P20,'סקרי נכסים-יתרות פתיחה'!$2:$110,34,0),0)-IFERROR(HLOOKUP(P20,'סקרי נכסים-יתרות פתיחה'!$2:$110,93,0),0)*(1-P$309)</f>
        <v>0</v>
      </c>
      <c r="Q154" s="1240">
        <f>+IFERROR(HLOOKUP(Q20,'סקרי נכסים-יתרות פתיחה'!$2:$110,34,0),0)-IFERROR(HLOOKUP(Q20,'סקרי נכסים-יתרות פתיחה'!$2:$110,93,0),0)*(1-Q$309)</f>
        <v>0</v>
      </c>
      <c r="R154" s="1240">
        <f>+IFERROR(HLOOKUP(R20,'סקרי נכסים-יתרות פתיחה'!$2:$110,34,0),0)-IFERROR(HLOOKUP(R20,'סקרי נכסים-יתרות פתיחה'!$2:$110,93,0),0)*(1-R$309)</f>
        <v>0</v>
      </c>
      <c r="S154" s="1240">
        <f>+IFERROR(HLOOKUP(S20,'סקרי נכסים-יתרות פתיחה'!$2:$110,34,0),0)-IFERROR(HLOOKUP(S20,'סקרי נכסים-יתרות פתיחה'!$2:$110,93,0),0)*(1-S$309)</f>
        <v>0</v>
      </c>
      <c r="T154" s="1240">
        <f>+IFERROR(HLOOKUP(T20,'סקרי נכסים-יתרות פתיחה'!$2:$110,34,0),0)-IFERROR(HLOOKUP(T20,'סקרי נכסים-יתרות פתיחה'!$2:$110,93,0),0)*(1-T$309)</f>
        <v>0</v>
      </c>
      <c r="U154" s="1240">
        <f>+IFERROR(HLOOKUP(U20,'סקרי נכסים-יתרות פתיחה'!$2:$110,34,0),0)-IFERROR(HLOOKUP(U20,'סקרי נכסים-יתרות פתיחה'!$2:$110,93,0),0)*(1-U$309)</f>
        <v>0</v>
      </c>
      <c r="V154" s="1240">
        <f>+IFERROR(HLOOKUP(V20,'סקרי נכסים-יתרות פתיחה'!$2:$110,34,0),0)-IFERROR(HLOOKUP(V20,'סקרי נכסים-יתרות פתיחה'!$2:$110,93,0),0)*(1-V$309)</f>
        <v>0</v>
      </c>
      <c r="W154" s="1240">
        <f>+IFERROR(HLOOKUP(W20,'סקרי נכסים-יתרות פתיחה'!$2:$110,34,0),0)-IFERROR(HLOOKUP(W20,'סקרי נכסים-יתרות פתיחה'!$2:$110,93,0),0)*(1-W$309)</f>
        <v>0</v>
      </c>
      <c r="X154" s="1240">
        <f>+IFERROR(HLOOKUP(X20,'סקרי נכסים-יתרות פתיחה'!$2:$110,34,0),0)-IFERROR(HLOOKUP(X20,'סקרי נכסים-יתרות פתיחה'!$2:$110,93,0),0)*(1-X$309)</f>
        <v>0</v>
      </c>
      <c r="Y154" s="1240">
        <f>+IFERROR(HLOOKUP(Y20,'סקרי נכסים-יתרות פתיחה'!$2:$110,34,0),0)-IFERROR(HLOOKUP(Y20,'סקרי נכסים-יתרות פתיחה'!$2:$110,93,0),0)*(1-Y$309)</f>
        <v>0</v>
      </c>
      <c r="Z154" s="1240">
        <f>+IFERROR(HLOOKUP(Z20,'סקרי נכסים-יתרות פתיחה'!$2:$110,34,0),0)-IFERROR(HLOOKUP(Z20,'סקרי נכסים-יתרות פתיחה'!$2:$110,93,0),0)*(1-Z$309)</f>
        <v>0</v>
      </c>
      <c r="AA154" s="1240">
        <f>+IFERROR(HLOOKUP(AA20,'סקרי נכסים-יתרות פתיחה'!$2:$110,34,0),0)-IFERROR(HLOOKUP(AA20,'סקרי נכסים-יתרות פתיחה'!$2:$110,93,0),0)*(1-AA$309)</f>
        <v>0</v>
      </c>
      <c r="AB154" s="1240">
        <f>+IFERROR(HLOOKUP(AB20,'סקרי נכסים-יתרות פתיחה'!$2:$110,34,0),0)-IFERROR(HLOOKUP(AB20,'סקרי נכסים-יתרות פתיחה'!$2:$110,93,0),0)*(1-AB$309)</f>
        <v>0</v>
      </c>
      <c r="AC154" s="1240">
        <f>+IFERROR(HLOOKUP(AC20,'סקרי נכסים-יתרות פתיחה'!$2:$110,34,0),0)-IFERROR(HLOOKUP(AC20,'סקרי נכסים-יתרות פתיחה'!$2:$110,93,0),0)*(1-AC$309)</f>
        <v>0</v>
      </c>
      <c r="AD154" s="1240">
        <f>+IFERROR(HLOOKUP(AD20,'סקרי נכסים-יתרות פתיחה'!$2:$110,34,0),0)-IFERROR(HLOOKUP(AD20,'סקרי נכסים-יתרות פתיחה'!$2:$110,93,0),0)*(1-AD$309)</f>
        <v>0</v>
      </c>
      <c r="AE154" s="1240">
        <f>+IFERROR(HLOOKUP(AE20,'סקרי נכסים-יתרות פתיחה'!$2:$110,34,0),0)-IFERROR(HLOOKUP(AE20,'סקרי נכסים-יתרות פתיחה'!$2:$110,93,0),0)*(1-AE$309)</f>
        <v>0</v>
      </c>
      <c r="AF154" s="1240">
        <f>+IFERROR(HLOOKUP(AF20,'סקרי נכסים-יתרות פתיחה'!$2:$110,34,0),0)-IFERROR(HLOOKUP(AF20,'סקרי נכסים-יתרות פתיחה'!$2:$110,93,0),0)*(1-AF$309)</f>
        <v>0</v>
      </c>
      <c r="AG154" s="1240">
        <f>+IFERROR(HLOOKUP(AG20,'סקרי נכסים-יתרות פתיחה'!$2:$110,34,0),0)-IFERROR(HLOOKUP(AG20,'סקרי נכסים-יתרות פתיחה'!$2:$110,93,0),0)*(1-AG$309)</f>
        <v>0</v>
      </c>
      <c r="AH154" s="1240">
        <f>+IFERROR(HLOOKUP(AH20,'סקרי נכסים-יתרות פתיחה'!$2:$110,34,0),0)-IFERROR(HLOOKUP(AH20,'סקרי נכסים-יתרות פתיחה'!$2:$110,93,0),0)*(1-AH$309)</f>
        <v>0</v>
      </c>
      <c r="AI154" s="1240">
        <f>+IFERROR(HLOOKUP(AI20,'סקרי נכסים-יתרות פתיחה'!$2:$110,34,0),0)-IFERROR(HLOOKUP(AI20,'סקרי נכסים-יתרות פתיחה'!$2:$110,93,0),0)*(1-AI$309)</f>
        <v>0</v>
      </c>
      <c r="AJ154" s="1240">
        <f>+IFERROR(HLOOKUP(AJ20,'סקרי נכסים-יתרות פתיחה'!$2:$110,34,0),0)-IFERROR(HLOOKUP(AJ20,'סקרי נכסים-יתרות פתיחה'!$2:$110,93,0),0)*(1-AJ$309)</f>
        <v>0</v>
      </c>
      <c r="AK154" s="1240">
        <f>+IFERROR(HLOOKUP(AK20,'סקרי נכסים-יתרות פתיחה'!$2:$110,34,0),0)-IFERROR(HLOOKUP(AK20,'סקרי נכסים-יתרות פתיחה'!$2:$110,93,0),0)*(1-AK$309)</f>
        <v>0</v>
      </c>
      <c r="AL154" s="1240">
        <f>+IFERROR(HLOOKUP(AL20,'סקרי נכסים-יתרות פתיחה'!$2:$110,34,0),0)-IFERROR(HLOOKUP(AL20,'סקרי נכסים-יתרות פתיחה'!$2:$110,93,0),0)*(1-AL$309)</f>
        <v>0</v>
      </c>
      <c r="AM154" s="1240">
        <f>+IFERROR(HLOOKUP(AM20,'סקרי נכסים-יתרות פתיחה'!$2:$110,34,0),0)-IFERROR(HLOOKUP(AM20,'סקרי נכסים-יתרות פתיחה'!$2:$110,93,0),0)*(1-AM$309)</f>
        <v>0</v>
      </c>
      <c r="AN154" s="1240">
        <f>+IFERROR(HLOOKUP(AN20,'סקרי נכסים-יתרות פתיחה'!$2:$110,34,0),0)-IFERROR(HLOOKUP(AN20,'סקרי נכסים-יתרות פתיחה'!$2:$110,93,0),0)*(1-AN$309)</f>
        <v>0</v>
      </c>
      <c r="AO154" s="1240">
        <f>+IFERROR(HLOOKUP(AO20,'סקרי נכסים-יתרות פתיחה'!$2:$110,34,0),0)-IFERROR(HLOOKUP(AO20,'סקרי נכסים-יתרות פתיחה'!$2:$110,93,0),0)*(1-AO$309)</f>
        <v>0</v>
      </c>
      <c r="AP154" s="1240">
        <f>+IFERROR(HLOOKUP(AP20,'סקרי נכסים-יתרות פתיחה'!$2:$110,34,0),0)-IFERROR(HLOOKUP(AP20,'סקרי נכסים-יתרות פתיחה'!$2:$110,93,0),0)*(1-AP$309)</f>
        <v>0</v>
      </c>
      <c r="AQ154" s="1240">
        <f>+IFERROR(HLOOKUP(AQ20,'סקרי נכסים-יתרות פתיחה'!$2:$110,34,0),0)-IFERROR(HLOOKUP(AQ20,'סקרי נכסים-יתרות פתיחה'!$2:$110,93,0),0)*(1-AQ$309)</f>
        <v>0</v>
      </c>
      <c r="AR154" s="1240">
        <f>+IFERROR(HLOOKUP(AR20,'סקרי נכסים-יתרות פתיחה'!$2:$110,34,0),0)-IFERROR(HLOOKUP(AR20,'סקרי נכסים-יתרות פתיחה'!$2:$110,93,0),0)*(1-AR$309)</f>
        <v>0</v>
      </c>
      <c r="AS154" s="1240">
        <f>+IFERROR(HLOOKUP(AS20,'סקרי נכסים-יתרות פתיחה'!$2:$110,34,0),0)-IFERROR(HLOOKUP(AS20,'סקרי נכסים-יתרות פתיחה'!$2:$110,93,0),0)*(1-AS$309)</f>
        <v>0</v>
      </c>
      <c r="AT154" s="1240">
        <f>+IFERROR(HLOOKUP(AT20,'סקרי נכסים-יתרות פתיחה'!$2:$110,34,0),0)-IFERROR(HLOOKUP(AT20,'סקרי נכסים-יתרות פתיחה'!$2:$110,93,0),0)*(1-AT$309)</f>
        <v>0</v>
      </c>
      <c r="AU154" s="1240">
        <f>+IFERROR(HLOOKUP(AU20,'סקרי נכסים-יתרות פתיחה'!$2:$110,34,0),0)-IFERROR(HLOOKUP(AU20,'סקרי נכסים-יתרות פתיחה'!$2:$110,93,0),0)*(1-AU$309)</f>
        <v>0</v>
      </c>
      <c r="AV154" s="1240">
        <f>+IFERROR(HLOOKUP(AV20,'סקרי נכסים-יתרות פתיחה'!$2:$110,34,0),0)-IFERROR(HLOOKUP(AV20,'סקרי נכסים-יתרות פתיחה'!$2:$110,93,0),0)*(1-AV$309)</f>
        <v>0</v>
      </c>
      <c r="AW154" s="1240">
        <f>+IFERROR(HLOOKUP(AW20,'סקרי נכסים-יתרות פתיחה'!$2:$110,34,0),0)-IFERROR(HLOOKUP(AW20,'סקרי נכסים-יתרות פתיחה'!$2:$110,93,0),0)*(1-AW$309)</f>
        <v>0</v>
      </c>
      <c r="AX154" s="1240">
        <f>+IFERROR(HLOOKUP(AX20,'סקרי נכסים-יתרות פתיחה'!$2:$110,34,0),0)-IFERROR(HLOOKUP(AX20,'סקרי נכסים-יתרות פתיחה'!$2:$110,93,0),0)*(1-AX$309)</f>
        <v>0</v>
      </c>
      <c r="AY154" s="1240">
        <f>+IFERROR(HLOOKUP(AY20,'סקרי נכסים-יתרות פתיחה'!$2:$110,34,0),0)-IFERROR(HLOOKUP(AY20,'סקרי נכסים-יתרות פתיחה'!$2:$110,93,0),0)*(1-AY$309)</f>
        <v>0</v>
      </c>
      <c r="AZ154" s="1240">
        <f>+IFERROR(HLOOKUP(AZ20,'סקרי נכסים-יתרות פתיחה'!$2:$110,34,0),0)-IFERROR(HLOOKUP(AZ20,'סקרי נכסים-יתרות פתיחה'!$2:$110,93,0),0)*(1-AZ$309)</f>
        <v>0</v>
      </c>
      <c r="BA154" s="1240">
        <f>+IFERROR(HLOOKUP(BA20,'סקרי נכסים-יתרות פתיחה'!$2:$110,34,0),0)-IFERROR(HLOOKUP(BA20,'סקרי נכסים-יתרות פתיחה'!$2:$110,93,0),0)*(1-BA$309)</f>
        <v>0</v>
      </c>
      <c r="BB154" s="1240">
        <f>+IFERROR(HLOOKUP(BB20,'סקרי נכסים-יתרות פתיחה'!$2:$110,34,0),0)-IFERROR(HLOOKUP(BB20,'סקרי נכסים-יתרות פתיחה'!$2:$110,93,0),0)*(1-BB$309)</f>
        <v>0</v>
      </c>
      <c r="BC154" s="1240">
        <f>+IFERROR(HLOOKUP(BC20,'סקרי נכסים-יתרות פתיחה'!$2:$110,34,0),0)-IFERROR(HLOOKUP(BC20,'סקרי נכסים-יתרות פתיחה'!$2:$110,93,0),0)*(1-BC$309)</f>
        <v>0</v>
      </c>
      <c r="BD154" s="1240">
        <f>+IFERROR(HLOOKUP(BD20,'סקרי נכסים-יתרות פתיחה'!$2:$110,34,0),0)-IFERROR(HLOOKUP(BD20,'סקרי נכסים-יתרות פתיחה'!$2:$110,93,0),0)*(1-BD$309)</f>
        <v>0</v>
      </c>
      <c r="BE154" s="1240">
        <f>+IFERROR(HLOOKUP(BE20,'סקרי נכסים-יתרות פתיחה'!$2:$110,34,0),0)-IFERROR(HLOOKUP(BE20,'סקרי נכסים-יתרות פתיחה'!$2:$110,93,0),0)*(1-BE$309)</f>
        <v>0</v>
      </c>
      <c r="BF154" s="1240">
        <f>+IFERROR(HLOOKUP(BF20,'סקרי נכסים-יתרות פתיחה'!$2:$110,34,0),0)-IFERROR(HLOOKUP(BF20,'סקרי נכסים-יתרות פתיחה'!$2:$110,93,0),0)*(1-BF$309)</f>
        <v>0</v>
      </c>
    </row>
    <row r="155" spans="2:58" x14ac:dyDescent="0.2">
      <c r="B155" s="1">
        <v>18</v>
      </c>
      <c r="C155" s="1240">
        <f>+IFERROR(HLOOKUP(C21,'סקרי נכסים-יתרות פתיחה'!$2:$110,34,0),0)-IFERROR(HLOOKUP(C21,'סקרי נכסים-יתרות פתיחה'!$2:$110,93,0),0)*(1-C$309)</f>
        <v>0</v>
      </c>
      <c r="D155" s="1240">
        <f>+IFERROR(HLOOKUP(D21,'סקרי נכסים-יתרות פתיחה'!$2:$110,34,0),0)-IFERROR(HLOOKUP(D21,'סקרי נכסים-יתרות פתיחה'!$2:$110,93,0),0)*(1-D$309)</f>
        <v>0</v>
      </c>
      <c r="E155" s="1240">
        <f>+IFERROR(HLOOKUP(E21,'סקרי נכסים-יתרות פתיחה'!$2:$110,34,0),0)-IFERROR(HLOOKUP(E21,'סקרי נכסים-יתרות פתיחה'!$2:$110,93,0),0)*(1-E$309)</f>
        <v>0</v>
      </c>
      <c r="F155" s="1240">
        <f>+IFERROR(HLOOKUP(F21,'סקרי נכסים-יתרות פתיחה'!$2:$110,34,0),0)-IFERROR(HLOOKUP(F21,'סקרי נכסים-יתרות פתיחה'!$2:$110,93,0),0)*(1-F$309)</f>
        <v>0</v>
      </c>
      <c r="G155" s="1240">
        <f>+IFERROR(HLOOKUP(G21,'סקרי נכסים-יתרות פתיחה'!$2:$110,34,0),0)-IFERROR(HLOOKUP(G21,'סקרי נכסים-יתרות פתיחה'!$2:$110,93,0),0)*(1-G$309)</f>
        <v>0</v>
      </c>
      <c r="H155" s="1240">
        <f>+IFERROR(HLOOKUP(H21,'סקרי נכסים-יתרות פתיחה'!$2:$110,34,0),0)-IFERROR(HLOOKUP(H21,'סקרי נכסים-יתרות פתיחה'!$2:$110,93,0),0)*(1-H$309)</f>
        <v>0</v>
      </c>
      <c r="I155" s="1240">
        <f>+IFERROR(HLOOKUP(I21,'סקרי נכסים-יתרות פתיחה'!$2:$110,34,0),0)-IFERROR(HLOOKUP(I21,'סקרי נכסים-יתרות פתיחה'!$2:$110,93,0),0)*(1-I$309)</f>
        <v>0</v>
      </c>
      <c r="J155" s="1240">
        <f>+IFERROR(HLOOKUP(J21,'סקרי נכסים-יתרות פתיחה'!$2:$110,34,0),0)-IFERROR(HLOOKUP(J21,'סקרי נכסים-יתרות פתיחה'!$2:$110,93,0),0)*(1-J$309)</f>
        <v>0</v>
      </c>
      <c r="K155" s="1240">
        <f>+IFERROR(HLOOKUP(K21,'סקרי נכסים-יתרות פתיחה'!$2:$110,34,0),0)-IFERROR(HLOOKUP(K21,'סקרי נכסים-יתרות פתיחה'!$2:$110,93,0),0)*(1-K$309)</f>
        <v>0</v>
      </c>
      <c r="L155" s="1240">
        <f>+IFERROR(HLOOKUP(L21,'סקרי נכסים-יתרות פתיחה'!$2:$110,34,0),0)-IFERROR(HLOOKUP(L21,'סקרי נכסים-יתרות פתיחה'!$2:$110,93,0),0)*(1-L$309)</f>
        <v>0</v>
      </c>
      <c r="M155" s="1240">
        <f>+IFERROR(HLOOKUP(M21,'סקרי נכסים-יתרות פתיחה'!$2:$110,34,0),0)-IFERROR(HLOOKUP(M21,'סקרי נכסים-יתרות פתיחה'!$2:$110,93,0),0)*(1-M$309)</f>
        <v>0</v>
      </c>
      <c r="N155" s="1240">
        <f>+IFERROR(HLOOKUP(N21,'סקרי נכסים-יתרות פתיחה'!$2:$110,34,0),0)-IFERROR(HLOOKUP(N21,'סקרי נכסים-יתרות פתיחה'!$2:$110,93,0),0)*(1-N$309)</f>
        <v>0</v>
      </c>
      <c r="O155" s="1240">
        <f>+IFERROR(HLOOKUP(O21,'סקרי נכסים-יתרות פתיחה'!$2:$110,34,0),0)-IFERROR(HLOOKUP(O21,'סקרי נכסים-יתרות פתיחה'!$2:$110,93,0),0)*(1-O$309)</f>
        <v>0</v>
      </c>
      <c r="P155" s="1240">
        <f>+IFERROR(HLOOKUP(P21,'סקרי נכסים-יתרות פתיחה'!$2:$110,34,0),0)-IFERROR(HLOOKUP(P21,'סקרי נכסים-יתרות פתיחה'!$2:$110,93,0),0)*(1-P$309)</f>
        <v>0</v>
      </c>
      <c r="Q155" s="1240">
        <f>+IFERROR(HLOOKUP(Q21,'סקרי נכסים-יתרות פתיחה'!$2:$110,34,0),0)-IFERROR(HLOOKUP(Q21,'סקרי נכסים-יתרות פתיחה'!$2:$110,93,0),0)*(1-Q$309)</f>
        <v>0</v>
      </c>
      <c r="R155" s="1240">
        <f>+IFERROR(HLOOKUP(R21,'סקרי נכסים-יתרות פתיחה'!$2:$110,34,0),0)-IFERROR(HLOOKUP(R21,'סקרי נכסים-יתרות פתיחה'!$2:$110,93,0),0)*(1-R$309)</f>
        <v>0</v>
      </c>
      <c r="S155" s="1240">
        <f>+IFERROR(HLOOKUP(S21,'סקרי נכסים-יתרות פתיחה'!$2:$110,34,0),0)-IFERROR(HLOOKUP(S21,'סקרי נכסים-יתרות פתיחה'!$2:$110,93,0),0)*(1-S$309)</f>
        <v>0</v>
      </c>
      <c r="T155" s="1240">
        <f>+IFERROR(HLOOKUP(T21,'סקרי נכסים-יתרות פתיחה'!$2:$110,34,0),0)-IFERROR(HLOOKUP(T21,'סקרי נכסים-יתרות פתיחה'!$2:$110,93,0),0)*(1-T$309)</f>
        <v>0</v>
      </c>
      <c r="U155" s="1240">
        <f>+IFERROR(HLOOKUP(U21,'סקרי נכסים-יתרות פתיחה'!$2:$110,34,0),0)-IFERROR(HLOOKUP(U21,'סקרי נכסים-יתרות פתיחה'!$2:$110,93,0),0)*(1-U$309)</f>
        <v>0</v>
      </c>
      <c r="V155" s="1240">
        <f>+IFERROR(HLOOKUP(V21,'סקרי נכסים-יתרות פתיחה'!$2:$110,34,0),0)-IFERROR(HLOOKUP(V21,'סקרי נכסים-יתרות פתיחה'!$2:$110,93,0),0)*(1-V$309)</f>
        <v>0</v>
      </c>
      <c r="W155" s="1240">
        <f>+IFERROR(HLOOKUP(W21,'סקרי נכסים-יתרות פתיחה'!$2:$110,34,0),0)-IFERROR(HLOOKUP(W21,'סקרי נכסים-יתרות פתיחה'!$2:$110,93,0),0)*(1-W$309)</f>
        <v>0</v>
      </c>
      <c r="X155" s="1240">
        <f>+IFERROR(HLOOKUP(X21,'סקרי נכסים-יתרות פתיחה'!$2:$110,34,0),0)-IFERROR(HLOOKUP(X21,'סקרי נכסים-יתרות פתיחה'!$2:$110,93,0),0)*(1-X$309)</f>
        <v>0</v>
      </c>
      <c r="Y155" s="1240">
        <f>+IFERROR(HLOOKUP(Y21,'סקרי נכסים-יתרות פתיחה'!$2:$110,34,0),0)-IFERROR(HLOOKUP(Y21,'סקרי נכסים-יתרות פתיחה'!$2:$110,93,0),0)*(1-Y$309)</f>
        <v>0</v>
      </c>
      <c r="Z155" s="1240">
        <f>+IFERROR(HLOOKUP(Z21,'סקרי נכסים-יתרות פתיחה'!$2:$110,34,0),0)-IFERROR(HLOOKUP(Z21,'סקרי נכסים-יתרות פתיחה'!$2:$110,93,0),0)*(1-Z$309)</f>
        <v>0</v>
      </c>
      <c r="AA155" s="1240">
        <f>+IFERROR(HLOOKUP(AA21,'סקרי נכסים-יתרות פתיחה'!$2:$110,34,0),0)-IFERROR(HLOOKUP(AA21,'סקרי נכסים-יתרות פתיחה'!$2:$110,93,0),0)*(1-AA$309)</f>
        <v>0</v>
      </c>
      <c r="AB155" s="1240">
        <f>+IFERROR(HLOOKUP(AB21,'סקרי נכסים-יתרות פתיחה'!$2:$110,34,0),0)-IFERROR(HLOOKUP(AB21,'סקרי נכסים-יתרות פתיחה'!$2:$110,93,0),0)*(1-AB$309)</f>
        <v>0</v>
      </c>
      <c r="AC155" s="1240">
        <f>+IFERROR(HLOOKUP(AC21,'סקרי נכסים-יתרות פתיחה'!$2:$110,34,0),0)-IFERROR(HLOOKUP(AC21,'סקרי נכסים-יתרות פתיחה'!$2:$110,93,0),0)*(1-AC$309)</f>
        <v>0</v>
      </c>
      <c r="AD155" s="1240">
        <f>+IFERROR(HLOOKUP(AD21,'סקרי נכסים-יתרות פתיחה'!$2:$110,34,0),0)-IFERROR(HLOOKUP(AD21,'סקרי נכסים-יתרות פתיחה'!$2:$110,93,0),0)*(1-AD$309)</f>
        <v>0</v>
      </c>
      <c r="AE155" s="1240">
        <f>+IFERROR(HLOOKUP(AE21,'סקרי נכסים-יתרות פתיחה'!$2:$110,34,0),0)-IFERROR(HLOOKUP(AE21,'סקרי נכסים-יתרות פתיחה'!$2:$110,93,0),0)*(1-AE$309)</f>
        <v>0</v>
      </c>
      <c r="AF155" s="1240">
        <f>+IFERROR(HLOOKUP(AF21,'סקרי נכסים-יתרות פתיחה'!$2:$110,34,0),0)-IFERROR(HLOOKUP(AF21,'סקרי נכסים-יתרות פתיחה'!$2:$110,93,0),0)*(1-AF$309)</f>
        <v>0</v>
      </c>
      <c r="AG155" s="1240">
        <f>+IFERROR(HLOOKUP(AG21,'סקרי נכסים-יתרות פתיחה'!$2:$110,34,0),0)-IFERROR(HLOOKUP(AG21,'סקרי נכסים-יתרות פתיחה'!$2:$110,93,0),0)*(1-AG$309)</f>
        <v>0</v>
      </c>
      <c r="AH155" s="1240">
        <f>+IFERROR(HLOOKUP(AH21,'סקרי נכסים-יתרות פתיחה'!$2:$110,34,0),0)-IFERROR(HLOOKUP(AH21,'סקרי נכסים-יתרות פתיחה'!$2:$110,93,0),0)*(1-AH$309)</f>
        <v>0</v>
      </c>
      <c r="AI155" s="1240">
        <f>+IFERROR(HLOOKUP(AI21,'סקרי נכסים-יתרות פתיחה'!$2:$110,34,0),0)-IFERROR(HLOOKUP(AI21,'סקרי נכסים-יתרות פתיחה'!$2:$110,93,0),0)*(1-AI$309)</f>
        <v>0</v>
      </c>
      <c r="AJ155" s="1240">
        <f>+IFERROR(HLOOKUP(AJ21,'סקרי נכסים-יתרות פתיחה'!$2:$110,34,0),0)-IFERROR(HLOOKUP(AJ21,'סקרי נכסים-יתרות פתיחה'!$2:$110,93,0),0)*(1-AJ$309)</f>
        <v>0</v>
      </c>
      <c r="AK155" s="1240">
        <f>+IFERROR(HLOOKUP(AK21,'סקרי נכסים-יתרות פתיחה'!$2:$110,34,0),0)-IFERROR(HLOOKUP(AK21,'סקרי נכסים-יתרות פתיחה'!$2:$110,93,0),0)*(1-AK$309)</f>
        <v>0</v>
      </c>
      <c r="AL155" s="1240">
        <f>+IFERROR(HLOOKUP(AL21,'סקרי נכסים-יתרות פתיחה'!$2:$110,34,0),0)-IFERROR(HLOOKUP(AL21,'סקרי נכסים-יתרות פתיחה'!$2:$110,93,0),0)*(1-AL$309)</f>
        <v>0</v>
      </c>
      <c r="AM155" s="1240">
        <f>+IFERROR(HLOOKUP(AM21,'סקרי נכסים-יתרות פתיחה'!$2:$110,34,0),0)-IFERROR(HLOOKUP(AM21,'סקרי נכסים-יתרות פתיחה'!$2:$110,93,0),0)*(1-AM$309)</f>
        <v>0</v>
      </c>
      <c r="AN155" s="1240">
        <f>+IFERROR(HLOOKUP(AN21,'סקרי נכסים-יתרות פתיחה'!$2:$110,34,0),0)-IFERROR(HLOOKUP(AN21,'סקרי נכסים-יתרות פתיחה'!$2:$110,93,0),0)*(1-AN$309)</f>
        <v>0</v>
      </c>
      <c r="AO155" s="1240">
        <f>+IFERROR(HLOOKUP(AO21,'סקרי נכסים-יתרות פתיחה'!$2:$110,34,0),0)-IFERROR(HLOOKUP(AO21,'סקרי נכסים-יתרות פתיחה'!$2:$110,93,0),0)*(1-AO$309)</f>
        <v>0</v>
      </c>
      <c r="AP155" s="1240">
        <f>+IFERROR(HLOOKUP(AP21,'סקרי נכסים-יתרות פתיחה'!$2:$110,34,0),0)-IFERROR(HLOOKUP(AP21,'סקרי נכסים-יתרות פתיחה'!$2:$110,93,0),0)*(1-AP$309)</f>
        <v>0</v>
      </c>
      <c r="AQ155" s="1240">
        <f>+IFERROR(HLOOKUP(AQ21,'סקרי נכסים-יתרות פתיחה'!$2:$110,34,0),0)-IFERROR(HLOOKUP(AQ21,'סקרי נכסים-יתרות פתיחה'!$2:$110,93,0),0)*(1-AQ$309)</f>
        <v>0</v>
      </c>
      <c r="AR155" s="1240">
        <f>+IFERROR(HLOOKUP(AR21,'סקרי נכסים-יתרות פתיחה'!$2:$110,34,0),0)-IFERROR(HLOOKUP(AR21,'סקרי נכסים-יתרות פתיחה'!$2:$110,93,0),0)*(1-AR$309)</f>
        <v>0</v>
      </c>
      <c r="AS155" s="1240">
        <f>+IFERROR(HLOOKUP(AS21,'סקרי נכסים-יתרות פתיחה'!$2:$110,34,0),0)-IFERROR(HLOOKUP(AS21,'סקרי נכסים-יתרות פתיחה'!$2:$110,93,0),0)*(1-AS$309)</f>
        <v>0</v>
      </c>
      <c r="AT155" s="1240">
        <f>+IFERROR(HLOOKUP(AT21,'סקרי נכסים-יתרות פתיחה'!$2:$110,34,0),0)-IFERROR(HLOOKUP(AT21,'סקרי נכסים-יתרות פתיחה'!$2:$110,93,0),0)*(1-AT$309)</f>
        <v>0</v>
      </c>
      <c r="AU155" s="1240">
        <f>+IFERROR(HLOOKUP(AU21,'סקרי נכסים-יתרות פתיחה'!$2:$110,34,0),0)-IFERROR(HLOOKUP(AU21,'סקרי נכסים-יתרות פתיחה'!$2:$110,93,0),0)*(1-AU$309)</f>
        <v>0</v>
      </c>
      <c r="AV155" s="1240">
        <f>+IFERROR(HLOOKUP(AV21,'סקרי נכסים-יתרות פתיחה'!$2:$110,34,0),0)-IFERROR(HLOOKUP(AV21,'סקרי נכסים-יתרות פתיחה'!$2:$110,93,0),0)*(1-AV$309)</f>
        <v>0</v>
      </c>
      <c r="AW155" s="1240">
        <f>+IFERROR(HLOOKUP(AW21,'סקרי נכסים-יתרות פתיחה'!$2:$110,34,0),0)-IFERROR(HLOOKUP(AW21,'סקרי נכסים-יתרות פתיחה'!$2:$110,93,0),0)*(1-AW$309)</f>
        <v>0</v>
      </c>
      <c r="AX155" s="1240">
        <f>+IFERROR(HLOOKUP(AX21,'סקרי נכסים-יתרות פתיחה'!$2:$110,34,0),0)-IFERROR(HLOOKUP(AX21,'סקרי נכסים-יתרות פתיחה'!$2:$110,93,0),0)*(1-AX$309)</f>
        <v>0</v>
      </c>
      <c r="AY155" s="1240">
        <f>+IFERROR(HLOOKUP(AY21,'סקרי נכסים-יתרות פתיחה'!$2:$110,34,0),0)-IFERROR(HLOOKUP(AY21,'סקרי נכסים-יתרות פתיחה'!$2:$110,93,0),0)*(1-AY$309)</f>
        <v>0</v>
      </c>
      <c r="AZ155" s="1240">
        <f>+IFERROR(HLOOKUP(AZ21,'סקרי נכסים-יתרות פתיחה'!$2:$110,34,0),0)-IFERROR(HLOOKUP(AZ21,'סקרי נכסים-יתרות פתיחה'!$2:$110,93,0),0)*(1-AZ$309)</f>
        <v>0</v>
      </c>
      <c r="BA155" s="1240">
        <f>+IFERROR(HLOOKUP(BA21,'סקרי נכסים-יתרות פתיחה'!$2:$110,34,0),0)-IFERROR(HLOOKUP(BA21,'סקרי נכסים-יתרות פתיחה'!$2:$110,93,0),0)*(1-BA$309)</f>
        <v>0</v>
      </c>
      <c r="BB155" s="1240">
        <f>+IFERROR(HLOOKUP(BB21,'סקרי נכסים-יתרות פתיחה'!$2:$110,34,0),0)-IFERROR(HLOOKUP(BB21,'סקרי נכסים-יתרות פתיחה'!$2:$110,93,0),0)*(1-BB$309)</f>
        <v>0</v>
      </c>
      <c r="BC155" s="1240">
        <f>+IFERROR(HLOOKUP(BC21,'סקרי נכסים-יתרות פתיחה'!$2:$110,34,0),0)-IFERROR(HLOOKUP(BC21,'סקרי נכסים-יתרות פתיחה'!$2:$110,93,0),0)*(1-BC$309)</f>
        <v>0</v>
      </c>
      <c r="BD155" s="1240">
        <f>+IFERROR(HLOOKUP(BD21,'סקרי נכסים-יתרות פתיחה'!$2:$110,34,0),0)-IFERROR(HLOOKUP(BD21,'סקרי נכסים-יתרות פתיחה'!$2:$110,93,0),0)*(1-BD$309)</f>
        <v>0</v>
      </c>
      <c r="BE155" s="1240">
        <f>+IFERROR(HLOOKUP(BE21,'סקרי נכסים-יתרות פתיחה'!$2:$110,34,0),0)-IFERROR(HLOOKUP(BE21,'סקרי נכסים-יתרות פתיחה'!$2:$110,93,0),0)*(1-BE$309)</f>
        <v>0</v>
      </c>
      <c r="BF155" s="1240">
        <f>+IFERROR(HLOOKUP(BF21,'סקרי נכסים-יתרות פתיחה'!$2:$110,34,0),0)-IFERROR(HLOOKUP(BF21,'סקרי נכסים-יתרות פתיחה'!$2:$110,93,0),0)*(1-BF$309)</f>
        <v>0</v>
      </c>
    </row>
    <row r="156" spans="2:58" x14ac:dyDescent="0.2">
      <c r="B156" s="1">
        <v>19</v>
      </c>
      <c r="C156" s="1240">
        <f>+IFERROR(HLOOKUP(C22,'סקרי נכסים-יתרות פתיחה'!$2:$110,34,0),0)-IFERROR(HLOOKUP(C22,'סקרי נכסים-יתרות פתיחה'!$2:$110,93,0),0)*(1-C$309)</f>
        <v>0</v>
      </c>
      <c r="D156" s="1240">
        <f>+IFERROR(HLOOKUP(D22,'סקרי נכסים-יתרות פתיחה'!$2:$110,34,0),0)-IFERROR(HLOOKUP(D22,'סקרי נכסים-יתרות פתיחה'!$2:$110,93,0),0)*(1-D$309)</f>
        <v>0</v>
      </c>
      <c r="E156" s="1240">
        <f>+IFERROR(HLOOKUP(E22,'סקרי נכסים-יתרות פתיחה'!$2:$110,34,0),0)-IFERROR(HLOOKUP(E22,'סקרי נכסים-יתרות פתיחה'!$2:$110,93,0),0)*(1-E$309)</f>
        <v>0</v>
      </c>
      <c r="F156" s="1240">
        <f>+IFERROR(HLOOKUP(F22,'סקרי נכסים-יתרות פתיחה'!$2:$110,34,0),0)-IFERROR(HLOOKUP(F22,'סקרי נכסים-יתרות פתיחה'!$2:$110,93,0),0)*(1-F$309)</f>
        <v>0</v>
      </c>
      <c r="G156" s="1240">
        <f>+IFERROR(HLOOKUP(G22,'סקרי נכסים-יתרות פתיחה'!$2:$110,34,0),0)-IFERROR(HLOOKUP(G22,'סקרי נכסים-יתרות פתיחה'!$2:$110,93,0),0)*(1-G$309)</f>
        <v>0</v>
      </c>
      <c r="H156" s="1240">
        <f>+IFERROR(HLOOKUP(H22,'סקרי נכסים-יתרות פתיחה'!$2:$110,34,0),0)-IFERROR(HLOOKUP(H22,'סקרי נכסים-יתרות פתיחה'!$2:$110,93,0),0)*(1-H$309)</f>
        <v>0</v>
      </c>
      <c r="I156" s="1240">
        <f>+IFERROR(HLOOKUP(I22,'סקרי נכסים-יתרות פתיחה'!$2:$110,34,0),0)-IFERROR(HLOOKUP(I22,'סקרי נכסים-יתרות פתיחה'!$2:$110,93,0),0)*(1-I$309)</f>
        <v>0</v>
      </c>
      <c r="J156" s="1240">
        <f>+IFERROR(HLOOKUP(J22,'סקרי נכסים-יתרות פתיחה'!$2:$110,34,0),0)-IFERROR(HLOOKUP(J22,'סקרי נכסים-יתרות פתיחה'!$2:$110,93,0),0)*(1-J$309)</f>
        <v>0</v>
      </c>
      <c r="K156" s="1240">
        <f>+IFERROR(HLOOKUP(K22,'סקרי נכסים-יתרות פתיחה'!$2:$110,34,0),0)-IFERROR(HLOOKUP(K22,'סקרי נכסים-יתרות פתיחה'!$2:$110,93,0),0)*(1-K$309)</f>
        <v>0</v>
      </c>
      <c r="L156" s="1240">
        <f>+IFERROR(HLOOKUP(L22,'סקרי נכסים-יתרות פתיחה'!$2:$110,34,0),0)-IFERROR(HLOOKUP(L22,'סקרי נכסים-יתרות פתיחה'!$2:$110,93,0),0)*(1-L$309)</f>
        <v>0</v>
      </c>
      <c r="M156" s="1240">
        <f>+IFERROR(HLOOKUP(M22,'סקרי נכסים-יתרות פתיחה'!$2:$110,34,0),0)-IFERROR(HLOOKUP(M22,'סקרי נכסים-יתרות פתיחה'!$2:$110,93,0),0)*(1-M$309)</f>
        <v>0</v>
      </c>
      <c r="N156" s="1240">
        <f>+IFERROR(HLOOKUP(N22,'סקרי נכסים-יתרות פתיחה'!$2:$110,34,0),0)-IFERROR(HLOOKUP(N22,'סקרי נכסים-יתרות פתיחה'!$2:$110,93,0),0)*(1-N$309)</f>
        <v>0</v>
      </c>
      <c r="O156" s="1240">
        <f>+IFERROR(HLOOKUP(O22,'סקרי נכסים-יתרות פתיחה'!$2:$110,34,0),0)-IFERROR(HLOOKUP(O22,'סקרי נכסים-יתרות פתיחה'!$2:$110,93,0),0)*(1-O$309)</f>
        <v>0</v>
      </c>
      <c r="P156" s="1240">
        <f>+IFERROR(HLOOKUP(P22,'סקרי נכסים-יתרות פתיחה'!$2:$110,34,0),0)-IFERROR(HLOOKUP(P22,'סקרי נכסים-יתרות פתיחה'!$2:$110,93,0),0)*(1-P$309)</f>
        <v>0</v>
      </c>
      <c r="Q156" s="1240">
        <f>+IFERROR(HLOOKUP(Q22,'סקרי נכסים-יתרות פתיחה'!$2:$110,34,0),0)-IFERROR(HLOOKUP(Q22,'סקרי נכסים-יתרות פתיחה'!$2:$110,93,0),0)*(1-Q$309)</f>
        <v>0</v>
      </c>
      <c r="R156" s="1240">
        <f>+IFERROR(HLOOKUP(R22,'סקרי נכסים-יתרות פתיחה'!$2:$110,34,0),0)-IFERROR(HLOOKUP(R22,'סקרי נכסים-יתרות פתיחה'!$2:$110,93,0),0)*(1-R$309)</f>
        <v>0</v>
      </c>
      <c r="S156" s="1240">
        <f>+IFERROR(HLOOKUP(S22,'סקרי נכסים-יתרות פתיחה'!$2:$110,34,0),0)-IFERROR(HLOOKUP(S22,'סקרי נכסים-יתרות פתיחה'!$2:$110,93,0),0)*(1-S$309)</f>
        <v>0</v>
      </c>
      <c r="T156" s="1240">
        <f>+IFERROR(HLOOKUP(T22,'סקרי נכסים-יתרות פתיחה'!$2:$110,34,0),0)-IFERROR(HLOOKUP(T22,'סקרי נכסים-יתרות פתיחה'!$2:$110,93,0),0)*(1-T$309)</f>
        <v>0</v>
      </c>
      <c r="U156" s="1240">
        <f>+IFERROR(HLOOKUP(U22,'סקרי נכסים-יתרות פתיחה'!$2:$110,34,0),0)-IFERROR(HLOOKUP(U22,'סקרי נכסים-יתרות פתיחה'!$2:$110,93,0),0)*(1-U$309)</f>
        <v>0</v>
      </c>
      <c r="V156" s="1240">
        <f>+IFERROR(HLOOKUP(V22,'סקרי נכסים-יתרות פתיחה'!$2:$110,34,0),0)-IFERROR(HLOOKUP(V22,'סקרי נכסים-יתרות פתיחה'!$2:$110,93,0),0)*(1-V$309)</f>
        <v>0</v>
      </c>
      <c r="W156" s="1240">
        <f>+IFERROR(HLOOKUP(W22,'סקרי נכסים-יתרות פתיחה'!$2:$110,34,0),0)-IFERROR(HLOOKUP(W22,'סקרי נכסים-יתרות פתיחה'!$2:$110,93,0),0)*(1-W$309)</f>
        <v>0</v>
      </c>
      <c r="X156" s="1240">
        <f>+IFERROR(HLOOKUP(X22,'סקרי נכסים-יתרות פתיחה'!$2:$110,34,0),0)-IFERROR(HLOOKUP(X22,'סקרי נכסים-יתרות פתיחה'!$2:$110,93,0),0)*(1-X$309)</f>
        <v>0</v>
      </c>
      <c r="Y156" s="1240">
        <f>+IFERROR(HLOOKUP(Y22,'סקרי נכסים-יתרות פתיחה'!$2:$110,34,0),0)-IFERROR(HLOOKUP(Y22,'סקרי נכסים-יתרות פתיחה'!$2:$110,93,0),0)*(1-Y$309)</f>
        <v>0</v>
      </c>
      <c r="Z156" s="1240">
        <f>+IFERROR(HLOOKUP(Z22,'סקרי נכסים-יתרות פתיחה'!$2:$110,34,0),0)-IFERROR(HLOOKUP(Z22,'סקרי נכסים-יתרות פתיחה'!$2:$110,93,0),0)*(1-Z$309)</f>
        <v>0</v>
      </c>
      <c r="AA156" s="1240">
        <f>+IFERROR(HLOOKUP(AA22,'סקרי נכסים-יתרות פתיחה'!$2:$110,34,0),0)-IFERROR(HLOOKUP(AA22,'סקרי נכסים-יתרות פתיחה'!$2:$110,93,0),0)*(1-AA$309)</f>
        <v>0</v>
      </c>
      <c r="AB156" s="1240">
        <f>+IFERROR(HLOOKUP(AB22,'סקרי נכסים-יתרות פתיחה'!$2:$110,34,0),0)-IFERROR(HLOOKUP(AB22,'סקרי נכסים-יתרות פתיחה'!$2:$110,93,0),0)*(1-AB$309)</f>
        <v>0</v>
      </c>
      <c r="AC156" s="1240">
        <f>+IFERROR(HLOOKUP(AC22,'סקרי נכסים-יתרות פתיחה'!$2:$110,34,0),0)-IFERROR(HLOOKUP(AC22,'סקרי נכסים-יתרות פתיחה'!$2:$110,93,0),0)*(1-AC$309)</f>
        <v>0</v>
      </c>
      <c r="AD156" s="1240">
        <f>+IFERROR(HLOOKUP(AD22,'סקרי נכסים-יתרות פתיחה'!$2:$110,34,0),0)-IFERROR(HLOOKUP(AD22,'סקרי נכסים-יתרות פתיחה'!$2:$110,93,0),0)*(1-AD$309)</f>
        <v>0</v>
      </c>
      <c r="AE156" s="1240">
        <f>+IFERROR(HLOOKUP(AE22,'סקרי נכסים-יתרות פתיחה'!$2:$110,34,0),0)-IFERROR(HLOOKUP(AE22,'סקרי נכסים-יתרות פתיחה'!$2:$110,93,0),0)*(1-AE$309)</f>
        <v>0</v>
      </c>
      <c r="AF156" s="1240">
        <f>+IFERROR(HLOOKUP(AF22,'סקרי נכסים-יתרות פתיחה'!$2:$110,34,0),0)-IFERROR(HLOOKUP(AF22,'סקרי נכסים-יתרות פתיחה'!$2:$110,93,0),0)*(1-AF$309)</f>
        <v>0</v>
      </c>
      <c r="AG156" s="1240">
        <f>+IFERROR(HLOOKUP(AG22,'סקרי נכסים-יתרות פתיחה'!$2:$110,34,0),0)-IFERROR(HLOOKUP(AG22,'סקרי נכסים-יתרות פתיחה'!$2:$110,93,0),0)*(1-AG$309)</f>
        <v>0</v>
      </c>
      <c r="AH156" s="1240">
        <f>+IFERROR(HLOOKUP(AH22,'סקרי נכסים-יתרות פתיחה'!$2:$110,34,0),0)-IFERROR(HLOOKUP(AH22,'סקרי נכסים-יתרות פתיחה'!$2:$110,93,0),0)*(1-AH$309)</f>
        <v>0</v>
      </c>
      <c r="AI156" s="1240">
        <f>+IFERROR(HLOOKUP(AI22,'סקרי נכסים-יתרות פתיחה'!$2:$110,34,0),0)-IFERROR(HLOOKUP(AI22,'סקרי נכסים-יתרות פתיחה'!$2:$110,93,0),0)*(1-AI$309)</f>
        <v>0</v>
      </c>
      <c r="AJ156" s="1240">
        <f>+IFERROR(HLOOKUP(AJ22,'סקרי נכסים-יתרות פתיחה'!$2:$110,34,0),0)-IFERROR(HLOOKUP(AJ22,'סקרי נכסים-יתרות פתיחה'!$2:$110,93,0),0)*(1-AJ$309)</f>
        <v>0</v>
      </c>
      <c r="AK156" s="1240">
        <f>+IFERROR(HLOOKUP(AK22,'סקרי נכסים-יתרות פתיחה'!$2:$110,34,0),0)-IFERROR(HLOOKUP(AK22,'סקרי נכסים-יתרות פתיחה'!$2:$110,93,0),0)*(1-AK$309)</f>
        <v>0</v>
      </c>
      <c r="AL156" s="1240">
        <f>+IFERROR(HLOOKUP(AL22,'סקרי נכסים-יתרות פתיחה'!$2:$110,34,0),0)-IFERROR(HLOOKUP(AL22,'סקרי נכסים-יתרות פתיחה'!$2:$110,93,0),0)*(1-AL$309)</f>
        <v>0</v>
      </c>
      <c r="AM156" s="1240">
        <f>+IFERROR(HLOOKUP(AM22,'סקרי נכסים-יתרות פתיחה'!$2:$110,34,0),0)-IFERROR(HLOOKUP(AM22,'סקרי נכסים-יתרות פתיחה'!$2:$110,93,0),0)*(1-AM$309)</f>
        <v>0</v>
      </c>
      <c r="AN156" s="1240">
        <f>+IFERROR(HLOOKUP(AN22,'סקרי נכסים-יתרות פתיחה'!$2:$110,34,0),0)-IFERROR(HLOOKUP(AN22,'סקרי נכסים-יתרות פתיחה'!$2:$110,93,0),0)*(1-AN$309)</f>
        <v>0</v>
      </c>
      <c r="AO156" s="1240">
        <f>+IFERROR(HLOOKUP(AO22,'סקרי נכסים-יתרות פתיחה'!$2:$110,34,0),0)-IFERROR(HLOOKUP(AO22,'סקרי נכסים-יתרות פתיחה'!$2:$110,93,0),0)*(1-AO$309)</f>
        <v>0</v>
      </c>
      <c r="AP156" s="1240">
        <f>+IFERROR(HLOOKUP(AP22,'סקרי נכסים-יתרות פתיחה'!$2:$110,34,0),0)-IFERROR(HLOOKUP(AP22,'סקרי נכסים-יתרות פתיחה'!$2:$110,93,0),0)*(1-AP$309)</f>
        <v>0</v>
      </c>
      <c r="AQ156" s="1240">
        <f>+IFERROR(HLOOKUP(AQ22,'סקרי נכסים-יתרות פתיחה'!$2:$110,34,0),0)-IFERROR(HLOOKUP(AQ22,'סקרי נכסים-יתרות פתיחה'!$2:$110,93,0),0)*(1-AQ$309)</f>
        <v>0</v>
      </c>
      <c r="AR156" s="1240">
        <f>+IFERROR(HLOOKUP(AR22,'סקרי נכסים-יתרות פתיחה'!$2:$110,34,0),0)-IFERROR(HLOOKUP(AR22,'סקרי נכסים-יתרות פתיחה'!$2:$110,93,0),0)*(1-AR$309)</f>
        <v>0</v>
      </c>
      <c r="AS156" s="1240">
        <f>+IFERROR(HLOOKUP(AS22,'סקרי נכסים-יתרות פתיחה'!$2:$110,34,0),0)-IFERROR(HLOOKUP(AS22,'סקרי נכסים-יתרות פתיחה'!$2:$110,93,0),0)*(1-AS$309)</f>
        <v>0</v>
      </c>
      <c r="AT156" s="1240">
        <f>+IFERROR(HLOOKUP(AT22,'סקרי נכסים-יתרות פתיחה'!$2:$110,34,0),0)-IFERROR(HLOOKUP(AT22,'סקרי נכסים-יתרות פתיחה'!$2:$110,93,0),0)*(1-AT$309)</f>
        <v>0</v>
      </c>
      <c r="AU156" s="1240">
        <f>+IFERROR(HLOOKUP(AU22,'סקרי נכסים-יתרות פתיחה'!$2:$110,34,0),0)-IFERROR(HLOOKUP(AU22,'סקרי נכסים-יתרות פתיחה'!$2:$110,93,0),0)*(1-AU$309)</f>
        <v>0</v>
      </c>
      <c r="AV156" s="1240">
        <f>+IFERROR(HLOOKUP(AV22,'סקרי נכסים-יתרות פתיחה'!$2:$110,34,0),0)-IFERROR(HLOOKUP(AV22,'סקרי נכסים-יתרות פתיחה'!$2:$110,93,0),0)*(1-AV$309)</f>
        <v>0</v>
      </c>
      <c r="AW156" s="1240">
        <f>+IFERROR(HLOOKUP(AW22,'סקרי נכסים-יתרות פתיחה'!$2:$110,34,0),0)-IFERROR(HLOOKUP(AW22,'סקרי נכסים-יתרות פתיחה'!$2:$110,93,0),0)*(1-AW$309)</f>
        <v>0</v>
      </c>
      <c r="AX156" s="1240">
        <f>+IFERROR(HLOOKUP(AX22,'סקרי נכסים-יתרות פתיחה'!$2:$110,34,0),0)-IFERROR(HLOOKUP(AX22,'סקרי נכסים-יתרות פתיחה'!$2:$110,93,0),0)*(1-AX$309)</f>
        <v>0</v>
      </c>
      <c r="AY156" s="1240">
        <f>+IFERROR(HLOOKUP(AY22,'סקרי נכסים-יתרות פתיחה'!$2:$110,34,0),0)-IFERROR(HLOOKUP(AY22,'סקרי נכסים-יתרות פתיחה'!$2:$110,93,0),0)*(1-AY$309)</f>
        <v>0</v>
      </c>
      <c r="AZ156" s="1240">
        <f>+IFERROR(HLOOKUP(AZ22,'סקרי נכסים-יתרות פתיחה'!$2:$110,34,0),0)-IFERROR(HLOOKUP(AZ22,'סקרי נכסים-יתרות פתיחה'!$2:$110,93,0),0)*(1-AZ$309)</f>
        <v>0</v>
      </c>
      <c r="BA156" s="1240">
        <f>+IFERROR(HLOOKUP(BA22,'סקרי נכסים-יתרות פתיחה'!$2:$110,34,0),0)-IFERROR(HLOOKUP(BA22,'סקרי נכסים-יתרות פתיחה'!$2:$110,93,0),0)*(1-BA$309)</f>
        <v>0</v>
      </c>
      <c r="BB156" s="1240">
        <f>+IFERROR(HLOOKUP(BB22,'סקרי נכסים-יתרות פתיחה'!$2:$110,34,0),0)-IFERROR(HLOOKUP(BB22,'סקרי נכסים-יתרות פתיחה'!$2:$110,93,0),0)*(1-BB$309)</f>
        <v>0</v>
      </c>
      <c r="BC156" s="1240">
        <f>+IFERROR(HLOOKUP(BC22,'סקרי נכסים-יתרות פתיחה'!$2:$110,34,0),0)-IFERROR(HLOOKUP(BC22,'סקרי נכסים-יתרות פתיחה'!$2:$110,93,0),0)*(1-BC$309)</f>
        <v>0</v>
      </c>
      <c r="BD156" s="1240">
        <f>+IFERROR(HLOOKUP(BD22,'סקרי נכסים-יתרות פתיחה'!$2:$110,34,0),0)-IFERROR(HLOOKUP(BD22,'סקרי נכסים-יתרות פתיחה'!$2:$110,93,0),0)*(1-BD$309)</f>
        <v>0</v>
      </c>
      <c r="BE156" s="1240">
        <f>+IFERROR(HLOOKUP(BE22,'סקרי נכסים-יתרות פתיחה'!$2:$110,34,0),0)-IFERROR(HLOOKUP(BE22,'סקרי נכסים-יתרות פתיחה'!$2:$110,93,0),0)*(1-BE$309)</f>
        <v>0</v>
      </c>
      <c r="BF156" s="1240">
        <f>+IFERROR(HLOOKUP(BF22,'סקרי נכסים-יתרות פתיחה'!$2:$110,34,0),0)-IFERROR(HLOOKUP(BF22,'סקרי נכסים-יתרות פתיחה'!$2:$110,93,0),0)*(1-BF$309)</f>
        <v>0</v>
      </c>
    </row>
    <row r="157" spans="2:58" x14ac:dyDescent="0.2">
      <c r="B157" s="1">
        <v>20</v>
      </c>
      <c r="C157" s="1240">
        <f>+IFERROR(HLOOKUP(C23,'סקרי נכסים-יתרות פתיחה'!$2:$110,34,0),0)-IFERROR(HLOOKUP(C23,'סקרי נכסים-יתרות פתיחה'!$2:$110,93,0),0)*(1-C$309)</f>
        <v>0</v>
      </c>
      <c r="D157" s="1240">
        <f>+IFERROR(HLOOKUP(D23,'סקרי נכסים-יתרות פתיחה'!$2:$110,34,0),0)-IFERROR(HLOOKUP(D23,'סקרי נכסים-יתרות פתיחה'!$2:$110,93,0),0)*(1-D$309)</f>
        <v>0</v>
      </c>
      <c r="E157" s="1240">
        <f>+IFERROR(HLOOKUP(E23,'סקרי נכסים-יתרות פתיחה'!$2:$110,34,0),0)-IFERROR(HLOOKUP(E23,'סקרי נכסים-יתרות פתיחה'!$2:$110,93,0),0)*(1-E$309)</f>
        <v>0</v>
      </c>
      <c r="F157" s="1240">
        <f>+IFERROR(HLOOKUP(F23,'סקרי נכסים-יתרות פתיחה'!$2:$110,34,0),0)-IFERROR(HLOOKUP(F23,'סקרי נכסים-יתרות פתיחה'!$2:$110,93,0),0)*(1-F$309)</f>
        <v>0</v>
      </c>
      <c r="G157" s="1240">
        <f>+IFERROR(HLOOKUP(G23,'סקרי נכסים-יתרות פתיחה'!$2:$110,34,0),0)-IFERROR(HLOOKUP(G23,'סקרי נכסים-יתרות פתיחה'!$2:$110,93,0),0)*(1-G$309)</f>
        <v>0</v>
      </c>
      <c r="H157" s="1240">
        <f>+IFERROR(HLOOKUP(H23,'סקרי נכסים-יתרות פתיחה'!$2:$110,34,0),0)-IFERROR(HLOOKUP(H23,'סקרי נכסים-יתרות פתיחה'!$2:$110,93,0),0)*(1-H$309)</f>
        <v>0</v>
      </c>
      <c r="I157" s="1240">
        <f>+IFERROR(HLOOKUP(I23,'סקרי נכסים-יתרות פתיחה'!$2:$110,34,0),0)-IFERROR(HLOOKUP(I23,'סקרי נכסים-יתרות פתיחה'!$2:$110,93,0),0)*(1-I$309)</f>
        <v>0</v>
      </c>
      <c r="J157" s="1240">
        <f>+IFERROR(HLOOKUP(J23,'סקרי נכסים-יתרות פתיחה'!$2:$110,34,0),0)-IFERROR(HLOOKUP(J23,'סקרי נכסים-יתרות פתיחה'!$2:$110,93,0),0)*(1-J$309)</f>
        <v>0</v>
      </c>
      <c r="K157" s="1240">
        <f>+IFERROR(HLOOKUP(K23,'סקרי נכסים-יתרות פתיחה'!$2:$110,34,0),0)-IFERROR(HLOOKUP(K23,'סקרי נכסים-יתרות פתיחה'!$2:$110,93,0),0)*(1-K$309)</f>
        <v>0</v>
      </c>
      <c r="L157" s="1240">
        <f>+IFERROR(HLOOKUP(L23,'סקרי נכסים-יתרות פתיחה'!$2:$110,34,0),0)-IFERROR(HLOOKUP(L23,'סקרי נכסים-יתרות פתיחה'!$2:$110,93,0),0)*(1-L$309)</f>
        <v>0</v>
      </c>
      <c r="M157" s="1240">
        <f>+IFERROR(HLOOKUP(M23,'סקרי נכסים-יתרות פתיחה'!$2:$110,34,0),0)-IFERROR(HLOOKUP(M23,'סקרי נכסים-יתרות פתיחה'!$2:$110,93,0),0)*(1-M$309)</f>
        <v>0</v>
      </c>
      <c r="N157" s="1240">
        <f>+IFERROR(HLOOKUP(N23,'סקרי נכסים-יתרות פתיחה'!$2:$110,34,0),0)-IFERROR(HLOOKUP(N23,'סקרי נכסים-יתרות פתיחה'!$2:$110,93,0),0)*(1-N$309)</f>
        <v>0</v>
      </c>
      <c r="O157" s="1240">
        <f>+IFERROR(HLOOKUP(O23,'סקרי נכסים-יתרות פתיחה'!$2:$110,34,0),0)-IFERROR(HLOOKUP(O23,'סקרי נכסים-יתרות פתיחה'!$2:$110,93,0),0)*(1-O$309)</f>
        <v>0</v>
      </c>
      <c r="P157" s="1240">
        <f>+IFERROR(HLOOKUP(P23,'סקרי נכסים-יתרות פתיחה'!$2:$110,34,0),0)-IFERROR(HLOOKUP(P23,'סקרי נכסים-יתרות פתיחה'!$2:$110,93,0),0)*(1-P$309)</f>
        <v>0</v>
      </c>
      <c r="Q157" s="1240">
        <f>+IFERROR(HLOOKUP(Q23,'סקרי נכסים-יתרות פתיחה'!$2:$110,34,0),0)-IFERROR(HLOOKUP(Q23,'סקרי נכסים-יתרות פתיחה'!$2:$110,93,0),0)*(1-Q$309)</f>
        <v>0</v>
      </c>
      <c r="R157" s="1240">
        <f>+IFERROR(HLOOKUP(R23,'סקרי נכסים-יתרות פתיחה'!$2:$110,34,0),0)-IFERROR(HLOOKUP(R23,'סקרי נכסים-יתרות פתיחה'!$2:$110,93,0),0)*(1-R$309)</f>
        <v>0</v>
      </c>
      <c r="S157" s="1240">
        <f>+IFERROR(HLOOKUP(S23,'סקרי נכסים-יתרות פתיחה'!$2:$110,34,0),0)-IFERROR(HLOOKUP(S23,'סקרי נכסים-יתרות פתיחה'!$2:$110,93,0),0)*(1-S$309)</f>
        <v>0</v>
      </c>
      <c r="T157" s="1240">
        <f>+IFERROR(HLOOKUP(T23,'סקרי נכסים-יתרות פתיחה'!$2:$110,34,0),0)-IFERROR(HLOOKUP(T23,'סקרי נכסים-יתרות פתיחה'!$2:$110,93,0),0)*(1-T$309)</f>
        <v>0</v>
      </c>
      <c r="U157" s="1240">
        <f>+IFERROR(HLOOKUP(U23,'סקרי נכסים-יתרות פתיחה'!$2:$110,34,0),0)-IFERROR(HLOOKUP(U23,'סקרי נכסים-יתרות פתיחה'!$2:$110,93,0),0)*(1-U$309)</f>
        <v>0</v>
      </c>
      <c r="V157" s="1240">
        <f>+IFERROR(HLOOKUP(V23,'סקרי נכסים-יתרות פתיחה'!$2:$110,34,0),0)-IFERROR(HLOOKUP(V23,'סקרי נכסים-יתרות פתיחה'!$2:$110,93,0),0)*(1-V$309)</f>
        <v>0</v>
      </c>
      <c r="W157" s="1240">
        <f>+IFERROR(HLOOKUP(W23,'סקרי נכסים-יתרות פתיחה'!$2:$110,34,0),0)-IFERROR(HLOOKUP(W23,'סקרי נכסים-יתרות פתיחה'!$2:$110,93,0),0)*(1-W$309)</f>
        <v>0</v>
      </c>
      <c r="X157" s="1240">
        <f>+IFERROR(HLOOKUP(X23,'סקרי נכסים-יתרות פתיחה'!$2:$110,34,0),0)-IFERROR(HLOOKUP(X23,'סקרי נכסים-יתרות פתיחה'!$2:$110,93,0),0)*(1-X$309)</f>
        <v>0</v>
      </c>
      <c r="Y157" s="1240">
        <f>+IFERROR(HLOOKUP(Y23,'סקרי נכסים-יתרות פתיחה'!$2:$110,34,0),0)-IFERROR(HLOOKUP(Y23,'סקרי נכסים-יתרות פתיחה'!$2:$110,93,0),0)*(1-Y$309)</f>
        <v>0</v>
      </c>
      <c r="Z157" s="1240">
        <f>+IFERROR(HLOOKUP(Z23,'סקרי נכסים-יתרות פתיחה'!$2:$110,34,0),0)-IFERROR(HLOOKUP(Z23,'סקרי נכסים-יתרות פתיחה'!$2:$110,93,0),0)*(1-Z$309)</f>
        <v>0</v>
      </c>
      <c r="AA157" s="1240">
        <f>+IFERROR(HLOOKUP(AA23,'סקרי נכסים-יתרות פתיחה'!$2:$110,34,0),0)-IFERROR(HLOOKUP(AA23,'סקרי נכסים-יתרות פתיחה'!$2:$110,93,0),0)*(1-AA$309)</f>
        <v>0</v>
      </c>
      <c r="AB157" s="1240">
        <f>+IFERROR(HLOOKUP(AB23,'סקרי נכסים-יתרות פתיחה'!$2:$110,34,0),0)-IFERROR(HLOOKUP(AB23,'סקרי נכסים-יתרות פתיחה'!$2:$110,93,0),0)*(1-AB$309)</f>
        <v>0</v>
      </c>
      <c r="AC157" s="1240">
        <f>+IFERROR(HLOOKUP(AC23,'סקרי נכסים-יתרות פתיחה'!$2:$110,34,0),0)-IFERROR(HLOOKUP(AC23,'סקרי נכסים-יתרות פתיחה'!$2:$110,93,0),0)*(1-AC$309)</f>
        <v>0</v>
      </c>
      <c r="AD157" s="1240">
        <f>+IFERROR(HLOOKUP(AD23,'סקרי נכסים-יתרות פתיחה'!$2:$110,34,0),0)-IFERROR(HLOOKUP(AD23,'סקרי נכסים-יתרות פתיחה'!$2:$110,93,0),0)*(1-AD$309)</f>
        <v>0</v>
      </c>
      <c r="AE157" s="1240">
        <f>+IFERROR(HLOOKUP(AE23,'סקרי נכסים-יתרות פתיחה'!$2:$110,34,0),0)-IFERROR(HLOOKUP(AE23,'סקרי נכסים-יתרות פתיחה'!$2:$110,93,0),0)*(1-AE$309)</f>
        <v>0</v>
      </c>
      <c r="AF157" s="1240">
        <f>+IFERROR(HLOOKUP(AF23,'סקרי נכסים-יתרות פתיחה'!$2:$110,34,0),0)-IFERROR(HLOOKUP(AF23,'סקרי נכסים-יתרות פתיחה'!$2:$110,93,0),0)*(1-AF$309)</f>
        <v>0</v>
      </c>
      <c r="AG157" s="1240">
        <f>+IFERROR(HLOOKUP(AG23,'סקרי נכסים-יתרות פתיחה'!$2:$110,34,0),0)-IFERROR(HLOOKUP(AG23,'סקרי נכסים-יתרות פתיחה'!$2:$110,93,0),0)*(1-AG$309)</f>
        <v>0</v>
      </c>
      <c r="AH157" s="1240">
        <f>+IFERROR(HLOOKUP(AH23,'סקרי נכסים-יתרות פתיחה'!$2:$110,34,0),0)-IFERROR(HLOOKUP(AH23,'סקרי נכסים-יתרות פתיחה'!$2:$110,93,0),0)*(1-AH$309)</f>
        <v>0</v>
      </c>
      <c r="AI157" s="1240">
        <f>+IFERROR(HLOOKUP(AI23,'סקרי נכסים-יתרות פתיחה'!$2:$110,34,0),0)-IFERROR(HLOOKUP(AI23,'סקרי נכסים-יתרות פתיחה'!$2:$110,93,0),0)*(1-AI$309)</f>
        <v>0</v>
      </c>
      <c r="AJ157" s="1240">
        <f>+IFERROR(HLOOKUP(AJ23,'סקרי נכסים-יתרות פתיחה'!$2:$110,34,0),0)-IFERROR(HLOOKUP(AJ23,'סקרי נכסים-יתרות פתיחה'!$2:$110,93,0),0)*(1-AJ$309)</f>
        <v>0</v>
      </c>
      <c r="AK157" s="1240">
        <f>+IFERROR(HLOOKUP(AK23,'סקרי נכסים-יתרות פתיחה'!$2:$110,34,0),0)-IFERROR(HLOOKUP(AK23,'סקרי נכסים-יתרות פתיחה'!$2:$110,93,0),0)*(1-AK$309)</f>
        <v>0</v>
      </c>
      <c r="AL157" s="1240">
        <f>+IFERROR(HLOOKUP(AL23,'סקרי נכסים-יתרות פתיחה'!$2:$110,34,0),0)-IFERROR(HLOOKUP(AL23,'סקרי נכסים-יתרות פתיחה'!$2:$110,93,0),0)*(1-AL$309)</f>
        <v>0</v>
      </c>
      <c r="AM157" s="1240">
        <f>+IFERROR(HLOOKUP(AM23,'סקרי נכסים-יתרות פתיחה'!$2:$110,34,0),0)-IFERROR(HLOOKUP(AM23,'סקרי נכסים-יתרות פתיחה'!$2:$110,93,0),0)*(1-AM$309)</f>
        <v>0</v>
      </c>
      <c r="AN157" s="1240">
        <f>+IFERROR(HLOOKUP(AN23,'סקרי נכסים-יתרות פתיחה'!$2:$110,34,0),0)-IFERROR(HLOOKUP(AN23,'סקרי נכסים-יתרות פתיחה'!$2:$110,93,0),0)*(1-AN$309)</f>
        <v>0</v>
      </c>
      <c r="AO157" s="1240">
        <f>+IFERROR(HLOOKUP(AO23,'סקרי נכסים-יתרות פתיחה'!$2:$110,34,0),0)-IFERROR(HLOOKUP(AO23,'סקרי נכסים-יתרות פתיחה'!$2:$110,93,0),0)*(1-AO$309)</f>
        <v>0</v>
      </c>
      <c r="AP157" s="1240">
        <f>+IFERROR(HLOOKUP(AP23,'סקרי נכסים-יתרות פתיחה'!$2:$110,34,0),0)-IFERROR(HLOOKUP(AP23,'סקרי נכסים-יתרות פתיחה'!$2:$110,93,0),0)*(1-AP$309)</f>
        <v>0</v>
      </c>
      <c r="AQ157" s="1240">
        <f>+IFERROR(HLOOKUP(AQ23,'סקרי נכסים-יתרות פתיחה'!$2:$110,34,0),0)-IFERROR(HLOOKUP(AQ23,'סקרי נכסים-יתרות פתיחה'!$2:$110,93,0),0)*(1-AQ$309)</f>
        <v>0</v>
      </c>
      <c r="AR157" s="1240">
        <f>+IFERROR(HLOOKUP(AR23,'סקרי נכסים-יתרות פתיחה'!$2:$110,34,0),0)-IFERROR(HLOOKUP(AR23,'סקרי נכסים-יתרות פתיחה'!$2:$110,93,0),0)*(1-AR$309)</f>
        <v>0</v>
      </c>
      <c r="AS157" s="1240">
        <f>+IFERROR(HLOOKUP(AS23,'סקרי נכסים-יתרות פתיחה'!$2:$110,34,0),0)-IFERROR(HLOOKUP(AS23,'סקרי נכסים-יתרות פתיחה'!$2:$110,93,0),0)*(1-AS$309)</f>
        <v>0</v>
      </c>
      <c r="AT157" s="1240">
        <f>+IFERROR(HLOOKUP(AT23,'סקרי נכסים-יתרות פתיחה'!$2:$110,34,0),0)-IFERROR(HLOOKUP(AT23,'סקרי נכסים-יתרות פתיחה'!$2:$110,93,0),0)*(1-AT$309)</f>
        <v>0</v>
      </c>
      <c r="AU157" s="1240">
        <f>+IFERROR(HLOOKUP(AU23,'סקרי נכסים-יתרות פתיחה'!$2:$110,34,0),0)-IFERROR(HLOOKUP(AU23,'סקרי נכסים-יתרות פתיחה'!$2:$110,93,0),0)*(1-AU$309)</f>
        <v>0</v>
      </c>
      <c r="AV157" s="1240">
        <f>+IFERROR(HLOOKUP(AV23,'סקרי נכסים-יתרות פתיחה'!$2:$110,34,0),0)-IFERROR(HLOOKUP(AV23,'סקרי נכסים-יתרות פתיחה'!$2:$110,93,0),0)*(1-AV$309)</f>
        <v>0</v>
      </c>
      <c r="AW157" s="1240">
        <f>+IFERROR(HLOOKUP(AW23,'סקרי נכסים-יתרות פתיחה'!$2:$110,34,0),0)-IFERROR(HLOOKUP(AW23,'סקרי נכסים-יתרות פתיחה'!$2:$110,93,0),0)*(1-AW$309)</f>
        <v>0</v>
      </c>
      <c r="AX157" s="1240">
        <f>+IFERROR(HLOOKUP(AX23,'סקרי נכסים-יתרות פתיחה'!$2:$110,34,0),0)-IFERROR(HLOOKUP(AX23,'סקרי נכסים-יתרות פתיחה'!$2:$110,93,0),0)*(1-AX$309)</f>
        <v>0</v>
      </c>
      <c r="AY157" s="1240">
        <f>+IFERROR(HLOOKUP(AY23,'סקרי נכסים-יתרות פתיחה'!$2:$110,34,0),0)-IFERROR(HLOOKUP(AY23,'סקרי נכסים-יתרות פתיחה'!$2:$110,93,0),0)*(1-AY$309)</f>
        <v>0</v>
      </c>
      <c r="AZ157" s="1240">
        <f>+IFERROR(HLOOKUP(AZ23,'סקרי נכסים-יתרות פתיחה'!$2:$110,34,0),0)-IFERROR(HLOOKUP(AZ23,'סקרי נכסים-יתרות פתיחה'!$2:$110,93,0),0)*(1-AZ$309)</f>
        <v>0</v>
      </c>
      <c r="BA157" s="1240">
        <f>+IFERROR(HLOOKUP(BA23,'סקרי נכסים-יתרות פתיחה'!$2:$110,34,0),0)-IFERROR(HLOOKUP(BA23,'סקרי נכסים-יתרות פתיחה'!$2:$110,93,0),0)*(1-BA$309)</f>
        <v>0</v>
      </c>
      <c r="BB157" s="1240">
        <f>+IFERROR(HLOOKUP(BB23,'סקרי נכסים-יתרות פתיחה'!$2:$110,34,0),0)-IFERROR(HLOOKUP(BB23,'סקרי נכסים-יתרות פתיחה'!$2:$110,93,0),0)*(1-BB$309)</f>
        <v>0</v>
      </c>
      <c r="BC157" s="1240">
        <f>+IFERROR(HLOOKUP(BC23,'סקרי נכסים-יתרות פתיחה'!$2:$110,34,0),0)-IFERROR(HLOOKUP(BC23,'סקרי נכסים-יתרות פתיחה'!$2:$110,93,0),0)*(1-BC$309)</f>
        <v>0</v>
      </c>
      <c r="BD157" s="1240">
        <f>+IFERROR(HLOOKUP(BD23,'סקרי נכסים-יתרות פתיחה'!$2:$110,34,0),0)-IFERROR(HLOOKUP(BD23,'סקרי נכסים-יתרות פתיחה'!$2:$110,93,0),0)*(1-BD$309)</f>
        <v>0</v>
      </c>
      <c r="BE157" s="1240">
        <f>+IFERROR(HLOOKUP(BE23,'סקרי נכסים-יתרות פתיחה'!$2:$110,34,0),0)-IFERROR(HLOOKUP(BE23,'סקרי נכסים-יתרות פתיחה'!$2:$110,93,0),0)*(1-BE$309)</f>
        <v>0</v>
      </c>
      <c r="BF157" s="1240">
        <f>+IFERROR(HLOOKUP(BF23,'סקרי נכסים-יתרות פתיחה'!$2:$110,34,0),0)-IFERROR(HLOOKUP(BF23,'סקרי נכסים-יתרות פתיחה'!$2:$110,93,0),0)*(1-BF$309)</f>
        <v>0</v>
      </c>
    </row>
    <row r="158" spans="2:58" x14ac:dyDescent="0.2">
      <c r="B158" s="1">
        <v>21</v>
      </c>
      <c r="C158" s="1240">
        <f>+IFERROR(HLOOKUP(C24,'סקרי נכסים-יתרות פתיחה'!$2:$110,34,0),0)-IFERROR(HLOOKUP(C24,'סקרי נכסים-יתרות פתיחה'!$2:$110,93,0),0)*(1-C$309)</f>
        <v>0</v>
      </c>
      <c r="D158" s="1240">
        <f>+IFERROR(HLOOKUP(D24,'סקרי נכסים-יתרות פתיחה'!$2:$110,34,0),0)-IFERROR(HLOOKUP(D24,'סקרי נכסים-יתרות פתיחה'!$2:$110,93,0),0)*(1-D$309)</f>
        <v>0</v>
      </c>
      <c r="E158" s="1240">
        <f>+IFERROR(HLOOKUP(E24,'סקרי נכסים-יתרות פתיחה'!$2:$110,34,0),0)-IFERROR(HLOOKUP(E24,'סקרי נכסים-יתרות פתיחה'!$2:$110,93,0),0)*(1-E$309)</f>
        <v>0</v>
      </c>
      <c r="F158" s="1240">
        <f>+IFERROR(HLOOKUP(F24,'סקרי נכסים-יתרות פתיחה'!$2:$110,34,0),0)-IFERROR(HLOOKUP(F24,'סקרי נכסים-יתרות פתיחה'!$2:$110,93,0),0)*(1-F$309)</f>
        <v>0</v>
      </c>
      <c r="G158" s="1240">
        <f>+IFERROR(HLOOKUP(G24,'סקרי נכסים-יתרות פתיחה'!$2:$110,34,0),0)-IFERROR(HLOOKUP(G24,'סקרי נכסים-יתרות פתיחה'!$2:$110,93,0),0)*(1-G$309)</f>
        <v>0</v>
      </c>
      <c r="H158" s="1240">
        <f>+IFERROR(HLOOKUP(H24,'סקרי נכסים-יתרות פתיחה'!$2:$110,34,0),0)-IFERROR(HLOOKUP(H24,'סקרי נכסים-יתרות פתיחה'!$2:$110,93,0),0)*(1-H$309)</f>
        <v>0</v>
      </c>
      <c r="I158" s="1240">
        <f>+IFERROR(HLOOKUP(I24,'סקרי נכסים-יתרות פתיחה'!$2:$110,34,0),0)-IFERROR(HLOOKUP(I24,'סקרי נכסים-יתרות פתיחה'!$2:$110,93,0),0)*(1-I$309)</f>
        <v>0</v>
      </c>
      <c r="J158" s="1240">
        <f>+IFERROR(HLOOKUP(J24,'סקרי נכסים-יתרות פתיחה'!$2:$110,34,0),0)-IFERROR(HLOOKUP(J24,'סקרי נכסים-יתרות פתיחה'!$2:$110,93,0),0)*(1-J$309)</f>
        <v>0</v>
      </c>
      <c r="K158" s="1240">
        <f>+IFERROR(HLOOKUP(K24,'סקרי נכסים-יתרות פתיחה'!$2:$110,34,0),0)-IFERROR(HLOOKUP(K24,'סקרי נכסים-יתרות פתיחה'!$2:$110,93,0),0)*(1-K$309)</f>
        <v>0</v>
      </c>
      <c r="L158" s="1240">
        <f>+IFERROR(HLOOKUP(L24,'סקרי נכסים-יתרות פתיחה'!$2:$110,34,0),0)-IFERROR(HLOOKUP(L24,'סקרי נכסים-יתרות פתיחה'!$2:$110,93,0),0)*(1-L$309)</f>
        <v>0</v>
      </c>
      <c r="M158" s="1240">
        <f>+IFERROR(HLOOKUP(M24,'סקרי נכסים-יתרות פתיחה'!$2:$110,34,0),0)-IFERROR(HLOOKUP(M24,'סקרי נכסים-יתרות פתיחה'!$2:$110,93,0),0)*(1-M$309)</f>
        <v>0</v>
      </c>
      <c r="N158" s="1240">
        <f>+IFERROR(HLOOKUP(N24,'סקרי נכסים-יתרות פתיחה'!$2:$110,34,0),0)-IFERROR(HLOOKUP(N24,'סקרי נכסים-יתרות פתיחה'!$2:$110,93,0),0)*(1-N$309)</f>
        <v>0</v>
      </c>
      <c r="O158" s="1240">
        <f>+IFERROR(HLOOKUP(O24,'סקרי נכסים-יתרות פתיחה'!$2:$110,34,0),0)-IFERROR(HLOOKUP(O24,'סקרי נכסים-יתרות פתיחה'!$2:$110,93,0),0)*(1-O$309)</f>
        <v>0</v>
      </c>
      <c r="P158" s="1240">
        <f>+IFERROR(HLOOKUP(P24,'סקרי נכסים-יתרות פתיחה'!$2:$110,34,0),0)-IFERROR(HLOOKUP(P24,'סקרי נכסים-יתרות פתיחה'!$2:$110,93,0),0)*(1-P$309)</f>
        <v>0</v>
      </c>
      <c r="Q158" s="1240">
        <f>+IFERROR(HLOOKUP(Q24,'סקרי נכסים-יתרות פתיחה'!$2:$110,34,0),0)-IFERROR(HLOOKUP(Q24,'סקרי נכסים-יתרות פתיחה'!$2:$110,93,0),0)*(1-Q$309)</f>
        <v>0</v>
      </c>
      <c r="R158" s="1240">
        <f>+IFERROR(HLOOKUP(R24,'סקרי נכסים-יתרות פתיחה'!$2:$110,34,0),0)-IFERROR(HLOOKUP(R24,'סקרי נכסים-יתרות פתיחה'!$2:$110,93,0),0)*(1-R$309)</f>
        <v>0</v>
      </c>
      <c r="S158" s="1240">
        <f>+IFERROR(HLOOKUP(S24,'סקרי נכסים-יתרות פתיחה'!$2:$110,34,0),0)-IFERROR(HLOOKUP(S24,'סקרי נכסים-יתרות פתיחה'!$2:$110,93,0),0)*(1-S$309)</f>
        <v>0</v>
      </c>
      <c r="T158" s="1240">
        <f>+IFERROR(HLOOKUP(T24,'סקרי נכסים-יתרות פתיחה'!$2:$110,34,0),0)-IFERROR(HLOOKUP(T24,'סקרי נכסים-יתרות פתיחה'!$2:$110,93,0),0)*(1-T$309)</f>
        <v>0</v>
      </c>
      <c r="U158" s="1240">
        <f>+IFERROR(HLOOKUP(U24,'סקרי נכסים-יתרות פתיחה'!$2:$110,34,0),0)-IFERROR(HLOOKUP(U24,'סקרי נכסים-יתרות פתיחה'!$2:$110,93,0),0)*(1-U$309)</f>
        <v>0</v>
      </c>
      <c r="V158" s="1240">
        <f>+IFERROR(HLOOKUP(V24,'סקרי נכסים-יתרות פתיחה'!$2:$110,34,0),0)-IFERROR(HLOOKUP(V24,'סקרי נכסים-יתרות פתיחה'!$2:$110,93,0),0)*(1-V$309)</f>
        <v>0</v>
      </c>
      <c r="W158" s="1240">
        <f>+IFERROR(HLOOKUP(W24,'סקרי נכסים-יתרות פתיחה'!$2:$110,34,0),0)-IFERROR(HLOOKUP(W24,'סקרי נכסים-יתרות פתיחה'!$2:$110,93,0),0)*(1-W$309)</f>
        <v>0</v>
      </c>
      <c r="X158" s="1240">
        <f>+IFERROR(HLOOKUP(X24,'סקרי נכסים-יתרות פתיחה'!$2:$110,34,0),0)-IFERROR(HLOOKUP(X24,'סקרי נכסים-יתרות פתיחה'!$2:$110,93,0),0)*(1-X$309)</f>
        <v>0</v>
      </c>
      <c r="Y158" s="1240">
        <f>+IFERROR(HLOOKUP(Y24,'סקרי נכסים-יתרות פתיחה'!$2:$110,34,0),0)-IFERROR(HLOOKUP(Y24,'סקרי נכסים-יתרות פתיחה'!$2:$110,93,0),0)*(1-Y$309)</f>
        <v>0</v>
      </c>
      <c r="Z158" s="1240">
        <f>+IFERROR(HLOOKUP(Z24,'סקרי נכסים-יתרות פתיחה'!$2:$110,34,0),0)-IFERROR(HLOOKUP(Z24,'סקרי נכסים-יתרות פתיחה'!$2:$110,93,0),0)*(1-Z$309)</f>
        <v>0</v>
      </c>
      <c r="AA158" s="1240">
        <f>+IFERROR(HLOOKUP(AA24,'סקרי נכסים-יתרות פתיחה'!$2:$110,34,0),0)-IFERROR(HLOOKUP(AA24,'סקרי נכסים-יתרות פתיחה'!$2:$110,93,0),0)*(1-AA$309)</f>
        <v>0</v>
      </c>
      <c r="AB158" s="1240">
        <f>+IFERROR(HLOOKUP(AB24,'סקרי נכסים-יתרות פתיחה'!$2:$110,34,0),0)-IFERROR(HLOOKUP(AB24,'סקרי נכסים-יתרות פתיחה'!$2:$110,93,0),0)*(1-AB$309)</f>
        <v>0</v>
      </c>
      <c r="AC158" s="1240">
        <f>+IFERROR(HLOOKUP(AC24,'סקרי נכסים-יתרות פתיחה'!$2:$110,34,0),0)-IFERROR(HLOOKUP(AC24,'סקרי נכסים-יתרות פתיחה'!$2:$110,93,0),0)*(1-AC$309)</f>
        <v>0</v>
      </c>
      <c r="AD158" s="1240">
        <f>+IFERROR(HLOOKUP(AD24,'סקרי נכסים-יתרות פתיחה'!$2:$110,34,0),0)-IFERROR(HLOOKUP(AD24,'סקרי נכסים-יתרות פתיחה'!$2:$110,93,0),0)*(1-AD$309)</f>
        <v>0</v>
      </c>
      <c r="AE158" s="1240">
        <f>+IFERROR(HLOOKUP(AE24,'סקרי נכסים-יתרות פתיחה'!$2:$110,34,0),0)-IFERROR(HLOOKUP(AE24,'סקרי נכסים-יתרות פתיחה'!$2:$110,93,0),0)*(1-AE$309)</f>
        <v>0</v>
      </c>
      <c r="AF158" s="1240">
        <f>+IFERROR(HLOOKUP(AF24,'סקרי נכסים-יתרות פתיחה'!$2:$110,34,0),0)-IFERROR(HLOOKUP(AF24,'סקרי נכסים-יתרות פתיחה'!$2:$110,93,0),0)*(1-AF$309)</f>
        <v>0</v>
      </c>
      <c r="AG158" s="1240">
        <f>+IFERROR(HLOOKUP(AG24,'סקרי נכסים-יתרות פתיחה'!$2:$110,34,0),0)-IFERROR(HLOOKUP(AG24,'סקרי נכסים-יתרות פתיחה'!$2:$110,93,0),0)*(1-AG$309)</f>
        <v>0</v>
      </c>
      <c r="AH158" s="1240">
        <f>+IFERROR(HLOOKUP(AH24,'סקרי נכסים-יתרות פתיחה'!$2:$110,34,0),0)-IFERROR(HLOOKUP(AH24,'סקרי נכסים-יתרות פתיחה'!$2:$110,93,0),0)*(1-AH$309)</f>
        <v>0</v>
      </c>
      <c r="AI158" s="1240">
        <f>+IFERROR(HLOOKUP(AI24,'סקרי נכסים-יתרות פתיחה'!$2:$110,34,0),0)-IFERROR(HLOOKUP(AI24,'סקרי נכסים-יתרות פתיחה'!$2:$110,93,0),0)*(1-AI$309)</f>
        <v>0</v>
      </c>
      <c r="AJ158" s="1240">
        <f>+IFERROR(HLOOKUP(AJ24,'סקרי נכסים-יתרות פתיחה'!$2:$110,34,0),0)-IFERROR(HLOOKUP(AJ24,'סקרי נכסים-יתרות פתיחה'!$2:$110,93,0),0)*(1-AJ$309)</f>
        <v>0</v>
      </c>
      <c r="AK158" s="1240">
        <f>+IFERROR(HLOOKUP(AK24,'סקרי נכסים-יתרות פתיחה'!$2:$110,34,0),0)-IFERROR(HLOOKUP(AK24,'סקרי נכסים-יתרות פתיחה'!$2:$110,93,0),0)*(1-AK$309)</f>
        <v>0</v>
      </c>
      <c r="AL158" s="1240">
        <f>+IFERROR(HLOOKUP(AL24,'סקרי נכסים-יתרות פתיחה'!$2:$110,34,0),0)-IFERROR(HLOOKUP(AL24,'סקרי נכסים-יתרות פתיחה'!$2:$110,93,0),0)*(1-AL$309)</f>
        <v>0</v>
      </c>
      <c r="AM158" s="1240">
        <f>+IFERROR(HLOOKUP(AM24,'סקרי נכסים-יתרות פתיחה'!$2:$110,34,0),0)-IFERROR(HLOOKUP(AM24,'סקרי נכסים-יתרות פתיחה'!$2:$110,93,0),0)*(1-AM$309)</f>
        <v>0</v>
      </c>
      <c r="AN158" s="1240">
        <f>+IFERROR(HLOOKUP(AN24,'סקרי נכסים-יתרות פתיחה'!$2:$110,34,0),0)-IFERROR(HLOOKUP(AN24,'סקרי נכסים-יתרות פתיחה'!$2:$110,93,0),0)*(1-AN$309)</f>
        <v>0</v>
      </c>
      <c r="AO158" s="1240">
        <f>+IFERROR(HLOOKUP(AO24,'סקרי נכסים-יתרות פתיחה'!$2:$110,34,0),0)-IFERROR(HLOOKUP(AO24,'סקרי נכסים-יתרות פתיחה'!$2:$110,93,0),0)*(1-AO$309)</f>
        <v>0</v>
      </c>
      <c r="AP158" s="1240">
        <f>+IFERROR(HLOOKUP(AP24,'סקרי נכסים-יתרות פתיחה'!$2:$110,34,0),0)-IFERROR(HLOOKUP(AP24,'סקרי נכסים-יתרות פתיחה'!$2:$110,93,0),0)*(1-AP$309)</f>
        <v>0</v>
      </c>
      <c r="AQ158" s="1240">
        <f>+IFERROR(HLOOKUP(AQ24,'סקרי נכסים-יתרות פתיחה'!$2:$110,34,0),0)-IFERROR(HLOOKUP(AQ24,'סקרי נכסים-יתרות פתיחה'!$2:$110,93,0),0)*(1-AQ$309)</f>
        <v>0</v>
      </c>
      <c r="AR158" s="1240">
        <f>+IFERROR(HLOOKUP(AR24,'סקרי נכסים-יתרות פתיחה'!$2:$110,34,0),0)-IFERROR(HLOOKUP(AR24,'סקרי נכסים-יתרות פתיחה'!$2:$110,93,0),0)*(1-AR$309)</f>
        <v>0</v>
      </c>
      <c r="AS158" s="1240">
        <f>+IFERROR(HLOOKUP(AS24,'סקרי נכסים-יתרות פתיחה'!$2:$110,34,0),0)-IFERROR(HLOOKUP(AS24,'סקרי נכסים-יתרות פתיחה'!$2:$110,93,0),0)*(1-AS$309)</f>
        <v>0</v>
      </c>
      <c r="AT158" s="1240">
        <f>+IFERROR(HLOOKUP(AT24,'סקרי נכסים-יתרות פתיחה'!$2:$110,34,0),0)-IFERROR(HLOOKUP(AT24,'סקרי נכסים-יתרות פתיחה'!$2:$110,93,0),0)*(1-AT$309)</f>
        <v>0</v>
      </c>
      <c r="AU158" s="1240">
        <f>+IFERROR(HLOOKUP(AU24,'סקרי נכסים-יתרות פתיחה'!$2:$110,34,0),0)-IFERROR(HLOOKUP(AU24,'סקרי נכסים-יתרות פתיחה'!$2:$110,93,0),0)*(1-AU$309)</f>
        <v>0</v>
      </c>
      <c r="AV158" s="1240">
        <f>+IFERROR(HLOOKUP(AV24,'סקרי נכסים-יתרות פתיחה'!$2:$110,34,0),0)-IFERROR(HLOOKUP(AV24,'סקרי נכסים-יתרות פתיחה'!$2:$110,93,0),0)*(1-AV$309)</f>
        <v>0</v>
      </c>
      <c r="AW158" s="1240">
        <f>+IFERROR(HLOOKUP(AW24,'סקרי נכסים-יתרות פתיחה'!$2:$110,34,0),0)-IFERROR(HLOOKUP(AW24,'סקרי נכסים-יתרות פתיחה'!$2:$110,93,0),0)*(1-AW$309)</f>
        <v>0</v>
      </c>
      <c r="AX158" s="1240">
        <f>+IFERROR(HLOOKUP(AX24,'סקרי נכסים-יתרות פתיחה'!$2:$110,34,0),0)-IFERROR(HLOOKUP(AX24,'סקרי נכסים-יתרות פתיחה'!$2:$110,93,0),0)*(1-AX$309)</f>
        <v>0</v>
      </c>
      <c r="AY158" s="1240">
        <f>+IFERROR(HLOOKUP(AY24,'סקרי נכסים-יתרות פתיחה'!$2:$110,34,0),0)-IFERROR(HLOOKUP(AY24,'סקרי נכסים-יתרות פתיחה'!$2:$110,93,0),0)*(1-AY$309)</f>
        <v>0</v>
      </c>
      <c r="AZ158" s="1240">
        <f>+IFERROR(HLOOKUP(AZ24,'סקרי נכסים-יתרות פתיחה'!$2:$110,34,0),0)-IFERROR(HLOOKUP(AZ24,'סקרי נכסים-יתרות פתיחה'!$2:$110,93,0),0)*(1-AZ$309)</f>
        <v>0</v>
      </c>
      <c r="BA158" s="1240">
        <f>+IFERROR(HLOOKUP(BA24,'סקרי נכסים-יתרות פתיחה'!$2:$110,34,0),0)-IFERROR(HLOOKUP(BA24,'סקרי נכסים-יתרות פתיחה'!$2:$110,93,0),0)*(1-BA$309)</f>
        <v>0</v>
      </c>
      <c r="BB158" s="1240">
        <f>+IFERROR(HLOOKUP(BB24,'סקרי נכסים-יתרות פתיחה'!$2:$110,34,0),0)-IFERROR(HLOOKUP(BB24,'סקרי נכסים-יתרות פתיחה'!$2:$110,93,0),0)*(1-BB$309)</f>
        <v>0</v>
      </c>
      <c r="BC158" s="1240">
        <f>+IFERROR(HLOOKUP(BC24,'סקרי נכסים-יתרות פתיחה'!$2:$110,34,0),0)-IFERROR(HLOOKUP(BC24,'סקרי נכסים-יתרות פתיחה'!$2:$110,93,0),0)*(1-BC$309)</f>
        <v>0</v>
      </c>
      <c r="BD158" s="1240">
        <f>+IFERROR(HLOOKUP(BD24,'סקרי נכסים-יתרות פתיחה'!$2:$110,34,0),0)-IFERROR(HLOOKUP(BD24,'סקרי נכסים-יתרות פתיחה'!$2:$110,93,0),0)*(1-BD$309)</f>
        <v>0</v>
      </c>
      <c r="BE158" s="1240">
        <f>+IFERROR(HLOOKUP(BE24,'סקרי נכסים-יתרות פתיחה'!$2:$110,34,0),0)-IFERROR(HLOOKUP(BE24,'סקרי נכסים-יתרות פתיחה'!$2:$110,93,0),0)*(1-BE$309)</f>
        <v>0</v>
      </c>
      <c r="BF158" s="1240">
        <f>+IFERROR(HLOOKUP(BF24,'סקרי נכסים-יתרות פתיחה'!$2:$110,34,0),0)-IFERROR(HLOOKUP(BF24,'סקרי נכסים-יתרות פתיחה'!$2:$110,93,0),0)*(1-BF$309)</f>
        <v>0</v>
      </c>
    </row>
    <row r="159" spans="2:58" x14ac:dyDescent="0.2">
      <c r="B159" s="1">
        <v>22</v>
      </c>
      <c r="C159" s="1240">
        <f>+IFERROR(HLOOKUP(C25,'סקרי נכסים-יתרות פתיחה'!$2:$110,34,0),0)-IFERROR(HLOOKUP(C25,'סקרי נכסים-יתרות פתיחה'!$2:$110,93,0),0)*(1-C$309)</f>
        <v>0</v>
      </c>
      <c r="D159" s="1240">
        <f>+IFERROR(HLOOKUP(D25,'סקרי נכסים-יתרות פתיחה'!$2:$110,34,0),0)-IFERROR(HLOOKUP(D25,'סקרי נכסים-יתרות פתיחה'!$2:$110,93,0),0)*(1-D$309)</f>
        <v>0</v>
      </c>
      <c r="E159" s="1240">
        <f>+IFERROR(HLOOKUP(E25,'סקרי נכסים-יתרות פתיחה'!$2:$110,34,0),0)-IFERROR(HLOOKUP(E25,'סקרי נכסים-יתרות פתיחה'!$2:$110,93,0),0)*(1-E$309)</f>
        <v>0</v>
      </c>
      <c r="F159" s="1240">
        <f>+IFERROR(HLOOKUP(F25,'סקרי נכסים-יתרות פתיחה'!$2:$110,34,0),0)-IFERROR(HLOOKUP(F25,'סקרי נכסים-יתרות פתיחה'!$2:$110,93,0),0)*(1-F$309)</f>
        <v>0</v>
      </c>
      <c r="G159" s="1240">
        <f>+IFERROR(HLOOKUP(G25,'סקרי נכסים-יתרות פתיחה'!$2:$110,34,0),0)-IFERROR(HLOOKUP(G25,'סקרי נכסים-יתרות פתיחה'!$2:$110,93,0),0)*(1-G$309)</f>
        <v>0</v>
      </c>
      <c r="H159" s="1240">
        <f>+IFERROR(HLOOKUP(H25,'סקרי נכסים-יתרות פתיחה'!$2:$110,34,0),0)-IFERROR(HLOOKUP(H25,'סקרי נכסים-יתרות פתיחה'!$2:$110,93,0),0)*(1-H$309)</f>
        <v>0</v>
      </c>
      <c r="I159" s="1240">
        <f>+IFERROR(HLOOKUP(I25,'סקרי נכסים-יתרות פתיחה'!$2:$110,34,0),0)-IFERROR(HLOOKUP(I25,'סקרי נכסים-יתרות פתיחה'!$2:$110,93,0),0)*(1-I$309)</f>
        <v>0</v>
      </c>
      <c r="J159" s="1240">
        <f>+IFERROR(HLOOKUP(J25,'סקרי נכסים-יתרות פתיחה'!$2:$110,34,0),0)-IFERROR(HLOOKUP(J25,'סקרי נכסים-יתרות פתיחה'!$2:$110,93,0),0)*(1-J$309)</f>
        <v>0</v>
      </c>
      <c r="K159" s="1240">
        <f>+IFERROR(HLOOKUP(K25,'סקרי נכסים-יתרות פתיחה'!$2:$110,34,0),0)-IFERROR(HLOOKUP(K25,'סקרי נכסים-יתרות פתיחה'!$2:$110,93,0),0)*(1-K$309)</f>
        <v>0</v>
      </c>
      <c r="L159" s="1240">
        <f>+IFERROR(HLOOKUP(L25,'סקרי נכסים-יתרות פתיחה'!$2:$110,34,0),0)-IFERROR(HLOOKUP(L25,'סקרי נכסים-יתרות פתיחה'!$2:$110,93,0),0)*(1-L$309)</f>
        <v>0</v>
      </c>
      <c r="M159" s="1240">
        <f>+IFERROR(HLOOKUP(M25,'סקרי נכסים-יתרות פתיחה'!$2:$110,34,0),0)-IFERROR(HLOOKUP(M25,'סקרי נכסים-יתרות פתיחה'!$2:$110,93,0),0)*(1-M$309)</f>
        <v>0</v>
      </c>
      <c r="N159" s="1240">
        <f>+IFERROR(HLOOKUP(N25,'סקרי נכסים-יתרות פתיחה'!$2:$110,34,0),0)-IFERROR(HLOOKUP(N25,'סקרי נכסים-יתרות פתיחה'!$2:$110,93,0),0)*(1-N$309)</f>
        <v>0</v>
      </c>
      <c r="O159" s="1240">
        <f>+IFERROR(HLOOKUP(O25,'סקרי נכסים-יתרות פתיחה'!$2:$110,34,0),0)-IFERROR(HLOOKUP(O25,'סקרי נכסים-יתרות פתיחה'!$2:$110,93,0),0)*(1-O$309)</f>
        <v>0</v>
      </c>
      <c r="P159" s="1240">
        <f>+IFERROR(HLOOKUP(P25,'סקרי נכסים-יתרות פתיחה'!$2:$110,34,0),0)-IFERROR(HLOOKUP(P25,'סקרי נכסים-יתרות פתיחה'!$2:$110,93,0),0)*(1-P$309)</f>
        <v>0</v>
      </c>
      <c r="Q159" s="1240">
        <f>+IFERROR(HLOOKUP(Q25,'סקרי נכסים-יתרות פתיחה'!$2:$110,34,0),0)-IFERROR(HLOOKUP(Q25,'סקרי נכסים-יתרות פתיחה'!$2:$110,93,0),0)*(1-Q$309)</f>
        <v>0</v>
      </c>
      <c r="R159" s="1240">
        <f>+IFERROR(HLOOKUP(R25,'סקרי נכסים-יתרות פתיחה'!$2:$110,34,0),0)-IFERROR(HLOOKUP(R25,'סקרי נכסים-יתרות פתיחה'!$2:$110,93,0),0)*(1-R$309)</f>
        <v>0</v>
      </c>
      <c r="S159" s="1240">
        <f>+IFERROR(HLOOKUP(S25,'סקרי נכסים-יתרות פתיחה'!$2:$110,34,0),0)-IFERROR(HLOOKUP(S25,'סקרי נכסים-יתרות פתיחה'!$2:$110,93,0),0)*(1-S$309)</f>
        <v>0</v>
      </c>
      <c r="T159" s="1240">
        <f>+IFERROR(HLOOKUP(T25,'סקרי נכסים-יתרות פתיחה'!$2:$110,34,0),0)-IFERROR(HLOOKUP(T25,'סקרי נכסים-יתרות פתיחה'!$2:$110,93,0),0)*(1-T$309)</f>
        <v>0</v>
      </c>
      <c r="U159" s="1240">
        <f>+IFERROR(HLOOKUP(U25,'סקרי נכסים-יתרות פתיחה'!$2:$110,34,0),0)-IFERROR(HLOOKUP(U25,'סקרי נכסים-יתרות פתיחה'!$2:$110,93,0),0)*(1-U$309)</f>
        <v>0</v>
      </c>
      <c r="V159" s="1240">
        <f>+IFERROR(HLOOKUP(V25,'סקרי נכסים-יתרות פתיחה'!$2:$110,34,0),0)-IFERROR(HLOOKUP(V25,'סקרי נכסים-יתרות פתיחה'!$2:$110,93,0),0)*(1-V$309)</f>
        <v>0</v>
      </c>
      <c r="W159" s="1240">
        <f>+IFERROR(HLOOKUP(W25,'סקרי נכסים-יתרות פתיחה'!$2:$110,34,0),0)-IFERROR(HLOOKUP(W25,'סקרי נכסים-יתרות פתיחה'!$2:$110,93,0),0)*(1-W$309)</f>
        <v>0</v>
      </c>
      <c r="X159" s="1240">
        <f>+IFERROR(HLOOKUP(X25,'סקרי נכסים-יתרות פתיחה'!$2:$110,34,0),0)-IFERROR(HLOOKUP(X25,'סקרי נכסים-יתרות פתיחה'!$2:$110,93,0),0)*(1-X$309)</f>
        <v>0</v>
      </c>
      <c r="Y159" s="1240">
        <f>+IFERROR(HLOOKUP(Y25,'סקרי נכסים-יתרות פתיחה'!$2:$110,34,0),0)-IFERROR(HLOOKUP(Y25,'סקרי נכסים-יתרות פתיחה'!$2:$110,93,0),0)*(1-Y$309)</f>
        <v>0</v>
      </c>
      <c r="Z159" s="1240">
        <f>+IFERROR(HLOOKUP(Z25,'סקרי נכסים-יתרות פתיחה'!$2:$110,34,0),0)-IFERROR(HLOOKUP(Z25,'סקרי נכסים-יתרות פתיחה'!$2:$110,93,0),0)*(1-Z$309)</f>
        <v>0</v>
      </c>
      <c r="AA159" s="1240">
        <f>+IFERROR(HLOOKUP(AA25,'סקרי נכסים-יתרות פתיחה'!$2:$110,34,0),0)-IFERROR(HLOOKUP(AA25,'סקרי נכסים-יתרות פתיחה'!$2:$110,93,0),0)*(1-AA$309)</f>
        <v>0</v>
      </c>
      <c r="AB159" s="1240">
        <f>+IFERROR(HLOOKUP(AB25,'סקרי נכסים-יתרות פתיחה'!$2:$110,34,0),0)-IFERROR(HLOOKUP(AB25,'סקרי נכסים-יתרות פתיחה'!$2:$110,93,0),0)*(1-AB$309)</f>
        <v>0</v>
      </c>
      <c r="AC159" s="1240">
        <f>+IFERROR(HLOOKUP(AC25,'סקרי נכסים-יתרות פתיחה'!$2:$110,34,0),0)-IFERROR(HLOOKUP(AC25,'סקרי נכסים-יתרות פתיחה'!$2:$110,93,0),0)*(1-AC$309)</f>
        <v>0</v>
      </c>
      <c r="AD159" s="1240">
        <f>+IFERROR(HLOOKUP(AD25,'סקרי נכסים-יתרות פתיחה'!$2:$110,34,0),0)-IFERROR(HLOOKUP(AD25,'סקרי נכסים-יתרות פתיחה'!$2:$110,93,0),0)*(1-AD$309)</f>
        <v>0</v>
      </c>
      <c r="AE159" s="1240">
        <f>+IFERROR(HLOOKUP(AE25,'סקרי נכסים-יתרות פתיחה'!$2:$110,34,0),0)-IFERROR(HLOOKUP(AE25,'סקרי נכסים-יתרות פתיחה'!$2:$110,93,0),0)*(1-AE$309)</f>
        <v>0</v>
      </c>
      <c r="AF159" s="1240">
        <f>+IFERROR(HLOOKUP(AF25,'סקרי נכסים-יתרות פתיחה'!$2:$110,34,0),0)-IFERROR(HLOOKUP(AF25,'סקרי נכסים-יתרות פתיחה'!$2:$110,93,0),0)*(1-AF$309)</f>
        <v>0</v>
      </c>
      <c r="AG159" s="1240">
        <f>+IFERROR(HLOOKUP(AG25,'סקרי נכסים-יתרות פתיחה'!$2:$110,34,0),0)-IFERROR(HLOOKUP(AG25,'סקרי נכסים-יתרות פתיחה'!$2:$110,93,0),0)*(1-AG$309)</f>
        <v>0</v>
      </c>
      <c r="AH159" s="1240">
        <f>+IFERROR(HLOOKUP(AH25,'סקרי נכסים-יתרות פתיחה'!$2:$110,34,0),0)-IFERROR(HLOOKUP(AH25,'סקרי נכסים-יתרות פתיחה'!$2:$110,93,0),0)*(1-AH$309)</f>
        <v>0</v>
      </c>
      <c r="AI159" s="1240">
        <f>+IFERROR(HLOOKUP(AI25,'סקרי נכסים-יתרות פתיחה'!$2:$110,34,0),0)-IFERROR(HLOOKUP(AI25,'סקרי נכסים-יתרות פתיחה'!$2:$110,93,0),0)*(1-AI$309)</f>
        <v>0</v>
      </c>
      <c r="AJ159" s="1240">
        <f>+IFERROR(HLOOKUP(AJ25,'סקרי נכסים-יתרות פתיחה'!$2:$110,34,0),0)-IFERROR(HLOOKUP(AJ25,'סקרי נכסים-יתרות פתיחה'!$2:$110,93,0),0)*(1-AJ$309)</f>
        <v>0</v>
      </c>
      <c r="AK159" s="1240">
        <f>+IFERROR(HLOOKUP(AK25,'סקרי נכסים-יתרות פתיחה'!$2:$110,34,0),0)-IFERROR(HLOOKUP(AK25,'סקרי נכסים-יתרות פתיחה'!$2:$110,93,0),0)*(1-AK$309)</f>
        <v>0</v>
      </c>
      <c r="AL159" s="1240">
        <f>+IFERROR(HLOOKUP(AL25,'סקרי נכסים-יתרות פתיחה'!$2:$110,34,0),0)-IFERROR(HLOOKUP(AL25,'סקרי נכסים-יתרות פתיחה'!$2:$110,93,0),0)*(1-AL$309)</f>
        <v>0</v>
      </c>
      <c r="AM159" s="1240">
        <f>+IFERROR(HLOOKUP(AM25,'סקרי נכסים-יתרות פתיחה'!$2:$110,34,0),0)-IFERROR(HLOOKUP(AM25,'סקרי נכסים-יתרות פתיחה'!$2:$110,93,0),0)*(1-AM$309)</f>
        <v>0</v>
      </c>
      <c r="AN159" s="1240">
        <f>+IFERROR(HLOOKUP(AN25,'סקרי נכסים-יתרות פתיחה'!$2:$110,34,0),0)-IFERROR(HLOOKUP(AN25,'סקרי נכסים-יתרות פתיחה'!$2:$110,93,0),0)*(1-AN$309)</f>
        <v>0</v>
      </c>
      <c r="AO159" s="1240">
        <f>+IFERROR(HLOOKUP(AO25,'סקרי נכסים-יתרות פתיחה'!$2:$110,34,0),0)-IFERROR(HLOOKUP(AO25,'סקרי נכסים-יתרות פתיחה'!$2:$110,93,0),0)*(1-AO$309)</f>
        <v>0</v>
      </c>
      <c r="AP159" s="1240">
        <f>+IFERROR(HLOOKUP(AP25,'סקרי נכסים-יתרות פתיחה'!$2:$110,34,0),0)-IFERROR(HLOOKUP(AP25,'סקרי נכסים-יתרות פתיחה'!$2:$110,93,0),0)*(1-AP$309)</f>
        <v>0</v>
      </c>
      <c r="AQ159" s="1240">
        <f>+IFERROR(HLOOKUP(AQ25,'סקרי נכסים-יתרות פתיחה'!$2:$110,34,0),0)-IFERROR(HLOOKUP(AQ25,'סקרי נכסים-יתרות פתיחה'!$2:$110,93,0),0)*(1-AQ$309)</f>
        <v>0</v>
      </c>
      <c r="AR159" s="1240">
        <f>+IFERROR(HLOOKUP(AR25,'סקרי נכסים-יתרות פתיחה'!$2:$110,34,0),0)-IFERROR(HLOOKUP(AR25,'סקרי נכסים-יתרות פתיחה'!$2:$110,93,0),0)*(1-AR$309)</f>
        <v>0</v>
      </c>
      <c r="AS159" s="1240">
        <f>+IFERROR(HLOOKUP(AS25,'סקרי נכסים-יתרות פתיחה'!$2:$110,34,0),0)-IFERROR(HLOOKUP(AS25,'סקרי נכסים-יתרות פתיחה'!$2:$110,93,0),0)*(1-AS$309)</f>
        <v>0</v>
      </c>
      <c r="AT159" s="1240">
        <f>+IFERROR(HLOOKUP(AT25,'סקרי נכסים-יתרות פתיחה'!$2:$110,34,0),0)-IFERROR(HLOOKUP(AT25,'סקרי נכסים-יתרות פתיחה'!$2:$110,93,0),0)*(1-AT$309)</f>
        <v>0</v>
      </c>
      <c r="AU159" s="1240">
        <f>+IFERROR(HLOOKUP(AU25,'סקרי נכסים-יתרות פתיחה'!$2:$110,34,0),0)-IFERROR(HLOOKUP(AU25,'סקרי נכסים-יתרות פתיחה'!$2:$110,93,0),0)*(1-AU$309)</f>
        <v>0</v>
      </c>
      <c r="AV159" s="1240">
        <f>+IFERROR(HLOOKUP(AV25,'סקרי נכסים-יתרות פתיחה'!$2:$110,34,0),0)-IFERROR(HLOOKUP(AV25,'סקרי נכסים-יתרות פתיחה'!$2:$110,93,0),0)*(1-AV$309)</f>
        <v>0</v>
      </c>
      <c r="AW159" s="1240">
        <f>+IFERROR(HLOOKUP(AW25,'סקרי נכסים-יתרות פתיחה'!$2:$110,34,0),0)-IFERROR(HLOOKUP(AW25,'סקרי נכסים-יתרות פתיחה'!$2:$110,93,0),0)*(1-AW$309)</f>
        <v>0</v>
      </c>
      <c r="AX159" s="1240">
        <f>+IFERROR(HLOOKUP(AX25,'סקרי נכסים-יתרות פתיחה'!$2:$110,34,0),0)-IFERROR(HLOOKUP(AX25,'סקרי נכסים-יתרות פתיחה'!$2:$110,93,0),0)*(1-AX$309)</f>
        <v>0</v>
      </c>
      <c r="AY159" s="1240">
        <f>+IFERROR(HLOOKUP(AY25,'סקרי נכסים-יתרות פתיחה'!$2:$110,34,0),0)-IFERROR(HLOOKUP(AY25,'סקרי נכסים-יתרות פתיחה'!$2:$110,93,0),0)*(1-AY$309)</f>
        <v>0</v>
      </c>
      <c r="AZ159" s="1240">
        <f>+IFERROR(HLOOKUP(AZ25,'סקרי נכסים-יתרות פתיחה'!$2:$110,34,0),0)-IFERROR(HLOOKUP(AZ25,'סקרי נכסים-יתרות פתיחה'!$2:$110,93,0),0)*(1-AZ$309)</f>
        <v>0</v>
      </c>
      <c r="BA159" s="1240">
        <f>+IFERROR(HLOOKUP(BA25,'סקרי נכסים-יתרות פתיחה'!$2:$110,34,0),0)-IFERROR(HLOOKUP(BA25,'סקרי נכסים-יתרות פתיחה'!$2:$110,93,0),0)*(1-BA$309)</f>
        <v>0</v>
      </c>
      <c r="BB159" s="1240">
        <f>+IFERROR(HLOOKUP(BB25,'סקרי נכסים-יתרות פתיחה'!$2:$110,34,0),0)-IFERROR(HLOOKUP(BB25,'סקרי נכסים-יתרות פתיחה'!$2:$110,93,0),0)*(1-BB$309)</f>
        <v>0</v>
      </c>
      <c r="BC159" s="1240">
        <f>+IFERROR(HLOOKUP(BC25,'סקרי נכסים-יתרות פתיחה'!$2:$110,34,0),0)-IFERROR(HLOOKUP(BC25,'סקרי נכסים-יתרות פתיחה'!$2:$110,93,0),0)*(1-BC$309)</f>
        <v>0</v>
      </c>
      <c r="BD159" s="1240">
        <f>+IFERROR(HLOOKUP(BD25,'סקרי נכסים-יתרות פתיחה'!$2:$110,34,0),0)-IFERROR(HLOOKUP(BD25,'סקרי נכסים-יתרות פתיחה'!$2:$110,93,0),0)*(1-BD$309)</f>
        <v>0</v>
      </c>
      <c r="BE159" s="1240">
        <f>+IFERROR(HLOOKUP(BE25,'סקרי נכסים-יתרות פתיחה'!$2:$110,34,0),0)-IFERROR(HLOOKUP(BE25,'סקרי נכסים-יתרות פתיחה'!$2:$110,93,0),0)*(1-BE$309)</f>
        <v>0</v>
      </c>
      <c r="BF159" s="1240">
        <f>+IFERROR(HLOOKUP(BF25,'סקרי נכסים-יתרות פתיחה'!$2:$110,34,0),0)-IFERROR(HLOOKUP(BF25,'סקרי נכסים-יתרות פתיחה'!$2:$110,93,0),0)*(1-BF$309)</f>
        <v>0</v>
      </c>
    </row>
    <row r="160" spans="2:58" x14ac:dyDescent="0.2">
      <c r="B160" s="1">
        <v>23</v>
      </c>
      <c r="C160" s="1240">
        <f>+IFERROR(HLOOKUP(C26,'סקרי נכסים-יתרות פתיחה'!$2:$110,34,0),0)-IFERROR(HLOOKUP(C26,'סקרי נכסים-יתרות פתיחה'!$2:$110,93,0),0)*(1-C$309)</f>
        <v>0</v>
      </c>
      <c r="D160" s="1240">
        <f>+IFERROR(HLOOKUP(D26,'סקרי נכסים-יתרות פתיחה'!$2:$110,34,0),0)-IFERROR(HLOOKUP(D26,'סקרי נכסים-יתרות פתיחה'!$2:$110,93,0),0)*(1-D$309)</f>
        <v>0</v>
      </c>
      <c r="E160" s="1240">
        <f>+IFERROR(HLOOKUP(E26,'סקרי נכסים-יתרות פתיחה'!$2:$110,34,0),0)-IFERROR(HLOOKUP(E26,'סקרי נכסים-יתרות פתיחה'!$2:$110,93,0),0)*(1-E$309)</f>
        <v>0</v>
      </c>
      <c r="F160" s="1240">
        <f>+IFERROR(HLOOKUP(F26,'סקרי נכסים-יתרות פתיחה'!$2:$110,34,0),0)-IFERROR(HLOOKUP(F26,'סקרי נכסים-יתרות פתיחה'!$2:$110,93,0),0)*(1-F$309)</f>
        <v>0</v>
      </c>
      <c r="G160" s="1240">
        <f>+IFERROR(HLOOKUP(G26,'סקרי נכסים-יתרות פתיחה'!$2:$110,34,0),0)-IFERROR(HLOOKUP(G26,'סקרי נכסים-יתרות פתיחה'!$2:$110,93,0),0)*(1-G$309)</f>
        <v>0</v>
      </c>
      <c r="H160" s="1240">
        <f>+IFERROR(HLOOKUP(H26,'סקרי נכסים-יתרות פתיחה'!$2:$110,34,0),0)-IFERROR(HLOOKUP(H26,'סקרי נכסים-יתרות פתיחה'!$2:$110,93,0),0)*(1-H$309)</f>
        <v>0</v>
      </c>
      <c r="I160" s="1240">
        <f>+IFERROR(HLOOKUP(I26,'סקרי נכסים-יתרות פתיחה'!$2:$110,34,0),0)-IFERROR(HLOOKUP(I26,'סקרי נכסים-יתרות פתיחה'!$2:$110,93,0),0)*(1-I$309)</f>
        <v>0</v>
      </c>
      <c r="J160" s="1240">
        <f>+IFERROR(HLOOKUP(J26,'סקרי נכסים-יתרות פתיחה'!$2:$110,34,0),0)-IFERROR(HLOOKUP(J26,'סקרי נכסים-יתרות פתיחה'!$2:$110,93,0),0)*(1-J$309)</f>
        <v>0</v>
      </c>
      <c r="K160" s="1240">
        <f>+IFERROR(HLOOKUP(K26,'סקרי נכסים-יתרות פתיחה'!$2:$110,34,0),0)-IFERROR(HLOOKUP(K26,'סקרי נכסים-יתרות פתיחה'!$2:$110,93,0),0)*(1-K$309)</f>
        <v>0</v>
      </c>
      <c r="L160" s="1240">
        <f>+IFERROR(HLOOKUP(L26,'סקרי נכסים-יתרות פתיחה'!$2:$110,34,0),0)-IFERROR(HLOOKUP(L26,'סקרי נכסים-יתרות פתיחה'!$2:$110,93,0),0)*(1-L$309)</f>
        <v>0</v>
      </c>
      <c r="M160" s="1240">
        <f>+IFERROR(HLOOKUP(M26,'סקרי נכסים-יתרות פתיחה'!$2:$110,34,0),0)-IFERROR(HLOOKUP(M26,'סקרי נכסים-יתרות פתיחה'!$2:$110,93,0),0)*(1-M$309)</f>
        <v>0</v>
      </c>
      <c r="N160" s="1240">
        <f>+IFERROR(HLOOKUP(N26,'סקרי נכסים-יתרות פתיחה'!$2:$110,34,0),0)-IFERROR(HLOOKUP(N26,'סקרי נכסים-יתרות פתיחה'!$2:$110,93,0),0)*(1-N$309)</f>
        <v>0</v>
      </c>
      <c r="O160" s="1240">
        <f>+IFERROR(HLOOKUP(O26,'סקרי נכסים-יתרות פתיחה'!$2:$110,34,0),0)-IFERROR(HLOOKUP(O26,'סקרי נכסים-יתרות פתיחה'!$2:$110,93,0),0)*(1-O$309)</f>
        <v>0</v>
      </c>
      <c r="P160" s="1240">
        <f>+IFERROR(HLOOKUP(P26,'סקרי נכסים-יתרות פתיחה'!$2:$110,34,0),0)-IFERROR(HLOOKUP(P26,'סקרי נכסים-יתרות פתיחה'!$2:$110,93,0),0)*(1-P$309)</f>
        <v>0</v>
      </c>
      <c r="Q160" s="1240">
        <f>+IFERROR(HLOOKUP(Q26,'סקרי נכסים-יתרות פתיחה'!$2:$110,34,0),0)-IFERROR(HLOOKUP(Q26,'סקרי נכסים-יתרות פתיחה'!$2:$110,93,0),0)*(1-Q$309)</f>
        <v>0</v>
      </c>
      <c r="R160" s="1240">
        <f>+IFERROR(HLOOKUP(R26,'סקרי נכסים-יתרות פתיחה'!$2:$110,34,0),0)-IFERROR(HLOOKUP(R26,'סקרי נכסים-יתרות פתיחה'!$2:$110,93,0),0)*(1-R$309)</f>
        <v>0</v>
      </c>
      <c r="S160" s="1240">
        <f>+IFERROR(HLOOKUP(S26,'סקרי נכסים-יתרות פתיחה'!$2:$110,34,0),0)-IFERROR(HLOOKUP(S26,'סקרי נכסים-יתרות פתיחה'!$2:$110,93,0),0)*(1-S$309)</f>
        <v>0</v>
      </c>
      <c r="T160" s="1240">
        <f>+IFERROR(HLOOKUP(T26,'סקרי נכסים-יתרות פתיחה'!$2:$110,34,0),0)-IFERROR(HLOOKUP(T26,'סקרי נכסים-יתרות פתיחה'!$2:$110,93,0),0)*(1-T$309)</f>
        <v>0</v>
      </c>
      <c r="U160" s="1240">
        <f>+IFERROR(HLOOKUP(U26,'סקרי נכסים-יתרות פתיחה'!$2:$110,34,0),0)-IFERROR(HLOOKUP(U26,'סקרי נכסים-יתרות פתיחה'!$2:$110,93,0),0)*(1-U$309)</f>
        <v>0</v>
      </c>
      <c r="V160" s="1240">
        <f>+IFERROR(HLOOKUP(V26,'סקרי נכסים-יתרות פתיחה'!$2:$110,34,0),0)-IFERROR(HLOOKUP(V26,'סקרי נכסים-יתרות פתיחה'!$2:$110,93,0),0)*(1-V$309)</f>
        <v>0</v>
      </c>
      <c r="W160" s="1240">
        <f>+IFERROR(HLOOKUP(W26,'סקרי נכסים-יתרות פתיחה'!$2:$110,34,0),0)-IFERROR(HLOOKUP(W26,'סקרי נכסים-יתרות פתיחה'!$2:$110,93,0),0)*(1-W$309)</f>
        <v>0</v>
      </c>
      <c r="X160" s="1240">
        <f>+IFERROR(HLOOKUP(X26,'סקרי נכסים-יתרות פתיחה'!$2:$110,34,0),0)-IFERROR(HLOOKUP(X26,'סקרי נכסים-יתרות פתיחה'!$2:$110,93,0),0)*(1-X$309)</f>
        <v>0</v>
      </c>
      <c r="Y160" s="1240">
        <f>+IFERROR(HLOOKUP(Y26,'סקרי נכסים-יתרות פתיחה'!$2:$110,34,0),0)-IFERROR(HLOOKUP(Y26,'סקרי נכסים-יתרות פתיחה'!$2:$110,93,0),0)*(1-Y$309)</f>
        <v>0</v>
      </c>
      <c r="Z160" s="1240">
        <f>+IFERROR(HLOOKUP(Z26,'סקרי נכסים-יתרות פתיחה'!$2:$110,34,0),0)-IFERROR(HLOOKUP(Z26,'סקרי נכסים-יתרות פתיחה'!$2:$110,93,0),0)*(1-Z$309)</f>
        <v>0</v>
      </c>
      <c r="AA160" s="1240">
        <f>+IFERROR(HLOOKUP(AA26,'סקרי נכסים-יתרות פתיחה'!$2:$110,34,0),0)-IFERROR(HLOOKUP(AA26,'סקרי נכסים-יתרות פתיחה'!$2:$110,93,0),0)*(1-AA$309)</f>
        <v>0</v>
      </c>
      <c r="AB160" s="1240">
        <f>+IFERROR(HLOOKUP(AB26,'סקרי נכסים-יתרות פתיחה'!$2:$110,34,0),0)-IFERROR(HLOOKUP(AB26,'סקרי נכסים-יתרות פתיחה'!$2:$110,93,0),0)*(1-AB$309)</f>
        <v>0</v>
      </c>
      <c r="AC160" s="1240">
        <f>+IFERROR(HLOOKUP(AC26,'סקרי נכסים-יתרות פתיחה'!$2:$110,34,0),0)-IFERROR(HLOOKUP(AC26,'סקרי נכסים-יתרות פתיחה'!$2:$110,93,0),0)*(1-AC$309)</f>
        <v>0</v>
      </c>
      <c r="AD160" s="1240">
        <f>+IFERROR(HLOOKUP(AD26,'סקרי נכסים-יתרות פתיחה'!$2:$110,34,0),0)-IFERROR(HLOOKUP(AD26,'סקרי נכסים-יתרות פתיחה'!$2:$110,93,0),0)*(1-AD$309)</f>
        <v>0</v>
      </c>
      <c r="AE160" s="1240">
        <f>+IFERROR(HLOOKUP(AE26,'סקרי נכסים-יתרות פתיחה'!$2:$110,34,0),0)-IFERROR(HLOOKUP(AE26,'סקרי נכסים-יתרות פתיחה'!$2:$110,93,0),0)*(1-AE$309)</f>
        <v>0</v>
      </c>
      <c r="AF160" s="1240">
        <f>+IFERROR(HLOOKUP(AF26,'סקרי נכסים-יתרות פתיחה'!$2:$110,34,0),0)-IFERROR(HLOOKUP(AF26,'סקרי נכסים-יתרות פתיחה'!$2:$110,93,0),0)*(1-AF$309)</f>
        <v>0</v>
      </c>
      <c r="AG160" s="1240">
        <f>+IFERROR(HLOOKUP(AG26,'סקרי נכסים-יתרות פתיחה'!$2:$110,34,0),0)-IFERROR(HLOOKUP(AG26,'סקרי נכסים-יתרות פתיחה'!$2:$110,93,0),0)*(1-AG$309)</f>
        <v>0</v>
      </c>
      <c r="AH160" s="1240">
        <f>+IFERROR(HLOOKUP(AH26,'סקרי נכסים-יתרות פתיחה'!$2:$110,34,0),0)-IFERROR(HLOOKUP(AH26,'סקרי נכסים-יתרות פתיחה'!$2:$110,93,0),0)*(1-AH$309)</f>
        <v>0</v>
      </c>
      <c r="AI160" s="1240">
        <f>+IFERROR(HLOOKUP(AI26,'סקרי נכסים-יתרות פתיחה'!$2:$110,34,0),0)-IFERROR(HLOOKUP(AI26,'סקרי נכסים-יתרות פתיחה'!$2:$110,93,0),0)*(1-AI$309)</f>
        <v>0</v>
      </c>
      <c r="AJ160" s="1240">
        <f>+IFERROR(HLOOKUP(AJ26,'סקרי נכסים-יתרות פתיחה'!$2:$110,34,0),0)-IFERROR(HLOOKUP(AJ26,'סקרי נכסים-יתרות פתיחה'!$2:$110,93,0),0)*(1-AJ$309)</f>
        <v>0</v>
      </c>
      <c r="AK160" s="1240">
        <f>+IFERROR(HLOOKUP(AK26,'סקרי נכסים-יתרות פתיחה'!$2:$110,34,0),0)-IFERROR(HLOOKUP(AK26,'סקרי נכסים-יתרות פתיחה'!$2:$110,93,0),0)*(1-AK$309)</f>
        <v>0</v>
      </c>
      <c r="AL160" s="1240">
        <f>+IFERROR(HLOOKUP(AL26,'סקרי נכסים-יתרות פתיחה'!$2:$110,34,0),0)-IFERROR(HLOOKUP(AL26,'סקרי נכסים-יתרות פתיחה'!$2:$110,93,0),0)*(1-AL$309)</f>
        <v>0</v>
      </c>
      <c r="AM160" s="1240">
        <f>+IFERROR(HLOOKUP(AM26,'סקרי נכסים-יתרות פתיחה'!$2:$110,34,0),0)-IFERROR(HLOOKUP(AM26,'סקרי נכסים-יתרות פתיחה'!$2:$110,93,0),0)*(1-AM$309)</f>
        <v>0</v>
      </c>
      <c r="AN160" s="1240">
        <f>+IFERROR(HLOOKUP(AN26,'סקרי נכסים-יתרות פתיחה'!$2:$110,34,0),0)-IFERROR(HLOOKUP(AN26,'סקרי נכסים-יתרות פתיחה'!$2:$110,93,0),0)*(1-AN$309)</f>
        <v>0</v>
      </c>
      <c r="AO160" s="1240">
        <f>+IFERROR(HLOOKUP(AO26,'סקרי נכסים-יתרות פתיחה'!$2:$110,34,0),0)-IFERROR(HLOOKUP(AO26,'סקרי נכסים-יתרות פתיחה'!$2:$110,93,0),0)*(1-AO$309)</f>
        <v>0</v>
      </c>
      <c r="AP160" s="1240">
        <f>+IFERROR(HLOOKUP(AP26,'סקרי נכסים-יתרות פתיחה'!$2:$110,34,0),0)-IFERROR(HLOOKUP(AP26,'סקרי נכסים-יתרות פתיחה'!$2:$110,93,0),0)*(1-AP$309)</f>
        <v>0</v>
      </c>
      <c r="AQ160" s="1240">
        <f>+IFERROR(HLOOKUP(AQ26,'סקרי נכסים-יתרות פתיחה'!$2:$110,34,0),0)-IFERROR(HLOOKUP(AQ26,'סקרי נכסים-יתרות פתיחה'!$2:$110,93,0),0)*(1-AQ$309)</f>
        <v>0</v>
      </c>
      <c r="AR160" s="1240">
        <f>+IFERROR(HLOOKUP(AR26,'סקרי נכסים-יתרות פתיחה'!$2:$110,34,0),0)-IFERROR(HLOOKUP(AR26,'סקרי נכסים-יתרות פתיחה'!$2:$110,93,0),0)*(1-AR$309)</f>
        <v>0</v>
      </c>
      <c r="AS160" s="1240">
        <f>+IFERROR(HLOOKUP(AS26,'סקרי נכסים-יתרות פתיחה'!$2:$110,34,0),0)-IFERROR(HLOOKUP(AS26,'סקרי נכסים-יתרות פתיחה'!$2:$110,93,0),0)*(1-AS$309)</f>
        <v>0</v>
      </c>
      <c r="AT160" s="1240">
        <f>+IFERROR(HLOOKUP(AT26,'סקרי נכסים-יתרות פתיחה'!$2:$110,34,0),0)-IFERROR(HLOOKUP(AT26,'סקרי נכסים-יתרות פתיחה'!$2:$110,93,0),0)*(1-AT$309)</f>
        <v>0</v>
      </c>
      <c r="AU160" s="1240">
        <f>+IFERROR(HLOOKUP(AU26,'סקרי נכסים-יתרות פתיחה'!$2:$110,34,0),0)-IFERROR(HLOOKUP(AU26,'סקרי נכסים-יתרות פתיחה'!$2:$110,93,0),0)*(1-AU$309)</f>
        <v>0</v>
      </c>
      <c r="AV160" s="1240">
        <f>+IFERROR(HLOOKUP(AV26,'סקרי נכסים-יתרות פתיחה'!$2:$110,34,0),0)-IFERROR(HLOOKUP(AV26,'סקרי נכסים-יתרות פתיחה'!$2:$110,93,0),0)*(1-AV$309)</f>
        <v>0</v>
      </c>
      <c r="AW160" s="1240">
        <f>+IFERROR(HLOOKUP(AW26,'סקרי נכסים-יתרות פתיחה'!$2:$110,34,0),0)-IFERROR(HLOOKUP(AW26,'סקרי נכסים-יתרות פתיחה'!$2:$110,93,0),0)*(1-AW$309)</f>
        <v>0</v>
      </c>
      <c r="AX160" s="1240">
        <f>+IFERROR(HLOOKUP(AX26,'סקרי נכסים-יתרות פתיחה'!$2:$110,34,0),0)-IFERROR(HLOOKUP(AX26,'סקרי נכסים-יתרות פתיחה'!$2:$110,93,0),0)*(1-AX$309)</f>
        <v>0</v>
      </c>
      <c r="AY160" s="1240">
        <f>+IFERROR(HLOOKUP(AY26,'סקרי נכסים-יתרות פתיחה'!$2:$110,34,0),0)-IFERROR(HLOOKUP(AY26,'סקרי נכסים-יתרות פתיחה'!$2:$110,93,0),0)*(1-AY$309)</f>
        <v>0</v>
      </c>
      <c r="AZ160" s="1240">
        <f>+IFERROR(HLOOKUP(AZ26,'סקרי נכסים-יתרות פתיחה'!$2:$110,34,0),0)-IFERROR(HLOOKUP(AZ26,'סקרי נכסים-יתרות פתיחה'!$2:$110,93,0),0)*(1-AZ$309)</f>
        <v>0</v>
      </c>
      <c r="BA160" s="1240">
        <f>+IFERROR(HLOOKUP(BA26,'סקרי נכסים-יתרות פתיחה'!$2:$110,34,0),0)-IFERROR(HLOOKUP(BA26,'סקרי נכסים-יתרות פתיחה'!$2:$110,93,0),0)*(1-BA$309)</f>
        <v>0</v>
      </c>
      <c r="BB160" s="1240">
        <f>+IFERROR(HLOOKUP(BB26,'סקרי נכסים-יתרות פתיחה'!$2:$110,34,0),0)-IFERROR(HLOOKUP(BB26,'סקרי נכסים-יתרות פתיחה'!$2:$110,93,0),0)*(1-BB$309)</f>
        <v>0</v>
      </c>
      <c r="BC160" s="1240">
        <f>+IFERROR(HLOOKUP(BC26,'סקרי נכסים-יתרות פתיחה'!$2:$110,34,0),0)-IFERROR(HLOOKUP(BC26,'סקרי נכסים-יתרות פתיחה'!$2:$110,93,0),0)*(1-BC$309)</f>
        <v>0</v>
      </c>
      <c r="BD160" s="1240">
        <f>+IFERROR(HLOOKUP(BD26,'סקרי נכסים-יתרות פתיחה'!$2:$110,34,0),0)-IFERROR(HLOOKUP(BD26,'סקרי נכסים-יתרות פתיחה'!$2:$110,93,0),0)*(1-BD$309)</f>
        <v>0</v>
      </c>
      <c r="BE160" s="1240">
        <f>+IFERROR(HLOOKUP(BE26,'סקרי נכסים-יתרות פתיחה'!$2:$110,34,0),0)-IFERROR(HLOOKUP(BE26,'סקרי נכסים-יתרות פתיחה'!$2:$110,93,0),0)*(1-BE$309)</f>
        <v>0</v>
      </c>
      <c r="BF160" s="1240">
        <f>+IFERROR(HLOOKUP(BF26,'סקרי נכסים-יתרות פתיחה'!$2:$110,34,0),0)-IFERROR(HLOOKUP(BF26,'סקרי נכסים-יתרות פתיחה'!$2:$110,93,0),0)*(1-BF$309)</f>
        <v>0</v>
      </c>
    </row>
    <row r="161" spans="1:61" x14ac:dyDescent="0.2">
      <c r="B161" s="1">
        <v>24</v>
      </c>
      <c r="C161" s="1240">
        <f>+IFERROR(HLOOKUP(C27,'סקרי נכסים-יתרות פתיחה'!$2:$110,34,0),0)-IFERROR(HLOOKUP(C27,'סקרי נכסים-יתרות פתיחה'!$2:$110,93,0),0)*(1-C$309)</f>
        <v>0</v>
      </c>
      <c r="D161" s="1240">
        <f>+IFERROR(HLOOKUP(D27,'סקרי נכסים-יתרות פתיחה'!$2:$110,34,0),0)-IFERROR(HLOOKUP(D27,'סקרי נכסים-יתרות פתיחה'!$2:$110,93,0),0)*(1-D$309)</f>
        <v>0</v>
      </c>
      <c r="E161" s="1240">
        <f>+IFERROR(HLOOKUP(E27,'סקרי נכסים-יתרות פתיחה'!$2:$110,34,0),0)-IFERROR(HLOOKUP(E27,'סקרי נכסים-יתרות פתיחה'!$2:$110,93,0),0)*(1-E$309)</f>
        <v>0</v>
      </c>
      <c r="F161" s="1240">
        <f>+IFERROR(HLOOKUP(F27,'סקרי נכסים-יתרות פתיחה'!$2:$110,34,0),0)-IFERROR(HLOOKUP(F27,'סקרי נכסים-יתרות פתיחה'!$2:$110,93,0),0)*(1-F$309)</f>
        <v>0</v>
      </c>
      <c r="G161" s="1240">
        <f>+IFERROR(HLOOKUP(G27,'סקרי נכסים-יתרות פתיחה'!$2:$110,34,0),0)-IFERROR(HLOOKUP(G27,'סקרי נכסים-יתרות פתיחה'!$2:$110,93,0),0)*(1-G$309)</f>
        <v>0</v>
      </c>
      <c r="H161" s="1240">
        <f>+IFERROR(HLOOKUP(H27,'סקרי נכסים-יתרות פתיחה'!$2:$110,34,0),0)-IFERROR(HLOOKUP(H27,'סקרי נכסים-יתרות פתיחה'!$2:$110,93,0),0)*(1-H$309)</f>
        <v>0</v>
      </c>
      <c r="I161" s="1240">
        <f>+IFERROR(HLOOKUP(I27,'סקרי נכסים-יתרות פתיחה'!$2:$110,34,0),0)-IFERROR(HLOOKUP(I27,'סקרי נכסים-יתרות פתיחה'!$2:$110,93,0),0)*(1-I$309)</f>
        <v>0</v>
      </c>
      <c r="J161" s="1240">
        <f>+IFERROR(HLOOKUP(J27,'סקרי נכסים-יתרות פתיחה'!$2:$110,34,0),0)-IFERROR(HLOOKUP(J27,'סקרי נכסים-יתרות פתיחה'!$2:$110,93,0),0)*(1-J$309)</f>
        <v>0</v>
      </c>
      <c r="K161" s="1240">
        <f>+IFERROR(HLOOKUP(K27,'סקרי נכסים-יתרות פתיחה'!$2:$110,34,0),0)-IFERROR(HLOOKUP(K27,'סקרי נכסים-יתרות פתיחה'!$2:$110,93,0),0)*(1-K$309)</f>
        <v>0</v>
      </c>
      <c r="L161" s="1240">
        <f>+IFERROR(HLOOKUP(L27,'סקרי נכסים-יתרות פתיחה'!$2:$110,34,0),0)-IFERROR(HLOOKUP(L27,'סקרי נכסים-יתרות פתיחה'!$2:$110,93,0),0)*(1-L$309)</f>
        <v>0</v>
      </c>
      <c r="M161" s="1240">
        <f>+IFERROR(HLOOKUP(M27,'סקרי נכסים-יתרות פתיחה'!$2:$110,34,0),0)-IFERROR(HLOOKUP(M27,'סקרי נכסים-יתרות פתיחה'!$2:$110,93,0),0)*(1-M$309)</f>
        <v>0</v>
      </c>
      <c r="N161" s="1240">
        <f>+IFERROR(HLOOKUP(N27,'סקרי נכסים-יתרות פתיחה'!$2:$110,34,0),0)-IFERROR(HLOOKUP(N27,'סקרי נכסים-יתרות פתיחה'!$2:$110,93,0),0)*(1-N$309)</f>
        <v>0</v>
      </c>
      <c r="O161" s="1240">
        <f>+IFERROR(HLOOKUP(O27,'סקרי נכסים-יתרות פתיחה'!$2:$110,34,0),0)-IFERROR(HLOOKUP(O27,'סקרי נכסים-יתרות פתיחה'!$2:$110,93,0),0)*(1-O$309)</f>
        <v>0</v>
      </c>
      <c r="P161" s="1240">
        <f>+IFERROR(HLOOKUP(P27,'סקרי נכסים-יתרות פתיחה'!$2:$110,34,0),0)-IFERROR(HLOOKUP(P27,'סקרי נכסים-יתרות פתיחה'!$2:$110,93,0),0)*(1-P$309)</f>
        <v>0</v>
      </c>
      <c r="Q161" s="1240">
        <f>+IFERROR(HLOOKUP(Q27,'סקרי נכסים-יתרות פתיחה'!$2:$110,34,0),0)-IFERROR(HLOOKUP(Q27,'סקרי נכסים-יתרות פתיחה'!$2:$110,93,0),0)*(1-Q$309)</f>
        <v>0</v>
      </c>
      <c r="R161" s="1240">
        <f>+IFERROR(HLOOKUP(R27,'סקרי נכסים-יתרות פתיחה'!$2:$110,34,0),0)-IFERROR(HLOOKUP(R27,'סקרי נכסים-יתרות פתיחה'!$2:$110,93,0),0)*(1-R$309)</f>
        <v>0</v>
      </c>
      <c r="S161" s="1240">
        <f>+IFERROR(HLOOKUP(S27,'סקרי נכסים-יתרות פתיחה'!$2:$110,34,0),0)-IFERROR(HLOOKUP(S27,'סקרי נכסים-יתרות פתיחה'!$2:$110,93,0),0)*(1-S$309)</f>
        <v>0</v>
      </c>
      <c r="T161" s="1240">
        <f>+IFERROR(HLOOKUP(T27,'סקרי נכסים-יתרות פתיחה'!$2:$110,34,0),0)-IFERROR(HLOOKUP(T27,'סקרי נכסים-יתרות פתיחה'!$2:$110,93,0),0)*(1-T$309)</f>
        <v>0</v>
      </c>
      <c r="U161" s="1240">
        <f>+IFERROR(HLOOKUP(U27,'סקרי נכסים-יתרות פתיחה'!$2:$110,34,0),0)-IFERROR(HLOOKUP(U27,'סקרי נכסים-יתרות פתיחה'!$2:$110,93,0),0)*(1-U$309)</f>
        <v>0</v>
      </c>
      <c r="V161" s="1240">
        <f>+IFERROR(HLOOKUP(V27,'סקרי נכסים-יתרות פתיחה'!$2:$110,34,0),0)-IFERROR(HLOOKUP(V27,'סקרי נכסים-יתרות פתיחה'!$2:$110,93,0),0)*(1-V$309)</f>
        <v>0</v>
      </c>
      <c r="W161" s="1240">
        <f>+IFERROR(HLOOKUP(W27,'סקרי נכסים-יתרות פתיחה'!$2:$110,34,0),0)-IFERROR(HLOOKUP(W27,'סקרי נכסים-יתרות פתיחה'!$2:$110,93,0),0)*(1-W$309)</f>
        <v>0</v>
      </c>
      <c r="X161" s="1240">
        <f>+IFERROR(HLOOKUP(X27,'סקרי נכסים-יתרות פתיחה'!$2:$110,34,0),0)-IFERROR(HLOOKUP(X27,'סקרי נכסים-יתרות פתיחה'!$2:$110,93,0),0)*(1-X$309)</f>
        <v>0</v>
      </c>
      <c r="Y161" s="1240">
        <f>+IFERROR(HLOOKUP(Y27,'סקרי נכסים-יתרות פתיחה'!$2:$110,34,0),0)-IFERROR(HLOOKUP(Y27,'סקרי נכסים-יתרות פתיחה'!$2:$110,93,0),0)*(1-Y$309)</f>
        <v>0</v>
      </c>
      <c r="Z161" s="1240">
        <f>+IFERROR(HLOOKUP(Z27,'סקרי נכסים-יתרות פתיחה'!$2:$110,34,0),0)-IFERROR(HLOOKUP(Z27,'סקרי נכסים-יתרות פתיחה'!$2:$110,93,0),0)*(1-Z$309)</f>
        <v>0</v>
      </c>
      <c r="AA161" s="1240">
        <f>+IFERROR(HLOOKUP(AA27,'סקרי נכסים-יתרות פתיחה'!$2:$110,34,0),0)-IFERROR(HLOOKUP(AA27,'סקרי נכסים-יתרות פתיחה'!$2:$110,93,0),0)*(1-AA$309)</f>
        <v>0</v>
      </c>
      <c r="AB161" s="1240">
        <f>+IFERROR(HLOOKUP(AB27,'סקרי נכסים-יתרות פתיחה'!$2:$110,34,0),0)-IFERROR(HLOOKUP(AB27,'סקרי נכסים-יתרות פתיחה'!$2:$110,93,0),0)*(1-AB$309)</f>
        <v>0</v>
      </c>
      <c r="AC161" s="1240">
        <f>+IFERROR(HLOOKUP(AC27,'סקרי נכסים-יתרות פתיחה'!$2:$110,34,0),0)-IFERROR(HLOOKUP(AC27,'סקרי נכסים-יתרות פתיחה'!$2:$110,93,0),0)*(1-AC$309)</f>
        <v>0</v>
      </c>
      <c r="AD161" s="1240">
        <f>+IFERROR(HLOOKUP(AD27,'סקרי נכסים-יתרות פתיחה'!$2:$110,34,0),0)-IFERROR(HLOOKUP(AD27,'סקרי נכסים-יתרות פתיחה'!$2:$110,93,0),0)*(1-AD$309)</f>
        <v>0</v>
      </c>
      <c r="AE161" s="1240">
        <f>+IFERROR(HLOOKUP(AE27,'סקרי נכסים-יתרות פתיחה'!$2:$110,34,0),0)-IFERROR(HLOOKUP(AE27,'סקרי נכסים-יתרות פתיחה'!$2:$110,93,0),0)*(1-AE$309)</f>
        <v>0</v>
      </c>
      <c r="AF161" s="1240">
        <f>+IFERROR(HLOOKUP(AF27,'סקרי נכסים-יתרות פתיחה'!$2:$110,34,0),0)-IFERROR(HLOOKUP(AF27,'סקרי נכסים-יתרות פתיחה'!$2:$110,93,0),0)*(1-AF$309)</f>
        <v>0</v>
      </c>
      <c r="AG161" s="1240">
        <f>+IFERROR(HLOOKUP(AG27,'סקרי נכסים-יתרות פתיחה'!$2:$110,34,0),0)-IFERROR(HLOOKUP(AG27,'סקרי נכסים-יתרות פתיחה'!$2:$110,93,0),0)*(1-AG$309)</f>
        <v>0</v>
      </c>
      <c r="AH161" s="1240">
        <f>+IFERROR(HLOOKUP(AH27,'סקרי נכסים-יתרות פתיחה'!$2:$110,34,0),0)-IFERROR(HLOOKUP(AH27,'סקרי נכסים-יתרות פתיחה'!$2:$110,93,0),0)*(1-AH$309)</f>
        <v>0</v>
      </c>
      <c r="AI161" s="1240">
        <f>+IFERROR(HLOOKUP(AI27,'סקרי נכסים-יתרות פתיחה'!$2:$110,34,0),0)-IFERROR(HLOOKUP(AI27,'סקרי נכסים-יתרות פתיחה'!$2:$110,93,0),0)*(1-AI$309)</f>
        <v>0</v>
      </c>
      <c r="AJ161" s="1240">
        <f>+IFERROR(HLOOKUP(AJ27,'סקרי נכסים-יתרות פתיחה'!$2:$110,34,0),0)-IFERROR(HLOOKUP(AJ27,'סקרי נכסים-יתרות פתיחה'!$2:$110,93,0),0)*(1-AJ$309)</f>
        <v>0</v>
      </c>
      <c r="AK161" s="1240">
        <f>+IFERROR(HLOOKUP(AK27,'סקרי נכסים-יתרות פתיחה'!$2:$110,34,0),0)-IFERROR(HLOOKUP(AK27,'סקרי נכסים-יתרות פתיחה'!$2:$110,93,0),0)*(1-AK$309)</f>
        <v>0</v>
      </c>
      <c r="AL161" s="1240">
        <f>+IFERROR(HLOOKUP(AL27,'סקרי נכסים-יתרות פתיחה'!$2:$110,34,0),0)-IFERROR(HLOOKUP(AL27,'סקרי נכסים-יתרות פתיחה'!$2:$110,93,0),0)*(1-AL$309)</f>
        <v>0</v>
      </c>
      <c r="AM161" s="1240">
        <f>+IFERROR(HLOOKUP(AM27,'סקרי נכסים-יתרות פתיחה'!$2:$110,34,0),0)-IFERROR(HLOOKUP(AM27,'סקרי נכסים-יתרות פתיחה'!$2:$110,93,0),0)*(1-AM$309)</f>
        <v>0</v>
      </c>
      <c r="AN161" s="1240">
        <f>+IFERROR(HLOOKUP(AN27,'סקרי נכסים-יתרות פתיחה'!$2:$110,34,0),0)-IFERROR(HLOOKUP(AN27,'סקרי נכסים-יתרות פתיחה'!$2:$110,93,0),0)*(1-AN$309)</f>
        <v>0</v>
      </c>
      <c r="AO161" s="1240">
        <f>+IFERROR(HLOOKUP(AO27,'סקרי נכסים-יתרות פתיחה'!$2:$110,34,0),0)-IFERROR(HLOOKUP(AO27,'סקרי נכסים-יתרות פתיחה'!$2:$110,93,0),0)*(1-AO$309)</f>
        <v>0</v>
      </c>
      <c r="AP161" s="1240">
        <f>+IFERROR(HLOOKUP(AP27,'סקרי נכסים-יתרות פתיחה'!$2:$110,34,0),0)-IFERROR(HLOOKUP(AP27,'סקרי נכסים-יתרות פתיחה'!$2:$110,93,0),0)*(1-AP$309)</f>
        <v>0</v>
      </c>
      <c r="AQ161" s="1240">
        <f>+IFERROR(HLOOKUP(AQ27,'סקרי נכסים-יתרות פתיחה'!$2:$110,34,0),0)-IFERROR(HLOOKUP(AQ27,'סקרי נכסים-יתרות פתיחה'!$2:$110,93,0),0)*(1-AQ$309)</f>
        <v>0</v>
      </c>
      <c r="AR161" s="1240">
        <f>+IFERROR(HLOOKUP(AR27,'סקרי נכסים-יתרות פתיחה'!$2:$110,34,0),0)-IFERROR(HLOOKUP(AR27,'סקרי נכסים-יתרות פתיחה'!$2:$110,93,0),0)*(1-AR$309)</f>
        <v>0</v>
      </c>
      <c r="AS161" s="1240">
        <f>+IFERROR(HLOOKUP(AS27,'סקרי נכסים-יתרות פתיחה'!$2:$110,34,0),0)-IFERROR(HLOOKUP(AS27,'סקרי נכסים-יתרות פתיחה'!$2:$110,93,0),0)*(1-AS$309)</f>
        <v>0</v>
      </c>
      <c r="AT161" s="1240">
        <f>+IFERROR(HLOOKUP(AT27,'סקרי נכסים-יתרות פתיחה'!$2:$110,34,0),0)-IFERROR(HLOOKUP(AT27,'סקרי נכסים-יתרות פתיחה'!$2:$110,93,0),0)*(1-AT$309)</f>
        <v>0</v>
      </c>
      <c r="AU161" s="1240">
        <f>+IFERROR(HLOOKUP(AU27,'סקרי נכסים-יתרות פתיחה'!$2:$110,34,0),0)-IFERROR(HLOOKUP(AU27,'סקרי נכסים-יתרות פתיחה'!$2:$110,93,0),0)*(1-AU$309)</f>
        <v>0</v>
      </c>
      <c r="AV161" s="1240">
        <f>+IFERROR(HLOOKUP(AV27,'סקרי נכסים-יתרות פתיחה'!$2:$110,34,0),0)-IFERROR(HLOOKUP(AV27,'סקרי נכסים-יתרות פתיחה'!$2:$110,93,0),0)*(1-AV$309)</f>
        <v>0</v>
      </c>
      <c r="AW161" s="1240">
        <f>+IFERROR(HLOOKUP(AW27,'סקרי נכסים-יתרות פתיחה'!$2:$110,34,0),0)-IFERROR(HLOOKUP(AW27,'סקרי נכסים-יתרות פתיחה'!$2:$110,93,0),0)*(1-AW$309)</f>
        <v>0</v>
      </c>
      <c r="AX161" s="1240">
        <f>+IFERROR(HLOOKUP(AX27,'סקרי נכסים-יתרות פתיחה'!$2:$110,34,0),0)-IFERROR(HLOOKUP(AX27,'סקרי נכסים-יתרות פתיחה'!$2:$110,93,0),0)*(1-AX$309)</f>
        <v>0</v>
      </c>
      <c r="AY161" s="1240">
        <f>+IFERROR(HLOOKUP(AY27,'סקרי נכסים-יתרות פתיחה'!$2:$110,34,0),0)-IFERROR(HLOOKUP(AY27,'סקרי נכסים-יתרות פתיחה'!$2:$110,93,0),0)*(1-AY$309)</f>
        <v>0</v>
      </c>
      <c r="AZ161" s="1240">
        <f>+IFERROR(HLOOKUP(AZ27,'סקרי נכסים-יתרות פתיחה'!$2:$110,34,0),0)-IFERROR(HLOOKUP(AZ27,'סקרי נכסים-יתרות פתיחה'!$2:$110,93,0),0)*(1-AZ$309)</f>
        <v>0</v>
      </c>
      <c r="BA161" s="1240">
        <f>+IFERROR(HLOOKUP(BA27,'סקרי נכסים-יתרות פתיחה'!$2:$110,34,0),0)-IFERROR(HLOOKUP(BA27,'סקרי נכסים-יתרות פתיחה'!$2:$110,93,0),0)*(1-BA$309)</f>
        <v>0</v>
      </c>
      <c r="BB161" s="1240">
        <f>+IFERROR(HLOOKUP(BB27,'סקרי נכסים-יתרות פתיחה'!$2:$110,34,0),0)-IFERROR(HLOOKUP(BB27,'סקרי נכסים-יתרות פתיחה'!$2:$110,93,0),0)*(1-BB$309)</f>
        <v>0</v>
      </c>
      <c r="BC161" s="1240">
        <f>+IFERROR(HLOOKUP(BC27,'סקרי נכסים-יתרות פתיחה'!$2:$110,34,0),0)-IFERROR(HLOOKUP(BC27,'סקרי נכסים-יתרות פתיחה'!$2:$110,93,0),0)*(1-BC$309)</f>
        <v>0</v>
      </c>
      <c r="BD161" s="1240">
        <f>+IFERROR(HLOOKUP(BD27,'סקרי נכסים-יתרות פתיחה'!$2:$110,34,0),0)-IFERROR(HLOOKUP(BD27,'סקרי נכסים-יתרות פתיחה'!$2:$110,93,0),0)*(1-BD$309)</f>
        <v>0</v>
      </c>
      <c r="BE161" s="1240">
        <f>+IFERROR(HLOOKUP(BE27,'סקרי נכסים-יתרות פתיחה'!$2:$110,34,0),0)-IFERROR(HLOOKUP(BE27,'סקרי נכסים-יתרות פתיחה'!$2:$110,93,0),0)*(1-BE$309)</f>
        <v>0</v>
      </c>
      <c r="BF161" s="1240">
        <f>+IFERROR(HLOOKUP(BF27,'סקרי נכסים-יתרות פתיחה'!$2:$110,34,0),0)-IFERROR(HLOOKUP(BF27,'סקרי נכסים-יתרות פתיחה'!$2:$110,93,0),0)*(1-BF$309)</f>
        <v>0</v>
      </c>
    </row>
    <row r="162" spans="1:61" x14ac:dyDescent="0.2">
      <c r="B162" s="1">
        <v>25</v>
      </c>
      <c r="C162" s="1240">
        <f>+IFERROR(HLOOKUP(C28,'סקרי נכסים-יתרות פתיחה'!$2:$110,34,0),0)-IFERROR(HLOOKUP(C28,'סקרי נכסים-יתרות פתיחה'!$2:$110,93,0),0)*(1-C$309)</f>
        <v>0</v>
      </c>
      <c r="D162" s="1240">
        <f>+IFERROR(HLOOKUP(D28,'סקרי נכסים-יתרות פתיחה'!$2:$110,34,0),0)-IFERROR(HLOOKUP(D28,'סקרי נכסים-יתרות פתיחה'!$2:$110,93,0),0)*(1-D$309)</f>
        <v>0</v>
      </c>
      <c r="E162" s="1240">
        <f>+IFERROR(HLOOKUP(E28,'סקרי נכסים-יתרות פתיחה'!$2:$110,34,0),0)-IFERROR(HLOOKUP(E28,'סקרי נכסים-יתרות פתיחה'!$2:$110,93,0),0)*(1-E$309)</f>
        <v>0</v>
      </c>
      <c r="F162" s="1240">
        <f>+IFERROR(HLOOKUP(F28,'סקרי נכסים-יתרות פתיחה'!$2:$110,34,0),0)-IFERROR(HLOOKUP(F28,'סקרי נכסים-יתרות פתיחה'!$2:$110,93,0),0)*(1-F$309)</f>
        <v>0</v>
      </c>
      <c r="G162" s="1240">
        <f>+IFERROR(HLOOKUP(G28,'סקרי נכסים-יתרות פתיחה'!$2:$110,34,0),0)-IFERROR(HLOOKUP(G28,'סקרי נכסים-יתרות פתיחה'!$2:$110,93,0),0)*(1-G$309)</f>
        <v>0</v>
      </c>
      <c r="H162" s="1240">
        <f>+IFERROR(HLOOKUP(H28,'סקרי נכסים-יתרות פתיחה'!$2:$110,34,0),0)-IFERROR(HLOOKUP(H28,'סקרי נכסים-יתרות פתיחה'!$2:$110,93,0),0)*(1-H$309)</f>
        <v>0</v>
      </c>
      <c r="I162" s="1240">
        <f>+IFERROR(HLOOKUP(I28,'סקרי נכסים-יתרות פתיחה'!$2:$110,34,0),0)-IFERROR(HLOOKUP(I28,'סקרי נכסים-יתרות פתיחה'!$2:$110,93,0),0)*(1-I$309)</f>
        <v>0</v>
      </c>
      <c r="J162" s="1240">
        <f>+IFERROR(HLOOKUP(J28,'סקרי נכסים-יתרות פתיחה'!$2:$110,34,0),0)-IFERROR(HLOOKUP(J28,'סקרי נכסים-יתרות פתיחה'!$2:$110,93,0),0)*(1-J$309)</f>
        <v>0</v>
      </c>
      <c r="K162" s="1240">
        <f>+IFERROR(HLOOKUP(K28,'סקרי נכסים-יתרות פתיחה'!$2:$110,34,0),0)-IFERROR(HLOOKUP(K28,'סקרי נכסים-יתרות פתיחה'!$2:$110,93,0),0)*(1-K$309)</f>
        <v>0</v>
      </c>
      <c r="L162" s="1240">
        <f>+IFERROR(HLOOKUP(L28,'סקרי נכסים-יתרות פתיחה'!$2:$110,34,0),0)-IFERROR(HLOOKUP(L28,'סקרי נכסים-יתרות פתיחה'!$2:$110,93,0),0)*(1-L$309)</f>
        <v>0</v>
      </c>
      <c r="M162" s="1240">
        <f>+IFERROR(HLOOKUP(M28,'סקרי נכסים-יתרות פתיחה'!$2:$110,34,0),0)-IFERROR(HLOOKUP(M28,'סקרי נכסים-יתרות פתיחה'!$2:$110,93,0),0)*(1-M$309)</f>
        <v>0</v>
      </c>
      <c r="N162" s="1240">
        <f>+IFERROR(HLOOKUP(N28,'סקרי נכסים-יתרות פתיחה'!$2:$110,34,0),0)-IFERROR(HLOOKUP(N28,'סקרי נכסים-יתרות פתיחה'!$2:$110,93,0),0)*(1-N$309)</f>
        <v>0</v>
      </c>
      <c r="O162" s="1240">
        <f>+IFERROR(HLOOKUP(O28,'סקרי נכסים-יתרות פתיחה'!$2:$110,34,0),0)-IFERROR(HLOOKUP(O28,'סקרי נכסים-יתרות פתיחה'!$2:$110,93,0),0)*(1-O$309)</f>
        <v>0</v>
      </c>
      <c r="P162" s="1240">
        <f>+IFERROR(HLOOKUP(P28,'סקרי נכסים-יתרות פתיחה'!$2:$110,34,0),0)-IFERROR(HLOOKUP(P28,'סקרי נכסים-יתרות פתיחה'!$2:$110,93,0),0)*(1-P$309)</f>
        <v>0</v>
      </c>
      <c r="Q162" s="1240">
        <f>+IFERROR(HLOOKUP(Q28,'סקרי נכסים-יתרות פתיחה'!$2:$110,34,0),0)-IFERROR(HLOOKUP(Q28,'סקרי נכסים-יתרות פתיחה'!$2:$110,93,0),0)*(1-Q$309)</f>
        <v>0</v>
      </c>
      <c r="R162" s="1240">
        <f>+IFERROR(HLOOKUP(R28,'סקרי נכסים-יתרות פתיחה'!$2:$110,34,0),0)-IFERROR(HLOOKUP(R28,'סקרי נכסים-יתרות פתיחה'!$2:$110,93,0),0)*(1-R$309)</f>
        <v>0</v>
      </c>
      <c r="S162" s="1240">
        <f>+IFERROR(HLOOKUP(S28,'סקרי נכסים-יתרות פתיחה'!$2:$110,34,0),0)-IFERROR(HLOOKUP(S28,'סקרי נכסים-יתרות פתיחה'!$2:$110,93,0),0)*(1-S$309)</f>
        <v>0</v>
      </c>
      <c r="T162" s="1240">
        <f>+IFERROR(HLOOKUP(T28,'סקרי נכסים-יתרות פתיחה'!$2:$110,34,0),0)-IFERROR(HLOOKUP(T28,'סקרי נכסים-יתרות פתיחה'!$2:$110,93,0),0)*(1-T$309)</f>
        <v>0</v>
      </c>
      <c r="U162" s="1240">
        <f>+IFERROR(HLOOKUP(U28,'סקרי נכסים-יתרות פתיחה'!$2:$110,34,0),0)-IFERROR(HLOOKUP(U28,'סקרי נכסים-יתרות פתיחה'!$2:$110,93,0),0)*(1-U$309)</f>
        <v>0</v>
      </c>
      <c r="V162" s="1240">
        <f>+IFERROR(HLOOKUP(V28,'סקרי נכסים-יתרות פתיחה'!$2:$110,34,0),0)-IFERROR(HLOOKUP(V28,'סקרי נכסים-יתרות פתיחה'!$2:$110,93,0),0)*(1-V$309)</f>
        <v>0</v>
      </c>
      <c r="W162" s="1240">
        <f>+IFERROR(HLOOKUP(W28,'סקרי נכסים-יתרות פתיחה'!$2:$110,34,0),0)-IFERROR(HLOOKUP(W28,'סקרי נכסים-יתרות פתיחה'!$2:$110,93,0),0)*(1-W$309)</f>
        <v>0</v>
      </c>
      <c r="X162" s="1240">
        <f>+IFERROR(HLOOKUP(X28,'סקרי נכסים-יתרות פתיחה'!$2:$110,34,0),0)-IFERROR(HLOOKUP(X28,'סקרי נכסים-יתרות פתיחה'!$2:$110,93,0),0)*(1-X$309)</f>
        <v>0</v>
      </c>
      <c r="Y162" s="1240">
        <f>+IFERROR(HLOOKUP(Y28,'סקרי נכסים-יתרות פתיחה'!$2:$110,34,0),0)-IFERROR(HLOOKUP(Y28,'סקרי נכסים-יתרות פתיחה'!$2:$110,93,0),0)*(1-Y$309)</f>
        <v>0</v>
      </c>
      <c r="Z162" s="1240">
        <f>+IFERROR(HLOOKUP(Z28,'סקרי נכסים-יתרות פתיחה'!$2:$110,34,0),0)-IFERROR(HLOOKUP(Z28,'סקרי נכסים-יתרות פתיחה'!$2:$110,93,0),0)*(1-Z$309)</f>
        <v>0</v>
      </c>
      <c r="AA162" s="1240">
        <f>+IFERROR(HLOOKUP(AA28,'סקרי נכסים-יתרות פתיחה'!$2:$110,34,0),0)-IFERROR(HLOOKUP(AA28,'סקרי נכסים-יתרות פתיחה'!$2:$110,93,0),0)*(1-AA$309)</f>
        <v>0</v>
      </c>
      <c r="AB162" s="1240">
        <f>+IFERROR(HLOOKUP(AB28,'סקרי נכסים-יתרות פתיחה'!$2:$110,34,0),0)-IFERROR(HLOOKUP(AB28,'סקרי נכסים-יתרות פתיחה'!$2:$110,93,0),0)*(1-AB$309)</f>
        <v>0</v>
      </c>
      <c r="AC162" s="1240">
        <f>+IFERROR(HLOOKUP(AC28,'סקרי נכסים-יתרות פתיחה'!$2:$110,34,0),0)-IFERROR(HLOOKUP(AC28,'סקרי נכסים-יתרות פתיחה'!$2:$110,93,0),0)*(1-AC$309)</f>
        <v>0</v>
      </c>
      <c r="AD162" s="1240">
        <f>+IFERROR(HLOOKUP(AD28,'סקרי נכסים-יתרות פתיחה'!$2:$110,34,0),0)-IFERROR(HLOOKUP(AD28,'סקרי נכסים-יתרות פתיחה'!$2:$110,93,0),0)*(1-AD$309)</f>
        <v>0</v>
      </c>
      <c r="AE162" s="1240">
        <f>+IFERROR(HLOOKUP(AE28,'סקרי נכסים-יתרות פתיחה'!$2:$110,34,0),0)-IFERROR(HLOOKUP(AE28,'סקרי נכסים-יתרות פתיחה'!$2:$110,93,0),0)*(1-AE$309)</f>
        <v>0</v>
      </c>
      <c r="AF162" s="1240">
        <f>+IFERROR(HLOOKUP(AF28,'סקרי נכסים-יתרות פתיחה'!$2:$110,34,0),0)-IFERROR(HLOOKUP(AF28,'סקרי נכסים-יתרות פתיחה'!$2:$110,93,0),0)*(1-AF$309)</f>
        <v>0</v>
      </c>
      <c r="AG162" s="1240">
        <f>+IFERROR(HLOOKUP(AG28,'סקרי נכסים-יתרות פתיחה'!$2:$110,34,0),0)-IFERROR(HLOOKUP(AG28,'סקרי נכסים-יתרות פתיחה'!$2:$110,93,0),0)*(1-AG$309)</f>
        <v>0</v>
      </c>
      <c r="AH162" s="1240">
        <f>+IFERROR(HLOOKUP(AH28,'סקרי נכסים-יתרות פתיחה'!$2:$110,34,0),0)-IFERROR(HLOOKUP(AH28,'סקרי נכסים-יתרות פתיחה'!$2:$110,93,0),0)*(1-AH$309)</f>
        <v>0</v>
      </c>
      <c r="AI162" s="1240">
        <f>+IFERROR(HLOOKUP(AI28,'סקרי נכסים-יתרות פתיחה'!$2:$110,34,0),0)-IFERROR(HLOOKUP(AI28,'סקרי נכסים-יתרות פתיחה'!$2:$110,93,0),0)*(1-AI$309)</f>
        <v>0</v>
      </c>
      <c r="AJ162" s="1240">
        <f>+IFERROR(HLOOKUP(AJ28,'סקרי נכסים-יתרות פתיחה'!$2:$110,34,0),0)-IFERROR(HLOOKUP(AJ28,'סקרי נכסים-יתרות פתיחה'!$2:$110,93,0),0)*(1-AJ$309)</f>
        <v>0</v>
      </c>
      <c r="AK162" s="1240">
        <f>+IFERROR(HLOOKUP(AK28,'סקרי נכסים-יתרות פתיחה'!$2:$110,34,0),0)-IFERROR(HLOOKUP(AK28,'סקרי נכסים-יתרות פתיחה'!$2:$110,93,0),0)*(1-AK$309)</f>
        <v>0</v>
      </c>
      <c r="AL162" s="1240">
        <f>+IFERROR(HLOOKUP(AL28,'סקרי נכסים-יתרות פתיחה'!$2:$110,34,0),0)-IFERROR(HLOOKUP(AL28,'סקרי נכסים-יתרות פתיחה'!$2:$110,93,0),0)*(1-AL$309)</f>
        <v>0</v>
      </c>
      <c r="AM162" s="1240">
        <f>+IFERROR(HLOOKUP(AM28,'סקרי נכסים-יתרות פתיחה'!$2:$110,34,0),0)-IFERROR(HLOOKUP(AM28,'סקרי נכסים-יתרות פתיחה'!$2:$110,93,0),0)*(1-AM$309)</f>
        <v>0</v>
      </c>
      <c r="AN162" s="1240">
        <f>+IFERROR(HLOOKUP(AN28,'סקרי נכסים-יתרות פתיחה'!$2:$110,34,0),0)-IFERROR(HLOOKUP(AN28,'סקרי נכסים-יתרות פתיחה'!$2:$110,93,0),0)*(1-AN$309)</f>
        <v>0</v>
      </c>
      <c r="AO162" s="1240">
        <f>+IFERROR(HLOOKUP(AO28,'סקרי נכסים-יתרות פתיחה'!$2:$110,34,0),0)-IFERROR(HLOOKUP(AO28,'סקרי נכסים-יתרות פתיחה'!$2:$110,93,0),0)*(1-AO$309)</f>
        <v>0</v>
      </c>
      <c r="AP162" s="1240">
        <f>+IFERROR(HLOOKUP(AP28,'סקרי נכסים-יתרות פתיחה'!$2:$110,34,0),0)-IFERROR(HLOOKUP(AP28,'סקרי נכסים-יתרות פתיחה'!$2:$110,93,0),0)*(1-AP$309)</f>
        <v>0</v>
      </c>
      <c r="AQ162" s="1240">
        <f>+IFERROR(HLOOKUP(AQ28,'סקרי נכסים-יתרות פתיחה'!$2:$110,34,0),0)-IFERROR(HLOOKUP(AQ28,'סקרי נכסים-יתרות פתיחה'!$2:$110,93,0),0)*(1-AQ$309)</f>
        <v>0</v>
      </c>
      <c r="AR162" s="1240">
        <f>+IFERROR(HLOOKUP(AR28,'סקרי נכסים-יתרות פתיחה'!$2:$110,34,0),0)-IFERROR(HLOOKUP(AR28,'סקרי נכסים-יתרות פתיחה'!$2:$110,93,0),0)*(1-AR$309)</f>
        <v>0</v>
      </c>
      <c r="AS162" s="1240">
        <f>+IFERROR(HLOOKUP(AS28,'סקרי נכסים-יתרות פתיחה'!$2:$110,34,0),0)-IFERROR(HLOOKUP(AS28,'סקרי נכסים-יתרות פתיחה'!$2:$110,93,0),0)*(1-AS$309)</f>
        <v>0</v>
      </c>
      <c r="AT162" s="1240">
        <f>+IFERROR(HLOOKUP(AT28,'סקרי נכסים-יתרות פתיחה'!$2:$110,34,0),0)-IFERROR(HLOOKUP(AT28,'סקרי נכסים-יתרות פתיחה'!$2:$110,93,0),0)*(1-AT$309)</f>
        <v>0</v>
      </c>
      <c r="AU162" s="1240">
        <f>+IFERROR(HLOOKUP(AU28,'סקרי נכסים-יתרות פתיחה'!$2:$110,34,0),0)-IFERROR(HLOOKUP(AU28,'סקרי נכסים-יתרות פתיחה'!$2:$110,93,0),0)*(1-AU$309)</f>
        <v>0</v>
      </c>
      <c r="AV162" s="1240">
        <f>+IFERROR(HLOOKUP(AV28,'סקרי נכסים-יתרות פתיחה'!$2:$110,34,0),0)-IFERROR(HLOOKUP(AV28,'סקרי נכסים-יתרות פתיחה'!$2:$110,93,0),0)*(1-AV$309)</f>
        <v>0</v>
      </c>
      <c r="AW162" s="1240">
        <f>+IFERROR(HLOOKUP(AW28,'סקרי נכסים-יתרות פתיחה'!$2:$110,34,0),0)-IFERROR(HLOOKUP(AW28,'סקרי נכסים-יתרות פתיחה'!$2:$110,93,0),0)*(1-AW$309)</f>
        <v>0</v>
      </c>
      <c r="AX162" s="1240">
        <f>+IFERROR(HLOOKUP(AX28,'סקרי נכסים-יתרות פתיחה'!$2:$110,34,0),0)-IFERROR(HLOOKUP(AX28,'סקרי נכסים-יתרות פתיחה'!$2:$110,93,0),0)*(1-AX$309)</f>
        <v>0</v>
      </c>
      <c r="AY162" s="1240">
        <f>+IFERROR(HLOOKUP(AY28,'סקרי נכסים-יתרות פתיחה'!$2:$110,34,0),0)-IFERROR(HLOOKUP(AY28,'סקרי נכסים-יתרות פתיחה'!$2:$110,93,0),0)*(1-AY$309)</f>
        <v>0</v>
      </c>
      <c r="AZ162" s="1240">
        <f>+IFERROR(HLOOKUP(AZ28,'סקרי נכסים-יתרות פתיחה'!$2:$110,34,0),0)-IFERROR(HLOOKUP(AZ28,'סקרי נכסים-יתרות פתיחה'!$2:$110,93,0),0)*(1-AZ$309)</f>
        <v>0</v>
      </c>
      <c r="BA162" s="1240">
        <f>+IFERROR(HLOOKUP(BA28,'סקרי נכסים-יתרות פתיחה'!$2:$110,34,0),0)-IFERROR(HLOOKUP(BA28,'סקרי נכסים-יתרות פתיחה'!$2:$110,93,0),0)*(1-BA$309)</f>
        <v>0</v>
      </c>
      <c r="BB162" s="1240">
        <f>+IFERROR(HLOOKUP(BB28,'סקרי נכסים-יתרות פתיחה'!$2:$110,34,0),0)-IFERROR(HLOOKUP(BB28,'סקרי נכסים-יתרות פתיחה'!$2:$110,93,0),0)*(1-BB$309)</f>
        <v>0</v>
      </c>
      <c r="BC162" s="1240">
        <f>+IFERROR(HLOOKUP(BC28,'סקרי נכסים-יתרות פתיחה'!$2:$110,34,0),0)-IFERROR(HLOOKUP(BC28,'סקרי נכסים-יתרות פתיחה'!$2:$110,93,0),0)*(1-BC$309)</f>
        <v>0</v>
      </c>
      <c r="BD162" s="1240">
        <f>+IFERROR(HLOOKUP(BD28,'סקרי נכסים-יתרות פתיחה'!$2:$110,34,0),0)-IFERROR(HLOOKUP(BD28,'סקרי נכסים-יתרות פתיחה'!$2:$110,93,0),0)*(1-BD$309)</f>
        <v>0</v>
      </c>
      <c r="BE162" s="1240">
        <f>+IFERROR(HLOOKUP(BE28,'סקרי נכסים-יתרות פתיחה'!$2:$110,34,0),0)-IFERROR(HLOOKUP(BE28,'סקרי נכסים-יתרות פתיחה'!$2:$110,93,0),0)*(1-BE$309)</f>
        <v>0</v>
      </c>
      <c r="BF162" s="1240">
        <f>+IFERROR(HLOOKUP(BF28,'סקרי נכסים-יתרות פתיחה'!$2:$110,34,0),0)-IFERROR(HLOOKUP(BF28,'סקרי נכסים-יתרות פתיחה'!$2:$110,93,0),0)*(1-BF$309)</f>
        <v>0</v>
      </c>
    </row>
    <row r="163" spans="1:61" x14ac:dyDescent="0.2">
      <c r="B163" s="1">
        <v>26</v>
      </c>
      <c r="C163" s="1240">
        <f>+IFERROR(HLOOKUP(C29,'סקרי נכסים-יתרות פתיחה'!$2:$110,34,0),0)-IFERROR(HLOOKUP(C29,'סקרי נכסים-יתרות פתיחה'!$2:$110,93,0),0)*(1-C$309)</f>
        <v>0</v>
      </c>
      <c r="D163" s="1240">
        <f>+IFERROR(HLOOKUP(D29,'סקרי נכסים-יתרות פתיחה'!$2:$110,34,0),0)-IFERROR(HLOOKUP(D29,'סקרי נכסים-יתרות פתיחה'!$2:$110,93,0),0)*(1-D$309)</f>
        <v>0</v>
      </c>
      <c r="E163" s="1240">
        <f>+IFERROR(HLOOKUP(E29,'סקרי נכסים-יתרות פתיחה'!$2:$110,34,0),0)-IFERROR(HLOOKUP(E29,'סקרי נכסים-יתרות פתיחה'!$2:$110,93,0),0)*(1-E$309)</f>
        <v>0</v>
      </c>
      <c r="F163" s="1240">
        <f>+IFERROR(HLOOKUP(F29,'סקרי נכסים-יתרות פתיחה'!$2:$110,34,0),0)-IFERROR(HLOOKUP(F29,'סקרי נכסים-יתרות פתיחה'!$2:$110,93,0),0)*(1-F$309)</f>
        <v>0</v>
      </c>
      <c r="G163" s="1240">
        <f>+IFERROR(HLOOKUP(G29,'סקרי נכסים-יתרות פתיחה'!$2:$110,34,0),0)-IFERROR(HLOOKUP(G29,'סקרי נכסים-יתרות פתיחה'!$2:$110,93,0),0)*(1-G$309)</f>
        <v>0</v>
      </c>
      <c r="H163" s="1240">
        <f>+IFERROR(HLOOKUP(H29,'סקרי נכסים-יתרות פתיחה'!$2:$110,34,0),0)-IFERROR(HLOOKUP(H29,'סקרי נכסים-יתרות פתיחה'!$2:$110,93,0),0)*(1-H$309)</f>
        <v>0</v>
      </c>
      <c r="I163" s="1240">
        <f>+IFERROR(HLOOKUP(I29,'סקרי נכסים-יתרות פתיחה'!$2:$110,34,0),0)-IFERROR(HLOOKUP(I29,'סקרי נכסים-יתרות פתיחה'!$2:$110,93,0),0)*(1-I$309)</f>
        <v>0</v>
      </c>
      <c r="J163" s="1240">
        <f>+IFERROR(HLOOKUP(J29,'סקרי נכסים-יתרות פתיחה'!$2:$110,34,0),0)-IFERROR(HLOOKUP(J29,'סקרי נכסים-יתרות פתיחה'!$2:$110,93,0),0)*(1-J$309)</f>
        <v>0</v>
      </c>
      <c r="K163" s="1240">
        <f>+IFERROR(HLOOKUP(K29,'סקרי נכסים-יתרות פתיחה'!$2:$110,34,0),0)-IFERROR(HLOOKUP(K29,'סקרי נכסים-יתרות פתיחה'!$2:$110,93,0),0)*(1-K$309)</f>
        <v>0</v>
      </c>
      <c r="L163" s="1240">
        <f>+IFERROR(HLOOKUP(L29,'סקרי נכסים-יתרות פתיחה'!$2:$110,34,0),0)-IFERROR(HLOOKUP(L29,'סקרי נכסים-יתרות פתיחה'!$2:$110,93,0),0)*(1-L$309)</f>
        <v>0</v>
      </c>
      <c r="M163" s="1240">
        <f>+IFERROR(HLOOKUP(M29,'סקרי נכסים-יתרות פתיחה'!$2:$110,34,0),0)-IFERROR(HLOOKUP(M29,'סקרי נכסים-יתרות פתיחה'!$2:$110,93,0),0)*(1-M$309)</f>
        <v>0</v>
      </c>
      <c r="N163" s="1240">
        <f>+IFERROR(HLOOKUP(N29,'סקרי נכסים-יתרות פתיחה'!$2:$110,34,0),0)-IFERROR(HLOOKUP(N29,'סקרי נכסים-יתרות פתיחה'!$2:$110,93,0),0)*(1-N$309)</f>
        <v>0</v>
      </c>
      <c r="O163" s="1240">
        <f>+IFERROR(HLOOKUP(O29,'סקרי נכסים-יתרות פתיחה'!$2:$110,34,0),0)-IFERROR(HLOOKUP(O29,'סקרי נכסים-יתרות פתיחה'!$2:$110,93,0),0)*(1-O$309)</f>
        <v>0</v>
      </c>
      <c r="P163" s="1240">
        <f>+IFERROR(HLOOKUP(P29,'סקרי נכסים-יתרות פתיחה'!$2:$110,34,0),0)-IFERROR(HLOOKUP(P29,'סקרי נכסים-יתרות פתיחה'!$2:$110,93,0),0)*(1-P$309)</f>
        <v>0</v>
      </c>
      <c r="Q163" s="1240">
        <f>+IFERROR(HLOOKUP(Q29,'סקרי נכסים-יתרות פתיחה'!$2:$110,34,0),0)-IFERROR(HLOOKUP(Q29,'סקרי נכסים-יתרות פתיחה'!$2:$110,93,0),0)*(1-Q$309)</f>
        <v>0</v>
      </c>
      <c r="R163" s="1240">
        <f>+IFERROR(HLOOKUP(R29,'סקרי נכסים-יתרות פתיחה'!$2:$110,34,0),0)-IFERROR(HLOOKUP(R29,'סקרי נכסים-יתרות פתיחה'!$2:$110,93,0),0)*(1-R$309)</f>
        <v>0</v>
      </c>
      <c r="S163" s="1240">
        <f>+IFERROR(HLOOKUP(S29,'סקרי נכסים-יתרות פתיחה'!$2:$110,34,0),0)-IFERROR(HLOOKUP(S29,'סקרי נכסים-יתרות פתיחה'!$2:$110,93,0),0)*(1-S$309)</f>
        <v>0</v>
      </c>
      <c r="T163" s="1240">
        <f>+IFERROR(HLOOKUP(T29,'סקרי נכסים-יתרות פתיחה'!$2:$110,34,0),0)-IFERROR(HLOOKUP(T29,'סקרי נכסים-יתרות פתיחה'!$2:$110,93,0),0)*(1-T$309)</f>
        <v>0</v>
      </c>
      <c r="U163" s="1240">
        <f>+IFERROR(HLOOKUP(U29,'סקרי נכסים-יתרות פתיחה'!$2:$110,34,0),0)-IFERROR(HLOOKUP(U29,'סקרי נכסים-יתרות פתיחה'!$2:$110,93,0),0)*(1-U$309)</f>
        <v>0</v>
      </c>
      <c r="V163" s="1240">
        <f>+IFERROR(HLOOKUP(V29,'סקרי נכסים-יתרות פתיחה'!$2:$110,34,0),0)-IFERROR(HLOOKUP(V29,'סקרי נכסים-יתרות פתיחה'!$2:$110,93,0),0)*(1-V$309)</f>
        <v>0</v>
      </c>
      <c r="W163" s="1240">
        <f>+IFERROR(HLOOKUP(W29,'סקרי נכסים-יתרות פתיחה'!$2:$110,34,0),0)-IFERROR(HLOOKUP(W29,'סקרי נכסים-יתרות פתיחה'!$2:$110,93,0),0)*(1-W$309)</f>
        <v>0</v>
      </c>
      <c r="X163" s="1240">
        <f>+IFERROR(HLOOKUP(X29,'סקרי נכסים-יתרות פתיחה'!$2:$110,34,0),0)-IFERROR(HLOOKUP(X29,'סקרי נכסים-יתרות פתיחה'!$2:$110,93,0),0)*(1-X$309)</f>
        <v>0</v>
      </c>
      <c r="Y163" s="1240">
        <f>+IFERROR(HLOOKUP(Y29,'סקרי נכסים-יתרות פתיחה'!$2:$110,34,0),0)-IFERROR(HLOOKUP(Y29,'סקרי נכסים-יתרות פתיחה'!$2:$110,93,0),0)*(1-Y$309)</f>
        <v>0</v>
      </c>
      <c r="Z163" s="1240">
        <f>+IFERROR(HLOOKUP(Z29,'סקרי נכסים-יתרות פתיחה'!$2:$110,34,0),0)-IFERROR(HLOOKUP(Z29,'סקרי נכסים-יתרות פתיחה'!$2:$110,93,0),0)*(1-Z$309)</f>
        <v>0</v>
      </c>
      <c r="AA163" s="1240">
        <f>+IFERROR(HLOOKUP(AA29,'סקרי נכסים-יתרות פתיחה'!$2:$110,34,0),0)-IFERROR(HLOOKUP(AA29,'סקרי נכסים-יתרות פתיחה'!$2:$110,93,0),0)*(1-AA$309)</f>
        <v>0</v>
      </c>
      <c r="AB163" s="1240">
        <f>+IFERROR(HLOOKUP(AB29,'סקרי נכסים-יתרות פתיחה'!$2:$110,34,0),0)-IFERROR(HLOOKUP(AB29,'סקרי נכסים-יתרות פתיחה'!$2:$110,93,0),0)*(1-AB$309)</f>
        <v>0</v>
      </c>
      <c r="AC163" s="1240">
        <f>+IFERROR(HLOOKUP(AC29,'סקרי נכסים-יתרות פתיחה'!$2:$110,34,0),0)-IFERROR(HLOOKUP(AC29,'סקרי נכסים-יתרות פתיחה'!$2:$110,93,0),0)*(1-AC$309)</f>
        <v>0</v>
      </c>
      <c r="AD163" s="1240">
        <f>+IFERROR(HLOOKUP(AD29,'סקרי נכסים-יתרות פתיחה'!$2:$110,34,0),0)-IFERROR(HLOOKUP(AD29,'סקרי נכסים-יתרות פתיחה'!$2:$110,93,0),0)*(1-AD$309)</f>
        <v>0</v>
      </c>
      <c r="AE163" s="1240">
        <f>+IFERROR(HLOOKUP(AE29,'סקרי נכסים-יתרות פתיחה'!$2:$110,34,0),0)-IFERROR(HLOOKUP(AE29,'סקרי נכסים-יתרות פתיחה'!$2:$110,93,0),0)*(1-AE$309)</f>
        <v>0</v>
      </c>
      <c r="AF163" s="1240">
        <f>+IFERROR(HLOOKUP(AF29,'סקרי נכסים-יתרות פתיחה'!$2:$110,34,0),0)-IFERROR(HLOOKUP(AF29,'סקרי נכסים-יתרות פתיחה'!$2:$110,93,0),0)*(1-AF$309)</f>
        <v>0</v>
      </c>
      <c r="AG163" s="1240">
        <f>+IFERROR(HLOOKUP(AG29,'סקרי נכסים-יתרות פתיחה'!$2:$110,34,0),0)-IFERROR(HLOOKUP(AG29,'סקרי נכסים-יתרות פתיחה'!$2:$110,93,0),0)*(1-AG$309)</f>
        <v>0</v>
      </c>
      <c r="AH163" s="1240">
        <f>+IFERROR(HLOOKUP(AH29,'סקרי נכסים-יתרות פתיחה'!$2:$110,34,0),0)-IFERROR(HLOOKUP(AH29,'סקרי נכסים-יתרות פתיחה'!$2:$110,93,0),0)*(1-AH$309)</f>
        <v>0</v>
      </c>
      <c r="AI163" s="1240">
        <f>+IFERROR(HLOOKUP(AI29,'סקרי נכסים-יתרות פתיחה'!$2:$110,34,0),0)-IFERROR(HLOOKUP(AI29,'סקרי נכסים-יתרות פתיחה'!$2:$110,93,0),0)*(1-AI$309)</f>
        <v>0</v>
      </c>
      <c r="AJ163" s="1240">
        <f>+IFERROR(HLOOKUP(AJ29,'סקרי נכסים-יתרות פתיחה'!$2:$110,34,0),0)-IFERROR(HLOOKUP(AJ29,'סקרי נכסים-יתרות פתיחה'!$2:$110,93,0),0)*(1-AJ$309)</f>
        <v>0</v>
      </c>
      <c r="AK163" s="1240">
        <f>+IFERROR(HLOOKUP(AK29,'סקרי נכסים-יתרות פתיחה'!$2:$110,34,0),0)-IFERROR(HLOOKUP(AK29,'סקרי נכסים-יתרות פתיחה'!$2:$110,93,0),0)*(1-AK$309)</f>
        <v>0</v>
      </c>
      <c r="AL163" s="1240">
        <f>+IFERROR(HLOOKUP(AL29,'סקרי נכסים-יתרות פתיחה'!$2:$110,34,0),0)-IFERROR(HLOOKUP(AL29,'סקרי נכסים-יתרות פתיחה'!$2:$110,93,0),0)*(1-AL$309)</f>
        <v>0</v>
      </c>
      <c r="AM163" s="1240">
        <f>+IFERROR(HLOOKUP(AM29,'סקרי נכסים-יתרות פתיחה'!$2:$110,34,0),0)-IFERROR(HLOOKUP(AM29,'סקרי נכסים-יתרות פתיחה'!$2:$110,93,0),0)*(1-AM$309)</f>
        <v>0</v>
      </c>
      <c r="AN163" s="1240">
        <f>+IFERROR(HLOOKUP(AN29,'סקרי נכסים-יתרות פתיחה'!$2:$110,34,0),0)-IFERROR(HLOOKUP(AN29,'סקרי נכסים-יתרות פתיחה'!$2:$110,93,0),0)*(1-AN$309)</f>
        <v>0</v>
      </c>
      <c r="AO163" s="1240">
        <f>+IFERROR(HLOOKUP(AO29,'סקרי נכסים-יתרות פתיחה'!$2:$110,34,0),0)-IFERROR(HLOOKUP(AO29,'סקרי נכסים-יתרות פתיחה'!$2:$110,93,0),0)*(1-AO$309)</f>
        <v>0</v>
      </c>
      <c r="AP163" s="1240">
        <f>+IFERROR(HLOOKUP(AP29,'סקרי נכסים-יתרות פתיחה'!$2:$110,34,0),0)-IFERROR(HLOOKUP(AP29,'סקרי נכסים-יתרות פתיחה'!$2:$110,93,0),0)*(1-AP$309)</f>
        <v>0</v>
      </c>
      <c r="AQ163" s="1240">
        <f>+IFERROR(HLOOKUP(AQ29,'סקרי נכסים-יתרות פתיחה'!$2:$110,34,0),0)-IFERROR(HLOOKUP(AQ29,'סקרי נכסים-יתרות פתיחה'!$2:$110,93,0),0)*(1-AQ$309)</f>
        <v>0</v>
      </c>
      <c r="AR163" s="1240">
        <f>+IFERROR(HLOOKUP(AR29,'סקרי נכסים-יתרות פתיחה'!$2:$110,34,0),0)-IFERROR(HLOOKUP(AR29,'סקרי נכסים-יתרות פתיחה'!$2:$110,93,0),0)*(1-AR$309)</f>
        <v>0</v>
      </c>
      <c r="AS163" s="1240">
        <f>+IFERROR(HLOOKUP(AS29,'סקרי נכסים-יתרות פתיחה'!$2:$110,34,0),0)-IFERROR(HLOOKUP(AS29,'סקרי נכסים-יתרות פתיחה'!$2:$110,93,0),0)*(1-AS$309)</f>
        <v>0</v>
      </c>
      <c r="AT163" s="1240">
        <f>+IFERROR(HLOOKUP(AT29,'סקרי נכסים-יתרות פתיחה'!$2:$110,34,0),0)-IFERROR(HLOOKUP(AT29,'סקרי נכסים-יתרות פתיחה'!$2:$110,93,0),0)*(1-AT$309)</f>
        <v>0</v>
      </c>
      <c r="AU163" s="1240">
        <f>+IFERROR(HLOOKUP(AU29,'סקרי נכסים-יתרות פתיחה'!$2:$110,34,0),0)-IFERROR(HLOOKUP(AU29,'סקרי נכסים-יתרות פתיחה'!$2:$110,93,0),0)*(1-AU$309)</f>
        <v>0</v>
      </c>
      <c r="AV163" s="1240">
        <f>+IFERROR(HLOOKUP(AV29,'סקרי נכסים-יתרות פתיחה'!$2:$110,34,0),0)-IFERROR(HLOOKUP(AV29,'סקרי נכסים-יתרות פתיחה'!$2:$110,93,0),0)*(1-AV$309)</f>
        <v>0</v>
      </c>
      <c r="AW163" s="1240">
        <f>+IFERROR(HLOOKUP(AW29,'סקרי נכסים-יתרות פתיחה'!$2:$110,34,0),0)-IFERROR(HLOOKUP(AW29,'סקרי נכסים-יתרות פתיחה'!$2:$110,93,0),0)*(1-AW$309)</f>
        <v>0</v>
      </c>
      <c r="AX163" s="1240">
        <f>+IFERROR(HLOOKUP(AX29,'סקרי נכסים-יתרות פתיחה'!$2:$110,34,0),0)-IFERROR(HLOOKUP(AX29,'סקרי נכסים-יתרות פתיחה'!$2:$110,93,0),0)*(1-AX$309)</f>
        <v>0</v>
      </c>
      <c r="AY163" s="1240">
        <f>+IFERROR(HLOOKUP(AY29,'סקרי נכסים-יתרות פתיחה'!$2:$110,34,0),0)-IFERROR(HLOOKUP(AY29,'סקרי נכסים-יתרות פתיחה'!$2:$110,93,0),0)*(1-AY$309)</f>
        <v>0</v>
      </c>
      <c r="AZ163" s="1240">
        <f>+IFERROR(HLOOKUP(AZ29,'סקרי נכסים-יתרות פתיחה'!$2:$110,34,0),0)-IFERROR(HLOOKUP(AZ29,'סקרי נכסים-יתרות פתיחה'!$2:$110,93,0),0)*(1-AZ$309)</f>
        <v>0</v>
      </c>
      <c r="BA163" s="1240">
        <f>+IFERROR(HLOOKUP(BA29,'סקרי נכסים-יתרות פתיחה'!$2:$110,34,0),0)-IFERROR(HLOOKUP(BA29,'סקרי נכסים-יתרות פתיחה'!$2:$110,93,0),0)*(1-BA$309)</f>
        <v>0</v>
      </c>
      <c r="BB163" s="1240">
        <f>+IFERROR(HLOOKUP(BB29,'סקרי נכסים-יתרות פתיחה'!$2:$110,34,0),0)-IFERROR(HLOOKUP(BB29,'סקרי נכסים-יתרות פתיחה'!$2:$110,93,0),0)*(1-BB$309)</f>
        <v>0</v>
      </c>
      <c r="BC163" s="1240">
        <f>+IFERROR(HLOOKUP(BC29,'סקרי נכסים-יתרות פתיחה'!$2:$110,34,0),0)-IFERROR(HLOOKUP(BC29,'סקרי נכסים-יתרות פתיחה'!$2:$110,93,0),0)*(1-BC$309)</f>
        <v>0</v>
      </c>
      <c r="BD163" s="1240">
        <f>+IFERROR(HLOOKUP(BD29,'סקרי נכסים-יתרות פתיחה'!$2:$110,34,0),0)-IFERROR(HLOOKUP(BD29,'סקרי נכסים-יתרות פתיחה'!$2:$110,93,0),0)*(1-BD$309)</f>
        <v>0</v>
      </c>
      <c r="BE163" s="1240">
        <f>+IFERROR(HLOOKUP(BE29,'סקרי נכסים-יתרות פתיחה'!$2:$110,34,0),0)-IFERROR(HLOOKUP(BE29,'סקרי נכסים-יתרות פתיחה'!$2:$110,93,0),0)*(1-BE$309)</f>
        <v>0</v>
      </c>
      <c r="BF163" s="1240">
        <f>+IFERROR(HLOOKUP(BF29,'סקרי נכסים-יתרות פתיחה'!$2:$110,34,0),0)-IFERROR(HLOOKUP(BF29,'סקרי נכסים-יתרות פתיחה'!$2:$110,93,0),0)*(1-BF$309)</f>
        <v>0</v>
      </c>
    </row>
    <row r="164" spans="1:61" x14ac:dyDescent="0.2">
      <c r="B164" s="1">
        <v>27</v>
      </c>
      <c r="C164" s="1240">
        <f>+IFERROR(HLOOKUP(C30,'סקרי נכסים-יתרות פתיחה'!$2:$110,34,0),0)-IFERROR(HLOOKUP(C30,'סקרי נכסים-יתרות פתיחה'!$2:$110,93,0),0)*(1-C$309)</f>
        <v>0</v>
      </c>
      <c r="D164" s="1240">
        <f>+IFERROR(HLOOKUP(D30,'סקרי נכסים-יתרות פתיחה'!$2:$110,34,0),0)-IFERROR(HLOOKUP(D30,'סקרי נכסים-יתרות פתיחה'!$2:$110,93,0),0)*(1-D$309)</f>
        <v>0</v>
      </c>
      <c r="E164" s="1240">
        <f>+IFERROR(HLOOKUP(E30,'סקרי נכסים-יתרות פתיחה'!$2:$110,34,0),0)-IFERROR(HLOOKUP(E30,'סקרי נכסים-יתרות פתיחה'!$2:$110,93,0),0)*(1-E$309)</f>
        <v>0</v>
      </c>
      <c r="F164" s="1240">
        <f>+IFERROR(HLOOKUP(F30,'סקרי נכסים-יתרות פתיחה'!$2:$110,34,0),0)-IFERROR(HLOOKUP(F30,'סקרי נכסים-יתרות פתיחה'!$2:$110,93,0),0)*(1-F$309)</f>
        <v>0</v>
      </c>
      <c r="G164" s="1240">
        <f>+IFERROR(HLOOKUP(G30,'סקרי נכסים-יתרות פתיחה'!$2:$110,34,0),0)-IFERROR(HLOOKUP(G30,'סקרי נכסים-יתרות פתיחה'!$2:$110,93,0),0)*(1-G$309)</f>
        <v>0</v>
      </c>
      <c r="H164" s="1240">
        <f>+IFERROR(HLOOKUP(H30,'סקרי נכסים-יתרות פתיחה'!$2:$110,34,0),0)-IFERROR(HLOOKUP(H30,'סקרי נכסים-יתרות פתיחה'!$2:$110,93,0),0)*(1-H$309)</f>
        <v>0</v>
      </c>
      <c r="I164" s="1240">
        <f>+IFERROR(HLOOKUP(I30,'סקרי נכסים-יתרות פתיחה'!$2:$110,34,0),0)-IFERROR(HLOOKUP(I30,'סקרי נכסים-יתרות פתיחה'!$2:$110,93,0),0)*(1-I$309)</f>
        <v>0</v>
      </c>
      <c r="J164" s="1240">
        <f>+IFERROR(HLOOKUP(J30,'סקרי נכסים-יתרות פתיחה'!$2:$110,34,0),0)-IFERROR(HLOOKUP(J30,'סקרי נכסים-יתרות פתיחה'!$2:$110,93,0),0)*(1-J$309)</f>
        <v>0</v>
      </c>
      <c r="K164" s="1240">
        <f>+IFERROR(HLOOKUP(K30,'סקרי נכסים-יתרות פתיחה'!$2:$110,34,0),0)-IFERROR(HLOOKUP(K30,'סקרי נכסים-יתרות פתיחה'!$2:$110,93,0),0)*(1-K$309)</f>
        <v>0</v>
      </c>
      <c r="L164" s="1240">
        <f>+IFERROR(HLOOKUP(L30,'סקרי נכסים-יתרות פתיחה'!$2:$110,34,0),0)-IFERROR(HLOOKUP(L30,'סקרי נכסים-יתרות פתיחה'!$2:$110,93,0),0)*(1-L$309)</f>
        <v>0</v>
      </c>
      <c r="M164" s="1240">
        <f>+IFERROR(HLOOKUP(M30,'סקרי נכסים-יתרות פתיחה'!$2:$110,34,0),0)-IFERROR(HLOOKUP(M30,'סקרי נכסים-יתרות פתיחה'!$2:$110,93,0),0)*(1-M$309)</f>
        <v>0</v>
      </c>
      <c r="N164" s="1240">
        <f>+IFERROR(HLOOKUP(N30,'סקרי נכסים-יתרות פתיחה'!$2:$110,34,0),0)-IFERROR(HLOOKUP(N30,'סקרי נכסים-יתרות פתיחה'!$2:$110,93,0),0)*(1-N$309)</f>
        <v>0</v>
      </c>
      <c r="O164" s="1240">
        <f>+IFERROR(HLOOKUP(O30,'סקרי נכסים-יתרות פתיחה'!$2:$110,34,0),0)-IFERROR(HLOOKUP(O30,'סקרי נכסים-יתרות פתיחה'!$2:$110,93,0),0)*(1-O$309)</f>
        <v>0</v>
      </c>
      <c r="P164" s="1240">
        <f>+IFERROR(HLOOKUP(P30,'סקרי נכסים-יתרות פתיחה'!$2:$110,34,0),0)-IFERROR(HLOOKUP(P30,'סקרי נכסים-יתרות פתיחה'!$2:$110,93,0),0)*(1-P$309)</f>
        <v>0</v>
      </c>
      <c r="Q164" s="1240">
        <f>+IFERROR(HLOOKUP(Q30,'סקרי נכסים-יתרות פתיחה'!$2:$110,34,0),0)-IFERROR(HLOOKUP(Q30,'סקרי נכסים-יתרות פתיחה'!$2:$110,93,0),0)*(1-Q$309)</f>
        <v>0</v>
      </c>
      <c r="R164" s="1240">
        <f>+IFERROR(HLOOKUP(R30,'סקרי נכסים-יתרות פתיחה'!$2:$110,34,0),0)-IFERROR(HLOOKUP(R30,'סקרי נכסים-יתרות פתיחה'!$2:$110,93,0),0)*(1-R$309)</f>
        <v>0</v>
      </c>
      <c r="S164" s="1240">
        <f>+IFERROR(HLOOKUP(S30,'סקרי נכסים-יתרות פתיחה'!$2:$110,34,0),0)-IFERROR(HLOOKUP(S30,'סקרי נכסים-יתרות פתיחה'!$2:$110,93,0),0)*(1-S$309)</f>
        <v>0</v>
      </c>
      <c r="T164" s="1240">
        <f>+IFERROR(HLOOKUP(T30,'סקרי נכסים-יתרות פתיחה'!$2:$110,34,0),0)-IFERROR(HLOOKUP(T30,'סקרי נכסים-יתרות פתיחה'!$2:$110,93,0),0)*(1-T$309)</f>
        <v>0</v>
      </c>
      <c r="U164" s="1240">
        <f>+IFERROR(HLOOKUP(U30,'סקרי נכסים-יתרות פתיחה'!$2:$110,34,0),0)-IFERROR(HLOOKUP(U30,'סקרי נכסים-יתרות פתיחה'!$2:$110,93,0),0)*(1-U$309)</f>
        <v>0</v>
      </c>
      <c r="V164" s="1240">
        <f>+IFERROR(HLOOKUP(V30,'סקרי נכסים-יתרות פתיחה'!$2:$110,34,0),0)-IFERROR(HLOOKUP(V30,'סקרי נכסים-יתרות פתיחה'!$2:$110,93,0),0)*(1-V$309)</f>
        <v>0</v>
      </c>
      <c r="W164" s="1240">
        <f>+IFERROR(HLOOKUP(W30,'סקרי נכסים-יתרות פתיחה'!$2:$110,34,0),0)-IFERROR(HLOOKUP(W30,'סקרי נכסים-יתרות פתיחה'!$2:$110,93,0),0)*(1-W$309)</f>
        <v>0</v>
      </c>
      <c r="X164" s="1240">
        <f>+IFERROR(HLOOKUP(X30,'סקרי נכסים-יתרות פתיחה'!$2:$110,34,0),0)-IFERROR(HLOOKUP(X30,'סקרי נכסים-יתרות פתיחה'!$2:$110,93,0),0)*(1-X$309)</f>
        <v>0</v>
      </c>
      <c r="Y164" s="1240">
        <f>+IFERROR(HLOOKUP(Y30,'סקרי נכסים-יתרות פתיחה'!$2:$110,34,0),0)-IFERROR(HLOOKUP(Y30,'סקרי נכסים-יתרות פתיחה'!$2:$110,93,0),0)*(1-Y$309)</f>
        <v>0</v>
      </c>
      <c r="Z164" s="1240">
        <f>+IFERROR(HLOOKUP(Z30,'סקרי נכסים-יתרות פתיחה'!$2:$110,34,0),0)-IFERROR(HLOOKUP(Z30,'סקרי נכסים-יתרות פתיחה'!$2:$110,93,0),0)*(1-Z$309)</f>
        <v>0</v>
      </c>
      <c r="AA164" s="1240">
        <f>+IFERROR(HLOOKUP(AA30,'סקרי נכסים-יתרות פתיחה'!$2:$110,34,0),0)-IFERROR(HLOOKUP(AA30,'סקרי נכסים-יתרות פתיחה'!$2:$110,93,0),0)*(1-AA$309)</f>
        <v>0</v>
      </c>
      <c r="AB164" s="1240">
        <f>+IFERROR(HLOOKUP(AB30,'סקרי נכסים-יתרות פתיחה'!$2:$110,34,0),0)-IFERROR(HLOOKUP(AB30,'סקרי נכסים-יתרות פתיחה'!$2:$110,93,0),0)*(1-AB$309)</f>
        <v>0</v>
      </c>
      <c r="AC164" s="1240">
        <f>+IFERROR(HLOOKUP(AC30,'סקרי נכסים-יתרות פתיחה'!$2:$110,34,0),0)-IFERROR(HLOOKUP(AC30,'סקרי נכסים-יתרות פתיחה'!$2:$110,93,0),0)*(1-AC$309)</f>
        <v>0</v>
      </c>
      <c r="AD164" s="1240">
        <f>+IFERROR(HLOOKUP(AD30,'סקרי נכסים-יתרות פתיחה'!$2:$110,34,0),0)-IFERROR(HLOOKUP(AD30,'סקרי נכסים-יתרות פתיחה'!$2:$110,93,0),0)*(1-AD$309)</f>
        <v>0</v>
      </c>
      <c r="AE164" s="1240">
        <f>+IFERROR(HLOOKUP(AE30,'סקרי נכסים-יתרות פתיחה'!$2:$110,34,0),0)-IFERROR(HLOOKUP(AE30,'סקרי נכסים-יתרות פתיחה'!$2:$110,93,0),0)*(1-AE$309)</f>
        <v>0</v>
      </c>
      <c r="AF164" s="1240">
        <f>+IFERROR(HLOOKUP(AF30,'סקרי נכסים-יתרות פתיחה'!$2:$110,34,0),0)-IFERROR(HLOOKUP(AF30,'סקרי נכסים-יתרות פתיחה'!$2:$110,93,0),0)*(1-AF$309)</f>
        <v>0</v>
      </c>
      <c r="AG164" s="1240">
        <f>+IFERROR(HLOOKUP(AG30,'סקרי נכסים-יתרות פתיחה'!$2:$110,34,0),0)-IFERROR(HLOOKUP(AG30,'סקרי נכסים-יתרות פתיחה'!$2:$110,93,0),0)*(1-AG$309)</f>
        <v>0</v>
      </c>
      <c r="AH164" s="1240">
        <f>+IFERROR(HLOOKUP(AH30,'סקרי נכסים-יתרות פתיחה'!$2:$110,34,0),0)-IFERROR(HLOOKUP(AH30,'סקרי נכסים-יתרות פתיחה'!$2:$110,93,0),0)*(1-AH$309)</f>
        <v>0</v>
      </c>
      <c r="AI164" s="1240">
        <f>+IFERROR(HLOOKUP(AI30,'סקרי נכסים-יתרות פתיחה'!$2:$110,34,0),0)-IFERROR(HLOOKUP(AI30,'סקרי נכסים-יתרות פתיחה'!$2:$110,93,0),0)*(1-AI$309)</f>
        <v>0</v>
      </c>
      <c r="AJ164" s="1240">
        <f>+IFERROR(HLOOKUP(AJ30,'סקרי נכסים-יתרות פתיחה'!$2:$110,34,0),0)-IFERROR(HLOOKUP(AJ30,'סקרי נכסים-יתרות פתיחה'!$2:$110,93,0),0)*(1-AJ$309)</f>
        <v>0</v>
      </c>
      <c r="AK164" s="1240">
        <f>+IFERROR(HLOOKUP(AK30,'סקרי נכסים-יתרות פתיחה'!$2:$110,34,0),0)-IFERROR(HLOOKUP(AK30,'סקרי נכסים-יתרות פתיחה'!$2:$110,93,0),0)*(1-AK$309)</f>
        <v>0</v>
      </c>
      <c r="AL164" s="1240">
        <f>+IFERROR(HLOOKUP(AL30,'סקרי נכסים-יתרות פתיחה'!$2:$110,34,0),0)-IFERROR(HLOOKUP(AL30,'סקרי נכסים-יתרות פתיחה'!$2:$110,93,0),0)*(1-AL$309)</f>
        <v>0</v>
      </c>
      <c r="AM164" s="1240">
        <f>+IFERROR(HLOOKUP(AM30,'סקרי נכסים-יתרות פתיחה'!$2:$110,34,0),0)-IFERROR(HLOOKUP(AM30,'סקרי נכסים-יתרות פתיחה'!$2:$110,93,0),0)*(1-AM$309)</f>
        <v>0</v>
      </c>
      <c r="AN164" s="1240">
        <f>+IFERROR(HLOOKUP(AN30,'סקרי נכסים-יתרות פתיחה'!$2:$110,34,0),0)-IFERROR(HLOOKUP(AN30,'סקרי נכסים-יתרות פתיחה'!$2:$110,93,0),0)*(1-AN$309)</f>
        <v>0</v>
      </c>
      <c r="AO164" s="1240">
        <f>+IFERROR(HLOOKUP(AO30,'סקרי נכסים-יתרות פתיחה'!$2:$110,34,0),0)-IFERROR(HLOOKUP(AO30,'סקרי נכסים-יתרות פתיחה'!$2:$110,93,0),0)*(1-AO$309)</f>
        <v>0</v>
      </c>
      <c r="AP164" s="1240">
        <f>+IFERROR(HLOOKUP(AP30,'סקרי נכסים-יתרות פתיחה'!$2:$110,34,0),0)-IFERROR(HLOOKUP(AP30,'סקרי נכסים-יתרות פתיחה'!$2:$110,93,0),0)*(1-AP$309)</f>
        <v>0</v>
      </c>
      <c r="AQ164" s="1240">
        <f>+IFERROR(HLOOKUP(AQ30,'סקרי נכסים-יתרות פתיחה'!$2:$110,34,0),0)-IFERROR(HLOOKUP(AQ30,'סקרי נכסים-יתרות פתיחה'!$2:$110,93,0),0)*(1-AQ$309)</f>
        <v>0</v>
      </c>
      <c r="AR164" s="1240">
        <f>+IFERROR(HLOOKUP(AR30,'סקרי נכסים-יתרות פתיחה'!$2:$110,34,0),0)-IFERROR(HLOOKUP(AR30,'סקרי נכסים-יתרות פתיחה'!$2:$110,93,0),0)*(1-AR$309)</f>
        <v>0</v>
      </c>
      <c r="AS164" s="1240">
        <f>+IFERROR(HLOOKUP(AS30,'סקרי נכסים-יתרות פתיחה'!$2:$110,34,0),0)-IFERROR(HLOOKUP(AS30,'סקרי נכסים-יתרות פתיחה'!$2:$110,93,0),0)*(1-AS$309)</f>
        <v>0</v>
      </c>
      <c r="AT164" s="1240">
        <f>+IFERROR(HLOOKUP(AT30,'סקרי נכסים-יתרות פתיחה'!$2:$110,34,0),0)-IFERROR(HLOOKUP(AT30,'סקרי נכסים-יתרות פתיחה'!$2:$110,93,0),0)*(1-AT$309)</f>
        <v>0</v>
      </c>
      <c r="AU164" s="1240">
        <f>+IFERROR(HLOOKUP(AU30,'סקרי נכסים-יתרות פתיחה'!$2:$110,34,0),0)-IFERROR(HLOOKUP(AU30,'סקרי נכסים-יתרות פתיחה'!$2:$110,93,0),0)*(1-AU$309)</f>
        <v>0</v>
      </c>
      <c r="AV164" s="1240">
        <f>+IFERROR(HLOOKUP(AV30,'סקרי נכסים-יתרות פתיחה'!$2:$110,34,0),0)-IFERROR(HLOOKUP(AV30,'סקרי נכסים-יתרות פתיחה'!$2:$110,93,0),0)*(1-AV$309)</f>
        <v>0</v>
      </c>
      <c r="AW164" s="1240">
        <f>+IFERROR(HLOOKUP(AW30,'סקרי נכסים-יתרות פתיחה'!$2:$110,34,0),0)-IFERROR(HLOOKUP(AW30,'סקרי נכסים-יתרות פתיחה'!$2:$110,93,0),0)*(1-AW$309)</f>
        <v>0</v>
      </c>
      <c r="AX164" s="1240">
        <f>+IFERROR(HLOOKUP(AX30,'סקרי נכסים-יתרות פתיחה'!$2:$110,34,0),0)-IFERROR(HLOOKUP(AX30,'סקרי נכסים-יתרות פתיחה'!$2:$110,93,0),0)*(1-AX$309)</f>
        <v>0</v>
      </c>
      <c r="AY164" s="1240">
        <f>+IFERROR(HLOOKUP(AY30,'סקרי נכסים-יתרות פתיחה'!$2:$110,34,0),0)-IFERROR(HLOOKUP(AY30,'סקרי נכסים-יתרות פתיחה'!$2:$110,93,0),0)*(1-AY$309)</f>
        <v>0</v>
      </c>
      <c r="AZ164" s="1240">
        <f>+IFERROR(HLOOKUP(AZ30,'סקרי נכסים-יתרות פתיחה'!$2:$110,34,0),0)-IFERROR(HLOOKUP(AZ30,'סקרי נכסים-יתרות פתיחה'!$2:$110,93,0),0)*(1-AZ$309)</f>
        <v>0</v>
      </c>
      <c r="BA164" s="1240">
        <f>+IFERROR(HLOOKUP(BA30,'סקרי נכסים-יתרות פתיחה'!$2:$110,34,0),0)-IFERROR(HLOOKUP(BA30,'סקרי נכסים-יתרות פתיחה'!$2:$110,93,0),0)*(1-BA$309)</f>
        <v>0</v>
      </c>
      <c r="BB164" s="1240">
        <f>+IFERROR(HLOOKUP(BB30,'סקרי נכסים-יתרות פתיחה'!$2:$110,34,0),0)-IFERROR(HLOOKUP(BB30,'סקרי נכסים-יתרות פתיחה'!$2:$110,93,0),0)*(1-BB$309)</f>
        <v>0</v>
      </c>
      <c r="BC164" s="1240">
        <f>+IFERROR(HLOOKUP(BC30,'סקרי נכסים-יתרות פתיחה'!$2:$110,34,0),0)-IFERROR(HLOOKUP(BC30,'סקרי נכסים-יתרות פתיחה'!$2:$110,93,0),0)*(1-BC$309)</f>
        <v>0</v>
      </c>
      <c r="BD164" s="1240">
        <f>+IFERROR(HLOOKUP(BD30,'סקרי נכסים-יתרות פתיחה'!$2:$110,34,0),0)-IFERROR(HLOOKUP(BD30,'סקרי נכסים-יתרות פתיחה'!$2:$110,93,0),0)*(1-BD$309)</f>
        <v>0</v>
      </c>
      <c r="BE164" s="1240">
        <f>+IFERROR(HLOOKUP(BE30,'סקרי נכסים-יתרות פתיחה'!$2:$110,34,0),0)-IFERROR(HLOOKUP(BE30,'סקרי נכסים-יתרות פתיחה'!$2:$110,93,0),0)*(1-BE$309)</f>
        <v>0</v>
      </c>
      <c r="BF164" s="1240">
        <f>+IFERROR(HLOOKUP(BF30,'סקרי נכסים-יתרות פתיחה'!$2:$110,34,0),0)-IFERROR(HLOOKUP(BF30,'סקרי נכסים-יתרות פתיחה'!$2:$110,93,0),0)*(1-BF$309)</f>
        <v>0</v>
      </c>
    </row>
    <row r="165" spans="1:61" x14ac:dyDescent="0.2">
      <c r="B165" s="1">
        <v>28</v>
      </c>
      <c r="C165" s="1240">
        <f>+IFERROR(HLOOKUP(C31,'סקרי נכסים-יתרות פתיחה'!$2:$110,34,0),0)-IFERROR(HLOOKUP(C31,'סקרי נכסים-יתרות פתיחה'!$2:$110,93,0),0)*(1-C$309)</f>
        <v>0</v>
      </c>
      <c r="D165" s="1240">
        <f>+IFERROR(HLOOKUP(D31,'סקרי נכסים-יתרות פתיחה'!$2:$110,34,0),0)-IFERROR(HLOOKUP(D31,'סקרי נכסים-יתרות פתיחה'!$2:$110,93,0),0)*(1-D$309)</f>
        <v>0</v>
      </c>
      <c r="E165" s="1240">
        <f>+IFERROR(HLOOKUP(E31,'סקרי נכסים-יתרות פתיחה'!$2:$110,34,0),0)-IFERROR(HLOOKUP(E31,'סקרי נכסים-יתרות פתיחה'!$2:$110,93,0),0)*(1-E$309)</f>
        <v>0</v>
      </c>
      <c r="F165" s="1240">
        <f>+IFERROR(HLOOKUP(F31,'סקרי נכסים-יתרות פתיחה'!$2:$110,34,0),0)-IFERROR(HLOOKUP(F31,'סקרי נכסים-יתרות פתיחה'!$2:$110,93,0),0)*(1-F$309)</f>
        <v>0</v>
      </c>
      <c r="G165" s="1240">
        <f>+IFERROR(HLOOKUP(G31,'סקרי נכסים-יתרות פתיחה'!$2:$110,34,0),0)-IFERROR(HLOOKUP(G31,'סקרי נכסים-יתרות פתיחה'!$2:$110,93,0),0)*(1-G$309)</f>
        <v>0</v>
      </c>
      <c r="H165" s="1240">
        <f>+IFERROR(HLOOKUP(H31,'סקרי נכסים-יתרות פתיחה'!$2:$110,34,0),0)-IFERROR(HLOOKUP(H31,'סקרי נכסים-יתרות פתיחה'!$2:$110,93,0),0)*(1-H$309)</f>
        <v>0</v>
      </c>
      <c r="I165" s="1240">
        <f>+IFERROR(HLOOKUP(I31,'סקרי נכסים-יתרות פתיחה'!$2:$110,34,0),0)-IFERROR(HLOOKUP(I31,'סקרי נכסים-יתרות פתיחה'!$2:$110,93,0),0)*(1-I$309)</f>
        <v>0</v>
      </c>
      <c r="J165" s="1240">
        <f>+IFERROR(HLOOKUP(J31,'סקרי נכסים-יתרות פתיחה'!$2:$110,34,0),0)-IFERROR(HLOOKUP(J31,'סקרי נכסים-יתרות פתיחה'!$2:$110,93,0),0)*(1-J$309)</f>
        <v>0</v>
      </c>
      <c r="K165" s="1240">
        <f>+IFERROR(HLOOKUP(K31,'סקרי נכסים-יתרות פתיחה'!$2:$110,34,0),0)-IFERROR(HLOOKUP(K31,'סקרי נכסים-יתרות פתיחה'!$2:$110,93,0),0)*(1-K$309)</f>
        <v>0</v>
      </c>
      <c r="L165" s="1240">
        <f>+IFERROR(HLOOKUP(L31,'סקרי נכסים-יתרות פתיחה'!$2:$110,34,0),0)-IFERROR(HLOOKUP(L31,'סקרי נכסים-יתרות פתיחה'!$2:$110,93,0),0)*(1-L$309)</f>
        <v>0</v>
      </c>
      <c r="M165" s="1240">
        <f>+IFERROR(HLOOKUP(M31,'סקרי נכסים-יתרות פתיחה'!$2:$110,34,0),0)-IFERROR(HLOOKUP(M31,'סקרי נכסים-יתרות פתיחה'!$2:$110,93,0),0)*(1-M$309)</f>
        <v>0</v>
      </c>
      <c r="N165" s="1240">
        <f>+IFERROR(HLOOKUP(N31,'סקרי נכסים-יתרות פתיחה'!$2:$110,34,0),0)-IFERROR(HLOOKUP(N31,'סקרי נכסים-יתרות פתיחה'!$2:$110,93,0),0)*(1-N$309)</f>
        <v>0</v>
      </c>
      <c r="O165" s="1240">
        <f>+IFERROR(HLOOKUP(O31,'סקרי נכסים-יתרות פתיחה'!$2:$110,34,0),0)-IFERROR(HLOOKUP(O31,'סקרי נכסים-יתרות פתיחה'!$2:$110,93,0),0)*(1-O$309)</f>
        <v>0</v>
      </c>
      <c r="P165" s="1240">
        <f>+IFERROR(HLOOKUP(P31,'סקרי נכסים-יתרות פתיחה'!$2:$110,34,0),0)-IFERROR(HLOOKUP(P31,'סקרי נכסים-יתרות פתיחה'!$2:$110,93,0),0)*(1-P$309)</f>
        <v>0</v>
      </c>
      <c r="Q165" s="1240">
        <f>+IFERROR(HLOOKUP(Q31,'סקרי נכסים-יתרות פתיחה'!$2:$110,34,0),0)-IFERROR(HLOOKUP(Q31,'סקרי נכסים-יתרות פתיחה'!$2:$110,93,0),0)*(1-Q$309)</f>
        <v>0</v>
      </c>
      <c r="R165" s="1240">
        <f>+IFERROR(HLOOKUP(R31,'סקרי נכסים-יתרות פתיחה'!$2:$110,34,0),0)-IFERROR(HLOOKUP(R31,'סקרי נכסים-יתרות פתיחה'!$2:$110,93,0),0)*(1-R$309)</f>
        <v>0</v>
      </c>
      <c r="S165" s="1240">
        <f>+IFERROR(HLOOKUP(S31,'סקרי נכסים-יתרות פתיחה'!$2:$110,34,0),0)-IFERROR(HLOOKUP(S31,'סקרי נכסים-יתרות פתיחה'!$2:$110,93,0),0)*(1-S$309)</f>
        <v>0</v>
      </c>
      <c r="T165" s="1240">
        <f>+IFERROR(HLOOKUP(T31,'סקרי נכסים-יתרות פתיחה'!$2:$110,34,0),0)-IFERROR(HLOOKUP(T31,'סקרי נכסים-יתרות פתיחה'!$2:$110,93,0),0)*(1-T$309)</f>
        <v>0</v>
      </c>
      <c r="U165" s="1240">
        <f>+IFERROR(HLOOKUP(U31,'סקרי נכסים-יתרות פתיחה'!$2:$110,34,0),0)-IFERROR(HLOOKUP(U31,'סקרי נכסים-יתרות פתיחה'!$2:$110,93,0),0)*(1-U$309)</f>
        <v>0</v>
      </c>
      <c r="V165" s="1240">
        <f>+IFERROR(HLOOKUP(V31,'סקרי נכסים-יתרות פתיחה'!$2:$110,34,0),0)-IFERROR(HLOOKUP(V31,'סקרי נכסים-יתרות פתיחה'!$2:$110,93,0),0)*(1-V$309)</f>
        <v>0</v>
      </c>
      <c r="W165" s="1240">
        <f>+IFERROR(HLOOKUP(W31,'סקרי נכסים-יתרות פתיחה'!$2:$110,34,0),0)-IFERROR(HLOOKUP(W31,'סקרי נכסים-יתרות פתיחה'!$2:$110,93,0),0)*(1-W$309)</f>
        <v>0</v>
      </c>
      <c r="X165" s="1240">
        <f>+IFERROR(HLOOKUP(X31,'סקרי נכסים-יתרות פתיחה'!$2:$110,34,0),0)-IFERROR(HLOOKUP(X31,'סקרי נכסים-יתרות פתיחה'!$2:$110,93,0),0)*(1-X$309)</f>
        <v>0</v>
      </c>
      <c r="Y165" s="1240">
        <f>+IFERROR(HLOOKUP(Y31,'סקרי נכסים-יתרות פתיחה'!$2:$110,34,0),0)-IFERROR(HLOOKUP(Y31,'סקרי נכסים-יתרות פתיחה'!$2:$110,93,0),0)*(1-Y$309)</f>
        <v>0</v>
      </c>
      <c r="Z165" s="1240">
        <f>+IFERROR(HLOOKUP(Z31,'סקרי נכסים-יתרות פתיחה'!$2:$110,34,0),0)-IFERROR(HLOOKUP(Z31,'סקרי נכסים-יתרות פתיחה'!$2:$110,93,0),0)*(1-Z$309)</f>
        <v>0</v>
      </c>
      <c r="AA165" s="1240">
        <f>+IFERROR(HLOOKUP(AA31,'סקרי נכסים-יתרות פתיחה'!$2:$110,34,0),0)-IFERROR(HLOOKUP(AA31,'סקרי נכסים-יתרות פתיחה'!$2:$110,93,0),0)*(1-AA$309)</f>
        <v>0</v>
      </c>
      <c r="AB165" s="1240">
        <f>+IFERROR(HLOOKUP(AB31,'סקרי נכסים-יתרות פתיחה'!$2:$110,34,0),0)-IFERROR(HLOOKUP(AB31,'סקרי נכסים-יתרות פתיחה'!$2:$110,93,0),0)*(1-AB$309)</f>
        <v>0</v>
      </c>
      <c r="AC165" s="1240">
        <f>+IFERROR(HLOOKUP(AC31,'סקרי נכסים-יתרות פתיחה'!$2:$110,34,0),0)-IFERROR(HLOOKUP(AC31,'סקרי נכסים-יתרות פתיחה'!$2:$110,93,0),0)*(1-AC$309)</f>
        <v>0</v>
      </c>
      <c r="AD165" s="1240">
        <f>+IFERROR(HLOOKUP(AD31,'סקרי נכסים-יתרות פתיחה'!$2:$110,34,0),0)-IFERROR(HLOOKUP(AD31,'סקרי נכסים-יתרות פתיחה'!$2:$110,93,0),0)*(1-AD$309)</f>
        <v>0</v>
      </c>
      <c r="AE165" s="1240">
        <f>+IFERROR(HLOOKUP(AE31,'סקרי נכסים-יתרות פתיחה'!$2:$110,34,0),0)-IFERROR(HLOOKUP(AE31,'סקרי נכסים-יתרות פתיחה'!$2:$110,93,0),0)*(1-AE$309)</f>
        <v>0</v>
      </c>
      <c r="AF165" s="1240">
        <f>+IFERROR(HLOOKUP(AF31,'סקרי נכסים-יתרות פתיחה'!$2:$110,34,0),0)-IFERROR(HLOOKUP(AF31,'סקרי נכסים-יתרות פתיחה'!$2:$110,93,0),0)*(1-AF$309)</f>
        <v>0</v>
      </c>
      <c r="AG165" s="1240">
        <f>+IFERROR(HLOOKUP(AG31,'סקרי נכסים-יתרות פתיחה'!$2:$110,34,0),0)-IFERROR(HLOOKUP(AG31,'סקרי נכסים-יתרות פתיחה'!$2:$110,93,0),0)*(1-AG$309)</f>
        <v>0</v>
      </c>
      <c r="AH165" s="1240">
        <f>+IFERROR(HLOOKUP(AH31,'סקרי נכסים-יתרות פתיחה'!$2:$110,34,0),0)-IFERROR(HLOOKUP(AH31,'סקרי נכסים-יתרות פתיחה'!$2:$110,93,0),0)*(1-AH$309)</f>
        <v>0</v>
      </c>
      <c r="AI165" s="1240">
        <f>+IFERROR(HLOOKUP(AI31,'סקרי נכסים-יתרות פתיחה'!$2:$110,34,0),0)-IFERROR(HLOOKUP(AI31,'סקרי נכסים-יתרות פתיחה'!$2:$110,93,0),0)*(1-AI$309)</f>
        <v>0</v>
      </c>
      <c r="AJ165" s="1240">
        <f>+IFERROR(HLOOKUP(AJ31,'סקרי נכסים-יתרות פתיחה'!$2:$110,34,0),0)-IFERROR(HLOOKUP(AJ31,'סקרי נכסים-יתרות פתיחה'!$2:$110,93,0),0)*(1-AJ$309)</f>
        <v>0</v>
      </c>
      <c r="AK165" s="1240">
        <f>+IFERROR(HLOOKUP(AK31,'סקרי נכסים-יתרות פתיחה'!$2:$110,34,0),0)-IFERROR(HLOOKUP(AK31,'סקרי נכסים-יתרות פתיחה'!$2:$110,93,0),0)*(1-AK$309)</f>
        <v>0</v>
      </c>
      <c r="AL165" s="1240">
        <f>+IFERROR(HLOOKUP(AL31,'סקרי נכסים-יתרות פתיחה'!$2:$110,34,0),0)-IFERROR(HLOOKUP(AL31,'סקרי נכסים-יתרות פתיחה'!$2:$110,93,0),0)*(1-AL$309)</f>
        <v>0</v>
      </c>
      <c r="AM165" s="1240">
        <f>+IFERROR(HLOOKUP(AM31,'סקרי נכסים-יתרות פתיחה'!$2:$110,34,0),0)-IFERROR(HLOOKUP(AM31,'סקרי נכסים-יתרות פתיחה'!$2:$110,93,0),0)*(1-AM$309)</f>
        <v>0</v>
      </c>
      <c r="AN165" s="1240">
        <f>+IFERROR(HLOOKUP(AN31,'סקרי נכסים-יתרות פתיחה'!$2:$110,34,0),0)-IFERROR(HLOOKUP(AN31,'סקרי נכסים-יתרות פתיחה'!$2:$110,93,0),0)*(1-AN$309)</f>
        <v>0</v>
      </c>
      <c r="AO165" s="1240">
        <f>+IFERROR(HLOOKUP(AO31,'סקרי נכסים-יתרות פתיחה'!$2:$110,34,0),0)-IFERROR(HLOOKUP(AO31,'סקרי נכסים-יתרות פתיחה'!$2:$110,93,0),0)*(1-AO$309)</f>
        <v>0</v>
      </c>
      <c r="AP165" s="1240">
        <f>+IFERROR(HLOOKUP(AP31,'סקרי נכסים-יתרות פתיחה'!$2:$110,34,0),0)-IFERROR(HLOOKUP(AP31,'סקרי נכסים-יתרות פתיחה'!$2:$110,93,0),0)*(1-AP$309)</f>
        <v>0</v>
      </c>
      <c r="AQ165" s="1240">
        <f>+IFERROR(HLOOKUP(AQ31,'סקרי נכסים-יתרות פתיחה'!$2:$110,34,0),0)-IFERROR(HLOOKUP(AQ31,'סקרי נכסים-יתרות פתיחה'!$2:$110,93,0),0)*(1-AQ$309)</f>
        <v>0</v>
      </c>
      <c r="AR165" s="1240">
        <f>+IFERROR(HLOOKUP(AR31,'סקרי נכסים-יתרות פתיחה'!$2:$110,34,0),0)-IFERROR(HLOOKUP(AR31,'סקרי נכסים-יתרות פתיחה'!$2:$110,93,0),0)*(1-AR$309)</f>
        <v>0</v>
      </c>
      <c r="AS165" s="1240">
        <f>+IFERROR(HLOOKUP(AS31,'סקרי נכסים-יתרות פתיחה'!$2:$110,34,0),0)-IFERROR(HLOOKUP(AS31,'סקרי נכסים-יתרות פתיחה'!$2:$110,93,0),0)*(1-AS$309)</f>
        <v>0</v>
      </c>
      <c r="AT165" s="1240">
        <f>+IFERROR(HLOOKUP(AT31,'סקרי נכסים-יתרות פתיחה'!$2:$110,34,0),0)-IFERROR(HLOOKUP(AT31,'סקרי נכסים-יתרות פתיחה'!$2:$110,93,0),0)*(1-AT$309)</f>
        <v>0</v>
      </c>
      <c r="AU165" s="1240">
        <f>+IFERROR(HLOOKUP(AU31,'סקרי נכסים-יתרות פתיחה'!$2:$110,34,0),0)-IFERROR(HLOOKUP(AU31,'סקרי נכסים-יתרות פתיחה'!$2:$110,93,0),0)*(1-AU$309)</f>
        <v>0</v>
      </c>
      <c r="AV165" s="1240">
        <f>+IFERROR(HLOOKUP(AV31,'סקרי נכסים-יתרות פתיחה'!$2:$110,34,0),0)-IFERROR(HLOOKUP(AV31,'סקרי נכסים-יתרות פתיחה'!$2:$110,93,0),0)*(1-AV$309)</f>
        <v>0</v>
      </c>
      <c r="AW165" s="1240">
        <f>+IFERROR(HLOOKUP(AW31,'סקרי נכסים-יתרות פתיחה'!$2:$110,34,0),0)-IFERROR(HLOOKUP(AW31,'סקרי נכסים-יתרות פתיחה'!$2:$110,93,0),0)*(1-AW$309)</f>
        <v>0</v>
      </c>
      <c r="AX165" s="1240">
        <f>+IFERROR(HLOOKUP(AX31,'סקרי נכסים-יתרות פתיחה'!$2:$110,34,0),0)-IFERROR(HLOOKUP(AX31,'סקרי נכסים-יתרות פתיחה'!$2:$110,93,0),0)*(1-AX$309)</f>
        <v>0</v>
      </c>
      <c r="AY165" s="1240">
        <f>+IFERROR(HLOOKUP(AY31,'סקרי נכסים-יתרות פתיחה'!$2:$110,34,0),0)-IFERROR(HLOOKUP(AY31,'סקרי נכסים-יתרות פתיחה'!$2:$110,93,0),0)*(1-AY$309)</f>
        <v>0</v>
      </c>
      <c r="AZ165" s="1240">
        <f>+IFERROR(HLOOKUP(AZ31,'סקרי נכסים-יתרות פתיחה'!$2:$110,34,0),0)-IFERROR(HLOOKUP(AZ31,'סקרי נכסים-יתרות פתיחה'!$2:$110,93,0),0)*(1-AZ$309)</f>
        <v>0</v>
      </c>
      <c r="BA165" s="1240">
        <f>+IFERROR(HLOOKUP(BA31,'סקרי נכסים-יתרות פתיחה'!$2:$110,34,0),0)-IFERROR(HLOOKUP(BA31,'סקרי נכסים-יתרות פתיחה'!$2:$110,93,0),0)*(1-BA$309)</f>
        <v>0</v>
      </c>
      <c r="BB165" s="1240">
        <f>+IFERROR(HLOOKUP(BB31,'סקרי נכסים-יתרות פתיחה'!$2:$110,34,0),0)-IFERROR(HLOOKUP(BB31,'סקרי נכסים-יתרות פתיחה'!$2:$110,93,0),0)*(1-BB$309)</f>
        <v>0</v>
      </c>
      <c r="BC165" s="1240">
        <f>+IFERROR(HLOOKUP(BC31,'סקרי נכסים-יתרות פתיחה'!$2:$110,34,0),0)-IFERROR(HLOOKUP(BC31,'סקרי נכסים-יתרות פתיחה'!$2:$110,93,0),0)*(1-BC$309)</f>
        <v>0</v>
      </c>
      <c r="BD165" s="1240">
        <f>+IFERROR(HLOOKUP(BD31,'סקרי נכסים-יתרות פתיחה'!$2:$110,34,0),0)-IFERROR(HLOOKUP(BD31,'סקרי נכסים-יתרות פתיחה'!$2:$110,93,0),0)*(1-BD$309)</f>
        <v>0</v>
      </c>
      <c r="BE165" s="1240">
        <f>+IFERROR(HLOOKUP(BE31,'סקרי נכסים-יתרות פתיחה'!$2:$110,34,0),0)-IFERROR(HLOOKUP(BE31,'סקרי נכסים-יתרות פתיחה'!$2:$110,93,0),0)*(1-BE$309)</f>
        <v>0</v>
      </c>
      <c r="BF165" s="1240">
        <f>+IFERROR(HLOOKUP(BF31,'סקרי נכסים-יתרות פתיחה'!$2:$110,34,0),0)-IFERROR(HLOOKUP(BF31,'סקרי נכסים-יתרות פתיחה'!$2:$110,93,0),0)*(1-BF$309)</f>
        <v>0</v>
      </c>
    </row>
    <row r="166" spans="1:61" x14ac:dyDescent="0.2">
      <c r="B166" s="1">
        <v>29</v>
      </c>
      <c r="C166" s="1240">
        <f>+IFERROR(HLOOKUP(C32,'סקרי נכסים-יתרות פתיחה'!$2:$110,34,0),0)-IFERROR(HLOOKUP(C32,'סקרי נכסים-יתרות פתיחה'!$2:$110,93,0),0)*(1-C$309)</f>
        <v>0</v>
      </c>
      <c r="D166" s="1240">
        <f>+IFERROR(HLOOKUP(D32,'סקרי נכסים-יתרות פתיחה'!$2:$110,34,0),0)-IFERROR(HLOOKUP(D32,'סקרי נכסים-יתרות פתיחה'!$2:$110,93,0),0)*(1-D$309)</f>
        <v>0</v>
      </c>
      <c r="E166" s="1240">
        <f>+IFERROR(HLOOKUP(E32,'סקרי נכסים-יתרות פתיחה'!$2:$110,34,0),0)-IFERROR(HLOOKUP(E32,'סקרי נכסים-יתרות פתיחה'!$2:$110,93,0),0)*(1-E$309)</f>
        <v>0</v>
      </c>
      <c r="F166" s="1240">
        <f>+IFERROR(HLOOKUP(F32,'סקרי נכסים-יתרות פתיחה'!$2:$110,34,0),0)-IFERROR(HLOOKUP(F32,'סקרי נכסים-יתרות פתיחה'!$2:$110,93,0),0)*(1-F$309)</f>
        <v>0</v>
      </c>
      <c r="G166" s="1240">
        <f>+IFERROR(HLOOKUP(G32,'סקרי נכסים-יתרות פתיחה'!$2:$110,34,0),0)-IFERROR(HLOOKUP(G32,'סקרי נכסים-יתרות פתיחה'!$2:$110,93,0),0)*(1-G$309)</f>
        <v>0</v>
      </c>
      <c r="H166" s="1240">
        <f>+IFERROR(HLOOKUP(H32,'סקרי נכסים-יתרות פתיחה'!$2:$110,34,0),0)-IFERROR(HLOOKUP(H32,'סקרי נכסים-יתרות פתיחה'!$2:$110,93,0),0)*(1-H$309)</f>
        <v>0</v>
      </c>
      <c r="I166" s="1240">
        <f>+IFERROR(HLOOKUP(I32,'סקרי נכסים-יתרות פתיחה'!$2:$110,34,0),0)-IFERROR(HLOOKUP(I32,'סקרי נכסים-יתרות פתיחה'!$2:$110,93,0),0)*(1-I$309)</f>
        <v>0</v>
      </c>
      <c r="J166" s="1240">
        <f>+IFERROR(HLOOKUP(J32,'סקרי נכסים-יתרות פתיחה'!$2:$110,34,0),0)-IFERROR(HLOOKUP(J32,'סקרי נכסים-יתרות פתיחה'!$2:$110,93,0),0)*(1-J$309)</f>
        <v>0</v>
      </c>
      <c r="K166" s="1240">
        <f>+IFERROR(HLOOKUP(K32,'סקרי נכסים-יתרות פתיחה'!$2:$110,34,0),0)-IFERROR(HLOOKUP(K32,'סקרי נכסים-יתרות פתיחה'!$2:$110,93,0),0)*(1-K$309)</f>
        <v>0</v>
      </c>
      <c r="L166" s="1240">
        <f>+IFERROR(HLOOKUP(L32,'סקרי נכסים-יתרות פתיחה'!$2:$110,34,0),0)-IFERROR(HLOOKUP(L32,'סקרי נכסים-יתרות פתיחה'!$2:$110,93,0),0)*(1-L$309)</f>
        <v>0</v>
      </c>
      <c r="M166" s="1240">
        <f>+IFERROR(HLOOKUP(M32,'סקרי נכסים-יתרות פתיחה'!$2:$110,34,0),0)-IFERROR(HLOOKUP(M32,'סקרי נכסים-יתרות פתיחה'!$2:$110,93,0),0)*(1-M$309)</f>
        <v>0</v>
      </c>
      <c r="N166" s="1240">
        <f>+IFERROR(HLOOKUP(N32,'סקרי נכסים-יתרות פתיחה'!$2:$110,34,0),0)-IFERROR(HLOOKUP(N32,'סקרי נכסים-יתרות פתיחה'!$2:$110,93,0),0)*(1-N$309)</f>
        <v>0</v>
      </c>
      <c r="O166" s="1240">
        <f>+IFERROR(HLOOKUP(O32,'סקרי נכסים-יתרות פתיחה'!$2:$110,34,0),0)-IFERROR(HLOOKUP(O32,'סקרי נכסים-יתרות פתיחה'!$2:$110,93,0),0)*(1-O$309)</f>
        <v>0</v>
      </c>
      <c r="P166" s="1240">
        <f>+IFERROR(HLOOKUP(P32,'סקרי נכסים-יתרות פתיחה'!$2:$110,34,0),0)-IFERROR(HLOOKUP(P32,'סקרי נכסים-יתרות פתיחה'!$2:$110,93,0),0)*(1-P$309)</f>
        <v>0</v>
      </c>
      <c r="Q166" s="1240">
        <f>+IFERROR(HLOOKUP(Q32,'סקרי נכסים-יתרות פתיחה'!$2:$110,34,0),0)-IFERROR(HLOOKUP(Q32,'סקרי נכסים-יתרות פתיחה'!$2:$110,93,0),0)*(1-Q$309)</f>
        <v>0</v>
      </c>
      <c r="R166" s="1240">
        <f>+IFERROR(HLOOKUP(R32,'סקרי נכסים-יתרות פתיחה'!$2:$110,34,0),0)-IFERROR(HLOOKUP(R32,'סקרי נכסים-יתרות פתיחה'!$2:$110,93,0),0)*(1-R$309)</f>
        <v>0</v>
      </c>
      <c r="S166" s="1240">
        <f>+IFERROR(HLOOKUP(S32,'סקרי נכסים-יתרות פתיחה'!$2:$110,34,0),0)-IFERROR(HLOOKUP(S32,'סקרי נכסים-יתרות פתיחה'!$2:$110,93,0),0)*(1-S$309)</f>
        <v>0</v>
      </c>
      <c r="T166" s="1240">
        <f>+IFERROR(HLOOKUP(T32,'סקרי נכסים-יתרות פתיחה'!$2:$110,34,0),0)-IFERROR(HLOOKUP(T32,'סקרי נכסים-יתרות פתיחה'!$2:$110,93,0),0)*(1-T$309)</f>
        <v>0</v>
      </c>
      <c r="U166" s="1240">
        <f>+IFERROR(HLOOKUP(U32,'סקרי נכסים-יתרות פתיחה'!$2:$110,34,0),0)-IFERROR(HLOOKUP(U32,'סקרי נכסים-יתרות פתיחה'!$2:$110,93,0),0)*(1-U$309)</f>
        <v>0</v>
      </c>
      <c r="V166" s="1240">
        <f>+IFERROR(HLOOKUP(V32,'סקרי נכסים-יתרות פתיחה'!$2:$110,34,0),0)-IFERROR(HLOOKUP(V32,'סקרי נכסים-יתרות פתיחה'!$2:$110,93,0),0)*(1-V$309)</f>
        <v>0</v>
      </c>
      <c r="W166" s="1240">
        <f>+IFERROR(HLOOKUP(W32,'סקרי נכסים-יתרות פתיחה'!$2:$110,34,0),0)-IFERROR(HLOOKUP(W32,'סקרי נכסים-יתרות פתיחה'!$2:$110,93,0),0)*(1-W$309)</f>
        <v>0</v>
      </c>
      <c r="X166" s="1240">
        <f>+IFERROR(HLOOKUP(X32,'סקרי נכסים-יתרות פתיחה'!$2:$110,34,0),0)-IFERROR(HLOOKUP(X32,'סקרי נכסים-יתרות פתיחה'!$2:$110,93,0),0)*(1-X$309)</f>
        <v>0</v>
      </c>
      <c r="Y166" s="1240">
        <f>+IFERROR(HLOOKUP(Y32,'סקרי נכסים-יתרות פתיחה'!$2:$110,34,0),0)-IFERROR(HLOOKUP(Y32,'סקרי נכסים-יתרות פתיחה'!$2:$110,93,0),0)*(1-Y$309)</f>
        <v>0</v>
      </c>
      <c r="Z166" s="1240">
        <f>+IFERROR(HLOOKUP(Z32,'סקרי נכסים-יתרות פתיחה'!$2:$110,34,0),0)-IFERROR(HLOOKUP(Z32,'סקרי נכסים-יתרות פתיחה'!$2:$110,93,0),0)*(1-Z$309)</f>
        <v>0</v>
      </c>
      <c r="AA166" s="1240">
        <f>+IFERROR(HLOOKUP(AA32,'סקרי נכסים-יתרות פתיחה'!$2:$110,34,0),0)-IFERROR(HLOOKUP(AA32,'סקרי נכסים-יתרות פתיחה'!$2:$110,93,0),0)*(1-AA$309)</f>
        <v>0</v>
      </c>
      <c r="AB166" s="1240">
        <f>+IFERROR(HLOOKUP(AB32,'סקרי נכסים-יתרות פתיחה'!$2:$110,34,0),0)-IFERROR(HLOOKUP(AB32,'סקרי נכסים-יתרות פתיחה'!$2:$110,93,0),0)*(1-AB$309)</f>
        <v>0</v>
      </c>
      <c r="AC166" s="1240">
        <f>+IFERROR(HLOOKUP(AC32,'סקרי נכסים-יתרות פתיחה'!$2:$110,34,0),0)-IFERROR(HLOOKUP(AC32,'סקרי נכסים-יתרות פתיחה'!$2:$110,93,0),0)*(1-AC$309)</f>
        <v>0</v>
      </c>
      <c r="AD166" s="1240">
        <f>+IFERROR(HLOOKUP(AD32,'סקרי נכסים-יתרות פתיחה'!$2:$110,34,0),0)-IFERROR(HLOOKUP(AD32,'סקרי נכסים-יתרות פתיחה'!$2:$110,93,0),0)*(1-AD$309)</f>
        <v>0</v>
      </c>
      <c r="AE166" s="1240">
        <f>+IFERROR(HLOOKUP(AE32,'סקרי נכסים-יתרות פתיחה'!$2:$110,34,0),0)-IFERROR(HLOOKUP(AE32,'סקרי נכסים-יתרות פתיחה'!$2:$110,93,0),0)*(1-AE$309)</f>
        <v>0</v>
      </c>
      <c r="AF166" s="1240">
        <f>+IFERROR(HLOOKUP(AF32,'סקרי נכסים-יתרות פתיחה'!$2:$110,34,0),0)-IFERROR(HLOOKUP(AF32,'סקרי נכסים-יתרות פתיחה'!$2:$110,93,0),0)*(1-AF$309)</f>
        <v>0</v>
      </c>
      <c r="AG166" s="1240">
        <f>+IFERROR(HLOOKUP(AG32,'סקרי נכסים-יתרות פתיחה'!$2:$110,34,0),0)-IFERROR(HLOOKUP(AG32,'סקרי נכסים-יתרות פתיחה'!$2:$110,93,0),0)*(1-AG$309)</f>
        <v>0</v>
      </c>
      <c r="AH166" s="1240">
        <f>+IFERROR(HLOOKUP(AH32,'סקרי נכסים-יתרות פתיחה'!$2:$110,34,0),0)-IFERROR(HLOOKUP(AH32,'סקרי נכסים-יתרות פתיחה'!$2:$110,93,0),0)*(1-AH$309)</f>
        <v>0</v>
      </c>
      <c r="AI166" s="1240">
        <f>+IFERROR(HLOOKUP(AI32,'סקרי נכסים-יתרות פתיחה'!$2:$110,34,0),0)-IFERROR(HLOOKUP(AI32,'סקרי נכסים-יתרות פתיחה'!$2:$110,93,0),0)*(1-AI$309)</f>
        <v>0</v>
      </c>
      <c r="AJ166" s="1240">
        <f>+IFERROR(HLOOKUP(AJ32,'סקרי נכסים-יתרות פתיחה'!$2:$110,34,0),0)-IFERROR(HLOOKUP(AJ32,'סקרי נכסים-יתרות פתיחה'!$2:$110,93,0),0)*(1-AJ$309)</f>
        <v>0</v>
      </c>
      <c r="AK166" s="1240">
        <f>+IFERROR(HLOOKUP(AK32,'סקרי נכסים-יתרות פתיחה'!$2:$110,34,0),0)-IFERROR(HLOOKUP(AK32,'סקרי נכסים-יתרות פתיחה'!$2:$110,93,0),0)*(1-AK$309)</f>
        <v>0</v>
      </c>
      <c r="AL166" s="1240">
        <f>+IFERROR(HLOOKUP(AL32,'סקרי נכסים-יתרות פתיחה'!$2:$110,34,0),0)-IFERROR(HLOOKUP(AL32,'סקרי נכסים-יתרות פתיחה'!$2:$110,93,0),0)*(1-AL$309)</f>
        <v>0</v>
      </c>
      <c r="AM166" s="1240">
        <f>+IFERROR(HLOOKUP(AM32,'סקרי נכסים-יתרות פתיחה'!$2:$110,34,0),0)-IFERROR(HLOOKUP(AM32,'סקרי נכסים-יתרות פתיחה'!$2:$110,93,0),0)*(1-AM$309)</f>
        <v>0</v>
      </c>
      <c r="AN166" s="1240">
        <f>+IFERROR(HLOOKUP(AN32,'סקרי נכסים-יתרות פתיחה'!$2:$110,34,0),0)-IFERROR(HLOOKUP(AN32,'סקרי נכסים-יתרות פתיחה'!$2:$110,93,0),0)*(1-AN$309)</f>
        <v>0</v>
      </c>
      <c r="AO166" s="1240">
        <f>+IFERROR(HLOOKUP(AO32,'סקרי נכסים-יתרות פתיחה'!$2:$110,34,0),0)-IFERROR(HLOOKUP(AO32,'סקרי נכסים-יתרות פתיחה'!$2:$110,93,0),0)*(1-AO$309)</f>
        <v>0</v>
      </c>
      <c r="AP166" s="1240">
        <f>+IFERROR(HLOOKUP(AP32,'סקרי נכסים-יתרות פתיחה'!$2:$110,34,0),0)-IFERROR(HLOOKUP(AP32,'סקרי נכסים-יתרות פתיחה'!$2:$110,93,0),0)*(1-AP$309)</f>
        <v>0</v>
      </c>
      <c r="AQ166" s="1240">
        <f>+IFERROR(HLOOKUP(AQ32,'סקרי נכסים-יתרות פתיחה'!$2:$110,34,0),0)-IFERROR(HLOOKUP(AQ32,'סקרי נכסים-יתרות פתיחה'!$2:$110,93,0),0)*(1-AQ$309)</f>
        <v>0</v>
      </c>
      <c r="AR166" s="1240">
        <f>+IFERROR(HLOOKUP(AR32,'סקרי נכסים-יתרות פתיחה'!$2:$110,34,0),0)-IFERROR(HLOOKUP(AR32,'סקרי נכסים-יתרות פתיחה'!$2:$110,93,0),0)*(1-AR$309)</f>
        <v>0</v>
      </c>
      <c r="AS166" s="1240">
        <f>+IFERROR(HLOOKUP(AS32,'סקרי נכסים-יתרות פתיחה'!$2:$110,34,0),0)-IFERROR(HLOOKUP(AS32,'סקרי נכסים-יתרות פתיחה'!$2:$110,93,0),0)*(1-AS$309)</f>
        <v>0</v>
      </c>
      <c r="AT166" s="1240">
        <f>+IFERROR(HLOOKUP(AT32,'סקרי נכסים-יתרות פתיחה'!$2:$110,34,0),0)-IFERROR(HLOOKUP(AT32,'סקרי נכסים-יתרות פתיחה'!$2:$110,93,0),0)*(1-AT$309)</f>
        <v>0</v>
      </c>
      <c r="AU166" s="1240">
        <f>+IFERROR(HLOOKUP(AU32,'סקרי נכסים-יתרות פתיחה'!$2:$110,34,0),0)-IFERROR(HLOOKUP(AU32,'סקרי נכסים-יתרות פתיחה'!$2:$110,93,0),0)*(1-AU$309)</f>
        <v>0</v>
      </c>
      <c r="AV166" s="1240">
        <f>+IFERROR(HLOOKUP(AV32,'סקרי נכסים-יתרות פתיחה'!$2:$110,34,0),0)-IFERROR(HLOOKUP(AV32,'סקרי נכסים-יתרות פתיחה'!$2:$110,93,0),0)*(1-AV$309)</f>
        <v>0</v>
      </c>
      <c r="AW166" s="1240">
        <f>+IFERROR(HLOOKUP(AW32,'סקרי נכסים-יתרות פתיחה'!$2:$110,34,0),0)-IFERROR(HLOOKUP(AW32,'סקרי נכסים-יתרות פתיחה'!$2:$110,93,0),0)*(1-AW$309)</f>
        <v>0</v>
      </c>
      <c r="AX166" s="1240">
        <f>+IFERROR(HLOOKUP(AX32,'סקרי נכסים-יתרות פתיחה'!$2:$110,34,0),0)-IFERROR(HLOOKUP(AX32,'סקרי נכסים-יתרות פתיחה'!$2:$110,93,0),0)*(1-AX$309)</f>
        <v>0</v>
      </c>
      <c r="AY166" s="1240">
        <f>+IFERROR(HLOOKUP(AY32,'סקרי נכסים-יתרות פתיחה'!$2:$110,34,0),0)-IFERROR(HLOOKUP(AY32,'סקרי נכסים-יתרות פתיחה'!$2:$110,93,0),0)*(1-AY$309)</f>
        <v>0</v>
      </c>
      <c r="AZ166" s="1240">
        <f>+IFERROR(HLOOKUP(AZ32,'סקרי נכסים-יתרות פתיחה'!$2:$110,34,0),0)-IFERROR(HLOOKUP(AZ32,'סקרי נכסים-יתרות פתיחה'!$2:$110,93,0),0)*(1-AZ$309)</f>
        <v>0</v>
      </c>
      <c r="BA166" s="1240">
        <f>+IFERROR(HLOOKUP(BA32,'סקרי נכסים-יתרות פתיחה'!$2:$110,34,0),0)-IFERROR(HLOOKUP(BA32,'סקרי נכסים-יתרות פתיחה'!$2:$110,93,0),0)*(1-BA$309)</f>
        <v>0</v>
      </c>
      <c r="BB166" s="1240">
        <f>+IFERROR(HLOOKUP(BB32,'סקרי נכסים-יתרות פתיחה'!$2:$110,34,0),0)-IFERROR(HLOOKUP(BB32,'סקרי נכסים-יתרות פתיחה'!$2:$110,93,0),0)*(1-BB$309)</f>
        <v>0</v>
      </c>
      <c r="BC166" s="1240">
        <f>+IFERROR(HLOOKUP(BC32,'סקרי נכסים-יתרות פתיחה'!$2:$110,34,0),0)-IFERROR(HLOOKUP(BC32,'סקרי נכסים-יתרות פתיחה'!$2:$110,93,0),0)*(1-BC$309)</f>
        <v>0</v>
      </c>
      <c r="BD166" s="1240">
        <f>+IFERROR(HLOOKUP(BD32,'סקרי נכסים-יתרות פתיחה'!$2:$110,34,0),0)-IFERROR(HLOOKUP(BD32,'סקרי נכסים-יתרות פתיחה'!$2:$110,93,0),0)*(1-BD$309)</f>
        <v>0</v>
      </c>
      <c r="BE166" s="1240">
        <f>+IFERROR(HLOOKUP(BE32,'סקרי נכסים-יתרות פתיחה'!$2:$110,34,0),0)-IFERROR(HLOOKUP(BE32,'סקרי נכסים-יתרות פתיחה'!$2:$110,93,0),0)*(1-BE$309)</f>
        <v>0</v>
      </c>
      <c r="BF166" s="1240">
        <f>+IFERROR(HLOOKUP(BF32,'סקרי נכסים-יתרות פתיחה'!$2:$110,34,0),0)-IFERROR(HLOOKUP(BF32,'סקרי נכסים-יתרות פתיחה'!$2:$110,93,0),0)*(1-BF$309)</f>
        <v>0</v>
      </c>
    </row>
    <row r="167" spans="1:61" x14ac:dyDescent="0.2">
      <c r="A167" s="1228" t="s">
        <v>1538</v>
      </c>
      <c r="C167" s="1240">
        <f>+IFERROR(HLOOKUP(C1,'השקעות בניכוי גריעות'!$1:$93,66,0)*1000,0)+HLOOKUP(C1,'השקעות 2012-2014'!$1:$124,62,0)*1000</f>
        <v>69778000</v>
      </c>
      <c r="D167" s="1240">
        <f>+IFERROR(HLOOKUP(D1,'השקעות בניכוי גריעות'!$1:$93,66,0)*1000,0)+HLOOKUP(D1,'השקעות 2012-2014'!$1:$124,62,0)*1000</f>
        <v>7608000</v>
      </c>
      <c r="E167" s="1240">
        <f>+IFERROR(HLOOKUP(E1,'השקעות בניכוי גריעות'!$1:$93,66,0)*1000,0)+HLOOKUP(E1,'השקעות 2012-2014'!$1:$124,62,0)*1000</f>
        <v>52255000</v>
      </c>
      <c r="F167" s="1240">
        <f>+IFERROR(HLOOKUP(F1,'השקעות בניכוי גריעות'!$1:$93,66,0)*1000,0)+HLOOKUP(F1,'השקעות 2012-2014'!$1:$124,62,0)*1000</f>
        <v>4094000</v>
      </c>
      <c r="G167" s="1240">
        <f>+IFERROR(HLOOKUP(G1,'השקעות בניכוי גריעות'!$1:$93,66,0)*1000,0)+HLOOKUP(G1,'השקעות 2012-2014'!$1:$124,62,0)*1000</f>
        <v>805000</v>
      </c>
      <c r="H167" s="1240">
        <f>+IFERROR(HLOOKUP(H1,'השקעות בניכוי גריעות'!$1:$93,66,0)*1000,0)+HLOOKUP(H1,'השקעות 2012-2014'!$1:$124,62,0)*1000</f>
        <v>55273000</v>
      </c>
      <c r="I167" s="1240">
        <f>+IFERROR(HLOOKUP(I1,'השקעות בניכוי גריעות'!$1:$93,66,0)*1000,0)+HLOOKUP(I1,'השקעות 2012-2014'!$1:$124,62,0)*1000</f>
        <v>98202000</v>
      </c>
      <c r="J167" s="1240">
        <f>+IFERROR(HLOOKUP(J1,'השקעות בניכוי גריעות'!$1:$93,66,0)*1000,0)+HLOOKUP(J1,'השקעות 2012-2014'!$1:$124,62,0)*1000</f>
        <v>37120000</v>
      </c>
      <c r="K167" s="1240">
        <f>+IFERROR(HLOOKUP(K1,'השקעות בניכוי גריעות'!$1:$93,66,0)*1000,0)+HLOOKUP(K1,'השקעות 2012-2014'!$1:$124,62,0)*1000+7087300</f>
        <v>24284300</v>
      </c>
      <c r="L167" s="1240">
        <f>+IFERROR(HLOOKUP(L1,'השקעות בניכוי גריעות'!$1:$93,66,0)*1000,0)+HLOOKUP(L1,'השקעות 2012-2014'!$1:$124,62,0)*1000</f>
        <v>8207000</v>
      </c>
      <c r="M167" s="1240">
        <f>+IFERROR(HLOOKUP(M1,'השקעות בניכוי גריעות'!$1:$93,66,0)*1000,0)+HLOOKUP(M1,'השקעות 2012-2014'!$1:$124,62,0)*1000</f>
        <v>12874000</v>
      </c>
      <c r="N167" s="1240">
        <f>+IFERROR(HLOOKUP(N1,'השקעות בניכוי גריעות'!$1:$93,66,0)*1000,0)+HLOOKUP(N1,'השקעות 2012-2014'!$1:$124,62,0)*1000</f>
        <v>56821000</v>
      </c>
      <c r="O167" s="1240">
        <f>+IFERROR(HLOOKUP(O1,'השקעות בניכוי גריעות'!$1:$93,66,0)*1000,0)+HLOOKUP(O1,'השקעות 2012-2014'!$1:$124,62,0)*1000</f>
        <v>69754000</v>
      </c>
      <c r="P167" s="1240">
        <f>+IFERROR(HLOOKUP(P1,'השקעות בניכוי גריעות'!$1:$93,66,0)*1000,0)+HLOOKUP(P1,'השקעות 2012-2014'!$1:$124,62,0)*1000</f>
        <v>49867000</v>
      </c>
      <c r="Q167" s="1240">
        <f>+IFERROR(HLOOKUP(Q1,'השקעות בניכוי גריעות'!$1:$93,66,0)*1000,0)+HLOOKUP(Q1,'השקעות 2012-2014'!$1:$124,62,0)*1000</f>
        <v>12466000</v>
      </c>
      <c r="R167" s="1240">
        <f>+IFERROR(HLOOKUP(R1,'השקעות בניכוי גריעות'!$1:$93,66,0)*1000,0)+HLOOKUP(R1,'השקעות 2012-2014'!$1:$124,62,0)*1000</f>
        <v>9903159</v>
      </c>
      <c r="S167" s="1240">
        <f>+IFERROR(HLOOKUP(S1,'השקעות בניכוי גריעות'!$1:$93,66,0)*1000,0)+HLOOKUP(S1,'השקעות 2012-2014'!$1:$124,62,0)*1000</f>
        <v>44782000</v>
      </c>
      <c r="T167" s="1240">
        <f>+IFERROR(HLOOKUP(T1,'השקעות בניכוי גריעות'!$1:$93,66,0)*1000,0)+HLOOKUP(T1,'השקעות 2012-2014'!$1:$124,62,0)*1000</f>
        <v>19278262.328000002</v>
      </c>
      <c r="U167" s="1240">
        <f>+IFERROR(HLOOKUP(U1,'השקעות בניכוי גריעות'!$1:$93,66,0)*1000,0)+HLOOKUP(U1,'השקעות 2012-2014'!$1:$124,62,0)*1000</f>
        <v>17670000</v>
      </c>
      <c r="V167" s="1240">
        <f>+IFERROR(HLOOKUP(V1,'השקעות בניכוי גריעות'!$1:$93,66,0)*1000,0)+HLOOKUP(V1,'השקעות 2012-2014'!$1:$124,62,0)*1000</f>
        <v>17483000</v>
      </c>
      <c r="W167" s="1240">
        <f>+IFERROR(HLOOKUP(W1,'השקעות בניכוי גריעות'!$1:$93,66,0)*1000,0)+HLOOKUP(W1,'השקעות 2012-2014'!$1:$124,62,0)*1000</f>
        <v>68177258</v>
      </c>
      <c r="X167" s="1240">
        <f>+IFERROR(HLOOKUP(X1,'השקעות בניכוי גריעות'!$1:$93,66,0)*1000,0)+HLOOKUP(X1,'השקעות 2012-2014'!$1:$124,62,0)*1000</f>
        <v>12653874</v>
      </c>
      <c r="Y167" s="1240">
        <f>+IFERROR(HLOOKUP(Y1,'השקעות בניכוי גריעות'!$1:$93,66,0)*1000,0)+HLOOKUP(Y1,'השקעות 2012-2014'!$1:$124,62,0)*1000</f>
        <v>9854000</v>
      </c>
      <c r="Z167" s="1240">
        <f>+IFERROR(HLOOKUP(Z1,'השקעות בניכוי גריעות'!$1:$93,66,0)*1000,0)+HLOOKUP(Z1,'השקעות 2012-2014'!$1:$124,62,0)*1000</f>
        <v>31680634</v>
      </c>
      <c r="AA167" s="1240">
        <f>+IFERROR(HLOOKUP(AA1,'השקעות בניכוי גריעות'!$1:$93,66,0)*1000,0)+HLOOKUP(AA1,'השקעות 2012-2014'!$1:$124,62,0)*1000</f>
        <v>12112000</v>
      </c>
      <c r="AB167" s="1240">
        <f>+IFERROR(HLOOKUP(AB1,'השקעות בניכוי גריעות'!$1:$93,66,0)*1000,0)+HLOOKUP(AB1,'השקעות 2012-2014'!$1:$124,62,0)*1000</f>
        <v>13295000</v>
      </c>
      <c r="AC167" s="1240">
        <f>+IFERROR(HLOOKUP(AC1,'השקעות בניכוי גריעות'!$1:$93,66,0)*1000,0)+HLOOKUP(AC1,'השקעות 2012-2014'!$1:$124,62,0)*1000</f>
        <v>19806000</v>
      </c>
      <c r="AD167" s="1240">
        <f>+IFERROR(HLOOKUP(AD1,'השקעות בניכוי גריעות'!$1:$93,66,0)*1000,0)+HLOOKUP(AD1,'השקעות 2012-2014'!$1:$124,62,0)*1000</f>
        <v>20955000</v>
      </c>
      <c r="AE167" s="1240">
        <f>+IFERROR(HLOOKUP(AE1,'השקעות בניכוי גריעות'!$1:$93,66,0)*1000,0)+HLOOKUP(AE1,'השקעות 2012-2014'!$1:$124,62,0)*1000</f>
        <v>90051000</v>
      </c>
      <c r="AF167" s="1240">
        <f>+IFERROR(HLOOKUP(AF1,'השקעות בניכוי גריעות'!$1:$93,66,0)*1000,0)+HLOOKUP(AF1,'השקעות 2012-2014'!$1:$124,62,0)*1000</f>
        <v>8071000</v>
      </c>
      <c r="AG167" s="1240">
        <f>+IFERROR(HLOOKUP(AG1,'השקעות בניכוי גריעות'!$1:$93,66,0)*1000,0)+HLOOKUP(AG1,'השקעות 2012-2014'!$1:$124,62,0)*1000</f>
        <v>13379000</v>
      </c>
      <c r="AH167" s="1240">
        <f>+IFERROR(HLOOKUP(AH1,'השקעות בניכוי גריעות'!$1:$93,66,0)*1000,0)+HLOOKUP(AH1,'השקעות 2012-2014'!$1:$124,62,0)*1000+8020486</f>
        <v>8234486</v>
      </c>
      <c r="AI167" s="1240">
        <f>+IFERROR(HLOOKUP(AI1,'השקעות בניכוי גריעות'!$1:$93,66,0)*1000,0)+HLOOKUP(AI1,'השקעות 2012-2014'!$1:$124,62,0)*1000+6699891</f>
        <v>9803891</v>
      </c>
      <c r="AJ167" s="1240">
        <f>+IFERROR(HLOOKUP(AJ1,'השקעות בניכוי גריעות'!$1:$93,66,0)*1000,0)+HLOOKUP(AJ1,'השקעות 2012-2014'!$1:$124,62,0)*1000+2498000*1.1</f>
        <v>27988317</v>
      </c>
      <c r="AK167" s="1240">
        <f>+IFERROR(HLOOKUP(AK1,'השקעות בניכוי גריעות'!$1:$93,66,0)*1000,0)+HLOOKUP(AK1,'השקעות 2012-2014'!$1:$124,62,0)*1000</f>
        <v>13140881</v>
      </c>
      <c r="AL167" s="1240">
        <f>+IFERROR(HLOOKUP(AL1,'השקעות בניכוי גריעות'!$1:$93,66,0)*1000,0)+HLOOKUP(AL1,'השקעות 2012-2014'!$1:$124,62,0)*1000</f>
        <v>108769000</v>
      </c>
      <c r="AM167" s="1240">
        <f>+IFERROR(HLOOKUP(AM1,'השקעות בניכוי גריעות'!$1:$93,66,0)*1000,0)+HLOOKUP(AM1,'השקעות 2012-2014'!$1:$124,62,0)*1000</f>
        <v>5450000</v>
      </c>
      <c r="AN167" s="1240">
        <f>+IFERROR(HLOOKUP(AN1,'השקעות בניכוי גריעות'!$1:$93,66,0)*1000,0)+HLOOKUP(AN1,'השקעות 2012-2014'!$1:$124,62,0)*1000+5045538</f>
        <v>25720538</v>
      </c>
      <c r="AO167" s="1240">
        <f>+IFERROR(HLOOKUP(AO1,'השקעות בניכוי גריעות'!$1:$93,66,0)*1000,0)+HLOOKUP(AO1,'השקעות 2012-2014'!$1:$124,62,0)*1000</f>
        <v>21917000</v>
      </c>
      <c r="AP167" s="1240">
        <f>+IFERROR(HLOOKUP(AP1,'השקעות בניכוי גריעות'!$1:$93,66,0)*1000,0)+HLOOKUP(AP1,'השקעות 2012-2014'!$1:$124,62,0)*1000</f>
        <v>15237037</v>
      </c>
      <c r="AQ167" s="1240">
        <f>+IFERROR(HLOOKUP(AQ1,'השקעות בניכוי גריעות'!$1:$93,66,0)*1000,0)+HLOOKUP(AQ1,'השקעות 2012-2014'!$1:$124,62,0)*1000</f>
        <v>3615000</v>
      </c>
      <c r="AR167" s="1240">
        <f>+IFERROR(HLOOKUP(AR1,'השקעות בניכוי גריעות'!$1:$93,66,0)*1000,0)+HLOOKUP(AR1,'השקעות 2012-2014'!$1:$124,62,0)*1000</f>
        <v>8019000</v>
      </c>
      <c r="AS167" s="1240">
        <f>+IFERROR(HLOOKUP(AS1,'השקעות בניכוי גריעות'!$1:$93,66,0)*1000,0)+HLOOKUP(AS1,'השקעות 2012-2014'!$1:$124,62,0)*1000</f>
        <v>5824000</v>
      </c>
      <c r="AT167" s="1240">
        <f>+IFERROR(HLOOKUP(AT1,'השקעות בניכוי גריעות'!$1:$93,66,0)*1000,0)+HLOOKUP(AT1,'השקעות 2012-2014'!$1:$124,62,0)*1000</f>
        <v>5634889</v>
      </c>
      <c r="AU167" s="1240">
        <f>+IFERROR(HLOOKUP(AU1,'השקעות בניכוי גריעות'!$1:$93,66,0)*1000,0)+HLOOKUP(AU1,'השקעות 2012-2014'!$1:$124,62,0)*1000</f>
        <v>31095000</v>
      </c>
      <c r="AV167" s="1240">
        <f>+IFERROR(HLOOKUP(AV1,'השקעות בניכוי גריעות'!$1:$93,66,0)*1000,0)+HLOOKUP(AV1,'השקעות 2012-2014'!$1:$124,62,0)*1000</f>
        <v>25818000</v>
      </c>
      <c r="AW167" s="1240">
        <f>+IFERROR(HLOOKUP(AW1,'השקעות בניכוי גריעות'!$1:$93,66,0)*1000,0)+HLOOKUP(AW1,'השקעות 2012-2014'!$1:$124,62,0)*1000</f>
        <v>4395000</v>
      </c>
      <c r="AX167" s="1240">
        <f>+IFERROR(HLOOKUP(AX1,'השקעות בניכוי גריעות'!$1:$93,66,0)*1000,0)+HLOOKUP(AX1,'השקעות 2012-2014'!$1:$124,62,0)*1000</f>
        <v>12493755.000000002</v>
      </c>
      <c r="AY167" s="1240">
        <f>+IFERROR(HLOOKUP(AY1,'השקעות בניכוי גריעות'!$1:$93,66,0)*1000,0)+HLOOKUP(AY1,'השקעות 2012-2014'!$1:$124,62,0)*1000</f>
        <v>20494645</v>
      </c>
      <c r="AZ167" s="1240">
        <f>+IFERROR(HLOOKUP(AZ1,'השקעות בניכוי גריעות'!$1:$93,66,0)*1000,0)+HLOOKUP(AZ1,'השקעות 2012-2014'!$1:$124,62,0)*1000</f>
        <v>14973000</v>
      </c>
      <c r="BA167" s="1240">
        <f>+IFERROR(HLOOKUP(BA1,'השקעות בניכוי גריעות'!$1:$93,66,0)*1000,0)+HLOOKUP(BA1,'השקעות 2012-2014'!$1:$124,62,0)*1000</f>
        <v>7077000</v>
      </c>
      <c r="BB167" s="1240">
        <f>+IFERROR(HLOOKUP(BB1,'השקעות בניכוי גריעות'!$1:$93,66,0)*1000,0)+HLOOKUP(BB1,'השקעות 2012-2014'!$1:$124,62,0)*1000</f>
        <v>11172000</v>
      </c>
      <c r="BC167" s="1240">
        <f>+IFERROR(HLOOKUP(BC1,'השקעות בניכוי גריעות'!$1:$93,66,0)*1000,0)+HLOOKUP(BC1,'השקעות 2012-2014'!$1:$124,62,0)*1000</f>
        <v>10571000</v>
      </c>
      <c r="BD167" s="1240">
        <f>+IFERROR(HLOOKUP(BD1,'השקעות בניכוי גריעות'!$1:$93,66,0)*1000,0)+HLOOKUP(BD1,'השקעות 2012-2014'!$1:$124,62,0)*1000</f>
        <v>20651000</v>
      </c>
      <c r="BE167" s="1240">
        <f>+IFERROR(HLOOKUP(BE1,'השקעות בניכוי גריעות'!$1:$93,66,0)*1000,0)+HLOOKUP(BE1,'השקעות 2012-2014'!$1:$124,62,0)*1000</f>
        <v>880000</v>
      </c>
      <c r="BF167" s="1240">
        <f>+IFERROR(HLOOKUP(BF1,'השקעות בניכוי גריעות'!$1:$93,66,0)*1000,0)+HLOOKUP(BF1,'השקעות 2012-2014'!$1:$124,62,0)*1000</f>
        <v>0</v>
      </c>
      <c r="BG167" s="78">
        <f>SUM(C167:BE167)</f>
        <v>1387533926.3280001</v>
      </c>
      <c r="BH167" s="78">
        <f>+MAX(C167:BE167)</f>
        <v>108769000</v>
      </c>
      <c r="BI167" s="5">
        <v>869398122.32800007</v>
      </c>
    </row>
    <row r="168" spans="1:61" x14ac:dyDescent="0.2">
      <c r="C168" s="1246"/>
      <c r="D168" s="1246"/>
      <c r="E168" s="1246"/>
      <c r="F168" s="1246"/>
      <c r="G168" s="1246"/>
      <c r="H168" s="1246"/>
      <c r="I168" s="1246"/>
      <c r="J168" s="1246"/>
      <c r="K168" s="1246"/>
      <c r="L168" s="1246"/>
      <c r="M168" s="1246"/>
      <c r="N168" s="1246"/>
      <c r="O168" s="1246"/>
      <c r="P168" s="1246"/>
      <c r="Q168" s="1246"/>
      <c r="R168" s="1246"/>
      <c r="S168" s="1246"/>
      <c r="T168" s="1246"/>
      <c r="U168" s="1246"/>
      <c r="V168" s="1246"/>
      <c r="W168" s="1246"/>
      <c r="X168" s="1246"/>
      <c r="Y168" s="1246"/>
      <c r="Z168" s="1246"/>
      <c r="AA168" s="1246"/>
      <c r="AB168" s="1246"/>
      <c r="AC168" s="1246"/>
      <c r="AD168" s="1246"/>
      <c r="AE168" s="1246"/>
      <c r="AF168" s="1246"/>
      <c r="AG168" s="1246"/>
      <c r="AH168" s="1246"/>
      <c r="AI168" s="1246"/>
      <c r="AJ168" s="1246"/>
      <c r="AK168" s="1246"/>
      <c r="AL168" s="1246"/>
      <c r="AM168" s="1246"/>
      <c r="AN168" s="1246"/>
      <c r="AO168" s="1246"/>
      <c r="AP168" s="1246"/>
      <c r="AQ168" s="1246"/>
      <c r="AR168" s="1246"/>
      <c r="AS168" s="1246"/>
      <c r="AT168" s="1246"/>
      <c r="AU168" s="1246"/>
      <c r="AV168" s="1246"/>
      <c r="AW168" s="1246"/>
      <c r="AX168" s="1246"/>
      <c r="AY168" s="1246"/>
      <c r="AZ168" s="1246"/>
      <c r="BA168" s="1246"/>
      <c r="BB168" s="1246"/>
      <c r="BC168" s="1246"/>
      <c r="BD168" s="1246"/>
      <c r="BE168" s="1246"/>
      <c r="BF168" s="1246"/>
      <c r="BG168" s="78"/>
      <c r="BI168" s="5"/>
    </row>
    <row r="169" spans="1:61" x14ac:dyDescent="0.2">
      <c r="A169" s="1" t="s">
        <v>164</v>
      </c>
      <c r="C169" s="78">
        <f>SUM(C138:C167)/1000</f>
        <v>286953.47271428572</v>
      </c>
      <c r="D169" s="78">
        <f t="shared" ref="D169:BE169" si="7">SUM(D138:D167)/1000</f>
        <v>88651.365999999995</v>
      </c>
      <c r="E169" s="78">
        <f t="shared" si="7"/>
        <v>213946.62239999999</v>
      </c>
      <c r="F169" s="78">
        <f t="shared" si="7"/>
        <v>50380.93942857143</v>
      </c>
      <c r="G169" s="78">
        <f t="shared" si="7"/>
        <v>101699.02057142857</v>
      </c>
      <c r="H169" s="78">
        <f t="shared" si="7"/>
        <v>692759.92871428572</v>
      </c>
      <c r="I169" s="78">
        <f t="shared" si="7"/>
        <v>318401.36365714285</v>
      </c>
      <c r="J169" s="78">
        <f t="shared" si="7"/>
        <v>118379.52</v>
      </c>
      <c r="K169" s="78">
        <f t="shared" si="7"/>
        <v>152910.00599999999</v>
      </c>
      <c r="L169" s="78">
        <f t="shared" si="7"/>
        <v>89532.621219047622</v>
      </c>
      <c r="M169" s="78">
        <f>SUM(M138:M167)/1000</f>
        <v>155322.45714285714</v>
      </c>
      <c r="N169" s="78">
        <f t="shared" si="7"/>
        <v>385899.78122857143</v>
      </c>
      <c r="O169" s="78">
        <f t="shared" si="7"/>
        <v>232322.9583142857</v>
      </c>
      <c r="P169" s="78">
        <f t="shared" si="7"/>
        <v>219250.03400000001</v>
      </c>
      <c r="Q169" s="78">
        <f t="shared" si="7"/>
        <v>91502.490971428575</v>
      </c>
      <c r="R169" s="78">
        <f t="shared" si="7"/>
        <v>74886.082885714291</v>
      </c>
      <c r="S169" s="78">
        <f t="shared" si="7"/>
        <v>89577.744999999995</v>
      </c>
      <c r="T169" s="78">
        <f t="shared" si="7"/>
        <v>118136.59932800001</v>
      </c>
      <c r="U169" s="78">
        <f t="shared" si="7"/>
        <v>89531.376000000004</v>
      </c>
      <c r="V169" s="78">
        <f t="shared" si="7"/>
        <v>119735.52</v>
      </c>
      <c r="W169" s="78">
        <f t="shared" si="7"/>
        <v>168045.25399999999</v>
      </c>
      <c r="X169" s="78">
        <f t="shared" si="7"/>
        <v>124317.273</v>
      </c>
      <c r="Y169" s="78">
        <f t="shared" si="7"/>
        <v>84187.454628571417</v>
      </c>
      <c r="Z169" s="78">
        <f t="shared" si="7"/>
        <v>83966.664628571423</v>
      </c>
      <c r="AA169" s="78">
        <f t="shared" si="7"/>
        <v>108524.93452380953</v>
      </c>
      <c r="AB169" s="78">
        <f t="shared" si="7"/>
        <v>58824.76</v>
      </c>
      <c r="AC169" s="78">
        <f t="shared" si="7"/>
        <v>130573.94426190476</v>
      </c>
      <c r="AD169" s="78">
        <f t="shared" si="7"/>
        <v>68613.648685714288</v>
      </c>
      <c r="AE169" s="78">
        <f t="shared" si="7"/>
        <v>536612.49802857148</v>
      </c>
      <c r="AF169" s="78">
        <f t="shared" si="7"/>
        <v>70011.544761904763</v>
      </c>
      <c r="AG169" s="78">
        <f t="shared" si="7"/>
        <v>49999.311761904763</v>
      </c>
      <c r="AH169" s="78">
        <f t="shared" si="7"/>
        <v>60567.235999999997</v>
      </c>
      <c r="AI169" s="78">
        <f t="shared" si="7"/>
        <v>71695.977857142861</v>
      </c>
      <c r="AJ169" s="78">
        <f t="shared" si="7"/>
        <v>61339.750485714285</v>
      </c>
      <c r="AK169" s="78">
        <f t="shared" si="7"/>
        <v>41033.697285714283</v>
      </c>
      <c r="AL169" s="78">
        <f t="shared" si="7"/>
        <v>653769.34590476193</v>
      </c>
      <c r="AM169" s="78">
        <f t="shared" si="7"/>
        <v>98542.768790476184</v>
      </c>
      <c r="AN169" s="78">
        <f t="shared" si="7"/>
        <v>142533.25200000001</v>
      </c>
      <c r="AO169" s="78">
        <f t="shared" si="7"/>
        <v>168345.65005714286</v>
      </c>
      <c r="AP169" s="78">
        <f t="shared" si="7"/>
        <v>56701.749976190476</v>
      </c>
      <c r="AQ169" s="78">
        <f t="shared" si="7"/>
        <v>68873.566400000011</v>
      </c>
      <c r="AR169" s="78">
        <f t="shared" si="7"/>
        <v>68826.610990476198</v>
      </c>
      <c r="AS169" s="78">
        <f t="shared" si="7"/>
        <v>172828.69399999999</v>
      </c>
      <c r="AT169" s="78">
        <f t="shared" si="7"/>
        <v>51467.42635714286</v>
      </c>
      <c r="AU169" s="78">
        <f t="shared" si="7"/>
        <v>95925.047666666651</v>
      </c>
      <c r="AV169" s="78">
        <f t="shared" si="7"/>
        <v>160183.71321904761</v>
      </c>
      <c r="AW169" s="78">
        <f t="shared" si="7"/>
        <v>58527.105833333335</v>
      </c>
      <c r="AX169" s="78">
        <f t="shared" si="7"/>
        <v>57971.004999999997</v>
      </c>
      <c r="AY169" s="78">
        <f t="shared" si="7"/>
        <v>44573.06</v>
      </c>
      <c r="AZ169" s="78">
        <f t="shared" si="7"/>
        <v>138366.61427619046</v>
      </c>
      <c r="BA169" s="78">
        <f t="shared" si="7"/>
        <v>111792.95009523809</v>
      </c>
      <c r="BB169" s="78">
        <f t="shared" si="7"/>
        <v>105101.33</v>
      </c>
      <c r="BC169" s="78">
        <f t="shared" si="7"/>
        <v>125377.921</v>
      </c>
      <c r="BD169" s="78">
        <f t="shared" si="7"/>
        <v>140027.49695238096</v>
      </c>
      <c r="BE169" s="78">
        <f t="shared" si="7"/>
        <v>13501.964457142858</v>
      </c>
      <c r="BF169" s="78">
        <f t="shared" ref="BF169" si="8">SUM(BF138:BF167)/1000</f>
        <v>127672.13</v>
      </c>
      <c r="BG169" s="78">
        <f>SUM(C169:BE169)</f>
        <v>7941331.128461333</v>
      </c>
      <c r="BI169" s="5">
        <v>7871825.791327999</v>
      </c>
    </row>
    <row r="170" spans="1:61" x14ac:dyDescent="0.2">
      <c r="C170" s="78"/>
      <c r="D170" s="78"/>
      <c r="E170" s="78"/>
      <c r="F170" s="78"/>
      <c r="G170" s="78"/>
      <c r="H170" s="78"/>
      <c r="I170" s="78"/>
      <c r="J170" s="78"/>
      <c r="K170" s="78"/>
      <c r="L170" s="78"/>
      <c r="M170" s="78"/>
      <c r="N170" s="78"/>
      <c r="O170" s="78"/>
      <c r="P170" s="78"/>
      <c r="Q170" s="78"/>
      <c r="R170" s="78"/>
      <c r="S170" s="78"/>
      <c r="T170" s="78"/>
      <c r="U170" s="78"/>
      <c r="V170" s="78"/>
      <c r="W170" s="78"/>
      <c r="X170" s="78"/>
      <c r="Y170" s="78"/>
      <c r="Z170" s="78"/>
      <c r="AA170" s="78"/>
      <c r="AB170" s="78"/>
      <c r="AC170" s="78"/>
      <c r="AD170" s="78"/>
      <c r="AE170" s="78"/>
      <c r="AF170" s="78"/>
      <c r="AG170" s="78"/>
      <c r="AH170" s="78"/>
      <c r="AI170" s="78"/>
      <c r="AJ170" s="78"/>
      <c r="AK170" s="78"/>
      <c r="AL170" s="78"/>
      <c r="AM170" s="78"/>
      <c r="AN170" s="78"/>
      <c r="AO170" s="78"/>
      <c r="AP170" s="78"/>
      <c r="AQ170" s="78"/>
      <c r="AR170" s="78"/>
      <c r="AS170" s="78"/>
      <c r="AT170" s="78"/>
      <c r="AU170" s="78"/>
      <c r="AV170" s="78"/>
      <c r="AW170" s="78"/>
      <c r="AX170" s="78"/>
      <c r="AY170" s="78"/>
      <c r="AZ170" s="78"/>
      <c r="BA170" s="78"/>
      <c r="BB170" s="78"/>
      <c r="BC170" s="78"/>
      <c r="BD170" s="78"/>
      <c r="BE170" s="78"/>
      <c r="BF170" s="78"/>
    </row>
    <row r="171" spans="1:61" x14ac:dyDescent="0.2">
      <c r="A171" s="1228" t="s">
        <v>1177</v>
      </c>
      <c r="B171" s="1">
        <v>1</v>
      </c>
      <c r="C171" s="1240">
        <f>+IFERROR(HLOOKUP(C4,'סקרי נכסים-יתרות פתיחה'!$2:$110,35,0),0)-IFERROR(HLOOKUP(C4,'סקרי נכסים-יתרות פתיחה'!$2:$110,94,0),0)*(1-C$309)</f>
        <v>0</v>
      </c>
      <c r="D171" s="1240">
        <f>+IFERROR(HLOOKUP(D4,'סקרי נכסים-יתרות פתיחה'!$2:$110,35,0),0)-IFERROR(HLOOKUP(D4,'סקרי נכסים-יתרות פתיחה'!$2:$110,94,0),0)*(1-D$309)</f>
        <v>0</v>
      </c>
      <c r="E171" s="1240">
        <f>+IFERROR(HLOOKUP(E4,'סקרי נכסים-יתרות פתיחה'!$2:$110,35,0),0)-IFERROR(HLOOKUP(E4,'סקרי נכסים-יתרות פתיחה'!$2:$110,94,0),0)*(1-E$309)</f>
        <v>46954514.285714284</v>
      </c>
      <c r="F171" s="1240">
        <f>+IFERROR(HLOOKUP(F4,'סקרי נכסים-יתרות פתיחה'!$2:$110,35,0),0)-IFERROR(HLOOKUP(F4,'סקרי נכסים-יתרות פתיחה'!$2:$110,94,0),0)*(1-F$309)</f>
        <v>508342.85714285716</v>
      </c>
      <c r="G171" s="1240">
        <f>+IFERROR(HLOOKUP(G4,'סקרי נכסים-יתרות פתיחה'!$2:$110,35,0),0)-IFERROR(HLOOKUP(G4,'סקרי נכסים-יתרות פתיחה'!$2:$110,94,0),0)*(1-G$309)</f>
        <v>8550534.4000000004</v>
      </c>
      <c r="H171" s="1240">
        <f>+IFERROR(HLOOKUP(H4,'סקרי נכסים-יתרות פתיחה'!$2:$110,35,0),0)-IFERROR(HLOOKUP(H4,'סקרי נכסים-יתרות פתיחה'!$2:$110,94,0),0)*(1-H$309)</f>
        <v>26378535.314285714</v>
      </c>
      <c r="I171" s="1240">
        <f>+IFERROR(HLOOKUP(I4,'סקרי נכסים-יתרות פתיחה'!$2:$110,35,0),0)-IFERROR(HLOOKUP(I4,'סקרי נכסים-יתרות פתיחה'!$2:$110,94,0),0)*(1-I$309)</f>
        <v>27815314.285714287</v>
      </c>
      <c r="J171" s="1240">
        <f>+IFERROR(HLOOKUP(J4,'סקרי נכסים-יתרות פתיחה'!$2:$110,35,0),0)-IFERROR(HLOOKUP(J4,'סקרי נכסים-יתרות פתיחה'!$2:$110,94,0),0)*(1-J$309)</f>
        <v>26957714.285714287</v>
      </c>
      <c r="K171" s="1240">
        <f>+IFERROR(HLOOKUP(K4,'סקרי נכסים-יתרות פתיחה'!$2:$110,35,0),0)-IFERROR(HLOOKUP(K4,'סקרי נכסים-יתרות פתיחה'!$2:$110,94,0),0)*(1-K$309)</f>
        <v>836872.22857142857</v>
      </c>
      <c r="L171" s="1240">
        <f>+IFERROR(HLOOKUP(L4,'סקרי נכסים-יתרות פתיחה'!$2:$110,35,0),0)-IFERROR(HLOOKUP(L4,'סקרי נכסים-יתרות פתיחה'!$2:$110,94,0),0)*(1-L$309)</f>
        <v>6339657.1428571427</v>
      </c>
      <c r="M171" s="1240">
        <f>+IFERROR(HLOOKUP(M4,'סקרי נכסים-יתרות פתיחה'!$2:$110,35,0),0)-IFERROR(HLOOKUP(M4,'סקרי נכסים-יתרות פתיחה'!$2:$110,94,0),0)*(1-M$309)</f>
        <v>30711771.428571429</v>
      </c>
      <c r="N171" s="1240">
        <f>+IFERROR(HLOOKUP(N4,'סקרי נכסים-יתרות פתיחה'!$2:$110,35,0),0)-IFERROR(HLOOKUP(N4,'סקרי נכסים-יתרות פתיחה'!$2:$110,94,0),0)*(1-N$309)</f>
        <v>17278546.285714287</v>
      </c>
      <c r="O171" s="1240">
        <f>+IFERROR(HLOOKUP(O4,'סקרי נכסים-יתרות פתיחה'!$2:$110,35,0),0)-IFERROR(HLOOKUP(O4,'סקרי נכסים-יתרות פתיחה'!$2:$110,94,0),0)*(1-O$309)</f>
        <v>2839369.1428571427</v>
      </c>
      <c r="P171" s="1240">
        <f>+IFERROR(HLOOKUP(P4,'סקרי נכסים-יתרות פתיחה'!$2:$110,35,0),0)-IFERROR(HLOOKUP(P4,'סקרי נכסים-יתרות פתיחה'!$2:$110,94,0),0)*(1-P$309)</f>
        <v>495000</v>
      </c>
      <c r="Q171" s="1240">
        <f>+IFERROR(HLOOKUP(Q4,'סקרי נכסים-יתרות פתיחה'!$2:$110,35,0),0)-IFERROR(HLOOKUP(Q4,'סקרי נכסים-יתרות פתיחה'!$2:$110,94,0),0)*(1-Q$309)</f>
        <v>0</v>
      </c>
      <c r="R171" s="1240">
        <f>+IFERROR(HLOOKUP(R4,'סקרי נכסים-יתרות פתיחה'!$2:$110,35,0),0)-IFERROR(HLOOKUP(R4,'סקרי נכסים-יתרות פתיחה'!$2:$110,94,0),0)*(1-R$309)</f>
        <v>4082427.4285714286</v>
      </c>
      <c r="S171" s="1240">
        <f>+IFERROR(HLOOKUP(S4,'סקרי נכסים-יתרות פתיחה'!$2:$110,35,0),0)-IFERROR(HLOOKUP(S4,'סקרי נכסים-יתרות פתיחה'!$2:$110,94,0),0)*(1-S$309)</f>
        <v>10872848</v>
      </c>
      <c r="T171" s="1240">
        <f>+IFERROR(HLOOKUP(T4,'סקרי נכסים-יתרות פתיחה'!$2:$110,35,0),0)-IFERROR(HLOOKUP(T4,'סקרי נכסים-יתרות פתיחה'!$2:$110,94,0),0)*(1-T$309)</f>
        <v>8611264</v>
      </c>
      <c r="U171" s="1240">
        <f>+IFERROR(HLOOKUP(U4,'סקרי נכסים-יתרות פתיחה'!$2:$110,35,0),0)-IFERROR(HLOOKUP(U4,'סקרי נכסים-יתרות פתיחה'!$2:$110,94,0),0)*(1-U$309)</f>
        <v>9815433.1428571437</v>
      </c>
      <c r="V171" s="1240">
        <f>+IFERROR(HLOOKUP(V4,'סקרי נכסים-יתרות פתיחה'!$2:$110,35,0),0)-IFERROR(HLOOKUP(V4,'סקרי נכסים-יתרות פתיחה'!$2:$110,94,0),0)*(1-V$309)</f>
        <v>2723300</v>
      </c>
      <c r="W171" s="1240">
        <f>+IFERROR(HLOOKUP(W4,'סקרי נכסים-יתרות פתיחה'!$2:$110,35,0),0)-IFERROR(HLOOKUP(W4,'סקרי נכסים-יתרות פתיחה'!$2:$110,94,0),0)*(1-W$309)</f>
        <v>0</v>
      </c>
      <c r="X171" s="1240">
        <f>+IFERROR(HLOOKUP(X4,'סקרי נכסים-יתרות פתיחה'!$2:$110,35,0),0)-IFERROR(HLOOKUP(X4,'סקרי נכסים-יתרות פתיחה'!$2:$110,94,0),0)*(1-X$309)</f>
        <v>1709413</v>
      </c>
      <c r="Y171" s="1240">
        <f>+IFERROR(HLOOKUP(Y4,'סקרי נכסים-יתרות פתיחה'!$2:$110,35,0),0)-IFERROR(HLOOKUP(Y4,'סקרי נכסים-יתרות פתיחה'!$2:$110,94,0),0)*(1-Y$309)</f>
        <v>8017482.9714285713</v>
      </c>
      <c r="Z171" s="1240">
        <f>+IFERROR(HLOOKUP(Z4,'סקרי נכסים-יתרות פתיחה'!$2:$110,35,0),0)-IFERROR(HLOOKUP(Z4,'סקרי נכסים-יתרות פתיחה'!$2:$110,94,0),0)*(1-Z$309)</f>
        <v>8912457.1428571437</v>
      </c>
      <c r="AA171" s="1240">
        <f>+IFERROR(HLOOKUP(AA4,'סקרי נכסים-יתרות פתיחה'!$2:$110,35,0),0)-IFERROR(HLOOKUP(AA4,'סקרי נכסים-יתרות פתיחה'!$2:$110,94,0),0)*(1-AA$309)</f>
        <v>11323571.428571429</v>
      </c>
      <c r="AB171" s="1240">
        <f>+IFERROR(HLOOKUP(AB4,'סקרי נכסים-יתרות פתיחה'!$2:$110,35,0),0)-IFERROR(HLOOKUP(AB4,'סקרי נכסים-יתרות פתיחה'!$2:$110,94,0),0)*(1-AB$309)</f>
        <v>2249142.8571428573</v>
      </c>
      <c r="AC171" s="1240">
        <f>+IFERROR(HLOOKUP(AC4,'סקרי נכסים-יתרות פתיחה'!$2:$110,35,0),0)-IFERROR(HLOOKUP(AC4,'סקרי נכסים-יתרות פתיחה'!$2:$110,94,0),0)*(1-AC$309)</f>
        <v>15007142.857142858</v>
      </c>
      <c r="AD171" s="1240">
        <f>+IFERROR(HLOOKUP(AD4,'סקרי נכסים-יתרות פתיחה'!$2:$110,35,0),0)-IFERROR(HLOOKUP(AD4,'סקרי נכסים-יתרות פתיחה'!$2:$110,94,0),0)*(1-AD$309)</f>
        <v>4917393.3714285716</v>
      </c>
      <c r="AE171" s="1240">
        <f>+IFERROR(HLOOKUP(AE4,'סקרי נכסים-יתרות פתיחה'!$2:$110,35,0),0)-IFERROR(HLOOKUP(AE4,'סקרי נכסים-יתרות פתיחה'!$2:$110,94,0),0)*(1-AE$309)</f>
        <v>32851810.819047619</v>
      </c>
      <c r="AF171" s="1240">
        <f>+IFERROR(HLOOKUP(AF4,'סקרי נכסים-יתרות פתיחה'!$2:$110,35,0),0)-IFERROR(HLOOKUP(AF4,'סקרי נכסים-יתרות פתיחה'!$2:$110,94,0),0)*(1-AF$309)</f>
        <v>6536685.7142857146</v>
      </c>
      <c r="AG171" s="1240">
        <f>+IFERROR(HLOOKUP(AG4,'סקרי נכסים-יתרות פתיחה'!$2:$110,35,0),0)-IFERROR(HLOOKUP(AG4,'סקרי נכסים-יתרות פתיחה'!$2:$110,94,0),0)*(1-AG$309)</f>
        <v>2316372.5095238094</v>
      </c>
      <c r="AH171" s="1240">
        <f>+IFERROR(HLOOKUP(AH4,'סקרי נכסים-יתרות פתיחה'!$2:$110,35,0),0)-IFERROR(HLOOKUP(AH4,'סקרי נכסים-יתרות פתיחה'!$2:$110,94,0),0)*(1-AH$309)</f>
        <v>1409386</v>
      </c>
      <c r="AI171" s="1240">
        <f>+IFERROR(HLOOKUP(AI4,'סקרי נכסים-יתרות פתיחה'!$2:$110,35,0),0)-IFERROR(HLOOKUP(AI4,'סקרי נכסים-יתרות פתיחה'!$2:$110,94,0),0)*(1-AI$309)</f>
        <v>6491428.5714285718</v>
      </c>
      <c r="AJ171" s="1240">
        <f>+IFERROR(HLOOKUP(AJ4,'סקרי נכסים-יתרות פתיחה'!$2:$110,35,0),0)-IFERROR(HLOOKUP(AJ4,'סקרי נכסים-יתרות פתיחה'!$2:$110,94,0),0)*(1-AJ$309)</f>
        <v>15085714.285714285</v>
      </c>
      <c r="AK171" s="1240">
        <f>+IFERROR(HLOOKUP(AK4,'סקרי נכסים-יתרות פתיחה'!$2:$110,35,0),0)-IFERROR(HLOOKUP(AK4,'סקרי נכסים-יתרות פתיחה'!$2:$110,94,0),0)*(1-AK$309)</f>
        <v>7239634.2857142854</v>
      </c>
      <c r="AL171" s="1240">
        <f>+IFERROR(HLOOKUP(AL4,'סקרי נכסים-יתרות פתיחה'!$2:$110,35,0),0)-IFERROR(HLOOKUP(AL4,'סקרי נכסים-יתרות פתיחה'!$2:$110,94,0),0)*(1-AL$309)</f>
        <v>16516042.857142858</v>
      </c>
      <c r="AM171" s="1240">
        <f>+IFERROR(HLOOKUP(AM4,'סקרי נכסים-יתרות פתיחה'!$2:$110,35,0),0)-IFERROR(HLOOKUP(AM4,'סקרי נכסים-יתרות פתיחה'!$2:$110,94,0),0)*(1-AM$309)</f>
        <v>1084916.3809523811</v>
      </c>
      <c r="AN171" s="1240">
        <f>+IFERROR(HLOOKUP(AN4,'סקרי נכסים-יתרות פתיחה'!$2:$110,35,0),0)-IFERROR(HLOOKUP(AN4,'סקרי נכסים-יתרות פתיחה'!$2:$110,94,0),0)*(1-AN$309)</f>
        <v>2775680</v>
      </c>
      <c r="AO171" s="1240">
        <f>+IFERROR(HLOOKUP(AO4,'סקרי נכסים-יתרות פתיחה'!$2:$110,35,0),0)-IFERROR(HLOOKUP(AO4,'סקרי נכסים-יתרות פתיחה'!$2:$110,94,0),0)*(1-AO$309)</f>
        <v>5700146.2857142854</v>
      </c>
      <c r="AP171" s="1240">
        <f>+IFERROR(HLOOKUP(AP4,'סקרי נכסים-יתרות פתיחה'!$2:$110,35,0),0)-IFERROR(HLOOKUP(AP4,'סקרי נכסים-יתרות פתיחה'!$2:$110,94,0),0)*(1-AP$309)</f>
        <v>292866.66666666669</v>
      </c>
      <c r="AQ171" s="1240">
        <f>+IFERROR(HLOOKUP(AQ4,'סקרי נכסים-יתרות פתיחה'!$2:$110,35,0),0)-IFERROR(HLOOKUP(AQ4,'סקרי נכסים-יתרות פתיחה'!$2:$110,94,0),0)*(1-AQ$309)</f>
        <v>7006454.8571428573</v>
      </c>
      <c r="AR171" s="1240">
        <f>+IFERROR(HLOOKUP(AR4,'סקרי נכסים-יתרות פתיחה'!$2:$110,35,0),0)-IFERROR(HLOOKUP(AR4,'סקרי נכסים-יתרות פתיחה'!$2:$110,94,0),0)*(1-AR$309)</f>
        <v>4047380.9523809524</v>
      </c>
      <c r="AS171" s="1240">
        <f>+IFERROR(HLOOKUP(AS4,'סקרי נכסים-יתרות פתיחה'!$2:$110,35,0),0)-IFERROR(HLOOKUP(AS4,'סקרי נכסים-יתרות פתיחה'!$2:$110,94,0),0)*(1-AS$309)</f>
        <v>570000</v>
      </c>
      <c r="AT171" s="1240">
        <f>+IFERROR(HLOOKUP(AT4,'סקרי נכסים-יתרות פתיחה'!$2:$110,35,0),0)-IFERROR(HLOOKUP(AT4,'סקרי נכסים-יתרות פתיחה'!$2:$110,94,0),0)*(1-AT$309)</f>
        <v>773095.23809523811</v>
      </c>
      <c r="AU171" s="1240">
        <f>+IFERROR(HLOOKUP(AU4,'סקרי נכסים-יתרות פתיחה'!$2:$110,35,0),0)-IFERROR(HLOOKUP(AU4,'סקרי נכסים-יתרות פתיחה'!$2:$110,94,0),0)*(1-AU$309)</f>
        <v>982285.71428571432</v>
      </c>
      <c r="AV171" s="1240">
        <f>+IFERROR(HLOOKUP(AV4,'סקרי נכסים-יתרות פתיחה'!$2:$110,35,0),0)-IFERROR(HLOOKUP(AV4,'סקרי נכסים-יתרות פתיחה'!$2:$110,94,0),0)*(1-AV$309)</f>
        <v>7884841.9904761901</v>
      </c>
      <c r="AW171" s="1240">
        <f>+IFERROR(HLOOKUP(AW4,'סקרי נכסים-יתרות פתיחה'!$2:$110,35,0),0)-IFERROR(HLOOKUP(AW4,'סקרי נכסים-יתרות פתיחה'!$2:$110,94,0),0)*(1-AW$309)</f>
        <v>10244858</v>
      </c>
      <c r="AX171" s="1240">
        <f>+IFERROR(HLOOKUP(AX4,'סקרי נכסים-יתרות פתיחה'!$2:$110,35,0),0)-IFERROR(HLOOKUP(AX4,'סקרי נכסים-יתרות פתיחה'!$2:$110,94,0),0)*(1-AX$309)</f>
        <v>0</v>
      </c>
      <c r="AY171" s="1240">
        <f>+IFERROR(HLOOKUP(AY4,'סקרי נכסים-יתרות פתיחה'!$2:$110,35,0),0)-IFERROR(HLOOKUP(AY4,'סקרי נכסים-יתרות פתיחה'!$2:$110,94,0),0)*(1-AY$309)</f>
        <v>5742005.7142857146</v>
      </c>
      <c r="AZ171" s="1240">
        <f>+IFERROR(HLOOKUP(AZ4,'סקרי נכסים-יתרות פתיחה'!$2:$110,35,0),0)-IFERROR(HLOOKUP(AZ4,'סקרי נכסים-יתרות פתיחה'!$2:$110,94,0),0)*(1-AZ$309)</f>
        <v>2501190.4761904762</v>
      </c>
      <c r="BA171" s="1240">
        <f>+IFERROR(HLOOKUP(BA4,'סקרי נכסים-יתרות פתיחה'!$2:$110,35,0),0)-IFERROR(HLOOKUP(BA4,'סקרי נכסים-יתרות פתיחה'!$2:$110,94,0),0)*(1-BA$309)</f>
        <v>3274285.7142857146</v>
      </c>
      <c r="BB171" s="1240">
        <f>+IFERROR(HLOOKUP(BB4,'סקרי נכסים-יתרות פתיחה'!$2:$110,35,0),0)-IFERROR(HLOOKUP(BB4,'סקרי נכסים-יתרות פתיחה'!$2:$110,94,0),0)*(1-BB$309)</f>
        <v>0</v>
      </c>
      <c r="BC171" s="1240">
        <f>+IFERROR(HLOOKUP(BC4,'סקרי נכסים-יתרות פתיחה'!$2:$110,35,0),0)-IFERROR(HLOOKUP(BC4,'סקרי נכסים-יתרות פתיחה'!$2:$110,94,0),0)*(1-BC$309)</f>
        <v>311567.66666666669</v>
      </c>
      <c r="BD171" s="1240">
        <f>+IFERROR(HLOOKUP(BD4,'סקרי נכסים-יתרות פתיחה'!$2:$110,35,0),0)-IFERROR(HLOOKUP(BD4,'סקרי נכסים-יתרות פתיחה'!$2:$110,94,0),0)*(1-BD$309)</f>
        <v>10335547.619047619</v>
      </c>
      <c r="BE171" s="1240">
        <f>+IFERROR(HLOOKUP(BE4,'סקרי נכסים-יתרות פתיחה'!$2:$110,35,0),0)-IFERROR(HLOOKUP(BE4,'סקרי נכסים-יתרות פתיחה'!$2:$110,94,0),0)*(1-BE$309)</f>
        <v>4148571.4285714286</v>
      </c>
      <c r="BF171" s="1240">
        <f>+IFERROR(HLOOKUP(BF4,'סקרי נכסים-יתרות פתיחה'!$2:$110,35,0),0)-IFERROR(HLOOKUP(BF4,'סקרי נכסים-יתרות פתיחה'!$2:$110,94,0),0)*(1-BF$309)</f>
        <v>11694301</v>
      </c>
    </row>
    <row r="172" spans="1:61" x14ac:dyDescent="0.2">
      <c r="B172" s="1">
        <v>2</v>
      </c>
      <c r="C172" s="1240">
        <f>+IFERROR(HLOOKUP(C5,'סקרי נכסים-יתרות פתיחה'!$2:$110,35,0),0)-IFERROR(HLOOKUP(C5,'סקרי נכסים-יתרות פתיחה'!$2:$110,94,0),0)*(1-C$309)</f>
        <v>0</v>
      </c>
      <c r="D172" s="1240">
        <f>+IFERROR(HLOOKUP(D5,'סקרי נכסים-יתרות פתיחה'!$2:$110,35,0),0)-IFERROR(HLOOKUP(D5,'סקרי נכסים-יתרות פתיחה'!$2:$110,94,0),0)*(1-D$309)</f>
        <v>793200</v>
      </c>
      <c r="E172" s="1240">
        <f>+IFERROR(HLOOKUP(E5,'סקרי נכסים-יתרות פתיחה'!$2:$110,35,0),0)-IFERROR(HLOOKUP(E5,'סקרי נכסים-יתרות פתיחה'!$2:$110,94,0),0)*(1-E$309)</f>
        <v>0</v>
      </c>
      <c r="F172" s="1240">
        <f>+IFERROR(HLOOKUP(F5,'סקרי נכסים-יתרות פתיחה'!$2:$110,35,0),0)-IFERROR(HLOOKUP(F5,'סקרי נכסים-יתרות פתיחה'!$2:$110,94,0),0)*(1-F$309)</f>
        <v>731428.57142857148</v>
      </c>
      <c r="G172" s="1240">
        <f>+IFERROR(HLOOKUP(G5,'סקרי נכסים-יתרות פתיחה'!$2:$110,35,0),0)-IFERROR(HLOOKUP(G5,'סקרי נכסים-יתרות פתיחה'!$2:$110,94,0),0)*(1-G$309)</f>
        <v>0</v>
      </c>
      <c r="H172" s="1240">
        <f>+IFERROR(HLOOKUP(H5,'סקרי נכסים-יתרות פתיחה'!$2:$110,35,0),0)-IFERROR(HLOOKUP(H5,'סקרי נכסים-יתרות פתיחה'!$2:$110,94,0),0)*(1-H$309)</f>
        <v>0</v>
      </c>
      <c r="I172" s="1240">
        <f>+IFERROR(HLOOKUP(I5,'סקרי נכסים-יתרות פתיחה'!$2:$110,35,0),0)-IFERROR(HLOOKUP(I5,'סקרי נכסים-יתרות פתיחה'!$2:$110,94,0),0)*(1-I$309)</f>
        <v>0</v>
      </c>
      <c r="J172" s="1240">
        <f>+IFERROR(HLOOKUP(J5,'סקרי נכסים-יתרות פתיחה'!$2:$110,35,0),0)-IFERROR(HLOOKUP(J5,'סקרי נכסים-יתרות פתיחה'!$2:$110,94,0),0)*(1-J$309)</f>
        <v>0</v>
      </c>
      <c r="K172" s="1240">
        <f>+IFERROR(HLOOKUP(K5,'סקרי נכסים-יתרות פתיחה'!$2:$110,35,0),0)-IFERROR(HLOOKUP(K5,'סקרי נכסים-יתרות פתיחה'!$2:$110,94,0),0)*(1-K$309)</f>
        <v>3297828.5714285714</v>
      </c>
      <c r="L172" s="1240">
        <f>+IFERROR(HLOOKUP(L5,'סקרי נכסים-יתרות פתיחה'!$2:$110,35,0),0)-IFERROR(HLOOKUP(L5,'סקרי נכסים-יתרות פתיחה'!$2:$110,94,0),0)*(1-L$309)</f>
        <v>164571.42857142858</v>
      </c>
      <c r="M172" s="1240">
        <f>+IFERROR(HLOOKUP(M5,'סקרי נכסים-יתרות פתיחה'!$2:$110,35,0),0)-IFERROR(HLOOKUP(M5,'סקרי נכסים-יתרות פתיחה'!$2:$110,94,0),0)*(1-M$309)</f>
        <v>0</v>
      </c>
      <c r="N172" s="1240">
        <f>+IFERROR(HLOOKUP(N5,'סקרי נכסים-יתרות פתיחה'!$2:$110,35,0),0)-IFERROR(HLOOKUP(N5,'סקרי נכסים-יתרות פתיחה'!$2:$110,94,0),0)*(1-N$309)</f>
        <v>7094010.1285714284</v>
      </c>
      <c r="O172" s="1240">
        <f>+IFERROR(HLOOKUP(O5,'סקרי נכסים-יתרות פתיחה'!$2:$110,35,0),0)-IFERROR(HLOOKUP(O5,'סקרי נכסים-יתרות פתיחה'!$2:$110,94,0),0)*(1-O$309)</f>
        <v>0</v>
      </c>
      <c r="P172" s="1240">
        <f>+IFERROR(HLOOKUP(P5,'סקרי נכסים-יתרות פתיחה'!$2:$110,35,0),0)-IFERROR(HLOOKUP(P5,'סקרי נכסים-יתרות פתיחה'!$2:$110,94,0),0)*(1-P$309)</f>
        <v>517000</v>
      </c>
      <c r="Q172" s="1240">
        <f>+IFERROR(HLOOKUP(Q5,'סקרי נכסים-יתרות פתיחה'!$2:$110,35,0),0)-IFERROR(HLOOKUP(Q5,'סקרי נכסים-יתרות פתיחה'!$2:$110,94,0),0)*(1-Q$309)</f>
        <v>0</v>
      </c>
      <c r="R172" s="1240">
        <f>+IFERROR(HLOOKUP(R5,'סקרי נכסים-יתרות פתיחה'!$2:$110,35,0),0)-IFERROR(HLOOKUP(R5,'סקרי נכסים-יתרות פתיחה'!$2:$110,94,0),0)*(1-R$309)</f>
        <v>1883828.5714285714</v>
      </c>
      <c r="S172" s="1240">
        <f>+IFERROR(HLOOKUP(S5,'סקרי נכסים-יתרות פתיחה'!$2:$110,35,0),0)-IFERROR(HLOOKUP(S5,'סקרי נכסים-יתרות פתיחה'!$2:$110,94,0),0)*(1-S$309)</f>
        <v>0</v>
      </c>
      <c r="T172" s="1240">
        <f>+IFERROR(HLOOKUP(T5,'סקרי נכסים-יתרות פתיחה'!$2:$110,35,0),0)-IFERROR(HLOOKUP(T5,'סקרי נכסים-יתרות פתיחה'!$2:$110,94,0),0)*(1-T$309)</f>
        <v>5079085</v>
      </c>
      <c r="U172" s="1240">
        <f>+IFERROR(HLOOKUP(U5,'סקרי נכסים-יתרות פתיחה'!$2:$110,35,0),0)-IFERROR(HLOOKUP(U5,'סקרי נכסים-יתרות פתיחה'!$2:$110,94,0),0)*(1-U$309)</f>
        <v>0</v>
      </c>
      <c r="V172" s="1240">
        <f>+IFERROR(HLOOKUP(V5,'סקרי נכסים-יתרות פתיחה'!$2:$110,35,0),0)-IFERROR(HLOOKUP(V5,'סקרי נכסים-יתרות פתיחה'!$2:$110,94,0),0)*(1-V$309)</f>
        <v>1944826</v>
      </c>
      <c r="W172" s="1240">
        <f>+IFERROR(HLOOKUP(W5,'סקרי נכסים-יתרות פתיחה'!$2:$110,35,0),0)-IFERROR(HLOOKUP(W5,'סקרי נכסים-יתרות פתיחה'!$2:$110,94,0),0)*(1-W$309)</f>
        <v>0</v>
      </c>
      <c r="X172" s="1240">
        <f>+IFERROR(HLOOKUP(X5,'סקרי נכסים-יתרות פתיחה'!$2:$110,35,0),0)-IFERROR(HLOOKUP(X5,'סקרי נכסים-יתרות פתיחה'!$2:$110,94,0),0)*(1-X$309)</f>
        <v>0</v>
      </c>
      <c r="Y172" s="1240">
        <f>+IFERROR(HLOOKUP(Y5,'סקרי נכסים-יתרות פתיחה'!$2:$110,35,0),0)-IFERROR(HLOOKUP(Y5,'סקרי נכסים-יתרות פתיחה'!$2:$110,94,0),0)*(1-Y$309)</f>
        <v>2377142.8571428573</v>
      </c>
      <c r="Z172" s="1240">
        <f>+IFERROR(HLOOKUP(Z5,'סקרי נכסים-יתרות פתיחה'!$2:$110,35,0),0)-IFERROR(HLOOKUP(Z5,'סקרי נכסים-יתרות פתיחה'!$2:$110,94,0),0)*(1-Z$309)</f>
        <v>0</v>
      </c>
      <c r="AA172" s="1240">
        <f>+IFERROR(HLOOKUP(AA5,'סקרי נכסים-יתרות פתיחה'!$2:$110,35,0),0)-IFERROR(HLOOKUP(AA5,'סקרי נכסים-יתרות פתיחה'!$2:$110,94,0),0)*(1-AA$309)</f>
        <v>0</v>
      </c>
      <c r="AB172" s="1240">
        <f>+IFERROR(HLOOKUP(AB5,'סקרי נכסים-יתרות פתיחה'!$2:$110,35,0),0)-IFERROR(HLOOKUP(AB5,'סקרי נכסים-יתרות פתיחה'!$2:$110,94,0),0)*(1-AB$309)</f>
        <v>0</v>
      </c>
      <c r="AC172" s="1240">
        <f>+IFERROR(HLOOKUP(AC5,'סקרי נכסים-יתרות פתיחה'!$2:$110,35,0),0)-IFERROR(HLOOKUP(AC5,'סקרי נכסים-יתרות פתיחה'!$2:$110,94,0),0)*(1-AC$309)</f>
        <v>0</v>
      </c>
      <c r="AD172" s="1240">
        <f>+IFERROR(HLOOKUP(AD5,'סקרי נכסים-יתרות פתיחה'!$2:$110,35,0),0)-IFERROR(HLOOKUP(AD5,'סקרי נכסים-יתרות פתיחה'!$2:$110,94,0),0)*(1-AD$309)</f>
        <v>0</v>
      </c>
      <c r="AE172" s="1240">
        <f>+IFERROR(HLOOKUP(AE5,'סקרי נכסים-יתרות פתיחה'!$2:$110,35,0),0)-IFERROR(HLOOKUP(AE5,'סקרי נכסים-יתרות פתיחה'!$2:$110,94,0),0)*(1-AE$309)</f>
        <v>0</v>
      </c>
      <c r="AF172" s="1240">
        <f>+IFERROR(HLOOKUP(AF5,'סקרי נכסים-יתרות פתיחה'!$2:$110,35,0),0)-IFERROR(HLOOKUP(AF5,'סקרי נכסים-יתרות פתיחה'!$2:$110,94,0),0)*(1-AF$309)</f>
        <v>5139719.0476190476</v>
      </c>
      <c r="AG172" s="1240">
        <f>+IFERROR(HLOOKUP(AG5,'סקרי נכסים-יתרות פתיחה'!$2:$110,35,0),0)-IFERROR(HLOOKUP(AG5,'סקרי נכסים-יתרות פתיחה'!$2:$110,94,0),0)*(1-AG$309)</f>
        <v>0</v>
      </c>
      <c r="AH172" s="1240">
        <f>+IFERROR(HLOOKUP(AH5,'סקרי נכסים-יתרות פתיחה'!$2:$110,35,0),0)-IFERROR(HLOOKUP(AH5,'סקרי נכסים-יתרות פתיחה'!$2:$110,94,0),0)*(1-AH$309)</f>
        <v>0</v>
      </c>
      <c r="AI172" s="1240">
        <f>+IFERROR(HLOOKUP(AI5,'סקרי נכסים-יתרות פתיחה'!$2:$110,35,0),0)-IFERROR(HLOOKUP(AI5,'סקרי נכסים-יתרות פתיחה'!$2:$110,94,0),0)*(1-AI$309)</f>
        <v>0</v>
      </c>
      <c r="AJ172" s="1240">
        <f>+IFERROR(HLOOKUP(AJ5,'סקרי נכסים-יתרות פתיחה'!$2:$110,35,0),0)-IFERROR(HLOOKUP(AJ5,'סקרי נכסים-יתרות פתיחה'!$2:$110,94,0),0)*(1-AJ$309)</f>
        <v>0</v>
      </c>
      <c r="AK172" s="1240">
        <f>+IFERROR(HLOOKUP(AK5,'סקרי נכסים-יתרות פתיחה'!$2:$110,35,0),0)-IFERROR(HLOOKUP(AK5,'סקרי נכסים-יתרות פתיחה'!$2:$110,94,0),0)*(1-AK$309)</f>
        <v>0</v>
      </c>
      <c r="AL172" s="1240">
        <f>+IFERROR(HLOOKUP(AL5,'סקרי נכסים-יתרות פתיחה'!$2:$110,35,0),0)-IFERROR(HLOOKUP(AL5,'סקרי נכסים-יתרות פתיחה'!$2:$110,94,0),0)*(1-AL$309)</f>
        <v>0</v>
      </c>
      <c r="AM172" s="1240">
        <f>+IFERROR(HLOOKUP(AM5,'סקרי נכסים-יתרות פתיחה'!$2:$110,35,0),0)-IFERROR(HLOOKUP(AM5,'סקרי נכסים-יתרות פתיחה'!$2:$110,94,0),0)*(1-AM$309)</f>
        <v>7226166.666666667</v>
      </c>
      <c r="AN172" s="1240">
        <f>+IFERROR(HLOOKUP(AN5,'סקרי נכסים-יתרות פתיחה'!$2:$110,35,0),0)-IFERROR(HLOOKUP(AN5,'סקרי נכסים-יתרות פתיחה'!$2:$110,94,0),0)*(1-AN$309)</f>
        <v>4040460</v>
      </c>
      <c r="AO172" s="1240">
        <f>+IFERROR(HLOOKUP(AO5,'סקרי נכסים-יתרות פתיחה'!$2:$110,35,0),0)-IFERROR(HLOOKUP(AO5,'סקרי נכסים-יתרות פתיחה'!$2:$110,94,0),0)*(1-AO$309)</f>
        <v>0</v>
      </c>
      <c r="AP172" s="1240">
        <f>+IFERROR(HLOOKUP(AP5,'סקרי נכסים-יתרות פתיחה'!$2:$110,35,0),0)-IFERROR(HLOOKUP(AP5,'סקרי נכסים-יתרות פתיחה'!$2:$110,94,0),0)*(1-AP$309)</f>
        <v>0</v>
      </c>
      <c r="AQ172" s="1240">
        <f>+IFERROR(HLOOKUP(AQ5,'סקרי נכסים-יתרות פתיחה'!$2:$110,35,0),0)-IFERROR(HLOOKUP(AQ5,'סקרי נכסים-יתרות פתיחה'!$2:$110,94,0),0)*(1-AQ$309)</f>
        <v>0</v>
      </c>
      <c r="AR172" s="1240">
        <f>+IFERROR(HLOOKUP(AR5,'סקרי נכסים-יתרות פתיחה'!$2:$110,35,0),0)-IFERROR(HLOOKUP(AR5,'סקרי נכסים-יתרות פתיחה'!$2:$110,94,0),0)*(1-AR$309)</f>
        <v>0</v>
      </c>
      <c r="AS172" s="1240">
        <f>+IFERROR(HLOOKUP(AS5,'סקרי נכסים-יתרות פתיחה'!$2:$110,35,0),0)-IFERROR(HLOOKUP(AS5,'סקרי נכסים-יתרות פתיחה'!$2:$110,94,0),0)*(1-AS$309)</f>
        <v>1463800</v>
      </c>
      <c r="AT172" s="1240">
        <f>+IFERROR(HLOOKUP(AT5,'סקרי נכסים-יתרות פתיחה'!$2:$110,35,0),0)-IFERROR(HLOOKUP(AT5,'סקרי נכסים-יתרות פתיחה'!$2:$110,94,0),0)*(1-AT$309)</f>
        <v>0</v>
      </c>
      <c r="AU172" s="1240">
        <f>+IFERROR(HLOOKUP(AU5,'סקרי נכסים-יתרות פתיחה'!$2:$110,35,0),0)-IFERROR(HLOOKUP(AU5,'סקרי נכסים-יתרות פתיחה'!$2:$110,94,0),0)*(1-AU$309)</f>
        <v>0</v>
      </c>
      <c r="AV172" s="1240">
        <f>+IFERROR(HLOOKUP(AV5,'סקרי נכסים-יתרות פתיחה'!$2:$110,35,0),0)-IFERROR(HLOOKUP(AV5,'סקרי נכסים-יתרות פתיחה'!$2:$110,94,0),0)*(1-AV$309)</f>
        <v>0</v>
      </c>
      <c r="AW172" s="1240">
        <f>+IFERROR(HLOOKUP(AW5,'סקרי נכסים-יתרות פתיחה'!$2:$110,35,0),0)-IFERROR(HLOOKUP(AW5,'סקרי נכסים-יתרות פתיחה'!$2:$110,94,0),0)*(1-AW$309)</f>
        <v>0</v>
      </c>
      <c r="AX172" s="1240">
        <f>+IFERROR(HLOOKUP(AX5,'סקרי נכסים-יתרות פתיחה'!$2:$110,35,0),0)-IFERROR(HLOOKUP(AX5,'סקרי נכסים-יתרות פתיחה'!$2:$110,94,0),0)*(1-AX$309)</f>
        <v>3380000</v>
      </c>
      <c r="AY172" s="1240">
        <f>+IFERROR(HLOOKUP(AY5,'סקרי נכסים-יתרות פתיחה'!$2:$110,35,0),0)-IFERROR(HLOOKUP(AY5,'סקרי נכסים-יתרות פתיחה'!$2:$110,94,0),0)*(1-AY$309)</f>
        <v>0</v>
      </c>
      <c r="AZ172" s="1240">
        <f>+IFERROR(HLOOKUP(AZ5,'סקרי נכסים-יתרות פתיחה'!$2:$110,35,0),0)-IFERROR(HLOOKUP(AZ5,'סקרי נכסים-יתרות פתיחה'!$2:$110,94,0),0)*(1-AZ$309)</f>
        <v>2129195.2380952379</v>
      </c>
      <c r="BA172" s="1240">
        <f>+IFERROR(HLOOKUP(BA5,'סקרי נכסים-יתרות פתיחה'!$2:$110,35,0),0)-IFERROR(HLOOKUP(BA5,'סקרי נכסים-יתרות פתיחה'!$2:$110,94,0),0)*(1-BA$309)</f>
        <v>6468591.5428571431</v>
      </c>
      <c r="BB172" s="1240">
        <f>+IFERROR(HLOOKUP(BB5,'סקרי נכסים-יתרות פתיחה'!$2:$110,35,0),0)-IFERROR(HLOOKUP(BB5,'סקרי נכסים-יתרות פתיחה'!$2:$110,94,0),0)*(1-BB$309)</f>
        <v>0</v>
      </c>
      <c r="BC172" s="1240">
        <f>+IFERROR(HLOOKUP(BC5,'סקרי נכסים-יתרות פתיחה'!$2:$110,35,0),0)-IFERROR(HLOOKUP(BC5,'סקרי נכסים-יתרות פתיחה'!$2:$110,94,0),0)*(1-BC$309)</f>
        <v>1850000</v>
      </c>
      <c r="BD172" s="1240">
        <f>+IFERROR(HLOOKUP(BD5,'סקרי נכסים-יתרות פתיחה'!$2:$110,35,0),0)-IFERROR(HLOOKUP(BD5,'סקרי נכסים-יתרות פתיחה'!$2:$110,94,0),0)*(1-BD$309)</f>
        <v>2171428.5714285714</v>
      </c>
      <c r="BE172" s="1240">
        <f>+IFERROR(HLOOKUP(BE5,'סקרי נכסים-יתרות פתיחה'!$2:$110,35,0),0)-IFERROR(HLOOKUP(BE5,'סקרי נכסים-יתרות פתיחה'!$2:$110,94,0),0)*(1-BE$309)</f>
        <v>0</v>
      </c>
      <c r="BF172" s="1240">
        <f>+IFERROR(HLOOKUP(BF5,'סקרי נכסים-יתרות פתיחה'!$2:$110,35,0),0)-IFERROR(HLOOKUP(BF5,'סקרי נכסים-יתרות פתיחה'!$2:$110,94,0),0)*(1-BF$309)</f>
        <v>0</v>
      </c>
    </row>
    <row r="173" spans="1:61" x14ac:dyDescent="0.2">
      <c r="B173" s="1">
        <v>3</v>
      </c>
      <c r="C173" s="1240">
        <f>+IFERROR(HLOOKUP(C6,'סקרי נכסים-יתרות פתיחה'!$2:$110,35,0),0)-IFERROR(HLOOKUP(C6,'סקרי נכסים-יתרות פתיחה'!$2:$110,94,0),0)*(1-C$309)</f>
        <v>0</v>
      </c>
      <c r="D173" s="1240">
        <f>+IFERROR(HLOOKUP(D6,'סקרי נכסים-יתרות פתיחה'!$2:$110,35,0),0)-IFERROR(HLOOKUP(D6,'סקרי נכסים-יתרות פתיחה'!$2:$110,94,0),0)*(1-D$309)</f>
        <v>0</v>
      </c>
      <c r="E173" s="1240">
        <f>+IFERROR(HLOOKUP(E6,'סקרי נכסים-יתרות פתיחה'!$2:$110,35,0),0)-IFERROR(HLOOKUP(E6,'סקרי נכסים-יתרות פתיחה'!$2:$110,94,0),0)*(1-E$309)</f>
        <v>0</v>
      </c>
      <c r="F173" s="1240">
        <f>+IFERROR(HLOOKUP(F6,'סקרי נכסים-יתרות פתיחה'!$2:$110,35,0),0)-IFERROR(HLOOKUP(F6,'סקרי נכסים-יתרות פתיחה'!$2:$110,94,0),0)*(1-F$309)</f>
        <v>0</v>
      </c>
      <c r="G173" s="1240">
        <f>+IFERROR(HLOOKUP(G6,'סקרי נכסים-יתרות פתיחה'!$2:$110,35,0),0)-IFERROR(HLOOKUP(G6,'סקרי נכסים-יתרות פתיחה'!$2:$110,94,0),0)*(1-G$309)</f>
        <v>0</v>
      </c>
      <c r="H173" s="1240">
        <f>+IFERROR(HLOOKUP(H6,'סקרי נכסים-יתרות פתיחה'!$2:$110,35,0),0)-IFERROR(HLOOKUP(H6,'סקרי נכסים-יתרות פתיחה'!$2:$110,94,0),0)*(1-H$309)</f>
        <v>1883077.3333333333</v>
      </c>
      <c r="I173" s="1240">
        <f>+IFERROR(HLOOKUP(I6,'סקרי נכסים-יתרות פתיחה'!$2:$110,35,0),0)-IFERROR(HLOOKUP(I6,'סקרי נכסים-יתרות פתיחה'!$2:$110,94,0),0)*(1-I$309)</f>
        <v>0</v>
      </c>
      <c r="J173" s="1240">
        <f>+IFERROR(HLOOKUP(J6,'סקרי נכסים-יתרות פתיחה'!$2:$110,35,0),0)-IFERROR(HLOOKUP(J6,'סקרי נכסים-יתרות פתיחה'!$2:$110,94,0),0)*(1-J$309)</f>
        <v>0</v>
      </c>
      <c r="K173" s="1240">
        <f>+IFERROR(HLOOKUP(K6,'סקרי נכסים-יתרות פתיחה'!$2:$110,35,0),0)-IFERROR(HLOOKUP(K6,'סקרי נכסים-יתרות פתיחה'!$2:$110,94,0),0)*(1-K$309)</f>
        <v>7358057.1428571427</v>
      </c>
      <c r="L173" s="1240">
        <f>+IFERROR(HLOOKUP(L6,'סקרי נכסים-יתרות פתיחה'!$2:$110,35,0),0)-IFERROR(HLOOKUP(L6,'סקרי נכסים-יתרות פתיחה'!$2:$110,94,0),0)*(1-L$309)</f>
        <v>320000</v>
      </c>
      <c r="M173" s="1240">
        <f>+IFERROR(HLOOKUP(M6,'סקרי נכסים-יתרות פתיחה'!$2:$110,35,0),0)-IFERROR(HLOOKUP(M6,'סקרי נכסים-יתרות פתיחה'!$2:$110,94,0),0)*(1-M$309)</f>
        <v>0</v>
      </c>
      <c r="N173" s="1240">
        <f>+IFERROR(HLOOKUP(N6,'סקרי נכסים-יתרות פתיחה'!$2:$110,35,0),0)-IFERROR(HLOOKUP(N6,'סקרי נכסים-יתרות פתיחה'!$2:$110,94,0),0)*(1-N$309)</f>
        <v>0</v>
      </c>
      <c r="O173" s="1240">
        <f>+IFERROR(HLOOKUP(O6,'סקרי נכסים-יתרות פתיחה'!$2:$110,35,0),0)-IFERROR(HLOOKUP(O6,'סקרי נכסים-יתרות פתיחה'!$2:$110,94,0),0)*(1-O$309)</f>
        <v>0</v>
      </c>
      <c r="P173" s="1240">
        <f>+IFERROR(HLOOKUP(P6,'סקרי נכסים-יתרות פתיחה'!$2:$110,35,0),0)-IFERROR(HLOOKUP(P6,'סקרי נכסים-יתרות פתיחה'!$2:$110,94,0),0)*(1-P$309)</f>
        <v>496800</v>
      </c>
      <c r="Q173" s="1240">
        <f>+IFERROR(HLOOKUP(Q6,'סקרי נכסים-יתרות פתיחה'!$2:$110,35,0),0)-IFERROR(HLOOKUP(Q6,'סקרי נכסים-יתרות פתיחה'!$2:$110,94,0),0)*(1-Q$309)</f>
        <v>0</v>
      </c>
      <c r="R173" s="1240">
        <f>+IFERROR(HLOOKUP(R6,'סקרי נכסים-יתרות פתיחה'!$2:$110,35,0),0)-IFERROR(HLOOKUP(R6,'סקרי נכסים-יתרות פתיחה'!$2:$110,94,0),0)*(1-R$309)</f>
        <v>1883828.5714285714</v>
      </c>
      <c r="S173" s="1240">
        <f>+IFERROR(HLOOKUP(S6,'סקרי נכסים-יתרות פתיחה'!$2:$110,35,0),0)-IFERROR(HLOOKUP(S6,'סקרי נכסים-יתרות פתיחה'!$2:$110,94,0),0)*(1-S$309)</f>
        <v>0</v>
      </c>
      <c r="T173" s="1240">
        <f>+IFERROR(HLOOKUP(T6,'סקרי נכסים-יתרות פתיחה'!$2:$110,35,0),0)-IFERROR(HLOOKUP(T6,'סקרי נכסים-יתרות פתיחה'!$2:$110,94,0),0)*(1-T$309)</f>
        <v>1829109</v>
      </c>
      <c r="U173" s="1240">
        <f>+IFERROR(HLOOKUP(U6,'סקרי נכסים-יתרות פתיחה'!$2:$110,35,0),0)-IFERROR(HLOOKUP(U6,'סקרי נכסים-יתרות פתיחה'!$2:$110,94,0),0)*(1-U$309)</f>
        <v>0</v>
      </c>
      <c r="V173" s="1240">
        <f>+IFERROR(HLOOKUP(V6,'סקרי נכסים-יתרות פתיחה'!$2:$110,35,0),0)-IFERROR(HLOOKUP(V6,'סקרי נכסים-יתרות פתיחה'!$2:$110,94,0),0)*(1-V$309)</f>
        <v>2253935</v>
      </c>
      <c r="W173" s="1240">
        <f>+IFERROR(HLOOKUP(W6,'סקרי נכסים-יתרות פתיחה'!$2:$110,35,0),0)-IFERROR(HLOOKUP(W6,'סקרי נכסים-יתרות פתיחה'!$2:$110,94,0),0)*(1-W$309)</f>
        <v>585601</v>
      </c>
      <c r="X173" s="1240">
        <f>+IFERROR(HLOOKUP(X6,'סקרי נכסים-יתרות פתיחה'!$2:$110,35,0),0)-IFERROR(HLOOKUP(X6,'סקרי נכסים-יתרות פתיחה'!$2:$110,94,0),0)*(1-X$309)</f>
        <v>984614</v>
      </c>
      <c r="Y173" s="1240">
        <f>+IFERROR(HLOOKUP(Y6,'סקרי נכסים-יתרות פתיחה'!$2:$110,35,0),0)-IFERROR(HLOOKUP(Y6,'סקרי נכסים-יתרות פתיחה'!$2:$110,94,0),0)*(1-Y$309)</f>
        <v>1652544</v>
      </c>
      <c r="Z173" s="1240">
        <f>+IFERROR(HLOOKUP(Z6,'סקרי נכסים-יתרות פתיחה'!$2:$110,35,0),0)-IFERROR(HLOOKUP(Z6,'סקרי נכסים-יתרות פתיחה'!$2:$110,94,0),0)*(1-Z$309)</f>
        <v>0</v>
      </c>
      <c r="AA173" s="1240">
        <f>+IFERROR(HLOOKUP(AA6,'סקרי נכסים-יתרות פתיחה'!$2:$110,35,0),0)-IFERROR(HLOOKUP(AA6,'סקרי נכסים-יתרות פתיחה'!$2:$110,94,0),0)*(1-AA$309)</f>
        <v>0</v>
      </c>
      <c r="AB173" s="1240">
        <f>+IFERROR(HLOOKUP(AB6,'סקרי נכסים-יתרות פתיחה'!$2:$110,35,0),0)-IFERROR(HLOOKUP(AB6,'סקרי נכסים-יתרות פתיחה'!$2:$110,94,0),0)*(1-AB$309)</f>
        <v>0</v>
      </c>
      <c r="AC173" s="1240">
        <f>+IFERROR(HLOOKUP(AC6,'סקרי נכסים-יתרות פתיחה'!$2:$110,35,0),0)-IFERROR(HLOOKUP(AC6,'סקרי נכסים-יתרות פתיחה'!$2:$110,94,0),0)*(1-AC$309)</f>
        <v>0</v>
      </c>
      <c r="AD173" s="1240">
        <f>+IFERROR(HLOOKUP(AD6,'סקרי נכסים-יתרות פתיחה'!$2:$110,35,0),0)-IFERROR(HLOOKUP(AD6,'סקרי נכסים-יתרות פתיחה'!$2:$110,94,0),0)*(1-AD$309)</f>
        <v>0</v>
      </c>
      <c r="AE173" s="1240">
        <f>+IFERROR(HLOOKUP(AE6,'סקרי נכסים-יתרות פתיחה'!$2:$110,35,0),0)-IFERROR(HLOOKUP(AE6,'סקרי נכסים-יתרות פתיחה'!$2:$110,94,0),0)*(1-AE$309)</f>
        <v>0</v>
      </c>
      <c r="AF173" s="1240">
        <f>+IFERROR(HLOOKUP(AF6,'סקרי נכסים-יתרות פתיחה'!$2:$110,35,0),0)-IFERROR(HLOOKUP(AF6,'סקרי נכסים-יתרות פתיחה'!$2:$110,94,0),0)*(1-AF$309)</f>
        <v>0</v>
      </c>
      <c r="AG173" s="1240">
        <f>+IFERROR(HLOOKUP(AG6,'סקרי נכסים-יתרות פתיחה'!$2:$110,35,0),0)-IFERROR(HLOOKUP(AG6,'סקרי נכסים-יתרות פתיחה'!$2:$110,94,0),0)*(1-AG$309)</f>
        <v>0</v>
      </c>
      <c r="AH173" s="1240">
        <f>+IFERROR(HLOOKUP(AH6,'סקרי נכסים-יתרות פתיחה'!$2:$110,35,0),0)-IFERROR(HLOOKUP(AH6,'סקרי נכסים-יתרות פתיחה'!$2:$110,94,0),0)*(1-AH$309)</f>
        <v>0</v>
      </c>
      <c r="AI173" s="1240">
        <f>+IFERROR(HLOOKUP(AI6,'סקרי נכסים-יתרות פתיחה'!$2:$110,35,0),0)-IFERROR(HLOOKUP(AI6,'סקרי נכסים-יתרות פתיחה'!$2:$110,94,0),0)*(1-AI$309)</f>
        <v>0</v>
      </c>
      <c r="AJ173" s="1240">
        <f>+IFERROR(HLOOKUP(AJ6,'סקרי נכסים-יתרות פתיחה'!$2:$110,35,0),0)-IFERROR(HLOOKUP(AJ6,'סקרי נכסים-יתרות פתיחה'!$2:$110,94,0),0)*(1-AJ$309)</f>
        <v>0</v>
      </c>
      <c r="AK173" s="1240">
        <f>+IFERROR(HLOOKUP(AK6,'סקרי נכסים-יתרות פתיחה'!$2:$110,35,0),0)-IFERROR(HLOOKUP(AK6,'סקרי נכסים-יתרות פתיחה'!$2:$110,94,0),0)*(1-AK$309)</f>
        <v>0</v>
      </c>
      <c r="AL173" s="1240">
        <f>+IFERROR(HLOOKUP(AL6,'סקרי נכסים-יתרות פתיחה'!$2:$110,35,0),0)-IFERROR(HLOOKUP(AL6,'סקרי נכסים-יתרות פתיחה'!$2:$110,94,0),0)*(1-AL$309)</f>
        <v>0</v>
      </c>
      <c r="AM173" s="1240">
        <f>+IFERROR(HLOOKUP(AM6,'סקרי נכסים-יתרות פתיחה'!$2:$110,35,0),0)-IFERROR(HLOOKUP(AM6,'סקרי נכסים-יתרות פתיחה'!$2:$110,94,0),0)*(1-AM$309)</f>
        <v>1615314.2857142857</v>
      </c>
      <c r="AN173" s="1240">
        <f>+IFERROR(HLOOKUP(AN6,'סקרי נכסים-יתרות פתיחה'!$2:$110,35,0),0)-IFERROR(HLOOKUP(AN6,'סקרי נכסים-יתרות פתיחה'!$2:$110,94,0),0)*(1-AN$309)</f>
        <v>5028000</v>
      </c>
      <c r="AO173" s="1240">
        <f>+IFERROR(HLOOKUP(AO6,'סקרי נכסים-יתרות פתיחה'!$2:$110,35,0),0)-IFERROR(HLOOKUP(AO6,'סקרי נכסים-יתרות פתיחה'!$2:$110,94,0),0)*(1-AO$309)</f>
        <v>0</v>
      </c>
      <c r="AP173" s="1240">
        <f>+IFERROR(HLOOKUP(AP6,'סקרי נכסים-יתרות פתיחה'!$2:$110,35,0),0)-IFERROR(HLOOKUP(AP6,'סקרי נכסים-יתרות פתיחה'!$2:$110,94,0),0)*(1-AP$309)</f>
        <v>0</v>
      </c>
      <c r="AQ173" s="1240">
        <f>+IFERROR(HLOOKUP(AQ6,'סקרי נכסים-יתרות פתיחה'!$2:$110,35,0),0)-IFERROR(HLOOKUP(AQ6,'סקרי נכסים-יתרות פתיחה'!$2:$110,94,0),0)*(1-AQ$309)</f>
        <v>0</v>
      </c>
      <c r="AR173" s="1240">
        <f>+IFERROR(HLOOKUP(AR6,'סקרי נכסים-יתרות פתיחה'!$2:$110,35,0),0)-IFERROR(HLOOKUP(AR6,'סקרי נכסים-יתרות פתיחה'!$2:$110,94,0),0)*(1-AR$309)</f>
        <v>0</v>
      </c>
      <c r="AS173" s="1240">
        <f>+IFERROR(HLOOKUP(AS6,'סקרי נכסים-יתרות פתיחה'!$2:$110,35,0),0)-IFERROR(HLOOKUP(AS6,'סקרי נכסים-יתרות פתיחה'!$2:$110,94,0),0)*(1-AS$309)</f>
        <v>1127517</v>
      </c>
      <c r="AT173" s="1240">
        <f>+IFERROR(HLOOKUP(AT6,'סקרי נכסים-יתרות פתיחה'!$2:$110,35,0),0)-IFERROR(HLOOKUP(AT6,'סקרי נכסים-יתרות פתיחה'!$2:$110,94,0),0)*(1-AT$309)</f>
        <v>0</v>
      </c>
      <c r="AU173" s="1240">
        <f>+IFERROR(HLOOKUP(AU6,'סקרי נכסים-יתרות פתיחה'!$2:$110,35,0),0)-IFERROR(HLOOKUP(AU6,'סקרי נכסים-יתרות פתיחה'!$2:$110,94,0),0)*(1-AU$309)</f>
        <v>0</v>
      </c>
      <c r="AV173" s="1240">
        <f>+IFERROR(HLOOKUP(AV6,'סקרי נכסים-יתרות פתיחה'!$2:$110,35,0),0)-IFERROR(HLOOKUP(AV6,'סקרי נכסים-יתרות פתיחה'!$2:$110,94,0),0)*(1-AV$309)</f>
        <v>0</v>
      </c>
      <c r="AW173" s="1240">
        <f>+IFERROR(HLOOKUP(AW6,'סקרי נכסים-יתרות פתיחה'!$2:$110,35,0),0)-IFERROR(HLOOKUP(AW6,'סקרי נכסים-יתרות פתיחה'!$2:$110,94,0),0)*(1-AW$309)</f>
        <v>0</v>
      </c>
      <c r="AX173" s="1240">
        <f>+IFERROR(HLOOKUP(AX6,'סקרי נכסים-יתרות פתיחה'!$2:$110,35,0),0)-IFERROR(HLOOKUP(AX6,'סקרי נכסים-יתרות פתיחה'!$2:$110,94,0),0)*(1-AX$309)</f>
        <v>6144784</v>
      </c>
      <c r="AY173" s="1240">
        <f>+IFERROR(HLOOKUP(AY6,'סקרי נכסים-יתרות פתיחה'!$2:$110,35,0),0)-IFERROR(HLOOKUP(AY6,'סקרי נכסים-יתרות פתיחה'!$2:$110,94,0),0)*(1-AY$309)</f>
        <v>0</v>
      </c>
      <c r="AZ173" s="1240">
        <f>+IFERROR(HLOOKUP(AZ6,'סקרי נכסים-יתרות פתיחה'!$2:$110,35,0),0)-IFERROR(HLOOKUP(AZ6,'סקרי נכסים-יתרות פתיחה'!$2:$110,94,0),0)*(1-AZ$309)</f>
        <v>953691.19523809524</v>
      </c>
      <c r="BA173" s="1240">
        <f>+IFERROR(HLOOKUP(BA6,'סקרי נכסים-יתרות פתיחה'!$2:$110,35,0),0)-IFERROR(HLOOKUP(BA6,'סקרי נכסים-יתרות פתיחה'!$2:$110,94,0),0)*(1-BA$309)</f>
        <v>2162141.8285714285</v>
      </c>
      <c r="BB173" s="1240">
        <f>+IFERROR(HLOOKUP(BB6,'סקרי נכסים-יתרות פתיחה'!$2:$110,35,0),0)-IFERROR(HLOOKUP(BB6,'סקרי נכסים-יתרות פתיחה'!$2:$110,94,0),0)*(1-BB$309)</f>
        <v>0</v>
      </c>
      <c r="BC173" s="1240">
        <f>+IFERROR(HLOOKUP(BC6,'סקרי נכסים-יתרות פתיחה'!$2:$110,35,0),0)-IFERROR(HLOOKUP(BC6,'סקרי נכסים-יתרות פתיחה'!$2:$110,94,0),0)*(1-BC$309)</f>
        <v>0</v>
      </c>
      <c r="BD173" s="1240">
        <f>+IFERROR(HLOOKUP(BD6,'סקרי נכסים-יתרות פתיחה'!$2:$110,35,0),0)-IFERROR(HLOOKUP(BD6,'סקרי נכסים-יתרות פתיחה'!$2:$110,94,0),0)*(1-BD$309)</f>
        <v>0</v>
      </c>
      <c r="BE173" s="1240">
        <f>+IFERROR(HLOOKUP(BE6,'סקרי נכסים-יתרות פתיחה'!$2:$110,35,0),0)-IFERROR(HLOOKUP(BE6,'סקרי נכסים-יתרות פתיחה'!$2:$110,94,0),0)*(1-BE$309)</f>
        <v>0</v>
      </c>
      <c r="BF173" s="1240">
        <f>+IFERROR(HLOOKUP(BF6,'סקרי נכסים-יתרות פתיחה'!$2:$110,35,0),0)-IFERROR(HLOOKUP(BF6,'סקרי נכסים-יתרות פתיחה'!$2:$110,94,0),0)*(1-BF$309)</f>
        <v>0</v>
      </c>
    </row>
    <row r="174" spans="1:61" x14ac:dyDescent="0.2">
      <c r="B174" s="1">
        <v>4</v>
      </c>
      <c r="C174" s="1240">
        <f>+IFERROR(HLOOKUP(C7,'סקרי נכסים-יתרות פתיחה'!$2:$110,35,0),0)-IFERROR(HLOOKUP(C7,'סקרי נכסים-יתרות פתיחה'!$2:$110,94,0),0)*(1-C$309)</f>
        <v>0</v>
      </c>
      <c r="D174" s="1240">
        <f>+IFERROR(HLOOKUP(D7,'סקרי נכסים-יתרות פתיחה'!$2:$110,35,0),0)-IFERROR(HLOOKUP(D7,'סקרי נכסים-יתרות פתיחה'!$2:$110,94,0),0)*(1-D$309)</f>
        <v>3017270</v>
      </c>
      <c r="E174" s="1240">
        <f>+IFERROR(HLOOKUP(E7,'סקרי נכסים-יתרות פתיחה'!$2:$110,35,0),0)-IFERROR(HLOOKUP(E7,'סקרי נכסים-יתרות פתיחה'!$2:$110,94,0),0)*(1-E$309)</f>
        <v>0</v>
      </c>
      <c r="F174" s="1240">
        <f>+IFERROR(HLOOKUP(F7,'סקרי נכסים-יתרות פתיחה'!$2:$110,35,0),0)-IFERROR(HLOOKUP(F7,'סקרי נכסים-יתרות פתיחה'!$2:$110,94,0),0)*(1-F$309)</f>
        <v>0</v>
      </c>
      <c r="G174" s="1240">
        <f>+IFERROR(HLOOKUP(G7,'סקרי נכסים-יתרות פתיחה'!$2:$110,35,0),0)-IFERROR(HLOOKUP(G7,'סקרי נכסים-יתרות פתיחה'!$2:$110,94,0),0)*(1-G$309)</f>
        <v>0</v>
      </c>
      <c r="H174" s="1240">
        <f>+IFERROR(HLOOKUP(H7,'סקרי נכסים-יתרות פתיחה'!$2:$110,35,0),0)-IFERROR(HLOOKUP(H7,'סקרי נכסים-יתרות פתיחה'!$2:$110,94,0),0)*(1-H$309)</f>
        <v>0</v>
      </c>
      <c r="I174" s="1240">
        <f>+IFERROR(HLOOKUP(I7,'סקרי נכסים-יתרות פתיחה'!$2:$110,35,0),0)-IFERROR(HLOOKUP(I7,'סקרי נכסים-יתרות פתיחה'!$2:$110,94,0),0)*(1-I$309)</f>
        <v>0</v>
      </c>
      <c r="J174" s="1240">
        <f>+IFERROR(HLOOKUP(J7,'סקרי נכסים-יתרות פתיחה'!$2:$110,35,0),0)-IFERROR(HLOOKUP(J7,'סקרי נכסים-יתרות פתיחה'!$2:$110,94,0),0)*(1-J$309)</f>
        <v>0</v>
      </c>
      <c r="K174" s="1240">
        <f>+IFERROR(HLOOKUP(K7,'סקרי נכסים-יתרות פתיחה'!$2:$110,35,0),0)-IFERROR(HLOOKUP(K7,'סקרי נכסים-יתרות פתיחה'!$2:$110,94,0),0)*(1-K$309)</f>
        <v>0</v>
      </c>
      <c r="L174" s="1240">
        <f>+IFERROR(HLOOKUP(L7,'סקרי נכסים-יתרות פתיחה'!$2:$110,35,0),0)-IFERROR(HLOOKUP(L7,'סקרי נכסים-יתרות פתיחה'!$2:$110,94,0),0)*(1-L$309)</f>
        <v>1120095.8523809523</v>
      </c>
      <c r="M174" s="1240">
        <f>+IFERROR(HLOOKUP(M7,'סקרי נכסים-יתרות פתיחה'!$2:$110,35,0),0)-IFERROR(HLOOKUP(M7,'סקרי נכסים-יתרות פתיחה'!$2:$110,94,0),0)*(1-M$309)</f>
        <v>0</v>
      </c>
      <c r="N174" s="1240">
        <f>+IFERROR(HLOOKUP(N7,'סקרי נכסים-יתרות פתיחה'!$2:$110,35,0),0)-IFERROR(HLOOKUP(N7,'סקרי נכסים-יתרות פתיחה'!$2:$110,94,0),0)*(1-N$309)</f>
        <v>0</v>
      </c>
      <c r="O174" s="1240">
        <f>+IFERROR(HLOOKUP(O7,'סקרי נכסים-יתרות פתיחה'!$2:$110,35,0),0)-IFERROR(HLOOKUP(O7,'סקרי נכסים-יתרות פתיחה'!$2:$110,94,0),0)*(1-O$309)</f>
        <v>0</v>
      </c>
      <c r="P174" s="1240">
        <f>+IFERROR(HLOOKUP(P7,'סקרי נכסים-יתרות פתיחה'!$2:$110,35,0),0)-IFERROR(HLOOKUP(P7,'סקרי נכסים-יתרות פתיחה'!$2:$110,94,0),0)*(1-P$309)</f>
        <v>820000</v>
      </c>
      <c r="Q174" s="1240">
        <f>+IFERROR(HLOOKUP(Q7,'סקרי נכסים-יתרות פתיחה'!$2:$110,35,0),0)-IFERROR(HLOOKUP(Q7,'סקרי נכסים-יתרות פתיחה'!$2:$110,94,0),0)*(1-Q$309)</f>
        <v>0</v>
      </c>
      <c r="R174" s="1240">
        <f>+IFERROR(HLOOKUP(R7,'סקרי נכסים-יתרות פתיחה'!$2:$110,35,0),0)-IFERROR(HLOOKUP(R7,'סקרי נכסים-יתרות פתיחה'!$2:$110,94,0),0)*(1-R$309)</f>
        <v>0</v>
      </c>
      <c r="S174" s="1240">
        <f>+IFERROR(HLOOKUP(S7,'סקרי נכסים-יתרות פתיחה'!$2:$110,35,0),0)-IFERROR(HLOOKUP(S7,'סקרי נכסים-יתרות פתיחה'!$2:$110,94,0),0)*(1-S$309)</f>
        <v>0</v>
      </c>
      <c r="T174" s="1240">
        <f>+IFERROR(HLOOKUP(T7,'סקרי נכסים-יתרות פתיחה'!$2:$110,35,0),0)-IFERROR(HLOOKUP(T7,'סקרי נכסים-יתרות פתיחה'!$2:$110,94,0),0)*(1-T$309)</f>
        <v>700000</v>
      </c>
      <c r="U174" s="1240">
        <f>+IFERROR(HLOOKUP(U7,'סקרי נכסים-יתרות פתיחה'!$2:$110,35,0),0)-IFERROR(HLOOKUP(U7,'סקרי נכסים-יתרות פתיחה'!$2:$110,94,0),0)*(1-U$309)</f>
        <v>0</v>
      </c>
      <c r="V174" s="1240">
        <f>+IFERROR(HLOOKUP(V7,'סקרי נכסים-יתרות פתיחה'!$2:$110,35,0),0)-IFERROR(HLOOKUP(V7,'סקרי נכסים-יתרות פתיחה'!$2:$110,94,0),0)*(1-V$309)</f>
        <v>150000</v>
      </c>
      <c r="W174" s="1240">
        <f>+IFERROR(HLOOKUP(W7,'סקרי נכסים-יתרות פתיחה'!$2:$110,35,0),0)-IFERROR(HLOOKUP(W7,'סקרי נכסים-יתרות פתיחה'!$2:$110,94,0),0)*(1-W$309)</f>
        <v>0</v>
      </c>
      <c r="X174" s="1240">
        <f>+IFERROR(HLOOKUP(X7,'סקרי נכסים-יתרות פתיחה'!$2:$110,35,0),0)-IFERROR(HLOOKUP(X7,'סקרי נכסים-יתרות פתיחה'!$2:$110,94,0),0)*(1-X$309)</f>
        <v>913752</v>
      </c>
      <c r="Y174" s="1240">
        <f>+IFERROR(HLOOKUP(Y7,'סקרי נכסים-יתרות פתיחה'!$2:$110,35,0),0)-IFERROR(HLOOKUP(Y7,'סקרי נכסים-יתרות פתיחה'!$2:$110,94,0),0)*(1-Y$309)</f>
        <v>2609648.4571428569</v>
      </c>
      <c r="Z174" s="1240">
        <f>+IFERROR(HLOOKUP(Z7,'סקרי נכסים-יתרות פתיחה'!$2:$110,35,0),0)-IFERROR(HLOOKUP(Z7,'סקרי נכסים-יתרות פתיחה'!$2:$110,94,0),0)*(1-Z$309)</f>
        <v>0</v>
      </c>
      <c r="AA174" s="1240">
        <f>+IFERROR(HLOOKUP(AA7,'סקרי נכסים-יתרות פתיחה'!$2:$110,35,0),0)-IFERROR(HLOOKUP(AA7,'סקרי נכסים-יתרות פתיחה'!$2:$110,94,0),0)*(1-AA$309)</f>
        <v>0</v>
      </c>
      <c r="AB174" s="1240">
        <f>+IFERROR(HLOOKUP(AB7,'סקרי נכסים-יתרות פתיחה'!$2:$110,35,0),0)-IFERROR(HLOOKUP(AB7,'סקרי נכסים-יתרות פתיחה'!$2:$110,94,0),0)*(1-AB$309)</f>
        <v>0</v>
      </c>
      <c r="AC174" s="1240">
        <f>+IFERROR(HLOOKUP(AC7,'סקרי נכסים-יתרות פתיחה'!$2:$110,35,0),0)-IFERROR(HLOOKUP(AC7,'סקרי נכסים-יתרות פתיחה'!$2:$110,94,0),0)*(1-AC$309)</f>
        <v>0</v>
      </c>
      <c r="AD174" s="1240">
        <f>+IFERROR(HLOOKUP(AD7,'סקרי נכסים-יתרות פתיחה'!$2:$110,35,0),0)-IFERROR(HLOOKUP(AD7,'סקרי נכסים-יתרות פתיחה'!$2:$110,94,0),0)*(1-AD$309)</f>
        <v>0</v>
      </c>
      <c r="AE174" s="1240">
        <f>+IFERROR(HLOOKUP(AE7,'סקרי נכסים-יתרות פתיחה'!$2:$110,35,0),0)-IFERROR(HLOOKUP(AE7,'סקרי נכסים-יתרות פתיחה'!$2:$110,94,0),0)*(1-AE$309)</f>
        <v>0</v>
      </c>
      <c r="AF174" s="1240">
        <f>+IFERROR(HLOOKUP(AF7,'סקרי נכסים-יתרות פתיחה'!$2:$110,35,0),0)-IFERROR(HLOOKUP(AF7,'סקרי נכסים-יתרות פתיחה'!$2:$110,94,0),0)*(1-AF$309)</f>
        <v>0</v>
      </c>
      <c r="AG174" s="1240">
        <f>+IFERROR(HLOOKUP(AG7,'סקרי נכסים-יתרות פתיחה'!$2:$110,35,0),0)-IFERROR(HLOOKUP(AG7,'סקרי נכסים-יתרות פתיחה'!$2:$110,94,0),0)*(1-AG$309)</f>
        <v>0</v>
      </c>
      <c r="AH174" s="1240">
        <f>+IFERROR(HLOOKUP(AH7,'סקרי נכסים-יתרות פתיחה'!$2:$110,35,0),0)-IFERROR(HLOOKUP(AH7,'סקרי נכסים-יתרות פתיחה'!$2:$110,94,0),0)*(1-AH$309)</f>
        <v>0</v>
      </c>
      <c r="AI174" s="1240">
        <f>+IFERROR(HLOOKUP(AI7,'סקרי נכסים-יתרות פתיחה'!$2:$110,35,0),0)-IFERROR(HLOOKUP(AI7,'סקרי נכסים-יתרות פתיחה'!$2:$110,94,0),0)*(1-AI$309)</f>
        <v>0</v>
      </c>
      <c r="AJ174" s="1240">
        <f>+IFERROR(HLOOKUP(AJ7,'סקרי נכסים-יתרות פתיחה'!$2:$110,35,0),0)-IFERROR(HLOOKUP(AJ7,'סקרי נכסים-יתרות פתיחה'!$2:$110,94,0),0)*(1-AJ$309)</f>
        <v>0</v>
      </c>
      <c r="AK174" s="1240">
        <f>+IFERROR(HLOOKUP(AK7,'סקרי נכסים-יתרות פתיחה'!$2:$110,35,0),0)-IFERROR(HLOOKUP(AK7,'סקרי נכסים-יתרות פתיחה'!$2:$110,94,0),0)*(1-AK$309)</f>
        <v>0</v>
      </c>
      <c r="AL174" s="1240">
        <f>+IFERROR(HLOOKUP(AL7,'סקרי נכסים-יתרות פתיחה'!$2:$110,35,0),0)-IFERROR(HLOOKUP(AL7,'סקרי נכסים-יתרות פתיחה'!$2:$110,94,0),0)*(1-AL$309)</f>
        <v>0</v>
      </c>
      <c r="AM174" s="1240">
        <f>+IFERROR(HLOOKUP(AM7,'סקרי נכסים-יתרות פתיחה'!$2:$110,35,0),0)-IFERROR(HLOOKUP(AM7,'סקרי נכסים-יתרות פתיחה'!$2:$110,94,0),0)*(1-AM$309)</f>
        <v>322969.17619047617</v>
      </c>
      <c r="AN174" s="1240">
        <f>+IFERROR(HLOOKUP(AN7,'סקרי נכסים-יתרות פתיחה'!$2:$110,35,0),0)-IFERROR(HLOOKUP(AN7,'סקרי נכסים-יתרות פתיחה'!$2:$110,94,0),0)*(1-AN$309)</f>
        <v>0</v>
      </c>
      <c r="AO174" s="1240">
        <f>+IFERROR(HLOOKUP(AO7,'סקרי נכסים-יתרות פתיחה'!$2:$110,35,0),0)-IFERROR(HLOOKUP(AO7,'סקרי נכסים-יתרות פתיחה'!$2:$110,94,0),0)*(1-AO$309)</f>
        <v>0</v>
      </c>
      <c r="AP174" s="1240">
        <f>+IFERROR(HLOOKUP(AP7,'סקרי נכסים-יתרות פתיחה'!$2:$110,35,0),0)-IFERROR(HLOOKUP(AP7,'סקרי נכסים-יתרות פתיחה'!$2:$110,94,0),0)*(1-AP$309)</f>
        <v>0</v>
      </c>
      <c r="AQ174" s="1240">
        <f>+IFERROR(HLOOKUP(AQ7,'סקרי נכסים-יתרות פתיחה'!$2:$110,35,0),0)-IFERROR(HLOOKUP(AQ7,'סקרי נכסים-יתרות פתיחה'!$2:$110,94,0),0)*(1-AQ$309)</f>
        <v>0</v>
      </c>
      <c r="AR174" s="1240">
        <f>+IFERROR(HLOOKUP(AR7,'סקרי נכסים-יתרות פתיחה'!$2:$110,35,0),0)-IFERROR(HLOOKUP(AR7,'סקרי נכסים-יתרות פתיחה'!$2:$110,94,0),0)*(1-AR$309)</f>
        <v>0</v>
      </c>
      <c r="AS174" s="1240">
        <f>+IFERROR(HLOOKUP(AS7,'סקרי נכסים-יתרות פתיחה'!$2:$110,35,0),0)-IFERROR(HLOOKUP(AS7,'סקרי נכסים-יתרות פתיחה'!$2:$110,94,0),0)*(1-AS$309)</f>
        <v>1170069</v>
      </c>
      <c r="AT174" s="1240">
        <f>+IFERROR(HLOOKUP(AT7,'סקרי נכסים-יתרות פתיחה'!$2:$110,35,0),0)-IFERROR(HLOOKUP(AT7,'סקרי נכסים-יתרות פתיחה'!$2:$110,94,0),0)*(1-AT$309)</f>
        <v>0</v>
      </c>
      <c r="AU174" s="1240">
        <f>+IFERROR(HLOOKUP(AU7,'סקרי נכסים-יתרות פתיחה'!$2:$110,35,0),0)-IFERROR(HLOOKUP(AU7,'סקרי נכסים-יתרות פתיחה'!$2:$110,94,0),0)*(1-AU$309)</f>
        <v>0</v>
      </c>
      <c r="AV174" s="1240">
        <f>+IFERROR(HLOOKUP(AV7,'סקרי נכסים-יתרות פתיחה'!$2:$110,35,0),0)-IFERROR(HLOOKUP(AV7,'סקרי נכסים-יתרות פתיחה'!$2:$110,94,0),0)*(1-AV$309)</f>
        <v>0</v>
      </c>
      <c r="AW174" s="1240">
        <f>+IFERROR(HLOOKUP(AW7,'סקרי נכסים-יתרות פתיחה'!$2:$110,35,0),0)-IFERROR(HLOOKUP(AW7,'סקרי נכסים-יתרות פתיחה'!$2:$110,94,0),0)*(1-AW$309)</f>
        <v>0</v>
      </c>
      <c r="AX174" s="1240">
        <f>+IFERROR(HLOOKUP(AX7,'סקרי נכסים-יתרות פתיחה'!$2:$110,35,0),0)-IFERROR(HLOOKUP(AX7,'סקרי נכסים-יתרות פתיחה'!$2:$110,94,0),0)*(1-AX$309)</f>
        <v>2400000</v>
      </c>
      <c r="AY174" s="1240">
        <f>+IFERROR(HLOOKUP(AY7,'סקרי נכסים-יתרות פתיחה'!$2:$110,35,0),0)-IFERROR(HLOOKUP(AY7,'סקרי נכסים-יתרות פתיחה'!$2:$110,94,0),0)*(1-AY$309)</f>
        <v>0</v>
      </c>
      <c r="AZ174" s="1240">
        <f>+IFERROR(HLOOKUP(AZ7,'סקרי נכסים-יתרות פתיחה'!$2:$110,35,0),0)-IFERROR(HLOOKUP(AZ7,'סקרי נכסים-יתרות פתיחה'!$2:$110,94,0),0)*(1-AZ$309)</f>
        <v>1500000</v>
      </c>
      <c r="BA174" s="1240">
        <f>+IFERROR(HLOOKUP(BA7,'סקרי נכסים-יתרות פתיחה'!$2:$110,35,0),0)-IFERROR(HLOOKUP(BA7,'סקרי נכסים-יתרות פתיחה'!$2:$110,94,0),0)*(1-BA$309)</f>
        <v>3413445.5857142857</v>
      </c>
      <c r="BB174" s="1240">
        <f>+IFERROR(HLOOKUP(BB7,'סקרי נכסים-יתרות פתיחה'!$2:$110,35,0),0)-IFERROR(HLOOKUP(BB7,'סקרי נכסים-יתרות פתיחה'!$2:$110,94,0),0)*(1-BB$309)</f>
        <v>332012</v>
      </c>
      <c r="BC174" s="1240">
        <f>+IFERROR(HLOOKUP(BC7,'סקרי נכסים-יתרות פתיחה'!$2:$110,35,0),0)-IFERROR(HLOOKUP(BC7,'סקרי נכסים-יתרות פתיחה'!$2:$110,94,0),0)*(1-BC$309)</f>
        <v>0</v>
      </c>
      <c r="BD174" s="1240">
        <f>+IFERROR(HLOOKUP(BD7,'סקרי נכסים-יתרות פתיחה'!$2:$110,35,0),0)-IFERROR(HLOOKUP(BD7,'סקרי נכסים-יתרות פתיחה'!$2:$110,94,0),0)*(1-BD$309)</f>
        <v>0</v>
      </c>
      <c r="BE174" s="1240">
        <f>+IFERROR(HLOOKUP(BE7,'סקרי נכסים-יתרות פתיחה'!$2:$110,35,0),0)-IFERROR(HLOOKUP(BE7,'סקרי נכסים-יתרות פתיחה'!$2:$110,94,0),0)*(1-BE$309)</f>
        <v>0</v>
      </c>
      <c r="BF174" s="1240">
        <f>+IFERROR(HLOOKUP(BF7,'סקרי נכסים-יתרות פתיחה'!$2:$110,35,0),0)-IFERROR(HLOOKUP(BF7,'סקרי נכסים-יתרות פתיחה'!$2:$110,94,0),0)*(1-BF$309)</f>
        <v>0</v>
      </c>
    </row>
    <row r="175" spans="1:61" x14ac:dyDescent="0.2">
      <c r="B175" s="1">
        <v>5</v>
      </c>
      <c r="C175" s="1240">
        <f>+IFERROR(HLOOKUP(C8,'סקרי נכסים-יתרות פתיחה'!$2:$110,35,0),0)-IFERROR(HLOOKUP(C8,'סקרי נכסים-יתרות פתיחה'!$2:$110,94,0),0)*(1-C$309)</f>
        <v>0</v>
      </c>
      <c r="D175" s="1240">
        <f>+IFERROR(HLOOKUP(D8,'סקרי נכסים-יתרות פתיחה'!$2:$110,35,0),0)-IFERROR(HLOOKUP(D8,'סקרי נכסים-יתרות פתיחה'!$2:$110,94,0),0)*(1-D$309)</f>
        <v>1403637</v>
      </c>
      <c r="E175" s="1240">
        <f>+IFERROR(HLOOKUP(E8,'סקרי נכסים-יתרות פתיחה'!$2:$110,35,0),0)-IFERROR(HLOOKUP(E8,'סקרי נכסים-יתרות פתיחה'!$2:$110,94,0),0)*(1-E$309)</f>
        <v>0</v>
      </c>
      <c r="F175" s="1240">
        <f>+IFERROR(HLOOKUP(F8,'סקרי נכסים-יתרות פתיחה'!$2:$110,35,0),0)-IFERROR(HLOOKUP(F8,'סקרי נכסים-יתרות פתיחה'!$2:$110,94,0),0)*(1-F$309)</f>
        <v>0</v>
      </c>
      <c r="G175" s="1240">
        <f>+IFERROR(HLOOKUP(G8,'סקרי נכסים-יתרות פתיחה'!$2:$110,35,0),0)-IFERROR(HLOOKUP(G8,'סקרי נכסים-יתרות פתיחה'!$2:$110,94,0),0)*(1-G$309)</f>
        <v>0</v>
      </c>
      <c r="H175" s="1240">
        <f>+IFERROR(HLOOKUP(H8,'סקרי נכסים-יתרות פתיחה'!$2:$110,35,0),0)-IFERROR(HLOOKUP(H8,'סקרי נכסים-יתרות פתיחה'!$2:$110,94,0),0)*(1-H$309)</f>
        <v>0</v>
      </c>
      <c r="I175" s="1240">
        <f>+IFERROR(HLOOKUP(I8,'סקרי נכסים-יתרות פתיחה'!$2:$110,35,0),0)-IFERROR(HLOOKUP(I8,'סקרי נכסים-יתרות פתיחה'!$2:$110,94,0),0)*(1-I$309)</f>
        <v>0</v>
      </c>
      <c r="J175" s="1240">
        <f>+IFERROR(HLOOKUP(J8,'סקרי נכסים-יתרות פתיחה'!$2:$110,35,0),0)-IFERROR(HLOOKUP(J8,'סקרי נכסים-יתרות פתיחה'!$2:$110,94,0),0)*(1-J$309)</f>
        <v>0</v>
      </c>
      <c r="K175" s="1240">
        <f>+IFERROR(HLOOKUP(K8,'סקרי נכסים-יתרות פתיחה'!$2:$110,35,0),0)-IFERROR(HLOOKUP(K8,'סקרי נכסים-יתרות פתיחה'!$2:$110,94,0),0)*(1-K$309)</f>
        <v>0</v>
      </c>
      <c r="L175" s="1240">
        <f>+IFERROR(HLOOKUP(L8,'סקרי נכסים-יתרות פתיחה'!$2:$110,35,0),0)-IFERROR(HLOOKUP(L8,'סקרי נכסים-יתרות פתיחה'!$2:$110,94,0),0)*(1-L$309)</f>
        <v>0</v>
      </c>
      <c r="M175" s="1240">
        <f>+IFERROR(HLOOKUP(M8,'סקרי נכסים-יתרות פתיחה'!$2:$110,35,0),0)-IFERROR(HLOOKUP(M8,'סקרי נכסים-יתרות פתיחה'!$2:$110,94,0),0)*(1-M$309)</f>
        <v>0</v>
      </c>
      <c r="N175" s="1240">
        <f>+IFERROR(HLOOKUP(N8,'סקרי נכסים-יתרות פתיחה'!$2:$110,35,0),0)-IFERROR(HLOOKUP(N8,'סקרי נכסים-יתרות פתיחה'!$2:$110,94,0),0)*(1-N$309)</f>
        <v>0</v>
      </c>
      <c r="O175" s="1240">
        <f>+IFERROR(HLOOKUP(O8,'סקרי נכסים-יתרות פתיחה'!$2:$110,35,0),0)-IFERROR(HLOOKUP(O8,'סקרי נכסים-יתרות פתיחה'!$2:$110,94,0),0)*(1-O$309)</f>
        <v>0</v>
      </c>
      <c r="P175" s="1240">
        <f>+IFERROR(HLOOKUP(P8,'סקרי נכסים-יתרות פתיחה'!$2:$110,35,0),0)-IFERROR(HLOOKUP(P8,'סקרי נכסים-יתרות פתיחה'!$2:$110,94,0),0)*(1-P$309)</f>
        <v>0</v>
      </c>
      <c r="Q175" s="1240">
        <f>+IFERROR(HLOOKUP(Q8,'סקרי נכסים-יתרות פתיחה'!$2:$110,35,0),0)-IFERROR(HLOOKUP(Q8,'סקרי נכסים-יתרות פתיחה'!$2:$110,94,0),0)*(1-Q$309)</f>
        <v>0</v>
      </c>
      <c r="R175" s="1240">
        <f>+IFERROR(HLOOKUP(R8,'סקרי נכסים-יתרות פתיחה'!$2:$110,35,0),0)-IFERROR(HLOOKUP(R8,'סקרי נכסים-יתרות פתיחה'!$2:$110,94,0),0)*(1-R$309)</f>
        <v>0</v>
      </c>
      <c r="S175" s="1240">
        <f>+IFERROR(HLOOKUP(S8,'סקרי נכסים-יתרות פתיחה'!$2:$110,35,0),0)-IFERROR(HLOOKUP(S8,'סקרי נכסים-יתרות פתיחה'!$2:$110,94,0),0)*(1-S$309)</f>
        <v>0</v>
      </c>
      <c r="T175" s="1240">
        <f>+IFERROR(HLOOKUP(T8,'סקרי נכסים-יתרות פתיחה'!$2:$110,35,0),0)-IFERROR(HLOOKUP(T8,'סקרי נכסים-יתרות פתיחה'!$2:$110,94,0),0)*(1-T$309)</f>
        <v>0</v>
      </c>
      <c r="U175" s="1240">
        <f>+IFERROR(HLOOKUP(U8,'סקרי נכסים-יתרות פתיחה'!$2:$110,35,0),0)-IFERROR(HLOOKUP(U8,'סקרי נכסים-יתרות פתיחה'!$2:$110,94,0),0)*(1-U$309)</f>
        <v>0</v>
      </c>
      <c r="V175" s="1240">
        <f>+IFERROR(HLOOKUP(V8,'סקרי נכסים-יתרות פתיחה'!$2:$110,35,0),0)-IFERROR(HLOOKUP(V8,'סקרי נכסים-יתרות פתיחה'!$2:$110,94,0),0)*(1-V$309)</f>
        <v>0</v>
      </c>
      <c r="W175" s="1240">
        <f>+IFERROR(HLOOKUP(W8,'סקרי נכסים-יתרות פתיחה'!$2:$110,35,0),0)-IFERROR(HLOOKUP(W8,'סקרי נכסים-יתרות פתיחה'!$2:$110,94,0),0)*(1-W$309)</f>
        <v>0</v>
      </c>
      <c r="X175" s="1240">
        <f>+IFERROR(HLOOKUP(X8,'סקרי נכסים-יתרות פתיחה'!$2:$110,35,0),0)-IFERROR(HLOOKUP(X8,'סקרי נכסים-יתרות פתיחה'!$2:$110,94,0),0)*(1-X$309)</f>
        <v>954579</v>
      </c>
      <c r="Y175" s="1240">
        <f>+IFERROR(HLOOKUP(Y8,'סקרי נכסים-יתרות פתיחה'!$2:$110,35,0),0)-IFERROR(HLOOKUP(Y8,'סקרי נכסים-יתרות פתיחה'!$2:$110,94,0),0)*(1-Y$309)</f>
        <v>0</v>
      </c>
      <c r="Z175" s="1240">
        <f>+IFERROR(HLOOKUP(Z8,'סקרי נכסים-יתרות פתיחה'!$2:$110,35,0),0)-IFERROR(HLOOKUP(Z8,'סקרי נכסים-יתרות פתיחה'!$2:$110,94,0),0)*(1-Z$309)</f>
        <v>0</v>
      </c>
      <c r="AA175" s="1240">
        <f>+IFERROR(HLOOKUP(AA8,'סקרי נכסים-יתרות פתיחה'!$2:$110,35,0),0)-IFERROR(HLOOKUP(AA8,'סקרי נכסים-יתרות פתיחה'!$2:$110,94,0),0)*(1-AA$309)</f>
        <v>0</v>
      </c>
      <c r="AB175" s="1240">
        <f>+IFERROR(HLOOKUP(AB8,'סקרי נכסים-יתרות פתיחה'!$2:$110,35,0),0)-IFERROR(HLOOKUP(AB8,'סקרי נכסים-יתרות פתיחה'!$2:$110,94,0),0)*(1-AB$309)</f>
        <v>0</v>
      </c>
      <c r="AC175" s="1240">
        <f>+IFERROR(HLOOKUP(AC8,'סקרי נכסים-יתרות פתיחה'!$2:$110,35,0),0)-IFERROR(HLOOKUP(AC8,'סקרי נכסים-יתרות פתיחה'!$2:$110,94,0),0)*(1-AC$309)</f>
        <v>0</v>
      </c>
      <c r="AD175" s="1240">
        <f>+IFERROR(HLOOKUP(AD8,'סקרי נכסים-יתרות פתיחה'!$2:$110,35,0),0)-IFERROR(HLOOKUP(AD8,'סקרי נכסים-יתרות פתיחה'!$2:$110,94,0),0)*(1-AD$309)</f>
        <v>0</v>
      </c>
      <c r="AE175" s="1240">
        <f>+IFERROR(HLOOKUP(AE8,'סקרי נכסים-יתרות פתיחה'!$2:$110,35,0),0)-IFERROR(HLOOKUP(AE8,'סקרי נכסים-יתרות פתיחה'!$2:$110,94,0),0)*(1-AE$309)</f>
        <v>0</v>
      </c>
      <c r="AF175" s="1240">
        <f>+IFERROR(HLOOKUP(AF8,'סקרי נכסים-יתרות פתיחה'!$2:$110,35,0),0)-IFERROR(HLOOKUP(AF8,'סקרי נכסים-יתרות פתיחה'!$2:$110,94,0),0)*(1-AF$309)</f>
        <v>0</v>
      </c>
      <c r="AG175" s="1240">
        <f>+IFERROR(HLOOKUP(AG8,'סקרי נכסים-יתרות פתיחה'!$2:$110,35,0),0)-IFERROR(HLOOKUP(AG8,'סקרי נכסים-יתרות פתיחה'!$2:$110,94,0),0)*(1-AG$309)</f>
        <v>0</v>
      </c>
      <c r="AH175" s="1240">
        <f>+IFERROR(HLOOKUP(AH8,'סקרי נכסים-יתרות פתיחה'!$2:$110,35,0),0)-IFERROR(HLOOKUP(AH8,'סקרי נכסים-יתרות פתיחה'!$2:$110,94,0),0)*(1-AH$309)</f>
        <v>0</v>
      </c>
      <c r="AI175" s="1240">
        <f>+IFERROR(HLOOKUP(AI8,'סקרי נכסים-יתרות פתיחה'!$2:$110,35,0),0)-IFERROR(HLOOKUP(AI8,'סקרי נכסים-יתרות פתיחה'!$2:$110,94,0),0)*(1-AI$309)</f>
        <v>0</v>
      </c>
      <c r="AJ175" s="1240">
        <f>+IFERROR(HLOOKUP(AJ8,'סקרי נכסים-יתרות פתיחה'!$2:$110,35,0),0)-IFERROR(HLOOKUP(AJ8,'סקרי נכסים-יתרות פתיחה'!$2:$110,94,0),0)*(1-AJ$309)</f>
        <v>0</v>
      </c>
      <c r="AK175" s="1240">
        <f>+IFERROR(HLOOKUP(AK8,'סקרי נכסים-יתרות פתיחה'!$2:$110,35,0),0)-IFERROR(HLOOKUP(AK8,'סקרי נכסים-יתרות פתיחה'!$2:$110,94,0),0)*(1-AK$309)</f>
        <v>0</v>
      </c>
      <c r="AL175" s="1240">
        <f>+IFERROR(HLOOKUP(AL8,'סקרי נכסים-יתרות פתיחה'!$2:$110,35,0),0)-IFERROR(HLOOKUP(AL8,'סקרי נכסים-יתרות פתיחה'!$2:$110,94,0),0)*(1-AL$309)</f>
        <v>0</v>
      </c>
      <c r="AM175" s="1240">
        <f>+IFERROR(HLOOKUP(AM8,'סקרי נכסים-יתרות פתיחה'!$2:$110,35,0),0)-IFERROR(HLOOKUP(AM8,'סקרי נכסים-יתרות פתיחה'!$2:$110,94,0),0)*(1-AM$309)</f>
        <v>0</v>
      </c>
      <c r="AN175" s="1240">
        <f>+IFERROR(HLOOKUP(AN8,'סקרי נכסים-יתרות פתיחה'!$2:$110,35,0),0)-IFERROR(HLOOKUP(AN8,'סקרי נכסים-יתרות פתיחה'!$2:$110,94,0),0)*(1-AN$309)</f>
        <v>990000</v>
      </c>
      <c r="AO175" s="1240">
        <f>+IFERROR(HLOOKUP(AO8,'סקרי נכסים-יתרות פתיחה'!$2:$110,35,0),0)-IFERROR(HLOOKUP(AO8,'סקרי נכסים-יתרות פתיחה'!$2:$110,94,0),0)*(1-AO$309)</f>
        <v>0</v>
      </c>
      <c r="AP175" s="1240">
        <f>+IFERROR(HLOOKUP(AP8,'סקרי נכסים-יתרות פתיחה'!$2:$110,35,0),0)-IFERROR(HLOOKUP(AP8,'סקרי נכסים-יתרות פתיחה'!$2:$110,94,0),0)*(1-AP$309)</f>
        <v>0</v>
      </c>
      <c r="AQ175" s="1240">
        <f>+IFERROR(HLOOKUP(AQ8,'סקרי נכסים-יתרות פתיחה'!$2:$110,35,0),0)-IFERROR(HLOOKUP(AQ8,'סקרי נכסים-יתרות פתיחה'!$2:$110,94,0),0)*(1-AQ$309)</f>
        <v>0</v>
      </c>
      <c r="AR175" s="1240">
        <f>+IFERROR(HLOOKUP(AR8,'סקרי נכסים-יתרות פתיחה'!$2:$110,35,0),0)-IFERROR(HLOOKUP(AR8,'סקרי נכסים-יתרות פתיחה'!$2:$110,94,0),0)*(1-AR$309)</f>
        <v>0</v>
      </c>
      <c r="AS175" s="1240">
        <f>+IFERROR(HLOOKUP(AS8,'סקרי נכסים-יתרות פתיחה'!$2:$110,35,0),0)-IFERROR(HLOOKUP(AS8,'סקרי נכסים-יתרות פתיחה'!$2:$110,94,0),0)*(1-AS$309)</f>
        <v>5416935</v>
      </c>
      <c r="AT175" s="1240">
        <f>+IFERROR(HLOOKUP(AT8,'סקרי נכסים-יתרות פתיחה'!$2:$110,35,0),0)-IFERROR(HLOOKUP(AT8,'סקרי נכסים-יתרות פתיחה'!$2:$110,94,0),0)*(1-AT$309)</f>
        <v>0</v>
      </c>
      <c r="AU175" s="1240">
        <f>+IFERROR(HLOOKUP(AU8,'סקרי נכסים-יתרות פתיחה'!$2:$110,35,0),0)-IFERROR(HLOOKUP(AU8,'סקרי נכסים-יתרות פתיחה'!$2:$110,94,0),0)*(1-AU$309)</f>
        <v>0</v>
      </c>
      <c r="AV175" s="1240">
        <f>+IFERROR(HLOOKUP(AV8,'סקרי נכסים-יתרות פתיחה'!$2:$110,35,0),0)-IFERROR(HLOOKUP(AV8,'סקרי נכסים-יתרות פתיחה'!$2:$110,94,0),0)*(1-AV$309)</f>
        <v>0</v>
      </c>
      <c r="AW175" s="1240">
        <f>+IFERROR(HLOOKUP(AW8,'סקרי נכסים-יתרות פתיחה'!$2:$110,35,0),0)-IFERROR(HLOOKUP(AW8,'סקרי נכסים-יתרות פתיחה'!$2:$110,94,0),0)*(1-AW$309)</f>
        <v>0</v>
      </c>
      <c r="AX175" s="1240">
        <f>+IFERROR(HLOOKUP(AX8,'סקרי נכסים-יתרות פתיחה'!$2:$110,35,0),0)-IFERROR(HLOOKUP(AX8,'סקרי נכסים-יתרות פתיחה'!$2:$110,94,0),0)*(1-AX$309)</f>
        <v>0</v>
      </c>
      <c r="AY175" s="1240">
        <f>+IFERROR(HLOOKUP(AY8,'סקרי נכסים-יתרות פתיחה'!$2:$110,35,0),0)-IFERROR(HLOOKUP(AY8,'סקרי נכסים-יתרות פתיחה'!$2:$110,94,0),0)*(1-AY$309)</f>
        <v>0</v>
      </c>
      <c r="AZ175" s="1240">
        <f>+IFERROR(HLOOKUP(AZ8,'סקרי נכסים-יתרות פתיחה'!$2:$110,35,0),0)-IFERROR(HLOOKUP(AZ8,'סקרי נכסים-יתרות פתיחה'!$2:$110,94,0),0)*(1-AZ$309)</f>
        <v>0</v>
      </c>
      <c r="BA175" s="1240">
        <f>+IFERROR(HLOOKUP(BA8,'סקרי נכסים-יתרות פתיחה'!$2:$110,35,0),0)-IFERROR(HLOOKUP(BA8,'סקרי נכסים-יתרות פתיחה'!$2:$110,94,0),0)*(1-BA$309)</f>
        <v>0</v>
      </c>
      <c r="BB175" s="1240">
        <f>+IFERROR(HLOOKUP(BB8,'סקרי נכסים-יתרות פתיחה'!$2:$110,35,0),0)-IFERROR(HLOOKUP(BB8,'סקרי נכסים-יתרות פתיחה'!$2:$110,94,0),0)*(1-BB$309)</f>
        <v>0</v>
      </c>
      <c r="BC175" s="1240">
        <f>+IFERROR(HLOOKUP(BC8,'סקרי נכסים-יתרות פתיחה'!$2:$110,35,0),0)-IFERROR(HLOOKUP(BC8,'סקרי נכסים-יתרות פתיחה'!$2:$110,94,0),0)*(1-BC$309)</f>
        <v>559490</v>
      </c>
      <c r="BD175" s="1240">
        <f>+IFERROR(HLOOKUP(BD8,'סקרי נכסים-יתרות פתיחה'!$2:$110,35,0),0)-IFERROR(HLOOKUP(BD8,'סקרי נכסים-יתרות פתיחה'!$2:$110,94,0),0)*(1-BD$309)</f>
        <v>0</v>
      </c>
      <c r="BE175" s="1240">
        <f>+IFERROR(HLOOKUP(BE8,'סקרי נכסים-יתרות פתיחה'!$2:$110,35,0),0)-IFERROR(HLOOKUP(BE8,'סקרי נכסים-יתרות פתיחה'!$2:$110,94,0),0)*(1-BE$309)</f>
        <v>0</v>
      </c>
      <c r="BF175" s="1240">
        <f>+IFERROR(HLOOKUP(BF8,'סקרי נכסים-יתרות פתיחה'!$2:$110,35,0),0)-IFERROR(HLOOKUP(BF8,'סקרי נכסים-יתרות פתיחה'!$2:$110,94,0),0)*(1-BF$309)</f>
        <v>0</v>
      </c>
    </row>
    <row r="176" spans="1:61" x14ac:dyDescent="0.2">
      <c r="B176" s="1">
        <v>6</v>
      </c>
      <c r="C176" s="1240">
        <f>+IFERROR(HLOOKUP(C9,'סקרי נכסים-יתרות פתיחה'!$2:$110,35,0),0)-IFERROR(HLOOKUP(C9,'סקרי נכסים-יתרות פתיחה'!$2:$110,94,0),0)*(1-C$309)</f>
        <v>0</v>
      </c>
      <c r="D176" s="1240">
        <f>+IFERROR(HLOOKUP(D9,'סקרי נכסים-יתרות פתיחה'!$2:$110,35,0),0)-IFERROR(HLOOKUP(D9,'סקרי נכסים-יתרות פתיחה'!$2:$110,94,0),0)*(1-D$309)</f>
        <v>83760</v>
      </c>
      <c r="E176" s="1240">
        <f>+IFERROR(HLOOKUP(E9,'סקרי נכסים-יתרות פתיחה'!$2:$110,35,0),0)-IFERROR(HLOOKUP(E9,'סקרי נכסים-יתרות פתיחה'!$2:$110,94,0),0)*(1-E$309)</f>
        <v>0</v>
      </c>
      <c r="F176" s="1240">
        <f>+IFERROR(HLOOKUP(F9,'סקרי נכסים-יתרות פתיחה'!$2:$110,35,0),0)-IFERROR(HLOOKUP(F9,'סקרי נכסים-יתרות פתיחה'!$2:$110,94,0),0)*(1-F$309)</f>
        <v>0</v>
      </c>
      <c r="G176" s="1240">
        <f>+IFERROR(HLOOKUP(G9,'סקרי נכסים-יתרות פתיחה'!$2:$110,35,0),0)-IFERROR(HLOOKUP(G9,'סקרי נכסים-יתרות פתיחה'!$2:$110,94,0),0)*(1-G$309)</f>
        <v>0</v>
      </c>
      <c r="H176" s="1240">
        <f>+IFERROR(HLOOKUP(H9,'סקרי נכסים-יתרות פתיחה'!$2:$110,35,0),0)-IFERROR(HLOOKUP(H9,'סקרי נכסים-יתרות פתיחה'!$2:$110,94,0),0)*(1-H$309)</f>
        <v>0</v>
      </c>
      <c r="I176" s="1240">
        <f>+IFERROR(HLOOKUP(I9,'סקרי נכסים-יתרות פתיחה'!$2:$110,35,0),0)-IFERROR(HLOOKUP(I9,'סקרי נכסים-יתרות פתיחה'!$2:$110,94,0),0)*(1-I$309)</f>
        <v>0</v>
      </c>
      <c r="J176" s="1240">
        <f>+IFERROR(HLOOKUP(J9,'סקרי נכסים-יתרות פתיחה'!$2:$110,35,0),0)-IFERROR(HLOOKUP(J9,'סקרי נכסים-יתרות פתיחה'!$2:$110,94,0),0)*(1-J$309)</f>
        <v>0</v>
      </c>
      <c r="K176" s="1240">
        <f>+IFERROR(HLOOKUP(K9,'סקרי נכסים-יתרות פתיחה'!$2:$110,35,0),0)-IFERROR(HLOOKUP(K9,'סקרי נכסים-יתרות פתיחה'!$2:$110,94,0),0)*(1-K$309)</f>
        <v>0</v>
      </c>
      <c r="L176" s="1240">
        <f>+IFERROR(HLOOKUP(L9,'סקרי נכסים-יתרות פתיחה'!$2:$110,35,0),0)-IFERROR(HLOOKUP(L9,'סקרי נכסים-יתרות פתיחה'!$2:$110,94,0),0)*(1-L$309)</f>
        <v>0</v>
      </c>
      <c r="M176" s="1240">
        <f>+IFERROR(HLOOKUP(M9,'סקרי נכסים-יתרות פתיחה'!$2:$110,35,0),0)-IFERROR(HLOOKUP(M9,'סקרי נכסים-יתרות פתיחה'!$2:$110,94,0),0)*(1-M$309)</f>
        <v>0</v>
      </c>
      <c r="N176" s="1240">
        <f>+IFERROR(HLOOKUP(N9,'סקרי נכסים-יתרות פתיחה'!$2:$110,35,0),0)-IFERROR(HLOOKUP(N9,'סקרי נכסים-יתרות פתיחה'!$2:$110,94,0),0)*(1-N$309)</f>
        <v>0</v>
      </c>
      <c r="O176" s="1240">
        <f>+IFERROR(HLOOKUP(O9,'סקרי נכסים-יתרות פתיחה'!$2:$110,35,0),0)-IFERROR(HLOOKUP(O9,'סקרי נכסים-יתרות פתיחה'!$2:$110,94,0),0)*(1-O$309)</f>
        <v>0</v>
      </c>
      <c r="P176" s="1240">
        <f>+IFERROR(HLOOKUP(P9,'סקרי נכסים-יתרות פתיחה'!$2:$110,35,0),0)-IFERROR(HLOOKUP(P9,'סקרי נכסים-יתרות פתיחה'!$2:$110,94,0),0)*(1-P$309)</f>
        <v>0</v>
      </c>
      <c r="Q176" s="1240">
        <f>+IFERROR(HLOOKUP(Q9,'סקרי נכסים-יתרות פתיחה'!$2:$110,35,0),0)-IFERROR(HLOOKUP(Q9,'סקרי נכסים-יתרות פתיחה'!$2:$110,94,0),0)*(1-Q$309)</f>
        <v>0</v>
      </c>
      <c r="R176" s="1240">
        <f>+IFERROR(HLOOKUP(R9,'סקרי נכסים-יתרות פתיחה'!$2:$110,35,0),0)-IFERROR(HLOOKUP(R9,'סקרי נכסים-יתרות פתיחה'!$2:$110,94,0),0)*(1-R$309)</f>
        <v>0</v>
      </c>
      <c r="S176" s="1240">
        <f>+IFERROR(HLOOKUP(S9,'סקרי נכסים-יתרות פתיחה'!$2:$110,35,0),0)-IFERROR(HLOOKUP(S9,'סקרי נכסים-יתרות פתיחה'!$2:$110,94,0),0)*(1-S$309)</f>
        <v>0</v>
      </c>
      <c r="T176" s="1240">
        <f>+IFERROR(HLOOKUP(T9,'סקרי נכסים-יתרות פתיחה'!$2:$110,35,0),0)-IFERROR(HLOOKUP(T9,'סקרי נכסים-יתרות פתיחה'!$2:$110,94,0),0)*(1-T$309)</f>
        <v>0</v>
      </c>
      <c r="U176" s="1240">
        <f>+IFERROR(HLOOKUP(U9,'סקרי נכסים-יתרות פתיחה'!$2:$110,35,0),0)-IFERROR(HLOOKUP(U9,'סקרי נכסים-יתרות פתיחה'!$2:$110,94,0),0)*(1-U$309)</f>
        <v>0</v>
      </c>
      <c r="V176" s="1240">
        <f>+IFERROR(HLOOKUP(V9,'סקרי נכסים-יתרות פתיחה'!$2:$110,35,0),0)-IFERROR(HLOOKUP(V9,'סקרי נכסים-יתרות פתיחה'!$2:$110,94,0),0)*(1-V$309)</f>
        <v>0</v>
      </c>
      <c r="W176" s="1240">
        <f>+IFERROR(HLOOKUP(W9,'סקרי נכסים-יתרות פתיחה'!$2:$110,35,0),0)-IFERROR(HLOOKUP(W9,'סקרי נכסים-יתרות פתיחה'!$2:$110,94,0),0)*(1-W$309)</f>
        <v>0</v>
      </c>
      <c r="X176" s="1240">
        <f>+IFERROR(HLOOKUP(X9,'סקרי נכסים-יתרות פתיחה'!$2:$110,35,0),0)-IFERROR(HLOOKUP(X9,'סקרי נכסים-יתרות פתיחה'!$2:$110,94,0),0)*(1-X$309)</f>
        <v>0</v>
      </c>
      <c r="Y176" s="1240">
        <f>+IFERROR(HLOOKUP(Y9,'סקרי נכסים-יתרות פתיחה'!$2:$110,35,0),0)-IFERROR(HLOOKUP(Y9,'סקרי נכסים-יתרות פתיחה'!$2:$110,94,0),0)*(1-Y$309)</f>
        <v>0</v>
      </c>
      <c r="Z176" s="1240">
        <f>+IFERROR(HLOOKUP(Z9,'סקרי נכסים-יתרות פתיחה'!$2:$110,35,0),0)-IFERROR(HLOOKUP(Z9,'סקרי נכסים-יתרות פתיחה'!$2:$110,94,0),0)*(1-Z$309)</f>
        <v>0</v>
      </c>
      <c r="AA176" s="1240">
        <f>+IFERROR(HLOOKUP(AA9,'סקרי נכסים-יתרות פתיחה'!$2:$110,35,0),0)-IFERROR(HLOOKUP(AA9,'סקרי נכסים-יתרות פתיחה'!$2:$110,94,0),0)*(1-AA$309)</f>
        <v>0</v>
      </c>
      <c r="AB176" s="1240">
        <f>+IFERROR(HLOOKUP(AB9,'סקרי נכסים-יתרות פתיחה'!$2:$110,35,0),0)-IFERROR(HLOOKUP(AB9,'סקרי נכסים-יתרות פתיחה'!$2:$110,94,0),0)*(1-AB$309)</f>
        <v>0</v>
      </c>
      <c r="AC176" s="1240">
        <f>+IFERROR(HLOOKUP(AC9,'סקרי נכסים-יתרות פתיחה'!$2:$110,35,0),0)-IFERROR(HLOOKUP(AC9,'סקרי נכסים-יתרות פתיחה'!$2:$110,94,0),0)*(1-AC$309)</f>
        <v>0</v>
      </c>
      <c r="AD176" s="1240">
        <f>+IFERROR(HLOOKUP(AD9,'סקרי נכסים-יתרות פתיחה'!$2:$110,35,0),0)-IFERROR(HLOOKUP(AD9,'סקרי נכסים-יתרות פתיחה'!$2:$110,94,0),0)*(1-AD$309)</f>
        <v>0</v>
      </c>
      <c r="AE176" s="1240">
        <f>+IFERROR(HLOOKUP(AE9,'סקרי נכסים-יתרות פתיחה'!$2:$110,35,0),0)-IFERROR(HLOOKUP(AE9,'סקרי נכסים-יתרות פתיחה'!$2:$110,94,0),0)*(1-AE$309)</f>
        <v>0</v>
      </c>
      <c r="AF176" s="1240">
        <f>+IFERROR(HLOOKUP(AF9,'סקרי נכסים-יתרות פתיחה'!$2:$110,35,0),0)-IFERROR(HLOOKUP(AF9,'סקרי נכסים-יתרות פתיחה'!$2:$110,94,0),0)*(1-AF$309)</f>
        <v>0</v>
      </c>
      <c r="AG176" s="1240">
        <f>+IFERROR(HLOOKUP(AG9,'סקרי נכסים-יתרות פתיחה'!$2:$110,35,0),0)-IFERROR(HLOOKUP(AG9,'סקרי נכסים-יתרות פתיחה'!$2:$110,94,0),0)*(1-AG$309)</f>
        <v>0</v>
      </c>
      <c r="AH176" s="1240">
        <f>+IFERROR(HLOOKUP(AH9,'סקרי נכסים-יתרות פתיחה'!$2:$110,35,0),0)-IFERROR(HLOOKUP(AH9,'סקרי נכסים-יתרות פתיחה'!$2:$110,94,0),0)*(1-AH$309)</f>
        <v>0</v>
      </c>
      <c r="AI176" s="1240">
        <f>+IFERROR(HLOOKUP(AI9,'סקרי נכסים-יתרות פתיחה'!$2:$110,35,0),0)-IFERROR(HLOOKUP(AI9,'סקרי נכסים-יתרות פתיחה'!$2:$110,94,0),0)*(1-AI$309)</f>
        <v>0</v>
      </c>
      <c r="AJ176" s="1240">
        <f>+IFERROR(HLOOKUP(AJ9,'סקרי נכסים-יתרות פתיחה'!$2:$110,35,0),0)-IFERROR(HLOOKUP(AJ9,'סקרי נכסים-יתרות פתיחה'!$2:$110,94,0),0)*(1-AJ$309)</f>
        <v>0</v>
      </c>
      <c r="AK176" s="1240">
        <f>+IFERROR(HLOOKUP(AK9,'סקרי נכסים-יתרות פתיחה'!$2:$110,35,0),0)-IFERROR(HLOOKUP(AK9,'סקרי נכסים-יתרות פתיחה'!$2:$110,94,0),0)*(1-AK$309)</f>
        <v>0</v>
      </c>
      <c r="AL176" s="1240">
        <f>+IFERROR(HLOOKUP(AL9,'סקרי נכסים-יתרות פתיחה'!$2:$110,35,0),0)-IFERROR(HLOOKUP(AL9,'סקרי נכסים-יתרות פתיחה'!$2:$110,94,0),0)*(1-AL$309)</f>
        <v>0</v>
      </c>
      <c r="AM176" s="1240">
        <f>+IFERROR(HLOOKUP(AM9,'סקרי נכסים-יתרות פתיחה'!$2:$110,35,0),0)-IFERROR(HLOOKUP(AM9,'סקרי נכסים-יתרות פתיחה'!$2:$110,94,0),0)*(1-AM$309)</f>
        <v>0</v>
      </c>
      <c r="AN176" s="1240">
        <f>+IFERROR(HLOOKUP(AN9,'סקרי נכסים-יתרות פתיחה'!$2:$110,35,0),0)-IFERROR(HLOOKUP(AN9,'סקרי נכסים-יתרות פתיחה'!$2:$110,94,0),0)*(1-AN$309)</f>
        <v>0</v>
      </c>
      <c r="AO176" s="1240">
        <f>+IFERROR(HLOOKUP(AO9,'סקרי נכסים-יתרות פתיחה'!$2:$110,35,0),0)-IFERROR(HLOOKUP(AO9,'סקרי נכסים-יתרות פתיחה'!$2:$110,94,0),0)*(1-AO$309)</f>
        <v>0</v>
      </c>
      <c r="AP176" s="1240">
        <f>+IFERROR(HLOOKUP(AP9,'סקרי נכסים-יתרות פתיחה'!$2:$110,35,0),0)-IFERROR(HLOOKUP(AP9,'סקרי נכסים-יתרות פתיחה'!$2:$110,94,0),0)*(1-AP$309)</f>
        <v>0</v>
      </c>
      <c r="AQ176" s="1240">
        <f>+IFERROR(HLOOKUP(AQ9,'סקרי נכסים-יתרות פתיחה'!$2:$110,35,0),0)-IFERROR(HLOOKUP(AQ9,'סקרי נכסים-יתרות פתיחה'!$2:$110,94,0),0)*(1-AQ$309)</f>
        <v>0</v>
      </c>
      <c r="AR176" s="1240">
        <f>+IFERROR(HLOOKUP(AR9,'סקרי נכסים-יתרות פתיחה'!$2:$110,35,0),0)-IFERROR(HLOOKUP(AR9,'סקרי נכסים-יתרות פתיחה'!$2:$110,94,0),0)*(1-AR$309)</f>
        <v>0</v>
      </c>
      <c r="AS176" s="1240">
        <f>+IFERROR(HLOOKUP(AS9,'סקרי נכסים-יתרות פתיחה'!$2:$110,35,0),0)-IFERROR(HLOOKUP(AS9,'סקרי נכסים-יתרות פתיחה'!$2:$110,94,0),0)*(1-AS$309)</f>
        <v>0</v>
      </c>
      <c r="AT176" s="1240">
        <f>+IFERROR(HLOOKUP(AT9,'סקרי נכסים-יתרות פתיחה'!$2:$110,35,0),0)-IFERROR(HLOOKUP(AT9,'סקרי נכסים-יתרות פתיחה'!$2:$110,94,0),0)*(1-AT$309)</f>
        <v>0</v>
      </c>
      <c r="AU176" s="1240">
        <f>+IFERROR(HLOOKUP(AU9,'סקרי נכסים-יתרות פתיחה'!$2:$110,35,0),0)-IFERROR(HLOOKUP(AU9,'סקרי נכסים-יתרות פתיחה'!$2:$110,94,0),0)*(1-AU$309)</f>
        <v>0</v>
      </c>
      <c r="AV176" s="1240">
        <f>+IFERROR(HLOOKUP(AV9,'סקרי נכסים-יתרות פתיחה'!$2:$110,35,0),0)-IFERROR(HLOOKUP(AV9,'סקרי נכסים-יתרות פתיחה'!$2:$110,94,0),0)*(1-AV$309)</f>
        <v>0</v>
      </c>
      <c r="AW176" s="1240">
        <f>+IFERROR(HLOOKUP(AW9,'סקרי נכסים-יתרות פתיחה'!$2:$110,35,0),0)-IFERROR(HLOOKUP(AW9,'סקרי נכסים-יתרות פתיחה'!$2:$110,94,0),0)*(1-AW$309)</f>
        <v>0</v>
      </c>
      <c r="AX176" s="1240">
        <f>+IFERROR(HLOOKUP(AX9,'סקרי נכסים-יתרות פתיחה'!$2:$110,35,0),0)-IFERROR(HLOOKUP(AX9,'סקרי נכסים-יתרות פתיחה'!$2:$110,94,0),0)*(1-AX$309)</f>
        <v>0</v>
      </c>
      <c r="AY176" s="1240">
        <f>+IFERROR(HLOOKUP(AY9,'סקרי נכסים-יתרות פתיחה'!$2:$110,35,0),0)-IFERROR(HLOOKUP(AY9,'סקרי נכסים-יתרות פתיחה'!$2:$110,94,0),0)*(1-AY$309)</f>
        <v>0</v>
      </c>
      <c r="AZ176" s="1240">
        <f>+IFERROR(HLOOKUP(AZ9,'סקרי נכסים-יתרות פתיחה'!$2:$110,35,0),0)-IFERROR(HLOOKUP(AZ9,'סקרי נכסים-יתרות פתיחה'!$2:$110,94,0),0)*(1-AZ$309)</f>
        <v>0</v>
      </c>
      <c r="BA176" s="1240">
        <f>+IFERROR(HLOOKUP(BA9,'סקרי נכסים-יתרות פתיחה'!$2:$110,35,0),0)-IFERROR(HLOOKUP(BA9,'סקרי נכסים-יתרות פתיחה'!$2:$110,94,0),0)*(1-BA$309)</f>
        <v>0</v>
      </c>
      <c r="BB176" s="1240">
        <f>+IFERROR(HLOOKUP(BB9,'סקרי נכסים-יתרות פתיחה'!$2:$110,35,0),0)-IFERROR(HLOOKUP(BB9,'סקרי נכסים-יתרות פתיחה'!$2:$110,94,0),0)*(1-BB$309)</f>
        <v>1300000</v>
      </c>
      <c r="BC176" s="1240">
        <f>+IFERROR(HLOOKUP(BC9,'סקרי נכסים-יתרות פתיחה'!$2:$110,35,0),0)-IFERROR(HLOOKUP(BC9,'סקרי נכסים-יתרות פתיחה'!$2:$110,94,0),0)*(1-BC$309)</f>
        <v>311567.66666666669</v>
      </c>
      <c r="BD176" s="1240">
        <f>+IFERROR(HLOOKUP(BD9,'סקרי נכסים-יתרות פתיחה'!$2:$110,35,0),0)-IFERROR(HLOOKUP(BD9,'סקרי נכסים-יתרות פתיחה'!$2:$110,94,0),0)*(1-BD$309)</f>
        <v>0</v>
      </c>
      <c r="BE176" s="1240">
        <f>+IFERROR(HLOOKUP(BE9,'סקרי נכסים-יתרות פתיחה'!$2:$110,35,0),0)-IFERROR(HLOOKUP(BE9,'סקרי נכסים-יתרות פתיחה'!$2:$110,94,0),0)*(1-BE$309)</f>
        <v>0</v>
      </c>
      <c r="BF176" s="1240">
        <f>+IFERROR(HLOOKUP(BF9,'סקרי נכסים-יתרות פתיחה'!$2:$110,35,0),0)-IFERROR(HLOOKUP(BF9,'סקרי נכסים-יתרות פתיחה'!$2:$110,94,0),0)*(1-BF$309)</f>
        <v>0</v>
      </c>
    </row>
    <row r="177" spans="2:58" x14ac:dyDescent="0.2">
      <c r="B177" s="1">
        <v>7</v>
      </c>
      <c r="C177" s="1240">
        <f>+IFERROR(HLOOKUP(C10,'סקרי נכסים-יתרות פתיחה'!$2:$110,35,0),0)-IFERROR(HLOOKUP(C10,'סקרי נכסים-יתרות פתיחה'!$2:$110,94,0),0)*(1-C$309)</f>
        <v>0</v>
      </c>
      <c r="D177" s="1240">
        <f>+IFERROR(HLOOKUP(D10,'סקרי נכסים-יתרות פתיחה'!$2:$110,35,0),0)-IFERROR(HLOOKUP(D10,'סקרי נכסים-יתרות פתיחה'!$2:$110,94,0),0)*(1-D$309)</f>
        <v>1170000</v>
      </c>
      <c r="E177" s="1240">
        <f>+IFERROR(HLOOKUP(E10,'סקרי נכסים-יתרות פתיחה'!$2:$110,35,0),0)-IFERROR(HLOOKUP(E10,'סקרי נכסים-יתרות פתיחה'!$2:$110,94,0),0)*(1-E$309)</f>
        <v>0</v>
      </c>
      <c r="F177" s="1240">
        <f>+IFERROR(HLOOKUP(F10,'סקרי נכסים-יתרות פתיחה'!$2:$110,35,0),0)-IFERROR(HLOOKUP(F10,'סקרי נכסים-יתרות פתיחה'!$2:$110,94,0),0)*(1-F$309)</f>
        <v>0</v>
      </c>
      <c r="G177" s="1240">
        <f>+IFERROR(HLOOKUP(G10,'סקרי נכסים-יתרות פתיחה'!$2:$110,35,0),0)-IFERROR(HLOOKUP(G10,'סקרי נכסים-יתרות פתיחה'!$2:$110,94,0),0)*(1-G$309)</f>
        <v>0</v>
      </c>
      <c r="H177" s="1240">
        <f>+IFERROR(HLOOKUP(H10,'סקרי נכסים-יתרות פתיחה'!$2:$110,35,0),0)-IFERROR(HLOOKUP(H10,'סקרי נכסים-יתרות פתיחה'!$2:$110,94,0),0)*(1-H$309)</f>
        <v>0</v>
      </c>
      <c r="I177" s="1240">
        <f>+IFERROR(HLOOKUP(I10,'סקרי נכסים-יתרות פתיחה'!$2:$110,35,0),0)-IFERROR(HLOOKUP(I10,'סקרי נכסים-יתרות פתיחה'!$2:$110,94,0),0)*(1-I$309)</f>
        <v>0</v>
      </c>
      <c r="J177" s="1240">
        <f>+IFERROR(HLOOKUP(J10,'סקרי נכסים-יתרות פתיחה'!$2:$110,35,0),0)-IFERROR(HLOOKUP(J10,'סקרי נכסים-יתרות פתיחה'!$2:$110,94,0),0)*(1-J$309)</f>
        <v>0</v>
      </c>
      <c r="K177" s="1240">
        <f>+IFERROR(HLOOKUP(K10,'סקרי נכסים-יתרות פתיחה'!$2:$110,35,0),0)-IFERROR(HLOOKUP(K10,'סקרי נכסים-יתרות פתיחה'!$2:$110,94,0),0)*(1-K$309)</f>
        <v>0</v>
      </c>
      <c r="L177" s="1240">
        <f>+IFERROR(HLOOKUP(L10,'סקרי נכסים-יתרות פתיחה'!$2:$110,35,0),0)-IFERROR(HLOOKUP(L10,'סקרי נכסים-יתרות פתיחה'!$2:$110,94,0),0)*(1-L$309)</f>
        <v>0</v>
      </c>
      <c r="M177" s="1240">
        <f>+IFERROR(HLOOKUP(M10,'סקרי נכסים-יתרות פתיחה'!$2:$110,35,0),0)-IFERROR(HLOOKUP(M10,'סקרי נכסים-יתרות פתיחה'!$2:$110,94,0),0)*(1-M$309)</f>
        <v>0</v>
      </c>
      <c r="N177" s="1240">
        <f>+IFERROR(HLOOKUP(N10,'סקרי נכסים-יתרות פתיחה'!$2:$110,35,0),0)-IFERROR(HLOOKUP(N10,'סקרי נכסים-יתרות פתיחה'!$2:$110,94,0),0)*(1-N$309)</f>
        <v>0</v>
      </c>
      <c r="O177" s="1240">
        <f>+IFERROR(HLOOKUP(O10,'סקרי נכסים-יתרות פתיחה'!$2:$110,35,0),0)-IFERROR(HLOOKUP(O10,'סקרי נכסים-יתרות פתיחה'!$2:$110,94,0),0)*(1-O$309)</f>
        <v>0</v>
      </c>
      <c r="P177" s="1240">
        <f>+IFERROR(HLOOKUP(P10,'סקרי נכסים-יתרות פתיחה'!$2:$110,35,0),0)-IFERROR(HLOOKUP(P10,'סקרי נכסים-יתרות פתיחה'!$2:$110,94,0),0)*(1-P$309)</f>
        <v>447820</v>
      </c>
      <c r="Q177" s="1240">
        <f>+IFERROR(HLOOKUP(Q10,'סקרי נכסים-יתרות פתיחה'!$2:$110,35,0),0)-IFERROR(HLOOKUP(Q10,'סקרי נכסים-יתרות פתיחה'!$2:$110,94,0),0)*(1-Q$309)</f>
        <v>0</v>
      </c>
      <c r="R177" s="1240">
        <f>+IFERROR(HLOOKUP(R10,'סקרי נכסים-יתרות פתיחה'!$2:$110,35,0),0)-IFERROR(HLOOKUP(R10,'סקרי נכסים-יתרות פתיחה'!$2:$110,94,0),0)*(1-R$309)</f>
        <v>0</v>
      </c>
      <c r="S177" s="1240">
        <f>+IFERROR(HLOOKUP(S10,'סקרי נכסים-יתרות פתיחה'!$2:$110,35,0),0)-IFERROR(HLOOKUP(S10,'סקרי נכסים-יתרות פתיחה'!$2:$110,94,0),0)*(1-S$309)</f>
        <v>0</v>
      </c>
      <c r="T177" s="1240">
        <f>+IFERROR(HLOOKUP(T10,'סקרי נכסים-יתרות פתיחה'!$2:$110,35,0),0)-IFERROR(HLOOKUP(T10,'סקרי נכסים-יתרות פתיחה'!$2:$110,94,0),0)*(1-T$309)</f>
        <v>0</v>
      </c>
      <c r="U177" s="1240">
        <f>+IFERROR(HLOOKUP(U10,'סקרי נכסים-יתרות פתיחה'!$2:$110,35,0),0)-IFERROR(HLOOKUP(U10,'סקרי נכסים-יתרות פתיחה'!$2:$110,94,0),0)*(1-U$309)</f>
        <v>0</v>
      </c>
      <c r="V177" s="1240">
        <f>+IFERROR(HLOOKUP(V10,'סקרי נכסים-יתרות פתיחה'!$2:$110,35,0),0)-IFERROR(HLOOKUP(V10,'סקרי נכסים-יתרות פתיחה'!$2:$110,94,0),0)*(1-V$309)</f>
        <v>1650000</v>
      </c>
      <c r="W177" s="1240">
        <f>+IFERROR(HLOOKUP(W10,'סקרי נכסים-יתרות פתיחה'!$2:$110,35,0),0)-IFERROR(HLOOKUP(W10,'סקרי נכסים-יתרות פתיחה'!$2:$110,94,0),0)*(1-W$309)</f>
        <v>0</v>
      </c>
      <c r="X177" s="1240">
        <f>+IFERROR(HLOOKUP(X10,'סקרי נכסים-יתרות פתיחה'!$2:$110,35,0),0)-IFERROR(HLOOKUP(X10,'סקרי נכסים-יתרות פתיחה'!$2:$110,94,0),0)*(1-X$309)</f>
        <v>0</v>
      </c>
      <c r="Y177" s="1240">
        <f>+IFERROR(HLOOKUP(Y10,'סקרי נכסים-יתרות פתיחה'!$2:$110,35,0),0)-IFERROR(HLOOKUP(Y10,'סקרי נכסים-יתרות פתיחה'!$2:$110,94,0),0)*(1-Y$309)</f>
        <v>0</v>
      </c>
      <c r="Z177" s="1240">
        <f>+IFERROR(HLOOKUP(Z10,'סקרי נכסים-יתרות פתיחה'!$2:$110,35,0),0)-IFERROR(HLOOKUP(Z10,'סקרי נכסים-יתרות פתיחה'!$2:$110,94,0),0)*(1-Z$309)</f>
        <v>0</v>
      </c>
      <c r="AA177" s="1240">
        <f>+IFERROR(HLOOKUP(AA10,'סקרי נכסים-יתרות פתיחה'!$2:$110,35,0),0)-IFERROR(HLOOKUP(AA10,'סקרי נכסים-יתרות פתיחה'!$2:$110,94,0),0)*(1-AA$309)</f>
        <v>0</v>
      </c>
      <c r="AB177" s="1240">
        <f>+IFERROR(HLOOKUP(AB10,'סקרי נכסים-יתרות פתיחה'!$2:$110,35,0),0)-IFERROR(HLOOKUP(AB10,'סקרי נכסים-יתרות פתיחה'!$2:$110,94,0),0)*(1-AB$309)</f>
        <v>0</v>
      </c>
      <c r="AC177" s="1240">
        <f>+IFERROR(HLOOKUP(AC10,'סקרי נכסים-יתרות פתיחה'!$2:$110,35,0),0)-IFERROR(HLOOKUP(AC10,'סקרי נכסים-יתרות פתיחה'!$2:$110,94,0),0)*(1-AC$309)</f>
        <v>0</v>
      </c>
      <c r="AD177" s="1240">
        <f>+IFERROR(HLOOKUP(AD10,'סקרי נכסים-יתרות פתיחה'!$2:$110,35,0),0)-IFERROR(HLOOKUP(AD10,'סקרי נכסים-יתרות פתיחה'!$2:$110,94,0),0)*(1-AD$309)</f>
        <v>0</v>
      </c>
      <c r="AE177" s="1240">
        <f>+IFERROR(HLOOKUP(AE10,'סקרי נכסים-יתרות פתיחה'!$2:$110,35,0),0)-IFERROR(HLOOKUP(AE10,'סקרי נכסים-יתרות פתיחה'!$2:$110,94,0),0)*(1-AE$309)</f>
        <v>0</v>
      </c>
      <c r="AF177" s="1240">
        <f>+IFERROR(HLOOKUP(AF10,'סקרי נכסים-יתרות פתיחה'!$2:$110,35,0),0)-IFERROR(HLOOKUP(AF10,'סקרי נכסים-יתרות פתיחה'!$2:$110,94,0),0)*(1-AF$309)</f>
        <v>0</v>
      </c>
      <c r="AG177" s="1240">
        <f>+IFERROR(HLOOKUP(AG10,'סקרי נכסים-יתרות פתיחה'!$2:$110,35,0),0)-IFERROR(HLOOKUP(AG10,'סקרי נכסים-יתרות פתיחה'!$2:$110,94,0),0)*(1-AG$309)</f>
        <v>0</v>
      </c>
      <c r="AH177" s="1240">
        <f>+IFERROR(HLOOKUP(AH10,'סקרי נכסים-יתרות פתיחה'!$2:$110,35,0),0)-IFERROR(HLOOKUP(AH10,'סקרי נכסים-יתרות פתיחה'!$2:$110,94,0),0)*(1-AH$309)</f>
        <v>0</v>
      </c>
      <c r="AI177" s="1240">
        <f>+IFERROR(HLOOKUP(AI10,'סקרי נכסים-יתרות פתיחה'!$2:$110,35,0),0)-IFERROR(HLOOKUP(AI10,'סקרי נכסים-יתרות פתיחה'!$2:$110,94,0),0)*(1-AI$309)</f>
        <v>0</v>
      </c>
      <c r="AJ177" s="1240">
        <f>+IFERROR(HLOOKUP(AJ10,'סקרי נכסים-יתרות פתיחה'!$2:$110,35,0),0)-IFERROR(HLOOKUP(AJ10,'סקרי נכסים-יתרות פתיחה'!$2:$110,94,0),0)*(1-AJ$309)</f>
        <v>0</v>
      </c>
      <c r="AK177" s="1240">
        <f>+IFERROR(HLOOKUP(AK10,'סקרי נכסים-יתרות פתיחה'!$2:$110,35,0),0)-IFERROR(HLOOKUP(AK10,'סקרי נכסים-יתרות פתיחה'!$2:$110,94,0),0)*(1-AK$309)</f>
        <v>0</v>
      </c>
      <c r="AL177" s="1240">
        <f>+IFERROR(HLOOKUP(AL10,'סקרי נכסים-יתרות פתיחה'!$2:$110,35,0),0)-IFERROR(HLOOKUP(AL10,'סקרי נכסים-יתרות פתיחה'!$2:$110,94,0),0)*(1-AL$309)</f>
        <v>0</v>
      </c>
      <c r="AM177" s="1240">
        <f>+IFERROR(HLOOKUP(AM10,'סקרי נכסים-יתרות פתיחה'!$2:$110,35,0),0)-IFERROR(HLOOKUP(AM10,'סקרי נכסים-יתרות פתיחה'!$2:$110,94,0),0)*(1-AM$309)</f>
        <v>0</v>
      </c>
      <c r="AN177" s="1240">
        <f>+IFERROR(HLOOKUP(AN10,'סקרי נכסים-יתרות פתיחה'!$2:$110,35,0),0)-IFERROR(HLOOKUP(AN10,'סקרי נכסים-יתרות פתיחה'!$2:$110,94,0),0)*(1-AN$309)</f>
        <v>0</v>
      </c>
      <c r="AO177" s="1240">
        <f>+IFERROR(HLOOKUP(AO10,'סקרי נכסים-יתרות פתיחה'!$2:$110,35,0),0)-IFERROR(HLOOKUP(AO10,'סקרי נכסים-יתרות פתיחה'!$2:$110,94,0),0)*(1-AO$309)</f>
        <v>0</v>
      </c>
      <c r="AP177" s="1240">
        <f>+IFERROR(HLOOKUP(AP10,'סקרי נכסים-יתרות פתיחה'!$2:$110,35,0),0)-IFERROR(HLOOKUP(AP10,'סקרי נכסים-יתרות פתיחה'!$2:$110,94,0),0)*(1-AP$309)</f>
        <v>0</v>
      </c>
      <c r="AQ177" s="1240">
        <f>+IFERROR(HLOOKUP(AQ10,'סקרי נכסים-יתרות פתיחה'!$2:$110,35,0),0)-IFERROR(HLOOKUP(AQ10,'סקרי נכסים-יתרות פתיחה'!$2:$110,94,0),0)*(1-AQ$309)</f>
        <v>0</v>
      </c>
      <c r="AR177" s="1240">
        <f>+IFERROR(HLOOKUP(AR10,'סקרי נכסים-יתרות פתיחה'!$2:$110,35,0),0)-IFERROR(HLOOKUP(AR10,'סקרי נכסים-יתרות פתיחה'!$2:$110,94,0),0)*(1-AR$309)</f>
        <v>0</v>
      </c>
      <c r="AS177" s="1240">
        <f>+IFERROR(HLOOKUP(AS10,'סקרי נכסים-יתרות פתיחה'!$2:$110,35,0),0)-IFERROR(HLOOKUP(AS10,'סקרי נכסים-יתרות פתיחה'!$2:$110,94,0),0)*(1-AS$309)</f>
        <v>1011673</v>
      </c>
      <c r="AT177" s="1240">
        <f>+IFERROR(HLOOKUP(AT10,'סקרי נכסים-יתרות פתיחה'!$2:$110,35,0),0)-IFERROR(HLOOKUP(AT10,'סקרי נכסים-יתרות פתיחה'!$2:$110,94,0),0)*(1-AT$309)</f>
        <v>0</v>
      </c>
      <c r="AU177" s="1240">
        <f>+IFERROR(HLOOKUP(AU10,'סקרי נכסים-יתרות פתיחה'!$2:$110,35,0),0)-IFERROR(HLOOKUP(AU10,'סקרי נכסים-יתרות פתיחה'!$2:$110,94,0),0)*(1-AU$309)</f>
        <v>0</v>
      </c>
      <c r="AV177" s="1240">
        <f>+IFERROR(HLOOKUP(AV10,'סקרי נכסים-יתרות פתיחה'!$2:$110,35,0),0)-IFERROR(HLOOKUP(AV10,'סקרי נכסים-יתרות פתיחה'!$2:$110,94,0),0)*(1-AV$309)</f>
        <v>0</v>
      </c>
      <c r="AW177" s="1240">
        <f>+IFERROR(HLOOKUP(AW10,'סקרי נכסים-יתרות פתיחה'!$2:$110,35,0),0)-IFERROR(HLOOKUP(AW10,'סקרי נכסים-יתרות פתיחה'!$2:$110,94,0),0)*(1-AW$309)</f>
        <v>0</v>
      </c>
      <c r="AX177" s="1240">
        <f>+IFERROR(HLOOKUP(AX10,'סקרי נכסים-יתרות פתיחה'!$2:$110,35,0),0)-IFERROR(HLOOKUP(AX10,'סקרי נכסים-יתרות פתיחה'!$2:$110,94,0),0)*(1-AX$309)</f>
        <v>0</v>
      </c>
      <c r="AY177" s="1240">
        <f>+IFERROR(HLOOKUP(AY10,'סקרי נכסים-יתרות פתיחה'!$2:$110,35,0),0)-IFERROR(HLOOKUP(AY10,'סקרי נכסים-יתרות פתיחה'!$2:$110,94,0),0)*(1-AY$309)</f>
        <v>0</v>
      </c>
      <c r="AZ177" s="1240">
        <f>+IFERROR(HLOOKUP(AZ10,'סקרי נכסים-יתרות פתיחה'!$2:$110,35,0),0)-IFERROR(HLOOKUP(AZ10,'סקרי נכסים-יתרות פתיחה'!$2:$110,94,0),0)*(1-AZ$309)</f>
        <v>0</v>
      </c>
      <c r="BA177" s="1240">
        <f>+IFERROR(HLOOKUP(BA10,'סקרי נכסים-יתרות פתיחה'!$2:$110,35,0),0)-IFERROR(HLOOKUP(BA10,'סקרי נכסים-יתרות פתיחה'!$2:$110,94,0),0)*(1-BA$309)</f>
        <v>0</v>
      </c>
      <c r="BB177" s="1240">
        <f>+IFERROR(HLOOKUP(BB10,'סקרי נכסים-יתרות פתיחה'!$2:$110,35,0),0)-IFERROR(HLOOKUP(BB10,'סקרי נכסים-יתרות פתיחה'!$2:$110,94,0),0)*(1-BB$309)</f>
        <v>3300000</v>
      </c>
      <c r="BC177" s="1240">
        <f>+IFERROR(HLOOKUP(BC10,'סקרי נכסים-יתרות פתיחה'!$2:$110,35,0),0)-IFERROR(HLOOKUP(BC10,'סקרי נכסים-יתרות פתיחה'!$2:$110,94,0),0)*(1-BC$309)</f>
        <v>311567.66666666669</v>
      </c>
      <c r="BD177" s="1240">
        <f>+IFERROR(HLOOKUP(BD10,'סקרי נכסים-יתרות פתיחה'!$2:$110,35,0),0)-IFERROR(HLOOKUP(BD10,'סקרי נכסים-יתרות פתיחה'!$2:$110,94,0),0)*(1-BD$309)</f>
        <v>0</v>
      </c>
      <c r="BE177" s="1240">
        <f>+IFERROR(HLOOKUP(BE10,'סקרי נכסים-יתרות פתיחה'!$2:$110,35,0),0)-IFERROR(HLOOKUP(BE10,'סקרי נכסים-יתרות פתיחה'!$2:$110,94,0),0)*(1-BE$309)</f>
        <v>0</v>
      </c>
      <c r="BF177" s="1240">
        <f>+IFERROR(HLOOKUP(BF10,'סקרי נכסים-יתרות פתיחה'!$2:$110,35,0),0)-IFERROR(HLOOKUP(BF10,'סקרי נכסים-יתרות פתיחה'!$2:$110,94,0),0)*(1-BF$309)</f>
        <v>0</v>
      </c>
    </row>
    <row r="178" spans="2:58" x14ac:dyDescent="0.2">
      <c r="B178" s="1">
        <v>8</v>
      </c>
      <c r="C178" s="1240">
        <f>+IFERROR(HLOOKUP(C11,'סקרי נכסים-יתרות פתיחה'!$2:$110,35,0),0)-IFERROR(HLOOKUP(C11,'סקרי נכסים-יתרות פתיחה'!$2:$110,94,0),0)*(1-C$309)</f>
        <v>0</v>
      </c>
      <c r="D178" s="1240">
        <f>+IFERROR(HLOOKUP(D11,'סקרי נכסים-יתרות פתיחה'!$2:$110,35,0),0)-IFERROR(HLOOKUP(D11,'סקרי נכסים-יתרות פתיחה'!$2:$110,94,0),0)*(1-D$309)</f>
        <v>0</v>
      </c>
      <c r="E178" s="1240">
        <f>+IFERROR(HLOOKUP(E11,'סקרי נכסים-יתרות פתיחה'!$2:$110,35,0),0)-IFERROR(HLOOKUP(E11,'סקרי נכסים-יתרות פתיחה'!$2:$110,94,0),0)*(1-E$309)</f>
        <v>0</v>
      </c>
      <c r="F178" s="1240">
        <f>+IFERROR(HLOOKUP(F11,'סקרי נכסים-יתרות פתיחה'!$2:$110,35,0),0)-IFERROR(HLOOKUP(F11,'סקרי נכסים-יתרות פתיחה'!$2:$110,94,0),0)*(1-F$309)</f>
        <v>0</v>
      </c>
      <c r="G178" s="1240">
        <f>+IFERROR(HLOOKUP(G11,'סקרי נכסים-יתרות פתיחה'!$2:$110,35,0),0)-IFERROR(HLOOKUP(G11,'סקרי נכסים-יתרות פתיחה'!$2:$110,94,0),0)*(1-G$309)</f>
        <v>0</v>
      </c>
      <c r="H178" s="1240">
        <f>+IFERROR(HLOOKUP(H11,'סקרי נכסים-יתרות פתיחה'!$2:$110,35,0),0)-IFERROR(HLOOKUP(H11,'סקרי נכסים-יתרות פתיחה'!$2:$110,94,0),0)*(1-H$309)</f>
        <v>0</v>
      </c>
      <c r="I178" s="1240">
        <f>+IFERROR(HLOOKUP(I11,'סקרי נכסים-יתרות פתיחה'!$2:$110,35,0),0)-IFERROR(HLOOKUP(I11,'סקרי נכסים-יתרות פתיחה'!$2:$110,94,0),0)*(1-I$309)</f>
        <v>0</v>
      </c>
      <c r="J178" s="1240">
        <f>+IFERROR(HLOOKUP(J11,'סקרי נכסים-יתרות פתיחה'!$2:$110,35,0),0)-IFERROR(HLOOKUP(J11,'סקרי נכסים-יתרות פתיחה'!$2:$110,94,0),0)*(1-J$309)</f>
        <v>0</v>
      </c>
      <c r="K178" s="1240">
        <f>+IFERROR(HLOOKUP(K11,'סקרי נכסים-יתרות פתיחה'!$2:$110,35,0),0)-IFERROR(HLOOKUP(K11,'סקרי נכסים-יתרות פתיחה'!$2:$110,94,0),0)*(1-K$309)</f>
        <v>0</v>
      </c>
      <c r="L178" s="1240">
        <f>+IFERROR(HLOOKUP(L11,'סקרי נכסים-יתרות פתיחה'!$2:$110,35,0),0)-IFERROR(HLOOKUP(L11,'סקרי נכסים-יתרות פתיחה'!$2:$110,94,0),0)*(1-L$309)</f>
        <v>0</v>
      </c>
      <c r="M178" s="1240">
        <f>+IFERROR(HLOOKUP(M11,'סקרי נכסים-יתרות פתיחה'!$2:$110,35,0),0)-IFERROR(HLOOKUP(M11,'סקרי נכסים-יתרות פתיחה'!$2:$110,94,0),0)*(1-M$309)</f>
        <v>0</v>
      </c>
      <c r="N178" s="1240">
        <f>+IFERROR(HLOOKUP(N11,'סקרי נכסים-יתרות פתיחה'!$2:$110,35,0),0)-IFERROR(HLOOKUP(N11,'סקרי נכסים-יתרות פתיחה'!$2:$110,94,0),0)*(1-N$309)</f>
        <v>0</v>
      </c>
      <c r="O178" s="1240">
        <f>+IFERROR(HLOOKUP(O11,'סקרי נכסים-יתרות פתיחה'!$2:$110,35,0),0)-IFERROR(HLOOKUP(O11,'סקרי נכסים-יתרות פתיחה'!$2:$110,94,0),0)*(1-O$309)</f>
        <v>0</v>
      </c>
      <c r="P178" s="1240">
        <f>+IFERROR(HLOOKUP(P11,'סקרי נכסים-יתרות פתיחה'!$2:$110,35,0),0)-IFERROR(HLOOKUP(P11,'סקרי נכסים-יתרות פתיחה'!$2:$110,94,0),0)*(1-P$309)</f>
        <v>962300</v>
      </c>
      <c r="Q178" s="1240">
        <f>+IFERROR(HLOOKUP(Q11,'סקרי נכסים-יתרות פתיחה'!$2:$110,35,0),0)-IFERROR(HLOOKUP(Q11,'סקרי נכסים-יתרות פתיחה'!$2:$110,94,0),0)*(1-Q$309)</f>
        <v>0</v>
      </c>
      <c r="R178" s="1240">
        <f>+IFERROR(HLOOKUP(R11,'סקרי נכסים-יתרות פתיחה'!$2:$110,35,0),0)-IFERROR(HLOOKUP(R11,'סקרי נכסים-יתרות פתיחה'!$2:$110,94,0),0)*(1-R$309)</f>
        <v>0</v>
      </c>
      <c r="S178" s="1240">
        <f>+IFERROR(HLOOKUP(S11,'סקרי נכסים-יתרות פתיחה'!$2:$110,35,0),0)-IFERROR(HLOOKUP(S11,'סקרי נכסים-יתרות פתיחה'!$2:$110,94,0),0)*(1-S$309)</f>
        <v>0</v>
      </c>
      <c r="T178" s="1240">
        <f>+IFERROR(HLOOKUP(T11,'סקרי נכסים-יתרות פתיחה'!$2:$110,35,0),0)-IFERROR(HLOOKUP(T11,'סקרי נכסים-יתרות פתיחה'!$2:$110,94,0),0)*(1-T$309)</f>
        <v>0</v>
      </c>
      <c r="U178" s="1240">
        <f>+IFERROR(HLOOKUP(U11,'סקרי נכסים-יתרות פתיחה'!$2:$110,35,0),0)-IFERROR(HLOOKUP(U11,'סקרי נכסים-יתרות פתיחה'!$2:$110,94,0),0)*(1-U$309)</f>
        <v>0</v>
      </c>
      <c r="V178" s="1240">
        <f>+IFERROR(HLOOKUP(V11,'סקרי נכסים-יתרות פתיחה'!$2:$110,35,0),0)-IFERROR(HLOOKUP(V11,'סקרי נכסים-יתרות פתיחה'!$2:$110,94,0),0)*(1-V$309)</f>
        <v>0</v>
      </c>
      <c r="W178" s="1240">
        <f>+IFERROR(HLOOKUP(W11,'סקרי נכסים-יתרות פתיחה'!$2:$110,35,0),0)-IFERROR(HLOOKUP(W11,'סקרי נכסים-יתרות פתיחה'!$2:$110,94,0),0)*(1-W$309)</f>
        <v>0</v>
      </c>
      <c r="X178" s="1240">
        <f>+IFERROR(HLOOKUP(X11,'סקרי נכסים-יתרות פתיחה'!$2:$110,35,0),0)-IFERROR(HLOOKUP(X11,'סקרי נכסים-יתרות פתיחה'!$2:$110,94,0),0)*(1-X$309)</f>
        <v>0</v>
      </c>
      <c r="Y178" s="1240">
        <f>+IFERROR(HLOOKUP(Y11,'סקרי נכסים-יתרות פתיחה'!$2:$110,35,0),0)-IFERROR(HLOOKUP(Y11,'סקרי נכסים-יתרות פתיחה'!$2:$110,94,0),0)*(1-Y$309)</f>
        <v>0</v>
      </c>
      <c r="Z178" s="1240">
        <f>+IFERROR(HLOOKUP(Z11,'סקרי נכסים-יתרות פתיחה'!$2:$110,35,0),0)-IFERROR(HLOOKUP(Z11,'סקרי נכסים-יתרות פתיחה'!$2:$110,94,0),0)*(1-Z$309)</f>
        <v>0</v>
      </c>
      <c r="AA178" s="1240">
        <f>+IFERROR(HLOOKUP(AA11,'סקרי נכסים-יתרות פתיחה'!$2:$110,35,0),0)-IFERROR(HLOOKUP(AA11,'סקרי נכסים-יתרות פתיחה'!$2:$110,94,0),0)*(1-AA$309)</f>
        <v>0</v>
      </c>
      <c r="AB178" s="1240">
        <f>+IFERROR(HLOOKUP(AB11,'סקרי נכסים-יתרות פתיחה'!$2:$110,35,0),0)-IFERROR(HLOOKUP(AB11,'סקרי נכסים-יתרות פתיחה'!$2:$110,94,0),0)*(1-AB$309)</f>
        <v>0</v>
      </c>
      <c r="AC178" s="1240">
        <f>+IFERROR(HLOOKUP(AC11,'סקרי נכסים-יתרות פתיחה'!$2:$110,35,0),0)-IFERROR(HLOOKUP(AC11,'סקרי נכסים-יתרות פתיחה'!$2:$110,94,0),0)*(1-AC$309)</f>
        <v>0</v>
      </c>
      <c r="AD178" s="1240">
        <f>+IFERROR(HLOOKUP(AD11,'סקרי נכסים-יתרות פתיחה'!$2:$110,35,0),0)-IFERROR(HLOOKUP(AD11,'סקרי נכסים-יתרות פתיחה'!$2:$110,94,0),0)*(1-AD$309)</f>
        <v>0</v>
      </c>
      <c r="AE178" s="1240">
        <f>+IFERROR(HLOOKUP(AE11,'סקרי נכסים-יתרות פתיחה'!$2:$110,35,0),0)-IFERROR(HLOOKUP(AE11,'סקרי נכסים-יתרות פתיחה'!$2:$110,94,0),0)*(1-AE$309)</f>
        <v>0</v>
      </c>
      <c r="AF178" s="1240">
        <f>+IFERROR(HLOOKUP(AF11,'סקרי נכסים-יתרות פתיחה'!$2:$110,35,0),0)-IFERROR(HLOOKUP(AF11,'סקרי נכסים-יתרות פתיחה'!$2:$110,94,0),0)*(1-AF$309)</f>
        <v>0</v>
      </c>
      <c r="AG178" s="1240">
        <f>+IFERROR(HLOOKUP(AG11,'סקרי נכסים-יתרות פתיחה'!$2:$110,35,0),0)-IFERROR(HLOOKUP(AG11,'סקרי נכסים-יתרות פתיחה'!$2:$110,94,0),0)*(1-AG$309)</f>
        <v>0</v>
      </c>
      <c r="AH178" s="1240">
        <f>+IFERROR(HLOOKUP(AH11,'סקרי נכסים-יתרות פתיחה'!$2:$110,35,0),0)-IFERROR(HLOOKUP(AH11,'סקרי נכסים-יתרות פתיחה'!$2:$110,94,0),0)*(1-AH$309)</f>
        <v>0</v>
      </c>
      <c r="AI178" s="1240">
        <f>+IFERROR(HLOOKUP(AI11,'סקרי נכסים-יתרות פתיחה'!$2:$110,35,0),0)-IFERROR(HLOOKUP(AI11,'סקרי נכסים-יתרות פתיחה'!$2:$110,94,0),0)*(1-AI$309)</f>
        <v>0</v>
      </c>
      <c r="AJ178" s="1240">
        <f>+IFERROR(HLOOKUP(AJ11,'סקרי נכסים-יתרות פתיחה'!$2:$110,35,0),0)-IFERROR(HLOOKUP(AJ11,'סקרי נכסים-יתרות פתיחה'!$2:$110,94,0),0)*(1-AJ$309)</f>
        <v>0</v>
      </c>
      <c r="AK178" s="1240">
        <f>+IFERROR(HLOOKUP(AK11,'סקרי נכסים-יתרות פתיחה'!$2:$110,35,0),0)-IFERROR(HLOOKUP(AK11,'סקרי נכסים-יתרות פתיחה'!$2:$110,94,0),0)*(1-AK$309)</f>
        <v>0</v>
      </c>
      <c r="AL178" s="1240">
        <f>+IFERROR(HLOOKUP(AL11,'סקרי נכסים-יתרות פתיחה'!$2:$110,35,0),0)-IFERROR(HLOOKUP(AL11,'סקרי נכסים-יתרות פתיחה'!$2:$110,94,0),0)*(1-AL$309)</f>
        <v>0</v>
      </c>
      <c r="AM178" s="1240">
        <f>+IFERROR(HLOOKUP(AM11,'סקרי נכסים-יתרות פתיחה'!$2:$110,35,0),0)-IFERROR(HLOOKUP(AM11,'סקרי נכסים-יתרות פתיחה'!$2:$110,94,0),0)*(1-AM$309)</f>
        <v>0</v>
      </c>
      <c r="AN178" s="1240">
        <f>+IFERROR(HLOOKUP(AN11,'סקרי נכסים-יתרות פתיחה'!$2:$110,35,0),0)-IFERROR(HLOOKUP(AN11,'סקרי נכסים-יתרות פתיחה'!$2:$110,94,0),0)*(1-AN$309)</f>
        <v>0</v>
      </c>
      <c r="AO178" s="1240">
        <f>+IFERROR(HLOOKUP(AO11,'סקרי נכסים-יתרות פתיחה'!$2:$110,35,0),0)-IFERROR(HLOOKUP(AO11,'סקרי נכסים-יתרות פתיחה'!$2:$110,94,0),0)*(1-AO$309)</f>
        <v>0</v>
      </c>
      <c r="AP178" s="1240">
        <f>+IFERROR(HLOOKUP(AP11,'סקרי נכסים-יתרות פתיחה'!$2:$110,35,0),0)-IFERROR(HLOOKUP(AP11,'סקרי נכסים-יתרות פתיחה'!$2:$110,94,0),0)*(1-AP$309)</f>
        <v>0</v>
      </c>
      <c r="AQ178" s="1240">
        <f>+IFERROR(HLOOKUP(AQ11,'סקרי נכסים-יתרות פתיחה'!$2:$110,35,0),0)-IFERROR(HLOOKUP(AQ11,'סקרי נכסים-יתרות פתיחה'!$2:$110,94,0),0)*(1-AQ$309)</f>
        <v>0</v>
      </c>
      <c r="AR178" s="1240">
        <f>+IFERROR(HLOOKUP(AR11,'סקרי נכסים-יתרות פתיחה'!$2:$110,35,0),0)-IFERROR(HLOOKUP(AR11,'סקרי נכסים-יתרות פתיחה'!$2:$110,94,0),0)*(1-AR$309)</f>
        <v>0</v>
      </c>
      <c r="AS178" s="1240">
        <f>+IFERROR(HLOOKUP(AS11,'סקרי נכסים-יתרות פתיחה'!$2:$110,35,0),0)-IFERROR(HLOOKUP(AS11,'סקרי נכסים-יתרות פתיחה'!$2:$110,94,0),0)*(1-AS$309)</f>
        <v>899690</v>
      </c>
      <c r="AT178" s="1240">
        <f>+IFERROR(HLOOKUP(AT11,'סקרי נכסים-יתרות פתיחה'!$2:$110,35,0),0)-IFERROR(HLOOKUP(AT11,'סקרי נכסים-יתרות פתיחה'!$2:$110,94,0),0)*(1-AT$309)</f>
        <v>0</v>
      </c>
      <c r="AU178" s="1240">
        <f>+IFERROR(HLOOKUP(AU11,'סקרי נכסים-יתרות פתיחה'!$2:$110,35,0),0)-IFERROR(HLOOKUP(AU11,'סקרי נכסים-יתרות פתיחה'!$2:$110,94,0),0)*(1-AU$309)</f>
        <v>0</v>
      </c>
      <c r="AV178" s="1240">
        <f>+IFERROR(HLOOKUP(AV11,'סקרי נכסים-יתרות פתיחה'!$2:$110,35,0),0)-IFERROR(HLOOKUP(AV11,'סקרי נכסים-יתרות פתיחה'!$2:$110,94,0),0)*(1-AV$309)</f>
        <v>0</v>
      </c>
      <c r="AW178" s="1240">
        <f>+IFERROR(HLOOKUP(AW11,'סקרי נכסים-יתרות פתיחה'!$2:$110,35,0),0)-IFERROR(HLOOKUP(AW11,'סקרי נכסים-יתרות פתיחה'!$2:$110,94,0),0)*(1-AW$309)</f>
        <v>0</v>
      </c>
      <c r="AX178" s="1240">
        <f>+IFERROR(HLOOKUP(AX11,'סקרי נכסים-יתרות פתיחה'!$2:$110,35,0),0)-IFERROR(HLOOKUP(AX11,'סקרי נכסים-יתרות פתיחה'!$2:$110,94,0),0)*(1-AX$309)</f>
        <v>0</v>
      </c>
      <c r="AY178" s="1240">
        <f>+IFERROR(HLOOKUP(AY11,'סקרי נכסים-יתרות פתיחה'!$2:$110,35,0),0)-IFERROR(HLOOKUP(AY11,'סקרי נכסים-יתרות פתיחה'!$2:$110,94,0),0)*(1-AY$309)</f>
        <v>0</v>
      </c>
      <c r="AZ178" s="1240">
        <f>+IFERROR(HLOOKUP(AZ11,'סקרי נכסים-יתרות פתיחה'!$2:$110,35,0),0)-IFERROR(HLOOKUP(AZ11,'סקרי נכסים-יתרות פתיחה'!$2:$110,94,0),0)*(1-AZ$309)</f>
        <v>0</v>
      </c>
      <c r="BA178" s="1240">
        <f>+IFERROR(HLOOKUP(BA11,'סקרי נכסים-יתרות פתיחה'!$2:$110,35,0),0)-IFERROR(HLOOKUP(BA11,'סקרי נכסים-יתרות פתיחה'!$2:$110,94,0),0)*(1-BA$309)</f>
        <v>0</v>
      </c>
      <c r="BB178" s="1240">
        <f>+IFERROR(HLOOKUP(BB11,'סקרי נכסים-יתרות פתיחה'!$2:$110,35,0),0)-IFERROR(HLOOKUP(BB11,'סקרי נכסים-יתרות פתיחה'!$2:$110,94,0),0)*(1-BB$309)</f>
        <v>0</v>
      </c>
      <c r="BC178" s="1240">
        <f>+IFERROR(HLOOKUP(BC11,'סקרי נכסים-יתרות פתיחה'!$2:$110,35,0),0)-IFERROR(HLOOKUP(BC11,'סקרי נכסים-יתרות פתיחה'!$2:$110,94,0),0)*(1-BC$309)</f>
        <v>0</v>
      </c>
      <c r="BD178" s="1240">
        <f>+IFERROR(HLOOKUP(BD11,'סקרי נכסים-יתרות פתיחה'!$2:$110,35,0),0)-IFERROR(HLOOKUP(BD11,'סקרי נכסים-יתרות פתיחה'!$2:$110,94,0),0)*(1-BD$309)</f>
        <v>0</v>
      </c>
      <c r="BE178" s="1240">
        <f>+IFERROR(HLOOKUP(BE11,'סקרי נכסים-יתרות פתיחה'!$2:$110,35,0),0)-IFERROR(HLOOKUP(BE11,'סקרי נכסים-יתרות פתיחה'!$2:$110,94,0),0)*(1-BE$309)</f>
        <v>0</v>
      </c>
      <c r="BF178" s="1240">
        <f>+IFERROR(HLOOKUP(BF11,'סקרי נכסים-יתרות פתיחה'!$2:$110,35,0),0)-IFERROR(HLOOKUP(BF11,'סקרי נכסים-יתרות פתיחה'!$2:$110,94,0),0)*(1-BF$309)</f>
        <v>0</v>
      </c>
    </row>
    <row r="179" spans="2:58" x14ac:dyDescent="0.2">
      <c r="B179" s="1">
        <v>9</v>
      </c>
      <c r="C179" s="1240">
        <f>+IFERROR(HLOOKUP(C12,'סקרי נכסים-יתרות פתיחה'!$2:$110,35,0),0)-IFERROR(HLOOKUP(C12,'סקרי נכסים-יתרות פתיחה'!$2:$110,94,0),0)*(1-C$309)</f>
        <v>0</v>
      </c>
      <c r="D179" s="1240">
        <f>+IFERROR(HLOOKUP(D12,'סקרי נכסים-יתרות פתיחה'!$2:$110,35,0),0)-IFERROR(HLOOKUP(D12,'סקרי נכסים-יתרות פתיחה'!$2:$110,94,0),0)*(1-D$309)</f>
        <v>0</v>
      </c>
      <c r="E179" s="1240">
        <f>+IFERROR(HLOOKUP(E12,'סקרי נכסים-יתרות פתיחה'!$2:$110,35,0),0)-IFERROR(HLOOKUP(E12,'סקרי נכסים-יתרות פתיחה'!$2:$110,94,0),0)*(1-E$309)</f>
        <v>0</v>
      </c>
      <c r="F179" s="1240">
        <f>+IFERROR(HLOOKUP(F12,'סקרי נכסים-יתרות פתיחה'!$2:$110,35,0),0)-IFERROR(HLOOKUP(F12,'סקרי נכסים-יתרות פתיחה'!$2:$110,94,0),0)*(1-F$309)</f>
        <v>0</v>
      </c>
      <c r="G179" s="1240">
        <f>+IFERROR(HLOOKUP(G12,'סקרי נכסים-יתרות פתיחה'!$2:$110,35,0),0)-IFERROR(HLOOKUP(G12,'סקרי נכסים-יתרות פתיחה'!$2:$110,94,0),0)*(1-G$309)</f>
        <v>0</v>
      </c>
      <c r="H179" s="1240">
        <f>+IFERROR(HLOOKUP(H12,'סקרי נכסים-יתרות פתיחה'!$2:$110,35,0),0)-IFERROR(HLOOKUP(H12,'סקרי נכסים-יתרות פתיחה'!$2:$110,94,0),0)*(1-H$309)</f>
        <v>0</v>
      </c>
      <c r="I179" s="1240">
        <f>+IFERROR(HLOOKUP(I12,'סקרי נכסים-יתרות פתיחה'!$2:$110,35,0),0)-IFERROR(HLOOKUP(I12,'סקרי נכסים-יתרות פתיחה'!$2:$110,94,0),0)*(1-I$309)</f>
        <v>0</v>
      </c>
      <c r="J179" s="1240">
        <f>+IFERROR(HLOOKUP(J12,'סקרי נכסים-יתרות פתיחה'!$2:$110,35,0),0)-IFERROR(HLOOKUP(J12,'סקרי נכסים-יתרות פתיחה'!$2:$110,94,0),0)*(1-J$309)</f>
        <v>0</v>
      </c>
      <c r="K179" s="1240">
        <f>+IFERROR(HLOOKUP(K12,'סקרי נכסים-יתרות פתיחה'!$2:$110,35,0),0)-IFERROR(HLOOKUP(K12,'סקרי נכסים-יתרות פתיחה'!$2:$110,94,0),0)*(1-K$309)</f>
        <v>0</v>
      </c>
      <c r="L179" s="1240">
        <f>+IFERROR(HLOOKUP(L12,'סקרי נכסים-יתרות פתיחה'!$2:$110,35,0),0)-IFERROR(HLOOKUP(L12,'סקרי נכסים-יתרות פתיחה'!$2:$110,94,0),0)*(1-L$309)</f>
        <v>0</v>
      </c>
      <c r="M179" s="1240">
        <f>+IFERROR(HLOOKUP(M12,'סקרי נכסים-יתרות פתיחה'!$2:$110,35,0),0)-IFERROR(HLOOKUP(M12,'סקרי נכסים-יתרות פתיחה'!$2:$110,94,0),0)*(1-M$309)</f>
        <v>0</v>
      </c>
      <c r="N179" s="1240">
        <f>+IFERROR(HLOOKUP(N12,'סקרי נכסים-יתרות פתיחה'!$2:$110,35,0),0)-IFERROR(HLOOKUP(N12,'סקרי נכסים-יתרות פתיחה'!$2:$110,94,0),0)*(1-N$309)</f>
        <v>0</v>
      </c>
      <c r="O179" s="1240">
        <f>+IFERROR(HLOOKUP(O12,'סקרי נכסים-יתרות פתיחה'!$2:$110,35,0),0)-IFERROR(HLOOKUP(O12,'סקרי נכסים-יתרות פתיחה'!$2:$110,94,0),0)*(1-O$309)</f>
        <v>0</v>
      </c>
      <c r="P179" s="1240">
        <f>+IFERROR(HLOOKUP(P12,'סקרי נכסים-יתרות פתיחה'!$2:$110,35,0),0)-IFERROR(HLOOKUP(P12,'סקרי נכסים-יתרות פתיחה'!$2:$110,94,0),0)*(1-P$309)</f>
        <v>0</v>
      </c>
      <c r="Q179" s="1240">
        <f>+IFERROR(HLOOKUP(Q12,'סקרי נכסים-יתרות פתיחה'!$2:$110,35,0),0)-IFERROR(HLOOKUP(Q12,'סקרי נכסים-יתרות פתיחה'!$2:$110,94,0),0)*(1-Q$309)</f>
        <v>0</v>
      </c>
      <c r="R179" s="1240">
        <f>+IFERROR(HLOOKUP(R12,'סקרי נכסים-יתרות פתיחה'!$2:$110,35,0),0)-IFERROR(HLOOKUP(R12,'סקרי נכסים-יתרות פתיחה'!$2:$110,94,0),0)*(1-R$309)</f>
        <v>0</v>
      </c>
      <c r="S179" s="1240">
        <f>+IFERROR(HLOOKUP(S12,'סקרי נכסים-יתרות פתיחה'!$2:$110,35,0),0)-IFERROR(HLOOKUP(S12,'סקרי נכסים-יתרות פתיחה'!$2:$110,94,0),0)*(1-S$309)</f>
        <v>0</v>
      </c>
      <c r="T179" s="1240">
        <f>+IFERROR(HLOOKUP(T12,'סקרי נכסים-יתרות פתיחה'!$2:$110,35,0),0)-IFERROR(HLOOKUP(T12,'סקרי נכסים-יתרות פתיחה'!$2:$110,94,0),0)*(1-T$309)</f>
        <v>0</v>
      </c>
      <c r="U179" s="1240">
        <f>+IFERROR(HLOOKUP(U12,'סקרי נכסים-יתרות פתיחה'!$2:$110,35,0),0)-IFERROR(HLOOKUP(U12,'סקרי נכסים-יתרות פתיחה'!$2:$110,94,0),0)*(1-U$309)</f>
        <v>0</v>
      </c>
      <c r="V179" s="1240">
        <f>+IFERROR(HLOOKUP(V12,'סקרי נכסים-יתרות פתיחה'!$2:$110,35,0),0)-IFERROR(HLOOKUP(V12,'סקרי נכסים-יתרות פתיחה'!$2:$110,94,0),0)*(1-V$309)</f>
        <v>0</v>
      </c>
      <c r="W179" s="1240">
        <f>+IFERROR(HLOOKUP(W12,'סקרי נכסים-יתרות פתיחה'!$2:$110,35,0),0)-IFERROR(HLOOKUP(W12,'סקרי נכסים-יתרות פתיחה'!$2:$110,94,0),0)*(1-W$309)</f>
        <v>0</v>
      </c>
      <c r="X179" s="1240">
        <f>+IFERROR(HLOOKUP(X12,'סקרי נכסים-יתרות פתיחה'!$2:$110,35,0),0)-IFERROR(HLOOKUP(X12,'סקרי נכסים-יתרות פתיחה'!$2:$110,94,0),0)*(1-X$309)</f>
        <v>0</v>
      </c>
      <c r="Y179" s="1240">
        <f>+IFERROR(HLOOKUP(Y12,'סקרי נכסים-יתרות פתיחה'!$2:$110,35,0),0)-IFERROR(HLOOKUP(Y12,'סקרי נכסים-יתרות פתיחה'!$2:$110,94,0),0)*(1-Y$309)</f>
        <v>0</v>
      </c>
      <c r="Z179" s="1240">
        <f>+IFERROR(HLOOKUP(Z12,'סקרי נכסים-יתרות פתיחה'!$2:$110,35,0),0)-IFERROR(HLOOKUP(Z12,'סקרי נכסים-יתרות פתיחה'!$2:$110,94,0),0)*(1-Z$309)</f>
        <v>0</v>
      </c>
      <c r="AA179" s="1240">
        <f>+IFERROR(HLOOKUP(AA12,'סקרי נכסים-יתרות פתיחה'!$2:$110,35,0),0)-IFERROR(HLOOKUP(AA12,'סקרי נכסים-יתרות פתיחה'!$2:$110,94,0),0)*(1-AA$309)</f>
        <v>0</v>
      </c>
      <c r="AB179" s="1240">
        <f>+IFERROR(HLOOKUP(AB12,'סקרי נכסים-יתרות פתיחה'!$2:$110,35,0),0)-IFERROR(HLOOKUP(AB12,'סקרי נכסים-יתרות פתיחה'!$2:$110,94,0),0)*(1-AB$309)</f>
        <v>0</v>
      </c>
      <c r="AC179" s="1240">
        <f>+IFERROR(HLOOKUP(AC12,'סקרי נכסים-יתרות פתיחה'!$2:$110,35,0),0)-IFERROR(HLOOKUP(AC12,'סקרי נכסים-יתרות פתיחה'!$2:$110,94,0),0)*(1-AC$309)</f>
        <v>0</v>
      </c>
      <c r="AD179" s="1240">
        <f>+IFERROR(HLOOKUP(AD12,'סקרי נכסים-יתרות פתיחה'!$2:$110,35,0),0)-IFERROR(HLOOKUP(AD12,'סקרי נכסים-יתרות פתיחה'!$2:$110,94,0),0)*(1-AD$309)</f>
        <v>0</v>
      </c>
      <c r="AE179" s="1240">
        <f>+IFERROR(HLOOKUP(AE12,'סקרי נכסים-יתרות פתיחה'!$2:$110,35,0),0)-IFERROR(HLOOKUP(AE12,'סקרי נכסים-יתרות פתיחה'!$2:$110,94,0),0)*(1-AE$309)</f>
        <v>0</v>
      </c>
      <c r="AF179" s="1240">
        <f>+IFERROR(HLOOKUP(AF12,'סקרי נכסים-יתרות פתיחה'!$2:$110,35,0),0)-IFERROR(HLOOKUP(AF12,'סקרי נכסים-יתרות פתיחה'!$2:$110,94,0),0)*(1-AF$309)</f>
        <v>0</v>
      </c>
      <c r="AG179" s="1240">
        <f>+IFERROR(HLOOKUP(AG12,'סקרי נכסים-יתרות פתיחה'!$2:$110,35,0),0)-IFERROR(HLOOKUP(AG12,'סקרי נכסים-יתרות פתיחה'!$2:$110,94,0),0)*(1-AG$309)</f>
        <v>0</v>
      </c>
      <c r="AH179" s="1240">
        <f>+IFERROR(HLOOKUP(AH12,'סקרי נכסים-יתרות פתיחה'!$2:$110,35,0),0)-IFERROR(HLOOKUP(AH12,'סקרי נכסים-יתרות פתיחה'!$2:$110,94,0),0)*(1-AH$309)</f>
        <v>0</v>
      </c>
      <c r="AI179" s="1240">
        <f>+IFERROR(HLOOKUP(AI12,'סקרי נכסים-יתרות פתיחה'!$2:$110,35,0),0)-IFERROR(HLOOKUP(AI12,'סקרי נכסים-יתרות פתיחה'!$2:$110,94,0),0)*(1-AI$309)</f>
        <v>0</v>
      </c>
      <c r="AJ179" s="1240">
        <f>+IFERROR(HLOOKUP(AJ12,'סקרי נכסים-יתרות פתיחה'!$2:$110,35,0),0)-IFERROR(HLOOKUP(AJ12,'סקרי נכסים-יתרות פתיחה'!$2:$110,94,0),0)*(1-AJ$309)</f>
        <v>0</v>
      </c>
      <c r="AK179" s="1240">
        <f>+IFERROR(HLOOKUP(AK12,'סקרי נכסים-יתרות פתיחה'!$2:$110,35,0),0)-IFERROR(HLOOKUP(AK12,'סקרי נכסים-יתרות פתיחה'!$2:$110,94,0),0)*(1-AK$309)</f>
        <v>0</v>
      </c>
      <c r="AL179" s="1240">
        <f>+IFERROR(HLOOKUP(AL12,'סקרי נכסים-יתרות פתיחה'!$2:$110,35,0),0)-IFERROR(HLOOKUP(AL12,'סקרי נכסים-יתרות פתיחה'!$2:$110,94,0),0)*(1-AL$309)</f>
        <v>0</v>
      </c>
      <c r="AM179" s="1240">
        <f>+IFERROR(HLOOKUP(AM12,'סקרי נכסים-יתרות פתיחה'!$2:$110,35,0),0)-IFERROR(HLOOKUP(AM12,'סקרי נכסים-יתרות פתיחה'!$2:$110,94,0),0)*(1-AM$309)</f>
        <v>0</v>
      </c>
      <c r="AN179" s="1240">
        <f>+IFERROR(HLOOKUP(AN12,'סקרי נכסים-יתרות פתיחה'!$2:$110,35,0),0)-IFERROR(HLOOKUP(AN12,'סקרי נכסים-יתרות פתיחה'!$2:$110,94,0),0)*(1-AN$309)</f>
        <v>0</v>
      </c>
      <c r="AO179" s="1240">
        <f>+IFERROR(HLOOKUP(AO12,'סקרי נכסים-יתרות פתיחה'!$2:$110,35,0),0)-IFERROR(HLOOKUP(AO12,'סקרי נכסים-יתרות פתיחה'!$2:$110,94,0),0)*(1-AO$309)</f>
        <v>0</v>
      </c>
      <c r="AP179" s="1240">
        <f>+IFERROR(HLOOKUP(AP12,'סקרי נכסים-יתרות פתיחה'!$2:$110,35,0),0)-IFERROR(HLOOKUP(AP12,'סקרי נכסים-יתרות פתיחה'!$2:$110,94,0),0)*(1-AP$309)</f>
        <v>0</v>
      </c>
      <c r="AQ179" s="1240">
        <f>+IFERROR(HLOOKUP(AQ12,'סקרי נכסים-יתרות פתיחה'!$2:$110,35,0),0)-IFERROR(HLOOKUP(AQ12,'סקרי נכסים-יתרות פתיחה'!$2:$110,94,0),0)*(1-AQ$309)</f>
        <v>0</v>
      </c>
      <c r="AR179" s="1240">
        <f>+IFERROR(HLOOKUP(AR12,'סקרי נכסים-יתרות פתיחה'!$2:$110,35,0),0)-IFERROR(HLOOKUP(AR12,'סקרי נכסים-יתרות פתיחה'!$2:$110,94,0),0)*(1-AR$309)</f>
        <v>0</v>
      </c>
      <c r="AS179" s="1240">
        <f>+IFERROR(HLOOKUP(AS12,'סקרי נכסים-יתרות פתיחה'!$2:$110,35,0),0)-IFERROR(HLOOKUP(AS12,'סקרי נכסים-יתרות פתיחה'!$2:$110,94,0),0)*(1-AS$309)</f>
        <v>0</v>
      </c>
      <c r="AT179" s="1240">
        <f>+IFERROR(HLOOKUP(AT12,'סקרי נכסים-יתרות פתיחה'!$2:$110,35,0),0)-IFERROR(HLOOKUP(AT12,'סקרי נכסים-יתרות פתיחה'!$2:$110,94,0),0)*(1-AT$309)</f>
        <v>0</v>
      </c>
      <c r="AU179" s="1240">
        <f>+IFERROR(HLOOKUP(AU12,'סקרי נכסים-יתרות פתיחה'!$2:$110,35,0),0)-IFERROR(HLOOKUP(AU12,'סקרי נכסים-יתרות פתיחה'!$2:$110,94,0),0)*(1-AU$309)</f>
        <v>0</v>
      </c>
      <c r="AV179" s="1240">
        <f>+IFERROR(HLOOKUP(AV12,'סקרי נכסים-יתרות פתיחה'!$2:$110,35,0),0)-IFERROR(HLOOKUP(AV12,'סקרי נכסים-יתרות פתיחה'!$2:$110,94,0),0)*(1-AV$309)</f>
        <v>0</v>
      </c>
      <c r="AW179" s="1240">
        <f>+IFERROR(HLOOKUP(AW12,'סקרי נכסים-יתרות פתיחה'!$2:$110,35,0),0)-IFERROR(HLOOKUP(AW12,'סקרי נכסים-יתרות פתיחה'!$2:$110,94,0),0)*(1-AW$309)</f>
        <v>0</v>
      </c>
      <c r="AX179" s="1240">
        <f>+IFERROR(HLOOKUP(AX12,'סקרי נכסים-יתרות פתיחה'!$2:$110,35,0),0)-IFERROR(HLOOKUP(AX12,'סקרי נכסים-יתרות פתיחה'!$2:$110,94,0),0)*(1-AX$309)</f>
        <v>0</v>
      </c>
      <c r="AY179" s="1240">
        <f>+IFERROR(HLOOKUP(AY12,'סקרי נכסים-יתרות פתיחה'!$2:$110,35,0),0)-IFERROR(HLOOKUP(AY12,'סקרי נכסים-יתרות פתיחה'!$2:$110,94,0),0)*(1-AY$309)</f>
        <v>0</v>
      </c>
      <c r="AZ179" s="1240">
        <f>+IFERROR(HLOOKUP(AZ12,'סקרי נכסים-יתרות פתיחה'!$2:$110,35,0),0)-IFERROR(HLOOKUP(AZ12,'סקרי נכסים-יתרות פתיחה'!$2:$110,94,0),0)*(1-AZ$309)</f>
        <v>0</v>
      </c>
      <c r="BA179" s="1240">
        <f>+IFERROR(HLOOKUP(BA12,'סקרי נכסים-יתרות פתיחה'!$2:$110,35,0),0)-IFERROR(HLOOKUP(BA12,'סקרי נכסים-יתרות פתיחה'!$2:$110,94,0),0)*(1-BA$309)</f>
        <v>0</v>
      </c>
      <c r="BB179" s="1240">
        <f>+IFERROR(HLOOKUP(BB12,'סקרי נכסים-יתרות פתיחה'!$2:$110,35,0),0)-IFERROR(HLOOKUP(BB12,'סקרי נכסים-יתרות פתיחה'!$2:$110,94,0),0)*(1-BB$309)</f>
        <v>0</v>
      </c>
      <c r="BC179" s="1240">
        <f>+IFERROR(HLOOKUP(BC12,'סקרי נכסים-יתרות פתיחה'!$2:$110,35,0),0)-IFERROR(HLOOKUP(BC12,'סקרי נכסים-יתרות פתיחה'!$2:$110,94,0),0)*(1-BC$309)</f>
        <v>0</v>
      </c>
      <c r="BD179" s="1240">
        <f>+IFERROR(HLOOKUP(BD12,'סקרי נכסים-יתרות פתיחה'!$2:$110,35,0),0)-IFERROR(HLOOKUP(BD12,'סקרי נכסים-יתרות פתיחה'!$2:$110,94,0),0)*(1-BD$309)</f>
        <v>0</v>
      </c>
      <c r="BE179" s="1240">
        <f>+IFERROR(HLOOKUP(BE12,'סקרי נכסים-יתרות פתיחה'!$2:$110,35,0),0)-IFERROR(HLOOKUP(BE12,'סקרי נכסים-יתרות פתיחה'!$2:$110,94,0),0)*(1-BE$309)</f>
        <v>0</v>
      </c>
      <c r="BF179" s="1240">
        <f>+IFERROR(HLOOKUP(BF12,'סקרי נכסים-יתרות פתיחה'!$2:$110,35,0),0)-IFERROR(HLOOKUP(BF12,'סקרי נכסים-יתרות פתיחה'!$2:$110,94,0),0)*(1-BF$309)</f>
        <v>0</v>
      </c>
    </row>
    <row r="180" spans="2:58" x14ac:dyDescent="0.2">
      <c r="B180" s="1">
        <v>10</v>
      </c>
      <c r="C180" s="1240">
        <f>+IFERROR(HLOOKUP(C13,'סקרי נכסים-יתרות פתיחה'!$2:$110,35,0),0)-IFERROR(HLOOKUP(C13,'סקרי נכסים-יתרות פתיחה'!$2:$110,94,0),0)*(1-C$309)</f>
        <v>0</v>
      </c>
      <c r="D180" s="1240">
        <f>+IFERROR(HLOOKUP(D13,'סקרי נכסים-יתרות פתיחה'!$2:$110,35,0),0)-IFERROR(HLOOKUP(D13,'סקרי נכסים-יתרות פתיחה'!$2:$110,94,0),0)*(1-D$309)</f>
        <v>0</v>
      </c>
      <c r="E180" s="1240">
        <f>+IFERROR(HLOOKUP(E13,'סקרי נכסים-יתרות פתיחה'!$2:$110,35,0),0)-IFERROR(HLOOKUP(E13,'סקרי נכסים-יתרות פתיחה'!$2:$110,94,0),0)*(1-E$309)</f>
        <v>0</v>
      </c>
      <c r="F180" s="1240">
        <f>+IFERROR(HLOOKUP(F13,'סקרי נכסים-יתרות פתיחה'!$2:$110,35,0),0)-IFERROR(HLOOKUP(F13,'סקרי נכסים-יתרות פתיחה'!$2:$110,94,0),0)*(1-F$309)</f>
        <v>0</v>
      </c>
      <c r="G180" s="1240">
        <f>+IFERROR(HLOOKUP(G13,'סקרי נכסים-יתרות פתיחה'!$2:$110,35,0),0)-IFERROR(HLOOKUP(G13,'סקרי נכסים-יתרות פתיחה'!$2:$110,94,0),0)*(1-G$309)</f>
        <v>0</v>
      </c>
      <c r="H180" s="1240">
        <f>+IFERROR(HLOOKUP(H13,'סקרי נכסים-יתרות פתיחה'!$2:$110,35,0),0)-IFERROR(HLOOKUP(H13,'סקרי נכסים-יתרות פתיחה'!$2:$110,94,0),0)*(1-H$309)</f>
        <v>0</v>
      </c>
      <c r="I180" s="1240">
        <f>+IFERROR(HLOOKUP(I13,'סקרי נכסים-יתרות פתיחה'!$2:$110,35,0),0)-IFERROR(HLOOKUP(I13,'סקרי נכסים-יתרות פתיחה'!$2:$110,94,0),0)*(1-I$309)</f>
        <v>0</v>
      </c>
      <c r="J180" s="1240">
        <f>+IFERROR(HLOOKUP(J13,'סקרי נכסים-יתרות פתיחה'!$2:$110,35,0),0)-IFERROR(HLOOKUP(J13,'סקרי נכסים-יתרות פתיחה'!$2:$110,94,0),0)*(1-J$309)</f>
        <v>0</v>
      </c>
      <c r="K180" s="1240">
        <f>+IFERROR(HLOOKUP(K13,'סקרי נכסים-יתרות פתיחה'!$2:$110,35,0),0)-IFERROR(HLOOKUP(K13,'סקרי נכסים-יתרות פתיחה'!$2:$110,94,0),0)*(1-K$309)</f>
        <v>0</v>
      </c>
      <c r="L180" s="1240">
        <f>+IFERROR(HLOOKUP(L13,'סקרי נכסים-יתרות פתיחה'!$2:$110,35,0),0)-IFERROR(HLOOKUP(L13,'סקרי נכסים-יתרות פתיחה'!$2:$110,94,0),0)*(1-L$309)</f>
        <v>0</v>
      </c>
      <c r="M180" s="1240">
        <f>+IFERROR(HLOOKUP(M13,'סקרי נכסים-יתרות פתיחה'!$2:$110,35,0),0)-IFERROR(HLOOKUP(M13,'סקרי נכסים-יתרות פתיחה'!$2:$110,94,0),0)*(1-M$309)</f>
        <v>0</v>
      </c>
      <c r="N180" s="1240">
        <f>+IFERROR(HLOOKUP(N13,'סקרי נכסים-יתרות פתיחה'!$2:$110,35,0),0)-IFERROR(HLOOKUP(N13,'סקרי נכסים-יתרות פתיחה'!$2:$110,94,0),0)*(1-N$309)</f>
        <v>0</v>
      </c>
      <c r="O180" s="1240">
        <f>+IFERROR(HLOOKUP(O13,'סקרי נכסים-יתרות פתיחה'!$2:$110,35,0),0)-IFERROR(HLOOKUP(O13,'סקרי נכסים-יתרות פתיחה'!$2:$110,94,0),0)*(1-O$309)</f>
        <v>0</v>
      </c>
      <c r="P180" s="1240">
        <f>+IFERROR(HLOOKUP(P13,'סקרי נכסים-יתרות פתיחה'!$2:$110,35,0),0)-IFERROR(HLOOKUP(P13,'סקרי נכסים-יתרות פתיחה'!$2:$110,94,0),0)*(1-P$309)</f>
        <v>0</v>
      </c>
      <c r="Q180" s="1240">
        <f>+IFERROR(HLOOKUP(Q13,'סקרי נכסים-יתרות פתיחה'!$2:$110,35,0),0)-IFERROR(HLOOKUP(Q13,'סקרי נכסים-יתרות פתיחה'!$2:$110,94,0),0)*(1-Q$309)</f>
        <v>0</v>
      </c>
      <c r="R180" s="1240">
        <f>+IFERROR(HLOOKUP(R13,'סקרי נכסים-יתרות פתיחה'!$2:$110,35,0),0)-IFERROR(HLOOKUP(R13,'סקרי נכסים-יתרות פתיחה'!$2:$110,94,0),0)*(1-R$309)</f>
        <v>0</v>
      </c>
      <c r="S180" s="1240">
        <f>+IFERROR(HLOOKUP(S13,'סקרי נכסים-יתרות פתיחה'!$2:$110,35,0),0)-IFERROR(HLOOKUP(S13,'סקרי נכסים-יתרות פתיחה'!$2:$110,94,0),0)*(1-S$309)</f>
        <v>0</v>
      </c>
      <c r="T180" s="1240">
        <f>+IFERROR(HLOOKUP(T13,'סקרי נכסים-יתרות פתיחה'!$2:$110,35,0),0)-IFERROR(HLOOKUP(T13,'סקרי נכסים-יתרות פתיחה'!$2:$110,94,0),0)*(1-T$309)</f>
        <v>0</v>
      </c>
      <c r="U180" s="1240">
        <f>+IFERROR(HLOOKUP(U13,'סקרי נכסים-יתרות פתיחה'!$2:$110,35,0),0)-IFERROR(HLOOKUP(U13,'סקרי נכסים-יתרות פתיחה'!$2:$110,94,0),0)*(1-U$309)</f>
        <v>0</v>
      </c>
      <c r="V180" s="1240">
        <f>+IFERROR(HLOOKUP(V13,'סקרי נכסים-יתרות פתיחה'!$2:$110,35,0),0)-IFERROR(HLOOKUP(V13,'סקרי נכסים-יתרות פתיחה'!$2:$110,94,0),0)*(1-V$309)</f>
        <v>0</v>
      </c>
      <c r="W180" s="1240">
        <f>+IFERROR(HLOOKUP(W13,'סקרי נכסים-יתרות פתיחה'!$2:$110,35,0),0)-IFERROR(HLOOKUP(W13,'סקרי נכסים-יתרות פתיחה'!$2:$110,94,0),0)*(1-W$309)</f>
        <v>0</v>
      </c>
      <c r="X180" s="1240">
        <f>+IFERROR(HLOOKUP(X13,'סקרי נכסים-יתרות פתיחה'!$2:$110,35,0),0)-IFERROR(HLOOKUP(X13,'סקרי נכסים-יתרות פתיחה'!$2:$110,94,0),0)*(1-X$309)</f>
        <v>0</v>
      </c>
      <c r="Y180" s="1240">
        <f>+IFERROR(HLOOKUP(Y13,'סקרי נכסים-יתרות פתיחה'!$2:$110,35,0),0)-IFERROR(HLOOKUP(Y13,'סקרי נכסים-יתרות פתיחה'!$2:$110,94,0),0)*(1-Y$309)</f>
        <v>0</v>
      </c>
      <c r="Z180" s="1240">
        <f>+IFERROR(HLOOKUP(Z13,'סקרי נכסים-יתרות פתיחה'!$2:$110,35,0),0)-IFERROR(HLOOKUP(Z13,'סקרי נכסים-יתרות פתיחה'!$2:$110,94,0),0)*(1-Z$309)</f>
        <v>0</v>
      </c>
      <c r="AA180" s="1240">
        <f>+IFERROR(HLOOKUP(AA13,'סקרי נכסים-יתרות פתיחה'!$2:$110,35,0),0)-IFERROR(HLOOKUP(AA13,'סקרי נכסים-יתרות פתיחה'!$2:$110,94,0),0)*(1-AA$309)</f>
        <v>0</v>
      </c>
      <c r="AB180" s="1240">
        <f>+IFERROR(HLOOKUP(AB13,'סקרי נכסים-יתרות פתיחה'!$2:$110,35,0),0)-IFERROR(HLOOKUP(AB13,'סקרי נכסים-יתרות פתיחה'!$2:$110,94,0),0)*(1-AB$309)</f>
        <v>0</v>
      </c>
      <c r="AC180" s="1240">
        <f>+IFERROR(HLOOKUP(AC13,'סקרי נכסים-יתרות פתיחה'!$2:$110,35,0),0)-IFERROR(HLOOKUP(AC13,'סקרי נכסים-יתרות פתיחה'!$2:$110,94,0),0)*(1-AC$309)</f>
        <v>0</v>
      </c>
      <c r="AD180" s="1240">
        <f>+IFERROR(HLOOKUP(AD13,'סקרי נכסים-יתרות פתיחה'!$2:$110,35,0),0)-IFERROR(HLOOKUP(AD13,'סקרי נכסים-יתרות פתיחה'!$2:$110,94,0),0)*(1-AD$309)</f>
        <v>0</v>
      </c>
      <c r="AE180" s="1240">
        <f>+IFERROR(HLOOKUP(AE13,'סקרי נכסים-יתרות פתיחה'!$2:$110,35,0),0)-IFERROR(HLOOKUP(AE13,'סקרי נכסים-יתרות פתיחה'!$2:$110,94,0),0)*(1-AE$309)</f>
        <v>0</v>
      </c>
      <c r="AF180" s="1240">
        <f>+IFERROR(HLOOKUP(AF13,'סקרי נכסים-יתרות פתיחה'!$2:$110,35,0),0)-IFERROR(HLOOKUP(AF13,'סקרי נכסים-יתרות פתיחה'!$2:$110,94,0),0)*(1-AF$309)</f>
        <v>0</v>
      </c>
      <c r="AG180" s="1240">
        <f>+IFERROR(HLOOKUP(AG13,'סקרי נכסים-יתרות פתיחה'!$2:$110,35,0),0)-IFERROR(HLOOKUP(AG13,'סקרי נכסים-יתרות פתיחה'!$2:$110,94,0),0)*(1-AG$309)</f>
        <v>0</v>
      </c>
      <c r="AH180" s="1240">
        <f>+IFERROR(HLOOKUP(AH13,'סקרי נכסים-יתרות פתיחה'!$2:$110,35,0),0)-IFERROR(HLOOKUP(AH13,'סקרי נכסים-יתרות פתיחה'!$2:$110,94,0),0)*(1-AH$309)</f>
        <v>0</v>
      </c>
      <c r="AI180" s="1240">
        <f>+IFERROR(HLOOKUP(AI13,'סקרי נכסים-יתרות פתיחה'!$2:$110,35,0),0)-IFERROR(HLOOKUP(AI13,'סקרי נכסים-יתרות פתיחה'!$2:$110,94,0),0)*(1-AI$309)</f>
        <v>0</v>
      </c>
      <c r="AJ180" s="1240">
        <f>+IFERROR(HLOOKUP(AJ13,'סקרי נכסים-יתרות פתיחה'!$2:$110,35,0),0)-IFERROR(HLOOKUP(AJ13,'סקרי נכסים-יתרות פתיחה'!$2:$110,94,0),0)*(1-AJ$309)</f>
        <v>0</v>
      </c>
      <c r="AK180" s="1240">
        <f>+IFERROR(HLOOKUP(AK13,'סקרי נכסים-יתרות פתיחה'!$2:$110,35,0),0)-IFERROR(HLOOKUP(AK13,'סקרי נכסים-יתרות פתיחה'!$2:$110,94,0),0)*(1-AK$309)</f>
        <v>0</v>
      </c>
      <c r="AL180" s="1240">
        <f>+IFERROR(HLOOKUP(AL13,'סקרי נכסים-יתרות פתיחה'!$2:$110,35,0),0)-IFERROR(HLOOKUP(AL13,'סקרי נכסים-יתרות פתיחה'!$2:$110,94,0),0)*(1-AL$309)</f>
        <v>0</v>
      </c>
      <c r="AM180" s="1240">
        <f>+IFERROR(HLOOKUP(AM13,'סקרי נכסים-יתרות פתיחה'!$2:$110,35,0),0)-IFERROR(HLOOKUP(AM13,'סקרי נכסים-יתרות פתיחה'!$2:$110,94,0),0)*(1-AM$309)</f>
        <v>0</v>
      </c>
      <c r="AN180" s="1240">
        <f>+IFERROR(HLOOKUP(AN13,'סקרי נכסים-יתרות פתיחה'!$2:$110,35,0),0)-IFERROR(HLOOKUP(AN13,'סקרי נכסים-יתרות פתיחה'!$2:$110,94,0),0)*(1-AN$309)</f>
        <v>0</v>
      </c>
      <c r="AO180" s="1240">
        <f>+IFERROR(HLOOKUP(AO13,'סקרי נכסים-יתרות פתיחה'!$2:$110,35,0),0)-IFERROR(HLOOKUP(AO13,'סקרי נכסים-יתרות פתיחה'!$2:$110,94,0),0)*(1-AO$309)</f>
        <v>0</v>
      </c>
      <c r="AP180" s="1240">
        <f>+IFERROR(HLOOKUP(AP13,'סקרי נכסים-יתרות פתיחה'!$2:$110,35,0),0)-IFERROR(HLOOKUP(AP13,'סקרי נכסים-יתרות פתיחה'!$2:$110,94,0),0)*(1-AP$309)</f>
        <v>0</v>
      </c>
      <c r="AQ180" s="1240">
        <f>+IFERROR(HLOOKUP(AQ13,'סקרי נכסים-יתרות פתיחה'!$2:$110,35,0),0)-IFERROR(HLOOKUP(AQ13,'סקרי נכסים-יתרות פתיחה'!$2:$110,94,0),0)*(1-AQ$309)</f>
        <v>0</v>
      </c>
      <c r="AR180" s="1240">
        <f>+IFERROR(HLOOKUP(AR13,'סקרי נכסים-יתרות פתיחה'!$2:$110,35,0),0)-IFERROR(HLOOKUP(AR13,'סקרי נכסים-יתרות פתיחה'!$2:$110,94,0),0)*(1-AR$309)</f>
        <v>0</v>
      </c>
      <c r="AS180" s="1240">
        <f>+IFERROR(HLOOKUP(AS13,'סקרי נכסים-יתרות פתיחה'!$2:$110,35,0),0)-IFERROR(HLOOKUP(AS13,'סקרי נכסים-יתרות פתיחה'!$2:$110,94,0),0)*(1-AS$309)</f>
        <v>0</v>
      </c>
      <c r="AT180" s="1240">
        <f>+IFERROR(HLOOKUP(AT13,'סקרי נכסים-יתרות פתיחה'!$2:$110,35,0),0)-IFERROR(HLOOKUP(AT13,'סקרי נכסים-יתרות פתיחה'!$2:$110,94,0),0)*(1-AT$309)</f>
        <v>0</v>
      </c>
      <c r="AU180" s="1240">
        <f>+IFERROR(HLOOKUP(AU13,'סקרי נכסים-יתרות פתיחה'!$2:$110,35,0),0)-IFERROR(HLOOKUP(AU13,'סקרי נכסים-יתרות פתיחה'!$2:$110,94,0),0)*(1-AU$309)</f>
        <v>0</v>
      </c>
      <c r="AV180" s="1240">
        <f>+IFERROR(HLOOKUP(AV13,'סקרי נכסים-יתרות פתיחה'!$2:$110,35,0),0)-IFERROR(HLOOKUP(AV13,'סקרי נכסים-יתרות פתיחה'!$2:$110,94,0),0)*(1-AV$309)</f>
        <v>0</v>
      </c>
      <c r="AW180" s="1240">
        <f>+IFERROR(HLOOKUP(AW13,'סקרי נכסים-יתרות פתיחה'!$2:$110,35,0),0)-IFERROR(HLOOKUP(AW13,'סקרי נכסים-יתרות פתיחה'!$2:$110,94,0),0)*(1-AW$309)</f>
        <v>0</v>
      </c>
      <c r="AX180" s="1240">
        <f>+IFERROR(HLOOKUP(AX13,'סקרי נכסים-יתרות פתיחה'!$2:$110,35,0),0)-IFERROR(HLOOKUP(AX13,'סקרי נכסים-יתרות פתיחה'!$2:$110,94,0),0)*(1-AX$309)</f>
        <v>0</v>
      </c>
      <c r="AY180" s="1240">
        <f>+IFERROR(HLOOKUP(AY13,'סקרי נכסים-יתרות פתיחה'!$2:$110,35,0),0)-IFERROR(HLOOKUP(AY13,'סקרי נכסים-יתרות פתיחה'!$2:$110,94,0),0)*(1-AY$309)</f>
        <v>0</v>
      </c>
      <c r="AZ180" s="1240">
        <f>+IFERROR(HLOOKUP(AZ13,'סקרי נכסים-יתרות פתיחה'!$2:$110,35,0),0)-IFERROR(HLOOKUP(AZ13,'סקרי נכסים-יתרות פתיחה'!$2:$110,94,0),0)*(1-AZ$309)</f>
        <v>0</v>
      </c>
      <c r="BA180" s="1240">
        <f>+IFERROR(HLOOKUP(BA13,'סקרי נכסים-יתרות פתיחה'!$2:$110,35,0),0)-IFERROR(HLOOKUP(BA13,'סקרי נכסים-יתרות פתיחה'!$2:$110,94,0),0)*(1-BA$309)</f>
        <v>0</v>
      </c>
      <c r="BB180" s="1240">
        <f>+IFERROR(HLOOKUP(BB13,'סקרי נכסים-יתרות פתיחה'!$2:$110,35,0),0)-IFERROR(HLOOKUP(BB13,'סקרי נכסים-יתרות פתיחה'!$2:$110,94,0),0)*(1-BB$309)</f>
        <v>0</v>
      </c>
      <c r="BC180" s="1240">
        <f>+IFERROR(HLOOKUP(BC13,'סקרי נכסים-יתרות פתיחה'!$2:$110,35,0),0)-IFERROR(HLOOKUP(BC13,'סקרי נכסים-יתרות פתיחה'!$2:$110,94,0),0)*(1-BC$309)</f>
        <v>0</v>
      </c>
      <c r="BD180" s="1240">
        <f>+IFERROR(HLOOKUP(BD13,'סקרי נכסים-יתרות פתיחה'!$2:$110,35,0),0)-IFERROR(HLOOKUP(BD13,'סקרי נכסים-יתרות פתיחה'!$2:$110,94,0),0)*(1-BD$309)</f>
        <v>0</v>
      </c>
      <c r="BE180" s="1240">
        <f>+IFERROR(HLOOKUP(BE13,'סקרי נכסים-יתרות פתיחה'!$2:$110,35,0),0)-IFERROR(HLOOKUP(BE13,'סקרי נכסים-יתרות פתיחה'!$2:$110,94,0),0)*(1-BE$309)</f>
        <v>0</v>
      </c>
      <c r="BF180" s="1240">
        <f>+IFERROR(HLOOKUP(BF13,'סקרי נכסים-יתרות פתיחה'!$2:$110,35,0),0)-IFERROR(HLOOKUP(BF13,'סקרי נכסים-יתרות פתיחה'!$2:$110,94,0),0)*(1-BF$309)</f>
        <v>0</v>
      </c>
    </row>
    <row r="181" spans="2:58" x14ac:dyDescent="0.2">
      <c r="B181" s="1">
        <v>11</v>
      </c>
      <c r="C181" s="1240">
        <f>+IFERROR(HLOOKUP(C14,'סקרי נכסים-יתרות פתיחה'!$2:$110,35,0),0)-IFERROR(HLOOKUP(C14,'סקרי נכסים-יתרות פתיחה'!$2:$110,94,0),0)*(1-C$309)</f>
        <v>0</v>
      </c>
      <c r="D181" s="1240">
        <f>+IFERROR(HLOOKUP(D14,'סקרי נכסים-יתרות פתיחה'!$2:$110,35,0),0)-IFERROR(HLOOKUP(D14,'סקרי נכסים-יתרות פתיחה'!$2:$110,94,0),0)*(1-D$309)</f>
        <v>0</v>
      </c>
      <c r="E181" s="1240">
        <f>+IFERROR(HLOOKUP(E14,'סקרי נכסים-יתרות פתיחה'!$2:$110,35,0),0)-IFERROR(HLOOKUP(E14,'סקרי נכסים-יתרות פתיחה'!$2:$110,94,0),0)*(1-E$309)</f>
        <v>0</v>
      </c>
      <c r="F181" s="1240">
        <f>+IFERROR(HLOOKUP(F14,'סקרי נכסים-יתרות פתיחה'!$2:$110,35,0),0)-IFERROR(HLOOKUP(F14,'סקרי נכסים-יתרות פתיחה'!$2:$110,94,0),0)*(1-F$309)</f>
        <v>0</v>
      </c>
      <c r="G181" s="1240">
        <f>+IFERROR(HLOOKUP(G14,'סקרי נכסים-יתרות פתיחה'!$2:$110,35,0),0)-IFERROR(HLOOKUP(G14,'סקרי נכסים-יתרות פתיחה'!$2:$110,94,0),0)*(1-G$309)</f>
        <v>0</v>
      </c>
      <c r="H181" s="1240">
        <f>+IFERROR(HLOOKUP(H14,'סקרי נכסים-יתרות פתיחה'!$2:$110,35,0),0)-IFERROR(HLOOKUP(H14,'סקרי נכסים-יתרות פתיחה'!$2:$110,94,0),0)*(1-H$309)</f>
        <v>0</v>
      </c>
      <c r="I181" s="1240">
        <f>+IFERROR(HLOOKUP(I14,'סקרי נכסים-יתרות פתיחה'!$2:$110,35,0),0)-IFERROR(HLOOKUP(I14,'סקרי נכסים-יתרות פתיחה'!$2:$110,94,0),0)*(1-I$309)</f>
        <v>0</v>
      </c>
      <c r="J181" s="1240">
        <f>+IFERROR(HLOOKUP(J14,'סקרי נכסים-יתרות פתיחה'!$2:$110,35,0),0)-IFERROR(HLOOKUP(J14,'סקרי נכסים-יתרות פתיחה'!$2:$110,94,0),0)*(1-J$309)</f>
        <v>0</v>
      </c>
      <c r="K181" s="1240">
        <f>+IFERROR(HLOOKUP(K14,'סקרי נכסים-יתרות פתיחה'!$2:$110,35,0),0)-IFERROR(HLOOKUP(K14,'סקרי נכסים-יתרות פתיחה'!$2:$110,94,0),0)*(1-K$309)</f>
        <v>0</v>
      </c>
      <c r="L181" s="1240">
        <f>+IFERROR(HLOOKUP(L14,'סקרי נכסים-יתרות פתיחה'!$2:$110,35,0),0)-IFERROR(HLOOKUP(L14,'סקרי נכסים-יתרות פתיחה'!$2:$110,94,0),0)*(1-L$309)</f>
        <v>0</v>
      </c>
      <c r="M181" s="1240">
        <f>+IFERROR(HLOOKUP(M14,'סקרי נכסים-יתרות פתיחה'!$2:$110,35,0),0)-IFERROR(HLOOKUP(M14,'סקרי נכסים-יתרות פתיחה'!$2:$110,94,0),0)*(1-M$309)</f>
        <v>0</v>
      </c>
      <c r="N181" s="1240">
        <f>+IFERROR(HLOOKUP(N14,'סקרי נכסים-יתרות פתיחה'!$2:$110,35,0),0)-IFERROR(HLOOKUP(N14,'סקרי נכסים-יתרות פתיחה'!$2:$110,94,0),0)*(1-N$309)</f>
        <v>0</v>
      </c>
      <c r="O181" s="1240">
        <f>+IFERROR(HLOOKUP(O14,'סקרי נכסים-יתרות פתיחה'!$2:$110,35,0),0)-IFERROR(HLOOKUP(O14,'סקרי נכסים-יתרות פתיחה'!$2:$110,94,0),0)*(1-O$309)</f>
        <v>0</v>
      </c>
      <c r="P181" s="1240">
        <f>+IFERROR(HLOOKUP(P14,'סקרי נכסים-יתרות פתיחה'!$2:$110,35,0),0)-IFERROR(HLOOKUP(P14,'סקרי נכסים-יתרות פתיחה'!$2:$110,94,0),0)*(1-P$309)</f>
        <v>0</v>
      </c>
      <c r="Q181" s="1240">
        <f>+IFERROR(HLOOKUP(Q14,'סקרי נכסים-יתרות פתיחה'!$2:$110,35,0),0)-IFERROR(HLOOKUP(Q14,'סקרי נכסים-יתרות פתיחה'!$2:$110,94,0),0)*(1-Q$309)</f>
        <v>0</v>
      </c>
      <c r="R181" s="1240">
        <f>+IFERROR(HLOOKUP(R14,'סקרי נכסים-יתרות פתיחה'!$2:$110,35,0),0)-IFERROR(HLOOKUP(R14,'סקרי נכסים-יתרות פתיחה'!$2:$110,94,0),0)*(1-R$309)</f>
        <v>0</v>
      </c>
      <c r="S181" s="1240">
        <f>+IFERROR(HLOOKUP(S14,'סקרי נכסים-יתרות פתיחה'!$2:$110,35,0),0)-IFERROR(HLOOKUP(S14,'סקרי נכסים-יתרות פתיחה'!$2:$110,94,0),0)*(1-S$309)</f>
        <v>0</v>
      </c>
      <c r="T181" s="1240">
        <f>+IFERROR(HLOOKUP(T14,'סקרי נכסים-יתרות פתיחה'!$2:$110,35,0),0)-IFERROR(HLOOKUP(T14,'סקרי נכסים-יתרות פתיחה'!$2:$110,94,0),0)*(1-T$309)</f>
        <v>0</v>
      </c>
      <c r="U181" s="1240">
        <f>+IFERROR(HLOOKUP(U14,'סקרי נכסים-יתרות פתיחה'!$2:$110,35,0),0)-IFERROR(HLOOKUP(U14,'סקרי נכסים-יתרות פתיחה'!$2:$110,94,0),0)*(1-U$309)</f>
        <v>0</v>
      </c>
      <c r="V181" s="1240">
        <f>+IFERROR(HLOOKUP(V14,'סקרי נכסים-יתרות פתיחה'!$2:$110,35,0),0)-IFERROR(HLOOKUP(V14,'סקרי נכסים-יתרות פתיחה'!$2:$110,94,0),0)*(1-V$309)</f>
        <v>0</v>
      </c>
      <c r="W181" s="1240">
        <f>+IFERROR(HLOOKUP(W14,'סקרי נכסים-יתרות פתיחה'!$2:$110,35,0),0)-IFERROR(HLOOKUP(W14,'סקרי נכסים-יתרות פתיחה'!$2:$110,94,0),0)*(1-W$309)</f>
        <v>0</v>
      </c>
      <c r="X181" s="1240">
        <f>+IFERROR(HLOOKUP(X14,'סקרי נכסים-יתרות פתיחה'!$2:$110,35,0),0)-IFERROR(HLOOKUP(X14,'סקרי נכסים-יתרות פתיחה'!$2:$110,94,0),0)*(1-X$309)</f>
        <v>0</v>
      </c>
      <c r="Y181" s="1240">
        <f>+IFERROR(HLOOKUP(Y14,'סקרי נכסים-יתרות פתיחה'!$2:$110,35,0),0)-IFERROR(HLOOKUP(Y14,'סקרי נכסים-יתרות פתיחה'!$2:$110,94,0),0)*(1-Y$309)</f>
        <v>0</v>
      </c>
      <c r="Z181" s="1240">
        <f>+IFERROR(HLOOKUP(Z14,'סקרי נכסים-יתרות פתיחה'!$2:$110,35,0),0)-IFERROR(HLOOKUP(Z14,'סקרי נכסים-יתרות פתיחה'!$2:$110,94,0),0)*(1-Z$309)</f>
        <v>0</v>
      </c>
      <c r="AA181" s="1240">
        <f>+IFERROR(HLOOKUP(AA14,'סקרי נכסים-יתרות פתיחה'!$2:$110,35,0),0)-IFERROR(HLOOKUP(AA14,'סקרי נכסים-יתרות פתיחה'!$2:$110,94,0),0)*(1-AA$309)</f>
        <v>0</v>
      </c>
      <c r="AB181" s="1240">
        <f>+IFERROR(HLOOKUP(AB14,'סקרי נכסים-יתרות פתיחה'!$2:$110,35,0),0)-IFERROR(HLOOKUP(AB14,'סקרי נכסים-יתרות פתיחה'!$2:$110,94,0),0)*(1-AB$309)</f>
        <v>0</v>
      </c>
      <c r="AC181" s="1240">
        <f>+IFERROR(HLOOKUP(AC14,'סקרי נכסים-יתרות פתיחה'!$2:$110,35,0),0)-IFERROR(HLOOKUP(AC14,'סקרי נכסים-יתרות פתיחה'!$2:$110,94,0),0)*(1-AC$309)</f>
        <v>0</v>
      </c>
      <c r="AD181" s="1240">
        <f>+IFERROR(HLOOKUP(AD14,'סקרי נכסים-יתרות פתיחה'!$2:$110,35,0),0)-IFERROR(HLOOKUP(AD14,'סקרי נכסים-יתרות פתיחה'!$2:$110,94,0),0)*(1-AD$309)</f>
        <v>0</v>
      </c>
      <c r="AE181" s="1240">
        <f>+IFERROR(HLOOKUP(AE14,'סקרי נכסים-יתרות פתיחה'!$2:$110,35,0),0)-IFERROR(HLOOKUP(AE14,'סקרי נכסים-יתרות פתיחה'!$2:$110,94,0),0)*(1-AE$309)</f>
        <v>0</v>
      </c>
      <c r="AF181" s="1240">
        <f>+IFERROR(HLOOKUP(AF14,'סקרי נכסים-יתרות פתיחה'!$2:$110,35,0),0)-IFERROR(HLOOKUP(AF14,'סקרי נכסים-יתרות פתיחה'!$2:$110,94,0),0)*(1-AF$309)</f>
        <v>0</v>
      </c>
      <c r="AG181" s="1240">
        <f>+IFERROR(HLOOKUP(AG14,'סקרי נכסים-יתרות פתיחה'!$2:$110,35,0),0)-IFERROR(HLOOKUP(AG14,'סקרי נכסים-יתרות פתיחה'!$2:$110,94,0),0)*(1-AG$309)</f>
        <v>0</v>
      </c>
      <c r="AH181" s="1240">
        <f>+IFERROR(HLOOKUP(AH14,'סקרי נכסים-יתרות פתיחה'!$2:$110,35,0),0)-IFERROR(HLOOKUP(AH14,'סקרי נכסים-יתרות פתיחה'!$2:$110,94,0),0)*(1-AH$309)</f>
        <v>0</v>
      </c>
      <c r="AI181" s="1240">
        <f>+IFERROR(HLOOKUP(AI14,'סקרי נכסים-יתרות פתיחה'!$2:$110,35,0),0)-IFERROR(HLOOKUP(AI14,'סקרי נכסים-יתרות פתיחה'!$2:$110,94,0),0)*(1-AI$309)</f>
        <v>0</v>
      </c>
      <c r="AJ181" s="1240">
        <f>+IFERROR(HLOOKUP(AJ14,'סקרי נכסים-יתרות פתיחה'!$2:$110,35,0),0)-IFERROR(HLOOKUP(AJ14,'סקרי נכסים-יתרות פתיחה'!$2:$110,94,0),0)*(1-AJ$309)</f>
        <v>0</v>
      </c>
      <c r="AK181" s="1240">
        <f>+IFERROR(HLOOKUP(AK14,'סקרי נכסים-יתרות פתיחה'!$2:$110,35,0),0)-IFERROR(HLOOKUP(AK14,'סקרי נכסים-יתרות פתיחה'!$2:$110,94,0),0)*(1-AK$309)</f>
        <v>0</v>
      </c>
      <c r="AL181" s="1240">
        <f>+IFERROR(HLOOKUP(AL14,'סקרי נכסים-יתרות פתיחה'!$2:$110,35,0),0)-IFERROR(HLOOKUP(AL14,'סקרי נכסים-יתרות פתיחה'!$2:$110,94,0),0)*(1-AL$309)</f>
        <v>0</v>
      </c>
      <c r="AM181" s="1240">
        <f>+IFERROR(HLOOKUP(AM14,'סקרי נכסים-יתרות פתיחה'!$2:$110,35,0),0)-IFERROR(HLOOKUP(AM14,'סקרי נכסים-יתרות פתיחה'!$2:$110,94,0),0)*(1-AM$309)</f>
        <v>0</v>
      </c>
      <c r="AN181" s="1240">
        <f>+IFERROR(HLOOKUP(AN14,'סקרי נכסים-יתרות פתיחה'!$2:$110,35,0),0)-IFERROR(HLOOKUP(AN14,'סקרי נכסים-יתרות פתיחה'!$2:$110,94,0),0)*(1-AN$309)</f>
        <v>0</v>
      </c>
      <c r="AO181" s="1240">
        <f>+IFERROR(HLOOKUP(AO14,'סקרי נכסים-יתרות פתיחה'!$2:$110,35,0),0)-IFERROR(HLOOKUP(AO14,'סקרי נכסים-יתרות פתיחה'!$2:$110,94,0),0)*(1-AO$309)</f>
        <v>0</v>
      </c>
      <c r="AP181" s="1240">
        <f>+IFERROR(HLOOKUP(AP14,'סקרי נכסים-יתרות פתיחה'!$2:$110,35,0),0)-IFERROR(HLOOKUP(AP14,'סקרי נכסים-יתרות פתיחה'!$2:$110,94,0),0)*(1-AP$309)</f>
        <v>0</v>
      </c>
      <c r="AQ181" s="1240">
        <f>+IFERROR(HLOOKUP(AQ14,'סקרי נכסים-יתרות פתיחה'!$2:$110,35,0),0)-IFERROR(HLOOKUP(AQ14,'סקרי נכסים-יתרות פתיחה'!$2:$110,94,0),0)*(1-AQ$309)</f>
        <v>0</v>
      </c>
      <c r="AR181" s="1240">
        <f>+IFERROR(HLOOKUP(AR14,'סקרי נכסים-יתרות פתיחה'!$2:$110,35,0),0)-IFERROR(HLOOKUP(AR14,'סקרי נכסים-יתרות פתיחה'!$2:$110,94,0),0)*(1-AR$309)</f>
        <v>0</v>
      </c>
      <c r="AS181" s="1240">
        <f>+IFERROR(HLOOKUP(AS14,'סקרי נכסים-יתרות פתיחה'!$2:$110,35,0),0)-IFERROR(HLOOKUP(AS14,'סקרי נכסים-יתרות פתיחה'!$2:$110,94,0),0)*(1-AS$309)</f>
        <v>0</v>
      </c>
      <c r="AT181" s="1240">
        <f>+IFERROR(HLOOKUP(AT14,'סקרי נכסים-יתרות פתיחה'!$2:$110,35,0),0)-IFERROR(HLOOKUP(AT14,'סקרי נכסים-יתרות פתיחה'!$2:$110,94,0),0)*(1-AT$309)</f>
        <v>0</v>
      </c>
      <c r="AU181" s="1240">
        <f>+IFERROR(HLOOKUP(AU14,'סקרי נכסים-יתרות פתיחה'!$2:$110,35,0),0)-IFERROR(HLOOKUP(AU14,'סקרי נכסים-יתרות פתיחה'!$2:$110,94,0),0)*(1-AU$309)</f>
        <v>0</v>
      </c>
      <c r="AV181" s="1240">
        <f>+IFERROR(HLOOKUP(AV14,'סקרי נכסים-יתרות פתיחה'!$2:$110,35,0),0)-IFERROR(HLOOKUP(AV14,'סקרי נכסים-יתרות פתיחה'!$2:$110,94,0),0)*(1-AV$309)</f>
        <v>0</v>
      </c>
      <c r="AW181" s="1240">
        <f>+IFERROR(HLOOKUP(AW14,'סקרי נכסים-יתרות פתיחה'!$2:$110,35,0),0)-IFERROR(HLOOKUP(AW14,'סקרי נכסים-יתרות פתיחה'!$2:$110,94,0),0)*(1-AW$309)</f>
        <v>0</v>
      </c>
      <c r="AX181" s="1240">
        <f>+IFERROR(HLOOKUP(AX14,'סקרי נכסים-יתרות פתיחה'!$2:$110,35,0),0)-IFERROR(HLOOKUP(AX14,'סקרי נכסים-יתרות פתיחה'!$2:$110,94,0),0)*(1-AX$309)</f>
        <v>0</v>
      </c>
      <c r="AY181" s="1240">
        <f>+IFERROR(HLOOKUP(AY14,'סקרי נכסים-יתרות פתיחה'!$2:$110,35,0),0)-IFERROR(HLOOKUP(AY14,'סקרי נכסים-יתרות פתיחה'!$2:$110,94,0),0)*(1-AY$309)</f>
        <v>0</v>
      </c>
      <c r="AZ181" s="1240">
        <f>+IFERROR(HLOOKUP(AZ14,'סקרי נכסים-יתרות פתיחה'!$2:$110,35,0),0)-IFERROR(HLOOKUP(AZ14,'סקרי נכסים-יתרות פתיחה'!$2:$110,94,0),0)*(1-AZ$309)</f>
        <v>0</v>
      </c>
      <c r="BA181" s="1240">
        <f>+IFERROR(HLOOKUP(BA14,'סקרי נכסים-יתרות פתיחה'!$2:$110,35,0),0)-IFERROR(HLOOKUP(BA14,'סקרי נכסים-יתרות פתיחה'!$2:$110,94,0),0)*(1-BA$309)</f>
        <v>0</v>
      </c>
      <c r="BB181" s="1240">
        <f>+IFERROR(HLOOKUP(BB14,'סקרי נכסים-יתרות פתיחה'!$2:$110,35,0),0)-IFERROR(HLOOKUP(BB14,'סקרי נכסים-יתרות פתיחה'!$2:$110,94,0),0)*(1-BB$309)</f>
        <v>0</v>
      </c>
      <c r="BC181" s="1240">
        <f>+IFERROR(HLOOKUP(BC14,'סקרי נכסים-יתרות פתיחה'!$2:$110,35,0),0)-IFERROR(HLOOKUP(BC14,'סקרי נכסים-יתרות פתיחה'!$2:$110,94,0),0)*(1-BC$309)</f>
        <v>0</v>
      </c>
      <c r="BD181" s="1240">
        <f>+IFERROR(HLOOKUP(BD14,'סקרי נכסים-יתרות פתיחה'!$2:$110,35,0),0)-IFERROR(HLOOKUP(BD14,'סקרי נכסים-יתרות פתיחה'!$2:$110,94,0),0)*(1-BD$309)</f>
        <v>0</v>
      </c>
      <c r="BE181" s="1240">
        <f>+IFERROR(HLOOKUP(BE14,'סקרי נכסים-יתרות פתיחה'!$2:$110,35,0),0)-IFERROR(HLOOKUP(BE14,'סקרי נכסים-יתרות פתיחה'!$2:$110,94,0),0)*(1-BE$309)</f>
        <v>0</v>
      </c>
      <c r="BF181" s="1240">
        <f>+IFERROR(HLOOKUP(BF14,'סקרי נכסים-יתרות פתיחה'!$2:$110,35,0),0)-IFERROR(HLOOKUP(BF14,'סקרי נכסים-יתרות פתיחה'!$2:$110,94,0),0)*(1-BF$309)</f>
        <v>0</v>
      </c>
    </row>
    <row r="182" spans="2:58" x14ac:dyDescent="0.2">
      <c r="B182" s="1">
        <v>12</v>
      </c>
      <c r="C182" s="1240">
        <f>+IFERROR(HLOOKUP(C15,'סקרי נכסים-יתרות פתיחה'!$2:$110,35,0),0)-IFERROR(HLOOKUP(C15,'סקרי נכסים-יתרות פתיחה'!$2:$110,94,0),0)*(1-C$309)</f>
        <v>0</v>
      </c>
      <c r="D182" s="1240">
        <f>+IFERROR(HLOOKUP(D15,'סקרי נכסים-יתרות פתיחה'!$2:$110,35,0),0)-IFERROR(HLOOKUP(D15,'סקרי נכסים-יתרות פתיחה'!$2:$110,94,0),0)*(1-D$309)</f>
        <v>0</v>
      </c>
      <c r="E182" s="1240">
        <f>+IFERROR(HLOOKUP(E15,'סקרי נכסים-יתרות פתיחה'!$2:$110,35,0),0)-IFERROR(HLOOKUP(E15,'סקרי נכסים-יתרות פתיחה'!$2:$110,94,0),0)*(1-E$309)</f>
        <v>0</v>
      </c>
      <c r="F182" s="1240">
        <f>+IFERROR(HLOOKUP(F15,'סקרי נכסים-יתרות פתיחה'!$2:$110,35,0),0)-IFERROR(HLOOKUP(F15,'סקרי נכסים-יתרות פתיחה'!$2:$110,94,0),0)*(1-F$309)</f>
        <v>0</v>
      </c>
      <c r="G182" s="1240">
        <f>+IFERROR(HLOOKUP(G15,'סקרי נכסים-יתרות פתיחה'!$2:$110,35,0),0)-IFERROR(HLOOKUP(G15,'סקרי נכסים-יתרות פתיחה'!$2:$110,94,0),0)*(1-G$309)</f>
        <v>0</v>
      </c>
      <c r="H182" s="1240">
        <f>+IFERROR(HLOOKUP(H15,'סקרי נכסים-יתרות פתיחה'!$2:$110,35,0),0)-IFERROR(HLOOKUP(H15,'סקרי נכסים-יתרות פתיחה'!$2:$110,94,0),0)*(1-H$309)</f>
        <v>0</v>
      </c>
      <c r="I182" s="1240">
        <f>+IFERROR(HLOOKUP(I15,'סקרי נכסים-יתרות פתיחה'!$2:$110,35,0),0)-IFERROR(HLOOKUP(I15,'סקרי נכסים-יתרות פתיחה'!$2:$110,94,0),0)*(1-I$309)</f>
        <v>0</v>
      </c>
      <c r="J182" s="1240">
        <f>+IFERROR(HLOOKUP(J15,'סקרי נכסים-יתרות פתיחה'!$2:$110,35,0),0)-IFERROR(HLOOKUP(J15,'סקרי נכסים-יתרות פתיחה'!$2:$110,94,0),0)*(1-J$309)</f>
        <v>0</v>
      </c>
      <c r="K182" s="1240">
        <f>+IFERROR(HLOOKUP(K15,'סקרי נכסים-יתרות פתיחה'!$2:$110,35,0),0)-IFERROR(HLOOKUP(K15,'סקרי נכסים-יתרות פתיחה'!$2:$110,94,0),0)*(1-K$309)</f>
        <v>0</v>
      </c>
      <c r="L182" s="1240">
        <f>+IFERROR(HLOOKUP(L15,'סקרי נכסים-יתרות פתיחה'!$2:$110,35,0),0)-IFERROR(HLOOKUP(L15,'סקרי נכסים-יתרות פתיחה'!$2:$110,94,0),0)*(1-L$309)</f>
        <v>0</v>
      </c>
      <c r="M182" s="1240">
        <f>+IFERROR(HLOOKUP(M15,'סקרי נכסים-יתרות פתיחה'!$2:$110,35,0),0)-IFERROR(HLOOKUP(M15,'סקרי נכסים-יתרות פתיחה'!$2:$110,94,0),0)*(1-M$309)</f>
        <v>0</v>
      </c>
      <c r="N182" s="1240">
        <f>+IFERROR(HLOOKUP(N15,'סקרי נכסים-יתרות פתיחה'!$2:$110,35,0),0)-IFERROR(HLOOKUP(N15,'סקרי נכסים-יתרות פתיחה'!$2:$110,94,0),0)*(1-N$309)</f>
        <v>0</v>
      </c>
      <c r="O182" s="1240">
        <f>+IFERROR(HLOOKUP(O15,'סקרי נכסים-יתרות פתיחה'!$2:$110,35,0),0)-IFERROR(HLOOKUP(O15,'סקרי נכסים-יתרות פתיחה'!$2:$110,94,0),0)*(1-O$309)</f>
        <v>0</v>
      </c>
      <c r="P182" s="1240">
        <f>+IFERROR(HLOOKUP(P15,'סקרי נכסים-יתרות פתיחה'!$2:$110,35,0),0)-IFERROR(HLOOKUP(P15,'סקרי נכסים-יתרות פתיחה'!$2:$110,94,0),0)*(1-P$309)</f>
        <v>842478</v>
      </c>
      <c r="Q182" s="1240">
        <f>+IFERROR(HLOOKUP(Q15,'סקרי נכסים-יתרות פתיחה'!$2:$110,35,0),0)-IFERROR(HLOOKUP(Q15,'סקרי נכסים-יתרות פתיחה'!$2:$110,94,0),0)*(1-Q$309)</f>
        <v>0</v>
      </c>
      <c r="R182" s="1240">
        <f>+IFERROR(HLOOKUP(R15,'סקרי נכסים-יתרות פתיחה'!$2:$110,35,0),0)-IFERROR(HLOOKUP(R15,'סקרי נכסים-יתרות פתיחה'!$2:$110,94,0),0)*(1-R$309)</f>
        <v>0</v>
      </c>
      <c r="S182" s="1240">
        <f>+IFERROR(HLOOKUP(S15,'סקרי נכסים-יתרות פתיחה'!$2:$110,35,0),0)-IFERROR(HLOOKUP(S15,'סקרי נכסים-יתרות פתיחה'!$2:$110,94,0),0)*(1-S$309)</f>
        <v>0</v>
      </c>
      <c r="T182" s="1240">
        <f>+IFERROR(HLOOKUP(T15,'סקרי נכסים-יתרות פתיחה'!$2:$110,35,0),0)-IFERROR(HLOOKUP(T15,'סקרי נכסים-יתרות פתיחה'!$2:$110,94,0),0)*(1-T$309)</f>
        <v>0</v>
      </c>
      <c r="U182" s="1240">
        <f>+IFERROR(HLOOKUP(U15,'סקרי נכסים-יתרות פתיחה'!$2:$110,35,0),0)-IFERROR(HLOOKUP(U15,'סקרי נכסים-יתרות פתיחה'!$2:$110,94,0),0)*(1-U$309)</f>
        <v>0</v>
      </c>
      <c r="V182" s="1240">
        <f>+IFERROR(HLOOKUP(V15,'סקרי נכסים-יתרות פתיחה'!$2:$110,35,0),0)-IFERROR(HLOOKUP(V15,'סקרי נכסים-יתרות פתיחה'!$2:$110,94,0),0)*(1-V$309)</f>
        <v>0</v>
      </c>
      <c r="W182" s="1240">
        <f>+IFERROR(HLOOKUP(W15,'סקרי נכסים-יתרות פתיחה'!$2:$110,35,0),0)-IFERROR(HLOOKUP(W15,'סקרי נכסים-יתרות פתיחה'!$2:$110,94,0),0)*(1-W$309)</f>
        <v>0</v>
      </c>
      <c r="X182" s="1240">
        <f>+IFERROR(HLOOKUP(X15,'סקרי נכסים-יתרות פתיחה'!$2:$110,35,0),0)-IFERROR(HLOOKUP(X15,'סקרי נכסים-יתרות פתיחה'!$2:$110,94,0),0)*(1-X$309)</f>
        <v>0</v>
      </c>
      <c r="Y182" s="1240">
        <f>+IFERROR(HLOOKUP(Y15,'סקרי נכסים-יתרות פתיחה'!$2:$110,35,0),0)-IFERROR(HLOOKUP(Y15,'סקרי נכסים-יתרות פתיחה'!$2:$110,94,0),0)*(1-Y$309)</f>
        <v>0</v>
      </c>
      <c r="Z182" s="1240">
        <f>+IFERROR(HLOOKUP(Z15,'סקרי נכסים-יתרות פתיחה'!$2:$110,35,0),0)-IFERROR(HLOOKUP(Z15,'סקרי נכסים-יתרות פתיחה'!$2:$110,94,0),0)*(1-Z$309)</f>
        <v>0</v>
      </c>
      <c r="AA182" s="1240">
        <f>+IFERROR(HLOOKUP(AA15,'סקרי נכסים-יתרות פתיחה'!$2:$110,35,0),0)-IFERROR(HLOOKUP(AA15,'סקרי נכסים-יתרות פתיחה'!$2:$110,94,0),0)*(1-AA$309)</f>
        <v>0</v>
      </c>
      <c r="AB182" s="1240">
        <f>+IFERROR(HLOOKUP(AB15,'סקרי נכסים-יתרות פתיחה'!$2:$110,35,0),0)-IFERROR(HLOOKUP(AB15,'סקרי נכסים-יתרות פתיחה'!$2:$110,94,0),0)*(1-AB$309)</f>
        <v>0</v>
      </c>
      <c r="AC182" s="1240">
        <f>+IFERROR(HLOOKUP(AC15,'סקרי נכסים-יתרות פתיחה'!$2:$110,35,0),0)-IFERROR(HLOOKUP(AC15,'סקרי נכסים-יתרות פתיחה'!$2:$110,94,0),0)*(1-AC$309)</f>
        <v>0</v>
      </c>
      <c r="AD182" s="1240">
        <f>+IFERROR(HLOOKUP(AD15,'סקרי נכסים-יתרות פתיחה'!$2:$110,35,0),0)-IFERROR(HLOOKUP(AD15,'סקרי נכסים-יתרות פתיחה'!$2:$110,94,0),0)*(1-AD$309)</f>
        <v>0</v>
      </c>
      <c r="AE182" s="1240">
        <f>+IFERROR(HLOOKUP(AE15,'סקרי נכסים-יתרות פתיחה'!$2:$110,35,0),0)-IFERROR(HLOOKUP(AE15,'סקרי נכסים-יתרות פתיחה'!$2:$110,94,0),0)*(1-AE$309)</f>
        <v>0</v>
      </c>
      <c r="AF182" s="1240">
        <f>+IFERROR(HLOOKUP(AF15,'סקרי נכסים-יתרות פתיחה'!$2:$110,35,0),0)-IFERROR(HLOOKUP(AF15,'סקרי נכסים-יתרות פתיחה'!$2:$110,94,0),0)*(1-AF$309)</f>
        <v>0</v>
      </c>
      <c r="AG182" s="1240">
        <f>+IFERROR(HLOOKUP(AG15,'סקרי נכסים-יתרות פתיחה'!$2:$110,35,0),0)-IFERROR(HLOOKUP(AG15,'סקרי נכסים-יתרות פתיחה'!$2:$110,94,0),0)*(1-AG$309)</f>
        <v>0</v>
      </c>
      <c r="AH182" s="1240">
        <f>+IFERROR(HLOOKUP(AH15,'סקרי נכסים-יתרות פתיחה'!$2:$110,35,0),0)-IFERROR(HLOOKUP(AH15,'סקרי נכסים-יתרות פתיחה'!$2:$110,94,0),0)*(1-AH$309)</f>
        <v>0</v>
      </c>
      <c r="AI182" s="1240">
        <f>+IFERROR(HLOOKUP(AI15,'סקרי נכסים-יתרות פתיחה'!$2:$110,35,0),0)-IFERROR(HLOOKUP(AI15,'סקרי נכסים-יתרות פתיחה'!$2:$110,94,0),0)*(1-AI$309)</f>
        <v>0</v>
      </c>
      <c r="AJ182" s="1240">
        <f>+IFERROR(HLOOKUP(AJ15,'סקרי נכסים-יתרות פתיחה'!$2:$110,35,0),0)-IFERROR(HLOOKUP(AJ15,'סקרי נכסים-יתרות פתיחה'!$2:$110,94,0),0)*(1-AJ$309)</f>
        <v>0</v>
      </c>
      <c r="AK182" s="1240">
        <f>+IFERROR(HLOOKUP(AK15,'סקרי נכסים-יתרות פתיחה'!$2:$110,35,0),0)-IFERROR(HLOOKUP(AK15,'סקרי נכסים-יתרות פתיחה'!$2:$110,94,0),0)*(1-AK$309)</f>
        <v>0</v>
      </c>
      <c r="AL182" s="1240">
        <f>+IFERROR(HLOOKUP(AL15,'סקרי נכסים-יתרות פתיחה'!$2:$110,35,0),0)-IFERROR(HLOOKUP(AL15,'סקרי נכסים-יתרות פתיחה'!$2:$110,94,0),0)*(1-AL$309)</f>
        <v>0</v>
      </c>
      <c r="AM182" s="1240">
        <f>+IFERROR(HLOOKUP(AM15,'סקרי נכסים-יתרות פתיחה'!$2:$110,35,0),0)-IFERROR(HLOOKUP(AM15,'סקרי נכסים-יתרות פתיחה'!$2:$110,94,0),0)*(1-AM$309)</f>
        <v>0</v>
      </c>
      <c r="AN182" s="1240">
        <f>+IFERROR(HLOOKUP(AN15,'סקרי נכסים-יתרות פתיחה'!$2:$110,35,0),0)-IFERROR(HLOOKUP(AN15,'סקרי נכסים-יתרות פתיחה'!$2:$110,94,0),0)*(1-AN$309)</f>
        <v>0</v>
      </c>
      <c r="AO182" s="1240">
        <f>+IFERROR(HLOOKUP(AO15,'סקרי נכסים-יתרות פתיחה'!$2:$110,35,0),0)-IFERROR(HLOOKUP(AO15,'סקרי נכסים-יתרות פתיחה'!$2:$110,94,0),0)*(1-AO$309)</f>
        <v>0</v>
      </c>
      <c r="AP182" s="1240">
        <f>+IFERROR(HLOOKUP(AP15,'סקרי נכסים-יתרות פתיחה'!$2:$110,35,0),0)-IFERROR(HLOOKUP(AP15,'סקרי נכסים-יתרות פתיחה'!$2:$110,94,0),0)*(1-AP$309)</f>
        <v>0</v>
      </c>
      <c r="AQ182" s="1240">
        <f>+IFERROR(HLOOKUP(AQ15,'סקרי נכסים-יתרות פתיחה'!$2:$110,35,0),0)-IFERROR(HLOOKUP(AQ15,'סקרי נכסים-יתרות פתיחה'!$2:$110,94,0),0)*(1-AQ$309)</f>
        <v>0</v>
      </c>
      <c r="AR182" s="1240">
        <f>+IFERROR(HLOOKUP(AR15,'סקרי נכסים-יתרות פתיחה'!$2:$110,35,0),0)-IFERROR(HLOOKUP(AR15,'סקרי נכסים-יתרות פתיחה'!$2:$110,94,0),0)*(1-AR$309)</f>
        <v>0</v>
      </c>
      <c r="AS182" s="1240">
        <f>+IFERROR(HLOOKUP(AS15,'סקרי נכסים-יתרות פתיחה'!$2:$110,35,0),0)-IFERROR(HLOOKUP(AS15,'סקרי נכסים-יתרות פתיחה'!$2:$110,94,0),0)*(1-AS$309)</f>
        <v>0</v>
      </c>
      <c r="AT182" s="1240">
        <f>+IFERROR(HLOOKUP(AT15,'סקרי נכסים-יתרות פתיחה'!$2:$110,35,0),0)-IFERROR(HLOOKUP(AT15,'סקרי נכסים-יתרות פתיחה'!$2:$110,94,0),0)*(1-AT$309)</f>
        <v>0</v>
      </c>
      <c r="AU182" s="1240">
        <f>+IFERROR(HLOOKUP(AU15,'סקרי נכסים-יתרות פתיחה'!$2:$110,35,0),0)-IFERROR(HLOOKUP(AU15,'סקרי נכסים-יתרות פתיחה'!$2:$110,94,0),0)*(1-AU$309)</f>
        <v>0</v>
      </c>
      <c r="AV182" s="1240">
        <f>+IFERROR(HLOOKUP(AV15,'סקרי נכסים-יתרות פתיחה'!$2:$110,35,0),0)-IFERROR(HLOOKUP(AV15,'סקרי נכסים-יתרות פתיחה'!$2:$110,94,0),0)*(1-AV$309)</f>
        <v>0</v>
      </c>
      <c r="AW182" s="1240">
        <f>+IFERROR(HLOOKUP(AW15,'סקרי נכסים-יתרות פתיחה'!$2:$110,35,0),0)-IFERROR(HLOOKUP(AW15,'סקרי נכסים-יתרות פתיחה'!$2:$110,94,0),0)*(1-AW$309)</f>
        <v>0</v>
      </c>
      <c r="AX182" s="1240">
        <f>+IFERROR(HLOOKUP(AX15,'סקרי נכסים-יתרות פתיחה'!$2:$110,35,0),0)-IFERROR(HLOOKUP(AX15,'סקרי נכסים-יתרות פתיחה'!$2:$110,94,0),0)*(1-AX$309)</f>
        <v>0</v>
      </c>
      <c r="AY182" s="1240">
        <f>+IFERROR(HLOOKUP(AY15,'סקרי נכסים-יתרות פתיחה'!$2:$110,35,0),0)-IFERROR(HLOOKUP(AY15,'סקרי נכסים-יתרות פתיחה'!$2:$110,94,0),0)*(1-AY$309)</f>
        <v>0</v>
      </c>
      <c r="AZ182" s="1240">
        <f>+IFERROR(HLOOKUP(AZ15,'סקרי נכסים-יתרות פתיחה'!$2:$110,35,0),0)-IFERROR(HLOOKUP(AZ15,'סקרי נכסים-יתרות פתיחה'!$2:$110,94,0),0)*(1-AZ$309)</f>
        <v>0</v>
      </c>
      <c r="BA182" s="1240">
        <f>+IFERROR(HLOOKUP(BA15,'סקרי נכסים-יתרות פתיחה'!$2:$110,35,0),0)-IFERROR(HLOOKUP(BA15,'סקרי נכסים-יתרות פתיחה'!$2:$110,94,0),0)*(1-BA$309)</f>
        <v>0</v>
      </c>
      <c r="BB182" s="1240">
        <f>+IFERROR(HLOOKUP(BB15,'סקרי נכסים-יתרות פתיחה'!$2:$110,35,0),0)-IFERROR(HLOOKUP(BB15,'סקרי נכסים-יתרות פתיחה'!$2:$110,94,0),0)*(1-BB$309)</f>
        <v>0</v>
      </c>
      <c r="BC182" s="1240">
        <f>+IFERROR(HLOOKUP(BC15,'סקרי נכסים-יתרות פתיחה'!$2:$110,35,0),0)-IFERROR(HLOOKUP(BC15,'סקרי נכסים-יתרות פתיחה'!$2:$110,94,0),0)*(1-BC$309)</f>
        <v>0</v>
      </c>
      <c r="BD182" s="1240">
        <f>+IFERROR(HLOOKUP(BD15,'סקרי נכסים-יתרות פתיחה'!$2:$110,35,0),0)-IFERROR(HLOOKUP(BD15,'סקרי נכסים-יתרות פתיחה'!$2:$110,94,0),0)*(1-BD$309)</f>
        <v>0</v>
      </c>
      <c r="BE182" s="1240">
        <f>+IFERROR(HLOOKUP(BE15,'סקרי נכסים-יתרות פתיחה'!$2:$110,35,0),0)-IFERROR(HLOOKUP(BE15,'סקרי נכסים-יתרות פתיחה'!$2:$110,94,0),0)*(1-BE$309)</f>
        <v>0</v>
      </c>
      <c r="BF182" s="1240">
        <f>+IFERROR(HLOOKUP(BF15,'סקרי נכסים-יתרות פתיחה'!$2:$110,35,0),0)-IFERROR(HLOOKUP(BF15,'סקרי נכסים-יתרות פתיחה'!$2:$110,94,0),0)*(1-BF$309)</f>
        <v>0</v>
      </c>
    </row>
    <row r="183" spans="2:58" x14ac:dyDescent="0.2">
      <c r="B183" s="1">
        <v>13</v>
      </c>
      <c r="C183" s="1240">
        <f>+IFERROR(HLOOKUP(C16,'סקרי נכסים-יתרות פתיחה'!$2:$110,35,0),0)-IFERROR(HLOOKUP(C16,'סקרי נכסים-יתרות פתיחה'!$2:$110,94,0),0)*(1-C$309)</f>
        <v>0</v>
      </c>
      <c r="D183" s="1240">
        <f>+IFERROR(HLOOKUP(D16,'סקרי נכסים-יתרות פתיחה'!$2:$110,35,0),0)-IFERROR(HLOOKUP(D16,'סקרי נכסים-יתרות פתיחה'!$2:$110,94,0),0)*(1-D$309)</f>
        <v>0</v>
      </c>
      <c r="E183" s="1240">
        <f>+IFERROR(HLOOKUP(E16,'סקרי נכסים-יתרות פתיחה'!$2:$110,35,0),0)-IFERROR(HLOOKUP(E16,'סקרי נכסים-יתרות פתיחה'!$2:$110,94,0),0)*(1-E$309)</f>
        <v>0</v>
      </c>
      <c r="F183" s="1240">
        <f>+IFERROR(HLOOKUP(F16,'סקרי נכסים-יתרות פתיחה'!$2:$110,35,0),0)-IFERROR(HLOOKUP(F16,'סקרי נכסים-יתרות פתיחה'!$2:$110,94,0),0)*(1-F$309)</f>
        <v>0</v>
      </c>
      <c r="G183" s="1240">
        <f>+IFERROR(HLOOKUP(G16,'סקרי נכסים-יתרות פתיחה'!$2:$110,35,0),0)-IFERROR(HLOOKUP(G16,'סקרי נכסים-יתרות פתיחה'!$2:$110,94,0),0)*(1-G$309)</f>
        <v>0</v>
      </c>
      <c r="H183" s="1240">
        <f>+IFERROR(HLOOKUP(H16,'סקרי נכסים-יתרות פתיחה'!$2:$110,35,0),0)-IFERROR(HLOOKUP(H16,'סקרי נכסים-יתרות פתיחה'!$2:$110,94,0),0)*(1-H$309)</f>
        <v>0</v>
      </c>
      <c r="I183" s="1240">
        <f>+IFERROR(HLOOKUP(I16,'סקרי נכסים-יתרות פתיחה'!$2:$110,35,0),0)-IFERROR(HLOOKUP(I16,'סקרי נכסים-יתרות פתיחה'!$2:$110,94,0),0)*(1-I$309)</f>
        <v>0</v>
      </c>
      <c r="J183" s="1240">
        <f>+IFERROR(HLOOKUP(J16,'סקרי נכסים-יתרות פתיחה'!$2:$110,35,0),0)-IFERROR(HLOOKUP(J16,'סקרי נכסים-יתרות פתיחה'!$2:$110,94,0),0)*(1-J$309)</f>
        <v>0</v>
      </c>
      <c r="K183" s="1240">
        <f>+IFERROR(HLOOKUP(K16,'סקרי נכסים-יתרות פתיחה'!$2:$110,35,0),0)-IFERROR(HLOOKUP(K16,'סקרי נכסים-יתרות פתיחה'!$2:$110,94,0),0)*(1-K$309)</f>
        <v>0</v>
      </c>
      <c r="L183" s="1240">
        <f>+IFERROR(HLOOKUP(L16,'סקרי נכסים-יתרות פתיחה'!$2:$110,35,0),0)-IFERROR(HLOOKUP(L16,'סקרי נכסים-יתרות פתיחה'!$2:$110,94,0),0)*(1-L$309)</f>
        <v>0</v>
      </c>
      <c r="M183" s="1240">
        <f>+IFERROR(HLOOKUP(M16,'סקרי נכסים-יתרות פתיחה'!$2:$110,35,0),0)-IFERROR(HLOOKUP(M16,'סקרי נכסים-יתרות פתיחה'!$2:$110,94,0),0)*(1-M$309)</f>
        <v>0</v>
      </c>
      <c r="N183" s="1240">
        <f>+IFERROR(HLOOKUP(N16,'סקרי נכסים-יתרות פתיחה'!$2:$110,35,0),0)-IFERROR(HLOOKUP(N16,'סקרי נכסים-יתרות פתיחה'!$2:$110,94,0),0)*(1-N$309)</f>
        <v>0</v>
      </c>
      <c r="O183" s="1240">
        <f>+IFERROR(HLOOKUP(O16,'סקרי נכסים-יתרות פתיחה'!$2:$110,35,0),0)-IFERROR(HLOOKUP(O16,'סקרי נכסים-יתרות פתיחה'!$2:$110,94,0),0)*(1-O$309)</f>
        <v>0</v>
      </c>
      <c r="P183" s="1240">
        <f>+IFERROR(HLOOKUP(P16,'סקרי נכסים-יתרות פתיחה'!$2:$110,35,0),0)-IFERROR(HLOOKUP(P16,'סקרי נכסים-יתרות פתיחה'!$2:$110,94,0),0)*(1-P$309)</f>
        <v>0</v>
      </c>
      <c r="Q183" s="1240">
        <f>+IFERROR(HLOOKUP(Q16,'סקרי נכסים-יתרות פתיחה'!$2:$110,35,0),0)-IFERROR(HLOOKUP(Q16,'סקרי נכסים-יתרות פתיחה'!$2:$110,94,0),0)*(1-Q$309)</f>
        <v>0</v>
      </c>
      <c r="R183" s="1240">
        <f>+IFERROR(HLOOKUP(R16,'סקרי נכסים-יתרות פתיחה'!$2:$110,35,0),0)-IFERROR(HLOOKUP(R16,'סקרי נכסים-יתרות פתיחה'!$2:$110,94,0),0)*(1-R$309)</f>
        <v>0</v>
      </c>
      <c r="S183" s="1240">
        <f>+IFERROR(HLOOKUP(S16,'סקרי נכסים-יתרות פתיחה'!$2:$110,35,0),0)-IFERROR(HLOOKUP(S16,'סקרי נכסים-יתרות פתיחה'!$2:$110,94,0),0)*(1-S$309)</f>
        <v>0</v>
      </c>
      <c r="T183" s="1240">
        <f>+IFERROR(HLOOKUP(T16,'סקרי נכסים-יתרות פתיחה'!$2:$110,35,0),0)-IFERROR(HLOOKUP(T16,'סקרי נכסים-יתרות פתיחה'!$2:$110,94,0),0)*(1-T$309)</f>
        <v>0</v>
      </c>
      <c r="U183" s="1240">
        <f>+IFERROR(HLOOKUP(U16,'סקרי נכסים-יתרות פתיחה'!$2:$110,35,0),0)-IFERROR(HLOOKUP(U16,'סקרי נכסים-יתרות פתיחה'!$2:$110,94,0),0)*(1-U$309)</f>
        <v>0</v>
      </c>
      <c r="V183" s="1240">
        <f>+IFERROR(HLOOKUP(V16,'סקרי נכסים-יתרות פתיחה'!$2:$110,35,0),0)-IFERROR(HLOOKUP(V16,'סקרי נכסים-יתרות פתיחה'!$2:$110,94,0),0)*(1-V$309)</f>
        <v>0</v>
      </c>
      <c r="W183" s="1240">
        <f>+IFERROR(HLOOKUP(W16,'סקרי נכסים-יתרות פתיחה'!$2:$110,35,0),0)-IFERROR(HLOOKUP(W16,'סקרי נכסים-יתרות פתיחה'!$2:$110,94,0),0)*(1-W$309)</f>
        <v>0</v>
      </c>
      <c r="X183" s="1240">
        <f>+IFERROR(HLOOKUP(X16,'סקרי נכסים-יתרות פתיחה'!$2:$110,35,0),0)-IFERROR(HLOOKUP(X16,'סקרי נכסים-יתרות פתיחה'!$2:$110,94,0),0)*(1-X$309)</f>
        <v>0</v>
      </c>
      <c r="Y183" s="1240">
        <f>+IFERROR(HLOOKUP(Y16,'סקרי נכסים-יתרות פתיחה'!$2:$110,35,0),0)-IFERROR(HLOOKUP(Y16,'סקרי נכסים-יתרות פתיחה'!$2:$110,94,0),0)*(1-Y$309)</f>
        <v>0</v>
      </c>
      <c r="Z183" s="1240">
        <f>+IFERROR(HLOOKUP(Z16,'סקרי נכסים-יתרות פתיחה'!$2:$110,35,0),0)-IFERROR(HLOOKUP(Z16,'סקרי נכסים-יתרות פתיחה'!$2:$110,94,0),0)*(1-Z$309)</f>
        <v>0</v>
      </c>
      <c r="AA183" s="1240">
        <f>+IFERROR(HLOOKUP(AA16,'סקרי נכסים-יתרות פתיחה'!$2:$110,35,0),0)-IFERROR(HLOOKUP(AA16,'סקרי נכסים-יתרות פתיחה'!$2:$110,94,0),0)*(1-AA$309)</f>
        <v>0</v>
      </c>
      <c r="AB183" s="1240">
        <f>+IFERROR(HLOOKUP(AB16,'סקרי נכסים-יתרות פתיחה'!$2:$110,35,0),0)-IFERROR(HLOOKUP(AB16,'סקרי נכסים-יתרות פתיחה'!$2:$110,94,0),0)*(1-AB$309)</f>
        <v>0</v>
      </c>
      <c r="AC183" s="1240">
        <f>+IFERROR(HLOOKUP(AC16,'סקרי נכסים-יתרות פתיחה'!$2:$110,35,0),0)-IFERROR(HLOOKUP(AC16,'סקרי נכסים-יתרות פתיחה'!$2:$110,94,0),0)*(1-AC$309)</f>
        <v>0</v>
      </c>
      <c r="AD183" s="1240">
        <f>+IFERROR(HLOOKUP(AD16,'סקרי נכסים-יתרות פתיחה'!$2:$110,35,0),0)-IFERROR(HLOOKUP(AD16,'סקרי נכסים-יתרות פתיחה'!$2:$110,94,0),0)*(1-AD$309)</f>
        <v>0</v>
      </c>
      <c r="AE183" s="1240">
        <f>+IFERROR(HLOOKUP(AE16,'סקרי נכסים-יתרות פתיחה'!$2:$110,35,0),0)-IFERROR(HLOOKUP(AE16,'סקרי נכסים-יתרות פתיחה'!$2:$110,94,0),0)*(1-AE$309)</f>
        <v>0</v>
      </c>
      <c r="AF183" s="1240">
        <f>+IFERROR(HLOOKUP(AF16,'סקרי נכסים-יתרות פתיחה'!$2:$110,35,0),0)-IFERROR(HLOOKUP(AF16,'סקרי נכסים-יתרות פתיחה'!$2:$110,94,0),0)*(1-AF$309)</f>
        <v>0</v>
      </c>
      <c r="AG183" s="1240">
        <f>+IFERROR(HLOOKUP(AG16,'סקרי נכסים-יתרות פתיחה'!$2:$110,35,0),0)-IFERROR(HLOOKUP(AG16,'סקרי נכסים-יתרות פתיחה'!$2:$110,94,0),0)*(1-AG$309)</f>
        <v>0</v>
      </c>
      <c r="AH183" s="1240">
        <f>+IFERROR(HLOOKUP(AH16,'סקרי נכסים-יתרות פתיחה'!$2:$110,35,0),0)-IFERROR(HLOOKUP(AH16,'סקרי נכסים-יתרות פתיחה'!$2:$110,94,0),0)*(1-AH$309)</f>
        <v>0</v>
      </c>
      <c r="AI183" s="1240">
        <f>+IFERROR(HLOOKUP(AI16,'סקרי נכסים-יתרות פתיחה'!$2:$110,35,0),0)-IFERROR(HLOOKUP(AI16,'סקרי נכסים-יתרות פתיחה'!$2:$110,94,0),0)*(1-AI$309)</f>
        <v>0</v>
      </c>
      <c r="AJ183" s="1240">
        <f>+IFERROR(HLOOKUP(AJ16,'סקרי נכסים-יתרות פתיחה'!$2:$110,35,0),0)-IFERROR(HLOOKUP(AJ16,'סקרי נכסים-יתרות פתיחה'!$2:$110,94,0),0)*(1-AJ$309)</f>
        <v>0</v>
      </c>
      <c r="AK183" s="1240">
        <f>+IFERROR(HLOOKUP(AK16,'סקרי נכסים-יתרות פתיחה'!$2:$110,35,0),0)-IFERROR(HLOOKUP(AK16,'סקרי נכסים-יתרות פתיחה'!$2:$110,94,0),0)*(1-AK$309)</f>
        <v>0</v>
      </c>
      <c r="AL183" s="1240">
        <f>+IFERROR(HLOOKUP(AL16,'סקרי נכסים-יתרות פתיחה'!$2:$110,35,0),0)-IFERROR(HLOOKUP(AL16,'סקרי נכסים-יתרות פתיחה'!$2:$110,94,0),0)*(1-AL$309)</f>
        <v>0</v>
      </c>
      <c r="AM183" s="1240">
        <f>+IFERROR(HLOOKUP(AM16,'סקרי נכסים-יתרות פתיחה'!$2:$110,35,0),0)-IFERROR(HLOOKUP(AM16,'סקרי נכסים-יתרות פתיחה'!$2:$110,94,0),0)*(1-AM$309)</f>
        <v>0</v>
      </c>
      <c r="AN183" s="1240">
        <f>+IFERROR(HLOOKUP(AN16,'סקרי נכסים-יתרות פתיחה'!$2:$110,35,0),0)-IFERROR(HLOOKUP(AN16,'סקרי נכסים-יתרות פתיחה'!$2:$110,94,0),0)*(1-AN$309)</f>
        <v>0</v>
      </c>
      <c r="AO183" s="1240">
        <f>+IFERROR(HLOOKUP(AO16,'סקרי נכסים-יתרות פתיחה'!$2:$110,35,0),0)-IFERROR(HLOOKUP(AO16,'סקרי נכסים-יתרות פתיחה'!$2:$110,94,0),0)*(1-AO$309)</f>
        <v>0</v>
      </c>
      <c r="AP183" s="1240">
        <f>+IFERROR(HLOOKUP(AP16,'סקרי נכסים-יתרות פתיחה'!$2:$110,35,0),0)-IFERROR(HLOOKUP(AP16,'סקרי נכסים-יתרות פתיחה'!$2:$110,94,0),0)*(1-AP$309)</f>
        <v>0</v>
      </c>
      <c r="AQ183" s="1240">
        <f>+IFERROR(HLOOKUP(AQ16,'סקרי נכסים-יתרות פתיחה'!$2:$110,35,0),0)-IFERROR(HLOOKUP(AQ16,'סקרי נכסים-יתרות פתיחה'!$2:$110,94,0),0)*(1-AQ$309)</f>
        <v>0</v>
      </c>
      <c r="AR183" s="1240">
        <f>+IFERROR(HLOOKUP(AR16,'סקרי נכסים-יתרות פתיחה'!$2:$110,35,0),0)-IFERROR(HLOOKUP(AR16,'סקרי נכסים-יתרות פתיחה'!$2:$110,94,0),0)*(1-AR$309)</f>
        <v>0</v>
      </c>
      <c r="AS183" s="1240">
        <f>+IFERROR(HLOOKUP(AS16,'סקרי נכסים-יתרות פתיחה'!$2:$110,35,0),0)-IFERROR(HLOOKUP(AS16,'סקרי נכסים-יתרות פתיחה'!$2:$110,94,0),0)*(1-AS$309)</f>
        <v>0</v>
      </c>
      <c r="AT183" s="1240">
        <f>+IFERROR(HLOOKUP(AT16,'סקרי נכסים-יתרות פתיחה'!$2:$110,35,0),0)-IFERROR(HLOOKUP(AT16,'סקרי נכסים-יתרות פתיחה'!$2:$110,94,0),0)*(1-AT$309)</f>
        <v>0</v>
      </c>
      <c r="AU183" s="1240">
        <f>+IFERROR(HLOOKUP(AU16,'סקרי נכסים-יתרות פתיחה'!$2:$110,35,0),0)-IFERROR(HLOOKUP(AU16,'סקרי נכסים-יתרות פתיחה'!$2:$110,94,0),0)*(1-AU$309)</f>
        <v>0</v>
      </c>
      <c r="AV183" s="1240">
        <f>+IFERROR(HLOOKUP(AV16,'סקרי נכסים-יתרות פתיחה'!$2:$110,35,0),0)-IFERROR(HLOOKUP(AV16,'סקרי נכסים-יתרות פתיחה'!$2:$110,94,0),0)*(1-AV$309)</f>
        <v>0</v>
      </c>
      <c r="AW183" s="1240">
        <f>+IFERROR(HLOOKUP(AW16,'סקרי נכסים-יתרות פתיחה'!$2:$110,35,0),0)-IFERROR(HLOOKUP(AW16,'סקרי נכסים-יתרות פתיחה'!$2:$110,94,0),0)*(1-AW$309)</f>
        <v>0</v>
      </c>
      <c r="AX183" s="1240">
        <f>+IFERROR(HLOOKUP(AX16,'סקרי נכסים-יתרות פתיחה'!$2:$110,35,0),0)-IFERROR(HLOOKUP(AX16,'סקרי נכסים-יתרות פתיחה'!$2:$110,94,0),0)*(1-AX$309)</f>
        <v>0</v>
      </c>
      <c r="AY183" s="1240">
        <f>+IFERROR(HLOOKUP(AY16,'סקרי נכסים-יתרות פתיחה'!$2:$110,35,0),0)-IFERROR(HLOOKUP(AY16,'סקרי נכסים-יתרות פתיחה'!$2:$110,94,0),0)*(1-AY$309)</f>
        <v>0</v>
      </c>
      <c r="AZ183" s="1240">
        <f>+IFERROR(HLOOKUP(AZ16,'סקרי נכסים-יתרות פתיחה'!$2:$110,35,0),0)-IFERROR(HLOOKUP(AZ16,'סקרי נכסים-יתרות פתיחה'!$2:$110,94,0),0)*(1-AZ$309)</f>
        <v>0</v>
      </c>
      <c r="BA183" s="1240">
        <f>+IFERROR(HLOOKUP(BA16,'סקרי נכסים-יתרות פתיחה'!$2:$110,35,0),0)-IFERROR(HLOOKUP(BA16,'סקרי נכסים-יתרות פתיחה'!$2:$110,94,0),0)*(1-BA$309)</f>
        <v>0</v>
      </c>
      <c r="BB183" s="1240">
        <f>+IFERROR(HLOOKUP(BB16,'סקרי נכסים-יתרות פתיחה'!$2:$110,35,0),0)-IFERROR(HLOOKUP(BB16,'סקרי נכסים-יתרות פתיחה'!$2:$110,94,0),0)*(1-BB$309)</f>
        <v>0</v>
      </c>
      <c r="BC183" s="1240">
        <f>+IFERROR(HLOOKUP(BC16,'סקרי נכסים-יתרות פתיחה'!$2:$110,35,0),0)-IFERROR(HLOOKUP(BC16,'סקרי נכסים-יתרות פתיחה'!$2:$110,94,0),0)*(1-BC$309)</f>
        <v>0</v>
      </c>
      <c r="BD183" s="1240">
        <f>+IFERROR(HLOOKUP(BD16,'סקרי נכסים-יתרות פתיחה'!$2:$110,35,0),0)-IFERROR(HLOOKUP(BD16,'סקרי נכסים-יתרות פתיחה'!$2:$110,94,0),0)*(1-BD$309)</f>
        <v>0</v>
      </c>
      <c r="BE183" s="1240">
        <f>+IFERROR(HLOOKUP(BE16,'סקרי נכסים-יתרות פתיחה'!$2:$110,35,0),0)-IFERROR(HLOOKUP(BE16,'סקרי נכסים-יתרות פתיחה'!$2:$110,94,0),0)*(1-BE$309)</f>
        <v>0</v>
      </c>
      <c r="BF183" s="1240">
        <f>+IFERROR(HLOOKUP(BF16,'סקרי נכסים-יתרות פתיחה'!$2:$110,35,0),0)-IFERROR(HLOOKUP(BF16,'סקרי נכסים-יתרות פתיחה'!$2:$110,94,0),0)*(1-BF$309)</f>
        <v>0</v>
      </c>
    </row>
    <row r="184" spans="2:58" x14ac:dyDescent="0.2">
      <c r="B184" s="1">
        <v>14</v>
      </c>
      <c r="C184" s="1240">
        <f>+IFERROR(HLOOKUP(C17,'סקרי נכסים-יתרות פתיחה'!$2:$110,35,0),0)-IFERROR(HLOOKUP(C17,'סקרי נכסים-יתרות פתיחה'!$2:$110,94,0),0)*(1-C$309)</f>
        <v>0</v>
      </c>
      <c r="D184" s="1240">
        <f>+IFERROR(HLOOKUP(D17,'סקרי נכסים-יתרות פתיחה'!$2:$110,35,0),0)-IFERROR(HLOOKUP(D17,'סקרי נכסים-יתרות פתיחה'!$2:$110,94,0),0)*(1-D$309)</f>
        <v>0</v>
      </c>
      <c r="E184" s="1240">
        <f>+IFERROR(HLOOKUP(E17,'סקרי נכסים-יתרות פתיחה'!$2:$110,35,0),0)-IFERROR(HLOOKUP(E17,'סקרי נכסים-יתרות פתיחה'!$2:$110,94,0),0)*(1-E$309)</f>
        <v>0</v>
      </c>
      <c r="F184" s="1240">
        <f>+IFERROR(HLOOKUP(F17,'סקרי נכסים-יתרות פתיחה'!$2:$110,35,0),0)-IFERROR(HLOOKUP(F17,'סקרי נכסים-יתרות פתיחה'!$2:$110,94,0),0)*(1-F$309)</f>
        <v>0</v>
      </c>
      <c r="G184" s="1240">
        <f>+IFERROR(HLOOKUP(G17,'סקרי נכסים-יתרות פתיחה'!$2:$110,35,0),0)-IFERROR(HLOOKUP(G17,'סקרי נכסים-יתרות פתיחה'!$2:$110,94,0),0)*(1-G$309)</f>
        <v>0</v>
      </c>
      <c r="H184" s="1240">
        <f>+IFERROR(HLOOKUP(H17,'סקרי נכסים-יתרות פתיחה'!$2:$110,35,0),0)-IFERROR(HLOOKUP(H17,'סקרי נכסים-יתרות פתיחה'!$2:$110,94,0),0)*(1-H$309)</f>
        <v>0</v>
      </c>
      <c r="I184" s="1240">
        <f>+IFERROR(HLOOKUP(I17,'סקרי נכסים-יתרות פתיחה'!$2:$110,35,0),0)-IFERROR(HLOOKUP(I17,'סקרי נכסים-יתרות פתיחה'!$2:$110,94,0),0)*(1-I$309)</f>
        <v>0</v>
      </c>
      <c r="J184" s="1240">
        <f>+IFERROR(HLOOKUP(J17,'סקרי נכסים-יתרות פתיחה'!$2:$110,35,0),0)-IFERROR(HLOOKUP(J17,'סקרי נכסים-יתרות פתיחה'!$2:$110,94,0),0)*(1-J$309)</f>
        <v>0</v>
      </c>
      <c r="K184" s="1240">
        <f>+IFERROR(HLOOKUP(K17,'סקרי נכסים-יתרות פתיחה'!$2:$110,35,0),0)-IFERROR(HLOOKUP(K17,'סקרי נכסים-יתרות פתיחה'!$2:$110,94,0),0)*(1-K$309)</f>
        <v>0</v>
      </c>
      <c r="L184" s="1240">
        <f>+IFERROR(HLOOKUP(L17,'סקרי נכסים-יתרות פתיחה'!$2:$110,35,0),0)-IFERROR(HLOOKUP(L17,'סקרי נכסים-יתרות פתיחה'!$2:$110,94,0),0)*(1-L$309)</f>
        <v>0</v>
      </c>
      <c r="M184" s="1240">
        <f>+IFERROR(HLOOKUP(M17,'סקרי נכסים-יתרות פתיחה'!$2:$110,35,0),0)-IFERROR(HLOOKUP(M17,'סקרי נכסים-יתרות פתיחה'!$2:$110,94,0),0)*(1-M$309)</f>
        <v>0</v>
      </c>
      <c r="N184" s="1240">
        <f>+IFERROR(HLOOKUP(N17,'סקרי נכסים-יתרות פתיחה'!$2:$110,35,0),0)-IFERROR(HLOOKUP(N17,'סקרי נכסים-יתרות פתיחה'!$2:$110,94,0),0)*(1-N$309)</f>
        <v>0</v>
      </c>
      <c r="O184" s="1240">
        <f>+IFERROR(HLOOKUP(O17,'סקרי נכסים-יתרות פתיחה'!$2:$110,35,0),0)-IFERROR(HLOOKUP(O17,'סקרי נכסים-יתרות פתיחה'!$2:$110,94,0),0)*(1-O$309)</f>
        <v>0</v>
      </c>
      <c r="P184" s="1240">
        <f>+IFERROR(HLOOKUP(P17,'סקרי נכסים-יתרות פתיחה'!$2:$110,35,0),0)-IFERROR(HLOOKUP(P17,'סקרי נכסים-יתרות פתיחה'!$2:$110,94,0),0)*(1-P$309)</f>
        <v>0</v>
      </c>
      <c r="Q184" s="1240">
        <f>+IFERROR(HLOOKUP(Q17,'סקרי נכסים-יתרות פתיחה'!$2:$110,35,0),0)-IFERROR(HLOOKUP(Q17,'סקרי נכסים-יתרות פתיחה'!$2:$110,94,0),0)*(1-Q$309)</f>
        <v>0</v>
      </c>
      <c r="R184" s="1240">
        <f>+IFERROR(HLOOKUP(R17,'סקרי נכסים-יתרות פתיחה'!$2:$110,35,0),0)-IFERROR(HLOOKUP(R17,'סקרי נכסים-יתרות פתיחה'!$2:$110,94,0),0)*(1-R$309)</f>
        <v>0</v>
      </c>
      <c r="S184" s="1240">
        <f>+IFERROR(HLOOKUP(S17,'סקרי נכסים-יתרות פתיחה'!$2:$110,35,0),0)-IFERROR(HLOOKUP(S17,'סקרי נכסים-יתרות פתיחה'!$2:$110,94,0),0)*(1-S$309)</f>
        <v>0</v>
      </c>
      <c r="T184" s="1240">
        <f>+IFERROR(HLOOKUP(T17,'סקרי נכסים-יתרות פתיחה'!$2:$110,35,0),0)-IFERROR(HLOOKUP(T17,'סקרי נכסים-יתרות פתיחה'!$2:$110,94,0),0)*(1-T$309)</f>
        <v>0</v>
      </c>
      <c r="U184" s="1240">
        <f>+IFERROR(HLOOKUP(U17,'סקרי נכסים-יתרות פתיחה'!$2:$110,35,0),0)-IFERROR(HLOOKUP(U17,'סקרי נכסים-יתרות פתיחה'!$2:$110,94,0),0)*(1-U$309)</f>
        <v>0</v>
      </c>
      <c r="V184" s="1240">
        <f>+IFERROR(HLOOKUP(V17,'סקרי נכסים-יתרות פתיחה'!$2:$110,35,0),0)-IFERROR(HLOOKUP(V17,'סקרי נכסים-יתרות פתיחה'!$2:$110,94,0),0)*(1-V$309)</f>
        <v>0</v>
      </c>
      <c r="W184" s="1240">
        <f>+IFERROR(HLOOKUP(W17,'סקרי נכסים-יתרות פתיחה'!$2:$110,35,0),0)-IFERROR(HLOOKUP(W17,'סקרי נכסים-יתרות פתיחה'!$2:$110,94,0),0)*(1-W$309)</f>
        <v>0</v>
      </c>
      <c r="X184" s="1240">
        <f>+IFERROR(HLOOKUP(X17,'סקרי נכסים-יתרות פתיחה'!$2:$110,35,0),0)-IFERROR(HLOOKUP(X17,'סקרי נכסים-יתרות פתיחה'!$2:$110,94,0),0)*(1-X$309)</f>
        <v>0</v>
      </c>
      <c r="Y184" s="1240">
        <f>+IFERROR(HLOOKUP(Y17,'סקרי נכסים-יתרות פתיחה'!$2:$110,35,0),0)-IFERROR(HLOOKUP(Y17,'סקרי נכסים-יתרות פתיחה'!$2:$110,94,0),0)*(1-Y$309)</f>
        <v>0</v>
      </c>
      <c r="Z184" s="1240">
        <f>+IFERROR(HLOOKUP(Z17,'סקרי נכסים-יתרות פתיחה'!$2:$110,35,0),0)-IFERROR(HLOOKUP(Z17,'סקרי נכסים-יתרות פתיחה'!$2:$110,94,0),0)*(1-Z$309)</f>
        <v>0</v>
      </c>
      <c r="AA184" s="1240">
        <f>+IFERROR(HLOOKUP(AA17,'סקרי נכסים-יתרות פתיחה'!$2:$110,35,0),0)-IFERROR(HLOOKUP(AA17,'סקרי נכסים-יתרות פתיחה'!$2:$110,94,0),0)*(1-AA$309)</f>
        <v>0</v>
      </c>
      <c r="AB184" s="1240">
        <f>+IFERROR(HLOOKUP(AB17,'סקרי נכסים-יתרות פתיחה'!$2:$110,35,0),0)-IFERROR(HLOOKUP(AB17,'סקרי נכסים-יתרות פתיחה'!$2:$110,94,0),0)*(1-AB$309)</f>
        <v>0</v>
      </c>
      <c r="AC184" s="1240">
        <f>+IFERROR(HLOOKUP(AC17,'סקרי נכסים-יתרות פתיחה'!$2:$110,35,0),0)-IFERROR(HLOOKUP(AC17,'סקרי נכסים-יתרות פתיחה'!$2:$110,94,0),0)*(1-AC$309)</f>
        <v>0</v>
      </c>
      <c r="AD184" s="1240">
        <f>+IFERROR(HLOOKUP(AD17,'סקרי נכסים-יתרות פתיחה'!$2:$110,35,0),0)-IFERROR(HLOOKUP(AD17,'סקרי נכסים-יתרות פתיחה'!$2:$110,94,0),0)*(1-AD$309)</f>
        <v>0</v>
      </c>
      <c r="AE184" s="1240">
        <f>+IFERROR(HLOOKUP(AE17,'סקרי נכסים-יתרות פתיחה'!$2:$110,35,0),0)-IFERROR(HLOOKUP(AE17,'סקרי נכסים-יתרות פתיחה'!$2:$110,94,0),0)*(1-AE$309)</f>
        <v>0</v>
      </c>
      <c r="AF184" s="1240">
        <f>+IFERROR(HLOOKUP(AF17,'סקרי נכסים-יתרות פתיחה'!$2:$110,35,0),0)-IFERROR(HLOOKUP(AF17,'סקרי נכסים-יתרות פתיחה'!$2:$110,94,0),0)*(1-AF$309)</f>
        <v>0</v>
      </c>
      <c r="AG184" s="1240">
        <f>+IFERROR(HLOOKUP(AG17,'סקרי נכסים-יתרות פתיחה'!$2:$110,35,0),0)-IFERROR(HLOOKUP(AG17,'סקרי נכסים-יתרות פתיחה'!$2:$110,94,0),0)*(1-AG$309)</f>
        <v>0</v>
      </c>
      <c r="AH184" s="1240">
        <f>+IFERROR(HLOOKUP(AH17,'סקרי נכסים-יתרות פתיחה'!$2:$110,35,0),0)-IFERROR(HLOOKUP(AH17,'סקרי נכסים-יתרות פתיחה'!$2:$110,94,0),0)*(1-AH$309)</f>
        <v>0</v>
      </c>
      <c r="AI184" s="1240">
        <f>+IFERROR(HLOOKUP(AI17,'סקרי נכסים-יתרות פתיחה'!$2:$110,35,0),0)-IFERROR(HLOOKUP(AI17,'סקרי נכסים-יתרות פתיחה'!$2:$110,94,0),0)*(1-AI$309)</f>
        <v>0</v>
      </c>
      <c r="AJ184" s="1240">
        <f>+IFERROR(HLOOKUP(AJ17,'סקרי נכסים-יתרות פתיחה'!$2:$110,35,0),0)-IFERROR(HLOOKUP(AJ17,'סקרי נכסים-יתרות פתיחה'!$2:$110,94,0),0)*(1-AJ$309)</f>
        <v>0</v>
      </c>
      <c r="AK184" s="1240">
        <f>+IFERROR(HLOOKUP(AK17,'סקרי נכסים-יתרות פתיחה'!$2:$110,35,0),0)-IFERROR(HLOOKUP(AK17,'סקרי נכסים-יתרות פתיחה'!$2:$110,94,0),0)*(1-AK$309)</f>
        <v>0</v>
      </c>
      <c r="AL184" s="1240">
        <f>+IFERROR(HLOOKUP(AL17,'סקרי נכסים-יתרות פתיחה'!$2:$110,35,0),0)-IFERROR(HLOOKUP(AL17,'סקרי נכסים-יתרות פתיחה'!$2:$110,94,0),0)*(1-AL$309)</f>
        <v>0</v>
      </c>
      <c r="AM184" s="1240">
        <f>+IFERROR(HLOOKUP(AM17,'סקרי נכסים-יתרות פתיחה'!$2:$110,35,0),0)-IFERROR(HLOOKUP(AM17,'סקרי נכסים-יתרות פתיחה'!$2:$110,94,0),0)*(1-AM$309)</f>
        <v>0</v>
      </c>
      <c r="AN184" s="1240">
        <f>+IFERROR(HLOOKUP(AN17,'סקרי נכסים-יתרות פתיחה'!$2:$110,35,0),0)-IFERROR(HLOOKUP(AN17,'סקרי נכסים-יתרות פתיחה'!$2:$110,94,0),0)*(1-AN$309)</f>
        <v>0</v>
      </c>
      <c r="AO184" s="1240">
        <f>+IFERROR(HLOOKUP(AO17,'סקרי נכסים-יתרות פתיחה'!$2:$110,35,0),0)-IFERROR(HLOOKUP(AO17,'סקרי נכסים-יתרות פתיחה'!$2:$110,94,0),0)*(1-AO$309)</f>
        <v>0</v>
      </c>
      <c r="AP184" s="1240">
        <f>+IFERROR(HLOOKUP(AP17,'סקרי נכסים-יתרות פתיחה'!$2:$110,35,0),0)-IFERROR(HLOOKUP(AP17,'סקרי נכסים-יתרות פתיחה'!$2:$110,94,0),0)*(1-AP$309)</f>
        <v>0</v>
      </c>
      <c r="AQ184" s="1240">
        <f>+IFERROR(HLOOKUP(AQ17,'סקרי נכסים-יתרות פתיחה'!$2:$110,35,0),0)-IFERROR(HLOOKUP(AQ17,'סקרי נכסים-יתרות פתיחה'!$2:$110,94,0),0)*(1-AQ$309)</f>
        <v>0</v>
      </c>
      <c r="AR184" s="1240">
        <f>+IFERROR(HLOOKUP(AR17,'סקרי נכסים-יתרות פתיחה'!$2:$110,35,0),0)-IFERROR(HLOOKUP(AR17,'סקרי נכסים-יתרות פתיחה'!$2:$110,94,0),0)*(1-AR$309)</f>
        <v>0</v>
      </c>
      <c r="AS184" s="1240">
        <f>+IFERROR(HLOOKUP(AS17,'סקרי נכסים-יתרות פתיחה'!$2:$110,35,0),0)-IFERROR(HLOOKUP(AS17,'סקרי נכסים-יתרות פתיחה'!$2:$110,94,0),0)*(1-AS$309)</f>
        <v>0</v>
      </c>
      <c r="AT184" s="1240">
        <f>+IFERROR(HLOOKUP(AT17,'סקרי נכסים-יתרות פתיחה'!$2:$110,35,0),0)-IFERROR(HLOOKUP(AT17,'סקרי נכסים-יתרות פתיחה'!$2:$110,94,0),0)*(1-AT$309)</f>
        <v>0</v>
      </c>
      <c r="AU184" s="1240">
        <f>+IFERROR(HLOOKUP(AU17,'סקרי נכסים-יתרות פתיחה'!$2:$110,35,0),0)-IFERROR(HLOOKUP(AU17,'סקרי נכסים-יתרות פתיחה'!$2:$110,94,0),0)*(1-AU$309)</f>
        <v>0</v>
      </c>
      <c r="AV184" s="1240">
        <f>+IFERROR(HLOOKUP(AV17,'סקרי נכסים-יתרות פתיחה'!$2:$110,35,0),0)-IFERROR(HLOOKUP(AV17,'סקרי נכסים-יתרות פתיחה'!$2:$110,94,0),0)*(1-AV$309)</f>
        <v>0</v>
      </c>
      <c r="AW184" s="1240">
        <f>+IFERROR(HLOOKUP(AW17,'סקרי נכסים-יתרות פתיחה'!$2:$110,35,0),0)-IFERROR(HLOOKUP(AW17,'סקרי נכסים-יתרות פתיחה'!$2:$110,94,0),0)*(1-AW$309)</f>
        <v>0</v>
      </c>
      <c r="AX184" s="1240">
        <f>+IFERROR(HLOOKUP(AX17,'סקרי נכסים-יתרות פתיחה'!$2:$110,35,0),0)-IFERROR(HLOOKUP(AX17,'סקרי נכסים-יתרות פתיחה'!$2:$110,94,0),0)*(1-AX$309)</f>
        <v>0</v>
      </c>
      <c r="AY184" s="1240">
        <f>+IFERROR(HLOOKUP(AY17,'סקרי נכסים-יתרות פתיחה'!$2:$110,35,0),0)-IFERROR(HLOOKUP(AY17,'סקרי נכסים-יתרות פתיחה'!$2:$110,94,0),0)*(1-AY$309)</f>
        <v>0</v>
      </c>
      <c r="AZ184" s="1240">
        <f>+IFERROR(HLOOKUP(AZ17,'סקרי נכסים-יתרות פתיחה'!$2:$110,35,0),0)-IFERROR(HLOOKUP(AZ17,'סקרי נכסים-יתרות פתיחה'!$2:$110,94,0),0)*(1-AZ$309)</f>
        <v>0</v>
      </c>
      <c r="BA184" s="1240">
        <f>+IFERROR(HLOOKUP(BA17,'סקרי נכסים-יתרות פתיחה'!$2:$110,35,0),0)-IFERROR(HLOOKUP(BA17,'סקרי נכסים-יתרות פתיחה'!$2:$110,94,0),0)*(1-BA$309)</f>
        <v>0</v>
      </c>
      <c r="BB184" s="1240">
        <f>+IFERROR(HLOOKUP(BB17,'סקרי נכסים-יתרות פתיחה'!$2:$110,35,0),0)-IFERROR(HLOOKUP(BB17,'סקרי נכסים-יתרות פתיחה'!$2:$110,94,0),0)*(1-BB$309)</f>
        <v>0</v>
      </c>
      <c r="BC184" s="1240">
        <f>+IFERROR(HLOOKUP(BC17,'סקרי נכסים-יתרות פתיחה'!$2:$110,35,0),0)-IFERROR(HLOOKUP(BC17,'סקרי נכסים-יתרות פתיחה'!$2:$110,94,0),0)*(1-BC$309)</f>
        <v>0</v>
      </c>
      <c r="BD184" s="1240">
        <f>+IFERROR(HLOOKUP(BD17,'סקרי נכסים-יתרות פתיחה'!$2:$110,35,0),0)-IFERROR(HLOOKUP(BD17,'סקרי נכסים-יתרות פתיחה'!$2:$110,94,0),0)*(1-BD$309)</f>
        <v>0</v>
      </c>
      <c r="BE184" s="1240">
        <f>+IFERROR(HLOOKUP(BE17,'סקרי נכסים-יתרות פתיחה'!$2:$110,35,0),0)-IFERROR(HLOOKUP(BE17,'סקרי נכסים-יתרות פתיחה'!$2:$110,94,0),0)*(1-BE$309)</f>
        <v>0</v>
      </c>
      <c r="BF184" s="1240">
        <f>+IFERROR(HLOOKUP(BF17,'סקרי נכסים-יתרות פתיחה'!$2:$110,35,0),0)-IFERROR(HLOOKUP(BF17,'סקרי נכסים-יתרות פתיחה'!$2:$110,94,0),0)*(1-BF$309)</f>
        <v>0</v>
      </c>
    </row>
    <row r="185" spans="2:58" x14ac:dyDescent="0.2">
      <c r="B185" s="1">
        <v>15</v>
      </c>
      <c r="C185" s="1240">
        <f>+IFERROR(HLOOKUP(C18,'סקרי נכסים-יתרות פתיחה'!$2:$110,35,0),0)-IFERROR(HLOOKUP(C18,'סקרי נכסים-יתרות פתיחה'!$2:$110,94,0),0)*(1-C$309)</f>
        <v>0</v>
      </c>
      <c r="D185" s="1240">
        <f>+IFERROR(HLOOKUP(D18,'סקרי נכסים-יתרות פתיחה'!$2:$110,35,0),0)-IFERROR(HLOOKUP(D18,'סקרי נכסים-יתרות פתיחה'!$2:$110,94,0),0)*(1-D$309)</f>
        <v>0</v>
      </c>
      <c r="E185" s="1240">
        <f>+IFERROR(HLOOKUP(E18,'סקרי נכסים-יתרות פתיחה'!$2:$110,35,0),0)-IFERROR(HLOOKUP(E18,'סקרי נכסים-יתרות פתיחה'!$2:$110,94,0),0)*(1-E$309)</f>
        <v>0</v>
      </c>
      <c r="F185" s="1240">
        <f>+IFERROR(HLOOKUP(F18,'סקרי נכסים-יתרות פתיחה'!$2:$110,35,0),0)-IFERROR(HLOOKUP(F18,'סקרי נכסים-יתרות פתיחה'!$2:$110,94,0),0)*(1-F$309)</f>
        <v>0</v>
      </c>
      <c r="G185" s="1240">
        <f>+IFERROR(HLOOKUP(G18,'סקרי נכסים-יתרות פתיחה'!$2:$110,35,0),0)-IFERROR(HLOOKUP(G18,'סקרי נכסים-יתרות פתיחה'!$2:$110,94,0),0)*(1-G$309)</f>
        <v>0</v>
      </c>
      <c r="H185" s="1240">
        <f>+IFERROR(HLOOKUP(H18,'סקרי נכסים-יתרות פתיחה'!$2:$110,35,0),0)-IFERROR(HLOOKUP(H18,'סקרי נכסים-יתרות פתיחה'!$2:$110,94,0),0)*(1-H$309)</f>
        <v>0</v>
      </c>
      <c r="I185" s="1240">
        <f>+IFERROR(HLOOKUP(I18,'סקרי נכסים-יתרות פתיחה'!$2:$110,35,0),0)-IFERROR(HLOOKUP(I18,'סקרי נכסים-יתרות פתיחה'!$2:$110,94,0),0)*(1-I$309)</f>
        <v>0</v>
      </c>
      <c r="J185" s="1240">
        <f>+IFERROR(HLOOKUP(J18,'סקרי נכסים-יתרות פתיחה'!$2:$110,35,0),0)-IFERROR(HLOOKUP(J18,'סקרי נכסים-יתרות פתיחה'!$2:$110,94,0),0)*(1-J$309)</f>
        <v>0</v>
      </c>
      <c r="K185" s="1240">
        <f>+IFERROR(HLOOKUP(K18,'סקרי נכסים-יתרות פתיחה'!$2:$110,35,0),0)-IFERROR(HLOOKUP(K18,'סקרי נכסים-יתרות פתיחה'!$2:$110,94,0),0)*(1-K$309)</f>
        <v>0</v>
      </c>
      <c r="L185" s="1240">
        <f>+IFERROR(HLOOKUP(L18,'סקרי נכסים-יתרות פתיחה'!$2:$110,35,0),0)-IFERROR(HLOOKUP(L18,'סקרי נכסים-יתרות פתיחה'!$2:$110,94,0),0)*(1-L$309)</f>
        <v>0</v>
      </c>
      <c r="M185" s="1240">
        <f>+IFERROR(HLOOKUP(M18,'סקרי נכסים-יתרות פתיחה'!$2:$110,35,0),0)-IFERROR(HLOOKUP(M18,'סקרי נכסים-יתרות פתיחה'!$2:$110,94,0),0)*(1-M$309)</f>
        <v>0</v>
      </c>
      <c r="N185" s="1240">
        <f>+IFERROR(HLOOKUP(N18,'סקרי נכסים-יתרות פתיחה'!$2:$110,35,0),0)-IFERROR(HLOOKUP(N18,'סקרי נכסים-יתרות פתיחה'!$2:$110,94,0),0)*(1-N$309)</f>
        <v>0</v>
      </c>
      <c r="O185" s="1240">
        <f>+IFERROR(HLOOKUP(O18,'סקרי נכסים-יתרות פתיחה'!$2:$110,35,0),0)-IFERROR(HLOOKUP(O18,'סקרי נכסים-יתרות פתיחה'!$2:$110,94,0),0)*(1-O$309)</f>
        <v>0</v>
      </c>
      <c r="P185" s="1240">
        <f>+IFERROR(HLOOKUP(P18,'סקרי נכסים-יתרות פתיחה'!$2:$110,35,0),0)-IFERROR(HLOOKUP(P18,'סקרי נכסים-יתרות פתיחה'!$2:$110,94,0),0)*(1-P$309)</f>
        <v>0</v>
      </c>
      <c r="Q185" s="1240">
        <f>+IFERROR(HLOOKUP(Q18,'סקרי נכסים-יתרות פתיחה'!$2:$110,35,0),0)-IFERROR(HLOOKUP(Q18,'סקרי נכסים-יתרות פתיחה'!$2:$110,94,0),0)*(1-Q$309)</f>
        <v>0</v>
      </c>
      <c r="R185" s="1240">
        <f>+IFERROR(HLOOKUP(R18,'סקרי נכסים-יתרות פתיחה'!$2:$110,35,0),0)-IFERROR(HLOOKUP(R18,'סקרי נכסים-יתרות פתיחה'!$2:$110,94,0),0)*(1-R$309)</f>
        <v>0</v>
      </c>
      <c r="S185" s="1240">
        <f>+IFERROR(HLOOKUP(S18,'סקרי נכסים-יתרות פתיחה'!$2:$110,35,0),0)-IFERROR(HLOOKUP(S18,'סקרי נכסים-יתרות פתיחה'!$2:$110,94,0),0)*(1-S$309)</f>
        <v>0</v>
      </c>
      <c r="T185" s="1240">
        <f>+IFERROR(HLOOKUP(T18,'סקרי נכסים-יתרות פתיחה'!$2:$110,35,0),0)-IFERROR(HLOOKUP(T18,'סקרי נכסים-יתרות פתיחה'!$2:$110,94,0),0)*(1-T$309)</f>
        <v>0</v>
      </c>
      <c r="U185" s="1240">
        <f>+IFERROR(HLOOKUP(U18,'סקרי נכסים-יתרות פתיחה'!$2:$110,35,0),0)-IFERROR(HLOOKUP(U18,'סקרי נכסים-יתרות פתיחה'!$2:$110,94,0),0)*(1-U$309)</f>
        <v>0</v>
      </c>
      <c r="V185" s="1240">
        <f>+IFERROR(HLOOKUP(V18,'סקרי נכסים-יתרות פתיחה'!$2:$110,35,0),0)-IFERROR(HLOOKUP(V18,'סקרי נכסים-יתרות פתיחה'!$2:$110,94,0),0)*(1-V$309)</f>
        <v>0</v>
      </c>
      <c r="W185" s="1240">
        <f>+IFERROR(HLOOKUP(W18,'סקרי נכסים-יתרות פתיחה'!$2:$110,35,0),0)-IFERROR(HLOOKUP(W18,'סקרי נכסים-יתרות פתיחה'!$2:$110,94,0),0)*(1-W$309)</f>
        <v>0</v>
      </c>
      <c r="X185" s="1240">
        <f>+IFERROR(HLOOKUP(X18,'סקרי נכסים-יתרות פתיחה'!$2:$110,35,0),0)-IFERROR(HLOOKUP(X18,'סקרי נכסים-יתרות פתיחה'!$2:$110,94,0),0)*(1-X$309)</f>
        <v>0</v>
      </c>
      <c r="Y185" s="1240">
        <f>+IFERROR(HLOOKUP(Y18,'סקרי נכסים-יתרות פתיחה'!$2:$110,35,0),0)-IFERROR(HLOOKUP(Y18,'סקרי נכסים-יתרות פתיחה'!$2:$110,94,0),0)*(1-Y$309)</f>
        <v>0</v>
      </c>
      <c r="Z185" s="1240">
        <f>+IFERROR(HLOOKUP(Z18,'סקרי נכסים-יתרות פתיחה'!$2:$110,35,0),0)-IFERROR(HLOOKUP(Z18,'סקרי נכסים-יתרות פתיחה'!$2:$110,94,0),0)*(1-Z$309)</f>
        <v>0</v>
      </c>
      <c r="AA185" s="1240">
        <f>+IFERROR(HLOOKUP(AA18,'סקרי נכסים-יתרות פתיחה'!$2:$110,35,0),0)-IFERROR(HLOOKUP(AA18,'סקרי נכסים-יתרות פתיחה'!$2:$110,94,0),0)*(1-AA$309)</f>
        <v>0</v>
      </c>
      <c r="AB185" s="1240">
        <f>+IFERROR(HLOOKUP(AB18,'סקרי נכסים-יתרות פתיחה'!$2:$110,35,0),0)-IFERROR(HLOOKUP(AB18,'סקרי נכסים-יתרות פתיחה'!$2:$110,94,0),0)*(1-AB$309)</f>
        <v>0</v>
      </c>
      <c r="AC185" s="1240">
        <f>+IFERROR(HLOOKUP(AC18,'סקרי נכסים-יתרות פתיחה'!$2:$110,35,0),0)-IFERROR(HLOOKUP(AC18,'סקרי נכסים-יתרות פתיחה'!$2:$110,94,0),0)*(1-AC$309)</f>
        <v>0</v>
      </c>
      <c r="AD185" s="1240">
        <f>+IFERROR(HLOOKUP(AD18,'סקרי נכסים-יתרות פתיחה'!$2:$110,35,0),0)-IFERROR(HLOOKUP(AD18,'סקרי נכסים-יתרות פתיחה'!$2:$110,94,0),0)*(1-AD$309)</f>
        <v>0</v>
      </c>
      <c r="AE185" s="1240">
        <f>+IFERROR(HLOOKUP(AE18,'סקרי נכסים-יתרות פתיחה'!$2:$110,35,0),0)-IFERROR(HLOOKUP(AE18,'סקרי נכסים-יתרות פתיחה'!$2:$110,94,0),0)*(1-AE$309)</f>
        <v>0</v>
      </c>
      <c r="AF185" s="1240">
        <f>+IFERROR(HLOOKUP(AF18,'סקרי נכסים-יתרות פתיחה'!$2:$110,35,0),0)-IFERROR(HLOOKUP(AF18,'סקרי נכסים-יתרות פתיחה'!$2:$110,94,0),0)*(1-AF$309)</f>
        <v>0</v>
      </c>
      <c r="AG185" s="1240">
        <f>+IFERROR(HLOOKUP(AG18,'סקרי נכסים-יתרות פתיחה'!$2:$110,35,0),0)-IFERROR(HLOOKUP(AG18,'סקרי נכסים-יתרות פתיחה'!$2:$110,94,0),0)*(1-AG$309)</f>
        <v>0</v>
      </c>
      <c r="AH185" s="1240">
        <f>+IFERROR(HLOOKUP(AH18,'סקרי נכסים-יתרות פתיחה'!$2:$110,35,0),0)-IFERROR(HLOOKUP(AH18,'סקרי נכסים-יתרות פתיחה'!$2:$110,94,0),0)*(1-AH$309)</f>
        <v>0</v>
      </c>
      <c r="AI185" s="1240">
        <f>+IFERROR(HLOOKUP(AI18,'סקרי נכסים-יתרות פתיחה'!$2:$110,35,0),0)-IFERROR(HLOOKUP(AI18,'סקרי נכסים-יתרות פתיחה'!$2:$110,94,0),0)*(1-AI$309)</f>
        <v>0</v>
      </c>
      <c r="AJ185" s="1240">
        <f>+IFERROR(HLOOKUP(AJ18,'סקרי נכסים-יתרות פתיחה'!$2:$110,35,0),0)-IFERROR(HLOOKUP(AJ18,'סקרי נכסים-יתרות פתיחה'!$2:$110,94,0),0)*(1-AJ$309)</f>
        <v>0</v>
      </c>
      <c r="AK185" s="1240">
        <f>+IFERROR(HLOOKUP(AK18,'סקרי נכסים-יתרות פתיחה'!$2:$110,35,0),0)-IFERROR(HLOOKUP(AK18,'סקרי נכסים-יתרות פתיחה'!$2:$110,94,0),0)*(1-AK$309)</f>
        <v>0</v>
      </c>
      <c r="AL185" s="1240">
        <f>+IFERROR(HLOOKUP(AL18,'סקרי נכסים-יתרות פתיחה'!$2:$110,35,0),0)-IFERROR(HLOOKUP(AL18,'סקרי נכסים-יתרות פתיחה'!$2:$110,94,0),0)*(1-AL$309)</f>
        <v>0</v>
      </c>
      <c r="AM185" s="1240">
        <f>+IFERROR(HLOOKUP(AM18,'סקרי נכסים-יתרות פתיחה'!$2:$110,35,0),0)-IFERROR(HLOOKUP(AM18,'סקרי נכסים-יתרות פתיחה'!$2:$110,94,0),0)*(1-AM$309)</f>
        <v>0</v>
      </c>
      <c r="AN185" s="1240">
        <f>+IFERROR(HLOOKUP(AN18,'סקרי נכסים-יתרות פתיחה'!$2:$110,35,0),0)-IFERROR(HLOOKUP(AN18,'סקרי נכסים-יתרות פתיחה'!$2:$110,94,0),0)*(1-AN$309)</f>
        <v>0</v>
      </c>
      <c r="AO185" s="1240">
        <f>+IFERROR(HLOOKUP(AO18,'סקרי נכסים-יתרות פתיחה'!$2:$110,35,0),0)-IFERROR(HLOOKUP(AO18,'סקרי נכסים-יתרות פתיחה'!$2:$110,94,0),0)*(1-AO$309)</f>
        <v>0</v>
      </c>
      <c r="AP185" s="1240">
        <f>+IFERROR(HLOOKUP(AP18,'סקרי נכסים-יתרות פתיחה'!$2:$110,35,0),0)-IFERROR(HLOOKUP(AP18,'סקרי נכסים-יתרות פתיחה'!$2:$110,94,0),0)*(1-AP$309)</f>
        <v>0</v>
      </c>
      <c r="AQ185" s="1240">
        <f>+IFERROR(HLOOKUP(AQ18,'סקרי נכסים-יתרות פתיחה'!$2:$110,35,0),0)-IFERROR(HLOOKUP(AQ18,'סקרי נכסים-יתרות פתיחה'!$2:$110,94,0),0)*(1-AQ$309)</f>
        <v>0</v>
      </c>
      <c r="AR185" s="1240">
        <f>+IFERROR(HLOOKUP(AR18,'סקרי נכסים-יתרות פתיחה'!$2:$110,35,0),0)-IFERROR(HLOOKUP(AR18,'סקרי נכסים-יתרות פתיחה'!$2:$110,94,0),0)*(1-AR$309)</f>
        <v>0</v>
      </c>
      <c r="AS185" s="1240">
        <f>+IFERROR(HLOOKUP(AS18,'סקרי נכסים-יתרות פתיחה'!$2:$110,35,0),0)-IFERROR(HLOOKUP(AS18,'סקרי נכסים-יתרות פתיחה'!$2:$110,94,0),0)*(1-AS$309)</f>
        <v>0</v>
      </c>
      <c r="AT185" s="1240">
        <f>+IFERROR(HLOOKUP(AT18,'סקרי נכסים-יתרות פתיחה'!$2:$110,35,0),0)-IFERROR(HLOOKUP(AT18,'סקרי נכסים-יתרות פתיחה'!$2:$110,94,0),0)*(1-AT$309)</f>
        <v>0</v>
      </c>
      <c r="AU185" s="1240">
        <f>+IFERROR(HLOOKUP(AU18,'סקרי נכסים-יתרות פתיחה'!$2:$110,35,0),0)-IFERROR(HLOOKUP(AU18,'סקרי נכסים-יתרות פתיחה'!$2:$110,94,0),0)*(1-AU$309)</f>
        <v>0</v>
      </c>
      <c r="AV185" s="1240">
        <f>+IFERROR(HLOOKUP(AV18,'סקרי נכסים-יתרות פתיחה'!$2:$110,35,0),0)-IFERROR(HLOOKUP(AV18,'סקרי נכסים-יתרות פתיחה'!$2:$110,94,0),0)*(1-AV$309)</f>
        <v>0</v>
      </c>
      <c r="AW185" s="1240">
        <f>+IFERROR(HLOOKUP(AW18,'סקרי נכסים-יתרות פתיחה'!$2:$110,35,0),0)-IFERROR(HLOOKUP(AW18,'סקרי נכסים-יתרות פתיחה'!$2:$110,94,0),0)*(1-AW$309)</f>
        <v>0</v>
      </c>
      <c r="AX185" s="1240">
        <f>+IFERROR(HLOOKUP(AX18,'סקרי נכסים-יתרות פתיחה'!$2:$110,35,0),0)-IFERROR(HLOOKUP(AX18,'סקרי נכסים-יתרות פתיחה'!$2:$110,94,0),0)*(1-AX$309)</f>
        <v>0</v>
      </c>
      <c r="AY185" s="1240">
        <f>+IFERROR(HLOOKUP(AY18,'סקרי נכסים-יתרות פתיחה'!$2:$110,35,0),0)-IFERROR(HLOOKUP(AY18,'סקרי נכסים-יתרות פתיחה'!$2:$110,94,0),0)*(1-AY$309)</f>
        <v>0</v>
      </c>
      <c r="AZ185" s="1240">
        <f>+IFERROR(HLOOKUP(AZ18,'סקרי נכסים-יתרות פתיחה'!$2:$110,35,0),0)-IFERROR(HLOOKUP(AZ18,'סקרי נכסים-יתרות פתיחה'!$2:$110,94,0),0)*(1-AZ$309)</f>
        <v>0</v>
      </c>
      <c r="BA185" s="1240">
        <f>+IFERROR(HLOOKUP(BA18,'סקרי נכסים-יתרות פתיחה'!$2:$110,35,0),0)-IFERROR(HLOOKUP(BA18,'סקרי נכסים-יתרות פתיחה'!$2:$110,94,0),0)*(1-BA$309)</f>
        <v>0</v>
      </c>
      <c r="BB185" s="1240">
        <f>+IFERROR(HLOOKUP(BB18,'סקרי נכסים-יתרות פתיחה'!$2:$110,35,0),0)-IFERROR(HLOOKUP(BB18,'סקרי נכסים-יתרות פתיחה'!$2:$110,94,0),0)*(1-BB$309)</f>
        <v>0</v>
      </c>
      <c r="BC185" s="1240">
        <f>+IFERROR(HLOOKUP(BC18,'סקרי נכסים-יתרות פתיחה'!$2:$110,35,0),0)-IFERROR(HLOOKUP(BC18,'סקרי נכסים-יתרות פתיחה'!$2:$110,94,0),0)*(1-BC$309)</f>
        <v>0</v>
      </c>
      <c r="BD185" s="1240">
        <f>+IFERROR(HLOOKUP(BD18,'סקרי נכסים-יתרות פתיחה'!$2:$110,35,0),0)-IFERROR(HLOOKUP(BD18,'סקרי נכסים-יתרות פתיחה'!$2:$110,94,0),0)*(1-BD$309)</f>
        <v>0</v>
      </c>
      <c r="BE185" s="1240">
        <f>+IFERROR(HLOOKUP(BE18,'סקרי נכסים-יתרות פתיחה'!$2:$110,35,0),0)-IFERROR(HLOOKUP(BE18,'סקרי נכסים-יתרות פתיחה'!$2:$110,94,0),0)*(1-BE$309)</f>
        <v>0</v>
      </c>
      <c r="BF185" s="1240">
        <f>+IFERROR(HLOOKUP(BF18,'סקרי נכסים-יתרות פתיחה'!$2:$110,35,0),0)-IFERROR(HLOOKUP(BF18,'סקרי נכסים-יתרות פתיחה'!$2:$110,94,0),0)*(1-BF$309)</f>
        <v>0</v>
      </c>
    </row>
    <row r="186" spans="2:58" x14ac:dyDescent="0.2">
      <c r="B186" s="1">
        <v>16</v>
      </c>
      <c r="C186" s="1240">
        <f>+IFERROR(HLOOKUP(C19,'סקרי נכסים-יתרות פתיחה'!$2:$110,35,0),0)-IFERROR(HLOOKUP(C19,'סקרי נכסים-יתרות פתיחה'!$2:$110,94,0),0)*(1-C$309)</f>
        <v>0</v>
      </c>
      <c r="D186" s="1240">
        <f>+IFERROR(HLOOKUP(D19,'סקרי נכסים-יתרות פתיחה'!$2:$110,35,0),0)-IFERROR(HLOOKUP(D19,'סקרי נכסים-יתרות פתיחה'!$2:$110,94,0),0)*(1-D$309)</f>
        <v>0</v>
      </c>
      <c r="E186" s="1240">
        <f>+IFERROR(HLOOKUP(E19,'סקרי נכסים-יתרות פתיחה'!$2:$110,35,0),0)-IFERROR(HLOOKUP(E19,'סקרי נכסים-יתרות פתיחה'!$2:$110,94,0),0)*(1-E$309)</f>
        <v>0</v>
      </c>
      <c r="F186" s="1240">
        <f>+IFERROR(HLOOKUP(F19,'סקרי נכסים-יתרות פתיחה'!$2:$110,35,0),0)-IFERROR(HLOOKUP(F19,'סקרי נכסים-יתרות פתיחה'!$2:$110,94,0),0)*(1-F$309)</f>
        <v>0</v>
      </c>
      <c r="G186" s="1240">
        <f>+IFERROR(HLOOKUP(G19,'סקרי נכסים-יתרות פתיחה'!$2:$110,35,0),0)-IFERROR(HLOOKUP(G19,'סקרי נכסים-יתרות פתיחה'!$2:$110,94,0),0)*(1-G$309)</f>
        <v>0</v>
      </c>
      <c r="H186" s="1240">
        <f>+IFERROR(HLOOKUP(H19,'סקרי נכסים-יתרות פתיחה'!$2:$110,35,0),0)-IFERROR(HLOOKUP(H19,'סקרי נכסים-יתרות פתיחה'!$2:$110,94,0),0)*(1-H$309)</f>
        <v>0</v>
      </c>
      <c r="I186" s="1240">
        <f>+IFERROR(HLOOKUP(I19,'סקרי נכסים-יתרות פתיחה'!$2:$110,35,0),0)-IFERROR(HLOOKUP(I19,'סקרי נכסים-יתרות פתיחה'!$2:$110,94,0),0)*(1-I$309)</f>
        <v>0</v>
      </c>
      <c r="J186" s="1240">
        <f>+IFERROR(HLOOKUP(J19,'סקרי נכסים-יתרות פתיחה'!$2:$110,35,0),0)-IFERROR(HLOOKUP(J19,'סקרי נכסים-יתרות פתיחה'!$2:$110,94,0),0)*(1-J$309)</f>
        <v>0</v>
      </c>
      <c r="K186" s="1240">
        <f>+IFERROR(HLOOKUP(K19,'סקרי נכסים-יתרות פתיחה'!$2:$110,35,0),0)-IFERROR(HLOOKUP(K19,'סקרי נכסים-יתרות פתיחה'!$2:$110,94,0),0)*(1-K$309)</f>
        <v>0</v>
      </c>
      <c r="L186" s="1240">
        <f>+IFERROR(HLOOKUP(L19,'סקרי נכסים-יתרות פתיחה'!$2:$110,35,0),0)-IFERROR(HLOOKUP(L19,'סקרי נכסים-יתרות פתיחה'!$2:$110,94,0),0)*(1-L$309)</f>
        <v>0</v>
      </c>
      <c r="M186" s="1240">
        <f>+IFERROR(HLOOKUP(M19,'סקרי נכסים-יתרות פתיחה'!$2:$110,35,0),0)-IFERROR(HLOOKUP(M19,'סקרי נכסים-יתרות פתיחה'!$2:$110,94,0),0)*(1-M$309)</f>
        <v>0</v>
      </c>
      <c r="N186" s="1240">
        <f>+IFERROR(HLOOKUP(N19,'סקרי נכסים-יתרות פתיחה'!$2:$110,35,0),0)-IFERROR(HLOOKUP(N19,'סקרי נכסים-יתרות פתיחה'!$2:$110,94,0),0)*(1-N$309)</f>
        <v>0</v>
      </c>
      <c r="O186" s="1240">
        <f>+IFERROR(HLOOKUP(O19,'סקרי נכסים-יתרות פתיחה'!$2:$110,35,0),0)-IFERROR(HLOOKUP(O19,'סקרי נכסים-יתרות פתיחה'!$2:$110,94,0),0)*(1-O$309)</f>
        <v>0</v>
      </c>
      <c r="P186" s="1240">
        <f>+IFERROR(HLOOKUP(P19,'סקרי נכסים-יתרות פתיחה'!$2:$110,35,0),0)-IFERROR(HLOOKUP(P19,'סקרי נכסים-יתרות פתיחה'!$2:$110,94,0),0)*(1-P$309)</f>
        <v>0</v>
      </c>
      <c r="Q186" s="1240">
        <f>+IFERROR(HLOOKUP(Q19,'סקרי נכסים-יתרות פתיחה'!$2:$110,35,0),0)-IFERROR(HLOOKUP(Q19,'סקרי נכסים-יתרות פתיחה'!$2:$110,94,0),0)*(1-Q$309)</f>
        <v>0</v>
      </c>
      <c r="R186" s="1240">
        <f>+IFERROR(HLOOKUP(R19,'סקרי נכסים-יתרות פתיחה'!$2:$110,35,0),0)-IFERROR(HLOOKUP(R19,'סקרי נכסים-יתרות פתיחה'!$2:$110,94,0),0)*(1-R$309)</f>
        <v>0</v>
      </c>
      <c r="S186" s="1240">
        <f>+IFERROR(HLOOKUP(S19,'סקרי נכסים-יתרות פתיחה'!$2:$110,35,0),0)-IFERROR(HLOOKUP(S19,'סקרי נכסים-יתרות פתיחה'!$2:$110,94,0),0)*(1-S$309)</f>
        <v>0</v>
      </c>
      <c r="T186" s="1240">
        <f>+IFERROR(HLOOKUP(T19,'סקרי נכסים-יתרות פתיחה'!$2:$110,35,0),0)-IFERROR(HLOOKUP(T19,'סקרי נכסים-יתרות פתיחה'!$2:$110,94,0),0)*(1-T$309)</f>
        <v>0</v>
      </c>
      <c r="U186" s="1240">
        <f>+IFERROR(HLOOKUP(U19,'סקרי נכסים-יתרות פתיחה'!$2:$110,35,0),0)-IFERROR(HLOOKUP(U19,'סקרי נכסים-יתרות פתיחה'!$2:$110,94,0),0)*(1-U$309)</f>
        <v>0</v>
      </c>
      <c r="V186" s="1240">
        <f>+IFERROR(HLOOKUP(V19,'סקרי נכסים-יתרות פתיחה'!$2:$110,35,0),0)-IFERROR(HLOOKUP(V19,'סקרי נכסים-יתרות פתיחה'!$2:$110,94,0),0)*(1-V$309)</f>
        <v>0</v>
      </c>
      <c r="W186" s="1240">
        <f>+IFERROR(HLOOKUP(W19,'סקרי נכסים-יתרות פתיחה'!$2:$110,35,0),0)-IFERROR(HLOOKUP(W19,'סקרי נכסים-יתרות פתיחה'!$2:$110,94,0),0)*(1-W$309)</f>
        <v>0</v>
      </c>
      <c r="X186" s="1240">
        <f>+IFERROR(HLOOKUP(X19,'סקרי נכסים-יתרות פתיחה'!$2:$110,35,0),0)-IFERROR(HLOOKUP(X19,'סקרי נכסים-יתרות פתיחה'!$2:$110,94,0),0)*(1-X$309)</f>
        <v>0</v>
      </c>
      <c r="Y186" s="1240">
        <f>+IFERROR(HLOOKUP(Y19,'סקרי נכסים-יתרות פתיחה'!$2:$110,35,0),0)-IFERROR(HLOOKUP(Y19,'סקרי נכסים-יתרות פתיחה'!$2:$110,94,0),0)*(1-Y$309)</f>
        <v>0</v>
      </c>
      <c r="Z186" s="1240">
        <f>+IFERROR(HLOOKUP(Z19,'סקרי נכסים-יתרות פתיחה'!$2:$110,35,0),0)-IFERROR(HLOOKUP(Z19,'סקרי נכסים-יתרות פתיחה'!$2:$110,94,0),0)*(1-Z$309)</f>
        <v>0</v>
      </c>
      <c r="AA186" s="1240">
        <f>+IFERROR(HLOOKUP(AA19,'סקרי נכסים-יתרות פתיחה'!$2:$110,35,0),0)-IFERROR(HLOOKUP(AA19,'סקרי נכסים-יתרות פתיחה'!$2:$110,94,0),0)*(1-AA$309)</f>
        <v>0</v>
      </c>
      <c r="AB186" s="1240">
        <f>+IFERROR(HLOOKUP(AB19,'סקרי נכסים-יתרות פתיחה'!$2:$110,35,0),0)-IFERROR(HLOOKUP(AB19,'סקרי נכסים-יתרות פתיחה'!$2:$110,94,0),0)*(1-AB$309)</f>
        <v>0</v>
      </c>
      <c r="AC186" s="1240">
        <f>+IFERROR(HLOOKUP(AC19,'סקרי נכסים-יתרות פתיחה'!$2:$110,35,0),0)-IFERROR(HLOOKUP(AC19,'סקרי נכסים-יתרות פתיחה'!$2:$110,94,0),0)*(1-AC$309)</f>
        <v>0</v>
      </c>
      <c r="AD186" s="1240">
        <f>+IFERROR(HLOOKUP(AD19,'סקרי נכסים-יתרות פתיחה'!$2:$110,35,0),0)-IFERROR(HLOOKUP(AD19,'סקרי נכסים-יתרות פתיחה'!$2:$110,94,0),0)*(1-AD$309)</f>
        <v>0</v>
      </c>
      <c r="AE186" s="1240">
        <f>+IFERROR(HLOOKUP(AE19,'סקרי נכסים-יתרות פתיחה'!$2:$110,35,0),0)-IFERROR(HLOOKUP(AE19,'סקרי נכסים-יתרות פתיחה'!$2:$110,94,0),0)*(1-AE$309)</f>
        <v>0</v>
      </c>
      <c r="AF186" s="1240">
        <f>+IFERROR(HLOOKUP(AF19,'סקרי נכסים-יתרות פתיחה'!$2:$110,35,0),0)-IFERROR(HLOOKUP(AF19,'סקרי נכסים-יתרות פתיחה'!$2:$110,94,0),0)*(1-AF$309)</f>
        <v>0</v>
      </c>
      <c r="AG186" s="1240">
        <f>+IFERROR(HLOOKUP(AG19,'סקרי נכסים-יתרות פתיחה'!$2:$110,35,0),0)-IFERROR(HLOOKUP(AG19,'סקרי נכסים-יתרות פתיחה'!$2:$110,94,0),0)*(1-AG$309)</f>
        <v>0</v>
      </c>
      <c r="AH186" s="1240">
        <f>+IFERROR(HLOOKUP(AH19,'סקרי נכסים-יתרות פתיחה'!$2:$110,35,0),0)-IFERROR(HLOOKUP(AH19,'סקרי נכסים-יתרות פתיחה'!$2:$110,94,0),0)*(1-AH$309)</f>
        <v>0</v>
      </c>
      <c r="AI186" s="1240">
        <f>+IFERROR(HLOOKUP(AI19,'סקרי נכסים-יתרות פתיחה'!$2:$110,35,0),0)-IFERROR(HLOOKUP(AI19,'סקרי נכסים-יתרות פתיחה'!$2:$110,94,0),0)*(1-AI$309)</f>
        <v>0</v>
      </c>
      <c r="AJ186" s="1240">
        <f>+IFERROR(HLOOKUP(AJ19,'סקרי נכסים-יתרות פתיחה'!$2:$110,35,0),0)-IFERROR(HLOOKUP(AJ19,'סקרי נכסים-יתרות פתיחה'!$2:$110,94,0),0)*(1-AJ$309)</f>
        <v>0</v>
      </c>
      <c r="AK186" s="1240">
        <f>+IFERROR(HLOOKUP(AK19,'סקרי נכסים-יתרות פתיחה'!$2:$110,35,0),0)-IFERROR(HLOOKUP(AK19,'סקרי נכסים-יתרות פתיחה'!$2:$110,94,0),0)*(1-AK$309)</f>
        <v>0</v>
      </c>
      <c r="AL186" s="1240">
        <f>+IFERROR(HLOOKUP(AL19,'סקרי נכסים-יתרות פתיחה'!$2:$110,35,0),0)-IFERROR(HLOOKUP(AL19,'סקרי נכסים-יתרות פתיחה'!$2:$110,94,0),0)*(1-AL$309)</f>
        <v>0</v>
      </c>
      <c r="AM186" s="1240">
        <f>+IFERROR(HLOOKUP(AM19,'סקרי נכסים-יתרות פתיחה'!$2:$110,35,0),0)-IFERROR(HLOOKUP(AM19,'סקרי נכסים-יתרות פתיחה'!$2:$110,94,0),0)*(1-AM$309)</f>
        <v>0</v>
      </c>
      <c r="AN186" s="1240">
        <f>+IFERROR(HLOOKUP(AN19,'סקרי נכסים-יתרות פתיחה'!$2:$110,35,0),0)-IFERROR(HLOOKUP(AN19,'סקרי נכסים-יתרות פתיחה'!$2:$110,94,0),0)*(1-AN$309)</f>
        <v>0</v>
      </c>
      <c r="AO186" s="1240">
        <f>+IFERROR(HLOOKUP(AO19,'סקרי נכסים-יתרות פתיחה'!$2:$110,35,0),0)-IFERROR(HLOOKUP(AO19,'סקרי נכסים-יתרות פתיחה'!$2:$110,94,0),0)*(1-AO$309)</f>
        <v>0</v>
      </c>
      <c r="AP186" s="1240">
        <f>+IFERROR(HLOOKUP(AP19,'סקרי נכסים-יתרות פתיחה'!$2:$110,35,0),0)-IFERROR(HLOOKUP(AP19,'סקרי נכסים-יתרות פתיחה'!$2:$110,94,0),0)*(1-AP$309)</f>
        <v>0</v>
      </c>
      <c r="AQ186" s="1240">
        <f>+IFERROR(HLOOKUP(AQ19,'סקרי נכסים-יתרות פתיחה'!$2:$110,35,0),0)-IFERROR(HLOOKUP(AQ19,'סקרי נכסים-יתרות פתיחה'!$2:$110,94,0),0)*(1-AQ$309)</f>
        <v>0</v>
      </c>
      <c r="AR186" s="1240">
        <f>+IFERROR(HLOOKUP(AR19,'סקרי נכסים-יתרות פתיחה'!$2:$110,35,0),0)-IFERROR(HLOOKUP(AR19,'סקרי נכסים-יתרות פתיחה'!$2:$110,94,0),0)*(1-AR$309)</f>
        <v>0</v>
      </c>
      <c r="AS186" s="1240">
        <f>+IFERROR(HLOOKUP(AS19,'סקרי נכסים-יתרות פתיחה'!$2:$110,35,0),0)-IFERROR(HLOOKUP(AS19,'סקרי נכסים-יתרות פתיחה'!$2:$110,94,0),0)*(1-AS$309)</f>
        <v>0</v>
      </c>
      <c r="AT186" s="1240">
        <f>+IFERROR(HLOOKUP(AT19,'סקרי נכסים-יתרות פתיחה'!$2:$110,35,0),0)-IFERROR(HLOOKUP(AT19,'סקרי נכסים-יתרות פתיחה'!$2:$110,94,0),0)*(1-AT$309)</f>
        <v>0</v>
      </c>
      <c r="AU186" s="1240">
        <f>+IFERROR(HLOOKUP(AU19,'סקרי נכסים-יתרות פתיחה'!$2:$110,35,0),0)-IFERROR(HLOOKUP(AU19,'סקרי נכסים-יתרות פתיחה'!$2:$110,94,0),0)*(1-AU$309)</f>
        <v>0</v>
      </c>
      <c r="AV186" s="1240">
        <f>+IFERROR(HLOOKUP(AV19,'סקרי נכסים-יתרות פתיחה'!$2:$110,35,0),0)-IFERROR(HLOOKUP(AV19,'סקרי נכסים-יתרות פתיחה'!$2:$110,94,0),0)*(1-AV$309)</f>
        <v>0</v>
      </c>
      <c r="AW186" s="1240">
        <f>+IFERROR(HLOOKUP(AW19,'סקרי נכסים-יתרות פתיחה'!$2:$110,35,0),0)-IFERROR(HLOOKUP(AW19,'סקרי נכסים-יתרות פתיחה'!$2:$110,94,0),0)*(1-AW$309)</f>
        <v>0</v>
      </c>
      <c r="AX186" s="1240">
        <f>+IFERROR(HLOOKUP(AX19,'סקרי נכסים-יתרות פתיחה'!$2:$110,35,0),0)-IFERROR(HLOOKUP(AX19,'סקרי נכסים-יתרות פתיחה'!$2:$110,94,0),0)*(1-AX$309)</f>
        <v>0</v>
      </c>
      <c r="AY186" s="1240">
        <f>+IFERROR(HLOOKUP(AY19,'סקרי נכסים-יתרות פתיחה'!$2:$110,35,0),0)-IFERROR(HLOOKUP(AY19,'סקרי נכסים-יתרות פתיחה'!$2:$110,94,0),0)*(1-AY$309)</f>
        <v>0</v>
      </c>
      <c r="AZ186" s="1240">
        <f>+IFERROR(HLOOKUP(AZ19,'סקרי נכסים-יתרות פתיחה'!$2:$110,35,0),0)-IFERROR(HLOOKUP(AZ19,'סקרי נכסים-יתרות פתיחה'!$2:$110,94,0),0)*(1-AZ$309)</f>
        <v>0</v>
      </c>
      <c r="BA186" s="1240">
        <f>+IFERROR(HLOOKUP(BA19,'סקרי נכסים-יתרות פתיחה'!$2:$110,35,0),0)-IFERROR(HLOOKUP(BA19,'סקרי נכסים-יתרות פתיחה'!$2:$110,94,0),0)*(1-BA$309)</f>
        <v>0</v>
      </c>
      <c r="BB186" s="1240">
        <f>+IFERROR(HLOOKUP(BB19,'סקרי נכסים-יתרות פתיחה'!$2:$110,35,0),0)-IFERROR(HLOOKUP(BB19,'סקרי נכסים-יתרות פתיחה'!$2:$110,94,0),0)*(1-BB$309)</f>
        <v>0</v>
      </c>
      <c r="BC186" s="1240">
        <f>+IFERROR(HLOOKUP(BC19,'סקרי נכסים-יתרות פתיחה'!$2:$110,35,0),0)-IFERROR(HLOOKUP(BC19,'סקרי נכסים-יתרות פתיחה'!$2:$110,94,0),0)*(1-BC$309)</f>
        <v>0</v>
      </c>
      <c r="BD186" s="1240">
        <f>+IFERROR(HLOOKUP(BD19,'סקרי נכסים-יתרות פתיחה'!$2:$110,35,0),0)-IFERROR(HLOOKUP(BD19,'סקרי נכסים-יתרות פתיחה'!$2:$110,94,0),0)*(1-BD$309)</f>
        <v>0</v>
      </c>
      <c r="BE186" s="1240">
        <f>+IFERROR(HLOOKUP(BE19,'סקרי נכסים-יתרות פתיחה'!$2:$110,35,0),0)-IFERROR(HLOOKUP(BE19,'סקרי נכסים-יתרות פתיחה'!$2:$110,94,0),0)*(1-BE$309)</f>
        <v>0</v>
      </c>
      <c r="BF186" s="1240">
        <f>+IFERROR(HLOOKUP(BF19,'סקרי נכסים-יתרות פתיחה'!$2:$110,35,0),0)-IFERROR(HLOOKUP(BF19,'סקרי נכסים-יתרות פתיחה'!$2:$110,94,0),0)*(1-BF$309)</f>
        <v>0</v>
      </c>
    </row>
    <row r="187" spans="2:58" x14ac:dyDescent="0.2">
      <c r="B187" s="1">
        <v>17</v>
      </c>
      <c r="C187" s="1240">
        <f>+IFERROR(HLOOKUP(C20,'סקרי נכסים-יתרות פתיחה'!$2:$110,35,0),0)-IFERROR(HLOOKUP(C20,'סקרי נכסים-יתרות פתיחה'!$2:$110,94,0),0)*(1-C$309)</f>
        <v>0</v>
      </c>
      <c r="D187" s="1240">
        <f>+IFERROR(HLOOKUP(D20,'סקרי נכסים-יתרות פתיחה'!$2:$110,35,0),0)-IFERROR(HLOOKUP(D20,'סקרי נכסים-יתרות פתיחה'!$2:$110,94,0),0)*(1-D$309)</f>
        <v>0</v>
      </c>
      <c r="E187" s="1240">
        <f>+IFERROR(HLOOKUP(E20,'סקרי נכסים-יתרות פתיחה'!$2:$110,35,0),0)-IFERROR(HLOOKUP(E20,'סקרי נכסים-יתרות פתיחה'!$2:$110,94,0),0)*(1-E$309)</f>
        <v>0</v>
      </c>
      <c r="F187" s="1240">
        <f>+IFERROR(HLOOKUP(F20,'סקרי נכסים-יתרות פתיחה'!$2:$110,35,0),0)-IFERROR(HLOOKUP(F20,'סקרי נכסים-יתרות פתיחה'!$2:$110,94,0),0)*(1-F$309)</f>
        <v>0</v>
      </c>
      <c r="G187" s="1240">
        <f>+IFERROR(HLOOKUP(G20,'סקרי נכסים-יתרות פתיחה'!$2:$110,35,0),0)-IFERROR(HLOOKUP(G20,'סקרי נכסים-יתרות פתיחה'!$2:$110,94,0),0)*(1-G$309)</f>
        <v>0</v>
      </c>
      <c r="H187" s="1240">
        <f>+IFERROR(HLOOKUP(H20,'סקרי נכסים-יתרות פתיחה'!$2:$110,35,0),0)-IFERROR(HLOOKUP(H20,'סקרי נכסים-יתרות פתיחה'!$2:$110,94,0),0)*(1-H$309)</f>
        <v>0</v>
      </c>
      <c r="I187" s="1240">
        <f>+IFERROR(HLOOKUP(I20,'סקרי נכסים-יתרות פתיחה'!$2:$110,35,0),0)-IFERROR(HLOOKUP(I20,'סקרי נכסים-יתרות פתיחה'!$2:$110,94,0),0)*(1-I$309)</f>
        <v>0</v>
      </c>
      <c r="J187" s="1240">
        <f>+IFERROR(HLOOKUP(J20,'סקרי נכסים-יתרות פתיחה'!$2:$110,35,0),0)-IFERROR(HLOOKUP(J20,'סקרי נכסים-יתרות פתיחה'!$2:$110,94,0),0)*(1-J$309)</f>
        <v>0</v>
      </c>
      <c r="K187" s="1240">
        <f>+IFERROR(HLOOKUP(K20,'סקרי נכסים-יתרות פתיחה'!$2:$110,35,0),0)-IFERROR(HLOOKUP(K20,'סקרי נכסים-יתרות פתיחה'!$2:$110,94,0),0)*(1-K$309)</f>
        <v>0</v>
      </c>
      <c r="L187" s="1240">
        <f>+IFERROR(HLOOKUP(L20,'סקרי נכסים-יתרות פתיחה'!$2:$110,35,0),0)-IFERROR(HLOOKUP(L20,'סקרי נכסים-יתרות פתיחה'!$2:$110,94,0),0)*(1-L$309)</f>
        <v>0</v>
      </c>
      <c r="M187" s="1240">
        <f>+IFERROR(HLOOKUP(M20,'סקרי נכסים-יתרות פתיחה'!$2:$110,35,0),0)-IFERROR(HLOOKUP(M20,'סקרי נכסים-יתרות פתיחה'!$2:$110,94,0),0)*(1-M$309)</f>
        <v>0</v>
      </c>
      <c r="N187" s="1240">
        <f>+IFERROR(HLOOKUP(N20,'סקרי נכסים-יתרות פתיחה'!$2:$110,35,0),0)-IFERROR(HLOOKUP(N20,'סקרי נכסים-יתרות פתיחה'!$2:$110,94,0),0)*(1-N$309)</f>
        <v>0</v>
      </c>
      <c r="O187" s="1240">
        <f>+IFERROR(HLOOKUP(O20,'סקרי נכסים-יתרות פתיחה'!$2:$110,35,0),0)-IFERROR(HLOOKUP(O20,'סקרי נכסים-יתרות פתיחה'!$2:$110,94,0),0)*(1-O$309)</f>
        <v>0</v>
      </c>
      <c r="P187" s="1240">
        <f>+IFERROR(HLOOKUP(P20,'סקרי נכסים-יתרות פתיחה'!$2:$110,35,0),0)-IFERROR(HLOOKUP(P20,'סקרי נכסים-יתרות פתיחה'!$2:$110,94,0),0)*(1-P$309)</f>
        <v>0</v>
      </c>
      <c r="Q187" s="1240">
        <f>+IFERROR(HLOOKUP(Q20,'סקרי נכסים-יתרות פתיחה'!$2:$110,35,0),0)-IFERROR(HLOOKUP(Q20,'סקרי נכסים-יתרות פתיחה'!$2:$110,94,0),0)*(1-Q$309)</f>
        <v>0</v>
      </c>
      <c r="R187" s="1240">
        <f>+IFERROR(HLOOKUP(R20,'סקרי נכסים-יתרות פתיחה'!$2:$110,35,0),0)-IFERROR(HLOOKUP(R20,'סקרי נכסים-יתרות פתיחה'!$2:$110,94,0),0)*(1-R$309)</f>
        <v>0</v>
      </c>
      <c r="S187" s="1240">
        <f>+IFERROR(HLOOKUP(S20,'סקרי נכסים-יתרות פתיחה'!$2:$110,35,0),0)-IFERROR(HLOOKUP(S20,'סקרי נכסים-יתרות פתיחה'!$2:$110,94,0),0)*(1-S$309)</f>
        <v>0</v>
      </c>
      <c r="T187" s="1240">
        <f>+IFERROR(HLOOKUP(T20,'סקרי נכסים-יתרות פתיחה'!$2:$110,35,0),0)-IFERROR(HLOOKUP(T20,'סקרי נכסים-יתרות פתיחה'!$2:$110,94,0),0)*(1-T$309)</f>
        <v>0</v>
      </c>
      <c r="U187" s="1240">
        <f>+IFERROR(HLOOKUP(U20,'סקרי נכסים-יתרות פתיחה'!$2:$110,35,0),0)-IFERROR(HLOOKUP(U20,'סקרי נכסים-יתרות פתיחה'!$2:$110,94,0),0)*(1-U$309)</f>
        <v>0</v>
      </c>
      <c r="V187" s="1240">
        <f>+IFERROR(HLOOKUP(V20,'סקרי נכסים-יתרות פתיחה'!$2:$110,35,0),0)-IFERROR(HLOOKUP(V20,'סקרי נכסים-יתרות פתיחה'!$2:$110,94,0),0)*(1-V$309)</f>
        <v>0</v>
      </c>
      <c r="W187" s="1240">
        <f>+IFERROR(HLOOKUP(W20,'סקרי נכסים-יתרות פתיחה'!$2:$110,35,0),0)-IFERROR(HLOOKUP(W20,'סקרי נכסים-יתרות פתיחה'!$2:$110,94,0),0)*(1-W$309)</f>
        <v>0</v>
      </c>
      <c r="X187" s="1240">
        <f>+IFERROR(HLOOKUP(X20,'סקרי נכסים-יתרות פתיחה'!$2:$110,35,0),0)-IFERROR(HLOOKUP(X20,'סקרי נכסים-יתרות פתיחה'!$2:$110,94,0),0)*(1-X$309)</f>
        <v>0</v>
      </c>
      <c r="Y187" s="1240">
        <f>+IFERROR(HLOOKUP(Y20,'סקרי נכסים-יתרות פתיחה'!$2:$110,35,0),0)-IFERROR(HLOOKUP(Y20,'סקרי נכסים-יתרות פתיחה'!$2:$110,94,0),0)*(1-Y$309)</f>
        <v>0</v>
      </c>
      <c r="Z187" s="1240">
        <f>+IFERROR(HLOOKUP(Z20,'סקרי נכסים-יתרות פתיחה'!$2:$110,35,0),0)-IFERROR(HLOOKUP(Z20,'סקרי נכסים-יתרות פתיחה'!$2:$110,94,0),0)*(1-Z$309)</f>
        <v>0</v>
      </c>
      <c r="AA187" s="1240">
        <f>+IFERROR(HLOOKUP(AA20,'סקרי נכסים-יתרות פתיחה'!$2:$110,35,0),0)-IFERROR(HLOOKUP(AA20,'סקרי נכסים-יתרות פתיחה'!$2:$110,94,0),0)*(1-AA$309)</f>
        <v>0</v>
      </c>
      <c r="AB187" s="1240">
        <f>+IFERROR(HLOOKUP(AB20,'סקרי נכסים-יתרות פתיחה'!$2:$110,35,0),0)-IFERROR(HLOOKUP(AB20,'סקרי נכסים-יתרות פתיחה'!$2:$110,94,0),0)*(1-AB$309)</f>
        <v>0</v>
      </c>
      <c r="AC187" s="1240">
        <f>+IFERROR(HLOOKUP(AC20,'סקרי נכסים-יתרות פתיחה'!$2:$110,35,0),0)-IFERROR(HLOOKUP(AC20,'סקרי נכסים-יתרות פתיחה'!$2:$110,94,0),0)*(1-AC$309)</f>
        <v>0</v>
      </c>
      <c r="AD187" s="1240">
        <f>+IFERROR(HLOOKUP(AD20,'סקרי נכסים-יתרות פתיחה'!$2:$110,35,0),0)-IFERROR(HLOOKUP(AD20,'סקרי נכסים-יתרות פתיחה'!$2:$110,94,0),0)*(1-AD$309)</f>
        <v>0</v>
      </c>
      <c r="AE187" s="1240">
        <f>+IFERROR(HLOOKUP(AE20,'סקרי נכסים-יתרות פתיחה'!$2:$110,35,0),0)-IFERROR(HLOOKUP(AE20,'סקרי נכסים-יתרות פתיחה'!$2:$110,94,0),0)*(1-AE$309)</f>
        <v>0</v>
      </c>
      <c r="AF187" s="1240">
        <f>+IFERROR(HLOOKUP(AF20,'סקרי נכסים-יתרות פתיחה'!$2:$110,35,0),0)-IFERROR(HLOOKUP(AF20,'סקרי נכסים-יתרות פתיחה'!$2:$110,94,0),0)*(1-AF$309)</f>
        <v>0</v>
      </c>
      <c r="AG187" s="1240">
        <f>+IFERROR(HLOOKUP(AG20,'סקרי נכסים-יתרות פתיחה'!$2:$110,35,0),0)-IFERROR(HLOOKUP(AG20,'סקרי נכסים-יתרות פתיחה'!$2:$110,94,0),0)*(1-AG$309)</f>
        <v>0</v>
      </c>
      <c r="AH187" s="1240">
        <f>+IFERROR(HLOOKUP(AH20,'סקרי נכסים-יתרות פתיחה'!$2:$110,35,0),0)-IFERROR(HLOOKUP(AH20,'סקרי נכסים-יתרות פתיחה'!$2:$110,94,0),0)*(1-AH$309)</f>
        <v>0</v>
      </c>
      <c r="AI187" s="1240">
        <f>+IFERROR(HLOOKUP(AI20,'סקרי נכסים-יתרות פתיחה'!$2:$110,35,0),0)-IFERROR(HLOOKUP(AI20,'סקרי נכסים-יתרות פתיחה'!$2:$110,94,0),0)*(1-AI$309)</f>
        <v>0</v>
      </c>
      <c r="AJ187" s="1240">
        <f>+IFERROR(HLOOKUP(AJ20,'סקרי נכסים-יתרות פתיחה'!$2:$110,35,0),0)-IFERROR(HLOOKUP(AJ20,'סקרי נכסים-יתרות פתיחה'!$2:$110,94,0),0)*(1-AJ$309)</f>
        <v>0</v>
      </c>
      <c r="AK187" s="1240">
        <f>+IFERROR(HLOOKUP(AK20,'סקרי נכסים-יתרות פתיחה'!$2:$110,35,0),0)-IFERROR(HLOOKUP(AK20,'סקרי נכסים-יתרות פתיחה'!$2:$110,94,0),0)*(1-AK$309)</f>
        <v>0</v>
      </c>
      <c r="AL187" s="1240">
        <f>+IFERROR(HLOOKUP(AL20,'סקרי נכסים-יתרות פתיחה'!$2:$110,35,0),0)-IFERROR(HLOOKUP(AL20,'סקרי נכסים-יתרות פתיחה'!$2:$110,94,0),0)*(1-AL$309)</f>
        <v>0</v>
      </c>
      <c r="AM187" s="1240">
        <f>+IFERROR(HLOOKUP(AM20,'סקרי נכסים-יתרות פתיחה'!$2:$110,35,0),0)-IFERROR(HLOOKUP(AM20,'סקרי נכסים-יתרות פתיחה'!$2:$110,94,0),0)*(1-AM$309)</f>
        <v>0</v>
      </c>
      <c r="AN187" s="1240">
        <f>+IFERROR(HLOOKUP(AN20,'סקרי נכסים-יתרות פתיחה'!$2:$110,35,0),0)-IFERROR(HLOOKUP(AN20,'סקרי נכסים-יתרות פתיחה'!$2:$110,94,0),0)*(1-AN$309)</f>
        <v>0</v>
      </c>
      <c r="AO187" s="1240">
        <f>+IFERROR(HLOOKUP(AO20,'סקרי נכסים-יתרות פתיחה'!$2:$110,35,0),0)-IFERROR(HLOOKUP(AO20,'סקרי נכסים-יתרות פתיחה'!$2:$110,94,0),0)*(1-AO$309)</f>
        <v>0</v>
      </c>
      <c r="AP187" s="1240">
        <f>+IFERROR(HLOOKUP(AP20,'סקרי נכסים-יתרות פתיחה'!$2:$110,35,0),0)-IFERROR(HLOOKUP(AP20,'סקרי נכסים-יתרות פתיחה'!$2:$110,94,0),0)*(1-AP$309)</f>
        <v>0</v>
      </c>
      <c r="AQ187" s="1240">
        <f>+IFERROR(HLOOKUP(AQ20,'סקרי נכסים-יתרות פתיחה'!$2:$110,35,0),0)-IFERROR(HLOOKUP(AQ20,'סקרי נכסים-יתרות פתיחה'!$2:$110,94,0),0)*(1-AQ$309)</f>
        <v>0</v>
      </c>
      <c r="AR187" s="1240">
        <f>+IFERROR(HLOOKUP(AR20,'סקרי נכסים-יתרות פתיחה'!$2:$110,35,0),0)-IFERROR(HLOOKUP(AR20,'סקרי נכסים-יתרות פתיחה'!$2:$110,94,0),0)*(1-AR$309)</f>
        <v>0</v>
      </c>
      <c r="AS187" s="1240">
        <f>+IFERROR(HLOOKUP(AS20,'סקרי נכסים-יתרות פתיחה'!$2:$110,35,0),0)-IFERROR(HLOOKUP(AS20,'סקרי נכסים-יתרות פתיחה'!$2:$110,94,0),0)*(1-AS$309)</f>
        <v>0</v>
      </c>
      <c r="AT187" s="1240">
        <f>+IFERROR(HLOOKUP(AT20,'סקרי נכסים-יתרות פתיחה'!$2:$110,35,0),0)-IFERROR(HLOOKUP(AT20,'סקרי נכסים-יתרות פתיחה'!$2:$110,94,0),0)*(1-AT$309)</f>
        <v>0</v>
      </c>
      <c r="AU187" s="1240">
        <f>+IFERROR(HLOOKUP(AU20,'סקרי נכסים-יתרות פתיחה'!$2:$110,35,0),0)-IFERROR(HLOOKUP(AU20,'סקרי נכסים-יתרות פתיחה'!$2:$110,94,0),0)*(1-AU$309)</f>
        <v>0</v>
      </c>
      <c r="AV187" s="1240">
        <f>+IFERROR(HLOOKUP(AV20,'סקרי נכסים-יתרות פתיחה'!$2:$110,35,0),0)-IFERROR(HLOOKUP(AV20,'סקרי נכסים-יתרות פתיחה'!$2:$110,94,0),0)*(1-AV$309)</f>
        <v>0</v>
      </c>
      <c r="AW187" s="1240">
        <f>+IFERROR(HLOOKUP(AW20,'סקרי נכסים-יתרות פתיחה'!$2:$110,35,0),0)-IFERROR(HLOOKUP(AW20,'סקרי נכסים-יתרות פתיחה'!$2:$110,94,0),0)*(1-AW$309)</f>
        <v>0</v>
      </c>
      <c r="AX187" s="1240">
        <f>+IFERROR(HLOOKUP(AX20,'סקרי נכסים-יתרות פתיחה'!$2:$110,35,0),0)-IFERROR(HLOOKUP(AX20,'סקרי נכסים-יתרות פתיחה'!$2:$110,94,0),0)*(1-AX$309)</f>
        <v>0</v>
      </c>
      <c r="AY187" s="1240">
        <f>+IFERROR(HLOOKUP(AY20,'סקרי נכסים-יתרות פתיחה'!$2:$110,35,0),0)-IFERROR(HLOOKUP(AY20,'סקרי נכסים-יתרות פתיחה'!$2:$110,94,0),0)*(1-AY$309)</f>
        <v>0</v>
      </c>
      <c r="AZ187" s="1240">
        <f>+IFERROR(HLOOKUP(AZ20,'סקרי נכסים-יתרות פתיחה'!$2:$110,35,0),0)-IFERROR(HLOOKUP(AZ20,'סקרי נכסים-יתרות פתיחה'!$2:$110,94,0),0)*(1-AZ$309)</f>
        <v>0</v>
      </c>
      <c r="BA187" s="1240">
        <f>+IFERROR(HLOOKUP(BA20,'סקרי נכסים-יתרות פתיחה'!$2:$110,35,0),0)-IFERROR(HLOOKUP(BA20,'סקרי נכסים-יתרות פתיחה'!$2:$110,94,0),0)*(1-BA$309)</f>
        <v>0</v>
      </c>
      <c r="BB187" s="1240">
        <f>+IFERROR(HLOOKUP(BB20,'סקרי נכסים-יתרות פתיחה'!$2:$110,35,0),0)-IFERROR(HLOOKUP(BB20,'סקרי נכסים-יתרות פתיחה'!$2:$110,94,0),0)*(1-BB$309)</f>
        <v>0</v>
      </c>
      <c r="BC187" s="1240">
        <f>+IFERROR(HLOOKUP(BC20,'סקרי נכסים-יתרות פתיחה'!$2:$110,35,0),0)-IFERROR(HLOOKUP(BC20,'סקרי נכסים-יתרות פתיחה'!$2:$110,94,0),0)*(1-BC$309)</f>
        <v>0</v>
      </c>
      <c r="BD187" s="1240">
        <f>+IFERROR(HLOOKUP(BD20,'סקרי נכסים-יתרות פתיחה'!$2:$110,35,0),0)-IFERROR(HLOOKUP(BD20,'סקרי נכסים-יתרות פתיחה'!$2:$110,94,0),0)*(1-BD$309)</f>
        <v>0</v>
      </c>
      <c r="BE187" s="1240">
        <f>+IFERROR(HLOOKUP(BE20,'סקרי נכסים-יתרות פתיחה'!$2:$110,35,0),0)-IFERROR(HLOOKUP(BE20,'סקרי נכסים-יתרות פתיחה'!$2:$110,94,0),0)*(1-BE$309)</f>
        <v>0</v>
      </c>
      <c r="BF187" s="1240">
        <f>+IFERROR(HLOOKUP(BF20,'סקרי נכסים-יתרות פתיחה'!$2:$110,35,0),0)-IFERROR(HLOOKUP(BF20,'סקרי נכסים-יתרות פתיחה'!$2:$110,94,0),0)*(1-BF$309)</f>
        <v>0</v>
      </c>
    </row>
    <row r="188" spans="2:58" x14ac:dyDescent="0.2">
      <c r="B188" s="1">
        <v>18</v>
      </c>
      <c r="C188" s="1240">
        <f>+IFERROR(HLOOKUP(C21,'סקרי נכסים-יתרות פתיחה'!$2:$110,35,0),0)-IFERROR(HLOOKUP(C21,'סקרי נכסים-יתרות פתיחה'!$2:$110,94,0),0)*(1-C$309)</f>
        <v>0</v>
      </c>
      <c r="D188" s="1240">
        <f>+IFERROR(HLOOKUP(D21,'סקרי נכסים-יתרות פתיחה'!$2:$110,35,0),0)-IFERROR(HLOOKUP(D21,'סקרי נכסים-יתרות פתיחה'!$2:$110,94,0),0)*(1-D$309)</f>
        <v>0</v>
      </c>
      <c r="E188" s="1240">
        <f>+IFERROR(HLOOKUP(E21,'סקרי נכסים-יתרות פתיחה'!$2:$110,35,0),0)-IFERROR(HLOOKUP(E21,'סקרי נכסים-יתרות פתיחה'!$2:$110,94,0),0)*(1-E$309)</f>
        <v>0</v>
      </c>
      <c r="F188" s="1240">
        <f>+IFERROR(HLOOKUP(F21,'סקרי נכסים-יתרות פתיחה'!$2:$110,35,0),0)-IFERROR(HLOOKUP(F21,'סקרי נכסים-יתרות פתיחה'!$2:$110,94,0),0)*(1-F$309)</f>
        <v>0</v>
      </c>
      <c r="G188" s="1240">
        <f>+IFERROR(HLOOKUP(G21,'סקרי נכסים-יתרות פתיחה'!$2:$110,35,0),0)-IFERROR(HLOOKUP(G21,'סקרי נכסים-יתרות פתיחה'!$2:$110,94,0),0)*(1-G$309)</f>
        <v>0</v>
      </c>
      <c r="H188" s="1240">
        <f>+IFERROR(HLOOKUP(H21,'סקרי נכסים-יתרות פתיחה'!$2:$110,35,0),0)-IFERROR(HLOOKUP(H21,'סקרי נכסים-יתרות פתיחה'!$2:$110,94,0),0)*(1-H$309)</f>
        <v>0</v>
      </c>
      <c r="I188" s="1240">
        <f>+IFERROR(HLOOKUP(I21,'סקרי נכסים-יתרות פתיחה'!$2:$110,35,0),0)-IFERROR(HLOOKUP(I21,'סקרי נכסים-יתרות פתיחה'!$2:$110,94,0),0)*(1-I$309)</f>
        <v>0</v>
      </c>
      <c r="J188" s="1240">
        <f>+IFERROR(HLOOKUP(J21,'סקרי נכסים-יתרות פתיחה'!$2:$110,35,0),0)-IFERROR(HLOOKUP(J21,'סקרי נכסים-יתרות פתיחה'!$2:$110,94,0),0)*(1-J$309)</f>
        <v>0</v>
      </c>
      <c r="K188" s="1240">
        <f>+IFERROR(HLOOKUP(K21,'סקרי נכסים-יתרות פתיחה'!$2:$110,35,0),0)-IFERROR(HLOOKUP(K21,'סקרי נכסים-יתרות פתיחה'!$2:$110,94,0),0)*(1-K$309)</f>
        <v>0</v>
      </c>
      <c r="L188" s="1240">
        <f>+IFERROR(HLOOKUP(L21,'סקרי נכסים-יתרות פתיחה'!$2:$110,35,0),0)-IFERROR(HLOOKUP(L21,'סקרי נכסים-יתרות פתיחה'!$2:$110,94,0),0)*(1-L$309)</f>
        <v>0</v>
      </c>
      <c r="M188" s="1240">
        <f>+IFERROR(HLOOKUP(M21,'סקרי נכסים-יתרות פתיחה'!$2:$110,35,0),0)-IFERROR(HLOOKUP(M21,'סקרי נכסים-יתרות פתיחה'!$2:$110,94,0),0)*(1-M$309)</f>
        <v>0</v>
      </c>
      <c r="N188" s="1240">
        <f>+IFERROR(HLOOKUP(N21,'סקרי נכסים-יתרות פתיחה'!$2:$110,35,0),0)-IFERROR(HLOOKUP(N21,'סקרי נכסים-יתרות פתיחה'!$2:$110,94,0),0)*(1-N$309)</f>
        <v>0</v>
      </c>
      <c r="O188" s="1240">
        <f>+IFERROR(HLOOKUP(O21,'סקרי נכסים-יתרות פתיחה'!$2:$110,35,0),0)-IFERROR(HLOOKUP(O21,'סקרי נכסים-יתרות פתיחה'!$2:$110,94,0),0)*(1-O$309)</f>
        <v>0</v>
      </c>
      <c r="P188" s="1240">
        <f>+IFERROR(HLOOKUP(P21,'סקרי נכסים-יתרות פתיחה'!$2:$110,35,0),0)-IFERROR(HLOOKUP(P21,'סקרי נכסים-יתרות פתיחה'!$2:$110,94,0),0)*(1-P$309)</f>
        <v>0</v>
      </c>
      <c r="Q188" s="1240">
        <f>+IFERROR(HLOOKUP(Q21,'סקרי נכסים-יתרות פתיחה'!$2:$110,35,0),0)-IFERROR(HLOOKUP(Q21,'סקרי נכסים-יתרות פתיחה'!$2:$110,94,0),0)*(1-Q$309)</f>
        <v>0</v>
      </c>
      <c r="R188" s="1240">
        <f>+IFERROR(HLOOKUP(R21,'סקרי נכסים-יתרות פתיחה'!$2:$110,35,0),0)-IFERROR(HLOOKUP(R21,'סקרי נכסים-יתרות פתיחה'!$2:$110,94,0),0)*(1-R$309)</f>
        <v>0</v>
      </c>
      <c r="S188" s="1240">
        <f>+IFERROR(HLOOKUP(S21,'סקרי נכסים-יתרות פתיחה'!$2:$110,35,0),0)-IFERROR(HLOOKUP(S21,'סקרי נכסים-יתרות פתיחה'!$2:$110,94,0),0)*(1-S$309)</f>
        <v>0</v>
      </c>
      <c r="T188" s="1240">
        <f>+IFERROR(HLOOKUP(T21,'סקרי נכסים-יתרות פתיחה'!$2:$110,35,0),0)-IFERROR(HLOOKUP(T21,'סקרי נכסים-יתרות פתיחה'!$2:$110,94,0),0)*(1-T$309)</f>
        <v>0</v>
      </c>
      <c r="U188" s="1240">
        <f>+IFERROR(HLOOKUP(U21,'סקרי נכסים-יתרות פתיחה'!$2:$110,35,0),0)-IFERROR(HLOOKUP(U21,'סקרי נכסים-יתרות פתיחה'!$2:$110,94,0),0)*(1-U$309)</f>
        <v>0</v>
      </c>
      <c r="V188" s="1240">
        <f>+IFERROR(HLOOKUP(V21,'סקרי נכסים-יתרות פתיחה'!$2:$110,35,0),0)-IFERROR(HLOOKUP(V21,'סקרי נכסים-יתרות פתיחה'!$2:$110,94,0),0)*(1-V$309)</f>
        <v>0</v>
      </c>
      <c r="W188" s="1240">
        <f>+IFERROR(HLOOKUP(W21,'סקרי נכסים-יתרות פתיחה'!$2:$110,35,0),0)-IFERROR(HLOOKUP(W21,'סקרי נכסים-יתרות פתיחה'!$2:$110,94,0),0)*(1-W$309)</f>
        <v>0</v>
      </c>
      <c r="X188" s="1240">
        <f>+IFERROR(HLOOKUP(X21,'סקרי נכסים-יתרות פתיחה'!$2:$110,35,0),0)-IFERROR(HLOOKUP(X21,'סקרי נכסים-יתרות פתיחה'!$2:$110,94,0),0)*(1-X$309)</f>
        <v>0</v>
      </c>
      <c r="Y188" s="1240">
        <f>+IFERROR(HLOOKUP(Y21,'סקרי נכסים-יתרות פתיחה'!$2:$110,35,0),0)-IFERROR(HLOOKUP(Y21,'סקרי נכסים-יתרות פתיחה'!$2:$110,94,0),0)*(1-Y$309)</f>
        <v>0</v>
      </c>
      <c r="Z188" s="1240">
        <f>+IFERROR(HLOOKUP(Z21,'סקרי נכסים-יתרות פתיחה'!$2:$110,35,0),0)-IFERROR(HLOOKUP(Z21,'סקרי נכסים-יתרות פתיחה'!$2:$110,94,0),0)*(1-Z$309)</f>
        <v>0</v>
      </c>
      <c r="AA188" s="1240">
        <f>+IFERROR(HLOOKUP(AA21,'סקרי נכסים-יתרות פתיחה'!$2:$110,35,0),0)-IFERROR(HLOOKUP(AA21,'סקרי נכסים-יתרות פתיחה'!$2:$110,94,0),0)*(1-AA$309)</f>
        <v>0</v>
      </c>
      <c r="AB188" s="1240">
        <f>+IFERROR(HLOOKUP(AB21,'סקרי נכסים-יתרות פתיחה'!$2:$110,35,0),0)-IFERROR(HLOOKUP(AB21,'סקרי נכסים-יתרות פתיחה'!$2:$110,94,0),0)*(1-AB$309)</f>
        <v>0</v>
      </c>
      <c r="AC188" s="1240">
        <f>+IFERROR(HLOOKUP(AC21,'סקרי נכסים-יתרות פתיחה'!$2:$110,35,0),0)-IFERROR(HLOOKUP(AC21,'סקרי נכסים-יתרות פתיחה'!$2:$110,94,0),0)*(1-AC$309)</f>
        <v>0</v>
      </c>
      <c r="AD188" s="1240">
        <f>+IFERROR(HLOOKUP(AD21,'סקרי נכסים-יתרות פתיחה'!$2:$110,35,0),0)-IFERROR(HLOOKUP(AD21,'סקרי נכסים-יתרות פתיחה'!$2:$110,94,0),0)*(1-AD$309)</f>
        <v>0</v>
      </c>
      <c r="AE188" s="1240">
        <f>+IFERROR(HLOOKUP(AE21,'סקרי נכסים-יתרות פתיחה'!$2:$110,35,0),0)-IFERROR(HLOOKUP(AE21,'סקרי נכסים-יתרות פתיחה'!$2:$110,94,0),0)*(1-AE$309)</f>
        <v>0</v>
      </c>
      <c r="AF188" s="1240">
        <f>+IFERROR(HLOOKUP(AF21,'סקרי נכסים-יתרות פתיחה'!$2:$110,35,0),0)-IFERROR(HLOOKUP(AF21,'סקרי נכסים-יתרות פתיחה'!$2:$110,94,0),0)*(1-AF$309)</f>
        <v>0</v>
      </c>
      <c r="AG188" s="1240">
        <f>+IFERROR(HLOOKUP(AG21,'סקרי נכסים-יתרות פתיחה'!$2:$110,35,0),0)-IFERROR(HLOOKUP(AG21,'סקרי נכסים-יתרות פתיחה'!$2:$110,94,0),0)*(1-AG$309)</f>
        <v>0</v>
      </c>
      <c r="AH188" s="1240">
        <f>+IFERROR(HLOOKUP(AH21,'סקרי נכסים-יתרות פתיחה'!$2:$110,35,0),0)-IFERROR(HLOOKUP(AH21,'סקרי נכסים-יתרות פתיחה'!$2:$110,94,0),0)*(1-AH$309)</f>
        <v>0</v>
      </c>
      <c r="AI188" s="1240">
        <f>+IFERROR(HLOOKUP(AI21,'סקרי נכסים-יתרות פתיחה'!$2:$110,35,0),0)-IFERROR(HLOOKUP(AI21,'סקרי נכסים-יתרות פתיחה'!$2:$110,94,0),0)*(1-AI$309)</f>
        <v>0</v>
      </c>
      <c r="AJ188" s="1240">
        <f>+IFERROR(HLOOKUP(AJ21,'סקרי נכסים-יתרות פתיחה'!$2:$110,35,0),0)-IFERROR(HLOOKUP(AJ21,'סקרי נכסים-יתרות פתיחה'!$2:$110,94,0),0)*(1-AJ$309)</f>
        <v>0</v>
      </c>
      <c r="AK188" s="1240">
        <f>+IFERROR(HLOOKUP(AK21,'סקרי נכסים-יתרות פתיחה'!$2:$110,35,0),0)-IFERROR(HLOOKUP(AK21,'סקרי נכסים-יתרות פתיחה'!$2:$110,94,0),0)*(1-AK$309)</f>
        <v>0</v>
      </c>
      <c r="AL188" s="1240">
        <f>+IFERROR(HLOOKUP(AL21,'סקרי נכסים-יתרות פתיחה'!$2:$110,35,0),0)-IFERROR(HLOOKUP(AL21,'סקרי נכסים-יתרות פתיחה'!$2:$110,94,0),0)*(1-AL$309)</f>
        <v>0</v>
      </c>
      <c r="AM188" s="1240">
        <f>+IFERROR(HLOOKUP(AM21,'סקרי נכסים-יתרות פתיחה'!$2:$110,35,0),0)-IFERROR(HLOOKUP(AM21,'סקרי נכסים-יתרות פתיחה'!$2:$110,94,0),0)*(1-AM$309)</f>
        <v>0</v>
      </c>
      <c r="AN188" s="1240">
        <f>+IFERROR(HLOOKUP(AN21,'סקרי נכסים-יתרות פתיחה'!$2:$110,35,0),0)-IFERROR(HLOOKUP(AN21,'סקרי נכסים-יתרות פתיחה'!$2:$110,94,0),0)*(1-AN$309)</f>
        <v>0</v>
      </c>
      <c r="AO188" s="1240">
        <f>+IFERROR(HLOOKUP(AO21,'סקרי נכסים-יתרות פתיחה'!$2:$110,35,0),0)-IFERROR(HLOOKUP(AO21,'סקרי נכסים-יתרות פתיחה'!$2:$110,94,0),0)*(1-AO$309)</f>
        <v>0</v>
      </c>
      <c r="AP188" s="1240">
        <f>+IFERROR(HLOOKUP(AP21,'סקרי נכסים-יתרות פתיחה'!$2:$110,35,0),0)-IFERROR(HLOOKUP(AP21,'סקרי נכסים-יתרות פתיחה'!$2:$110,94,0),0)*(1-AP$309)</f>
        <v>0</v>
      </c>
      <c r="AQ188" s="1240">
        <f>+IFERROR(HLOOKUP(AQ21,'סקרי נכסים-יתרות פתיחה'!$2:$110,35,0),0)-IFERROR(HLOOKUP(AQ21,'סקרי נכסים-יתרות פתיחה'!$2:$110,94,0),0)*(1-AQ$309)</f>
        <v>0</v>
      </c>
      <c r="AR188" s="1240">
        <f>+IFERROR(HLOOKUP(AR21,'סקרי נכסים-יתרות פתיחה'!$2:$110,35,0),0)-IFERROR(HLOOKUP(AR21,'סקרי נכסים-יתרות פתיחה'!$2:$110,94,0),0)*(1-AR$309)</f>
        <v>0</v>
      </c>
      <c r="AS188" s="1240">
        <f>+IFERROR(HLOOKUP(AS21,'סקרי נכסים-יתרות פתיחה'!$2:$110,35,0),0)-IFERROR(HLOOKUP(AS21,'סקרי נכסים-יתרות פתיחה'!$2:$110,94,0),0)*(1-AS$309)</f>
        <v>0</v>
      </c>
      <c r="AT188" s="1240">
        <f>+IFERROR(HLOOKUP(AT21,'סקרי נכסים-יתרות פתיחה'!$2:$110,35,0),0)-IFERROR(HLOOKUP(AT21,'סקרי נכסים-יתרות פתיחה'!$2:$110,94,0),0)*(1-AT$309)</f>
        <v>0</v>
      </c>
      <c r="AU188" s="1240">
        <f>+IFERROR(HLOOKUP(AU21,'סקרי נכסים-יתרות פתיחה'!$2:$110,35,0),0)-IFERROR(HLOOKUP(AU21,'סקרי נכסים-יתרות פתיחה'!$2:$110,94,0),0)*(1-AU$309)</f>
        <v>0</v>
      </c>
      <c r="AV188" s="1240">
        <f>+IFERROR(HLOOKUP(AV21,'סקרי נכסים-יתרות פתיחה'!$2:$110,35,0),0)-IFERROR(HLOOKUP(AV21,'סקרי נכסים-יתרות פתיחה'!$2:$110,94,0),0)*(1-AV$309)</f>
        <v>0</v>
      </c>
      <c r="AW188" s="1240">
        <f>+IFERROR(HLOOKUP(AW21,'סקרי נכסים-יתרות פתיחה'!$2:$110,35,0),0)-IFERROR(HLOOKUP(AW21,'סקרי נכסים-יתרות פתיחה'!$2:$110,94,0),0)*(1-AW$309)</f>
        <v>0</v>
      </c>
      <c r="AX188" s="1240">
        <f>+IFERROR(HLOOKUP(AX21,'סקרי נכסים-יתרות פתיחה'!$2:$110,35,0),0)-IFERROR(HLOOKUP(AX21,'סקרי נכסים-יתרות פתיחה'!$2:$110,94,0),0)*(1-AX$309)</f>
        <v>0</v>
      </c>
      <c r="AY188" s="1240">
        <f>+IFERROR(HLOOKUP(AY21,'סקרי נכסים-יתרות פתיחה'!$2:$110,35,0),0)-IFERROR(HLOOKUP(AY21,'סקרי נכסים-יתרות פתיחה'!$2:$110,94,0),0)*(1-AY$309)</f>
        <v>0</v>
      </c>
      <c r="AZ188" s="1240">
        <f>+IFERROR(HLOOKUP(AZ21,'סקרי נכסים-יתרות פתיחה'!$2:$110,35,0),0)-IFERROR(HLOOKUP(AZ21,'סקרי נכסים-יתרות פתיחה'!$2:$110,94,0),0)*(1-AZ$309)</f>
        <v>0</v>
      </c>
      <c r="BA188" s="1240">
        <f>+IFERROR(HLOOKUP(BA21,'סקרי נכסים-יתרות פתיחה'!$2:$110,35,0),0)-IFERROR(HLOOKUP(BA21,'סקרי נכסים-יתרות פתיחה'!$2:$110,94,0),0)*(1-BA$309)</f>
        <v>0</v>
      </c>
      <c r="BB188" s="1240">
        <f>+IFERROR(HLOOKUP(BB21,'סקרי נכסים-יתרות פתיחה'!$2:$110,35,0),0)-IFERROR(HLOOKUP(BB21,'סקרי נכסים-יתרות פתיחה'!$2:$110,94,0),0)*(1-BB$309)</f>
        <v>0</v>
      </c>
      <c r="BC188" s="1240">
        <f>+IFERROR(HLOOKUP(BC21,'סקרי נכסים-יתרות פתיחה'!$2:$110,35,0),0)-IFERROR(HLOOKUP(BC21,'סקרי נכסים-יתרות פתיחה'!$2:$110,94,0),0)*(1-BC$309)</f>
        <v>0</v>
      </c>
      <c r="BD188" s="1240">
        <f>+IFERROR(HLOOKUP(BD21,'סקרי נכסים-יתרות פתיחה'!$2:$110,35,0),0)-IFERROR(HLOOKUP(BD21,'סקרי נכסים-יתרות פתיחה'!$2:$110,94,0),0)*(1-BD$309)</f>
        <v>0</v>
      </c>
      <c r="BE188" s="1240">
        <f>+IFERROR(HLOOKUP(BE21,'סקרי נכסים-יתרות פתיחה'!$2:$110,35,0),0)-IFERROR(HLOOKUP(BE21,'סקרי נכסים-יתרות פתיחה'!$2:$110,94,0),0)*(1-BE$309)</f>
        <v>0</v>
      </c>
      <c r="BF188" s="1240">
        <f>+IFERROR(HLOOKUP(BF21,'סקרי נכסים-יתרות פתיחה'!$2:$110,35,0),0)-IFERROR(HLOOKUP(BF21,'סקרי נכסים-יתרות פתיחה'!$2:$110,94,0),0)*(1-BF$309)</f>
        <v>0</v>
      </c>
    </row>
    <row r="189" spans="2:58" x14ac:dyDescent="0.2">
      <c r="B189" s="1">
        <v>19</v>
      </c>
      <c r="C189" s="1240">
        <f>+IFERROR(HLOOKUP(C22,'סקרי נכסים-יתרות פתיחה'!$2:$110,35,0),0)-IFERROR(HLOOKUP(C22,'סקרי נכסים-יתרות פתיחה'!$2:$110,94,0),0)*(1-C$309)</f>
        <v>0</v>
      </c>
      <c r="D189" s="1240">
        <f>+IFERROR(HLOOKUP(D22,'סקרי נכסים-יתרות פתיחה'!$2:$110,35,0),0)-IFERROR(HLOOKUP(D22,'סקרי נכסים-יתרות פתיחה'!$2:$110,94,0),0)*(1-D$309)</f>
        <v>0</v>
      </c>
      <c r="E189" s="1240">
        <f>+IFERROR(HLOOKUP(E22,'סקרי נכסים-יתרות פתיחה'!$2:$110,35,0),0)-IFERROR(HLOOKUP(E22,'סקרי נכסים-יתרות פתיחה'!$2:$110,94,0),0)*(1-E$309)</f>
        <v>0</v>
      </c>
      <c r="F189" s="1240">
        <f>+IFERROR(HLOOKUP(F22,'סקרי נכסים-יתרות פתיחה'!$2:$110,35,0),0)-IFERROR(HLOOKUP(F22,'סקרי נכסים-יתרות פתיחה'!$2:$110,94,0),0)*(1-F$309)</f>
        <v>0</v>
      </c>
      <c r="G189" s="1240">
        <f>+IFERROR(HLOOKUP(G22,'סקרי נכסים-יתרות פתיחה'!$2:$110,35,0),0)-IFERROR(HLOOKUP(G22,'סקרי נכסים-יתרות פתיחה'!$2:$110,94,0),0)*(1-G$309)</f>
        <v>0</v>
      </c>
      <c r="H189" s="1240">
        <f>+IFERROR(HLOOKUP(H22,'סקרי נכסים-יתרות פתיחה'!$2:$110,35,0),0)-IFERROR(HLOOKUP(H22,'סקרי נכסים-יתרות פתיחה'!$2:$110,94,0),0)*(1-H$309)</f>
        <v>0</v>
      </c>
      <c r="I189" s="1240">
        <f>+IFERROR(HLOOKUP(I22,'סקרי נכסים-יתרות פתיחה'!$2:$110,35,0),0)-IFERROR(HLOOKUP(I22,'סקרי נכסים-יתרות פתיחה'!$2:$110,94,0),0)*(1-I$309)</f>
        <v>0</v>
      </c>
      <c r="J189" s="1240">
        <f>+IFERROR(HLOOKUP(J22,'סקרי נכסים-יתרות פתיחה'!$2:$110,35,0),0)-IFERROR(HLOOKUP(J22,'סקרי נכסים-יתרות פתיחה'!$2:$110,94,0),0)*(1-J$309)</f>
        <v>0</v>
      </c>
      <c r="K189" s="1240">
        <f>+IFERROR(HLOOKUP(K22,'סקרי נכסים-יתרות פתיחה'!$2:$110,35,0),0)-IFERROR(HLOOKUP(K22,'סקרי נכסים-יתרות פתיחה'!$2:$110,94,0),0)*(1-K$309)</f>
        <v>0</v>
      </c>
      <c r="L189" s="1240">
        <f>+IFERROR(HLOOKUP(L22,'סקרי נכסים-יתרות פתיחה'!$2:$110,35,0),0)-IFERROR(HLOOKUP(L22,'סקרי נכסים-יתרות פתיחה'!$2:$110,94,0),0)*(1-L$309)</f>
        <v>0</v>
      </c>
      <c r="M189" s="1240">
        <f>+IFERROR(HLOOKUP(M22,'סקרי נכסים-יתרות פתיחה'!$2:$110,35,0),0)-IFERROR(HLOOKUP(M22,'סקרי נכסים-יתרות פתיחה'!$2:$110,94,0),0)*(1-M$309)</f>
        <v>0</v>
      </c>
      <c r="N189" s="1240">
        <f>+IFERROR(HLOOKUP(N22,'סקרי נכסים-יתרות פתיחה'!$2:$110,35,0),0)-IFERROR(HLOOKUP(N22,'סקרי נכסים-יתרות פתיחה'!$2:$110,94,0),0)*(1-N$309)</f>
        <v>0</v>
      </c>
      <c r="O189" s="1240">
        <f>+IFERROR(HLOOKUP(O22,'סקרי נכסים-יתרות פתיחה'!$2:$110,35,0),0)-IFERROR(HLOOKUP(O22,'סקרי נכסים-יתרות פתיחה'!$2:$110,94,0),0)*(1-O$309)</f>
        <v>0</v>
      </c>
      <c r="P189" s="1240">
        <f>+IFERROR(HLOOKUP(P22,'סקרי נכסים-יתרות פתיחה'!$2:$110,35,0),0)-IFERROR(HLOOKUP(P22,'סקרי נכסים-יתרות פתיחה'!$2:$110,94,0),0)*(1-P$309)</f>
        <v>0</v>
      </c>
      <c r="Q189" s="1240">
        <f>+IFERROR(HLOOKUP(Q22,'סקרי נכסים-יתרות פתיחה'!$2:$110,35,0),0)-IFERROR(HLOOKUP(Q22,'סקרי נכסים-יתרות פתיחה'!$2:$110,94,0),0)*(1-Q$309)</f>
        <v>0</v>
      </c>
      <c r="R189" s="1240">
        <f>+IFERROR(HLOOKUP(R22,'סקרי נכסים-יתרות פתיחה'!$2:$110,35,0),0)-IFERROR(HLOOKUP(R22,'סקרי נכסים-יתרות פתיחה'!$2:$110,94,0),0)*(1-R$309)</f>
        <v>0</v>
      </c>
      <c r="S189" s="1240">
        <f>+IFERROR(HLOOKUP(S22,'סקרי נכסים-יתרות פתיחה'!$2:$110,35,0),0)-IFERROR(HLOOKUP(S22,'סקרי נכסים-יתרות פתיחה'!$2:$110,94,0),0)*(1-S$309)</f>
        <v>0</v>
      </c>
      <c r="T189" s="1240">
        <f>+IFERROR(HLOOKUP(T22,'סקרי נכסים-יתרות פתיחה'!$2:$110,35,0),0)-IFERROR(HLOOKUP(T22,'סקרי נכסים-יתרות פתיחה'!$2:$110,94,0),0)*(1-T$309)</f>
        <v>0</v>
      </c>
      <c r="U189" s="1240">
        <f>+IFERROR(HLOOKUP(U22,'סקרי נכסים-יתרות פתיחה'!$2:$110,35,0),0)-IFERROR(HLOOKUP(U22,'סקרי נכסים-יתרות פתיחה'!$2:$110,94,0),0)*(1-U$309)</f>
        <v>0</v>
      </c>
      <c r="V189" s="1240">
        <f>+IFERROR(HLOOKUP(V22,'סקרי נכסים-יתרות פתיחה'!$2:$110,35,0),0)-IFERROR(HLOOKUP(V22,'סקרי נכסים-יתרות פתיחה'!$2:$110,94,0),0)*(1-V$309)</f>
        <v>0</v>
      </c>
      <c r="W189" s="1240">
        <f>+IFERROR(HLOOKUP(W22,'סקרי נכסים-יתרות פתיחה'!$2:$110,35,0),0)-IFERROR(HLOOKUP(W22,'סקרי נכסים-יתרות פתיחה'!$2:$110,94,0),0)*(1-W$309)</f>
        <v>0</v>
      </c>
      <c r="X189" s="1240">
        <f>+IFERROR(HLOOKUP(X22,'סקרי נכסים-יתרות פתיחה'!$2:$110,35,0),0)-IFERROR(HLOOKUP(X22,'סקרי נכסים-יתרות פתיחה'!$2:$110,94,0),0)*(1-X$309)</f>
        <v>0</v>
      </c>
      <c r="Y189" s="1240">
        <f>+IFERROR(HLOOKUP(Y22,'סקרי נכסים-יתרות פתיחה'!$2:$110,35,0),0)-IFERROR(HLOOKUP(Y22,'סקרי נכסים-יתרות פתיחה'!$2:$110,94,0),0)*(1-Y$309)</f>
        <v>0</v>
      </c>
      <c r="Z189" s="1240">
        <f>+IFERROR(HLOOKUP(Z22,'סקרי נכסים-יתרות פתיחה'!$2:$110,35,0),0)-IFERROR(HLOOKUP(Z22,'סקרי נכסים-יתרות פתיחה'!$2:$110,94,0),0)*(1-Z$309)</f>
        <v>0</v>
      </c>
      <c r="AA189" s="1240">
        <f>+IFERROR(HLOOKUP(AA22,'סקרי נכסים-יתרות פתיחה'!$2:$110,35,0),0)-IFERROR(HLOOKUP(AA22,'סקרי נכסים-יתרות פתיחה'!$2:$110,94,0),0)*(1-AA$309)</f>
        <v>0</v>
      </c>
      <c r="AB189" s="1240">
        <f>+IFERROR(HLOOKUP(AB22,'סקרי נכסים-יתרות פתיחה'!$2:$110,35,0),0)-IFERROR(HLOOKUP(AB22,'סקרי נכסים-יתרות פתיחה'!$2:$110,94,0),0)*(1-AB$309)</f>
        <v>0</v>
      </c>
      <c r="AC189" s="1240">
        <f>+IFERROR(HLOOKUP(AC22,'סקרי נכסים-יתרות פתיחה'!$2:$110,35,0),0)-IFERROR(HLOOKUP(AC22,'סקרי נכסים-יתרות פתיחה'!$2:$110,94,0),0)*(1-AC$309)</f>
        <v>0</v>
      </c>
      <c r="AD189" s="1240">
        <f>+IFERROR(HLOOKUP(AD22,'סקרי נכסים-יתרות פתיחה'!$2:$110,35,0),0)-IFERROR(HLOOKUP(AD22,'סקרי נכסים-יתרות פתיחה'!$2:$110,94,0),0)*(1-AD$309)</f>
        <v>0</v>
      </c>
      <c r="AE189" s="1240">
        <f>+IFERROR(HLOOKUP(AE22,'סקרי נכסים-יתרות פתיחה'!$2:$110,35,0),0)-IFERROR(HLOOKUP(AE22,'סקרי נכסים-יתרות פתיחה'!$2:$110,94,0),0)*(1-AE$309)</f>
        <v>0</v>
      </c>
      <c r="AF189" s="1240">
        <f>+IFERROR(HLOOKUP(AF22,'סקרי נכסים-יתרות פתיחה'!$2:$110,35,0),0)-IFERROR(HLOOKUP(AF22,'סקרי נכסים-יתרות פתיחה'!$2:$110,94,0),0)*(1-AF$309)</f>
        <v>0</v>
      </c>
      <c r="AG189" s="1240">
        <f>+IFERROR(HLOOKUP(AG22,'סקרי נכסים-יתרות פתיחה'!$2:$110,35,0),0)-IFERROR(HLOOKUP(AG22,'סקרי נכסים-יתרות פתיחה'!$2:$110,94,0),0)*(1-AG$309)</f>
        <v>0</v>
      </c>
      <c r="AH189" s="1240">
        <f>+IFERROR(HLOOKUP(AH22,'סקרי נכסים-יתרות פתיחה'!$2:$110,35,0),0)-IFERROR(HLOOKUP(AH22,'סקרי נכסים-יתרות פתיחה'!$2:$110,94,0),0)*(1-AH$309)</f>
        <v>0</v>
      </c>
      <c r="AI189" s="1240">
        <f>+IFERROR(HLOOKUP(AI22,'סקרי נכסים-יתרות פתיחה'!$2:$110,35,0),0)-IFERROR(HLOOKUP(AI22,'סקרי נכסים-יתרות פתיחה'!$2:$110,94,0),0)*(1-AI$309)</f>
        <v>0</v>
      </c>
      <c r="AJ189" s="1240">
        <f>+IFERROR(HLOOKUP(AJ22,'סקרי נכסים-יתרות פתיחה'!$2:$110,35,0),0)-IFERROR(HLOOKUP(AJ22,'סקרי נכסים-יתרות פתיחה'!$2:$110,94,0),0)*(1-AJ$309)</f>
        <v>0</v>
      </c>
      <c r="AK189" s="1240">
        <f>+IFERROR(HLOOKUP(AK22,'סקרי נכסים-יתרות פתיחה'!$2:$110,35,0),0)-IFERROR(HLOOKUP(AK22,'סקרי נכסים-יתרות פתיחה'!$2:$110,94,0),0)*(1-AK$309)</f>
        <v>0</v>
      </c>
      <c r="AL189" s="1240">
        <f>+IFERROR(HLOOKUP(AL22,'סקרי נכסים-יתרות פתיחה'!$2:$110,35,0),0)-IFERROR(HLOOKUP(AL22,'סקרי נכסים-יתרות פתיחה'!$2:$110,94,0),0)*(1-AL$309)</f>
        <v>0</v>
      </c>
      <c r="AM189" s="1240">
        <f>+IFERROR(HLOOKUP(AM22,'סקרי נכסים-יתרות פתיחה'!$2:$110,35,0),0)-IFERROR(HLOOKUP(AM22,'סקרי נכסים-יתרות פתיחה'!$2:$110,94,0),0)*(1-AM$309)</f>
        <v>0</v>
      </c>
      <c r="AN189" s="1240">
        <f>+IFERROR(HLOOKUP(AN22,'סקרי נכסים-יתרות פתיחה'!$2:$110,35,0),0)-IFERROR(HLOOKUP(AN22,'סקרי נכסים-יתרות פתיחה'!$2:$110,94,0),0)*(1-AN$309)</f>
        <v>0</v>
      </c>
      <c r="AO189" s="1240">
        <f>+IFERROR(HLOOKUP(AO22,'סקרי נכסים-יתרות פתיחה'!$2:$110,35,0),0)-IFERROR(HLOOKUP(AO22,'סקרי נכסים-יתרות פתיחה'!$2:$110,94,0),0)*(1-AO$309)</f>
        <v>0</v>
      </c>
      <c r="AP189" s="1240">
        <f>+IFERROR(HLOOKUP(AP22,'סקרי נכסים-יתרות פתיחה'!$2:$110,35,0),0)-IFERROR(HLOOKUP(AP22,'סקרי נכסים-יתרות פתיחה'!$2:$110,94,0),0)*(1-AP$309)</f>
        <v>0</v>
      </c>
      <c r="AQ189" s="1240">
        <f>+IFERROR(HLOOKUP(AQ22,'סקרי נכסים-יתרות פתיחה'!$2:$110,35,0),0)-IFERROR(HLOOKUP(AQ22,'סקרי נכסים-יתרות פתיחה'!$2:$110,94,0),0)*(1-AQ$309)</f>
        <v>0</v>
      </c>
      <c r="AR189" s="1240">
        <f>+IFERROR(HLOOKUP(AR22,'סקרי נכסים-יתרות פתיחה'!$2:$110,35,0),0)-IFERROR(HLOOKUP(AR22,'סקרי נכסים-יתרות פתיחה'!$2:$110,94,0),0)*(1-AR$309)</f>
        <v>0</v>
      </c>
      <c r="AS189" s="1240">
        <f>+IFERROR(HLOOKUP(AS22,'סקרי נכסים-יתרות פתיחה'!$2:$110,35,0),0)-IFERROR(HLOOKUP(AS22,'סקרי נכסים-יתרות פתיחה'!$2:$110,94,0),0)*(1-AS$309)</f>
        <v>0</v>
      </c>
      <c r="AT189" s="1240">
        <f>+IFERROR(HLOOKUP(AT22,'סקרי נכסים-יתרות פתיחה'!$2:$110,35,0),0)-IFERROR(HLOOKUP(AT22,'סקרי נכסים-יתרות פתיחה'!$2:$110,94,0),0)*(1-AT$309)</f>
        <v>0</v>
      </c>
      <c r="AU189" s="1240">
        <f>+IFERROR(HLOOKUP(AU22,'סקרי נכסים-יתרות פתיחה'!$2:$110,35,0),0)-IFERROR(HLOOKUP(AU22,'סקרי נכסים-יתרות פתיחה'!$2:$110,94,0),0)*(1-AU$309)</f>
        <v>0</v>
      </c>
      <c r="AV189" s="1240">
        <f>+IFERROR(HLOOKUP(AV22,'סקרי נכסים-יתרות פתיחה'!$2:$110,35,0),0)-IFERROR(HLOOKUP(AV22,'סקרי נכסים-יתרות פתיחה'!$2:$110,94,0),0)*(1-AV$309)</f>
        <v>0</v>
      </c>
      <c r="AW189" s="1240">
        <f>+IFERROR(HLOOKUP(AW22,'סקרי נכסים-יתרות פתיחה'!$2:$110,35,0),0)-IFERROR(HLOOKUP(AW22,'סקרי נכסים-יתרות פתיחה'!$2:$110,94,0),0)*(1-AW$309)</f>
        <v>0</v>
      </c>
      <c r="AX189" s="1240">
        <f>+IFERROR(HLOOKUP(AX22,'סקרי נכסים-יתרות פתיחה'!$2:$110,35,0),0)-IFERROR(HLOOKUP(AX22,'סקרי נכסים-יתרות פתיחה'!$2:$110,94,0),0)*(1-AX$309)</f>
        <v>0</v>
      </c>
      <c r="AY189" s="1240">
        <f>+IFERROR(HLOOKUP(AY22,'סקרי נכסים-יתרות פתיחה'!$2:$110,35,0),0)-IFERROR(HLOOKUP(AY22,'סקרי נכסים-יתרות פתיחה'!$2:$110,94,0),0)*(1-AY$309)</f>
        <v>0</v>
      </c>
      <c r="AZ189" s="1240">
        <f>+IFERROR(HLOOKUP(AZ22,'סקרי נכסים-יתרות פתיחה'!$2:$110,35,0),0)-IFERROR(HLOOKUP(AZ22,'סקרי נכסים-יתרות פתיחה'!$2:$110,94,0),0)*(1-AZ$309)</f>
        <v>0</v>
      </c>
      <c r="BA189" s="1240">
        <f>+IFERROR(HLOOKUP(BA22,'סקרי נכסים-יתרות פתיחה'!$2:$110,35,0),0)-IFERROR(HLOOKUP(BA22,'סקרי נכסים-יתרות פתיחה'!$2:$110,94,0),0)*(1-BA$309)</f>
        <v>0</v>
      </c>
      <c r="BB189" s="1240">
        <f>+IFERROR(HLOOKUP(BB22,'סקרי נכסים-יתרות פתיחה'!$2:$110,35,0),0)-IFERROR(HLOOKUP(BB22,'סקרי נכסים-יתרות פתיחה'!$2:$110,94,0),0)*(1-BB$309)</f>
        <v>0</v>
      </c>
      <c r="BC189" s="1240">
        <f>+IFERROR(HLOOKUP(BC22,'סקרי נכסים-יתרות פתיחה'!$2:$110,35,0),0)-IFERROR(HLOOKUP(BC22,'סקרי נכסים-יתרות פתיחה'!$2:$110,94,0),0)*(1-BC$309)</f>
        <v>0</v>
      </c>
      <c r="BD189" s="1240">
        <f>+IFERROR(HLOOKUP(BD22,'סקרי נכסים-יתרות פתיחה'!$2:$110,35,0),0)-IFERROR(HLOOKUP(BD22,'סקרי נכסים-יתרות פתיחה'!$2:$110,94,0),0)*(1-BD$309)</f>
        <v>0</v>
      </c>
      <c r="BE189" s="1240">
        <f>+IFERROR(HLOOKUP(BE22,'סקרי נכסים-יתרות פתיחה'!$2:$110,35,0),0)-IFERROR(HLOOKUP(BE22,'סקרי נכסים-יתרות פתיחה'!$2:$110,94,0),0)*(1-BE$309)</f>
        <v>0</v>
      </c>
      <c r="BF189" s="1240">
        <f>+IFERROR(HLOOKUP(BF22,'סקרי נכסים-יתרות פתיחה'!$2:$110,35,0),0)-IFERROR(HLOOKUP(BF22,'סקרי נכסים-יתרות פתיחה'!$2:$110,94,0),0)*(1-BF$309)</f>
        <v>0</v>
      </c>
    </row>
    <row r="190" spans="2:58" x14ac:dyDescent="0.2">
      <c r="B190" s="1">
        <v>20</v>
      </c>
      <c r="C190" s="1240">
        <f>+IFERROR(HLOOKUP(C23,'סקרי נכסים-יתרות פתיחה'!$2:$110,35,0),0)-IFERROR(HLOOKUP(C23,'סקרי נכסים-יתרות פתיחה'!$2:$110,94,0),0)*(1-C$309)</f>
        <v>0</v>
      </c>
      <c r="D190" s="1240">
        <f>+IFERROR(HLOOKUP(D23,'סקרי נכסים-יתרות פתיחה'!$2:$110,35,0),0)-IFERROR(HLOOKUP(D23,'סקרי נכסים-יתרות פתיחה'!$2:$110,94,0),0)*(1-D$309)</f>
        <v>0</v>
      </c>
      <c r="E190" s="1240">
        <f>+IFERROR(HLOOKUP(E23,'סקרי נכסים-יתרות פתיחה'!$2:$110,35,0),0)-IFERROR(HLOOKUP(E23,'סקרי נכסים-יתרות פתיחה'!$2:$110,94,0),0)*(1-E$309)</f>
        <v>0</v>
      </c>
      <c r="F190" s="1240">
        <f>+IFERROR(HLOOKUP(F23,'סקרי נכסים-יתרות פתיחה'!$2:$110,35,0),0)-IFERROR(HLOOKUP(F23,'סקרי נכסים-יתרות פתיחה'!$2:$110,94,0),0)*(1-F$309)</f>
        <v>0</v>
      </c>
      <c r="G190" s="1240">
        <f>+IFERROR(HLOOKUP(G23,'סקרי נכסים-יתרות פתיחה'!$2:$110,35,0),0)-IFERROR(HLOOKUP(G23,'סקרי נכסים-יתרות פתיחה'!$2:$110,94,0),0)*(1-G$309)</f>
        <v>0</v>
      </c>
      <c r="H190" s="1240">
        <f>+IFERROR(HLOOKUP(H23,'סקרי נכסים-יתרות פתיחה'!$2:$110,35,0),0)-IFERROR(HLOOKUP(H23,'סקרי נכסים-יתרות פתיחה'!$2:$110,94,0),0)*(1-H$309)</f>
        <v>0</v>
      </c>
      <c r="I190" s="1240">
        <f>+IFERROR(HLOOKUP(I23,'סקרי נכסים-יתרות פתיחה'!$2:$110,35,0),0)-IFERROR(HLOOKUP(I23,'סקרי נכסים-יתרות פתיחה'!$2:$110,94,0),0)*(1-I$309)</f>
        <v>0</v>
      </c>
      <c r="J190" s="1240">
        <f>+IFERROR(HLOOKUP(J23,'סקרי נכסים-יתרות פתיחה'!$2:$110,35,0),0)-IFERROR(HLOOKUP(J23,'סקרי נכסים-יתרות פתיחה'!$2:$110,94,0),0)*(1-J$309)</f>
        <v>0</v>
      </c>
      <c r="K190" s="1240">
        <f>+IFERROR(HLOOKUP(K23,'סקרי נכסים-יתרות פתיחה'!$2:$110,35,0),0)-IFERROR(HLOOKUP(K23,'סקרי נכסים-יתרות פתיחה'!$2:$110,94,0),0)*(1-K$309)</f>
        <v>0</v>
      </c>
      <c r="L190" s="1240">
        <f>+IFERROR(HLOOKUP(L23,'סקרי נכסים-יתרות פתיחה'!$2:$110,35,0),0)-IFERROR(HLOOKUP(L23,'סקרי נכסים-יתרות פתיחה'!$2:$110,94,0),0)*(1-L$309)</f>
        <v>0</v>
      </c>
      <c r="M190" s="1240">
        <f>+IFERROR(HLOOKUP(M23,'סקרי נכסים-יתרות פתיחה'!$2:$110,35,0),0)-IFERROR(HLOOKUP(M23,'סקרי נכסים-יתרות פתיחה'!$2:$110,94,0),0)*(1-M$309)</f>
        <v>0</v>
      </c>
      <c r="N190" s="1240">
        <f>+IFERROR(HLOOKUP(N23,'סקרי נכסים-יתרות פתיחה'!$2:$110,35,0),0)-IFERROR(HLOOKUP(N23,'סקרי נכסים-יתרות פתיחה'!$2:$110,94,0),0)*(1-N$309)</f>
        <v>0</v>
      </c>
      <c r="O190" s="1240">
        <f>+IFERROR(HLOOKUP(O23,'סקרי נכסים-יתרות פתיחה'!$2:$110,35,0),0)-IFERROR(HLOOKUP(O23,'סקרי נכסים-יתרות פתיחה'!$2:$110,94,0),0)*(1-O$309)</f>
        <v>0</v>
      </c>
      <c r="P190" s="1240">
        <f>+IFERROR(HLOOKUP(P23,'סקרי נכסים-יתרות פתיחה'!$2:$110,35,0),0)-IFERROR(HLOOKUP(P23,'סקרי נכסים-יתרות פתיחה'!$2:$110,94,0),0)*(1-P$309)</f>
        <v>0</v>
      </c>
      <c r="Q190" s="1240">
        <f>+IFERROR(HLOOKUP(Q23,'סקרי נכסים-יתרות פתיחה'!$2:$110,35,0),0)-IFERROR(HLOOKUP(Q23,'סקרי נכסים-יתרות פתיחה'!$2:$110,94,0),0)*(1-Q$309)</f>
        <v>0</v>
      </c>
      <c r="R190" s="1240">
        <f>+IFERROR(HLOOKUP(R23,'סקרי נכסים-יתרות פתיחה'!$2:$110,35,0),0)-IFERROR(HLOOKUP(R23,'סקרי נכסים-יתרות פתיחה'!$2:$110,94,0),0)*(1-R$309)</f>
        <v>0</v>
      </c>
      <c r="S190" s="1240">
        <f>+IFERROR(HLOOKUP(S23,'סקרי נכסים-יתרות פתיחה'!$2:$110,35,0),0)-IFERROR(HLOOKUP(S23,'סקרי נכסים-יתרות פתיחה'!$2:$110,94,0),0)*(1-S$309)</f>
        <v>0</v>
      </c>
      <c r="T190" s="1240">
        <f>+IFERROR(HLOOKUP(T23,'סקרי נכסים-יתרות פתיחה'!$2:$110,35,0),0)-IFERROR(HLOOKUP(T23,'סקרי נכסים-יתרות פתיחה'!$2:$110,94,0),0)*(1-T$309)</f>
        <v>0</v>
      </c>
      <c r="U190" s="1240">
        <f>+IFERROR(HLOOKUP(U23,'סקרי נכסים-יתרות פתיחה'!$2:$110,35,0),0)-IFERROR(HLOOKUP(U23,'סקרי נכסים-יתרות פתיחה'!$2:$110,94,0),0)*(1-U$309)</f>
        <v>0</v>
      </c>
      <c r="V190" s="1240">
        <f>+IFERROR(HLOOKUP(V23,'סקרי נכסים-יתרות פתיחה'!$2:$110,35,0),0)-IFERROR(HLOOKUP(V23,'סקרי נכסים-יתרות פתיחה'!$2:$110,94,0),0)*(1-V$309)</f>
        <v>0</v>
      </c>
      <c r="W190" s="1240">
        <f>+IFERROR(HLOOKUP(W23,'סקרי נכסים-יתרות פתיחה'!$2:$110,35,0),0)-IFERROR(HLOOKUP(W23,'סקרי נכסים-יתרות פתיחה'!$2:$110,94,0),0)*(1-W$309)</f>
        <v>0</v>
      </c>
      <c r="X190" s="1240">
        <f>+IFERROR(HLOOKUP(X23,'סקרי נכסים-יתרות פתיחה'!$2:$110,35,0),0)-IFERROR(HLOOKUP(X23,'סקרי נכסים-יתרות פתיחה'!$2:$110,94,0),0)*(1-X$309)</f>
        <v>0</v>
      </c>
      <c r="Y190" s="1240">
        <f>+IFERROR(HLOOKUP(Y23,'סקרי נכסים-יתרות פתיחה'!$2:$110,35,0),0)-IFERROR(HLOOKUP(Y23,'סקרי נכסים-יתרות פתיחה'!$2:$110,94,0),0)*(1-Y$309)</f>
        <v>0</v>
      </c>
      <c r="Z190" s="1240">
        <f>+IFERROR(HLOOKUP(Z23,'סקרי נכסים-יתרות פתיחה'!$2:$110,35,0),0)-IFERROR(HLOOKUP(Z23,'סקרי נכסים-יתרות פתיחה'!$2:$110,94,0),0)*(1-Z$309)</f>
        <v>0</v>
      </c>
      <c r="AA190" s="1240">
        <f>+IFERROR(HLOOKUP(AA23,'סקרי נכסים-יתרות פתיחה'!$2:$110,35,0),0)-IFERROR(HLOOKUP(AA23,'סקרי נכסים-יתרות פתיחה'!$2:$110,94,0),0)*(1-AA$309)</f>
        <v>0</v>
      </c>
      <c r="AB190" s="1240">
        <f>+IFERROR(HLOOKUP(AB23,'סקרי נכסים-יתרות פתיחה'!$2:$110,35,0),0)-IFERROR(HLOOKUP(AB23,'סקרי נכסים-יתרות פתיחה'!$2:$110,94,0),0)*(1-AB$309)</f>
        <v>0</v>
      </c>
      <c r="AC190" s="1240">
        <f>+IFERROR(HLOOKUP(AC23,'סקרי נכסים-יתרות פתיחה'!$2:$110,35,0),0)-IFERROR(HLOOKUP(AC23,'סקרי נכסים-יתרות פתיחה'!$2:$110,94,0),0)*(1-AC$309)</f>
        <v>0</v>
      </c>
      <c r="AD190" s="1240">
        <f>+IFERROR(HLOOKUP(AD23,'סקרי נכסים-יתרות פתיחה'!$2:$110,35,0),0)-IFERROR(HLOOKUP(AD23,'סקרי נכסים-יתרות פתיחה'!$2:$110,94,0),0)*(1-AD$309)</f>
        <v>0</v>
      </c>
      <c r="AE190" s="1240">
        <f>+IFERROR(HLOOKUP(AE23,'סקרי נכסים-יתרות פתיחה'!$2:$110,35,0),0)-IFERROR(HLOOKUP(AE23,'סקרי נכסים-יתרות פתיחה'!$2:$110,94,0),0)*(1-AE$309)</f>
        <v>0</v>
      </c>
      <c r="AF190" s="1240">
        <f>+IFERROR(HLOOKUP(AF23,'סקרי נכסים-יתרות פתיחה'!$2:$110,35,0),0)-IFERROR(HLOOKUP(AF23,'סקרי נכסים-יתרות פתיחה'!$2:$110,94,0),0)*(1-AF$309)</f>
        <v>0</v>
      </c>
      <c r="AG190" s="1240">
        <f>+IFERROR(HLOOKUP(AG23,'סקרי נכסים-יתרות פתיחה'!$2:$110,35,0),0)-IFERROR(HLOOKUP(AG23,'סקרי נכסים-יתרות פתיחה'!$2:$110,94,0),0)*(1-AG$309)</f>
        <v>0</v>
      </c>
      <c r="AH190" s="1240">
        <f>+IFERROR(HLOOKUP(AH23,'סקרי נכסים-יתרות פתיחה'!$2:$110,35,0),0)-IFERROR(HLOOKUP(AH23,'סקרי נכסים-יתרות פתיחה'!$2:$110,94,0),0)*(1-AH$309)</f>
        <v>0</v>
      </c>
      <c r="AI190" s="1240">
        <f>+IFERROR(HLOOKUP(AI23,'סקרי נכסים-יתרות פתיחה'!$2:$110,35,0),0)-IFERROR(HLOOKUP(AI23,'סקרי נכסים-יתרות פתיחה'!$2:$110,94,0),0)*(1-AI$309)</f>
        <v>0</v>
      </c>
      <c r="AJ190" s="1240">
        <f>+IFERROR(HLOOKUP(AJ23,'סקרי נכסים-יתרות פתיחה'!$2:$110,35,0),0)-IFERROR(HLOOKUP(AJ23,'סקרי נכסים-יתרות פתיחה'!$2:$110,94,0),0)*(1-AJ$309)</f>
        <v>0</v>
      </c>
      <c r="AK190" s="1240">
        <f>+IFERROR(HLOOKUP(AK23,'סקרי נכסים-יתרות פתיחה'!$2:$110,35,0),0)-IFERROR(HLOOKUP(AK23,'סקרי נכסים-יתרות פתיחה'!$2:$110,94,0),0)*(1-AK$309)</f>
        <v>0</v>
      </c>
      <c r="AL190" s="1240">
        <f>+IFERROR(HLOOKUP(AL23,'סקרי נכסים-יתרות פתיחה'!$2:$110,35,0),0)-IFERROR(HLOOKUP(AL23,'סקרי נכסים-יתרות פתיחה'!$2:$110,94,0),0)*(1-AL$309)</f>
        <v>0</v>
      </c>
      <c r="AM190" s="1240">
        <f>+IFERROR(HLOOKUP(AM23,'סקרי נכסים-יתרות פתיחה'!$2:$110,35,0),0)-IFERROR(HLOOKUP(AM23,'סקרי נכסים-יתרות פתיחה'!$2:$110,94,0),0)*(1-AM$309)</f>
        <v>0</v>
      </c>
      <c r="AN190" s="1240">
        <f>+IFERROR(HLOOKUP(AN23,'סקרי נכסים-יתרות פתיחה'!$2:$110,35,0),0)-IFERROR(HLOOKUP(AN23,'סקרי נכסים-יתרות פתיחה'!$2:$110,94,0),0)*(1-AN$309)</f>
        <v>0</v>
      </c>
      <c r="AO190" s="1240">
        <f>+IFERROR(HLOOKUP(AO23,'סקרי נכסים-יתרות פתיחה'!$2:$110,35,0),0)-IFERROR(HLOOKUP(AO23,'סקרי נכסים-יתרות פתיחה'!$2:$110,94,0),0)*(1-AO$309)</f>
        <v>0</v>
      </c>
      <c r="AP190" s="1240">
        <f>+IFERROR(HLOOKUP(AP23,'סקרי נכסים-יתרות פתיחה'!$2:$110,35,0),0)-IFERROR(HLOOKUP(AP23,'סקרי נכסים-יתרות פתיחה'!$2:$110,94,0),0)*(1-AP$309)</f>
        <v>0</v>
      </c>
      <c r="AQ190" s="1240">
        <f>+IFERROR(HLOOKUP(AQ23,'סקרי נכסים-יתרות פתיחה'!$2:$110,35,0),0)-IFERROR(HLOOKUP(AQ23,'סקרי נכסים-יתרות פתיחה'!$2:$110,94,0),0)*(1-AQ$309)</f>
        <v>0</v>
      </c>
      <c r="AR190" s="1240">
        <f>+IFERROR(HLOOKUP(AR23,'סקרי נכסים-יתרות פתיחה'!$2:$110,35,0),0)-IFERROR(HLOOKUP(AR23,'סקרי נכסים-יתרות פתיחה'!$2:$110,94,0),0)*(1-AR$309)</f>
        <v>0</v>
      </c>
      <c r="AS190" s="1240">
        <f>+IFERROR(HLOOKUP(AS23,'סקרי נכסים-יתרות פתיחה'!$2:$110,35,0),0)-IFERROR(HLOOKUP(AS23,'סקרי נכסים-יתרות פתיחה'!$2:$110,94,0),0)*(1-AS$309)</f>
        <v>0</v>
      </c>
      <c r="AT190" s="1240">
        <f>+IFERROR(HLOOKUP(AT23,'סקרי נכסים-יתרות פתיחה'!$2:$110,35,0),0)-IFERROR(HLOOKUP(AT23,'סקרי נכסים-יתרות פתיחה'!$2:$110,94,0),0)*(1-AT$309)</f>
        <v>0</v>
      </c>
      <c r="AU190" s="1240">
        <f>+IFERROR(HLOOKUP(AU23,'סקרי נכסים-יתרות פתיחה'!$2:$110,35,0),0)-IFERROR(HLOOKUP(AU23,'סקרי נכסים-יתרות פתיחה'!$2:$110,94,0),0)*(1-AU$309)</f>
        <v>0</v>
      </c>
      <c r="AV190" s="1240">
        <f>+IFERROR(HLOOKUP(AV23,'סקרי נכסים-יתרות פתיחה'!$2:$110,35,0),0)-IFERROR(HLOOKUP(AV23,'סקרי נכסים-יתרות פתיחה'!$2:$110,94,0),0)*(1-AV$309)</f>
        <v>0</v>
      </c>
      <c r="AW190" s="1240">
        <f>+IFERROR(HLOOKUP(AW23,'סקרי נכסים-יתרות פתיחה'!$2:$110,35,0),0)-IFERROR(HLOOKUP(AW23,'סקרי נכסים-יתרות פתיחה'!$2:$110,94,0),0)*(1-AW$309)</f>
        <v>0</v>
      </c>
      <c r="AX190" s="1240">
        <f>+IFERROR(HLOOKUP(AX23,'סקרי נכסים-יתרות פתיחה'!$2:$110,35,0),0)-IFERROR(HLOOKUP(AX23,'סקרי נכסים-יתרות פתיחה'!$2:$110,94,0),0)*(1-AX$309)</f>
        <v>0</v>
      </c>
      <c r="AY190" s="1240">
        <f>+IFERROR(HLOOKUP(AY23,'סקרי נכסים-יתרות פתיחה'!$2:$110,35,0),0)-IFERROR(HLOOKUP(AY23,'סקרי נכסים-יתרות פתיחה'!$2:$110,94,0),0)*(1-AY$309)</f>
        <v>0</v>
      </c>
      <c r="AZ190" s="1240">
        <f>+IFERROR(HLOOKUP(AZ23,'סקרי נכסים-יתרות פתיחה'!$2:$110,35,0),0)-IFERROR(HLOOKUP(AZ23,'סקרי נכסים-יתרות פתיחה'!$2:$110,94,0),0)*(1-AZ$309)</f>
        <v>0</v>
      </c>
      <c r="BA190" s="1240">
        <f>+IFERROR(HLOOKUP(BA23,'סקרי נכסים-יתרות פתיחה'!$2:$110,35,0),0)-IFERROR(HLOOKUP(BA23,'סקרי נכסים-יתרות פתיחה'!$2:$110,94,0),0)*(1-BA$309)</f>
        <v>0</v>
      </c>
      <c r="BB190" s="1240">
        <f>+IFERROR(HLOOKUP(BB23,'סקרי נכסים-יתרות פתיחה'!$2:$110,35,0),0)-IFERROR(HLOOKUP(BB23,'סקרי נכסים-יתרות פתיחה'!$2:$110,94,0),0)*(1-BB$309)</f>
        <v>0</v>
      </c>
      <c r="BC190" s="1240">
        <f>+IFERROR(HLOOKUP(BC23,'סקרי נכסים-יתרות פתיחה'!$2:$110,35,0),0)-IFERROR(HLOOKUP(BC23,'סקרי נכסים-יתרות פתיחה'!$2:$110,94,0),0)*(1-BC$309)</f>
        <v>0</v>
      </c>
      <c r="BD190" s="1240">
        <f>+IFERROR(HLOOKUP(BD23,'סקרי נכסים-יתרות פתיחה'!$2:$110,35,0),0)-IFERROR(HLOOKUP(BD23,'סקרי נכסים-יתרות פתיחה'!$2:$110,94,0),0)*(1-BD$309)</f>
        <v>0</v>
      </c>
      <c r="BE190" s="1240">
        <f>+IFERROR(HLOOKUP(BE23,'סקרי נכסים-יתרות פתיחה'!$2:$110,35,0),0)-IFERROR(HLOOKUP(BE23,'סקרי נכסים-יתרות פתיחה'!$2:$110,94,0),0)*(1-BE$309)</f>
        <v>0</v>
      </c>
      <c r="BF190" s="1240">
        <f>+IFERROR(HLOOKUP(BF23,'סקרי נכסים-יתרות פתיחה'!$2:$110,35,0),0)-IFERROR(HLOOKUP(BF23,'סקרי נכסים-יתרות פתיחה'!$2:$110,94,0),0)*(1-BF$309)</f>
        <v>0</v>
      </c>
    </row>
    <row r="191" spans="2:58" x14ac:dyDescent="0.2">
      <c r="B191" s="1">
        <v>21</v>
      </c>
      <c r="C191" s="1240">
        <f>+IFERROR(HLOOKUP(C24,'סקרי נכסים-יתרות פתיחה'!$2:$110,35,0),0)-IFERROR(HLOOKUP(C24,'סקרי נכסים-יתרות פתיחה'!$2:$110,94,0),0)*(1-C$309)</f>
        <v>0</v>
      </c>
      <c r="D191" s="1240">
        <f>+IFERROR(HLOOKUP(D24,'סקרי נכסים-יתרות פתיחה'!$2:$110,35,0),0)-IFERROR(HLOOKUP(D24,'סקרי נכסים-יתרות פתיחה'!$2:$110,94,0),0)*(1-D$309)</f>
        <v>0</v>
      </c>
      <c r="E191" s="1240">
        <f>+IFERROR(HLOOKUP(E24,'סקרי נכסים-יתרות פתיחה'!$2:$110,35,0),0)-IFERROR(HLOOKUP(E24,'סקרי נכסים-יתרות פתיחה'!$2:$110,94,0),0)*(1-E$309)</f>
        <v>0</v>
      </c>
      <c r="F191" s="1240">
        <f>+IFERROR(HLOOKUP(F24,'סקרי נכסים-יתרות פתיחה'!$2:$110,35,0),0)-IFERROR(HLOOKUP(F24,'סקרי נכסים-יתרות פתיחה'!$2:$110,94,0),0)*(1-F$309)</f>
        <v>0</v>
      </c>
      <c r="G191" s="1240">
        <f>+IFERROR(HLOOKUP(G24,'סקרי נכסים-יתרות פתיחה'!$2:$110,35,0),0)-IFERROR(HLOOKUP(G24,'סקרי נכסים-יתרות פתיחה'!$2:$110,94,0),0)*(1-G$309)</f>
        <v>0</v>
      </c>
      <c r="H191" s="1240">
        <f>+IFERROR(HLOOKUP(H24,'סקרי נכסים-יתרות פתיחה'!$2:$110,35,0),0)-IFERROR(HLOOKUP(H24,'סקרי נכסים-יתרות פתיחה'!$2:$110,94,0),0)*(1-H$309)</f>
        <v>0</v>
      </c>
      <c r="I191" s="1240">
        <f>+IFERROR(HLOOKUP(I24,'סקרי נכסים-יתרות פתיחה'!$2:$110,35,0),0)-IFERROR(HLOOKUP(I24,'סקרי נכסים-יתרות פתיחה'!$2:$110,94,0),0)*(1-I$309)</f>
        <v>0</v>
      </c>
      <c r="J191" s="1240">
        <f>+IFERROR(HLOOKUP(J24,'סקרי נכסים-יתרות פתיחה'!$2:$110,35,0),0)-IFERROR(HLOOKUP(J24,'סקרי נכסים-יתרות פתיחה'!$2:$110,94,0),0)*(1-J$309)</f>
        <v>0</v>
      </c>
      <c r="K191" s="1240">
        <f>+IFERROR(HLOOKUP(K24,'סקרי נכסים-יתרות פתיחה'!$2:$110,35,0),0)-IFERROR(HLOOKUP(K24,'סקרי נכסים-יתרות פתיחה'!$2:$110,94,0),0)*(1-K$309)</f>
        <v>0</v>
      </c>
      <c r="L191" s="1240">
        <f>+IFERROR(HLOOKUP(L24,'סקרי נכסים-יתרות פתיחה'!$2:$110,35,0),0)-IFERROR(HLOOKUP(L24,'סקרי נכסים-יתרות פתיחה'!$2:$110,94,0),0)*(1-L$309)</f>
        <v>0</v>
      </c>
      <c r="M191" s="1240">
        <f>+IFERROR(HLOOKUP(M24,'סקרי נכסים-יתרות פתיחה'!$2:$110,35,0),0)-IFERROR(HLOOKUP(M24,'סקרי נכסים-יתרות פתיחה'!$2:$110,94,0),0)*(1-M$309)</f>
        <v>0</v>
      </c>
      <c r="N191" s="1240">
        <f>+IFERROR(HLOOKUP(N24,'סקרי נכסים-יתרות פתיחה'!$2:$110,35,0),0)-IFERROR(HLOOKUP(N24,'סקרי נכסים-יתרות פתיחה'!$2:$110,94,0),0)*(1-N$309)</f>
        <v>0</v>
      </c>
      <c r="O191" s="1240">
        <f>+IFERROR(HLOOKUP(O24,'סקרי נכסים-יתרות פתיחה'!$2:$110,35,0),0)-IFERROR(HLOOKUP(O24,'סקרי נכסים-יתרות פתיחה'!$2:$110,94,0),0)*(1-O$309)</f>
        <v>0</v>
      </c>
      <c r="P191" s="1240">
        <f>+IFERROR(HLOOKUP(P24,'סקרי נכסים-יתרות פתיחה'!$2:$110,35,0),0)-IFERROR(HLOOKUP(P24,'סקרי נכסים-יתרות פתיחה'!$2:$110,94,0),0)*(1-P$309)</f>
        <v>0</v>
      </c>
      <c r="Q191" s="1240">
        <f>+IFERROR(HLOOKUP(Q24,'סקרי נכסים-יתרות פתיחה'!$2:$110,35,0),0)-IFERROR(HLOOKUP(Q24,'סקרי נכסים-יתרות פתיחה'!$2:$110,94,0),0)*(1-Q$309)</f>
        <v>0</v>
      </c>
      <c r="R191" s="1240">
        <f>+IFERROR(HLOOKUP(R24,'סקרי נכסים-יתרות פתיחה'!$2:$110,35,0),0)-IFERROR(HLOOKUP(R24,'סקרי נכסים-יתרות פתיחה'!$2:$110,94,0),0)*(1-R$309)</f>
        <v>0</v>
      </c>
      <c r="S191" s="1240">
        <f>+IFERROR(HLOOKUP(S24,'סקרי נכסים-יתרות פתיחה'!$2:$110,35,0),0)-IFERROR(HLOOKUP(S24,'סקרי נכסים-יתרות פתיחה'!$2:$110,94,0),0)*(1-S$309)</f>
        <v>0</v>
      </c>
      <c r="T191" s="1240">
        <f>+IFERROR(HLOOKUP(T24,'סקרי נכסים-יתרות פתיחה'!$2:$110,35,0),0)-IFERROR(HLOOKUP(T24,'סקרי נכסים-יתרות פתיחה'!$2:$110,94,0),0)*(1-T$309)</f>
        <v>0</v>
      </c>
      <c r="U191" s="1240">
        <f>+IFERROR(HLOOKUP(U24,'סקרי נכסים-יתרות פתיחה'!$2:$110,35,0),0)-IFERROR(HLOOKUP(U24,'סקרי נכסים-יתרות פתיחה'!$2:$110,94,0),0)*(1-U$309)</f>
        <v>0</v>
      </c>
      <c r="V191" s="1240">
        <f>+IFERROR(HLOOKUP(V24,'סקרי נכסים-יתרות פתיחה'!$2:$110,35,0),0)-IFERROR(HLOOKUP(V24,'סקרי נכסים-יתרות פתיחה'!$2:$110,94,0),0)*(1-V$309)</f>
        <v>0</v>
      </c>
      <c r="W191" s="1240">
        <f>+IFERROR(HLOOKUP(W24,'סקרי נכסים-יתרות פתיחה'!$2:$110,35,0),0)-IFERROR(HLOOKUP(W24,'סקרי נכסים-יתרות פתיחה'!$2:$110,94,0),0)*(1-W$309)</f>
        <v>0</v>
      </c>
      <c r="X191" s="1240">
        <f>+IFERROR(HLOOKUP(X24,'סקרי נכסים-יתרות פתיחה'!$2:$110,35,0),0)-IFERROR(HLOOKUP(X24,'סקרי נכסים-יתרות פתיחה'!$2:$110,94,0),0)*(1-X$309)</f>
        <v>0</v>
      </c>
      <c r="Y191" s="1240">
        <f>+IFERROR(HLOOKUP(Y24,'סקרי נכסים-יתרות פתיחה'!$2:$110,35,0),0)-IFERROR(HLOOKUP(Y24,'סקרי נכסים-יתרות פתיחה'!$2:$110,94,0),0)*(1-Y$309)</f>
        <v>0</v>
      </c>
      <c r="Z191" s="1240">
        <f>+IFERROR(HLOOKUP(Z24,'סקרי נכסים-יתרות פתיחה'!$2:$110,35,0),0)-IFERROR(HLOOKUP(Z24,'סקרי נכסים-יתרות פתיחה'!$2:$110,94,0),0)*(1-Z$309)</f>
        <v>0</v>
      </c>
      <c r="AA191" s="1240">
        <f>+IFERROR(HLOOKUP(AA24,'סקרי נכסים-יתרות פתיחה'!$2:$110,35,0),0)-IFERROR(HLOOKUP(AA24,'סקרי נכסים-יתרות פתיחה'!$2:$110,94,0),0)*(1-AA$309)</f>
        <v>0</v>
      </c>
      <c r="AB191" s="1240">
        <f>+IFERROR(HLOOKUP(AB24,'סקרי נכסים-יתרות פתיחה'!$2:$110,35,0),0)-IFERROR(HLOOKUP(AB24,'סקרי נכסים-יתרות פתיחה'!$2:$110,94,0),0)*(1-AB$309)</f>
        <v>0</v>
      </c>
      <c r="AC191" s="1240">
        <f>+IFERROR(HLOOKUP(AC24,'סקרי נכסים-יתרות פתיחה'!$2:$110,35,0),0)-IFERROR(HLOOKUP(AC24,'סקרי נכסים-יתרות פתיחה'!$2:$110,94,0),0)*(1-AC$309)</f>
        <v>0</v>
      </c>
      <c r="AD191" s="1240">
        <f>+IFERROR(HLOOKUP(AD24,'סקרי נכסים-יתרות פתיחה'!$2:$110,35,0),0)-IFERROR(HLOOKUP(AD24,'סקרי נכסים-יתרות פתיחה'!$2:$110,94,0),0)*(1-AD$309)</f>
        <v>0</v>
      </c>
      <c r="AE191" s="1240">
        <f>+IFERROR(HLOOKUP(AE24,'סקרי נכסים-יתרות פתיחה'!$2:$110,35,0),0)-IFERROR(HLOOKUP(AE24,'סקרי נכסים-יתרות פתיחה'!$2:$110,94,0),0)*(1-AE$309)</f>
        <v>0</v>
      </c>
      <c r="AF191" s="1240">
        <f>+IFERROR(HLOOKUP(AF24,'סקרי נכסים-יתרות פתיחה'!$2:$110,35,0),0)-IFERROR(HLOOKUP(AF24,'סקרי נכסים-יתרות פתיחה'!$2:$110,94,0),0)*(1-AF$309)</f>
        <v>0</v>
      </c>
      <c r="AG191" s="1240">
        <f>+IFERROR(HLOOKUP(AG24,'סקרי נכסים-יתרות פתיחה'!$2:$110,35,0),0)-IFERROR(HLOOKUP(AG24,'סקרי נכסים-יתרות פתיחה'!$2:$110,94,0),0)*(1-AG$309)</f>
        <v>0</v>
      </c>
      <c r="AH191" s="1240">
        <f>+IFERROR(HLOOKUP(AH24,'סקרי נכסים-יתרות פתיחה'!$2:$110,35,0),0)-IFERROR(HLOOKUP(AH24,'סקרי נכסים-יתרות פתיחה'!$2:$110,94,0),0)*(1-AH$309)</f>
        <v>0</v>
      </c>
      <c r="AI191" s="1240">
        <f>+IFERROR(HLOOKUP(AI24,'סקרי נכסים-יתרות פתיחה'!$2:$110,35,0),0)-IFERROR(HLOOKUP(AI24,'סקרי נכסים-יתרות פתיחה'!$2:$110,94,0),0)*(1-AI$309)</f>
        <v>0</v>
      </c>
      <c r="AJ191" s="1240">
        <f>+IFERROR(HLOOKUP(AJ24,'סקרי נכסים-יתרות פתיחה'!$2:$110,35,0),0)-IFERROR(HLOOKUP(AJ24,'סקרי נכסים-יתרות פתיחה'!$2:$110,94,0),0)*(1-AJ$309)</f>
        <v>0</v>
      </c>
      <c r="AK191" s="1240">
        <f>+IFERROR(HLOOKUP(AK24,'סקרי נכסים-יתרות פתיחה'!$2:$110,35,0),0)-IFERROR(HLOOKUP(AK24,'סקרי נכסים-יתרות פתיחה'!$2:$110,94,0),0)*(1-AK$309)</f>
        <v>0</v>
      </c>
      <c r="AL191" s="1240">
        <f>+IFERROR(HLOOKUP(AL24,'סקרי נכסים-יתרות פתיחה'!$2:$110,35,0),0)-IFERROR(HLOOKUP(AL24,'סקרי נכסים-יתרות פתיחה'!$2:$110,94,0),0)*(1-AL$309)</f>
        <v>0</v>
      </c>
      <c r="AM191" s="1240">
        <f>+IFERROR(HLOOKUP(AM24,'סקרי נכסים-יתרות פתיחה'!$2:$110,35,0),0)-IFERROR(HLOOKUP(AM24,'סקרי נכסים-יתרות פתיחה'!$2:$110,94,0),0)*(1-AM$309)</f>
        <v>0</v>
      </c>
      <c r="AN191" s="1240">
        <f>+IFERROR(HLOOKUP(AN24,'סקרי נכסים-יתרות פתיחה'!$2:$110,35,0),0)-IFERROR(HLOOKUP(AN24,'סקרי נכסים-יתרות פתיחה'!$2:$110,94,0),0)*(1-AN$309)</f>
        <v>0</v>
      </c>
      <c r="AO191" s="1240">
        <f>+IFERROR(HLOOKUP(AO24,'סקרי נכסים-יתרות פתיחה'!$2:$110,35,0),0)-IFERROR(HLOOKUP(AO24,'סקרי נכסים-יתרות פתיחה'!$2:$110,94,0),0)*(1-AO$309)</f>
        <v>0</v>
      </c>
      <c r="AP191" s="1240">
        <f>+IFERROR(HLOOKUP(AP24,'סקרי נכסים-יתרות פתיחה'!$2:$110,35,0),0)-IFERROR(HLOOKUP(AP24,'סקרי נכסים-יתרות פתיחה'!$2:$110,94,0),0)*(1-AP$309)</f>
        <v>0</v>
      </c>
      <c r="AQ191" s="1240">
        <f>+IFERROR(HLOOKUP(AQ24,'סקרי נכסים-יתרות פתיחה'!$2:$110,35,0),0)-IFERROR(HLOOKUP(AQ24,'סקרי נכסים-יתרות פתיחה'!$2:$110,94,0),0)*(1-AQ$309)</f>
        <v>0</v>
      </c>
      <c r="AR191" s="1240">
        <f>+IFERROR(HLOOKUP(AR24,'סקרי נכסים-יתרות פתיחה'!$2:$110,35,0),0)-IFERROR(HLOOKUP(AR24,'סקרי נכסים-יתרות פתיחה'!$2:$110,94,0),0)*(1-AR$309)</f>
        <v>0</v>
      </c>
      <c r="AS191" s="1240">
        <f>+IFERROR(HLOOKUP(AS24,'סקרי נכסים-יתרות פתיחה'!$2:$110,35,0),0)-IFERROR(HLOOKUP(AS24,'סקרי נכסים-יתרות פתיחה'!$2:$110,94,0),0)*(1-AS$309)</f>
        <v>0</v>
      </c>
      <c r="AT191" s="1240">
        <f>+IFERROR(HLOOKUP(AT24,'סקרי נכסים-יתרות פתיחה'!$2:$110,35,0),0)-IFERROR(HLOOKUP(AT24,'סקרי נכסים-יתרות פתיחה'!$2:$110,94,0),0)*(1-AT$309)</f>
        <v>0</v>
      </c>
      <c r="AU191" s="1240">
        <f>+IFERROR(HLOOKUP(AU24,'סקרי נכסים-יתרות פתיחה'!$2:$110,35,0),0)-IFERROR(HLOOKUP(AU24,'סקרי נכסים-יתרות פתיחה'!$2:$110,94,0),0)*(1-AU$309)</f>
        <v>0</v>
      </c>
      <c r="AV191" s="1240">
        <f>+IFERROR(HLOOKUP(AV24,'סקרי נכסים-יתרות פתיחה'!$2:$110,35,0),0)-IFERROR(HLOOKUP(AV24,'סקרי נכסים-יתרות פתיחה'!$2:$110,94,0),0)*(1-AV$309)</f>
        <v>0</v>
      </c>
      <c r="AW191" s="1240">
        <f>+IFERROR(HLOOKUP(AW24,'סקרי נכסים-יתרות פתיחה'!$2:$110,35,0),0)-IFERROR(HLOOKUP(AW24,'סקרי נכסים-יתרות פתיחה'!$2:$110,94,0),0)*(1-AW$309)</f>
        <v>0</v>
      </c>
      <c r="AX191" s="1240">
        <f>+IFERROR(HLOOKUP(AX24,'סקרי נכסים-יתרות פתיחה'!$2:$110,35,0),0)-IFERROR(HLOOKUP(AX24,'סקרי נכסים-יתרות פתיחה'!$2:$110,94,0),0)*(1-AX$309)</f>
        <v>0</v>
      </c>
      <c r="AY191" s="1240">
        <f>+IFERROR(HLOOKUP(AY24,'סקרי נכסים-יתרות פתיחה'!$2:$110,35,0),0)-IFERROR(HLOOKUP(AY24,'סקרי נכסים-יתרות פתיחה'!$2:$110,94,0),0)*(1-AY$309)</f>
        <v>0</v>
      </c>
      <c r="AZ191" s="1240">
        <f>+IFERROR(HLOOKUP(AZ24,'סקרי נכסים-יתרות פתיחה'!$2:$110,35,0),0)-IFERROR(HLOOKUP(AZ24,'סקרי נכסים-יתרות פתיחה'!$2:$110,94,0),0)*(1-AZ$309)</f>
        <v>0</v>
      </c>
      <c r="BA191" s="1240">
        <f>+IFERROR(HLOOKUP(BA24,'סקרי נכסים-יתרות פתיחה'!$2:$110,35,0),0)-IFERROR(HLOOKUP(BA24,'סקרי נכסים-יתרות פתיחה'!$2:$110,94,0),0)*(1-BA$309)</f>
        <v>0</v>
      </c>
      <c r="BB191" s="1240">
        <f>+IFERROR(HLOOKUP(BB24,'סקרי נכסים-יתרות פתיחה'!$2:$110,35,0),0)-IFERROR(HLOOKUP(BB24,'סקרי נכסים-יתרות פתיחה'!$2:$110,94,0),0)*(1-BB$309)</f>
        <v>0</v>
      </c>
      <c r="BC191" s="1240">
        <f>+IFERROR(HLOOKUP(BC24,'סקרי נכסים-יתרות פתיחה'!$2:$110,35,0),0)-IFERROR(HLOOKUP(BC24,'סקרי נכסים-יתרות פתיחה'!$2:$110,94,0),0)*(1-BC$309)</f>
        <v>0</v>
      </c>
      <c r="BD191" s="1240">
        <f>+IFERROR(HLOOKUP(BD24,'סקרי נכסים-יתרות פתיחה'!$2:$110,35,0),0)-IFERROR(HLOOKUP(BD24,'סקרי נכסים-יתרות פתיחה'!$2:$110,94,0),0)*(1-BD$309)</f>
        <v>0</v>
      </c>
      <c r="BE191" s="1240">
        <f>+IFERROR(HLOOKUP(BE24,'סקרי נכסים-יתרות פתיחה'!$2:$110,35,0),0)-IFERROR(HLOOKUP(BE24,'סקרי נכסים-יתרות פתיחה'!$2:$110,94,0),0)*(1-BE$309)</f>
        <v>0</v>
      </c>
      <c r="BF191" s="1240">
        <f>+IFERROR(HLOOKUP(BF24,'סקרי נכסים-יתרות פתיחה'!$2:$110,35,0),0)-IFERROR(HLOOKUP(BF24,'סקרי נכסים-יתרות פתיחה'!$2:$110,94,0),0)*(1-BF$309)</f>
        <v>0</v>
      </c>
    </row>
    <row r="192" spans="2:58" x14ac:dyDescent="0.2">
      <c r="B192" s="1">
        <v>22</v>
      </c>
      <c r="C192" s="1240">
        <f>+IFERROR(HLOOKUP(C25,'סקרי נכסים-יתרות פתיחה'!$2:$110,35,0),0)-IFERROR(HLOOKUP(C25,'סקרי נכסים-יתרות פתיחה'!$2:$110,94,0),0)*(1-C$309)</f>
        <v>0</v>
      </c>
      <c r="D192" s="1240">
        <f>+IFERROR(HLOOKUP(D25,'סקרי נכסים-יתרות פתיחה'!$2:$110,35,0),0)-IFERROR(HLOOKUP(D25,'סקרי נכסים-יתרות פתיחה'!$2:$110,94,0),0)*(1-D$309)</f>
        <v>0</v>
      </c>
      <c r="E192" s="1240">
        <f>+IFERROR(HLOOKUP(E25,'סקרי נכסים-יתרות פתיחה'!$2:$110,35,0),0)-IFERROR(HLOOKUP(E25,'סקרי נכסים-יתרות פתיחה'!$2:$110,94,0),0)*(1-E$309)</f>
        <v>0</v>
      </c>
      <c r="F192" s="1240">
        <f>+IFERROR(HLOOKUP(F25,'סקרי נכסים-יתרות פתיחה'!$2:$110,35,0),0)-IFERROR(HLOOKUP(F25,'סקרי נכסים-יתרות פתיחה'!$2:$110,94,0),0)*(1-F$309)</f>
        <v>0</v>
      </c>
      <c r="G192" s="1240">
        <f>+IFERROR(HLOOKUP(G25,'סקרי נכסים-יתרות פתיחה'!$2:$110,35,0),0)-IFERROR(HLOOKUP(G25,'סקרי נכסים-יתרות פתיחה'!$2:$110,94,0),0)*(1-G$309)</f>
        <v>0</v>
      </c>
      <c r="H192" s="1240">
        <f>+IFERROR(HLOOKUP(H25,'סקרי נכסים-יתרות פתיחה'!$2:$110,35,0),0)-IFERROR(HLOOKUP(H25,'סקרי נכסים-יתרות פתיחה'!$2:$110,94,0),0)*(1-H$309)</f>
        <v>0</v>
      </c>
      <c r="I192" s="1240">
        <f>+IFERROR(HLOOKUP(I25,'סקרי נכסים-יתרות פתיחה'!$2:$110,35,0),0)-IFERROR(HLOOKUP(I25,'סקרי נכסים-יתרות פתיחה'!$2:$110,94,0),0)*(1-I$309)</f>
        <v>0</v>
      </c>
      <c r="J192" s="1240">
        <f>+IFERROR(HLOOKUP(J25,'סקרי נכסים-יתרות פתיחה'!$2:$110,35,0),0)-IFERROR(HLOOKUP(J25,'סקרי נכסים-יתרות פתיחה'!$2:$110,94,0),0)*(1-J$309)</f>
        <v>0</v>
      </c>
      <c r="K192" s="1240">
        <f>+IFERROR(HLOOKUP(K25,'סקרי נכסים-יתרות פתיחה'!$2:$110,35,0),0)-IFERROR(HLOOKUP(K25,'סקרי נכסים-יתרות פתיחה'!$2:$110,94,0),0)*(1-K$309)</f>
        <v>0</v>
      </c>
      <c r="L192" s="1240">
        <f>+IFERROR(HLOOKUP(L25,'סקרי נכסים-יתרות פתיחה'!$2:$110,35,0),0)-IFERROR(HLOOKUP(L25,'סקרי נכסים-יתרות פתיחה'!$2:$110,94,0),0)*(1-L$309)</f>
        <v>0</v>
      </c>
      <c r="M192" s="1240">
        <f>+IFERROR(HLOOKUP(M25,'סקרי נכסים-יתרות פתיחה'!$2:$110,35,0),0)-IFERROR(HLOOKUP(M25,'סקרי נכסים-יתרות פתיחה'!$2:$110,94,0),0)*(1-M$309)</f>
        <v>0</v>
      </c>
      <c r="N192" s="1240">
        <f>+IFERROR(HLOOKUP(N25,'סקרי נכסים-יתרות פתיחה'!$2:$110,35,0),0)-IFERROR(HLOOKUP(N25,'סקרי נכסים-יתרות פתיחה'!$2:$110,94,0),0)*(1-N$309)</f>
        <v>0</v>
      </c>
      <c r="O192" s="1240">
        <f>+IFERROR(HLOOKUP(O25,'סקרי נכסים-יתרות פתיחה'!$2:$110,35,0),0)-IFERROR(HLOOKUP(O25,'סקרי נכסים-יתרות פתיחה'!$2:$110,94,0),0)*(1-O$309)</f>
        <v>0</v>
      </c>
      <c r="P192" s="1240">
        <f>+IFERROR(HLOOKUP(P25,'סקרי נכסים-יתרות פתיחה'!$2:$110,35,0),0)-IFERROR(HLOOKUP(P25,'סקרי נכסים-יתרות פתיחה'!$2:$110,94,0),0)*(1-P$309)</f>
        <v>0</v>
      </c>
      <c r="Q192" s="1240">
        <f>+IFERROR(HLOOKUP(Q25,'סקרי נכסים-יתרות פתיחה'!$2:$110,35,0),0)-IFERROR(HLOOKUP(Q25,'סקרי נכסים-יתרות פתיחה'!$2:$110,94,0),0)*(1-Q$309)</f>
        <v>0</v>
      </c>
      <c r="R192" s="1240">
        <f>+IFERROR(HLOOKUP(R25,'סקרי נכסים-יתרות פתיחה'!$2:$110,35,0),0)-IFERROR(HLOOKUP(R25,'סקרי נכסים-יתרות פתיחה'!$2:$110,94,0),0)*(1-R$309)</f>
        <v>0</v>
      </c>
      <c r="S192" s="1240">
        <f>+IFERROR(HLOOKUP(S25,'סקרי נכסים-יתרות פתיחה'!$2:$110,35,0),0)-IFERROR(HLOOKUP(S25,'סקרי נכסים-יתרות פתיחה'!$2:$110,94,0),0)*(1-S$309)</f>
        <v>0</v>
      </c>
      <c r="T192" s="1240">
        <f>+IFERROR(HLOOKUP(T25,'סקרי נכסים-יתרות פתיחה'!$2:$110,35,0),0)-IFERROR(HLOOKUP(T25,'סקרי נכסים-יתרות פתיחה'!$2:$110,94,0),0)*(1-T$309)</f>
        <v>0</v>
      </c>
      <c r="U192" s="1240">
        <f>+IFERROR(HLOOKUP(U25,'סקרי נכסים-יתרות פתיחה'!$2:$110,35,0),0)-IFERROR(HLOOKUP(U25,'סקרי נכסים-יתרות פתיחה'!$2:$110,94,0),0)*(1-U$309)</f>
        <v>0</v>
      </c>
      <c r="V192" s="1240">
        <f>+IFERROR(HLOOKUP(V25,'סקרי נכסים-יתרות פתיחה'!$2:$110,35,0),0)-IFERROR(HLOOKUP(V25,'סקרי נכסים-יתרות פתיחה'!$2:$110,94,0),0)*(1-V$309)</f>
        <v>0</v>
      </c>
      <c r="W192" s="1240">
        <f>+IFERROR(HLOOKUP(W25,'סקרי נכסים-יתרות פתיחה'!$2:$110,35,0),0)-IFERROR(HLOOKUP(W25,'סקרי נכסים-יתרות פתיחה'!$2:$110,94,0),0)*(1-W$309)</f>
        <v>0</v>
      </c>
      <c r="X192" s="1240">
        <f>+IFERROR(HLOOKUP(X25,'סקרי נכסים-יתרות פתיחה'!$2:$110,35,0),0)-IFERROR(HLOOKUP(X25,'סקרי נכסים-יתרות פתיחה'!$2:$110,94,0),0)*(1-X$309)</f>
        <v>0</v>
      </c>
      <c r="Y192" s="1240">
        <f>+IFERROR(HLOOKUP(Y25,'סקרי נכסים-יתרות פתיחה'!$2:$110,35,0),0)-IFERROR(HLOOKUP(Y25,'סקרי נכסים-יתרות פתיחה'!$2:$110,94,0),0)*(1-Y$309)</f>
        <v>0</v>
      </c>
      <c r="Z192" s="1240">
        <f>+IFERROR(HLOOKUP(Z25,'סקרי נכסים-יתרות פתיחה'!$2:$110,35,0),0)-IFERROR(HLOOKUP(Z25,'סקרי נכסים-יתרות פתיחה'!$2:$110,94,0),0)*(1-Z$309)</f>
        <v>0</v>
      </c>
      <c r="AA192" s="1240">
        <f>+IFERROR(HLOOKUP(AA25,'סקרי נכסים-יתרות פתיחה'!$2:$110,35,0),0)-IFERROR(HLOOKUP(AA25,'סקרי נכסים-יתרות פתיחה'!$2:$110,94,0),0)*(1-AA$309)</f>
        <v>0</v>
      </c>
      <c r="AB192" s="1240">
        <f>+IFERROR(HLOOKUP(AB25,'סקרי נכסים-יתרות פתיחה'!$2:$110,35,0),0)-IFERROR(HLOOKUP(AB25,'סקרי נכסים-יתרות פתיחה'!$2:$110,94,0),0)*(1-AB$309)</f>
        <v>0</v>
      </c>
      <c r="AC192" s="1240">
        <f>+IFERROR(HLOOKUP(AC25,'סקרי נכסים-יתרות פתיחה'!$2:$110,35,0),0)-IFERROR(HLOOKUP(AC25,'סקרי נכסים-יתרות פתיחה'!$2:$110,94,0),0)*(1-AC$309)</f>
        <v>0</v>
      </c>
      <c r="AD192" s="1240">
        <f>+IFERROR(HLOOKUP(AD25,'סקרי נכסים-יתרות פתיחה'!$2:$110,35,0),0)-IFERROR(HLOOKUP(AD25,'סקרי נכסים-יתרות פתיחה'!$2:$110,94,0),0)*(1-AD$309)</f>
        <v>0</v>
      </c>
      <c r="AE192" s="1240">
        <f>+IFERROR(HLOOKUP(AE25,'סקרי נכסים-יתרות פתיחה'!$2:$110,35,0),0)-IFERROR(HLOOKUP(AE25,'סקרי נכסים-יתרות פתיחה'!$2:$110,94,0),0)*(1-AE$309)</f>
        <v>0</v>
      </c>
      <c r="AF192" s="1240">
        <f>+IFERROR(HLOOKUP(AF25,'סקרי נכסים-יתרות פתיחה'!$2:$110,35,0),0)-IFERROR(HLOOKUP(AF25,'סקרי נכסים-יתרות פתיחה'!$2:$110,94,0),0)*(1-AF$309)</f>
        <v>0</v>
      </c>
      <c r="AG192" s="1240">
        <f>+IFERROR(HLOOKUP(AG25,'סקרי נכסים-יתרות פתיחה'!$2:$110,35,0),0)-IFERROR(HLOOKUP(AG25,'סקרי נכסים-יתרות פתיחה'!$2:$110,94,0),0)*(1-AG$309)</f>
        <v>0</v>
      </c>
      <c r="AH192" s="1240">
        <f>+IFERROR(HLOOKUP(AH25,'סקרי נכסים-יתרות פתיחה'!$2:$110,35,0),0)-IFERROR(HLOOKUP(AH25,'סקרי נכסים-יתרות פתיחה'!$2:$110,94,0),0)*(1-AH$309)</f>
        <v>0</v>
      </c>
      <c r="AI192" s="1240">
        <f>+IFERROR(HLOOKUP(AI25,'סקרי נכסים-יתרות פתיחה'!$2:$110,35,0),0)-IFERROR(HLOOKUP(AI25,'סקרי נכסים-יתרות פתיחה'!$2:$110,94,0),0)*(1-AI$309)</f>
        <v>0</v>
      </c>
      <c r="AJ192" s="1240">
        <f>+IFERROR(HLOOKUP(AJ25,'סקרי נכסים-יתרות פתיחה'!$2:$110,35,0),0)-IFERROR(HLOOKUP(AJ25,'סקרי נכסים-יתרות פתיחה'!$2:$110,94,0),0)*(1-AJ$309)</f>
        <v>0</v>
      </c>
      <c r="AK192" s="1240">
        <f>+IFERROR(HLOOKUP(AK25,'סקרי נכסים-יתרות פתיחה'!$2:$110,35,0),0)-IFERROR(HLOOKUP(AK25,'סקרי נכסים-יתרות פתיחה'!$2:$110,94,0),0)*(1-AK$309)</f>
        <v>0</v>
      </c>
      <c r="AL192" s="1240">
        <f>+IFERROR(HLOOKUP(AL25,'סקרי נכסים-יתרות פתיחה'!$2:$110,35,0),0)-IFERROR(HLOOKUP(AL25,'סקרי נכסים-יתרות פתיחה'!$2:$110,94,0),0)*(1-AL$309)</f>
        <v>0</v>
      </c>
      <c r="AM192" s="1240">
        <f>+IFERROR(HLOOKUP(AM25,'סקרי נכסים-יתרות פתיחה'!$2:$110,35,0),0)-IFERROR(HLOOKUP(AM25,'סקרי נכסים-יתרות פתיחה'!$2:$110,94,0),0)*(1-AM$309)</f>
        <v>0</v>
      </c>
      <c r="AN192" s="1240">
        <f>+IFERROR(HLOOKUP(AN25,'סקרי נכסים-יתרות פתיחה'!$2:$110,35,0),0)-IFERROR(HLOOKUP(AN25,'סקרי נכסים-יתרות פתיחה'!$2:$110,94,0),0)*(1-AN$309)</f>
        <v>0</v>
      </c>
      <c r="AO192" s="1240">
        <f>+IFERROR(HLOOKUP(AO25,'סקרי נכסים-יתרות פתיחה'!$2:$110,35,0),0)-IFERROR(HLOOKUP(AO25,'סקרי נכסים-יתרות פתיחה'!$2:$110,94,0),0)*(1-AO$309)</f>
        <v>0</v>
      </c>
      <c r="AP192" s="1240">
        <f>+IFERROR(HLOOKUP(AP25,'סקרי נכסים-יתרות פתיחה'!$2:$110,35,0),0)-IFERROR(HLOOKUP(AP25,'סקרי נכסים-יתרות פתיחה'!$2:$110,94,0),0)*(1-AP$309)</f>
        <v>0</v>
      </c>
      <c r="AQ192" s="1240">
        <f>+IFERROR(HLOOKUP(AQ25,'סקרי נכסים-יתרות פתיחה'!$2:$110,35,0),0)-IFERROR(HLOOKUP(AQ25,'סקרי נכסים-יתרות פתיחה'!$2:$110,94,0),0)*(1-AQ$309)</f>
        <v>0</v>
      </c>
      <c r="AR192" s="1240">
        <f>+IFERROR(HLOOKUP(AR25,'סקרי נכסים-יתרות פתיחה'!$2:$110,35,0),0)-IFERROR(HLOOKUP(AR25,'סקרי נכסים-יתרות פתיחה'!$2:$110,94,0),0)*(1-AR$309)</f>
        <v>0</v>
      </c>
      <c r="AS192" s="1240">
        <f>+IFERROR(HLOOKUP(AS25,'סקרי נכסים-יתרות פתיחה'!$2:$110,35,0),0)-IFERROR(HLOOKUP(AS25,'סקרי נכסים-יתרות פתיחה'!$2:$110,94,0),0)*(1-AS$309)</f>
        <v>0</v>
      </c>
      <c r="AT192" s="1240">
        <f>+IFERROR(HLOOKUP(AT25,'סקרי נכסים-יתרות פתיחה'!$2:$110,35,0),0)-IFERROR(HLOOKUP(AT25,'סקרי נכסים-יתרות פתיחה'!$2:$110,94,0),0)*(1-AT$309)</f>
        <v>0</v>
      </c>
      <c r="AU192" s="1240">
        <f>+IFERROR(HLOOKUP(AU25,'סקרי נכסים-יתרות פתיחה'!$2:$110,35,0),0)-IFERROR(HLOOKUP(AU25,'סקרי נכסים-יתרות פתיחה'!$2:$110,94,0),0)*(1-AU$309)</f>
        <v>0</v>
      </c>
      <c r="AV192" s="1240">
        <f>+IFERROR(HLOOKUP(AV25,'סקרי נכסים-יתרות פתיחה'!$2:$110,35,0),0)-IFERROR(HLOOKUP(AV25,'סקרי נכסים-יתרות פתיחה'!$2:$110,94,0),0)*(1-AV$309)</f>
        <v>0</v>
      </c>
      <c r="AW192" s="1240">
        <f>+IFERROR(HLOOKUP(AW25,'סקרי נכסים-יתרות פתיחה'!$2:$110,35,0),0)-IFERROR(HLOOKUP(AW25,'סקרי נכסים-יתרות פתיחה'!$2:$110,94,0),0)*(1-AW$309)</f>
        <v>0</v>
      </c>
      <c r="AX192" s="1240">
        <f>+IFERROR(HLOOKUP(AX25,'סקרי נכסים-יתרות פתיחה'!$2:$110,35,0),0)-IFERROR(HLOOKUP(AX25,'סקרי נכסים-יתרות פתיחה'!$2:$110,94,0),0)*(1-AX$309)</f>
        <v>0</v>
      </c>
      <c r="AY192" s="1240">
        <f>+IFERROR(HLOOKUP(AY25,'סקרי נכסים-יתרות פתיחה'!$2:$110,35,0),0)-IFERROR(HLOOKUP(AY25,'סקרי נכסים-יתרות פתיחה'!$2:$110,94,0),0)*(1-AY$309)</f>
        <v>0</v>
      </c>
      <c r="AZ192" s="1240">
        <f>+IFERROR(HLOOKUP(AZ25,'סקרי נכסים-יתרות פתיחה'!$2:$110,35,0),0)-IFERROR(HLOOKUP(AZ25,'סקרי נכסים-יתרות פתיחה'!$2:$110,94,0),0)*(1-AZ$309)</f>
        <v>0</v>
      </c>
      <c r="BA192" s="1240">
        <f>+IFERROR(HLOOKUP(BA25,'סקרי נכסים-יתרות פתיחה'!$2:$110,35,0),0)-IFERROR(HLOOKUP(BA25,'סקרי נכסים-יתרות פתיחה'!$2:$110,94,0),0)*(1-BA$309)</f>
        <v>0</v>
      </c>
      <c r="BB192" s="1240">
        <f>+IFERROR(HLOOKUP(BB25,'סקרי נכסים-יתרות פתיחה'!$2:$110,35,0),0)-IFERROR(HLOOKUP(BB25,'סקרי נכסים-יתרות פתיחה'!$2:$110,94,0),0)*(1-BB$309)</f>
        <v>0</v>
      </c>
      <c r="BC192" s="1240">
        <f>+IFERROR(HLOOKUP(BC25,'סקרי נכסים-יתרות פתיחה'!$2:$110,35,0),0)-IFERROR(HLOOKUP(BC25,'סקרי נכסים-יתרות פתיחה'!$2:$110,94,0),0)*(1-BC$309)</f>
        <v>0</v>
      </c>
      <c r="BD192" s="1240">
        <f>+IFERROR(HLOOKUP(BD25,'סקרי נכסים-יתרות פתיחה'!$2:$110,35,0),0)-IFERROR(HLOOKUP(BD25,'סקרי נכסים-יתרות פתיחה'!$2:$110,94,0),0)*(1-BD$309)</f>
        <v>0</v>
      </c>
      <c r="BE192" s="1240">
        <f>+IFERROR(HLOOKUP(BE25,'סקרי נכסים-יתרות פתיחה'!$2:$110,35,0),0)-IFERROR(HLOOKUP(BE25,'סקרי נכסים-יתרות פתיחה'!$2:$110,94,0),0)*(1-BE$309)</f>
        <v>0</v>
      </c>
      <c r="BF192" s="1240">
        <f>+IFERROR(HLOOKUP(BF25,'סקרי נכסים-יתרות פתיחה'!$2:$110,35,0),0)-IFERROR(HLOOKUP(BF25,'סקרי נכסים-יתרות פתיחה'!$2:$110,94,0),0)*(1-BF$309)</f>
        <v>0</v>
      </c>
    </row>
    <row r="193" spans="1:58" x14ac:dyDescent="0.2">
      <c r="B193" s="1">
        <v>23</v>
      </c>
      <c r="C193" s="1240">
        <f>+IFERROR(HLOOKUP(C26,'סקרי נכסים-יתרות פתיחה'!$2:$110,35,0),0)-IFERROR(HLOOKUP(C26,'סקרי נכסים-יתרות פתיחה'!$2:$110,94,0),0)*(1-C$309)</f>
        <v>0</v>
      </c>
      <c r="D193" s="1240">
        <f>+IFERROR(HLOOKUP(D26,'סקרי נכסים-יתרות פתיחה'!$2:$110,35,0),0)-IFERROR(HLOOKUP(D26,'סקרי נכסים-יתרות פתיחה'!$2:$110,94,0),0)*(1-D$309)</f>
        <v>0</v>
      </c>
      <c r="E193" s="1240">
        <f>+IFERROR(HLOOKUP(E26,'סקרי נכסים-יתרות פתיחה'!$2:$110,35,0),0)-IFERROR(HLOOKUP(E26,'סקרי נכסים-יתרות פתיחה'!$2:$110,94,0),0)*(1-E$309)</f>
        <v>0</v>
      </c>
      <c r="F193" s="1240">
        <f>+IFERROR(HLOOKUP(F26,'סקרי נכסים-יתרות פתיחה'!$2:$110,35,0),0)-IFERROR(HLOOKUP(F26,'סקרי נכסים-יתרות פתיחה'!$2:$110,94,0),0)*(1-F$309)</f>
        <v>0</v>
      </c>
      <c r="G193" s="1240">
        <f>+IFERROR(HLOOKUP(G26,'סקרי נכסים-יתרות פתיחה'!$2:$110,35,0),0)-IFERROR(HLOOKUP(G26,'סקרי נכסים-יתרות פתיחה'!$2:$110,94,0),0)*(1-G$309)</f>
        <v>0</v>
      </c>
      <c r="H193" s="1240">
        <f>+IFERROR(HLOOKUP(H26,'סקרי נכסים-יתרות פתיחה'!$2:$110,35,0),0)-IFERROR(HLOOKUP(H26,'סקרי נכסים-יתרות פתיחה'!$2:$110,94,0),0)*(1-H$309)</f>
        <v>0</v>
      </c>
      <c r="I193" s="1240">
        <f>+IFERROR(HLOOKUP(I26,'סקרי נכסים-יתרות פתיחה'!$2:$110,35,0),0)-IFERROR(HLOOKUP(I26,'סקרי נכסים-יתרות פתיחה'!$2:$110,94,0),0)*(1-I$309)</f>
        <v>0</v>
      </c>
      <c r="J193" s="1240">
        <f>+IFERROR(HLOOKUP(J26,'סקרי נכסים-יתרות פתיחה'!$2:$110,35,0),0)-IFERROR(HLOOKUP(J26,'סקרי נכסים-יתרות פתיחה'!$2:$110,94,0),0)*(1-J$309)</f>
        <v>0</v>
      </c>
      <c r="K193" s="1240">
        <f>+IFERROR(HLOOKUP(K26,'סקרי נכסים-יתרות פתיחה'!$2:$110,35,0),0)-IFERROR(HLOOKUP(K26,'סקרי נכסים-יתרות פתיחה'!$2:$110,94,0),0)*(1-K$309)</f>
        <v>0</v>
      </c>
      <c r="L193" s="1240">
        <f>+IFERROR(HLOOKUP(L26,'סקרי נכסים-יתרות פתיחה'!$2:$110,35,0),0)-IFERROR(HLOOKUP(L26,'סקרי נכסים-יתרות פתיחה'!$2:$110,94,0),0)*(1-L$309)</f>
        <v>0</v>
      </c>
      <c r="M193" s="1240">
        <f>+IFERROR(HLOOKUP(M26,'סקרי נכסים-יתרות פתיחה'!$2:$110,35,0),0)-IFERROR(HLOOKUP(M26,'סקרי נכסים-יתרות פתיחה'!$2:$110,94,0),0)*(1-M$309)</f>
        <v>0</v>
      </c>
      <c r="N193" s="1240">
        <f>+IFERROR(HLOOKUP(N26,'סקרי נכסים-יתרות פתיחה'!$2:$110,35,0),0)-IFERROR(HLOOKUP(N26,'סקרי נכסים-יתרות פתיחה'!$2:$110,94,0),0)*(1-N$309)</f>
        <v>0</v>
      </c>
      <c r="O193" s="1240">
        <f>+IFERROR(HLOOKUP(O26,'סקרי נכסים-יתרות פתיחה'!$2:$110,35,0),0)-IFERROR(HLOOKUP(O26,'סקרי נכסים-יתרות פתיחה'!$2:$110,94,0),0)*(1-O$309)</f>
        <v>0</v>
      </c>
      <c r="P193" s="1240">
        <f>+IFERROR(HLOOKUP(P26,'סקרי נכסים-יתרות פתיחה'!$2:$110,35,0),0)-IFERROR(HLOOKUP(P26,'סקרי נכסים-יתרות פתיחה'!$2:$110,94,0),0)*(1-P$309)</f>
        <v>0</v>
      </c>
      <c r="Q193" s="1240">
        <f>+IFERROR(HLOOKUP(Q26,'סקרי נכסים-יתרות פתיחה'!$2:$110,35,0),0)-IFERROR(HLOOKUP(Q26,'סקרי נכסים-יתרות פתיחה'!$2:$110,94,0),0)*(1-Q$309)</f>
        <v>0</v>
      </c>
      <c r="R193" s="1240">
        <f>+IFERROR(HLOOKUP(R26,'סקרי נכסים-יתרות פתיחה'!$2:$110,35,0),0)-IFERROR(HLOOKUP(R26,'סקרי נכסים-יתרות פתיחה'!$2:$110,94,0),0)*(1-R$309)</f>
        <v>0</v>
      </c>
      <c r="S193" s="1240">
        <f>+IFERROR(HLOOKUP(S26,'סקרי נכסים-יתרות פתיחה'!$2:$110,35,0),0)-IFERROR(HLOOKUP(S26,'סקרי נכסים-יתרות פתיחה'!$2:$110,94,0),0)*(1-S$309)</f>
        <v>0</v>
      </c>
      <c r="T193" s="1240">
        <f>+IFERROR(HLOOKUP(T26,'סקרי נכסים-יתרות פתיחה'!$2:$110,35,0),0)-IFERROR(HLOOKUP(T26,'סקרי נכסים-יתרות פתיחה'!$2:$110,94,0),0)*(1-T$309)</f>
        <v>0</v>
      </c>
      <c r="U193" s="1240">
        <f>+IFERROR(HLOOKUP(U26,'סקרי נכסים-יתרות פתיחה'!$2:$110,35,0),0)-IFERROR(HLOOKUP(U26,'סקרי נכסים-יתרות פתיחה'!$2:$110,94,0),0)*(1-U$309)</f>
        <v>0</v>
      </c>
      <c r="V193" s="1240">
        <f>+IFERROR(HLOOKUP(V26,'סקרי נכסים-יתרות פתיחה'!$2:$110,35,0),0)-IFERROR(HLOOKUP(V26,'סקרי נכסים-יתרות פתיחה'!$2:$110,94,0),0)*(1-V$309)</f>
        <v>0</v>
      </c>
      <c r="W193" s="1240">
        <f>+IFERROR(HLOOKUP(W26,'סקרי נכסים-יתרות פתיחה'!$2:$110,35,0),0)-IFERROR(HLOOKUP(W26,'סקרי נכסים-יתרות פתיחה'!$2:$110,94,0),0)*(1-W$309)</f>
        <v>0</v>
      </c>
      <c r="X193" s="1240">
        <f>+IFERROR(HLOOKUP(X26,'סקרי נכסים-יתרות פתיחה'!$2:$110,35,0),0)-IFERROR(HLOOKUP(X26,'סקרי נכסים-יתרות פתיחה'!$2:$110,94,0),0)*(1-X$309)</f>
        <v>0</v>
      </c>
      <c r="Y193" s="1240">
        <f>+IFERROR(HLOOKUP(Y26,'סקרי נכסים-יתרות פתיחה'!$2:$110,35,0),0)-IFERROR(HLOOKUP(Y26,'סקרי נכסים-יתרות פתיחה'!$2:$110,94,0),0)*(1-Y$309)</f>
        <v>0</v>
      </c>
      <c r="Z193" s="1240">
        <f>+IFERROR(HLOOKUP(Z26,'סקרי נכסים-יתרות פתיחה'!$2:$110,35,0),0)-IFERROR(HLOOKUP(Z26,'סקרי נכסים-יתרות פתיחה'!$2:$110,94,0),0)*(1-Z$309)</f>
        <v>0</v>
      </c>
      <c r="AA193" s="1240">
        <f>+IFERROR(HLOOKUP(AA26,'סקרי נכסים-יתרות פתיחה'!$2:$110,35,0),0)-IFERROR(HLOOKUP(AA26,'סקרי נכסים-יתרות פתיחה'!$2:$110,94,0),0)*(1-AA$309)</f>
        <v>0</v>
      </c>
      <c r="AB193" s="1240">
        <f>+IFERROR(HLOOKUP(AB26,'סקרי נכסים-יתרות פתיחה'!$2:$110,35,0),0)-IFERROR(HLOOKUP(AB26,'סקרי נכסים-יתרות פתיחה'!$2:$110,94,0),0)*(1-AB$309)</f>
        <v>0</v>
      </c>
      <c r="AC193" s="1240">
        <f>+IFERROR(HLOOKUP(AC26,'סקרי נכסים-יתרות פתיחה'!$2:$110,35,0),0)-IFERROR(HLOOKUP(AC26,'סקרי נכסים-יתרות פתיחה'!$2:$110,94,0),0)*(1-AC$309)</f>
        <v>0</v>
      </c>
      <c r="AD193" s="1240">
        <f>+IFERROR(HLOOKUP(AD26,'סקרי נכסים-יתרות פתיחה'!$2:$110,35,0),0)-IFERROR(HLOOKUP(AD26,'סקרי נכסים-יתרות פתיחה'!$2:$110,94,0),0)*(1-AD$309)</f>
        <v>0</v>
      </c>
      <c r="AE193" s="1240">
        <f>+IFERROR(HLOOKUP(AE26,'סקרי נכסים-יתרות פתיחה'!$2:$110,35,0),0)-IFERROR(HLOOKUP(AE26,'סקרי נכסים-יתרות פתיחה'!$2:$110,94,0),0)*(1-AE$309)</f>
        <v>0</v>
      </c>
      <c r="AF193" s="1240">
        <f>+IFERROR(HLOOKUP(AF26,'סקרי נכסים-יתרות פתיחה'!$2:$110,35,0),0)-IFERROR(HLOOKUP(AF26,'סקרי נכסים-יתרות פתיחה'!$2:$110,94,0),0)*(1-AF$309)</f>
        <v>0</v>
      </c>
      <c r="AG193" s="1240">
        <f>+IFERROR(HLOOKUP(AG26,'סקרי נכסים-יתרות פתיחה'!$2:$110,35,0),0)-IFERROR(HLOOKUP(AG26,'סקרי נכסים-יתרות פתיחה'!$2:$110,94,0),0)*(1-AG$309)</f>
        <v>0</v>
      </c>
      <c r="AH193" s="1240">
        <f>+IFERROR(HLOOKUP(AH26,'סקרי נכסים-יתרות פתיחה'!$2:$110,35,0),0)-IFERROR(HLOOKUP(AH26,'סקרי נכסים-יתרות פתיחה'!$2:$110,94,0),0)*(1-AH$309)</f>
        <v>0</v>
      </c>
      <c r="AI193" s="1240">
        <f>+IFERROR(HLOOKUP(AI26,'סקרי נכסים-יתרות פתיחה'!$2:$110,35,0),0)-IFERROR(HLOOKUP(AI26,'סקרי נכסים-יתרות פתיחה'!$2:$110,94,0),0)*(1-AI$309)</f>
        <v>0</v>
      </c>
      <c r="AJ193" s="1240">
        <f>+IFERROR(HLOOKUP(AJ26,'סקרי נכסים-יתרות פתיחה'!$2:$110,35,0),0)-IFERROR(HLOOKUP(AJ26,'סקרי נכסים-יתרות פתיחה'!$2:$110,94,0),0)*(1-AJ$309)</f>
        <v>0</v>
      </c>
      <c r="AK193" s="1240">
        <f>+IFERROR(HLOOKUP(AK26,'סקרי נכסים-יתרות פתיחה'!$2:$110,35,0),0)-IFERROR(HLOOKUP(AK26,'סקרי נכסים-יתרות פתיחה'!$2:$110,94,0),0)*(1-AK$309)</f>
        <v>0</v>
      </c>
      <c r="AL193" s="1240">
        <f>+IFERROR(HLOOKUP(AL26,'סקרי נכסים-יתרות פתיחה'!$2:$110,35,0),0)-IFERROR(HLOOKUP(AL26,'סקרי נכסים-יתרות פתיחה'!$2:$110,94,0),0)*(1-AL$309)</f>
        <v>0</v>
      </c>
      <c r="AM193" s="1240">
        <f>+IFERROR(HLOOKUP(AM26,'סקרי נכסים-יתרות פתיחה'!$2:$110,35,0),0)-IFERROR(HLOOKUP(AM26,'סקרי נכסים-יתרות פתיחה'!$2:$110,94,0),0)*(1-AM$309)</f>
        <v>0</v>
      </c>
      <c r="AN193" s="1240">
        <f>+IFERROR(HLOOKUP(AN26,'סקרי נכסים-יתרות פתיחה'!$2:$110,35,0),0)-IFERROR(HLOOKUP(AN26,'סקרי נכסים-יתרות פתיחה'!$2:$110,94,0),0)*(1-AN$309)</f>
        <v>0</v>
      </c>
      <c r="AO193" s="1240">
        <f>+IFERROR(HLOOKUP(AO26,'סקרי נכסים-יתרות פתיחה'!$2:$110,35,0),0)-IFERROR(HLOOKUP(AO26,'סקרי נכסים-יתרות פתיחה'!$2:$110,94,0),0)*(1-AO$309)</f>
        <v>0</v>
      </c>
      <c r="AP193" s="1240">
        <f>+IFERROR(HLOOKUP(AP26,'סקרי נכסים-יתרות פתיחה'!$2:$110,35,0),0)-IFERROR(HLOOKUP(AP26,'סקרי נכסים-יתרות פתיחה'!$2:$110,94,0),0)*(1-AP$309)</f>
        <v>0</v>
      </c>
      <c r="AQ193" s="1240">
        <f>+IFERROR(HLOOKUP(AQ26,'סקרי נכסים-יתרות פתיחה'!$2:$110,35,0),0)-IFERROR(HLOOKUP(AQ26,'סקרי נכסים-יתרות פתיחה'!$2:$110,94,0),0)*(1-AQ$309)</f>
        <v>0</v>
      </c>
      <c r="AR193" s="1240">
        <f>+IFERROR(HLOOKUP(AR26,'סקרי נכסים-יתרות פתיחה'!$2:$110,35,0),0)-IFERROR(HLOOKUP(AR26,'סקרי נכסים-יתרות פתיחה'!$2:$110,94,0),0)*(1-AR$309)</f>
        <v>0</v>
      </c>
      <c r="AS193" s="1240">
        <f>+IFERROR(HLOOKUP(AS26,'סקרי נכסים-יתרות פתיחה'!$2:$110,35,0),0)-IFERROR(HLOOKUP(AS26,'סקרי נכסים-יתרות פתיחה'!$2:$110,94,0),0)*(1-AS$309)</f>
        <v>0</v>
      </c>
      <c r="AT193" s="1240">
        <f>+IFERROR(HLOOKUP(AT26,'סקרי נכסים-יתרות פתיחה'!$2:$110,35,0),0)-IFERROR(HLOOKUP(AT26,'סקרי נכסים-יתרות פתיחה'!$2:$110,94,0),0)*(1-AT$309)</f>
        <v>0</v>
      </c>
      <c r="AU193" s="1240">
        <f>+IFERROR(HLOOKUP(AU26,'סקרי נכסים-יתרות פתיחה'!$2:$110,35,0),0)-IFERROR(HLOOKUP(AU26,'סקרי נכסים-יתרות פתיחה'!$2:$110,94,0),0)*(1-AU$309)</f>
        <v>0</v>
      </c>
      <c r="AV193" s="1240">
        <f>+IFERROR(HLOOKUP(AV26,'סקרי נכסים-יתרות פתיחה'!$2:$110,35,0),0)-IFERROR(HLOOKUP(AV26,'סקרי נכסים-יתרות פתיחה'!$2:$110,94,0),0)*(1-AV$309)</f>
        <v>0</v>
      </c>
      <c r="AW193" s="1240">
        <f>+IFERROR(HLOOKUP(AW26,'סקרי נכסים-יתרות פתיחה'!$2:$110,35,0),0)-IFERROR(HLOOKUP(AW26,'סקרי נכסים-יתרות פתיחה'!$2:$110,94,0),0)*(1-AW$309)</f>
        <v>0</v>
      </c>
      <c r="AX193" s="1240">
        <f>+IFERROR(HLOOKUP(AX26,'סקרי נכסים-יתרות פתיחה'!$2:$110,35,0),0)-IFERROR(HLOOKUP(AX26,'סקרי נכסים-יתרות פתיחה'!$2:$110,94,0),0)*(1-AX$309)</f>
        <v>0</v>
      </c>
      <c r="AY193" s="1240">
        <f>+IFERROR(HLOOKUP(AY26,'סקרי נכסים-יתרות פתיחה'!$2:$110,35,0),0)-IFERROR(HLOOKUP(AY26,'סקרי נכסים-יתרות פתיחה'!$2:$110,94,0),0)*(1-AY$309)</f>
        <v>0</v>
      </c>
      <c r="AZ193" s="1240">
        <f>+IFERROR(HLOOKUP(AZ26,'סקרי נכסים-יתרות פתיחה'!$2:$110,35,0),0)-IFERROR(HLOOKUP(AZ26,'סקרי נכסים-יתרות פתיחה'!$2:$110,94,0),0)*(1-AZ$309)</f>
        <v>0</v>
      </c>
      <c r="BA193" s="1240">
        <f>+IFERROR(HLOOKUP(BA26,'סקרי נכסים-יתרות פתיחה'!$2:$110,35,0),0)-IFERROR(HLOOKUP(BA26,'סקרי נכסים-יתרות פתיחה'!$2:$110,94,0),0)*(1-BA$309)</f>
        <v>0</v>
      </c>
      <c r="BB193" s="1240">
        <f>+IFERROR(HLOOKUP(BB26,'סקרי נכסים-יתרות פתיחה'!$2:$110,35,0),0)-IFERROR(HLOOKUP(BB26,'סקרי נכסים-יתרות פתיחה'!$2:$110,94,0),0)*(1-BB$309)</f>
        <v>0</v>
      </c>
      <c r="BC193" s="1240">
        <f>+IFERROR(HLOOKUP(BC26,'סקרי נכסים-יתרות פתיחה'!$2:$110,35,0),0)-IFERROR(HLOOKUP(BC26,'סקרי נכסים-יתרות פתיחה'!$2:$110,94,0),0)*(1-BC$309)</f>
        <v>0</v>
      </c>
      <c r="BD193" s="1240">
        <f>+IFERROR(HLOOKUP(BD26,'סקרי נכסים-יתרות פתיחה'!$2:$110,35,0),0)-IFERROR(HLOOKUP(BD26,'סקרי נכסים-יתרות פתיחה'!$2:$110,94,0),0)*(1-BD$309)</f>
        <v>0</v>
      </c>
      <c r="BE193" s="1240">
        <f>+IFERROR(HLOOKUP(BE26,'סקרי נכסים-יתרות פתיחה'!$2:$110,35,0),0)-IFERROR(HLOOKUP(BE26,'סקרי נכסים-יתרות פתיחה'!$2:$110,94,0),0)*(1-BE$309)</f>
        <v>0</v>
      </c>
      <c r="BF193" s="1240">
        <f>+IFERROR(HLOOKUP(BF26,'סקרי נכסים-יתרות פתיחה'!$2:$110,35,0),0)-IFERROR(HLOOKUP(BF26,'סקרי נכסים-יתרות פתיחה'!$2:$110,94,0),0)*(1-BF$309)</f>
        <v>0</v>
      </c>
    </row>
    <row r="194" spans="1:58" x14ac:dyDescent="0.2">
      <c r="B194" s="1">
        <v>24</v>
      </c>
      <c r="C194" s="1240">
        <f>+IFERROR(HLOOKUP(C27,'סקרי נכסים-יתרות פתיחה'!$2:$110,35,0),0)-IFERROR(HLOOKUP(C27,'סקרי נכסים-יתרות פתיחה'!$2:$110,94,0),0)*(1-C$309)</f>
        <v>0</v>
      </c>
      <c r="D194" s="1240">
        <f>+IFERROR(HLOOKUP(D27,'סקרי נכסים-יתרות פתיחה'!$2:$110,35,0),0)-IFERROR(HLOOKUP(D27,'סקרי נכסים-יתרות פתיחה'!$2:$110,94,0),0)*(1-D$309)</f>
        <v>0</v>
      </c>
      <c r="E194" s="1240">
        <f>+IFERROR(HLOOKUP(E27,'סקרי נכסים-יתרות פתיחה'!$2:$110,35,0),0)-IFERROR(HLOOKUP(E27,'סקרי נכסים-יתרות פתיחה'!$2:$110,94,0),0)*(1-E$309)</f>
        <v>0</v>
      </c>
      <c r="F194" s="1240">
        <f>+IFERROR(HLOOKUP(F27,'סקרי נכסים-יתרות פתיחה'!$2:$110,35,0),0)-IFERROR(HLOOKUP(F27,'סקרי נכסים-יתרות פתיחה'!$2:$110,94,0),0)*(1-F$309)</f>
        <v>0</v>
      </c>
      <c r="G194" s="1240">
        <f>+IFERROR(HLOOKUP(G27,'סקרי נכסים-יתרות פתיחה'!$2:$110,35,0),0)-IFERROR(HLOOKUP(G27,'סקרי נכסים-יתרות פתיחה'!$2:$110,94,0),0)*(1-G$309)</f>
        <v>0</v>
      </c>
      <c r="H194" s="1240">
        <f>+IFERROR(HLOOKUP(H27,'סקרי נכסים-יתרות פתיחה'!$2:$110,35,0),0)-IFERROR(HLOOKUP(H27,'סקרי נכסים-יתרות פתיחה'!$2:$110,94,0),0)*(1-H$309)</f>
        <v>0</v>
      </c>
      <c r="I194" s="1240">
        <f>+IFERROR(HLOOKUP(I27,'סקרי נכסים-יתרות פתיחה'!$2:$110,35,0),0)-IFERROR(HLOOKUP(I27,'סקרי נכסים-יתרות פתיחה'!$2:$110,94,0),0)*(1-I$309)</f>
        <v>0</v>
      </c>
      <c r="J194" s="1240">
        <f>+IFERROR(HLOOKUP(J27,'סקרי נכסים-יתרות פתיחה'!$2:$110,35,0),0)-IFERROR(HLOOKUP(J27,'סקרי נכסים-יתרות פתיחה'!$2:$110,94,0),0)*(1-J$309)</f>
        <v>0</v>
      </c>
      <c r="K194" s="1240">
        <f>+IFERROR(HLOOKUP(K27,'סקרי נכסים-יתרות פתיחה'!$2:$110,35,0),0)-IFERROR(HLOOKUP(K27,'סקרי נכסים-יתרות פתיחה'!$2:$110,94,0),0)*(1-K$309)</f>
        <v>0</v>
      </c>
      <c r="L194" s="1240">
        <f>+IFERROR(HLOOKUP(L27,'סקרי נכסים-יתרות פתיחה'!$2:$110,35,0),0)-IFERROR(HLOOKUP(L27,'סקרי נכסים-יתרות פתיחה'!$2:$110,94,0),0)*(1-L$309)</f>
        <v>0</v>
      </c>
      <c r="M194" s="1240">
        <f>+IFERROR(HLOOKUP(M27,'סקרי נכסים-יתרות פתיחה'!$2:$110,35,0),0)-IFERROR(HLOOKUP(M27,'סקרי נכסים-יתרות פתיחה'!$2:$110,94,0),0)*(1-M$309)</f>
        <v>0</v>
      </c>
      <c r="N194" s="1240">
        <f>+IFERROR(HLOOKUP(N27,'סקרי נכסים-יתרות פתיחה'!$2:$110,35,0),0)-IFERROR(HLOOKUP(N27,'סקרי נכסים-יתרות פתיחה'!$2:$110,94,0),0)*(1-N$309)</f>
        <v>0</v>
      </c>
      <c r="O194" s="1240">
        <f>+IFERROR(HLOOKUP(O27,'סקרי נכסים-יתרות פתיחה'!$2:$110,35,0),0)-IFERROR(HLOOKUP(O27,'סקרי נכסים-יתרות פתיחה'!$2:$110,94,0),0)*(1-O$309)</f>
        <v>0</v>
      </c>
      <c r="P194" s="1240">
        <f>+IFERROR(HLOOKUP(P27,'סקרי נכסים-יתרות פתיחה'!$2:$110,35,0),0)-IFERROR(HLOOKUP(P27,'סקרי נכסים-יתרות פתיחה'!$2:$110,94,0),0)*(1-P$309)</f>
        <v>0</v>
      </c>
      <c r="Q194" s="1240">
        <f>+IFERROR(HLOOKUP(Q27,'סקרי נכסים-יתרות פתיחה'!$2:$110,35,0),0)-IFERROR(HLOOKUP(Q27,'סקרי נכסים-יתרות פתיחה'!$2:$110,94,0),0)*(1-Q$309)</f>
        <v>0</v>
      </c>
      <c r="R194" s="1240">
        <f>+IFERROR(HLOOKUP(R27,'סקרי נכסים-יתרות פתיחה'!$2:$110,35,0),0)-IFERROR(HLOOKUP(R27,'סקרי נכסים-יתרות פתיחה'!$2:$110,94,0),0)*(1-R$309)</f>
        <v>0</v>
      </c>
      <c r="S194" s="1240">
        <f>+IFERROR(HLOOKUP(S27,'סקרי נכסים-יתרות פתיחה'!$2:$110,35,0),0)-IFERROR(HLOOKUP(S27,'סקרי נכסים-יתרות פתיחה'!$2:$110,94,0),0)*(1-S$309)</f>
        <v>0</v>
      </c>
      <c r="T194" s="1240">
        <f>+IFERROR(HLOOKUP(T27,'סקרי נכסים-יתרות פתיחה'!$2:$110,35,0),0)-IFERROR(HLOOKUP(T27,'סקרי נכסים-יתרות פתיחה'!$2:$110,94,0),0)*(1-T$309)</f>
        <v>0</v>
      </c>
      <c r="U194" s="1240">
        <f>+IFERROR(HLOOKUP(U27,'סקרי נכסים-יתרות פתיחה'!$2:$110,35,0),0)-IFERROR(HLOOKUP(U27,'סקרי נכסים-יתרות פתיחה'!$2:$110,94,0),0)*(1-U$309)</f>
        <v>0</v>
      </c>
      <c r="V194" s="1240">
        <f>+IFERROR(HLOOKUP(V27,'סקרי נכסים-יתרות פתיחה'!$2:$110,35,0),0)-IFERROR(HLOOKUP(V27,'סקרי נכסים-יתרות פתיחה'!$2:$110,94,0),0)*(1-V$309)</f>
        <v>0</v>
      </c>
      <c r="W194" s="1240">
        <f>+IFERROR(HLOOKUP(W27,'סקרי נכסים-יתרות פתיחה'!$2:$110,35,0),0)-IFERROR(HLOOKUP(W27,'סקרי נכסים-יתרות פתיחה'!$2:$110,94,0),0)*(1-W$309)</f>
        <v>0</v>
      </c>
      <c r="X194" s="1240">
        <f>+IFERROR(HLOOKUP(X27,'סקרי נכסים-יתרות פתיחה'!$2:$110,35,0),0)-IFERROR(HLOOKUP(X27,'סקרי נכסים-יתרות פתיחה'!$2:$110,94,0),0)*(1-X$309)</f>
        <v>0</v>
      </c>
      <c r="Y194" s="1240">
        <f>+IFERROR(HLOOKUP(Y27,'סקרי נכסים-יתרות פתיחה'!$2:$110,35,0),0)-IFERROR(HLOOKUP(Y27,'סקרי נכסים-יתרות פתיחה'!$2:$110,94,0),0)*(1-Y$309)</f>
        <v>0</v>
      </c>
      <c r="Z194" s="1240">
        <f>+IFERROR(HLOOKUP(Z27,'סקרי נכסים-יתרות פתיחה'!$2:$110,35,0),0)-IFERROR(HLOOKUP(Z27,'סקרי נכסים-יתרות פתיחה'!$2:$110,94,0),0)*(1-Z$309)</f>
        <v>0</v>
      </c>
      <c r="AA194" s="1240">
        <f>+IFERROR(HLOOKUP(AA27,'סקרי נכסים-יתרות פתיחה'!$2:$110,35,0),0)-IFERROR(HLOOKUP(AA27,'סקרי נכסים-יתרות פתיחה'!$2:$110,94,0),0)*(1-AA$309)</f>
        <v>0</v>
      </c>
      <c r="AB194" s="1240">
        <f>+IFERROR(HLOOKUP(AB27,'סקרי נכסים-יתרות פתיחה'!$2:$110,35,0),0)-IFERROR(HLOOKUP(AB27,'סקרי נכסים-יתרות פתיחה'!$2:$110,94,0),0)*(1-AB$309)</f>
        <v>0</v>
      </c>
      <c r="AC194" s="1240">
        <f>+IFERROR(HLOOKUP(AC27,'סקרי נכסים-יתרות פתיחה'!$2:$110,35,0),0)-IFERROR(HLOOKUP(AC27,'סקרי נכסים-יתרות פתיחה'!$2:$110,94,0),0)*(1-AC$309)</f>
        <v>0</v>
      </c>
      <c r="AD194" s="1240">
        <f>+IFERROR(HLOOKUP(AD27,'סקרי נכסים-יתרות פתיחה'!$2:$110,35,0),0)-IFERROR(HLOOKUP(AD27,'סקרי נכסים-יתרות פתיחה'!$2:$110,94,0),0)*(1-AD$309)</f>
        <v>0</v>
      </c>
      <c r="AE194" s="1240">
        <f>+IFERROR(HLOOKUP(AE27,'סקרי נכסים-יתרות פתיחה'!$2:$110,35,0),0)-IFERROR(HLOOKUP(AE27,'סקרי נכסים-יתרות פתיחה'!$2:$110,94,0),0)*(1-AE$309)</f>
        <v>0</v>
      </c>
      <c r="AF194" s="1240">
        <f>+IFERROR(HLOOKUP(AF27,'סקרי נכסים-יתרות פתיחה'!$2:$110,35,0),0)-IFERROR(HLOOKUP(AF27,'סקרי נכסים-יתרות פתיחה'!$2:$110,94,0),0)*(1-AF$309)</f>
        <v>0</v>
      </c>
      <c r="AG194" s="1240">
        <f>+IFERROR(HLOOKUP(AG27,'סקרי נכסים-יתרות פתיחה'!$2:$110,35,0),0)-IFERROR(HLOOKUP(AG27,'סקרי נכסים-יתרות פתיחה'!$2:$110,94,0),0)*(1-AG$309)</f>
        <v>0</v>
      </c>
      <c r="AH194" s="1240">
        <f>+IFERROR(HLOOKUP(AH27,'סקרי נכסים-יתרות פתיחה'!$2:$110,35,0),0)-IFERROR(HLOOKUP(AH27,'סקרי נכסים-יתרות פתיחה'!$2:$110,94,0),0)*(1-AH$309)</f>
        <v>0</v>
      </c>
      <c r="AI194" s="1240">
        <f>+IFERROR(HLOOKUP(AI27,'סקרי נכסים-יתרות פתיחה'!$2:$110,35,0),0)-IFERROR(HLOOKUP(AI27,'סקרי נכסים-יתרות פתיחה'!$2:$110,94,0),0)*(1-AI$309)</f>
        <v>0</v>
      </c>
      <c r="AJ194" s="1240">
        <f>+IFERROR(HLOOKUP(AJ27,'סקרי נכסים-יתרות פתיחה'!$2:$110,35,0),0)-IFERROR(HLOOKUP(AJ27,'סקרי נכסים-יתרות פתיחה'!$2:$110,94,0),0)*(1-AJ$309)</f>
        <v>0</v>
      </c>
      <c r="AK194" s="1240">
        <f>+IFERROR(HLOOKUP(AK27,'סקרי נכסים-יתרות פתיחה'!$2:$110,35,0),0)-IFERROR(HLOOKUP(AK27,'סקרי נכסים-יתרות פתיחה'!$2:$110,94,0),0)*(1-AK$309)</f>
        <v>0</v>
      </c>
      <c r="AL194" s="1240">
        <f>+IFERROR(HLOOKUP(AL27,'סקרי נכסים-יתרות פתיחה'!$2:$110,35,0),0)-IFERROR(HLOOKUP(AL27,'סקרי נכסים-יתרות פתיחה'!$2:$110,94,0),0)*(1-AL$309)</f>
        <v>0</v>
      </c>
      <c r="AM194" s="1240">
        <f>+IFERROR(HLOOKUP(AM27,'סקרי נכסים-יתרות פתיחה'!$2:$110,35,0),0)-IFERROR(HLOOKUP(AM27,'סקרי נכסים-יתרות פתיחה'!$2:$110,94,0),0)*(1-AM$309)</f>
        <v>0</v>
      </c>
      <c r="AN194" s="1240">
        <f>+IFERROR(HLOOKUP(AN27,'סקרי נכסים-יתרות פתיחה'!$2:$110,35,0),0)-IFERROR(HLOOKUP(AN27,'סקרי נכסים-יתרות פתיחה'!$2:$110,94,0),0)*(1-AN$309)</f>
        <v>0</v>
      </c>
      <c r="AO194" s="1240">
        <f>+IFERROR(HLOOKUP(AO27,'סקרי נכסים-יתרות פתיחה'!$2:$110,35,0),0)-IFERROR(HLOOKUP(AO27,'סקרי נכסים-יתרות פתיחה'!$2:$110,94,0),0)*(1-AO$309)</f>
        <v>0</v>
      </c>
      <c r="AP194" s="1240">
        <f>+IFERROR(HLOOKUP(AP27,'סקרי נכסים-יתרות פתיחה'!$2:$110,35,0),0)-IFERROR(HLOOKUP(AP27,'סקרי נכסים-יתרות פתיחה'!$2:$110,94,0),0)*(1-AP$309)</f>
        <v>0</v>
      </c>
      <c r="AQ194" s="1240">
        <f>+IFERROR(HLOOKUP(AQ27,'סקרי נכסים-יתרות פתיחה'!$2:$110,35,0),0)-IFERROR(HLOOKUP(AQ27,'סקרי נכסים-יתרות פתיחה'!$2:$110,94,0),0)*(1-AQ$309)</f>
        <v>0</v>
      </c>
      <c r="AR194" s="1240">
        <f>+IFERROR(HLOOKUP(AR27,'סקרי נכסים-יתרות פתיחה'!$2:$110,35,0),0)-IFERROR(HLOOKUP(AR27,'סקרי נכסים-יתרות פתיחה'!$2:$110,94,0),0)*(1-AR$309)</f>
        <v>0</v>
      </c>
      <c r="AS194" s="1240">
        <f>+IFERROR(HLOOKUP(AS27,'סקרי נכסים-יתרות פתיחה'!$2:$110,35,0),0)-IFERROR(HLOOKUP(AS27,'סקרי נכסים-יתרות פתיחה'!$2:$110,94,0),0)*(1-AS$309)</f>
        <v>0</v>
      </c>
      <c r="AT194" s="1240">
        <f>+IFERROR(HLOOKUP(AT27,'סקרי נכסים-יתרות פתיחה'!$2:$110,35,0),0)-IFERROR(HLOOKUP(AT27,'סקרי נכסים-יתרות פתיחה'!$2:$110,94,0),0)*(1-AT$309)</f>
        <v>0</v>
      </c>
      <c r="AU194" s="1240">
        <f>+IFERROR(HLOOKUP(AU27,'סקרי נכסים-יתרות פתיחה'!$2:$110,35,0),0)-IFERROR(HLOOKUP(AU27,'סקרי נכסים-יתרות פתיחה'!$2:$110,94,0),0)*(1-AU$309)</f>
        <v>0</v>
      </c>
      <c r="AV194" s="1240">
        <f>+IFERROR(HLOOKUP(AV27,'סקרי נכסים-יתרות פתיחה'!$2:$110,35,0),0)-IFERROR(HLOOKUP(AV27,'סקרי נכסים-יתרות פתיחה'!$2:$110,94,0),0)*(1-AV$309)</f>
        <v>0</v>
      </c>
      <c r="AW194" s="1240">
        <f>+IFERROR(HLOOKUP(AW27,'סקרי נכסים-יתרות פתיחה'!$2:$110,35,0),0)-IFERROR(HLOOKUP(AW27,'סקרי נכסים-יתרות פתיחה'!$2:$110,94,0),0)*(1-AW$309)</f>
        <v>0</v>
      </c>
      <c r="AX194" s="1240">
        <f>+IFERROR(HLOOKUP(AX27,'סקרי נכסים-יתרות פתיחה'!$2:$110,35,0),0)-IFERROR(HLOOKUP(AX27,'סקרי נכסים-יתרות פתיחה'!$2:$110,94,0),0)*(1-AX$309)</f>
        <v>0</v>
      </c>
      <c r="AY194" s="1240">
        <f>+IFERROR(HLOOKUP(AY27,'סקרי נכסים-יתרות פתיחה'!$2:$110,35,0),0)-IFERROR(HLOOKUP(AY27,'סקרי נכסים-יתרות פתיחה'!$2:$110,94,0),0)*(1-AY$309)</f>
        <v>0</v>
      </c>
      <c r="AZ194" s="1240">
        <f>+IFERROR(HLOOKUP(AZ27,'סקרי נכסים-יתרות פתיחה'!$2:$110,35,0),0)-IFERROR(HLOOKUP(AZ27,'סקרי נכסים-יתרות פתיחה'!$2:$110,94,0),0)*(1-AZ$309)</f>
        <v>0</v>
      </c>
      <c r="BA194" s="1240">
        <f>+IFERROR(HLOOKUP(BA27,'סקרי נכסים-יתרות פתיחה'!$2:$110,35,0),0)-IFERROR(HLOOKUP(BA27,'סקרי נכסים-יתרות פתיחה'!$2:$110,94,0),0)*(1-BA$309)</f>
        <v>0</v>
      </c>
      <c r="BB194" s="1240">
        <f>+IFERROR(HLOOKUP(BB27,'סקרי נכסים-יתרות פתיחה'!$2:$110,35,0),0)-IFERROR(HLOOKUP(BB27,'סקרי נכסים-יתרות פתיחה'!$2:$110,94,0),0)*(1-BB$309)</f>
        <v>0</v>
      </c>
      <c r="BC194" s="1240">
        <f>+IFERROR(HLOOKUP(BC27,'סקרי נכסים-יתרות פתיחה'!$2:$110,35,0),0)-IFERROR(HLOOKUP(BC27,'סקרי נכסים-יתרות פתיחה'!$2:$110,94,0),0)*(1-BC$309)</f>
        <v>0</v>
      </c>
      <c r="BD194" s="1240">
        <f>+IFERROR(HLOOKUP(BD27,'סקרי נכסים-יתרות פתיחה'!$2:$110,35,0),0)-IFERROR(HLOOKUP(BD27,'סקרי נכסים-יתרות פתיחה'!$2:$110,94,0),0)*(1-BD$309)</f>
        <v>0</v>
      </c>
      <c r="BE194" s="1240">
        <f>+IFERROR(HLOOKUP(BE27,'סקרי נכסים-יתרות פתיחה'!$2:$110,35,0),0)-IFERROR(HLOOKUP(BE27,'סקרי נכסים-יתרות פתיחה'!$2:$110,94,0),0)*(1-BE$309)</f>
        <v>0</v>
      </c>
      <c r="BF194" s="1240">
        <f>+IFERROR(HLOOKUP(BF27,'סקרי נכסים-יתרות פתיחה'!$2:$110,35,0),0)-IFERROR(HLOOKUP(BF27,'סקרי נכסים-יתרות פתיחה'!$2:$110,94,0),0)*(1-BF$309)</f>
        <v>0</v>
      </c>
    </row>
    <row r="195" spans="1:58" x14ac:dyDescent="0.2">
      <c r="B195" s="1">
        <v>25</v>
      </c>
      <c r="C195" s="1240">
        <f>+IFERROR(HLOOKUP(C28,'סקרי נכסים-יתרות פתיחה'!$2:$110,35,0),0)-IFERROR(HLOOKUP(C28,'סקרי נכסים-יתרות פתיחה'!$2:$110,94,0),0)*(1-C$309)</f>
        <v>0</v>
      </c>
      <c r="D195" s="1240">
        <f>+IFERROR(HLOOKUP(D28,'סקרי נכסים-יתרות פתיחה'!$2:$110,35,0),0)-IFERROR(HLOOKUP(D28,'סקרי נכסים-יתרות פתיחה'!$2:$110,94,0),0)*(1-D$309)</f>
        <v>0</v>
      </c>
      <c r="E195" s="1240">
        <f>+IFERROR(HLOOKUP(E28,'סקרי נכסים-יתרות פתיחה'!$2:$110,35,0),0)-IFERROR(HLOOKUP(E28,'סקרי נכסים-יתרות פתיחה'!$2:$110,94,0),0)*(1-E$309)</f>
        <v>0</v>
      </c>
      <c r="F195" s="1240">
        <f>+IFERROR(HLOOKUP(F28,'סקרי נכסים-יתרות פתיחה'!$2:$110,35,0),0)-IFERROR(HLOOKUP(F28,'סקרי נכסים-יתרות פתיחה'!$2:$110,94,0),0)*(1-F$309)</f>
        <v>0</v>
      </c>
      <c r="G195" s="1240">
        <f>+IFERROR(HLOOKUP(G28,'סקרי נכסים-יתרות פתיחה'!$2:$110,35,0),0)-IFERROR(HLOOKUP(G28,'סקרי נכסים-יתרות פתיחה'!$2:$110,94,0),0)*(1-G$309)</f>
        <v>0</v>
      </c>
      <c r="H195" s="1240">
        <f>+IFERROR(HLOOKUP(H28,'סקרי נכסים-יתרות פתיחה'!$2:$110,35,0),0)-IFERROR(HLOOKUP(H28,'סקרי נכסים-יתרות פתיחה'!$2:$110,94,0),0)*(1-H$309)</f>
        <v>0</v>
      </c>
      <c r="I195" s="1240">
        <f>+IFERROR(HLOOKUP(I28,'סקרי נכסים-יתרות פתיחה'!$2:$110,35,0),0)-IFERROR(HLOOKUP(I28,'סקרי נכסים-יתרות פתיחה'!$2:$110,94,0),0)*(1-I$309)</f>
        <v>0</v>
      </c>
      <c r="J195" s="1240">
        <f>+IFERROR(HLOOKUP(J28,'סקרי נכסים-יתרות פתיחה'!$2:$110,35,0),0)-IFERROR(HLOOKUP(J28,'סקרי נכסים-יתרות פתיחה'!$2:$110,94,0),0)*(1-J$309)</f>
        <v>0</v>
      </c>
      <c r="K195" s="1240">
        <f>+IFERROR(HLOOKUP(K28,'סקרי נכסים-יתרות פתיחה'!$2:$110,35,0),0)-IFERROR(HLOOKUP(K28,'סקרי נכסים-יתרות פתיחה'!$2:$110,94,0),0)*(1-K$309)</f>
        <v>0</v>
      </c>
      <c r="L195" s="1240">
        <f>+IFERROR(HLOOKUP(L28,'סקרי נכסים-יתרות פתיחה'!$2:$110,35,0),0)-IFERROR(HLOOKUP(L28,'סקרי נכסים-יתרות פתיחה'!$2:$110,94,0),0)*(1-L$309)</f>
        <v>0</v>
      </c>
      <c r="M195" s="1240">
        <f>+IFERROR(HLOOKUP(M28,'סקרי נכסים-יתרות פתיחה'!$2:$110,35,0),0)-IFERROR(HLOOKUP(M28,'סקרי נכסים-יתרות פתיחה'!$2:$110,94,0),0)*(1-M$309)</f>
        <v>0</v>
      </c>
      <c r="N195" s="1240">
        <f>+IFERROR(HLOOKUP(N28,'סקרי נכסים-יתרות פתיחה'!$2:$110,35,0),0)-IFERROR(HLOOKUP(N28,'סקרי נכסים-יתרות פתיחה'!$2:$110,94,0),0)*(1-N$309)</f>
        <v>0</v>
      </c>
      <c r="O195" s="1240">
        <f>+IFERROR(HLOOKUP(O28,'סקרי נכסים-יתרות פתיחה'!$2:$110,35,0),0)-IFERROR(HLOOKUP(O28,'סקרי נכסים-יתרות פתיחה'!$2:$110,94,0),0)*(1-O$309)</f>
        <v>0</v>
      </c>
      <c r="P195" s="1240">
        <f>+IFERROR(HLOOKUP(P28,'סקרי נכסים-יתרות פתיחה'!$2:$110,35,0),0)-IFERROR(HLOOKUP(P28,'סקרי נכסים-יתרות פתיחה'!$2:$110,94,0),0)*(1-P$309)</f>
        <v>0</v>
      </c>
      <c r="Q195" s="1240">
        <f>+IFERROR(HLOOKUP(Q28,'סקרי נכסים-יתרות פתיחה'!$2:$110,35,0),0)-IFERROR(HLOOKUP(Q28,'סקרי נכסים-יתרות פתיחה'!$2:$110,94,0),0)*(1-Q$309)</f>
        <v>0</v>
      </c>
      <c r="R195" s="1240">
        <f>+IFERROR(HLOOKUP(R28,'סקרי נכסים-יתרות פתיחה'!$2:$110,35,0),0)-IFERROR(HLOOKUP(R28,'סקרי נכסים-יתרות פתיחה'!$2:$110,94,0),0)*(1-R$309)</f>
        <v>0</v>
      </c>
      <c r="S195" s="1240">
        <f>+IFERROR(HLOOKUP(S28,'סקרי נכסים-יתרות פתיחה'!$2:$110,35,0),0)-IFERROR(HLOOKUP(S28,'סקרי נכסים-יתרות פתיחה'!$2:$110,94,0),0)*(1-S$309)</f>
        <v>0</v>
      </c>
      <c r="T195" s="1240">
        <f>+IFERROR(HLOOKUP(T28,'סקרי נכסים-יתרות פתיחה'!$2:$110,35,0),0)-IFERROR(HLOOKUP(T28,'סקרי נכסים-יתרות פתיחה'!$2:$110,94,0),0)*(1-T$309)</f>
        <v>0</v>
      </c>
      <c r="U195" s="1240">
        <f>+IFERROR(HLOOKUP(U28,'סקרי נכסים-יתרות פתיחה'!$2:$110,35,0),0)-IFERROR(HLOOKUP(U28,'סקרי נכסים-יתרות פתיחה'!$2:$110,94,0),0)*(1-U$309)</f>
        <v>0</v>
      </c>
      <c r="V195" s="1240">
        <f>+IFERROR(HLOOKUP(V28,'סקרי נכסים-יתרות פתיחה'!$2:$110,35,0),0)-IFERROR(HLOOKUP(V28,'סקרי נכסים-יתרות פתיחה'!$2:$110,94,0),0)*(1-V$309)</f>
        <v>0</v>
      </c>
      <c r="W195" s="1240">
        <f>+IFERROR(HLOOKUP(W28,'סקרי נכסים-יתרות פתיחה'!$2:$110,35,0),0)-IFERROR(HLOOKUP(W28,'סקרי נכסים-יתרות פתיחה'!$2:$110,94,0),0)*(1-W$309)</f>
        <v>0</v>
      </c>
      <c r="X195" s="1240">
        <f>+IFERROR(HLOOKUP(X28,'סקרי נכסים-יתרות פתיחה'!$2:$110,35,0),0)-IFERROR(HLOOKUP(X28,'סקרי נכסים-יתרות פתיחה'!$2:$110,94,0),0)*(1-X$309)</f>
        <v>0</v>
      </c>
      <c r="Y195" s="1240">
        <f>+IFERROR(HLOOKUP(Y28,'סקרי נכסים-יתרות פתיחה'!$2:$110,35,0),0)-IFERROR(HLOOKUP(Y28,'סקרי נכסים-יתרות פתיחה'!$2:$110,94,0),0)*(1-Y$309)</f>
        <v>0</v>
      </c>
      <c r="Z195" s="1240">
        <f>+IFERROR(HLOOKUP(Z28,'סקרי נכסים-יתרות פתיחה'!$2:$110,35,0),0)-IFERROR(HLOOKUP(Z28,'סקרי נכסים-יתרות פתיחה'!$2:$110,94,0),0)*(1-Z$309)</f>
        <v>0</v>
      </c>
      <c r="AA195" s="1240">
        <f>+IFERROR(HLOOKUP(AA28,'סקרי נכסים-יתרות פתיחה'!$2:$110,35,0),0)-IFERROR(HLOOKUP(AA28,'סקרי נכסים-יתרות פתיחה'!$2:$110,94,0),0)*(1-AA$309)</f>
        <v>0</v>
      </c>
      <c r="AB195" s="1240">
        <f>+IFERROR(HLOOKUP(AB28,'סקרי נכסים-יתרות פתיחה'!$2:$110,35,0),0)-IFERROR(HLOOKUP(AB28,'סקרי נכסים-יתרות פתיחה'!$2:$110,94,0),0)*(1-AB$309)</f>
        <v>0</v>
      </c>
      <c r="AC195" s="1240">
        <f>+IFERROR(HLOOKUP(AC28,'סקרי נכסים-יתרות פתיחה'!$2:$110,35,0),0)-IFERROR(HLOOKUP(AC28,'סקרי נכסים-יתרות פתיחה'!$2:$110,94,0),0)*(1-AC$309)</f>
        <v>0</v>
      </c>
      <c r="AD195" s="1240">
        <f>+IFERROR(HLOOKUP(AD28,'סקרי נכסים-יתרות פתיחה'!$2:$110,35,0),0)-IFERROR(HLOOKUP(AD28,'סקרי נכסים-יתרות פתיחה'!$2:$110,94,0),0)*(1-AD$309)</f>
        <v>0</v>
      </c>
      <c r="AE195" s="1240">
        <f>+IFERROR(HLOOKUP(AE28,'סקרי נכסים-יתרות פתיחה'!$2:$110,35,0),0)-IFERROR(HLOOKUP(AE28,'סקרי נכסים-יתרות פתיחה'!$2:$110,94,0),0)*(1-AE$309)</f>
        <v>0</v>
      </c>
      <c r="AF195" s="1240">
        <f>+IFERROR(HLOOKUP(AF28,'סקרי נכסים-יתרות פתיחה'!$2:$110,35,0),0)-IFERROR(HLOOKUP(AF28,'סקרי נכסים-יתרות פתיחה'!$2:$110,94,0),0)*(1-AF$309)</f>
        <v>0</v>
      </c>
      <c r="AG195" s="1240">
        <f>+IFERROR(HLOOKUP(AG28,'סקרי נכסים-יתרות פתיחה'!$2:$110,35,0),0)-IFERROR(HLOOKUP(AG28,'סקרי נכסים-יתרות פתיחה'!$2:$110,94,0),0)*(1-AG$309)</f>
        <v>0</v>
      </c>
      <c r="AH195" s="1240">
        <f>+IFERROR(HLOOKUP(AH28,'סקרי נכסים-יתרות פתיחה'!$2:$110,35,0),0)-IFERROR(HLOOKUP(AH28,'סקרי נכסים-יתרות פתיחה'!$2:$110,94,0),0)*(1-AH$309)</f>
        <v>0</v>
      </c>
      <c r="AI195" s="1240">
        <f>+IFERROR(HLOOKUP(AI28,'סקרי נכסים-יתרות פתיחה'!$2:$110,35,0),0)-IFERROR(HLOOKUP(AI28,'סקרי נכסים-יתרות פתיחה'!$2:$110,94,0),0)*(1-AI$309)</f>
        <v>0</v>
      </c>
      <c r="AJ195" s="1240">
        <f>+IFERROR(HLOOKUP(AJ28,'סקרי נכסים-יתרות פתיחה'!$2:$110,35,0),0)-IFERROR(HLOOKUP(AJ28,'סקרי נכסים-יתרות פתיחה'!$2:$110,94,0),0)*(1-AJ$309)</f>
        <v>0</v>
      </c>
      <c r="AK195" s="1240">
        <f>+IFERROR(HLOOKUP(AK28,'סקרי נכסים-יתרות פתיחה'!$2:$110,35,0),0)-IFERROR(HLOOKUP(AK28,'סקרי נכסים-יתרות פתיחה'!$2:$110,94,0),0)*(1-AK$309)</f>
        <v>0</v>
      </c>
      <c r="AL195" s="1240">
        <f>+IFERROR(HLOOKUP(AL28,'סקרי נכסים-יתרות פתיחה'!$2:$110,35,0),0)-IFERROR(HLOOKUP(AL28,'סקרי נכסים-יתרות פתיחה'!$2:$110,94,0),0)*(1-AL$309)</f>
        <v>0</v>
      </c>
      <c r="AM195" s="1240">
        <f>+IFERROR(HLOOKUP(AM28,'סקרי נכסים-יתרות פתיחה'!$2:$110,35,0),0)-IFERROR(HLOOKUP(AM28,'סקרי נכסים-יתרות פתיחה'!$2:$110,94,0),0)*(1-AM$309)</f>
        <v>0</v>
      </c>
      <c r="AN195" s="1240">
        <f>+IFERROR(HLOOKUP(AN28,'סקרי נכסים-יתרות פתיחה'!$2:$110,35,0),0)-IFERROR(HLOOKUP(AN28,'סקרי נכסים-יתרות פתיחה'!$2:$110,94,0),0)*(1-AN$309)</f>
        <v>0</v>
      </c>
      <c r="AO195" s="1240">
        <f>+IFERROR(HLOOKUP(AO28,'סקרי נכסים-יתרות פתיחה'!$2:$110,35,0),0)-IFERROR(HLOOKUP(AO28,'סקרי נכסים-יתרות פתיחה'!$2:$110,94,0),0)*(1-AO$309)</f>
        <v>0</v>
      </c>
      <c r="AP195" s="1240">
        <f>+IFERROR(HLOOKUP(AP28,'סקרי נכסים-יתרות פתיחה'!$2:$110,35,0),0)-IFERROR(HLOOKUP(AP28,'סקרי נכסים-יתרות פתיחה'!$2:$110,94,0),0)*(1-AP$309)</f>
        <v>0</v>
      </c>
      <c r="AQ195" s="1240">
        <f>+IFERROR(HLOOKUP(AQ28,'סקרי נכסים-יתרות פתיחה'!$2:$110,35,0),0)-IFERROR(HLOOKUP(AQ28,'סקרי נכסים-יתרות פתיחה'!$2:$110,94,0),0)*(1-AQ$309)</f>
        <v>0</v>
      </c>
      <c r="AR195" s="1240">
        <f>+IFERROR(HLOOKUP(AR28,'סקרי נכסים-יתרות פתיחה'!$2:$110,35,0),0)-IFERROR(HLOOKUP(AR28,'סקרי נכסים-יתרות פתיחה'!$2:$110,94,0),0)*(1-AR$309)</f>
        <v>0</v>
      </c>
      <c r="AS195" s="1240">
        <f>+IFERROR(HLOOKUP(AS28,'סקרי נכסים-יתרות פתיחה'!$2:$110,35,0),0)-IFERROR(HLOOKUP(AS28,'סקרי נכסים-יתרות פתיחה'!$2:$110,94,0),0)*(1-AS$309)</f>
        <v>0</v>
      </c>
      <c r="AT195" s="1240">
        <f>+IFERROR(HLOOKUP(AT28,'סקרי נכסים-יתרות פתיחה'!$2:$110,35,0),0)-IFERROR(HLOOKUP(AT28,'סקרי נכסים-יתרות פתיחה'!$2:$110,94,0),0)*(1-AT$309)</f>
        <v>0</v>
      </c>
      <c r="AU195" s="1240">
        <f>+IFERROR(HLOOKUP(AU28,'סקרי נכסים-יתרות פתיחה'!$2:$110,35,0),0)-IFERROR(HLOOKUP(AU28,'סקרי נכסים-יתרות פתיחה'!$2:$110,94,0),0)*(1-AU$309)</f>
        <v>0</v>
      </c>
      <c r="AV195" s="1240">
        <f>+IFERROR(HLOOKUP(AV28,'סקרי נכסים-יתרות פתיחה'!$2:$110,35,0),0)-IFERROR(HLOOKUP(AV28,'סקרי נכסים-יתרות פתיחה'!$2:$110,94,0),0)*(1-AV$309)</f>
        <v>0</v>
      </c>
      <c r="AW195" s="1240">
        <f>+IFERROR(HLOOKUP(AW28,'סקרי נכסים-יתרות פתיחה'!$2:$110,35,0),0)-IFERROR(HLOOKUP(AW28,'סקרי נכסים-יתרות פתיחה'!$2:$110,94,0),0)*(1-AW$309)</f>
        <v>0</v>
      </c>
      <c r="AX195" s="1240">
        <f>+IFERROR(HLOOKUP(AX28,'סקרי נכסים-יתרות פתיחה'!$2:$110,35,0),0)-IFERROR(HLOOKUP(AX28,'סקרי נכסים-יתרות פתיחה'!$2:$110,94,0),0)*(1-AX$309)</f>
        <v>0</v>
      </c>
      <c r="AY195" s="1240">
        <f>+IFERROR(HLOOKUP(AY28,'סקרי נכסים-יתרות פתיחה'!$2:$110,35,0),0)-IFERROR(HLOOKUP(AY28,'סקרי נכסים-יתרות פתיחה'!$2:$110,94,0),0)*(1-AY$309)</f>
        <v>0</v>
      </c>
      <c r="AZ195" s="1240">
        <f>+IFERROR(HLOOKUP(AZ28,'סקרי נכסים-יתרות פתיחה'!$2:$110,35,0),0)-IFERROR(HLOOKUP(AZ28,'סקרי נכסים-יתרות פתיחה'!$2:$110,94,0),0)*(1-AZ$309)</f>
        <v>0</v>
      </c>
      <c r="BA195" s="1240">
        <f>+IFERROR(HLOOKUP(BA28,'סקרי נכסים-יתרות פתיחה'!$2:$110,35,0),0)-IFERROR(HLOOKUP(BA28,'סקרי נכסים-יתרות פתיחה'!$2:$110,94,0),0)*(1-BA$309)</f>
        <v>0</v>
      </c>
      <c r="BB195" s="1240">
        <f>+IFERROR(HLOOKUP(BB28,'סקרי נכסים-יתרות פתיחה'!$2:$110,35,0),0)-IFERROR(HLOOKUP(BB28,'סקרי נכסים-יתרות פתיחה'!$2:$110,94,0),0)*(1-BB$309)</f>
        <v>0</v>
      </c>
      <c r="BC195" s="1240">
        <f>+IFERROR(HLOOKUP(BC28,'סקרי נכסים-יתרות פתיחה'!$2:$110,35,0),0)-IFERROR(HLOOKUP(BC28,'סקרי נכסים-יתרות פתיחה'!$2:$110,94,0),0)*(1-BC$309)</f>
        <v>0</v>
      </c>
      <c r="BD195" s="1240">
        <f>+IFERROR(HLOOKUP(BD28,'סקרי נכסים-יתרות פתיחה'!$2:$110,35,0),0)-IFERROR(HLOOKUP(BD28,'סקרי נכסים-יתרות פתיחה'!$2:$110,94,0),0)*(1-BD$309)</f>
        <v>0</v>
      </c>
      <c r="BE195" s="1240">
        <f>+IFERROR(HLOOKUP(BE28,'סקרי נכסים-יתרות פתיחה'!$2:$110,35,0),0)-IFERROR(HLOOKUP(BE28,'סקרי נכסים-יתרות פתיחה'!$2:$110,94,0),0)*(1-BE$309)</f>
        <v>0</v>
      </c>
      <c r="BF195" s="1240">
        <f>+IFERROR(HLOOKUP(BF28,'סקרי נכסים-יתרות פתיחה'!$2:$110,35,0),0)-IFERROR(HLOOKUP(BF28,'סקרי נכסים-יתרות פתיחה'!$2:$110,94,0),0)*(1-BF$309)</f>
        <v>0</v>
      </c>
    </row>
    <row r="196" spans="1:58" x14ac:dyDescent="0.2">
      <c r="B196" s="1">
        <v>26</v>
      </c>
      <c r="C196" s="1240">
        <f>+IFERROR(HLOOKUP(C29,'סקרי נכסים-יתרות פתיחה'!$2:$110,35,0),0)-IFERROR(HLOOKUP(C29,'סקרי נכסים-יתרות פתיחה'!$2:$110,94,0),0)*(1-C$309)</f>
        <v>0</v>
      </c>
      <c r="D196" s="1240">
        <f>+IFERROR(HLOOKUP(D29,'סקרי נכסים-יתרות פתיחה'!$2:$110,35,0),0)-IFERROR(HLOOKUP(D29,'סקרי נכסים-יתרות פתיחה'!$2:$110,94,0),0)*(1-D$309)</f>
        <v>0</v>
      </c>
      <c r="E196" s="1240">
        <f>+IFERROR(HLOOKUP(E29,'סקרי נכסים-יתרות פתיחה'!$2:$110,35,0),0)-IFERROR(HLOOKUP(E29,'סקרי נכסים-יתרות פתיחה'!$2:$110,94,0),0)*(1-E$309)</f>
        <v>0</v>
      </c>
      <c r="F196" s="1240">
        <f>+IFERROR(HLOOKUP(F29,'סקרי נכסים-יתרות פתיחה'!$2:$110,35,0),0)-IFERROR(HLOOKUP(F29,'סקרי נכסים-יתרות פתיחה'!$2:$110,94,0),0)*(1-F$309)</f>
        <v>0</v>
      </c>
      <c r="G196" s="1240">
        <f>+IFERROR(HLOOKUP(G29,'סקרי נכסים-יתרות פתיחה'!$2:$110,35,0),0)-IFERROR(HLOOKUP(G29,'סקרי נכסים-יתרות פתיחה'!$2:$110,94,0),0)*(1-G$309)</f>
        <v>0</v>
      </c>
      <c r="H196" s="1240">
        <f>+IFERROR(HLOOKUP(H29,'סקרי נכסים-יתרות פתיחה'!$2:$110,35,0),0)-IFERROR(HLOOKUP(H29,'סקרי נכסים-יתרות פתיחה'!$2:$110,94,0),0)*(1-H$309)</f>
        <v>0</v>
      </c>
      <c r="I196" s="1240">
        <f>+IFERROR(HLOOKUP(I29,'סקרי נכסים-יתרות פתיחה'!$2:$110,35,0),0)-IFERROR(HLOOKUP(I29,'סקרי נכסים-יתרות פתיחה'!$2:$110,94,0),0)*(1-I$309)</f>
        <v>0</v>
      </c>
      <c r="J196" s="1240">
        <f>+IFERROR(HLOOKUP(J29,'סקרי נכסים-יתרות פתיחה'!$2:$110,35,0),0)-IFERROR(HLOOKUP(J29,'סקרי נכסים-יתרות פתיחה'!$2:$110,94,0),0)*(1-J$309)</f>
        <v>0</v>
      </c>
      <c r="K196" s="1240">
        <f>+IFERROR(HLOOKUP(K29,'סקרי נכסים-יתרות פתיחה'!$2:$110,35,0),0)-IFERROR(HLOOKUP(K29,'סקרי נכסים-יתרות פתיחה'!$2:$110,94,0),0)*(1-K$309)</f>
        <v>0</v>
      </c>
      <c r="L196" s="1240">
        <f>+IFERROR(HLOOKUP(L29,'סקרי נכסים-יתרות פתיחה'!$2:$110,35,0),0)-IFERROR(HLOOKUP(L29,'סקרי נכסים-יתרות פתיחה'!$2:$110,94,0),0)*(1-L$309)</f>
        <v>0</v>
      </c>
      <c r="M196" s="1240">
        <f>+IFERROR(HLOOKUP(M29,'סקרי נכסים-יתרות פתיחה'!$2:$110,35,0),0)-IFERROR(HLOOKUP(M29,'סקרי נכסים-יתרות פתיחה'!$2:$110,94,0),0)*(1-M$309)</f>
        <v>0</v>
      </c>
      <c r="N196" s="1240">
        <f>+IFERROR(HLOOKUP(N29,'סקרי נכסים-יתרות פתיחה'!$2:$110,35,0),0)-IFERROR(HLOOKUP(N29,'סקרי נכסים-יתרות פתיחה'!$2:$110,94,0),0)*(1-N$309)</f>
        <v>0</v>
      </c>
      <c r="O196" s="1240">
        <f>+IFERROR(HLOOKUP(O29,'סקרי נכסים-יתרות פתיחה'!$2:$110,35,0),0)-IFERROR(HLOOKUP(O29,'סקרי נכסים-יתרות פתיחה'!$2:$110,94,0),0)*(1-O$309)</f>
        <v>0</v>
      </c>
      <c r="P196" s="1240">
        <f>+IFERROR(HLOOKUP(P29,'סקרי נכסים-יתרות פתיחה'!$2:$110,35,0),0)-IFERROR(HLOOKUP(P29,'סקרי נכסים-יתרות פתיחה'!$2:$110,94,0),0)*(1-P$309)</f>
        <v>0</v>
      </c>
      <c r="Q196" s="1240">
        <f>+IFERROR(HLOOKUP(Q29,'סקרי נכסים-יתרות פתיחה'!$2:$110,35,0),0)-IFERROR(HLOOKUP(Q29,'סקרי נכסים-יתרות פתיחה'!$2:$110,94,0),0)*(1-Q$309)</f>
        <v>0</v>
      </c>
      <c r="R196" s="1240">
        <f>+IFERROR(HLOOKUP(R29,'סקרי נכסים-יתרות פתיחה'!$2:$110,35,0),0)-IFERROR(HLOOKUP(R29,'סקרי נכסים-יתרות פתיחה'!$2:$110,94,0),0)*(1-R$309)</f>
        <v>0</v>
      </c>
      <c r="S196" s="1240">
        <f>+IFERROR(HLOOKUP(S29,'סקרי נכסים-יתרות פתיחה'!$2:$110,35,0),0)-IFERROR(HLOOKUP(S29,'סקרי נכסים-יתרות פתיחה'!$2:$110,94,0),0)*(1-S$309)</f>
        <v>0</v>
      </c>
      <c r="T196" s="1240">
        <f>+IFERROR(HLOOKUP(T29,'סקרי נכסים-יתרות פתיחה'!$2:$110,35,0),0)-IFERROR(HLOOKUP(T29,'סקרי נכסים-יתרות פתיחה'!$2:$110,94,0),0)*(1-T$309)</f>
        <v>0</v>
      </c>
      <c r="U196" s="1240">
        <f>+IFERROR(HLOOKUP(U29,'סקרי נכסים-יתרות פתיחה'!$2:$110,35,0),0)-IFERROR(HLOOKUP(U29,'סקרי נכסים-יתרות פתיחה'!$2:$110,94,0),0)*(1-U$309)</f>
        <v>0</v>
      </c>
      <c r="V196" s="1240">
        <f>+IFERROR(HLOOKUP(V29,'סקרי נכסים-יתרות פתיחה'!$2:$110,35,0),0)-IFERROR(HLOOKUP(V29,'סקרי נכסים-יתרות פתיחה'!$2:$110,94,0),0)*(1-V$309)</f>
        <v>0</v>
      </c>
      <c r="W196" s="1240">
        <f>+IFERROR(HLOOKUP(W29,'סקרי נכסים-יתרות פתיחה'!$2:$110,35,0),0)-IFERROR(HLOOKUP(W29,'סקרי נכסים-יתרות פתיחה'!$2:$110,94,0),0)*(1-W$309)</f>
        <v>0</v>
      </c>
      <c r="X196" s="1240">
        <f>+IFERROR(HLOOKUP(X29,'סקרי נכסים-יתרות פתיחה'!$2:$110,35,0),0)-IFERROR(HLOOKUP(X29,'סקרי נכסים-יתרות פתיחה'!$2:$110,94,0),0)*(1-X$309)</f>
        <v>0</v>
      </c>
      <c r="Y196" s="1240">
        <f>+IFERROR(HLOOKUP(Y29,'סקרי נכסים-יתרות פתיחה'!$2:$110,35,0),0)-IFERROR(HLOOKUP(Y29,'סקרי נכסים-יתרות פתיחה'!$2:$110,94,0),0)*(1-Y$309)</f>
        <v>0</v>
      </c>
      <c r="Z196" s="1240">
        <f>+IFERROR(HLOOKUP(Z29,'סקרי נכסים-יתרות פתיחה'!$2:$110,35,0),0)-IFERROR(HLOOKUP(Z29,'סקרי נכסים-יתרות פתיחה'!$2:$110,94,0),0)*(1-Z$309)</f>
        <v>0</v>
      </c>
      <c r="AA196" s="1240">
        <f>+IFERROR(HLOOKUP(AA29,'סקרי נכסים-יתרות פתיחה'!$2:$110,35,0),0)-IFERROR(HLOOKUP(AA29,'סקרי נכסים-יתרות פתיחה'!$2:$110,94,0),0)*(1-AA$309)</f>
        <v>0</v>
      </c>
      <c r="AB196" s="1240">
        <f>+IFERROR(HLOOKUP(AB29,'סקרי נכסים-יתרות פתיחה'!$2:$110,35,0),0)-IFERROR(HLOOKUP(AB29,'סקרי נכסים-יתרות פתיחה'!$2:$110,94,0),0)*(1-AB$309)</f>
        <v>0</v>
      </c>
      <c r="AC196" s="1240">
        <f>+IFERROR(HLOOKUP(AC29,'סקרי נכסים-יתרות פתיחה'!$2:$110,35,0),0)-IFERROR(HLOOKUP(AC29,'סקרי נכסים-יתרות פתיחה'!$2:$110,94,0),0)*(1-AC$309)</f>
        <v>0</v>
      </c>
      <c r="AD196" s="1240">
        <f>+IFERROR(HLOOKUP(AD29,'סקרי נכסים-יתרות פתיחה'!$2:$110,35,0),0)-IFERROR(HLOOKUP(AD29,'סקרי נכסים-יתרות פתיחה'!$2:$110,94,0),0)*(1-AD$309)</f>
        <v>0</v>
      </c>
      <c r="AE196" s="1240">
        <f>+IFERROR(HLOOKUP(AE29,'סקרי נכסים-יתרות פתיחה'!$2:$110,35,0),0)-IFERROR(HLOOKUP(AE29,'סקרי נכסים-יתרות פתיחה'!$2:$110,94,0),0)*(1-AE$309)</f>
        <v>0</v>
      </c>
      <c r="AF196" s="1240">
        <f>+IFERROR(HLOOKUP(AF29,'סקרי נכסים-יתרות פתיחה'!$2:$110,35,0),0)-IFERROR(HLOOKUP(AF29,'סקרי נכסים-יתרות פתיחה'!$2:$110,94,0),0)*(1-AF$309)</f>
        <v>0</v>
      </c>
      <c r="AG196" s="1240">
        <f>+IFERROR(HLOOKUP(AG29,'סקרי נכסים-יתרות פתיחה'!$2:$110,35,0),0)-IFERROR(HLOOKUP(AG29,'סקרי נכסים-יתרות פתיחה'!$2:$110,94,0),0)*(1-AG$309)</f>
        <v>0</v>
      </c>
      <c r="AH196" s="1240">
        <f>+IFERROR(HLOOKUP(AH29,'סקרי נכסים-יתרות פתיחה'!$2:$110,35,0),0)-IFERROR(HLOOKUP(AH29,'סקרי נכסים-יתרות פתיחה'!$2:$110,94,0),0)*(1-AH$309)</f>
        <v>0</v>
      </c>
      <c r="AI196" s="1240">
        <f>+IFERROR(HLOOKUP(AI29,'סקרי נכסים-יתרות פתיחה'!$2:$110,35,0),0)-IFERROR(HLOOKUP(AI29,'סקרי נכסים-יתרות פתיחה'!$2:$110,94,0),0)*(1-AI$309)</f>
        <v>0</v>
      </c>
      <c r="AJ196" s="1240">
        <f>+IFERROR(HLOOKUP(AJ29,'סקרי נכסים-יתרות פתיחה'!$2:$110,35,0),0)-IFERROR(HLOOKUP(AJ29,'סקרי נכסים-יתרות פתיחה'!$2:$110,94,0),0)*(1-AJ$309)</f>
        <v>0</v>
      </c>
      <c r="AK196" s="1240">
        <f>+IFERROR(HLOOKUP(AK29,'סקרי נכסים-יתרות פתיחה'!$2:$110,35,0),0)-IFERROR(HLOOKUP(AK29,'סקרי נכסים-יתרות פתיחה'!$2:$110,94,0),0)*(1-AK$309)</f>
        <v>0</v>
      </c>
      <c r="AL196" s="1240">
        <f>+IFERROR(HLOOKUP(AL29,'סקרי נכסים-יתרות פתיחה'!$2:$110,35,0),0)-IFERROR(HLOOKUP(AL29,'סקרי נכסים-יתרות פתיחה'!$2:$110,94,0),0)*(1-AL$309)</f>
        <v>0</v>
      </c>
      <c r="AM196" s="1240">
        <f>+IFERROR(HLOOKUP(AM29,'סקרי נכסים-יתרות פתיחה'!$2:$110,35,0),0)-IFERROR(HLOOKUP(AM29,'סקרי נכסים-יתרות פתיחה'!$2:$110,94,0),0)*(1-AM$309)</f>
        <v>0</v>
      </c>
      <c r="AN196" s="1240">
        <f>+IFERROR(HLOOKUP(AN29,'סקרי נכסים-יתרות פתיחה'!$2:$110,35,0),0)-IFERROR(HLOOKUP(AN29,'סקרי נכסים-יתרות פתיחה'!$2:$110,94,0),0)*(1-AN$309)</f>
        <v>0</v>
      </c>
      <c r="AO196" s="1240">
        <f>+IFERROR(HLOOKUP(AO29,'סקרי נכסים-יתרות פתיחה'!$2:$110,35,0),0)-IFERROR(HLOOKUP(AO29,'סקרי נכסים-יתרות פתיחה'!$2:$110,94,0),0)*(1-AO$309)</f>
        <v>0</v>
      </c>
      <c r="AP196" s="1240">
        <f>+IFERROR(HLOOKUP(AP29,'סקרי נכסים-יתרות פתיחה'!$2:$110,35,0),0)-IFERROR(HLOOKUP(AP29,'סקרי נכסים-יתרות פתיחה'!$2:$110,94,0),0)*(1-AP$309)</f>
        <v>0</v>
      </c>
      <c r="AQ196" s="1240">
        <f>+IFERROR(HLOOKUP(AQ29,'סקרי נכסים-יתרות פתיחה'!$2:$110,35,0),0)-IFERROR(HLOOKUP(AQ29,'סקרי נכסים-יתרות פתיחה'!$2:$110,94,0),0)*(1-AQ$309)</f>
        <v>0</v>
      </c>
      <c r="AR196" s="1240">
        <f>+IFERROR(HLOOKUP(AR29,'סקרי נכסים-יתרות פתיחה'!$2:$110,35,0),0)-IFERROR(HLOOKUP(AR29,'סקרי נכסים-יתרות פתיחה'!$2:$110,94,0),0)*(1-AR$309)</f>
        <v>0</v>
      </c>
      <c r="AS196" s="1240">
        <f>+IFERROR(HLOOKUP(AS29,'סקרי נכסים-יתרות פתיחה'!$2:$110,35,0),0)-IFERROR(HLOOKUP(AS29,'סקרי נכסים-יתרות פתיחה'!$2:$110,94,0),0)*(1-AS$309)</f>
        <v>0</v>
      </c>
      <c r="AT196" s="1240">
        <f>+IFERROR(HLOOKUP(AT29,'סקרי נכסים-יתרות פתיחה'!$2:$110,35,0),0)-IFERROR(HLOOKUP(AT29,'סקרי נכסים-יתרות פתיחה'!$2:$110,94,0),0)*(1-AT$309)</f>
        <v>0</v>
      </c>
      <c r="AU196" s="1240">
        <f>+IFERROR(HLOOKUP(AU29,'סקרי נכסים-יתרות פתיחה'!$2:$110,35,0),0)-IFERROR(HLOOKUP(AU29,'סקרי נכסים-יתרות פתיחה'!$2:$110,94,0),0)*(1-AU$309)</f>
        <v>0</v>
      </c>
      <c r="AV196" s="1240">
        <f>+IFERROR(HLOOKUP(AV29,'סקרי נכסים-יתרות פתיחה'!$2:$110,35,0),0)-IFERROR(HLOOKUP(AV29,'סקרי נכסים-יתרות פתיחה'!$2:$110,94,0),0)*(1-AV$309)</f>
        <v>0</v>
      </c>
      <c r="AW196" s="1240">
        <f>+IFERROR(HLOOKUP(AW29,'סקרי נכסים-יתרות פתיחה'!$2:$110,35,0),0)-IFERROR(HLOOKUP(AW29,'סקרי נכסים-יתרות פתיחה'!$2:$110,94,0),0)*(1-AW$309)</f>
        <v>0</v>
      </c>
      <c r="AX196" s="1240">
        <f>+IFERROR(HLOOKUP(AX29,'סקרי נכסים-יתרות פתיחה'!$2:$110,35,0),0)-IFERROR(HLOOKUP(AX29,'סקרי נכסים-יתרות פתיחה'!$2:$110,94,0),0)*(1-AX$309)</f>
        <v>0</v>
      </c>
      <c r="AY196" s="1240">
        <f>+IFERROR(HLOOKUP(AY29,'סקרי נכסים-יתרות פתיחה'!$2:$110,35,0),0)-IFERROR(HLOOKUP(AY29,'סקרי נכסים-יתרות פתיחה'!$2:$110,94,0),0)*(1-AY$309)</f>
        <v>0</v>
      </c>
      <c r="AZ196" s="1240">
        <f>+IFERROR(HLOOKUP(AZ29,'סקרי נכסים-יתרות פתיחה'!$2:$110,35,0),0)-IFERROR(HLOOKUP(AZ29,'סקרי נכסים-יתרות פתיחה'!$2:$110,94,0),0)*(1-AZ$309)</f>
        <v>0</v>
      </c>
      <c r="BA196" s="1240">
        <f>+IFERROR(HLOOKUP(BA29,'סקרי נכסים-יתרות פתיחה'!$2:$110,35,0),0)-IFERROR(HLOOKUP(BA29,'סקרי נכסים-יתרות פתיחה'!$2:$110,94,0),0)*(1-BA$309)</f>
        <v>0</v>
      </c>
      <c r="BB196" s="1240">
        <f>+IFERROR(HLOOKUP(BB29,'סקרי נכסים-יתרות פתיחה'!$2:$110,35,0),0)-IFERROR(HLOOKUP(BB29,'סקרי נכסים-יתרות פתיחה'!$2:$110,94,0),0)*(1-BB$309)</f>
        <v>0</v>
      </c>
      <c r="BC196" s="1240">
        <f>+IFERROR(HLOOKUP(BC29,'סקרי נכסים-יתרות פתיחה'!$2:$110,35,0),0)-IFERROR(HLOOKUP(BC29,'סקרי נכסים-יתרות פתיחה'!$2:$110,94,0),0)*(1-BC$309)</f>
        <v>0</v>
      </c>
      <c r="BD196" s="1240">
        <f>+IFERROR(HLOOKUP(BD29,'סקרי נכסים-יתרות פתיחה'!$2:$110,35,0),0)-IFERROR(HLOOKUP(BD29,'סקרי נכסים-יתרות פתיחה'!$2:$110,94,0),0)*(1-BD$309)</f>
        <v>0</v>
      </c>
      <c r="BE196" s="1240">
        <f>+IFERROR(HLOOKUP(BE29,'סקרי נכסים-יתרות פתיחה'!$2:$110,35,0),0)-IFERROR(HLOOKUP(BE29,'סקרי נכסים-יתרות פתיחה'!$2:$110,94,0),0)*(1-BE$309)</f>
        <v>0</v>
      </c>
      <c r="BF196" s="1240">
        <f>+IFERROR(HLOOKUP(BF29,'סקרי נכסים-יתרות פתיחה'!$2:$110,35,0),0)-IFERROR(HLOOKUP(BF29,'סקרי נכסים-יתרות פתיחה'!$2:$110,94,0),0)*(1-BF$309)</f>
        <v>0</v>
      </c>
    </row>
    <row r="197" spans="1:58" x14ac:dyDescent="0.2">
      <c r="B197" s="1">
        <v>27</v>
      </c>
      <c r="C197" s="1240">
        <f>+IFERROR(HLOOKUP(C30,'סקרי נכסים-יתרות פתיחה'!$2:$110,35,0),0)-IFERROR(HLOOKUP(C30,'סקרי נכסים-יתרות פתיחה'!$2:$110,94,0),0)*(1-C$309)</f>
        <v>0</v>
      </c>
      <c r="D197" s="1240">
        <f>+IFERROR(HLOOKUP(D30,'סקרי נכסים-יתרות פתיחה'!$2:$110,35,0),0)-IFERROR(HLOOKUP(D30,'סקרי נכסים-יתרות פתיחה'!$2:$110,94,0),0)*(1-D$309)</f>
        <v>0</v>
      </c>
      <c r="E197" s="1240">
        <f>+IFERROR(HLOOKUP(E30,'סקרי נכסים-יתרות פתיחה'!$2:$110,35,0),0)-IFERROR(HLOOKUP(E30,'סקרי נכסים-יתרות פתיחה'!$2:$110,94,0),0)*(1-E$309)</f>
        <v>0</v>
      </c>
      <c r="F197" s="1240">
        <f>+IFERROR(HLOOKUP(F30,'סקרי נכסים-יתרות פתיחה'!$2:$110,35,0),0)-IFERROR(HLOOKUP(F30,'סקרי נכסים-יתרות פתיחה'!$2:$110,94,0),0)*(1-F$309)</f>
        <v>0</v>
      </c>
      <c r="G197" s="1240">
        <f>+IFERROR(HLOOKUP(G30,'סקרי נכסים-יתרות פתיחה'!$2:$110,35,0),0)-IFERROR(HLOOKUP(G30,'סקרי נכסים-יתרות פתיחה'!$2:$110,94,0),0)*(1-G$309)</f>
        <v>0</v>
      </c>
      <c r="H197" s="1240">
        <f>+IFERROR(HLOOKUP(H30,'סקרי נכסים-יתרות פתיחה'!$2:$110,35,0),0)-IFERROR(HLOOKUP(H30,'סקרי נכסים-יתרות פתיחה'!$2:$110,94,0),0)*(1-H$309)</f>
        <v>0</v>
      </c>
      <c r="I197" s="1240">
        <f>+IFERROR(HLOOKUP(I30,'סקרי נכסים-יתרות פתיחה'!$2:$110,35,0),0)-IFERROR(HLOOKUP(I30,'סקרי נכסים-יתרות פתיחה'!$2:$110,94,0),0)*(1-I$309)</f>
        <v>0</v>
      </c>
      <c r="J197" s="1240">
        <f>+IFERROR(HLOOKUP(J30,'סקרי נכסים-יתרות פתיחה'!$2:$110,35,0),0)-IFERROR(HLOOKUP(J30,'סקרי נכסים-יתרות פתיחה'!$2:$110,94,0),0)*(1-J$309)</f>
        <v>0</v>
      </c>
      <c r="K197" s="1240">
        <f>+IFERROR(HLOOKUP(K30,'סקרי נכסים-יתרות פתיחה'!$2:$110,35,0),0)-IFERROR(HLOOKUP(K30,'סקרי נכסים-יתרות פתיחה'!$2:$110,94,0),0)*(1-K$309)</f>
        <v>0</v>
      </c>
      <c r="L197" s="1240">
        <f>+IFERROR(HLOOKUP(L30,'סקרי נכסים-יתרות פתיחה'!$2:$110,35,0),0)-IFERROR(HLOOKUP(L30,'סקרי נכסים-יתרות פתיחה'!$2:$110,94,0),0)*(1-L$309)</f>
        <v>0</v>
      </c>
      <c r="M197" s="1240">
        <f>+IFERROR(HLOOKUP(M30,'סקרי נכסים-יתרות פתיחה'!$2:$110,35,0),0)-IFERROR(HLOOKUP(M30,'סקרי נכסים-יתרות פתיחה'!$2:$110,94,0),0)*(1-M$309)</f>
        <v>0</v>
      </c>
      <c r="N197" s="1240">
        <f>+IFERROR(HLOOKUP(N30,'סקרי נכסים-יתרות פתיחה'!$2:$110,35,0),0)-IFERROR(HLOOKUP(N30,'סקרי נכסים-יתרות פתיחה'!$2:$110,94,0),0)*(1-N$309)</f>
        <v>0</v>
      </c>
      <c r="O197" s="1240">
        <f>+IFERROR(HLOOKUP(O30,'סקרי נכסים-יתרות פתיחה'!$2:$110,35,0),0)-IFERROR(HLOOKUP(O30,'סקרי נכסים-יתרות פתיחה'!$2:$110,94,0),0)*(1-O$309)</f>
        <v>0</v>
      </c>
      <c r="P197" s="1240">
        <f>+IFERROR(HLOOKUP(P30,'סקרי נכסים-יתרות פתיחה'!$2:$110,35,0),0)-IFERROR(HLOOKUP(P30,'סקרי נכסים-יתרות פתיחה'!$2:$110,94,0),0)*(1-P$309)</f>
        <v>0</v>
      </c>
      <c r="Q197" s="1240">
        <f>+IFERROR(HLOOKUP(Q30,'סקרי נכסים-יתרות פתיחה'!$2:$110,35,0),0)-IFERROR(HLOOKUP(Q30,'סקרי נכסים-יתרות פתיחה'!$2:$110,94,0),0)*(1-Q$309)</f>
        <v>0</v>
      </c>
      <c r="R197" s="1240">
        <f>+IFERROR(HLOOKUP(R30,'סקרי נכסים-יתרות פתיחה'!$2:$110,35,0),0)-IFERROR(HLOOKUP(R30,'סקרי נכסים-יתרות פתיחה'!$2:$110,94,0),0)*(1-R$309)</f>
        <v>0</v>
      </c>
      <c r="S197" s="1240">
        <f>+IFERROR(HLOOKUP(S30,'סקרי נכסים-יתרות פתיחה'!$2:$110,35,0),0)-IFERROR(HLOOKUP(S30,'סקרי נכסים-יתרות פתיחה'!$2:$110,94,0),0)*(1-S$309)</f>
        <v>0</v>
      </c>
      <c r="T197" s="1240">
        <f>+IFERROR(HLOOKUP(T30,'סקרי נכסים-יתרות פתיחה'!$2:$110,35,0),0)-IFERROR(HLOOKUP(T30,'סקרי נכסים-יתרות פתיחה'!$2:$110,94,0),0)*(1-T$309)</f>
        <v>0</v>
      </c>
      <c r="U197" s="1240">
        <f>+IFERROR(HLOOKUP(U30,'סקרי נכסים-יתרות פתיחה'!$2:$110,35,0),0)-IFERROR(HLOOKUP(U30,'סקרי נכסים-יתרות פתיחה'!$2:$110,94,0),0)*(1-U$309)</f>
        <v>0</v>
      </c>
      <c r="V197" s="1240">
        <f>+IFERROR(HLOOKUP(V30,'סקרי נכסים-יתרות פתיחה'!$2:$110,35,0),0)-IFERROR(HLOOKUP(V30,'סקרי נכסים-יתרות פתיחה'!$2:$110,94,0),0)*(1-V$309)</f>
        <v>0</v>
      </c>
      <c r="W197" s="1240">
        <f>+IFERROR(HLOOKUP(W30,'סקרי נכסים-יתרות פתיחה'!$2:$110,35,0),0)-IFERROR(HLOOKUP(W30,'סקרי נכסים-יתרות פתיחה'!$2:$110,94,0),0)*(1-W$309)</f>
        <v>0</v>
      </c>
      <c r="X197" s="1240">
        <f>+IFERROR(HLOOKUP(X30,'סקרי נכסים-יתרות פתיחה'!$2:$110,35,0),0)-IFERROR(HLOOKUP(X30,'סקרי נכסים-יתרות פתיחה'!$2:$110,94,0),0)*(1-X$309)</f>
        <v>0</v>
      </c>
      <c r="Y197" s="1240">
        <f>+IFERROR(HLOOKUP(Y30,'סקרי נכסים-יתרות פתיחה'!$2:$110,35,0),0)-IFERROR(HLOOKUP(Y30,'סקרי נכסים-יתרות פתיחה'!$2:$110,94,0),0)*(1-Y$309)</f>
        <v>0</v>
      </c>
      <c r="Z197" s="1240">
        <f>+IFERROR(HLOOKUP(Z30,'סקרי נכסים-יתרות פתיחה'!$2:$110,35,0),0)-IFERROR(HLOOKUP(Z30,'סקרי נכסים-יתרות פתיחה'!$2:$110,94,0),0)*(1-Z$309)</f>
        <v>0</v>
      </c>
      <c r="AA197" s="1240">
        <f>+IFERROR(HLOOKUP(AA30,'סקרי נכסים-יתרות פתיחה'!$2:$110,35,0),0)-IFERROR(HLOOKUP(AA30,'סקרי נכסים-יתרות פתיחה'!$2:$110,94,0),0)*(1-AA$309)</f>
        <v>0</v>
      </c>
      <c r="AB197" s="1240">
        <f>+IFERROR(HLOOKUP(AB30,'סקרי נכסים-יתרות פתיחה'!$2:$110,35,0),0)-IFERROR(HLOOKUP(AB30,'סקרי נכסים-יתרות פתיחה'!$2:$110,94,0),0)*(1-AB$309)</f>
        <v>0</v>
      </c>
      <c r="AC197" s="1240">
        <f>+IFERROR(HLOOKUP(AC30,'סקרי נכסים-יתרות פתיחה'!$2:$110,35,0),0)-IFERROR(HLOOKUP(AC30,'סקרי נכסים-יתרות פתיחה'!$2:$110,94,0),0)*(1-AC$309)</f>
        <v>0</v>
      </c>
      <c r="AD197" s="1240">
        <f>+IFERROR(HLOOKUP(AD30,'סקרי נכסים-יתרות פתיחה'!$2:$110,35,0),0)-IFERROR(HLOOKUP(AD30,'סקרי נכסים-יתרות פתיחה'!$2:$110,94,0),0)*(1-AD$309)</f>
        <v>0</v>
      </c>
      <c r="AE197" s="1240">
        <f>+IFERROR(HLOOKUP(AE30,'סקרי נכסים-יתרות פתיחה'!$2:$110,35,0),0)-IFERROR(HLOOKUP(AE30,'סקרי נכסים-יתרות פתיחה'!$2:$110,94,0),0)*(1-AE$309)</f>
        <v>0</v>
      </c>
      <c r="AF197" s="1240">
        <f>+IFERROR(HLOOKUP(AF30,'סקרי נכסים-יתרות פתיחה'!$2:$110,35,0),0)-IFERROR(HLOOKUP(AF30,'סקרי נכסים-יתרות פתיחה'!$2:$110,94,0),0)*(1-AF$309)</f>
        <v>0</v>
      </c>
      <c r="AG197" s="1240">
        <f>+IFERROR(HLOOKUP(AG30,'סקרי נכסים-יתרות פתיחה'!$2:$110,35,0),0)-IFERROR(HLOOKUP(AG30,'סקרי נכסים-יתרות פתיחה'!$2:$110,94,0),0)*(1-AG$309)</f>
        <v>0</v>
      </c>
      <c r="AH197" s="1240">
        <f>+IFERROR(HLOOKUP(AH30,'סקרי נכסים-יתרות פתיחה'!$2:$110,35,0),0)-IFERROR(HLOOKUP(AH30,'סקרי נכסים-יתרות פתיחה'!$2:$110,94,0),0)*(1-AH$309)</f>
        <v>0</v>
      </c>
      <c r="AI197" s="1240">
        <f>+IFERROR(HLOOKUP(AI30,'סקרי נכסים-יתרות פתיחה'!$2:$110,35,0),0)-IFERROR(HLOOKUP(AI30,'סקרי נכסים-יתרות פתיחה'!$2:$110,94,0),0)*(1-AI$309)</f>
        <v>0</v>
      </c>
      <c r="AJ197" s="1240">
        <f>+IFERROR(HLOOKUP(AJ30,'סקרי נכסים-יתרות פתיחה'!$2:$110,35,0),0)-IFERROR(HLOOKUP(AJ30,'סקרי נכסים-יתרות פתיחה'!$2:$110,94,0),0)*(1-AJ$309)</f>
        <v>0</v>
      </c>
      <c r="AK197" s="1240">
        <f>+IFERROR(HLOOKUP(AK30,'סקרי נכסים-יתרות פתיחה'!$2:$110,35,0),0)-IFERROR(HLOOKUP(AK30,'סקרי נכסים-יתרות פתיחה'!$2:$110,94,0),0)*(1-AK$309)</f>
        <v>0</v>
      </c>
      <c r="AL197" s="1240">
        <f>+IFERROR(HLOOKUP(AL30,'סקרי נכסים-יתרות פתיחה'!$2:$110,35,0),0)-IFERROR(HLOOKUP(AL30,'סקרי נכסים-יתרות פתיחה'!$2:$110,94,0),0)*(1-AL$309)</f>
        <v>0</v>
      </c>
      <c r="AM197" s="1240">
        <f>+IFERROR(HLOOKUP(AM30,'סקרי נכסים-יתרות פתיחה'!$2:$110,35,0),0)-IFERROR(HLOOKUP(AM30,'סקרי נכסים-יתרות פתיחה'!$2:$110,94,0),0)*(1-AM$309)</f>
        <v>0</v>
      </c>
      <c r="AN197" s="1240">
        <f>+IFERROR(HLOOKUP(AN30,'סקרי נכסים-יתרות פתיחה'!$2:$110,35,0),0)-IFERROR(HLOOKUP(AN30,'סקרי נכסים-יתרות פתיחה'!$2:$110,94,0),0)*(1-AN$309)</f>
        <v>0</v>
      </c>
      <c r="AO197" s="1240">
        <f>+IFERROR(HLOOKUP(AO30,'סקרי נכסים-יתרות פתיחה'!$2:$110,35,0),0)-IFERROR(HLOOKUP(AO30,'סקרי נכסים-יתרות פתיחה'!$2:$110,94,0),0)*(1-AO$309)</f>
        <v>0</v>
      </c>
      <c r="AP197" s="1240">
        <f>+IFERROR(HLOOKUP(AP30,'סקרי נכסים-יתרות פתיחה'!$2:$110,35,0),0)-IFERROR(HLOOKUP(AP30,'סקרי נכסים-יתרות פתיחה'!$2:$110,94,0),0)*(1-AP$309)</f>
        <v>0</v>
      </c>
      <c r="AQ197" s="1240">
        <f>+IFERROR(HLOOKUP(AQ30,'סקרי נכסים-יתרות פתיחה'!$2:$110,35,0),0)-IFERROR(HLOOKUP(AQ30,'סקרי נכסים-יתרות פתיחה'!$2:$110,94,0),0)*(1-AQ$309)</f>
        <v>0</v>
      </c>
      <c r="AR197" s="1240">
        <f>+IFERROR(HLOOKUP(AR30,'סקרי נכסים-יתרות פתיחה'!$2:$110,35,0),0)-IFERROR(HLOOKUP(AR30,'סקרי נכסים-יתרות פתיחה'!$2:$110,94,0),0)*(1-AR$309)</f>
        <v>0</v>
      </c>
      <c r="AS197" s="1240">
        <f>+IFERROR(HLOOKUP(AS30,'סקרי נכסים-יתרות פתיחה'!$2:$110,35,0),0)-IFERROR(HLOOKUP(AS30,'סקרי נכסים-יתרות פתיחה'!$2:$110,94,0),0)*(1-AS$309)</f>
        <v>0</v>
      </c>
      <c r="AT197" s="1240">
        <f>+IFERROR(HLOOKUP(AT30,'סקרי נכסים-יתרות פתיחה'!$2:$110,35,0),0)-IFERROR(HLOOKUP(AT30,'סקרי נכסים-יתרות פתיחה'!$2:$110,94,0),0)*(1-AT$309)</f>
        <v>0</v>
      </c>
      <c r="AU197" s="1240">
        <f>+IFERROR(HLOOKUP(AU30,'סקרי נכסים-יתרות פתיחה'!$2:$110,35,0),0)-IFERROR(HLOOKUP(AU30,'סקרי נכסים-יתרות פתיחה'!$2:$110,94,0),0)*(1-AU$309)</f>
        <v>0</v>
      </c>
      <c r="AV197" s="1240">
        <f>+IFERROR(HLOOKUP(AV30,'סקרי נכסים-יתרות פתיחה'!$2:$110,35,0),0)-IFERROR(HLOOKUP(AV30,'סקרי נכסים-יתרות פתיחה'!$2:$110,94,0),0)*(1-AV$309)</f>
        <v>0</v>
      </c>
      <c r="AW197" s="1240">
        <f>+IFERROR(HLOOKUP(AW30,'סקרי נכסים-יתרות פתיחה'!$2:$110,35,0),0)-IFERROR(HLOOKUP(AW30,'סקרי נכסים-יתרות פתיחה'!$2:$110,94,0),0)*(1-AW$309)</f>
        <v>0</v>
      </c>
      <c r="AX197" s="1240">
        <f>+IFERROR(HLOOKUP(AX30,'סקרי נכסים-יתרות פתיחה'!$2:$110,35,0),0)-IFERROR(HLOOKUP(AX30,'סקרי נכסים-יתרות פתיחה'!$2:$110,94,0),0)*(1-AX$309)</f>
        <v>0</v>
      </c>
      <c r="AY197" s="1240">
        <f>+IFERROR(HLOOKUP(AY30,'סקרי נכסים-יתרות פתיחה'!$2:$110,35,0),0)-IFERROR(HLOOKUP(AY30,'סקרי נכסים-יתרות פתיחה'!$2:$110,94,0),0)*(1-AY$309)</f>
        <v>0</v>
      </c>
      <c r="AZ197" s="1240">
        <f>+IFERROR(HLOOKUP(AZ30,'סקרי נכסים-יתרות פתיחה'!$2:$110,35,0),0)-IFERROR(HLOOKUP(AZ30,'סקרי נכסים-יתרות פתיחה'!$2:$110,94,0),0)*(1-AZ$309)</f>
        <v>0</v>
      </c>
      <c r="BA197" s="1240">
        <f>+IFERROR(HLOOKUP(BA30,'סקרי נכסים-יתרות פתיחה'!$2:$110,35,0),0)-IFERROR(HLOOKUP(BA30,'סקרי נכסים-יתרות פתיחה'!$2:$110,94,0),0)*(1-BA$309)</f>
        <v>0</v>
      </c>
      <c r="BB197" s="1240">
        <f>+IFERROR(HLOOKUP(BB30,'סקרי נכסים-יתרות פתיחה'!$2:$110,35,0),0)-IFERROR(HLOOKUP(BB30,'סקרי נכסים-יתרות פתיחה'!$2:$110,94,0),0)*(1-BB$309)</f>
        <v>0</v>
      </c>
      <c r="BC197" s="1240">
        <f>+IFERROR(HLOOKUP(BC30,'סקרי נכסים-יתרות פתיחה'!$2:$110,35,0),0)-IFERROR(HLOOKUP(BC30,'סקרי נכסים-יתרות פתיחה'!$2:$110,94,0),0)*(1-BC$309)</f>
        <v>0</v>
      </c>
      <c r="BD197" s="1240">
        <f>+IFERROR(HLOOKUP(BD30,'סקרי נכסים-יתרות פתיחה'!$2:$110,35,0),0)-IFERROR(HLOOKUP(BD30,'סקרי נכסים-יתרות פתיחה'!$2:$110,94,0),0)*(1-BD$309)</f>
        <v>0</v>
      </c>
      <c r="BE197" s="1240">
        <f>+IFERROR(HLOOKUP(BE30,'סקרי נכסים-יתרות פתיחה'!$2:$110,35,0),0)-IFERROR(HLOOKUP(BE30,'סקרי נכסים-יתרות פתיחה'!$2:$110,94,0),0)*(1-BE$309)</f>
        <v>0</v>
      </c>
      <c r="BF197" s="1240">
        <f>+IFERROR(HLOOKUP(BF30,'סקרי נכסים-יתרות פתיחה'!$2:$110,35,0),0)-IFERROR(HLOOKUP(BF30,'סקרי נכסים-יתרות פתיחה'!$2:$110,94,0),0)*(1-BF$309)</f>
        <v>0</v>
      </c>
    </row>
    <row r="198" spans="1:58" x14ac:dyDescent="0.2">
      <c r="B198" s="1">
        <v>28</v>
      </c>
      <c r="C198" s="1240">
        <f>+IFERROR(HLOOKUP(C31,'סקרי נכסים-יתרות פתיחה'!$2:$110,35,0),0)-IFERROR(HLOOKUP(C31,'סקרי נכסים-יתרות פתיחה'!$2:$110,94,0),0)*(1-C$309)</f>
        <v>0</v>
      </c>
      <c r="D198" s="1240">
        <f>+IFERROR(HLOOKUP(D31,'סקרי נכסים-יתרות פתיחה'!$2:$110,35,0),0)-IFERROR(HLOOKUP(D31,'סקרי נכסים-יתרות פתיחה'!$2:$110,94,0),0)*(1-D$309)</f>
        <v>0</v>
      </c>
      <c r="E198" s="1240">
        <f>+IFERROR(HLOOKUP(E31,'סקרי נכסים-יתרות פתיחה'!$2:$110,35,0),0)-IFERROR(HLOOKUP(E31,'סקרי נכסים-יתרות פתיחה'!$2:$110,94,0),0)*(1-E$309)</f>
        <v>0</v>
      </c>
      <c r="F198" s="1240">
        <f>+IFERROR(HLOOKUP(F31,'סקרי נכסים-יתרות פתיחה'!$2:$110,35,0),0)-IFERROR(HLOOKUP(F31,'סקרי נכסים-יתרות פתיחה'!$2:$110,94,0),0)*(1-F$309)</f>
        <v>0</v>
      </c>
      <c r="G198" s="1240">
        <f>+IFERROR(HLOOKUP(G31,'סקרי נכסים-יתרות פתיחה'!$2:$110,35,0),0)-IFERROR(HLOOKUP(G31,'סקרי נכסים-יתרות פתיחה'!$2:$110,94,0),0)*(1-G$309)</f>
        <v>0</v>
      </c>
      <c r="H198" s="1240">
        <f>+IFERROR(HLOOKUP(H31,'סקרי נכסים-יתרות פתיחה'!$2:$110,35,0),0)-IFERROR(HLOOKUP(H31,'סקרי נכסים-יתרות פתיחה'!$2:$110,94,0),0)*(1-H$309)</f>
        <v>0</v>
      </c>
      <c r="I198" s="1240">
        <f>+IFERROR(HLOOKUP(I31,'סקרי נכסים-יתרות פתיחה'!$2:$110,35,0),0)-IFERROR(HLOOKUP(I31,'סקרי נכסים-יתרות פתיחה'!$2:$110,94,0),0)*(1-I$309)</f>
        <v>0</v>
      </c>
      <c r="J198" s="1240">
        <f>+IFERROR(HLOOKUP(J31,'סקרי נכסים-יתרות פתיחה'!$2:$110,35,0),0)-IFERROR(HLOOKUP(J31,'סקרי נכסים-יתרות פתיחה'!$2:$110,94,0),0)*(1-J$309)</f>
        <v>0</v>
      </c>
      <c r="K198" s="1240">
        <f>+IFERROR(HLOOKUP(K31,'סקרי נכסים-יתרות פתיחה'!$2:$110,35,0),0)-IFERROR(HLOOKUP(K31,'סקרי נכסים-יתרות פתיחה'!$2:$110,94,0),0)*(1-K$309)</f>
        <v>0</v>
      </c>
      <c r="L198" s="1240">
        <f>+IFERROR(HLOOKUP(L31,'סקרי נכסים-יתרות פתיחה'!$2:$110,35,0),0)-IFERROR(HLOOKUP(L31,'סקרי נכסים-יתרות פתיחה'!$2:$110,94,0),0)*(1-L$309)</f>
        <v>0</v>
      </c>
      <c r="M198" s="1240">
        <f>+IFERROR(HLOOKUP(M31,'סקרי נכסים-יתרות פתיחה'!$2:$110,35,0),0)-IFERROR(HLOOKUP(M31,'סקרי נכסים-יתרות פתיחה'!$2:$110,94,0),0)*(1-M$309)</f>
        <v>0</v>
      </c>
      <c r="N198" s="1240">
        <f>+IFERROR(HLOOKUP(N31,'סקרי נכסים-יתרות פתיחה'!$2:$110,35,0),0)-IFERROR(HLOOKUP(N31,'סקרי נכסים-יתרות פתיחה'!$2:$110,94,0),0)*(1-N$309)</f>
        <v>0</v>
      </c>
      <c r="O198" s="1240">
        <f>+IFERROR(HLOOKUP(O31,'סקרי נכסים-יתרות פתיחה'!$2:$110,35,0),0)-IFERROR(HLOOKUP(O31,'סקרי נכסים-יתרות פתיחה'!$2:$110,94,0),0)*(1-O$309)</f>
        <v>0</v>
      </c>
      <c r="P198" s="1240">
        <f>+IFERROR(HLOOKUP(P31,'סקרי נכסים-יתרות פתיחה'!$2:$110,35,0),0)-IFERROR(HLOOKUP(P31,'סקרי נכסים-יתרות פתיחה'!$2:$110,94,0),0)*(1-P$309)</f>
        <v>0</v>
      </c>
      <c r="Q198" s="1240">
        <f>+IFERROR(HLOOKUP(Q31,'סקרי נכסים-יתרות פתיחה'!$2:$110,35,0),0)-IFERROR(HLOOKUP(Q31,'סקרי נכסים-יתרות פתיחה'!$2:$110,94,0),0)*(1-Q$309)</f>
        <v>0</v>
      </c>
      <c r="R198" s="1240">
        <f>+IFERROR(HLOOKUP(R31,'סקרי נכסים-יתרות פתיחה'!$2:$110,35,0),0)-IFERROR(HLOOKUP(R31,'סקרי נכסים-יתרות פתיחה'!$2:$110,94,0),0)*(1-R$309)</f>
        <v>0</v>
      </c>
      <c r="S198" s="1240">
        <f>+IFERROR(HLOOKUP(S31,'סקרי נכסים-יתרות פתיחה'!$2:$110,35,0),0)-IFERROR(HLOOKUP(S31,'סקרי נכסים-יתרות פתיחה'!$2:$110,94,0),0)*(1-S$309)</f>
        <v>0</v>
      </c>
      <c r="T198" s="1240">
        <f>+IFERROR(HLOOKUP(T31,'סקרי נכסים-יתרות פתיחה'!$2:$110,35,0),0)-IFERROR(HLOOKUP(T31,'סקרי נכסים-יתרות פתיחה'!$2:$110,94,0),0)*(1-T$309)</f>
        <v>0</v>
      </c>
      <c r="U198" s="1240">
        <f>+IFERROR(HLOOKUP(U31,'סקרי נכסים-יתרות פתיחה'!$2:$110,35,0),0)-IFERROR(HLOOKUP(U31,'סקרי נכסים-יתרות פתיחה'!$2:$110,94,0),0)*(1-U$309)</f>
        <v>0</v>
      </c>
      <c r="V198" s="1240">
        <f>+IFERROR(HLOOKUP(V31,'סקרי נכסים-יתרות פתיחה'!$2:$110,35,0),0)-IFERROR(HLOOKUP(V31,'סקרי נכסים-יתרות פתיחה'!$2:$110,94,0),0)*(1-V$309)</f>
        <v>0</v>
      </c>
      <c r="W198" s="1240">
        <f>+IFERROR(HLOOKUP(W31,'סקרי נכסים-יתרות פתיחה'!$2:$110,35,0),0)-IFERROR(HLOOKUP(W31,'סקרי נכסים-יתרות פתיחה'!$2:$110,94,0),0)*(1-W$309)</f>
        <v>0</v>
      </c>
      <c r="X198" s="1240">
        <f>+IFERROR(HLOOKUP(X31,'סקרי נכסים-יתרות פתיחה'!$2:$110,35,0),0)-IFERROR(HLOOKUP(X31,'סקרי נכסים-יתרות פתיחה'!$2:$110,94,0),0)*(1-X$309)</f>
        <v>0</v>
      </c>
      <c r="Y198" s="1240">
        <f>+IFERROR(HLOOKUP(Y31,'סקרי נכסים-יתרות פתיחה'!$2:$110,35,0),0)-IFERROR(HLOOKUP(Y31,'סקרי נכסים-יתרות פתיחה'!$2:$110,94,0),0)*(1-Y$309)</f>
        <v>0</v>
      </c>
      <c r="Z198" s="1240">
        <f>+IFERROR(HLOOKUP(Z31,'סקרי נכסים-יתרות פתיחה'!$2:$110,35,0),0)-IFERROR(HLOOKUP(Z31,'סקרי נכסים-יתרות פתיחה'!$2:$110,94,0),0)*(1-Z$309)</f>
        <v>0</v>
      </c>
      <c r="AA198" s="1240">
        <f>+IFERROR(HLOOKUP(AA31,'סקרי נכסים-יתרות פתיחה'!$2:$110,35,0),0)-IFERROR(HLOOKUP(AA31,'סקרי נכסים-יתרות פתיחה'!$2:$110,94,0),0)*(1-AA$309)</f>
        <v>0</v>
      </c>
      <c r="AB198" s="1240">
        <f>+IFERROR(HLOOKUP(AB31,'סקרי נכסים-יתרות פתיחה'!$2:$110,35,0),0)-IFERROR(HLOOKUP(AB31,'סקרי נכסים-יתרות פתיחה'!$2:$110,94,0),0)*(1-AB$309)</f>
        <v>0</v>
      </c>
      <c r="AC198" s="1240">
        <f>+IFERROR(HLOOKUP(AC31,'סקרי נכסים-יתרות פתיחה'!$2:$110,35,0),0)-IFERROR(HLOOKUP(AC31,'סקרי נכסים-יתרות פתיחה'!$2:$110,94,0),0)*(1-AC$309)</f>
        <v>0</v>
      </c>
      <c r="AD198" s="1240">
        <f>+IFERROR(HLOOKUP(AD31,'סקרי נכסים-יתרות פתיחה'!$2:$110,35,0),0)-IFERROR(HLOOKUP(AD31,'סקרי נכסים-יתרות פתיחה'!$2:$110,94,0),0)*(1-AD$309)</f>
        <v>0</v>
      </c>
      <c r="AE198" s="1240">
        <f>+IFERROR(HLOOKUP(AE31,'סקרי נכסים-יתרות פתיחה'!$2:$110,35,0),0)-IFERROR(HLOOKUP(AE31,'סקרי נכסים-יתרות פתיחה'!$2:$110,94,0),0)*(1-AE$309)</f>
        <v>0</v>
      </c>
      <c r="AF198" s="1240">
        <f>+IFERROR(HLOOKUP(AF31,'סקרי נכסים-יתרות פתיחה'!$2:$110,35,0),0)-IFERROR(HLOOKUP(AF31,'סקרי נכסים-יתרות פתיחה'!$2:$110,94,0),0)*(1-AF$309)</f>
        <v>0</v>
      </c>
      <c r="AG198" s="1240">
        <f>+IFERROR(HLOOKUP(AG31,'סקרי נכסים-יתרות פתיחה'!$2:$110,35,0),0)-IFERROR(HLOOKUP(AG31,'סקרי נכסים-יתרות פתיחה'!$2:$110,94,0),0)*(1-AG$309)</f>
        <v>0</v>
      </c>
      <c r="AH198" s="1240">
        <f>+IFERROR(HLOOKUP(AH31,'סקרי נכסים-יתרות פתיחה'!$2:$110,35,0),0)-IFERROR(HLOOKUP(AH31,'סקרי נכסים-יתרות פתיחה'!$2:$110,94,0),0)*(1-AH$309)</f>
        <v>0</v>
      </c>
      <c r="AI198" s="1240">
        <f>+IFERROR(HLOOKUP(AI31,'סקרי נכסים-יתרות פתיחה'!$2:$110,35,0),0)-IFERROR(HLOOKUP(AI31,'סקרי נכסים-יתרות פתיחה'!$2:$110,94,0),0)*(1-AI$309)</f>
        <v>0</v>
      </c>
      <c r="AJ198" s="1240">
        <f>+IFERROR(HLOOKUP(AJ31,'סקרי נכסים-יתרות פתיחה'!$2:$110,35,0),0)-IFERROR(HLOOKUP(AJ31,'סקרי נכסים-יתרות פתיחה'!$2:$110,94,0),0)*(1-AJ$309)</f>
        <v>0</v>
      </c>
      <c r="AK198" s="1240">
        <f>+IFERROR(HLOOKUP(AK31,'סקרי נכסים-יתרות פתיחה'!$2:$110,35,0),0)-IFERROR(HLOOKUP(AK31,'סקרי נכסים-יתרות פתיחה'!$2:$110,94,0),0)*(1-AK$309)</f>
        <v>0</v>
      </c>
      <c r="AL198" s="1240">
        <f>+IFERROR(HLOOKUP(AL31,'סקרי נכסים-יתרות פתיחה'!$2:$110,35,0),0)-IFERROR(HLOOKUP(AL31,'סקרי נכסים-יתרות פתיחה'!$2:$110,94,0),0)*(1-AL$309)</f>
        <v>0</v>
      </c>
      <c r="AM198" s="1240">
        <f>+IFERROR(HLOOKUP(AM31,'סקרי נכסים-יתרות פתיחה'!$2:$110,35,0),0)-IFERROR(HLOOKUP(AM31,'סקרי נכסים-יתרות פתיחה'!$2:$110,94,0),0)*(1-AM$309)</f>
        <v>0</v>
      </c>
      <c r="AN198" s="1240">
        <f>+IFERROR(HLOOKUP(AN31,'סקרי נכסים-יתרות פתיחה'!$2:$110,35,0),0)-IFERROR(HLOOKUP(AN31,'סקרי נכסים-יתרות פתיחה'!$2:$110,94,0),0)*(1-AN$309)</f>
        <v>0</v>
      </c>
      <c r="AO198" s="1240">
        <f>+IFERROR(HLOOKUP(AO31,'סקרי נכסים-יתרות פתיחה'!$2:$110,35,0),0)-IFERROR(HLOOKUP(AO31,'סקרי נכסים-יתרות פתיחה'!$2:$110,94,0),0)*(1-AO$309)</f>
        <v>0</v>
      </c>
      <c r="AP198" s="1240">
        <f>+IFERROR(HLOOKUP(AP31,'סקרי נכסים-יתרות פתיחה'!$2:$110,35,0),0)-IFERROR(HLOOKUP(AP31,'סקרי נכסים-יתרות פתיחה'!$2:$110,94,0),0)*(1-AP$309)</f>
        <v>0</v>
      </c>
      <c r="AQ198" s="1240">
        <f>+IFERROR(HLOOKUP(AQ31,'סקרי נכסים-יתרות פתיחה'!$2:$110,35,0),0)-IFERROR(HLOOKUP(AQ31,'סקרי נכסים-יתרות פתיחה'!$2:$110,94,0),0)*(1-AQ$309)</f>
        <v>0</v>
      </c>
      <c r="AR198" s="1240">
        <f>+IFERROR(HLOOKUP(AR31,'סקרי נכסים-יתרות פתיחה'!$2:$110,35,0),0)-IFERROR(HLOOKUP(AR31,'סקרי נכסים-יתרות פתיחה'!$2:$110,94,0),0)*(1-AR$309)</f>
        <v>0</v>
      </c>
      <c r="AS198" s="1240">
        <f>+IFERROR(HLOOKUP(AS31,'סקרי נכסים-יתרות פתיחה'!$2:$110,35,0),0)-IFERROR(HLOOKUP(AS31,'סקרי נכסים-יתרות פתיחה'!$2:$110,94,0),0)*(1-AS$309)</f>
        <v>0</v>
      </c>
      <c r="AT198" s="1240">
        <f>+IFERROR(HLOOKUP(AT31,'סקרי נכסים-יתרות פתיחה'!$2:$110,35,0),0)-IFERROR(HLOOKUP(AT31,'סקרי נכסים-יתרות פתיחה'!$2:$110,94,0),0)*(1-AT$309)</f>
        <v>0</v>
      </c>
      <c r="AU198" s="1240">
        <f>+IFERROR(HLOOKUP(AU31,'סקרי נכסים-יתרות פתיחה'!$2:$110,35,0),0)-IFERROR(HLOOKUP(AU31,'סקרי נכסים-יתרות פתיחה'!$2:$110,94,0),0)*(1-AU$309)</f>
        <v>0</v>
      </c>
      <c r="AV198" s="1240">
        <f>+IFERROR(HLOOKUP(AV31,'סקרי נכסים-יתרות פתיחה'!$2:$110,35,0),0)-IFERROR(HLOOKUP(AV31,'סקרי נכסים-יתרות פתיחה'!$2:$110,94,0),0)*(1-AV$309)</f>
        <v>0</v>
      </c>
      <c r="AW198" s="1240">
        <f>+IFERROR(HLOOKUP(AW31,'סקרי נכסים-יתרות פתיחה'!$2:$110,35,0),0)-IFERROR(HLOOKUP(AW31,'סקרי נכסים-יתרות פתיחה'!$2:$110,94,0),0)*(1-AW$309)</f>
        <v>0</v>
      </c>
      <c r="AX198" s="1240">
        <f>+IFERROR(HLOOKUP(AX31,'סקרי נכסים-יתרות פתיחה'!$2:$110,35,0),0)-IFERROR(HLOOKUP(AX31,'סקרי נכסים-יתרות פתיחה'!$2:$110,94,0),0)*(1-AX$309)</f>
        <v>0</v>
      </c>
      <c r="AY198" s="1240">
        <f>+IFERROR(HLOOKUP(AY31,'סקרי נכסים-יתרות פתיחה'!$2:$110,35,0),0)-IFERROR(HLOOKUP(AY31,'סקרי נכסים-יתרות פתיחה'!$2:$110,94,0),0)*(1-AY$309)</f>
        <v>0</v>
      </c>
      <c r="AZ198" s="1240">
        <f>+IFERROR(HLOOKUP(AZ31,'סקרי נכסים-יתרות פתיחה'!$2:$110,35,0),0)-IFERROR(HLOOKUP(AZ31,'סקרי נכסים-יתרות פתיחה'!$2:$110,94,0),0)*(1-AZ$309)</f>
        <v>0</v>
      </c>
      <c r="BA198" s="1240">
        <f>+IFERROR(HLOOKUP(BA31,'סקרי נכסים-יתרות פתיחה'!$2:$110,35,0),0)-IFERROR(HLOOKUP(BA31,'סקרי נכסים-יתרות פתיחה'!$2:$110,94,0),0)*(1-BA$309)</f>
        <v>0</v>
      </c>
      <c r="BB198" s="1240">
        <f>+IFERROR(HLOOKUP(BB31,'סקרי נכסים-יתרות פתיחה'!$2:$110,35,0),0)-IFERROR(HLOOKUP(BB31,'סקרי נכסים-יתרות פתיחה'!$2:$110,94,0),0)*(1-BB$309)</f>
        <v>0</v>
      </c>
      <c r="BC198" s="1240">
        <f>+IFERROR(HLOOKUP(BC31,'סקרי נכסים-יתרות פתיחה'!$2:$110,35,0),0)-IFERROR(HLOOKUP(BC31,'סקרי נכסים-יתרות פתיחה'!$2:$110,94,0),0)*(1-BC$309)</f>
        <v>0</v>
      </c>
      <c r="BD198" s="1240">
        <f>+IFERROR(HLOOKUP(BD31,'סקרי נכסים-יתרות פתיחה'!$2:$110,35,0),0)-IFERROR(HLOOKUP(BD31,'סקרי נכסים-יתרות פתיחה'!$2:$110,94,0),0)*(1-BD$309)</f>
        <v>0</v>
      </c>
      <c r="BE198" s="1240">
        <f>+IFERROR(HLOOKUP(BE31,'סקרי נכסים-יתרות פתיחה'!$2:$110,35,0),0)-IFERROR(HLOOKUP(BE31,'סקרי נכסים-יתרות פתיחה'!$2:$110,94,0),0)*(1-BE$309)</f>
        <v>0</v>
      </c>
      <c r="BF198" s="1240">
        <f>+IFERROR(HLOOKUP(BF31,'סקרי נכסים-יתרות פתיחה'!$2:$110,35,0),0)-IFERROR(HLOOKUP(BF31,'סקרי נכסים-יתרות פתיחה'!$2:$110,94,0),0)*(1-BF$309)</f>
        <v>0</v>
      </c>
    </row>
    <row r="199" spans="1:58" x14ac:dyDescent="0.2">
      <c r="B199" s="1">
        <v>29</v>
      </c>
      <c r="C199" s="1240">
        <f>+IFERROR(HLOOKUP(C32,'סקרי נכסים-יתרות פתיחה'!$2:$110,35,0),0)-IFERROR(HLOOKUP(C32,'סקרי נכסים-יתרות פתיחה'!$2:$110,94,0),0)*(1-C$309)</f>
        <v>0</v>
      </c>
      <c r="D199" s="1240">
        <f>+IFERROR(HLOOKUP(D32,'סקרי נכסים-יתרות פתיחה'!$2:$110,35,0),0)-IFERROR(HLOOKUP(D32,'סקרי נכסים-יתרות פתיחה'!$2:$110,94,0),0)*(1-D$309)</f>
        <v>0</v>
      </c>
      <c r="E199" s="1240">
        <f>+IFERROR(HLOOKUP(E32,'סקרי נכסים-יתרות פתיחה'!$2:$110,35,0),0)-IFERROR(HLOOKUP(E32,'סקרי נכסים-יתרות פתיחה'!$2:$110,94,0),0)*(1-E$309)</f>
        <v>0</v>
      </c>
      <c r="F199" s="1240">
        <f>+IFERROR(HLOOKUP(F32,'סקרי נכסים-יתרות פתיחה'!$2:$110,35,0),0)-IFERROR(HLOOKUP(F32,'סקרי נכסים-יתרות פתיחה'!$2:$110,94,0),0)*(1-F$309)</f>
        <v>0</v>
      </c>
      <c r="G199" s="1240">
        <f>+IFERROR(HLOOKUP(G32,'סקרי נכסים-יתרות פתיחה'!$2:$110,35,0),0)-IFERROR(HLOOKUP(G32,'סקרי נכסים-יתרות פתיחה'!$2:$110,94,0),0)*(1-G$309)</f>
        <v>0</v>
      </c>
      <c r="H199" s="1240">
        <f>+IFERROR(HLOOKUP(H32,'סקרי נכסים-יתרות פתיחה'!$2:$110,35,0),0)-IFERROR(HLOOKUP(H32,'סקרי נכסים-יתרות פתיחה'!$2:$110,94,0),0)*(1-H$309)</f>
        <v>0</v>
      </c>
      <c r="I199" s="1240">
        <f>+IFERROR(HLOOKUP(I32,'סקרי נכסים-יתרות פתיחה'!$2:$110,35,0),0)-IFERROR(HLOOKUP(I32,'סקרי נכסים-יתרות פתיחה'!$2:$110,94,0),0)*(1-I$309)</f>
        <v>0</v>
      </c>
      <c r="J199" s="1240">
        <f>+IFERROR(HLOOKUP(J32,'סקרי נכסים-יתרות פתיחה'!$2:$110,35,0),0)-IFERROR(HLOOKUP(J32,'סקרי נכסים-יתרות פתיחה'!$2:$110,94,0),0)*(1-J$309)</f>
        <v>0</v>
      </c>
      <c r="K199" s="1240">
        <f>+IFERROR(HLOOKUP(K32,'סקרי נכסים-יתרות פתיחה'!$2:$110,35,0),0)-IFERROR(HLOOKUP(K32,'סקרי נכסים-יתרות פתיחה'!$2:$110,94,0),0)*(1-K$309)</f>
        <v>0</v>
      </c>
      <c r="L199" s="1240">
        <f>+IFERROR(HLOOKUP(L32,'סקרי נכסים-יתרות פתיחה'!$2:$110,35,0),0)-IFERROR(HLOOKUP(L32,'סקרי נכסים-יתרות פתיחה'!$2:$110,94,0),0)*(1-L$309)</f>
        <v>0</v>
      </c>
      <c r="M199" s="1240">
        <f>+IFERROR(HLOOKUP(M32,'סקרי נכסים-יתרות פתיחה'!$2:$110,35,0),0)-IFERROR(HLOOKUP(M32,'סקרי נכסים-יתרות פתיחה'!$2:$110,94,0),0)*(1-M$309)</f>
        <v>0</v>
      </c>
      <c r="N199" s="1240">
        <f>+IFERROR(HLOOKUP(N32,'סקרי נכסים-יתרות פתיחה'!$2:$110,35,0),0)-IFERROR(HLOOKUP(N32,'סקרי נכסים-יתרות פתיחה'!$2:$110,94,0),0)*(1-N$309)</f>
        <v>0</v>
      </c>
      <c r="O199" s="1240">
        <f>+IFERROR(HLOOKUP(O32,'סקרי נכסים-יתרות פתיחה'!$2:$110,35,0),0)-IFERROR(HLOOKUP(O32,'סקרי נכסים-יתרות פתיחה'!$2:$110,94,0),0)*(1-O$309)</f>
        <v>0</v>
      </c>
      <c r="P199" s="1240">
        <f>+IFERROR(HLOOKUP(P32,'סקרי נכסים-יתרות פתיחה'!$2:$110,35,0),0)-IFERROR(HLOOKUP(P32,'סקרי נכסים-יתרות פתיחה'!$2:$110,94,0),0)*(1-P$309)</f>
        <v>0</v>
      </c>
      <c r="Q199" s="1240">
        <f>+IFERROR(HLOOKUP(Q32,'סקרי נכסים-יתרות פתיחה'!$2:$110,35,0),0)-IFERROR(HLOOKUP(Q32,'סקרי נכסים-יתרות פתיחה'!$2:$110,94,0),0)*(1-Q$309)</f>
        <v>0</v>
      </c>
      <c r="R199" s="1240">
        <f>+IFERROR(HLOOKUP(R32,'סקרי נכסים-יתרות פתיחה'!$2:$110,35,0),0)-IFERROR(HLOOKUP(R32,'סקרי נכסים-יתרות פתיחה'!$2:$110,94,0),0)*(1-R$309)</f>
        <v>0</v>
      </c>
      <c r="S199" s="1240">
        <f>+IFERROR(HLOOKUP(S32,'סקרי נכסים-יתרות פתיחה'!$2:$110,35,0),0)-IFERROR(HLOOKUP(S32,'סקרי נכסים-יתרות פתיחה'!$2:$110,94,0),0)*(1-S$309)</f>
        <v>0</v>
      </c>
      <c r="T199" s="1240">
        <f>+IFERROR(HLOOKUP(T32,'סקרי נכסים-יתרות פתיחה'!$2:$110,35,0),0)-IFERROR(HLOOKUP(T32,'סקרי נכסים-יתרות פתיחה'!$2:$110,94,0),0)*(1-T$309)</f>
        <v>0</v>
      </c>
      <c r="U199" s="1240">
        <f>+IFERROR(HLOOKUP(U32,'סקרי נכסים-יתרות פתיחה'!$2:$110,35,0),0)-IFERROR(HLOOKUP(U32,'סקרי נכסים-יתרות פתיחה'!$2:$110,94,0),0)*(1-U$309)</f>
        <v>0</v>
      </c>
      <c r="V199" s="1240">
        <f>+IFERROR(HLOOKUP(V32,'סקרי נכסים-יתרות פתיחה'!$2:$110,35,0),0)-IFERROR(HLOOKUP(V32,'סקרי נכסים-יתרות פתיחה'!$2:$110,94,0),0)*(1-V$309)</f>
        <v>0</v>
      </c>
      <c r="W199" s="1240">
        <f>+IFERROR(HLOOKUP(W32,'סקרי נכסים-יתרות פתיחה'!$2:$110,35,0),0)-IFERROR(HLOOKUP(W32,'סקרי נכסים-יתרות פתיחה'!$2:$110,94,0),0)*(1-W$309)</f>
        <v>0</v>
      </c>
      <c r="X199" s="1240">
        <f>+IFERROR(HLOOKUP(X32,'סקרי נכסים-יתרות פתיחה'!$2:$110,35,0),0)-IFERROR(HLOOKUP(X32,'סקרי נכסים-יתרות פתיחה'!$2:$110,94,0),0)*(1-X$309)</f>
        <v>0</v>
      </c>
      <c r="Y199" s="1240">
        <f>+IFERROR(HLOOKUP(Y32,'סקרי נכסים-יתרות פתיחה'!$2:$110,35,0),0)-IFERROR(HLOOKUP(Y32,'סקרי נכסים-יתרות פתיחה'!$2:$110,94,0),0)*(1-Y$309)</f>
        <v>0</v>
      </c>
      <c r="Z199" s="1240">
        <f>+IFERROR(HLOOKUP(Z32,'סקרי נכסים-יתרות פתיחה'!$2:$110,35,0),0)-IFERROR(HLOOKUP(Z32,'סקרי נכסים-יתרות פתיחה'!$2:$110,94,0),0)*(1-Z$309)</f>
        <v>0</v>
      </c>
      <c r="AA199" s="1240">
        <f>+IFERROR(HLOOKUP(AA32,'סקרי נכסים-יתרות פתיחה'!$2:$110,35,0),0)-IFERROR(HLOOKUP(AA32,'סקרי נכסים-יתרות פתיחה'!$2:$110,94,0),0)*(1-AA$309)</f>
        <v>0</v>
      </c>
      <c r="AB199" s="1240">
        <f>+IFERROR(HLOOKUP(AB32,'סקרי נכסים-יתרות פתיחה'!$2:$110,35,0),0)-IFERROR(HLOOKUP(AB32,'סקרי נכסים-יתרות פתיחה'!$2:$110,94,0),0)*(1-AB$309)</f>
        <v>0</v>
      </c>
      <c r="AC199" s="1240">
        <f>+IFERROR(HLOOKUP(AC32,'סקרי נכסים-יתרות פתיחה'!$2:$110,35,0),0)-IFERROR(HLOOKUP(AC32,'סקרי נכסים-יתרות פתיחה'!$2:$110,94,0),0)*(1-AC$309)</f>
        <v>0</v>
      </c>
      <c r="AD199" s="1240">
        <f>+IFERROR(HLOOKUP(AD32,'סקרי נכסים-יתרות פתיחה'!$2:$110,35,0),0)-IFERROR(HLOOKUP(AD32,'סקרי נכסים-יתרות פתיחה'!$2:$110,94,0),0)*(1-AD$309)</f>
        <v>0</v>
      </c>
      <c r="AE199" s="1240">
        <f>+IFERROR(HLOOKUP(AE32,'סקרי נכסים-יתרות פתיחה'!$2:$110,35,0),0)-IFERROR(HLOOKUP(AE32,'סקרי נכסים-יתרות פתיחה'!$2:$110,94,0),0)*(1-AE$309)</f>
        <v>0</v>
      </c>
      <c r="AF199" s="1240">
        <f>+IFERROR(HLOOKUP(AF32,'סקרי נכסים-יתרות פתיחה'!$2:$110,35,0),0)-IFERROR(HLOOKUP(AF32,'סקרי נכסים-יתרות פתיחה'!$2:$110,94,0),0)*(1-AF$309)</f>
        <v>0</v>
      </c>
      <c r="AG199" s="1240">
        <f>+IFERROR(HLOOKUP(AG32,'סקרי נכסים-יתרות פתיחה'!$2:$110,35,0),0)-IFERROR(HLOOKUP(AG32,'סקרי נכסים-יתרות פתיחה'!$2:$110,94,0),0)*(1-AG$309)</f>
        <v>0</v>
      </c>
      <c r="AH199" s="1240">
        <f>+IFERROR(HLOOKUP(AH32,'סקרי נכסים-יתרות פתיחה'!$2:$110,35,0),0)-IFERROR(HLOOKUP(AH32,'סקרי נכסים-יתרות פתיחה'!$2:$110,94,0),0)*(1-AH$309)</f>
        <v>0</v>
      </c>
      <c r="AI199" s="1240">
        <f>+IFERROR(HLOOKUP(AI32,'סקרי נכסים-יתרות פתיחה'!$2:$110,35,0),0)-IFERROR(HLOOKUP(AI32,'סקרי נכסים-יתרות פתיחה'!$2:$110,94,0),0)*(1-AI$309)</f>
        <v>0</v>
      </c>
      <c r="AJ199" s="1240">
        <f>+IFERROR(HLOOKUP(AJ32,'סקרי נכסים-יתרות פתיחה'!$2:$110,35,0),0)-IFERROR(HLOOKUP(AJ32,'סקרי נכסים-יתרות פתיחה'!$2:$110,94,0),0)*(1-AJ$309)</f>
        <v>0</v>
      </c>
      <c r="AK199" s="1240">
        <f>+IFERROR(HLOOKUP(AK32,'סקרי נכסים-יתרות פתיחה'!$2:$110,35,0),0)-IFERROR(HLOOKUP(AK32,'סקרי נכסים-יתרות פתיחה'!$2:$110,94,0),0)*(1-AK$309)</f>
        <v>0</v>
      </c>
      <c r="AL199" s="1240">
        <f>+IFERROR(HLOOKUP(AL32,'סקרי נכסים-יתרות פתיחה'!$2:$110,35,0),0)-IFERROR(HLOOKUP(AL32,'סקרי נכסים-יתרות פתיחה'!$2:$110,94,0),0)*(1-AL$309)</f>
        <v>0</v>
      </c>
      <c r="AM199" s="1240">
        <f>+IFERROR(HLOOKUP(AM32,'סקרי נכסים-יתרות פתיחה'!$2:$110,35,0),0)-IFERROR(HLOOKUP(AM32,'סקרי נכסים-יתרות פתיחה'!$2:$110,94,0),0)*(1-AM$309)</f>
        <v>0</v>
      </c>
      <c r="AN199" s="1240">
        <f>+IFERROR(HLOOKUP(AN32,'סקרי נכסים-יתרות פתיחה'!$2:$110,35,0),0)-IFERROR(HLOOKUP(AN32,'סקרי נכסים-יתרות פתיחה'!$2:$110,94,0),0)*(1-AN$309)</f>
        <v>0</v>
      </c>
      <c r="AO199" s="1240">
        <f>+IFERROR(HLOOKUP(AO32,'סקרי נכסים-יתרות פתיחה'!$2:$110,35,0),0)-IFERROR(HLOOKUP(AO32,'סקרי נכסים-יתרות פתיחה'!$2:$110,94,0),0)*(1-AO$309)</f>
        <v>0</v>
      </c>
      <c r="AP199" s="1240">
        <f>+IFERROR(HLOOKUP(AP32,'סקרי נכסים-יתרות פתיחה'!$2:$110,35,0),0)-IFERROR(HLOOKUP(AP32,'סקרי נכסים-יתרות פתיחה'!$2:$110,94,0),0)*(1-AP$309)</f>
        <v>0</v>
      </c>
      <c r="AQ199" s="1240">
        <f>+IFERROR(HLOOKUP(AQ32,'סקרי נכסים-יתרות פתיחה'!$2:$110,35,0),0)-IFERROR(HLOOKUP(AQ32,'סקרי נכסים-יתרות פתיחה'!$2:$110,94,0),0)*(1-AQ$309)</f>
        <v>0</v>
      </c>
      <c r="AR199" s="1240">
        <f>+IFERROR(HLOOKUP(AR32,'סקרי נכסים-יתרות פתיחה'!$2:$110,35,0),0)-IFERROR(HLOOKUP(AR32,'סקרי נכסים-יתרות פתיחה'!$2:$110,94,0),0)*(1-AR$309)</f>
        <v>0</v>
      </c>
      <c r="AS199" s="1240">
        <f>+IFERROR(HLOOKUP(AS32,'סקרי נכסים-יתרות פתיחה'!$2:$110,35,0),0)-IFERROR(HLOOKUP(AS32,'סקרי נכסים-יתרות פתיחה'!$2:$110,94,0),0)*(1-AS$309)</f>
        <v>0</v>
      </c>
      <c r="AT199" s="1240">
        <f>+IFERROR(HLOOKUP(AT32,'סקרי נכסים-יתרות פתיחה'!$2:$110,35,0),0)-IFERROR(HLOOKUP(AT32,'סקרי נכסים-יתרות פתיחה'!$2:$110,94,0),0)*(1-AT$309)</f>
        <v>0</v>
      </c>
      <c r="AU199" s="1240">
        <f>+IFERROR(HLOOKUP(AU32,'סקרי נכסים-יתרות פתיחה'!$2:$110,35,0),0)-IFERROR(HLOOKUP(AU32,'סקרי נכסים-יתרות פתיחה'!$2:$110,94,0),0)*(1-AU$309)</f>
        <v>0</v>
      </c>
      <c r="AV199" s="1240">
        <f>+IFERROR(HLOOKUP(AV32,'סקרי נכסים-יתרות פתיחה'!$2:$110,35,0),0)-IFERROR(HLOOKUP(AV32,'סקרי נכסים-יתרות פתיחה'!$2:$110,94,0),0)*(1-AV$309)</f>
        <v>0</v>
      </c>
      <c r="AW199" s="1240">
        <f>+IFERROR(HLOOKUP(AW32,'סקרי נכסים-יתרות פתיחה'!$2:$110,35,0),0)-IFERROR(HLOOKUP(AW32,'סקרי נכסים-יתרות פתיחה'!$2:$110,94,0),0)*(1-AW$309)</f>
        <v>0</v>
      </c>
      <c r="AX199" s="1240">
        <f>+IFERROR(HLOOKUP(AX32,'סקרי נכסים-יתרות פתיחה'!$2:$110,35,0),0)-IFERROR(HLOOKUP(AX32,'סקרי נכסים-יתרות פתיחה'!$2:$110,94,0),0)*(1-AX$309)</f>
        <v>0</v>
      </c>
      <c r="AY199" s="1240">
        <f>+IFERROR(HLOOKUP(AY32,'סקרי נכסים-יתרות פתיחה'!$2:$110,35,0),0)-IFERROR(HLOOKUP(AY32,'סקרי נכסים-יתרות פתיחה'!$2:$110,94,0),0)*(1-AY$309)</f>
        <v>0</v>
      </c>
      <c r="AZ199" s="1240">
        <f>+IFERROR(HLOOKUP(AZ32,'סקרי נכסים-יתרות פתיחה'!$2:$110,35,0),0)-IFERROR(HLOOKUP(AZ32,'סקרי נכסים-יתרות פתיחה'!$2:$110,94,0),0)*(1-AZ$309)</f>
        <v>0</v>
      </c>
      <c r="BA199" s="1240">
        <f>+IFERROR(HLOOKUP(BA32,'סקרי נכסים-יתרות פתיחה'!$2:$110,35,0),0)-IFERROR(HLOOKUP(BA32,'סקרי נכסים-יתרות פתיחה'!$2:$110,94,0),0)*(1-BA$309)</f>
        <v>0</v>
      </c>
      <c r="BB199" s="1240">
        <f>+IFERROR(HLOOKUP(BB32,'סקרי נכסים-יתרות פתיחה'!$2:$110,35,0),0)-IFERROR(HLOOKUP(BB32,'סקרי נכסים-יתרות פתיחה'!$2:$110,94,0),0)*(1-BB$309)</f>
        <v>0</v>
      </c>
      <c r="BC199" s="1240">
        <f>+IFERROR(HLOOKUP(BC32,'סקרי נכסים-יתרות פתיחה'!$2:$110,35,0),0)-IFERROR(HLOOKUP(BC32,'סקרי נכסים-יתרות פתיחה'!$2:$110,94,0),0)*(1-BC$309)</f>
        <v>0</v>
      </c>
      <c r="BD199" s="1240">
        <f>+IFERROR(HLOOKUP(BD32,'סקרי נכסים-יתרות פתיחה'!$2:$110,35,0),0)-IFERROR(HLOOKUP(BD32,'סקרי נכסים-יתרות פתיחה'!$2:$110,94,0),0)*(1-BD$309)</f>
        <v>0</v>
      </c>
      <c r="BE199" s="1240">
        <f>+IFERROR(HLOOKUP(BE32,'סקרי נכסים-יתרות פתיחה'!$2:$110,35,0),0)-IFERROR(HLOOKUP(BE32,'סקרי נכסים-יתרות פתיחה'!$2:$110,94,0),0)*(1-BE$309)</f>
        <v>0</v>
      </c>
      <c r="BF199" s="1240">
        <f>+IFERROR(HLOOKUP(BF32,'סקרי נכסים-יתרות פתיחה'!$2:$110,35,0),0)-IFERROR(HLOOKUP(BF32,'סקרי נכסים-יתרות פתיחה'!$2:$110,94,0),0)*(1-BF$309)</f>
        <v>0</v>
      </c>
    </row>
    <row r="200" spans="1:58" x14ac:dyDescent="0.2">
      <c r="A200" s="1228" t="s">
        <v>1538</v>
      </c>
      <c r="C200" s="1240">
        <f>+IFERROR(HLOOKUP(C1,'השקעות בניכוי גריעות'!$1:$93,78,0)*1000,0)+HLOOKUP(C1,'השקעות 2012-2014'!$1:$124,72,0)*1000</f>
        <v>0</v>
      </c>
      <c r="D200" s="1240">
        <f>+IFERROR(HLOOKUP(D1,'השקעות בניכוי גריעות'!$1:$93,78,0)*1000,0)+HLOOKUP(D1,'השקעות 2012-2014'!$1:$124,72,0)*1000</f>
        <v>770000</v>
      </c>
      <c r="E200" s="1240">
        <f>+IFERROR(HLOOKUP(E1,'השקעות בניכוי גריעות'!$1:$93,78,0)*1000,0)+HLOOKUP(E1,'השקעות 2012-2014'!$1:$124,72,0)*1000</f>
        <v>1439000</v>
      </c>
      <c r="F200" s="1240">
        <f>+IFERROR(HLOOKUP(F1,'השקעות בניכוי גריעות'!$1:$93,78,0)*1000,0)+HLOOKUP(F1,'השקעות 2012-2014'!$1:$124,72,0)*1000</f>
        <v>0</v>
      </c>
      <c r="G200" s="1240">
        <f>+IFERROR(HLOOKUP(G1,'השקעות בניכוי גריעות'!$1:$93,78,0)*1000,0)+HLOOKUP(G1,'השקעות 2012-2014'!$1:$124,72,0)*1000</f>
        <v>217000</v>
      </c>
      <c r="H200" s="1240">
        <f>+IFERROR(HLOOKUP(H1,'השקעות בניכוי גריעות'!$1:$93,78,0)*1000,0)+HLOOKUP(H1,'השקעות 2012-2014'!$1:$124,72,0)*1000</f>
        <v>4784000</v>
      </c>
      <c r="I200" s="1240">
        <f>+IFERROR(HLOOKUP(I1,'השקעות בניכוי גריעות'!$1:$93,78,0)*1000,0)+HLOOKUP(I1,'השקעות 2012-2014'!$1:$124,72,0)*1000</f>
        <v>11467000</v>
      </c>
      <c r="J200" s="1240">
        <f>+IFERROR(HLOOKUP(J1,'השקעות בניכוי גריעות'!$1:$93,78,0)*1000,0)+HLOOKUP(J1,'השקעות 2012-2014'!$1:$124,72,0)*1000</f>
        <v>6197000</v>
      </c>
      <c r="K200" s="1240">
        <f>+IFERROR(HLOOKUP(K1,'השקעות בניכוי גריעות'!$1:$93,78,0)*1000,0)+HLOOKUP(K1,'השקעות 2012-2014'!$1:$124,72,0)*1000</f>
        <v>4726000</v>
      </c>
      <c r="L200" s="1240">
        <f>+IFERROR(HLOOKUP(L1,'השקעות בניכוי גריעות'!$1:$93,78,0)*1000,0)+HLOOKUP(L1,'השקעות 2012-2014'!$1:$124,72,0)*1000</f>
        <v>13715000</v>
      </c>
      <c r="M200" s="1240">
        <f>+IFERROR(HLOOKUP(M1,'השקעות בניכוי גריעות'!$1:$93,78,0)*1000,0)+HLOOKUP(M1,'השקעות 2012-2014'!$1:$124,72,0)*1000</f>
        <v>19895000</v>
      </c>
      <c r="N200" s="1240">
        <f>+IFERROR(HLOOKUP(N1,'השקעות בניכוי גריעות'!$1:$93,78,0)*1000,0)+HLOOKUP(N1,'השקעות 2012-2014'!$1:$124,72,0)*1000</f>
        <v>423000</v>
      </c>
      <c r="O200" s="1240">
        <f>+IFERROR(HLOOKUP(O1,'השקעות בניכוי גריעות'!$1:$93,78,0)*1000,0)+HLOOKUP(O1,'השקעות 2012-2014'!$1:$124,72,0)*1000</f>
        <v>6199000</v>
      </c>
      <c r="P200" s="1240">
        <f>+IFERROR(HLOOKUP(P1,'השקעות בניכוי גריעות'!$1:$93,78,0)*1000,0)+HLOOKUP(P1,'השקעות 2012-2014'!$1:$124,72,0)*1000</f>
        <v>4621000</v>
      </c>
      <c r="Q200" s="1240">
        <f>+IFERROR(HLOOKUP(Q1,'השקעות בניכוי גריעות'!$1:$93,78,0)*1000,0)+HLOOKUP(Q1,'השקעות 2012-2014'!$1:$124,72,0)*1000</f>
        <v>0</v>
      </c>
      <c r="R200" s="1240">
        <f>+IFERROR(HLOOKUP(R1,'השקעות בניכוי גריעות'!$1:$93,78,0)*1000,0)+HLOOKUP(R1,'השקעות 2012-2014'!$1:$124,72,0)*1000</f>
        <v>2037159.9999999998</v>
      </c>
      <c r="S200" s="1240">
        <f>+IFERROR(HLOOKUP(S1,'השקעות בניכוי גריעות'!$1:$93,78,0)*1000,0)+HLOOKUP(S1,'השקעות 2012-2014'!$1:$124,72,0)*1000</f>
        <v>3698000</v>
      </c>
      <c r="T200" s="1240">
        <f>+IFERROR(HLOOKUP(T1,'השקעות בניכוי גריעות'!$1:$93,78,0)*1000,0)+HLOOKUP(T1,'השקעות 2012-2014'!$1:$124,72,0)*1000</f>
        <v>569000</v>
      </c>
      <c r="U200" s="1240">
        <f>+IFERROR(HLOOKUP(U1,'השקעות בניכוי גריעות'!$1:$93,78,0)*1000,0)+HLOOKUP(U1,'השקעות 2012-2014'!$1:$124,72,0)*1000</f>
        <v>267000</v>
      </c>
      <c r="V200" s="1240">
        <f>+IFERROR(HLOOKUP(V1,'השקעות בניכוי גריעות'!$1:$93,78,0)*1000,0)+HLOOKUP(V1,'השקעות 2012-2014'!$1:$124,72,0)*1000</f>
        <v>3738000</v>
      </c>
      <c r="W200" s="1240">
        <f>+IFERROR(HLOOKUP(W1,'השקעות בניכוי גריעות'!$1:$93,78,0)*1000,0)+HLOOKUP(W1,'השקעות 2012-2014'!$1:$124,72,0)*1000</f>
        <v>16123922</v>
      </c>
      <c r="X200" s="1240">
        <f>+IFERROR(HLOOKUP(X1,'השקעות בניכוי גריעות'!$1:$93,78,0)*1000,0)+HLOOKUP(X1,'השקעות 2012-2014'!$1:$124,72,0)*1000</f>
        <v>397000</v>
      </c>
      <c r="Y200" s="1240">
        <f>+IFERROR(HLOOKUP(Y1,'השקעות בניכוי גריעות'!$1:$93,78,0)*1000,0)+HLOOKUP(Y1,'השקעות 2012-2014'!$1:$124,72,0)*1000</f>
        <v>3842000</v>
      </c>
      <c r="Z200" s="1240">
        <f>+IFERROR(HLOOKUP(Z1,'השקעות בניכוי גריעות'!$1:$93,78,0)*1000,0)+HLOOKUP(Z1,'השקעות 2012-2014'!$1:$124,72,0)*1000</f>
        <v>6000</v>
      </c>
      <c r="AA200" s="1240">
        <f>+IFERROR(HLOOKUP(AA1,'השקעות בניכוי גריעות'!$1:$93,78,0)*1000,0)+HLOOKUP(AA1,'השקעות 2012-2014'!$1:$124,72,0)*1000</f>
        <v>8936000</v>
      </c>
      <c r="AB200" s="1240">
        <f>+IFERROR(HLOOKUP(AB1,'השקעות בניכוי גריעות'!$1:$93,78,0)*1000,0)+HLOOKUP(AB1,'השקעות 2012-2014'!$1:$124,72,0)*1000</f>
        <v>0</v>
      </c>
      <c r="AC200" s="1240">
        <f>+IFERROR(HLOOKUP(AC1,'השקעות בניכוי גריעות'!$1:$93,78,0)*1000,0)+HLOOKUP(AC1,'השקעות 2012-2014'!$1:$124,72,0)*1000</f>
        <v>7799507</v>
      </c>
      <c r="AD200" s="1240">
        <f>+IFERROR(HLOOKUP(AD1,'השקעות בניכוי גריעות'!$1:$93,78,0)*1000,0)+HLOOKUP(AD1,'השקעות 2012-2014'!$1:$124,72,0)*1000</f>
        <v>7778000</v>
      </c>
      <c r="AE200" s="1240">
        <f>+IFERROR(HLOOKUP(AE1,'השקעות בניכוי גריעות'!$1:$93,78,0)*1000,0)+HLOOKUP(AE1,'השקעות 2012-2014'!$1:$124,72,0)*1000</f>
        <v>11308000</v>
      </c>
      <c r="AF200" s="1240">
        <f>+IFERROR(HLOOKUP(AF1,'השקעות בניכוי גריעות'!$1:$93,78,0)*1000,0)+HLOOKUP(AF1,'השקעות 2012-2014'!$1:$124,72,0)*1000</f>
        <v>8497000</v>
      </c>
      <c r="AG200" s="1240">
        <f>+IFERROR(HLOOKUP(AG1,'השקעות בניכוי גריעות'!$1:$93,78,0)*1000,0)+HLOOKUP(AG1,'השקעות 2012-2014'!$1:$124,72,0)*1000</f>
        <v>471000</v>
      </c>
      <c r="AH200" s="1240">
        <f>+IFERROR(HLOOKUP(AH1,'השקעות בניכוי גריעות'!$1:$93,78,0)*1000,0)+HLOOKUP(AH1,'השקעות 2012-2014'!$1:$124,72,0)*1000</f>
        <v>0</v>
      </c>
      <c r="AI200" s="1240">
        <f>+IFERROR(HLOOKUP(AI1,'השקעות בניכוי גריעות'!$1:$93,78,0)*1000,0)+HLOOKUP(AI1,'השקעות 2012-2014'!$1:$124,72,0)*1000+22871797</f>
        <v>24216797</v>
      </c>
      <c r="AJ200" s="1240">
        <f>+IFERROR(HLOOKUP(AJ1,'השקעות בניכוי גריעות'!$1:$93,78,0)*1000,0)+HLOOKUP(AJ1,'השקעות 2012-2014'!$1:$124,72,0)*1000</f>
        <v>554000</v>
      </c>
      <c r="AK200" s="1240">
        <f>+IFERROR(HLOOKUP(AK1,'השקעות בניכוי גריעות'!$1:$93,78,0)*1000,0)+HLOOKUP(AK1,'השקעות 2012-2014'!$1:$124,72,0)*1000</f>
        <v>0</v>
      </c>
      <c r="AL200" s="1240">
        <f>+IFERROR(HLOOKUP(AL1,'השקעות בניכוי גריעות'!$1:$93,78,0)*1000,0)+HLOOKUP(AL1,'השקעות 2012-2014'!$1:$124,72,0)*1000</f>
        <v>0</v>
      </c>
      <c r="AM200" s="1240">
        <f>+IFERROR(HLOOKUP(AM1,'השקעות בניכוי גריעות'!$1:$93,78,0)*1000,0)+HLOOKUP(AM1,'השקעות 2012-2014'!$1:$124,72,0)*1000</f>
        <v>174000</v>
      </c>
      <c r="AN200" s="1240">
        <f>+IFERROR(HLOOKUP(AN1,'השקעות בניכוי גריעות'!$1:$93,78,0)*1000,0)+HLOOKUP(AN1,'השקעות 2012-2014'!$1:$124,72,0)*1000</f>
        <v>3020000</v>
      </c>
      <c r="AO200" s="1240">
        <f>+IFERROR(HLOOKUP(AO1,'השקעות בניכוי גריעות'!$1:$93,78,0)*1000,0)+HLOOKUP(AO1,'השקעות 2012-2014'!$1:$124,72,0)*1000</f>
        <v>65000</v>
      </c>
      <c r="AP200" s="1240">
        <f>+IFERROR(HLOOKUP(AP1,'השקעות בניכוי גריעות'!$1:$93,78,0)*1000,0)+HLOOKUP(AP1,'השקעות 2012-2014'!$1:$124,72,0)*1000</f>
        <v>0</v>
      </c>
      <c r="AQ200" s="1240">
        <f>+IFERROR(HLOOKUP(AQ1,'השקעות בניכוי גריעות'!$1:$93,78,0)*1000,0)+HLOOKUP(AQ1,'השקעות 2012-2014'!$1:$124,72,0)*1000</f>
        <v>2840000</v>
      </c>
      <c r="AR200" s="1240">
        <f>+IFERROR(HLOOKUP(AR1,'השקעות בניכוי גריעות'!$1:$93,78,0)*1000,0)+HLOOKUP(AR1,'השקעות 2012-2014'!$1:$124,72,0)*1000</f>
        <v>0</v>
      </c>
      <c r="AS200" s="1240">
        <f>+IFERROR(HLOOKUP(AS1,'השקעות בניכוי גריעות'!$1:$93,78,0)*1000,0)+HLOOKUP(AS1,'השקעות 2012-2014'!$1:$124,72,0)*1000</f>
        <v>51818000</v>
      </c>
      <c r="AT200" s="1240">
        <f>+IFERROR(HLOOKUP(AT1,'השקעות בניכוי גריעות'!$1:$93,78,0)*1000,0)+HLOOKUP(AT1,'השקעות 2012-2014'!$1:$124,72,0)*1000</f>
        <v>17218000</v>
      </c>
      <c r="AU200" s="1240">
        <f>+IFERROR(HLOOKUP(AU1,'השקעות בניכוי גריעות'!$1:$93,78,0)*1000,0)+HLOOKUP(AU1,'השקעות 2012-2014'!$1:$124,72,0)*1000</f>
        <v>135000</v>
      </c>
      <c r="AV200" s="1240">
        <f>+IFERROR(HLOOKUP(AV1,'השקעות בניכוי גריעות'!$1:$93,78,0)*1000,0)+HLOOKUP(AV1,'השקעות 2012-2014'!$1:$124,72,0)*1000</f>
        <v>395000</v>
      </c>
      <c r="AW200" s="1240">
        <f>+IFERROR(HLOOKUP(AW1,'השקעות בניכוי גריעות'!$1:$93,78,0)*1000,0)+HLOOKUP(AW1,'השקעות 2012-2014'!$1:$124,72,0)*1000</f>
        <v>10803869</v>
      </c>
      <c r="AX200" s="1240">
        <f>+IFERROR(HLOOKUP(AX1,'השקעות בניכוי גריעות'!$1:$93,78,0)*1000,0)+HLOOKUP(AX1,'השקעות 2012-2014'!$1:$124,72,0)*1000</f>
        <v>9322000</v>
      </c>
      <c r="AY200" s="1240">
        <f>+IFERROR(HLOOKUP(AY1,'השקעות בניכוי גריעות'!$1:$93,78,0)*1000,0)+HLOOKUP(AY1,'השקעות 2012-2014'!$1:$124,72,0)*1000</f>
        <v>0</v>
      </c>
      <c r="AZ200" s="1240">
        <f>+IFERROR(HLOOKUP(AZ1,'השקעות בניכוי גריעות'!$1:$93,78,0)*1000,0)+HLOOKUP(AZ1,'השקעות 2012-2014'!$1:$124,72,0)*1000</f>
        <v>3098000</v>
      </c>
      <c r="BA200" s="1240">
        <f>+IFERROR(HLOOKUP(BA1,'השקעות בניכוי גריעות'!$1:$93,78,0)*1000,0)+HLOOKUP(BA1,'השקעות 2012-2014'!$1:$124,72,0)*1000</f>
        <v>13000</v>
      </c>
      <c r="BB200" s="1240">
        <f>+IFERROR(HLOOKUP(BB1,'השקעות בניכוי גריעות'!$1:$93,78,0)*1000,0)+HLOOKUP(BB1,'השקעות 2012-2014'!$1:$124,72,0)*1000</f>
        <v>0</v>
      </c>
      <c r="BC200" s="1240">
        <f>+IFERROR(HLOOKUP(BC1,'השקעות בניכוי גריעות'!$1:$93,78,0)*1000,0)+HLOOKUP(BC1,'השקעות 2012-2014'!$1:$124,72,0)*1000</f>
        <v>1042000</v>
      </c>
      <c r="BD200" s="1240">
        <f>+IFERROR(HLOOKUP(BD1,'השקעות בניכוי גריעות'!$1:$93,78,0)*1000,0)+HLOOKUP(BD1,'השקעות 2012-2014'!$1:$124,72,0)*1000</f>
        <v>3379300</v>
      </c>
      <c r="BE200" s="1240">
        <f>+IFERROR(HLOOKUP(BE1,'השקעות בניכוי גריעות'!$1:$93,78,0)*1000,0)+HLOOKUP(BE1,'השקעות 2012-2014'!$1:$124,72,0)*1000</f>
        <v>0</v>
      </c>
      <c r="BF200" s="1240">
        <f>+IFERROR(HLOOKUP(BF1,'השקעות בניכוי גריעות'!$1:$93,78,0)*1000,0)+HLOOKUP(BF1,'השקעות 2012-2014'!$1:$124,72,0)*1000</f>
        <v>0</v>
      </c>
    </row>
    <row r="201" spans="1:58" x14ac:dyDescent="0.2">
      <c r="C201" s="1240"/>
      <c r="D201" s="1240"/>
      <c r="E201" s="1240"/>
      <c r="F201" s="1240"/>
      <c r="G201" s="1240"/>
      <c r="H201" s="1240"/>
      <c r="I201" s="1240"/>
      <c r="J201" s="1240"/>
      <c r="K201" s="1240"/>
      <c r="L201" s="1240"/>
      <c r="M201" s="1240"/>
      <c r="N201" s="1240"/>
      <c r="O201" s="1240"/>
      <c r="P201" s="1240"/>
      <c r="Q201" s="1240"/>
      <c r="R201" s="1240"/>
      <c r="S201" s="1240"/>
      <c r="T201" s="1240"/>
      <c r="U201" s="1240"/>
      <c r="V201" s="1240"/>
      <c r="W201" s="1240"/>
      <c r="X201" s="1240"/>
      <c r="Y201" s="1240"/>
      <c r="Z201" s="1240"/>
      <c r="AA201" s="1240"/>
      <c r="AB201" s="1240"/>
      <c r="AC201" s="1240"/>
      <c r="AD201" s="1240"/>
      <c r="AE201" s="1240"/>
      <c r="AF201" s="1240"/>
      <c r="AG201" s="1240"/>
      <c r="AH201" s="1240"/>
      <c r="AI201" s="1240"/>
      <c r="AJ201" s="1240"/>
      <c r="AK201" s="1240"/>
      <c r="AL201" s="1240"/>
      <c r="AM201" s="1240"/>
      <c r="AN201" s="1240"/>
      <c r="AO201" s="1240"/>
      <c r="AP201" s="1240"/>
      <c r="AQ201" s="1240"/>
      <c r="AR201" s="1240"/>
      <c r="AS201" s="1240"/>
      <c r="AT201" s="1240"/>
      <c r="AU201" s="1240"/>
      <c r="AV201" s="1240"/>
      <c r="AW201" s="1240"/>
      <c r="AX201" s="1240"/>
      <c r="AY201" s="1240"/>
      <c r="AZ201" s="1240"/>
      <c r="BA201" s="1240"/>
      <c r="BB201" s="1240"/>
      <c r="BC201" s="1240"/>
      <c r="BD201" s="1240"/>
      <c r="BE201" s="1240"/>
      <c r="BF201" s="1240"/>
    </row>
    <row r="202" spans="1:58" x14ac:dyDescent="0.2">
      <c r="A202" s="1" t="s">
        <v>164</v>
      </c>
      <c r="C202" s="50">
        <f>SUM(C171:C200)/1000</f>
        <v>0</v>
      </c>
      <c r="D202" s="50">
        <f>SUM(D171:D200)/1000</f>
        <v>7237.8670000000002</v>
      </c>
      <c r="E202" s="50">
        <f t="shared" ref="E202:BF202" si="9">SUM(E171:E200)/1000</f>
        <v>48393.514285714286</v>
      </c>
      <c r="F202" s="50">
        <f t="shared" si="9"/>
        <v>1239.7714285714287</v>
      </c>
      <c r="G202" s="50">
        <f t="shared" si="9"/>
        <v>8767.5344000000005</v>
      </c>
      <c r="H202" s="50">
        <f t="shared" si="9"/>
        <v>33045.612647619047</v>
      </c>
      <c r="I202" s="50">
        <f t="shared" si="9"/>
        <v>39282.314285714281</v>
      </c>
      <c r="J202" s="50">
        <f t="shared" si="9"/>
        <v>33154.71428571429</v>
      </c>
      <c r="K202" s="50">
        <f t="shared" si="9"/>
        <v>16218.757942857143</v>
      </c>
      <c r="L202" s="50">
        <f t="shared" si="9"/>
        <v>21659.324423809521</v>
      </c>
      <c r="M202" s="50">
        <f t="shared" si="9"/>
        <v>50606.771428571432</v>
      </c>
      <c r="N202" s="50">
        <f t="shared" si="9"/>
        <v>24795.556414285715</v>
      </c>
      <c r="O202" s="50">
        <f t="shared" si="9"/>
        <v>9038.3691428571419</v>
      </c>
      <c r="P202" s="50">
        <f t="shared" si="9"/>
        <v>9202.3979999999992</v>
      </c>
      <c r="Q202" s="50">
        <f t="shared" si="9"/>
        <v>0</v>
      </c>
      <c r="R202" s="50">
        <f t="shared" si="9"/>
        <v>9887.2445714285714</v>
      </c>
      <c r="S202" s="50">
        <f t="shared" si="9"/>
        <v>14570.848</v>
      </c>
      <c r="T202" s="50">
        <f t="shared" si="9"/>
        <v>16788.457999999999</v>
      </c>
      <c r="U202" s="50">
        <f t="shared" si="9"/>
        <v>10082.433142857144</v>
      </c>
      <c r="V202" s="50">
        <f t="shared" si="9"/>
        <v>12460.061</v>
      </c>
      <c r="W202" s="50">
        <f t="shared" si="9"/>
        <v>16709.523000000001</v>
      </c>
      <c r="X202" s="50">
        <f t="shared" si="9"/>
        <v>4959.3580000000002</v>
      </c>
      <c r="Y202" s="50">
        <f t="shared" si="9"/>
        <v>18498.818285714282</v>
      </c>
      <c r="Z202" s="50">
        <f t="shared" si="9"/>
        <v>8918.4571428571435</v>
      </c>
      <c r="AA202" s="50">
        <f t="shared" si="9"/>
        <v>20259.571428571428</v>
      </c>
      <c r="AB202" s="50">
        <f t="shared" si="9"/>
        <v>2249.1428571428573</v>
      </c>
      <c r="AC202" s="50">
        <f t="shared" si="9"/>
        <v>22806.649857142856</v>
      </c>
      <c r="AD202" s="50">
        <f t="shared" si="9"/>
        <v>12695.393371428572</v>
      </c>
      <c r="AE202" s="50">
        <f t="shared" si="9"/>
        <v>44159.810819047612</v>
      </c>
      <c r="AF202" s="50">
        <f t="shared" si="9"/>
        <v>20173.40476190476</v>
      </c>
      <c r="AG202" s="50">
        <f t="shared" si="9"/>
        <v>2787.3725095238096</v>
      </c>
      <c r="AH202" s="50">
        <f t="shared" si="9"/>
        <v>1409.386</v>
      </c>
      <c r="AI202" s="50">
        <f t="shared" si="9"/>
        <v>30708.225571428571</v>
      </c>
      <c r="AJ202" s="50">
        <f t="shared" si="9"/>
        <v>15639.714285714286</v>
      </c>
      <c r="AK202" s="50">
        <f t="shared" si="9"/>
        <v>7239.6342857142854</v>
      </c>
      <c r="AL202" s="50">
        <f t="shared" si="9"/>
        <v>16516.042857142857</v>
      </c>
      <c r="AM202" s="50">
        <f t="shared" si="9"/>
        <v>10423.36650952381</v>
      </c>
      <c r="AN202" s="50">
        <f t="shared" si="9"/>
        <v>15854.14</v>
      </c>
      <c r="AO202" s="50">
        <f t="shared" si="9"/>
        <v>5765.1462857142851</v>
      </c>
      <c r="AP202" s="50">
        <f t="shared" si="9"/>
        <v>292.86666666666667</v>
      </c>
      <c r="AQ202" s="50">
        <f t="shared" si="9"/>
        <v>9846.4548571428586</v>
      </c>
      <c r="AR202" s="50">
        <f t="shared" si="9"/>
        <v>4047.3809523809523</v>
      </c>
      <c r="AS202" s="50">
        <f t="shared" si="9"/>
        <v>63477.684000000001</v>
      </c>
      <c r="AT202" s="50">
        <f t="shared" si="9"/>
        <v>17991.09523809524</v>
      </c>
      <c r="AU202" s="50">
        <f t="shared" si="9"/>
        <v>1117.2857142857142</v>
      </c>
      <c r="AV202" s="50">
        <f t="shared" si="9"/>
        <v>8279.8419904761904</v>
      </c>
      <c r="AW202" s="50">
        <f t="shared" si="9"/>
        <v>21048.726999999999</v>
      </c>
      <c r="AX202" s="50">
        <f t="shared" si="9"/>
        <v>21246.784</v>
      </c>
      <c r="AY202" s="50">
        <f t="shared" si="9"/>
        <v>5742.0057142857149</v>
      </c>
      <c r="AZ202" s="50">
        <f t="shared" si="9"/>
        <v>10182.07690952381</v>
      </c>
      <c r="BA202" s="50">
        <f t="shared" si="9"/>
        <v>15331.46467142857</v>
      </c>
      <c r="BB202" s="50">
        <f t="shared" si="9"/>
        <v>4932.0119999999997</v>
      </c>
      <c r="BC202" s="50">
        <f t="shared" si="9"/>
        <v>4386.1930000000002</v>
      </c>
      <c r="BD202" s="50">
        <f t="shared" si="9"/>
        <v>15886.27619047619</v>
      </c>
      <c r="BE202" s="50">
        <f t="shared" si="9"/>
        <v>4148.5714285714284</v>
      </c>
      <c r="BF202" s="50">
        <f t="shared" si="9"/>
        <v>11694.300999999999</v>
      </c>
    </row>
    <row r="203" spans="1:58" x14ac:dyDescent="0.2">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row>
    <row r="204" spans="1:58" x14ac:dyDescent="0.2">
      <c r="A204" s="1228" t="s">
        <v>170</v>
      </c>
      <c r="B204" s="1">
        <v>1</v>
      </c>
      <c r="C204" s="50">
        <f>+IFERROR(HLOOKUP(C4,'סקרי נכסים-יתרות פתיחה'!$2:$110,37,0),0)-IFERROR(HLOOKUP(C4,'סקרי נכסים-יתרות פתיחה'!$2:$110,95,0),0)*(1-C$309)</f>
        <v>0</v>
      </c>
      <c r="D204" s="50">
        <f>+IFERROR(HLOOKUP(D4,'סקרי נכסים-יתרות פתיחה'!$2:$110,37,0),0)-IFERROR(HLOOKUP(D4,'סקרי נכסים-יתרות פתיחה'!$2:$110,95,0),0)*(1-D$309)</f>
        <v>0</v>
      </c>
      <c r="E204" s="50">
        <f>+IFERROR(HLOOKUP(E4,'סקרי נכסים-יתרות פתיחה'!$2:$110,37,0),0)-IFERROR(HLOOKUP(E4,'סקרי נכסים-יתרות פתיחה'!$2:$110,95,0),0)*(1-E$309)</f>
        <v>2234057.1428571427</v>
      </c>
      <c r="F204" s="50">
        <f>+IFERROR(HLOOKUP(F4,'סקרי נכסים-יתרות פתיחה'!$2:$110,37,0),0)-IFERROR(HLOOKUP(F4,'סקרי נכסים-יתרות פתיחה'!$2:$110,95,0),0)*(1-F$309)</f>
        <v>45714.285714285717</v>
      </c>
      <c r="G204" s="50">
        <f>+IFERROR(HLOOKUP(G4,'סקרי נכסים-יתרות פתיחה'!$2:$110,37,0),0)-IFERROR(HLOOKUP(G4,'סקרי נכסים-יתרות פתיחה'!$2:$110,95,0),0)*(1-G$309)</f>
        <v>687189.02857142861</v>
      </c>
      <c r="H204" s="50">
        <f>+IFERROR(HLOOKUP(H4,'סקרי נכסים-יתרות פתיחה'!$2:$110,37,0),0)-IFERROR(HLOOKUP(H4,'סקרי נכסים-יתרות פתיחה'!$2:$110,95,0),0)*(1-H$309)</f>
        <v>0</v>
      </c>
      <c r="I204" s="50">
        <f>+IFERROR(HLOOKUP(I4,'סקרי נכסים-יתרות פתיחה'!$2:$110,37,0),0)-IFERROR(HLOOKUP(I4,'סקרי נכסים-יתרות פתיחה'!$2:$110,95,0),0)*(1-I$309)</f>
        <v>1749942.857142857</v>
      </c>
      <c r="J204" s="50">
        <f>+IFERROR(HLOOKUP(J4,'סקרי נכסים-יתרות פתיחה'!$2:$110,37,0),0)-IFERROR(HLOOKUP(J4,'סקרי נכסים-יתרות פתיחה'!$2:$110,95,0),0)*(1-J$309)</f>
        <v>1148982.857142857</v>
      </c>
      <c r="K204" s="50">
        <f>+IFERROR(HLOOKUP(K4,'סקרי נכסים-יתרות פתיחה'!$2:$110,37,0),0)-IFERROR(HLOOKUP(K4,'סקרי נכסים-יתרות פתיחה'!$2:$110,95,0),0)*(1-K$309)</f>
        <v>0</v>
      </c>
      <c r="L204" s="50">
        <f>+IFERROR(HLOOKUP(L4,'סקרי נכסים-יתרות פתיחה'!$2:$110,37,0),0)-IFERROR(HLOOKUP(L4,'סקרי נכסים-יתרות פתיחה'!$2:$110,95,0),0)*(1-L$309)</f>
        <v>518400</v>
      </c>
      <c r="M204" s="50">
        <f>+IFERROR(HLOOKUP(M4,'סקרי נכסים-יתרות פתיחה'!$2:$110,37,0),0)-IFERROR(HLOOKUP(M4,'סקרי נכסים-יתרות פתיחה'!$2:$110,95,0),0)*(1-M$309)</f>
        <v>2102857.1428571427</v>
      </c>
      <c r="N204" s="50">
        <f>+IFERROR(HLOOKUP(N4,'סקרי נכסים-יתרות פתיחה'!$2:$110,37,0),0)-IFERROR(HLOOKUP(N4,'סקרי נכסים-יתרות פתיחה'!$2:$110,95,0),0)*(1-N$309)</f>
        <v>822857.14285714284</v>
      </c>
      <c r="O204" s="50">
        <f>+IFERROR(HLOOKUP(O4,'סקרי נכסים-יתרות פתיחה'!$2:$110,37,0),0)-IFERROR(HLOOKUP(O4,'סקרי נכסים-יתרות פתיחה'!$2:$110,95,0),0)*(1-O$309)</f>
        <v>182857.14285714287</v>
      </c>
      <c r="P204" s="50">
        <f>+IFERROR(HLOOKUP(P4,'סקרי נכסים-יתרות פתיחה'!$2:$110,37,0),0)-IFERROR(HLOOKUP(P4,'סקרי נכסים-יתרות פתיחה'!$2:$110,95,0),0)*(1-P$309)</f>
        <v>70000</v>
      </c>
      <c r="Q204" s="50">
        <f>+IFERROR(HLOOKUP(Q4,'סקרי נכסים-יתרות פתיחה'!$2:$110,37,0),0)-IFERROR(HLOOKUP(Q4,'סקרי נכסים-יתרות פתיחה'!$2:$110,95,0),0)*(1-Q$309)</f>
        <v>0</v>
      </c>
      <c r="R204" s="50">
        <f>+IFERROR(HLOOKUP(R4,'סקרי נכסים-יתרות פתיחה'!$2:$110,37,0),0)-IFERROR(HLOOKUP(R4,'סקרי נכסים-יתרות פתיחה'!$2:$110,95,0),0)*(1-R$309)</f>
        <v>137142.85714285713</v>
      </c>
      <c r="S204" s="50">
        <f>+IFERROR(HLOOKUP(S4,'סקרי נכסים-יתרות פתיחה'!$2:$110,37,0),0)-IFERROR(HLOOKUP(S4,'סקרי נכסים-יתרות פתיחה'!$2:$110,95,0),0)*(1-S$309)</f>
        <v>142500</v>
      </c>
      <c r="T204" s="50">
        <f>+IFERROR(HLOOKUP(T4,'סקרי נכסים-יתרות פתיחה'!$2:$110,37,0),0)-IFERROR(HLOOKUP(T4,'סקרי נכסים-יתרות פתיחה'!$2:$110,95,0),0)*(1-T$309)</f>
        <v>1291000</v>
      </c>
      <c r="U204" s="50">
        <f>+IFERROR(HLOOKUP(U4,'סקרי נכסים-יתרות פתיחה'!$2:$110,37,0),0)-IFERROR(HLOOKUP(U4,'סקרי נכסים-יתרות פתיחה'!$2:$110,95,0),0)*(1-U$309)</f>
        <v>338285.71428571426</v>
      </c>
      <c r="V204" s="50">
        <f>+IFERROR(HLOOKUP(V4,'סקרי נכסים-יתרות פתיחה'!$2:$110,37,0),0)-IFERROR(HLOOKUP(V4,'סקרי נכסים-יתרות פתיחה'!$2:$110,95,0),0)*(1-V$309)</f>
        <v>0</v>
      </c>
      <c r="W204" s="50">
        <f>+IFERROR(HLOOKUP(W4,'סקרי נכסים-יתרות פתיחה'!$2:$110,37,0),0)-IFERROR(HLOOKUP(W4,'סקרי נכסים-יתרות פתיחה'!$2:$110,95,0),0)*(1-W$309)</f>
        <v>0</v>
      </c>
      <c r="X204" s="50">
        <f>+IFERROR(HLOOKUP(X4,'סקרי נכסים-יתרות פתיחה'!$2:$110,37,0),0)-IFERROR(HLOOKUP(X4,'סקרי נכסים-יתרות פתיחה'!$2:$110,95,0),0)*(1-X$309)</f>
        <v>20306</v>
      </c>
      <c r="Y204" s="50">
        <f>+IFERROR(HLOOKUP(Y4,'סקרי נכסים-יתרות פתיחה'!$2:$110,37,0),0)-IFERROR(HLOOKUP(Y4,'סקרי נכסים-יתרות פתיחה'!$2:$110,95,0),0)*(1-Y$309)</f>
        <v>846654.17142857146</v>
      </c>
      <c r="Z204" s="50">
        <f>+IFERROR(HLOOKUP(Z4,'סקרי נכסים-יתרות פתיחה'!$2:$110,37,0),0)-IFERROR(HLOOKUP(Z4,'סקרי נכסים-יתרות פתיחה'!$2:$110,95,0),0)*(1-Z$309)</f>
        <v>498285.71428571426</v>
      </c>
      <c r="AA204" s="50">
        <f>+IFERROR(HLOOKUP(AA4,'סקרי נכסים-יתרות פתיחה'!$2:$110,37,0),0)-IFERROR(HLOOKUP(AA4,'סקרי נכסים-יתרות פתיחה'!$2:$110,95,0),0)*(1-AA$309)</f>
        <v>563904.76190476189</v>
      </c>
      <c r="AB204" s="50">
        <f>+IFERROR(HLOOKUP(AB4,'סקרי נכסים-יתרות פתיחה'!$2:$110,37,0),0)-IFERROR(HLOOKUP(AB4,'סקרי נכסים-יתרות פתיחה'!$2:$110,95,0),0)*(1-AB$309)</f>
        <v>80000</v>
      </c>
      <c r="AC204" s="50">
        <f>+IFERROR(HLOOKUP(AC4,'סקרי נכסים-יתרות פתיחה'!$2:$110,37,0),0)-IFERROR(HLOOKUP(AC4,'סקרי נכסים-יתרות פתיחה'!$2:$110,95,0),0)*(1-AC$309)</f>
        <v>1732642.8571428573</v>
      </c>
      <c r="AD204" s="50">
        <f>+IFERROR(HLOOKUP(AD4,'סקרי נכסים-יתרות פתיחה'!$2:$110,37,0),0)-IFERROR(HLOOKUP(AD4,'סקרי נכסים-יתרות פתיחה'!$2:$110,95,0),0)*(1-AD$309)</f>
        <v>408330.97142857144</v>
      </c>
      <c r="AE204" s="50">
        <f>+IFERROR(HLOOKUP(AE4,'סקרי נכסים-יתרות פתיחה'!$2:$110,37,0),0)-IFERROR(HLOOKUP(AE4,'סקרי נכסים-יתרות פתיחה'!$2:$110,95,0),0)*(1-AE$309)</f>
        <v>1538914.2857142857</v>
      </c>
      <c r="AF204" s="50">
        <f>+IFERROR(HLOOKUP(AF4,'סקרי נכסים-יתרות פתיחה'!$2:$110,37,0),0)-IFERROR(HLOOKUP(AF4,'סקרי נכסים-יתרות פתיחה'!$2:$110,95,0),0)*(1-AF$309)</f>
        <v>429714.28571428574</v>
      </c>
      <c r="AG204" s="50">
        <f>+IFERROR(HLOOKUP(AG4,'סקרי נכסים-יתרות פתיחה'!$2:$110,37,0),0)-IFERROR(HLOOKUP(AG4,'סקרי נכסים-יתרות פתיחה'!$2:$110,95,0),0)*(1-AG$309)</f>
        <v>210325.56190476191</v>
      </c>
      <c r="AH204" s="50">
        <f>+IFERROR(HLOOKUP(AH4,'סקרי נכסים-יתרות פתיחה'!$2:$110,37,0),0)-IFERROR(HLOOKUP(AH4,'סקרי נכסים-יתרות פתיחה'!$2:$110,95,0),0)*(1-AH$309)</f>
        <v>120000</v>
      </c>
      <c r="AI204" s="50">
        <f>+IFERROR(HLOOKUP(AI4,'סקרי נכסים-יתרות פתיחה'!$2:$110,37,0),0)-IFERROR(HLOOKUP(AI4,'סקרי נכסים-יתרות פתיחה'!$2:$110,95,0),0)*(1-AI$309)</f>
        <v>795428.57142857148</v>
      </c>
      <c r="AJ204" s="50">
        <f>+IFERROR(HLOOKUP(AJ4,'סקרי נכסים-יתרות פתיחה'!$2:$110,37,0),0)-IFERROR(HLOOKUP(AJ4,'סקרי נכסים-יתרות פתיחה'!$2:$110,95,0),0)*(1-AJ$309)</f>
        <v>745781.02857142861</v>
      </c>
      <c r="AK204" s="50">
        <f>+IFERROR(HLOOKUP(AK4,'סקרי נכסים-יתרות פתיחה'!$2:$110,37,0),0)-IFERROR(HLOOKUP(AK4,'סקרי נכסים-יתרות פתיחה'!$2:$110,95,0),0)*(1-AK$309)</f>
        <v>421457.14285714284</v>
      </c>
      <c r="AL204" s="50">
        <f>+IFERROR(HLOOKUP(AL4,'סקרי נכסים-יתרות פתיחה'!$2:$110,37,0),0)-IFERROR(HLOOKUP(AL4,'סקרי נכסים-יתרות פתיחה'!$2:$110,95,0),0)*(1-AL$309)</f>
        <v>586642.85714285716</v>
      </c>
      <c r="AM204" s="50">
        <f>+IFERROR(HLOOKUP(AM4,'סקרי נכסים-יתרות פתיחה'!$2:$110,37,0),0)-IFERROR(HLOOKUP(AM4,'סקרי נכסים-יתרות פתיחה'!$2:$110,95,0),0)*(1-AM$309)</f>
        <v>192591.66666666666</v>
      </c>
      <c r="AN204" s="50">
        <f>+IFERROR(HLOOKUP(AN4,'סקרי נכסים-יתרות פתיחה'!$2:$110,37,0),0)-IFERROR(HLOOKUP(AN4,'סקרי נכסים-יתרות פתיחה'!$2:$110,95,0),0)*(1-AN$309)</f>
        <v>0</v>
      </c>
      <c r="AO204" s="50">
        <f>+IFERROR(HLOOKUP(AO4,'סקרי נכסים-יתרות פתיחה'!$2:$110,37,0),0)-IFERROR(HLOOKUP(AO4,'סקרי נכסים-יתרות פתיחה'!$2:$110,95,0),0)*(1-AO$309)</f>
        <v>408594.28571428574</v>
      </c>
      <c r="AP204" s="50">
        <f>+IFERROR(HLOOKUP(AP4,'סקרי נכסים-יתרות פתיחה'!$2:$110,37,0),0)-IFERROR(HLOOKUP(AP4,'סקרי נכסים-יתרות פתיחה'!$2:$110,95,0),0)*(1-AP$309)</f>
        <v>1637142.8571428573</v>
      </c>
      <c r="AQ204" s="50">
        <f>+IFERROR(HLOOKUP(AQ4,'סקרי נכסים-יתרות פתיחה'!$2:$110,37,0),0)-IFERROR(HLOOKUP(AQ4,'סקרי נכסים-יתרות פתיחה'!$2:$110,95,0),0)*(1-AQ$309)</f>
        <v>717714.28571428568</v>
      </c>
      <c r="AR204" s="50">
        <f>+IFERROR(HLOOKUP(AR4,'סקרי נכסים-יתרות פתיחה'!$2:$110,37,0),0)-IFERROR(HLOOKUP(AR4,'סקרי נכסים-יתרות פתיחה'!$2:$110,95,0),0)*(1-AR$309)</f>
        <v>195547.61904761905</v>
      </c>
      <c r="AS204" s="50">
        <f>+IFERROR(HLOOKUP(AS4,'סקרי נכסים-יתרות פתיחה'!$2:$110,37,0),0)-IFERROR(HLOOKUP(AS4,'סקרי נכסים-יתרות פתיחה'!$2:$110,95,0),0)*(1-AS$309)</f>
        <v>90000</v>
      </c>
      <c r="AT204" s="50">
        <f>+IFERROR(HLOOKUP(AT4,'סקרי נכסים-יתרות פתיחה'!$2:$110,37,0),0)-IFERROR(HLOOKUP(AT4,'סקרי נכסים-יתרות פתיחה'!$2:$110,95,0),0)*(1-AT$309)</f>
        <v>0</v>
      </c>
      <c r="AU204" s="50">
        <f>+IFERROR(HLOOKUP(AU4,'סקרי נכסים-יתרות פתיחה'!$2:$110,37,0),0)-IFERROR(HLOOKUP(AU4,'סקרי נכסים-יתרות פתיחה'!$2:$110,95,0),0)*(1-AU$309)</f>
        <v>154619.04761904763</v>
      </c>
      <c r="AV204" s="50">
        <f>+IFERROR(HLOOKUP(AV4,'סקרי נכסים-יתרות פתיחה'!$2:$110,37,0),0)-IFERROR(HLOOKUP(AV4,'סקרי נכסים-יתרות פתיחה'!$2:$110,95,0),0)*(1-AV$309)</f>
        <v>400190.47619047621</v>
      </c>
      <c r="AW204" s="50">
        <f>+IFERROR(HLOOKUP(AW4,'סקרי נכסים-יתרות פתיחה'!$2:$110,37,0),0)-IFERROR(HLOOKUP(AW4,'סקרי נכסים-יתרות פתיחה'!$2:$110,95,0),0)*(1-AW$309)</f>
        <v>559357.14285714284</v>
      </c>
      <c r="AX204" s="50">
        <f>+IFERROR(HLOOKUP(AX4,'סקרי נכסים-יתרות פתיחה'!$2:$110,37,0),0)-IFERROR(HLOOKUP(AX4,'סקרי נכסים-יתרות פתיחה'!$2:$110,95,0),0)*(1-AX$309)</f>
        <v>0</v>
      </c>
      <c r="AY204" s="50">
        <f>+IFERROR(HLOOKUP(AY4,'סקרי נכסים-יתרות פתיחה'!$2:$110,37,0),0)-IFERROR(HLOOKUP(AY4,'סקרי נכסים-יתרות פתיחה'!$2:$110,95,0),0)*(1-AY$309)</f>
        <v>291047.61904761905</v>
      </c>
      <c r="AZ204" s="50">
        <f>+IFERROR(HLOOKUP(AZ4,'סקרי נכסים-יתרות פתיחה'!$2:$110,37,0),0)-IFERROR(HLOOKUP(AZ4,'סקרי נכסים-יתרות פתיחה'!$2:$110,95,0),0)*(1-AZ$309)</f>
        <v>0</v>
      </c>
      <c r="BA204" s="50">
        <f>+IFERROR(HLOOKUP(BA4,'סקרי נכסים-יתרות פתיחה'!$2:$110,37,0),0)-IFERROR(HLOOKUP(BA4,'סקרי נכסים-יתרות פתיחה'!$2:$110,95,0),0)*(1-BA$309)</f>
        <v>0</v>
      </c>
      <c r="BB204" s="50">
        <f>+IFERROR(HLOOKUP(BB4,'סקרי נכסים-יתרות פתיחה'!$2:$110,37,0),0)-IFERROR(HLOOKUP(BB4,'סקרי נכסים-יתרות פתיחה'!$2:$110,95,0),0)*(1-BB$309)</f>
        <v>0</v>
      </c>
      <c r="BC204" s="50">
        <f>+IFERROR(HLOOKUP(BC4,'סקרי נכסים-יתרות פתיחה'!$2:$110,37,0),0)-IFERROR(HLOOKUP(BC4,'סקרי נכסים-יתרות פתיחה'!$2:$110,95,0),0)*(1-BC$309)</f>
        <v>0</v>
      </c>
      <c r="BD204" s="50">
        <f>+IFERROR(HLOOKUP(BD4,'סקרי נכסים-יתרות פתיחה'!$2:$110,37,0),0)-IFERROR(HLOOKUP(BD4,'סקרי נכסים-יתרות פתיחה'!$2:$110,95,0),0)*(1-BD$309)</f>
        <v>511190.47619047615</v>
      </c>
      <c r="BE204" s="50">
        <f>+IFERROR(HLOOKUP(BE4,'סקרי נכסים-יתרות פתיחה'!$2:$110,37,0),0)-IFERROR(HLOOKUP(BE4,'סקרי נכסים-יתרות פתיחה'!$2:$110,95,0),0)*(1-BE$309)</f>
        <v>541765.71428571432</v>
      </c>
      <c r="BF204" s="50">
        <f>+IFERROR(HLOOKUP(BF4,'סקרי נכסים-יתרות פתיחה'!$2:$110,37,0),0)-IFERROR(HLOOKUP(BF4,'סקרי נכסים-יתרות פתיחה'!$2:$110,95,0),0)*(1-BF$309)</f>
        <v>665000</v>
      </c>
    </row>
    <row r="205" spans="1:58" x14ac:dyDescent="0.2">
      <c r="B205" s="1">
        <v>2</v>
      </c>
      <c r="C205" s="50">
        <f>+IFERROR(HLOOKUP(C5,'סקרי נכסים-יתרות פתיחה'!$2:$110,37,0),0)-IFERROR(HLOOKUP(C5,'סקרי נכסים-יתרות פתיחה'!$2:$110,95,0),0)*(1-C$309)</f>
        <v>0</v>
      </c>
      <c r="D205" s="50">
        <f>+IFERROR(HLOOKUP(D5,'סקרי נכסים-יתרות פתיחה'!$2:$110,37,0),0)-IFERROR(HLOOKUP(D5,'סקרי נכסים-יתרות פתיחה'!$2:$110,95,0),0)*(1-D$309)</f>
        <v>76800</v>
      </c>
      <c r="E205" s="50">
        <f>+IFERROR(HLOOKUP(E5,'סקרי נכסים-יתרות פתיחה'!$2:$110,37,0),0)-IFERROR(HLOOKUP(E5,'סקרי נכסים-יתרות פתיחה'!$2:$110,95,0),0)*(1-E$309)</f>
        <v>0</v>
      </c>
      <c r="F205" s="50">
        <f>+IFERROR(HLOOKUP(F5,'סקרי נכסים-יתרות פתיחה'!$2:$110,37,0),0)-IFERROR(HLOOKUP(F5,'סקרי נכסים-יתרות פתיחה'!$2:$110,95,0),0)*(1-F$309)</f>
        <v>0</v>
      </c>
      <c r="G205" s="50">
        <f>+IFERROR(HLOOKUP(G5,'סקרי נכסים-יתרות פתיחה'!$2:$110,37,0),0)-IFERROR(HLOOKUP(G5,'סקרי נכסים-יתרות פתיחה'!$2:$110,95,0),0)*(1-G$309)</f>
        <v>0</v>
      </c>
      <c r="H205" s="50">
        <f>+IFERROR(HLOOKUP(H5,'סקרי נכסים-יתרות פתיחה'!$2:$110,37,0),0)-IFERROR(HLOOKUP(H5,'סקרי נכסים-יתרות פתיחה'!$2:$110,95,0),0)*(1-H$309)</f>
        <v>0</v>
      </c>
      <c r="I205" s="50">
        <f>+IFERROR(HLOOKUP(I5,'סקרי נכסים-יתרות פתיחה'!$2:$110,37,0),0)-IFERROR(HLOOKUP(I5,'סקרי נכסים-יתרות פתיחה'!$2:$110,95,0),0)*(1-I$309)</f>
        <v>0</v>
      </c>
      <c r="J205" s="50">
        <f>+IFERROR(HLOOKUP(J5,'סקרי נכסים-יתרות פתיחה'!$2:$110,37,0),0)-IFERROR(HLOOKUP(J5,'סקרי נכסים-יתרות פתיחה'!$2:$110,95,0),0)*(1-J$309)</f>
        <v>0</v>
      </c>
      <c r="K205" s="50">
        <f>+IFERROR(HLOOKUP(K5,'סקרי נכסים-יתרות פתיחה'!$2:$110,37,0),0)-IFERROR(HLOOKUP(K5,'סקרי נכסים-יתרות פתיחה'!$2:$110,95,0),0)*(1-K$309)</f>
        <v>0</v>
      </c>
      <c r="L205" s="50">
        <f>+IFERROR(HLOOKUP(L5,'סקרי נכסים-יתרות פתיחה'!$2:$110,37,0),0)-IFERROR(HLOOKUP(L5,'סקרי נכסים-יתרות פתיחה'!$2:$110,95,0),0)*(1-L$309)</f>
        <v>0</v>
      </c>
      <c r="M205" s="50">
        <f>+IFERROR(HLOOKUP(M5,'סקרי נכסים-יתרות פתיחה'!$2:$110,37,0),0)-IFERROR(HLOOKUP(M5,'סקרי נכסים-יתרות פתיחה'!$2:$110,95,0),0)*(1-M$309)</f>
        <v>0</v>
      </c>
      <c r="N205" s="50">
        <f>+IFERROR(HLOOKUP(N5,'סקרי נכסים-יתרות פתיחה'!$2:$110,37,0),0)-IFERROR(HLOOKUP(N5,'סקרי נכסים-יתרות פתיחה'!$2:$110,95,0),0)*(1-N$309)</f>
        <v>387235.21904761903</v>
      </c>
      <c r="O205" s="50">
        <f>+IFERROR(HLOOKUP(O5,'סקרי נכסים-יתרות פתיחה'!$2:$110,37,0),0)-IFERROR(HLOOKUP(O5,'סקרי נכסים-יתרות פתיחה'!$2:$110,95,0),0)*(1-O$309)</f>
        <v>0</v>
      </c>
      <c r="P205" s="50">
        <f>+IFERROR(HLOOKUP(P5,'סקרי נכסים-יתרות פתיחה'!$2:$110,37,0),0)-IFERROR(HLOOKUP(P5,'סקרי נכסים-יתרות פתיחה'!$2:$110,95,0),0)*(1-P$309)</f>
        <v>0</v>
      </c>
      <c r="Q205" s="50">
        <f>+IFERROR(HLOOKUP(Q5,'סקרי נכסים-יתרות פתיחה'!$2:$110,37,0),0)-IFERROR(HLOOKUP(Q5,'סקרי נכסים-יתרות פתיחה'!$2:$110,95,0),0)*(1-Q$309)</f>
        <v>0</v>
      </c>
      <c r="R205" s="50">
        <f>+IFERROR(HLOOKUP(R5,'סקרי נכסים-יתרות פתיחה'!$2:$110,37,0),0)-IFERROR(HLOOKUP(R5,'סקרי נכסים-יתרות פתיחה'!$2:$110,95,0),0)*(1-R$309)</f>
        <v>0</v>
      </c>
      <c r="S205" s="50">
        <f>+IFERROR(HLOOKUP(S5,'סקרי נכסים-יתרות פתיחה'!$2:$110,37,0),0)-IFERROR(HLOOKUP(S5,'סקרי נכסים-יתרות פתיחה'!$2:$110,95,0),0)*(1-S$309)</f>
        <v>0</v>
      </c>
      <c r="T205" s="50">
        <f>+IFERROR(HLOOKUP(T5,'סקרי נכסים-יתרות פתיחה'!$2:$110,37,0),0)-IFERROR(HLOOKUP(T5,'סקרי נכסים-יתרות פתיחה'!$2:$110,95,0),0)*(1-T$309)</f>
        <v>250000</v>
      </c>
      <c r="U205" s="50">
        <f>+IFERROR(HLOOKUP(U5,'סקרי נכסים-יתרות פתיחה'!$2:$110,37,0),0)-IFERROR(HLOOKUP(U5,'סקרי נכסים-יתרות פתיחה'!$2:$110,95,0),0)*(1-U$309)</f>
        <v>0</v>
      </c>
      <c r="V205" s="50">
        <f>+IFERROR(HLOOKUP(V5,'סקרי נכסים-יתרות פתיחה'!$2:$110,37,0),0)-IFERROR(HLOOKUP(V5,'סקרי נכסים-יתרות פתיחה'!$2:$110,95,0),0)*(1-V$309)</f>
        <v>0</v>
      </c>
      <c r="W205" s="50">
        <f>+IFERROR(HLOOKUP(W5,'סקרי נכסים-יתרות פתיחה'!$2:$110,37,0),0)-IFERROR(HLOOKUP(W5,'סקרי נכסים-יתרות פתיחה'!$2:$110,95,0),0)*(1-W$309)</f>
        <v>0</v>
      </c>
      <c r="X205" s="50">
        <f>+IFERROR(HLOOKUP(X5,'סקרי נכסים-יתרות פתיחה'!$2:$110,37,0),0)-IFERROR(HLOOKUP(X5,'סקרי נכסים-יתרות פתיחה'!$2:$110,95,0),0)*(1-X$309)</f>
        <v>0</v>
      </c>
      <c r="Y205" s="50">
        <f>+IFERROR(HLOOKUP(Y5,'סקרי נכסים-יתרות פתיחה'!$2:$110,37,0),0)-IFERROR(HLOOKUP(Y5,'סקרי נכסים-יתרות פתיחה'!$2:$110,95,0),0)*(1-Y$309)</f>
        <v>237714.28571428571</v>
      </c>
      <c r="Z205" s="50">
        <f>+IFERROR(HLOOKUP(Z5,'סקרי נכסים-יתרות פתיחה'!$2:$110,37,0),0)-IFERROR(HLOOKUP(Z5,'סקרי נכסים-יתרות פתיחה'!$2:$110,95,0),0)*(1-Z$309)</f>
        <v>0</v>
      </c>
      <c r="AA205" s="50">
        <f>+IFERROR(HLOOKUP(AA5,'סקרי נכסים-יתרות פתיחה'!$2:$110,37,0),0)-IFERROR(HLOOKUP(AA5,'סקרי נכסים-יתרות פתיחה'!$2:$110,95,0),0)*(1-AA$309)</f>
        <v>0</v>
      </c>
      <c r="AB205" s="50">
        <f>+IFERROR(HLOOKUP(AB5,'סקרי נכסים-יתרות פתיחה'!$2:$110,37,0),0)-IFERROR(HLOOKUP(AB5,'סקרי נכסים-יתרות פתיחה'!$2:$110,95,0),0)*(1-AB$309)</f>
        <v>0</v>
      </c>
      <c r="AC205" s="50">
        <f>+IFERROR(HLOOKUP(AC5,'סקרי נכסים-יתרות פתיחה'!$2:$110,37,0),0)-IFERROR(HLOOKUP(AC5,'סקרי נכסים-יתרות פתיחה'!$2:$110,95,0),0)*(1-AC$309)</f>
        <v>0</v>
      </c>
      <c r="AD205" s="50">
        <f>+IFERROR(HLOOKUP(AD5,'סקרי נכסים-יתרות פתיחה'!$2:$110,37,0),0)-IFERROR(HLOOKUP(AD5,'סקרי נכסים-יתרות פתיחה'!$2:$110,95,0),0)*(1-AD$309)</f>
        <v>0</v>
      </c>
      <c r="AE205" s="50">
        <f>+IFERROR(HLOOKUP(AE5,'סקרי נכסים-יתרות פתיחה'!$2:$110,37,0),0)-IFERROR(HLOOKUP(AE5,'סקרי נכסים-יתרות פתיחה'!$2:$110,95,0),0)*(1-AE$309)</f>
        <v>0</v>
      </c>
      <c r="AF205" s="50">
        <f>+IFERROR(HLOOKUP(AF5,'סקרי נכסים-יתרות פתיחה'!$2:$110,37,0),0)-IFERROR(HLOOKUP(AF5,'סקרי נכסים-יתרות פתיחה'!$2:$110,95,0),0)*(1-AF$309)</f>
        <v>145523.80952380953</v>
      </c>
      <c r="AG205" s="50">
        <f>+IFERROR(HLOOKUP(AG5,'סקרי נכסים-יתרות פתיחה'!$2:$110,37,0),0)-IFERROR(HLOOKUP(AG5,'סקרי נכסים-יתרות פתיחה'!$2:$110,95,0),0)*(1-AG$309)</f>
        <v>0</v>
      </c>
      <c r="AH205" s="50">
        <f>+IFERROR(HLOOKUP(AH5,'סקרי נכסים-יתרות פתיחה'!$2:$110,37,0),0)-IFERROR(HLOOKUP(AH5,'סקרי נכסים-יתרות פתיחה'!$2:$110,95,0),0)*(1-AH$309)</f>
        <v>0</v>
      </c>
      <c r="AI205" s="50">
        <f>+IFERROR(HLOOKUP(AI5,'סקרי נכסים-יתרות פתיחה'!$2:$110,37,0),0)-IFERROR(HLOOKUP(AI5,'סקרי נכסים-יתרות פתיחה'!$2:$110,95,0),0)*(1-AI$309)</f>
        <v>0</v>
      </c>
      <c r="AJ205" s="50">
        <f>+IFERROR(HLOOKUP(AJ5,'סקרי נכסים-יתרות פתיחה'!$2:$110,37,0),0)-IFERROR(HLOOKUP(AJ5,'סקרי נכסים-יתרות פתיחה'!$2:$110,95,0),0)*(1-AJ$309)</f>
        <v>0</v>
      </c>
      <c r="AK205" s="50">
        <f>+IFERROR(HLOOKUP(AK5,'סקרי נכסים-יתרות פתיחה'!$2:$110,37,0),0)-IFERROR(HLOOKUP(AK5,'סקרי נכסים-יתרות פתיחה'!$2:$110,95,0),0)*(1-AK$309)</f>
        <v>0</v>
      </c>
      <c r="AL205" s="50">
        <f>+IFERROR(HLOOKUP(AL5,'סקרי נכסים-יתרות פתיחה'!$2:$110,37,0),0)-IFERROR(HLOOKUP(AL5,'סקרי נכסים-יתרות פתיחה'!$2:$110,95,0),0)*(1-AL$309)</f>
        <v>0</v>
      </c>
      <c r="AM205" s="50">
        <f>+IFERROR(HLOOKUP(AM5,'סקרי נכסים-יתרות פתיחה'!$2:$110,37,0),0)-IFERROR(HLOOKUP(AM5,'סקרי נכסים-יתרות פתיחה'!$2:$110,95,0),0)*(1-AM$309)</f>
        <v>395642.85714285716</v>
      </c>
      <c r="AN205" s="50">
        <f>+IFERROR(HLOOKUP(AN5,'סקרי נכסים-יתרות פתיחה'!$2:$110,37,0),0)-IFERROR(HLOOKUP(AN5,'סקרי נכסים-יתרות פתיחה'!$2:$110,95,0),0)*(1-AN$309)</f>
        <v>600000</v>
      </c>
      <c r="AO205" s="50">
        <f>+IFERROR(HLOOKUP(AO5,'סקרי נכסים-יתרות פתיחה'!$2:$110,37,0),0)-IFERROR(HLOOKUP(AO5,'סקרי נכסים-יתרות פתיחה'!$2:$110,95,0),0)*(1-AO$309)</f>
        <v>0</v>
      </c>
      <c r="AP205" s="50">
        <f>+IFERROR(HLOOKUP(AP5,'סקרי נכסים-יתרות פתיחה'!$2:$110,37,0),0)-IFERROR(HLOOKUP(AP5,'סקרי נכסים-יתרות פתיחה'!$2:$110,95,0),0)*(1-AP$309)</f>
        <v>0</v>
      </c>
      <c r="AQ205" s="50">
        <f>+IFERROR(HLOOKUP(AQ5,'סקרי נכסים-יתרות פתיחה'!$2:$110,37,0),0)-IFERROR(HLOOKUP(AQ5,'סקרי נכסים-יתרות פתיחה'!$2:$110,95,0),0)*(1-AQ$309)</f>
        <v>0</v>
      </c>
      <c r="AR205" s="50">
        <f>+IFERROR(HLOOKUP(AR5,'סקרי נכסים-יתרות פתיחה'!$2:$110,37,0),0)-IFERROR(HLOOKUP(AR5,'סקרי נכסים-יתרות פתיחה'!$2:$110,95,0),0)*(1-AR$309)</f>
        <v>0</v>
      </c>
      <c r="AS205" s="50">
        <f>+IFERROR(HLOOKUP(AS5,'סקרי נכסים-יתרות פתיחה'!$2:$110,37,0),0)-IFERROR(HLOOKUP(AS5,'סקרי נכסים-יתרות פתיחה'!$2:$110,95,0),0)*(1-AS$309)</f>
        <v>82992</v>
      </c>
      <c r="AT205" s="50">
        <f>+IFERROR(HLOOKUP(AT5,'סקרי נכסים-יתרות פתיחה'!$2:$110,37,0),0)-IFERROR(HLOOKUP(AT5,'סקרי נכסים-יתרות פתיחה'!$2:$110,95,0),0)*(1-AT$309)</f>
        <v>0</v>
      </c>
      <c r="AU205" s="50">
        <f>+IFERROR(HLOOKUP(AU5,'סקרי נכסים-יתרות פתיחה'!$2:$110,37,0),0)-IFERROR(HLOOKUP(AU5,'סקרי נכסים-יתרות פתיחה'!$2:$110,95,0),0)*(1-AU$309)</f>
        <v>0</v>
      </c>
      <c r="AV205" s="50">
        <f>+IFERROR(HLOOKUP(AV5,'סקרי נכסים-יתרות פתיחה'!$2:$110,37,0),0)-IFERROR(HLOOKUP(AV5,'סקרי נכסים-יתרות פתיחה'!$2:$110,95,0),0)*(1-AV$309)</f>
        <v>0</v>
      </c>
      <c r="AW205" s="50">
        <f>+IFERROR(HLOOKUP(AW5,'סקרי נכסים-יתרות פתיחה'!$2:$110,37,0),0)-IFERROR(HLOOKUP(AW5,'סקרי נכסים-יתרות פתיחה'!$2:$110,95,0),0)*(1-AW$309)</f>
        <v>0</v>
      </c>
      <c r="AX205" s="50">
        <f>+IFERROR(HLOOKUP(AX5,'סקרי נכסים-יתרות פתיחה'!$2:$110,37,0),0)-IFERROR(HLOOKUP(AX5,'סקרי נכסים-יתרות פתיחה'!$2:$110,95,0),0)*(1-AX$309)</f>
        <v>92350</v>
      </c>
      <c r="AY205" s="50">
        <f>+IFERROR(HLOOKUP(AY5,'סקרי נכסים-יתרות פתיחה'!$2:$110,37,0),0)-IFERROR(HLOOKUP(AY5,'סקרי נכסים-יתרות פתיחה'!$2:$110,95,0),0)*(1-AY$309)</f>
        <v>0</v>
      </c>
      <c r="AZ205" s="50">
        <f>+IFERROR(HLOOKUP(AZ5,'סקרי נכסים-יתרות פתיחה'!$2:$110,37,0),0)-IFERROR(HLOOKUP(AZ5,'סקרי נכסים-יתרות פתיחה'!$2:$110,95,0),0)*(1-AZ$309)</f>
        <v>259214.28571428571</v>
      </c>
      <c r="BA205" s="50">
        <f>+IFERROR(HLOOKUP(BA5,'סקרי נכסים-יתרות פתיחה'!$2:$110,37,0),0)-IFERROR(HLOOKUP(BA5,'סקרי נכסים-יתרות פתיחה'!$2:$110,95,0),0)*(1-BA$309)</f>
        <v>454761.90476190473</v>
      </c>
      <c r="BB205" s="50">
        <f>+IFERROR(HLOOKUP(BB5,'סקרי נכסים-יתרות פתיחה'!$2:$110,37,0),0)-IFERROR(HLOOKUP(BB5,'סקרי נכסים-יתרות פתיחה'!$2:$110,95,0),0)*(1-BB$309)</f>
        <v>0</v>
      </c>
      <c r="BC205" s="50">
        <f>+IFERROR(HLOOKUP(BC5,'סקרי נכסים-יתרות פתיחה'!$2:$110,37,0),0)-IFERROR(HLOOKUP(BC5,'סקרי נכסים-יתרות פתיחה'!$2:$110,95,0),0)*(1-BC$309)</f>
        <v>180000</v>
      </c>
      <c r="BD205" s="50">
        <f>+IFERROR(HLOOKUP(BD5,'סקרי נכסים-יתרות פתיחה'!$2:$110,37,0),0)-IFERROR(HLOOKUP(BD5,'סקרי נכסים-יתרות פתיחה'!$2:$110,95,0),0)*(1-BD$309)</f>
        <v>273600</v>
      </c>
      <c r="BE205" s="50">
        <f>+IFERROR(HLOOKUP(BE5,'סקרי נכסים-יתרות פתיחה'!$2:$110,37,0),0)-IFERROR(HLOOKUP(BE5,'סקרי נכסים-יתרות פתיחה'!$2:$110,95,0),0)*(1-BE$309)</f>
        <v>0</v>
      </c>
      <c r="BF205" s="50">
        <f>+IFERROR(HLOOKUP(BF5,'סקרי נכסים-יתרות פתיחה'!$2:$110,37,0),0)-IFERROR(HLOOKUP(BF5,'סקרי נכסים-יתרות פתיחה'!$2:$110,95,0),0)*(1-BF$309)</f>
        <v>0</v>
      </c>
    </row>
    <row r="206" spans="1:58" x14ac:dyDescent="0.2">
      <c r="B206" s="1">
        <v>3</v>
      </c>
      <c r="C206" s="50">
        <f>+IFERROR(HLOOKUP(C6,'סקרי נכסים-יתרות פתיחה'!$2:$110,37,0),0)-IFERROR(HLOOKUP(C6,'סקרי נכסים-יתרות פתיחה'!$2:$110,95,0),0)*(1-C$309)</f>
        <v>0</v>
      </c>
      <c r="D206" s="50">
        <f>+IFERROR(HLOOKUP(D6,'סקרי נכסים-יתרות פתיחה'!$2:$110,37,0),0)-IFERROR(HLOOKUP(D6,'סקרי נכסים-יתרות פתיחה'!$2:$110,95,0),0)*(1-D$309)</f>
        <v>0</v>
      </c>
      <c r="E206" s="50">
        <f>+IFERROR(HLOOKUP(E6,'סקרי נכסים-יתרות פתיחה'!$2:$110,37,0),0)-IFERROR(HLOOKUP(E6,'סקרי נכסים-יתרות פתיחה'!$2:$110,95,0),0)*(1-E$309)</f>
        <v>0</v>
      </c>
      <c r="F206" s="50">
        <f>+IFERROR(HLOOKUP(F6,'סקרי נכסים-יתרות פתיחה'!$2:$110,37,0),0)-IFERROR(HLOOKUP(F6,'סקרי נכסים-יתרות פתיחה'!$2:$110,95,0),0)*(1-F$309)</f>
        <v>0</v>
      </c>
      <c r="G206" s="50">
        <f>+IFERROR(HLOOKUP(G6,'סקרי נכסים-יתרות פתיחה'!$2:$110,37,0),0)-IFERROR(HLOOKUP(G6,'סקרי נכסים-יתרות פתיחה'!$2:$110,95,0),0)*(1-G$309)</f>
        <v>0</v>
      </c>
      <c r="H206" s="50">
        <f>+IFERROR(HLOOKUP(H6,'סקרי נכסים-יתרות פתיחה'!$2:$110,37,0),0)-IFERROR(HLOOKUP(H6,'סקרי נכסים-יתרות פתיחה'!$2:$110,95,0),0)*(1-H$309)</f>
        <v>0</v>
      </c>
      <c r="I206" s="50">
        <f>+IFERROR(HLOOKUP(I6,'סקרי נכסים-יתרות פתיחה'!$2:$110,37,0),0)-IFERROR(HLOOKUP(I6,'סקרי נכסים-יתרות פתיחה'!$2:$110,95,0),0)*(1-I$309)</f>
        <v>0</v>
      </c>
      <c r="J206" s="50">
        <f>+IFERROR(HLOOKUP(J6,'סקרי נכסים-יתרות פתיחה'!$2:$110,37,0),0)-IFERROR(HLOOKUP(J6,'סקרי נכסים-יתרות פתיחה'!$2:$110,95,0),0)*(1-J$309)</f>
        <v>0</v>
      </c>
      <c r="K206" s="50">
        <f>+IFERROR(HLOOKUP(K6,'סקרי נכסים-יתרות פתיחה'!$2:$110,37,0),0)-IFERROR(HLOOKUP(K6,'סקרי נכסים-יתרות פתיחה'!$2:$110,95,0),0)*(1-K$309)</f>
        <v>455400</v>
      </c>
      <c r="L206" s="50">
        <f>+IFERROR(HLOOKUP(L6,'סקרי נכסים-יתרות פתיחה'!$2:$110,37,0),0)-IFERROR(HLOOKUP(L6,'סקרי נכסים-יתרות פתיחה'!$2:$110,95,0),0)*(1-L$309)</f>
        <v>112000</v>
      </c>
      <c r="M206" s="50">
        <f>+IFERROR(HLOOKUP(M6,'סקרי נכסים-יתרות פתיחה'!$2:$110,37,0),0)-IFERROR(HLOOKUP(M6,'סקרי נכסים-יתרות פתיחה'!$2:$110,95,0),0)*(1-M$309)</f>
        <v>0</v>
      </c>
      <c r="N206" s="50">
        <f>+IFERROR(HLOOKUP(N6,'סקרי נכסים-יתרות פתיחה'!$2:$110,37,0),0)-IFERROR(HLOOKUP(N6,'סקרי נכסים-יתרות פתיחה'!$2:$110,95,0),0)*(1-N$309)</f>
        <v>0</v>
      </c>
      <c r="O206" s="50">
        <f>+IFERROR(HLOOKUP(O6,'סקרי נכסים-יתרות פתיחה'!$2:$110,37,0),0)-IFERROR(HLOOKUP(O6,'סקרי נכסים-יתרות פתיחה'!$2:$110,95,0),0)*(1-O$309)</f>
        <v>0</v>
      </c>
      <c r="P206" s="50">
        <f>+IFERROR(HLOOKUP(P6,'סקרי נכסים-יתרות פתיחה'!$2:$110,37,0),0)-IFERROR(HLOOKUP(P6,'סקרי נכסים-יתרות פתיחה'!$2:$110,95,0),0)*(1-P$309)</f>
        <v>70000</v>
      </c>
      <c r="Q206" s="50">
        <f>+IFERROR(HLOOKUP(Q6,'סקרי נכסים-יתרות פתיחה'!$2:$110,37,0),0)-IFERROR(HLOOKUP(Q6,'סקרי נכסים-יתרות פתיחה'!$2:$110,95,0),0)*(1-Q$309)</f>
        <v>0</v>
      </c>
      <c r="R206" s="50">
        <f>+IFERROR(HLOOKUP(R6,'סקרי נכסים-יתרות פתיחה'!$2:$110,37,0),0)-IFERROR(HLOOKUP(R6,'סקרי נכסים-יתרות פתיחה'!$2:$110,95,0),0)*(1-R$309)</f>
        <v>0</v>
      </c>
      <c r="S206" s="50">
        <f>+IFERROR(HLOOKUP(S6,'סקרי נכסים-יתרות פתיחה'!$2:$110,37,0),0)-IFERROR(HLOOKUP(S6,'סקרי נכסים-יתרות פתיחה'!$2:$110,95,0),0)*(1-S$309)</f>
        <v>0</v>
      </c>
      <c r="T206" s="50">
        <f>+IFERROR(HLOOKUP(T6,'סקרי נכסים-יתרות פתיחה'!$2:$110,37,0),0)-IFERROR(HLOOKUP(T6,'סקרי נכסים-יתרות פתיחה'!$2:$110,95,0),0)*(1-T$309)</f>
        <v>265000</v>
      </c>
      <c r="U206" s="50">
        <f>+IFERROR(HLOOKUP(U6,'סקרי נכסים-יתרות פתיחה'!$2:$110,37,0),0)-IFERROR(HLOOKUP(U6,'סקרי נכסים-יתרות פתיחה'!$2:$110,95,0),0)*(1-U$309)</f>
        <v>0</v>
      </c>
      <c r="V206" s="50">
        <f>+IFERROR(HLOOKUP(V6,'סקרי נכסים-יתרות פתיחה'!$2:$110,37,0),0)-IFERROR(HLOOKUP(V6,'סקרי נכסים-יתרות פתיחה'!$2:$110,95,0),0)*(1-V$309)</f>
        <v>0</v>
      </c>
      <c r="W206" s="50">
        <f>+IFERROR(HLOOKUP(W6,'סקרי נכסים-יתרות פתיחה'!$2:$110,37,0),0)-IFERROR(HLOOKUP(W6,'סקרי נכסים-יתרות פתיחה'!$2:$110,95,0),0)*(1-W$309)</f>
        <v>0</v>
      </c>
      <c r="X206" s="50">
        <f>+IFERROR(HLOOKUP(X6,'סקרי נכסים-יתרות פתיחה'!$2:$110,37,0),0)-IFERROR(HLOOKUP(X6,'סקרי נכסים-יתרות פתיחה'!$2:$110,95,0),0)*(1-X$309)</f>
        <v>0</v>
      </c>
      <c r="Y206" s="50">
        <f>+IFERROR(HLOOKUP(Y6,'סקרי נכסים-יתרות פתיחה'!$2:$110,37,0),0)-IFERROR(HLOOKUP(Y6,'סקרי נכסים-יתרות פתיחה'!$2:$110,95,0),0)*(1-Y$309)</f>
        <v>0</v>
      </c>
      <c r="Z206" s="50">
        <f>+IFERROR(HLOOKUP(Z6,'סקרי נכסים-יתרות פתיחה'!$2:$110,37,0),0)-IFERROR(HLOOKUP(Z6,'סקרי נכסים-יתרות פתיחה'!$2:$110,95,0),0)*(1-Z$309)</f>
        <v>0</v>
      </c>
      <c r="AA206" s="50">
        <f>+IFERROR(HLOOKUP(AA6,'סקרי נכסים-יתרות פתיחה'!$2:$110,37,0),0)-IFERROR(HLOOKUP(AA6,'סקרי נכסים-יתרות פתיחה'!$2:$110,95,0),0)*(1-AA$309)</f>
        <v>0</v>
      </c>
      <c r="AB206" s="50">
        <f>+IFERROR(HLOOKUP(AB6,'סקרי נכסים-יתרות פתיחה'!$2:$110,37,0),0)-IFERROR(HLOOKUP(AB6,'סקרי נכסים-יתרות פתיחה'!$2:$110,95,0),0)*(1-AB$309)</f>
        <v>0</v>
      </c>
      <c r="AC206" s="50">
        <f>+IFERROR(HLOOKUP(AC6,'סקרי נכסים-יתרות פתיחה'!$2:$110,37,0),0)-IFERROR(HLOOKUP(AC6,'סקרי נכסים-יתרות פתיחה'!$2:$110,95,0),0)*(1-AC$309)</f>
        <v>0</v>
      </c>
      <c r="AD206" s="50">
        <f>+IFERROR(HLOOKUP(AD6,'סקרי נכסים-יתרות פתיחה'!$2:$110,37,0),0)-IFERROR(HLOOKUP(AD6,'סקרי נכסים-יתרות פתיחה'!$2:$110,95,0),0)*(1-AD$309)</f>
        <v>0</v>
      </c>
      <c r="AE206" s="50">
        <f>+IFERROR(HLOOKUP(AE6,'סקרי נכסים-יתרות פתיחה'!$2:$110,37,0),0)-IFERROR(HLOOKUP(AE6,'סקרי נכסים-יתרות פתיחה'!$2:$110,95,0),0)*(1-AE$309)</f>
        <v>0</v>
      </c>
      <c r="AF206" s="50">
        <f>+IFERROR(HLOOKUP(AF6,'סקרי נכסים-יתרות פתיחה'!$2:$110,37,0),0)-IFERROR(HLOOKUP(AF6,'סקרי נכסים-יתרות פתיחה'!$2:$110,95,0),0)*(1-AF$309)</f>
        <v>0</v>
      </c>
      <c r="AG206" s="50">
        <f>+IFERROR(HLOOKUP(AG6,'סקרי נכסים-יתרות פתיחה'!$2:$110,37,0),0)-IFERROR(HLOOKUP(AG6,'סקרי נכסים-יתרות פתיחה'!$2:$110,95,0),0)*(1-AG$309)</f>
        <v>0</v>
      </c>
      <c r="AH206" s="50">
        <f>+IFERROR(HLOOKUP(AH6,'סקרי נכסים-יתרות פתיחה'!$2:$110,37,0),0)-IFERROR(HLOOKUP(AH6,'סקרי נכסים-יתרות פתיחה'!$2:$110,95,0),0)*(1-AH$309)</f>
        <v>0</v>
      </c>
      <c r="AI206" s="50">
        <f>+IFERROR(HLOOKUP(AI6,'סקרי נכסים-יתרות פתיחה'!$2:$110,37,0),0)-IFERROR(HLOOKUP(AI6,'סקרי נכסים-יתרות פתיחה'!$2:$110,95,0),0)*(1-AI$309)</f>
        <v>0</v>
      </c>
      <c r="AJ206" s="50">
        <f>+IFERROR(HLOOKUP(AJ6,'סקרי נכסים-יתרות פתיחה'!$2:$110,37,0),0)-IFERROR(HLOOKUP(AJ6,'סקרי נכסים-יתרות פתיחה'!$2:$110,95,0),0)*(1-AJ$309)</f>
        <v>0</v>
      </c>
      <c r="AK206" s="50">
        <f>+IFERROR(HLOOKUP(AK6,'סקרי נכסים-יתרות פתיחה'!$2:$110,37,0),0)-IFERROR(HLOOKUP(AK6,'סקרי נכסים-יתרות פתיחה'!$2:$110,95,0),0)*(1-AK$309)</f>
        <v>0</v>
      </c>
      <c r="AL206" s="50">
        <f>+IFERROR(HLOOKUP(AL6,'סקרי נכסים-יתרות פתיחה'!$2:$110,37,0),0)-IFERROR(HLOOKUP(AL6,'סקרי נכסים-יתרות פתיחה'!$2:$110,95,0),0)*(1-AL$309)</f>
        <v>0</v>
      </c>
      <c r="AM206" s="50">
        <f>+IFERROR(HLOOKUP(AM6,'סקרי נכסים-יתרות פתיחה'!$2:$110,37,0),0)-IFERROR(HLOOKUP(AM6,'סקרי נכסים-יתרות פתיחה'!$2:$110,95,0),0)*(1-AM$309)</f>
        <v>118238.09523809524</v>
      </c>
      <c r="AN206" s="50">
        <f>+IFERROR(HLOOKUP(AN6,'סקרי נכסים-יתרות פתיחה'!$2:$110,37,0),0)-IFERROR(HLOOKUP(AN6,'סקרי נכסים-יתרות פתיחה'!$2:$110,95,0),0)*(1-AN$309)</f>
        <v>134000</v>
      </c>
      <c r="AO206" s="50">
        <f>+IFERROR(HLOOKUP(AO6,'סקרי נכסים-יתרות פתיחה'!$2:$110,37,0),0)-IFERROR(HLOOKUP(AO6,'סקרי נכסים-יתרות פתיחה'!$2:$110,95,0),0)*(1-AO$309)</f>
        <v>0</v>
      </c>
      <c r="AP206" s="50">
        <f>+IFERROR(HLOOKUP(AP6,'סקרי נכסים-יתרות פתיחה'!$2:$110,37,0),0)-IFERROR(HLOOKUP(AP6,'סקרי נכסים-יתרות פתיחה'!$2:$110,95,0),0)*(1-AP$309)</f>
        <v>0</v>
      </c>
      <c r="AQ206" s="50">
        <f>+IFERROR(HLOOKUP(AQ6,'סקרי נכסים-יתרות פתיחה'!$2:$110,37,0),0)-IFERROR(HLOOKUP(AQ6,'סקרי נכסים-יתרות פתיחה'!$2:$110,95,0),0)*(1-AQ$309)</f>
        <v>0</v>
      </c>
      <c r="AR206" s="50">
        <f>+IFERROR(HLOOKUP(AR6,'סקרי נכסים-יתרות פתיחה'!$2:$110,37,0),0)-IFERROR(HLOOKUP(AR6,'סקרי נכסים-יתרות פתיחה'!$2:$110,95,0),0)*(1-AR$309)</f>
        <v>0</v>
      </c>
      <c r="AS206" s="50">
        <f>+IFERROR(HLOOKUP(AS6,'סקרי נכסים-יתרות פתיחה'!$2:$110,37,0),0)-IFERROR(HLOOKUP(AS6,'סקרי נכסים-יתרות פתיחה'!$2:$110,95,0),0)*(1-AS$309)</f>
        <v>0</v>
      </c>
      <c r="AT206" s="50">
        <f>+IFERROR(HLOOKUP(AT6,'סקרי נכסים-יתרות פתיחה'!$2:$110,37,0),0)-IFERROR(HLOOKUP(AT6,'סקרי נכסים-יתרות פתיחה'!$2:$110,95,0),0)*(1-AT$309)</f>
        <v>0</v>
      </c>
      <c r="AU206" s="50">
        <f>+IFERROR(HLOOKUP(AU6,'סקרי נכסים-יתרות פתיחה'!$2:$110,37,0),0)-IFERROR(HLOOKUP(AU6,'סקרי נכסים-יתרות פתיחה'!$2:$110,95,0),0)*(1-AU$309)</f>
        <v>0</v>
      </c>
      <c r="AV206" s="50">
        <f>+IFERROR(HLOOKUP(AV6,'סקרי נכסים-יתרות פתיחה'!$2:$110,37,0),0)-IFERROR(HLOOKUP(AV6,'סקרי נכסים-יתרות פתיחה'!$2:$110,95,0),0)*(1-AV$309)</f>
        <v>0</v>
      </c>
      <c r="AW206" s="50">
        <f>+IFERROR(HLOOKUP(AW6,'סקרי נכסים-יתרות פתיחה'!$2:$110,37,0),0)-IFERROR(HLOOKUP(AW6,'סקרי נכסים-יתרות פתיחה'!$2:$110,95,0),0)*(1-AW$309)</f>
        <v>0</v>
      </c>
      <c r="AX206" s="50">
        <f>+IFERROR(HLOOKUP(AX6,'סקרי נכסים-יתרות פתיחה'!$2:$110,37,0),0)-IFERROR(HLOOKUP(AX6,'סקרי נכסים-יתרות פתיחה'!$2:$110,95,0),0)*(1-AX$309)</f>
        <v>0</v>
      </c>
      <c r="AY206" s="50">
        <f>+IFERROR(HLOOKUP(AY6,'סקרי נכסים-יתרות פתיחה'!$2:$110,37,0),0)-IFERROR(HLOOKUP(AY6,'סקרי נכסים-יתרות פתיחה'!$2:$110,95,0),0)*(1-AY$309)</f>
        <v>0</v>
      </c>
      <c r="AZ206" s="50">
        <f>+IFERROR(HLOOKUP(AZ6,'סקרי נכסים-יתרות פתיחה'!$2:$110,37,0),0)-IFERROR(HLOOKUP(AZ6,'סקרי נכסים-יתרות פתיחה'!$2:$110,95,0),0)*(1-AZ$309)</f>
        <v>127333.33333333333</v>
      </c>
      <c r="BA206" s="50">
        <f>+IFERROR(HLOOKUP(BA6,'סקרי נכסים-יתרות פתיחה'!$2:$110,37,0),0)-IFERROR(HLOOKUP(BA6,'סקרי נכסים-יתרות פתיחה'!$2:$110,95,0),0)*(1-BA$309)</f>
        <v>220139.3238095238</v>
      </c>
      <c r="BB206" s="50">
        <f>+IFERROR(HLOOKUP(BB6,'סקרי נכסים-יתרות פתיחה'!$2:$110,37,0),0)-IFERROR(HLOOKUP(BB6,'סקרי נכסים-יתרות פתיחה'!$2:$110,95,0),0)*(1-BB$309)</f>
        <v>0</v>
      </c>
      <c r="BC206" s="50">
        <f>+IFERROR(HLOOKUP(BC6,'סקרי נכסים-יתרות פתיחה'!$2:$110,37,0),0)-IFERROR(HLOOKUP(BC6,'סקרי נכסים-יתרות פתיחה'!$2:$110,95,0),0)*(1-BC$309)</f>
        <v>0</v>
      </c>
      <c r="BD206" s="50">
        <f>+IFERROR(HLOOKUP(BD6,'סקרי נכסים-יתרות פתיחה'!$2:$110,37,0),0)-IFERROR(HLOOKUP(BD6,'סקרי נכסים-יתרות פתיחה'!$2:$110,95,0),0)*(1-BD$309)</f>
        <v>0</v>
      </c>
      <c r="BE206" s="50">
        <f>+IFERROR(HLOOKUP(BE6,'סקרי נכסים-יתרות פתיחה'!$2:$110,37,0),0)-IFERROR(HLOOKUP(BE6,'סקרי נכסים-יתרות פתיחה'!$2:$110,95,0),0)*(1-BE$309)</f>
        <v>0</v>
      </c>
      <c r="BF206" s="50">
        <f>+IFERROR(HLOOKUP(BF6,'סקרי נכסים-יתרות פתיחה'!$2:$110,37,0),0)-IFERROR(HLOOKUP(BF6,'סקרי נכסים-יתרות פתיחה'!$2:$110,95,0),0)*(1-BF$309)</f>
        <v>0</v>
      </c>
    </row>
    <row r="207" spans="1:58" x14ac:dyDescent="0.2">
      <c r="B207" s="1">
        <v>4</v>
      </c>
      <c r="C207" s="50">
        <f>+IFERROR(HLOOKUP(C7,'סקרי נכסים-יתרות פתיחה'!$2:$110,37,0),0)-IFERROR(HLOOKUP(C7,'סקרי נכסים-יתרות פתיחה'!$2:$110,95,0),0)*(1-C$309)</f>
        <v>0</v>
      </c>
      <c r="D207" s="50">
        <f>+IFERROR(HLOOKUP(D7,'סקרי נכסים-יתרות פתיחה'!$2:$110,37,0),0)-IFERROR(HLOOKUP(D7,'סקרי נכסים-יתרות פתיחה'!$2:$110,95,0),0)*(1-D$309)</f>
        <v>200100</v>
      </c>
      <c r="E207" s="50">
        <f>+IFERROR(HLOOKUP(E7,'סקרי נכסים-יתרות פתיחה'!$2:$110,37,0),0)-IFERROR(HLOOKUP(E7,'סקרי נכסים-יתרות פתיחה'!$2:$110,95,0),0)*(1-E$309)</f>
        <v>0</v>
      </c>
      <c r="F207" s="50">
        <f>+IFERROR(HLOOKUP(F7,'סקרי נכסים-יתרות פתיחה'!$2:$110,37,0),0)-IFERROR(HLOOKUP(F7,'סקרי נכסים-יתרות פתיחה'!$2:$110,95,0),0)*(1-F$309)</f>
        <v>0</v>
      </c>
      <c r="G207" s="50">
        <f>+IFERROR(HLOOKUP(G7,'סקרי נכסים-יתרות פתיחה'!$2:$110,37,0),0)-IFERROR(HLOOKUP(G7,'סקרי נכסים-יתרות פתיחה'!$2:$110,95,0),0)*(1-G$309)</f>
        <v>0</v>
      </c>
      <c r="H207" s="50">
        <f>+IFERROR(HLOOKUP(H7,'סקרי נכסים-יתרות פתיחה'!$2:$110,37,0),0)-IFERROR(HLOOKUP(H7,'סקרי נכסים-יתרות פתיחה'!$2:$110,95,0),0)*(1-H$309)</f>
        <v>0</v>
      </c>
      <c r="I207" s="50">
        <f>+IFERROR(HLOOKUP(I7,'סקרי נכסים-יתרות פתיחה'!$2:$110,37,0),0)-IFERROR(HLOOKUP(I7,'סקרי נכסים-יתרות פתיחה'!$2:$110,95,0),0)*(1-I$309)</f>
        <v>0</v>
      </c>
      <c r="J207" s="50">
        <f>+IFERROR(HLOOKUP(J7,'סקרי נכסים-יתרות פתיחה'!$2:$110,37,0),0)-IFERROR(HLOOKUP(J7,'סקרי נכסים-יתרות פתיחה'!$2:$110,95,0),0)*(1-J$309)</f>
        <v>0</v>
      </c>
      <c r="K207" s="50">
        <f>+IFERROR(HLOOKUP(K7,'סקרי נכסים-יתרות פתיחה'!$2:$110,37,0),0)-IFERROR(HLOOKUP(K7,'סקרי נכסים-יתרות פתיחה'!$2:$110,95,0),0)*(1-K$309)</f>
        <v>0</v>
      </c>
      <c r="L207" s="50">
        <f>+IFERROR(HLOOKUP(L7,'סקרי נכסים-יתרות פתיחה'!$2:$110,37,0),0)-IFERROR(HLOOKUP(L7,'סקרי נכסים-יתרות פתיחה'!$2:$110,95,0),0)*(1-L$309)</f>
        <v>0</v>
      </c>
      <c r="M207" s="50">
        <f>+IFERROR(HLOOKUP(M7,'סקרי נכסים-יתרות פתיחה'!$2:$110,37,0),0)-IFERROR(HLOOKUP(M7,'סקרי נכסים-יתרות פתיחה'!$2:$110,95,0),0)*(1-M$309)</f>
        <v>0</v>
      </c>
      <c r="N207" s="50">
        <f>+IFERROR(HLOOKUP(N7,'סקרי נכסים-יתרות פתיחה'!$2:$110,37,0),0)-IFERROR(HLOOKUP(N7,'סקרי נכסים-יתרות פתיחה'!$2:$110,95,0),0)*(1-N$309)</f>
        <v>0</v>
      </c>
      <c r="O207" s="50">
        <f>+IFERROR(HLOOKUP(O7,'סקרי נכסים-יתרות פתיחה'!$2:$110,37,0),0)-IFERROR(HLOOKUP(O7,'סקרי נכסים-יתרות פתיחה'!$2:$110,95,0),0)*(1-O$309)</f>
        <v>0</v>
      </c>
      <c r="P207" s="50">
        <f>+IFERROR(HLOOKUP(P7,'סקרי נכסים-יתרות פתיחה'!$2:$110,37,0),0)-IFERROR(HLOOKUP(P7,'סקרי נכסים-יתרות פתיחה'!$2:$110,95,0),0)*(1-P$309)</f>
        <v>120000</v>
      </c>
      <c r="Q207" s="50">
        <f>+IFERROR(HLOOKUP(Q7,'סקרי נכסים-יתרות פתיחה'!$2:$110,37,0),0)-IFERROR(HLOOKUP(Q7,'סקרי נכסים-יתרות פתיחה'!$2:$110,95,0),0)*(1-Q$309)</f>
        <v>0</v>
      </c>
      <c r="R207" s="50">
        <f>+IFERROR(HLOOKUP(R7,'סקרי נכסים-יתרות פתיחה'!$2:$110,37,0),0)-IFERROR(HLOOKUP(R7,'סקרי נכסים-יתרות פתיחה'!$2:$110,95,0),0)*(1-R$309)</f>
        <v>0</v>
      </c>
      <c r="S207" s="50">
        <f>+IFERROR(HLOOKUP(S7,'סקרי נכסים-יתרות פתיחה'!$2:$110,37,0),0)-IFERROR(HLOOKUP(S7,'סקרי נכסים-יתרות פתיחה'!$2:$110,95,0),0)*(1-S$309)</f>
        <v>0</v>
      </c>
      <c r="T207" s="50">
        <f>+IFERROR(HLOOKUP(T7,'סקרי נכסים-יתרות פתיחה'!$2:$110,37,0),0)-IFERROR(HLOOKUP(T7,'סקרי נכסים-יתרות פתיחה'!$2:$110,95,0),0)*(1-T$309)</f>
        <v>212000</v>
      </c>
      <c r="U207" s="50">
        <f>+IFERROR(HLOOKUP(U7,'סקרי נכסים-יתרות פתיחה'!$2:$110,37,0),0)-IFERROR(HLOOKUP(U7,'סקרי נכסים-יתרות פתיחה'!$2:$110,95,0),0)*(1-U$309)</f>
        <v>0</v>
      </c>
      <c r="V207" s="50">
        <f>+IFERROR(HLOOKUP(V7,'סקרי נכסים-יתרות פתיחה'!$2:$110,37,0),0)-IFERROR(HLOOKUP(V7,'סקרי נכסים-יתרות פתיחה'!$2:$110,95,0),0)*(1-V$309)</f>
        <v>0</v>
      </c>
      <c r="W207" s="50">
        <f>+IFERROR(HLOOKUP(W7,'סקרי נכסים-יתרות פתיחה'!$2:$110,37,0),0)-IFERROR(HLOOKUP(W7,'סקרי נכסים-יתרות פתיחה'!$2:$110,95,0),0)*(1-W$309)</f>
        <v>0</v>
      </c>
      <c r="X207" s="50">
        <f>+IFERROR(HLOOKUP(X7,'סקרי נכסים-יתרות פתיחה'!$2:$110,37,0),0)-IFERROR(HLOOKUP(X7,'סקרי נכסים-יתרות פתיחה'!$2:$110,95,0),0)*(1-X$309)</f>
        <v>55944</v>
      </c>
      <c r="Y207" s="50">
        <f>+IFERROR(HLOOKUP(Y7,'סקרי נכסים-יתרות פתיחה'!$2:$110,37,0),0)-IFERROR(HLOOKUP(Y7,'סקרי נכסים-יתרות פתיחה'!$2:$110,95,0),0)*(1-Y$309)</f>
        <v>346432</v>
      </c>
      <c r="Z207" s="50">
        <f>+IFERROR(HLOOKUP(Z7,'סקרי נכסים-יתרות פתיחה'!$2:$110,37,0),0)-IFERROR(HLOOKUP(Z7,'סקרי נכסים-יתרות פתיחה'!$2:$110,95,0),0)*(1-Z$309)</f>
        <v>0</v>
      </c>
      <c r="AA207" s="50">
        <f>+IFERROR(HLOOKUP(AA7,'סקרי נכסים-יתרות פתיחה'!$2:$110,37,0),0)-IFERROR(HLOOKUP(AA7,'סקרי נכסים-יתרות פתיחה'!$2:$110,95,0),0)*(1-AA$309)</f>
        <v>0</v>
      </c>
      <c r="AB207" s="50">
        <f>+IFERROR(HLOOKUP(AB7,'סקרי נכסים-יתרות פתיחה'!$2:$110,37,0),0)-IFERROR(HLOOKUP(AB7,'סקרי נכסים-יתרות פתיחה'!$2:$110,95,0),0)*(1-AB$309)</f>
        <v>0</v>
      </c>
      <c r="AC207" s="50">
        <f>+IFERROR(HLOOKUP(AC7,'סקרי נכסים-יתרות פתיחה'!$2:$110,37,0),0)-IFERROR(HLOOKUP(AC7,'סקרי נכסים-יתרות פתיחה'!$2:$110,95,0),0)*(1-AC$309)</f>
        <v>0</v>
      </c>
      <c r="AD207" s="50">
        <f>+IFERROR(HLOOKUP(AD7,'סקרי נכסים-יתרות פתיחה'!$2:$110,37,0),0)-IFERROR(HLOOKUP(AD7,'סקרי נכסים-יתרות פתיחה'!$2:$110,95,0),0)*(1-AD$309)</f>
        <v>0</v>
      </c>
      <c r="AE207" s="50">
        <f>+IFERROR(HLOOKUP(AE7,'סקרי נכסים-יתרות פתיחה'!$2:$110,37,0),0)-IFERROR(HLOOKUP(AE7,'סקרי נכסים-יתרות פתיחה'!$2:$110,95,0),0)*(1-AE$309)</f>
        <v>0</v>
      </c>
      <c r="AF207" s="50">
        <f>+IFERROR(HLOOKUP(AF7,'סקרי נכסים-יתרות פתיחה'!$2:$110,37,0),0)-IFERROR(HLOOKUP(AF7,'סקרי נכסים-יתרות פתיחה'!$2:$110,95,0),0)*(1-AF$309)</f>
        <v>0</v>
      </c>
      <c r="AG207" s="50">
        <f>+IFERROR(HLOOKUP(AG7,'סקרי נכסים-יתרות פתיחה'!$2:$110,37,0),0)-IFERROR(HLOOKUP(AG7,'סקרי נכסים-יתרות פתיחה'!$2:$110,95,0),0)*(1-AG$309)</f>
        <v>0</v>
      </c>
      <c r="AH207" s="50">
        <f>+IFERROR(HLOOKUP(AH7,'סקרי נכסים-יתרות פתיחה'!$2:$110,37,0),0)-IFERROR(HLOOKUP(AH7,'סקרי נכסים-יתרות פתיחה'!$2:$110,95,0),0)*(1-AH$309)</f>
        <v>0</v>
      </c>
      <c r="AI207" s="50">
        <f>+IFERROR(HLOOKUP(AI7,'סקרי נכסים-יתרות פתיחה'!$2:$110,37,0),0)-IFERROR(HLOOKUP(AI7,'סקרי נכסים-יתרות פתיחה'!$2:$110,95,0),0)*(1-AI$309)</f>
        <v>0</v>
      </c>
      <c r="AJ207" s="50">
        <f>+IFERROR(HLOOKUP(AJ7,'סקרי נכסים-יתרות פתיחה'!$2:$110,37,0),0)-IFERROR(HLOOKUP(AJ7,'סקרי נכסים-יתרות פתיחה'!$2:$110,95,0),0)*(1-AJ$309)</f>
        <v>0</v>
      </c>
      <c r="AK207" s="50">
        <f>+IFERROR(HLOOKUP(AK7,'סקרי נכסים-יתרות פתיחה'!$2:$110,37,0),0)-IFERROR(HLOOKUP(AK7,'סקרי נכסים-יתרות פתיחה'!$2:$110,95,0),0)*(1-AK$309)</f>
        <v>0</v>
      </c>
      <c r="AL207" s="50">
        <f>+IFERROR(HLOOKUP(AL7,'סקרי נכסים-יתרות פתיחה'!$2:$110,37,0),0)-IFERROR(HLOOKUP(AL7,'סקרי נכסים-יתרות פתיחה'!$2:$110,95,0),0)*(1-AL$309)</f>
        <v>0</v>
      </c>
      <c r="AM207" s="50">
        <f>+IFERROR(HLOOKUP(AM7,'סקרי נכסים-יתרות פתיחה'!$2:$110,37,0),0)-IFERROR(HLOOKUP(AM7,'סקרי נכסים-יתרות פתיחה'!$2:$110,95,0),0)*(1-AM$309)</f>
        <v>7882.8428571428576</v>
      </c>
      <c r="AN207" s="50">
        <f>+IFERROR(HLOOKUP(AN7,'סקרי נכסים-יתרות פתיחה'!$2:$110,37,0),0)-IFERROR(HLOOKUP(AN7,'סקרי נכסים-יתרות פתיחה'!$2:$110,95,0),0)*(1-AN$309)</f>
        <v>0</v>
      </c>
      <c r="AO207" s="50">
        <f>+IFERROR(HLOOKUP(AO7,'סקרי נכסים-יתרות פתיחה'!$2:$110,37,0),0)-IFERROR(HLOOKUP(AO7,'סקרי נכסים-יתרות פתיחה'!$2:$110,95,0),0)*(1-AO$309)</f>
        <v>0</v>
      </c>
      <c r="AP207" s="50">
        <f>+IFERROR(HLOOKUP(AP7,'סקרי נכסים-יתרות פתיחה'!$2:$110,37,0),0)-IFERROR(HLOOKUP(AP7,'סקרי נכסים-יתרות פתיחה'!$2:$110,95,0),0)*(1-AP$309)</f>
        <v>0</v>
      </c>
      <c r="AQ207" s="50">
        <f>+IFERROR(HLOOKUP(AQ7,'סקרי נכסים-יתרות פתיחה'!$2:$110,37,0),0)-IFERROR(HLOOKUP(AQ7,'סקרי נכסים-יתרות פתיחה'!$2:$110,95,0),0)*(1-AQ$309)</f>
        <v>0</v>
      </c>
      <c r="AR207" s="50">
        <f>+IFERROR(HLOOKUP(AR7,'סקרי נכסים-יתרות פתיחה'!$2:$110,37,0),0)-IFERROR(HLOOKUP(AR7,'סקרי נכסים-יתרות פתיחה'!$2:$110,95,0),0)*(1-AR$309)</f>
        <v>0</v>
      </c>
      <c r="AS207" s="50">
        <f>+IFERROR(HLOOKUP(AS7,'סקרי נכסים-יתרות פתיחה'!$2:$110,37,0),0)-IFERROR(HLOOKUP(AS7,'סקרי נכסים-יתרות פתיחה'!$2:$110,95,0),0)*(1-AS$309)</f>
        <v>83905</v>
      </c>
      <c r="AT207" s="50">
        <f>+IFERROR(HLOOKUP(AT7,'סקרי נכסים-יתרות פתיחה'!$2:$110,37,0),0)-IFERROR(HLOOKUP(AT7,'סקרי נכסים-יתרות פתיחה'!$2:$110,95,0),0)*(1-AT$309)</f>
        <v>0</v>
      </c>
      <c r="AU207" s="50">
        <f>+IFERROR(HLOOKUP(AU7,'סקרי נכסים-יתרות פתיחה'!$2:$110,37,0),0)-IFERROR(HLOOKUP(AU7,'סקרי נכסים-יתרות פתיחה'!$2:$110,95,0),0)*(1-AU$309)</f>
        <v>0</v>
      </c>
      <c r="AV207" s="50">
        <f>+IFERROR(HLOOKUP(AV7,'סקרי נכסים-יתרות פתיחה'!$2:$110,37,0),0)-IFERROR(HLOOKUP(AV7,'סקרי נכסים-יתרות פתיחה'!$2:$110,95,0),0)*(1-AV$309)</f>
        <v>0</v>
      </c>
      <c r="AW207" s="50">
        <f>+IFERROR(HLOOKUP(AW7,'סקרי נכסים-יתרות פתיחה'!$2:$110,37,0),0)-IFERROR(HLOOKUP(AW7,'סקרי נכסים-יתרות פתיחה'!$2:$110,95,0),0)*(1-AW$309)</f>
        <v>0</v>
      </c>
      <c r="AX207" s="50">
        <f>+IFERROR(HLOOKUP(AX7,'סקרי נכסים-יתרות פתיחה'!$2:$110,37,0),0)-IFERROR(HLOOKUP(AX7,'סקרי נכסים-יתרות פתיחה'!$2:$110,95,0),0)*(1-AX$309)</f>
        <v>195000</v>
      </c>
      <c r="AY207" s="50">
        <f>+IFERROR(HLOOKUP(AY7,'סקרי נכסים-יתרות פתיחה'!$2:$110,37,0),0)-IFERROR(HLOOKUP(AY7,'סקרי נכסים-יתרות פתיחה'!$2:$110,95,0),0)*(1-AY$309)</f>
        <v>0</v>
      </c>
      <c r="AZ207" s="50">
        <f>+IFERROR(HLOOKUP(AZ7,'סקרי נכסים-יתרות פתיחה'!$2:$110,37,0),0)-IFERROR(HLOOKUP(AZ7,'סקרי נכסים-יתרות פתיחה'!$2:$110,95,0),0)*(1-AZ$309)</f>
        <v>185000</v>
      </c>
      <c r="BA207" s="50">
        <f>+IFERROR(HLOOKUP(BA7,'סקרי נכסים-יתרות פתיחה'!$2:$110,37,0),0)-IFERROR(HLOOKUP(BA7,'סקרי נכסים-יתרות פתיחה'!$2:$110,95,0),0)*(1-BA$309)</f>
        <v>74402.685714285719</v>
      </c>
      <c r="BB207" s="50">
        <f>+IFERROR(HLOOKUP(BB7,'סקרי נכסים-יתרות פתיחה'!$2:$110,37,0),0)-IFERROR(HLOOKUP(BB7,'סקרי נכסים-יתרות פתיחה'!$2:$110,95,0),0)*(1-BB$309)</f>
        <v>70670</v>
      </c>
      <c r="BC207" s="50">
        <f>+IFERROR(HLOOKUP(BC7,'סקרי נכסים-יתרות פתיחה'!$2:$110,37,0),0)-IFERROR(HLOOKUP(BC7,'סקרי נכסים-יתרות פתיחה'!$2:$110,95,0),0)*(1-BC$309)</f>
        <v>0</v>
      </c>
      <c r="BD207" s="50">
        <f>+IFERROR(HLOOKUP(BD7,'סקרי נכסים-יתרות פתיחה'!$2:$110,37,0),0)-IFERROR(HLOOKUP(BD7,'סקרי נכסים-יתרות פתיחה'!$2:$110,95,0),0)*(1-BD$309)</f>
        <v>0</v>
      </c>
      <c r="BE207" s="50">
        <f>+IFERROR(HLOOKUP(BE7,'סקרי נכסים-יתרות פתיחה'!$2:$110,37,0),0)-IFERROR(HLOOKUP(BE7,'סקרי נכסים-יתרות פתיחה'!$2:$110,95,0),0)*(1-BE$309)</f>
        <v>0</v>
      </c>
      <c r="BF207" s="50">
        <f>+IFERROR(HLOOKUP(BF7,'סקרי נכסים-יתרות פתיחה'!$2:$110,37,0),0)-IFERROR(HLOOKUP(BF7,'סקרי נכסים-יתרות פתיחה'!$2:$110,95,0),0)*(1-BF$309)</f>
        <v>0</v>
      </c>
    </row>
    <row r="208" spans="1:58" x14ac:dyDescent="0.2">
      <c r="B208" s="1">
        <v>5</v>
      </c>
      <c r="C208" s="50">
        <f>+IFERROR(HLOOKUP(C8,'סקרי נכסים-יתרות פתיחה'!$2:$110,37,0),0)-IFERROR(HLOOKUP(C8,'סקרי נכסים-יתרות פתיחה'!$2:$110,95,0),0)*(1-C$309)</f>
        <v>0</v>
      </c>
      <c r="D208" s="50">
        <f>+IFERROR(HLOOKUP(D8,'סקרי נכסים-יתרות פתיחה'!$2:$110,37,0),0)-IFERROR(HLOOKUP(D8,'סקרי נכסים-יתרות פתיחה'!$2:$110,95,0),0)*(1-D$309)</f>
        <v>45000</v>
      </c>
      <c r="E208" s="50">
        <f>+IFERROR(HLOOKUP(E8,'סקרי נכסים-יתרות פתיחה'!$2:$110,37,0),0)-IFERROR(HLOOKUP(E8,'סקרי נכסים-יתרות פתיחה'!$2:$110,95,0),0)*(1-E$309)</f>
        <v>0</v>
      </c>
      <c r="F208" s="50">
        <f>+IFERROR(HLOOKUP(F8,'סקרי נכסים-יתרות פתיחה'!$2:$110,37,0),0)-IFERROR(HLOOKUP(F8,'סקרי נכסים-יתרות פתיחה'!$2:$110,95,0),0)*(1-F$309)</f>
        <v>0</v>
      </c>
      <c r="G208" s="50">
        <f>+IFERROR(HLOOKUP(G8,'סקרי נכסים-יתרות פתיחה'!$2:$110,37,0),0)-IFERROR(HLOOKUP(G8,'סקרי נכסים-יתרות פתיחה'!$2:$110,95,0),0)*(1-G$309)</f>
        <v>0</v>
      </c>
      <c r="H208" s="50">
        <f>+IFERROR(HLOOKUP(H8,'סקרי נכסים-יתרות פתיחה'!$2:$110,37,0),0)-IFERROR(HLOOKUP(H8,'סקרי נכסים-יתרות פתיחה'!$2:$110,95,0),0)*(1-H$309)</f>
        <v>0</v>
      </c>
      <c r="I208" s="50">
        <f>+IFERROR(HLOOKUP(I8,'סקרי נכסים-יתרות פתיחה'!$2:$110,37,0),0)-IFERROR(HLOOKUP(I8,'סקרי נכסים-יתרות פתיחה'!$2:$110,95,0),0)*(1-I$309)</f>
        <v>0</v>
      </c>
      <c r="J208" s="50">
        <f>+IFERROR(HLOOKUP(J8,'סקרי נכסים-יתרות פתיחה'!$2:$110,37,0),0)-IFERROR(HLOOKUP(J8,'סקרי נכסים-יתרות פתיחה'!$2:$110,95,0),0)*(1-J$309)</f>
        <v>0</v>
      </c>
      <c r="K208" s="50">
        <f>+IFERROR(HLOOKUP(K8,'סקרי נכסים-יתרות פתיחה'!$2:$110,37,0),0)-IFERROR(HLOOKUP(K8,'סקרי נכסים-יתרות פתיחה'!$2:$110,95,0),0)*(1-K$309)</f>
        <v>0</v>
      </c>
      <c r="L208" s="50">
        <f>+IFERROR(HLOOKUP(L8,'סקרי נכסים-יתרות פתיחה'!$2:$110,37,0),0)-IFERROR(HLOOKUP(L8,'סקרי נכסים-יתרות פתיחה'!$2:$110,95,0),0)*(1-L$309)</f>
        <v>0</v>
      </c>
      <c r="M208" s="50">
        <f>+IFERROR(HLOOKUP(M8,'סקרי נכסים-יתרות פתיחה'!$2:$110,37,0),0)-IFERROR(HLOOKUP(M8,'סקרי נכסים-יתרות פתיחה'!$2:$110,95,0),0)*(1-M$309)</f>
        <v>0</v>
      </c>
      <c r="N208" s="50">
        <f>+IFERROR(HLOOKUP(N8,'סקרי נכסים-יתרות פתיחה'!$2:$110,37,0),0)-IFERROR(HLOOKUP(N8,'סקרי נכסים-יתרות פתיחה'!$2:$110,95,0),0)*(1-N$309)</f>
        <v>0</v>
      </c>
      <c r="O208" s="50">
        <f>+IFERROR(HLOOKUP(O8,'סקרי נכסים-יתרות פתיחה'!$2:$110,37,0),0)-IFERROR(HLOOKUP(O8,'סקרי נכסים-יתרות פתיחה'!$2:$110,95,0),0)*(1-O$309)</f>
        <v>0</v>
      </c>
      <c r="P208" s="50">
        <f>+IFERROR(HLOOKUP(P8,'סקרי נכסים-יתרות פתיחה'!$2:$110,37,0),0)-IFERROR(HLOOKUP(P8,'סקרי נכסים-יתרות פתיחה'!$2:$110,95,0),0)*(1-P$309)</f>
        <v>0</v>
      </c>
      <c r="Q208" s="50">
        <f>+IFERROR(HLOOKUP(Q8,'סקרי נכסים-יתרות פתיחה'!$2:$110,37,0),0)-IFERROR(HLOOKUP(Q8,'סקרי נכסים-יתרות פתיחה'!$2:$110,95,0),0)*(1-Q$309)</f>
        <v>0</v>
      </c>
      <c r="R208" s="50">
        <f>+IFERROR(HLOOKUP(R8,'סקרי נכסים-יתרות פתיחה'!$2:$110,37,0),0)-IFERROR(HLOOKUP(R8,'סקרי נכסים-יתרות פתיחה'!$2:$110,95,0),0)*(1-R$309)</f>
        <v>0</v>
      </c>
      <c r="S208" s="50">
        <f>+IFERROR(HLOOKUP(S8,'סקרי נכסים-יתרות פתיחה'!$2:$110,37,0),0)-IFERROR(HLOOKUP(S8,'סקרי נכסים-יתרות פתיחה'!$2:$110,95,0),0)*(1-S$309)</f>
        <v>0</v>
      </c>
      <c r="T208" s="50">
        <f>+IFERROR(HLOOKUP(T8,'סקרי נכסים-יתרות פתיחה'!$2:$110,37,0),0)-IFERROR(HLOOKUP(T8,'סקרי נכסים-יתרות פתיחה'!$2:$110,95,0),0)*(1-T$309)</f>
        <v>0</v>
      </c>
      <c r="U208" s="50">
        <f>+IFERROR(HLOOKUP(U8,'סקרי נכסים-יתרות פתיחה'!$2:$110,37,0),0)-IFERROR(HLOOKUP(U8,'סקרי נכסים-יתרות פתיחה'!$2:$110,95,0),0)*(1-U$309)</f>
        <v>0</v>
      </c>
      <c r="V208" s="50">
        <f>+IFERROR(HLOOKUP(V8,'סקרי נכסים-יתרות פתיחה'!$2:$110,37,0),0)-IFERROR(HLOOKUP(V8,'סקרי נכסים-יתרות פתיחה'!$2:$110,95,0),0)*(1-V$309)</f>
        <v>0</v>
      </c>
      <c r="W208" s="50">
        <f>+IFERROR(HLOOKUP(W8,'סקרי נכסים-יתרות פתיחה'!$2:$110,37,0),0)-IFERROR(HLOOKUP(W8,'סקרי נכסים-יתרות פתיחה'!$2:$110,95,0),0)*(1-W$309)</f>
        <v>0</v>
      </c>
      <c r="X208" s="50">
        <f>+IFERROR(HLOOKUP(X8,'סקרי נכסים-יתרות פתיחה'!$2:$110,37,0),0)-IFERROR(HLOOKUP(X8,'סקרי נכסים-יתרות פתיחה'!$2:$110,95,0),0)*(1-X$309)</f>
        <v>97750</v>
      </c>
      <c r="Y208" s="50">
        <f>+IFERROR(HLOOKUP(Y8,'סקרי נכסים-יתרות פתיחה'!$2:$110,37,0),0)-IFERROR(HLOOKUP(Y8,'סקרי נכסים-יתרות פתיחה'!$2:$110,95,0),0)*(1-Y$309)</f>
        <v>0</v>
      </c>
      <c r="Z208" s="50">
        <f>+IFERROR(HLOOKUP(Z8,'סקרי נכסים-יתרות פתיחה'!$2:$110,37,0),0)-IFERROR(HLOOKUP(Z8,'סקרי נכסים-יתרות פתיחה'!$2:$110,95,0),0)*(1-Z$309)</f>
        <v>0</v>
      </c>
      <c r="AA208" s="50">
        <f>+IFERROR(HLOOKUP(AA8,'סקרי נכסים-יתרות פתיחה'!$2:$110,37,0),0)-IFERROR(HLOOKUP(AA8,'סקרי נכסים-יתרות פתיחה'!$2:$110,95,0),0)*(1-AA$309)</f>
        <v>0</v>
      </c>
      <c r="AB208" s="50">
        <f>+IFERROR(HLOOKUP(AB8,'סקרי נכסים-יתרות פתיחה'!$2:$110,37,0),0)-IFERROR(HLOOKUP(AB8,'סקרי נכסים-יתרות פתיחה'!$2:$110,95,0),0)*(1-AB$309)</f>
        <v>0</v>
      </c>
      <c r="AC208" s="50">
        <f>+IFERROR(HLOOKUP(AC8,'סקרי נכסים-יתרות פתיחה'!$2:$110,37,0),0)-IFERROR(HLOOKUP(AC8,'סקרי נכסים-יתרות פתיחה'!$2:$110,95,0),0)*(1-AC$309)</f>
        <v>0</v>
      </c>
      <c r="AD208" s="50">
        <f>+IFERROR(HLOOKUP(AD8,'סקרי נכסים-יתרות פתיחה'!$2:$110,37,0),0)-IFERROR(HLOOKUP(AD8,'סקרי נכסים-יתרות פתיחה'!$2:$110,95,0),0)*(1-AD$309)</f>
        <v>0</v>
      </c>
      <c r="AE208" s="50">
        <f>+IFERROR(HLOOKUP(AE8,'סקרי נכסים-יתרות פתיחה'!$2:$110,37,0),0)-IFERROR(HLOOKUP(AE8,'סקרי נכסים-יתרות פתיחה'!$2:$110,95,0),0)*(1-AE$309)</f>
        <v>0</v>
      </c>
      <c r="AF208" s="50">
        <f>+IFERROR(HLOOKUP(AF8,'סקרי נכסים-יתרות פתיחה'!$2:$110,37,0),0)-IFERROR(HLOOKUP(AF8,'סקרי נכסים-יתרות פתיחה'!$2:$110,95,0),0)*(1-AF$309)</f>
        <v>0</v>
      </c>
      <c r="AG208" s="50">
        <f>+IFERROR(HLOOKUP(AG8,'סקרי נכסים-יתרות פתיחה'!$2:$110,37,0),0)-IFERROR(HLOOKUP(AG8,'סקרי נכסים-יתרות פתיחה'!$2:$110,95,0),0)*(1-AG$309)</f>
        <v>0</v>
      </c>
      <c r="AH208" s="50">
        <f>+IFERROR(HLOOKUP(AH8,'סקרי נכסים-יתרות פתיחה'!$2:$110,37,0),0)-IFERROR(HLOOKUP(AH8,'סקרי נכסים-יתרות פתיחה'!$2:$110,95,0),0)*(1-AH$309)</f>
        <v>0</v>
      </c>
      <c r="AI208" s="50">
        <f>+IFERROR(HLOOKUP(AI8,'סקרי נכסים-יתרות פתיחה'!$2:$110,37,0),0)-IFERROR(HLOOKUP(AI8,'סקרי נכסים-יתרות פתיחה'!$2:$110,95,0),0)*(1-AI$309)</f>
        <v>0</v>
      </c>
      <c r="AJ208" s="50">
        <f>+IFERROR(HLOOKUP(AJ8,'סקרי נכסים-יתרות פתיחה'!$2:$110,37,0),0)-IFERROR(HLOOKUP(AJ8,'סקרי נכסים-יתרות פתיחה'!$2:$110,95,0),0)*(1-AJ$309)</f>
        <v>0</v>
      </c>
      <c r="AK208" s="50">
        <f>+IFERROR(HLOOKUP(AK8,'סקרי נכסים-יתרות פתיחה'!$2:$110,37,0),0)-IFERROR(HLOOKUP(AK8,'סקרי נכסים-יתרות פתיחה'!$2:$110,95,0),0)*(1-AK$309)</f>
        <v>0</v>
      </c>
      <c r="AL208" s="50">
        <f>+IFERROR(HLOOKUP(AL8,'סקרי נכסים-יתרות פתיחה'!$2:$110,37,0),0)-IFERROR(HLOOKUP(AL8,'סקרי נכסים-יתרות פתיחה'!$2:$110,95,0),0)*(1-AL$309)</f>
        <v>0</v>
      </c>
      <c r="AM208" s="50">
        <f>+IFERROR(HLOOKUP(AM8,'סקרי נכסים-יתרות פתיחה'!$2:$110,37,0),0)-IFERROR(HLOOKUP(AM8,'סקרי נכסים-יתרות פתיחה'!$2:$110,95,0),0)*(1-AM$309)</f>
        <v>0</v>
      </c>
      <c r="AN208" s="50">
        <f>+IFERROR(HLOOKUP(AN8,'סקרי נכסים-יתרות פתיחה'!$2:$110,37,0),0)-IFERROR(HLOOKUP(AN8,'סקרי נכסים-יתרות פתיחה'!$2:$110,95,0),0)*(1-AN$309)</f>
        <v>0</v>
      </c>
      <c r="AO208" s="50">
        <f>+IFERROR(HLOOKUP(AO8,'סקרי נכסים-יתרות פתיחה'!$2:$110,37,0),0)-IFERROR(HLOOKUP(AO8,'סקרי נכסים-יתרות פתיחה'!$2:$110,95,0),0)*(1-AO$309)</f>
        <v>0</v>
      </c>
      <c r="AP208" s="50">
        <f>+IFERROR(HLOOKUP(AP8,'סקרי נכסים-יתרות פתיחה'!$2:$110,37,0),0)-IFERROR(HLOOKUP(AP8,'סקרי נכסים-יתרות פתיחה'!$2:$110,95,0),0)*(1-AP$309)</f>
        <v>0</v>
      </c>
      <c r="AQ208" s="50">
        <f>+IFERROR(HLOOKUP(AQ8,'סקרי נכסים-יתרות פתיחה'!$2:$110,37,0),0)-IFERROR(HLOOKUP(AQ8,'סקרי נכסים-יתרות פתיחה'!$2:$110,95,0),0)*(1-AQ$309)</f>
        <v>0</v>
      </c>
      <c r="AR208" s="50">
        <f>+IFERROR(HLOOKUP(AR8,'סקרי נכסים-יתרות פתיחה'!$2:$110,37,0),0)-IFERROR(HLOOKUP(AR8,'סקרי נכסים-יתרות פתיחה'!$2:$110,95,0),0)*(1-AR$309)</f>
        <v>0</v>
      </c>
      <c r="AS208" s="50">
        <f>+IFERROR(HLOOKUP(AS8,'סקרי נכסים-יתרות פתיחה'!$2:$110,37,0),0)-IFERROR(HLOOKUP(AS8,'סקרי נכסים-יתרות פתיחה'!$2:$110,95,0),0)*(1-AS$309)</f>
        <v>140000</v>
      </c>
      <c r="AT208" s="50">
        <f>+IFERROR(HLOOKUP(AT8,'סקרי נכסים-יתרות פתיחה'!$2:$110,37,0),0)-IFERROR(HLOOKUP(AT8,'סקרי נכסים-יתרות פתיחה'!$2:$110,95,0),0)*(1-AT$309)</f>
        <v>0</v>
      </c>
      <c r="AU208" s="50">
        <f>+IFERROR(HLOOKUP(AU8,'סקרי נכסים-יתרות פתיחה'!$2:$110,37,0),0)-IFERROR(HLOOKUP(AU8,'סקרי נכסים-יתרות פתיחה'!$2:$110,95,0),0)*(1-AU$309)</f>
        <v>0</v>
      </c>
      <c r="AV208" s="50">
        <f>+IFERROR(HLOOKUP(AV8,'סקרי נכסים-יתרות פתיחה'!$2:$110,37,0),0)-IFERROR(HLOOKUP(AV8,'סקרי נכסים-יתרות פתיחה'!$2:$110,95,0),0)*(1-AV$309)</f>
        <v>0</v>
      </c>
      <c r="AW208" s="50">
        <f>+IFERROR(HLOOKUP(AW8,'סקרי נכסים-יתרות פתיחה'!$2:$110,37,0),0)-IFERROR(HLOOKUP(AW8,'סקרי נכסים-יתרות פתיחה'!$2:$110,95,0),0)*(1-AW$309)</f>
        <v>0</v>
      </c>
      <c r="AX208" s="50">
        <f>+IFERROR(HLOOKUP(AX8,'סקרי נכסים-יתרות פתיחה'!$2:$110,37,0),0)-IFERROR(HLOOKUP(AX8,'סקרי נכסים-יתרות פתיחה'!$2:$110,95,0),0)*(1-AX$309)</f>
        <v>0</v>
      </c>
      <c r="AY208" s="50">
        <f>+IFERROR(HLOOKUP(AY8,'סקרי נכסים-יתרות פתיחה'!$2:$110,37,0),0)-IFERROR(HLOOKUP(AY8,'סקרי נכסים-יתרות פתיחה'!$2:$110,95,0),0)*(1-AY$309)</f>
        <v>0</v>
      </c>
      <c r="AZ208" s="50">
        <f>+IFERROR(HLOOKUP(AZ8,'סקרי נכסים-יתרות פתיחה'!$2:$110,37,0),0)-IFERROR(HLOOKUP(AZ8,'סקרי נכסים-יתרות פתיחה'!$2:$110,95,0),0)*(1-AZ$309)</f>
        <v>0</v>
      </c>
      <c r="BA208" s="50">
        <f>+IFERROR(HLOOKUP(BA8,'סקרי נכסים-יתרות פתיחה'!$2:$110,37,0),0)-IFERROR(HLOOKUP(BA8,'סקרי נכסים-יתרות פתיחה'!$2:$110,95,0),0)*(1-BA$309)</f>
        <v>0</v>
      </c>
      <c r="BB208" s="50">
        <f>+IFERROR(HLOOKUP(BB8,'סקרי נכסים-יתרות פתיחה'!$2:$110,37,0),0)-IFERROR(HLOOKUP(BB8,'סקרי נכסים-יתרות פתיחה'!$2:$110,95,0),0)*(1-BB$309)</f>
        <v>0</v>
      </c>
      <c r="BC208" s="50">
        <f>+IFERROR(HLOOKUP(BC8,'סקרי נכסים-יתרות פתיחה'!$2:$110,37,0),0)-IFERROR(HLOOKUP(BC8,'סקרי נכסים-יתרות פתיחה'!$2:$110,95,0),0)*(1-BC$309)</f>
        <v>0</v>
      </c>
      <c r="BD208" s="50">
        <f>+IFERROR(HLOOKUP(BD8,'סקרי נכסים-יתרות פתיחה'!$2:$110,37,0),0)-IFERROR(HLOOKUP(BD8,'סקרי נכסים-יתרות פתיחה'!$2:$110,95,0),0)*(1-BD$309)</f>
        <v>0</v>
      </c>
      <c r="BE208" s="50">
        <f>+IFERROR(HLOOKUP(BE8,'סקרי נכסים-יתרות פתיחה'!$2:$110,37,0),0)-IFERROR(HLOOKUP(BE8,'סקרי נכסים-יתרות פתיחה'!$2:$110,95,0),0)*(1-BE$309)</f>
        <v>0</v>
      </c>
      <c r="BF208" s="50">
        <f>+IFERROR(HLOOKUP(BF8,'סקרי נכסים-יתרות פתיחה'!$2:$110,37,0),0)-IFERROR(HLOOKUP(BF8,'סקרי נכסים-יתרות פתיחה'!$2:$110,95,0),0)*(1-BF$309)</f>
        <v>0</v>
      </c>
    </row>
    <row r="209" spans="2:58" x14ac:dyDescent="0.2">
      <c r="B209" s="1">
        <v>6</v>
      </c>
      <c r="C209" s="50">
        <f>+IFERROR(HLOOKUP(C9,'סקרי נכסים-יתרות פתיחה'!$2:$110,37,0),0)-IFERROR(HLOOKUP(C9,'סקרי נכסים-יתרות פתיחה'!$2:$110,95,0),0)*(1-C$309)</f>
        <v>0</v>
      </c>
      <c r="D209" s="50">
        <f>+IFERROR(HLOOKUP(D9,'סקרי נכסים-יתרות פתיחה'!$2:$110,37,0),0)-IFERROR(HLOOKUP(D9,'סקרי נכסים-יתרות פתיחה'!$2:$110,95,0),0)*(1-D$309)</f>
        <v>0</v>
      </c>
      <c r="E209" s="50">
        <f>+IFERROR(HLOOKUP(E9,'סקרי נכסים-יתרות פתיחה'!$2:$110,37,0),0)-IFERROR(HLOOKUP(E9,'סקרי נכסים-יתרות פתיחה'!$2:$110,95,0),0)*(1-E$309)</f>
        <v>0</v>
      </c>
      <c r="F209" s="50">
        <f>+IFERROR(HLOOKUP(F9,'סקרי נכסים-יתרות פתיחה'!$2:$110,37,0),0)-IFERROR(HLOOKUP(F9,'סקרי נכסים-יתרות פתיחה'!$2:$110,95,0),0)*(1-F$309)</f>
        <v>0</v>
      </c>
      <c r="G209" s="50">
        <f>+IFERROR(HLOOKUP(G9,'סקרי נכסים-יתרות פתיחה'!$2:$110,37,0),0)-IFERROR(HLOOKUP(G9,'סקרי נכסים-יתרות פתיחה'!$2:$110,95,0),0)*(1-G$309)</f>
        <v>0</v>
      </c>
      <c r="H209" s="50">
        <f>+IFERROR(HLOOKUP(H9,'סקרי נכסים-יתרות פתיחה'!$2:$110,37,0),0)-IFERROR(HLOOKUP(H9,'סקרי נכסים-יתרות פתיחה'!$2:$110,95,0),0)*(1-H$309)</f>
        <v>0</v>
      </c>
      <c r="I209" s="50">
        <f>+IFERROR(HLOOKUP(I9,'סקרי נכסים-יתרות פתיחה'!$2:$110,37,0),0)-IFERROR(HLOOKUP(I9,'סקרי נכסים-יתרות פתיחה'!$2:$110,95,0),0)*(1-I$309)</f>
        <v>0</v>
      </c>
      <c r="J209" s="50">
        <f>+IFERROR(HLOOKUP(J9,'סקרי נכסים-יתרות פתיחה'!$2:$110,37,0),0)-IFERROR(HLOOKUP(J9,'סקרי נכסים-יתרות פתיחה'!$2:$110,95,0),0)*(1-J$309)</f>
        <v>0</v>
      </c>
      <c r="K209" s="50">
        <f>+IFERROR(HLOOKUP(K9,'סקרי נכסים-יתרות פתיחה'!$2:$110,37,0),0)-IFERROR(HLOOKUP(K9,'סקרי נכסים-יתרות פתיחה'!$2:$110,95,0),0)*(1-K$309)</f>
        <v>0</v>
      </c>
      <c r="L209" s="50">
        <f>+IFERROR(HLOOKUP(L9,'סקרי נכסים-יתרות פתיחה'!$2:$110,37,0),0)-IFERROR(HLOOKUP(L9,'סקרי נכסים-יתרות פתיחה'!$2:$110,95,0),0)*(1-L$309)</f>
        <v>0</v>
      </c>
      <c r="M209" s="50">
        <f>+IFERROR(HLOOKUP(M9,'סקרי נכסים-יתרות פתיחה'!$2:$110,37,0),0)-IFERROR(HLOOKUP(M9,'סקרי נכסים-יתרות פתיחה'!$2:$110,95,0),0)*(1-M$309)</f>
        <v>0</v>
      </c>
      <c r="N209" s="50">
        <f>+IFERROR(HLOOKUP(N9,'סקרי נכסים-יתרות פתיחה'!$2:$110,37,0),0)-IFERROR(HLOOKUP(N9,'סקרי נכסים-יתרות פתיחה'!$2:$110,95,0),0)*(1-N$309)</f>
        <v>0</v>
      </c>
      <c r="O209" s="50">
        <f>+IFERROR(HLOOKUP(O9,'סקרי נכסים-יתרות פתיחה'!$2:$110,37,0),0)-IFERROR(HLOOKUP(O9,'סקרי נכסים-יתרות פתיחה'!$2:$110,95,0),0)*(1-O$309)</f>
        <v>0</v>
      </c>
      <c r="P209" s="50">
        <f>+IFERROR(HLOOKUP(P9,'סקרי נכסים-יתרות פתיחה'!$2:$110,37,0),0)-IFERROR(HLOOKUP(P9,'סקרי נכסים-יתרות פתיחה'!$2:$110,95,0),0)*(1-P$309)</f>
        <v>0</v>
      </c>
      <c r="Q209" s="50">
        <f>+IFERROR(HLOOKUP(Q9,'סקרי נכסים-יתרות פתיחה'!$2:$110,37,0),0)-IFERROR(HLOOKUP(Q9,'סקרי נכסים-יתרות פתיחה'!$2:$110,95,0),0)*(1-Q$309)</f>
        <v>0</v>
      </c>
      <c r="R209" s="50">
        <f>+IFERROR(HLOOKUP(R9,'סקרי נכסים-יתרות פתיחה'!$2:$110,37,0),0)-IFERROR(HLOOKUP(R9,'סקרי נכסים-יתרות פתיחה'!$2:$110,95,0),0)*(1-R$309)</f>
        <v>0</v>
      </c>
      <c r="S209" s="50">
        <f>+IFERROR(HLOOKUP(S9,'סקרי נכסים-יתרות פתיחה'!$2:$110,37,0),0)-IFERROR(HLOOKUP(S9,'סקרי נכסים-יתרות פתיחה'!$2:$110,95,0),0)*(1-S$309)</f>
        <v>0</v>
      </c>
      <c r="T209" s="50">
        <f>+IFERROR(HLOOKUP(T9,'סקרי נכסים-יתרות פתיחה'!$2:$110,37,0),0)-IFERROR(HLOOKUP(T9,'סקרי נכסים-יתרות פתיחה'!$2:$110,95,0),0)*(1-T$309)</f>
        <v>0</v>
      </c>
      <c r="U209" s="50">
        <f>+IFERROR(HLOOKUP(U9,'סקרי נכסים-יתרות פתיחה'!$2:$110,37,0),0)-IFERROR(HLOOKUP(U9,'סקרי נכסים-יתרות פתיחה'!$2:$110,95,0),0)*(1-U$309)</f>
        <v>0</v>
      </c>
      <c r="V209" s="50">
        <f>+IFERROR(HLOOKUP(V9,'סקרי נכסים-יתרות פתיחה'!$2:$110,37,0),0)-IFERROR(HLOOKUP(V9,'סקרי נכסים-יתרות פתיחה'!$2:$110,95,0),0)*(1-V$309)</f>
        <v>0</v>
      </c>
      <c r="W209" s="50">
        <f>+IFERROR(HLOOKUP(W9,'סקרי נכסים-יתרות פתיחה'!$2:$110,37,0),0)-IFERROR(HLOOKUP(W9,'סקרי נכסים-יתרות פתיחה'!$2:$110,95,0),0)*(1-W$309)</f>
        <v>0</v>
      </c>
      <c r="X209" s="50">
        <f>+IFERROR(HLOOKUP(X9,'סקרי נכסים-יתרות פתיחה'!$2:$110,37,0),0)-IFERROR(HLOOKUP(X9,'סקרי נכסים-יתרות פתיחה'!$2:$110,95,0),0)*(1-X$309)</f>
        <v>0</v>
      </c>
      <c r="Y209" s="50">
        <f>+IFERROR(HLOOKUP(Y9,'סקרי נכסים-יתרות פתיחה'!$2:$110,37,0),0)-IFERROR(HLOOKUP(Y9,'סקרי נכסים-יתרות פתיחה'!$2:$110,95,0),0)*(1-Y$309)</f>
        <v>0</v>
      </c>
      <c r="Z209" s="50">
        <f>+IFERROR(HLOOKUP(Z9,'סקרי נכסים-יתרות פתיחה'!$2:$110,37,0),0)-IFERROR(HLOOKUP(Z9,'סקרי נכסים-יתרות פתיחה'!$2:$110,95,0),0)*(1-Z$309)</f>
        <v>0</v>
      </c>
      <c r="AA209" s="50">
        <f>+IFERROR(HLOOKUP(AA9,'סקרי נכסים-יתרות פתיחה'!$2:$110,37,0),0)-IFERROR(HLOOKUP(AA9,'סקרי נכסים-יתרות פתיחה'!$2:$110,95,0),0)*(1-AA$309)</f>
        <v>0</v>
      </c>
      <c r="AB209" s="50">
        <f>+IFERROR(HLOOKUP(AB9,'סקרי נכסים-יתרות פתיחה'!$2:$110,37,0),0)-IFERROR(HLOOKUP(AB9,'סקרי נכסים-יתרות פתיחה'!$2:$110,95,0),0)*(1-AB$309)</f>
        <v>0</v>
      </c>
      <c r="AC209" s="50">
        <f>+IFERROR(HLOOKUP(AC9,'סקרי נכסים-יתרות פתיחה'!$2:$110,37,0),0)-IFERROR(HLOOKUP(AC9,'סקרי נכסים-יתרות פתיחה'!$2:$110,95,0),0)*(1-AC$309)</f>
        <v>0</v>
      </c>
      <c r="AD209" s="50">
        <f>+IFERROR(HLOOKUP(AD9,'סקרי נכסים-יתרות פתיחה'!$2:$110,37,0),0)-IFERROR(HLOOKUP(AD9,'סקרי נכסים-יתרות פתיחה'!$2:$110,95,0),0)*(1-AD$309)</f>
        <v>0</v>
      </c>
      <c r="AE209" s="50">
        <f>+IFERROR(HLOOKUP(AE9,'סקרי נכסים-יתרות פתיחה'!$2:$110,37,0),0)-IFERROR(HLOOKUP(AE9,'סקרי נכסים-יתרות פתיחה'!$2:$110,95,0),0)*(1-AE$309)</f>
        <v>0</v>
      </c>
      <c r="AF209" s="50">
        <f>+IFERROR(HLOOKUP(AF9,'סקרי נכסים-יתרות פתיחה'!$2:$110,37,0),0)-IFERROR(HLOOKUP(AF9,'סקרי נכסים-יתרות פתיחה'!$2:$110,95,0),0)*(1-AF$309)</f>
        <v>0</v>
      </c>
      <c r="AG209" s="50">
        <f>+IFERROR(HLOOKUP(AG9,'סקרי נכסים-יתרות פתיחה'!$2:$110,37,0),0)-IFERROR(HLOOKUP(AG9,'סקרי נכסים-יתרות פתיחה'!$2:$110,95,0),0)*(1-AG$309)</f>
        <v>0</v>
      </c>
      <c r="AH209" s="50">
        <f>+IFERROR(HLOOKUP(AH9,'סקרי נכסים-יתרות פתיחה'!$2:$110,37,0),0)-IFERROR(HLOOKUP(AH9,'סקרי נכסים-יתרות פתיחה'!$2:$110,95,0),0)*(1-AH$309)</f>
        <v>0</v>
      </c>
      <c r="AI209" s="50">
        <f>+IFERROR(HLOOKUP(AI9,'סקרי נכסים-יתרות פתיחה'!$2:$110,37,0),0)-IFERROR(HLOOKUP(AI9,'סקרי נכסים-יתרות פתיחה'!$2:$110,95,0),0)*(1-AI$309)</f>
        <v>0</v>
      </c>
      <c r="AJ209" s="50">
        <f>+IFERROR(HLOOKUP(AJ9,'סקרי נכסים-יתרות פתיחה'!$2:$110,37,0),0)-IFERROR(HLOOKUP(AJ9,'סקרי נכסים-יתרות פתיחה'!$2:$110,95,0),0)*(1-AJ$309)</f>
        <v>0</v>
      </c>
      <c r="AK209" s="50">
        <f>+IFERROR(HLOOKUP(AK9,'סקרי נכסים-יתרות פתיחה'!$2:$110,37,0),0)-IFERROR(HLOOKUP(AK9,'סקרי נכסים-יתרות פתיחה'!$2:$110,95,0),0)*(1-AK$309)</f>
        <v>0</v>
      </c>
      <c r="AL209" s="50">
        <f>+IFERROR(HLOOKUP(AL9,'סקרי נכסים-יתרות פתיחה'!$2:$110,37,0),0)-IFERROR(HLOOKUP(AL9,'סקרי נכסים-יתרות פתיחה'!$2:$110,95,0),0)*(1-AL$309)</f>
        <v>0</v>
      </c>
      <c r="AM209" s="50">
        <f>+IFERROR(HLOOKUP(AM9,'סקרי נכסים-יתרות פתיחה'!$2:$110,37,0),0)-IFERROR(HLOOKUP(AM9,'סקרי נכסים-יתרות פתיחה'!$2:$110,95,0),0)*(1-AM$309)</f>
        <v>0</v>
      </c>
      <c r="AN209" s="50">
        <f>+IFERROR(HLOOKUP(AN9,'סקרי נכסים-יתרות פתיחה'!$2:$110,37,0),0)-IFERROR(HLOOKUP(AN9,'סקרי נכסים-יתרות פתיחה'!$2:$110,95,0),0)*(1-AN$309)</f>
        <v>0</v>
      </c>
      <c r="AO209" s="50">
        <f>+IFERROR(HLOOKUP(AO9,'סקרי נכסים-יתרות פתיחה'!$2:$110,37,0),0)-IFERROR(HLOOKUP(AO9,'סקרי נכסים-יתרות פתיחה'!$2:$110,95,0),0)*(1-AO$309)</f>
        <v>0</v>
      </c>
      <c r="AP209" s="50">
        <f>+IFERROR(HLOOKUP(AP9,'סקרי נכסים-יתרות פתיחה'!$2:$110,37,0),0)-IFERROR(HLOOKUP(AP9,'סקרי נכסים-יתרות פתיחה'!$2:$110,95,0),0)*(1-AP$309)</f>
        <v>0</v>
      </c>
      <c r="AQ209" s="50">
        <f>+IFERROR(HLOOKUP(AQ9,'סקרי נכסים-יתרות פתיחה'!$2:$110,37,0),0)-IFERROR(HLOOKUP(AQ9,'סקרי נכסים-יתרות פתיחה'!$2:$110,95,0),0)*(1-AQ$309)</f>
        <v>0</v>
      </c>
      <c r="AR209" s="50">
        <f>+IFERROR(HLOOKUP(AR9,'סקרי נכסים-יתרות פתיחה'!$2:$110,37,0),0)-IFERROR(HLOOKUP(AR9,'סקרי נכסים-יתרות פתיחה'!$2:$110,95,0),0)*(1-AR$309)</f>
        <v>0</v>
      </c>
      <c r="AS209" s="50">
        <f>+IFERROR(HLOOKUP(AS9,'סקרי נכסים-יתרות פתיחה'!$2:$110,37,0),0)-IFERROR(HLOOKUP(AS9,'סקרי נכסים-יתרות פתיחה'!$2:$110,95,0),0)*(1-AS$309)</f>
        <v>0</v>
      </c>
      <c r="AT209" s="50">
        <f>+IFERROR(HLOOKUP(AT9,'סקרי נכסים-יתרות פתיחה'!$2:$110,37,0),0)-IFERROR(HLOOKUP(AT9,'סקרי נכסים-יתרות פתיחה'!$2:$110,95,0),0)*(1-AT$309)</f>
        <v>0</v>
      </c>
      <c r="AU209" s="50">
        <f>+IFERROR(HLOOKUP(AU9,'סקרי נכסים-יתרות פתיחה'!$2:$110,37,0),0)-IFERROR(HLOOKUP(AU9,'סקרי נכסים-יתרות פתיחה'!$2:$110,95,0),0)*(1-AU$309)</f>
        <v>0</v>
      </c>
      <c r="AV209" s="50">
        <f>+IFERROR(HLOOKUP(AV9,'סקרי נכסים-יתרות פתיחה'!$2:$110,37,0),0)-IFERROR(HLOOKUP(AV9,'סקרי נכסים-יתרות פתיחה'!$2:$110,95,0),0)*(1-AV$309)</f>
        <v>0</v>
      </c>
      <c r="AW209" s="50">
        <f>+IFERROR(HLOOKUP(AW9,'סקרי נכסים-יתרות פתיחה'!$2:$110,37,0),0)-IFERROR(HLOOKUP(AW9,'סקרי נכסים-יתרות פתיחה'!$2:$110,95,0),0)*(1-AW$309)</f>
        <v>0</v>
      </c>
      <c r="AX209" s="50">
        <f>+IFERROR(HLOOKUP(AX9,'סקרי נכסים-יתרות פתיחה'!$2:$110,37,0),0)-IFERROR(HLOOKUP(AX9,'סקרי נכסים-יתרות פתיחה'!$2:$110,95,0),0)*(1-AX$309)</f>
        <v>0</v>
      </c>
      <c r="AY209" s="50">
        <f>+IFERROR(HLOOKUP(AY9,'סקרי נכסים-יתרות פתיחה'!$2:$110,37,0),0)-IFERROR(HLOOKUP(AY9,'סקרי נכסים-יתרות פתיחה'!$2:$110,95,0),0)*(1-AY$309)</f>
        <v>0</v>
      </c>
      <c r="AZ209" s="50">
        <f>+IFERROR(HLOOKUP(AZ9,'סקרי נכסים-יתרות פתיחה'!$2:$110,37,0),0)-IFERROR(HLOOKUP(AZ9,'סקרי נכסים-יתרות פתיחה'!$2:$110,95,0),0)*(1-AZ$309)</f>
        <v>0</v>
      </c>
      <c r="BA209" s="50">
        <f>+IFERROR(HLOOKUP(BA9,'סקרי נכסים-יתרות פתיחה'!$2:$110,37,0),0)-IFERROR(HLOOKUP(BA9,'סקרי נכסים-יתרות פתיחה'!$2:$110,95,0),0)*(1-BA$309)</f>
        <v>0</v>
      </c>
      <c r="BB209" s="50">
        <f>+IFERROR(HLOOKUP(BB9,'סקרי נכסים-יתרות פתיחה'!$2:$110,37,0),0)-IFERROR(HLOOKUP(BB9,'סקרי נכסים-יתרות פתיחה'!$2:$110,95,0),0)*(1-BB$309)</f>
        <v>70000</v>
      </c>
      <c r="BC209" s="50">
        <f>+IFERROR(HLOOKUP(BC9,'סקרי נכסים-יתרות פתיחה'!$2:$110,37,0),0)-IFERROR(HLOOKUP(BC9,'סקרי נכסים-יתרות פתיחה'!$2:$110,95,0),0)*(1-BC$309)</f>
        <v>0</v>
      </c>
      <c r="BD209" s="50">
        <f>+IFERROR(HLOOKUP(BD9,'סקרי נכסים-יתרות פתיחה'!$2:$110,37,0),0)-IFERROR(HLOOKUP(BD9,'סקרי נכסים-יתרות פתיחה'!$2:$110,95,0),0)*(1-BD$309)</f>
        <v>0</v>
      </c>
      <c r="BE209" s="50">
        <f>+IFERROR(HLOOKUP(BE9,'סקרי נכסים-יתרות פתיחה'!$2:$110,37,0),0)-IFERROR(HLOOKUP(BE9,'סקרי נכסים-יתרות פתיחה'!$2:$110,95,0),0)*(1-BE$309)</f>
        <v>0</v>
      </c>
      <c r="BF209" s="50">
        <f>+IFERROR(HLOOKUP(BF9,'סקרי נכסים-יתרות פתיחה'!$2:$110,37,0),0)-IFERROR(HLOOKUP(BF9,'סקרי נכסים-יתרות פתיחה'!$2:$110,95,0),0)*(1-BF$309)</f>
        <v>0</v>
      </c>
    </row>
    <row r="210" spans="2:58" x14ac:dyDescent="0.2">
      <c r="B210" s="1">
        <v>7</v>
      </c>
      <c r="C210" s="50">
        <f>+IFERROR(HLOOKUP(C10,'סקרי נכסים-יתרות פתיחה'!$2:$110,37,0),0)-IFERROR(HLOOKUP(C10,'סקרי נכסים-יתרות פתיחה'!$2:$110,95,0),0)*(1-C$309)</f>
        <v>0</v>
      </c>
      <c r="D210" s="50">
        <f>+IFERROR(HLOOKUP(D10,'סקרי נכסים-יתרות פתיחה'!$2:$110,37,0),0)-IFERROR(HLOOKUP(D10,'סקרי נכסים-יתרות פתיחה'!$2:$110,95,0),0)*(1-D$309)</f>
        <v>96000</v>
      </c>
      <c r="E210" s="50">
        <f>+IFERROR(HLOOKUP(E10,'סקרי נכסים-יתרות פתיחה'!$2:$110,37,0),0)-IFERROR(HLOOKUP(E10,'סקרי נכסים-יתרות פתיחה'!$2:$110,95,0),0)*(1-E$309)</f>
        <v>0</v>
      </c>
      <c r="F210" s="50">
        <f>+IFERROR(HLOOKUP(F10,'סקרי נכסים-יתרות פתיחה'!$2:$110,37,0),0)-IFERROR(HLOOKUP(F10,'סקרי נכסים-יתרות פתיחה'!$2:$110,95,0),0)*(1-F$309)</f>
        <v>0</v>
      </c>
      <c r="G210" s="50">
        <f>+IFERROR(HLOOKUP(G10,'סקרי נכסים-יתרות פתיחה'!$2:$110,37,0),0)-IFERROR(HLOOKUP(G10,'סקרי נכסים-יתרות פתיחה'!$2:$110,95,0),0)*(1-G$309)</f>
        <v>0</v>
      </c>
      <c r="H210" s="50">
        <f>+IFERROR(HLOOKUP(H10,'סקרי נכסים-יתרות פתיחה'!$2:$110,37,0),0)-IFERROR(HLOOKUP(H10,'סקרי נכסים-יתרות פתיחה'!$2:$110,95,0),0)*(1-H$309)</f>
        <v>0</v>
      </c>
      <c r="I210" s="50">
        <f>+IFERROR(HLOOKUP(I10,'סקרי נכסים-יתרות פתיחה'!$2:$110,37,0),0)-IFERROR(HLOOKUP(I10,'סקרי נכסים-יתרות פתיחה'!$2:$110,95,0),0)*(1-I$309)</f>
        <v>0</v>
      </c>
      <c r="J210" s="50">
        <f>+IFERROR(HLOOKUP(J10,'סקרי נכסים-יתרות פתיחה'!$2:$110,37,0),0)-IFERROR(HLOOKUP(J10,'סקרי נכסים-יתרות פתיחה'!$2:$110,95,0),0)*(1-J$309)</f>
        <v>0</v>
      </c>
      <c r="K210" s="50">
        <f>+IFERROR(HLOOKUP(K10,'סקרי נכסים-יתרות פתיחה'!$2:$110,37,0),0)-IFERROR(HLOOKUP(K10,'סקרי נכסים-יתרות פתיחה'!$2:$110,95,0),0)*(1-K$309)</f>
        <v>0</v>
      </c>
      <c r="L210" s="50">
        <f>+IFERROR(HLOOKUP(L10,'סקרי נכסים-יתרות פתיחה'!$2:$110,37,0),0)-IFERROR(HLOOKUP(L10,'סקרי נכסים-יתרות פתיחה'!$2:$110,95,0),0)*(1-L$309)</f>
        <v>0</v>
      </c>
      <c r="M210" s="50">
        <f>+IFERROR(HLOOKUP(M10,'סקרי נכסים-יתרות פתיחה'!$2:$110,37,0),0)-IFERROR(HLOOKUP(M10,'סקרי נכסים-יתרות פתיחה'!$2:$110,95,0),0)*(1-M$309)</f>
        <v>0</v>
      </c>
      <c r="N210" s="50">
        <f>+IFERROR(HLOOKUP(N10,'סקרי נכסים-יתרות פתיחה'!$2:$110,37,0),0)-IFERROR(HLOOKUP(N10,'סקרי נכסים-יתרות פתיחה'!$2:$110,95,0),0)*(1-N$309)</f>
        <v>0</v>
      </c>
      <c r="O210" s="50">
        <f>+IFERROR(HLOOKUP(O10,'סקרי נכסים-יתרות פתיחה'!$2:$110,37,0),0)-IFERROR(HLOOKUP(O10,'סקרי נכסים-יתרות פתיחה'!$2:$110,95,0),0)*(1-O$309)</f>
        <v>0</v>
      </c>
      <c r="P210" s="50">
        <f>+IFERROR(HLOOKUP(P10,'סקרי נכסים-יתרות פתיחה'!$2:$110,37,0),0)-IFERROR(HLOOKUP(P10,'סקרי נכסים-יתרות פתיחה'!$2:$110,95,0),0)*(1-P$309)</f>
        <v>120000</v>
      </c>
      <c r="Q210" s="50">
        <f>+IFERROR(HLOOKUP(Q10,'סקרי נכסים-יתרות פתיחה'!$2:$110,37,0),0)-IFERROR(HLOOKUP(Q10,'סקרי נכסים-יתרות פתיחה'!$2:$110,95,0),0)*(1-Q$309)</f>
        <v>0</v>
      </c>
      <c r="R210" s="50">
        <f>+IFERROR(HLOOKUP(R10,'סקרי נכסים-יתרות פתיחה'!$2:$110,37,0),0)-IFERROR(HLOOKUP(R10,'סקרי נכסים-יתרות פתיחה'!$2:$110,95,0),0)*(1-R$309)</f>
        <v>0</v>
      </c>
      <c r="S210" s="50">
        <f>+IFERROR(HLOOKUP(S10,'סקרי נכסים-יתרות פתיחה'!$2:$110,37,0),0)-IFERROR(HLOOKUP(S10,'סקרי נכסים-יתרות פתיחה'!$2:$110,95,0),0)*(1-S$309)</f>
        <v>0</v>
      </c>
      <c r="T210" s="50">
        <f>+IFERROR(HLOOKUP(T10,'סקרי נכסים-יתרות פתיחה'!$2:$110,37,0),0)-IFERROR(HLOOKUP(T10,'סקרי נכסים-יתרות פתיחה'!$2:$110,95,0),0)*(1-T$309)</f>
        <v>0</v>
      </c>
      <c r="U210" s="50">
        <f>+IFERROR(HLOOKUP(U10,'סקרי נכסים-יתרות פתיחה'!$2:$110,37,0),0)-IFERROR(HLOOKUP(U10,'סקרי נכסים-יתרות פתיחה'!$2:$110,95,0),0)*(1-U$309)</f>
        <v>0</v>
      </c>
      <c r="V210" s="50">
        <f>+IFERROR(HLOOKUP(V10,'סקרי נכסים-יתרות פתיחה'!$2:$110,37,0),0)-IFERROR(HLOOKUP(V10,'סקרי נכסים-יתרות פתיחה'!$2:$110,95,0),0)*(1-V$309)</f>
        <v>0</v>
      </c>
      <c r="W210" s="50">
        <f>+IFERROR(HLOOKUP(W10,'סקרי נכסים-יתרות פתיחה'!$2:$110,37,0),0)-IFERROR(HLOOKUP(W10,'סקרי נכסים-יתרות פתיחה'!$2:$110,95,0),0)*(1-W$309)</f>
        <v>0</v>
      </c>
      <c r="X210" s="50">
        <f>+IFERROR(HLOOKUP(X10,'סקרי נכסים-יתרות פתיחה'!$2:$110,37,0),0)-IFERROR(HLOOKUP(X10,'סקרי נכסים-יתרות פתיחה'!$2:$110,95,0),0)*(1-X$309)</f>
        <v>0</v>
      </c>
      <c r="Y210" s="50">
        <f>+IFERROR(HLOOKUP(Y10,'סקרי נכסים-יתרות פתיחה'!$2:$110,37,0),0)-IFERROR(HLOOKUP(Y10,'סקרי נכסים-יתרות פתיחה'!$2:$110,95,0),0)*(1-Y$309)</f>
        <v>0</v>
      </c>
      <c r="Z210" s="50">
        <f>+IFERROR(HLOOKUP(Z10,'סקרי נכסים-יתרות פתיחה'!$2:$110,37,0),0)-IFERROR(HLOOKUP(Z10,'סקרי נכסים-יתרות פתיחה'!$2:$110,95,0),0)*(1-Z$309)</f>
        <v>0</v>
      </c>
      <c r="AA210" s="50">
        <f>+IFERROR(HLOOKUP(AA10,'סקרי נכסים-יתרות פתיחה'!$2:$110,37,0),0)-IFERROR(HLOOKUP(AA10,'סקרי נכסים-יתרות פתיחה'!$2:$110,95,0),0)*(1-AA$309)</f>
        <v>0</v>
      </c>
      <c r="AB210" s="50">
        <f>+IFERROR(HLOOKUP(AB10,'סקרי נכסים-יתרות פתיחה'!$2:$110,37,0),0)-IFERROR(HLOOKUP(AB10,'סקרי נכסים-יתרות פתיחה'!$2:$110,95,0),0)*(1-AB$309)</f>
        <v>0</v>
      </c>
      <c r="AC210" s="50">
        <f>+IFERROR(HLOOKUP(AC10,'סקרי נכסים-יתרות פתיחה'!$2:$110,37,0),0)-IFERROR(HLOOKUP(AC10,'סקרי נכסים-יתרות פתיחה'!$2:$110,95,0),0)*(1-AC$309)</f>
        <v>0</v>
      </c>
      <c r="AD210" s="50">
        <f>+IFERROR(HLOOKUP(AD10,'סקרי נכסים-יתרות פתיחה'!$2:$110,37,0),0)-IFERROR(HLOOKUP(AD10,'סקרי נכסים-יתרות פתיחה'!$2:$110,95,0),0)*(1-AD$309)</f>
        <v>0</v>
      </c>
      <c r="AE210" s="50">
        <f>+IFERROR(HLOOKUP(AE10,'סקרי נכסים-יתרות פתיחה'!$2:$110,37,0),0)-IFERROR(HLOOKUP(AE10,'סקרי נכסים-יתרות פתיחה'!$2:$110,95,0),0)*(1-AE$309)</f>
        <v>0</v>
      </c>
      <c r="AF210" s="50">
        <f>+IFERROR(HLOOKUP(AF10,'סקרי נכסים-יתרות פתיחה'!$2:$110,37,0),0)-IFERROR(HLOOKUP(AF10,'סקרי נכסים-יתרות פתיחה'!$2:$110,95,0),0)*(1-AF$309)</f>
        <v>0</v>
      </c>
      <c r="AG210" s="50">
        <f>+IFERROR(HLOOKUP(AG10,'סקרי נכסים-יתרות פתיחה'!$2:$110,37,0),0)-IFERROR(HLOOKUP(AG10,'סקרי נכסים-יתרות פתיחה'!$2:$110,95,0),0)*(1-AG$309)</f>
        <v>0</v>
      </c>
      <c r="AH210" s="50">
        <f>+IFERROR(HLOOKUP(AH10,'סקרי נכסים-יתרות פתיחה'!$2:$110,37,0),0)-IFERROR(HLOOKUP(AH10,'סקרי נכסים-יתרות פתיחה'!$2:$110,95,0),0)*(1-AH$309)</f>
        <v>0</v>
      </c>
      <c r="AI210" s="50">
        <f>+IFERROR(HLOOKUP(AI10,'סקרי נכסים-יתרות פתיחה'!$2:$110,37,0),0)-IFERROR(HLOOKUP(AI10,'סקרי נכסים-יתרות פתיחה'!$2:$110,95,0),0)*(1-AI$309)</f>
        <v>0</v>
      </c>
      <c r="AJ210" s="50">
        <f>+IFERROR(HLOOKUP(AJ10,'סקרי נכסים-יתרות פתיחה'!$2:$110,37,0),0)-IFERROR(HLOOKUP(AJ10,'סקרי נכסים-יתרות פתיחה'!$2:$110,95,0),0)*(1-AJ$309)</f>
        <v>0</v>
      </c>
      <c r="AK210" s="50">
        <f>+IFERROR(HLOOKUP(AK10,'סקרי נכסים-יתרות פתיחה'!$2:$110,37,0),0)-IFERROR(HLOOKUP(AK10,'סקרי נכסים-יתרות פתיחה'!$2:$110,95,0),0)*(1-AK$309)</f>
        <v>0</v>
      </c>
      <c r="AL210" s="50">
        <f>+IFERROR(HLOOKUP(AL10,'סקרי נכסים-יתרות פתיחה'!$2:$110,37,0),0)-IFERROR(HLOOKUP(AL10,'סקרי נכסים-יתרות פתיחה'!$2:$110,95,0),0)*(1-AL$309)</f>
        <v>0</v>
      </c>
      <c r="AM210" s="50">
        <f>+IFERROR(HLOOKUP(AM10,'סקרי נכסים-יתרות פתיחה'!$2:$110,37,0),0)-IFERROR(HLOOKUP(AM10,'סקרי נכסים-יתרות פתיחה'!$2:$110,95,0),0)*(1-AM$309)</f>
        <v>0</v>
      </c>
      <c r="AN210" s="50">
        <f>+IFERROR(HLOOKUP(AN10,'סקרי נכסים-יתרות פתיחה'!$2:$110,37,0),0)-IFERROR(HLOOKUP(AN10,'סקרי נכסים-יתרות פתיחה'!$2:$110,95,0),0)*(1-AN$309)</f>
        <v>0</v>
      </c>
      <c r="AO210" s="50">
        <f>+IFERROR(HLOOKUP(AO10,'סקרי נכסים-יתרות פתיחה'!$2:$110,37,0),0)-IFERROR(HLOOKUP(AO10,'סקרי נכסים-יתרות פתיחה'!$2:$110,95,0),0)*(1-AO$309)</f>
        <v>0</v>
      </c>
      <c r="AP210" s="50">
        <f>+IFERROR(HLOOKUP(AP10,'סקרי נכסים-יתרות פתיחה'!$2:$110,37,0),0)-IFERROR(HLOOKUP(AP10,'סקרי נכסים-יתרות פתיחה'!$2:$110,95,0),0)*(1-AP$309)</f>
        <v>0</v>
      </c>
      <c r="AQ210" s="50">
        <f>+IFERROR(HLOOKUP(AQ10,'סקרי נכסים-יתרות פתיחה'!$2:$110,37,0),0)-IFERROR(HLOOKUP(AQ10,'סקרי נכסים-יתרות פתיחה'!$2:$110,95,0),0)*(1-AQ$309)</f>
        <v>0</v>
      </c>
      <c r="AR210" s="50">
        <f>+IFERROR(HLOOKUP(AR10,'סקרי נכסים-יתרות פתיחה'!$2:$110,37,0),0)-IFERROR(HLOOKUP(AR10,'סקרי נכסים-יתרות פתיחה'!$2:$110,95,0),0)*(1-AR$309)</f>
        <v>0</v>
      </c>
      <c r="AS210" s="50">
        <f>+IFERROR(HLOOKUP(AS10,'סקרי נכסים-יתרות פתיחה'!$2:$110,37,0),0)-IFERROR(HLOOKUP(AS10,'סקרי נכסים-יתרות פתיחה'!$2:$110,95,0),0)*(1-AS$309)</f>
        <v>101435</v>
      </c>
      <c r="AT210" s="50">
        <f>+IFERROR(HLOOKUP(AT10,'סקרי נכסים-יתרות פתיחה'!$2:$110,37,0),0)-IFERROR(HLOOKUP(AT10,'סקרי נכסים-יתרות פתיחה'!$2:$110,95,0),0)*(1-AT$309)</f>
        <v>0</v>
      </c>
      <c r="AU210" s="50">
        <f>+IFERROR(HLOOKUP(AU10,'סקרי נכסים-יתרות פתיחה'!$2:$110,37,0),0)-IFERROR(HLOOKUP(AU10,'סקרי נכסים-יתרות פתיחה'!$2:$110,95,0),0)*(1-AU$309)</f>
        <v>0</v>
      </c>
      <c r="AV210" s="50">
        <f>+IFERROR(HLOOKUP(AV10,'סקרי נכסים-יתרות פתיחה'!$2:$110,37,0),0)-IFERROR(HLOOKUP(AV10,'סקרי נכסים-יתרות פתיחה'!$2:$110,95,0),0)*(1-AV$309)</f>
        <v>0</v>
      </c>
      <c r="AW210" s="50">
        <f>+IFERROR(HLOOKUP(AW10,'סקרי נכסים-יתרות פתיחה'!$2:$110,37,0),0)-IFERROR(HLOOKUP(AW10,'סקרי נכסים-יתרות פתיחה'!$2:$110,95,0),0)*(1-AW$309)</f>
        <v>0</v>
      </c>
      <c r="AX210" s="50">
        <f>+IFERROR(HLOOKUP(AX10,'סקרי נכסים-יתרות פתיחה'!$2:$110,37,0),0)-IFERROR(HLOOKUP(AX10,'סקרי נכסים-יתרות פתיחה'!$2:$110,95,0),0)*(1-AX$309)</f>
        <v>0</v>
      </c>
      <c r="AY210" s="50">
        <f>+IFERROR(HLOOKUP(AY10,'סקרי נכסים-יתרות פתיחה'!$2:$110,37,0),0)-IFERROR(HLOOKUP(AY10,'סקרי נכסים-יתרות פתיחה'!$2:$110,95,0),0)*(1-AY$309)</f>
        <v>0</v>
      </c>
      <c r="AZ210" s="50">
        <f>+IFERROR(HLOOKUP(AZ10,'סקרי נכסים-יתרות פתיחה'!$2:$110,37,0),0)-IFERROR(HLOOKUP(AZ10,'סקרי נכסים-יתרות פתיחה'!$2:$110,95,0),0)*(1-AZ$309)</f>
        <v>0</v>
      </c>
      <c r="BA210" s="50">
        <f>+IFERROR(HLOOKUP(BA10,'סקרי נכסים-יתרות פתיחה'!$2:$110,37,0),0)-IFERROR(HLOOKUP(BA10,'סקרי נכסים-יתרות פתיחה'!$2:$110,95,0),0)*(1-BA$309)</f>
        <v>0</v>
      </c>
      <c r="BB210" s="50">
        <f>+IFERROR(HLOOKUP(BB10,'סקרי נכסים-יתרות פתיחה'!$2:$110,37,0),0)-IFERROR(HLOOKUP(BB10,'סקרי נכסים-יתרות פתיחה'!$2:$110,95,0),0)*(1-BB$309)</f>
        <v>270000</v>
      </c>
      <c r="BC210" s="50">
        <f>+IFERROR(HLOOKUP(BC10,'סקרי נכסים-יתרות פתיחה'!$2:$110,37,0),0)-IFERROR(HLOOKUP(BC10,'סקרי נכסים-יתרות פתיחה'!$2:$110,95,0),0)*(1-BC$309)</f>
        <v>0</v>
      </c>
      <c r="BD210" s="50">
        <f>+IFERROR(HLOOKUP(BD10,'סקרי נכסים-יתרות פתיחה'!$2:$110,37,0),0)-IFERROR(HLOOKUP(BD10,'סקרי נכסים-יתרות פתיחה'!$2:$110,95,0),0)*(1-BD$309)</f>
        <v>0</v>
      </c>
      <c r="BE210" s="50">
        <f>+IFERROR(HLOOKUP(BE10,'סקרי נכסים-יתרות פתיחה'!$2:$110,37,0),0)-IFERROR(HLOOKUP(BE10,'סקרי נכסים-יתרות פתיחה'!$2:$110,95,0),0)*(1-BE$309)</f>
        <v>0</v>
      </c>
      <c r="BF210" s="50">
        <f>+IFERROR(HLOOKUP(BF10,'סקרי נכסים-יתרות פתיחה'!$2:$110,37,0),0)-IFERROR(HLOOKUP(BF10,'סקרי נכסים-יתרות פתיחה'!$2:$110,95,0),0)*(1-BF$309)</f>
        <v>0</v>
      </c>
    </row>
    <row r="211" spans="2:58" x14ac:dyDescent="0.2">
      <c r="B211" s="1">
        <v>8</v>
      </c>
      <c r="C211" s="50">
        <f>+IFERROR(HLOOKUP(C11,'סקרי נכסים-יתרות פתיחה'!$2:$110,37,0),0)-IFERROR(HLOOKUP(C11,'סקרי נכסים-יתרות פתיחה'!$2:$110,95,0),0)*(1-C$309)</f>
        <v>0</v>
      </c>
      <c r="D211" s="50">
        <f>+IFERROR(HLOOKUP(D11,'סקרי נכסים-יתרות פתיחה'!$2:$110,37,0),0)-IFERROR(HLOOKUP(D11,'סקרי נכסים-יתרות פתיחה'!$2:$110,95,0),0)*(1-D$309)</f>
        <v>0</v>
      </c>
      <c r="E211" s="50">
        <f>+IFERROR(HLOOKUP(E11,'סקרי נכסים-יתרות פתיחה'!$2:$110,37,0),0)-IFERROR(HLOOKUP(E11,'סקרי נכסים-יתרות פתיחה'!$2:$110,95,0),0)*(1-E$309)</f>
        <v>0</v>
      </c>
      <c r="F211" s="50">
        <f>+IFERROR(HLOOKUP(F11,'סקרי נכסים-יתרות פתיחה'!$2:$110,37,0),0)-IFERROR(HLOOKUP(F11,'סקרי נכסים-יתרות פתיחה'!$2:$110,95,0),0)*(1-F$309)</f>
        <v>0</v>
      </c>
      <c r="G211" s="50">
        <f>+IFERROR(HLOOKUP(G11,'סקרי נכסים-יתרות פתיחה'!$2:$110,37,0),0)-IFERROR(HLOOKUP(G11,'סקרי נכסים-יתרות פתיחה'!$2:$110,95,0),0)*(1-G$309)</f>
        <v>0</v>
      </c>
      <c r="H211" s="50">
        <f>+IFERROR(HLOOKUP(H11,'סקרי נכסים-יתרות פתיחה'!$2:$110,37,0),0)-IFERROR(HLOOKUP(H11,'סקרי נכסים-יתרות פתיחה'!$2:$110,95,0),0)*(1-H$309)</f>
        <v>0</v>
      </c>
      <c r="I211" s="50">
        <f>+IFERROR(HLOOKUP(I11,'סקרי נכסים-יתרות פתיחה'!$2:$110,37,0),0)-IFERROR(HLOOKUP(I11,'סקרי נכסים-יתרות פתיחה'!$2:$110,95,0),0)*(1-I$309)</f>
        <v>0</v>
      </c>
      <c r="J211" s="50">
        <f>+IFERROR(HLOOKUP(J11,'סקרי נכסים-יתרות פתיחה'!$2:$110,37,0),0)-IFERROR(HLOOKUP(J11,'סקרי נכסים-יתרות פתיחה'!$2:$110,95,0),0)*(1-J$309)</f>
        <v>0</v>
      </c>
      <c r="K211" s="50">
        <f>+IFERROR(HLOOKUP(K11,'סקרי נכסים-יתרות פתיחה'!$2:$110,37,0),0)-IFERROR(HLOOKUP(K11,'סקרי נכסים-יתרות פתיחה'!$2:$110,95,0),0)*(1-K$309)</f>
        <v>0</v>
      </c>
      <c r="L211" s="50">
        <f>+IFERROR(HLOOKUP(L11,'סקרי נכסים-יתרות פתיחה'!$2:$110,37,0),0)-IFERROR(HLOOKUP(L11,'סקרי נכסים-יתרות פתיחה'!$2:$110,95,0),0)*(1-L$309)</f>
        <v>0</v>
      </c>
      <c r="M211" s="50">
        <f>+IFERROR(HLOOKUP(M11,'סקרי נכסים-יתרות פתיחה'!$2:$110,37,0),0)-IFERROR(HLOOKUP(M11,'סקרי נכסים-יתרות פתיחה'!$2:$110,95,0),0)*(1-M$309)</f>
        <v>0</v>
      </c>
      <c r="N211" s="50">
        <f>+IFERROR(HLOOKUP(N11,'סקרי נכסים-יתרות פתיחה'!$2:$110,37,0),0)-IFERROR(HLOOKUP(N11,'סקרי נכסים-יתרות פתיחה'!$2:$110,95,0),0)*(1-N$309)</f>
        <v>0</v>
      </c>
      <c r="O211" s="50">
        <f>+IFERROR(HLOOKUP(O11,'סקרי נכסים-יתרות פתיחה'!$2:$110,37,0),0)-IFERROR(HLOOKUP(O11,'סקרי נכסים-יתרות פתיחה'!$2:$110,95,0),0)*(1-O$309)</f>
        <v>0</v>
      </c>
      <c r="P211" s="50">
        <f>+IFERROR(HLOOKUP(P11,'סקרי נכסים-יתרות פתיחה'!$2:$110,37,0),0)-IFERROR(HLOOKUP(P11,'סקרי נכסים-יתרות פתיחה'!$2:$110,95,0),0)*(1-P$309)</f>
        <v>90620</v>
      </c>
      <c r="Q211" s="50">
        <f>+IFERROR(HLOOKUP(Q11,'סקרי נכסים-יתרות פתיחה'!$2:$110,37,0),0)-IFERROR(HLOOKUP(Q11,'סקרי נכסים-יתרות פתיחה'!$2:$110,95,0),0)*(1-Q$309)</f>
        <v>0</v>
      </c>
      <c r="R211" s="50">
        <f>+IFERROR(HLOOKUP(R11,'סקרי נכסים-יתרות פתיחה'!$2:$110,37,0),0)-IFERROR(HLOOKUP(R11,'סקרי נכסים-יתרות פתיחה'!$2:$110,95,0),0)*(1-R$309)</f>
        <v>0</v>
      </c>
      <c r="S211" s="50">
        <f>+IFERROR(HLOOKUP(S11,'סקרי נכסים-יתרות פתיחה'!$2:$110,37,0),0)-IFERROR(HLOOKUP(S11,'סקרי נכסים-יתרות פתיחה'!$2:$110,95,0),0)*(1-S$309)</f>
        <v>0</v>
      </c>
      <c r="T211" s="50">
        <f>+IFERROR(HLOOKUP(T11,'סקרי נכסים-יתרות פתיחה'!$2:$110,37,0),0)-IFERROR(HLOOKUP(T11,'סקרי נכסים-יתרות פתיחה'!$2:$110,95,0),0)*(1-T$309)</f>
        <v>0</v>
      </c>
      <c r="U211" s="50">
        <f>+IFERROR(HLOOKUP(U11,'סקרי נכסים-יתרות פתיחה'!$2:$110,37,0),0)-IFERROR(HLOOKUP(U11,'סקרי נכסים-יתרות פתיחה'!$2:$110,95,0),0)*(1-U$309)</f>
        <v>0</v>
      </c>
      <c r="V211" s="50">
        <f>+IFERROR(HLOOKUP(V11,'סקרי נכסים-יתרות פתיחה'!$2:$110,37,0),0)-IFERROR(HLOOKUP(V11,'סקרי נכסים-יתרות פתיחה'!$2:$110,95,0),0)*(1-V$309)</f>
        <v>0</v>
      </c>
      <c r="W211" s="50">
        <f>+IFERROR(HLOOKUP(W11,'סקרי נכסים-יתרות פתיחה'!$2:$110,37,0),0)-IFERROR(HLOOKUP(W11,'סקרי נכסים-יתרות פתיחה'!$2:$110,95,0),0)*(1-W$309)</f>
        <v>0</v>
      </c>
      <c r="X211" s="50">
        <f>+IFERROR(HLOOKUP(X11,'סקרי נכסים-יתרות פתיחה'!$2:$110,37,0),0)-IFERROR(HLOOKUP(X11,'סקרי נכסים-יתרות פתיחה'!$2:$110,95,0),0)*(1-X$309)</f>
        <v>0</v>
      </c>
      <c r="Y211" s="50">
        <f>+IFERROR(HLOOKUP(Y11,'סקרי נכסים-יתרות פתיחה'!$2:$110,37,0),0)-IFERROR(HLOOKUP(Y11,'סקרי נכסים-יתרות פתיחה'!$2:$110,95,0),0)*(1-Y$309)</f>
        <v>0</v>
      </c>
      <c r="Z211" s="50">
        <f>+IFERROR(HLOOKUP(Z11,'סקרי נכסים-יתרות פתיחה'!$2:$110,37,0),0)-IFERROR(HLOOKUP(Z11,'סקרי נכסים-יתרות פתיחה'!$2:$110,95,0),0)*(1-Z$309)</f>
        <v>0</v>
      </c>
      <c r="AA211" s="50">
        <f>+IFERROR(HLOOKUP(AA11,'סקרי נכסים-יתרות פתיחה'!$2:$110,37,0),0)-IFERROR(HLOOKUP(AA11,'סקרי נכסים-יתרות פתיחה'!$2:$110,95,0),0)*(1-AA$309)</f>
        <v>0</v>
      </c>
      <c r="AB211" s="50">
        <f>+IFERROR(HLOOKUP(AB11,'סקרי נכסים-יתרות פתיחה'!$2:$110,37,0),0)-IFERROR(HLOOKUP(AB11,'סקרי נכסים-יתרות פתיחה'!$2:$110,95,0),0)*(1-AB$309)</f>
        <v>0</v>
      </c>
      <c r="AC211" s="50">
        <f>+IFERROR(HLOOKUP(AC11,'סקרי נכסים-יתרות פתיחה'!$2:$110,37,0),0)-IFERROR(HLOOKUP(AC11,'סקרי נכסים-יתרות פתיחה'!$2:$110,95,0),0)*(1-AC$309)</f>
        <v>0</v>
      </c>
      <c r="AD211" s="50">
        <f>+IFERROR(HLOOKUP(AD11,'סקרי נכסים-יתרות פתיחה'!$2:$110,37,0),0)-IFERROR(HLOOKUP(AD11,'סקרי נכסים-יתרות פתיחה'!$2:$110,95,0),0)*(1-AD$309)</f>
        <v>0</v>
      </c>
      <c r="AE211" s="50">
        <f>+IFERROR(HLOOKUP(AE11,'סקרי נכסים-יתרות פתיחה'!$2:$110,37,0),0)-IFERROR(HLOOKUP(AE11,'סקרי נכסים-יתרות פתיחה'!$2:$110,95,0),0)*(1-AE$309)</f>
        <v>0</v>
      </c>
      <c r="AF211" s="50">
        <f>+IFERROR(HLOOKUP(AF11,'סקרי נכסים-יתרות פתיחה'!$2:$110,37,0),0)-IFERROR(HLOOKUP(AF11,'סקרי נכסים-יתרות פתיחה'!$2:$110,95,0),0)*(1-AF$309)</f>
        <v>0</v>
      </c>
      <c r="AG211" s="50">
        <f>+IFERROR(HLOOKUP(AG11,'סקרי נכסים-יתרות פתיחה'!$2:$110,37,0),0)-IFERROR(HLOOKUP(AG11,'סקרי נכסים-יתרות פתיחה'!$2:$110,95,0),0)*(1-AG$309)</f>
        <v>0</v>
      </c>
      <c r="AH211" s="50">
        <f>+IFERROR(HLOOKUP(AH11,'סקרי נכסים-יתרות פתיחה'!$2:$110,37,0),0)-IFERROR(HLOOKUP(AH11,'סקרי נכסים-יתרות פתיחה'!$2:$110,95,0),0)*(1-AH$309)</f>
        <v>0</v>
      </c>
      <c r="AI211" s="50">
        <f>+IFERROR(HLOOKUP(AI11,'סקרי נכסים-יתרות פתיחה'!$2:$110,37,0),0)-IFERROR(HLOOKUP(AI11,'סקרי נכסים-יתרות פתיחה'!$2:$110,95,0),0)*(1-AI$309)</f>
        <v>0</v>
      </c>
      <c r="AJ211" s="50">
        <f>+IFERROR(HLOOKUP(AJ11,'סקרי נכסים-יתרות פתיחה'!$2:$110,37,0),0)-IFERROR(HLOOKUP(AJ11,'סקרי נכסים-יתרות פתיחה'!$2:$110,95,0),0)*(1-AJ$309)</f>
        <v>0</v>
      </c>
      <c r="AK211" s="50">
        <f>+IFERROR(HLOOKUP(AK11,'סקרי נכסים-יתרות פתיחה'!$2:$110,37,0),0)-IFERROR(HLOOKUP(AK11,'סקרי נכסים-יתרות פתיחה'!$2:$110,95,0),0)*(1-AK$309)</f>
        <v>0</v>
      </c>
      <c r="AL211" s="50">
        <f>+IFERROR(HLOOKUP(AL11,'סקרי נכסים-יתרות פתיחה'!$2:$110,37,0),0)-IFERROR(HLOOKUP(AL11,'סקרי נכסים-יתרות פתיחה'!$2:$110,95,0),0)*(1-AL$309)</f>
        <v>0</v>
      </c>
      <c r="AM211" s="50">
        <f>+IFERROR(HLOOKUP(AM11,'סקרי נכסים-יתרות פתיחה'!$2:$110,37,0),0)-IFERROR(HLOOKUP(AM11,'סקרי נכסים-יתרות פתיחה'!$2:$110,95,0),0)*(1-AM$309)</f>
        <v>0</v>
      </c>
      <c r="AN211" s="50">
        <f>+IFERROR(HLOOKUP(AN11,'סקרי נכסים-יתרות פתיחה'!$2:$110,37,0),0)-IFERROR(HLOOKUP(AN11,'סקרי נכסים-יתרות פתיחה'!$2:$110,95,0),0)*(1-AN$309)</f>
        <v>0</v>
      </c>
      <c r="AO211" s="50">
        <f>+IFERROR(HLOOKUP(AO11,'סקרי נכסים-יתרות פתיחה'!$2:$110,37,0),0)-IFERROR(HLOOKUP(AO11,'סקרי נכסים-יתרות פתיחה'!$2:$110,95,0),0)*(1-AO$309)</f>
        <v>0</v>
      </c>
      <c r="AP211" s="50">
        <f>+IFERROR(HLOOKUP(AP11,'סקרי נכסים-יתרות פתיחה'!$2:$110,37,0),0)-IFERROR(HLOOKUP(AP11,'סקרי נכסים-יתרות פתיחה'!$2:$110,95,0),0)*(1-AP$309)</f>
        <v>0</v>
      </c>
      <c r="AQ211" s="50">
        <f>+IFERROR(HLOOKUP(AQ11,'סקרי נכסים-יתרות פתיחה'!$2:$110,37,0),0)-IFERROR(HLOOKUP(AQ11,'סקרי נכסים-יתרות פתיחה'!$2:$110,95,0),0)*(1-AQ$309)</f>
        <v>0</v>
      </c>
      <c r="AR211" s="50">
        <f>+IFERROR(HLOOKUP(AR11,'סקרי נכסים-יתרות פתיחה'!$2:$110,37,0),0)-IFERROR(HLOOKUP(AR11,'סקרי נכסים-יתרות פתיחה'!$2:$110,95,0),0)*(1-AR$309)</f>
        <v>0</v>
      </c>
      <c r="AS211" s="50">
        <f>+IFERROR(HLOOKUP(AS11,'סקרי נכסים-יתרות פתיחה'!$2:$110,37,0),0)-IFERROR(HLOOKUP(AS11,'סקרי נכסים-יתרות פתיחה'!$2:$110,95,0),0)*(1-AS$309)</f>
        <v>96275</v>
      </c>
      <c r="AT211" s="50">
        <f>+IFERROR(HLOOKUP(AT11,'סקרי נכסים-יתרות פתיחה'!$2:$110,37,0),0)-IFERROR(HLOOKUP(AT11,'סקרי נכסים-יתרות פתיחה'!$2:$110,95,0),0)*(1-AT$309)</f>
        <v>0</v>
      </c>
      <c r="AU211" s="50">
        <f>+IFERROR(HLOOKUP(AU11,'סקרי נכסים-יתרות פתיחה'!$2:$110,37,0),0)-IFERROR(HLOOKUP(AU11,'סקרי נכסים-יתרות פתיחה'!$2:$110,95,0),0)*(1-AU$309)</f>
        <v>0</v>
      </c>
      <c r="AV211" s="50">
        <f>+IFERROR(HLOOKUP(AV11,'סקרי נכסים-יתרות פתיחה'!$2:$110,37,0),0)-IFERROR(HLOOKUP(AV11,'סקרי נכסים-יתרות פתיחה'!$2:$110,95,0),0)*(1-AV$309)</f>
        <v>0</v>
      </c>
      <c r="AW211" s="50">
        <f>+IFERROR(HLOOKUP(AW11,'סקרי נכסים-יתרות פתיחה'!$2:$110,37,0),0)-IFERROR(HLOOKUP(AW11,'סקרי נכסים-יתרות פתיחה'!$2:$110,95,0),0)*(1-AW$309)</f>
        <v>0</v>
      </c>
      <c r="AX211" s="50">
        <f>+IFERROR(HLOOKUP(AX11,'סקרי נכסים-יתרות פתיחה'!$2:$110,37,0),0)-IFERROR(HLOOKUP(AX11,'סקרי נכסים-יתרות פתיחה'!$2:$110,95,0),0)*(1-AX$309)</f>
        <v>0</v>
      </c>
      <c r="AY211" s="50">
        <f>+IFERROR(HLOOKUP(AY11,'סקרי נכסים-יתרות פתיחה'!$2:$110,37,0),0)-IFERROR(HLOOKUP(AY11,'סקרי נכסים-יתרות פתיחה'!$2:$110,95,0),0)*(1-AY$309)</f>
        <v>0</v>
      </c>
      <c r="AZ211" s="50">
        <f>+IFERROR(HLOOKUP(AZ11,'סקרי נכסים-יתרות פתיחה'!$2:$110,37,0),0)-IFERROR(HLOOKUP(AZ11,'סקרי נכסים-יתרות פתיחה'!$2:$110,95,0),0)*(1-AZ$309)</f>
        <v>0</v>
      </c>
      <c r="BA211" s="50">
        <f>+IFERROR(HLOOKUP(BA11,'סקרי נכסים-יתרות פתיחה'!$2:$110,37,0),0)-IFERROR(HLOOKUP(BA11,'סקרי נכסים-יתרות פתיחה'!$2:$110,95,0),0)*(1-BA$309)</f>
        <v>0</v>
      </c>
      <c r="BB211" s="50">
        <f>+IFERROR(HLOOKUP(BB11,'סקרי נכסים-יתרות פתיחה'!$2:$110,37,0),0)-IFERROR(HLOOKUP(BB11,'סקרי נכסים-יתרות פתיחה'!$2:$110,95,0),0)*(1-BB$309)</f>
        <v>0</v>
      </c>
      <c r="BC211" s="50">
        <f>+IFERROR(HLOOKUP(BC11,'סקרי נכסים-יתרות פתיחה'!$2:$110,37,0),0)-IFERROR(HLOOKUP(BC11,'סקרי נכסים-יתרות פתיחה'!$2:$110,95,0),0)*(1-BC$309)</f>
        <v>0</v>
      </c>
      <c r="BD211" s="50">
        <f>+IFERROR(HLOOKUP(BD11,'סקרי נכסים-יתרות פתיחה'!$2:$110,37,0),0)-IFERROR(HLOOKUP(BD11,'סקרי נכסים-יתרות פתיחה'!$2:$110,95,0),0)*(1-BD$309)</f>
        <v>0</v>
      </c>
      <c r="BE211" s="50">
        <f>+IFERROR(HLOOKUP(BE11,'סקרי נכסים-יתרות פתיחה'!$2:$110,37,0),0)-IFERROR(HLOOKUP(BE11,'סקרי נכסים-יתרות פתיחה'!$2:$110,95,0),0)*(1-BE$309)</f>
        <v>0</v>
      </c>
      <c r="BF211" s="50">
        <f>+IFERROR(HLOOKUP(BF11,'סקרי נכסים-יתרות פתיחה'!$2:$110,37,0),0)-IFERROR(HLOOKUP(BF11,'סקרי נכסים-יתרות פתיחה'!$2:$110,95,0),0)*(1-BF$309)</f>
        <v>0</v>
      </c>
    </row>
    <row r="212" spans="2:58" x14ac:dyDescent="0.2">
      <c r="B212" s="1">
        <v>9</v>
      </c>
      <c r="C212" s="50">
        <f>+IFERROR(HLOOKUP(C12,'סקרי נכסים-יתרות פתיחה'!$2:$110,37,0),0)-IFERROR(HLOOKUP(C12,'סקרי נכסים-יתרות פתיחה'!$2:$110,95,0),0)*(1-C$309)</f>
        <v>0</v>
      </c>
      <c r="D212" s="50">
        <f>+IFERROR(HLOOKUP(D12,'סקרי נכסים-יתרות פתיחה'!$2:$110,37,0),0)-IFERROR(HLOOKUP(D12,'סקרי נכסים-יתרות פתיחה'!$2:$110,95,0),0)*(1-D$309)</f>
        <v>0</v>
      </c>
      <c r="E212" s="50">
        <f>+IFERROR(HLOOKUP(E12,'סקרי נכסים-יתרות פתיחה'!$2:$110,37,0),0)-IFERROR(HLOOKUP(E12,'סקרי נכסים-יתרות פתיחה'!$2:$110,95,0),0)*(1-E$309)</f>
        <v>0</v>
      </c>
      <c r="F212" s="50">
        <f>+IFERROR(HLOOKUP(F12,'סקרי נכסים-יתרות פתיחה'!$2:$110,37,0),0)-IFERROR(HLOOKUP(F12,'סקרי נכסים-יתרות פתיחה'!$2:$110,95,0),0)*(1-F$309)</f>
        <v>0</v>
      </c>
      <c r="G212" s="50">
        <f>+IFERROR(HLOOKUP(G12,'סקרי נכסים-יתרות פתיחה'!$2:$110,37,0),0)-IFERROR(HLOOKUP(G12,'סקרי נכסים-יתרות פתיחה'!$2:$110,95,0),0)*(1-G$309)</f>
        <v>0</v>
      </c>
      <c r="H212" s="50">
        <f>+IFERROR(HLOOKUP(H12,'סקרי נכסים-יתרות פתיחה'!$2:$110,37,0),0)-IFERROR(HLOOKUP(H12,'סקרי נכסים-יתרות פתיחה'!$2:$110,95,0),0)*(1-H$309)</f>
        <v>0</v>
      </c>
      <c r="I212" s="50">
        <f>+IFERROR(HLOOKUP(I12,'סקרי נכסים-יתרות פתיחה'!$2:$110,37,0),0)-IFERROR(HLOOKUP(I12,'סקרי נכסים-יתרות פתיחה'!$2:$110,95,0),0)*(1-I$309)</f>
        <v>0</v>
      </c>
      <c r="J212" s="50">
        <f>+IFERROR(HLOOKUP(J12,'סקרי נכסים-יתרות פתיחה'!$2:$110,37,0),0)-IFERROR(HLOOKUP(J12,'סקרי נכסים-יתרות פתיחה'!$2:$110,95,0),0)*(1-J$309)</f>
        <v>0</v>
      </c>
      <c r="K212" s="50">
        <f>+IFERROR(HLOOKUP(K12,'סקרי נכסים-יתרות פתיחה'!$2:$110,37,0),0)-IFERROR(HLOOKUP(K12,'סקרי נכסים-יתרות פתיחה'!$2:$110,95,0),0)*(1-K$309)</f>
        <v>0</v>
      </c>
      <c r="L212" s="50">
        <f>+IFERROR(HLOOKUP(L12,'סקרי נכסים-יתרות פתיחה'!$2:$110,37,0),0)-IFERROR(HLOOKUP(L12,'סקרי נכסים-יתרות פתיחה'!$2:$110,95,0),0)*(1-L$309)</f>
        <v>0</v>
      </c>
      <c r="M212" s="50">
        <f>+IFERROR(HLOOKUP(M12,'סקרי נכסים-יתרות פתיחה'!$2:$110,37,0),0)-IFERROR(HLOOKUP(M12,'סקרי נכסים-יתרות פתיחה'!$2:$110,95,0),0)*(1-M$309)</f>
        <v>0</v>
      </c>
      <c r="N212" s="50">
        <f>+IFERROR(HLOOKUP(N12,'סקרי נכסים-יתרות פתיחה'!$2:$110,37,0),0)-IFERROR(HLOOKUP(N12,'סקרי נכסים-יתרות פתיחה'!$2:$110,95,0),0)*(1-N$309)</f>
        <v>0</v>
      </c>
      <c r="O212" s="50">
        <f>+IFERROR(HLOOKUP(O12,'סקרי נכסים-יתרות פתיחה'!$2:$110,37,0),0)-IFERROR(HLOOKUP(O12,'סקרי נכסים-יתרות פתיחה'!$2:$110,95,0),0)*(1-O$309)</f>
        <v>0</v>
      </c>
      <c r="P212" s="50">
        <f>+IFERROR(HLOOKUP(P12,'סקרי נכסים-יתרות פתיחה'!$2:$110,37,0),0)-IFERROR(HLOOKUP(P12,'סקרי נכסים-יתרות פתיחה'!$2:$110,95,0),0)*(1-P$309)</f>
        <v>0</v>
      </c>
      <c r="Q212" s="50">
        <f>+IFERROR(HLOOKUP(Q12,'סקרי נכסים-יתרות פתיחה'!$2:$110,37,0),0)-IFERROR(HLOOKUP(Q12,'סקרי נכסים-יתרות פתיחה'!$2:$110,95,0),0)*(1-Q$309)</f>
        <v>0</v>
      </c>
      <c r="R212" s="50">
        <f>+IFERROR(HLOOKUP(R12,'סקרי נכסים-יתרות פתיחה'!$2:$110,37,0),0)-IFERROR(HLOOKUP(R12,'סקרי נכסים-יתרות פתיחה'!$2:$110,95,0),0)*(1-R$309)</f>
        <v>0</v>
      </c>
      <c r="S212" s="50">
        <f>+IFERROR(HLOOKUP(S12,'סקרי נכסים-יתרות פתיחה'!$2:$110,37,0),0)-IFERROR(HLOOKUP(S12,'סקרי נכסים-יתרות פתיחה'!$2:$110,95,0),0)*(1-S$309)</f>
        <v>0</v>
      </c>
      <c r="T212" s="50">
        <f>+IFERROR(HLOOKUP(T12,'סקרי נכסים-יתרות פתיחה'!$2:$110,37,0),0)-IFERROR(HLOOKUP(T12,'סקרי נכסים-יתרות פתיחה'!$2:$110,95,0),0)*(1-T$309)</f>
        <v>0</v>
      </c>
      <c r="U212" s="50">
        <f>+IFERROR(HLOOKUP(U12,'סקרי נכסים-יתרות פתיחה'!$2:$110,37,0),0)-IFERROR(HLOOKUP(U12,'סקרי נכסים-יתרות פתיחה'!$2:$110,95,0),0)*(1-U$309)</f>
        <v>0</v>
      </c>
      <c r="V212" s="50">
        <f>+IFERROR(HLOOKUP(V12,'סקרי נכסים-יתרות פתיחה'!$2:$110,37,0),0)-IFERROR(HLOOKUP(V12,'סקרי נכסים-יתרות פתיחה'!$2:$110,95,0),0)*(1-V$309)</f>
        <v>0</v>
      </c>
      <c r="W212" s="50">
        <f>+IFERROR(HLOOKUP(W12,'סקרי נכסים-יתרות פתיחה'!$2:$110,37,0),0)-IFERROR(HLOOKUP(W12,'סקרי נכסים-יתרות פתיחה'!$2:$110,95,0),0)*(1-W$309)</f>
        <v>0</v>
      </c>
      <c r="X212" s="50">
        <f>+IFERROR(HLOOKUP(X12,'סקרי נכסים-יתרות פתיחה'!$2:$110,37,0),0)-IFERROR(HLOOKUP(X12,'סקרי נכסים-יתרות פתיחה'!$2:$110,95,0),0)*(1-X$309)</f>
        <v>0</v>
      </c>
      <c r="Y212" s="50">
        <f>+IFERROR(HLOOKUP(Y12,'סקרי נכסים-יתרות פתיחה'!$2:$110,37,0),0)-IFERROR(HLOOKUP(Y12,'סקרי נכסים-יתרות פתיחה'!$2:$110,95,0),0)*(1-Y$309)</f>
        <v>0</v>
      </c>
      <c r="Z212" s="50">
        <f>+IFERROR(HLOOKUP(Z12,'סקרי נכסים-יתרות פתיחה'!$2:$110,37,0),0)-IFERROR(HLOOKUP(Z12,'סקרי נכסים-יתרות פתיחה'!$2:$110,95,0),0)*(1-Z$309)</f>
        <v>0</v>
      </c>
      <c r="AA212" s="50">
        <f>+IFERROR(HLOOKUP(AA12,'סקרי נכסים-יתרות פתיחה'!$2:$110,37,0),0)-IFERROR(HLOOKUP(AA12,'סקרי נכסים-יתרות פתיחה'!$2:$110,95,0),0)*(1-AA$309)</f>
        <v>0</v>
      </c>
      <c r="AB212" s="50">
        <f>+IFERROR(HLOOKUP(AB12,'סקרי נכסים-יתרות פתיחה'!$2:$110,37,0),0)-IFERROR(HLOOKUP(AB12,'סקרי נכסים-יתרות פתיחה'!$2:$110,95,0),0)*(1-AB$309)</f>
        <v>0</v>
      </c>
      <c r="AC212" s="50">
        <f>+IFERROR(HLOOKUP(AC12,'סקרי נכסים-יתרות פתיחה'!$2:$110,37,0),0)-IFERROR(HLOOKUP(AC12,'סקרי נכסים-יתרות פתיחה'!$2:$110,95,0),0)*(1-AC$309)</f>
        <v>0</v>
      </c>
      <c r="AD212" s="50">
        <f>+IFERROR(HLOOKUP(AD12,'סקרי נכסים-יתרות פתיחה'!$2:$110,37,0),0)-IFERROR(HLOOKUP(AD12,'סקרי נכסים-יתרות פתיחה'!$2:$110,95,0),0)*(1-AD$309)</f>
        <v>0</v>
      </c>
      <c r="AE212" s="50">
        <f>+IFERROR(HLOOKUP(AE12,'סקרי נכסים-יתרות פתיחה'!$2:$110,37,0),0)-IFERROR(HLOOKUP(AE12,'סקרי נכסים-יתרות פתיחה'!$2:$110,95,0),0)*(1-AE$309)</f>
        <v>0</v>
      </c>
      <c r="AF212" s="50">
        <f>+IFERROR(HLOOKUP(AF12,'סקרי נכסים-יתרות פתיחה'!$2:$110,37,0),0)-IFERROR(HLOOKUP(AF12,'סקרי נכסים-יתרות פתיחה'!$2:$110,95,0),0)*(1-AF$309)</f>
        <v>0</v>
      </c>
      <c r="AG212" s="50">
        <f>+IFERROR(HLOOKUP(AG12,'סקרי נכסים-יתרות פתיחה'!$2:$110,37,0),0)-IFERROR(HLOOKUP(AG12,'סקרי נכסים-יתרות פתיחה'!$2:$110,95,0),0)*(1-AG$309)</f>
        <v>0</v>
      </c>
      <c r="AH212" s="50">
        <f>+IFERROR(HLOOKUP(AH12,'סקרי נכסים-יתרות פתיחה'!$2:$110,37,0),0)-IFERROR(HLOOKUP(AH12,'סקרי נכסים-יתרות פתיחה'!$2:$110,95,0),0)*(1-AH$309)</f>
        <v>0</v>
      </c>
      <c r="AI212" s="50">
        <f>+IFERROR(HLOOKUP(AI12,'סקרי נכסים-יתרות פתיחה'!$2:$110,37,0),0)-IFERROR(HLOOKUP(AI12,'סקרי נכסים-יתרות פתיחה'!$2:$110,95,0),0)*(1-AI$309)</f>
        <v>0</v>
      </c>
      <c r="AJ212" s="50">
        <f>+IFERROR(HLOOKUP(AJ12,'סקרי נכסים-יתרות פתיחה'!$2:$110,37,0),0)-IFERROR(HLOOKUP(AJ12,'סקרי נכסים-יתרות פתיחה'!$2:$110,95,0),0)*(1-AJ$309)</f>
        <v>0</v>
      </c>
      <c r="AK212" s="50">
        <f>+IFERROR(HLOOKUP(AK12,'סקרי נכסים-יתרות פתיחה'!$2:$110,37,0),0)-IFERROR(HLOOKUP(AK12,'סקרי נכסים-יתרות פתיחה'!$2:$110,95,0),0)*(1-AK$309)</f>
        <v>0</v>
      </c>
      <c r="AL212" s="50">
        <f>+IFERROR(HLOOKUP(AL12,'סקרי נכסים-יתרות פתיחה'!$2:$110,37,0),0)-IFERROR(HLOOKUP(AL12,'סקרי נכסים-יתרות פתיחה'!$2:$110,95,0),0)*(1-AL$309)</f>
        <v>0</v>
      </c>
      <c r="AM212" s="50">
        <f>+IFERROR(HLOOKUP(AM12,'סקרי נכסים-יתרות פתיחה'!$2:$110,37,0),0)-IFERROR(HLOOKUP(AM12,'סקרי נכסים-יתרות פתיחה'!$2:$110,95,0),0)*(1-AM$309)</f>
        <v>0</v>
      </c>
      <c r="AN212" s="50">
        <f>+IFERROR(HLOOKUP(AN12,'סקרי נכסים-יתרות פתיחה'!$2:$110,37,0),0)-IFERROR(HLOOKUP(AN12,'סקרי נכסים-יתרות פתיחה'!$2:$110,95,0),0)*(1-AN$309)</f>
        <v>0</v>
      </c>
      <c r="AO212" s="50">
        <f>+IFERROR(HLOOKUP(AO12,'סקרי נכסים-יתרות פתיחה'!$2:$110,37,0),0)-IFERROR(HLOOKUP(AO12,'סקרי נכסים-יתרות פתיחה'!$2:$110,95,0),0)*(1-AO$309)</f>
        <v>0</v>
      </c>
      <c r="AP212" s="50">
        <f>+IFERROR(HLOOKUP(AP12,'סקרי נכסים-יתרות פתיחה'!$2:$110,37,0),0)-IFERROR(HLOOKUP(AP12,'סקרי נכסים-יתרות פתיחה'!$2:$110,95,0),0)*(1-AP$309)</f>
        <v>0</v>
      </c>
      <c r="AQ212" s="50">
        <f>+IFERROR(HLOOKUP(AQ12,'סקרי נכסים-יתרות פתיחה'!$2:$110,37,0),0)-IFERROR(HLOOKUP(AQ12,'סקרי נכסים-יתרות פתיחה'!$2:$110,95,0),0)*(1-AQ$309)</f>
        <v>0</v>
      </c>
      <c r="AR212" s="50">
        <f>+IFERROR(HLOOKUP(AR12,'סקרי נכסים-יתרות פתיחה'!$2:$110,37,0),0)-IFERROR(HLOOKUP(AR12,'סקרי נכסים-יתרות פתיחה'!$2:$110,95,0),0)*(1-AR$309)</f>
        <v>0</v>
      </c>
      <c r="AS212" s="50">
        <f>+IFERROR(HLOOKUP(AS12,'סקרי נכסים-יתרות פתיחה'!$2:$110,37,0),0)-IFERROR(HLOOKUP(AS12,'סקרי נכסים-יתרות פתיחה'!$2:$110,95,0),0)*(1-AS$309)</f>
        <v>0</v>
      </c>
      <c r="AT212" s="50">
        <f>+IFERROR(HLOOKUP(AT12,'סקרי נכסים-יתרות פתיחה'!$2:$110,37,0),0)-IFERROR(HLOOKUP(AT12,'סקרי נכסים-יתרות פתיחה'!$2:$110,95,0),0)*(1-AT$309)</f>
        <v>0</v>
      </c>
      <c r="AU212" s="50">
        <f>+IFERROR(HLOOKUP(AU12,'סקרי נכסים-יתרות פתיחה'!$2:$110,37,0),0)-IFERROR(HLOOKUP(AU12,'סקרי נכסים-יתרות פתיחה'!$2:$110,95,0),0)*(1-AU$309)</f>
        <v>0</v>
      </c>
      <c r="AV212" s="50">
        <f>+IFERROR(HLOOKUP(AV12,'סקרי נכסים-יתרות פתיחה'!$2:$110,37,0),0)-IFERROR(HLOOKUP(AV12,'סקרי נכסים-יתרות פתיחה'!$2:$110,95,0),0)*(1-AV$309)</f>
        <v>0</v>
      </c>
      <c r="AW212" s="50">
        <f>+IFERROR(HLOOKUP(AW12,'סקרי נכסים-יתרות פתיחה'!$2:$110,37,0),0)-IFERROR(HLOOKUP(AW12,'סקרי נכסים-יתרות פתיחה'!$2:$110,95,0),0)*(1-AW$309)</f>
        <v>0</v>
      </c>
      <c r="AX212" s="50">
        <f>+IFERROR(HLOOKUP(AX12,'סקרי נכסים-יתרות פתיחה'!$2:$110,37,0),0)-IFERROR(HLOOKUP(AX12,'סקרי נכסים-יתרות פתיחה'!$2:$110,95,0),0)*(1-AX$309)</f>
        <v>0</v>
      </c>
      <c r="AY212" s="50">
        <f>+IFERROR(HLOOKUP(AY12,'סקרי נכסים-יתרות פתיחה'!$2:$110,37,0),0)-IFERROR(HLOOKUP(AY12,'סקרי נכסים-יתרות פתיחה'!$2:$110,95,0),0)*(1-AY$309)</f>
        <v>0</v>
      </c>
      <c r="AZ212" s="50">
        <f>+IFERROR(HLOOKUP(AZ12,'סקרי נכסים-יתרות פתיחה'!$2:$110,37,0),0)-IFERROR(HLOOKUP(AZ12,'סקרי נכסים-יתרות פתיחה'!$2:$110,95,0),0)*(1-AZ$309)</f>
        <v>0</v>
      </c>
      <c r="BA212" s="50">
        <f>+IFERROR(HLOOKUP(BA12,'סקרי נכסים-יתרות פתיחה'!$2:$110,37,0),0)-IFERROR(HLOOKUP(BA12,'סקרי נכסים-יתרות פתיחה'!$2:$110,95,0),0)*(1-BA$309)</f>
        <v>0</v>
      </c>
      <c r="BB212" s="50">
        <f>+IFERROR(HLOOKUP(BB12,'סקרי נכסים-יתרות פתיחה'!$2:$110,37,0),0)-IFERROR(HLOOKUP(BB12,'סקרי נכסים-יתרות פתיחה'!$2:$110,95,0),0)*(1-BB$309)</f>
        <v>0</v>
      </c>
      <c r="BC212" s="50">
        <f>+IFERROR(HLOOKUP(BC12,'סקרי נכסים-יתרות פתיחה'!$2:$110,37,0),0)-IFERROR(HLOOKUP(BC12,'סקרי נכסים-יתרות פתיחה'!$2:$110,95,0),0)*(1-BC$309)</f>
        <v>0</v>
      </c>
      <c r="BD212" s="50">
        <f>+IFERROR(HLOOKUP(BD12,'סקרי נכסים-יתרות פתיחה'!$2:$110,37,0),0)-IFERROR(HLOOKUP(BD12,'סקרי נכסים-יתרות פתיחה'!$2:$110,95,0),0)*(1-BD$309)</f>
        <v>0</v>
      </c>
      <c r="BE212" s="50">
        <f>+IFERROR(HLOOKUP(BE12,'סקרי נכסים-יתרות פתיחה'!$2:$110,37,0),0)-IFERROR(HLOOKUP(BE12,'סקרי נכסים-יתרות פתיחה'!$2:$110,95,0),0)*(1-BE$309)</f>
        <v>0</v>
      </c>
      <c r="BF212" s="50">
        <f>+IFERROR(HLOOKUP(BF12,'סקרי נכסים-יתרות פתיחה'!$2:$110,37,0),0)-IFERROR(HLOOKUP(BF12,'סקרי נכסים-יתרות פתיחה'!$2:$110,95,0),0)*(1-BF$309)</f>
        <v>0</v>
      </c>
    </row>
    <row r="213" spans="2:58" x14ac:dyDescent="0.2">
      <c r="B213" s="1">
        <v>10</v>
      </c>
      <c r="C213" s="50">
        <f>+IFERROR(HLOOKUP(C13,'סקרי נכסים-יתרות פתיחה'!$2:$110,37,0),0)-IFERROR(HLOOKUP(C13,'סקרי נכסים-יתרות פתיחה'!$2:$110,95,0),0)*(1-C$309)</f>
        <v>0</v>
      </c>
      <c r="D213" s="50">
        <f>+IFERROR(HLOOKUP(D13,'סקרי נכסים-יתרות פתיחה'!$2:$110,37,0),0)-IFERROR(HLOOKUP(D13,'סקרי נכסים-יתרות פתיחה'!$2:$110,95,0),0)*(1-D$309)</f>
        <v>0</v>
      </c>
      <c r="E213" s="50">
        <f>+IFERROR(HLOOKUP(E13,'סקרי נכסים-יתרות פתיחה'!$2:$110,37,0),0)-IFERROR(HLOOKUP(E13,'סקרי נכסים-יתרות פתיחה'!$2:$110,95,0),0)*(1-E$309)</f>
        <v>0</v>
      </c>
      <c r="F213" s="50">
        <f>+IFERROR(HLOOKUP(F13,'סקרי נכסים-יתרות פתיחה'!$2:$110,37,0),0)-IFERROR(HLOOKUP(F13,'סקרי נכסים-יתרות פתיחה'!$2:$110,95,0),0)*(1-F$309)</f>
        <v>0</v>
      </c>
      <c r="G213" s="50">
        <f>+IFERROR(HLOOKUP(G13,'סקרי נכסים-יתרות פתיחה'!$2:$110,37,0),0)-IFERROR(HLOOKUP(G13,'סקרי נכסים-יתרות פתיחה'!$2:$110,95,0),0)*(1-G$309)</f>
        <v>0</v>
      </c>
      <c r="H213" s="50">
        <f>+IFERROR(HLOOKUP(H13,'סקרי נכסים-יתרות פתיחה'!$2:$110,37,0),0)-IFERROR(HLOOKUP(H13,'סקרי נכסים-יתרות פתיחה'!$2:$110,95,0),0)*(1-H$309)</f>
        <v>0</v>
      </c>
      <c r="I213" s="50">
        <f>+IFERROR(HLOOKUP(I13,'סקרי נכסים-יתרות פתיחה'!$2:$110,37,0),0)-IFERROR(HLOOKUP(I13,'סקרי נכסים-יתרות פתיחה'!$2:$110,95,0),0)*(1-I$309)</f>
        <v>0</v>
      </c>
      <c r="J213" s="50">
        <f>+IFERROR(HLOOKUP(J13,'סקרי נכסים-יתרות פתיחה'!$2:$110,37,0),0)-IFERROR(HLOOKUP(J13,'סקרי נכסים-יתרות פתיחה'!$2:$110,95,0),0)*(1-J$309)</f>
        <v>0</v>
      </c>
      <c r="K213" s="50">
        <f>+IFERROR(HLOOKUP(K13,'סקרי נכסים-יתרות פתיחה'!$2:$110,37,0),0)-IFERROR(HLOOKUP(K13,'סקרי נכסים-יתרות פתיחה'!$2:$110,95,0),0)*(1-K$309)</f>
        <v>0</v>
      </c>
      <c r="L213" s="50">
        <f>+IFERROR(HLOOKUP(L13,'סקרי נכסים-יתרות פתיחה'!$2:$110,37,0),0)-IFERROR(HLOOKUP(L13,'סקרי נכסים-יתרות פתיחה'!$2:$110,95,0),0)*(1-L$309)</f>
        <v>0</v>
      </c>
      <c r="M213" s="50">
        <f>+IFERROR(HLOOKUP(M13,'סקרי נכסים-יתרות פתיחה'!$2:$110,37,0),0)-IFERROR(HLOOKUP(M13,'סקרי נכסים-יתרות פתיחה'!$2:$110,95,0),0)*(1-M$309)</f>
        <v>0</v>
      </c>
      <c r="N213" s="50">
        <f>+IFERROR(HLOOKUP(N13,'סקרי נכסים-יתרות פתיחה'!$2:$110,37,0),0)-IFERROR(HLOOKUP(N13,'סקרי נכסים-יתרות פתיחה'!$2:$110,95,0),0)*(1-N$309)</f>
        <v>0</v>
      </c>
      <c r="O213" s="50">
        <f>+IFERROR(HLOOKUP(O13,'סקרי נכסים-יתרות פתיחה'!$2:$110,37,0),0)-IFERROR(HLOOKUP(O13,'סקרי נכסים-יתרות פתיחה'!$2:$110,95,0),0)*(1-O$309)</f>
        <v>0</v>
      </c>
      <c r="P213" s="50">
        <f>+IFERROR(HLOOKUP(P13,'סקרי נכסים-יתרות פתיחה'!$2:$110,37,0),0)-IFERROR(HLOOKUP(P13,'סקרי נכסים-יתרות פתיחה'!$2:$110,95,0),0)*(1-P$309)</f>
        <v>0</v>
      </c>
      <c r="Q213" s="50">
        <f>+IFERROR(HLOOKUP(Q13,'סקרי נכסים-יתרות פתיחה'!$2:$110,37,0),0)-IFERROR(HLOOKUP(Q13,'סקרי נכסים-יתרות פתיחה'!$2:$110,95,0),0)*(1-Q$309)</f>
        <v>0</v>
      </c>
      <c r="R213" s="50">
        <f>+IFERROR(HLOOKUP(R13,'סקרי נכסים-יתרות פתיחה'!$2:$110,37,0),0)-IFERROR(HLOOKUP(R13,'סקרי נכסים-יתרות פתיחה'!$2:$110,95,0),0)*(1-R$309)</f>
        <v>0</v>
      </c>
      <c r="S213" s="50">
        <f>+IFERROR(HLOOKUP(S13,'סקרי נכסים-יתרות פתיחה'!$2:$110,37,0),0)-IFERROR(HLOOKUP(S13,'סקרי נכסים-יתרות פתיחה'!$2:$110,95,0),0)*(1-S$309)</f>
        <v>0</v>
      </c>
      <c r="T213" s="50">
        <f>+IFERROR(HLOOKUP(T13,'סקרי נכסים-יתרות פתיחה'!$2:$110,37,0),0)-IFERROR(HLOOKUP(T13,'סקרי נכסים-יתרות פתיחה'!$2:$110,95,0),0)*(1-T$309)</f>
        <v>0</v>
      </c>
      <c r="U213" s="50">
        <f>+IFERROR(HLOOKUP(U13,'סקרי נכסים-יתרות פתיחה'!$2:$110,37,0),0)-IFERROR(HLOOKUP(U13,'סקרי נכסים-יתרות פתיחה'!$2:$110,95,0),0)*(1-U$309)</f>
        <v>0</v>
      </c>
      <c r="V213" s="50">
        <f>+IFERROR(HLOOKUP(V13,'סקרי נכסים-יתרות פתיחה'!$2:$110,37,0),0)-IFERROR(HLOOKUP(V13,'סקרי נכסים-יתרות פתיחה'!$2:$110,95,0),0)*(1-V$309)</f>
        <v>0</v>
      </c>
      <c r="W213" s="50">
        <f>+IFERROR(HLOOKUP(W13,'סקרי נכסים-יתרות פתיחה'!$2:$110,37,0),0)-IFERROR(HLOOKUP(W13,'סקרי נכסים-יתרות פתיחה'!$2:$110,95,0),0)*(1-W$309)</f>
        <v>0</v>
      </c>
      <c r="X213" s="50">
        <f>+IFERROR(HLOOKUP(X13,'סקרי נכסים-יתרות פתיחה'!$2:$110,37,0),0)-IFERROR(HLOOKUP(X13,'סקרי נכסים-יתרות פתיחה'!$2:$110,95,0),0)*(1-X$309)</f>
        <v>0</v>
      </c>
      <c r="Y213" s="50">
        <f>+IFERROR(HLOOKUP(Y13,'סקרי נכסים-יתרות פתיחה'!$2:$110,37,0),0)-IFERROR(HLOOKUP(Y13,'סקרי נכסים-יתרות פתיחה'!$2:$110,95,0),0)*(1-Y$309)</f>
        <v>0</v>
      </c>
      <c r="Z213" s="50">
        <f>+IFERROR(HLOOKUP(Z13,'סקרי נכסים-יתרות פתיחה'!$2:$110,37,0),0)-IFERROR(HLOOKUP(Z13,'סקרי נכסים-יתרות פתיחה'!$2:$110,95,0),0)*(1-Z$309)</f>
        <v>0</v>
      </c>
      <c r="AA213" s="50">
        <f>+IFERROR(HLOOKUP(AA13,'סקרי נכסים-יתרות פתיחה'!$2:$110,37,0),0)-IFERROR(HLOOKUP(AA13,'סקרי נכסים-יתרות פתיחה'!$2:$110,95,0),0)*(1-AA$309)</f>
        <v>0</v>
      </c>
      <c r="AB213" s="50">
        <f>+IFERROR(HLOOKUP(AB13,'סקרי נכסים-יתרות פתיחה'!$2:$110,37,0),0)-IFERROR(HLOOKUP(AB13,'סקרי נכסים-יתרות פתיחה'!$2:$110,95,0),0)*(1-AB$309)</f>
        <v>0</v>
      </c>
      <c r="AC213" s="50">
        <f>+IFERROR(HLOOKUP(AC13,'סקרי נכסים-יתרות פתיחה'!$2:$110,37,0),0)-IFERROR(HLOOKUP(AC13,'סקרי נכסים-יתרות פתיחה'!$2:$110,95,0),0)*(1-AC$309)</f>
        <v>0</v>
      </c>
      <c r="AD213" s="50">
        <f>+IFERROR(HLOOKUP(AD13,'סקרי נכסים-יתרות פתיחה'!$2:$110,37,0),0)-IFERROR(HLOOKUP(AD13,'סקרי נכסים-יתרות פתיחה'!$2:$110,95,0),0)*(1-AD$309)</f>
        <v>0</v>
      </c>
      <c r="AE213" s="50">
        <f>+IFERROR(HLOOKUP(AE13,'סקרי נכסים-יתרות פתיחה'!$2:$110,37,0),0)-IFERROR(HLOOKUP(AE13,'סקרי נכסים-יתרות פתיחה'!$2:$110,95,0),0)*(1-AE$309)</f>
        <v>0</v>
      </c>
      <c r="AF213" s="50">
        <f>+IFERROR(HLOOKUP(AF13,'סקרי נכסים-יתרות פתיחה'!$2:$110,37,0),0)-IFERROR(HLOOKUP(AF13,'סקרי נכסים-יתרות פתיחה'!$2:$110,95,0),0)*(1-AF$309)</f>
        <v>0</v>
      </c>
      <c r="AG213" s="50">
        <f>+IFERROR(HLOOKUP(AG13,'סקרי נכסים-יתרות פתיחה'!$2:$110,37,0),0)-IFERROR(HLOOKUP(AG13,'סקרי נכסים-יתרות פתיחה'!$2:$110,95,0),0)*(1-AG$309)</f>
        <v>0</v>
      </c>
      <c r="AH213" s="50">
        <f>+IFERROR(HLOOKUP(AH13,'סקרי נכסים-יתרות פתיחה'!$2:$110,37,0),0)-IFERROR(HLOOKUP(AH13,'סקרי נכסים-יתרות פתיחה'!$2:$110,95,0),0)*(1-AH$309)</f>
        <v>0</v>
      </c>
      <c r="AI213" s="50">
        <f>+IFERROR(HLOOKUP(AI13,'סקרי נכסים-יתרות פתיחה'!$2:$110,37,0),0)-IFERROR(HLOOKUP(AI13,'סקרי נכסים-יתרות פתיחה'!$2:$110,95,0),0)*(1-AI$309)</f>
        <v>0</v>
      </c>
      <c r="AJ213" s="50">
        <f>+IFERROR(HLOOKUP(AJ13,'סקרי נכסים-יתרות פתיחה'!$2:$110,37,0),0)-IFERROR(HLOOKUP(AJ13,'סקרי נכסים-יתרות פתיחה'!$2:$110,95,0),0)*(1-AJ$309)</f>
        <v>0</v>
      </c>
      <c r="AK213" s="50">
        <f>+IFERROR(HLOOKUP(AK13,'סקרי נכסים-יתרות פתיחה'!$2:$110,37,0),0)-IFERROR(HLOOKUP(AK13,'סקרי נכסים-יתרות פתיחה'!$2:$110,95,0),0)*(1-AK$309)</f>
        <v>0</v>
      </c>
      <c r="AL213" s="50">
        <f>+IFERROR(HLOOKUP(AL13,'סקרי נכסים-יתרות פתיחה'!$2:$110,37,0),0)-IFERROR(HLOOKUP(AL13,'סקרי נכסים-יתרות פתיחה'!$2:$110,95,0),0)*(1-AL$309)</f>
        <v>0</v>
      </c>
      <c r="AM213" s="50">
        <f>+IFERROR(HLOOKUP(AM13,'סקרי נכסים-יתרות פתיחה'!$2:$110,37,0),0)-IFERROR(HLOOKUP(AM13,'סקרי נכסים-יתרות פתיחה'!$2:$110,95,0),0)*(1-AM$309)</f>
        <v>0</v>
      </c>
      <c r="AN213" s="50">
        <f>+IFERROR(HLOOKUP(AN13,'סקרי נכסים-יתרות פתיחה'!$2:$110,37,0),0)-IFERROR(HLOOKUP(AN13,'סקרי נכסים-יתרות פתיחה'!$2:$110,95,0),0)*(1-AN$309)</f>
        <v>0</v>
      </c>
      <c r="AO213" s="50">
        <f>+IFERROR(HLOOKUP(AO13,'סקרי נכסים-יתרות פתיחה'!$2:$110,37,0),0)-IFERROR(HLOOKUP(AO13,'סקרי נכסים-יתרות פתיחה'!$2:$110,95,0),0)*(1-AO$309)</f>
        <v>0</v>
      </c>
      <c r="AP213" s="50">
        <f>+IFERROR(HLOOKUP(AP13,'סקרי נכסים-יתרות פתיחה'!$2:$110,37,0),0)-IFERROR(HLOOKUP(AP13,'סקרי נכסים-יתרות פתיחה'!$2:$110,95,0),0)*(1-AP$309)</f>
        <v>0</v>
      </c>
      <c r="AQ213" s="50">
        <f>+IFERROR(HLOOKUP(AQ13,'סקרי נכסים-יתרות פתיחה'!$2:$110,37,0),0)-IFERROR(HLOOKUP(AQ13,'סקרי נכסים-יתרות פתיחה'!$2:$110,95,0),0)*(1-AQ$309)</f>
        <v>0</v>
      </c>
      <c r="AR213" s="50">
        <f>+IFERROR(HLOOKUP(AR13,'סקרי נכסים-יתרות פתיחה'!$2:$110,37,0),0)-IFERROR(HLOOKUP(AR13,'סקרי נכסים-יתרות פתיחה'!$2:$110,95,0),0)*(1-AR$309)</f>
        <v>0</v>
      </c>
      <c r="AS213" s="50">
        <f>+IFERROR(HLOOKUP(AS13,'סקרי נכסים-יתרות פתיחה'!$2:$110,37,0),0)-IFERROR(HLOOKUP(AS13,'סקרי נכסים-יתרות פתיחה'!$2:$110,95,0),0)*(1-AS$309)</f>
        <v>0</v>
      </c>
      <c r="AT213" s="50">
        <f>+IFERROR(HLOOKUP(AT13,'סקרי נכסים-יתרות פתיחה'!$2:$110,37,0),0)-IFERROR(HLOOKUP(AT13,'סקרי נכסים-יתרות פתיחה'!$2:$110,95,0),0)*(1-AT$309)</f>
        <v>0</v>
      </c>
      <c r="AU213" s="50">
        <f>+IFERROR(HLOOKUP(AU13,'סקרי נכסים-יתרות פתיחה'!$2:$110,37,0),0)-IFERROR(HLOOKUP(AU13,'סקרי נכסים-יתרות פתיחה'!$2:$110,95,0),0)*(1-AU$309)</f>
        <v>0</v>
      </c>
      <c r="AV213" s="50">
        <f>+IFERROR(HLOOKUP(AV13,'סקרי נכסים-יתרות פתיחה'!$2:$110,37,0),0)-IFERROR(HLOOKUP(AV13,'סקרי נכסים-יתרות פתיחה'!$2:$110,95,0),0)*(1-AV$309)</f>
        <v>0</v>
      </c>
      <c r="AW213" s="50">
        <f>+IFERROR(HLOOKUP(AW13,'סקרי נכסים-יתרות פתיחה'!$2:$110,37,0),0)-IFERROR(HLOOKUP(AW13,'סקרי נכסים-יתרות פתיחה'!$2:$110,95,0),0)*(1-AW$309)</f>
        <v>0</v>
      </c>
      <c r="AX213" s="50">
        <f>+IFERROR(HLOOKUP(AX13,'סקרי נכסים-יתרות פתיחה'!$2:$110,37,0),0)-IFERROR(HLOOKUP(AX13,'סקרי נכסים-יתרות פתיחה'!$2:$110,95,0),0)*(1-AX$309)</f>
        <v>0</v>
      </c>
      <c r="AY213" s="50">
        <f>+IFERROR(HLOOKUP(AY13,'סקרי נכסים-יתרות פתיחה'!$2:$110,37,0),0)-IFERROR(HLOOKUP(AY13,'סקרי נכסים-יתרות פתיחה'!$2:$110,95,0),0)*(1-AY$309)</f>
        <v>0</v>
      </c>
      <c r="AZ213" s="50">
        <f>+IFERROR(HLOOKUP(AZ13,'סקרי נכסים-יתרות פתיחה'!$2:$110,37,0),0)-IFERROR(HLOOKUP(AZ13,'סקרי נכסים-יתרות פתיחה'!$2:$110,95,0),0)*(1-AZ$309)</f>
        <v>0</v>
      </c>
      <c r="BA213" s="50">
        <f>+IFERROR(HLOOKUP(BA13,'סקרי נכסים-יתרות פתיחה'!$2:$110,37,0),0)-IFERROR(HLOOKUP(BA13,'סקרי נכסים-יתרות פתיחה'!$2:$110,95,0),0)*(1-BA$309)</f>
        <v>0</v>
      </c>
      <c r="BB213" s="50">
        <f>+IFERROR(HLOOKUP(BB13,'סקרי נכסים-יתרות פתיחה'!$2:$110,37,0),0)-IFERROR(HLOOKUP(BB13,'סקרי נכסים-יתרות פתיחה'!$2:$110,95,0),0)*(1-BB$309)</f>
        <v>0</v>
      </c>
      <c r="BC213" s="50">
        <f>+IFERROR(HLOOKUP(BC13,'סקרי נכסים-יתרות פתיחה'!$2:$110,37,0),0)-IFERROR(HLOOKUP(BC13,'סקרי נכסים-יתרות פתיחה'!$2:$110,95,0),0)*(1-BC$309)</f>
        <v>0</v>
      </c>
      <c r="BD213" s="50">
        <f>+IFERROR(HLOOKUP(BD13,'סקרי נכסים-יתרות פתיחה'!$2:$110,37,0),0)-IFERROR(HLOOKUP(BD13,'סקרי נכסים-יתרות פתיחה'!$2:$110,95,0),0)*(1-BD$309)</f>
        <v>0</v>
      </c>
      <c r="BE213" s="50">
        <f>+IFERROR(HLOOKUP(BE13,'סקרי נכסים-יתרות פתיחה'!$2:$110,37,0),0)-IFERROR(HLOOKUP(BE13,'סקרי נכסים-יתרות פתיחה'!$2:$110,95,0),0)*(1-BE$309)</f>
        <v>0</v>
      </c>
      <c r="BF213" s="50">
        <f>+IFERROR(HLOOKUP(BF13,'סקרי נכסים-יתרות פתיחה'!$2:$110,37,0),0)-IFERROR(HLOOKUP(BF13,'סקרי נכסים-יתרות פתיחה'!$2:$110,95,0),0)*(1-BF$309)</f>
        <v>0</v>
      </c>
    </row>
    <row r="214" spans="2:58" x14ac:dyDescent="0.2">
      <c r="B214" s="1">
        <v>11</v>
      </c>
      <c r="C214" s="50">
        <f>+IFERROR(HLOOKUP(C14,'סקרי נכסים-יתרות פתיחה'!$2:$110,37,0),0)-IFERROR(HLOOKUP(C14,'סקרי נכסים-יתרות פתיחה'!$2:$110,95,0),0)*(1-C$309)</f>
        <v>0</v>
      </c>
      <c r="D214" s="50">
        <f>+IFERROR(HLOOKUP(D14,'סקרי נכסים-יתרות פתיחה'!$2:$110,37,0),0)-IFERROR(HLOOKUP(D14,'סקרי נכסים-יתרות פתיחה'!$2:$110,95,0),0)*(1-D$309)</f>
        <v>0</v>
      </c>
      <c r="E214" s="50">
        <f>+IFERROR(HLOOKUP(E14,'סקרי נכסים-יתרות פתיחה'!$2:$110,37,0),0)-IFERROR(HLOOKUP(E14,'סקרי נכסים-יתרות פתיחה'!$2:$110,95,0),0)*(1-E$309)</f>
        <v>0</v>
      </c>
      <c r="F214" s="50">
        <f>+IFERROR(HLOOKUP(F14,'סקרי נכסים-יתרות פתיחה'!$2:$110,37,0),0)-IFERROR(HLOOKUP(F14,'סקרי נכסים-יתרות פתיחה'!$2:$110,95,0),0)*(1-F$309)</f>
        <v>0</v>
      </c>
      <c r="G214" s="50">
        <f>+IFERROR(HLOOKUP(G14,'סקרי נכסים-יתרות פתיחה'!$2:$110,37,0),0)-IFERROR(HLOOKUP(G14,'סקרי נכסים-יתרות פתיחה'!$2:$110,95,0),0)*(1-G$309)</f>
        <v>0</v>
      </c>
      <c r="H214" s="50">
        <f>+IFERROR(HLOOKUP(H14,'סקרי נכסים-יתרות פתיחה'!$2:$110,37,0),0)-IFERROR(HLOOKUP(H14,'סקרי נכסים-יתרות פתיחה'!$2:$110,95,0),0)*(1-H$309)</f>
        <v>0</v>
      </c>
      <c r="I214" s="50">
        <f>+IFERROR(HLOOKUP(I14,'סקרי נכסים-יתרות פתיחה'!$2:$110,37,0),0)-IFERROR(HLOOKUP(I14,'סקרי נכסים-יתרות פתיחה'!$2:$110,95,0),0)*(1-I$309)</f>
        <v>0</v>
      </c>
      <c r="J214" s="50">
        <f>+IFERROR(HLOOKUP(J14,'סקרי נכסים-יתרות פתיחה'!$2:$110,37,0),0)-IFERROR(HLOOKUP(J14,'סקרי נכסים-יתרות פתיחה'!$2:$110,95,0),0)*(1-J$309)</f>
        <v>0</v>
      </c>
      <c r="K214" s="50">
        <f>+IFERROR(HLOOKUP(K14,'סקרי נכסים-יתרות פתיחה'!$2:$110,37,0),0)-IFERROR(HLOOKUP(K14,'סקרי נכסים-יתרות פתיחה'!$2:$110,95,0),0)*(1-K$309)</f>
        <v>0</v>
      </c>
      <c r="L214" s="50">
        <f>+IFERROR(HLOOKUP(L14,'סקרי נכסים-יתרות פתיחה'!$2:$110,37,0),0)-IFERROR(HLOOKUP(L14,'סקרי נכסים-יתרות פתיחה'!$2:$110,95,0),0)*(1-L$309)</f>
        <v>0</v>
      </c>
      <c r="M214" s="50">
        <f>+IFERROR(HLOOKUP(M14,'סקרי נכסים-יתרות פתיחה'!$2:$110,37,0),0)-IFERROR(HLOOKUP(M14,'סקרי נכסים-יתרות פתיחה'!$2:$110,95,0),0)*(1-M$309)</f>
        <v>0</v>
      </c>
      <c r="N214" s="50">
        <f>+IFERROR(HLOOKUP(N14,'סקרי נכסים-יתרות פתיחה'!$2:$110,37,0),0)-IFERROR(HLOOKUP(N14,'סקרי נכסים-יתרות פתיחה'!$2:$110,95,0),0)*(1-N$309)</f>
        <v>0</v>
      </c>
      <c r="O214" s="50">
        <f>+IFERROR(HLOOKUP(O14,'סקרי נכסים-יתרות פתיחה'!$2:$110,37,0),0)-IFERROR(HLOOKUP(O14,'סקרי נכסים-יתרות פתיחה'!$2:$110,95,0),0)*(1-O$309)</f>
        <v>0</v>
      </c>
      <c r="P214" s="50">
        <f>+IFERROR(HLOOKUP(P14,'סקרי נכסים-יתרות פתיחה'!$2:$110,37,0),0)-IFERROR(HLOOKUP(P14,'סקרי נכסים-יתרות פתיחה'!$2:$110,95,0),0)*(1-P$309)</f>
        <v>0</v>
      </c>
      <c r="Q214" s="50">
        <f>+IFERROR(HLOOKUP(Q14,'סקרי נכסים-יתרות פתיחה'!$2:$110,37,0),0)-IFERROR(HLOOKUP(Q14,'סקרי נכסים-יתרות פתיחה'!$2:$110,95,0),0)*(1-Q$309)</f>
        <v>0</v>
      </c>
      <c r="R214" s="50">
        <f>+IFERROR(HLOOKUP(R14,'סקרי נכסים-יתרות פתיחה'!$2:$110,37,0),0)-IFERROR(HLOOKUP(R14,'סקרי נכסים-יתרות פתיחה'!$2:$110,95,0),0)*(1-R$309)</f>
        <v>0</v>
      </c>
      <c r="S214" s="50">
        <f>+IFERROR(HLOOKUP(S14,'סקרי נכסים-יתרות פתיחה'!$2:$110,37,0),0)-IFERROR(HLOOKUP(S14,'סקרי נכסים-יתרות פתיחה'!$2:$110,95,0),0)*(1-S$309)</f>
        <v>0</v>
      </c>
      <c r="T214" s="50">
        <f>+IFERROR(HLOOKUP(T14,'סקרי נכסים-יתרות פתיחה'!$2:$110,37,0),0)-IFERROR(HLOOKUP(T14,'סקרי נכסים-יתרות פתיחה'!$2:$110,95,0),0)*(1-T$309)</f>
        <v>0</v>
      </c>
      <c r="U214" s="50">
        <f>+IFERROR(HLOOKUP(U14,'סקרי נכסים-יתרות פתיחה'!$2:$110,37,0),0)-IFERROR(HLOOKUP(U14,'סקרי נכסים-יתרות פתיחה'!$2:$110,95,0),0)*(1-U$309)</f>
        <v>0</v>
      </c>
      <c r="V214" s="50">
        <f>+IFERROR(HLOOKUP(V14,'סקרי נכסים-יתרות פתיחה'!$2:$110,37,0),0)-IFERROR(HLOOKUP(V14,'סקרי נכסים-יתרות פתיחה'!$2:$110,95,0),0)*(1-V$309)</f>
        <v>0</v>
      </c>
      <c r="W214" s="50">
        <f>+IFERROR(HLOOKUP(W14,'סקרי נכסים-יתרות פתיחה'!$2:$110,37,0),0)-IFERROR(HLOOKUP(W14,'סקרי נכסים-יתרות פתיחה'!$2:$110,95,0),0)*(1-W$309)</f>
        <v>0</v>
      </c>
      <c r="X214" s="50">
        <f>+IFERROR(HLOOKUP(X14,'סקרי נכסים-יתרות פתיחה'!$2:$110,37,0),0)-IFERROR(HLOOKUP(X14,'סקרי נכסים-יתרות פתיחה'!$2:$110,95,0),0)*(1-X$309)</f>
        <v>0</v>
      </c>
      <c r="Y214" s="50">
        <f>+IFERROR(HLOOKUP(Y14,'סקרי נכסים-יתרות פתיחה'!$2:$110,37,0),0)-IFERROR(HLOOKUP(Y14,'סקרי נכסים-יתרות פתיחה'!$2:$110,95,0),0)*(1-Y$309)</f>
        <v>0</v>
      </c>
      <c r="Z214" s="50">
        <f>+IFERROR(HLOOKUP(Z14,'סקרי נכסים-יתרות פתיחה'!$2:$110,37,0),0)-IFERROR(HLOOKUP(Z14,'סקרי נכסים-יתרות פתיחה'!$2:$110,95,0),0)*(1-Z$309)</f>
        <v>0</v>
      </c>
      <c r="AA214" s="50">
        <f>+IFERROR(HLOOKUP(AA14,'סקרי נכסים-יתרות פתיחה'!$2:$110,37,0),0)-IFERROR(HLOOKUP(AA14,'סקרי נכסים-יתרות פתיחה'!$2:$110,95,0),0)*(1-AA$309)</f>
        <v>0</v>
      </c>
      <c r="AB214" s="50">
        <f>+IFERROR(HLOOKUP(AB14,'סקרי נכסים-יתרות פתיחה'!$2:$110,37,0),0)-IFERROR(HLOOKUP(AB14,'סקרי נכסים-יתרות פתיחה'!$2:$110,95,0),0)*(1-AB$309)</f>
        <v>0</v>
      </c>
      <c r="AC214" s="50">
        <f>+IFERROR(HLOOKUP(AC14,'סקרי נכסים-יתרות פתיחה'!$2:$110,37,0),0)-IFERROR(HLOOKUP(AC14,'סקרי נכסים-יתרות פתיחה'!$2:$110,95,0),0)*(1-AC$309)</f>
        <v>0</v>
      </c>
      <c r="AD214" s="50">
        <f>+IFERROR(HLOOKUP(AD14,'סקרי נכסים-יתרות פתיחה'!$2:$110,37,0),0)-IFERROR(HLOOKUP(AD14,'סקרי נכסים-יתרות פתיחה'!$2:$110,95,0),0)*(1-AD$309)</f>
        <v>0</v>
      </c>
      <c r="AE214" s="50">
        <f>+IFERROR(HLOOKUP(AE14,'סקרי נכסים-יתרות פתיחה'!$2:$110,37,0),0)-IFERROR(HLOOKUP(AE14,'סקרי נכסים-יתרות פתיחה'!$2:$110,95,0),0)*(1-AE$309)</f>
        <v>0</v>
      </c>
      <c r="AF214" s="50">
        <f>+IFERROR(HLOOKUP(AF14,'סקרי נכסים-יתרות פתיחה'!$2:$110,37,0),0)-IFERROR(HLOOKUP(AF14,'סקרי נכסים-יתרות פתיחה'!$2:$110,95,0),0)*(1-AF$309)</f>
        <v>0</v>
      </c>
      <c r="AG214" s="50">
        <f>+IFERROR(HLOOKUP(AG14,'סקרי נכסים-יתרות פתיחה'!$2:$110,37,0),0)-IFERROR(HLOOKUP(AG14,'סקרי נכסים-יתרות פתיחה'!$2:$110,95,0),0)*(1-AG$309)</f>
        <v>0</v>
      </c>
      <c r="AH214" s="50">
        <f>+IFERROR(HLOOKUP(AH14,'סקרי נכסים-יתרות פתיחה'!$2:$110,37,0),0)-IFERROR(HLOOKUP(AH14,'סקרי נכסים-יתרות פתיחה'!$2:$110,95,0),0)*(1-AH$309)</f>
        <v>0</v>
      </c>
      <c r="AI214" s="50">
        <f>+IFERROR(HLOOKUP(AI14,'סקרי נכסים-יתרות פתיחה'!$2:$110,37,0),0)-IFERROR(HLOOKUP(AI14,'סקרי נכסים-יתרות פתיחה'!$2:$110,95,0),0)*(1-AI$309)</f>
        <v>0</v>
      </c>
      <c r="AJ214" s="50">
        <f>+IFERROR(HLOOKUP(AJ14,'סקרי נכסים-יתרות פתיחה'!$2:$110,37,0),0)-IFERROR(HLOOKUP(AJ14,'סקרי נכסים-יתרות פתיחה'!$2:$110,95,0),0)*(1-AJ$309)</f>
        <v>0</v>
      </c>
      <c r="AK214" s="50">
        <f>+IFERROR(HLOOKUP(AK14,'סקרי נכסים-יתרות פתיחה'!$2:$110,37,0),0)-IFERROR(HLOOKUP(AK14,'סקרי נכסים-יתרות פתיחה'!$2:$110,95,0),0)*(1-AK$309)</f>
        <v>0</v>
      </c>
      <c r="AL214" s="50">
        <f>+IFERROR(HLOOKUP(AL14,'סקרי נכסים-יתרות פתיחה'!$2:$110,37,0),0)-IFERROR(HLOOKUP(AL14,'סקרי נכסים-יתרות פתיחה'!$2:$110,95,0),0)*(1-AL$309)</f>
        <v>0</v>
      </c>
      <c r="AM214" s="50">
        <f>+IFERROR(HLOOKUP(AM14,'סקרי נכסים-יתרות פתיחה'!$2:$110,37,0),0)-IFERROR(HLOOKUP(AM14,'סקרי נכסים-יתרות פתיחה'!$2:$110,95,0),0)*(1-AM$309)</f>
        <v>0</v>
      </c>
      <c r="AN214" s="50">
        <f>+IFERROR(HLOOKUP(AN14,'סקרי נכסים-יתרות פתיחה'!$2:$110,37,0),0)-IFERROR(HLOOKUP(AN14,'סקרי נכסים-יתרות פתיחה'!$2:$110,95,0),0)*(1-AN$309)</f>
        <v>0</v>
      </c>
      <c r="AO214" s="50">
        <f>+IFERROR(HLOOKUP(AO14,'סקרי נכסים-יתרות פתיחה'!$2:$110,37,0),0)-IFERROR(HLOOKUP(AO14,'סקרי נכסים-יתרות פתיחה'!$2:$110,95,0),0)*(1-AO$309)</f>
        <v>0</v>
      </c>
      <c r="AP214" s="50">
        <f>+IFERROR(HLOOKUP(AP14,'סקרי נכסים-יתרות פתיחה'!$2:$110,37,0),0)-IFERROR(HLOOKUP(AP14,'סקרי נכסים-יתרות פתיחה'!$2:$110,95,0),0)*(1-AP$309)</f>
        <v>0</v>
      </c>
      <c r="AQ214" s="50">
        <f>+IFERROR(HLOOKUP(AQ14,'סקרי נכסים-יתרות פתיחה'!$2:$110,37,0),0)-IFERROR(HLOOKUP(AQ14,'סקרי נכסים-יתרות פתיחה'!$2:$110,95,0),0)*(1-AQ$309)</f>
        <v>0</v>
      </c>
      <c r="AR214" s="50">
        <f>+IFERROR(HLOOKUP(AR14,'סקרי נכסים-יתרות פתיחה'!$2:$110,37,0),0)-IFERROR(HLOOKUP(AR14,'סקרי נכסים-יתרות פתיחה'!$2:$110,95,0),0)*(1-AR$309)</f>
        <v>0</v>
      </c>
      <c r="AS214" s="50">
        <f>+IFERROR(HLOOKUP(AS14,'סקרי נכסים-יתרות פתיחה'!$2:$110,37,0),0)-IFERROR(HLOOKUP(AS14,'סקרי נכסים-יתרות פתיחה'!$2:$110,95,0),0)*(1-AS$309)</f>
        <v>0</v>
      </c>
      <c r="AT214" s="50">
        <f>+IFERROR(HLOOKUP(AT14,'סקרי נכסים-יתרות פתיחה'!$2:$110,37,0),0)-IFERROR(HLOOKUP(AT14,'סקרי נכסים-יתרות פתיחה'!$2:$110,95,0),0)*(1-AT$309)</f>
        <v>0</v>
      </c>
      <c r="AU214" s="50">
        <f>+IFERROR(HLOOKUP(AU14,'סקרי נכסים-יתרות פתיחה'!$2:$110,37,0),0)-IFERROR(HLOOKUP(AU14,'סקרי נכסים-יתרות פתיחה'!$2:$110,95,0),0)*(1-AU$309)</f>
        <v>0</v>
      </c>
      <c r="AV214" s="50">
        <f>+IFERROR(HLOOKUP(AV14,'סקרי נכסים-יתרות פתיחה'!$2:$110,37,0),0)-IFERROR(HLOOKUP(AV14,'סקרי נכסים-יתרות פתיחה'!$2:$110,95,0),0)*(1-AV$309)</f>
        <v>0</v>
      </c>
      <c r="AW214" s="50">
        <f>+IFERROR(HLOOKUP(AW14,'סקרי נכסים-יתרות פתיחה'!$2:$110,37,0),0)-IFERROR(HLOOKUP(AW14,'סקרי נכסים-יתרות פתיחה'!$2:$110,95,0),0)*(1-AW$309)</f>
        <v>0</v>
      </c>
      <c r="AX214" s="50">
        <f>+IFERROR(HLOOKUP(AX14,'סקרי נכסים-יתרות פתיחה'!$2:$110,37,0),0)-IFERROR(HLOOKUP(AX14,'סקרי נכסים-יתרות פתיחה'!$2:$110,95,0),0)*(1-AX$309)</f>
        <v>0</v>
      </c>
      <c r="AY214" s="50">
        <f>+IFERROR(HLOOKUP(AY14,'סקרי נכסים-יתרות פתיחה'!$2:$110,37,0),0)-IFERROR(HLOOKUP(AY14,'סקרי נכסים-יתרות פתיחה'!$2:$110,95,0),0)*(1-AY$309)</f>
        <v>0</v>
      </c>
      <c r="AZ214" s="50">
        <f>+IFERROR(HLOOKUP(AZ14,'סקרי נכסים-יתרות פתיחה'!$2:$110,37,0),0)-IFERROR(HLOOKUP(AZ14,'סקרי נכסים-יתרות פתיחה'!$2:$110,95,0),0)*(1-AZ$309)</f>
        <v>0</v>
      </c>
      <c r="BA214" s="50">
        <f>+IFERROR(HLOOKUP(BA14,'סקרי נכסים-יתרות פתיחה'!$2:$110,37,0),0)-IFERROR(HLOOKUP(BA14,'סקרי נכסים-יתרות פתיחה'!$2:$110,95,0),0)*(1-BA$309)</f>
        <v>0</v>
      </c>
      <c r="BB214" s="50">
        <f>+IFERROR(HLOOKUP(BB14,'סקרי נכסים-יתרות פתיחה'!$2:$110,37,0),0)-IFERROR(HLOOKUP(BB14,'סקרי נכסים-יתרות פתיחה'!$2:$110,95,0),0)*(1-BB$309)</f>
        <v>0</v>
      </c>
      <c r="BC214" s="50">
        <f>+IFERROR(HLOOKUP(BC14,'סקרי נכסים-יתרות פתיחה'!$2:$110,37,0),0)-IFERROR(HLOOKUP(BC14,'סקרי נכסים-יתרות פתיחה'!$2:$110,95,0),0)*(1-BC$309)</f>
        <v>0</v>
      </c>
      <c r="BD214" s="50">
        <f>+IFERROR(HLOOKUP(BD14,'סקרי נכסים-יתרות פתיחה'!$2:$110,37,0),0)-IFERROR(HLOOKUP(BD14,'סקרי נכסים-יתרות פתיחה'!$2:$110,95,0),0)*(1-BD$309)</f>
        <v>0</v>
      </c>
      <c r="BE214" s="50">
        <f>+IFERROR(HLOOKUP(BE14,'סקרי נכסים-יתרות פתיחה'!$2:$110,37,0),0)-IFERROR(HLOOKUP(BE14,'סקרי נכסים-יתרות פתיחה'!$2:$110,95,0),0)*(1-BE$309)</f>
        <v>0</v>
      </c>
      <c r="BF214" s="50">
        <f>+IFERROR(HLOOKUP(BF14,'סקרי נכסים-יתרות פתיחה'!$2:$110,37,0),0)-IFERROR(HLOOKUP(BF14,'סקרי נכסים-יתרות פתיחה'!$2:$110,95,0),0)*(1-BF$309)</f>
        <v>0</v>
      </c>
    </row>
    <row r="215" spans="2:58" x14ac:dyDescent="0.2">
      <c r="B215" s="1">
        <v>12</v>
      </c>
      <c r="C215" s="50">
        <f>+IFERROR(HLOOKUP(C15,'סקרי נכסים-יתרות פתיחה'!$2:$110,37,0),0)-IFERROR(HLOOKUP(C15,'סקרי נכסים-יתרות פתיחה'!$2:$110,95,0),0)*(1-C$309)</f>
        <v>0</v>
      </c>
      <c r="D215" s="50">
        <f>+IFERROR(HLOOKUP(D15,'סקרי נכסים-יתרות פתיחה'!$2:$110,37,0),0)-IFERROR(HLOOKUP(D15,'סקרי נכסים-יתרות פתיחה'!$2:$110,95,0),0)*(1-D$309)</f>
        <v>0</v>
      </c>
      <c r="E215" s="50">
        <f>+IFERROR(HLOOKUP(E15,'סקרי נכסים-יתרות פתיחה'!$2:$110,37,0),0)-IFERROR(HLOOKUP(E15,'סקרי נכסים-יתרות פתיחה'!$2:$110,95,0),0)*(1-E$309)</f>
        <v>0</v>
      </c>
      <c r="F215" s="50">
        <f>+IFERROR(HLOOKUP(F15,'סקרי נכסים-יתרות פתיחה'!$2:$110,37,0),0)-IFERROR(HLOOKUP(F15,'סקרי נכסים-יתרות פתיחה'!$2:$110,95,0),0)*(1-F$309)</f>
        <v>0</v>
      </c>
      <c r="G215" s="50">
        <f>+IFERROR(HLOOKUP(G15,'סקרי נכסים-יתרות פתיחה'!$2:$110,37,0),0)-IFERROR(HLOOKUP(G15,'סקרי נכסים-יתרות פתיחה'!$2:$110,95,0),0)*(1-G$309)</f>
        <v>0</v>
      </c>
      <c r="H215" s="50">
        <f>+IFERROR(HLOOKUP(H15,'סקרי נכסים-יתרות פתיחה'!$2:$110,37,0),0)-IFERROR(HLOOKUP(H15,'סקרי נכסים-יתרות פתיחה'!$2:$110,95,0),0)*(1-H$309)</f>
        <v>0</v>
      </c>
      <c r="I215" s="50">
        <f>+IFERROR(HLOOKUP(I15,'סקרי נכסים-יתרות פתיחה'!$2:$110,37,0),0)-IFERROR(HLOOKUP(I15,'סקרי נכסים-יתרות פתיחה'!$2:$110,95,0),0)*(1-I$309)</f>
        <v>0</v>
      </c>
      <c r="J215" s="50">
        <f>+IFERROR(HLOOKUP(J15,'סקרי נכסים-יתרות פתיחה'!$2:$110,37,0),0)-IFERROR(HLOOKUP(J15,'סקרי נכסים-יתרות פתיחה'!$2:$110,95,0),0)*(1-J$309)</f>
        <v>0</v>
      </c>
      <c r="K215" s="50">
        <f>+IFERROR(HLOOKUP(K15,'סקרי נכסים-יתרות פתיחה'!$2:$110,37,0),0)-IFERROR(HLOOKUP(K15,'סקרי נכסים-יתרות פתיחה'!$2:$110,95,0),0)*(1-K$309)</f>
        <v>0</v>
      </c>
      <c r="L215" s="50">
        <f>+IFERROR(HLOOKUP(L15,'סקרי נכסים-יתרות פתיחה'!$2:$110,37,0),0)-IFERROR(HLOOKUP(L15,'סקרי נכסים-יתרות פתיחה'!$2:$110,95,0),0)*(1-L$309)</f>
        <v>0</v>
      </c>
      <c r="M215" s="50">
        <f>+IFERROR(HLOOKUP(M15,'סקרי נכסים-יתרות פתיחה'!$2:$110,37,0),0)-IFERROR(HLOOKUP(M15,'סקרי נכסים-יתרות פתיחה'!$2:$110,95,0),0)*(1-M$309)</f>
        <v>0</v>
      </c>
      <c r="N215" s="50">
        <f>+IFERROR(HLOOKUP(N15,'סקרי נכסים-יתרות פתיחה'!$2:$110,37,0),0)-IFERROR(HLOOKUP(N15,'סקרי נכסים-יתרות פתיחה'!$2:$110,95,0),0)*(1-N$309)</f>
        <v>0</v>
      </c>
      <c r="O215" s="50">
        <f>+IFERROR(HLOOKUP(O15,'סקרי נכסים-יתרות פתיחה'!$2:$110,37,0),0)-IFERROR(HLOOKUP(O15,'סקרי נכסים-יתרות פתיחה'!$2:$110,95,0),0)*(1-O$309)</f>
        <v>0</v>
      </c>
      <c r="P215" s="50">
        <f>+IFERROR(HLOOKUP(P15,'סקרי נכסים-יתרות פתיחה'!$2:$110,37,0),0)-IFERROR(HLOOKUP(P15,'סקרי נכסים-יתרות פתיחה'!$2:$110,95,0),0)*(1-P$309)</f>
        <v>116078</v>
      </c>
      <c r="Q215" s="50">
        <f>+IFERROR(HLOOKUP(Q15,'סקרי נכסים-יתרות פתיחה'!$2:$110,37,0),0)-IFERROR(HLOOKUP(Q15,'סקרי נכסים-יתרות פתיחה'!$2:$110,95,0),0)*(1-Q$309)</f>
        <v>0</v>
      </c>
      <c r="R215" s="50">
        <f>+IFERROR(HLOOKUP(R15,'סקרי נכסים-יתרות פתיחה'!$2:$110,37,0),0)-IFERROR(HLOOKUP(R15,'סקרי נכסים-יתרות פתיחה'!$2:$110,95,0),0)*(1-R$309)</f>
        <v>0</v>
      </c>
      <c r="S215" s="50">
        <f>+IFERROR(HLOOKUP(S15,'סקרי נכסים-יתרות פתיחה'!$2:$110,37,0),0)-IFERROR(HLOOKUP(S15,'סקרי נכסים-יתרות פתיחה'!$2:$110,95,0),0)*(1-S$309)</f>
        <v>0</v>
      </c>
      <c r="T215" s="50">
        <f>+IFERROR(HLOOKUP(T15,'סקרי נכסים-יתרות פתיחה'!$2:$110,37,0),0)-IFERROR(HLOOKUP(T15,'סקרי נכסים-יתרות פתיחה'!$2:$110,95,0),0)*(1-T$309)</f>
        <v>0</v>
      </c>
      <c r="U215" s="50">
        <f>+IFERROR(HLOOKUP(U15,'סקרי נכסים-יתרות פתיחה'!$2:$110,37,0),0)-IFERROR(HLOOKUP(U15,'סקרי נכסים-יתרות פתיחה'!$2:$110,95,0),0)*(1-U$309)</f>
        <v>0</v>
      </c>
      <c r="V215" s="50">
        <f>+IFERROR(HLOOKUP(V15,'סקרי נכסים-יתרות פתיחה'!$2:$110,37,0),0)-IFERROR(HLOOKUP(V15,'סקרי נכסים-יתרות פתיחה'!$2:$110,95,0),0)*(1-V$309)</f>
        <v>0</v>
      </c>
      <c r="W215" s="50">
        <f>+IFERROR(HLOOKUP(W15,'סקרי נכסים-יתרות פתיחה'!$2:$110,37,0),0)-IFERROR(HLOOKUP(W15,'סקרי נכסים-יתרות פתיחה'!$2:$110,95,0),0)*(1-W$309)</f>
        <v>0</v>
      </c>
      <c r="X215" s="50">
        <f>+IFERROR(HLOOKUP(X15,'סקרי נכסים-יתרות פתיחה'!$2:$110,37,0),0)-IFERROR(HLOOKUP(X15,'סקרי נכסים-יתרות פתיחה'!$2:$110,95,0),0)*(1-X$309)</f>
        <v>0</v>
      </c>
      <c r="Y215" s="50">
        <f>+IFERROR(HLOOKUP(Y15,'סקרי נכסים-יתרות פתיחה'!$2:$110,37,0),0)-IFERROR(HLOOKUP(Y15,'סקרי נכסים-יתרות פתיחה'!$2:$110,95,0),0)*(1-Y$309)</f>
        <v>0</v>
      </c>
      <c r="Z215" s="50">
        <f>+IFERROR(HLOOKUP(Z15,'סקרי נכסים-יתרות פתיחה'!$2:$110,37,0),0)-IFERROR(HLOOKUP(Z15,'סקרי נכסים-יתרות פתיחה'!$2:$110,95,0),0)*(1-Z$309)</f>
        <v>0</v>
      </c>
      <c r="AA215" s="50">
        <f>+IFERROR(HLOOKUP(AA15,'סקרי נכסים-יתרות פתיחה'!$2:$110,37,0),0)-IFERROR(HLOOKUP(AA15,'סקרי נכסים-יתרות פתיחה'!$2:$110,95,0),0)*(1-AA$309)</f>
        <v>0</v>
      </c>
      <c r="AB215" s="50">
        <f>+IFERROR(HLOOKUP(AB15,'סקרי נכסים-יתרות פתיחה'!$2:$110,37,0),0)-IFERROR(HLOOKUP(AB15,'סקרי נכסים-יתרות פתיחה'!$2:$110,95,0),0)*(1-AB$309)</f>
        <v>0</v>
      </c>
      <c r="AC215" s="50">
        <f>+IFERROR(HLOOKUP(AC15,'סקרי נכסים-יתרות פתיחה'!$2:$110,37,0),0)-IFERROR(HLOOKUP(AC15,'סקרי נכסים-יתרות פתיחה'!$2:$110,95,0),0)*(1-AC$309)</f>
        <v>0</v>
      </c>
      <c r="AD215" s="50">
        <f>+IFERROR(HLOOKUP(AD15,'סקרי נכסים-יתרות פתיחה'!$2:$110,37,0),0)-IFERROR(HLOOKUP(AD15,'סקרי נכסים-יתרות פתיחה'!$2:$110,95,0),0)*(1-AD$309)</f>
        <v>0</v>
      </c>
      <c r="AE215" s="50">
        <f>+IFERROR(HLOOKUP(AE15,'סקרי נכסים-יתרות פתיחה'!$2:$110,37,0),0)-IFERROR(HLOOKUP(AE15,'סקרי נכסים-יתרות פתיחה'!$2:$110,95,0),0)*(1-AE$309)</f>
        <v>0</v>
      </c>
      <c r="AF215" s="50">
        <f>+IFERROR(HLOOKUP(AF15,'סקרי נכסים-יתרות פתיחה'!$2:$110,37,0),0)-IFERROR(HLOOKUP(AF15,'סקרי נכסים-יתרות פתיחה'!$2:$110,95,0),0)*(1-AF$309)</f>
        <v>0</v>
      </c>
      <c r="AG215" s="50">
        <f>+IFERROR(HLOOKUP(AG15,'סקרי נכסים-יתרות פתיחה'!$2:$110,37,0),0)-IFERROR(HLOOKUP(AG15,'סקרי נכסים-יתרות פתיחה'!$2:$110,95,0),0)*(1-AG$309)</f>
        <v>0</v>
      </c>
      <c r="AH215" s="50">
        <f>+IFERROR(HLOOKUP(AH15,'סקרי נכסים-יתרות פתיחה'!$2:$110,37,0),0)-IFERROR(HLOOKUP(AH15,'סקרי נכסים-יתרות פתיחה'!$2:$110,95,0),0)*(1-AH$309)</f>
        <v>0</v>
      </c>
      <c r="AI215" s="50">
        <f>+IFERROR(HLOOKUP(AI15,'סקרי נכסים-יתרות פתיחה'!$2:$110,37,0),0)-IFERROR(HLOOKUP(AI15,'סקרי נכסים-יתרות פתיחה'!$2:$110,95,0),0)*(1-AI$309)</f>
        <v>0</v>
      </c>
      <c r="AJ215" s="50">
        <f>+IFERROR(HLOOKUP(AJ15,'סקרי נכסים-יתרות פתיחה'!$2:$110,37,0),0)-IFERROR(HLOOKUP(AJ15,'סקרי נכסים-יתרות פתיחה'!$2:$110,95,0),0)*(1-AJ$309)</f>
        <v>0</v>
      </c>
      <c r="AK215" s="50">
        <f>+IFERROR(HLOOKUP(AK15,'סקרי נכסים-יתרות פתיחה'!$2:$110,37,0),0)-IFERROR(HLOOKUP(AK15,'סקרי נכסים-יתרות פתיחה'!$2:$110,95,0),0)*(1-AK$309)</f>
        <v>0</v>
      </c>
      <c r="AL215" s="50">
        <f>+IFERROR(HLOOKUP(AL15,'סקרי נכסים-יתרות פתיחה'!$2:$110,37,0),0)-IFERROR(HLOOKUP(AL15,'סקרי נכסים-יתרות פתיחה'!$2:$110,95,0),0)*(1-AL$309)</f>
        <v>0</v>
      </c>
      <c r="AM215" s="50">
        <f>+IFERROR(HLOOKUP(AM15,'סקרי נכסים-יתרות פתיחה'!$2:$110,37,0),0)-IFERROR(HLOOKUP(AM15,'סקרי נכסים-יתרות פתיחה'!$2:$110,95,0),0)*(1-AM$309)</f>
        <v>0</v>
      </c>
      <c r="AN215" s="50">
        <f>+IFERROR(HLOOKUP(AN15,'סקרי נכסים-יתרות פתיחה'!$2:$110,37,0),0)-IFERROR(HLOOKUP(AN15,'סקרי נכסים-יתרות פתיחה'!$2:$110,95,0),0)*(1-AN$309)</f>
        <v>0</v>
      </c>
      <c r="AO215" s="50">
        <f>+IFERROR(HLOOKUP(AO15,'סקרי נכסים-יתרות פתיחה'!$2:$110,37,0),0)-IFERROR(HLOOKUP(AO15,'סקרי נכסים-יתרות פתיחה'!$2:$110,95,0),0)*(1-AO$309)</f>
        <v>0</v>
      </c>
      <c r="AP215" s="50">
        <f>+IFERROR(HLOOKUP(AP15,'סקרי נכסים-יתרות פתיחה'!$2:$110,37,0),0)-IFERROR(HLOOKUP(AP15,'סקרי נכסים-יתרות פתיחה'!$2:$110,95,0),0)*(1-AP$309)</f>
        <v>0</v>
      </c>
      <c r="AQ215" s="50">
        <f>+IFERROR(HLOOKUP(AQ15,'סקרי נכסים-יתרות פתיחה'!$2:$110,37,0),0)-IFERROR(HLOOKUP(AQ15,'סקרי נכסים-יתרות פתיחה'!$2:$110,95,0),0)*(1-AQ$309)</f>
        <v>0</v>
      </c>
      <c r="AR215" s="50">
        <f>+IFERROR(HLOOKUP(AR15,'סקרי נכסים-יתרות פתיחה'!$2:$110,37,0),0)-IFERROR(HLOOKUP(AR15,'סקרי נכסים-יתרות פתיחה'!$2:$110,95,0),0)*(1-AR$309)</f>
        <v>0</v>
      </c>
      <c r="AS215" s="50">
        <f>+IFERROR(HLOOKUP(AS15,'סקרי נכסים-יתרות פתיחה'!$2:$110,37,0),0)-IFERROR(HLOOKUP(AS15,'סקרי נכסים-יתרות פתיחה'!$2:$110,95,0),0)*(1-AS$309)</f>
        <v>0</v>
      </c>
      <c r="AT215" s="50">
        <f>+IFERROR(HLOOKUP(AT15,'סקרי נכסים-יתרות פתיחה'!$2:$110,37,0),0)-IFERROR(HLOOKUP(AT15,'סקרי נכסים-יתרות פתיחה'!$2:$110,95,0),0)*(1-AT$309)</f>
        <v>0</v>
      </c>
      <c r="AU215" s="50">
        <f>+IFERROR(HLOOKUP(AU15,'סקרי נכסים-יתרות פתיחה'!$2:$110,37,0),0)-IFERROR(HLOOKUP(AU15,'סקרי נכסים-יתרות פתיחה'!$2:$110,95,0),0)*(1-AU$309)</f>
        <v>0</v>
      </c>
      <c r="AV215" s="50">
        <f>+IFERROR(HLOOKUP(AV15,'סקרי נכסים-יתרות פתיחה'!$2:$110,37,0),0)-IFERROR(HLOOKUP(AV15,'סקרי נכסים-יתרות פתיחה'!$2:$110,95,0),0)*(1-AV$309)</f>
        <v>0</v>
      </c>
      <c r="AW215" s="50">
        <f>+IFERROR(HLOOKUP(AW15,'סקרי נכסים-יתרות פתיחה'!$2:$110,37,0),0)-IFERROR(HLOOKUP(AW15,'סקרי נכסים-יתרות פתיחה'!$2:$110,95,0),0)*(1-AW$309)</f>
        <v>0</v>
      </c>
      <c r="AX215" s="50">
        <f>+IFERROR(HLOOKUP(AX15,'סקרי נכסים-יתרות פתיחה'!$2:$110,37,0),0)-IFERROR(HLOOKUP(AX15,'סקרי נכסים-יתרות פתיחה'!$2:$110,95,0),0)*(1-AX$309)</f>
        <v>0</v>
      </c>
      <c r="AY215" s="50">
        <f>+IFERROR(HLOOKUP(AY15,'סקרי נכסים-יתרות פתיחה'!$2:$110,37,0),0)-IFERROR(HLOOKUP(AY15,'סקרי נכסים-יתרות פתיחה'!$2:$110,95,0),0)*(1-AY$309)</f>
        <v>0</v>
      </c>
      <c r="AZ215" s="50">
        <f>+IFERROR(HLOOKUP(AZ15,'סקרי נכסים-יתרות פתיחה'!$2:$110,37,0),0)-IFERROR(HLOOKUP(AZ15,'סקרי נכסים-יתרות פתיחה'!$2:$110,95,0),0)*(1-AZ$309)</f>
        <v>0</v>
      </c>
      <c r="BA215" s="50">
        <f>+IFERROR(HLOOKUP(BA15,'סקרי נכסים-יתרות פתיחה'!$2:$110,37,0),0)-IFERROR(HLOOKUP(BA15,'סקרי נכסים-יתרות פתיחה'!$2:$110,95,0),0)*(1-BA$309)</f>
        <v>0</v>
      </c>
      <c r="BB215" s="50">
        <f>+IFERROR(HLOOKUP(BB15,'סקרי נכסים-יתרות פתיחה'!$2:$110,37,0),0)-IFERROR(HLOOKUP(BB15,'סקרי נכסים-יתרות פתיחה'!$2:$110,95,0),0)*(1-BB$309)</f>
        <v>0</v>
      </c>
      <c r="BC215" s="50">
        <f>+IFERROR(HLOOKUP(BC15,'סקרי נכסים-יתרות פתיחה'!$2:$110,37,0),0)-IFERROR(HLOOKUP(BC15,'סקרי נכסים-יתרות פתיחה'!$2:$110,95,0),0)*(1-BC$309)</f>
        <v>0</v>
      </c>
      <c r="BD215" s="50">
        <f>+IFERROR(HLOOKUP(BD15,'סקרי נכסים-יתרות פתיחה'!$2:$110,37,0),0)-IFERROR(HLOOKUP(BD15,'סקרי נכסים-יתרות פתיחה'!$2:$110,95,0),0)*(1-BD$309)</f>
        <v>0</v>
      </c>
      <c r="BE215" s="50">
        <f>+IFERROR(HLOOKUP(BE15,'סקרי נכסים-יתרות פתיחה'!$2:$110,37,0),0)-IFERROR(HLOOKUP(BE15,'סקרי נכסים-יתרות פתיחה'!$2:$110,95,0),0)*(1-BE$309)</f>
        <v>0</v>
      </c>
      <c r="BF215" s="50">
        <f>+IFERROR(HLOOKUP(BF15,'סקרי נכסים-יתרות פתיחה'!$2:$110,37,0),0)-IFERROR(HLOOKUP(BF15,'סקרי נכסים-יתרות פתיחה'!$2:$110,95,0),0)*(1-BF$309)</f>
        <v>0</v>
      </c>
    </row>
    <row r="216" spans="2:58" x14ac:dyDescent="0.2">
      <c r="B216" s="1">
        <v>13</v>
      </c>
      <c r="C216" s="50">
        <f>+IFERROR(HLOOKUP(C16,'סקרי נכסים-יתרות פתיחה'!$2:$110,37,0),0)-IFERROR(HLOOKUP(C16,'סקרי נכסים-יתרות פתיחה'!$2:$110,95,0),0)*(1-C$309)</f>
        <v>0</v>
      </c>
      <c r="D216" s="50">
        <f>+IFERROR(HLOOKUP(D16,'סקרי נכסים-יתרות פתיחה'!$2:$110,37,0),0)-IFERROR(HLOOKUP(D16,'סקרי נכסים-יתרות פתיחה'!$2:$110,95,0),0)*(1-D$309)</f>
        <v>0</v>
      </c>
      <c r="E216" s="50">
        <f>+IFERROR(HLOOKUP(E16,'סקרי נכסים-יתרות פתיחה'!$2:$110,37,0),0)-IFERROR(HLOOKUP(E16,'סקרי נכסים-יתרות פתיחה'!$2:$110,95,0),0)*(1-E$309)</f>
        <v>0</v>
      </c>
      <c r="F216" s="50">
        <f>+IFERROR(HLOOKUP(F16,'סקרי נכסים-יתרות פתיחה'!$2:$110,37,0),0)-IFERROR(HLOOKUP(F16,'סקרי נכסים-יתרות פתיחה'!$2:$110,95,0),0)*(1-F$309)</f>
        <v>0</v>
      </c>
      <c r="G216" s="50">
        <f>+IFERROR(HLOOKUP(G16,'סקרי נכסים-יתרות פתיחה'!$2:$110,37,0),0)-IFERROR(HLOOKUP(G16,'סקרי נכסים-יתרות פתיחה'!$2:$110,95,0),0)*(1-G$309)</f>
        <v>0</v>
      </c>
      <c r="H216" s="50">
        <f>+IFERROR(HLOOKUP(H16,'סקרי נכסים-יתרות פתיחה'!$2:$110,37,0),0)-IFERROR(HLOOKUP(H16,'סקרי נכסים-יתרות פתיחה'!$2:$110,95,0),0)*(1-H$309)</f>
        <v>0</v>
      </c>
      <c r="I216" s="50">
        <f>+IFERROR(HLOOKUP(I16,'סקרי נכסים-יתרות פתיחה'!$2:$110,37,0),0)-IFERROR(HLOOKUP(I16,'סקרי נכסים-יתרות פתיחה'!$2:$110,95,0),0)*(1-I$309)</f>
        <v>0</v>
      </c>
      <c r="J216" s="50">
        <f>+IFERROR(HLOOKUP(J16,'סקרי נכסים-יתרות פתיחה'!$2:$110,37,0),0)-IFERROR(HLOOKUP(J16,'סקרי נכסים-יתרות פתיחה'!$2:$110,95,0),0)*(1-J$309)</f>
        <v>0</v>
      </c>
      <c r="K216" s="50">
        <f>+IFERROR(HLOOKUP(K16,'סקרי נכסים-יתרות פתיחה'!$2:$110,37,0),0)-IFERROR(HLOOKUP(K16,'סקרי נכסים-יתרות פתיחה'!$2:$110,95,0),0)*(1-K$309)</f>
        <v>0</v>
      </c>
      <c r="L216" s="50">
        <f>+IFERROR(HLOOKUP(L16,'סקרי נכסים-יתרות פתיחה'!$2:$110,37,0),0)-IFERROR(HLOOKUP(L16,'סקרי נכסים-יתרות פתיחה'!$2:$110,95,0),0)*(1-L$309)</f>
        <v>0</v>
      </c>
      <c r="M216" s="50">
        <f>+IFERROR(HLOOKUP(M16,'סקרי נכסים-יתרות פתיחה'!$2:$110,37,0),0)-IFERROR(HLOOKUP(M16,'סקרי נכסים-יתרות פתיחה'!$2:$110,95,0),0)*(1-M$309)</f>
        <v>0</v>
      </c>
      <c r="N216" s="50">
        <f>+IFERROR(HLOOKUP(N16,'סקרי נכסים-יתרות פתיחה'!$2:$110,37,0),0)-IFERROR(HLOOKUP(N16,'סקרי נכסים-יתרות פתיחה'!$2:$110,95,0),0)*(1-N$309)</f>
        <v>0</v>
      </c>
      <c r="O216" s="50">
        <f>+IFERROR(HLOOKUP(O16,'סקרי נכסים-יתרות פתיחה'!$2:$110,37,0),0)-IFERROR(HLOOKUP(O16,'סקרי נכסים-יתרות פתיחה'!$2:$110,95,0),0)*(1-O$309)</f>
        <v>0</v>
      </c>
      <c r="P216" s="50">
        <f>+IFERROR(HLOOKUP(P16,'סקרי נכסים-יתרות פתיחה'!$2:$110,37,0),0)-IFERROR(HLOOKUP(P16,'סקרי נכסים-יתרות פתיחה'!$2:$110,95,0),0)*(1-P$309)</f>
        <v>0</v>
      </c>
      <c r="Q216" s="50">
        <f>+IFERROR(HLOOKUP(Q16,'סקרי נכסים-יתרות פתיחה'!$2:$110,37,0),0)-IFERROR(HLOOKUP(Q16,'סקרי נכסים-יתרות פתיחה'!$2:$110,95,0),0)*(1-Q$309)</f>
        <v>0</v>
      </c>
      <c r="R216" s="50">
        <f>+IFERROR(HLOOKUP(R16,'סקרי נכסים-יתרות פתיחה'!$2:$110,37,0),0)-IFERROR(HLOOKUP(R16,'סקרי נכסים-יתרות פתיחה'!$2:$110,95,0),0)*(1-R$309)</f>
        <v>0</v>
      </c>
      <c r="S216" s="50">
        <f>+IFERROR(HLOOKUP(S16,'סקרי נכסים-יתרות פתיחה'!$2:$110,37,0),0)-IFERROR(HLOOKUP(S16,'סקרי נכסים-יתרות פתיחה'!$2:$110,95,0),0)*(1-S$309)</f>
        <v>0</v>
      </c>
      <c r="T216" s="50">
        <f>+IFERROR(HLOOKUP(T16,'סקרי נכסים-יתרות פתיחה'!$2:$110,37,0),0)-IFERROR(HLOOKUP(T16,'סקרי נכסים-יתרות פתיחה'!$2:$110,95,0),0)*(1-T$309)</f>
        <v>0</v>
      </c>
      <c r="U216" s="50">
        <f>+IFERROR(HLOOKUP(U16,'סקרי נכסים-יתרות פתיחה'!$2:$110,37,0),0)-IFERROR(HLOOKUP(U16,'סקרי נכסים-יתרות פתיחה'!$2:$110,95,0),0)*(1-U$309)</f>
        <v>0</v>
      </c>
      <c r="V216" s="50">
        <f>+IFERROR(HLOOKUP(V16,'סקרי נכסים-יתרות פתיחה'!$2:$110,37,0),0)-IFERROR(HLOOKUP(V16,'סקרי נכסים-יתרות פתיחה'!$2:$110,95,0),0)*(1-V$309)</f>
        <v>0</v>
      </c>
      <c r="W216" s="50">
        <f>+IFERROR(HLOOKUP(W16,'סקרי נכסים-יתרות פתיחה'!$2:$110,37,0),0)-IFERROR(HLOOKUP(W16,'סקרי נכסים-יתרות פתיחה'!$2:$110,95,0),0)*(1-W$309)</f>
        <v>0</v>
      </c>
      <c r="X216" s="50">
        <f>+IFERROR(HLOOKUP(X16,'סקרי נכסים-יתרות פתיחה'!$2:$110,37,0),0)-IFERROR(HLOOKUP(X16,'סקרי נכסים-יתרות פתיחה'!$2:$110,95,0),0)*(1-X$309)</f>
        <v>0</v>
      </c>
      <c r="Y216" s="50">
        <f>+IFERROR(HLOOKUP(Y16,'סקרי נכסים-יתרות פתיחה'!$2:$110,37,0),0)-IFERROR(HLOOKUP(Y16,'סקרי נכסים-יתרות פתיחה'!$2:$110,95,0),0)*(1-Y$309)</f>
        <v>0</v>
      </c>
      <c r="Z216" s="50">
        <f>+IFERROR(HLOOKUP(Z16,'סקרי נכסים-יתרות פתיחה'!$2:$110,37,0),0)-IFERROR(HLOOKUP(Z16,'סקרי נכסים-יתרות פתיחה'!$2:$110,95,0),0)*(1-Z$309)</f>
        <v>0</v>
      </c>
      <c r="AA216" s="50">
        <f>+IFERROR(HLOOKUP(AA16,'סקרי נכסים-יתרות פתיחה'!$2:$110,37,0),0)-IFERROR(HLOOKUP(AA16,'סקרי נכסים-יתרות פתיחה'!$2:$110,95,0),0)*(1-AA$309)</f>
        <v>0</v>
      </c>
      <c r="AB216" s="50">
        <f>+IFERROR(HLOOKUP(AB16,'סקרי נכסים-יתרות פתיחה'!$2:$110,37,0),0)-IFERROR(HLOOKUP(AB16,'סקרי נכסים-יתרות פתיחה'!$2:$110,95,0),0)*(1-AB$309)</f>
        <v>0</v>
      </c>
      <c r="AC216" s="50">
        <f>+IFERROR(HLOOKUP(AC16,'סקרי נכסים-יתרות פתיחה'!$2:$110,37,0),0)-IFERROR(HLOOKUP(AC16,'סקרי נכסים-יתרות פתיחה'!$2:$110,95,0),0)*(1-AC$309)</f>
        <v>0</v>
      </c>
      <c r="AD216" s="50">
        <f>+IFERROR(HLOOKUP(AD16,'סקרי נכסים-יתרות פתיחה'!$2:$110,37,0),0)-IFERROR(HLOOKUP(AD16,'סקרי נכסים-יתרות פתיחה'!$2:$110,95,0),0)*(1-AD$309)</f>
        <v>0</v>
      </c>
      <c r="AE216" s="50">
        <f>+IFERROR(HLOOKUP(AE16,'סקרי נכסים-יתרות פתיחה'!$2:$110,37,0),0)-IFERROR(HLOOKUP(AE16,'סקרי נכסים-יתרות פתיחה'!$2:$110,95,0),0)*(1-AE$309)</f>
        <v>0</v>
      </c>
      <c r="AF216" s="50">
        <f>+IFERROR(HLOOKUP(AF16,'סקרי נכסים-יתרות פתיחה'!$2:$110,37,0),0)-IFERROR(HLOOKUP(AF16,'סקרי נכסים-יתרות פתיחה'!$2:$110,95,0),0)*(1-AF$309)</f>
        <v>0</v>
      </c>
      <c r="AG216" s="50">
        <f>+IFERROR(HLOOKUP(AG16,'סקרי נכסים-יתרות פתיחה'!$2:$110,37,0),0)-IFERROR(HLOOKUP(AG16,'סקרי נכסים-יתרות פתיחה'!$2:$110,95,0),0)*(1-AG$309)</f>
        <v>0</v>
      </c>
      <c r="AH216" s="50">
        <f>+IFERROR(HLOOKUP(AH16,'סקרי נכסים-יתרות פתיחה'!$2:$110,37,0),0)-IFERROR(HLOOKUP(AH16,'סקרי נכסים-יתרות פתיחה'!$2:$110,95,0),0)*(1-AH$309)</f>
        <v>0</v>
      </c>
      <c r="AI216" s="50">
        <f>+IFERROR(HLOOKUP(AI16,'סקרי נכסים-יתרות פתיחה'!$2:$110,37,0),0)-IFERROR(HLOOKUP(AI16,'סקרי נכסים-יתרות פתיחה'!$2:$110,95,0),0)*(1-AI$309)</f>
        <v>0</v>
      </c>
      <c r="AJ216" s="50">
        <f>+IFERROR(HLOOKUP(AJ16,'סקרי נכסים-יתרות פתיחה'!$2:$110,37,0),0)-IFERROR(HLOOKUP(AJ16,'סקרי נכסים-יתרות פתיחה'!$2:$110,95,0),0)*(1-AJ$309)</f>
        <v>0</v>
      </c>
      <c r="AK216" s="50">
        <f>+IFERROR(HLOOKUP(AK16,'סקרי נכסים-יתרות פתיחה'!$2:$110,37,0),0)-IFERROR(HLOOKUP(AK16,'סקרי נכסים-יתרות פתיחה'!$2:$110,95,0),0)*(1-AK$309)</f>
        <v>0</v>
      </c>
      <c r="AL216" s="50">
        <f>+IFERROR(HLOOKUP(AL16,'סקרי נכסים-יתרות פתיחה'!$2:$110,37,0),0)-IFERROR(HLOOKUP(AL16,'סקרי נכסים-יתרות פתיחה'!$2:$110,95,0),0)*(1-AL$309)</f>
        <v>0</v>
      </c>
      <c r="AM216" s="50">
        <f>+IFERROR(HLOOKUP(AM16,'סקרי נכסים-יתרות פתיחה'!$2:$110,37,0),0)-IFERROR(HLOOKUP(AM16,'סקרי נכסים-יתרות פתיחה'!$2:$110,95,0),0)*(1-AM$309)</f>
        <v>0</v>
      </c>
      <c r="AN216" s="50">
        <f>+IFERROR(HLOOKUP(AN16,'סקרי נכסים-יתרות פתיחה'!$2:$110,37,0),0)-IFERROR(HLOOKUP(AN16,'סקרי נכסים-יתרות פתיחה'!$2:$110,95,0),0)*(1-AN$309)</f>
        <v>0</v>
      </c>
      <c r="AO216" s="50">
        <f>+IFERROR(HLOOKUP(AO16,'סקרי נכסים-יתרות פתיחה'!$2:$110,37,0),0)-IFERROR(HLOOKUP(AO16,'סקרי נכסים-יתרות פתיחה'!$2:$110,95,0),0)*(1-AO$309)</f>
        <v>0</v>
      </c>
      <c r="AP216" s="50">
        <f>+IFERROR(HLOOKUP(AP16,'סקרי נכסים-יתרות פתיחה'!$2:$110,37,0),0)-IFERROR(HLOOKUP(AP16,'סקרי נכסים-יתרות פתיחה'!$2:$110,95,0),0)*(1-AP$309)</f>
        <v>0</v>
      </c>
      <c r="AQ216" s="50">
        <f>+IFERROR(HLOOKUP(AQ16,'סקרי נכסים-יתרות פתיחה'!$2:$110,37,0),0)-IFERROR(HLOOKUP(AQ16,'סקרי נכסים-יתרות פתיחה'!$2:$110,95,0),0)*(1-AQ$309)</f>
        <v>0</v>
      </c>
      <c r="AR216" s="50">
        <f>+IFERROR(HLOOKUP(AR16,'סקרי נכסים-יתרות פתיחה'!$2:$110,37,0),0)-IFERROR(HLOOKUP(AR16,'סקרי נכסים-יתרות פתיחה'!$2:$110,95,0),0)*(1-AR$309)</f>
        <v>0</v>
      </c>
      <c r="AS216" s="50">
        <f>+IFERROR(HLOOKUP(AS16,'סקרי נכסים-יתרות פתיחה'!$2:$110,37,0),0)-IFERROR(HLOOKUP(AS16,'סקרי נכסים-יתרות פתיחה'!$2:$110,95,0),0)*(1-AS$309)</f>
        <v>0</v>
      </c>
      <c r="AT216" s="50">
        <f>+IFERROR(HLOOKUP(AT16,'סקרי נכסים-יתרות פתיחה'!$2:$110,37,0),0)-IFERROR(HLOOKUP(AT16,'סקרי נכסים-יתרות פתיחה'!$2:$110,95,0),0)*(1-AT$309)</f>
        <v>0</v>
      </c>
      <c r="AU216" s="50">
        <f>+IFERROR(HLOOKUP(AU16,'סקרי נכסים-יתרות פתיחה'!$2:$110,37,0),0)-IFERROR(HLOOKUP(AU16,'סקרי נכסים-יתרות פתיחה'!$2:$110,95,0),0)*(1-AU$309)</f>
        <v>0</v>
      </c>
      <c r="AV216" s="50">
        <f>+IFERROR(HLOOKUP(AV16,'סקרי נכסים-יתרות פתיחה'!$2:$110,37,0),0)-IFERROR(HLOOKUP(AV16,'סקרי נכסים-יתרות פתיחה'!$2:$110,95,0),0)*(1-AV$309)</f>
        <v>0</v>
      </c>
      <c r="AW216" s="50">
        <f>+IFERROR(HLOOKUP(AW16,'סקרי נכסים-יתרות פתיחה'!$2:$110,37,0),0)-IFERROR(HLOOKUP(AW16,'סקרי נכסים-יתרות פתיחה'!$2:$110,95,0),0)*(1-AW$309)</f>
        <v>0</v>
      </c>
      <c r="AX216" s="50">
        <f>+IFERROR(HLOOKUP(AX16,'סקרי נכסים-יתרות פתיחה'!$2:$110,37,0),0)-IFERROR(HLOOKUP(AX16,'סקרי נכסים-יתרות פתיחה'!$2:$110,95,0),0)*(1-AX$309)</f>
        <v>0</v>
      </c>
      <c r="AY216" s="50">
        <f>+IFERROR(HLOOKUP(AY16,'סקרי נכסים-יתרות פתיחה'!$2:$110,37,0),0)-IFERROR(HLOOKUP(AY16,'סקרי נכסים-יתרות פתיחה'!$2:$110,95,0),0)*(1-AY$309)</f>
        <v>0</v>
      </c>
      <c r="AZ216" s="50">
        <f>+IFERROR(HLOOKUP(AZ16,'סקרי נכסים-יתרות פתיחה'!$2:$110,37,0),0)-IFERROR(HLOOKUP(AZ16,'סקרי נכסים-יתרות פתיחה'!$2:$110,95,0),0)*(1-AZ$309)</f>
        <v>0</v>
      </c>
      <c r="BA216" s="50">
        <f>+IFERROR(HLOOKUP(BA16,'סקרי נכסים-יתרות פתיחה'!$2:$110,37,0),0)-IFERROR(HLOOKUP(BA16,'סקרי נכסים-יתרות פתיחה'!$2:$110,95,0),0)*(1-BA$309)</f>
        <v>0</v>
      </c>
      <c r="BB216" s="50">
        <f>+IFERROR(HLOOKUP(BB16,'סקרי נכסים-יתרות פתיחה'!$2:$110,37,0),0)-IFERROR(HLOOKUP(BB16,'סקרי נכסים-יתרות פתיחה'!$2:$110,95,0),0)*(1-BB$309)</f>
        <v>0</v>
      </c>
      <c r="BC216" s="50">
        <f>+IFERROR(HLOOKUP(BC16,'סקרי נכסים-יתרות פתיחה'!$2:$110,37,0),0)-IFERROR(HLOOKUP(BC16,'סקרי נכסים-יתרות פתיחה'!$2:$110,95,0),0)*(1-BC$309)</f>
        <v>0</v>
      </c>
      <c r="BD216" s="50">
        <f>+IFERROR(HLOOKUP(BD16,'סקרי נכסים-יתרות פתיחה'!$2:$110,37,0),0)-IFERROR(HLOOKUP(BD16,'סקרי נכסים-יתרות פתיחה'!$2:$110,95,0),0)*(1-BD$309)</f>
        <v>0</v>
      </c>
      <c r="BE216" s="50">
        <f>+IFERROR(HLOOKUP(BE16,'סקרי נכסים-יתרות פתיחה'!$2:$110,37,0),0)-IFERROR(HLOOKUP(BE16,'סקרי נכסים-יתרות פתיחה'!$2:$110,95,0),0)*(1-BE$309)</f>
        <v>0</v>
      </c>
      <c r="BF216" s="50">
        <f>+IFERROR(HLOOKUP(BF16,'סקרי נכסים-יתרות פתיחה'!$2:$110,37,0),0)-IFERROR(HLOOKUP(BF16,'סקרי נכסים-יתרות פתיחה'!$2:$110,95,0),0)*(1-BF$309)</f>
        <v>0</v>
      </c>
    </row>
    <row r="217" spans="2:58" x14ac:dyDescent="0.2">
      <c r="B217" s="1">
        <v>14</v>
      </c>
      <c r="C217" s="50">
        <f>+IFERROR(HLOOKUP(C17,'סקרי נכסים-יתרות פתיחה'!$2:$110,37,0),0)-IFERROR(HLOOKUP(C17,'סקרי נכסים-יתרות פתיחה'!$2:$110,95,0),0)*(1-C$309)</f>
        <v>0</v>
      </c>
      <c r="D217" s="50">
        <f>+IFERROR(HLOOKUP(D17,'סקרי נכסים-יתרות פתיחה'!$2:$110,37,0),0)-IFERROR(HLOOKUP(D17,'סקרי נכסים-יתרות פתיחה'!$2:$110,95,0),0)*(1-D$309)</f>
        <v>0</v>
      </c>
      <c r="E217" s="50">
        <f>+IFERROR(HLOOKUP(E17,'סקרי נכסים-יתרות פתיחה'!$2:$110,37,0),0)-IFERROR(HLOOKUP(E17,'סקרי נכסים-יתרות פתיחה'!$2:$110,95,0),0)*(1-E$309)</f>
        <v>0</v>
      </c>
      <c r="F217" s="50">
        <f>+IFERROR(HLOOKUP(F17,'סקרי נכסים-יתרות פתיחה'!$2:$110,37,0),0)-IFERROR(HLOOKUP(F17,'סקרי נכסים-יתרות פתיחה'!$2:$110,95,0),0)*(1-F$309)</f>
        <v>0</v>
      </c>
      <c r="G217" s="50">
        <f>+IFERROR(HLOOKUP(G17,'סקרי נכסים-יתרות פתיחה'!$2:$110,37,0),0)-IFERROR(HLOOKUP(G17,'סקרי נכסים-יתרות פתיחה'!$2:$110,95,0),0)*(1-G$309)</f>
        <v>0</v>
      </c>
      <c r="H217" s="50">
        <f>+IFERROR(HLOOKUP(H17,'סקרי נכסים-יתרות פתיחה'!$2:$110,37,0),0)-IFERROR(HLOOKUP(H17,'סקרי נכסים-יתרות פתיחה'!$2:$110,95,0),0)*(1-H$309)</f>
        <v>0</v>
      </c>
      <c r="I217" s="50">
        <f>+IFERROR(HLOOKUP(I17,'סקרי נכסים-יתרות פתיחה'!$2:$110,37,0),0)-IFERROR(HLOOKUP(I17,'סקרי נכסים-יתרות פתיחה'!$2:$110,95,0),0)*(1-I$309)</f>
        <v>0</v>
      </c>
      <c r="J217" s="50">
        <f>+IFERROR(HLOOKUP(J17,'סקרי נכסים-יתרות פתיחה'!$2:$110,37,0),0)-IFERROR(HLOOKUP(J17,'סקרי נכסים-יתרות פתיחה'!$2:$110,95,0),0)*(1-J$309)</f>
        <v>0</v>
      </c>
      <c r="K217" s="50">
        <f>+IFERROR(HLOOKUP(K17,'סקרי נכסים-יתרות פתיחה'!$2:$110,37,0),0)-IFERROR(HLOOKUP(K17,'סקרי נכסים-יתרות פתיחה'!$2:$110,95,0),0)*(1-K$309)</f>
        <v>0</v>
      </c>
      <c r="L217" s="50">
        <f>+IFERROR(HLOOKUP(L17,'סקרי נכסים-יתרות פתיחה'!$2:$110,37,0),0)-IFERROR(HLOOKUP(L17,'סקרי נכסים-יתרות פתיחה'!$2:$110,95,0),0)*(1-L$309)</f>
        <v>0</v>
      </c>
      <c r="M217" s="50">
        <f>+IFERROR(HLOOKUP(M17,'סקרי נכסים-יתרות פתיחה'!$2:$110,37,0),0)-IFERROR(HLOOKUP(M17,'סקרי נכסים-יתרות פתיחה'!$2:$110,95,0),0)*(1-M$309)</f>
        <v>0</v>
      </c>
      <c r="N217" s="50">
        <f>+IFERROR(HLOOKUP(N17,'סקרי נכסים-יתרות פתיחה'!$2:$110,37,0),0)-IFERROR(HLOOKUP(N17,'סקרי נכסים-יתרות פתיחה'!$2:$110,95,0),0)*(1-N$309)</f>
        <v>0</v>
      </c>
      <c r="O217" s="50">
        <f>+IFERROR(HLOOKUP(O17,'סקרי נכסים-יתרות פתיחה'!$2:$110,37,0),0)-IFERROR(HLOOKUP(O17,'סקרי נכסים-יתרות פתיחה'!$2:$110,95,0),0)*(1-O$309)</f>
        <v>0</v>
      </c>
      <c r="P217" s="50">
        <f>+IFERROR(HLOOKUP(P17,'סקרי נכסים-יתרות פתיחה'!$2:$110,37,0),0)-IFERROR(HLOOKUP(P17,'סקרי נכסים-יתרות פתיחה'!$2:$110,95,0),0)*(1-P$309)</f>
        <v>0</v>
      </c>
      <c r="Q217" s="50">
        <f>+IFERROR(HLOOKUP(Q17,'סקרי נכסים-יתרות פתיחה'!$2:$110,37,0),0)-IFERROR(HLOOKUP(Q17,'סקרי נכסים-יתרות פתיחה'!$2:$110,95,0),0)*(1-Q$309)</f>
        <v>0</v>
      </c>
      <c r="R217" s="50">
        <f>+IFERROR(HLOOKUP(R17,'סקרי נכסים-יתרות פתיחה'!$2:$110,37,0),0)-IFERROR(HLOOKUP(R17,'סקרי נכסים-יתרות פתיחה'!$2:$110,95,0),0)*(1-R$309)</f>
        <v>0</v>
      </c>
      <c r="S217" s="50">
        <f>+IFERROR(HLOOKUP(S17,'סקרי נכסים-יתרות פתיחה'!$2:$110,37,0),0)-IFERROR(HLOOKUP(S17,'סקרי נכסים-יתרות פתיחה'!$2:$110,95,0),0)*(1-S$309)</f>
        <v>0</v>
      </c>
      <c r="T217" s="50">
        <f>+IFERROR(HLOOKUP(T17,'סקרי נכסים-יתרות פתיחה'!$2:$110,37,0),0)-IFERROR(HLOOKUP(T17,'סקרי נכסים-יתרות פתיחה'!$2:$110,95,0),0)*(1-T$309)</f>
        <v>0</v>
      </c>
      <c r="U217" s="50">
        <f>+IFERROR(HLOOKUP(U17,'סקרי נכסים-יתרות פתיחה'!$2:$110,37,0),0)-IFERROR(HLOOKUP(U17,'סקרי נכסים-יתרות פתיחה'!$2:$110,95,0),0)*(1-U$309)</f>
        <v>0</v>
      </c>
      <c r="V217" s="50">
        <f>+IFERROR(HLOOKUP(V17,'סקרי נכסים-יתרות פתיחה'!$2:$110,37,0),0)-IFERROR(HLOOKUP(V17,'סקרי נכסים-יתרות פתיחה'!$2:$110,95,0),0)*(1-V$309)</f>
        <v>0</v>
      </c>
      <c r="W217" s="50">
        <f>+IFERROR(HLOOKUP(W17,'סקרי נכסים-יתרות פתיחה'!$2:$110,37,0),0)-IFERROR(HLOOKUP(W17,'סקרי נכסים-יתרות פתיחה'!$2:$110,95,0),0)*(1-W$309)</f>
        <v>0</v>
      </c>
      <c r="X217" s="50">
        <f>+IFERROR(HLOOKUP(X17,'סקרי נכסים-יתרות פתיחה'!$2:$110,37,0),0)-IFERROR(HLOOKUP(X17,'סקרי נכסים-יתרות פתיחה'!$2:$110,95,0),0)*(1-X$309)</f>
        <v>0</v>
      </c>
      <c r="Y217" s="50">
        <f>+IFERROR(HLOOKUP(Y17,'סקרי נכסים-יתרות פתיחה'!$2:$110,37,0),0)-IFERROR(HLOOKUP(Y17,'סקרי נכסים-יתרות פתיחה'!$2:$110,95,0),0)*(1-Y$309)</f>
        <v>0</v>
      </c>
      <c r="Z217" s="50">
        <f>+IFERROR(HLOOKUP(Z17,'סקרי נכסים-יתרות פתיחה'!$2:$110,37,0),0)-IFERROR(HLOOKUP(Z17,'סקרי נכסים-יתרות פתיחה'!$2:$110,95,0),0)*(1-Z$309)</f>
        <v>0</v>
      </c>
      <c r="AA217" s="50">
        <f>+IFERROR(HLOOKUP(AA17,'סקרי נכסים-יתרות פתיחה'!$2:$110,37,0),0)-IFERROR(HLOOKUP(AA17,'סקרי נכסים-יתרות פתיחה'!$2:$110,95,0),0)*(1-AA$309)</f>
        <v>0</v>
      </c>
      <c r="AB217" s="50">
        <f>+IFERROR(HLOOKUP(AB17,'סקרי נכסים-יתרות פתיחה'!$2:$110,37,0),0)-IFERROR(HLOOKUP(AB17,'סקרי נכסים-יתרות פתיחה'!$2:$110,95,0),0)*(1-AB$309)</f>
        <v>0</v>
      </c>
      <c r="AC217" s="50">
        <f>+IFERROR(HLOOKUP(AC17,'סקרי נכסים-יתרות פתיחה'!$2:$110,37,0),0)-IFERROR(HLOOKUP(AC17,'סקרי נכסים-יתרות פתיחה'!$2:$110,95,0),0)*(1-AC$309)</f>
        <v>0</v>
      </c>
      <c r="AD217" s="50">
        <f>+IFERROR(HLOOKUP(AD17,'סקרי נכסים-יתרות פתיחה'!$2:$110,37,0),0)-IFERROR(HLOOKUP(AD17,'סקרי נכסים-יתרות פתיחה'!$2:$110,95,0),0)*(1-AD$309)</f>
        <v>0</v>
      </c>
      <c r="AE217" s="50">
        <f>+IFERROR(HLOOKUP(AE17,'סקרי נכסים-יתרות פתיחה'!$2:$110,37,0),0)-IFERROR(HLOOKUP(AE17,'סקרי נכסים-יתרות פתיחה'!$2:$110,95,0),0)*(1-AE$309)</f>
        <v>0</v>
      </c>
      <c r="AF217" s="50">
        <f>+IFERROR(HLOOKUP(AF17,'סקרי נכסים-יתרות פתיחה'!$2:$110,37,0),0)-IFERROR(HLOOKUP(AF17,'סקרי נכסים-יתרות פתיחה'!$2:$110,95,0),0)*(1-AF$309)</f>
        <v>0</v>
      </c>
      <c r="AG217" s="50">
        <f>+IFERROR(HLOOKUP(AG17,'סקרי נכסים-יתרות פתיחה'!$2:$110,37,0),0)-IFERROR(HLOOKUP(AG17,'סקרי נכסים-יתרות פתיחה'!$2:$110,95,0),0)*(1-AG$309)</f>
        <v>0</v>
      </c>
      <c r="AH217" s="50">
        <f>+IFERROR(HLOOKUP(AH17,'סקרי נכסים-יתרות פתיחה'!$2:$110,37,0),0)-IFERROR(HLOOKUP(AH17,'סקרי נכסים-יתרות פתיחה'!$2:$110,95,0),0)*(1-AH$309)</f>
        <v>0</v>
      </c>
      <c r="AI217" s="50">
        <f>+IFERROR(HLOOKUP(AI17,'סקרי נכסים-יתרות פתיחה'!$2:$110,37,0),0)-IFERROR(HLOOKUP(AI17,'סקרי נכסים-יתרות פתיחה'!$2:$110,95,0),0)*(1-AI$309)</f>
        <v>0</v>
      </c>
      <c r="AJ217" s="50">
        <f>+IFERROR(HLOOKUP(AJ17,'סקרי נכסים-יתרות פתיחה'!$2:$110,37,0),0)-IFERROR(HLOOKUP(AJ17,'סקרי נכסים-יתרות פתיחה'!$2:$110,95,0),0)*(1-AJ$309)</f>
        <v>0</v>
      </c>
      <c r="AK217" s="50">
        <f>+IFERROR(HLOOKUP(AK17,'סקרי נכסים-יתרות פתיחה'!$2:$110,37,0),0)-IFERROR(HLOOKUP(AK17,'סקרי נכסים-יתרות פתיחה'!$2:$110,95,0),0)*(1-AK$309)</f>
        <v>0</v>
      </c>
      <c r="AL217" s="50">
        <f>+IFERROR(HLOOKUP(AL17,'סקרי נכסים-יתרות פתיחה'!$2:$110,37,0),0)-IFERROR(HLOOKUP(AL17,'סקרי נכסים-יתרות פתיחה'!$2:$110,95,0),0)*(1-AL$309)</f>
        <v>0</v>
      </c>
      <c r="AM217" s="50">
        <f>+IFERROR(HLOOKUP(AM17,'סקרי נכסים-יתרות פתיחה'!$2:$110,37,0),0)-IFERROR(HLOOKUP(AM17,'סקרי נכסים-יתרות פתיחה'!$2:$110,95,0),0)*(1-AM$309)</f>
        <v>0</v>
      </c>
      <c r="AN217" s="50">
        <f>+IFERROR(HLOOKUP(AN17,'סקרי נכסים-יתרות פתיחה'!$2:$110,37,0),0)-IFERROR(HLOOKUP(AN17,'סקרי נכסים-יתרות פתיחה'!$2:$110,95,0),0)*(1-AN$309)</f>
        <v>0</v>
      </c>
      <c r="AO217" s="50">
        <f>+IFERROR(HLOOKUP(AO17,'סקרי נכסים-יתרות פתיחה'!$2:$110,37,0),0)-IFERROR(HLOOKUP(AO17,'סקרי נכסים-יתרות פתיחה'!$2:$110,95,0),0)*(1-AO$309)</f>
        <v>0</v>
      </c>
      <c r="AP217" s="50">
        <f>+IFERROR(HLOOKUP(AP17,'סקרי נכסים-יתרות פתיחה'!$2:$110,37,0),0)-IFERROR(HLOOKUP(AP17,'סקרי נכסים-יתרות פתיחה'!$2:$110,95,0),0)*(1-AP$309)</f>
        <v>0</v>
      </c>
      <c r="AQ217" s="50">
        <f>+IFERROR(HLOOKUP(AQ17,'סקרי נכסים-יתרות פתיחה'!$2:$110,37,0),0)-IFERROR(HLOOKUP(AQ17,'סקרי נכסים-יתרות פתיחה'!$2:$110,95,0),0)*(1-AQ$309)</f>
        <v>0</v>
      </c>
      <c r="AR217" s="50">
        <f>+IFERROR(HLOOKUP(AR17,'סקרי נכסים-יתרות פתיחה'!$2:$110,37,0),0)-IFERROR(HLOOKUP(AR17,'סקרי נכסים-יתרות פתיחה'!$2:$110,95,0),0)*(1-AR$309)</f>
        <v>0</v>
      </c>
      <c r="AS217" s="50">
        <f>+IFERROR(HLOOKUP(AS17,'סקרי נכסים-יתרות פתיחה'!$2:$110,37,0),0)-IFERROR(HLOOKUP(AS17,'סקרי נכסים-יתרות פתיחה'!$2:$110,95,0),0)*(1-AS$309)</f>
        <v>0</v>
      </c>
      <c r="AT217" s="50">
        <f>+IFERROR(HLOOKUP(AT17,'סקרי נכסים-יתרות פתיחה'!$2:$110,37,0),0)-IFERROR(HLOOKUP(AT17,'סקרי נכסים-יתרות פתיחה'!$2:$110,95,0),0)*(1-AT$309)</f>
        <v>0</v>
      </c>
      <c r="AU217" s="50">
        <f>+IFERROR(HLOOKUP(AU17,'סקרי נכסים-יתרות פתיחה'!$2:$110,37,0),0)-IFERROR(HLOOKUP(AU17,'סקרי נכסים-יתרות פתיחה'!$2:$110,95,0),0)*(1-AU$309)</f>
        <v>0</v>
      </c>
      <c r="AV217" s="50">
        <f>+IFERROR(HLOOKUP(AV17,'סקרי נכסים-יתרות פתיחה'!$2:$110,37,0),0)-IFERROR(HLOOKUP(AV17,'סקרי נכסים-יתרות פתיחה'!$2:$110,95,0),0)*(1-AV$309)</f>
        <v>0</v>
      </c>
      <c r="AW217" s="50">
        <f>+IFERROR(HLOOKUP(AW17,'סקרי נכסים-יתרות פתיחה'!$2:$110,37,0),0)-IFERROR(HLOOKUP(AW17,'סקרי נכסים-יתרות פתיחה'!$2:$110,95,0),0)*(1-AW$309)</f>
        <v>0</v>
      </c>
      <c r="AX217" s="50">
        <f>+IFERROR(HLOOKUP(AX17,'סקרי נכסים-יתרות פתיחה'!$2:$110,37,0),0)-IFERROR(HLOOKUP(AX17,'סקרי נכסים-יתרות פתיחה'!$2:$110,95,0),0)*(1-AX$309)</f>
        <v>0</v>
      </c>
      <c r="AY217" s="50">
        <f>+IFERROR(HLOOKUP(AY17,'סקרי נכסים-יתרות פתיחה'!$2:$110,37,0),0)-IFERROR(HLOOKUP(AY17,'סקרי נכסים-יתרות פתיחה'!$2:$110,95,0),0)*(1-AY$309)</f>
        <v>0</v>
      </c>
      <c r="AZ217" s="50">
        <f>+IFERROR(HLOOKUP(AZ17,'סקרי נכסים-יתרות פתיחה'!$2:$110,37,0),0)-IFERROR(HLOOKUP(AZ17,'סקרי נכסים-יתרות פתיחה'!$2:$110,95,0),0)*(1-AZ$309)</f>
        <v>0</v>
      </c>
      <c r="BA217" s="50">
        <f>+IFERROR(HLOOKUP(BA17,'סקרי נכסים-יתרות פתיחה'!$2:$110,37,0),0)-IFERROR(HLOOKUP(BA17,'סקרי נכסים-יתרות פתיחה'!$2:$110,95,0),0)*(1-BA$309)</f>
        <v>0</v>
      </c>
      <c r="BB217" s="50">
        <f>+IFERROR(HLOOKUP(BB17,'סקרי נכסים-יתרות פתיחה'!$2:$110,37,0),0)-IFERROR(HLOOKUP(BB17,'סקרי נכסים-יתרות פתיחה'!$2:$110,95,0),0)*(1-BB$309)</f>
        <v>0</v>
      </c>
      <c r="BC217" s="50">
        <f>+IFERROR(HLOOKUP(BC17,'סקרי נכסים-יתרות פתיחה'!$2:$110,37,0),0)-IFERROR(HLOOKUP(BC17,'סקרי נכסים-יתרות פתיחה'!$2:$110,95,0),0)*(1-BC$309)</f>
        <v>0</v>
      </c>
      <c r="BD217" s="50">
        <f>+IFERROR(HLOOKUP(BD17,'סקרי נכסים-יתרות פתיחה'!$2:$110,37,0),0)-IFERROR(HLOOKUP(BD17,'סקרי נכסים-יתרות פתיחה'!$2:$110,95,0),0)*(1-BD$309)</f>
        <v>0</v>
      </c>
      <c r="BE217" s="50">
        <f>+IFERROR(HLOOKUP(BE17,'סקרי נכסים-יתרות פתיחה'!$2:$110,37,0),0)-IFERROR(HLOOKUP(BE17,'סקרי נכסים-יתרות פתיחה'!$2:$110,95,0),0)*(1-BE$309)</f>
        <v>0</v>
      </c>
      <c r="BF217" s="50">
        <f>+IFERROR(HLOOKUP(BF17,'סקרי נכסים-יתרות פתיחה'!$2:$110,37,0),0)-IFERROR(HLOOKUP(BF17,'סקרי נכסים-יתרות פתיחה'!$2:$110,95,0),0)*(1-BF$309)</f>
        <v>0</v>
      </c>
    </row>
    <row r="218" spans="2:58" x14ac:dyDescent="0.2">
      <c r="B218" s="1">
        <v>15</v>
      </c>
      <c r="C218" s="50">
        <f>+IFERROR(HLOOKUP(C18,'סקרי נכסים-יתרות פתיחה'!$2:$110,37,0),0)-IFERROR(HLOOKUP(C18,'סקרי נכסים-יתרות פתיחה'!$2:$110,95,0),0)*(1-C$309)</f>
        <v>0</v>
      </c>
      <c r="D218" s="50">
        <f>+IFERROR(HLOOKUP(D18,'סקרי נכסים-יתרות פתיחה'!$2:$110,37,0),0)-IFERROR(HLOOKUP(D18,'סקרי נכסים-יתרות פתיחה'!$2:$110,95,0),0)*(1-D$309)</f>
        <v>0</v>
      </c>
      <c r="E218" s="50">
        <f>+IFERROR(HLOOKUP(E18,'סקרי נכסים-יתרות פתיחה'!$2:$110,37,0),0)-IFERROR(HLOOKUP(E18,'סקרי נכסים-יתרות פתיחה'!$2:$110,95,0),0)*(1-E$309)</f>
        <v>0</v>
      </c>
      <c r="F218" s="50">
        <f>+IFERROR(HLOOKUP(F18,'סקרי נכסים-יתרות פתיחה'!$2:$110,37,0),0)-IFERROR(HLOOKUP(F18,'סקרי נכסים-יתרות פתיחה'!$2:$110,95,0),0)*(1-F$309)</f>
        <v>0</v>
      </c>
      <c r="G218" s="50">
        <f>+IFERROR(HLOOKUP(G18,'סקרי נכסים-יתרות פתיחה'!$2:$110,37,0),0)-IFERROR(HLOOKUP(G18,'סקרי נכסים-יתרות פתיחה'!$2:$110,95,0),0)*(1-G$309)</f>
        <v>0</v>
      </c>
      <c r="H218" s="50">
        <f>+IFERROR(HLOOKUP(H18,'סקרי נכסים-יתרות פתיחה'!$2:$110,37,0),0)-IFERROR(HLOOKUP(H18,'סקרי נכסים-יתרות פתיחה'!$2:$110,95,0),0)*(1-H$309)</f>
        <v>0</v>
      </c>
      <c r="I218" s="50">
        <f>+IFERROR(HLOOKUP(I18,'סקרי נכסים-יתרות פתיחה'!$2:$110,37,0),0)-IFERROR(HLOOKUP(I18,'סקרי נכסים-יתרות פתיחה'!$2:$110,95,0),0)*(1-I$309)</f>
        <v>0</v>
      </c>
      <c r="J218" s="50">
        <f>+IFERROR(HLOOKUP(J18,'סקרי נכסים-יתרות פתיחה'!$2:$110,37,0),0)-IFERROR(HLOOKUP(J18,'סקרי נכסים-יתרות פתיחה'!$2:$110,95,0),0)*(1-J$309)</f>
        <v>0</v>
      </c>
      <c r="K218" s="50">
        <f>+IFERROR(HLOOKUP(K18,'סקרי נכסים-יתרות פתיחה'!$2:$110,37,0),0)-IFERROR(HLOOKUP(K18,'סקרי נכסים-יתרות פתיחה'!$2:$110,95,0),0)*(1-K$309)</f>
        <v>0</v>
      </c>
      <c r="L218" s="50">
        <f>+IFERROR(HLOOKUP(L18,'סקרי נכסים-יתרות פתיחה'!$2:$110,37,0),0)-IFERROR(HLOOKUP(L18,'סקרי נכסים-יתרות פתיחה'!$2:$110,95,0),0)*(1-L$309)</f>
        <v>0</v>
      </c>
      <c r="M218" s="50">
        <f>+IFERROR(HLOOKUP(M18,'סקרי נכסים-יתרות פתיחה'!$2:$110,37,0),0)-IFERROR(HLOOKUP(M18,'סקרי נכסים-יתרות פתיחה'!$2:$110,95,0),0)*(1-M$309)</f>
        <v>0</v>
      </c>
      <c r="N218" s="50">
        <f>+IFERROR(HLOOKUP(N18,'סקרי נכסים-יתרות פתיחה'!$2:$110,37,0),0)-IFERROR(HLOOKUP(N18,'סקרי נכסים-יתרות פתיחה'!$2:$110,95,0),0)*(1-N$309)</f>
        <v>0</v>
      </c>
      <c r="O218" s="50">
        <f>+IFERROR(HLOOKUP(O18,'סקרי נכסים-יתרות פתיחה'!$2:$110,37,0),0)-IFERROR(HLOOKUP(O18,'סקרי נכסים-יתרות פתיחה'!$2:$110,95,0),0)*(1-O$309)</f>
        <v>0</v>
      </c>
      <c r="P218" s="50">
        <f>+IFERROR(HLOOKUP(P18,'סקרי נכסים-יתרות פתיחה'!$2:$110,37,0),0)-IFERROR(HLOOKUP(P18,'סקרי נכסים-יתרות פתיחה'!$2:$110,95,0),0)*(1-P$309)</f>
        <v>0</v>
      </c>
      <c r="Q218" s="50">
        <f>+IFERROR(HLOOKUP(Q18,'סקרי נכסים-יתרות פתיחה'!$2:$110,37,0),0)-IFERROR(HLOOKUP(Q18,'סקרי נכסים-יתרות פתיחה'!$2:$110,95,0),0)*(1-Q$309)</f>
        <v>0</v>
      </c>
      <c r="R218" s="50">
        <f>+IFERROR(HLOOKUP(R18,'סקרי נכסים-יתרות פתיחה'!$2:$110,37,0),0)-IFERROR(HLOOKUP(R18,'סקרי נכסים-יתרות פתיחה'!$2:$110,95,0),0)*(1-R$309)</f>
        <v>0</v>
      </c>
      <c r="S218" s="50">
        <f>+IFERROR(HLOOKUP(S18,'סקרי נכסים-יתרות פתיחה'!$2:$110,37,0),0)-IFERROR(HLOOKUP(S18,'סקרי נכסים-יתרות פתיחה'!$2:$110,95,0),0)*(1-S$309)</f>
        <v>0</v>
      </c>
      <c r="T218" s="50">
        <f>+IFERROR(HLOOKUP(T18,'סקרי נכסים-יתרות פתיחה'!$2:$110,37,0),0)-IFERROR(HLOOKUP(T18,'סקרי נכסים-יתרות פתיחה'!$2:$110,95,0),0)*(1-T$309)</f>
        <v>0</v>
      </c>
      <c r="U218" s="50">
        <f>+IFERROR(HLOOKUP(U18,'סקרי נכסים-יתרות פתיחה'!$2:$110,37,0),0)-IFERROR(HLOOKUP(U18,'סקרי נכסים-יתרות פתיחה'!$2:$110,95,0),0)*(1-U$309)</f>
        <v>0</v>
      </c>
      <c r="V218" s="50">
        <f>+IFERROR(HLOOKUP(V18,'סקרי נכסים-יתרות פתיחה'!$2:$110,37,0),0)-IFERROR(HLOOKUP(V18,'סקרי נכסים-יתרות פתיחה'!$2:$110,95,0),0)*(1-V$309)</f>
        <v>0</v>
      </c>
      <c r="W218" s="50">
        <f>+IFERROR(HLOOKUP(W18,'סקרי נכסים-יתרות פתיחה'!$2:$110,37,0),0)-IFERROR(HLOOKUP(W18,'סקרי נכסים-יתרות פתיחה'!$2:$110,95,0),0)*(1-W$309)</f>
        <v>0</v>
      </c>
      <c r="X218" s="50">
        <f>+IFERROR(HLOOKUP(X18,'סקרי נכסים-יתרות פתיחה'!$2:$110,37,0),0)-IFERROR(HLOOKUP(X18,'סקרי נכסים-יתרות פתיחה'!$2:$110,95,0),0)*(1-X$309)</f>
        <v>0</v>
      </c>
      <c r="Y218" s="50">
        <f>+IFERROR(HLOOKUP(Y18,'סקרי נכסים-יתרות פתיחה'!$2:$110,37,0),0)-IFERROR(HLOOKUP(Y18,'סקרי נכסים-יתרות פתיחה'!$2:$110,95,0),0)*(1-Y$309)</f>
        <v>0</v>
      </c>
      <c r="Z218" s="50">
        <f>+IFERROR(HLOOKUP(Z18,'סקרי נכסים-יתרות פתיחה'!$2:$110,37,0),0)-IFERROR(HLOOKUP(Z18,'סקרי נכסים-יתרות פתיחה'!$2:$110,95,0),0)*(1-Z$309)</f>
        <v>0</v>
      </c>
      <c r="AA218" s="50">
        <f>+IFERROR(HLOOKUP(AA18,'סקרי נכסים-יתרות פתיחה'!$2:$110,37,0),0)-IFERROR(HLOOKUP(AA18,'סקרי נכסים-יתרות פתיחה'!$2:$110,95,0),0)*(1-AA$309)</f>
        <v>0</v>
      </c>
      <c r="AB218" s="50">
        <f>+IFERROR(HLOOKUP(AB18,'סקרי נכסים-יתרות פתיחה'!$2:$110,37,0),0)-IFERROR(HLOOKUP(AB18,'סקרי נכסים-יתרות פתיחה'!$2:$110,95,0),0)*(1-AB$309)</f>
        <v>0</v>
      </c>
      <c r="AC218" s="50">
        <f>+IFERROR(HLOOKUP(AC18,'סקרי נכסים-יתרות פתיחה'!$2:$110,37,0),0)-IFERROR(HLOOKUP(AC18,'סקרי נכסים-יתרות פתיחה'!$2:$110,95,0),0)*(1-AC$309)</f>
        <v>0</v>
      </c>
      <c r="AD218" s="50">
        <f>+IFERROR(HLOOKUP(AD18,'סקרי נכסים-יתרות פתיחה'!$2:$110,37,0),0)-IFERROR(HLOOKUP(AD18,'סקרי נכסים-יתרות פתיחה'!$2:$110,95,0),0)*(1-AD$309)</f>
        <v>0</v>
      </c>
      <c r="AE218" s="50">
        <f>+IFERROR(HLOOKUP(AE18,'סקרי נכסים-יתרות פתיחה'!$2:$110,37,0),0)-IFERROR(HLOOKUP(AE18,'סקרי נכסים-יתרות פתיחה'!$2:$110,95,0),0)*(1-AE$309)</f>
        <v>0</v>
      </c>
      <c r="AF218" s="50">
        <f>+IFERROR(HLOOKUP(AF18,'סקרי נכסים-יתרות פתיחה'!$2:$110,37,0),0)-IFERROR(HLOOKUP(AF18,'סקרי נכסים-יתרות פתיחה'!$2:$110,95,0),0)*(1-AF$309)</f>
        <v>0</v>
      </c>
      <c r="AG218" s="50">
        <f>+IFERROR(HLOOKUP(AG18,'סקרי נכסים-יתרות פתיחה'!$2:$110,37,0),0)-IFERROR(HLOOKUP(AG18,'סקרי נכסים-יתרות פתיחה'!$2:$110,95,0),0)*(1-AG$309)</f>
        <v>0</v>
      </c>
      <c r="AH218" s="50">
        <f>+IFERROR(HLOOKUP(AH18,'סקרי נכסים-יתרות פתיחה'!$2:$110,37,0),0)-IFERROR(HLOOKUP(AH18,'סקרי נכסים-יתרות פתיחה'!$2:$110,95,0),0)*(1-AH$309)</f>
        <v>0</v>
      </c>
      <c r="AI218" s="50">
        <f>+IFERROR(HLOOKUP(AI18,'סקרי נכסים-יתרות פתיחה'!$2:$110,37,0),0)-IFERROR(HLOOKUP(AI18,'סקרי נכסים-יתרות פתיחה'!$2:$110,95,0),0)*(1-AI$309)</f>
        <v>0</v>
      </c>
      <c r="AJ218" s="50">
        <f>+IFERROR(HLOOKUP(AJ18,'סקרי נכסים-יתרות פתיחה'!$2:$110,37,0),0)-IFERROR(HLOOKUP(AJ18,'סקרי נכסים-יתרות פתיחה'!$2:$110,95,0),0)*(1-AJ$309)</f>
        <v>0</v>
      </c>
      <c r="AK218" s="50">
        <f>+IFERROR(HLOOKUP(AK18,'סקרי נכסים-יתרות פתיחה'!$2:$110,37,0),0)-IFERROR(HLOOKUP(AK18,'סקרי נכסים-יתרות פתיחה'!$2:$110,95,0),0)*(1-AK$309)</f>
        <v>0</v>
      </c>
      <c r="AL218" s="50">
        <f>+IFERROR(HLOOKUP(AL18,'סקרי נכסים-יתרות פתיחה'!$2:$110,37,0),0)-IFERROR(HLOOKUP(AL18,'סקרי נכסים-יתרות פתיחה'!$2:$110,95,0),0)*(1-AL$309)</f>
        <v>0</v>
      </c>
      <c r="AM218" s="50">
        <f>+IFERROR(HLOOKUP(AM18,'סקרי נכסים-יתרות פתיחה'!$2:$110,37,0),0)-IFERROR(HLOOKUP(AM18,'סקרי נכסים-יתרות פתיחה'!$2:$110,95,0),0)*(1-AM$309)</f>
        <v>0</v>
      </c>
      <c r="AN218" s="50">
        <f>+IFERROR(HLOOKUP(AN18,'סקרי נכסים-יתרות פתיחה'!$2:$110,37,0),0)-IFERROR(HLOOKUP(AN18,'סקרי נכסים-יתרות פתיחה'!$2:$110,95,0),0)*(1-AN$309)</f>
        <v>0</v>
      </c>
      <c r="AO218" s="50">
        <f>+IFERROR(HLOOKUP(AO18,'סקרי נכסים-יתרות פתיחה'!$2:$110,37,0),0)-IFERROR(HLOOKUP(AO18,'סקרי נכסים-יתרות פתיחה'!$2:$110,95,0),0)*(1-AO$309)</f>
        <v>0</v>
      </c>
      <c r="AP218" s="50">
        <f>+IFERROR(HLOOKUP(AP18,'סקרי נכסים-יתרות פתיחה'!$2:$110,37,0),0)-IFERROR(HLOOKUP(AP18,'סקרי נכסים-יתרות פתיחה'!$2:$110,95,0),0)*(1-AP$309)</f>
        <v>0</v>
      </c>
      <c r="AQ218" s="50">
        <f>+IFERROR(HLOOKUP(AQ18,'סקרי נכסים-יתרות פתיחה'!$2:$110,37,0),0)-IFERROR(HLOOKUP(AQ18,'סקרי נכסים-יתרות פתיחה'!$2:$110,95,0),0)*(1-AQ$309)</f>
        <v>0</v>
      </c>
      <c r="AR218" s="50">
        <f>+IFERROR(HLOOKUP(AR18,'סקרי נכסים-יתרות פתיחה'!$2:$110,37,0),0)-IFERROR(HLOOKUP(AR18,'סקרי נכסים-יתרות פתיחה'!$2:$110,95,0),0)*(1-AR$309)</f>
        <v>0</v>
      </c>
      <c r="AS218" s="50">
        <f>+IFERROR(HLOOKUP(AS18,'סקרי נכסים-יתרות פתיחה'!$2:$110,37,0),0)-IFERROR(HLOOKUP(AS18,'סקרי נכסים-יתרות פתיחה'!$2:$110,95,0),0)*(1-AS$309)</f>
        <v>0</v>
      </c>
      <c r="AT218" s="50">
        <f>+IFERROR(HLOOKUP(AT18,'סקרי נכסים-יתרות פתיחה'!$2:$110,37,0),0)-IFERROR(HLOOKUP(AT18,'סקרי נכסים-יתרות פתיחה'!$2:$110,95,0),0)*(1-AT$309)</f>
        <v>0</v>
      </c>
      <c r="AU218" s="50">
        <f>+IFERROR(HLOOKUP(AU18,'סקרי נכסים-יתרות פתיחה'!$2:$110,37,0),0)-IFERROR(HLOOKUP(AU18,'סקרי נכסים-יתרות פתיחה'!$2:$110,95,0),0)*(1-AU$309)</f>
        <v>0</v>
      </c>
      <c r="AV218" s="50">
        <f>+IFERROR(HLOOKUP(AV18,'סקרי נכסים-יתרות פתיחה'!$2:$110,37,0),0)-IFERROR(HLOOKUP(AV18,'סקרי נכסים-יתרות פתיחה'!$2:$110,95,0),0)*(1-AV$309)</f>
        <v>0</v>
      </c>
      <c r="AW218" s="50">
        <f>+IFERROR(HLOOKUP(AW18,'סקרי נכסים-יתרות פתיחה'!$2:$110,37,0),0)-IFERROR(HLOOKUP(AW18,'סקרי נכסים-יתרות פתיחה'!$2:$110,95,0),0)*(1-AW$309)</f>
        <v>0</v>
      </c>
      <c r="AX218" s="50">
        <f>+IFERROR(HLOOKUP(AX18,'סקרי נכסים-יתרות פתיחה'!$2:$110,37,0),0)-IFERROR(HLOOKUP(AX18,'סקרי נכסים-יתרות פתיחה'!$2:$110,95,0),0)*(1-AX$309)</f>
        <v>0</v>
      </c>
      <c r="AY218" s="50">
        <f>+IFERROR(HLOOKUP(AY18,'סקרי נכסים-יתרות פתיחה'!$2:$110,37,0),0)-IFERROR(HLOOKUP(AY18,'סקרי נכסים-יתרות פתיחה'!$2:$110,95,0),0)*(1-AY$309)</f>
        <v>0</v>
      </c>
      <c r="AZ218" s="50">
        <f>+IFERROR(HLOOKUP(AZ18,'סקרי נכסים-יתרות פתיחה'!$2:$110,37,0),0)-IFERROR(HLOOKUP(AZ18,'סקרי נכסים-יתרות פתיחה'!$2:$110,95,0),0)*(1-AZ$309)</f>
        <v>0</v>
      </c>
      <c r="BA218" s="50">
        <f>+IFERROR(HLOOKUP(BA18,'סקרי נכסים-יתרות פתיחה'!$2:$110,37,0),0)-IFERROR(HLOOKUP(BA18,'סקרי נכסים-יתרות פתיחה'!$2:$110,95,0),0)*(1-BA$309)</f>
        <v>0</v>
      </c>
      <c r="BB218" s="50">
        <f>+IFERROR(HLOOKUP(BB18,'סקרי נכסים-יתרות פתיחה'!$2:$110,37,0),0)-IFERROR(HLOOKUP(BB18,'סקרי נכסים-יתרות פתיחה'!$2:$110,95,0),0)*(1-BB$309)</f>
        <v>0</v>
      </c>
      <c r="BC218" s="50">
        <f>+IFERROR(HLOOKUP(BC18,'סקרי נכסים-יתרות פתיחה'!$2:$110,37,0),0)-IFERROR(HLOOKUP(BC18,'סקרי נכסים-יתרות פתיחה'!$2:$110,95,0),0)*(1-BC$309)</f>
        <v>0</v>
      </c>
      <c r="BD218" s="50">
        <f>+IFERROR(HLOOKUP(BD18,'סקרי נכסים-יתרות פתיחה'!$2:$110,37,0),0)-IFERROR(HLOOKUP(BD18,'סקרי נכסים-יתרות פתיחה'!$2:$110,95,0),0)*(1-BD$309)</f>
        <v>0</v>
      </c>
      <c r="BE218" s="50">
        <f>+IFERROR(HLOOKUP(BE18,'סקרי נכסים-יתרות פתיחה'!$2:$110,37,0),0)-IFERROR(HLOOKUP(BE18,'סקרי נכסים-יתרות פתיחה'!$2:$110,95,0),0)*(1-BE$309)</f>
        <v>0</v>
      </c>
      <c r="BF218" s="50">
        <f>+IFERROR(HLOOKUP(BF18,'סקרי נכסים-יתרות פתיחה'!$2:$110,37,0),0)-IFERROR(HLOOKUP(BF18,'סקרי נכסים-יתרות פתיחה'!$2:$110,95,0),0)*(1-BF$309)</f>
        <v>0</v>
      </c>
    </row>
    <row r="219" spans="2:58" x14ac:dyDescent="0.2">
      <c r="B219" s="1">
        <v>16</v>
      </c>
      <c r="C219" s="50">
        <f>+IFERROR(HLOOKUP(C19,'סקרי נכסים-יתרות פתיחה'!$2:$110,37,0),0)-IFERROR(HLOOKUP(C19,'סקרי נכסים-יתרות פתיחה'!$2:$110,95,0),0)*(1-C$309)</f>
        <v>0</v>
      </c>
      <c r="D219" s="50">
        <f>+IFERROR(HLOOKUP(D19,'סקרי נכסים-יתרות פתיחה'!$2:$110,37,0),0)-IFERROR(HLOOKUP(D19,'סקרי נכסים-יתרות פתיחה'!$2:$110,95,0),0)*(1-D$309)</f>
        <v>0</v>
      </c>
      <c r="E219" s="50">
        <f>+IFERROR(HLOOKUP(E19,'סקרי נכסים-יתרות פתיחה'!$2:$110,37,0),0)-IFERROR(HLOOKUP(E19,'סקרי נכסים-יתרות פתיחה'!$2:$110,95,0),0)*(1-E$309)</f>
        <v>0</v>
      </c>
      <c r="F219" s="50">
        <f>+IFERROR(HLOOKUP(F19,'סקרי נכסים-יתרות פתיחה'!$2:$110,37,0),0)-IFERROR(HLOOKUP(F19,'סקרי נכסים-יתרות פתיחה'!$2:$110,95,0),0)*(1-F$309)</f>
        <v>0</v>
      </c>
      <c r="G219" s="50">
        <f>+IFERROR(HLOOKUP(G19,'סקרי נכסים-יתרות פתיחה'!$2:$110,37,0),0)-IFERROR(HLOOKUP(G19,'סקרי נכסים-יתרות פתיחה'!$2:$110,95,0),0)*(1-G$309)</f>
        <v>0</v>
      </c>
      <c r="H219" s="50">
        <f>+IFERROR(HLOOKUP(H19,'סקרי נכסים-יתרות פתיחה'!$2:$110,37,0),0)-IFERROR(HLOOKUP(H19,'סקרי נכסים-יתרות פתיחה'!$2:$110,95,0),0)*(1-H$309)</f>
        <v>0</v>
      </c>
      <c r="I219" s="50">
        <f>+IFERROR(HLOOKUP(I19,'סקרי נכסים-יתרות פתיחה'!$2:$110,37,0),0)-IFERROR(HLOOKUP(I19,'סקרי נכסים-יתרות פתיחה'!$2:$110,95,0),0)*(1-I$309)</f>
        <v>0</v>
      </c>
      <c r="J219" s="50">
        <f>+IFERROR(HLOOKUP(J19,'סקרי נכסים-יתרות פתיחה'!$2:$110,37,0),0)-IFERROR(HLOOKUP(J19,'סקרי נכסים-יתרות פתיחה'!$2:$110,95,0),0)*(1-J$309)</f>
        <v>0</v>
      </c>
      <c r="K219" s="50">
        <f>+IFERROR(HLOOKUP(K19,'סקרי נכסים-יתרות פתיחה'!$2:$110,37,0),0)-IFERROR(HLOOKUP(K19,'סקרי נכסים-יתרות פתיחה'!$2:$110,95,0),0)*(1-K$309)</f>
        <v>0</v>
      </c>
      <c r="L219" s="50">
        <f>+IFERROR(HLOOKUP(L19,'סקרי נכסים-יתרות פתיחה'!$2:$110,37,0),0)-IFERROR(HLOOKUP(L19,'סקרי נכסים-יתרות פתיחה'!$2:$110,95,0),0)*(1-L$309)</f>
        <v>0</v>
      </c>
      <c r="M219" s="50">
        <f>+IFERROR(HLOOKUP(M19,'סקרי נכסים-יתרות פתיחה'!$2:$110,37,0),0)-IFERROR(HLOOKUP(M19,'סקרי נכסים-יתרות פתיחה'!$2:$110,95,0),0)*(1-M$309)</f>
        <v>0</v>
      </c>
      <c r="N219" s="50">
        <f>+IFERROR(HLOOKUP(N19,'סקרי נכסים-יתרות פתיחה'!$2:$110,37,0),0)-IFERROR(HLOOKUP(N19,'סקרי נכסים-יתרות פתיחה'!$2:$110,95,0),0)*(1-N$309)</f>
        <v>0</v>
      </c>
      <c r="O219" s="50">
        <f>+IFERROR(HLOOKUP(O19,'סקרי נכסים-יתרות פתיחה'!$2:$110,37,0),0)-IFERROR(HLOOKUP(O19,'סקרי נכסים-יתרות פתיחה'!$2:$110,95,0),0)*(1-O$309)</f>
        <v>0</v>
      </c>
      <c r="P219" s="50">
        <f>+IFERROR(HLOOKUP(P19,'סקרי נכסים-יתרות פתיחה'!$2:$110,37,0),0)-IFERROR(HLOOKUP(P19,'סקרי נכסים-יתרות פתיחה'!$2:$110,95,0),0)*(1-P$309)</f>
        <v>0</v>
      </c>
      <c r="Q219" s="50">
        <f>+IFERROR(HLOOKUP(Q19,'סקרי נכסים-יתרות פתיחה'!$2:$110,37,0),0)-IFERROR(HLOOKUP(Q19,'סקרי נכסים-יתרות פתיחה'!$2:$110,95,0),0)*(1-Q$309)</f>
        <v>0</v>
      </c>
      <c r="R219" s="50">
        <f>+IFERROR(HLOOKUP(R19,'סקרי נכסים-יתרות פתיחה'!$2:$110,37,0),0)-IFERROR(HLOOKUP(R19,'סקרי נכסים-יתרות פתיחה'!$2:$110,95,0),0)*(1-R$309)</f>
        <v>0</v>
      </c>
      <c r="S219" s="50">
        <f>+IFERROR(HLOOKUP(S19,'סקרי נכסים-יתרות פתיחה'!$2:$110,37,0),0)-IFERROR(HLOOKUP(S19,'סקרי נכסים-יתרות פתיחה'!$2:$110,95,0),0)*(1-S$309)</f>
        <v>0</v>
      </c>
      <c r="T219" s="50">
        <f>+IFERROR(HLOOKUP(T19,'סקרי נכסים-יתרות פתיחה'!$2:$110,37,0),0)-IFERROR(HLOOKUP(T19,'סקרי נכסים-יתרות פתיחה'!$2:$110,95,0),0)*(1-T$309)</f>
        <v>0</v>
      </c>
      <c r="U219" s="50">
        <f>+IFERROR(HLOOKUP(U19,'סקרי נכסים-יתרות פתיחה'!$2:$110,37,0),0)-IFERROR(HLOOKUP(U19,'סקרי נכסים-יתרות פתיחה'!$2:$110,95,0),0)*(1-U$309)</f>
        <v>0</v>
      </c>
      <c r="V219" s="50">
        <f>+IFERROR(HLOOKUP(V19,'סקרי נכסים-יתרות פתיחה'!$2:$110,37,0),0)-IFERROR(HLOOKUP(V19,'סקרי נכסים-יתרות פתיחה'!$2:$110,95,0),0)*(1-V$309)</f>
        <v>0</v>
      </c>
      <c r="W219" s="50">
        <f>+IFERROR(HLOOKUP(W19,'סקרי נכסים-יתרות פתיחה'!$2:$110,37,0),0)-IFERROR(HLOOKUP(W19,'סקרי נכסים-יתרות פתיחה'!$2:$110,95,0),0)*(1-W$309)</f>
        <v>0</v>
      </c>
      <c r="X219" s="50">
        <f>+IFERROR(HLOOKUP(X19,'סקרי נכסים-יתרות פתיחה'!$2:$110,37,0),0)-IFERROR(HLOOKUP(X19,'סקרי נכסים-יתרות פתיחה'!$2:$110,95,0),0)*(1-X$309)</f>
        <v>0</v>
      </c>
      <c r="Y219" s="50">
        <f>+IFERROR(HLOOKUP(Y19,'סקרי נכסים-יתרות פתיחה'!$2:$110,37,0),0)-IFERROR(HLOOKUP(Y19,'סקרי נכסים-יתרות פתיחה'!$2:$110,95,0),0)*(1-Y$309)</f>
        <v>0</v>
      </c>
      <c r="Z219" s="50">
        <f>+IFERROR(HLOOKUP(Z19,'סקרי נכסים-יתרות פתיחה'!$2:$110,37,0),0)-IFERROR(HLOOKUP(Z19,'סקרי נכסים-יתרות פתיחה'!$2:$110,95,0),0)*(1-Z$309)</f>
        <v>0</v>
      </c>
      <c r="AA219" s="50">
        <f>+IFERROR(HLOOKUP(AA19,'סקרי נכסים-יתרות פתיחה'!$2:$110,37,0),0)-IFERROR(HLOOKUP(AA19,'סקרי נכסים-יתרות פתיחה'!$2:$110,95,0),0)*(1-AA$309)</f>
        <v>0</v>
      </c>
      <c r="AB219" s="50">
        <f>+IFERROR(HLOOKUP(AB19,'סקרי נכסים-יתרות פתיחה'!$2:$110,37,0),0)-IFERROR(HLOOKUP(AB19,'סקרי נכסים-יתרות פתיחה'!$2:$110,95,0),0)*(1-AB$309)</f>
        <v>0</v>
      </c>
      <c r="AC219" s="50">
        <f>+IFERROR(HLOOKUP(AC19,'סקרי נכסים-יתרות פתיחה'!$2:$110,37,0),0)-IFERROR(HLOOKUP(AC19,'סקרי נכסים-יתרות פתיחה'!$2:$110,95,0),0)*(1-AC$309)</f>
        <v>0</v>
      </c>
      <c r="AD219" s="50">
        <f>+IFERROR(HLOOKUP(AD19,'סקרי נכסים-יתרות פתיחה'!$2:$110,37,0),0)-IFERROR(HLOOKUP(AD19,'סקרי נכסים-יתרות פתיחה'!$2:$110,95,0),0)*(1-AD$309)</f>
        <v>0</v>
      </c>
      <c r="AE219" s="50">
        <f>+IFERROR(HLOOKUP(AE19,'סקרי נכסים-יתרות פתיחה'!$2:$110,37,0),0)-IFERROR(HLOOKUP(AE19,'סקרי נכסים-יתרות פתיחה'!$2:$110,95,0),0)*(1-AE$309)</f>
        <v>0</v>
      </c>
      <c r="AF219" s="50">
        <f>+IFERROR(HLOOKUP(AF19,'סקרי נכסים-יתרות פתיחה'!$2:$110,37,0),0)-IFERROR(HLOOKUP(AF19,'סקרי נכסים-יתרות פתיחה'!$2:$110,95,0),0)*(1-AF$309)</f>
        <v>0</v>
      </c>
      <c r="AG219" s="50">
        <f>+IFERROR(HLOOKUP(AG19,'סקרי נכסים-יתרות פתיחה'!$2:$110,37,0),0)-IFERROR(HLOOKUP(AG19,'סקרי נכסים-יתרות פתיחה'!$2:$110,95,0),0)*(1-AG$309)</f>
        <v>0</v>
      </c>
      <c r="AH219" s="50">
        <f>+IFERROR(HLOOKUP(AH19,'סקרי נכסים-יתרות פתיחה'!$2:$110,37,0),0)-IFERROR(HLOOKUP(AH19,'סקרי נכסים-יתרות פתיחה'!$2:$110,95,0),0)*(1-AH$309)</f>
        <v>0</v>
      </c>
      <c r="AI219" s="50">
        <f>+IFERROR(HLOOKUP(AI19,'סקרי נכסים-יתרות פתיחה'!$2:$110,37,0),0)-IFERROR(HLOOKUP(AI19,'סקרי נכסים-יתרות פתיחה'!$2:$110,95,0),0)*(1-AI$309)</f>
        <v>0</v>
      </c>
      <c r="AJ219" s="50">
        <f>+IFERROR(HLOOKUP(AJ19,'סקרי נכסים-יתרות פתיחה'!$2:$110,37,0),0)-IFERROR(HLOOKUP(AJ19,'סקרי נכסים-יתרות פתיחה'!$2:$110,95,0),0)*(1-AJ$309)</f>
        <v>0</v>
      </c>
      <c r="AK219" s="50">
        <f>+IFERROR(HLOOKUP(AK19,'סקרי נכסים-יתרות פתיחה'!$2:$110,37,0),0)-IFERROR(HLOOKUP(AK19,'סקרי נכסים-יתרות פתיחה'!$2:$110,95,0),0)*(1-AK$309)</f>
        <v>0</v>
      </c>
      <c r="AL219" s="50">
        <f>+IFERROR(HLOOKUP(AL19,'סקרי נכסים-יתרות פתיחה'!$2:$110,37,0),0)-IFERROR(HLOOKUP(AL19,'סקרי נכסים-יתרות פתיחה'!$2:$110,95,0),0)*(1-AL$309)</f>
        <v>0</v>
      </c>
      <c r="AM219" s="50">
        <f>+IFERROR(HLOOKUP(AM19,'סקרי נכסים-יתרות פתיחה'!$2:$110,37,0),0)-IFERROR(HLOOKUP(AM19,'סקרי נכסים-יתרות פתיחה'!$2:$110,95,0),0)*(1-AM$309)</f>
        <v>0</v>
      </c>
      <c r="AN219" s="50">
        <f>+IFERROR(HLOOKUP(AN19,'סקרי נכסים-יתרות פתיחה'!$2:$110,37,0),0)-IFERROR(HLOOKUP(AN19,'סקרי נכסים-יתרות פתיחה'!$2:$110,95,0),0)*(1-AN$309)</f>
        <v>0</v>
      </c>
      <c r="AO219" s="50">
        <f>+IFERROR(HLOOKUP(AO19,'סקרי נכסים-יתרות פתיחה'!$2:$110,37,0),0)-IFERROR(HLOOKUP(AO19,'סקרי נכסים-יתרות פתיחה'!$2:$110,95,0),0)*(1-AO$309)</f>
        <v>0</v>
      </c>
      <c r="AP219" s="50">
        <f>+IFERROR(HLOOKUP(AP19,'סקרי נכסים-יתרות פתיחה'!$2:$110,37,0),0)-IFERROR(HLOOKUP(AP19,'סקרי נכסים-יתרות פתיחה'!$2:$110,95,0),0)*(1-AP$309)</f>
        <v>0</v>
      </c>
      <c r="AQ219" s="50">
        <f>+IFERROR(HLOOKUP(AQ19,'סקרי נכסים-יתרות פתיחה'!$2:$110,37,0),0)-IFERROR(HLOOKUP(AQ19,'סקרי נכסים-יתרות פתיחה'!$2:$110,95,0),0)*(1-AQ$309)</f>
        <v>0</v>
      </c>
      <c r="AR219" s="50">
        <f>+IFERROR(HLOOKUP(AR19,'סקרי נכסים-יתרות פתיחה'!$2:$110,37,0),0)-IFERROR(HLOOKUP(AR19,'סקרי נכסים-יתרות פתיחה'!$2:$110,95,0),0)*(1-AR$309)</f>
        <v>0</v>
      </c>
      <c r="AS219" s="50">
        <f>+IFERROR(HLOOKUP(AS19,'סקרי נכסים-יתרות פתיחה'!$2:$110,37,0),0)-IFERROR(HLOOKUP(AS19,'סקרי נכסים-יתרות פתיחה'!$2:$110,95,0),0)*(1-AS$309)</f>
        <v>0</v>
      </c>
      <c r="AT219" s="50">
        <f>+IFERROR(HLOOKUP(AT19,'סקרי נכסים-יתרות פתיחה'!$2:$110,37,0),0)-IFERROR(HLOOKUP(AT19,'סקרי נכסים-יתרות פתיחה'!$2:$110,95,0),0)*(1-AT$309)</f>
        <v>0</v>
      </c>
      <c r="AU219" s="50">
        <f>+IFERROR(HLOOKUP(AU19,'סקרי נכסים-יתרות פתיחה'!$2:$110,37,0),0)-IFERROR(HLOOKUP(AU19,'סקרי נכסים-יתרות פתיחה'!$2:$110,95,0),0)*(1-AU$309)</f>
        <v>0</v>
      </c>
      <c r="AV219" s="50">
        <f>+IFERROR(HLOOKUP(AV19,'סקרי נכסים-יתרות פתיחה'!$2:$110,37,0),0)-IFERROR(HLOOKUP(AV19,'סקרי נכסים-יתרות פתיחה'!$2:$110,95,0),0)*(1-AV$309)</f>
        <v>0</v>
      </c>
      <c r="AW219" s="50">
        <f>+IFERROR(HLOOKUP(AW19,'סקרי נכסים-יתרות פתיחה'!$2:$110,37,0),0)-IFERROR(HLOOKUP(AW19,'סקרי נכסים-יתרות פתיחה'!$2:$110,95,0),0)*(1-AW$309)</f>
        <v>0</v>
      </c>
      <c r="AX219" s="50">
        <f>+IFERROR(HLOOKUP(AX19,'סקרי נכסים-יתרות פתיחה'!$2:$110,37,0),0)-IFERROR(HLOOKUP(AX19,'סקרי נכסים-יתרות פתיחה'!$2:$110,95,0),0)*(1-AX$309)</f>
        <v>0</v>
      </c>
      <c r="AY219" s="50">
        <f>+IFERROR(HLOOKUP(AY19,'סקרי נכסים-יתרות פתיחה'!$2:$110,37,0),0)-IFERROR(HLOOKUP(AY19,'סקרי נכסים-יתרות פתיחה'!$2:$110,95,0),0)*(1-AY$309)</f>
        <v>0</v>
      </c>
      <c r="AZ219" s="50">
        <f>+IFERROR(HLOOKUP(AZ19,'סקרי נכסים-יתרות פתיחה'!$2:$110,37,0),0)-IFERROR(HLOOKUP(AZ19,'סקרי נכסים-יתרות פתיחה'!$2:$110,95,0),0)*(1-AZ$309)</f>
        <v>0</v>
      </c>
      <c r="BA219" s="50">
        <f>+IFERROR(HLOOKUP(BA19,'סקרי נכסים-יתרות פתיחה'!$2:$110,37,0),0)-IFERROR(HLOOKUP(BA19,'סקרי נכסים-יתרות פתיחה'!$2:$110,95,0),0)*(1-BA$309)</f>
        <v>0</v>
      </c>
      <c r="BB219" s="50">
        <f>+IFERROR(HLOOKUP(BB19,'סקרי נכסים-יתרות פתיחה'!$2:$110,37,0),0)-IFERROR(HLOOKUP(BB19,'סקרי נכסים-יתרות פתיחה'!$2:$110,95,0),0)*(1-BB$309)</f>
        <v>0</v>
      </c>
      <c r="BC219" s="50">
        <f>+IFERROR(HLOOKUP(BC19,'סקרי נכסים-יתרות פתיחה'!$2:$110,37,0),0)-IFERROR(HLOOKUP(BC19,'סקרי נכסים-יתרות פתיחה'!$2:$110,95,0),0)*(1-BC$309)</f>
        <v>0</v>
      </c>
      <c r="BD219" s="50">
        <f>+IFERROR(HLOOKUP(BD19,'סקרי נכסים-יתרות פתיחה'!$2:$110,37,0),0)-IFERROR(HLOOKUP(BD19,'סקרי נכסים-יתרות פתיחה'!$2:$110,95,0),0)*(1-BD$309)</f>
        <v>0</v>
      </c>
      <c r="BE219" s="50">
        <f>+IFERROR(HLOOKUP(BE19,'סקרי נכסים-יתרות פתיחה'!$2:$110,37,0),0)-IFERROR(HLOOKUP(BE19,'סקרי נכסים-יתרות פתיחה'!$2:$110,95,0),0)*(1-BE$309)</f>
        <v>0</v>
      </c>
      <c r="BF219" s="50">
        <f>+IFERROR(HLOOKUP(BF19,'סקרי נכסים-יתרות פתיחה'!$2:$110,37,0),0)-IFERROR(HLOOKUP(BF19,'סקרי נכסים-יתרות פתיחה'!$2:$110,95,0),0)*(1-BF$309)</f>
        <v>0</v>
      </c>
    </row>
    <row r="220" spans="2:58" x14ac:dyDescent="0.2">
      <c r="B220" s="1">
        <v>17</v>
      </c>
      <c r="C220" s="50">
        <f>+IFERROR(HLOOKUP(C20,'סקרי נכסים-יתרות פתיחה'!$2:$110,37,0),0)-IFERROR(HLOOKUP(C20,'סקרי נכסים-יתרות פתיחה'!$2:$110,95,0),0)*(1-C$309)</f>
        <v>0</v>
      </c>
      <c r="D220" s="50">
        <f>+IFERROR(HLOOKUP(D20,'סקרי נכסים-יתרות פתיחה'!$2:$110,37,0),0)-IFERROR(HLOOKUP(D20,'סקרי נכסים-יתרות פתיחה'!$2:$110,95,0),0)*(1-D$309)</f>
        <v>0</v>
      </c>
      <c r="E220" s="50">
        <f>+IFERROR(HLOOKUP(E20,'סקרי נכסים-יתרות פתיחה'!$2:$110,37,0),0)-IFERROR(HLOOKUP(E20,'סקרי נכסים-יתרות פתיחה'!$2:$110,95,0),0)*(1-E$309)</f>
        <v>0</v>
      </c>
      <c r="F220" s="50">
        <f>+IFERROR(HLOOKUP(F20,'סקרי נכסים-יתרות פתיחה'!$2:$110,37,0),0)-IFERROR(HLOOKUP(F20,'סקרי נכסים-יתרות פתיחה'!$2:$110,95,0),0)*(1-F$309)</f>
        <v>0</v>
      </c>
      <c r="G220" s="50">
        <f>+IFERROR(HLOOKUP(G20,'סקרי נכסים-יתרות פתיחה'!$2:$110,37,0),0)-IFERROR(HLOOKUP(G20,'סקרי נכסים-יתרות פתיחה'!$2:$110,95,0),0)*(1-G$309)</f>
        <v>0</v>
      </c>
      <c r="H220" s="50">
        <f>+IFERROR(HLOOKUP(H20,'סקרי נכסים-יתרות פתיחה'!$2:$110,37,0),0)-IFERROR(HLOOKUP(H20,'סקרי נכסים-יתרות פתיחה'!$2:$110,95,0),0)*(1-H$309)</f>
        <v>0</v>
      </c>
      <c r="I220" s="50">
        <f>+IFERROR(HLOOKUP(I20,'סקרי נכסים-יתרות פתיחה'!$2:$110,37,0),0)-IFERROR(HLOOKUP(I20,'סקרי נכסים-יתרות פתיחה'!$2:$110,95,0),0)*(1-I$309)</f>
        <v>0</v>
      </c>
      <c r="J220" s="50">
        <f>+IFERROR(HLOOKUP(J20,'סקרי נכסים-יתרות פתיחה'!$2:$110,37,0),0)-IFERROR(HLOOKUP(J20,'סקרי נכסים-יתרות פתיחה'!$2:$110,95,0),0)*(1-J$309)</f>
        <v>0</v>
      </c>
      <c r="K220" s="50">
        <f>+IFERROR(HLOOKUP(K20,'סקרי נכסים-יתרות פתיחה'!$2:$110,37,0),0)-IFERROR(HLOOKUP(K20,'סקרי נכסים-יתרות פתיחה'!$2:$110,95,0),0)*(1-K$309)</f>
        <v>0</v>
      </c>
      <c r="L220" s="50">
        <f>+IFERROR(HLOOKUP(L20,'סקרי נכסים-יתרות פתיחה'!$2:$110,37,0),0)-IFERROR(HLOOKUP(L20,'סקרי נכסים-יתרות פתיחה'!$2:$110,95,0),0)*(1-L$309)</f>
        <v>0</v>
      </c>
      <c r="M220" s="50">
        <f>+IFERROR(HLOOKUP(M20,'סקרי נכסים-יתרות פתיחה'!$2:$110,37,0),0)-IFERROR(HLOOKUP(M20,'סקרי נכסים-יתרות פתיחה'!$2:$110,95,0),0)*(1-M$309)</f>
        <v>0</v>
      </c>
      <c r="N220" s="50">
        <f>+IFERROR(HLOOKUP(N20,'סקרי נכסים-יתרות פתיחה'!$2:$110,37,0),0)-IFERROR(HLOOKUP(N20,'סקרי נכסים-יתרות פתיחה'!$2:$110,95,0),0)*(1-N$309)</f>
        <v>0</v>
      </c>
      <c r="O220" s="50">
        <f>+IFERROR(HLOOKUP(O20,'סקרי נכסים-יתרות פתיחה'!$2:$110,37,0),0)-IFERROR(HLOOKUP(O20,'סקרי נכסים-יתרות פתיחה'!$2:$110,95,0),0)*(1-O$309)</f>
        <v>0</v>
      </c>
      <c r="P220" s="50">
        <f>+IFERROR(HLOOKUP(P20,'סקרי נכסים-יתרות פתיחה'!$2:$110,37,0),0)-IFERROR(HLOOKUP(P20,'סקרי נכסים-יתרות פתיחה'!$2:$110,95,0),0)*(1-P$309)</f>
        <v>0</v>
      </c>
      <c r="Q220" s="50">
        <f>+IFERROR(HLOOKUP(Q20,'סקרי נכסים-יתרות פתיחה'!$2:$110,37,0),0)-IFERROR(HLOOKUP(Q20,'סקרי נכסים-יתרות פתיחה'!$2:$110,95,0),0)*(1-Q$309)</f>
        <v>0</v>
      </c>
      <c r="R220" s="50">
        <f>+IFERROR(HLOOKUP(R20,'סקרי נכסים-יתרות פתיחה'!$2:$110,37,0),0)-IFERROR(HLOOKUP(R20,'סקרי נכסים-יתרות פתיחה'!$2:$110,95,0),0)*(1-R$309)</f>
        <v>0</v>
      </c>
      <c r="S220" s="50">
        <f>+IFERROR(HLOOKUP(S20,'סקרי נכסים-יתרות פתיחה'!$2:$110,37,0),0)-IFERROR(HLOOKUP(S20,'סקרי נכסים-יתרות פתיחה'!$2:$110,95,0),0)*(1-S$309)</f>
        <v>0</v>
      </c>
      <c r="T220" s="50">
        <f>+IFERROR(HLOOKUP(T20,'סקרי נכסים-יתרות פתיחה'!$2:$110,37,0),0)-IFERROR(HLOOKUP(T20,'סקרי נכסים-יתרות פתיחה'!$2:$110,95,0),0)*(1-T$309)</f>
        <v>0</v>
      </c>
      <c r="U220" s="50">
        <f>+IFERROR(HLOOKUP(U20,'סקרי נכסים-יתרות פתיחה'!$2:$110,37,0),0)-IFERROR(HLOOKUP(U20,'סקרי נכסים-יתרות פתיחה'!$2:$110,95,0),0)*(1-U$309)</f>
        <v>0</v>
      </c>
      <c r="V220" s="50">
        <f>+IFERROR(HLOOKUP(V20,'סקרי נכסים-יתרות פתיחה'!$2:$110,37,0),0)-IFERROR(HLOOKUP(V20,'סקרי נכסים-יתרות פתיחה'!$2:$110,95,0),0)*(1-V$309)</f>
        <v>0</v>
      </c>
      <c r="W220" s="50">
        <f>+IFERROR(HLOOKUP(W20,'סקרי נכסים-יתרות פתיחה'!$2:$110,37,0),0)-IFERROR(HLOOKUP(W20,'סקרי נכסים-יתרות פתיחה'!$2:$110,95,0),0)*(1-W$309)</f>
        <v>0</v>
      </c>
      <c r="X220" s="50">
        <f>+IFERROR(HLOOKUP(X20,'סקרי נכסים-יתרות פתיחה'!$2:$110,37,0),0)-IFERROR(HLOOKUP(X20,'סקרי נכסים-יתרות פתיחה'!$2:$110,95,0),0)*(1-X$309)</f>
        <v>0</v>
      </c>
      <c r="Y220" s="50">
        <f>+IFERROR(HLOOKUP(Y20,'סקרי נכסים-יתרות פתיחה'!$2:$110,37,0),0)-IFERROR(HLOOKUP(Y20,'סקרי נכסים-יתרות פתיחה'!$2:$110,95,0),0)*(1-Y$309)</f>
        <v>0</v>
      </c>
      <c r="Z220" s="50">
        <f>+IFERROR(HLOOKUP(Z20,'סקרי נכסים-יתרות פתיחה'!$2:$110,37,0),0)-IFERROR(HLOOKUP(Z20,'סקרי נכסים-יתרות פתיחה'!$2:$110,95,0),0)*(1-Z$309)</f>
        <v>0</v>
      </c>
      <c r="AA220" s="50">
        <f>+IFERROR(HLOOKUP(AA20,'סקרי נכסים-יתרות פתיחה'!$2:$110,37,0),0)-IFERROR(HLOOKUP(AA20,'סקרי נכסים-יתרות פתיחה'!$2:$110,95,0),0)*(1-AA$309)</f>
        <v>0</v>
      </c>
      <c r="AB220" s="50">
        <f>+IFERROR(HLOOKUP(AB20,'סקרי נכסים-יתרות פתיחה'!$2:$110,37,0),0)-IFERROR(HLOOKUP(AB20,'סקרי נכסים-יתרות פתיחה'!$2:$110,95,0),0)*(1-AB$309)</f>
        <v>0</v>
      </c>
      <c r="AC220" s="50">
        <f>+IFERROR(HLOOKUP(AC20,'סקרי נכסים-יתרות פתיחה'!$2:$110,37,0),0)-IFERROR(HLOOKUP(AC20,'סקרי נכסים-יתרות פתיחה'!$2:$110,95,0),0)*(1-AC$309)</f>
        <v>0</v>
      </c>
      <c r="AD220" s="50">
        <f>+IFERROR(HLOOKUP(AD20,'סקרי נכסים-יתרות פתיחה'!$2:$110,37,0),0)-IFERROR(HLOOKUP(AD20,'סקרי נכסים-יתרות פתיחה'!$2:$110,95,0),0)*(1-AD$309)</f>
        <v>0</v>
      </c>
      <c r="AE220" s="50">
        <f>+IFERROR(HLOOKUP(AE20,'סקרי נכסים-יתרות פתיחה'!$2:$110,37,0),0)-IFERROR(HLOOKUP(AE20,'סקרי נכסים-יתרות פתיחה'!$2:$110,95,0),0)*(1-AE$309)</f>
        <v>0</v>
      </c>
      <c r="AF220" s="50">
        <f>+IFERROR(HLOOKUP(AF20,'סקרי נכסים-יתרות פתיחה'!$2:$110,37,0),0)-IFERROR(HLOOKUP(AF20,'סקרי נכסים-יתרות פתיחה'!$2:$110,95,0),0)*(1-AF$309)</f>
        <v>0</v>
      </c>
      <c r="AG220" s="50">
        <f>+IFERROR(HLOOKUP(AG20,'סקרי נכסים-יתרות פתיחה'!$2:$110,37,0),0)-IFERROR(HLOOKUP(AG20,'סקרי נכסים-יתרות פתיחה'!$2:$110,95,0),0)*(1-AG$309)</f>
        <v>0</v>
      </c>
      <c r="AH220" s="50">
        <f>+IFERROR(HLOOKUP(AH20,'סקרי נכסים-יתרות פתיחה'!$2:$110,37,0),0)-IFERROR(HLOOKUP(AH20,'סקרי נכסים-יתרות פתיחה'!$2:$110,95,0),0)*(1-AH$309)</f>
        <v>0</v>
      </c>
      <c r="AI220" s="50">
        <f>+IFERROR(HLOOKUP(AI20,'סקרי נכסים-יתרות פתיחה'!$2:$110,37,0),0)-IFERROR(HLOOKUP(AI20,'סקרי נכסים-יתרות פתיחה'!$2:$110,95,0),0)*(1-AI$309)</f>
        <v>0</v>
      </c>
      <c r="AJ220" s="50">
        <f>+IFERROR(HLOOKUP(AJ20,'סקרי נכסים-יתרות פתיחה'!$2:$110,37,0),0)-IFERROR(HLOOKUP(AJ20,'סקרי נכסים-יתרות פתיחה'!$2:$110,95,0),0)*(1-AJ$309)</f>
        <v>0</v>
      </c>
      <c r="AK220" s="50">
        <f>+IFERROR(HLOOKUP(AK20,'סקרי נכסים-יתרות פתיחה'!$2:$110,37,0),0)-IFERROR(HLOOKUP(AK20,'סקרי נכסים-יתרות פתיחה'!$2:$110,95,0),0)*(1-AK$309)</f>
        <v>0</v>
      </c>
      <c r="AL220" s="50">
        <f>+IFERROR(HLOOKUP(AL20,'סקרי נכסים-יתרות פתיחה'!$2:$110,37,0),0)-IFERROR(HLOOKUP(AL20,'סקרי נכסים-יתרות פתיחה'!$2:$110,95,0),0)*(1-AL$309)</f>
        <v>0</v>
      </c>
      <c r="AM220" s="50">
        <f>+IFERROR(HLOOKUP(AM20,'סקרי נכסים-יתרות פתיחה'!$2:$110,37,0),0)-IFERROR(HLOOKUP(AM20,'סקרי נכסים-יתרות פתיחה'!$2:$110,95,0),0)*(1-AM$309)</f>
        <v>0</v>
      </c>
      <c r="AN220" s="50">
        <f>+IFERROR(HLOOKUP(AN20,'סקרי נכסים-יתרות פתיחה'!$2:$110,37,0),0)-IFERROR(HLOOKUP(AN20,'סקרי נכסים-יתרות פתיחה'!$2:$110,95,0),0)*(1-AN$309)</f>
        <v>0</v>
      </c>
      <c r="AO220" s="50">
        <f>+IFERROR(HLOOKUP(AO20,'סקרי נכסים-יתרות פתיחה'!$2:$110,37,0),0)-IFERROR(HLOOKUP(AO20,'סקרי נכסים-יתרות פתיחה'!$2:$110,95,0),0)*(1-AO$309)</f>
        <v>0</v>
      </c>
      <c r="AP220" s="50">
        <f>+IFERROR(HLOOKUP(AP20,'סקרי נכסים-יתרות פתיחה'!$2:$110,37,0),0)-IFERROR(HLOOKUP(AP20,'סקרי נכסים-יתרות פתיחה'!$2:$110,95,0),0)*(1-AP$309)</f>
        <v>0</v>
      </c>
      <c r="AQ220" s="50">
        <f>+IFERROR(HLOOKUP(AQ20,'סקרי נכסים-יתרות פתיחה'!$2:$110,37,0),0)-IFERROR(HLOOKUP(AQ20,'סקרי נכסים-יתרות פתיחה'!$2:$110,95,0),0)*(1-AQ$309)</f>
        <v>0</v>
      </c>
      <c r="AR220" s="50">
        <f>+IFERROR(HLOOKUP(AR20,'סקרי נכסים-יתרות פתיחה'!$2:$110,37,0),0)-IFERROR(HLOOKUP(AR20,'סקרי נכסים-יתרות פתיחה'!$2:$110,95,0),0)*(1-AR$309)</f>
        <v>0</v>
      </c>
      <c r="AS220" s="50">
        <f>+IFERROR(HLOOKUP(AS20,'סקרי נכסים-יתרות פתיחה'!$2:$110,37,0),0)-IFERROR(HLOOKUP(AS20,'סקרי נכסים-יתרות פתיחה'!$2:$110,95,0),0)*(1-AS$309)</f>
        <v>0</v>
      </c>
      <c r="AT220" s="50">
        <f>+IFERROR(HLOOKUP(AT20,'סקרי נכסים-יתרות פתיחה'!$2:$110,37,0),0)-IFERROR(HLOOKUP(AT20,'סקרי נכסים-יתרות פתיחה'!$2:$110,95,0),0)*(1-AT$309)</f>
        <v>0</v>
      </c>
      <c r="AU220" s="50">
        <f>+IFERROR(HLOOKUP(AU20,'סקרי נכסים-יתרות פתיחה'!$2:$110,37,0),0)-IFERROR(HLOOKUP(AU20,'סקרי נכסים-יתרות פתיחה'!$2:$110,95,0),0)*(1-AU$309)</f>
        <v>0</v>
      </c>
      <c r="AV220" s="50">
        <f>+IFERROR(HLOOKUP(AV20,'סקרי נכסים-יתרות פתיחה'!$2:$110,37,0),0)-IFERROR(HLOOKUP(AV20,'סקרי נכסים-יתרות פתיחה'!$2:$110,95,0),0)*(1-AV$309)</f>
        <v>0</v>
      </c>
      <c r="AW220" s="50">
        <f>+IFERROR(HLOOKUP(AW20,'סקרי נכסים-יתרות פתיחה'!$2:$110,37,0),0)-IFERROR(HLOOKUP(AW20,'סקרי נכסים-יתרות פתיחה'!$2:$110,95,0),0)*(1-AW$309)</f>
        <v>0</v>
      </c>
      <c r="AX220" s="50">
        <f>+IFERROR(HLOOKUP(AX20,'סקרי נכסים-יתרות פתיחה'!$2:$110,37,0),0)-IFERROR(HLOOKUP(AX20,'סקרי נכסים-יתרות פתיחה'!$2:$110,95,0),0)*(1-AX$309)</f>
        <v>0</v>
      </c>
      <c r="AY220" s="50">
        <f>+IFERROR(HLOOKUP(AY20,'סקרי נכסים-יתרות פתיחה'!$2:$110,37,0),0)-IFERROR(HLOOKUP(AY20,'סקרי נכסים-יתרות פתיחה'!$2:$110,95,0),0)*(1-AY$309)</f>
        <v>0</v>
      </c>
      <c r="AZ220" s="50">
        <f>+IFERROR(HLOOKUP(AZ20,'סקרי נכסים-יתרות פתיחה'!$2:$110,37,0),0)-IFERROR(HLOOKUP(AZ20,'סקרי נכסים-יתרות פתיחה'!$2:$110,95,0),0)*(1-AZ$309)</f>
        <v>0</v>
      </c>
      <c r="BA220" s="50">
        <f>+IFERROR(HLOOKUP(BA20,'סקרי נכסים-יתרות פתיחה'!$2:$110,37,0),0)-IFERROR(HLOOKUP(BA20,'סקרי נכסים-יתרות פתיחה'!$2:$110,95,0),0)*(1-BA$309)</f>
        <v>0</v>
      </c>
      <c r="BB220" s="50">
        <f>+IFERROR(HLOOKUP(BB20,'סקרי נכסים-יתרות פתיחה'!$2:$110,37,0),0)-IFERROR(HLOOKUP(BB20,'סקרי נכסים-יתרות פתיחה'!$2:$110,95,0),0)*(1-BB$309)</f>
        <v>0</v>
      </c>
      <c r="BC220" s="50">
        <f>+IFERROR(HLOOKUP(BC20,'סקרי נכסים-יתרות פתיחה'!$2:$110,37,0),0)-IFERROR(HLOOKUP(BC20,'סקרי נכסים-יתרות פתיחה'!$2:$110,95,0),0)*(1-BC$309)</f>
        <v>0</v>
      </c>
      <c r="BD220" s="50">
        <f>+IFERROR(HLOOKUP(BD20,'סקרי נכסים-יתרות פתיחה'!$2:$110,37,0),0)-IFERROR(HLOOKUP(BD20,'סקרי נכסים-יתרות פתיחה'!$2:$110,95,0),0)*(1-BD$309)</f>
        <v>0</v>
      </c>
      <c r="BE220" s="50">
        <f>+IFERROR(HLOOKUP(BE20,'סקרי נכסים-יתרות פתיחה'!$2:$110,37,0),0)-IFERROR(HLOOKUP(BE20,'סקרי נכסים-יתרות פתיחה'!$2:$110,95,0),0)*(1-BE$309)</f>
        <v>0</v>
      </c>
      <c r="BF220" s="50">
        <f>+IFERROR(HLOOKUP(BF20,'סקרי נכסים-יתרות פתיחה'!$2:$110,37,0),0)-IFERROR(HLOOKUP(BF20,'סקרי נכסים-יתרות פתיחה'!$2:$110,95,0),0)*(1-BF$309)</f>
        <v>0</v>
      </c>
    </row>
    <row r="221" spans="2:58" x14ac:dyDescent="0.2">
      <c r="B221" s="1">
        <v>18</v>
      </c>
      <c r="C221" s="50">
        <f>+IFERROR(HLOOKUP(C21,'סקרי נכסים-יתרות פתיחה'!$2:$110,37,0),0)-IFERROR(HLOOKUP(C21,'סקרי נכסים-יתרות פתיחה'!$2:$110,95,0),0)*(1-C$309)</f>
        <v>0</v>
      </c>
      <c r="D221" s="50">
        <f>+IFERROR(HLOOKUP(D21,'סקרי נכסים-יתרות פתיחה'!$2:$110,37,0),0)-IFERROR(HLOOKUP(D21,'סקרי נכסים-יתרות פתיחה'!$2:$110,95,0),0)*(1-D$309)</f>
        <v>0</v>
      </c>
      <c r="E221" s="50">
        <f>+IFERROR(HLOOKUP(E21,'סקרי נכסים-יתרות פתיחה'!$2:$110,37,0),0)-IFERROR(HLOOKUP(E21,'סקרי נכסים-יתרות פתיחה'!$2:$110,95,0),0)*(1-E$309)</f>
        <v>0</v>
      </c>
      <c r="F221" s="50">
        <f>+IFERROR(HLOOKUP(F21,'סקרי נכסים-יתרות פתיחה'!$2:$110,37,0),0)-IFERROR(HLOOKUP(F21,'סקרי נכסים-יתרות פתיחה'!$2:$110,95,0),0)*(1-F$309)</f>
        <v>0</v>
      </c>
      <c r="G221" s="50">
        <f>+IFERROR(HLOOKUP(G21,'סקרי נכסים-יתרות פתיחה'!$2:$110,37,0),0)-IFERROR(HLOOKUP(G21,'סקרי נכסים-יתרות פתיחה'!$2:$110,95,0),0)*(1-G$309)</f>
        <v>0</v>
      </c>
      <c r="H221" s="50">
        <f>+IFERROR(HLOOKUP(H21,'סקרי נכסים-יתרות פתיחה'!$2:$110,37,0),0)-IFERROR(HLOOKUP(H21,'סקרי נכסים-יתרות פתיחה'!$2:$110,95,0),0)*(1-H$309)</f>
        <v>0</v>
      </c>
      <c r="I221" s="50">
        <f>+IFERROR(HLOOKUP(I21,'סקרי נכסים-יתרות פתיחה'!$2:$110,37,0),0)-IFERROR(HLOOKUP(I21,'סקרי נכסים-יתרות פתיחה'!$2:$110,95,0),0)*(1-I$309)</f>
        <v>0</v>
      </c>
      <c r="J221" s="50">
        <f>+IFERROR(HLOOKUP(J21,'סקרי נכסים-יתרות פתיחה'!$2:$110,37,0),0)-IFERROR(HLOOKUP(J21,'סקרי נכסים-יתרות פתיחה'!$2:$110,95,0),0)*(1-J$309)</f>
        <v>0</v>
      </c>
      <c r="K221" s="50">
        <f>+IFERROR(HLOOKUP(K21,'סקרי נכסים-יתרות פתיחה'!$2:$110,37,0),0)-IFERROR(HLOOKUP(K21,'סקרי נכסים-יתרות פתיחה'!$2:$110,95,0),0)*(1-K$309)</f>
        <v>0</v>
      </c>
      <c r="L221" s="50">
        <f>+IFERROR(HLOOKUP(L21,'סקרי נכסים-יתרות פתיחה'!$2:$110,37,0),0)-IFERROR(HLOOKUP(L21,'סקרי נכסים-יתרות פתיחה'!$2:$110,95,0),0)*(1-L$309)</f>
        <v>0</v>
      </c>
      <c r="M221" s="50">
        <f>+IFERROR(HLOOKUP(M21,'סקרי נכסים-יתרות פתיחה'!$2:$110,37,0),0)-IFERROR(HLOOKUP(M21,'סקרי נכסים-יתרות פתיחה'!$2:$110,95,0),0)*(1-M$309)</f>
        <v>0</v>
      </c>
      <c r="N221" s="50">
        <f>+IFERROR(HLOOKUP(N21,'סקרי נכסים-יתרות פתיחה'!$2:$110,37,0),0)-IFERROR(HLOOKUP(N21,'סקרי נכסים-יתרות פתיחה'!$2:$110,95,0),0)*(1-N$309)</f>
        <v>0</v>
      </c>
      <c r="O221" s="50">
        <f>+IFERROR(HLOOKUP(O21,'סקרי נכסים-יתרות פתיחה'!$2:$110,37,0),0)-IFERROR(HLOOKUP(O21,'סקרי נכסים-יתרות פתיחה'!$2:$110,95,0),0)*(1-O$309)</f>
        <v>0</v>
      </c>
      <c r="P221" s="50">
        <f>+IFERROR(HLOOKUP(P21,'סקרי נכסים-יתרות פתיחה'!$2:$110,37,0),0)-IFERROR(HLOOKUP(P21,'סקרי נכסים-יתרות פתיחה'!$2:$110,95,0),0)*(1-P$309)</f>
        <v>0</v>
      </c>
      <c r="Q221" s="50">
        <f>+IFERROR(HLOOKUP(Q21,'סקרי נכסים-יתרות פתיחה'!$2:$110,37,0),0)-IFERROR(HLOOKUP(Q21,'סקרי נכסים-יתרות פתיחה'!$2:$110,95,0),0)*(1-Q$309)</f>
        <v>0</v>
      </c>
      <c r="R221" s="50">
        <f>+IFERROR(HLOOKUP(R21,'סקרי נכסים-יתרות פתיחה'!$2:$110,37,0),0)-IFERROR(HLOOKUP(R21,'סקרי נכסים-יתרות פתיחה'!$2:$110,95,0),0)*(1-R$309)</f>
        <v>0</v>
      </c>
      <c r="S221" s="50">
        <f>+IFERROR(HLOOKUP(S21,'סקרי נכסים-יתרות פתיחה'!$2:$110,37,0),0)-IFERROR(HLOOKUP(S21,'סקרי נכסים-יתרות פתיחה'!$2:$110,95,0),0)*(1-S$309)</f>
        <v>0</v>
      </c>
      <c r="T221" s="50">
        <f>+IFERROR(HLOOKUP(T21,'סקרי נכסים-יתרות פתיחה'!$2:$110,37,0),0)-IFERROR(HLOOKUP(T21,'סקרי נכסים-יתרות פתיחה'!$2:$110,95,0),0)*(1-T$309)</f>
        <v>0</v>
      </c>
      <c r="U221" s="50">
        <f>+IFERROR(HLOOKUP(U21,'סקרי נכסים-יתרות פתיחה'!$2:$110,37,0),0)-IFERROR(HLOOKUP(U21,'סקרי נכסים-יתרות פתיחה'!$2:$110,95,0),0)*(1-U$309)</f>
        <v>0</v>
      </c>
      <c r="V221" s="50">
        <f>+IFERROR(HLOOKUP(V21,'סקרי נכסים-יתרות פתיחה'!$2:$110,37,0),0)-IFERROR(HLOOKUP(V21,'סקרי נכסים-יתרות פתיחה'!$2:$110,95,0),0)*(1-V$309)</f>
        <v>0</v>
      </c>
      <c r="W221" s="50">
        <f>+IFERROR(HLOOKUP(W21,'סקרי נכסים-יתרות פתיחה'!$2:$110,37,0),0)-IFERROR(HLOOKUP(W21,'סקרי נכסים-יתרות פתיחה'!$2:$110,95,0),0)*(1-W$309)</f>
        <v>0</v>
      </c>
      <c r="X221" s="50">
        <f>+IFERROR(HLOOKUP(X21,'סקרי נכסים-יתרות פתיחה'!$2:$110,37,0),0)-IFERROR(HLOOKUP(X21,'סקרי נכסים-יתרות פתיחה'!$2:$110,95,0),0)*(1-X$309)</f>
        <v>0</v>
      </c>
      <c r="Y221" s="50">
        <f>+IFERROR(HLOOKUP(Y21,'סקרי נכסים-יתרות פתיחה'!$2:$110,37,0),0)-IFERROR(HLOOKUP(Y21,'סקרי נכסים-יתרות פתיחה'!$2:$110,95,0),0)*(1-Y$309)</f>
        <v>0</v>
      </c>
      <c r="Z221" s="50">
        <f>+IFERROR(HLOOKUP(Z21,'סקרי נכסים-יתרות פתיחה'!$2:$110,37,0),0)-IFERROR(HLOOKUP(Z21,'סקרי נכסים-יתרות פתיחה'!$2:$110,95,0),0)*(1-Z$309)</f>
        <v>0</v>
      </c>
      <c r="AA221" s="50">
        <f>+IFERROR(HLOOKUP(AA21,'סקרי נכסים-יתרות פתיחה'!$2:$110,37,0),0)-IFERROR(HLOOKUP(AA21,'סקרי נכסים-יתרות פתיחה'!$2:$110,95,0),0)*(1-AA$309)</f>
        <v>0</v>
      </c>
      <c r="AB221" s="50">
        <f>+IFERROR(HLOOKUP(AB21,'סקרי נכסים-יתרות פתיחה'!$2:$110,37,0),0)-IFERROR(HLOOKUP(AB21,'סקרי נכסים-יתרות פתיחה'!$2:$110,95,0),0)*(1-AB$309)</f>
        <v>0</v>
      </c>
      <c r="AC221" s="50">
        <f>+IFERROR(HLOOKUP(AC21,'סקרי נכסים-יתרות פתיחה'!$2:$110,37,0),0)-IFERROR(HLOOKUP(AC21,'סקרי נכסים-יתרות פתיחה'!$2:$110,95,0),0)*(1-AC$309)</f>
        <v>0</v>
      </c>
      <c r="AD221" s="50">
        <f>+IFERROR(HLOOKUP(AD21,'סקרי נכסים-יתרות פתיחה'!$2:$110,37,0),0)-IFERROR(HLOOKUP(AD21,'סקרי נכסים-יתרות פתיחה'!$2:$110,95,0),0)*(1-AD$309)</f>
        <v>0</v>
      </c>
      <c r="AE221" s="50">
        <f>+IFERROR(HLOOKUP(AE21,'סקרי נכסים-יתרות פתיחה'!$2:$110,37,0),0)-IFERROR(HLOOKUP(AE21,'סקרי נכסים-יתרות פתיחה'!$2:$110,95,0),0)*(1-AE$309)</f>
        <v>0</v>
      </c>
      <c r="AF221" s="50">
        <f>+IFERROR(HLOOKUP(AF21,'סקרי נכסים-יתרות פתיחה'!$2:$110,37,0),0)-IFERROR(HLOOKUP(AF21,'סקרי נכסים-יתרות פתיחה'!$2:$110,95,0),0)*(1-AF$309)</f>
        <v>0</v>
      </c>
      <c r="AG221" s="50">
        <f>+IFERROR(HLOOKUP(AG21,'סקרי נכסים-יתרות פתיחה'!$2:$110,37,0),0)-IFERROR(HLOOKUP(AG21,'סקרי נכסים-יתרות פתיחה'!$2:$110,95,0),0)*(1-AG$309)</f>
        <v>0</v>
      </c>
      <c r="AH221" s="50">
        <f>+IFERROR(HLOOKUP(AH21,'סקרי נכסים-יתרות פתיחה'!$2:$110,37,0),0)-IFERROR(HLOOKUP(AH21,'סקרי נכסים-יתרות פתיחה'!$2:$110,95,0),0)*(1-AH$309)</f>
        <v>0</v>
      </c>
      <c r="AI221" s="50">
        <f>+IFERROR(HLOOKUP(AI21,'סקרי נכסים-יתרות פתיחה'!$2:$110,37,0),0)-IFERROR(HLOOKUP(AI21,'סקרי נכסים-יתרות פתיחה'!$2:$110,95,0),0)*(1-AI$309)</f>
        <v>0</v>
      </c>
      <c r="AJ221" s="50">
        <f>+IFERROR(HLOOKUP(AJ21,'סקרי נכסים-יתרות פתיחה'!$2:$110,37,0),0)-IFERROR(HLOOKUP(AJ21,'סקרי נכסים-יתרות פתיחה'!$2:$110,95,0),0)*(1-AJ$309)</f>
        <v>0</v>
      </c>
      <c r="AK221" s="50">
        <f>+IFERROR(HLOOKUP(AK21,'סקרי נכסים-יתרות פתיחה'!$2:$110,37,0),0)-IFERROR(HLOOKUP(AK21,'סקרי נכסים-יתרות פתיחה'!$2:$110,95,0),0)*(1-AK$309)</f>
        <v>0</v>
      </c>
      <c r="AL221" s="50">
        <f>+IFERROR(HLOOKUP(AL21,'סקרי נכסים-יתרות פתיחה'!$2:$110,37,0),0)-IFERROR(HLOOKUP(AL21,'סקרי נכסים-יתרות פתיחה'!$2:$110,95,0),0)*(1-AL$309)</f>
        <v>0</v>
      </c>
      <c r="AM221" s="50">
        <f>+IFERROR(HLOOKUP(AM21,'סקרי נכסים-יתרות פתיחה'!$2:$110,37,0),0)-IFERROR(HLOOKUP(AM21,'סקרי נכסים-יתרות פתיחה'!$2:$110,95,0),0)*(1-AM$309)</f>
        <v>0</v>
      </c>
      <c r="AN221" s="50">
        <f>+IFERROR(HLOOKUP(AN21,'סקרי נכסים-יתרות פתיחה'!$2:$110,37,0),0)-IFERROR(HLOOKUP(AN21,'סקרי נכסים-יתרות פתיחה'!$2:$110,95,0),0)*(1-AN$309)</f>
        <v>0</v>
      </c>
      <c r="AO221" s="50">
        <f>+IFERROR(HLOOKUP(AO21,'סקרי נכסים-יתרות פתיחה'!$2:$110,37,0),0)-IFERROR(HLOOKUP(AO21,'סקרי נכסים-יתרות פתיחה'!$2:$110,95,0),0)*(1-AO$309)</f>
        <v>0</v>
      </c>
      <c r="AP221" s="50">
        <f>+IFERROR(HLOOKUP(AP21,'סקרי נכסים-יתרות פתיחה'!$2:$110,37,0),0)-IFERROR(HLOOKUP(AP21,'סקרי נכסים-יתרות פתיחה'!$2:$110,95,0),0)*(1-AP$309)</f>
        <v>0</v>
      </c>
      <c r="AQ221" s="50">
        <f>+IFERROR(HLOOKUP(AQ21,'סקרי נכסים-יתרות פתיחה'!$2:$110,37,0),0)-IFERROR(HLOOKUP(AQ21,'סקרי נכסים-יתרות פתיחה'!$2:$110,95,0),0)*(1-AQ$309)</f>
        <v>0</v>
      </c>
      <c r="AR221" s="50">
        <f>+IFERROR(HLOOKUP(AR21,'סקרי נכסים-יתרות פתיחה'!$2:$110,37,0),0)-IFERROR(HLOOKUP(AR21,'סקרי נכסים-יתרות פתיחה'!$2:$110,95,0),0)*(1-AR$309)</f>
        <v>0</v>
      </c>
      <c r="AS221" s="50">
        <f>+IFERROR(HLOOKUP(AS21,'סקרי נכסים-יתרות פתיחה'!$2:$110,37,0),0)-IFERROR(HLOOKUP(AS21,'סקרי נכסים-יתרות פתיחה'!$2:$110,95,0),0)*(1-AS$309)</f>
        <v>0</v>
      </c>
      <c r="AT221" s="50">
        <f>+IFERROR(HLOOKUP(AT21,'סקרי נכסים-יתרות פתיחה'!$2:$110,37,0),0)-IFERROR(HLOOKUP(AT21,'סקרי נכסים-יתרות פתיחה'!$2:$110,95,0),0)*(1-AT$309)</f>
        <v>0</v>
      </c>
      <c r="AU221" s="50">
        <f>+IFERROR(HLOOKUP(AU21,'סקרי נכסים-יתרות פתיחה'!$2:$110,37,0),0)-IFERROR(HLOOKUP(AU21,'סקרי נכסים-יתרות פתיחה'!$2:$110,95,0),0)*(1-AU$309)</f>
        <v>0</v>
      </c>
      <c r="AV221" s="50">
        <f>+IFERROR(HLOOKUP(AV21,'סקרי נכסים-יתרות פתיחה'!$2:$110,37,0),0)-IFERROR(HLOOKUP(AV21,'סקרי נכסים-יתרות פתיחה'!$2:$110,95,0),0)*(1-AV$309)</f>
        <v>0</v>
      </c>
      <c r="AW221" s="50">
        <f>+IFERROR(HLOOKUP(AW21,'סקרי נכסים-יתרות פתיחה'!$2:$110,37,0),0)-IFERROR(HLOOKUP(AW21,'סקרי נכסים-יתרות פתיחה'!$2:$110,95,0),0)*(1-AW$309)</f>
        <v>0</v>
      </c>
      <c r="AX221" s="50">
        <f>+IFERROR(HLOOKUP(AX21,'סקרי נכסים-יתרות פתיחה'!$2:$110,37,0),0)-IFERROR(HLOOKUP(AX21,'סקרי נכסים-יתרות פתיחה'!$2:$110,95,0),0)*(1-AX$309)</f>
        <v>0</v>
      </c>
      <c r="AY221" s="50">
        <f>+IFERROR(HLOOKUP(AY21,'סקרי נכסים-יתרות פתיחה'!$2:$110,37,0),0)-IFERROR(HLOOKUP(AY21,'סקרי נכסים-יתרות פתיחה'!$2:$110,95,0),0)*(1-AY$309)</f>
        <v>0</v>
      </c>
      <c r="AZ221" s="50">
        <f>+IFERROR(HLOOKUP(AZ21,'סקרי נכסים-יתרות פתיחה'!$2:$110,37,0),0)-IFERROR(HLOOKUP(AZ21,'סקרי נכסים-יתרות פתיחה'!$2:$110,95,0),0)*(1-AZ$309)</f>
        <v>0</v>
      </c>
      <c r="BA221" s="50">
        <f>+IFERROR(HLOOKUP(BA21,'סקרי נכסים-יתרות פתיחה'!$2:$110,37,0),0)-IFERROR(HLOOKUP(BA21,'סקרי נכסים-יתרות פתיחה'!$2:$110,95,0),0)*(1-BA$309)</f>
        <v>0</v>
      </c>
      <c r="BB221" s="50">
        <f>+IFERROR(HLOOKUP(BB21,'סקרי נכסים-יתרות פתיחה'!$2:$110,37,0),0)-IFERROR(HLOOKUP(BB21,'סקרי נכסים-יתרות פתיחה'!$2:$110,95,0),0)*(1-BB$309)</f>
        <v>0</v>
      </c>
      <c r="BC221" s="50">
        <f>+IFERROR(HLOOKUP(BC21,'סקרי נכסים-יתרות פתיחה'!$2:$110,37,0),0)-IFERROR(HLOOKUP(BC21,'סקרי נכסים-יתרות פתיחה'!$2:$110,95,0),0)*(1-BC$309)</f>
        <v>0</v>
      </c>
      <c r="BD221" s="50">
        <f>+IFERROR(HLOOKUP(BD21,'סקרי נכסים-יתרות פתיחה'!$2:$110,37,0),0)-IFERROR(HLOOKUP(BD21,'סקרי נכסים-יתרות פתיחה'!$2:$110,95,0),0)*(1-BD$309)</f>
        <v>0</v>
      </c>
      <c r="BE221" s="50">
        <f>+IFERROR(HLOOKUP(BE21,'סקרי נכסים-יתרות פתיחה'!$2:$110,37,0),0)-IFERROR(HLOOKUP(BE21,'סקרי נכסים-יתרות פתיחה'!$2:$110,95,0),0)*(1-BE$309)</f>
        <v>0</v>
      </c>
      <c r="BF221" s="50">
        <f>+IFERROR(HLOOKUP(BF21,'סקרי נכסים-יתרות פתיחה'!$2:$110,37,0),0)-IFERROR(HLOOKUP(BF21,'סקרי נכסים-יתרות פתיחה'!$2:$110,95,0),0)*(1-BF$309)</f>
        <v>0</v>
      </c>
    </row>
    <row r="222" spans="2:58" x14ac:dyDescent="0.2">
      <c r="B222" s="1">
        <v>19</v>
      </c>
      <c r="C222" s="50">
        <f>+IFERROR(HLOOKUP(C22,'סקרי נכסים-יתרות פתיחה'!$2:$110,37,0),0)-IFERROR(HLOOKUP(C22,'סקרי נכסים-יתרות פתיחה'!$2:$110,95,0),0)*(1-C$309)</f>
        <v>0</v>
      </c>
      <c r="D222" s="50">
        <f>+IFERROR(HLOOKUP(D22,'סקרי נכסים-יתרות פתיחה'!$2:$110,37,0),0)-IFERROR(HLOOKUP(D22,'סקרי נכסים-יתרות פתיחה'!$2:$110,95,0),0)*(1-D$309)</f>
        <v>0</v>
      </c>
      <c r="E222" s="50">
        <f>+IFERROR(HLOOKUP(E22,'סקרי נכסים-יתרות פתיחה'!$2:$110,37,0),0)-IFERROR(HLOOKUP(E22,'סקרי נכסים-יתרות פתיחה'!$2:$110,95,0),0)*(1-E$309)</f>
        <v>0</v>
      </c>
      <c r="F222" s="50">
        <f>+IFERROR(HLOOKUP(F22,'סקרי נכסים-יתרות פתיחה'!$2:$110,37,0),0)-IFERROR(HLOOKUP(F22,'סקרי נכסים-יתרות פתיחה'!$2:$110,95,0),0)*(1-F$309)</f>
        <v>0</v>
      </c>
      <c r="G222" s="50">
        <f>+IFERROR(HLOOKUP(G22,'סקרי נכסים-יתרות פתיחה'!$2:$110,37,0),0)-IFERROR(HLOOKUP(G22,'סקרי נכסים-יתרות פתיחה'!$2:$110,95,0),0)*(1-G$309)</f>
        <v>0</v>
      </c>
      <c r="H222" s="50">
        <f>+IFERROR(HLOOKUP(H22,'סקרי נכסים-יתרות פתיחה'!$2:$110,37,0),0)-IFERROR(HLOOKUP(H22,'סקרי נכסים-יתרות פתיחה'!$2:$110,95,0),0)*(1-H$309)</f>
        <v>0</v>
      </c>
      <c r="I222" s="50">
        <f>+IFERROR(HLOOKUP(I22,'סקרי נכסים-יתרות פתיחה'!$2:$110,37,0),0)-IFERROR(HLOOKUP(I22,'סקרי נכסים-יתרות פתיחה'!$2:$110,95,0),0)*(1-I$309)</f>
        <v>0</v>
      </c>
      <c r="J222" s="50">
        <f>+IFERROR(HLOOKUP(J22,'סקרי נכסים-יתרות פתיחה'!$2:$110,37,0),0)-IFERROR(HLOOKUP(J22,'סקרי נכסים-יתרות פתיחה'!$2:$110,95,0),0)*(1-J$309)</f>
        <v>0</v>
      </c>
      <c r="K222" s="50">
        <f>+IFERROR(HLOOKUP(K22,'סקרי נכסים-יתרות פתיחה'!$2:$110,37,0),0)-IFERROR(HLOOKUP(K22,'סקרי נכסים-יתרות פתיחה'!$2:$110,95,0),0)*(1-K$309)</f>
        <v>0</v>
      </c>
      <c r="L222" s="50">
        <f>+IFERROR(HLOOKUP(L22,'סקרי נכסים-יתרות פתיחה'!$2:$110,37,0),0)-IFERROR(HLOOKUP(L22,'סקרי נכסים-יתרות פתיחה'!$2:$110,95,0),0)*(1-L$309)</f>
        <v>0</v>
      </c>
      <c r="M222" s="50">
        <f>+IFERROR(HLOOKUP(M22,'סקרי נכסים-יתרות פתיחה'!$2:$110,37,0),0)-IFERROR(HLOOKUP(M22,'סקרי נכסים-יתרות פתיחה'!$2:$110,95,0),0)*(1-M$309)</f>
        <v>0</v>
      </c>
      <c r="N222" s="50">
        <f>+IFERROR(HLOOKUP(N22,'סקרי נכסים-יתרות פתיחה'!$2:$110,37,0),0)-IFERROR(HLOOKUP(N22,'סקרי נכסים-יתרות פתיחה'!$2:$110,95,0),0)*(1-N$309)</f>
        <v>0</v>
      </c>
      <c r="O222" s="50">
        <f>+IFERROR(HLOOKUP(O22,'סקרי נכסים-יתרות פתיחה'!$2:$110,37,0),0)-IFERROR(HLOOKUP(O22,'סקרי נכסים-יתרות פתיחה'!$2:$110,95,0),0)*(1-O$309)</f>
        <v>0</v>
      </c>
      <c r="P222" s="50">
        <f>+IFERROR(HLOOKUP(P22,'סקרי נכסים-יתרות פתיחה'!$2:$110,37,0),0)-IFERROR(HLOOKUP(P22,'סקרי נכסים-יתרות פתיחה'!$2:$110,95,0),0)*(1-P$309)</f>
        <v>0</v>
      </c>
      <c r="Q222" s="50">
        <f>+IFERROR(HLOOKUP(Q22,'סקרי נכסים-יתרות פתיחה'!$2:$110,37,0),0)-IFERROR(HLOOKUP(Q22,'סקרי נכסים-יתרות פתיחה'!$2:$110,95,0),0)*(1-Q$309)</f>
        <v>0</v>
      </c>
      <c r="R222" s="50">
        <f>+IFERROR(HLOOKUP(R22,'סקרי נכסים-יתרות פתיחה'!$2:$110,37,0),0)-IFERROR(HLOOKUP(R22,'סקרי נכסים-יתרות פתיחה'!$2:$110,95,0),0)*(1-R$309)</f>
        <v>0</v>
      </c>
      <c r="S222" s="50">
        <f>+IFERROR(HLOOKUP(S22,'סקרי נכסים-יתרות פתיחה'!$2:$110,37,0),0)-IFERROR(HLOOKUP(S22,'סקרי נכסים-יתרות פתיחה'!$2:$110,95,0),0)*(1-S$309)</f>
        <v>0</v>
      </c>
      <c r="T222" s="50">
        <f>+IFERROR(HLOOKUP(T22,'סקרי נכסים-יתרות פתיחה'!$2:$110,37,0),0)-IFERROR(HLOOKUP(T22,'סקרי נכסים-יתרות פתיחה'!$2:$110,95,0),0)*(1-T$309)</f>
        <v>0</v>
      </c>
      <c r="U222" s="50">
        <f>+IFERROR(HLOOKUP(U22,'סקרי נכסים-יתרות פתיחה'!$2:$110,37,0),0)-IFERROR(HLOOKUP(U22,'סקרי נכסים-יתרות פתיחה'!$2:$110,95,0),0)*(1-U$309)</f>
        <v>0</v>
      </c>
      <c r="V222" s="50">
        <f>+IFERROR(HLOOKUP(V22,'סקרי נכסים-יתרות פתיחה'!$2:$110,37,0),0)-IFERROR(HLOOKUP(V22,'סקרי נכסים-יתרות פתיחה'!$2:$110,95,0),0)*(1-V$309)</f>
        <v>0</v>
      </c>
      <c r="W222" s="50">
        <f>+IFERROR(HLOOKUP(W22,'סקרי נכסים-יתרות פתיחה'!$2:$110,37,0),0)-IFERROR(HLOOKUP(W22,'סקרי נכסים-יתרות פתיחה'!$2:$110,95,0),0)*(1-W$309)</f>
        <v>0</v>
      </c>
      <c r="X222" s="50">
        <f>+IFERROR(HLOOKUP(X22,'סקרי נכסים-יתרות פתיחה'!$2:$110,37,0),0)-IFERROR(HLOOKUP(X22,'סקרי נכסים-יתרות פתיחה'!$2:$110,95,0),0)*(1-X$309)</f>
        <v>0</v>
      </c>
      <c r="Y222" s="50">
        <f>+IFERROR(HLOOKUP(Y22,'סקרי נכסים-יתרות פתיחה'!$2:$110,37,0),0)-IFERROR(HLOOKUP(Y22,'סקרי נכסים-יתרות פתיחה'!$2:$110,95,0),0)*(1-Y$309)</f>
        <v>0</v>
      </c>
      <c r="Z222" s="50">
        <f>+IFERROR(HLOOKUP(Z22,'סקרי נכסים-יתרות פתיחה'!$2:$110,37,0),0)-IFERROR(HLOOKUP(Z22,'סקרי נכסים-יתרות פתיחה'!$2:$110,95,0),0)*(1-Z$309)</f>
        <v>0</v>
      </c>
      <c r="AA222" s="50">
        <f>+IFERROR(HLOOKUP(AA22,'סקרי נכסים-יתרות פתיחה'!$2:$110,37,0),0)-IFERROR(HLOOKUP(AA22,'סקרי נכסים-יתרות פתיחה'!$2:$110,95,0),0)*(1-AA$309)</f>
        <v>0</v>
      </c>
      <c r="AB222" s="50">
        <f>+IFERROR(HLOOKUP(AB22,'סקרי נכסים-יתרות פתיחה'!$2:$110,37,0),0)-IFERROR(HLOOKUP(AB22,'סקרי נכסים-יתרות פתיחה'!$2:$110,95,0),0)*(1-AB$309)</f>
        <v>0</v>
      </c>
      <c r="AC222" s="50">
        <f>+IFERROR(HLOOKUP(AC22,'סקרי נכסים-יתרות פתיחה'!$2:$110,37,0),0)-IFERROR(HLOOKUP(AC22,'סקרי נכסים-יתרות פתיחה'!$2:$110,95,0),0)*(1-AC$309)</f>
        <v>0</v>
      </c>
      <c r="AD222" s="50">
        <f>+IFERROR(HLOOKUP(AD22,'סקרי נכסים-יתרות פתיחה'!$2:$110,37,0),0)-IFERROR(HLOOKUP(AD22,'סקרי נכסים-יתרות פתיחה'!$2:$110,95,0),0)*(1-AD$309)</f>
        <v>0</v>
      </c>
      <c r="AE222" s="50">
        <f>+IFERROR(HLOOKUP(AE22,'סקרי נכסים-יתרות פתיחה'!$2:$110,37,0),0)-IFERROR(HLOOKUP(AE22,'סקרי נכסים-יתרות פתיחה'!$2:$110,95,0),0)*(1-AE$309)</f>
        <v>0</v>
      </c>
      <c r="AF222" s="50">
        <f>+IFERROR(HLOOKUP(AF22,'סקרי נכסים-יתרות פתיחה'!$2:$110,37,0),0)-IFERROR(HLOOKUP(AF22,'סקרי נכסים-יתרות פתיחה'!$2:$110,95,0),0)*(1-AF$309)</f>
        <v>0</v>
      </c>
      <c r="AG222" s="50">
        <f>+IFERROR(HLOOKUP(AG22,'סקרי נכסים-יתרות פתיחה'!$2:$110,37,0),0)-IFERROR(HLOOKUP(AG22,'סקרי נכסים-יתרות פתיחה'!$2:$110,95,0),0)*(1-AG$309)</f>
        <v>0</v>
      </c>
      <c r="AH222" s="50">
        <f>+IFERROR(HLOOKUP(AH22,'סקרי נכסים-יתרות פתיחה'!$2:$110,37,0),0)-IFERROR(HLOOKUP(AH22,'סקרי נכסים-יתרות פתיחה'!$2:$110,95,0),0)*(1-AH$309)</f>
        <v>0</v>
      </c>
      <c r="AI222" s="50">
        <f>+IFERROR(HLOOKUP(AI22,'סקרי נכסים-יתרות פתיחה'!$2:$110,37,0),0)-IFERROR(HLOOKUP(AI22,'סקרי נכסים-יתרות פתיחה'!$2:$110,95,0),0)*(1-AI$309)</f>
        <v>0</v>
      </c>
      <c r="AJ222" s="50">
        <f>+IFERROR(HLOOKUP(AJ22,'סקרי נכסים-יתרות פתיחה'!$2:$110,37,0),0)-IFERROR(HLOOKUP(AJ22,'סקרי נכסים-יתרות פתיחה'!$2:$110,95,0),0)*(1-AJ$309)</f>
        <v>0</v>
      </c>
      <c r="AK222" s="50">
        <f>+IFERROR(HLOOKUP(AK22,'סקרי נכסים-יתרות פתיחה'!$2:$110,37,0),0)-IFERROR(HLOOKUP(AK22,'סקרי נכסים-יתרות פתיחה'!$2:$110,95,0),0)*(1-AK$309)</f>
        <v>0</v>
      </c>
      <c r="AL222" s="50">
        <f>+IFERROR(HLOOKUP(AL22,'סקרי נכסים-יתרות פתיחה'!$2:$110,37,0),0)-IFERROR(HLOOKUP(AL22,'סקרי נכסים-יתרות פתיחה'!$2:$110,95,0),0)*(1-AL$309)</f>
        <v>0</v>
      </c>
      <c r="AM222" s="50">
        <f>+IFERROR(HLOOKUP(AM22,'סקרי נכסים-יתרות פתיחה'!$2:$110,37,0),0)-IFERROR(HLOOKUP(AM22,'סקרי נכסים-יתרות פתיחה'!$2:$110,95,0),0)*(1-AM$309)</f>
        <v>0</v>
      </c>
      <c r="AN222" s="50">
        <f>+IFERROR(HLOOKUP(AN22,'סקרי נכסים-יתרות פתיחה'!$2:$110,37,0),0)-IFERROR(HLOOKUP(AN22,'סקרי נכסים-יתרות פתיחה'!$2:$110,95,0),0)*(1-AN$309)</f>
        <v>0</v>
      </c>
      <c r="AO222" s="50">
        <f>+IFERROR(HLOOKUP(AO22,'סקרי נכסים-יתרות פתיחה'!$2:$110,37,0),0)-IFERROR(HLOOKUP(AO22,'סקרי נכסים-יתרות פתיחה'!$2:$110,95,0),0)*(1-AO$309)</f>
        <v>0</v>
      </c>
      <c r="AP222" s="50">
        <f>+IFERROR(HLOOKUP(AP22,'סקרי נכסים-יתרות פתיחה'!$2:$110,37,0),0)-IFERROR(HLOOKUP(AP22,'סקרי נכסים-יתרות פתיחה'!$2:$110,95,0),0)*(1-AP$309)</f>
        <v>0</v>
      </c>
      <c r="AQ222" s="50">
        <f>+IFERROR(HLOOKUP(AQ22,'סקרי נכסים-יתרות פתיחה'!$2:$110,37,0),0)-IFERROR(HLOOKUP(AQ22,'סקרי נכסים-יתרות פתיחה'!$2:$110,95,0),0)*(1-AQ$309)</f>
        <v>0</v>
      </c>
      <c r="AR222" s="50">
        <f>+IFERROR(HLOOKUP(AR22,'סקרי נכסים-יתרות פתיחה'!$2:$110,37,0),0)-IFERROR(HLOOKUP(AR22,'סקרי נכסים-יתרות פתיחה'!$2:$110,95,0),0)*(1-AR$309)</f>
        <v>0</v>
      </c>
      <c r="AS222" s="50">
        <f>+IFERROR(HLOOKUP(AS22,'סקרי נכסים-יתרות פתיחה'!$2:$110,37,0),0)-IFERROR(HLOOKUP(AS22,'סקרי נכסים-יתרות פתיחה'!$2:$110,95,0),0)*(1-AS$309)</f>
        <v>0</v>
      </c>
      <c r="AT222" s="50">
        <f>+IFERROR(HLOOKUP(AT22,'סקרי נכסים-יתרות פתיחה'!$2:$110,37,0),0)-IFERROR(HLOOKUP(AT22,'סקרי נכסים-יתרות פתיחה'!$2:$110,95,0),0)*(1-AT$309)</f>
        <v>0</v>
      </c>
      <c r="AU222" s="50">
        <f>+IFERROR(HLOOKUP(AU22,'סקרי נכסים-יתרות פתיחה'!$2:$110,37,0),0)-IFERROR(HLOOKUP(AU22,'סקרי נכסים-יתרות פתיחה'!$2:$110,95,0),0)*(1-AU$309)</f>
        <v>0</v>
      </c>
      <c r="AV222" s="50">
        <f>+IFERROR(HLOOKUP(AV22,'סקרי נכסים-יתרות פתיחה'!$2:$110,37,0),0)-IFERROR(HLOOKUP(AV22,'סקרי נכסים-יתרות פתיחה'!$2:$110,95,0),0)*(1-AV$309)</f>
        <v>0</v>
      </c>
      <c r="AW222" s="50">
        <f>+IFERROR(HLOOKUP(AW22,'סקרי נכסים-יתרות פתיחה'!$2:$110,37,0),0)-IFERROR(HLOOKUP(AW22,'סקרי נכסים-יתרות פתיחה'!$2:$110,95,0),0)*(1-AW$309)</f>
        <v>0</v>
      </c>
      <c r="AX222" s="50">
        <f>+IFERROR(HLOOKUP(AX22,'סקרי נכסים-יתרות פתיחה'!$2:$110,37,0),0)-IFERROR(HLOOKUP(AX22,'סקרי נכסים-יתרות פתיחה'!$2:$110,95,0),0)*(1-AX$309)</f>
        <v>0</v>
      </c>
      <c r="AY222" s="50">
        <f>+IFERROR(HLOOKUP(AY22,'סקרי נכסים-יתרות פתיחה'!$2:$110,37,0),0)-IFERROR(HLOOKUP(AY22,'סקרי נכסים-יתרות פתיחה'!$2:$110,95,0),0)*(1-AY$309)</f>
        <v>0</v>
      </c>
      <c r="AZ222" s="50">
        <f>+IFERROR(HLOOKUP(AZ22,'סקרי נכסים-יתרות פתיחה'!$2:$110,37,0),0)-IFERROR(HLOOKUP(AZ22,'סקרי נכסים-יתרות פתיחה'!$2:$110,95,0),0)*(1-AZ$309)</f>
        <v>0</v>
      </c>
      <c r="BA222" s="50">
        <f>+IFERROR(HLOOKUP(BA22,'סקרי נכסים-יתרות פתיחה'!$2:$110,37,0),0)-IFERROR(HLOOKUP(BA22,'סקרי נכסים-יתרות פתיחה'!$2:$110,95,0),0)*(1-BA$309)</f>
        <v>0</v>
      </c>
      <c r="BB222" s="50">
        <f>+IFERROR(HLOOKUP(BB22,'סקרי נכסים-יתרות פתיחה'!$2:$110,37,0),0)-IFERROR(HLOOKUP(BB22,'סקרי נכסים-יתרות פתיחה'!$2:$110,95,0),0)*(1-BB$309)</f>
        <v>0</v>
      </c>
      <c r="BC222" s="50">
        <f>+IFERROR(HLOOKUP(BC22,'סקרי נכסים-יתרות פתיחה'!$2:$110,37,0),0)-IFERROR(HLOOKUP(BC22,'סקרי נכסים-יתרות פתיחה'!$2:$110,95,0),0)*(1-BC$309)</f>
        <v>0</v>
      </c>
      <c r="BD222" s="50">
        <f>+IFERROR(HLOOKUP(BD22,'סקרי נכסים-יתרות פתיחה'!$2:$110,37,0),0)-IFERROR(HLOOKUP(BD22,'סקרי נכסים-יתרות פתיחה'!$2:$110,95,0),0)*(1-BD$309)</f>
        <v>0</v>
      </c>
      <c r="BE222" s="50">
        <f>+IFERROR(HLOOKUP(BE22,'סקרי נכסים-יתרות פתיחה'!$2:$110,37,0),0)-IFERROR(HLOOKUP(BE22,'סקרי נכסים-יתרות פתיחה'!$2:$110,95,0),0)*(1-BE$309)</f>
        <v>0</v>
      </c>
      <c r="BF222" s="50">
        <f>+IFERROR(HLOOKUP(BF22,'סקרי נכסים-יתרות פתיחה'!$2:$110,37,0),0)-IFERROR(HLOOKUP(BF22,'סקרי נכסים-יתרות פתיחה'!$2:$110,95,0),0)*(1-BF$309)</f>
        <v>0</v>
      </c>
    </row>
    <row r="223" spans="2:58" x14ac:dyDescent="0.2">
      <c r="B223" s="1">
        <v>20</v>
      </c>
      <c r="C223" s="50">
        <f>+IFERROR(HLOOKUP(C23,'סקרי נכסים-יתרות פתיחה'!$2:$110,37,0),0)-IFERROR(HLOOKUP(C23,'סקרי נכסים-יתרות פתיחה'!$2:$110,95,0),0)*(1-C$309)</f>
        <v>0</v>
      </c>
      <c r="D223" s="50">
        <f>+IFERROR(HLOOKUP(D23,'סקרי נכסים-יתרות פתיחה'!$2:$110,37,0),0)-IFERROR(HLOOKUP(D23,'סקרי נכסים-יתרות פתיחה'!$2:$110,95,0),0)*(1-D$309)</f>
        <v>0</v>
      </c>
      <c r="E223" s="50">
        <f>+IFERROR(HLOOKUP(E23,'סקרי נכסים-יתרות פתיחה'!$2:$110,37,0),0)-IFERROR(HLOOKUP(E23,'סקרי נכסים-יתרות פתיחה'!$2:$110,95,0),0)*(1-E$309)</f>
        <v>0</v>
      </c>
      <c r="F223" s="50">
        <f>+IFERROR(HLOOKUP(F23,'סקרי נכסים-יתרות פתיחה'!$2:$110,37,0),0)-IFERROR(HLOOKUP(F23,'סקרי נכסים-יתרות פתיחה'!$2:$110,95,0),0)*(1-F$309)</f>
        <v>0</v>
      </c>
      <c r="G223" s="50">
        <f>+IFERROR(HLOOKUP(G23,'סקרי נכסים-יתרות פתיחה'!$2:$110,37,0),0)-IFERROR(HLOOKUP(G23,'סקרי נכסים-יתרות פתיחה'!$2:$110,95,0),0)*(1-G$309)</f>
        <v>0</v>
      </c>
      <c r="H223" s="50">
        <f>+IFERROR(HLOOKUP(H23,'סקרי נכסים-יתרות פתיחה'!$2:$110,37,0),0)-IFERROR(HLOOKUP(H23,'סקרי נכסים-יתרות פתיחה'!$2:$110,95,0),0)*(1-H$309)</f>
        <v>0</v>
      </c>
      <c r="I223" s="50">
        <f>+IFERROR(HLOOKUP(I23,'סקרי נכסים-יתרות פתיחה'!$2:$110,37,0),0)-IFERROR(HLOOKUP(I23,'סקרי נכסים-יתרות פתיחה'!$2:$110,95,0),0)*(1-I$309)</f>
        <v>0</v>
      </c>
      <c r="J223" s="50">
        <f>+IFERROR(HLOOKUP(J23,'סקרי נכסים-יתרות פתיחה'!$2:$110,37,0),0)-IFERROR(HLOOKUP(J23,'סקרי נכסים-יתרות פתיחה'!$2:$110,95,0),0)*(1-J$309)</f>
        <v>0</v>
      </c>
      <c r="K223" s="50">
        <f>+IFERROR(HLOOKUP(K23,'סקרי נכסים-יתרות פתיחה'!$2:$110,37,0),0)-IFERROR(HLOOKUP(K23,'סקרי נכסים-יתרות פתיחה'!$2:$110,95,0),0)*(1-K$309)</f>
        <v>0</v>
      </c>
      <c r="L223" s="50">
        <f>+IFERROR(HLOOKUP(L23,'סקרי נכסים-יתרות פתיחה'!$2:$110,37,0),0)-IFERROR(HLOOKUP(L23,'סקרי נכסים-יתרות פתיחה'!$2:$110,95,0),0)*(1-L$309)</f>
        <v>0</v>
      </c>
      <c r="M223" s="50">
        <f>+IFERROR(HLOOKUP(M23,'סקרי נכסים-יתרות פתיחה'!$2:$110,37,0),0)-IFERROR(HLOOKUP(M23,'סקרי נכסים-יתרות פתיחה'!$2:$110,95,0),0)*(1-M$309)</f>
        <v>0</v>
      </c>
      <c r="N223" s="50">
        <f>+IFERROR(HLOOKUP(N23,'סקרי נכסים-יתרות פתיחה'!$2:$110,37,0),0)-IFERROR(HLOOKUP(N23,'סקרי נכסים-יתרות פתיחה'!$2:$110,95,0),0)*(1-N$309)</f>
        <v>0</v>
      </c>
      <c r="O223" s="50">
        <f>+IFERROR(HLOOKUP(O23,'סקרי נכסים-יתרות פתיחה'!$2:$110,37,0),0)-IFERROR(HLOOKUP(O23,'סקרי נכסים-יתרות פתיחה'!$2:$110,95,0),0)*(1-O$309)</f>
        <v>0</v>
      </c>
      <c r="P223" s="50">
        <f>+IFERROR(HLOOKUP(P23,'סקרי נכסים-יתרות פתיחה'!$2:$110,37,0),0)-IFERROR(HLOOKUP(P23,'סקרי נכסים-יתרות פתיחה'!$2:$110,95,0),0)*(1-P$309)</f>
        <v>0</v>
      </c>
      <c r="Q223" s="50">
        <f>+IFERROR(HLOOKUP(Q23,'סקרי נכסים-יתרות פתיחה'!$2:$110,37,0),0)-IFERROR(HLOOKUP(Q23,'סקרי נכסים-יתרות פתיחה'!$2:$110,95,0),0)*(1-Q$309)</f>
        <v>0</v>
      </c>
      <c r="R223" s="50">
        <f>+IFERROR(HLOOKUP(R23,'סקרי נכסים-יתרות פתיחה'!$2:$110,37,0),0)-IFERROR(HLOOKUP(R23,'סקרי נכסים-יתרות פתיחה'!$2:$110,95,0),0)*(1-R$309)</f>
        <v>0</v>
      </c>
      <c r="S223" s="50">
        <f>+IFERROR(HLOOKUP(S23,'סקרי נכסים-יתרות פתיחה'!$2:$110,37,0),0)-IFERROR(HLOOKUP(S23,'סקרי נכסים-יתרות פתיחה'!$2:$110,95,0),0)*(1-S$309)</f>
        <v>0</v>
      </c>
      <c r="T223" s="50">
        <f>+IFERROR(HLOOKUP(T23,'סקרי נכסים-יתרות פתיחה'!$2:$110,37,0),0)-IFERROR(HLOOKUP(T23,'סקרי נכסים-יתרות פתיחה'!$2:$110,95,0),0)*(1-T$309)</f>
        <v>0</v>
      </c>
      <c r="U223" s="50">
        <f>+IFERROR(HLOOKUP(U23,'סקרי נכסים-יתרות פתיחה'!$2:$110,37,0),0)-IFERROR(HLOOKUP(U23,'סקרי נכסים-יתרות פתיחה'!$2:$110,95,0),0)*(1-U$309)</f>
        <v>0</v>
      </c>
      <c r="V223" s="50">
        <f>+IFERROR(HLOOKUP(V23,'סקרי נכסים-יתרות פתיחה'!$2:$110,37,0),0)-IFERROR(HLOOKUP(V23,'סקרי נכסים-יתרות פתיחה'!$2:$110,95,0),0)*(1-V$309)</f>
        <v>0</v>
      </c>
      <c r="W223" s="50">
        <f>+IFERROR(HLOOKUP(W23,'סקרי נכסים-יתרות פתיחה'!$2:$110,37,0),0)-IFERROR(HLOOKUP(W23,'סקרי נכסים-יתרות פתיחה'!$2:$110,95,0),0)*(1-W$309)</f>
        <v>0</v>
      </c>
      <c r="X223" s="50">
        <f>+IFERROR(HLOOKUP(X23,'סקרי נכסים-יתרות פתיחה'!$2:$110,37,0),0)-IFERROR(HLOOKUP(X23,'סקרי נכסים-יתרות פתיחה'!$2:$110,95,0),0)*(1-X$309)</f>
        <v>0</v>
      </c>
      <c r="Y223" s="50">
        <f>+IFERROR(HLOOKUP(Y23,'סקרי נכסים-יתרות פתיחה'!$2:$110,37,0),0)-IFERROR(HLOOKUP(Y23,'סקרי נכסים-יתרות פתיחה'!$2:$110,95,0),0)*(1-Y$309)</f>
        <v>0</v>
      </c>
      <c r="Z223" s="50">
        <f>+IFERROR(HLOOKUP(Z23,'סקרי נכסים-יתרות פתיחה'!$2:$110,37,0),0)-IFERROR(HLOOKUP(Z23,'סקרי נכסים-יתרות פתיחה'!$2:$110,95,0),0)*(1-Z$309)</f>
        <v>0</v>
      </c>
      <c r="AA223" s="50">
        <f>+IFERROR(HLOOKUP(AA23,'סקרי נכסים-יתרות פתיחה'!$2:$110,37,0),0)-IFERROR(HLOOKUP(AA23,'סקרי נכסים-יתרות פתיחה'!$2:$110,95,0),0)*(1-AA$309)</f>
        <v>0</v>
      </c>
      <c r="AB223" s="50">
        <f>+IFERROR(HLOOKUP(AB23,'סקרי נכסים-יתרות פתיחה'!$2:$110,37,0),0)-IFERROR(HLOOKUP(AB23,'סקרי נכסים-יתרות פתיחה'!$2:$110,95,0),0)*(1-AB$309)</f>
        <v>0</v>
      </c>
      <c r="AC223" s="50">
        <f>+IFERROR(HLOOKUP(AC23,'סקרי נכסים-יתרות פתיחה'!$2:$110,37,0),0)-IFERROR(HLOOKUP(AC23,'סקרי נכסים-יתרות פתיחה'!$2:$110,95,0),0)*(1-AC$309)</f>
        <v>0</v>
      </c>
      <c r="AD223" s="50">
        <f>+IFERROR(HLOOKUP(AD23,'סקרי נכסים-יתרות פתיחה'!$2:$110,37,0),0)-IFERROR(HLOOKUP(AD23,'סקרי נכסים-יתרות פתיחה'!$2:$110,95,0),0)*(1-AD$309)</f>
        <v>0</v>
      </c>
      <c r="AE223" s="50">
        <f>+IFERROR(HLOOKUP(AE23,'סקרי נכסים-יתרות פתיחה'!$2:$110,37,0),0)-IFERROR(HLOOKUP(AE23,'סקרי נכסים-יתרות פתיחה'!$2:$110,95,0),0)*(1-AE$309)</f>
        <v>0</v>
      </c>
      <c r="AF223" s="50">
        <f>+IFERROR(HLOOKUP(AF23,'סקרי נכסים-יתרות פתיחה'!$2:$110,37,0),0)-IFERROR(HLOOKUP(AF23,'סקרי נכסים-יתרות פתיחה'!$2:$110,95,0),0)*(1-AF$309)</f>
        <v>0</v>
      </c>
      <c r="AG223" s="50">
        <f>+IFERROR(HLOOKUP(AG23,'סקרי נכסים-יתרות פתיחה'!$2:$110,37,0),0)-IFERROR(HLOOKUP(AG23,'סקרי נכסים-יתרות פתיחה'!$2:$110,95,0),0)*(1-AG$309)</f>
        <v>0</v>
      </c>
      <c r="AH223" s="50">
        <f>+IFERROR(HLOOKUP(AH23,'סקרי נכסים-יתרות פתיחה'!$2:$110,37,0),0)-IFERROR(HLOOKUP(AH23,'סקרי נכסים-יתרות פתיחה'!$2:$110,95,0),0)*(1-AH$309)</f>
        <v>0</v>
      </c>
      <c r="AI223" s="50">
        <f>+IFERROR(HLOOKUP(AI23,'סקרי נכסים-יתרות פתיחה'!$2:$110,37,0),0)-IFERROR(HLOOKUP(AI23,'סקרי נכסים-יתרות פתיחה'!$2:$110,95,0),0)*(1-AI$309)</f>
        <v>0</v>
      </c>
      <c r="AJ223" s="50">
        <f>+IFERROR(HLOOKUP(AJ23,'סקרי נכסים-יתרות פתיחה'!$2:$110,37,0),0)-IFERROR(HLOOKUP(AJ23,'סקרי נכסים-יתרות פתיחה'!$2:$110,95,0),0)*(1-AJ$309)</f>
        <v>0</v>
      </c>
      <c r="AK223" s="50">
        <f>+IFERROR(HLOOKUP(AK23,'סקרי נכסים-יתרות פתיחה'!$2:$110,37,0),0)-IFERROR(HLOOKUP(AK23,'סקרי נכסים-יתרות פתיחה'!$2:$110,95,0),0)*(1-AK$309)</f>
        <v>0</v>
      </c>
      <c r="AL223" s="50">
        <f>+IFERROR(HLOOKUP(AL23,'סקרי נכסים-יתרות פתיחה'!$2:$110,37,0),0)-IFERROR(HLOOKUP(AL23,'סקרי נכסים-יתרות פתיחה'!$2:$110,95,0),0)*(1-AL$309)</f>
        <v>0</v>
      </c>
      <c r="AM223" s="50">
        <f>+IFERROR(HLOOKUP(AM23,'סקרי נכסים-יתרות פתיחה'!$2:$110,37,0),0)-IFERROR(HLOOKUP(AM23,'סקרי נכסים-יתרות פתיחה'!$2:$110,95,0),0)*(1-AM$309)</f>
        <v>0</v>
      </c>
      <c r="AN223" s="50">
        <f>+IFERROR(HLOOKUP(AN23,'סקרי נכסים-יתרות פתיחה'!$2:$110,37,0),0)-IFERROR(HLOOKUP(AN23,'סקרי נכסים-יתרות פתיחה'!$2:$110,95,0),0)*(1-AN$309)</f>
        <v>0</v>
      </c>
      <c r="AO223" s="50">
        <f>+IFERROR(HLOOKUP(AO23,'סקרי נכסים-יתרות פתיחה'!$2:$110,37,0),0)-IFERROR(HLOOKUP(AO23,'סקרי נכסים-יתרות פתיחה'!$2:$110,95,0),0)*(1-AO$309)</f>
        <v>0</v>
      </c>
      <c r="AP223" s="50">
        <f>+IFERROR(HLOOKUP(AP23,'סקרי נכסים-יתרות פתיחה'!$2:$110,37,0),0)-IFERROR(HLOOKUP(AP23,'סקרי נכסים-יתרות פתיחה'!$2:$110,95,0),0)*(1-AP$309)</f>
        <v>0</v>
      </c>
      <c r="AQ223" s="50">
        <f>+IFERROR(HLOOKUP(AQ23,'סקרי נכסים-יתרות פתיחה'!$2:$110,37,0),0)-IFERROR(HLOOKUP(AQ23,'סקרי נכסים-יתרות פתיחה'!$2:$110,95,0),0)*(1-AQ$309)</f>
        <v>0</v>
      </c>
      <c r="AR223" s="50">
        <f>+IFERROR(HLOOKUP(AR23,'סקרי נכסים-יתרות פתיחה'!$2:$110,37,0),0)-IFERROR(HLOOKUP(AR23,'סקרי נכסים-יתרות פתיחה'!$2:$110,95,0),0)*(1-AR$309)</f>
        <v>0</v>
      </c>
      <c r="AS223" s="50">
        <f>+IFERROR(HLOOKUP(AS23,'סקרי נכסים-יתרות פתיחה'!$2:$110,37,0),0)-IFERROR(HLOOKUP(AS23,'סקרי נכסים-יתרות פתיחה'!$2:$110,95,0),0)*(1-AS$309)</f>
        <v>0</v>
      </c>
      <c r="AT223" s="50">
        <f>+IFERROR(HLOOKUP(AT23,'סקרי נכסים-יתרות פתיחה'!$2:$110,37,0),0)-IFERROR(HLOOKUP(AT23,'סקרי נכסים-יתרות פתיחה'!$2:$110,95,0),0)*(1-AT$309)</f>
        <v>0</v>
      </c>
      <c r="AU223" s="50">
        <f>+IFERROR(HLOOKUP(AU23,'סקרי נכסים-יתרות פתיחה'!$2:$110,37,0),0)-IFERROR(HLOOKUP(AU23,'סקרי נכסים-יתרות פתיחה'!$2:$110,95,0),0)*(1-AU$309)</f>
        <v>0</v>
      </c>
      <c r="AV223" s="50">
        <f>+IFERROR(HLOOKUP(AV23,'סקרי נכסים-יתרות פתיחה'!$2:$110,37,0),0)-IFERROR(HLOOKUP(AV23,'סקרי נכסים-יתרות פתיחה'!$2:$110,95,0),0)*(1-AV$309)</f>
        <v>0</v>
      </c>
      <c r="AW223" s="50">
        <f>+IFERROR(HLOOKUP(AW23,'סקרי נכסים-יתרות פתיחה'!$2:$110,37,0),0)-IFERROR(HLOOKUP(AW23,'סקרי נכסים-יתרות פתיחה'!$2:$110,95,0),0)*(1-AW$309)</f>
        <v>0</v>
      </c>
      <c r="AX223" s="50">
        <f>+IFERROR(HLOOKUP(AX23,'סקרי נכסים-יתרות פתיחה'!$2:$110,37,0),0)-IFERROR(HLOOKUP(AX23,'סקרי נכסים-יתרות פתיחה'!$2:$110,95,0),0)*(1-AX$309)</f>
        <v>0</v>
      </c>
      <c r="AY223" s="50">
        <f>+IFERROR(HLOOKUP(AY23,'סקרי נכסים-יתרות פתיחה'!$2:$110,37,0),0)-IFERROR(HLOOKUP(AY23,'סקרי נכסים-יתרות פתיחה'!$2:$110,95,0),0)*(1-AY$309)</f>
        <v>0</v>
      </c>
      <c r="AZ223" s="50">
        <f>+IFERROR(HLOOKUP(AZ23,'סקרי נכסים-יתרות פתיחה'!$2:$110,37,0),0)-IFERROR(HLOOKUP(AZ23,'סקרי נכסים-יתרות פתיחה'!$2:$110,95,0),0)*(1-AZ$309)</f>
        <v>0</v>
      </c>
      <c r="BA223" s="50">
        <f>+IFERROR(HLOOKUP(BA23,'סקרי נכסים-יתרות פתיחה'!$2:$110,37,0),0)-IFERROR(HLOOKUP(BA23,'סקרי נכסים-יתרות פתיחה'!$2:$110,95,0),0)*(1-BA$309)</f>
        <v>0</v>
      </c>
      <c r="BB223" s="50">
        <f>+IFERROR(HLOOKUP(BB23,'סקרי נכסים-יתרות פתיחה'!$2:$110,37,0),0)-IFERROR(HLOOKUP(BB23,'סקרי נכסים-יתרות פתיחה'!$2:$110,95,0),0)*(1-BB$309)</f>
        <v>0</v>
      </c>
      <c r="BC223" s="50">
        <f>+IFERROR(HLOOKUP(BC23,'סקרי נכסים-יתרות פתיחה'!$2:$110,37,0),0)-IFERROR(HLOOKUP(BC23,'סקרי נכסים-יתרות פתיחה'!$2:$110,95,0),0)*(1-BC$309)</f>
        <v>0</v>
      </c>
      <c r="BD223" s="50">
        <f>+IFERROR(HLOOKUP(BD23,'סקרי נכסים-יתרות פתיחה'!$2:$110,37,0),0)-IFERROR(HLOOKUP(BD23,'סקרי נכסים-יתרות פתיחה'!$2:$110,95,0),0)*(1-BD$309)</f>
        <v>0</v>
      </c>
      <c r="BE223" s="50">
        <f>+IFERROR(HLOOKUP(BE23,'סקרי נכסים-יתרות פתיחה'!$2:$110,37,0),0)-IFERROR(HLOOKUP(BE23,'סקרי נכסים-יתרות פתיחה'!$2:$110,95,0),0)*(1-BE$309)</f>
        <v>0</v>
      </c>
      <c r="BF223" s="50">
        <f>+IFERROR(HLOOKUP(BF23,'סקרי נכסים-יתרות פתיחה'!$2:$110,37,0),0)-IFERROR(HLOOKUP(BF23,'סקרי נכסים-יתרות פתיחה'!$2:$110,95,0),0)*(1-BF$309)</f>
        <v>0</v>
      </c>
    </row>
    <row r="224" spans="2:58" x14ac:dyDescent="0.2">
      <c r="B224" s="1">
        <v>21</v>
      </c>
      <c r="C224" s="50">
        <f>+IFERROR(HLOOKUP(C24,'סקרי נכסים-יתרות פתיחה'!$2:$110,37,0),0)-IFERROR(HLOOKUP(C24,'סקרי נכסים-יתרות פתיחה'!$2:$110,95,0),0)*(1-C$309)</f>
        <v>0</v>
      </c>
      <c r="D224" s="50">
        <f>+IFERROR(HLOOKUP(D24,'סקרי נכסים-יתרות פתיחה'!$2:$110,37,0),0)-IFERROR(HLOOKUP(D24,'סקרי נכסים-יתרות פתיחה'!$2:$110,95,0),0)*(1-D$309)</f>
        <v>0</v>
      </c>
      <c r="E224" s="50">
        <f>+IFERROR(HLOOKUP(E24,'סקרי נכסים-יתרות פתיחה'!$2:$110,37,0),0)-IFERROR(HLOOKUP(E24,'סקרי נכסים-יתרות פתיחה'!$2:$110,95,0),0)*(1-E$309)</f>
        <v>0</v>
      </c>
      <c r="F224" s="50">
        <f>+IFERROR(HLOOKUP(F24,'סקרי נכסים-יתרות פתיחה'!$2:$110,37,0),0)-IFERROR(HLOOKUP(F24,'סקרי נכסים-יתרות פתיחה'!$2:$110,95,0),0)*(1-F$309)</f>
        <v>0</v>
      </c>
      <c r="G224" s="50">
        <f>+IFERROR(HLOOKUP(G24,'סקרי נכסים-יתרות פתיחה'!$2:$110,37,0),0)-IFERROR(HLOOKUP(G24,'סקרי נכסים-יתרות פתיחה'!$2:$110,95,0),0)*(1-G$309)</f>
        <v>0</v>
      </c>
      <c r="H224" s="50">
        <f>+IFERROR(HLOOKUP(H24,'סקרי נכסים-יתרות פתיחה'!$2:$110,37,0),0)-IFERROR(HLOOKUP(H24,'סקרי נכסים-יתרות פתיחה'!$2:$110,95,0),0)*(1-H$309)</f>
        <v>0</v>
      </c>
      <c r="I224" s="50">
        <f>+IFERROR(HLOOKUP(I24,'סקרי נכסים-יתרות פתיחה'!$2:$110,37,0),0)-IFERROR(HLOOKUP(I24,'סקרי נכסים-יתרות פתיחה'!$2:$110,95,0),0)*(1-I$309)</f>
        <v>0</v>
      </c>
      <c r="J224" s="50">
        <f>+IFERROR(HLOOKUP(J24,'סקרי נכסים-יתרות פתיחה'!$2:$110,37,0),0)-IFERROR(HLOOKUP(J24,'סקרי נכסים-יתרות פתיחה'!$2:$110,95,0),0)*(1-J$309)</f>
        <v>0</v>
      </c>
      <c r="K224" s="50">
        <f>+IFERROR(HLOOKUP(K24,'סקרי נכסים-יתרות פתיחה'!$2:$110,37,0),0)-IFERROR(HLOOKUP(K24,'סקרי נכסים-יתרות פתיחה'!$2:$110,95,0),0)*(1-K$309)</f>
        <v>0</v>
      </c>
      <c r="L224" s="50">
        <f>+IFERROR(HLOOKUP(L24,'סקרי נכסים-יתרות פתיחה'!$2:$110,37,0),0)-IFERROR(HLOOKUP(L24,'סקרי נכסים-יתרות פתיחה'!$2:$110,95,0),0)*(1-L$309)</f>
        <v>0</v>
      </c>
      <c r="M224" s="50">
        <f>+IFERROR(HLOOKUP(M24,'סקרי נכסים-יתרות פתיחה'!$2:$110,37,0),0)-IFERROR(HLOOKUP(M24,'סקרי נכסים-יתרות פתיחה'!$2:$110,95,0),0)*(1-M$309)</f>
        <v>0</v>
      </c>
      <c r="N224" s="50">
        <f>+IFERROR(HLOOKUP(N24,'סקרי נכסים-יתרות פתיחה'!$2:$110,37,0),0)-IFERROR(HLOOKUP(N24,'סקרי נכסים-יתרות פתיחה'!$2:$110,95,0),0)*(1-N$309)</f>
        <v>0</v>
      </c>
      <c r="O224" s="50">
        <f>+IFERROR(HLOOKUP(O24,'סקרי נכסים-יתרות פתיחה'!$2:$110,37,0),0)-IFERROR(HLOOKUP(O24,'סקרי נכסים-יתרות פתיחה'!$2:$110,95,0),0)*(1-O$309)</f>
        <v>0</v>
      </c>
      <c r="P224" s="50">
        <f>+IFERROR(HLOOKUP(P24,'סקרי נכסים-יתרות פתיחה'!$2:$110,37,0),0)-IFERROR(HLOOKUP(P24,'סקרי נכסים-יתרות פתיחה'!$2:$110,95,0),0)*(1-P$309)</f>
        <v>0</v>
      </c>
      <c r="Q224" s="50">
        <f>+IFERROR(HLOOKUP(Q24,'סקרי נכסים-יתרות פתיחה'!$2:$110,37,0),0)-IFERROR(HLOOKUP(Q24,'סקרי נכסים-יתרות פתיחה'!$2:$110,95,0),0)*(1-Q$309)</f>
        <v>0</v>
      </c>
      <c r="R224" s="50">
        <f>+IFERROR(HLOOKUP(R24,'סקרי נכסים-יתרות פתיחה'!$2:$110,37,0),0)-IFERROR(HLOOKUP(R24,'סקרי נכסים-יתרות פתיחה'!$2:$110,95,0),0)*(1-R$309)</f>
        <v>0</v>
      </c>
      <c r="S224" s="50">
        <f>+IFERROR(HLOOKUP(S24,'סקרי נכסים-יתרות פתיחה'!$2:$110,37,0),0)-IFERROR(HLOOKUP(S24,'סקרי נכסים-יתרות פתיחה'!$2:$110,95,0),0)*(1-S$309)</f>
        <v>0</v>
      </c>
      <c r="T224" s="50">
        <f>+IFERROR(HLOOKUP(T24,'סקרי נכסים-יתרות פתיחה'!$2:$110,37,0),0)-IFERROR(HLOOKUP(T24,'סקרי נכסים-יתרות פתיחה'!$2:$110,95,0),0)*(1-T$309)</f>
        <v>0</v>
      </c>
      <c r="U224" s="50">
        <f>+IFERROR(HLOOKUP(U24,'סקרי נכסים-יתרות פתיחה'!$2:$110,37,0),0)-IFERROR(HLOOKUP(U24,'סקרי נכסים-יתרות פתיחה'!$2:$110,95,0),0)*(1-U$309)</f>
        <v>0</v>
      </c>
      <c r="V224" s="50">
        <f>+IFERROR(HLOOKUP(V24,'סקרי נכסים-יתרות פתיחה'!$2:$110,37,0),0)-IFERROR(HLOOKUP(V24,'סקרי נכסים-יתרות פתיחה'!$2:$110,95,0),0)*(1-V$309)</f>
        <v>0</v>
      </c>
      <c r="W224" s="50">
        <f>+IFERROR(HLOOKUP(W24,'סקרי נכסים-יתרות פתיחה'!$2:$110,37,0),0)-IFERROR(HLOOKUP(W24,'סקרי נכסים-יתרות פתיחה'!$2:$110,95,0),0)*(1-W$309)</f>
        <v>0</v>
      </c>
      <c r="X224" s="50">
        <f>+IFERROR(HLOOKUP(X24,'סקרי נכסים-יתרות פתיחה'!$2:$110,37,0),0)-IFERROR(HLOOKUP(X24,'סקרי נכסים-יתרות פתיחה'!$2:$110,95,0),0)*(1-X$309)</f>
        <v>0</v>
      </c>
      <c r="Y224" s="50">
        <f>+IFERROR(HLOOKUP(Y24,'סקרי נכסים-יתרות פתיחה'!$2:$110,37,0),0)-IFERROR(HLOOKUP(Y24,'סקרי נכסים-יתרות פתיחה'!$2:$110,95,0),0)*(1-Y$309)</f>
        <v>0</v>
      </c>
      <c r="Z224" s="50">
        <f>+IFERROR(HLOOKUP(Z24,'סקרי נכסים-יתרות פתיחה'!$2:$110,37,0),0)-IFERROR(HLOOKUP(Z24,'סקרי נכסים-יתרות פתיחה'!$2:$110,95,0),0)*(1-Z$309)</f>
        <v>0</v>
      </c>
      <c r="AA224" s="50">
        <f>+IFERROR(HLOOKUP(AA24,'סקרי נכסים-יתרות פתיחה'!$2:$110,37,0),0)-IFERROR(HLOOKUP(AA24,'סקרי נכסים-יתרות פתיחה'!$2:$110,95,0),0)*(1-AA$309)</f>
        <v>0</v>
      </c>
      <c r="AB224" s="50">
        <f>+IFERROR(HLOOKUP(AB24,'סקרי נכסים-יתרות פתיחה'!$2:$110,37,0),0)-IFERROR(HLOOKUP(AB24,'סקרי נכסים-יתרות פתיחה'!$2:$110,95,0),0)*(1-AB$309)</f>
        <v>0</v>
      </c>
      <c r="AC224" s="50">
        <f>+IFERROR(HLOOKUP(AC24,'סקרי נכסים-יתרות פתיחה'!$2:$110,37,0),0)-IFERROR(HLOOKUP(AC24,'סקרי נכסים-יתרות פתיחה'!$2:$110,95,0),0)*(1-AC$309)</f>
        <v>0</v>
      </c>
      <c r="AD224" s="50">
        <f>+IFERROR(HLOOKUP(AD24,'סקרי נכסים-יתרות פתיחה'!$2:$110,37,0),0)-IFERROR(HLOOKUP(AD24,'סקרי נכסים-יתרות פתיחה'!$2:$110,95,0),0)*(1-AD$309)</f>
        <v>0</v>
      </c>
      <c r="AE224" s="50">
        <f>+IFERROR(HLOOKUP(AE24,'סקרי נכסים-יתרות פתיחה'!$2:$110,37,0),0)-IFERROR(HLOOKUP(AE24,'סקרי נכסים-יתרות פתיחה'!$2:$110,95,0),0)*(1-AE$309)</f>
        <v>0</v>
      </c>
      <c r="AF224" s="50">
        <f>+IFERROR(HLOOKUP(AF24,'סקרי נכסים-יתרות פתיחה'!$2:$110,37,0),0)-IFERROR(HLOOKUP(AF24,'סקרי נכסים-יתרות פתיחה'!$2:$110,95,0),0)*(1-AF$309)</f>
        <v>0</v>
      </c>
      <c r="AG224" s="50">
        <f>+IFERROR(HLOOKUP(AG24,'סקרי נכסים-יתרות פתיחה'!$2:$110,37,0),0)-IFERROR(HLOOKUP(AG24,'סקרי נכסים-יתרות פתיחה'!$2:$110,95,0),0)*(1-AG$309)</f>
        <v>0</v>
      </c>
      <c r="AH224" s="50">
        <f>+IFERROR(HLOOKUP(AH24,'סקרי נכסים-יתרות פתיחה'!$2:$110,37,0),0)-IFERROR(HLOOKUP(AH24,'סקרי נכסים-יתרות פתיחה'!$2:$110,95,0),0)*(1-AH$309)</f>
        <v>0</v>
      </c>
      <c r="AI224" s="50">
        <f>+IFERROR(HLOOKUP(AI24,'סקרי נכסים-יתרות פתיחה'!$2:$110,37,0),0)-IFERROR(HLOOKUP(AI24,'סקרי נכסים-יתרות פתיחה'!$2:$110,95,0),0)*(1-AI$309)</f>
        <v>0</v>
      </c>
      <c r="AJ224" s="50">
        <f>+IFERROR(HLOOKUP(AJ24,'סקרי נכסים-יתרות פתיחה'!$2:$110,37,0),0)-IFERROR(HLOOKUP(AJ24,'סקרי נכסים-יתרות פתיחה'!$2:$110,95,0),0)*(1-AJ$309)</f>
        <v>0</v>
      </c>
      <c r="AK224" s="50">
        <f>+IFERROR(HLOOKUP(AK24,'סקרי נכסים-יתרות פתיחה'!$2:$110,37,0),0)-IFERROR(HLOOKUP(AK24,'סקרי נכסים-יתרות פתיחה'!$2:$110,95,0),0)*(1-AK$309)</f>
        <v>0</v>
      </c>
      <c r="AL224" s="50">
        <f>+IFERROR(HLOOKUP(AL24,'סקרי נכסים-יתרות פתיחה'!$2:$110,37,0),0)-IFERROR(HLOOKUP(AL24,'סקרי נכסים-יתרות פתיחה'!$2:$110,95,0),0)*(1-AL$309)</f>
        <v>0</v>
      </c>
      <c r="AM224" s="50">
        <f>+IFERROR(HLOOKUP(AM24,'סקרי נכסים-יתרות פתיחה'!$2:$110,37,0),0)-IFERROR(HLOOKUP(AM24,'סקרי נכסים-יתרות פתיחה'!$2:$110,95,0),0)*(1-AM$309)</f>
        <v>0</v>
      </c>
      <c r="AN224" s="50">
        <f>+IFERROR(HLOOKUP(AN24,'סקרי נכסים-יתרות פתיחה'!$2:$110,37,0),0)-IFERROR(HLOOKUP(AN24,'סקרי נכסים-יתרות פתיחה'!$2:$110,95,0),0)*(1-AN$309)</f>
        <v>0</v>
      </c>
      <c r="AO224" s="50">
        <f>+IFERROR(HLOOKUP(AO24,'סקרי נכסים-יתרות פתיחה'!$2:$110,37,0),0)-IFERROR(HLOOKUP(AO24,'סקרי נכסים-יתרות פתיחה'!$2:$110,95,0),0)*(1-AO$309)</f>
        <v>0</v>
      </c>
      <c r="AP224" s="50">
        <f>+IFERROR(HLOOKUP(AP24,'סקרי נכסים-יתרות פתיחה'!$2:$110,37,0),0)-IFERROR(HLOOKUP(AP24,'סקרי נכסים-יתרות פתיחה'!$2:$110,95,0),0)*(1-AP$309)</f>
        <v>0</v>
      </c>
      <c r="AQ224" s="50">
        <f>+IFERROR(HLOOKUP(AQ24,'סקרי נכסים-יתרות פתיחה'!$2:$110,37,0),0)-IFERROR(HLOOKUP(AQ24,'סקרי נכסים-יתרות פתיחה'!$2:$110,95,0),0)*(1-AQ$309)</f>
        <v>0</v>
      </c>
      <c r="AR224" s="50">
        <f>+IFERROR(HLOOKUP(AR24,'סקרי נכסים-יתרות פתיחה'!$2:$110,37,0),0)-IFERROR(HLOOKUP(AR24,'סקרי נכסים-יתרות פתיחה'!$2:$110,95,0),0)*(1-AR$309)</f>
        <v>0</v>
      </c>
      <c r="AS224" s="50">
        <f>+IFERROR(HLOOKUP(AS24,'סקרי נכסים-יתרות פתיחה'!$2:$110,37,0),0)-IFERROR(HLOOKUP(AS24,'סקרי נכסים-יתרות פתיחה'!$2:$110,95,0),0)*(1-AS$309)</f>
        <v>0</v>
      </c>
      <c r="AT224" s="50">
        <f>+IFERROR(HLOOKUP(AT24,'סקרי נכסים-יתרות פתיחה'!$2:$110,37,0),0)-IFERROR(HLOOKUP(AT24,'סקרי נכסים-יתרות פתיחה'!$2:$110,95,0),0)*(1-AT$309)</f>
        <v>0</v>
      </c>
      <c r="AU224" s="50">
        <f>+IFERROR(HLOOKUP(AU24,'סקרי נכסים-יתרות פתיחה'!$2:$110,37,0),0)-IFERROR(HLOOKUP(AU24,'סקרי נכסים-יתרות פתיחה'!$2:$110,95,0),0)*(1-AU$309)</f>
        <v>0</v>
      </c>
      <c r="AV224" s="50">
        <f>+IFERROR(HLOOKUP(AV24,'סקרי נכסים-יתרות פתיחה'!$2:$110,37,0),0)-IFERROR(HLOOKUP(AV24,'סקרי נכסים-יתרות פתיחה'!$2:$110,95,0),0)*(1-AV$309)</f>
        <v>0</v>
      </c>
      <c r="AW224" s="50">
        <f>+IFERROR(HLOOKUP(AW24,'סקרי נכסים-יתרות פתיחה'!$2:$110,37,0),0)-IFERROR(HLOOKUP(AW24,'סקרי נכסים-יתרות פתיחה'!$2:$110,95,0),0)*(1-AW$309)</f>
        <v>0</v>
      </c>
      <c r="AX224" s="50">
        <f>+IFERROR(HLOOKUP(AX24,'סקרי נכסים-יתרות פתיחה'!$2:$110,37,0),0)-IFERROR(HLOOKUP(AX24,'סקרי נכסים-יתרות פתיחה'!$2:$110,95,0),0)*(1-AX$309)</f>
        <v>0</v>
      </c>
      <c r="AY224" s="50">
        <f>+IFERROR(HLOOKUP(AY24,'סקרי נכסים-יתרות פתיחה'!$2:$110,37,0),0)-IFERROR(HLOOKUP(AY24,'סקרי נכסים-יתרות פתיחה'!$2:$110,95,0),0)*(1-AY$309)</f>
        <v>0</v>
      </c>
      <c r="AZ224" s="50">
        <f>+IFERROR(HLOOKUP(AZ24,'סקרי נכסים-יתרות פתיחה'!$2:$110,37,0),0)-IFERROR(HLOOKUP(AZ24,'סקרי נכסים-יתרות פתיחה'!$2:$110,95,0),0)*(1-AZ$309)</f>
        <v>0</v>
      </c>
      <c r="BA224" s="50">
        <f>+IFERROR(HLOOKUP(BA24,'סקרי נכסים-יתרות פתיחה'!$2:$110,37,0),0)-IFERROR(HLOOKUP(BA24,'סקרי נכסים-יתרות פתיחה'!$2:$110,95,0),0)*(1-BA$309)</f>
        <v>0</v>
      </c>
      <c r="BB224" s="50">
        <f>+IFERROR(HLOOKUP(BB24,'סקרי נכסים-יתרות פתיחה'!$2:$110,37,0),0)-IFERROR(HLOOKUP(BB24,'סקרי נכסים-יתרות פתיחה'!$2:$110,95,0),0)*(1-BB$309)</f>
        <v>0</v>
      </c>
      <c r="BC224" s="50">
        <f>+IFERROR(HLOOKUP(BC24,'סקרי נכסים-יתרות פתיחה'!$2:$110,37,0),0)-IFERROR(HLOOKUP(BC24,'סקרי נכסים-יתרות פתיחה'!$2:$110,95,0),0)*(1-BC$309)</f>
        <v>0</v>
      </c>
      <c r="BD224" s="50">
        <f>+IFERROR(HLOOKUP(BD24,'סקרי נכסים-יתרות פתיחה'!$2:$110,37,0),0)-IFERROR(HLOOKUP(BD24,'סקרי נכסים-יתרות פתיחה'!$2:$110,95,0),0)*(1-BD$309)</f>
        <v>0</v>
      </c>
      <c r="BE224" s="50">
        <f>+IFERROR(HLOOKUP(BE24,'סקרי נכסים-יתרות פתיחה'!$2:$110,37,0),0)-IFERROR(HLOOKUP(BE24,'סקרי נכסים-יתרות פתיחה'!$2:$110,95,0),0)*(1-BE$309)</f>
        <v>0</v>
      </c>
      <c r="BF224" s="50">
        <f>+IFERROR(HLOOKUP(BF24,'סקרי נכסים-יתרות פתיחה'!$2:$110,37,0),0)-IFERROR(HLOOKUP(BF24,'סקרי נכסים-יתרות פתיחה'!$2:$110,95,0),0)*(1-BF$309)</f>
        <v>0</v>
      </c>
    </row>
    <row r="225" spans="1:58" x14ac:dyDescent="0.2">
      <c r="B225" s="1">
        <v>22</v>
      </c>
      <c r="C225" s="50">
        <f>+IFERROR(HLOOKUP(C25,'סקרי נכסים-יתרות פתיחה'!$2:$110,37,0),0)-IFERROR(HLOOKUP(C25,'סקרי נכסים-יתרות פתיחה'!$2:$110,95,0),0)*(1-C$309)</f>
        <v>0</v>
      </c>
      <c r="D225" s="50">
        <f>+IFERROR(HLOOKUP(D25,'סקרי נכסים-יתרות פתיחה'!$2:$110,37,0),0)-IFERROR(HLOOKUP(D25,'סקרי נכסים-יתרות פתיחה'!$2:$110,95,0),0)*(1-D$309)</f>
        <v>0</v>
      </c>
      <c r="E225" s="50">
        <f>+IFERROR(HLOOKUP(E25,'סקרי נכסים-יתרות פתיחה'!$2:$110,37,0),0)-IFERROR(HLOOKUP(E25,'סקרי נכסים-יתרות פתיחה'!$2:$110,95,0),0)*(1-E$309)</f>
        <v>0</v>
      </c>
      <c r="F225" s="50">
        <f>+IFERROR(HLOOKUP(F25,'סקרי נכסים-יתרות פתיחה'!$2:$110,37,0),0)-IFERROR(HLOOKUP(F25,'סקרי נכסים-יתרות פתיחה'!$2:$110,95,0),0)*(1-F$309)</f>
        <v>0</v>
      </c>
      <c r="G225" s="50">
        <f>+IFERROR(HLOOKUP(G25,'סקרי נכסים-יתרות פתיחה'!$2:$110,37,0),0)-IFERROR(HLOOKUP(G25,'סקרי נכסים-יתרות פתיחה'!$2:$110,95,0),0)*(1-G$309)</f>
        <v>0</v>
      </c>
      <c r="H225" s="50">
        <f>+IFERROR(HLOOKUP(H25,'סקרי נכסים-יתרות פתיחה'!$2:$110,37,0),0)-IFERROR(HLOOKUP(H25,'סקרי נכסים-יתרות פתיחה'!$2:$110,95,0),0)*(1-H$309)</f>
        <v>0</v>
      </c>
      <c r="I225" s="50">
        <f>+IFERROR(HLOOKUP(I25,'סקרי נכסים-יתרות פתיחה'!$2:$110,37,0),0)-IFERROR(HLOOKUP(I25,'סקרי נכסים-יתרות פתיחה'!$2:$110,95,0),0)*(1-I$309)</f>
        <v>0</v>
      </c>
      <c r="J225" s="50">
        <f>+IFERROR(HLOOKUP(J25,'סקרי נכסים-יתרות פתיחה'!$2:$110,37,0),0)-IFERROR(HLOOKUP(J25,'סקרי נכסים-יתרות פתיחה'!$2:$110,95,0),0)*(1-J$309)</f>
        <v>0</v>
      </c>
      <c r="K225" s="50">
        <f>+IFERROR(HLOOKUP(K25,'סקרי נכסים-יתרות פתיחה'!$2:$110,37,0),0)-IFERROR(HLOOKUP(K25,'סקרי נכסים-יתרות פתיחה'!$2:$110,95,0),0)*(1-K$309)</f>
        <v>0</v>
      </c>
      <c r="L225" s="50">
        <f>+IFERROR(HLOOKUP(L25,'סקרי נכסים-יתרות פתיחה'!$2:$110,37,0),0)-IFERROR(HLOOKUP(L25,'סקרי נכסים-יתרות פתיחה'!$2:$110,95,0),0)*(1-L$309)</f>
        <v>0</v>
      </c>
      <c r="M225" s="50">
        <f>+IFERROR(HLOOKUP(M25,'סקרי נכסים-יתרות פתיחה'!$2:$110,37,0),0)-IFERROR(HLOOKUP(M25,'סקרי נכסים-יתרות פתיחה'!$2:$110,95,0),0)*(1-M$309)</f>
        <v>0</v>
      </c>
      <c r="N225" s="50">
        <f>+IFERROR(HLOOKUP(N25,'סקרי נכסים-יתרות פתיחה'!$2:$110,37,0),0)-IFERROR(HLOOKUP(N25,'סקרי נכסים-יתרות פתיחה'!$2:$110,95,0),0)*(1-N$309)</f>
        <v>0</v>
      </c>
      <c r="O225" s="50">
        <f>+IFERROR(HLOOKUP(O25,'סקרי נכסים-יתרות פתיחה'!$2:$110,37,0),0)-IFERROR(HLOOKUP(O25,'סקרי נכסים-יתרות פתיחה'!$2:$110,95,0),0)*(1-O$309)</f>
        <v>0</v>
      </c>
      <c r="P225" s="50">
        <f>+IFERROR(HLOOKUP(P25,'סקרי נכסים-יתרות פתיחה'!$2:$110,37,0),0)-IFERROR(HLOOKUP(P25,'סקרי נכסים-יתרות פתיחה'!$2:$110,95,0),0)*(1-P$309)</f>
        <v>0</v>
      </c>
      <c r="Q225" s="50">
        <f>+IFERROR(HLOOKUP(Q25,'סקרי נכסים-יתרות פתיחה'!$2:$110,37,0),0)-IFERROR(HLOOKUP(Q25,'סקרי נכסים-יתרות פתיחה'!$2:$110,95,0),0)*(1-Q$309)</f>
        <v>0</v>
      </c>
      <c r="R225" s="50">
        <f>+IFERROR(HLOOKUP(R25,'סקרי נכסים-יתרות פתיחה'!$2:$110,37,0),0)-IFERROR(HLOOKUP(R25,'סקרי נכסים-יתרות פתיחה'!$2:$110,95,0),0)*(1-R$309)</f>
        <v>0</v>
      </c>
      <c r="S225" s="50">
        <f>+IFERROR(HLOOKUP(S25,'סקרי נכסים-יתרות פתיחה'!$2:$110,37,0),0)-IFERROR(HLOOKUP(S25,'סקרי נכסים-יתרות פתיחה'!$2:$110,95,0),0)*(1-S$309)</f>
        <v>0</v>
      </c>
      <c r="T225" s="50">
        <f>+IFERROR(HLOOKUP(T25,'סקרי נכסים-יתרות פתיחה'!$2:$110,37,0),0)-IFERROR(HLOOKUP(T25,'סקרי נכסים-יתרות פתיחה'!$2:$110,95,0),0)*(1-T$309)</f>
        <v>0</v>
      </c>
      <c r="U225" s="50">
        <f>+IFERROR(HLOOKUP(U25,'סקרי נכסים-יתרות פתיחה'!$2:$110,37,0),0)-IFERROR(HLOOKUP(U25,'סקרי נכסים-יתרות פתיחה'!$2:$110,95,0),0)*(1-U$309)</f>
        <v>0</v>
      </c>
      <c r="V225" s="50">
        <f>+IFERROR(HLOOKUP(V25,'סקרי נכסים-יתרות פתיחה'!$2:$110,37,0),0)-IFERROR(HLOOKUP(V25,'סקרי נכסים-יתרות פתיחה'!$2:$110,95,0),0)*(1-V$309)</f>
        <v>0</v>
      </c>
      <c r="W225" s="50">
        <f>+IFERROR(HLOOKUP(W25,'סקרי נכסים-יתרות פתיחה'!$2:$110,37,0),0)-IFERROR(HLOOKUP(W25,'סקרי נכסים-יתרות פתיחה'!$2:$110,95,0),0)*(1-W$309)</f>
        <v>0</v>
      </c>
      <c r="X225" s="50">
        <f>+IFERROR(HLOOKUP(X25,'סקרי נכסים-יתרות פתיחה'!$2:$110,37,0),0)-IFERROR(HLOOKUP(X25,'סקרי נכסים-יתרות פתיחה'!$2:$110,95,0),0)*(1-X$309)</f>
        <v>0</v>
      </c>
      <c r="Y225" s="50">
        <f>+IFERROR(HLOOKUP(Y25,'סקרי נכסים-יתרות פתיחה'!$2:$110,37,0),0)-IFERROR(HLOOKUP(Y25,'סקרי נכסים-יתרות פתיחה'!$2:$110,95,0),0)*(1-Y$309)</f>
        <v>0</v>
      </c>
      <c r="Z225" s="50">
        <f>+IFERROR(HLOOKUP(Z25,'סקרי נכסים-יתרות פתיחה'!$2:$110,37,0),0)-IFERROR(HLOOKUP(Z25,'סקרי נכסים-יתרות פתיחה'!$2:$110,95,0),0)*(1-Z$309)</f>
        <v>0</v>
      </c>
      <c r="AA225" s="50">
        <f>+IFERROR(HLOOKUP(AA25,'סקרי נכסים-יתרות פתיחה'!$2:$110,37,0),0)-IFERROR(HLOOKUP(AA25,'סקרי נכסים-יתרות פתיחה'!$2:$110,95,0),0)*(1-AA$309)</f>
        <v>0</v>
      </c>
      <c r="AB225" s="50">
        <f>+IFERROR(HLOOKUP(AB25,'סקרי נכסים-יתרות פתיחה'!$2:$110,37,0),0)-IFERROR(HLOOKUP(AB25,'סקרי נכסים-יתרות פתיחה'!$2:$110,95,0),0)*(1-AB$309)</f>
        <v>0</v>
      </c>
      <c r="AC225" s="50">
        <f>+IFERROR(HLOOKUP(AC25,'סקרי נכסים-יתרות פתיחה'!$2:$110,37,0),0)-IFERROR(HLOOKUP(AC25,'סקרי נכסים-יתרות פתיחה'!$2:$110,95,0),0)*(1-AC$309)</f>
        <v>0</v>
      </c>
      <c r="AD225" s="50">
        <f>+IFERROR(HLOOKUP(AD25,'סקרי נכסים-יתרות פתיחה'!$2:$110,37,0),0)-IFERROR(HLOOKUP(AD25,'סקרי נכסים-יתרות פתיחה'!$2:$110,95,0),0)*(1-AD$309)</f>
        <v>0</v>
      </c>
      <c r="AE225" s="50">
        <f>+IFERROR(HLOOKUP(AE25,'סקרי נכסים-יתרות פתיחה'!$2:$110,37,0),0)-IFERROR(HLOOKUP(AE25,'סקרי נכסים-יתרות פתיחה'!$2:$110,95,0),0)*(1-AE$309)</f>
        <v>0</v>
      </c>
      <c r="AF225" s="50">
        <f>+IFERROR(HLOOKUP(AF25,'סקרי נכסים-יתרות פתיחה'!$2:$110,37,0),0)-IFERROR(HLOOKUP(AF25,'סקרי נכסים-יתרות פתיחה'!$2:$110,95,0),0)*(1-AF$309)</f>
        <v>0</v>
      </c>
      <c r="AG225" s="50">
        <f>+IFERROR(HLOOKUP(AG25,'סקרי נכסים-יתרות פתיחה'!$2:$110,37,0),0)-IFERROR(HLOOKUP(AG25,'סקרי נכסים-יתרות פתיחה'!$2:$110,95,0),0)*(1-AG$309)</f>
        <v>0</v>
      </c>
      <c r="AH225" s="50">
        <f>+IFERROR(HLOOKUP(AH25,'סקרי נכסים-יתרות פתיחה'!$2:$110,37,0),0)-IFERROR(HLOOKUP(AH25,'סקרי נכסים-יתרות פתיחה'!$2:$110,95,0),0)*(1-AH$309)</f>
        <v>0</v>
      </c>
      <c r="AI225" s="50">
        <f>+IFERROR(HLOOKUP(AI25,'סקרי נכסים-יתרות פתיחה'!$2:$110,37,0),0)-IFERROR(HLOOKUP(AI25,'סקרי נכסים-יתרות פתיחה'!$2:$110,95,0),0)*(1-AI$309)</f>
        <v>0</v>
      </c>
      <c r="AJ225" s="50">
        <f>+IFERROR(HLOOKUP(AJ25,'סקרי נכסים-יתרות פתיחה'!$2:$110,37,0),0)-IFERROR(HLOOKUP(AJ25,'סקרי נכסים-יתרות פתיחה'!$2:$110,95,0),0)*(1-AJ$309)</f>
        <v>0</v>
      </c>
      <c r="AK225" s="50">
        <f>+IFERROR(HLOOKUP(AK25,'סקרי נכסים-יתרות פתיחה'!$2:$110,37,0),0)-IFERROR(HLOOKUP(AK25,'סקרי נכסים-יתרות פתיחה'!$2:$110,95,0),0)*(1-AK$309)</f>
        <v>0</v>
      </c>
      <c r="AL225" s="50">
        <f>+IFERROR(HLOOKUP(AL25,'סקרי נכסים-יתרות פתיחה'!$2:$110,37,0),0)-IFERROR(HLOOKUP(AL25,'סקרי נכסים-יתרות פתיחה'!$2:$110,95,0),0)*(1-AL$309)</f>
        <v>0</v>
      </c>
      <c r="AM225" s="50">
        <f>+IFERROR(HLOOKUP(AM25,'סקרי נכסים-יתרות פתיחה'!$2:$110,37,0),0)-IFERROR(HLOOKUP(AM25,'סקרי נכסים-יתרות פתיחה'!$2:$110,95,0),0)*(1-AM$309)</f>
        <v>0</v>
      </c>
      <c r="AN225" s="50">
        <f>+IFERROR(HLOOKUP(AN25,'סקרי נכסים-יתרות פתיחה'!$2:$110,37,0),0)-IFERROR(HLOOKUP(AN25,'סקרי נכסים-יתרות פתיחה'!$2:$110,95,0),0)*(1-AN$309)</f>
        <v>0</v>
      </c>
      <c r="AO225" s="50">
        <f>+IFERROR(HLOOKUP(AO25,'סקרי נכסים-יתרות פתיחה'!$2:$110,37,0),0)-IFERROR(HLOOKUP(AO25,'סקרי נכסים-יתרות פתיחה'!$2:$110,95,0),0)*(1-AO$309)</f>
        <v>0</v>
      </c>
      <c r="AP225" s="50">
        <f>+IFERROR(HLOOKUP(AP25,'סקרי נכסים-יתרות פתיחה'!$2:$110,37,0),0)-IFERROR(HLOOKUP(AP25,'סקרי נכסים-יתרות פתיחה'!$2:$110,95,0),0)*(1-AP$309)</f>
        <v>0</v>
      </c>
      <c r="AQ225" s="50">
        <f>+IFERROR(HLOOKUP(AQ25,'סקרי נכסים-יתרות פתיחה'!$2:$110,37,0),0)-IFERROR(HLOOKUP(AQ25,'סקרי נכסים-יתרות פתיחה'!$2:$110,95,0),0)*(1-AQ$309)</f>
        <v>0</v>
      </c>
      <c r="AR225" s="50">
        <f>+IFERROR(HLOOKUP(AR25,'סקרי נכסים-יתרות פתיחה'!$2:$110,37,0),0)-IFERROR(HLOOKUP(AR25,'סקרי נכסים-יתרות פתיחה'!$2:$110,95,0),0)*(1-AR$309)</f>
        <v>0</v>
      </c>
      <c r="AS225" s="50">
        <f>+IFERROR(HLOOKUP(AS25,'סקרי נכסים-יתרות פתיחה'!$2:$110,37,0),0)-IFERROR(HLOOKUP(AS25,'סקרי נכסים-יתרות פתיחה'!$2:$110,95,0),0)*(1-AS$309)</f>
        <v>0</v>
      </c>
      <c r="AT225" s="50">
        <f>+IFERROR(HLOOKUP(AT25,'סקרי נכסים-יתרות פתיחה'!$2:$110,37,0),0)-IFERROR(HLOOKUP(AT25,'סקרי נכסים-יתרות פתיחה'!$2:$110,95,0),0)*(1-AT$309)</f>
        <v>0</v>
      </c>
      <c r="AU225" s="50">
        <f>+IFERROR(HLOOKUP(AU25,'סקרי נכסים-יתרות פתיחה'!$2:$110,37,0),0)-IFERROR(HLOOKUP(AU25,'סקרי נכסים-יתרות פתיחה'!$2:$110,95,0),0)*(1-AU$309)</f>
        <v>0</v>
      </c>
      <c r="AV225" s="50">
        <f>+IFERROR(HLOOKUP(AV25,'סקרי נכסים-יתרות פתיחה'!$2:$110,37,0),0)-IFERROR(HLOOKUP(AV25,'סקרי נכסים-יתרות פתיחה'!$2:$110,95,0),0)*(1-AV$309)</f>
        <v>0</v>
      </c>
      <c r="AW225" s="50">
        <f>+IFERROR(HLOOKUP(AW25,'סקרי נכסים-יתרות פתיחה'!$2:$110,37,0),0)-IFERROR(HLOOKUP(AW25,'סקרי נכסים-יתרות פתיחה'!$2:$110,95,0),0)*(1-AW$309)</f>
        <v>0</v>
      </c>
      <c r="AX225" s="50">
        <f>+IFERROR(HLOOKUP(AX25,'סקרי נכסים-יתרות פתיחה'!$2:$110,37,0),0)-IFERROR(HLOOKUP(AX25,'סקרי נכסים-יתרות פתיחה'!$2:$110,95,0),0)*(1-AX$309)</f>
        <v>0</v>
      </c>
      <c r="AY225" s="50">
        <f>+IFERROR(HLOOKUP(AY25,'סקרי נכסים-יתרות פתיחה'!$2:$110,37,0),0)-IFERROR(HLOOKUP(AY25,'סקרי נכסים-יתרות פתיחה'!$2:$110,95,0),0)*(1-AY$309)</f>
        <v>0</v>
      </c>
      <c r="AZ225" s="50">
        <f>+IFERROR(HLOOKUP(AZ25,'סקרי נכסים-יתרות פתיחה'!$2:$110,37,0),0)-IFERROR(HLOOKUP(AZ25,'סקרי נכסים-יתרות פתיחה'!$2:$110,95,0),0)*(1-AZ$309)</f>
        <v>0</v>
      </c>
      <c r="BA225" s="50">
        <f>+IFERROR(HLOOKUP(BA25,'סקרי נכסים-יתרות פתיחה'!$2:$110,37,0),0)-IFERROR(HLOOKUP(BA25,'סקרי נכסים-יתרות פתיחה'!$2:$110,95,0),0)*(1-BA$309)</f>
        <v>0</v>
      </c>
      <c r="BB225" s="50">
        <f>+IFERROR(HLOOKUP(BB25,'סקרי נכסים-יתרות פתיחה'!$2:$110,37,0),0)-IFERROR(HLOOKUP(BB25,'סקרי נכסים-יתרות פתיחה'!$2:$110,95,0),0)*(1-BB$309)</f>
        <v>0</v>
      </c>
      <c r="BC225" s="50">
        <f>+IFERROR(HLOOKUP(BC25,'סקרי נכסים-יתרות פתיחה'!$2:$110,37,0),0)-IFERROR(HLOOKUP(BC25,'סקרי נכסים-יתרות פתיחה'!$2:$110,95,0),0)*(1-BC$309)</f>
        <v>0</v>
      </c>
      <c r="BD225" s="50">
        <f>+IFERROR(HLOOKUP(BD25,'סקרי נכסים-יתרות פתיחה'!$2:$110,37,0),0)-IFERROR(HLOOKUP(BD25,'סקרי נכסים-יתרות פתיחה'!$2:$110,95,0),0)*(1-BD$309)</f>
        <v>0</v>
      </c>
      <c r="BE225" s="50">
        <f>+IFERROR(HLOOKUP(BE25,'סקרי נכסים-יתרות פתיחה'!$2:$110,37,0),0)-IFERROR(HLOOKUP(BE25,'סקרי נכסים-יתרות פתיחה'!$2:$110,95,0),0)*(1-BE$309)</f>
        <v>0</v>
      </c>
      <c r="BF225" s="50">
        <f>+IFERROR(HLOOKUP(BF25,'סקרי נכסים-יתרות פתיחה'!$2:$110,37,0),0)-IFERROR(HLOOKUP(BF25,'סקרי נכסים-יתרות פתיחה'!$2:$110,95,0),0)*(1-BF$309)</f>
        <v>0</v>
      </c>
    </row>
    <row r="226" spans="1:58" x14ac:dyDescent="0.2">
      <c r="B226" s="1">
        <v>23</v>
      </c>
      <c r="C226" s="50">
        <f>+IFERROR(HLOOKUP(C26,'סקרי נכסים-יתרות פתיחה'!$2:$110,37,0),0)-IFERROR(HLOOKUP(C26,'סקרי נכסים-יתרות פתיחה'!$2:$110,95,0),0)*(1-C$309)</f>
        <v>0</v>
      </c>
      <c r="D226" s="50">
        <f>+IFERROR(HLOOKUP(D26,'סקרי נכסים-יתרות פתיחה'!$2:$110,37,0),0)-IFERROR(HLOOKUP(D26,'סקרי נכסים-יתרות פתיחה'!$2:$110,95,0),0)*(1-D$309)</f>
        <v>0</v>
      </c>
      <c r="E226" s="50">
        <f>+IFERROR(HLOOKUP(E26,'סקרי נכסים-יתרות פתיחה'!$2:$110,37,0),0)-IFERROR(HLOOKUP(E26,'סקרי נכסים-יתרות פתיחה'!$2:$110,95,0),0)*(1-E$309)</f>
        <v>0</v>
      </c>
      <c r="F226" s="50">
        <f>+IFERROR(HLOOKUP(F26,'סקרי נכסים-יתרות פתיחה'!$2:$110,37,0),0)-IFERROR(HLOOKUP(F26,'סקרי נכסים-יתרות פתיחה'!$2:$110,95,0),0)*(1-F$309)</f>
        <v>0</v>
      </c>
      <c r="G226" s="50">
        <f>+IFERROR(HLOOKUP(G26,'סקרי נכסים-יתרות פתיחה'!$2:$110,37,0),0)-IFERROR(HLOOKUP(G26,'סקרי נכסים-יתרות פתיחה'!$2:$110,95,0),0)*(1-G$309)</f>
        <v>0</v>
      </c>
      <c r="H226" s="50">
        <f>+IFERROR(HLOOKUP(H26,'סקרי נכסים-יתרות פתיחה'!$2:$110,37,0),0)-IFERROR(HLOOKUP(H26,'סקרי נכסים-יתרות פתיחה'!$2:$110,95,0),0)*(1-H$309)</f>
        <v>0</v>
      </c>
      <c r="I226" s="50">
        <f>+IFERROR(HLOOKUP(I26,'סקרי נכסים-יתרות פתיחה'!$2:$110,37,0),0)-IFERROR(HLOOKUP(I26,'סקרי נכסים-יתרות פתיחה'!$2:$110,95,0),0)*(1-I$309)</f>
        <v>0</v>
      </c>
      <c r="J226" s="50">
        <f>+IFERROR(HLOOKUP(J26,'סקרי נכסים-יתרות פתיחה'!$2:$110,37,0),0)-IFERROR(HLOOKUP(J26,'סקרי נכסים-יתרות פתיחה'!$2:$110,95,0),0)*(1-J$309)</f>
        <v>0</v>
      </c>
      <c r="K226" s="50">
        <f>+IFERROR(HLOOKUP(K26,'סקרי נכסים-יתרות פתיחה'!$2:$110,37,0),0)-IFERROR(HLOOKUP(K26,'סקרי נכסים-יתרות פתיחה'!$2:$110,95,0),0)*(1-K$309)</f>
        <v>0</v>
      </c>
      <c r="L226" s="50">
        <f>+IFERROR(HLOOKUP(L26,'סקרי נכסים-יתרות פתיחה'!$2:$110,37,0),0)-IFERROR(HLOOKUP(L26,'סקרי נכסים-יתרות פתיחה'!$2:$110,95,0),0)*(1-L$309)</f>
        <v>0</v>
      </c>
      <c r="M226" s="50">
        <f>+IFERROR(HLOOKUP(M26,'סקרי נכסים-יתרות פתיחה'!$2:$110,37,0),0)-IFERROR(HLOOKUP(M26,'סקרי נכסים-יתרות פתיחה'!$2:$110,95,0),0)*(1-M$309)</f>
        <v>0</v>
      </c>
      <c r="N226" s="50">
        <f>+IFERROR(HLOOKUP(N26,'סקרי נכסים-יתרות פתיחה'!$2:$110,37,0),0)-IFERROR(HLOOKUP(N26,'סקרי נכסים-יתרות פתיחה'!$2:$110,95,0),0)*(1-N$309)</f>
        <v>0</v>
      </c>
      <c r="O226" s="50">
        <f>+IFERROR(HLOOKUP(O26,'סקרי נכסים-יתרות פתיחה'!$2:$110,37,0),0)-IFERROR(HLOOKUP(O26,'סקרי נכסים-יתרות פתיחה'!$2:$110,95,0),0)*(1-O$309)</f>
        <v>0</v>
      </c>
      <c r="P226" s="50">
        <f>+IFERROR(HLOOKUP(P26,'סקרי נכסים-יתרות פתיחה'!$2:$110,37,0),0)-IFERROR(HLOOKUP(P26,'סקרי נכסים-יתרות פתיחה'!$2:$110,95,0),0)*(1-P$309)</f>
        <v>0</v>
      </c>
      <c r="Q226" s="50">
        <f>+IFERROR(HLOOKUP(Q26,'סקרי נכסים-יתרות פתיחה'!$2:$110,37,0),0)-IFERROR(HLOOKUP(Q26,'סקרי נכסים-יתרות פתיחה'!$2:$110,95,0),0)*(1-Q$309)</f>
        <v>0</v>
      </c>
      <c r="R226" s="50">
        <f>+IFERROR(HLOOKUP(R26,'סקרי נכסים-יתרות פתיחה'!$2:$110,37,0),0)-IFERROR(HLOOKUP(R26,'סקרי נכסים-יתרות פתיחה'!$2:$110,95,0),0)*(1-R$309)</f>
        <v>0</v>
      </c>
      <c r="S226" s="50">
        <f>+IFERROR(HLOOKUP(S26,'סקרי נכסים-יתרות פתיחה'!$2:$110,37,0),0)-IFERROR(HLOOKUP(S26,'סקרי נכסים-יתרות פתיחה'!$2:$110,95,0),0)*(1-S$309)</f>
        <v>0</v>
      </c>
      <c r="T226" s="50">
        <f>+IFERROR(HLOOKUP(T26,'סקרי נכסים-יתרות פתיחה'!$2:$110,37,0),0)-IFERROR(HLOOKUP(T26,'סקרי נכסים-יתרות פתיחה'!$2:$110,95,0),0)*(1-T$309)</f>
        <v>0</v>
      </c>
      <c r="U226" s="50">
        <f>+IFERROR(HLOOKUP(U26,'סקרי נכסים-יתרות פתיחה'!$2:$110,37,0),0)-IFERROR(HLOOKUP(U26,'סקרי נכסים-יתרות פתיחה'!$2:$110,95,0),0)*(1-U$309)</f>
        <v>0</v>
      </c>
      <c r="V226" s="50">
        <f>+IFERROR(HLOOKUP(V26,'סקרי נכסים-יתרות פתיחה'!$2:$110,37,0),0)-IFERROR(HLOOKUP(V26,'סקרי נכסים-יתרות פתיחה'!$2:$110,95,0),0)*(1-V$309)</f>
        <v>0</v>
      </c>
      <c r="W226" s="50">
        <f>+IFERROR(HLOOKUP(W26,'סקרי נכסים-יתרות פתיחה'!$2:$110,37,0),0)-IFERROR(HLOOKUP(W26,'סקרי נכסים-יתרות פתיחה'!$2:$110,95,0),0)*(1-W$309)</f>
        <v>0</v>
      </c>
      <c r="X226" s="50">
        <f>+IFERROR(HLOOKUP(X26,'סקרי נכסים-יתרות פתיחה'!$2:$110,37,0),0)-IFERROR(HLOOKUP(X26,'סקרי נכסים-יתרות פתיחה'!$2:$110,95,0),0)*(1-X$309)</f>
        <v>0</v>
      </c>
      <c r="Y226" s="50">
        <f>+IFERROR(HLOOKUP(Y26,'סקרי נכסים-יתרות פתיחה'!$2:$110,37,0),0)-IFERROR(HLOOKUP(Y26,'סקרי נכסים-יתרות פתיחה'!$2:$110,95,0),0)*(1-Y$309)</f>
        <v>0</v>
      </c>
      <c r="Z226" s="50">
        <f>+IFERROR(HLOOKUP(Z26,'סקרי נכסים-יתרות פתיחה'!$2:$110,37,0),0)-IFERROR(HLOOKUP(Z26,'סקרי נכסים-יתרות פתיחה'!$2:$110,95,0),0)*(1-Z$309)</f>
        <v>0</v>
      </c>
      <c r="AA226" s="50">
        <f>+IFERROR(HLOOKUP(AA26,'סקרי נכסים-יתרות פתיחה'!$2:$110,37,0),0)-IFERROR(HLOOKUP(AA26,'סקרי נכסים-יתרות פתיחה'!$2:$110,95,0),0)*(1-AA$309)</f>
        <v>0</v>
      </c>
      <c r="AB226" s="50">
        <f>+IFERROR(HLOOKUP(AB26,'סקרי נכסים-יתרות פתיחה'!$2:$110,37,0),0)-IFERROR(HLOOKUP(AB26,'סקרי נכסים-יתרות פתיחה'!$2:$110,95,0),0)*(1-AB$309)</f>
        <v>0</v>
      </c>
      <c r="AC226" s="50">
        <f>+IFERROR(HLOOKUP(AC26,'סקרי נכסים-יתרות פתיחה'!$2:$110,37,0),0)-IFERROR(HLOOKUP(AC26,'סקרי נכסים-יתרות פתיחה'!$2:$110,95,0),0)*(1-AC$309)</f>
        <v>0</v>
      </c>
      <c r="AD226" s="50">
        <f>+IFERROR(HLOOKUP(AD26,'סקרי נכסים-יתרות פתיחה'!$2:$110,37,0),0)-IFERROR(HLOOKUP(AD26,'סקרי נכסים-יתרות פתיחה'!$2:$110,95,0),0)*(1-AD$309)</f>
        <v>0</v>
      </c>
      <c r="AE226" s="50">
        <f>+IFERROR(HLOOKUP(AE26,'סקרי נכסים-יתרות פתיחה'!$2:$110,37,0),0)-IFERROR(HLOOKUP(AE26,'סקרי נכסים-יתרות פתיחה'!$2:$110,95,0),0)*(1-AE$309)</f>
        <v>0</v>
      </c>
      <c r="AF226" s="50">
        <f>+IFERROR(HLOOKUP(AF26,'סקרי נכסים-יתרות פתיחה'!$2:$110,37,0),0)-IFERROR(HLOOKUP(AF26,'סקרי נכסים-יתרות פתיחה'!$2:$110,95,0),0)*(1-AF$309)</f>
        <v>0</v>
      </c>
      <c r="AG226" s="50">
        <f>+IFERROR(HLOOKUP(AG26,'סקרי נכסים-יתרות פתיחה'!$2:$110,37,0),0)-IFERROR(HLOOKUP(AG26,'סקרי נכסים-יתרות פתיחה'!$2:$110,95,0),0)*(1-AG$309)</f>
        <v>0</v>
      </c>
      <c r="AH226" s="50">
        <f>+IFERROR(HLOOKUP(AH26,'סקרי נכסים-יתרות פתיחה'!$2:$110,37,0),0)-IFERROR(HLOOKUP(AH26,'סקרי נכסים-יתרות פתיחה'!$2:$110,95,0),0)*(1-AH$309)</f>
        <v>0</v>
      </c>
      <c r="AI226" s="50">
        <f>+IFERROR(HLOOKUP(AI26,'סקרי נכסים-יתרות פתיחה'!$2:$110,37,0),0)-IFERROR(HLOOKUP(AI26,'סקרי נכסים-יתרות פתיחה'!$2:$110,95,0),0)*(1-AI$309)</f>
        <v>0</v>
      </c>
      <c r="AJ226" s="50">
        <f>+IFERROR(HLOOKUP(AJ26,'סקרי נכסים-יתרות פתיחה'!$2:$110,37,0),0)-IFERROR(HLOOKUP(AJ26,'סקרי נכסים-יתרות פתיחה'!$2:$110,95,0),0)*(1-AJ$309)</f>
        <v>0</v>
      </c>
      <c r="AK226" s="50">
        <f>+IFERROR(HLOOKUP(AK26,'סקרי נכסים-יתרות פתיחה'!$2:$110,37,0),0)-IFERROR(HLOOKUP(AK26,'סקרי נכסים-יתרות פתיחה'!$2:$110,95,0),0)*(1-AK$309)</f>
        <v>0</v>
      </c>
      <c r="AL226" s="50">
        <f>+IFERROR(HLOOKUP(AL26,'סקרי נכסים-יתרות פתיחה'!$2:$110,37,0),0)-IFERROR(HLOOKUP(AL26,'סקרי נכסים-יתרות פתיחה'!$2:$110,95,0),0)*(1-AL$309)</f>
        <v>0</v>
      </c>
      <c r="AM226" s="50">
        <f>+IFERROR(HLOOKUP(AM26,'סקרי נכסים-יתרות פתיחה'!$2:$110,37,0),0)-IFERROR(HLOOKUP(AM26,'סקרי נכסים-יתרות פתיחה'!$2:$110,95,0),0)*(1-AM$309)</f>
        <v>0</v>
      </c>
      <c r="AN226" s="50">
        <f>+IFERROR(HLOOKUP(AN26,'סקרי נכסים-יתרות פתיחה'!$2:$110,37,0),0)-IFERROR(HLOOKUP(AN26,'סקרי נכסים-יתרות פתיחה'!$2:$110,95,0),0)*(1-AN$309)</f>
        <v>0</v>
      </c>
      <c r="AO226" s="50">
        <f>+IFERROR(HLOOKUP(AO26,'סקרי נכסים-יתרות פתיחה'!$2:$110,37,0),0)-IFERROR(HLOOKUP(AO26,'סקרי נכסים-יתרות פתיחה'!$2:$110,95,0),0)*(1-AO$309)</f>
        <v>0</v>
      </c>
      <c r="AP226" s="50">
        <f>+IFERROR(HLOOKUP(AP26,'סקרי נכסים-יתרות פתיחה'!$2:$110,37,0),0)-IFERROR(HLOOKUP(AP26,'סקרי נכסים-יתרות פתיחה'!$2:$110,95,0),0)*(1-AP$309)</f>
        <v>0</v>
      </c>
      <c r="AQ226" s="50">
        <f>+IFERROR(HLOOKUP(AQ26,'סקרי נכסים-יתרות פתיחה'!$2:$110,37,0),0)-IFERROR(HLOOKUP(AQ26,'סקרי נכסים-יתרות פתיחה'!$2:$110,95,0),0)*(1-AQ$309)</f>
        <v>0</v>
      </c>
      <c r="AR226" s="50">
        <f>+IFERROR(HLOOKUP(AR26,'סקרי נכסים-יתרות פתיחה'!$2:$110,37,0),0)-IFERROR(HLOOKUP(AR26,'סקרי נכסים-יתרות פתיחה'!$2:$110,95,0),0)*(1-AR$309)</f>
        <v>0</v>
      </c>
      <c r="AS226" s="50">
        <f>+IFERROR(HLOOKUP(AS26,'סקרי נכסים-יתרות פתיחה'!$2:$110,37,0),0)-IFERROR(HLOOKUP(AS26,'סקרי נכסים-יתרות פתיחה'!$2:$110,95,0),0)*(1-AS$309)</f>
        <v>0</v>
      </c>
      <c r="AT226" s="50">
        <f>+IFERROR(HLOOKUP(AT26,'סקרי נכסים-יתרות פתיחה'!$2:$110,37,0),0)-IFERROR(HLOOKUP(AT26,'סקרי נכסים-יתרות פתיחה'!$2:$110,95,0),0)*(1-AT$309)</f>
        <v>0</v>
      </c>
      <c r="AU226" s="50">
        <f>+IFERROR(HLOOKUP(AU26,'סקרי נכסים-יתרות פתיחה'!$2:$110,37,0),0)-IFERROR(HLOOKUP(AU26,'סקרי נכסים-יתרות פתיחה'!$2:$110,95,0),0)*(1-AU$309)</f>
        <v>0</v>
      </c>
      <c r="AV226" s="50">
        <f>+IFERROR(HLOOKUP(AV26,'סקרי נכסים-יתרות פתיחה'!$2:$110,37,0),0)-IFERROR(HLOOKUP(AV26,'סקרי נכסים-יתרות פתיחה'!$2:$110,95,0),0)*(1-AV$309)</f>
        <v>0</v>
      </c>
      <c r="AW226" s="50">
        <f>+IFERROR(HLOOKUP(AW26,'סקרי נכסים-יתרות פתיחה'!$2:$110,37,0),0)-IFERROR(HLOOKUP(AW26,'סקרי נכסים-יתרות פתיחה'!$2:$110,95,0),0)*(1-AW$309)</f>
        <v>0</v>
      </c>
      <c r="AX226" s="50">
        <f>+IFERROR(HLOOKUP(AX26,'סקרי נכסים-יתרות פתיחה'!$2:$110,37,0),0)-IFERROR(HLOOKUP(AX26,'סקרי נכסים-יתרות פתיחה'!$2:$110,95,0),0)*(1-AX$309)</f>
        <v>0</v>
      </c>
      <c r="AY226" s="50">
        <f>+IFERROR(HLOOKUP(AY26,'סקרי נכסים-יתרות פתיחה'!$2:$110,37,0),0)-IFERROR(HLOOKUP(AY26,'סקרי נכסים-יתרות פתיחה'!$2:$110,95,0),0)*(1-AY$309)</f>
        <v>0</v>
      </c>
      <c r="AZ226" s="50">
        <f>+IFERROR(HLOOKUP(AZ26,'סקרי נכסים-יתרות פתיחה'!$2:$110,37,0),0)-IFERROR(HLOOKUP(AZ26,'סקרי נכסים-יתרות פתיחה'!$2:$110,95,0),0)*(1-AZ$309)</f>
        <v>0</v>
      </c>
      <c r="BA226" s="50">
        <f>+IFERROR(HLOOKUP(BA26,'סקרי נכסים-יתרות פתיחה'!$2:$110,37,0),0)-IFERROR(HLOOKUP(BA26,'סקרי נכסים-יתרות פתיחה'!$2:$110,95,0),0)*(1-BA$309)</f>
        <v>0</v>
      </c>
      <c r="BB226" s="50">
        <f>+IFERROR(HLOOKUP(BB26,'סקרי נכסים-יתרות פתיחה'!$2:$110,37,0),0)-IFERROR(HLOOKUP(BB26,'סקרי נכסים-יתרות פתיחה'!$2:$110,95,0),0)*(1-BB$309)</f>
        <v>0</v>
      </c>
      <c r="BC226" s="50">
        <f>+IFERROR(HLOOKUP(BC26,'סקרי נכסים-יתרות פתיחה'!$2:$110,37,0),0)-IFERROR(HLOOKUP(BC26,'סקרי נכסים-יתרות פתיחה'!$2:$110,95,0),0)*(1-BC$309)</f>
        <v>0</v>
      </c>
      <c r="BD226" s="50">
        <f>+IFERROR(HLOOKUP(BD26,'סקרי נכסים-יתרות פתיחה'!$2:$110,37,0),0)-IFERROR(HLOOKUP(BD26,'סקרי נכסים-יתרות פתיחה'!$2:$110,95,0),0)*(1-BD$309)</f>
        <v>0</v>
      </c>
      <c r="BE226" s="50">
        <f>+IFERROR(HLOOKUP(BE26,'סקרי נכסים-יתרות פתיחה'!$2:$110,37,0),0)-IFERROR(HLOOKUP(BE26,'סקרי נכסים-יתרות פתיחה'!$2:$110,95,0),0)*(1-BE$309)</f>
        <v>0</v>
      </c>
      <c r="BF226" s="50">
        <f>+IFERROR(HLOOKUP(BF26,'סקרי נכסים-יתרות פתיחה'!$2:$110,37,0),0)-IFERROR(HLOOKUP(BF26,'סקרי נכסים-יתרות פתיחה'!$2:$110,95,0),0)*(1-BF$309)</f>
        <v>0</v>
      </c>
    </row>
    <row r="227" spans="1:58" x14ac:dyDescent="0.2">
      <c r="B227" s="1">
        <v>24</v>
      </c>
      <c r="C227" s="50">
        <f>+IFERROR(HLOOKUP(C27,'סקרי נכסים-יתרות פתיחה'!$2:$110,37,0),0)-IFERROR(HLOOKUP(C27,'סקרי נכסים-יתרות פתיחה'!$2:$110,95,0),0)*(1-C$309)</f>
        <v>0</v>
      </c>
      <c r="D227" s="50">
        <f>+IFERROR(HLOOKUP(D27,'סקרי נכסים-יתרות פתיחה'!$2:$110,37,0),0)-IFERROR(HLOOKUP(D27,'סקרי נכסים-יתרות פתיחה'!$2:$110,95,0),0)*(1-D$309)</f>
        <v>0</v>
      </c>
      <c r="E227" s="50">
        <f>+IFERROR(HLOOKUP(E27,'סקרי נכסים-יתרות פתיחה'!$2:$110,37,0),0)-IFERROR(HLOOKUP(E27,'סקרי נכסים-יתרות פתיחה'!$2:$110,95,0),0)*(1-E$309)</f>
        <v>0</v>
      </c>
      <c r="F227" s="50">
        <f>+IFERROR(HLOOKUP(F27,'סקרי נכסים-יתרות פתיחה'!$2:$110,37,0),0)-IFERROR(HLOOKUP(F27,'סקרי נכסים-יתרות פתיחה'!$2:$110,95,0),0)*(1-F$309)</f>
        <v>0</v>
      </c>
      <c r="G227" s="50">
        <f>+IFERROR(HLOOKUP(G27,'סקרי נכסים-יתרות פתיחה'!$2:$110,37,0),0)-IFERROR(HLOOKUP(G27,'סקרי נכסים-יתרות פתיחה'!$2:$110,95,0),0)*(1-G$309)</f>
        <v>0</v>
      </c>
      <c r="H227" s="50">
        <f>+IFERROR(HLOOKUP(H27,'סקרי נכסים-יתרות פתיחה'!$2:$110,37,0),0)-IFERROR(HLOOKUP(H27,'סקרי נכסים-יתרות פתיחה'!$2:$110,95,0),0)*(1-H$309)</f>
        <v>0</v>
      </c>
      <c r="I227" s="50">
        <f>+IFERROR(HLOOKUP(I27,'סקרי נכסים-יתרות פתיחה'!$2:$110,37,0),0)-IFERROR(HLOOKUP(I27,'סקרי נכסים-יתרות פתיחה'!$2:$110,95,0),0)*(1-I$309)</f>
        <v>0</v>
      </c>
      <c r="J227" s="50">
        <f>+IFERROR(HLOOKUP(J27,'סקרי נכסים-יתרות פתיחה'!$2:$110,37,0),0)-IFERROR(HLOOKUP(J27,'סקרי נכסים-יתרות פתיחה'!$2:$110,95,0),0)*(1-J$309)</f>
        <v>0</v>
      </c>
      <c r="K227" s="50">
        <f>+IFERROR(HLOOKUP(K27,'סקרי נכסים-יתרות פתיחה'!$2:$110,37,0),0)-IFERROR(HLOOKUP(K27,'סקרי נכסים-יתרות פתיחה'!$2:$110,95,0),0)*(1-K$309)</f>
        <v>0</v>
      </c>
      <c r="L227" s="50">
        <f>+IFERROR(HLOOKUP(L27,'סקרי נכסים-יתרות פתיחה'!$2:$110,37,0),0)-IFERROR(HLOOKUP(L27,'סקרי נכסים-יתרות פתיחה'!$2:$110,95,0),0)*(1-L$309)</f>
        <v>0</v>
      </c>
      <c r="M227" s="50">
        <f>+IFERROR(HLOOKUP(M27,'סקרי נכסים-יתרות פתיחה'!$2:$110,37,0),0)-IFERROR(HLOOKUP(M27,'סקרי נכסים-יתרות פתיחה'!$2:$110,95,0),0)*(1-M$309)</f>
        <v>0</v>
      </c>
      <c r="N227" s="50">
        <f>+IFERROR(HLOOKUP(N27,'סקרי נכסים-יתרות פתיחה'!$2:$110,37,0),0)-IFERROR(HLOOKUP(N27,'סקרי נכסים-יתרות פתיחה'!$2:$110,95,0),0)*(1-N$309)</f>
        <v>0</v>
      </c>
      <c r="O227" s="50">
        <f>+IFERROR(HLOOKUP(O27,'סקרי נכסים-יתרות פתיחה'!$2:$110,37,0),0)-IFERROR(HLOOKUP(O27,'סקרי נכסים-יתרות פתיחה'!$2:$110,95,0),0)*(1-O$309)</f>
        <v>0</v>
      </c>
      <c r="P227" s="50">
        <f>+IFERROR(HLOOKUP(P27,'סקרי נכסים-יתרות פתיחה'!$2:$110,37,0),0)-IFERROR(HLOOKUP(P27,'סקרי נכסים-יתרות פתיחה'!$2:$110,95,0),0)*(1-P$309)</f>
        <v>0</v>
      </c>
      <c r="Q227" s="50">
        <f>+IFERROR(HLOOKUP(Q27,'סקרי נכסים-יתרות פתיחה'!$2:$110,37,0),0)-IFERROR(HLOOKUP(Q27,'סקרי נכסים-יתרות פתיחה'!$2:$110,95,0),0)*(1-Q$309)</f>
        <v>0</v>
      </c>
      <c r="R227" s="50">
        <f>+IFERROR(HLOOKUP(R27,'סקרי נכסים-יתרות פתיחה'!$2:$110,37,0),0)-IFERROR(HLOOKUP(R27,'סקרי נכסים-יתרות פתיחה'!$2:$110,95,0),0)*(1-R$309)</f>
        <v>0</v>
      </c>
      <c r="S227" s="50">
        <f>+IFERROR(HLOOKUP(S27,'סקרי נכסים-יתרות פתיחה'!$2:$110,37,0),0)-IFERROR(HLOOKUP(S27,'סקרי נכסים-יתרות פתיחה'!$2:$110,95,0),0)*(1-S$309)</f>
        <v>0</v>
      </c>
      <c r="T227" s="50">
        <f>+IFERROR(HLOOKUP(T27,'סקרי נכסים-יתרות פתיחה'!$2:$110,37,0),0)-IFERROR(HLOOKUP(T27,'סקרי נכסים-יתרות פתיחה'!$2:$110,95,0),0)*(1-T$309)</f>
        <v>0</v>
      </c>
      <c r="U227" s="50">
        <f>+IFERROR(HLOOKUP(U27,'סקרי נכסים-יתרות פתיחה'!$2:$110,37,0),0)-IFERROR(HLOOKUP(U27,'סקרי נכסים-יתרות פתיחה'!$2:$110,95,0),0)*(1-U$309)</f>
        <v>0</v>
      </c>
      <c r="V227" s="50">
        <f>+IFERROR(HLOOKUP(V27,'סקרי נכסים-יתרות פתיחה'!$2:$110,37,0),0)-IFERROR(HLOOKUP(V27,'סקרי נכסים-יתרות פתיחה'!$2:$110,95,0),0)*(1-V$309)</f>
        <v>0</v>
      </c>
      <c r="W227" s="50">
        <f>+IFERROR(HLOOKUP(W27,'סקרי נכסים-יתרות פתיחה'!$2:$110,37,0),0)-IFERROR(HLOOKUP(W27,'סקרי נכסים-יתרות פתיחה'!$2:$110,95,0),0)*(1-W$309)</f>
        <v>0</v>
      </c>
      <c r="X227" s="50">
        <f>+IFERROR(HLOOKUP(X27,'סקרי נכסים-יתרות פתיחה'!$2:$110,37,0),0)-IFERROR(HLOOKUP(X27,'סקרי נכסים-יתרות פתיחה'!$2:$110,95,0),0)*(1-X$309)</f>
        <v>0</v>
      </c>
      <c r="Y227" s="50">
        <f>+IFERROR(HLOOKUP(Y27,'סקרי נכסים-יתרות פתיחה'!$2:$110,37,0),0)-IFERROR(HLOOKUP(Y27,'סקרי נכסים-יתרות פתיחה'!$2:$110,95,0),0)*(1-Y$309)</f>
        <v>0</v>
      </c>
      <c r="Z227" s="50">
        <f>+IFERROR(HLOOKUP(Z27,'סקרי נכסים-יתרות פתיחה'!$2:$110,37,0),0)-IFERROR(HLOOKUP(Z27,'סקרי נכסים-יתרות פתיחה'!$2:$110,95,0),0)*(1-Z$309)</f>
        <v>0</v>
      </c>
      <c r="AA227" s="50">
        <f>+IFERROR(HLOOKUP(AA27,'סקרי נכסים-יתרות פתיחה'!$2:$110,37,0),0)-IFERROR(HLOOKUP(AA27,'סקרי נכסים-יתרות פתיחה'!$2:$110,95,0),0)*(1-AA$309)</f>
        <v>0</v>
      </c>
      <c r="AB227" s="50">
        <f>+IFERROR(HLOOKUP(AB27,'סקרי נכסים-יתרות פתיחה'!$2:$110,37,0),0)-IFERROR(HLOOKUP(AB27,'סקרי נכסים-יתרות פתיחה'!$2:$110,95,0),0)*(1-AB$309)</f>
        <v>0</v>
      </c>
      <c r="AC227" s="50">
        <f>+IFERROR(HLOOKUP(AC27,'סקרי נכסים-יתרות פתיחה'!$2:$110,37,0),0)-IFERROR(HLOOKUP(AC27,'סקרי נכסים-יתרות פתיחה'!$2:$110,95,0),0)*(1-AC$309)</f>
        <v>0</v>
      </c>
      <c r="AD227" s="50">
        <f>+IFERROR(HLOOKUP(AD27,'סקרי נכסים-יתרות פתיחה'!$2:$110,37,0),0)-IFERROR(HLOOKUP(AD27,'סקרי נכסים-יתרות פתיחה'!$2:$110,95,0),0)*(1-AD$309)</f>
        <v>0</v>
      </c>
      <c r="AE227" s="50">
        <f>+IFERROR(HLOOKUP(AE27,'סקרי נכסים-יתרות פתיחה'!$2:$110,37,0),0)-IFERROR(HLOOKUP(AE27,'סקרי נכסים-יתרות פתיחה'!$2:$110,95,0),0)*(1-AE$309)</f>
        <v>0</v>
      </c>
      <c r="AF227" s="50">
        <f>+IFERROR(HLOOKUP(AF27,'סקרי נכסים-יתרות פתיחה'!$2:$110,37,0),0)-IFERROR(HLOOKUP(AF27,'סקרי נכסים-יתרות פתיחה'!$2:$110,95,0),0)*(1-AF$309)</f>
        <v>0</v>
      </c>
      <c r="AG227" s="50">
        <f>+IFERROR(HLOOKUP(AG27,'סקרי נכסים-יתרות פתיחה'!$2:$110,37,0),0)-IFERROR(HLOOKUP(AG27,'סקרי נכסים-יתרות פתיחה'!$2:$110,95,0),0)*(1-AG$309)</f>
        <v>0</v>
      </c>
      <c r="AH227" s="50">
        <f>+IFERROR(HLOOKUP(AH27,'סקרי נכסים-יתרות פתיחה'!$2:$110,37,0),0)-IFERROR(HLOOKUP(AH27,'סקרי נכסים-יתרות פתיחה'!$2:$110,95,0),0)*(1-AH$309)</f>
        <v>0</v>
      </c>
      <c r="AI227" s="50">
        <f>+IFERROR(HLOOKUP(AI27,'סקרי נכסים-יתרות פתיחה'!$2:$110,37,0),0)-IFERROR(HLOOKUP(AI27,'סקרי נכסים-יתרות פתיחה'!$2:$110,95,0),0)*(1-AI$309)</f>
        <v>0</v>
      </c>
      <c r="AJ227" s="50">
        <f>+IFERROR(HLOOKUP(AJ27,'סקרי נכסים-יתרות פתיחה'!$2:$110,37,0),0)-IFERROR(HLOOKUP(AJ27,'סקרי נכסים-יתרות פתיחה'!$2:$110,95,0),0)*(1-AJ$309)</f>
        <v>0</v>
      </c>
      <c r="AK227" s="50">
        <f>+IFERROR(HLOOKUP(AK27,'סקרי נכסים-יתרות פתיחה'!$2:$110,37,0),0)-IFERROR(HLOOKUP(AK27,'סקרי נכסים-יתרות פתיחה'!$2:$110,95,0),0)*(1-AK$309)</f>
        <v>0</v>
      </c>
      <c r="AL227" s="50">
        <f>+IFERROR(HLOOKUP(AL27,'סקרי נכסים-יתרות פתיחה'!$2:$110,37,0),0)-IFERROR(HLOOKUP(AL27,'סקרי נכסים-יתרות פתיחה'!$2:$110,95,0),0)*(1-AL$309)</f>
        <v>0</v>
      </c>
      <c r="AM227" s="50">
        <f>+IFERROR(HLOOKUP(AM27,'סקרי נכסים-יתרות פתיחה'!$2:$110,37,0),0)-IFERROR(HLOOKUP(AM27,'סקרי נכסים-יתרות פתיחה'!$2:$110,95,0),0)*(1-AM$309)</f>
        <v>0</v>
      </c>
      <c r="AN227" s="50">
        <f>+IFERROR(HLOOKUP(AN27,'סקרי נכסים-יתרות פתיחה'!$2:$110,37,0),0)-IFERROR(HLOOKUP(AN27,'סקרי נכסים-יתרות פתיחה'!$2:$110,95,0),0)*(1-AN$309)</f>
        <v>0</v>
      </c>
      <c r="AO227" s="50">
        <f>+IFERROR(HLOOKUP(AO27,'סקרי נכסים-יתרות פתיחה'!$2:$110,37,0),0)-IFERROR(HLOOKUP(AO27,'סקרי נכסים-יתרות פתיחה'!$2:$110,95,0),0)*(1-AO$309)</f>
        <v>0</v>
      </c>
      <c r="AP227" s="50">
        <f>+IFERROR(HLOOKUP(AP27,'סקרי נכסים-יתרות פתיחה'!$2:$110,37,0),0)-IFERROR(HLOOKUP(AP27,'סקרי נכסים-יתרות פתיחה'!$2:$110,95,0),0)*(1-AP$309)</f>
        <v>0</v>
      </c>
      <c r="AQ227" s="50">
        <f>+IFERROR(HLOOKUP(AQ27,'סקרי נכסים-יתרות פתיחה'!$2:$110,37,0),0)-IFERROR(HLOOKUP(AQ27,'סקרי נכסים-יתרות פתיחה'!$2:$110,95,0),0)*(1-AQ$309)</f>
        <v>0</v>
      </c>
      <c r="AR227" s="50">
        <f>+IFERROR(HLOOKUP(AR27,'סקרי נכסים-יתרות פתיחה'!$2:$110,37,0),0)-IFERROR(HLOOKUP(AR27,'סקרי נכסים-יתרות פתיחה'!$2:$110,95,0),0)*(1-AR$309)</f>
        <v>0</v>
      </c>
      <c r="AS227" s="50">
        <f>+IFERROR(HLOOKUP(AS27,'סקרי נכסים-יתרות פתיחה'!$2:$110,37,0),0)-IFERROR(HLOOKUP(AS27,'סקרי נכסים-יתרות פתיחה'!$2:$110,95,0),0)*(1-AS$309)</f>
        <v>0</v>
      </c>
      <c r="AT227" s="50">
        <f>+IFERROR(HLOOKUP(AT27,'סקרי נכסים-יתרות פתיחה'!$2:$110,37,0),0)-IFERROR(HLOOKUP(AT27,'סקרי נכסים-יתרות פתיחה'!$2:$110,95,0),0)*(1-AT$309)</f>
        <v>0</v>
      </c>
      <c r="AU227" s="50">
        <f>+IFERROR(HLOOKUP(AU27,'סקרי נכסים-יתרות פתיחה'!$2:$110,37,0),0)-IFERROR(HLOOKUP(AU27,'סקרי נכסים-יתרות פתיחה'!$2:$110,95,0),0)*(1-AU$309)</f>
        <v>0</v>
      </c>
      <c r="AV227" s="50">
        <f>+IFERROR(HLOOKUP(AV27,'סקרי נכסים-יתרות פתיחה'!$2:$110,37,0),0)-IFERROR(HLOOKUP(AV27,'סקרי נכסים-יתרות פתיחה'!$2:$110,95,0),0)*(1-AV$309)</f>
        <v>0</v>
      </c>
      <c r="AW227" s="50">
        <f>+IFERROR(HLOOKUP(AW27,'סקרי נכסים-יתרות פתיחה'!$2:$110,37,0),0)-IFERROR(HLOOKUP(AW27,'סקרי נכסים-יתרות פתיחה'!$2:$110,95,0),0)*(1-AW$309)</f>
        <v>0</v>
      </c>
      <c r="AX227" s="50">
        <f>+IFERROR(HLOOKUP(AX27,'סקרי נכסים-יתרות פתיחה'!$2:$110,37,0),0)-IFERROR(HLOOKUP(AX27,'סקרי נכסים-יתרות פתיחה'!$2:$110,95,0),0)*(1-AX$309)</f>
        <v>0</v>
      </c>
      <c r="AY227" s="50">
        <f>+IFERROR(HLOOKUP(AY27,'סקרי נכסים-יתרות פתיחה'!$2:$110,37,0),0)-IFERROR(HLOOKUP(AY27,'סקרי נכסים-יתרות פתיחה'!$2:$110,95,0),0)*(1-AY$309)</f>
        <v>0</v>
      </c>
      <c r="AZ227" s="50">
        <f>+IFERROR(HLOOKUP(AZ27,'סקרי נכסים-יתרות פתיחה'!$2:$110,37,0),0)-IFERROR(HLOOKUP(AZ27,'סקרי נכסים-יתרות פתיחה'!$2:$110,95,0),0)*(1-AZ$309)</f>
        <v>0</v>
      </c>
      <c r="BA227" s="50">
        <f>+IFERROR(HLOOKUP(BA27,'סקרי נכסים-יתרות פתיחה'!$2:$110,37,0),0)-IFERROR(HLOOKUP(BA27,'סקרי נכסים-יתרות פתיחה'!$2:$110,95,0),0)*(1-BA$309)</f>
        <v>0</v>
      </c>
      <c r="BB227" s="50">
        <f>+IFERROR(HLOOKUP(BB27,'סקרי נכסים-יתרות פתיחה'!$2:$110,37,0),0)-IFERROR(HLOOKUP(BB27,'סקרי נכסים-יתרות פתיחה'!$2:$110,95,0),0)*(1-BB$309)</f>
        <v>0</v>
      </c>
      <c r="BC227" s="50">
        <f>+IFERROR(HLOOKUP(BC27,'סקרי נכסים-יתרות פתיחה'!$2:$110,37,0),0)-IFERROR(HLOOKUP(BC27,'סקרי נכסים-יתרות פתיחה'!$2:$110,95,0),0)*(1-BC$309)</f>
        <v>0</v>
      </c>
      <c r="BD227" s="50">
        <f>+IFERROR(HLOOKUP(BD27,'סקרי נכסים-יתרות פתיחה'!$2:$110,37,0),0)-IFERROR(HLOOKUP(BD27,'סקרי נכסים-יתרות פתיחה'!$2:$110,95,0),0)*(1-BD$309)</f>
        <v>0</v>
      </c>
      <c r="BE227" s="50">
        <f>+IFERROR(HLOOKUP(BE27,'סקרי נכסים-יתרות פתיחה'!$2:$110,37,0),0)-IFERROR(HLOOKUP(BE27,'סקרי נכסים-יתרות פתיחה'!$2:$110,95,0),0)*(1-BE$309)</f>
        <v>0</v>
      </c>
      <c r="BF227" s="50">
        <f>+IFERROR(HLOOKUP(BF27,'סקרי נכסים-יתרות פתיחה'!$2:$110,37,0),0)-IFERROR(HLOOKUP(BF27,'סקרי נכסים-יתרות פתיחה'!$2:$110,95,0),0)*(1-BF$309)</f>
        <v>0</v>
      </c>
    </row>
    <row r="228" spans="1:58" x14ac:dyDescent="0.2">
      <c r="B228" s="1">
        <v>25</v>
      </c>
      <c r="C228" s="50">
        <f>+IFERROR(HLOOKUP(C28,'סקרי נכסים-יתרות פתיחה'!$2:$110,37,0),0)-IFERROR(HLOOKUP(C28,'סקרי נכסים-יתרות פתיחה'!$2:$110,95,0),0)*(1-C$309)</f>
        <v>0</v>
      </c>
      <c r="D228" s="50">
        <f>+IFERROR(HLOOKUP(D28,'סקרי נכסים-יתרות פתיחה'!$2:$110,37,0),0)-IFERROR(HLOOKUP(D28,'סקרי נכסים-יתרות פתיחה'!$2:$110,95,0),0)*(1-D$309)</f>
        <v>0</v>
      </c>
      <c r="E228" s="50">
        <f>+IFERROR(HLOOKUP(E28,'סקרי נכסים-יתרות פתיחה'!$2:$110,37,0),0)-IFERROR(HLOOKUP(E28,'סקרי נכסים-יתרות פתיחה'!$2:$110,95,0),0)*(1-E$309)</f>
        <v>0</v>
      </c>
      <c r="F228" s="50">
        <f>+IFERROR(HLOOKUP(F28,'סקרי נכסים-יתרות פתיחה'!$2:$110,37,0),0)-IFERROR(HLOOKUP(F28,'סקרי נכסים-יתרות פתיחה'!$2:$110,95,0),0)*(1-F$309)</f>
        <v>0</v>
      </c>
      <c r="G228" s="50">
        <f>+IFERROR(HLOOKUP(G28,'סקרי נכסים-יתרות פתיחה'!$2:$110,37,0),0)-IFERROR(HLOOKUP(G28,'סקרי נכסים-יתרות פתיחה'!$2:$110,95,0),0)*(1-G$309)</f>
        <v>0</v>
      </c>
      <c r="H228" s="50">
        <f>+IFERROR(HLOOKUP(H28,'סקרי נכסים-יתרות פתיחה'!$2:$110,37,0),0)-IFERROR(HLOOKUP(H28,'סקרי נכסים-יתרות פתיחה'!$2:$110,95,0),0)*(1-H$309)</f>
        <v>0</v>
      </c>
      <c r="I228" s="50">
        <f>+IFERROR(HLOOKUP(I28,'סקרי נכסים-יתרות פתיחה'!$2:$110,37,0),0)-IFERROR(HLOOKUP(I28,'סקרי נכסים-יתרות פתיחה'!$2:$110,95,0),0)*(1-I$309)</f>
        <v>0</v>
      </c>
      <c r="J228" s="50">
        <f>+IFERROR(HLOOKUP(J28,'סקרי נכסים-יתרות פתיחה'!$2:$110,37,0),0)-IFERROR(HLOOKUP(J28,'סקרי נכסים-יתרות פתיחה'!$2:$110,95,0),0)*(1-J$309)</f>
        <v>0</v>
      </c>
      <c r="K228" s="50">
        <f>+IFERROR(HLOOKUP(K28,'סקרי נכסים-יתרות פתיחה'!$2:$110,37,0),0)-IFERROR(HLOOKUP(K28,'סקרי נכסים-יתרות פתיחה'!$2:$110,95,0),0)*(1-K$309)</f>
        <v>0</v>
      </c>
      <c r="L228" s="50">
        <f>+IFERROR(HLOOKUP(L28,'סקרי נכסים-יתרות פתיחה'!$2:$110,37,0),0)-IFERROR(HLOOKUP(L28,'סקרי נכסים-יתרות פתיחה'!$2:$110,95,0),0)*(1-L$309)</f>
        <v>0</v>
      </c>
      <c r="M228" s="50">
        <f>+IFERROR(HLOOKUP(M28,'סקרי נכסים-יתרות פתיחה'!$2:$110,37,0),0)-IFERROR(HLOOKUP(M28,'סקרי נכסים-יתרות פתיחה'!$2:$110,95,0),0)*(1-M$309)</f>
        <v>0</v>
      </c>
      <c r="N228" s="50">
        <f>+IFERROR(HLOOKUP(N28,'סקרי נכסים-יתרות פתיחה'!$2:$110,37,0),0)-IFERROR(HLOOKUP(N28,'סקרי נכסים-יתרות פתיחה'!$2:$110,95,0),0)*(1-N$309)</f>
        <v>0</v>
      </c>
      <c r="O228" s="50">
        <f>+IFERROR(HLOOKUP(O28,'סקרי נכסים-יתרות פתיחה'!$2:$110,37,0),0)-IFERROR(HLOOKUP(O28,'סקרי נכסים-יתרות פתיחה'!$2:$110,95,0),0)*(1-O$309)</f>
        <v>0</v>
      </c>
      <c r="P228" s="50">
        <f>+IFERROR(HLOOKUP(P28,'סקרי נכסים-יתרות פתיחה'!$2:$110,37,0),0)-IFERROR(HLOOKUP(P28,'סקרי נכסים-יתרות פתיחה'!$2:$110,95,0),0)*(1-P$309)</f>
        <v>0</v>
      </c>
      <c r="Q228" s="50">
        <f>+IFERROR(HLOOKUP(Q28,'סקרי נכסים-יתרות פתיחה'!$2:$110,37,0),0)-IFERROR(HLOOKUP(Q28,'סקרי נכסים-יתרות פתיחה'!$2:$110,95,0),0)*(1-Q$309)</f>
        <v>0</v>
      </c>
      <c r="R228" s="50">
        <f>+IFERROR(HLOOKUP(R28,'סקרי נכסים-יתרות פתיחה'!$2:$110,37,0),0)-IFERROR(HLOOKUP(R28,'סקרי נכסים-יתרות פתיחה'!$2:$110,95,0),0)*(1-R$309)</f>
        <v>0</v>
      </c>
      <c r="S228" s="50">
        <f>+IFERROR(HLOOKUP(S28,'סקרי נכסים-יתרות פתיחה'!$2:$110,37,0),0)-IFERROR(HLOOKUP(S28,'סקרי נכסים-יתרות פתיחה'!$2:$110,95,0),0)*(1-S$309)</f>
        <v>0</v>
      </c>
      <c r="T228" s="50">
        <f>+IFERROR(HLOOKUP(T28,'סקרי נכסים-יתרות פתיחה'!$2:$110,37,0),0)-IFERROR(HLOOKUP(T28,'סקרי נכסים-יתרות פתיחה'!$2:$110,95,0),0)*(1-T$309)</f>
        <v>0</v>
      </c>
      <c r="U228" s="50">
        <f>+IFERROR(HLOOKUP(U28,'סקרי נכסים-יתרות פתיחה'!$2:$110,37,0),0)-IFERROR(HLOOKUP(U28,'סקרי נכסים-יתרות פתיחה'!$2:$110,95,0),0)*(1-U$309)</f>
        <v>0</v>
      </c>
      <c r="V228" s="50">
        <f>+IFERROR(HLOOKUP(V28,'סקרי נכסים-יתרות פתיחה'!$2:$110,37,0),0)-IFERROR(HLOOKUP(V28,'סקרי נכסים-יתרות פתיחה'!$2:$110,95,0),0)*(1-V$309)</f>
        <v>0</v>
      </c>
      <c r="W228" s="50">
        <f>+IFERROR(HLOOKUP(W28,'סקרי נכסים-יתרות פתיחה'!$2:$110,37,0),0)-IFERROR(HLOOKUP(W28,'סקרי נכסים-יתרות פתיחה'!$2:$110,95,0),0)*(1-W$309)</f>
        <v>0</v>
      </c>
      <c r="X228" s="50">
        <f>+IFERROR(HLOOKUP(X28,'סקרי נכסים-יתרות פתיחה'!$2:$110,37,0),0)-IFERROR(HLOOKUP(X28,'סקרי נכסים-יתרות פתיחה'!$2:$110,95,0),0)*(1-X$309)</f>
        <v>0</v>
      </c>
      <c r="Y228" s="50">
        <f>+IFERROR(HLOOKUP(Y28,'סקרי נכסים-יתרות פתיחה'!$2:$110,37,0),0)-IFERROR(HLOOKUP(Y28,'סקרי נכסים-יתרות פתיחה'!$2:$110,95,0),0)*(1-Y$309)</f>
        <v>0</v>
      </c>
      <c r="Z228" s="50">
        <f>+IFERROR(HLOOKUP(Z28,'סקרי נכסים-יתרות פתיחה'!$2:$110,37,0),0)-IFERROR(HLOOKUP(Z28,'סקרי נכסים-יתרות פתיחה'!$2:$110,95,0),0)*(1-Z$309)</f>
        <v>0</v>
      </c>
      <c r="AA228" s="50">
        <f>+IFERROR(HLOOKUP(AA28,'סקרי נכסים-יתרות פתיחה'!$2:$110,37,0),0)-IFERROR(HLOOKUP(AA28,'סקרי נכסים-יתרות פתיחה'!$2:$110,95,0),0)*(1-AA$309)</f>
        <v>0</v>
      </c>
      <c r="AB228" s="50">
        <f>+IFERROR(HLOOKUP(AB28,'סקרי נכסים-יתרות פתיחה'!$2:$110,37,0),0)-IFERROR(HLOOKUP(AB28,'סקרי נכסים-יתרות פתיחה'!$2:$110,95,0),0)*(1-AB$309)</f>
        <v>0</v>
      </c>
      <c r="AC228" s="50">
        <f>+IFERROR(HLOOKUP(AC28,'סקרי נכסים-יתרות פתיחה'!$2:$110,37,0),0)-IFERROR(HLOOKUP(AC28,'סקרי נכסים-יתרות פתיחה'!$2:$110,95,0),0)*(1-AC$309)</f>
        <v>0</v>
      </c>
      <c r="AD228" s="50">
        <f>+IFERROR(HLOOKUP(AD28,'סקרי נכסים-יתרות פתיחה'!$2:$110,37,0),0)-IFERROR(HLOOKUP(AD28,'סקרי נכסים-יתרות פתיחה'!$2:$110,95,0),0)*(1-AD$309)</f>
        <v>0</v>
      </c>
      <c r="AE228" s="50">
        <f>+IFERROR(HLOOKUP(AE28,'סקרי נכסים-יתרות פתיחה'!$2:$110,37,0),0)-IFERROR(HLOOKUP(AE28,'סקרי נכסים-יתרות פתיחה'!$2:$110,95,0),0)*(1-AE$309)</f>
        <v>0</v>
      </c>
      <c r="AF228" s="50">
        <f>+IFERROR(HLOOKUP(AF28,'סקרי נכסים-יתרות פתיחה'!$2:$110,37,0),0)-IFERROR(HLOOKUP(AF28,'סקרי נכסים-יתרות פתיחה'!$2:$110,95,0),0)*(1-AF$309)</f>
        <v>0</v>
      </c>
      <c r="AG228" s="50">
        <f>+IFERROR(HLOOKUP(AG28,'סקרי נכסים-יתרות פתיחה'!$2:$110,37,0),0)-IFERROR(HLOOKUP(AG28,'סקרי נכסים-יתרות פתיחה'!$2:$110,95,0),0)*(1-AG$309)</f>
        <v>0</v>
      </c>
      <c r="AH228" s="50">
        <f>+IFERROR(HLOOKUP(AH28,'סקרי נכסים-יתרות פתיחה'!$2:$110,37,0),0)-IFERROR(HLOOKUP(AH28,'סקרי נכסים-יתרות פתיחה'!$2:$110,95,0),0)*(1-AH$309)</f>
        <v>0</v>
      </c>
      <c r="AI228" s="50">
        <f>+IFERROR(HLOOKUP(AI28,'סקרי נכסים-יתרות פתיחה'!$2:$110,37,0),0)-IFERROR(HLOOKUP(AI28,'סקרי נכסים-יתרות פתיחה'!$2:$110,95,0),0)*(1-AI$309)</f>
        <v>0</v>
      </c>
      <c r="AJ228" s="50">
        <f>+IFERROR(HLOOKUP(AJ28,'סקרי נכסים-יתרות פתיחה'!$2:$110,37,0),0)-IFERROR(HLOOKUP(AJ28,'סקרי נכסים-יתרות פתיחה'!$2:$110,95,0),0)*(1-AJ$309)</f>
        <v>0</v>
      </c>
      <c r="AK228" s="50">
        <f>+IFERROR(HLOOKUP(AK28,'סקרי נכסים-יתרות פתיחה'!$2:$110,37,0),0)-IFERROR(HLOOKUP(AK28,'סקרי נכסים-יתרות פתיחה'!$2:$110,95,0),0)*(1-AK$309)</f>
        <v>0</v>
      </c>
      <c r="AL228" s="50">
        <f>+IFERROR(HLOOKUP(AL28,'סקרי נכסים-יתרות פתיחה'!$2:$110,37,0),0)-IFERROR(HLOOKUP(AL28,'סקרי נכסים-יתרות פתיחה'!$2:$110,95,0),0)*(1-AL$309)</f>
        <v>0</v>
      </c>
      <c r="AM228" s="50">
        <f>+IFERROR(HLOOKUP(AM28,'סקרי נכסים-יתרות פתיחה'!$2:$110,37,0),0)-IFERROR(HLOOKUP(AM28,'סקרי נכסים-יתרות פתיחה'!$2:$110,95,0),0)*(1-AM$309)</f>
        <v>0</v>
      </c>
      <c r="AN228" s="50">
        <f>+IFERROR(HLOOKUP(AN28,'סקרי נכסים-יתרות פתיחה'!$2:$110,37,0),0)-IFERROR(HLOOKUP(AN28,'סקרי נכסים-יתרות פתיחה'!$2:$110,95,0),0)*(1-AN$309)</f>
        <v>0</v>
      </c>
      <c r="AO228" s="50">
        <f>+IFERROR(HLOOKUP(AO28,'סקרי נכסים-יתרות פתיחה'!$2:$110,37,0),0)-IFERROR(HLOOKUP(AO28,'סקרי נכסים-יתרות פתיחה'!$2:$110,95,0),0)*(1-AO$309)</f>
        <v>0</v>
      </c>
      <c r="AP228" s="50">
        <f>+IFERROR(HLOOKUP(AP28,'סקרי נכסים-יתרות פתיחה'!$2:$110,37,0),0)-IFERROR(HLOOKUP(AP28,'סקרי נכסים-יתרות פתיחה'!$2:$110,95,0),0)*(1-AP$309)</f>
        <v>0</v>
      </c>
      <c r="AQ228" s="50">
        <f>+IFERROR(HLOOKUP(AQ28,'סקרי נכסים-יתרות פתיחה'!$2:$110,37,0),0)-IFERROR(HLOOKUP(AQ28,'סקרי נכסים-יתרות פתיחה'!$2:$110,95,0),0)*(1-AQ$309)</f>
        <v>0</v>
      </c>
      <c r="AR228" s="50">
        <f>+IFERROR(HLOOKUP(AR28,'סקרי נכסים-יתרות פתיחה'!$2:$110,37,0),0)-IFERROR(HLOOKUP(AR28,'סקרי נכסים-יתרות פתיחה'!$2:$110,95,0),0)*(1-AR$309)</f>
        <v>0</v>
      </c>
      <c r="AS228" s="50">
        <f>+IFERROR(HLOOKUP(AS28,'סקרי נכסים-יתרות פתיחה'!$2:$110,37,0),0)-IFERROR(HLOOKUP(AS28,'סקרי נכסים-יתרות פתיחה'!$2:$110,95,0),0)*(1-AS$309)</f>
        <v>0</v>
      </c>
      <c r="AT228" s="50">
        <f>+IFERROR(HLOOKUP(AT28,'סקרי נכסים-יתרות פתיחה'!$2:$110,37,0),0)-IFERROR(HLOOKUP(AT28,'סקרי נכסים-יתרות פתיחה'!$2:$110,95,0),0)*(1-AT$309)</f>
        <v>0</v>
      </c>
      <c r="AU228" s="50">
        <f>+IFERROR(HLOOKUP(AU28,'סקרי נכסים-יתרות פתיחה'!$2:$110,37,0),0)-IFERROR(HLOOKUP(AU28,'סקרי נכסים-יתרות פתיחה'!$2:$110,95,0),0)*(1-AU$309)</f>
        <v>0</v>
      </c>
      <c r="AV228" s="50">
        <f>+IFERROR(HLOOKUP(AV28,'סקרי נכסים-יתרות פתיחה'!$2:$110,37,0),0)-IFERROR(HLOOKUP(AV28,'סקרי נכסים-יתרות פתיחה'!$2:$110,95,0),0)*(1-AV$309)</f>
        <v>0</v>
      </c>
      <c r="AW228" s="50">
        <f>+IFERROR(HLOOKUP(AW28,'סקרי נכסים-יתרות פתיחה'!$2:$110,37,0),0)-IFERROR(HLOOKUP(AW28,'סקרי נכסים-יתרות פתיחה'!$2:$110,95,0),0)*(1-AW$309)</f>
        <v>0</v>
      </c>
      <c r="AX228" s="50">
        <f>+IFERROR(HLOOKUP(AX28,'סקרי נכסים-יתרות פתיחה'!$2:$110,37,0),0)-IFERROR(HLOOKUP(AX28,'סקרי נכסים-יתרות פתיחה'!$2:$110,95,0),0)*(1-AX$309)</f>
        <v>0</v>
      </c>
      <c r="AY228" s="50">
        <f>+IFERROR(HLOOKUP(AY28,'סקרי נכסים-יתרות פתיחה'!$2:$110,37,0),0)-IFERROR(HLOOKUP(AY28,'סקרי נכסים-יתרות פתיחה'!$2:$110,95,0),0)*(1-AY$309)</f>
        <v>0</v>
      </c>
      <c r="AZ228" s="50">
        <f>+IFERROR(HLOOKUP(AZ28,'סקרי נכסים-יתרות פתיחה'!$2:$110,37,0),0)-IFERROR(HLOOKUP(AZ28,'סקרי נכסים-יתרות פתיחה'!$2:$110,95,0),0)*(1-AZ$309)</f>
        <v>0</v>
      </c>
      <c r="BA228" s="50">
        <f>+IFERROR(HLOOKUP(BA28,'סקרי נכסים-יתרות פתיחה'!$2:$110,37,0),0)-IFERROR(HLOOKUP(BA28,'סקרי נכסים-יתרות פתיחה'!$2:$110,95,0),0)*(1-BA$309)</f>
        <v>0</v>
      </c>
      <c r="BB228" s="50">
        <f>+IFERROR(HLOOKUP(BB28,'סקרי נכסים-יתרות פתיחה'!$2:$110,37,0),0)-IFERROR(HLOOKUP(BB28,'סקרי נכסים-יתרות פתיחה'!$2:$110,95,0),0)*(1-BB$309)</f>
        <v>0</v>
      </c>
      <c r="BC228" s="50">
        <f>+IFERROR(HLOOKUP(BC28,'סקרי נכסים-יתרות פתיחה'!$2:$110,37,0),0)-IFERROR(HLOOKUP(BC28,'סקרי נכסים-יתרות פתיחה'!$2:$110,95,0),0)*(1-BC$309)</f>
        <v>0</v>
      </c>
      <c r="BD228" s="50">
        <f>+IFERROR(HLOOKUP(BD28,'סקרי נכסים-יתרות פתיחה'!$2:$110,37,0),0)-IFERROR(HLOOKUP(BD28,'סקרי נכסים-יתרות פתיחה'!$2:$110,95,0),0)*(1-BD$309)</f>
        <v>0</v>
      </c>
      <c r="BE228" s="50">
        <f>+IFERROR(HLOOKUP(BE28,'סקרי נכסים-יתרות פתיחה'!$2:$110,37,0),0)-IFERROR(HLOOKUP(BE28,'סקרי נכסים-יתרות פתיחה'!$2:$110,95,0),0)*(1-BE$309)</f>
        <v>0</v>
      </c>
      <c r="BF228" s="50">
        <f>+IFERROR(HLOOKUP(BF28,'סקרי נכסים-יתרות פתיחה'!$2:$110,37,0),0)-IFERROR(HLOOKUP(BF28,'סקרי נכסים-יתרות פתיחה'!$2:$110,95,0),0)*(1-BF$309)</f>
        <v>0</v>
      </c>
    </row>
    <row r="229" spans="1:58" x14ac:dyDescent="0.2">
      <c r="B229" s="1">
        <v>26</v>
      </c>
      <c r="C229" s="50">
        <f>+IFERROR(HLOOKUP(C29,'סקרי נכסים-יתרות פתיחה'!$2:$110,37,0),0)-IFERROR(HLOOKUP(C29,'סקרי נכסים-יתרות פתיחה'!$2:$110,95,0),0)*(1-C$309)</f>
        <v>0</v>
      </c>
      <c r="D229" s="50">
        <f>+IFERROR(HLOOKUP(D29,'סקרי נכסים-יתרות פתיחה'!$2:$110,37,0),0)-IFERROR(HLOOKUP(D29,'סקרי נכסים-יתרות פתיחה'!$2:$110,95,0),0)*(1-D$309)</f>
        <v>0</v>
      </c>
      <c r="E229" s="50">
        <f>+IFERROR(HLOOKUP(E29,'סקרי נכסים-יתרות פתיחה'!$2:$110,37,0),0)-IFERROR(HLOOKUP(E29,'סקרי נכסים-יתרות פתיחה'!$2:$110,95,0),0)*(1-E$309)</f>
        <v>0</v>
      </c>
      <c r="F229" s="50">
        <f>+IFERROR(HLOOKUP(F29,'סקרי נכסים-יתרות פתיחה'!$2:$110,37,0),0)-IFERROR(HLOOKUP(F29,'סקרי נכסים-יתרות פתיחה'!$2:$110,95,0),0)*(1-F$309)</f>
        <v>0</v>
      </c>
      <c r="G229" s="50">
        <f>+IFERROR(HLOOKUP(G29,'סקרי נכסים-יתרות פתיחה'!$2:$110,37,0),0)-IFERROR(HLOOKUP(G29,'סקרי נכסים-יתרות פתיחה'!$2:$110,95,0),0)*(1-G$309)</f>
        <v>0</v>
      </c>
      <c r="H229" s="50">
        <f>+IFERROR(HLOOKUP(H29,'סקרי נכסים-יתרות פתיחה'!$2:$110,37,0),0)-IFERROR(HLOOKUP(H29,'סקרי נכסים-יתרות פתיחה'!$2:$110,95,0),0)*(1-H$309)</f>
        <v>0</v>
      </c>
      <c r="I229" s="50">
        <f>+IFERROR(HLOOKUP(I29,'סקרי נכסים-יתרות פתיחה'!$2:$110,37,0),0)-IFERROR(HLOOKUP(I29,'סקרי נכסים-יתרות פתיחה'!$2:$110,95,0),0)*(1-I$309)</f>
        <v>0</v>
      </c>
      <c r="J229" s="50">
        <f>+IFERROR(HLOOKUP(J29,'סקרי נכסים-יתרות פתיחה'!$2:$110,37,0),0)-IFERROR(HLOOKUP(J29,'סקרי נכסים-יתרות פתיחה'!$2:$110,95,0),0)*(1-J$309)</f>
        <v>0</v>
      </c>
      <c r="K229" s="50">
        <f>+IFERROR(HLOOKUP(K29,'סקרי נכסים-יתרות פתיחה'!$2:$110,37,0),0)-IFERROR(HLOOKUP(K29,'סקרי נכסים-יתרות פתיחה'!$2:$110,95,0),0)*(1-K$309)</f>
        <v>0</v>
      </c>
      <c r="L229" s="50">
        <f>+IFERROR(HLOOKUP(L29,'סקרי נכסים-יתרות פתיחה'!$2:$110,37,0),0)-IFERROR(HLOOKUP(L29,'סקרי נכסים-יתרות פתיחה'!$2:$110,95,0),0)*(1-L$309)</f>
        <v>0</v>
      </c>
      <c r="M229" s="50">
        <f>+IFERROR(HLOOKUP(M29,'סקרי נכסים-יתרות פתיחה'!$2:$110,37,0),0)-IFERROR(HLOOKUP(M29,'סקרי נכסים-יתרות פתיחה'!$2:$110,95,0),0)*(1-M$309)</f>
        <v>0</v>
      </c>
      <c r="N229" s="50">
        <f>+IFERROR(HLOOKUP(N29,'סקרי נכסים-יתרות פתיחה'!$2:$110,37,0),0)-IFERROR(HLOOKUP(N29,'סקרי נכסים-יתרות פתיחה'!$2:$110,95,0),0)*(1-N$309)</f>
        <v>0</v>
      </c>
      <c r="O229" s="50">
        <f>+IFERROR(HLOOKUP(O29,'סקרי נכסים-יתרות פתיחה'!$2:$110,37,0),0)-IFERROR(HLOOKUP(O29,'סקרי נכסים-יתרות פתיחה'!$2:$110,95,0),0)*(1-O$309)</f>
        <v>0</v>
      </c>
      <c r="P229" s="50">
        <f>+IFERROR(HLOOKUP(P29,'סקרי נכסים-יתרות פתיחה'!$2:$110,37,0),0)-IFERROR(HLOOKUP(P29,'סקרי נכסים-יתרות פתיחה'!$2:$110,95,0),0)*(1-P$309)</f>
        <v>0</v>
      </c>
      <c r="Q229" s="50">
        <f>+IFERROR(HLOOKUP(Q29,'סקרי נכסים-יתרות פתיחה'!$2:$110,37,0),0)-IFERROR(HLOOKUP(Q29,'סקרי נכסים-יתרות פתיחה'!$2:$110,95,0),0)*(1-Q$309)</f>
        <v>0</v>
      </c>
      <c r="R229" s="50">
        <f>+IFERROR(HLOOKUP(R29,'סקרי נכסים-יתרות פתיחה'!$2:$110,37,0),0)-IFERROR(HLOOKUP(R29,'סקרי נכסים-יתרות פתיחה'!$2:$110,95,0),0)*(1-R$309)</f>
        <v>0</v>
      </c>
      <c r="S229" s="50">
        <f>+IFERROR(HLOOKUP(S29,'סקרי נכסים-יתרות פתיחה'!$2:$110,37,0),0)-IFERROR(HLOOKUP(S29,'סקרי נכסים-יתרות פתיחה'!$2:$110,95,0),0)*(1-S$309)</f>
        <v>0</v>
      </c>
      <c r="T229" s="50">
        <f>+IFERROR(HLOOKUP(T29,'סקרי נכסים-יתרות פתיחה'!$2:$110,37,0),0)-IFERROR(HLOOKUP(T29,'סקרי נכסים-יתרות פתיחה'!$2:$110,95,0),0)*(1-T$309)</f>
        <v>0</v>
      </c>
      <c r="U229" s="50">
        <f>+IFERROR(HLOOKUP(U29,'סקרי נכסים-יתרות פתיחה'!$2:$110,37,0),0)-IFERROR(HLOOKUP(U29,'סקרי נכסים-יתרות פתיחה'!$2:$110,95,0),0)*(1-U$309)</f>
        <v>0</v>
      </c>
      <c r="V229" s="50">
        <f>+IFERROR(HLOOKUP(V29,'סקרי נכסים-יתרות פתיחה'!$2:$110,37,0),0)-IFERROR(HLOOKUP(V29,'סקרי נכסים-יתרות פתיחה'!$2:$110,95,0),0)*(1-V$309)</f>
        <v>0</v>
      </c>
      <c r="W229" s="50">
        <f>+IFERROR(HLOOKUP(W29,'סקרי נכסים-יתרות פתיחה'!$2:$110,37,0),0)-IFERROR(HLOOKUP(W29,'סקרי נכסים-יתרות פתיחה'!$2:$110,95,0),0)*(1-W$309)</f>
        <v>0</v>
      </c>
      <c r="X229" s="50">
        <f>+IFERROR(HLOOKUP(X29,'סקרי נכסים-יתרות פתיחה'!$2:$110,37,0),0)-IFERROR(HLOOKUP(X29,'סקרי נכסים-יתרות פתיחה'!$2:$110,95,0),0)*(1-X$309)</f>
        <v>0</v>
      </c>
      <c r="Y229" s="50">
        <f>+IFERROR(HLOOKUP(Y29,'סקרי נכסים-יתרות פתיחה'!$2:$110,37,0),0)-IFERROR(HLOOKUP(Y29,'סקרי נכסים-יתרות פתיחה'!$2:$110,95,0),0)*(1-Y$309)</f>
        <v>0</v>
      </c>
      <c r="Z229" s="50">
        <f>+IFERROR(HLOOKUP(Z29,'סקרי נכסים-יתרות פתיחה'!$2:$110,37,0),0)-IFERROR(HLOOKUP(Z29,'סקרי נכסים-יתרות פתיחה'!$2:$110,95,0),0)*(1-Z$309)</f>
        <v>0</v>
      </c>
      <c r="AA229" s="50">
        <f>+IFERROR(HLOOKUP(AA29,'סקרי נכסים-יתרות פתיחה'!$2:$110,37,0),0)-IFERROR(HLOOKUP(AA29,'סקרי נכסים-יתרות פתיחה'!$2:$110,95,0),0)*(1-AA$309)</f>
        <v>0</v>
      </c>
      <c r="AB229" s="50">
        <f>+IFERROR(HLOOKUP(AB29,'סקרי נכסים-יתרות פתיחה'!$2:$110,37,0),0)-IFERROR(HLOOKUP(AB29,'סקרי נכסים-יתרות פתיחה'!$2:$110,95,0),0)*(1-AB$309)</f>
        <v>0</v>
      </c>
      <c r="AC229" s="50">
        <f>+IFERROR(HLOOKUP(AC29,'סקרי נכסים-יתרות פתיחה'!$2:$110,37,0),0)-IFERROR(HLOOKUP(AC29,'סקרי נכסים-יתרות פתיחה'!$2:$110,95,0),0)*(1-AC$309)</f>
        <v>0</v>
      </c>
      <c r="AD229" s="50">
        <f>+IFERROR(HLOOKUP(AD29,'סקרי נכסים-יתרות פתיחה'!$2:$110,37,0),0)-IFERROR(HLOOKUP(AD29,'סקרי נכסים-יתרות פתיחה'!$2:$110,95,0),0)*(1-AD$309)</f>
        <v>0</v>
      </c>
      <c r="AE229" s="50">
        <f>+IFERROR(HLOOKUP(AE29,'סקרי נכסים-יתרות פתיחה'!$2:$110,37,0),0)-IFERROR(HLOOKUP(AE29,'סקרי נכסים-יתרות פתיחה'!$2:$110,95,0),0)*(1-AE$309)</f>
        <v>0</v>
      </c>
      <c r="AF229" s="50">
        <f>+IFERROR(HLOOKUP(AF29,'סקרי נכסים-יתרות פתיחה'!$2:$110,37,0),0)-IFERROR(HLOOKUP(AF29,'סקרי נכסים-יתרות פתיחה'!$2:$110,95,0),0)*(1-AF$309)</f>
        <v>0</v>
      </c>
      <c r="AG229" s="50">
        <f>+IFERROR(HLOOKUP(AG29,'סקרי נכסים-יתרות פתיחה'!$2:$110,37,0),0)-IFERROR(HLOOKUP(AG29,'סקרי נכסים-יתרות פתיחה'!$2:$110,95,0),0)*(1-AG$309)</f>
        <v>0</v>
      </c>
      <c r="AH229" s="50">
        <f>+IFERROR(HLOOKUP(AH29,'סקרי נכסים-יתרות פתיחה'!$2:$110,37,0),0)-IFERROR(HLOOKUP(AH29,'סקרי נכסים-יתרות פתיחה'!$2:$110,95,0),0)*(1-AH$309)</f>
        <v>0</v>
      </c>
      <c r="AI229" s="50">
        <f>+IFERROR(HLOOKUP(AI29,'סקרי נכסים-יתרות פתיחה'!$2:$110,37,0),0)-IFERROR(HLOOKUP(AI29,'סקרי נכסים-יתרות פתיחה'!$2:$110,95,0),0)*(1-AI$309)</f>
        <v>0</v>
      </c>
      <c r="AJ229" s="50">
        <f>+IFERROR(HLOOKUP(AJ29,'סקרי נכסים-יתרות פתיחה'!$2:$110,37,0),0)-IFERROR(HLOOKUP(AJ29,'סקרי נכסים-יתרות פתיחה'!$2:$110,95,0),0)*(1-AJ$309)</f>
        <v>0</v>
      </c>
      <c r="AK229" s="50">
        <f>+IFERROR(HLOOKUP(AK29,'סקרי נכסים-יתרות פתיחה'!$2:$110,37,0),0)-IFERROR(HLOOKUP(AK29,'סקרי נכסים-יתרות פתיחה'!$2:$110,95,0),0)*(1-AK$309)</f>
        <v>0</v>
      </c>
      <c r="AL229" s="50">
        <f>+IFERROR(HLOOKUP(AL29,'סקרי נכסים-יתרות פתיחה'!$2:$110,37,0),0)-IFERROR(HLOOKUP(AL29,'סקרי נכסים-יתרות פתיחה'!$2:$110,95,0),0)*(1-AL$309)</f>
        <v>0</v>
      </c>
      <c r="AM229" s="50">
        <f>+IFERROR(HLOOKUP(AM29,'סקרי נכסים-יתרות פתיחה'!$2:$110,37,0),0)-IFERROR(HLOOKUP(AM29,'סקרי נכסים-יתרות פתיחה'!$2:$110,95,0),0)*(1-AM$309)</f>
        <v>0</v>
      </c>
      <c r="AN229" s="50">
        <f>+IFERROR(HLOOKUP(AN29,'סקרי נכסים-יתרות פתיחה'!$2:$110,37,0),0)-IFERROR(HLOOKUP(AN29,'סקרי נכסים-יתרות פתיחה'!$2:$110,95,0),0)*(1-AN$309)</f>
        <v>0</v>
      </c>
      <c r="AO229" s="50">
        <f>+IFERROR(HLOOKUP(AO29,'סקרי נכסים-יתרות פתיחה'!$2:$110,37,0),0)-IFERROR(HLOOKUP(AO29,'סקרי נכסים-יתרות פתיחה'!$2:$110,95,0),0)*(1-AO$309)</f>
        <v>0</v>
      </c>
      <c r="AP229" s="50">
        <f>+IFERROR(HLOOKUP(AP29,'סקרי נכסים-יתרות פתיחה'!$2:$110,37,0),0)-IFERROR(HLOOKUP(AP29,'סקרי נכסים-יתרות פתיחה'!$2:$110,95,0),0)*(1-AP$309)</f>
        <v>0</v>
      </c>
      <c r="AQ229" s="50">
        <f>+IFERROR(HLOOKUP(AQ29,'סקרי נכסים-יתרות פתיחה'!$2:$110,37,0),0)-IFERROR(HLOOKUP(AQ29,'סקרי נכסים-יתרות פתיחה'!$2:$110,95,0),0)*(1-AQ$309)</f>
        <v>0</v>
      </c>
      <c r="AR229" s="50">
        <f>+IFERROR(HLOOKUP(AR29,'סקרי נכסים-יתרות פתיחה'!$2:$110,37,0),0)-IFERROR(HLOOKUP(AR29,'סקרי נכסים-יתרות פתיחה'!$2:$110,95,0),0)*(1-AR$309)</f>
        <v>0</v>
      </c>
      <c r="AS229" s="50">
        <f>+IFERROR(HLOOKUP(AS29,'סקרי נכסים-יתרות פתיחה'!$2:$110,37,0),0)-IFERROR(HLOOKUP(AS29,'סקרי נכסים-יתרות פתיחה'!$2:$110,95,0),0)*(1-AS$309)</f>
        <v>0</v>
      </c>
      <c r="AT229" s="50">
        <f>+IFERROR(HLOOKUP(AT29,'סקרי נכסים-יתרות פתיחה'!$2:$110,37,0),0)-IFERROR(HLOOKUP(AT29,'סקרי נכסים-יתרות פתיחה'!$2:$110,95,0),0)*(1-AT$309)</f>
        <v>0</v>
      </c>
      <c r="AU229" s="50">
        <f>+IFERROR(HLOOKUP(AU29,'סקרי נכסים-יתרות פתיחה'!$2:$110,37,0),0)-IFERROR(HLOOKUP(AU29,'סקרי נכסים-יתרות פתיחה'!$2:$110,95,0),0)*(1-AU$309)</f>
        <v>0</v>
      </c>
      <c r="AV229" s="50">
        <f>+IFERROR(HLOOKUP(AV29,'סקרי נכסים-יתרות פתיחה'!$2:$110,37,0),0)-IFERROR(HLOOKUP(AV29,'סקרי נכסים-יתרות פתיחה'!$2:$110,95,0),0)*(1-AV$309)</f>
        <v>0</v>
      </c>
      <c r="AW229" s="50">
        <f>+IFERROR(HLOOKUP(AW29,'סקרי נכסים-יתרות פתיחה'!$2:$110,37,0),0)-IFERROR(HLOOKUP(AW29,'סקרי נכסים-יתרות פתיחה'!$2:$110,95,0),0)*(1-AW$309)</f>
        <v>0</v>
      </c>
      <c r="AX229" s="50">
        <f>+IFERROR(HLOOKUP(AX29,'סקרי נכסים-יתרות פתיחה'!$2:$110,37,0),0)-IFERROR(HLOOKUP(AX29,'סקרי נכסים-יתרות פתיחה'!$2:$110,95,0),0)*(1-AX$309)</f>
        <v>0</v>
      </c>
      <c r="AY229" s="50">
        <f>+IFERROR(HLOOKUP(AY29,'סקרי נכסים-יתרות פתיחה'!$2:$110,37,0),0)-IFERROR(HLOOKUP(AY29,'סקרי נכסים-יתרות פתיחה'!$2:$110,95,0),0)*(1-AY$309)</f>
        <v>0</v>
      </c>
      <c r="AZ229" s="50">
        <f>+IFERROR(HLOOKUP(AZ29,'סקרי נכסים-יתרות פתיחה'!$2:$110,37,0),0)-IFERROR(HLOOKUP(AZ29,'סקרי נכסים-יתרות פתיחה'!$2:$110,95,0),0)*(1-AZ$309)</f>
        <v>0</v>
      </c>
      <c r="BA229" s="50">
        <f>+IFERROR(HLOOKUP(BA29,'סקרי נכסים-יתרות פתיחה'!$2:$110,37,0),0)-IFERROR(HLOOKUP(BA29,'סקרי נכסים-יתרות פתיחה'!$2:$110,95,0),0)*(1-BA$309)</f>
        <v>0</v>
      </c>
      <c r="BB229" s="50">
        <f>+IFERROR(HLOOKUP(BB29,'סקרי נכסים-יתרות פתיחה'!$2:$110,37,0),0)-IFERROR(HLOOKUP(BB29,'סקרי נכסים-יתרות פתיחה'!$2:$110,95,0),0)*(1-BB$309)</f>
        <v>0</v>
      </c>
      <c r="BC229" s="50">
        <f>+IFERROR(HLOOKUP(BC29,'סקרי נכסים-יתרות פתיחה'!$2:$110,37,0),0)-IFERROR(HLOOKUP(BC29,'סקרי נכסים-יתרות פתיחה'!$2:$110,95,0),0)*(1-BC$309)</f>
        <v>0</v>
      </c>
      <c r="BD229" s="50">
        <f>+IFERROR(HLOOKUP(BD29,'סקרי נכסים-יתרות פתיחה'!$2:$110,37,0),0)-IFERROR(HLOOKUP(BD29,'סקרי נכסים-יתרות פתיחה'!$2:$110,95,0),0)*(1-BD$309)</f>
        <v>0</v>
      </c>
      <c r="BE229" s="50">
        <f>+IFERROR(HLOOKUP(BE29,'סקרי נכסים-יתרות פתיחה'!$2:$110,37,0),0)-IFERROR(HLOOKUP(BE29,'סקרי נכסים-יתרות פתיחה'!$2:$110,95,0),0)*(1-BE$309)</f>
        <v>0</v>
      </c>
      <c r="BF229" s="50">
        <f>+IFERROR(HLOOKUP(BF29,'סקרי נכסים-יתרות פתיחה'!$2:$110,37,0),0)-IFERROR(HLOOKUP(BF29,'סקרי נכסים-יתרות פתיחה'!$2:$110,95,0),0)*(1-BF$309)</f>
        <v>0</v>
      </c>
    </row>
    <row r="230" spans="1:58" x14ac:dyDescent="0.2">
      <c r="B230" s="1">
        <v>27</v>
      </c>
      <c r="C230" s="50">
        <f>+IFERROR(HLOOKUP(C30,'סקרי נכסים-יתרות פתיחה'!$2:$110,37,0),0)-IFERROR(HLOOKUP(C30,'סקרי נכסים-יתרות פתיחה'!$2:$110,95,0),0)*(1-C$309)</f>
        <v>0</v>
      </c>
      <c r="D230" s="50">
        <f>+IFERROR(HLOOKUP(D30,'סקרי נכסים-יתרות פתיחה'!$2:$110,37,0),0)-IFERROR(HLOOKUP(D30,'סקרי נכסים-יתרות פתיחה'!$2:$110,95,0),0)*(1-D$309)</f>
        <v>0</v>
      </c>
      <c r="E230" s="50">
        <f>+IFERROR(HLOOKUP(E30,'סקרי נכסים-יתרות פתיחה'!$2:$110,37,0),0)-IFERROR(HLOOKUP(E30,'סקרי נכסים-יתרות פתיחה'!$2:$110,95,0),0)*(1-E$309)</f>
        <v>0</v>
      </c>
      <c r="F230" s="50">
        <f>+IFERROR(HLOOKUP(F30,'סקרי נכסים-יתרות פתיחה'!$2:$110,37,0),0)-IFERROR(HLOOKUP(F30,'סקרי נכסים-יתרות פתיחה'!$2:$110,95,0),0)*(1-F$309)</f>
        <v>0</v>
      </c>
      <c r="G230" s="50">
        <f>+IFERROR(HLOOKUP(G30,'סקרי נכסים-יתרות פתיחה'!$2:$110,37,0),0)-IFERROR(HLOOKUP(G30,'סקרי נכסים-יתרות פתיחה'!$2:$110,95,0),0)*(1-G$309)</f>
        <v>0</v>
      </c>
      <c r="H230" s="50">
        <f>+IFERROR(HLOOKUP(H30,'סקרי נכסים-יתרות פתיחה'!$2:$110,37,0),0)-IFERROR(HLOOKUP(H30,'סקרי נכסים-יתרות פתיחה'!$2:$110,95,0),0)*(1-H$309)</f>
        <v>0</v>
      </c>
      <c r="I230" s="50">
        <f>+IFERROR(HLOOKUP(I30,'סקרי נכסים-יתרות פתיחה'!$2:$110,37,0),0)-IFERROR(HLOOKUP(I30,'סקרי נכסים-יתרות פתיחה'!$2:$110,95,0),0)*(1-I$309)</f>
        <v>0</v>
      </c>
      <c r="J230" s="50">
        <f>+IFERROR(HLOOKUP(J30,'סקרי נכסים-יתרות פתיחה'!$2:$110,37,0),0)-IFERROR(HLOOKUP(J30,'סקרי נכסים-יתרות פתיחה'!$2:$110,95,0),0)*(1-J$309)</f>
        <v>0</v>
      </c>
      <c r="K230" s="50">
        <f>+IFERROR(HLOOKUP(K30,'סקרי נכסים-יתרות פתיחה'!$2:$110,37,0),0)-IFERROR(HLOOKUP(K30,'סקרי נכסים-יתרות פתיחה'!$2:$110,95,0),0)*(1-K$309)</f>
        <v>0</v>
      </c>
      <c r="L230" s="50">
        <f>+IFERROR(HLOOKUP(L30,'סקרי נכסים-יתרות פתיחה'!$2:$110,37,0),0)-IFERROR(HLOOKUP(L30,'סקרי נכסים-יתרות פתיחה'!$2:$110,95,0),0)*(1-L$309)</f>
        <v>0</v>
      </c>
      <c r="M230" s="50">
        <f>+IFERROR(HLOOKUP(M30,'סקרי נכסים-יתרות פתיחה'!$2:$110,37,0),0)-IFERROR(HLOOKUP(M30,'סקרי נכסים-יתרות פתיחה'!$2:$110,95,0),0)*(1-M$309)</f>
        <v>0</v>
      </c>
      <c r="N230" s="50">
        <f>+IFERROR(HLOOKUP(N30,'סקרי נכסים-יתרות פתיחה'!$2:$110,37,0),0)-IFERROR(HLOOKUP(N30,'סקרי נכסים-יתרות פתיחה'!$2:$110,95,0),0)*(1-N$309)</f>
        <v>0</v>
      </c>
      <c r="O230" s="50">
        <f>+IFERROR(HLOOKUP(O30,'סקרי נכסים-יתרות פתיחה'!$2:$110,37,0),0)-IFERROR(HLOOKUP(O30,'סקרי נכסים-יתרות פתיחה'!$2:$110,95,0),0)*(1-O$309)</f>
        <v>0</v>
      </c>
      <c r="P230" s="50">
        <f>+IFERROR(HLOOKUP(P30,'סקרי נכסים-יתרות פתיחה'!$2:$110,37,0),0)-IFERROR(HLOOKUP(P30,'סקרי נכסים-יתרות פתיחה'!$2:$110,95,0),0)*(1-P$309)</f>
        <v>0</v>
      </c>
      <c r="Q230" s="50">
        <f>+IFERROR(HLOOKUP(Q30,'סקרי נכסים-יתרות פתיחה'!$2:$110,37,0),0)-IFERROR(HLOOKUP(Q30,'סקרי נכסים-יתרות פתיחה'!$2:$110,95,0),0)*(1-Q$309)</f>
        <v>0</v>
      </c>
      <c r="R230" s="50">
        <f>+IFERROR(HLOOKUP(R30,'סקרי נכסים-יתרות פתיחה'!$2:$110,37,0),0)-IFERROR(HLOOKUP(R30,'סקרי נכסים-יתרות פתיחה'!$2:$110,95,0),0)*(1-R$309)</f>
        <v>0</v>
      </c>
      <c r="S230" s="50">
        <f>+IFERROR(HLOOKUP(S30,'סקרי נכסים-יתרות פתיחה'!$2:$110,37,0),0)-IFERROR(HLOOKUP(S30,'סקרי נכסים-יתרות פתיחה'!$2:$110,95,0),0)*(1-S$309)</f>
        <v>0</v>
      </c>
      <c r="T230" s="50">
        <f>+IFERROR(HLOOKUP(T30,'סקרי נכסים-יתרות פתיחה'!$2:$110,37,0),0)-IFERROR(HLOOKUP(T30,'סקרי נכסים-יתרות פתיחה'!$2:$110,95,0),0)*(1-T$309)</f>
        <v>0</v>
      </c>
      <c r="U230" s="50">
        <f>+IFERROR(HLOOKUP(U30,'סקרי נכסים-יתרות פתיחה'!$2:$110,37,0),0)-IFERROR(HLOOKUP(U30,'סקרי נכסים-יתרות פתיחה'!$2:$110,95,0),0)*(1-U$309)</f>
        <v>0</v>
      </c>
      <c r="V230" s="50">
        <f>+IFERROR(HLOOKUP(V30,'סקרי נכסים-יתרות פתיחה'!$2:$110,37,0),0)-IFERROR(HLOOKUP(V30,'סקרי נכסים-יתרות פתיחה'!$2:$110,95,0),0)*(1-V$309)</f>
        <v>0</v>
      </c>
      <c r="W230" s="50">
        <f>+IFERROR(HLOOKUP(W30,'סקרי נכסים-יתרות פתיחה'!$2:$110,37,0),0)-IFERROR(HLOOKUP(W30,'סקרי נכסים-יתרות פתיחה'!$2:$110,95,0),0)*(1-W$309)</f>
        <v>0</v>
      </c>
      <c r="X230" s="50">
        <f>+IFERROR(HLOOKUP(X30,'סקרי נכסים-יתרות פתיחה'!$2:$110,37,0),0)-IFERROR(HLOOKUP(X30,'סקרי נכסים-יתרות פתיחה'!$2:$110,95,0),0)*(1-X$309)</f>
        <v>0</v>
      </c>
      <c r="Y230" s="50">
        <f>+IFERROR(HLOOKUP(Y30,'סקרי נכסים-יתרות פתיחה'!$2:$110,37,0),0)-IFERROR(HLOOKUP(Y30,'סקרי נכסים-יתרות פתיחה'!$2:$110,95,0),0)*(1-Y$309)</f>
        <v>0</v>
      </c>
      <c r="Z230" s="50">
        <f>+IFERROR(HLOOKUP(Z30,'סקרי נכסים-יתרות פתיחה'!$2:$110,37,0),0)-IFERROR(HLOOKUP(Z30,'סקרי נכסים-יתרות פתיחה'!$2:$110,95,0),0)*(1-Z$309)</f>
        <v>0</v>
      </c>
      <c r="AA230" s="50">
        <f>+IFERROR(HLOOKUP(AA30,'סקרי נכסים-יתרות פתיחה'!$2:$110,37,0),0)-IFERROR(HLOOKUP(AA30,'סקרי נכסים-יתרות פתיחה'!$2:$110,95,0),0)*(1-AA$309)</f>
        <v>0</v>
      </c>
      <c r="AB230" s="50">
        <f>+IFERROR(HLOOKUP(AB30,'סקרי נכסים-יתרות פתיחה'!$2:$110,37,0),0)-IFERROR(HLOOKUP(AB30,'סקרי נכסים-יתרות פתיחה'!$2:$110,95,0),0)*(1-AB$309)</f>
        <v>0</v>
      </c>
      <c r="AC230" s="50">
        <f>+IFERROR(HLOOKUP(AC30,'סקרי נכסים-יתרות פתיחה'!$2:$110,37,0),0)-IFERROR(HLOOKUP(AC30,'סקרי נכסים-יתרות פתיחה'!$2:$110,95,0),0)*(1-AC$309)</f>
        <v>0</v>
      </c>
      <c r="AD230" s="50">
        <f>+IFERROR(HLOOKUP(AD30,'סקרי נכסים-יתרות פתיחה'!$2:$110,37,0),0)-IFERROR(HLOOKUP(AD30,'סקרי נכסים-יתרות פתיחה'!$2:$110,95,0),0)*(1-AD$309)</f>
        <v>0</v>
      </c>
      <c r="AE230" s="50">
        <f>+IFERROR(HLOOKUP(AE30,'סקרי נכסים-יתרות פתיחה'!$2:$110,37,0),0)-IFERROR(HLOOKUP(AE30,'סקרי נכסים-יתרות פתיחה'!$2:$110,95,0),0)*(1-AE$309)</f>
        <v>0</v>
      </c>
      <c r="AF230" s="50">
        <f>+IFERROR(HLOOKUP(AF30,'סקרי נכסים-יתרות פתיחה'!$2:$110,37,0),0)-IFERROR(HLOOKUP(AF30,'סקרי נכסים-יתרות פתיחה'!$2:$110,95,0),0)*(1-AF$309)</f>
        <v>0</v>
      </c>
      <c r="AG230" s="50">
        <f>+IFERROR(HLOOKUP(AG30,'סקרי נכסים-יתרות פתיחה'!$2:$110,37,0),0)-IFERROR(HLOOKUP(AG30,'סקרי נכסים-יתרות פתיחה'!$2:$110,95,0),0)*(1-AG$309)</f>
        <v>0</v>
      </c>
      <c r="AH230" s="50">
        <f>+IFERROR(HLOOKUP(AH30,'סקרי נכסים-יתרות פתיחה'!$2:$110,37,0),0)-IFERROR(HLOOKUP(AH30,'סקרי נכסים-יתרות פתיחה'!$2:$110,95,0),0)*(1-AH$309)</f>
        <v>0</v>
      </c>
      <c r="AI230" s="50">
        <f>+IFERROR(HLOOKUP(AI30,'סקרי נכסים-יתרות פתיחה'!$2:$110,37,0),0)-IFERROR(HLOOKUP(AI30,'סקרי נכסים-יתרות פתיחה'!$2:$110,95,0),0)*(1-AI$309)</f>
        <v>0</v>
      </c>
      <c r="AJ230" s="50">
        <f>+IFERROR(HLOOKUP(AJ30,'סקרי נכסים-יתרות פתיחה'!$2:$110,37,0),0)-IFERROR(HLOOKUP(AJ30,'סקרי נכסים-יתרות פתיחה'!$2:$110,95,0),0)*(1-AJ$309)</f>
        <v>0</v>
      </c>
      <c r="AK230" s="50">
        <f>+IFERROR(HLOOKUP(AK30,'סקרי נכסים-יתרות פתיחה'!$2:$110,37,0),0)-IFERROR(HLOOKUP(AK30,'סקרי נכסים-יתרות פתיחה'!$2:$110,95,0),0)*(1-AK$309)</f>
        <v>0</v>
      </c>
      <c r="AL230" s="50">
        <f>+IFERROR(HLOOKUP(AL30,'סקרי נכסים-יתרות פתיחה'!$2:$110,37,0),0)-IFERROR(HLOOKUP(AL30,'סקרי נכסים-יתרות פתיחה'!$2:$110,95,0),0)*(1-AL$309)</f>
        <v>0</v>
      </c>
      <c r="AM230" s="50">
        <f>+IFERROR(HLOOKUP(AM30,'סקרי נכסים-יתרות פתיחה'!$2:$110,37,0),0)-IFERROR(HLOOKUP(AM30,'סקרי נכסים-יתרות פתיחה'!$2:$110,95,0),0)*(1-AM$309)</f>
        <v>0</v>
      </c>
      <c r="AN230" s="50">
        <f>+IFERROR(HLOOKUP(AN30,'סקרי נכסים-יתרות פתיחה'!$2:$110,37,0),0)-IFERROR(HLOOKUP(AN30,'סקרי נכסים-יתרות פתיחה'!$2:$110,95,0),0)*(1-AN$309)</f>
        <v>0</v>
      </c>
      <c r="AO230" s="50">
        <f>+IFERROR(HLOOKUP(AO30,'סקרי נכסים-יתרות פתיחה'!$2:$110,37,0),0)-IFERROR(HLOOKUP(AO30,'סקרי נכסים-יתרות פתיחה'!$2:$110,95,0),0)*(1-AO$309)</f>
        <v>0</v>
      </c>
      <c r="AP230" s="50">
        <f>+IFERROR(HLOOKUP(AP30,'סקרי נכסים-יתרות פתיחה'!$2:$110,37,0),0)-IFERROR(HLOOKUP(AP30,'סקרי נכסים-יתרות פתיחה'!$2:$110,95,0),0)*(1-AP$309)</f>
        <v>0</v>
      </c>
      <c r="AQ230" s="50">
        <f>+IFERROR(HLOOKUP(AQ30,'סקרי נכסים-יתרות פתיחה'!$2:$110,37,0),0)-IFERROR(HLOOKUP(AQ30,'סקרי נכסים-יתרות פתיחה'!$2:$110,95,0),0)*(1-AQ$309)</f>
        <v>0</v>
      </c>
      <c r="AR230" s="50">
        <f>+IFERROR(HLOOKUP(AR30,'סקרי נכסים-יתרות פתיחה'!$2:$110,37,0),0)-IFERROR(HLOOKUP(AR30,'סקרי נכסים-יתרות פתיחה'!$2:$110,95,0),0)*(1-AR$309)</f>
        <v>0</v>
      </c>
      <c r="AS230" s="50">
        <f>+IFERROR(HLOOKUP(AS30,'סקרי נכסים-יתרות פתיחה'!$2:$110,37,0),0)-IFERROR(HLOOKUP(AS30,'סקרי נכסים-יתרות פתיחה'!$2:$110,95,0),0)*(1-AS$309)</f>
        <v>0</v>
      </c>
      <c r="AT230" s="50">
        <f>+IFERROR(HLOOKUP(AT30,'סקרי נכסים-יתרות פתיחה'!$2:$110,37,0),0)-IFERROR(HLOOKUP(AT30,'סקרי נכסים-יתרות פתיחה'!$2:$110,95,0),0)*(1-AT$309)</f>
        <v>0</v>
      </c>
      <c r="AU230" s="50">
        <f>+IFERROR(HLOOKUP(AU30,'סקרי נכסים-יתרות פתיחה'!$2:$110,37,0),0)-IFERROR(HLOOKUP(AU30,'סקרי נכסים-יתרות פתיחה'!$2:$110,95,0),0)*(1-AU$309)</f>
        <v>0</v>
      </c>
      <c r="AV230" s="50">
        <f>+IFERROR(HLOOKUP(AV30,'סקרי נכסים-יתרות פתיחה'!$2:$110,37,0),0)-IFERROR(HLOOKUP(AV30,'סקרי נכסים-יתרות פתיחה'!$2:$110,95,0),0)*(1-AV$309)</f>
        <v>0</v>
      </c>
      <c r="AW230" s="50">
        <f>+IFERROR(HLOOKUP(AW30,'סקרי נכסים-יתרות פתיחה'!$2:$110,37,0),0)-IFERROR(HLOOKUP(AW30,'סקרי נכסים-יתרות פתיחה'!$2:$110,95,0),0)*(1-AW$309)</f>
        <v>0</v>
      </c>
      <c r="AX230" s="50">
        <f>+IFERROR(HLOOKUP(AX30,'סקרי נכסים-יתרות פתיחה'!$2:$110,37,0),0)-IFERROR(HLOOKUP(AX30,'סקרי נכסים-יתרות פתיחה'!$2:$110,95,0),0)*(1-AX$309)</f>
        <v>0</v>
      </c>
      <c r="AY230" s="50">
        <f>+IFERROR(HLOOKUP(AY30,'סקרי נכסים-יתרות פתיחה'!$2:$110,37,0),0)-IFERROR(HLOOKUP(AY30,'סקרי נכסים-יתרות פתיחה'!$2:$110,95,0),0)*(1-AY$309)</f>
        <v>0</v>
      </c>
      <c r="AZ230" s="50">
        <f>+IFERROR(HLOOKUP(AZ30,'סקרי נכסים-יתרות פתיחה'!$2:$110,37,0),0)-IFERROR(HLOOKUP(AZ30,'סקרי נכסים-יתרות פתיחה'!$2:$110,95,0),0)*(1-AZ$309)</f>
        <v>0</v>
      </c>
      <c r="BA230" s="50">
        <f>+IFERROR(HLOOKUP(BA30,'סקרי נכסים-יתרות פתיחה'!$2:$110,37,0),0)-IFERROR(HLOOKUP(BA30,'סקרי נכסים-יתרות פתיחה'!$2:$110,95,0),0)*(1-BA$309)</f>
        <v>0</v>
      </c>
      <c r="BB230" s="50">
        <f>+IFERROR(HLOOKUP(BB30,'סקרי נכסים-יתרות פתיחה'!$2:$110,37,0),0)-IFERROR(HLOOKUP(BB30,'סקרי נכסים-יתרות פתיחה'!$2:$110,95,0),0)*(1-BB$309)</f>
        <v>0</v>
      </c>
      <c r="BC230" s="50">
        <f>+IFERROR(HLOOKUP(BC30,'סקרי נכסים-יתרות פתיחה'!$2:$110,37,0),0)-IFERROR(HLOOKUP(BC30,'סקרי נכסים-יתרות פתיחה'!$2:$110,95,0),0)*(1-BC$309)</f>
        <v>0</v>
      </c>
      <c r="BD230" s="50">
        <f>+IFERROR(HLOOKUP(BD30,'סקרי נכסים-יתרות פתיחה'!$2:$110,37,0),0)-IFERROR(HLOOKUP(BD30,'סקרי נכסים-יתרות פתיחה'!$2:$110,95,0),0)*(1-BD$309)</f>
        <v>0</v>
      </c>
      <c r="BE230" s="50">
        <f>+IFERROR(HLOOKUP(BE30,'סקרי נכסים-יתרות פתיחה'!$2:$110,37,0),0)-IFERROR(HLOOKUP(BE30,'סקרי נכסים-יתרות פתיחה'!$2:$110,95,0),0)*(1-BE$309)</f>
        <v>0</v>
      </c>
      <c r="BF230" s="50">
        <f>+IFERROR(HLOOKUP(BF30,'סקרי נכסים-יתרות פתיחה'!$2:$110,37,0),0)-IFERROR(HLOOKUP(BF30,'סקרי נכסים-יתרות פתיחה'!$2:$110,95,0),0)*(1-BF$309)</f>
        <v>0</v>
      </c>
    </row>
    <row r="231" spans="1:58" x14ac:dyDescent="0.2">
      <c r="B231" s="1">
        <v>28</v>
      </c>
      <c r="C231" s="50">
        <f>+IFERROR(HLOOKUP(C31,'סקרי נכסים-יתרות פתיחה'!$2:$110,37,0),0)-IFERROR(HLOOKUP(C31,'סקרי נכסים-יתרות פתיחה'!$2:$110,95,0),0)*(1-C$309)</f>
        <v>0</v>
      </c>
      <c r="D231" s="50">
        <f>+IFERROR(HLOOKUP(D31,'סקרי נכסים-יתרות פתיחה'!$2:$110,37,0),0)-IFERROR(HLOOKUP(D31,'סקרי נכסים-יתרות פתיחה'!$2:$110,95,0),0)*(1-D$309)</f>
        <v>0</v>
      </c>
      <c r="E231" s="50">
        <f>+IFERROR(HLOOKUP(E31,'סקרי נכסים-יתרות פתיחה'!$2:$110,37,0),0)-IFERROR(HLOOKUP(E31,'סקרי נכסים-יתרות פתיחה'!$2:$110,95,0),0)*(1-E$309)</f>
        <v>0</v>
      </c>
      <c r="F231" s="50">
        <f>+IFERROR(HLOOKUP(F31,'סקרי נכסים-יתרות פתיחה'!$2:$110,37,0),0)-IFERROR(HLOOKUP(F31,'סקרי נכסים-יתרות פתיחה'!$2:$110,95,0),0)*(1-F$309)</f>
        <v>0</v>
      </c>
      <c r="G231" s="50">
        <f>+IFERROR(HLOOKUP(G31,'סקרי נכסים-יתרות פתיחה'!$2:$110,37,0),0)-IFERROR(HLOOKUP(G31,'סקרי נכסים-יתרות פתיחה'!$2:$110,95,0),0)*(1-G$309)</f>
        <v>0</v>
      </c>
      <c r="H231" s="50">
        <f>+IFERROR(HLOOKUP(H31,'סקרי נכסים-יתרות פתיחה'!$2:$110,37,0),0)-IFERROR(HLOOKUP(H31,'סקרי נכסים-יתרות פתיחה'!$2:$110,95,0),0)*(1-H$309)</f>
        <v>0</v>
      </c>
      <c r="I231" s="50">
        <f>+IFERROR(HLOOKUP(I31,'סקרי נכסים-יתרות פתיחה'!$2:$110,37,0),0)-IFERROR(HLOOKUP(I31,'סקרי נכסים-יתרות פתיחה'!$2:$110,95,0),0)*(1-I$309)</f>
        <v>0</v>
      </c>
      <c r="J231" s="50">
        <f>+IFERROR(HLOOKUP(J31,'סקרי נכסים-יתרות פתיחה'!$2:$110,37,0),0)-IFERROR(HLOOKUP(J31,'סקרי נכסים-יתרות פתיחה'!$2:$110,95,0),0)*(1-J$309)</f>
        <v>0</v>
      </c>
      <c r="K231" s="50">
        <f>+IFERROR(HLOOKUP(K31,'סקרי נכסים-יתרות פתיחה'!$2:$110,37,0),0)-IFERROR(HLOOKUP(K31,'סקרי נכסים-יתרות פתיחה'!$2:$110,95,0),0)*(1-K$309)</f>
        <v>0</v>
      </c>
      <c r="L231" s="50">
        <f>+IFERROR(HLOOKUP(L31,'סקרי נכסים-יתרות פתיחה'!$2:$110,37,0),0)-IFERROR(HLOOKUP(L31,'סקרי נכסים-יתרות פתיחה'!$2:$110,95,0),0)*(1-L$309)</f>
        <v>0</v>
      </c>
      <c r="M231" s="50">
        <f>+IFERROR(HLOOKUP(M31,'סקרי נכסים-יתרות פתיחה'!$2:$110,37,0),0)-IFERROR(HLOOKUP(M31,'סקרי נכסים-יתרות פתיחה'!$2:$110,95,0),0)*(1-M$309)</f>
        <v>0</v>
      </c>
      <c r="N231" s="50">
        <f>+IFERROR(HLOOKUP(N31,'סקרי נכסים-יתרות פתיחה'!$2:$110,37,0),0)-IFERROR(HLOOKUP(N31,'סקרי נכסים-יתרות פתיחה'!$2:$110,95,0),0)*(1-N$309)</f>
        <v>0</v>
      </c>
      <c r="O231" s="50">
        <f>+IFERROR(HLOOKUP(O31,'סקרי נכסים-יתרות פתיחה'!$2:$110,37,0),0)-IFERROR(HLOOKUP(O31,'סקרי נכסים-יתרות פתיחה'!$2:$110,95,0),0)*(1-O$309)</f>
        <v>0</v>
      </c>
      <c r="P231" s="50">
        <f>+IFERROR(HLOOKUP(P31,'סקרי נכסים-יתרות פתיחה'!$2:$110,37,0),0)-IFERROR(HLOOKUP(P31,'סקרי נכסים-יתרות פתיחה'!$2:$110,95,0),0)*(1-P$309)</f>
        <v>0</v>
      </c>
      <c r="Q231" s="50">
        <f>+IFERROR(HLOOKUP(Q31,'סקרי נכסים-יתרות פתיחה'!$2:$110,37,0),0)-IFERROR(HLOOKUP(Q31,'סקרי נכסים-יתרות פתיחה'!$2:$110,95,0),0)*(1-Q$309)</f>
        <v>0</v>
      </c>
      <c r="R231" s="50">
        <f>+IFERROR(HLOOKUP(R31,'סקרי נכסים-יתרות פתיחה'!$2:$110,37,0),0)-IFERROR(HLOOKUP(R31,'סקרי נכסים-יתרות פתיחה'!$2:$110,95,0),0)*(1-R$309)</f>
        <v>0</v>
      </c>
      <c r="S231" s="50">
        <f>+IFERROR(HLOOKUP(S31,'סקרי נכסים-יתרות פתיחה'!$2:$110,37,0),0)-IFERROR(HLOOKUP(S31,'סקרי נכסים-יתרות פתיחה'!$2:$110,95,0),0)*(1-S$309)</f>
        <v>0</v>
      </c>
      <c r="T231" s="50">
        <f>+IFERROR(HLOOKUP(T31,'סקרי נכסים-יתרות פתיחה'!$2:$110,37,0),0)-IFERROR(HLOOKUP(T31,'סקרי נכסים-יתרות פתיחה'!$2:$110,95,0),0)*(1-T$309)</f>
        <v>0</v>
      </c>
      <c r="U231" s="50">
        <f>+IFERROR(HLOOKUP(U31,'סקרי נכסים-יתרות פתיחה'!$2:$110,37,0),0)-IFERROR(HLOOKUP(U31,'סקרי נכסים-יתרות פתיחה'!$2:$110,95,0),0)*(1-U$309)</f>
        <v>0</v>
      </c>
      <c r="V231" s="50">
        <f>+IFERROR(HLOOKUP(V31,'סקרי נכסים-יתרות פתיחה'!$2:$110,37,0),0)-IFERROR(HLOOKUP(V31,'סקרי נכסים-יתרות פתיחה'!$2:$110,95,0),0)*(1-V$309)</f>
        <v>0</v>
      </c>
      <c r="W231" s="50">
        <f>+IFERROR(HLOOKUP(W31,'סקרי נכסים-יתרות פתיחה'!$2:$110,37,0),0)-IFERROR(HLOOKUP(W31,'סקרי נכסים-יתרות פתיחה'!$2:$110,95,0),0)*(1-W$309)</f>
        <v>0</v>
      </c>
      <c r="X231" s="50">
        <f>+IFERROR(HLOOKUP(X31,'סקרי נכסים-יתרות פתיחה'!$2:$110,37,0),0)-IFERROR(HLOOKUP(X31,'סקרי נכסים-יתרות פתיחה'!$2:$110,95,0),0)*(1-X$309)</f>
        <v>0</v>
      </c>
      <c r="Y231" s="50">
        <f>+IFERROR(HLOOKUP(Y31,'סקרי נכסים-יתרות פתיחה'!$2:$110,37,0),0)-IFERROR(HLOOKUP(Y31,'סקרי נכסים-יתרות פתיחה'!$2:$110,95,0),0)*(1-Y$309)</f>
        <v>0</v>
      </c>
      <c r="Z231" s="50">
        <f>+IFERROR(HLOOKUP(Z31,'סקרי נכסים-יתרות פתיחה'!$2:$110,37,0),0)-IFERROR(HLOOKUP(Z31,'סקרי נכסים-יתרות פתיחה'!$2:$110,95,0),0)*(1-Z$309)</f>
        <v>0</v>
      </c>
      <c r="AA231" s="50">
        <f>+IFERROR(HLOOKUP(AA31,'סקרי נכסים-יתרות פתיחה'!$2:$110,37,0),0)-IFERROR(HLOOKUP(AA31,'סקרי נכסים-יתרות פתיחה'!$2:$110,95,0),0)*(1-AA$309)</f>
        <v>0</v>
      </c>
      <c r="AB231" s="50">
        <f>+IFERROR(HLOOKUP(AB31,'סקרי נכסים-יתרות פתיחה'!$2:$110,37,0),0)-IFERROR(HLOOKUP(AB31,'סקרי נכסים-יתרות פתיחה'!$2:$110,95,0),0)*(1-AB$309)</f>
        <v>0</v>
      </c>
      <c r="AC231" s="50">
        <f>+IFERROR(HLOOKUP(AC31,'סקרי נכסים-יתרות פתיחה'!$2:$110,37,0),0)-IFERROR(HLOOKUP(AC31,'סקרי נכסים-יתרות פתיחה'!$2:$110,95,0),0)*(1-AC$309)</f>
        <v>0</v>
      </c>
      <c r="AD231" s="50">
        <f>+IFERROR(HLOOKUP(AD31,'סקרי נכסים-יתרות פתיחה'!$2:$110,37,0),0)-IFERROR(HLOOKUP(AD31,'סקרי נכסים-יתרות פתיחה'!$2:$110,95,0),0)*(1-AD$309)</f>
        <v>0</v>
      </c>
      <c r="AE231" s="50">
        <f>+IFERROR(HLOOKUP(AE31,'סקרי נכסים-יתרות פתיחה'!$2:$110,37,0),0)-IFERROR(HLOOKUP(AE31,'סקרי נכסים-יתרות פתיחה'!$2:$110,95,0),0)*(1-AE$309)</f>
        <v>0</v>
      </c>
      <c r="AF231" s="50">
        <f>+IFERROR(HLOOKUP(AF31,'סקרי נכסים-יתרות פתיחה'!$2:$110,37,0),0)-IFERROR(HLOOKUP(AF31,'סקרי נכסים-יתרות פתיחה'!$2:$110,95,0),0)*(1-AF$309)</f>
        <v>0</v>
      </c>
      <c r="AG231" s="50">
        <f>+IFERROR(HLOOKUP(AG31,'סקרי נכסים-יתרות פתיחה'!$2:$110,37,0),0)-IFERROR(HLOOKUP(AG31,'סקרי נכסים-יתרות פתיחה'!$2:$110,95,0),0)*(1-AG$309)</f>
        <v>0</v>
      </c>
      <c r="AH231" s="50">
        <f>+IFERROR(HLOOKUP(AH31,'סקרי נכסים-יתרות פתיחה'!$2:$110,37,0),0)-IFERROR(HLOOKUP(AH31,'סקרי נכסים-יתרות פתיחה'!$2:$110,95,0),0)*(1-AH$309)</f>
        <v>0</v>
      </c>
      <c r="AI231" s="50">
        <f>+IFERROR(HLOOKUP(AI31,'סקרי נכסים-יתרות פתיחה'!$2:$110,37,0),0)-IFERROR(HLOOKUP(AI31,'סקרי נכסים-יתרות פתיחה'!$2:$110,95,0),0)*(1-AI$309)</f>
        <v>0</v>
      </c>
      <c r="AJ231" s="50">
        <f>+IFERROR(HLOOKUP(AJ31,'סקרי נכסים-יתרות פתיחה'!$2:$110,37,0),0)-IFERROR(HLOOKUP(AJ31,'סקרי נכסים-יתרות פתיחה'!$2:$110,95,0),0)*(1-AJ$309)</f>
        <v>0</v>
      </c>
      <c r="AK231" s="50">
        <f>+IFERROR(HLOOKUP(AK31,'סקרי נכסים-יתרות פתיחה'!$2:$110,37,0),0)-IFERROR(HLOOKUP(AK31,'סקרי נכסים-יתרות פתיחה'!$2:$110,95,0),0)*(1-AK$309)</f>
        <v>0</v>
      </c>
      <c r="AL231" s="50">
        <f>+IFERROR(HLOOKUP(AL31,'סקרי נכסים-יתרות פתיחה'!$2:$110,37,0),0)-IFERROR(HLOOKUP(AL31,'סקרי נכסים-יתרות פתיחה'!$2:$110,95,0),0)*(1-AL$309)</f>
        <v>0</v>
      </c>
      <c r="AM231" s="50">
        <f>+IFERROR(HLOOKUP(AM31,'סקרי נכסים-יתרות פתיחה'!$2:$110,37,0),0)-IFERROR(HLOOKUP(AM31,'סקרי נכסים-יתרות פתיחה'!$2:$110,95,0),0)*(1-AM$309)</f>
        <v>0</v>
      </c>
      <c r="AN231" s="50">
        <f>+IFERROR(HLOOKUP(AN31,'סקרי נכסים-יתרות פתיחה'!$2:$110,37,0),0)-IFERROR(HLOOKUP(AN31,'סקרי נכסים-יתרות פתיחה'!$2:$110,95,0),0)*(1-AN$309)</f>
        <v>0</v>
      </c>
      <c r="AO231" s="50">
        <f>+IFERROR(HLOOKUP(AO31,'סקרי נכסים-יתרות פתיחה'!$2:$110,37,0),0)-IFERROR(HLOOKUP(AO31,'סקרי נכסים-יתרות פתיחה'!$2:$110,95,0),0)*(1-AO$309)</f>
        <v>0</v>
      </c>
      <c r="AP231" s="50">
        <f>+IFERROR(HLOOKUP(AP31,'סקרי נכסים-יתרות פתיחה'!$2:$110,37,0),0)-IFERROR(HLOOKUP(AP31,'סקרי נכסים-יתרות פתיחה'!$2:$110,95,0),0)*(1-AP$309)</f>
        <v>0</v>
      </c>
      <c r="AQ231" s="50">
        <f>+IFERROR(HLOOKUP(AQ31,'סקרי נכסים-יתרות פתיחה'!$2:$110,37,0),0)-IFERROR(HLOOKUP(AQ31,'סקרי נכסים-יתרות פתיחה'!$2:$110,95,0),0)*(1-AQ$309)</f>
        <v>0</v>
      </c>
      <c r="AR231" s="50">
        <f>+IFERROR(HLOOKUP(AR31,'סקרי נכסים-יתרות פתיחה'!$2:$110,37,0),0)-IFERROR(HLOOKUP(AR31,'סקרי נכסים-יתרות פתיחה'!$2:$110,95,0),0)*(1-AR$309)</f>
        <v>0</v>
      </c>
      <c r="AS231" s="50">
        <f>+IFERROR(HLOOKUP(AS31,'סקרי נכסים-יתרות פתיחה'!$2:$110,37,0),0)-IFERROR(HLOOKUP(AS31,'סקרי נכסים-יתרות פתיחה'!$2:$110,95,0),0)*(1-AS$309)</f>
        <v>0</v>
      </c>
      <c r="AT231" s="50">
        <f>+IFERROR(HLOOKUP(AT31,'סקרי נכסים-יתרות פתיחה'!$2:$110,37,0),0)-IFERROR(HLOOKUP(AT31,'סקרי נכסים-יתרות פתיחה'!$2:$110,95,0),0)*(1-AT$309)</f>
        <v>0</v>
      </c>
      <c r="AU231" s="50">
        <f>+IFERROR(HLOOKUP(AU31,'סקרי נכסים-יתרות פתיחה'!$2:$110,37,0),0)-IFERROR(HLOOKUP(AU31,'סקרי נכסים-יתרות פתיחה'!$2:$110,95,0),0)*(1-AU$309)</f>
        <v>0</v>
      </c>
      <c r="AV231" s="50">
        <f>+IFERROR(HLOOKUP(AV31,'סקרי נכסים-יתרות פתיחה'!$2:$110,37,0),0)-IFERROR(HLOOKUP(AV31,'סקרי נכסים-יתרות פתיחה'!$2:$110,95,0),0)*(1-AV$309)</f>
        <v>0</v>
      </c>
      <c r="AW231" s="50">
        <f>+IFERROR(HLOOKUP(AW31,'סקרי נכסים-יתרות פתיחה'!$2:$110,37,0),0)-IFERROR(HLOOKUP(AW31,'סקרי נכסים-יתרות פתיחה'!$2:$110,95,0),0)*(1-AW$309)</f>
        <v>0</v>
      </c>
      <c r="AX231" s="50">
        <f>+IFERROR(HLOOKUP(AX31,'סקרי נכסים-יתרות פתיחה'!$2:$110,37,0),0)-IFERROR(HLOOKUP(AX31,'סקרי נכסים-יתרות פתיחה'!$2:$110,95,0),0)*(1-AX$309)</f>
        <v>0</v>
      </c>
      <c r="AY231" s="50">
        <f>+IFERROR(HLOOKUP(AY31,'סקרי נכסים-יתרות פתיחה'!$2:$110,37,0),0)-IFERROR(HLOOKUP(AY31,'סקרי נכסים-יתרות פתיחה'!$2:$110,95,0),0)*(1-AY$309)</f>
        <v>0</v>
      </c>
      <c r="AZ231" s="50">
        <f>+IFERROR(HLOOKUP(AZ31,'סקרי נכסים-יתרות פתיחה'!$2:$110,37,0),0)-IFERROR(HLOOKUP(AZ31,'סקרי נכסים-יתרות פתיחה'!$2:$110,95,0),0)*(1-AZ$309)</f>
        <v>0</v>
      </c>
      <c r="BA231" s="50">
        <f>+IFERROR(HLOOKUP(BA31,'סקרי נכסים-יתרות פתיחה'!$2:$110,37,0),0)-IFERROR(HLOOKUP(BA31,'סקרי נכסים-יתרות פתיחה'!$2:$110,95,0),0)*(1-BA$309)</f>
        <v>0</v>
      </c>
      <c r="BB231" s="50">
        <f>+IFERROR(HLOOKUP(BB31,'סקרי נכסים-יתרות פתיחה'!$2:$110,37,0),0)-IFERROR(HLOOKUP(BB31,'סקרי נכסים-יתרות פתיחה'!$2:$110,95,0),0)*(1-BB$309)</f>
        <v>0</v>
      </c>
      <c r="BC231" s="50">
        <f>+IFERROR(HLOOKUP(BC31,'סקרי נכסים-יתרות פתיחה'!$2:$110,37,0),0)-IFERROR(HLOOKUP(BC31,'סקרי נכסים-יתרות פתיחה'!$2:$110,95,0),0)*(1-BC$309)</f>
        <v>0</v>
      </c>
      <c r="BD231" s="50">
        <f>+IFERROR(HLOOKUP(BD31,'סקרי נכסים-יתרות פתיחה'!$2:$110,37,0),0)-IFERROR(HLOOKUP(BD31,'סקרי נכסים-יתרות פתיחה'!$2:$110,95,0),0)*(1-BD$309)</f>
        <v>0</v>
      </c>
      <c r="BE231" s="50">
        <f>+IFERROR(HLOOKUP(BE31,'סקרי נכסים-יתרות פתיחה'!$2:$110,37,0),0)-IFERROR(HLOOKUP(BE31,'סקרי נכסים-יתרות פתיחה'!$2:$110,95,0),0)*(1-BE$309)</f>
        <v>0</v>
      </c>
      <c r="BF231" s="50">
        <f>+IFERROR(HLOOKUP(BF31,'סקרי נכסים-יתרות פתיחה'!$2:$110,37,0),0)-IFERROR(HLOOKUP(BF31,'סקרי נכסים-יתרות פתיחה'!$2:$110,95,0),0)*(1-BF$309)</f>
        <v>0</v>
      </c>
    </row>
    <row r="232" spans="1:58" x14ac:dyDescent="0.2">
      <c r="B232" s="1">
        <v>29</v>
      </c>
      <c r="C232" s="50">
        <f>+IFERROR(HLOOKUP(C32,'סקרי נכסים-יתרות פתיחה'!$2:$110,37,0),0)-IFERROR(HLOOKUP(C32,'סקרי נכסים-יתרות פתיחה'!$2:$110,95,0),0)*(1-C$309)</f>
        <v>0</v>
      </c>
      <c r="D232" s="50">
        <f>+IFERROR(HLOOKUP(D32,'סקרי נכסים-יתרות פתיחה'!$2:$110,37,0),0)-IFERROR(HLOOKUP(D32,'סקרי נכסים-יתרות פתיחה'!$2:$110,95,0),0)*(1-D$309)</f>
        <v>0</v>
      </c>
      <c r="E232" s="50">
        <f>+IFERROR(HLOOKUP(E32,'סקרי נכסים-יתרות פתיחה'!$2:$110,37,0),0)-IFERROR(HLOOKUP(E32,'סקרי נכסים-יתרות פתיחה'!$2:$110,95,0),0)*(1-E$309)</f>
        <v>0</v>
      </c>
      <c r="F232" s="50">
        <f>+IFERROR(HLOOKUP(F32,'סקרי נכסים-יתרות פתיחה'!$2:$110,37,0),0)-IFERROR(HLOOKUP(F32,'סקרי נכסים-יתרות פתיחה'!$2:$110,95,0),0)*(1-F$309)</f>
        <v>0</v>
      </c>
      <c r="G232" s="50">
        <f>+IFERROR(HLOOKUP(G32,'סקרי נכסים-יתרות פתיחה'!$2:$110,37,0),0)-IFERROR(HLOOKUP(G32,'סקרי נכסים-יתרות פתיחה'!$2:$110,95,0),0)*(1-G$309)</f>
        <v>0</v>
      </c>
      <c r="H232" s="50">
        <f>+IFERROR(HLOOKUP(H32,'סקרי נכסים-יתרות פתיחה'!$2:$110,37,0),0)-IFERROR(HLOOKUP(H32,'סקרי נכסים-יתרות פתיחה'!$2:$110,95,0),0)*(1-H$309)</f>
        <v>0</v>
      </c>
      <c r="I232" s="50">
        <f>+IFERROR(HLOOKUP(I32,'סקרי נכסים-יתרות פתיחה'!$2:$110,37,0),0)-IFERROR(HLOOKUP(I32,'סקרי נכסים-יתרות פתיחה'!$2:$110,95,0),0)*(1-I$309)</f>
        <v>0</v>
      </c>
      <c r="J232" s="50">
        <f>+IFERROR(HLOOKUP(J32,'סקרי נכסים-יתרות פתיחה'!$2:$110,37,0),0)-IFERROR(HLOOKUP(J32,'סקרי נכסים-יתרות פתיחה'!$2:$110,95,0),0)*(1-J$309)</f>
        <v>0</v>
      </c>
      <c r="K232" s="50">
        <f>+IFERROR(HLOOKUP(K32,'סקרי נכסים-יתרות פתיחה'!$2:$110,37,0),0)-IFERROR(HLOOKUP(K32,'סקרי נכסים-יתרות פתיחה'!$2:$110,95,0),0)*(1-K$309)</f>
        <v>0</v>
      </c>
      <c r="L232" s="50">
        <f>+IFERROR(HLOOKUP(L32,'סקרי נכסים-יתרות פתיחה'!$2:$110,37,0),0)-IFERROR(HLOOKUP(L32,'סקרי נכסים-יתרות פתיחה'!$2:$110,95,0),0)*(1-L$309)</f>
        <v>0</v>
      </c>
      <c r="M232" s="50">
        <f>+IFERROR(HLOOKUP(M32,'סקרי נכסים-יתרות פתיחה'!$2:$110,37,0),0)-IFERROR(HLOOKUP(M32,'סקרי נכסים-יתרות פתיחה'!$2:$110,95,0),0)*(1-M$309)</f>
        <v>0</v>
      </c>
      <c r="N232" s="50">
        <f>+IFERROR(HLOOKUP(N32,'סקרי נכסים-יתרות פתיחה'!$2:$110,37,0),0)-IFERROR(HLOOKUP(N32,'סקרי נכסים-יתרות פתיחה'!$2:$110,95,0),0)*(1-N$309)</f>
        <v>0</v>
      </c>
      <c r="O232" s="50">
        <f>+IFERROR(HLOOKUP(O32,'סקרי נכסים-יתרות פתיחה'!$2:$110,37,0),0)-IFERROR(HLOOKUP(O32,'סקרי נכסים-יתרות פתיחה'!$2:$110,95,0),0)*(1-O$309)</f>
        <v>0</v>
      </c>
      <c r="P232" s="50">
        <f>+IFERROR(HLOOKUP(P32,'סקרי נכסים-יתרות פתיחה'!$2:$110,37,0),0)-IFERROR(HLOOKUP(P32,'סקרי נכסים-יתרות פתיחה'!$2:$110,95,0),0)*(1-P$309)</f>
        <v>0</v>
      </c>
      <c r="Q232" s="50">
        <f>+IFERROR(HLOOKUP(Q32,'סקרי נכסים-יתרות פתיחה'!$2:$110,37,0),0)-IFERROR(HLOOKUP(Q32,'סקרי נכסים-יתרות פתיחה'!$2:$110,95,0),0)*(1-Q$309)</f>
        <v>0</v>
      </c>
      <c r="R232" s="50">
        <f>+IFERROR(HLOOKUP(R32,'סקרי נכסים-יתרות פתיחה'!$2:$110,37,0),0)-IFERROR(HLOOKUP(R32,'סקרי נכסים-יתרות פתיחה'!$2:$110,95,0),0)*(1-R$309)</f>
        <v>0</v>
      </c>
      <c r="S232" s="50">
        <f>+IFERROR(HLOOKUP(S32,'סקרי נכסים-יתרות פתיחה'!$2:$110,37,0),0)-IFERROR(HLOOKUP(S32,'סקרי נכסים-יתרות פתיחה'!$2:$110,95,0),0)*(1-S$309)</f>
        <v>0</v>
      </c>
      <c r="T232" s="50">
        <f>+IFERROR(HLOOKUP(T32,'סקרי נכסים-יתרות פתיחה'!$2:$110,37,0),0)-IFERROR(HLOOKUP(T32,'סקרי נכסים-יתרות פתיחה'!$2:$110,95,0),0)*(1-T$309)</f>
        <v>0</v>
      </c>
      <c r="U232" s="50">
        <f>+IFERROR(HLOOKUP(U32,'סקרי נכסים-יתרות פתיחה'!$2:$110,37,0),0)-IFERROR(HLOOKUP(U32,'סקרי נכסים-יתרות פתיחה'!$2:$110,95,0),0)*(1-U$309)</f>
        <v>0</v>
      </c>
      <c r="V232" s="50">
        <f>+IFERROR(HLOOKUP(V32,'סקרי נכסים-יתרות פתיחה'!$2:$110,37,0),0)-IFERROR(HLOOKUP(V32,'סקרי נכסים-יתרות פתיחה'!$2:$110,95,0),0)*(1-V$309)</f>
        <v>0</v>
      </c>
      <c r="W232" s="50">
        <f>+IFERROR(HLOOKUP(W32,'סקרי נכסים-יתרות פתיחה'!$2:$110,37,0),0)-IFERROR(HLOOKUP(W32,'סקרי נכסים-יתרות פתיחה'!$2:$110,95,0),0)*(1-W$309)</f>
        <v>0</v>
      </c>
      <c r="X232" s="50">
        <f>+IFERROR(HLOOKUP(X32,'סקרי נכסים-יתרות פתיחה'!$2:$110,37,0),0)-IFERROR(HLOOKUP(X32,'סקרי נכסים-יתרות פתיחה'!$2:$110,95,0),0)*(1-X$309)</f>
        <v>0</v>
      </c>
      <c r="Y232" s="50">
        <f>+IFERROR(HLOOKUP(Y32,'סקרי נכסים-יתרות פתיחה'!$2:$110,37,0),0)-IFERROR(HLOOKUP(Y32,'סקרי נכסים-יתרות פתיחה'!$2:$110,95,0),0)*(1-Y$309)</f>
        <v>0</v>
      </c>
      <c r="Z232" s="50">
        <f>+IFERROR(HLOOKUP(Z32,'סקרי נכסים-יתרות פתיחה'!$2:$110,37,0),0)-IFERROR(HLOOKUP(Z32,'סקרי נכסים-יתרות פתיחה'!$2:$110,95,0),0)*(1-Z$309)</f>
        <v>0</v>
      </c>
      <c r="AA232" s="50">
        <f>+IFERROR(HLOOKUP(AA32,'סקרי נכסים-יתרות פתיחה'!$2:$110,37,0),0)-IFERROR(HLOOKUP(AA32,'סקרי נכסים-יתרות פתיחה'!$2:$110,95,0),0)*(1-AA$309)</f>
        <v>0</v>
      </c>
      <c r="AB232" s="50">
        <f>+IFERROR(HLOOKUP(AB32,'סקרי נכסים-יתרות פתיחה'!$2:$110,37,0),0)-IFERROR(HLOOKUP(AB32,'סקרי נכסים-יתרות פתיחה'!$2:$110,95,0),0)*(1-AB$309)</f>
        <v>0</v>
      </c>
      <c r="AC232" s="50">
        <f>+IFERROR(HLOOKUP(AC32,'סקרי נכסים-יתרות פתיחה'!$2:$110,37,0),0)-IFERROR(HLOOKUP(AC32,'סקרי נכסים-יתרות פתיחה'!$2:$110,95,0),0)*(1-AC$309)</f>
        <v>0</v>
      </c>
      <c r="AD232" s="50">
        <f>+IFERROR(HLOOKUP(AD32,'סקרי נכסים-יתרות פתיחה'!$2:$110,37,0),0)-IFERROR(HLOOKUP(AD32,'סקרי נכסים-יתרות פתיחה'!$2:$110,95,0),0)*(1-AD$309)</f>
        <v>0</v>
      </c>
      <c r="AE232" s="50">
        <f>+IFERROR(HLOOKUP(AE32,'סקרי נכסים-יתרות פתיחה'!$2:$110,37,0),0)-IFERROR(HLOOKUP(AE32,'סקרי נכסים-יתרות פתיחה'!$2:$110,95,0),0)*(1-AE$309)</f>
        <v>0</v>
      </c>
      <c r="AF232" s="50">
        <f>+IFERROR(HLOOKUP(AF32,'סקרי נכסים-יתרות פתיחה'!$2:$110,37,0),0)-IFERROR(HLOOKUP(AF32,'סקרי נכסים-יתרות פתיחה'!$2:$110,95,0),0)*(1-AF$309)</f>
        <v>0</v>
      </c>
      <c r="AG232" s="50">
        <f>+IFERROR(HLOOKUP(AG32,'סקרי נכסים-יתרות פתיחה'!$2:$110,37,0),0)-IFERROR(HLOOKUP(AG32,'סקרי נכסים-יתרות פתיחה'!$2:$110,95,0),0)*(1-AG$309)</f>
        <v>0</v>
      </c>
      <c r="AH232" s="50">
        <f>+IFERROR(HLOOKUP(AH32,'סקרי נכסים-יתרות פתיחה'!$2:$110,37,0),0)-IFERROR(HLOOKUP(AH32,'סקרי נכסים-יתרות פתיחה'!$2:$110,95,0),0)*(1-AH$309)</f>
        <v>0</v>
      </c>
      <c r="AI232" s="50">
        <f>+IFERROR(HLOOKUP(AI32,'סקרי נכסים-יתרות פתיחה'!$2:$110,37,0),0)-IFERROR(HLOOKUP(AI32,'סקרי נכסים-יתרות פתיחה'!$2:$110,95,0),0)*(1-AI$309)</f>
        <v>0</v>
      </c>
      <c r="AJ232" s="50">
        <f>+IFERROR(HLOOKUP(AJ32,'סקרי נכסים-יתרות פתיחה'!$2:$110,37,0),0)-IFERROR(HLOOKUP(AJ32,'סקרי נכסים-יתרות פתיחה'!$2:$110,95,0),0)*(1-AJ$309)</f>
        <v>0</v>
      </c>
      <c r="AK232" s="50">
        <f>+IFERROR(HLOOKUP(AK32,'סקרי נכסים-יתרות פתיחה'!$2:$110,37,0),0)-IFERROR(HLOOKUP(AK32,'סקרי נכסים-יתרות פתיחה'!$2:$110,95,0),0)*(1-AK$309)</f>
        <v>0</v>
      </c>
      <c r="AL232" s="50">
        <f>+IFERROR(HLOOKUP(AL32,'סקרי נכסים-יתרות פתיחה'!$2:$110,37,0),0)-IFERROR(HLOOKUP(AL32,'סקרי נכסים-יתרות פתיחה'!$2:$110,95,0),0)*(1-AL$309)</f>
        <v>0</v>
      </c>
      <c r="AM232" s="50">
        <f>+IFERROR(HLOOKUP(AM32,'סקרי נכסים-יתרות פתיחה'!$2:$110,37,0),0)-IFERROR(HLOOKUP(AM32,'סקרי נכסים-יתרות פתיחה'!$2:$110,95,0),0)*(1-AM$309)</f>
        <v>0</v>
      </c>
      <c r="AN232" s="50">
        <f>+IFERROR(HLOOKUP(AN32,'סקרי נכסים-יתרות פתיחה'!$2:$110,37,0),0)-IFERROR(HLOOKUP(AN32,'סקרי נכסים-יתרות פתיחה'!$2:$110,95,0),0)*(1-AN$309)</f>
        <v>0</v>
      </c>
      <c r="AO232" s="50">
        <f>+IFERROR(HLOOKUP(AO32,'סקרי נכסים-יתרות פתיחה'!$2:$110,37,0),0)-IFERROR(HLOOKUP(AO32,'סקרי נכסים-יתרות פתיחה'!$2:$110,95,0),0)*(1-AO$309)</f>
        <v>0</v>
      </c>
      <c r="AP232" s="50">
        <f>+IFERROR(HLOOKUP(AP32,'סקרי נכסים-יתרות פתיחה'!$2:$110,37,0),0)-IFERROR(HLOOKUP(AP32,'סקרי נכסים-יתרות פתיחה'!$2:$110,95,0),0)*(1-AP$309)</f>
        <v>0</v>
      </c>
      <c r="AQ232" s="50">
        <f>+IFERROR(HLOOKUP(AQ32,'סקרי נכסים-יתרות פתיחה'!$2:$110,37,0),0)-IFERROR(HLOOKUP(AQ32,'סקרי נכסים-יתרות פתיחה'!$2:$110,95,0),0)*(1-AQ$309)</f>
        <v>0</v>
      </c>
      <c r="AR232" s="50">
        <f>+IFERROR(HLOOKUP(AR32,'סקרי נכסים-יתרות פתיחה'!$2:$110,37,0),0)-IFERROR(HLOOKUP(AR32,'סקרי נכסים-יתרות פתיחה'!$2:$110,95,0),0)*(1-AR$309)</f>
        <v>0</v>
      </c>
      <c r="AS232" s="50">
        <f>+IFERROR(HLOOKUP(AS32,'סקרי נכסים-יתרות פתיחה'!$2:$110,37,0),0)-IFERROR(HLOOKUP(AS32,'סקרי נכסים-יתרות פתיחה'!$2:$110,95,0),0)*(1-AS$309)</f>
        <v>0</v>
      </c>
      <c r="AT232" s="50">
        <f>+IFERROR(HLOOKUP(AT32,'סקרי נכסים-יתרות פתיחה'!$2:$110,37,0),0)-IFERROR(HLOOKUP(AT32,'סקרי נכסים-יתרות פתיחה'!$2:$110,95,0),0)*(1-AT$309)</f>
        <v>0</v>
      </c>
      <c r="AU232" s="50">
        <f>+IFERROR(HLOOKUP(AU32,'סקרי נכסים-יתרות פתיחה'!$2:$110,37,0),0)-IFERROR(HLOOKUP(AU32,'סקרי נכסים-יתרות פתיחה'!$2:$110,95,0),0)*(1-AU$309)</f>
        <v>0</v>
      </c>
      <c r="AV232" s="50">
        <f>+IFERROR(HLOOKUP(AV32,'סקרי נכסים-יתרות פתיחה'!$2:$110,37,0),0)-IFERROR(HLOOKUP(AV32,'סקרי נכסים-יתרות פתיחה'!$2:$110,95,0),0)*(1-AV$309)</f>
        <v>0</v>
      </c>
      <c r="AW232" s="50">
        <f>+IFERROR(HLOOKUP(AW32,'סקרי נכסים-יתרות פתיחה'!$2:$110,37,0),0)-IFERROR(HLOOKUP(AW32,'סקרי נכסים-יתרות פתיחה'!$2:$110,95,0),0)*(1-AW$309)</f>
        <v>0</v>
      </c>
      <c r="AX232" s="50">
        <f>+IFERROR(HLOOKUP(AX32,'סקרי נכסים-יתרות פתיחה'!$2:$110,37,0),0)-IFERROR(HLOOKUP(AX32,'סקרי נכסים-יתרות פתיחה'!$2:$110,95,0),0)*(1-AX$309)</f>
        <v>0</v>
      </c>
      <c r="AY232" s="50">
        <f>+IFERROR(HLOOKUP(AY32,'סקרי נכסים-יתרות פתיחה'!$2:$110,37,0),0)-IFERROR(HLOOKUP(AY32,'סקרי נכסים-יתרות פתיחה'!$2:$110,95,0),0)*(1-AY$309)</f>
        <v>0</v>
      </c>
      <c r="AZ232" s="50">
        <f>+IFERROR(HLOOKUP(AZ32,'סקרי נכסים-יתרות פתיחה'!$2:$110,37,0),0)-IFERROR(HLOOKUP(AZ32,'סקרי נכסים-יתרות פתיחה'!$2:$110,95,0),0)*(1-AZ$309)</f>
        <v>0</v>
      </c>
      <c r="BA232" s="50">
        <f>+IFERROR(HLOOKUP(BA32,'סקרי נכסים-יתרות פתיחה'!$2:$110,37,0),0)-IFERROR(HLOOKUP(BA32,'סקרי נכסים-יתרות פתיחה'!$2:$110,95,0),0)*(1-BA$309)</f>
        <v>0</v>
      </c>
      <c r="BB232" s="50">
        <f>+IFERROR(HLOOKUP(BB32,'סקרי נכסים-יתרות פתיחה'!$2:$110,37,0),0)-IFERROR(HLOOKUP(BB32,'סקרי נכסים-יתרות פתיחה'!$2:$110,95,0),0)*(1-BB$309)</f>
        <v>0</v>
      </c>
      <c r="BC232" s="50">
        <f>+IFERROR(HLOOKUP(BC32,'סקרי נכסים-יתרות פתיחה'!$2:$110,37,0),0)-IFERROR(HLOOKUP(BC32,'סקרי נכסים-יתרות פתיחה'!$2:$110,95,0),0)*(1-BC$309)</f>
        <v>0</v>
      </c>
      <c r="BD232" s="50">
        <f>+IFERROR(HLOOKUP(BD32,'סקרי נכסים-יתרות פתיחה'!$2:$110,37,0),0)-IFERROR(HLOOKUP(BD32,'סקרי נכסים-יתרות פתיחה'!$2:$110,95,0),0)*(1-BD$309)</f>
        <v>0</v>
      </c>
      <c r="BE232" s="50">
        <f>+IFERROR(HLOOKUP(BE32,'סקרי נכסים-יתרות פתיחה'!$2:$110,37,0),0)-IFERROR(HLOOKUP(BE32,'סקרי נכסים-יתרות פתיחה'!$2:$110,95,0),0)*(1-BE$309)</f>
        <v>0</v>
      </c>
      <c r="BF232" s="50">
        <f>+IFERROR(HLOOKUP(BF32,'סקרי נכסים-יתרות פתיחה'!$2:$110,37,0),0)-IFERROR(HLOOKUP(BF32,'סקרי נכסים-יתרות פתיחה'!$2:$110,95,0),0)*(1-BF$309)</f>
        <v>0</v>
      </c>
    </row>
    <row r="233" spans="1:58" x14ac:dyDescent="0.2">
      <c r="B233" s="1">
        <v>30</v>
      </c>
      <c r="C233" s="50">
        <f>+IFERROR(HLOOKUP(C33,'סקרי נכסים-יתרות פתיחה'!$2:$110,37,0),0)-IFERROR(HLOOKUP(C33,'סקרי נכסים-יתרות פתיחה'!$2:$110,95,0),0)*(1-C$309)</f>
        <v>0</v>
      </c>
      <c r="D233" s="50">
        <f>+IFERROR(HLOOKUP(D33,'סקרי נכסים-יתרות פתיחה'!$2:$110,37,0),0)-IFERROR(HLOOKUP(D33,'סקרי נכסים-יתרות פתיחה'!$2:$110,95,0),0)*(1-D$309)</f>
        <v>0</v>
      </c>
      <c r="E233" s="50">
        <f>+IFERROR(HLOOKUP(E33,'סקרי נכסים-יתרות פתיחה'!$2:$110,37,0),0)-IFERROR(HLOOKUP(E33,'סקרי נכסים-יתרות פתיחה'!$2:$110,95,0),0)*(1-E$309)</f>
        <v>0</v>
      </c>
      <c r="F233" s="50">
        <f>+IFERROR(HLOOKUP(F33,'סקרי נכסים-יתרות פתיחה'!$2:$110,37,0),0)-IFERROR(HLOOKUP(F33,'סקרי נכסים-יתרות פתיחה'!$2:$110,95,0),0)*(1-F$309)</f>
        <v>0</v>
      </c>
      <c r="G233" s="50">
        <f>+IFERROR(HLOOKUP(G33,'סקרי נכסים-יתרות פתיחה'!$2:$110,37,0),0)-IFERROR(HLOOKUP(G33,'סקרי נכסים-יתרות פתיחה'!$2:$110,95,0),0)*(1-G$309)</f>
        <v>0</v>
      </c>
      <c r="H233" s="50">
        <f>+IFERROR(HLOOKUP(H33,'סקרי נכסים-יתרות פתיחה'!$2:$110,37,0),0)-IFERROR(HLOOKUP(H33,'סקרי נכסים-יתרות פתיחה'!$2:$110,95,0),0)*(1-H$309)</f>
        <v>0</v>
      </c>
      <c r="I233" s="50">
        <f>+IFERROR(HLOOKUP(I33,'סקרי נכסים-יתרות פתיחה'!$2:$110,37,0),0)-IFERROR(HLOOKUP(I33,'סקרי נכסים-יתרות פתיחה'!$2:$110,95,0),0)*(1-I$309)</f>
        <v>0</v>
      </c>
      <c r="J233" s="50">
        <f>+IFERROR(HLOOKUP(J33,'סקרי נכסים-יתרות פתיחה'!$2:$110,37,0),0)-IFERROR(HLOOKUP(J33,'סקרי נכסים-יתרות פתיחה'!$2:$110,95,0),0)*(1-J$309)</f>
        <v>0</v>
      </c>
      <c r="K233" s="50">
        <f>+IFERROR(HLOOKUP(K33,'סקרי נכסים-יתרות פתיחה'!$2:$110,37,0),0)-IFERROR(HLOOKUP(K33,'סקרי נכסים-יתרות פתיחה'!$2:$110,95,0),0)*(1-K$309)</f>
        <v>0</v>
      </c>
      <c r="L233" s="50">
        <f>+IFERROR(HLOOKUP(L33,'סקרי נכסים-יתרות פתיחה'!$2:$110,37,0),0)-IFERROR(HLOOKUP(L33,'סקרי נכסים-יתרות פתיחה'!$2:$110,95,0),0)*(1-L$309)</f>
        <v>0</v>
      </c>
      <c r="M233" s="50">
        <f>+IFERROR(HLOOKUP(M33,'סקרי נכסים-יתרות פתיחה'!$2:$110,37,0),0)-IFERROR(HLOOKUP(M33,'סקרי נכסים-יתרות פתיחה'!$2:$110,95,0),0)*(1-M$309)</f>
        <v>0</v>
      </c>
      <c r="N233" s="50">
        <f>+IFERROR(HLOOKUP(N33,'סקרי נכסים-יתרות פתיחה'!$2:$110,37,0),0)-IFERROR(HLOOKUP(N33,'סקרי נכסים-יתרות פתיחה'!$2:$110,95,0),0)*(1-N$309)</f>
        <v>0</v>
      </c>
      <c r="O233" s="50">
        <f>+IFERROR(HLOOKUP(O33,'סקרי נכסים-יתרות פתיחה'!$2:$110,37,0),0)-IFERROR(HLOOKUP(O33,'סקרי נכסים-יתרות פתיחה'!$2:$110,95,0),0)*(1-O$309)</f>
        <v>0</v>
      </c>
      <c r="P233" s="50">
        <f>+IFERROR(HLOOKUP(P33,'סקרי נכסים-יתרות פתיחה'!$2:$110,37,0),0)-IFERROR(HLOOKUP(P33,'סקרי נכסים-יתרות פתיחה'!$2:$110,95,0),0)*(1-P$309)</f>
        <v>0</v>
      </c>
      <c r="Q233" s="50">
        <f>+IFERROR(HLOOKUP(Q33,'סקרי נכסים-יתרות פתיחה'!$2:$110,37,0),0)-IFERROR(HLOOKUP(Q33,'סקרי נכסים-יתרות פתיחה'!$2:$110,95,0),0)*(1-Q$309)</f>
        <v>0</v>
      </c>
      <c r="R233" s="50">
        <f>+IFERROR(HLOOKUP(R33,'סקרי נכסים-יתרות פתיחה'!$2:$110,37,0),0)-IFERROR(HLOOKUP(R33,'סקרי נכסים-יתרות פתיחה'!$2:$110,95,0),0)*(1-R$309)</f>
        <v>0</v>
      </c>
      <c r="S233" s="50">
        <f>+IFERROR(HLOOKUP(S33,'סקרי נכסים-יתרות פתיחה'!$2:$110,37,0),0)-IFERROR(HLOOKUP(S33,'סקרי נכסים-יתרות פתיחה'!$2:$110,95,0),0)*(1-S$309)</f>
        <v>0</v>
      </c>
      <c r="T233" s="50">
        <f>+IFERROR(HLOOKUP(T33,'סקרי נכסים-יתרות פתיחה'!$2:$110,37,0),0)-IFERROR(HLOOKUP(T33,'סקרי נכסים-יתרות פתיחה'!$2:$110,95,0),0)*(1-T$309)</f>
        <v>0</v>
      </c>
      <c r="U233" s="50">
        <f>+IFERROR(HLOOKUP(U33,'סקרי נכסים-יתרות פתיחה'!$2:$110,37,0),0)-IFERROR(HLOOKUP(U33,'סקרי נכסים-יתרות פתיחה'!$2:$110,95,0),0)*(1-U$309)</f>
        <v>0</v>
      </c>
      <c r="V233" s="50">
        <f>+IFERROR(HLOOKUP(V33,'סקרי נכסים-יתרות פתיחה'!$2:$110,37,0),0)-IFERROR(HLOOKUP(V33,'סקרי נכסים-יתרות פתיחה'!$2:$110,95,0),0)*(1-V$309)</f>
        <v>0</v>
      </c>
      <c r="W233" s="50">
        <f>+IFERROR(HLOOKUP(W33,'סקרי נכסים-יתרות פתיחה'!$2:$110,37,0),0)-IFERROR(HLOOKUP(W33,'סקרי נכסים-יתרות פתיחה'!$2:$110,95,0),0)*(1-W$309)</f>
        <v>0</v>
      </c>
      <c r="X233" s="50">
        <f>+IFERROR(HLOOKUP(X33,'סקרי נכסים-יתרות פתיחה'!$2:$110,37,0),0)-IFERROR(HLOOKUP(X33,'סקרי נכסים-יתרות פתיחה'!$2:$110,95,0),0)*(1-X$309)</f>
        <v>0</v>
      </c>
      <c r="Y233" s="50">
        <f>+IFERROR(HLOOKUP(Y33,'סקרי נכסים-יתרות פתיחה'!$2:$110,37,0),0)-IFERROR(HLOOKUP(Y33,'סקרי נכסים-יתרות פתיחה'!$2:$110,95,0),0)*(1-Y$309)</f>
        <v>0</v>
      </c>
      <c r="Z233" s="50">
        <f>+IFERROR(HLOOKUP(Z33,'סקרי נכסים-יתרות פתיחה'!$2:$110,37,0),0)-IFERROR(HLOOKUP(Z33,'סקרי נכסים-יתרות פתיחה'!$2:$110,95,0),0)*(1-Z$309)</f>
        <v>0</v>
      </c>
      <c r="AA233" s="50">
        <f>+IFERROR(HLOOKUP(AA33,'סקרי נכסים-יתרות פתיחה'!$2:$110,37,0),0)-IFERROR(HLOOKUP(AA33,'סקרי נכסים-יתרות פתיחה'!$2:$110,95,0),0)*(1-AA$309)</f>
        <v>0</v>
      </c>
      <c r="AB233" s="50">
        <f>+IFERROR(HLOOKUP(AB33,'סקרי נכסים-יתרות פתיחה'!$2:$110,37,0),0)-IFERROR(HLOOKUP(AB33,'סקרי נכסים-יתרות פתיחה'!$2:$110,95,0),0)*(1-AB$309)</f>
        <v>0</v>
      </c>
      <c r="AC233" s="50">
        <f>+IFERROR(HLOOKUP(AC33,'סקרי נכסים-יתרות פתיחה'!$2:$110,37,0),0)-IFERROR(HLOOKUP(AC33,'סקרי נכסים-יתרות פתיחה'!$2:$110,95,0),0)*(1-AC$309)</f>
        <v>0</v>
      </c>
      <c r="AD233" s="50">
        <f>+IFERROR(HLOOKUP(AD33,'סקרי נכסים-יתרות פתיחה'!$2:$110,37,0),0)-IFERROR(HLOOKUP(AD33,'סקרי נכסים-יתרות פתיחה'!$2:$110,95,0),0)*(1-AD$309)</f>
        <v>0</v>
      </c>
      <c r="AE233" s="50">
        <f>+IFERROR(HLOOKUP(AE33,'סקרי נכסים-יתרות פתיחה'!$2:$110,37,0),0)-IFERROR(HLOOKUP(AE33,'סקרי נכסים-יתרות פתיחה'!$2:$110,95,0),0)*(1-AE$309)</f>
        <v>0</v>
      </c>
      <c r="AF233" s="50">
        <f>+IFERROR(HLOOKUP(AF33,'סקרי נכסים-יתרות פתיחה'!$2:$110,37,0),0)-IFERROR(HLOOKUP(AF33,'סקרי נכסים-יתרות פתיחה'!$2:$110,95,0),0)*(1-AF$309)</f>
        <v>0</v>
      </c>
      <c r="AG233" s="50">
        <f>+IFERROR(HLOOKUP(AG33,'סקרי נכסים-יתרות פתיחה'!$2:$110,37,0),0)-IFERROR(HLOOKUP(AG33,'סקרי נכסים-יתרות פתיחה'!$2:$110,95,0),0)*(1-AG$309)</f>
        <v>0</v>
      </c>
      <c r="AH233" s="50">
        <f>+IFERROR(HLOOKUP(AH33,'סקרי נכסים-יתרות פתיחה'!$2:$110,37,0),0)-IFERROR(HLOOKUP(AH33,'סקרי נכסים-יתרות פתיחה'!$2:$110,95,0),0)*(1-AH$309)</f>
        <v>0</v>
      </c>
      <c r="AI233" s="50">
        <f>+IFERROR(HLOOKUP(AI33,'סקרי נכסים-יתרות פתיחה'!$2:$110,37,0),0)-IFERROR(HLOOKUP(AI33,'סקרי נכסים-יתרות פתיחה'!$2:$110,95,0),0)*(1-AI$309)</f>
        <v>0</v>
      </c>
      <c r="AJ233" s="50">
        <f>+IFERROR(HLOOKUP(AJ33,'סקרי נכסים-יתרות פתיחה'!$2:$110,37,0),0)-IFERROR(HLOOKUP(AJ33,'סקרי נכסים-יתרות פתיחה'!$2:$110,95,0),0)*(1-AJ$309)</f>
        <v>0</v>
      </c>
      <c r="AK233" s="50">
        <f>+IFERROR(HLOOKUP(AK33,'סקרי נכסים-יתרות פתיחה'!$2:$110,37,0),0)-IFERROR(HLOOKUP(AK33,'סקרי נכסים-יתרות פתיחה'!$2:$110,95,0),0)*(1-AK$309)</f>
        <v>0</v>
      </c>
      <c r="AL233" s="50">
        <f>+IFERROR(HLOOKUP(AL33,'סקרי נכסים-יתרות פתיחה'!$2:$110,37,0),0)-IFERROR(HLOOKUP(AL33,'סקרי נכסים-יתרות פתיחה'!$2:$110,95,0),0)*(1-AL$309)</f>
        <v>0</v>
      </c>
      <c r="AM233" s="50">
        <f>+IFERROR(HLOOKUP(AM33,'סקרי נכסים-יתרות פתיחה'!$2:$110,37,0),0)-IFERROR(HLOOKUP(AM33,'סקרי נכסים-יתרות פתיחה'!$2:$110,95,0),0)*(1-AM$309)</f>
        <v>0</v>
      </c>
      <c r="AN233" s="50">
        <f>+IFERROR(HLOOKUP(AN33,'סקרי נכסים-יתרות פתיחה'!$2:$110,37,0),0)-IFERROR(HLOOKUP(AN33,'סקרי נכסים-יתרות פתיחה'!$2:$110,95,0),0)*(1-AN$309)</f>
        <v>0</v>
      </c>
      <c r="AO233" s="50">
        <f>+IFERROR(HLOOKUP(AO33,'סקרי נכסים-יתרות פתיחה'!$2:$110,37,0),0)-IFERROR(HLOOKUP(AO33,'סקרי נכסים-יתרות פתיחה'!$2:$110,95,0),0)*(1-AO$309)</f>
        <v>0</v>
      </c>
      <c r="AP233" s="50">
        <f>+IFERROR(HLOOKUP(AP33,'סקרי נכסים-יתרות פתיחה'!$2:$110,37,0),0)-IFERROR(HLOOKUP(AP33,'סקרי נכסים-יתרות פתיחה'!$2:$110,95,0),0)*(1-AP$309)</f>
        <v>0</v>
      </c>
      <c r="AQ233" s="50">
        <f>+IFERROR(HLOOKUP(AQ33,'סקרי נכסים-יתרות פתיחה'!$2:$110,37,0),0)-IFERROR(HLOOKUP(AQ33,'סקרי נכסים-יתרות פתיחה'!$2:$110,95,0),0)*(1-AQ$309)</f>
        <v>0</v>
      </c>
      <c r="AR233" s="50">
        <f>+IFERROR(HLOOKUP(AR33,'סקרי נכסים-יתרות פתיחה'!$2:$110,37,0),0)-IFERROR(HLOOKUP(AR33,'סקרי נכסים-יתרות פתיחה'!$2:$110,95,0),0)*(1-AR$309)</f>
        <v>0</v>
      </c>
      <c r="AS233" s="50">
        <f>+IFERROR(HLOOKUP(AS33,'סקרי נכסים-יתרות פתיחה'!$2:$110,37,0),0)-IFERROR(HLOOKUP(AS33,'סקרי נכסים-יתרות פתיחה'!$2:$110,95,0),0)*(1-AS$309)</f>
        <v>0</v>
      </c>
      <c r="AT233" s="50">
        <f>+IFERROR(HLOOKUP(AT33,'סקרי נכסים-יתרות פתיחה'!$2:$110,37,0),0)-IFERROR(HLOOKUP(AT33,'סקרי נכסים-יתרות פתיחה'!$2:$110,95,0),0)*(1-AT$309)</f>
        <v>0</v>
      </c>
      <c r="AU233" s="50">
        <f>+IFERROR(HLOOKUP(AU33,'סקרי נכסים-יתרות פתיחה'!$2:$110,37,0),0)-IFERROR(HLOOKUP(AU33,'סקרי נכסים-יתרות פתיחה'!$2:$110,95,0),0)*(1-AU$309)</f>
        <v>0</v>
      </c>
      <c r="AV233" s="50">
        <f>+IFERROR(HLOOKUP(AV33,'סקרי נכסים-יתרות פתיחה'!$2:$110,37,0),0)-IFERROR(HLOOKUP(AV33,'סקרי נכסים-יתרות פתיחה'!$2:$110,95,0),0)*(1-AV$309)</f>
        <v>0</v>
      </c>
      <c r="AW233" s="50">
        <f>+IFERROR(HLOOKUP(AW33,'סקרי נכסים-יתרות פתיחה'!$2:$110,37,0),0)-IFERROR(HLOOKUP(AW33,'סקרי נכסים-יתרות פתיחה'!$2:$110,95,0),0)*(1-AW$309)</f>
        <v>0</v>
      </c>
      <c r="AX233" s="50">
        <f>+IFERROR(HLOOKUP(AX33,'סקרי נכסים-יתרות פתיחה'!$2:$110,37,0),0)-IFERROR(HLOOKUP(AX33,'סקרי נכסים-יתרות פתיחה'!$2:$110,95,0),0)*(1-AX$309)</f>
        <v>0</v>
      </c>
      <c r="AY233" s="50">
        <f>+IFERROR(HLOOKUP(AY33,'סקרי נכסים-יתרות פתיחה'!$2:$110,37,0),0)-IFERROR(HLOOKUP(AY33,'סקרי נכסים-יתרות פתיחה'!$2:$110,95,0),0)*(1-AY$309)</f>
        <v>0</v>
      </c>
      <c r="AZ233" s="50">
        <f>+IFERROR(HLOOKUP(AZ33,'סקרי נכסים-יתרות פתיחה'!$2:$110,37,0),0)-IFERROR(HLOOKUP(AZ33,'סקרי נכסים-יתרות פתיחה'!$2:$110,95,0),0)*(1-AZ$309)</f>
        <v>0</v>
      </c>
      <c r="BA233" s="50">
        <f>+IFERROR(HLOOKUP(BA33,'סקרי נכסים-יתרות פתיחה'!$2:$110,37,0),0)-IFERROR(HLOOKUP(BA33,'סקרי נכסים-יתרות פתיחה'!$2:$110,95,0),0)*(1-BA$309)</f>
        <v>0</v>
      </c>
      <c r="BB233" s="50">
        <f>+IFERROR(HLOOKUP(BB33,'סקרי נכסים-יתרות פתיחה'!$2:$110,37,0),0)-IFERROR(HLOOKUP(BB33,'סקרי נכסים-יתרות פתיחה'!$2:$110,95,0),0)*(1-BB$309)</f>
        <v>0</v>
      </c>
      <c r="BC233" s="50">
        <f>+IFERROR(HLOOKUP(BC33,'סקרי נכסים-יתרות פתיחה'!$2:$110,37,0),0)-IFERROR(HLOOKUP(BC33,'סקרי נכסים-יתרות פתיחה'!$2:$110,95,0),0)*(1-BC$309)</f>
        <v>0</v>
      </c>
      <c r="BD233" s="50">
        <f>+IFERROR(HLOOKUP(BD33,'סקרי נכסים-יתרות פתיחה'!$2:$110,37,0),0)-IFERROR(HLOOKUP(BD33,'סקרי נכסים-יתרות פתיחה'!$2:$110,95,0),0)*(1-BD$309)</f>
        <v>0</v>
      </c>
      <c r="BE233" s="50">
        <f>+IFERROR(HLOOKUP(BE33,'סקרי נכסים-יתרות פתיחה'!$2:$110,37,0),0)-IFERROR(HLOOKUP(BE33,'סקרי נכסים-יתרות פתיחה'!$2:$110,95,0),0)*(1-BE$309)</f>
        <v>0</v>
      </c>
      <c r="BF233" s="50">
        <f>+IFERROR(HLOOKUP(BF33,'סקרי נכסים-יתרות פתיחה'!$2:$110,37,0),0)-IFERROR(HLOOKUP(BF33,'סקרי נכסים-יתרות פתיחה'!$2:$110,95,0),0)*(1-BF$309)</f>
        <v>0</v>
      </c>
    </row>
    <row r="234" spans="1:58" x14ac:dyDescent="0.2">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row>
    <row r="235" spans="1:58" x14ac:dyDescent="0.2">
      <c r="A235" s="1228" t="s">
        <v>164</v>
      </c>
      <c r="C235" s="50">
        <f>SUM(C204:C233)/1000</f>
        <v>0</v>
      </c>
      <c r="D235" s="50">
        <f>SUM(D204:D233)/1000</f>
        <v>417.9</v>
      </c>
      <c r="E235" s="50">
        <f t="shared" ref="E235:BF235" si="10">SUM(E204:E233)/1000</f>
        <v>2234.0571428571429</v>
      </c>
      <c r="F235" s="50">
        <f t="shared" si="10"/>
        <v>45.714285714285715</v>
      </c>
      <c r="G235" s="50">
        <f t="shared" si="10"/>
        <v>687.18902857142859</v>
      </c>
      <c r="H235" s="50">
        <f t="shared" si="10"/>
        <v>0</v>
      </c>
      <c r="I235" s="50">
        <f t="shared" si="10"/>
        <v>1749.9428571428571</v>
      </c>
      <c r="J235" s="50">
        <f t="shared" si="10"/>
        <v>1148.982857142857</v>
      </c>
      <c r="K235" s="50">
        <f t="shared" si="10"/>
        <v>455.4</v>
      </c>
      <c r="L235" s="50">
        <f t="shared" si="10"/>
        <v>630.4</v>
      </c>
      <c r="M235" s="50">
        <f t="shared" si="10"/>
        <v>2102.8571428571427</v>
      </c>
      <c r="N235" s="50">
        <f t="shared" si="10"/>
        <v>1210.0923619047617</v>
      </c>
      <c r="O235" s="50">
        <f t="shared" si="10"/>
        <v>182.85714285714286</v>
      </c>
      <c r="P235" s="50">
        <f t="shared" si="10"/>
        <v>586.69799999999998</v>
      </c>
      <c r="Q235" s="50">
        <f t="shared" si="10"/>
        <v>0</v>
      </c>
      <c r="R235" s="50">
        <f t="shared" si="10"/>
        <v>137.14285714285714</v>
      </c>
      <c r="S235" s="50">
        <f t="shared" si="10"/>
        <v>142.5</v>
      </c>
      <c r="T235" s="50">
        <f t="shared" si="10"/>
        <v>2018</v>
      </c>
      <c r="U235" s="50">
        <f t="shared" si="10"/>
        <v>338.28571428571428</v>
      </c>
      <c r="V235" s="50">
        <f t="shared" si="10"/>
        <v>0</v>
      </c>
      <c r="W235" s="50">
        <f t="shared" si="10"/>
        <v>0</v>
      </c>
      <c r="X235" s="50">
        <f t="shared" si="10"/>
        <v>174</v>
      </c>
      <c r="Y235" s="50">
        <f t="shared" si="10"/>
        <v>1430.8004571428571</v>
      </c>
      <c r="Z235" s="50">
        <f t="shared" si="10"/>
        <v>498.28571428571428</v>
      </c>
      <c r="AA235" s="50">
        <f t="shared" si="10"/>
        <v>563.90476190476193</v>
      </c>
      <c r="AB235" s="50">
        <f t="shared" si="10"/>
        <v>80</v>
      </c>
      <c r="AC235" s="50">
        <f t="shared" si="10"/>
        <v>1732.6428571428573</v>
      </c>
      <c r="AD235" s="50">
        <f t="shared" si="10"/>
        <v>408.33097142857144</v>
      </c>
      <c r="AE235" s="50">
        <f t="shared" si="10"/>
        <v>1538.9142857142856</v>
      </c>
      <c r="AF235" s="50">
        <f t="shared" si="10"/>
        <v>575.2380952380953</v>
      </c>
      <c r="AG235" s="50">
        <f t="shared" si="10"/>
        <v>210.32556190476191</v>
      </c>
      <c r="AH235" s="50">
        <f t="shared" si="10"/>
        <v>120</v>
      </c>
      <c r="AI235" s="50">
        <f t="shared" si="10"/>
        <v>795.42857142857144</v>
      </c>
      <c r="AJ235" s="50">
        <f t="shared" si="10"/>
        <v>745.78102857142858</v>
      </c>
      <c r="AK235" s="50">
        <f t="shared" si="10"/>
        <v>421.45714285714286</v>
      </c>
      <c r="AL235" s="50">
        <f t="shared" si="10"/>
        <v>586.64285714285711</v>
      </c>
      <c r="AM235" s="50">
        <f t="shared" si="10"/>
        <v>714.35546190476191</v>
      </c>
      <c r="AN235" s="50">
        <f t="shared" si="10"/>
        <v>734</v>
      </c>
      <c r="AO235" s="50">
        <f t="shared" si="10"/>
        <v>408.59428571428572</v>
      </c>
      <c r="AP235" s="50">
        <f t="shared" si="10"/>
        <v>1637.1428571428573</v>
      </c>
      <c r="AQ235" s="50">
        <f t="shared" si="10"/>
        <v>717.71428571428567</v>
      </c>
      <c r="AR235" s="50">
        <f t="shared" si="10"/>
        <v>195.54761904761907</v>
      </c>
      <c r="AS235" s="50">
        <f t="shared" si="10"/>
        <v>594.60699999999997</v>
      </c>
      <c r="AT235" s="50">
        <f t="shared" si="10"/>
        <v>0</v>
      </c>
      <c r="AU235" s="50">
        <f t="shared" si="10"/>
        <v>154.61904761904762</v>
      </c>
      <c r="AV235" s="50">
        <f t="shared" si="10"/>
        <v>400.1904761904762</v>
      </c>
      <c r="AW235" s="50">
        <f t="shared" si="10"/>
        <v>559.35714285714289</v>
      </c>
      <c r="AX235" s="50">
        <f t="shared" si="10"/>
        <v>287.35000000000002</v>
      </c>
      <c r="AY235" s="50">
        <f t="shared" si="10"/>
        <v>291.04761904761904</v>
      </c>
      <c r="AZ235" s="50">
        <f t="shared" si="10"/>
        <v>571.54761904761904</v>
      </c>
      <c r="BA235" s="50">
        <f t="shared" si="10"/>
        <v>749.30391428571431</v>
      </c>
      <c r="BB235" s="50">
        <f t="shared" si="10"/>
        <v>410.67</v>
      </c>
      <c r="BC235" s="50">
        <f t="shared" si="10"/>
        <v>180</v>
      </c>
      <c r="BD235" s="50">
        <f t="shared" si="10"/>
        <v>784.79047619047617</v>
      </c>
      <c r="BE235" s="50">
        <f t="shared" si="10"/>
        <v>541.76571428571435</v>
      </c>
      <c r="BF235" s="50">
        <f t="shared" si="10"/>
        <v>665</v>
      </c>
    </row>
    <row r="236" spans="1:58" x14ac:dyDescent="0.2">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row>
    <row r="237" spans="1:58" x14ac:dyDescent="0.2">
      <c r="A237" s="1228" t="s">
        <v>1174</v>
      </c>
      <c r="B237" s="1">
        <v>1</v>
      </c>
      <c r="C237" s="50">
        <f>+IFERROR(HLOOKUP(C4,'סקרי נכסים-יתרות פתיחה'!$2:$110,38,0),0)-IFERROR(HLOOKUP(C4,'סקרי נכסים-יתרות פתיחה'!$2:$110,96,0),0)*(1-C$309)</f>
        <v>0</v>
      </c>
      <c r="D237" s="50">
        <f>+IFERROR(HLOOKUP(D4,'סקרי נכסים-יתרות פתיחה'!$2:$110,38,0),0)-IFERROR(HLOOKUP(D4,'סקרי נכסים-יתרות פתיחה'!$2:$110,96,0),0)*(1-D$309)</f>
        <v>0</v>
      </c>
      <c r="E237" s="50">
        <f>+IFERROR(HLOOKUP(E4,'סקרי נכסים-יתרות פתיחה'!$2:$110,38,0),0)-IFERROR(HLOOKUP(E4,'סקרי נכסים-יתרות פתיחה'!$2:$110,96,0),0)*(1-E$309)</f>
        <v>22044292.571428571</v>
      </c>
      <c r="F237" s="50">
        <f>+IFERROR(HLOOKUP(F4,'סקרי נכסים-יתרות פתיחה'!$2:$110,38,0),0)-IFERROR(HLOOKUP(F4,'סקרי נכסים-יתרות פתיחה'!$2:$110,96,0),0)*(1-F$309)</f>
        <v>0</v>
      </c>
      <c r="G237" s="50">
        <f>+IFERROR(HLOOKUP(G4,'סקרי נכסים-יתרות פתיחה'!$2:$110,38,0),0)-IFERROR(HLOOKUP(G4,'סקרי נכסים-יתרות פתיחה'!$2:$110,96,0),0)*(1-G$309)</f>
        <v>5324398.6285714284</v>
      </c>
      <c r="H237" s="50">
        <f>+IFERROR(HLOOKUP(H4,'סקרי נכסים-יתרות פתיחה'!$2:$110,38,0),0)-IFERROR(HLOOKUP(H4,'סקרי נכסים-יתרות פתיחה'!$2:$110,96,0),0)*(1-H$309)</f>
        <v>0</v>
      </c>
      <c r="I237" s="50">
        <f>+IFERROR(HLOOKUP(I4,'סקרי נכסים-יתרות פתיחה'!$2:$110,38,0),0)-IFERROR(HLOOKUP(I4,'סקרי נכסים-יתרות פתיחה'!$2:$110,96,0),0)*(1-I$309)</f>
        <v>0</v>
      </c>
      <c r="J237" s="50">
        <f>+IFERROR(HLOOKUP(J4,'סקרי נכסים-יתרות פתיחה'!$2:$110,38,0),0)-IFERROR(HLOOKUP(J4,'סקרי נכסים-יתרות פתיחה'!$2:$110,96,0),0)*(1-J$309)</f>
        <v>5185883.4285714282</v>
      </c>
      <c r="K237" s="50">
        <f>+IFERROR(HLOOKUP(K4,'סקרי נכסים-יתרות פתיחה'!$2:$110,38,0),0)-IFERROR(HLOOKUP(K4,'סקרי נכסים-יתרות פתיחה'!$2:$110,96,0),0)*(1-K$309)</f>
        <v>0</v>
      </c>
      <c r="L237" s="50">
        <f>+IFERROR(HLOOKUP(L4,'סקרי נכסים-יתרות פתיחה'!$2:$110,38,0),0)-IFERROR(HLOOKUP(L4,'סקרי נכסים-יתרות פתיחה'!$2:$110,96,0),0)*(1-L$309)</f>
        <v>0</v>
      </c>
      <c r="M237" s="50">
        <f>+IFERROR(HLOOKUP(M4,'סקרי נכסים-יתרות פתיחה'!$2:$110,38,0),0)-IFERROR(HLOOKUP(M4,'סקרי נכסים-יתרות פתיחה'!$2:$110,96,0),0)*(1-M$309)</f>
        <v>12617142.857142856</v>
      </c>
      <c r="N237" s="50">
        <f>+IFERROR(HLOOKUP(N4,'סקרי נכסים-יתרות פתיחה'!$2:$110,38,0),0)-IFERROR(HLOOKUP(N4,'סקרי נכסים-יתרות פתיחה'!$2:$110,96,0),0)*(1-N$309)</f>
        <v>14528034.742857143</v>
      </c>
      <c r="O237" s="50">
        <f>+IFERROR(HLOOKUP(O4,'סקרי נכסים-יתרות פתיחה'!$2:$110,38,0),0)-IFERROR(HLOOKUP(O4,'סקרי נכסים-יתרות פתיחה'!$2:$110,96,0),0)*(1-O$309)</f>
        <v>0</v>
      </c>
      <c r="P237" s="50">
        <f>+IFERROR(HLOOKUP(P4,'סקרי נכסים-יתרות פתיחה'!$2:$110,38,0),0)-IFERROR(HLOOKUP(P4,'סקרי נכסים-יתרות פתיחה'!$2:$110,96,0),0)*(1-P$309)</f>
        <v>0</v>
      </c>
      <c r="Q237" s="50">
        <f>+IFERROR(HLOOKUP(Q4,'סקרי נכסים-יתרות פתיחה'!$2:$110,38,0),0)-IFERROR(HLOOKUP(Q4,'סקרי נכסים-יתרות פתיחה'!$2:$110,96,0),0)*(1-Q$309)</f>
        <v>0</v>
      </c>
      <c r="R237" s="50">
        <f>+IFERROR(HLOOKUP(R4,'סקרי נכסים-יתרות פתיחה'!$2:$110,38,0),0)-IFERROR(HLOOKUP(R4,'סקרי נכסים-יתרות פתיחה'!$2:$110,96,0),0)*(1-R$309)</f>
        <v>0</v>
      </c>
      <c r="S237" s="50">
        <f>+IFERROR(HLOOKUP(S4,'סקרי נכסים-יתרות פתיחה'!$2:$110,38,0),0)-IFERROR(HLOOKUP(S4,'סקרי נכסים-יתרות פתיחה'!$2:$110,96,0),0)*(1-S$309)</f>
        <v>0</v>
      </c>
      <c r="T237" s="50">
        <f>+IFERROR(HLOOKUP(T4,'סקרי נכסים-יתרות פתיחה'!$2:$110,38,0),0)-IFERROR(HLOOKUP(T4,'סקרי נכסים-יתרות פתיחה'!$2:$110,96,0),0)*(1-T$309)</f>
        <v>0</v>
      </c>
      <c r="U237" s="50">
        <f>+IFERROR(HLOOKUP(U4,'סקרי נכסים-יתרות פתיחה'!$2:$110,38,0),0)-IFERROR(HLOOKUP(U4,'סקרי נכסים-יתרות פתיחה'!$2:$110,96,0),0)*(1-U$309)</f>
        <v>1767506.2857142857</v>
      </c>
      <c r="V237" s="50">
        <f>+IFERROR(HLOOKUP(V4,'סקרי נכסים-יתרות פתיחה'!$2:$110,38,0),0)-IFERROR(HLOOKUP(V4,'סקרי נכסים-יתרות פתיחה'!$2:$110,96,0),0)*(1-V$309)</f>
        <v>0</v>
      </c>
      <c r="W237" s="50">
        <f>+IFERROR(HLOOKUP(W4,'סקרי נכסים-יתרות פתיחה'!$2:$110,38,0),0)-IFERROR(HLOOKUP(W4,'סקרי נכסים-יתרות פתיחה'!$2:$110,96,0),0)*(1-W$309)</f>
        <v>0</v>
      </c>
      <c r="X237" s="50">
        <f>+IFERROR(HLOOKUP(X4,'סקרי נכסים-יתרות פתיחה'!$2:$110,38,0),0)-IFERROR(HLOOKUP(X4,'סקרי נכסים-יתרות פתיחה'!$2:$110,96,0),0)*(1-X$309)</f>
        <v>0</v>
      </c>
      <c r="Y237" s="50">
        <f>+IFERROR(HLOOKUP(Y4,'סקרי נכסים-יתרות פתיחה'!$2:$110,38,0),0)-IFERROR(HLOOKUP(Y4,'סקרי נכסים-יתרות פתיחה'!$2:$110,96,0),0)*(1-Y$309)</f>
        <v>0</v>
      </c>
      <c r="Z237" s="50">
        <f>+IFERROR(HLOOKUP(Z4,'סקרי נכסים-יתרות פתיחה'!$2:$110,38,0),0)-IFERROR(HLOOKUP(Z4,'סקרי נכסים-יתרות פתיחה'!$2:$110,96,0),0)*(1-Z$309)</f>
        <v>0</v>
      </c>
      <c r="AA237" s="50">
        <f>+IFERROR(HLOOKUP(AA4,'סקרי נכסים-יתרות פתיחה'!$2:$110,38,0),0)-IFERROR(HLOOKUP(AA4,'סקרי נכסים-יתרות פתיחה'!$2:$110,96,0),0)*(1-AA$309)</f>
        <v>0</v>
      </c>
      <c r="AB237" s="50">
        <f>+IFERROR(HLOOKUP(AB4,'סקרי נכסים-יתרות פתיחה'!$2:$110,38,0),0)-IFERROR(HLOOKUP(AB4,'סקרי נכסים-יתרות פתיחה'!$2:$110,96,0),0)*(1-AB$309)</f>
        <v>5610971.4285714282</v>
      </c>
      <c r="AC237" s="50">
        <f>+IFERROR(HLOOKUP(AC4,'סקרי נכסים-יתרות פתיחה'!$2:$110,38,0),0)-IFERROR(HLOOKUP(AC4,'סקרי נכסים-יתרות פתיחה'!$2:$110,96,0),0)*(1-AC$309)</f>
        <v>0</v>
      </c>
      <c r="AD237" s="50">
        <f>+IFERROR(HLOOKUP(AD4,'סקרי נכסים-יתרות פתיחה'!$2:$110,38,0),0)-IFERROR(HLOOKUP(AD4,'סקרי נכסים-יתרות פתיחה'!$2:$110,96,0),0)*(1-AD$309)</f>
        <v>0</v>
      </c>
      <c r="AE237" s="50">
        <f>+IFERROR(HLOOKUP(AE4,'סקרי נכסים-יתרות פתיחה'!$2:$110,38,0),0)-IFERROR(HLOOKUP(AE4,'סקרי נכסים-יתרות פתיחה'!$2:$110,96,0),0)*(1-AE$309)</f>
        <v>19900766.590476189</v>
      </c>
      <c r="AF237" s="50">
        <f>+IFERROR(HLOOKUP(AF4,'סקרי נכסים-יתרות פתיחה'!$2:$110,38,0),0)-IFERROR(HLOOKUP(AF4,'סקרי נכסים-יתרות פתיחה'!$2:$110,96,0),0)*(1-AF$309)</f>
        <v>0</v>
      </c>
      <c r="AG237" s="50">
        <f>+IFERROR(HLOOKUP(AG4,'סקרי נכסים-יתרות פתיחה'!$2:$110,38,0),0)-IFERROR(HLOOKUP(AG4,'סקרי נכסים-יתרות פתיחה'!$2:$110,96,0),0)*(1-AG$309)</f>
        <v>0</v>
      </c>
      <c r="AH237" s="50">
        <f>+IFERROR(HLOOKUP(AH4,'סקרי נכסים-יתרות פתיחה'!$2:$110,38,0),0)-IFERROR(HLOOKUP(AH4,'סקרי נכסים-יתרות פתיחה'!$2:$110,96,0),0)*(1-AH$309)</f>
        <v>824100</v>
      </c>
      <c r="AI237" s="50">
        <f>+IFERROR(HLOOKUP(AI4,'סקרי נכסים-יתרות פתיחה'!$2:$110,38,0),0)-IFERROR(HLOOKUP(AI4,'סקרי נכסים-יתרות פתיחה'!$2:$110,96,0),0)*(1-AI$309)</f>
        <v>0</v>
      </c>
      <c r="AJ237" s="50">
        <f>+IFERROR(HLOOKUP(AJ4,'סקרי נכסים-יתרות פתיחה'!$2:$110,38,0),0)-IFERROR(HLOOKUP(AJ4,'סקרי נכסים-יתרות פתיחה'!$2:$110,96,0),0)*(1-AJ$309)</f>
        <v>1406491.4285714286</v>
      </c>
      <c r="AK237" s="50">
        <f>+IFERROR(HLOOKUP(AK4,'סקרי נכסים-יתרות פתיחה'!$2:$110,38,0),0)-IFERROR(HLOOKUP(AK4,'סקרי נכסים-יתרות פתיחה'!$2:$110,96,0),0)*(1-AK$309)</f>
        <v>0</v>
      </c>
      <c r="AL237" s="50">
        <f>+IFERROR(HLOOKUP(AL4,'סקרי נכסים-יתרות פתיחה'!$2:$110,38,0),0)-IFERROR(HLOOKUP(AL4,'סקרי נכסים-יתרות פתיחה'!$2:$110,96,0),0)*(1-AL$309)</f>
        <v>0</v>
      </c>
      <c r="AM237" s="50">
        <f>+IFERROR(HLOOKUP(AM4,'סקרי נכסים-יתרות פתיחה'!$2:$110,38,0),0)-IFERROR(HLOOKUP(AM4,'סקרי נכסים-יתרות פתיחה'!$2:$110,96,0),0)*(1-AM$309)</f>
        <v>714720.18095238099</v>
      </c>
      <c r="AN237" s="50">
        <f>+IFERROR(HLOOKUP(AN4,'סקרי נכסים-יתרות פתיחה'!$2:$110,38,0),0)-IFERROR(HLOOKUP(AN4,'סקרי נכסים-יתרות פתיחה'!$2:$110,96,0),0)*(1-AN$309)</f>
        <v>0</v>
      </c>
      <c r="AO237" s="50">
        <f>+IFERROR(HLOOKUP(AO4,'סקרי נכסים-יתרות פתיחה'!$2:$110,38,0),0)-IFERROR(HLOOKUP(AO4,'סקרי נכסים-יתרות פתיחה'!$2:$110,96,0),0)*(1-AO$309)</f>
        <v>0</v>
      </c>
      <c r="AP237" s="50">
        <f>+IFERROR(HLOOKUP(AP4,'סקרי נכסים-יתרות פתיחה'!$2:$110,38,0),0)-IFERROR(HLOOKUP(AP4,'סקרי נכסים-יתרות פתיחה'!$2:$110,96,0),0)*(1-AP$309)</f>
        <v>0</v>
      </c>
      <c r="AQ237" s="50">
        <f>+IFERROR(HLOOKUP(AQ4,'סקרי נכסים-יתרות פתיחה'!$2:$110,38,0),0)-IFERROR(HLOOKUP(AQ4,'סקרי נכסים-יתרות פתיחה'!$2:$110,96,0),0)*(1-AQ$309)</f>
        <v>0</v>
      </c>
      <c r="AR237" s="50">
        <f>+IFERROR(HLOOKUP(AR4,'סקרי נכסים-יתרות פתיחה'!$2:$110,38,0),0)-IFERROR(HLOOKUP(AR4,'סקרי נכסים-יתרות פתיחה'!$2:$110,96,0),0)*(1-AR$309)</f>
        <v>0</v>
      </c>
      <c r="AS237" s="50">
        <f>+IFERROR(HLOOKUP(AS4,'סקרי נכסים-יתרות פתיחה'!$2:$110,38,0),0)-IFERROR(HLOOKUP(AS4,'סקרי נכסים-יתרות פתיחה'!$2:$110,96,0),0)*(1-AS$309)</f>
        <v>0</v>
      </c>
      <c r="AT237" s="50">
        <f>+IFERROR(HLOOKUP(AT4,'סקרי נכסים-יתרות פתיחה'!$2:$110,38,0),0)-IFERROR(HLOOKUP(AT4,'סקרי נכסים-יתרות פתיחה'!$2:$110,96,0),0)*(1-AT$309)</f>
        <v>0</v>
      </c>
      <c r="AU237" s="50">
        <f>+IFERROR(HLOOKUP(AU4,'סקרי נכסים-יתרות פתיחה'!$2:$110,38,0),0)-IFERROR(HLOOKUP(AU4,'סקרי נכסים-יתרות פתיחה'!$2:$110,96,0),0)*(1-AU$309)</f>
        <v>7293080.333333333</v>
      </c>
      <c r="AV237" s="50">
        <f>+IFERROR(HLOOKUP(AV4,'סקרי נכסים-יתרות פתיחה'!$2:$110,38,0),0)-IFERROR(HLOOKUP(AV4,'סקרי נכסים-יתרות פתיחה'!$2:$110,96,0),0)*(1-AV$309)</f>
        <v>0</v>
      </c>
      <c r="AW237" s="50">
        <f>+IFERROR(HLOOKUP(AW4,'סקרי נכסים-יתרות פתיחה'!$2:$110,38,0),0)-IFERROR(HLOOKUP(AW4,'סקרי נכסים-יתרות פתיחה'!$2:$110,96,0),0)*(1-AW$309)</f>
        <v>0</v>
      </c>
      <c r="AX237" s="50">
        <f>+IFERROR(HLOOKUP(AX4,'סקרי נכסים-יתרות פתיחה'!$2:$110,38,0),0)-IFERROR(HLOOKUP(AX4,'סקרי נכסים-יתרות פתיחה'!$2:$110,96,0),0)*(1-AX$309)</f>
        <v>0</v>
      </c>
      <c r="AY237" s="50">
        <f>+IFERROR(HLOOKUP(AY4,'סקרי נכסים-יתרות פתיחה'!$2:$110,38,0),0)-IFERROR(HLOOKUP(AY4,'סקרי נכסים-יתרות פתיחה'!$2:$110,96,0),0)*(1-AY$309)</f>
        <v>0</v>
      </c>
      <c r="AZ237" s="50">
        <f>+IFERROR(HLOOKUP(AZ4,'סקרי נכסים-יתרות פתיחה'!$2:$110,38,0),0)-IFERROR(HLOOKUP(AZ4,'סקרי נכסים-יתרות פתיחה'!$2:$110,96,0),0)*(1-AZ$309)</f>
        <v>0</v>
      </c>
      <c r="BA237" s="50">
        <f>+IFERROR(HLOOKUP(BA4,'סקרי נכסים-יתרות פתיחה'!$2:$110,38,0),0)-IFERROR(HLOOKUP(BA4,'סקרי נכסים-יתרות פתיחה'!$2:$110,96,0),0)*(1-BA$309)</f>
        <v>0</v>
      </c>
      <c r="BB237" s="50">
        <f>+IFERROR(HLOOKUP(BB4,'סקרי נכסים-יתרות פתיחה'!$2:$110,38,0),0)-IFERROR(HLOOKUP(BB4,'סקרי נכסים-יתרות פתיחה'!$2:$110,96,0),0)*(1-BB$309)</f>
        <v>0</v>
      </c>
      <c r="BC237" s="50">
        <f>+IFERROR(HLOOKUP(BC4,'סקרי נכסים-יתרות פתיחה'!$2:$110,38,0),0)-IFERROR(HLOOKUP(BC4,'סקרי נכסים-יתרות פתיחה'!$2:$110,96,0),0)*(1-BC$309)</f>
        <v>0</v>
      </c>
      <c r="BD237" s="50">
        <f>+IFERROR(HLOOKUP(BD4,'סקרי נכסים-יתרות פתיחה'!$2:$110,38,0),0)-IFERROR(HLOOKUP(BD4,'סקרי נכסים-יתרות פתיחה'!$2:$110,96,0),0)*(1-BD$309)</f>
        <v>0</v>
      </c>
      <c r="BE237" s="50">
        <f>+IFERROR(HLOOKUP(BE4,'סקרי נכסים-יתרות פתיחה'!$2:$110,38,0),0)-IFERROR(HLOOKUP(BE4,'סקרי נכסים-יתרות פתיחה'!$2:$110,96,0),0)*(1-BE$309)</f>
        <v>0</v>
      </c>
      <c r="BF237" s="50">
        <f>+IFERROR(HLOOKUP(BF4,'סקרי נכסים-יתרות פתיחה'!$2:$110,38,0),0)-IFERROR(HLOOKUP(BF4,'סקרי נכסים-יתרות פתיחה'!$2:$110,96,0),0)*(1-BF$309)</f>
        <v>0</v>
      </c>
    </row>
    <row r="238" spans="1:58" x14ac:dyDescent="0.2">
      <c r="B238" s="1">
        <v>2</v>
      </c>
      <c r="C238" s="50">
        <f>+IFERROR(HLOOKUP(C5,'סקרי נכסים-יתרות פתיחה'!$2:$110,38,0),0)-IFERROR(HLOOKUP(C5,'סקרי נכסים-יתרות פתיחה'!$2:$110,96,0),0)*(1-C$309)</f>
        <v>0</v>
      </c>
      <c r="D238" s="50">
        <f>+IFERROR(HLOOKUP(D5,'סקרי נכסים-יתרות פתיחה'!$2:$110,38,0),0)-IFERROR(HLOOKUP(D5,'סקרי נכסים-יתרות פתיחה'!$2:$110,96,0),0)*(1-D$309)</f>
        <v>0</v>
      </c>
      <c r="E238" s="50">
        <f>+IFERROR(HLOOKUP(E5,'סקרי נכסים-יתרות פתיחה'!$2:$110,38,0),0)-IFERROR(HLOOKUP(E5,'סקרי נכסים-יתרות פתיחה'!$2:$110,96,0),0)*(1-E$309)</f>
        <v>0</v>
      </c>
      <c r="F238" s="50">
        <f>+IFERROR(HLOOKUP(F5,'סקרי נכסים-יתרות פתיחה'!$2:$110,38,0),0)-IFERROR(HLOOKUP(F5,'סקרי נכסים-יתרות פתיחה'!$2:$110,96,0),0)*(1-F$309)</f>
        <v>0</v>
      </c>
      <c r="G238" s="50">
        <f>+IFERROR(HLOOKUP(G5,'סקרי נכסים-יתרות פתיחה'!$2:$110,38,0),0)-IFERROR(HLOOKUP(G5,'סקרי נכסים-יתרות פתיחה'!$2:$110,96,0),0)*(1-G$309)</f>
        <v>0</v>
      </c>
      <c r="H238" s="50">
        <f>+IFERROR(HLOOKUP(H5,'סקרי נכסים-יתרות פתיחה'!$2:$110,38,0),0)-IFERROR(HLOOKUP(H5,'סקרי נכסים-יתרות פתיחה'!$2:$110,96,0),0)*(1-H$309)</f>
        <v>0</v>
      </c>
      <c r="I238" s="50">
        <f>+IFERROR(HLOOKUP(I5,'סקרי נכסים-יתרות פתיחה'!$2:$110,38,0),0)-IFERROR(HLOOKUP(I5,'סקרי נכסים-יתרות פתיחה'!$2:$110,96,0),0)*(1-I$309)</f>
        <v>0</v>
      </c>
      <c r="J238" s="50">
        <f>+IFERROR(HLOOKUP(J5,'סקרי נכסים-יתרות פתיחה'!$2:$110,38,0),0)-IFERROR(HLOOKUP(J5,'סקרי נכסים-יתרות פתיחה'!$2:$110,96,0),0)*(1-J$309)</f>
        <v>0</v>
      </c>
      <c r="K238" s="50">
        <f>+IFERROR(HLOOKUP(K5,'סקרי נכסים-יתרות פתיחה'!$2:$110,38,0),0)-IFERROR(HLOOKUP(K5,'סקרי נכסים-יתרות פתיחה'!$2:$110,96,0),0)*(1-K$309)</f>
        <v>0</v>
      </c>
      <c r="L238" s="50">
        <f>+IFERROR(HLOOKUP(L5,'סקרי נכסים-יתרות פתיחה'!$2:$110,38,0),0)-IFERROR(HLOOKUP(L5,'סקרי נכסים-יתרות פתיחה'!$2:$110,96,0),0)*(1-L$309)</f>
        <v>0</v>
      </c>
      <c r="M238" s="50">
        <f>+IFERROR(HLOOKUP(M5,'סקרי נכסים-יתרות פתיחה'!$2:$110,38,0),0)-IFERROR(HLOOKUP(M5,'סקרי נכסים-יתרות פתיחה'!$2:$110,96,0),0)*(1-M$309)</f>
        <v>0</v>
      </c>
      <c r="N238" s="50">
        <f>+IFERROR(HLOOKUP(N5,'סקרי נכסים-יתרות פתיחה'!$2:$110,38,0),0)-IFERROR(HLOOKUP(N5,'סקרי נכסים-יתרות פתיחה'!$2:$110,96,0),0)*(1-N$309)</f>
        <v>0</v>
      </c>
      <c r="O238" s="50">
        <f>+IFERROR(HLOOKUP(O5,'סקרי נכסים-יתרות פתיחה'!$2:$110,38,0),0)-IFERROR(HLOOKUP(O5,'סקרי נכסים-יתרות פתיחה'!$2:$110,96,0),0)*(1-O$309)</f>
        <v>0</v>
      </c>
      <c r="P238" s="50">
        <f>+IFERROR(HLOOKUP(P5,'סקרי נכסים-יתרות פתיחה'!$2:$110,38,0),0)-IFERROR(HLOOKUP(P5,'סקרי נכסים-יתרות פתיחה'!$2:$110,96,0),0)*(1-P$309)</f>
        <v>0</v>
      </c>
      <c r="Q238" s="50">
        <f>+IFERROR(HLOOKUP(Q5,'סקרי נכסים-יתרות פתיחה'!$2:$110,38,0),0)-IFERROR(HLOOKUP(Q5,'סקרי נכסים-יתרות פתיחה'!$2:$110,96,0),0)*(1-Q$309)</f>
        <v>0</v>
      </c>
      <c r="R238" s="50">
        <f>+IFERROR(HLOOKUP(R5,'סקרי נכסים-יתרות פתיחה'!$2:$110,38,0),0)-IFERROR(HLOOKUP(R5,'סקרי נכסים-יתרות פתיחה'!$2:$110,96,0),0)*(1-R$309)</f>
        <v>0</v>
      </c>
      <c r="S238" s="50">
        <f>+IFERROR(HLOOKUP(S5,'סקרי נכסים-יתרות פתיחה'!$2:$110,38,0),0)-IFERROR(HLOOKUP(S5,'סקרי נכסים-יתרות פתיחה'!$2:$110,96,0),0)*(1-S$309)</f>
        <v>0</v>
      </c>
      <c r="T238" s="50">
        <f>+IFERROR(HLOOKUP(T5,'סקרי נכסים-יתרות פתיחה'!$2:$110,38,0),0)-IFERROR(HLOOKUP(T5,'סקרי נכסים-יתרות פתיחה'!$2:$110,96,0),0)*(1-T$309)</f>
        <v>0</v>
      </c>
      <c r="U238" s="50">
        <f>+IFERROR(HLOOKUP(U5,'סקרי נכסים-יתרות פתיחה'!$2:$110,38,0),0)-IFERROR(HLOOKUP(U5,'סקרי נכסים-יתרות פתיחה'!$2:$110,96,0),0)*(1-U$309)</f>
        <v>0</v>
      </c>
      <c r="V238" s="50">
        <f>+IFERROR(HLOOKUP(V5,'סקרי נכסים-יתרות פתיחה'!$2:$110,38,0),0)-IFERROR(HLOOKUP(V5,'סקרי נכסים-יתרות פתיחה'!$2:$110,96,0),0)*(1-V$309)</f>
        <v>0</v>
      </c>
      <c r="W238" s="50">
        <f>+IFERROR(HLOOKUP(W5,'סקרי נכסים-יתרות פתיחה'!$2:$110,38,0),0)-IFERROR(HLOOKUP(W5,'סקרי נכסים-יתרות פתיחה'!$2:$110,96,0),0)*(1-W$309)</f>
        <v>0</v>
      </c>
      <c r="X238" s="50">
        <f>+IFERROR(HLOOKUP(X5,'סקרי נכסים-יתרות פתיחה'!$2:$110,38,0),0)-IFERROR(HLOOKUP(X5,'סקרי נכסים-יתרות פתיחה'!$2:$110,96,0),0)*(1-X$309)</f>
        <v>0</v>
      </c>
      <c r="Y238" s="50">
        <f>+IFERROR(HLOOKUP(Y5,'סקרי נכסים-יתרות פתיחה'!$2:$110,38,0),0)-IFERROR(HLOOKUP(Y5,'סקרי נכסים-יתרות פתיחה'!$2:$110,96,0),0)*(1-Y$309)</f>
        <v>0</v>
      </c>
      <c r="Z238" s="50">
        <f>+IFERROR(HLOOKUP(Z5,'סקרי נכסים-יתרות פתיחה'!$2:$110,38,0),0)-IFERROR(HLOOKUP(Z5,'סקרי נכסים-יתרות פתיחה'!$2:$110,96,0),0)*(1-Z$309)</f>
        <v>0</v>
      </c>
      <c r="AA238" s="50">
        <f>+IFERROR(HLOOKUP(AA5,'סקרי נכסים-יתרות פתיחה'!$2:$110,38,0),0)-IFERROR(HLOOKUP(AA5,'סקרי נכסים-יתרות פתיחה'!$2:$110,96,0),0)*(1-AA$309)</f>
        <v>0</v>
      </c>
      <c r="AB238" s="50">
        <f>+IFERROR(HLOOKUP(AB5,'סקרי נכסים-יתרות פתיחה'!$2:$110,38,0),0)-IFERROR(HLOOKUP(AB5,'סקרי נכסים-יתרות פתיחה'!$2:$110,96,0),0)*(1-AB$309)</f>
        <v>0</v>
      </c>
      <c r="AC238" s="50">
        <f>+IFERROR(HLOOKUP(AC5,'סקרי נכסים-יתרות פתיחה'!$2:$110,38,0),0)-IFERROR(HLOOKUP(AC5,'סקרי נכסים-יתרות פתיחה'!$2:$110,96,0),0)*(1-AC$309)</f>
        <v>0</v>
      </c>
      <c r="AD238" s="50">
        <f>+IFERROR(HLOOKUP(AD5,'סקרי נכסים-יתרות פתיחה'!$2:$110,38,0),0)-IFERROR(HLOOKUP(AD5,'סקרי נכסים-יתרות פתיחה'!$2:$110,96,0),0)*(1-AD$309)</f>
        <v>0</v>
      </c>
      <c r="AE238" s="50">
        <f>+IFERROR(HLOOKUP(AE5,'סקרי נכסים-יתרות פתיחה'!$2:$110,38,0),0)-IFERROR(HLOOKUP(AE5,'סקרי נכסים-יתרות פתיחה'!$2:$110,96,0),0)*(1-AE$309)</f>
        <v>0</v>
      </c>
      <c r="AF238" s="50">
        <f>+IFERROR(HLOOKUP(AF5,'סקרי נכסים-יתרות פתיחה'!$2:$110,38,0),0)-IFERROR(HLOOKUP(AF5,'סקרי נכסים-יתרות פתיחה'!$2:$110,96,0),0)*(1-AF$309)</f>
        <v>0</v>
      </c>
      <c r="AG238" s="50">
        <f>+IFERROR(HLOOKUP(AG5,'סקרי נכסים-יתרות פתיחה'!$2:$110,38,0),0)-IFERROR(HLOOKUP(AG5,'סקרי נכסים-יתרות פתיחה'!$2:$110,96,0),0)*(1-AG$309)</f>
        <v>0</v>
      </c>
      <c r="AH238" s="50">
        <f>+IFERROR(HLOOKUP(AH5,'סקרי נכסים-יתרות פתיחה'!$2:$110,38,0),0)-IFERROR(HLOOKUP(AH5,'סקרי נכסים-יתרות פתיחה'!$2:$110,96,0),0)*(1-AH$309)</f>
        <v>0</v>
      </c>
      <c r="AI238" s="50">
        <f>+IFERROR(HLOOKUP(AI5,'סקרי נכסים-יתרות פתיחה'!$2:$110,38,0),0)-IFERROR(HLOOKUP(AI5,'סקרי נכסים-יתרות פתיחה'!$2:$110,96,0),0)*(1-AI$309)</f>
        <v>0</v>
      </c>
      <c r="AJ238" s="50">
        <f>+IFERROR(HLOOKUP(AJ5,'סקרי נכסים-יתרות פתיחה'!$2:$110,38,0),0)-IFERROR(HLOOKUP(AJ5,'סקרי נכסים-יתרות פתיחה'!$2:$110,96,0),0)*(1-AJ$309)</f>
        <v>0</v>
      </c>
      <c r="AK238" s="50">
        <f>+IFERROR(HLOOKUP(AK5,'סקרי נכסים-יתרות פתיחה'!$2:$110,38,0),0)-IFERROR(HLOOKUP(AK5,'סקרי נכסים-יתרות פתיחה'!$2:$110,96,0),0)*(1-AK$309)</f>
        <v>0</v>
      </c>
      <c r="AL238" s="50">
        <f>+IFERROR(HLOOKUP(AL5,'סקרי נכסים-יתרות פתיחה'!$2:$110,38,0),0)-IFERROR(HLOOKUP(AL5,'סקרי נכסים-יתרות פתיחה'!$2:$110,96,0),0)*(1-AL$309)</f>
        <v>0</v>
      </c>
      <c r="AM238" s="50">
        <f>+IFERROR(HLOOKUP(AM5,'סקרי נכסים-יתרות פתיחה'!$2:$110,38,0),0)-IFERROR(HLOOKUP(AM5,'סקרי נכסים-יתרות פתיחה'!$2:$110,96,0),0)*(1-AM$309)</f>
        <v>0</v>
      </c>
      <c r="AN238" s="50">
        <f>+IFERROR(HLOOKUP(AN5,'סקרי נכסים-יתרות פתיחה'!$2:$110,38,0),0)-IFERROR(HLOOKUP(AN5,'סקרי נכסים-יתרות פתיחה'!$2:$110,96,0),0)*(1-AN$309)</f>
        <v>0</v>
      </c>
      <c r="AO238" s="50">
        <f>+IFERROR(HLOOKUP(AO5,'סקרי נכסים-יתרות פתיחה'!$2:$110,38,0),0)-IFERROR(HLOOKUP(AO5,'סקרי נכסים-יתרות פתיחה'!$2:$110,96,0),0)*(1-AO$309)</f>
        <v>0</v>
      </c>
      <c r="AP238" s="50">
        <f>+IFERROR(HLOOKUP(AP5,'סקרי נכסים-יתרות פתיחה'!$2:$110,38,0),0)-IFERROR(HLOOKUP(AP5,'סקרי נכסים-יתרות פתיחה'!$2:$110,96,0),0)*(1-AP$309)</f>
        <v>0</v>
      </c>
      <c r="AQ238" s="50">
        <f>+IFERROR(HLOOKUP(AQ5,'סקרי נכסים-יתרות פתיחה'!$2:$110,38,0),0)-IFERROR(HLOOKUP(AQ5,'סקרי נכסים-יתרות פתיחה'!$2:$110,96,0),0)*(1-AQ$309)</f>
        <v>0</v>
      </c>
      <c r="AR238" s="50">
        <f>+IFERROR(HLOOKUP(AR5,'סקרי נכסים-יתרות פתיחה'!$2:$110,38,0),0)-IFERROR(HLOOKUP(AR5,'סקרי נכסים-יתרות פתיחה'!$2:$110,96,0),0)*(1-AR$309)</f>
        <v>0</v>
      </c>
      <c r="AS238" s="50">
        <f>+IFERROR(HLOOKUP(AS5,'סקרי נכסים-יתרות פתיחה'!$2:$110,38,0),0)-IFERROR(HLOOKUP(AS5,'סקרי נכסים-יתרות פתיחה'!$2:$110,96,0),0)*(1-AS$309)</f>
        <v>0</v>
      </c>
      <c r="AT238" s="50">
        <f>+IFERROR(HLOOKUP(AT5,'סקרי נכסים-יתרות פתיחה'!$2:$110,38,0),0)-IFERROR(HLOOKUP(AT5,'סקרי נכסים-יתרות פתיחה'!$2:$110,96,0),0)*(1-AT$309)</f>
        <v>0</v>
      </c>
      <c r="AU238" s="50">
        <f>+IFERROR(HLOOKUP(AU5,'סקרי נכסים-יתרות פתיחה'!$2:$110,38,0),0)-IFERROR(HLOOKUP(AU5,'סקרי נכסים-יתרות פתיחה'!$2:$110,96,0),0)*(1-AU$309)</f>
        <v>0</v>
      </c>
      <c r="AV238" s="50">
        <f>+IFERROR(HLOOKUP(AV5,'סקרי נכסים-יתרות פתיחה'!$2:$110,38,0),0)-IFERROR(HLOOKUP(AV5,'סקרי נכסים-יתרות פתיחה'!$2:$110,96,0),0)*(1-AV$309)</f>
        <v>0</v>
      </c>
      <c r="AW238" s="50">
        <f>+IFERROR(HLOOKUP(AW5,'סקרי נכסים-יתרות פתיחה'!$2:$110,38,0),0)-IFERROR(HLOOKUP(AW5,'סקרי נכסים-יתרות פתיחה'!$2:$110,96,0),0)*(1-AW$309)</f>
        <v>0</v>
      </c>
      <c r="AX238" s="50">
        <f>+IFERROR(HLOOKUP(AX5,'סקרי נכסים-יתרות פתיחה'!$2:$110,38,0),0)-IFERROR(HLOOKUP(AX5,'סקרי נכסים-יתרות פתיחה'!$2:$110,96,0),0)*(1-AX$309)</f>
        <v>652375</v>
      </c>
      <c r="AY238" s="50">
        <f>+IFERROR(HLOOKUP(AY5,'סקרי נכסים-יתרות פתיחה'!$2:$110,38,0),0)-IFERROR(HLOOKUP(AY5,'סקרי נכסים-יתרות פתיחה'!$2:$110,96,0),0)*(1-AY$309)</f>
        <v>0</v>
      </c>
      <c r="AZ238" s="50">
        <f>+IFERROR(HLOOKUP(AZ5,'סקרי נכסים-יתרות פתיחה'!$2:$110,38,0),0)-IFERROR(HLOOKUP(AZ5,'סקרי נכסים-יתרות פתיחה'!$2:$110,96,0),0)*(1-AZ$309)</f>
        <v>0</v>
      </c>
      <c r="BA238" s="50">
        <f>+IFERROR(HLOOKUP(BA5,'סקרי נכסים-יתרות פתיחה'!$2:$110,38,0),0)-IFERROR(HLOOKUP(BA5,'סקרי נכסים-יתרות פתיחה'!$2:$110,96,0),0)*(1-BA$309)</f>
        <v>2398232.3809523811</v>
      </c>
      <c r="BB238" s="50">
        <f>+IFERROR(HLOOKUP(BB5,'סקרי נכסים-יתרות פתיחה'!$2:$110,38,0),0)-IFERROR(HLOOKUP(BB5,'סקרי נכסים-יתרות פתיחה'!$2:$110,96,0),0)*(1-BB$309)</f>
        <v>0</v>
      </c>
      <c r="BC238" s="50">
        <f>+IFERROR(HLOOKUP(BC5,'סקרי נכסים-יתרות פתיחה'!$2:$110,38,0),0)-IFERROR(HLOOKUP(BC5,'סקרי נכסים-יתרות פתיחה'!$2:$110,96,0),0)*(1-BC$309)</f>
        <v>0</v>
      </c>
      <c r="BD238" s="50">
        <f>+IFERROR(HLOOKUP(BD5,'סקרי נכסים-יתרות פתיחה'!$2:$110,38,0),0)-IFERROR(HLOOKUP(BD5,'סקרי נכסים-יתרות פתיחה'!$2:$110,96,0),0)*(1-BD$309)</f>
        <v>0</v>
      </c>
      <c r="BE238" s="50">
        <f>+IFERROR(HLOOKUP(BE5,'סקרי נכסים-יתרות פתיחה'!$2:$110,38,0),0)-IFERROR(HLOOKUP(BE5,'סקרי נכסים-יתרות פתיחה'!$2:$110,96,0),0)*(1-BE$309)</f>
        <v>0</v>
      </c>
      <c r="BF238" s="50">
        <f>+IFERROR(HLOOKUP(BF5,'סקרי נכסים-יתרות פתיחה'!$2:$110,38,0),0)-IFERROR(HLOOKUP(BF5,'סקרי נכסים-יתרות פתיחה'!$2:$110,96,0),0)*(1-BF$309)</f>
        <v>0</v>
      </c>
    </row>
    <row r="239" spans="1:58" x14ac:dyDescent="0.2">
      <c r="B239" s="1">
        <v>3</v>
      </c>
      <c r="C239" s="50">
        <f>+IFERROR(HLOOKUP(C6,'סקרי נכסים-יתרות פתיחה'!$2:$110,38,0),0)-IFERROR(HLOOKUP(C6,'סקרי נכסים-יתרות פתיחה'!$2:$110,96,0),0)*(1-C$309)</f>
        <v>0</v>
      </c>
      <c r="D239" s="50">
        <f>+IFERROR(HLOOKUP(D6,'סקרי נכסים-יתרות פתיחה'!$2:$110,38,0),0)-IFERROR(HLOOKUP(D6,'סקרי נכסים-יתרות פתיחה'!$2:$110,96,0),0)*(1-D$309)</f>
        <v>0</v>
      </c>
      <c r="E239" s="50">
        <f>+IFERROR(HLOOKUP(E6,'סקרי נכסים-יתרות פתיחה'!$2:$110,38,0),0)-IFERROR(HLOOKUP(E6,'סקרי נכסים-יתרות פתיחה'!$2:$110,96,0),0)*(1-E$309)</f>
        <v>0</v>
      </c>
      <c r="F239" s="50">
        <f>+IFERROR(HLOOKUP(F6,'סקרי נכסים-יתרות פתיחה'!$2:$110,38,0),0)-IFERROR(HLOOKUP(F6,'סקרי נכסים-יתרות פתיחה'!$2:$110,96,0),0)*(1-F$309)</f>
        <v>0</v>
      </c>
      <c r="G239" s="50">
        <f>+IFERROR(HLOOKUP(G6,'סקרי נכסים-יתרות פתיחה'!$2:$110,38,0),0)-IFERROR(HLOOKUP(G6,'סקרי נכסים-יתרות פתיחה'!$2:$110,96,0),0)*(1-G$309)</f>
        <v>0</v>
      </c>
      <c r="H239" s="50">
        <f>+IFERROR(HLOOKUP(H6,'סקרי נכסים-יתרות פתיחה'!$2:$110,38,0),0)-IFERROR(HLOOKUP(H6,'סקרי נכסים-יתרות פתיחה'!$2:$110,96,0),0)*(1-H$309)</f>
        <v>0</v>
      </c>
      <c r="I239" s="50">
        <f>+IFERROR(HLOOKUP(I6,'סקרי נכסים-יתרות פתיחה'!$2:$110,38,0),0)-IFERROR(HLOOKUP(I6,'סקרי נכסים-יתרות פתיחה'!$2:$110,96,0),0)*(1-I$309)</f>
        <v>0</v>
      </c>
      <c r="J239" s="50">
        <f>+IFERROR(HLOOKUP(J6,'סקרי נכסים-יתרות פתיחה'!$2:$110,38,0),0)-IFERROR(HLOOKUP(J6,'סקרי נכסים-יתרות פתיחה'!$2:$110,96,0),0)*(1-J$309)</f>
        <v>0</v>
      </c>
      <c r="K239" s="50">
        <f>+IFERROR(HLOOKUP(K6,'סקרי נכסים-יתרות פתיחה'!$2:$110,38,0),0)-IFERROR(HLOOKUP(K6,'סקרי נכסים-יתרות פתיחה'!$2:$110,96,0),0)*(1-K$309)</f>
        <v>0</v>
      </c>
      <c r="L239" s="50">
        <f>+IFERROR(HLOOKUP(L6,'סקרי נכסים-יתרות פתיחה'!$2:$110,38,0),0)-IFERROR(HLOOKUP(L6,'סקרי נכסים-יתרות פתיחה'!$2:$110,96,0),0)*(1-L$309)</f>
        <v>0</v>
      </c>
      <c r="M239" s="50">
        <f>+IFERROR(HLOOKUP(M6,'סקרי נכסים-יתרות פתיחה'!$2:$110,38,0),0)-IFERROR(HLOOKUP(M6,'סקרי נכסים-יתרות פתיחה'!$2:$110,96,0),0)*(1-M$309)</f>
        <v>0</v>
      </c>
      <c r="N239" s="50">
        <f>+IFERROR(HLOOKUP(N6,'סקרי נכסים-יתרות פתיחה'!$2:$110,38,0),0)-IFERROR(HLOOKUP(N6,'סקרי נכסים-יתרות פתיחה'!$2:$110,96,0),0)*(1-N$309)</f>
        <v>0</v>
      </c>
      <c r="O239" s="50">
        <f>+IFERROR(HLOOKUP(O6,'סקרי נכסים-יתרות פתיחה'!$2:$110,38,0),0)-IFERROR(HLOOKUP(O6,'סקרי נכסים-יתרות פתיחה'!$2:$110,96,0),0)*(1-O$309)</f>
        <v>0</v>
      </c>
      <c r="P239" s="50">
        <f>+IFERROR(HLOOKUP(P6,'סקרי נכסים-יתרות פתיחה'!$2:$110,38,0),0)-IFERROR(HLOOKUP(P6,'סקרי נכסים-יתרות פתיחה'!$2:$110,96,0),0)*(1-P$309)</f>
        <v>0</v>
      </c>
      <c r="Q239" s="50">
        <f>+IFERROR(HLOOKUP(Q6,'סקרי נכסים-יתרות פתיחה'!$2:$110,38,0),0)-IFERROR(HLOOKUP(Q6,'סקרי נכסים-יתרות פתיחה'!$2:$110,96,0),0)*(1-Q$309)</f>
        <v>0</v>
      </c>
      <c r="R239" s="50">
        <f>+IFERROR(HLOOKUP(R6,'סקרי נכסים-יתרות פתיחה'!$2:$110,38,0),0)-IFERROR(HLOOKUP(R6,'סקרי נכסים-יתרות פתיחה'!$2:$110,96,0),0)*(1-R$309)</f>
        <v>0</v>
      </c>
      <c r="S239" s="50">
        <f>+IFERROR(HLOOKUP(S6,'סקרי נכסים-יתרות פתיחה'!$2:$110,38,0),0)-IFERROR(HLOOKUP(S6,'סקרי נכסים-יתרות פתיחה'!$2:$110,96,0),0)*(1-S$309)</f>
        <v>0</v>
      </c>
      <c r="T239" s="50">
        <f>+IFERROR(HLOOKUP(T6,'סקרי נכסים-יתרות פתיחה'!$2:$110,38,0),0)-IFERROR(HLOOKUP(T6,'סקרי נכסים-יתרות פתיחה'!$2:$110,96,0),0)*(1-T$309)</f>
        <v>0</v>
      </c>
      <c r="U239" s="50">
        <f>+IFERROR(HLOOKUP(U6,'סקרי נכסים-יתרות פתיחה'!$2:$110,38,0),0)-IFERROR(HLOOKUP(U6,'סקרי נכסים-יתרות פתיחה'!$2:$110,96,0),0)*(1-U$309)</f>
        <v>0</v>
      </c>
      <c r="V239" s="50">
        <f>+IFERROR(HLOOKUP(V6,'סקרי נכסים-יתרות פתיחה'!$2:$110,38,0),0)-IFERROR(HLOOKUP(V6,'סקרי נכסים-יתרות פתיחה'!$2:$110,96,0),0)*(1-V$309)</f>
        <v>0</v>
      </c>
      <c r="W239" s="50">
        <f>+IFERROR(HLOOKUP(W6,'סקרי נכסים-יתרות פתיחה'!$2:$110,38,0),0)-IFERROR(HLOOKUP(W6,'סקרי נכסים-יתרות פתיחה'!$2:$110,96,0),0)*(1-W$309)</f>
        <v>0</v>
      </c>
      <c r="X239" s="50">
        <f>+IFERROR(HLOOKUP(X6,'סקרי נכסים-יתרות פתיחה'!$2:$110,38,0),0)-IFERROR(HLOOKUP(X6,'סקרי נכסים-יתרות פתיחה'!$2:$110,96,0),0)*(1-X$309)</f>
        <v>0</v>
      </c>
      <c r="Y239" s="50">
        <f>+IFERROR(HLOOKUP(Y6,'סקרי נכסים-יתרות פתיחה'!$2:$110,38,0),0)-IFERROR(HLOOKUP(Y6,'סקרי נכסים-יתרות פתיחה'!$2:$110,96,0),0)*(1-Y$309)</f>
        <v>0</v>
      </c>
      <c r="Z239" s="50">
        <f>+IFERROR(HLOOKUP(Z6,'סקרי נכסים-יתרות פתיחה'!$2:$110,38,0),0)-IFERROR(HLOOKUP(Z6,'סקרי נכסים-יתרות פתיחה'!$2:$110,96,0),0)*(1-Z$309)</f>
        <v>0</v>
      </c>
      <c r="AA239" s="50">
        <f>+IFERROR(HLOOKUP(AA6,'סקרי נכסים-יתרות פתיחה'!$2:$110,38,0),0)-IFERROR(HLOOKUP(AA6,'סקרי נכסים-יתרות פתיחה'!$2:$110,96,0),0)*(1-AA$309)</f>
        <v>0</v>
      </c>
      <c r="AB239" s="50">
        <f>+IFERROR(HLOOKUP(AB6,'סקרי נכסים-יתרות פתיחה'!$2:$110,38,0),0)-IFERROR(HLOOKUP(AB6,'סקרי נכסים-יתרות פתיחה'!$2:$110,96,0),0)*(1-AB$309)</f>
        <v>0</v>
      </c>
      <c r="AC239" s="50">
        <f>+IFERROR(HLOOKUP(AC6,'סקרי נכסים-יתרות פתיחה'!$2:$110,38,0),0)-IFERROR(HLOOKUP(AC6,'סקרי נכסים-יתרות פתיחה'!$2:$110,96,0),0)*(1-AC$309)</f>
        <v>0</v>
      </c>
      <c r="AD239" s="50">
        <f>+IFERROR(HLOOKUP(AD6,'סקרי נכסים-יתרות פתיחה'!$2:$110,38,0),0)-IFERROR(HLOOKUP(AD6,'סקרי נכסים-יתרות פתיחה'!$2:$110,96,0),0)*(1-AD$309)</f>
        <v>0</v>
      </c>
      <c r="AE239" s="50">
        <f>+IFERROR(HLOOKUP(AE6,'סקרי נכסים-יתרות פתיחה'!$2:$110,38,0),0)-IFERROR(HLOOKUP(AE6,'סקרי נכסים-יתרות פתיחה'!$2:$110,96,0),0)*(1-AE$309)</f>
        <v>0</v>
      </c>
      <c r="AF239" s="50">
        <f>+IFERROR(HLOOKUP(AF6,'סקרי נכסים-יתרות פתיחה'!$2:$110,38,0),0)-IFERROR(HLOOKUP(AF6,'סקרי נכסים-יתרות פתיחה'!$2:$110,96,0),0)*(1-AF$309)</f>
        <v>0</v>
      </c>
      <c r="AG239" s="50">
        <f>+IFERROR(HLOOKUP(AG6,'סקרי נכסים-יתרות פתיחה'!$2:$110,38,0),0)-IFERROR(HLOOKUP(AG6,'סקרי נכסים-יתרות פתיחה'!$2:$110,96,0),0)*(1-AG$309)</f>
        <v>0</v>
      </c>
      <c r="AH239" s="50">
        <f>+IFERROR(HLOOKUP(AH6,'סקרי נכסים-יתרות פתיחה'!$2:$110,38,0),0)-IFERROR(HLOOKUP(AH6,'סקרי נכסים-יתרות פתיחה'!$2:$110,96,0),0)*(1-AH$309)</f>
        <v>0</v>
      </c>
      <c r="AI239" s="50">
        <f>+IFERROR(HLOOKUP(AI6,'סקרי נכסים-יתרות פתיחה'!$2:$110,38,0),0)-IFERROR(HLOOKUP(AI6,'סקרי נכסים-יתרות פתיחה'!$2:$110,96,0),0)*(1-AI$309)</f>
        <v>0</v>
      </c>
      <c r="AJ239" s="50">
        <f>+IFERROR(HLOOKUP(AJ6,'סקרי נכסים-יתרות פתיחה'!$2:$110,38,0),0)-IFERROR(HLOOKUP(AJ6,'סקרי נכסים-יתרות פתיחה'!$2:$110,96,0),0)*(1-AJ$309)</f>
        <v>0</v>
      </c>
      <c r="AK239" s="50">
        <f>+IFERROR(HLOOKUP(AK6,'סקרי נכסים-יתרות פתיחה'!$2:$110,38,0),0)-IFERROR(HLOOKUP(AK6,'סקרי נכסים-יתרות פתיחה'!$2:$110,96,0),0)*(1-AK$309)</f>
        <v>0</v>
      </c>
      <c r="AL239" s="50">
        <f>+IFERROR(HLOOKUP(AL6,'סקרי נכסים-יתרות פתיחה'!$2:$110,38,0),0)-IFERROR(HLOOKUP(AL6,'סקרי נכסים-יתרות פתיחה'!$2:$110,96,0),0)*(1-AL$309)</f>
        <v>0</v>
      </c>
      <c r="AM239" s="50">
        <f>+IFERROR(HLOOKUP(AM6,'סקרי נכסים-יתרות פתיחה'!$2:$110,38,0),0)-IFERROR(HLOOKUP(AM6,'סקרי נכסים-יתרות פתיחה'!$2:$110,96,0),0)*(1-AM$309)</f>
        <v>0</v>
      </c>
      <c r="AN239" s="50">
        <f>+IFERROR(HLOOKUP(AN6,'סקרי נכסים-יתרות פתיחה'!$2:$110,38,0),0)-IFERROR(HLOOKUP(AN6,'סקרי נכסים-יתרות פתיחה'!$2:$110,96,0),0)*(1-AN$309)</f>
        <v>0</v>
      </c>
      <c r="AO239" s="50">
        <f>+IFERROR(HLOOKUP(AO6,'סקרי נכסים-יתרות פתיחה'!$2:$110,38,0),0)-IFERROR(HLOOKUP(AO6,'סקרי נכסים-יתרות פתיחה'!$2:$110,96,0),0)*(1-AO$309)</f>
        <v>0</v>
      </c>
      <c r="AP239" s="50">
        <f>+IFERROR(HLOOKUP(AP6,'סקרי נכסים-יתרות פתיחה'!$2:$110,38,0),0)-IFERROR(HLOOKUP(AP6,'סקרי נכסים-יתרות פתיחה'!$2:$110,96,0),0)*(1-AP$309)</f>
        <v>0</v>
      </c>
      <c r="AQ239" s="50">
        <f>+IFERROR(HLOOKUP(AQ6,'סקרי נכסים-יתרות פתיחה'!$2:$110,38,0),0)-IFERROR(HLOOKUP(AQ6,'סקרי נכסים-יתרות פתיחה'!$2:$110,96,0),0)*(1-AQ$309)</f>
        <v>0</v>
      </c>
      <c r="AR239" s="50">
        <f>+IFERROR(HLOOKUP(AR6,'סקרי נכסים-יתרות פתיחה'!$2:$110,38,0),0)-IFERROR(HLOOKUP(AR6,'סקרי נכסים-יתרות פתיחה'!$2:$110,96,0),0)*(1-AR$309)</f>
        <v>0</v>
      </c>
      <c r="AS239" s="50">
        <f>+IFERROR(HLOOKUP(AS6,'סקרי נכסים-יתרות פתיחה'!$2:$110,38,0),0)-IFERROR(HLOOKUP(AS6,'סקרי נכסים-יתרות פתיחה'!$2:$110,96,0),0)*(1-AS$309)</f>
        <v>0</v>
      </c>
      <c r="AT239" s="50">
        <f>+IFERROR(HLOOKUP(AT6,'סקרי נכסים-יתרות פתיחה'!$2:$110,38,0),0)-IFERROR(HLOOKUP(AT6,'סקרי נכסים-יתרות פתיחה'!$2:$110,96,0),0)*(1-AT$309)</f>
        <v>0</v>
      </c>
      <c r="AU239" s="50">
        <f>+IFERROR(HLOOKUP(AU6,'סקרי נכסים-יתרות פתיחה'!$2:$110,38,0),0)-IFERROR(HLOOKUP(AU6,'סקרי נכסים-יתרות פתיחה'!$2:$110,96,0),0)*(1-AU$309)</f>
        <v>0</v>
      </c>
      <c r="AV239" s="50">
        <f>+IFERROR(HLOOKUP(AV6,'סקרי נכסים-יתרות פתיחה'!$2:$110,38,0),0)-IFERROR(HLOOKUP(AV6,'סקרי נכסים-יתרות פתיחה'!$2:$110,96,0),0)*(1-AV$309)</f>
        <v>0</v>
      </c>
      <c r="AW239" s="50">
        <f>+IFERROR(HLOOKUP(AW6,'סקרי נכסים-יתרות פתיחה'!$2:$110,38,0),0)-IFERROR(HLOOKUP(AW6,'סקרי נכסים-יתרות פתיחה'!$2:$110,96,0),0)*(1-AW$309)</f>
        <v>0</v>
      </c>
      <c r="AX239" s="50">
        <f>+IFERROR(HLOOKUP(AX6,'סקרי נכסים-יתרות פתיחה'!$2:$110,38,0),0)-IFERROR(HLOOKUP(AX6,'סקרי נכסים-יתרות פתיחה'!$2:$110,96,0),0)*(1-AX$309)</f>
        <v>2535125</v>
      </c>
      <c r="AY239" s="50">
        <f>+IFERROR(HLOOKUP(AY6,'סקרי נכסים-יתרות פתיחה'!$2:$110,38,0),0)-IFERROR(HLOOKUP(AY6,'סקרי נכסים-יתרות פתיחה'!$2:$110,96,0),0)*(1-AY$309)</f>
        <v>0</v>
      </c>
      <c r="AZ239" s="50">
        <f>+IFERROR(HLOOKUP(AZ6,'סקרי נכסים-יתרות פתיחה'!$2:$110,38,0),0)-IFERROR(HLOOKUP(AZ6,'סקרי נכסים-יתרות פתיחה'!$2:$110,96,0),0)*(1-AZ$309)</f>
        <v>0</v>
      </c>
      <c r="BA239" s="50">
        <f>+IFERROR(HLOOKUP(BA6,'סקרי נכסים-יתרות פתיחה'!$2:$110,38,0),0)-IFERROR(HLOOKUP(BA6,'סקרי נכסים-יתרות פתיחה'!$2:$110,96,0),0)*(1-BA$309)</f>
        <v>177357.14285714287</v>
      </c>
      <c r="BB239" s="50">
        <f>+IFERROR(HLOOKUP(BB6,'סקרי נכסים-יתרות פתיחה'!$2:$110,38,0),0)-IFERROR(HLOOKUP(BB6,'סקרי נכסים-יתרות פתיחה'!$2:$110,96,0),0)*(1-BB$309)</f>
        <v>0</v>
      </c>
      <c r="BC239" s="50">
        <f>+IFERROR(HLOOKUP(BC6,'סקרי נכסים-יתרות פתיחה'!$2:$110,38,0),0)-IFERROR(HLOOKUP(BC6,'סקרי נכסים-יתרות פתיחה'!$2:$110,96,0),0)*(1-BC$309)</f>
        <v>0</v>
      </c>
      <c r="BD239" s="50">
        <f>+IFERROR(HLOOKUP(BD6,'סקרי נכסים-יתרות פתיחה'!$2:$110,38,0),0)-IFERROR(HLOOKUP(BD6,'סקרי נכסים-יתרות פתיחה'!$2:$110,96,0),0)*(1-BD$309)</f>
        <v>0</v>
      </c>
      <c r="BE239" s="50">
        <f>+IFERROR(HLOOKUP(BE6,'סקרי נכסים-יתרות פתיחה'!$2:$110,38,0),0)-IFERROR(HLOOKUP(BE6,'סקרי נכסים-יתרות פתיחה'!$2:$110,96,0),0)*(1-BE$309)</f>
        <v>0</v>
      </c>
      <c r="BF239" s="50">
        <f>+IFERROR(HLOOKUP(BF6,'סקרי נכסים-יתרות פתיחה'!$2:$110,38,0),0)-IFERROR(HLOOKUP(BF6,'סקרי נכסים-יתרות פתיחה'!$2:$110,96,0),0)*(1-BF$309)</f>
        <v>0</v>
      </c>
    </row>
    <row r="240" spans="1:58" x14ac:dyDescent="0.2">
      <c r="B240" s="1">
        <v>4</v>
      </c>
      <c r="C240" s="50">
        <f>+IFERROR(HLOOKUP(C7,'סקרי נכסים-יתרות פתיחה'!$2:$110,38,0),0)-IFERROR(HLOOKUP(C7,'סקרי נכסים-יתרות פתיחה'!$2:$110,96,0),0)*(1-C$309)</f>
        <v>0</v>
      </c>
      <c r="D240" s="50">
        <f>+IFERROR(HLOOKUP(D7,'סקרי נכסים-יתרות פתיחה'!$2:$110,38,0),0)-IFERROR(HLOOKUP(D7,'סקרי נכסים-יתרות פתיחה'!$2:$110,96,0),0)*(1-D$309)</f>
        <v>0</v>
      </c>
      <c r="E240" s="50">
        <f>+IFERROR(HLOOKUP(E7,'סקרי נכסים-יתרות פתיחה'!$2:$110,38,0),0)-IFERROR(HLOOKUP(E7,'סקרי נכסים-יתרות פתיחה'!$2:$110,96,0),0)*(1-E$309)</f>
        <v>0</v>
      </c>
      <c r="F240" s="50">
        <f>+IFERROR(HLOOKUP(F7,'סקרי נכסים-יתרות פתיחה'!$2:$110,38,0),0)-IFERROR(HLOOKUP(F7,'סקרי נכסים-יתרות פתיחה'!$2:$110,96,0),0)*(1-F$309)</f>
        <v>0</v>
      </c>
      <c r="G240" s="50">
        <f>+IFERROR(HLOOKUP(G7,'סקרי נכסים-יתרות פתיחה'!$2:$110,38,0),0)-IFERROR(HLOOKUP(G7,'סקרי נכסים-יתרות פתיחה'!$2:$110,96,0),0)*(1-G$309)</f>
        <v>0</v>
      </c>
      <c r="H240" s="50">
        <f>+IFERROR(HLOOKUP(H7,'סקרי נכסים-יתרות פתיחה'!$2:$110,38,0),0)-IFERROR(HLOOKUP(H7,'סקרי נכסים-יתרות פתיחה'!$2:$110,96,0),0)*(1-H$309)</f>
        <v>0</v>
      </c>
      <c r="I240" s="50">
        <f>+IFERROR(HLOOKUP(I7,'סקרי נכסים-יתרות פתיחה'!$2:$110,38,0),0)-IFERROR(HLOOKUP(I7,'סקרי נכסים-יתרות פתיחה'!$2:$110,96,0),0)*(1-I$309)</f>
        <v>0</v>
      </c>
      <c r="J240" s="50">
        <f>+IFERROR(HLOOKUP(J7,'סקרי נכסים-יתרות פתיחה'!$2:$110,38,0),0)-IFERROR(HLOOKUP(J7,'סקרי נכסים-יתרות פתיחה'!$2:$110,96,0),0)*(1-J$309)</f>
        <v>0</v>
      </c>
      <c r="K240" s="50">
        <f>+IFERROR(HLOOKUP(K7,'סקרי נכסים-יתרות פתיחה'!$2:$110,38,0),0)-IFERROR(HLOOKUP(K7,'סקרי נכסים-יתרות פתיחה'!$2:$110,96,0),0)*(1-K$309)</f>
        <v>0</v>
      </c>
      <c r="L240" s="50">
        <f>+IFERROR(HLOOKUP(L7,'סקרי נכסים-יתרות פתיחה'!$2:$110,38,0),0)-IFERROR(HLOOKUP(L7,'סקרי נכסים-יתרות פתיחה'!$2:$110,96,0),0)*(1-L$309)</f>
        <v>0</v>
      </c>
      <c r="M240" s="50">
        <f>+IFERROR(HLOOKUP(M7,'סקרי נכסים-יתרות פתיחה'!$2:$110,38,0),0)-IFERROR(HLOOKUP(M7,'סקרי נכסים-יתרות פתיחה'!$2:$110,96,0),0)*(1-M$309)</f>
        <v>0</v>
      </c>
      <c r="N240" s="50">
        <f>+IFERROR(HLOOKUP(N7,'סקרי נכסים-יתרות פתיחה'!$2:$110,38,0),0)-IFERROR(HLOOKUP(N7,'סקרי נכסים-יתרות פתיחה'!$2:$110,96,0),0)*(1-N$309)</f>
        <v>0</v>
      </c>
      <c r="O240" s="50">
        <f>+IFERROR(HLOOKUP(O7,'סקרי נכסים-יתרות פתיחה'!$2:$110,38,0),0)-IFERROR(HLOOKUP(O7,'סקרי נכסים-יתרות פתיחה'!$2:$110,96,0),0)*(1-O$309)</f>
        <v>0</v>
      </c>
      <c r="P240" s="50">
        <f>+IFERROR(HLOOKUP(P7,'סקרי נכסים-יתרות פתיחה'!$2:$110,38,0),0)-IFERROR(HLOOKUP(P7,'סקרי נכסים-יתרות פתיחה'!$2:$110,96,0),0)*(1-P$309)</f>
        <v>0</v>
      </c>
      <c r="Q240" s="50">
        <f>+IFERROR(HLOOKUP(Q7,'סקרי נכסים-יתרות פתיחה'!$2:$110,38,0),0)-IFERROR(HLOOKUP(Q7,'סקרי נכסים-יתרות פתיחה'!$2:$110,96,0),0)*(1-Q$309)</f>
        <v>0</v>
      </c>
      <c r="R240" s="50">
        <f>+IFERROR(HLOOKUP(R7,'סקרי נכסים-יתרות פתיחה'!$2:$110,38,0),0)-IFERROR(HLOOKUP(R7,'סקרי נכסים-יתרות פתיחה'!$2:$110,96,0),0)*(1-R$309)</f>
        <v>0</v>
      </c>
      <c r="S240" s="50">
        <f>+IFERROR(HLOOKUP(S7,'סקרי נכסים-יתרות פתיחה'!$2:$110,38,0),0)-IFERROR(HLOOKUP(S7,'סקרי נכסים-יתרות פתיחה'!$2:$110,96,0),0)*(1-S$309)</f>
        <v>0</v>
      </c>
      <c r="T240" s="50">
        <f>+IFERROR(HLOOKUP(T7,'סקרי נכסים-יתרות פתיחה'!$2:$110,38,0),0)-IFERROR(HLOOKUP(T7,'סקרי נכסים-יתרות פתיחה'!$2:$110,96,0),0)*(1-T$309)</f>
        <v>0</v>
      </c>
      <c r="U240" s="50">
        <f>+IFERROR(HLOOKUP(U7,'סקרי נכסים-יתרות פתיחה'!$2:$110,38,0),0)-IFERROR(HLOOKUP(U7,'סקרי נכסים-יתרות פתיחה'!$2:$110,96,0),0)*(1-U$309)</f>
        <v>0</v>
      </c>
      <c r="V240" s="50">
        <f>+IFERROR(HLOOKUP(V7,'סקרי נכסים-יתרות פתיחה'!$2:$110,38,0),0)-IFERROR(HLOOKUP(V7,'סקרי נכסים-יתרות פתיחה'!$2:$110,96,0),0)*(1-V$309)</f>
        <v>0</v>
      </c>
      <c r="W240" s="50">
        <f>+IFERROR(HLOOKUP(W7,'סקרי נכסים-יתרות פתיחה'!$2:$110,38,0),0)-IFERROR(HLOOKUP(W7,'סקרי נכסים-יתרות פתיחה'!$2:$110,96,0),0)*(1-W$309)</f>
        <v>0</v>
      </c>
      <c r="X240" s="50">
        <f>+IFERROR(HLOOKUP(X7,'סקרי נכסים-יתרות פתיחה'!$2:$110,38,0),0)-IFERROR(HLOOKUP(X7,'סקרי נכסים-יתרות פתיחה'!$2:$110,96,0),0)*(1-X$309)</f>
        <v>0</v>
      </c>
      <c r="Y240" s="50">
        <f>+IFERROR(HLOOKUP(Y7,'סקרי נכסים-יתרות פתיחה'!$2:$110,38,0),0)-IFERROR(HLOOKUP(Y7,'סקרי נכסים-יתרות פתיחה'!$2:$110,96,0),0)*(1-Y$309)</f>
        <v>0</v>
      </c>
      <c r="Z240" s="50">
        <f>+IFERROR(HLOOKUP(Z7,'סקרי נכסים-יתרות פתיחה'!$2:$110,38,0),0)-IFERROR(HLOOKUP(Z7,'סקרי נכסים-יתרות פתיחה'!$2:$110,96,0),0)*(1-Z$309)</f>
        <v>0</v>
      </c>
      <c r="AA240" s="50">
        <f>+IFERROR(HLOOKUP(AA7,'סקרי נכסים-יתרות פתיחה'!$2:$110,38,0),0)-IFERROR(HLOOKUP(AA7,'סקרי נכסים-יתרות פתיחה'!$2:$110,96,0),0)*(1-AA$309)</f>
        <v>0</v>
      </c>
      <c r="AB240" s="50">
        <f>+IFERROR(HLOOKUP(AB7,'סקרי נכסים-יתרות פתיחה'!$2:$110,38,0),0)-IFERROR(HLOOKUP(AB7,'סקרי נכסים-יתרות פתיחה'!$2:$110,96,0),0)*(1-AB$309)</f>
        <v>0</v>
      </c>
      <c r="AC240" s="50">
        <f>+IFERROR(HLOOKUP(AC7,'סקרי נכסים-יתרות פתיחה'!$2:$110,38,0),0)-IFERROR(HLOOKUP(AC7,'סקרי נכסים-יתרות פתיחה'!$2:$110,96,0),0)*(1-AC$309)</f>
        <v>0</v>
      </c>
      <c r="AD240" s="50">
        <f>+IFERROR(HLOOKUP(AD7,'סקרי נכסים-יתרות פתיחה'!$2:$110,38,0),0)-IFERROR(HLOOKUP(AD7,'סקרי נכסים-יתרות פתיחה'!$2:$110,96,0),0)*(1-AD$309)</f>
        <v>0</v>
      </c>
      <c r="AE240" s="50">
        <f>+IFERROR(HLOOKUP(AE7,'סקרי נכסים-יתרות פתיחה'!$2:$110,38,0),0)-IFERROR(HLOOKUP(AE7,'סקרי נכסים-יתרות פתיחה'!$2:$110,96,0),0)*(1-AE$309)</f>
        <v>0</v>
      </c>
      <c r="AF240" s="50">
        <f>+IFERROR(HLOOKUP(AF7,'סקרי נכסים-יתרות פתיחה'!$2:$110,38,0),0)-IFERROR(HLOOKUP(AF7,'סקרי נכסים-יתרות פתיחה'!$2:$110,96,0),0)*(1-AF$309)</f>
        <v>0</v>
      </c>
      <c r="AG240" s="50">
        <f>+IFERROR(HLOOKUP(AG7,'סקרי נכסים-יתרות פתיחה'!$2:$110,38,0),0)-IFERROR(HLOOKUP(AG7,'סקרי נכסים-יתרות פתיחה'!$2:$110,96,0),0)*(1-AG$309)</f>
        <v>0</v>
      </c>
      <c r="AH240" s="50">
        <f>+IFERROR(HLOOKUP(AH7,'סקרי נכסים-יתרות פתיחה'!$2:$110,38,0),0)-IFERROR(HLOOKUP(AH7,'סקרי נכסים-יתרות פתיחה'!$2:$110,96,0),0)*(1-AH$309)</f>
        <v>0</v>
      </c>
      <c r="AI240" s="50">
        <f>+IFERROR(HLOOKUP(AI7,'סקרי נכסים-יתרות פתיחה'!$2:$110,38,0),0)-IFERROR(HLOOKUP(AI7,'סקרי נכסים-יתרות פתיחה'!$2:$110,96,0),0)*(1-AI$309)</f>
        <v>0</v>
      </c>
      <c r="AJ240" s="50">
        <f>+IFERROR(HLOOKUP(AJ7,'סקרי נכסים-יתרות פתיחה'!$2:$110,38,0),0)-IFERROR(HLOOKUP(AJ7,'סקרי נכסים-יתרות פתיחה'!$2:$110,96,0),0)*(1-AJ$309)</f>
        <v>0</v>
      </c>
      <c r="AK240" s="50">
        <f>+IFERROR(HLOOKUP(AK7,'סקרי נכסים-יתרות פתיחה'!$2:$110,38,0),0)-IFERROR(HLOOKUP(AK7,'סקרי נכסים-יתרות פתיחה'!$2:$110,96,0),0)*(1-AK$309)</f>
        <v>0</v>
      </c>
      <c r="AL240" s="50">
        <f>+IFERROR(HLOOKUP(AL7,'סקרי נכסים-יתרות פתיחה'!$2:$110,38,0),0)-IFERROR(HLOOKUP(AL7,'סקרי נכסים-יתרות פתיחה'!$2:$110,96,0),0)*(1-AL$309)</f>
        <v>0</v>
      </c>
      <c r="AM240" s="50">
        <f>+IFERROR(HLOOKUP(AM7,'סקרי נכסים-יתרות פתיחה'!$2:$110,38,0),0)-IFERROR(HLOOKUP(AM7,'סקרי נכסים-יתרות פתיחה'!$2:$110,96,0),0)*(1-AM$309)</f>
        <v>0</v>
      </c>
      <c r="AN240" s="50">
        <f>+IFERROR(HLOOKUP(AN7,'סקרי נכסים-יתרות פתיחה'!$2:$110,38,0),0)-IFERROR(HLOOKUP(AN7,'סקרי נכסים-יתרות פתיחה'!$2:$110,96,0),0)*(1-AN$309)</f>
        <v>0</v>
      </c>
      <c r="AO240" s="50">
        <f>+IFERROR(HLOOKUP(AO7,'סקרי נכסים-יתרות פתיחה'!$2:$110,38,0),0)-IFERROR(HLOOKUP(AO7,'סקרי נכסים-יתרות פתיחה'!$2:$110,96,0),0)*(1-AO$309)</f>
        <v>0</v>
      </c>
      <c r="AP240" s="50">
        <f>+IFERROR(HLOOKUP(AP7,'סקרי נכסים-יתרות פתיחה'!$2:$110,38,0),0)-IFERROR(HLOOKUP(AP7,'סקרי נכסים-יתרות פתיחה'!$2:$110,96,0),0)*(1-AP$309)</f>
        <v>0</v>
      </c>
      <c r="AQ240" s="50">
        <f>+IFERROR(HLOOKUP(AQ7,'סקרי נכסים-יתרות פתיחה'!$2:$110,38,0),0)-IFERROR(HLOOKUP(AQ7,'סקרי נכסים-יתרות פתיחה'!$2:$110,96,0),0)*(1-AQ$309)</f>
        <v>0</v>
      </c>
      <c r="AR240" s="50">
        <f>+IFERROR(HLOOKUP(AR7,'סקרי נכסים-יתרות פתיחה'!$2:$110,38,0),0)-IFERROR(HLOOKUP(AR7,'סקרי נכסים-יתרות פתיחה'!$2:$110,96,0),0)*(1-AR$309)</f>
        <v>0</v>
      </c>
      <c r="AS240" s="50">
        <f>+IFERROR(HLOOKUP(AS7,'סקרי נכסים-יתרות פתיחה'!$2:$110,38,0),0)-IFERROR(HLOOKUP(AS7,'סקרי נכסים-יתרות פתיחה'!$2:$110,96,0),0)*(1-AS$309)</f>
        <v>0</v>
      </c>
      <c r="AT240" s="50">
        <f>+IFERROR(HLOOKUP(AT7,'סקרי נכסים-יתרות פתיחה'!$2:$110,38,0),0)-IFERROR(HLOOKUP(AT7,'סקרי נכסים-יתרות פתיחה'!$2:$110,96,0),0)*(1-AT$309)</f>
        <v>0</v>
      </c>
      <c r="AU240" s="50">
        <f>+IFERROR(HLOOKUP(AU7,'סקרי נכסים-יתרות פתיחה'!$2:$110,38,0),0)-IFERROR(HLOOKUP(AU7,'סקרי נכסים-יתרות פתיחה'!$2:$110,96,0),0)*(1-AU$309)</f>
        <v>0</v>
      </c>
      <c r="AV240" s="50">
        <f>+IFERROR(HLOOKUP(AV7,'סקרי נכסים-יתרות פתיחה'!$2:$110,38,0),0)-IFERROR(HLOOKUP(AV7,'סקרי נכסים-יתרות פתיחה'!$2:$110,96,0),0)*(1-AV$309)</f>
        <v>0</v>
      </c>
      <c r="AW240" s="50">
        <f>+IFERROR(HLOOKUP(AW7,'סקרי נכסים-יתרות פתיחה'!$2:$110,38,0),0)-IFERROR(HLOOKUP(AW7,'סקרי נכסים-יתרות פתיחה'!$2:$110,96,0),0)*(1-AW$309)</f>
        <v>0</v>
      </c>
      <c r="AX240" s="50">
        <f>+IFERROR(HLOOKUP(AX7,'סקרי נכסים-יתרות פתיחה'!$2:$110,38,0),0)-IFERROR(HLOOKUP(AX7,'סקרי נכסים-יתרות פתיחה'!$2:$110,96,0),0)*(1-AX$309)</f>
        <v>0</v>
      </c>
      <c r="AY240" s="50">
        <f>+IFERROR(HLOOKUP(AY7,'סקרי נכסים-יתרות פתיחה'!$2:$110,38,0),0)-IFERROR(HLOOKUP(AY7,'סקרי נכסים-יתרות פתיחה'!$2:$110,96,0),0)*(1-AY$309)</f>
        <v>0</v>
      </c>
      <c r="AZ240" s="50">
        <f>+IFERROR(HLOOKUP(AZ7,'סקרי נכסים-יתרות פתיחה'!$2:$110,38,0),0)-IFERROR(HLOOKUP(AZ7,'סקרי נכסים-יתרות פתיחה'!$2:$110,96,0),0)*(1-AZ$309)</f>
        <v>0</v>
      </c>
      <c r="BA240" s="50">
        <f>+IFERROR(HLOOKUP(BA7,'סקרי נכסים-יתרות פתיחה'!$2:$110,38,0),0)-IFERROR(HLOOKUP(BA7,'סקרי נכסים-יתרות פתיחה'!$2:$110,96,0),0)*(1-BA$309)</f>
        <v>4204332.9285714282</v>
      </c>
      <c r="BB240" s="50">
        <f>+IFERROR(HLOOKUP(BB7,'סקרי נכסים-יתרות פתיחה'!$2:$110,38,0),0)-IFERROR(HLOOKUP(BB7,'סקרי נכסים-יתרות פתיחה'!$2:$110,96,0),0)*(1-BB$309)</f>
        <v>0</v>
      </c>
      <c r="BC240" s="50">
        <f>+IFERROR(HLOOKUP(BC7,'סקרי נכסים-יתרות פתיחה'!$2:$110,38,0),0)-IFERROR(HLOOKUP(BC7,'סקרי נכסים-יתרות פתיחה'!$2:$110,96,0),0)*(1-BC$309)</f>
        <v>0</v>
      </c>
      <c r="BD240" s="50">
        <f>+IFERROR(HLOOKUP(BD7,'סקרי נכסים-יתרות פתיחה'!$2:$110,38,0),0)-IFERROR(HLOOKUP(BD7,'סקרי נכסים-יתרות פתיחה'!$2:$110,96,0),0)*(1-BD$309)</f>
        <v>0</v>
      </c>
      <c r="BE240" s="50">
        <f>+IFERROR(HLOOKUP(BE7,'סקרי נכסים-יתרות פתיחה'!$2:$110,38,0),0)-IFERROR(HLOOKUP(BE7,'סקרי נכסים-יתרות פתיחה'!$2:$110,96,0),0)*(1-BE$309)</f>
        <v>0</v>
      </c>
      <c r="BF240" s="50">
        <f>+IFERROR(HLOOKUP(BF7,'סקרי נכסים-יתרות פתיחה'!$2:$110,38,0),0)-IFERROR(HLOOKUP(BF7,'סקרי נכסים-יתרות פתיחה'!$2:$110,96,0),0)*(1-BF$309)</f>
        <v>0</v>
      </c>
    </row>
    <row r="241" spans="2:58" x14ac:dyDescent="0.2">
      <c r="B241" s="1">
        <v>5</v>
      </c>
      <c r="C241" s="50">
        <f>+IFERROR(HLOOKUP(C8,'סקרי נכסים-יתרות פתיחה'!$2:$110,38,0),0)-IFERROR(HLOOKUP(C8,'סקרי נכסים-יתרות פתיחה'!$2:$110,96,0),0)*(1-C$309)</f>
        <v>0</v>
      </c>
      <c r="D241" s="50">
        <f>+IFERROR(HLOOKUP(D8,'סקרי נכסים-יתרות פתיחה'!$2:$110,38,0),0)-IFERROR(HLOOKUP(D8,'סקרי נכסים-יתרות פתיחה'!$2:$110,96,0),0)*(1-D$309)</f>
        <v>0</v>
      </c>
      <c r="E241" s="50">
        <f>+IFERROR(HLOOKUP(E8,'סקרי נכסים-יתרות פתיחה'!$2:$110,38,0),0)-IFERROR(HLOOKUP(E8,'סקרי נכסים-יתרות פתיחה'!$2:$110,96,0),0)*(1-E$309)</f>
        <v>0</v>
      </c>
      <c r="F241" s="50">
        <f>+IFERROR(HLOOKUP(F8,'סקרי נכסים-יתרות פתיחה'!$2:$110,38,0),0)-IFERROR(HLOOKUP(F8,'סקרי נכסים-יתרות פתיחה'!$2:$110,96,0),0)*(1-F$309)</f>
        <v>0</v>
      </c>
      <c r="G241" s="50">
        <f>+IFERROR(HLOOKUP(G8,'סקרי נכסים-יתרות פתיחה'!$2:$110,38,0),0)-IFERROR(HLOOKUP(G8,'סקרי נכסים-יתרות פתיחה'!$2:$110,96,0),0)*(1-G$309)</f>
        <v>0</v>
      </c>
      <c r="H241" s="50">
        <f>+IFERROR(HLOOKUP(H8,'סקרי נכסים-יתרות פתיחה'!$2:$110,38,0),0)-IFERROR(HLOOKUP(H8,'סקרי נכסים-יתרות פתיחה'!$2:$110,96,0),0)*(1-H$309)</f>
        <v>0</v>
      </c>
      <c r="I241" s="50">
        <f>+IFERROR(HLOOKUP(I8,'סקרי נכסים-יתרות פתיחה'!$2:$110,38,0),0)-IFERROR(HLOOKUP(I8,'סקרי נכסים-יתרות פתיחה'!$2:$110,96,0),0)*(1-I$309)</f>
        <v>0</v>
      </c>
      <c r="J241" s="50">
        <f>+IFERROR(HLOOKUP(J8,'סקרי נכסים-יתרות פתיחה'!$2:$110,38,0),0)-IFERROR(HLOOKUP(J8,'סקרי נכסים-יתרות פתיחה'!$2:$110,96,0),0)*(1-J$309)</f>
        <v>0</v>
      </c>
      <c r="K241" s="50">
        <f>+IFERROR(HLOOKUP(K8,'סקרי נכסים-יתרות פתיחה'!$2:$110,38,0),0)-IFERROR(HLOOKUP(K8,'סקרי נכסים-יתרות פתיחה'!$2:$110,96,0),0)*(1-K$309)</f>
        <v>0</v>
      </c>
      <c r="L241" s="50">
        <f>+IFERROR(HLOOKUP(L8,'סקרי נכסים-יתרות פתיחה'!$2:$110,38,0),0)-IFERROR(HLOOKUP(L8,'סקרי נכסים-יתרות פתיחה'!$2:$110,96,0),0)*(1-L$309)</f>
        <v>0</v>
      </c>
      <c r="M241" s="50">
        <f>+IFERROR(HLOOKUP(M8,'סקרי נכסים-יתרות פתיחה'!$2:$110,38,0),0)-IFERROR(HLOOKUP(M8,'סקרי נכסים-יתרות פתיחה'!$2:$110,96,0),0)*(1-M$309)</f>
        <v>0</v>
      </c>
      <c r="N241" s="50">
        <f>+IFERROR(HLOOKUP(N8,'סקרי נכסים-יתרות פתיחה'!$2:$110,38,0),0)-IFERROR(HLOOKUP(N8,'סקרי נכסים-יתרות פתיחה'!$2:$110,96,0),0)*(1-N$309)</f>
        <v>0</v>
      </c>
      <c r="O241" s="50">
        <f>+IFERROR(HLOOKUP(O8,'סקרי נכסים-יתרות פתיחה'!$2:$110,38,0),0)-IFERROR(HLOOKUP(O8,'סקרי נכסים-יתרות פתיחה'!$2:$110,96,0),0)*(1-O$309)</f>
        <v>0</v>
      </c>
      <c r="P241" s="50">
        <f>+IFERROR(HLOOKUP(P8,'סקרי נכסים-יתרות פתיחה'!$2:$110,38,0),0)-IFERROR(HLOOKUP(P8,'סקרי נכסים-יתרות פתיחה'!$2:$110,96,0),0)*(1-P$309)</f>
        <v>0</v>
      </c>
      <c r="Q241" s="50">
        <f>+IFERROR(HLOOKUP(Q8,'סקרי נכסים-יתרות פתיחה'!$2:$110,38,0),0)-IFERROR(HLOOKUP(Q8,'סקרי נכסים-יתרות פתיחה'!$2:$110,96,0),0)*(1-Q$309)</f>
        <v>0</v>
      </c>
      <c r="R241" s="50">
        <f>+IFERROR(HLOOKUP(R8,'סקרי נכסים-יתרות פתיחה'!$2:$110,38,0),0)-IFERROR(HLOOKUP(R8,'סקרי נכסים-יתרות פתיחה'!$2:$110,96,0),0)*(1-R$309)</f>
        <v>0</v>
      </c>
      <c r="S241" s="50">
        <f>+IFERROR(HLOOKUP(S8,'סקרי נכסים-יתרות פתיחה'!$2:$110,38,0),0)-IFERROR(HLOOKUP(S8,'סקרי נכסים-יתרות פתיחה'!$2:$110,96,0),0)*(1-S$309)</f>
        <v>0</v>
      </c>
      <c r="T241" s="50">
        <f>+IFERROR(HLOOKUP(T8,'סקרי נכסים-יתרות פתיחה'!$2:$110,38,0),0)-IFERROR(HLOOKUP(T8,'סקרי נכסים-יתרות פתיחה'!$2:$110,96,0),0)*(1-T$309)</f>
        <v>0</v>
      </c>
      <c r="U241" s="50">
        <f>+IFERROR(HLOOKUP(U8,'סקרי נכסים-יתרות פתיחה'!$2:$110,38,0),0)-IFERROR(HLOOKUP(U8,'סקרי נכסים-יתרות פתיחה'!$2:$110,96,0),0)*(1-U$309)</f>
        <v>0</v>
      </c>
      <c r="V241" s="50">
        <f>+IFERROR(HLOOKUP(V8,'סקרי נכסים-יתרות פתיחה'!$2:$110,38,0),0)-IFERROR(HLOOKUP(V8,'סקרי נכסים-יתרות פתיחה'!$2:$110,96,0),0)*(1-V$309)</f>
        <v>0</v>
      </c>
      <c r="W241" s="50">
        <f>+IFERROR(HLOOKUP(W8,'סקרי נכסים-יתרות פתיחה'!$2:$110,38,0),0)-IFERROR(HLOOKUP(W8,'סקרי נכסים-יתרות פתיחה'!$2:$110,96,0),0)*(1-W$309)</f>
        <v>0</v>
      </c>
      <c r="X241" s="50">
        <f>+IFERROR(HLOOKUP(X8,'סקרי נכסים-יתרות פתיחה'!$2:$110,38,0),0)-IFERROR(HLOOKUP(X8,'סקרי נכסים-יתרות פתיחה'!$2:$110,96,0),0)*(1-X$309)</f>
        <v>0</v>
      </c>
      <c r="Y241" s="50">
        <f>+IFERROR(HLOOKUP(Y8,'סקרי נכסים-יתרות פתיחה'!$2:$110,38,0),0)-IFERROR(HLOOKUP(Y8,'סקרי נכסים-יתרות פתיחה'!$2:$110,96,0),0)*(1-Y$309)</f>
        <v>0</v>
      </c>
      <c r="Z241" s="50">
        <f>+IFERROR(HLOOKUP(Z8,'סקרי נכסים-יתרות פתיחה'!$2:$110,38,0),0)-IFERROR(HLOOKUP(Z8,'סקרי נכסים-יתרות פתיחה'!$2:$110,96,0),0)*(1-Z$309)</f>
        <v>0</v>
      </c>
      <c r="AA241" s="50">
        <f>+IFERROR(HLOOKUP(AA8,'סקרי נכסים-יתרות פתיחה'!$2:$110,38,0),0)-IFERROR(HLOOKUP(AA8,'סקרי נכסים-יתרות פתיחה'!$2:$110,96,0),0)*(1-AA$309)</f>
        <v>0</v>
      </c>
      <c r="AB241" s="50">
        <f>+IFERROR(HLOOKUP(AB8,'סקרי נכסים-יתרות פתיחה'!$2:$110,38,0),0)-IFERROR(HLOOKUP(AB8,'סקרי נכסים-יתרות פתיחה'!$2:$110,96,0),0)*(1-AB$309)</f>
        <v>0</v>
      </c>
      <c r="AC241" s="50">
        <f>+IFERROR(HLOOKUP(AC8,'סקרי נכסים-יתרות פתיחה'!$2:$110,38,0),0)-IFERROR(HLOOKUP(AC8,'סקרי נכסים-יתרות פתיחה'!$2:$110,96,0),0)*(1-AC$309)</f>
        <v>0</v>
      </c>
      <c r="AD241" s="50">
        <f>+IFERROR(HLOOKUP(AD8,'סקרי נכסים-יתרות פתיחה'!$2:$110,38,0),0)-IFERROR(HLOOKUP(AD8,'סקרי נכסים-יתרות פתיחה'!$2:$110,96,0),0)*(1-AD$309)</f>
        <v>0</v>
      </c>
      <c r="AE241" s="50">
        <f>+IFERROR(HLOOKUP(AE8,'סקרי נכסים-יתרות פתיחה'!$2:$110,38,0),0)-IFERROR(HLOOKUP(AE8,'סקרי נכסים-יתרות פתיחה'!$2:$110,96,0),0)*(1-AE$309)</f>
        <v>0</v>
      </c>
      <c r="AF241" s="50">
        <f>+IFERROR(HLOOKUP(AF8,'סקרי נכסים-יתרות פתיחה'!$2:$110,38,0),0)-IFERROR(HLOOKUP(AF8,'סקרי נכסים-יתרות פתיחה'!$2:$110,96,0),0)*(1-AF$309)</f>
        <v>0</v>
      </c>
      <c r="AG241" s="50">
        <f>+IFERROR(HLOOKUP(AG8,'סקרי נכסים-יתרות פתיחה'!$2:$110,38,0),0)-IFERROR(HLOOKUP(AG8,'סקרי נכסים-יתרות פתיחה'!$2:$110,96,0),0)*(1-AG$309)</f>
        <v>0</v>
      </c>
      <c r="AH241" s="50">
        <f>+IFERROR(HLOOKUP(AH8,'סקרי נכסים-יתרות פתיחה'!$2:$110,38,0),0)-IFERROR(HLOOKUP(AH8,'סקרי נכסים-יתרות פתיחה'!$2:$110,96,0),0)*(1-AH$309)</f>
        <v>0</v>
      </c>
      <c r="AI241" s="50">
        <f>+IFERROR(HLOOKUP(AI8,'סקרי נכסים-יתרות פתיחה'!$2:$110,38,0),0)-IFERROR(HLOOKUP(AI8,'סקרי נכסים-יתרות פתיחה'!$2:$110,96,0),0)*(1-AI$309)</f>
        <v>0</v>
      </c>
      <c r="AJ241" s="50">
        <f>+IFERROR(HLOOKUP(AJ8,'סקרי נכסים-יתרות פתיחה'!$2:$110,38,0),0)-IFERROR(HLOOKUP(AJ8,'סקרי נכסים-יתרות פתיחה'!$2:$110,96,0),0)*(1-AJ$309)</f>
        <v>0</v>
      </c>
      <c r="AK241" s="50">
        <f>+IFERROR(HLOOKUP(AK8,'סקרי נכסים-יתרות פתיחה'!$2:$110,38,0),0)-IFERROR(HLOOKUP(AK8,'סקרי נכסים-יתרות פתיחה'!$2:$110,96,0),0)*(1-AK$309)</f>
        <v>0</v>
      </c>
      <c r="AL241" s="50">
        <f>+IFERROR(HLOOKUP(AL8,'סקרי נכסים-יתרות פתיחה'!$2:$110,38,0),0)-IFERROR(HLOOKUP(AL8,'סקרי נכסים-יתרות פתיחה'!$2:$110,96,0),0)*(1-AL$309)</f>
        <v>0</v>
      </c>
      <c r="AM241" s="50">
        <f>+IFERROR(HLOOKUP(AM8,'סקרי נכסים-יתרות פתיחה'!$2:$110,38,0),0)-IFERROR(HLOOKUP(AM8,'סקרי נכסים-יתרות פתיחה'!$2:$110,96,0),0)*(1-AM$309)</f>
        <v>0</v>
      </c>
      <c r="AN241" s="50">
        <f>+IFERROR(HLOOKUP(AN8,'סקרי נכסים-יתרות פתיחה'!$2:$110,38,0),0)-IFERROR(HLOOKUP(AN8,'סקרי נכסים-יתרות פתיחה'!$2:$110,96,0),0)*(1-AN$309)</f>
        <v>0</v>
      </c>
      <c r="AO241" s="50">
        <f>+IFERROR(HLOOKUP(AO8,'סקרי נכסים-יתרות פתיחה'!$2:$110,38,0),0)-IFERROR(HLOOKUP(AO8,'סקרי נכסים-יתרות פתיחה'!$2:$110,96,0),0)*(1-AO$309)</f>
        <v>0</v>
      </c>
      <c r="AP241" s="50">
        <f>+IFERROR(HLOOKUP(AP8,'סקרי נכסים-יתרות פתיחה'!$2:$110,38,0),0)-IFERROR(HLOOKUP(AP8,'סקרי נכסים-יתרות פתיחה'!$2:$110,96,0),0)*(1-AP$309)</f>
        <v>0</v>
      </c>
      <c r="AQ241" s="50">
        <f>+IFERROR(HLOOKUP(AQ8,'סקרי נכסים-יתרות פתיחה'!$2:$110,38,0),0)-IFERROR(HLOOKUP(AQ8,'סקרי נכסים-יתרות פתיחה'!$2:$110,96,0),0)*(1-AQ$309)</f>
        <v>0</v>
      </c>
      <c r="AR241" s="50">
        <f>+IFERROR(HLOOKUP(AR8,'סקרי נכסים-יתרות פתיחה'!$2:$110,38,0),0)-IFERROR(HLOOKUP(AR8,'סקרי נכסים-יתרות פתיחה'!$2:$110,96,0),0)*(1-AR$309)</f>
        <v>0</v>
      </c>
      <c r="AS241" s="50">
        <f>+IFERROR(HLOOKUP(AS8,'סקרי נכסים-יתרות פתיחה'!$2:$110,38,0),0)-IFERROR(HLOOKUP(AS8,'סקרי נכסים-יתרות פתיחה'!$2:$110,96,0),0)*(1-AS$309)</f>
        <v>0</v>
      </c>
      <c r="AT241" s="50">
        <f>+IFERROR(HLOOKUP(AT8,'סקרי נכסים-יתרות פתיחה'!$2:$110,38,0),0)-IFERROR(HLOOKUP(AT8,'סקרי נכסים-יתרות פתיחה'!$2:$110,96,0),0)*(1-AT$309)</f>
        <v>0</v>
      </c>
      <c r="AU241" s="50">
        <f>+IFERROR(HLOOKUP(AU8,'סקרי נכסים-יתרות פתיחה'!$2:$110,38,0),0)-IFERROR(HLOOKUP(AU8,'סקרי נכסים-יתרות פתיחה'!$2:$110,96,0),0)*(1-AU$309)</f>
        <v>0</v>
      </c>
      <c r="AV241" s="50">
        <f>+IFERROR(HLOOKUP(AV8,'סקרי נכסים-יתרות פתיחה'!$2:$110,38,0),0)-IFERROR(HLOOKUP(AV8,'סקרי נכסים-יתרות פתיחה'!$2:$110,96,0),0)*(1-AV$309)</f>
        <v>0</v>
      </c>
      <c r="AW241" s="50">
        <f>+IFERROR(HLOOKUP(AW8,'סקרי נכסים-יתרות פתיחה'!$2:$110,38,0),0)-IFERROR(HLOOKUP(AW8,'סקרי נכסים-יתרות פתיחה'!$2:$110,96,0),0)*(1-AW$309)</f>
        <v>0</v>
      </c>
      <c r="AX241" s="50">
        <f>+IFERROR(HLOOKUP(AX8,'סקרי נכסים-יתרות פתיחה'!$2:$110,38,0),0)-IFERROR(HLOOKUP(AX8,'סקרי נכסים-יתרות פתיחה'!$2:$110,96,0),0)*(1-AX$309)</f>
        <v>0</v>
      </c>
      <c r="AY241" s="50">
        <f>+IFERROR(HLOOKUP(AY8,'סקרי נכסים-יתרות פתיחה'!$2:$110,38,0),0)-IFERROR(HLOOKUP(AY8,'סקרי נכסים-יתרות פתיחה'!$2:$110,96,0),0)*(1-AY$309)</f>
        <v>0</v>
      </c>
      <c r="AZ241" s="50">
        <f>+IFERROR(HLOOKUP(AZ8,'סקרי נכסים-יתרות פתיחה'!$2:$110,38,0),0)-IFERROR(HLOOKUP(AZ8,'סקרי נכסים-יתרות פתיחה'!$2:$110,96,0),0)*(1-AZ$309)</f>
        <v>0</v>
      </c>
      <c r="BA241" s="50">
        <f>+IFERROR(HLOOKUP(BA8,'סקרי נכסים-יתרות פתיחה'!$2:$110,38,0),0)-IFERROR(HLOOKUP(BA8,'סקרי נכסים-יתרות פתיחה'!$2:$110,96,0),0)*(1-BA$309)</f>
        <v>0</v>
      </c>
      <c r="BB241" s="50">
        <f>+IFERROR(HLOOKUP(BB8,'סקרי נכסים-יתרות פתיחה'!$2:$110,38,0),0)-IFERROR(HLOOKUP(BB8,'סקרי נכסים-יתרות פתיחה'!$2:$110,96,0),0)*(1-BB$309)</f>
        <v>4144178</v>
      </c>
      <c r="BC241" s="50">
        <f>+IFERROR(HLOOKUP(BC8,'סקרי נכסים-יתרות פתיחה'!$2:$110,38,0),0)-IFERROR(HLOOKUP(BC8,'סקרי נכסים-יתרות פתיחה'!$2:$110,96,0),0)*(1-BC$309)</f>
        <v>0</v>
      </c>
      <c r="BD241" s="50">
        <f>+IFERROR(HLOOKUP(BD8,'סקרי נכסים-יתרות פתיחה'!$2:$110,38,0),0)-IFERROR(HLOOKUP(BD8,'סקרי נכסים-יתרות פתיחה'!$2:$110,96,0),0)*(1-BD$309)</f>
        <v>0</v>
      </c>
      <c r="BE241" s="50">
        <f>+IFERROR(HLOOKUP(BE8,'סקרי נכסים-יתרות פתיחה'!$2:$110,38,0),0)-IFERROR(HLOOKUP(BE8,'סקרי נכסים-יתרות פתיחה'!$2:$110,96,0),0)*(1-BE$309)</f>
        <v>0</v>
      </c>
      <c r="BF241" s="50">
        <f>+IFERROR(HLOOKUP(BF8,'סקרי נכסים-יתרות פתיחה'!$2:$110,38,0),0)-IFERROR(HLOOKUP(BF8,'סקרי נכסים-יתרות פתיחה'!$2:$110,96,0),0)*(1-BF$309)</f>
        <v>0</v>
      </c>
    </row>
    <row r="242" spans="2:58" x14ac:dyDescent="0.2">
      <c r="B242" s="1">
        <v>6</v>
      </c>
      <c r="C242" s="50">
        <f>+IFERROR(HLOOKUP(C9,'סקרי נכסים-יתרות פתיחה'!$2:$110,38,0),0)-IFERROR(HLOOKUP(C9,'סקרי נכסים-יתרות פתיחה'!$2:$110,96,0),0)*(1-C$309)</f>
        <v>0</v>
      </c>
      <c r="D242" s="50">
        <f>+IFERROR(HLOOKUP(D9,'סקרי נכסים-יתרות פתיחה'!$2:$110,38,0),0)-IFERROR(HLOOKUP(D9,'סקרי נכסים-יתרות פתיחה'!$2:$110,96,0),0)*(1-D$309)</f>
        <v>0</v>
      </c>
      <c r="E242" s="50">
        <f>+IFERROR(HLOOKUP(E9,'סקרי נכסים-יתרות פתיחה'!$2:$110,38,0),0)-IFERROR(HLOOKUP(E9,'סקרי נכסים-יתרות פתיחה'!$2:$110,96,0),0)*(1-E$309)</f>
        <v>0</v>
      </c>
      <c r="F242" s="50">
        <f>+IFERROR(HLOOKUP(F9,'סקרי נכסים-יתרות פתיחה'!$2:$110,38,0),0)-IFERROR(HLOOKUP(F9,'סקרי נכסים-יתרות פתיחה'!$2:$110,96,0),0)*(1-F$309)</f>
        <v>0</v>
      </c>
      <c r="G242" s="50">
        <f>+IFERROR(HLOOKUP(G9,'סקרי נכסים-יתרות פתיחה'!$2:$110,38,0),0)-IFERROR(HLOOKUP(G9,'סקרי נכסים-יתרות פתיחה'!$2:$110,96,0),0)*(1-G$309)</f>
        <v>0</v>
      </c>
      <c r="H242" s="50">
        <f>+IFERROR(HLOOKUP(H9,'סקרי נכסים-יתרות פתיחה'!$2:$110,38,0),0)-IFERROR(HLOOKUP(H9,'סקרי נכסים-יתרות פתיחה'!$2:$110,96,0),0)*(1-H$309)</f>
        <v>0</v>
      </c>
      <c r="I242" s="50">
        <f>+IFERROR(HLOOKUP(I9,'סקרי נכסים-יתרות פתיחה'!$2:$110,38,0),0)-IFERROR(HLOOKUP(I9,'סקרי נכסים-יתרות פתיחה'!$2:$110,96,0),0)*(1-I$309)</f>
        <v>0</v>
      </c>
      <c r="J242" s="50">
        <f>+IFERROR(HLOOKUP(J9,'סקרי נכסים-יתרות פתיחה'!$2:$110,38,0),0)-IFERROR(HLOOKUP(J9,'סקרי נכסים-יתרות פתיחה'!$2:$110,96,0),0)*(1-J$309)</f>
        <v>0</v>
      </c>
      <c r="K242" s="50">
        <f>+IFERROR(HLOOKUP(K9,'סקרי נכסים-יתרות פתיחה'!$2:$110,38,0),0)-IFERROR(HLOOKUP(K9,'סקרי נכסים-יתרות פתיחה'!$2:$110,96,0),0)*(1-K$309)</f>
        <v>0</v>
      </c>
      <c r="L242" s="50">
        <f>+IFERROR(HLOOKUP(L9,'סקרי נכסים-יתרות פתיחה'!$2:$110,38,0),0)-IFERROR(HLOOKUP(L9,'סקרי נכסים-יתרות פתיחה'!$2:$110,96,0),0)*(1-L$309)</f>
        <v>0</v>
      </c>
      <c r="M242" s="50">
        <f>+IFERROR(HLOOKUP(M9,'סקרי נכסים-יתרות פתיחה'!$2:$110,38,0),0)-IFERROR(HLOOKUP(M9,'סקרי נכסים-יתרות פתיחה'!$2:$110,96,0),0)*(1-M$309)</f>
        <v>0</v>
      </c>
      <c r="N242" s="50">
        <f>+IFERROR(HLOOKUP(N9,'סקרי נכסים-יתרות פתיחה'!$2:$110,38,0),0)-IFERROR(HLOOKUP(N9,'סקרי נכסים-יתרות פתיחה'!$2:$110,96,0),0)*(1-N$309)</f>
        <v>0</v>
      </c>
      <c r="O242" s="50">
        <f>+IFERROR(HLOOKUP(O9,'סקרי נכסים-יתרות פתיחה'!$2:$110,38,0),0)-IFERROR(HLOOKUP(O9,'סקרי נכסים-יתרות פתיחה'!$2:$110,96,0),0)*(1-O$309)</f>
        <v>0</v>
      </c>
      <c r="P242" s="50">
        <f>+IFERROR(HLOOKUP(P9,'סקרי נכסים-יתרות פתיחה'!$2:$110,38,0),0)-IFERROR(HLOOKUP(P9,'סקרי נכסים-יתרות פתיחה'!$2:$110,96,0),0)*(1-P$309)</f>
        <v>0</v>
      </c>
      <c r="Q242" s="50">
        <f>+IFERROR(HLOOKUP(Q9,'סקרי נכסים-יתרות פתיחה'!$2:$110,38,0),0)-IFERROR(HLOOKUP(Q9,'סקרי נכסים-יתרות פתיחה'!$2:$110,96,0),0)*(1-Q$309)</f>
        <v>0</v>
      </c>
      <c r="R242" s="50">
        <f>+IFERROR(HLOOKUP(R9,'סקרי נכסים-יתרות פתיחה'!$2:$110,38,0),0)-IFERROR(HLOOKUP(R9,'סקרי נכסים-יתרות פתיחה'!$2:$110,96,0),0)*(1-R$309)</f>
        <v>0</v>
      </c>
      <c r="S242" s="50">
        <f>+IFERROR(HLOOKUP(S9,'סקרי נכסים-יתרות פתיחה'!$2:$110,38,0),0)-IFERROR(HLOOKUP(S9,'סקרי נכסים-יתרות פתיחה'!$2:$110,96,0),0)*(1-S$309)</f>
        <v>0</v>
      </c>
      <c r="T242" s="50">
        <f>+IFERROR(HLOOKUP(T9,'סקרי נכסים-יתרות פתיחה'!$2:$110,38,0),0)-IFERROR(HLOOKUP(T9,'סקרי נכסים-יתרות פתיחה'!$2:$110,96,0),0)*(1-T$309)</f>
        <v>0</v>
      </c>
      <c r="U242" s="50">
        <f>+IFERROR(HLOOKUP(U9,'סקרי נכסים-יתרות פתיחה'!$2:$110,38,0),0)-IFERROR(HLOOKUP(U9,'סקרי נכסים-יתרות פתיחה'!$2:$110,96,0),0)*(1-U$309)</f>
        <v>0</v>
      </c>
      <c r="V242" s="50">
        <f>+IFERROR(HLOOKUP(V9,'סקרי נכסים-יתרות פתיחה'!$2:$110,38,0),0)-IFERROR(HLOOKUP(V9,'סקרי נכסים-יתרות פתיחה'!$2:$110,96,0),0)*(1-V$309)</f>
        <v>0</v>
      </c>
      <c r="W242" s="50">
        <f>+IFERROR(HLOOKUP(W9,'סקרי נכסים-יתרות פתיחה'!$2:$110,38,0),0)-IFERROR(HLOOKUP(W9,'סקרי נכסים-יתרות פתיחה'!$2:$110,96,0),0)*(1-W$309)</f>
        <v>0</v>
      </c>
      <c r="X242" s="50">
        <f>+IFERROR(HLOOKUP(X9,'סקרי נכסים-יתרות פתיחה'!$2:$110,38,0),0)-IFERROR(HLOOKUP(X9,'סקרי נכסים-יתרות פתיחה'!$2:$110,96,0),0)*(1-X$309)</f>
        <v>0</v>
      </c>
      <c r="Y242" s="50">
        <f>+IFERROR(HLOOKUP(Y9,'סקרי נכסים-יתרות פתיחה'!$2:$110,38,0),0)-IFERROR(HLOOKUP(Y9,'סקרי נכסים-יתרות פתיחה'!$2:$110,96,0),0)*(1-Y$309)</f>
        <v>0</v>
      </c>
      <c r="Z242" s="50">
        <f>+IFERROR(HLOOKUP(Z9,'סקרי נכסים-יתרות פתיחה'!$2:$110,38,0),0)-IFERROR(HLOOKUP(Z9,'סקרי נכסים-יתרות פתיחה'!$2:$110,96,0),0)*(1-Z$309)</f>
        <v>0</v>
      </c>
      <c r="AA242" s="50">
        <f>+IFERROR(HLOOKUP(AA9,'סקרי נכסים-יתרות פתיחה'!$2:$110,38,0),0)-IFERROR(HLOOKUP(AA9,'סקרי נכסים-יתרות פתיחה'!$2:$110,96,0),0)*(1-AA$309)</f>
        <v>0</v>
      </c>
      <c r="AB242" s="50">
        <f>+IFERROR(HLOOKUP(AB9,'סקרי נכסים-יתרות פתיחה'!$2:$110,38,0),0)-IFERROR(HLOOKUP(AB9,'סקרי נכסים-יתרות פתיחה'!$2:$110,96,0),0)*(1-AB$309)</f>
        <v>0</v>
      </c>
      <c r="AC242" s="50">
        <f>+IFERROR(HLOOKUP(AC9,'סקרי נכסים-יתרות פתיחה'!$2:$110,38,0),0)-IFERROR(HLOOKUP(AC9,'סקרי נכסים-יתרות פתיחה'!$2:$110,96,0),0)*(1-AC$309)</f>
        <v>0</v>
      </c>
      <c r="AD242" s="50">
        <f>+IFERROR(HLOOKUP(AD9,'סקרי נכסים-יתרות פתיחה'!$2:$110,38,0),0)-IFERROR(HLOOKUP(AD9,'סקרי נכסים-יתרות פתיחה'!$2:$110,96,0),0)*(1-AD$309)</f>
        <v>0</v>
      </c>
      <c r="AE242" s="50">
        <f>+IFERROR(HLOOKUP(AE9,'סקרי נכסים-יתרות פתיחה'!$2:$110,38,0),0)-IFERROR(HLOOKUP(AE9,'סקרי נכסים-יתרות פתיחה'!$2:$110,96,0),0)*(1-AE$309)</f>
        <v>0</v>
      </c>
      <c r="AF242" s="50">
        <f>+IFERROR(HLOOKUP(AF9,'סקרי נכסים-יתרות פתיחה'!$2:$110,38,0),0)-IFERROR(HLOOKUP(AF9,'סקרי נכסים-יתרות פתיחה'!$2:$110,96,0),0)*(1-AF$309)</f>
        <v>0</v>
      </c>
      <c r="AG242" s="50">
        <f>+IFERROR(HLOOKUP(AG9,'סקרי נכסים-יתרות פתיחה'!$2:$110,38,0),0)-IFERROR(HLOOKUP(AG9,'סקרי נכסים-יתרות פתיחה'!$2:$110,96,0),0)*(1-AG$309)</f>
        <v>0</v>
      </c>
      <c r="AH242" s="50">
        <f>+IFERROR(HLOOKUP(AH9,'סקרי נכסים-יתרות פתיחה'!$2:$110,38,0),0)-IFERROR(HLOOKUP(AH9,'סקרי נכסים-יתרות פתיחה'!$2:$110,96,0),0)*(1-AH$309)</f>
        <v>0</v>
      </c>
      <c r="AI242" s="50">
        <f>+IFERROR(HLOOKUP(AI9,'סקרי נכסים-יתרות פתיחה'!$2:$110,38,0),0)-IFERROR(HLOOKUP(AI9,'סקרי נכסים-יתרות פתיחה'!$2:$110,96,0),0)*(1-AI$309)</f>
        <v>0</v>
      </c>
      <c r="AJ242" s="50">
        <f>+IFERROR(HLOOKUP(AJ9,'סקרי נכסים-יתרות פתיחה'!$2:$110,38,0),0)-IFERROR(HLOOKUP(AJ9,'סקרי נכסים-יתרות פתיחה'!$2:$110,96,0),0)*(1-AJ$309)</f>
        <v>0</v>
      </c>
      <c r="AK242" s="50">
        <f>+IFERROR(HLOOKUP(AK9,'סקרי נכסים-יתרות פתיחה'!$2:$110,38,0),0)-IFERROR(HLOOKUP(AK9,'סקרי נכסים-יתרות פתיחה'!$2:$110,96,0),0)*(1-AK$309)</f>
        <v>0</v>
      </c>
      <c r="AL242" s="50">
        <f>+IFERROR(HLOOKUP(AL9,'סקרי נכסים-יתרות פתיחה'!$2:$110,38,0),0)-IFERROR(HLOOKUP(AL9,'סקרי נכסים-יתרות פתיחה'!$2:$110,96,0),0)*(1-AL$309)</f>
        <v>0</v>
      </c>
      <c r="AM242" s="50">
        <f>+IFERROR(HLOOKUP(AM9,'סקרי נכסים-יתרות פתיחה'!$2:$110,38,0),0)-IFERROR(HLOOKUP(AM9,'סקרי נכסים-יתרות פתיחה'!$2:$110,96,0),0)*(1-AM$309)</f>
        <v>0</v>
      </c>
      <c r="AN242" s="50">
        <f>+IFERROR(HLOOKUP(AN9,'סקרי נכסים-יתרות פתיחה'!$2:$110,38,0),0)-IFERROR(HLOOKUP(AN9,'סקרי נכסים-יתרות פתיחה'!$2:$110,96,0),0)*(1-AN$309)</f>
        <v>0</v>
      </c>
      <c r="AO242" s="50">
        <f>+IFERROR(HLOOKUP(AO9,'סקרי נכסים-יתרות פתיחה'!$2:$110,38,0),0)-IFERROR(HLOOKUP(AO9,'סקרי נכסים-יתרות פתיחה'!$2:$110,96,0),0)*(1-AO$309)</f>
        <v>0</v>
      </c>
      <c r="AP242" s="50">
        <f>+IFERROR(HLOOKUP(AP9,'סקרי נכסים-יתרות פתיחה'!$2:$110,38,0),0)-IFERROR(HLOOKUP(AP9,'סקרי נכסים-יתרות פתיחה'!$2:$110,96,0),0)*(1-AP$309)</f>
        <v>0</v>
      </c>
      <c r="AQ242" s="50">
        <f>+IFERROR(HLOOKUP(AQ9,'סקרי נכסים-יתרות פתיחה'!$2:$110,38,0),0)-IFERROR(HLOOKUP(AQ9,'סקרי נכסים-יתרות פתיחה'!$2:$110,96,0),0)*(1-AQ$309)</f>
        <v>0</v>
      </c>
      <c r="AR242" s="50">
        <f>+IFERROR(HLOOKUP(AR9,'סקרי נכסים-יתרות פתיחה'!$2:$110,38,0),0)-IFERROR(HLOOKUP(AR9,'סקרי נכסים-יתרות פתיחה'!$2:$110,96,0),0)*(1-AR$309)</f>
        <v>0</v>
      </c>
      <c r="AS242" s="50">
        <f>+IFERROR(HLOOKUP(AS9,'סקרי נכסים-יתרות פתיחה'!$2:$110,38,0),0)-IFERROR(HLOOKUP(AS9,'סקרי נכסים-יתרות פתיחה'!$2:$110,96,0),0)*(1-AS$309)</f>
        <v>0</v>
      </c>
      <c r="AT242" s="50">
        <f>+IFERROR(HLOOKUP(AT9,'סקרי נכסים-יתרות פתיחה'!$2:$110,38,0),0)-IFERROR(HLOOKUP(AT9,'סקרי נכסים-יתרות פתיחה'!$2:$110,96,0),0)*(1-AT$309)</f>
        <v>0</v>
      </c>
      <c r="AU242" s="50">
        <f>+IFERROR(HLOOKUP(AU9,'סקרי נכסים-יתרות פתיחה'!$2:$110,38,0),0)-IFERROR(HLOOKUP(AU9,'סקרי נכסים-יתרות פתיחה'!$2:$110,96,0),0)*(1-AU$309)</f>
        <v>0</v>
      </c>
      <c r="AV242" s="50">
        <f>+IFERROR(HLOOKUP(AV9,'סקרי נכסים-יתרות פתיחה'!$2:$110,38,0),0)-IFERROR(HLOOKUP(AV9,'סקרי נכסים-יתרות פתיחה'!$2:$110,96,0),0)*(1-AV$309)</f>
        <v>0</v>
      </c>
      <c r="AW242" s="50">
        <f>+IFERROR(HLOOKUP(AW9,'סקרי נכסים-יתרות פתיחה'!$2:$110,38,0),0)-IFERROR(HLOOKUP(AW9,'סקרי נכסים-יתרות פתיחה'!$2:$110,96,0),0)*(1-AW$309)</f>
        <v>0</v>
      </c>
      <c r="AX242" s="50">
        <f>+IFERROR(HLOOKUP(AX9,'סקרי נכסים-יתרות פתיחה'!$2:$110,38,0),0)-IFERROR(HLOOKUP(AX9,'סקרי נכסים-יתרות פתיחה'!$2:$110,96,0),0)*(1-AX$309)</f>
        <v>0</v>
      </c>
      <c r="AY242" s="50">
        <f>+IFERROR(HLOOKUP(AY9,'סקרי נכסים-יתרות פתיחה'!$2:$110,38,0),0)-IFERROR(HLOOKUP(AY9,'סקרי נכסים-יתרות פתיחה'!$2:$110,96,0),0)*(1-AY$309)</f>
        <v>0</v>
      </c>
      <c r="AZ242" s="50">
        <f>+IFERROR(HLOOKUP(AZ9,'סקרי נכסים-יתרות פתיחה'!$2:$110,38,0),0)-IFERROR(HLOOKUP(AZ9,'סקרי נכסים-יתרות פתיחה'!$2:$110,96,0),0)*(1-AZ$309)</f>
        <v>0</v>
      </c>
      <c r="BA242" s="50">
        <f>+IFERROR(HLOOKUP(BA9,'סקרי נכסים-יתרות פתיחה'!$2:$110,38,0),0)-IFERROR(HLOOKUP(BA9,'סקרי נכסים-יתרות פתיחה'!$2:$110,96,0),0)*(1-BA$309)</f>
        <v>0</v>
      </c>
      <c r="BB242" s="50">
        <f>+IFERROR(HLOOKUP(BB9,'סקרי נכסים-יתרות פתיחה'!$2:$110,38,0),0)-IFERROR(HLOOKUP(BB9,'סקרי נכסים-יתרות פתיחה'!$2:$110,96,0),0)*(1-BB$309)</f>
        <v>0</v>
      </c>
      <c r="BC242" s="50">
        <f>+IFERROR(HLOOKUP(BC9,'סקרי נכסים-יתרות פתיחה'!$2:$110,38,0),0)-IFERROR(HLOOKUP(BC9,'סקרי נכסים-יתרות פתיחה'!$2:$110,96,0),0)*(1-BC$309)</f>
        <v>0</v>
      </c>
      <c r="BD242" s="50">
        <f>+IFERROR(HLOOKUP(BD9,'סקרי נכסים-יתרות פתיחה'!$2:$110,38,0),0)-IFERROR(HLOOKUP(BD9,'סקרי נכסים-יתרות פתיחה'!$2:$110,96,0),0)*(1-BD$309)</f>
        <v>0</v>
      </c>
      <c r="BE242" s="50">
        <f>+IFERROR(HLOOKUP(BE9,'סקרי נכסים-יתרות פתיחה'!$2:$110,38,0),0)-IFERROR(HLOOKUP(BE9,'סקרי נכסים-יתרות פתיחה'!$2:$110,96,0),0)*(1-BE$309)</f>
        <v>0</v>
      </c>
      <c r="BF242" s="50">
        <f>+IFERROR(HLOOKUP(BF9,'סקרי נכסים-יתרות פתיחה'!$2:$110,38,0),0)-IFERROR(HLOOKUP(BF9,'סקרי נכסים-יתרות פתיחה'!$2:$110,96,0),0)*(1-BF$309)</f>
        <v>0</v>
      </c>
    </row>
    <row r="243" spans="2:58" x14ac:dyDescent="0.2">
      <c r="B243" s="1">
        <v>7</v>
      </c>
      <c r="C243" s="50">
        <f>+IFERROR(HLOOKUP(C10,'סקרי נכסים-יתרות פתיחה'!$2:$110,38,0),0)-IFERROR(HLOOKUP(C10,'סקרי נכסים-יתרות פתיחה'!$2:$110,96,0),0)*(1-C$309)</f>
        <v>0</v>
      </c>
      <c r="D243" s="50">
        <f>+IFERROR(HLOOKUP(D10,'סקרי נכסים-יתרות פתיחה'!$2:$110,38,0),0)-IFERROR(HLOOKUP(D10,'סקרי נכסים-יתרות פתיחה'!$2:$110,96,0),0)*(1-D$309)</f>
        <v>0</v>
      </c>
      <c r="E243" s="50">
        <f>+IFERROR(HLOOKUP(E10,'סקרי נכסים-יתרות פתיחה'!$2:$110,38,0),0)-IFERROR(HLOOKUP(E10,'סקרי נכסים-יתרות פתיחה'!$2:$110,96,0),0)*(1-E$309)</f>
        <v>0</v>
      </c>
      <c r="F243" s="50">
        <f>+IFERROR(HLOOKUP(F10,'סקרי נכסים-יתרות פתיחה'!$2:$110,38,0),0)-IFERROR(HLOOKUP(F10,'סקרי נכסים-יתרות פתיחה'!$2:$110,96,0),0)*(1-F$309)</f>
        <v>0</v>
      </c>
      <c r="G243" s="50">
        <f>+IFERROR(HLOOKUP(G10,'סקרי נכסים-יתרות פתיחה'!$2:$110,38,0),0)-IFERROR(HLOOKUP(G10,'סקרי נכסים-יתרות פתיחה'!$2:$110,96,0),0)*(1-G$309)</f>
        <v>0</v>
      </c>
      <c r="H243" s="50">
        <f>+IFERROR(HLOOKUP(H10,'סקרי נכסים-יתרות פתיחה'!$2:$110,38,0),0)-IFERROR(HLOOKUP(H10,'סקרי נכסים-יתרות פתיחה'!$2:$110,96,0),0)*(1-H$309)</f>
        <v>0</v>
      </c>
      <c r="I243" s="50">
        <f>+IFERROR(HLOOKUP(I10,'סקרי נכסים-יתרות פתיחה'!$2:$110,38,0),0)-IFERROR(HLOOKUP(I10,'סקרי נכסים-יתרות פתיחה'!$2:$110,96,0),0)*(1-I$309)</f>
        <v>0</v>
      </c>
      <c r="J243" s="50">
        <f>+IFERROR(HLOOKUP(J10,'סקרי נכסים-יתרות פתיחה'!$2:$110,38,0),0)-IFERROR(HLOOKUP(J10,'סקרי נכסים-יתרות פתיחה'!$2:$110,96,0),0)*(1-J$309)</f>
        <v>0</v>
      </c>
      <c r="K243" s="50">
        <f>+IFERROR(HLOOKUP(K10,'סקרי נכסים-יתרות פתיחה'!$2:$110,38,0),0)-IFERROR(HLOOKUP(K10,'סקרי נכסים-יתרות פתיחה'!$2:$110,96,0),0)*(1-K$309)</f>
        <v>0</v>
      </c>
      <c r="L243" s="50">
        <f>+IFERROR(HLOOKUP(L10,'סקרי נכסים-יתרות פתיחה'!$2:$110,38,0),0)-IFERROR(HLOOKUP(L10,'סקרי נכסים-יתרות פתיחה'!$2:$110,96,0),0)*(1-L$309)</f>
        <v>0</v>
      </c>
      <c r="M243" s="50">
        <f>+IFERROR(HLOOKUP(M10,'סקרי נכסים-יתרות פתיחה'!$2:$110,38,0),0)-IFERROR(HLOOKUP(M10,'סקרי נכסים-יתרות פתיחה'!$2:$110,96,0),0)*(1-M$309)</f>
        <v>0</v>
      </c>
      <c r="N243" s="50">
        <f>+IFERROR(HLOOKUP(N10,'סקרי נכסים-יתרות פתיחה'!$2:$110,38,0),0)-IFERROR(HLOOKUP(N10,'סקרי נכסים-יתרות פתיחה'!$2:$110,96,0),0)*(1-N$309)</f>
        <v>0</v>
      </c>
      <c r="O243" s="50">
        <f>+IFERROR(HLOOKUP(O10,'סקרי נכסים-יתרות פתיחה'!$2:$110,38,0),0)-IFERROR(HLOOKUP(O10,'סקרי נכסים-יתרות פתיחה'!$2:$110,96,0),0)*(1-O$309)</f>
        <v>0</v>
      </c>
      <c r="P243" s="50">
        <f>+IFERROR(HLOOKUP(P10,'סקרי נכסים-יתרות פתיחה'!$2:$110,38,0),0)-IFERROR(HLOOKUP(P10,'סקרי נכסים-יתרות פתיחה'!$2:$110,96,0),0)*(1-P$309)</f>
        <v>0</v>
      </c>
      <c r="Q243" s="50">
        <f>+IFERROR(HLOOKUP(Q10,'סקרי נכסים-יתרות פתיחה'!$2:$110,38,0),0)-IFERROR(HLOOKUP(Q10,'סקרי נכסים-יתרות פתיחה'!$2:$110,96,0),0)*(1-Q$309)</f>
        <v>0</v>
      </c>
      <c r="R243" s="50">
        <f>+IFERROR(HLOOKUP(R10,'סקרי נכסים-יתרות פתיחה'!$2:$110,38,0),0)-IFERROR(HLOOKUP(R10,'סקרי נכסים-יתרות פתיחה'!$2:$110,96,0),0)*(1-R$309)</f>
        <v>0</v>
      </c>
      <c r="S243" s="50">
        <f>+IFERROR(HLOOKUP(S10,'סקרי נכסים-יתרות פתיחה'!$2:$110,38,0),0)-IFERROR(HLOOKUP(S10,'סקרי נכסים-יתרות פתיחה'!$2:$110,96,0),0)*(1-S$309)</f>
        <v>0</v>
      </c>
      <c r="T243" s="50">
        <f>+IFERROR(HLOOKUP(T10,'סקרי נכסים-יתרות פתיחה'!$2:$110,38,0),0)-IFERROR(HLOOKUP(T10,'סקרי נכסים-יתרות פתיחה'!$2:$110,96,0),0)*(1-T$309)</f>
        <v>0</v>
      </c>
      <c r="U243" s="50">
        <f>+IFERROR(HLOOKUP(U10,'סקרי נכסים-יתרות פתיחה'!$2:$110,38,0),0)-IFERROR(HLOOKUP(U10,'סקרי נכסים-יתרות פתיחה'!$2:$110,96,0),0)*(1-U$309)</f>
        <v>0</v>
      </c>
      <c r="V243" s="50">
        <f>+IFERROR(HLOOKUP(V10,'סקרי נכסים-יתרות פתיחה'!$2:$110,38,0),0)-IFERROR(HLOOKUP(V10,'סקרי נכסים-יתרות פתיחה'!$2:$110,96,0),0)*(1-V$309)</f>
        <v>0</v>
      </c>
      <c r="W243" s="50">
        <f>+IFERROR(HLOOKUP(W10,'סקרי נכסים-יתרות פתיחה'!$2:$110,38,0),0)-IFERROR(HLOOKUP(W10,'סקרי נכסים-יתרות פתיחה'!$2:$110,96,0),0)*(1-W$309)</f>
        <v>0</v>
      </c>
      <c r="X243" s="50">
        <f>+IFERROR(HLOOKUP(X10,'סקרי נכסים-יתרות פתיחה'!$2:$110,38,0),0)-IFERROR(HLOOKUP(X10,'סקרי נכסים-יתרות פתיחה'!$2:$110,96,0),0)*(1-X$309)</f>
        <v>0</v>
      </c>
      <c r="Y243" s="50">
        <f>+IFERROR(HLOOKUP(Y10,'סקרי נכסים-יתרות פתיחה'!$2:$110,38,0),0)-IFERROR(HLOOKUP(Y10,'סקרי נכסים-יתרות פתיחה'!$2:$110,96,0),0)*(1-Y$309)</f>
        <v>0</v>
      </c>
      <c r="Z243" s="50">
        <f>+IFERROR(HLOOKUP(Z10,'סקרי נכסים-יתרות פתיחה'!$2:$110,38,0),0)-IFERROR(HLOOKUP(Z10,'סקרי נכסים-יתרות פתיחה'!$2:$110,96,0),0)*(1-Z$309)</f>
        <v>0</v>
      </c>
      <c r="AA243" s="50">
        <f>+IFERROR(HLOOKUP(AA10,'סקרי נכסים-יתרות פתיחה'!$2:$110,38,0),0)-IFERROR(HLOOKUP(AA10,'סקרי נכסים-יתרות פתיחה'!$2:$110,96,0),0)*(1-AA$309)</f>
        <v>0</v>
      </c>
      <c r="AB243" s="50">
        <f>+IFERROR(HLOOKUP(AB10,'סקרי נכסים-יתרות פתיחה'!$2:$110,38,0),0)-IFERROR(HLOOKUP(AB10,'סקרי נכסים-יתרות פתיחה'!$2:$110,96,0),0)*(1-AB$309)</f>
        <v>0</v>
      </c>
      <c r="AC243" s="50">
        <f>+IFERROR(HLOOKUP(AC10,'סקרי נכסים-יתרות פתיחה'!$2:$110,38,0),0)-IFERROR(HLOOKUP(AC10,'סקרי נכסים-יתרות פתיחה'!$2:$110,96,0),0)*(1-AC$309)</f>
        <v>0</v>
      </c>
      <c r="AD243" s="50">
        <f>+IFERROR(HLOOKUP(AD10,'סקרי נכסים-יתרות פתיחה'!$2:$110,38,0),0)-IFERROR(HLOOKUP(AD10,'סקרי נכסים-יתרות פתיחה'!$2:$110,96,0),0)*(1-AD$309)</f>
        <v>0</v>
      </c>
      <c r="AE243" s="50">
        <f>+IFERROR(HLOOKUP(AE10,'סקרי נכסים-יתרות פתיחה'!$2:$110,38,0),0)-IFERROR(HLOOKUP(AE10,'סקרי נכסים-יתרות פתיחה'!$2:$110,96,0),0)*(1-AE$309)</f>
        <v>0</v>
      </c>
      <c r="AF243" s="50">
        <f>+IFERROR(HLOOKUP(AF10,'סקרי נכסים-יתרות פתיחה'!$2:$110,38,0),0)-IFERROR(HLOOKUP(AF10,'סקרי נכסים-יתרות פתיחה'!$2:$110,96,0),0)*(1-AF$309)</f>
        <v>0</v>
      </c>
      <c r="AG243" s="50">
        <f>+IFERROR(HLOOKUP(AG10,'סקרי נכסים-יתרות פתיחה'!$2:$110,38,0),0)-IFERROR(HLOOKUP(AG10,'סקרי נכסים-יתרות פתיחה'!$2:$110,96,0),0)*(1-AG$309)</f>
        <v>0</v>
      </c>
      <c r="AH243" s="50">
        <f>+IFERROR(HLOOKUP(AH10,'סקרי נכסים-יתרות פתיחה'!$2:$110,38,0),0)-IFERROR(HLOOKUP(AH10,'סקרי נכסים-יתרות פתיחה'!$2:$110,96,0),0)*(1-AH$309)</f>
        <v>0</v>
      </c>
      <c r="AI243" s="50">
        <f>+IFERROR(HLOOKUP(AI10,'סקרי נכסים-יתרות פתיחה'!$2:$110,38,0),0)-IFERROR(HLOOKUP(AI10,'סקרי נכסים-יתרות פתיחה'!$2:$110,96,0),0)*(1-AI$309)</f>
        <v>0</v>
      </c>
      <c r="AJ243" s="50">
        <f>+IFERROR(HLOOKUP(AJ10,'סקרי נכסים-יתרות פתיחה'!$2:$110,38,0),0)-IFERROR(HLOOKUP(AJ10,'סקרי נכסים-יתרות פתיחה'!$2:$110,96,0),0)*(1-AJ$309)</f>
        <v>0</v>
      </c>
      <c r="AK243" s="50">
        <f>+IFERROR(HLOOKUP(AK10,'סקרי נכסים-יתרות פתיחה'!$2:$110,38,0),0)-IFERROR(HLOOKUP(AK10,'סקרי נכסים-יתרות פתיחה'!$2:$110,96,0),0)*(1-AK$309)</f>
        <v>0</v>
      </c>
      <c r="AL243" s="50">
        <f>+IFERROR(HLOOKUP(AL10,'סקרי נכסים-יתרות פתיחה'!$2:$110,38,0),0)-IFERROR(HLOOKUP(AL10,'סקרי נכסים-יתרות פתיחה'!$2:$110,96,0),0)*(1-AL$309)</f>
        <v>0</v>
      </c>
      <c r="AM243" s="50">
        <f>+IFERROR(HLOOKUP(AM10,'סקרי נכסים-יתרות פתיחה'!$2:$110,38,0),0)-IFERROR(HLOOKUP(AM10,'סקרי נכסים-יתרות פתיחה'!$2:$110,96,0),0)*(1-AM$309)</f>
        <v>0</v>
      </c>
      <c r="AN243" s="50">
        <f>+IFERROR(HLOOKUP(AN10,'סקרי נכסים-יתרות פתיחה'!$2:$110,38,0),0)-IFERROR(HLOOKUP(AN10,'סקרי נכסים-יתרות פתיחה'!$2:$110,96,0),0)*(1-AN$309)</f>
        <v>0</v>
      </c>
      <c r="AO243" s="50">
        <f>+IFERROR(HLOOKUP(AO10,'סקרי נכסים-יתרות פתיחה'!$2:$110,38,0),0)-IFERROR(HLOOKUP(AO10,'סקרי נכסים-יתרות פתיחה'!$2:$110,96,0),0)*(1-AO$309)</f>
        <v>0</v>
      </c>
      <c r="AP243" s="50">
        <f>+IFERROR(HLOOKUP(AP10,'סקרי נכסים-יתרות פתיחה'!$2:$110,38,0),0)-IFERROR(HLOOKUP(AP10,'סקרי נכסים-יתרות פתיחה'!$2:$110,96,0),0)*(1-AP$309)</f>
        <v>0</v>
      </c>
      <c r="AQ243" s="50">
        <f>+IFERROR(HLOOKUP(AQ10,'סקרי נכסים-יתרות פתיחה'!$2:$110,38,0),0)-IFERROR(HLOOKUP(AQ10,'סקרי נכסים-יתרות פתיחה'!$2:$110,96,0),0)*(1-AQ$309)</f>
        <v>0</v>
      </c>
      <c r="AR243" s="50">
        <f>+IFERROR(HLOOKUP(AR10,'סקרי נכסים-יתרות פתיחה'!$2:$110,38,0),0)-IFERROR(HLOOKUP(AR10,'סקרי נכסים-יתרות פתיחה'!$2:$110,96,0),0)*(1-AR$309)</f>
        <v>0</v>
      </c>
      <c r="AS243" s="50">
        <f>+IFERROR(HLOOKUP(AS10,'סקרי נכסים-יתרות פתיחה'!$2:$110,38,0),0)-IFERROR(HLOOKUP(AS10,'סקרי נכסים-יתרות פתיחה'!$2:$110,96,0),0)*(1-AS$309)</f>
        <v>0</v>
      </c>
      <c r="AT243" s="50">
        <f>+IFERROR(HLOOKUP(AT10,'סקרי נכסים-יתרות פתיחה'!$2:$110,38,0),0)-IFERROR(HLOOKUP(AT10,'סקרי נכסים-יתרות פתיחה'!$2:$110,96,0),0)*(1-AT$309)</f>
        <v>0</v>
      </c>
      <c r="AU243" s="50">
        <f>+IFERROR(HLOOKUP(AU10,'סקרי נכסים-יתרות פתיחה'!$2:$110,38,0),0)-IFERROR(HLOOKUP(AU10,'סקרי נכסים-יתרות פתיחה'!$2:$110,96,0),0)*(1-AU$309)</f>
        <v>0</v>
      </c>
      <c r="AV243" s="50">
        <f>+IFERROR(HLOOKUP(AV10,'סקרי נכסים-יתרות פתיחה'!$2:$110,38,0),0)-IFERROR(HLOOKUP(AV10,'סקרי נכסים-יתרות פתיחה'!$2:$110,96,0),0)*(1-AV$309)</f>
        <v>0</v>
      </c>
      <c r="AW243" s="50">
        <f>+IFERROR(HLOOKUP(AW10,'סקרי נכסים-יתרות פתיחה'!$2:$110,38,0),0)-IFERROR(HLOOKUP(AW10,'סקרי נכסים-יתרות פתיחה'!$2:$110,96,0),0)*(1-AW$309)</f>
        <v>0</v>
      </c>
      <c r="AX243" s="50">
        <f>+IFERROR(HLOOKUP(AX10,'סקרי נכסים-יתרות פתיחה'!$2:$110,38,0),0)-IFERROR(HLOOKUP(AX10,'סקרי נכסים-יתרות פתיחה'!$2:$110,96,0),0)*(1-AX$309)</f>
        <v>0</v>
      </c>
      <c r="AY243" s="50">
        <f>+IFERROR(HLOOKUP(AY10,'סקרי נכסים-יתרות פתיחה'!$2:$110,38,0),0)-IFERROR(HLOOKUP(AY10,'סקרי נכסים-יתרות פתיחה'!$2:$110,96,0),0)*(1-AY$309)</f>
        <v>0</v>
      </c>
      <c r="AZ243" s="50">
        <f>+IFERROR(HLOOKUP(AZ10,'סקרי נכסים-יתרות פתיחה'!$2:$110,38,0),0)-IFERROR(HLOOKUP(AZ10,'סקרי נכסים-יתרות פתיחה'!$2:$110,96,0),0)*(1-AZ$309)</f>
        <v>0</v>
      </c>
      <c r="BA243" s="50">
        <f>+IFERROR(HLOOKUP(BA10,'סקרי נכסים-יתרות פתיחה'!$2:$110,38,0),0)-IFERROR(HLOOKUP(BA10,'סקרי נכסים-יתרות פתיחה'!$2:$110,96,0),0)*(1-BA$309)</f>
        <v>0</v>
      </c>
      <c r="BB243" s="50">
        <f>+IFERROR(HLOOKUP(BB10,'סקרי נכסים-יתרות פתיחה'!$2:$110,38,0),0)-IFERROR(HLOOKUP(BB10,'סקרי נכסים-יתרות פתיחה'!$2:$110,96,0),0)*(1-BB$309)</f>
        <v>0</v>
      </c>
      <c r="BC243" s="50">
        <f>+IFERROR(HLOOKUP(BC10,'סקרי נכסים-יתרות פתיחה'!$2:$110,38,0),0)-IFERROR(HLOOKUP(BC10,'סקרי נכסים-יתרות פתיחה'!$2:$110,96,0),0)*(1-BC$309)</f>
        <v>0</v>
      </c>
      <c r="BD243" s="50">
        <f>+IFERROR(HLOOKUP(BD10,'סקרי נכסים-יתרות פתיחה'!$2:$110,38,0),0)-IFERROR(HLOOKUP(BD10,'סקרי נכסים-יתרות פתיחה'!$2:$110,96,0),0)*(1-BD$309)</f>
        <v>0</v>
      </c>
      <c r="BE243" s="50">
        <f>+IFERROR(HLOOKUP(BE10,'סקרי נכסים-יתרות פתיחה'!$2:$110,38,0),0)-IFERROR(HLOOKUP(BE10,'סקרי נכסים-יתרות פתיחה'!$2:$110,96,0),0)*(1-BE$309)</f>
        <v>0</v>
      </c>
      <c r="BF243" s="50">
        <f>+IFERROR(HLOOKUP(BF10,'סקרי נכסים-יתרות פתיחה'!$2:$110,38,0),0)-IFERROR(HLOOKUP(BF10,'סקרי נכסים-יתרות פתיחה'!$2:$110,96,0),0)*(1-BF$309)</f>
        <v>0</v>
      </c>
    </row>
    <row r="244" spans="2:58" x14ac:dyDescent="0.2">
      <c r="B244" s="1">
        <v>8</v>
      </c>
      <c r="C244" s="50">
        <f>+IFERROR(HLOOKUP(C11,'סקרי נכסים-יתרות פתיחה'!$2:$110,38,0),0)-IFERROR(HLOOKUP(C11,'סקרי נכסים-יתרות פתיחה'!$2:$110,96,0),0)*(1-C$309)</f>
        <v>0</v>
      </c>
      <c r="D244" s="50">
        <f>+IFERROR(HLOOKUP(D11,'סקרי נכסים-יתרות פתיחה'!$2:$110,38,0),0)-IFERROR(HLOOKUP(D11,'סקרי נכסים-יתרות פתיחה'!$2:$110,96,0),0)*(1-D$309)</f>
        <v>0</v>
      </c>
      <c r="E244" s="50">
        <f>+IFERROR(HLOOKUP(E11,'סקרי נכסים-יתרות פתיחה'!$2:$110,38,0),0)-IFERROR(HLOOKUP(E11,'סקרי נכסים-יתרות פתיחה'!$2:$110,96,0),0)*(1-E$309)</f>
        <v>0</v>
      </c>
      <c r="F244" s="50">
        <f>+IFERROR(HLOOKUP(F11,'סקרי נכסים-יתרות פתיחה'!$2:$110,38,0),0)-IFERROR(HLOOKUP(F11,'סקרי נכסים-יתרות פתיחה'!$2:$110,96,0),0)*(1-F$309)</f>
        <v>0</v>
      </c>
      <c r="G244" s="50">
        <f>+IFERROR(HLOOKUP(G11,'סקרי נכסים-יתרות פתיחה'!$2:$110,38,0),0)-IFERROR(HLOOKUP(G11,'סקרי נכסים-יתרות פתיחה'!$2:$110,96,0),0)*(1-G$309)</f>
        <v>0</v>
      </c>
      <c r="H244" s="50">
        <f>+IFERROR(HLOOKUP(H11,'סקרי נכסים-יתרות פתיחה'!$2:$110,38,0),0)-IFERROR(HLOOKUP(H11,'סקרי נכסים-יתרות פתיחה'!$2:$110,96,0),0)*(1-H$309)</f>
        <v>0</v>
      </c>
      <c r="I244" s="50">
        <f>+IFERROR(HLOOKUP(I11,'סקרי נכסים-יתרות פתיחה'!$2:$110,38,0),0)-IFERROR(HLOOKUP(I11,'סקרי נכסים-יתרות פתיחה'!$2:$110,96,0),0)*(1-I$309)</f>
        <v>0</v>
      </c>
      <c r="J244" s="50">
        <f>+IFERROR(HLOOKUP(J11,'סקרי נכסים-יתרות פתיחה'!$2:$110,38,0),0)-IFERROR(HLOOKUP(J11,'סקרי נכסים-יתרות פתיחה'!$2:$110,96,0),0)*(1-J$309)</f>
        <v>0</v>
      </c>
      <c r="K244" s="50">
        <f>+IFERROR(HLOOKUP(K11,'סקרי נכסים-יתרות פתיחה'!$2:$110,38,0),0)-IFERROR(HLOOKUP(K11,'סקרי נכסים-יתרות פתיחה'!$2:$110,96,0),0)*(1-K$309)</f>
        <v>0</v>
      </c>
      <c r="L244" s="50">
        <f>+IFERROR(HLOOKUP(L11,'סקרי נכסים-יתרות פתיחה'!$2:$110,38,0),0)-IFERROR(HLOOKUP(L11,'סקרי נכסים-יתרות פתיחה'!$2:$110,96,0),0)*(1-L$309)</f>
        <v>0</v>
      </c>
      <c r="M244" s="50">
        <f>+IFERROR(HLOOKUP(M11,'סקרי נכסים-יתרות פתיחה'!$2:$110,38,0),0)-IFERROR(HLOOKUP(M11,'סקרי נכסים-יתרות פתיחה'!$2:$110,96,0),0)*(1-M$309)</f>
        <v>0</v>
      </c>
      <c r="N244" s="50">
        <f>+IFERROR(HLOOKUP(N11,'סקרי נכסים-יתרות פתיחה'!$2:$110,38,0),0)-IFERROR(HLOOKUP(N11,'סקרי נכסים-יתרות פתיחה'!$2:$110,96,0),0)*(1-N$309)</f>
        <v>0</v>
      </c>
      <c r="O244" s="50">
        <f>+IFERROR(HLOOKUP(O11,'סקרי נכסים-יתרות פתיחה'!$2:$110,38,0),0)-IFERROR(HLOOKUP(O11,'סקרי נכסים-יתרות פתיחה'!$2:$110,96,0),0)*(1-O$309)</f>
        <v>0</v>
      </c>
      <c r="P244" s="50">
        <f>+IFERROR(HLOOKUP(P11,'סקרי נכסים-יתרות פתיחה'!$2:$110,38,0),0)-IFERROR(HLOOKUP(P11,'סקרי נכסים-יתרות פתיחה'!$2:$110,96,0),0)*(1-P$309)</f>
        <v>0</v>
      </c>
      <c r="Q244" s="50">
        <f>+IFERROR(HLOOKUP(Q11,'סקרי נכסים-יתרות פתיחה'!$2:$110,38,0),0)-IFERROR(HLOOKUP(Q11,'סקרי נכסים-יתרות פתיחה'!$2:$110,96,0),0)*(1-Q$309)</f>
        <v>0</v>
      </c>
      <c r="R244" s="50">
        <f>+IFERROR(HLOOKUP(R11,'סקרי נכסים-יתרות פתיחה'!$2:$110,38,0),0)-IFERROR(HLOOKUP(R11,'סקרי נכסים-יתרות פתיחה'!$2:$110,96,0),0)*(1-R$309)</f>
        <v>0</v>
      </c>
      <c r="S244" s="50">
        <f>+IFERROR(HLOOKUP(S11,'סקרי נכסים-יתרות פתיחה'!$2:$110,38,0),0)-IFERROR(HLOOKUP(S11,'סקרי נכסים-יתרות פתיחה'!$2:$110,96,0),0)*(1-S$309)</f>
        <v>0</v>
      </c>
      <c r="T244" s="50">
        <f>+IFERROR(HLOOKUP(T11,'סקרי נכסים-יתרות פתיחה'!$2:$110,38,0),0)-IFERROR(HLOOKUP(T11,'סקרי נכסים-יתרות פתיחה'!$2:$110,96,0),0)*(1-T$309)</f>
        <v>0</v>
      </c>
      <c r="U244" s="50">
        <f>+IFERROR(HLOOKUP(U11,'סקרי נכסים-יתרות פתיחה'!$2:$110,38,0),0)-IFERROR(HLOOKUP(U11,'סקרי נכסים-יתרות פתיחה'!$2:$110,96,0),0)*(1-U$309)</f>
        <v>0</v>
      </c>
      <c r="V244" s="50">
        <f>+IFERROR(HLOOKUP(V11,'סקרי נכסים-יתרות פתיחה'!$2:$110,38,0),0)-IFERROR(HLOOKUP(V11,'סקרי נכסים-יתרות פתיחה'!$2:$110,96,0),0)*(1-V$309)</f>
        <v>0</v>
      </c>
      <c r="W244" s="50">
        <f>+IFERROR(HLOOKUP(W11,'סקרי נכסים-יתרות פתיחה'!$2:$110,38,0),0)-IFERROR(HLOOKUP(W11,'סקרי נכסים-יתרות פתיחה'!$2:$110,96,0),0)*(1-W$309)</f>
        <v>0</v>
      </c>
      <c r="X244" s="50">
        <f>+IFERROR(HLOOKUP(X11,'סקרי נכסים-יתרות פתיחה'!$2:$110,38,0),0)-IFERROR(HLOOKUP(X11,'סקרי נכסים-יתרות פתיחה'!$2:$110,96,0),0)*(1-X$309)</f>
        <v>0</v>
      </c>
      <c r="Y244" s="50">
        <f>+IFERROR(HLOOKUP(Y11,'סקרי נכסים-יתרות פתיחה'!$2:$110,38,0),0)-IFERROR(HLOOKUP(Y11,'סקרי נכסים-יתרות פתיחה'!$2:$110,96,0),0)*(1-Y$309)</f>
        <v>0</v>
      </c>
      <c r="Z244" s="50">
        <f>+IFERROR(HLOOKUP(Z11,'סקרי נכסים-יתרות פתיחה'!$2:$110,38,0),0)-IFERROR(HLOOKUP(Z11,'סקרי נכסים-יתרות פתיחה'!$2:$110,96,0),0)*(1-Z$309)</f>
        <v>0</v>
      </c>
      <c r="AA244" s="50">
        <f>+IFERROR(HLOOKUP(AA11,'סקרי נכסים-יתרות פתיחה'!$2:$110,38,0),0)-IFERROR(HLOOKUP(AA11,'סקרי נכסים-יתרות פתיחה'!$2:$110,96,0),0)*(1-AA$309)</f>
        <v>0</v>
      </c>
      <c r="AB244" s="50">
        <f>+IFERROR(HLOOKUP(AB11,'סקרי נכסים-יתרות פתיחה'!$2:$110,38,0),0)-IFERROR(HLOOKUP(AB11,'סקרי נכסים-יתרות פתיחה'!$2:$110,96,0),0)*(1-AB$309)</f>
        <v>0</v>
      </c>
      <c r="AC244" s="50">
        <f>+IFERROR(HLOOKUP(AC11,'סקרי נכסים-יתרות פתיחה'!$2:$110,38,0),0)-IFERROR(HLOOKUP(AC11,'סקרי נכסים-יתרות פתיחה'!$2:$110,96,0),0)*(1-AC$309)</f>
        <v>0</v>
      </c>
      <c r="AD244" s="50">
        <f>+IFERROR(HLOOKUP(AD11,'סקרי נכסים-יתרות פתיחה'!$2:$110,38,0),0)-IFERROR(HLOOKUP(AD11,'סקרי נכסים-יתרות פתיחה'!$2:$110,96,0),0)*(1-AD$309)</f>
        <v>0</v>
      </c>
      <c r="AE244" s="50">
        <f>+IFERROR(HLOOKUP(AE11,'סקרי נכסים-יתרות פתיחה'!$2:$110,38,0),0)-IFERROR(HLOOKUP(AE11,'סקרי נכסים-יתרות פתיחה'!$2:$110,96,0),0)*(1-AE$309)</f>
        <v>0</v>
      </c>
      <c r="AF244" s="50">
        <f>+IFERROR(HLOOKUP(AF11,'סקרי נכסים-יתרות פתיחה'!$2:$110,38,0),0)-IFERROR(HLOOKUP(AF11,'סקרי נכסים-יתרות פתיחה'!$2:$110,96,0),0)*(1-AF$309)</f>
        <v>0</v>
      </c>
      <c r="AG244" s="50">
        <f>+IFERROR(HLOOKUP(AG11,'סקרי נכסים-יתרות פתיחה'!$2:$110,38,0),0)-IFERROR(HLOOKUP(AG11,'סקרי נכסים-יתרות פתיחה'!$2:$110,96,0),0)*(1-AG$309)</f>
        <v>0</v>
      </c>
      <c r="AH244" s="50">
        <f>+IFERROR(HLOOKUP(AH11,'סקרי נכסים-יתרות פתיחה'!$2:$110,38,0),0)-IFERROR(HLOOKUP(AH11,'סקרי נכסים-יתרות פתיחה'!$2:$110,96,0),0)*(1-AH$309)</f>
        <v>0</v>
      </c>
      <c r="AI244" s="50">
        <f>+IFERROR(HLOOKUP(AI11,'סקרי נכסים-יתרות פתיחה'!$2:$110,38,0),0)-IFERROR(HLOOKUP(AI11,'סקרי נכסים-יתרות פתיחה'!$2:$110,96,0),0)*(1-AI$309)</f>
        <v>0</v>
      </c>
      <c r="AJ244" s="50">
        <f>+IFERROR(HLOOKUP(AJ11,'סקרי נכסים-יתרות פתיחה'!$2:$110,38,0),0)-IFERROR(HLOOKUP(AJ11,'סקרי נכסים-יתרות פתיחה'!$2:$110,96,0),0)*(1-AJ$309)</f>
        <v>0</v>
      </c>
      <c r="AK244" s="50">
        <f>+IFERROR(HLOOKUP(AK11,'סקרי נכסים-יתרות פתיחה'!$2:$110,38,0),0)-IFERROR(HLOOKUP(AK11,'סקרי נכסים-יתרות פתיחה'!$2:$110,96,0),0)*(1-AK$309)</f>
        <v>0</v>
      </c>
      <c r="AL244" s="50">
        <f>+IFERROR(HLOOKUP(AL11,'סקרי נכסים-יתרות פתיחה'!$2:$110,38,0),0)-IFERROR(HLOOKUP(AL11,'סקרי נכסים-יתרות פתיחה'!$2:$110,96,0),0)*(1-AL$309)</f>
        <v>0</v>
      </c>
      <c r="AM244" s="50">
        <f>+IFERROR(HLOOKUP(AM11,'סקרי נכסים-יתרות פתיחה'!$2:$110,38,0),0)-IFERROR(HLOOKUP(AM11,'סקרי נכסים-יתרות פתיחה'!$2:$110,96,0),0)*(1-AM$309)</f>
        <v>0</v>
      </c>
      <c r="AN244" s="50">
        <f>+IFERROR(HLOOKUP(AN11,'סקרי נכסים-יתרות פתיחה'!$2:$110,38,0),0)-IFERROR(HLOOKUP(AN11,'סקרי נכסים-יתרות פתיחה'!$2:$110,96,0),0)*(1-AN$309)</f>
        <v>0</v>
      </c>
      <c r="AO244" s="50">
        <f>+IFERROR(HLOOKUP(AO11,'סקרי נכסים-יתרות פתיחה'!$2:$110,38,0),0)-IFERROR(HLOOKUP(AO11,'סקרי נכסים-יתרות פתיחה'!$2:$110,96,0),0)*(1-AO$309)</f>
        <v>0</v>
      </c>
      <c r="AP244" s="50">
        <f>+IFERROR(HLOOKUP(AP11,'סקרי נכסים-יתרות פתיחה'!$2:$110,38,0),0)-IFERROR(HLOOKUP(AP11,'סקרי נכסים-יתרות פתיחה'!$2:$110,96,0),0)*(1-AP$309)</f>
        <v>0</v>
      </c>
      <c r="AQ244" s="50">
        <f>+IFERROR(HLOOKUP(AQ11,'סקרי נכסים-יתרות פתיחה'!$2:$110,38,0),0)-IFERROR(HLOOKUP(AQ11,'סקרי נכסים-יתרות פתיחה'!$2:$110,96,0),0)*(1-AQ$309)</f>
        <v>0</v>
      </c>
      <c r="AR244" s="50">
        <f>+IFERROR(HLOOKUP(AR11,'סקרי נכסים-יתרות פתיחה'!$2:$110,38,0),0)-IFERROR(HLOOKUP(AR11,'סקרי נכסים-יתרות פתיחה'!$2:$110,96,0),0)*(1-AR$309)</f>
        <v>0</v>
      </c>
      <c r="AS244" s="50">
        <f>+IFERROR(HLOOKUP(AS11,'סקרי נכסים-יתרות פתיחה'!$2:$110,38,0),0)-IFERROR(HLOOKUP(AS11,'סקרי נכסים-יתרות פתיחה'!$2:$110,96,0),0)*(1-AS$309)</f>
        <v>0</v>
      </c>
      <c r="AT244" s="50">
        <f>+IFERROR(HLOOKUP(AT11,'סקרי נכסים-יתרות פתיחה'!$2:$110,38,0),0)-IFERROR(HLOOKUP(AT11,'סקרי נכסים-יתרות פתיחה'!$2:$110,96,0),0)*(1-AT$309)</f>
        <v>0</v>
      </c>
      <c r="AU244" s="50">
        <f>+IFERROR(HLOOKUP(AU11,'סקרי נכסים-יתרות פתיחה'!$2:$110,38,0),0)-IFERROR(HLOOKUP(AU11,'סקרי נכסים-יתרות פתיחה'!$2:$110,96,0),0)*(1-AU$309)</f>
        <v>0</v>
      </c>
      <c r="AV244" s="50">
        <f>+IFERROR(HLOOKUP(AV11,'סקרי נכסים-יתרות פתיחה'!$2:$110,38,0),0)-IFERROR(HLOOKUP(AV11,'סקרי נכסים-יתרות פתיחה'!$2:$110,96,0),0)*(1-AV$309)</f>
        <v>0</v>
      </c>
      <c r="AW244" s="50">
        <f>+IFERROR(HLOOKUP(AW11,'סקרי נכסים-יתרות פתיחה'!$2:$110,38,0),0)-IFERROR(HLOOKUP(AW11,'סקרי נכסים-יתרות פתיחה'!$2:$110,96,0),0)*(1-AW$309)</f>
        <v>0</v>
      </c>
      <c r="AX244" s="50">
        <f>+IFERROR(HLOOKUP(AX11,'סקרי נכסים-יתרות פתיחה'!$2:$110,38,0),0)-IFERROR(HLOOKUP(AX11,'סקרי נכסים-יתרות פתיחה'!$2:$110,96,0),0)*(1-AX$309)</f>
        <v>0</v>
      </c>
      <c r="AY244" s="50">
        <f>+IFERROR(HLOOKUP(AY11,'סקרי נכסים-יתרות פתיחה'!$2:$110,38,0),0)-IFERROR(HLOOKUP(AY11,'סקרי נכסים-יתרות פתיחה'!$2:$110,96,0),0)*(1-AY$309)</f>
        <v>0</v>
      </c>
      <c r="AZ244" s="50">
        <f>+IFERROR(HLOOKUP(AZ11,'סקרי נכסים-יתרות פתיחה'!$2:$110,38,0),0)-IFERROR(HLOOKUP(AZ11,'סקרי נכסים-יתרות פתיחה'!$2:$110,96,0),0)*(1-AZ$309)</f>
        <v>0</v>
      </c>
      <c r="BA244" s="50">
        <f>+IFERROR(HLOOKUP(BA11,'סקרי נכסים-יתרות פתיחה'!$2:$110,38,0),0)-IFERROR(HLOOKUP(BA11,'סקרי נכסים-יתרות פתיחה'!$2:$110,96,0),0)*(1-BA$309)</f>
        <v>0</v>
      </c>
      <c r="BB244" s="50">
        <f>+IFERROR(HLOOKUP(BB11,'סקרי נכסים-יתרות פתיחה'!$2:$110,38,0),0)-IFERROR(HLOOKUP(BB11,'סקרי נכסים-יתרות פתיחה'!$2:$110,96,0),0)*(1-BB$309)</f>
        <v>0</v>
      </c>
      <c r="BC244" s="50">
        <f>+IFERROR(HLOOKUP(BC11,'סקרי נכסים-יתרות פתיחה'!$2:$110,38,0),0)-IFERROR(HLOOKUP(BC11,'סקרי נכסים-יתרות פתיחה'!$2:$110,96,0),0)*(1-BC$309)</f>
        <v>0</v>
      </c>
      <c r="BD244" s="50">
        <f>+IFERROR(HLOOKUP(BD11,'סקרי נכסים-יתרות פתיחה'!$2:$110,38,0),0)-IFERROR(HLOOKUP(BD11,'סקרי נכסים-יתרות פתיחה'!$2:$110,96,0),0)*(1-BD$309)</f>
        <v>0</v>
      </c>
      <c r="BE244" s="50">
        <f>+IFERROR(HLOOKUP(BE11,'סקרי נכסים-יתרות פתיחה'!$2:$110,38,0),0)-IFERROR(HLOOKUP(BE11,'סקרי נכסים-יתרות פתיחה'!$2:$110,96,0),0)*(1-BE$309)</f>
        <v>0</v>
      </c>
      <c r="BF244" s="50">
        <f>+IFERROR(HLOOKUP(BF11,'סקרי נכסים-יתרות פתיחה'!$2:$110,38,0),0)-IFERROR(HLOOKUP(BF11,'סקרי נכסים-יתרות פתיחה'!$2:$110,96,0),0)*(1-BF$309)</f>
        <v>0</v>
      </c>
    </row>
    <row r="245" spans="2:58" x14ac:dyDescent="0.2">
      <c r="B245" s="1">
        <v>9</v>
      </c>
      <c r="C245" s="50">
        <f>+IFERROR(HLOOKUP(C12,'סקרי נכסים-יתרות פתיחה'!$2:$110,38,0),0)-IFERROR(HLOOKUP(C12,'סקרי נכסים-יתרות פתיחה'!$2:$110,96,0),0)*(1-C$309)</f>
        <v>0</v>
      </c>
      <c r="D245" s="50">
        <f>+IFERROR(HLOOKUP(D12,'סקרי נכסים-יתרות פתיחה'!$2:$110,38,0),0)-IFERROR(HLOOKUP(D12,'סקרי נכסים-יתרות פתיחה'!$2:$110,96,0),0)*(1-D$309)</f>
        <v>0</v>
      </c>
      <c r="E245" s="50">
        <f>+IFERROR(HLOOKUP(E12,'סקרי נכסים-יתרות פתיחה'!$2:$110,38,0),0)-IFERROR(HLOOKUP(E12,'סקרי נכסים-יתרות פתיחה'!$2:$110,96,0),0)*(1-E$309)</f>
        <v>0</v>
      </c>
      <c r="F245" s="50">
        <f>+IFERROR(HLOOKUP(F12,'סקרי נכסים-יתרות פתיחה'!$2:$110,38,0),0)-IFERROR(HLOOKUP(F12,'סקרי נכסים-יתרות פתיחה'!$2:$110,96,0),0)*(1-F$309)</f>
        <v>0</v>
      </c>
      <c r="G245" s="50">
        <f>+IFERROR(HLOOKUP(G12,'סקרי נכסים-יתרות פתיחה'!$2:$110,38,0),0)-IFERROR(HLOOKUP(G12,'סקרי נכסים-יתרות פתיחה'!$2:$110,96,0),0)*(1-G$309)</f>
        <v>0</v>
      </c>
      <c r="H245" s="50">
        <f>+IFERROR(HLOOKUP(H12,'סקרי נכסים-יתרות פתיחה'!$2:$110,38,0),0)-IFERROR(HLOOKUP(H12,'סקרי נכסים-יתרות פתיחה'!$2:$110,96,0),0)*(1-H$309)</f>
        <v>0</v>
      </c>
      <c r="I245" s="50">
        <f>+IFERROR(HLOOKUP(I12,'סקרי נכסים-יתרות פתיחה'!$2:$110,38,0),0)-IFERROR(HLOOKUP(I12,'סקרי נכסים-יתרות פתיחה'!$2:$110,96,0),0)*(1-I$309)</f>
        <v>0</v>
      </c>
      <c r="J245" s="50">
        <f>+IFERROR(HLOOKUP(J12,'סקרי נכסים-יתרות פתיחה'!$2:$110,38,0),0)-IFERROR(HLOOKUP(J12,'סקרי נכסים-יתרות פתיחה'!$2:$110,96,0),0)*(1-J$309)</f>
        <v>0</v>
      </c>
      <c r="K245" s="50">
        <f>+IFERROR(HLOOKUP(K12,'סקרי נכסים-יתרות פתיחה'!$2:$110,38,0),0)-IFERROR(HLOOKUP(K12,'סקרי נכסים-יתרות פתיחה'!$2:$110,96,0),0)*(1-K$309)</f>
        <v>0</v>
      </c>
      <c r="L245" s="50">
        <f>+IFERROR(HLOOKUP(L12,'סקרי נכסים-יתרות פתיחה'!$2:$110,38,0),0)-IFERROR(HLOOKUP(L12,'סקרי נכסים-יתרות פתיחה'!$2:$110,96,0),0)*(1-L$309)</f>
        <v>0</v>
      </c>
      <c r="M245" s="50">
        <f>+IFERROR(HLOOKUP(M12,'סקרי נכסים-יתרות פתיחה'!$2:$110,38,0),0)-IFERROR(HLOOKUP(M12,'סקרי נכסים-יתרות פתיחה'!$2:$110,96,0),0)*(1-M$309)</f>
        <v>0</v>
      </c>
      <c r="N245" s="50">
        <f>+IFERROR(HLOOKUP(N12,'סקרי נכסים-יתרות פתיחה'!$2:$110,38,0),0)-IFERROR(HLOOKUP(N12,'סקרי נכסים-יתרות פתיחה'!$2:$110,96,0),0)*(1-N$309)</f>
        <v>0</v>
      </c>
      <c r="O245" s="50">
        <f>+IFERROR(HLOOKUP(O12,'סקרי נכסים-יתרות פתיחה'!$2:$110,38,0),0)-IFERROR(HLOOKUP(O12,'סקרי נכסים-יתרות פתיחה'!$2:$110,96,0),0)*(1-O$309)</f>
        <v>0</v>
      </c>
      <c r="P245" s="50">
        <f>+IFERROR(HLOOKUP(P12,'סקרי נכסים-יתרות פתיחה'!$2:$110,38,0),0)-IFERROR(HLOOKUP(P12,'סקרי נכסים-יתרות פתיחה'!$2:$110,96,0),0)*(1-P$309)</f>
        <v>0</v>
      </c>
      <c r="Q245" s="50">
        <f>+IFERROR(HLOOKUP(Q12,'סקרי נכסים-יתרות פתיחה'!$2:$110,38,0),0)-IFERROR(HLOOKUP(Q12,'סקרי נכסים-יתרות פתיחה'!$2:$110,96,0),0)*(1-Q$309)</f>
        <v>0</v>
      </c>
      <c r="R245" s="50">
        <f>+IFERROR(HLOOKUP(R12,'סקרי נכסים-יתרות פתיחה'!$2:$110,38,0),0)-IFERROR(HLOOKUP(R12,'סקרי נכסים-יתרות פתיחה'!$2:$110,96,0),0)*(1-R$309)</f>
        <v>0</v>
      </c>
      <c r="S245" s="50">
        <f>+IFERROR(HLOOKUP(S12,'סקרי נכסים-יתרות פתיחה'!$2:$110,38,0),0)-IFERROR(HLOOKUP(S12,'סקרי נכסים-יתרות פתיחה'!$2:$110,96,0),0)*(1-S$309)</f>
        <v>0</v>
      </c>
      <c r="T245" s="50">
        <f>+IFERROR(HLOOKUP(T12,'סקרי נכסים-יתרות פתיחה'!$2:$110,38,0),0)-IFERROR(HLOOKUP(T12,'סקרי נכסים-יתרות פתיחה'!$2:$110,96,0),0)*(1-T$309)</f>
        <v>0</v>
      </c>
      <c r="U245" s="50">
        <f>+IFERROR(HLOOKUP(U12,'סקרי נכסים-יתרות פתיחה'!$2:$110,38,0),0)-IFERROR(HLOOKUP(U12,'סקרי נכסים-יתרות פתיחה'!$2:$110,96,0),0)*(1-U$309)</f>
        <v>0</v>
      </c>
      <c r="V245" s="50">
        <f>+IFERROR(HLOOKUP(V12,'סקרי נכסים-יתרות פתיחה'!$2:$110,38,0),0)-IFERROR(HLOOKUP(V12,'סקרי נכסים-יתרות פתיחה'!$2:$110,96,0),0)*(1-V$309)</f>
        <v>0</v>
      </c>
      <c r="W245" s="50">
        <f>+IFERROR(HLOOKUP(W12,'סקרי נכסים-יתרות פתיחה'!$2:$110,38,0),0)-IFERROR(HLOOKUP(W12,'סקרי נכסים-יתרות פתיחה'!$2:$110,96,0),0)*(1-W$309)</f>
        <v>0</v>
      </c>
      <c r="X245" s="50">
        <f>+IFERROR(HLOOKUP(X12,'סקרי נכסים-יתרות פתיחה'!$2:$110,38,0),0)-IFERROR(HLOOKUP(X12,'סקרי נכסים-יתרות פתיחה'!$2:$110,96,0),0)*(1-X$309)</f>
        <v>0</v>
      </c>
      <c r="Y245" s="50">
        <f>+IFERROR(HLOOKUP(Y12,'סקרי נכסים-יתרות פתיחה'!$2:$110,38,0),0)-IFERROR(HLOOKUP(Y12,'סקרי נכסים-יתרות פתיחה'!$2:$110,96,0),0)*(1-Y$309)</f>
        <v>0</v>
      </c>
      <c r="Z245" s="50">
        <f>+IFERROR(HLOOKUP(Z12,'סקרי נכסים-יתרות פתיחה'!$2:$110,38,0),0)-IFERROR(HLOOKUP(Z12,'סקרי נכסים-יתרות פתיחה'!$2:$110,96,0),0)*(1-Z$309)</f>
        <v>0</v>
      </c>
      <c r="AA245" s="50">
        <f>+IFERROR(HLOOKUP(AA12,'סקרי נכסים-יתרות פתיחה'!$2:$110,38,0),0)-IFERROR(HLOOKUP(AA12,'סקרי נכסים-יתרות פתיחה'!$2:$110,96,0),0)*(1-AA$309)</f>
        <v>0</v>
      </c>
      <c r="AB245" s="50">
        <f>+IFERROR(HLOOKUP(AB12,'סקרי נכסים-יתרות פתיחה'!$2:$110,38,0),0)-IFERROR(HLOOKUP(AB12,'סקרי נכסים-יתרות פתיחה'!$2:$110,96,0),0)*(1-AB$309)</f>
        <v>0</v>
      </c>
      <c r="AC245" s="50">
        <f>+IFERROR(HLOOKUP(AC12,'סקרי נכסים-יתרות פתיחה'!$2:$110,38,0),0)-IFERROR(HLOOKUP(AC12,'סקרי נכסים-יתרות פתיחה'!$2:$110,96,0),0)*(1-AC$309)</f>
        <v>0</v>
      </c>
      <c r="AD245" s="50">
        <f>+IFERROR(HLOOKUP(AD12,'סקרי נכסים-יתרות פתיחה'!$2:$110,38,0),0)-IFERROR(HLOOKUP(AD12,'סקרי נכסים-יתרות פתיחה'!$2:$110,96,0),0)*(1-AD$309)</f>
        <v>0</v>
      </c>
      <c r="AE245" s="50">
        <f>+IFERROR(HLOOKUP(AE12,'סקרי נכסים-יתרות פתיחה'!$2:$110,38,0),0)-IFERROR(HLOOKUP(AE12,'סקרי נכסים-יתרות פתיחה'!$2:$110,96,0),0)*(1-AE$309)</f>
        <v>0</v>
      </c>
      <c r="AF245" s="50">
        <f>+IFERROR(HLOOKUP(AF12,'סקרי נכסים-יתרות פתיחה'!$2:$110,38,0),0)-IFERROR(HLOOKUP(AF12,'סקרי נכסים-יתרות פתיחה'!$2:$110,96,0),0)*(1-AF$309)</f>
        <v>0</v>
      </c>
      <c r="AG245" s="50">
        <f>+IFERROR(HLOOKUP(AG12,'סקרי נכסים-יתרות פתיחה'!$2:$110,38,0),0)-IFERROR(HLOOKUP(AG12,'סקרי נכסים-יתרות פתיחה'!$2:$110,96,0),0)*(1-AG$309)</f>
        <v>0</v>
      </c>
      <c r="AH245" s="50">
        <f>+IFERROR(HLOOKUP(AH12,'סקרי נכסים-יתרות פתיחה'!$2:$110,38,0),0)-IFERROR(HLOOKUP(AH12,'סקרי נכסים-יתרות פתיחה'!$2:$110,96,0),0)*(1-AH$309)</f>
        <v>0</v>
      </c>
      <c r="AI245" s="50">
        <f>+IFERROR(HLOOKUP(AI12,'סקרי נכסים-יתרות פתיחה'!$2:$110,38,0),0)-IFERROR(HLOOKUP(AI12,'סקרי נכסים-יתרות פתיחה'!$2:$110,96,0),0)*(1-AI$309)</f>
        <v>0</v>
      </c>
      <c r="AJ245" s="50">
        <f>+IFERROR(HLOOKUP(AJ12,'סקרי נכסים-יתרות פתיחה'!$2:$110,38,0),0)-IFERROR(HLOOKUP(AJ12,'סקרי נכסים-יתרות פתיחה'!$2:$110,96,0),0)*(1-AJ$309)</f>
        <v>0</v>
      </c>
      <c r="AK245" s="50">
        <f>+IFERROR(HLOOKUP(AK12,'סקרי נכסים-יתרות פתיחה'!$2:$110,38,0),0)-IFERROR(HLOOKUP(AK12,'סקרי נכסים-יתרות פתיחה'!$2:$110,96,0),0)*(1-AK$309)</f>
        <v>0</v>
      </c>
      <c r="AL245" s="50">
        <f>+IFERROR(HLOOKUP(AL12,'סקרי נכסים-יתרות פתיחה'!$2:$110,38,0),0)-IFERROR(HLOOKUP(AL12,'סקרי נכסים-יתרות פתיחה'!$2:$110,96,0),0)*(1-AL$309)</f>
        <v>0</v>
      </c>
      <c r="AM245" s="50">
        <f>+IFERROR(HLOOKUP(AM12,'סקרי נכסים-יתרות פתיחה'!$2:$110,38,0),0)-IFERROR(HLOOKUP(AM12,'סקרי נכסים-יתרות פתיחה'!$2:$110,96,0),0)*(1-AM$309)</f>
        <v>0</v>
      </c>
      <c r="AN245" s="50">
        <f>+IFERROR(HLOOKUP(AN12,'סקרי נכסים-יתרות פתיחה'!$2:$110,38,0),0)-IFERROR(HLOOKUP(AN12,'סקרי נכסים-יתרות פתיחה'!$2:$110,96,0),0)*(1-AN$309)</f>
        <v>0</v>
      </c>
      <c r="AO245" s="50">
        <f>+IFERROR(HLOOKUP(AO12,'סקרי נכסים-יתרות פתיחה'!$2:$110,38,0),0)-IFERROR(HLOOKUP(AO12,'סקרי נכסים-יתרות פתיחה'!$2:$110,96,0),0)*(1-AO$309)</f>
        <v>0</v>
      </c>
      <c r="AP245" s="50">
        <f>+IFERROR(HLOOKUP(AP12,'סקרי נכסים-יתרות פתיחה'!$2:$110,38,0),0)-IFERROR(HLOOKUP(AP12,'סקרי נכסים-יתרות פתיחה'!$2:$110,96,0),0)*(1-AP$309)</f>
        <v>0</v>
      </c>
      <c r="AQ245" s="50">
        <f>+IFERROR(HLOOKUP(AQ12,'סקרי נכסים-יתרות פתיחה'!$2:$110,38,0),0)-IFERROR(HLOOKUP(AQ12,'סקרי נכסים-יתרות פתיחה'!$2:$110,96,0),0)*(1-AQ$309)</f>
        <v>0</v>
      </c>
      <c r="AR245" s="50">
        <f>+IFERROR(HLOOKUP(AR12,'סקרי נכסים-יתרות פתיחה'!$2:$110,38,0),0)-IFERROR(HLOOKUP(AR12,'סקרי נכסים-יתרות פתיחה'!$2:$110,96,0),0)*(1-AR$309)</f>
        <v>0</v>
      </c>
      <c r="AS245" s="50">
        <f>+IFERROR(HLOOKUP(AS12,'סקרי נכסים-יתרות פתיחה'!$2:$110,38,0),0)-IFERROR(HLOOKUP(AS12,'סקרי נכסים-יתרות פתיחה'!$2:$110,96,0),0)*(1-AS$309)</f>
        <v>0</v>
      </c>
      <c r="AT245" s="50">
        <f>+IFERROR(HLOOKUP(AT12,'סקרי נכסים-יתרות פתיחה'!$2:$110,38,0),0)-IFERROR(HLOOKUP(AT12,'סקרי נכסים-יתרות פתיחה'!$2:$110,96,0),0)*(1-AT$309)</f>
        <v>0</v>
      </c>
      <c r="AU245" s="50">
        <f>+IFERROR(HLOOKUP(AU12,'סקרי נכסים-יתרות פתיחה'!$2:$110,38,0),0)-IFERROR(HLOOKUP(AU12,'סקרי נכסים-יתרות פתיחה'!$2:$110,96,0),0)*(1-AU$309)</f>
        <v>0</v>
      </c>
      <c r="AV245" s="50">
        <f>+IFERROR(HLOOKUP(AV12,'סקרי נכסים-יתרות פתיחה'!$2:$110,38,0),0)-IFERROR(HLOOKUP(AV12,'סקרי נכסים-יתרות פתיחה'!$2:$110,96,0),0)*(1-AV$309)</f>
        <v>0</v>
      </c>
      <c r="AW245" s="50">
        <f>+IFERROR(HLOOKUP(AW12,'סקרי נכסים-יתרות פתיחה'!$2:$110,38,0),0)-IFERROR(HLOOKUP(AW12,'סקרי נכסים-יתרות פתיחה'!$2:$110,96,0),0)*(1-AW$309)</f>
        <v>0</v>
      </c>
      <c r="AX245" s="50">
        <f>+IFERROR(HLOOKUP(AX12,'סקרי נכסים-יתרות פתיחה'!$2:$110,38,0),0)-IFERROR(HLOOKUP(AX12,'סקרי נכסים-יתרות פתיחה'!$2:$110,96,0),0)*(1-AX$309)</f>
        <v>0</v>
      </c>
      <c r="AY245" s="50">
        <f>+IFERROR(HLOOKUP(AY12,'סקרי נכסים-יתרות פתיחה'!$2:$110,38,0),0)-IFERROR(HLOOKUP(AY12,'סקרי נכסים-יתרות פתיחה'!$2:$110,96,0),0)*(1-AY$309)</f>
        <v>0</v>
      </c>
      <c r="AZ245" s="50">
        <f>+IFERROR(HLOOKUP(AZ12,'סקרי נכסים-יתרות פתיחה'!$2:$110,38,0),0)-IFERROR(HLOOKUP(AZ12,'סקרי נכסים-יתרות פתיחה'!$2:$110,96,0),0)*(1-AZ$309)</f>
        <v>0</v>
      </c>
      <c r="BA245" s="50">
        <f>+IFERROR(HLOOKUP(BA12,'סקרי נכסים-יתרות פתיחה'!$2:$110,38,0),0)-IFERROR(HLOOKUP(BA12,'סקרי נכסים-יתרות פתיחה'!$2:$110,96,0),0)*(1-BA$309)</f>
        <v>0</v>
      </c>
      <c r="BB245" s="50">
        <f>+IFERROR(HLOOKUP(BB12,'סקרי נכסים-יתרות פתיחה'!$2:$110,38,0),0)-IFERROR(HLOOKUP(BB12,'סקרי נכסים-יתרות פתיחה'!$2:$110,96,0),0)*(1-BB$309)</f>
        <v>0</v>
      </c>
      <c r="BC245" s="50">
        <f>+IFERROR(HLOOKUP(BC12,'סקרי נכסים-יתרות פתיחה'!$2:$110,38,0),0)-IFERROR(HLOOKUP(BC12,'סקרי נכסים-יתרות פתיחה'!$2:$110,96,0),0)*(1-BC$309)</f>
        <v>0</v>
      </c>
      <c r="BD245" s="50">
        <f>+IFERROR(HLOOKUP(BD12,'סקרי נכסים-יתרות פתיחה'!$2:$110,38,0),0)-IFERROR(HLOOKUP(BD12,'סקרי נכסים-יתרות פתיחה'!$2:$110,96,0),0)*(1-BD$309)</f>
        <v>0</v>
      </c>
      <c r="BE245" s="50">
        <f>+IFERROR(HLOOKUP(BE12,'סקרי נכסים-יתרות פתיחה'!$2:$110,38,0),0)-IFERROR(HLOOKUP(BE12,'סקרי נכסים-יתרות פתיחה'!$2:$110,96,0),0)*(1-BE$309)</f>
        <v>0</v>
      </c>
      <c r="BF245" s="50">
        <f>+IFERROR(HLOOKUP(BF12,'סקרי נכסים-יתרות פתיחה'!$2:$110,38,0),0)-IFERROR(HLOOKUP(BF12,'סקרי נכסים-יתרות פתיחה'!$2:$110,96,0),0)*(1-BF$309)</f>
        <v>0</v>
      </c>
    </row>
    <row r="246" spans="2:58" x14ac:dyDescent="0.2">
      <c r="B246" s="1">
        <v>10</v>
      </c>
      <c r="C246" s="50">
        <f>+IFERROR(HLOOKUP(C13,'סקרי נכסים-יתרות פתיחה'!$2:$110,38,0),0)-IFERROR(HLOOKUP(C13,'סקרי נכסים-יתרות פתיחה'!$2:$110,96,0),0)*(1-C$309)</f>
        <v>0</v>
      </c>
      <c r="D246" s="50">
        <f>+IFERROR(HLOOKUP(D13,'סקרי נכסים-יתרות פתיחה'!$2:$110,38,0),0)-IFERROR(HLOOKUP(D13,'סקרי נכסים-יתרות פתיחה'!$2:$110,96,0),0)*(1-D$309)</f>
        <v>0</v>
      </c>
      <c r="E246" s="50">
        <f>+IFERROR(HLOOKUP(E13,'סקרי נכסים-יתרות פתיחה'!$2:$110,38,0),0)-IFERROR(HLOOKUP(E13,'סקרי נכסים-יתרות פתיחה'!$2:$110,96,0),0)*(1-E$309)</f>
        <v>0</v>
      </c>
      <c r="F246" s="50">
        <f>+IFERROR(HLOOKUP(F13,'סקרי נכסים-יתרות פתיחה'!$2:$110,38,0),0)-IFERROR(HLOOKUP(F13,'סקרי נכסים-יתרות פתיחה'!$2:$110,96,0),0)*(1-F$309)</f>
        <v>0</v>
      </c>
      <c r="G246" s="50">
        <f>+IFERROR(HLOOKUP(G13,'סקרי נכסים-יתרות פתיחה'!$2:$110,38,0),0)-IFERROR(HLOOKUP(G13,'סקרי נכסים-יתרות פתיחה'!$2:$110,96,0),0)*(1-G$309)</f>
        <v>0</v>
      </c>
      <c r="H246" s="50">
        <f>+IFERROR(HLOOKUP(H13,'סקרי נכסים-יתרות פתיחה'!$2:$110,38,0),0)-IFERROR(HLOOKUP(H13,'סקרי נכסים-יתרות פתיחה'!$2:$110,96,0),0)*(1-H$309)</f>
        <v>0</v>
      </c>
      <c r="I246" s="50">
        <f>+IFERROR(HLOOKUP(I13,'סקרי נכסים-יתרות פתיחה'!$2:$110,38,0),0)-IFERROR(HLOOKUP(I13,'סקרי נכסים-יתרות פתיחה'!$2:$110,96,0),0)*(1-I$309)</f>
        <v>0</v>
      </c>
      <c r="J246" s="50">
        <f>+IFERROR(HLOOKUP(J13,'סקרי נכסים-יתרות פתיחה'!$2:$110,38,0),0)-IFERROR(HLOOKUP(J13,'סקרי נכסים-יתרות פתיחה'!$2:$110,96,0),0)*(1-J$309)</f>
        <v>0</v>
      </c>
      <c r="K246" s="50">
        <f>+IFERROR(HLOOKUP(K13,'סקרי נכסים-יתרות פתיחה'!$2:$110,38,0),0)-IFERROR(HLOOKUP(K13,'סקרי נכסים-יתרות פתיחה'!$2:$110,96,0),0)*(1-K$309)</f>
        <v>0</v>
      </c>
      <c r="L246" s="50">
        <f>+IFERROR(HLOOKUP(L13,'סקרי נכסים-יתרות פתיחה'!$2:$110,38,0),0)-IFERROR(HLOOKUP(L13,'סקרי נכסים-יתרות פתיחה'!$2:$110,96,0),0)*(1-L$309)</f>
        <v>0</v>
      </c>
      <c r="M246" s="50">
        <f>+IFERROR(HLOOKUP(M13,'סקרי נכסים-יתרות פתיחה'!$2:$110,38,0),0)-IFERROR(HLOOKUP(M13,'סקרי נכסים-יתרות פתיחה'!$2:$110,96,0),0)*(1-M$309)</f>
        <v>0</v>
      </c>
      <c r="N246" s="50">
        <f>+IFERROR(HLOOKUP(N13,'סקרי נכסים-יתרות פתיחה'!$2:$110,38,0),0)-IFERROR(HLOOKUP(N13,'סקרי נכסים-יתרות פתיחה'!$2:$110,96,0),0)*(1-N$309)</f>
        <v>0</v>
      </c>
      <c r="O246" s="50">
        <f>+IFERROR(HLOOKUP(O13,'סקרי נכסים-יתרות פתיחה'!$2:$110,38,0),0)-IFERROR(HLOOKUP(O13,'סקרי נכסים-יתרות פתיחה'!$2:$110,96,0),0)*(1-O$309)</f>
        <v>0</v>
      </c>
      <c r="P246" s="50">
        <f>+IFERROR(HLOOKUP(P13,'סקרי נכסים-יתרות פתיחה'!$2:$110,38,0),0)-IFERROR(HLOOKUP(P13,'סקרי נכסים-יתרות פתיחה'!$2:$110,96,0),0)*(1-P$309)</f>
        <v>0</v>
      </c>
      <c r="Q246" s="50">
        <f>+IFERROR(HLOOKUP(Q13,'סקרי נכסים-יתרות פתיחה'!$2:$110,38,0),0)-IFERROR(HLOOKUP(Q13,'סקרי נכסים-יתרות פתיחה'!$2:$110,96,0),0)*(1-Q$309)</f>
        <v>0</v>
      </c>
      <c r="R246" s="50">
        <f>+IFERROR(HLOOKUP(R13,'סקרי נכסים-יתרות פתיחה'!$2:$110,38,0),0)-IFERROR(HLOOKUP(R13,'סקרי נכסים-יתרות פתיחה'!$2:$110,96,0),0)*(1-R$309)</f>
        <v>0</v>
      </c>
      <c r="S246" s="50">
        <f>+IFERROR(HLOOKUP(S13,'סקרי נכסים-יתרות פתיחה'!$2:$110,38,0),0)-IFERROR(HLOOKUP(S13,'סקרי נכסים-יתרות פתיחה'!$2:$110,96,0),0)*(1-S$309)</f>
        <v>0</v>
      </c>
      <c r="T246" s="50">
        <f>+IFERROR(HLOOKUP(T13,'סקרי נכסים-יתרות פתיחה'!$2:$110,38,0),0)-IFERROR(HLOOKUP(T13,'סקרי נכסים-יתרות פתיחה'!$2:$110,96,0),0)*(1-T$309)</f>
        <v>0</v>
      </c>
      <c r="U246" s="50">
        <f>+IFERROR(HLOOKUP(U13,'סקרי נכסים-יתרות פתיחה'!$2:$110,38,0),0)-IFERROR(HLOOKUP(U13,'סקרי נכסים-יתרות פתיחה'!$2:$110,96,0),0)*(1-U$309)</f>
        <v>0</v>
      </c>
      <c r="V246" s="50">
        <f>+IFERROR(HLOOKUP(V13,'סקרי נכסים-יתרות פתיחה'!$2:$110,38,0),0)-IFERROR(HLOOKUP(V13,'סקרי נכסים-יתרות פתיחה'!$2:$110,96,0),0)*(1-V$309)</f>
        <v>0</v>
      </c>
      <c r="W246" s="50">
        <f>+IFERROR(HLOOKUP(W13,'סקרי נכסים-יתרות פתיחה'!$2:$110,38,0),0)-IFERROR(HLOOKUP(W13,'סקרי נכסים-יתרות פתיחה'!$2:$110,96,0),0)*(1-W$309)</f>
        <v>0</v>
      </c>
      <c r="X246" s="50">
        <f>+IFERROR(HLOOKUP(X13,'סקרי נכסים-יתרות פתיחה'!$2:$110,38,0),0)-IFERROR(HLOOKUP(X13,'סקרי נכסים-יתרות פתיחה'!$2:$110,96,0),0)*(1-X$309)</f>
        <v>0</v>
      </c>
      <c r="Y246" s="50">
        <f>+IFERROR(HLOOKUP(Y13,'סקרי נכסים-יתרות פתיחה'!$2:$110,38,0),0)-IFERROR(HLOOKUP(Y13,'סקרי נכסים-יתרות פתיחה'!$2:$110,96,0),0)*(1-Y$309)</f>
        <v>0</v>
      </c>
      <c r="Z246" s="50">
        <f>+IFERROR(HLOOKUP(Z13,'סקרי נכסים-יתרות פתיחה'!$2:$110,38,0),0)-IFERROR(HLOOKUP(Z13,'סקרי נכסים-יתרות פתיחה'!$2:$110,96,0),0)*(1-Z$309)</f>
        <v>0</v>
      </c>
      <c r="AA246" s="50">
        <f>+IFERROR(HLOOKUP(AA13,'סקרי נכסים-יתרות פתיחה'!$2:$110,38,0),0)-IFERROR(HLOOKUP(AA13,'סקרי נכסים-יתרות פתיחה'!$2:$110,96,0),0)*(1-AA$309)</f>
        <v>0</v>
      </c>
      <c r="AB246" s="50">
        <f>+IFERROR(HLOOKUP(AB13,'סקרי נכסים-יתרות פתיחה'!$2:$110,38,0),0)-IFERROR(HLOOKUP(AB13,'סקרי נכסים-יתרות פתיחה'!$2:$110,96,0),0)*(1-AB$309)</f>
        <v>0</v>
      </c>
      <c r="AC246" s="50">
        <f>+IFERROR(HLOOKUP(AC13,'סקרי נכסים-יתרות פתיחה'!$2:$110,38,0),0)-IFERROR(HLOOKUP(AC13,'סקרי נכסים-יתרות פתיחה'!$2:$110,96,0),0)*(1-AC$309)</f>
        <v>0</v>
      </c>
      <c r="AD246" s="50">
        <f>+IFERROR(HLOOKUP(AD13,'סקרי נכסים-יתרות פתיחה'!$2:$110,38,0),0)-IFERROR(HLOOKUP(AD13,'סקרי נכסים-יתרות פתיחה'!$2:$110,96,0),0)*(1-AD$309)</f>
        <v>0</v>
      </c>
      <c r="AE246" s="50">
        <f>+IFERROR(HLOOKUP(AE13,'סקרי נכסים-יתרות פתיחה'!$2:$110,38,0),0)-IFERROR(HLOOKUP(AE13,'סקרי נכסים-יתרות פתיחה'!$2:$110,96,0),0)*(1-AE$309)</f>
        <v>0</v>
      </c>
      <c r="AF246" s="50">
        <f>+IFERROR(HLOOKUP(AF13,'סקרי נכסים-יתרות פתיחה'!$2:$110,38,0),0)-IFERROR(HLOOKUP(AF13,'סקרי נכסים-יתרות פתיחה'!$2:$110,96,0),0)*(1-AF$309)</f>
        <v>0</v>
      </c>
      <c r="AG246" s="50">
        <f>+IFERROR(HLOOKUP(AG13,'סקרי נכסים-יתרות פתיחה'!$2:$110,38,0),0)-IFERROR(HLOOKUP(AG13,'סקרי נכסים-יתרות פתיחה'!$2:$110,96,0),0)*(1-AG$309)</f>
        <v>0</v>
      </c>
      <c r="AH246" s="50">
        <f>+IFERROR(HLOOKUP(AH13,'סקרי נכסים-יתרות פתיחה'!$2:$110,38,0),0)-IFERROR(HLOOKUP(AH13,'סקרי נכסים-יתרות פתיחה'!$2:$110,96,0),0)*(1-AH$309)</f>
        <v>0</v>
      </c>
      <c r="AI246" s="50">
        <f>+IFERROR(HLOOKUP(AI13,'סקרי נכסים-יתרות פתיחה'!$2:$110,38,0),0)-IFERROR(HLOOKUP(AI13,'סקרי נכסים-יתרות פתיחה'!$2:$110,96,0),0)*(1-AI$309)</f>
        <v>0</v>
      </c>
      <c r="AJ246" s="50">
        <f>+IFERROR(HLOOKUP(AJ13,'סקרי נכסים-יתרות פתיחה'!$2:$110,38,0),0)-IFERROR(HLOOKUP(AJ13,'סקרי נכסים-יתרות פתיחה'!$2:$110,96,0),0)*(1-AJ$309)</f>
        <v>0</v>
      </c>
      <c r="AK246" s="50">
        <f>+IFERROR(HLOOKUP(AK13,'סקרי נכסים-יתרות פתיחה'!$2:$110,38,0),0)-IFERROR(HLOOKUP(AK13,'סקרי נכסים-יתרות פתיחה'!$2:$110,96,0),0)*(1-AK$309)</f>
        <v>0</v>
      </c>
      <c r="AL246" s="50">
        <f>+IFERROR(HLOOKUP(AL13,'סקרי נכסים-יתרות פתיחה'!$2:$110,38,0),0)-IFERROR(HLOOKUP(AL13,'סקרי נכסים-יתרות פתיחה'!$2:$110,96,0),0)*(1-AL$309)</f>
        <v>0</v>
      </c>
      <c r="AM246" s="50">
        <f>+IFERROR(HLOOKUP(AM13,'סקרי נכסים-יתרות פתיחה'!$2:$110,38,0),0)-IFERROR(HLOOKUP(AM13,'סקרי נכסים-יתרות פתיחה'!$2:$110,96,0),0)*(1-AM$309)</f>
        <v>0</v>
      </c>
      <c r="AN246" s="50">
        <f>+IFERROR(HLOOKUP(AN13,'סקרי נכסים-יתרות פתיחה'!$2:$110,38,0),0)-IFERROR(HLOOKUP(AN13,'סקרי נכסים-יתרות פתיחה'!$2:$110,96,0),0)*(1-AN$309)</f>
        <v>0</v>
      </c>
      <c r="AO246" s="50">
        <f>+IFERROR(HLOOKUP(AO13,'סקרי נכסים-יתרות פתיחה'!$2:$110,38,0),0)-IFERROR(HLOOKUP(AO13,'סקרי נכסים-יתרות פתיחה'!$2:$110,96,0),0)*(1-AO$309)</f>
        <v>0</v>
      </c>
      <c r="AP246" s="50">
        <f>+IFERROR(HLOOKUP(AP13,'סקרי נכסים-יתרות פתיחה'!$2:$110,38,0),0)-IFERROR(HLOOKUP(AP13,'סקרי נכסים-יתרות פתיחה'!$2:$110,96,0),0)*(1-AP$309)</f>
        <v>0</v>
      </c>
      <c r="AQ246" s="50">
        <f>+IFERROR(HLOOKUP(AQ13,'סקרי נכסים-יתרות פתיחה'!$2:$110,38,0),0)-IFERROR(HLOOKUP(AQ13,'סקרי נכסים-יתרות פתיחה'!$2:$110,96,0),0)*(1-AQ$309)</f>
        <v>0</v>
      </c>
      <c r="AR246" s="50">
        <f>+IFERROR(HLOOKUP(AR13,'סקרי נכסים-יתרות פתיחה'!$2:$110,38,0),0)-IFERROR(HLOOKUP(AR13,'סקרי נכסים-יתרות פתיחה'!$2:$110,96,0),0)*(1-AR$309)</f>
        <v>0</v>
      </c>
      <c r="AS246" s="50">
        <f>+IFERROR(HLOOKUP(AS13,'סקרי נכסים-יתרות פתיחה'!$2:$110,38,0),0)-IFERROR(HLOOKUP(AS13,'סקרי נכסים-יתרות פתיחה'!$2:$110,96,0),0)*(1-AS$309)</f>
        <v>0</v>
      </c>
      <c r="AT246" s="50">
        <f>+IFERROR(HLOOKUP(AT13,'סקרי נכסים-יתרות פתיחה'!$2:$110,38,0),0)-IFERROR(HLOOKUP(AT13,'סקרי נכסים-יתרות פתיחה'!$2:$110,96,0),0)*(1-AT$309)</f>
        <v>0</v>
      </c>
      <c r="AU246" s="50">
        <f>+IFERROR(HLOOKUP(AU13,'סקרי נכסים-יתרות פתיחה'!$2:$110,38,0),0)-IFERROR(HLOOKUP(AU13,'סקרי נכסים-יתרות פתיחה'!$2:$110,96,0),0)*(1-AU$309)</f>
        <v>0</v>
      </c>
      <c r="AV246" s="50">
        <f>+IFERROR(HLOOKUP(AV13,'סקרי נכסים-יתרות פתיחה'!$2:$110,38,0),0)-IFERROR(HLOOKUP(AV13,'סקרי נכסים-יתרות פתיחה'!$2:$110,96,0),0)*(1-AV$309)</f>
        <v>0</v>
      </c>
      <c r="AW246" s="50">
        <f>+IFERROR(HLOOKUP(AW13,'סקרי נכסים-יתרות פתיחה'!$2:$110,38,0),0)-IFERROR(HLOOKUP(AW13,'סקרי נכסים-יתרות פתיחה'!$2:$110,96,0),0)*(1-AW$309)</f>
        <v>0</v>
      </c>
      <c r="AX246" s="50">
        <f>+IFERROR(HLOOKUP(AX13,'סקרי נכסים-יתרות פתיחה'!$2:$110,38,0),0)-IFERROR(HLOOKUP(AX13,'סקרי נכסים-יתרות פתיחה'!$2:$110,96,0),0)*(1-AX$309)</f>
        <v>0</v>
      </c>
      <c r="AY246" s="50">
        <f>+IFERROR(HLOOKUP(AY13,'סקרי נכסים-יתרות פתיחה'!$2:$110,38,0),0)-IFERROR(HLOOKUP(AY13,'סקרי נכסים-יתרות פתיחה'!$2:$110,96,0),0)*(1-AY$309)</f>
        <v>0</v>
      </c>
      <c r="AZ246" s="50">
        <f>+IFERROR(HLOOKUP(AZ13,'סקרי נכסים-יתרות פתיחה'!$2:$110,38,0),0)-IFERROR(HLOOKUP(AZ13,'סקרי נכסים-יתרות פתיחה'!$2:$110,96,0),0)*(1-AZ$309)</f>
        <v>0</v>
      </c>
      <c r="BA246" s="50">
        <f>+IFERROR(HLOOKUP(BA13,'סקרי נכסים-יתרות פתיחה'!$2:$110,38,0),0)-IFERROR(HLOOKUP(BA13,'סקרי נכסים-יתרות פתיחה'!$2:$110,96,0),0)*(1-BA$309)</f>
        <v>0</v>
      </c>
      <c r="BB246" s="50">
        <f>+IFERROR(HLOOKUP(BB13,'סקרי נכסים-יתרות פתיחה'!$2:$110,38,0),0)-IFERROR(HLOOKUP(BB13,'סקרי נכסים-יתרות פתיחה'!$2:$110,96,0),0)*(1-BB$309)</f>
        <v>0</v>
      </c>
      <c r="BC246" s="50">
        <f>+IFERROR(HLOOKUP(BC13,'סקרי נכסים-יתרות פתיחה'!$2:$110,38,0),0)-IFERROR(HLOOKUP(BC13,'סקרי נכסים-יתרות פתיחה'!$2:$110,96,0),0)*(1-BC$309)</f>
        <v>0</v>
      </c>
      <c r="BD246" s="50">
        <f>+IFERROR(HLOOKUP(BD13,'סקרי נכסים-יתרות פתיחה'!$2:$110,38,0),0)-IFERROR(HLOOKUP(BD13,'סקרי נכסים-יתרות פתיחה'!$2:$110,96,0),0)*(1-BD$309)</f>
        <v>0</v>
      </c>
      <c r="BE246" s="50">
        <f>+IFERROR(HLOOKUP(BE13,'סקרי נכסים-יתרות פתיחה'!$2:$110,38,0),0)-IFERROR(HLOOKUP(BE13,'סקרי נכסים-יתרות פתיחה'!$2:$110,96,0),0)*(1-BE$309)</f>
        <v>0</v>
      </c>
      <c r="BF246" s="50">
        <f>+IFERROR(HLOOKUP(BF13,'סקרי נכסים-יתרות פתיחה'!$2:$110,38,0),0)-IFERROR(HLOOKUP(BF13,'סקרי נכסים-יתרות פתיחה'!$2:$110,96,0),0)*(1-BF$309)</f>
        <v>0</v>
      </c>
    </row>
    <row r="247" spans="2:58" x14ac:dyDescent="0.2">
      <c r="B247" s="1">
        <v>11</v>
      </c>
      <c r="C247" s="50">
        <f>+IFERROR(HLOOKUP(C14,'סקרי נכסים-יתרות פתיחה'!$2:$110,38,0),0)-IFERROR(HLOOKUP(C14,'סקרי נכסים-יתרות פתיחה'!$2:$110,96,0),0)*(1-C$309)</f>
        <v>0</v>
      </c>
      <c r="D247" s="50">
        <f>+IFERROR(HLOOKUP(D14,'סקרי נכסים-יתרות פתיחה'!$2:$110,38,0),0)-IFERROR(HLOOKUP(D14,'סקרי נכסים-יתרות פתיחה'!$2:$110,96,0),0)*(1-D$309)</f>
        <v>0</v>
      </c>
      <c r="E247" s="50">
        <f>+IFERROR(HLOOKUP(E14,'סקרי נכסים-יתרות פתיחה'!$2:$110,38,0),0)-IFERROR(HLOOKUP(E14,'סקרי נכסים-יתרות פתיחה'!$2:$110,96,0),0)*(1-E$309)</f>
        <v>0</v>
      </c>
      <c r="F247" s="50">
        <f>+IFERROR(HLOOKUP(F14,'סקרי נכסים-יתרות פתיחה'!$2:$110,38,0),0)-IFERROR(HLOOKUP(F14,'סקרי נכסים-יתרות פתיחה'!$2:$110,96,0),0)*(1-F$309)</f>
        <v>0</v>
      </c>
      <c r="G247" s="50">
        <f>+IFERROR(HLOOKUP(G14,'סקרי נכסים-יתרות פתיחה'!$2:$110,38,0),0)-IFERROR(HLOOKUP(G14,'סקרי נכסים-יתרות פתיחה'!$2:$110,96,0),0)*(1-G$309)</f>
        <v>0</v>
      </c>
      <c r="H247" s="50">
        <f>+IFERROR(HLOOKUP(H14,'סקרי נכסים-יתרות פתיחה'!$2:$110,38,0),0)-IFERROR(HLOOKUP(H14,'סקרי נכסים-יתרות פתיחה'!$2:$110,96,0),0)*(1-H$309)</f>
        <v>0</v>
      </c>
      <c r="I247" s="50">
        <f>+IFERROR(HLOOKUP(I14,'סקרי נכסים-יתרות פתיחה'!$2:$110,38,0),0)-IFERROR(HLOOKUP(I14,'סקרי נכסים-יתרות פתיחה'!$2:$110,96,0),0)*(1-I$309)</f>
        <v>0</v>
      </c>
      <c r="J247" s="50">
        <f>+IFERROR(HLOOKUP(J14,'סקרי נכסים-יתרות פתיחה'!$2:$110,38,0),0)-IFERROR(HLOOKUP(J14,'סקרי נכסים-יתרות פתיחה'!$2:$110,96,0),0)*(1-J$309)</f>
        <v>0</v>
      </c>
      <c r="K247" s="50">
        <f>+IFERROR(HLOOKUP(K14,'סקרי נכסים-יתרות פתיחה'!$2:$110,38,0),0)-IFERROR(HLOOKUP(K14,'סקרי נכסים-יתרות פתיחה'!$2:$110,96,0),0)*(1-K$309)</f>
        <v>0</v>
      </c>
      <c r="L247" s="50">
        <f>+IFERROR(HLOOKUP(L14,'סקרי נכסים-יתרות פתיחה'!$2:$110,38,0),0)-IFERROR(HLOOKUP(L14,'סקרי נכסים-יתרות פתיחה'!$2:$110,96,0),0)*(1-L$309)</f>
        <v>0</v>
      </c>
      <c r="M247" s="50">
        <f>+IFERROR(HLOOKUP(M14,'סקרי נכסים-יתרות פתיחה'!$2:$110,38,0),0)-IFERROR(HLOOKUP(M14,'סקרי נכסים-יתרות פתיחה'!$2:$110,96,0),0)*(1-M$309)</f>
        <v>0</v>
      </c>
      <c r="N247" s="50">
        <f>+IFERROR(HLOOKUP(N14,'סקרי נכסים-יתרות פתיחה'!$2:$110,38,0),0)-IFERROR(HLOOKUP(N14,'סקרי נכסים-יתרות פתיחה'!$2:$110,96,0),0)*(1-N$309)</f>
        <v>0</v>
      </c>
      <c r="O247" s="50">
        <f>+IFERROR(HLOOKUP(O14,'סקרי נכסים-יתרות פתיחה'!$2:$110,38,0),0)-IFERROR(HLOOKUP(O14,'סקרי נכסים-יתרות פתיחה'!$2:$110,96,0),0)*(1-O$309)</f>
        <v>0</v>
      </c>
      <c r="P247" s="50">
        <f>+IFERROR(HLOOKUP(P14,'סקרי נכסים-יתרות פתיחה'!$2:$110,38,0),0)-IFERROR(HLOOKUP(P14,'סקרי נכסים-יתרות פתיחה'!$2:$110,96,0),0)*(1-P$309)</f>
        <v>0</v>
      </c>
      <c r="Q247" s="50">
        <f>+IFERROR(HLOOKUP(Q14,'סקרי נכסים-יתרות פתיחה'!$2:$110,38,0),0)-IFERROR(HLOOKUP(Q14,'סקרי נכסים-יתרות פתיחה'!$2:$110,96,0),0)*(1-Q$309)</f>
        <v>0</v>
      </c>
      <c r="R247" s="50">
        <f>+IFERROR(HLOOKUP(R14,'סקרי נכסים-יתרות פתיחה'!$2:$110,38,0),0)-IFERROR(HLOOKUP(R14,'סקרי נכסים-יתרות פתיחה'!$2:$110,96,0),0)*(1-R$309)</f>
        <v>0</v>
      </c>
      <c r="S247" s="50">
        <f>+IFERROR(HLOOKUP(S14,'סקרי נכסים-יתרות פתיחה'!$2:$110,38,0),0)-IFERROR(HLOOKUP(S14,'סקרי נכסים-יתרות פתיחה'!$2:$110,96,0),0)*(1-S$309)</f>
        <v>0</v>
      </c>
      <c r="T247" s="50">
        <f>+IFERROR(HLOOKUP(T14,'סקרי נכסים-יתרות פתיחה'!$2:$110,38,0),0)-IFERROR(HLOOKUP(T14,'סקרי נכסים-יתרות פתיחה'!$2:$110,96,0),0)*(1-T$309)</f>
        <v>0</v>
      </c>
      <c r="U247" s="50">
        <f>+IFERROR(HLOOKUP(U14,'סקרי נכסים-יתרות פתיחה'!$2:$110,38,0),0)-IFERROR(HLOOKUP(U14,'סקרי נכסים-יתרות פתיחה'!$2:$110,96,0),0)*(1-U$309)</f>
        <v>0</v>
      </c>
      <c r="V247" s="50">
        <f>+IFERROR(HLOOKUP(V14,'סקרי נכסים-יתרות פתיחה'!$2:$110,38,0),0)-IFERROR(HLOOKUP(V14,'סקרי נכסים-יתרות פתיחה'!$2:$110,96,0),0)*(1-V$309)</f>
        <v>0</v>
      </c>
      <c r="W247" s="50">
        <f>+IFERROR(HLOOKUP(W14,'סקרי נכסים-יתרות פתיחה'!$2:$110,38,0),0)-IFERROR(HLOOKUP(W14,'סקרי נכסים-יתרות פתיחה'!$2:$110,96,0),0)*(1-W$309)</f>
        <v>0</v>
      </c>
      <c r="X247" s="50">
        <f>+IFERROR(HLOOKUP(X14,'סקרי נכסים-יתרות פתיחה'!$2:$110,38,0),0)-IFERROR(HLOOKUP(X14,'סקרי נכסים-יתרות פתיחה'!$2:$110,96,0),0)*(1-X$309)</f>
        <v>0</v>
      </c>
      <c r="Y247" s="50">
        <f>+IFERROR(HLOOKUP(Y14,'סקרי נכסים-יתרות פתיחה'!$2:$110,38,0),0)-IFERROR(HLOOKUP(Y14,'סקרי נכסים-יתרות פתיחה'!$2:$110,96,0),0)*(1-Y$309)</f>
        <v>0</v>
      </c>
      <c r="Z247" s="50">
        <f>+IFERROR(HLOOKUP(Z14,'סקרי נכסים-יתרות פתיחה'!$2:$110,38,0),0)-IFERROR(HLOOKUP(Z14,'סקרי נכסים-יתרות פתיחה'!$2:$110,96,0),0)*(1-Z$309)</f>
        <v>0</v>
      </c>
      <c r="AA247" s="50">
        <f>+IFERROR(HLOOKUP(AA14,'סקרי נכסים-יתרות פתיחה'!$2:$110,38,0),0)-IFERROR(HLOOKUP(AA14,'סקרי נכסים-יתרות פתיחה'!$2:$110,96,0),0)*(1-AA$309)</f>
        <v>0</v>
      </c>
      <c r="AB247" s="50">
        <f>+IFERROR(HLOOKUP(AB14,'סקרי נכסים-יתרות פתיחה'!$2:$110,38,0),0)-IFERROR(HLOOKUP(AB14,'סקרי נכסים-יתרות פתיחה'!$2:$110,96,0),0)*(1-AB$309)</f>
        <v>0</v>
      </c>
      <c r="AC247" s="50">
        <f>+IFERROR(HLOOKUP(AC14,'סקרי נכסים-יתרות פתיחה'!$2:$110,38,0),0)-IFERROR(HLOOKUP(AC14,'סקרי נכסים-יתרות פתיחה'!$2:$110,96,0),0)*(1-AC$309)</f>
        <v>0</v>
      </c>
      <c r="AD247" s="50">
        <f>+IFERROR(HLOOKUP(AD14,'סקרי נכסים-יתרות פתיחה'!$2:$110,38,0),0)-IFERROR(HLOOKUP(AD14,'סקרי נכסים-יתרות פתיחה'!$2:$110,96,0),0)*(1-AD$309)</f>
        <v>0</v>
      </c>
      <c r="AE247" s="50">
        <f>+IFERROR(HLOOKUP(AE14,'סקרי נכסים-יתרות פתיחה'!$2:$110,38,0),0)-IFERROR(HLOOKUP(AE14,'סקרי נכסים-יתרות פתיחה'!$2:$110,96,0),0)*(1-AE$309)</f>
        <v>0</v>
      </c>
      <c r="AF247" s="50">
        <f>+IFERROR(HLOOKUP(AF14,'סקרי נכסים-יתרות פתיחה'!$2:$110,38,0),0)-IFERROR(HLOOKUP(AF14,'סקרי נכסים-יתרות פתיחה'!$2:$110,96,0),0)*(1-AF$309)</f>
        <v>0</v>
      </c>
      <c r="AG247" s="50">
        <f>+IFERROR(HLOOKUP(AG14,'סקרי נכסים-יתרות פתיחה'!$2:$110,38,0),0)-IFERROR(HLOOKUP(AG14,'סקרי נכסים-יתרות פתיחה'!$2:$110,96,0),0)*(1-AG$309)</f>
        <v>0</v>
      </c>
      <c r="AH247" s="50">
        <f>+IFERROR(HLOOKUP(AH14,'סקרי נכסים-יתרות פתיחה'!$2:$110,38,0),0)-IFERROR(HLOOKUP(AH14,'סקרי נכסים-יתרות פתיחה'!$2:$110,96,0),0)*(1-AH$309)</f>
        <v>0</v>
      </c>
      <c r="AI247" s="50">
        <f>+IFERROR(HLOOKUP(AI14,'סקרי נכסים-יתרות פתיחה'!$2:$110,38,0),0)-IFERROR(HLOOKUP(AI14,'סקרי נכסים-יתרות פתיחה'!$2:$110,96,0),0)*(1-AI$309)</f>
        <v>0</v>
      </c>
      <c r="AJ247" s="50">
        <f>+IFERROR(HLOOKUP(AJ14,'סקרי נכסים-יתרות פתיחה'!$2:$110,38,0),0)-IFERROR(HLOOKUP(AJ14,'סקרי נכסים-יתרות פתיחה'!$2:$110,96,0),0)*(1-AJ$309)</f>
        <v>0</v>
      </c>
      <c r="AK247" s="50">
        <f>+IFERROR(HLOOKUP(AK14,'סקרי נכסים-יתרות פתיחה'!$2:$110,38,0),0)-IFERROR(HLOOKUP(AK14,'סקרי נכסים-יתרות פתיחה'!$2:$110,96,0),0)*(1-AK$309)</f>
        <v>0</v>
      </c>
      <c r="AL247" s="50">
        <f>+IFERROR(HLOOKUP(AL14,'סקרי נכסים-יתרות פתיחה'!$2:$110,38,0),0)-IFERROR(HLOOKUP(AL14,'סקרי נכסים-יתרות פתיחה'!$2:$110,96,0),0)*(1-AL$309)</f>
        <v>0</v>
      </c>
      <c r="AM247" s="50">
        <f>+IFERROR(HLOOKUP(AM14,'סקרי נכסים-יתרות פתיחה'!$2:$110,38,0),0)-IFERROR(HLOOKUP(AM14,'סקרי נכסים-יתרות פתיחה'!$2:$110,96,0),0)*(1-AM$309)</f>
        <v>0</v>
      </c>
      <c r="AN247" s="50">
        <f>+IFERROR(HLOOKUP(AN14,'סקרי נכסים-יתרות פתיחה'!$2:$110,38,0),0)-IFERROR(HLOOKUP(AN14,'סקרי נכסים-יתרות פתיחה'!$2:$110,96,0),0)*(1-AN$309)</f>
        <v>0</v>
      </c>
      <c r="AO247" s="50">
        <f>+IFERROR(HLOOKUP(AO14,'סקרי נכסים-יתרות פתיחה'!$2:$110,38,0),0)-IFERROR(HLOOKUP(AO14,'סקרי נכסים-יתרות פתיחה'!$2:$110,96,0),0)*(1-AO$309)</f>
        <v>0</v>
      </c>
      <c r="AP247" s="50">
        <f>+IFERROR(HLOOKUP(AP14,'סקרי נכסים-יתרות פתיחה'!$2:$110,38,0),0)-IFERROR(HLOOKUP(AP14,'סקרי נכסים-יתרות פתיחה'!$2:$110,96,0),0)*(1-AP$309)</f>
        <v>0</v>
      </c>
      <c r="AQ247" s="50">
        <f>+IFERROR(HLOOKUP(AQ14,'סקרי נכסים-יתרות פתיחה'!$2:$110,38,0),0)-IFERROR(HLOOKUP(AQ14,'סקרי נכסים-יתרות פתיחה'!$2:$110,96,0),0)*(1-AQ$309)</f>
        <v>0</v>
      </c>
      <c r="AR247" s="50">
        <f>+IFERROR(HLOOKUP(AR14,'סקרי נכסים-יתרות פתיחה'!$2:$110,38,0),0)-IFERROR(HLOOKUP(AR14,'סקרי נכסים-יתרות פתיחה'!$2:$110,96,0),0)*(1-AR$309)</f>
        <v>0</v>
      </c>
      <c r="AS247" s="50">
        <f>+IFERROR(HLOOKUP(AS14,'סקרי נכסים-יתרות פתיחה'!$2:$110,38,0),0)-IFERROR(HLOOKUP(AS14,'סקרי נכסים-יתרות פתיחה'!$2:$110,96,0),0)*(1-AS$309)</f>
        <v>0</v>
      </c>
      <c r="AT247" s="50">
        <f>+IFERROR(HLOOKUP(AT14,'סקרי נכסים-יתרות פתיחה'!$2:$110,38,0),0)-IFERROR(HLOOKUP(AT14,'סקרי נכסים-יתרות פתיחה'!$2:$110,96,0),0)*(1-AT$309)</f>
        <v>0</v>
      </c>
      <c r="AU247" s="50">
        <f>+IFERROR(HLOOKUP(AU14,'סקרי נכסים-יתרות פתיחה'!$2:$110,38,0),0)-IFERROR(HLOOKUP(AU14,'סקרי נכסים-יתרות פתיחה'!$2:$110,96,0),0)*(1-AU$309)</f>
        <v>0</v>
      </c>
      <c r="AV247" s="50">
        <f>+IFERROR(HLOOKUP(AV14,'סקרי נכסים-יתרות פתיחה'!$2:$110,38,0),0)-IFERROR(HLOOKUP(AV14,'סקרי נכסים-יתרות פתיחה'!$2:$110,96,0),0)*(1-AV$309)</f>
        <v>0</v>
      </c>
      <c r="AW247" s="50">
        <f>+IFERROR(HLOOKUP(AW14,'סקרי נכסים-יתרות פתיחה'!$2:$110,38,0),0)-IFERROR(HLOOKUP(AW14,'סקרי נכסים-יתרות פתיחה'!$2:$110,96,0),0)*(1-AW$309)</f>
        <v>0</v>
      </c>
      <c r="AX247" s="50">
        <f>+IFERROR(HLOOKUP(AX14,'סקרי נכסים-יתרות פתיחה'!$2:$110,38,0),0)-IFERROR(HLOOKUP(AX14,'סקרי נכסים-יתרות פתיחה'!$2:$110,96,0),0)*(1-AX$309)</f>
        <v>0</v>
      </c>
      <c r="AY247" s="50">
        <f>+IFERROR(HLOOKUP(AY14,'סקרי נכסים-יתרות פתיחה'!$2:$110,38,0),0)-IFERROR(HLOOKUP(AY14,'סקרי נכסים-יתרות פתיחה'!$2:$110,96,0),0)*(1-AY$309)</f>
        <v>0</v>
      </c>
      <c r="AZ247" s="50">
        <f>+IFERROR(HLOOKUP(AZ14,'סקרי נכסים-יתרות פתיחה'!$2:$110,38,0),0)-IFERROR(HLOOKUP(AZ14,'סקרי נכסים-יתרות פתיחה'!$2:$110,96,0),0)*(1-AZ$309)</f>
        <v>0</v>
      </c>
      <c r="BA247" s="50">
        <f>+IFERROR(HLOOKUP(BA14,'סקרי נכסים-יתרות פתיחה'!$2:$110,38,0),0)-IFERROR(HLOOKUP(BA14,'סקרי נכסים-יתרות פתיחה'!$2:$110,96,0),0)*(1-BA$309)</f>
        <v>0</v>
      </c>
      <c r="BB247" s="50">
        <f>+IFERROR(HLOOKUP(BB14,'סקרי נכסים-יתרות פתיחה'!$2:$110,38,0),0)-IFERROR(HLOOKUP(BB14,'סקרי נכסים-יתרות פתיחה'!$2:$110,96,0),0)*(1-BB$309)</f>
        <v>0</v>
      </c>
      <c r="BC247" s="50">
        <f>+IFERROR(HLOOKUP(BC14,'סקרי נכסים-יתרות פתיחה'!$2:$110,38,0),0)-IFERROR(HLOOKUP(BC14,'סקרי נכסים-יתרות פתיחה'!$2:$110,96,0),0)*(1-BC$309)</f>
        <v>0</v>
      </c>
      <c r="BD247" s="50">
        <f>+IFERROR(HLOOKUP(BD14,'סקרי נכסים-יתרות פתיחה'!$2:$110,38,0),0)-IFERROR(HLOOKUP(BD14,'סקרי נכסים-יתרות פתיחה'!$2:$110,96,0),0)*(1-BD$309)</f>
        <v>0</v>
      </c>
      <c r="BE247" s="50">
        <f>+IFERROR(HLOOKUP(BE14,'סקרי נכסים-יתרות פתיחה'!$2:$110,38,0),0)-IFERROR(HLOOKUP(BE14,'סקרי נכסים-יתרות פתיחה'!$2:$110,96,0),0)*(1-BE$309)</f>
        <v>0</v>
      </c>
      <c r="BF247" s="50">
        <f>+IFERROR(HLOOKUP(BF14,'סקרי נכסים-יתרות פתיחה'!$2:$110,38,0),0)-IFERROR(HLOOKUP(BF14,'סקרי נכסים-יתרות פתיחה'!$2:$110,96,0),0)*(1-BF$309)</f>
        <v>0</v>
      </c>
    </row>
    <row r="248" spans="2:58" x14ac:dyDescent="0.2">
      <c r="B248" s="1">
        <v>12</v>
      </c>
      <c r="C248" s="50">
        <f>+IFERROR(HLOOKUP(C15,'סקרי נכסים-יתרות פתיחה'!$2:$110,38,0),0)-IFERROR(HLOOKUP(C15,'סקרי נכסים-יתרות פתיחה'!$2:$110,96,0),0)*(1-C$309)</f>
        <v>0</v>
      </c>
      <c r="D248" s="50">
        <f>+IFERROR(HLOOKUP(D15,'סקרי נכסים-יתרות פתיחה'!$2:$110,38,0),0)-IFERROR(HLOOKUP(D15,'סקרי נכסים-יתרות פתיחה'!$2:$110,96,0),0)*(1-D$309)</f>
        <v>0</v>
      </c>
      <c r="E248" s="50">
        <f>+IFERROR(HLOOKUP(E15,'סקרי נכסים-יתרות פתיחה'!$2:$110,38,0),0)-IFERROR(HLOOKUP(E15,'סקרי נכסים-יתרות פתיחה'!$2:$110,96,0),0)*(1-E$309)</f>
        <v>0</v>
      </c>
      <c r="F248" s="50">
        <f>+IFERROR(HLOOKUP(F15,'סקרי נכסים-יתרות פתיחה'!$2:$110,38,0),0)-IFERROR(HLOOKUP(F15,'סקרי נכסים-יתרות פתיחה'!$2:$110,96,0),0)*(1-F$309)</f>
        <v>0</v>
      </c>
      <c r="G248" s="50">
        <f>+IFERROR(HLOOKUP(G15,'סקרי נכסים-יתרות פתיחה'!$2:$110,38,0),0)-IFERROR(HLOOKUP(G15,'סקרי נכסים-יתרות פתיחה'!$2:$110,96,0),0)*(1-G$309)</f>
        <v>0</v>
      </c>
      <c r="H248" s="50">
        <f>+IFERROR(HLOOKUP(H15,'סקרי נכסים-יתרות פתיחה'!$2:$110,38,0),0)-IFERROR(HLOOKUP(H15,'סקרי נכסים-יתרות פתיחה'!$2:$110,96,0),0)*(1-H$309)</f>
        <v>0</v>
      </c>
      <c r="I248" s="50">
        <f>+IFERROR(HLOOKUP(I15,'סקרי נכסים-יתרות פתיחה'!$2:$110,38,0),0)-IFERROR(HLOOKUP(I15,'סקרי נכסים-יתרות פתיחה'!$2:$110,96,0),0)*(1-I$309)</f>
        <v>0</v>
      </c>
      <c r="J248" s="50">
        <f>+IFERROR(HLOOKUP(J15,'סקרי נכסים-יתרות פתיחה'!$2:$110,38,0),0)-IFERROR(HLOOKUP(J15,'סקרי נכסים-יתרות פתיחה'!$2:$110,96,0),0)*(1-J$309)</f>
        <v>0</v>
      </c>
      <c r="K248" s="50">
        <f>+IFERROR(HLOOKUP(K15,'סקרי נכסים-יתרות פתיחה'!$2:$110,38,0),0)-IFERROR(HLOOKUP(K15,'סקרי נכסים-יתרות פתיחה'!$2:$110,96,0),0)*(1-K$309)</f>
        <v>0</v>
      </c>
      <c r="L248" s="50">
        <f>+IFERROR(HLOOKUP(L15,'סקרי נכסים-יתרות פתיחה'!$2:$110,38,0),0)-IFERROR(HLOOKUP(L15,'סקרי נכסים-יתרות פתיחה'!$2:$110,96,0),0)*(1-L$309)</f>
        <v>0</v>
      </c>
      <c r="M248" s="50">
        <f>+IFERROR(HLOOKUP(M15,'סקרי נכסים-יתרות פתיחה'!$2:$110,38,0),0)-IFERROR(HLOOKUP(M15,'סקרי נכסים-יתרות פתיחה'!$2:$110,96,0),0)*(1-M$309)</f>
        <v>0</v>
      </c>
      <c r="N248" s="50">
        <f>+IFERROR(HLOOKUP(N15,'סקרי נכסים-יתרות פתיחה'!$2:$110,38,0),0)-IFERROR(HLOOKUP(N15,'סקרי נכסים-יתרות פתיחה'!$2:$110,96,0),0)*(1-N$309)</f>
        <v>0</v>
      </c>
      <c r="O248" s="50">
        <f>+IFERROR(HLOOKUP(O15,'סקרי נכסים-יתרות פתיחה'!$2:$110,38,0),0)-IFERROR(HLOOKUP(O15,'סקרי נכסים-יתרות פתיחה'!$2:$110,96,0),0)*(1-O$309)</f>
        <v>0</v>
      </c>
      <c r="P248" s="50">
        <f>+IFERROR(HLOOKUP(P15,'סקרי נכסים-יתרות פתיחה'!$2:$110,38,0),0)-IFERROR(HLOOKUP(P15,'סקרי נכסים-יתרות פתיחה'!$2:$110,96,0),0)*(1-P$309)</f>
        <v>0</v>
      </c>
      <c r="Q248" s="50">
        <f>+IFERROR(HLOOKUP(Q15,'סקרי נכסים-יתרות פתיחה'!$2:$110,38,0),0)-IFERROR(HLOOKUP(Q15,'סקרי נכסים-יתרות פתיחה'!$2:$110,96,0),0)*(1-Q$309)</f>
        <v>0</v>
      </c>
      <c r="R248" s="50">
        <f>+IFERROR(HLOOKUP(R15,'סקרי נכסים-יתרות פתיחה'!$2:$110,38,0),0)-IFERROR(HLOOKUP(R15,'סקרי נכסים-יתרות פתיחה'!$2:$110,96,0),0)*(1-R$309)</f>
        <v>0</v>
      </c>
      <c r="S248" s="50">
        <f>+IFERROR(HLOOKUP(S15,'סקרי נכסים-יתרות פתיחה'!$2:$110,38,0),0)-IFERROR(HLOOKUP(S15,'סקרי נכסים-יתרות פתיחה'!$2:$110,96,0),0)*(1-S$309)</f>
        <v>0</v>
      </c>
      <c r="T248" s="50">
        <f>+IFERROR(HLOOKUP(T15,'סקרי נכסים-יתרות פתיחה'!$2:$110,38,0),0)-IFERROR(HLOOKUP(T15,'סקרי נכסים-יתרות פתיחה'!$2:$110,96,0),0)*(1-T$309)</f>
        <v>0</v>
      </c>
      <c r="U248" s="50">
        <f>+IFERROR(HLOOKUP(U15,'סקרי נכסים-יתרות פתיחה'!$2:$110,38,0),0)-IFERROR(HLOOKUP(U15,'סקרי נכסים-יתרות פתיחה'!$2:$110,96,0),0)*(1-U$309)</f>
        <v>0</v>
      </c>
      <c r="V248" s="50">
        <f>+IFERROR(HLOOKUP(V15,'סקרי נכסים-יתרות פתיחה'!$2:$110,38,0),0)-IFERROR(HLOOKUP(V15,'סקרי נכסים-יתרות פתיחה'!$2:$110,96,0),0)*(1-V$309)</f>
        <v>0</v>
      </c>
      <c r="W248" s="50">
        <f>+IFERROR(HLOOKUP(W15,'סקרי נכסים-יתרות פתיחה'!$2:$110,38,0),0)-IFERROR(HLOOKUP(W15,'סקרי נכסים-יתרות פתיחה'!$2:$110,96,0),0)*(1-W$309)</f>
        <v>0</v>
      </c>
      <c r="X248" s="50">
        <f>+IFERROR(HLOOKUP(X15,'סקרי נכסים-יתרות פתיחה'!$2:$110,38,0),0)-IFERROR(HLOOKUP(X15,'סקרי נכסים-יתרות פתיחה'!$2:$110,96,0),0)*(1-X$309)</f>
        <v>0</v>
      </c>
      <c r="Y248" s="50">
        <f>+IFERROR(HLOOKUP(Y15,'סקרי נכסים-יתרות פתיחה'!$2:$110,38,0),0)-IFERROR(HLOOKUP(Y15,'סקרי נכסים-יתרות פתיחה'!$2:$110,96,0),0)*(1-Y$309)</f>
        <v>0</v>
      </c>
      <c r="Z248" s="50">
        <f>+IFERROR(HLOOKUP(Z15,'סקרי נכסים-יתרות פתיחה'!$2:$110,38,0),0)-IFERROR(HLOOKUP(Z15,'סקרי נכסים-יתרות פתיחה'!$2:$110,96,0),0)*(1-Z$309)</f>
        <v>0</v>
      </c>
      <c r="AA248" s="50">
        <f>+IFERROR(HLOOKUP(AA15,'סקרי נכסים-יתרות פתיחה'!$2:$110,38,0),0)-IFERROR(HLOOKUP(AA15,'סקרי נכסים-יתרות פתיחה'!$2:$110,96,0),0)*(1-AA$309)</f>
        <v>0</v>
      </c>
      <c r="AB248" s="50">
        <f>+IFERROR(HLOOKUP(AB15,'סקרי נכסים-יתרות פתיחה'!$2:$110,38,0),0)-IFERROR(HLOOKUP(AB15,'סקרי נכסים-יתרות פתיחה'!$2:$110,96,0),0)*(1-AB$309)</f>
        <v>0</v>
      </c>
      <c r="AC248" s="50">
        <f>+IFERROR(HLOOKUP(AC15,'סקרי נכסים-יתרות פתיחה'!$2:$110,38,0),0)-IFERROR(HLOOKUP(AC15,'סקרי נכסים-יתרות פתיחה'!$2:$110,96,0),0)*(1-AC$309)</f>
        <v>0</v>
      </c>
      <c r="AD248" s="50">
        <f>+IFERROR(HLOOKUP(AD15,'סקרי נכסים-יתרות פתיחה'!$2:$110,38,0),0)-IFERROR(HLOOKUP(AD15,'סקרי נכסים-יתרות פתיחה'!$2:$110,96,0),0)*(1-AD$309)</f>
        <v>0</v>
      </c>
      <c r="AE248" s="50">
        <f>+IFERROR(HLOOKUP(AE15,'סקרי נכסים-יתרות פתיחה'!$2:$110,38,0),0)-IFERROR(HLOOKUP(AE15,'סקרי נכסים-יתרות פתיחה'!$2:$110,96,0),0)*(1-AE$309)</f>
        <v>0</v>
      </c>
      <c r="AF248" s="50">
        <f>+IFERROR(HLOOKUP(AF15,'סקרי נכסים-יתרות פתיחה'!$2:$110,38,0),0)-IFERROR(HLOOKUP(AF15,'סקרי נכסים-יתרות פתיחה'!$2:$110,96,0),0)*(1-AF$309)</f>
        <v>0</v>
      </c>
      <c r="AG248" s="50">
        <f>+IFERROR(HLOOKUP(AG15,'סקרי נכסים-יתרות פתיחה'!$2:$110,38,0),0)-IFERROR(HLOOKUP(AG15,'סקרי נכסים-יתרות פתיחה'!$2:$110,96,0),0)*(1-AG$309)</f>
        <v>0</v>
      </c>
      <c r="AH248" s="50">
        <f>+IFERROR(HLOOKUP(AH15,'סקרי נכסים-יתרות פתיחה'!$2:$110,38,0),0)-IFERROR(HLOOKUP(AH15,'סקרי נכסים-יתרות פתיחה'!$2:$110,96,0),0)*(1-AH$309)</f>
        <v>0</v>
      </c>
      <c r="AI248" s="50">
        <f>+IFERROR(HLOOKUP(AI15,'סקרי נכסים-יתרות פתיחה'!$2:$110,38,0),0)-IFERROR(HLOOKUP(AI15,'סקרי נכסים-יתרות פתיחה'!$2:$110,96,0),0)*(1-AI$309)</f>
        <v>0</v>
      </c>
      <c r="AJ248" s="50">
        <f>+IFERROR(HLOOKUP(AJ15,'סקרי נכסים-יתרות פתיחה'!$2:$110,38,0),0)-IFERROR(HLOOKUP(AJ15,'סקרי נכסים-יתרות פתיחה'!$2:$110,96,0),0)*(1-AJ$309)</f>
        <v>0</v>
      </c>
      <c r="AK248" s="50">
        <f>+IFERROR(HLOOKUP(AK15,'סקרי נכסים-יתרות פתיחה'!$2:$110,38,0),0)-IFERROR(HLOOKUP(AK15,'סקרי נכסים-יתרות פתיחה'!$2:$110,96,0),0)*(1-AK$309)</f>
        <v>0</v>
      </c>
      <c r="AL248" s="50">
        <f>+IFERROR(HLOOKUP(AL15,'סקרי נכסים-יתרות פתיחה'!$2:$110,38,0),0)-IFERROR(HLOOKUP(AL15,'סקרי נכסים-יתרות פתיחה'!$2:$110,96,0),0)*(1-AL$309)</f>
        <v>0</v>
      </c>
      <c r="AM248" s="50">
        <f>+IFERROR(HLOOKUP(AM15,'סקרי נכסים-יתרות פתיחה'!$2:$110,38,0),0)-IFERROR(HLOOKUP(AM15,'סקרי נכסים-יתרות פתיחה'!$2:$110,96,0),0)*(1-AM$309)</f>
        <v>0</v>
      </c>
      <c r="AN248" s="50">
        <f>+IFERROR(HLOOKUP(AN15,'סקרי נכסים-יתרות פתיחה'!$2:$110,38,0),0)-IFERROR(HLOOKUP(AN15,'סקרי נכסים-יתרות פתיחה'!$2:$110,96,0),0)*(1-AN$309)</f>
        <v>0</v>
      </c>
      <c r="AO248" s="50">
        <f>+IFERROR(HLOOKUP(AO15,'סקרי נכסים-יתרות פתיחה'!$2:$110,38,0),0)-IFERROR(HLOOKUP(AO15,'סקרי נכסים-יתרות פתיחה'!$2:$110,96,0),0)*(1-AO$309)</f>
        <v>0</v>
      </c>
      <c r="AP248" s="50">
        <f>+IFERROR(HLOOKUP(AP15,'סקרי נכסים-יתרות פתיחה'!$2:$110,38,0),0)-IFERROR(HLOOKUP(AP15,'סקרי נכסים-יתרות פתיחה'!$2:$110,96,0),0)*(1-AP$309)</f>
        <v>0</v>
      </c>
      <c r="AQ248" s="50">
        <f>+IFERROR(HLOOKUP(AQ15,'סקרי נכסים-יתרות פתיחה'!$2:$110,38,0),0)-IFERROR(HLOOKUP(AQ15,'סקרי נכסים-יתרות פתיחה'!$2:$110,96,0),0)*(1-AQ$309)</f>
        <v>0</v>
      </c>
      <c r="AR248" s="50">
        <f>+IFERROR(HLOOKUP(AR15,'סקרי נכסים-יתרות פתיחה'!$2:$110,38,0),0)-IFERROR(HLOOKUP(AR15,'סקרי נכסים-יתרות פתיחה'!$2:$110,96,0),0)*(1-AR$309)</f>
        <v>0</v>
      </c>
      <c r="AS248" s="50">
        <f>+IFERROR(HLOOKUP(AS15,'סקרי נכסים-יתרות פתיחה'!$2:$110,38,0),0)-IFERROR(HLOOKUP(AS15,'סקרי נכסים-יתרות פתיחה'!$2:$110,96,0),0)*(1-AS$309)</f>
        <v>0</v>
      </c>
      <c r="AT248" s="50">
        <f>+IFERROR(HLOOKUP(AT15,'סקרי נכסים-יתרות פתיחה'!$2:$110,38,0),0)-IFERROR(HLOOKUP(AT15,'סקרי נכסים-יתרות פתיחה'!$2:$110,96,0),0)*(1-AT$309)</f>
        <v>0</v>
      </c>
      <c r="AU248" s="50">
        <f>+IFERROR(HLOOKUP(AU15,'סקרי נכסים-יתרות פתיחה'!$2:$110,38,0),0)-IFERROR(HLOOKUP(AU15,'סקרי נכסים-יתרות פתיחה'!$2:$110,96,0),0)*(1-AU$309)</f>
        <v>0</v>
      </c>
      <c r="AV248" s="50">
        <f>+IFERROR(HLOOKUP(AV15,'סקרי נכסים-יתרות פתיחה'!$2:$110,38,0),0)-IFERROR(HLOOKUP(AV15,'סקרי נכסים-יתרות פתיחה'!$2:$110,96,0),0)*(1-AV$309)</f>
        <v>0</v>
      </c>
      <c r="AW248" s="50">
        <f>+IFERROR(HLOOKUP(AW15,'סקרי נכסים-יתרות פתיחה'!$2:$110,38,0),0)-IFERROR(HLOOKUP(AW15,'סקרי נכסים-יתרות פתיחה'!$2:$110,96,0),0)*(1-AW$309)</f>
        <v>0</v>
      </c>
      <c r="AX248" s="50">
        <f>+IFERROR(HLOOKUP(AX15,'סקרי נכסים-יתרות פתיחה'!$2:$110,38,0),0)-IFERROR(HLOOKUP(AX15,'סקרי נכסים-יתרות פתיחה'!$2:$110,96,0),0)*(1-AX$309)</f>
        <v>0</v>
      </c>
      <c r="AY248" s="50">
        <f>+IFERROR(HLOOKUP(AY15,'סקרי נכסים-יתרות פתיחה'!$2:$110,38,0),0)-IFERROR(HLOOKUP(AY15,'סקרי נכסים-יתרות פתיחה'!$2:$110,96,0),0)*(1-AY$309)</f>
        <v>0</v>
      </c>
      <c r="AZ248" s="50">
        <f>+IFERROR(HLOOKUP(AZ15,'סקרי נכסים-יתרות פתיחה'!$2:$110,38,0),0)-IFERROR(HLOOKUP(AZ15,'סקרי נכסים-יתרות פתיחה'!$2:$110,96,0),0)*(1-AZ$309)</f>
        <v>0</v>
      </c>
      <c r="BA248" s="50">
        <f>+IFERROR(HLOOKUP(BA15,'סקרי נכסים-יתרות פתיחה'!$2:$110,38,0),0)-IFERROR(HLOOKUP(BA15,'סקרי נכסים-יתרות פתיחה'!$2:$110,96,0),0)*(1-BA$309)</f>
        <v>0</v>
      </c>
      <c r="BB248" s="50">
        <f>+IFERROR(HLOOKUP(BB15,'סקרי נכסים-יתרות פתיחה'!$2:$110,38,0),0)-IFERROR(HLOOKUP(BB15,'סקרי נכסים-יתרות פתיחה'!$2:$110,96,0),0)*(1-BB$309)</f>
        <v>0</v>
      </c>
      <c r="BC248" s="50">
        <f>+IFERROR(HLOOKUP(BC15,'סקרי נכסים-יתרות פתיחה'!$2:$110,38,0),0)-IFERROR(HLOOKUP(BC15,'סקרי נכסים-יתרות פתיחה'!$2:$110,96,0),0)*(1-BC$309)</f>
        <v>0</v>
      </c>
      <c r="BD248" s="50">
        <f>+IFERROR(HLOOKUP(BD15,'סקרי נכסים-יתרות פתיחה'!$2:$110,38,0),0)-IFERROR(HLOOKUP(BD15,'סקרי נכסים-יתרות פתיחה'!$2:$110,96,0),0)*(1-BD$309)</f>
        <v>0</v>
      </c>
      <c r="BE248" s="50">
        <f>+IFERROR(HLOOKUP(BE15,'סקרי נכסים-יתרות פתיחה'!$2:$110,38,0),0)-IFERROR(HLOOKUP(BE15,'סקרי נכסים-יתרות פתיחה'!$2:$110,96,0),0)*(1-BE$309)</f>
        <v>0</v>
      </c>
      <c r="BF248" s="50">
        <f>+IFERROR(HLOOKUP(BF15,'סקרי נכסים-יתרות פתיחה'!$2:$110,38,0),0)-IFERROR(HLOOKUP(BF15,'סקרי נכסים-יתרות פתיחה'!$2:$110,96,0),0)*(1-BF$309)</f>
        <v>0</v>
      </c>
    </row>
    <row r="249" spans="2:58" x14ac:dyDescent="0.2">
      <c r="B249" s="1">
        <v>13</v>
      </c>
      <c r="C249" s="50">
        <f>+IFERROR(HLOOKUP(C16,'סקרי נכסים-יתרות פתיחה'!$2:$110,38,0),0)-IFERROR(HLOOKUP(C16,'סקרי נכסים-יתרות פתיחה'!$2:$110,96,0),0)*(1-C$309)</f>
        <v>0</v>
      </c>
      <c r="D249" s="50">
        <f>+IFERROR(HLOOKUP(D16,'סקרי נכסים-יתרות פתיחה'!$2:$110,38,0),0)-IFERROR(HLOOKUP(D16,'סקרי נכסים-יתרות פתיחה'!$2:$110,96,0),0)*(1-D$309)</f>
        <v>0</v>
      </c>
      <c r="E249" s="50">
        <f>+IFERROR(HLOOKUP(E16,'סקרי נכסים-יתרות פתיחה'!$2:$110,38,0),0)-IFERROR(HLOOKUP(E16,'סקרי נכסים-יתרות פתיחה'!$2:$110,96,0),0)*(1-E$309)</f>
        <v>0</v>
      </c>
      <c r="F249" s="50">
        <f>+IFERROR(HLOOKUP(F16,'סקרי נכסים-יתרות פתיחה'!$2:$110,38,0),0)-IFERROR(HLOOKUP(F16,'סקרי נכסים-יתרות פתיחה'!$2:$110,96,0),0)*(1-F$309)</f>
        <v>0</v>
      </c>
      <c r="G249" s="50">
        <f>+IFERROR(HLOOKUP(G16,'סקרי נכסים-יתרות פתיחה'!$2:$110,38,0),0)-IFERROR(HLOOKUP(G16,'סקרי נכסים-יתרות פתיחה'!$2:$110,96,0),0)*(1-G$309)</f>
        <v>0</v>
      </c>
      <c r="H249" s="50">
        <f>+IFERROR(HLOOKUP(H16,'סקרי נכסים-יתרות פתיחה'!$2:$110,38,0),0)-IFERROR(HLOOKUP(H16,'סקרי נכסים-יתרות פתיחה'!$2:$110,96,0),0)*(1-H$309)</f>
        <v>0</v>
      </c>
      <c r="I249" s="50">
        <f>+IFERROR(HLOOKUP(I16,'סקרי נכסים-יתרות פתיחה'!$2:$110,38,0),0)-IFERROR(HLOOKUP(I16,'סקרי נכסים-יתרות פתיחה'!$2:$110,96,0),0)*(1-I$309)</f>
        <v>0</v>
      </c>
      <c r="J249" s="50">
        <f>+IFERROR(HLOOKUP(J16,'סקרי נכסים-יתרות פתיחה'!$2:$110,38,0),0)-IFERROR(HLOOKUP(J16,'סקרי נכסים-יתרות פתיחה'!$2:$110,96,0),0)*(1-J$309)</f>
        <v>0</v>
      </c>
      <c r="K249" s="50">
        <f>+IFERROR(HLOOKUP(K16,'סקרי נכסים-יתרות פתיחה'!$2:$110,38,0),0)-IFERROR(HLOOKUP(K16,'סקרי נכסים-יתרות פתיחה'!$2:$110,96,0),0)*(1-K$309)</f>
        <v>0</v>
      </c>
      <c r="L249" s="50">
        <f>+IFERROR(HLOOKUP(L16,'סקרי נכסים-יתרות פתיחה'!$2:$110,38,0),0)-IFERROR(HLOOKUP(L16,'סקרי נכסים-יתרות פתיחה'!$2:$110,96,0),0)*(1-L$309)</f>
        <v>0</v>
      </c>
      <c r="M249" s="50">
        <f>+IFERROR(HLOOKUP(M16,'סקרי נכסים-יתרות פתיחה'!$2:$110,38,0),0)-IFERROR(HLOOKUP(M16,'סקרי נכסים-יתרות פתיחה'!$2:$110,96,0),0)*(1-M$309)</f>
        <v>0</v>
      </c>
      <c r="N249" s="50">
        <f>+IFERROR(HLOOKUP(N16,'סקרי נכסים-יתרות פתיחה'!$2:$110,38,0),0)-IFERROR(HLOOKUP(N16,'סקרי נכסים-יתרות פתיחה'!$2:$110,96,0),0)*(1-N$309)</f>
        <v>0</v>
      </c>
      <c r="O249" s="50">
        <f>+IFERROR(HLOOKUP(O16,'סקרי נכסים-יתרות פתיחה'!$2:$110,38,0),0)-IFERROR(HLOOKUP(O16,'סקרי נכסים-יתרות פתיחה'!$2:$110,96,0),0)*(1-O$309)</f>
        <v>0</v>
      </c>
      <c r="P249" s="50">
        <f>+IFERROR(HLOOKUP(P16,'סקרי נכסים-יתרות פתיחה'!$2:$110,38,0),0)-IFERROR(HLOOKUP(P16,'סקרי נכסים-יתרות פתיחה'!$2:$110,96,0),0)*(1-P$309)</f>
        <v>0</v>
      </c>
      <c r="Q249" s="50">
        <f>+IFERROR(HLOOKUP(Q16,'סקרי נכסים-יתרות פתיחה'!$2:$110,38,0),0)-IFERROR(HLOOKUP(Q16,'סקרי נכסים-יתרות פתיחה'!$2:$110,96,0),0)*(1-Q$309)</f>
        <v>0</v>
      </c>
      <c r="R249" s="50">
        <f>+IFERROR(HLOOKUP(R16,'סקרי נכסים-יתרות פתיחה'!$2:$110,38,0),0)-IFERROR(HLOOKUP(R16,'סקרי נכסים-יתרות פתיחה'!$2:$110,96,0),0)*(1-R$309)</f>
        <v>0</v>
      </c>
      <c r="S249" s="50">
        <f>+IFERROR(HLOOKUP(S16,'סקרי נכסים-יתרות פתיחה'!$2:$110,38,0),0)-IFERROR(HLOOKUP(S16,'סקרי נכסים-יתרות פתיחה'!$2:$110,96,0),0)*(1-S$309)</f>
        <v>0</v>
      </c>
      <c r="T249" s="50">
        <f>+IFERROR(HLOOKUP(T16,'סקרי נכסים-יתרות פתיחה'!$2:$110,38,0),0)-IFERROR(HLOOKUP(T16,'סקרי נכסים-יתרות פתיחה'!$2:$110,96,0),0)*(1-T$309)</f>
        <v>0</v>
      </c>
      <c r="U249" s="50">
        <f>+IFERROR(HLOOKUP(U16,'סקרי נכסים-יתרות פתיחה'!$2:$110,38,0),0)-IFERROR(HLOOKUP(U16,'סקרי נכסים-יתרות פתיחה'!$2:$110,96,0),0)*(1-U$309)</f>
        <v>0</v>
      </c>
      <c r="V249" s="50">
        <f>+IFERROR(HLOOKUP(V16,'סקרי נכסים-יתרות פתיחה'!$2:$110,38,0),0)-IFERROR(HLOOKUP(V16,'סקרי נכסים-יתרות פתיחה'!$2:$110,96,0),0)*(1-V$309)</f>
        <v>0</v>
      </c>
      <c r="W249" s="50">
        <f>+IFERROR(HLOOKUP(W16,'סקרי נכסים-יתרות פתיחה'!$2:$110,38,0),0)-IFERROR(HLOOKUP(W16,'סקרי נכסים-יתרות פתיחה'!$2:$110,96,0),0)*(1-W$309)</f>
        <v>0</v>
      </c>
      <c r="X249" s="50">
        <f>+IFERROR(HLOOKUP(X16,'סקרי נכסים-יתרות פתיחה'!$2:$110,38,0),0)-IFERROR(HLOOKUP(X16,'סקרי נכסים-יתרות פתיחה'!$2:$110,96,0),0)*(1-X$309)</f>
        <v>0</v>
      </c>
      <c r="Y249" s="50">
        <f>+IFERROR(HLOOKUP(Y16,'סקרי נכסים-יתרות פתיחה'!$2:$110,38,0),0)-IFERROR(HLOOKUP(Y16,'סקרי נכסים-יתרות פתיחה'!$2:$110,96,0),0)*(1-Y$309)</f>
        <v>0</v>
      </c>
      <c r="Z249" s="50">
        <f>+IFERROR(HLOOKUP(Z16,'סקרי נכסים-יתרות פתיחה'!$2:$110,38,0),0)-IFERROR(HLOOKUP(Z16,'סקרי נכסים-יתרות פתיחה'!$2:$110,96,0),0)*(1-Z$309)</f>
        <v>0</v>
      </c>
      <c r="AA249" s="50">
        <f>+IFERROR(HLOOKUP(AA16,'סקרי נכסים-יתרות פתיחה'!$2:$110,38,0),0)-IFERROR(HLOOKUP(AA16,'סקרי נכסים-יתרות פתיחה'!$2:$110,96,0),0)*(1-AA$309)</f>
        <v>0</v>
      </c>
      <c r="AB249" s="50">
        <f>+IFERROR(HLOOKUP(AB16,'סקרי נכסים-יתרות פתיחה'!$2:$110,38,0),0)-IFERROR(HLOOKUP(AB16,'סקרי נכסים-יתרות פתיחה'!$2:$110,96,0),0)*(1-AB$309)</f>
        <v>0</v>
      </c>
      <c r="AC249" s="50">
        <f>+IFERROR(HLOOKUP(AC16,'סקרי נכסים-יתרות פתיחה'!$2:$110,38,0),0)-IFERROR(HLOOKUP(AC16,'סקרי נכסים-יתרות פתיחה'!$2:$110,96,0),0)*(1-AC$309)</f>
        <v>0</v>
      </c>
      <c r="AD249" s="50">
        <f>+IFERROR(HLOOKUP(AD16,'סקרי נכסים-יתרות פתיחה'!$2:$110,38,0),0)-IFERROR(HLOOKUP(AD16,'סקרי נכסים-יתרות פתיחה'!$2:$110,96,0),0)*(1-AD$309)</f>
        <v>0</v>
      </c>
      <c r="AE249" s="50">
        <f>+IFERROR(HLOOKUP(AE16,'סקרי נכסים-יתרות פתיחה'!$2:$110,38,0),0)-IFERROR(HLOOKUP(AE16,'סקרי נכסים-יתרות פתיחה'!$2:$110,96,0),0)*(1-AE$309)</f>
        <v>0</v>
      </c>
      <c r="AF249" s="50">
        <f>+IFERROR(HLOOKUP(AF16,'סקרי נכסים-יתרות פתיחה'!$2:$110,38,0),0)-IFERROR(HLOOKUP(AF16,'סקרי נכסים-יתרות פתיחה'!$2:$110,96,0),0)*(1-AF$309)</f>
        <v>0</v>
      </c>
      <c r="AG249" s="50">
        <f>+IFERROR(HLOOKUP(AG16,'סקרי נכסים-יתרות פתיחה'!$2:$110,38,0),0)-IFERROR(HLOOKUP(AG16,'סקרי נכסים-יתרות פתיחה'!$2:$110,96,0),0)*(1-AG$309)</f>
        <v>0</v>
      </c>
      <c r="AH249" s="50">
        <f>+IFERROR(HLOOKUP(AH16,'סקרי נכסים-יתרות פתיחה'!$2:$110,38,0),0)-IFERROR(HLOOKUP(AH16,'סקרי נכסים-יתרות פתיחה'!$2:$110,96,0),0)*(1-AH$309)</f>
        <v>0</v>
      </c>
      <c r="AI249" s="50">
        <f>+IFERROR(HLOOKUP(AI16,'סקרי נכסים-יתרות פתיחה'!$2:$110,38,0),0)-IFERROR(HLOOKUP(AI16,'סקרי נכסים-יתרות פתיחה'!$2:$110,96,0),0)*(1-AI$309)</f>
        <v>0</v>
      </c>
      <c r="AJ249" s="50">
        <f>+IFERROR(HLOOKUP(AJ16,'סקרי נכסים-יתרות פתיחה'!$2:$110,38,0),0)-IFERROR(HLOOKUP(AJ16,'סקרי נכסים-יתרות פתיחה'!$2:$110,96,0),0)*(1-AJ$309)</f>
        <v>0</v>
      </c>
      <c r="AK249" s="50">
        <f>+IFERROR(HLOOKUP(AK16,'סקרי נכסים-יתרות פתיחה'!$2:$110,38,0),0)-IFERROR(HLOOKUP(AK16,'סקרי נכסים-יתרות פתיחה'!$2:$110,96,0),0)*(1-AK$309)</f>
        <v>0</v>
      </c>
      <c r="AL249" s="50">
        <f>+IFERROR(HLOOKUP(AL16,'סקרי נכסים-יתרות פתיחה'!$2:$110,38,0),0)-IFERROR(HLOOKUP(AL16,'סקרי נכסים-יתרות פתיחה'!$2:$110,96,0),0)*(1-AL$309)</f>
        <v>0</v>
      </c>
      <c r="AM249" s="50">
        <f>+IFERROR(HLOOKUP(AM16,'סקרי נכסים-יתרות פתיחה'!$2:$110,38,0),0)-IFERROR(HLOOKUP(AM16,'סקרי נכסים-יתרות פתיחה'!$2:$110,96,0),0)*(1-AM$309)</f>
        <v>0</v>
      </c>
      <c r="AN249" s="50">
        <f>+IFERROR(HLOOKUP(AN16,'סקרי נכסים-יתרות פתיחה'!$2:$110,38,0),0)-IFERROR(HLOOKUP(AN16,'סקרי נכסים-יתרות פתיחה'!$2:$110,96,0),0)*(1-AN$309)</f>
        <v>0</v>
      </c>
      <c r="AO249" s="50">
        <f>+IFERROR(HLOOKUP(AO16,'סקרי נכסים-יתרות פתיחה'!$2:$110,38,0),0)-IFERROR(HLOOKUP(AO16,'סקרי נכסים-יתרות פתיחה'!$2:$110,96,0),0)*(1-AO$309)</f>
        <v>0</v>
      </c>
      <c r="AP249" s="50">
        <f>+IFERROR(HLOOKUP(AP16,'סקרי נכסים-יתרות פתיחה'!$2:$110,38,0),0)-IFERROR(HLOOKUP(AP16,'סקרי נכסים-יתרות פתיחה'!$2:$110,96,0),0)*(1-AP$309)</f>
        <v>0</v>
      </c>
      <c r="AQ249" s="50">
        <f>+IFERROR(HLOOKUP(AQ16,'סקרי נכסים-יתרות פתיחה'!$2:$110,38,0),0)-IFERROR(HLOOKUP(AQ16,'סקרי נכסים-יתרות פתיחה'!$2:$110,96,0),0)*(1-AQ$309)</f>
        <v>0</v>
      </c>
      <c r="AR249" s="50">
        <f>+IFERROR(HLOOKUP(AR16,'סקרי נכסים-יתרות פתיחה'!$2:$110,38,0),0)-IFERROR(HLOOKUP(AR16,'סקרי נכסים-יתרות פתיחה'!$2:$110,96,0),0)*(1-AR$309)</f>
        <v>0</v>
      </c>
      <c r="AS249" s="50">
        <f>+IFERROR(HLOOKUP(AS16,'סקרי נכסים-יתרות פתיחה'!$2:$110,38,0),0)-IFERROR(HLOOKUP(AS16,'סקרי נכסים-יתרות פתיחה'!$2:$110,96,0),0)*(1-AS$309)</f>
        <v>0</v>
      </c>
      <c r="AT249" s="50">
        <f>+IFERROR(HLOOKUP(AT16,'סקרי נכסים-יתרות פתיחה'!$2:$110,38,0),0)-IFERROR(HLOOKUP(AT16,'סקרי נכסים-יתרות פתיחה'!$2:$110,96,0),0)*(1-AT$309)</f>
        <v>0</v>
      </c>
      <c r="AU249" s="50">
        <f>+IFERROR(HLOOKUP(AU16,'סקרי נכסים-יתרות פתיחה'!$2:$110,38,0),0)-IFERROR(HLOOKUP(AU16,'סקרי נכסים-יתרות פתיחה'!$2:$110,96,0),0)*(1-AU$309)</f>
        <v>0</v>
      </c>
      <c r="AV249" s="50">
        <f>+IFERROR(HLOOKUP(AV16,'סקרי נכסים-יתרות פתיחה'!$2:$110,38,0),0)-IFERROR(HLOOKUP(AV16,'סקרי נכסים-יתרות פתיחה'!$2:$110,96,0),0)*(1-AV$309)</f>
        <v>0</v>
      </c>
      <c r="AW249" s="50">
        <f>+IFERROR(HLOOKUP(AW16,'סקרי נכסים-יתרות פתיחה'!$2:$110,38,0),0)-IFERROR(HLOOKUP(AW16,'סקרי נכסים-יתרות פתיחה'!$2:$110,96,0),0)*(1-AW$309)</f>
        <v>0</v>
      </c>
      <c r="AX249" s="50">
        <f>+IFERROR(HLOOKUP(AX16,'סקרי נכסים-יתרות פתיחה'!$2:$110,38,0),0)-IFERROR(HLOOKUP(AX16,'סקרי נכסים-יתרות פתיחה'!$2:$110,96,0),0)*(1-AX$309)</f>
        <v>0</v>
      </c>
      <c r="AY249" s="50">
        <f>+IFERROR(HLOOKUP(AY16,'סקרי נכסים-יתרות פתיחה'!$2:$110,38,0),0)-IFERROR(HLOOKUP(AY16,'סקרי נכסים-יתרות פתיחה'!$2:$110,96,0),0)*(1-AY$309)</f>
        <v>0</v>
      </c>
      <c r="AZ249" s="50">
        <f>+IFERROR(HLOOKUP(AZ16,'סקרי נכסים-יתרות פתיחה'!$2:$110,38,0),0)-IFERROR(HLOOKUP(AZ16,'סקרי נכסים-יתרות פתיחה'!$2:$110,96,0),0)*(1-AZ$309)</f>
        <v>0</v>
      </c>
      <c r="BA249" s="50">
        <f>+IFERROR(HLOOKUP(BA16,'סקרי נכסים-יתרות פתיחה'!$2:$110,38,0),0)-IFERROR(HLOOKUP(BA16,'סקרי נכסים-יתרות פתיחה'!$2:$110,96,0),0)*(1-BA$309)</f>
        <v>0</v>
      </c>
      <c r="BB249" s="50">
        <f>+IFERROR(HLOOKUP(BB16,'סקרי נכסים-יתרות פתיחה'!$2:$110,38,0),0)-IFERROR(HLOOKUP(BB16,'סקרי נכסים-יתרות פתיחה'!$2:$110,96,0),0)*(1-BB$309)</f>
        <v>0</v>
      </c>
      <c r="BC249" s="50">
        <f>+IFERROR(HLOOKUP(BC16,'סקרי נכסים-יתרות פתיחה'!$2:$110,38,0),0)-IFERROR(HLOOKUP(BC16,'סקרי נכסים-יתרות פתיחה'!$2:$110,96,0),0)*(1-BC$309)</f>
        <v>0</v>
      </c>
      <c r="BD249" s="50">
        <f>+IFERROR(HLOOKUP(BD16,'סקרי נכסים-יתרות פתיחה'!$2:$110,38,0),0)-IFERROR(HLOOKUP(BD16,'סקרי נכסים-יתרות פתיחה'!$2:$110,96,0),0)*(1-BD$309)</f>
        <v>0</v>
      </c>
      <c r="BE249" s="50">
        <f>+IFERROR(HLOOKUP(BE16,'סקרי נכסים-יתרות פתיחה'!$2:$110,38,0),0)-IFERROR(HLOOKUP(BE16,'סקרי נכסים-יתרות פתיחה'!$2:$110,96,0),0)*(1-BE$309)</f>
        <v>0</v>
      </c>
      <c r="BF249" s="50">
        <f>+IFERROR(HLOOKUP(BF16,'סקרי נכסים-יתרות פתיחה'!$2:$110,38,0),0)-IFERROR(HLOOKUP(BF16,'סקרי נכסים-יתרות פתיחה'!$2:$110,96,0),0)*(1-BF$309)</f>
        <v>0</v>
      </c>
    </row>
    <row r="250" spans="2:58" x14ac:dyDescent="0.2">
      <c r="B250" s="1">
        <v>14</v>
      </c>
      <c r="C250" s="50">
        <f>+IFERROR(HLOOKUP(C17,'סקרי נכסים-יתרות פתיחה'!$2:$110,38,0),0)-IFERROR(HLOOKUP(C17,'סקרי נכסים-יתרות פתיחה'!$2:$110,96,0),0)*(1-C$309)</f>
        <v>0</v>
      </c>
      <c r="D250" s="50">
        <f>+IFERROR(HLOOKUP(D17,'סקרי נכסים-יתרות פתיחה'!$2:$110,38,0),0)-IFERROR(HLOOKUP(D17,'סקרי נכסים-יתרות פתיחה'!$2:$110,96,0),0)*(1-D$309)</f>
        <v>0</v>
      </c>
      <c r="E250" s="50">
        <f>+IFERROR(HLOOKUP(E17,'סקרי נכסים-יתרות פתיחה'!$2:$110,38,0),0)-IFERROR(HLOOKUP(E17,'סקרי נכסים-יתרות פתיחה'!$2:$110,96,0),0)*(1-E$309)</f>
        <v>0</v>
      </c>
      <c r="F250" s="50">
        <f>+IFERROR(HLOOKUP(F17,'סקרי נכסים-יתרות פתיחה'!$2:$110,38,0),0)-IFERROR(HLOOKUP(F17,'סקרי נכסים-יתרות פתיחה'!$2:$110,96,0),0)*(1-F$309)</f>
        <v>0</v>
      </c>
      <c r="G250" s="50">
        <f>+IFERROR(HLOOKUP(G17,'סקרי נכסים-יתרות פתיחה'!$2:$110,38,0),0)-IFERROR(HLOOKUP(G17,'סקרי נכסים-יתרות פתיחה'!$2:$110,96,0),0)*(1-G$309)</f>
        <v>0</v>
      </c>
      <c r="H250" s="50">
        <f>+IFERROR(HLOOKUP(H17,'סקרי נכסים-יתרות פתיחה'!$2:$110,38,0),0)-IFERROR(HLOOKUP(H17,'סקרי נכסים-יתרות פתיחה'!$2:$110,96,0),0)*(1-H$309)</f>
        <v>0</v>
      </c>
      <c r="I250" s="50">
        <f>+IFERROR(HLOOKUP(I17,'סקרי נכסים-יתרות פתיחה'!$2:$110,38,0),0)-IFERROR(HLOOKUP(I17,'סקרי נכסים-יתרות פתיחה'!$2:$110,96,0),0)*(1-I$309)</f>
        <v>0</v>
      </c>
      <c r="J250" s="50">
        <f>+IFERROR(HLOOKUP(J17,'סקרי נכסים-יתרות פתיחה'!$2:$110,38,0),0)-IFERROR(HLOOKUP(J17,'סקרי נכסים-יתרות פתיחה'!$2:$110,96,0),0)*(1-J$309)</f>
        <v>0</v>
      </c>
      <c r="K250" s="50">
        <f>+IFERROR(HLOOKUP(K17,'סקרי נכסים-יתרות פתיחה'!$2:$110,38,0),0)-IFERROR(HLOOKUP(K17,'סקרי נכסים-יתרות פתיחה'!$2:$110,96,0),0)*(1-K$309)</f>
        <v>0</v>
      </c>
      <c r="L250" s="50">
        <f>+IFERROR(HLOOKUP(L17,'סקרי נכסים-יתרות פתיחה'!$2:$110,38,0),0)-IFERROR(HLOOKUP(L17,'סקרי נכסים-יתרות פתיחה'!$2:$110,96,0),0)*(1-L$309)</f>
        <v>0</v>
      </c>
      <c r="M250" s="50">
        <f>+IFERROR(HLOOKUP(M17,'סקרי נכסים-יתרות פתיחה'!$2:$110,38,0),0)-IFERROR(HLOOKUP(M17,'סקרי נכסים-יתרות פתיחה'!$2:$110,96,0),0)*(1-M$309)</f>
        <v>0</v>
      </c>
      <c r="N250" s="50">
        <f>+IFERROR(HLOOKUP(N17,'סקרי נכסים-יתרות פתיחה'!$2:$110,38,0),0)-IFERROR(HLOOKUP(N17,'סקרי נכסים-יתרות פתיחה'!$2:$110,96,0),0)*(1-N$309)</f>
        <v>0</v>
      </c>
      <c r="O250" s="50">
        <f>+IFERROR(HLOOKUP(O17,'סקרי נכסים-יתרות פתיחה'!$2:$110,38,0),0)-IFERROR(HLOOKUP(O17,'סקרי נכסים-יתרות פתיחה'!$2:$110,96,0),0)*(1-O$309)</f>
        <v>0</v>
      </c>
      <c r="P250" s="50">
        <f>+IFERROR(HLOOKUP(P17,'סקרי נכסים-יתרות פתיחה'!$2:$110,38,0),0)-IFERROR(HLOOKUP(P17,'סקרי נכסים-יתרות פתיחה'!$2:$110,96,0),0)*(1-P$309)</f>
        <v>0</v>
      </c>
      <c r="Q250" s="50">
        <f>+IFERROR(HLOOKUP(Q17,'סקרי נכסים-יתרות פתיחה'!$2:$110,38,0),0)-IFERROR(HLOOKUP(Q17,'סקרי נכסים-יתרות פתיחה'!$2:$110,96,0),0)*(1-Q$309)</f>
        <v>0</v>
      </c>
      <c r="R250" s="50">
        <f>+IFERROR(HLOOKUP(R17,'סקרי נכסים-יתרות פתיחה'!$2:$110,38,0),0)-IFERROR(HLOOKUP(R17,'סקרי נכסים-יתרות פתיחה'!$2:$110,96,0),0)*(1-R$309)</f>
        <v>0</v>
      </c>
      <c r="S250" s="50">
        <f>+IFERROR(HLOOKUP(S17,'סקרי נכסים-יתרות פתיחה'!$2:$110,38,0),0)-IFERROR(HLOOKUP(S17,'סקרי נכסים-יתרות פתיחה'!$2:$110,96,0),0)*(1-S$309)</f>
        <v>0</v>
      </c>
      <c r="T250" s="50">
        <f>+IFERROR(HLOOKUP(T17,'סקרי נכסים-יתרות פתיחה'!$2:$110,38,0),0)-IFERROR(HLOOKUP(T17,'סקרי נכסים-יתרות פתיחה'!$2:$110,96,0),0)*(1-T$309)</f>
        <v>0</v>
      </c>
      <c r="U250" s="50">
        <f>+IFERROR(HLOOKUP(U17,'סקרי נכסים-יתרות פתיחה'!$2:$110,38,0),0)-IFERROR(HLOOKUP(U17,'סקרי נכסים-יתרות פתיחה'!$2:$110,96,0),0)*(1-U$309)</f>
        <v>0</v>
      </c>
      <c r="V250" s="50">
        <f>+IFERROR(HLOOKUP(V17,'סקרי נכסים-יתרות פתיחה'!$2:$110,38,0),0)-IFERROR(HLOOKUP(V17,'סקרי נכסים-יתרות פתיחה'!$2:$110,96,0),0)*(1-V$309)</f>
        <v>0</v>
      </c>
      <c r="W250" s="50">
        <f>+IFERROR(HLOOKUP(W17,'סקרי נכסים-יתרות פתיחה'!$2:$110,38,0),0)-IFERROR(HLOOKUP(W17,'סקרי נכסים-יתרות פתיחה'!$2:$110,96,0),0)*(1-W$309)</f>
        <v>0</v>
      </c>
      <c r="X250" s="50">
        <f>+IFERROR(HLOOKUP(X17,'סקרי נכסים-יתרות פתיחה'!$2:$110,38,0),0)-IFERROR(HLOOKUP(X17,'סקרי נכסים-יתרות פתיחה'!$2:$110,96,0),0)*(1-X$309)</f>
        <v>0</v>
      </c>
      <c r="Y250" s="50">
        <f>+IFERROR(HLOOKUP(Y17,'סקרי נכסים-יתרות פתיחה'!$2:$110,38,0),0)-IFERROR(HLOOKUP(Y17,'סקרי נכסים-יתרות פתיחה'!$2:$110,96,0),0)*(1-Y$309)</f>
        <v>0</v>
      </c>
      <c r="Z250" s="50">
        <f>+IFERROR(HLOOKUP(Z17,'סקרי נכסים-יתרות פתיחה'!$2:$110,38,0),0)-IFERROR(HLOOKUP(Z17,'סקרי נכסים-יתרות פתיחה'!$2:$110,96,0),0)*(1-Z$309)</f>
        <v>0</v>
      </c>
      <c r="AA250" s="50">
        <f>+IFERROR(HLOOKUP(AA17,'סקרי נכסים-יתרות פתיחה'!$2:$110,38,0),0)-IFERROR(HLOOKUP(AA17,'סקרי נכסים-יתרות פתיחה'!$2:$110,96,0),0)*(1-AA$309)</f>
        <v>0</v>
      </c>
      <c r="AB250" s="50">
        <f>+IFERROR(HLOOKUP(AB17,'סקרי נכסים-יתרות פתיחה'!$2:$110,38,0),0)-IFERROR(HLOOKUP(AB17,'סקרי נכסים-יתרות פתיחה'!$2:$110,96,0),0)*(1-AB$309)</f>
        <v>0</v>
      </c>
      <c r="AC250" s="50">
        <f>+IFERROR(HLOOKUP(AC17,'סקרי נכסים-יתרות פתיחה'!$2:$110,38,0),0)-IFERROR(HLOOKUP(AC17,'סקרי נכסים-יתרות פתיחה'!$2:$110,96,0),0)*(1-AC$309)</f>
        <v>0</v>
      </c>
      <c r="AD250" s="50">
        <f>+IFERROR(HLOOKUP(AD17,'סקרי נכסים-יתרות פתיחה'!$2:$110,38,0),0)-IFERROR(HLOOKUP(AD17,'סקרי נכסים-יתרות פתיחה'!$2:$110,96,0),0)*(1-AD$309)</f>
        <v>0</v>
      </c>
      <c r="AE250" s="50">
        <f>+IFERROR(HLOOKUP(AE17,'סקרי נכסים-יתרות פתיחה'!$2:$110,38,0),0)-IFERROR(HLOOKUP(AE17,'סקרי נכסים-יתרות פתיחה'!$2:$110,96,0),0)*(1-AE$309)</f>
        <v>0</v>
      </c>
      <c r="AF250" s="50">
        <f>+IFERROR(HLOOKUP(AF17,'סקרי נכסים-יתרות פתיחה'!$2:$110,38,0),0)-IFERROR(HLOOKUP(AF17,'סקרי נכסים-יתרות פתיחה'!$2:$110,96,0),0)*(1-AF$309)</f>
        <v>0</v>
      </c>
      <c r="AG250" s="50">
        <f>+IFERROR(HLOOKUP(AG17,'סקרי נכסים-יתרות פתיחה'!$2:$110,38,0),0)-IFERROR(HLOOKUP(AG17,'סקרי נכסים-יתרות פתיחה'!$2:$110,96,0),0)*(1-AG$309)</f>
        <v>0</v>
      </c>
      <c r="AH250" s="50">
        <f>+IFERROR(HLOOKUP(AH17,'סקרי נכסים-יתרות פתיחה'!$2:$110,38,0),0)-IFERROR(HLOOKUP(AH17,'סקרי נכסים-יתרות פתיחה'!$2:$110,96,0),0)*(1-AH$309)</f>
        <v>0</v>
      </c>
      <c r="AI250" s="50">
        <f>+IFERROR(HLOOKUP(AI17,'סקרי נכסים-יתרות פתיחה'!$2:$110,38,0),0)-IFERROR(HLOOKUP(AI17,'סקרי נכסים-יתרות פתיחה'!$2:$110,96,0),0)*(1-AI$309)</f>
        <v>0</v>
      </c>
      <c r="AJ250" s="50">
        <f>+IFERROR(HLOOKUP(AJ17,'סקרי נכסים-יתרות פתיחה'!$2:$110,38,0),0)-IFERROR(HLOOKUP(AJ17,'סקרי נכסים-יתרות פתיחה'!$2:$110,96,0),0)*(1-AJ$309)</f>
        <v>0</v>
      </c>
      <c r="AK250" s="50">
        <f>+IFERROR(HLOOKUP(AK17,'סקרי נכסים-יתרות פתיחה'!$2:$110,38,0),0)-IFERROR(HLOOKUP(AK17,'סקרי נכסים-יתרות פתיחה'!$2:$110,96,0),0)*(1-AK$309)</f>
        <v>0</v>
      </c>
      <c r="AL250" s="50">
        <f>+IFERROR(HLOOKUP(AL17,'סקרי נכסים-יתרות פתיחה'!$2:$110,38,0),0)-IFERROR(HLOOKUP(AL17,'סקרי נכסים-יתרות פתיחה'!$2:$110,96,0),0)*(1-AL$309)</f>
        <v>0</v>
      </c>
      <c r="AM250" s="50">
        <f>+IFERROR(HLOOKUP(AM17,'סקרי נכסים-יתרות פתיחה'!$2:$110,38,0),0)-IFERROR(HLOOKUP(AM17,'סקרי נכסים-יתרות פתיחה'!$2:$110,96,0),0)*(1-AM$309)</f>
        <v>0</v>
      </c>
      <c r="AN250" s="50">
        <f>+IFERROR(HLOOKUP(AN17,'סקרי נכסים-יתרות פתיחה'!$2:$110,38,0),0)-IFERROR(HLOOKUP(AN17,'סקרי נכסים-יתרות פתיחה'!$2:$110,96,0),0)*(1-AN$309)</f>
        <v>0</v>
      </c>
      <c r="AO250" s="50">
        <f>+IFERROR(HLOOKUP(AO17,'סקרי נכסים-יתרות פתיחה'!$2:$110,38,0),0)-IFERROR(HLOOKUP(AO17,'סקרי נכסים-יתרות פתיחה'!$2:$110,96,0),0)*(1-AO$309)</f>
        <v>0</v>
      </c>
      <c r="AP250" s="50">
        <f>+IFERROR(HLOOKUP(AP17,'סקרי נכסים-יתרות פתיחה'!$2:$110,38,0),0)-IFERROR(HLOOKUP(AP17,'סקרי נכסים-יתרות פתיחה'!$2:$110,96,0),0)*(1-AP$309)</f>
        <v>0</v>
      </c>
      <c r="AQ250" s="50">
        <f>+IFERROR(HLOOKUP(AQ17,'סקרי נכסים-יתרות פתיחה'!$2:$110,38,0),0)-IFERROR(HLOOKUP(AQ17,'סקרי נכסים-יתרות פתיחה'!$2:$110,96,0),0)*(1-AQ$309)</f>
        <v>0</v>
      </c>
      <c r="AR250" s="50">
        <f>+IFERROR(HLOOKUP(AR17,'סקרי נכסים-יתרות פתיחה'!$2:$110,38,0),0)-IFERROR(HLOOKUP(AR17,'סקרי נכסים-יתרות פתיחה'!$2:$110,96,0),0)*(1-AR$309)</f>
        <v>0</v>
      </c>
      <c r="AS250" s="50">
        <f>+IFERROR(HLOOKUP(AS17,'סקרי נכסים-יתרות פתיחה'!$2:$110,38,0),0)-IFERROR(HLOOKUP(AS17,'סקרי נכסים-יתרות פתיחה'!$2:$110,96,0),0)*(1-AS$309)</f>
        <v>0</v>
      </c>
      <c r="AT250" s="50">
        <f>+IFERROR(HLOOKUP(AT17,'סקרי נכסים-יתרות פתיחה'!$2:$110,38,0),0)-IFERROR(HLOOKUP(AT17,'סקרי נכסים-יתרות פתיחה'!$2:$110,96,0),0)*(1-AT$309)</f>
        <v>0</v>
      </c>
      <c r="AU250" s="50">
        <f>+IFERROR(HLOOKUP(AU17,'סקרי נכסים-יתרות פתיחה'!$2:$110,38,0),0)-IFERROR(HLOOKUP(AU17,'סקרי נכסים-יתרות פתיחה'!$2:$110,96,0),0)*(1-AU$309)</f>
        <v>0</v>
      </c>
      <c r="AV250" s="50">
        <f>+IFERROR(HLOOKUP(AV17,'סקרי נכסים-יתרות פתיחה'!$2:$110,38,0),0)-IFERROR(HLOOKUP(AV17,'סקרי נכסים-יתרות פתיחה'!$2:$110,96,0),0)*(1-AV$309)</f>
        <v>0</v>
      </c>
      <c r="AW250" s="50">
        <f>+IFERROR(HLOOKUP(AW17,'סקרי נכסים-יתרות פתיחה'!$2:$110,38,0),0)-IFERROR(HLOOKUP(AW17,'סקרי נכסים-יתרות פתיחה'!$2:$110,96,0),0)*(1-AW$309)</f>
        <v>0</v>
      </c>
      <c r="AX250" s="50">
        <f>+IFERROR(HLOOKUP(AX17,'סקרי נכסים-יתרות פתיחה'!$2:$110,38,0),0)-IFERROR(HLOOKUP(AX17,'סקרי נכסים-יתרות פתיחה'!$2:$110,96,0),0)*(1-AX$309)</f>
        <v>0</v>
      </c>
      <c r="AY250" s="50">
        <f>+IFERROR(HLOOKUP(AY17,'סקרי נכסים-יתרות פתיחה'!$2:$110,38,0),0)-IFERROR(HLOOKUP(AY17,'סקרי נכסים-יתרות פתיחה'!$2:$110,96,0),0)*(1-AY$309)</f>
        <v>0</v>
      </c>
      <c r="AZ250" s="50">
        <f>+IFERROR(HLOOKUP(AZ17,'סקרי נכסים-יתרות פתיחה'!$2:$110,38,0),0)-IFERROR(HLOOKUP(AZ17,'סקרי נכסים-יתרות פתיחה'!$2:$110,96,0),0)*(1-AZ$309)</f>
        <v>0</v>
      </c>
      <c r="BA250" s="50">
        <f>+IFERROR(HLOOKUP(BA17,'סקרי נכסים-יתרות פתיחה'!$2:$110,38,0),0)-IFERROR(HLOOKUP(BA17,'סקרי נכסים-יתרות פתיחה'!$2:$110,96,0),0)*(1-BA$309)</f>
        <v>0</v>
      </c>
      <c r="BB250" s="50">
        <f>+IFERROR(HLOOKUP(BB17,'סקרי נכסים-יתרות פתיחה'!$2:$110,38,0),0)-IFERROR(HLOOKUP(BB17,'סקרי נכסים-יתרות פתיחה'!$2:$110,96,0),0)*(1-BB$309)</f>
        <v>0</v>
      </c>
      <c r="BC250" s="50">
        <f>+IFERROR(HLOOKUP(BC17,'סקרי נכסים-יתרות פתיחה'!$2:$110,38,0),0)-IFERROR(HLOOKUP(BC17,'סקרי נכסים-יתרות פתיחה'!$2:$110,96,0),0)*(1-BC$309)</f>
        <v>0</v>
      </c>
      <c r="BD250" s="50">
        <f>+IFERROR(HLOOKUP(BD17,'סקרי נכסים-יתרות פתיחה'!$2:$110,38,0),0)-IFERROR(HLOOKUP(BD17,'סקרי נכסים-יתרות פתיחה'!$2:$110,96,0),0)*(1-BD$309)</f>
        <v>0</v>
      </c>
      <c r="BE250" s="50">
        <f>+IFERROR(HLOOKUP(BE17,'סקרי נכסים-יתרות פתיחה'!$2:$110,38,0),0)-IFERROR(HLOOKUP(BE17,'סקרי נכסים-יתרות פתיחה'!$2:$110,96,0),0)*(1-BE$309)</f>
        <v>0</v>
      </c>
      <c r="BF250" s="50">
        <f>+IFERROR(HLOOKUP(BF17,'סקרי נכסים-יתרות פתיחה'!$2:$110,38,0),0)-IFERROR(HLOOKUP(BF17,'סקרי נכסים-יתרות פתיחה'!$2:$110,96,0),0)*(1-BF$309)</f>
        <v>0</v>
      </c>
    </row>
    <row r="251" spans="2:58" x14ac:dyDescent="0.2">
      <c r="B251" s="1">
        <v>15</v>
      </c>
      <c r="C251" s="50">
        <f>+IFERROR(HLOOKUP(C18,'סקרי נכסים-יתרות פתיחה'!$2:$110,38,0),0)-IFERROR(HLOOKUP(C18,'סקרי נכסים-יתרות פתיחה'!$2:$110,96,0),0)*(1-C$309)</f>
        <v>0</v>
      </c>
      <c r="D251" s="50">
        <f>+IFERROR(HLOOKUP(D18,'סקרי נכסים-יתרות פתיחה'!$2:$110,38,0),0)-IFERROR(HLOOKUP(D18,'סקרי נכסים-יתרות פתיחה'!$2:$110,96,0),0)*(1-D$309)</f>
        <v>0</v>
      </c>
      <c r="E251" s="50">
        <f>+IFERROR(HLOOKUP(E18,'סקרי נכסים-יתרות פתיחה'!$2:$110,38,0),0)-IFERROR(HLOOKUP(E18,'סקרי נכסים-יתרות פתיחה'!$2:$110,96,0),0)*(1-E$309)</f>
        <v>0</v>
      </c>
      <c r="F251" s="50">
        <f>+IFERROR(HLOOKUP(F18,'סקרי נכסים-יתרות פתיחה'!$2:$110,38,0),0)-IFERROR(HLOOKUP(F18,'סקרי נכסים-יתרות פתיחה'!$2:$110,96,0),0)*(1-F$309)</f>
        <v>0</v>
      </c>
      <c r="G251" s="50">
        <f>+IFERROR(HLOOKUP(G18,'סקרי נכסים-יתרות פתיחה'!$2:$110,38,0),0)-IFERROR(HLOOKUP(G18,'סקרי נכסים-יתרות פתיחה'!$2:$110,96,0),0)*(1-G$309)</f>
        <v>0</v>
      </c>
      <c r="H251" s="50">
        <f>+IFERROR(HLOOKUP(H18,'סקרי נכסים-יתרות פתיחה'!$2:$110,38,0),0)-IFERROR(HLOOKUP(H18,'סקרי נכסים-יתרות פתיחה'!$2:$110,96,0),0)*(1-H$309)</f>
        <v>0</v>
      </c>
      <c r="I251" s="50">
        <f>+IFERROR(HLOOKUP(I18,'סקרי נכסים-יתרות פתיחה'!$2:$110,38,0),0)-IFERROR(HLOOKUP(I18,'סקרי נכסים-יתרות פתיחה'!$2:$110,96,0),0)*(1-I$309)</f>
        <v>0</v>
      </c>
      <c r="J251" s="50">
        <f>+IFERROR(HLOOKUP(J18,'סקרי נכסים-יתרות פתיחה'!$2:$110,38,0),0)-IFERROR(HLOOKUP(J18,'סקרי נכסים-יתרות פתיחה'!$2:$110,96,0),0)*(1-J$309)</f>
        <v>0</v>
      </c>
      <c r="K251" s="50">
        <f>+IFERROR(HLOOKUP(K18,'סקרי נכסים-יתרות פתיחה'!$2:$110,38,0),0)-IFERROR(HLOOKUP(K18,'סקרי נכסים-יתרות פתיחה'!$2:$110,96,0),0)*(1-K$309)</f>
        <v>0</v>
      </c>
      <c r="L251" s="50">
        <f>+IFERROR(HLOOKUP(L18,'סקרי נכסים-יתרות פתיחה'!$2:$110,38,0),0)-IFERROR(HLOOKUP(L18,'סקרי נכסים-יתרות פתיחה'!$2:$110,96,0),0)*(1-L$309)</f>
        <v>0</v>
      </c>
      <c r="M251" s="50">
        <f>+IFERROR(HLOOKUP(M18,'סקרי נכסים-יתרות פתיחה'!$2:$110,38,0),0)-IFERROR(HLOOKUP(M18,'סקרי נכסים-יתרות פתיחה'!$2:$110,96,0),0)*(1-M$309)</f>
        <v>0</v>
      </c>
      <c r="N251" s="50">
        <f>+IFERROR(HLOOKUP(N18,'סקרי נכסים-יתרות פתיחה'!$2:$110,38,0),0)-IFERROR(HLOOKUP(N18,'סקרי נכסים-יתרות פתיחה'!$2:$110,96,0),0)*(1-N$309)</f>
        <v>0</v>
      </c>
      <c r="O251" s="50">
        <f>+IFERROR(HLOOKUP(O18,'סקרי נכסים-יתרות פתיחה'!$2:$110,38,0),0)-IFERROR(HLOOKUP(O18,'סקרי נכסים-יתרות פתיחה'!$2:$110,96,0),0)*(1-O$309)</f>
        <v>0</v>
      </c>
      <c r="P251" s="50">
        <f>+IFERROR(HLOOKUP(P18,'סקרי נכסים-יתרות פתיחה'!$2:$110,38,0),0)-IFERROR(HLOOKUP(P18,'סקרי נכסים-יתרות פתיחה'!$2:$110,96,0),0)*(1-P$309)</f>
        <v>0</v>
      </c>
      <c r="Q251" s="50">
        <f>+IFERROR(HLOOKUP(Q18,'סקרי נכסים-יתרות פתיחה'!$2:$110,38,0),0)-IFERROR(HLOOKUP(Q18,'סקרי נכסים-יתרות פתיחה'!$2:$110,96,0),0)*(1-Q$309)</f>
        <v>0</v>
      </c>
      <c r="R251" s="50">
        <f>+IFERROR(HLOOKUP(R18,'סקרי נכסים-יתרות פתיחה'!$2:$110,38,0),0)-IFERROR(HLOOKUP(R18,'סקרי נכסים-יתרות פתיחה'!$2:$110,96,0),0)*(1-R$309)</f>
        <v>0</v>
      </c>
      <c r="S251" s="50">
        <f>+IFERROR(HLOOKUP(S18,'סקרי נכסים-יתרות פתיחה'!$2:$110,38,0),0)-IFERROR(HLOOKUP(S18,'סקרי נכסים-יתרות פתיחה'!$2:$110,96,0),0)*(1-S$309)</f>
        <v>0</v>
      </c>
      <c r="T251" s="50">
        <f>+IFERROR(HLOOKUP(T18,'סקרי נכסים-יתרות פתיחה'!$2:$110,38,0),0)-IFERROR(HLOOKUP(T18,'סקרי נכסים-יתרות פתיחה'!$2:$110,96,0),0)*(1-T$309)</f>
        <v>0</v>
      </c>
      <c r="U251" s="50">
        <f>+IFERROR(HLOOKUP(U18,'סקרי נכסים-יתרות פתיחה'!$2:$110,38,0),0)-IFERROR(HLOOKUP(U18,'סקרי נכסים-יתרות פתיחה'!$2:$110,96,0),0)*(1-U$309)</f>
        <v>0</v>
      </c>
      <c r="V251" s="50">
        <f>+IFERROR(HLOOKUP(V18,'סקרי נכסים-יתרות פתיחה'!$2:$110,38,0),0)-IFERROR(HLOOKUP(V18,'סקרי נכסים-יתרות פתיחה'!$2:$110,96,0),0)*(1-V$309)</f>
        <v>0</v>
      </c>
      <c r="W251" s="50">
        <f>+IFERROR(HLOOKUP(W18,'סקרי נכסים-יתרות פתיחה'!$2:$110,38,0),0)-IFERROR(HLOOKUP(W18,'סקרי נכסים-יתרות פתיחה'!$2:$110,96,0),0)*(1-W$309)</f>
        <v>0</v>
      </c>
      <c r="X251" s="50">
        <f>+IFERROR(HLOOKUP(X18,'סקרי נכסים-יתרות פתיחה'!$2:$110,38,0),0)-IFERROR(HLOOKUP(X18,'סקרי נכסים-יתרות פתיחה'!$2:$110,96,0),0)*(1-X$309)</f>
        <v>0</v>
      </c>
      <c r="Y251" s="50">
        <f>+IFERROR(HLOOKUP(Y18,'סקרי נכסים-יתרות פתיחה'!$2:$110,38,0),0)-IFERROR(HLOOKUP(Y18,'סקרי נכסים-יתרות פתיחה'!$2:$110,96,0),0)*(1-Y$309)</f>
        <v>0</v>
      </c>
      <c r="Z251" s="50">
        <f>+IFERROR(HLOOKUP(Z18,'סקרי נכסים-יתרות פתיחה'!$2:$110,38,0),0)-IFERROR(HLOOKUP(Z18,'סקרי נכסים-יתרות פתיחה'!$2:$110,96,0),0)*(1-Z$309)</f>
        <v>0</v>
      </c>
      <c r="AA251" s="50">
        <f>+IFERROR(HLOOKUP(AA18,'סקרי נכסים-יתרות פתיחה'!$2:$110,38,0),0)-IFERROR(HLOOKUP(AA18,'סקרי נכסים-יתרות פתיחה'!$2:$110,96,0),0)*(1-AA$309)</f>
        <v>0</v>
      </c>
      <c r="AB251" s="50">
        <f>+IFERROR(HLOOKUP(AB18,'סקרי נכסים-יתרות פתיחה'!$2:$110,38,0),0)-IFERROR(HLOOKUP(AB18,'סקרי נכסים-יתרות פתיחה'!$2:$110,96,0),0)*(1-AB$309)</f>
        <v>0</v>
      </c>
      <c r="AC251" s="50">
        <f>+IFERROR(HLOOKUP(AC18,'סקרי נכסים-יתרות פתיחה'!$2:$110,38,0),0)-IFERROR(HLOOKUP(AC18,'סקרי נכסים-יתרות פתיחה'!$2:$110,96,0),0)*(1-AC$309)</f>
        <v>0</v>
      </c>
      <c r="AD251" s="50">
        <f>+IFERROR(HLOOKUP(AD18,'סקרי נכסים-יתרות פתיחה'!$2:$110,38,0),0)-IFERROR(HLOOKUP(AD18,'סקרי נכסים-יתרות פתיחה'!$2:$110,96,0),0)*(1-AD$309)</f>
        <v>0</v>
      </c>
      <c r="AE251" s="50">
        <f>+IFERROR(HLOOKUP(AE18,'סקרי נכסים-יתרות פתיחה'!$2:$110,38,0),0)-IFERROR(HLOOKUP(AE18,'סקרי נכסים-יתרות פתיחה'!$2:$110,96,0),0)*(1-AE$309)</f>
        <v>0</v>
      </c>
      <c r="AF251" s="50">
        <f>+IFERROR(HLOOKUP(AF18,'סקרי נכסים-יתרות פתיחה'!$2:$110,38,0),0)-IFERROR(HLOOKUP(AF18,'סקרי נכסים-יתרות פתיחה'!$2:$110,96,0),0)*(1-AF$309)</f>
        <v>0</v>
      </c>
      <c r="AG251" s="50">
        <f>+IFERROR(HLOOKUP(AG18,'סקרי נכסים-יתרות פתיחה'!$2:$110,38,0),0)-IFERROR(HLOOKUP(AG18,'סקרי נכסים-יתרות פתיחה'!$2:$110,96,0),0)*(1-AG$309)</f>
        <v>0</v>
      </c>
      <c r="AH251" s="50">
        <f>+IFERROR(HLOOKUP(AH18,'סקרי נכסים-יתרות פתיחה'!$2:$110,38,0),0)-IFERROR(HLOOKUP(AH18,'סקרי נכסים-יתרות פתיחה'!$2:$110,96,0),0)*(1-AH$309)</f>
        <v>0</v>
      </c>
      <c r="AI251" s="50">
        <f>+IFERROR(HLOOKUP(AI18,'סקרי נכסים-יתרות פתיחה'!$2:$110,38,0),0)-IFERROR(HLOOKUP(AI18,'סקרי נכסים-יתרות פתיחה'!$2:$110,96,0),0)*(1-AI$309)</f>
        <v>0</v>
      </c>
      <c r="AJ251" s="50">
        <f>+IFERROR(HLOOKUP(AJ18,'סקרי נכסים-יתרות פתיחה'!$2:$110,38,0),0)-IFERROR(HLOOKUP(AJ18,'סקרי נכסים-יתרות פתיחה'!$2:$110,96,0),0)*(1-AJ$309)</f>
        <v>0</v>
      </c>
      <c r="AK251" s="50">
        <f>+IFERROR(HLOOKUP(AK18,'סקרי נכסים-יתרות פתיחה'!$2:$110,38,0),0)-IFERROR(HLOOKUP(AK18,'סקרי נכסים-יתרות פתיחה'!$2:$110,96,0),0)*(1-AK$309)</f>
        <v>0</v>
      </c>
      <c r="AL251" s="50">
        <f>+IFERROR(HLOOKUP(AL18,'סקרי נכסים-יתרות פתיחה'!$2:$110,38,0),0)-IFERROR(HLOOKUP(AL18,'סקרי נכסים-יתרות פתיחה'!$2:$110,96,0),0)*(1-AL$309)</f>
        <v>0</v>
      </c>
      <c r="AM251" s="50">
        <f>+IFERROR(HLOOKUP(AM18,'סקרי נכסים-יתרות פתיחה'!$2:$110,38,0),0)-IFERROR(HLOOKUP(AM18,'סקרי נכסים-יתרות פתיחה'!$2:$110,96,0),0)*(1-AM$309)</f>
        <v>0</v>
      </c>
      <c r="AN251" s="50">
        <f>+IFERROR(HLOOKUP(AN18,'סקרי נכסים-יתרות פתיחה'!$2:$110,38,0),0)-IFERROR(HLOOKUP(AN18,'סקרי נכסים-יתרות פתיחה'!$2:$110,96,0),0)*(1-AN$309)</f>
        <v>0</v>
      </c>
      <c r="AO251" s="50">
        <f>+IFERROR(HLOOKUP(AO18,'סקרי נכסים-יתרות פתיחה'!$2:$110,38,0),0)-IFERROR(HLOOKUP(AO18,'סקרי נכסים-יתרות פתיחה'!$2:$110,96,0),0)*(1-AO$309)</f>
        <v>0</v>
      </c>
      <c r="AP251" s="50">
        <f>+IFERROR(HLOOKUP(AP18,'סקרי נכסים-יתרות פתיחה'!$2:$110,38,0),0)-IFERROR(HLOOKUP(AP18,'סקרי נכסים-יתרות פתיחה'!$2:$110,96,0),0)*(1-AP$309)</f>
        <v>0</v>
      </c>
      <c r="AQ251" s="50">
        <f>+IFERROR(HLOOKUP(AQ18,'סקרי נכסים-יתרות פתיחה'!$2:$110,38,0),0)-IFERROR(HLOOKUP(AQ18,'סקרי נכסים-יתרות פתיחה'!$2:$110,96,0),0)*(1-AQ$309)</f>
        <v>0</v>
      </c>
      <c r="AR251" s="50">
        <f>+IFERROR(HLOOKUP(AR18,'סקרי נכסים-יתרות פתיחה'!$2:$110,38,0),0)-IFERROR(HLOOKUP(AR18,'סקרי נכסים-יתרות פתיחה'!$2:$110,96,0),0)*(1-AR$309)</f>
        <v>0</v>
      </c>
      <c r="AS251" s="50">
        <f>+IFERROR(HLOOKUP(AS18,'סקרי נכסים-יתרות פתיחה'!$2:$110,38,0),0)-IFERROR(HLOOKUP(AS18,'סקרי נכסים-יתרות פתיחה'!$2:$110,96,0),0)*(1-AS$309)</f>
        <v>0</v>
      </c>
      <c r="AT251" s="50">
        <f>+IFERROR(HLOOKUP(AT18,'סקרי נכסים-יתרות פתיחה'!$2:$110,38,0),0)-IFERROR(HLOOKUP(AT18,'סקרי נכסים-יתרות פתיחה'!$2:$110,96,0),0)*(1-AT$309)</f>
        <v>0</v>
      </c>
      <c r="AU251" s="50">
        <f>+IFERROR(HLOOKUP(AU18,'סקרי נכסים-יתרות פתיחה'!$2:$110,38,0),0)-IFERROR(HLOOKUP(AU18,'סקרי נכסים-יתרות פתיחה'!$2:$110,96,0),0)*(1-AU$309)</f>
        <v>0</v>
      </c>
      <c r="AV251" s="50">
        <f>+IFERROR(HLOOKUP(AV18,'סקרי נכסים-יתרות פתיחה'!$2:$110,38,0),0)-IFERROR(HLOOKUP(AV18,'סקרי נכסים-יתרות פתיחה'!$2:$110,96,0),0)*(1-AV$309)</f>
        <v>0</v>
      </c>
      <c r="AW251" s="50">
        <f>+IFERROR(HLOOKUP(AW18,'סקרי נכסים-יתרות פתיחה'!$2:$110,38,0),0)-IFERROR(HLOOKUP(AW18,'סקרי נכסים-יתרות פתיחה'!$2:$110,96,0),0)*(1-AW$309)</f>
        <v>0</v>
      </c>
      <c r="AX251" s="50">
        <f>+IFERROR(HLOOKUP(AX18,'סקרי נכסים-יתרות פתיחה'!$2:$110,38,0),0)-IFERROR(HLOOKUP(AX18,'סקרי נכסים-יתרות פתיחה'!$2:$110,96,0),0)*(1-AX$309)</f>
        <v>0</v>
      </c>
      <c r="AY251" s="50">
        <f>+IFERROR(HLOOKUP(AY18,'סקרי נכסים-יתרות פתיחה'!$2:$110,38,0),0)-IFERROR(HLOOKUP(AY18,'סקרי נכסים-יתרות פתיחה'!$2:$110,96,0),0)*(1-AY$309)</f>
        <v>0</v>
      </c>
      <c r="AZ251" s="50">
        <f>+IFERROR(HLOOKUP(AZ18,'סקרי נכסים-יתרות פתיחה'!$2:$110,38,0),0)-IFERROR(HLOOKUP(AZ18,'סקרי נכסים-יתרות פתיחה'!$2:$110,96,0),0)*(1-AZ$309)</f>
        <v>0</v>
      </c>
      <c r="BA251" s="50">
        <f>+IFERROR(HLOOKUP(BA18,'סקרי נכסים-יתרות פתיחה'!$2:$110,38,0),0)-IFERROR(HLOOKUP(BA18,'סקרי נכסים-יתרות פתיחה'!$2:$110,96,0),0)*(1-BA$309)</f>
        <v>0</v>
      </c>
      <c r="BB251" s="50">
        <f>+IFERROR(HLOOKUP(BB18,'סקרי נכסים-יתרות פתיחה'!$2:$110,38,0),0)-IFERROR(HLOOKUP(BB18,'סקרי נכסים-יתרות פתיחה'!$2:$110,96,0),0)*(1-BB$309)</f>
        <v>0</v>
      </c>
      <c r="BC251" s="50">
        <f>+IFERROR(HLOOKUP(BC18,'סקרי נכסים-יתרות פתיחה'!$2:$110,38,0),0)-IFERROR(HLOOKUP(BC18,'סקרי נכסים-יתרות פתיחה'!$2:$110,96,0),0)*(1-BC$309)</f>
        <v>0</v>
      </c>
      <c r="BD251" s="50">
        <f>+IFERROR(HLOOKUP(BD18,'סקרי נכסים-יתרות פתיחה'!$2:$110,38,0),0)-IFERROR(HLOOKUP(BD18,'סקרי נכסים-יתרות פתיחה'!$2:$110,96,0),0)*(1-BD$309)</f>
        <v>0</v>
      </c>
      <c r="BE251" s="50">
        <f>+IFERROR(HLOOKUP(BE18,'סקרי נכסים-יתרות פתיחה'!$2:$110,38,0),0)-IFERROR(HLOOKUP(BE18,'סקרי נכסים-יתרות פתיחה'!$2:$110,96,0),0)*(1-BE$309)</f>
        <v>0</v>
      </c>
      <c r="BF251" s="50">
        <f>+IFERROR(HLOOKUP(BF18,'סקרי נכסים-יתרות פתיחה'!$2:$110,38,0),0)-IFERROR(HLOOKUP(BF18,'סקרי נכסים-יתרות פתיחה'!$2:$110,96,0),0)*(1-BF$309)</f>
        <v>0</v>
      </c>
    </row>
    <row r="252" spans="2:58" x14ac:dyDescent="0.2">
      <c r="B252" s="1">
        <v>16</v>
      </c>
      <c r="C252" s="50">
        <f>+IFERROR(HLOOKUP(C19,'סקרי נכסים-יתרות פתיחה'!$2:$110,38,0),0)-IFERROR(HLOOKUP(C19,'סקרי נכסים-יתרות פתיחה'!$2:$110,96,0),0)*(1-C$309)</f>
        <v>0</v>
      </c>
      <c r="D252" s="50">
        <f>+IFERROR(HLOOKUP(D19,'סקרי נכסים-יתרות פתיחה'!$2:$110,38,0),0)-IFERROR(HLOOKUP(D19,'סקרי נכסים-יתרות פתיחה'!$2:$110,96,0),0)*(1-D$309)</f>
        <v>0</v>
      </c>
      <c r="E252" s="50">
        <f>+IFERROR(HLOOKUP(E19,'סקרי נכסים-יתרות פתיחה'!$2:$110,38,0),0)-IFERROR(HLOOKUP(E19,'סקרי נכסים-יתרות פתיחה'!$2:$110,96,0),0)*(1-E$309)</f>
        <v>0</v>
      </c>
      <c r="F252" s="50">
        <f>+IFERROR(HLOOKUP(F19,'סקרי נכסים-יתרות פתיחה'!$2:$110,38,0),0)-IFERROR(HLOOKUP(F19,'סקרי נכסים-יתרות פתיחה'!$2:$110,96,0),0)*(1-F$309)</f>
        <v>0</v>
      </c>
      <c r="G252" s="50">
        <f>+IFERROR(HLOOKUP(G19,'סקרי נכסים-יתרות פתיחה'!$2:$110,38,0),0)-IFERROR(HLOOKUP(G19,'סקרי נכסים-יתרות פתיחה'!$2:$110,96,0),0)*(1-G$309)</f>
        <v>0</v>
      </c>
      <c r="H252" s="50">
        <f>+IFERROR(HLOOKUP(H19,'סקרי נכסים-יתרות פתיחה'!$2:$110,38,0),0)-IFERROR(HLOOKUP(H19,'סקרי נכסים-יתרות פתיחה'!$2:$110,96,0),0)*(1-H$309)</f>
        <v>0</v>
      </c>
      <c r="I252" s="50">
        <f>+IFERROR(HLOOKUP(I19,'סקרי נכסים-יתרות פתיחה'!$2:$110,38,0),0)-IFERROR(HLOOKUP(I19,'סקרי נכסים-יתרות פתיחה'!$2:$110,96,0),0)*(1-I$309)</f>
        <v>0</v>
      </c>
      <c r="J252" s="50">
        <f>+IFERROR(HLOOKUP(J19,'סקרי נכסים-יתרות פתיחה'!$2:$110,38,0),0)-IFERROR(HLOOKUP(J19,'סקרי נכסים-יתרות פתיחה'!$2:$110,96,0),0)*(1-J$309)</f>
        <v>0</v>
      </c>
      <c r="K252" s="50">
        <f>+IFERROR(HLOOKUP(K19,'סקרי נכסים-יתרות פתיחה'!$2:$110,38,0),0)-IFERROR(HLOOKUP(K19,'סקרי נכסים-יתרות פתיחה'!$2:$110,96,0),0)*(1-K$309)</f>
        <v>0</v>
      </c>
      <c r="L252" s="50">
        <f>+IFERROR(HLOOKUP(L19,'סקרי נכסים-יתרות פתיחה'!$2:$110,38,0),0)-IFERROR(HLOOKUP(L19,'סקרי נכסים-יתרות פתיחה'!$2:$110,96,0),0)*(1-L$309)</f>
        <v>0</v>
      </c>
      <c r="M252" s="50">
        <f>+IFERROR(HLOOKUP(M19,'סקרי נכסים-יתרות פתיחה'!$2:$110,38,0),0)-IFERROR(HLOOKUP(M19,'סקרי נכסים-יתרות פתיחה'!$2:$110,96,0),0)*(1-M$309)</f>
        <v>0</v>
      </c>
      <c r="N252" s="50">
        <f>+IFERROR(HLOOKUP(N19,'סקרי נכסים-יתרות פתיחה'!$2:$110,38,0),0)-IFERROR(HLOOKUP(N19,'סקרי נכסים-יתרות פתיחה'!$2:$110,96,0),0)*(1-N$309)</f>
        <v>0</v>
      </c>
      <c r="O252" s="50">
        <f>+IFERROR(HLOOKUP(O19,'סקרי נכסים-יתרות פתיחה'!$2:$110,38,0),0)-IFERROR(HLOOKUP(O19,'סקרי נכסים-יתרות פתיחה'!$2:$110,96,0),0)*(1-O$309)</f>
        <v>0</v>
      </c>
      <c r="P252" s="50">
        <f>+IFERROR(HLOOKUP(P19,'סקרי נכסים-יתרות פתיחה'!$2:$110,38,0),0)-IFERROR(HLOOKUP(P19,'סקרי נכסים-יתרות פתיחה'!$2:$110,96,0),0)*(1-P$309)</f>
        <v>0</v>
      </c>
      <c r="Q252" s="50">
        <f>+IFERROR(HLOOKUP(Q19,'סקרי נכסים-יתרות פתיחה'!$2:$110,38,0),0)-IFERROR(HLOOKUP(Q19,'סקרי נכסים-יתרות פתיחה'!$2:$110,96,0),0)*(1-Q$309)</f>
        <v>0</v>
      </c>
      <c r="R252" s="50">
        <f>+IFERROR(HLOOKUP(R19,'סקרי נכסים-יתרות פתיחה'!$2:$110,38,0),0)-IFERROR(HLOOKUP(R19,'סקרי נכסים-יתרות פתיחה'!$2:$110,96,0),0)*(1-R$309)</f>
        <v>0</v>
      </c>
      <c r="S252" s="50">
        <f>+IFERROR(HLOOKUP(S19,'סקרי נכסים-יתרות פתיחה'!$2:$110,38,0),0)-IFERROR(HLOOKUP(S19,'סקרי נכסים-יתרות פתיחה'!$2:$110,96,0),0)*(1-S$309)</f>
        <v>0</v>
      </c>
      <c r="T252" s="50">
        <f>+IFERROR(HLOOKUP(T19,'סקרי נכסים-יתרות פתיחה'!$2:$110,38,0),0)-IFERROR(HLOOKUP(T19,'סקרי נכסים-יתרות פתיחה'!$2:$110,96,0),0)*(1-T$309)</f>
        <v>0</v>
      </c>
      <c r="U252" s="50">
        <f>+IFERROR(HLOOKUP(U19,'סקרי נכסים-יתרות פתיחה'!$2:$110,38,0),0)-IFERROR(HLOOKUP(U19,'סקרי נכסים-יתרות פתיחה'!$2:$110,96,0),0)*(1-U$309)</f>
        <v>0</v>
      </c>
      <c r="V252" s="50">
        <f>+IFERROR(HLOOKUP(V19,'סקרי נכסים-יתרות פתיחה'!$2:$110,38,0),0)-IFERROR(HLOOKUP(V19,'סקרי נכסים-יתרות פתיחה'!$2:$110,96,0),0)*(1-V$309)</f>
        <v>0</v>
      </c>
      <c r="W252" s="50">
        <f>+IFERROR(HLOOKUP(W19,'סקרי נכסים-יתרות פתיחה'!$2:$110,38,0),0)-IFERROR(HLOOKUP(W19,'סקרי נכסים-יתרות פתיחה'!$2:$110,96,0),0)*(1-W$309)</f>
        <v>0</v>
      </c>
      <c r="X252" s="50">
        <f>+IFERROR(HLOOKUP(X19,'סקרי נכסים-יתרות פתיחה'!$2:$110,38,0),0)-IFERROR(HLOOKUP(X19,'סקרי נכסים-יתרות פתיחה'!$2:$110,96,0),0)*(1-X$309)</f>
        <v>0</v>
      </c>
      <c r="Y252" s="50">
        <f>+IFERROR(HLOOKUP(Y19,'סקרי נכסים-יתרות פתיחה'!$2:$110,38,0),0)-IFERROR(HLOOKUP(Y19,'סקרי נכסים-יתרות פתיחה'!$2:$110,96,0),0)*(1-Y$309)</f>
        <v>0</v>
      </c>
      <c r="Z252" s="50">
        <f>+IFERROR(HLOOKUP(Z19,'סקרי נכסים-יתרות פתיחה'!$2:$110,38,0),0)-IFERROR(HLOOKUP(Z19,'סקרי נכסים-יתרות פתיחה'!$2:$110,96,0),0)*(1-Z$309)</f>
        <v>0</v>
      </c>
      <c r="AA252" s="50">
        <f>+IFERROR(HLOOKUP(AA19,'סקרי נכסים-יתרות פתיחה'!$2:$110,38,0),0)-IFERROR(HLOOKUP(AA19,'סקרי נכסים-יתרות פתיחה'!$2:$110,96,0),0)*(1-AA$309)</f>
        <v>0</v>
      </c>
      <c r="AB252" s="50">
        <f>+IFERROR(HLOOKUP(AB19,'סקרי נכסים-יתרות פתיחה'!$2:$110,38,0),0)-IFERROR(HLOOKUP(AB19,'סקרי נכסים-יתרות פתיחה'!$2:$110,96,0),0)*(1-AB$309)</f>
        <v>0</v>
      </c>
      <c r="AC252" s="50">
        <f>+IFERROR(HLOOKUP(AC19,'סקרי נכסים-יתרות פתיחה'!$2:$110,38,0),0)-IFERROR(HLOOKUP(AC19,'סקרי נכסים-יתרות פתיחה'!$2:$110,96,0),0)*(1-AC$309)</f>
        <v>0</v>
      </c>
      <c r="AD252" s="50">
        <f>+IFERROR(HLOOKUP(AD19,'סקרי נכסים-יתרות פתיחה'!$2:$110,38,0),0)-IFERROR(HLOOKUP(AD19,'סקרי נכסים-יתרות פתיחה'!$2:$110,96,0),0)*(1-AD$309)</f>
        <v>0</v>
      </c>
      <c r="AE252" s="50">
        <f>+IFERROR(HLOOKUP(AE19,'סקרי נכסים-יתרות פתיחה'!$2:$110,38,0),0)-IFERROR(HLOOKUP(AE19,'סקרי נכסים-יתרות פתיחה'!$2:$110,96,0),0)*(1-AE$309)</f>
        <v>0</v>
      </c>
      <c r="AF252" s="50">
        <f>+IFERROR(HLOOKUP(AF19,'סקרי נכסים-יתרות פתיחה'!$2:$110,38,0),0)-IFERROR(HLOOKUP(AF19,'סקרי נכסים-יתרות פתיחה'!$2:$110,96,0),0)*(1-AF$309)</f>
        <v>0</v>
      </c>
      <c r="AG252" s="50">
        <f>+IFERROR(HLOOKUP(AG19,'סקרי נכסים-יתרות פתיחה'!$2:$110,38,0),0)-IFERROR(HLOOKUP(AG19,'סקרי נכסים-יתרות פתיחה'!$2:$110,96,0),0)*(1-AG$309)</f>
        <v>0</v>
      </c>
      <c r="AH252" s="50">
        <f>+IFERROR(HLOOKUP(AH19,'סקרי נכסים-יתרות פתיחה'!$2:$110,38,0),0)-IFERROR(HLOOKUP(AH19,'סקרי נכסים-יתרות פתיחה'!$2:$110,96,0),0)*(1-AH$309)</f>
        <v>0</v>
      </c>
      <c r="AI252" s="50">
        <f>+IFERROR(HLOOKUP(AI19,'סקרי נכסים-יתרות פתיחה'!$2:$110,38,0),0)-IFERROR(HLOOKUP(AI19,'סקרי נכסים-יתרות פתיחה'!$2:$110,96,0),0)*(1-AI$309)</f>
        <v>0</v>
      </c>
      <c r="AJ252" s="50">
        <f>+IFERROR(HLOOKUP(AJ19,'סקרי נכסים-יתרות פתיחה'!$2:$110,38,0),0)-IFERROR(HLOOKUP(AJ19,'סקרי נכסים-יתרות פתיחה'!$2:$110,96,0),0)*(1-AJ$309)</f>
        <v>0</v>
      </c>
      <c r="AK252" s="50">
        <f>+IFERROR(HLOOKUP(AK19,'סקרי נכסים-יתרות פתיחה'!$2:$110,38,0),0)-IFERROR(HLOOKUP(AK19,'סקרי נכסים-יתרות פתיחה'!$2:$110,96,0),0)*(1-AK$309)</f>
        <v>0</v>
      </c>
      <c r="AL252" s="50">
        <f>+IFERROR(HLOOKUP(AL19,'סקרי נכסים-יתרות פתיחה'!$2:$110,38,0),0)-IFERROR(HLOOKUP(AL19,'סקרי נכסים-יתרות פתיחה'!$2:$110,96,0),0)*(1-AL$309)</f>
        <v>0</v>
      </c>
      <c r="AM252" s="50">
        <f>+IFERROR(HLOOKUP(AM19,'סקרי נכסים-יתרות פתיחה'!$2:$110,38,0),0)-IFERROR(HLOOKUP(AM19,'סקרי נכסים-יתרות פתיחה'!$2:$110,96,0),0)*(1-AM$309)</f>
        <v>0</v>
      </c>
      <c r="AN252" s="50">
        <f>+IFERROR(HLOOKUP(AN19,'סקרי נכסים-יתרות פתיחה'!$2:$110,38,0),0)-IFERROR(HLOOKUP(AN19,'סקרי נכסים-יתרות פתיחה'!$2:$110,96,0),0)*(1-AN$309)</f>
        <v>0</v>
      </c>
      <c r="AO252" s="50">
        <f>+IFERROR(HLOOKUP(AO19,'סקרי נכסים-יתרות פתיחה'!$2:$110,38,0),0)-IFERROR(HLOOKUP(AO19,'סקרי נכסים-יתרות פתיחה'!$2:$110,96,0),0)*(1-AO$309)</f>
        <v>0</v>
      </c>
      <c r="AP252" s="50">
        <f>+IFERROR(HLOOKUP(AP19,'סקרי נכסים-יתרות פתיחה'!$2:$110,38,0),0)-IFERROR(HLOOKUP(AP19,'סקרי נכסים-יתרות פתיחה'!$2:$110,96,0),0)*(1-AP$309)</f>
        <v>0</v>
      </c>
      <c r="AQ252" s="50">
        <f>+IFERROR(HLOOKUP(AQ19,'סקרי נכסים-יתרות פתיחה'!$2:$110,38,0),0)-IFERROR(HLOOKUP(AQ19,'סקרי נכסים-יתרות פתיחה'!$2:$110,96,0),0)*(1-AQ$309)</f>
        <v>0</v>
      </c>
      <c r="AR252" s="50">
        <f>+IFERROR(HLOOKUP(AR19,'סקרי נכסים-יתרות פתיחה'!$2:$110,38,0),0)-IFERROR(HLOOKUP(AR19,'סקרי נכסים-יתרות פתיחה'!$2:$110,96,0),0)*(1-AR$309)</f>
        <v>0</v>
      </c>
      <c r="AS252" s="50">
        <f>+IFERROR(HLOOKUP(AS19,'סקרי נכסים-יתרות פתיחה'!$2:$110,38,0),0)-IFERROR(HLOOKUP(AS19,'סקרי נכסים-יתרות פתיחה'!$2:$110,96,0),0)*(1-AS$309)</f>
        <v>0</v>
      </c>
      <c r="AT252" s="50">
        <f>+IFERROR(HLOOKUP(AT19,'סקרי נכסים-יתרות פתיחה'!$2:$110,38,0),0)-IFERROR(HLOOKUP(AT19,'סקרי נכסים-יתרות פתיחה'!$2:$110,96,0),0)*(1-AT$309)</f>
        <v>0</v>
      </c>
      <c r="AU252" s="50">
        <f>+IFERROR(HLOOKUP(AU19,'סקרי נכסים-יתרות פתיחה'!$2:$110,38,0),0)-IFERROR(HLOOKUP(AU19,'סקרי נכסים-יתרות פתיחה'!$2:$110,96,0),0)*(1-AU$309)</f>
        <v>0</v>
      </c>
      <c r="AV252" s="50">
        <f>+IFERROR(HLOOKUP(AV19,'סקרי נכסים-יתרות פתיחה'!$2:$110,38,0),0)-IFERROR(HLOOKUP(AV19,'סקרי נכסים-יתרות פתיחה'!$2:$110,96,0),0)*(1-AV$309)</f>
        <v>0</v>
      </c>
      <c r="AW252" s="50">
        <f>+IFERROR(HLOOKUP(AW19,'סקרי נכסים-יתרות פתיחה'!$2:$110,38,0),0)-IFERROR(HLOOKUP(AW19,'סקרי נכסים-יתרות פתיחה'!$2:$110,96,0),0)*(1-AW$309)</f>
        <v>0</v>
      </c>
      <c r="AX252" s="50">
        <f>+IFERROR(HLOOKUP(AX19,'סקרי נכסים-יתרות פתיחה'!$2:$110,38,0),0)-IFERROR(HLOOKUP(AX19,'סקרי נכסים-יתרות פתיחה'!$2:$110,96,0),0)*(1-AX$309)</f>
        <v>0</v>
      </c>
      <c r="AY252" s="50">
        <f>+IFERROR(HLOOKUP(AY19,'סקרי נכסים-יתרות פתיחה'!$2:$110,38,0),0)-IFERROR(HLOOKUP(AY19,'סקרי נכסים-יתרות פתיחה'!$2:$110,96,0),0)*(1-AY$309)</f>
        <v>0</v>
      </c>
      <c r="AZ252" s="50">
        <f>+IFERROR(HLOOKUP(AZ19,'סקרי נכסים-יתרות פתיחה'!$2:$110,38,0),0)-IFERROR(HLOOKUP(AZ19,'סקרי נכסים-יתרות פתיחה'!$2:$110,96,0),0)*(1-AZ$309)</f>
        <v>0</v>
      </c>
      <c r="BA252" s="50">
        <f>+IFERROR(HLOOKUP(BA19,'סקרי נכסים-יתרות פתיחה'!$2:$110,38,0),0)-IFERROR(HLOOKUP(BA19,'סקרי נכסים-יתרות פתיחה'!$2:$110,96,0),0)*(1-BA$309)</f>
        <v>0</v>
      </c>
      <c r="BB252" s="50">
        <f>+IFERROR(HLOOKUP(BB19,'סקרי נכסים-יתרות פתיחה'!$2:$110,38,0),0)-IFERROR(HLOOKUP(BB19,'סקרי נכסים-יתרות פתיחה'!$2:$110,96,0),0)*(1-BB$309)</f>
        <v>0</v>
      </c>
      <c r="BC252" s="50">
        <f>+IFERROR(HLOOKUP(BC19,'סקרי נכסים-יתרות פתיחה'!$2:$110,38,0),0)-IFERROR(HLOOKUP(BC19,'סקרי נכסים-יתרות פתיחה'!$2:$110,96,0),0)*(1-BC$309)</f>
        <v>0</v>
      </c>
      <c r="BD252" s="50">
        <f>+IFERROR(HLOOKUP(BD19,'סקרי נכסים-יתרות פתיחה'!$2:$110,38,0),0)-IFERROR(HLOOKUP(BD19,'סקרי נכסים-יתרות פתיחה'!$2:$110,96,0),0)*(1-BD$309)</f>
        <v>0</v>
      </c>
      <c r="BE252" s="50">
        <f>+IFERROR(HLOOKUP(BE19,'סקרי נכסים-יתרות פתיחה'!$2:$110,38,0),0)-IFERROR(HLOOKUP(BE19,'סקרי נכסים-יתרות פתיחה'!$2:$110,96,0),0)*(1-BE$309)</f>
        <v>0</v>
      </c>
      <c r="BF252" s="50">
        <f>+IFERROR(HLOOKUP(BF19,'סקרי נכסים-יתרות פתיחה'!$2:$110,38,0),0)-IFERROR(HLOOKUP(BF19,'סקרי נכסים-יתרות פתיחה'!$2:$110,96,0),0)*(1-BF$309)</f>
        <v>0</v>
      </c>
    </row>
    <row r="253" spans="2:58" x14ac:dyDescent="0.2">
      <c r="B253" s="1">
        <v>17</v>
      </c>
      <c r="C253" s="50">
        <f>+IFERROR(HLOOKUP(C20,'סקרי נכסים-יתרות פתיחה'!$2:$110,38,0),0)-IFERROR(HLOOKUP(C20,'סקרי נכסים-יתרות פתיחה'!$2:$110,96,0),0)*(1-C$309)</f>
        <v>0</v>
      </c>
      <c r="D253" s="50">
        <f>+IFERROR(HLOOKUP(D20,'סקרי נכסים-יתרות פתיחה'!$2:$110,38,0),0)-IFERROR(HLOOKUP(D20,'סקרי נכסים-יתרות פתיחה'!$2:$110,96,0),0)*(1-D$309)</f>
        <v>0</v>
      </c>
      <c r="E253" s="50">
        <f>+IFERROR(HLOOKUP(E20,'סקרי נכסים-יתרות פתיחה'!$2:$110,38,0),0)-IFERROR(HLOOKUP(E20,'סקרי נכסים-יתרות פתיחה'!$2:$110,96,0),0)*(1-E$309)</f>
        <v>0</v>
      </c>
      <c r="F253" s="50">
        <f>+IFERROR(HLOOKUP(F20,'סקרי נכסים-יתרות פתיחה'!$2:$110,38,0),0)-IFERROR(HLOOKUP(F20,'סקרי נכסים-יתרות פתיחה'!$2:$110,96,0),0)*(1-F$309)</f>
        <v>0</v>
      </c>
      <c r="G253" s="50">
        <f>+IFERROR(HLOOKUP(G20,'סקרי נכסים-יתרות פתיחה'!$2:$110,38,0),0)-IFERROR(HLOOKUP(G20,'סקרי נכסים-יתרות פתיחה'!$2:$110,96,0),0)*(1-G$309)</f>
        <v>0</v>
      </c>
      <c r="H253" s="50">
        <f>+IFERROR(HLOOKUP(H20,'סקרי נכסים-יתרות פתיחה'!$2:$110,38,0),0)-IFERROR(HLOOKUP(H20,'סקרי נכסים-יתרות פתיחה'!$2:$110,96,0),0)*(1-H$309)</f>
        <v>0</v>
      </c>
      <c r="I253" s="50">
        <f>+IFERROR(HLOOKUP(I20,'סקרי נכסים-יתרות פתיחה'!$2:$110,38,0),0)-IFERROR(HLOOKUP(I20,'סקרי נכסים-יתרות פתיחה'!$2:$110,96,0),0)*(1-I$309)</f>
        <v>0</v>
      </c>
      <c r="J253" s="50">
        <f>+IFERROR(HLOOKUP(J20,'סקרי נכסים-יתרות פתיחה'!$2:$110,38,0),0)-IFERROR(HLOOKUP(J20,'סקרי נכסים-יתרות פתיחה'!$2:$110,96,0),0)*(1-J$309)</f>
        <v>0</v>
      </c>
      <c r="K253" s="50">
        <f>+IFERROR(HLOOKUP(K20,'סקרי נכסים-יתרות פתיחה'!$2:$110,38,0),0)-IFERROR(HLOOKUP(K20,'סקרי נכסים-יתרות פתיחה'!$2:$110,96,0),0)*(1-K$309)</f>
        <v>0</v>
      </c>
      <c r="L253" s="50">
        <f>+IFERROR(HLOOKUP(L20,'סקרי נכסים-יתרות פתיחה'!$2:$110,38,0),0)-IFERROR(HLOOKUP(L20,'סקרי נכסים-יתרות פתיחה'!$2:$110,96,0),0)*(1-L$309)</f>
        <v>0</v>
      </c>
      <c r="M253" s="50">
        <f>+IFERROR(HLOOKUP(M20,'סקרי נכסים-יתרות פתיחה'!$2:$110,38,0),0)-IFERROR(HLOOKUP(M20,'סקרי נכסים-יתרות פתיחה'!$2:$110,96,0),0)*(1-M$309)</f>
        <v>0</v>
      </c>
      <c r="N253" s="50">
        <f>+IFERROR(HLOOKUP(N20,'סקרי נכסים-יתרות פתיחה'!$2:$110,38,0),0)-IFERROR(HLOOKUP(N20,'סקרי נכסים-יתרות פתיחה'!$2:$110,96,0),0)*(1-N$309)</f>
        <v>0</v>
      </c>
      <c r="O253" s="50">
        <f>+IFERROR(HLOOKUP(O20,'סקרי נכסים-יתרות פתיחה'!$2:$110,38,0),0)-IFERROR(HLOOKUP(O20,'סקרי נכסים-יתרות פתיחה'!$2:$110,96,0),0)*(1-O$309)</f>
        <v>0</v>
      </c>
      <c r="P253" s="50">
        <f>+IFERROR(HLOOKUP(P20,'סקרי נכסים-יתרות פתיחה'!$2:$110,38,0),0)-IFERROR(HLOOKUP(P20,'סקרי נכסים-יתרות פתיחה'!$2:$110,96,0),0)*(1-P$309)</f>
        <v>0</v>
      </c>
      <c r="Q253" s="50">
        <f>+IFERROR(HLOOKUP(Q20,'סקרי נכסים-יתרות פתיחה'!$2:$110,38,0),0)-IFERROR(HLOOKUP(Q20,'סקרי נכסים-יתרות פתיחה'!$2:$110,96,0),0)*(1-Q$309)</f>
        <v>0</v>
      </c>
      <c r="R253" s="50">
        <f>+IFERROR(HLOOKUP(R20,'סקרי נכסים-יתרות פתיחה'!$2:$110,38,0),0)-IFERROR(HLOOKUP(R20,'סקרי נכסים-יתרות פתיחה'!$2:$110,96,0),0)*(1-R$309)</f>
        <v>0</v>
      </c>
      <c r="S253" s="50">
        <f>+IFERROR(HLOOKUP(S20,'סקרי נכסים-יתרות פתיחה'!$2:$110,38,0),0)-IFERROR(HLOOKUP(S20,'סקרי נכסים-יתרות פתיחה'!$2:$110,96,0),0)*(1-S$309)</f>
        <v>0</v>
      </c>
      <c r="T253" s="50">
        <f>+IFERROR(HLOOKUP(T20,'סקרי נכסים-יתרות פתיחה'!$2:$110,38,0),0)-IFERROR(HLOOKUP(T20,'סקרי נכסים-יתרות פתיחה'!$2:$110,96,0),0)*(1-T$309)</f>
        <v>0</v>
      </c>
      <c r="U253" s="50">
        <f>+IFERROR(HLOOKUP(U20,'סקרי נכסים-יתרות פתיחה'!$2:$110,38,0),0)-IFERROR(HLOOKUP(U20,'סקרי נכסים-יתרות פתיחה'!$2:$110,96,0),0)*(1-U$309)</f>
        <v>0</v>
      </c>
      <c r="V253" s="50">
        <f>+IFERROR(HLOOKUP(V20,'סקרי נכסים-יתרות פתיחה'!$2:$110,38,0),0)-IFERROR(HLOOKUP(V20,'סקרי נכסים-יתרות פתיחה'!$2:$110,96,0),0)*(1-V$309)</f>
        <v>0</v>
      </c>
      <c r="W253" s="50">
        <f>+IFERROR(HLOOKUP(W20,'סקרי נכסים-יתרות פתיחה'!$2:$110,38,0),0)-IFERROR(HLOOKUP(W20,'סקרי נכסים-יתרות פתיחה'!$2:$110,96,0),0)*(1-W$309)</f>
        <v>0</v>
      </c>
      <c r="X253" s="50">
        <f>+IFERROR(HLOOKUP(X20,'סקרי נכסים-יתרות פתיחה'!$2:$110,38,0),0)-IFERROR(HLOOKUP(X20,'סקרי נכסים-יתרות פתיחה'!$2:$110,96,0),0)*(1-X$309)</f>
        <v>0</v>
      </c>
      <c r="Y253" s="50">
        <f>+IFERROR(HLOOKUP(Y20,'סקרי נכסים-יתרות פתיחה'!$2:$110,38,0),0)-IFERROR(HLOOKUP(Y20,'סקרי נכסים-יתרות פתיחה'!$2:$110,96,0),0)*(1-Y$309)</f>
        <v>0</v>
      </c>
      <c r="Z253" s="50">
        <f>+IFERROR(HLOOKUP(Z20,'סקרי נכסים-יתרות פתיחה'!$2:$110,38,0),0)-IFERROR(HLOOKUP(Z20,'סקרי נכסים-יתרות פתיחה'!$2:$110,96,0),0)*(1-Z$309)</f>
        <v>0</v>
      </c>
      <c r="AA253" s="50">
        <f>+IFERROR(HLOOKUP(AA20,'סקרי נכסים-יתרות פתיחה'!$2:$110,38,0),0)-IFERROR(HLOOKUP(AA20,'סקרי נכסים-יתרות פתיחה'!$2:$110,96,0),0)*(1-AA$309)</f>
        <v>0</v>
      </c>
      <c r="AB253" s="50">
        <f>+IFERROR(HLOOKUP(AB20,'סקרי נכסים-יתרות פתיחה'!$2:$110,38,0),0)-IFERROR(HLOOKUP(AB20,'סקרי נכסים-יתרות פתיחה'!$2:$110,96,0),0)*(1-AB$309)</f>
        <v>0</v>
      </c>
      <c r="AC253" s="50">
        <f>+IFERROR(HLOOKUP(AC20,'סקרי נכסים-יתרות פתיחה'!$2:$110,38,0),0)-IFERROR(HLOOKUP(AC20,'סקרי נכסים-יתרות פתיחה'!$2:$110,96,0),0)*(1-AC$309)</f>
        <v>0</v>
      </c>
      <c r="AD253" s="50">
        <f>+IFERROR(HLOOKUP(AD20,'סקרי נכסים-יתרות פתיחה'!$2:$110,38,0),0)-IFERROR(HLOOKUP(AD20,'סקרי נכסים-יתרות פתיחה'!$2:$110,96,0),0)*(1-AD$309)</f>
        <v>0</v>
      </c>
      <c r="AE253" s="50">
        <f>+IFERROR(HLOOKUP(AE20,'סקרי נכסים-יתרות פתיחה'!$2:$110,38,0),0)-IFERROR(HLOOKUP(AE20,'סקרי נכסים-יתרות פתיחה'!$2:$110,96,0),0)*(1-AE$309)</f>
        <v>0</v>
      </c>
      <c r="AF253" s="50">
        <f>+IFERROR(HLOOKUP(AF20,'סקרי נכסים-יתרות פתיחה'!$2:$110,38,0),0)-IFERROR(HLOOKUP(AF20,'סקרי נכסים-יתרות פתיחה'!$2:$110,96,0),0)*(1-AF$309)</f>
        <v>0</v>
      </c>
      <c r="AG253" s="50">
        <f>+IFERROR(HLOOKUP(AG20,'סקרי נכסים-יתרות פתיחה'!$2:$110,38,0),0)-IFERROR(HLOOKUP(AG20,'סקרי נכסים-יתרות פתיחה'!$2:$110,96,0),0)*(1-AG$309)</f>
        <v>0</v>
      </c>
      <c r="AH253" s="50">
        <f>+IFERROR(HLOOKUP(AH20,'סקרי נכסים-יתרות פתיחה'!$2:$110,38,0),0)-IFERROR(HLOOKUP(AH20,'סקרי נכסים-יתרות פתיחה'!$2:$110,96,0),0)*(1-AH$309)</f>
        <v>0</v>
      </c>
      <c r="AI253" s="50">
        <f>+IFERROR(HLOOKUP(AI20,'סקרי נכסים-יתרות פתיחה'!$2:$110,38,0),0)-IFERROR(HLOOKUP(AI20,'סקרי נכסים-יתרות פתיחה'!$2:$110,96,0),0)*(1-AI$309)</f>
        <v>0</v>
      </c>
      <c r="AJ253" s="50">
        <f>+IFERROR(HLOOKUP(AJ20,'סקרי נכסים-יתרות פתיחה'!$2:$110,38,0),0)-IFERROR(HLOOKUP(AJ20,'סקרי נכסים-יתרות פתיחה'!$2:$110,96,0),0)*(1-AJ$309)</f>
        <v>0</v>
      </c>
      <c r="AK253" s="50">
        <f>+IFERROR(HLOOKUP(AK20,'סקרי נכסים-יתרות פתיחה'!$2:$110,38,0),0)-IFERROR(HLOOKUP(AK20,'סקרי נכסים-יתרות פתיחה'!$2:$110,96,0),0)*(1-AK$309)</f>
        <v>0</v>
      </c>
      <c r="AL253" s="50">
        <f>+IFERROR(HLOOKUP(AL20,'סקרי נכסים-יתרות פתיחה'!$2:$110,38,0),0)-IFERROR(HLOOKUP(AL20,'סקרי נכסים-יתרות פתיחה'!$2:$110,96,0),0)*(1-AL$309)</f>
        <v>0</v>
      </c>
      <c r="AM253" s="50">
        <f>+IFERROR(HLOOKUP(AM20,'סקרי נכסים-יתרות פתיחה'!$2:$110,38,0),0)-IFERROR(HLOOKUP(AM20,'סקרי נכסים-יתרות פתיחה'!$2:$110,96,0),0)*(1-AM$309)</f>
        <v>0</v>
      </c>
      <c r="AN253" s="50">
        <f>+IFERROR(HLOOKUP(AN20,'סקרי נכסים-יתרות פתיחה'!$2:$110,38,0),0)-IFERROR(HLOOKUP(AN20,'סקרי נכסים-יתרות פתיחה'!$2:$110,96,0),0)*(1-AN$309)</f>
        <v>0</v>
      </c>
      <c r="AO253" s="50">
        <f>+IFERROR(HLOOKUP(AO20,'סקרי נכסים-יתרות פתיחה'!$2:$110,38,0),0)-IFERROR(HLOOKUP(AO20,'סקרי נכסים-יתרות פתיחה'!$2:$110,96,0),0)*(1-AO$309)</f>
        <v>0</v>
      </c>
      <c r="AP253" s="50">
        <f>+IFERROR(HLOOKUP(AP20,'סקרי נכסים-יתרות פתיחה'!$2:$110,38,0),0)-IFERROR(HLOOKUP(AP20,'סקרי נכסים-יתרות פתיחה'!$2:$110,96,0),0)*(1-AP$309)</f>
        <v>0</v>
      </c>
      <c r="AQ253" s="50">
        <f>+IFERROR(HLOOKUP(AQ20,'סקרי נכסים-יתרות פתיחה'!$2:$110,38,0),0)-IFERROR(HLOOKUP(AQ20,'סקרי נכסים-יתרות פתיחה'!$2:$110,96,0),0)*(1-AQ$309)</f>
        <v>0</v>
      </c>
      <c r="AR253" s="50">
        <f>+IFERROR(HLOOKUP(AR20,'סקרי נכסים-יתרות פתיחה'!$2:$110,38,0),0)-IFERROR(HLOOKUP(AR20,'סקרי נכסים-יתרות פתיחה'!$2:$110,96,0),0)*(1-AR$309)</f>
        <v>0</v>
      </c>
      <c r="AS253" s="50">
        <f>+IFERROR(HLOOKUP(AS20,'סקרי נכסים-יתרות פתיחה'!$2:$110,38,0),0)-IFERROR(HLOOKUP(AS20,'סקרי נכסים-יתרות פתיחה'!$2:$110,96,0),0)*(1-AS$309)</f>
        <v>0</v>
      </c>
      <c r="AT253" s="50">
        <f>+IFERROR(HLOOKUP(AT20,'סקרי נכסים-יתרות פתיחה'!$2:$110,38,0),0)-IFERROR(HLOOKUP(AT20,'סקרי נכסים-יתרות פתיחה'!$2:$110,96,0),0)*(1-AT$309)</f>
        <v>0</v>
      </c>
      <c r="AU253" s="50">
        <f>+IFERROR(HLOOKUP(AU20,'סקרי נכסים-יתרות פתיחה'!$2:$110,38,0),0)-IFERROR(HLOOKUP(AU20,'סקרי נכסים-יתרות פתיחה'!$2:$110,96,0),0)*(1-AU$309)</f>
        <v>0</v>
      </c>
      <c r="AV253" s="50">
        <f>+IFERROR(HLOOKUP(AV20,'סקרי נכסים-יתרות פתיחה'!$2:$110,38,0),0)-IFERROR(HLOOKUP(AV20,'סקרי נכסים-יתרות פתיחה'!$2:$110,96,0),0)*(1-AV$309)</f>
        <v>0</v>
      </c>
      <c r="AW253" s="50">
        <f>+IFERROR(HLOOKUP(AW20,'סקרי נכסים-יתרות פתיחה'!$2:$110,38,0),0)-IFERROR(HLOOKUP(AW20,'סקרי נכסים-יתרות פתיחה'!$2:$110,96,0),0)*(1-AW$309)</f>
        <v>0</v>
      </c>
      <c r="AX253" s="50">
        <f>+IFERROR(HLOOKUP(AX20,'סקרי נכסים-יתרות פתיחה'!$2:$110,38,0),0)-IFERROR(HLOOKUP(AX20,'סקרי נכסים-יתרות פתיחה'!$2:$110,96,0),0)*(1-AX$309)</f>
        <v>0</v>
      </c>
      <c r="AY253" s="50">
        <f>+IFERROR(HLOOKUP(AY20,'סקרי נכסים-יתרות פתיחה'!$2:$110,38,0),0)-IFERROR(HLOOKUP(AY20,'סקרי נכסים-יתרות פתיחה'!$2:$110,96,0),0)*(1-AY$309)</f>
        <v>0</v>
      </c>
      <c r="AZ253" s="50">
        <f>+IFERROR(HLOOKUP(AZ20,'סקרי נכסים-יתרות פתיחה'!$2:$110,38,0),0)-IFERROR(HLOOKUP(AZ20,'סקרי נכסים-יתרות פתיחה'!$2:$110,96,0),0)*(1-AZ$309)</f>
        <v>0</v>
      </c>
      <c r="BA253" s="50">
        <f>+IFERROR(HLOOKUP(BA20,'סקרי נכסים-יתרות פתיחה'!$2:$110,38,0),0)-IFERROR(HLOOKUP(BA20,'סקרי נכסים-יתרות פתיחה'!$2:$110,96,0),0)*(1-BA$309)</f>
        <v>0</v>
      </c>
      <c r="BB253" s="50">
        <f>+IFERROR(HLOOKUP(BB20,'סקרי נכסים-יתרות פתיחה'!$2:$110,38,0),0)-IFERROR(HLOOKUP(BB20,'סקרי נכסים-יתרות פתיחה'!$2:$110,96,0),0)*(1-BB$309)</f>
        <v>0</v>
      </c>
      <c r="BC253" s="50">
        <f>+IFERROR(HLOOKUP(BC20,'סקרי נכסים-יתרות פתיחה'!$2:$110,38,0),0)-IFERROR(HLOOKUP(BC20,'סקרי נכסים-יתרות פתיחה'!$2:$110,96,0),0)*(1-BC$309)</f>
        <v>0</v>
      </c>
      <c r="BD253" s="50">
        <f>+IFERROR(HLOOKUP(BD20,'סקרי נכסים-יתרות פתיחה'!$2:$110,38,0),0)-IFERROR(HLOOKUP(BD20,'סקרי נכסים-יתרות פתיחה'!$2:$110,96,0),0)*(1-BD$309)</f>
        <v>0</v>
      </c>
      <c r="BE253" s="50">
        <f>+IFERROR(HLOOKUP(BE20,'סקרי נכסים-יתרות פתיחה'!$2:$110,38,0),0)-IFERROR(HLOOKUP(BE20,'סקרי נכסים-יתרות פתיחה'!$2:$110,96,0),0)*(1-BE$309)</f>
        <v>0</v>
      </c>
      <c r="BF253" s="50">
        <f>+IFERROR(HLOOKUP(BF20,'סקרי נכסים-יתרות פתיחה'!$2:$110,38,0),0)-IFERROR(HLOOKUP(BF20,'סקרי נכסים-יתרות פתיחה'!$2:$110,96,0),0)*(1-BF$309)</f>
        <v>0</v>
      </c>
    </row>
    <row r="254" spans="2:58" x14ac:dyDescent="0.2">
      <c r="B254" s="1">
        <v>18</v>
      </c>
      <c r="C254" s="50">
        <f>+IFERROR(HLOOKUP(C21,'סקרי נכסים-יתרות פתיחה'!$2:$110,38,0),0)-IFERROR(HLOOKUP(C21,'סקרי נכסים-יתרות פתיחה'!$2:$110,96,0),0)*(1-C$309)</f>
        <v>0</v>
      </c>
      <c r="D254" s="50">
        <f>+IFERROR(HLOOKUP(D21,'סקרי נכסים-יתרות פתיחה'!$2:$110,38,0),0)-IFERROR(HLOOKUP(D21,'סקרי נכסים-יתרות פתיחה'!$2:$110,96,0),0)*(1-D$309)</f>
        <v>0</v>
      </c>
      <c r="E254" s="50">
        <f>+IFERROR(HLOOKUP(E21,'סקרי נכסים-יתרות פתיחה'!$2:$110,38,0),0)-IFERROR(HLOOKUP(E21,'סקרי נכסים-יתרות פתיחה'!$2:$110,96,0),0)*(1-E$309)</f>
        <v>0</v>
      </c>
      <c r="F254" s="50">
        <f>+IFERROR(HLOOKUP(F21,'סקרי נכסים-יתרות פתיחה'!$2:$110,38,0),0)-IFERROR(HLOOKUP(F21,'סקרי נכסים-יתרות פתיחה'!$2:$110,96,0),0)*(1-F$309)</f>
        <v>0</v>
      </c>
      <c r="G254" s="50">
        <f>+IFERROR(HLOOKUP(G21,'סקרי נכסים-יתרות פתיחה'!$2:$110,38,0),0)-IFERROR(HLOOKUP(G21,'סקרי נכסים-יתרות פתיחה'!$2:$110,96,0),0)*(1-G$309)</f>
        <v>0</v>
      </c>
      <c r="H254" s="50">
        <f>+IFERROR(HLOOKUP(H21,'סקרי נכסים-יתרות פתיחה'!$2:$110,38,0),0)-IFERROR(HLOOKUP(H21,'סקרי נכסים-יתרות פתיחה'!$2:$110,96,0),0)*(1-H$309)</f>
        <v>0</v>
      </c>
      <c r="I254" s="50">
        <f>+IFERROR(HLOOKUP(I21,'סקרי נכסים-יתרות פתיחה'!$2:$110,38,0),0)-IFERROR(HLOOKUP(I21,'סקרי נכסים-יתרות פתיחה'!$2:$110,96,0),0)*(1-I$309)</f>
        <v>0</v>
      </c>
      <c r="J254" s="50">
        <f>+IFERROR(HLOOKUP(J21,'סקרי נכסים-יתרות פתיחה'!$2:$110,38,0),0)-IFERROR(HLOOKUP(J21,'סקרי נכסים-יתרות פתיחה'!$2:$110,96,0),0)*(1-J$309)</f>
        <v>0</v>
      </c>
      <c r="K254" s="50">
        <f>+IFERROR(HLOOKUP(K21,'סקרי נכסים-יתרות פתיחה'!$2:$110,38,0),0)-IFERROR(HLOOKUP(K21,'סקרי נכסים-יתרות פתיחה'!$2:$110,96,0),0)*(1-K$309)</f>
        <v>0</v>
      </c>
      <c r="L254" s="50">
        <f>+IFERROR(HLOOKUP(L21,'סקרי נכסים-יתרות פתיחה'!$2:$110,38,0),0)-IFERROR(HLOOKUP(L21,'סקרי נכסים-יתרות פתיחה'!$2:$110,96,0),0)*(1-L$309)</f>
        <v>0</v>
      </c>
      <c r="M254" s="50">
        <f>+IFERROR(HLOOKUP(M21,'סקרי נכסים-יתרות פתיחה'!$2:$110,38,0),0)-IFERROR(HLOOKUP(M21,'סקרי נכסים-יתרות פתיחה'!$2:$110,96,0),0)*(1-M$309)</f>
        <v>0</v>
      </c>
      <c r="N254" s="50">
        <f>+IFERROR(HLOOKUP(N21,'סקרי נכסים-יתרות פתיחה'!$2:$110,38,0),0)-IFERROR(HLOOKUP(N21,'סקרי נכסים-יתרות פתיחה'!$2:$110,96,0),0)*(1-N$309)</f>
        <v>0</v>
      </c>
      <c r="O254" s="50">
        <f>+IFERROR(HLOOKUP(O21,'סקרי נכסים-יתרות פתיחה'!$2:$110,38,0),0)-IFERROR(HLOOKUP(O21,'סקרי נכסים-יתרות פתיחה'!$2:$110,96,0),0)*(1-O$309)</f>
        <v>0</v>
      </c>
      <c r="P254" s="50">
        <f>+IFERROR(HLOOKUP(P21,'סקרי נכסים-יתרות פתיחה'!$2:$110,38,0),0)-IFERROR(HLOOKUP(P21,'סקרי נכסים-יתרות פתיחה'!$2:$110,96,0),0)*(1-P$309)</f>
        <v>0</v>
      </c>
      <c r="Q254" s="50">
        <f>+IFERROR(HLOOKUP(Q21,'סקרי נכסים-יתרות פתיחה'!$2:$110,38,0),0)-IFERROR(HLOOKUP(Q21,'סקרי נכסים-יתרות פתיחה'!$2:$110,96,0),0)*(1-Q$309)</f>
        <v>0</v>
      </c>
      <c r="R254" s="50">
        <f>+IFERROR(HLOOKUP(R21,'סקרי נכסים-יתרות פתיחה'!$2:$110,38,0),0)-IFERROR(HLOOKUP(R21,'סקרי נכסים-יתרות פתיחה'!$2:$110,96,0),0)*(1-R$309)</f>
        <v>0</v>
      </c>
      <c r="S254" s="50">
        <f>+IFERROR(HLOOKUP(S21,'סקרי נכסים-יתרות פתיחה'!$2:$110,38,0),0)-IFERROR(HLOOKUP(S21,'סקרי נכסים-יתרות פתיחה'!$2:$110,96,0),0)*(1-S$309)</f>
        <v>0</v>
      </c>
      <c r="T254" s="50">
        <f>+IFERROR(HLOOKUP(T21,'סקרי נכסים-יתרות פתיחה'!$2:$110,38,0),0)-IFERROR(HLOOKUP(T21,'סקרי נכסים-יתרות פתיחה'!$2:$110,96,0),0)*(1-T$309)</f>
        <v>0</v>
      </c>
      <c r="U254" s="50">
        <f>+IFERROR(HLOOKUP(U21,'סקרי נכסים-יתרות פתיחה'!$2:$110,38,0),0)-IFERROR(HLOOKUP(U21,'סקרי נכסים-יתרות פתיחה'!$2:$110,96,0),0)*(1-U$309)</f>
        <v>0</v>
      </c>
      <c r="V254" s="50">
        <f>+IFERROR(HLOOKUP(V21,'סקרי נכסים-יתרות פתיחה'!$2:$110,38,0),0)-IFERROR(HLOOKUP(V21,'סקרי נכסים-יתרות פתיחה'!$2:$110,96,0),0)*(1-V$309)</f>
        <v>0</v>
      </c>
      <c r="W254" s="50">
        <f>+IFERROR(HLOOKUP(W21,'סקרי נכסים-יתרות פתיחה'!$2:$110,38,0),0)-IFERROR(HLOOKUP(W21,'סקרי נכסים-יתרות פתיחה'!$2:$110,96,0),0)*(1-W$309)</f>
        <v>0</v>
      </c>
      <c r="X254" s="50">
        <f>+IFERROR(HLOOKUP(X21,'סקרי נכסים-יתרות פתיחה'!$2:$110,38,0),0)-IFERROR(HLOOKUP(X21,'סקרי נכסים-יתרות פתיחה'!$2:$110,96,0),0)*(1-X$309)</f>
        <v>0</v>
      </c>
      <c r="Y254" s="50">
        <f>+IFERROR(HLOOKUP(Y21,'סקרי נכסים-יתרות פתיחה'!$2:$110,38,0),0)-IFERROR(HLOOKUP(Y21,'סקרי נכסים-יתרות פתיחה'!$2:$110,96,0),0)*(1-Y$309)</f>
        <v>0</v>
      </c>
      <c r="Z254" s="50">
        <f>+IFERROR(HLOOKUP(Z21,'סקרי נכסים-יתרות פתיחה'!$2:$110,38,0),0)-IFERROR(HLOOKUP(Z21,'סקרי נכסים-יתרות פתיחה'!$2:$110,96,0),0)*(1-Z$309)</f>
        <v>0</v>
      </c>
      <c r="AA254" s="50">
        <f>+IFERROR(HLOOKUP(AA21,'סקרי נכסים-יתרות פתיחה'!$2:$110,38,0),0)-IFERROR(HLOOKUP(AA21,'סקרי נכסים-יתרות פתיחה'!$2:$110,96,0),0)*(1-AA$309)</f>
        <v>0</v>
      </c>
      <c r="AB254" s="50">
        <f>+IFERROR(HLOOKUP(AB21,'סקרי נכסים-יתרות פתיחה'!$2:$110,38,0),0)-IFERROR(HLOOKUP(AB21,'סקרי נכסים-יתרות פתיחה'!$2:$110,96,0),0)*(1-AB$309)</f>
        <v>0</v>
      </c>
      <c r="AC254" s="50">
        <f>+IFERROR(HLOOKUP(AC21,'סקרי נכסים-יתרות פתיחה'!$2:$110,38,0),0)-IFERROR(HLOOKUP(AC21,'סקרי נכסים-יתרות פתיחה'!$2:$110,96,0),0)*(1-AC$309)</f>
        <v>0</v>
      </c>
      <c r="AD254" s="50">
        <f>+IFERROR(HLOOKUP(AD21,'סקרי נכסים-יתרות פתיחה'!$2:$110,38,0),0)-IFERROR(HLOOKUP(AD21,'סקרי נכסים-יתרות פתיחה'!$2:$110,96,0),0)*(1-AD$309)</f>
        <v>0</v>
      </c>
      <c r="AE254" s="50">
        <f>+IFERROR(HLOOKUP(AE21,'סקרי נכסים-יתרות פתיחה'!$2:$110,38,0),0)-IFERROR(HLOOKUP(AE21,'סקרי נכסים-יתרות פתיחה'!$2:$110,96,0),0)*(1-AE$309)</f>
        <v>0</v>
      </c>
      <c r="AF254" s="50">
        <f>+IFERROR(HLOOKUP(AF21,'סקרי נכסים-יתרות פתיחה'!$2:$110,38,0),0)-IFERROR(HLOOKUP(AF21,'סקרי נכסים-יתרות פתיחה'!$2:$110,96,0),0)*(1-AF$309)</f>
        <v>0</v>
      </c>
      <c r="AG254" s="50">
        <f>+IFERROR(HLOOKUP(AG21,'סקרי נכסים-יתרות פתיחה'!$2:$110,38,0),0)-IFERROR(HLOOKUP(AG21,'סקרי נכסים-יתרות פתיחה'!$2:$110,96,0),0)*(1-AG$309)</f>
        <v>0</v>
      </c>
      <c r="AH254" s="50">
        <f>+IFERROR(HLOOKUP(AH21,'סקרי נכסים-יתרות פתיחה'!$2:$110,38,0),0)-IFERROR(HLOOKUP(AH21,'סקרי נכסים-יתרות פתיחה'!$2:$110,96,0),0)*(1-AH$309)</f>
        <v>0</v>
      </c>
      <c r="AI254" s="50">
        <f>+IFERROR(HLOOKUP(AI21,'סקרי נכסים-יתרות פתיחה'!$2:$110,38,0),0)-IFERROR(HLOOKUP(AI21,'סקרי נכסים-יתרות פתיחה'!$2:$110,96,0),0)*(1-AI$309)</f>
        <v>0</v>
      </c>
      <c r="AJ254" s="50">
        <f>+IFERROR(HLOOKUP(AJ21,'סקרי נכסים-יתרות פתיחה'!$2:$110,38,0),0)-IFERROR(HLOOKUP(AJ21,'סקרי נכסים-יתרות פתיחה'!$2:$110,96,0),0)*(1-AJ$309)</f>
        <v>0</v>
      </c>
      <c r="AK254" s="50">
        <f>+IFERROR(HLOOKUP(AK21,'סקרי נכסים-יתרות פתיחה'!$2:$110,38,0),0)-IFERROR(HLOOKUP(AK21,'סקרי נכסים-יתרות פתיחה'!$2:$110,96,0),0)*(1-AK$309)</f>
        <v>0</v>
      </c>
      <c r="AL254" s="50">
        <f>+IFERROR(HLOOKUP(AL21,'סקרי נכסים-יתרות פתיחה'!$2:$110,38,0),0)-IFERROR(HLOOKUP(AL21,'סקרי נכסים-יתרות פתיחה'!$2:$110,96,0),0)*(1-AL$309)</f>
        <v>0</v>
      </c>
      <c r="AM254" s="50">
        <f>+IFERROR(HLOOKUP(AM21,'סקרי נכסים-יתרות פתיחה'!$2:$110,38,0),0)-IFERROR(HLOOKUP(AM21,'סקרי נכסים-יתרות פתיחה'!$2:$110,96,0),0)*(1-AM$309)</f>
        <v>0</v>
      </c>
      <c r="AN254" s="50">
        <f>+IFERROR(HLOOKUP(AN21,'סקרי נכסים-יתרות פתיחה'!$2:$110,38,0),0)-IFERROR(HLOOKUP(AN21,'סקרי נכסים-יתרות פתיחה'!$2:$110,96,0),0)*(1-AN$309)</f>
        <v>0</v>
      </c>
      <c r="AO254" s="50">
        <f>+IFERROR(HLOOKUP(AO21,'סקרי נכסים-יתרות פתיחה'!$2:$110,38,0),0)-IFERROR(HLOOKUP(AO21,'סקרי נכסים-יתרות פתיחה'!$2:$110,96,0),0)*(1-AO$309)</f>
        <v>0</v>
      </c>
      <c r="AP254" s="50">
        <f>+IFERROR(HLOOKUP(AP21,'סקרי נכסים-יתרות פתיחה'!$2:$110,38,0),0)-IFERROR(HLOOKUP(AP21,'סקרי נכסים-יתרות פתיחה'!$2:$110,96,0),0)*(1-AP$309)</f>
        <v>0</v>
      </c>
      <c r="AQ254" s="50">
        <f>+IFERROR(HLOOKUP(AQ21,'סקרי נכסים-יתרות פתיחה'!$2:$110,38,0),0)-IFERROR(HLOOKUP(AQ21,'סקרי נכסים-יתרות פתיחה'!$2:$110,96,0),0)*(1-AQ$309)</f>
        <v>0</v>
      </c>
      <c r="AR254" s="50">
        <f>+IFERROR(HLOOKUP(AR21,'סקרי נכסים-יתרות פתיחה'!$2:$110,38,0),0)-IFERROR(HLOOKUP(AR21,'סקרי נכסים-יתרות פתיחה'!$2:$110,96,0),0)*(1-AR$309)</f>
        <v>0</v>
      </c>
      <c r="AS254" s="50">
        <f>+IFERROR(HLOOKUP(AS21,'סקרי נכסים-יתרות פתיחה'!$2:$110,38,0),0)-IFERROR(HLOOKUP(AS21,'סקרי נכסים-יתרות פתיחה'!$2:$110,96,0),0)*(1-AS$309)</f>
        <v>0</v>
      </c>
      <c r="AT254" s="50">
        <f>+IFERROR(HLOOKUP(AT21,'סקרי נכסים-יתרות פתיחה'!$2:$110,38,0),0)-IFERROR(HLOOKUP(AT21,'סקרי נכסים-יתרות פתיחה'!$2:$110,96,0),0)*(1-AT$309)</f>
        <v>0</v>
      </c>
      <c r="AU254" s="50">
        <f>+IFERROR(HLOOKUP(AU21,'סקרי נכסים-יתרות פתיחה'!$2:$110,38,0),0)-IFERROR(HLOOKUP(AU21,'סקרי נכסים-יתרות פתיחה'!$2:$110,96,0),0)*(1-AU$309)</f>
        <v>0</v>
      </c>
      <c r="AV254" s="50">
        <f>+IFERROR(HLOOKUP(AV21,'סקרי נכסים-יתרות פתיחה'!$2:$110,38,0),0)-IFERROR(HLOOKUP(AV21,'סקרי נכסים-יתרות פתיחה'!$2:$110,96,0),0)*(1-AV$309)</f>
        <v>0</v>
      </c>
      <c r="AW254" s="50">
        <f>+IFERROR(HLOOKUP(AW21,'סקרי נכסים-יתרות פתיחה'!$2:$110,38,0),0)-IFERROR(HLOOKUP(AW21,'סקרי נכסים-יתרות פתיחה'!$2:$110,96,0),0)*(1-AW$309)</f>
        <v>0</v>
      </c>
      <c r="AX254" s="50">
        <f>+IFERROR(HLOOKUP(AX21,'סקרי נכסים-יתרות פתיחה'!$2:$110,38,0),0)-IFERROR(HLOOKUP(AX21,'סקרי נכסים-יתרות פתיחה'!$2:$110,96,0),0)*(1-AX$309)</f>
        <v>0</v>
      </c>
      <c r="AY254" s="50">
        <f>+IFERROR(HLOOKUP(AY21,'סקרי נכסים-יתרות פתיחה'!$2:$110,38,0),0)-IFERROR(HLOOKUP(AY21,'סקרי נכסים-יתרות פתיחה'!$2:$110,96,0),0)*(1-AY$309)</f>
        <v>0</v>
      </c>
      <c r="AZ254" s="50">
        <f>+IFERROR(HLOOKUP(AZ21,'סקרי נכסים-יתרות פתיחה'!$2:$110,38,0),0)-IFERROR(HLOOKUP(AZ21,'סקרי נכסים-יתרות פתיחה'!$2:$110,96,0),0)*(1-AZ$309)</f>
        <v>0</v>
      </c>
      <c r="BA254" s="50">
        <f>+IFERROR(HLOOKUP(BA21,'סקרי נכסים-יתרות פתיחה'!$2:$110,38,0),0)-IFERROR(HLOOKUP(BA21,'סקרי נכסים-יתרות פתיחה'!$2:$110,96,0),0)*(1-BA$309)</f>
        <v>0</v>
      </c>
      <c r="BB254" s="50">
        <f>+IFERROR(HLOOKUP(BB21,'סקרי נכסים-יתרות פתיחה'!$2:$110,38,0),0)-IFERROR(HLOOKUP(BB21,'סקרי נכסים-יתרות פתיחה'!$2:$110,96,0),0)*(1-BB$309)</f>
        <v>0</v>
      </c>
      <c r="BC254" s="50">
        <f>+IFERROR(HLOOKUP(BC21,'סקרי נכסים-יתרות פתיחה'!$2:$110,38,0),0)-IFERROR(HLOOKUP(BC21,'סקרי נכסים-יתרות פתיחה'!$2:$110,96,0),0)*(1-BC$309)</f>
        <v>0</v>
      </c>
      <c r="BD254" s="50">
        <f>+IFERROR(HLOOKUP(BD21,'סקרי נכסים-יתרות פתיחה'!$2:$110,38,0),0)-IFERROR(HLOOKUP(BD21,'סקרי נכסים-יתרות פתיחה'!$2:$110,96,0),0)*(1-BD$309)</f>
        <v>0</v>
      </c>
      <c r="BE254" s="50">
        <f>+IFERROR(HLOOKUP(BE21,'סקרי נכסים-יתרות פתיחה'!$2:$110,38,0),0)-IFERROR(HLOOKUP(BE21,'סקרי נכסים-יתרות פתיחה'!$2:$110,96,0),0)*(1-BE$309)</f>
        <v>0</v>
      </c>
      <c r="BF254" s="50">
        <f>+IFERROR(HLOOKUP(BF21,'סקרי נכסים-יתרות פתיחה'!$2:$110,38,0),0)-IFERROR(HLOOKUP(BF21,'סקרי נכסים-יתרות פתיחה'!$2:$110,96,0),0)*(1-BF$309)</f>
        <v>0</v>
      </c>
    </row>
    <row r="255" spans="2:58" x14ac:dyDescent="0.2">
      <c r="B255" s="1">
        <v>19</v>
      </c>
      <c r="C255" s="50">
        <f>+IFERROR(HLOOKUP(C22,'סקרי נכסים-יתרות פתיחה'!$2:$110,38,0),0)-IFERROR(HLOOKUP(C22,'סקרי נכסים-יתרות פתיחה'!$2:$110,96,0),0)*(1-C$309)</f>
        <v>0</v>
      </c>
      <c r="D255" s="50">
        <f>+IFERROR(HLOOKUP(D22,'סקרי נכסים-יתרות פתיחה'!$2:$110,38,0),0)-IFERROR(HLOOKUP(D22,'סקרי נכסים-יתרות פתיחה'!$2:$110,96,0),0)*(1-D$309)</f>
        <v>0</v>
      </c>
      <c r="E255" s="50">
        <f>+IFERROR(HLOOKUP(E22,'סקרי נכסים-יתרות פתיחה'!$2:$110,38,0),0)-IFERROR(HLOOKUP(E22,'סקרי נכסים-יתרות פתיחה'!$2:$110,96,0),0)*(1-E$309)</f>
        <v>0</v>
      </c>
      <c r="F255" s="50">
        <f>+IFERROR(HLOOKUP(F22,'סקרי נכסים-יתרות פתיחה'!$2:$110,38,0),0)-IFERROR(HLOOKUP(F22,'סקרי נכסים-יתרות פתיחה'!$2:$110,96,0),0)*(1-F$309)</f>
        <v>0</v>
      </c>
      <c r="G255" s="50">
        <f>+IFERROR(HLOOKUP(G22,'סקרי נכסים-יתרות פתיחה'!$2:$110,38,0),0)-IFERROR(HLOOKUP(G22,'סקרי נכסים-יתרות פתיחה'!$2:$110,96,0),0)*(1-G$309)</f>
        <v>0</v>
      </c>
      <c r="H255" s="50">
        <f>+IFERROR(HLOOKUP(H22,'סקרי נכסים-יתרות פתיחה'!$2:$110,38,0),0)-IFERROR(HLOOKUP(H22,'סקרי נכסים-יתרות פתיחה'!$2:$110,96,0),0)*(1-H$309)</f>
        <v>0</v>
      </c>
      <c r="I255" s="50">
        <f>+IFERROR(HLOOKUP(I22,'סקרי נכסים-יתרות פתיחה'!$2:$110,38,0),0)-IFERROR(HLOOKUP(I22,'סקרי נכסים-יתרות פתיחה'!$2:$110,96,0),0)*(1-I$309)</f>
        <v>0</v>
      </c>
      <c r="J255" s="50">
        <f>+IFERROR(HLOOKUP(J22,'סקרי נכסים-יתרות פתיחה'!$2:$110,38,0),0)-IFERROR(HLOOKUP(J22,'סקרי נכסים-יתרות פתיחה'!$2:$110,96,0),0)*(1-J$309)</f>
        <v>0</v>
      </c>
      <c r="K255" s="50">
        <f>+IFERROR(HLOOKUP(K22,'סקרי נכסים-יתרות פתיחה'!$2:$110,38,0),0)-IFERROR(HLOOKUP(K22,'סקרי נכסים-יתרות פתיחה'!$2:$110,96,0),0)*(1-K$309)</f>
        <v>0</v>
      </c>
      <c r="L255" s="50">
        <f>+IFERROR(HLOOKUP(L22,'סקרי נכסים-יתרות פתיחה'!$2:$110,38,0),0)-IFERROR(HLOOKUP(L22,'סקרי נכסים-יתרות פתיחה'!$2:$110,96,0),0)*(1-L$309)</f>
        <v>0</v>
      </c>
      <c r="M255" s="50">
        <f>+IFERROR(HLOOKUP(M22,'סקרי נכסים-יתרות פתיחה'!$2:$110,38,0),0)-IFERROR(HLOOKUP(M22,'סקרי נכסים-יתרות פתיחה'!$2:$110,96,0),0)*(1-M$309)</f>
        <v>0</v>
      </c>
      <c r="N255" s="50">
        <f>+IFERROR(HLOOKUP(N22,'סקרי נכסים-יתרות פתיחה'!$2:$110,38,0),0)-IFERROR(HLOOKUP(N22,'סקרי נכסים-יתרות פתיחה'!$2:$110,96,0),0)*(1-N$309)</f>
        <v>0</v>
      </c>
      <c r="O255" s="50">
        <f>+IFERROR(HLOOKUP(O22,'סקרי נכסים-יתרות פתיחה'!$2:$110,38,0),0)-IFERROR(HLOOKUP(O22,'סקרי נכסים-יתרות פתיחה'!$2:$110,96,0),0)*(1-O$309)</f>
        <v>0</v>
      </c>
      <c r="P255" s="50">
        <f>+IFERROR(HLOOKUP(P22,'סקרי נכסים-יתרות פתיחה'!$2:$110,38,0),0)-IFERROR(HLOOKUP(P22,'סקרי נכסים-יתרות פתיחה'!$2:$110,96,0),0)*(1-P$309)</f>
        <v>0</v>
      </c>
      <c r="Q255" s="50">
        <f>+IFERROR(HLOOKUP(Q22,'סקרי נכסים-יתרות פתיחה'!$2:$110,38,0),0)-IFERROR(HLOOKUP(Q22,'סקרי נכסים-יתרות פתיחה'!$2:$110,96,0),0)*(1-Q$309)</f>
        <v>0</v>
      </c>
      <c r="R255" s="50">
        <f>+IFERROR(HLOOKUP(R22,'סקרי נכסים-יתרות פתיחה'!$2:$110,38,0),0)-IFERROR(HLOOKUP(R22,'סקרי נכסים-יתרות פתיחה'!$2:$110,96,0),0)*(1-R$309)</f>
        <v>0</v>
      </c>
      <c r="S255" s="50">
        <f>+IFERROR(HLOOKUP(S22,'סקרי נכסים-יתרות פתיחה'!$2:$110,38,0),0)-IFERROR(HLOOKUP(S22,'סקרי נכסים-יתרות פתיחה'!$2:$110,96,0),0)*(1-S$309)</f>
        <v>0</v>
      </c>
      <c r="T255" s="50">
        <f>+IFERROR(HLOOKUP(T22,'סקרי נכסים-יתרות פתיחה'!$2:$110,38,0),0)-IFERROR(HLOOKUP(T22,'סקרי נכסים-יתרות פתיחה'!$2:$110,96,0),0)*(1-T$309)</f>
        <v>0</v>
      </c>
      <c r="U255" s="50">
        <f>+IFERROR(HLOOKUP(U22,'סקרי נכסים-יתרות פתיחה'!$2:$110,38,0),0)-IFERROR(HLOOKUP(U22,'סקרי נכסים-יתרות פתיחה'!$2:$110,96,0),0)*(1-U$309)</f>
        <v>0</v>
      </c>
      <c r="V255" s="50">
        <f>+IFERROR(HLOOKUP(V22,'סקרי נכסים-יתרות פתיחה'!$2:$110,38,0),0)-IFERROR(HLOOKUP(V22,'סקרי נכסים-יתרות פתיחה'!$2:$110,96,0),0)*(1-V$309)</f>
        <v>0</v>
      </c>
      <c r="W255" s="50">
        <f>+IFERROR(HLOOKUP(W22,'סקרי נכסים-יתרות פתיחה'!$2:$110,38,0),0)-IFERROR(HLOOKUP(W22,'סקרי נכסים-יתרות פתיחה'!$2:$110,96,0),0)*(1-W$309)</f>
        <v>0</v>
      </c>
      <c r="X255" s="50">
        <f>+IFERROR(HLOOKUP(X22,'סקרי נכסים-יתרות פתיחה'!$2:$110,38,0),0)-IFERROR(HLOOKUP(X22,'סקרי נכסים-יתרות פתיחה'!$2:$110,96,0),0)*(1-X$309)</f>
        <v>0</v>
      </c>
      <c r="Y255" s="50">
        <f>+IFERROR(HLOOKUP(Y22,'סקרי נכסים-יתרות פתיחה'!$2:$110,38,0),0)-IFERROR(HLOOKUP(Y22,'סקרי נכסים-יתרות פתיחה'!$2:$110,96,0),0)*(1-Y$309)</f>
        <v>0</v>
      </c>
      <c r="Z255" s="50">
        <f>+IFERROR(HLOOKUP(Z22,'סקרי נכסים-יתרות פתיחה'!$2:$110,38,0),0)-IFERROR(HLOOKUP(Z22,'סקרי נכסים-יתרות פתיחה'!$2:$110,96,0),0)*(1-Z$309)</f>
        <v>0</v>
      </c>
      <c r="AA255" s="50">
        <f>+IFERROR(HLOOKUP(AA22,'סקרי נכסים-יתרות פתיחה'!$2:$110,38,0),0)-IFERROR(HLOOKUP(AA22,'סקרי נכסים-יתרות פתיחה'!$2:$110,96,0),0)*(1-AA$309)</f>
        <v>0</v>
      </c>
      <c r="AB255" s="50">
        <f>+IFERROR(HLOOKUP(AB22,'סקרי נכסים-יתרות פתיחה'!$2:$110,38,0),0)-IFERROR(HLOOKUP(AB22,'סקרי נכסים-יתרות פתיחה'!$2:$110,96,0),0)*(1-AB$309)</f>
        <v>0</v>
      </c>
      <c r="AC255" s="50">
        <f>+IFERROR(HLOOKUP(AC22,'סקרי נכסים-יתרות פתיחה'!$2:$110,38,0),0)-IFERROR(HLOOKUP(AC22,'סקרי נכסים-יתרות פתיחה'!$2:$110,96,0),0)*(1-AC$309)</f>
        <v>0</v>
      </c>
      <c r="AD255" s="50">
        <f>+IFERROR(HLOOKUP(AD22,'סקרי נכסים-יתרות פתיחה'!$2:$110,38,0),0)-IFERROR(HLOOKUP(AD22,'סקרי נכסים-יתרות פתיחה'!$2:$110,96,0),0)*(1-AD$309)</f>
        <v>0</v>
      </c>
      <c r="AE255" s="50">
        <f>+IFERROR(HLOOKUP(AE22,'סקרי נכסים-יתרות פתיחה'!$2:$110,38,0),0)-IFERROR(HLOOKUP(AE22,'סקרי נכסים-יתרות פתיחה'!$2:$110,96,0),0)*(1-AE$309)</f>
        <v>0</v>
      </c>
      <c r="AF255" s="50">
        <f>+IFERROR(HLOOKUP(AF22,'סקרי נכסים-יתרות פתיחה'!$2:$110,38,0),0)-IFERROR(HLOOKUP(AF22,'סקרי נכסים-יתרות פתיחה'!$2:$110,96,0),0)*(1-AF$309)</f>
        <v>0</v>
      </c>
      <c r="AG255" s="50">
        <f>+IFERROR(HLOOKUP(AG22,'סקרי נכסים-יתרות פתיחה'!$2:$110,38,0),0)-IFERROR(HLOOKUP(AG22,'סקרי נכסים-יתרות פתיחה'!$2:$110,96,0),0)*(1-AG$309)</f>
        <v>0</v>
      </c>
      <c r="AH255" s="50">
        <f>+IFERROR(HLOOKUP(AH22,'סקרי נכסים-יתרות פתיחה'!$2:$110,38,0),0)-IFERROR(HLOOKUP(AH22,'סקרי נכסים-יתרות פתיחה'!$2:$110,96,0),0)*(1-AH$309)</f>
        <v>0</v>
      </c>
      <c r="AI255" s="50">
        <f>+IFERROR(HLOOKUP(AI22,'סקרי נכסים-יתרות פתיחה'!$2:$110,38,0),0)-IFERROR(HLOOKUP(AI22,'סקרי נכסים-יתרות פתיחה'!$2:$110,96,0),0)*(1-AI$309)</f>
        <v>0</v>
      </c>
      <c r="AJ255" s="50">
        <f>+IFERROR(HLOOKUP(AJ22,'סקרי נכסים-יתרות פתיחה'!$2:$110,38,0),0)-IFERROR(HLOOKUP(AJ22,'סקרי נכסים-יתרות פתיחה'!$2:$110,96,0),0)*(1-AJ$309)</f>
        <v>0</v>
      </c>
      <c r="AK255" s="50">
        <f>+IFERROR(HLOOKUP(AK22,'סקרי נכסים-יתרות פתיחה'!$2:$110,38,0),0)-IFERROR(HLOOKUP(AK22,'סקרי נכסים-יתרות פתיחה'!$2:$110,96,0),0)*(1-AK$309)</f>
        <v>0</v>
      </c>
      <c r="AL255" s="50">
        <f>+IFERROR(HLOOKUP(AL22,'סקרי נכסים-יתרות פתיחה'!$2:$110,38,0),0)-IFERROR(HLOOKUP(AL22,'סקרי נכסים-יתרות פתיחה'!$2:$110,96,0),0)*(1-AL$309)</f>
        <v>0</v>
      </c>
      <c r="AM255" s="50">
        <f>+IFERROR(HLOOKUP(AM22,'סקרי נכסים-יתרות פתיחה'!$2:$110,38,0),0)-IFERROR(HLOOKUP(AM22,'סקרי נכסים-יתרות פתיחה'!$2:$110,96,0),0)*(1-AM$309)</f>
        <v>0</v>
      </c>
      <c r="AN255" s="50">
        <f>+IFERROR(HLOOKUP(AN22,'סקרי נכסים-יתרות פתיחה'!$2:$110,38,0),0)-IFERROR(HLOOKUP(AN22,'סקרי נכסים-יתרות פתיחה'!$2:$110,96,0),0)*(1-AN$309)</f>
        <v>0</v>
      </c>
      <c r="AO255" s="50">
        <f>+IFERROR(HLOOKUP(AO22,'סקרי נכסים-יתרות פתיחה'!$2:$110,38,0),0)-IFERROR(HLOOKUP(AO22,'סקרי נכסים-יתרות פתיחה'!$2:$110,96,0),0)*(1-AO$309)</f>
        <v>0</v>
      </c>
      <c r="AP255" s="50">
        <f>+IFERROR(HLOOKUP(AP22,'סקרי נכסים-יתרות פתיחה'!$2:$110,38,0),0)-IFERROR(HLOOKUP(AP22,'סקרי נכסים-יתרות פתיחה'!$2:$110,96,0),0)*(1-AP$309)</f>
        <v>0</v>
      </c>
      <c r="AQ255" s="50">
        <f>+IFERROR(HLOOKUP(AQ22,'סקרי נכסים-יתרות פתיחה'!$2:$110,38,0),0)-IFERROR(HLOOKUP(AQ22,'סקרי נכסים-יתרות פתיחה'!$2:$110,96,0),0)*(1-AQ$309)</f>
        <v>0</v>
      </c>
      <c r="AR255" s="50">
        <f>+IFERROR(HLOOKUP(AR22,'סקרי נכסים-יתרות פתיחה'!$2:$110,38,0),0)-IFERROR(HLOOKUP(AR22,'סקרי נכסים-יתרות פתיחה'!$2:$110,96,0),0)*(1-AR$309)</f>
        <v>0</v>
      </c>
      <c r="AS255" s="50">
        <f>+IFERROR(HLOOKUP(AS22,'סקרי נכסים-יתרות פתיחה'!$2:$110,38,0),0)-IFERROR(HLOOKUP(AS22,'סקרי נכסים-יתרות פתיחה'!$2:$110,96,0),0)*(1-AS$309)</f>
        <v>0</v>
      </c>
      <c r="AT255" s="50">
        <f>+IFERROR(HLOOKUP(AT22,'סקרי נכסים-יתרות פתיחה'!$2:$110,38,0),0)-IFERROR(HLOOKUP(AT22,'סקרי נכסים-יתרות פתיחה'!$2:$110,96,0),0)*(1-AT$309)</f>
        <v>0</v>
      </c>
      <c r="AU255" s="50">
        <f>+IFERROR(HLOOKUP(AU22,'סקרי נכסים-יתרות פתיחה'!$2:$110,38,0),0)-IFERROR(HLOOKUP(AU22,'סקרי נכסים-יתרות פתיחה'!$2:$110,96,0),0)*(1-AU$309)</f>
        <v>0</v>
      </c>
      <c r="AV255" s="50">
        <f>+IFERROR(HLOOKUP(AV22,'סקרי נכסים-יתרות פתיחה'!$2:$110,38,0),0)-IFERROR(HLOOKUP(AV22,'סקרי נכסים-יתרות פתיחה'!$2:$110,96,0),0)*(1-AV$309)</f>
        <v>0</v>
      </c>
      <c r="AW255" s="50">
        <f>+IFERROR(HLOOKUP(AW22,'סקרי נכסים-יתרות פתיחה'!$2:$110,38,0),0)-IFERROR(HLOOKUP(AW22,'סקרי נכסים-יתרות פתיחה'!$2:$110,96,0),0)*(1-AW$309)</f>
        <v>0</v>
      </c>
      <c r="AX255" s="50">
        <f>+IFERROR(HLOOKUP(AX22,'סקרי נכסים-יתרות פתיחה'!$2:$110,38,0),0)-IFERROR(HLOOKUP(AX22,'סקרי נכסים-יתרות פתיחה'!$2:$110,96,0),0)*(1-AX$309)</f>
        <v>0</v>
      </c>
      <c r="AY255" s="50">
        <f>+IFERROR(HLOOKUP(AY22,'סקרי נכסים-יתרות פתיחה'!$2:$110,38,0),0)-IFERROR(HLOOKUP(AY22,'סקרי נכסים-יתרות פתיחה'!$2:$110,96,0),0)*(1-AY$309)</f>
        <v>0</v>
      </c>
      <c r="AZ255" s="50">
        <f>+IFERROR(HLOOKUP(AZ22,'סקרי נכסים-יתרות פתיחה'!$2:$110,38,0),0)-IFERROR(HLOOKUP(AZ22,'סקרי נכסים-יתרות פתיחה'!$2:$110,96,0),0)*(1-AZ$309)</f>
        <v>0</v>
      </c>
      <c r="BA255" s="50">
        <f>+IFERROR(HLOOKUP(BA22,'סקרי נכסים-יתרות פתיחה'!$2:$110,38,0),0)-IFERROR(HLOOKUP(BA22,'סקרי נכסים-יתרות פתיחה'!$2:$110,96,0),0)*(1-BA$309)</f>
        <v>0</v>
      </c>
      <c r="BB255" s="50">
        <f>+IFERROR(HLOOKUP(BB22,'סקרי נכסים-יתרות פתיחה'!$2:$110,38,0),0)-IFERROR(HLOOKUP(BB22,'סקרי נכסים-יתרות פתיחה'!$2:$110,96,0),0)*(1-BB$309)</f>
        <v>0</v>
      </c>
      <c r="BC255" s="50">
        <f>+IFERROR(HLOOKUP(BC22,'סקרי נכסים-יתרות פתיחה'!$2:$110,38,0),0)-IFERROR(HLOOKUP(BC22,'סקרי נכסים-יתרות פתיחה'!$2:$110,96,0),0)*(1-BC$309)</f>
        <v>0</v>
      </c>
      <c r="BD255" s="50">
        <f>+IFERROR(HLOOKUP(BD22,'סקרי נכסים-יתרות פתיחה'!$2:$110,38,0),0)-IFERROR(HLOOKUP(BD22,'סקרי נכסים-יתרות פתיחה'!$2:$110,96,0),0)*(1-BD$309)</f>
        <v>0</v>
      </c>
      <c r="BE255" s="50">
        <f>+IFERROR(HLOOKUP(BE22,'סקרי נכסים-יתרות פתיחה'!$2:$110,38,0),0)-IFERROR(HLOOKUP(BE22,'סקרי נכסים-יתרות פתיחה'!$2:$110,96,0),0)*(1-BE$309)</f>
        <v>0</v>
      </c>
      <c r="BF255" s="50">
        <f>+IFERROR(HLOOKUP(BF22,'סקרי נכסים-יתרות פתיחה'!$2:$110,38,0),0)-IFERROR(HLOOKUP(BF22,'סקרי נכסים-יתרות פתיחה'!$2:$110,96,0),0)*(1-BF$309)</f>
        <v>0</v>
      </c>
    </row>
    <row r="256" spans="2:58" x14ac:dyDescent="0.2">
      <c r="B256" s="1">
        <v>20</v>
      </c>
      <c r="C256" s="50">
        <f>+IFERROR(HLOOKUP(C23,'סקרי נכסים-יתרות פתיחה'!$2:$110,38,0),0)-IFERROR(HLOOKUP(C23,'סקרי נכסים-יתרות פתיחה'!$2:$110,96,0),0)*(1-C$309)</f>
        <v>0</v>
      </c>
      <c r="D256" s="50">
        <f>+IFERROR(HLOOKUP(D23,'סקרי נכסים-יתרות פתיחה'!$2:$110,38,0),0)-IFERROR(HLOOKUP(D23,'סקרי נכסים-יתרות פתיחה'!$2:$110,96,0),0)*(1-D$309)</f>
        <v>0</v>
      </c>
      <c r="E256" s="50">
        <f>+IFERROR(HLOOKUP(E23,'סקרי נכסים-יתרות פתיחה'!$2:$110,38,0),0)-IFERROR(HLOOKUP(E23,'סקרי נכסים-יתרות פתיחה'!$2:$110,96,0),0)*(1-E$309)</f>
        <v>0</v>
      </c>
      <c r="F256" s="50">
        <f>+IFERROR(HLOOKUP(F23,'סקרי נכסים-יתרות פתיחה'!$2:$110,38,0),0)-IFERROR(HLOOKUP(F23,'סקרי נכסים-יתרות פתיחה'!$2:$110,96,0),0)*(1-F$309)</f>
        <v>0</v>
      </c>
      <c r="G256" s="50">
        <f>+IFERROR(HLOOKUP(G23,'סקרי נכסים-יתרות פתיחה'!$2:$110,38,0),0)-IFERROR(HLOOKUP(G23,'סקרי נכסים-יתרות פתיחה'!$2:$110,96,0),0)*(1-G$309)</f>
        <v>0</v>
      </c>
      <c r="H256" s="50">
        <f>+IFERROR(HLOOKUP(H23,'סקרי נכסים-יתרות פתיחה'!$2:$110,38,0),0)-IFERROR(HLOOKUP(H23,'סקרי נכסים-יתרות פתיחה'!$2:$110,96,0),0)*(1-H$309)</f>
        <v>0</v>
      </c>
      <c r="I256" s="50">
        <f>+IFERROR(HLOOKUP(I23,'סקרי נכסים-יתרות פתיחה'!$2:$110,38,0),0)-IFERROR(HLOOKUP(I23,'סקרי נכסים-יתרות פתיחה'!$2:$110,96,0),0)*(1-I$309)</f>
        <v>0</v>
      </c>
      <c r="J256" s="50">
        <f>+IFERROR(HLOOKUP(J23,'סקרי נכסים-יתרות פתיחה'!$2:$110,38,0),0)-IFERROR(HLOOKUP(J23,'סקרי נכסים-יתרות פתיחה'!$2:$110,96,0),0)*(1-J$309)</f>
        <v>0</v>
      </c>
      <c r="K256" s="50">
        <f>+IFERROR(HLOOKUP(K23,'סקרי נכסים-יתרות פתיחה'!$2:$110,38,0),0)-IFERROR(HLOOKUP(K23,'סקרי נכסים-יתרות פתיחה'!$2:$110,96,0),0)*(1-K$309)</f>
        <v>0</v>
      </c>
      <c r="L256" s="50">
        <f>+IFERROR(HLOOKUP(L23,'סקרי נכסים-יתרות פתיחה'!$2:$110,38,0),0)-IFERROR(HLOOKUP(L23,'סקרי נכסים-יתרות פתיחה'!$2:$110,96,0),0)*(1-L$309)</f>
        <v>0</v>
      </c>
      <c r="M256" s="50">
        <f>+IFERROR(HLOOKUP(M23,'סקרי נכסים-יתרות פתיחה'!$2:$110,38,0),0)-IFERROR(HLOOKUP(M23,'סקרי נכסים-יתרות פתיחה'!$2:$110,96,0),0)*(1-M$309)</f>
        <v>0</v>
      </c>
      <c r="N256" s="50">
        <f>+IFERROR(HLOOKUP(N23,'סקרי נכסים-יתרות פתיחה'!$2:$110,38,0),0)-IFERROR(HLOOKUP(N23,'סקרי נכסים-יתרות פתיחה'!$2:$110,96,0),0)*(1-N$309)</f>
        <v>0</v>
      </c>
      <c r="O256" s="50">
        <f>+IFERROR(HLOOKUP(O23,'סקרי נכסים-יתרות פתיחה'!$2:$110,38,0),0)-IFERROR(HLOOKUP(O23,'סקרי נכסים-יתרות פתיחה'!$2:$110,96,0),0)*(1-O$309)</f>
        <v>0</v>
      </c>
      <c r="P256" s="50">
        <f>+IFERROR(HLOOKUP(P23,'סקרי נכסים-יתרות פתיחה'!$2:$110,38,0),0)-IFERROR(HLOOKUP(P23,'סקרי נכסים-יתרות פתיחה'!$2:$110,96,0),0)*(1-P$309)</f>
        <v>0</v>
      </c>
      <c r="Q256" s="50">
        <f>+IFERROR(HLOOKUP(Q23,'סקרי נכסים-יתרות פתיחה'!$2:$110,38,0),0)-IFERROR(HLOOKUP(Q23,'סקרי נכסים-יתרות פתיחה'!$2:$110,96,0),0)*(1-Q$309)</f>
        <v>0</v>
      </c>
      <c r="R256" s="50">
        <f>+IFERROR(HLOOKUP(R23,'סקרי נכסים-יתרות פתיחה'!$2:$110,38,0),0)-IFERROR(HLOOKUP(R23,'סקרי נכסים-יתרות פתיחה'!$2:$110,96,0),0)*(1-R$309)</f>
        <v>0</v>
      </c>
      <c r="S256" s="50">
        <f>+IFERROR(HLOOKUP(S23,'סקרי נכסים-יתרות פתיחה'!$2:$110,38,0),0)-IFERROR(HLOOKUP(S23,'סקרי נכסים-יתרות פתיחה'!$2:$110,96,0),0)*(1-S$309)</f>
        <v>0</v>
      </c>
      <c r="T256" s="50">
        <f>+IFERROR(HLOOKUP(T23,'סקרי נכסים-יתרות פתיחה'!$2:$110,38,0),0)-IFERROR(HLOOKUP(T23,'סקרי נכסים-יתרות פתיחה'!$2:$110,96,0),0)*(1-T$309)</f>
        <v>0</v>
      </c>
      <c r="U256" s="50">
        <f>+IFERROR(HLOOKUP(U23,'סקרי נכסים-יתרות פתיחה'!$2:$110,38,0),0)-IFERROR(HLOOKUP(U23,'סקרי נכסים-יתרות פתיחה'!$2:$110,96,0),0)*(1-U$309)</f>
        <v>0</v>
      </c>
      <c r="V256" s="50">
        <f>+IFERROR(HLOOKUP(V23,'סקרי נכסים-יתרות פתיחה'!$2:$110,38,0),0)-IFERROR(HLOOKUP(V23,'סקרי נכסים-יתרות פתיחה'!$2:$110,96,0),0)*(1-V$309)</f>
        <v>0</v>
      </c>
      <c r="W256" s="50">
        <f>+IFERROR(HLOOKUP(W23,'סקרי נכסים-יתרות פתיחה'!$2:$110,38,0),0)-IFERROR(HLOOKUP(W23,'סקרי נכסים-יתרות פתיחה'!$2:$110,96,0),0)*(1-W$309)</f>
        <v>0</v>
      </c>
      <c r="X256" s="50">
        <f>+IFERROR(HLOOKUP(X23,'סקרי נכסים-יתרות פתיחה'!$2:$110,38,0),0)-IFERROR(HLOOKUP(X23,'סקרי נכסים-יתרות פתיחה'!$2:$110,96,0),0)*(1-X$309)</f>
        <v>0</v>
      </c>
      <c r="Y256" s="50">
        <f>+IFERROR(HLOOKUP(Y23,'סקרי נכסים-יתרות פתיחה'!$2:$110,38,0),0)-IFERROR(HLOOKUP(Y23,'סקרי נכסים-יתרות פתיחה'!$2:$110,96,0),0)*(1-Y$309)</f>
        <v>0</v>
      </c>
      <c r="Z256" s="50">
        <f>+IFERROR(HLOOKUP(Z23,'סקרי נכסים-יתרות פתיחה'!$2:$110,38,0),0)-IFERROR(HLOOKUP(Z23,'סקרי נכסים-יתרות פתיחה'!$2:$110,96,0),0)*(1-Z$309)</f>
        <v>0</v>
      </c>
      <c r="AA256" s="50">
        <f>+IFERROR(HLOOKUP(AA23,'סקרי נכסים-יתרות פתיחה'!$2:$110,38,0),0)-IFERROR(HLOOKUP(AA23,'סקרי נכסים-יתרות פתיחה'!$2:$110,96,0),0)*(1-AA$309)</f>
        <v>0</v>
      </c>
      <c r="AB256" s="50">
        <f>+IFERROR(HLOOKUP(AB23,'סקרי נכסים-יתרות פתיחה'!$2:$110,38,0),0)-IFERROR(HLOOKUP(AB23,'סקרי נכסים-יתרות פתיחה'!$2:$110,96,0),0)*(1-AB$309)</f>
        <v>0</v>
      </c>
      <c r="AC256" s="50">
        <f>+IFERROR(HLOOKUP(AC23,'סקרי נכסים-יתרות פתיחה'!$2:$110,38,0),0)-IFERROR(HLOOKUP(AC23,'סקרי נכסים-יתרות פתיחה'!$2:$110,96,0),0)*(1-AC$309)</f>
        <v>0</v>
      </c>
      <c r="AD256" s="50">
        <f>+IFERROR(HLOOKUP(AD23,'סקרי נכסים-יתרות פתיחה'!$2:$110,38,0),0)-IFERROR(HLOOKUP(AD23,'סקרי נכסים-יתרות פתיחה'!$2:$110,96,0),0)*(1-AD$309)</f>
        <v>0</v>
      </c>
      <c r="AE256" s="50">
        <f>+IFERROR(HLOOKUP(AE23,'סקרי נכסים-יתרות פתיחה'!$2:$110,38,0),0)-IFERROR(HLOOKUP(AE23,'סקרי נכסים-יתרות פתיחה'!$2:$110,96,0),0)*(1-AE$309)</f>
        <v>0</v>
      </c>
      <c r="AF256" s="50">
        <f>+IFERROR(HLOOKUP(AF23,'סקרי נכסים-יתרות פתיחה'!$2:$110,38,0),0)-IFERROR(HLOOKUP(AF23,'סקרי נכסים-יתרות פתיחה'!$2:$110,96,0),0)*(1-AF$309)</f>
        <v>0</v>
      </c>
      <c r="AG256" s="50">
        <f>+IFERROR(HLOOKUP(AG23,'סקרי נכסים-יתרות פתיחה'!$2:$110,38,0),0)-IFERROR(HLOOKUP(AG23,'סקרי נכסים-יתרות פתיחה'!$2:$110,96,0),0)*(1-AG$309)</f>
        <v>0</v>
      </c>
      <c r="AH256" s="50">
        <f>+IFERROR(HLOOKUP(AH23,'סקרי נכסים-יתרות פתיחה'!$2:$110,38,0),0)-IFERROR(HLOOKUP(AH23,'סקרי נכסים-יתרות פתיחה'!$2:$110,96,0),0)*(1-AH$309)</f>
        <v>0</v>
      </c>
      <c r="AI256" s="50">
        <f>+IFERROR(HLOOKUP(AI23,'סקרי נכסים-יתרות פתיחה'!$2:$110,38,0),0)-IFERROR(HLOOKUP(AI23,'סקרי נכסים-יתרות פתיחה'!$2:$110,96,0),0)*(1-AI$309)</f>
        <v>0</v>
      </c>
      <c r="AJ256" s="50">
        <f>+IFERROR(HLOOKUP(AJ23,'סקרי נכסים-יתרות פתיחה'!$2:$110,38,0),0)-IFERROR(HLOOKUP(AJ23,'סקרי נכסים-יתרות פתיחה'!$2:$110,96,0),0)*(1-AJ$309)</f>
        <v>0</v>
      </c>
      <c r="AK256" s="50">
        <f>+IFERROR(HLOOKUP(AK23,'סקרי נכסים-יתרות פתיחה'!$2:$110,38,0),0)-IFERROR(HLOOKUP(AK23,'סקרי נכסים-יתרות פתיחה'!$2:$110,96,0),0)*(1-AK$309)</f>
        <v>0</v>
      </c>
      <c r="AL256" s="50">
        <f>+IFERROR(HLOOKUP(AL23,'סקרי נכסים-יתרות פתיחה'!$2:$110,38,0),0)-IFERROR(HLOOKUP(AL23,'סקרי נכסים-יתרות פתיחה'!$2:$110,96,0),0)*(1-AL$309)</f>
        <v>0</v>
      </c>
      <c r="AM256" s="50">
        <f>+IFERROR(HLOOKUP(AM23,'סקרי נכסים-יתרות פתיחה'!$2:$110,38,0),0)-IFERROR(HLOOKUP(AM23,'סקרי נכסים-יתרות פתיחה'!$2:$110,96,0),0)*(1-AM$309)</f>
        <v>0</v>
      </c>
      <c r="AN256" s="50">
        <f>+IFERROR(HLOOKUP(AN23,'סקרי נכסים-יתרות פתיחה'!$2:$110,38,0),0)-IFERROR(HLOOKUP(AN23,'סקרי נכסים-יתרות פתיחה'!$2:$110,96,0),0)*(1-AN$309)</f>
        <v>0</v>
      </c>
      <c r="AO256" s="50">
        <f>+IFERROR(HLOOKUP(AO23,'סקרי נכסים-יתרות פתיחה'!$2:$110,38,0),0)-IFERROR(HLOOKUP(AO23,'סקרי נכסים-יתרות פתיחה'!$2:$110,96,0),0)*(1-AO$309)</f>
        <v>0</v>
      </c>
      <c r="AP256" s="50">
        <f>+IFERROR(HLOOKUP(AP23,'סקרי נכסים-יתרות פתיחה'!$2:$110,38,0),0)-IFERROR(HLOOKUP(AP23,'סקרי נכסים-יתרות פתיחה'!$2:$110,96,0),0)*(1-AP$309)</f>
        <v>0</v>
      </c>
      <c r="AQ256" s="50">
        <f>+IFERROR(HLOOKUP(AQ23,'סקרי נכסים-יתרות פתיחה'!$2:$110,38,0),0)-IFERROR(HLOOKUP(AQ23,'סקרי נכסים-יתרות פתיחה'!$2:$110,96,0),0)*(1-AQ$309)</f>
        <v>0</v>
      </c>
      <c r="AR256" s="50">
        <f>+IFERROR(HLOOKUP(AR23,'סקרי נכסים-יתרות פתיחה'!$2:$110,38,0),0)-IFERROR(HLOOKUP(AR23,'סקרי נכסים-יתרות פתיחה'!$2:$110,96,0),0)*(1-AR$309)</f>
        <v>0</v>
      </c>
      <c r="AS256" s="50">
        <f>+IFERROR(HLOOKUP(AS23,'סקרי נכסים-יתרות פתיחה'!$2:$110,38,0),0)-IFERROR(HLOOKUP(AS23,'סקרי נכסים-יתרות פתיחה'!$2:$110,96,0),0)*(1-AS$309)</f>
        <v>0</v>
      </c>
      <c r="AT256" s="50">
        <f>+IFERROR(HLOOKUP(AT23,'סקרי נכסים-יתרות פתיחה'!$2:$110,38,0),0)-IFERROR(HLOOKUP(AT23,'סקרי נכסים-יתרות פתיחה'!$2:$110,96,0),0)*(1-AT$309)</f>
        <v>0</v>
      </c>
      <c r="AU256" s="50">
        <f>+IFERROR(HLOOKUP(AU23,'סקרי נכסים-יתרות פתיחה'!$2:$110,38,0),0)-IFERROR(HLOOKUP(AU23,'סקרי נכסים-יתרות פתיחה'!$2:$110,96,0),0)*(1-AU$309)</f>
        <v>0</v>
      </c>
      <c r="AV256" s="50">
        <f>+IFERROR(HLOOKUP(AV23,'סקרי נכסים-יתרות פתיחה'!$2:$110,38,0),0)-IFERROR(HLOOKUP(AV23,'סקרי נכסים-יתרות פתיחה'!$2:$110,96,0),0)*(1-AV$309)</f>
        <v>0</v>
      </c>
      <c r="AW256" s="50">
        <f>+IFERROR(HLOOKUP(AW23,'סקרי נכסים-יתרות פתיחה'!$2:$110,38,0),0)-IFERROR(HLOOKUP(AW23,'סקרי נכסים-יתרות פתיחה'!$2:$110,96,0),0)*(1-AW$309)</f>
        <v>0</v>
      </c>
      <c r="AX256" s="50">
        <f>+IFERROR(HLOOKUP(AX23,'סקרי נכסים-יתרות פתיחה'!$2:$110,38,0),0)-IFERROR(HLOOKUP(AX23,'סקרי נכסים-יתרות פתיחה'!$2:$110,96,0),0)*(1-AX$309)</f>
        <v>0</v>
      </c>
      <c r="AY256" s="50">
        <f>+IFERROR(HLOOKUP(AY23,'סקרי נכסים-יתרות פתיחה'!$2:$110,38,0),0)-IFERROR(HLOOKUP(AY23,'סקרי נכסים-יתרות פתיחה'!$2:$110,96,0),0)*(1-AY$309)</f>
        <v>0</v>
      </c>
      <c r="AZ256" s="50">
        <f>+IFERROR(HLOOKUP(AZ23,'סקרי נכסים-יתרות פתיחה'!$2:$110,38,0),0)-IFERROR(HLOOKUP(AZ23,'סקרי נכסים-יתרות פתיחה'!$2:$110,96,0),0)*(1-AZ$309)</f>
        <v>0</v>
      </c>
      <c r="BA256" s="50">
        <f>+IFERROR(HLOOKUP(BA23,'סקרי נכסים-יתרות פתיחה'!$2:$110,38,0),0)-IFERROR(HLOOKUP(BA23,'סקרי נכסים-יתרות פתיחה'!$2:$110,96,0),0)*(1-BA$309)</f>
        <v>0</v>
      </c>
      <c r="BB256" s="50">
        <f>+IFERROR(HLOOKUP(BB23,'סקרי נכסים-יתרות פתיחה'!$2:$110,38,0),0)-IFERROR(HLOOKUP(BB23,'סקרי נכסים-יתרות פתיחה'!$2:$110,96,0),0)*(1-BB$309)</f>
        <v>0</v>
      </c>
      <c r="BC256" s="50">
        <f>+IFERROR(HLOOKUP(BC23,'סקרי נכסים-יתרות פתיחה'!$2:$110,38,0),0)-IFERROR(HLOOKUP(BC23,'סקרי נכסים-יתרות פתיחה'!$2:$110,96,0),0)*(1-BC$309)</f>
        <v>0</v>
      </c>
      <c r="BD256" s="50">
        <f>+IFERROR(HLOOKUP(BD23,'סקרי נכסים-יתרות פתיחה'!$2:$110,38,0),0)-IFERROR(HLOOKUP(BD23,'סקרי נכסים-יתרות פתיחה'!$2:$110,96,0),0)*(1-BD$309)</f>
        <v>0</v>
      </c>
      <c r="BE256" s="50">
        <f>+IFERROR(HLOOKUP(BE23,'סקרי נכסים-יתרות פתיחה'!$2:$110,38,0),0)-IFERROR(HLOOKUP(BE23,'סקרי נכסים-יתרות פתיחה'!$2:$110,96,0),0)*(1-BE$309)</f>
        <v>0</v>
      </c>
      <c r="BF256" s="50">
        <f>+IFERROR(HLOOKUP(BF23,'סקרי נכסים-יתרות פתיחה'!$2:$110,38,0),0)-IFERROR(HLOOKUP(BF23,'סקרי נכסים-יתרות פתיחה'!$2:$110,96,0),0)*(1-BF$309)</f>
        <v>0</v>
      </c>
    </row>
    <row r="257" spans="1:58" x14ac:dyDescent="0.2">
      <c r="B257" s="1">
        <v>21</v>
      </c>
      <c r="C257" s="50">
        <f>+IFERROR(HLOOKUP(C24,'סקרי נכסים-יתרות פתיחה'!$2:$110,38,0),0)-IFERROR(HLOOKUP(C24,'סקרי נכסים-יתרות פתיחה'!$2:$110,96,0),0)*(1-C$309)</f>
        <v>0</v>
      </c>
      <c r="D257" s="50">
        <f>+IFERROR(HLOOKUP(D24,'סקרי נכסים-יתרות פתיחה'!$2:$110,38,0),0)-IFERROR(HLOOKUP(D24,'סקרי נכסים-יתרות פתיחה'!$2:$110,96,0),0)*(1-D$309)</f>
        <v>0</v>
      </c>
      <c r="E257" s="50">
        <f>+IFERROR(HLOOKUP(E24,'סקרי נכסים-יתרות פתיחה'!$2:$110,38,0),0)-IFERROR(HLOOKUP(E24,'סקרי נכסים-יתרות פתיחה'!$2:$110,96,0),0)*(1-E$309)</f>
        <v>0</v>
      </c>
      <c r="F257" s="50">
        <f>+IFERROR(HLOOKUP(F24,'סקרי נכסים-יתרות פתיחה'!$2:$110,38,0),0)-IFERROR(HLOOKUP(F24,'סקרי נכסים-יתרות פתיחה'!$2:$110,96,0),0)*(1-F$309)</f>
        <v>0</v>
      </c>
      <c r="G257" s="50">
        <f>+IFERROR(HLOOKUP(G24,'סקרי נכסים-יתרות פתיחה'!$2:$110,38,0),0)-IFERROR(HLOOKUP(G24,'סקרי נכסים-יתרות פתיחה'!$2:$110,96,0),0)*(1-G$309)</f>
        <v>0</v>
      </c>
      <c r="H257" s="50">
        <f>+IFERROR(HLOOKUP(H24,'סקרי נכסים-יתרות פתיחה'!$2:$110,38,0),0)-IFERROR(HLOOKUP(H24,'סקרי נכסים-יתרות פתיחה'!$2:$110,96,0),0)*(1-H$309)</f>
        <v>0</v>
      </c>
      <c r="I257" s="50">
        <f>+IFERROR(HLOOKUP(I24,'סקרי נכסים-יתרות פתיחה'!$2:$110,38,0),0)-IFERROR(HLOOKUP(I24,'סקרי נכסים-יתרות פתיחה'!$2:$110,96,0),0)*(1-I$309)</f>
        <v>0</v>
      </c>
      <c r="J257" s="50">
        <f>+IFERROR(HLOOKUP(J24,'סקרי נכסים-יתרות פתיחה'!$2:$110,38,0),0)-IFERROR(HLOOKUP(J24,'סקרי נכסים-יתרות פתיחה'!$2:$110,96,0),0)*(1-J$309)</f>
        <v>0</v>
      </c>
      <c r="K257" s="50">
        <f>+IFERROR(HLOOKUP(K24,'סקרי נכסים-יתרות פתיחה'!$2:$110,38,0),0)-IFERROR(HLOOKUP(K24,'סקרי נכסים-יתרות פתיחה'!$2:$110,96,0),0)*(1-K$309)</f>
        <v>0</v>
      </c>
      <c r="L257" s="50">
        <f>+IFERROR(HLOOKUP(L24,'סקרי נכסים-יתרות פתיחה'!$2:$110,38,0),0)-IFERROR(HLOOKUP(L24,'סקרי נכסים-יתרות פתיחה'!$2:$110,96,0),0)*(1-L$309)</f>
        <v>0</v>
      </c>
      <c r="M257" s="50">
        <f>+IFERROR(HLOOKUP(M24,'סקרי נכסים-יתרות פתיחה'!$2:$110,38,0),0)-IFERROR(HLOOKUP(M24,'סקרי נכסים-יתרות פתיחה'!$2:$110,96,0),0)*(1-M$309)</f>
        <v>0</v>
      </c>
      <c r="N257" s="50">
        <f>+IFERROR(HLOOKUP(N24,'סקרי נכסים-יתרות פתיחה'!$2:$110,38,0),0)-IFERROR(HLOOKUP(N24,'סקרי נכסים-יתרות פתיחה'!$2:$110,96,0),0)*(1-N$309)</f>
        <v>0</v>
      </c>
      <c r="O257" s="50">
        <f>+IFERROR(HLOOKUP(O24,'סקרי נכסים-יתרות פתיחה'!$2:$110,38,0),0)-IFERROR(HLOOKUP(O24,'סקרי נכסים-יתרות פתיחה'!$2:$110,96,0),0)*(1-O$309)</f>
        <v>0</v>
      </c>
      <c r="P257" s="50">
        <f>+IFERROR(HLOOKUP(P24,'סקרי נכסים-יתרות פתיחה'!$2:$110,38,0),0)-IFERROR(HLOOKUP(P24,'סקרי נכסים-יתרות פתיחה'!$2:$110,96,0),0)*(1-P$309)</f>
        <v>0</v>
      </c>
      <c r="Q257" s="50">
        <f>+IFERROR(HLOOKUP(Q24,'סקרי נכסים-יתרות פתיחה'!$2:$110,38,0),0)-IFERROR(HLOOKUP(Q24,'סקרי נכסים-יתרות פתיחה'!$2:$110,96,0),0)*(1-Q$309)</f>
        <v>0</v>
      </c>
      <c r="R257" s="50">
        <f>+IFERROR(HLOOKUP(R24,'סקרי נכסים-יתרות פתיחה'!$2:$110,38,0),0)-IFERROR(HLOOKUP(R24,'סקרי נכסים-יתרות פתיחה'!$2:$110,96,0),0)*(1-R$309)</f>
        <v>0</v>
      </c>
      <c r="S257" s="50">
        <f>+IFERROR(HLOOKUP(S24,'סקרי נכסים-יתרות פתיחה'!$2:$110,38,0),0)-IFERROR(HLOOKUP(S24,'סקרי נכסים-יתרות פתיחה'!$2:$110,96,0),0)*(1-S$309)</f>
        <v>0</v>
      </c>
      <c r="T257" s="50">
        <f>+IFERROR(HLOOKUP(T24,'סקרי נכסים-יתרות פתיחה'!$2:$110,38,0),0)-IFERROR(HLOOKUP(T24,'סקרי נכסים-יתרות פתיחה'!$2:$110,96,0),0)*(1-T$309)</f>
        <v>0</v>
      </c>
      <c r="U257" s="50">
        <f>+IFERROR(HLOOKUP(U24,'סקרי נכסים-יתרות פתיחה'!$2:$110,38,0),0)-IFERROR(HLOOKUP(U24,'סקרי נכסים-יתרות פתיחה'!$2:$110,96,0),0)*(1-U$309)</f>
        <v>0</v>
      </c>
      <c r="V257" s="50">
        <f>+IFERROR(HLOOKUP(V24,'סקרי נכסים-יתרות פתיחה'!$2:$110,38,0),0)-IFERROR(HLOOKUP(V24,'סקרי נכסים-יתרות פתיחה'!$2:$110,96,0),0)*(1-V$309)</f>
        <v>0</v>
      </c>
      <c r="W257" s="50">
        <f>+IFERROR(HLOOKUP(W24,'סקרי נכסים-יתרות פתיחה'!$2:$110,38,0),0)-IFERROR(HLOOKUP(W24,'סקרי נכסים-יתרות פתיחה'!$2:$110,96,0),0)*(1-W$309)</f>
        <v>0</v>
      </c>
      <c r="X257" s="50">
        <f>+IFERROR(HLOOKUP(X24,'סקרי נכסים-יתרות פתיחה'!$2:$110,38,0),0)-IFERROR(HLOOKUP(X24,'סקרי נכסים-יתרות פתיחה'!$2:$110,96,0),0)*(1-X$309)</f>
        <v>0</v>
      </c>
      <c r="Y257" s="50">
        <f>+IFERROR(HLOOKUP(Y24,'סקרי נכסים-יתרות פתיחה'!$2:$110,38,0),0)-IFERROR(HLOOKUP(Y24,'סקרי נכסים-יתרות פתיחה'!$2:$110,96,0),0)*(1-Y$309)</f>
        <v>0</v>
      </c>
      <c r="Z257" s="50">
        <f>+IFERROR(HLOOKUP(Z24,'סקרי נכסים-יתרות פתיחה'!$2:$110,38,0),0)-IFERROR(HLOOKUP(Z24,'סקרי נכסים-יתרות פתיחה'!$2:$110,96,0),0)*(1-Z$309)</f>
        <v>0</v>
      </c>
      <c r="AA257" s="50">
        <f>+IFERROR(HLOOKUP(AA24,'סקרי נכסים-יתרות פתיחה'!$2:$110,38,0),0)-IFERROR(HLOOKUP(AA24,'סקרי נכסים-יתרות פתיחה'!$2:$110,96,0),0)*(1-AA$309)</f>
        <v>0</v>
      </c>
      <c r="AB257" s="50">
        <f>+IFERROR(HLOOKUP(AB24,'סקרי נכסים-יתרות פתיחה'!$2:$110,38,0),0)-IFERROR(HLOOKUP(AB24,'סקרי נכסים-יתרות פתיחה'!$2:$110,96,0),0)*(1-AB$309)</f>
        <v>0</v>
      </c>
      <c r="AC257" s="50">
        <f>+IFERROR(HLOOKUP(AC24,'סקרי נכסים-יתרות פתיחה'!$2:$110,38,0),0)-IFERROR(HLOOKUP(AC24,'סקרי נכסים-יתרות פתיחה'!$2:$110,96,0),0)*(1-AC$309)</f>
        <v>0</v>
      </c>
      <c r="AD257" s="50">
        <f>+IFERROR(HLOOKUP(AD24,'סקרי נכסים-יתרות פתיחה'!$2:$110,38,0),0)-IFERROR(HLOOKUP(AD24,'סקרי נכסים-יתרות פתיחה'!$2:$110,96,0),0)*(1-AD$309)</f>
        <v>0</v>
      </c>
      <c r="AE257" s="50">
        <f>+IFERROR(HLOOKUP(AE24,'סקרי נכסים-יתרות פתיחה'!$2:$110,38,0),0)-IFERROR(HLOOKUP(AE24,'סקרי נכסים-יתרות פתיחה'!$2:$110,96,0),0)*(1-AE$309)</f>
        <v>0</v>
      </c>
      <c r="AF257" s="50">
        <f>+IFERROR(HLOOKUP(AF24,'סקרי נכסים-יתרות פתיחה'!$2:$110,38,0),0)-IFERROR(HLOOKUP(AF24,'סקרי נכסים-יתרות פתיחה'!$2:$110,96,0),0)*(1-AF$309)</f>
        <v>0</v>
      </c>
      <c r="AG257" s="50">
        <f>+IFERROR(HLOOKUP(AG24,'סקרי נכסים-יתרות פתיחה'!$2:$110,38,0),0)-IFERROR(HLOOKUP(AG24,'סקרי נכסים-יתרות פתיחה'!$2:$110,96,0),0)*(1-AG$309)</f>
        <v>0</v>
      </c>
      <c r="AH257" s="50">
        <f>+IFERROR(HLOOKUP(AH24,'סקרי נכסים-יתרות פתיחה'!$2:$110,38,0),0)-IFERROR(HLOOKUP(AH24,'סקרי נכסים-יתרות פתיחה'!$2:$110,96,0),0)*(1-AH$309)</f>
        <v>0</v>
      </c>
      <c r="AI257" s="50">
        <f>+IFERROR(HLOOKUP(AI24,'סקרי נכסים-יתרות פתיחה'!$2:$110,38,0),0)-IFERROR(HLOOKUP(AI24,'סקרי נכסים-יתרות פתיחה'!$2:$110,96,0),0)*(1-AI$309)</f>
        <v>0</v>
      </c>
      <c r="AJ257" s="50">
        <f>+IFERROR(HLOOKUP(AJ24,'סקרי נכסים-יתרות פתיחה'!$2:$110,38,0),0)-IFERROR(HLOOKUP(AJ24,'סקרי נכסים-יתרות פתיחה'!$2:$110,96,0),0)*(1-AJ$309)</f>
        <v>0</v>
      </c>
      <c r="AK257" s="50">
        <f>+IFERROR(HLOOKUP(AK24,'סקרי נכסים-יתרות פתיחה'!$2:$110,38,0),0)-IFERROR(HLOOKUP(AK24,'סקרי נכסים-יתרות פתיחה'!$2:$110,96,0),0)*(1-AK$309)</f>
        <v>0</v>
      </c>
      <c r="AL257" s="50">
        <f>+IFERROR(HLOOKUP(AL24,'סקרי נכסים-יתרות פתיחה'!$2:$110,38,0),0)-IFERROR(HLOOKUP(AL24,'סקרי נכסים-יתרות פתיחה'!$2:$110,96,0),0)*(1-AL$309)</f>
        <v>0</v>
      </c>
      <c r="AM257" s="50">
        <f>+IFERROR(HLOOKUP(AM24,'סקרי נכסים-יתרות פתיחה'!$2:$110,38,0),0)-IFERROR(HLOOKUP(AM24,'סקרי נכסים-יתרות פתיחה'!$2:$110,96,0),0)*(1-AM$309)</f>
        <v>0</v>
      </c>
      <c r="AN257" s="50">
        <f>+IFERROR(HLOOKUP(AN24,'סקרי נכסים-יתרות פתיחה'!$2:$110,38,0),0)-IFERROR(HLOOKUP(AN24,'סקרי נכסים-יתרות פתיחה'!$2:$110,96,0),0)*(1-AN$309)</f>
        <v>0</v>
      </c>
      <c r="AO257" s="50">
        <f>+IFERROR(HLOOKUP(AO24,'סקרי נכסים-יתרות פתיחה'!$2:$110,38,0),0)-IFERROR(HLOOKUP(AO24,'סקרי נכסים-יתרות פתיחה'!$2:$110,96,0),0)*(1-AO$309)</f>
        <v>0</v>
      </c>
      <c r="AP257" s="50">
        <f>+IFERROR(HLOOKUP(AP24,'סקרי נכסים-יתרות פתיחה'!$2:$110,38,0),0)-IFERROR(HLOOKUP(AP24,'סקרי נכסים-יתרות פתיחה'!$2:$110,96,0),0)*(1-AP$309)</f>
        <v>0</v>
      </c>
      <c r="AQ257" s="50">
        <f>+IFERROR(HLOOKUP(AQ24,'סקרי נכסים-יתרות פתיחה'!$2:$110,38,0),0)-IFERROR(HLOOKUP(AQ24,'סקרי נכסים-יתרות פתיחה'!$2:$110,96,0),0)*(1-AQ$309)</f>
        <v>0</v>
      </c>
      <c r="AR257" s="50">
        <f>+IFERROR(HLOOKUP(AR24,'סקרי נכסים-יתרות פתיחה'!$2:$110,38,0),0)-IFERROR(HLOOKUP(AR24,'סקרי נכסים-יתרות פתיחה'!$2:$110,96,0),0)*(1-AR$309)</f>
        <v>0</v>
      </c>
      <c r="AS257" s="50">
        <f>+IFERROR(HLOOKUP(AS24,'סקרי נכסים-יתרות פתיחה'!$2:$110,38,0),0)-IFERROR(HLOOKUP(AS24,'סקרי נכסים-יתרות פתיחה'!$2:$110,96,0),0)*(1-AS$309)</f>
        <v>0</v>
      </c>
      <c r="AT257" s="50">
        <f>+IFERROR(HLOOKUP(AT24,'סקרי נכסים-יתרות פתיחה'!$2:$110,38,0),0)-IFERROR(HLOOKUP(AT24,'סקרי נכסים-יתרות פתיחה'!$2:$110,96,0),0)*(1-AT$309)</f>
        <v>0</v>
      </c>
      <c r="AU257" s="50">
        <f>+IFERROR(HLOOKUP(AU24,'סקרי נכסים-יתרות פתיחה'!$2:$110,38,0),0)-IFERROR(HLOOKUP(AU24,'סקרי נכסים-יתרות פתיחה'!$2:$110,96,0),0)*(1-AU$309)</f>
        <v>0</v>
      </c>
      <c r="AV257" s="50">
        <f>+IFERROR(HLOOKUP(AV24,'סקרי נכסים-יתרות פתיחה'!$2:$110,38,0),0)-IFERROR(HLOOKUP(AV24,'סקרי נכסים-יתרות פתיחה'!$2:$110,96,0),0)*(1-AV$309)</f>
        <v>0</v>
      </c>
      <c r="AW257" s="50">
        <f>+IFERROR(HLOOKUP(AW24,'סקרי נכסים-יתרות פתיחה'!$2:$110,38,0),0)-IFERROR(HLOOKUP(AW24,'סקרי נכסים-יתרות פתיחה'!$2:$110,96,0),0)*(1-AW$309)</f>
        <v>0</v>
      </c>
      <c r="AX257" s="50">
        <f>+IFERROR(HLOOKUP(AX24,'סקרי נכסים-יתרות פתיחה'!$2:$110,38,0),0)-IFERROR(HLOOKUP(AX24,'סקרי נכסים-יתרות פתיחה'!$2:$110,96,0),0)*(1-AX$309)</f>
        <v>0</v>
      </c>
      <c r="AY257" s="50">
        <f>+IFERROR(HLOOKUP(AY24,'סקרי נכסים-יתרות פתיחה'!$2:$110,38,0),0)-IFERROR(HLOOKUP(AY24,'סקרי נכסים-יתרות פתיחה'!$2:$110,96,0),0)*(1-AY$309)</f>
        <v>0</v>
      </c>
      <c r="AZ257" s="50">
        <f>+IFERROR(HLOOKUP(AZ24,'סקרי נכסים-יתרות פתיחה'!$2:$110,38,0),0)-IFERROR(HLOOKUP(AZ24,'סקרי נכסים-יתרות פתיחה'!$2:$110,96,0),0)*(1-AZ$309)</f>
        <v>0</v>
      </c>
      <c r="BA257" s="50">
        <f>+IFERROR(HLOOKUP(BA24,'סקרי נכסים-יתרות פתיחה'!$2:$110,38,0),0)-IFERROR(HLOOKUP(BA24,'סקרי נכסים-יתרות פתיחה'!$2:$110,96,0),0)*(1-BA$309)</f>
        <v>0</v>
      </c>
      <c r="BB257" s="50">
        <f>+IFERROR(HLOOKUP(BB24,'סקרי נכסים-יתרות פתיחה'!$2:$110,38,0),0)-IFERROR(HLOOKUP(BB24,'סקרי נכסים-יתרות פתיחה'!$2:$110,96,0),0)*(1-BB$309)</f>
        <v>0</v>
      </c>
      <c r="BC257" s="50">
        <f>+IFERROR(HLOOKUP(BC24,'סקרי נכסים-יתרות פתיחה'!$2:$110,38,0),0)-IFERROR(HLOOKUP(BC24,'סקרי נכסים-יתרות פתיחה'!$2:$110,96,0),0)*(1-BC$309)</f>
        <v>0</v>
      </c>
      <c r="BD257" s="50">
        <f>+IFERROR(HLOOKUP(BD24,'סקרי נכסים-יתרות פתיחה'!$2:$110,38,0),0)-IFERROR(HLOOKUP(BD24,'סקרי נכסים-יתרות פתיחה'!$2:$110,96,0),0)*(1-BD$309)</f>
        <v>0</v>
      </c>
      <c r="BE257" s="50">
        <f>+IFERROR(HLOOKUP(BE24,'סקרי נכסים-יתרות פתיחה'!$2:$110,38,0),0)-IFERROR(HLOOKUP(BE24,'סקרי נכסים-יתרות פתיחה'!$2:$110,96,0),0)*(1-BE$309)</f>
        <v>0</v>
      </c>
      <c r="BF257" s="50">
        <f>+IFERROR(HLOOKUP(BF24,'סקרי נכסים-יתרות פתיחה'!$2:$110,38,0),0)-IFERROR(HLOOKUP(BF24,'סקרי נכסים-יתרות פתיחה'!$2:$110,96,0),0)*(1-BF$309)</f>
        <v>0</v>
      </c>
    </row>
    <row r="258" spans="1:58" x14ac:dyDescent="0.2">
      <c r="B258" s="1">
        <v>22</v>
      </c>
      <c r="C258" s="50">
        <f>+IFERROR(HLOOKUP(C25,'סקרי נכסים-יתרות פתיחה'!$2:$110,38,0),0)-IFERROR(HLOOKUP(C25,'סקרי נכסים-יתרות פתיחה'!$2:$110,96,0),0)*(1-C$309)</f>
        <v>0</v>
      </c>
      <c r="D258" s="50">
        <f>+IFERROR(HLOOKUP(D25,'סקרי נכסים-יתרות פתיחה'!$2:$110,38,0),0)-IFERROR(HLOOKUP(D25,'סקרי נכסים-יתרות פתיחה'!$2:$110,96,0),0)*(1-D$309)</f>
        <v>0</v>
      </c>
      <c r="E258" s="50">
        <f>+IFERROR(HLOOKUP(E25,'סקרי נכסים-יתרות פתיחה'!$2:$110,38,0),0)-IFERROR(HLOOKUP(E25,'סקרי נכסים-יתרות פתיחה'!$2:$110,96,0),0)*(1-E$309)</f>
        <v>0</v>
      </c>
      <c r="F258" s="50">
        <f>+IFERROR(HLOOKUP(F25,'סקרי נכסים-יתרות פתיחה'!$2:$110,38,0),0)-IFERROR(HLOOKUP(F25,'סקרי נכסים-יתרות פתיחה'!$2:$110,96,0),0)*(1-F$309)</f>
        <v>0</v>
      </c>
      <c r="G258" s="50">
        <f>+IFERROR(HLOOKUP(G25,'סקרי נכסים-יתרות פתיחה'!$2:$110,38,0),0)-IFERROR(HLOOKUP(G25,'סקרי נכסים-יתרות פתיחה'!$2:$110,96,0),0)*(1-G$309)</f>
        <v>0</v>
      </c>
      <c r="H258" s="50">
        <f>+IFERROR(HLOOKUP(H25,'סקרי נכסים-יתרות פתיחה'!$2:$110,38,0),0)-IFERROR(HLOOKUP(H25,'סקרי נכסים-יתרות פתיחה'!$2:$110,96,0),0)*(1-H$309)</f>
        <v>0</v>
      </c>
      <c r="I258" s="50">
        <f>+IFERROR(HLOOKUP(I25,'סקרי נכסים-יתרות פתיחה'!$2:$110,38,0),0)-IFERROR(HLOOKUP(I25,'סקרי נכסים-יתרות פתיחה'!$2:$110,96,0),0)*(1-I$309)</f>
        <v>0</v>
      </c>
      <c r="J258" s="50">
        <f>+IFERROR(HLOOKUP(J25,'סקרי נכסים-יתרות פתיחה'!$2:$110,38,0),0)-IFERROR(HLOOKUP(J25,'סקרי נכסים-יתרות פתיחה'!$2:$110,96,0),0)*(1-J$309)</f>
        <v>0</v>
      </c>
      <c r="K258" s="50">
        <f>+IFERROR(HLOOKUP(K25,'סקרי נכסים-יתרות פתיחה'!$2:$110,38,0),0)-IFERROR(HLOOKUP(K25,'סקרי נכסים-יתרות פתיחה'!$2:$110,96,0),0)*(1-K$309)</f>
        <v>0</v>
      </c>
      <c r="L258" s="50">
        <f>+IFERROR(HLOOKUP(L25,'סקרי נכסים-יתרות פתיחה'!$2:$110,38,0),0)-IFERROR(HLOOKUP(L25,'סקרי נכסים-יתרות פתיחה'!$2:$110,96,0),0)*(1-L$309)</f>
        <v>0</v>
      </c>
      <c r="M258" s="50">
        <f>+IFERROR(HLOOKUP(M25,'סקרי נכסים-יתרות פתיחה'!$2:$110,38,0),0)-IFERROR(HLOOKUP(M25,'סקרי נכסים-יתרות פתיחה'!$2:$110,96,0),0)*(1-M$309)</f>
        <v>0</v>
      </c>
      <c r="N258" s="50">
        <f>+IFERROR(HLOOKUP(N25,'סקרי נכסים-יתרות פתיחה'!$2:$110,38,0),0)-IFERROR(HLOOKUP(N25,'סקרי נכסים-יתרות פתיחה'!$2:$110,96,0),0)*(1-N$309)</f>
        <v>0</v>
      </c>
      <c r="O258" s="50">
        <f>+IFERROR(HLOOKUP(O25,'סקרי נכסים-יתרות פתיחה'!$2:$110,38,0),0)-IFERROR(HLOOKUP(O25,'סקרי נכסים-יתרות פתיחה'!$2:$110,96,0),0)*(1-O$309)</f>
        <v>0</v>
      </c>
      <c r="P258" s="50">
        <f>+IFERROR(HLOOKUP(P25,'סקרי נכסים-יתרות פתיחה'!$2:$110,38,0),0)-IFERROR(HLOOKUP(P25,'סקרי נכסים-יתרות פתיחה'!$2:$110,96,0),0)*(1-P$309)</f>
        <v>0</v>
      </c>
      <c r="Q258" s="50">
        <f>+IFERROR(HLOOKUP(Q25,'סקרי נכסים-יתרות פתיחה'!$2:$110,38,0),0)-IFERROR(HLOOKUP(Q25,'סקרי נכסים-יתרות פתיחה'!$2:$110,96,0),0)*(1-Q$309)</f>
        <v>0</v>
      </c>
      <c r="R258" s="50">
        <f>+IFERROR(HLOOKUP(R25,'סקרי נכסים-יתרות פתיחה'!$2:$110,38,0),0)-IFERROR(HLOOKUP(R25,'סקרי נכסים-יתרות פתיחה'!$2:$110,96,0),0)*(1-R$309)</f>
        <v>0</v>
      </c>
      <c r="S258" s="50">
        <f>+IFERROR(HLOOKUP(S25,'סקרי נכסים-יתרות פתיחה'!$2:$110,38,0),0)-IFERROR(HLOOKUP(S25,'סקרי נכסים-יתרות פתיחה'!$2:$110,96,0),0)*(1-S$309)</f>
        <v>0</v>
      </c>
      <c r="T258" s="50">
        <f>+IFERROR(HLOOKUP(T25,'סקרי נכסים-יתרות פתיחה'!$2:$110,38,0),0)-IFERROR(HLOOKUP(T25,'סקרי נכסים-יתרות פתיחה'!$2:$110,96,0),0)*(1-T$309)</f>
        <v>0</v>
      </c>
      <c r="U258" s="50">
        <f>+IFERROR(HLOOKUP(U25,'סקרי נכסים-יתרות פתיחה'!$2:$110,38,0),0)-IFERROR(HLOOKUP(U25,'סקרי נכסים-יתרות פתיחה'!$2:$110,96,0),0)*(1-U$309)</f>
        <v>0</v>
      </c>
      <c r="V258" s="50">
        <f>+IFERROR(HLOOKUP(V25,'סקרי נכסים-יתרות פתיחה'!$2:$110,38,0),0)-IFERROR(HLOOKUP(V25,'סקרי נכסים-יתרות פתיחה'!$2:$110,96,0),0)*(1-V$309)</f>
        <v>0</v>
      </c>
      <c r="W258" s="50">
        <f>+IFERROR(HLOOKUP(W25,'סקרי נכסים-יתרות פתיחה'!$2:$110,38,0),0)-IFERROR(HLOOKUP(W25,'סקרי נכסים-יתרות פתיחה'!$2:$110,96,0),0)*(1-W$309)</f>
        <v>0</v>
      </c>
      <c r="X258" s="50">
        <f>+IFERROR(HLOOKUP(X25,'סקרי נכסים-יתרות פתיחה'!$2:$110,38,0),0)-IFERROR(HLOOKUP(X25,'סקרי נכסים-יתרות פתיחה'!$2:$110,96,0),0)*(1-X$309)</f>
        <v>0</v>
      </c>
      <c r="Y258" s="50">
        <f>+IFERROR(HLOOKUP(Y25,'סקרי נכסים-יתרות פתיחה'!$2:$110,38,0),0)-IFERROR(HLOOKUP(Y25,'סקרי נכסים-יתרות פתיחה'!$2:$110,96,0),0)*(1-Y$309)</f>
        <v>0</v>
      </c>
      <c r="Z258" s="50">
        <f>+IFERROR(HLOOKUP(Z25,'סקרי נכסים-יתרות פתיחה'!$2:$110,38,0),0)-IFERROR(HLOOKUP(Z25,'סקרי נכסים-יתרות פתיחה'!$2:$110,96,0),0)*(1-Z$309)</f>
        <v>0</v>
      </c>
      <c r="AA258" s="50">
        <f>+IFERROR(HLOOKUP(AA25,'סקרי נכסים-יתרות פתיחה'!$2:$110,38,0),0)-IFERROR(HLOOKUP(AA25,'סקרי נכסים-יתרות פתיחה'!$2:$110,96,0),0)*(1-AA$309)</f>
        <v>0</v>
      </c>
      <c r="AB258" s="50">
        <f>+IFERROR(HLOOKUP(AB25,'סקרי נכסים-יתרות פתיחה'!$2:$110,38,0),0)-IFERROR(HLOOKUP(AB25,'סקרי נכסים-יתרות פתיחה'!$2:$110,96,0),0)*(1-AB$309)</f>
        <v>0</v>
      </c>
      <c r="AC258" s="50">
        <f>+IFERROR(HLOOKUP(AC25,'סקרי נכסים-יתרות פתיחה'!$2:$110,38,0),0)-IFERROR(HLOOKUP(AC25,'סקרי נכסים-יתרות פתיחה'!$2:$110,96,0),0)*(1-AC$309)</f>
        <v>0</v>
      </c>
      <c r="AD258" s="50">
        <f>+IFERROR(HLOOKUP(AD25,'סקרי נכסים-יתרות פתיחה'!$2:$110,38,0),0)-IFERROR(HLOOKUP(AD25,'סקרי נכסים-יתרות פתיחה'!$2:$110,96,0),0)*(1-AD$309)</f>
        <v>0</v>
      </c>
      <c r="AE258" s="50">
        <f>+IFERROR(HLOOKUP(AE25,'סקרי נכסים-יתרות פתיחה'!$2:$110,38,0),0)-IFERROR(HLOOKUP(AE25,'סקרי נכסים-יתרות פתיחה'!$2:$110,96,0),0)*(1-AE$309)</f>
        <v>0</v>
      </c>
      <c r="AF258" s="50">
        <f>+IFERROR(HLOOKUP(AF25,'סקרי נכסים-יתרות פתיחה'!$2:$110,38,0),0)-IFERROR(HLOOKUP(AF25,'סקרי נכסים-יתרות פתיחה'!$2:$110,96,0),0)*(1-AF$309)</f>
        <v>0</v>
      </c>
      <c r="AG258" s="50">
        <f>+IFERROR(HLOOKUP(AG25,'סקרי נכסים-יתרות פתיחה'!$2:$110,38,0),0)-IFERROR(HLOOKUP(AG25,'סקרי נכסים-יתרות פתיחה'!$2:$110,96,0),0)*(1-AG$309)</f>
        <v>0</v>
      </c>
      <c r="AH258" s="50">
        <f>+IFERROR(HLOOKUP(AH25,'סקרי נכסים-יתרות פתיחה'!$2:$110,38,0),0)-IFERROR(HLOOKUP(AH25,'סקרי נכסים-יתרות פתיחה'!$2:$110,96,0),0)*(1-AH$309)</f>
        <v>0</v>
      </c>
      <c r="AI258" s="50">
        <f>+IFERROR(HLOOKUP(AI25,'סקרי נכסים-יתרות פתיחה'!$2:$110,38,0),0)-IFERROR(HLOOKUP(AI25,'סקרי נכסים-יתרות פתיחה'!$2:$110,96,0),0)*(1-AI$309)</f>
        <v>0</v>
      </c>
      <c r="AJ258" s="50">
        <f>+IFERROR(HLOOKUP(AJ25,'סקרי נכסים-יתרות פתיחה'!$2:$110,38,0),0)-IFERROR(HLOOKUP(AJ25,'סקרי נכסים-יתרות פתיחה'!$2:$110,96,0),0)*(1-AJ$309)</f>
        <v>0</v>
      </c>
      <c r="AK258" s="50">
        <f>+IFERROR(HLOOKUP(AK25,'סקרי נכסים-יתרות פתיחה'!$2:$110,38,0),0)-IFERROR(HLOOKUP(AK25,'סקרי נכסים-יתרות פתיחה'!$2:$110,96,0),0)*(1-AK$309)</f>
        <v>0</v>
      </c>
      <c r="AL258" s="50">
        <f>+IFERROR(HLOOKUP(AL25,'סקרי נכסים-יתרות פתיחה'!$2:$110,38,0),0)-IFERROR(HLOOKUP(AL25,'סקרי נכסים-יתרות פתיחה'!$2:$110,96,0),0)*(1-AL$309)</f>
        <v>0</v>
      </c>
      <c r="AM258" s="50">
        <f>+IFERROR(HLOOKUP(AM25,'סקרי נכסים-יתרות פתיחה'!$2:$110,38,0),0)-IFERROR(HLOOKUP(AM25,'סקרי נכסים-יתרות פתיחה'!$2:$110,96,0),0)*(1-AM$309)</f>
        <v>0</v>
      </c>
      <c r="AN258" s="50">
        <f>+IFERROR(HLOOKUP(AN25,'סקרי נכסים-יתרות פתיחה'!$2:$110,38,0),0)-IFERROR(HLOOKUP(AN25,'סקרי נכסים-יתרות פתיחה'!$2:$110,96,0),0)*(1-AN$309)</f>
        <v>0</v>
      </c>
      <c r="AO258" s="50">
        <f>+IFERROR(HLOOKUP(AO25,'סקרי נכסים-יתרות פתיחה'!$2:$110,38,0),0)-IFERROR(HLOOKUP(AO25,'סקרי נכסים-יתרות פתיחה'!$2:$110,96,0),0)*(1-AO$309)</f>
        <v>0</v>
      </c>
      <c r="AP258" s="50">
        <f>+IFERROR(HLOOKUP(AP25,'סקרי נכסים-יתרות פתיחה'!$2:$110,38,0),0)-IFERROR(HLOOKUP(AP25,'סקרי נכסים-יתרות פתיחה'!$2:$110,96,0),0)*(1-AP$309)</f>
        <v>0</v>
      </c>
      <c r="AQ258" s="50">
        <f>+IFERROR(HLOOKUP(AQ25,'סקרי נכסים-יתרות פתיחה'!$2:$110,38,0),0)-IFERROR(HLOOKUP(AQ25,'סקרי נכסים-יתרות פתיחה'!$2:$110,96,0),0)*(1-AQ$309)</f>
        <v>0</v>
      </c>
      <c r="AR258" s="50">
        <f>+IFERROR(HLOOKUP(AR25,'סקרי נכסים-יתרות פתיחה'!$2:$110,38,0),0)-IFERROR(HLOOKUP(AR25,'סקרי נכסים-יתרות פתיחה'!$2:$110,96,0),0)*(1-AR$309)</f>
        <v>0</v>
      </c>
      <c r="AS258" s="50">
        <f>+IFERROR(HLOOKUP(AS25,'סקרי נכסים-יתרות פתיחה'!$2:$110,38,0),0)-IFERROR(HLOOKUP(AS25,'סקרי נכסים-יתרות פתיחה'!$2:$110,96,0),0)*(1-AS$309)</f>
        <v>0</v>
      </c>
      <c r="AT258" s="50">
        <f>+IFERROR(HLOOKUP(AT25,'סקרי נכסים-יתרות פתיחה'!$2:$110,38,0),0)-IFERROR(HLOOKUP(AT25,'סקרי נכסים-יתרות פתיחה'!$2:$110,96,0),0)*(1-AT$309)</f>
        <v>0</v>
      </c>
      <c r="AU258" s="50">
        <f>+IFERROR(HLOOKUP(AU25,'סקרי נכסים-יתרות פתיחה'!$2:$110,38,0),0)-IFERROR(HLOOKUP(AU25,'סקרי נכסים-יתרות פתיחה'!$2:$110,96,0),0)*(1-AU$309)</f>
        <v>0</v>
      </c>
      <c r="AV258" s="50">
        <f>+IFERROR(HLOOKUP(AV25,'סקרי נכסים-יתרות פתיחה'!$2:$110,38,0),0)-IFERROR(HLOOKUP(AV25,'סקרי נכסים-יתרות פתיחה'!$2:$110,96,0),0)*(1-AV$309)</f>
        <v>0</v>
      </c>
      <c r="AW258" s="50">
        <f>+IFERROR(HLOOKUP(AW25,'סקרי נכסים-יתרות פתיחה'!$2:$110,38,0),0)-IFERROR(HLOOKUP(AW25,'סקרי נכסים-יתרות פתיחה'!$2:$110,96,0),0)*(1-AW$309)</f>
        <v>0</v>
      </c>
      <c r="AX258" s="50">
        <f>+IFERROR(HLOOKUP(AX25,'סקרי נכסים-יתרות פתיחה'!$2:$110,38,0),0)-IFERROR(HLOOKUP(AX25,'סקרי נכסים-יתרות פתיחה'!$2:$110,96,0),0)*(1-AX$309)</f>
        <v>0</v>
      </c>
      <c r="AY258" s="50">
        <f>+IFERROR(HLOOKUP(AY25,'סקרי נכסים-יתרות פתיחה'!$2:$110,38,0),0)-IFERROR(HLOOKUP(AY25,'סקרי נכסים-יתרות פתיחה'!$2:$110,96,0),0)*(1-AY$309)</f>
        <v>0</v>
      </c>
      <c r="AZ258" s="50">
        <f>+IFERROR(HLOOKUP(AZ25,'סקרי נכסים-יתרות פתיחה'!$2:$110,38,0),0)-IFERROR(HLOOKUP(AZ25,'סקרי נכסים-יתרות פתיחה'!$2:$110,96,0),0)*(1-AZ$309)</f>
        <v>0</v>
      </c>
      <c r="BA258" s="50">
        <f>+IFERROR(HLOOKUP(BA25,'סקרי נכסים-יתרות פתיחה'!$2:$110,38,0),0)-IFERROR(HLOOKUP(BA25,'סקרי נכסים-יתרות פתיחה'!$2:$110,96,0),0)*(1-BA$309)</f>
        <v>0</v>
      </c>
      <c r="BB258" s="50">
        <f>+IFERROR(HLOOKUP(BB25,'סקרי נכסים-יתרות פתיחה'!$2:$110,38,0),0)-IFERROR(HLOOKUP(BB25,'סקרי נכסים-יתרות פתיחה'!$2:$110,96,0),0)*(1-BB$309)</f>
        <v>0</v>
      </c>
      <c r="BC258" s="50">
        <f>+IFERROR(HLOOKUP(BC25,'סקרי נכסים-יתרות פתיחה'!$2:$110,38,0),0)-IFERROR(HLOOKUP(BC25,'סקרי נכסים-יתרות פתיחה'!$2:$110,96,0),0)*(1-BC$309)</f>
        <v>0</v>
      </c>
      <c r="BD258" s="50">
        <f>+IFERROR(HLOOKUP(BD25,'סקרי נכסים-יתרות פתיחה'!$2:$110,38,0),0)-IFERROR(HLOOKUP(BD25,'סקרי נכסים-יתרות פתיחה'!$2:$110,96,0),0)*(1-BD$309)</f>
        <v>0</v>
      </c>
      <c r="BE258" s="50">
        <f>+IFERROR(HLOOKUP(BE25,'סקרי נכסים-יתרות פתיחה'!$2:$110,38,0),0)-IFERROR(HLOOKUP(BE25,'סקרי נכסים-יתרות פתיחה'!$2:$110,96,0),0)*(1-BE$309)</f>
        <v>0</v>
      </c>
      <c r="BF258" s="50">
        <f>+IFERROR(HLOOKUP(BF25,'סקרי נכסים-יתרות פתיחה'!$2:$110,38,0),0)-IFERROR(HLOOKUP(BF25,'סקרי נכסים-יתרות פתיחה'!$2:$110,96,0),0)*(1-BF$309)</f>
        <v>0</v>
      </c>
    </row>
    <row r="259" spans="1:58" x14ac:dyDescent="0.2">
      <c r="B259" s="1">
        <v>23</v>
      </c>
      <c r="C259" s="50">
        <f>+IFERROR(HLOOKUP(C26,'סקרי נכסים-יתרות פתיחה'!$2:$110,38,0),0)-IFERROR(HLOOKUP(C26,'סקרי נכסים-יתרות פתיחה'!$2:$110,96,0),0)*(1-C$309)</f>
        <v>0</v>
      </c>
      <c r="D259" s="50">
        <f>+IFERROR(HLOOKUP(D26,'סקרי נכסים-יתרות פתיחה'!$2:$110,38,0),0)-IFERROR(HLOOKUP(D26,'סקרי נכסים-יתרות פתיחה'!$2:$110,96,0),0)*(1-D$309)</f>
        <v>0</v>
      </c>
      <c r="E259" s="50">
        <f>+IFERROR(HLOOKUP(E26,'סקרי נכסים-יתרות פתיחה'!$2:$110,38,0),0)-IFERROR(HLOOKUP(E26,'סקרי נכסים-יתרות פתיחה'!$2:$110,96,0),0)*(1-E$309)</f>
        <v>0</v>
      </c>
      <c r="F259" s="50">
        <f>+IFERROR(HLOOKUP(F26,'סקרי נכסים-יתרות פתיחה'!$2:$110,38,0),0)-IFERROR(HLOOKUP(F26,'סקרי נכסים-יתרות פתיחה'!$2:$110,96,0),0)*(1-F$309)</f>
        <v>0</v>
      </c>
      <c r="G259" s="50">
        <f>+IFERROR(HLOOKUP(G26,'סקרי נכסים-יתרות פתיחה'!$2:$110,38,0),0)-IFERROR(HLOOKUP(G26,'סקרי נכסים-יתרות פתיחה'!$2:$110,96,0),0)*(1-G$309)</f>
        <v>0</v>
      </c>
      <c r="H259" s="50">
        <f>+IFERROR(HLOOKUP(H26,'סקרי נכסים-יתרות פתיחה'!$2:$110,38,0),0)-IFERROR(HLOOKUP(H26,'סקרי נכסים-יתרות פתיחה'!$2:$110,96,0),0)*(1-H$309)</f>
        <v>0</v>
      </c>
      <c r="I259" s="50">
        <f>+IFERROR(HLOOKUP(I26,'סקרי נכסים-יתרות פתיחה'!$2:$110,38,0),0)-IFERROR(HLOOKUP(I26,'סקרי נכסים-יתרות פתיחה'!$2:$110,96,0),0)*(1-I$309)</f>
        <v>0</v>
      </c>
      <c r="J259" s="50">
        <f>+IFERROR(HLOOKUP(J26,'סקרי נכסים-יתרות פתיחה'!$2:$110,38,0),0)-IFERROR(HLOOKUP(J26,'סקרי נכסים-יתרות פתיחה'!$2:$110,96,0),0)*(1-J$309)</f>
        <v>0</v>
      </c>
      <c r="K259" s="50">
        <f>+IFERROR(HLOOKUP(K26,'סקרי נכסים-יתרות פתיחה'!$2:$110,38,0),0)-IFERROR(HLOOKUP(K26,'סקרי נכסים-יתרות פתיחה'!$2:$110,96,0),0)*(1-K$309)</f>
        <v>0</v>
      </c>
      <c r="L259" s="50">
        <f>+IFERROR(HLOOKUP(L26,'סקרי נכסים-יתרות פתיחה'!$2:$110,38,0),0)-IFERROR(HLOOKUP(L26,'סקרי נכסים-יתרות פתיחה'!$2:$110,96,0),0)*(1-L$309)</f>
        <v>0</v>
      </c>
      <c r="M259" s="50">
        <f>+IFERROR(HLOOKUP(M26,'סקרי נכסים-יתרות פתיחה'!$2:$110,38,0),0)-IFERROR(HLOOKUP(M26,'סקרי נכסים-יתרות פתיחה'!$2:$110,96,0),0)*(1-M$309)</f>
        <v>0</v>
      </c>
      <c r="N259" s="50">
        <f>+IFERROR(HLOOKUP(N26,'סקרי נכסים-יתרות פתיחה'!$2:$110,38,0),0)-IFERROR(HLOOKUP(N26,'סקרי נכסים-יתרות פתיחה'!$2:$110,96,0),0)*(1-N$309)</f>
        <v>0</v>
      </c>
      <c r="O259" s="50">
        <f>+IFERROR(HLOOKUP(O26,'סקרי נכסים-יתרות פתיחה'!$2:$110,38,0),0)-IFERROR(HLOOKUP(O26,'סקרי נכסים-יתרות פתיחה'!$2:$110,96,0),0)*(1-O$309)</f>
        <v>0</v>
      </c>
      <c r="P259" s="50">
        <f>+IFERROR(HLOOKUP(P26,'סקרי נכסים-יתרות פתיחה'!$2:$110,38,0),0)-IFERROR(HLOOKUP(P26,'סקרי נכסים-יתרות פתיחה'!$2:$110,96,0),0)*(1-P$309)</f>
        <v>0</v>
      </c>
      <c r="Q259" s="50">
        <f>+IFERROR(HLOOKUP(Q26,'סקרי נכסים-יתרות פתיחה'!$2:$110,38,0),0)-IFERROR(HLOOKUP(Q26,'סקרי נכסים-יתרות פתיחה'!$2:$110,96,0),0)*(1-Q$309)</f>
        <v>0</v>
      </c>
      <c r="R259" s="50">
        <f>+IFERROR(HLOOKUP(R26,'סקרי נכסים-יתרות פתיחה'!$2:$110,38,0),0)-IFERROR(HLOOKUP(R26,'סקרי נכסים-יתרות פתיחה'!$2:$110,96,0),0)*(1-R$309)</f>
        <v>0</v>
      </c>
      <c r="S259" s="50">
        <f>+IFERROR(HLOOKUP(S26,'סקרי נכסים-יתרות פתיחה'!$2:$110,38,0),0)-IFERROR(HLOOKUP(S26,'סקרי נכסים-יתרות פתיחה'!$2:$110,96,0),0)*(1-S$309)</f>
        <v>0</v>
      </c>
      <c r="T259" s="50">
        <f>+IFERROR(HLOOKUP(T26,'סקרי נכסים-יתרות פתיחה'!$2:$110,38,0),0)-IFERROR(HLOOKUP(T26,'סקרי נכסים-יתרות פתיחה'!$2:$110,96,0),0)*(1-T$309)</f>
        <v>0</v>
      </c>
      <c r="U259" s="50">
        <f>+IFERROR(HLOOKUP(U26,'סקרי נכסים-יתרות פתיחה'!$2:$110,38,0),0)-IFERROR(HLOOKUP(U26,'סקרי נכסים-יתרות פתיחה'!$2:$110,96,0),0)*(1-U$309)</f>
        <v>0</v>
      </c>
      <c r="V259" s="50">
        <f>+IFERROR(HLOOKUP(V26,'סקרי נכסים-יתרות פתיחה'!$2:$110,38,0),0)-IFERROR(HLOOKUP(V26,'סקרי נכסים-יתרות פתיחה'!$2:$110,96,0),0)*(1-V$309)</f>
        <v>0</v>
      </c>
      <c r="W259" s="50">
        <f>+IFERROR(HLOOKUP(W26,'סקרי נכסים-יתרות פתיחה'!$2:$110,38,0),0)-IFERROR(HLOOKUP(W26,'סקרי נכסים-יתרות פתיחה'!$2:$110,96,0),0)*(1-W$309)</f>
        <v>0</v>
      </c>
      <c r="X259" s="50">
        <f>+IFERROR(HLOOKUP(X26,'סקרי נכסים-יתרות פתיחה'!$2:$110,38,0),0)-IFERROR(HLOOKUP(X26,'סקרי נכסים-יתרות פתיחה'!$2:$110,96,0),0)*(1-X$309)</f>
        <v>0</v>
      </c>
      <c r="Y259" s="50">
        <f>+IFERROR(HLOOKUP(Y26,'סקרי נכסים-יתרות פתיחה'!$2:$110,38,0),0)-IFERROR(HLOOKUP(Y26,'סקרי נכסים-יתרות פתיחה'!$2:$110,96,0),0)*(1-Y$309)</f>
        <v>0</v>
      </c>
      <c r="Z259" s="50">
        <f>+IFERROR(HLOOKUP(Z26,'סקרי נכסים-יתרות פתיחה'!$2:$110,38,0),0)-IFERROR(HLOOKUP(Z26,'סקרי נכסים-יתרות פתיחה'!$2:$110,96,0),0)*(1-Z$309)</f>
        <v>0</v>
      </c>
      <c r="AA259" s="50">
        <f>+IFERROR(HLOOKUP(AA26,'סקרי נכסים-יתרות פתיחה'!$2:$110,38,0),0)-IFERROR(HLOOKUP(AA26,'סקרי נכסים-יתרות פתיחה'!$2:$110,96,0),0)*(1-AA$309)</f>
        <v>0</v>
      </c>
      <c r="AB259" s="50">
        <f>+IFERROR(HLOOKUP(AB26,'סקרי נכסים-יתרות פתיחה'!$2:$110,38,0),0)-IFERROR(HLOOKUP(AB26,'סקרי נכסים-יתרות פתיחה'!$2:$110,96,0),0)*(1-AB$309)</f>
        <v>0</v>
      </c>
      <c r="AC259" s="50">
        <f>+IFERROR(HLOOKUP(AC26,'סקרי נכסים-יתרות פתיחה'!$2:$110,38,0),0)-IFERROR(HLOOKUP(AC26,'סקרי נכסים-יתרות פתיחה'!$2:$110,96,0),0)*(1-AC$309)</f>
        <v>0</v>
      </c>
      <c r="AD259" s="50">
        <f>+IFERROR(HLOOKUP(AD26,'סקרי נכסים-יתרות פתיחה'!$2:$110,38,0),0)-IFERROR(HLOOKUP(AD26,'סקרי נכסים-יתרות פתיחה'!$2:$110,96,0),0)*(1-AD$309)</f>
        <v>0</v>
      </c>
      <c r="AE259" s="50">
        <f>+IFERROR(HLOOKUP(AE26,'סקרי נכסים-יתרות פתיחה'!$2:$110,38,0),0)-IFERROR(HLOOKUP(AE26,'סקרי נכסים-יתרות פתיחה'!$2:$110,96,0),0)*(1-AE$309)</f>
        <v>0</v>
      </c>
      <c r="AF259" s="50">
        <f>+IFERROR(HLOOKUP(AF26,'סקרי נכסים-יתרות פתיחה'!$2:$110,38,0),0)-IFERROR(HLOOKUP(AF26,'סקרי נכסים-יתרות פתיחה'!$2:$110,96,0),0)*(1-AF$309)</f>
        <v>0</v>
      </c>
      <c r="AG259" s="50">
        <f>+IFERROR(HLOOKUP(AG26,'סקרי נכסים-יתרות פתיחה'!$2:$110,38,0),0)-IFERROR(HLOOKUP(AG26,'סקרי נכסים-יתרות פתיחה'!$2:$110,96,0),0)*(1-AG$309)</f>
        <v>0</v>
      </c>
      <c r="AH259" s="50">
        <f>+IFERROR(HLOOKUP(AH26,'סקרי נכסים-יתרות פתיחה'!$2:$110,38,0),0)-IFERROR(HLOOKUP(AH26,'סקרי נכסים-יתרות פתיחה'!$2:$110,96,0),0)*(1-AH$309)</f>
        <v>0</v>
      </c>
      <c r="AI259" s="50">
        <f>+IFERROR(HLOOKUP(AI26,'סקרי נכסים-יתרות פתיחה'!$2:$110,38,0),0)-IFERROR(HLOOKUP(AI26,'סקרי נכסים-יתרות פתיחה'!$2:$110,96,0),0)*(1-AI$309)</f>
        <v>0</v>
      </c>
      <c r="AJ259" s="50">
        <f>+IFERROR(HLOOKUP(AJ26,'סקרי נכסים-יתרות פתיחה'!$2:$110,38,0),0)-IFERROR(HLOOKUP(AJ26,'סקרי נכסים-יתרות פתיחה'!$2:$110,96,0),0)*(1-AJ$309)</f>
        <v>0</v>
      </c>
      <c r="AK259" s="50">
        <f>+IFERROR(HLOOKUP(AK26,'סקרי נכסים-יתרות פתיחה'!$2:$110,38,0),0)-IFERROR(HLOOKUP(AK26,'סקרי נכסים-יתרות פתיחה'!$2:$110,96,0),0)*(1-AK$309)</f>
        <v>0</v>
      </c>
      <c r="AL259" s="50">
        <f>+IFERROR(HLOOKUP(AL26,'סקרי נכסים-יתרות פתיחה'!$2:$110,38,0),0)-IFERROR(HLOOKUP(AL26,'סקרי נכסים-יתרות פתיחה'!$2:$110,96,0),0)*(1-AL$309)</f>
        <v>0</v>
      </c>
      <c r="AM259" s="50">
        <f>+IFERROR(HLOOKUP(AM26,'סקרי נכסים-יתרות פתיחה'!$2:$110,38,0),0)-IFERROR(HLOOKUP(AM26,'סקרי נכסים-יתרות פתיחה'!$2:$110,96,0),0)*(1-AM$309)</f>
        <v>0</v>
      </c>
      <c r="AN259" s="50">
        <f>+IFERROR(HLOOKUP(AN26,'סקרי נכסים-יתרות פתיחה'!$2:$110,38,0),0)-IFERROR(HLOOKUP(AN26,'סקרי נכסים-יתרות פתיחה'!$2:$110,96,0),0)*(1-AN$309)</f>
        <v>0</v>
      </c>
      <c r="AO259" s="50">
        <f>+IFERROR(HLOOKUP(AO26,'סקרי נכסים-יתרות פתיחה'!$2:$110,38,0),0)-IFERROR(HLOOKUP(AO26,'סקרי נכסים-יתרות פתיחה'!$2:$110,96,0),0)*(1-AO$309)</f>
        <v>0</v>
      </c>
      <c r="AP259" s="50">
        <f>+IFERROR(HLOOKUP(AP26,'סקרי נכסים-יתרות פתיחה'!$2:$110,38,0),0)-IFERROR(HLOOKUP(AP26,'סקרי נכסים-יתרות פתיחה'!$2:$110,96,0),0)*(1-AP$309)</f>
        <v>0</v>
      </c>
      <c r="AQ259" s="50">
        <f>+IFERROR(HLOOKUP(AQ26,'סקרי נכסים-יתרות פתיחה'!$2:$110,38,0),0)-IFERROR(HLOOKUP(AQ26,'סקרי נכסים-יתרות פתיחה'!$2:$110,96,0),0)*(1-AQ$309)</f>
        <v>0</v>
      </c>
      <c r="AR259" s="50">
        <f>+IFERROR(HLOOKUP(AR26,'סקרי נכסים-יתרות פתיחה'!$2:$110,38,0),0)-IFERROR(HLOOKUP(AR26,'סקרי נכסים-יתרות פתיחה'!$2:$110,96,0),0)*(1-AR$309)</f>
        <v>0</v>
      </c>
      <c r="AS259" s="50">
        <f>+IFERROR(HLOOKUP(AS26,'סקרי נכסים-יתרות פתיחה'!$2:$110,38,0),0)-IFERROR(HLOOKUP(AS26,'סקרי נכסים-יתרות פתיחה'!$2:$110,96,0),0)*(1-AS$309)</f>
        <v>0</v>
      </c>
      <c r="AT259" s="50">
        <f>+IFERROR(HLOOKUP(AT26,'סקרי נכסים-יתרות פתיחה'!$2:$110,38,0),0)-IFERROR(HLOOKUP(AT26,'סקרי נכסים-יתרות פתיחה'!$2:$110,96,0),0)*(1-AT$309)</f>
        <v>0</v>
      </c>
      <c r="AU259" s="50">
        <f>+IFERROR(HLOOKUP(AU26,'סקרי נכסים-יתרות פתיחה'!$2:$110,38,0),0)-IFERROR(HLOOKUP(AU26,'סקרי נכסים-יתרות פתיחה'!$2:$110,96,0),0)*(1-AU$309)</f>
        <v>0</v>
      </c>
      <c r="AV259" s="50">
        <f>+IFERROR(HLOOKUP(AV26,'סקרי נכסים-יתרות פתיחה'!$2:$110,38,0),0)-IFERROR(HLOOKUP(AV26,'סקרי נכסים-יתרות פתיחה'!$2:$110,96,0),0)*(1-AV$309)</f>
        <v>0</v>
      </c>
      <c r="AW259" s="50">
        <f>+IFERROR(HLOOKUP(AW26,'סקרי נכסים-יתרות פתיחה'!$2:$110,38,0),0)-IFERROR(HLOOKUP(AW26,'סקרי נכסים-יתרות פתיחה'!$2:$110,96,0),0)*(1-AW$309)</f>
        <v>0</v>
      </c>
      <c r="AX259" s="50">
        <f>+IFERROR(HLOOKUP(AX26,'סקרי נכסים-יתרות פתיחה'!$2:$110,38,0),0)-IFERROR(HLOOKUP(AX26,'סקרי נכסים-יתרות פתיחה'!$2:$110,96,0),0)*(1-AX$309)</f>
        <v>0</v>
      </c>
      <c r="AY259" s="50">
        <f>+IFERROR(HLOOKUP(AY26,'סקרי נכסים-יתרות פתיחה'!$2:$110,38,0),0)-IFERROR(HLOOKUP(AY26,'סקרי נכסים-יתרות פתיחה'!$2:$110,96,0),0)*(1-AY$309)</f>
        <v>0</v>
      </c>
      <c r="AZ259" s="50">
        <f>+IFERROR(HLOOKUP(AZ26,'סקרי נכסים-יתרות פתיחה'!$2:$110,38,0),0)-IFERROR(HLOOKUP(AZ26,'סקרי נכסים-יתרות פתיחה'!$2:$110,96,0),0)*(1-AZ$309)</f>
        <v>0</v>
      </c>
      <c r="BA259" s="50">
        <f>+IFERROR(HLOOKUP(BA26,'סקרי נכסים-יתרות פתיחה'!$2:$110,38,0),0)-IFERROR(HLOOKUP(BA26,'סקרי נכסים-יתרות פתיחה'!$2:$110,96,0),0)*(1-BA$309)</f>
        <v>0</v>
      </c>
      <c r="BB259" s="50">
        <f>+IFERROR(HLOOKUP(BB26,'סקרי נכסים-יתרות פתיחה'!$2:$110,38,0),0)-IFERROR(HLOOKUP(BB26,'סקרי נכסים-יתרות פתיחה'!$2:$110,96,0),0)*(1-BB$309)</f>
        <v>0</v>
      </c>
      <c r="BC259" s="50">
        <f>+IFERROR(HLOOKUP(BC26,'סקרי נכסים-יתרות פתיחה'!$2:$110,38,0),0)-IFERROR(HLOOKUP(BC26,'סקרי נכסים-יתרות פתיחה'!$2:$110,96,0),0)*(1-BC$309)</f>
        <v>0</v>
      </c>
      <c r="BD259" s="50">
        <f>+IFERROR(HLOOKUP(BD26,'סקרי נכסים-יתרות פתיחה'!$2:$110,38,0),0)-IFERROR(HLOOKUP(BD26,'סקרי נכסים-יתרות פתיחה'!$2:$110,96,0),0)*(1-BD$309)</f>
        <v>0</v>
      </c>
      <c r="BE259" s="50">
        <f>+IFERROR(HLOOKUP(BE26,'סקרי נכסים-יתרות פתיחה'!$2:$110,38,0),0)-IFERROR(HLOOKUP(BE26,'סקרי נכסים-יתרות פתיחה'!$2:$110,96,0),0)*(1-BE$309)</f>
        <v>0</v>
      </c>
      <c r="BF259" s="50">
        <f>+IFERROR(HLOOKUP(BF26,'סקרי נכסים-יתרות פתיחה'!$2:$110,38,0),0)-IFERROR(HLOOKUP(BF26,'סקרי נכסים-יתרות פתיחה'!$2:$110,96,0),0)*(1-BF$309)</f>
        <v>0</v>
      </c>
    </row>
    <row r="260" spans="1:58" x14ac:dyDescent="0.2">
      <c r="B260" s="1">
        <v>24</v>
      </c>
      <c r="C260" s="50">
        <f>+IFERROR(HLOOKUP(C27,'סקרי נכסים-יתרות פתיחה'!$2:$110,38,0),0)-IFERROR(HLOOKUP(C27,'סקרי נכסים-יתרות פתיחה'!$2:$110,96,0),0)*(1-C$309)</f>
        <v>0</v>
      </c>
      <c r="D260" s="50">
        <f>+IFERROR(HLOOKUP(D27,'סקרי נכסים-יתרות פתיחה'!$2:$110,38,0),0)-IFERROR(HLOOKUP(D27,'סקרי נכסים-יתרות פתיחה'!$2:$110,96,0),0)*(1-D$309)</f>
        <v>0</v>
      </c>
      <c r="E260" s="50">
        <f>+IFERROR(HLOOKUP(E27,'סקרי נכסים-יתרות פתיחה'!$2:$110,38,0),0)-IFERROR(HLOOKUP(E27,'סקרי נכסים-יתרות פתיחה'!$2:$110,96,0),0)*(1-E$309)</f>
        <v>0</v>
      </c>
      <c r="F260" s="50">
        <f>+IFERROR(HLOOKUP(F27,'סקרי נכסים-יתרות פתיחה'!$2:$110,38,0),0)-IFERROR(HLOOKUP(F27,'סקרי נכסים-יתרות פתיחה'!$2:$110,96,0),0)*(1-F$309)</f>
        <v>0</v>
      </c>
      <c r="G260" s="50">
        <f>+IFERROR(HLOOKUP(G27,'סקרי נכסים-יתרות פתיחה'!$2:$110,38,0),0)-IFERROR(HLOOKUP(G27,'סקרי נכסים-יתרות פתיחה'!$2:$110,96,0),0)*(1-G$309)</f>
        <v>0</v>
      </c>
      <c r="H260" s="50">
        <f>+IFERROR(HLOOKUP(H27,'סקרי נכסים-יתרות פתיחה'!$2:$110,38,0),0)-IFERROR(HLOOKUP(H27,'סקרי נכסים-יתרות פתיחה'!$2:$110,96,0),0)*(1-H$309)</f>
        <v>0</v>
      </c>
      <c r="I260" s="50">
        <f>+IFERROR(HLOOKUP(I27,'סקרי נכסים-יתרות פתיחה'!$2:$110,38,0),0)-IFERROR(HLOOKUP(I27,'סקרי נכסים-יתרות פתיחה'!$2:$110,96,0),0)*(1-I$309)</f>
        <v>0</v>
      </c>
      <c r="J260" s="50">
        <f>+IFERROR(HLOOKUP(J27,'סקרי נכסים-יתרות פתיחה'!$2:$110,38,0),0)-IFERROR(HLOOKUP(J27,'סקרי נכסים-יתרות פתיחה'!$2:$110,96,0),0)*(1-J$309)</f>
        <v>0</v>
      </c>
      <c r="K260" s="50">
        <f>+IFERROR(HLOOKUP(K27,'סקרי נכסים-יתרות פתיחה'!$2:$110,38,0),0)-IFERROR(HLOOKUP(K27,'סקרי נכסים-יתרות פתיחה'!$2:$110,96,0),0)*(1-K$309)</f>
        <v>0</v>
      </c>
      <c r="L260" s="50">
        <f>+IFERROR(HLOOKUP(L27,'סקרי נכסים-יתרות פתיחה'!$2:$110,38,0),0)-IFERROR(HLOOKUP(L27,'סקרי נכסים-יתרות פתיחה'!$2:$110,96,0),0)*(1-L$309)</f>
        <v>0</v>
      </c>
      <c r="M260" s="50">
        <f>+IFERROR(HLOOKUP(M27,'סקרי נכסים-יתרות פתיחה'!$2:$110,38,0),0)-IFERROR(HLOOKUP(M27,'סקרי נכסים-יתרות פתיחה'!$2:$110,96,0),0)*(1-M$309)</f>
        <v>0</v>
      </c>
      <c r="N260" s="50">
        <f>+IFERROR(HLOOKUP(N27,'סקרי נכסים-יתרות פתיחה'!$2:$110,38,0),0)-IFERROR(HLOOKUP(N27,'סקרי נכסים-יתרות פתיחה'!$2:$110,96,0),0)*(1-N$309)</f>
        <v>0</v>
      </c>
      <c r="O260" s="50">
        <f>+IFERROR(HLOOKUP(O27,'סקרי נכסים-יתרות פתיחה'!$2:$110,38,0),0)-IFERROR(HLOOKUP(O27,'סקרי נכסים-יתרות פתיחה'!$2:$110,96,0),0)*(1-O$309)</f>
        <v>0</v>
      </c>
      <c r="P260" s="50">
        <f>+IFERROR(HLOOKUP(P27,'סקרי נכסים-יתרות פתיחה'!$2:$110,38,0),0)-IFERROR(HLOOKUP(P27,'סקרי נכסים-יתרות פתיחה'!$2:$110,96,0),0)*(1-P$309)</f>
        <v>0</v>
      </c>
      <c r="Q260" s="50">
        <f>+IFERROR(HLOOKUP(Q27,'סקרי נכסים-יתרות פתיחה'!$2:$110,38,0),0)-IFERROR(HLOOKUP(Q27,'סקרי נכסים-יתרות פתיחה'!$2:$110,96,0),0)*(1-Q$309)</f>
        <v>0</v>
      </c>
      <c r="R260" s="50">
        <f>+IFERROR(HLOOKUP(R27,'סקרי נכסים-יתרות פתיחה'!$2:$110,38,0),0)-IFERROR(HLOOKUP(R27,'סקרי נכסים-יתרות פתיחה'!$2:$110,96,0),0)*(1-R$309)</f>
        <v>0</v>
      </c>
      <c r="S260" s="50">
        <f>+IFERROR(HLOOKUP(S27,'סקרי נכסים-יתרות פתיחה'!$2:$110,38,0),0)-IFERROR(HLOOKUP(S27,'סקרי נכסים-יתרות פתיחה'!$2:$110,96,0),0)*(1-S$309)</f>
        <v>0</v>
      </c>
      <c r="T260" s="50">
        <f>+IFERROR(HLOOKUP(T27,'סקרי נכסים-יתרות פתיחה'!$2:$110,38,0),0)-IFERROR(HLOOKUP(T27,'סקרי נכסים-יתרות פתיחה'!$2:$110,96,0),0)*(1-T$309)</f>
        <v>0</v>
      </c>
      <c r="U260" s="50">
        <f>+IFERROR(HLOOKUP(U27,'סקרי נכסים-יתרות פתיחה'!$2:$110,38,0),0)-IFERROR(HLOOKUP(U27,'סקרי נכסים-יתרות פתיחה'!$2:$110,96,0),0)*(1-U$309)</f>
        <v>0</v>
      </c>
      <c r="V260" s="50">
        <f>+IFERROR(HLOOKUP(V27,'סקרי נכסים-יתרות פתיחה'!$2:$110,38,0),0)-IFERROR(HLOOKUP(V27,'סקרי נכסים-יתרות פתיחה'!$2:$110,96,0),0)*(1-V$309)</f>
        <v>0</v>
      </c>
      <c r="W260" s="50">
        <f>+IFERROR(HLOOKUP(W27,'סקרי נכסים-יתרות פתיחה'!$2:$110,38,0),0)-IFERROR(HLOOKUP(W27,'סקרי נכסים-יתרות פתיחה'!$2:$110,96,0),0)*(1-W$309)</f>
        <v>0</v>
      </c>
      <c r="X260" s="50">
        <f>+IFERROR(HLOOKUP(X27,'סקרי נכסים-יתרות פתיחה'!$2:$110,38,0),0)-IFERROR(HLOOKUP(X27,'סקרי נכסים-יתרות פתיחה'!$2:$110,96,0),0)*(1-X$309)</f>
        <v>0</v>
      </c>
      <c r="Y260" s="50">
        <f>+IFERROR(HLOOKUP(Y27,'סקרי נכסים-יתרות פתיחה'!$2:$110,38,0),0)-IFERROR(HLOOKUP(Y27,'סקרי נכסים-יתרות פתיחה'!$2:$110,96,0),0)*(1-Y$309)</f>
        <v>0</v>
      </c>
      <c r="Z260" s="50">
        <f>+IFERROR(HLOOKUP(Z27,'סקרי נכסים-יתרות פתיחה'!$2:$110,38,0),0)-IFERROR(HLOOKUP(Z27,'סקרי נכסים-יתרות פתיחה'!$2:$110,96,0),0)*(1-Z$309)</f>
        <v>0</v>
      </c>
      <c r="AA260" s="50">
        <f>+IFERROR(HLOOKUP(AA27,'סקרי נכסים-יתרות פתיחה'!$2:$110,38,0),0)-IFERROR(HLOOKUP(AA27,'סקרי נכסים-יתרות פתיחה'!$2:$110,96,0),0)*(1-AA$309)</f>
        <v>0</v>
      </c>
      <c r="AB260" s="50">
        <f>+IFERROR(HLOOKUP(AB27,'סקרי נכסים-יתרות פתיחה'!$2:$110,38,0),0)-IFERROR(HLOOKUP(AB27,'סקרי נכסים-יתרות פתיחה'!$2:$110,96,0),0)*(1-AB$309)</f>
        <v>0</v>
      </c>
      <c r="AC260" s="50">
        <f>+IFERROR(HLOOKUP(AC27,'סקרי נכסים-יתרות פתיחה'!$2:$110,38,0),0)-IFERROR(HLOOKUP(AC27,'סקרי נכסים-יתרות פתיחה'!$2:$110,96,0),0)*(1-AC$309)</f>
        <v>0</v>
      </c>
      <c r="AD260" s="50">
        <f>+IFERROR(HLOOKUP(AD27,'סקרי נכסים-יתרות פתיחה'!$2:$110,38,0),0)-IFERROR(HLOOKUP(AD27,'סקרי נכסים-יתרות פתיחה'!$2:$110,96,0),0)*(1-AD$309)</f>
        <v>0</v>
      </c>
      <c r="AE260" s="50">
        <f>+IFERROR(HLOOKUP(AE27,'סקרי נכסים-יתרות פתיחה'!$2:$110,38,0),0)-IFERROR(HLOOKUP(AE27,'סקרי נכסים-יתרות פתיחה'!$2:$110,96,0),0)*(1-AE$309)</f>
        <v>0</v>
      </c>
      <c r="AF260" s="50">
        <f>+IFERROR(HLOOKUP(AF27,'סקרי נכסים-יתרות פתיחה'!$2:$110,38,0),0)-IFERROR(HLOOKUP(AF27,'סקרי נכסים-יתרות פתיחה'!$2:$110,96,0),0)*(1-AF$309)</f>
        <v>0</v>
      </c>
      <c r="AG260" s="50">
        <f>+IFERROR(HLOOKUP(AG27,'סקרי נכסים-יתרות פתיחה'!$2:$110,38,0),0)-IFERROR(HLOOKUP(AG27,'סקרי נכסים-יתרות פתיחה'!$2:$110,96,0),0)*(1-AG$309)</f>
        <v>0</v>
      </c>
      <c r="AH260" s="50">
        <f>+IFERROR(HLOOKUP(AH27,'סקרי נכסים-יתרות פתיחה'!$2:$110,38,0),0)-IFERROR(HLOOKUP(AH27,'סקרי נכסים-יתרות פתיחה'!$2:$110,96,0),0)*(1-AH$309)</f>
        <v>0</v>
      </c>
      <c r="AI260" s="50">
        <f>+IFERROR(HLOOKUP(AI27,'סקרי נכסים-יתרות פתיחה'!$2:$110,38,0),0)-IFERROR(HLOOKUP(AI27,'סקרי נכסים-יתרות פתיחה'!$2:$110,96,0),0)*(1-AI$309)</f>
        <v>0</v>
      </c>
      <c r="AJ260" s="50">
        <f>+IFERROR(HLOOKUP(AJ27,'סקרי נכסים-יתרות פתיחה'!$2:$110,38,0),0)-IFERROR(HLOOKUP(AJ27,'סקרי נכסים-יתרות פתיחה'!$2:$110,96,0),0)*(1-AJ$309)</f>
        <v>0</v>
      </c>
      <c r="AK260" s="50">
        <f>+IFERROR(HLOOKUP(AK27,'סקרי נכסים-יתרות פתיחה'!$2:$110,38,0),0)-IFERROR(HLOOKUP(AK27,'סקרי נכסים-יתרות פתיחה'!$2:$110,96,0),0)*(1-AK$309)</f>
        <v>0</v>
      </c>
      <c r="AL260" s="50">
        <f>+IFERROR(HLOOKUP(AL27,'סקרי נכסים-יתרות פתיחה'!$2:$110,38,0),0)-IFERROR(HLOOKUP(AL27,'סקרי נכסים-יתרות פתיחה'!$2:$110,96,0),0)*(1-AL$309)</f>
        <v>0</v>
      </c>
      <c r="AM260" s="50">
        <f>+IFERROR(HLOOKUP(AM27,'סקרי נכסים-יתרות פתיחה'!$2:$110,38,0),0)-IFERROR(HLOOKUP(AM27,'סקרי נכסים-יתרות פתיחה'!$2:$110,96,0),0)*(1-AM$309)</f>
        <v>0</v>
      </c>
      <c r="AN260" s="50">
        <f>+IFERROR(HLOOKUP(AN27,'סקרי נכסים-יתרות פתיחה'!$2:$110,38,0),0)-IFERROR(HLOOKUP(AN27,'סקרי נכסים-יתרות פתיחה'!$2:$110,96,0),0)*(1-AN$309)</f>
        <v>0</v>
      </c>
      <c r="AO260" s="50">
        <f>+IFERROR(HLOOKUP(AO27,'סקרי נכסים-יתרות פתיחה'!$2:$110,38,0),0)-IFERROR(HLOOKUP(AO27,'סקרי נכסים-יתרות פתיחה'!$2:$110,96,0),0)*(1-AO$309)</f>
        <v>0</v>
      </c>
      <c r="AP260" s="50">
        <f>+IFERROR(HLOOKUP(AP27,'סקרי נכסים-יתרות פתיחה'!$2:$110,38,0),0)-IFERROR(HLOOKUP(AP27,'סקרי נכסים-יתרות פתיחה'!$2:$110,96,0),0)*(1-AP$309)</f>
        <v>0</v>
      </c>
      <c r="AQ260" s="50">
        <f>+IFERROR(HLOOKUP(AQ27,'סקרי נכסים-יתרות פתיחה'!$2:$110,38,0),0)-IFERROR(HLOOKUP(AQ27,'סקרי נכסים-יתרות פתיחה'!$2:$110,96,0),0)*(1-AQ$309)</f>
        <v>0</v>
      </c>
      <c r="AR260" s="50">
        <f>+IFERROR(HLOOKUP(AR27,'סקרי נכסים-יתרות פתיחה'!$2:$110,38,0),0)-IFERROR(HLOOKUP(AR27,'סקרי נכסים-יתרות פתיחה'!$2:$110,96,0),0)*(1-AR$309)</f>
        <v>0</v>
      </c>
      <c r="AS260" s="50">
        <f>+IFERROR(HLOOKUP(AS27,'סקרי נכסים-יתרות פתיחה'!$2:$110,38,0),0)-IFERROR(HLOOKUP(AS27,'סקרי נכסים-יתרות פתיחה'!$2:$110,96,0),0)*(1-AS$309)</f>
        <v>0</v>
      </c>
      <c r="AT260" s="50">
        <f>+IFERROR(HLOOKUP(AT27,'סקרי נכסים-יתרות פתיחה'!$2:$110,38,0),0)-IFERROR(HLOOKUP(AT27,'סקרי נכסים-יתרות פתיחה'!$2:$110,96,0),0)*(1-AT$309)</f>
        <v>0</v>
      </c>
      <c r="AU260" s="50">
        <f>+IFERROR(HLOOKUP(AU27,'סקרי נכסים-יתרות פתיחה'!$2:$110,38,0),0)-IFERROR(HLOOKUP(AU27,'סקרי נכסים-יתרות פתיחה'!$2:$110,96,0),0)*(1-AU$309)</f>
        <v>0</v>
      </c>
      <c r="AV260" s="50">
        <f>+IFERROR(HLOOKUP(AV27,'סקרי נכסים-יתרות פתיחה'!$2:$110,38,0),0)-IFERROR(HLOOKUP(AV27,'סקרי נכסים-יתרות פתיחה'!$2:$110,96,0),0)*(1-AV$309)</f>
        <v>0</v>
      </c>
      <c r="AW260" s="50">
        <f>+IFERROR(HLOOKUP(AW27,'סקרי נכסים-יתרות פתיחה'!$2:$110,38,0),0)-IFERROR(HLOOKUP(AW27,'סקרי נכסים-יתרות פתיחה'!$2:$110,96,0),0)*(1-AW$309)</f>
        <v>0</v>
      </c>
      <c r="AX260" s="50">
        <f>+IFERROR(HLOOKUP(AX27,'סקרי נכסים-יתרות פתיחה'!$2:$110,38,0),0)-IFERROR(HLOOKUP(AX27,'סקרי נכסים-יתרות פתיחה'!$2:$110,96,0),0)*(1-AX$309)</f>
        <v>0</v>
      </c>
      <c r="AY260" s="50">
        <f>+IFERROR(HLOOKUP(AY27,'סקרי נכסים-יתרות פתיחה'!$2:$110,38,0),0)-IFERROR(HLOOKUP(AY27,'סקרי נכסים-יתרות פתיחה'!$2:$110,96,0),0)*(1-AY$309)</f>
        <v>0</v>
      </c>
      <c r="AZ260" s="50">
        <f>+IFERROR(HLOOKUP(AZ27,'סקרי נכסים-יתרות פתיחה'!$2:$110,38,0),0)-IFERROR(HLOOKUP(AZ27,'סקרי נכסים-יתרות פתיחה'!$2:$110,96,0),0)*(1-AZ$309)</f>
        <v>0</v>
      </c>
      <c r="BA260" s="50">
        <f>+IFERROR(HLOOKUP(BA27,'סקרי נכסים-יתרות פתיחה'!$2:$110,38,0),0)-IFERROR(HLOOKUP(BA27,'סקרי נכסים-יתרות פתיחה'!$2:$110,96,0),0)*(1-BA$309)</f>
        <v>0</v>
      </c>
      <c r="BB260" s="50">
        <f>+IFERROR(HLOOKUP(BB27,'סקרי נכסים-יתרות פתיחה'!$2:$110,38,0),0)-IFERROR(HLOOKUP(BB27,'סקרי נכסים-יתרות פתיחה'!$2:$110,96,0),0)*(1-BB$309)</f>
        <v>0</v>
      </c>
      <c r="BC260" s="50">
        <f>+IFERROR(HLOOKUP(BC27,'סקרי נכסים-יתרות פתיחה'!$2:$110,38,0),0)-IFERROR(HLOOKUP(BC27,'סקרי נכסים-יתרות פתיחה'!$2:$110,96,0),0)*(1-BC$309)</f>
        <v>0</v>
      </c>
      <c r="BD260" s="50">
        <f>+IFERROR(HLOOKUP(BD27,'סקרי נכסים-יתרות פתיחה'!$2:$110,38,0),0)-IFERROR(HLOOKUP(BD27,'סקרי נכסים-יתרות פתיחה'!$2:$110,96,0),0)*(1-BD$309)</f>
        <v>0</v>
      </c>
      <c r="BE260" s="50">
        <f>+IFERROR(HLOOKUP(BE27,'סקרי נכסים-יתרות פתיחה'!$2:$110,38,0),0)-IFERROR(HLOOKUP(BE27,'סקרי נכסים-יתרות פתיחה'!$2:$110,96,0),0)*(1-BE$309)</f>
        <v>0</v>
      </c>
      <c r="BF260" s="50">
        <f>+IFERROR(HLOOKUP(BF27,'סקרי נכסים-יתרות פתיחה'!$2:$110,38,0),0)-IFERROR(HLOOKUP(BF27,'סקרי נכסים-יתרות פתיחה'!$2:$110,96,0),0)*(1-BF$309)</f>
        <v>0</v>
      </c>
    </row>
    <row r="261" spans="1:58" x14ac:dyDescent="0.2">
      <c r="B261" s="1">
        <v>25</v>
      </c>
      <c r="C261" s="50">
        <f>+IFERROR(HLOOKUP(C28,'סקרי נכסים-יתרות פתיחה'!$2:$110,38,0),0)-IFERROR(HLOOKUP(C28,'סקרי נכסים-יתרות פתיחה'!$2:$110,96,0),0)*(1-C$309)</f>
        <v>0</v>
      </c>
      <c r="D261" s="50">
        <f>+IFERROR(HLOOKUP(D28,'סקרי נכסים-יתרות פתיחה'!$2:$110,38,0),0)-IFERROR(HLOOKUP(D28,'סקרי נכסים-יתרות פתיחה'!$2:$110,96,0),0)*(1-D$309)</f>
        <v>0</v>
      </c>
      <c r="E261" s="50">
        <f>+IFERROR(HLOOKUP(E28,'סקרי נכסים-יתרות פתיחה'!$2:$110,38,0),0)-IFERROR(HLOOKUP(E28,'סקרי נכסים-יתרות פתיחה'!$2:$110,96,0),0)*(1-E$309)</f>
        <v>0</v>
      </c>
      <c r="F261" s="50">
        <f>+IFERROR(HLOOKUP(F28,'סקרי נכסים-יתרות פתיחה'!$2:$110,38,0),0)-IFERROR(HLOOKUP(F28,'סקרי נכסים-יתרות פתיחה'!$2:$110,96,0),0)*(1-F$309)</f>
        <v>0</v>
      </c>
      <c r="G261" s="50">
        <f>+IFERROR(HLOOKUP(G28,'סקרי נכסים-יתרות פתיחה'!$2:$110,38,0),0)-IFERROR(HLOOKUP(G28,'סקרי נכסים-יתרות פתיחה'!$2:$110,96,0),0)*(1-G$309)</f>
        <v>0</v>
      </c>
      <c r="H261" s="50">
        <f>+IFERROR(HLOOKUP(H28,'סקרי נכסים-יתרות פתיחה'!$2:$110,38,0),0)-IFERROR(HLOOKUP(H28,'סקרי נכסים-יתרות פתיחה'!$2:$110,96,0),0)*(1-H$309)</f>
        <v>0</v>
      </c>
      <c r="I261" s="50">
        <f>+IFERROR(HLOOKUP(I28,'סקרי נכסים-יתרות פתיחה'!$2:$110,38,0),0)-IFERROR(HLOOKUP(I28,'סקרי נכסים-יתרות פתיחה'!$2:$110,96,0),0)*(1-I$309)</f>
        <v>0</v>
      </c>
      <c r="J261" s="50">
        <f>+IFERROR(HLOOKUP(J28,'סקרי נכסים-יתרות פתיחה'!$2:$110,38,0),0)-IFERROR(HLOOKUP(J28,'סקרי נכסים-יתרות פתיחה'!$2:$110,96,0),0)*(1-J$309)</f>
        <v>0</v>
      </c>
      <c r="K261" s="50">
        <f>+IFERROR(HLOOKUP(K28,'סקרי נכסים-יתרות פתיחה'!$2:$110,38,0),0)-IFERROR(HLOOKUP(K28,'סקרי נכסים-יתרות פתיחה'!$2:$110,96,0),0)*(1-K$309)</f>
        <v>0</v>
      </c>
      <c r="L261" s="50">
        <f>+IFERROR(HLOOKUP(L28,'סקרי נכסים-יתרות פתיחה'!$2:$110,38,0),0)-IFERROR(HLOOKUP(L28,'סקרי נכסים-יתרות פתיחה'!$2:$110,96,0),0)*(1-L$309)</f>
        <v>0</v>
      </c>
      <c r="M261" s="50">
        <f>+IFERROR(HLOOKUP(M28,'סקרי נכסים-יתרות פתיחה'!$2:$110,38,0),0)-IFERROR(HLOOKUP(M28,'סקרי נכסים-יתרות פתיחה'!$2:$110,96,0),0)*(1-M$309)</f>
        <v>0</v>
      </c>
      <c r="N261" s="50">
        <f>+IFERROR(HLOOKUP(N28,'סקרי נכסים-יתרות פתיחה'!$2:$110,38,0),0)-IFERROR(HLOOKUP(N28,'סקרי נכסים-יתרות פתיחה'!$2:$110,96,0),0)*(1-N$309)</f>
        <v>0</v>
      </c>
      <c r="O261" s="50">
        <f>+IFERROR(HLOOKUP(O28,'סקרי נכסים-יתרות פתיחה'!$2:$110,38,0),0)-IFERROR(HLOOKUP(O28,'סקרי נכסים-יתרות פתיחה'!$2:$110,96,0),0)*(1-O$309)</f>
        <v>0</v>
      </c>
      <c r="P261" s="50">
        <f>+IFERROR(HLOOKUP(P28,'סקרי נכסים-יתרות פתיחה'!$2:$110,38,0),0)-IFERROR(HLOOKUP(P28,'סקרי נכסים-יתרות פתיחה'!$2:$110,96,0),0)*(1-P$309)</f>
        <v>0</v>
      </c>
      <c r="Q261" s="50">
        <f>+IFERROR(HLOOKUP(Q28,'סקרי נכסים-יתרות פתיחה'!$2:$110,38,0),0)-IFERROR(HLOOKUP(Q28,'סקרי נכסים-יתרות פתיחה'!$2:$110,96,0),0)*(1-Q$309)</f>
        <v>0</v>
      </c>
      <c r="R261" s="50">
        <f>+IFERROR(HLOOKUP(R28,'סקרי נכסים-יתרות פתיחה'!$2:$110,38,0),0)-IFERROR(HLOOKUP(R28,'סקרי נכסים-יתרות פתיחה'!$2:$110,96,0),0)*(1-R$309)</f>
        <v>0</v>
      </c>
      <c r="S261" s="50">
        <f>+IFERROR(HLOOKUP(S28,'סקרי נכסים-יתרות פתיחה'!$2:$110,38,0),0)-IFERROR(HLOOKUP(S28,'סקרי נכסים-יתרות פתיחה'!$2:$110,96,0),0)*(1-S$309)</f>
        <v>0</v>
      </c>
      <c r="T261" s="50">
        <f>+IFERROR(HLOOKUP(T28,'סקרי נכסים-יתרות פתיחה'!$2:$110,38,0),0)-IFERROR(HLOOKUP(T28,'סקרי נכסים-יתרות פתיחה'!$2:$110,96,0),0)*(1-T$309)</f>
        <v>0</v>
      </c>
      <c r="U261" s="50">
        <f>+IFERROR(HLOOKUP(U28,'סקרי נכסים-יתרות פתיחה'!$2:$110,38,0),0)-IFERROR(HLOOKUP(U28,'סקרי נכסים-יתרות פתיחה'!$2:$110,96,0),0)*(1-U$309)</f>
        <v>0</v>
      </c>
      <c r="V261" s="50">
        <f>+IFERROR(HLOOKUP(V28,'סקרי נכסים-יתרות פתיחה'!$2:$110,38,0),0)-IFERROR(HLOOKUP(V28,'סקרי נכסים-יתרות פתיחה'!$2:$110,96,0),0)*(1-V$309)</f>
        <v>0</v>
      </c>
      <c r="W261" s="50">
        <f>+IFERROR(HLOOKUP(W28,'סקרי נכסים-יתרות פתיחה'!$2:$110,38,0),0)-IFERROR(HLOOKUP(W28,'סקרי נכסים-יתרות פתיחה'!$2:$110,96,0),0)*(1-W$309)</f>
        <v>0</v>
      </c>
      <c r="X261" s="50">
        <f>+IFERROR(HLOOKUP(X28,'סקרי נכסים-יתרות פתיחה'!$2:$110,38,0),0)-IFERROR(HLOOKUP(X28,'סקרי נכסים-יתרות פתיחה'!$2:$110,96,0),0)*(1-X$309)</f>
        <v>0</v>
      </c>
      <c r="Y261" s="50">
        <f>+IFERROR(HLOOKUP(Y28,'סקרי נכסים-יתרות פתיחה'!$2:$110,38,0),0)-IFERROR(HLOOKUP(Y28,'סקרי נכסים-יתרות פתיחה'!$2:$110,96,0),0)*(1-Y$309)</f>
        <v>0</v>
      </c>
      <c r="Z261" s="50">
        <f>+IFERROR(HLOOKUP(Z28,'סקרי נכסים-יתרות פתיחה'!$2:$110,38,0),0)-IFERROR(HLOOKUP(Z28,'סקרי נכסים-יתרות פתיחה'!$2:$110,96,0),0)*(1-Z$309)</f>
        <v>0</v>
      </c>
      <c r="AA261" s="50">
        <f>+IFERROR(HLOOKUP(AA28,'סקרי נכסים-יתרות פתיחה'!$2:$110,38,0),0)-IFERROR(HLOOKUP(AA28,'סקרי נכסים-יתרות פתיחה'!$2:$110,96,0),0)*(1-AA$309)</f>
        <v>0</v>
      </c>
      <c r="AB261" s="50">
        <f>+IFERROR(HLOOKUP(AB28,'סקרי נכסים-יתרות פתיחה'!$2:$110,38,0),0)-IFERROR(HLOOKUP(AB28,'סקרי נכסים-יתרות פתיחה'!$2:$110,96,0),0)*(1-AB$309)</f>
        <v>0</v>
      </c>
      <c r="AC261" s="50">
        <f>+IFERROR(HLOOKUP(AC28,'סקרי נכסים-יתרות פתיחה'!$2:$110,38,0),0)-IFERROR(HLOOKUP(AC28,'סקרי נכסים-יתרות פתיחה'!$2:$110,96,0),0)*(1-AC$309)</f>
        <v>0</v>
      </c>
      <c r="AD261" s="50">
        <f>+IFERROR(HLOOKUP(AD28,'סקרי נכסים-יתרות פתיחה'!$2:$110,38,0),0)-IFERROR(HLOOKUP(AD28,'סקרי נכסים-יתרות פתיחה'!$2:$110,96,0),0)*(1-AD$309)</f>
        <v>0</v>
      </c>
      <c r="AE261" s="50">
        <f>+IFERROR(HLOOKUP(AE28,'סקרי נכסים-יתרות פתיחה'!$2:$110,38,0),0)-IFERROR(HLOOKUP(AE28,'סקרי נכסים-יתרות פתיחה'!$2:$110,96,0),0)*(1-AE$309)</f>
        <v>0</v>
      </c>
      <c r="AF261" s="50">
        <f>+IFERROR(HLOOKUP(AF28,'סקרי נכסים-יתרות פתיחה'!$2:$110,38,0),0)-IFERROR(HLOOKUP(AF28,'סקרי נכסים-יתרות פתיחה'!$2:$110,96,0),0)*(1-AF$309)</f>
        <v>0</v>
      </c>
      <c r="AG261" s="50">
        <f>+IFERROR(HLOOKUP(AG28,'סקרי נכסים-יתרות פתיחה'!$2:$110,38,0),0)-IFERROR(HLOOKUP(AG28,'סקרי נכסים-יתרות פתיחה'!$2:$110,96,0),0)*(1-AG$309)</f>
        <v>0</v>
      </c>
      <c r="AH261" s="50">
        <f>+IFERROR(HLOOKUP(AH28,'סקרי נכסים-יתרות פתיחה'!$2:$110,38,0),0)-IFERROR(HLOOKUP(AH28,'סקרי נכסים-יתרות פתיחה'!$2:$110,96,0),0)*(1-AH$309)</f>
        <v>0</v>
      </c>
      <c r="AI261" s="50">
        <f>+IFERROR(HLOOKUP(AI28,'סקרי נכסים-יתרות פתיחה'!$2:$110,38,0),0)-IFERROR(HLOOKUP(AI28,'סקרי נכסים-יתרות פתיחה'!$2:$110,96,0),0)*(1-AI$309)</f>
        <v>0</v>
      </c>
      <c r="AJ261" s="50">
        <f>+IFERROR(HLOOKUP(AJ28,'סקרי נכסים-יתרות פתיחה'!$2:$110,38,0),0)-IFERROR(HLOOKUP(AJ28,'סקרי נכסים-יתרות פתיחה'!$2:$110,96,0),0)*(1-AJ$309)</f>
        <v>0</v>
      </c>
      <c r="AK261" s="50">
        <f>+IFERROR(HLOOKUP(AK28,'סקרי נכסים-יתרות פתיחה'!$2:$110,38,0),0)-IFERROR(HLOOKUP(AK28,'סקרי נכסים-יתרות פתיחה'!$2:$110,96,0),0)*(1-AK$309)</f>
        <v>0</v>
      </c>
      <c r="AL261" s="50">
        <f>+IFERROR(HLOOKUP(AL28,'סקרי נכסים-יתרות פתיחה'!$2:$110,38,0),0)-IFERROR(HLOOKUP(AL28,'סקרי נכסים-יתרות פתיחה'!$2:$110,96,0),0)*(1-AL$309)</f>
        <v>0</v>
      </c>
      <c r="AM261" s="50">
        <f>+IFERROR(HLOOKUP(AM28,'סקרי נכסים-יתרות פתיחה'!$2:$110,38,0),0)-IFERROR(HLOOKUP(AM28,'סקרי נכסים-יתרות פתיחה'!$2:$110,96,0),0)*(1-AM$309)</f>
        <v>0</v>
      </c>
      <c r="AN261" s="50">
        <f>+IFERROR(HLOOKUP(AN28,'סקרי נכסים-יתרות פתיחה'!$2:$110,38,0),0)-IFERROR(HLOOKUP(AN28,'סקרי נכסים-יתרות פתיחה'!$2:$110,96,0),0)*(1-AN$309)</f>
        <v>0</v>
      </c>
      <c r="AO261" s="50">
        <f>+IFERROR(HLOOKUP(AO28,'סקרי נכסים-יתרות פתיחה'!$2:$110,38,0),0)-IFERROR(HLOOKUP(AO28,'סקרי נכסים-יתרות פתיחה'!$2:$110,96,0),0)*(1-AO$309)</f>
        <v>0</v>
      </c>
      <c r="AP261" s="50">
        <f>+IFERROR(HLOOKUP(AP28,'סקרי נכסים-יתרות פתיחה'!$2:$110,38,0),0)-IFERROR(HLOOKUP(AP28,'סקרי נכסים-יתרות פתיחה'!$2:$110,96,0),0)*(1-AP$309)</f>
        <v>0</v>
      </c>
      <c r="AQ261" s="50">
        <f>+IFERROR(HLOOKUP(AQ28,'סקרי נכסים-יתרות פתיחה'!$2:$110,38,0),0)-IFERROR(HLOOKUP(AQ28,'סקרי נכסים-יתרות פתיחה'!$2:$110,96,0),0)*(1-AQ$309)</f>
        <v>0</v>
      </c>
      <c r="AR261" s="50">
        <f>+IFERROR(HLOOKUP(AR28,'סקרי נכסים-יתרות פתיחה'!$2:$110,38,0),0)-IFERROR(HLOOKUP(AR28,'סקרי נכסים-יתרות פתיחה'!$2:$110,96,0),0)*(1-AR$309)</f>
        <v>0</v>
      </c>
      <c r="AS261" s="50">
        <f>+IFERROR(HLOOKUP(AS28,'סקרי נכסים-יתרות פתיחה'!$2:$110,38,0),0)-IFERROR(HLOOKUP(AS28,'סקרי נכסים-יתרות פתיחה'!$2:$110,96,0),0)*(1-AS$309)</f>
        <v>0</v>
      </c>
      <c r="AT261" s="50">
        <f>+IFERROR(HLOOKUP(AT28,'סקרי נכסים-יתרות פתיחה'!$2:$110,38,0),0)-IFERROR(HLOOKUP(AT28,'סקרי נכסים-יתרות פתיחה'!$2:$110,96,0),0)*(1-AT$309)</f>
        <v>0</v>
      </c>
      <c r="AU261" s="50">
        <f>+IFERROR(HLOOKUP(AU28,'סקרי נכסים-יתרות פתיחה'!$2:$110,38,0),0)-IFERROR(HLOOKUP(AU28,'סקרי נכסים-יתרות פתיחה'!$2:$110,96,0),0)*(1-AU$309)</f>
        <v>0</v>
      </c>
      <c r="AV261" s="50">
        <f>+IFERROR(HLOOKUP(AV28,'סקרי נכסים-יתרות פתיחה'!$2:$110,38,0),0)-IFERROR(HLOOKUP(AV28,'סקרי נכסים-יתרות פתיחה'!$2:$110,96,0),0)*(1-AV$309)</f>
        <v>0</v>
      </c>
      <c r="AW261" s="50">
        <f>+IFERROR(HLOOKUP(AW28,'סקרי נכסים-יתרות פתיחה'!$2:$110,38,0),0)-IFERROR(HLOOKUP(AW28,'סקרי נכסים-יתרות פתיחה'!$2:$110,96,0),0)*(1-AW$309)</f>
        <v>0</v>
      </c>
      <c r="AX261" s="50">
        <f>+IFERROR(HLOOKUP(AX28,'סקרי נכסים-יתרות פתיחה'!$2:$110,38,0),0)-IFERROR(HLOOKUP(AX28,'סקרי נכסים-יתרות פתיחה'!$2:$110,96,0),0)*(1-AX$309)</f>
        <v>0</v>
      </c>
      <c r="AY261" s="50">
        <f>+IFERROR(HLOOKUP(AY28,'סקרי נכסים-יתרות פתיחה'!$2:$110,38,0),0)-IFERROR(HLOOKUP(AY28,'סקרי נכסים-יתרות פתיחה'!$2:$110,96,0),0)*(1-AY$309)</f>
        <v>0</v>
      </c>
      <c r="AZ261" s="50">
        <f>+IFERROR(HLOOKUP(AZ28,'סקרי נכסים-יתרות פתיחה'!$2:$110,38,0),0)-IFERROR(HLOOKUP(AZ28,'סקרי נכסים-יתרות פתיחה'!$2:$110,96,0),0)*(1-AZ$309)</f>
        <v>0</v>
      </c>
      <c r="BA261" s="50">
        <f>+IFERROR(HLOOKUP(BA28,'סקרי נכסים-יתרות פתיחה'!$2:$110,38,0),0)-IFERROR(HLOOKUP(BA28,'סקרי נכסים-יתרות פתיחה'!$2:$110,96,0),0)*(1-BA$309)</f>
        <v>0</v>
      </c>
      <c r="BB261" s="50">
        <f>+IFERROR(HLOOKUP(BB28,'סקרי נכסים-יתרות פתיחה'!$2:$110,38,0),0)-IFERROR(HLOOKUP(BB28,'סקרי נכסים-יתרות פתיחה'!$2:$110,96,0),0)*(1-BB$309)</f>
        <v>0</v>
      </c>
      <c r="BC261" s="50">
        <f>+IFERROR(HLOOKUP(BC28,'סקרי נכסים-יתרות פתיחה'!$2:$110,38,0),0)-IFERROR(HLOOKUP(BC28,'סקרי נכסים-יתרות פתיחה'!$2:$110,96,0),0)*(1-BC$309)</f>
        <v>0</v>
      </c>
      <c r="BD261" s="50">
        <f>+IFERROR(HLOOKUP(BD28,'סקרי נכסים-יתרות פתיחה'!$2:$110,38,0),0)-IFERROR(HLOOKUP(BD28,'סקרי נכסים-יתרות פתיחה'!$2:$110,96,0),0)*(1-BD$309)</f>
        <v>0</v>
      </c>
      <c r="BE261" s="50">
        <f>+IFERROR(HLOOKUP(BE28,'סקרי נכסים-יתרות פתיחה'!$2:$110,38,0),0)-IFERROR(HLOOKUP(BE28,'סקרי נכסים-יתרות פתיחה'!$2:$110,96,0),0)*(1-BE$309)</f>
        <v>0</v>
      </c>
      <c r="BF261" s="50">
        <f>+IFERROR(HLOOKUP(BF28,'סקרי נכסים-יתרות פתיחה'!$2:$110,38,0),0)-IFERROR(HLOOKUP(BF28,'סקרי נכסים-יתרות פתיחה'!$2:$110,96,0),0)*(1-BF$309)</f>
        <v>0</v>
      </c>
    </row>
    <row r="262" spans="1:58" x14ac:dyDescent="0.2">
      <c r="B262" s="1">
        <v>26</v>
      </c>
      <c r="C262" s="50">
        <f>+IFERROR(HLOOKUP(C29,'סקרי נכסים-יתרות פתיחה'!$2:$110,38,0),0)-IFERROR(HLOOKUP(C29,'סקרי נכסים-יתרות פתיחה'!$2:$110,96,0),0)*(1-C$309)</f>
        <v>0</v>
      </c>
      <c r="D262" s="50">
        <f>+IFERROR(HLOOKUP(D29,'סקרי נכסים-יתרות פתיחה'!$2:$110,38,0),0)-IFERROR(HLOOKUP(D29,'סקרי נכסים-יתרות פתיחה'!$2:$110,96,0),0)*(1-D$309)</f>
        <v>0</v>
      </c>
      <c r="E262" s="50">
        <f>+IFERROR(HLOOKUP(E29,'סקרי נכסים-יתרות פתיחה'!$2:$110,38,0),0)-IFERROR(HLOOKUP(E29,'סקרי נכסים-יתרות פתיחה'!$2:$110,96,0),0)*(1-E$309)</f>
        <v>0</v>
      </c>
      <c r="F262" s="50">
        <f>+IFERROR(HLOOKUP(F29,'סקרי נכסים-יתרות פתיחה'!$2:$110,38,0),0)-IFERROR(HLOOKUP(F29,'סקרי נכסים-יתרות פתיחה'!$2:$110,96,0),0)*(1-F$309)</f>
        <v>0</v>
      </c>
      <c r="G262" s="50">
        <f>+IFERROR(HLOOKUP(G29,'סקרי נכסים-יתרות פתיחה'!$2:$110,38,0),0)-IFERROR(HLOOKUP(G29,'סקרי נכסים-יתרות פתיחה'!$2:$110,96,0),0)*(1-G$309)</f>
        <v>0</v>
      </c>
      <c r="H262" s="50">
        <f>+IFERROR(HLOOKUP(H29,'סקרי נכסים-יתרות פתיחה'!$2:$110,38,0),0)-IFERROR(HLOOKUP(H29,'סקרי נכסים-יתרות פתיחה'!$2:$110,96,0),0)*(1-H$309)</f>
        <v>0</v>
      </c>
      <c r="I262" s="50">
        <f>+IFERROR(HLOOKUP(I29,'סקרי נכסים-יתרות פתיחה'!$2:$110,38,0),0)-IFERROR(HLOOKUP(I29,'סקרי נכסים-יתרות פתיחה'!$2:$110,96,0),0)*(1-I$309)</f>
        <v>0</v>
      </c>
      <c r="J262" s="50">
        <f>+IFERROR(HLOOKUP(J29,'סקרי נכסים-יתרות פתיחה'!$2:$110,38,0),0)-IFERROR(HLOOKUP(J29,'סקרי נכסים-יתרות פתיחה'!$2:$110,96,0),0)*(1-J$309)</f>
        <v>0</v>
      </c>
      <c r="K262" s="50">
        <f>+IFERROR(HLOOKUP(K29,'סקרי נכסים-יתרות פתיחה'!$2:$110,38,0),0)-IFERROR(HLOOKUP(K29,'סקרי נכסים-יתרות פתיחה'!$2:$110,96,0),0)*(1-K$309)</f>
        <v>0</v>
      </c>
      <c r="L262" s="50">
        <f>+IFERROR(HLOOKUP(L29,'סקרי נכסים-יתרות פתיחה'!$2:$110,38,0),0)-IFERROR(HLOOKUP(L29,'סקרי נכסים-יתרות פתיחה'!$2:$110,96,0),0)*(1-L$309)</f>
        <v>0</v>
      </c>
      <c r="M262" s="50">
        <f>+IFERROR(HLOOKUP(M29,'סקרי נכסים-יתרות פתיחה'!$2:$110,38,0),0)-IFERROR(HLOOKUP(M29,'סקרי נכסים-יתרות פתיחה'!$2:$110,96,0),0)*(1-M$309)</f>
        <v>0</v>
      </c>
      <c r="N262" s="50">
        <f>+IFERROR(HLOOKUP(N29,'סקרי נכסים-יתרות פתיחה'!$2:$110,38,0),0)-IFERROR(HLOOKUP(N29,'סקרי נכסים-יתרות פתיחה'!$2:$110,96,0),0)*(1-N$309)</f>
        <v>0</v>
      </c>
      <c r="O262" s="50">
        <f>+IFERROR(HLOOKUP(O29,'סקרי נכסים-יתרות פתיחה'!$2:$110,38,0),0)-IFERROR(HLOOKUP(O29,'סקרי נכסים-יתרות פתיחה'!$2:$110,96,0),0)*(1-O$309)</f>
        <v>0</v>
      </c>
      <c r="P262" s="50">
        <f>+IFERROR(HLOOKUP(P29,'סקרי נכסים-יתרות פתיחה'!$2:$110,38,0),0)-IFERROR(HLOOKUP(P29,'סקרי נכסים-יתרות פתיחה'!$2:$110,96,0),0)*(1-P$309)</f>
        <v>0</v>
      </c>
      <c r="Q262" s="50">
        <f>+IFERROR(HLOOKUP(Q29,'סקרי נכסים-יתרות פתיחה'!$2:$110,38,0),0)-IFERROR(HLOOKUP(Q29,'סקרי נכסים-יתרות פתיחה'!$2:$110,96,0),0)*(1-Q$309)</f>
        <v>0</v>
      </c>
      <c r="R262" s="50">
        <f>+IFERROR(HLOOKUP(R29,'סקרי נכסים-יתרות פתיחה'!$2:$110,38,0),0)-IFERROR(HLOOKUP(R29,'סקרי נכסים-יתרות פתיחה'!$2:$110,96,0),0)*(1-R$309)</f>
        <v>0</v>
      </c>
      <c r="S262" s="50">
        <f>+IFERROR(HLOOKUP(S29,'סקרי נכסים-יתרות פתיחה'!$2:$110,38,0),0)-IFERROR(HLOOKUP(S29,'סקרי נכסים-יתרות פתיחה'!$2:$110,96,0),0)*(1-S$309)</f>
        <v>0</v>
      </c>
      <c r="T262" s="50">
        <f>+IFERROR(HLOOKUP(T29,'סקרי נכסים-יתרות פתיחה'!$2:$110,38,0),0)-IFERROR(HLOOKUP(T29,'סקרי נכסים-יתרות פתיחה'!$2:$110,96,0),0)*(1-T$309)</f>
        <v>0</v>
      </c>
      <c r="U262" s="50">
        <f>+IFERROR(HLOOKUP(U29,'סקרי נכסים-יתרות פתיחה'!$2:$110,38,0),0)-IFERROR(HLOOKUP(U29,'סקרי נכסים-יתרות פתיחה'!$2:$110,96,0),0)*(1-U$309)</f>
        <v>0</v>
      </c>
      <c r="V262" s="50">
        <f>+IFERROR(HLOOKUP(V29,'סקרי נכסים-יתרות פתיחה'!$2:$110,38,0),0)-IFERROR(HLOOKUP(V29,'סקרי נכסים-יתרות פתיחה'!$2:$110,96,0),0)*(1-V$309)</f>
        <v>0</v>
      </c>
      <c r="W262" s="50">
        <f>+IFERROR(HLOOKUP(W29,'סקרי נכסים-יתרות פתיחה'!$2:$110,38,0),0)-IFERROR(HLOOKUP(W29,'סקרי נכסים-יתרות פתיחה'!$2:$110,96,0),0)*(1-W$309)</f>
        <v>0</v>
      </c>
      <c r="X262" s="50">
        <f>+IFERROR(HLOOKUP(X29,'סקרי נכסים-יתרות פתיחה'!$2:$110,38,0),0)-IFERROR(HLOOKUP(X29,'סקרי נכסים-יתרות פתיחה'!$2:$110,96,0),0)*(1-X$309)</f>
        <v>0</v>
      </c>
      <c r="Y262" s="50">
        <f>+IFERROR(HLOOKUP(Y29,'סקרי נכסים-יתרות פתיחה'!$2:$110,38,0),0)-IFERROR(HLOOKUP(Y29,'סקרי נכסים-יתרות פתיחה'!$2:$110,96,0),0)*(1-Y$309)</f>
        <v>0</v>
      </c>
      <c r="Z262" s="50">
        <f>+IFERROR(HLOOKUP(Z29,'סקרי נכסים-יתרות פתיחה'!$2:$110,38,0),0)-IFERROR(HLOOKUP(Z29,'סקרי נכסים-יתרות פתיחה'!$2:$110,96,0),0)*(1-Z$309)</f>
        <v>0</v>
      </c>
      <c r="AA262" s="50">
        <f>+IFERROR(HLOOKUP(AA29,'סקרי נכסים-יתרות פתיחה'!$2:$110,38,0),0)-IFERROR(HLOOKUP(AA29,'סקרי נכסים-יתרות פתיחה'!$2:$110,96,0),0)*(1-AA$309)</f>
        <v>0</v>
      </c>
      <c r="AB262" s="50">
        <f>+IFERROR(HLOOKUP(AB29,'סקרי נכסים-יתרות פתיחה'!$2:$110,38,0),0)-IFERROR(HLOOKUP(AB29,'סקרי נכסים-יתרות פתיחה'!$2:$110,96,0),0)*(1-AB$309)</f>
        <v>0</v>
      </c>
      <c r="AC262" s="50">
        <f>+IFERROR(HLOOKUP(AC29,'סקרי נכסים-יתרות פתיחה'!$2:$110,38,0),0)-IFERROR(HLOOKUP(AC29,'סקרי נכסים-יתרות פתיחה'!$2:$110,96,0),0)*(1-AC$309)</f>
        <v>0</v>
      </c>
      <c r="AD262" s="50">
        <f>+IFERROR(HLOOKUP(AD29,'סקרי נכסים-יתרות פתיחה'!$2:$110,38,0),0)-IFERROR(HLOOKUP(AD29,'סקרי נכסים-יתרות פתיחה'!$2:$110,96,0),0)*(1-AD$309)</f>
        <v>0</v>
      </c>
      <c r="AE262" s="50">
        <f>+IFERROR(HLOOKUP(AE29,'סקרי נכסים-יתרות פתיחה'!$2:$110,38,0),0)-IFERROR(HLOOKUP(AE29,'סקרי נכסים-יתרות פתיחה'!$2:$110,96,0),0)*(1-AE$309)</f>
        <v>0</v>
      </c>
      <c r="AF262" s="50">
        <f>+IFERROR(HLOOKUP(AF29,'סקרי נכסים-יתרות פתיחה'!$2:$110,38,0),0)-IFERROR(HLOOKUP(AF29,'סקרי נכסים-יתרות פתיחה'!$2:$110,96,0),0)*(1-AF$309)</f>
        <v>0</v>
      </c>
      <c r="AG262" s="50">
        <f>+IFERROR(HLOOKUP(AG29,'סקרי נכסים-יתרות פתיחה'!$2:$110,38,0),0)-IFERROR(HLOOKUP(AG29,'סקרי נכסים-יתרות פתיחה'!$2:$110,96,0),0)*(1-AG$309)</f>
        <v>0</v>
      </c>
      <c r="AH262" s="50">
        <f>+IFERROR(HLOOKUP(AH29,'סקרי נכסים-יתרות פתיחה'!$2:$110,38,0),0)-IFERROR(HLOOKUP(AH29,'סקרי נכסים-יתרות פתיחה'!$2:$110,96,0),0)*(1-AH$309)</f>
        <v>0</v>
      </c>
      <c r="AI262" s="50">
        <f>+IFERROR(HLOOKUP(AI29,'סקרי נכסים-יתרות פתיחה'!$2:$110,38,0),0)-IFERROR(HLOOKUP(AI29,'סקרי נכסים-יתרות פתיחה'!$2:$110,96,0),0)*(1-AI$309)</f>
        <v>0</v>
      </c>
      <c r="AJ262" s="50">
        <f>+IFERROR(HLOOKUP(AJ29,'סקרי נכסים-יתרות פתיחה'!$2:$110,38,0),0)-IFERROR(HLOOKUP(AJ29,'סקרי נכסים-יתרות פתיחה'!$2:$110,96,0),0)*(1-AJ$309)</f>
        <v>0</v>
      </c>
      <c r="AK262" s="50">
        <f>+IFERROR(HLOOKUP(AK29,'סקרי נכסים-יתרות פתיחה'!$2:$110,38,0),0)-IFERROR(HLOOKUP(AK29,'סקרי נכסים-יתרות פתיחה'!$2:$110,96,0),0)*(1-AK$309)</f>
        <v>0</v>
      </c>
      <c r="AL262" s="50">
        <f>+IFERROR(HLOOKUP(AL29,'סקרי נכסים-יתרות פתיחה'!$2:$110,38,0),0)-IFERROR(HLOOKUP(AL29,'סקרי נכסים-יתרות פתיחה'!$2:$110,96,0),0)*(1-AL$309)</f>
        <v>0</v>
      </c>
      <c r="AM262" s="50">
        <f>+IFERROR(HLOOKUP(AM29,'סקרי נכסים-יתרות פתיחה'!$2:$110,38,0),0)-IFERROR(HLOOKUP(AM29,'סקרי נכסים-יתרות פתיחה'!$2:$110,96,0),0)*(1-AM$309)</f>
        <v>0</v>
      </c>
      <c r="AN262" s="50">
        <f>+IFERROR(HLOOKUP(AN29,'סקרי נכסים-יתרות פתיחה'!$2:$110,38,0),0)-IFERROR(HLOOKUP(AN29,'סקרי נכסים-יתרות פתיחה'!$2:$110,96,0),0)*(1-AN$309)</f>
        <v>0</v>
      </c>
      <c r="AO262" s="50">
        <f>+IFERROR(HLOOKUP(AO29,'סקרי נכסים-יתרות פתיחה'!$2:$110,38,0),0)-IFERROR(HLOOKUP(AO29,'סקרי נכסים-יתרות פתיחה'!$2:$110,96,0),0)*(1-AO$309)</f>
        <v>0</v>
      </c>
      <c r="AP262" s="50">
        <f>+IFERROR(HLOOKUP(AP29,'סקרי נכסים-יתרות פתיחה'!$2:$110,38,0),0)-IFERROR(HLOOKUP(AP29,'סקרי נכסים-יתרות פתיחה'!$2:$110,96,0),0)*(1-AP$309)</f>
        <v>0</v>
      </c>
      <c r="AQ262" s="50">
        <f>+IFERROR(HLOOKUP(AQ29,'סקרי נכסים-יתרות פתיחה'!$2:$110,38,0),0)-IFERROR(HLOOKUP(AQ29,'סקרי נכסים-יתרות פתיחה'!$2:$110,96,0),0)*(1-AQ$309)</f>
        <v>0</v>
      </c>
      <c r="AR262" s="50">
        <f>+IFERROR(HLOOKUP(AR29,'סקרי נכסים-יתרות פתיחה'!$2:$110,38,0),0)-IFERROR(HLOOKUP(AR29,'סקרי נכסים-יתרות פתיחה'!$2:$110,96,0),0)*(1-AR$309)</f>
        <v>0</v>
      </c>
      <c r="AS262" s="50">
        <f>+IFERROR(HLOOKUP(AS29,'סקרי נכסים-יתרות פתיחה'!$2:$110,38,0),0)-IFERROR(HLOOKUP(AS29,'סקרי נכסים-יתרות פתיחה'!$2:$110,96,0),0)*(1-AS$309)</f>
        <v>0</v>
      </c>
      <c r="AT262" s="50">
        <f>+IFERROR(HLOOKUP(AT29,'סקרי נכסים-יתרות פתיחה'!$2:$110,38,0),0)-IFERROR(HLOOKUP(AT29,'סקרי נכסים-יתרות פתיחה'!$2:$110,96,0),0)*(1-AT$309)</f>
        <v>0</v>
      </c>
      <c r="AU262" s="50">
        <f>+IFERROR(HLOOKUP(AU29,'סקרי נכסים-יתרות פתיחה'!$2:$110,38,0),0)-IFERROR(HLOOKUP(AU29,'סקרי נכסים-יתרות פתיחה'!$2:$110,96,0),0)*(1-AU$309)</f>
        <v>0</v>
      </c>
      <c r="AV262" s="50">
        <f>+IFERROR(HLOOKUP(AV29,'סקרי נכסים-יתרות פתיחה'!$2:$110,38,0),0)-IFERROR(HLOOKUP(AV29,'סקרי נכסים-יתרות פתיחה'!$2:$110,96,0),0)*(1-AV$309)</f>
        <v>0</v>
      </c>
      <c r="AW262" s="50">
        <f>+IFERROR(HLOOKUP(AW29,'סקרי נכסים-יתרות פתיחה'!$2:$110,38,0),0)-IFERROR(HLOOKUP(AW29,'סקרי נכסים-יתרות פתיחה'!$2:$110,96,0),0)*(1-AW$309)</f>
        <v>0</v>
      </c>
      <c r="AX262" s="50">
        <f>+IFERROR(HLOOKUP(AX29,'סקרי נכסים-יתרות פתיחה'!$2:$110,38,0),0)-IFERROR(HLOOKUP(AX29,'סקרי נכסים-יתרות פתיחה'!$2:$110,96,0),0)*(1-AX$309)</f>
        <v>0</v>
      </c>
      <c r="AY262" s="50">
        <f>+IFERROR(HLOOKUP(AY29,'סקרי נכסים-יתרות פתיחה'!$2:$110,38,0),0)-IFERROR(HLOOKUP(AY29,'סקרי נכסים-יתרות פתיחה'!$2:$110,96,0),0)*(1-AY$309)</f>
        <v>0</v>
      </c>
      <c r="AZ262" s="50">
        <f>+IFERROR(HLOOKUP(AZ29,'סקרי נכסים-יתרות פתיחה'!$2:$110,38,0),0)-IFERROR(HLOOKUP(AZ29,'סקרי נכסים-יתרות פתיחה'!$2:$110,96,0),0)*(1-AZ$309)</f>
        <v>0</v>
      </c>
      <c r="BA262" s="50">
        <f>+IFERROR(HLOOKUP(BA29,'סקרי נכסים-יתרות פתיחה'!$2:$110,38,0),0)-IFERROR(HLOOKUP(BA29,'סקרי נכסים-יתרות פתיחה'!$2:$110,96,0),0)*(1-BA$309)</f>
        <v>0</v>
      </c>
      <c r="BB262" s="50">
        <f>+IFERROR(HLOOKUP(BB29,'סקרי נכסים-יתרות פתיחה'!$2:$110,38,0),0)-IFERROR(HLOOKUP(BB29,'סקרי נכסים-יתרות פתיחה'!$2:$110,96,0),0)*(1-BB$309)</f>
        <v>0</v>
      </c>
      <c r="BC262" s="50">
        <f>+IFERROR(HLOOKUP(BC29,'סקרי נכסים-יתרות פתיחה'!$2:$110,38,0),0)-IFERROR(HLOOKUP(BC29,'סקרי נכסים-יתרות פתיחה'!$2:$110,96,0),0)*(1-BC$309)</f>
        <v>0</v>
      </c>
      <c r="BD262" s="50">
        <f>+IFERROR(HLOOKUP(BD29,'סקרי נכסים-יתרות פתיחה'!$2:$110,38,0),0)-IFERROR(HLOOKUP(BD29,'סקרי נכסים-יתרות פתיחה'!$2:$110,96,0),0)*(1-BD$309)</f>
        <v>0</v>
      </c>
      <c r="BE262" s="50">
        <f>+IFERROR(HLOOKUP(BE29,'סקרי נכסים-יתרות פתיחה'!$2:$110,38,0),0)-IFERROR(HLOOKUP(BE29,'סקרי נכסים-יתרות פתיחה'!$2:$110,96,0),0)*(1-BE$309)</f>
        <v>0</v>
      </c>
      <c r="BF262" s="50">
        <f>+IFERROR(HLOOKUP(BF29,'סקרי נכסים-יתרות פתיחה'!$2:$110,38,0),0)-IFERROR(HLOOKUP(BF29,'סקרי נכסים-יתרות פתיחה'!$2:$110,96,0),0)*(1-BF$309)</f>
        <v>0</v>
      </c>
    </row>
    <row r="263" spans="1:58" x14ac:dyDescent="0.2">
      <c r="B263" s="1">
        <v>27</v>
      </c>
      <c r="C263" s="50">
        <f>+IFERROR(HLOOKUP(C30,'סקרי נכסים-יתרות פתיחה'!$2:$110,38,0),0)-IFERROR(HLOOKUP(C30,'סקרי נכסים-יתרות פתיחה'!$2:$110,96,0),0)*(1-C$309)</f>
        <v>0</v>
      </c>
      <c r="D263" s="50">
        <f>+IFERROR(HLOOKUP(D30,'סקרי נכסים-יתרות פתיחה'!$2:$110,38,0),0)-IFERROR(HLOOKUP(D30,'סקרי נכסים-יתרות פתיחה'!$2:$110,96,0),0)*(1-D$309)</f>
        <v>0</v>
      </c>
      <c r="E263" s="50">
        <f>+IFERROR(HLOOKUP(E30,'סקרי נכסים-יתרות פתיחה'!$2:$110,38,0),0)-IFERROR(HLOOKUP(E30,'סקרי נכסים-יתרות פתיחה'!$2:$110,96,0),0)*(1-E$309)</f>
        <v>0</v>
      </c>
      <c r="F263" s="50">
        <f>+IFERROR(HLOOKUP(F30,'סקרי נכסים-יתרות פתיחה'!$2:$110,38,0),0)-IFERROR(HLOOKUP(F30,'סקרי נכסים-יתרות פתיחה'!$2:$110,96,0),0)*(1-F$309)</f>
        <v>0</v>
      </c>
      <c r="G263" s="50">
        <f>+IFERROR(HLOOKUP(G30,'סקרי נכסים-יתרות פתיחה'!$2:$110,38,0),0)-IFERROR(HLOOKUP(G30,'סקרי נכסים-יתרות פתיחה'!$2:$110,96,0),0)*(1-G$309)</f>
        <v>0</v>
      </c>
      <c r="H263" s="50">
        <f>+IFERROR(HLOOKUP(H30,'סקרי נכסים-יתרות פתיחה'!$2:$110,38,0),0)-IFERROR(HLOOKUP(H30,'סקרי נכסים-יתרות פתיחה'!$2:$110,96,0),0)*(1-H$309)</f>
        <v>0</v>
      </c>
      <c r="I263" s="50">
        <f>+IFERROR(HLOOKUP(I30,'סקרי נכסים-יתרות פתיחה'!$2:$110,38,0),0)-IFERROR(HLOOKUP(I30,'סקרי נכסים-יתרות פתיחה'!$2:$110,96,0),0)*(1-I$309)</f>
        <v>0</v>
      </c>
      <c r="J263" s="50">
        <f>+IFERROR(HLOOKUP(J30,'סקרי נכסים-יתרות פתיחה'!$2:$110,38,0),0)-IFERROR(HLOOKUP(J30,'סקרי נכסים-יתרות פתיחה'!$2:$110,96,0),0)*(1-J$309)</f>
        <v>0</v>
      </c>
      <c r="K263" s="50">
        <f>+IFERROR(HLOOKUP(K30,'סקרי נכסים-יתרות פתיחה'!$2:$110,38,0),0)-IFERROR(HLOOKUP(K30,'סקרי נכסים-יתרות פתיחה'!$2:$110,96,0),0)*(1-K$309)</f>
        <v>0</v>
      </c>
      <c r="L263" s="50">
        <f>+IFERROR(HLOOKUP(L30,'סקרי נכסים-יתרות פתיחה'!$2:$110,38,0),0)-IFERROR(HLOOKUP(L30,'סקרי נכסים-יתרות פתיחה'!$2:$110,96,0),0)*(1-L$309)</f>
        <v>0</v>
      </c>
      <c r="M263" s="50">
        <f>+IFERROR(HLOOKUP(M30,'סקרי נכסים-יתרות פתיחה'!$2:$110,38,0),0)-IFERROR(HLOOKUP(M30,'סקרי נכסים-יתרות פתיחה'!$2:$110,96,0),0)*(1-M$309)</f>
        <v>0</v>
      </c>
      <c r="N263" s="50">
        <f>+IFERROR(HLOOKUP(N30,'סקרי נכסים-יתרות פתיחה'!$2:$110,38,0),0)-IFERROR(HLOOKUP(N30,'סקרי נכסים-יתרות פתיחה'!$2:$110,96,0),0)*(1-N$309)</f>
        <v>0</v>
      </c>
      <c r="O263" s="50">
        <f>+IFERROR(HLOOKUP(O30,'סקרי נכסים-יתרות פתיחה'!$2:$110,38,0),0)-IFERROR(HLOOKUP(O30,'סקרי נכסים-יתרות פתיחה'!$2:$110,96,0),0)*(1-O$309)</f>
        <v>0</v>
      </c>
      <c r="P263" s="50">
        <f>+IFERROR(HLOOKUP(P30,'סקרי נכסים-יתרות פתיחה'!$2:$110,38,0),0)-IFERROR(HLOOKUP(P30,'סקרי נכסים-יתרות פתיחה'!$2:$110,96,0),0)*(1-P$309)</f>
        <v>0</v>
      </c>
      <c r="Q263" s="50">
        <f>+IFERROR(HLOOKUP(Q30,'סקרי נכסים-יתרות פתיחה'!$2:$110,38,0),0)-IFERROR(HLOOKUP(Q30,'סקרי נכסים-יתרות פתיחה'!$2:$110,96,0),0)*(1-Q$309)</f>
        <v>0</v>
      </c>
      <c r="R263" s="50">
        <f>+IFERROR(HLOOKUP(R30,'סקרי נכסים-יתרות פתיחה'!$2:$110,38,0),0)-IFERROR(HLOOKUP(R30,'סקרי נכסים-יתרות פתיחה'!$2:$110,96,0),0)*(1-R$309)</f>
        <v>0</v>
      </c>
      <c r="S263" s="50">
        <f>+IFERROR(HLOOKUP(S30,'סקרי נכסים-יתרות פתיחה'!$2:$110,38,0),0)-IFERROR(HLOOKUP(S30,'סקרי נכסים-יתרות פתיחה'!$2:$110,96,0),0)*(1-S$309)</f>
        <v>0</v>
      </c>
      <c r="T263" s="50">
        <f>+IFERROR(HLOOKUP(T30,'סקרי נכסים-יתרות פתיחה'!$2:$110,38,0),0)-IFERROR(HLOOKUP(T30,'סקרי נכסים-יתרות פתיחה'!$2:$110,96,0),0)*(1-T$309)</f>
        <v>0</v>
      </c>
      <c r="U263" s="50">
        <f>+IFERROR(HLOOKUP(U30,'סקרי נכסים-יתרות פתיחה'!$2:$110,38,0),0)-IFERROR(HLOOKUP(U30,'סקרי נכסים-יתרות פתיחה'!$2:$110,96,0),0)*(1-U$309)</f>
        <v>0</v>
      </c>
      <c r="V263" s="50">
        <f>+IFERROR(HLOOKUP(V30,'סקרי נכסים-יתרות פתיחה'!$2:$110,38,0),0)-IFERROR(HLOOKUP(V30,'סקרי נכסים-יתרות פתיחה'!$2:$110,96,0),0)*(1-V$309)</f>
        <v>0</v>
      </c>
      <c r="W263" s="50">
        <f>+IFERROR(HLOOKUP(W30,'סקרי נכסים-יתרות פתיחה'!$2:$110,38,0),0)-IFERROR(HLOOKUP(W30,'סקרי נכסים-יתרות פתיחה'!$2:$110,96,0),0)*(1-W$309)</f>
        <v>0</v>
      </c>
      <c r="X263" s="50">
        <f>+IFERROR(HLOOKUP(X30,'סקרי נכסים-יתרות פתיחה'!$2:$110,38,0),0)-IFERROR(HLOOKUP(X30,'סקרי נכסים-יתרות פתיחה'!$2:$110,96,0),0)*(1-X$309)</f>
        <v>0</v>
      </c>
      <c r="Y263" s="50">
        <f>+IFERROR(HLOOKUP(Y30,'סקרי נכסים-יתרות פתיחה'!$2:$110,38,0),0)-IFERROR(HLOOKUP(Y30,'סקרי נכסים-יתרות פתיחה'!$2:$110,96,0),0)*(1-Y$309)</f>
        <v>0</v>
      </c>
      <c r="Z263" s="50">
        <f>+IFERROR(HLOOKUP(Z30,'סקרי נכסים-יתרות פתיחה'!$2:$110,38,0),0)-IFERROR(HLOOKUP(Z30,'סקרי נכסים-יתרות פתיחה'!$2:$110,96,0),0)*(1-Z$309)</f>
        <v>0</v>
      </c>
      <c r="AA263" s="50">
        <f>+IFERROR(HLOOKUP(AA30,'סקרי נכסים-יתרות פתיחה'!$2:$110,38,0),0)-IFERROR(HLOOKUP(AA30,'סקרי נכסים-יתרות פתיחה'!$2:$110,96,0),0)*(1-AA$309)</f>
        <v>0</v>
      </c>
      <c r="AB263" s="50">
        <f>+IFERROR(HLOOKUP(AB30,'סקרי נכסים-יתרות פתיחה'!$2:$110,38,0),0)-IFERROR(HLOOKUP(AB30,'סקרי נכסים-יתרות פתיחה'!$2:$110,96,0),0)*(1-AB$309)</f>
        <v>0</v>
      </c>
      <c r="AC263" s="50">
        <f>+IFERROR(HLOOKUP(AC30,'סקרי נכסים-יתרות פתיחה'!$2:$110,38,0),0)-IFERROR(HLOOKUP(AC30,'סקרי נכסים-יתרות פתיחה'!$2:$110,96,0),0)*(1-AC$309)</f>
        <v>0</v>
      </c>
      <c r="AD263" s="50">
        <f>+IFERROR(HLOOKUP(AD30,'סקרי נכסים-יתרות פתיחה'!$2:$110,38,0),0)-IFERROR(HLOOKUP(AD30,'סקרי נכסים-יתרות פתיחה'!$2:$110,96,0),0)*(1-AD$309)</f>
        <v>0</v>
      </c>
      <c r="AE263" s="50">
        <f>+IFERROR(HLOOKUP(AE30,'סקרי נכסים-יתרות פתיחה'!$2:$110,38,0),0)-IFERROR(HLOOKUP(AE30,'סקרי נכסים-יתרות פתיחה'!$2:$110,96,0),0)*(1-AE$309)</f>
        <v>0</v>
      </c>
      <c r="AF263" s="50">
        <f>+IFERROR(HLOOKUP(AF30,'סקרי נכסים-יתרות פתיחה'!$2:$110,38,0),0)-IFERROR(HLOOKUP(AF30,'סקרי נכסים-יתרות פתיחה'!$2:$110,96,0),0)*(1-AF$309)</f>
        <v>0</v>
      </c>
      <c r="AG263" s="50">
        <f>+IFERROR(HLOOKUP(AG30,'סקרי נכסים-יתרות פתיחה'!$2:$110,38,0),0)-IFERROR(HLOOKUP(AG30,'סקרי נכסים-יתרות פתיחה'!$2:$110,96,0),0)*(1-AG$309)</f>
        <v>0</v>
      </c>
      <c r="AH263" s="50">
        <f>+IFERROR(HLOOKUP(AH30,'סקרי נכסים-יתרות פתיחה'!$2:$110,38,0),0)-IFERROR(HLOOKUP(AH30,'סקרי נכסים-יתרות פתיחה'!$2:$110,96,0),0)*(1-AH$309)</f>
        <v>0</v>
      </c>
      <c r="AI263" s="50">
        <f>+IFERROR(HLOOKUP(AI30,'סקרי נכסים-יתרות פתיחה'!$2:$110,38,0),0)-IFERROR(HLOOKUP(AI30,'סקרי נכסים-יתרות פתיחה'!$2:$110,96,0),0)*(1-AI$309)</f>
        <v>0</v>
      </c>
      <c r="AJ263" s="50">
        <f>+IFERROR(HLOOKUP(AJ30,'סקרי נכסים-יתרות פתיחה'!$2:$110,38,0),0)-IFERROR(HLOOKUP(AJ30,'סקרי נכסים-יתרות פתיחה'!$2:$110,96,0),0)*(1-AJ$309)</f>
        <v>0</v>
      </c>
      <c r="AK263" s="50">
        <f>+IFERROR(HLOOKUP(AK30,'סקרי נכסים-יתרות פתיחה'!$2:$110,38,0),0)-IFERROR(HLOOKUP(AK30,'סקרי נכסים-יתרות פתיחה'!$2:$110,96,0),0)*(1-AK$309)</f>
        <v>0</v>
      </c>
      <c r="AL263" s="50">
        <f>+IFERROR(HLOOKUP(AL30,'סקרי נכסים-יתרות פתיחה'!$2:$110,38,0),0)-IFERROR(HLOOKUP(AL30,'סקרי נכסים-יתרות פתיחה'!$2:$110,96,0),0)*(1-AL$309)</f>
        <v>0</v>
      </c>
      <c r="AM263" s="50">
        <f>+IFERROR(HLOOKUP(AM30,'סקרי נכסים-יתרות פתיחה'!$2:$110,38,0),0)-IFERROR(HLOOKUP(AM30,'סקרי נכסים-יתרות פתיחה'!$2:$110,96,0),0)*(1-AM$309)</f>
        <v>0</v>
      </c>
      <c r="AN263" s="50">
        <f>+IFERROR(HLOOKUP(AN30,'סקרי נכסים-יתרות פתיחה'!$2:$110,38,0),0)-IFERROR(HLOOKUP(AN30,'סקרי נכסים-יתרות פתיחה'!$2:$110,96,0),0)*(1-AN$309)</f>
        <v>0</v>
      </c>
      <c r="AO263" s="50">
        <f>+IFERROR(HLOOKUP(AO30,'סקרי נכסים-יתרות פתיחה'!$2:$110,38,0),0)-IFERROR(HLOOKUP(AO30,'סקרי נכסים-יתרות פתיחה'!$2:$110,96,0),0)*(1-AO$309)</f>
        <v>0</v>
      </c>
      <c r="AP263" s="50">
        <f>+IFERROR(HLOOKUP(AP30,'סקרי נכסים-יתרות פתיחה'!$2:$110,38,0),0)-IFERROR(HLOOKUP(AP30,'סקרי נכסים-יתרות פתיחה'!$2:$110,96,0),0)*(1-AP$309)</f>
        <v>0</v>
      </c>
      <c r="AQ263" s="50">
        <f>+IFERROR(HLOOKUP(AQ30,'סקרי נכסים-יתרות פתיחה'!$2:$110,38,0),0)-IFERROR(HLOOKUP(AQ30,'סקרי נכסים-יתרות פתיחה'!$2:$110,96,0),0)*(1-AQ$309)</f>
        <v>0</v>
      </c>
      <c r="AR263" s="50">
        <f>+IFERROR(HLOOKUP(AR30,'סקרי נכסים-יתרות פתיחה'!$2:$110,38,0),0)-IFERROR(HLOOKUP(AR30,'סקרי נכסים-יתרות פתיחה'!$2:$110,96,0),0)*(1-AR$309)</f>
        <v>0</v>
      </c>
      <c r="AS263" s="50">
        <f>+IFERROR(HLOOKUP(AS30,'סקרי נכסים-יתרות פתיחה'!$2:$110,38,0),0)-IFERROR(HLOOKUP(AS30,'סקרי נכסים-יתרות פתיחה'!$2:$110,96,0),0)*(1-AS$309)</f>
        <v>0</v>
      </c>
      <c r="AT263" s="50">
        <f>+IFERROR(HLOOKUP(AT30,'סקרי נכסים-יתרות פתיחה'!$2:$110,38,0),0)-IFERROR(HLOOKUP(AT30,'סקרי נכסים-יתרות פתיחה'!$2:$110,96,0),0)*(1-AT$309)</f>
        <v>0</v>
      </c>
      <c r="AU263" s="50">
        <f>+IFERROR(HLOOKUP(AU30,'סקרי נכסים-יתרות פתיחה'!$2:$110,38,0),0)-IFERROR(HLOOKUP(AU30,'סקרי נכסים-יתרות פתיחה'!$2:$110,96,0),0)*(1-AU$309)</f>
        <v>0</v>
      </c>
      <c r="AV263" s="50">
        <f>+IFERROR(HLOOKUP(AV30,'סקרי נכסים-יתרות פתיחה'!$2:$110,38,0),0)-IFERROR(HLOOKUP(AV30,'סקרי נכסים-יתרות פתיחה'!$2:$110,96,0),0)*(1-AV$309)</f>
        <v>0</v>
      </c>
      <c r="AW263" s="50">
        <f>+IFERROR(HLOOKUP(AW30,'סקרי נכסים-יתרות פתיחה'!$2:$110,38,0),0)-IFERROR(HLOOKUP(AW30,'סקרי נכסים-יתרות פתיחה'!$2:$110,96,0),0)*(1-AW$309)</f>
        <v>0</v>
      </c>
      <c r="AX263" s="50">
        <f>+IFERROR(HLOOKUP(AX30,'סקרי נכסים-יתרות פתיחה'!$2:$110,38,0),0)-IFERROR(HLOOKUP(AX30,'סקרי נכסים-יתרות פתיחה'!$2:$110,96,0),0)*(1-AX$309)</f>
        <v>0</v>
      </c>
      <c r="AY263" s="50">
        <f>+IFERROR(HLOOKUP(AY30,'סקרי נכסים-יתרות פתיחה'!$2:$110,38,0),0)-IFERROR(HLOOKUP(AY30,'סקרי נכסים-יתרות פתיחה'!$2:$110,96,0),0)*(1-AY$309)</f>
        <v>0</v>
      </c>
      <c r="AZ263" s="50">
        <f>+IFERROR(HLOOKUP(AZ30,'סקרי נכסים-יתרות פתיחה'!$2:$110,38,0),0)-IFERROR(HLOOKUP(AZ30,'סקרי נכסים-יתרות פתיחה'!$2:$110,96,0),0)*(1-AZ$309)</f>
        <v>0</v>
      </c>
      <c r="BA263" s="50">
        <f>+IFERROR(HLOOKUP(BA30,'סקרי נכסים-יתרות פתיחה'!$2:$110,38,0),0)-IFERROR(HLOOKUP(BA30,'סקרי נכסים-יתרות פתיחה'!$2:$110,96,0),0)*(1-BA$309)</f>
        <v>0</v>
      </c>
      <c r="BB263" s="50">
        <f>+IFERROR(HLOOKUP(BB30,'סקרי נכסים-יתרות פתיחה'!$2:$110,38,0),0)-IFERROR(HLOOKUP(BB30,'סקרי נכסים-יתרות פתיחה'!$2:$110,96,0),0)*(1-BB$309)</f>
        <v>0</v>
      </c>
      <c r="BC263" s="50">
        <f>+IFERROR(HLOOKUP(BC30,'סקרי נכסים-יתרות פתיחה'!$2:$110,38,0),0)-IFERROR(HLOOKUP(BC30,'סקרי נכסים-יתרות פתיחה'!$2:$110,96,0),0)*(1-BC$309)</f>
        <v>0</v>
      </c>
      <c r="BD263" s="50">
        <f>+IFERROR(HLOOKUP(BD30,'סקרי נכסים-יתרות פתיחה'!$2:$110,38,0),0)-IFERROR(HLOOKUP(BD30,'סקרי נכסים-יתרות פתיחה'!$2:$110,96,0),0)*(1-BD$309)</f>
        <v>0</v>
      </c>
      <c r="BE263" s="50">
        <f>+IFERROR(HLOOKUP(BE30,'סקרי נכסים-יתרות פתיחה'!$2:$110,38,0),0)-IFERROR(HLOOKUP(BE30,'סקרי נכסים-יתרות פתיחה'!$2:$110,96,0),0)*(1-BE$309)</f>
        <v>0</v>
      </c>
      <c r="BF263" s="50">
        <f>+IFERROR(HLOOKUP(BF30,'סקרי נכסים-יתרות פתיחה'!$2:$110,38,0),0)-IFERROR(HLOOKUP(BF30,'סקרי נכסים-יתרות פתיחה'!$2:$110,96,0),0)*(1-BF$309)</f>
        <v>0</v>
      </c>
    </row>
    <row r="264" spans="1:58" x14ac:dyDescent="0.2">
      <c r="B264" s="1">
        <v>28</v>
      </c>
      <c r="C264" s="50">
        <f>+IFERROR(HLOOKUP(C31,'סקרי נכסים-יתרות פתיחה'!$2:$110,38,0),0)-IFERROR(HLOOKUP(C31,'סקרי נכסים-יתרות פתיחה'!$2:$110,96,0),0)*(1-C$309)</f>
        <v>0</v>
      </c>
      <c r="D264" s="50">
        <f>+IFERROR(HLOOKUP(D31,'סקרי נכסים-יתרות פתיחה'!$2:$110,38,0),0)-IFERROR(HLOOKUP(D31,'סקרי נכסים-יתרות פתיחה'!$2:$110,96,0),0)*(1-D$309)</f>
        <v>0</v>
      </c>
      <c r="E264" s="50">
        <f>+IFERROR(HLOOKUP(E31,'סקרי נכסים-יתרות פתיחה'!$2:$110,38,0),0)-IFERROR(HLOOKUP(E31,'סקרי נכסים-יתרות פתיחה'!$2:$110,96,0),0)*(1-E$309)</f>
        <v>0</v>
      </c>
      <c r="F264" s="50">
        <f>+IFERROR(HLOOKUP(F31,'סקרי נכסים-יתרות פתיחה'!$2:$110,38,0),0)-IFERROR(HLOOKUP(F31,'סקרי נכסים-יתרות פתיחה'!$2:$110,96,0),0)*(1-F$309)</f>
        <v>0</v>
      </c>
      <c r="G264" s="50">
        <f>+IFERROR(HLOOKUP(G31,'סקרי נכסים-יתרות פתיחה'!$2:$110,38,0),0)-IFERROR(HLOOKUP(G31,'סקרי נכסים-יתרות פתיחה'!$2:$110,96,0),0)*(1-G$309)</f>
        <v>0</v>
      </c>
      <c r="H264" s="50">
        <f>+IFERROR(HLOOKUP(H31,'סקרי נכסים-יתרות פתיחה'!$2:$110,38,0),0)-IFERROR(HLOOKUP(H31,'סקרי נכסים-יתרות פתיחה'!$2:$110,96,0),0)*(1-H$309)</f>
        <v>0</v>
      </c>
      <c r="I264" s="50">
        <f>+IFERROR(HLOOKUP(I31,'סקרי נכסים-יתרות פתיחה'!$2:$110,38,0),0)-IFERROR(HLOOKUP(I31,'סקרי נכסים-יתרות פתיחה'!$2:$110,96,0),0)*(1-I$309)</f>
        <v>0</v>
      </c>
      <c r="J264" s="50">
        <f>+IFERROR(HLOOKUP(J31,'סקרי נכסים-יתרות פתיחה'!$2:$110,38,0),0)-IFERROR(HLOOKUP(J31,'סקרי נכסים-יתרות פתיחה'!$2:$110,96,0),0)*(1-J$309)</f>
        <v>0</v>
      </c>
      <c r="K264" s="50">
        <f>+IFERROR(HLOOKUP(K31,'סקרי נכסים-יתרות פתיחה'!$2:$110,38,0),0)-IFERROR(HLOOKUP(K31,'סקרי נכסים-יתרות פתיחה'!$2:$110,96,0),0)*(1-K$309)</f>
        <v>0</v>
      </c>
      <c r="L264" s="50">
        <f>+IFERROR(HLOOKUP(L31,'סקרי נכסים-יתרות פתיחה'!$2:$110,38,0),0)-IFERROR(HLOOKUP(L31,'סקרי נכסים-יתרות פתיחה'!$2:$110,96,0),0)*(1-L$309)</f>
        <v>0</v>
      </c>
      <c r="M264" s="50">
        <f>+IFERROR(HLOOKUP(M31,'סקרי נכסים-יתרות פתיחה'!$2:$110,38,0),0)-IFERROR(HLOOKUP(M31,'סקרי נכסים-יתרות פתיחה'!$2:$110,96,0),0)*(1-M$309)</f>
        <v>0</v>
      </c>
      <c r="N264" s="50">
        <f>+IFERROR(HLOOKUP(N31,'סקרי נכסים-יתרות פתיחה'!$2:$110,38,0),0)-IFERROR(HLOOKUP(N31,'סקרי נכסים-יתרות פתיחה'!$2:$110,96,0),0)*(1-N$309)</f>
        <v>0</v>
      </c>
      <c r="O264" s="50">
        <f>+IFERROR(HLOOKUP(O31,'סקרי נכסים-יתרות פתיחה'!$2:$110,38,0),0)-IFERROR(HLOOKUP(O31,'סקרי נכסים-יתרות פתיחה'!$2:$110,96,0),0)*(1-O$309)</f>
        <v>0</v>
      </c>
      <c r="P264" s="50">
        <f>+IFERROR(HLOOKUP(P31,'סקרי נכסים-יתרות פתיחה'!$2:$110,38,0),0)-IFERROR(HLOOKUP(P31,'סקרי נכסים-יתרות פתיחה'!$2:$110,96,0),0)*(1-P$309)</f>
        <v>0</v>
      </c>
      <c r="Q264" s="50">
        <f>+IFERROR(HLOOKUP(Q31,'סקרי נכסים-יתרות פתיחה'!$2:$110,38,0),0)-IFERROR(HLOOKUP(Q31,'סקרי נכסים-יתרות פתיחה'!$2:$110,96,0),0)*(1-Q$309)</f>
        <v>0</v>
      </c>
      <c r="R264" s="50">
        <f>+IFERROR(HLOOKUP(R31,'סקרי נכסים-יתרות פתיחה'!$2:$110,38,0),0)-IFERROR(HLOOKUP(R31,'סקרי נכסים-יתרות פתיחה'!$2:$110,96,0),0)*(1-R$309)</f>
        <v>0</v>
      </c>
      <c r="S264" s="50">
        <f>+IFERROR(HLOOKUP(S31,'סקרי נכסים-יתרות פתיחה'!$2:$110,38,0),0)-IFERROR(HLOOKUP(S31,'סקרי נכסים-יתרות פתיחה'!$2:$110,96,0),0)*(1-S$309)</f>
        <v>0</v>
      </c>
      <c r="T264" s="50">
        <f>+IFERROR(HLOOKUP(T31,'סקרי נכסים-יתרות פתיחה'!$2:$110,38,0),0)-IFERROR(HLOOKUP(T31,'סקרי נכסים-יתרות פתיחה'!$2:$110,96,0),0)*(1-T$309)</f>
        <v>0</v>
      </c>
      <c r="U264" s="50">
        <f>+IFERROR(HLOOKUP(U31,'סקרי נכסים-יתרות פתיחה'!$2:$110,38,0),0)-IFERROR(HLOOKUP(U31,'סקרי נכסים-יתרות פתיחה'!$2:$110,96,0),0)*(1-U$309)</f>
        <v>0</v>
      </c>
      <c r="V264" s="50">
        <f>+IFERROR(HLOOKUP(V31,'סקרי נכסים-יתרות פתיחה'!$2:$110,38,0),0)-IFERROR(HLOOKUP(V31,'סקרי נכסים-יתרות פתיחה'!$2:$110,96,0),0)*(1-V$309)</f>
        <v>0</v>
      </c>
      <c r="W264" s="50">
        <f>+IFERROR(HLOOKUP(W31,'סקרי נכסים-יתרות פתיחה'!$2:$110,38,0),0)-IFERROR(HLOOKUP(W31,'סקרי נכסים-יתרות פתיחה'!$2:$110,96,0),0)*(1-W$309)</f>
        <v>0</v>
      </c>
      <c r="X264" s="50">
        <f>+IFERROR(HLOOKUP(X31,'סקרי נכסים-יתרות פתיחה'!$2:$110,38,0),0)-IFERROR(HLOOKUP(X31,'סקרי נכסים-יתרות פתיחה'!$2:$110,96,0),0)*(1-X$309)</f>
        <v>0</v>
      </c>
      <c r="Y264" s="50">
        <f>+IFERROR(HLOOKUP(Y31,'סקרי נכסים-יתרות פתיחה'!$2:$110,38,0),0)-IFERROR(HLOOKUP(Y31,'סקרי נכסים-יתרות פתיחה'!$2:$110,96,0),0)*(1-Y$309)</f>
        <v>0</v>
      </c>
      <c r="Z264" s="50">
        <f>+IFERROR(HLOOKUP(Z31,'סקרי נכסים-יתרות פתיחה'!$2:$110,38,0),0)-IFERROR(HLOOKUP(Z31,'סקרי נכסים-יתרות פתיחה'!$2:$110,96,0),0)*(1-Z$309)</f>
        <v>0</v>
      </c>
      <c r="AA264" s="50">
        <f>+IFERROR(HLOOKUP(AA31,'סקרי נכסים-יתרות פתיחה'!$2:$110,38,0),0)-IFERROR(HLOOKUP(AA31,'סקרי נכסים-יתרות פתיחה'!$2:$110,96,0),0)*(1-AA$309)</f>
        <v>0</v>
      </c>
      <c r="AB264" s="50">
        <f>+IFERROR(HLOOKUP(AB31,'סקרי נכסים-יתרות פתיחה'!$2:$110,38,0),0)-IFERROR(HLOOKUP(AB31,'סקרי נכסים-יתרות פתיחה'!$2:$110,96,0),0)*(1-AB$309)</f>
        <v>0</v>
      </c>
      <c r="AC264" s="50">
        <f>+IFERROR(HLOOKUP(AC31,'סקרי נכסים-יתרות פתיחה'!$2:$110,38,0),0)-IFERROR(HLOOKUP(AC31,'סקרי נכסים-יתרות פתיחה'!$2:$110,96,0),0)*(1-AC$309)</f>
        <v>0</v>
      </c>
      <c r="AD264" s="50">
        <f>+IFERROR(HLOOKUP(AD31,'סקרי נכסים-יתרות פתיחה'!$2:$110,38,0),0)-IFERROR(HLOOKUP(AD31,'סקרי נכסים-יתרות פתיחה'!$2:$110,96,0),0)*(1-AD$309)</f>
        <v>0</v>
      </c>
      <c r="AE264" s="50">
        <f>+IFERROR(HLOOKUP(AE31,'סקרי נכסים-יתרות פתיחה'!$2:$110,38,0),0)-IFERROR(HLOOKUP(AE31,'סקרי נכסים-יתרות פתיחה'!$2:$110,96,0),0)*(1-AE$309)</f>
        <v>0</v>
      </c>
      <c r="AF264" s="50">
        <f>+IFERROR(HLOOKUP(AF31,'סקרי נכסים-יתרות פתיחה'!$2:$110,38,0),0)-IFERROR(HLOOKUP(AF31,'סקרי נכסים-יתרות פתיחה'!$2:$110,96,0),0)*(1-AF$309)</f>
        <v>0</v>
      </c>
      <c r="AG264" s="50">
        <f>+IFERROR(HLOOKUP(AG31,'סקרי נכסים-יתרות פתיחה'!$2:$110,38,0),0)-IFERROR(HLOOKUP(AG31,'סקרי נכסים-יתרות פתיחה'!$2:$110,96,0),0)*(1-AG$309)</f>
        <v>0</v>
      </c>
      <c r="AH264" s="50">
        <f>+IFERROR(HLOOKUP(AH31,'סקרי נכסים-יתרות פתיחה'!$2:$110,38,0),0)-IFERROR(HLOOKUP(AH31,'סקרי נכסים-יתרות פתיחה'!$2:$110,96,0),0)*(1-AH$309)</f>
        <v>0</v>
      </c>
      <c r="AI264" s="50">
        <f>+IFERROR(HLOOKUP(AI31,'סקרי נכסים-יתרות פתיחה'!$2:$110,38,0),0)-IFERROR(HLOOKUP(AI31,'סקרי נכסים-יתרות פתיחה'!$2:$110,96,0),0)*(1-AI$309)</f>
        <v>0</v>
      </c>
      <c r="AJ264" s="50">
        <f>+IFERROR(HLOOKUP(AJ31,'סקרי נכסים-יתרות פתיחה'!$2:$110,38,0),0)-IFERROR(HLOOKUP(AJ31,'סקרי נכסים-יתרות פתיחה'!$2:$110,96,0),0)*(1-AJ$309)</f>
        <v>0</v>
      </c>
      <c r="AK264" s="50">
        <f>+IFERROR(HLOOKUP(AK31,'סקרי נכסים-יתרות פתיחה'!$2:$110,38,0),0)-IFERROR(HLOOKUP(AK31,'סקרי נכסים-יתרות פתיחה'!$2:$110,96,0),0)*(1-AK$309)</f>
        <v>0</v>
      </c>
      <c r="AL264" s="50">
        <f>+IFERROR(HLOOKUP(AL31,'סקרי נכסים-יתרות פתיחה'!$2:$110,38,0),0)-IFERROR(HLOOKUP(AL31,'סקרי נכסים-יתרות פתיחה'!$2:$110,96,0),0)*(1-AL$309)</f>
        <v>0</v>
      </c>
      <c r="AM264" s="50">
        <f>+IFERROR(HLOOKUP(AM31,'סקרי נכסים-יתרות פתיחה'!$2:$110,38,0),0)-IFERROR(HLOOKUP(AM31,'סקרי נכסים-יתרות פתיחה'!$2:$110,96,0),0)*(1-AM$309)</f>
        <v>0</v>
      </c>
      <c r="AN264" s="50">
        <f>+IFERROR(HLOOKUP(AN31,'סקרי נכסים-יתרות פתיחה'!$2:$110,38,0),0)-IFERROR(HLOOKUP(AN31,'סקרי נכסים-יתרות פתיחה'!$2:$110,96,0),0)*(1-AN$309)</f>
        <v>0</v>
      </c>
      <c r="AO264" s="50">
        <f>+IFERROR(HLOOKUP(AO31,'סקרי נכסים-יתרות פתיחה'!$2:$110,38,0),0)-IFERROR(HLOOKUP(AO31,'סקרי נכסים-יתרות פתיחה'!$2:$110,96,0),0)*(1-AO$309)</f>
        <v>0</v>
      </c>
      <c r="AP264" s="50">
        <f>+IFERROR(HLOOKUP(AP31,'סקרי נכסים-יתרות פתיחה'!$2:$110,38,0),0)-IFERROR(HLOOKUP(AP31,'סקרי נכסים-יתרות פתיחה'!$2:$110,96,0),0)*(1-AP$309)</f>
        <v>0</v>
      </c>
      <c r="AQ264" s="50">
        <f>+IFERROR(HLOOKUP(AQ31,'סקרי נכסים-יתרות פתיחה'!$2:$110,38,0),0)-IFERROR(HLOOKUP(AQ31,'סקרי נכסים-יתרות פתיחה'!$2:$110,96,0),0)*(1-AQ$309)</f>
        <v>0</v>
      </c>
      <c r="AR264" s="50">
        <f>+IFERROR(HLOOKUP(AR31,'סקרי נכסים-יתרות פתיחה'!$2:$110,38,0),0)-IFERROR(HLOOKUP(AR31,'סקרי נכסים-יתרות פתיחה'!$2:$110,96,0),0)*(1-AR$309)</f>
        <v>0</v>
      </c>
      <c r="AS264" s="50">
        <f>+IFERROR(HLOOKUP(AS31,'סקרי נכסים-יתרות פתיחה'!$2:$110,38,0),0)-IFERROR(HLOOKUP(AS31,'סקרי נכסים-יתרות פתיחה'!$2:$110,96,0),0)*(1-AS$309)</f>
        <v>0</v>
      </c>
      <c r="AT264" s="50">
        <f>+IFERROR(HLOOKUP(AT31,'סקרי נכסים-יתרות פתיחה'!$2:$110,38,0),0)-IFERROR(HLOOKUP(AT31,'סקרי נכסים-יתרות פתיחה'!$2:$110,96,0),0)*(1-AT$309)</f>
        <v>0</v>
      </c>
      <c r="AU264" s="50">
        <f>+IFERROR(HLOOKUP(AU31,'סקרי נכסים-יתרות פתיחה'!$2:$110,38,0),0)-IFERROR(HLOOKUP(AU31,'סקרי נכסים-יתרות פתיחה'!$2:$110,96,0),0)*(1-AU$309)</f>
        <v>0</v>
      </c>
      <c r="AV264" s="50">
        <f>+IFERROR(HLOOKUP(AV31,'סקרי נכסים-יתרות פתיחה'!$2:$110,38,0),0)-IFERROR(HLOOKUP(AV31,'סקרי נכסים-יתרות פתיחה'!$2:$110,96,0),0)*(1-AV$309)</f>
        <v>0</v>
      </c>
      <c r="AW264" s="50">
        <f>+IFERROR(HLOOKUP(AW31,'סקרי נכסים-יתרות פתיחה'!$2:$110,38,0),0)-IFERROR(HLOOKUP(AW31,'סקרי נכסים-יתרות פתיחה'!$2:$110,96,0),0)*(1-AW$309)</f>
        <v>0</v>
      </c>
      <c r="AX264" s="50">
        <f>+IFERROR(HLOOKUP(AX31,'סקרי נכסים-יתרות פתיחה'!$2:$110,38,0),0)-IFERROR(HLOOKUP(AX31,'סקרי נכסים-יתרות פתיחה'!$2:$110,96,0),0)*(1-AX$309)</f>
        <v>0</v>
      </c>
      <c r="AY264" s="50">
        <f>+IFERROR(HLOOKUP(AY31,'סקרי נכסים-יתרות פתיחה'!$2:$110,38,0),0)-IFERROR(HLOOKUP(AY31,'סקרי נכסים-יתרות פתיחה'!$2:$110,96,0),0)*(1-AY$309)</f>
        <v>0</v>
      </c>
      <c r="AZ264" s="50">
        <f>+IFERROR(HLOOKUP(AZ31,'סקרי נכסים-יתרות פתיחה'!$2:$110,38,0),0)-IFERROR(HLOOKUP(AZ31,'סקרי נכסים-יתרות פתיחה'!$2:$110,96,0),0)*(1-AZ$309)</f>
        <v>0</v>
      </c>
      <c r="BA264" s="50">
        <f>+IFERROR(HLOOKUP(BA31,'סקרי נכסים-יתרות פתיחה'!$2:$110,38,0),0)-IFERROR(HLOOKUP(BA31,'סקרי נכסים-יתרות פתיחה'!$2:$110,96,0),0)*(1-BA$309)</f>
        <v>0</v>
      </c>
      <c r="BB264" s="50">
        <f>+IFERROR(HLOOKUP(BB31,'סקרי נכסים-יתרות פתיחה'!$2:$110,38,0),0)-IFERROR(HLOOKUP(BB31,'סקרי נכסים-יתרות פתיחה'!$2:$110,96,0),0)*(1-BB$309)</f>
        <v>0</v>
      </c>
      <c r="BC264" s="50">
        <f>+IFERROR(HLOOKUP(BC31,'סקרי נכסים-יתרות פתיחה'!$2:$110,38,0),0)-IFERROR(HLOOKUP(BC31,'סקרי נכסים-יתרות פתיחה'!$2:$110,96,0),0)*(1-BC$309)</f>
        <v>0</v>
      </c>
      <c r="BD264" s="50">
        <f>+IFERROR(HLOOKUP(BD31,'סקרי נכסים-יתרות פתיחה'!$2:$110,38,0),0)-IFERROR(HLOOKUP(BD31,'סקרי נכסים-יתרות פתיחה'!$2:$110,96,0),0)*(1-BD$309)</f>
        <v>0</v>
      </c>
      <c r="BE264" s="50">
        <f>+IFERROR(HLOOKUP(BE31,'סקרי נכסים-יתרות פתיחה'!$2:$110,38,0),0)-IFERROR(HLOOKUP(BE31,'סקרי נכסים-יתרות פתיחה'!$2:$110,96,0),0)*(1-BE$309)</f>
        <v>0</v>
      </c>
      <c r="BF264" s="50">
        <f>+IFERROR(HLOOKUP(BF31,'סקרי נכסים-יתרות פתיחה'!$2:$110,38,0),0)-IFERROR(HLOOKUP(BF31,'סקרי נכסים-יתרות פתיחה'!$2:$110,96,0),0)*(1-BF$309)</f>
        <v>0</v>
      </c>
    </row>
    <row r="265" spans="1:58" x14ac:dyDescent="0.2">
      <c r="B265" s="1">
        <v>29</v>
      </c>
      <c r="C265" s="50">
        <f>+IFERROR(HLOOKUP(C32,'סקרי נכסים-יתרות פתיחה'!$2:$110,38,0),0)-IFERROR(HLOOKUP(C32,'סקרי נכסים-יתרות פתיחה'!$2:$110,96,0),0)*(1-C$309)</f>
        <v>0</v>
      </c>
      <c r="D265" s="50">
        <f>+IFERROR(HLOOKUP(D32,'סקרי נכסים-יתרות פתיחה'!$2:$110,38,0),0)-IFERROR(HLOOKUP(D32,'סקרי נכסים-יתרות פתיחה'!$2:$110,96,0),0)*(1-D$309)</f>
        <v>0</v>
      </c>
      <c r="E265" s="50">
        <f>+IFERROR(HLOOKUP(E32,'סקרי נכסים-יתרות פתיחה'!$2:$110,38,0),0)-IFERROR(HLOOKUP(E32,'סקרי נכסים-יתרות פתיחה'!$2:$110,96,0),0)*(1-E$309)</f>
        <v>0</v>
      </c>
      <c r="F265" s="50">
        <f>+IFERROR(HLOOKUP(F32,'סקרי נכסים-יתרות פתיחה'!$2:$110,38,0),0)-IFERROR(HLOOKUP(F32,'סקרי נכסים-יתרות פתיחה'!$2:$110,96,0),0)*(1-F$309)</f>
        <v>0</v>
      </c>
      <c r="G265" s="50">
        <f>+IFERROR(HLOOKUP(G32,'סקרי נכסים-יתרות פתיחה'!$2:$110,38,0),0)-IFERROR(HLOOKUP(G32,'סקרי נכסים-יתרות פתיחה'!$2:$110,96,0),0)*(1-G$309)</f>
        <v>0</v>
      </c>
      <c r="H265" s="50">
        <f>+IFERROR(HLOOKUP(H32,'סקרי נכסים-יתרות פתיחה'!$2:$110,38,0),0)-IFERROR(HLOOKUP(H32,'סקרי נכסים-יתרות פתיחה'!$2:$110,96,0),0)*(1-H$309)</f>
        <v>0</v>
      </c>
      <c r="I265" s="50">
        <f>+IFERROR(HLOOKUP(I32,'סקרי נכסים-יתרות פתיחה'!$2:$110,38,0),0)-IFERROR(HLOOKUP(I32,'סקרי נכסים-יתרות פתיחה'!$2:$110,96,0),0)*(1-I$309)</f>
        <v>0</v>
      </c>
      <c r="J265" s="50">
        <f>+IFERROR(HLOOKUP(J32,'סקרי נכסים-יתרות פתיחה'!$2:$110,38,0),0)-IFERROR(HLOOKUP(J32,'סקרי נכסים-יתרות פתיחה'!$2:$110,96,0),0)*(1-J$309)</f>
        <v>0</v>
      </c>
      <c r="K265" s="50">
        <f>+IFERROR(HLOOKUP(K32,'סקרי נכסים-יתרות פתיחה'!$2:$110,38,0),0)-IFERROR(HLOOKUP(K32,'סקרי נכסים-יתרות פתיחה'!$2:$110,96,0),0)*(1-K$309)</f>
        <v>0</v>
      </c>
      <c r="L265" s="50">
        <f>+IFERROR(HLOOKUP(L32,'סקרי נכסים-יתרות פתיחה'!$2:$110,38,0),0)-IFERROR(HLOOKUP(L32,'סקרי נכסים-יתרות פתיחה'!$2:$110,96,0),0)*(1-L$309)</f>
        <v>0</v>
      </c>
      <c r="M265" s="50">
        <f>+IFERROR(HLOOKUP(M32,'סקרי נכסים-יתרות פתיחה'!$2:$110,38,0),0)-IFERROR(HLOOKUP(M32,'סקרי נכסים-יתרות פתיחה'!$2:$110,96,0),0)*(1-M$309)</f>
        <v>0</v>
      </c>
      <c r="N265" s="50">
        <f>+IFERROR(HLOOKUP(N32,'סקרי נכסים-יתרות פתיחה'!$2:$110,38,0),0)-IFERROR(HLOOKUP(N32,'סקרי נכסים-יתרות פתיחה'!$2:$110,96,0),0)*(1-N$309)</f>
        <v>0</v>
      </c>
      <c r="O265" s="50">
        <f>+IFERROR(HLOOKUP(O32,'סקרי נכסים-יתרות פתיחה'!$2:$110,38,0),0)-IFERROR(HLOOKUP(O32,'סקרי נכסים-יתרות פתיחה'!$2:$110,96,0),0)*(1-O$309)</f>
        <v>0</v>
      </c>
      <c r="P265" s="50">
        <f>+IFERROR(HLOOKUP(P32,'סקרי נכסים-יתרות פתיחה'!$2:$110,38,0),0)-IFERROR(HLOOKUP(P32,'סקרי נכסים-יתרות פתיחה'!$2:$110,96,0),0)*(1-P$309)</f>
        <v>0</v>
      </c>
      <c r="Q265" s="50">
        <f>+IFERROR(HLOOKUP(Q32,'סקרי נכסים-יתרות פתיחה'!$2:$110,38,0),0)-IFERROR(HLOOKUP(Q32,'סקרי נכסים-יתרות פתיחה'!$2:$110,96,0),0)*(1-Q$309)</f>
        <v>0</v>
      </c>
      <c r="R265" s="50">
        <f>+IFERROR(HLOOKUP(R32,'סקרי נכסים-יתרות פתיחה'!$2:$110,38,0),0)-IFERROR(HLOOKUP(R32,'סקרי נכסים-יתרות פתיחה'!$2:$110,96,0),0)*(1-R$309)</f>
        <v>0</v>
      </c>
      <c r="S265" s="50">
        <f>+IFERROR(HLOOKUP(S32,'סקרי נכסים-יתרות פתיחה'!$2:$110,38,0),0)-IFERROR(HLOOKUP(S32,'סקרי נכסים-יתרות פתיחה'!$2:$110,96,0),0)*(1-S$309)</f>
        <v>0</v>
      </c>
      <c r="T265" s="50">
        <f>+IFERROR(HLOOKUP(T32,'סקרי נכסים-יתרות פתיחה'!$2:$110,38,0),0)-IFERROR(HLOOKUP(T32,'סקרי נכסים-יתרות פתיחה'!$2:$110,96,0),0)*(1-T$309)</f>
        <v>0</v>
      </c>
      <c r="U265" s="50">
        <f>+IFERROR(HLOOKUP(U32,'סקרי נכסים-יתרות פתיחה'!$2:$110,38,0),0)-IFERROR(HLOOKUP(U32,'סקרי נכסים-יתרות פתיחה'!$2:$110,96,0),0)*(1-U$309)</f>
        <v>0</v>
      </c>
      <c r="V265" s="50">
        <f>+IFERROR(HLOOKUP(V32,'סקרי נכסים-יתרות פתיחה'!$2:$110,38,0),0)-IFERROR(HLOOKUP(V32,'סקרי נכסים-יתרות פתיחה'!$2:$110,96,0),0)*(1-V$309)</f>
        <v>0</v>
      </c>
      <c r="W265" s="50">
        <f>+IFERROR(HLOOKUP(W32,'סקרי נכסים-יתרות פתיחה'!$2:$110,38,0),0)-IFERROR(HLOOKUP(W32,'סקרי נכסים-יתרות פתיחה'!$2:$110,96,0),0)*(1-W$309)</f>
        <v>0</v>
      </c>
      <c r="X265" s="50">
        <f>+IFERROR(HLOOKUP(X32,'סקרי נכסים-יתרות פתיחה'!$2:$110,38,0),0)-IFERROR(HLOOKUP(X32,'סקרי נכסים-יתרות פתיחה'!$2:$110,96,0),0)*(1-X$309)</f>
        <v>0</v>
      </c>
      <c r="Y265" s="50">
        <f>+IFERROR(HLOOKUP(Y32,'סקרי נכסים-יתרות פתיחה'!$2:$110,38,0),0)-IFERROR(HLOOKUP(Y32,'סקרי נכסים-יתרות פתיחה'!$2:$110,96,0),0)*(1-Y$309)</f>
        <v>0</v>
      </c>
      <c r="Z265" s="50">
        <f>+IFERROR(HLOOKUP(Z32,'סקרי נכסים-יתרות פתיחה'!$2:$110,38,0),0)-IFERROR(HLOOKUP(Z32,'סקרי נכסים-יתרות פתיחה'!$2:$110,96,0),0)*(1-Z$309)</f>
        <v>0</v>
      </c>
      <c r="AA265" s="50">
        <f>+IFERROR(HLOOKUP(AA32,'סקרי נכסים-יתרות פתיחה'!$2:$110,38,0),0)-IFERROR(HLOOKUP(AA32,'סקרי נכסים-יתרות פתיחה'!$2:$110,96,0),0)*(1-AA$309)</f>
        <v>0</v>
      </c>
      <c r="AB265" s="50">
        <f>+IFERROR(HLOOKUP(AB32,'סקרי נכסים-יתרות פתיחה'!$2:$110,38,0),0)-IFERROR(HLOOKUP(AB32,'סקרי נכסים-יתרות פתיחה'!$2:$110,96,0),0)*(1-AB$309)</f>
        <v>0</v>
      </c>
      <c r="AC265" s="50">
        <f>+IFERROR(HLOOKUP(AC32,'סקרי נכסים-יתרות פתיחה'!$2:$110,38,0),0)-IFERROR(HLOOKUP(AC32,'סקרי נכסים-יתרות פתיחה'!$2:$110,96,0),0)*(1-AC$309)</f>
        <v>0</v>
      </c>
      <c r="AD265" s="50">
        <f>+IFERROR(HLOOKUP(AD32,'סקרי נכסים-יתרות פתיחה'!$2:$110,38,0),0)-IFERROR(HLOOKUP(AD32,'סקרי נכסים-יתרות פתיחה'!$2:$110,96,0),0)*(1-AD$309)</f>
        <v>0</v>
      </c>
      <c r="AE265" s="50">
        <f>+IFERROR(HLOOKUP(AE32,'סקרי נכסים-יתרות פתיחה'!$2:$110,38,0),0)-IFERROR(HLOOKUP(AE32,'סקרי נכסים-יתרות פתיחה'!$2:$110,96,0),0)*(1-AE$309)</f>
        <v>0</v>
      </c>
      <c r="AF265" s="50">
        <f>+IFERROR(HLOOKUP(AF32,'סקרי נכסים-יתרות פתיחה'!$2:$110,38,0),0)-IFERROR(HLOOKUP(AF32,'סקרי נכסים-יתרות פתיחה'!$2:$110,96,0),0)*(1-AF$309)</f>
        <v>0</v>
      </c>
      <c r="AG265" s="50">
        <f>+IFERROR(HLOOKUP(AG32,'סקרי נכסים-יתרות פתיחה'!$2:$110,38,0),0)-IFERROR(HLOOKUP(AG32,'סקרי נכסים-יתרות פתיחה'!$2:$110,96,0),0)*(1-AG$309)</f>
        <v>0</v>
      </c>
      <c r="AH265" s="50">
        <f>+IFERROR(HLOOKUP(AH32,'סקרי נכסים-יתרות פתיחה'!$2:$110,38,0),0)-IFERROR(HLOOKUP(AH32,'סקרי נכסים-יתרות פתיחה'!$2:$110,96,0),0)*(1-AH$309)</f>
        <v>0</v>
      </c>
      <c r="AI265" s="50">
        <f>+IFERROR(HLOOKUP(AI32,'סקרי נכסים-יתרות פתיחה'!$2:$110,38,0),0)-IFERROR(HLOOKUP(AI32,'סקרי נכסים-יתרות פתיחה'!$2:$110,96,0),0)*(1-AI$309)</f>
        <v>0</v>
      </c>
      <c r="AJ265" s="50">
        <f>+IFERROR(HLOOKUP(AJ32,'סקרי נכסים-יתרות פתיחה'!$2:$110,38,0),0)-IFERROR(HLOOKUP(AJ32,'סקרי נכסים-יתרות פתיחה'!$2:$110,96,0),0)*(1-AJ$309)</f>
        <v>0</v>
      </c>
      <c r="AK265" s="50">
        <f>+IFERROR(HLOOKUP(AK32,'סקרי נכסים-יתרות פתיחה'!$2:$110,38,0),0)-IFERROR(HLOOKUP(AK32,'סקרי נכסים-יתרות פתיחה'!$2:$110,96,0),0)*(1-AK$309)</f>
        <v>0</v>
      </c>
      <c r="AL265" s="50">
        <f>+IFERROR(HLOOKUP(AL32,'סקרי נכסים-יתרות פתיחה'!$2:$110,38,0),0)-IFERROR(HLOOKUP(AL32,'סקרי נכסים-יתרות פתיחה'!$2:$110,96,0),0)*(1-AL$309)</f>
        <v>0</v>
      </c>
      <c r="AM265" s="50">
        <f>+IFERROR(HLOOKUP(AM32,'סקרי נכסים-יתרות פתיחה'!$2:$110,38,0),0)-IFERROR(HLOOKUP(AM32,'סקרי נכסים-יתרות פתיחה'!$2:$110,96,0),0)*(1-AM$309)</f>
        <v>0</v>
      </c>
      <c r="AN265" s="50">
        <f>+IFERROR(HLOOKUP(AN32,'סקרי נכסים-יתרות פתיחה'!$2:$110,38,0),0)-IFERROR(HLOOKUP(AN32,'סקרי נכסים-יתרות פתיחה'!$2:$110,96,0),0)*(1-AN$309)</f>
        <v>0</v>
      </c>
      <c r="AO265" s="50">
        <f>+IFERROR(HLOOKUP(AO32,'סקרי נכסים-יתרות פתיחה'!$2:$110,38,0),0)-IFERROR(HLOOKUP(AO32,'סקרי נכסים-יתרות פתיחה'!$2:$110,96,0),0)*(1-AO$309)</f>
        <v>0</v>
      </c>
      <c r="AP265" s="50">
        <f>+IFERROR(HLOOKUP(AP32,'סקרי נכסים-יתרות פתיחה'!$2:$110,38,0),0)-IFERROR(HLOOKUP(AP32,'סקרי נכסים-יתרות פתיחה'!$2:$110,96,0),0)*(1-AP$309)</f>
        <v>0</v>
      </c>
      <c r="AQ265" s="50">
        <f>+IFERROR(HLOOKUP(AQ32,'סקרי נכסים-יתרות פתיחה'!$2:$110,38,0),0)-IFERROR(HLOOKUP(AQ32,'סקרי נכסים-יתרות פתיחה'!$2:$110,96,0),0)*(1-AQ$309)</f>
        <v>0</v>
      </c>
      <c r="AR265" s="50">
        <f>+IFERROR(HLOOKUP(AR32,'סקרי נכסים-יתרות פתיחה'!$2:$110,38,0),0)-IFERROR(HLOOKUP(AR32,'סקרי נכסים-יתרות פתיחה'!$2:$110,96,0),0)*(1-AR$309)</f>
        <v>0</v>
      </c>
      <c r="AS265" s="50">
        <f>+IFERROR(HLOOKUP(AS32,'סקרי נכסים-יתרות פתיחה'!$2:$110,38,0),0)-IFERROR(HLOOKUP(AS32,'סקרי נכסים-יתרות פתיחה'!$2:$110,96,0),0)*(1-AS$309)</f>
        <v>0</v>
      </c>
      <c r="AT265" s="50">
        <f>+IFERROR(HLOOKUP(AT32,'סקרי נכסים-יתרות פתיחה'!$2:$110,38,0),0)-IFERROR(HLOOKUP(AT32,'סקרי נכסים-יתרות פתיחה'!$2:$110,96,0),0)*(1-AT$309)</f>
        <v>0</v>
      </c>
      <c r="AU265" s="50">
        <f>+IFERROR(HLOOKUP(AU32,'סקרי נכסים-יתרות פתיחה'!$2:$110,38,0),0)-IFERROR(HLOOKUP(AU32,'סקרי נכסים-יתרות פתיחה'!$2:$110,96,0),0)*(1-AU$309)</f>
        <v>0</v>
      </c>
      <c r="AV265" s="50">
        <f>+IFERROR(HLOOKUP(AV32,'סקרי נכסים-יתרות פתיחה'!$2:$110,38,0),0)-IFERROR(HLOOKUP(AV32,'סקרי נכסים-יתרות פתיחה'!$2:$110,96,0),0)*(1-AV$309)</f>
        <v>0</v>
      </c>
      <c r="AW265" s="50">
        <f>+IFERROR(HLOOKUP(AW32,'סקרי נכסים-יתרות פתיחה'!$2:$110,38,0),0)-IFERROR(HLOOKUP(AW32,'סקרי נכסים-יתרות פתיחה'!$2:$110,96,0),0)*(1-AW$309)</f>
        <v>0</v>
      </c>
      <c r="AX265" s="50">
        <f>+IFERROR(HLOOKUP(AX32,'סקרי נכסים-יתרות פתיחה'!$2:$110,38,0),0)-IFERROR(HLOOKUP(AX32,'סקרי נכסים-יתרות פתיחה'!$2:$110,96,0),0)*(1-AX$309)</f>
        <v>0</v>
      </c>
      <c r="AY265" s="50">
        <f>+IFERROR(HLOOKUP(AY32,'סקרי נכסים-יתרות פתיחה'!$2:$110,38,0),0)-IFERROR(HLOOKUP(AY32,'סקרי נכסים-יתרות פתיחה'!$2:$110,96,0),0)*(1-AY$309)</f>
        <v>0</v>
      </c>
      <c r="AZ265" s="50">
        <f>+IFERROR(HLOOKUP(AZ32,'סקרי נכסים-יתרות פתיחה'!$2:$110,38,0),0)-IFERROR(HLOOKUP(AZ32,'סקרי נכסים-יתרות פתיחה'!$2:$110,96,0),0)*(1-AZ$309)</f>
        <v>0</v>
      </c>
      <c r="BA265" s="50">
        <f>+IFERROR(HLOOKUP(BA32,'סקרי נכסים-יתרות פתיחה'!$2:$110,38,0),0)-IFERROR(HLOOKUP(BA32,'סקרי נכסים-יתרות פתיחה'!$2:$110,96,0),0)*(1-BA$309)</f>
        <v>0</v>
      </c>
      <c r="BB265" s="50">
        <f>+IFERROR(HLOOKUP(BB32,'סקרי נכסים-יתרות פתיחה'!$2:$110,38,0),0)-IFERROR(HLOOKUP(BB32,'סקרי נכסים-יתרות פתיחה'!$2:$110,96,0),0)*(1-BB$309)</f>
        <v>0</v>
      </c>
      <c r="BC265" s="50">
        <f>+IFERROR(HLOOKUP(BC32,'סקרי נכסים-יתרות פתיחה'!$2:$110,38,0),0)-IFERROR(HLOOKUP(BC32,'סקרי נכסים-יתרות פתיחה'!$2:$110,96,0),0)*(1-BC$309)</f>
        <v>0</v>
      </c>
      <c r="BD265" s="50">
        <f>+IFERROR(HLOOKUP(BD32,'סקרי נכסים-יתרות פתיחה'!$2:$110,38,0),0)-IFERROR(HLOOKUP(BD32,'סקרי נכסים-יתרות פתיחה'!$2:$110,96,0),0)*(1-BD$309)</f>
        <v>0</v>
      </c>
      <c r="BE265" s="50">
        <f>+IFERROR(HLOOKUP(BE32,'סקרי נכסים-יתרות פתיחה'!$2:$110,38,0),0)-IFERROR(HLOOKUP(BE32,'סקרי נכסים-יתרות פתיחה'!$2:$110,96,0),0)*(1-BE$309)</f>
        <v>0</v>
      </c>
      <c r="BF265" s="50">
        <f>+IFERROR(HLOOKUP(BF32,'סקרי נכסים-יתרות פתיחה'!$2:$110,38,0),0)-IFERROR(HLOOKUP(BF32,'סקרי נכסים-יתרות פתיחה'!$2:$110,96,0),0)*(1-BF$309)</f>
        <v>0</v>
      </c>
    </row>
    <row r="266" spans="1:58" x14ac:dyDescent="0.2">
      <c r="A266" s="1228" t="s">
        <v>1538</v>
      </c>
      <c r="C266" s="50">
        <f>+IFERROR(HLOOKUP(C1,'השקעות בניכוי גריעות'!$1:$93,93,0)*1000,0)</f>
        <v>0</v>
      </c>
      <c r="D266" s="50">
        <f>+IFERROR(HLOOKUP(D1,'השקעות בניכוי גריעות'!$1:$93,93,0)*1000,0)</f>
        <v>0</v>
      </c>
      <c r="E266" s="50">
        <f>+IFERROR(HLOOKUP(E1,'השקעות בניכוי גריעות'!$1:$93,93,0)*1000,0)</f>
        <v>0</v>
      </c>
      <c r="F266" s="50">
        <f>+IFERROR(HLOOKUP(F1,'השקעות בניכוי גריעות'!$1:$93,93,0)*1000,0)</f>
        <v>0</v>
      </c>
      <c r="G266" s="50">
        <f>+IFERROR(HLOOKUP(G1,'השקעות בניכוי גריעות'!$1:$93,93,0)*1000,0)</f>
        <v>0</v>
      </c>
      <c r="H266" s="50">
        <f>+IFERROR(HLOOKUP(H1,'השקעות בניכוי גריעות'!$1:$93,93,0)*1000,0)</f>
        <v>0</v>
      </c>
      <c r="I266" s="50">
        <f>+IFERROR(HLOOKUP(I1,'השקעות בניכוי גריעות'!$1:$93,93,0)*1000,0)</f>
        <v>0</v>
      </c>
      <c r="J266" s="50">
        <f>+IFERROR(HLOOKUP(J1,'השקעות בניכוי גריעות'!$1:$93,93,0)*1000,0)</f>
        <v>0</v>
      </c>
      <c r="K266" s="50">
        <f>+IFERROR(HLOOKUP(K1,'השקעות בניכוי גריעות'!$1:$93,93,0)*1000,0)</f>
        <v>0</v>
      </c>
      <c r="L266" s="50">
        <f>+IFERROR(HLOOKUP(L1,'השקעות בניכוי גריעות'!$1:$93,93,0)*1000,0)</f>
        <v>0</v>
      </c>
      <c r="M266" s="50">
        <f>+IFERROR(HLOOKUP(M1,'השקעות בניכוי גריעות'!$1:$93,93,0)*1000,0)</f>
        <v>0</v>
      </c>
      <c r="N266" s="50">
        <f>+IFERROR(HLOOKUP(N1,'השקעות בניכוי גריעות'!$1:$93,93,0)*1000,0)</f>
        <v>0</v>
      </c>
      <c r="O266" s="50">
        <f>+IFERROR(HLOOKUP(O1,'השקעות בניכוי גריעות'!$1:$93,93,0)*1000,0)</f>
        <v>0</v>
      </c>
      <c r="P266" s="50">
        <f>+IFERROR(HLOOKUP(P1,'השקעות בניכוי גריעות'!$1:$93,93,0)*1000,0)</f>
        <v>0</v>
      </c>
      <c r="Q266" s="50">
        <f>+IFERROR(HLOOKUP(Q1,'השקעות בניכוי גריעות'!$1:$93,93,0)*1000,0)</f>
        <v>0</v>
      </c>
      <c r="R266" s="50">
        <f>+IFERROR(HLOOKUP(R1,'השקעות בניכוי גריעות'!$1:$93,93,0)*1000,0)</f>
        <v>0</v>
      </c>
      <c r="S266" s="50">
        <f>+IFERROR(HLOOKUP(S1,'השקעות בניכוי גריעות'!$1:$93,93,0)*1000,0)</f>
        <v>0</v>
      </c>
      <c r="T266" s="50">
        <f>+IFERROR(HLOOKUP(T1,'השקעות בניכוי גריעות'!$1:$93,93,0)*1000,0)</f>
        <v>0</v>
      </c>
      <c r="U266" s="50">
        <f>+IFERROR(HLOOKUP(U1,'השקעות בניכוי גריעות'!$1:$93,93,0)*1000,0)</f>
        <v>0</v>
      </c>
      <c r="V266" s="50">
        <f>+IFERROR(HLOOKUP(V1,'השקעות בניכוי גריעות'!$1:$93,93,0)*1000,0)</f>
        <v>0</v>
      </c>
      <c r="W266" s="50">
        <f>+IFERROR(HLOOKUP(W1,'השקעות בניכוי גריעות'!$1:$93,93,0)*1000,0)</f>
        <v>0</v>
      </c>
      <c r="X266" s="50">
        <f>+IFERROR(HLOOKUP(X1,'השקעות בניכוי גריעות'!$1:$93,93,0)*1000,0)</f>
        <v>0</v>
      </c>
      <c r="Y266" s="50">
        <f>+IFERROR(HLOOKUP(Y1,'השקעות בניכוי גריעות'!$1:$93,93,0)*1000,0)</f>
        <v>0</v>
      </c>
      <c r="Z266" s="50">
        <f>+IFERROR(HLOOKUP(Z1,'השקעות בניכוי גריעות'!$1:$93,93,0)*1000,0)</f>
        <v>0</v>
      </c>
      <c r="AA266" s="50">
        <f>+IFERROR(HLOOKUP(AA1,'השקעות בניכוי גריעות'!$1:$93,93,0)*1000,0)</f>
        <v>0</v>
      </c>
      <c r="AB266" s="50">
        <f>+IFERROR(HLOOKUP(AB1,'השקעות בניכוי גריעות'!$1:$93,93,0)*1000,0)</f>
        <v>0</v>
      </c>
      <c r="AC266" s="50">
        <f>+IFERROR(HLOOKUP(AC1,'השקעות בניכוי גריעות'!$1:$93,93,0)*1000,0)</f>
        <v>0</v>
      </c>
      <c r="AD266" s="50">
        <f>+IFERROR(HLOOKUP(AD1,'השקעות בניכוי גריעות'!$1:$93,93,0)*1000,0)</f>
        <v>0</v>
      </c>
      <c r="AE266" s="50">
        <f>+IFERROR(HLOOKUP(AE1,'השקעות בניכוי גריעות'!$1:$93,93,0)*1000,0)</f>
        <v>0</v>
      </c>
      <c r="AF266" s="50">
        <f>+IFERROR(HLOOKUP(AF1,'השקעות בניכוי גריעות'!$1:$93,93,0)*1000,0)</f>
        <v>0</v>
      </c>
      <c r="AG266" s="50">
        <f>+IFERROR(HLOOKUP(AG1,'השקעות בניכוי גריעות'!$1:$93,93,0)*1000,0)</f>
        <v>0</v>
      </c>
      <c r="AH266" s="50">
        <f>+IFERROR(HLOOKUP(AH1,'השקעות בניכוי גריעות'!$1:$93,93,0)*1000,0)</f>
        <v>0</v>
      </c>
      <c r="AI266" s="50">
        <f>+IFERROR(HLOOKUP(AI1,'השקעות בניכוי גריעות'!$1:$93,93,0)*1000,0)</f>
        <v>0</v>
      </c>
      <c r="AJ266" s="50">
        <f>+IFERROR(HLOOKUP(AJ1,'השקעות בניכוי גריעות'!$1:$93,93,0)*1000,0)</f>
        <v>0</v>
      </c>
      <c r="AK266" s="50">
        <f>+IFERROR(HLOOKUP(AK1,'השקעות בניכוי גריעות'!$1:$93,93,0)*1000,0)</f>
        <v>0</v>
      </c>
      <c r="AL266" s="50">
        <f>+IFERROR(HLOOKUP(AL1,'השקעות בניכוי גריעות'!$1:$93,93,0)*1000,0)</f>
        <v>0</v>
      </c>
      <c r="AM266" s="50">
        <f>+IFERROR(HLOOKUP(AM1,'השקעות בניכוי גריעות'!$1:$93,93,0)*1000,0)</f>
        <v>0</v>
      </c>
      <c r="AN266" s="50">
        <f>+IFERROR(HLOOKUP(AN1,'השקעות בניכוי גריעות'!$1:$93,93,0)*1000,0)</f>
        <v>0</v>
      </c>
      <c r="AO266" s="50">
        <f>+IFERROR(HLOOKUP(AO1,'השקעות בניכוי גריעות'!$1:$93,93,0)*1000,0)</f>
        <v>0</v>
      </c>
      <c r="AP266" s="50">
        <f>+IFERROR(HLOOKUP(AP1,'השקעות בניכוי גריעות'!$1:$93,93,0)*1000,0)</f>
        <v>0</v>
      </c>
      <c r="AQ266" s="50">
        <f>+IFERROR(HLOOKUP(AQ1,'השקעות בניכוי גריעות'!$1:$93,93,0)*1000,0)</f>
        <v>0</v>
      </c>
      <c r="AR266" s="50">
        <f>+IFERROR(HLOOKUP(AR1,'השקעות בניכוי גריעות'!$1:$93,93,0)*1000,0)</f>
        <v>2427000</v>
      </c>
      <c r="AS266" s="50">
        <f>+IFERROR(HLOOKUP(AS1,'השקעות בניכוי גריעות'!$1:$93,93,0)*1000,0)</f>
        <v>0</v>
      </c>
      <c r="AT266" s="50">
        <f>+IFERROR(HLOOKUP(AT1,'השקעות בניכוי גריעות'!$1:$93,93,0)*1000,0)</f>
        <v>0</v>
      </c>
      <c r="AU266" s="50">
        <f>+IFERROR(HLOOKUP(AU1,'השקעות בניכוי גריעות'!$1:$93,93,0)*1000,0)</f>
        <v>0</v>
      </c>
      <c r="AV266" s="50">
        <f>+IFERROR(HLOOKUP(AV1,'השקעות בניכוי גריעות'!$1:$93,93,0)*1000,0)</f>
        <v>0</v>
      </c>
      <c r="AW266" s="50">
        <f>+IFERROR(HLOOKUP(AW1,'השקעות בניכוי גריעות'!$1:$93,93,0)*1000,0)</f>
        <v>0</v>
      </c>
      <c r="AX266" s="50">
        <f>+IFERROR(HLOOKUP(AX1,'השקעות בניכוי גריעות'!$1:$93,93,0)*1000,0)</f>
        <v>0</v>
      </c>
      <c r="AY266" s="50">
        <f>+IFERROR(HLOOKUP(AY1,'השקעות בניכוי גריעות'!$1:$93,93,0)*1000,0)</f>
        <v>0</v>
      </c>
      <c r="AZ266" s="50">
        <f>+IFERROR(HLOOKUP(AZ1,'השקעות בניכוי גריעות'!$1:$93,93,0)*1000,0)</f>
        <v>0</v>
      </c>
      <c r="BA266" s="50">
        <f>+IFERROR(HLOOKUP(BA1,'השקעות בניכוי גריעות'!$1:$93,93,0)*1000,0)</f>
        <v>0</v>
      </c>
      <c r="BB266" s="50">
        <f>+IFERROR(HLOOKUP(BB1,'השקעות בניכוי גריעות'!$1:$93,93,0)*1000,0)</f>
        <v>0</v>
      </c>
      <c r="BC266" s="50">
        <f>+IFERROR(HLOOKUP(BC1,'השקעות בניכוי גריעות'!$1:$93,93,0)*1000,0)</f>
        <v>0</v>
      </c>
      <c r="BD266" s="50">
        <f>+IFERROR(HLOOKUP(BD1,'השקעות בניכוי גריעות'!$1:$93,93,0)*1000,0)</f>
        <v>0</v>
      </c>
      <c r="BE266" s="50">
        <f>+IFERROR(HLOOKUP(BE1,'השקעות בניכוי גריעות'!$1:$93,93,0)*1000,0)</f>
        <v>0</v>
      </c>
      <c r="BF266" s="50">
        <f>+IFERROR(HLOOKUP(BF1,'השקעות בניכוי גריעות'!$1:$93,93,0)*1000,0)</f>
        <v>0</v>
      </c>
    </row>
    <row r="267" spans="1:58" x14ac:dyDescent="0.2">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row>
    <row r="268" spans="1:58" x14ac:dyDescent="0.2">
      <c r="A268" s="1228" t="s">
        <v>164</v>
      </c>
      <c r="C268" s="50">
        <f>SUM(C237:C266)/1000</f>
        <v>0</v>
      </c>
      <c r="D268" s="50">
        <f t="shared" ref="D268:BE268" si="11">SUM(D237:D266)/1000</f>
        <v>0</v>
      </c>
      <c r="E268" s="50">
        <f t="shared" si="11"/>
        <v>22044.29257142857</v>
      </c>
      <c r="F268" s="50">
        <f t="shared" si="11"/>
        <v>0</v>
      </c>
      <c r="G268" s="50">
        <f t="shared" si="11"/>
        <v>5324.3986285714282</v>
      </c>
      <c r="H268" s="50">
        <f t="shared" si="11"/>
        <v>0</v>
      </c>
      <c r="I268" s="50">
        <f t="shared" si="11"/>
        <v>0</v>
      </c>
      <c r="J268" s="50">
        <f t="shared" si="11"/>
        <v>5185.8834285714283</v>
      </c>
      <c r="K268" s="50">
        <f t="shared" si="11"/>
        <v>0</v>
      </c>
      <c r="L268" s="50">
        <f t="shared" si="11"/>
        <v>0</v>
      </c>
      <c r="M268" s="50">
        <f t="shared" si="11"/>
        <v>12617.142857142857</v>
      </c>
      <c r="N268" s="50">
        <f t="shared" si="11"/>
        <v>14528.034742857144</v>
      </c>
      <c r="O268" s="50">
        <f t="shared" si="11"/>
        <v>0</v>
      </c>
      <c r="P268" s="50">
        <f t="shared" si="11"/>
        <v>0</v>
      </c>
      <c r="Q268" s="50">
        <f t="shared" si="11"/>
        <v>0</v>
      </c>
      <c r="R268" s="50">
        <f t="shared" si="11"/>
        <v>0</v>
      </c>
      <c r="S268" s="50">
        <f t="shared" si="11"/>
        <v>0</v>
      </c>
      <c r="T268" s="50">
        <f t="shared" si="11"/>
        <v>0</v>
      </c>
      <c r="U268" s="50">
        <f t="shared" si="11"/>
        <v>1767.5062857142857</v>
      </c>
      <c r="V268" s="50">
        <f t="shared" si="11"/>
        <v>0</v>
      </c>
      <c r="W268" s="50">
        <f t="shared" si="11"/>
        <v>0</v>
      </c>
      <c r="X268" s="50">
        <f t="shared" si="11"/>
        <v>0</v>
      </c>
      <c r="Y268" s="50">
        <f t="shared" si="11"/>
        <v>0</v>
      </c>
      <c r="Z268" s="50">
        <f t="shared" si="11"/>
        <v>0</v>
      </c>
      <c r="AA268" s="50">
        <f t="shared" si="11"/>
        <v>0</v>
      </c>
      <c r="AB268" s="50">
        <f t="shared" si="11"/>
        <v>5610.9714285714281</v>
      </c>
      <c r="AC268" s="50">
        <f t="shared" si="11"/>
        <v>0</v>
      </c>
      <c r="AD268" s="50">
        <f t="shared" si="11"/>
        <v>0</v>
      </c>
      <c r="AE268" s="50">
        <f t="shared" si="11"/>
        <v>19900.766590476189</v>
      </c>
      <c r="AF268" s="50">
        <f t="shared" si="11"/>
        <v>0</v>
      </c>
      <c r="AG268" s="50">
        <f t="shared" si="11"/>
        <v>0</v>
      </c>
      <c r="AH268" s="50">
        <f t="shared" si="11"/>
        <v>824.1</v>
      </c>
      <c r="AI268" s="50">
        <f t="shared" si="11"/>
        <v>0</v>
      </c>
      <c r="AJ268" s="50">
        <f t="shared" si="11"/>
        <v>1406.4914285714287</v>
      </c>
      <c r="AK268" s="50">
        <f t="shared" si="11"/>
        <v>0</v>
      </c>
      <c r="AL268" s="50">
        <f t="shared" si="11"/>
        <v>0</v>
      </c>
      <c r="AM268" s="50">
        <f t="shared" si="11"/>
        <v>714.72018095238104</v>
      </c>
      <c r="AN268" s="50">
        <f t="shared" si="11"/>
        <v>0</v>
      </c>
      <c r="AO268" s="50">
        <f t="shared" si="11"/>
        <v>0</v>
      </c>
      <c r="AP268" s="50">
        <f t="shared" si="11"/>
        <v>0</v>
      </c>
      <c r="AQ268" s="50">
        <f t="shared" si="11"/>
        <v>0</v>
      </c>
      <c r="AR268" s="50">
        <f t="shared" si="11"/>
        <v>2427</v>
      </c>
      <c r="AS268" s="50">
        <f t="shared" si="11"/>
        <v>0</v>
      </c>
      <c r="AT268" s="50">
        <f t="shared" si="11"/>
        <v>0</v>
      </c>
      <c r="AU268" s="50">
        <f t="shared" si="11"/>
        <v>7293.0803333333333</v>
      </c>
      <c r="AV268" s="50">
        <f t="shared" si="11"/>
        <v>0</v>
      </c>
      <c r="AW268" s="50">
        <f t="shared" si="11"/>
        <v>0</v>
      </c>
      <c r="AX268" s="50">
        <f t="shared" si="11"/>
        <v>3187.5</v>
      </c>
      <c r="AY268" s="50">
        <f t="shared" si="11"/>
        <v>0</v>
      </c>
      <c r="AZ268" s="50">
        <f t="shared" si="11"/>
        <v>0</v>
      </c>
      <c r="BA268" s="50">
        <f t="shared" si="11"/>
        <v>6779.9224523809517</v>
      </c>
      <c r="BB268" s="50">
        <f t="shared" si="11"/>
        <v>4144.1779999999999</v>
      </c>
      <c r="BC268" s="50">
        <f t="shared" si="11"/>
        <v>0</v>
      </c>
      <c r="BD268" s="50">
        <f t="shared" si="11"/>
        <v>0</v>
      </c>
      <c r="BE268" s="50">
        <f t="shared" si="11"/>
        <v>0</v>
      </c>
      <c r="BF268" s="50">
        <f t="shared" ref="BF268" si="12">SUM(BF237:BF266)/1000</f>
        <v>0</v>
      </c>
    </row>
    <row r="269" spans="1:58" x14ac:dyDescent="0.2">
      <c r="A269" s="78"/>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row>
    <row r="270" spans="1:58" x14ac:dyDescent="0.2">
      <c r="C270" s="1240"/>
      <c r="D270" s="1240"/>
      <c r="E270" s="1240"/>
      <c r="F270" s="1240"/>
      <c r="G270" s="1240"/>
      <c r="H270" s="1240"/>
      <c r="I270" s="1240"/>
      <c r="J270" s="1240"/>
      <c r="K270" s="1240"/>
      <c r="L270" s="1240"/>
      <c r="M270" s="1240"/>
      <c r="N270" s="1299"/>
      <c r="O270" s="1240"/>
      <c r="P270" s="1240"/>
      <c r="Q270" s="5"/>
      <c r="R270" s="1240"/>
      <c r="S270" s="5"/>
      <c r="T270" s="1240"/>
      <c r="U270" s="5"/>
      <c r="V270" s="1240"/>
      <c r="W270" s="1240"/>
      <c r="X270" s="1240"/>
      <c r="Y270" s="5"/>
      <c r="Z270" s="1240"/>
      <c r="AA270" s="1240"/>
      <c r="AB270" s="1240"/>
      <c r="AC270" s="5"/>
      <c r="AD270" s="5"/>
      <c r="AE270" s="5"/>
      <c r="AF270" s="5"/>
      <c r="AG270" s="1240"/>
      <c r="AH270" s="5"/>
      <c r="AI270" s="1240"/>
      <c r="AJ270" s="5"/>
      <c r="AK270" s="1240"/>
      <c r="AL270" s="1240"/>
      <c r="AM270" s="1240"/>
      <c r="AN270" s="5"/>
      <c r="AO270" s="5"/>
      <c r="AP270" s="5"/>
      <c r="AQ270" s="5"/>
      <c r="AR270" s="5"/>
      <c r="AS270" s="1240"/>
      <c r="AT270" s="1240"/>
      <c r="AU270" s="5"/>
      <c r="AV270" s="5"/>
      <c r="AW270" s="1240"/>
      <c r="AX270" s="1240"/>
      <c r="AY270" s="1240"/>
      <c r="AZ270" s="5"/>
      <c r="BA270" s="1240"/>
      <c r="BB270" s="5"/>
      <c r="BC270" s="5"/>
      <c r="BD270" s="1240"/>
      <c r="BE270" s="1240"/>
      <c r="BF270" s="1240"/>
    </row>
    <row r="271" spans="1:58" x14ac:dyDescent="0.2">
      <c r="A271" s="1228" t="s">
        <v>1178</v>
      </c>
      <c r="C271" s="1240">
        <v>767.75</v>
      </c>
      <c r="D271" s="1240">
        <v>142.76</v>
      </c>
      <c r="E271" s="1240">
        <v>361.04999999999995</v>
      </c>
      <c r="F271" s="1240">
        <v>58.099999999999994</v>
      </c>
      <c r="G271" s="1240">
        <v>232.39999999999998</v>
      </c>
      <c r="H271" s="1240">
        <v>1579.49</v>
      </c>
      <c r="I271" s="1240">
        <v>1156.19</v>
      </c>
      <c r="J271" s="1240">
        <v>332</v>
      </c>
      <c r="K271" s="1240">
        <v>390.93</v>
      </c>
      <c r="L271" s="1240">
        <v>922.95999999999992</v>
      </c>
      <c r="M271" s="1240">
        <v>726.25</v>
      </c>
      <c r="N271" s="1240">
        <v>1284.8399999999999</v>
      </c>
      <c r="O271" s="1240">
        <v>195.04999999999998</v>
      </c>
      <c r="P271" s="1240">
        <v>131.97</v>
      </c>
      <c r="Q271" s="1240">
        <v>643.25</v>
      </c>
      <c r="R271" s="1240">
        <v>0</v>
      </c>
      <c r="S271" s="1240">
        <v>0</v>
      </c>
      <c r="T271" s="1240">
        <v>735.38</v>
      </c>
      <c r="U271" s="1240">
        <v>107.89999999999999</v>
      </c>
      <c r="V271" s="1240">
        <v>196.70999999999998</v>
      </c>
      <c r="W271" s="1240">
        <v>716.29</v>
      </c>
      <c r="X271" s="1240">
        <v>0</v>
      </c>
      <c r="Y271" s="1240">
        <v>0</v>
      </c>
      <c r="Z271" s="1240">
        <v>136.94999999999999</v>
      </c>
      <c r="AA271" s="1240">
        <v>419.97999999999996</v>
      </c>
      <c r="AB271" s="1240">
        <v>0</v>
      </c>
      <c r="AC271" s="1240">
        <v>0</v>
      </c>
      <c r="AD271" s="1240">
        <v>424.13</v>
      </c>
      <c r="AE271" s="1240">
        <v>4846.37</v>
      </c>
      <c r="AF271" s="1240">
        <v>170.15</v>
      </c>
      <c r="AG271" s="1240">
        <v>47.309999999999995</v>
      </c>
      <c r="AH271" s="1240">
        <v>161.01999999999998</v>
      </c>
      <c r="AI271" s="1240">
        <v>278.88</v>
      </c>
      <c r="AJ271" s="1240">
        <v>0</v>
      </c>
      <c r="AK271" s="1240">
        <v>0</v>
      </c>
      <c r="AL271" s="1240">
        <v>504.64</v>
      </c>
      <c r="AM271" s="1240">
        <v>111.22</v>
      </c>
      <c r="AN271" s="1240">
        <v>0</v>
      </c>
      <c r="AO271" s="1240">
        <v>494.67999999999995</v>
      </c>
      <c r="AP271" s="1240">
        <v>0</v>
      </c>
      <c r="AQ271" s="1240">
        <v>0</v>
      </c>
      <c r="AR271" s="1240">
        <v>0</v>
      </c>
      <c r="AS271" s="1240">
        <v>1376.1399999999999</v>
      </c>
      <c r="AT271" s="1240">
        <v>70.55</v>
      </c>
      <c r="AU271" s="1240">
        <v>463.96999999999997</v>
      </c>
      <c r="AV271" s="1240">
        <v>43.16</v>
      </c>
      <c r="AW271" s="1240">
        <v>160.19</v>
      </c>
      <c r="AX271" s="1240">
        <v>312.90999999999997</v>
      </c>
      <c r="AY271" s="1240">
        <v>0</v>
      </c>
      <c r="AZ271" s="1240">
        <f>234.06+303.75</f>
        <v>537.80999999999995</v>
      </c>
      <c r="BA271" s="1240">
        <v>0</v>
      </c>
      <c r="BB271" s="1240">
        <v>172.64</v>
      </c>
      <c r="BC271" s="1240">
        <v>11.62</v>
      </c>
      <c r="BD271" s="1240">
        <v>0</v>
      </c>
      <c r="BE271" s="1240">
        <v>86.32</v>
      </c>
      <c r="BF271" s="1240">
        <v>180</v>
      </c>
    </row>
    <row r="272" spans="1:58" x14ac:dyDescent="0.2">
      <c r="A272" s="1228"/>
      <c r="C272" s="1240"/>
      <c r="D272" s="1240"/>
      <c r="E272" s="1240"/>
      <c r="F272" s="1240"/>
      <c r="G272" s="1240"/>
      <c r="H272" s="1240"/>
      <c r="I272" s="1240"/>
      <c r="J272" s="1240"/>
      <c r="K272" s="1240"/>
      <c r="L272" s="1240"/>
      <c r="M272" s="1240"/>
      <c r="N272" s="1240"/>
      <c r="O272" s="1240"/>
      <c r="P272" s="1240"/>
      <c r="Q272" s="5"/>
      <c r="R272" s="1240"/>
      <c r="S272" s="5"/>
      <c r="T272" s="1240"/>
      <c r="U272" s="5"/>
      <c r="V272" s="1240"/>
      <c r="W272" s="1240"/>
      <c r="X272" s="1240"/>
      <c r="Y272" s="5"/>
      <c r="Z272" s="1240"/>
      <c r="AA272" s="1240"/>
      <c r="AB272" s="1240"/>
      <c r="AC272" s="5"/>
      <c r="AD272" s="5"/>
      <c r="AE272" s="5"/>
      <c r="AF272" s="5"/>
      <c r="AG272" s="1240"/>
      <c r="AH272" s="5"/>
      <c r="AI272" s="1240"/>
      <c r="AJ272" s="5"/>
      <c r="AK272" s="1240"/>
      <c r="AL272" s="1240"/>
      <c r="AM272" s="1240"/>
      <c r="AN272" s="5"/>
      <c r="AO272" s="5"/>
      <c r="AP272" s="5"/>
      <c r="AQ272" s="5"/>
      <c r="AR272" s="5"/>
      <c r="AS272" s="1240"/>
      <c r="AT272" s="1240"/>
      <c r="AU272" s="5"/>
      <c r="AV272" s="5"/>
      <c r="AW272" s="1240"/>
      <c r="AX272" s="1240"/>
      <c r="AY272" s="1240"/>
      <c r="AZ272" s="5"/>
      <c r="BA272" s="1240"/>
      <c r="BB272" s="5"/>
      <c r="BC272" s="5"/>
      <c r="BD272" s="1240"/>
      <c r="BE272" s="1240"/>
      <c r="BF272" s="1240"/>
    </row>
    <row r="273" spans="1:58" x14ac:dyDescent="0.2">
      <c r="A273" s="1228" t="s">
        <v>1179</v>
      </c>
      <c r="C273" s="1240">
        <v>0</v>
      </c>
      <c r="D273" s="1240">
        <v>191.73</v>
      </c>
      <c r="E273" s="1240">
        <v>1008.4499999999999</v>
      </c>
      <c r="F273" s="1240">
        <v>37.35</v>
      </c>
      <c r="G273" s="1240">
        <v>73.039999999999992</v>
      </c>
      <c r="H273" s="1240">
        <v>227.42</v>
      </c>
      <c r="I273" s="1240">
        <v>1127.1399999999999</v>
      </c>
      <c r="J273" s="1240">
        <v>641.58999999999992</v>
      </c>
      <c r="K273" s="1240">
        <v>395.08</v>
      </c>
      <c r="L273" s="1240">
        <v>332.83</v>
      </c>
      <c r="M273" s="1240">
        <v>1254.1299999999999</v>
      </c>
      <c r="N273" s="1240">
        <v>1063.23</v>
      </c>
      <c r="O273" s="1240">
        <v>174.29999999999998</v>
      </c>
      <c r="P273" s="1240">
        <v>676.44999999999993</v>
      </c>
      <c r="Q273" s="1240">
        <v>0</v>
      </c>
      <c r="R273" s="1240">
        <v>211.64999999999998</v>
      </c>
      <c r="S273" s="1240">
        <v>690.56</v>
      </c>
      <c r="T273" s="1240">
        <v>898.06</v>
      </c>
      <c r="U273" s="1240">
        <v>122.83999999999999</v>
      </c>
      <c r="V273" s="1240">
        <v>293.82</v>
      </c>
      <c r="W273" s="1240">
        <v>0</v>
      </c>
      <c r="X273" s="1240">
        <v>0</v>
      </c>
      <c r="Y273" s="1240">
        <v>395.08</v>
      </c>
      <c r="Z273" s="1240">
        <v>141.93</v>
      </c>
      <c r="AA273" s="1240">
        <v>310.41999999999996</v>
      </c>
      <c r="AB273" s="1240">
        <v>0</v>
      </c>
      <c r="AC273" s="1240">
        <v>462.31</v>
      </c>
      <c r="AD273" s="1240">
        <v>169.32</v>
      </c>
      <c r="AE273" s="1240">
        <v>712.14</v>
      </c>
      <c r="AF273" s="1240">
        <v>570.20999999999992</v>
      </c>
      <c r="AG273" s="1240">
        <v>11.62</v>
      </c>
      <c r="AH273" s="1240">
        <v>0</v>
      </c>
      <c r="AI273" s="1240">
        <v>244.85</v>
      </c>
      <c r="AJ273" s="1240">
        <v>193.39</v>
      </c>
      <c r="AK273" s="1240">
        <v>297.14</v>
      </c>
      <c r="AL273" s="1240">
        <v>382.63</v>
      </c>
      <c r="AM273" s="1240">
        <v>449.85999999999996</v>
      </c>
      <c r="AN273" s="1240">
        <v>389.27</v>
      </c>
      <c r="AO273" s="1240">
        <v>0</v>
      </c>
      <c r="AP273" s="1240">
        <v>0</v>
      </c>
      <c r="AQ273" s="1240">
        <v>529.54</v>
      </c>
      <c r="AR273" s="1240">
        <v>16.599999999999998</v>
      </c>
      <c r="AS273" s="1240">
        <v>624.99</v>
      </c>
      <c r="AT273" s="1240">
        <v>0</v>
      </c>
      <c r="AU273" s="1240">
        <v>342.78999999999996</v>
      </c>
      <c r="AV273" s="1240">
        <v>482.22999999999996</v>
      </c>
      <c r="AW273" s="1240">
        <v>132.79999999999998</v>
      </c>
      <c r="AX273" s="1240">
        <v>263.94</v>
      </c>
      <c r="AY273" s="1240">
        <v>155.20999999999998</v>
      </c>
      <c r="AZ273" s="1240">
        <f>270.58+71.1</f>
        <v>341.67999999999995</v>
      </c>
      <c r="BA273" s="1240">
        <v>317</v>
      </c>
      <c r="BB273" s="1240">
        <v>222.44</v>
      </c>
      <c r="BC273" s="1240">
        <v>161.01999999999998</v>
      </c>
      <c r="BD273" s="1240">
        <v>224.92999999999998</v>
      </c>
      <c r="BE273" s="1240">
        <v>48.14</v>
      </c>
      <c r="BF273" s="1240">
        <v>17</v>
      </c>
    </row>
    <row r="274" spans="1:58" x14ac:dyDescent="0.2">
      <c r="A274" s="1228"/>
      <c r="C274" s="1240"/>
      <c r="D274" s="1240"/>
      <c r="E274" s="1240"/>
      <c r="F274" s="1240"/>
      <c r="G274" s="1240"/>
      <c r="H274" s="1240"/>
      <c r="I274" s="1240"/>
      <c r="J274" s="1240"/>
      <c r="K274" s="1240"/>
      <c r="L274" s="1240"/>
      <c r="M274" s="1240"/>
      <c r="N274" s="1240"/>
      <c r="O274" s="1240"/>
      <c r="P274" s="1240"/>
      <c r="Q274" s="5"/>
      <c r="R274" s="1240"/>
      <c r="S274" s="5"/>
      <c r="T274" s="1240"/>
      <c r="U274" s="5"/>
      <c r="V274" s="1240"/>
      <c r="W274" s="1240"/>
      <c r="X274" s="1240"/>
      <c r="Y274" s="5"/>
      <c r="Z274" s="1240"/>
      <c r="AA274" s="1240"/>
      <c r="AB274" s="1240"/>
      <c r="AC274" s="5"/>
      <c r="AD274" s="5"/>
      <c r="AE274" s="5"/>
      <c r="AF274" s="5"/>
      <c r="AG274" s="1240"/>
      <c r="AH274" s="5"/>
      <c r="AI274" s="1240"/>
      <c r="AJ274" s="5"/>
      <c r="AK274" s="1240"/>
      <c r="AL274" s="1240"/>
      <c r="AM274" s="1240"/>
      <c r="AN274" s="5"/>
      <c r="AO274" s="5"/>
      <c r="AP274" s="5"/>
      <c r="AQ274" s="5"/>
      <c r="AR274" s="5"/>
      <c r="AS274" s="1240"/>
      <c r="AT274" s="1240"/>
      <c r="AU274" s="5"/>
      <c r="AV274" s="5"/>
      <c r="AW274" s="1240"/>
      <c r="AX274" s="1240"/>
      <c r="AY274" s="1240"/>
      <c r="AZ274" s="5"/>
      <c r="BA274" s="1240"/>
      <c r="BB274" s="5"/>
      <c r="BC274" s="5"/>
      <c r="BD274" s="1240"/>
      <c r="BE274" s="1240"/>
      <c r="BF274" s="1240"/>
    </row>
    <row r="275" spans="1:58" ht="14.25" x14ac:dyDescent="0.2">
      <c r="A275" s="1228" t="s">
        <v>1065</v>
      </c>
      <c r="C275" s="5">
        <f>260856</f>
        <v>260856</v>
      </c>
      <c r="D275" s="5">
        <v>8571</v>
      </c>
      <c r="E275" s="818">
        <v>254519</v>
      </c>
      <c r="F275" s="5">
        <v>49454</v>
      </c>
      <c r="G275" s="5">
        <v>66230</v>
      </c>
      <c r="H275" s="5">
        <v>796546</v>
      </c>
      <c r="I275" s="5">
        <v>264864</v>
      </c>
      <c r="J275" s="5">
        <v>29796</v>
      </c>
      <c r="K275" s="5">
        <v>22796</v>
      </c>
      <c r="L275" s="819"/>
      <c r="M275" s="819">
        <v>304054</v>
      </c>
      <c r="N275" s="5">
        <v>1760537</v>
      </c>
      <c r="O275" s="5">
        <v>294440</v>
      </c>
      <c r="P275" s="5">
        <f>468000+390000/3</f>
        <v>598000</v>
      </c>
      <c r="Q275" s="5">
        <v>107182</v>
      </c>
      <c r="R275" s="5">
        <v>66321</v>
      </c>
      <c r="S275" s="5">
        <v>66171</v>
      </c>
      <c r="T275" s="5"/>
      <c r="U275" s="5">
        <v>298055</v>
      </c>
      <c r="V275" s="5"/>
      <c r="W275" s="5">
        <v>18505</v>
      </c>
      <c r="X275" s="5"/>
      <c r="Y275" s="5"/>
      <c r="Z275" s="5">
        <v>3622.538</v>
      </c>
      <c r="AA275" s="5">
        <v>205824</v>
      </c>
      <c r="AB275" s="5"/>
      <c r="AC275" s="5">
        <v>118000</v>
      </c>
      <c r="AD275" s="5">
        <v>310007</v>
      </c>
      <c r="AE275" s="5">
        <v>2363915</v>
      </c>
      <c r="AF275" s="5">
        <v>25343</v>
      </c>
      <c r="AG275" s="5">
        <v>73324</v>
      </c>
      <c r="AH275" s="5"/>
      <c r="AI275" s="5">
        <v>20284</v>
      </c>
      <c r="AJ275" s="5">
        <v>17517</v>
      </c>
      <c r="AK275" s="5"/>
      <c r="AL275" s="5">
        <v>958434</v>
      </c>
      <c r="AM275" s="5">
        <v>49782</v>
      </c>
      <c r="AN275" s="5"/>
      <c r="AO275" s="5"/>
      <c r="AP275" s="5">
        <v>45643</v>
      </c>
      <c r="AQ275" s="5">
        <v>147140</v>
      </c>
      <c r="AR275" s="5">
        <v>30539</v>
      </c>
      <c r="AS275" s="5"/>
      <c r="AT275" s="5">
        <f>39827+33940</f>
        <v>73767</v>
      </c>
      <c r="AU275" s="5">
        <v>993</v>
      </c>
      <c r="AV275" s="5">
        <v>173286</v>
      </c>
      <c r="AW275" s="5"/>
      <c r="AX275" s="5">
        <v>6800</v>
      </c>
      <c r="AY275" s="5"/>
      <c r="AZ275" s="5">
        <v>18460</v>
      </c>
      <c r="BA275" s="5">
        <v>13244</v>
      </c>
      <c r="BB275" s="5"/>
      <c r="BC275" s="5">
        <v>56465</v>
      </c>
      <c r="BD275" s="820">
        <f>1650/1000</f>
        <v>1.65</v>
      </c>
      <c r="BE275" s="5">
        <v>0</v>
      </c>
      <c r="BF275" s="5">
        <v>0</v>
      </c>
    </row>
    <row r="276" spans="1:58" x14ac:dyDescent="0.2">
      <c r="A276" s="1228"/>
    </row>
    <row r="277" spans="1:58" x14ac:dyDescent="0.2">
      <c r="A277" s="1228" t="s">
        <v>1069</v>
      </c>
      <c r="C277" s="5">
        <v>32756</v>
      </c>
      <c r="D277" s="5">
        <v>89248</v>
      </c>
      <c r="E277" s="5">
        <v>762731</v>
      </c>
      <c r="F277" s="5">
        <v>0</v>
      </c>
      <c r="G277" s="5">
        <v>0</v>
      </c>
      <c r="H277" s="5">
        <v>1349350.1909716164</v>
      </c>
      <c r="I277" s="5">
        <v>300000</v>
      </c>
      <c r="J277" s="5">
        <v>3510000</v>
      </c>
      <c r="K277" s="5">
        <v>1500000</v>
      </c>
      <c r="L277" s="5">
        <v>439962</v>
      </c>
      <c r="M277" s="5">
        <v>1970729.1</v>
      </c>
      <c r="N277" s="5">
        <v>510172</v>
      </c>
      <c r="O277" s="5">
        <v>275820</v>
      </c>
      <c r="P277" s="5">
        <v>6664.7999999999993</v>
      </c>
      <c r="Q277" s="5">
        <v>650000</v>
      </c>
      <c r="R277" s="5">
        <v>74284.33</v>
      </c>
      <c r="S277" s="5">
        <v>107819</v>
      </c>
      <c r="T277" s="5">
        <v>120000</v>
      </c>
      <c r="U277" s="5">
        <v>120674</v>
      </c>
      <c r="V277" s="5">
        <v>13000</v>
      </c>
      <c r="W277" s="5">
        <v>93870</v>
      </c>
      <c r="X277" s="5">
        <v>0</v>
      </c>
      <c r="Y277" s="5">
        <v>362590</v>
      </c>
      <c r="Z277" s="5">
        <v>17053</v>
      </c>
      <c r="AA277" s="5">
        <v>0</v>
      </c>
      <c r="AB277" s="5">
        <v>4145497</v>
      </c>
      <c r="AC277" s="5">
        <v>95500</v>
      </c>
      <c r="AD277" s="5">
        <v>4119</v>
      </c>
      <c r="AE277" s="5">
        <v>1050073</v>
      </c>
      <c r="AF277" s="5">
        <v>292058</v>
      </c>
      <c r="AG277" s="5">
        <v>1113</v>
      </c>
      <c r="AH277" s="5">
        <v>40000</v>
      </c>
      <c r="AI277" s="5">
        <v>0</v>
      </c>
      <c r="AJ277" s="5">
        <v>0</v>
      </c>
      <c r="AK277" s="5">
        <v>75000</v>
      </c>
      <c r="AL277" s="5">
        <v>1882617</v>
      </c>
      <c r="AM277" s="5">
        <v>0</v>
      </c>
      <c r="AN277" s="5">
        <v>0</v>
      </c>
      <c r="AO277" s="5">
        <v>150000</v>
      </c>
      <c r="AP277" s="5">
        <v>0</v>
      </c>
      <c r="AQ277" s="5">
        <v>138735</v>
      </c>
      <c r="AR277" s="5">
        <v>0</v>
      </c>
      <c r="AS277" s="5">
        <v>15929</v>
      </c>
      <c r="AT277" s="5">
        <v>0</v>
      </c>
      <c r="AU277" s="5">
        <v>4962</v>
      </c>
      <c r="AV277" s="5">
        <f>777243+790000</f>
        <v>1567243</v>
      </c>
      <c r="AW277" s="5">
        <v>250000</v>
      </c>
      <c r="AX277" s="5">
        <v>0</v>
      </c>
      <c r="AY277" s="5">
        <v>0</v>
      </c>
      <c r="AZ277" s="5">
        <v>0</v>
      </c>
      <c r="BA277" s="5">
        <v>539240</v>
      </c>
      <c r="BC277" s="5">
        <v>14000</v>
      </c>
      <c r="BD277" s="5">
        <v>0</v>
      </c>
      <c r="BE277" s="5">
        <v>0</v>
      </c>
      <c r="BF277" s="5">
        <v>0</v>
      </c>
    </row>
    <row r="279" spans="1:58" x14ac:dyDescent="0.2">
      <c r="A279" s="1228" t="s">
        <v>1074</v>
      </c>
      <c r="C279" s="1240">
        <f>+COUNTA(C4:C33)</f>
        <v>3</v>
      </c>
      <c r="D279" s="1240">
        <f>+COUNTA(D4:D33)</f>
        <v>7</v>
      </c>
      <c r="E279" s="1240">
        <f t="shared" ref="E279:BF279" si="13">+COUNTA(E4:E33)</f>
        <v>1</v>
      </c>
      <c r="F279" s="1240">
        <f t="shared" si="13"/>
        <v>2</v>
      </c>
      <c r="G279" s="1240">
        <f t="shared" si="13"/>
        <v>1</v>
      </c>
      <c r="H279" s="1240">
        <f t="shared" si="13"/>
        <v>3</v>
      </c>
      <c r="I279" s="1240">
        <f t="shared" si="13"/>
        <v>1</v>
      </c>
      <c r="J279" s="1240">
        <f t="shared" si="13"/>
        <v>1</v>
      </c>
      <c r="K279" s="1240">
        <f>+COUNTA(K4:K33)</f>
        <v>3</v>
      </c>
      <c r="L279" s="1240">
        <f t="shared" si="13"/>
        <v>4</v>
      </c>
      <c r="M279" s="1240">
        <f t="shared" si="13"/>
        <v>1</v>
      </c>
      <c r="N279" s="1240">
        <f t="shared" si="13"/>
        <v>2</v>
      </c>
      <c r="O279" s="1240">
        <f t="shared" si="13"/>
        <v>4</v>
      </c>
      <c r="P279" s="1240">
        <f t="shared" si="13"/>
        <v>13</v>
      </c>
      <c r="Q279" s="1240">
        <f t="shared" si="13"/>
        <v>1</v>
      </c>
      <c r="R279" s="1240">
        <f t="shared" si="13"/>
        <v>3</v>
      </c>
      <c r="S279" s="1240">
        <f t="shared" si="13"/>
        <v>1</v>
      </c>
      <c r="T279" s="1240">
        <f t="shared" si="13"/>
        <v>4</v>
      </c>
      <c r="U279" s="1240">
        <f t="shared" si="13"/>
        <v>1</v>
      </c>
      <c r="V279" s="1240">
        <f t="shared" si="13"/>
        <v>7</v>
      </c>
      <c r="W279" s="1240">
        <f t="shared" si="13"/>
        <v>7</v>
      </c>
      <c r="X279" s="1240">
        <f t="shared" si="13"/>
        <v>5</v>
      </c>
      <c r="Y279" s="1240">
        <f t="shared" si="13"/>
        <v>4</v>
      </c>
      <c r="Z279" s="1240">
        <f t="shared" si="13"/>
        <v>2</v>
      </c>
      <c r="AA279" s="1240">
        <f t="shared" si="13"/>
        <v>1</v>
      </c>
      <c r="AB279" s="1240">
        <f t="shared" si="13"/>
        <v>1</v>
      </c>
      <c r="AC279" s="1240">
        <f t="shared" si="13"/>
        <v>1</v>
      </c>
      <c r="AD279" s="1240">
        <f t="shared" si="13"/>
        <v>1</v>
      </c>
      <c r="AE279" s="1240">
        <f t="shared" si="13"/>
        <v>1</v>
      </c>
      <c r="AF279" s="1240">
        <f t="shared" si="13"/>
        <v>2</v>
      </c>
      <c r="AG279" s="1240">
        <f t="shared" si="13"/>
        <v>1</v>
      </c>
      <c r="AH279" s="1240">
        <f t="shared" si="13"/>
        <v>1</v>
      </c>
      <c r="AI279" s="1240">
        <f t="shared" si="13"/>
        <v>1</v>
      </c>
      <c r="AJ279" s="1240">
        <f t="shared" si="13"/>
        <v>2</v>
      </c>
      <c r="AK279" s="1240">
        <f t="shared" si="13"/>
        <v>1</v>
      </c>
      <c r="AL279" s="1240">
        <f t="shared" si="13"/>
        <v>1</v>
      </c>
      <c r="AM279" s="1240">
        <f t="shared" si="13"/>
        <v>5</v>
      </c>
      <c r="AN279" s="1240">
        <f t="shared" si="13"/>
        <v>6</v>
      </c>
      <c r="AO279" s="1240">
        <f t="shared" si="13"/>
        <v>1</v>
      </c>
      <c r="AP279" s="1240">
        <f t="shared" si="13"/>
        <v>1</v>
      </c>
      <c r="AQ279" s="1240">
        <f t="shared" si="13"/>
        <v>1</v>
      </c>
      <c r="AR279" s="1240">
        <f t="shared" si="13"/>
        <v>2</v>
      </c>
      <c r="AS279" s="1240">
        <f t="shared" si="13"/>
        <v>11</v>
      </c>
      <c r="AT279" s="1240">
        <f t="shared" si="13"/>
        <v>1</v>
      </c>
      <c r="AU279" s="1240">
        <f t="shared" si="13"/>
        <v>1</v>
      </c>
      <c r="AV279" s="1240">
        <f t="shared" si="13"/>
        <v>2</v>
      </c>
      <c r="AW279" s="1240">
        <f t="shared" si="13"/>
        <v>1</v>
      </c>
      <c r="AX279" s="1240">
        <f t="shared" si="13"/>
        <v>3</v>
      </c>
      <c r="AY279" s="1240">
        <f>+COUNTA(AY4:AY33)</f>
        <v>1</v>
      </c>
      <c r="AZ279" s="1240">
        <f t="shared" si="13"/>
        <v>4</v>
      </c>
      <c r="BA279" s="1240">
        <f t="shared" si="13"/>
        <v>4</v>
      </c>
      <c r="BB279" s="1240">
        <f t="shared" si="13"/>
        <v>7</v>
      </c>
      <c r="BC279" s="1240">
        <f t="shared" si="13"/>
        <v>7</v>
      </c>
      <c r="BD279" s="1240">
        <f t="shared" si="13"/>
        <v>2</v>
      </c>
      <c r="BE279" s="1240">
        <f t="shared" si="13"/>
        <v>1</v>
      </c>
      <c r="BF279" s="1240">
        <f t="shared" si="13"/>
        <v>1</v>
      </c>
    </row>
    <row r="280" spans="1:58" x14ac:dyDescent="0.2">
      <c r="C280" s="1240"/>
    </row>
    <row r="281" spans="1:58" x14ac:dyDescent="0.2">
      <c r="A281" s="1228"/>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c r="AV281" s="5"/>
      <c r="AW281" s="5"/>
      <c r="AX281" s="5"/>
      <c r="AY281" s="5"/>
      <c r="AZ281" s="5"/>
      <c r="BA281" s="5"/>
      <c r="BB281" s="5"/>
      <c r="BC281" s="5"/>
      <c r="BD281" s="5"/>
      <c r="BE281" s="5"/>
      <c r="BF281" s="5"/>
    </row>
    <row r="283" spans="1:58" x14ac:dyDescent="0.2">
      <c r="A283" s="1228"/>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c r="BA283" s="5"/>
      <c r="BB283" s="5"/>
      <c r="BC283" s="5"/>
      <c r="BD283" s="5"/>
      <c r="BE283" s="5"/>
      <c r="BF283" s="5"/>
    </row>
    <row r="285" spans="1:58" x14ac:dyDescent="0.2">
      <c r="A285" s="1228"/>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c r="AV285" s="5"/>
      <c r="AW285" s="5"/>
      <c r="AX285" s="5"/>
      <c r="AY285" s="5"/>
      <c r="AZ285" s="5"/>
      <c r="BA285" s="5"/>
      <c r="BB285" s="5"/>
      <c r="BC285" s="5"/>
      <c r="BD285" s="5"/>
      <c r="BE285" s="5"/>
      <c r="BF285" s="5"/>
    </row>
    <row r="287" spans="1:58" x14ac:dyDescent="0.2">
      <c r="A287" s="1228"/>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c r="BA287" s="5"/>
      <c r="BB287" s="5"/>
      <c r="BC287" s="5"/>
      <c r="BD287" s="5"/>
      <c r="BE287" s="5"/>
      <c r="BF287" s="5"/>
    </row>
    <row r="289" spans="1:59" x14ac:dyDescent="0.2">
      <c r="A289" s="1228"/>
    </row>
    <row r="296" spans="1:59" x14ac:dyDescent="0.2">
      <c r="A296" s="1228"/>
      <c r="C296" s="1300"/>
      <c r="D296" s="1301"/>
      <c r="E296" s="1302"/>
    </row>
    <row r="297" spans="1:59" x14ac:dyDescent="0.2">
      <c r="C297" s="1303"/>
      <c r="D297" s="1304"/>
      <c r="E297" s="1305"/>
    </row>
    <row r="300" spans="1:59" x14ac:dyDescent="0.2">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c r="AV300" s="5"/>
      <c r="AW300" s="5"/>
      <c r="AX300" s="5"/>
      <c r="AY300" s="5"/>
      <c r="AZ300" s="5"/>
      <c r="BA300" s="5"/>
      <c r="BB300" s="5"/>
      <c r="BC300" s="5"/>
      <c r="BD300" s="5"/>
      <c r="BE300" s="5"/>
      <c r="BF300" s="5"/>
      <c r="BG300" s="78"/>
    </row>
    <row r="302" spans="1:59" x14ac:dyDescent="0.2">
      <c r="C302" s="78"/>
      <c r="D302" s="78"/>
      <c r="E302" s="78"/>
      <c r="F302" s="78"/>
      <c r="G302" s="78"/>
      <c r="H302" s="78"/>
      <c r="I302" s="78"/>
      <c r="J302" s="78"/>
      <c r="K302" s="78"/>
      <c r="L302" s="78"/>
      <c r="M302" s="78"/>
      <c r="N302" s="78"/>
      <c r="O302" s="78"/>
      <c r="P302" s="78"/>
      <c r="Q302" s="78"/>
      <c r="R302" s="78"/>
      <c r="S302" s="78"/>
      <c r="T302" s="78"/>
      <c r="U302" s="78"/>
      <c r="V302" s="78"/>
      <c r="W302" s="78"/>
      <c r="X302" s="78"/>
      <c r="Y302" s="78"/>
      <c r="Z302" s="78"/>
      <c r="AA302" s="78"/>
      <c r="AB302" s="78"/>
      <c r="AC302" s="78"/>
      <c r="AD302" s="78"/>
      <c r="AE302" s="78"/>
      <c r="AF302" s="78"/>
      <c r="AG302" s="78"/>
      <c r="AH302" s="78"/>
      <c r="AI302" s="78"/>
      <c r="AJ302" s="78"/>
      <c r="AK302" s="78"/>
      <c r="AL302" s="78"/>
      <c r="AM302" s="78"/>
      <c r="AN302" s="78"/>
      <c r="AO302" s="78"/>
      <c r="AP302" s="78"/>
      <c r="AQ302" s="78"/>
      <c r="AR302" s="78"/>
      <c r="AS302" s="78"/>
      <c r="AT302" s="78"/>
      <c r="AU302" s="78"/>
      <c r="AV302" s="78"/>
      <c r="AW302" s="78"/>
      <c r="AX302" s="78"/>
      <c r="AY302" s="78"/>
      <c r="AZ302" s="78"/>
      <c r="BA302" s="78"/>
      <c r="BB302" s="78"/>
      <c r="BC302" s="78"/>
      <c r="BD302" s="78"/>
      <c r="BE302" s="78"/>
      <c r="BF302" s="78"/>
    </row>
    <row r="304" spans="1:59" x14ac:dyDescent="0.2">
      <c r="BG304" s="5"/>
    </row>
    <row r="306" spans="1:59" x14ac:dyDescent="0.2">
      <c r="C306" s="78"/>
      <c r="D306" s="78"/>
      <c r="E306" s="78"/>
      <c r="F306" s="78"/>
      <c r="G306" s="78"/>
      <c r="H306" s="78"/>
      <c r="I306" s="78"/>
      <c r="J306" s="78"/>
      <c r="K306" s="78"/>
      <c r="L306" s="78"/>
      <c r="M306" s="78"/>
      <c r="N306" s="78"/>
      <c r="O306" s="78"/>
      <c r="P306" s="78"/>
      <c r="Q306" s="78"/>
      <c r="R306" s="78"/>
      <c r="S306" s="78"/>
      <c r="T306" s="78"/>
      <c r="U306" s="78"/>
      <c r="V306" s="78"/>
      <c r="W306" s="78"/>
      <c r="X306" s="78"/>
      <c r="Y306" s="78"/>
      <c r="Z306" s="78"/>
      <c r="AA306" s="78"/>
      <c r="AB306" s="78"/>
      <c r="AC306" s="78"/>
      <c r="AD306" s="78"/>
      <c r="AE306" s="78"/>
      <c r="AF306" s="78"/>
      <c r="AG306" s="78"/>
      <c r="AH306" s="78"/>
      <c r="AI306" s="78"/>
      <c r="AJ306" s="78"/>
      <c r="AK306" s="78"/>
      <c r="AL306" s="78"/>
      <c r="AM306" s="78"/>
      <c r="AN306" s="78"/>
      <c r="AO306" s="78"/>
      <c r="AP306" s="78"/>
      <c r="AQ306" s="78"/>
      <c r="AR306" s="78"/>
      <c r="AS306" s="78"/>
      <c r="AT306" s="78"/>
      <c r="AU306" s="78"/>
      <c r="AV306" s="78"/>
      <c r="AW306" s="78"/>
      <c r="AX306" s="78"/>
      <c r="AY306" s="78"/>
      <c r="AZ306" s="78"/>
      <c r="BA306" s="78"/>
      <c r="BB306" s="78"/>
      <c r="BC306" s="78"/>
      <c r="BD306" s="78"/>
      <c r="BE306" s="78"/>
      <c r="BF306" s="78"/>
    </row>
    <row r="309" spans="1:59" x14ac:dyDescent="0.2">
      <c r="A309" s="1" t="s">
        <v>1563</v>
      </c>
      <c r="D309" s="1">
        <v>1</v>
      </c>
      <c r="P309" s="1">
        <v>1</v>
      </c>
      <c r="S309" s="1">
        <v>1</v>
      </c>
      <c r="T309" s="1">
        <v>1</v>
      </c>
      <c r="V309" s="1">
        <v>1</v>
      </c>
      <c r="W309" s="1">
        <v>1</v>
      </c>
      <c r="X309" s="1">
        <v>1</v>
      </c>
      <c r="AH309" s="1">
        <v>1</v>
      </c>
      <c r="AN309" s="1">
        <v>1</v>
      </c>
      <c r="AS309" s="1">
        <v>1</v>
      </c>
      <c r="AX309" s="1">
        <v>1</v>
      </c>
      <c r="BB309" s="1">
        <v>1</v>
      </c>
      <c r="BC309" s="1">
        <v>1</v>
      </c>
      <c r="BG309" s="1">
        <f>SUM(C309:BE309)</f>
        <v>13</v>
      </c>
    </row>
    <row r="314" spans="1:59" x14ac:dyDescent="0.2">
      <c r="C314" s="50"/>
    </row>
    <row r="315" spans="1:59" x14ac:dyDescent="0.2">
      <c r="C315" s="42"/>
      <c r="D315" s="42"/>
      <c r="E315" s="42"/>
      <c r="F315" s="42"/>
      <c r="G315" s="42"/>
      <c r="H315" s="42"/>
      <c r="I315" s="42"/>
      <c r="J315" s="42"/>
      <c r="K315" s="42"/>
      <c r="L315" s="42"/>
      <c r="M315" s="42"/>
      <c r="N315" s="42"/>
      <c r="O315" s="42"/>
      <c r="P315" s="42"/>
      <c r="Q315" s="42"/>
      <c r="R315" s="42"/>
      <c r="S315" s="42"/>
      <c r="T315" s="42"/>
      <c r="U315" s="42"/>
      <c r="V315" s="42"/>
      <c r="W315" s="42"/>
      <c r="X315" s="42"/>
      <c r="Y315" s="42"/>
      <c r="Z315" s="42"/>
      <c r="AA315" s="42"/>
      <c r="AB315" s="42"/>
      <c r="AC315" s="42"/>
      <c r="AD315" s="42"/>
      <c r="AE315" s="42"/>
      <c r="AF315" s="42"/>
      <c r="AG315" s="42"/>
      <c r="AH315" s="42"/>
      <c r="AI315" s="42"/>
      <c r="AJ315" s="42"/>
      <c r="AK315" s="42"/>
      <c r="AL315" s="42"/>
      <c r="AM315" s="42"/>
      <c r="AN315" s="42"/>
      <c r="AO315" s="42"/>
      <c r="AP315" s="42"/>
      <c r="AQ315" s="42"/>
      <c r="AR315" s="42"/>
      <c r="AS315" s="42"/>
      <c r="AT315" s="42"/>
      <c r="AU315" s="42"/>
      <c r="AV315" s="42"/>
      <c r="AW315" s="42"/>
      <c r="AX315" s="42"/>
      <c r="AY315" s="42"/>
      <c r="AZ315" s="42"/>
      <c r="BA315" s="42"/>
      <c r="BB315" s="42"/>
      <c r="BC315" s="42"/>
      <c r="BD315" s="42"/>
      <c r="BE315" s="42"/>
      <c r="BF315" s="42"/>
    </row>
    <row r="317" spans="1:59" x14ac:dyDescent="0.2">
      <c r="C317" s="1240"/>
      <c r="D317" s="1240"/>
      <c r="E317" s="1240"/>
      <c r="F317" s="1240"/>
      <c r="G317" s="1240"/>
      <c r="H317" s="1240"/>
      <c r="I317" s="1240"/>
      <c r="J317" s="1240"/>
      <c r="K317" s="1240"/>
      <c r="L317" s="1240"/>
      <c r="M317" s="1240"/>
      <c r="N317" s="1240"/>
      <c r="O317" s="1240"/>
      <c r="P317" s="1240"/>
      <c r="Q317" s="1240"/>
      <c r="R317" s="1240"/>
      <c r="S317" s="1240"/>
      <c r="T317" s="1240"/>
      <c r="U317" s="1240"/>
      <c r="V317" s="1240"/>
      <c r="W317" s="1240"/>
      <c r="X317" s="1240"/>
      <c r="Y317" s="1240"/>
      <c r="Z317" s="1240"/>
      <c r="AA317" s="1240"/>
      <c r="AB317" s="1240"/>
      <c r="AC317" s="1240"/>
      <c r="AD317" s="1240"/>
      <c r="AE317" s="1240"/>
      <c r="AF317" s="1240"/>
      <c r="AG317" s="1240"/>
      <c r="AH317" s="1240"/>
      <c r="AI317" s="1240"/>
      <c r="AJ317" s="1240"/>
      <c r="AK317" s="1240"/>
      <c r="AL317" s="1240"/>
      <c r="AM317" s="1240"/>
      <c r="AN317" s="1240"/>
      <c r="AO317" s="1240"/>
      <c r="AP317" s="1240"/>
      <c r="AQ317" s="1240"/>
      <c r="AR317" s="1240"/>
      <c r="AS317" s="1240"/>
      <c r="AT317" s="1240"/>
      <c r="AU317" s="1240"/>
      <c r="AV317" s="1240"/>
      <c r="AW317" s="1240"/>
      <c r="AX317" s="1240"/>
      <c r="AY317" s="1240"/>
      <c r="AZ317" s="1240"/>
      <c r="BA317" s="1240"/>
      <c r="BB317" s="1240"/>
      <c r="BC317" s="1240"/>
      <c r="BD317" s="1240"/>
      <c r="BE317" s="1240"/>
      <c r="BF317" s="1240"/>
    </row>
    <row r="318" spans="1:59" x14ac:dyDescent="0.2">
      <c r="C318" s="1240"/>
      <c r="D318" s="1240"/>
      <c r="E318" s="1240"/>
      <c r="F318" s="1240"/>
      <c r="G318" s="1240"/>
      <c r="H318" s="1240"/>
      <c r="I318" s="1240"/>
      <c r="J318" s="1240"/>
      <c r="K318" s="1240"/>
      <c r="L318" s="1240"/>
      <c r="M318" s="1240"/>
      <c r="N318" s="1240"/>
      <c r="O318" s="1240"/>
      <c r="P318" s="1240"/>
      <c r="Q318" s="1240"/>
      <c r="R318" s="1240"/>
      <c r="S318" s="1240"/>
      <c r="T318" s="1240"/>
      <c r="U318" s="1240"/>
      <c r="V318" s="1240"/>
      <c r="W318" s="1240"/>
      <c r="X318" s="1240"/>
      <c r="Y318" s="1240"/>
      <c r="Z318" s="1240"/>
      <c r="AA318" s="1240"/>
      <c r="AB318" s="1240"/>
      <c r="AC318" s="1240"/>
      <c r="AD318" s="1240"/>
      <c r="AE318" s="1240"/>
      <c r="AF318" s="1240"/>
      <c r="AG318" s="1240"/>
      <c r="AH318" s="1240"/>
      <c r="AI318" s="1240"/>
      <c r="AJ318" s="1240"/>
      <c r="AK318" s="1240"/>
      <c r="AL318" s="1240"/>
      <c r="AM318" s="1240"/>
      <c r="AN318" s="1240"/>
      <c r="AO318" s="1240"/>
      <c r="AP318" s="1240"/>
      <c r="AQ318" s="1240"/>
      <c r="AR318" s="1240"/>
      <c r="AS318" s="1240"/>
      <c r="AT318" s="1240"/>
      <c r="AU318" s="1240"/>
      <c r="AV318" s="1240"/>
      <c r="AW318" s="1240"/>
      <c r="AX318" s="1240"/>
      <c r="AY318" s="1240"/>
      <c r="AZ318" s="1240"/>
      <c r="BA318" s="1240"/>
      <c r="BB318" s="1240"/>
      <c r="BC318" s="1240"/>
      <c r="BD318" s="1240"/>
      <c r="BE318" s="1240"/>
      <c r="BF318" s="1240"/>
    </row>
    <row r="319" spans="1:59" x14ac:dyDescent="0.2">
      <c r="C319" s="1240"/>
      <c r="D319" s="1240"/>
      <c r="E319" s="1240"/>
      <c r="F319" s="1240"/>
      <c r="G319" s="1240"/>
      <c r="H319" s="1240"/>
      <c r="I319" s="1240"/>
      <c r="J319" s="1240"/>
      <c r="K319" s="1240"/>
      <c r="L319" s="1240"/>
      <c r="M319" s="1240"/>
      <c r="N319" s="1240"/>
      <c r="O319" s="1240"/>
      <c r="P319" s="1240"/>
      <c r="Q319" s="1240"/>
      <c r="R319" s="1240"/>
      <c r="S319" s="1240"/>
      <c r="T319" s="1240"/>
      <c r="U319" s="1240"/>
      <c r="V319" s="1240"/>
      <c r="W319" s="1240"/>
      <c r="X319" s="1240"/>
      <c r="Y319" s="1240"/>
      <c r="Z319" s="1240"/>
      <c r="AA319" s="1240"/>
      <c r="AB319" s="1240"/>
      <c r="AC319" s="1240"/>
      <c r="AD319" s="1240"/>
      <c r="AE319" s="1240"/>
      <c r="AF319" s="1240"/>
      <c r="AG319" s="1240"/>
      <c r="AH319" s="1240"/>
      <c r="AI319" s="1240"/>
      <c r="AJ319" s="1240"/>
      <c r="AK319" s="1240"/>
      <c r="AL319" s="1240"/>
      <c r="AM319" s="1240"/>
      <c r="AN319" s="1240"/>
      <c r="AO319" s="1240"/>
      <c r="AP319" s="1240"/>
      <c r="AQ319" s="1240"/>
      <c r="AR319" s="1240"/>
      <c r="AS319" s="1240"/>
      <c r="AT319" s="1240"/>
      <c r="AU319" s="1240"/>
      <c r="AV319" s="1240"/>
      <c r="AW319" s="1240"/>
      <c r="AX319" s="1240"/>
      <c r="AY319" s="1240"/>
      <c r="AZ319" s="1240"/>
      <c r="BA319" s="1240"/>
      <c r="BB319" s="1240"/>
      <c r="BC319" s="1240"/>
      <c r="BD319" s="1240"/>
      <c r="BE319" s="1240"/>
      <c r="BF319" s="1240"/>
    </row>
    <row r="320" spans="1:59" x14ac:dyDescent="0.2">
      <c r="C320" s="1240"/>
      <c r="D320" s="1240"/>
      <c r="E320" s="1240"/>
      <c r="F320" s="1240"/>
      <c r="G320" s="1240"/>
      <c r="H320" s="1240"/>
      <c r="I320" s="1240"/>
      <c r="J320" s="1240"/>
      <c r="K320" s="1240"/>
      <c r="L320" s="1240"/>
      <c r="M320" s="1240"/>
      <c r="N320" s="1240"/>
      <c r="O320" s="1240"/>
      <c r="P320" s="1240"/>
      <c r="Q320" s="1240"/>
      <c r="R320" s="1240"/>
      <c r="S320" s="1240"/>
      <c r="T320" s="1240"/>
      <c r="U320" s="1240"/>
      <c r="V320" s="1240"/>
      <c r="W320" s="1240"/>
      <c r="X320" s="1240"/>
      <c r="Y320" s="1240"/>
      <c r="Z320" s="1240"/>
      <c r="AA320" s="1240"/>
      <c r="AB320" s="1240"/>
      <c r="AC320" s="1240"/>
      <c r="AD320" s="1240"/>
      <c r="AE320" s="1240"/>
      <c r="AF320" s="1240"/>
      <c r="AG320" s="1240"/>
      <c r="AH320" s="1240"/>
      <c r="AI320" s="1240"/>
      <c r="AJ320" s="1240"/>
      <c r="AK320" s="1240"/>
      <c r="AL320" s="1240"/>
      <c r="AM320" s="1240"/>
      <c r="AN320" s="1240"/>
      <c r="AO320" s="1240"/>
      <c r="AP320" s="1240"/>
      <c r="AQ320" s="1240"/>
      <c r="AR320" s="1240"/>
      <c r="AS320" s="1240"/>
      <c r="AT320" s="1240"/>
      <c r="AU320" s="1240"/>
      <c r="AV320" s="1240"/>
      <c r="AW320" s="1240"/>
      <c r="AX320" s="1240"/>
      <c r="AY320" s="1240"/>
      <c r="AZ320" s="1240"/>
      <c r="BA320" s="1240"/>
      <c r="BB320" s="1240"/>
      <c r="BC320" s="1240"/>
      <c r="BD320" s="1240"/>
      <c r="BE320" s="1240"/>
      <c r="BF320" s="1240"/>
    </row>
    <row r="321" spans="3:58" x14ac:dyDescent="0.2">
      <c r="C321" s="1240"/>
      <c r="D321" s="1240"/>
      <c r="E321" s="1240"/>
      <c r="F321" s="1240"/>
      <c r="G321" s="1240"/>
      <c r="H321" s="1240"/>
      <c r="I321" s="1240"/>
      <c r="J321" s="1240"/>
      <c r="K321" s="1240"/>
      <c r="L321" s="1240"/>
      <c r="M321" s="1240"/>
      <c r="N321" s="1240"/>
      <c r="O321" s="1240"/>
      <c r="P321" s="1240"/>
      <c r="Q321" s="1240"/>
      <c r="R321" s="1240"/>
      <c r="S321" s="1240"/>
      <c r="T321" s="1240"/>
      <c r="U321" s="1240"/>
      <c r="V321" s="1240"/>
      <c r="W321" s="1240"/>
      <c r="X321" s="1240"/>
      <c r="Y321" s="1240"/>
      <c r="Z321" s="1240"/>
      <c r="AA321" s="1240"/>
      <c r="AB321" s="1240"/>
      <c r="AC321" s="1240"/>
      <c r="AD321" s="1240"/>
      <c r="AE321" s="1240"/>
      <c r="AF321" s="1240"/>
      <c r="AG321" s="1240"/>
      <c r="AH321" s="1240"/>
      <c r="AI321" s="1240"/>
      <c r="AJ321" s="1240"/>
      <c r="AK321" s="1240"/>
      <c r="AL321" s="1240"/>
      <c r="AM321" s="1240"/>
      <c r="AN321" s="1240"/>
      <c r="AO321" s="1240"/>
      <c r="AP321" s="1240"/>
      <c r="AQ321" s="1240"/>
      <c r="AR321" s="1240"/>
      <c r="AS321" s="1240"/>
      <c r="AT321" s="1240"/>
      <c r="AU321" s="1240"/>
      <c r="AV321" s="1240"/>
      <c r="AW321" s="1240"/>
      <c r="AX321" s="1240"/>
      <c r="AY321" s="1240"/>
      <c r="AZ321" s="1240"/>
      <c r="BA321" s="1240"/>
      <c r="BB321" s="1240"/>
      <c r="BC321" s="1240"/>
      <c r="BD321" s="1240"/>
      <c r="BE321" s="1240"/>
      <c r="BF321" s="1240"/>
    </row>
    <row r="322" spans="3:58" x14ac:dyDescent="0.2">
      <c r="C322" s="1240"/>
      <c r="D322" s="1240"/>
      <c r="E322" s="1240"/>
      <c r="F322" s="1240"/>
      <c r="G322" s="1240"/>
      <c r="H322" s="1240"/>
      <c r="I322" s="1240"/>
      <c r="J322" s="1240"/>
      <c r="K322" s="1240"/>
      <c r="L322" s="1240"/>
      <c r="M322" s="1240"/>
      <c r="N322" s="1240"/>
      <c r="O322" s="1240"/>
      <c r="P322" s="1240"/>
      <c r="Q322" s="1240"/>
      <c r="R322" s="1240"/>
      <c r="S322" s="1240"/>
      <c r="T322" s="1240"/>
      <c r="U322" s="1240"/>
      <c r="V322" s="1240"/>
      <c r="W322" s="1240"/>
      <c r="X322" s="1240"/>
      <c r="Y322" s="1240"/>
      <c r="Z322" s="1240"/>
      <c r="AA322" s="1240"/>
      <c r="AB322" s="1240"/>
      <c r="AC322" s="1240"/>
      <c r="AD322" s="1240"/>
      <c r="AE322" s="1240"/>
      <c r="AF322" s="1240"/>
      <c r="AG322" s="1240"/>
      <c r="AH322" s="1240"/>
      <c r="AI322" s="1240"/>
      <c r="AJ322" s="1240"/>
      <c r="AK322" s="1240"/>
      <c r="AL322" s="1240"/>
      <c r="AM322" s="1240"/>
      <c r="AN322" s="1240"/>
      <c r="AO322" s="1240"/>
      <c r="AP322" s="1240"/>
      <c r="AQ322" s="1240"/>
      <c r="AR322" s="1240"/>
      <c r="AS322" s="1240"/>
      <c r="AT322" s="1240"/>
      <c r="AU322" s="1240"/>
      <c r="AV322" s="1240"/>
      <c r="AW322" s="1240"/>
      <c r="AX322" s="1240"/>
      <c r="AY322" s="1240"/>
      <c r="AZ322" s="1240"/>
      <c r="BA322" s="1240"/>
      <c r="BB322" s="1240"/>
      <c r="BC322" s="1240"/>
      <c r="BD322" s="1240"/>
      <c r="BE322" s="1240"/>
      <c r="BF322" s="1240"/>
    </row>
    <row r="323" spans="3:58" x14ac:dyDescent="0.2">
      <c r="C323" s="1240"/>
      <c r="D323" s="1240"/>
      <c r="E323" s="1240"/>
      <c r="F323" s="1240"/>
      <c r="G323" s="1240"/>
      <c r="H323" s="1240"/>
      <c r="I323" s="1240"/>
      <c r="J323" s="1240"/>
      <c r="K323" s="1240"/>
      <c r="L323" s="1240"/>
      <c r="M323" s="1240"/>
      <c r="N323" s="1240"/>
      <c r="O323" s="1240"/>
      <c r="P323" s="1240"/>
      <c r="Q323" s="1240"/>
      <c r="R323" s="1240"/>
      <c r="S323" s="1240"/>
      <c r="T323" s="1240"/>
      <c r="U323" s="1240"/>
      <c r="V323" s="1240"/>
      <c r="W323" s="1240"/>
      <c r="X323" s="1240"/>
      <c r="Y323" s="1240"/>
      <c r="Z323" s="1240"/>
      <c r="AA323" s="1240"/>
      <c r="AB323" s="1240"/>
      <c r="AC323" s="1240"/>
      <c r="AD323" s="1240"/>
      <c r="AE323" s="1240"/>
      <c r="AF323" s="1240"/>
      <c r="AG323" s="1240"/>
      <c r="AH323" s="1240"/>
      <c r="AI323" s="1240"/>
      <c r="AJ323" s="1240"/>
      <c r="AK323" s="1240"/>
      <c r="AL323" s="1240"/>
      <c r="AM323" s="1240"/>
      <c r="AN323" s="1240"/>
      <c r="AO323" s="1240"/>
      <c r="AP323" s="1240"/>
      <c r="AQ323" s="1240"/>
      <c r="AR323" s="1240"/>
      <c r="AS323" s="1240"/>
      <c r="AT323" s="1240"/>
      <c r="AU323" s="1240"/>
      <c r="AV323" s="1240"/>
      <c r="AW323" s="1240"/>
      <c r="AX323" s="1240"/>
      <c r="AY323" s="1240"/>
      <c r="AZ323" s="1240"/>
      <c r="BA323" s="1240"/>
      <c r="BB323" s="1240"/>
      <c r="BC323" s="1240"/>
      <c r="BD323" s="1240"/>
      <c r="BE323" s="1240"/>
      <c r="BF323" s="1240"/>
    </row>
    <row r="324" spans="3:58" x14ac:dyDescent="0.2">
      <c r="C324" s="1240"/>
      <c r="D324" s="1240"/>
      <c r="E324" s="1240"/>
      <c r="F324" s="1240"/>
      <c r="G324" s="1240"/>
      <c r="H324" s="1240"/>
      <c r="I324" s="1240"/>
      <c r="J324" s="1240"/>
      <c r="K324" s="1240"/>
      <c r="L324" s="1240"/>
      <c r="M324" s="1240"/>
      <c r="N324" s="1240"/>
      <c r="O324" s="1240"/>
      <c r="P324" s="1240"/>
      <c r="Q324" s="1240"/>
      <c r="R324" s="1240"/>
      <c r="S324" s="1240"/>
      <c r="T324" s="1240"/>
      <c r="U324" s="1240"/>
      <c r="V324" s="1240"/>
      <c r="W324" s="1240"/>
      <c r="X324" s="1240"/>
      <c r="Y324" s="1240"/>
      <c r="Z324" s="1240"/>
      <c r="AA324" s="1240"/>
      <c r="AB324" s="1240"/>
      <c r="AC324" s="1240"/>
      <c r="AD324" s="1240"/>
      <c r="AE324" s="1240"/>
      <c r="AF324" s="1240"/>
      <c r="AG324" s="1240"/>
      <c r="AH324" s="1240"/>
      <c r="AI324" s="1240"/>
      <c r="AJ324" s="1240"/>
      <c r="AK324" s="1240"/>
      <c r="AL324" s="1240"/>
      <c r="AM324" s="1240"/>
      <c r="AN324" s="1240"/>
      <c r="AO324" s="1240"/>
      <c r="AP324" s="1240"/>
      <c r="AQ324" s="1240"/>
      <c r="AR324" s="1240"/>
      <c r="AS324" s="1240"/>
      <c r="AT324" s="1240"/>
      <c r="AU324" s="1240"/>
      <c r="AV324" s="1240"/>
      <c r="AW324" s="1240"/>
      <c r="AX324" s="1240"/>
      <c r="AY324" s="1240"/>
      <c r="AZ324" s="1240"/>
      <c r="BA324" s="1240"/>
      <c r="BB324" s="1240"/>
      <c r="BC324" s="1240"/>
      <c r="BD324" s="1240"/>
      <c r="BE324" s="1240"/>
      <c r="BF324" s="1240"/>
    </row>
    <row r="325" spans="3:58" x14ac:dyDescent="0.2">
      <c r="C325" s="1240"/>
      <c r="D325" s="1240"/>
      <c r="E325" s="1240"/>
      <c r="F325" s="1240"/>
      <c r="G325" s="1240"/>
      <c r="H325" s="1240"/>
      <c r="I325" s="1240"/>
      <c r="J325" s="1240"/>
      <c r="K325" s="1240"/>
      <c r="L325" s="1240"/>
      <c r="M325" s="1240"/>
      <c r="N325" s="1240"/>
      <c r="O325" s="1240"/>
      <c r="P325" s="1240"/>
      <c r="Q325" s="1240"/>
      <c r="R325" s="1240"/>
      <c r="S325" s="1240"/>
      <c r="T325" s="1240"/>
      <c r="U325" s="1240"/>
      <c r="V325" s="1240"/>
      <c r="W325" s="1240"/>
      <c r="X325" s="1240"/>
      <c r="Y325" s="1240"/>
      <c r="Z325" s="1240"/>
      <c r="AA325" s="1240"/>
      <c r="AB325" s="1240"/>
      <c r="AC325" s="1240"/>
      <c r="AD325" s="1240"/>
      <c r="AE325" s="1240"/>
      <c r="AF325" s="1240"/>
      <c r="AG325" s="1240"/>
      <c r="AH325" s="1240"/>
      <c r="AI325" s="1240"/>
      <c r="AJ325" s="1240"/>
      <c r="AK325" s="1240"/>
      <c r="AL325" s="1240"/>
      <c r="AM325" s="1240"/>
      <c r="AN325" s="1240"/>
      <c r="AO325" s="1240"/>
      <c r="AP325" s="1240"/>
      <c r="AQ325" s="1240"/>
      <c r="AR325" s="1240"/>
      <c r="AS325" s="1240"/>
      <c r="AT325" s="1240"/>
      <c r="AU325" s="1240"/>
      <c r="AV325" s="1240"/>
      <c r="AW325" s="1240"/>
      <c r="AX325" s="1240"/>
      <c r="AY325" s="1240"/>
      <c r="AZ325" s="1240"/>
      <c r="BA325" s="1240"/>
      <c r="BB325" s="1240"/>
      <c r="BC325" s="1240"/>
      <c r="BD325" s="1240"/>
      <c r="BE325" s="1240"/>
      <c r="BF325" s="1240"/>
    </row>
    <row r="326" spans="3:58" x14ac:dyDescent="0.2">
      <c r="C326" s="1240"/>
      <c r="D326" s="1240"/>
      <c r="E326" s="1240"/>
      <c r="F326" s="1240"/>
      <c r="G326" s="1240"/>
      <c r="H326" s="1240"/>
      <c r="I326" s="1240"/>
      <c r="J326" s="1240"/>
      <c r="K326" s="1240"/>
      <c r="L326" s="1240"/>
      <c r="M326" s="1240"/>
      <c r="N326" s="1240"/>
      <c r="O326" s="1240"/>
      <c r="P326" s="1240"/>
      <c r="Q326" s="1240"/>
      <c r="R326" s="1240"/>
      <c r="S326" s="1240"/>
      <c r="T326" s="1240"/>
      <c r="U326" s="1240"/>
      <c r="V326" s="1240"/>
      <c r="W326" s="1240"/>
      <c r="X326" s="1240"/>
      <c r="Y326" s="1240"/>
      <c r="Z326" s="1240"/>
      <c r="AA326" s="1240"/>
      <c r="AB326" s="1240"/>
      <c r="AC326" s="1240"/>
      <c r="AD326" s="1240"/>
      <c r="AE326" s="1240"/>
      <c r="AF326" s="1240"/>
      <c r="AG326" s="1240"/>
      <c r="AH326" s="1240"/>
      <c r="AI326" s="1240"/>
      <c r="AJ326" s="1240"/>
      <c r="AK326" s="1240"/>
      <c r="AL326" s="1240"/>
      <c r="AM326" s="1240"/>
      <c r="AN326" s="1240"/>
      <c r="AO326" s="1240"/>
      <c r="AP326" s="1240"/>
      <c r="AQ326" s="1240"/>
      <c r="AR326" s="1240"/>
      <c r="AS326" s="1240"/>
      <c r="AT326" s="1240"/>
      <c r="AU326" s="1240"/>
      <c r="AV326" s="1240"/>
      <c r="AW326" s="1240"/>
      <c r="AX326" s="1240"/>
      <c r="AY326" s="1240"/>
      <c r="AZ326" s="1240"/>
      <c r="BA326" s="1240"/>
      <c r="BB326" s="1240"/>
      <c r="BC326" s="1240"/>
      <c r="BD326" s="1240"/>
      <c r="BE326" s="1240"/>
      <c r="BF326" s="1240"/>
    </row>
    <row r="327" spans="3:58" x14ac:dyDescent="0.2">
      <c r="C327" s="1240"/>
      <c r="D327" s="1240"/>
      <c r="E327" s="1240"/>
      <c r="F327" s="1240"/>
      <c r="G327" s="1240"/>
      <c r="H327" s="1240"/>
      <c r="I327" s="1240"/>
      <c r="J327" s="1240"/>
      <c r="K327" s="1240"/>
      <c r="L327" s="1240"/>
      <c r="M327" s="1240"/>
      <c r="N327" s="1240"/>
      <c r="O327" s="1240"/>
      <c r="P327" s="1240"/>
      <c r="Q327" s="1240"/>
      <c r="R327" s="1240"/>
      <c r="S327" s="1240"/>
      <c r="T327" s="1240"/>
      <c r="U327" s="1240"/>
      <c r="V327" s="1240"/>
      <c r="W327" s="1240"/>
      <c r="X327" s="1240"/>
      <c r="Y327" s="1240"/>
      <c r="Z327" s="1240"/>
      <c r="AA327" s="1240"/>
      <c r="AB327" s="1240"/>
      <c r="AC327" s="1240"/>
      <c r="AD327" s="1240"/>
      <c r="AE327" s="1240"/>
      <c r="AF327" s="1240"/>
      <c r="AG327" s="1240"/>
      <c r="AH327" s="1240"/>
      <c r="AI327" s="1240"/>
      <c r="AJ327" s="1240"/>
      <c r="AK327" s="1240"/>
      <c r="AL327" s="1240"/>
      <c r="AM327" s="1240"/>
      <c r="AN327" s="1240"/>
      <c r="AO327" s="1240"/>
      <c r="AP327" s="1240"/>
      <c r="AQ327" s="1240"/>
      <c r="AR327" s="1240"/>
      <c r="AS327" s="1240"/>
      <c r="AT327" s="1240"/>
      <c r="AU327" s="1240"/>
      <c r="AV327" s="1240"/>
      <c r="AW327" s="1240"/>
      <c r="AX327" s="1240"/>
      <c r="AY327" s="1240"/>
      <c r="AZ327" s="1240"/>
      <c r="BA327" s="1240"/>
      <c r="BB327" s="1240"/>
      <c r="BC327" s="1240"/>
      <c r="BD327" s="1240"/>
      <c r="BE327" s="1240"/>
      <c r="BF327" s="1240"/>
    </row>
    <row r="328" spans="3:58" x14ac:dyDescent="0.2">
      <c r="C328" s="1240"/>
      <c r="D328" s="1240"/>
      <c r="E328" s="1240"/>
      <c r="F328" s="1240"/>
      <c r="G328" s="1240"/>
      <c r="H328" s="1240"/>
      <c r="I328" s="1240"/>
      <c r="J328" s="1240"/>
      <c r="K328" s="1240"/>
      <c r="L328" s="1240"/>
      <c r="M328" s="1240"/>
      <c r="N328" s="1240"/>
      <c r="O328" s="1240"/>
      <c r="P328" s="1240"/>
      <c r="Q328" s="1240"/>
      <c r="R328" s="1240"/>
      <c r="S328" s="1240"/>
      <c r="T328" s="1240"/>
      <c r="U328" s="1240"/>
      <c r="V328" s="1240"/>
      <c r="W328" s="1240"/>
      <c r="X328" s="1240"/>
      <c r="Y328" s="1240"/>
      <c r="Z328" s="1240"/>
      <c r="AA328" s="1240"/>
      <c r="AB328" s="1240"/>
      <c r="AC328" s="1240"/>
      <c r="AD328" s="1240"/>
      <c r="AE328" s="1240"/>
      <c r="AF328" s="1240"/>
      <c r="AG328" s="1240"/>
      <c r="AH328" s="1240"/>
      <c r="AI328" s="1240"/>
      <c r="AJ328" s="1240"/>
      <c r="AK328" s="1240"/>
      <c r="AL328" s="1240"/>
      <c r="AM328" s="1240"/>
      <c r="AN328" s="1240"/>
      <c r="AO328" s="1240"/>
      <c r="AP328" s="1240"/>
      <c r="AQ328" s="1240"/>
      <c r="AR328" s="1240"/>
      <c r="AS328" s="1240"/>
      <c r="AT328" s="1240"/>
      <c r="AU328" s="1240"/>
      <c r="AV328" s="1240"/>
      <c r="AW328" s="1240"/>
      <c r="AX328" s="1240"/>
      <c r="AY328" s="1240"/>
      <c r="AZ328" s="1240"/>
      <c r="BA328" s="1240"/>
      <c r="BB328" s="1240"/>
      <c r="BC328" s="1240"/>
      <c r="BD328" s="1240"/>
      <c r="BE328" s="1240"/>
      <c r="BF328" s="1240"/>
    </row>
    <row r="329" spans="3:58" x14ac:dyDescent="0.2">
      <c r="C329" s="1240"/>
      <c r="D329" s="1240"/>
      <c r="E329" s="1240"/>
      <c r="F329" s="1240"/>
      <c r="G329" s="1240"/>
      <c r="H329" s="1240"/>
      <c r="I329" s="1240"/>
      <c r="J329" s="1240"/>
      <c r="K329" s="1240"/>
      <c r="L329" s="1240"/>
      <c r="M329" s="1240"/>
      <c r="N329" s="1240"/>
      <c r="O329" s="1240"/>
      <c r="P329" s="1240"/>
      <c r="Q329" s="1240"/>
      <c r="R329" s="1240"/>
      <c r="S329" s="1240"/>
      <c r="T329" s="1240"/>
      <c r="U329" s="1240"/>
      <c r="V329" s="1240"/>
      <c r="W329" s="1240"/>
      <c r="X329" s="1240"/>
      <c r="Y329" s="1240"/>
      <c r="Z329" s="1240"/>
      <c r="AA329" s="1240"/>
      <c r="AB329" s="1240"/>
      <c r="AC329" s="1240"/>
      <c r="AD329" s="1240"/>
      <c r="AE329" s="1240"/>
      <c r="AF329" s="1240"/>
      <c r="AG329" s="1240"/>
      <c r="AH329" s="1240"/>
      <c r="AI329" s="1240"/>
      <c r="AJ329" s="1240"/>
      <c r="AK329" s="1240"/>
      <c r="AL329" s="1240"/>
      <c r="AM329" s="1240"/>
      <c r="AN329" s="1240"/>
      <c r="AO329" s="1240"/>
      <c r="AP329" s="1240"/>
      <c r="AQ329" s="1240"/>
      <c r="AR329" s="1240"/>
      <c r="AS329" s="1240"/>
      <c r="AT329" s="1240"/>
      <c r="AU329" s="1240"/>
      <c r="AV329" s="1240"/>
      <c r="AW329" s="1240"/>
      <c r="AX329" s="1240"/>
      <c r="AY329" s="1240"/>
      <c r="AZ329" s="1240"/>
      <c r="BA329" s="1240"/>
      <c r="BB329" s="1240"/>
      <c r="BC329" s="1240"/>
      <c r="BD329" s="1240"/>
      <c r="BE329" s="1240"/>
      <c r="BF329" s="1240"/>
    </row>
    <row r="330" spans="3:58" x14ac:dyDescent="0.2">
      <c r="C330" s="1240"/>
      <c r="D330" s="1240"/>
      <c r="E330" s="1240"/>
      <c r="F330" s="1240"/>
      <c r="G330" s="1240"/>
      <c r="H330" s="1240"/>
      <c r="I330" s="1240"/>
      <c r="J330" s="1240"/>
      <c r="K330" s="1240"/>
      <c r="L330" s="1240"/>
      <c r="M330" s="1240"/>
      <c r="N330" s="1240"/>
      <c r="O330" s="1240"/>
      <c r="P330" s="1240"/>
      <c r="Q330" s="1240"/>
      <c r="R330" s="1240"/>
      <c r="S330" s="1240"/>
      <c r="T330" s="1240"/>
      <c r="U330" s="1240"/>
      <c r="V330" s="1240"/>
      <c r="W330" s="1240"/>
      <c r="X330" s="1240"/>
      <c r="Y330" s="1240"/>
      <c r="Z330" s="1240"/>
      <c r="AA330" s="1240"/>
      <c r="AB330" s="1240"/>
      <c r="AC330" s="1240"/>
      <c r="AD330" s="1240"/>
      <c r="AE330" s="1240"/>
      <c r="AF330" s="1240"/>
      <c r="AG330" s="1240"/>
      <c r="AH330" s="1240"/>
      <c r="AI330" s="1240"/>
      <c r="AJ330" s="1240"/>
      <c r="AK330" s="1240"/>
      <c r="AL330" s="1240"/>
      <c r="AM330" s="1240"/>
      <c r="AN330" s="1240"/>
      <c r="AO330" s="1240"/>
      <c r="AP330" s="1240"/>
      <c r="AQ330" s="1240"/>
      <c r="AR330" s="1240"/>
      <c r="AS330" s="1240"/>
      <c r="AT330" s="1240"/>
      <c r="AU330" s="1240"/>
      <c r="AV330" s="1240"/>
      <c r="AW330" s="1240"/>
      <c r="AX330" s="1240"/>
      <c r="AY330" s="1240"/>
      <c r="AZ330" s="1240"/>
      <c r="BA330" s="1240"/>
      <c r="BB330" s="1240"/>
      <c r="BC330" s="1240"/>
      <c r="BD330" s="1240"/>
      <c r="BE330" s="1240"/>
      <c r="BF330" s="1240"/>
    </row>
    <row r="331" spans="3:58" x14ac:dyDescent="0.2">
      <c r="C331" s="1240"/>
      <c r="D331" s="1240"/>
      <c r="E331" s="1240"/>
      <c r="F331" s="1240"/>
      <c r="G331" s="1240"/>
      <c r="H331" s="1240"/>
      <c r="I331" s="1240"/>
      <c r="J331" s="1240"/>
      <c r="K331" s="1240"/>
      <c r="L331" s="1240"/>
      <c r="M331" s="1240"/>
      <c r="N331" s="1240"/>
      <c r="O331" s="1240"/>
      <c r="P331" s="1240"/>
      <c r="Q331" s="1240"/>
      <c r="R331" s="1240"/>
      <c r="S331" s="1240"/>
      <c r="T331" s="1240"/>
      <c r="U331" s="1240"/>
      <c r="V331" s="1240"/>
      <c r="W331" s="1240"/>
      <c r="X331" s="1240"/>
      <c r="Y331" s="1240"/>
      <c r="Z331" s="1240"/>
      <c r="AA331" s="1240"/>
      <c r="AB331" s="1240"/>
      <c r="AC331" s="1240"/>
      <c r="AD331" s="1240"/>
      <c r="AE331" s="1240"/>
      <c r="AF331" s="1240"/>
      <c r="AG331" s="1240"/>
      <c r="AH331" s="1240"/>
      <c r="AI331" s="1240"/>
      <c r="AJ331" s="1240"/>
      <c r="AK331" s="1240"/>
      <c r="AL331" s="1240"/>
      <c r="AM331" s="1240"/>
      <c r="AN331" s="1240"/>
      <c r="AO331" s="1240"/>
      <c r="AP331" s="1240"/>
      <c r="AQ331" s="1240"/>
      <c r="AR331" s="1240"/>
      <c r="AS331" s="1240"/>
      <c r="AT331" s="1240"/>
      <c r="AU331" s="1240"/>
      <c r="AV331" s="1240"/>
      <c r="AW331" s="1240"/>
      <c r="AX331" s="1240"/>
      <c r="AY331" s="1240"/>
      <c r="AZ331" s="1240"/>
      <c r="BA331" s="1240"/>
      <c r="BB331" s="1240"/>
      <c r="BC331" s="1240"/>
      <c r="BD331" s="1240"/>
      <c r="BE331" s="1240"/>
      <c r="BF331" s="1240"/>
    </row>
    <row r="332" spans="3:58" x14ac:dyDescent="0.2">
      <c r="C332" s="1240"/>
      <c r="D332" s="1240"/>
      <c r="E332" s="1240"/>
      <c r="F332" s="1240"/>
      <c r="G332" s="1240"/>
      <c r="H332" s="1240"/>
      <c r="I332" s="1240"/>
      <c r="J332" s="1240"/>
      <c r="K332" s="1240"/>
      <c r="L332" s="1240"/>
      <c r="M332" s="1240"/>
      <c r="N332" s="1240"/>
      <c r="O332" s="1240"/>
      <c r="P332" s="1240"/>
      <c r="Q332" s="1240"/>
      <c r="R332" s="1240"/>
      <c r="S332" s="1240"/>
      <c r="T332" s="1240"/>
      <c r="U332" s="1240"/>
      <c r="V332" s="1240"/>
      <c r="W332" s="1240"/>
      <c r="X332" s="1240"/>
      <c r="Y332" s="1240"/>
      <c r="Z332" s="1240"/>
      <c r="AA332" s="1240"/>
      <c r="AB332" s="1240"/>
      <c r="AC332" s="1240"/>
      <c r="AD332" s="1240"/>
      <c r="AE332" s="1240"/>
      <c r="AF332" s="1240"/>
      <c r="AG332" s="1240"/>
      <c r="AH332" s="1240"/>
      <c r="AI332" s="1240"/>
      <c r="AJ332" s="1240"/>
      <c r="AK332" s="1240"/>
      <c r="AL332" s="1240"/>
      <c r="AM332" s="1240"/>
      <c r="AN332" s="1240"/>
      <c r="AO332" s="1240"/>
      <c r="AP332" s="1240"/>
      <c r="AQ332" s="1240"/>
      <c r="AR332" s="1240"/>
      <c r="AS332" s="1240"/>
      <c r="AT332" s="1240"/>
      <c r="AU332" s="1240"/>
      <c r="AV332" s="1240"/>
      <c r="AW332" s="1240"/>
      <c r="AX332" s="1240"/>
      <c r="AY332" s="1240"/>
      <c r="AZ332" s="1240"/>
      <c r="BA332" s="1240"/>
      <c r="BB332" s="1240"/>
      <c r="BC332" s="1240"/>
      <c r="BD332" s="1240"/>
      <c r="BE332" s="1240"/>
      <c r="BF332" s="1240"/>
    </row>
    <row r="333" spans="3:58" x14ac:dyDescent="0.2">
      <c r="C333" s="1240"/>
      <c r="D333" s="1240"/>
      <c r="E333" s="1240"/>
      <c r="F333" s="1240"/>
      <c r="G333" s="1240"/>
      <c r="H333" s="1240"/>
      <c r="I333" s="1240"/>
      <c r="J333" s="1240"/>
      <c r="K333" s="1240"/>
      <c r="L333" s="1240"/>
      <c r="M333" s="1240"/>
      <c r="N333" s="1240"/>
      <c r="O333" s="1240"/>
      <c r="P333" s="1240"/>
      <c r="Q333" s="1240"/>
      <c r="R333" s="1240"/>
      <c r="S333" s="1240"/>
      <c r="T333" s="1240"/>
      <c r="U333" s="1240"/>
      <c r="V333" s="1240"/>
      <c r="W333" s="1240"/>
      <c r="X333" s="1240"/>
      <c r="Y333" s="1240"/>
      <c r="Z333" s="1240"/>
      <c r="AA333" s="1240"/>
      <c r="AB333" s="1240"/>
      <c r="AC333" s="1240"/>
      <c r="AD333" s="1240"/>
      <c r="AE333" s="1240"/>
      <c r="AF333" s="1240"/>
      <c r="AG333" s="1240"/>
      <c r="AH333" s="1240"/>
      <c r="AI333" s="1240"/>
      <c r="AJ333" s="1240"/>
      <c r="AK333" s="1240"/>
      <c r="AL333" s="1240"/>
      <c r="AM333" s="1240"/>
      <c r="AN333" s="1240"/>
      <c r="AO333" s="1240"/>
      <c r="AP333" s="1240"/>
      <c r="AQ333" s="1240"/>
      <c r="AR333" s="1240"/>
      <c r="AS333" s="1240"/>
      <c r="AT333" s="1240"/>
      <c r="AU333" s="1240"/>
      <c r="AV333" s="1240"/>
      <c r="AW333" s="1240"/>
      <c r="AX333" s="1240"/>
      <c r="AY333" s="1240"/>
      <c r="AZ333" s="1240"/>
      <c r="BA333" s="1240"/>
      <c r="BB333" s="1240"/>
      <c r="BC333" s="1240"/>
      <c r="BD333" s="1240"/>
      <c r="BE333" s="1240"/>
      <c r="BF333" s="1240"/>
    </row>
    <row r="334" spans="3:58" x14ac:dyDescent="0.2">
      <c r="C334" s="1240"/>
      <c r="D334" s="1240"/>
      <c r="E334" s="1240"/>
      <c r="F334" s="1240"/>
      <c r="G334" s="1240"/>
      <c r="H334" s="1240"/>
      <c r="I334" s="1240"/>
      <c r="J334" s="1240"/>
      <c r="K334" s="1240"/>
      <c r="L334" s="1240"/>
      <c r="M334" s="1240"/>
      <c r="N334" s="1240"/>
      <c r="O334" s="1240"/>
      <c r="P334" s="1240"/>
      <c r="Q334" s="1240"/>
      <c r="R334" s="1240"/>
      <c r="S334" s="1240"/>
      <c r="T334" s="1240"/>
      <c r="U334" s="1240"/>
      <c r="V334" s="1240"/>
      <c r="W334" s="1240"/>
      <c r="X334" s="1240"/>
      <c r="Y334" s="1240"/>
      <c r="Z334" s="1240"/>
      <c r="AA334" s="1240"/>
      <c r="AB334" s="1240"/>
      <c r="AC334" s="1240"/>
      <c r="AD334" s="1240"/>
      <c r="AE334" s="1240"/>
      <c r="AF334" s="1240"/>
      <c r="AG334" s="1240"/>
      <c r="AH334" s="1240"/>
      <c r="AI334" s="1240"/>
      <c r="AJ334" s="1240"/>
      <c r="AK334" s="1240"/>
      <c r="AL334" s="1240"/>
      <c r="AM334" s="1240"/>
      <c r="AN334" s="1240"/>
      <c r="AO334" s="1240"/>
      <c r="AP334" s="1240"/>
      <c r="AQ334" s="1240"/>
      <c r="AR334" s="1240"/>
      <c r="AS334" s="1240"/>
      <c r="AT334" s="1240"/>
      <c r="AU334" s="1240"/>
      <c r="AV334" s="1240"/>
      <c r="AW334" s="1240"/>
      <c r="AX334" s="1240"/>
      <c r="AY334" s="1240"/>
      <c r="AZ334" s="1240"/>
      <c r="BA334" s="1240"/>
      <c r="BB334" s="1240"/>
      <c r="BC334" s="1240"/>
      <c r="BD334" s="1240"/>
      <c r="BE334" s="1240"/>
      <c r="BF334" s="1240"/>
    </row>
    <row r="335" spans="3:58" x14ac:dyDescent="0.2">
      <c r="C335" s="1240"/>
      <c r="D335" s="1240"/>
      <c r="E335" s="1240"/>
      <c r="F335" s="1240"/>
      <c r="G335" s="1240"/>
      <c r="H335" s="1240"/>
      <c r="I335" s="1240"/>
      <c r="J335" s="1240"/>
      <c r="K335" s="1240"/>
      <c r="L335" s="1240"/>
      <c r="M335" s="1240"/>
      <c r="N335" s="1240"/>
      <c r="O335" s="1240"/>
      <c r="P335" s="1240"/>
      <c r="Q335" s="1240"/>
      <c r="R335" s="1240"/>
      <c r="S335" s="1240"/>
      <c r="T335" s="1240"/>
      <c r="U335" s="1240"/>
      <c r="V335" s="1240"/>
      <c r="W335" s="1240"/>
      <c r="X335" s="1240"/>
      <c r="Y335" s="1240"/>
      <c r="Z335" s="1240"/>
      <c r="AA335" s="1240"/>
      <c r="AB335" s="1240"/>
      <c r="AC335" s="1240"/>
      <c r="AD335" s="1240"/>
      <c r="AE335" s="1240"/>
      <c r="AF335" s="1240"/>
      <c r="AG335" s="1240"/>
      <c r="AH335" s="1240"/>
      <c r="AI335" s="1240"/>
      <c r="AJ335" s="1240"/>
      <c r="AK335" s="1240"/>
      <c r="AL335" s="1240"/>
      <c r="AM335" s="1240"/>
      <c r="AN335" s="1240"/>
      <c r="AO335" s="1240"/>
      <c r="AP335" s="1240"/>
      <c r="AQ335" s="1240"/>
      <c r="AR335" s="1240"/>
      <c r="AS335" s="1240"/>
      <c r="AT335" s="1240"/>
      <c r="AU335" s="1240"/>
      <c r="AV335" s="1240"/>
      <c r="AW335" s="1240"/>
      <c r="AX335" s="1240"/>
      <c r="AY335" s="1240"/>
      <c r="AZ335" s="1240"/>
      <c r="BA335" s="1240"/>
      <c r="BB335" s="1240"/>
      <c r="BC335" s="1240"/>
      <c r="BD335" s="1240"/>
      <c r="BE335" s="1240"/>
      <c r="BF335" s="1240"/>
    </row>
    <row r="336" spans="3:58" x14ac:dyDescent="0.2">
      <c r="C336" s="1240"/>
      <c r="D336" s="1240"/>
      <c r="E336" s="1240"/>
      <c r="F336" s="1240"/>
      <c r="G336" s="1240"/>
      <c r="H336" s="1240"/>
      <c r="I336" s="1240"/>
      <c r="J336" s="1240"/>
      <c r="K336" s="1240"/>
      <c r="L336" s="1240"/>
      <c r="M336" s="1240"/>
      <c r="N336" s="1240"/>
      <c r="O336" s="1240"/>
      <c r="P336" s="1240"/>
      <c r="Q336" s="1240"/>
      <c r="R336" s="1240"/>
      <c r="S336" s="1240"/>
      <c r="T336" s="1240"/>
      <c r="U336" s="1240"/>
      <c r="V336" s="1240"/>
      <c r="W336" s="1240"/>
      <c r="X336" s="1240"/>
      <c r="Y336" s="1240"/>
      <c r="Z336" s="1240"/>
      <c r="AA336" s="1240"/>
      <c r="AB336" s="1240"/>
      <c r="AC336" s="1240"/>
      <c r="AD336" s="1240"/>
      <c r="AE336" s="1240"/>
      <c r="AF336" s="1240"/>
      <c r="AG336" s="1240"/>
      <c r="AH336" s="1240"/>
      <c r="AI336" s="1240"/>
      <c r="AJ336" s="1240"/>
      <c r="AK336" s="1240"/>
      <c r="AL336" s="1240"/>
      <c r="AM336" s="1240"/>
      <c r="AN336" s="1240"/>
      <c r="AO336" s="1240"/>
      <c r="AP336" s="1240"/>
      <c r="AQ336" s="1240"/>
      <c r="AR336" s="1240"/>
      <c r="AS336" s="1240"/>
      <c r="AT336" s="1240"/>
      <c r="AU336" s="1240"/>
      <c r="AV336" s="1240"/>
      <c r="AW336" s="1240"/>
      <c r="AX336" s="1240"/>
      <c r="AY336" s="1240"/>
      <c r="AZ336" s="1240"/>
      <c r="BA336" s="1240"/>
      <c r="BB336" s="1240"/>
      <c r="BC336" s="1240"/>
      <c r="BD336" s="1240"/>
      <c r="BE336" s="1240"/>
      <c r="BF336" s="1240"/>
    </row>
    <row r="337" spans="3:58" x14ac:dyDescent="0.2">
      <c r="C337" s="1240"/>
      <c r="D337" s="1240"/>
      <c r="E337" s="1240"/>
      <c r="F337" s="1240"/>
      <c r="G337" s="1240"/>
      <c r="H337" s="1240"/>
      <c r="I337" s="1240"/>
      <c r="J337" s="1240"/>
      <c r="K337" s="1240"/>
      <c r="L337" s="1240"/>
      <c r="M337" s="1240"/>
      <c r="N337" s="1240"/>
      <c r="O337" s="1240"/>
      <c r="P337" s="1240"/>
      <c r="Q337" s="1240"/>
      <c r="R337" s="1240"/>
      <c r="S337" s="1240"/>
      <c r="T337" s="1240"/>
      <c r="U337" s="1240"/>
      <c r="V337" s="1240"/>
      <c r="W337" s="1240"/>
      <c r="X337" s="1240"/>
      <c r="Y337" s="1240"/>
      <c r="Z337" s="1240"/>
      <c r="AA337" s="1240"/>
      <c r="AB337" s="1240"/>
      <c r="AC337" s="1240"/>
      <c r="AD337" s="1240"/>
      <c r="AE337" s="1240"/>
      <c r="AF337" s="1240"/>
      <c r="AG337" s="1240"/>
      <c r="AH337" s="1240"/>
      <c r="AI337" s="1240"/>
      <c r="AJ337" s="1240"/>
      <c r="AK337" s="1240"/>
      <c r="AL337" s="1240"/>
      <c r="AM337" s="1240"/>
      <c r="AN337" s="1240"/>
      <c r="AO337" s="1240"/>
      <c r="AP337" s="1240"/>
      <c r="AQ337" s="1240"/>
      <c r="AR337" s="1240"/>
      <c r="AS337" s="1240"/>
      <c r="AT337" s="1240"/>
      <c r="AU337" s="1240"/>
      <c r="AV337" s="1240"/>
      <c r="AW337" s="1240"/>
      <c r="AX337" s="1240"/>
      <c r="AY337" s="1240"/>
      <c r="AZ337" s="1240"/>
      <c r="BA337" s="1240"/>
      <c r="BB337" s="1240"/>
      <c r="BC337" s="1240"/>
      <c r="BD337" s="1240"/>
      <c r="BE337" s="1240"/>
      <c r="BF337" s="1240"/>
    </row>
    <row r="338" spans="3:58" x14ac:dyDescent="0.2">
      <c r="C338" s="1240"/>
      <c r="D338" s="1240"/>
      <c r="E338" s="1240"/>
      <c r="F338" s="1240"/>
      <c r="G338" s="1240"/>
      <c r="H338" s="1240"/>
      <c r="I338" s="1240"/>
      <c r="J338" s="1240"/>
      <c r="K338" s="1240"/>
      <c r="L338" s="1240"/>
      <c r="M338" s="1240"/>
      <c r="N338" s="1240"/>
      <c r="O338" s="1240"/>
      <c r="P338" s="1240"/>
      <c r="Q338" s="1240"/>
      <c r="R338" s="1240"/>
      <c r="S338" s="1240"/>
      <c r="T338" s="1240"/>
      <c r="U338" s="1240"/>
      <c r="V338" s="1240"/>
      <c r="W338" s="1240"/>
      <c r="X338" s="1240"/>
      <c r="Y338" s="1240"/>
      <c r="Z338" s="1240"/>
      <c r="AA338" s="1240"/>
      <c r="AB338" s="1240"/>
      <c r="AC338" s="1240"/>
      <c r="AD338" s="1240"/>
      <c r="AE338" s="1240"/>
      <c r="AF338" s="1240"/>
      <c r="AG338" s="1240"/>
      <c r="AH338" s="1240"/>
      <c r="AI338" s="1240"/>
      <c r="AJ338" s="1240"/>
      <c r="AK338" s="1240"/>
      <c r="AL338" s="1240"/>
      <c r="AM338" s="1240"/>
      <c r="AN338" s="1240"/>
      <c r="AO338" s="1240"/>
      <c r="AP338" s="1240"/>
      <c r="AQ338" s="1240"/>
      <c r="AR338" s="1240"/>
      <c r="AS338" s="1240"/>
      <c r="AT338" s="1240"/>
      <c r="AU338" s="1240"/>
      <c r="AV338" s="1240"/>
      <c r="AW338" s="1240"/>
      <c r="AX338" s="1240"/>
      <c r="AY338" s="1240"/>
      <c r="AZ338" s="1240"/>
      <c r="BA338" s="1240"/>
      <c r="BB338" s="1240"/>
      <c r="BC338" s="1240"/>
      <c r="BD338" s="1240"/>
      <c r="BE338" s="1240"/>
      <c r="BF338" s="1240"/>
    </row>
    <row r="339" spans="3:58" x14ac:dyDescent="0.2">
      <c r="C339" s="1240"/>
      <c r="D339" s="1240"/>
      <c r="E339" s="1240"/>
      <c r="F339" s="1240"/>
      <c r="G339" s="1240"/>
      <c r="H339" s="1240"/>
      <c r="I339" s="1240"/>
      <c r="J339" s="1240"/>
      <c r="K339" s="1240"/>
      <c r="L339" s="1240"/>
      <c r="M339" s="1240"/>
      <c r="N339" s="1240"/>
      <c r="O339" s="1240"/>
      <c r="P339" s="1240"/>
      <c r="Q339" s="1240"/>
      <c r="R339" s="1240"/>
      <c r="S339" s="1240"/>
      <c r="T339" s="1240"/>
      <c r="U339" s="1240"/>
      <c r="V339" s="1240"/>
      <c r="W339" s="1240"/>
      <c r="X339" s="1240"/>
      <c r="Y339" s="1240"/>
      <c r="Z339" s="1240"/>
      <c r="AA339" s="1240"/>
      <c r="AB339" s="1240"/>
      <c r="AC339" s="1240"/>
      <c r="AD339" s="1240"/>
      <c r="AE339" s="1240"/>
      <c r="AF339" s="1240"/>
      <c r="AG339" s="1240"/>
      <c r="AH339" s="1240"/>
      <c r="AI339" s="1240"/>
      <c r="AJ339" s="1240"/>
      <c r="AK339" s="1240"/>
      <c r="AL339" s="1240"/>
      <c r="AM339" s="1240"/>
      <c r="AN339" s="1240"/>
      <c r="AO339" s="1240"/>
      <c r="AP339" s="1240"/>
      <c r="AQ339" s="1240"/>
      <c r="AR339" s="1240"/>
      <c r="AS339" s="1240"/>
      <c r="AT339" s="1240"/>
      <c r="AU339" s="1240"/>
      <c r="AV339" s="1240"/>
      <c r="AW339" s="1240"/>
      <c r="AX339" s="1240"/>
      <c r="AY339" s="1240"/>
      <c r="AZ339" s="1240"/>
      <c r="BA339" s="1240"/>
      <c r="BB339" s="1240"/>
      <c r="BC339" s="1240"/>
      <c r="BD339" s="1240"/>
      <c r="BE339" s="1240"/>
      <c r="BF339" s="1240"/>
    </row>
    <row r="340" spans="3:58" x14ac:dyDescent="0.2">
      <c r="C340" s="1240"/>
      <c r="D340" s="1240"/>
      <c r="E340" s="1240"/>
      <c r="F340" s="1240"/>
      <c r="G340" s="1240"/>
      <c r="H340" s="1240"/>
      <c r="I340" s="1240"/>
      <c r="J340" s="1240"/>
      <c r="K340" s="1240"/>
      <c r="L340" s="1240"/>
      <c r="M340" s="1240"/>
      <c r="N340" s="1240"/>
      <c r="O340" s="1240"/>
      <c r="P340" s="1240"/>
      <c r="Q340" s="1240"/>
      <c r="R340" s="1240"/>
      <c r="S340" s="1240"/>
      <c r="T340" s="1240"/>
      <c r="U340" s="1240"/>
      <c r="V340" s="1240"/>
      <c r="W340" s="1240"/>
      <c r="X340" s="1240"/>
      <c r="Y340" s="1240"/>
      <c r="Z340" s="1240"/>
      <c r="AA340" s="1240"/>
      <c r="AB340" s="1240"/>
      <c r="AC340" s="1240"/>
      <c r="AD340" s="1240"/>
      <c r="AE340" s="1240"/>
      <c r="AF340" s="1240"/>
      <c r="AG340" s="1240"/>
      <c r="AH340" s="1240"/>
      <c r="AI340" s="1240"/>
      <c r="AJ340" s="1240"/>
      <c r="AK340" s="1240"/>
      <c r="AL340" s="1240"/>
      <c r="AM340" s="1240"/>
      <c r="AN340" s="1240"/>
      <c r="AO340" s="1240"/>
      <c r="AP340" s="1240"/>
      <c r="AQ340" s="1240"/>
      <c r="AR340" s="1240"/>
      <c r="AS340" s="1240"/>
      <c r="AT340" s="1240"/>
      <c r="AU340" s="1240"/>
      <c r="AV340" s="1240"/>
      <c r="AW340" s="1240"/>
      <c r="AX340" s="1240"/>
      <c r="AY340" s="1240"/>
      <c r="AZ340" s="1240"/>
      <c r="BA340" s="1240"/>
      <c r="BB340" s="1240"/>
      <c r="BC340" s="1240"/>
      <c r="BD340" s="1240"/>
      <c r="BE340" s="1240"/>
      <c r="BF340" s="1240"/>
    </row>
    <row r="341" spans="3:58" x14ac:dyDescent="0.2">
      <c r="C341" s="1240"/>
      <c r="D341" s="1240"/>
      <c r="E341" s="1240"/>
      <c r="F341" s="1240"/>
      <c r="G341" s="1240"/>
      <c r="H341" s="1240"/>
      <c r="I341" s="1240"/>
      <c r="J341" s="1240"/>
      <c r="K341" s="1240"/>
      <c r="L341" s="1240"/>
      <c r="M341" s="1240"/>
      <c r="N341" s="1240"/>
      <c r="O341" s="1240"/>
      <c r="P341" s="1240"/>
      <c r="Q341" s="1240"/>
      <c r="R341" s="1240"/>
      <c r="S341" s="1240"/>
      <c r="T341" s="1240"/>
      <c r="U341" s="1240"/>
      <c r="V341" s="1240"/>
      <c r="W341" s="1240"/>
      <c r="X341" s="1240"/>
      <c r="Y341" s="1240"/>
      <c r="Z341" s="1240"/>
      <c r="AA341" s="1240"/>
      <c r="AB341" s="1240"/>
      <c r="AC341" s="1240"/>
      <c r="AD341" s="1240"/>
      <c r="AE341" s="1240"/>
      <c r="AF341" s="1240"/>
      <c r="AG341" s="1240"/>
      <c r="AH341" s="1240"/>
      <c r="AI341" s="1240"/>
      <c r="AJ341" s="1240"/>
      <c r="AK341" s="1240"/>
      <c r="AL341" s="1240"/>
      <c r="AM341" s="1240"/>
      <c r="AN341" s="1240"/>
      <c r="AO341" s="1240"/>
      <c r="AP341" s="1240"/>
      <c r="AQ341" s="1240"/>
      <c r="AR341" s="1240"/>
      <c r="AS341" s="1240"/>
      <c r="AT341" s="1240"/>
      <c r="AU341" s="1240"/>
      <c r="AV341" s="1240"/>
      <c r="AW341" s="1240"/>
      <c r="AX341" s="1240"/>
      <c r="AY341" s="1240"/>
      <c r="AZ341" s="1240"/>
      <c r="BA341" s="1240"/>
      <c r="BB341" s="1240"/>
      <c r="BC341" s="1240"/>
      <c r="BD341" s="1240"/>
      <c r="BE341" s="1240"/>
      <c r="BF341" s="1240"/>
    </row>
    <row r="342" spans="3:58" x14ac:dyDescent="0.2">
      <c r="C342" s="1240"/>
      <c r="D342" s="1240"/>
      <c r="E342" s="1240"/>
      <c r="F342" s="1240"/>
      <c r="G342" s="1240"/>
      <c r="H342" s="1240"/>
      <c r="I342" s="1240"/>
      <c r="J342" s="1240"/>
      <c r="K342" s="1240"/>
      <c r="L342" s="1240"/>
      <c r="M342" s="1240"/>
      <c r="N342" s="1240"/>
      <c r="O342" s="1240"/>
      <c r="P342" s="1240"/>
      <c r="Q342" s="1240"/>
      <c r="R342" s="1240"/>
      <c r="S342" s="1240"/>
      <c r="T342" s="1240"/>
      <c r="U342" s="1240"/>
      <c r="V342" s="1240"/>
      <c r="W342" s="1240"/>
      <c r="X342" s="1240"/>
      <c r="Y342" s="1240"/>
      <c r="Z342" s="1240"/>
      <c r="AA342" s="1240"/>
      <c r="AB342" s="1240"/>
      <c r="AC342" s="1240"/>
      <c r="AD342" s="1240"/>
      <c r="AE342" s="1240"/>
      <c r="AF342" s="1240"/>
      <c r="AG342" s="1240"/>
      <c r="AH342" s="1240"/>
      <c r="AI342" s="1240"/>
      <c r="AJ342" s="1240"/>
      <c r="AK342" s="1240"/>
      <c r="AL342" s="1240"/>
      <c r="AM342" s="1240"/>
      <c r="AN342" s="1240"/>
      <c r="AO342" s="1240"/>
      <c r="AP342" s="1240"/>
      <c r="AQ342" s="1240"/>
      <c r="AR342" s="1240"/>
      <c r="AS342" s="1240"/>
      <c r="AT342" s="1240"/>
      <c r="AU342" s="1240"/>
      <c r="AV342" s="1240"/>
      <c r="AW342" s="1240"/>
      <c r="AX342" s="1240"/>
      <c r="AY342" s="1240"/>
      <c r="AZ342" s="1240"/>
      <c r="BA342" s="1240"/>
      <c r="BB342" s="1240"/>
      <c r="BC342" s="1240"/>
      <c r="BD342" s="1240"/>
      <c r="BE342" s="1240"/>
      <c r="BF342" s="1240"/>
    </row>
    <row r="343" spans="3:58" x14ac:dyDescent="0.2">
      <c r="C343" s="1240"/>
      <c r="D343" s="1240"/>
      <c r="E343" s="1240"/>
      <c r="F343" s="1240"/>
      <c r="G343" s="1240"/>
      <c r="H343" s="1240"/>
      <c r="I343" s="1240"/>
      <c r="J343" s="1240"/>
      <c r="K343" s="1240"/>
      <c r="L343" s="1240"/>
      <c r="M343" s="1240"/>
      <c r="N343" s="1240"/>
      <c r="O343" s="1240"/>
      <c r="P343" s="1240"/>
      <c r="Q343" s="1240"/>
      <c r="R343" s="1240"/>
      <c r="S343" s="1240"/>
      <c r="T343" s="1240"/>
      <c r="U343" s="1240"/>
      <c r="V343" s="1240"/>
      <c r="W343" s="1240"/>
      <c r="X343" s="1240"/>
      <c r="Y343" s="1240"/>
      <c r="Z343" s="1240"/>
      <c r="AA343" s="1240"/>
      <c r="AB343" s="1240"/>
      <c r="AC343" s="1240"/>
      <c r="AD343" s="1240"/>
      <c r="AE343" s="1240"/>
      <c r="AF343" s="1240"/>
      <c r="AG343" s="1240"/>
      <c r="AH343" s="1240"/>
      <c r="AI343" s="1240"/>
      <c r="AJ343" s="1240"/>
      <c r="AK343" s="1240"/>
      <c r="AL343" s="1240"/>
      <c r="AM343" s="1240"/>
      <c r="AN343" s="1240"/>
      <c r="AO343" s="1240"/>
      <c r="AP343" s="1240"/>
      <c r="AQ343" s="1240"/>
      <c r="AR343" s="1240"/>
      <c r="AS343" s="1240"/>
      <c r="AT343" s="1240"/>
      <c r="AU343" s="1240"/>
      <c r="AV343" s="1240"/>
      <c r="AW343" s="1240"/>
      <c r="AX343" s="1240"/>
      <c r="AY343" s="1240"/>
      <c r="AZ343" s="1240"/>
      <c r="BA343" s="1240"/>
      <c r="BB343" s="1240"/>
      <c r="BC343" s="1240"/>
      <c r="BD343" s="1240"/>
      <c r="BE343" s="1240"/>
      <c r="BF343" s="1240"/>
    </row>
    <row r="344" spans="3:58" x14ac:dyDescent="0.2">
      <c r="C344" s="1240"/>
      <c r="D344" s="1240"/>
      <c r="E344" s="1240"/>
      <c r="F344" s="1240"/>
      <c r="G344" s="1240"/>
      <c r="H344" s="1240"/>
      <c r="I344" s="1240"/>
      <c r="J344" s="1240"/>
      <c r="K344" s="1240"/>
      <c r="L344" s="1240"/>
      <c r="M344" s="1240"/>
      <c r="N344" s="1240"/>
      <c r="O344" s="1240"/>
      <c r="P344" s="1240"/>
      <c r="Q344" s="1240"/>
      <c r="R344" s="1240"/>
      <c r="S344" s="1240"/>
      <c r="T344" s="1240"/>
      <c r="U344" s="1240"/>
      <c r="V344" s="1240"/>
      <c r="W344" s="1240"/>
      <c r="X344" s="1240"/>
      <c r="Y344" s="1240"/>
      <c r="Z344" s="1240"/>
      <c r="AA344" s="1240"/>
      <c r="AB344" s="1240"/>
      <c r="AC344" s="1240"/>
      <c r="AD344" s="1240"/>
      <c r="AE344" s="1240"/>
      <c r="AF344" s="1240"/>
      <c r="AG344" s="1240"/>
      <c r="AH344" s="1240"/>
      <c r="AI344" s="1240"/>
      <c r="AJ344" s="1240"/>
      <c r="AK344" s="1240"/>
      <c r="AL344" s="1240"/>
      <c r="AM344" s="1240"/>
      <c r="AN344" s="1240"/>
      <c r="AO344" s="1240"/>
      <c r="AP344" s="1240"/>
      <c r="AQ344" s="1240"/>
      <c r="AR344" s="1240"/>
      <c r="AS344" s="1240"/>
      <c r="AT344" s="1240"/>
      <c r="AU344" s="1240"/>
      <c r="AV344" s="1240"/>
      <c r="AW344" s="1240"/>
      <c r="AX344" s="1240"/>
      <c r="AY344" s="1240"/>
      <c r="AZ344" s="1240"/>
      <c r="BA344" s="1240"/>
      <c r="BB344" s="1240"/>
      <c r="BC344" s="1240"/>
      <c r="BD344" s="1240"/>
      <c r="BE344" s="1240"/>
      <c r="BF344" s="1240"/>
    </row>
    <row r="345" spans="3:58" x14ac:dyDescent="0.2">
      <c r="C345" s="1240"/>
      <c r="D345" s="1240"/>
      <c r="E345" s="1240"/>
      <c r="F345" s="1240"/>
      <c r="G345" s="1240"/>
      <c r="H345" s="1240"/>
      <c r="I345" s="1240"/>
      <c r="J345" s="1240"/>
      <c r="K345" s="1240"/>
      <c r="L345" s="1240"/>
      <c r="M345" s="1240"/>
      <c r="N345" s="1240"/>
      <c r="O345" s="1240"/>
      <c r="P345" s="1240"/>
      <c r="Q345" s="1240"/>
      <c r="R345" s="1240"/>
      <c r="S345" s="1240"/>
      <c r="T345" s="1240"/>
      <c r="U345" s="1240"/>
      <c r="V345" s="1240"/>
      <c r="W345" s="1240"/>
      <c r="X345" s="1240"/>
      <c r="Y345" s="1240"/>
      <c r="Z345" s="1240"/>
      <c r="AA345" s="1240"/>
      <c r="AB345" s="1240"/>
      <c r="AC345" s="1240"/>
      <c r="AD345" s="1240"/>
      <c r="AE345" s="1240"/>
      <c r="AF345" s="1240"/>
      <c r="AG345" s="1240"/>
      <c r="AH345" s="1240"/>
      <c r="AI345" s="1240"/>
      <c r="AJ345" s="1240"/>
      <c r="AK345" s="1240"/>
      <c r="AL345" s="1240"/>
      <c r="AM345" s="1240"/>
      <c r="AN345" s="1240"/>
      <c r="AO345" s="1240"/>
      <c r="AP345" s="1240"/>
      <c r="AQ345" s="1240"/>
      <c r="AR345" s="1240"/>
      <c r="AS345" s="1240"/>
      <c r="AT345" s="1240"/>
      <c r="AU345" s="1240"/>
      <c r="AV345" s="1240"/>
      <c r="AW345" s="1240"/>
      <c r="AX345" s="1240"/>
      <c r="AY345" s="1240"/>
      <c r="AZ345" s="1240"/>
      <c r="BA345" s="1240"/>
      <c r="BB345" s="1240"/>
      <c r="BC345" s="1240"/>
      <c r="BD345" s="1240"/>
      <c r="BE345" s="1240"/>
      <c r="BF345" s="1240"/>
    </row>
    <row r="346" spans="3:58" x14ac:dyDescent="0.2">
      <c r="C346" s="1240"/>
      <c r="D346" s="1240"/>
      <c r="E346" s="1240"/>
      <c r="F346" s="1240"/>
      <c r="G346" s="1240"/>
      <c r="H346" s="1240"/>
      <c r="I346" s="1240"/>
      <c r="J346" s="1240"/>
      <c r="K346" s="1240"/>
      <c r="L346" s="1240"/>
      <c r="M346" s="1240"/>
      <c r="N346" s="1240"/>
      <c r="O346" s="1240"/>
      <c r="P346" s="1240"/>
      <c r="Q346" s="1240"/>
      <c r="R346" s="1240"/>
      <c r="S346" s="1240"/>
      <c r="T346" s="1240"/>
      <c r="U346" s="1240"/>
      <c r="V346" s="1240"/>
      <c r="W346" s="1240"/>
      <c r="X346" s="1240"/>
      <c r="Y346" s="1240"/>
      <c r="Z346" s="1240"/>
      <c r="AA346" s="1240"/>
      <c r="AB346" s="1240"/>
      <c r="AC346" s="1240"/>
      <c r="AD346" s="1240"/>
      <c r="AE346" s="1240"/>
      <c r="AF346" s="1240"/>
      <c r="AG346" s="1240"/>
      <c r="AH346" s="1240"/>
      <c r="AI346" s="1240"/>
      <c r="AJ346" s="1240"/>
      <c r="AK346" s="1240"/>
      <c r="AL346" s="1240"/>
      <c r="AM346" s="1240"/>
      <c r="AN346" s="1240"/>
      <c r="AO346" s="1240"/>
      <c r="AP346" s="1240"/>
      <c r="AQ346" s="1240"/>
      <c r="AR346" s="1240"/>
      <c r="AS346" s="1240"/>
      <c r="AT346" s="1240"/>
      <c r="AU346" s="1240"/>
      <c r="AV346" s="1240"/>
      <c r="AW346" s="1240"/>
      <c r="AX346" s="1240"/>
      <c r="AY346" s="1240"/>
      <c r="AZ346" s="1240"/>
      <c r="BA346" s="1240"/>
      <c r="BB346" s="1240"/>
      <c r="BC346" s="1240"/>
      <c r="BD346" s="1240"/>
      <c r="BE346" s="1240"/>
      <c r="BF346" s="1240"/>
    </row>
    <row r="348" spans="3:58" x14ac:dyDescent="0.2">
      <c r="C348" s="78"/>
      <c r="D348" s="78"/>
      <c r="E348" s="78"/>
      <c r="F348" s="78"/>
      <c r="G348" s="78"/>
      <c r="H348" s="78"/>
      <c r="I348" s="78"/>
      <c r="J348" s="78"/>
      <c r="K348" s="78"/>
      <c r="L348" s="78"/>
      <c r="M348" s="78"/>
      <c r="N348" s="78"/>
      <c r="O348" s="78"/>
      <c r="P348" s="78"/>
      <c r="Q348" s="78"/>
      <c r="R348" s="78"/>
      <c r="S348" s="78"/>
      <c r="T348" s="78"/>
      <c r="U348" s="78"/>
      <c r="V348" s="78"/>
      <c r="W348" s="78"/>
      <c r="X348" s="78"/>
      <c r="Y348" s="78"/>
      <c r="Z348" s="78"/>
      <c r="AA348" s="78"/>
      <c r="AB348" s="78"/>
      <c r="AC348" s="78"/>
      <c r="AD348" s="78"/>
      <c r="AE348" s="78"/>
      <c r="AF348" s="78"/>
      <c r="AG348" s="78"/>
      <c r="AH348" s="78"/>
      <c r="AI348" s="78"/>
      <c r="AJ348" s="78"/>
      <c r="AK348" s="78"/>
      <c r="AL348" s="78"/>
      <c r="AM348" s="78"/>
      <c r="AN348" s="78"/>
      <c r="AO348" s="78"/>
      <c r="AP348" s="78"/>
      <c r="AQ348" s="78"/>
      <c r="AR348" s="78"/>
      <c r="AS348" s="78"/>
      <c r="AT348" s="78"/>
      <c r="AU348" s="78"/>
      <c r="AV348" s="78"/>
      <c r="AW348" s="78"/>
      <c r="AX348" s="78"/>
      <c r="AY348" s="78"/>
      <c r="AZ348" s="78"/>
      <c r="BA348" s="78"/>
      <c r="BB348" s="78"/>
      <c r="BC348" s="78"/>
      <c r="BD348" s="78"/>
      <c r="BE348" s="78"/>
      <c r="BF348" s="78"/>
    </row>
  </sheetData>
  <dataValidations disablePrompts="1" count="1">
    <dataValidation type="list" allowBlank="1" showInputMessage="1" showErrorMessage="1" sqref="C299">
      <formula1>$C$300:$C$301</formula1>
    </dataValidation>
  </dataValidations>
  <pageMargins left="0.7" right="0.7" top="0.75" bottom="0.75" header="0.3" footer="0.3"/>
  <legacy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BE330"/>
  <sheetViews>
    <sheetView rightToLeft="1" workbookViewId="0">
      <pane xSplit="2" ySplit="3" topLeftCell="C140" activePane="bottomRight" state="frozen"/>
      <selection activeCell="E49" sqref="E49"/>
      <selection pane="topRight" activeCell="E49" sqref="E49"/>
      <selection pane="bottomLeft" activeCell="E49" sqref="E49"/>
      <selection pane="bottomRight" activeCell="B179" sqref="B179"/>
    </sheetView>
  </sheetViews>
  <sheetFormatPr defaultRowHeight="12.75" x14ac:dyDescent="0.2"/>
  <cols>
    <col min="2" max="2" width="16.42578125" bestFit="1" customWidth="1"/>
    <col min="3" max="3" width="15.28515625" bestFit="1" customWidth="1"/>
    <col min="4" max="4" width="8.7109375" style="2" customWidth="1"/>
    <col min="5" max="5" width="8.42578125" style="2" customWidth="1"/>
    <col min="6" max="6" width="9" style="2" customWidth="1"/>
    <col min="7" max="7" width="10.5703125" style="2" customWidth="1"/>
    <col min="8" max="8" width="9.7109375" style="2" customWidth="1"/>
    <col min="9" max="9" width="9.42578125" style="2" customWidth="1"/>
    <col min="10" max="10" width="10.85546875" style="2" customWidth="1"/>
    <col min="11" max="11" width="8.5703125" style="2" customWidth="1"/>
    <col min="12" max="12" width="8.28515625" style="2" customWidth="1"/>
    <col min="13" max="13" width="10.28515625" style="2" bestFit="1" customWidth="1"/>
    <col min="14" max="14" width="10.28515625" bestFit="1" customWidth="1"/>
    <col min="15" max="16" width="11.28515625" bestFit="1" customWidth="1"/>
  </cols>
  <sheetData>
    <row r="1" spans="2:16" ht="13.5" thickBot="1" x14ac:dyDescent="0.25">
      <c r="D1" s="1217"/>
      <c r="E1" s="1217"/>
      <c r="F1" s="1217"/>
      <c r="G1" s="1217"/>
      <c r="H1" s="1217"/>
      <c r="I1" s="1217"/>
      <c r="J1" s="1217"/>
      <c r="K1" s="1217"/>
      <c r="L1" s="1217"/>
    </row>
    <row r="2" spans="2:16" ht="12.75" customHeight="1" thickTop="1" x14ac:dyDescent="0.2">
      <c r="C2" s="1824" t="s">
        <v>290</v>
      </c>
      <c r="D2" s="1825" t="s">
        <v>1547</v>
      </c>
      <c r="E2" s="1822" t="s">
        <v>1548</v>
      </c>
      <c r="F2" s="1822" t="s">
        <v>1549</v>
      </c>
      <c r="G2" s="1822" t="s">
        <v>1550</v>
      </c>
      <c r="H2" s="1822" t="s">
        <v>1551</v>
      </c>
      <c r="I2" s="1822" t="s">
        <v>1552</v>
      </c>
      <c r="J2" s="1822" t="s">
        <v>1553</v>
      </c>
      <c r="K2" s="1822" t="s">
        <v>1554</v>
      </c>
      <c r="L2" s="1822" t="s">
        <v>1555</v>
      </c>
      <c r="M2" s="1820" t="s">
        <v>2063</v>
      </c>
      <c r="N2" s="1820" t="s">
        <v>2064</v>
      </c>
    </row>
    <row r="3" spans="2:16" ht="20.25" customHeight="1" x14ac:dyDescent="0.2">
      <c r="C3" s="1824"/>
      <c r="D3" s="1826"/>
      <c r="E3" s="1823"/>
      <c r="F3" s="1823"/>
      <c r="G3" s="1823"/>
      <c r="H3" s="1823"/>
      <c r="I3" s="1823"/>
      <c r="J3" s="1823"/>
      <c r="K3" s="1823"/>
      <c r="L3" s="1823"/>
      <c r="M3" s="1821"/>
      <c r="N3" s="1821"/>
    </row>
    <row r="4" spans="2:16" ht="20.25" customHeight="1" x14ac:dyDescent="0.2">
      <c r="C4" s="1240" t="s">
        <v>17</v>
      </c>
      <c r="D4" s="1218">
        <v>42287</v>
      </c>
      <c r="E4" s="1219">
        <v>4179840</v>
      </c>
      <c r="F4" s="1220">
        <v>34037</v>
      </c>
      <c r="G4" s="1221">
        <f>+F4+E4</f>
        <v>4213877</v>
      </c>
      <c r="H4" s="1219">
        <v>2147668</v>
      </c>
      <c r="I4" s="1222">
        <v>3062052</v>
      </c>
      <c r="J4" s="1223">
        <v>749368</v>
      </c>
      <c r="K4" s="1223">
        <v>0</v>
      </c>
      <c r="L4" s="1219">
        <v>402457</v>
      </c>
      <c r="M4" s="2">
        <v>135338</v>
      </c>
      <c r="N4" s="6">
        <v>131597</v>
      </c>
      <c r="O4" s="2"/>
      <c r="P4" s="2"/>
    </row>
    <row r="5" spans="2:16" ht="12.75" customHeight="1" x14ac:dyDescent="0.2">
      <c r="C5" s="1240" t="s">
        <v>148</v>
      </c>
      <c r="D5" s="1221">
        <v>1814</v>
      </c>
      <c r="E5" s="1224">
        <v>0</v>
      </c>
      <c r="F5" s="1220">
        <v>287966</v>
      </c>
      <c r="G5" s="1221">
        <f t="shared" ref="G5:G68" si="0">+F5+E5</f>
        <v>287966</v>
      </c>
      <c r="H5" s="1224">
        <v>143418</v>
      </c>
      <c r="I5" s="1223">
        <v>236195</v>
      </c>
      <c r="J5" s="1223">
        <v>0</v>
      </c>
      <c r="K5" s="1223">
        <v>12629</v>
      </c>
      <c r="L5" s="1224">
        <v>39142</v>
      </c>
      <c r="M5" s="2">
        <v>15859</v>
      </c>
      <c r="N5" s="6">
        <v>34495</v>
      </c>
      <c r="O5" s="2"/>
      <c r="P5" s="2"/>
    </row>
    <row r="6" spans="2:16" ht="12.75" customHeight="1" x14ac:dyDescent="0.2">
      <c r="C6" s="1240" t="s">
        <v>219</v>
      </c>
      <c r="D6" s="1218">
        <v>3142</v>
      </c>
      <c r="E6" s="1219">
        <v>0</v>
      </c>
      <c r="F6" s="1220">
        <v>235296</v>
      </c>
      <c r="G6" s="1221">
        <f t="shared" si="0"/>
        <v>235296</v>
      </c>
      <c r="H6" s="1219">
        <v>160365</v>
      </c>
      <c r="I6" s="1222">
        <v>193028</v>
      </c>
      <c r="J6" s="1223">
        <v>0</v>
      </c>
      <c r="K6" s="1223">
        <v>8721</v>
      </c>
      <c r="L6" s="1219">
        <v>33547</v>
      </c>
      <c r="M6" s="2">
        <v>25239</v>
      </c>
      <c r="N6" s="6">
        <v>41</v>
      </c>
      <c r="O6" s="2"/>
      <c r="P6" s="2"/>
    </row>
    <row r="7" spans="2:16" ht="12.75" customHeight="1" x14ac:dyDescent="0.2">
      <c r="C7" s="1240" t="s">
        <v>13</v>
      </c>
      <c r="D7" s="1221">
        <v>9699</v>
      </c>
      <c r="E7" s="1224">
        <v>0</v>
      </c>
      <c r="F7" s="1220">
        <v>640482</v>
      </c>
      <c r="G7" s="1221">
        <f t="shared" si="0"/>
        <v>640482</v>
      </c>
      <c r="H7" s="1224">
        <v>501963</v>
      </c>
      <c r="I7" s="1223">
        <v>537538</v>
      </c>
      <c r="J7" s="1223">
        <v>0</v>
      </c>
      <c r="K7" s="1223">
        <v>13172</v>
      </c>
      <c r="L7" s="1224">
        <v>89772</v>
      </c>
      <c r="M7" s="2">
        <v>0</v>
      </c>
      <c r="N7" s="6">
        <v>10045</v>
      </c>
      <c r="O7" s="2"/>
      <c r="P7" s="2"/>
    </row>
    <row r="8" spans="2:16" ht="12.75" customHeight="1" x14ac:dyDescent="0.2">
      <c r="C8" s="1240" t="s">
        <v>0</v>
      </c>
      <c r="D8" s="1218">
        <v>13021</v>
      </c>
      <c r="E8" s="1219">
        <v>0</v>
      </c>
      <c r="F8" s="1220">
        <v>872359</v>
      </c>
      <c r="G8" s="1221">
        <f t="shared" si="0"/>
        <v>872359</v>
      </c>
      <c r="H8" s="1219">
        <v>587627</v>
      </c>
      <c r="I8" s="1222">
        <v>634699</v>
      </c>
      <c r="J8" s="1223">
        <v>0</v>
      </c>
      <c r="K8" s="1223">
        <v>82989</v>
      </c>
      <c r="L8" s="1219">
        <v>154671</v>
      </c>
      <c r="M8" s="2">
        <v>9999</v>
      </c>
      <c r="N8" s="6">
        <v>12642</v>
      </c>
      <c r="O8" s="2"/>
      <c r="P8" s="2"/>
    </row>
    <row r="9" spans="2:16" ht="12.75" customHeight="1" x14ac:dyDescent="0.2">
      <c r="C9" s="1240" t="s">
        <v>135</v>
      </c>
      <c r="D9" s="1221">
        <v>5568</v>
      </c>
      <c r="E9" s="1224">
        <v>0</v>
      </c>
      <c r="F9" s="1220">
        <v>403528</v>
      </c>
      <c r="G9" s="1221">
        <f t="shared" si="0"/>
        <v>403528</v>
      </c>
      <c r="H9" s="1224">
        <v>243879</v>
      </c>
      <c r="I9" s="1223">
        <v>270806</v>
      </c>
      <c r="J9" s="1223">
        <v>0</v>
      </c>
      <c r="K9" s="1223">
        <v>16000</v>
      </c>
      <c r="L9" s="1224">
        <v>116722</v>
      </c>
      <c r="M9" s="2">
        <v>4813</v>
      </c>
      <c r="N9" s="6">
        <v>8361</v>
      </c>
      <c r="O9" s="2"/>
      <c r="P9" s="2"/>
    </row>
    <row r="10" spans="2:16" ht="12.75" customHeight="1" x14ac:dyDescent="0.2">
      <c r="B10" s="1240"/>
      <c r="C10" s="1242" t="s">
        <v>139</v>
      </c>
      <c r="D10" s="1218">
        <v>8896</v>
      </c>
      <c r="E10" s="1219">
        <v>0</v>
      </c>
      <c r="F10" s="1220">
        <v>420268</v>
      </c>
      <c r="G10" s="1221">
        <f t="shared" si="0"/>
        <v>420268</v>
      </c>
      <c r="H10" s="1219">
        <v>251101</v>
      </c>
      <c r="I10" s="1222">
        <v>278125</v>
      </c>
      <c r="J10" s="1223">
        <v>31194</v>
      </c>
      <c r="K10" s="1223">
        <v>65255</v>
      </c>
      <c r="L10" s="1219">
        <v>45694</v>
      </c>
      <c r="M10" s="2">
        <v>3952</v>
      </c>
      <c r="N10" s="6">
        <v>10108</v>
      </c>
      <c r="O10" s="2"/>
      <c r="P10" s="2"/>
    </row>
    <row r="11" spans="2:16" ht="12.75" customHeight="1" x14ac:dyDescent="0.2">
      <c r="C11" s="1240" t="s">
        <v>27</v>
      </c>
      <c r="D11" s="1221">
        <v>20832</v>
      </c>
      <c r="E11" s="1224">
        <v>0</v>
      </c>
      <c r="F11" s="1220">
        <v>1194043</v>
      </c>
      <c r="G11" s="1221">
        <f t="shared" si="0"/>
        <v>1194043</v>
      </c>
      <c r="H11" s="1224">
        <v>889400</v>
      </c>
      <c r="I11" s="1223">
        <v>950772</v>
      </c>
      <c r="J11" s="1223">
        <v>10855</v>
      </c>
      <c r="K11" s="1223">
        <v>57141</v>
      </c>
      <c r="L11" s="1224">
        <v>175275</v>
      </c>
      <c r="M11" s="2">
        <v>6157</v>
      </c>
      <c r="N11" s="6">
        <v>15107</v>
      </c>
      <c r="O11" s="2"/>
      <c r="P11" s="2"/>
    </row>
    <row r="12" spans="2:16" ht="12.75" customHeight="1" x14ac:dyDescent="0.2">
      <c r="C12" s="1240" t="s">
        <v>32</v>
      </c>
      <c r="D12" s="1218">
        <v>7667</v>
      </c>
      <c r="E12" s="1219">
        <v>0</v>
      </c>
      <c r="F12" s="1220">
        <v>433367</v>
      </c>
      <c r="G12" s="1221">
        <f t="shared" si="0"/>
        <v>433367</v>
      </c>
      <c r="H12" s="1219">
        <v>302421</v>
      </c>
      <c r="I12" s="1222">
        <v>323971</v>
      </c>
      <c r="J12" s="1223">
        <v>0</v>
      </c>
      <c r="K12" s="1223">
        <v>14554</v>
      </c>
      <c r="L12" s="1219">
        <v>94842</v>
      </c>
      <c r="M12" s="2">
        <v>0</v>
      </c>
      <c r="N12" s="6">
        <v>10554</v>
      </c>
      <c r="O12" s="2"/>
      <c r="P12" s="2"/>
    </row>
    <row r="13" spans="2:16" ht="12.75" customHeight="1" x14ac:dyDescent="0.2">
      <c r="C13" s="1240" t="s">
        <v>36</v>
      </c>
      <c r="D13" s="1221">
        <v>12267</v>
      </c>
      <c r="E13" s="1224">
        <v>0</v>
      </c>
      <c r="F13" s="1220">
        <v>733055</v>
      </c>
      <c r="G13" s="1221">
        <f t="shared" si="0"/>
        <v>733055</v>
      </c>
      <c r="H13" s="1224">
        <v>424494</v>
      </c>
      <c r="I13" s="1223">
        <v>447917</v>
      </c>
      <c r="J13" s="1223">
        <v>0</v>
      </c>
      <c r="K13" s="1223">
        <v>113314</v>
      </c>
      <c r="L13" s="1224">
        <v>171824</v>
      </c>
      <c r="M13" s="2">
        <v>138</v>
      </c>
      <c r="N13" s="6">
        <v>10327</v>
      </c>
      <c r="O13" s="2"/>
      <c r="P13" s="2"/>
    </row>
    <row r="14" spans="2:16" ht="12.75" customHeight="1" x14ac:dyDescent="0.2">
      <c r="B14" s="1240"/>
      <c r="C14" s="1240" t="s">
        <v>73</v>
      </c>
      <c r="D14" s="1218">
        <v>44633</v>
      </c>
      <c r="E14" s="1219">
        <v>0</v>
      </c>
      <c r="F14" s="1220">
        <v>3764613</v>
      </c>
      <c r="G14" s="1221">
        <f t="shared" si="0"/>
        <v>3764613</v>
      </c>
      <c r="H14" s="1219">
        <v>2091677</v>
      </c>
      <c r="I14" s="1222">
        <v>3221554</v>
      </c>
      <c r="J14" s="1223">
        <v>346256</v>
      </c>
      <c r="K14" s="1223">
        <v>17049</v>
      </c>
      <c r="L14" s="1219">
        <v>179754</v>
      </c>
      <c r="M14" s="2">
        <v>487988</v>
      </c>
      <c r="N14" s="6">
        <v>144379</v>
      </c>
      <c r="O14" s="2"/>
      <c r="P14" s="2"/>
    </row>
    <row r="15" spans="2:16" ht="12.75" customHeight="1" x14ac:dyDescent="0.2">
      <c r="B15" s="1240"/>
      <c r="C15" s="5" t="s">
        <v>88</v>
      </c>
      <c r="D15" s="1221">
        <v>13151</v>
      </c>
      <c r="E15" s="1224">
        <v>0</v>
      </c>
      <c r="F15" s="1220">
        <v>918710</v>
      </c>
      <c r="G15" s="1221">
        <f t="shared" si="0"/>
        <v>918710</v>
      </c>
      <c r="H15" s="1224">
        <v>641903</v>
      </c>
      <c r="I15" s="1223">
        <v>715568</v>
      </c>
      <c r="J15" s="1223">
        <v>0</v>
      </c>
      <c r="K15" s="1223">
        <v>10649</v>
      </c>
      <c r="L15" s="1224">
        <v>192493</v>
      </c>
      <c r="M15" s="2">
        <v>0</v>
      </c>
      <c r="N15" s="6">
        <v>21362</v>
      </c>
      <c r="O15" s="2"/>
      <c r="P15" s="2"/>
    </row>
    <row r="16" spans="2:16" ht="12.75" customHeight="1" x14ac:dyDescent="0.2">
      <c r="C16" s="5" t="s">
        <v>96</v>
      </c>
      <c r="D16" s="1218">
        <v>6036</v>
      </c>
      <c r="E16" s="1219">
        <v>0</v>
      </c>
      <c r="F16" s="1220">
        <v>524417</v>
      </c>
      <c r="G16" s="1221">
        <f t="shared" si="0"/>
        <v>524417</v>
      </c>
      <c r="H16" s="1219">
        <v>279277</v>
      </c>
      <c r="I16" s="1222">
        <v>345357</v>
      </c>
      <c r="J16" s="1223">
        <v>18960</v>
      </c>
      <c r="K16" s="1223">
        <v>1734</v>
      </c>
      <c r="L16" s="1219">
        <v>158366</v>
      </c>
      <c r="M16" s="2">
        <v>415</v>
      </c>
      <c r="N16" s="6">
        <v>7666</v>
      </c>
      <c r="O16" s="2"/>
      <c r="P16" s="2"/>
    </row>
    <row r="17" spans="2:16" ht="12.75" customHeight="1" x14ac:dyDescent="0.2">
      <c r="C17" s="5" t="s">
        <v>90</v>
      </c>
      <c r="D17" s="1221">
        <v>9371</v>
      </c>
      <c r="E17" s="1224">
        <v>0</v>
      </c>
      <c r="F17" s="1220">
        <v>672509</v>
      </c>
      <c r="G17" s="1221">
        <f t="shared" si="0"/>
        <v>672509</v>
      </c>
      <c r="H17" s="1224">
        <v>496048</v>
      </c>
      <c r="I17" s="1223">
        <v>583633</v>
      </c>
      <c r="J17" s="1223">
        <v>0</v>
      </c>
      <c r="K17" s="1223">
        <v>1887</v>
      </c>
      <c r="L17" s="1224">
        <v>86989</v>
      </c>
      <c r="M17" s="2">
        <v>0</v>
      </c>
      <c r="N17" s="6">
        <v>18816</v>
      </c>
      <c r="O17" s="2"/>
      <c r="P17" s="2"/>
    </row>
    <row r="18" spans="2:16" ht="12.75" customHeight="1" x14ac:dyDescent="0.2">
      <c r="C18" s="5" t="s">
        <v>91</v>
      </c>
      <c r="D18" s="1218">
        <v>16048</v>
      </c>
      <c r="E18" s="1219">
        <v>0</v>
      </c>
      <c r="F18" s="1220">
        <v>1518428</v>
      </c>
      <c r="G18" s="1221">
        <f t="shared" si="0"/>
        <v>1518428</v>
      </c>
      <c r="H18" s="1219">
        <v>714077</v>
      </c>
      <c r="I18" s="1222">
        <v>1037636</v>
      </c>
      <c r="J18" s="1223">
        <v>63170</v>
      </c>
      <c r="K18" s="1223">
        <v>76504</v>
      </c>
      <c r="L18" s="1219">
        <v>341118</v>
      </c>
      <c r="M18" s="2">
        <v>1172</v>
      </c>
      <c r="N18" s="6">
        <v>33170</v>
      </c>
      <c r="O18" s="2"/>
      <c r="P18" s="2"/>
    </row>
    <row r="19" spans="2:16" ht="12.75" customHeight="1" x14ac:dyDescent="0.2">
      <c r="C19" s="5" t="s">
        <v>69</v>
      </c>
      <c r="D19" s="1221">
        <v>19736</v>
      </c>
      <c r="E19" s="1224">
        <v>0</v>
      </c>
      <c r="F19" s="1220">
        <v>1436285</v>
      </c>
      <c r="G19" s="1221">
        <f t="shared" si="0"/>
        <v>1436285</v>
      </c>
      <c r="H19" s="1224">
        <v>863656</v>
      </c>
      <c r="I19" s="1223">
        <v>964517</v>
      </c>
      <c r="J19" s="1223">
        <v>0</v>
      </c>
      <c r="K19" s="1223">
        <v>36074</v>
      </c>
      <c r="L19" s="1224">
        <v>435694</v>
      </c>
      <c r="M19" s="2">
        <v>0</v>
      </c>
      <c r="N19" s="6">
        <v>32635</v>
      </c>
      <c r="O19" s="2"/>
      <c r="P19" s="2"/>
    </row>
    <row r="20" spans="2:16" ht="12.75" customHeight="1" x14ac:dyDescent="0.2">
      <c r="B20" s="1240"/>
      <c r="C20" s="5" t="s">
        <v>142</v>
      </c>
      <c r="D20" s="1218">
        <v>3596</v>
      </c>
      <c r="E20" s="1219">
        <v>0</v>
      </c>
      <c r="F20" s="1220">
        <v>321343</v>
      </c>
      <c r="G20" s="1221">
        <f t="shared" si="0"/>
        <v>321343</v>
      </c>
      <c r="H20" s="1219">
        <v>180095</v>
      </c>
      <c r="I20" s="1222">
        <v>225012</v>
      </c>
      <c r="J20" s="1223">
        <v>0</v>
      </c>
      <c r="K20" s="1223">
        <v>32619</v>
      </c>
      <c r="L20" s="1219">
        <v>63712</v>
      </c>
      <c r="M20" s="2">
        <v>0</v>
      </c>
      <c r="N20" s="6">
        <v>4542</v>
      </c>
      <c r="O20" s="2"/>
      <c r="P20" s="2"/>
    </row>
    <row r="21" spans="2:16" ht="12.75" customHeight="1" x14ac:dyDescent="0.2">
      <c r="C21" s="5" t="s">
        <v>131</v>
      </c>
      <c r="D21" s="1221">
        <v>6179</v>
      </c>
      <c r="E21" s="1224">
        <v>0</v>
      </c>
      <c r="F21" s="1220">
        <v>490964</v>
      </c>
      <c r="G21" s="1221">
        <f t="shared" si="0"/>
        <v>490964</v>
      </c>
      <c r="H21" s="1224">
        <v>267568</v>
      </c>
      <c r="I21" s="1223">
        <v>301751</v>
      </c>
      <c r="J21" s="1223">
        <v>0</v>
      </c>
      <c r="K21" s="1223">
        <v>11220</v>
      </c>
      <c r="L21" s="1224">
        <v>177993</v>
      </c>
      <c r="M21" s="2">
        <v>1053</v>
      </c>
      <c r="N21" s="6">
        <v>9108</v>
      </c>
      <c r="O21" s="2"/>
      <c r="P21" s="2"/>
    </row>
    <row r="22" spans="2:16" ht="12.75" customHeight="1" x14ac:dyDescent="0.2">
      <c r="B22" s="1240"/>
      <c r="C22" s="1240" t="s">
        <v>140</v>
      </c>
      <c r="D22" s="1218">
        <v>1593</v>
      </c>
      <c r="E22" s="1219">
        <v>0</v>
      </c>
      <c r="F22" s="1220">
        <v>194938</v>
      </c>
      <c r="G22" s="1221">
        <f t="shared" si="0"/>
        <v>194938</v>
      </c>
      <c r="H22" s="1219">
        <v>119554</v>
      </c>
      <c r="I22" s="1222">
        <v>170798</v>
      </c>
      <c r="J22" s="1223">
        <v>12659</v>
      </c>
      <c r="K22" s="1223">
        <v>0</v>
      </c>
      <c r="L22" s="1219">
        <v>11481</v>
      </c>
      <c r="M22" s="2">
        <v>7791</v>
      </c>
      <c r="N22" s="6">
        <v>25327</v>
      </c>
      <c r="O22" s="2"/>
      <c r="P22" s="2"/>
    </row>
    <row r="23" spans="2:16" ht="12.75" customHeight="1" x14ac:dyDescent="0.2">
      <c r="C23" s="1240" t="s">
        <v>56</v>
      </c>
      <c r="D23" s="1221">
        <v>23074</v>
      </c>
      <c r="E23" s="1224">
        <v>0</v>
      </c>
      <c r="F23" s="1220">
        <v>1840940</v>
      </c>
      <c r="G23" s="1221">
        <f t="shared" si="0"/>
        <v>1840940</v>
      </c>
      <c r="H23" s="1224">
        <v>1208359</v>
      </c>
      <c r="I23" s="1223">
        <v>1632558</v>
      </c>
      <c r="J23" s="1223">
        <v>71199</v>
      </c>
      <c r="K23" s="1223">
        <v>6419</v>
      </c>
      <c r="L23" s="1224">
        <v>130764</v>
      </c>
      <c r="M23" s="2">
        <v>81390</v>
      </c>
      <c r="N23" s="6">
        <v>105054</v>
      </c>
      <c r="O23" s="2"/>
      <c r="P23" s="2"/>
    </row>
    <row r="24" spans="2:16" ht="12.75" customHeight="1" x14ac:dyDescent="0.2">
      <c r="C24" s="1240" t="s">
        <v>52</v>
      </c>
      <c r="D24" s="1218">
        <v>6829</v>
      </c>
      <c r="E24" s="1219">
        <v>0</v>
      </c>
      <c r="F24" s="1220">
        <v>732760</v>
      </c>
      <c r="G24" s="1221">
        <f t="shared" si="0"/>
        <v>732760</v>
      </c>
      <c r="H24" s="1219">
        <v>340029</v>
      </c>
      <c r="I24" s="1222">
        <v>552185</v>
      </c>
      <c r="J24" s="1223">
        <v>106754</v>
      </c>
      <c r="K24" s="1223">
        <v>500</v>
      </c>
      <c r="L24" s="1219">
        <v>73321</v>
      </c>
      <c r="M24" s="2">
        <v>90289</v>
      </c>
      <c r="N24" s="6">
        <v>61746</v>
      </c>
      <c r="O24" s="2"/>
      <c r="P24" s="2"/>
    </row>
    <row r="25" spans="2:16" ht="12.75" customHeight="1" x14ac:dyDescent="0.2">
      <c r="C25" s="1240" t="s">
        <v>33</v>
      </c>
      <c r="D25" s="1221">
        <v>3447</v>
      </c>
      <c r="E25" s="1224">
        <v>0</v>
      </c>
      <c r="F25" s="1220">
        <v>237799</v>
      </c>
      <c r="G25" s="1221">
        <f t="shared" si="0"/>
        <v>237799</v>
      </c>
      <c r="H25" s="1224">
        <v>155547</v>
      </c>
      <c r="I25" s="1223">
        <v>201026</v>
      </c>
      <c r="J25" s="1223">
        <v>0</v>
      </c>
      <c r="K25" s="1223">
        <v>0</v>
      </c>
      <c r="L25" s="1224">
        <v>36773</v>
      </c>
      <c r="M25" s="2">
        <v>19536</v>
      </c>
      <c r="N25" s="6">
        <v>12249</v>
      </c>
      <c r="O25" s="2"/>
      <c r="P25" s="2"/>
    </row>
    <row r="26" spans="2:16" ht="12.75" customHeight="1" x14ac:dyDescent="0.2">
      <c r="C26" s="1240" t="s">
        <v>223</v>
      </c>
      <c r="D26" s="1218">
        <v>10485</v>
      </c>
      <c r="E26" s="1219">
        <v>0</v>
      </c>
      <c r="F26" s="1220">
        <v>673586</v>
      </c>
      <c r="G26" s="1221">
        <f t="shared" si="0"/>
        <v>673586</v>
      </c>
      <c r="H26" s="1219">
        <v>436032</v>
      </c>
      <c r="I26" s="1222">
        <v>507469</v>
      </c>
      <c r="J26" s="1223">
        <v>18686</v>
      </c>
      <c r="K26" s="1223">
        <v>224</v>
      </c>
      <c r="L26" s="1219">
        <v>147207</v>
      </c>
      <c r="M26" s="2">
        <v>11354</v>
      </c>
      <c r="N26" s="6">
        <v>29110</v>
      </c>
      <c r="O26" s="2"/>
      <c r="P26" s="2"/>
    </row>
    <row r="27" spans="2:16" ht="12.75" customHeight="1" x14ac:dyDescent="0.2">
      <c r="C27" s="1240" t="s">
        <v>5</v>
      </c>
      <c r="D27" s="1221">
        <v>13403</v>
      </c>
      <c r="E27" s="1224">
        <v>0</v>
      </c>
      <c r="F27" s="1220">
        <v>882801</v>
      </c>
      <c r="G27" s="1221">
        <f t="shared" si="0"/>
        <v>882801</v>
      </c>
      <c r="H27" s="1224">
        <v>575802</v>
      </c>
      <c r="I27" s="1223">
        <v>717568</v>
      </c>
      <c r="J27" s="1223">
        <v>0</v>
      </c>
      <c r="K27" s="1223">
        <v>51468</v>
      </c>
      <c r="L27" s="1224">
        <v>113765</v>
      </c>
      <c r="M27" s="2">
        <v>51088</v>
      </c>
      <c r="N27" s="6">
        <v>525</v>
      </c>
      <c r="O27" s="2"/>
      <c r="P27" s="2"/>
    </row>
    <row r="28" spans="2:16" ht="12.75" customHeight="1" x14ac:dyDescent="0.2">
      <c r="C28" s="1240" t="s">
        <v>40</v>
      </c>
      <c r="D28" s="1218">
        <v>18152</v>
      </c>
      <c r="E28" s="1219">
        <v>0</v>
      </c>
      <c r="F28" s="1220">
        <v>1366975</v>
      </c>
      <c r="G28" s="1221">
        <f t="shared" si="0"/>
        <v>1366975</v>
      </c>
      <c r="H28" s="1219">
        <v>814696</v>
      </c>
      <c r="I28" s="1222">
        <v>907445</v>
      </c>
      <c r="J28" s="1223">
        <v>128364</v>
      </c>
      <c r="K28" s="1223">
        <v>2802</v>
      </c>
      <c r="L28" s="1219">
        <v>328364</v>
      </c>
      <c r="M28" s="2">
        <v>0</v>
      </c>
      <c r="N28" s="6">
        <v>21407</v>
      </c>
      <c r="O28" s="2"/>
      <c r="P28" s="2"/>
    </row>
    <row r="29" spans="2:16" ht="12.75" customHeight="1" x14ac:dyDescent="0.2">
      <c r="C29" s="1240" t="s">
        <v>46</v>
      </c>
      <c r="D29" s="1221">
        <v>7422</v>
      </c>
      <c r="E29" s="1224">
        <v>0</v>
      </c>
      <c r="F29" s="1220">
        <v>578635</v>
      </c>
      <c r="G29" s="1221">
        <f t="shared" si="0"/>
        <v>578635</v>
      </c>
      <c r="H29" s="1224">
        <v>324914</v>
      </c>
      <c r="I29" s="1223">
        <v>398677</v>
      </c>
      <c r="J29" s="1223">
        <v>14124</v>
      </c>
      <c r="K29" s="1223">
        <v>3407</v>
      </c>
      <c r="L29" s="1224">
        <v>162427</v>
      </c>
      <c r="M29" s="2">
        <v>0</v>
      </c>
      <c r="N29" s="6">
        <v>37530</v>
      </c>
      <c r="O29" s="2"/>
      <c r="P29" s="2"/>
    </row>
    <row r="30" spans="2:16" ht="12.75" customHeight="1" x14ac:dyDescent="0.2">
      <c r="C30" s="1240" t="s">
        <v>20</v>
      </c>
      <c r="D30" s="1218">
        <v>17930</v>
      </c>
      <c r="E30" s="1219">
        <v>0</v>
      </c>
      <c r="F30" s="1220">
        <v>1177320</v>
      </c>
      <c r="G30" s="1221">
        <f t="shared" si="0"/>
        <v>1177320</v>
      </c>
      <c r="H30" s="1219">
        <v>843414</v>
      </c>
      <c r="I30" s="1222">
        <v>909722</v>
      </c>
      <c r="J30" s="1223">
        <v>0</v>
      </c>
      <c r="K30" s="1223">
        <v>4924</v>
      </c>
      <c r="L30" s="1219">
        <v>262674</v>
      </c>
      <c r="M30" s="2">
        <v>0</v>
      </c>
      <c r="N30" s="6">
        <v>34001</v>
      </c>
      <c r="O30" s="2"/>
      <c r="P30" s="2"/>
    </row>
    <row r="31" spans="2:16" ht="12.75" customHeight="1" x14ac:dyDescent="0.2">
      <c r="C31" s="1240" t="s">
        <v>55</v>
      </c>
      <c r="D31" s="1221">
        <v>74619</v>
      </c>
      <c r="E31" s="1224">
        <v>0</v>
      </c>
      <c r="F31" s="1220">
        <v>5397757</v>
      </c>
      <c r="G31" s="1221">
        <f t="shared" si="0"/>
        <v>5397757</v>
      </c>
      <c r="H31" s="1224">
        <v>3258419</v>
      </c>
      <c r="I31" s="1223">
        <v>4089087</v>
      </c>
      <c r="J31" s="1223">
        <v>79698</v>
      </c>
      <c r="K31" s="1223">
        <v>450</v>
      </c>
      <c r="L31" s="1224">
        <v>1228522</v>
      </c>
      <c r="M31" s="2">
        <v>234069</v>
      </c>
      <c r="N31" s="6">
        <v>196152</v>
      </c>
      <c r="O31" s="2"/>
      <c r="P31" s="2"/>
    </row>
    <row r="32" spans="2:16" ht="12.75" customHeight="1" x14ac:dyDescent="0.2">
      <c r="C32" s="5" t="s">
        <v>30</v>
      </c>
      <c r="D32" s="1218">
        <v>21153</v>
      </c>
      <c r="E32" s="1219">
        <v>0</v>
      </c>
      <c r="F32" s="1220">
        <v>1565307</v>
      </c>
      <c r="G32" s="1221">
        <f t="shared" si="0"/>
        <v>1565307</v>
      </c>
      <c r="H32" s="1219">
        <v>955096</v>
      </c>
      <c r="I32" s="1222">
        <v>1309820</v>
      </c>
      <c r="J32" s="1223">
        <v>68521</v>
      </c>
      <c r="K32" s="1223">
        <v>15133</v>
      </c>
      <c r="L32" s="1219">
        <v>171833</v>
      </c>
      <c r="M32" s="2">
        <v>152928</v>
      </c>
      <c r="N32" s="6">
        <v>50766</v>
      </c>
      <c r="O32" s="2"/>
      <c r="P32" s="2"/>
    </row>
    <row r="33" spans="3:16" ht="12.75" customHeight="1" x14ac:dyDescent="0.2">
      <c r="C33" s="5" t="s">
        <v>22</v>
      </c>
      <c r="D33" s="1221">
        <v>8016</v>
      </c>
      <c r="E33" s="1224">
        <v>0</v>
      </c>
      <c r="F33" s="1220">
        <v>344293</v>
      </c>
      <c r="G33" s="1221">
        <f t="shared" si="0"/>
        <v>344293</v>
      </c>
      <c r="H33" s="1224">
        <v>248354</v>
      </c>
      <c r="I33" s="1223">
        <v>288495</v>
      </c>
      <c r="J33" s="1223">
        <v>0</v>
      </c>
      <c r="K33" s="1223">
        <v>6201</v>
      </c>
      <c r="L33" s="1224">
        <v>49597</v>
      </c>
      <c r="M33" s="2">
        <v>17641</v>
      </c>
      <c r="N33" s="6">
        <v>6469</v>
      </c>
      <c r="O33" s="2"/>
      <c r="P33" s="2"/>
    </row>
    <row r="34" spans="3:16" ht="12.75" customHeight="1" x14ac:dyDescent="0.2">
      <c r="C34" s="5" t="s">
        <v>26</v>
      </c>
      <c r="D34" s="1218">
        <v>5482</v>
      </c>
      <c r="E34" s="1219">
        <v>0</v>
      </c>
      <c r="F34" s="1220">
        <v>511218</v>
      </c>
      <c r="G34" s="1221">
        <f t="shared" si="0"/>
        <v>511218</v>
      </c>
      <c r="H34" s="1219">
        <v>363557</v>
      </c>
      <c r="I34" s="1222">
        <v>459626</v>
      </c>
      <c r="J34" s="1223">
        <v>0</v>
      </c>
      <c r="K34" s="1223">
        <v>0</v>
      </c>
      <c r="L34" s="1219">
        <v>51592</v>
      </c>
      <c r="M34" s="2">
        <v>54974</v>
      </c>
      <c r="N34" s="6">
        <v>12622</v>
      </c>
      <c r="O34" s="2"/>
      <c r="P34" s="2"/>
    </row>
    <row r="35" spans="3:16" ht="12.75" customHeight="1" x14ac:dyDescent="0.2">
      <c r="C35" s="5" t="s">
        <v>38</v>
      </c>
      <c r="D35" s="1221">
        <v>6254</v>
      </c>
      <c r="E35" s="1224">
        <v>0</v>
      </c>
      <c r="F35" s="1220">
        <v>801593</v>
      </c>
      <c r="G35" s="1221">
        <f t="shared" si="0"/>
        <v>801593</v>
      </c>
      <c r="H35" s="1224">
        <v>310022</v>
      </c>
      <c r="I35" s="1223">
        <v>401030</v>
      </c>
      <c r="J35" s="1223">
        <v>357143</v>
      </c>
      <c r="K35" s="1223">
        <v>0</v>
      </c>
      <c r="L35" s="1224">
        <v>43420</v>
      </c>
      <c r="M35" s="2">
        <v>22572</v>
      </c>
      <c r="N35" s="6">
        <v>18500</v>
      </c>
      <c r="O35" s="2"/>
      <c r="P35" s="2"/>
    </row>
    <row r="36" spans="3:16" ht="12.75" customHeight="1" x14ac:dyDescent="0.2">
      <c r="C36" s="1240" t="s">
        <v>103</v>
      </c>
      <c r="D36" s="1218">
        <v>40312</v>
      </c>
      <c r="E36" s="1219">
        <v>0</v>
      </c>
      <c r="F36" s="1220">
        <v>3249859</v>
      </c>
      <c r="G36" s="1221">
        <f t="shared" si="0"/>
        <v>3249859</v>
      </c>
      <c r="H36" s="1219">
        <v>1902725</v>
      </c>
      <c r="I36" s="1222">
        <v>2466647</v>
      </c>
      <c r="J36" s="1223">
        <v>518636</v>
      </c>
      <c r="K36" s="1223">
        <v>0</v>
      </c>
      <c r="L36" s="1219">
        <v>264576</v>
      </c>
      <c r="M36" s="2">
        <v>119323</v>
      </c>
      <c r="N36" s="6">
        <v>104952</v>
      </c>
      <c r="O36" s="2"/>
      <c r="P36" s="2"/>
    </row>
    <row r="37" spans="3:16" ht="12.75" customHeight="1" x14ac:dyDescent="0.2">
      <c r="C37" s="1240" t="s">
        <v>67</v>
      </c>
      <c r="D37" s="1221">
        <v>24766</v>
      </c>
      <c r="E37" s="1224">
        <v>0</v>
      </c>
      <c r="F37" s="1220">
        <v>2796967</v>
      </c>
      <c r="G37" s="1221">
        <f t="shared" si="0"/>
        <v>2796967</v>
      </c>
      <c r="H37" s="1224">
        <v>1141519</v>
      </c>
      <c r="I37" s="1223">
        <v>1529403</v>
      </c>
      <c r="J37" s="1223">
        <v>1066130</v>
      </c>
      <c r="K37" s="1223">
        <v>0</v>
      </c>
      <c r="L37" s="1224">
        <v>201434</v>
      </c>
      <c r="M37" s="2">
        <v>55848</v>
      </c>
      <c r="N37" s="6">
        <v>89904</v>
      </c>
      <c r="O37" s="2"/>
      <c r="P37" s="2"/>
    </row>
    <row r="38" spans="3:16" ht="12.75" customHeight="1" x14ac:dyDescent="0.2">
      <c r="C38" s="1240" t="s">
        <v>238</v>
      </c>
      <c r="D38" s="1218">
        <v>43832</v>
      </c>
      <c r="E38" s="1219">
        <v>0</v>
      </c>
      <c r="F38" s="1220">
        <v>3907189</v>
      </c>
      <c r="G38" s="1221">
        <f t="shared" si="0"/>
        <v>3907189</v>
      </c>
      <c r="H38" s="1219">
        <v>2118203</v>
      </c>
      <c r="I38" s="1222">
        <v>2904448</v>
      </c>
      <c r="J38" s="1223">
        <v>145650</v>
      </c>
      <c r="K38" s="1223">
        <v>25034</v>
      </c>
      <c r="L38" s="1219">
        <v>832057</v>
      </c>
      <c r="M38" s="2">
        <v>130646</v>
      </c>
      <c r="N38" s="6">
        <v>133076</v>
      </c>
      <c r="O38" s="2"/>
      <c r="P38" s="2"/>
    </row>
    <row r="39" spans="3:16" x14ac:dyDescent="0.2">
      <c r="C39" s="1240" t="s">
        <v>123</v>
      </c>
      <c r="D39" s="1221">
        <v>47464</v>
      </c>
      <c r="E39" s="1224">
        <v>0</v>
      </c>
      <c r="F39" s="1220">
        <v>3533717</v>
      </c>
      <c r="G39" s="1221">
        <f t="shared" si="0"/>
        <v>3533717</v>
      </c>
      <c r="H39" s="1224">
        <v>2126354</v>
      </c>
      <c r="I39" s="1223">
        <v>2935867</v>
      </c>
      <c r="J39" s="1223">
        <v>333968</v>
      </c>
      <c r="K39" s="1223">
        <v>110608</v>
      </c>
      <c r="L39" s="1224">
        <v>153274</v>
      </c>
      <c r="M39" s="2">
        <v>253144</v>
      </c>
      <c r="N39" s="6">
        <v>170389</v>
      </c>
      <c r="O39" s="2"/>
      <c r="P39" s="2"/>
    </row>
    <row r="40" spans="3:16" ht="12.75" customHeight="1" x14ac:dyDescent="0.2">
      <c r="C40" s="5" t="s">
        <v>35</v>
      </c>
      <c r="D40" s="1218">
        <v>28556</v>
      </c>
      <c r="E40" s="1219">
        <v>0</v>
      </c>
      <c r="F40" s="1220">
        <v>1926940</v>
      </c>
      <c r="G40" s="1221">
        <f t="shared" si="0"/>
        <v>1926940</v>
      </c>
      <c r="H40" s="1219">
        <v>1155778</v>
      </c>
      <c r="I40" s="1222">
        <v>1442138</v>
      </c>
      <c r="J40" s="1223">
        <v>11320</v>
      </c>
      <c r="K40" s="1223">
        <v>18296</v>
      </c>
      <c r="L40" s="1219">
        <v>455186</v>
      </c>
      <c r="M40" s="2">
        <v>544</v>
      </c>
      <c r="N40" s="6">
        <v>120917</v>
      </c>
      <c r="O40" s="2"/>
      <c r="P40" s="2"/>
    </row>
    <row r="41" spans="3:16" ht="12.75" customHeight="1" x14ac:dyDescent="0.2">
      <c r="C41" s="5" t="s">
        <v>105</v>
      </c>
      <c r="D41" s="1221">
        <v>11866</v>
      </c>
      <c r="E41" s="1224">
        <v>0</v>
      </c>
      <c r="F41" s="1220">
        <v>622576</v>
      </c>
      <c r="G41" s="1221">
        <f t="shared" si="0"/>
        <v>622576</v>
      </c>
      <c r="H41" s="1224">
        <v>453617</v>
      </c>
      <c r="I41" s="1223">
        <v>519968</v>
      </c>
      <c r="J41" s="1223">
        <v>0</v>
      </c>
      <c r="K41" s="1223">
        <v>5903</v>
      </c>
      <c r="L41" s="1224">
        <v>96705</v>
      </c>
      <c r="M41" s="2">
        <v>3208</v>
      </c>
      <c r="N41" s="6">
        <v>37526</v>
      </c>
      <c r="O41" s="2"/>
      <c r="P41" s="2"/>
    </row>
    <row r="42" spans="3:16" ht="12.75" customHeight="1" x14ac:dyDescent="0.2">
      <c r="C42" s="5" t="s">
        <v>14</v>
      </c>
      <c r="D42" s="1218">
        <v>9624</v>
      </c>
      <c r="E42" s="1219">
        <v>0</v>
      </c>
      <c r="F42" s="1220">
        <v>619398</v>
      </c>
      <c r="G42" s="1221">
        <f t="shared" si="0"/>
        <v>619398</v>
      </c>
      <c r="H42" s="1219">
        <v>425415</v>
      </c>
      <c r="I42" s="1222">
        <v>511500</v>
      </c>
      <c r="J42" s="1223">
        <v>0</v>
      </c>
      <c r="K42" s="1223">
        <v>14133</v>
      </c>
      <c r="L42" s="1219">
        <v>93765</v>
      </c>
      <c r="M42" s="2">
        <v>3929</v>
      </c>
      <c r="N42" s="6">
        <v>50047</v>
      </c>
      <c r="O42" s="2"/>
      <c r="P42" s="2"/>
    </row>
    <row r="43" spans="3:16" ht="12.75" customHeight="1" x14ac:dyDescent="0.2">
      <c r="C43" s="1240" t="s">
        <v>738</v>
      </c>
      <c r="D43" s="1221">
        <v>7751</v>
      </c>
      <c r="E43" s="1224">
        <v>0</v>
      </c>
      <c r="F43" s="1220">
        <v>726101</v>
      </c>
      <c r="G43" s="1221">
        <f t="shared" si="0"/>
        <v>726101</v>
      </c>
      <c r="H43" s="1224">
        <v>377725</v>
      </c>
      <c r="I43" s="1223">
        <v>437747</v>
      </c>
      <c r="J43" s="1223">
        <v>0</v>
      </c>
      <c r="K43" s="1223">
        <v>125998</v>
      </c>
      <c r="L43" s="1224">
        <v>162356</v>
      </c>
      <c r="M43" s="2">
        <v>0</v>
      </c>
      <c r="N43" s="6">
        <v>23852</v>
      </c>
      <c r="O43" s="2"/>
      <c r="P43" s="2"/>
    </row>
    <row r="44" spans="3:16" ht="12.75" customHeight="1" x14ac:dyDescent="0.2">
      <c r="C44" s="5" t="s">
        <v>45</v>
      </c>
      <c r="D44" s="1218">
        <v>23493</v>
      </c>
      <c r="E44" s="1219">
        <v>0</v>
      </c>
      <c r="F44" s="1220">
        <v>1815668</v>
      </c>
      <c r="G44" s="1221">
        <f t="shared" si="0"/>
        <v>1815668</v>
      </c>
      <c r="H44" s="1219">
        <v>1084241</v>
      </c>
      <c r="I44" s="1222">
        <v>1244687</v>
      </c>
      <c r="J44" s="1223">
        <v>11066</v>
      </c>
      <c r="K44" s="1223">
        <v>31870</v>
      </c>
      <c r="L44" s="1219">
        <v>528045</v>
      </c>
      <c r="M44" s="2">
        <v>336</v>
      </c>
      <c r="N44" s="6">
        <v>67713</v>
      </c>
      <c r="O44" s="2"/>
      <c r="P44" s="2"/>
    </row>
    <row r="45" spans="3:16" ht="12.75" customHeight="1" x14ac:dyDescent="0.2">
      <c r="C45" s="1240" t="s">
        <v>739</v>
      </c>
      <c r="D45" s="1221">
        <v>14505</v>
      </c>
      <c r="E45" s="1224">
        <v>0</v>
      </c>
      <c r="F45" s="1220">
        <v>960163</v>
      </c>
      <c r="G45" s="1221">
        <f t="shared" si="0"/>
        <v>960163</v>
      </c>
      <c r="H45" s="1224">
        <v>684434</v>
      </c>
      <c r="I45" s="1223">
        <v>769229</v>
      </c>
      <c r="J45" s="1223">
        <v>0</v>
      </c>
      <c r="K45" s="1223">
        <v>0</v>
      </c>
      <c r="L45" s="1224">
        <v>190934</v>
      </c>
      <c r="M45" s="2">
        <v>0</v>
      </c>
      <c r="N45" s="6">
        <v>39682</v>
      </c>
      <c r="O45" s="2"/>
      <c r="P45" s="2"/>
    </row>
    <row r="46" spans="3:16" ht="12.75" customHeight="1" x14ac:dyDescent="0.2">
      <c r="C46" s="1240" t="s">
        <v>740</v>
      </c>
      <c r="D46" s="1218">
        <v>11479</v>
      </c>
      <c r="E46" s="1219">
        <v>0</v>
      </c>
      <c r="F46" s="1220">
        <v>754168</v>
      </c>
      <c r="G46" s="1221">
        <f t="shared" si="0"/>
        <v>754168</v>
      </c>
      <c r="H46" s="1219">
        <v>472228</v>
      </c>
      <c r="I46" s="1222">
        <v>533792</v>
      </c>
      <c r="J46" s="1223">
        <v>0</v>
      </c>
      <c r="K46" s="1223">
        <v>21029</v>
      </c>
      <c r="L46" s="1219">
        <v>199347</v>
      </c>
      <c r="M46" s="2">
        <v>0</v>
      </c>
      <c r="N46" s="6">
        <v>31428</v>
      </c>
      <c r="O46" s="2"/>
      <c r="P46" s="2"/>
    </row>
    <row r="47" spans="3:16" ht="12.75" customHeight="1" x14ac:dyDescent="0.2">
      <c r="C47" s="1240" t="s">
        <v>16</v>
      </c>
      <c r="D47" s="1221">
        <v>8839</v>
      </c>
      <c r="E47" s="1224">
        <v>0</v>
      </c>
      <c r="F47" s="1220">
        <v>744481</v>
      </c>
      <c r="G47" s="1221">
        <f t="shared" si="0"/>
        <v>744481</v>
      </c>
      <c r="H47" s="1224">
        <v>467414</v>
      </c>
      <c r="I47" s="1223">
        <v>646352</v>
      </c>
      <c r="J47" s="1223">
        <v>38046</v>
      </c>
      <c r="K47" s="1223">
        <v>5815</v>
      </c>
      <c r="L47" s="1224">
        <v>54268</v>
      </c>
      <c r="M47" s="2">
        <v>32860</v>
      </c>
      <c r="N47" s="6">
        <v>56475</v>
      </c>
      <c r="O47" s="2"/>
      <c r="P47" s="2"/>
    </row>
    <row r="48" spans="3:16" ht="12.75" customHeight="1" x14ac:dyDescent="0.2">
      <c r="C48" s="1240" t="s">
        <v>12</v>
      </c>
      <c r="D48" s="1218">
        <v>3015</v>
      </c>
      <c r="E48" s="1219">
        <v>0</v>
      </c>
      <c r="F48" s="1220">
        <v>212877</v>
      </c>
      <c r="G48" s="1221">
        <f t="shared" si="0"/>
        <v>212877</v>
      </c>
      <c r="H48" s="1219">
        <v>147569</v>
      </c>
      <c r="I48" s="1222">
        <v>173644</v>
      </c>
      <c r="J48" s="1223">
        <v>0</v>
      </c>
      <c r="K48" s="1223">
        <v>32818</v>
      </c>
      <c r="L48" s="1219">
        <v>6415</v>
      </c>
      <c r="M48" s="2">
        <v>0</v>
      </c>
      <c r="N48" s="6">
        <v>15360</v>
      </c>
      <c r="O48" s="2"/>
      <c r="P48" s="2"/>
    </row>
    <row r="49" spans="2:16" ht="12.75" customHeight="1" x14ac:dyDescent="0.2">
      <c r="C49" s="1240" t="s">
        <v>18</v>
      </c>
      <c r="D49" s="1221">
        <v>6114</v>
      </c>
      <c r="E49" s="1224">
        <v>0</v>
      </c>
      <c r="F49" s="1220">
        <v>535314</v>
      </c>
      <c r="G49" s="1221">
        <f t="shared" si="0"/>
        <v>535314</v>
      </c>
      <c r="H49" s="1224">
        <v>372338</v>
      </c>
      <c r="I49" s="1223">
        <v>401730</v>
      </c>
      <c r="J49" s="1223">
        <v>0</v>
      </c>
      <c r="K49" s="1223">
        <v>5409</v>
      </c>
      <c r="L49" s="1578">
        <v>128175</v>
      </c>
      <c r="M49" s="2">
        <v>0</v>
      </c>
      <c r="N49" s="6">
        <v>13972</v>
      </c>
      <c r="O49" s="2"/>
      <c r="P49" s="2"/>
    </row>
    <row r="50" spans="2:16" ht="12.75" customHeight="1" x14ac:dyDescent="0.2">
      <c r="C50" s="1240" t="s">
        <v>21</v>
      </c>
      <c r="D50" s="1218">
        <v>1654</v>
      </c>
      <c r="E50" s="1219">
        <v>0</v>
      </c>
      <c r="F50" s="1220">
        <v>138781</v>
      </c>
      <c r="G50" s="1221">
        <f t="shared" si="0"/>
        <v>138781</v>
      </c>
      <c r="H50" s="1219">
        <v>83143</v>
      </c>
      <c r="I50" s="1222">
        <v>112698</v>
      </c>
      <c r="J50" s="1223">
        <v>8200</v>
      </c>
      <c r="K50" s="1223">
        <v>2694</v>
      </c>
      <c r="L50" s="1219">
        <v>15189</v>
      </c>
      <c r="M50" s="2">
        <v>3886</v>
      </c>
      <c r="N50" s="6">
        <v>5315</v>
      </c>
      <c r="O50" s="2"/>
      <c r="P50" s="2"/>
    </row>
    <row r="51" spans="2:16" ht="12.75" customHeight="1" x14ac:dyDescent="0.2">
      <c r="C51" s="1240" t="s">
        <v>48</v>
      </c>
      <c r="D51" s="1221">
        <v>32896</v>
      </c>
      <c r="E51" s="1224">
        <v>0</v>
      </c>
      <c r="F51" s="1220">
        <v>2771980</v>
      </c>
      <c r="G51" s="1221">
        <f t="shared" si="0"/>
        <v>2771980</v>
      </c>
      <c r="H51" s="1224">
        <v>1508722</v>
      </c>
      <c r="I51" s="1223">
        <v>2202000</v>
      </c>
      <c r="J51" s="1223">
        <v>181865</v>
      </c>
      <c r="K51" s="1223">
        <v>17658</v>
      </c>
      <c r="L51" s="1224">
        <v>370457</v>
      </c>
      <c r="M51" s="2">
        <v>94430</v>
      </c>
      <c r="N51" s="6">
        <v>145094</v>
      </c>
      <c r="O51" s="2"/>
      <c r="P51" s="2"/>
    </row>
    <row r="52" spans="2:16" ht="12.75" customHeight="1" x14ac:dyDescent="0.2">
      <c r="C52" s="1296" t="s">
        <v>147</v>
      </c>
      <c r="D52" s="1218">
        <v>11253</v>
      </c>
      <c r="E52" s="1219">
        <v>0</v>
      </c>
      <c r="F52" s="1220">
        <v>743508</v>
      </c>
      <c r="G52" s="1221">
        <f t="shared" si="0"/>
        <v>743508</v>
      </c>
      <c r="H52" s="1219">
        <v>469134</v>
      </c>
      <c r="I52" s="1222">
        <v>504069</v>
      </c>
      <c r="J52" s="1223">
        <v>0</v>
      </c>
      <c r="K52" s="1223">
        <v>70430</v>
      </c>
      <c r="L52" s="1578">
        <v>169009</v>
      </c>
      <c r="M52" s="2">
        <v>593</v>
      </c>
      <c r="N52" s="6">
        <v>13149</v>
      </c>
      <c r="O52" s="2"/>
      <c r="P52" s="2"/>
    </row>
    <row r="53" spans="2:16" ht="12.75" customHeight="1" x14ac:dyDescent="0.2">
      <c r="C53" s="1240" t="s">
        <v>133</v>
      </c>
      <c r="D53" s="1221">
        <v>5960</v>
      </c>
      <c r="E53" s="1224">
        <v>0</v>
      </c>
      <c r="F53" s="1220">
        <v>382743</v>
      </c>
      <c r="G53" s="1221">
        <f t="shared" si="0"/>
        <v>382743</v>
      </c>
      <c r="H53" s="1224">
        <v>286207</v>
      </c>
      <c r="I53" s="1223">
        <v>324947</v>
      </c>
      <c r="J53" s="1223">
        <v>0</v>
      </c>
      <c r="K53" s="1223">
        <v>9930</v>
      </c>
      <c r="L53" s="1224">
        <v>47866</v>
      </c>
      <c r="M53" s="2">
        <v>0</v>
      </c>
      <c r="N53" s="6">
        <v>14803</v>
      </c>
      <c r="O53" s="2"/>
      <c r="P53" s="2"/>
    </row>
    <row r="54" spans="2:16" ht="12.75" customHeight="1" x14ac:dyDescent="0.2">
      <c r="C54" s="1296" t="s">
        <v>224</v>
      </c>
      <c r="D54" s="1218">
        <v>21312</v>
      </c>
      <c r="E54" s="1219">
        <v>0</v>
      </c>
      <c r="F54" s="1220">
        <v>1394218</v>
      </c>
      <c r="G54" s="1221">
        <f t="shared" si="0"/>
        <v>1394218</v>
      </c>
      <c r="H54" s="1219">
        <v>921958</v>
      </c>
      <c r="I54" s="1222">
        <v>1008997</v>
      </c>
      <c r="J54" s="1223">
        <v>11936</v>
      </c>
      <c r="K54" s="1223">
        <v>18910</v>
      </c>
      <c r="L54" s="1578">
        <v>354375</v>
      </c>
      <c r="M54" s="2">
        <v>1624</v>
      </c>
      <c r="N54" s="6">
        <v>45502</v>
      </c>
      <c r="O54" s="2"/>
      <c r="P54" s="2"/>
    </row>
    <row r="55" spans="2:16" ht="12.75" customHeight="1" x14ac:dyDescent="0.2">
      <c r="C55" s="1296" t="s">
        <v>233</v>
      </c>
      <c r="D55" s="1221">
        <v>3968</v>
      </c>
      <c r="E55" s="1224">
        <v>0</v>
      </c>
      <c r="F55" s="1220">
        <v>266988</v>
      </c>
      <c r="G55" s="1221">
        <f t="shared" si="0"/>
        <v>266988</v>
      </c>
      <c r="H55" s="1224">
        <v>196195</v>
      </c>
      <c r="I55" s="1223">
        <v>217522</v>
      </c>
      <c r="J55" s="1223">
        <v>0</v>
      </c>
      <c r="K55" s="1223">
        <v>2413</v>
      </c>
      <c r="L55" s="1224">
        <v>47053</v>
      </c>
      <c r="M55" s="2">
        <v>1200</v>
      </c>
      <c r="N55" s="6">
        <v>11769</v>
      </c>
      <c r="O55" s="2"/>
      <c r="P55" s="2"/>
    </row>
    <row r="56" spans="2:16" ht="12.75" customHeight="1" x14ac:dyDescent="0.2">
      <c r="C56" s="1296" t="s">
        <v>37</v>
      </c>
      <c r="D56" s="1218">
        <v>5423</v>
      </c>
      <c r="E56" s="1219">
        <v>0</v>
      </c>
      <c r="F56" s="1220">
        <v>392188</v>
      </c>
      <c r="G56" s="1221">
        <f t="shared" si="0"/>
        <v>392188</v>
      </c>
      <c r="H56" s="1219">
        <v>259149</v>
      </c>
      <c r="I56" s="1222">
        <v>323939</v>
      </c>
      <c r="J56" s="1223">
        <v>23738</v>
      </c>
      <c r="K56" s="1223">
        <v>18963</v>
      </c>
      <c r="L56" s="1578">
        <v>25548</v>
      </c>
      <c r="M56" s="2">
        <v>384</v>
      </c>
      <c r="N56" s="6">
        <v>7748</v>
      </c>
      <c r="O56" s="2"/>
      <c r="P56" s="2"/>
    </row>
    <row r="57" spans="2:16" ht="12.75" customHeight="1" x14ac:dyDescent="0.2">
      <c r="B57" s="1296"/>
      <c r="C57" s="1" t="s">
        <v>146</v>
      </c>
      <c r="D57" s="1221">
        <v>2977</v>
      </c>
      <c r="E57" s="1224">
        <v>0</v>
      </c>
      <c r="F57" s="1220">
        <v>197109</v>
      </c>
      <c r="G57" s="1221">
        <f t="shared" si="0"/>
        <v>197109</v>
      </c>
      <c r="H57" s="1224">
        <v>158520</v>
      </c>
      <c r="I57" s="1223">
        <v>177965</v>
      </c>
      <c r="J57" s="1223">
        <v>0</v>
      </c>
      <c r="K57" s="1223">
        <v>10696</v>
      </c>
      <c r="L57" s="1224">
        <v>8448</v>
      </c>
      <c r="M57" s="2">
        <v>6195</v>
      </c>
      <c r="N57" s="6">
        <v>4676</v>
      </c>
      <c r="O57" s="2"/>
      <c r="P57" s="2"/>
    </row>
    <row r="58" spans="2:16" ht="12.75" customHeight="1" x14ac:dyDescent="0.2">
      <c r="C58" s="1240" t="s">
        <v>132</v>
      </c>
      <c r="D58" s="1218">
        <v>5609</v>
      </c>
      <c r="E58" s="1219">
        <v>0</v>
      </c>
      <c r="F58" s="1220">
        <v>370124</v>
      </c>
      <c r="G58" s="1221">
        <f t="shared" si="0"/>
        <v>370124</v>
      </c>
      <c r="H58" s="1219">
        <v>232237</v>
      </c>
      <c r="I58" s="1222">
        <v>270210</v>
      </c>
      <c r="J58" s="1223">
        <v>16769</v>
      </c>
      <c r="K58" s="1223">
        <v>2140</v>
      </c>
      <c r="L58" s="1219">
        <v>81005</v>
      </c>
      <c r="M58" s="2">
        <v>20</v>
      </c>
      <c r="N58" s="6">
        <v>15605</v>
      </c>
      <c r="O58" s="2"/>
      <c r="P58" s="2"/>
    </row>
    <row r="59" spans="2:16" ht="12.75" customHeight="1" x14ac:dyDescent="0.2">
      <c r="C59" s="1296" t="s">
        <v>245</v>
      </c>
      <c r="D59" s="1221">
        <v>7341</v>
      </c>
      <c r="E59" s="1224">
        <v>0</v>
      </c>
      <c r="F59" s="1220">
        <v>642567</v>
      </c>
      <c r="G59" s="1221">
        <f t="shared" si="0"/>
        <v>642567</v>
      </c>
      <c r="H59" s="1224">
        <v>383443</v>
      </c>
      <c r="I59" s="1223">
        <v>436277</v>
      </c>
      <c r="J59" s="1223">
        <v>0</v>
      </c>
      <c r="K59" s="1223">
        <v>8047</v>
      </c>
      <c r="L59" s="1578">
        <v>198243</v>
      </c>
      <c r="M59" s="2">
        <v>0</v>
      </c>
      <c r="N59" s="6">
        <v>17114</v>
      </c>
      <c r="O59" s="2"/>
      <c r="P59" s="2"/>
    </row>
    <row r="60" spans="2:16" ht="12.75" customHeight="1" x14ac:dyDescent="0.2">
      <c r="C60" s="1240" t="s">
        <v>94</v>
      </c>
      <c r="D60" s="1218">
        <v>7232</v>
      </c>
      <c r="E60" s="1219">
        <v>0</v>
      </c>
      <c r="F60" s="1220">
        <v>482234</v>
      </c>
      <c r="G60" s="1221">
        <f t="shared" si="0"/>
        <v>482234</v>
      </c>
      <c r="H60" s="1219">
        <v>289652</v>
      </c>
      <c r="I60" s="1222">
        <v>346098</v>
      </c>
      <c r="J60" s="1223">
        <v>0</v>
      </c>
      <c r="K60" s="1223">
        <v>43282</v>
      </c>
      <c r="L60" s="1219">
        <v>92854</v>
      </c>
      <c r="M60" s="2">
        <v>20400</v>
      </c>
      <c r="N60" s="6">
        <v>19777</v>
      </c>
      <c r="O60" s="2"/>
      <c r="P60" s="2"/>
    </row>
    <row r="61" spans="2:16" ht="12.75" customHeight="1" x14ac:dyDescent="0.2">
      <c r="C61" s="1240" t="s">
        <v>93</v>
      </c>
      <c r="D61" s="1221">
        <v>18053</v>
      </c>
      <c r="E61" s="1224">
        <v>0</v>
      </c>
      <c r="F61" s="1220">
        <v>1287027</v>
      </c>
      <c r="G61" s="1221">
        <f t="shared" si="0"/>
        <v>1287027</v>
      </c>
      <c r="H61" s="1224">
        <v>866458</v>
      </c>
      <c r="I61" s="1223">
        <v>1012922</v>
      </c>
      <c r="J61" s="1223">
        <v>0</v>
      </c>
      <c r="K61" s="1223">
        <v>14743</v>
      </c>
      <c r="L61" s="1224">
        <v>259362</v>
      </c>
      <c r="M61" s="2">
        <v>61739</v>
      </c>
      <c r="N61" s="6">
        <v>56972</v>
      </c>
      <c r="O61" s="2"/>
      <c r="P61" s="2"/>
    </row>
    <row r="62" spans="2:16" ht="12.75" customHeight="1" x14ac:dyDescent="0.2">
      <c r="C62" s="1240" t="s">
        <v>89</v>
      </c>
      <c r="D62" s="1218">
        <v>12985</v>
      </c>
      <c r="E62" s="1219">
        <v>0</v>
      </c>
      <c r="F62" s="1220">
        <v>690503</v>
      </c>
      <c r="G62" s="1221">
        <f t="shared" si="0"/>
        <v>690503</v>
      </c>
      <c r="H62" s="1219">
        <v>468011</v>
      </c>
      <c r="I62" s="1222">
        <v>545183</v>
      </c>
      <c r="J62" s="1223">
        <v>0</v>
      </c>
      <c r="K62" s="1223">
        <v>12622</v>
      </c>
      <c r="L62" s="1219">
        <v>132698</v>
      </c>
      <c r="M62" s="2">
        <v>18377</v>
      </c>
      <c r="N62" s="6">
        <v>22590</v>
      </c>
      <c r="O62" s="2"/>
      <c r="P62" s="2"/>
    </row>
    <row r="63" spans="2:16" ht="12.75" customHeight="1" x14ac:dyDescent="0.2">
      <c r="C63" s="1240" t="s">
        <v>41</v>
      </c>
      <c r="D63" s="1221">
        <v>6480</v>
      </c>
      <c r="E63" s="1224">
        <v>0</v>
      </c>
      <c r="F63" s="1220">
        <v>386632</v>
      </c>
      <c r="G63" s="1221">
        <f t="shared" si="0"/>
        <v>386632</v>
      </c>
      <c r="H63" s="1224">
        <v>311253</v>
      </c>
      <c r="I63" s="1223">
        <v>359373</v>
      </c>
      <c r="J63" s="1223">
        <v>0</v>
      </c>
      <c r="K63" s="1223">
        <v>2612</v>
      </c>
      <c r="L63" s="1224">
        <v>24647</v>
      </c>
      <c r="M63" s="2">
        <v>5197</v>
      </c>
      <c r="N63" s="6">
        <v>33530</v>
      </c>
      <c r="O63" s="2"/>
      <c r="P63" s="2"/>
    </row>
    <row r="64" spans="2:16" ht="12.75" customHeight="1" x14ac:dyDescent="0.2">
      <c r="C64" s="1240" t="s">
        <v>39</v>
      </c>
      <c r="D64" s="1218">
        <v>39246</v>
      </c>
      <c r="E64" s="1219">
        <v>0</v>
      </c>
      <c r="F64" s="1220">
        <v>3207380</v>
      </c>
      <c r="G64" s="1221">
        <f t="shared" si="0"/>
        <v>3207380</v>
      </c>
      <c r="H64" s="1219">
        <v>1936486</v>
      </c>
      <c r="I64" s="1222">
        <v>2448051</v>
      </c>
      <c r="J64" s="1223">
        <v>129337</v>
      </c>
      <c r="K64" s="1223">
        <v>58818</v>
      </c>
      <c r="L64" s="1219">
        <v>571174</v>
      </c>
      <c r="M64" s="2">
        <v>96658</v>
      </c>
      <c r="N64" s="6">
        <v>136796</v>
      </c>
      <c r="O64" s="2"/>
      <c r="P64" s="2"/>
    </row>
    <row r="65" spans="3:16" ht="12.75" customHeight="1" x14ac:dyDescent="0.2">
      <c r="C65" s="1240" t="s">
        <v>42</v>
      </c>
      <c r="D65" s="1221">
        <v>31673</v>
      </c>
      <c r="E65" s="1224">
        <v>0</v>
      </c>
      <c r="F65" s="1220">
        <v>2358804</v>
      </c>
      <c r="G65" s="1221">
        <f t="shared" si="0"/>
        <v>2358804</v>
      </c>
      <c r="H65" s="1224">
        <v>1562398</v>
      </c>
      <c r="I65" s="1223">
        <v>1810277</v>
      </c>
      <c r="J65" s="1223">
        <v>27005</v>
      </c>
      <c r="K65" s="1223">
        <v>137363</v>
      </c>
      <c r="L65" s="1224">
        <v>384159</v>
      </c>
      <c r="M65" s="2">
        <v>5243</v>
      </c>
      <c r="N65" s="6">
        <v>84450</v>
      </c>
      <c r="O65" s="2"/>
      <c r="P65" s="2"/>
    </row>
    <row r="66" spans="3:16" ht="12.75" customHeight="1" x14ac:dyDescent="0.2">
      <c r="C66" s="1240" t="s">
        <v>92</v>
      </c>
      <c r="D66" s="1218">
        <v>7321</v>
      </c>
      <c r="E66" s="1219">
        <v>0</v>
      </c>
      <c r="F66" s="1220">
        <v>542785</v>
      </c>
      <c r="G66" s="1221">
        <f t="shared" si="0"/>
        <v>542785</v>
      </c>
      <c r="H66" s="1219">
        <v>373731</v>
      </c>
      <c r="I66" s="1222">
        <v>408346</v>
      </c>
      <c r="J66" s="1223">
        <v>0</v>
      </c>
      <c r="K66" s="1223">
        <v>15604</v>
      </c>
      <c r="L66" s="1219">
        <v>118835</v>
      </c>
      <c r="M66" s="2">
        <v>10022</v>
      </c>
      <c r="N66" s="6">
        <v>13325</v>
      </c>
      <c r="O66" s="2"/>
      <c r="P66" s="2"/>
    </row>
    <row r="67" spans="3:16" ht="12.75" customHeight="1" x14ac:dyDescent="0.2">
      <c r="C67" s="1" t="s">
        <v>11</v>
      </c>
      <c r="D67" s="1221">
        <v>12479</v>
      </c>
      <c r="E67" s="1224">
        <v>0</v>
      </c>
      <c r="F67" s="1220">
        <v>984780</v>
      </c>
      <c r="G67" s="1221">
        <f t="shared" si="0"/>
        <v>984780</v>
      </c>
      <c r="H67" s="1224">
        <v>640039</v>
      </c>
      <c r="I67" s="1223">
        <v>729782</v>
      </c>
      <c r="J67" s="1223">
        <v>0</v>
      </c>
      <c r="K67" s="1223">
        <v>101514</v>
      </c>
      <c r="L67" s="1224">
        <v>153484</v>
      </c>
      <c r="M67" s="2">
        <v>1035</v>
      </c>
      <c r="N67" s="6">
        <v>19881</v>
      </c>
      <c r="O67" s="2"/>
      <c r="P67" s="2"/>
    </row>
    <row r="68" spans="3:16" ht="12.75" customHeight="1" x14ac:dyDescent="0.2">
      <c r="C68" s="1" t="s">
        <v>485</v>
      </c>
      <c r="D68" s="1218">
        <v>8489</v>
      </c>
      <c r="E68" s="1219">
        <v>0</v>
      </c>
      <c r="F68" s="1220">
        <v>569287</v>
      </c>
      <c r="G68" s="1221">
        <f t="shared" si="0"/>
        <v>569287</v>
      </c>
      <c r="H68" s="1219">
        <v>395539</v>
      </c>
      <c r="I68" s="1222">
        <v>445433</v>
      </c>
      <c r="J68" s="1223">
        <v>0</v>
      </c>
      <c r="K68" s="1223">
        <v>19402</v>
      </c>
      <c r="L68" s="1219">
        <v>104452</v>
      </c>
      <c r="M68" s="2">
        <v>6752</v>
      </c>
      <c r="N68" s="6">
        <v>34771</v>
      </c>
      <c r="O68" s="2"/>
      <c r="P68" s="2"/>
    </row>
    <row r="69" spans="3:16" ht="12.75" customHeight="1" x14ac:dyDescent="0.2">
      <c r="C69" s="1" t="s">
        <v>484</v>
      </c>
      <c r="D69" s="1221">
        <v>3237</v>
      </c>
      <c r="E69" s="1224">
        <v>0</v>
      </c>
      <c r="F69" s="1220">
        <v>222932</v>
      </c>
      <c r="G69" s="1221">
        <f t="shared" ref="G69:G132" si="1">+F69+E69</f>
        <v>222932</v>
      </c>
      <c r="H69" s="1224">
        <v>189409</v>
      </c>
      <c r="I69" s="1223">
        <v>209330</v>
      </c>
      <c r="J69" s="1223">
        <v>0</v>
      </c>
      <c r="K69" s="1223">
        <v>252</v>
      </c>
      <c r="L69" s="1224">
        <v>13350</v>
      </c>
      <c r="M69" s="2">
        <v>10674</v>
      </c>
      <c r="N69" s="6">
        <v>6325</v>
      </c>
      <c r="O69" s="2"/>
      <c r="P69" s="2"/>
    </row>
    <row r="70" spans="3:16" ht="12.75" customHeight="1" x14ac:dyDescent="0.2">
      <c r="C70" s="5" t="s">
        <v>125</v>
      </c>
      <c r="D70" s="1218">
        <v>21060</v>
      </c>
      <c r="E70" s="1219">
        <v>0</v>
      </c>
      <c r="F70" s="1220">
        <v>1579739</v>
      </c>
      <c r="G70" s="1221">
        <f t="shared" si="1"/>
        <v>1579739</v>
      </c>
      <c r="H70" s="1219">
        <v>1000897</v>
      </c>
      <c r="I70" s="1222">
        <v>1506992</v>
      </c>
      <c r="J70" s="1223">
        <v>0</v>
      </c>
      <c r="K70" s="1223">
        <v>0</v>
      </c>
      <c r="L70" s="1219">
        <v>72747</v>
      </c>
      <c r="M70" s="2">
        <v>141720</v>
      </c>
      <c r="N70" s="6">
        <v>44494</v>
      </c>
      <c r="O70" s="2"/>
      <c r="P70" s="2"/>
    </row>
    <row r="71" spans="3:16" ht="12.75" customHeight="1" x14ac:dyDescent="0.2">
      <c r="C71" s="5" t="s">
        <v>113</v>
      </c>
      <c r="D71" s="1221">
        <v>17605</v>
      </c>
      <c r="E71" s="1224">
        <v>0</v>
      </c>
      <c r="F71" s="1220">
        <v>1463865</v>
      </c>
      <c r="G71" s="1221">
        <f t="shared" si="1"/>
        <v>1463865</v>
      </c>
      <c r="H71" s="1224">
        <v>1048297</v>
      </c>
      <c r="I71" s="1223">
        <v>1315142</v>
      </c>
      <c r="J71" s="1223">
        <v>0</v>
      </c>
      <c r="K71" s="1223">
        <v>10119</v>
      </c>
      <c r="L71" s="1224">
        <v>138604</v>
      </c>
      <c r="M71" s="2">
        <v>72955</v>
      </c>
      <c r="N71" s="6">
        <v>84323</v>
      </c>
      <c r="O71" s="2"/>
      <c r="P71" s="2"/>
    </row>
    <row r="72" spans="3:16" ht="12.75" customHeight="1" x14ac:dyDescent="0.2">
      <c r="C72" s="5" t="s">
        <v>115</v>
      </c>
      <c r="D72" s="1218">
        <v>7460</v>
      </c>
      <c r="E72" s="1219">
        <v>0</v>
      </c>
      <c r="F72" s="1220">
        <v>542564</v>
      </c>
      <c r="G72" s="1221">
        <f t="shared" si="1"/>
        <v>542564</v>
      </c>
      <c r="H72" s="1219">
        <v>403483</v>
      </c>
      <c r="I72" s="1222">
        <v>485304</v>
      </c>
      <c r="J72" s="1223">
        <v>0</v>
      </c>
      <c r="K72" s="1223">
        <v>0</v>
      </c>
      <c r="L72" s="1219">
        <v>57260</v>
      </c>
      <c r="M72" s="2">
        <v>4657</v>
      </c>
      <c r="N72" s="6">
        <v>14412</v>
      </c>
      <c r="O72" s="2"/>
      <c r="P72" s="2"/>
    </row>
    <row r="73" spans="3:16" ht="12.75" customHeight="1" x14ac:dyDescent="0.2">
      <c r="C73" s="5" t="s">
        <v>138</v>
      </c>
      <c r="D73" s="1221">
        <v>86774</v>
      </c>
      <c r="E73" s="1224">
        <v>2528880</v>
      </c>
      <c r="F73" s="1220">
        <v>4769488</v>
      </c>
      <c r="G73" s="1221">
        <f t="shared" si="1"/>
        <v>7298368</v>
      </c>
      <c r="H73" s="1224">
        <v>4647029</v>
      </c>
      <c r="I73" s="1223">
        <v>6351687</v>
      </c>
      <c r="J73" s="1223">
        <v>121036</v>
      </c>
      <c r="K73" s="1223">
        <v>26956</v>
      </c>
      <c r="L73" s="1224">
        <v>798688</v>
      </c>
      <c r="M73" s="2">
        <v>361632</v>
      </c>
      <c r="N73" s="6">
        <v>329237</v>
      </c>
      <c r="O73" s="2"/>
      <c r="P73" s="2"/>
    </row>
    <row r="74" spans="3:16" ht="12.75" customHeight="1" x14ac:dyDescent="0.2">
      <c r="C74" s="5" t="s">
        <v>63</v>
      </c>
      <c r="D74" s="1218">
        <v>277082</v>
      </c>
      <c r="E74" s="1219">
        <v>0</v>
      </c>
      <c r="F74" s="1220">
        <f>24047748-932000</f>
        <v>23115748</v>
      </c>
      <c r="G74" s="1221">
        <f t="shared" si="1"/>
        <v>23115748</v>
      </c>
      <c r="H74" s="1219">
        <v>12027992</v>
      </c>
      <c r="I74" s="1222">
        <v>19928255</v>
      </c>
      <c r="J74" s="1223">
        <v>1767032</v>
      </c>
      <c r="K74" s="1223">
        <v>0</v>
      </c>
      <c r="L74" s="1219">
        <v>2352461</v>
      </c>
      <c r="M74" s="2">
        <v>1004064</v>
      </c>
      <c r="N74" s="6">
        <v>2131620</v>
      </c>
      <c r="O74" s="2"/>
      <c r="P74" s="2"/>
    </row>
    <row r="75" spans="3:16" ht="12.75" customHeight="1" x14ac:dyDescent="0.2">
      <c r="C75" s="1240" t="s">
        <v>3</v>
      </c>
      <c r="D75" s="1221">
        <v>51367</v>
      </c>
      <c r="E75" s="1224">
        <v>0</v>
      </c>
      <c r="F75" s="1220">
        <v>3599158</v>
      </c>
      <c r="G75" s="1221">
        <f t="shared" si="1"/>
        <v>3599158</v>
      </c>
      <c r="H75" s="1224">
        <v>2223594</v>
      </c>
      <c r="I75" s="1223">
        <v>2934911</v>
      </c>
      <c r="J75" s="1223">
        <v>9034</v>
      </c>
      <c r="K75" s="1223">
        <v>17759</v>
      </c>
      <c r="L75" s="1224">
        <v>637454</v>
      </c>
      <c r="M75" s="2">
        <v>6071</v>
      </c>
      <c r="N75" s="6">
        <v>146518</v>
      </c>
      <c r="O75" s="2"/>
      <c r="P75" s="2"/>
    </row>
    <row r="76" spans="3:16" ht="12.75" customHeight="1" x14ac:dyDescent="0.2">
      <c r="C76" s="1240" t="s">
        <v>23</v>
      </c>
      <c r="D76" s="1218">
        <v>17350</v>
      </c>
      <c r="E76" s="1219">
        <v>0</v>
      </c>
      <c r="F76" s="1220">
        <v>1553415</v>
      </c>
      <c r="G76" s="1221">
        <f t="shared" si="1"/>
        <v>1553415</v>
      </c>
      <c r="H76" s="1219">
        <v>872226</v>
      </c>
      <c r="I76" s="1222">
        <v>1162027</v>
      </c>
      <c r="J76" s="1223">
        <v>30716</v>
      </c>
      <c r="K76" s="1223">
        <v>25876</v>
      </c>
      <c r="L76" s="1219">
        <v>334796</v>
      </c>
      <c r="M76" s="2">
        <v>1739</v>
      </c>
      <c r="N76" s="6">
        <v>79747</v>
      </c>
      <c r="O76" s="2"/>
      <c r="P76" s="2"/>
    </row>
    <row r="77" spans="3:16" ht="12.75" customHeight="1" x14ac:dyDescent="0.2">
      <c r="C77" s="1240" t="s">
        <v>149</v>
      </c>
      <c r="D77" s="1221">
        <v>9000</v>
      </c>
      <c r="E77" s="1224">
        <v>0</v>
      </c>
      <c r="F77" s="1220">
        <v>508906</v>
      </c>
      <c r="G77" s="1221">
        <f t="shared" si="1"/>
        <v>508906</v>
      </c>
      <c r="H77" s="1224">
        <v>331916</v>
      </c>
      <c r="I77" s="1223">
        <v>404948</v>
      </c>
      <c r="J77" s="1223">
        <v>0</v>
      </c>
      <c r="K77" s="1223">
        <v>2105</v>
      </c>
      <c r="L77" s="1224">
        <v>101853</v>
      </c>
      <c r="M77" s="2">
        <v>0</v>
      </c>
      <c r="N77" s="6">
        <v>14291</v>
      </c>
      <c r="O77" s="2"/>
      <c r="P77" s="2"/>
    </row>
    <row r="78" spans="3:16" ht="12.75" customHeight="1" x14ac:dyDescent="0.2">
      <c r="C78" s="1240" t="s">
        <v>8</v>
      </c>
      <c r="D78" s="1218">
        <v>2000</v>
      </c>
      <c r="E78" s="1219">
        <v>0</v>
      </c>
      <c r="F78" s="1220">
        <v>169928</v>
      </c>
      <c r="G78" s="1221">
        <f t="shared" si="1"/>
        <v>169928</v>
      </c>
      <c r="H78" s="1219">
        <v>83631</v>
      </c>
      <c r="I78" s="1222">
        <v>129592</v>
      </c>
      <c r="J78" s="1223">
        <v>0</v>
      </c>
      <c r="K78" s="1223">
        <v>443</v>
      </c>
      <c r="L78" s="1219">
        <v>39893</v>
      </c>
      <c r="M78" s="2">
        <v>15</v>
      </c>
      <c r="N78" s="6">
        <v>2106</v>
      </c>
      <c r="O78" s="2"/>
      <c r="P78" s="2"/>
    </row>
    <row r="79" spans="3:16" ht="12.75" customHeight="1" x14ac:dyDescent="0.2">
      <c r="C79" s="1240" t="s">
        <v>34</v>
      </c>
      <c r="D79" s="1221">
        <v>2100</v>
      </c>
      <c r="E79" s="1224">
        <v>0</v>
      </c>
      <c r="F79" s="1220">
        <v>221234</v>
      </c>
      <c r="G79" s="1221">
        <f t="shared" si="1"/>
        <v>221234</v>
      </c>
      <c r="H79" s="1224">
        <v>115244</v>
      </c>
      <c r="I79" s="1223">
        <v>173666</v>
      </c>
      <c r="J79" s="1223">
        <v>0</v>
      </c>
      <c r="K79" s="1223">
        <v>0</v>
      </c>
      <c r="L79" s="1224">
        <v>47568</v>
      </c>
      <c r="M79" s="2">
        <v>0</v>
      </c>
      <c r="N79" s="6">
        <v>7744</v>
      </c>
      <c r="O79" s="2"/>
      <c r="P79" s="2"/>
    </row>
    <row r="80" spans="3:16" ht="12.75" customHeight="1" x14ac:dyDescent="0.2">
      <c r="C80" s="1240" t="s">
        <v>560</v>
      </c>
      <c r="D80" s="1218">
        <v>38420</v>
      </c>
      <c r="E80" s="1219">
        <v>0</v>
      </c>
      <c r="F80" s="1220">
        <v>2919145</v>
      </c>
      <c r="G80" s="1221">
        <f t="shared" si="1"/>
        <v>2919145</v>
      </c>
      <c r="H80" s="1219">
        <v>1815045</v>
      </c>
      <c r="I80" s="1222">
        <v>2261658</v>
      </c>
      <c r="J80" s="1223">
        <v>75255</v>
      </c>
      <c r="K80" s="1223">
        <v>39480</v>
      </c>
      <c r="L80" s="1219">
        <v>542752</v>
      </c>
      <c r="M80" s="2">
        <v>5524</v>
      </c>
      <c r="N80" s="6">
        <v>101046</v>
      </c>
      <c r="O80" s="2"/>
      <c r="P80" s="2"/>
    </row>
    <row r="81" spans="3:16" ht="12.75" customHeight="1" x14ac:dyDescent="0.2">
      <c r="C81" s="1240" t="s">
        <v>75</v>
      </c>
      <c r="D81" s="1221">
        <v>39032</v>
      </c>
      <c r="E81" s="1224">
        <v>0</v>
      </c>
      <c r="F81" s="1220">
        <v>2933046</v>
      </c>
      <c r="G81" s="1221">
        <f t="shared" si="1"/>
        <v>2933046</v>
      </c>
      <c r="H81" s="1224">
        <v>1976773</v>
      </c>
      <c r="I81" s="1223">
        <v>2592228</v>
      </c>
      <c r="J81" s="1223">
        <v>126769</v>
      </c>
      <c r="K81" s="1223">
        <v>10287</v>
      </c>
      <c r="L81" s="1224">
        <v>203762</v>
      </c>
      <c r="M81" s="2">
        <v>236368</v>
      </c>
      <c r="N81" s="6">
        <v>146250</v>
      </c>
      <c r="O81" s="2"/>
      <c r="P81" s="2"/>
    </row>
    <row r="82" spans="3:16" ht="12.75" customHeight="1" x14ac:dyDescent="0.2">
      <c r="C82" s="1240" t="s">
        <v>50</v>
      </c>
      <c r="D82" s="1218">
        <v>54327</v>
      </c>
      <c r="E82" s="1219">
        <v>0</v>
      </c>
      <c r="F82" s="1220">
        <v>3917766</v>
      </c>
      <c r="G82" s="1221">
        <f t="shared" si="1"/>
        <v>3917766</v>
      </c>
      <c r="H82" s="1219">
        <v>2735971</v>
      </c>
      <c r="I82" s="1222">
        <v>3623108</v>
      </c>
      <c r="J82" s="1223">
        <v>45775</v>
      </c>
      <c r="K82" s="1223">
        <v>737</v>
      </c>
      <c r="L82" s="1219">
        <v>248146</v>
      </c>
      <c r="M82" s="2">
        <v>472086</v>
      </c>
      <c r="N82" s="6">
        <v>43952</v>
      </c>
      <c r="O82" s="2"/>
      <c r="P82" s="2"/>
    </row>
    <row r="83" spans="3:16" ht="12.75" customHeight="1" x14ac:dyDescent="0.2">
      <c r="C83" s="1240" t="s">
        <v>112</v>
      </c>
      <c r="D83" s="1221">
        <v>38945</v>
      </c>
      <c r="E83" s="1224">
        <v>0</v>
      </c>
      <c r="F83" s="1220">
        <v>2910168</v>
      </c>
      <c r="G83" s="1221">
        <f t="shared" si="1"/>
        <v>2910168</v>
      </c>
      <c r="H83" s="1224">
        <v>1816705</v>
      </c>
      <c r="I83" s="1223">
        <v>2360130</v>
      </c>
      <c r="J83" s="1223">
        <v>74</v>
      </c>
      <c r="K83" s="1223">
        <v>0</v>
      </c>
      <c r="L83" s="1224">
        <v>549964</v>
      </c>
      <c r="M83" s="2">
        <v>347352</v>
      </c>
      <c r="N83" s="6">
        <v>112015</v>
      </c>
      <c r="O83" s="2"/>
      <c r="P83" s="2"/>
    </row>
    <row r="84" spans="3:16" ht="12.75" customHeight="1" x14ac:dyDescent="0.2">
      <c r="C84" s="5" t="s">
        <v>74</v>
      </c>
      <c r="D84" s="1218">
        <v>39590</v>
      </c>
      <c r="E84" s="1219">
        <v>0</v>
      </c>
      <c r="F84" s="1220">
        <v>2680744</v>
      </c>
      <c r="G84" s="1221">
        <f t="shared" si="1"/>
        <v>2680744</v>
      </c>
      <c r="H84" s="1219">
        <v>1997596</v>
      </c>
      <c r="I84" s="1222">
        <v>2521011</v>
      </c>
      <c r="J84" s="1223">
        <v>0</v>
      </c>
      <c r="K84" s="1223">
        <v>0</v>
      </c>
      <c r="L84" s="1219">
        <v>159733</v>
      </c>
      <c r="M84" s="2">
        <v>218588</v>
      </c>
      <c r="N84" s="6">
        <v>174996</v>
      </c>
      <c r="O84" s="2"/>
      <c r="P84" s="2"/>
    </row>
    <row r="85" spans="3:16" ht="12.75" customHeight="1" x14ac:dyDescent="0.2">
      <c r="C85" s="5" t="s">
        <v>247</v>
      </c>
      <c r="D85" s="1221">
        <v>10302</v>
      </c>
      <c r="E85" s="1224">
        <v>0</v>
      </c>
      <c r="F85" s="1220">
        <v>595944</v>
      </c>
      <c r="G85" s="1221">
        <f t="shared" si="1"/>
        <v>595944</v>
      </c>
      <c r="H85" s="1224">
        <v>404918</v>
      </c>
      <c r="I85" s="1223">
        <v>541903</v>
      </c>
      <c r="J85" s="1223">
        <v>0</v>
      </c>
      <c r="K85" s="1223">
        <v>0</v>
      </c>
      <c r="L85" s="1224">
        <v>54041</v>
      </c>
      <c r="M85" s="2">
        <v>1825</v>
      </c>
      <c r="N85" s="6">
        <v>111899</v>
      </c>
      <c r="O85" s="2"/>
      <c r="P85" s="2"/>
    </row>
    <row r="86" spans="3:16" ht="12.75" customHeight="1" x14ac:dyDescent="0.2">
      <c r="C86" s="1240" t="s">
        <v>86</v>
      </c>
      <c r="D86" s="1218">
        <v>12973</v>
      </c>
      <c r="E86" s="1219">
        <v>0</v>
      </c>
      <c r="F86" s="1220">
        <v>1362716</v>
      </c>
      <c r="G86" s="1221">
        <f t="shared" si="1"/>
        <v>1362716</v>
      </c>
      <c r="H86" s="1219">
        <v>923908</v>
      </c>
      <c r="I86" s="1222">
        <v>1191250</v>
      </c>
      <c r="J86" s="1223">
        <v>0</v>
      </c>
      <c r="K86" s="1223">
        <v>87060</v>
      </c>
      <c r="L86" s="1219">
        <v>84406</v>
      </c>
      <c r="M86" s="2">
        <v>115991</v>
      </c>
      <c r="N86" s="6">
        <v>100063</v>
      </c>
      <c r="O86" s="2"/>
      <c r="P86" s="2"/>
    </row>
    <row r="87" spans="3:16" ht="12.75" customHeight="1" x14ac:dyDescent="0.2">
      <c r="C87" s="1240" t="s">
        <v>70</v>
      </c>
      <c r="D87" s="1221">
        <v>21226</v>
      </c>
      <c r="E87" s="1224">
        <v>318470</v>
      </c>
      <c r="F87" s="1220">
        <v>1423631</v>
      </c>
      <c r="G87" s="1221">
        <f t="shared" si="1"/>
        <v>1742101</v>
      </c>
      <c r="H87" s="1224">
        <v>1166049</v>
      </c>
      <c r="I87" s="1223">
        <v>1432746</v>
      </c>
      <c r="J87" s="1223">
        <v>0</v>
      </c>
      <c r="K87" s="1223">
        <v>25569</v>
      </c>
      <c r="L87" s="1224">
        <v>283786</v>
      </c>
      <c r="M87" s="2">
        <v>108450</v>
      </c>
      <c r="N87" s="6">
        <v>91469</v>
      </c>
      <c r="O87" s="2"/>
      <c r="P87" s="2"/>
    </row>
    <row r="88" spans="3:16" ht="12.75" customHeight="1" x14ac:dyDescent="0.2">
      <c r="C88" s="1240" t="s">
        <v>85</v>
      </c>
      <c r="D88" s="1218">
        <v>5430</v>
      </c>
      <c r="E88" s="1219">
        <v>27400</v>
      </c>
      <c r="F88" s="1220">
        <v>506826</v>
      </c>
      <c r="G88" s="1221">
        <f t="shared" si="1"/>
        <v>534226</v>
      </c>
      <c r="H88" s="1219">
        <v>357732</v>
      </c>
      <c r="I88" s="1222">
        <v>449627</v>
      </c>
      <c r="J88" s="1223">
        <v>0</v>
      </c>
      <c r="K88" s="1223">
        <v>3772</v>
      </c>
      <c r="L88" s="1219">
        <v>80827</v>
      </c>
      <c r="M88" s="2">
        <v>69047</v>
      </c>
      <c r="N88" s="6">
        <v>6781</v>
      </c>
      <c r="O88" s="2"/>
      <c r="P88" s="2"/>
    </row>
    <row r="89" spans="3:16" ht="12.75" customHeight="1" x14ac:dyDescent="0.2">
      <c r="C89" s="1240" t="s">
        <v>65</v>
      </c>
      <c r="D89" s="1221">
        <v>19603</v>
      </c>
      <c r="E89" s="1224">
        <v>301300</v>
      </c>
      <c r="F89" s="1220">
        <v>1012504</v>
      </c>
      <c r="G89" s="1221">
        <f t="shared" si="1"/>
        <v>1313804</v>
      </c>
      <c r="H89" s="1224">
        <v>912894</v>
      </c>
      <c r="I89" s="1223">
        <v>1118240</v>
      </c>
      <c r="J89" s="1223">
        <v>0</v>
      </c>
      <c r="K89" s="1223">
        <v>113890</v>
      </c>
      <c r="L89" s="1224">
        <v>81674</v>
      </c>
      <c r="M89" s="2">
        <v>65038</v>
      </c>
      <c r="N89" s="6">
        <v>34371</v>
      </c>
      <c r="O89" s="2"/>
      <c r="P89" s="2"/>
    </row>
    <row r="90" spans="3:16" ht="12.75" customHeight="1" x14ac:dyDescent="0.2">
      <c r="C90" s="1240" t="s">
        <v>84</v>
      </c>
      <c r="D90" s="1218">
        <v>11674</v>
      </c>
      <c r="E90" s="1219">
        <v>0</v>
      </c>
      <c r="F90" s="1220">
        <v>1016103</v>
      </c>
      <c r="G90" s="1221">
        <f t="shared" si="1"/>
        <v>1016103</v>
      </c>
      <c r="H90" s="1219">
        <v>802918</v>
      </c>
      <c r="I90" s="1222">
        <v>938420</v>
      </c>
      <c r="J90" s="1223">
        <v>0</v>
      </c>
      <c r="K90" s="1223">
        <v>347</v>
      </c>
      <c r="L90" s="1219">
        <v>77336</v>
      </c>
      <c r="M90" s="2">
        <v>56579</v>
      </c>
      <c r="N90" s="6">
        <v>40222</v>
      </c>
      <c r="O90" s="2"/>
      <c r="P90" s="2"/>
    </row>
    <row r="91" spans="3:16" ht="12.75" customHeight="1" x14ac:dyDescent="0.2">
      <c r="C91" s="1240" t="s">
        <v>102</v>
      </c>
      <c r="D91" s="1221">
        <v>15606</v>
      </c>
      <c r="E91" s="1224">
        <v>0</v>
      </c>
      <c r="F91" s="1220">
        <v>1173269</v>
      </c>
      <c r="G91" s="1221">
        <f t="shared" si="1"/>
        <v>1173269</v>
      </c>
      <c r="H91" s="1224">
        <v>931445</v>
      </c>
      <c r="I91" s="1223">
        <v>1156112</v>
      </c>
      <c r="J91" s="1223">
        <v>0</v>
      </c>
      <c r="K91" s="1223">
        <v>0</v>
      </c>
      <c r="L91" s="1224">
        <v>17157</v>
      </c>
      <c r="M91" s="2">
        <v>111572</v>
      </c>
      <c r="N91" s="6">
        <v>47991</v>
      </c>
      <c r="O91" s="2"/>
      <c r="P91" s="2"/>
    </row>
    <row r="92" spans="3:16" ht="12.75" customHeight="1" x14ac:dyDescent="0.2">
      <c r="C92" s="5" t="s">
        <v>15</v>
      </c>
      <c r="D92" s="1218">
        <v>54134</v>
      </c>
      <c r="E92" s="1219">
        <v>0</v>
      </c>
      <c r="F92" s="1220">
        <v>5168878</v>
      </c>
      <c r="G92" s="1221">
        <f t="shared" si="1"/>
        <v>5168878</v>
      </c>
      <c r="H92" s="1219">
        <v>3181029</v>
      </c>
      <c r="I92" s="1222">
        <v>4259311</v>
      </c>
      <c r="J92" s="1223">
        <v>97539</v>
      </c>
      <c r="K92" s="1223">
        <v>458238</v>
      </c>
      <c r="L92" s="1219">
        <v>353790</v>
      </c>
      <c r="M92" s="2">
        <v>456818</v>
      </c>
      <c r="N92" s="6">
        <v>184730</v>
      </c>
      <c r="O92" s="2"/>
      <c r="P92" s="2"/>
    </row>
    <row r="93" spans="3:16" ht="12.75" customHeight="1" x14ac:dyDescent="0.2">
      <c r="C93" s="1240" t="s">
        <v>122</v>
      </c>
      <c r="D93" s="1221">
        <v>24427</v>
      </c>
      <c r="E93" s="1224">
        <v>1525400</v>
      </c>
      <c r="F93" s="1220">
        <v>479148</v>
      </c>
      <c r="G93" s="1221">
        <f t="shared" si="1"/>
        <v>2004548</v>
      </c>
      <c r="H93" s="1224">
        <v>1033969</v>
      </c>
      <c r="I93" s="1223">
        <v>1181117</v>
      </c>
      <c r="J93" s="1223">
        <v>0</v>
      </c>
      <c r="K93" s="1223">
        <v>225164</v>
      </c>
      <c r="L93" s="1224">
        <v>598267</v>
      </c>
      <c r="M93" s="2">
        <v>3667</v>
      </c>
      <c r="N93" s="6">
        <v>39361</v>
      </c>
      <c r="O93" s="2"/>
      <c r="P93" s="2"/>
    </row>
    <row r="94" spans="3:16" ht="12.75" customHeight="1" x14ac:dyDescent="0.2">
      <c r="C94" s="1242" t="s">
        <v>314</v>
      </c>
      <c r="D94" s="1218">
        <v>9216</v>
      </c>
      <c r="E94" s="1219">
        <v>1179500</v>
      </c>
      <c r="F94" s="1220">
        <v>0</v>
      </c>
      <c r="G94" s="1221">
        <f t="shared" si="1"/>
        <v>1179500</v>
      </c>
      <c r="H94" s="1219">
        <v>438787</v>
      </c>
      <c r="I94" s="1222">
        <v>505870</v>
      </c>
      <c r="J94" s="1223">
        <v>0</v>
      </c>
      <c r="K94" s="1223">
        <v>266857</v>
      </c>
      <c r="L94" s="1219">
        <v>406773</v>
      </c>
      <c r="M94" s="2">
        <v>632</v>
      </c>
      <c r="N94" s="6">
        <v>37879</v>
      </c>
      <c r="O94" s="2"/>
      <c r="P94" s="2"/>
    </row>
    <row r="95" spans="3:16" ht="12.75" customHeight="1" x14ac:dyDescent="0.2">
      <c r="C95" s="1240" t="s">
        <v>109</v>
      </c>
      <c r="D95" s="1221">
        <v>21361</v>
      </c>
      <c r="E95" s="1224">
        <v>1305820</v>
      </c>
      <c r="F95" s="1220">
        <v>788486</v>
      </c>
      <c r="G95" s="1221">
        <f t="shared" si="1"/>
        <v>2094306</v>
      </c>
      <c r="H95" s="1224">
        <v>1195490</v>
      </c>
      <c r="I95" s="1223">
        <v>1426180</v>
      </c>
      <c r="J95" s="1223">
        <v>0</v>
      </c>
      <c r="K95" s="1223">
        <v>0</v>
      </c>
      <c r="L95" s="1224">
        <v>668126</v>
      </c>
      <c r="M95" s="2">
        <v>21245</v>
      </c>
      <c r="N95" s="6">
        <v>77341</v>
      </c>
      <c r="O95" s="2"/>
      <c r="P95" s="2"/>
    </row>
    <row r="96" spans="3:16" ht="12.75" customHeight="1" x14ac:dyDescent="0.2">
      <c r="C96" s="5" t="s">
        <v>68</v>
      </c>
      <c r="D96" s="1218">
        <v>39680</v>
      </c>
      <c r="E96" s="1219">
        <v>0</v>
      </c>
      <c r="F96" s="1220">
        <v>3649355</v>
      </c>
      <c r="G96" s="1221">
        <f t="shared" si="1"/>
        <v>3649355</v>
      </c>
      <c r="H96" s="1219">
        <v>2162572</v>
      </c>
      <c r="I96" s="1222">
        <v>3074826</v>
      </c>
      <c r="J96" s="1223">
        <v>210896</v>
      </c>
      <c r="K96" s="1223">
        <v>0</v>
      </c>
      <c r="L96" s="1219">
        <v>363633</v>
      </c>
      <c r="M96" s="2">
        <v>298672</v>
      </c>
      <c r="N96" s="6">
        <v>89725</v>
      </c>
      <c r="O96" s="2"/>
      <c r="P96" s="2"/>
    </row>
    <row r="97" spans="3:16" ht="12.75" customHeight="1" x14ac:dyDescent="0.2">
      <c r="C97" s="5" t="s">
        <v>77</v>
      </c>
      <c r="D97" s="1221">
        <v>21762</v>
      </c>
      <c r="E97" s="1224">
        <v>704450</v>
      </c>
      <c r="F97" s="1220">
        <v>1109871</v>
      </c>
      <c r="G97" s="1221">
        <f t="shared" si="1"/>
        <v>1814321</v>
      </c>
      <c r="H97" s="1224">
        <v>1209856</v>
      </c>
      <c r="I97" s="1223">
        <v>1536487</v>
      </c>
      <c r="J97" s="1223">
        <v>71983</v>
      </c>
      <c r="K97" s="1223">
        <v>51100</v>
      </c>
      <c r="L97" s="1224">
        <v>154751</v>
      </c>
      <c r="M97" s="2">
        <v>128163</v>
      </c>
      <c r="N97" s="6">
        <v>111435</v>
      </c>
      <c r="O97" s="2"/>
      <c r="P97" s="2"/>
    </row>
    <row r="98" spans="3:16" x14ac:dyDescent="0.2">
      <c r="C98" t="s">
        <v>28</v>
      </c>
      <c r="D98" s="1218">
        <v>72155</v>
      </c>
      <c r="E98" s="1219">
        <v>0</v>
      </c>
      <c r="F98" s="1220">
        <v>5395043</v>
      </c>
      <c r="G98" s="1221">
        <f t="shared" si="1"/>
        <v>5395043</v>
      </c>
      <c r="H98" s="1219">
        <v>3351341</v>
      </c>
      <c r="I98" s="1222">
        <v>4309781</v>
      </c>
      <c r="J98" s="1223">
        <v>185705</v>
      </c>
      <c r="K98" s="1223">
        <v>3667</v>
      </c>
      <c r="L98" s="1219">
        <v>895890</v>
      </c>
      <c r="M98" s="2">
        <v>204057</v>
      </c>
      <c r="N98" s="6">
        <v>224064</v>
      </c>
      <c r="O98" s="2"/>
      <c r="P98" s="2"/>
    </row>
    <row r="99" spans="3:16" ht="12.75" customHeight="1" x14ac:dyDescent="0.2">
      <c r="C99" s="1240" t="s">
        <v>104</v>
      </c>
      <c r="D99" s="1221">
        <v>86970</v>
      </c>
      <c r="E99" s="1224">
        <v>0</v>
      </c>
      <c r="F99" s="1220">
        <v>6495771</v>
      </c>
      <c r="G99" s="1221">
        <f t="shared" si="1"/>
        <v>6495771</v>
      </c>
      <c r="H99" s="1224">
        <v>4543111</v>
      </c>
      <c r="I99" s="1223">
        <v>6077300</v>
      </c>
      <c r="J99" s="1223">
        <v>0</v>
      </c>
      <c r="K99" s="1223">
        <v>0</v>
      </c>
      <c r="L99" s="1224">
        <v>418471</v>
      </c>
      <c r="M99" s="2">
        <v>662773</v>
      </c>
      <c r="N99" s="6">
        <v>325931</v>
      </c>
      <c r="O99" s="2"/>
      <c r="P99" s="2"/>
    </row>
    <row r="100" spans="3:16" ht="12.75" customHeight="1" x14ac:dyDescent="0.2">
      <c r="C100" s="1240" t="s">
        <v>59</v>
      </c>
      <c r="D100" s="1218">
        <v>45784</v>
      </c>
      <c r="E100" s="1219">
        <v>2012648</v>
      </c>
      <c r="F100" s="1220">
        <v>1832185</v>
      </c>
      <c r="G100" s="1221">
        <f t="shared" si="1"/>
        <v>3844833</v>
      </c>
      <c r="H100" s="1219">
        <v>2542684</v>
      </c>
      <c r="I100" s="1222">
        <v>3531449</v>
      </c>
      <c r="J100" s="1223">
        <v>217986</v>
      </c>
      <c r="K100" s="1223">
        <v>5536</v>
      </c>
      <c r="L100" s="1219">
        <v>89862</v>
      </c>
      <c r="M100" s="2">
        <v>302138</v>
      </c>
      <c r="N100" s="6">
        <v>130434</v>
      </c>
      <c r="O100" s="2"/>
      <c r="P100" s="2"/>
    </row>
    <row r="101" spans="3:16" ht="12.75" customHeight="1" x14ac:dyDescent="0.2">
      <c r="C101" s="1240" t="s">
        <v>78</v>
      </c>
      <c r="D101" s="1221">
        <v>11857</v>
      </c>
      <c r="E101" s="1224">
        <v>0</v>
      </c>
      <c r="F101" s="1220">
        <v>975572</v>
      </c>
      <c r="G101" s="1221">
        <f t="shared" si="1"/>
        <v>975572</v>
      </c>
      <c r="H101" s="1224">
        <v>733954</v>
      </c>
      <c r="I101" s="1223">
        <v>903188</v>
      </c>
      <c r="J101" s="1223">
        <v>0</v>
      </c>
      <c r="K101" s="1223">
        <v>6216</v>
      </c>
      <c r="L101" s="1224">
        <v>66168</v>
      </c>
      <c r="M101" s="2">
        <v>65557</v>
      </c>
      <c r="N101" s="6">
        <v>62407</v>
      </c>
      <c r="O101" s="2"/>
      <c r="P101" s="2"/>
    </row>
    <row r="102" spans="3:16" ht="12.75" customHeight="1" x14ac:dyDescent="0.2">
      <c r="C102" s="1240" t="s">
        <v>71</v>
      </c>
      <c r="D102" s="1218">
        <v>10699</v>
      </c>
      <c r="E102" s="1219">
        <v>0</v>
      </c>
      <c r="F102" s="1220">
        <v>872886</v>
      </c>
      <c r="G102" s="1221">
        <f t="shared" si="1"/>
        <v>872886</v>
      </c>
      <c r="H102" s="1219">
        <v>598977</v>
      </c>
      <c r="I102" s="1222">
        <v>756385</v>
      </c>
      <c r="J102" s="1223">
        <v>9633</v>
      </c>
      <c r="K102" s="1223">
        <v>0</v>
      </c>
      <c r="L102" s="1219">
        <v>106868</v>
      </c>
      <c r="M102" s="2">
        <v>31120</v>
      </c>
      <c r="N102" s="6">
        <v>25709</v>
      </c>
      <c r="O102" s="2"/>
      <c r="P102" s="2"/>
    </row>
    <row r="103" spans="3:16" ht="12.75" customHeight="1" x14ac:dyDescent="0.2">
      <c r="C103" s="1240" t="s">
        <v>101</v>
      </c>
      <c r="D103" s="1221">
        <v>202428</v>
      </c>
      <c r="E103" s="1224">
        <v>5978830</v>
      </c>
      <c r="F103" s="1220">
        <v>10752594</v>
      </c>
      <c r="G103" s="1221">
        <f t="shared" si="1"/>
        <v>16731424</v>
      </c>
      <c r="H103" s="1224">
        <v>10506585</v>
      </c>
      <c r="I103" s="1223">
        <v>14114541</v>
      </c>
      <c r="J103" s="1223">
        <v>1208807</v>
      </c>
      <c r="K103" s="1223">
        <v>6677</v>
      </c>
      <c r="L103" s="1224">
        <v>1401399</v>
      </c>
      <c r="M103" s="2">
        <v>1086790</v>
      </c>
      <c r="N103" s="6">
        <v>324185</v>
      </c>
      <c r="O103" s="2"/>
      <c r="P103" s="2"/>
    </row>
    <row r="104" spans="3:16" ht="12.75" customHeight="1" x14ac:dyDescent="0.2">
      <c r="C104" s="1240" t="s">
        <v>100</v>
      </c>
      <c r="D104" s="1218">
        <v>225356</v>
      </c>
      <c r="E104" s="1219">
        <v>8395630</v>
      </c>
      <c r="F104" s="1220">
        <v>9077225</v>
      </c>
      <c r="G104" s="1221">
        <f t="shared" si="1"/>
        <v>17472855</v>
      </c>
      <c r="H104" s="1219">
        <v>11979141</v>
      </c>
      <c r="I104" s="1222">
        <v>16231538</v>
      </c>
      <c r="J104" s="1223">
        <v>204331</v>
      </c>
      <c r="K104" s="1223">
        <v>46734</v>
      </c>
      <c r="L104" s="1219">
        <v>990252</v>
      </c>
      <c r="M104" s="2">
        <v>789980</v>
      </c>
      <c r="N104" s="6">
        <v>776070</v>
      </c>
      <c r="O104" s="2"/>
      <c r="P104" s="2"/>
    </row>
    <row r="105" spans="3:16" ht="12.75" customHeight="1" x14ac:dyDescent="0.2">
      <c r="C105" s="1240" t="s">
        <v>6</v>
      </c>
      <c r="D105" s="1221">
        <v>43627</v>
      </c>
      <c r="E105" s="1224">
        <v>0</v>
      </c>
      <c r="F105" s="1220">
        <v>2040126</v>
      </c>
      <c r="G105" s="1221">
        <f t="shared" si="1"/>
        <v>2040126</v>
      </c>
      <c r="H105" s="1224">
        <v>1539510</v>
      </c>
      <c r="I105" s="1223">
        <v>1788087</v>
      </c>
      <c r="J105" s="1223">
        <v>0</v>
      </c>
      <c r="K105" s="1223">
        <v>0</v>
      </c>
      <c r="L105" s="1224">
        <v>252039</v>
      </c>
      <c r="M105" s="2">
        <v>37140</v>
      </c>
      <c r="N105" s="6">
        <v>102806</v>
      </c>
      <c r="O105" s="2"/>
      <c r="P105" s="2"/>
    </row>
    <row r="106" spans="3:16" ht="12.75" customHeight="1" x14ac:dyDescent="0.2">
      <c r="C106" s="1240" t="s">
        <v>25</v>
      </c>
      <c r="D106" s="1218">
        <v>3274</v>
      </c>
      <c r="E106" s="1219">
        <v>0</v>
      </c>
      <c r="F106" s="1220">
        <v>198959</v>
      </c>
      <c r="G106" s="1221">
        <f t="shared" si="1"/>
        <v>198959</v>
      </c>
      <c r="H106" s="1219">
        <v>136946</v>
      </c>
      <c r="I106" s="1222">
        <v>143674</v>
      </c>
      <c r="J106" s="1223">
        <v>0</v>
      </c>
      <c r="K106" s="1223">
        <v>0</v>
      </c>
      <c r="L106" s="1219">
        <v>55285</v>
      </c>
      <c r="M106" s="2">
        <v>570</v>
      </c>
      <c r="N106" s="6">
        <v>3659</v>
      </c>
      <c r="O106" s="2"/>
      <c r="P106" s="2"/>
    </row>
    <row r="107" spans="3:16" ht="12.75" customHeight="1" x14ac:dyDescent="0.2">
      <c r="C107" s="1240" t="s">
        <v>76</v>
      </c>
      <c r="D107" s="1221">
        <v>42165</v>
      </c>
      <c r="E107" s="1224">
        <v>0</v>
      </c>
      <c r="F107" s="1220">
        <v>3853617</v>
      </c>
      <c r="G107" s="1221">
        <f t="shared" si="1"/>
        <v>3853617</v>
      </c>
      <c r="H107" s="1224">
        <v>2530554</v>
      </c>
      <c r="I107" s="1223">
        <v>3453103</v>
      </c>
      <c r="J107" s="1223">
        <v>14294</v>
      </c>
      <c r="K107" s="1223">
        <v>146</v>
      </c>
      <c r="L107" s="1224">
        <v>386074</v>
      </c>
      <c r="M107" s="2">
        <v>406613</v>
      </c>
      <c r="N107" s="6">
        <v>107675</v>
      </c>
      <c r="O107" s="2"/>
      <c r="P107" s="2"/>
    </row>
    <row r="108" spans="3:16" ht="12.75" customHeight="1" x14ac:dyDescent="0.2">
      <c r="C108" s="1240" t="s">
        <v>144</v>
      </c>
      <c r="D108" s="1218">
        <v>240666</v>
      </c>
      <c r="E108" s="1219">
        <v>10106977</v>
      </c>
      <c r="F108" s="1220">
        <v>9754741</v>
      </c>
      <c r="G108" s="1221">
        <f t="shared" si="1"/>
        <v>19861718</v>
      </c>
      <c r="H108" s="1219">
        <v>12981391</v>
      </c>
      <c r="I108" s="1222">
        <v>18489593</v>
      </c>
      <c r="J108" s="1223">
        <v>434837</v>
      </c>
      <c r="K108" s="1223">
        <v>11983</v>
      </c>
      <c r="L108" s="1219">
        <v>925305</v>
      </c>
      <c r="M108" s="2">
        <v>1376994</v>
      </c>
      <c r="N108" s="6">
        <v>781228</v>
      </c>
      <c r="O108" s="2"/>
      <c r="P108" s="2"/>
    </row>
    <row r="109" spans="3:16" ht="12.75" customHeight="1" x14ac:dyDescent="0.2">
      <c r="C109" s="1240" t="s">
        <v>60</v>
      </c>
      <c r="D109" s="1221">
        <v>72293</v>
      </c>
      <c r="E109" s="1224">
        <v>0</v>
      </c>
      <c r="F109" s="1220">
        <v>4763919</v>
      </c>
      <c r="G109" s="1221">
        <f t="shared" si="1"/>
        <v>4763919</v>
      </c>
      <c r="H109" s="1224">
        <v>3186187</v>
      </c>
      <c r="I109" s="1223">
        <v>3916901</v>
      </c>
      <c r="J109" s="1223">
        <v>165190</v>
      </c>
      <c r="K109" s="1223">
        <v>5</v>
      </c>
      <c r="L109" s="1224">
        <v>681823</v>
      </c>
      <c r="M109" s="2">
        <v>191734</v>
      </c>
      <c r="N109" s="6">
        <v>61025</v>
      </c>
      <c r="O109" s="2"/>
      <c r="P109" s="2"/>
    </row>
    <row r="110" spans="3:16" ht="12.75" customHeight="1" x14ac:dyDescent="0.2">
      <c r="C110" s="1240" t="s">
        <v>54</v>
      </c>
      <c r="D110" s="1218">
        <v>70206</v>
      </c>
      <c r="E110" s="1219">
        <v>4157978</v>
      </c>
      <c r="F110" s="1220">
        <v>2627367</v>
      </c>
      <c r="G110" s="1221">
        <f t="shared" si="1"/>
        <v>6785345</v>
      </c>
      <c r="H110" s="1219">
        <v>4159382</v>
      </c>
      <c r="I110" s="1222">
        <v>6187952</v>
      </c>
      <c r="J110" s="1223">
        <v>1250</v>
      </c>
      <c r="K110" s="1223">
        <v>145251</v>
      </c>
      <c r="L110" s="1219">
        <v>450892</v>
      </c>
      <c r="M110" s="2">
        <v>637788</v>
      </c>
      <c r="N110" s="6">
        <v>114905</v>
      </c>
      <c r="O110" s="2"/>
      <c r="P110" s="2"/>
    </row>
    <row r="111" spans="3:16" ht="12.75" customHeight="1" x14ac:dyDescent="0.2">
      <c r="C111" s="1240" t="s">
        <v>1</v>
      </c>
      <c r="D111" s="1221">
        <v>48946</v>
      </c>
      <c r="E111" s="1224">
        <v>0</v>
      </c>
      <c r="F111" s="1220">
        <v>11127408</v>
      </c>
      <c r="G111" s="1221">
        <f t="shared" si="1"/>
        <v>11127408</v>
      </c>
      <c r="H111" s="1224">
        <v>3759740</v>
      </c>
      <c r="I111" s="1223">
        <v>6525968</v>
      </c>
      <c r="J111" s="1223">
        <v>3978656</v>
      </c>
      <c r="K111" s="1223">
        <v>45717</v>
      </c>
      <c r="L111" s="1224">
        <v>577067</v>
      </c>
      <c r="M111" s="2">
        <v>1297302</v>
      </c>
      <c r="N111" s="6">
        <v>337575</v>
      </c>
      <c r="O111" s="2"/>
      <c r="P111" s="2"/>
    </row>
    <row r="112" spans="3:16" ht="12.75" customHeight="1" x14ac:dyDescent="0.2">
      <c r="C112" s="1240" t="s">
        <v>2</v>
      </c>
      <c r="D112" s="1218">
        <v>217959</v>
      </c>
      <c r="E112" s="1219">
        <v>358300</v>
      </c>
      <c r="F112" s="1220">
        <v>16692338</v>
      </c>
      <c r="G112" s="1221">
        <f t="shared" si="1"/>
        <v>17050638</v>
      </c>
      <c r="H112" s="1219">
        <v>10176243</v>
      </c>
      <c r="I112" s="1222">
        <v>13928344</v>
      </c>
      <c r="J112" s="1223">
        <v>2016372</v>
      </c>
      <c r="K112" s="1223">
        <v>1191</v>
      </c>
      <c r="L112" s="1219">
        <v>1104731</v>
      </c>
      <c r="M112" s="2">
        <v>1044114</v>
      </c>
      <c r="N112" s="6">
        <v>686741</v>
      </c>
      <c r="O112" s="2"/>
      <c r="P112" s="2"/>
    </row>
    <row r="113" spans="3:16" ht="12.75" customHeight="1" x14ac:dyDescent="0.2">
      <c r="C113" s="5" t="s">
        <v>107</v>
      </c>
      <c r="D113" s="1221">
        <v>126819</v>
      </c>
      <c r="E113" s="1224">
        <v>0</v>
      </c>
      <c r="F113" s="1220">
        <v>12239079</v>
      </c>
      <c r="G113" s="1221">
        <f t="shared" si="1"/>
        <v>12239079</v>
      </c>
      <c r="H113" s="1224">
        <v>6495045</v>
      </c>
      <c r="I113" s="1223">
        <v>9798067</v>
      </c>
      <c r="J113" s="1223">
        <v>878655</v>
      </c>
      <c r="K113" s="1223">
        <v>62418</v>
      </c>
      <c r="L113" s="1224">
        <v>1499939</v>
      </c>
      <c r="M113" s="2">
        <v>712710</v>
      </c>
      <c r="N113" s="6">
        <v>474432</v>
      </c>
      <c r="O113" s="2"/>
      <c r="P113" s="2"/>
    </row>
    <row r="114" spans="3:16" ht="12.75" customHeight="1" x14ac:dyDescent="0.2">
      <c r="C114" s="5" t="s">
        <v>108</v>
      </c>
      <c r="D114" s="1218">
        <v>30300</v>
      </c>
      <c r="E114" s="1219">
        <v>0</v>
      </c>
      <c r="F114" s="1220">
        <v>2183705</v>
      </c>
      <c r="G114" s="1221">
        <f t="shared" si="1"/>
        <v>2183705</v>
      </c>
      <c r="H114" s="1219">
        <v>1358947</v>
      </c>
      <c r="I114" s="1222">
        <v>1793705</v>
      </c>
      <c r="J114" s="1223">
        <v>16354</v>
      </c>
      <c r="K114" s="1223">
        <v>0</v>
      </c>
      <c r="L114" s="1219">
        <v>373646</v>
      </c>
      <c r="M114" s="2">
        <v>94478</v>
      </c>
      <c r="N114" s="6">
        <v>121954</v>
      </c>
      <c r="O114" s="2"/>
      <c r="P114" s="2"/>
    </row>
    <row r="115" spans="3:16" ht="12.75" customHeight="1" x14ac:dyDescent="0.2">
      <c r="C115" s="5" t="s">
        <v>80</v>
      </c>
      <c r="D115" s="1221">
        <v>18083</v>
      </c>
      <c r="E115" s="1224">
        <v>0</v>
      </c>
      <c r="F115" s="1220">
        <v>1237668</v>
      </c>
      <c r="G115" s="1221">
        <f t="shared" si="1"/>
        <v>1237668</v>
      </c>
      <c r="H115" s="1224">
        <v>446441</v>
      </c>
      <c r="I115" s="1223">
        <v>507501</v>
      </c>
      <c r="J115" s="1223">
        <v>0</v>
      </c>
      <c r="K115" s="1223">
        <v>0</v>
      </c>
      <c r="L115" s="1224">
        <v>730167</v>
      </c>
      <c r="M115" s="2">
        <v>6842</v>
      </c>
      <c r="N115" s="6">
        <v>42457</v>
      </c>
      <c r="O115" s="2"/>
      <c r="P115" s="2"/>
    </row>
    <row r="116" spans="3:16" ht="12.75" customHeight="1" x14ac:dyDescent="0.2">
      <c r="C116" s="5" t="s">
        <v>143</v>
      </c>
      <c r="D116" s="1218">
        <v>18790</v>
      </c>
      <c r="E116" s="1219">
        <v>0</v>
      </c>
      <c r="F116" s="1220">
        <v>1082812</v>
      </c>
      <c r="G116" s="1221">
        <f t="shared" si="1"/>
        <v>1082812</v>
      </c>
      <c r="H116" s="1219">
        <v>503735</v>
      </c>
      <c r="I116" s="1222">
        <v>594561</v>
      </c>
      <c r="J116" s="1223">
        <v>19713</v>
      </c>
      <c r="K116" s="1223">
        <v>32620</v>
      </c>
      <c r="L116" s="1219">
        <v>435918</v>
      </c>
      <c r="M116" s="2">
        <v>12247</v>
      </c>
      <c r="N116" s="6">
        <v>54657</v>
      </c>
      <c r="O116" s="2"/>
      <c r="P116" s="2"/>
    </row>
    <row r="117" spans="3:16" ht="12.75" customHeight="1" x14ac:dyDescent="0.2">
      <c r="C117" s="5" t="s">
        <v>81</v>
      </c>
      <c r="D117" s="1221">
        <v>11249</v>
      </c>
      <c r="E117" s="1224">
        <v>0</v>
      </c>
      <c r="F117" s="1220">
        <v>1105162</v>
      </c>
      <c r="G117" s="1221">
        <f t="shared" si="1"/>
        <v>1105162</v>
      </c>
      <c r="H117" s="1224">
        <v>554143</v>
      </c>
      <c r="I117" s="1223">
        <v>595288</v>
      </c>
      <c r="J117" s="1223">
        <v>0</v>
      </c>
      <c r="K117" s="1223">
        <v>0</v>
      </c>
      <c r="L117" s="1224">
        <v>509874</v>
      </c>
      <c r="M117" s="2">
        <v>0</v>
      </c>
      <c r="N117" s="6">
        <v>27388</v>
      </c>
      <c r="O117" s="2"/>
      <c r="P117" s="2"/>
    </row>
    <row r="118" spans="3:16" ht="12.75" customHeight="1" x14ac:dyDescent="0.2">
      <c r="C118" s="1240" t="s">
        <v>83</v>
      </c>
      <c r="D118" s="1218">
        <v>15298</v>
      </c>
      <c r="E118" s="1219">
        <v>0</v>
      </c>
      <c r="F118" s="1220">
        <v>1176954</v>
      </c>
      <c r="G118" s="1221">
        <f t="shared" si="1"/>
        <v>1176954</v>
      </c>
      <c r="H118" s="1219">
        <v>414989</v>
      </c>
      <c r="I118" s="1222">
        <v>494974</v>
      </c>
      <c r="J118" s="1223">
        <v>0</v>
      </c>
      <c r="K118" s="1223">
        <v>0</v>
      </c>
      <c r="L118" s="1219">
        <v>681980</v>
      </c>
      <c r="M118" s="2">
        <v>4620</v>
      </c>
      <c r="N118" s="6">
        <v>57093</v>
      </c>
      <c r="O118" s="2"/>
      <c r="P118" s="2"/>
    </row>
    <row r="119" spans="3:16" ht="12.75" customHeight="1" x14ac:dyDescent="0.2">
      <c r="C119" s="5" t="s">
        <v>82</v>
      </c>
      <c r="D119" s="1221">
        <v>18586</v>
      </c>
      <c r="E119" s="1224">
        <v>0</v>
      </c>
      <c r="F119" s="1220">
        <v>879041</v>
      </c>
      <c r="G119" s="1221">
        <f t="shared" si="1"/>
        <v>879041</v>
      </c>
      <c r="H119" s="1224">
        <v>654832</v>
      </c>
      <c r="I119" s="1223">
        <v>761229</v>
      </c>
      <c r="J119" s="1223">
        <v>0</v>
      </c>
      <c r="K119" s="1223">
        <v>0</v>
      </c>
      <c r="L119" s="1224">
        <v>117812</v>
      </c>
      <c r="M119" s="2">
        <v>4991</v>
      </c>
      <c r="N119" s="6">
        <v>64322</v>
      </c>
      <c r="O119" s="2"/>
      <c r="P119" s="2"/>
    </row>
    <row r="120" spans="3:16" ht="12.75" customHeight="1" x14ac:dyDescent="0.2">
      <c r="C120" s="5" t="s">
        <v>145</v>
      </c>
      <c r="D120" s="1218">
        <v>8754</v>
      </c>
      <c r="E120" s="1219">
        <v>0</v>
      </c>
      <c r="F120" s="1220">
        <v>595486</v>
      </c>
      <c r="G120" s="1221">
        <f t="shared" si="1"/>
        <v>595486</v>
      </c>
      <c r="H120" s="1219">
        <v>320280</v>
      </c>
      <c r="I120" s="1222">
        <v>368019</v>
      </c>
      <c r="J120" s="1223">
        <v>0</v>
      </c>
      <c r="K120" s="1223">
        <v>0</v>
      </c>
      <c r="L120" s="1219">
        <v>227467</v>
      </c>
      <c r="M120" s="2">
        <v>2769</v>
      </c>
      <c r="N120" s="6">
        <v>24924</v>
      </c>
      <c r="O120" s="2"/>
      <c r="P120" s="2"/>
    </row>
    <row r="121" spans="3:16" ht="12.75" customHeight="1" x14ac:dyDescent="0.2">
      <c r="C121" s="5" t="s">
        <v>66</v>
      </c>
      <c r="D121" s="1221">
        <v>60426</v>
      </c>
      <c r="E121" s="1224">
        <v>0</v>
      </c>
      <c r="F121" s="1220">
        <v>3262928</v>
      </c>
      <c r="G121" s="1221">
        <f t="shared" si="1"/>
        <v>3262928</v>
      </c>
      <c r="H121" s="1224">
        <v>2339649</v>
      </c>
      <c r="I121" s="1223">
        <v>2657961</v>
      </c>
      <c r="J121" s="1223">
        <v>88440</v>
      </c>
      <c r="K121" s="1223">
        <v>88602</v>
      </c>
      <c r="L121" s="1224">
        <v>427925</v>
      </c>
      <c r="M121" s="2">
        <v>45678</v>
      </c>
      <c r="N121" s="6">
        <v>138916</v>
      </c>
      <c r="O121" s="2"/>
      <c r="P121" s="2"/>
    </row>
    <row r="122" spans="3:16" ht="12.75" customHeight="1" x14ac:dyDescent="0.2">
      <c r="C122" s="1240" t="s">
        <v>7</v>
      </c>
      <c r="D122" s="1218">
        <v>201086</v>
      </c>
      <c r="E122" s="1219">
        <v>0</v>
      </c>
      <c r="F122" s="1220">
        <v>18655148</v>
      </c>
      <c r="G122" s="1221">
        <f t="shared" si="1"/>
        <v>18655148</v>
      </c>
      <c r="H122" s="1219">
        <v>10859128</v>
      </c>
      <c r="I122" s="1222">
        <v>16466464</v>
      </c>
      <c r="J122" s="1223">
        <v>541845</v>
      </c>
      <c r="K122" s="1223">
        <v>71839</v>
      </c>
      <c r="L122" s="1219">
        <v>1575000</v>
      </c>
      <c r="M122" s="2">
        <v>1422243</v>
      </c>
      <c r="N122" s="6">
        <v>815396</v>
      </c>
      <c r="O122" s="2"/>
      <c r="P122" s="2"/>
    </row>
    <row r="123" spans="3:16" ht="12.75" customHeight="1" x14ac:dyDescent="0.2">
      <c r="C123" s="1240" t="s">
        <v>141</v>
      </c>
      <c r="D123" s="1221">
        <v>25295</v>
      </c>
      <c r="E123" s="1224">
        <v>0</v>
      </c>
      <c r="F123" s="1220">
        <v>2347751</v>
      </c>
      <c r="G123" s="1221">
        <f t="shared" si="1"/>
        <v>2347751</v>
      </c>
      <c r="H123" s="1224">
        <v>1165253</v>
      </c>
      <c r="I123" s="1223">
        <v>1515703</v>
      </c>
      <c r="J123" s="1223">
        <v>538843</v>
      </c>
      <c r="K123" s="1223">
        <v>1899</v>
      </c>
      <c r="L123" s="1224">
        <v>291306</v>
      </c>
      <c r="M123" s="2">
        <v>52722</v>
      </c>
      <c r="N123" s="6">
        <v>119195</v>
      </c>
      <c r="O123" s="2"/>
      <c r="P123" s="2"/>
    </row>
    <row r="124" spans="3:16" ht="12.75" customHeight="1" x14ac:dyDescent="0.2">
      <c r="C124" s="1240" t="s">
        <v>495</v>
      </c>
      <c r="D124" s="1218">
        <v>9112</v>
      </c>
      <c r="E124" s="1219">
        <v>0</v>
      </c>
      <c r="F124" s="1220">
        <v>975605</v>
      </c>
      <c r="G124" s="1221">
        <f t="shared" si="1"/>
        <v>975605</v>
      </c>
      <c r="H124" s="1219">
        <v>754890</v>
      </c>
      <c r="I124" s="1222">
        <v>892530</v>
      </c>
      <c r="J124" s="1223">
        <v>0</v>
      </c>
      <c r="K124" s="1223">
        <v>0</v>
      </c>
      <c r="L124" s="1219">
        <v>83075</v>
      </c>
      <c r="M124" s="2">
        <v>58919</v>
      </c>
      <c r="N124" s="6">
        <v>18347</v>
      </c>
      <c r="O124" s="2"/>
      <c r="P124" s="2"/>
    </row>
    <row r="125" spans="3:16" ht="12.75" customHeight="1" x14ac:dyDescent="0.2">
      <c r="C125" s="1240" t="s">
        <v>128</v>
      </c>
      <c r="D125" s="1221">
        <v>24229</v>
      </c>
      <c r="E125" s="1224">
        <v>0</v>
      </c>
      <c r="F125" s="1220">
        <v>2044743</v>
      </c>
      <c r="G125" s="1221">
        <f t="shared" si="1"/>
        <v>2044743</v>
      </c>
      <c r="H125" s="1224">
        <v>1211703</v>
      </c>
      <c r="I125" s="1223">
        <v>1752782</v>
      </c>
      <c r="J125" s="1223">
        <v>211123</v>
      </c>
      <c r="K125" s="1223">
        <v>1241</v>
      </c>
      <c r="L125" s="1224">
        <v>79597</v>
      </c>
      <c r="M125" s="2">
        <v>267890</v>
      </c>
      <c r="N125" s="6">
        <v>15854</v>
      </c>
      <c r="O125" s="2"/>
      <c r="P125" s="2"/>
    </row>
    <row r="126" spans="3:16" ht="12.75" customHeight="1" x14ac:dyDescent="0.2">
      <c r="C126" s="1240" t="s">
        <v>127</v>
      </c>
      <c r="D126" s="1218">
        <v>33195</v>
      </c>
      <c r="E126" s="1219">
        <v>0</v>
      </c>
      <c r="F126" s="1220">
        <v>2943347</v>
      </c>
      <c r="G126" s="1221">
        <f t="shared" si="1"/>
        <v>2943347</v>
      </c>
      <c r="H126" s="1219">
        <v>1727351</v>
      </c>
      <c r="I126" s="1222">
        <v>2425006</v>
      </c>
      <c r="J126" s="1223">
        <v>215575</v>
      </c>
      <c r="K126" s="1223">
        <v>0</v>
      </c>
      <c r="L126" s="1219">
        <v>302766</v>
      </c>
      <c r="M126" s="2">
        <v>331157</v>
      </c>
      <c r="N126" s="6">
        <v>116692</v>
      </c>
      <c r="O126" s="2"/>
      <c r="P126" s="2"/>
    </row>
    <row r="127" spans="3:16" ht="12.75" customHeight="1" x14ac:dyDescent="0.2">
      <c r="C127" s="1240" t="s">
        <v>129</v>
      </c>
      <c r="D127" s="1221">
        <v>8959</v>
      </c>
      <c r="E127" s="1224">
        <v>0</v>
      </c>
      <c r="F127" s="1220">
        <v>1053512</v>
      </c>
      <c r="G127" s="1221">
        <f t="shared" si="1"/>
        <v>1053512</v>
      </c>
      <c r="H127" s="1224">
        <v>406518</v>
      </c>
      <c r="I127" s="1223">
        <v>767205</v>
      </c>
      <c r="J127" s="1223">
        <v>172748</v>
      </c>
      <c r="K127" s="1223">
        <v>0</v>
      </c>
      <c r="L127" s="1224">
        <v>113559</v>
      </c>
      <c r="M127" s="2">
        <v>154280</v>
      </c>
      <c r="N127" s="6">
        <v>44786</v>
      </c>
      <c r="O127" s="2"/>
      <c r="P127" s="2"/>
    </row>
    <row r="128" spans="3:16" ht="12.75" customHeight="1" x14ac:dyDescent="0.2">
      <c r="C128" s="1240" t="s">
        <v>130</v>
      </c>
      <c r="D128" s="1218">
        <v>5007</v>
      </c>
      <c r="E128" s="1219">
        <v>0</v>
      </c>
      <c r="F128" s="1220">
        <v>616747</v>
      </c>
      <c r="G128" s="1221">
        <f t="shared" si="1"/>
        <v>616747</v>
      </c>
      <c r="H128" s="1219">
        <v>212527</v>
      </c>
      <c r="I128" s="1222">
        <v>418205</v>
      </c>
      <c r="J128" s="1223">
        <v>113976</v>
      </c>
      <c r="K128" s="1223">
        <v>16671</v>
      </c>
      <c r="L128" s="1219">
        <v>67895</v>
      </c>
      <c r="M128" s="2">
        <v>81819</v>
      </c>
      <c r="N128" s="6">
        <v>30485</v>
      </c>
      <c r="O128" s="2"/>
      <c r="P128" s="2"/>
    </row>
    <row r="129" spans="2:16" ht="12.75" customHeight="1" x14ac:dyDescent="0.2">
      <c r="C129" s="1240" t="s">
        <v>51</v>
      </c>
      <c r="D129" s="1221">
        <v>50570</v>
      </c>
      <c r="E129" s="1224">
        <v>0</v>
      </c>
      <c r="F129" s="1220">
        <v>6789926</v>
      </c>
      <c r="G129" s="1221">
        <f t="shared" si="1"/>
        <v>6789926</v>
      </c>
      <c r="H129" s="1224">
        <v>2314691</v>
      </c>
      <c r="I129" s="1223">
        <v>3338484</v>
      </c>
      <c r="J129" s="1223">
        <v>3213248</v>
      </c>
      <c r="K129" s="1223">
        <v>0</v>
      </c>
      <c r="L129" s="1224">
        <v>238194</v>
      </c>
      <c r="M129" s="2">
        <v>296707</v>
      </c>
      <c r="N129" s="6">
        <v>123561</v>
      </c>
      <c r="O129" s="2"/>
      <c r="P129" s="2"/>
    </row>
    <row r="130" spans="2:16" ht="12.75" customHeight="1" x14ac:dyDescent="0.2">
      <c r="C130" s="5" t="s">
        <v>57</v>
      </c>
      <c r="D130" s="1218">
        <v>178288</v>
      </c>
      <c r="E130" s="1219">
        <v>3214047</v>
      </c>
      <c r="F130" s="1220">
        <v>7566373</v>
      </c>
      <c r="G130" s="1221">
        <f t="shared" si="1"/>
        <v>10780420</v>
      </c>
      <c r="H130" s="1219">
        <v>7385174</v>
      </c>
      <c r="I130" s="1222">
        <v>9754918</v>
      </c>
      <c r="J130" s="1223">
        <v>690439</v>
      </c>
      <c r="K130" s="1223">
        <v>0</v>
      </c>
      <c r="L130" s="1219">
        <v>335063</v>
      </c>
      <c r="M130" s="2">
        <v>92565</v>
      </c>
      <c r="N130" s="6">
        <v>619613</v>
      </c>
      <c r="O130" s="2"/>
      <c r="P130" s="2"/>
    </row>
    <row r="131" spans="2:16" ht="12.75" customHeight="1" x14ac:dyDescent="0.2">
      <c r="C131" s="5" t="s">
        <v>97</v>
      </c>
      <c r="D131" s="1221">
        <v>128498</v>
      </c>
      <c r="E131" s="1224">
        <v>5761562</v>
      </c>
      <c r="F131" s="1220">
        <v>3264847</v>
      </c>
      <c r="G131" s="1221">
        <f t="shared" si="1"/>
        <v>9026409</v>
      </c>
      <c r="H131" s="1224">
        <v>6391012</v>
      </c>
      <c r="I131" s="1223">
        <v>7871200</v>
      </c>
      <c r="J131" s="1223">
        <v>146265</v>
      </c>
      <c r="K131" s="1223">
        <v>0</v>
      </c>
      <c r="L131" s="1224">
        <v>1008944</v>
      </c>
      <c r="M131" s="2">
        <v>458582</v>
      </c>
      <c r="N131" s="6">
        <v>382087</v>
      </c>
      <c r="O131" s="2"/>
      <c r="P131" s="2"/>
    </row>
    <row r="132" spans="2:16" ht="12.75" customHeight="1" x14ac:dyDescent="0.2">
      <c r="C132" s="5" t="s">
        <v>98</v>
      </c>
      <c r="D132" s="1218">
        <v>56849</v>
      </c>
      <c r="E132" s="1219">
        <v>1552900</v>
      </c>
      <c r="F132" s="1220">
        <v>2195351</v>
      </c>
      <c r="G132" s="1221">
        <f t="shared" si="1"/>
        <v>3748251</v>
      </c>
      <c r="H132" s="1219">
        <v>3089478</v>
      </c>
      <c r="I132" s="1222">
        <v>3668674</v>
      </c>
      <c r="J132" s="1223">
        <v>0</v>
      </c>
      <c r="K132" s="1223">
        <v>0</v>
      </c>
      <c r="L132" s="1219">
        <v>79577</v>
      </c>
      <c r="M132" s="2">
        <v>146070</v>
      </c>
      <c r="N132" s="6">
        <v>65736</v>
      </c>
      <c r="O132" s="2"/>
      <c r="P132" s="2"/>
    </row>
    <row r="133" spans="2:16" ht="12.75" customHeight="1" x14ac:dyDescent="0.2">
      <c r="C133" s="5" t="s">
        <v>62</v>
      </c>
      <c r="D133" s="1221">
        <v>90733</v>
      </c>
      <c r="E133" s="1224">
        <v>3170330</v>
      </c>
      <c r="F133" s="1220">
        <v>7361927</v>
      </c>
      <c r="G133" s="1221">
        <f t="shared" ref="G133:G183" si="2">+F133+E133</f>
        <v>10532257</v>
      </c>
      <c r="H133" s="1224">
        <v>7016833</v>
      </c>
      <c r="I133" s="1223">
        <v>9715642</v>
      </c>
      <c r="J133" s="1223">
        <v>271559</v>
      </c>
      <c r="K133" s="1223">
        <v>62432</v>
      </c>
      <c r="L133" s="1224">
        <v>482624</v>
      </c>
      <c r="M133" s="2">
        <v>737825</v>
      </c>
      <c r="N133" s="6">
        <v>477034</v>
      </c>
      <c r="O133" s="2"/>
      <c r="P133" s="2"/>
    </row>
    <row r="134" spans="2:16" ht="12.75" customHeight="1" x14ac:dyDescent="0.2">
      <c r="C134" s="1240" t="s">
        <v>4</v>
      </c>
      <c r="D134" s="1218">
        <v>11979</v>
      </c>
      <c r="E134" s="1219">
        <v>0</v>
      </c>
      <c r="F134" s="1220">
        <v>1300105</v>
      </c>
      <c r="G134" s="1221">
        <f t="shared" si="2"/>
        <v>1300105</v>
      </c>
      <c r="H134" s="1219">
        <v>733382</v>
      </c>
      <c r="I134" s="1222">
        <v>955043</v>
      </c>
      <c r="J134" s="1223">
        <v>213350</v>
      </c>
      <c r="K134" s="1223">
        <v>14207</v>
      </c>
      <c r="L134" s="1219">
        <v>117505</v>
      </c>
      <c r="M134" s="2">
        <v>75100</v>
      </c>
      <c r="N134" s="6">
        <v>7752</v>
      </c>
      <c r="O134" s="2"/>
      <c r="P134" s="2"/>
    </row>
    <row r="135" spans="2:16" ht="12.75" customHeight="1" x14ac:dyDescent="0.2">
      <c r="C135" s="1240" t="s">
        <v>61</v>
      </c>
      <c r="D135" s="1221">
        <v>187294</v>
      </c>
      <c r="E135" s="1224">
        <v>0</v>
      </c>
      <c r="F135" s="1220">
        <v>13805228</v>
      </c>
      <c r="G135" s="1221">
        <f t="shared" si="2"/>
        <v>13805228</v>
      </c>
      <c r="H135" s="1224">
        <v>9966567</v>
      </c>
      <c r="I135" s="1223">
        <v>12453449</v>
      </c>
      <c r="J135" s="1223">
        <v>230332</v>
      </c>
      <c r="K135" s="1223">
        <v>0</v>
      </c>
      <c r="L135" s="1224">
        <v>1121447</v>
      </c>
      <c r="M135" s="2">
        <v>701349</v>
      </c>
      <c r="N135" s="6">
        <v>43033</v>
      </c>
      <c r="O135" s="2"/>
      <c r="P135" s="2"/>
    </row>
    <row r="136" spans="2:16" ht="12.75" customHeight="1" x14ac:dyDescent="0.2">
      <c r="C136" s="1240" t="s">
        <v>206</v>
      </c>
      <c r="D136" s="1218">
        <v>7078</v>
      </c>
      <c r="E136" s="1219">
        <v>0</v>
      </c>
      <c r="F136" s="1220">
        <v>542675</v>
      </c>
      <c r="G136" s="1221">
        <f t="shared" si="2"/>
        <v>542675</v>
      </c>
      <c r="H136" s="1219">
        <v>385020</v>
      </c>
      <c r="I136" s="1222">
        <v>456486</v>
      </c>
      <c r="J136" s="1223">
        <v>0</v>
      </c>
      <c r="K136" s="1223">
        <v>0</v>
      </c>
      <c r="L136" s="1219">
        <v>86189</v>
      </c>
      <c r="M136" s="2">
        <v>29939</v>
      </c>
      <c r="N136" s="6">
        <v>16463</v>
      </c>
      <c r="O136" s="2"/>
      <c r="P136" s="2"/>
    </row>
    <row r="137" spans="2:16" ht="12.75" customHeight="1" x14ac:dyDescent="0.2">
      <c r="C137" s="1240" t="s">
        <v>196</v>
      </c>
      <c r="D137" s="1221">
        <v>35915</v>
      </c>
      <c r="E137" s="1224">
        <v>0</v>
      </c>
      <c r="F137" s="1220">
        <v>3222715</v>
      </c>
      <c r="G137" s="1221">
        <f t="shared" si="2"/>
        <v>3222715</v>
      </c>
      <c r="H137" s="1224">
        <v>1782988</v>
      </c>
      <c r="I137" s="1223">
        <v>2340274</v>
      </c>
      <c r="J137" s="1223">
        <v>0</v>
      </c>
      <c r="K137" s="1223">
        <v>196560</v>
      </c>
      <c r="L137" s="1224">
        <v>685881</v>
      </c>
      <c r="M137" s="2">
        <v>162055</v>
      </c>
      <c r="N137" s="6">
        <v>258324</v>
      </c>
      <c r="O137" s="2"/>
      <c r="P137" s="2"/>
    </row>
    <row r="138" spans="2:16" x14ac:dyDescent="0.2">
      <c r="B138" s="1240"/>
      <c r="C138" s="5" t="s">
        <v>99</v>
      </c>
      <c r="D138" s="1218">
        <v>36602</v>
      </c>
      <c r="E138" s="1219">
        <v>718629</v>
      </c>
      <c r="F138" s="1220">
        <v>2116997</v>
      </c>
      <c r="G138" s="1221">
        <f t="shared" si="2"/>
        <v>2835626</v>
      </c>
      <c r="H138" s="1219">
        <v>2200849</v>
      </c>
      <c r="I138" s="1222">
        <v>2650546</v>
      </c>
      <c r="J138" s="1223">
        <v>0</v>
      </c>
      <c r="K138" s="1223">
        <v>0</v>
      </c>
      <c r="L138" s="1219">
        <v>185080</v>
      </c>
      <c r="M138" s="2">
        <v>159773</v>
      </c>
      <c r="N138" s="6">
        <v>79641</v>
      </c>
      <c r="O138" s="2"/>
      <c r="P138" s="2"/>
    </row>
    <row r="139" spans="2:16" ht="12.75" customHeight="1" x14ac:dyDescent="0.2">
      <c r="B139" s="1240"/>
      <c r="C139" s="5" t="s">
        <v>248</v>
      </c>
      <c r="D139" s="1221">
        <v>150917</v>
      </c>
      <c r="E139" s="1224">
        <v>4300450</v>
      </c>
      <c r="F139" s="1220">
        <v>7732613</v>
      </c>
      <c r="G139" s="1221">
        <f t="shared" si="2"/>
        <v>12033063</v>
      </c>
      <c r="H139" s="1224">
        <v>8643150</v>
      </c>
      <c r="I139" s="1223">
        <v>11422221</v>
      </c>
      <c r="J139" s="1223">
        <v>205479</v>
      </c>
      <c r="K139" s="1223">
        <v>6632</v>
      </c>
      <c r="L139" s="1224">
        <v>398732</v>
      </c>
      <c r="M139" s="2">
        <v>805486</v>
      </c>
      <c r="N139" s="6">
        <v>311486</v>
      </c>
      <c r="O139" s="2"/>
      <c r="P139" s="2"/>
    </row>
    <row r="140" spans="2:16" ht="12.75" customHeight="1" x14ac:dyDescent="0.2">
      <c r="B140" s="1296"/>
      <c r="C140" s="5" t="s">
        <v>53</v>
      </c>
      <c r="D140" s="1218">
        <v>44050</v>
      </c>
      <c r="E140" s="1219">
        <v>0</v>
      </c>
      <c r="F140" s="1220">
        <v>5604670</v>
      </c>
      <c r="G140" s="1221">
        <f t="shared" si="2"/>
        <v>5604670</v>
      </c>
      <c r="H140" s="1219">
        <v>3271636</v>
      </c>
      <c r="I140" s="1222">
        <v>4481190</v>
      </c>
      <c r="J140" s="1223">
        <v>26668</v>
      </c>
      <c r="K140" s="1223">
        <v>896006</v>
      </c>
      <c r="L140" s="1219">
        <v>200806</v>
      </c>
      <c r="M140" s="2">
        <v>345563</v>
      </c>
      <c r="N140" s="6">
        <v>137147</v>
      </c>
      <c r="O140" s="2"/>
      <c r="P140" s="2"/>
    </row>
    <row r="141" spans="2:16" ht="12.75" customHeight="1" x14ac:dyDescent="0.2">
      <c r="B141" s="1"/>
      <c r="C141" s="1240" t="s">
        <v>134</v>
      </c>
      <c r="D141" s="1221">
        <v>426138</v>
      </c>
      <c r="E141" s="1224">
        <v>2880260</v>
      </c>
      <c r="F141" s="1220">
        <v>43270004</v>
      </c>
      <c r="G141" s="1221">
        <f t="shared" si="2"/>
        <v>46150264</v>
      </c>
      <c r="H141" s="1224">
        <v>27144656</v>
      </c>
      <c r="I141" s="1223">
        <v>40826821</v>
      </c>
      <c r="J141" s="1223">
        <v>1204752</v>
      </c>
      <c r="K141" s="1223">
        <v>25903</v>
      </c>
      <c r="L141" s="1224">
        <v>4092788</v>
      </c>
      <c r="M141" s="2">
        <v>3443568</v>
      </c>
      <c r="N141" s="6">
        <v>753819</v>
      </c>
      <c r="O141" s="2"/>
      <c r="P141" s="2"/>
    </row>
    <row r="142" spans="2:16" ht="12.75" customHeight="1" x14ac:dyDescent="0.2">
      <c r="B142" s="1240"/>
      <c r="C142" s="1240" t="s">
        <v>106</v>
      </c>
      <c r="D142" s="1218">
        <v>98084</v>
      </c>
      <c r="E142" s="1219">
        <v>0</v>
      </c>
      <c r="F142" s="1220">
        <v>5761599</v>
      </c>
      <c r="G142" s="1221">
        <f t="shared" si="2"/>
        <v>5761599</v>
      </c>
      <c r="H142" s="1219">
        <v>3804076</v>
      </c>
      <c r="I142" s="1222">
        <v>4905570</v>
      </c>
      <c r="J142" s="1223">
        <v>92876</v>
      </c>
      <c r="K142" s="1223">
        <v>0</v>
      </c>
      <c r="L142" s="1219">
        <v>763153</v>
      </c>
      <c r="M142" s="2">
        <v>212766</v>
      </c>
      <c r="N142" s="6">
        <v>379441</v>
      </c>
      <c r="O142" s="2"/>
      <c r="P142" s="2"/>
    </row>
    <row r="143" spans="2:16" ht="12.75" customHeight="1" x14ac:dyDescent="0.2">
      <c r="B143" s="1240"/>
      <c r="C143" s="1240" t="s">
        <v>64</v>
      </c>
      <c r="D143" s="1221">
        <v>849782</v>
      </c>
      <c r="E143" s="1224">
        <v>0</v>
      </c>
      <c r="F143" s="1220">
        <f>60957591-5233000-3426233</f>
        <v>52298358</v>
      </c>
      <c r="G143" s="1221">
        <f t="shared" si="2"/>
        <v>52298358</v>
      </c>
      <c r="H143" s="1224">
        <v>31342717</v>
      </c>
      <c r="I143" s="1223">
        <v>50546294</v>
      </c>
      <c r="J143" s="1223">
        <v>2924173</v>
      </c>
      <c r="K143" s="1223">
        <v>296806</v>
      </c>
      <c r="L143" s="1224">
        <v>7190318</v>
      </c>
      <c r="M143" s="2">
        <v>1528826</v>
      </c>
      <c r="N143" s="6">
        <v>508442</v>
      </c>
      <c r="O143" s="2"/>
      <c r="P143" s="2"/>
    </row>
    <row r="144" spans="2:16" ht="12.75" customHeight="1" x14ac:dyDescent="0.2">
      <c r="C144" s="1240" t="s">
        <v>9</v>
      </c>
      <c r="D144" s="1218">
        <v>6795</v>
      </c>
      <c r="E144" s="1219">
        <v>0</v>
      </c>
      <c r="F144" s="1220">
        <v>436088</v>
      </c>
      <c r="G144" s="1221">
        <f t="shared" si="2"/>
        <v>436088</v>
      </c>
      <c r="H144" s="1219">
        <v>284981</v>
      </c>
      <c r="I144" s="1222">
        <v>330344</v>
      </c>
      <c r="J144" s="1223">
        <v>0</v>
      </c>
      <c r="K144" s="1223">
        <v>1078</v>
      </c>
      <c r="L144" s="1219">
        <v>104666</v>
      </c>
      <c r="M144" s="2">
        <v>321</v>
      </c>
      <c r="N144" s="6">
        <v>8476</v>
      </c>
      <c r="O144" s="2"/>
      <c r="P144" s="2"/>
    </row>
    <row r="145" spans="3:16" ht="12.75" customHeight="1" x14ac:dyDescent="0.2">
      <c r="C145" s="1240" t="s">
        <v>119</v>
      </c>
      <c r="D145" s="1221">
        <v>24255</v>
      </c>
      <c r="E145" s="1224">
        <v>0</v>
      </c>
      <c r="F145" s="1220">
        <v>1869996</v>
      </c>
      <c r="G145" s="1221">
        <f t="shared" si="2"/>
        <v>1869996</v>
      </c>
      <c r="H145" s="1224">
        <v>1520569</v>
      </c>
      <c r="I145" s="1223">
        <v>1708282</v>
      </c>
      <c r="J145" s="1223">
        <v>627</v>
      </c>
      <c r="K145" s="1223">
        <v>0</v>
      </c>
      <c r="L145" s="1224">
        <v>161087</v>
      </c>
      <c r="M145" s="2">
        <v>57135</v>
      </c>
      <c r="N145" s="6">
        <v>36567</v>
      </c>
      <c r="O145" s="2"/>
      <c r="P145" s="2"/>
    </row>
    <row r="146" spans="3:16" ht="12.75" customHeight="1" x14ac:dyDescent="0.2">
      <c r="C146" s="1240" t="s">
        <v>136</v>
      </c>
      <c r="D146" s="1218">
        <v>18391</v>
      </c>
      <c r="E146" s="1219">
        <v>0</v>
      </c>
      <c r="F146" s="1220">
        <v>1405123</v>
      </c>
      <c r="G146" s="1221">
        <f t="shared" si="2"/>
        <v>1405123</v>
      </c>
      <c r="H146" s="1219">
        <v>792430</v>
      </c>
      <c r="I146" s="1222">
        <v>1247686</v>
      </c>
      <c r="J146" s="1223">
        <v>37439</v>
      </c>
      <c r="K146" s="1223">
        <v>0</v>
      </c>
      <c r="L146" s="1219">
        <v>119998</v>
      </c>
      <c r="M146" s="2">
        <v>173592</v>
      </c>
      <c r="N146" s="6">
        <v>149239</v>
      </c>
      <c r="O146" s="2"/>
      <c r="P146" s="2"/>
    </row>
    <row r="147" spans="3:16" ht="12.75" customHeight="1" x14ac:dyDescent="0.2">
      <c r="C147" s="1240" t="s">
        <v>58</v>
      </c>
      <c r="D147" s="1221">
        <v>6650</v>
      </c>
      <c r="E147" s="1224">
        <v>0</v>
      </c>
      <c r="F147" s="1220">
        <v>599364</v>
      </c>
      <c r="G147" s="1221">
        <f t="shared" si="2"/>
        <v>599364</v>
      </c>
      <c r="H147" s="1224">
        <v>329496</v>
      </c>
      <c r="I147" s="1223">
        <v>574222</v>
      </c>
      <c r="J147" s="1223">
        <v>0</v>
      </c>
      <c r="K147" s="1223">
        <v>0</v>
      </c>
      <c r="L147" s="1224">
        <v>25142</v>
      </c>
      <c r="M147" s="2">
        <v>42717</v>
      </c>
      <c r="N147" s="6">
        <v>43076</v>
      </c>
      <c r="O147" s="2"/>
      <c r="P147" s="2"/>
    </row>
    <row r="148" spans="3:16" ht="12.75" customHeight="1" x14ac:dyDescent="0.2">
      <c r="C148" s="5" t="s">
        <v>680</v>
      </c>
      <c r="D148" s="1221">
        <v>28477</v>
      </c>
      <c r="E148" s="1229">
        <v>0</v>
      </c>
      <c r="F148" s="1220">
        <v>2559933</v>
      </c>
      <c r="G148" s="1221">
        <f t="shared" si="2"/>
        <v>2559933</v>
      </c>
      <c r="H148" s="1224">
        <v>1680636</v>
      </c>
      <c r="I148" s="1224">
        <v>2074254</v>
      </c>
      <c r="J148" s="1224">
        <v>60260</v>
      </c>
      <c r="K148" s="1224">
        <v>40785</v>
      </c>
      <c r="L148" s="1224">
        <v>384634</v>
      </c>
      <c r="M148" s="2">
        <v>143043</v>
      </c>
      <c r="N148" s="6">
        <v>31023</v>
      </c>
      <c r="O148" s="2"/>
      <c r="P148" s="2"/>
    </row>
    <row r="149" spans="3:16" ht="12.75" customHeight="1" x14ac:dyDescent="0.2">
      <c r="C149" s="1240" t="s">
        <v>211</v>
      </c>
      <c r="D149" s="1221">
        <v>25835</v>
      </c>
      <c r="E149" s="1221">
        <v>0</v>
      </c>
      <c r="F149" s="1221">
        <v>1735146</v>
      </c>
      <c r="G149" s="1221">
        <f t="shared" si="2"/>
        <v>1735146</v>
      </c>
      <c r="H149" s="1221">
        <v>1192196</v>
      </c>
      <c r="I149" s="1221">
        <v>1580899</v>
      </c>
      <c r="J149" s="1221">
        <v>0</v>
      </c>
      <c r="K149" s="1221">
        <v>0</v>
      </c>
      <c r="L149" s="1221">
        <v>154247</v>
      </c>
      <c r="M149" s="2">
        <v>185415</v>
      </c>
      <c r="N149" s="6">
        <v>46119</v>
      </c>
      <c r="O149" s="2"/>
      <c r="P149" s="2"/>
    </row>
    <row r="150" spans="3:16" ht="12.75" customHeight="1" x14ac:dyDescent="0.2">
      <c r="C150" s="1240" t="s">
        <v>244</v>
      </c>
      <c r="D150" s="1221">
        <v>21348</v>
      </c>
      <c r="E150" s="1221">
        <v>0</v>
      </c>
      <c r="F150" s="1221">
        <v>1844102</v>
      </c>
      <c r="G150" s="1221">
        <f t="shared" si="2"/>
        <v>1844102</v>
      </c>
      <c r="H150" s="1221">
        <v>959391</v>
      </c>
      <c r="I150" s="1221">
        <v>1385324</v>
      </c>
      <c r="J150" s="1221">
        <v>386718</v>
      </c>
      <c r="K150" s="1221">
        <v>0</v>
      </c>
      <c r="L150" s="1221">
        <v>72060</v>
      </c>
      <c r="M150" s="2">
        <v>106455</v>
      </c>
      <c r="N150" s="6">
        <v>114847</v>
      </c>
      <c r="O150" s="2"/>
      <c r="P150" s="2"/>
    </row>
    <row r="151" spans="3:16" ht="12.75" customHeight="1" x14ac:dyDescent="0.2">
      <c r="C151" s="1240" t="s">
        <v>79</v>
      </c>
      <c r="D151" s="1221">
        <v>6929</v>
      </c>
      <c r="E151" s="1221">
        <v>0</v>
      </c>
      <c r="F151" s="1221">
        <v>398144</v>
      </c>
      <c r="G151" s="1221">
        <f t="shared" si="2"/>
        <v>398144</v>
      </c>
      <c r="H151" s="1221">
        <v>323547</v>
      </c>
      <c r="I151" s="1221">
        <v>350102</v>
      </c>
      <c r="J151" s="1221">
        <v>0</v>
      </c>
      <c r="K151" s="1221">
        <v>0</v>
      </c>
      <c r="L151" s="1221">
        <v>48042</v>
      </c>
      <c r="M151" s="2">
        <v>17201</v>
      </c>
      <c r="N151" s="6">
        <v>5255</v>
      </c>
      <c r="O151" s="2"/>
      <c r="P151" s="2"/>
    </row>
    <row r="152" spans="3:16" ht="12.75" customHeight="1" x14ac:dyDescent="0.2">
      <c r="C152" s="1240" t="s">
        <v>214</v>
      </c>
      <c r="D152" s="1221">
        <v>6375</v>
      </c>
      <c r="E152" s="1221">
        <v>0</v>
      </c>
      <c r="F152" s="1221">
        <v>342532</v>
      </c>
      <c r="G152" s="1221">
        <f t="shared" si="2"/>
        <v>342532</v>
      </c>
      <c r="H152" s="1221">
        <v>238661</v>
      </c>
      <c r="I152" s="1221">
        <v>296547</v>
      </c>
      <c r="J152" s="1221">
        <v>0</v>
      </c>
      <c r="K152" s="1221">
        <v>594</v>
      </c>
      <c r="L152" s="1221">
        <v>45391</v>
      </c>
      <c r="M152" s="2">
        <v>46917</v>
      </c>
      <c r="N152" s="6">
        <v>10933</v>
      </c>
      <c r="O152" s="2"/>
      <c r="P152" s="2"/>
    </row>
    <row r="153" spans="3:16" ht="12.75" customHeight="1" x14ac:dyDescent="0.2">
      <c r="C153" s="1240" t="s">
        <v>740</v>
      </c>
      <c r="D153" s="1221">
        <v>11479</v>
      </c>
      <c r="E153" s="1221">
        <v>0</v>
      </c>
      <c r="F153" s="1221">
        <v>754168</v>
      </c>
      <c r="G153" s="1221">
        <f t="shared" si="2"/>
        <v>754168</v>
      </c>
      <c r="H153" s="1221">
        <v>472228</v>
      </c>
      <c r="I153" s="1221">
        <v>533792</v>
      </c>
      <c r="J153" s="1221">
        <v>0</v>
      </c>
      <c r="K153" s="1221">
        <v>21029</v>
      </c>
      <c r="L153" s="1221">
        <v>199347</v>
      </c>
      <c r="M153" s="2">
        <v>0</v>
      </c>
      <c r="N153" s="6">
        <v>31428</v>
      </c>
      <c r="O153" s="2"/>
      <c r="P153" s="2"/>
    </row>
    <row r="154" spans="3:16" ht="12.75" customHeight="1" x14ac:dyDescent="0.2">
      <c r="C154" s="1240" t="s">
        <v>31</v>
      </c>
      <c r="D154" s="1579">
        <v>6238</v>
      </c>
      <c r="E154" s="1229">
        <v>0</v>
      </c>
      <c r="F154" s="1579">
        <v>468658</v>
      </c>
      <c r="G154" s="1221">
        <f t="shared" si="2"/>
        <v>468658</v>
      </c>
      <c r="H154" s="1580">
        <v>243615</v>
      </c>
      <c r="I154" s="1580">
        <v>396060</v>
      </c>
      <c r="J154" s="1221">
        <v>0</v>
      </c>
      <c r="K154" s="1579">
        <v>13787</v>
      </c>
      <c r="L154" s="1580">
        <v>58811</v>
      </c>
      <c r="M154" s="2">
        <v>21300</v>
      </c>
      <c r="N154" s="6">
        <v>30195</v>
      </c>
      <c r="O154" s="2"/>
      <c r="P154" s="2"/>
    </row>
    <row r="155" spans="3:16" ht="12.75" customHeight="1" x14ac:dyDescent="0.2">
      <c r="C155" s="1240" t="s">
        <v>47</v>
      </c>
      <c r="D155" s="1579">
        <v>1920</v>
      </c>
      <c r="E155" s="1229">
        <v>0</v>
      </c>
      <c r="F155" s="1579">
        <v>134722</v>
      </c>
      <c r="G155" s="1221">
        <f t="shared" si="2"/>
        <v>134722</v>
      </c>
      <c r="H155" s="1580">
        <v>113225</v>
      </c>
      <c r="I155" s="1580">
        <v>113844</v>
      </c>
      <c r="J155" s="1221">
        <v>0</v>
      </c>
      <c r="K155" s="1221">
        <v>0</v>
      </c>
      <c r="L155" s="1580">
        <v>20878</v>
      </c>
      <c r="M155" s="2">
        <v>619</v>
      </c>
      <c r="N155" s="6">
        <v>0</v>
      </c>
      <c r="O155" s="2"/>
      <c r="P155" s="2"/>
    </row>
    <row r="156" spans="3:16" ht="12.75" customHeight="1" x14ac:dyDescent="0.2">
      <c r="C156" s="1240" t="s">
        <v>118</v>
      </c>
      <c r="D156" s="1221">
        <v>7118</v>
      </c>
      <c r="E156" s="1221">
        <v>0</v>
      </c>
      <c r="F156" s="1221">
        <v>919760</v>
      </c>
      <c r="G156" s="1221">
        <f t="shared" si="2"/>
        <v>919760</v>
      </c>
      <c r="H156" s="1221">
        <v>622258</v>
      </c>
      <c r="I156" s="1221">
        <v>777254</v>
      </c>
      <c r="J156" s="1221">
        <v>0</v>
      </c>
      <c r="K156" s="1221">
        <v>0</v>
      </c>
      <c r="L156" s="1221">
        <v>142506</v>
      </c>
      <c r="M156" s="2">
        <v>101063</v>
      </c>
      <c r="N156" s="6">
        <v>17236</v>
      </c>
      <c r="O156" s="2"/>
      <c r="P156" s="2"/>
    </row>
    <row r="157" spans="3:16" ht="12.75" customHeight="1" x14ac:dyDescent="0.2">
      <c r="C157" s="1240" t="s">
        <v>222</v>
      </c>
      <c r="D157" s="1221">
        <v>6350</v>
      </c>
      <c r="E157" s="1221">
        <v>0</v>
      </c>
      <c r="F157" s="1579">
        <v>621274</v>
      </c>
      <c r="G157" s="1221">
        <f t="shared" si="2"/>
        <v>621274</v>
      </c>
      <c r="H157" s="1221">
        <v>534079</v>
      </c>
      <c r="I157" s="1221">
        <v>575158</v>
      </c>
      <c r="J157" s="1221">
        <v>0</v>
      </c>
      <c r="K157" s="1221">
        <v>0</v>
      </c>
      <c r="L157" s="1221">
        <v>46116</v>
      </c>
      <c r="M157" s="2">
        <v>110</v>
      </c>
      <c r="N157" s="6">
        <v>10874</v>
      </c>
      <c r="O157" s="2"/>
      <c r="P157" s="2"/>
    </row>
    <row r="158" spans="3:16" ht="12.75" customHeight="1" x14ac:dyDescent="0.2">
      <c r="C158" s="1240" t="s">
        <v>236</v>
      </c>
      <c r="D158" s="1221">
        <v>7326</v>
      </c>
      <c r="E158" s="1221">
        <v>0</v>
      </c>
      <c r="F158" s="1579">
        <v>1093808</v>
      </c>
      <c r="G158" s="1221">
        <f t="shared" si="2"/>
        <v>1093808</v>
      </c>
      <c r="H158" s="1221">
        <v>706439</v>
      </c>
      <c r="I158" s="1221">
        <v>833116</v>
      </c>
      <c r="J158" s="1221">
        <v>7432</v>
      </c>
      <c r="K158" s="1579">
        <v>156277</v>
      </c>
      <c r="L158" s="1221">
        <v>96983</v>
      </c>
      <c r="M158" s="2">
        <v>26138</v>
      </c>
      <c r="N158" s="6">
        <v>42673</v>
      </c>
      <c r="O158" s="2"/>
      <c r="P158" s="2"/>
    </row>
    <row r="159" spans="3:16" ht="12.75" customHeight="1" x14ac:dyDescent="0.2">
      <c r="C159" s="1240" t="s">
        <v>249</v>
      </c>
      <c r="D159" s="1221">
        <v>22474</v>
      </c>
      <c r="E159" s="1221">
        <v>0</v>
      </c>
      <c r="F159" s="1221">
        <v>2215774</v>
      </c>
      <c r="G159" s="1221">
        <f t="shared" si="2"/>
        <v>2215774</v>
      </c>
      <c r="H159" s="1221">
        <v>1007063</v>
      </c>
      <c r="I159" s="1221">
        <v>1757017</v>
      </c>
      <c r="J159" s="1221">
        <v>115023</v>
      </c>
      <c r="K159" s="1221">
        <v>0</v>
      </c>
      <c r="L159" s="1221">
        <v>343734</v>
      </c>
      <c r="M159" s="2">
        <v>350864</v>
      </c>
      <c r="N159" s="6">
        <v>173328</v>
      </c>
      <c r="O159" s="2"/>
      <c r="P159" s="2"/>
    </row>
    <row r="160" spans="3:16" ht="12.75" customHeight="1" x14ac:dyDescent="0.2">
      <c r="C160" s="1240" t="s">
        <v>243</v>
      </c>
      <c r="D160" s="1221">
        <v>3801</v>
      </c>
      <c r="E160" s="1221">
        <v>0</v>
      </c>
      <c r="F160" s="1221">
        <v>256325</v>
      </c>
      <c r="G160" s="1221">
        <f t="shared" si="2"/>
        <v>256325</v>
      </c>
      <c r="H160" s="1221">
        <v>184913</v>
      </c>
      <c r="I160" s="1221">
        <v>242270</v>
      </c>
      <c r="J160" s="1221">
        <v>0</v>
      </c>
      <c r="K160" s="1221">
        <v>0</v>
      </c>
      <c r="L160" s="1221">
        <v>14055</v>
      </c>
      <c r="M160" s="2">
        <v>2409</v>
      </c>
      <c r="N160" s="6">
        <v>45506</v>
      </c>
      <c r="O160" s="2"/>
      <c r="P160" s="2"/>
    </row>
    <row r="161" spans="3:16" ht="12.75" customHeight="1" x14ac:dyDescent="0.2">
      <c r="C161" s="1240" t="s">
        <v>110</v>
      </c>
      <c r="D161" s="1221">
        <v>16756</v>
      </c>
      <c r="E161" s="1221">
        <v>0</v>
      </c>
      <c r="F161" s="1221">
        <v>1588580</v>
      </c>
      <c r="G161" s="1221">
        <f t="shared" si="2"/>
        <v>1588580</v>
      </c>
      <c r="H161" s="1221">
        <v>1008121</v>
      </c>
      <c r="I161" s="1221">
        <v>1544599</v>
      </c>
      <c r="J161" s="1221">
        <v>21451</v>
      </c>
      <c r="K161" s="1221">
        <v>0</v>
      </c>
      <c r="L161" s="1221">
        <v>22530</v>
      </c>
      <c r="M161" s="2">
        <v>278272</v>
      </c>
      <c r="N161" s="6">
        <v>19710</v>
      </c>
      <c r="O161" s="2"/>
      <c r="P161" s="2"/>
    </row>
    <row r="162" spans="3:16" ht="12.75" customHeight="1" x14ac:dyDescent="0.2">
      <c r="C162" s="1240" t="s">
        <v>1573</v>
      </c>
      <c r="D162" s="1221">
        <v>14517</v>
      </c>
      <c r="E162" s="1221">
        <v>691300.00000000012</v>
      </c>
      <c r="F162" s="1579">
        <v>1325972</v>
      </c>
      <c r="G162" s="1221">
        <f t="shared" si="2"/>
        <v>2017272</v>
      </c>
      <c r="H162" s="1221">
        <v>863972</v>
      </c>
      <c r="I162" s="1221">
        <v>1053111</v>
      </c>
      <c r="J162" s="1221">
        <v>62848</v>
      </c>
      <c r="K162" s="1579">
        <v>628616</v>
      </c>
      <c r="L162" s="1221">
        <v>272697</v>
      </c>
      <c r="M162" s="2">
        <v>93484</v>
      </c>
      <c r="N162" s="6">
        <v>24573</v>
      </c>
      <c r="O162" s="2"/>
      <c r="P162" s="2"/>
    </row>
    <row r="163" spans="3:16" ht="12.75" customHeight="1" x14ac:dyDescent="0.2">
      <c r="C163" s="1240" t="s">
        <v>1574</v>
      </c>
      <c r="D163" s="1221">
        <v>13689</v>
      </c>
      <c r="E163" s="1221">
        <v>0</v>
      </c>
      <c r="F163" s="1221">
        <v>1103885</v>
      </c>
      <c r="G163" s="1221">
        <f t="shared" si="2"/>
        <v>1103885</v>
      </c>
      <c r="H163" s="1221">
        <v>635580</v>
      </c>
      <c r="I163" s="1221">
        <v>733453</v>
      </c>
      <c r="J163" s="1221">
        <v>0</v>
      </c>
      <c r="K163" s="1221">
        <v>1916</v>
      </c>
      <c r="L163" s="1221">
        <v>368516</v>
      </c>
      <c r="M163" s="2">
        <v>3490</v>
      </c>
      <c r="N163" s="6">
        <v>55574</v>
      </c>
      <c r="O163" s="2"/>
      <c r="P163" s="2"/>
    </row>
    <row r="164" spans="3:16" ht="12.75" customHeight="1" x14ac:dyDescent="0.2">
      <c r="C164" s="1240" t="s">
        <v>1575</v>
      </c>
      <c r="D164" s="1221">
        <v>16555</v>
      </c>
      <c r="E164" s="1221">
        <v>0</v>
      </c>
      <c r="F164" s="1221">
        <v>1922184</v>
      </c>
      <c r="G164" s="1221">
        <f t="shared" si="2"/>
        <v>1922184</v>
      </c>
      <c r="H164" s="1221">
        <v>1120453</v>
      </c>
      <c r="I164" s="1221">
        <v>1310434</v>
      </c>
      <c r="J164" s="1221">
        <v>6351</v>
      </c>
      <c r="K164" s="1221">
        <v>22796</v>
      </c>
      <c r="L164" s="1221">
        <v>582603</v>
      </c>
      <c r="M164" s="2">
        <v>25647</v>
      </c>
      <c r="N164" s="6">
        <v>18432</v>
      </c>
      <c r="O164" s="2"/>
      <c r="P164" s="2"/>
    </row>
    <row r="165" spans="3:16" ht="12.75" customHeight="1" x14ac:dyDescent="0.2">
      <c r="C165" s="1240" t="s">
        <v>120</v>
      </c>
      <c r="D165" s="1221">
        <v>22028</v>
      </c>
      <c r="E165" s="1221">
        <v>0</v>
      </c>
      <c r="F165" s="1221">
        <v>2318015</v>
      </c>
      <c r="G165" s="1221">
        <f t="shared" si="2"/>
        <v>2318015</v>
      </c>
      <c r="H165" s="1221">
        <v>1454385</v>
      </c>
      <c r="I165" s="1221">
        <v>1876001</v>
      </c>
      <c r="J165" s="1221">
        <v>68641</v>
      </c>
      <c r="K165" s="1221">
        <v>10845</v>
      </c>
      <c r="L165" s="1221">
        <v>362528</v>
      </c>
      <c r="M165" s="2">
        <v>151827</v>
      </c>
      <c r="N165" s="6">
        <v>68377</v>
      </c>
      <c r="O165" s="2"/>
      <c r="P165" s="2"/>
    </row>
    <row r="166" spans="3:16" ht="12.75" customHeight="1" x14ac:dyDescent="0.2">
      <c r="C166" s="1240" t="s">
        <v>1254</v>
      </c>
      <c r="D166" s="1221">
        <v>979</v>
      </c>
      <c r="E166" s="1221">
        <v>0</v>
      </c>
      <c r="F166" s="1221">
        <v>130902</v>
      </c>
      <c r="G166" s="1221">
        <f t="shared" si="2"/>
        <v>130902</v>
      </c>
      <c r="H166" s="1221">
        <v>42816</v>
      </c>
      <c r="I166" s="1221">
        <v>93791</v>
      </c>
      <c r="J166" s="1221">
        <v>0</v>
      </c>
      <c r="K166" s="1221">
        <v>1764</v>
      </c>
      <c r="L166" s="1221">
        <v>35347</v>
      </c>
      <c r="M166" s="2">
        <v>270</v>
      </c>
      <c r="N166" s="6">
        <v>3164</v>
      </c>
      <c r="O166" s="2"/>
      <c r="P166" s="2"/>
    </row>
    <row r="167" spans="3:16" ht="12.75" customHeight="1" x14ac:dyDescent="0.2">
      <c r="C167" s="1240" t="s">
        <v>1576</v>
      </c>
      <c r="D167" s="1221">
        <v>18854</v>
      </c>
      <c r="E167" s="1221">
        <v>0</v>
      </c>
      <c r="F167" s="1221">
        <v>1847708</v>
      </c>
      <c r="G167" s="1221">
        <f t="shared" si="2"/>
        <v>1847708</v>
      </c>
      <c r="H167" s="1221">
        <v>940342</v>
      </c>
      <c r="I167" s="1221">
        <v>1457096</v>
      </c>
      <c r="J167" s="1221">
        <v>127738</v>
      </c>
      <c r="K167" s="1221">
        <v>0</v>
      </c>
      <c r="L167" s="1221">
        <v>262874</v>
      </c>
      <c r="M167" s="2">
        <v>158167</v>
      </c>
      <c r="N167" s="6">
        <v>2682</v>
      </c>
      <c r="O167" s="2"/>
      <c r="P167" s="2"/>
    </row>
    <row r="168" spans="3:16" ht="12.75" customHeight="1" x14ac:dyDescent="0.2">
      <c r="C168" s="1240" t="s">
        <v>232</v>
      </c>
      <c r="D168" s="1221">
        <v>23511</v>
      </c>
      <c r="E168" s="1221">
        <v>0</v>
      </c>
      <c r="F168" s="1579">
        <v>1706807</v>
      </c>
      <c r="G168" s="1221">
        <f t="shared" si="2"/>
        <v>1706807</v>
      </c>
      <c r="H168" s="1221">
        <v>1105991</v>
      </c>
      <c r="I168" s="1221">
        <v>1545099</v>
      </c>
      <c r="J168" s="1580">
        <v>82424</v>
      </c>
      <c r="K168" s="1221">
        <v>0</v>
      </c>
      <c r="L168" s="1221">
        <v>79284</v>
      </c>
      <c r="M168" s="2">
        <v>108748</v>
      </c>
      <c r="N168" s="6">
        <v>66186</v>
      </c>
      <c r="O168" s="2"/>
      <c r="P168" s="2"/>
    </row>
    <row r="169" spans="3:16" ht="12.75" customHeight="1" x14ac:dyDescent="0.2">
      <c r="C169" s="1240" t="s">
        <v>1577</v>
      </c>
      <c r="D169" s="1221">
        <v>11660</v>
      </c>
      <c r="E169" s="1221">
        <v>0</v>
      </c>
      <c r="F169" s="1221">
        <v>1458758</v>
      </c>
      <c r="G169" s="1221">
        <f t="shared" si="2"/>
        <v>1458758</v>
      </c>
      <c r="H169" s="1221">
        <v>623314</v>
      </c>
      <c r="I169" s="1221">
        <v>688614</v>
      </c>
      <c r="J169" s="1221">
        <v>0</v>
      </c>
      <c r="K169" s="1221">
        <v>53180</v>
      </c>
      <c r="L169" s="1221">
        <v>716964</v>
      </c>
      <c r="M169" s="2">
        <v>0</v>
      </c>
      <c r="N169" s="6">
        <v>14515</v>
      </c>
      <c r="O169" s="2"/>
      <c r="P169" s="2"/>
    </row>
    <row r="170" spans="3:16" ht="12.75" customHeight="1" x14ac:dyDescent="0.2">
      <c r="C170" s="1240" t="s">
        <v>1578</v>
      </c>
      <c r="D170" s="1221">
        <v>12098</v>
      </c>
      <c r="E170" s="1221">
        <v>0</v>
      </c>
      <c r="F170" s="1221">
        <v>705409</v>
      </c>
      <c r="G170" s="1221">
        <f t="shared" si="2"/>
        <v>705409</v>
      </c>
      <c r="H170" s="1221">
        <v>564933</v>
      </c>
      <c r="I170" s="1221">
        <v>621995</v>
      </c>
      <c r="J170" s="1221">
        <v>0</v>
      </c>
      <c r="K170" s="1221">
        <v>0</v>
      </c>
      <c r="L170" s="1221">
        <v>83414</v>
      </c>
      <c r="M170" s="2">
        <v>0</v>
      </c>
      <c r="N170" s="6">
        <v>31033</v>
      </c>
      <c r="O170" s="2"/>
      <c r="P170" s="2"/>
    </row>
    <row r="171" spans="3:16" ht="12.75" customHeight="1" x14ac:dyDescent="0.2">
      <c r="C171" s="1240" t="s">
        <v>338</v>
      </c>
      <c r="D171" s="1221">
        <v>36715</v>
      </c>
      <c r="E171" s="1221">
        <v>633790</v>
      </c>
      <c r="F171" s="1579">
        <v>2913925</v>
      </c>
      <c r="G171" s="1221">
        <f t="shared" si="2"/>
        <v>3547715</v>
      </c>
      <c r="H171" s="1221">
        <v>2144791</v>
      </c>
      <c r="I171" s="1221">
        <v>2611755</v>
      </c>
      <c r="J171" s="1580">
        <v>19609</v>
      </c>
      <c r="K171" s="1221">
        <v>349536</v>
      </c>
      <c r="L171" s="1221">
        <v>566815</v>
      </c>
      <c r="M171" s="2">
        <v>0</v>
      </c>
      <c r="N171" s="6">
        <v>271316</v>
      </c>
      <c r="O171" s="2"/>
      <c r="P171" s="2"/>
    </row>
    <row r="172" spans="3:16" ht="12.75" customHeight="1" x14ac:dyDescent="0.2">
      <c r="C172" s="1240" t="s">
        <v>202</v>
      </c>
      <c r="D172" s="1221">
        <v>17609</v>
      </c>
      <c r="E172" s="1221">
        <v>0</v>
      </c>
      <c r="F172" s="1579">
        <v>1473597</v>
      </c>
      <c r="G172" s="1221">
        <f t="shared" si="2"/>
        <v>1473597</v>
      </c>
      <c r="H172" s="1221">
        <v>830358</v>
      </c>
      <c r="I172" s="1221">
        <v>1376568</v>
      </c>
      <c r="J172" s="1221">
        <v>0</v>
      </c>
      <c r="K172" s="1579">
        <v>10345</v>
      </c>
      <c r="L172" s="1221">
        <v>86684</v>
      </c>
      <c r="M172" s="2">
        <v>102612</v>
      </c>
      <c r="N172" s="6">
        <v>62497</v>
      </c>
      <c r="O172" s="2"/>
      <c r="P172" s="2"/>
    </row>
    <row r="173" spans="3:16" ht="12.75" customHeight="1" x14ac:dyDescent="0.2">
      <c r="C173" s="1240" t="s">
        <v>116</v>
      </c>
      <c r="D173" s="1221">
        <v>24659</v>
      </c>
      <c r="E173" s="1221">
        <v>0</v>
      </c>
      <c r="F173" s="1221">
        <v>1701990</v>
      </c>
      <c r="G173" s="1221">
        <f t="shared" si="2"/>
        <v>1701990</v>
      </c>
      <c r="H173" s="1221">
        <v>1351633</v>
      </c>
      <c r="I173" s="1221">
        <v>1617711</v>
      </c>
      <c r="J173" s="1221">
        <v>0</v>
      </c>
      <c r="K173" s="1221">
        <v>0</v>
      </c>
      <c r="L173" s="1221">
        <v>84279</v>
      </c>
      <c r="M173" s="2">
        <v>117898</v>
      </c>
      <c r="N173" s="6">
        <v>20293</v>
      </c>
      <c r="O173" s="2"/>
      <c r="P173" s="2"/>
    </row>
    <row r="174" spans="3:16" ht="12.75" customHeight="1" x14ac:dyDescent="0.2">
      <c r="C174" s="1240" t="s">
        <v>623</v>
      </c>
      <c r="D174" s="1221">
        <v>3407</v>
      </c>
      <c r="E174" s="1221">
        <v>0</v>
      </c>
      <c r="F174" s="1221">
        <v>347310</v>
      </c>
      <c r="G174" s="1221">
        <f t="shared" si="2"/>
        <v>347310</v>
      </c>
      <c r="H174" s="1221">
        <v>240497</v>
      </c>
      <c r="I174" s="1221">
        <v>280579</v>
      </c>
      <c r="J174" s="1221">
        <v>0</v>
      </c>
      <c r="K174" s="1221">
        <v>0</v>
      </c>
      <c r="L174" s="1221">
        <v>66731</v>
      </c>
      <c r="M174" s="2">
        <v>24402</v>
      </c>
      <c r="N174" s="6">
        <v>11188</v>
      </c>
      <c r="O174" s="2"/>
      <c r="P174" s="2"/>
    </row>
    <row r="175" spans="3:16" ht="12.75" customHeight="1" x14ac:dyDescent="0.2">
      <c r="C175" s="1240" t="s">
        <v>643</v>
      </c>
      <c r="D175" s="1221">
        <v>1864</v>
      </c>
      <c r="E175" s="1221">
        <v>755900</v>
      </c>
      <c r="F175" s="1221">
        <v>0</v>
      </c>
      <c r="G175" s="1221">
        <f t="shared" si="2"/>
        <v>755900</v>
      </c>
      <c r="H175" s="1221">
        <v>549290</v>
      </c>
      <c r="I175" s="1221">
        <v>633800</v>
      </c>
      <c r="J175" s="1221">
        <v>0</v>
      </c>
      <c r="K175" s="1221">
        <v>67166</v>
      </c>
      <c r="L175" s="1221">
        <v>54934</v>
      </c>
      <c r="M175" s="2">
        <v>12334</v>
      </c>
      <c r="N175" s="6">
        <v>6833</v>
      </c>
      <c r="O175" s="2"/>
      <c r="P175" s="2"/>
    </row>
    <row r="176" spans="3:16" ht="12.75" customHeight="1" x14ac:dyDescent="0.2">
      <c r="C176" s="1240" t="s">
        <v>215</v>
      </c>
      <c r="D176" s="1221">
        <v>40190</v>
      </c>
      <c r="E176" s="1221">
        <v>3827600</v>
      </c>
      <c r="F176" s="1221">
        <v>174310</v>
      </c>
      <c r="G176" s="1221">
        <f t="shared" si="2"/>
        <v>4001910</v>
      </c>
      <c r="H176" s="1221">
        <v>1651390</v>
      </c>
      <c r="I176" s="1221">
        <v>1979755</v>
      </c>
      <c r="J176" s="1221">
        <v>0</v>
      </c>
      <c r="K176" s="1221">
        <v>3159</v>
      </c>
      <c r="L176" s="1221">
        <v>2018996</v>
      </c>
      <c r="M176" s="2">
        <v>10698</v>
      </c>
      <c r="N176" s="6">
        <v>217478</v>
      </c>
      <c r="O176" s="2"/>
      <c r="P176" s="2"/>
    </row>
    <row r="177" spans="2:16" ht="12.75" customHeight="1" x14ac:dyDescent="0.2">
      <c r="C177" s="1240" t="s">
        <v>340</v>
      </c>
      <c r="D177" s="1221">
        <v>21043</v>
      </c>
      <c r="E177" s="1221">
        <v>1546600.0000000002</v>
      </c>
      <c r="F177" s="1221">
        <v>26128</v>
      </c>
      <c r="G177" s="1221">
        <f t="shared" si="2"/>
        <v>1572728.0000000002</v>
      </c>
      <c r="H177" s="1221">
        <v>952606</v>
      </c>
      <c r="I177" s="1221">
        <v>1050206</v>
      </c>
      <c r="J177" s="1221">
        <v>8111</v>
      </c>
      <c r="K177" s="1221">
        <v>232798</v>
      </c>
      <c r="L177" s="1221">
        <v>281613</v>
      </c>
      <c r="M177" s="2">
        <v>2223</v>
      </c>
      <c r="N177" s="6">
        <v>8616</v>
      </c>
      <c r="O177" s="2"/>
      <c r="P177" s="2"/>
    </row>
    <row r="178" spans="2:16" ht="12.75" customHeight="1" x14ac:dyDescent="0.2">
      <c r="C178" s="1240" t="s">
        <v>72</v>
      </c>
      <c r="D178" s="1221">
        <v>128892</v>
      </c>
      <c r="E178" s="1221">
        <v>3201000</v>
      </c>
      <c r="F178" s="1221">
        <v>7526455</v>
      </c>
      <c r="G178" s="1221">
        <f t="shared" si="2"/>
        <v>10727455</v>
      </c>
      <c r="H178" s="1221">
        <v>6870571</v>
      </c>
      <c r="I178" s="1221">
        <v>9644903</v>
      </c>
      <c r="J178" s="1221">
        <v>110192</v>
      </c>
      <c r="K178" s="1221">
        <v>305294</v>
      </c>
      <c r="L178" s="1221">
        <v>667066</v>
      </c>
      <c r="M178" s="2">
        <v>870527</v>
      </c>
      <c r="N178" s="6">
        <v>867947</v>
      </c>
      <c r="O178" s="2"/>
      <c r="P178" s="2"/>
    </row>
    <row r="179" spans="2:16" ht="12.75" customHeight="1" x14ac:dyDescent="0.2">
      <c r="B179" s="3"/>
      <c r="C179" s="1581" t="s">
        <v>2065</v>
      </c>
      <c r="D179" s="1579">
        <v>94156</v>
      </c>
      <c r="E179" s="1580">
        <v>7380926</v>
      </c>
      <c r="F179" s="1579">
        <v>532690</v>
      </c>
      <c r="G179" s="1221">
        <f t="shared" si="2"/>
        <v>7913616</v>
      </c>
      <c r="H179" s="1580">
        <v>7083523</v>
      </c>
      <c r="I179" s="1580">
        <v>198697</v>
      </c>
      <c r="J179" s="1579">
        <v>331764</v>
      </c>
      <c r="K179" s="1580">
        <v>299632</v>
      </c>
      <c r="L179" s="1580">
        <v>5111161</v>
      </c>
      <c r="M179" s="1578">
        <v>573676</v>
      </c>
      <c r="N179" s="1578">
        <v>253108</v>
      </c>
    </row>
    <row r="180" spans="2:16" ht="12.75" customHeight="1" x14ac:dyDescent="0.2">
      <c r="C180" s="1581" t="s">
        <v>2066</v>
      </c>
      <c r="D180" s="1579">
        <v>19986</v>
      </c>
      <c r="E180" s="1229">
        <v>0</v>
      </c>
      <c r="F180" s="1579">
        <v>1793541</v>
      </c>
      <c r="G180" s="1221">
        <f t="shared" si="2"/>
        <v>1793541</v>
      </c>
      <c r="H180" s="1580">
        <v>1207687</v>
      </c>
      <c r="I180" s="1580">
        <v>1673811</v>
      </c>
      <c r="J180" s="1230">
        <v>0</v>
      </c>
      <c r="K180" s="1230">
        <v>0</v>
      </c>
      <c r="L180" s="1580">
        <v>119730</v>
      </c>
      <c r="M180" s="1578">
        <v>236814</v>
      </c>
      <c r="N180" s="1578">
        <v>61979</v>
      </c>
    </row>
    <row r="181" spans="2:16" ht="12.75" customHeight="1" x14ac:dyDescent="0.2">
      <c r="C181" s="1591" t="s">
        <v>492</v>
      </c>
      <c r="D181" s="1585">
        <v>53896</v>
      </c>
      <c r="E181" s="1580">
        <v>1194400</v>
      </c>
      <c r="F181" s="1579">
        <v>3861076</v>
      </c>
      <c r="G181" s="1221">
        <f t="shared" si="2"/>
        <v>5055476</v>
      </c>
      <c r="H181" s="1580">
        <v>2880170</v>
      </c>
      <c r="I181" s="1580">
        <v>4238943</v>
      </c>
      <c r="J181" s="1586">
        <v>333935</v>
      </c>
      <c r="K181" s="1579">
        <v>121370</v>
      </c>
      <c r="L181" s="1580">
        <v>361228</v>
      </c>
      <c r="M181" s="1578">
        <v>565975</v>
      </c>
      <c r="N181" s="1578">
        <v>298874</v>
      </c>
    </row>
    <row r="182" spans="2:16" ht="12.75" customHeight="1" x14ac:dyDescent="0.2">
      <c r="C182" s="1581" t="s">
        <v>126</v>
      </c>
      <c r="D182" s="1579">
        <v>17273</v>
      </c>
      <c r="E182" s="1584">
        <v>0</v>
      </c>
      <c r="F182" s="1579">
        <v>1692658</v>
      </c>
      <c r="G182" s="1221">
        <f t="shared" si="2"/>
        <v>1692658</v>
      </c>
      <c r="H182" s="1580">
        <v>989648</v>
      </c>
      <c r="I182" s="1580">
        <v>1345133</v>
      </c>
      <c r="J182" s="1580">
        <v>88448</v>
      </c>
      <c r="K182" s="1583">
        <v>0</v>
      </c>
      <c r="L182" s="1580">
        <v>259077</v>
      </c>
      <c r="M182" s="1578">
        <v>108251</v>
      </c>
      <c r="N182" s="1578">
        <v>41237</v>
      </c>
    </row>
    <row r="183" spans="2:16" ht="12.75" customHeight="1" x14ac:dyDescent="0.2">
      <c r="C183" s="1581" t="s">
        <v>246</v>
      </c>
      <c r="D183" s="1579">
        <v>2906</v>
      </c>
      <c r="E183" s="1580">
        <v>99650</v>
      </c>
      <c r="F183" s="1579">
        <v>507107</v>
      </c>
      <c r="G183" s="1221">
        <f t="shared" si="2"/>
        <v>606757</v>
      </c>
      <c r="H183" s="1580">
        <v>282162</v>
      </c>
      <c r="I183" s="1580">
        <v>464913</v>
      </c>
      <c r="J183" s="1580">
        <v>82855</v>
      </c>
      <c r="K183" s="1583">
        <v>0</v>
      </c>
      <c r="L183" s="1580">
        <v>58989</v>
      </c>
      <c r="M183" s="1578">
        <v>65956</v>
      </c>
      <c r="N183" s="1578">
        <v>31694</v>
      </c>
    </row>
    <row r="184" spans="2:16" x14ac:dyDescent="0.2">
      <c r="C184" s="1225"/>
      <c r="D184" s="1226">
        <f>SUM(D4:D183)</f>
        <v>7145866</v>
      </c>
      <c r="E184" s="1226">
        <f t="shared" ref="E184:N184" si="3">SUM(E4:E183)</f>
        <v>84010767</v>
      </c>
      <c r="F184" s="1226">
        <f t="shared" si="3"/>
        <v>498823976</v>
      </c>
      <c r="G184" s="1226">
        <f t="shared" si="3"/>
        <v>582834743</v>
      </c>
      <c r="H184" s="1226">
        <f t="shared" si="3"/>
        <v>357643008</v>
      </c>
      <c r="I184" s="1226">
        <f t="shared" si="3"/>
        <v>484219910</v>
      </c>
      <c r="J184" s="1226">
        <f t="shared" si="3"/>
        <v>29562066</v>
      </c>
      <c r="K184" s="1226">
        <f t="shared" si="3"/>
        <v>7382730</v>
      </c>
      <c r="L184" s="1226">
        <f t="shared" si="3"/>
        <v>69288908</v>
      </c>
      <c r="M184" s="1226">
        <f t="shared" si="3"/>
        <v>32061271</v>
      </c>
      <c r="N184" s="1226">
        <f t="shared" si="3"/>
        <v>20845888</v>
      </c>
    </row>
    <row r="185" spans="2:16" x14ac:dyDescent="0.2">
      <c r="C185" s="1227"/>
      <c r="D185" s="1217"/>
      <c r="E185" s="1217"/>
      <c r="F185" s="1217"/>
      <c r="G185" s="1217"/>
      <c r="H185" s="1217"/>
      <c r="I185" s="1217"/>
      <c r="J185" s="1217"/>
      <c r="K185" s="1217"/>
      <c r="L185" s="1217"/>
    </row>
    <row r="189" spans="2:16" x14ac:dyDescent="0.2">
      <c r="E189" s="1240"/>
      <c r="G189" s="1240"/>
      <c r="I189" s="1240"/>
      <c r="J189" s="1240"/>
    </row>
    <row r="190" spans="2:16" x14ac:dyDescent="0.2">
      <c r="E190" s="1240"/>
      <c r="F190" s="1240"/>
      <c r="G190" s="1240"/>
      <c r="I190" s="1240"/>
      <c r="J190" s="1240"/>
    </row>
    <row r="191" spans="2:16" x14ac:dyDescent="0.2">
      <c r="E191" s="1240"/>
      <c r="F191" s="1240"/>
      <c r="G191" s="1240"/>
      <c r="H191" s="1240"/>
      <c r="I191" s="1240"/>
      <c r="J191" s="1240"/>
      <c r="K191" s="1240"/>
    </row>
    <row r="195" spans="4:13" x14ac:dyDescent="0.2">
      <c r="D195" s="1"/>
      <c r="E195"/>
      <c r="F195"/>
      <c r="G195"/>
      <c r="H195"/>
      <c r="I195"/>
      <c r="J195"/>
      <c r="K195"/>
      <c r="L195"/>
      <c r="M195"/>
    </row>
    <row r="196" spans="4:13" x14ac:dyDescent="0.2">
      <c r="D196" s="1"/>
      <c r="E196"/>
      <c r="F196"/>
      <c r="G196"/>
      <c r="H196"/>
      <c r="I196"/>
      <c r="J196"/>
      <c r="K196"/>
      <c r="L196"/>
      <c r="M196"/>
    </row>
    <row r="197" spans="4:13" x14ac:dyDescent="0.2">
      <c r="D197" s="1"/>
      <c r="E197"/>
      <c r="F197"/>
      <c r="G197"/>
      <c r="H197"/>
      <c r="I197"/>
      <c r="J197"/>
      <c r="K197"/>
      <c r="L197"/>
      <c r="M197"/>
    </row>
    <row r="198" spans="4:13" x14ac:dyDescent="0.2">
      <c r="D198" s="1"/>
      <c r="E198"/>
      <c r="F198"/>
      <c r="G198"/>
      <c r="H198"/>
      <c r="I198"/>
      <c r="J198"/>
      <c r="K198"/>
      <c r="L198"/>
      <c r="M198"/>
    </row>
    <row r="199" spans="4:13" x14ac:dyDescent="0.2">
      <c r="D199" s="1"/>
      <c r="E199"/>
      <c r="F199"/>
      <c r="G199"/>
      <c r="H199"/>
      <c r="I199"/>
      <c r="J199"/>
      <c r="K199"/>
      <c r="L199"/>
      <c r="M199"/>
    </row>
    <row r="200" spans="4:13" x14ac:dyDescent="0.2">
      <c r="D200" s="1"/>
      <c r="E200"/>
      <c r="F200"/>
      <c r="G200"/>
      <c r="H200"/>
      <c r="I200"/>
      <c r="J200"/>
      <c r="K200"/>
      <c r="L200"/>
      <c r="M200"/>
    </row>
    <row r="201" spans="4:13" x14ac:dyDescent="0.2">
      <c r="D201" s="1"/>
      <c r="E201"/>
      <c r="F201"/>
      <c r="G201"/>
      <c r="H201"/>
      <c r="I201"/>
      <c r="J201"/>
      <c r="K201"/>
      <c r="L201"/>
      <c r="M201"/>
    </row>
    <row r="202" spans="4:13" x14ac:dyDescent="0.2">
      <c r="D202" s="1"/>
      <c r="E202"/>
      <c r="F202"/>
      <c r="G202"/>
      <c r="H202"/>
      <c r="I202"/>
      <c r="J202"/>
      <c r="K202"/>
      <c r="L202"/>
      <c r="M202"/>
    </row>
    <row r="203" spans="4:13" x14ac:dyDescent="0.2">
      <c r="D203" s="1"/>
      <c r="E203"/>
      <c r="F203"/>
      <c r="G203"/>
      <c r="H203"/>
      <c r="I203"/>
      <c r="J203"/>
      <c r="K203"/>
      <c r="L203"/>
      <c r="M203"/>
    </row>
    <row r="204" spans="4:13" x14ac:dyDescent="0.2">
      <c r="D204" s="1"/>
      <c r="E204"/>
      <c r="F204"/>
      <c r="G204"/>
      <c r="H204"/>
      <c r="I204"/>
      <c r="J204"/>
      <c r="K204"/>
      <c r="L204"/>
      <c r="M204"/>
    </row>
    <row r="205" spans="4:13" x14ac:dyDescent="0.2">
      <c r="D205" s="1"/>
      <c r="E205"/>
      <c r="F205"/>
      <c r="G205"/>
      <c r="H205"/>
      <c r="I205"/>
      <c r="J205"/>
      <c r="K205"/>
      <c r="L205"/>
      <c r="M205"/>
    </row>
    <row r="206" spans="4:13" x14ac:dyDescent="0.2">
      <c r="D206" s="1"/>
      <c r="E206"/>
      <c r="F206"/>
      <c r="G206"/>
      <c r="H206"/>
      <c r="I206"/>
      <c r="J206"/>
      <c r="K206"/>
      <c r="L206"/>
      <c r="M206"/>
    </row>
    <row r="207" spans="4:13" x14ac:dyDescent="0.2">
      <c r="D207" s="1"/>
      <c r="E207"/>
      <c r="F207"/>
      <c r="G207"/>
      <c r="H207"/>
      <c r="I207"/>
      <c r="J207"/>
      <c r="K207"/>
      <c r="L207"/>
      <c r="M207"/>
    </row>
    <row r="208" spans="4:13" x14ac:dyDescent="0.2">
      <c r="D208" s="1"/>
      <c r="E208"/>
      <c r="F208"/>
      <c r="G208"/>
      <c r="H208"/>
      <c r="I208"/>
      <c r="J208"/>
      <c r="K208"/>
      <c r="L208"/>
      <c r="M208"/>
    </row>
    <row r="209" spans="4:57" x14ac:dyDescent="0.2">
      <c r="D209" s="1"/>
      <c r="E209"/>
      <c r="F209"/>
      <c r="G209"/>
      <c r="H209"/>
      <c r="I209"/>
      <c r="J209"/>
      <c r="K209"/>
      <c r="L209"/>
    </row>
    <row r="210" spans="4:57" x14ac:dyDescent="0.2">
      <c r="D210" s="1"/>
      <c r="AZ210" s="1"/>
      <c r="BA210" s="1"/>
      <c r="BB210" s="1"/>
      <c r="BC210" s="1"/>
      <c r="BD210" s="1"/>
      <c r="BE210" s="1"/>
    </row>
    <row r="211" spans="4:57" x14ac:dyDescent="0.2">
      <c r="D211" s="1"/>
      <c r="AZ211" s="1"/>
      <c r="BA211" s="1"/>
      <c r="BB211" s="1"/>
      <c r="BC211" s="1"/>
      <c r="BD211" s="1"/>
      <c r="BE211" s="1"/>
    </row>
    <row r="212" spans="4:57" x14ac:dyDescent="0.2">
      <c r="D212" s="1"/>
      <c r="AZ212" s="1"/>
      <c r="BA212" s="1"/>
      <c r="BB212" s="1"/>
      <c r="BC212" s="1"/>
      <c r="BD212" s="1"/>
      <c r="BE212" s="1"/>
    </row>
    <row r="213" spans="4:57" x14ac:dyDescent="0.2">
      <c r="AZ213" s="1"/>
      <c r="BA213" s="1"/>
      <c r="BB213" s="1"/>
      <c r="BC213" s="1"/>
      <c r="BD213" s="1"/>
      <c r="BE213" s="1"/>
    </row>
    <row r="232" spans="4:50" x14ac:dyDescent="0.2">
      <c r="AS232" s="1"/>
      <c r="AT232" s="1"/>
      <c r="AU232" s="1"/>
      <c r="AV232" s="1"/>
      <c r="AW232" s="1"/>
      <c r="AX232" s="1"/>
    </row>
    <row r="233" spans="4:50" x14ac:dyDescent="0.2">
      <c r="E233" s="1"/>
      <c r="F233" s="1"/>
      <c r="G233" s="1"/>
      <c r="H233" s="1"/>
      <c r="I233" s="1"/>
      <c r="J233" s="1"/>
      <c r="K233" s="1"/>
      <c r="L233" s="1"/>
      <c r="M233" s="5"/>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row>
    <row r="236" spans="4:50" x14ac:dyDescent="0.2">
      <c r="E236" s="5"/>
      <c r="G236" s="1240"/>
    </row>
    <row r="237" spans="4:50" x14ac:dyDescent="0.2">
      <c r="E237" s="5"/>
      <c r="G237" s="1240"/>
    </row>
    <row r="238" spans="4:50" x14ac:dyDescent="0.2">
      <c r="D238" s="1240"/>
      <c r="E238" s="5"/>
      <c r="G238" s="1240"/>
    </row>
    <row r="239" spans="4:50" x14ac:dyDescent="0.2">
      <c r="D239" s="1240"/>
      <c r="E239" s="5"/>
      <c r="F239" s="1240"/>
      <c r="G239" s="1240"/>
    </row>
    <row r="240" spans="4:50" x14ac:dyDescent="0.2">
      <c r="D240" s="1240"/>
      <c r="E240" s="5"/>
      <c r="F240" s="1240"/>
      <c r="G240" s="5"/>
      <c r="J240" s="1240"/>
    </row>
    <row r="241" spans="4:43" x14ac:dyDescent="0.2">
      <c r="D241" s="1240"/>
      <c r="E241" s="5"/>
      <c r="F241" s="1240"/>
      <c r="G241" s="5"/>
      <c r="J241" s="1240"/>
    </row>
    <row r="242" spans="4:43" x14ac:dyDescent="0.2">
      <c r="D242" s="1"/>
      <c r="E242" s="1"/>
      <c r="F242" s="1"/>
      <c r="G242" s="1"/>
      <c r="H242" s="1"/>
      <c r="J242" s="1"/>
    </row>
    <row r="243" spans="4:43" x14ac:dyDescent="0.2">
      <c r="D243" s="1"/>
      <c r="E243" s="1"/>
      <c r="F243" s="1"/>
      <c r="G243" s="1"/>
      <c r="H243" s="1"/>
      <c r="I243" s="1"/>
      <c r="J243" s="1"/>
    </row>
    <row r="244" spans="4:43" x14ac:dyDescent="0.2">
      <c r="D244" s="1"/>
      <c r="E244" s="1"/>
      <c r="F244" s="1"/>
      <c r="G244" s="1"/>
      <c r="H244" s="1"/>
      <c r="I244" s="1"/>
      <c r="J244" s="1"/>
    </row>
    <row r="245" spans="4:43" x14ac:dyDescent="0.2">
      <c r="D245" s="1"/>
      <c r="E245" s="1"/>
      <c r="F245" s="1"/>
      <c r="G245" s="1"/>
      <c r="H245" s="1"/>
      <c r="I245" s="1"/>
      <c r="J245" s="1"/>
    </row>
    <row r="246" spans="4:43" x14ac:dyDescent="0.2">
      <c r="D246" s="1"/>
      <c r="E246" s="1"/>
      <c r="F246" s="1"/>
      <c r="G246" s="1"/>
      <c r="H246" s="1"/>
      <c r="I246" s="1"/>
      <c r="J246" s="1"/>
    </row>
    <row r="247" spans="4:43" x14ac:dyDescent="0.2">
      <c r="D247" s="1"/>
      <c r="E247" s="1"/>
      <c r="F247" s="1"/>
      <c r="G247" s="1"/>
      <c r="H247" s="1"/>
      <c r="I247" s="1"/>
      <c r="J247" s="1"/>
    </row>
    <row r="248" spans="4:43" x14ac:dyDescent="0.2">
      <c r="D248" s="1"/>
      <c r="E248" s="1"/>
      <c r="F248" s="1"/>
      <c r="G248" s="1"/>
      <c r="H248" s="1"/>
      <c r="I248" s="1"/>
      <c r="J248" s="1"/>
    </row>
    <row r="249" spans="4:43" x14ac:dyDescent="0.2">
      <c r="D249" s="1"/>
      <c r="E249" s="1"/>
      <c r="F249" s="1"/>
      <c r="G249" s="1"/>
      <c r="H249" s="1"/>
      <c r="I249" s="1"/>
      <c r="J249" s="1"/>
    </row>
    <row r="250" spans="4:43" x14ac:dyDescent="0.2">
      <c r="D250" s="1"/>
      <c r="E250" s="1"/>
      <c r="F250" s="1"/>
      <c r="G250" s="1"/>
      <c r="H250" s="1"/>
      <c r="I250" s="1"/>
      <c r="J250" s="1"/>
    </row>
    <row r="251" spans="4:43" x14ac:dyDescent="0.2">
      <c r="D251" s="1"/>
      <c r="E251" s="1"/>
      <c r="F251" s="1"/>
      <c r="G251" s="1"/>
      <c r="H251" s="1"/>
      <c r="I251" s="1"/>
      <c r="J251" s="1"/>
    </row>
    <row r="252" spans="4:43" x14ac:dyDescent="0.2">
      <c r="D252" s="1"/>
      <c r="E252" s="1"/>
      <c r="F252" s="1"/>
      <c r="G252" s="1"/>
      <c r="H252" s="1"/>
      <c r="I252" s="1"/>
      <c r="J252" s="1"/>
    </row>
    <row r="253" spans="4:43" x14ac:dyDescent="0.2">
      <c r="D253" s="1"/>
      <c r="E253" s="1"/>
      <c r="F253" s="1"/>
      <c r="G253" s="1"/>
      <c r="H253" s="1"/>
      <c r="I253" s="1"/>
      <c r="J253" s="1"/>
    </row>
    <row r="254" spans="4:43" x14ac:dyDescent="0.2">
      <c r="D254" s="1"/>
      <c r="E254" s="1"/>
      <c r="F254" s="1"/>
      <c r="G254" s="1"/>
      <c r="H254" s="1"/>
      <c r="I254" s="1"/>
      <c r="J254" s="1"/>
      <c r="K254" s="1"/>
      <c r="L254" s="1"/>
      <c r="M254" s="5"/>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row>
    <row r="258" spans="4:13" x14ac:dyDescent="0.2">
      <c r="H258"/>
      <c r="I258"/>
      <c r="J258"/>
      <c r="K258"/>
      <c r="L258"/>
    </row>
    <row r="259" spans="4:13" x14ac:dyDescent="0.2">
      <c r="H259"/>
      <c r="I259"/>
      <c r="J259"/>
      <c r="K259"/>
      <c r="L259"/>
    </row>
    <row r="260" spans="4:13" x14ac:dyDescent="0.2">
      <c r="H260"/>
      <c r="I260"/>
      <c r="J260"/>
      <c r="K260"/>
      <c r="L260"/>
      <c r="M260"/>
    </row>
    <row r="261" spans="4:13" x14ac:dyDescent="0.2">
      <c r="H261"/>
      <c r="I261"/>
      <c r="J261"/>
      <c r="K261"/>
      <c r="L261"/>
      <c r="M261"/>
    </row>
    <row r="262" spans="4:13" x14ac:dyDescent="0.2">
      <c r="H262"/>
      <c r="I262"/>
      <c r="J262"/>
      <c r="K262"/>
      <c r="L262"/>
      <c r="M262"/>
    </row>
    <row r="263" spans="4:13" x14ac:dyDescent="0.2">
      <c r="H263"/>
      <c r="I263"/>
      <c r="J263"/>
      <c r="K263"/>
      <c r="L263"/>
      <c r="M263"/>
    </row>
    <row r="264" spans="4:13" x14ac:dyDescent="0.2">
      <c r="H264"/>
      <c r="I264"/>
      <c r="J264"/>
      <c r="K264"/>
      <c r="L264"/>
      <c r="M264"/>
    </row>
    <row r="265" spans="4:13" x14ac:dyDescent="0.2">
      <c r="H265"/>
      <c r="I265"/>
      <c r="J265"/>
      <c r="K265"/>
      <c r="L265"/>
      <c r="M265"/>
    </row>
    <row r="266" spans="4:13" x14ac:dyDescent="0.2">
      <c r="H266"/>
      <c r="I266"/>
      <c r="J266"/>
      <c r="K266"/>
      <c r="L266"/>
      <c r="M266"/>
    </row>
    <row r="267" spans="4:13" x14ac:dyDescent="0.2">
      <c r="H267"/>
      <c r="I267"/>
      <c r="J267"/>
      <c r="K267"/>
      <c r="L267"/>
      <c r="M267"/>
    </row>
    <row r="268" spans="4:13" x14ac:dyDescent="0.2">
      <c r="H268"/>
      <c r="I268"/>
      <c r="J268"/>
      <c r="K268"/>
      <c r="L268"/>
      <c r="M268"/>
    </row>
    <row r="269" spans="4:13" x14ac:dyDescent="0.2">
      <c r="H269"/>
      <c r="I269"/>
      <c r="J269"/>
      <c r="K269"/>
      <c r="L269"/>
      <c r="M269"/>
    </row>
    <row r="270" spans="4:13" x14ac:dyDescent="0.2">
      <c r="H270"/>
      <c r="I270"/>
      <c r="J270"/>
      <c r="K270"/>
      <c r="L270"/>
      <c r="M270"/>
    </row>
    <row r="271" spans="4:13" x14ac:dyDescent="0.2">
      <c r="D271" s="1240"/>
      <c r="E271" s="1240"/>
      <c r="F271" s="1240"/>
      <c r="G271" s="5"/>
      <c r="H271"/>
      <c r="I271"/>
      <c r="J271"/>
      <c r="K271"/>
      <c r="L271"/>
      <c r="M271"/>
    </row>
    <row r="272" spans="4:13" x14ac:dyDescent="0.2">
      <c r="D272" s="1240"/>
      <c r="E272" s="1240"/>
      <c r="F272" s="1240"/>
      <c r="G272" s="5"/>
      <c r="H272"/>
      <c r="I272"/>
      <c r="J272"/>
      <c r="K272"/>
      <c r="L272"/>
      <c r="M272"/>
    </row>
    <row r="273" spans="4:35" x14ac:dyDescent="0.2">
      <c r="D273" s="1240"/>
      <c r="E273" s="1240"/>
      <c r="F273" s="1240"/>
      <c r="G273" s="5"/>
      <c r="H273"/>
      <c r="I273"/>
      <c r="J273"/>
      <c r="K273"/>
      <c r="L273"/>
      <c r="M273"/>
    </row>
    <row r="274" spans="4:35" x14ac:dyDescent="0.2">
      <c r="D274" s="1240"/>
      <c r="E274" s="1240"/>
      <c r="F274" s="1240"/>
      <c r="G274" s="5"/>
      <c r="M274"/>
    </row>
    <row r="275" spans="4:35" x14ac:dyDescent="0.2">
      <c r="D275" s="1240"/>
      <c r="E275" s="1240"/>
      <c r="F275" s="1240"/>
      <c r="G275" s="5"/>
      <c r="M275"/>
    </row>
    <row r="276" spans="4:35" x14ac:dyDescent="0.2">
      <c r="D276" s="1240"/>
      <c r="E276" s="1240"/>
      <c r="F276" s="1240"/>
      <c r="G276" s="5"/>
    </row>
    <row r="277" spans="4:35" x14ac:dyDescent="0.2">
      <c r="D277" s="1"/>
      <c r="E277" s="1"/>
      <c r="F277" s="1"/>
      <c r="G277" s="1"/>
    </row>
    <row r="278" spans="4:35" x14ac:dyDescent="0.2">
      <c r="D278" s="1"/>
      <c r="E278" s="1"/>
      <c r="F278" s="1"/>
      <c r="G278" s="1"/>
    </row>
    <row r="279" spans="4:35" x14ac:dyDescent="0.2">
      <c r="D279" s="1"/>
      <c r="E279" s="1"/>
      <c r="F279" s="1"/>
      <c r="G279" s="1"/>
    </row>
    <row r="280" spans="4:35" x14ac:dyDescent="0.2">
      <c r="D280" s="1"/>
      <c r="E280" s="1"/>
      <c r="F280" s="1"/>
      <c r="G280" s="1"/>
    </row>
    <row r="281" spans="4:35" x14ac:dyDescent="0.2">
      <c r="D281" s="1"/>
      <c r="E281" s="1"/>
      <c r="F281" s="1"/>
      <c r="G281" s="1"/>
    </row>
    <row r="282" spans="4:35" x14ac:dyDescent="0.2">
      <c r="D282" s="1"/>
      <c r="E282" s="1"/>
      <c r="F282" s="1"/>
      <c r="G282" s="1"/>
      <c r="H282" s="1"/>
      <c r="I282" s="1"/>
      <c r="J282" s="1"/>
      <c r="K282" s="1"/>
      <c r="L282" s="1"/>
      <c r="M282" s="5"/>
      <c r="N282" s="1"/>
      <c r="O282" s="1"/>
      <c r="P282" s="1"/>
      <c r="Q282" s="1"/>
      <c r="R282" s="1"/>
      <c r="S282" s="1"/>
      <c r="T282" s="1"/>
      <c r="U282" s="1"/>
      <c r="V282" s="1"/>
      <c r="W282" s="1"/>
      <c r="X282" s="1"/>
      <c r="Y282" s="1"/>
      <c r="Z282" s="1"/>
      <c r="AA282" s="1"/>
      <c r="AB282" s="1"/>
      <c r="AC282" s="1"/>
      <c r="AD282" s="1"/>
      <c r="AE282" s="1"/>
      <c r="AF282" s="1"/>
      <c r="AG282" s="1"/>
      <c r="AH282" s="1"/>
      <c r="AI282" s="1"/>
    </row>
    <row r="283" spans="4:35" x14ac:dyDescent="0.2">
      <c r="D283" s="1"/>
      <c r="E283" s="1"/>
      <c r="F283" s="1"/>
      <c r="G283" s="1"/>
      <c r="H283" s="1"/>
      <c r="I283" s="1"/>
      <c r="J283" s="1"/>
      <c r="K283" s="1"/>
      <c r="L283" s="1"/>
      <c r="M283" s="5"/>
      <c r="N283" s="1"/>
      <c r="O283" s="1"/>
      <c r="P283" s="1"/>
      <c r="Q283" s="1"/>
      <c r="R283" s="1"/>
      <c r="S283" s="1"/>
      <c r="T283" s="1"/>
      <c r="U283" s="1"/>
      <c r="V283" s="1"/>
      <c r="W283" s="1"/>
      <c r="X283" s="1"/>
      <c r="Y283" s="1"/>
      <c r="Z283" s="1"/>
      <c r="AA283" s="1"/>
      <c r="AB283" s="1"/>
      <c r="AC283" s="1"/>
      <c r="AD283" s="1"/>
      <c r="AE283" s="1"/>
      <c r="AF283" s="1"/>
      <c r="AG283" s="1"/>
      <c r="AH283" s="1"/>
      <c r="AI283" s="1"/>
    </row>
    <row r="284" spans="4:35" x14ac:dyDescent="0.2">
      <c r="Y284" s="1"/>
      <c r="Z284" s="1"/>
      <c r="AA284" s="1"/>
      <c r="AB284" s="1"/>
      <c r="AC284" s="1"/>
      <c r="AD284" s="1"/>
      <c r="AE284" s="1"/>
      <c r="AF284" s="1"/>
      <c r="AG284" s="1"/>
      <c r="AH284" s="1"/>
      <c r="AI284" s="1"/>
    </row>
    <row r="285" spans="4:35" x14ac:dyDescent="0.2">
      <c r="D285" s="1240"/>
      <c r="E285" s="1240"/>
      <c r="H285" s="5"/>
      <c r="I285" s="5"/>
      <c r="J285" s="5"/>
      <c r="Y285" s="1"/>
      <c r="Z285" s="1"/>
      <c r="AA285" s="1"/>
      <c r="AB285" s="1"/>
      <c r="AC285" s="1"/>
      <c r="AD285" s="1"/>
      <c r="AE285" s="1"/>
      <c r="AF285" s="1"/>
      <c r="AG285" s="1"/>
      <c r="AH285" s="1"/>
      <c r="AI285" s="1"/>
    </row>
    <row r="286" spans="4:35" x14ac:dyDescent="0.2">
      <c r="D286" s="1240"/>
      <c r="E286" s="1240"/>
      <c r="H286" s="5"/>
      <c r="I286" s="5"/>
      <c r="J286" s="5"/>
      <c r="K286" s="5"/>
      <c r="Y286" s="1"/>
      <c r="Z286" s="1"/>
      <c r="AA286" s="1"/>
      <c r="AB286" s="1"/>
      <c r="AC286" s="1"/>
      <c r="AD286" s="1"/>
      <c r="AE286" s="1"/>
      <c r="AF286" s="1"/>
      <c r="AG286" s="1"/>
      <c r="AH286" s="1"/>
      <c r="AI286" s="1"/>
    </row>
    <row r="287" spans="4:35" x14ac:dyDescent="0.2">
      <c r="D287" s="1240"/>
      <c r="E287" s="1240"/>
      <c r="H287" s="5"/>
      <c r="I287" s="5"/>
      <c r="J287" s="5"/>
      <c r="K287" s="5"/>
      <c r="Y287" s="1"/>
      <c r="Z287" s="1"/>
      <c r="AA287" s="1"/>
      <c r="AB287" s="1"/>
      <c r="AC287" s="1"/>
      <c r="AD287" s="1"/>
      <c r="AE287" s="1"/>
      <c r="AF287" s="1"/>
      <c r="AG287" s="1"/>
      <c r="AH287" s="1"/>
      <c r="AI287" s="1"/>
    </row>
    <row r="288" spans="4:35" x14ac:dyDescent="0.2">
      <c r="D288" s="1240"/>
      <c r="E288" s="1240"/>
      <c r="H288" s="5"/>
      <c r="I288" s="5"/>
      <c r="J288" s="5"/>
      <c r="K288" s="5"/>
      <c r="Y288" s="1"/>
      <c r="Z288" s="1"/>
      <c r="AA288" s="1"/>
      <c r="AB288" s="1"/>
      <c r="AC288" s="1"/>
      <c r="AD288" s="1"/>
      <c r="AE288" s="1"/>
      <c r="AF288" s="1"/>
      <c r="AG288" s="1"/>
      <c r="AH288" s="1"/>
      <c r="AI288" s="1"/>
    </row>
    <row r="289" spans="4:13" x14ac:dyDescent="0.2">
      <c r="D289" s="1240"/>
      <c r="E289" s="1240"/>
      <c r="F289" s="1240"/>
      <c r="H289" s="5"/>
      <c r="I289" s="5"/>
      <c r="J289" s="5"/>
      <c r="K289" s="5"/>
    </row>
    <row r="290" spans="4:13" x14ac:dyDescent="0.2">
      <c r="D290" s="1240"/>
      <c r="E290" s="1240"/>
      <c r="F290" s="1240"/>
      <c r="G290" s="5"/>
      <c r="H290" s="5"/>
      <c r="I290" s="5"/>
      <c r="J290" s="5"/>
      <c r="K290" s="5"/>
    </row>
    <row r="291" spans="4:13" x14ac:dyDescent="0.2">
      <c r="D291" s="1"/>
      <c r="E291" s="1"/>
      <c r="F291" s="1"/>
      <c r="G291" s="1"/>
      <c r="H291" s="1"/>
      <c r="I291" s="1"/>
      <c r="J291" s="1"/>
      <c r="K291" s="1"/>
    </row>
    <row r="292" spans="4:13" x14ac:dyDescent="0.2">
      <c r="D292" s="1"/>
      <c r="E292" s="1"/>
      <c r="F292" s="1"/>
      <c r="G292" s="1"/>
      <c r="H292" s="1"/>
      <c r="I292" s="1"/>
      <c r="J292" s="1"/>
      <c r="K292" s="1"/>
      <c r="M292"/>
    </row>
    <row r="293" spans="4:13" x14ac:dyDescent="0.2">
      <c r="D293" s="1"/>
      <c r="E293" s="1"/>
      <c r="F293" s="1"/>
      <c r="G293" s="1"/>
      <c r="H293" s="1"/>
      <c r="I293" s="1"/>
      <c r="J293" s="1"/>
      <c r="K293" s="1"/>
      <c r="M293"/>
    </row>
    <row r="294" spans="4:13" x14ac:dyDescent="0.2">
      <c r="D294" s="1"/>
      <c r="E294" s="1"/>
      <c r="F294" s="1"/>
      <c r="G294" s="1"/>
      <c r="H294" s="1"/>
      <c r="I294" s="1"/>
      <c r="J294" s="1"/>
      <c r="K294" s="1"/>
      <c r="M294"/>
    </row>
    <row r="295" spans="4:13" x14ac:dyDescent="0.2">
      <c r="D295" s="1"/>
      <c r="E295" s="1"/>
      <c r="F295" s="1"/>
      <c r="G295" s="1"/>
      <c r="H295" s="1"/>
      <c r="I295" s="1"/>
      <c r="J295" s="1"/>
      <c r="K295" s="1"/>
      <c r="L295" s="1"/>
      <c r="M295"/>
    </row>
    <row r="296" spans="4:13" x14ac:dyDescent="0.2">
      <c r="M296"/>
    </row>
    <row r="297" spans="4:13" x14ac:dyDescent="0.2">
      <c r="M297"/>
    </row>
    <row r="315" spans="4:14" x14ac:dyDescent="0.2">
      <c r="G315" s="1240"/>
    </row>
    <row r="316" spans="4:14" x14ac:dyDescent="0.2">
      <c r="D316" s="5"/>
      <c r="F316" s="1240"/>
      <c r="H316" s="1240"/>
    </row>
    <row r="317" spans="4:14" x14ac:dyDescent="0.2">
      <c r="D317" s="5"/>
      <c r="E317" s="1240"/>
      <c r="F317" s="1240"/>
      <c r="H317" s="1240"/>
      <c r="M317" s="1240"/>
      <c r="N317" s="1240"/>
    </row>
    <row r="318" spans="4:14" x14ac:dyDescent="0.2">
      <c r="D318" s="5"/>
      <c r="E318" s="5"/>
      <c r="F318" s="1240"/>
      <c r="H318" s="1240"/>
      <c r="I318" s="5"/>
      <c r="M318" s="1240"/>
      <c r="N318" s="1240"/>
    </row>
    <row r="319" spans="4:14" x14ac:dyDescent="0.2">
      <c r="D319" s="5"/>
      <c r="E319" s="5"/>
      <c r="F319" s="1240"/>
      <c r="G319" s="1240"/>
      <c r="H319" s="1240"/>
      <c r="I319" s="5"/>
      <c r="J319" s="1240"/>
      <c r="M319" s="1240"/>
      <c r="N319" s="1240"/>
    </row>
    <row r="320" spans="4:14" x14ac:dyDescent="0.2">
      <c r="D320" s="5"/>
      <c r="E320" s="5"/>
      <c r="F320" s="1240"/>
      <c r="G320" s="1240"/>
      <c r="H320" s="1240"/>
      <c r="I320" s="5"/>
      <c r="J320" s="1240"/>
      <c r="M320" s="1240"/>
      <c r="N320" s="1240"/>
    </row>
    <row r="321" spans="4:14" x14ac:dyDescent="0.2">
      <c r="D321" s="5"/>
      <c r="E321" s="5"/>
      <c r="F321" s="1240"/>
      <c r="G321" s="1240"/>
      <c r="H321" s="1240"/>
      <c r="I321" s="5"/>
      <c r="J321" s="1240"/>
      <c r="M321" s="1240"/>
      <c r="N321" s="1240"/>
    </row>
    <row r="322" spans="4:14" x14ac:dyDescent="0.2">
      <c r="D322" s="1"/>
      <c r="E322" s="1"/>
      <c r="F322" s="1"/>
      <c r="G322" s="1"/>
      <c r="H322" s="1"/>
      <c r="I322" s="1"/>
      <c r="J322" s="1"/>
      <c r="K322" s="1"/>
      <c r="L322" s="1"/>
      <c r="M322" s="5"/>
      <c r="N322" s="1"/>
    </row>
    <row r="323" spans="4:14" x14ac:dyDescent="0.2">
      <c r="D323" s="1"/>
      <c r="E323" s="1"/>
      <c r="F323" s="1"/>
      <c r="G323" s="1"/>
      <c r="H323" s="1"/>
      <c r="I323" s="1"/>
      <c r="J323" s="1"/>
      <c r="K323" s="1"/>
      <c r="L323" s="1"/>
      <c r="M323" s="5"/>
      <c r="N323" s="1"/>
    </row>
    <row r="324" spans="4:14" x14ac:dyDescent="0.2">
      <c r="D324" s="1"/>
      <c r="E324" s="1"/>
      <c r="F324" s="1"/>
      <c r="G324" s="1"/>
      <c r="H324" s="1"/>
      <c r="I324" s="1"/>
      <c r="J324" s="1"/>
      <c r="K324" s="1"/>
      <c r="L324" s="1"/>
      <c r="M324" s="5"/>
      <c r="N324" s="1"/>
    </row>
    <row r="325" spans="4:14" x14ac:dyDescent="0.2">
      <c r="F325" s="1"/>
      <c r="G325" s="1"/>
      <c r="H325" s="1"/>
      <c r="I325" s="1"/>
      <c r="J325" s="1"/>
      <c r="K325" s="1"/>
      <c r="L325" s="1"/>
      <c r="M325" s="5"/>
      <c r="N325" s="1"/>
    </row>
    <row r="326" spans="4:14" x14ac:dyDescent="0.2">
      <c r="E326" s="1240"/>
      <c r="F326" s="1"/>
      <c r="G326" s="1"/>
      <c r="H326" s="1"/>
      <c r="I326" s="1"/>
      <c r="J326" s="1"/>
      <c r="K326" s="1"/>
      <c r="L326" s="1"/>
      <c r="M326" s="5"/>
      <c r="N326" s="1"/>
    </row>
    <row r="327" spans="4:14" x14ac:dyDescent="0.2">
      <c r="D327"/>
      <c r="E327"/>
      <c r="F327"/>
      <c r="G327"/>
      <c r="H327"/>
      <c r="I327"/>
      <c r="J327"/>
      <c r="K327"/>
      <c r="L327"/>
    </row>
    <row r="328" spans="4:14" x14ac:dyDescent="0.2">
      <c r="D328"/>
      <c r="E328"/>
      <c r="F328"/>
      <c r="G328"/>
      <c r="H328"/>
      <c r="I328"/>
      <c r="J328"/>
      <c r="K328"/>
      <c r="L328"/>
    </row>
    <row r="329" spans="4:14" x14ac:dyDescent="0.2">
      <c r="D329"/>
      <c r="E329"/>
      <c r="F329"/>
      <c r="G329"/>
      <c r="H329"/>
      <c r="I329"/>
      <c r="J329"/>
      <c r="K329"/>
      <c r="L329"/>
    </row>
    <row r="330" spans="4:14" x14ac:dyDescent="0.2">
      <c r="D330"/>
      <c r="E330"/>
      <c r="F330"/>
      <c r="G330"/>
      <c r="H330"/>
      <c r="I330"/>
      <c r="J330"/>
      <c r="K330"/>
      <c r="L330"/>
    </row>
  </sheetData>
  <mergeCells count="12">
    <mergeCell ref="H2:H3"/>
    <mergeCell ref="C2:C3"/>
    <mergeCell ref="D2:D3"/>
    <mergeCell ref="E2:E3"/>
    <mergeCell ref="F2:F3"/>
    <mergeCell ref="G2:G3"/>
    <mergeCell ref="M2:M3"/>
    <mergeCell ref="N2:N3"/>
    <mergeCell ref="I2:I3"/>
    <mergeCell ref="J2:J3"/>
    <mergeCell ref="K2:K3"/>
    <mergeCell ref="L2:L3"/>
  </mergeCells>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25"/>
  <dimension ref="A1:AO154"/>
  <sheetViews>
    <sheetView rightToLeft="1" topLeftCell="A98" workbookViewId="0">
      <selection activeCell="G105" sqref="G105"/>
    </sheetView>
  </sheetViews>
  <sheetFormatPr defaultRowHeight="15.75" x14ac:dyDescent="0.2"/>
  <cols>
    <col min="1" max="1" width="6.28515625" style="831" customWidth="1"/>
    <col min="2" max="2" width="18.5703125" style="832" customWidth="1"/>
    <col min="3" max="3" width="26.140625" style="833" customWidth="1"/>
    <col min="4" max="4" width="9.42578125" style="833" hidden="1" customWidth="1"/>
    <col min="5" max="5" width="32.85546875" style="834" customWidth="1"/>
    <col min="6" max="6" width="9.140625" style="834" bestFit="1" customWidth="1"/>
    <col min="7" max="7" width="14" style="835" bestFit="1" customWidth="1"/>
    <col min="8" max="8" width="23" style="833" customWidth="1"/>
    <col min="9" max="9" width="10.5703125" style="834" bestFit="1" customWidth="1"/>
    <col min="10" max="11" width="8" style="836" customWidth="1"/>
    <col min="12" max="12" width="11.42578125" style="836" customWidth="1"/>
    <col min="13" max="13" width="11.140625" style="837" customWidth="1"/>
    <col min="14" max="14" width="15" style="837" customWidth="1"/>
    <col min="15" max="30" width="15" style="834" customWidth="1"/>
    <col min="31" max="31" width="9.140625" style="834"/>
    <col min="32" max="34" width="12.85546875" style="834" customWidth="1"/>
    <col min="35" max="35" width="14" style="834" bestFit="1" customWidth="1"/>
    <col min="36" max="36" width="18.28515625" style="834" customWidth="1"/>
    <col min="37" max="16384" width="9.140625" style="834"/>
  </cols>
  <sheetData>
    <row r="1" spans="1:14" ht="4.5" customHeight="1" x14ac:dyDescent="0.2"/>
    <row r="2" spans="1:14" ht="4.5" customHeight="1" x14ac:dyDescent="0.2"/>
    <row r="3" spans="1:14" ht="57" customHeight="1" x14ac:dyDescent="0.2">
      <c r="C3" s="838"/>
      <c r="D3" s="838"/>
    </row>
    <row r="4" spans="1:14" s="842" customFormat="1" ht="12.75" x14ac:dyDescent="0.2">
      <c r="A4" s="839" t="s">
        <v>1185</v>
      </c>
      <c r="B4" s="840"/>
      <c r="C4" s="839"/>
      <c r="D4" s="839"/>
      <c r="E4" s="841">
        <v>41122</v>
      </c>
      <c r="G4" s="1240"/>
      <c r="J4" s="843"/>
      <c r="K4" s="843"/>
      <c r="M4" s="844"/>
      <c r="N4" s="844"/>
    </row>
    <row r="5" spans="1:14" s="842" customFormat="1" ht="12.75" x14ac:dyDescent="0.2">
      <c r="A5" s="839" t="s">
        <v>1186</v>
      </c>
      <c r="B5" s="840"/>
      <c r="C5" s="839"/>
      <c r="D5" s="839"/>
      <c r="G5" s="1240"/>
      <c r="J5" s="843"/>
      <c r="K5" s="843"/>
      <c r="L5" s="843"/>
      <c r="M5" s="844"/>
      <c r="N5" s="844"/>
    </row>
    <row r="6" spans="1:14" s="845" customFormat="1" ht="30" customHeight="1" x14ac:dyDescent="0.2">
      <c r="A6" s="845" t="s">
        <v>1187</v>
      </c>
      <c r="B6" s="846"/>
      <c r="C6" s="838"/>
      <c r="D6" s="838"/>
      <c r="E6" s="838"/>
      <c r="G6" s="1240"/>
      <c r="I6" s="838"/>
      <c r="J6" s="847"/>
      <c r="K6" s="847"/>
      <c r="L6" s="847"/>
      <c r="M6" s="848"/>
      <c r="N6" s="848"/>
    </row>
    <row r="7" spans="1:14" ht="12.75" customHeight="1" x14ac:dyDescent="0.2"/>
    <row r="8" spans="1:14" ht="64.5" customHeight="1" x14ac:dyDescent="0.2">
      <c r="A8" s="849"/>
      <c r="B8" s="850" t="s">
        <v>1188</v>
      </c>
      <c r="C8" s="849" t="s">
        <v>556</v>
      </c>
      <c r="D8" s="849"/>
      <c r="E8" s="849" t="s">
        <v>1189</v>
      </c>
      <c r="F8" s="850" t="s">
        <v>1190</v>
      </c>
      <c r="G8" s="851" t="s">
        <v>1191</v>
      </c>
      <c r="H8" s="852" t="s">
        <v>1192</v>
      </c>
      <c r="I8" s="850" t="s">
        <v>1193</v>
      </c>
      <c r="J8" s="853" t="s">
        <v>1194</v>
      </c>
      <c r="K8" s="854" t="s">
        <v>1195</v>
      </c>
      <c r="L8" s="854" t="s">
        <v>1196</v>
      </c>
      <c r="M8" s="855" t="s">
        <v>1197</v>
      </c>
    </row>
    <row r="9" spans="1:14" x14ac:dyDescent="0.2">
      <c r="A9" s="856">
        <v>1</v>
      </c>
      <c r="C9" s="857" t="s">
        <v>456</v>
      </c>
      <c r="D9" s="857"/>
      <c r="E9" s="858" t="s">
        <v>197</v>
      </c>
      <c r="F9" s="859">
        <v>1</v>
      </c>
      <c r="G9" s="860">
        <f>+IFERROR(HLOOKUP(C9,'נתוני תאגידים'!$1:$715,713,0),IFERROR(VLOOKUP(E9,'נתוני מים 2014'!$C$2:$N$184,5,0)/1000-VLOOKUP(E9,'נתוני מים 2014'!$C$2:$N$179,9,0)/1000,0))</f>
        <v>11081.690999999999</v>
      </c>
      <c r="H9" s="858" t="s">
        <v>1198</v>
      </c>
      <c r="I9" s="859">
        <v>48</v>
      </c>
      <c r="J9" s="861">
        <v>5</v>
      </c>
      <c r="K9" s="861">
        <f>J9*I9</f>
        <v>240</v>
      </c>
      <c r="L9" s="862">
        <f>J9*I9/I10</f>
        <v>5</v>
      </c>
      <c r="M9" s="863">
        <f>+IFERROR(VLOOKUP(C9,'[21]נתוני צריכה 12 עדכני'!$D$6:$S$200,7,0)/1000-VLOOKUP(C9,'[21]נתוני צריכה 12 עדכני'!$D$6:$S$201,11,0)/1000-VLOOKUP(C9,'[21]התפלגות מים 2012'!$D$6:$W$199,5,0)/1000,IFERROR(VLOOKUP(E9,'[21]נתוני צריכה רשויות מקומיות'!$D$6:$S$74,7,0)/1000-VLOOKUP(E9,'[21]נתוני צריכה רשויות מקומיות'!$D$6:$S$74,11,0)/1000,0))</f>
        <v>9804.0889999999999</v>
      </c>
      <c r="N9" s="438"/>
    </row>
    <row r="10" spans="1:14" s="871" customFormat="1" x14ac:dyDescent="0.2">
      <c r="A10" s="864"/>
      <c r="B10" s="865" t="s">
        <v>1101</v>
      </c>
      <c r="C10" s="865"/>
      <c r="D10" s="865"/>
      <c r="E10" s="866"/>
      <c r="F10" s="867">
        <f>SUM(F9)</f>
        <v>1</v>
      </c>
      <c r="G10" s="868">
        <f>SUM(G9)</f>
        <v>11081.690999999999</v>
      </c>
      <c r="H10" s="867"/>
      <c r="I10" s="867">
        <f>SUM(I9)</f>
        <v>48</v>
      </c>
      <c r="J10" s="869">
        <f>SUM(J9)</f>
        <v>5</v>
      </c>
      <c r="K10" s="869">
        <f>SUM(K9)</f>
        <v>240</v>
      </c>
      <c r="L10" s="869">
        <f>K10/I10</f>
        <v>5</v>
      </c>
      <c r="M10" s="869">
        <f>SUM(M9)</f>
        <v>9804.0889999999999</v>
      </c>
      <c r="N10" s="438"/>
    </row>
    <row r="11" spans="1:14" ht="35.1" customHeight="1" x14ac:dyDescent="0.2">
      <c r="A11" s="872">
        <v>2</v>
      </c>
      <c r="C11" s="857" t="s">
        <v>578</v>
      </c>
      <c r="D11" s="873" t="e">
        <f>+VLOOKUP(#REF!,'[22]תכולת תאגידים מרחביים 1'!$C$9:$D$111,2,0)</f>
        <v>#REF!</v>
      </c>
      <c r="E11" s="874" t="s">
        <v>1199</v>
      </c>
      <c r="F11" s="875">
        <v>6</v>
      </c>
      <c r="G11" s="860">
        <f>+IFERROR(HLOOKUP(C11,'נתוני תאגידים'!$1:$715,713,0),IFERROR(VLOOKUP(E11,'נתוני מים 2014'!$C$2:$N$184,5,0)/1000-VLOOKUP(E11,'נתוני מים 2014'!$C$2:$N$179,9,0)/1000,0))</f>
        <v>6044.5029999999997</v>
      </c>
      <c r="H11" s="874" t="s">
        <v>1200</v>
      </c>
      <c r="I11" s="859">
        <v>81</v>
      </c>
      <c r="J11" s="861">
        <v>1</v>
      </c>
      <c r="K11" s="861">
        <f>J11*I11</f>
        <v>81</v>
      </c>
      <c r="L11" s="1829">
        <f>(J11*I11+J12*I12+J13*I13+J14*I14+J15*I15+J18*I18)/I19</f>
        <v>3.8678498985801215</v>
      </c>
      <c r="M11" s="863">
        <f>+IFERROR(VLOOKUP(D11,'[21]נתוני צריכה 12 עדכני'!$D$6:$S$200,7,0)/1000-VLOOKUP(D11,'[21]נתוני צריכה 12 עדכני'!$D$6:$S$201,11,0)/1000-VLOOKUP(D11,'[21]התפלגות מים 2012'!$D$6:$W$199,5,0)/1000,IFERROR(VLOOKUP(E11,'[21]נתוני צריכה רשויות מקומיות'!$D$6:$S$74,7,0)/1000-VLOOKUP(E11,'[21]נתוני צריכה רשויות מקומיות'!$D$6:$S$74,11,0)/1000,0))</f>
        <v>0</v>
      </c>
      <c r="N11" s="602"/>
    </row>
    <row r="12" spans="1:14" ht="30" x14ac:dyDescent="0.2">
      <c r="A12" s="876"/>
      <c r="B12" s="877"/>
      <c r="C12" s="857" t="s">
        <v>269</v>
      </c>
      <c r="D12" s="873" t="str">
        <f>+VLOOKUP(C12,'[22]תכולת תאגידים מרחביים 1'!$C$9:$D$111,2,0)</f>
        <v>מי רהט בע"מ</v>
      </c>
      <c r="E12" s="858" t="s">
        <v>1201</v>
      </c>
      <c r="F12" s="859">
        <v>1</v>
      </c>
      <c r="G12" s="860">
        <f>+IFERROR(HLOOKUP(C12,'נתוני תאגידים'!$1:$715,713,0),IFERROR(VLOOKUP(E12,'נתוני מים 2014'!$C$2:$N$184,5,0)/1000-VLOOKUP(E12,'נתוני מים 2014'!$C$2:$N$179,9,0)/1000,0))</f>
        <v>3174.326</v>
      </c>
      <c r="H12" s="858" t="s">
        <v>1202</v>
      </c>
      <c r="I12" s="859">
        <v>53</v>
      </c>
      <c r="J12" s="861">
        <v>1</v>
      </c>
      <c r="K12" s="861">
        <f t="shared" ref="K12:K88" si="0">J12*I12</f>
        <v>53</v>
      </c>
      <c r="L12" s="1830"/>
      <c r="M12" s="863">
        <f>+IFERROR(VLOOKUP(D12,'[21]נתוני צריכה 12 עדכני'!$D$6:$S$200,7,0)/1000-VLOOKUP(D12,'[21]נתוני צריכה 12 עדכני'!$D$6:$S$201,11,0)/1000-VLOOKUP(D12,'[21]התפלגות מים 2012'!$D$6:$W$199,5,0)/1000,IFERROR(VLOOKUP(E12,'[21]נתוני צריכה רשויות מקומיות'!$D$6:$S$74,7,0)/1000-VLOOKUP(E12,'[21]נתוני צריכה רשויות מקומיות'!$D$6:$S$74,11,0)/1000,0))</f>
        <v>3212.1389999999997</v>
      </c>
      <c r="N12" s="602"/>
    </row>
    <row r="13" spans="1:14" ht="29.25" customHeight="1" x14ac:dyDescent="0.2">
      <c r="A13" s="876"/>
      <c r="B13" s="877"/>
      <c r="C13" s="857" t="s">
        <v>452</v>
      </c>
      <c r="D13" s="873" t="e">
        <f>+VLOOKUP(C13,'[22]תכולת תאגידים מרחביים 1'!$C$9:$D$111,2,0)</f>
        <v>#N/A</v>
      </c>
      <c r="E13" s="858" t="s">
        <v>1203</v>
      </c>
      <c r="F13" s="859">
        <v>2</v>
      </c>
      <c r="G13" s="860">
        <f>+IFERROR(HLOOKUP(C13,'נתוני תאגידים'!$1:$715,713,0),IFERROR(VLOOKUP(E13,'נתוני מים 2014'!$C$2:$N$184,5,0)/1000-VLOOKUP(E13,'נתוני מים 2014'!$C$2:$N$179,9,0)/1000,0))</f>
        <v>20929.161</v>
      </c>
      <c r="H13" s="858" t="s">
        <v>1204</v>
      </c>
      <c r="I13" s="859">
        <v>220</v>
      </c>
      <c r="J13" s="861">
        <v>4.8899999999999997</v>
      </c>
      <c r="K13" s="861">
        <f t="shared" si="0"/>
        <v>1075.8</v>
      </c>
      <c r="L13" s="1830"/>
      <c r="M13" s="863">
        <f>+IFERROR(VLOOKUP(D13,'[21]נתוני צריכה 12 עדכני'!$D$6:$S$200,7,0)/1000-VLOOKUP(D13,'[21]נתוני צריכה 12 עדכני'!$D$6:$S$201,11,0)/1000-VLOOKUP(D13,'[21]התפלגות מים 2012'!$D$6:$W$199,5,0)/1000,IFERROR(VLOOKUP(E13,'[21]נתוני צריכה רשויות מקומיות'!$D$6:$S$74,7,0)/1000-VLOOKUP(E13,'[21]נתוני צריכה רשויות מקומיות'!$D$6:$S$74,11,0)/1000,0))</f>
        <v>0</v>
      </c>
      <c r="N13" s="602"/>
    </row>
    <row r="14" spans="1:14" ht="45" x14ac:dyDescent="0.2">
      <c r="A14" s="876"/>
      <c r="B14" s="877"/>
      <c r="C14" s="857" t="s">
        <v>267</v>
      </c>
      <c r="D14" s="873" t="str">
        <f>+VLOOKUP(C14,'[22]תכולת תאגידים מרחביים 1'!$C$9:$D$111,2,0)</f>
        <v>מעיינות הדרום בע"מ</v>
      </c>
      <c r="E14" s="858" t="s">
        <v>1205</v>
      </c>
      <c r="F14" s="859">
        <v>4</v>
      </c>
      <c r="G14" s="860">
        <f>+IFERROR(HLOOKUP(C14,'נתוני תאגידים'!$1:$715,713,0),IFERROR(VLOOKUP(E14,'נתוני מים 2014'!$C$2:$N$184,5,0)/1000-VLOOKUP(E14,'נתוני מים 2014'!$C$2:$N$179,9,0)/1000,0))</f>
        <v>6640.4369999999999</v>
      </c>
      <c r="H14" s="874" t="s">
        <v>1206</v>
      </c>
      <c r="I14" s="859">
        <v>70</v>
      </c>
      <c r="J14" s="861">
        <v>4.41</v>
      </c>
      <c r="K14" s="861">
        <f t="shared" si="0"/>
        <v>308.7</v>
      </c>
      <c r="L14" s="1830"/>
      <c r="M14" s="863">
        <f>+IFERROR(VLOOKUP(D14,'[21]נתוני צריכה 12 עדכני'!$D$6:$S$200,7,0)/1000-VLOOKUP(D14,'[21]נתוני צריכה 12 עדכני'!$D$6:$S$201,11,0)/1000-VLOOKUP(D14,'[21]התפלגות מים 2012'!$D$6:$W$199,5,0)/1000,IFERROR(VLOOKUP(E14,'[21]נתוני צריכה רשויות מקומיות'!$D$6:$S$74,7,0)/1000-VLOOKUP(E14,'[21]נתוני צריכה רשויות מקומיות'!$D$6:$S$74,11,0)/1000,0))</f>
        <v>6315.11</v>
      </c>
      <c r="N14" s="602"/>
    </row>
    <row r="15" spans="1:14" x14ac:dyDescent="0.2">
      <c r="A15" s="876"/>
      <c r="B15" s="877"/>
      <c r="C15" s="857" t="s">
        <v>659</v>
      </c>
      <c r="D15" s="873" t="e">
        <f>+VLOOKUP(C15,'[22]תכולת תאגידים מרחביים 1'!$C$9:$D$111,2,0)</f>
        <v>#N/A</v>
      </c>
      <c r="E15" s="858" t="s">
        <v>1207</v>
      </c>
      <c r="F15" s="859">
        <v>1</v>
      </c>
      <c r="G15" s="860">
        <f>+IFERROR(HLOOKUP(C15,'נתוני תאגידים'!$1:$715,713,0),IFERROR(VLOOKUP(E15,'נתוני מים 2014'!$C$2:$N$184,5,0)/1000-VLOOKUP(E15,'נתוני מים 2014'!$C$2:$N$179,9,0)/1000,0))</f>
        <v>6789.9260000000004</v>
      </c>
      <c r="H15" s="878" t="s">
        <v>1208</v>
      </c>
      <c r="I15" s="859">
        <v>48</v>
      </c>
      <c r="J15" s="861">
        <v>4</v>
      </c>
      <c r="K15" s="861">
        <f t="shared" si="0"/>
        <v>192</v>
      </c>
      <c r="L15" s="1830"/>
      <c r="M15" s="863">
        <f>+IFERROR(VLOOKUP(D15,'[21]נתוני צריכה 12 עדכני'!$D$6:$S$200,7,0)/1000-VLOOKUP(D15,'[21]נתוני צריכה 12 עדכני'!$D$6:$S$201,11,0)/1000-VLOOKUP(D15,'[21]התפלגות מים 2012'!$D$6:$W$199,5,0)/1000,IFERROR(VLOOKUP(E15,'[21]נתוני צריכה רשויות מקומיות'!$D$6:$S$74,7,0)/1000-VLOOKUP(E15,'[21]נתוני צריכה רשויות מקומיות'!$D$6:$S$74,11,0)/1000,0))</f>
        <v>0</v>
      </c>
      <c r="N15" s="602"/>
    </row>
    <row r="16" spans="1:14" x14ac:dyDescent="0.2">
      <c r="A16" s="876"/>
      <c r="B16" s="877"/>
      <c r="C16" s="1832" t="s">
        <v>1209</v>
      </c>
      <c r="D16" s="873" t="str">
        <f>+VLOOKUP(C16,'[22]תכולת תאגידים מרחביים 1'!$C$9:$D$111,2,0)</f>
        <v xml:space="preserve">עומר </v>
      </c>
      <c r="E16" s="1297" t="s">
        <v>236</v>
      </c>
      <c r="F16" s="859">
        <v>1</v>
      </c>
      <c r="G16" s="860">
        <f>+IFERROR(HLOOKUP(C16,'נתוני תאגידים'!$1:$715,713,0),IFERROR(VLOOKUP(E16,'נתוני מים 2014'!$C$2:$N$184,5,0)/1000-VLOOKUP(E16,'נתוני מים 2014'!$C$2:$N$179,9,0)/1000,0))</f>
        <v>937.53099999999995</v>
      </c>
      <c r="H16" s="878"/>
      <c r="I16" s="859"/>
      <c r="J16" s="861"/>
      <c r="K16" s="861"/>
      <c r="L16" s="1830"/>
      <c r="M16" s="863" t="e">
        <f>+IFERROR(VLOOKUP(D16,'[21]נתוני צריכה 12 עדכני'!$D$6:$S$200,7,0)/1000-VLOOKUP(D16,'[21]נתוני צריכה 12 עדכני'!$D$6:$S$201,11,0)/1000-VLOOKUP(D16,'[21]התפלגות מים 2012'!$D$6:$W$199,5,0)/1000,(VLOOKUP(E16,'[21]נתוני צריכה רשויות מקומיות'!$D$6:$S$74,6,0)/1000-VLOOKUP(E16,'[21]נתוני צריכה רשויות מקומיות'!$D$6:$S$74,10,0)/1000-VLOOKUP(E16,'[21]התפלגות מים 2012'!$D$200:$Q$263,5,0)/1000))</f>
        <v>#N/A</v>
      </c>
      <c r="N16" s="602"/>
    </row>
    <row r="17" spans="1:14" x14ac:dyDescent="0.2">
      <c r="A17" s="876"/>
      <c r="B17" s="877"/>
      <c r="C17" s="1833"/>
      <c r="D17" s="873" t="e">
        <f>+VLOOKUP(C17,'[22]תכולת תאגידים מרחביים 1'!$C$9:$D$111,2,0)</f>
        <v>#N/A</v>
      </c>
      <c r="E17" s="1297" t="s">
        <v>118</v>
      </c>
      <c r="F17" s="859">
        <v>1</v>
      </c>
      <c r="G17" s="860">
        <f>+IFERROR(HLOOKUP(C17,'נתוני תאגידים'!$1:$715,713,0),IFERROR(VLOOKUP(E17,'נתוני מים 2014'!$C$2:$N$184,5,0)/1000-VLOOKUP(E17,'נתוני מים 2014'!$C$2:$N$179,9,0)/1000,0))</f>
        <v>919.76</v>
      </c>
      <c r="H17" s="878"/>
      <c r="I17" s="859"/>
      <c r="J17" s="861"/>
      <c r="K17" s="861"/>
      <c r="L17" s="1830"/>
      <c r="M17" s="863" t="e">
        <f>+IFERROR(VLOOKUP(D17,'[21]נתוני צריכה 12 עדכני'!$D$6:$S$200,7,0)/1000-VLOOKUP(D17,'[21]נתוני צריכה 12 עדכני'!$D$6:$S$201,11,0)/1000-VLOOKUP(D17,'[21]התפלגות מים 2012'!$D$6:$W$199,5,0)/1000,(VLOOKUP(E17,'[21]נתוני צריכה רשויות מקומיות'!$D$6:$S$74,6,0)/1000-VLOOKUP(E17,'[21]נתוני צריכה רשויות מקומיות'!$D$6:$S$74,10,0)/1000-VLOOKUP(E17,'[21]התפלגות מים 2012'!$D$200:$Q$263,5,0)/1000))</f>
        <v>#N/A</v>
      </c>
      <c r="N17" s="602"/>
    </row>
    <row r="18" spans="1:14" x14ac:dyDescent="0.2">
      <c r="A18" s="880"/>
      <c r="B18" s="881"/>
      <c r="C18" s="1834"/>
      <c r="D18" s="873" t="e">
        <f>+VLOOKUP(C18,'[22]תכולת תאגידים מרחביים 1'!$C$9:$D$111,2,0)</f>
        <v>#N/A</v>
      </c>
      <c r="E18" s="1297" t="s">
        <v>222</v>
      </c>
      <c r="F18" s="882">
        <v>1</v>
      </c>
      <c r="G18" s="860">
        <f>+IFERROR(HLOOKUP(C18,'נתוני תאגידים'!$1:$715,713,0),IFERROR(VLOOKUP(E18,'נתוני מים 2014'!$C$2:$N$184,5,0)/1000-VLOOKUP(E18,'נתוני מים 2014'!$C$2:$N$179,9,0)/1000,0))</f>
        <v>621.274</v>
      </c>
      <c r="H18" s="878" t="s">
        <v>1210</v>
      </c>
      <c r="I18" s="859">
        <f>7+6+8</f>
        <v>21</v>
      </c>
      <c r="J18" s="861">
        <v>9.35</v>
      </c>
      <c r="K18" s="861">
        <f t="shared" si="0"/>
        <v>196.35</v>
      </c>
      <c r="L18" s="1831"/>
      <c r="M18" s="863" t="e">
        <f>+IFERROR(VLOOKUP(D18,'[21]נתוני צריכה 12 עדכני'!$D$6:$S$200,7,0)/1000-VLOOKUP(D18,'[21]נתוני צריכה 12 עדכני'!$D$6:$S$201,11,0)/1000-VLOOKUP(D18,'[21]התפלגות מים 2012'!$D$6:$W$199,5,0)/1000,(VLOOKUP(E18,'[21]נתוני צריכה רשויות מקומיות'!$D$6:$S$74,6,0)/1000-VLOOKUP(E18,'[21]נתוני צריכה רשויות מקומיות'!$D$6:$S$74,10,0)/1000-VLOOKUP(E18,'[21]התפלגות מים 2012'!$D$200:$Q$263,5,0)/1000))</f>
        <v>#N/A</v>
      </c>
      <c r="N18" s="602"/>
    </row>
    <row r="19" spans="1:14" s="871" customFormat="1" x14ac:dyDescent="0.2">
      <c r="A19" s="864"/>
      <c r="B19" s="865" t="s">
        <v>1104</v>
      </c>
      <c r="C19" s="865"/>
      <c r="D19" s="873" t="e">
        <f>+VLOOKUP(C19,'[22]תכולת תאגידים מרחביים 1'!$C$9:$D$111,2,0)</f>
        <v>#N/A</v>
      </c>
      <c r="E19" s="866"/>
      <c r="F19" s="867">
        <f>SUM(F11:F18)</f>
        <v>17</v>
      </c>
      <c r="G19" s="868">
        <f>SUM(G11:G18)</f>
        <v>46056.917999999998</v>
      </c>
      <c r="H19" s="867"/>
      <c r="I19" s="869">
        <f>SUM(I11:I18)</f>
        <v>493</v>
      </c>
      <c r="J19" s="869">
        <f>SUM(J11:J18)</f>
        <v>24.65</v>
      </c>
      <c r="K19" s="869">
        <f>SUM(K11:K18)</f>
        <v>1906.85</v>
      </c>
      <c r="L19" s="869">
        <f>K19/I19</f>
        <v>3.8678498985801215</v>
      </c>
      <c r="M19" s="869" t="e">
        <f>SUM(M11:M18)</f>
        <v>#N/A</v>
      </c>
      <c r="N19" s="602"/>
    </row>
    <row r="20" spans="1:14" x14ac:dyDescent="0.2">
      <c r="A20" s="872">
        <v>3</v>
      </c>
      <c r="B20" s="834"/>
      <c r="C20" s="858" t="s">
        <v>442</v>
      </c>
      <c r="D20" s="873" t="e">
        <f>+VLOOKUP(C20,'[22]תכולת תאגידים מרחביים 1'!$C$9:$D$111,2,0)</f>
        <v>#N/A</v>
      </c>
      <c r="E20" s="858" t="s">
        <v>2</v>
      </c>
      <c r="F20" s="859">
        <v>1</v>
      </c>
      <c r="G20" s="860">
        <f>+IFERROR(HLOOKUP(C20,'נתוני תאגידים'!$1:$715,713,0),IFERROR(VLOOKUP(E20,'נתוני מים 2014'!$C$2:$N$184,5,0)/1000-VLOOKUP(E20,'נתוני מים 2014'!$C$2:$N$179,9,0)/1000,0))</f>
        <v>17049.447</v>
      </c>
      <c r="H20" s="858" t="s">
        <v>1211</v>
      </c>
      <c r="I20" s="859">
        <v>211</v>
      </c>
      <c r="J20" s="861">
        <v>5</v>
      </c>
      <c r="K20" s="861">
        <f t="shared" si="0"/>
        <v>1055</v>
      </c>
      <c r="L20" s="1829">
        <f>(J20*I20+J21*I21+J22*I22+J23*I23+J26*I26)/I27</f>
        <v>4.6834460887949261</v>
      </c>
      <c r="M20" s="863" t="e">
        <f>+IFERROR(VLOOKUP(D20,'[21]נתוני צריכה 12 עדכני'!$D$6:$S$200,7,0)/1000-VLOOKUP(D20,'[21]נתוני צריכה 12 עדכני'!$D$6:$S$201,11,0)/1000-VLOOKUP(D20,'[21]התפלגות מים 2012'!$D$6:$W$199,5,0)/1000,(VLOOKUP(E20,'[21]נתוני צריכה רשויות מקומיות'!$D$6:$S$74,6,0)/1000-VLOOKUP(E20,'[21]נתוני צריכה רשויות מקומיות'!$D$6:$S$74,10,0)/1000-VLOOKUP(E20,'[21]התפלגות מים 2012'!$D$200:$Q$263,5,0)/1000))</f>
        <v>#N/A</v>
      </c>
      <c r="N20" s="602"/>
    </row>
    <row r="21" spans="1:14" ht="45" x14ac:dyDescent="0.2">
      <c r="A21" s="876"/>
      <c r="B21" s="877"/>
      <c r="C21" s="858" t="s">
        <v>271</v>
      </c>
      <c r="D21" s="873" t="str">
        <f>+VLOOKUP(C21,'[22]תכולת תאגידים מרחביים 1'!$C$9:$D$111,2,0)</f>
        <v>מי אשקלון בע"מ</v>
      </c>
      <c r="E21" s="858" t="s">
        <v>1212</v>
      </c>
      <c r="F21" s="859">
        <v>2</v>
      </c>
      <c r="G21" s="860">
        <f>+IFERROR(HLOOKUP(C21,'נתוני תאגידים'!$1:$715,713,0),IFERROR(VLOOKUP(E21,'נתוני מים 2014'!$C$2:$N$184,5,0)/1000-VLOOKUP(E21,'נתוני מים 2014'!$C$2:$N$179,9,0)/1000,0))</f>
        <v>14360.366</v>
      </c>
      <c r="H21" s="878" t="s">
        <v>1212</v>
      </c>
      <c r="I21" s="859">
        <v>142</v>
      </c>
      <c r="J21" s="861">
        <v>4.26</v>
      </c>
      <c r="K21" s="861">
        <f t="shared" si="0"/>
        <v>604.91999999999996</v>
      </c>
      <c r="L21" s="1830"/>
      <c r="M21" s="863">
        <f>+IFERROR(VLOOKUP(D21,'[21]נתוני צריכה 12 עדכני'!$D$6:$S$200,7,0)/1000-VLOOKUP(D21,'[21]נתוני צריכה 12 עדכני'!$D$6:$S$201,11,0)/1000-VLOOKUP(D21,'[21]התפלגות מים 2012'!$D$6:$W$199,5,0)/1000,(VLOOKUP(E21,'[21]נתוני צריכה רשויות מקומיות'!$D$6:$S$74,6,0)/1000-VLOOKUP(E21,'[21]נתוני צריכה רשויות מקומיות'!$D$6:$S$74,10,0)/1000-VLOOKUP(E21,'[21]התפלגות מים 2012'!$D$200:$Q$263,5,0)/1000))</f>
        <v>11864.786</v>
      </c>
      <c r="N21" s="602"/>
    </row>
    <row r="22" spans="1:14" ht="30" x14ac:dyDescent="0.2">
      <c r="A22" s="876"/>
      <c r="B22" s="877"/>
      <c r="C22" s="858" t="s">
        <v>255</v>
      </c>
      <c r="D22" s="873" t="str">
        <f>+VLOOKUP(C22,'[22]תכולת תאגידים מרחביים 1'!$C$9:$D$111,2,0)</f>
        <v>מי יבנה בע"מ</v>
      </c>
      <c r="E22" s="858" t="s">
        <v>1213</v>
      </c>
      <c r="F22" s="859">
        <v>2</v>
      </c>
      <c r="G22" s="860">
        <f>+IFERROR(HLOOKUP(C22,'נתוני תאגידים'!$1:$715,713,0),IFERROR(VLOOKUP(E22,'נתוני מים 2014'!$C$2:$N$184,5,0)/1000-VLOOKUP(E22,'נתוני מים 2014'!$C$2:$N$179,9,0)/1000,0))</f>
        <v>5412.576</v>
      </c>
      <c r="H22" s="878" t="s">
        <v>1214</v>
      </c>
      <c r="I22" s="859">
        <v>53</v>
      </c>
      <c r="J22" s="861">
        <v>6</v>
      </c>
      <c r="K22" s="861">
        <f t="shared" si="0"/>
        <v>318</v>
      </c>
      <c r="L22" s="1830"/>
      <c r="M22" s="863">
        <f>+IFERROR(VLOOKUP(D22,'[21]נתוני צריכה 12 עדכני'!$D$6:$S$200,7,0)/1000-VLOOKUP(D22,'[21]נתוני צריכה 12 עדכני'!$D$6:$S$201,11,0)/1000-VLOOKUP(D22,'[21]התפלגות מים 2012'!$D$6:$W$199,5,0)/1000,(VLOOKUP(E22,'[21]נתוני צריכה רשויות מקומיות'!$D$6:$S$74,6,0)/1000-VLOOKUP(E22,'[21]נתוני צריכה רשויות מקומיות'!$D$6:$S$74,10,0)/1000-VLOOKUP(E22,'[21]התפלגות מים 2012'!$D$200:$Q$263,5,0)/1000))</f>
        <v>4864.5450000000001</v>
      </c>
      <c r="N22" s="602"/>
    </row>
    <row r="23" spans="1:14" x14ac:dyDescent="0.2">
      <c r="A23" s="876"/>
      <c r="B23" s="877"/>
      <c r="C23" s="1832" t="s">
        <v>1209</v>
      </c>
      <c r="D23" s="873" t="str">
        <f>+VLOOKUP(C23,'[22]תכולת תאגידים מרחביים 1'!$C$9:$D$111,2,0)</f>
        <v xml:space="preserve">עומר </v>
      </c>
      <c r="E23" s="879" t="s">
        <v>249</v>
      </c>
      <c r="F23" s="883">
        <v>1</v>
      </c>
      <c r="G23" s="860">
        <f>+IFERROR(HLOOKUP(C23,'נתוני תאגידים'!$1:$715,713,0),IFERROR(VLOOKUP(E23,'נתוני מים 2014'!$C$2:$N$184,5,0)/1000-VLOOKUP(E23,'נתוני מים 2014'!$C$2:$N$179,9,0)/1000,0))</f>
        <v>2215.7739999999999</v>
      </c>
      <c r="H23" s="878" t="s">
        <v>249</v>
      </c>
      <c r="I23" s="859">
        <v>20</v>
      </c>
      <c r="J23" s="861"/>
      <c r="K23" s="861">
        <f t="shared" si="0"/>
        <v>0</v>
      </c>
      <c r="L23" s="1830"/>
      <c r="M23" s="863" t="e">
        <f>+IFERROR(VLOOKUP(D23,'[21]נתוני צריכה 12 עדכני'!$D$6:$S$200,7,0)/1000-VLOOKUP(D23,'[21]נתוני צריכה 12 עדכני'!$D$6:$S$201,11,0)/1000-VLOOKUP(D23,'[21]התפלגות מים 2012'!$D$6:$W$199,5,0)/1000,(VLOOKUP(E23,'[21]נתוני צריכה רשויות מקומיות'!$D$6:$S$74,6,0)/1000-VLOOKUP(E23,'[21]נתוני צריכה רשויות מקומיות'!$D$6:$S$74,10,0)/1000-VLOOKUP(E23,'[21]התפלגות מים 2012'!$D$200:$Q$263,5,0)/1000))</f>
        <v>#N/A</v>
      </c>
      <c r="N23" s="602"/>
    </row>
    <row r="24" spans="1:14" x14ac:dyDescent="0.2">
      <c r="A24" s="876"/>
      <c r="B24" s="877"/>
      <c r="C24" s="1833"/>
      <c r="D24" s="873"/>
      <c r="E24" s="1240" t="s">
        <v>211</v>
      </c>
      <c r="F24" s="883"/>
      <c r="G24" s="860">
        <f>+IFERROR(HLOOKUP(C24,'נתוני תאגידים'!$1:$715,713,0),IFERROR(VLOOKUP(E24,'נתוני מים 2014'!$C$2:$N$184,5,0)/1000-VLOOKUP(E24,'נתוני מים 2014'!$C$2:$N$179,9,0)/1000,0))</f>
        <v>1735.146</v>
      </c>
      <c r="H24" s="878"/>
      <c r="I24" s="859"/>
      <c r="J24" s="861"/>
      <c r="K24" s="861"/>
      <c r="L24" s="1830"/>
      <c r="M24" s="863" t="e">
        <f>+IFERROR(VLOOKUP(D24,'[21]נתוני צריכה 12 עדכני'!$D$6:$S$200,7,0)/1000-VLOOKUP(D24,'[21]נתוני צריכה 12 עדכני'!$D$6:$S$201,11,0)/1000-VLOOKUP(D24,'[21]התפלגות מים 2012'!$D$6:$W$199,5,0)/1000,(VLOOKUP(E24,'[21]נתוני צריכה רשויות מקומיות'!$D$6:$S$74,6,0)/1000-VLOOKUP(E24,'[21]נתוני צריכה רשויות מקומיות'!$D$6:$S$74,10,0)/1000-VLOOKUP(E24,'[21]התפלגות מים 2012'!$D$200:$Q$263,5,0)/1000))</f>
        <v>#N/A</v>
      </c>
      <c r="N24" s="602"/>
    </row>
    <row r="25" spans="1:14" x14ac:dyDescent="0.2">
      <c r="A25" s="876"/>
      <c r="B25" s="877"/>
      <c r="C25" s="1833"/>
      <c r="D25" s="873"/>
      <c r="E25" s="1240" t="s">
        <v>79</v>
      </c>
      <c r="F25" s="883"/>
      <c r="G25" s="860">
        <f>+IFERROR(HLOOKUP(C25,'נתוני תאגידים'!$1:$715,713,0),IFERROR(VLOOKUP(E25,'נתוני מים 2014'!$C$2:$N$184,5,0)/1000-VLOOKUP(E25,'נתוני מים 2014'!$C$2:$N$179,9,0)/1000,0))</f>
        <v>398.14400000000001</v>
      </c>
      <c r="H25" s="878"/>
      <c r="I25" s="859"/>
      <c r="J25" s="861"/>
      <c r="K25" s="861"/>
      <c r="L25" s="1830"/>
      <c r="M25" s="863" t="e">
        <f>+IFERROR(VLOOKUP(D25,'[21]נתוני צריכה 12 עדכני'!$D$6:$S$200,7,0)/1000-VLOOKUP(D25,'[21]נתוני צריכה 12 עדכני'!$D$6:$S$201,11,0)/1000-VLOOKUP(D25,'[21]התפלגות מים 2012'!$D$6:$W$199,5,0)/1000,(VLOOKUP(E25,'[21]נתוני צריכה רשויות מקומיות'!$D$6:$S$74,6,0)/1000-VLOOKUP(E25,'[21]נתוני צריכה רשויות מקומיות'!$D$6:$S$74,10,0)/1000-VLOOKUP(E25,'[21]התפלגות מים 2012'!$D$200:$Q$263,5,0)/1000))</f>
        <v>#N/A</v>
      </c>
      <c r="N25" s="602"/>
    </row>
    <row r="26" spans="1:14" x14ac:dyDescent="0.2">
      <c r="A26" s="880"/>
      <c r="B26" s="881"/>
      <c r="C26" s="1834"/>
      <c r="D26" s="873" t="e">
        <f>+VLOOKUP(C26,'[22]תכולת תאגידים מרחביים 1'!$C$9:$D$111,2,0)</f>
        <v>#N/A</v>
      </c>
      <c r="E26" s="1240" t="s">
        <v>244</v>
      </c>
      <c r="F26" s="883">
        <v>3</v>
      </c>
      <c r="G26" s="860">
        <f>+IFERROR(HLOOKUP(C26,'נתוני תאגידים'!$1:$715,713,0),IFERROR(VLOOKUP(E26,'נתוני מים 2014'!$C$2:$N$184,5,0)/1000-VLOOKUP(E26,'נתוני מים 2014'!$C$2:$N$179,9,0)/1000,0))</f>
        <v>1844.1020000000001</v>
      </c>
      <c r="H26" s="878" t="s">
        <v>1215</v>
      </c>
      <c r="I26" s="859">
        <f>19+8+20</f>
        <v>47</v>
      </c>
      <c r="J26" s="861">
        <v>5.05</v>
      </c>
      <c r="K26" s="861">
        <f t="shared" si="0"/>
        <v>237.35</v>
      </c>
      <c r="L26" s="1831"/>
      <c r="M26" s="863" t="e">
        <f>+IFERROR(VLOOKUP(D26,'[21]נתוני צריכה 12 עדכני'!$D$6:$S$200,7,0)/1000-VLOOKUP(D26,'[21]נתוני צריכה 12 עדכני'!$D$6:$S$201,11,0)/1000-VLOOKUP(D26,'[21]התפלגות מים 2012'!$D$6:$W$199,5,0)/1000,(VLOOKUP(E26,'[21]נתוני צריכה רשויות מקומיות'!$D$6:$S$74,6,0)/1000-VLOOKUP(E26,'[21]נתוני צריכה רשויות מקומיות'!$D$6:$S$74,10,0)/1000-VLOOKUP(E26,'[21]התפלגות מים 2012'!$D$200:$Q$263,5,0)/1000))</f>
        <v>#N/A</v>
      </c>
      <c r="N26" s="602"/>
    </row>
    <row r="27" spans="1:14" s="871" customFormat="1" x14ac:dyDescent="0.2">
      <c r="A27" s="864"/>
      <c r="B27" s="884" t="s">
        <v>1103</v>
      </c>
      <c r="C27" s="865"/>
      <c r="D27" s="873" t="e">
        <f>+VLOOKUP(C27,'[22]תכולת תאגידים מרחביים 1'!$C$9:$D$111,2,0)</f>
        <v>#N/A</v>
      </c>
      <c r="E27" s="866"/>
      <c r="F27" s="867">
        <f>SUM(F20:F26)</f>
        <v>9</v>
      </c>
      <c r="G27" s="868">
        <f>SUM(G20:G26)</f>
        <v>43015.555</v>
      </c>
      <c r="H27" s="867"/>
      <c r="I27" s="869">
        <f>SUM(I20:I26)</f>
        <v>473</v>
      </c>
      <c r="J27" s="869">
        <f>SUM(J20:J26)</f>
        <v>20.309999999999999</v>
      </c>
      <c r="K27" s="869">
        <f>SUM(K20:K26)</f>
        <v>2215.27</v>
      </c>
      <c r="L27" s="869">
        <f>K27/I27</f>
        <v>4.6834460887949261</v>
      </c>
      <c r="M27" s="869" t="e">
        <f>SUM(M20:M26)</f>
        <v>#N/A</v>
      </c>
      <c r="N27" s="602"/>
    </row>
    <row r="28" spans="1:14" ht="54.75" customHeight="1" x14ac:dyDescent="0.2">
      <c r="A28" s="872">
        <v>4</v>
      </c>
      <c r="B28" s="834"/>
      <c r="C28" s="858" t="s">
        <v>441</v>
      </c>
      <c r="D28" s="873" t="e">
        <f>+VLOOKUP(C28,'[22]תכולת תאגידים מרחביים 1'!$C$9:$D$111,2,0)</f>
        <v>#N/A</v>
      </c>
      <c r="E28" s="858" t="s">
        <v>1216</v>
      </c>
      <c r="F28" s="859">
        <v>3</v>
      </c>
      <c r="G28" s="860">
        <f>+IFERROR(HLOOKUP(C28,'נתוני תאגידים'!$1:$715,713,0),IFERROR(VLOOKUP(E28,'נתוני מים 2014'!$C$2:$N$184,5,0)/1000-VLOOKUP(E28,'נתוני מים 2014'!$C$2:$N$179,9,0)/1000,0))</f>
        <v>54306.558000000005</v>
      </c>
      <c r="H28" s="878" t="s">
        <v>1217</v>
      </c>
      <c r="I28" s="859">
        <v>818</v>
      </c>
      <c r="J28" s="861">
        <v>4.1100000000000003</v>
      </c>
      <c r="K28" s="861">
        <f t="shared" si="0"/>
        <v>3361.9800000000005</v>
      </c>
      <c r="L28" s="1829">
        <f>(J28*I28+J29*I29)/I30</f>
        <v>4.1022898903775893</v>
      </c>
      <c r="M28" s="863" t="e">
        <f>+IFERROR(VLOOKUP(D28,'[21]נתוני צריכה 12 עדכני'!$D$6:$S$200,7,0)/1000-VLOOKUP(D28,'[21]נתוני צריכה 12 עדכני'!$D$6:$S$201,11,0)/1000-VLOOKUP(D28,'[21]התפלגות מים 2012'!$D$6:$W$199,5,0)/1000,(VLOOKUP(E28,'[21]נתוני צריכה רשויות מקומיות'!$D$6:$S$74,6,0)/1000-VLOOKUP(E28,'[21]נתוני צריכה רשויות מקומיות'!$D$6:$S$74,10,0)/1000-VLOOKUP(E28,'[21]התפלגות מים 2012'!$D$200:$Q$263,5,0)/1000))</f>
        <v>#N/A</v>
      </c>
      <c r="N28" s="602"/>
    </row>
    <row r="29" spans="1:14" x14ac:dyDescent="0.2">
      <c r="A29" s="880"/>
      <c r="B29" s="881"/>
      <c r="C29" s="885" t="s">
        <v>1218</v>
      </c>
      <c r="D29" s="873" t="e">
        <f>+VLOOKUP(C29,'[22]תכולת תאגידים מרחביים 1'!$C$9:$D$111,2,0)</f>
        <v>#N/A</v>
      </c>
      <c r="E29" s="1297" t="s">
        <v>243</v>
      </c>
      <c r="F29" s="883">
        <v>1</v>
      </c>
      <c r="G29" s="860">
        <f>+IFERROR(HLOOKUP(C29,'נתוני תאגידים'!$1:$715,713,0),IFERROR(VLOOKUP(E29,'נתוני מים 2014'!$C$2:$N$184,5,0)/1000-VLOOKUP(E29,'נתוני מים 2014'!$C$2:$N$179,9,0)/1000,0))</f>
        <v>256.32499999999999</v>
      </c>
      <c r="H29" s="878" t="s">
        <v>1219</v>
      </c>
      <c r="I29" s="859">
        <v>3</v>
      </c>
      <c r="J29" s="861">
        <v>2</v>
      </c>
      <c r="K29" s="861">
        <f t="shared" si="0"/>
        <v>6</v>
      </c>
      <c r="L29" s="1831"/>
      <c r="M29" s="863" t="e">
        <f>+IFERROR(VLOOKUP(D29,'[21]נתוני צריכה 12 עדכני'!$D$6:$S$200,7,0)/1000-VLOOKUP(D29,'[21]נתוני צריכה 12 עדכני'!$D$6:$S$201,11,0)/1000-VLOOKUP(D29,'[21]התפלגות מים 2012'!$D$6:$W$199,5,0)/1000,(VLOOKUP(E29,'[21]נתוני צריכה רשויות מקומיות'!$D$6:$S$74,6,0)/1000-VLOOKUP(E29,'[21]נתוני צריכה רשויות מקומיות'!$D$6:$S$74,10,0)/1000-VLOOKUP(E29,'[21]התפלגות מים 2012'!$D$200:$Q$263,5,0)/1000))</f>
        <v>#N/A</v>
      </c>
      <c r="N29" s="602"/>
    </row>
    <row r="30" spans="1:14" s="871" customFormat="1" x14ac:dyDescent="0.2">
      <c r="A30" s="864"/>
      <c r="B30" s="865" t="s">
        <v>1100</v>
      </c>
      <c r="C30" s="865"/>
      <c r="D30" s="873" t="e">
        <f>+VLOOKUP(C30,'[22]תכולת תאגידים מרחביים 1'!$C$9:$D$111,2,0)</f>
        <v>#N/A</v>
      </c>
      <c r="E30" s="866"/>
      <c r="F30" s="867">
        <f>SUM(F28:F29)</f>
        <v>4</v>
      </c>
      <c r="G30" s="868">
        <f>SUM(G28:G29)</f>
        <v>54562.883000000002</v>
      </c>
      <c r="H30" s="867"/>
      <c r="I30" s="869">
        <f>SUM(I28:I29)</f>
        <v>821</v>
      </c>
      <c r="J30" s="869">
        <f>SUM(J28:J29)</f>
        <v>6.11</v>
      </c>
      <c r="K30" s="869">
        <f>SUM(K28:K29)</f>
        <v>3367.9800000000005</v>
      </c>
      <c r="L30" s="869">
        <f>K30/I30</f>
        <v>4.1022898903775893</v>
      </c>
      <c r="M30" s="869" t="e">
        <f>SUM(M28:M29)</f>
        <v>#N/A</v>
      </c>
      <c r="N30" s="602"/>
    </row>
    <row r="31" spans="1:14" ht="45" x14ac:dyDescent="0.2">
      <c r="A31" s="872">
        <v>5</v>
      </c>
      <c r="B31" s="834"/>
      <c r="C31" s="858" t="s">
        <v>443</v>
      </c>
      <c r="D31" s="873" t="s">
        <v>443</v>
      </c>
      <c r="E31" s="858" t="s">
        <v>1220</v>
      </c>
      <c r="F31" s="859">
        <v>2</v>
      </c>
      <c r="G31" s="860">
        <f>+IFERROR(HLOOKUP(C31,'נתוני תאגידים'!$1:$715,713,0),IFERROR(VLOOKUP(E31,'נתוני מים 2014'!$C$2:$N$184,5,0)/1000-VLOOKUP(E31,'נתוני מים 2014'!$C$2:$N$179,9,0)/1000,0))</f>
        <v>2004.4870000000001</v>
      </c>
      <c r="H31" s="878" t="s">
        <v>1221</v>
      </c>
      <c r="I31" s="859">
        <v>24</v>
      </c>
      <c r="J31" s="861">
        <v>5.74</v>
      </c>
      <c r="K31" s="861">
        <f t="shared" si="0"/>
        <v>137.76</v>
      </c>
      <c r="L31" s="1829">
        <f>(J31*I31+J32*I32)/I33</f>
        <v>5.7399999999999993</v>
      </c>
      <c r="M31" s="863">
        <f>+IFERROR(VLOOKUP(D31,'[21]נתוני צריכה 12 עדכני'!$D$6:$S$200,7,0)/1000-VLOOKUP(D31,'[21]נתוני צריכה 12 עדכני'!$D$6:$S$201,11,0)/1000-VLOOKUP(D31,'[21]התפלגות מים 2012'!$D$6:$W$199,5,0)/1000,(VLOOKUP(E31,'[21]נתוני צריכה רשויות מקומיות'!$D$6:$S$74,6,0)/1000-VLOOKUP(E31,'[21]נתוני צריכה רשויות מקומיות'!$D$6:$S$74,10,0)/1000-VLOOKUP(E31,'[21]התפלגות מים 2012'!$D$200:$Q$263,5,0)/1000))</f>
        <v>1561.3779999999999</v>
      </c>
      <c r="N31" s="602"/>
    </row>
    <row r="32" spans="1:14" x14ac:dyDescent="0.2">
      <c r="A32" s="880"/>
      <c r="B32" s="886"/>
      <c r="C32" s="885" t="s">
        <v>1209</v>
      </c>
      <c r="D32" s="873" t="str">
        <f>+VLOOKUP(C32,'[22]תכולת תאגידים מרחביים 1'!$C$9:$D$111,2,0)</f>
        <v xml:space="preserve">עומר </v>
      </c>
      <c r="E32" s="885" t="s">
        <v>1222</v>
      </c>
      <c r="F32" s="859"/>
      <c r="G32" s="860">
        <f>+IFERROR(HLOOKUP(C32,'נתוני תאגידים'!$1:$715,713,0),IFERROR(VLOOKUP(E32,'נתוני מים 2014'!$C$2:$N$184,5,0)/1000-VLOOKUP(E32,'נתוני מים 2014'!$C$2:$N$179,9,0)/1000,0))</f>
        <v>0</v>
      </c>
      <c r="H32" s="878"/>
      <c r="I32" s="859"/>
      <c r="J32" s="861"/>
      <c r="K32" s="861">
        <f t="shared" si="0"/>
        <v>0</v>
      </c>
      <c r="L32" s="1831"/>
      <c r="M32" s="863">
        <f>+IFERROR(VLOOKUP(D32,'[21]נתוני צריכה 12 עדכני'!$D$6:$S$200,7,0)/1000-VLOOKUP(D32,'[21]נתוני צריכה 12 עדכני'!$D$6:$S$201,11,0)/1000-VLOOKUP(D32,'[21]התפלגות מים 2012'!$D$6:$W$199,5,0)/1000,IFERROR(VLOOKUP(E32,'[21]נתוני צריכה רשויות מקומיות'!$D$6:$S$74,7,0)/1000-VLOOKUP(E32,'[21]נתוני צריכה רשויות מקומיות'!$D$6:$S$74,11,0)/1000,0))</f>
        <v>0</v>
      </c>
      <c r="N32" s="602"/>
    </row>
    <row r="33" spans="1:14" s="871" customFormat="1" x14ac:dyDescent="0.2">
      <c r="A33" s="864"/>
      <c r="B33" s="865" t="s">
        <v>1098</v>
      </c>
      <c r="C33" s="865"/>
      <c r="D33" s="873" t="e">
        <f>+VLOOKUP(C33,'[22]תכולת תאגידים מרחביים 1'!$C$9:$D$111,2,0)</f>
        <v>#N/A</v>
      </c>
      <c r="E33" s="866"/>
      <c r="F33" s="867">
        <f>SUM(F31:F32)</f>
        <v>2</v>
      </c>
      <c r="G33" s="868">
        <f>SUM(G31:G32)</f>
        <v>2004.4870000000001</v>
      </c>
      <c r="H33" s="867"/>
      <c r="I33" s="869">
        <f>SUM(I31:I32)</f>
        <v>24</v>
      </c>
      <c r="J33" s="869">
        <f>SUM(J31:J32)</f>
        <v>5.74</v>
      </c>
      <c r="K33" s="869">
        <f>SUM(K31:K32)</f>
        <v>137.76</v>
      </c>
      <c r="L33" s="869">
        <f>K33/I33</f>
        <v>5.7399999999999993</v>
      </c>
      <c r="M33" s="869">
        <f>SUM(M31:M32)</f>
        <v>1561.3779999999999</v>
      </c>
      <c r="N33" s="602"/>
    </row>
    <row r="34" spans="1:14" x14ac:dyDescent="0.2">
      <c r="A34" s="872">
        <v>6</v>
      </c>
      <c r="B34" s="834"/>
      <c r="C34" s="858" t="s">
        <v>455</v>
      </c>
      <c r="D34" s="873" t="e">
        <f>+VLOOKUP(C34,'[22]תכולת תאגידים מרחביים 1'!$C$9:$D$111,2,0)</f>
        <v>#N/A</v>
      </c>
      <c r="E34" s="858" t="s">
        <v>1223</v>
      </c>
      <c r="F34" s="859">
        <v>1</v>
      </c>
      <c r="G34" s="860">
        <f>+IFERROR(HLOOKUP(C34,'נתוני תאגידים'!$1:$715,713,0),IFERROR(VLOOKUP(E34,'נתוני מים 2014'!$C$2:$N$184,5,0)/1000-VLOOKUP(E34,'נתוני מים 2014'!$C$2:$N$179,9,0)/1000,0))</f>
        <v>19849.735000000001</v>
      </c>
      <c r="H34" s="878" t="s">
        <v>384</v>
      </c>
      <c r="I34" s="859">
        <v>231</v>
      </c>
      <c r="J34" s="861">
        <v>7</v>
      </c>
      <c r="K34" s="861">
        <f t="shared" si="0"/>
        <v>1617</v>
      </c>
      <c r="L34" s="1829"/>
      <c r="M34" s="863" t="e">
        <f>+IFERROR(VLOOKUP(D34,'[21]נתוני צריכה 12 עדכני'!$D$6:$S$200,7,0)/1000-VLOOKUP(D34,'[21]נתוני צריכה 12 עדכני'!$D$6:$S$201,11,0)/1000-VLOOKUP(D34,'[21]התפלגות מים 2012'!$D$6:$W$199,5,0)/1000,(VLOOKUP(E34,'[21]נתוני צריכה רשויות מקומיות'!$D$6:$S$74,6,0)/1000-VLOOKUP(E34,'[21]נתוני צריכה רשויות מקומיות'!$D$6:$S$74,10,0)/1000-VLOOKUP(E34,'[21]התפלגות מים 2012'!$D$200:$Q$263,5,0)/1000))</f>
        <v>#N/A</v>
      </c>
      <c r="N34" s="602"/>
    </row>
    <row r="35" spans="1:14" x14ac:dyDescent="0.2">
      <c r="A35" s="876"/>
      <c r="B35" s="877"/>
      <c r="C35" s="858" t="s">
        <v>446</v>
      </c>
      <c r="D35" s="873" t="e">
        <f>+VLOOKUP(C35,'[22]תכולת תאגידים מרחביים 1'!$C$9:$D$111,2,0)</f>
        <v>#N/A</v>
      </c>
      <c r="E35" s="858" t="s">
        <v>28</v>
      </c>
      <c r="F35" s="859">
        <v>1</v>
      </c>
      <c r="G35" s="860">
        <f>+IFERROR(HLOOKUP(C35,'נתוני תאגידים'!$1:$715,713,0),IFERROR(VLOOKUP(E35,'נתוני מים 2014'!$C$2:$N$184,5,0)/1000-VLOOKUP(E35,'נתוני מים 2014'!$C$2:$N$179,9,0)/1000,0))</f>
        <v>5391.3759999999993</v>
      </c>
      <c r="H35" s="878" t="s">
        <v>391</v>
      </c>
      <c r="I35" s="859">
        <v>70</v>
      </c>
      <c r="J35" s="861">
        <v>4</v>
      </c>
      <c r="K35" s="861">
        <f t="shared" si="0"/>
        <v>280</v>
      </c>
      <c r="L35" s="1830"/>
      <c r="M35" s="863" t="e">
        <f>+IFERROR(VLOOKUP(D35,'[21]נתוני צריכה 12 עדכני'!$D$6:$S$200,7,0)/1000-VLOOKUP(D35,'[21]נתוני צריכה 12 עדכני'!$D$6:$S$201,11,0)/1000-VLOOKUP(D35,'[21]התפלגות מים 2012'!$D$6:$W$199,5,0)/1000,(VLOOKUP(E35,'[21]נתוני צריכה רשויות מקומיות'!$D$6:$S$74,6,0)/1000-VLOOKUP(E35,'[21]נתוני צריכה רשויות מקומיות'!$D$6:$S$74,10,0)/1000-VLOOKUP(E35,'[21]התפלגות מים 2012'!$D$200:$Q$263,5,0)/1000))</f>
        <v>#N/A</v>
      </c>
      <c r="N35" s="602"/>
    </row>
    <row r="36" spans="1:14" ht="45" x14ac:dyDescent="0.2">
      <c r="A36" s="876"/>
      <c r="B36" s="877"/>
      <c r="C36" s="858" t="s">
        <v>257</v>
      </c>
      <c r="D36" s="873" t="str">
        <f>+VLOOKUP(C36,'[22]תכולת תאגידים מרחביים 1'!$C$9:$D$111,2,0)</f>
        <v>מי מודיעין בע"מ</v>
      </c>
      <c r="E36" s="858" t="s">
        <v>817</v>
      </c>
      <c r="F36" s="859">
        <v>1</v>
      </c>
      <c r="G36" s="860">
        <f>+IFERROR(HLOOKUP(C36,'נתוני תאגידים'!$1:$715,713,0),IFERROR(VLOOKUP(E36,'נתוני מים 2014'!$C$2:$N$184,5,0)/1000-VLOOKUP(E36,'נתוני מים 2014'!$C$2:$N$179,9,0)/1000,0))</f>
        <v>6495.7709999999997</v>
      </c>
      <c r="H36" s="878" t="s">
        <v>391</v>
      </c>
      <c r="I36" s="859">
        <v>77</v>
      </c>
      <c r="J36" s="861">
        <v>8</v>
      </c>
      <c r="K36" s="861">
        <f t="shared" si="0"/>
        <v>616</v>
      </c>
      <c r="L36" s="1830"/>
      <c r="M36" s="863">
        <f>+IFERROR(VLOOKUP(D36,'[21]נתוני צריכה 12 עדכני'!$D$6:$S$200,7,0)/1000-VLOOKUP(D36,'[21]נתוני צריכה 12 עדכני'!$D$6:$S$201,11,0)/1000-VLOOKUP(D36,'[21]התפלגות מים 2012'!$D$6:$W$199,5,0)/1000,(VLOOKUP(E36,'[21]נתוני צריכה רשויות מקומיות'!$D$6:$S$74,6,0)/1000-VLOOKUP(E36,'[21]נתוני צריכה רשויות מקומיות'!$D$6:$S$74,10,0)/1000-VLOOKUP(E36,'[21]התפלגות מים 2012'!$D$200:$Q$263,5,0)/1000))</f>
        <v>5418.3969999999999</v>
      </c>
      <c r="N36" s="602"/>
    </row>
    <row r="37" spans="1:14" x14ac:dyDescent="0.2">
      <c r="A37" s="876"/>
      <c r="B37" s="877"/>
      <c r="C37" s="858" t="s">
        <v>458</v>
      </c>
      <c r="D37" s="873" t="e">
        <f>+VLOOKUP(C37,'[22]תכולת תאגידים מרחביים 1'!$C$9:$D$111,2,0)</f>
        <v>#N/A</v>
      </c>
      <c r="E37" s="858" t="s">
        <v>60</v>
      </c>
      <c r="F37" s="859">
        <v>1</v>
      </c>
      <c r="G37" s="860">
        <f>+IFERROR(HLOOKUP(C37,'נתוני תאגידים'!$1:$715,713,0),IFERROR(VLOOKUP(E37,'נתוני מים 2014'!$C$2:$N$184,5,0)/1000-VLOOKUP(E37,'נתוני מים 2014'!$C$2:$N$179,9,0)/1000,0))</f>
        <v>8741.3060000000005</v>
      </c>
      <c r="H37" s="878" t="s">
        <v>391</v>
      </c>
      <c r="I37" s="859">
        <v>66</v>
      </c>
      <c r="J37" s="861">
        <v>4</v>
      </c>
      <c r="K37" s="861">
        <f t="shared" si="0"/>
        <v>264</v>
      </c>
      <c r="L37" s="1830"/>
      <c r="M37" s="863" t="e">
        <f>+IFERROR(VLOOKUP(D37,'[21]נתוני צריכה 12 עדכני'!$D$6:$S$200,7,0)/1000-VLOOKUP(D37,'[21]נתוני צריכה 12 עדכני'!$D$6:$S$201,11,0)/1000-VLOOKUP(D37,'[21]התפלגות מים 2012'!$D$6:$W$199,5,0)/1000,(VLOOKUP(E37,'[21]נתוני צריכה רשויות מקומיות'!$D$6:$S$74,6,0)/1000-VLOOKUP(E37,'[21]נתוני צריכה רשויות מקומיות'!$D$6:$S$74,10,0)/1000-VLOOKUP(E37,'[21]התפלגות מים 2012'!$D$200:$Q$263,5,0)/1000))</f>
        <v>#N/A</v>
      </c>
      <c r="N37" s="602"/>
    </row>
    <row r="38" spans="1:14" x14ac:dyDescent="0.2">
      <c r="A38" s="876"/>
      <c r="B38" s="877"/>
      <c r="C38" s="858" t="s">
        <v>531</v>
      </c>
      <c r="D38" s="873" t="e">
        <f>+VLOOKUP(C38,'[22]תכולת תאגידים מרחביים 1'!$C$9:$D$111,2,0)</f>
        <v>#N/A</v>
      </c>
      <c r="E38" s="858" t="s">
        <v>1224</v>
      </c>
      <c r="F38" s="859">
        <v>1</v>
      </c>
      <c r="G38" s="860">
        <f>+IFERROR(HLOOKUP(C38,'נתוני תאגידים'!$1:$715,713,0),IFERROR(VLOOKUP(E38,'נתוני מים 2014'!$C$2:$N$184,5,0)/1000-VLOOKUP(E38,'נתוני מים 2014'!$C$2:$N$179,9,0)/1000,0))</f>
        <v>5761.5990000000002</v>
      </c>
      <c r="H38" s="878" t="s">
        <v>106</v>
      </c>
      <c r="I38" s="859">
        <v>81</v>
      </c>
      <c r="J38" s="861">
        <v>3</v>
      </c>
      <c r="K38" s="861">
        <f t="shared" si="0"/>
        <v>243</v>
      </c>
      <c r="L38" s="1830"/>
      <c r="M38" s="863" t="e">
        <f>+IFERROR(VLOOKUP(D38,'[21]נתוני צריכה 12 עדכני'!$D$6:$S$200,7,0)/1000-VLOOKUP(D38,'[21]נתוני צריכה 12 עדכני'!$D$6:$S$201,11,0)/1000-VLOOKUP(D38,'[21]התפלגות מים 2012'!$D$6:$W$199,5,0)/1000,(VLOOKUP(E38,'[21]נתוני צריכה רשויות מקומיות'!$D$6:$S$74,6,0)/1000-VLOOKUP(E38,'[21]נתוני צריכה רשויות מקומיות'!$D$6:$S$74,10,0)/1000-VLOOKUP(E38,'[21]התפלגות מים 2012'!$D$200:$Q$263,5,0)/1000))</f>
        <v>#N/A</v>
      </c>
      <c r="N38" s="602"/>
    </row>
    <row r="39" spans="1:14" x14ac:dyDescent="0.2">
      <c r="A39" s="876"/>
      <c r="B39" s="877"/>
      <c r="C39" s="885" t="s">
        <v>947</v>
      </c>
      <c r="D39" s="873" t="e">
        <f>+VLOOKUP(C39,'[22]תכולת תאגידים מרחביים 1'!$C$9:$D$111,2,0)</f>
        <v>#N/A</v>
      </c>
      <c r="E39" s="879" t="s">
        <v>2066</v>
      </c>
      <c r="F39" s="883">
        <v>1</v>
      </c>
      <c r="G39" s="860">
        <f>+IFERROR(HLOOKUP(C39,'נתוני תאגידים'!$1:$715,713,0),IFERROR(VLOOKUP(E39,'נתוני מים 2014'!$C$2:$N$184,5,0)/1000-VLOOKUP(E39,'נתוני מים 2014'!$C$2:$N$180,9,0)/1000,0))</f>
        <v>1793.5409999999999</v>
      </c>
      <c r="H39" s="878" t="s">
        <v>391</v>
      </c>
      <c r="I39" s="859">
        <v>19</v>
      </c>
      <c r="J39" s="861">
        <v>8</v>
      </c>
      <c r="K39" s="861">
        <f t="shared" si="0"/>
        <v>152</v>
      </c>
      <c r="L39" s="1830"/>
      <c r="M39" s="863" t="e">
        <f>+IFERROR(VLOOKUP(D39,'[21]נתוני צריכה 12 עדכני'!$D$6:$S$200,7,0)/1000-VLOOKUP(D39,'[21]נתוני צריכה 12 עדכני'!$D$6:$S$201,11,0)/1000-VLOOKUP(D39,'[21]התפלגות מים 2012'!$D$6:$W$199,5,0)/1000,(VLOOKUP(E39,'[21]נתוני צריכה רשויות מקומיות'!$D$6:$S$74,6,0)/1000-VLOOKUP(E39,'[21]נתוני צריכה רשויות מקומיות'!$D$6:$S$74,10,0)/1000-VLOOKUP(E39,'[21]התפלגות מים 2012'!$D$200:$Q$263,5,0)/1000))</f>
        <v>#N/A</v>
      </c>
      <c r="N39" s="603"/>
    </row>
    <row r="40" spans="1:14" x14ac:dyDescent="0.2">
      <c r="A40" s="880"/>
      <c r="B40" s="881"/>
      <c r="C40" s="885" t="s">
        <v>482</v>
      </c>
      <c r="D40" s="873" t="e">
        <f>+VLOOKUP(C40,'[22]תכולת תאגידים מרחביים 1'!$C$9:$D$111,2,0)</f>
        <v>#N/A</v>
      </c>
      <c r="E40" s="5" t="s">
        <v>680</v>
      </c>
      <c r="F40" s="882">
        <v>2</v>
      </c>
      <c r="G40" s="860">
        <f>+IFERROR(HLOOKUP(C40,'נתוני תאגידים'!$1:$715,713,0),IFERROR(VLOOKUP(E40,'נתוני מים 2014'!$C$2:$N$184,5,0)/1000-VLOOKUP(E40,'נתוני מים 2014'!$C$2:$N$180,9,0)/1000,0))</f>
        <v>2519.1480000000001</v>
      </c>
      <c r="H40" s="878" t="s">
        <v>384</v>
      </c>
      <c r="I40" s="859">
        <f>27</f>
        <v>27</v>
      </c>
      <c r="J40" s="861">
        <v>6</v>
      </c>
      <c r="K40" s="861">
        <f t="shared" si="0"/>
        <v>162</v>
      </c>
      <c r="L40" s="1830"/>
      <c r="M40" s="863" t="e">
        <f>+IFERROR(VLOOKUP(D40,'[21]נתוני צריכה 12 עדכני'!$D$6:$S$200,7,0)/1000-VLOOKUP(D40,'[21]נתוני צריכה 12 עדכני'!$D$6:$S$201,11,0)/1000-VLOOKUP(D40,'[21]התפלגות מים 2012'!$D$6:$W$199,5,0)/1000,(VLOOKUP(E40,'[21]נתוני צריכה רשויות מקומיות'!$D$6:$S$74,6,0)/1000-VLOOKUP(E40,'[21]נתוני צריכה רשויות מקומיות'!$D$6:$S$74,10,0)/1000-VLOOKUP(E40,'[21]התפלגות מים 2012'!$D$200:$Q$263,5,0)/1000))</f>
        <v>#N/A</v>
      </c>
      <c r="N40" s="602"/>
    </row>
    <row r="41" spans="1:14" x14ac:dyDescent="0.2">
      <c r="A41" s="887"/>
      <c r="B41" s="888"/>
      <c r="C41" s="885" t="s">
        <v>1225</v>
      </c>
      <c r="D41" s="873" t="e">
        <f>+VLOOKUP(C41,'[22]תכולת תאגידים מרחביים 1'!$C$9:$D$111,2,0)</f>
        <v>#N/A</v>
      </c>
      <c r="E41" s="1240" t="s">
        <v>202</v>
      </c>
      <c r="F41" s="883">
        <v>1</v>
      </c>
      <c r="G41" s="860">
        <f>+IFERROR(HLOOKUP(C41,'נתוני תאגידים'!$1:$715,713,0),IFERROR(VLOOKUP(E41,'נתוני מים 2014'!$C$2:$N$184,5,0)/1000-VLOOKUP(E41,'נתוני מים 2014'!$C$2:$N$180,9,0)/1000,0))</f>
        <v>1463.252</v>
      </c>
      <c r="H41" s="878" t="s">
        <v>391</v>
      </c>
      <c r="I41" s="859">
        <v>11</v>
      </c>
      <c r="J41" s="861">
        <v>8</v>
      </c>
      <c r="K41" s="861">
        <f t="shared" si="0"/>
        <v>88</v>
      </c>
      <c r="L41" s="1831"/>
      <c r="M41" s="863" t="e">
        <f>+IFERROR(VLOOKUP(D41,'[21]נתוני צריכה 12 עדכני'!$D$6:$S$200,7,0)/1000-VLOOKUP(D41,'[21]נתוני צריכה 12 עדכני'!$D$6:$S$201,11,0)/1000-VLOOKUP(D41,'[21]התפלגות מים 2012'!$D$6:$W$199,5,0)/1000,(VLOOKUP(E41,'[21]נתוני צריכה רשויות מקומיות'!$D$6:$S$74,6,0)/1000-VLOOKUP(E41,'[21]נתוני צריכה רשויות מקומיות'!$D$6:$S$74,10,0)/1000-VLOOKUP(E41,'[21]התפלגות מים 2012'!$D$200:$Q$263,5,0)/1000))</f>
        <v>#N/A</v>
      </c>
      <c r="N41" s="602"/>
    </row>
    <row r="42" spans="1:14" s="871" customFormat="1" x14ac:dyDescent="0.2">
      <c r="A42" s="864"/>
      <c r="B42" s="865" t="s">
        <v>1099</v>
      </c>
      <c r="C42" s="889"/>
      <c r="D42" s="873" t="e">
        <f>+VLOOKUP(C42,'[22]תכולת תאגידים מרחביים 1'!$C$9:$D$111,2,0)</f>
        <v>#N/A</v>
      </c>
      <c r="E42" s="866"/>
      <c r="F42" s="867">
        <f>SUM(F34:F41)</f>
        <v>9</v>
      </c>
      <c r="G42" s="868">
        <f>SUM(G34:G41)</f>
        <v>52015.728000000003</v>
      </c>
      <c r="H42" s="867"/>
      <c r="I42" s="867">
        <f>SUM(I34:I41)</f>
        <v>582</v>
      </c>
      <c r="J42" s="867">
        <f>SUM(J34:J41)</f>
        <v>48</v>
      </c>
      <c r="K42" s="867">
        <f>SUM(K34:K41)</f>
        <v>3422</v>
      </c>
      <c r="L42" s="869">
        <f>K42/I42</f>
        <v>5.8797250859106533</v>
      </c>
      <c r="M42" s="869" t="e">
        <f>SUM(M34:M41)</f>
        <v>#N/A</v>
      </c>
      <c r="N42" s="602"/>
    </row>
    <row r="43" spans="1:14" ht="30" x14ac:dyDescent="0.2">
      <c r="A43" s="872">
        <v>7</v>
      </c>
      <c r="B43" s="834"/>
      <c r="C43" s="858" t="s">
        <v>450</v>
      </c>
      <c r="D43" s="873" t="s">
        <v>450</v>
      </c>
      <c r="E43" s="858" t="s">
        <v>1226</v>
      </c>
      <c r="F43" s="859">
        <v>3</v>
      </c>
      <c r="G43" s="860">
        <f>+IFERROR(HLOOKUP(C43,'נתוני תאגידים'!$1:$715,713,0),IFERROR(VLOOKUP(E43,'נתוני מים 2014'!$C$2:$N$184,5,0)/1000-VLOOKUP(E43,'נתוני מים 2014'!$C$2:$N$180,9,0)/1000,0))</f>
        <v>5681.5389999999998</v>
      </c>
      <c r="H43" s="878" t="s">
        <v>1227</v>
      </c>
      <c r="I43" s="859">
        <f>39+10+11</f>
        <v>60</v>
      </c>
      <c r="J43" s="861">
        <v>6.65</v>
      </c>
      <c r="K43" s="861">
        <f t="shared" si="0"/>
        <v>399</v>
      </c>
      <c r="L43" s="861"/>
      <c r="M43" s="863">
        <f>+IFERROR(VLOOKUP(D43,'[21]נתוני צריכה 12 עדכני'!$D$6:$S$200,7,0)/1000-VLOOKUP(D43,'[21]נתוני צריכה 12 עדכני'!$D$6:$S$201,11,0)/1000-VLOOKUP(D43,'[21]התפלגות מים 2012'!$D$6:$W$199,5,0)/1000,(VLOOKUP(E43,'[21]נתוני צריכה רשויות מקומיות'!$D$6:$S$74,6,0)/1000-VLOOKUP(E43,'[21]נתוני צריכה רשויות מקומיות'!$D$6:$S$74,10,0)/1000-VLOOKUP(E43,'[21]התפלגות מים 2012'!$D$200:$Q$263,5,0)/1000))</f>
        <v>4987.8490000000002</v>
      </c>
      <c r="N43" s="602"/>
    </row>
    <row r="44" spans="1:14" x14ac:dyDescent="0.2">
      <c r="A44" s="876"/>
      <c r="B44" s="890"/>
      <c r="C44" s="858" t="s">
        <v>530</v>
      </c>
      <c r="D44" s="873" t="e">
        <f>+VLOOKUP(C44,'[22]תכולת תאגידים מרחביים 1'!$C$9:$D$111,2,0)</f>
        <v>#N/A</v>
      </c>
      <c r="E44" s="858" t="s">
        <v>1228</v>
      </c>
      <c r="F44" s="859">
        <v>1</v>
      </c>
      <c r="G44" s="860">
        <f>+IFERROR(HLOOKUP(C44,'נתוני תאגידים'!$1:$715,713,0),IFERROR(VLOOKUP(E44,'נתוני מים 2014'!$C$2:$N$184,5,0)/1000-VLOOKUP(E44,'נתוני מים 2014'!$C$2:$N$180,9,0)/1000,0))</f>
        <v>9026.4089999999997</v>
      </c>
      <c r="H44" s="878" t="s">
        <v>384</v>
      </c>
      <c r="I44" s="859">
        <v>130</v>
      </c>
      <c r="J44" s="861">
        <v>6</v>
      </c>
      <c r="K44" s="861">
        <f t="shared" si="0"/>
        <v>780</v>
      </c>
      <c r="L44" s="861"/>
      <c r="M44" s="863" t="e">
        <f>+IFERROR(VLOOKUP(D44,'[21]נתוני צריכה 12 עדכני'!$D$6:$S$200,7,0)/1000-VLOOKUP(D44,'[21]נתוני צריכה 12 עדכני'!$D$6:$S$201,11,0)/1000-VLOOKUP(D44,'[21]התפלגות מים 2012'!$D$6:$W$199,5,0)/1000,(VLOOKUP(E44,'[21]נתוני צריכה רשויות מקומיות'!$D$6:$S$74,6,0)/1000-VLOOKUP(E44,'[21]נתוני צריכה רשויות מקומיות'!$D$6:$S$74,10,0)/1000-VLOOKUP(E44,'[21]התפלגות מים 2012'!$D$200:$Q$263,5,0)/1000))</f>
        <v>#N/A</v>
      </c>
      <c r="N44" s="439"/>
    </row>
    <row r="45" spans="1:14" x14ac:dyDescent="0.2">
      <c r="A45" s="876"/>
      <c r="B45" s="890"/>
      <c r="C45" s="885" t="s">
        <v>1229</v>
      </c>
      <c r="D45" s="873" t="e">
        <f>+VLOOKUP(C45,'[22]תכולת תאגידים מרחביים 1'!$C$9:$D$111,2,0)</f>
        <v>#N/A</v>
      </c>
      <c r="E45" s="1240" t="s">
        <v>72</v>
      </c>
      <c r="F45" s="883">
        <v>1</v>
      </c>
      <c r="G45" s="860">
        <f>+IFERROR(HLOOKUP(C45,'נתוני תאגידים'!$1:$715,713,0),IFERROR(VLOOKUP(E45,'נתוני מים 2014'!$C$2:$N$184,5,0)/1000-VLOOKUP(E45,'נתוני מים 2014'!$C$2:$N$180,9,0)/1000,0))</f>
        <v>10422.161</v>
      </c>
      <c r="H45" s="878" t="s">
        <v>384</v>
      </c>
      <c r="I45" s="859">
        <v>109</v>
      </c>
      <c r="J45" s="861">
        <v>7</v>
      </c>
      <c r="K45" s="861">
        <f t="shared" si="0"/>
        <v>763</v>
      </c>
      <c r="L45" s="861"/>
      <c r="M45" s="863" t="e">
        <f>+IFERROR(VLOOKUP(D45,'[21]נתוני צריכה 12 עדכני'!$D$6:$S$200,7,0)/1000-VLOOKUP(D45,'[21]נתוני צריכה 12 עדכני'!$D$6:$S$201,11,0)/1000-VLOOKUP(D45,'[21]התפלגות מים 2012'!$D$6:$W$199,5,0)/1000,(VLOOKUP(E45,'[21]נתוני צריכה רשויות מקומיות'!$D$6:$S$74,6,0)/1000-VLOOKUP(E45,'[21]נתוני צריכה רשויות מקומיות'!$D$6:$S$74,10,0)/1000-VLOOKUP(E45,'[21]התפלגות מים 2012'!$D$200:$Q$263,5,0)/1000))</f>
        <v>#N/A</v>
      </c>
      <c r="N45" s="602"/>
    </row>
    <row r="46" spans="1:14" x14ac:dyDescent="0.2">
      <c r="A46" s="876"/>
      <c r="B46" s="890"/>
      <c r="C46" s="858" t="s">
        <v>453</v>
      </c>
      <c r="D46" s="873" t="e">
        <f>+VLOOKUP(C46,'[22]תכולת תאגידים מרחביים 1'!$C$9:$D$111,2,0)</f>
        <v>#N/A</v>
      </c>
      <c r="E46" s="858" t="s">
        <v>1230</v>
      </c>
      <c r="F46" s="859">
        <v>3</v>
      </c>
      <c r="G46" s="860">
        <f>+IFERROR(HLOOKUP(C46,'נתוני תאגידים'!$1:$715,713,0),IFERROR(VLOOKUP(E46,'נתוני מים 2014'!$C$2:$N$184,5,0)/1000-VLOOKUP(E46,'נתוני מים 2014'!$C$2:$N$180,9,0)/1000,0))</f>
        <v>18659.955999999998</v>
      </c>
      <c r="H46" s="878" t="s">
        <v>384</v>
      </c>
      <c r="I46" s="859">
        <v>200</v>
      </c>
      <c r="J46" s="861">
        <v>6.06</v>
      </c>
      <c r="K46" s="861">
        <f t="shared" si="0"/>
        <v>1212</v>
      </c>
      <c r="L46" s="861"/>
      <c r="M46" s="863" t="e">
        <f>+IFERROR(VLOOKUP(D46,'[21]נתוני צריכה 12 עדכני'!$D$6:$S$200,7,0)/1000-VLOOKUP(D46,'[21]נתוני צריכה 12 עדכני'!$D$6:$S$201,11,0)/1000-VLOOKUP(D46,'[21]התפלגות מים 2012'!$D$6:$W$199,5,0)/1000,(VLOOKUP(E46,'[21]נתוני צריכה רשויות מקומיות'!$D$6:$S$74,6,0)/1000-VLOOKUP(E46,'[21]נתוני צריכה רשויות מקומיות'!$D$6:$S$74,10,0)/1000-VLOOKUP(E46,'[21]התפלגות מים 2012'!$D$200:$Q$263,5,0)/1000))</f>
        <v>#N/A</v>
      </c>
    </row>
    <row r="47" spans="1:14" s="871" customFormat="1" x14ac:dyDescent="0.2">
      <c r="A47" s="864"/>
      <c r="B47" s="865" t="s">
        <v>1105</v>
      </c>
      <c r="C47" s="889"/>
      <c r="D47" s="873" t="e">
        <f>+VLOOKUP(C47,'[22]תכולת תאגידים מרחביים 1'!$C$9:$D$111,2,0)</f>
        <v>#N/A</v>
      </c>
      <c r="E47" s="866"/>
      <c r="F47" s="867">
        <f>SUM(F43:F46)</f>
        <v>8</v>
      </c>
      <c r="G47" s="868">
        <f>SUM(G43:G46)</f>
        <v>43790.065000000002</v>
      </c>
      <c r="H47" s="867"/>
      <c r="I47" s="867">
        <f>SUM(I43:I46)</f>
        <v>499</v>
      </c>
      <c r="J47" s="867">
        <f>SUM(J43:J46)</f>
        <v>25.709999999999997</v>
      </c>
      <c r="K47" s="867">
        <f>SUM(K43:K46)</f>
        <v>3154</v>
      </c>
      <c r="L47" s="869">
        <f>K47/I47</f>
        <v>6.3206412825651306</v>
      </c>
      <c r="M47" s="869" t="e">
        <f>SUM(M43:M46)</f>
        <v>#N/A</v>
      </c>
      <c r="N47" s="602"/>
    </row>
    <row r="48" spans="1:14" ht="30" x14ac:dyDescent="0.2">
      <c r="A48" s="872">
        <v>8</v>
      </c>
      <c r="B48" s="834"/>
      <c r="C48" s="858" t="s">
        <v>266</v>
      </c>
      <c r="D48" s="873" t="str">
        <f>+VLOOKUP(C48,'[22]תכולת תאגידים מרחביים 1'!$C$9:$D$111,2,0)</f>
        <v>מי אונו בע"מ</v>
      </c>
      <c r="E48" s="858" t="s">
        <v>1231</v>
      </c>
      <c r="F48" s="859">
        <v>1</v>
      </c>
      <c r="G48" s="860">
        <f>+IFERROR(HLOOKUP(C48,'נתוני תאגידים'!$1:$715,713,0),IFERROR(VLOOKUP(E48,'נתוני מים 2014'!$C$2:$N$184,5,0)/1000-VLOOKUP(E48,'נתוני מים 2014'!$C$2:$N$180,9,0)/1000,0))</f>
        <v>5354.7740000000003</v>
      </c>
      <c r="H48" s="878" t="s">
        <v>384</v>
      </c>
      <c r="I48" s="859">
        <v>32</v>
      </c>
      <c r="J48" s="861">
        <v>9</v>
      </c>
      <c r="K48" s="861">
        <f t="shared" si="0"/>
        <v>288</v>
      </c>
      <c r="L48" s="861">
        <f>(J48*I48+J49*I49+J50*I50+J51*I51+J52*I52+J53*I53+J54*I54)/I55</f>
        <v>5.2078269230769232</v>
      </c>
      <c r="M48" s="863">
        <f>+IFERROR(VLOOKUP(D48,'[21]נתוני צריכה 12 עדכני'!$D$6:$S$200,7,0)/1000-VLOOKUP(D48,'[21]נתוני צריכה 12 עדכני'!$D$6:$S$201,11,0)/1000-VLOOKUP(D48,'[21]התפלגות מים 2012'!$D$6:$W$199,5,0)/1000,(VLOOKUP(E48,'[21]נתוני צריכה רשויות מקומיות'!$D$6:$S$74,6,0)/1000-VLOOKUP(E48,'[21]נתוני צריכה רשויות מקומיות'!$D$6:$S$74,10,0)/1000-VLOOKUP(E48,'[21]התפלגות מים 2012'!$D$200:$Q$263,5,0)/1000))</f>
        <v>2372.9549999999999</v>
      </c>
      <c r="N48" s="602"/>
    </row>
    <row r="49" spans="1:14" x14ac:dyDescent="0.2">
      <c r="A49" s="876"/>
      <c r="B49" s="890"/>
      <c r="C49" s="858" t="s">
        <v>454</v>
      </c>
      <c r="D49" s="873" t="e">
        <f>+VLOOKUP(C49,'[22]תכולת תאגידים מרחביים 1'!$C$9:$D$111,2,0)</f>
        <v>#N/A</v>
      </c>
      <c r="E49" s="858" t="s">
        <v>1232</v>
      </c>
      <c r="F49" s="859">
        <v>3</v>
      </c>
      <c r="G49" s="860">
        <f>+IFERROR(HLOOKUP(C49,'נתוני תאגידים'!$1:$715,713,0),IFERROR(VLOOKUP(E49,'נתוני מים 2014'!$C$2:$N$184,5,0)/1000-VLOOKUP(E49,'נתוני מים 2014'!$C$2:$N$180,9,0)/1000,0))</f>
        <v>19665.205999999998</v>
      </c>
      <c r="H49" s="878" t="s">
        <v>1233</v>
      </c>
      <c r="I49" s="859">
        <v>253</v>
      </c>
      <c r="J49" s="861">
        <v>6.19</v>
      </c>
      <c r="K49" s="861">
        <f t="shared" si="0"/>
        <v>1566.0700000000002</v>
      </c>
      <c r="L49" s="861"/>
      <c r="M49" s="863" t="e">
        <f>+IFERROR(VLOOKUP(D49,'[21]נתוני צריכה 12 עדכני'!$D$6:$S$200,7,0)/1000-VLOOKUP(D49,'[21]נתוני צריכה 12 עדכני'!$D$6:$S$201,11,0)/1000-VLOOKUP(D49,'[21]התפלגות מים 2012'!$D$6:$W$199,5,0)/1000,(VLOOKUP(E49,'[21]נתוני צריכה רשויות מקומיות'!$D$6:$S$74,6,0)/1000-VLOOKUP(E49,'[21]נתוני צריכה רשויות מקומיות'!$D$6:$S$74,10,0)/1000-VLOOKUP(E49,'[21]התפלגות מים 2012'!$D$200:$Q$263,5,0)/1000))</f>
        <v>#N/A</v>
      </c>
      <c r="N49" s="602"/>
    </row>
    <row r="50" spans="1:14" ht="30" x14ac:dyDescent="0.2">
      <c r="A50" s="876"/>
      <c r="B50" s="890"/>
      <c r="C50" s="858" t="s">
        <v>262</v>
      </c>
      <c r="D50" s="873" t="str">
        <f>+VLOOKUP(C50,'[22]תכולת תאגידים מרחביים 1'!$C$9:$D$111,2,0)</f>
        <v>עין אפק בע"מ</v>
      </c>
      <c r="E50" s="858" t="s">
        <v>1234</v>
      </c>
      <c r="F50" s="859">
        <v>1</v>
      </c>
      <c r="G50" s="860">
        <f>+IFERROR(HLOOKUP(C50,'נתוני תאגידים'!$1:$715,713,0),IFERROR(VLOOKUP(E50,'נתוני מים 2014'!$C$2:$N$184,5,0)/1000-VLOOKUP(E50,'נתוני מים 2014'!$C$2:$N$180,9,0)/1000,0))</f>
        <v>3853.471</v>
      </c>
      <c r="H50" s="878" t="s">
        <v>384</v>
      </c>
      <c r="I50" s="859">
        <v>39</v>
      </c>
      <c r="J50" s="861">
        <v>6</v>
      </c>
      <c r="K50" s="861">
        <f t="shared" si="0"/>
        <v>234</v>
      </c>
      <c r="L50" s="861"/>
      <c r="M50" s="863">
        <f>+IFERROR(VLOOKUP(D50,'[21]נתוני צריכה 12 עדכני'!$D$6:$S$200,7,0)/1000-VLOOKUP(D50,'[21]נתוני צריכה 12 עדכני'!$D$6:$S$201,11,0)/1000-VLOOKUP(D50,'[21]התפלגות מים 2012'!$D$6:$W$199,5,0)/1000,(VLOOKUP(E50,'[21]נתוני צריכה רשויות מקומיות'!$D$6:$S$74,6,0)/1000-VLOOKUP(E50,'[21]נתוני צריכה רשויות מקומיות'!$D$6:$S$74,10,0)/1000-VLOOKUP(E50,'[21]התפלגות מים 2012'!$D$200:$Q$263,5,0)/1000))</f>
        <v>3120.0859999999998</v>
      </c>
      <c r="N50" s="602"/>
    </row>
    <row r="51" spans="1:14" x14ac:dyDescent="0.2">
      <c r="A51" s="876"/>
      <c r="B51" s="890"/>
      <c r="C51" s="885" t="s">
        <v>1235</v>
      </c>
      <c r="D51" s="873" t="e">
        <f>+VLOOKUP(C51,'[22]תכולת תאגידים מרחביים 1'!$C$9:$D$111,2,0)</f>
        <v>#N/A</v>
      </c>
      <c r="E51" s="1240" t="s">
        <v>116</v>
      </c>
      <c r="F51" s="882">
        <v>1</v>
      </c>
      <c r="G51" s="860">
        <f>+IFERROR(HLOOKUP(C51,'נתוני תאגידים'!$1:$715,713,0),IFERROR(VLOOKUP(E51,'נתוני מים 2014'!$C$2:$N$184,5,0)/1000-VLOOKUP(E51,'נתוני מים 2014'!$C$2:$N$180,9,0)/1000,0))</f>
        <v>1701.99</v>
      </c>
      <c r="H51" s="878" t="s">
        <v>384</v>
      </c>
      <c r="I51" s="859">
        <v>21</v>
      </c>
      <c r="J51" s="861">
        <v>8</v>
      </c>
      <c r="K51" s="861">
        <f t="shared" si="0"/>
        <v>168</v>
      </c>
      <c r="L51" s="861"/>
      <c r="M51" s="863" t="e">
        <f>+IFERROR(VLOOKUP(D51,'[21]נתוני צריכה 12 עדכני'!$D$6:$S$200,7,0)/1000-VLOOKUP(D51,'[21]נתוני צריכה 12 עדכני'!$D$6:$S$201,11,0)/1000-VLOOKUP(D51,'[21]התפלגות מים 2012'!$D$6:$W$199,5,0)/1000,(VLOOKUP(E51,'[21]נתוני צריכה רשויות מקומיות'!$D$6:$S$74,6,0)/1000-VLOOKUP(E51,'[21]נתוני צריכה רשויות מקומיות'!$D$6:$S$74,10,0)/1000-VLOOKUP(E51,'[21]התפלגות מים 2012'!$D$200:$Q$263,5,0)/1000))</f>
        <v>#N/A</v>
      </c>
      <c r="N51" s="602"/>
    </row>
    <row r="52" spans="1:14" x14ac:dyDescent="0.2">
      <c r="A52" s="876"/>
      <c r="B52" s="890"/>
      <c r="C52" s="858" t="s">
        <v>681</v>
      </c>
      <c r="D52" s="873" t="e">
        <f>+VLOOKUP(C52,'[22]תכולת תאגידים מרחביים 1'!$C$9:$D$111,2,0)</f>
        <v>#N/A</v>
      </c>
      <c r="E52" s="39" t="s">
        <v>681</v>
      </c>
      <c r="F52" s="882">
        <v>1</v>
      </c>
      <c r="G52" s="860">
        <f>+IFERROR(HLOOKUP(C52,'נתוני תאגידים'!$1:$715,713,0),IFERROR(VLOOKUP(E52,'נתוני מים 2014'!$C$2:$N$184,5,0)/1000-VLOOKUP(E52,'נתוני מים 2014'!$C$2:$N$180,9,0)/1000,0))</f>
        <v>1173.269</v>
      </c>
      <c r="H52" s="878" t="s">
        <v>384</v>
      </c>
      <c r="I52" s="859">
        <v>13</v>
      </c>
      <c r="J52" s="861">
        <v>8</v>
      </c>
      <c r="K52" s="861">
        <f t="shared" si="0"/>
        <v>104</v>
      </c>
      <c r="L52" s="861"/>
      <c r="M52" s="863">
        <f>+IFERROR(VLOOKUP(D52,'[21]נתוני צריכה 12 עדכני'!$D$6:$S$200,7,0)/1000-VLOOKUP(D52,'[21]נתוני צריכה 12 עדכני'!$D$6:$S$201,11,0)/1000-VLOOKUP(D52,'[21]התפלגות מים 2012'!$D$6:$W$199,5,0)/1000,(VLOOKUP(E52,'[21]נתוני צריכה רשויות מקומיות'!$D$6:$S$74,6,0)/1000-VLOOKUP(E52,'[21]נתוני צריכה רשויות מקומיות'!$D$6:$S$74,10,0)/1000-VLOOKUP(E52,'[21]התפלגות מים 2012'!$D$200:$Q$263,5,0)/1000))</f>
        <v>979.86899999999991</v>
      </c>
      <c r="N52" s="602"/>
    </row>
    <row r="53" spans="1:14" x14ac:dyDescent="0.2">
      <c r="A53" s="876"/>
      <c r="B53" s="890"/>
      <c r="C53" s="858" t="s">
        <v>691</v>
      </c>
      <c r="D53" s="873" t="e">
        <f>+VLOOKUP(C53,'[22]תכולת תאגידים מרחביים 1'!$C$9:$D$111,2,0)</f>
        <v>#N/A</v>
      </c>
      <c r="E53" s="858" t="s">
        <v>1236</v>
      </c>
      <c r="F53" s="859">
        <v>1</v>
      </c>
      <c r="G53" s="860">
        <f>+IFERROR(HLOOKUP(C53,'נתוני תאגידים'!$1:$715,713,0),IFERROR(VLOOKUP(E53,'נתוני מים 2014'!$C$2:$N$184,5,0)/1000-VLOOKUP(E53,'נתוני מים 2014'!$C$2:$N$180,9,0)/1000,0))</f>
        <v>10780.42</v>
      </c>
      <c r="H53" s="878" t="s">
        <v>384</v>
      </c>
      <c r="I53" s="859">
        <v>159</v>
      </c>
      <c r="J53" s="861">
        <v>2</v>
      </c>
      <c r="K53" s="861">
        <f t="shared" si="0"/>
        <v>318</v>
      </c>
      <c r="L53" s="861"/>
      <c r="M53" s="863" t="e">
        <f>+IFERROR(VLOOKUP(D53,'[21]נתוני צריכה 12 עדכני'!$D$6:$S$200,7,0)/1000-VLOOKUP(D53,'[21]נתוני צריכה 12 עדכני'!$D$6:$S$201,11,0)/1000-VLOOKUP(D53,'[21]התפלגות מים 2012'!$D$6:$W$199,5,0)/1000,(VLOOKUP(E53,'[21]נתוני צריכה רשויות מקומיות'!$D$6:$S$74,6,0)/1000-VLOOKUP(E53,'[21]נתוני צריכה רשויות מקומיות'!$D$6:$S$74,10,0)/1000-VLOOKUP(E53,'[21]התפלגות מים 2012'!$D$200:$Q$263,5,0)/1000))</f>
        <v>#N/A</v>
      </c>
      <c r="N53" s="602"/>
    </row>
    <row r="54" spans="1:14" x14ac:dyDescent="0.2">
      <c r="A54" s="880"/>
      <c r="B54" s="891"/>
      <c r="C54" s="885" t="s">
        <v>1209</v>
      </c>
      <c r="D54" s="873"/>
      <c r="E54" s="879" t="s">
        <v>332</v>
      </c>
      <c r="F54" s="882">
        <v>1</v>
      </c>
      <c r="G54" s="860">
        <f>+IFERROR(HLOOKUP(C54,'נתוני תאגידים'!$1:$715,713,0),IFERROR(VLOOKUP(E54,'נתוני מים 2014'!$C$2:$N$184,5,0)/1000-VLOOKUP(E54,'נתוני מים 2014'!$C$2:$N$180,9,0)/1000,0))</f>
        <v>0</v>
      </c>
      <c r="H54" s="878"/>
      <c r="I54" s="859">
        <v>3</v>
      </c>
      <c r="J54" s="861">
        <v>10</v>
      </c>
      <c r="K54" s="861">
        <f t="shared" si="0"/>
        <v>30</v>
      </c>
      <c r="L54" s="861"/>
      <c r="M54" s="863">
        <f>+IFERROR(VLOOKUP(D54,'[21]נתוני צריכה 12 עדכני'!$D$6:$S$200,7,0)/1000-VLOOKUP(D54,'[21]נתוני צריכה 12 עדכני'!$D$6:$S$201,11,0)/1000-VLOOKUP(D54,'[21]התפלגות מים 2012'!$D$6:$W$199,5,0)/1000,(VLOOKUP(E54,'[21]נתוני צריכה רשויות מקומיות'!$D$6:$S$74,6,0)/1000-VLOOKUP(E54,'[21]נתוני צריכה רשויות מקומיות'!$D$6:$S$74,10,0)/1000-VLOOKUP(E54,'[21]התפלגות מים 2012'!$D$200:$Q$263,5,0)/1000))</f>
        <v>1003.2310000000001</v>
      </c>
      <c r="N54" s="602"/>
    </row>
    <row r="55" spans="1:14" s="871" customFormat="1" x14ac:dyDescent="0.2">
      <c r="A55" s="864"/>
      <c r="B55" s="865" t="s">
        <v>1095</v>
      </c>
      <c r="C55" s="889"/>
      <c r="D55" s="873" t="e">
        <f>+VLOOKUP(C55,'[22]תכולת תאגידים מרחביים 1'!$C$9:$D$111,2,0)</f>
        <v>#N/A</v>
      </c>
      <c r="E55" s="866"/>
      <c r="F55" s="867">
        <f>SUM(F48:F54)</f>
        <v>9</v>
      </c>
      <c r="G55" s="868">
        <f>SUM(G48:G54)</f>
        <v>42529.130000000005</v>
      </c>
      <c r="H55" s="867"/>
      <c r="I55" s="867">
        <f>SUM(I48:I54)</f>
        <v>520</v>
      </c>
      <c r="J55" s="867">
        <f>SUM(J48:J54)</f>
        <v>49.19</v>
      </c>
      <c r="K55" s="867">
        <f>SUM(K48:K54)</f>
        <v>2708.07</v>
      </c>
      <c r="L55" s="869">
        <f>K55/I55</f>
        <v>5.2078269230769232</v>
      </c>
      <c r="M55" s="869" t="e">
        <f>SUM(M48:M54)</f>
        <v>#N/A</v>
      </c>
      <c r="N55" s="602"/>
    </row>
    <row r="56" spans="1:14" ht="45" x14ac:dyDescent="0.2">
      <c r="A56" s="872">
        <v>9</v>
      </c>
      <c r="B56" s="834"/>
      <c r="C56" s="858" t="s">
        <v>529</v>
      </c>
      <c r="D56" s="873" t="str">
        <f>+VLOOKUP(C56,'[22]תכולת תאגידים מרחביים 1'!$C$9:$D$111,2,0)</f>
        <v>מי גבעתיים בע"מ</v>
      </c>
      <c r="E56" s="858" t="s">
        <v>1237</v>
      </c>
      <c r="F56" s="859">
        <v>1</v>
      </c>
      <c r="G56" s="860">
        <f>+IFERROR(HLOOKUP(C56,'נתוני תאגידים'!$1:$715,713,0),IFERROR(VLOOKUP(E56,'נתוני מים 2014'!$C$2:$N$184,5,0)/1000-VLOOKUP(E56,'נתוני מים 2014'!$C$2:$N$180,9,0)/1000,0))</f>
        <v>3748.2510000000002</v>
      </c>
      <c r="H56" s="878" t="s">
        <v>384</v>
      </c>
      <c r="I56" s="859">
        <v>54</v>
      </c>
      <c r="J56" s="861">
        <v>9</v>
      </c>
      <c r="K56" s="861">
        <f t="shared" si="0"/>
        <v>486</v>
      </c>
      <c r="L56" s="861">
        <f>(J56*I56+J57*I57+J58*I58)/I59</f>
        <v>8.089403973509933</v>
      </c>
      <c r="M56" s="863">
        <f>+IFERROR(VLOOKUP(D56,'[21]נתוני צריכה 12 עדכני'!$D$6:$S$200,7,0)/1000-VLOOKUP(D56,'[21]נתוני צריכה 12 עדכני'!$D$6:$S$201,11,0)/1000-VLOOKUP(D56,'[21]התפלגות מים 2012'!$D$6:$W$199,5,0)/1000,(VLOOKUP(E56,'[21]נתוני צריכה רשויות מקומיות'!$D$6:$S$74,6,0)/1000-VLOOKUP(E56,'[21]נתוני צריכה רשויות מקומיות'!$D$6:$S$74,10,0)/1000-VLOOKUP(E56,'[21]התפלגות מים 2012'!$D$200:$Q$263,5,0)/1000))</f>
        <v>3539.1329999999998</v>
      </c>
      <c r="N56" s="602"/>
    </row>
    <row r="57" spans="1:14" x14ac:dyDescent="0.2">
      <c r="A57" s="876"/>
      <c r="B57" s="877"/>
      <c r="C57" s="858" t="s">
        <v>281</v>
      </c>
      <c r="D57" s="873" t="e">
        <f>+VLOOKUP(C57,'[22]תכולת תאגידים מרחביים 1'!$C$9:$D$111,2,0)</f>
        <v>#N/A</v>
      </c>
      <c r="E57" s="39" t="s">
        <v>1238</v>
      </c>
      <c r="F57" s="859">
        <v>1</v>
      </c>
      <c r="G57" s="860">
        <f>+IFERROR(HLOOKUP(C57,'נתוני תאגידים'!$1:$715,713,0),IFERROR(VLOOKUP(E57,'נתוני מים 2014'!$C$2:$N$184,5,0)/1000-VLOOKUP(E57,'נתוני מים 2014'!$C$2:$N$180,9,0)/1000,0))</f>
        <v>12026.431</v>
      </c>
      <c r="H57" s="878" t="s">
        <v>384</v>
      </c>
      <c r="I57" s="859">
        <v>146</v>
      </c>
      <c r="J57" s="861">
        <v>8</v>
      </c>
      <c r="K57" s="861">
        <f t="shared" si="0"/>
        <v>1168</v>
      </c>
      <c r="L57" s="861"/>
      <c r="M57" s="863">
        <f>+IFERROR(VLOOKUP(D57,'[21]נתוני צריכה 12 עדכני'!$D$6:$S$200,7,0)/1000-VLOOKUP(D57,'[21]נתוני צריכה 12 עדכני'!$D$6:$S$201,11,0)/1000-VLOOKUP(D57,'[21]התפלגות מים 2012'!$D$6:$W$199,5,0)/1000,(VLOOKUP(E57,'[21]נתוני צריכה רשויות מקומיות'!$D$6:$S$74,6,0)/1000-VLOOKUP(E57,'[21]נתוני צריכה רשויות מקומיות'!$D$6:$S$74,10,0)/1000-VLOOKUP(E57,'[21]התפלגות מים 2012'!$D$200:$Q$263,5,0)/1000))</f>
        <v>11191.586000000001</v>
      </c>
      <c r="N57" s="602"/>
    </row>
    <row r="58" spans="1:14" x14ac:dyDescent="0.2">
      <c r="A58" s="880"/>
      <c r="B58" s="881"/>
      <c r="C58" s="858" t="s">
        <v>687</v>
      </c>
      <c r="D58" s="873" t="e">
        <f>+VLOOKUP(C58,'[22]תכולת תאגידים מרחביים 1'!$C$9:$D$111,2,0)</f>
        <v>#N/A</v>
      </c>
      <c r="E58" s="858" t="s">
        <v>1239</v>
      </c>
      <c r="F58" s="859">
        <v>1</v>
      </c>
      <c r="G58" s="860">
        <f>+IFERROR(HLOOKUP(C58,'נתוני תאגידים'!$1:$715,713,0),IFERROR(VLOOKUP(E58,'נתוני מים 2014'!$C$2:$N$184,5,0)/1000-VLOOKUP(E58,'נתוני מים 2014'!$C$2:$N$180,9,0)/1000,0))</f>
        <v>46124.361000000004</v>
      </c>
      <c r="H58" s="878" t="s">
        <v>384</v>
      </c>
      <c r="I58" s="859">
        <v>404</v>
      </c>
      <c r="J58" s="861">
        <v>8</v>
      </c>
      <c r="K58" s="861">
        <f t="shared" si="0"/>
        <v>3232</v>
      </c>
      <c r="L58" s="861"/>
      <c r="M58" s="863" t="e">
        <f>+IFERROR(VLOOKUP(D58,'[21]נתוני צריכה 12 עדכני'!$D$6:$S$200,7,0)/1000-VLOOKUP(D58,'[21]נתוני צריכה 12 עדכני'!$D$6:$S$201,11,0)/1000-VLOOKUP(D58,'[21]התפלגות מים 2012'!$D$6:$W$199,5,0)/1000,(VLOOKUP(E58,'[21]נתוני צריכה רשויות מקומיות'!$D$6:$S$74,6,0)/1000-VLOOKUP(E58,'[21]נתוני צריכה רשויות מקומיות'!$D$6:$S$74,10,0)/1000-VLOOKUP(E58,'[21]התפלגות מים 2012'!$D$200:$Q$263,5,0)/1000))</f>
        <v>#N/A</v>
      </c>
      <c r="N58" s="602"/>
    </row>
    <row r="59" spans="1:14" s="871" customFormat="1" x14ac:dyDescent="0.2">
      <c r="A59" s="864"/>
      <c r="B59" s="865" t="s">
        <v>1109</v>
      </c>
      <c r="C59" s="889"/>
      <c r="D59" s="873" t="e">
        <f>+VLOOKUP(C59,'[22]תכולת תאגידים מרחביים 1'!$C$9:$D$111,2,0)</f>
        <v>#N/A</v>
      </c>
      <c r="E59" s="866"/>
      <c r="F59" s="867">
        <f>SUM(F56:F58)</f>
        <v>3</v>
      </c>
      <c r="G59" s="868">
        <f>SUM(G56:G58)</f>
        <v>61899.043000000005</v>
      </c>
      <c r="H59" s="867"/>
      <c r="I59" s="867">
        <f>SUM(I56:I58)</f>
        <v>604</v>
      </c>
      <c r="J59" s="867">
        <f>SUM(J56:J58)</f>
        <v>25</v>
      </c>
      <c r="K59" s="867">
        <f>SUM(K56:K58)</f>
        <v>4886</v>
      </c>
      <c r="L59" s="869">
        <f>K59/I59</f>
        <v>8.089403973509933</v>
      </c>
      <c r="M59" s="869" t="e">
        <f>SUM(M56:M58)</f>
        <v>#N/A</v>
      </c>
      <c r="N59" s="602"/>
    </row>
    <row r="60" spans="1:14" ht="45" x14ac:dyDescent="0.2">
      <c r="A60" s="872">
        <v>10</v>
      </c>
      <c r="B60" s="834"/>
      <c r="C60" s="858" t="s">
        <v>253</v>
      </c>
      <c r="D60" s="873" t="str">
        <f>+VLOOKUP(C60,'[22]תכולת תאגידים מרחביים 1'!$C$9:$D$111,2,0)</f>
        <v>מי הוד השרון בע"מ</v>
      </c>
      <c r="E60" s="858" t="s">
        <v>1240</v>
      </c>
      <c r="F60" s="859">
        <v>1</v>
      </c>
      <c r="G60" s="860">
        <f>+IFERROR(HLOOKUP(C60,'נתוני תאגידים'!$1:$715,713,0),IFERROR(VLOOKUP(E60,'נתוני מים 2014'!$C$2:$N$184,5,0)/1000-VLOOKUP(E60,'נתוני מים 2014'!$C$2:$N$180,9,0)/1000,0))</f>
        <v>4710.6399999999994</v>
      </c>
      <c r="H60" s="878" t="s">
        <v>1241</v>
      </c>
      <c r="I60" s="859">
        <v>49</v>
      </c>
      <c r="J60" s="861">
        <v>8</v>
      </c>
      <c r="K60" s="861">
        <f t="shared" si="0"/>
        <v>392</v>
      </c>
      <c r="L60" s="861">
        <f>(J60*I60+J61*I61+J62*I62+J63*I63+J64*I64+J65*I65+J68*I68)/I69</f>
        <v>6.7361024498886408</v>
      </c>
      <c r="M60" s="863">
        <f>+IFERROR(VLOOKUP(D60,'[21]נתוני צריכה 12 עדכני'!$D$6:$S$200,7,0)/1000-VLOOKUP(D60,'[21]נתוני צריכה 12 עדכני'!$D$6:$S$201,11,0)/1000-VLOOKUP(D60,'[21]התפלגות מים 2012'!$D$6:$W$199,5,0)/1000,(VLOOKUP(E60,'[21]נתוני צריכה רשויות מקומיות'!$D$6:$S$74,6,0)/1000-VLOOKUP(E60,'[21]נתוני צריכה רשויות מקומיות'!$D$6:$S$74,10,0)/1000-VLOOKUP(E60,'[21]התפלגות מים 2012'!$D$200:$Q$263,5,0)/1000))</f>
        <v>4019.3010000000004</v>
      </c>
      <c r="N60" s="602"/>
    </row>
    <row r="61" spans="1:14" ht="45" x14ac:dyDescent="0.2">
      <c r="A61" s="876"/>
      <c r="B61" s="892"/>
      <c r="C61" s="858" t="s">
        <v>254</v>
      </c>
      <c r="D61" s="873" t="str">
        <f>+VLOOKUP(C61,'[22]תכולת תאגידים מרחביים 1'!$C$9:$D$111,2,0)</f>
        <v>מי הרצליה בע"מ</v>
      </c>
      <c r="E61" s="858" t="s">
        <v>62</v>
      </c>
      <c r="F61" s="859">
        <v>1</v>
      </c>
      <c r="G61" s="860">
        <f>+IFERROR(HLOOKUP(C61,'נתוני תאגידים'!$1:$715,713,0),IFERROR(VLOOKUP(E61,'נתוני מים 2014'!$C$2:$N$184,5,0)/1000-VLOOKUP(E61,'נתוני מים 2014'!$C$2:$N$180,9,0)/1000,0))</f>
        <v>10469.824999999999</v>
      </c>
      <c r="H61" s="878" t="s">
        <v>1242</v>
      </c>
      <c r="I61" s="859">
        <v>88</v>
      </c>
      <c r="J61" s="861">
        <v>8</v>
      </c>
      <c r="K61" s="861">
        <f t="shared" si="0"/>
        <v>704</v>
      </c>
      <c r="L61" s="861"/>
      <c r="M61" s="863">
        <f>+IFERROR(VLOOKUP(D61,'[21]נתוני צריכה 12 עדכני'!$D$6:$S$200,7,0)/1000-VLOOKUP(D61,'[21]נתוני צריכה 12 עדכני'!$D$6:$S$201,11,0)/1000-VLOOKUP(D61,'[21]התפלגות מים 2012'!$D$6:$W$199,5,0)/1000,(VLOOKUP(E61,'[21]נתוני צריכה רשויות מקומיות'!$D$6:$S$74,6,0)/1000-VLOOKUP(E61,'[21]נתוני צריכה רשויות מקומיות'!$D$6:$S$74,10,0)/1000-VLOOKUP(E61,'[21]התפלגות מים 2012'!$D$200:$Q$263,5,0)/1000))</f>
        <v>9248.7369999999992</v>
      </c>
      <c r="N61" s="602"/>
    </row>
    <row r="62" spans="1:14" ht="30" x14ac:dyDescent="0.2">
      <c r="A62" s="876"/>
      <c r="B62" s="892"/>
      <c r="C62" s="858" t="s">
        <v>258</v>
      </c>
      <c r="D62" s="873" t="str">
        <f>+VLOOKUP(C62,'[22]תכולת תאגידים מרחביים 1'!$C$9:$D$111,2,0)</f>
        <v>מי רעננה בע"מ</v>
      </c>
      <c r="E62" s="858" t="s">
        <v>54</v>
      </c>
      <c r="F62" s="859">
        <v>1</v>
      </c>
      <c r="G62" s="860">
        <f>+IFERROR(HLOOKUP(C62,'נתוני תאגידים'!$1:$715,713,0),IFERROR(VLOOKUP(E62,'נתוני מים 2014'!$C$2:$N$184,5,0)/1000-VLOOKUP(E62,'נתוני מים 2014'!$C$2:$N$180,9,0)/1000,0))</f>
        <v>6640.0940000000001</v>
      </c>
      <c r="H62" s="878" t="s">
        <v>1243</v>
      </c>
      <c r="I62" s="859">
        <v>69</v>
      </c>
      <c r="J62" s="861">
        <v>8</v>
      </c>
      <c r="K62" s="861">
        <f t="shared" si="0"/>
        <v>552</v>
      </c>
      <c r="L62" s="861"/>
      <c r="M62" s="863">
        <f>+IFERROR(VLOOKUP(D62,'[21]נתוני צריכה 12 עדכני'!$D$6:$S$200,7,0)/1000-VLOOKUP(D62,'[21]נתוני צריכה 12 עדכני'!$D$6:$S$201,11,0)/1000-VLOOKUP(D62,'[21]התפלגות מים 2012'!$D$6:$W$199,5,0)/1000,(VLOOKUP(E62,'[21]נתוני צריכה רשויות מקומיות'!$D$6:$S$74,6,0)/1000-VLOOKUP(E62,'[21]נתוני צריכה רשויות מקומיות'!$D$6:$S$74,10,0)/1000-VLOOKUP(E62,'[21]התפלגות מים 2012'!$D$200:$Q$263,5,0)/1000))</f>
        <v>5802.5370000000003</v>
      </c>
      <c r="N62" s="602"/>
    </row>
    <row r="63" spans="1:14" ht="30" x14ac:dyDescent="0.2">
      <c r="A63" s="876"/>
      <c r="B63" s="892"/>
      <c r="C63" s="858" t="s">
        <v>264</v>
      </c>
      <c r="D63" s="873" t="str">
        <f>+VLOOKUP(C63,'[22]תכולת תאגידים מרחביים 1'!$C$9:$D$111,2,0)</f>
        <v>שרונים בע"מ</v>
      </c>
      <c r="E63" s="858" t="s">
        <v>1244</v>
      </c>
      <c r="F63" s="859">
        <v>1</v>
      </c>
      <c r="G63" s="860">
        <f>+IFERROR(HLOOKUP(C63,'נתוני תאגידים'!$1:$715,713,0),IFERROR(VLOOKUP(E63,'נתוני מים 2014'!$C$2:$N$184,5,0)/1000-VLOOKUP(E63,'נתוני מים 2014'!$C$2:$N$180,9,0)/1000,0))</f>
        <v>4708.6639999999998</v>
      </c>
      <c r="H63" s="878" t="s">
        <v>1245</v>
      </c>
      <c r="I63" s="859">
        <v>41</v>
      </c>
      <c r="J63" s="861">
        <v>9</v>
      </c>
      <c r="K63" s="861">
        <f t="shared" si="0"/>
        <v>369</v>
      </c>
      <c r="L63" s="861"/>
      <c r="M63" s="863">
        <f>+IFERROR(VLOOKUP(C63,'[21]נתוני צריכה 12 עדכני'!$D$6:$S$200,7,0)/1000-VLOOKUP(C63,'[21]נתוני צריכה 12 עדכני'!$D$6:$S$201,11,0)/1000-VLOOKUP(C63,'[21]התפלגות מים 2012'!$D$6:$W$199,5,0)/1000,(VLOOKUP(E63,'[21]נתוני צריכה רשויות מקומיות'!$D$6:$S$74,6,0)/1000-VLOOKUP(E63,'[21]נתוני צריכה רשויות מקומיות'!$D$6:$S$74,10,0)/1000-VLOOKUP(E63,'[21]התפלגות מים 2012'!$D$200:$Q$263,5,0)/1000))</f>
        <v>4201.2279999999992</v>
      </c>
      <c r="N63" s="602"/>
    </row>
    <row r="64" spans="1:14" ht="45" x14ac:dyDescent="0.2">
      <c r="A64" s="876"/>
      <c r="B64" s="892"/>
      <c r="C64" s="858" t="s">
        <v>661</v>
      </c>
      <c r="D64" s="873" t="str">
        <f>+VLOOKUP(C64,'[22]תכולת תאגידים מרחביים 1'!$C$9:$D$111,2,0)</f>
        <v>מעינות המשולש בע"מ</v>
      </c>
      <c r="E64" s="858" t="s">
        <v>1246</v>
      </c>
      <c r="F64" s="859">
        <v>3</v>
      </c>
      <c r="G64" s="860">
        <f>+IFERROR(HLOOKUP(C64,'נתוני תאגידים'!$1:$715,713,0),IFERROR(VLOOKUP(E64,'נתוני מים 2014'!$C$2:$N$184,5,0)/1000-VLOOKUP(E64,'נתוני מים 2014'!$C$2:$N$180,9,0)/1000,0))</f>
        <v>4786.3330000000005</v>
      </c>
      <c r="H64" s="878" t="s">
        <v>1247</v>
      </c>
      <c r="I64" s="859">
        <v>51</v>
      </c>
      <c r="J64" s="861">
        <v>3.45</v>
      </c>
      <c r="K64" s="861">
        <f t="shared" si="0"/>
        <v>175.95000000000002</v>
      </c>
      <c r="L64" s="861"/>
      <c r="M64" s="863">
        <f>+IFERROR(VLOOKUP(D64,'[21]נתוני צריכה 12 עדכני'!$D$6:$S$200,7,0)/1000-VLOOKUP(D64,'[21]נתוני צריכה 12 עדכני'!$D$6:$S$201,11,0)/1000-VLOOKUP(D64,'[21]התפלגות מים 2012'!$D$6:$W$199,5,0)/1000,(VLOOKUP(E64,'[21]נתוני צריכה רשויות מקומיות'!$D$6:$S$74,6,0)/1000-VLOOKUP(E64,'[21]נתוני צריכה רשויות מקומיות'!$D$6:$S$74,10,0)/1000-VLOOKUP(E64,'[21]התפלגות מים 2012'!$D$200:$Q$263,5,0)/1000))</f>
        <v>4389.7749999999996</v>
      </c>
    </row>
    <row r="65" spans="1:14" ht="45" x14ac:dyDescent="0.2">
      <c r="A65" s="876"/>
      <c r="B65" s="892"/>
      <c r="C65" s="858" t="s">
        <v>272</v>
      </c>
      <c r="D65" s="873" t="str">
        <f>+VLOOKUP(C65,'[22]תכולת תאגידים מרחביים 1'!$C$9:$D$111,2,0)</f>
        <v>פלגי השרון בע"מ</v>
      </c>
      <c r="E65" s="858" t="s">
        <v>1248</v>
      </c>
      <c r="F65" s="859">
        <v>2</v>
      </c>
      <c r="G65" s="860">
        <f>+IFERROR(HLOOKUP(C65,'נתוני תאגידים'!$1:$715,713,0),IFERROR(VLOOKUP(E65,'נתוני מים 2014'!$C$2:$N$184,5,0)/1000-VLOOKUP(E65,'נתוני מים 2014'!$C$2:$N$180,9,0)/1000,0))</f>
        <v>975.60500000000002</v>
      </c>
      <c r="H65" s="878" t="s">
        <v>1241</v>
      </c>
      <c r="I65" s="859">
        <v>94</v>
      </c>
      <c r="J65" s="861">
        <v>7.1</v>
      </c>
      <c r="K65" s="861">
        <f t="shared" si="0"/>
        <v>667.4</v>
      </c>
      <c r="L65" s="861"/>
      <c r="M65" s="863">
        <f>+IFERROR(VLOOKUP(D65,'[21]נתוני צריכה 12 עדכני'!$D$6:$S$200,7,0)/1000-VLOOKUP(D65,'[21]נתוני צריכה 12 עדכני'!$D$6:$S$201,11,0)/1000-VLOOKUP(D65,'[21]התפלגות מים 2012'!$D$6:$W$199,5,0)/1000,(VLOOKUP(E65,'[21]נתוני צריכה רשויות מקומיות'!$D$6:$S$74,6,0)/1000-VLOOKUP(E65,'[21]נתוני צריכה רשויות מקומיות'!$D$6:$S$74,10,0)/1000-VLOOKUP(E65,'[21]התפלגות מים 2012'!$D$200:$Q$263,5,0)/1000))</f>
        <v>1022.373</v>
      </c>
    </row>
    <row r="66" spans="1:14" x14ac:dyDescent="0.25">
      <c r="A66" s="876"/>
      <c r="B66" s="892"/>
      <c r="C66" s="1832" t="s">
        <v>1209</v>
      </c>
      <c r="D66" s="873"/>
      <c r="E66" s="893" t="s">
        <v>643</v>
      </c>
      <c r="F66" s="859">
        <v>1</v>
      </c>
      <c r="G66" s="860">
        <f>+IFERROR(HLOOKUP(C66,'נתוני תאגידים'!$1:$715,713,0),IFERROR(VLOOKUP(E66,'נתוני מים 2014'!$C$2:$N$184,5,0)/1000-VLOOKUP(E66,'נתוני מים 2014'!$C$2:$N$180,9,0)/1000,0))</f>
        <v>688.73399999999992</v>
      </c>
      <c r="H66" s="878"/>
      <c r="I66" s="859"/>
      <c r="J66" s="861"/>
      <c r="K66" s="861"/>
      <c r="L66" s="861"/>
      <c r="M66" s="863">
        <f>+IFERROR(VLOOKUP(D66,'[21]נתוני צריכה 12 עדכני'!$D$6:$S$200,7,0)/1000-VLOOKUP(D66,'[21]נתוני צריכה 12 עדכני'!$D$6:$S$201,11,0)/1000-VLOOKUP(D66,'[21]התפלגות מים 2012'!$D$6:$W$199,5,0)/1000,(VLOOKUP(E66,'[21]נתוני צריכה רשויות מקומיות'!$D$6:$S$74,6,0)/1000-VLOOKUP(E66,'[21]נתוני צריכה רשויות מקומיות'!$D$6:$S$74,10,0)/1000-VLOOKUP(E66,'[21]התפלגות מים 2012'!$D$200:$Q$263,5,0)/1000))</f>
        <v>574.34500000000003</v>
      </c>
    </row>
    <row r="67" spans="1:14" x14ac:dyDescent="0.2">
      <c r="A67" s="876"/>
      <c r="B67" s="892"/>
      <c r="C67" s="1833"/>
      <c r="D67" s="873"/>
      <c r="E67" s="879" t="s">
        <v>215</v>
      </c>
      <c r="F67" s="859">
        <v>1</v>
      </c>
      <c r="G67" s="860">
        <f>+IFERROR(HLOOKUP(C67,'נתוני תאגידים'!$1:$715,713,0),IFERROR(VLOOKUP(E67,'נתוני מים 2014'!$C$2:$N$184,5,0)/1000-VLOOKUP(E67,'נתוני מים 2014'!$C$2:$N$180,9,0)/1000,0))</f>
        <v>3998.7509999999997</v>
      </c>
      <c r="H67" s="878"/>
      <c r="I67" s="859"/>
      <c r="J67" s="861"/>
      <c r="K67" s="861"/>
      <c r="L67" s="861"/>
      <c r="M67" s="863">
        <f>+IFERROR(VLOOKUP(D67,'[21]נתוני צריכה 12 עדכני'!$D$6:$S$200,7,0)/1000-VLOOKUP(D67,'[21]נתוני צריכה 12 עדכני'!$D$6:$S$201,11,0)/1000-VLOOKUP(D67,'[21]התפלגות מים 2012'!$D$6:$W$199,5,0)/1000,(VLOOKUP(E67,'[21]נתוני צריכה רשויות מקומיות'!$D$6:$S$74,6,0)/1000-VLOOKUP(E67,'[21]נתוני צריכה רשויות מקומיות'!$D$6:$S$74,10,0)/1000-VLOOKUP(E67,'[21]התפלגות מים 2012'!$D$200:$Q$263,5,0)/1000))</f>
        <v>3333.7419999999997</v>
      </c>
    </row>
    <row r="68" spans="1:14" x14ac:dyDescent="0.2">
      <c r="A68" s="880"/>
      <c r="B68" s="886"/>
      <c r="C68" s="1834"/>
      <c r="D68" s="873"/>
      <c r="E68" s="879" t="s">
        <v>340</v>
      </c>
      <c r="F68" s="883">
        <v>1</v>
      </c>
      <c r="G68" s="860">
        <f>+IFERROR(HLOOKUP(C68,'נתוני תאגידים'!$1:$715,713,0),IFERROR(VLOOKUP(E68,'נתוני מים 2014'!$C$2:$N$184,5,0)/1000-VLOOKUP(E68,'נתוני מים 2014'!$C$2:$N$180,9,0)/1000,0))</f>
        <v>1339.9300000000003</v>
      </c>
      <c r="H68" s="878" t="s">
        <v>1249</v>
      </c>
      <c r="I68" s="859">
        <f>36+2+19</f>
        <v>57</v>
      </c>
      <c r="J68" s="861">
        <v>2.88</v>
      </c>
      <c r="K68" s="861">
        <f t="shared" si="0"/>
        <v>164.16</v>
      </c>
      <c r="L68" s="861"/>
      <c r="M68" s="863">
        <f>+IFERROR(VLOOKUP(D68,'[21]נתוני צריכה 12 עדכני'!$D$6:$S$200,7,0)/1000-VLOOKUP(D68,'[21]נתוני צריכה 12 עדכני'!$D$6:$S$201,11,0)/1000-VLOOKUP(D68,'[21]התפלגות מים 2012'!$D$6:$W$199,5,0)/1000,(VLOOKUP(E68,'[21]נתוני צריכה רשויות מקומיות'!$D$6:$S$74,6,0)/1000-VLOOKUP(E68,'[21]נתוני צריכה רשויות מקומיות'!$D$6:$S$74,10,0)/1000-VLOOKUP(E68,'[21]התפלגות מים 2012'!$D$200:$Q$263,5,0)/1000))</f>
        <v>1337.9080000000001</v>
      </c>
    </row>
    <row r="69" spans="1:14" s="871" customFormat="1" x14ac:dyDescent="0.2">
      <c r="A69" s="864"/>
      <c r="B69" s="865" t="s">
        <v>1108</v>
      </c>
      <c r="C69" s="889"/>
      <c r="D69" s="873"/>
      <c r="E69" s="866"/>
      <c r="F69" s="867">
        <f>SUM(F60:F68)</f>
        <v>12</v>
      </c>
      <c r="G69" s="868">
        <f>SUM(G60:G68)</f>
        <v>38318.575999999994</v>
      </c>
      <c r="H69" s="867"/>
      <c r="I69" s="867">
        <f>SUM(I60:I68)</f>
        <v>449</v>
      </c>
      <c r="J69" s="867">
        <f>SUM(J60:J68)</f>
        <v>46.430000000000007</v>
      </c>
      <c r="K69" s="867">
        <f>SUM(K60:K68)</f>
        <v>3024.5099999999998</v>
      </c>
      <c r="L69" s="869">
        <f>K69/I69</f>
        <v>6.7361024498886408</v>
      </c>
      <c r="M69" s="869">
        <f>SUM(M60:M68)</f>
        <v>33929.946000000004</v>
      </c>
      <c r="N69" s="870"/>
    </row>
    <row r="70" spans="1:14" x14ac:dyDescent="0.2">
      <c r="A70" s="872">
        <v>11</v>
      </c>
      <c r="B70" s="834"/>
      <c r="C70" s="858" t="s">
        <v>448</v>
      </c>
      <c r="D70" s="873" t="e">
        <f>+VLOOKUP(C70,'[22]תכולת תאגידים מרחביים 1'!$C$9:$D$111,2,0)</f>
        <v>#N/A</v>
      </c>
      <c r="E70" s="858" t="s">
        <v>101</v>
      </c>
      <c r="F70" s="859">
        <v>1</v>
      </c>
      <c r="G70" s="860">
        <f>+IFERROR(HLOOKUP(C70,'נתוני תאגידים'!$1:$715,713,0),IFERROR(VLOOKUP(E70,'נתוני מים 2014'!$C$2:$N$184,5,0)/1000-VLOOKUP(E70,'נתוני מים 2014'!$C$2:$N$180,9,0)/1000,0))</f>
        <v>16724.746999999999</v>
      </c>
      <c r="H70" s="878" t="s">
        <v>101</v>
      </c>
      <c r="I70" s="859">
        <v>187</v>
      </c>
      <c r="J70" s="861">
        <v>6</v>
      </c>
      <c r="K70" s="861">
        <f t="shared" si="0"/>
        <v>1122</v>
      </c>
      <c r="L70" s="861">
        <f>(J70*I70+J71*I71+J72*I72+J73*I73+J81*I81)/I82</f>
        <v>5.2210634648370498</v>
      </c>
      <c r="M70" s="863" t="e">
        <f>+IFERROR(VLOOKUP(D70,'[21]נתוני צריכה 12 עדכני'!$D$6:$S$200,7,0)/1000-VLOOKUP(D70,'[21]נתוני צריכה 12 עדכני'!$D$6:$S$201,11,0)/1000-VLOOKUP(D70,'[21]התפלגות מים 2012'!$D$6:$W$199,5,0)/1000,(VLOOKUP(E70,'[21]נתוני צריכה רשויות מקומיות'!$D$6:$S$74,6,0)/1000-VLOOKUP(E70,'[21]נתוני צריכה רשויות מקומיות'!$D$6:$S$74,10,0)/1000-VLOOKUP(E70,'[21]התפלגות מים 2012'!$D$200:$Q$263,5,0)/1000))</f>
        <v>#N/A</v>
      </c>
    </row>
    <row r="71" spans="1:14" ht="35.1" customHeight="1" x14ac:dyDescent="0.2">
      <c r="A71" s="876"/>
      <c r="B71" s="877"/>
      <c r="C71" s="874" t="s">
        <v>259</v>
      </c>
      <c r="D71" s="873" t="str">
        <f>+VLOOKUP(C71,'[22]תכולת תאגידים מרחביים 1'!$C$9:$D$111,2,0)</f>
        <v>מי השרון בע"מ</v>
      </c>
      <c r="E71" s="874" t="s">
        <v>1250</v>
      </c>
      <c r="F71" s="859">
        <v>5</v>
      </c>
      <c r="G71" s="860">
        <f>+IFERROR(HLOOKUP(C71,'נתוני תאגידים'!$1:$715,713,0),IFERROR(VLOOKUP(E71,'נתוני מים 2014'!$C$2:$N$184,5,0)/1000-VLOOKUP(E71,'נתוני מים 2014'!$C$2:$N$180,9,0)/1000,0))</f>
        <v>5738.3119999999999</v>
      </c>
      <c r="H71" s="894" t="s">
        <v>1251</v>
      </c>
      <c r="I71" s="859">
        <v>63</v>
      </c>
      <c r="J71" s="861">
        <v>7.05</v>
      </c>
      <c r="K71" s="861">
        <f t="shared" si="0"/>
        <v>444.15</v>
      </c>
      <c r="L71" s="861"/>
      <c r="M71" s="863">
        <f>+IFERROR(VLOOKUP(D71,'[21]נתוני צריכה 12 עדכני'!$D$6:$S$200,7,0)/1000-VLOOKUP(D71,'[21]נתוני צריכה 12 עדכני'!$D$6:$S$201,11,0)/1000-VLOOKUP(D71,'[21]התפלגות מים 2012'!$D$6:$W$199,5,0)/1000,(VLOOKUP(E71,'[21]נתוני צריכה רשויות מקומיות'!$D$6:$S$74,6,0)/1000-VLOOKUP(E71,'[21]נתוני צריכה רשויות מקומיות'!$D$6:$S$74,10,0)/1000-VLOOKUP(E71,'[21]התפלגות מים 2012'!$D$200:$Q$263,5,0)/1000))</f>
        <v>5012.8169999999991</v>
      </c>
    </row>
    <row r="72" spans="1:14" x14ac:dyDescent="0.2">
      <c r="A72" s="876"/>
      <c r="B72" s="877"/>
      <c r="C72" s="874" t="s">
        <v>445</v>
      </c>
      <c r="D72" s="873" t="e">
        <f>+VLOOKUP(C72,'[22]תכולת תאגידים מרחביים 1'!$C$9:$D$111,2,0)</f>
        <v>#N/A</v>
      </c>
      <c r="E72" s="858" t="s">
        <v>138</v>
      </c>
      <c r="F72" s="859">
        <v>1</v>
      </c>
      <c r="G72" s="860">
        <f>+IFERROR(HLOOKUP(C72,'נתוני תאגידים'!$1:$715,713,0),IFERROR(VLOOKUP(E72,'נתוני מים 2014'!$C$2:$N$184,5,0)/1000-VLOOKUP(E72,'נתוני מים 2014'!$C$2:$N$180,9,0)/1000,0))</f>
        <v>7271.4120000000003</v>
      </c>
      <c r="H72" s="878" t="s">
        <v>138</v>
      </c>
      <c r="I72" s="859">
        <v>82</v>
      </c>
      <c r="J72" s="861">
        <v>6</v>
      </c>
      <c r="K72" s="861">
        <f t="shared" si="0"/>
        <v>492</v>
      </c>
      <c r="L72" s="861"/>
      <c r="M72" s="863" t="e">
        <f>+IFERROR(VLOOKUP(D72,'[21]נתוני צריכה 12 עדכני'!$D$6:$S$200,7,0)/1000-VLOOKUP(D72,'[21]נתוני צריכה 12 עדכני'!$D$6:$S$201,11,0)/1000-VLOOKUP(D72,'[21]התפלגות מים 2012'!$D$6:$W$199,5,0)/1000,(VLOOKUP(E72,'[21]נתוני צריכה רשויות מקומיות'!$D$6:$S$74,6,0)/1000-VLOOKUP(E72,'[21]נתוני צריכה רשויות מקומיות'!$D$6:$S$74,10,0)/1000-VLOOKUP(E72,'[21]התפלגות מים 2012'!$D$200:$Q$263,5,0)/1000))</f>
        <v>#N/A</v>
      </c>
    </row>
    <row r="73" spans="1:14" ht="19.5" customHeight="1" x14ac:dyDescent="0.2">
      <c r="A73" s="876"/>
      <c r="B73" s="877"/>
      <c r="C73" s="874" t="s">
        <v>449</v>
      </c>
      <c r="D73" s="873" t="e">
        <f>+VLOOKUP(C73,'[22]תכולת תאגידים מרחביים 1'!$C$9:$D$111,2,0)</f>
        <v>#N/A</v>
      </c>
      <c r="E73" s="874" t="s">
        <v>1252</v>
      </c>
      <c r="F73" s="859">
        <v>7</v>
      </c>
      <c r="G73" s="860">
        <f>+IFERROR(HLOOKUP(C73,'נתוני תאגידים'!$1:$715,713,0),IFERROR(VLOOKUP(E73,'נתוני מים 2014'!$C$2:$N$184,5,0)/1000-VLOOKUP(E73,'נתוני מים 2014'!$C$2:$N$180,9,0)/1000,0))</f>
        <v>9228.0609999999997</v>
      </c>
      <c r="H73" s="894" t="s">
        <v>1253</v>
      </c>
      <c r="I73" s="859">
        <v>142</v>
      </c>
      <c r="J73" s="861">
        <v>3.05</v>
      </c>
      <c r="K73" s="861">
        <f t="shared" si="0"/>
        <v>433.09999999999997</v>
      </c>
      <c r="L73" s="861"/>
      <c r="M73" s="863" t="e">
        <f>+IFERROR(VLOOKUP(D73,'[21]נתוני צריכה 12 עדכני'!$D$6:$S$200,7,0)/1000-VLOOKUP(D73,'[21]נתוני צריכה 12 עדכני'!$D$6:$S$201,11,0)/1000-VLOOKUP(D73,'[21]התפלגות מים 2012'!$D$6:$W$199,5,0)/1000,(VLOOKUP(E73,'[21]נתוני צריכה רשויות מקומיות'!$D$6:$S$74,6,0)/1000-VLOOKUP(E73,'[21]נתוני צריכה רשויות מקומיות'!$D$6:$S$74,10,0)/1000-VLOOKUP(E73,'[21]התפלגות מים 2012'!$D$200:$Q$263,5,0)/1000))</f>
        <v>#N/A</v>
      </c>
    </row>
    <row r="74" spans="1:14" ht="19.5" customHeight="1" x14ac:dyDescent="0.2">
      <c r="A74" s="876"/>
      <c r="B74" s="877"/>
      <c r="C74" s="1832" t="s">
        <v>1209</v>
      </c>
      <c r="D74" s="873"/>
      <c r="E74" s="879" t="s">
        <v>110</v>
      </c>
      <c r="F74" s="859"/>
      <c r="G74" s="860">
        <f>+IFERROR(HLOOKUP(C74,'נתוני תאגידים'!$1:$715,713,0),IFERROR(VLOOKUP(E74,'נתוני מים 2014'!$C$2:$N$184,5,0)/1000-VLOOKUP(E74,'נתוני מים 2014'!$C$2:$N$180,9,0)/1000,0))</f>
        <v>1588.58</v>
      </c>
      <c r="H74" s="894"/>
      <c r="I74" s="859"/>
      <c r="J74" s="861"/>
      <c r="K74" s="861"/>
      <c r="L74" s="861"/>
      <c r="M74" s="895">
        <v>1400</v>
      </c>
    </row>
    <row r="75" spans="1:14" ht="19.5" customHeight="1" x14ac:dyDescent="0.2">
      <c r="A75" s="876"/>
      <c r="B75" s="877"/>
      <c r="C75" s="1833"/>
      <c r="D75" s="873"/>
      <c r="E75" s="879" t="s">
        <v>1573</v>
      </c>
      <c r="F75" s="859"/>
      <c r="G75" s="860">
        <f>+IFERROR(HLOOKUP(C75,'נתוני תאגידים'!$1:$715,713,0),IFERROR(VLOOKUP(E75,'נתוני מים 2014'!$C$2:$N$184,5,0)/1000-VLOOKUP(E75,'נתוני מים 2014'!$C$2:$N$180,9,0)/1000,0))</f>
        <v>1388.6559999999999</v>
      </c>
      <c r="H75" s="894"/>
      <c r="I75" s="859"/>
      <c r="J75" s="861"/>
      <c r="K75" s="861"/>
      <c r="L75" s="861"/>
      <c r="M75" s="863" t="e">
        <f>+IFERROR(VLOOKUP(D75,'[21]נתוני צריכה 12 עדכני'!$D$6:$S$200,7,0)/1000-VLOOKUP(D75,'[21]נתוני צריכה 12 עדכני'!$D$6:$S$201,11,0)/1000-VLOOKUP(D75,'[21]התפלגות מים 2012'!$D$6:$W$199,5,0)/1000,(VLOOKUP(E75,'[21]נתוני צריכה רשויות מקומיות'!$D$6:$S$74,6,0)/1000-VLOOKUP(E75,'[21]נתוני צריכה רשויות מקומיות'!$D$6:$S$74,10,0)/1000-VLOOKUP(E75,'[21]התפלגות מים 2012'!$D$200:$Q$263,5,0)/1000))</f>
        <v>#N/A</v>
      </c>
    </row>
    <row r="76" spans="1:14" ht="19.5" customHeight="1" x14ac:dyDescent="0.2">
      <c r="A76" s="876"/>
      <c r="B76" s="877"/>
      <c r="C76" s="1833"/>
      <c r="D76" s="873"/>
      <c r="E76" s="879" t="s">
        <v>1574</v>
      </c>
      <c r="F76" s="859"/>
      <c r="G76" s="860">
        <f>+IFERROR(HLOOKUP(C76,'נתוני תאגידים'!$1:$715,713,0),IFERROR(VLOOKUP(E76,'נתוני מים 2014'!$C$2:$N$184,5,0)/1000-VLOOKUP(E76,'נתוני מים 2014'!$C$2:$N$180,9,0)/1000,0))</f>
        <v>1101.9690000000001</v>
      </c>
      <c r="H76" s="894"/>
      <c r="I76" s="859"/>
      <c r="J76" s="861"/>
      <c r="K76" s="861"/>
      <c r="L76" s="861"/>
      <c r="M76" s="863" t="e">
        <f>+IFERROR(VLOOKUP(D76,'[21]נתוני צריכה 12 עדכני'!$D$6:$S$200,7,0)/1000-VLOOKUP(D76,'[21]נתוני צריכה 12 עדכני'!$D$6:$S$201,11,0)/1000-VLOOKUP(D76,'[21]התפלגות מים 2012'!$D$6:$W$199,5,0)/1000,(VLOOKUP(E76,'[21]נתוני צריכה רשויות מקומיות'!$D$6:$S$74,6,0)/1000-VLOOKUP(E76,'[21]נתוני צריכה רשויות מקומיות'!$D$6:$S$74,10,0)/1000-VLOOKUP(E76,'[21]התפלגות מים 2012'!$D$200:$Q$263,5,0)/1000))</f>
        <v>#N/A</v>
      </c>
    </row>
    <row r="77" spans="1:14" ht="19.5" customHeight="1" x14ac:dyDescent="0.2">
      <c r="A77" s="876"/>
      <c r="B77" s="877"/>
      <c r="C77" s="1833"/>
      <c r="D77" s="873"/>
      <c r="E77" s="879" t="s">
        <v>1578</v>
      </c>
      <c r="F77" s="859"/>
      <c r="G77" s="860">
        <f>+IFERROR(HLOOKUP(C77,'נתוני תאגידים'!$1:$715,713,0),IFERROR(VLOOKUP(E77,'נתוני מים 2014'!$C$2:$N$184,5,0)/1000-VLOOKUP(E77,'נתוני מים 2014'!$C$2:$N$180,9,0)/1000,0))</f>
        <v>705.40899999999999</v>
      </c>
      <c r="H77" s="894"/>
      <c r="I77" s="859"/>
      <c r="J77" s="861"/>
      <c r="K77" s="861"/>
      <c r="L77" s="861"/>
      <c r="M77" s="863" t="e">
        <f>+IFERROR(VLOOKUP(D77,'[21]נתוני צריכה 12 עדכני'!$D$6:$S$200,7,0)/1000-VLOOKUP(D77,'[21]נתוני צריכה 12 עדכני'!$D$6:$S$201,11,0)/1000-VLOOKUP(D77,'[21]התפלגות מים 2012'!$D$6:$W$199,5,0)/1000,(VLOOKUP(E77,'[21]נתוני צריכה רשויות מקומיות'!$D$6:$S$74,6,0)/1000-VLOOKUP(E77,'[21]נתוני צריכה רשויות מקומיות'!$D$6:$S$74,10,0)/1000-VLOOKUP(E77,'[21]התפלגות מים 2012'!$D$200:$Q$263,5,0)/1000))</f>
        <v>#N/A</v>
      </c>
    </row>
    <row r="78" spans="1:14" ht="19.5" customHeight="1" x14ac:dyDescent="0.2">
      <c r="A78" s="876"/>
      <c r="B78" s="877"/>
      <c r="C78" s="1833"/>
      <c r="D78" s="873"/>
      <c r="E78" s="879" t="s">
        <v>120</v>
      </c>
      <c r="F78" s="859"/>
      <c r="G78" s="860">
        <f>+IFERROR(HLOOKUP(C78,'נתוני תאגידים'!$1:$715,713,0),IFERROR(VLOOKUP(E78,'נתוני מים 2014'!$C$2:$N$184,5,0)/1000-VLOOKUP(E78,'נתוני מים 2014'!$C$2:$N$180,9,0)/1000,0))</f>
        <v>2307.17</v>
      </c>
      <c r="H78" s="894"/>
      <c r="I78" s="859"/>
      <c r="J78" s="861"/>
      <c r="K78" s="861"/>
      <c r="L78" s="861"/>
      <c r="M78" s="863">
        <f>+IFERROR(VLOOKUP(D78,'[21]נתוני צריכה 12 עדכני'!$D$6:$S$200,7,0)/1000-VLOOKUP(D78,'[21]נתוני צריכה 12 עדכני'!$D$6:$S$201,11,0)/1000-VLOOKUP(D78,'[21]התפלגות מים 2012'!$D$6:$W$199,5,0)/1000,(VLOOKUP(E78,'[21]נתוני צריכה רשויות מקומיות'!$D$6:$S$74,6,0)/1000-VLOOKUP(E78,'[21]נתוני צריכה רשויות מקומיות'!$D$6:$S$74,10,0)/1000-VLOOKUP(E78,'[21]התפלגות מים 2012'!$D$200:$Q$263,5,0)/1000))</f>
        <v>1853.366</v>
      </c>
    </row>
    <row r="79" spans="1:14" ht="19.5" customHeight="1" x14ac:dyDescent="0.2">
      <c r="A79" s="876"/>
      <c r="B79" s="877"/>
      <c r="C79" s="1833"/>
      <c r="D79" s="873"/>
      <c r="E79" s="879" t="s">
        <v>338</v>
      </c>
      <c r="F79" s="859"/>
      <c r="G79" s="860">
        <f>+IFERROR(HLOOKUP(C79,'נתוני תאגידים'!$1:$715,713,0),IFERROR(VLOOKUP(E79,'נתוני מים 2014'!$C$2:$N$184,5,0)/1000-VLOOKUP(E79,'נתוני מים 2014'!$C$2:$N$180,9,0)/1000,0))</f>
        <v>3198.1790000000001</v>
      </c>
      <c r="H79" s="894"/>
      <c r="I79" s="859"/>
      <c r="J79" s="861"/>
      <c r="K79" s="861"/>
      <c r="L79" s="861"/>
      <c r="M79" s="863">
        <f>+IFERROR(VLOOKUP(D79,'[21]נתוני צריכה 12 עדכני'!$D$6:$S$200,7,0)/1000-VLOOKUP(D79,'[21]נתוני צריכה 12 עדכני'!$D$6:$S$201,11,0)/1000-VLOOKUP(D79,'[21]התפלגות מים 2012'!$D$6:$W$199,5,0)/1000,(VLOOKUP(E79,'[21]נתוני צריכה רשויות מקומיות'!$D$6:$S$74,6,0)/1000-VLOOKUP(E79,'[21]נתוני צריכה רשויות מקומיות'!$D$6:$S$74,10,0)/1000-VLOOKUP(E79,'[21]התפלגות מים 2012'!$D$200:$Q$263,5,0)/1000))</f>
        <v>3027.2570000000001</v>
      </c>
    </row>
    <row r="80" spans="1:14" ht="19.5" customHeight="1" x14ac:dyDescent="0.2">
      <c r="A80" s="876"/>
      <c r="B80" s="877"/>
      <c r="C80" s="1833"/>
      <c r="D80" s="873"/>
      <c r="E80" s="879" t="s">
        <v>623</v>
      </c>
      <c r="F80" s="859"/>
      <c r="G80" s="860">
        <f>+IFERROR(HLOOKUP(C80,'נתוני תאגידים'!$1:$715,713,0),IFERROR(VLOOKUP(E80,'נתוני מים 2014'!$C$2:$N$184,5,0)/1000-VLOOKUP(E80,'נתוני מים 2014'!$C$2:$N$180,9,0)/1000,0))</f>
        <v>347.31</v>
      </c>
      <c r="H80" s="894"/>
      <c r="I80" s="859"/>
      <c r="J80" s="861"/>
      <c r="K80" s="861"/>
      <c r="L80" s="861"/>
      <c r="M80" s="863">
        <f>+IFERROR(VLOOKUP(D80,'[21]נתוני צריכה 12 עדכני'!$D$6:$S$200,7,0)/1000-VLOOKUP(D80,'[21]נתוני צריכה 12 עדכני'!$D$6:$S$201,11,0)/1000-VLOOKUP(D80,'[21]התפלגות מים 2012'!$D$6:$W$199,5,0)/1000,(VLOOKUP(E80,'[21]נתוני צריכה רשויות מקומיות'!$D$6:$S$74,6,0)/1000-VLOOKUP(E80,'[21]נתוני צריכה רשויות מקומיות'!$D$6:$S$74,10,0)/1000-VLOOKUP(E80,'[21]התפלגות מים 2012'!$D$200:$Q$263,5,0)/1000))</f>
        <v>328.43</v>
      </c>
    </row>
    <row r="81" spans="1:14" s="900" customFormat="1" ht="27.75" customHeight="1" x14ac:dyDescent="0.2">
      <c r="A81" s="880"/>
      <c r="B81" s="881"/>
      <c r="C81" s="1834"/>
      <c r="D81" s="873" t="s">
        <v>1254</v>
      </c>
      <c r="E81" s="879" t="s">
        <v>1255</v>
      </c>
      <c r="F81" s="896">
        <v>8</v>
      </c>
      <c r="G81" s="860">
        <f>+IFERROR(HLOOKUP(C81,'נתוני תאגידים'!$1:$715,713,0),IFERROR(VLOOKUP(E81,'נתוני מים 2014'!$C$2:$N$184,5,0)/1000-VLOOKUP(E81,'נתוני מים 2014'!$C$2:$N$180,9,0)/1000,0))</f>
        <v>0</v>
      </c>
      <c r="H81" s="894" t="s">
        <v>1256</v>
      </c>
      <c r="I81" s="897">
        <f>16+12+12+11+19+32+3+4</f>
        <v>109</v>
      </c>
      <c r="J81" s="898">
        <v>5.07</v>
      </c>
      <c r="K81" s="861">
        <f t="shared" si="0"/>
        <v>552.63</v>
      </c>
      <c r="L81" s="861"/>
      <c r="M81" s="895">
        <v>0</v>
      </c>
      <c r="N81" s="899"/>
    </row>
    <row r="82" spans="1:14" s="871" customFormat="1" x14ac:dyDescent="0.2">
      <c r="A82" s="864"/>
      <c r="B82" s="865" t="s">
        <v>1097</v>
      </c>
      <c r="C82" s="889"/>
      <c r="D82" s="873" t="e">
        <f>+VLOOKUP(C82,'[22]תכולת תאגידים מרחביים 1'!$C$9:$D$111,2,0)</f>
        <v>#N/A</v>
      </c>
      <c r="E82" s="866"/>
      <c r="F82" s="867">
        <f>SUM(F70:F81)</f>
        <v>22</v>
      </c>
      <c r="G82" s="868">
        <f>SUM(G70:G81)</f>
        <v>49599.804999999993</v>
      </c>
      <c r="H82" s="867"/>
      <c r="I82" s="867">
        <f>SUM(I70:I81)</f>
        <v>583</v>
      </c>
      <c r="J82" s="867">
        <f>SUM(J70:J81)</f>
        <v>27.17</v>
      </c>
      <c r="K82" s="867">
        <f>SUM(K70:K81)</f>
        <v>3043.88</v>
      </c>
      <c r="L82" s="869">
        <f>K82/I82</f>
        <v>5.2210634648370498</v>
      </c>
      <c r="M82" s="869" t="e">
        <f>SUM(M70:M81)</f>
        <v>#N/A</v>
      </c>
      <c r="N82" s="870"/>
    </row>
    <row r="83" spans="1:14" ht="30" x14ac:dyDescent="0.2">
      <c r="A83" s="872">
        <v>12</v>
      </c>
      <c r="B83" s="834"/>
      <c r="C83" s="858" t="s">
        <v>256</v>
      </c>
      <c r="D83" s="873" t="str">
        <f>+VLOOKUP(C83,'[22]תכולת תאגידים מרחביים 1'!$C$9:$D$111,2,0)</f>
        <v>מי כרמל בע"מ</v>
      </c>
      <c r="E83" s="858" t="s">
        <v>1257</v>
      </c>
      <c r="F83" s="859">
        <v>1</v>
      </c>
      <c r="G83" s="860">
        <f>+IFERROR(HLOOKUP(C83,'נתוני תאגידים'!$1:$715,713,0),IFERROR(VLOOKUP(E83,'נתוני מים 2014'!$C$2:$N$184,5,0)/1000-VLOOKUP(E83,'נתוני מים 2014'!$C$2:$N$180,9,0)/1000,0))</f>
        <v>23115.748</v>
      </c>
      <c r="H83" s="878" t="s">
        <v>1258</v>
      </c>
      <c r="I83" s="859">
        <v>268</v>
      </c>
      <c r="J83" s="861">
        <v>7</v>
      </c>
      <c r="K83" s="861">
        <f t="shared" si="0"/>
        <v>1876</v>
      </c>
      <c r="L83" s="861">
        <f>(J83*I83+J85*I85+J86*I86+J87*I87+J88*I88+J89*I89+J90*I90+J91*I91)/I92</f>
        <v>6.3</v>
      </c>
      <c r="M83" s="863">
        <f>+IFERROR(VLOOKUP(D83,'[21]נתוני צריכה 12 עדכני'!$D$6:$S$200,7,0)/1000-VLOOKUP(D83,'[21]נתוני צריכה 12 עדכני'!$D$6:$S$201,11,0)/1000-VLOOKUP(D83,'[21]התפלגות מים 2012'!$D$6:$W$199,5,0)/1000,(VLOOKUP(E83,'[21]נתוני צריכה רשויות מקומיות'!$D$6:$S$74,6,0)/1000-VLOOKUP(E83,'[21]נתוני צריכה רשויות מקומיות'!$D$6:$S$74,10,0)/1000-VLOOKUP(E83,'[21]התפלגות מים 2012'!$D$200:$Q$263,5,0)/1000))</f>
        <v>22834.205999999998</v>
      </c>
    </row>
    <row r="84" spans="1:14" x14ac:dyDescent="0.2">
      <c r="A84" s="876"/>
      <c r="B84" s="892"/>
      <c r="C84" s="1835" t="s">
        <v>1209</v>
      </c>
      <c r="D84" s="873"/>
      <c r="E84" s="1240" t="s">
        <v>1576</v>
      </c>
      <c r="F84" s="859"/>
      <c r="G84" s="860">
        <f>+IFERROR(HLOOKUP(C84,'נתוני תאגידים'!$1:$715,713,0),IFERROR(VLOOKUP(E84,'נתוני מים 2014'!$C$2:$N$184,5,0)/1000-VLOOKUP(E84,'נתוני מים 2014'!$C$2:$N$180,9,0)/1000,0))</f>
        <v>1847.7080000000001</v>
      </c>
      <c r="H84" s="878"/>
      <c r="I84" s="859"/>
      <c r="J84" s="861"/>
      <c r="K84" s="861"/>
      <c r="L84" s="861"/>
      <c r="M84" s="863" t="e">
        <f>+IFERROR(VLOOKUP(D84,'[21]נתוני צריכה 12 עדכני'!$D$6:$S$200,7,0)/1000-VLOOKUP(D84,'[21]נתוני צריכה 12 עדכני'!$D$6:$S$201,11,0)/1000-VLOOKUP(D84,'[21]התפלגות מים 2012'!$D$6:$W$199,5,0)/1000,(VLOOKUP(E84,'[21]נתוני צריכה רשויות מקומיות'!$D$6:$S$74,6,0)/1000-VLOOKUP(E84,'[21]נתוני צריכה רשויות מקומיות'!$D$6:$S$74,10,0)/1000-VLOOKUP(E84,'[21]התפלגות מים 2012'!$D$200:$Q$263,5,0)/1000))</f>
        <v>#N/A</v>
      </c>
    </row>
    <row r="85" spans="1:14" x14ac:dyDescent="0.2">
      <c r="A85" s="876"/>
      <c r="B85" s="892"/>
      <c r="C85" s="1836"/>
      <c r="D85" s="873"/>
      <c r="E85" s="1240" t="s">
        <v>232</v>
      </c>
      <c r="F85" s="883">
        <v>2</v>
      </c>
      <c r="G85" s="860">
        <f>+IFERROR(HLOOKUP(C85,'נתוני תאגידים'!$1:$715,713,0),IFERROR(VLOOKUP(E85,'נתוני מים 2014'!$C$2:$N$184,5,0)/1000-VLOOKUP(E85,'נתוני מים 2014'!$C$2:$N$180,9,0)/1000,0))</f>
        <v>1706.807</v>
      </c>
      <c r="H85" s="878" t="s">
        <v>63</v>
      </c>
      <c r="I85" s="859">
        <f>18+22</f>
        <v>40</v>
      </c>
      <c r="J85" s="861">
        <v>6.13</v>
      </c>
      <c r="K85" s="861">
        <f t="shared" si="0"/>
        <v>245.2</v>
      </c>
      <c r="L85" s="861"/>
      <c r="M85" s="863" t="e">
        <f>+IFERROR(VLOOKUP(D85,'[21]נתוני צריכה 12 עדכני'!$D$6:$S$200,7,0)/1000-VLOOKUP(D85,'[21]נתוני צריכה 12 עדכני'!$D$6:$S$201,11,0)/1000-VLOOKUP(D85,'[21]התפלגות מים 2012'!$D$6:$W$199,5,0)/1000,(VLOOKUP(E85,'[21]נתוני צריכה רשויות מקומיות'!$D$6:$S$74,6,0)/1000-VLOOKUP(E85,'[21]נתוני צריכה רשויות מקומיות'!$D$6:$S$74,10,0)/1000-VLOOKUP(E85,'[21]התפלגות מים 2012'!$D$200:$Q$263,5,0)/1000))</f>
        <v>#N/A</v>
      </c>
    </row>
    <row r="86" spans="1:14" ht="45" x14ac:dyDescent="0.2">
      <c r="A86" s="876"/>
      <c r="B86" s="892"/>
      <c r="C86" s="858" t="s">
        <v>658</v>
      </c>
      <c r="D86" s="873" t="str">
        <f>+VLOOKUP(C86,'[22]תכולת תאגידים מרחביים 1'!$C$9:$D$111,2,0)</f>
        <v>מי קריית אתא בע"מ</v>
      </c>
      <c r="E86" s="858" t="s">
        <v>1259</v>
      </c>
      <c r="F86" s="859">
        <v>1</v>
      </c>
      <c r="G86" s="860">
        <f>+IFERROR(HLOOKUP(C86,'נתוני תאגידים'!$1:$715,713,0),IFERROR(VLOOKUP(E86,'נתוני מים 2014'!$C$2:$N$184,5,0)/1000-VLOOKUP(E86,'נתוני מים 2014'!$C$2:$N$180,9,0)/1000,0))</f>
        <v>3917.029</v>
      </c>
      <c r="H86" s="878" t="s">
        <v>1258</v>
      </c>
      <c r="I86" s="859">
        <v>52</v>
      </c>
      <c r="J86" s="861">
        <v>6</v>
      </c>
      <c r="K86" s="861">
        <f t="shared" si="0"/>
        <v>312</v>
      </c>
      <c r="L86" s="861"/>
      <c r="M86" s="863">
        <f>+IFERROR(VLOOKUP(D86,'[21]נתוני צריכה 12 עדכני'!$D$6:$S$200,7,0)/1000-VLOOKUP(D86,'[21]נתוני צריכה 12 עדכני'!$D$6:$S$201,11,0)/1000-VLOOKUP(D86,'[21]התפלגות מים 2012'!$D$6:$W$199,5,0)/1000,(VLOOKUP(E86,'[21]נתוני צריכה רשויות מקומיות'!$D$6:$S$74,6,0)/1000-VLOOKUP(E86,'[21]נתוני צריכה רשויות מקומיות'!$D$6:$S$74,10,0)/1000-VLOOKUP(E86,'[21]התפלגות מים 2012'!$D$200:$Q$263,5,0)/1000))</f>
        <v>3356.837</v>
      </c>
    </row>
    <row r="87" spans="1:14" ht="45" x14ac:dyDescent="0.2">
      <c r="A87" s="876"/>
      <c r="B87" s="892"/>
      <c r="C87" s="858" t="s">
        <v>263</v>
      </c>
      <c r="D87" s="873" t="str">
        <f>+VLOOKUP(C87,'[22]תכולת תאגידים מרחביים 1'!$C$9:$D$111,2,0)</f>
        <v>פלגי מוצקין בע"מ</v>
      </c>
      <c r="E87" s="858" t="s">
        <v>1260</v>
      </c>
      <c r="F87" s="859">
        <v>1</v>
      </c>
      <c r="G87" s="860">
        <f>+IFERROR(HLOOKUP(C87,'נתוני תאגידים'!$1:$715,713,0),IFERROR(VLOOKUP(E87,'נתוני מים 2014'!$C$2:$N$184,5,0)/1000-VLOOKUP(E87,'נתוני מים 2014'!$C$2:$N$180,9,0)/1000,0))</f>
        <v>3276.6880000000001</v>
      </c>
      <c r="H87" s="878" t="s">
        <v>1258</v>
      </c>
      <c r="I87" s="859">
        <v>39</v>
      </c>
      <c r="J87" s="861">
        <v>7</v>
      </c>
      <c r="K87" s="861">
        <f t="shared" si="0"/>
        <v>273</v>
      </c>
      <c r="L87" s="861"/>
      <c r="M87" s="863">
        <f>+IFERROR(VLOOKUP(D87,'[21]נתוני צריכה 12 עדכני'!$D$6:$S$200,7,0)/1000-VLOOKUP(D87,'[21]נתוני צריכה 12 עדכני'!$D$6:$S$201,11,0)/1000-VLOOKUP(D87,'[21]התפלגות מים 2012'!$D$6:$W$199,5,0)/1000,(VLOOKUP(E87,'[21]נתוני צריכה רשויות מקומיות'!$D$6:$S$74,6,0)/1000-VLOOKUP(E87,'[21]נתוני צריכה רשויות מקומיות'!$D$6:$S$74,10,0)/1000-VLOOKUP(E87,'[21]התפלגות מים 2012'!$D$200:$Q$263,5,0)/1000))</f>
        <v>2931.3150000000001</v>
      </c>
    </row>
    <row r="88" spans="1:14" x14ac:dyDescent="0.2">
      <c r="A88" s="876"/>
      <c r="B88" s="892"/>
      <c r="C88" s="858" t="s">
        <v>265</v>
      </c>
      <c r="D88" s="873" t="str">
        <f>+VLOOKUP(C88,'[22]תכולת תאגידים מרחביים 1'!$C$9:$D$111,2,0)</f>
        <v>ימים</v>
      </c>
      <c r="E88" s="858" t="s">
        <v>1261</v>
      </c>
      <c r="F88" s="859">
        <v>1</v>
      </c>
      <c r="G88" s="860">
        <f>+IFERROR(HLOOKUP(C88,'נתוני תאגידים'!$1:$715,713,0),IFERROR(VLOOKUP(E88,'נתוני מים 2014'!$C$2:$N$184,5,0)/1000-VLOOKUP(E88,'נתוני מים 2014'!$C$2:$N$180,9,0)/1000,0))</f>
        <v>2910.1680000000001</v>
      </c>
      <c r="H88" s="878" t="s">
        <v>1258</v>
      </c>
      <c r="I88" s="859">
        <v>38</v>
      </c>
      <c r="J88" s="861">
        <v>5</v>
      </c>
      <c r="K88" s="861">
        <f t="shared" si="0"/>
        <v>190</v>
      </c>
      <c r="L88" s="861"/>
      <c r="M88" s="863">
        <f>+IFERROR(VLOOKUP(D88,'[21]נתוני צריכה 12 עדכני'!$D$6:$S$200,7,0)/1000-VLOOKUP(D88,'[21]נתוני צריכה 12 עדכני'!$D$6:$S$201,11,0)/1000-VLOOKUP(D88,'[21]התפלגות מים 2012'!$D$6:$W$199,5,0)/1000,(VLOOKUP(E88,'[21]נתוני צריכה רשויות מקומיות'!$D$6:$S$74,6,0)/1000-VLOOKUP(E88,'[21]נתוני צריכה רשויות מקומיות'!$D$6:$S$74,10,0)/1000-VLOOKUP(E88,'[21]התפלגות מים 2012'!$D$200:$Q$263,5,0)/1000))</f>
        <v>2443.7440000000001</v>
      </c>
    </row>
    <row r="89" spans="1:14" ht="30" x14ac:dyDescent="0.2">
      <c r="A89" s="876"/>
      <c r="B89" s="892"/>
      <c r="C89" s="858" t="s">
        <v>275</v>
      </c>
      <c r="D89" s="873" t="s">
        <v>275</v>
      </c>
      <c r="E89" s="885" t="str">
        <f>+D89</f>
        <v>מי קריית ביאליק</v>
      </c>
      <c r="F89" s="883">
        <v>1</v>
      </c>
      <c r="G89" s="860">
        <f>+IFERROR(HLOOKUP(C89,'נתוני תאגידים'!$1:$715,713,0),IFERROR(VLOOKUP(E89,'נתוני מים 2014'!$C$2:$N$184,5,0)/1000-VLOOKUP(E89,'נתוני מים 2014'!$C$2:$N$180,9,0)/1000,0))</f>
        <v>2922.759</v>
      </c>
      <c r="H89" s="878" t="s">
        <v>1258</v>
      </c>
      <c r="I89" s="859">
        <v>36</v>
      </c>
      <c r="J89" s="901">
        <v>7</v>
      </c>
      <c r="K89" s="861">
        <f t="shared" ref="K89:K112" si="1">J89*I89</f>
        <v>252</v>
      </c>
      <c r="L89" s="861"/>
      <c r="M89" s="863">
        <f>+IFERROR(VLOOKUP(D89,'[21]נתוני צריכה 12 עדכני'!$D$6:$S$200,7,0)/1000-VLOOKUP(D89,'[21]נתוני צריכה 12 עדכני'!$D$6:$S$201,11,0)/1000-VLOOKUP(D89,'[21]התפלגות מים 2012'!$D$6:$W$199,5,0)/1000,(VLOOKUP(E89,'[21]נתוני צריכה רשויות מקומיות'!$D$6:$S$74,6,0)/1000-VLOOKUP(E89,'[21]נתוני צריכה רשויות מקומיות'!$D$6:$S$74,10,0)/1000-VLOOKUP(E89,'[21]התפלגות מים 2012'!$D$200:$Q$263,5,0)/1000))</f>
        <v>2707.1440000000002</v>
      </c>
    </row>
    <row r="90" spans="1:14" ht="30" x14ac:dyDescent="0.2">
      <c r="A90" s="876"/>
      <c r="B90" s="892"/>
      <c r="C90" s="858" t="s">
        <v>268</v>
      </c>
      <c r="D90" s="873" t="str">
        <f>+VLOOKUP(C90,'[22]תכולת תאגידים מרחביים 1'!$C$9:$D$111,2,0)</f>
        <v>מי עכו בע"מ</v>
      </c>
      <c r="E90" s="858" t="s">
        <v>1262</v>
      </c>
      <c r="F90" s="859">
        <v>1</v>
      </c>
      <c r="G90" s="860">
        <f>+IFERROR(HLOOKUP(C90,'נתוני תאגידים'!$1:$715,713,0),IFERROR(VLOOKUP(E90,'נתוני מים 2014'!$C$2:$N$184,5,0)/1000-VLOOKUP(E90,'נתוני מים 2014'!$C$2:$N$180,9,0)/1000,0))</f>
        <v>3423.1089999999999</v>
      </c>
      <c r="H90" s="878" t="s">
        <v>123</v>
      </c>
      <c r="I90" s="859">
        <v>47</v>
      </c>
      <c r="J90" s="861">
        <v>4</v>
      </c>
      <c r="K90" s="861">
        <f t="shared" si="1"/>
        <v>188</v>
      </c>
      <c r="L90" s="861"/>
      <c r="M90" s="863">
        <f>+IFERROR(VLOOKUP(D90,'[21]נתוני צריכה 12 עדכני'!$D$6:$S$200,7,0)/1000-VLOOKUP(D90,'[21]נתוני צריכה 12 עדכני'!$D$6:$S$201,11,0)/1000-VLOOKUP(D90,'[21]התפלגות מים 2012'!$D$6:$W$199,5,0)/1000,(VLOOKUP(E90,'[21]נתוני צריכה רשויות מקומיות'!$D$6:$S$74,6,0)/1000-VLOOKUP(E90,'[21]נתוני צריכה רשויות מקומיות'!$D$6:$S$74,10,0)/1000-VLOOKUP(E90,'[21]התפלגות מים 2012'!$D$200:$Q$263,5,0)/1000))</f>
        <v>3230.1969999999997</v>
      </c>
    </row>
    <row r="91" spans="1:14" x14ac:dyDescent="0.2">
      <c r="A91" s="880"/>
      <c r="B91" s="886"/>
      <c r="C91" s="885" t="s">
        <v>1263</v>
      </c>
      <c r="D91" s="873"/>
      <c r="E91" s="885" t="s">
        <v>1264</v>
      </c>
      <c r="F91" s="883">
        <v>1</v>
      </c>
      <c r="G91" s="860">
        <f>+IFERROR(HLOOKUP(C91,'נתוני תאגידים'!$1:$715,713,0),IFERROR(VLOOKUP(E91,'נתוני מים 2014'!$C$2:$N$184,5,0)/1000-VLOOKUP(E91,'נתוני מים 2014'!$C$2:$N$180,9,0)/1000,0))</f>
        <v>0</v>
      </c>
      <c r="H91" s="878" t="s">
        <v>63</v>
      </c>
      <c r="I91" s="859">
        <f>9+5</f>
        <v>14</v>
      </c>
      <c r="J91" s="861">
        <v>2</v>
      </c>
      <c r="K91" s="861">
        <f t="shared" si="1"/>
        <v>28</v>
      </c>
      <c r="L91" s="861"/>
      <c r="M91" s="895">
        <v>200</v>
      </c>
    </row>
    <row r="92" spans="1:14" s="871" customFormat="1" x14ac:dyDescent="0.2">
      <c r="A92" s="864"/>
      <c r="B92" s="865" t="s">
        <v>1107</v>
      </c>
      <c r="C92" s="889"/>
      <c r="D92" s="873" t="e">
        <f>+VLOOKUP(C92,'[22]תכולת תאגידים מרחביים 1'!$C$9:$D$111,2,0)</f>
        <v>#N/A</v>
      </c>
      <c r="E92" s="866"/>
      <c r="F92" s="867">
        <f>SUM(F83:F91)</f>
        <v>9</v>
      </c>
      <c r="G92" s="868">
        <f>SUM(G83:G91)</f>
        <v>43120.015999999989</v>
      </c>
      <c r="H92" s="867"/>
      <c r="I92" s="867">
        <f>SUM(I83:I91)</f>
        <v>534</v>
      </c>
      <c r="J92" s="867">
        <f>SUM(J83:J91)</f>
        <v>44.129999999999995</v>
      </c>
      <c r="K92" s="867">
        <f>SUM(K83:K91)</f>
        <v>3364.2</v>
      </c>
      <c r="L92" s="869">
        <f>K92/I92</f>
        <v>6.3</v>
      </c>
      <c r="M92" s="869" t="e">
        <f>SUM(M83:M91)</f>
        <v>#N/A</v>
      </c>
      <c r="N92" s="870"/>
    </row>
    <row r="93" spans="1:14" ht="45" x14ac:dyDescent="0.2">
      <c r="A93" s="872">
        <v>13</v>
      </c>
      <c r="B93" s="834"/>
      <c r="C93" s="858" t="s">
        <v>270</v>
      </c>
      <c r="D93" s="873" t="str">
        <f>+VLOOKUP(C93,'[22]תכולת תאגידים מרחביים 1'!$C$9:$D$111,2,0)</f>
        <v>מעיינות העמקים בע"מ</v>
      </c>
      <c r="E93" s="858" t="s">
        <v>1265</v>
      </c>
      <c r="F93" s="859">
        <v>3</v>
      </c>
      <c r="G93" s="860">
        <f>+IFERROR(HLOOKUP(C93,'נתוני תאגידים'!$1:$715,713,0),IFERROR(VLOOKUP(E93,'נתוני מים 2014'!$C$2:$N$184,5,0)/1000-VLOOKUP(E93,'נתוני מים 2014'!$C$2:$N$180,9,0)/1000,0))</f>
        <v>5883.2190000000001</v>
      </c>
      <c r="H93" s="894" t="s">
        <v>1266</v>
      </c>
      <c r="I93" s="859">
        <v>43</v>
      </c>
      <c r="J93" s="861">
        <v>7.87</v>
      </c>
      <c r="K93" s="861">
        <f t="shared" si="1"/>
        <v>338.41</v>
      </c>
      <c r="L93" s="861">
        <f>(J93*I93+J94*I94+J95*I95+J96*I96+J97*I97+J98*I98)/I99</f>
        <v>3.9472895277207392</v>
      </c>
      <c r="M93" s="863">
        <f>+IFERROR(VLOOKUP(D93,'[21]נתוני צריכה 12 עדכני'!$D$6:$S$200,7,0)/1000-VLOOKUP(D93,'[21]נתוני צריכה 12 עדכני'!$D$6:$S$201,11,0)/1000-VLOOKUP(D93,'[21]התפלגות מים 2012'!$D$6:$W$199,5,0)/1000,(VLOOKUP(E93,'[21]נתוני צריכה רשויות מקומיות'!$D$6:$S$74,6,0)/1000-VLOOKUP(E93,'[21]נתוני צריכה רשויות מקומיות'!$D$6:$S$74,10,0)/1000-VLOOKUP(E93,'[21]התפלגות מים 2012'!$D$200:$Q$263,5,0)/1000))</f>
        <v>3197.1949999999997</v>
      </c>
    </row>
    <row r="94" spans="1:14" ht="47.25" x14ac:dyDescent="0.2">
      <c r="A94" s="876"/>
      <c r="B94" s="877"/>
      <c r="C94" s="858" t="s">
        <v>261</v>
      </c>
      <c r="D94" s="873" t="str">
        <f>+VLOOKUP(C94,'[22]תכולת תאגידים מרחביים 1'!$C$9:$D$111,2,0)</f>
        <v>סובב שפרעם בע"מ</v>
      </c>
      <c r="E94" s="874" t="s">
        <v>1267</v>
      </c>
      <c r="F94" s="859">
        <v>10</v>
      </c>
      <c r="G94" s="860">
        <f>+IFERROR(HLOOKUP(C94,'נתוני תאגידים'!$1:$715,713,0),IFERROR(VLOOKUP(E94,'נתוני מים 2014'!$C$2:$N$184,5,0)/1000-VLOOKUP(E94,'נתוני מים 2014'!$C$2:$N$180,9,0)/1000,0))</f>
        <v>10326.152000000002</v>
      </c>
      <c r="H94" s="894" t="s">
        <v>1268</v>
      </c>
      <c r="I94" s="859">
        <v>137</v>
      </c>
      <c r="J94" s="861">
        <v>2.73</v>
      </c>
      <c r="K94" s="861">
        <f t="shared" si="1"/>
        <v>374.01</v>
      </c>
      <c r="L94" s="861"/>
      <c r="M94" s="863">
        <f>+IFERROR(VLOOKUP(D94,'[21]נתוני צריכה 12 עדכני'!$D$6:$S$200,7,0)/1000-VLOOKUP(D94,'[21]נתוני צריכה 12 עדכני'!$D$6:$S$201,11,0)/1000-VLOOKUP(D94,'[21]התפלגות מים 2012'!$D$6:$W$199,5,0)/1000,(VLOOKUP(E94,'[21]נתוני צריכה רשויות מקומיות'!$D$6:$S$74,6,0)/1000-VLOOKUP(E94,'[21]נתוני צריכה רשויות מקומיות'!$D$6:$S$74,10,0)/1000-VLOOKUP(E94,'[21]התפלגות מים 2012'!$D$200:$Q$263,5,0)/1000))</f>
        <v>9537.3340000000007</v>
      </c>
    </row>
    <row r="95" spans="1:14" x14ac:dyDescent="0.2">
      <c r="A95" s="876"/>
      <c r="B95" s="877"/>
      <c r="C95" s="858" t="s">
        <v>439</v>
      </c>
      <c r="D95" s="873" t="e">
        <f>+VLOOKUP(C95,'[22]תכולת תאגידים מרחביים 1'!$C$9:$D$111,2,0)</f>
        <v>#N/A</v>
      </c>
      <c r="E95" s="858" t="s">
        <v>1269</v>
      </c>
      <c r="F95" s="859">
        <v>5</v>
      </c>
      <c r="G95" s="860">
        <f>+IFERROR(HLOOKUP(C95,'נתוני תאגידים'!$1:$715,713,0),IFERROR(VLOOKUP(E95,'נתוני מים 2014'!$C$2:$N$184,5,0)/1000-VLOOKUP(E95,'נתוני מים 2014'!$C$2:$N$180,9,0)/1000,0))</f>
        <v>9340.4369999999999</v>
      </c>
      <c r="H95" s="894" t="s">
        <v>1270</v>
      </c>
      <c r="I95" s="859">
        <v>127</v>
      </c>
      <c r="J95" s="861">
        <v>3.52</v>
      </c>
      <c r="K95" s="861">
        <f t="shared" si="1"/>
        <v>447.04</v>
      </c>
      <c r="L95" s="861"/>
      <c r="M95" s="863" t="e">
        <f>+IFERROR(VLOOKUP(D95,'[21]נתוני צריכה 12 עדכני'!$D$6:$S$200,7,0)/1000-VLOOKUP(D95,'[21]נתוני צריכה 12 עדכני'!$D$6:$S$201,11,0)/1000-VLOOKUP(D95,'[21]התפלגות מים 2012'!$D$6:$W$199,5,0)/1000,(VLOOKUP(E95,'[21]נתוני צריכה רשויות מקומיות'!$D$6:$S$74,6,0)/1000-VLOOKUP(E95,'[21]נתוני צריכה רשויות מקומיות'!$D$6:$S$74,10,0)/1000-VLOOKUP(E95,'[21]התפלגות מים 2012'!$D$200:$Q$263,5,0)/1000))</f>
        <v>#N/A</v>
      </c>
    </row>
    <row r="96" spans="1:14" ht="46.5" customHeight="1" x14ac:dyDescent="0.2">
      <c r="A96" s="876"/>
      <c r="B96" s="877"/>
      <c r="C96" s="858" t="s">
        <v>444</v>
      </c>
      <c r="D96" s="873" t="e">
        <f>+VLOOKUP(C96,'[22]תכולת תאגידים מרחביים 1'!$C$9:$D$111,2,0)</f>
        <v>#N/A</v>
      </c>
      <c r="E96" s="874" t="s">
        <v>1272</v>
      </c>
      <c r="F96" s="859">
        <v>7</v>
      </c>
      <c r="G96" s="860">
        <f>+IFERROR(HLOOKUP(C96,'נתוני תאגידים'!$1:$715,713,0),IFERROR(VLOOKUP(E96,'נתוני מים 2014'!$C$2:$N$184,5,0)/1000-VLOOKUP(E96,'נתוני מים 2014'!$C$2:$N$180,9,0)/1000,0))</f>
        <v>4334.6769999999997</v>
      </c>
      <c r="H96" s="894" t="s">
        <v>1273</v>
      </c>
      <c r="I96" s="859">
        <v>72</v>
      </c>
      <c r="J96" s="861">
        <v>2.36</v>
      </c>
      <c r="K96" s="861">
        <f t="shared" si="1"/>
        <v>169.92</v>
      </c>
      <c r="L96" s="861"/>
      <c r="M96" s="863" t="e">
        <f>+IFERROR(VLOOKUP(D96,'[21]נתוני צריכה 12 עדכני'!$D$6:$S$200,7,0)/1000-VLOOKUP(D96,'[21]נתוני צריכה 12 עדכני'!$D$6:$S$201,11,0)/1000-VLOOKUP(D96,'[21]התפלגות מים 2012'!$D$6:$W$199,5,0)/1000,(VLOOKUP(E96,'[21]נתוני צריכה רשויות מקומיות'!$D$6:$S$74,6,0)/1000-VLOOKUP(E96,'[21]נתוני צריכה רשויות מקומיות'!$D$6:$S$74,10,0)/1000-VLOOKUP(E96,'[21]התפלגות מים 2012'!$D$200:$Q$263,5,0)/1000))</f>
        <v>#N/A</v>
      </c>
    </row>
    <row r="97" spans="1:14" ht="37.5" customHeight="1" x14ac:dyDescent="0.2">
      <c r="A97" s="876"/>
      <c r="B97" s="877"/>
      <c r="C97" s="858" t="s">
        <v>447</v>
      </c>
      <c r="D97" s="873" t="s">
        <v>447</v>
      </c>
      <c r="E97" s="858" t="s">
        <v>1274</v>
      </c>
      <c r="F97" s="859">
        <v>3</v>
      </c>
      <c r="G97" s="860">
        <f>+IFERROR(HLOOKUP(C97,'נתוני תאגידים'!$1:$715,713,0),IFERROR(VLOOKUP(E97,'נתוני מים 2014'!$C$2:$N$184,5,0)/1000-VLOOKUP(E97,'נתוני מים 2014'!$C$2:$N$180,9,0)/1000,0))</f>
        <v>9928.9809999999998</v>
      </c>
      <c r="H97" s="894" t="s">
        <v>1275</v>
      </c>
      <c r="I97" s="859">
        <f>65+40</f>
        <v>105</v>
      </c>
      <c r="J97" s="861">
        <v>5.39</v>
      </c>
      <c r="K97" s="861">
        <f t="shared" si="1"/>
        <v>565.94999999999993</v>
      </c>
      <c r="L97" s="861"/>
      <c r="M97" s="863">
        <f>+IFERROR(VLOOKUP(D97,'[21]נתוני צריכה 12 עדכני'!$D$6:$S$200,7,0)/1000-VLOOKUP(D97,'[21]נתוני צריכה 12 עדכני'!$D$6:$S$201,11,0)/1000-VLOOKUP(D97,'[21]התפלגות מים 2012'!$D$6:$W$199,5,0)/1000,(VLOOKUP(E97,'[21]נתוני צריכה רשויות מקומיות'!$D$6:$S$74,6,0)/1000-VLOOKUP(E97,'[21]נתוני צריכה רשויות מקומיות'!$D$6:$S$74,10,0)/1000-VLOOKUP(E97,'[21]התפלגות מים 2012'!$D$200:$Q$263,5,0)/1000))</f>
        <v>9251.634</v>
      </c>
    </row>
    <row r="98" spans="1:14" ht="30" x14ac:dyDescent="0.2">
      <c r="A98" s="880"/>
      <c r="B98" s="881"/>
      <c r="C98" s="885" t="s">
        <v>1263</v>
      </c>
      <c r="D98" s="873" t="str">
        <f>+VLOOKUP(C98,'[22]תכולת תאגידים מרחביים 1'!$C$9:$D$111,2,0)</f>
        <v xml:space="preserve">טירת הכרמל </v>
      </c>
      <c r="E98" s="1240" t="s">
        <v>1576</v>
      </c>
      <c r="F98" s="883">
        <v>1</v>
      </c>
      <c r="G98" s="860">
        <f>+IFERROR(HLOOKUP(C98,'נתוני תאגידים'!$1:$715,713,0),IFERROR(VLOOKUP(E98,'נתוני מים 2014'!$C$2:$N$184,5,0)/1000-VLOOKUP(E98,'נתוני מים 2014'!$C$2:$N$180,9,0)/1000,0))</f>
        <v>1847.7080000000001</v>
      </c>
      <c r="H98" s="878" t="s">
        <v>1276</v>
      </c>
      <c r="I98" s="859">
        <v>3</v>
      </c>
      <c r="J98" s="861">
        <v>9</v>
      </c>
      <c r="K98" s="861">
        <f t="shared" si="1"/>
        <v>27</v>
      </c>
      <c r="L98" s="861"/>
      <c r="M98" s="863" t="e">
        <f>+IFERROR(VLOOKUP(D98,'[21]נתוני צריכה 12 עדכני'!$D$6:$S$200,7,0)/1000-VLOOKUP(D98,'[21]נתוני צריכה 12 עדכני'!$D$6:$S$201,11,0)/1000-VLOOKUP(D98,'[21]התפלגות מים 2012'!$D$6:$W$199,5,0)/1000,(VLOOKUP(E98,'[21]נתוני צריכה רשויות מקומיות'!$D$6:$S$74,6,0)/1000-VLOOKUP(E98,'[21]נתוני צריכה רשויות מקומיות'!$D$6:$S$74,10,0)/1000-VLOOKUP(E98,'[21]התפלגות מים 2012'!$D$200:$Q$263,5,0)/1000))</f>
        <v>#N/A</v>
      </c>
    </row>
    <row r="99" spans="1:14" s="871" customFormat="1" x14ac:dyDescent="0.2">
      <c r="A99" s="864"/>
      <c r="B99" s="865" t="s">
        <v>1102</v>
      </c>
      <c r="C99" s="889"/>
      <c r="D99" s="873" t="e">
        <f>+VLOOKUP(C99,'[22]תכולת תאגידים מרחביים 1'!$C$9:$D$111,2,0)</f>
        <v>#N/A</v>
      </c>
      <c r="E99" s="866"/>
      <c r="F99" s="867">
        <f>SUM(F93:F98)</f>
        <v>29</v>
      </c>
      <c r="G99" s="868">
        <f>SUM(G93:G98)</f>
        <v>41661.173999999999</v>
      </c>
      <c r="H99" s="867"/>
      <c r="I99" s="867">
        <f>SUM(I93:I98)</f>
        <v>487</v>
      </c>
      <c r="J99" s="867">
        <f>SUM(J93:J98)</f>
        <v>30.87</v>
      </c>
      <c r="K99" s="867">
        <f>SUM(K93:K98)</f>
        <v>1922.33</v>
      </c>
      <c r="L99" s="869">
        <f>K99/I99</f>
        <v>3.9472895277207392</v>
      </c>
      <c r="M99" s="869" t="e">
        <f>SUM(M93:M98)</f>
        <v>#N/A</v>
      </c>
      <c r="N99" s="870"/>
    </row>
    <row r="100" spans="1:14" ht="48.75" customHeight="1" x14ac:dyDescent="0.2">
      <c r="A100" s="872">
        <v>14</v>
      </c>
      <c r="B100" s="834"/>
      <c r="C100" s="858" t="s">
        <v>250</v>
      </c>
      <c r="D100" s="873" t="s">
        <v>686</v>
      </c>
      <c r="E100" s="874" t="s">
        <v>1277</v>
      </c>
      <c r="F100" s="859">
        <v>9</v>
      </c>
      <c r="G100" s="860">
        <f>+IFERROR(HLOOKUP(C100,'נתוני תאגידים'!$1:$715,713,0),IFERROR(VLOOKUP(E100,'נתוני מים 2014'!$C$2:$N$184,5,0)/1000-VLOOKUP(E100,'נתוני מים 2014'!$C$2:$N$180,9,0)/1000,0))</f>
        <v>5711.9690000000001</v>
      </c>
      <c r="H100" s="878" t="s">
        <v>1278</v>
      </c>
      <c r="I100" s="859">
        <f>70+15+11</f>
        <v>96</v>
      </c>
      <c r="J100" s="861">
        <v>3.23</v>
      </c>
      <c r="K100" s="861">
        <f t="shared" si="1"/>
        <v>310.08</v>
      </c>
      <c r="L100" s="861">
        <f>(J100*I100+J101*I101+J103*I103+J104*I104+J105*I105)/I106</f>
        <v>3.9267469879518067</v>
      </c>
      <c r="M100" s="863">
        <f>+IFERROR(VLOOKUP(D100,'[21]נתוני צריכה 12 עדכני'!$D$6:$S$200,7,0)/1000-VLOOKUP(D100,'[21]נתוני צריכה 12 עדכני'!$D$6:$S$201,11,0)/1000-VLOOKUP(D100,'[21]התפלגות מים 2012'!$D$6:$W$199,5,0)/1000,(VLOOKUP(E100,'[21]נתוני צריכה רשויות מקומיות'!$D$6:$S$74,6,0)/1000-VLOOKUP(E100,'[21]נתוני צריכה רשויות מקומיות'!$D$6:$S$74,10,0)/1000-VLOOKUP(E100,'[21]התפלגות מים 2012'!$D$200:$Q$263,5,0)/1000))</f>
        <v>5469.1230000000005</v>
      </c>
    </row>
    <row r="101" spans="1:14" ht="45" customHeight="1" x14ac:dyDescent="0.2">
      <c r="A101" s="876"/>
      <c r="B101" s="892"/>
      <c r="C101" s="858" t="s">
        <v>252</v>
      </c>
      <c r="D101" s="873" t="e">
        <f>+VLOOKUP(C101,'[22]תכולת תאגידים מרחביים 1'!$C$9:$D$111,2,0)</f>
        <v>#N/A</v>
      </c>
      <c r="E101" s="874" t="s">
        <v>1280</v>
      </c>
      <c r="F101" s="859">
        <v>7</v>
      </c>
      <c r="G101" s="860">
        <f>+IFERROR(HLOOKUP(C101,'נתוני תאגידים'!$1:$715,713,0),IFERROR(VLOOKUP(E101,'נתוני מים 2014'!$C$2:$N$184,5,0)/1000-VLOOKUP(E101,'נתוני מים 2014'!$C$2:$N$180,9,0)/1000,0))</f>
        <v>7207.7849999999999</v>
      </c>
      <c r="H101" s="878" t="s">
        <v>1281</v>
      </c>
      <c r="I101" s="859">
        <v>99</v>
      </c>
      <c r="J101" s="861">
        <v>2</v>
      </c>
      <c r="K101" s="861">
        <f t="shared" si="1"/>
        <v>198</v>
      </c>
      <c r="L101" s="861"/>
      <c r="M101" s="863" t="e">
        <f>+IFERROR(VLOOKUP(D101,'[21]נתוני צריכה 12 עדכני'!$D$6:$S$200,7,0)/1000-VLOOKUP(D101,'[21]נתוני צריכה 12 עדכני'!$D$6:$S$201,11,0)/1000-VLOOKUP(D101,'[21]התפלגות מים 2012'!$D$6:$W$199,5,0)/1000,(VLOOKUP(E101,'[21]נתוני צריכה רשויות מקומיות'!$D$6:$S$74,6,0)/1000-VLOOKUP(E101,'[21]נתוני צריכה רשויות מקומיות'!$D$6:$S$74,10,0)/1000-VLOOKUP(E101,'[21]התפלגות מים 2012'!$D$200:$Q$263,5,0)/1000))</f>
        <v>#N/A</v>
      </c>
    </row>
    <row r="102" spans="1:14" hidden="1" x14ac:dyDescent="0.2">
      <c r="A102" s="876"/>
      <c r="B102" s="892"/>
      <c r="C102" s="902"/>
      <c r="D102" s="873"/>
      <c r="E102" s="874"/>
      <c r="F102" s="859"/>
      <c r="G102" s="860">
        <f>+IFERROR(HLOOKUP(C102,'נתוני תאגידים'!$1:$715,713,0),IFERROR(VLOOKUP(E102,'נתוני מים 2014'!$C$2:$N$184,5,0)/1000-VLOOKUP(E102,'נתוני מים 2014'!$C$2:$N$180,9,0)/1000,0))</f>
        <v>0</v>
      </c>
      <c r="H102" s="878"/>
      <c r="I102" s="859"/>
      <c r="J102" s="861"/>
      <c r="K102" s="861">
        <f t="shared" si="1"/>
        <v>0</v>
      </c>
      <c r="L102" s="861"/>
      <c r="M102" s="863">
        <v>0</v>
      </c>
    </row>
    <row r="103" spans="1:14" ht="30" x14ac:dyDescent="0.2">
      <c r="A103" s="876"/>
      <c r="B103" s="892"/>
      <c r="C103" s="858" t="s">
        <v>260</v>
      </c>
      <c r="D103" s="873" t="str">
        <f>+VLOOKUP(C103,'[22]תכולת תאגידים מרחביים 1'!$C$9:$D$111,2,0)</f>
        <v>מעיינות זיו בע"מ</v>
      </c>
      <c r="E103" s="858" t="s">
        <v>1282</v>
      </c>
      <c r="F103" s="859">
        <v>4</v>
      </c>
      <c r="G103" s="860">
        <f>+IFERROR(HLOOKUP(C103,'נתוני תאגידים'!$1:$715,713,0),IFERROR(VLOOKUP(E103,'נתוני מים 2014'!$C$2:$N$184,5,0)/1000-VLOOKUP(E103,'נתוני מים 2014'!$C$2:$N$180,9,0)/1000,0))</f>
        <v>3201.0769999999998</v>
      </c>
      <c r="H103" s="878" t="s">
        <v>1283</v>
      </c>
      <c r="I103" s="859">
        <v>40</v>
      </c>
      <c r="J103" s="861">
        <v>5.34</v>
      </c>
      <c r="K103" s="861">
        <f t="shared" si="1"/>
        <v>213.6</v>
      </c>
      <c r="L103" s="861"/>
      <c r="M103" s="863">
        <f>+IFERROR(VLOOKUP(D103,'[21]נתוני צריכה 12 עדכני'!$D$6:$S$200,7,0)/1000-VLOOKUP(D103,'[21]נתוני צריכה 12 עדכני'!$D$6:$S$201,11,0)/1000-VLOOKUP(D103,'[21]התפלגות מים 2012'!$D$6:$W$199,5,0)/1000,(VLOOKUP(E103,'[21]נתוני צריכה רשויות מקומיות'!$D$6:$S$74,6,0)/1000-VLOOKUP(E103,'[21]נתוני צריכה רשויות מקומיות'!$D$6:$S$74,10,0)/1000-VLOOKUP(E103,'[21]התפלגות מים 2012'!$D$200:$Q$263,5,0)/1000))</f>
        <v>3211.395</v>
      </c>
    </row>
    <row r="104" spans="1:14" x14ac:dyDescent="0.2">
      <c r="A104" s="876"/>
      <c r="B104" s="892"/>
      <c r="C104" s="858" t="s">
        <v>660</v>
      </c>
      <c r="D104" s="873" t="e">
        <f>+VLOOKUP(C104,'[22]תכולת תאגידים מרחביים 1'!$C$9:$D$111,2,0)</f>
        <v>#N/A</v>
      </c>
      <c r="E104" s="858" t="s">
        <v>1284</v>
      </c>
      <c r="F104" s="859">
        <v>1</v>
      </c>
      <c r="G104" s="860">
        <f>+IFERROR(HLOOKUP(C104,'נתוני תאגידים'!$1:$715,713,0),IFERROR(VLOOKUP(E104,'נתוני מים 2014'!$C$2:$N$184,5,0)/1000-VLOOKUP(E104,'נתוני מים 2014'!$C$2:$N$184,0)/1000,0))</f>
        <v>3747.5639999999999</v>
      </c>
      <c r="H104" s="878" t="s">
        <v>1281</v>
      </c>
      <c r="I104" s="859">
        <v>45</v>
      </c>
      <c r="J104" s="861">
        <v>6</v>
      </c>
      <c r="K104" s="861">
        <f t="shared" si="1"/>
        <v>270</v>
      </c>
      <c r="L104" s="861"/>
      <c r="M104" s="863" t="e">
        <f>+IFERROR(VLOOKUP(D104,'[21]נתוני צריכה 12 עדכני'!$D$6:$S$200,7,0)/1000-VLOOKUP(D104,'[21]נתוני צריכה 12 עדכני'!$D$6:$S$201,11,0)/1000-VLOOKUP(D104,'[21]התפלגות מים 2012'!$D$6:$W$199,5,0)/1000,(VLOOKUP(E104,'[21]נתוני צריכה רשויות מקומיות'!$D$6:$S$74,6,0)/1000-VLOOKUP(E104,'[21]נתוני צריכה רשויות מקומיות'!$D$6:$S$74,10,0)/1000-VLOOKUP(E104,'[21]התפלגות מים 2012'!$D$200:$Q$263,5,0)/1000))</f>
        <v>#N/A</v>
      </c>
    </row>
    <row r="105" spans="1:14" x14ac:dyDescent="0.2">
      <c r="A105" s="880"/>
      <c r="B105" s="886"/>
      <c r="C105" s="885" t="s">
        <v>1263</v>
      </c>
      <c r="D105" s="873" t="s">
        <v>492</v>
      </c>
      <c r="E105" s="1582" t="s">
        <v>492</v>
      </c>
      <c r="F105" s="883">
        <v>1</v>
      </c>
      <c r="G105" s="860">
        <v>4934.1059999999998</v>
      </c>
      <c r="H105" s="878" t="s">
        <v>492</v>
      </c>
      <c r="I105" s="859">
        <v>52</v>
      </c>
      <c r="J105" s="861">
        <v>6</v>
      </c>
      <c r="K105" s="861">
        <f t="shared" si="1"/>
        <v>312</v>
      </c>
      <c r="L105" s="861"/>
      <c r="M105" s="863" t="e">
        <f>+IFERROR(VLOOKUP(D105,'[21]נתוני צריכה 12 עדכני'!$D$6:$S$200,7,0)/1000-VLOOKUP(D105,'[21]נתוני צריכה 12 עדכני'!$D$6:$S$201,11,0)/1000-VLOOKUP(D105,'[21]התפלגות מים 2012'!$D$6:$W$199,5,0)/1000,(VLOOKUP(E105,'[21]נתוני צריכה רשויות מקומיות'!$D$6:$S$74,6,0)/1000-VLOOKUP(E105,'[21]נתוני צריכה רשויות מקומיות'!$D$6:$S$74,10,0)/1000-VLOOKUP(E105,'[21]התפלגות מים 2012'!$D$200:$Q$263,5,0)/1000))</f>
        <v>#N/A</v>
      </c>
    </row>
    <row r="106" spans="1:14" s="871" customFormat="1" x14ac:dyDescent="0.2">
      <c r="A106" s="864"/>
      <c r="B106" s="865" t="s">
        <v>1106</v>
      </c>
      <c r="C106" s="904"/>
      <c r="D106" s="873" t="e">
        <f>+VLOOKUP(C106,'[22]תכולת תאגידים מרחביים 1'!$C$9:$D$111,2,0)</f>
        <v>#N/A</v>
      </c>
      <c r="E106" s="905"/>
      <c r="F106" s="906">
        <f>SUM(F100:F105)</f>
        <v>22</v>
      </c>
      <c r="G106" s="907">
        <f>SUM(G100:G105)</f>
        <v>24802.501</v>
      </c>
      <c r="H106" s="906"/>
      <c r="I106" s="906">
        <f>SUM(I100:I105)</f>
        <v>332</v>
      </c>
      <c r="J106" s="906">
        <f>SUM(J100:J105)</f>
        <v>22.57</v>
      </c>
      <c r="K106" s="906">
        <f>SUM(K100:K105)</f>
        <v>1303.6799999999998</v>
      </c>
      <c r="L106" s="869">
        <f>K106/I106</f>
        <v>3.9267469879518067</v>
      </c>
      <c r="M106" s="869" t="e">
        <f>SUM(M100:M105)</f>
        <v>#N/A</v>
      </c>
      <c r="N106" s="870"/>
    </row>
    <row r="107" spans="1:14" ht="30.75" customHeight="1" x14ac:dyDescent="0.2">
      <c r="A107" s="872">
        <v>15</v>
      </c>
      <c r="B107" s="834"/>
      <c r="C107" s="858" t="s">
        <v>440</v>
      </c>
      <c r="D107" s="873" t="s">
        <v>440</v>
      </c>
      <c r="E107" s="908" t="s">
        <v>1285</v>
      </c>
      <c r="F107" s="909">
        <v>7</v>
      </c>
      <c r="G107" s="860">
        <f>+IFERROR(HLOOKUP(C107,'נתוני תאגידים'!$1:$715,713,0),IFERROR(VLOOKUP(E107,'נתוני מים 2014'!$C$2:$N$184,5,0)/1000-VLOOKUP(E107,'נתוני מים 2014'!$C$2:$N$184,0)/1000,0))</f>
        <v>4262.473</v>
      </c>
      <c r="H107" s="910" t="s">
        <v>1286</v>
      </c>
      <c r="I107" s="909">
        <f>30+4+2+10+6+20</f>
        <v>72</v>
      </c>
      <c r="J107" s="911">
        <v>4.3</v>
      </c>
      <c r="K107" s="911">
        <f t="shared" si="1"/>
        <v>309.59999999999997</v>
      </c>
      <c r="L107" s="861" t="e">
        <f>(J107*I107+#REF!*#REF!+J108*I108+J109*I109+J112*I112)/I113</f>
        <v>#REF!</v>
      </c>
      <c r="M107" s="863">
        <f>+IFERROR(VLOOKUP(D107,'[21]נתוני צריכה 12 עדכני'!$D$6:$S$200,7,0)/1000-VLOOKUP(D107,'[21]נתוני צריכה 12 עדכני'!$D$6:$S$201,11,0)/1000-VLOOKUP(D107,'[21]התפלגות מים 2012'!$D$6:$W$199,5,0)/1000,(VLOOKUP(E107,'[21]נתוני צריכה רשויות מקומיות'!$D$6:$S$74,6,0)/1000-VLOOKUP(E107,'[21]נתוני צריכה רשויות מקומיות'!$D$6:$S$74,10,0)/1000-VLOOKUP(E107,'[21]התפלגות מים 2012'!$D$200:$Q$263,5,0)/1000))</f>
        <v>3796.3310000000001</v>
      </c>
    </row>
    <row r="108" spans="1:14" ht="48.75" customHeight="1" x14ac:dyDescent="0.2">
      <c r="A108" s="876"/>
      <c r="B108" s="892"/>
      <c r="C108" s="858" t="s">
        <v>457</v>
      </c>
      <c r="D108" s="873" t="e">
        <f>+VLOOKUP(C108,'[22]תכולת תאגידים מרחביים 1'!$C$9:$D$111,2,0)</f>
        <v>#N/A</v>
      </c>
      <c r="E108" s="916" t="s">
        <v>1287</v>
      </c>
      <c r="F108" s="913">
        <v>13</v>
      </c>
      <c r="G108" s="860">
        <f>+IFERROR(HLOOKUP(C108,'נתוני תאגידים'!$1:$715,713,0),IFERROR(VLOOKUP(E108,'נתוני מים 2014'!$C$2:$N$184,5,0)/1000-VLOOKUP(E108,'נתוני מים 2014'!$C$2:$N$184,0)/1000,0))</f>
        <v>8586.9550000000017</v>
      </c>
      <c r="H108" s="914" t="s">
        <v>1288</v>
      </c>
      <c r="I108" s="913">
        <v>110</v>
      </c>
      <c r="J108" s="915">
        <v>3.41</v>
      </c>
      <c r="K108" s="915">
        <f t="shared" si="1"/>
        <v>375.1</v>
      </c>
      <c r="L108" s="861"/>
      <c r="M108" s="863" t="e">
        <f>+IFERROR(VLOOKUP(D108,'[21]נתוני צריכה 12 עדכני'!$D$6:$S$200,7,0)/1000-VLOOKUP(D108,'[21]נתוני צריכה 12 עדכני'!$D$6:$S$201,11,0)/1000-VLOOKUP(D108,'[21]התפלגות מים 2012'!$D$6:$W$199,5,0)/1000,(VLOOKUP(E108,'[21]נתוני צריכה רשויות מקומיות'!$D$6:$S$74,6,0)/1000-VLOOKUP(E108,'[21]נתוני צריכה רשויות מקומיות'!$D$6:$S$74,10,0)/1000-VLOOKUP(E108,'[21]התפלגות מים 2012'!$D$200:$Q$263,5,0)/1000))</f>
        <v>#N/A</v>
      </c>
    </row>
    <row r="109" spans="1:14" ht="29.25" customHeight="1" x14ac:dyDescent="0.2">
      <c r="A109" s="876"/>
      <c r="B109" s="892"/>
      <c r="C109" s="858" t="s">
        <v>828</v>
      </c>
      <c r="D109" s="873" t="e">
        <f>+VLOOKUP(C109,'[22]תכולת תאגידים מרחביים 1'!$C$9:$D$111,2,0)</f>
        <v>#N/A</v>
      </c>
      <c r="E109" s="858" t="s">
        <v>1289</v>
      </c>
      <c r="F109" s="859">
        <v>4</v>
      </c>
      <c r="G109" s="860">
        <f>+IFERROR(HLOOKUP(C109,'נתוני תאגידים'!$1:$715,713,0),IFERROR(VLOOKUP(E109,'נתוני מים 2014'!$C$2:$N$184,5,0)/1000-VLOOKUP(E109,'נתוני מים 2014'!$C$2:$N$184,0)/1000,0))</f>
        <v>4715.7889999999998</v>
      </c>
      <c r="H109" s="894" t="s">
        <v>1290</v>
      </c>
      <c r="I109" s="859">
        <v>50</v>
      </c>
      <c r="J109" s="861">
        <v>4.93</v>
      </c>
      <c r="K109" s="861">
        <f t="shared" si="1"/>
        <v>246.5</v>
      </c>
      <c r="L109" s="861"/>
      <c r="M109" s="863" t="e">
        <f>+IFERROR(VLOOKUP(D109,'[21]נתוני צריכה 12 עדכני'!$D$6:$S$200,7,0)/1000-VLOOKUP(D109,'[21]נתוני צריכה 12 עדכני'!$D$6:$S$201,11,0)/1000-VLOOKUP(D109,'[21]התפלגות מים 2012'!$D$6:$W$199,5,0)/1000,(VLOOKUP(E109,'[21]נתוני צריכה רשויות מקומיות'!$D$6:$S$74,6,0)/1000-VLOOKUP(E109,'[21]נתוני צריכה רשויות מקומיות'!$D$6:$S$74,10,0)/1000-VLOOKUP(E109,'[21]התפלגות מים 2012'!$D$200:$Q$263,5,0)/1000))</f>
        <v>#N/A</v>
      </c>
    </row>
    <row r="110" spans="1:14" ht="18.75" customHeight="1" x14ac:dyDescent="0.2">
      <c r="A110" s="876"/>
      <c r="B110" s="892"/>
      <c r="C110" s="1835" t="s">
        <v>1263</v>
      </c>
      <c r="D110" s="873"/>
      <c r="E110" s="903" t="s">
        <v>1291</v>
      </c>
      <c r="F110" s="859"/>
      <c r="G110" s="860">
        <f>+IFERROR(HLOOKUP(C110,'נתוני תאגידים'!$1:$715,713,0),IFERROR(VLOOKUP(E110,'נתוני מים 2014'!$C$2:$N$184,5,0)/1000-VLOOKUP(E110,'נתוני מים 2014'!$C$2:$N$184,0)/1000,0))</f>
        <v>0</v>
      </c>
      <c r="H110" s="894"/>
      <c r="I110" s="859"/>
      <c r="J110" s="861"/>
      <c r="K110" s="861"/>
      <c r="L110" s="861"/>
      <c r="M110" s="895">
        <v>200</v>
      </c>
    </row>
    <row r="111" spans="1:14" ht="15.75" customHeight="1" x14ac:dyDescent="0.2">
      <c r="A111" s="912"/>
      <c r="B111" s="917"/>
      <c r="C111" s="1837"/>
      <c r="D111" s="873"/>
      <c r="E111" s="1581" t="s">
        <v>246</v>
      </c>
      <c r="F111" s="859"/>
      <c r="G111" s="860">
        <v>606.75699999999995</v>
      </c>
      <c r="H111" s="894"/>
      <c r="I111" s="859"/>
      <c r="J111" s="861"/>
      <c r="K111" s="861"/>
      <c r="L111" s="861"/>
      <c r="M111" s="863" t="e">
        <f>+IFERROR(VLOOKUP(D111,'[21]נתוני צריכה 12 עדכני'!$D$6:$S$200,7,0)/1000-VLOOKUP(D111,'[21]נתוני צריכה 12 עדכני'!$D$6:$S$201,11,0)/1000-VLOOKUP(D111,'[21]התפלגות מים 2012'!$D$6:$W$199,5,0)/1000,(VLOOKUP(E111,'[21]נתוני צריכה רשויות מקומיות'!$D$6:$S$74,6,0)/1000-VLOOKUP(E111,'[21]נתוני צריכה רשויות מקומיות'!$D$6:$S$74,10,0)/1000-VLOOKUP(E111,'[21]התפלגות מים 2012'!$D$200:$Q$263,5,0)/1000))</f>
        <v>#N/A</v>
      </c>
    </row>
    <row r="112" spans="1:14" x14ac:dyDescent="0.2">
      <c r="A112" s="880"/>
      <c r="B112" s="886"/>
      <c r="C112" s="1836"/>
      <c r="D112" s="873"/>
      <c r="E112" s="1581" t="s">
        <v>126</v>
      </c>
      <c r="F112" s="883">
        <v>3</v>
      </c>
      <c r="G112" s="860">
        <v>1692.6579999999999</v>
      </c>
      <c r="H112" s="878" t="s">
        <v>126</v>
      </c>
      <c r="I112" s="859">
        <f>17+3+3</f>
        <v>23</v>
      </c>
      <c r="J112" s="861">
        <v>5.37</v>
      </c>
      <c r="K112" s="861">
        <f t="shared" si="1"/>
        <v>123.51</v>
      </c>
      <c r="L112" s="861"/>
      <c r="M112" s="863" t="e">
        <f>+IFERROR(VLOOKUP(D112,'[21]נתוני צריכה 12 עדכני'!$D$6:$S$200,7,0)/1000-VLOOKUP(D112,'[21]נתוני צריכה 12 עדכני'!$D$6:$S$201,11,0)/1000-VLOOKUP(D112,'[21]התפלגות מים 2012'!$D$6:$W$199,5,0)/1000,(VLOOKUP(E112,'[21]נתוני צריכה רשויות מקומיות'!$D$6:$S$74,6,0)/1000-VLOOKUP(E112,'[21]נתוני צריכה רשויות מקומיות'!$D$6:$S$74,10,0)/1000-VLOOKUP(E112,'[21]התפלגות מים 2012'!$D$200:$Q$263,5,0)/1000))</f>
        <v>#N/A</v>
      </c>
    </row>
    <row r="113" spans="1:41" s="831" customFormat="1" x14ac:dyDescent="0.2">
      <c r="A113" s="864"/>
      <c r="B113" s="865" t="s">
        <v>1096</v>
      </c>
      <c r="C113" s="889"/>
      <c r="D113" s="873"/>
      <c r="E113" s="864"/>
      <c r="F113" s="867">
        <f>SUM(F107:F112)</f>
        <v>27</v>
      </c>
      <c r="G113" s="868">
        <f>SUM(G107:G112)</f>
        <v>19864.632000000001</v>
      </c>
      <c r="H113" s="867"/>
      <c r="I113" s="867">
        <f>SUM(I107:I112)</f>
        <v>255</v>
      </c>
      <c r="J113" s="867">
        <f>SUM(J107:J112)</f>
        <v>18.010000000000002</v>
      </c>
      <c r="K113" s="867">
        <f>SUM(K107:K112)</f>
        <v>1054.71</v>
      </c>
      <c r="L113" s="869">
        <f>K113/I113</f>
        <v>4.1361176470588239</v>
      </c>
      <c r="M113" s="869" t="e">
        <f>SUM(M107:M112)</f>
        <v>#N/A</v>
      </c>
      <c r="N113" s="918"/>
    </row>
    <row r="114" spans="1:41" s="832" customFormat="1" ht="23.25" customHeight="1" x14ac:dyDescent="0.2">
      <c r="A114" s="919"/>
      <c r="B114" s="920" t="s">
        <v>164</v>
      </c>
      <c r="C114" s="921"/>
      <c r="D114" s="873"/>
      <c r="E114" s="919"/>
      <c r="F114" s="922">
        <f>F10+F19+F27+F30+F33+F42+F47+F55+F59+F69+F82+F92+F99+F106+F113</f>
        <v>183</v>
      </c>
      <c r="G114" s="922">
        <f>G10+G19+G27+G30+G33+G42+G47+G55+G59+G69+G82+G92+G99+G106+G113</f>
        <v>574322.20400000003</v>
      </c>
      <c r="H114" s="922"/>
      <c r="I114" s="922">
        <f>I10+I19+I27+I30+I33+I42+I47+I55+I59+I69+I82+I92+I99+I106+I113</f>
        <v>6704</v>
      </c>
      <c r="J114" s="923"/>
      <c r="K114" s="923"/>
      <c r="L114" s="923"/>
      <c r="M114" s="922" t="e">
        <f>M10+M19+M27+M30+M33+M42+M47+M55+M59+M69+M82+M92+M99+M106+M113</f>
        <v>#N/A</v>
      </c>
      <c r="N114" s="924"/>
    </row>
    <row r="115" spans="1:41" ht="25.5" customHeight="1" x14ac:dyDescent="0.2">
      <c r="A115" s="918"/>
      <c r="B115" s="924"/>
      <c r="C115" s="845" t="s">
        <v>1292</v>
      </c>
      <c r="D115" s="873"/>
      <c r="E115" s="925"/>
      <c r="I115" s="926"/>
      <c r="M115" s="927"/>
    </row>
    <row r="116" spans="1:41" ht="20.25" customHeight="1" x14ac:dyDescent="0.2">
      <c r="A116" s="918"/>
      <c r="B116" s="924"/>
      <c r="C116" s="928"/>
      <c r="D116" s="928"/>
      <c r="E116" s="929"/>
      <c r="I116" s="930"/>
    </row>
    <row r="117" spans="1:41" ht="20.25" customHeight="1" x14ac:dyDescent="0.2">
      <c r="A117" s="918"/>
      <c r="B117" s="924"/>
      <c r="C117" s="928"/>
      <c r="D117" s="928"/>
      <c r="E117" s="929"/>
      <c r="I117" s="930"/>
    </row>
    <row r="118" spans="1:41" ht="20.25" customHeight="1" x14ac:dyDescent="0.2">
      <c r="A118" s="918"/>
      <c r="B118" s="924"/>
      <c r="C118" s="928"/>
      <c r="D118" s="928"/>
      <c r="E118" s="929"/>
      <c r="I118" s="930"/>
    </row>
    <row r="119" spans="1:41" ht="20.25" customHeight="1" x14ac:dyDescent="0.2">
      <c r="A119" s="918"/>
      <c r="B119" s="924"/>
      <c r="C119" s="928"/>
      <c r="D119" s="928"/>
      <c r="E119" s="929"/>
      <c r="I119" s="930"/>
    </row>
    <row r="120" spans="1:41" ht="20.25" customHeight="1" x14ac:dyDescent="0.2">
      <c r="A120" s="918"/>
      <c r="B120" s="924"/>
      <c r="C120" s="928"/>
      <c r="D120" s="928"/>
      <c r="E120" s="929"/>
      <c r="I120" s="930"/>
      <c r="AG120" s="931" t="s">
        <v>1293</v>
      </c>
      <c r="AH120" s="931" t="s">
        <v>1294</v>
      </c>
      <c r="AJ120" s="834">
        <v>0.05</v>
      </c>
    </row>
    <row r="121" spans="1:41" ht="20.25" customHeight="1" thickBot="1" x14ac:dyDescent="0.25">
      <c r="A121" s="918"/>
      <c r="B121" s="924"/>
      <c r="C121" s="928"/>
      <c r="D121" s="928"/>
      <c r="E121" s="929"/>
      <c r="H121" s="932"/>
      <c r="I121" s="930"/>
      <c r="J121" s="933"/>
      <c r="K121" s="933"/>
      <c r="L121" s="933"/>
      <c r="O121" s="837"/>
      <c r="P121" s="837"/>
      <c r="Q121" s="837"/>
      <c r="R121" s="837"/>
      <c r="S121" s="837"/>
      <c r="T121" s="837"/>
      <c r="U121" s="837"/>
      <c r="V121" s="837"/>
      <c r="W121" s="837"/>
      <c r="X121" s="837"/>
      <c r="Y121" s="837"/>
      <c r="Z121" s="837"/>
      <c r="AA121" s="837"/>
      <c r="AB121" s="837"/>
      <c r="AC121" s="837"/>
      <c r="AD121" s="837"/>
      <c r="AE121" s="837"/>
      <c r="AF121" s="837"/>
      <c r="AG121" s="934"/>
      <c r="AH121" s="934"/>
      <c r="AI121" s="837"/>
      <c r="AJ121" s="837"/>
      <c r="AK121" s="837"/>
      <c r="AL121" s="837"/>
      <c r="AM121" s="837"/>
      <c r="AN121" s="837"/>
      <c r="AO121" s="837"/>
    </row>
    <row r="122" spans="1:41" x14ac:dyDescent="0.2">
      <c r="A122" s="935" t="s">
        <v>1295</v>
      </c>
      <c r="B122" s="936"/>
      <c r="C122" s="936"/>
      <c r="D122" s="936"/>
      <c r="E122" s="936"/>
      <c r="F122" s="936"/>
      <c r="G122" s="936"/>
      <c r="H122" s="937"/>
      <c r="I122" s="837"/>
      <c r="J122" s="933"/>
      <c r="K122" s="933"/>
      <c r="L122" s="933"/>
      <c r="M122" s="937"/>
      <c r="N122" s="870"/>
      <c r="O122" s="870"/>
      <c r="P122" s="870"/>
      <c r="Q122" s="870"/>
      <c r="R122" s="870"/>
      <c r="S122" s="918"/>
      <c r="T122" s="870"/>
      <c r="U122" s="870"/>
      <c r="V122" s="870"/>
      <c r="W122" s="870"/>
      <c r="X122" s="870"/>
      <c r="Y122" s="870"/>
      <c r="Z122" s="837"/>
      <c r="AA122" s="837"/>
      <c r="AB122" s="837"/>
      <c r="AC122" s="837"/>
      <c r="AD122" s="837"/>
      <c r="AE122" s="837"/>
      <c r="AF122" s="837"/>
      <c r="AG122" s="938"/>
      <c r="AH122" s="938"/>
      <c r="AI122" s="837"/>
      <c r="AJ122" s="837"/>
      <c r="AK122" s="837"/>
      <c r="AL122" s="837"/>
      <c r="AM122" s="837"/>
      <c r="AN122" s="837"/>
      <c r="AO122" s="837"/>
    </row>
    <row r="123" spans="1:41" ht="47.25" x14ac:dyDescent="0.2">
      <c r="A123" s="864" t="s">
        <v>1296</v>
      </c>
      <c r="B123" s="939" t="s">
        <v>1297</v>
      </c>
      <c r="C123" s="939" t="s">
        <v>1190</v>
      </c>
      <c r="D123" s="939"/>
      <c r="E123" s="940" t="s">
        <v>1298</v>
      </c>
      <c r="F123" s="939" t="s">
        <v>1193</v>
      </c>
      <c r="G123" s="941" t="s">
        <v>1196</v>
      </c>
      <c r="H123" s="942"/>
      <c r="I123" s="942"/>
      <c r="J123" s="942"/>
      <c r="K123" s="942"/>
      <c r="L123" s="933"/>
      <c r="M123" s="937"/>
      <c r="N123" s="944"/>
      <c r="O123" s="944"/>
      <c r="P123" s="944"/>
      <c r="Q123" s="944"/>
      <c r="R123" s="945"/>
      <c r="S123" s="944"/>
      <c r="T123" s="944"/>
      <c r="U123" s="944"/>
      <c r="V123" s="943"/>
      <c r="W123" s="943"/>
      <c r="X123" s="944"/>
      <c r="Y123" s="945"/>
      <c r="Z123" s="837"/>
      <c r="AA123" s="944"/>
      <c r="AB123" s="944"/>
      <c r="AC123" s="944"/>
      <c r="AD123" s="837"/>
      <c r="AE123" s="837"/>
      <c r="AF123" s="946"/>
      <c r="AG123" s="946"/>
      <c r="AH123" s="946"/>
      <c r="AI123" s="946"/>
      <c r="AJ123" s="946"/>
      <c r="AK123" s="837"/>
      <c r="AL123" s="837"/>
      <c r="AM123" s="837"/>
      <c r="AN123" s="837"/>
      <c r="AO123" s="837"/>
    </row>
    <row r="124" spans="1:41" x14ac:dyDescent="0.2">
      <c r="A124" s="875">
        <v>1</v>
      </c>
      <c r="B124" s="856" t="s">
        <v>1299</v>
      </c>
      <c r="C124" s="897">
        <f>F10</f>
        <v>1</v>
      </c>
      <c r="D124" s="897"/>
      <c r="E124" s="947">
        <f>G10</f>
        <v>11081.690999999999</v>
      </c>
      <c r="F124" s="859">
        <f>I10</f>
        <v>48</v>
      </c>
      <c r="G124" s="948">
        <f>L10</f>
        <v>5</v>
      </c>
      <c r="H124" s="949"/>
      <c r="I124" s="949"/>
      <c r="J124" s="949"/>
      <c r="K124" s="949"/>
      <c r="L124" s="933"/>
      <c r="M124" s="937"/>
      <c r="N124" s="950"/>
      <c r="O124" s="950"/>
      <c r="P124" s="950"/>
      <c r="Q124" s="950"/>
      <c r="R124" s="950"/>
      <c r="S124" s="837"/>
      <c r="T124" s="950"/>
      <c r="U124" s="950"/>
      <c r="V124" s="950"/>
      <c r="W124" s="950"/>
      <c r="X124" s="950"/>
      <c r="Y124" s="950"/>
      <c r="Z124" s="837"/>
      <c r="AA124" s="951"/>
      <c r="AB124" s="952"/>
      <c r="AC124" s="950"/>
      <c r="AD124" s="837"/>
      <c r="AE124" s="837"/>
      <c r="AF124" s="950"/>
      <c r="AG124" s="950"/>
      <c r="AH124" s="951"/>
      <c r="AI124" s="950"/>
      <c r="AJ124" s="953"/>
      <c r="AK124" s="837"/>
      <c r="AL124" s="837"/>
      <c r="AM124" s="837"/>
      <c r="AN124" s="837"/>
      <c r="AO124" s="837"/>
    </row>
    <row r="125" spans="1:41" x14ac:dyDescent="0.2">
      <c r="A125" s="875">
        <v>2</v>
      </c>
      <c r="B125" s="954" t="s">
        <v>1104</v>
      </c>
      <c r="C125" s="897">
        <f>F19</f>
        <v>17</v>
      </c>
      <c r="D125" s="897"/>
      <c r="E125" s="947">
        <f>G19</f>
        <v>46056.917999999998</v>
      </c>
      <c r="F125" s="897">
        <f>I19</f>
        <v>493</v>
      </c>
      <c r="G125" s="948">
        <f>L19</f>
        <v>3.8678498985801215</v>
      </c>
      <c r="H125" s="949"/>
      <c r="I125" s="949"/>
      <c r="J125" s="949"/>
      <c r="K125" s="949"/>
      <c r="L125" s="933"/>
      <c r="M125" s="937"/>
      <c r="N125" s="950"/>
      <c r="O125" s="950"/>
      <c r="P125" s="950"/>
      <c r="Q125" s="950"/>
      <c r="R125" s="950"/>
      <c r="S125" s="837"/>
      <c r="T125" s="950"/>
      <c r="U125" s="950"/>
      <c r="V125" s="950"/>
      <c r="W125" s="950"/>
      <c r="X125" s="950"/>
      <c r="Y125" s="950"/>
      <c r="Z125" s="837"/>
      <c r="AA125" s="951"/>
      <c r="AB125" s="952"/>
      <c r="AC125" s="950"/>
      <c r="AD125" s="837"/>
      <c r="AE125" s="837"/>
      <c r="AF125" s="950"/>
      <c r="AG125" s="950"/>
      <c r="AH125" s="951"/>
      <c r="AI125" s="950"/>
      <c r="AJ125" s="953"/>
      <c r="AK125" s="837"/>
      <c r="AL125" s="837"/>
      <c r="AM125" s="837"/>
      <c r="AN125" s="837"/>
      <c r="AO125" s="837"/>
    </row>
    <row r="126" spans="1:41" x14ac:dyDescent="0.2">
      <c r="A126" s="875">
        <v>3</v>
      </c>
      <c r="B126" s="954" t="s">
        <v>1300</v>
      </c>
      <c r="C126" s="897">
        <f>F27</f>
        <v>9</v>
      </c>
      <c r="D126" s="897"/>
      <c r="E126" s="947">
        <f>G27</f>
        <v>43015.555</v>
      </c>
      <c r="F126" s="897">
        <f>I27</f>
        <v>473</v>
      </c>
      <c r="G126" s="948">
        <f>L27</f>
        <v>4.6834460887949261</v>
      </c>
      <c r="H126" s="949"/>
      <c r="I126" s="949"/>
      <c r="J126" s="949"/>
      <c r="K126" s="949"/>
      <c r="L126" s="933"/>
      <c r="M126" s="937"/>
      <c r="N126" s="950"/>
      <c r="O126" s="950"/>
      <c r="P126" s="950"/>
      <c r="Q126" s="950"/>
      <c r="R126" s="950"/>
      <c r="S126" s="837"/>
      <c r="T126" s="950"/>
      <c r="U126" s="950"/>
      <c r="V126" s="950"/>
      <c r="W126" s="950"/>
      <c r="X126" s="950"/>
      <c r="Y126" s="950"/>
      <c r="Z126" s="837"/>
      <c r="AA126" s="951"/>
      <c r="AB126" s="952"/>
      <c r="AC126" s="950"/>
      <c r="AD126" s="837"/>
      <c r="AE126" s="837"/>
      <c r="AF126" s="950"/>
      <c r="AG126" s="950"/>
      <c r="AH126" s="951"/>
      <c r="AI126" s="950"/>
      <c r="AJ126" s="953"/>
      <c r="AK126" s="837"/>
      <c r="AL126" s="837"/>
      <c r="AM126" s="837"/>
      <c r="AN126" s="837"/>
      <c r="AO126" s="837"/>
    </row>
    <row r="127" spans="1:41" x14ac:dyDescent="0.2">
      <c r="A127" s="875">
        <v>4</v>
      </c>
      <c r="B127" s="954" t="s">
        <v>1301</v>
      </c>
      <c r="C127" s="897">
        <f>F30</f>
        <v>4</v>
      </c>
      <c r="D127" s="897"/>
      <c r="E127" s="947">
        <f>G30</f>
        <v>54562.883000000002</v>
      </c>
      <c r="F127" s="860">
        <f>I30</f>
        <v>821</v>
      </c>
      <c r="G127" s="948">
        <f>L30</f>
        <v>4.1022898903775893</v>
      </c>
      <c r="H127" s="949"/>
      <c r="I127" s="949"/>
      <c r="J127" s="949"/>
      <c r="K127" s="949"/>
      <c r="L127" s="933"/>
      <c r="M127" s="937"/>
      <c r="N127" s="950"/>
      <c r="O127" s="950"/>
      <c r="P127" s="950"/>
      <c r="Q127" s="950"/>
      <c r="R127" s="950"/>
      <c r="S127" s="837"/>
      <c r="T127" s="950"/>
      <c r="U127" s="950"/>
      <c r="V127" s="950"/>
      <c r="W127" s="950"/>
      <c r="X127" s="950"/>
      <c r="Y127" s="950"/>
      <c r="Z127" s="837"/>
      <c r="AA127" s="951"/>
      <c r="AB127" s="952"/>
      <c r="AC127" s="950"/>
      <c r="AD127" s="837"/>
      <c r="AE127" s="837"/>
      <c r="AF127" s="950"/>
      <c r="AG127" s="950"/>
      <c r="AH127" s="951"/>
      <c r="AI127" s="950"/>
      <c r="AJ127" s="953"/>
      <c r="AK127" s="837"/>
      <c r="AL127" s="837"/>
      <c r="AM127" s="837"/>
      <c r="AN127" s="837"/>
      <c r="AO127" s="837"/>
    </row>
    <row r="128" spans="1:41" x14ac:dyDescent="0.2">
      <c r="A128" s="875">
        <v>5</v>
      </c>
      <c r="B128" s="954" t="s">
        <v>1098</v>
      </c>
      <c r="C128" s="897">
        <f>F33</f>
        <v>2</v>
      </c>
      <c r="D128" s="897"/>
      <c r="E128" s="947">
        <f>G33</f>
        <v>2004.4870000000001</v>
      </c>
      <c r="F128" s="860">
        <f>I33</f>
        <v>24</v>
      </c>
      <c r="G128" s="948">
        <f>L33</f>
        <v>5.7399999999999993</v>
      </c>
      <c r="H128" s="949"/>
      <c r="I128" s="949"/>
      <c r="J128" s="949"/>
      <c r="K128" s="949"/>
      <c r="L128" s="933"/>
      <c r="M128" s="937"/>
      <c r="N128" s="950"/>
      <c r="O128" s="950"/>
      <c r="P128" s="950"/>
      <c r="Q128" s="950"/>
      <c r="R128" s="950"/>
      <c r="S128" s="837"/>
      <c r="T128" s="950"/>
      <c r="U128" s="950"/>
      <c r="V128" s="950"/>
      <c r="W128" s="950"/>
      <c r="X128" s="950"/>
      <c r="Y128" s="950"/>
      <c r="Z128" s="837"/>
      <c r="AA128" s="951"/>
      <c r="AB128" s="952"/>
      <c r="AC128" s="950"/>
      <c r="AD128" s="837"/>
      <c r="AE128" s="837"/>
      <c r="AF128" s="950"/>
      <c r="AG128" s="950"/>
      <c r="AH128" s="951"/>
      <c r="AI128" s="950"/>
      <c r="AJ128" s="953"/>
      <c r="AK128" s="837"/>
      <c r="AL128" s="837"/>
      <c r="AM128" s="837"/>
      <c r="AN128" s="837"/>
      <c r="AO128" s="837"/>
    </row>
    <row r="129" spans="1:41" x14ac:dyDescent="0.2">
      <c r="A129" s="875">
        <v>6</v>
      </c>
      <c r="B129" s="954" t="s">
        <v>1302</v>
      </c>
      <c r="C129" s="897">
        <f>F42</f>
        <v>9</v>
      </c>
      <c r="D129" s="897"/>
      <c r="E129" s="947">
        <f>G42</f>
        <v>52015.728000000003</v>
      </c>
      <c r="F129" s="955">
        <f>I42</f>
        <v>582</v>
      </c>
      <c r="G129" s="948">
        <f>L42</f>
        <v>5.8797250859106533</v>
      </c>
      <c r="H129" s="949"/>
      <c r="I129" s="949"/>
      <c r="J129" s="949"/>
      <c r="K129" s="949"/>
      <c r="L129" s="933"/>
      <c r="M129" s="937"/>
      <c r="N129" s="950"/>
      <c r="O129" s="950"/>
      <c r="P129" s="950"/>
      <c r="Q129" s="950"/>
      <c r="R129" s="950"/>
      <c r="S129" s="837"/>
      <c r="T129" s="950"/>
      <c r="U129" s="950"/>
      <c r="V129" s="950"/>
      <c r="W129" s="950"/>
      <c r="X129" s="950"/>
      <c r="Y129" s="950"/>
      <c r="Z129" s="837"/>
      <c r="AA129" s="951"/>
      <c r="AB129" s="952"/>
      <c r="AC129" s="950"/>
      <c r="AD129" s="837"/>
      <c r="AE129" s="837"/>
      <c r="AF129" s="950"/>
      <c r="AG129" s="950"/>
      <c r="AH129" s="951"/>
      <c r="AI129" s="950"/>
      <c r="AJ129" s="953"/>
      <c r="AK129" s="837"/>
      <c r="AL129" s="837"/>
      <c r="AM129" s="837"/>
      <c r="AN129" s="837"/>
      <c r="AO129" s="837"/>
    </row>
    <row r="130" spans="1:41" x14ac:dyDescent="0.2">
      <c r="A130" s="875">
        <v>7</v>
      </c>
      <c r="B130" s="856" t="s">
        <v>1105</v>
      </c>
      <c r="C130" s="897">
        <f>F47</f>
        <v>8</v>
      </c>
      <c r="D130" s="897"/>
      <c r="E130" s="947">
        <f>G47</f>
        <v>43790.065000000002</v>
      </c>
      <c r="F130" s="955">
        <f>I47</f>
        <v>499</v>
      </c>
      <c r="G130" s="948">
        <f>L47</f>
        <v>6.3206412825651306</v>
      </c>
      <c r="H130" s="949"/>
      <c r="I130" s="949"/>
      <c r="J130" s="949"/>
      <c r="K130" s="949"/>
      <c r="L130" s="933"/>
      <c r="M130" s="937"/>
      <c r="N130" s="950"/>
      <c r="O130" s="950"/>
      <c r="P130" s="950"/>
      <c r="Q130" s="950"/>
      <c r="R130" s="950"/>
      <c r="S130" s="837"/>
      <c r="T130" s="950"/>
      <c r="U130" s="950"/>
      <c r="V130" s="950"/>
      <c r="W130" s="950"/>
      <c r="X130" s="950"/>
      <c r="Y130" s="950"/>
      <c r="Z130" s="837"/>
      <c r="AA130" s="951"/>
      <c r="AB130" s="952"/>
      <c r="AC130" s="950"/>
      <c r="AD130" s="837"/>
      <c r="AE130" s="837"/>
      <c r="AF130" s="950"/>
      <c r="AG130" s="950"/>
      <c r="AH130" s="951"/>
      <c r="AI130" s="950"/>
      <c r="AJ130" s="953"/>
      <c r="AK130" s="837"/>
      <c r="AL130" s="837"/>
      <c r="AM130" s="837"/>
      <c r="AN130" s="837"/>
      <c r="AO130" s="837"/>
    </row>
    <row r="131" spans="1:41" x14ac:dyDescent="0.2">
      <c r="A131" s="875">
        <v>8</v>
      </c>
      <c r="B131" s="856" t="s">
        <v>1095</v>
      </c>
      <c r="C131" s="897">
        <f>F55</f>
        <v>9</v>
      </c>
      <c r="D131" s="897"/>
      <c r="E131" s="947">
        <f>G55</f>
        <v>42529.130000000005</v>
      </c>
      <c r="F131" s="955">
        <f>I55</f>
        <v>520</v>
      </c>
      <c r="G131" s="948">
        <f>L55</f>
        <v>5.2078269230769232</v>
      </c>
      <c r="H131" s="949"/>
      <c r="I131" s="949"/>
      <c r="J131" s="949"/>
      <c r="K131" s="949"/>
      <c r="L131" s="933"/>
      <c r="M131" s="937"/>
      <c r="N131" s="950"/>
      <c r="O131" s="950"/>
      <c r="P131" s="950"/>
      <c r="Q131" s="950"/>
      <c r="R131" s="950"/>
      <c r="S131" s="837"/>
      <c r="T131" s="950"/>
      <c r="U131" s="950"/>
      <c r="V131" s="950"/>
      <c r="W131" s="950"/>
      <c r="X131" s="950"/>
      <c r="Y131" s="950"/>
      <c r="Z131" s="837"/>
      <c r="AA131" s="951"/>
      <c r="AB131" s="952"/>
      <c r="AC131" s="950"/>
      <c r="AD131" s="837"/>
      <c r="AE131" s="837"/>
      <c r="AF131" s="950"/>
      <c r="AG131" s="950"/>
      <c r="AH131" s="951"/>
      <c r="AI131" s="950"/>
      <c r="AJ131" s="953"/>
      <c r="AK131" s="837"/>
      <c r="AL131" s="837"/>
      <c r="AM131" s="837"/>
      <c r="AN131" s="837"/>
      <c r="AO131" s="837"/>
    </row>
    <row r="132" spans="1:41" x14ac:dyDescent="0.2">
      <c r="A132" s="875">
        <v>9</v>
      </c>
      <c r="B132" s="845" t="s">
        <v>1109</v>
      </c>
      <c r="C132" s="897">
        <f>F59</f>
        <v>3</v>
      </c>
      <c r="D132" s="897"/>
      <c r="E132" s="947">
        <f>G59</f>
        <v>61899.043000000005</v>
      </c>
      <c r="F132" s="955">
        <f>I59</f>
        <v>604</v>
      </c>
      <c r="G132" s="948">
        <f>L59</f>
        <v>8.089403973509933</v>
      </c>
      <c r="H132" s="949"/>
      <c r="I132" s="949"/>
      <c r="J132" s="949"/>
      <c r="K132" s="949"/>
      <c r="L132" s="933"/>
      <c r="M132" s="937"/>
      <c r="N132" s="950"/>
      <c r="O132" s="950"/>
      <c r="P132" s="950"/>
      <c r="Q132" s="950"/>
      <c r="R132" s="950"/>
      <c r="S132" s="837"/>
      <c r="T132" s="950"/>
      <c r="U132" s="950"/>
      <c r="V132" s="950"/>
      <c r="W132" s="950"/>
      <c r="X132" s="950"/>
      <c r="Y132" s="950"/>
      <c r="Z132" s="837"/>
      <c r="AA132" s="951"/>
      <c r="AB132" s="952"/>
      <c r="AC132" s="950"/>
      <c r="AD132" s="837"/>
      <c r="AE132" s="837"/>
      <c r="AF132" s="950"/>
      <c r="AG132" s="950"/>
      <c r="AH132" s="951"/>
      <c r="AI132" s="950"/>
      <c r="AJ132" s="953"/>
      <c r="AK132" s="837"/>
      <c r="AL132" s="837"/>
      <c r="AM132" s="837"/>
      <c r="AN132" s="837"/>
      <c r="AO132" s="837"/>
    </row>
    <row r="133" spans="1:41" x14ac:dyDescent="0.2">
      <c r="A133" s="875">
        <v>10</v>
      </c>
      <c r="B133" s="954" t="s">
        <v>1108</v>
      </c>
      <c r="C133" s="897">
        <f>F69</f>
        <v>12</v>
      </c>
      <c r="D133" s="897"/>
      <c r="E133" s="947">
        <f>G69</f>
        <v>38318.575999999994</v>
      </c>
      <c r="F133" s="955">
        <f>I69</f>
        <v>449</v>
      </c>
      <c r="G133" s="948">
        <f>L69</f>
        <v>6.7361024498886408</v>
      </c>
      <c r="H133" s="949"/>
      <c r="I133" s="949"/>
      <c r="J133" s="949"/>
      <c r="K133" s="949"/>
      <c r="L133" s="933"/>
      <c r="M133" s="937"/>
      <c r="N133" s="950"/>
      <c r="O133" s="950"/>
      <c r="P133" s="950"/>
      <c r="Q133" s="950"/>
      <c r="R133" s="950"/>
      <c r="S133" s="837"/>
      <c r="T133" s="950"/>
      <c r="U133" s="950"/>
      <c r="V133" s="950"/>
      <c r="W133" s="950"/>
      <c r="X133" s="950"/>
      <c r="Y133" s="950"/>
      <c r="Z133" s="837"/>
      <c r="AA133" s="951"/>
      <c r="AB133" s="952"/>
      <c r="AC133" s="950"/>
      <c r="AD133" s="837"/>
      <c r="AE133" s="837"/>
      <c r="AF133" s="950"/>
      <c r="AG133" s="950"/>
      <c r="AH133" s="951"/>
      <c r="AI133" s="950"/>
      <c r="AJ133" s="953"/>
      <c r="AK133" s="837"/>
      <c r="AL133" s="837"/>
      <c r="AM133" s="837"/>
      <c r="AN133" s="837"/>
      <c r="AO133" s="837"/>
    </row>
    <row r="134" spans="1:41" x14ac:dyDescent="0.2">
      <c r="A134" s="875">
        <v>11</v>
      </c>
      <c r="B134" s="954" t="s">
        <v>1303</v>
      </c>
      <c r="C134" s="897">
        <f>F82</f>
        <v>22</v>
      </c>
      <c r="D134" s="897"/>
      <c r="E134" s="947">
        <f>G82</f>
        <v>49599.804999999993</v>
      </c>
      <c r="F134" s="955">
        <f>I82</f>
        <v>583</v>
      </c>
      <c r="G134" s="948">
        <f>L82</f>
        <v>5.2210634648370498</v>
      </c>
      <c r="H134" s="949"/>
      <c r="I134" s="949"/>
      <c r="J134" s="949"/>
      <c r="K134" s="949"/>
      <c r="L134" s="933"/>
      <c r="M134" s="937"/>
      <c r="N134" s="950"/>
      <c r="O134" s="950"/>
      <c r="P134" s="950"/>
      <c r="Q134" s="950"/>
      <c r="R134" s="950"/>
      <c r="S134" s="837"/>
      <c r="T134" s="950"/>
      <c r="U134" s="950"/>
      <c r="V134" s="950"/>
      <c r="W134" s="950"/>
      <c r="X134" s="950"/>
      <c r="Y134" s="950"/>
      <c r="Z134" s="837"/>
      <c r="AA134" s="951"/>
      <c r="AB134" s="952"/>
      <c r="AC134" s="950"/>
      <c r="AD134" s="837"/>
      <c r="AE134" s="837"/>
      <c r="AF134" s="950"/>
      <c r="AG134" s="950"/>
      <c r="AH134" s="951"/>
      <c r="AI134" s="950"/>
      <c r="AJ134" s="953"/>
      <c r="AK134" s="837"/>
      <c r="AL134" s="837"/>
      <c r="AM134" s="837"/>
      <c r="AN134" s="837"/>
      <c r="AO134" s="837"/>
    </row>
    <row r="135" spans="1:41" x14ac:dyDescent="0.2">
      <c r="A135" s="875">
        <v>12</v>
      </c>
      <c r="B135" s="954" t="s">
        <v>1107</v>
      </c>
      <c r="C135" s="897">
        <f>F92</f>
        <v>9</v>
      </c>
      <c r="D135" s="897"/>
      <c r="E135" s="947">
        <f>G92</f>
        <v>43120.015999999989</v>
      </c>
      <c r="F135" s="955">
        <f>I92</f>
        <v>534</v>
      </c>
      <c r="G135" s="948">
        <f>L92</f>
        <v>6.3</v>
      </c>
      <c r="H135" s="949"/>
      <c r="I135" s="949"/>
      <c r="J135" s="949"/>
      <c r="K135" s="949"/>
      <c r="L135" s="933"/>
      <c r="M135" s="937"/>
      <c r="N135" s="950"/>
      <c r="O135" s="950"/>
      <c r="P135" s="950"/>
      <c r="Q135" s="950"/>
      <c r="R135" s="950"/>
      <c r="S135" s="837"/>
      <c r="T135" s="950"/>
      <c r="U135" s="950"/>
      <c r="V135" s="950"/>
      <c r="W135" s="950"/>
      <c r="X135" s="950"/>
      <c r="Y135" s="950"/>
      <c r="Z135" s="837"/>
      <c r="AA135" s="951"/>
      <c r="AB135" s="952"/>
      <c r="AC135" s="950"/>
      <c r="AD135" s="837"/>
      <c r="AE135" s="837"/>
      <c r="AF135" s="950"/>
      <c r="AG135" s="950"/>
      <c r="AH135" s="951"/>
      <c r="AI135" s="950"/>
      <c r="AJ135" s="953"/>
      <c r="AK135" s="837"/>
      <c r="AL135" s="837"/>
      <c r="AM135" s="837"/>
      <c r="AN135" s="837"/>
      <c r="AO135" s="837"/>
    </row>
    <row r="136" spans="1:41" x14ac:dyDescent="0.2">
      <c r="A136" s="875">
        <v>13</v>
      </c>
      <c r="B136" s="954" t="s">
        <v>1102</v>
      </c>
      <c r="C136" s="897">
        <f>F99</f>
        <v>29</v>
      </c>
      <c r="D136" s="897"/>
      <c r="E136" s="947">
        <f>G99</f>
        <v>41661.173999999999</v>
      </c>
      <c r="F136" s="955">
        <f>I99</f>
        <v>487</v>
      </c>
      <c r="G136" s="948">
        <f>L99</f>
        <v>3.9472895277207392</v>
      </c>
      <c r="H136" s="949"/>
      <c r="I136" s="949"/>
      <c r="J136" s="949"/>
      <c r="K136" s="949"/>
      <c r="L136" s="933"/>
      <c r="M136" s="937"/>
      <c r="N136" s="950"/>
      <c r="O136" s="950"/>
      <c r="P136" s="950"/>
      <c r="Q136" s="950"/>
      <c r="R136" s="950"/>
      <c r="S136" s="837"/>
      <c r="T136" s="950"/>
      <c r="U136" s="950"/>
      <c r="V136" s="950"/>
      <c r="W136" s="950"/>
      <c r="X136" s="950"/>
      <c r="Y136" s="950"/>
      <c r="Z136" s="837"/>
      <c r="AA136" s="951"/>
      <c r="AB136" s="952"/>
      <c r="AC136" s="950"/>
      <c r="AD136" s="837"/>
      <c r="AE136" s="837"/>
      <c r="AF136" s="950"/>
      <c r="AG136" s="950"/>
      <c r="AH136" s="951"/>
      <c r="AI136" s="950"/>
      <c r="AJ136" s="953"/>
      <c r="AK136" s="837"/>
      <c r="AL136" s="837"/>
      <c r="AM136" s="837"/>
      <c r="AN136" s="837"/>
      <c r="AO136" s="837"/>
    </row>
    <row r="137" spans="1:41" x14ac:dyDescent="0.2">
      <c r="A137" s="875">
        <v>14</v>
      </c>
      <c r="B137" s="954" t="s">
        <v>1304</v>
      </c>
      <c r="C137" s="897">
        <f>F106</f>
        <v>22</v>
      </c>
      <c r="D137" s="897"/>
      <c r="E137" s="947">
        <f>G106</f>
        <v>24802.501</v>
      </c>
      <c r="F137" s="955">
        <f>I106</f>
        <v>332</v>
      </c>
      <c r="G137" s="948">
        <f>L106</f>
        <v>3.9267469879518067</v>
      </c>
      <c r="H137" s="949"/>
      <c r="I137" s="949"/>
      <c r="J137" s="949"/>
      <c r="K137" s="949"/>
      <c r="L137" s="933"/>
      <c r="M137" s="937"/>
      <c r="N137" s="950"/>
      <c r="O137" s="950"/>
      <c r="P137" s="950"/>
      <c r="Q137" s="950"/>
      <c r="R137" s="950"/>
      <c r="S137" s="837"/>
      <c r="T137" s="950"/>
      <c r="U137" s="950"/>
      <c r="V137" s="950"/>
      <c r="W137" s="950"/>
      <c r="X137" s="950"/>
      <c r="Y137" s="950"/>
      <c r="Z137" s="837"/>
      <c r="AA137" s="951"/>
      <c r="AB137" s="952"/>
      <c r="AC137" s="950"/>
      <c r="AD137" s="837"/>
      <c r="AE137" s="837"/>
      <c r="AF137" s="950"/>
      <c r="AG137" s="950"/>
      <c r="AH137" s="951"/>
      <c r="AI137" s="950"/>
      <c r="AJ137" s="953"/>
      <c r="AK137" s="837"/>
      <c r="AL137" s="837"/>
      <c r="AM137" s="837"/>
      <c r="AN137" s="837"/>
      <c r="AO137" s="837"/>
    </row>
    <row r="138" spans="1:41" x14ac:dyDescent="0.2">
      <c r="A138" s="875">
        <v>15</v>
      </c>
      <c r="B138" s="954" t="s">
        <v>1096</v>
      </c>
      <c r="C138" s="897">
        <f>F113</f>
        <v>27</v>
      </c>
      <c r="D138" s="897"/>
      <c r="E138" s="947">
        <f>G113</f>
        <v>19864.632000000001</v>
      </c>
      <c r="F138" s="860">
        <f>I113</f>
        <v>255</v>
      </c>
      <c r="G138" s="948">
        <f>L113</f>
        <v>4.1361176470588239</v>
      </c>
      <c r="H138" s="949"/>
      <c r="I138" s="949"/>
      <c r="J138" s="949"/>
      <c r="K138" s="949"/>
      <c r="L138" s="933"/>
      <c r="M138" s="937"/>
      <c r="N138" s="950"/>
      <c r="O138" s="950"/>
      <c r="P138" s="950"/>
      <c r="Q138" s="950"/>
      <c r="R138" s="950"/>
      <c r="S138" s="837"/>
      <c r="T138" s="950"/>
      <c r="U138" s="950"/>
      <c r="V138" s="950"/>
      <c r="W138" s="950"/>
      <c r="X138" s="950"/>
      <c r="Y138" s="950"/>
      <c r="Z138" s="837"/>
      <c r="AA138" s="951"/>
      <c r="AB138" s="952"/>
      <c r="AC138" s="950"/>
      <c r="AD138" s="837"/>
      <c r="AE138" s="837"/>
      <c r="AF138" s="950"/>
      <c r="AG138" s="950"/>
      <c r="AH138" s="951"/>
      <c r="AI138" s="950"/>
      <c r="AJ138" s="953"/>
      <c r="AK138" s="837"/>
      <c r="AL138" s="837"/>
      <c r="AM138" s="837"/>
      <c r="AN138" s="837"/>
      <c r="AO138" s="837"/>
    </row>
    <row r="139" spans="1:41" s="963" customFormat="1" x14ac:dyDescent="0.2">
      <c r="A139" s="1827" t="s">
        <v>286</v>
      </c>
      <c r="B139" s="1828"/>
      <c r="C139" s="956">
        <f>SUM(C124:C138)</f>
        <v>183</v>
      </c>
      <c r="D139" s="956"/>
      <c r="E139" s="957">
        <f>SUM(E124:E138)</f>
        <v>574322.20400000003</v>
      </c>
      <c r="F139" s="957">
        <f>SUM(F124:F138)</f>
        <v>6704</v>
      </c>
      <c r="G139" s="958"/>
      <c r="H139" s="959"/>
      <c r="I139" s="959"/>
      <c r="J139" s="959"/>
      <c r="K139" s="959"/>
      <c r="L139" s="933"/>
      <c r="M139" s="960"/>
      <c r="N139" s="961"/>
      <c r="O139" s="961"/>
      <c r="P139" s="961"/>
      <c r="Q139" s="961"/>
      <c r="R139" s="961"/>
      <c r="S139" s="960"/>
      <c r="T139" s="961"/>
      <c r="U139" s="961"/>
      <c r="V139" s="961"/>
      <c r="W139" s="961"/>
      <c r="X139" s="961"/>
      <c r="Y139" s="961"/>
      <c r="Z139" s="960"/>
      <c r="AA139" s="962"/>
      <c r="AB139" s="962"/>
      <c r="AC139" s="961"/>
      <c r="AD139" s="960"/>
      <c r="AE139" s="960"/>
      <c r="AF139" s="961"/>
      <c r="AG139" s="961"/>
      <c r="AH139" s="961"/>
      <c r="AI139" s="961"/>
      <c r="AJ139" s="961"/>
      <c r="AK139" s="960"/>
      <c r="AL139" s="960"/>
      <c r="AM139" s="960"/>
      <c r="AN139" s="960"/>
      <c r="AO139" s="960"/>
    </row>
    <row r="140" spans="1:41" s="835" customFormat="1" x14ac:dyDescent="0.2">
      <c r="A140" s="831"/>
      <c r="B140" s="832"/>
      <c r="C140" s="833"/>
      <c r="D140" s="833"/>
      <c r="E140" s="837"/>
      <c r="F140" s="834"/>
      <c r="H140" s="937"/>
      <c r="I140" s="837"/>
      <c r="J140" s="933"/>
      <c r="K140" s="933"/>
      <c r="L140" s="933"/>
      <c r="M140" s="950"/>
      <c r="N140" s="950"/>
      <c r="O140" s="950"/>
      <c r="P140" s="950"/>
      <c r="Q140" s="950"/>
      <c r="R140" s="950"/>
      <c r="S140" s="950"/>
      <c r="T140" s="950"/>
      <c r="U140" s="950"/>
      <c r="V140" s="950"/>
      <c r="W140" s="950"/>
      <c r="X140" s="950"/>
      <c r="Y140" s="950"/>
      <c r="Z140" s="950"/>
      <c r="AA140" s="950"/>
      <c r="AB140" s="950"/>
      <c r="AC140" s="950"/>
      <c r="AD140" s="950"/>
      <c r="AE140" s="950"/>
      <c r="AF140" s="950"/>
      <c r="AG140" s="950"/>
      <c r="AH140" s="950"/>
      <c r="AI140" s="950"/>
      <c r="AJ140" s="950"/>
      <c r="AK140" s="950"/>
      <c r="AL140" s="950"/>
      <c r="AM140" s="950"/>
      <c r="AN140" s="950"/>
      <c r="AO140" s="950"/>
    </row>
    <row r="141" spans="1:41" s="835" customFormat="1" x14ac:dyDescent="0.2">
      <c r="A141" s="831"/>
      <c r="B141" s="832"/>
      <c r="C141" s="833"/>
      <c r="D141" s="833"/>
      <c r="E141" s="837"/>
      <c r="F141" s="834"/>
      <c r="H141" s="937"/>
      <c r="I141" s="837"/>
      <c r="J141" s="933"/>
      <c r="K141" s="933"/>
      <c r="L141" s="933"/>
      <c r="M141" s="950"/>
      <c r="N141" s="950"/>
      <c r="O141" s="950"/>
      <c r="P141" s="950"/>
      <c r="Q141" s="950"/>
      <c r="R141" s="950"/>
      <c r="S141" s="950"/>
      <c r="T141" s="950"/>
      <c r="U141" s="950"/>
      <c r="V141" s="950"/>
      <c r="W141" s="950"/>
      <c r="X141" s="950"/>
      <c r="Y141" s="950"/>
      <c r="Z141" s="950"/>
      <c r="AA141" s="950"/>
      <c r="AB141" s="950"/>
      <c r="AC141" s="950"/>
      <c r="AD141" s="950"/>
      <c r="AE141" s="950"/>
      <c r="AF141" s="950"/>
      <c r="AG141" s="950"/>
      <c r="AH141" s="950"/>
      <c r="AI141" s="950"/>
      <c r="AJ141" s="950"/>
      <c r="AK141" s="950"/>
      <c r="AL141" s="950"/>
      <c r="AM141" s="950"/>
      <c r="AN141" s="950"/>
      <c r="AO141" s="950"/>
    </row>
    <row r="142" spans="1:41" s="835" customFormat="1" x14ac:dyDescent="0.2">
      <c r="A142" s="831"/>
      <c r="B142" s="832"/>
      <c r="C142" s="833"/>
      <c r="D142" s="833"/>
      <c r="E142" s="837"/>
      <c r="F142" s="834"/>
      <c r="H142" s="937"/>
      <c r="I142" s="837"/>
      <c r="J142" s="933"/>
      <c r="K142" s="933"/>
      <c r="L142" s="933"/>
      <c r="M142" s="950"/>
      <c r="N142" s="950"/>
      <c r="O142" s="950"/>
      <c r="P142" s="950"/>
      <c r="Q142" s="950"/>
      <c r="R142" s="950"/>
      <c r="S142" s="950"/>
      <c r="T142" s="950"/>
      <c r="U142" s="950"/>
      <c r="V142" s="950"/>
      <c r="W142" s="950"/>
      <c r="X142" s="950"/>
      <c r="Y142" s="950"/>
      <c r="Z142" s="950"/>
      <c r="AA142" s="950"/>
      <c r="AB142" s="950"/>
      <c r="AC142" s="950"/>
      <c r="AD142" s="950"/>
      <c r="AE142" s="950"/>
      <c r="AF142" s="950"/>
      <c r="AG142" s="950"/>
      <c r="AH142" s="950"/>
      <c r="AI142" s="950"/>
      <c r="AJ142" s="950"/>
      <c r="AK142" s="950"/>
      <c r="AL142" s="950"/>
      <c r="AM142" s="950"/>
      <c r="AN142" s="950"/>
      <c r="AO142" s="950"/>
    </row>
    <row r="143" spans="1:41" s="835" customFormat="1" x14ac:dyDescent="0.2">
      <c r="A143" s="831"/>
      <c r="B143" s="832"/>
      <c r="C143" s="833"/>
      <c r="D143" s="833"/>
      <c r="E143" s="837"/>
      <c r="F143" s="834"/>
      <c r="H143" s="833"/>
      <c r="I143" s="834"/>
      <c r="J143" s="836"/>
      <c r="K143" s="836"/>
      <c r="L143" s="836"/>
      <c r="M143" s="950"/>
      <c r="N143" s="950"/>
    </row>
    <row r="144" spans="1:41" s="835" customFormat="1" ht="39" customHeight="1" x14ac:dyDescent="0.2">
      <c r="A144" s="831"/>
      <c r="B144" s="832"/>
      <c r="C144" s="833"/>
      <c r="D144" s="833"/>
      <c r="E144" s="837"/>
      <c r="F144" s="834"/>
      <c r="H144" s="833"/>
      <c r="I144" s="834"/>
      <c r="J144" s="836"/>
      <c r="K144" s="836"/>
      <c r="L144" s="836"/>
      <c r="M144" s="950"/>
      <c r="N144" s="950"/>
    </row>
    <row r="145" spans="1:14" s="835" customFormat="1" x14ac:dyDescent="0.2">
      <c r="A145" s="831"/>
      <c r="B145" s="832"/>
      <c r="C145" s="833"/>
      <c r="D145" s="833"/>
      <c r="E145" s="837"/>
      <c r="F145" s="964"/>
      <c r="H145" s="833"/>
      <c r="I145" s="834"/>
      <c r="J145" s="836"/>
      <c r="K145" s="836"/>
      <c r="L145" s="836"/>
      <c r="M145" s="950"/>
      <c r="N145" s="950"/>
    </row>
    <row r="146" spans="1:14" s="835" customFormat="1" x14ac:dyDescent="0.2">
      <c r="A146" s="831"/>
      <c r="B146" s="832"/>
      <c r="C146" s="833"/>
      <c r="D146" s="833"/>
      <c r="E146" s="837"/>
      <c r="F146" s="964"/>
      <c r="H146" s="833"/>
      <c r="I146" s="834"/>
      <c r="J146" s="836"/>
      <c r="K146" s="836"/>
      <c r="L146" s="836"/>
      <c r="M146" s="950"/>
      <c r="N146" s="950"/>
    </row>
    <row r="147" spans="1:14" s="835" customFormat="1" x14ac:dyDescent="0.2">
      <c r="A147" s="831"/>
      <c r="B147" s="832"/>
      <c r="C147" s="833"/>
      <c r="D147" s="833"/>
      <c r="E147" s="837"/>
      <c r="F147" s="964"/>
      <c r="H147" s="833"/>
      <c r="I147" s="834"/>
      <c r="J147" s="836"/>
      <c r="K147" s="836"/>
      <c r="L147" s="836"/>
      <c r="M147" s="950"/>
      <c r="N147" s="950"/>
    </row>
    <row r="148" spans="1:14" s="835" customFormat="1" x14ac:dyDescent="0.2">
      <c r="A148" s="831"/>
      <c r="B148" s="832"/>
      <c r="C148" s="833"/>
      <c r="D148" s="833"/>
      <c r="E148" s="837"/>
      <c r="F148" s="964"/>
      <c r="H148" s="833"/>
      <c r="I148" s="834"/>
      <c r="J148" s="836"/>
      <c r="K148" s="836"/>
      <c r="L148" s="836"/>
      <c r="M148" s="950"/>
      <c r="N148" s="950"/>
    </row>
    <row r="149" spans="1:14" s="835" customFormat="1" x14ac:dyDescent="0.2">
      <c r="A149" s="831"/>
      <c r="B149" s="832"/>
      <c r="C149" s="833"/>
      <c r="D149" s="833"/>
      <c r="E149" s="837"/>
      <c r="F149" s="964"/>
      <c r="H149" s="833"/>
      <c r="I149" s="834"/>
      <c r="J149" s="836"/>
      <c r="K149" s="836"/>
      <c r="L149" s="836"/>
      <c r="M149" s="950"/>
      <c r="N149" s="950"/>
    </row>
    <row r="150" spans="1:14" s="835" customFormat="1" x14ac:dyDescent="0.2">
      <c r="A150" s="831"/>
      <c r="B150" s="832"/>
      <c r="C150" s="833"/>
      <c r="D150" s="833"/>
      <c r="E150" s="837"/>
      <c r="F150" s="834"/>
      <c r="H150" s="833"/>
      <c r="I150" s="834"/>
      <c r="J150" s="836"/>
      <c r="K150" s="836"/>
      <c r="L150" s="836"/>
      <c r="M150" s="950"/>
      <c r="N150" s="950"/>
    </row>
    <row r="151" spans="1:14" s="835" customFormat="1" x14ac:dyDescent="0.2">
      <c r="A151" s="831"/>
      <c r="B151" s="832"/>
      <c r="C151" s="833"/>
      <c r="D151" s="833"/>
      <c r="E151" s="848"/>
      <c r="F151" s="834"/>
      <c r="H151" s="833"/>
      <c r="I151" s="834"/>
      <c r="J151" s="836"/>
      <c r="K151" s="836"/>
      <c r="L151" s="836"/>
      <c r="M151" s="950"/>
      <c r="N151" s="950"/>
    </row>
    <row r="152" spans="1:14" s="835" customFormat="1" x14ac:dyDescent="0.2">
      <c r="A152" s="831"/>
      <c r="B152" s="832"/>
      <c r="C152" s="833"/>
      <c r="D152" s="833"/>
      <c r="E152" s="837"/>
      <c r="F152" s="834"/>
      <c r="H152" s="833"/>
      <c r="I152" s="834"/>
      <c r="J152" s="836"/>
      <c r="K152" s="836"/>
      <c r="L152" s="836"/>
      <c r="M152" s="950"/>
      <c r="N152" s="950"/>
    </row>
    <row r="153" spans="1:14" s="835" customFormat="1" x14ac:dyDescent="0.2">
      <c r="A153" s="831"/>
      <c r="B153" s="832"/>
      <c r="C153" s="833"/>
      <c r="D153" s="833"/>
      <c r="E153" s="837"/>
      <c r="F153" s="834"/>
      <c r="H153" s="833"/>
      <c r="I153" s="834"/>
      <c r="J153" s="836"/>
      <c r="K153" s="836"/>
      <c r="L153" s="836"/>
      <c r="M153" s="950"/>
      <c r="N153" s="950"/>
    </row>
    <row r="154" spans="1:14" s="835" customFormat="1" x14ac:dyDescent="0.2">
      <c r="A154" s="831"/>
      <c r="B154" s="832"/>
      <c r="C154" s="833"/>
      <c r="D154" s="833"/>
      <c r="E154" s="837"/>
      <c r="F154" s="834"/>
      <c r="H154" s="833"/>
      <c r="I154" s="834"/>
      <c r="J154" s="836"/>
      <c r="K154" s="836"/>
      <c r="L154" s="836"/>
      <c r="M154" s="950"/>
      <c r="N154" s="950"/>
    </row>
  </sheetData>
  <mergeCells count="12">
    <mergeCell ref="A139:B139"/>
    <mergeCell ref="L11:L18"/>
    <mergeCell ref="C16:C18"/>
    <mergeCell ref="L20:L26"/>
    <mergeCell ref="C23:C26"/>
    <mergeCell ref="L28:L29"/>
    <mergeCell ref="L31:L32"/>
    <mergeCell ref="L34:L41"/>
    <mergeCell ref="C66:C68"/>
    <mergeCell ref="C74:C81"/>
    <mergeCell ref="C84:C85"/>
    <mergeCell ref="C110:C112"/>
  </mergeCells>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26"/>
  <dimension ref="A1:AQ93"/>
  <sheetViews>
    <sheetView rightToLeft="1" topLeftCell="N13" workbookViewId="0">
      <selection activeCell="T18" sqref="T18:V27"/>
    </sheetView>
  </sheetViews>
  <sheetFormatPr defaultRowHeight="12.75" x14ac:dyDescent="0.2"/>
  <cols>
    <col min="1" max="1" width="54.140625" bestFit="1" customWidth="1"/>
    <col min="2" max="3" width="16.140625" customWidth="1"/>
    <col min="4" max="4" width="18" customWidth="1"/>
    <col min="5" max="5" width="16.140625" customWidth="1"/>
    <col min="6" max="6" width="12.42578125" customWidth="1"/>
    <col min="12" max="12" width="12.42578125" style="2" bestFit="1" customWidth="1"/>
    <col min="13" max="13" width="12.42578125" style="2" customWidth="1"/>
    <col min="14" max="14" width="12.42578125" customWidth="1"/>
    <col min="15" max="15" width="15.85546875" customWidth="1"/>
    <col min="16" max="16" width="15.140625" customWidth="1"/>
    <col min="17" max="17" width="12.42578125" style="1" customWidth="1"/>
    <col min="18" max="18" width="12.42578125" bestFit="1" customWidth="1"/>
    <col min="20" max="20" width="16.85546875" customWidth="1"/>
    <col min="21" max="21" width="17" customWidth="1"/>
  </cols>
  <sheetData>
    <row r="1" spans="1:21" ht="58.5" x14ac:dyDescent="0.3">
      <c r="A1" s="1838" t="s">
        <v>1421</v>
      </c>
      <c r="B1" s="1839"/>
      <c r="C1" s="1563" t="s">
        <v>1422</v>
      </c>
      <c r="D1" s="1563" t="s">
        <v>1423</v>
      </c>
      <c r="E1" s="1563" t="s">
        <v>1424</v>
      </c>
      <c r="F1" s="982" t="s">
        <v>1425</v>
      </c>
      <c r="G1" s="983" t="s">
        <v>1426</v>
      </c>
      <c r="H1" s="983" t="s">
        <v>1427</v>
      </c>
      <c r="I1" s="983" t="s">
        <v>1428</v>
      </c>
      <c r="J1" s="983" t="s">
        <v>1429</v>
      </c>
      <c r="K1" s="983" t="s">
        <v>1430</v>
      </c>
      <c r="L1" s="984" t="s">
        <v>1431</v>
      </c>
      <c r="M1" s="984" t="s">
        <v>1432</v>
      </c>
      <c r="N1" s="985" t="s">
        <v>1433</v>
      </c>
      <c r="O1" s="985" t="s">
        <v>1434</v>
      </c>
      <c r="P1" s="983" t="s">
        <v>1435</v>
      </c>
      <c r="Q1" s="986" t="s">
        <v>1436</v>
      </c>
      <c r="U1" s="1245" t="s">
        <v>1437</v>
      </c>
    </row>
    <row r="2" spans="1:21" ht="15" x14ac:dyDescent="0.25">
      <c r="A2" s="987" t="s">
        <v>1184</v>
      </c>
      <c r="B2" s="720"/>
      <c r="C2" s="720">
        <v>2</v>
      </c>
      <c r="D2" s="720"/>
      <c r="E2" s="720">
        <v>5</v>
      </c>
      <c r="F2" s="720"/>
      <c r="G2" s="720"/>
      <c r="H2" s="720"/>
      <c r="I2" s="720"/>
      <c r="J2" s="720"/>
      <c r="K2" s="720">
        <v>250</v>
      </c>
      <c r="L2" s="1263"/>
      <c r="M2" s="1263"/>
      <c r="N2" s="1571">
        <v>9</v>
      </c>
      <c r="O2" s="720">
        <v>1</v>
      </c>
      <c r="P2" s="720"/>
      <c r="Q2" s="54"/>
      <c r="T2">
        <v>2015</v>
      </c>
      <c r="U2">
        <v>0.75</v>
      </c>
    </row>
    <row r="3" spans="1:21" ht="14.25" x14ac:dyDescent="0.2">
      <c r="A3" s="988" t="s">
        <v>1438</v>
      </c>
      <c r="B3" s="988" t="s">
        <v>1439</v>
      </c>
      <c r="C3" s="988"/>
      <c r="D3" s="988"/>
      <c r="E3" s="988"/>
      <c r="F3" s="38"/>
      <c r="G3" s="38">
        <f t="shared" ref="G3:G8" si="0">IF(B3&gt;94%,0,F3-F3*B3)</f>
        <v>0</v>
      </c>
      <c r="H3" s="968">
        <f>G3*0.25</f>
        <v>0</v>
      </c>
      <c r="I3" s="38">
        <v>1</v>
      </c>
      <c r="J3" s="38"/>
      <c r="K3" s="38">
        <f>$K$2</f>
        <v>250</v>
      </c>
      <c r="L3" s="353">
        <f>K3*I3*H3*J3</f>
        <v>0</v>
      </c>
      <c r="M3" s="353">
        <f>L3*12</f>
        <v>0</v>
      </c>
      <c r="N3" s="436"/>
      <c r="O3" s="436">
        <f>N3*$O$2</f>
        <v>0</v>
      </c>
      <c r="P3" s="38"/>
      <c r="Q3" s="54"/>
    </row>
    <row r="4" spans="1:21" x14ac:dyDescent="0.2">
      <c r="A4" s="989" t="s">
        <v>48</v>
      </c>
      <c r="B4" s="990">
        <v>1</v>
      </c>
      <c r="C4" s="1572">
        <f>VLOOKUP($A4,'[23]נתונים 2010 מפורט'!$D$2:$H$250,C$2,0)</f>
        <v>30398</v>
      </c>
      <c r="D4" s="1572">
        <f>C4*(1-B4)</f>
        <v>0</v>
      </c>
      <c r="E4" s="1572">
        <f>VLOOKUP($A4,'[23]נתונים 2010 מפורט'!$D$2:$H$250,E$2,0)</f>
        <v>2838550</v>
      </c>
      <c r="F4" s="38"/>
      <c r="G4" s="38">
        <f t="shared" si="0"/>
        <v>0</v>
      </c>
      <c r="H4" s="968">
        <f t="shared" ref="H4:H76" si="1">G4*0.25</f>
        <v>0</v>
      </c>
      <c r="I4" s="38">
        <v>1</v>
      </c>
      <c r="J4" s="38"/>
      <c r="K4" s="38">
        <f t="shared" ref="K4:K70" si="2">$K$2</f>
        <v>250</v>
      </c>
      <c r="L4" s="353">
        <f t="shared" ref="L4:L16" si="3">K4*I4*H4*J4</f>
        <v>0</v>
      </c>
      <c r="M4" s="353">
        <f t="shared" ref="M4:M76" si="4">L4*12</f>
        <v>0</v>
      </c>
      <c r="N4" s="436">
        <f>IF(B4&gt;0.899,0,E4*(1-B4))</f>
        <v>0</v>
      </c>
      <c r="O4" s="436">
        <f t="shared" ref="O4:O16" si="5">N4*$O$2</f>
        <v>0</v>
      </c>
      <c r="P4" s="38"/>
      <c r="Q4" s="54"/>
    </row>
    <row r="5" spans="1:21" x14ac:dyDescent="0.2">
      <c r="A5" s="989" t="s">
        <v>16</v>
      </c>
      <c r="B5" s="990">
        <v>1</v>
      </c>
      <c r="C5" s="1572">
        <f>VLOOKUP($A5,'[23]נתונים 2010 מפורט'!$D$2:$H$250,C$2,0)</f>
        <v>8673</v>
      </c>
      <c r="D5" s="1572">
        <f t="shared" ref="D5:D16" si="6">C5*(1-B5)</f>
        <v>0</v>
      </c>
      <c r="E5" s="1572">
        <f>VLOOKUP($A5,'[23]נתונים 2010 מפורט'!$D$2:$H$250,E$2,0)</f>
        <v>765524</v>
      </c>
      <c r="F5" s="38"/>
      <c r="G5" s="38">
        <f t="shared" si="0"/>
        <v>0</v>
      </c>
      <c r="H5" s="968">
        <f t="shared" si="1"/>
        <v>0</v>
      </c>
      <c r="I5" s="38">
        <v>1</v>
      </c>
      <c r="J5" s="38"/>
      <c r="K5" s="38">
        <f t="shared" si="2"/>
        <v>250</v>
      </c>
      <c r="L5" s="353">
        <f t="shared" si="3"/>
        <v>0</v>
      </c>
      <c r="M5" s="353">
        <f t="shared" si="4"/>
        <v>0</v>
      </c>
      <c r="N5" s="436">
        <f t="shared" ref="N5:N16" si="7">IF(B5&gt;0.899,0,E5*(1-B5))</f>
        <v>0</v>
      </c>
      <c r="O5" s="436">
        <f t="shared" si="5"/>
        <v>0</v>
      </c>
      <c r="P5" s="38"/>
      <c r="Q5" s="54"/>
    </row>
    <row r="6" spans="1:21" x14ac:dyDescent="0.2">
      <c r="A6" s="989" t="s">
        <v>1440</v>
      </c>
      <c r="B6" s="990">
        <v>1</v>
      </c>
      <c r="C6" s="1572">
        <f>VLOOKUP($A6,'[23]נתונים 2010 מפורט'!$D$2:$H$250,C$2,0)</f>
        <v>5730</v>
      </c>
      <c r="D6" s="1572">
        <f t="shared" si="6"/>
        <v>0</v>
      </c>
      <c r="E6" s="1572">
        <f>VLOOKUP($A6,'[23]נתונים 2010 מפורט'!$D$2:$H$250,E$2,0)</f>
        <v>584145</v>
      </c>
      <c r="F6" s="38"/>
      <c r="G6" s="38">
        <f t="shared" si="0"/>
        <v>0</v>
      </c>
      <c r="H6" s="968">
        <f t="shared" si="1"/>
        <v>0</v>
      </c>
      <c r="I6" s="38">
        <v>1</v>
      </c>
      <c r="J6" s="38"/>
      <c r="K6" s="38">
        <f t="shared" si="2"/>
        <v>250</v>
      </c>
      <c r="L6" s="353">
        <f t="shared" si="3"/>
        <v>0</v>
      </c>
      <c r="M6" s="353">
        <f t="shared" si="4"/>
        <v>0</v>
      </c>
      <c r="N6" s="436">
        <f t="shared" si="7"/>
        <v>0</v>
      </c>
      <c r="O6" s="436">
        <f t="shared" si="5"/>
        <v>0</v>
      </c>
      <c r="P6" s="38"/>
      <c r="Q6" s="54"/>
    </row>
    <row r="7" spans="1:21" x14ac:dyDescent="0.2">
      <c r="A7" s="989" t="s">
        <v>12</v>
      </c>
      <c r="B7" s="990">
        <v>1</v>
      </c>
      <c r="C7" s="1572">
        <f>VLOOKUP($A7,'[23]נתונים 2010 מפורט'!$D$2:$H$250,C$2,0)</f>
        <v>2954</v>
      </c>
      <c r="D7" s="1572">
        <f t="shared" si="6"/>
        <v>0</v>
      </c>
      <c r="E7" s="1572">
        <f>VLOOKUP($A7,'[23]נתונים 2010 מפורט'!$D$2:$H$250,E$2,0)</f>
        <v>193368</v>
      </c>
      <c r="F7" s="38"/>
      <c r="G7" s="38">
        <f t="shared" si="0"/>
        <v>0</v>
      </c>
      <c r="H7" s="968">
        <f t="shared" si="1"/>
        <v>0</v>
      </c>
      <c r="I7" s="38">
        <v>1</v>
      </c>
      <c r="J7" s="38"/>
      <c r="K7" s="38">
        <f t="shared" si="2"/>
        <v>250</v>
      </c>
      <c r="L7" s="353">
        <f t="shared" si="3"/>
        <v>0</v>
      </c>
      <c r="M7" s="353">
        <f t="shared" si="4"/>
        <v>0</v>
      </c>
      <c r="N7" s="436">
        <f t="shared" si="7"/>
        <v>0</v>
      </c>
      <c r="O7" s="436">
        <f t="shared" si="5"/>
        <v>0</v>
      </c>
      <c r="P7" s="38"/>
      <c r="Q7" s="54"/>
    </row>
    <row r="8" spans="1:21" x14ac:dyDescent="0.2">
      <c r="A8" s="989" t="s">
        <v>21</v>
      </c>
      <c r="B8" s="990">
        <v>1</v>
      </c>
      <c r="C8" s="1572">
        <f>VLOOKUP($A8,'[23]נתונים 2010 מפורט'!$D$2:$H$250,C$2,0)</f>
        <v>1492</v>
      </c>
      <c r="D8" s="1572">
        <f t="shared" si="6"/>
        <v>0</v>
      </c>
      <c r="E8" s="1572">
        <f>VLOOKUP($A8,'[23]נתונים 2010 מפורט'!$D$2:$H$250,E$2,0)</f>
        <v>149756</v>
      </c>
      <c r="F8" s="38"/>
      <c r="G8" s="38">
        <f t="shared" si="0"/>
        <v>0</v>
      </c>
      <c r="H8" s="968">
        <f t="shared" si="1"/>
        <v>0</v>
      </c>
      <c r="I8" s="38">
        <v>1</v>
      </c>
      <c r="J8" s="38"/>
      <c r="K8" s="38">
        <f t="shared" si="2"/>
        <v>250</v>
      </c>
      <c r="L8" s="353">
        <f t="shared" si="3"/>
        <v>0</v>
      </c>
      <c r="M8" s="353">
        <f t="shared" si="4"/>
        <v>0</v>
      </c>
      <c r="N8" s="436">
        <f t="shared" si="7"/>
        <v>0</v>
      </c>
      <c r="O8" s="436">
        <f t="shared" si="5"/>
        <v>0</v>
      </c>
      <c r="P8" s="38"/>
      <c r="Q8" s="54"/>
      <c r="T8" s="18"/>
      <c r="U8" s="18"/>
    </row>
    <row r="9" spans="1:21" x14ac:dyDescent="0.2">
      <c r="A9" s="38" t="s">
        <v>1441</v>
      </c>
      <c r="B9" s="419">
        <v>0.7</v>
      </c>
      <c r="C9" s="1572">
        <f>VLOOKUP($A9,'[23]נתונים 2010 מפורט'!$D$2:$H$250,C$2,0)</f>
        <v>20228</v>
      </c>
      <c r="D9" s="1572">
        <f>C9*(1-B9)</f>
        <v>6068.4000000000005</v>
      </c>
      <c r="E9" s="1572">
        <f>VLOOKUP($A9,'[23]נתונים 2010 מפורט'!$D$2:$H$250,E$2,0)</f>
        <v>1634199</v>
      </c>
      <c r="F9" s="38">
        <v>4400</v>
      </c>
      <c r="G9" s="38">
        <f t="shared" ref="G9:G75" si="8">IF(B9&gt;89%,0,F9-F9*B9)</f>
        <v>1320</v>
      </c>
      <c r="H9" s="968">
        <f t="shared" si="1"/>
        <v>330</v>
      </c>
      <c r="I9" s="38">
        <v>1</v>
      </c>
      <c r="J9" s="38">
        <v>1</v>
      </c>
      <c r="K9" s="38">
        <f t="shared" si="2"/>
        <v>250</v>
      </c>
      <c r="L9" s="353">
        <f t="shared" si="3"/>
        <v>82500</v>
      </c>
      <c r="M9" s="353">
        <f t="shared" si="4"/>
        <v>990000</v>
      </c>
      <c r="N9" s="436">
        <f t="shared" si="7"/>
        <v>490259.70000000007</v>
      </c>
      <c r="O9" s="436">
        <f t="shared" si="5"/>
        <v>490259.70000000007</v>
      </c>
      <c r="P9" s="38"/>
      <c r="Q9" s="54"/>
      <c r="T9" s="18"/>
      <c r="U9" s="18"/>
    </row>
    <row r="10" spans="1:21" x14ac:dyDescent="0.2">
      <c r="A10" s="38" t="s">
        <v>205</v>
      </c>
      <c r="B10" s="419">
        <v>0.6</v>
      </c>
      <c r="C10" s="1572">
        <f>VLOOKUP($A10,'[23]נתונים 2010 מפורט'!$D$2:$H$250,C$2,0)</f>
        <v>10666</v>
      </c>
      <c r="D10" s="1572">
        <f t="shared" si="6"/>
        <v>4266.4000000000005</v>
      </c>
      <c r="E10" s="1572">
        <f>VLOOKUP($A10,'[23]נתונים 2010 מפורט'!$D$2:$H$250,E$2,0)</f>
        <v>819712</v>
      </c>
      <c r="F10" s="38">
        <v>2500</v>
      </c>
      <c r="G10" s="38">
        <f t="shared" si="8"/>
        <v>1000</v>
      </c>
      <c r="H10" s="968">
        <f t="shared" si="1"/>
        <v>250</v>
      </c>
      <c r="I10" s="38">
        <v>1</v>
      </c>
      <c r="J10" s="38">
        <v>1</v>
      </c>
      <c r="K10" s="38">
        <f t="shared" si="2"/>
        <v>250</v>
      </c>
      <c r="L10" s="353">
        <f t="shared" si="3"/>
        <v>62500</v>
      </c>
      <c r="M10" s="353">
        <f t="shared" si="4"/>
        <v>750000</v>
      </c>
      <c r="N10" s="436">
        <f t="shared" si="7"/>
        <v>327884.80000000005</v>
      </c>
      <c r="O10" s="436">
        <f t="shared" si="5"/>
        <v>327884.80000000005</v>
      </c>
      <c r="P10" s="38"/>
      <c r="Q10" s="54"/>
      <c r="T10" s="18"/>
      <c r="U10" s="18"/>
    </row>
    <row r="11" spans="1:21" x14ac:dyDescent="0.2">
      <c r="A11" s="38" t="s">
        <v>245</v>
      </c>
      <c r="B11" s="419">
        <v>0.8</v>
      </c>
      <c r="C11" s="1572">
        <f>VLOOKUP($A11,'[23]נתונים 2010 מפורט'!$D$2:$H$250,C$2,0)</f>
        <v>7279</v>
      </c>
      <c r="D11" s="1572">
        <f t="shared" si="6"/>
        <v>1455.7999999999997</v>
      </c>
      <c r="E11" s="1572">
        <f>VLOOKUP($A11,'[23]נתונים 2010 מפורט'!$D$2:$H$250,E$2,0)</f>
        <v>795220</v>
      </c>
      <c r="F11" s="38">
        <v>1850</v>
      </c>
      <c r="G11" s="38">
        <f t="shared" si="8"/>
        <v>370</v>
      </c>
      <c r="H11" s="968">
        <f t="shared" si="1"/>
        <v>92.5</v>
      </c>
      <c r="I11" s="38">
        <v>1</v>
      </c>
      <c r="J11" s="38">
        <v>1</v>
      </c>
      <c r="K11" s="38">
        <f t="shared" si="2"/>
        <v>250</v>
      </c>
      <c r="L11" s="353">
        <f t="shared" si="3"/>
        <v>23125</v>
      </c>
      <c r="M11" s="353">
        <f t="shared" si="4"/>
        <v>277500</v>
      </c>
      <c r="N11" s="436">
        <f t="shared" si="7"/>
        <v>159043.99999999997</v>
      </c>
      <c r="O11" s="436">
        <f t="shared" si="5"/>
        <v>159043.99999999997</v>
      </c>
      <c r="P11" s="38"/>
      <c r="Q11" s="54"/>
      <c r="T11" s="18"/>
      <c r="U11" s="18"/>
    </row>
    <row r="12" spans="1:21" x14ac:dyDescent="0.2">
      <c r="A12" s="38" t="s">
        <v>133</v>
      </c>
      <c r="B12" s="419">
        <v>0.95</v>
      </c>
      <c r="C12" s="1572">
        <f>VLOOKUP($A12,'[23]נתונים 2010 מפורט'!$D$2:$H$250,C$2,0)</f>
        <v>5571</v>
      </c>
      <c r="D12" s="1572">
        <f t="shared" si="6"/>
        <v>278.55000000000024</v>
      </c>
      <c r="E12" s="1572">
        <f>VLOOKUP($A12,'[23]נתונים 2010 מפורט'!$D$2:$H$250,E$2,0)</f>
        <v>431010</v>
      </c>
      <c r="F12" s="38">
        <v>1200</v>
      </c>
      <c r="G12" s="38">
        <f t="shared" si="8"/>
        <v>0</v>
      </c>
      <c r="H12" s="968">
        <f t="shared" si="1"/>
        <v>0</v>
      </c>
      <c r="I12" s="38">
        <v>1</v>
      </c>
      <c r="J12" s="38"/>
      <c r="K12" s="38">
        <f t="shared" si="2"/>
        <v>250</v>
      </c>
      <c r="L12" s="353">
        <f t="shared" si="3"/>
        <v>0</v>
      </c>
      <c r="M12" s="353">
        <f t="shared" si="4"/>
        <v>0</v>
      </c>
      <c r="N12" s="436">
        <f t="shared" si="7"/>
        <v>0</v>
      </c>
      <c r="O12" s="436">
        <f t="shared" si="5"/>
        <v>0</v>
      </c>
      <c r="P12" s="38"/>
      <c r="Q12" s="54"/>
      <c r="T12" s="18"/>
      <c r="U12" s="18"/>
    </row>
    <row r="13" spans="1:21" x14ac:dyDescent="0.2">
      <c r="A13" s="38" t="s">
        <v>132</v>
      </c>
      <c r="B13" s="419">
        <v>0.98</v>
      </c>
      <c r="C13" s="1572">
        <f>VLOOKUP($A13,'[23]נתונים 2010 מפורט'!$D$2:$H$250,C$2,0)</f>
        <v>5404</v>
      </c>
      <c r="D13" s="1572">
        <f t="shared" si="6"/>
        <v>108.0800000000001</v>
      </c>
      <c r="E13" s="1572">
        <f>VLOOKUP($A13,'[23]נתונים 2010 מפורט'!$D$2:$H$250,E$2,0)</f>
        <v>449930</v>
      </c>
      <c r="F13" s="38"/>
      <c r="G13" s="38">
        <f t="shared" si="8"/>
        <v>0</v>
      </c>
      <c r="H13" s="968">
        <f t="shared" si="1"/>
        <v>0</v>
      </c>
      <c r="I13" s="38">
        <v>1</v>
      </c>
      <c r="J13" s="38"/>
      <c r="K13" s="38">
        <f t="shared" si="2"/>
        <v>250</v>
      </c>
      <c r="L13" s="353">
        <f t="shared" si="3"/>
        <v>0</v>
      </c>
      <c r="M13" s="353">
        <f t="shared" si="4"/>
        <v>0</v>
      </c>
      <c r="N13" s="436">
        <f t="shared" si="7"/>
        <v>0</v>
      </c>
      <c r="O13" s="436">
        <f t="shared" si="5"/>
        <v>0</v>
      </c>
      <c r="P13" s="38"/>
      <c r="Q13" s="54"/>
      <c r="T13" s="18"/>
      <c r="U13" s="18"/>
    </row>
    <row r="14" spans="1:21" x14ac:dyDescent="0.2">
      <c r="A14" s="989" t="s">
        <v>146</v>
      </c>
      <c r="B14" s="990">
        <v>1</v>
      </c>
      <c r="C14" s="1572">
        <f>VLOOKUP($A14,'[23]נתונים 2010 מפורט'!$D$2:$H$250,C$2,0)</f>
        <v>2919</v>
      </c>
      <c r="D14" s="1572">
        <f t="shared" si="6"/>
        <v>0</v>
      </c>
      <c r="E14" s="1572">
        <f>VLOOKUP($A14,'[23]נתונים 2010 מפורט'!$D$2:$H$250,E$2,0)</f>
        <v>209200</v>
      </c>
      <c r="F14" s="38"/>
      <c r="G14" s="38">
        <f t="shared" si="8"/>
        <v>0</v>
      </c>
      <c r="H14" s="968">
        <f t="shared" si="1"/>
        <v>0</v>
      </c>
      <c r="I14" s="38">
        <v>1</v>
      </c>
      <c r="J14" s="38"/>
      <c r="K14" s="38">
        <f t="shared" si="2"/>
        <v>250</v>
      </c>
      <c r="L14" s="353">
        <f t="shared" si="3"/>
        <v>0</v>
      </c>
      <c r="M14" s="353">
        <f t="shared" si="4"/>
        <v>0</v>
      </c>
      <c r="N14" s="436">
        <f t="shared" si="7"/>
        <v>0</v>
      </c>
      <c r="O14" s="436">
        <f t="shared" si="5"/>
        <v>0</v>
      </c>
      <c r="P14" s="38"/>
      <c r="Q14" s="54"/>
      <c r="T14" s="18"/>
      <c r="U14" s="18"/>
    </row>
    <row r="15" spans="1:21" x14ac:dyDescent="0.2">
      <c r="A15" s="38" t="s">
        <v>37</v>
      </c>
      <c r="B15" s="419">
        <v>0.95</v>
      </c>
      <c r="C15" s="1572">
        <f>VLOOKUP($A15,'[23]נתונים 2010 מפורט'!$D$2:$H$250,C$2,0)</f>
        <v>4906</v>
      </c>
      <c r="D15" s="1572">
        <f t="shared" si="6"/>
        <v>245.30000000000021</v>
      </c>
      <c r="E15" s="1572">
        <f>VLOOKUP($A15,'[23]נתונים 2010 מפורט'!$D$2:$H$250,E$2,0)</f>
        <v>427663</v>
      </c>
      <c r="F15" s="38"/>
      <c r="G15" s="38">
        <f t="shared" si="8"/>
        <v>0</v>
      </c>
      <c r="H15" s="968">
        <f t="shared" si="1"/>
        <v>0</v>
      </c>
      <c r="I15" s="38">
        <v>1</v>
      </c>
      <c r="J15" s="38"/>
      <c r="K15" s="38">
        <f t="shared" si="2"/>
        <v>250</v>
      </c>
      <c r="L15" s="353">
        <f t="shared" si="3"/>
        <v>0</v>
      </c>
      <c r="M15" s="353">
        <f t="shared" si="4"/>
        <v>0</v>
      </c>
      <c r="N15" s="436">
        <f t="shared" si="7"/>
        <v>0</v>
      </c>
      <c r="O15" s="436">
        <f t="shared" si="5"/>
        <v>0</v>
      </c>
      <c r="P15" s="38"/>
      <c r="Q15" s="54"/>
      <c r="T15" s="18"/>
      <c r="U15" s="18"/>
    </row>
    <row r="16" spans="1:21" x14ac:dyDescent="0.2">
      <c r="A16" s="989" t="s">
        <v>233</v>
      </c>
      <c r="B16" s="990">
        <v>1</v>
      </c>
      <c r="C16" s="1572">
        <f>VLOOKUP($A16,'[23]נתונים 2010 מפורט'!$D$2:$H$250,C$2,0)</f>
        <v>3760</v>
      </c>
      <c r="D16" s="1572">
        <f t="shared" si="6"/>
        <v>0</v>
      </c>
      <c r="E16" s="1572">
        <f>VLOOKUP($A16,'[23]נתונים 2010 מפורט'!$D$2:$H$250,E$2,0)</f>
        <v>369886</v>
      </c>
      <c r="F16" s="38"/>
      <c r="G16" s="38">
        <f t="shared" si="8"/>
        <v>0</v>
      </c>
      <c r="H16" s="968">
        <f t="shared" si="1"/>
        <v>0</v>
      </c>
      <c r="I16" s="38">
        <v>1</v>
      </c>
      <c r="J16" s="38"/>
      <c r="K16" s="38">
        <f t="shared" si="2"/>
        <v>250</v>
      </c>
      <c r="L16" s="353">
        <f t="shared" si="3"/>
        <v>0</v>
      </c>
      <c r="M16" s="353">
        <f t="shared" si="4"/>
        <v>0</v>
      </c>
      <c r="N16" s="436">
        <f t="shared" si="7"/>
        <v>0</v>
      </c>
      <c r="O16" s="436">
        <f t="shared" si="5"/>
        <v>0</v>
      </c>
      <c r="P16" s="38"/>
      <c r="Q16" s="54"/>
      <c r="T16" s="18"/>
      <c r="U16" s="18"/>
    </row>
    <row r="17" spans="1:43" x14ac:dyDescent="0.2">
      <c r="A17" s="720" t="s">
        <v>1442</v>
      </c>
      <c r="B17" s="991">
        <f>1-D17/C17</f>
        <v>0.88704737224949992</v>
      </c>
      <c r="C17" s="1572">
        <f>SUM(C4:C16)</f>
        <v>109980</v>
      </c>
      <c r="D17" s="1572">
        <f>SUM(D4:D16)</f>
        <v>12422.530000000002</v>
      </c>
      <c r="E17" s="1572">
        <f>SUM(E4:E16)</f>
        <v>9668163</v>
      </c>
      <c r="F17" s="720"/>
      <c r="G17" s="38">
        <f t="shared" si="8"/>
        <v>0</v>
      </c>
      <c r="H17" s="992"/>
      <c r="I17" s="720"/>
      <c r="J17" s="720"/>
      <c r="K17" s="38">
        <f t="shared" si="2"/>
        <v>250</v>
      </c>
      <c r="L17" s="1263"/>
      <c r="M17" s="1263">
        <f>SUM(M3:M16)</f>
        <v>2017500</v>
      </c>
      <c r="N17" s="993">
        <f>SUM(N3:N16)</f>
        <v>977188.50000000012</v>
      </c>
      <c r="O17" s="993">
        <f>SUM(O3:O16)</f>
        <v>977188.50000000012</v>
      </c>
      <c r="P17" s="994">
        <f>M17-O17</f>
        <v>1040311.4999999999</v>
      </c>
      <c r="Q17" s="610">
        <f>P17/E17</f>
        <v>0.10760177502179058</v>
      </c>
      <c r="R17" s="6"/>
      <c r="T17" s="18"/>
      <c r="U17" s="18"/>
    </row>
    <row r="18" spans="1:43" ht="44.25" x14ac:dyDescent="0.3">
      <c r="A18" s="987" t="s">
        <v>1443</v>
      </c>
      <c r="B18" s="995">
        <v>0.13</v>
      </c>
      <c r="C18" s="1572"/>
      <c r="D18" s="1572"/>
      <c r="E18" s="1572"/>
      <c r="F18" s="720"/>
      <c r="G18" s="38">
        <f t="shared" si="8"/>
        <v>0</v>
      </c>
      <c r="H18" s="992">
        <f t="shared" si="1"/>
        <v>0</v>
      </c>
      <c r="I18" s="720">
        <v>1</v>
      </c>
      <c r="J18" s="720"/>
      <c r="K18" s="38">
        <f t="shared" si="2"/>
        <v>250</v>
      </c>
      <c r="L18" s="1263">
        <f>K18*I18*H18</f>
        <v>0</v>
      </c>
      <c r="M18" s="1263"/>
      <c r="N18" s="1263"/>
      <c r="O18" s="720"/>
      <c r="P18" s="720"/>
      <c r="Q18" s="54"/>
      <c r="T18" s="38" t="s">
        <v>677</v>
      </c>
      <c r="U18" s="996" t="s">
        <v>678</v>
      </c>
      <c r="V18" s="997" t="s">
        <v>1444</v>
      </c>
      <c r="W18" s="998" t="s">
        <v>1445</v>
      </c>
      <c r="X18" s="998" t="s">
        <v>1446</v>
      </c>
      <c r="Y18" s="999"/>
      <c r="Z18" s="999"/>
      <c r="AA18" s="999"/>
      <c r="AB18" s="999"/>
      <c r="AC18" s="999"/>
      <c r="AD18" s="999"/>
      <c r="AE18" s="999"/>
      <c r="AF18" s="999"/>
      <c r="AG18" s="999"/>
      <c r="AH18" s="999"/>
      <c r="AI18" s="999"/>
      <c r="AJ18" s="999"/>
      <c r="AK18" s="999"/>
      <c r="AL18" s="999"/>
      <c r="AM18" s="999"/>
      <c r="AN18" s="999"/>
      <c r="AO18" s="999"/>
      <c r="AP18" s="999"/>
      <c r="AQ18" s="999"/>
    </row>
    <row r="19" spans="1:43" ht="16.5" x14ac:dyDescent="0.25">
      <c r="A19" s="38" t="s">
        <v>3</v>
      </c>
      <c r="B19" s="995">
        <v>0.99</v>
      </c>
      <c r="C19" s="1572">
        <f>VLOOKUP($A19,'[23]נתונים 2010 מפורט'!$D$2:$H$250,C$2,0)</f>
        <v>47351</v>
      </c>
      <c r="D19" s="1572">
        <f>C19*(1-B19)</f>
        <v>473.51000000000045</v>
      </c>
      <c r="E19" s="1572">
        <f>VLOOKUP($A19,'[23]נתונים 2010 מפורט'!$D$2:$H$250,E$2,0)</f>
        <v>3126985</v>
      </c>
      <c r="F19" s="38">
        <v>11250</v>
      </c>
      <c r="G19" s="38">
        <f>IF(B19&gt;89%,0,F19-F19*B19)</f>
        <v>0</v>
      </c>
      <c r="H19" s="968">
        <f>G19*0.25</f>
        <v>0</v>
      </c>
      <c r="I19" s="38">
        <v>1</v>
      </c>
      <c r="J19" s="38">
        <v>1</v>
      </c>
      <c r="K19" s="38">
        <f t="shared" si="2"/>
        <v>250</v>
      </c>
      <c r="L19" s="353">
        <f>K19*I19*H19*J19</f>
        <v>0</v>
      </c>
      <c r="M19" s="353">
        <f t="shared" si="4"/>
        <v>0</v>
      </c>
      <c r="N19" s="436">
        <f t="shared" ref="N19:N26" si="9">IF(B19&gt;0.899,0,E19*(1-B19))</f>
        <v>0</v>
      </c>
      <c r="O19" s="436">
        <f>N19*$O$2</f>
        <v>0</v>
      </c>
      <c r="P19" s="38"/>
      <c r="Q19" s="54"/>
      <c r="T19" s="613" t="s">
        <v>457</v>
      </c>
      <c r="U19" s="1000">
        <f>Q17*$U$2</f>
        <v>8.0701331266342935E-2</v>
      </c>
      <c r="V19" s="22">
        <f>+U19*$U$2</f>
        <v>6.0525998449757201E-2</v>
      </c>
      <c r="W19" s="998" t="s">
        <v>1447</v>
      </c>
      <c r="X19" s="999"/>
      <c r="Y19" s="999"/>
      <c r="Z19" s="999"/>
      <c r="AA19" s="999"/>
      <c r="AB19" s="999"/>
      <c r="AC19" s="999"/>
      <c r="AD19" s="999"/>
      <c r="AE19" s="999"/>
      <c r="AF19" s="999"/>
      <c r="AG19" s="999"/>
      <c r="AH19" s="999"/>
      <c r="AI19" s="999"/>
      <c r="AJ19" s="999"/>
      <c r="AK19" s="999"/>
      <c r="AL19" s="999"/>
      <c r="AM19" s="999"/>
      <c r="AN19" s="999"/>
      <c r="AO19" s="999"/>
      <c r="AP19" s="999"/>
      <c r="AQ19" s="999"/>
    </row>
    <row r="20" spans="1:43" ht="16.5" x14ac:dyDescent="0.25">
      <c r="A20" s="38" t="s">
        <v>149</v>
      </c>
      <c r="B20" s="995">
        <v>0.68</v>
      </c>
      <c r="C20" s="1572">
        <f>VLOOKUP($A20,'[23]נתונים 2010 מפורט'!$D$2:$H$250,C$2,0)</f>
        <v>22552</v>
      </c>
      <c r="D20" s="1572">
        <f t="shared" ref="D20:D25" si="10">C20*(1-B20)</f>
        <v>7216.6399999999985</v>
      </c>
      <c r="E20" s="1572">
        <f>VLOOKUP($A20,'[23]נתונים 2010 מפורט'!$D$2:$H$250,E$2,0)</f>
        <v>472999</v>
      </c>
      <c r="F20" s="38">
        <v>3500</v>
      </c>
      <c r="G20" s="38">
        <f t="shared" si="8"/>
        <v>1120</v>
      </c>
      <c r="H20" s="968">
        <f t="shared" si="1"/>
        <v>280</v>
      </c>
      <c r="I20" s="38">
        <v>1</v>
      </c>
      <c r="J20" s="38">
        <v>1</v>
      </c>
      <c r="K20" s="38">
        <f t="shared" si="2"/>
        <v>250</v>
      </c>
      <c r="L20" s="353">
        <f t="shared" ref="L20:L26" si="11">K20*I20*H20*J20</f>
        <v>70000</v>
      </c>
      <c r="M20" s="353">
        <f t="shared" si="4"/>
        <v>840000</v>
      </c>
      <c r="N20" s="436">
        <f t="shared" si="9"/>
        <v>151359.67999999996</v>
      </c>
      <c r="O20" s="436">
        <f t="shared" ref="O20:O26" si="12">N20*$O$2</f>
        <v>151359.67999999996</v>
      </c>
      <c r="P20" s="38"/>
      <c r="Q20" s="54"/>
      <c r="T20" s="613" t="s">
        <v>449</v>
      </c>
      <c r="U20" s="1000">
        <f>Q27*$U$2</f>
        <v>0.37650663885157654</v>
      </c>
      <c r="V20" s="22">
        <f t="shared" ref="V20:V25" si="13">+U20*$U$2</f>
        <v>0.2823799791386824</v>
      </c>
      <c r="W20" s="998" t="s">
        <v>1448</v>
      </c>
      <c r="X20" s="999"/>
      <c r="Y20" s="999"/>
      <c r="Z20" s="999"/>
      <c r="AA20" s="999"/>
      <c r="AB20" s="999"/>
      <c r="AC20" s="999"/>
      <c r="AD20" s="999"/>
      <c r="AE20" s="999"/>
      <c r="AF20" s="999"/>
      <c r="AG20" s="999"/>
      <c r="AH20" s="999"/>
      <c r="AI20" s="999"/>
      <c r="AJ20" s="999"/>
      <c r="AK20" s="999"/>
      <c r="AL20" s="999"/>
      <c r="AM20" s="999"/>
      <c r="AN20" s="999"/>
      <c r="AO20" s="999"/>
      <c r="AP20" s="999"/>
      <c r="AQ20" s="999"/>
    </row>
    <row r="21" spans="1:43" ht="16.5" x14ac:dyDescent="0.25">
      <c r="A21" s="38" t="s">
        <v>23</v>
      </c>
      <c r="B21" s="995">
        <v>0.68</v>
      </c>
      <c r="C21" s="1572">
        <f>VLOOKUP($A21,'[23]נתונים 2010 מפורט'!$D$2:$H$250,C$2,0)</f>
        <v>15721</v>
      </c>
      <c r="D21" s="1572">
        <f t="shared" si="10"/>
        <v>5030.7199999999993</v>
      </c>
      <c r="E21" s="1572">
        <f>VLOOKUP($A21,'[23]נתונים 2010 מפורט'!$D$2:$H$250,E$2,0)</f>
        <v>1373077</v>
      </c>
      <c r="F21" s="38">
        <v>3990</v>
      </c>
      <c r="G21" s="38">
        <f t="shared" si="8"/>
        <v>1276.7999999999997</v>
      </c>
      <c r="H21" s="968">
        <f t="shared" si="1"/>
        <v>319.19999999999993</v>
      </c>
      <c r="I21" s="38">
        <v>1</v>
      </c>
      <c r="J21" s="38">
        <v>1</v>
      </c>
      <c r="K21" s="38">
        <f t="shared" si="2"/>
        <v>250</v>
      </c>
      <c r="L21" s="353">
        <f t="shared" si="11"/>
        <v>79799.999999999985</v>
      </c>
      <c r="M21" s="353">
        <f t="shared" si="4"/>
        <v>957599.99999999977</v>
      </c>
      <c r="N21" s="436">
        <f t="shared" si="9"/>
        <v>439384.63999999996</v>
      </c>
      <c r="O21" s="436">
        <f t="shared" si="12"/>
        <v>439384.63999999996</v>
      </c>
      <c r="P21" s="38"/>
      <c r="Q21" s="54"/>
      <c r="T21" s="613" t="s">
        <v>252</v>
      </c>
      <c r="U21" s="1000">
        <f>Q37*$U$2</f>
        <v>3.5306287568656343E-2</v>
      </c>
      <c r="V21" s="22">
        <f t="shared" si="13"/>
        <v>2.6479715676492259E-2</v>
      </c>
      <c r="W21" s="998" t="s">
        <v>1449</v>
      </c>
      <c r="X21" s="999"/>
      <c r="Y21" s="999"/>
      <c r="Z21" s="999"/>
      <c r="AA21" s="999"/>
      <c r="AB21" s="999"/>
      <c r="AC21" s="999"/>
      <c r="AD21" s="999"/>
      <c r="AE21" s="999"/>
      <c r="AF21" s="999"/>
      <c r="AG21" s="999"/>
      <c r="AH21" s="999"/>
      <c r="AI21" s="999"/>
      <c r="AJ21" s="999"/>
      <c r="AK21" s="999"/>
      <c r="AL21" s="999"/>
      <c r="AM21" s="999"/>
      <c r="AN21" s="999"/>
      <c r="AO21" s="999"/>
      <c r="AP21" s="999"/>
      <c r="AQ21" s="999"/>
    </row>
    <row r="22" spans="1:43" ht="16.5" x14ac:dyDescent="0.25">
      <c r="A22" s="38" t="s">
        <v>8</v>
      </c>
      <c r="B22" s="995">
        <v>0.73</v>
      </c>
      <c r="C22" s="1572">
        <v>0</v>
      </c>
      <c r="D22" s="1572">
        <f t="shared" si="10"/>
        <v>0</v>
      </c>
      <c r="E22" s="1572">
        <v>0</v>
      </c>
      <c r="F22" s="38">
        <v>2000</v>
      </c>
      <c r="G22" s="38">
        <f t="shared" si="8"/>
        <v>540</v>
      </c>
      <c r="H22" s="968">
        <f t="shared" si="1"/>
        <v>135</v>
      </c>
      <c r="I22" s="38">
        <v>1</v>
      </c>
      <c r="J22" s="38">
        <v>1</v>
      </c>
      <c r="K22" s="38">
        <f t="shared" si="2"/>
        <v>250</v>
      </c>
      <c r="L22" s="353">
        <f t="shared" si="11"/>
        <v>33750</v>
      </c>
      <c r="M22" s="353">
        <f t="shared" si="4"/>
        <v>405000</v>
      </c>
      <c r="N22" s="436">
        <f t="shared" si="9"/>
        <v>0</v>
      </c>
      <c r="O22" s="436">
        <f t="shared" si="12"/>
        <v>0</v>
      </c>
      <c r="P22" s="38"/>
      <c r="Q22" s="54"/>
      <c r="T22" s="613" t="s">
        <v>261</v>
      </c>
      <c r="U22" s="1000">
        <f>Q50*$U$2</f>
        <v>0.10286174295545425</v>
      </c>
      <c r="V22" s="22">
        <f t="shared" si="13"/>
        <v>7.7146307216590687E-2</v>
      </c>
      <c r="W22" s="998" t="s">
        <v>1450</v>
      </c>
      <c r="X22" s="999"/>
      <c r="Y22" s="999"/>
      <c r="Z22" s="999"/>
      <c r="AA22" s="999"/>
      <c r="AB22" s="999"/>
      <c r="AC22" s="999"/>
      <c r="AD22" s="999"/>
      <c r="AE22" s="999"/>
      <c r="AF22" s="999"/>
      <c r="AG22" s="999"/>
      <c r="AH22" s="999"/>
      <c r="AI22" s="999"/>
      <c r="AJ22" s="999"/>
      <c r="AK22" s="999"/>
      <c r="AL22" s="999"/>
      <c r="AM22" s="999"/>
      <c r="AN22" s="999"/>
      <c r="AO22" s="999"/>
      <c r="AP22" s="999"/>
      <c r="AQ22" s="999"/>
    </row>
    <row r="23" spans="1:43" ht="16.5" x14ac:dyDescent="0.25">
      <c r="A23" s="38" t="s">
        <v>34</v>
      </c>
      <c r="B23" s="995">
        <v>0.63</v>
      </c>
      <c r="C23" s="1572">
        <f>VLOOKUP($A23,'[23]נתונים 2010 מפורט'!$D$2:$H$250,C$2,0)</f>
        <v>1800</v>
      </c>
      <c r="D23" s="1572">
        <f t="shared" si="10"/>
        <v>666</v>
      </c>
      <c r="E23" s="1572">
        <f>VLOOKUP($A23,'[23]נתונים 2010 מפורט'!$D$2:$H$250,E$2,0)</f>
        <v>141820</v>
      </c>
      <c r="F23" s="38">
        <v>3000</v>
      </c>
      <c r="G23" s="38">
        <f t="shared" si="8"/>
        <v>1110</v>
      </c>
      <c r="H23" s="968">
        <f t="shared" si="1"/>
        <v>277.5</v>
      </c>
      <c r="I23" s="38">
        <v>1</v>
      </c>
      <c r="J23" s="38">
        <v>1</v>
      </c>
      <c r="K23" s="38">
        <f t="shared" si="2"/>
        <v>250</v>
      </c>
      <c r="L23" s="353">
        <f t="shared" si="11"/>
        <v>69375</v>
      </c>
      <c r="M23" s="353">
        <f t="shared" si="4"/>
        <v>832500</v>
      </c>
      <c r="N23" s="436">
        <f t="shared" si="9"/>
        <v>52473.4</v>
      </c>
      <c r="O23" s="436">
        <f t="shared" si="12"/>
        <v>52473.4</v>
      </c>
      <c r="P23" s="38"/>
      <c r="Q23" s="54"/>
      <c r="T23" s="613" t="s">
        <v>578</v>
      </c>
      <c r="U23" s="1000">
        <f>Q60*$U$2</f>
        <v>0.26025757802173766</v>
      </c>
      <c r="V23" s="22">
        <f t="shared" si="13"/>
        <v>0.19519318351630324</v>
      </c>
      <c r="W23" s="998" t="s">
        <v>1451</v>
      </c>
      <c r="X23" s="999"/>
      <c r="Y23" s="999"/>
      <c r="Z23" s="999"/>
      <c r="AA23" s="999"/>
      <c r="AB23" s="999"/>
      <c r="AC23" s="999"/>
      <c r="AD23" s="999"/>
      <c r="AE23" s="999"/>
      <c r="AF23" s="999"/>
      <c r="AG23" s="999"/>
      <c r="AH23" s="999"/>
      <c r="AI23" s="999"/>
      <c r="AJ23" s="999"/>
      <c r="AK23" s="999"/>
      <c r="AL23" s="999"/>
      <c r="AM23" s="999"/>
      <c r="AN23" s="999"/>
      <c r="AO23" s="999"/>
      <c r="AP23" s="999"/>
      <c r="AQ23" s="999"/>
    </row>
    <row r="24" spans="1:43" ht="16.5" x14ac:dyDescent="0.25">
      <c r="A24" s="38" t="s">
        <v>1452</v>
      </c>
      <c r="B24" s="995">
        <v>0.58000000000000007</v>
      </c>
      <c r="C24" s="1572">
        <f>$F24/($F$25+$F$24)*35162</f>
        <v>21976.25</v>
      </c>
      <c r="D24" s="1572">
        <f t="shared" si="10"/>
        <v>9230.0249999999978</v>
      </c>
      <c r="E24" s="1572">
        <f>$F24/($F$25+$F$24)*2734060</f>
        <v>1708787.5</v>
      </c>
      <c r="F24" s="38">
        <v>5000</v>
      </c>
      <c r="G24" s="38">
        <f t="shared" si="8"/>
        <v>2099.9999999999995</v>
      </c>
      <c r="H24" s="968">
        <f t="shared" si="1"/>
        <v>524.99999999999989</v>
      </c>
      <c r="I24" s="38">
        <v>1</v>
      </c>
      <c r="J24" s="38">
        <v>1</v>
      </c>
      <c r="K24" s="38">
        <f t="shared" si="2"/>
        <v>250</v>
      </c>
      <c r="L24" s="353">
        <f t="shared" si="11"/>
        <v>131249.99999999997</v>
      </c>
      <c r="M24" s="353">
        <f t="shared" si="4"/>
        <v>1574999.9999999995</v>
      </c>
      <c r="N24" s="436">
        <f t="shared" si="9"/>
        <v>717690.74999999988</v>
      </c>
      <c r="O24" s="436">
        <f t="shared" si="12"/>
        <v>717690.74999999988</v>
      </c>
      <c r="P24" s="38"/>
      <c r="Q24" s="54"/>
      <c r="T24" s="613" t="s">
        <v>250</v>
      </c>
      <c r="U24" s="1000">
        <f>Q69*$U$2</f>
        <v>2.0255602131783658E-2</v>
      </c>
      <c r="V24" s="22">
        <f t="shared" si="13"/>
        <v>1.5191701598837743E-2</v>
      </c>
      <c r="W24" s="998" t="s">
        <v>1453</v>
      </c>
      <c r="X24" s="999"/>
      <c r="Y24" s="999"/>
      <c r="Z24" s="999"/>
      <c r="AA24" s="999"/>
      <c r="AB24" s="999"/>
      <c r="AC24" s="999"/>
      <c r="AD24" s="999"/>
      <c r="AE24" s="999"/>
      <c r="AF24" s="999"/>
      <c r="AG24" s="999"/>
      <c r="AH24" s="999"/>
      <c r="AI24" s="999"/>
      <c r="AJ24" s="999"/>
      <c r="AK24" s="999"/>
      <c r="AL24" s="999"/>
      <c r="AM24" s="999"/>
      <c r="AN24" s="999"/>
      <c r="AO24" s="999"/>
      <c r="AP24" s="999"/>
      <c r="AQ24" s="999"/>
    </row>
    <row r="25" spans="1:43" ht="16.5" x14ac:dyDescent="0.25">
      <c r="A25" s="38" t="s">
        <v>1454</v>
      </c>
      <c r="B25" s="995">
        <v>0.83</v>
      </c>
      <c r="C25" s="1572">
        <f>$F25/($F$25+$F$24)*35162</f>
        <v>13185.75</v>
      </c>
      <c r="D25" s="1572">
        <f t="shared" si="10"/>
        <v>2241.5775000000003</v>
      </c>
      <c r="E25" s="1572">
        <f>$F25/($F$25+$F$24)*2734060</f>
        <v>1025272.5</v>
      </c>
      <c r="F25" s="38">
        <v>3000</v>
      </c>
      <c r="G25" s="38">
        <f t="shared" si="8"/>
        <v>510</v>
      </c>
      <c r="H25" s="968">
        <f t="shared" si="1"/>
        <v>127.5</v>
      </c>
      <c r="I25" s="38">
        <v>1</v>
      </c>
      <c r="J25" s="38">
        <v>1</v>
      </c>
      <c r="K25" s="38">
        <f t="shared" si="2"/>
        <v>250</v>
      </c>
      <c r="L25" s="353">
        <f t="shared" si="11"/>
        <v>31875</v>
      </c>
      <c r="M25" s="353">
        <f t="shared" si="4"/>
        <v>382500</v>
      </c>
      <c r="N25" s="436">
        <f t="shared" si="9"/>
        <v>174296.32500000004</v>
      </c>
      <c r="O25" s="436">
        <f t="shared" si="12"/>
        <v>174296.32500000004</v>
      </c>
      <c r="P25" s="38"/>
      <c r="Q25" s="54"/>
      <c r="T25" s="613" t="s">
        <v>444</v>
      </c>
      <c r="U25" s="1000">
        <f>Q78*$U$2</f>
        <v>0.17021661194480656</v>
      </c>
      <c r="V25" s="22">
        <f t="shared" si="13"/>
        <v>0.12766245895860492</v>
      </c>
      <c r="W25" s="998" t="s">
        <v>1455</v>
      </c>
      <c r="X25" s="998"/>
      <c r="Y25" s="999"/>
      <c r="Z25" s="999"/>
      <c r="AA25" s="999"/>
      <c r="AB25" s="999"/>
      <c r="AC25" s="999"/>
      <c r="AD25" s="999"/>
      <c r="AE25" s="999"/>
      <c r="AF25" s="999"/>
      <c r="AG25" s="999"/>
      <c r="AH25" s="999"/>
      <c r="AI25" s="999"/>
      <c r="AJ25" s="999"/>
      <c r="AK25" s="999"/>
      <c r="AL25" s="999"/>
      <c r="AM25" s="999"/>
      <c r="AN25" s="999"/>
      <c r="AO25" s="999"/>
      <c r="AP25" s="999"/>
      <c r="AQ25" s="999"/>
    </row>
    <row r="26" spans="1:43" ht="16.5" x14ac:dyDescent="0.25">
      <c r="A26" s="1277" t="s">
        <v>214</v>
      </c>
      <c r="B26" s="995">
        <v>0</v>
      </c>
      <c r="C26" s="1572">
        <v>6090</v>
      </c>
      <c r="D26" s="1572">
        <f>+C26</f>
        <v>6090</v>
      </c>
      <c r="E26" s="1572">
        <v>265000</v>
      </c>
      <c r="F26" s="353">
        <f>+D26/7</f>
        <v>870</v>
      </c>
      <c r="G26" s="38">
        <f>IF(B26&gt;89%,0,F26-F26*B26)*1.35</f>
        <v>1174.5</v>
      </c>
      <c r="H26" s="968">
        <f t="shared" si="1"/>
        <v>293.625</v>
      </c>
      <c r="I26" s="38">
        <v>1</v>
      </c>
      <c r="J26" s="38">
        <v>1</v>
      </c>
      <c r="K26" s="38">
        <f t="shared" si="2"/>
        <v>250</v>
      </c>
      <c r="L26" s="353">
        <f t="shared" si="11"/>
        <v>73406.25</v>
      </c>
      <c r="M26" s="353">
        <f t="shared" si="4"/>
        <v>880875</v>
      </c>
      <c r="N26" s="436">
        <f t="shared" si="9"/>
        <v>265000</v>
      </c>
      <c r="O26" s="436">
        <f t="shared" si="12"/>
        <v>265000</v>
      </c>
      <c r="P26" s="436">
        <f>+M26-O26</f>
        <v>615875</v>
      </c>
      <c r="Q26" s="610">
        <f>P26/E26</f>
        <v>2.324056603773585</v>
      </c>
      <c r="R26" s="22"/>
      <c r="T26" s="613" t="s">
        <v>439</v>
      </c>
      <c r="U26" s="1000">
        <f>Q85*$U$2</f>
        <v>1.8607881589150908E-2</v>
      </c>
      <c r="V26" s="22">
        <f>+U26*$U$2</f>
        <v>1.3955911191863181E-2</v>
      </c>
      <c r="W26" s="998"/>
      <c r="X26" s="998"/>
      <c r="Y26" s="999"/>
      <c r="Z26" s="999"/>
      <c r="AA26" s="999"/>
      <c r="AB26" s="999"/>
      <c r="AC26" s="999"/>
      <c r="AD26" s="999"/>
      <c r="AE26" s="999"/>
      <c r="AF26" s="999"/>
      <c r="AG26" s="999"/>
      <c r="AH26" s="999"/>
      <c r="AI26" s="999"/>
      <c r="AJ26" s="999"/>
      <c r="AK26" s="999"/>
      <c r="AL26" s="999"/>
      <c r="AM26" s="999"/>
      <c r="AN26" s="999"/>
      <c r="AO26" s="999"/>
      <c r="AP26" s="999"/>
      <c r="AQ26" s="999"/>
    </row>
    <row r="27" spans="1:43" ht="16.5" x14ac:dyDescent="0.25">
      <c r="A27" s="720" t="s">
        <v>1421</v>
      </c>
      <c r="B27" s="991">
        <f>1-D27/C27</f>
        <v>0.75948527697472723</v>
      </c>
      <c r="C27" s="1572">
        <f>SUM(C19:C26)</f>
        <v>128676</v>
      </c>
      <c r="D27" s="1572">
        <f>SUM(D19:D26)</f>
        <v>30948.472499999996</v>
      </c>
      <c r="E27" s="1572">
        <f>SUM(E19:E26)</f>
        <v>8113941</v>
      </c>
      <c r="F27" s="720"/>
      <c r="G27" s="38">
        <f t="shared" si="8"/>
        <v>0</v>
      </c>
      <c r="H27" s="992"/>
      <c r="I27" s="720"/>
      <c r="J27" s="720"/>
      <c r="K27" s="38">
        <f t="shared" si="2"/>
        <v>250</v>
      </c>
      <c r="L27" s="1263"/>
      <c r="M27" s="1263">
        <f>SUM(M19:M26)</f>
        <v>5873475</v>
      </c>
      <c r="N27" s="1263">
        <f t="shared" ref="N27" si="14">SUM(N19:N26)</f>
        <v>1800204.7949999997</v>
      </c>
      <c r="O27" s="1263">
        <f>SUM(O19:O26)</f>
        <v>1800204.7949999997</v>
      </c>
      <c r="P27" s="994">
        <f>M27-O27</f>
        <v>4073270.2050000001</v>
      </c>
      <c r="Q27" s="610">
        <f>P27/E27</f>
        <v>0.50200885180210209</v>
      </c>
      <c r="R27" s="14"/>
      <c r="T27" s="613" t="s">
        <v>661</v>
      </c>
      <c r="U27" s="1000">
        <f>Q90*$U$2</f>
        <v>0.11341506118208278</v>
      </c>
      <c r="V27" s="22">
        <f>+U27*$U$2</f>
        <v>8.5061295886562083E-2</v>
      </c>
      <c r="W27" s="1001" t="s">
        <v>1456</v>
      </c>
    </row>
    <row r="28" spans="1:43" ht="15" x14ac:dyDescent="0.25">
      <c r="A28" s="987" t="s">
        <v>1279</v>
      </c>
      <c r="B28" s="720"/>
      <c r="C28" s="1572"/>
      <c r="D28" s="1572"/>
      <c r="E28" s="1572">
        <f>E27*(1-B27)</f>
        <v>1951522.2722584049</v>
      </c>
      <c r="F28" s="720"/>
      <c r="G28" s="38">
        <f t="shared" si="8"/>
        <v>0</v>
      </c>
      <c r="H28" s="992"/>
      <c r="I28" s="720"/>
      <c r="J28" s="720"/>
      <c r="K28" s="38">
        <f t="shared" si="2"/>
        <v>250</v>
      </c>
      <c r="L28" s="1263"/>
      <c r="M28" s="1263"/>
      <c r="N28" s="993"/>
      <c r="O28" s="993"/>
      <c r="P28" s="720"/>
      <c r="Q28" s="54"/>
    </row>
    <row r="29" spans="1:43" x14ac:dyDescent="0.2">
      <c r="A29" s="38" t="s">
        <v>1457</v>
      </c>
      <c r="B29" s="419">
        <v>0.75</v>
      </c>
      <c r="C29" s="1572">
        <f>VLOOKUP($A29,'[23]נתונים 2010 מפורט'!$D$2:$H$250,C$2,0)</f>
        <v>26289</v>
      </c>
      <c r="D29" s="1572">
        <f>C29*(1-B29)</f>
        <v>6572.25</v>
      </c>
      <c r="E29" s="1572">
        <f>VLOOKUP($A29,'[23]נתונים 2010 מפורט'!$D$2:$H$250,E$2,0)</f>
        <v>2228150</v>
      </c>
      <c r="F29" s="968">
        <f>26289/7</f>
        <v>3755.5714285714284</v>
      </c>
      <c r="G29" s="968">
        <f t="shared" si="8"/>
        <v>938.89285714285688</v>
      </c>
      <c r="H29" s="968">
        <f t="shared" si="1"/>
        <v>234.72321428571422</v>
      </c>
      <c r="I29" s="38">
        <v>1</v>
      </c>
      <c r="J29" s="38">
        <v>1</v>
      </c>
      <c r="K29" s="38">
        <f t="shared" si="2"/>
        <v>250</v>
      </c>
      <c r="L29" s="353">
        <f t="shared" ref="L29:L92" si="15">K29*I29*H29*J29</f>
        <v>58680.803571428558</v>
      </c>
      <c r="M29" s="353">
        <f t="shared" si="4"/>
        <v>704169.64285714272</v>
      </c>
      <c r="N29" s="436">
        <f t="shared" ref="N29:N35" si="16">IF(B29&gt;0.899,0,E29*(1-B29))</f>
        <v>557037.5</v>
      </c>
      <c r="O29" s="436">
        <f t="shared" ref="O29:O35" si="17">N29*$O$2</f>
        <v>557037.5</v>
      </c>
      <c r="P29" s="38"/>
      <c r="Q29" s="54"/>
    </row>
    <row r="30" spans="1:43" x14ac:dyDescent="0.2">
      <c r="A30" s="38" t="s">
        <v>45</v>
      </c>
      <c r="B30" s="419">
        <v>0.9</v>
      </c>
      <c r="C30" s="1572">
        <f>VLOOKUP($A30,'[23]נתונים 2010 מפורט'!$D$2:$H$250,C$2,0)</f>
        <v>21660</v>
      </c>
      <c r="D30" s="1572">
        <f t="shared" ref="D30:D35" si="18">C30*(1-B30)</f>
        <v>2165.9999999999995</v>
      </c>
      <c r="E30" s="1572">
        <f>VLOOKUP($A30,'[23]נתונים 2010 מפורט'!$D$2:$H$250,E$2,0)</f>
        <v>1872070</v>
      </c>
      <c r="F30" s="38"/>
      <c r="G30" s="968">
        <f t="shared" si="8"/>
        <v>0</v>
      </c>
      <c r="H30" s="968">
        <f t="shared" si="1"/>
        <v>0</v>
      </c>
      <c r="I30" s="38">
        <v>1</v>
      </c>
      <c r="J30" s="38">
        <v>1</v>
      </c>
      <c r="K30" s="38">
        <f t="shared" si="2"/>
        <v>250</v>
      </c>
      <c r="L30" s="353">
        <f t="shared" si="15"/>
        <v>0</v>
      </c>
      <c r="M30" s="353">
        <f t="shared" si="4"/>
        <v>0</v>
      </c>
      <c r="N30" s="436">
        <f t="shared" si="16"/>
        <v>0</v>
      </c>
      <c r="O30" s="436">
        <f t="shared" si="17"/>
        <v>0</v>
      </c>
      <c r="P30" s="38"/>
      <c r="Q30" s="54"/>
    </row>
    <row r="31" spans="1:43" x14ac:dyDescent="0.2">
      <c r="A31" s="38" t="s">
        <v>14</v>
      </c>
      <c r="B31" s="419">
        <v>0.9</v>
      </c>
      <c r="C31" s="1572">
        <f>VLOOKUP($A31,'[23]נתונים 2010 מפורט'!$D$2:$H$250,C$2,0)</f>
        <v>9048</v>
      </c>
      <c r="D31" s="1572">
        <f t="shared" si="18"/>
        <v>904.79999999999984</v>
      </c>
      <c r="E31" s="1572">
        <f>VLOOKUP($A31,'[23]נתונים 2010 מפורט'!$D$2:$H$250,E$2,0)</f>
        <v>656680</v>
      </c>
      <c r="F31" s="38"/>
      <c r="G31" s="968">
        <f t="shared" si="8"/>
        <v>0</v>
      </c>
      <c r="H31" s="968">
        <f t="shared" si="1"/>
        <v>0</v>
      </c>
      <c r="I31" s="38">
        <v>1</v>
      </c>
      <c r="J31" s="38">
        <v>1</v>
      </c>
      <c r="K31" s="38">
        <f t="shared" si="2"/>
        <v>250</v>
      </c>
      <c r="L31" s="353">
        <f t="shared" si="15"/>
        <v>0</v>
      </c>
      <c r="M31" s="353">
        <f t="shared" si="4"/>
        <v>0</v>
      </c>
      <c r="N31" s="436">
        <f t="shared" si="16"/>
        <v>0</v>
      </c>
      <c r="O31" s="436">
        <f t="shared" si="17"/>
        <v>0</v>
      </c>
      <c r="P31" s="38"/>
      <c r="Q31" s="54"/>
    </row>
    <row r="32" spans="1:43" x14ac:dyDescent="0.2">
      <c r="A32" s="38" t="s">
        <v>1458</v>
      </c>
      <c r="B32" s="419">
        <v>0.65</v>
      </c>
      <c r="C32" s="1572">
        <f>VLOOKUP($A32,'[23]נתונים 2010 מפורט'!$D$2:$H$250,C$2,0)</f>
        <v>13776</v>
      </c>
      <c r="D32" s="1572">
        <f t="shared" si="18"/>
        <v>4821.5999999999995</v>
      </c>
      <c r="E32" s="1572">
        <f>VLOOKUP($A32,'[23]נתונים 2010 מפורט'!$D$2:$H$250,E$2,0)</f>
        <v>1071354</v>
      </c>
      <c r="F32" s="38">
        <f>13776/7</f>
        <v>1968</v>
      </c>
      <c r="G32" s="968">
        <f t="shared" si="8"/>
        <v>688.8</v>
      </c>
      <c r="H32" s="968">
        <f t="shared" si="1"/>
        <v>172.2</v>
      </c>
      <c r="I32" s="38">
        <v>1</v>
      </c>
      <c r="J32" s="38">
        <v>1</v>
      </c>
      <c r="K32" s="38">
        <f t="shared" si="2"/>
        <v>250</v>
      </c>
      <c r="L32" s="353">
        <f t="shared" si="15"/>
        <v>43050</v>
      </c>
      <c r="M32" s="353">
        <f t="shared" si="4"/>
        <v>516600</v>
      </c>
      <c r="N32" s="436">
        <f t="shared" si="16"/>
        <v>374973.89999999997</v>
      </c>
      <c r="O32" s="436">
        <f t="shared" si="17"/>
        <v>374973.89999999997</v>
      </c>
      <c r="P32" s="38"/>
      <c r="Q32" s="54"/>
    </row>
    <row r="33" spans="1:17" x14ac:dyDescent="0.2">
      <c r="A33" s="38" t="s">
        <v>1459</v>
      </c>
      <c r="B33" s="419">
        <v>0.77500000000000002</v>
      </c>
      <c r="C33" s="1572">
        <f>VLOOKUP($A33,'[23]נתונים 2010 מפורט'!$D$2:$H$250,C$2,0)</f>
        <v>10610</v>
      </c>
      <c r="D33" s="1572">
        <f t="shared" si="18"/>
        <v>2387.2499999999995</v>
      </c>
      <c r="E33" s="1572">
        <f>VLOOKUP($A33,'[23]נתונים 2010 מפורט'!$D$2:$H$250,E$2,0)</f>
        <v>1110046</v>
      </c>
      <c r="F33" s="968">
        <f>10610/7</f>
        <v>1515.7142857142858</v>
      </c>
      <c r="G33" s="968">
        <f t="shared" si="8"/>
        <v>341.03571428571422</v>
      </c>
      <c r="H33" s="968">
        <f t="shared" si="1"/>
        <v>85.258928571428555</v>
      </c>
      <c r="I33" s="38">
        <v>1</v>
      </c>
      <c r="J33" s="38">
        <v>1</v>
      </c>
      <c r="K33" s="38">
        <f t="shared" si="2"/>
        <v>250</v>
      </c>
      <c r="L33" s="353">
        <f t="shared" si="15"/>
        <v>21314.732142857138</v>
      </c>
      <c r="M33" s="353">
        <f t="shared" si="4"/>
        <v>255776.78571428565</v>
      </c>
      <c r="N33" s="436">
        <f t="shared" si="16"/>
        <v>249760.34999999998</v>
      </c>
      <c r="O33" s="436">
        <f t="shared" si="17"/>
        <v>249760.34999999998</v>
      </c>
      <c r="P33" s="38"/>
      <c r="Q33" s="54"/>
    </row>
    <row r="34" spans="1:17" x14ac:dyDescent="0.2">
      <c r="A34" s="38" t="s">
        <v>738</v>
      </c>
      <c r="B34" s="419">
        <v>0.8</v>
      </c>
      <c r="C34" s="1572">
        <f>VLOOKUP($A34,'[23]נתונים 2010 מפורט'!$D$2:$H$250,C$2,0)</f>
        <v>7063</v>
      </c>
      <c r="D34" s="1572">
        <f t="shared" si="18"/>
        <v>1412.5999999999997</v>
      </c>
      <c r="E34" s="1572">
        <f>VLOOKUP($A34,'[23]נתונים 2010 מפורט'!$D$2:$H$250,E$2,0)</f>
        <v>358950</v>
      </c>
      <c r="F34" s="38">
        <f>7063/7</f>
        <v>1009</v>
      </c>
      <c r="G34" s="968">
        <f t="shared" si="8"/>
        <v>201.79999999999995</v>
      </c>
      <c r="H34" s="968">
        <f t="shared" si="1"/>
        <v>50.449999999999989</v>
      </c>
      <c r="I34" s="38">
        <v>1</v>
      </c>
      <c r="J34" s="38">
        <v>1</v>
      </c>
      <c r="K34" s="38">
        <f t="shared" si="2"/>
        <v>250</v>
      </c>
      <c r="L34" s="353">
        <f t="shared" si="15"/>
        <v>12612.499999999996</v>
      </c>
      <c r="M34" s="353">
        <f t="shared" si="4"/>
        <v>151349.99999999994</v>
      </c>
      <c r="N34" s="436">
        <f t="shared" si="16"/>
        <v>71789.999999999985</v>
      </c>
      <c r="O34" s="436">
        <f t="shared" si="17"/>
        <v>71789.999999999985</v>
      </c>
      <c r="P34" s="38"/>
      <c r="Q34" s="54"/>
    </row>
    <row r="35" spans="1:17" x14ac:dyDescent="0.2">
      <c r="A35" s="38" t="s">
        <v>105</v>
      </c>
      <c r="B35" s="419">
        <v>0.9</v>
      </c>
      <c r="C35" s="1572">
        <f>VLOOKUP($A35,'[23]נתונים 2010 מפורט'!$D$2:$H$250,C$2,0)</f>
        <v>10943</v>
      </c>
      <c r="D35" s="1572">
        <f t="shared" si="18"/>
        <v>1094.2999999999997</v>
      </c>
      <c r="E35" s="1572">
        <f>VLOOKUP($A35,'[23]נתונים 2010 מפורט'!$D$2:$H$250,E$2,0)</f>
        <v>654620</v>
      </c>
      <c r="F35" s="38"/>
      <c r="G35" s="38">
        <f t="shared" si="8"/>
        <v>0</v>
      </c>
      <c r="H35" s="968">
        <f t="shared" si="1"/>
        <v>0</v>
      </c>
      <c r="I35" s="38">
        <v>1</v>
      </c>
      <c r="J35" s="38">
        <v>1</v>
      </c>
      <c r="K35" s="38">
        <f t="shared" si="2"/>
        <v>250</v>
      </c>
      <c r="L35" s="353">
        <f t="shared" si="15"/>
        <v>0</v>
      </c>
      <c r="M35" s="353">
        <f t="shared" si="4"/>
        <v>0</v>
      </c>
      <c r="N35" s="436">
        <f t="shared" si="16"/>
        <v>0</v>
      </c>
      <c r="O35" s="436">
        <f t="shared" si="17"/>
        <v>0</v>
      </c>
      <c r="P35" s="38"/>
      <c r="Q35" s="54"/>
    </row>
    <row r="36" spans="1:17" x14ac:dyDescent="0.2">
      <c r="A36" s="38"/>
      <c r="B36" s="419"/>
      <c r="C36" s="1572"/>
      <c r="D36" s="1572"/>
      <c r="E36" s="1572"/>
      <c r="F36" s="38"/>
      <c r="G36" s="38"/>
      <c r="H36" s="968"/>
      <c r="I36" s="38"/>
      <c r="J36" s="38"/>
      <c r="K36" s="38"/>
      <c r="L36" s="353"/>
      <c r="M36" s="353"/>
      <c r="N36" s="436"/>
      <c r="O36" s="436"/>
      <c r="P36" s="38"/>
      <c r="Q36" s="54"/>
    </row>
    <row r="37" spans="1:17" x14ac:dyDescent="0.2">
      <c r="A37" s="720" t="s">
        <v>1421</v>
      </c>
      <c r="B37" s="991">
        <f>1-D37/C37</f>
        <v>0.80522190584471121</v>
      </c>
      <c r="C37" s="1572">
        <f>SUM(C29:C35)</f>
        <v>99389</v>
      </c>
      <c r="D37" s="1572">
        <f>SUM(D29:D35)</f>
        <v>19358.799999999996</v>
      </c>
      <c r="E37" s="1572">
        <f>SUM(E29:E35)</f>
        <v>7951870</v>
      </c>
      <c r="F37" s="720"/>
      <c r="G37" s="38">
        <f t="shared" si="8"/>
        <v>0</v>
      </c>
      <c r="H37" s="992"/>
      <c r="I37" s="720"/>
      <c r="J37" s="720"/>
      <c r="K37" s="38">
        <f t="shared" si="2"/>
        <v>250</v>
      </c>
      <c r="L37" s="1263"/>
      <c r="M37" s="993">
        <f>SUM(M29:M35)</f>
        <v>1627896.4285714284</v>
      </c>
      <c r="N37" s="993">
        <f>SUM(N29:N35)</f>
        <v>1253561.75</v>
      </c>
      <c r="O37" s="993">
        <f>SUM(O29:O35)</f>
        <v>1253561.75</v>
      </c>
      <c r="P37" s="994">
        <f>M37-O37</f>
        <v>374334.67857142841</v>
      </c>
      <c r="Q37" s="610">
        <f>P37/E37</f>
        <v>4.7075050091541788E-2</v>
      </c>
    </row>
    <row r="38" spans="1:17" ht="15" x14ac:dyDescent="0.25">
      <c r="A38" s="987" t="s">
        <v>261</v>
      </c>
      <c r="B38" s="995">
        <v>-0.13</v>
      </c>
      <c r="C38" s="1572"/>
      <c r="D38" s="1572"/>
      <c r="E38" s="1572"/>
      <c r="F38" s="720"/>
      <c r="G38" s="38">
        <f t="shared" si="8"/>
        <v>0</v>
      </c>
      <c r="H38" s="992"/>
      <c r="I38" s="720"/>
      <c r="J38" s="720"/>
      <c r="K38" s="38">
        <f t="shared" si="2"/>
        <v>250</v>
      </c>
      <c r="L38" s="1263"/>
      <c r="M38" s="1263"/>
      <c r="N38" s="993"/>
      <c r="O38" s="720"/>
      <c r="P38" s="720"/>
      <c r="Q38" s="54"/>
    </row>
    <row r="39" spans="1:17" x14ac:dyDescent="0.2">
      <c r="A39" s="38" t="s">
        <v>1460</v>
      </c>
      <c r="B39" s="995">
        <v>0.56999999999999995</v>
      </c>
      <c r="C39" s="1572">
        <f>VLOOKUP($A39,'[23]נתונים 2010 מפורט'!$D$2:$H$250,C$2,0)</f>
        <v>36888</v>
      </c>
      <c r="D39" s="1572">
        <f t="shared" ref="D39:D48" si="19">C39*(1-B39)</f>
        <v>15861.840000000002</v>
      </c>
      <c r="E39" s="1572">
        <f>VLOOKUP($A39,'[23]נתונים 2010 מפורט'!$D$2:$H$250,E$2,0)</f>
        <v>2983795</v>
      </c>
      <c r="F39" s="968">
        <f>36888/7</f>
        <v>5269.7142857142853</v>
      </c>
      <c r="G39" s="968">
        <f t="shared" si="8"/>
        <v>2265.977142857143</v>
      </c>
      <c r="H39" s="968">
        <f t="shared" si="1"/>
        <v>566.49428571428575</v>
      </c>
      <c r="I39" s="38">
        <v>1</v>
      </c>
      <c r="J39" s="38">
        <v>1</v>
      </c>
      <c r="K39" s="38">
        <f t="shared" si="2"/>
        <v>250</v>
      </c>
      <c r="L39" s="353">
        <f t="shared" si="15"/>
        <v>141623.57142857145</v>
      </c>
      <c r="M39" s="353">
        <f t="shared" si="4"/>
        <v>1699482.8571428573</v>
      </c>
      <c r="N39" s="436">
        <f t="shared" ref="N39:N49" si="20">IF(B39&gt;0.899,0,E39*(1-B39))</f>
        <v>1283031.8500000001</v>
      </c>
      <c r="O39" s="436">
        <f t="shared" ref="O39:O49" si="21">N39*$O$2</f>
        <v>1283031.8500000001</v>
      </c>
      <c r="P39" s="38"/>
      <c r="Q39" s="54"/>
    </row>
    <row r="40" spans="1:17" x14ac:dyDescent="0.2">
      <c r="A40" s="38" t="s">
        <v>1461</v>
      </c>
      <c r="B40" s="995">
        <v>0.62</v>
      </c>
      <c r="C40" s="1572">
        <f>VLOOKUP($A40,'[23]נתונים 2010 מפורט'!$D$2:$H$250,C$2,0)</f>
        <v>29268</v>
      </c>
      <c r="D40" s="1572">
        <f t="shared" si="19"/>
        <v>11121.84</v>
      </c>
      <c r="E40" s="1572">
        <f>VLOOKUP($A40,'[23]נתונים 2010 מפורט'!$D$2:$H$250,E$2,0)</f>
        <v>2021390</v>
      </c>
      <c r="F40" s="38"/>
      <c r="G40" s="968">
        <f t="shared" si="8"/>
        <v>0</v>
      </c>
      <c r="H40" s="968">
        <f t="shared" si="1"/>
        <v>0</v>
      </c>
      <c r="I40" s="38">
        <v>1</v>
      </c>
      <c r="J40" s="38">
        <v>1</v>
      </c>
      <c r="K40" s="38">
        <f t="shared" si="2"/>
        <v>250</v>
      </c>
      <c r="L40" s="353">
        <f t="shared" si="15"/>
        <v>0</v>
      </c>
      <c r="M40" s="353">
        <f t="shared" si="4"/>
        <v>0</v>
      </c>
      <c r="N40" s="436">
        <f t="shared" si="20"/>
        <v>768128.2</v>
      </c>
      <c r="O40" s="436">
        <f t="shared" si="21"/>
        <v>768128.2</v>
      </c>
      <c r="P40" s="38"/>
      <c r="Q40" s="54"/>
    </row>
    <row r="41" spans="1:17" x14ac:dyDescent="0.2">
      <c r="A41" s="38" t="s">
        <v>1462</v>
      </c>
      <c r="B41" s="995">
        <v>0.72</v>
      </c>
      <c r="C41" s="1572">
        <f>VLOOKUP($A41,'[23]נתונים 2010 מפורט'!$D$2:$H$250,C$2,0)</f>
        <v>11685</v>
      </c>
      <c r="D41" s="1572">
        <f t="shared" si="19"/>
        <v>3271.8</v>
      </c>
      <c r="E41" s="1572">
        <f>VLOOKUP($A41,'[23]נתונים 2010 מפורט'!$D$2:$H$250,E$2,0)</f>
        <v>1085667</v>
      </c>
      <c r="F41" s="968">
        <f>11685/7</f>
        <v>1669.2857142857142</v>
      </c>
      <c r="G41" s="968">
        <f t="shared" si="8"/>
        <v>467.40000000000009</v>
      </c>
      <c r="H41" s="968">
        <f t="shared" si="1"/>
        <v>116.85000000000002</v>
      </c>
      <c r="I41" s="38">
        <v>1</v>
      </c>
      <c r="J41" s="38">
        <v>1</v>
      </c>
      <c r="K41" s="38">
        <f t="shared" si="2"/>
        <v>250</v>
      </c>
      <c r="L41" s="353">
        <f t="shared" si="15"/>
        <v>29212.500000000007</v>
      </c>
      <c r="M41" s="353">
        <f t="shared" si="4"/>
        <v>350550.00000000012</v>
      </c>
      <c r="N41" s="436">
        <f t="shared" si="20"/>
        <v>303986.76</v>
      </c>
      <c r="O41" s="436">
        <f t="shared" si="21"/>
        <v>303986.76</v>
      </c>
      <c r="P41" s="38"/>
      <c r="Q41" s="54"/>
    </row>
    <row r="42" spans="1:17" x14ac:dyDescent="0.2">
      <c r="A42" s="38" t="s">
        <v>1463</v>
      </c>
      <c r="B42" s="995">
        <v>0.72</v>
      </c>
      <c r="C42" s="1572">
        <f>VLOOKUP($A42,'[23]נתונים 2010 מפורט'!$D$2:$H$250,C$2,0)</f>
        <v>6022</v>
      </c>
      <c r="D42" s="1572">
        <f t="shared" si="19"/>
        <v>1686.16</v>
      </c>
      <c r="E42" s="1572">
        <f>VLOOKUP($A42,'[23]נתונים 2010 מפורט'!$D$2:$H$250,E$2,0)</f>
        <v>418800</v>
      </c>
      <c r="F42" s="968">
        <f>6022/7</f>
        <v>860.28571428571433</v>
      </c>
      <c r="G42" s="968">
        <f t="shared" si="8"/>
        <v>240.88</v>
      </c>
      <c r="H42" s="968">
        <f t="shared" si="1"/>
        <v>60.22</v>
      </c>
      <c r="I42" s="38">
        <v>1</v>
      </c>
      <c r="J42" s="38">
        <v>1</v>
      </c>
      <c r="K42" s="38">
        <f t="shared" si="2"/>
        <v>250</v>
      </c>
      <c r="L42" s="353">
        <f t="shared" si="15"/>
        <v>15055</v>
      </c>
      <c r="M42" s="353">
        <f t="shared" si="4"/>
        <v>180660</v>
      </c>
      <c r="N42" s="436">
        <f t="shared" si="20"/>
        <v>117264.00000000001</v>
      </c>
      <c r="O42" s="436">
        <f t="shared" si="21"/>
        <v>117264.00000000001</v>
      </c>
      <c r="P42" s="38"/>
      <c r="Q42" s="54"/>
    </row>
    <row r="43" spans="1:17" x14ac:dyDescent="0.2">
      <c r="A43" s="38" t="s">
        <v>1464</v>
      </c>
      <c r="B43" s="995">
        <v>0.77</v>
      </c>
      <c r="C43" s="1572">
        <f>VLOOKUP($A43,'[23]נתונים 2010 מפורט'!$D$2:$H$250,C$2,0)</f>
        <v>2875</v>
      </c>
      <c r="D43" s="1572">
        <f t="shared" si="19"/>
        <v>661.25</v>
      </c>
      <c r="E43" s="1572">
        <f>VLOOKUP($A43,'[23]נתונים 2010 מפורט'!$D$2:$H$250,E$2,0)</f>
        <v>210970</v>
      </c>
      <c r="F43" s="38"/>
      <c r="G43" s="38">
        <f t="shared" si="8"/>
        <v>0</v>
      </c>
      <c r="H43" s="968">
        <f t="shared" si="1"/>
        <v>0</v>
      </c>
      <c r="I43" s="38">
        <v>1</v>
      </c>
      <c r="J43" s="38">
        <v>1</v>
      </c>
      <c r="K43" s="38">
        <f t="shared" si="2"/>
        <v>250</v>
      </c>
      <c r="L43" s="353">
        <f t="shared" si="15"/>
        <v>0</v>
      </c>
      <c r="M43" s="353">
        <f t="shared" si="4"/>
        <v>0</v>
      </c>
      <c r="N43" s="436">
        <f t="shared" si="20"/>
        <v>48523.1</v>
      </c>
      <c r="O43" s="436">
        <f t="shared" si="21"/>
        <v>48523.1</v>
      </c>
      <c r="P43" s="38"/>
      <c r="Q43" s="54"/>
    </row>
    <row r="44" spans="1:17" x14ac:dyDescent="0.2">
      <c r="A44" s="38" t="s">
        <v>1465</v>
      </c>
      <c r="B44" s="995">
        <v>0.67</v>
      </c>
      <c r="C44" s="1572">
        <f>VLOOKUP($A44,'[23]נתונים 2010 מפורט'!$D$2:$H$250,C$2,0)</f>
        <v>12413</v>
      </c>
      <c r="D44" s="1572">
        <f t="shared" si="19"/>
        <v>4096.2899999999991</v>
      </c>
      <c r="E44" s="1572">
        <f>VLOOKUP($A44,'[23]נתונים 2010 מפורט'!$D$2:$H$250,E$2,0)</f>
        <v>631190</v>
      </c>
      <c r="F44" s="968">
        <f>12413/7</f>
        <v>1773.2857142857142</v>
      </c>
      <c r="G44" s="1002">
        <f t="shared" si="8"/>
        <v>585.18428571428558</v>
      </c>
      <c r="H44" s="968">
        <f t="shared" si="1"/>
        <v>146.29607142857139</v>
      </c>
      <c r="I44" s="38">
        <v>1</v>
      </c>
      <c r="J44" s="38">
        <v>1</v>
      </c>
      <c r="K44" s="38">
        <f t="shared" si="2"/>
        <v>250</v>
      </c>
      <c r="L44" s="353">
        <f t="shared" si="15"/>
        <v>36574.017857142848</v>
      </c>
      <c r="M44" s="353">
        <f t="shared" si="4"/>
        <v>438888.2142857142</v>
      </c>
      <c r="N44" s="436">
        <f t="shared" si="20"/>
        <v>208292.69999999998</v>
      </c>
      <c r="O44" s="436">
        <f t="shared" si="21"/>
        <v>208292.69999999998</v>
      </c>
      <c r="P44" s="38"/>
      <c r="Q44" s="54"/>
    </row>
    <row r="45" spans="1:17" x14ac:dyDescent="0.2">
      <c r="A45" s="38" t="s">
        <v>1466</v>
      </c>
      <c r="B45" s="995">
        <v>0.37</v>
      </c>
      <c r="C45" s="1572">
        <f>VLOOKUP($A45,'[23]נתונים 2010 מפורט'!$D$2:$H$250,C$2,0)</f>
        <v>6949</v>
      </c>
      <c r="D45" s="1572">
        <f t="shared" si="19"/>
        <v>4377.87</v>
      </c>
      <c r="E45" s="1572">
        <f>VLOOKUP($A45,'[23]נתונים 2010 מפורט'!$D$2:$H$250,E$2,0)</f>
        <v>517038</v>
      </c>
      <c r="F45" s="968">
        <f>6332/7</f>
        <v>904.57142857142856</v>
      </c>
      <c r="G45" s="1002">
        <f t="shared" si="8"/>
        <v>569.88</v>
      </c>
      <c r="H45" s="968">
        <f t="shared" si="1"/>
        <v>142.47</v>
      </c>
      <c r="I45" s="38">
        <v>1</v>
      </c>
      <c r="J45" s="38">
        <v>1</v>
      </c>
      <c r="K45" s="38">
        <f t="shared" si="2"/>
        <v>250</v>
      </c>
      <c r="L45" s="353">
        <f t="shared" si="15"/>
        <v>35617.5</v>
      </c>
      <c r="M45" s="353">
        <f t="shared" si="4"/>
        <v>427410</v>
      </c>
      <c r="N45" s="436">
        <f t="shared" si="20"/>
        <v>325733.94</v>
      </c>
      <c r="O45" s="436">
        <f t="shared" si="21"/>
        <v>325733.94</v>
      </c>
      <c r="P45" s="38"/>
      <c r="Q45" s="54"/>
    </row>
    <row r="46" spans="1:17" x14ac:dyDescent="0.2">
      <c r="A46" s="1573" t="s">
        <v>775</v>
      </c>
      <c r="B46" s="995">
        <v>0.56999999999999995</v>
      </c>
      <c r="C46" s="1572">
        <f>VLOOKUP($A46,'[23]נתונים 2010 מפורט'!$D$2:$H$250,C$2,0)</f>
        <v>6573</v>
      </c>
      <c r="D46" s="1572">
        <f t="shared" si="19"/>
        <v>2826.3900000000003</v>
      </c>
      <c r="E46" s="1572">
        <f>VLOOKUP($A46,'[23]נתונים 2010 מפורט'!$D$2:$H$250,E$2,0)</f>
        <v>425828</v>
      </c>
      <c r="F46" s="968">
        <f>6463/7</f>
        <v>923.28571428571433</v>
      </c>
      <c r="G46" s="1002">
        <f t="shared" si="8"/>
        <v>397.01285714285723</v>
      </c>
      <c r="H46" s="968">
        <f t="shared" si="1"/>
        <v>99.253214285714307</v>
      </c>
      <c r="I46" s="38">
        <v>1</v>
      </c>
      <c r="J46" s="38">
        <v>1</v>
      </c>
      <c r="K46" s="38">
        <f t="shared" si="2"/>
        <v>250</v>
      </c>
      <c r="L46" s="353">
        <f t="shared" si="15"/>
        <v>24813.303571428576</v>
      </c>
      <c r="M46" s="353">
        <f t="shared" si="4"/>
        <v>297759.6428571429</v>
      </c>
      <c r="N46" s="436">
        <f t="shared" si="20"/>
        <v>183106.04</v>
      </c>
      <c r="O46" s="436">
        <f t="shared" si="21"/>
        <v>183106.04</v>
      </c>
      <c r="P46" s="38"/>
      <c r="Q46" s="54"/>
    </row>
    <row r="47" spans="1:17" x14ac:dyDescent="0.2">
      <c r="A47" s="38" t="s">
        <v>1467</v>
      </c>
      <c r="B47" s="995">
        <v>0.37</v>
      </c>
      <c r="C47" s="1572">
        <f>VLOOKUP($A47,'[23]נתונים 2010 מפורט'!$D$2:$H$250,C$2,0)</f>
        <v>7803</v>
      </c>
      <c r="D47" s="1572">
        <f t="shared" si="19"/>
        <v>4915.8900000000003</v>
      </c>
      <c r="E47" s="1572">
        <f>VLOOKUP($A47,'[23]נתונים 2010 מפורט'!$D$2:$H$250,E$2,0)</f>
        <v>476529</v>
      </c>
      <c r="F47" s="968">
        <f>7803/7</f>
        <v>1114.7142857142858</v>
      </c>
      <c r="G47" s="1002">
        <f t="shared" si="8"/>
        <v>702.27</v>
      </c>
      <c r="H47" s="968">
        <f t="shared" si="1"/>
        <v>175.5675</v>
      </c>
      <c r="I47" s="38">
        <v>1</v>
      </c>
      <c r="J47" s="38">
        <v>1</v>
      </c>
      <c r="K47" s="38">
        <f t="shared" si="2"/>
        <v>250</v>
      </c>
      <c r="L47" s="353">
        <f t="shared" si="15"/>
        <v>43891.875</v>
      </c>
      <c r="M47" s="353">
        <f t="shared" si="4"/>
        <v>526702.5</v>
      </c>
      <c r="N47" s="436">
        <f t="shared" si="20"/>
        <v>300213.27</v>
      </c>
      <c r="O47" s="436">
        <f t="shared" si="21"/>
        <v>300213.27</v>
      </c>
      <c r="P47" s="38"/>
      <c r="Q47" s="54"/>
    </row>
    <row r="48" spans="1:17" x14ac:dyDescent="0.2">
      <c r="A48" s="38" t="s">
        <v>1468</v>
      </c>
      <c r="B48" s="995">
        <v>0.67</v>
      </c>
      <c r="C48" s="1572">
        <f>VLOOKUP($A48,'[23]נתונים 2010 מפורט'!$D$2:$H$250,C$2,0)</f>
        <v>16451</v>
      </c>
      <c r="D48" s="1572">
        <f t="shared" si="19"/>
        <v>5428.829999999999</v>
      </c>
      <c r="E48" s="1572">
        <f>VLOOKUP($A48,'[23]נתונים 2010 מפורט'!$D$2:$H$250,E$2,0)</f>
        <v>1093287</v>
      </c>
      <c r="F48" s="968">
        <f>16451/7</f>
        <v>2350.1428571428573</v>
      </c>
      <c r="G48" s="1002">
        <f t="shared" si="8"/>
        <v>775.54714285714272</v>
      </c>
      <c r="H48" s="968">
        <f t="shared" si="1"/>
        <v>193.88678571428568</v>
      </c>
      <c r="I48" s="38">
        <v>1</v>
      </c>
      <c r="J48" s="38">
        <v>1</v>
      </c>
      <c r="K48" s="38">
        <f t="shared" si="2"/>
        <v>250</v>
      </c>
      <c r="L48" s="353">
        <f t="shared" si="15"/>
        <v>48471.69642857142</v>
      </c>
      <c r="M48" s="353">
        <f t="shared" si="4"/>
        <v>581660.35714285704</v>
      </c>
      <c r="N48" s="436">
        <f t="shared" si="20"/>
        <v>360784.70999999996</v>
      </c>
      <c r="O48" s="436">
        <f t="shared" si="21"/>
        <v>360784.70999999996</v>
      </c>
      <c r="P48" s="38"/>
      <c r="Q48" s="54"/>
    </row>
    <row r="49" spans="1:17" x14ac:dyDescent="0.2">
      <c r="A49" s="1277" t="s">
        <v>2062</v>
      </c>
      <c r="B49" s="995">
        <v>0</v>
      </c>
      <c r="C49" s="1572">
        <f>1400*7</f>
        <v>9800</v>
      </c>
      <c r="D49" s="1572">
        <f>+C49</f>
        <v>9800</v>
      </c>
      <c r="E49" s="1572">
        <f>+D49*60</f>
        <v>588000</v>
      </c>
      <c r="F49" s="968">
        <f>1400*1.35</f>
        <v>1890.0000000000002</v>
      </c>
      <c r="G49" s="1002">
        <f t="shared" si="8"/>
        <v>1890.0000000000002</v>
      </c>
      <c r="H49" s="968">
        <f t="shared" si="1"/>
        <v>472.50000000000006</v>
      </c>
      <c r="I49" s="38">
        <v>1</v>
      </c>
      <c r="J49" s="38">
        <v>1</v>
      </c>
      <c r="K49" s="38">
        <f t="shared" si="2"/>
        <v>250</v>
      </c>
      <c r="L49" s="353">
        <f t="shared" si="15"/>
        <v>118125.00000000001</v>
      </c>
      <c r="M49" s="353">
        <f t="shared" si="4"/>
        <v>1417500.0000000002</v>
      </c>
      <c r="N49" s="436">
        <f t="shared" si="20"/>
        <v>588000</v>
      </c>
      <c r="O49" s="436">
        <f t="shared" si="21"/>
        <v>588000</v>
      </c>
      <c r="P49" s="38"/>
      <c r="Q49" s="54"/>
    </row>
    <row r="50" spans="1:17" x14ac:dyDescent="0.2">
      <c r="A50" s="720" t="s">
        <v>1421</v>
      </c>
      <c r="B50" s="991">
        <f>1-D50/C50</f>
        <v>0.56348756534243871</v>
      </c>
      <c r="C50" s="1572">
        <f>SUM(C39:C49)</f>
        <v>146727</v>
      </c>
      <c r="D50" s="1572">
        <f>SUM(D39:D49)</f>
        <v>64048.160000000003</v>
      </c>
      <c r="E50" s="1572">
        <f>SUM(E39:E49)</f>
        <v>10452494</v>
      </c>
      <c r="F50" s="720"/>
      <c r="G50" s="38">
        <f t="shared" si="8"/>
        <v>0</v>
      </c>
      <c r="H50" s="992"/>
      <c r="I50" s="720"/>
      <c r="J50" s="720"/>
      <c r="K50" s="38">
        <f t="shared" si="2"/>
        <v>250</v>
      </c>
      <c r="L50" s="1263"/>
      <c r="M50" s="1572">
        <f>SUM(M39:M49)</f>
        <v>5920613.5714285709</v>
      </c>
      <c r="N50" s="1572">
        <f>SUM(N39:N49)</f>
        <v>4487064.57</v>
      </c>
      <c r="O50" s="1572">
        <f>SUM(O39:O49)</f>
        <v>4487064.57</v>
      </c>
      <c r="P50" s="994">
        <f>M50-O50</f>
        <v>1433549.0014285706</v>
      </c>
      <c r="Q50" s="610">
        <f>P50/E50</f>
        <v>0.13714899060727234</v>
      </c>
    </row>
    <row r="51" spans="1:17" ht="15" x14ac:dyDescent="0.25">
      <c r="A51" s="987" t="s">
        <v>1469</v>
      </c>
      <c r="B51" s="720"/>
      <c r="C51" s="1572"/>
      <c r="D51" s="1572"/>
      <c r="E51" s="1572"/>
      <c r="F51" s="720"/>
      <c r="G51" s="38">
        <f t="shared" si="8"/>
        <v>0</v>
      </c>
      <c r="H51" s="992"/>
      <c r="I51" s="720"/>
      <c r="J51" s="720"/>
      <c r="K51" s="38">
        <f t="shared" si="2"/>
        <v>250</v>
      </c>
      <c r="L51" s="1263"/>
      <c r="M51" s="1263"/>
      <c r="N51" s="993"/>
      <c r="O51" s="720"/>
      <c r="P51" s="720"/>
      <c r="Q51" s="54"/>
    </row>
    <row r="52" spans="1:17" x14ac:dyDescent="0.2">
      <c r="A52" s="38" t="s">
        <v>66</v>
      </c>
      <c r="B52" s="419">
        <v>0.95</v>
      </c>
      <c r="C52" s="1572">
        <f>VLOOKUP($A52,'[23]נתונים 2010 מפורט'!$D$2:$H$250,C$2,0)</f>
        <v>53095</v>
      </c>
      <c r="D52" s="1572">
        <f t="shared" ref="D52:D59" si="22">C52*(1-B52)</f>
        <v>2654.7500000000023</v>
      </c>
      <c r="E52" s="1572">
        <f>VLOOKUP($A52,'[23]נתונים 2010 מפורט'!$D$2:$H$250,E$2,0)</f>
        <v>3190820</v>
      </c>
      <c r="F52" s="38"/>
      <c r="G52" s="38">
        <f t="shared" si="8"/>
        <v>0</v>
      </c>
      <c r="H52" s="968">
        <f t="shared" si="1"/>
        <v>0</v>
      </c>
      <c r="I52" s="38">
        <v>1</v>
      </c>
      <c r="J52" s="38"/>
      <c r="K52" s="38">
        <f t="shared" si="2"/>
        <v>250</v>
      </c>
      <c r="L52" s="353">
        <f t="shared" si="15"/>
        <v>0</v>
      </c>
      <c r="M52" s="353">
        <f t="shared" si="4"/>
        <v>0</v>
      </c>
      <c r="N52" s="436">
        <f>IF(B52&gt;0.899,0,E52*(1-B52))</f>
        <v>0</v>
      </c>
      <c r="O52" s="436">
        <f>N52*$O$2</f>
        <v>0</v>
      </c>
      <c r="P52" s="38"/>
      <c r="Q52" s="54"/>
    </row>
    <row r="53" spans="1:17" ht="15" x14ac:dyDescent="0.25">
      <c r="A53" s="987" t="s">
        <v>578</v>
      </c>
      <c r="B53" s="720"/>
      <c r="C53" s="1572"/>
      <c r="D53" s="1572"/>
      <c r="E53" s="1572"/>
      <c r="F53" s="720"/>
      <c r="G53" s="38">
        <f t="shared" si="8"/>
        <v>0</v>
      </c>
      <c r="H53" s="992"/>
      <c r="I53" s="720"/>
      <c r="J53" s="720"/>
      <c r="K53" s="38">
        <f t="shared" si="2"/>
        <v>250</v>
      </c>
      <c r="L53" s="1263"/>
      <c r="M53" s="1263"/>
      <c r="N53" s="720"/>
      <c r="O53" s="720"/>
      <c r="P53" s="720"/>
      <c r="Q53" s="54"/>
    </row>
    <row r="54" spans="1:17" x14ac:dyDescent="0.2">
      <c r="A54" s="38" t="s">
        <v>143</v>
      </c>
      <c r="B54" s="419">
        <v>0.9</v>
      </c>
      <c r="C54" s="1572">
        <f>VLOOKUP($A54,'[23]נתונים 2010 מפורט'!$D$2:$H$250,C$2,0)</f>
        <v>17451</v>
      </c>
      <c r="D54" s="1572">
        <f t="shared" si="22"/>
        <v>1745.0999999999997</v>
      </c>
      <c r="E54" s="1572">
        <f>VLOOKUP($A54,'[23]נתונים 2010 מפורט'!$D$2:$H$250,E$2,0)</f>
        <v>856030</v>
      </c>
      <c r="F54" s="38">
        <v>1350</v>
      </c>
      <c r="G54" s="38">
        <f t="shared" si="8"/>
        <v>0</v>
      </c>
      <c r="H54" s="968">
        <f t="shared" ref="H54:H59" si="23">G54</f>
        <v>0</v>
      </c>
      <c r="I54" s="38">
        <v>1</v>
      </c>
      <c r="J54" s="38">
        <v>1</v>
      </c>
      <c r="K54" s="38">
        <f t="shared" si="2"/>
        <v>250</v>
      </c>
      <c r="L54" s="353">
        <f t="shared" si="15"/>
        <v>0</v>
      </c>
      <c r="M54" s="353">
        <f t="shared" si="4"/>
        <v>0</v>
      </c>
      <c r="N54" s="436">
        <f t="shared" ref="N54:N59" si="24">IF(B54&gt;0.899,0,E54*(1-B54))</f>
        <v>0</v>
      </c>
      <c r="O54" s="436">
        <f t="shared" ref="O54:O59" si="25">N54*$O$2</f>
        <v>0</v>
      </c>
      <c r="P54" s="38"/>
      <c r="Q54" s="54"/>
    </row>
    <row r="55" spans="1:17" x14ac:dyDescent="0.2">
      <c r="A55" s="38" t="s">
        <v>81</v>
      </c>
      <c r="B55" s="419">
        <v>0.6</v>
      </c>
      <c r="C55" s="1572">
        <f>VLOOKUP($A55,'[23]נתונים 2010 מפורט'!$D$2:$H$250,C$2,0)</f>
        <v>9943</v>
      </c>
      <c r="D55" s="1572">
        <f t="shared" si="22"/>
        <v>3977.2000000000003</v>
      </c>
      <c r="E55" s="1572">
        <f>VLOOKUP($A55,'[23]נתונים 2010 מפורט'!$D$2:$H$250,E$2,0)</f>
        <v>1250408</v>
      </c>
      <c r="F55" s="38">
        <v>1050</v>
      </c>
      <c r="G55" s="38">
        <f t="shared" si="8"/>
        <v>420</v>
      </c>
      <c r="H55" s="968">
        <f t="shared" si="23"/>
        <v>420</v>
      </c>
      <c r="I55" s="38">
        <v>1</v>
      </c>
      <c r="J55" s="38">
        <v>1</v>
      </c>
      <c r="K55" s="38">
        <f t="shared" si="2"/>
        <v>250</v>
      </c>
      <c r="L55" s="353">
        <f t="shared" si="15"/>
        <v>105000</v>
      </c>
      <c r="M55" s="353">
        <f t="shared" si="4"/>
        <v>1260000</v>
      </c>
      <c r="N55" s="436">
        <f t="shared" si="24"/>
        <v>500163.2</v>
      </c>
      <c r="O55" s="436">
        <f t="shared" si="25"/>
        <v>500163.2</v>
      </c>
      <c r="P55" s="38"/>
      <c r="Q55" s="54"/>
    </row>
    <row r="56" spans="1:17" x14ac:dyDescent="0.2">
      <c r="A56" s="38" t="s">
        <v>780</v>
      </c>
      <c r="B56" s="419">
        <v>0.8</v>
      </c>
      <c r="C56" s="1572">
        <f>VLOOKUP($A56,'[23]נתונים 2010 מפורט'!$D$2:$H$250,C$2,0)</f>
        <v>17406</v>
      </c>
      <c r="D56" s="1572">
        <f t="shared" si="22"/>
        <v>3481.1999999999994</v>
      </c>
      <c r="E56" s="1572">
        <f>VLOOKUP($A56,'[23]נתונים 2010 מפורט'!$D$2:$H$250,E$2,0)</f>
        <v>783080</v>
      </c>
      <c r="F56" s="38">
        <v>1150</v>
      </c>
      <c r="G56" s="38">
        <f t="shared" si="8"/>
        <v>230</v>
      </c>
      <c r="H56" s="968">
        <f t="shared" si="23"/>
        <v>230</v>
      </c>
      <c r="I56" s="38">
        <v>1</v>
      </c>
      <c r="J56" s="38">
        <v>1</v>
      </c>
      <c r="K56" s="38">
        <f t="shared" si="2"/>
        <v>250</v>
      </c>
      <c r="L56" s="353">
        <f t="shared" si="15"/>
        <v>57500</v>
      </c>
      <c r="M56" s="353">
        <f t="shared" si="4"/>
        <v>690000</v>
      </c>
      <c r="N56" s="436">
        <f t="shared" si="24"/>
        <v>156615.99999999997</v>
      </c>
      <c r="O56" s="436">
        <f t="shared" si="25"/>
        <v>156615.99999999997</v>
      </c>
      <c r="P56" s="38"/>
      <c r="Q56" s="54"/>
    </row>
    <row r="57" spans="1:17" x14ac:dyDescent="0.2">
      <c r="A57" s="38" t="s">
        <v>80</v>
      </c>
      <c r="B57" s="419">
        <v>0.9</v>
      </c>
      <c r="C57" s="1572">
        <f>VLOOKUP($A57,'[23]נתונים 2010 מפורט'!$D$2:$H$250,C$2,0)</f>
        <v>15749</v>
      </c>
      <c r="D57" s="1572">
        <f t="shared" si="22"/>
        <v>1574.8999999999996</v>
      </c>
      <c r="E57" s="1572">
        <f>VLOOKUP($A57,'[23]נתונים 2010 מפורט'!$D$2:$H$250,E$2,0)</f>
        <v>1041151</v>
      </c>
      <c r="F57" s="38">
        <v>1550</v>
      </c>
      <c r="G57" s="38">
        <f t="shared" si="8"/>
        <v>0</v>
      </c>
      <c r="H57" s="968">
        <f t="shared" si="23"/>
        <v>0</v>
      </c>
      <c r="I57" s="38">
        <v>1</v>
      </c>
      <c r="J57" s="38">
        <v>1</v>
      </c>
      <c r="K57" s="38">
        <f t="shared" si="2"/>
        <v>250</v>
      </c>
      <c r="L57" s="353">
        <f t="shared" si="15"/>
        <v>0</v>
      </c>
      <c r="M57" s="353">
        <f t="shared" si="4"/>
        <v>0</v>
      </c>
      <c r="N57" s="436">
        <f t="shared" si="24"/>
        <v>0</v>
      </c>
      <c r="O57" s="436">
        <f t="shared" si="25"/>
        <v>0</v>
      </c>
      <c r="P57" s="38"/>
      <c r="Q57" s="54"/>
    </row>
    <row r="58" spans="1:17" x14ac:dyDescent="0.2">
      <c r="A58" s="38" t="s">
        <v>83</v>
      </c>
      <c r="B58" s="419">
        <v>0.7</v>
      </c>
      <c r="C58" s="1572">
        <f>VLOOKUP($A58,'[23]נתונים 2010 מפורט'!$D$2:$H$250,C$2,0)</f>
        <v>12674</v>
      </c>
      <c r="D58" s="1572">
        <f t="shared" si="22"/>
        <v>3802.2000000000007</v>
      </c>
      <c r="E58" s="1572">
        <f>VLOOKUP($A58,'[23]נתונים 2010 מפורט'!$D$2:$H$250,E$2,0)</f>
        <v>1116450</v>
      </c>
      <c r="F58" s="38">
        <v>1100</v>
      </c>
      <c r="G58" s="38">
        <f t="shared" si="8"/>
        <v>330</v>
      </c>
      <c r="H58" s="968">
        <f t="shared" si="23"/>
        <v>330</v>
      </c>
      <c r="I58" s="38">
        <v>1</v>
      </c>
      <c r="J58" s="38">
        <v>1</v>
      </c>
      <c r="K58" s="38">
        <f t="shared" si="2"/>
        <v>250</v>
      </c>
      <c r="L58" s="353">
        <f t="shared" si="15"/>
        <v>82500</v>
      </c>
      <c r="M58" s="353">
        <f t="shared" si="4"/>
        <v>990000</v>
      </c>
      <c r="N58" s="436">
        <f t="shared" si="24"/>
        <v>334935.00000000006</v>
      </c>
      <c r="O58" s="436">
        <f t="shared" si="25"/>
        <v>334935.00000000006</v>
      </c>
      <c r="P58" s="38"/>
      <c r="Q58" s="54"/>
    </row>
    <row r="59" spans="1:17" x14ac:dyDescent="0.2">
      <c r="A59" s="38" t="s">
        <v>145</v>
      </c>
      <c r="B59" s="419">
        <v>0.9</v>
      </c>
      <c r="C59" s="1572">
        <f>VLOOKUP($A59,'[23]נתונים 2010 מפורט'!$D$2:$H$250,C$2,0)</f>
        <v>7739</v>
      </c>
      <c r="D59" s="1572">
        <f t="shared" si="22"/>
        <v>773.89999999999986</v>
      </c>
      <c r="E59" s="1572">
        <f>VLOOKUP($A59,'[23]נתונים 2010 מפורט'!$D$2:$H$250,E$2,0)</f>
        <v>567374</v>
      </c>
      <c r="F59" s="38">
        <v>950</v>
      </c>
      <c r="G59" s="38">
        <f t="shared" si="8"/>
        <v>0</v>
      </c>
      <c r="H59" s="968">
        <f t="shared" si="23"/>
        <v>0</v>
      </c>
      <c r="I59" s="38">
        <v>1</v>
      </c>
      <c r="J59" s="38">
        <v>1</v>
      </c>
      <c r="K59" s="38">
        <f t="shared" si="2"/>
        <v>250</v>
      </c>
      <c r="L59" s="353">
        <f t="shared" si="15"/>
        <v>0</v>
      </c>
      <c r="M59" s="353">
        <f t="shared" si="4"/>
        <v>0</v>
      </c>
      <c r="N59" s="436">
        <f t="shared" si="24"/>
        <v>0</v>
      </c>
      <c r="O59" s="436">
        <f t="shared" si="25"/>
        <v>0</v>
      </c>
      <c r="P59" s="38"/>
      <c r="Q59" s="54"/>
    </row>
    <row r="60" spans="1:17" x14ac:dyDescent="0.2">
      <c r="A60" s="720" t="s">
        <v>1421</v>
      </c>
      <c r="B60" s="991">
        <f>1-D60/C60</f>
        <v>0.81034929967145075</v>
      </c>
      <c r="C60" s="1572">
        <f>SUM(C54:C59)</f>
        <v>80962</v>
      </c>
      <c r="D60" s="1572">
        <f>SUM(D54:D59)</f>
        <v>15354.5</v>
      </c>
      <c r="E60" s="1572">
        <f>SUM(E54:E59)</f>
        <v>5614493</v>
      </c>
      <c r="F60" s="720"/>
      <c r="G60" s="38">
        <f t="shared" si="8"/>
        <v>0</v>
      </c>
      <c r="H60" s="992"/>
      <c r="I60" s="720"/>
      <c r="J60" s="720"/>
      <c r="K60" s="38">
        <f t="shared" si="2"/>
        <v>250</v>
      </c>
      <c r="L60" s="1263">
        <f t="shared" si="15"/>
        <v>0</v>
      </c>
      <c r="M60" s="1263">
        <f>SUM(M54:M59)</f>
        <v>2940000</v>
      </c>
      <c r="N60" s="993">
        <f>SUM(N54:N59)</f>
        <v>991714.2</v>
      </c>
      <c r="O60" s="993">
        <f>SUM(O54:O59)</f>
        <v>991714.2</v>
      </c>
      <c r="P60" s="994">
        <f>M60-O60</f>
        <v>1948285.8</v>
      </c>
      <c r="Q60" s="610">
        <f>P60/E60</f>
        <v>0.34701010402898358</v>
      </c>
    </row>
    <row r="61" spans="1:17" ht="15" x14ac:dyDescent="0.25">
      <c r="A61" s="987" t="s">
        <v>250</v>
      </c>
      <c r="B61" s="720"/>
      <c r="C61" s="1572"/>
      <c r="D61" s="1572"/>
      <c r="E61" s="1572"/>
      <c r="F61" s="720"/>
      <c r="G61" s="38">
        <f t="shared" si="8"/>
        <v>0</v>
      </c>
      <c r="H61" s="992"/>
      <c r="I61" s="720"/>
      <c r="J61" s="720"/>
      <c r="K61" s="38">
        <f t="shared" si="2"/>
        <v>250</v>
      </c>
      <c r="L61" s="1263"/>
      <c r="M61" s="1263"/>
      <c r="N61" s="720"/>
      <c r="O61" s="720"/>
      <c r="P61" s="720"/>
      <c r="Q61" s="54"/>
    </row>
    <row r="62" spans="1:17" x14ac:dyDescent="0.2">
      <c r="A62" s="38" t="s">
        <v>1470</v>
      </c>
      <c r="B62" s="419">
        <v>0.95</v>
      </c>
      <c r="C62" s="1572">
        <f>VLOOKUP($A62,'[23]נתונים 2010 מפורט'!$D$2:$H$250,C$2,0)</f>
        <v>18574</v>
      </c>
      <c r="D62" s="1572">
        <f t="shared" ref="D62:D68" si="26">C62*(1-B62)</f>
        <v>928.70000000000084</v>
      </c>
      <c r="E62" s="1572">
        <f>VLOOKUP($A62,'[23]נתונים 2010 מפורט'!$D$2:$H$250,E$2,0)</f>
        <v>1556186</v>
      </c>
      <c r="F62" s="38"/>
      <c r="G62" s="38">
        <f t="shared" si="8"/>
        <v>0</v>
      </c>
      <c r="H62" s="968">
        <f t="shared" si="1"/>
        <v>0</v>
      </c>
      <c r="I62" s="38">
        <v>1</v>
      </c>
      <c r="J62" s="38">
        <v>1</v>
      </c>
      <c r="K62" s="38">
        <f t="shared" si="2"/>
        <v>250</v>
      </c>
      <c r="L62" s="353">
        <f t="shared" si="15"/>
        <v>0</v>
      </c>
      <c r="M62" s="353">
        <f t="shared" si="4"/>
        <v>0</v>
      </c>
      <c r="N62" s="436">
        <f t="shared" ref="N62:N68" si="27">IF(B62&gt;0.899,0,E62*(1-B62))</f>
        <v>0</v>
      </c>
      <c r="O62" s="436">
        <f t="shared" ref="O62:O68" si="28">N62*$O$2</f>
        <v>0</v>
      </c>
      <c r="P62" s="38"/>
      <c r="Q62" s="54"/>
    </row>
    <row r="63" spans="1:17" x14ac:dyDescent="0.2">
      <c r="A63" s="38" t="s">
        <v>91</v>
      </c>
      <c r="B63" s="419">
        <v>0.8</v>
      </c>
      <c r="C63" s="1572">
        <f>VLOOKUP($A63,'[23]נתונים 2010 מפורט'!$D$2:$H$250,C$2,0)</f>
        <v>15032</v>
      </c>
      <c r="D63" s="1572">
        <f t="shared" si="26"/>
        <v>3006.3999999999992</v>
      </c>
      <c r="E63" s="1572">
        <f>VLOOKUP($A63,'[23]נתונים 2010 מפורט'!$D$2:$H$250,E$2,0)</f>
        <v>1617996</v>
      </c>
      <c r="F63" s="968">
        <f>15032/7</f>
        <v>2147.4285714285716</v>
      </c>
      <c r="G63" s="968">
        <f t="shared" si="8"/>
        <v>429.48571428571427</v>
      </c>
      <c r="H63" s="968">
        <f t="shared" si="1"/>
        <v>107.37142857142857</v>
      </c>
      <c r="I63" s="38">
        <v>1</v>
      </c>
      <c r="J63" s="38">
        <v>1</v>
      </c>
      <c r="K63" s="38">
        <f t="shared" si="2"/>
        <v>250</v>
      </c>
      <c r="L63" s="353">
        <f t="shared" si="15"/>
        <v>26842.857142857141</v>
      </c>
      <c r="M63" s="353">
        <f t="shared" si="4"/>
        <v>322114.28571428568</v>
      </c>
      <c r="N63" s="436">
        <f t="shared" si="27"/>
        <v>323599.19999999995</v>
      </c>
      <c r="O63" s="436">
        <f t="shared" si="28"/>
        <v>323599.19999999995</v>
      </c>
      <c r="P63" s="38"/>
      <c r="Q63" s="54"/>
    </row>
    <row r="64" spans="1:17" x14ac:dyDescent="0.2">
      <c r="A64" s="38" t="s">
        <v>1471</v>
      </c>
      <c r="B64" s="419">
        <v>0.86</v>
      </c>
      <c r="C64" s="1572">
        <f>VLOOKUP($A64,'[23]נתונים 2010 מפורט'!$D$2:$H$250,C$2,0)</f>
        <v>5761</v>
      </c>
      <c r="D64" s="1572">
        <f t="shared" si="26"/>
        <v>806.54000000000008</v>
      </c>
      <c r="E64" s="1572">
        <f>VLOOKUP($A64,'[23]נתונים 2010 מפורט'!$D$2:$H$250,E$2,0)</f>
        <v>559820</v>
      </c>
      <c r="F64" s="38">
        <f>5761/7</f>
        <v>823</v>
      </c>
      <c r="G64" s="968">
        <f t="shared" si="8"/>
        <v>115.22000000000003</v>
      </c>
      <c r="H64" s="968">
        <f t="shared" si="1"/>
        <v>28.805000000000007</v>
      </c>
      <c r="I64" s="38">
        <v>1</v>
      </c>
      <c r="J64" s="38">
        <v>1</v>
      </c>
      <c r="K64" s="38">
        <f t="shared" si="2"/>
        <v>250</v>
      </c>
      <c r="L64" s="353">
        <f t="shared" si="15"/>
        <v>7201.2500000000018</v>
      </c>
      <c r="M64" s="353">
        <f t="shared" si="4"/>
        <v>86415.000000000029</v>
      </c>
      <c r="N64" s="436">
        <f t="shared" si="27"/>
        <v>78374.8</v>
      </c>
      <c r="O64" s="436">
        <f t="shared" si="28"/>
        <v>78374.8</v>
      </c>
      <c r="P64" s="38"/>
      <c r="Q64" s="54"/>
    </row>
    <row r="65" spans="1:17" x14ac:dyDescent="0.2">
      <c r="A65" s="38" t="s">
        <v>88</v>
      </c>
      <c r="B65" s="419">
        <v>0.7</v>
      </c>
      <c r="C65" s="1572">
        <f>VLOOKUP($A65,'[23]נתונים 2010 מפורט'!$D$2:$H$250,C$2,0)</f>
        <v>12619</v>
      </c>
      <c r="D65" s="1572">
        <f t="shared" si="26"/>
        <v>3785.7000000000007</v>
      </c>
      <c r="E65" s="1572">
        <f>VLOOKUP($A65,'[23]נתונים 2010 מפורט'!$D$2:$H$250,E$2,0)</f>
        <v>825000</v>
      </c>
      <c r="F65" s="968">
        <f>12619/7</f>
        <v>1802.7142857142858</v>
      </c>
      <c r="G65" s="968">
        <f t="shared" si="8"/>
        <v>540.81428571428592</v>
      </c>
      <c r="H65" s="968">
        <f t="shared" si="1"/>
        <v>135.20357142857148</v>
      </c>
      <c r="I65" s="38">
        <v>1</v>
      </c>
      <c r="J65" s="38">
        <v>1</v>
      </c>
      <c r="K65" s="38">
        <f t="shared" si="2"/>
        <v>250</v>
      </c>
      <c r="L65" s="353">
        <f t="shared" si="15"/>
        <v>33800.89285714287</v>
      </c>
      <c r="M65" s="353">
        <f t="shared" si="4"/>
        <v>405610.71428571444</v>
      </c>
      <c r="N65" s="436">
        <f t="shared" si="27"/>
        <v>247500.00000000003</v>
      </c>
      <c r="O65" s="436">
        <f t="shared" si="28"/>
        <v>247500.00000000003</v>
      </c>
      <c r="P65" s="38"/>
      <c r="Q65" s="54"/>
    </row>
    <row r="66" spans="1:17" x14ac:dyDescent="0.2">
      <c r="A66" s="38" t="s">
        <v>90</v>
      </c>
      <c r="B66" s="419">
        <v>0.95</v>
      </c>
      <c r="C66" s="1572">
        <f>VLOOKUP($A66,'[23]נתונים 2010 מפורט'!$D$2:$H$250,C$2,0)</f>
        <v>8795</v>
      </c>
      <c r="D66" s="1572">
        <f t="shared" si="26"/>
        <v>439.7500000000004</v>
      </c>
      <c r="E66" s="1572">
        <f>VLOOKUP($A66,'[23]נתונים 2010 מפורט'!$D$2:$H$250,E$2,0)</f>
        <v>775861</v>
      </c>
      <c r="F66" s="38"/>
      <c r="G66" s="38">
        <f t="shared" si="8"/>
        <v>0</v>
      </c>
      <c r="H66" s="968">
        <f t="shared" si="1"/>
        <v>0</v>
      </c>
      <c r="I66" s="38">
        <v>1</v>
      </c>
      <c r="J66" s="38">
        <v>1</v>
      </c>
      <c r="K66" s="38">
        <f t="shared" si="2"/>
        <v>250</v>
      </c>
      <c r="L66" s="353">
        <f t="shared" si="15"/>
        <v>0</v>
      </c>
      <c r="M66" s="353">
        <f t="shared" si="4"/>
        <v>0</v>
      </c>
      <c r="N66" s="436">
        <f t="shared" si="27"/>
        <v>0</v>
      </c>
      <c r="O66" s="436">
        <f t="shared" si="28"/>
        <v>0</v>
      </c>
      <c r="P66" s="38"/>
      <c r="Q66" s="54"/>
    </row>
    <row r="67" spans="1:17" x14ac:dyDescent="0.2">
      <c r="A67" s="38" t="s">
        <v>131</v>
      </c>
      <c r="B67" s="419">
        <v>0.9</v>
      </c>
      <c r="C67" s="1572">
        <f>VLOOKUP($A67,'[23]נתונים 2010 מפורט'!$D$2:$H$250,C$2,0)</f>
        <v>5754</v>
      </c>
      <c r="D67" s="1572">
        <f t="shared" si="26"/>
        <v>575.39999999999986</v>
      </c>
      <c r="E67" s="1572">
        <f>VLOOKUP($A67,'[23]נתונים 2010 מפורט'!$D$2:$H$250,E$2,0)</f>
        <v>482490</v>
      </c>
      <c r="F67" s="38"/>
      <c r="G67" s="38">
        <f t="shared" si="8"/>
        <v>0</v>
      </c>
      <c r="H67" s="968">
        <f t="shared" si="1"/>
        <v>0</v>
      </c>
      <c r="I67" s="38">
        <v>1</v>
      </c>
      <c r="J67" s="38">
        <v>1</v>
      </c>
      <c r="K67" s="38">
        <f t="shared" si="2"/>
        <v>250</v>
      </c>
      <c r="L67" s="353">
        <f t="shared" si="15"/>
        <v>0</v>
      </c>
      <c r="M67" s="353">
        <f t="shared" si="4"/>
        <v>0</v>
      </c>
      <c r="N67" s="436">
        <f t="shared" si="27"/>
        <v>0</v>
      </c>
      <c r="O67" s="436">
        <f t="shared" si="28"/>
        <v>0</v>
      </c>
      <c r="P67" s="38"/>
      <c r="Q67" s="54"/>
    </row>
    <row r="68" spans="1:17" x14ac:dyDescent="0.2">
      <c r="A68" s="38" t="s">
        <v>142</v>
      </c>
      <c r="B68" s="419">
        <v>0.95</v>
      </c>
      <c r="C68" s="1572">
        <f>VLOOKUP($A68,'[23]נתונים 2010 מפורט'!$D$2:$H$250,C$2,0)</f>
        <v>3448</v>
      </c>
      <c r="D68" s="1572">
        <f t="shared" si="26"/>
        <v>172.40000000000015</v>
      </c>
      <c r="E68" s="1572">
        <f>VLOOKUP($A68,'[23]נתונים 2010 מפורט'!$D$2:$H$250,E$2,0)</f>
        <v>279701</v>
      </c>
      <c r="F68" s="38"/>
      <c r="G68" s="38">
        <f t="shared" si="8"/>
        <v>0</v>
      </c>
      <c r="H68" s="968">
        <f t="shared" si="1"/>
        <v>0</v>
      </c>
      <c r="I68" s="38">
        <v>1</v>
      </c>
      <c r="J68" s="38">
        <v>1</v>
      </c>
      <c r="K68" s="38">
        <f t="shared" si="2"/>
        <v>250</v>
      </c>
      <c r="L68" s="353">
        <f t="shared" si="15"/>
        <v>0</v>
      </c>
      <c r="M68" s="353">
        <f t="shared" si="4"/>
        <v>0</v>
      </c>
      <c r="N68" s="436">
        <f t="shared" si="27"/>
        <v>0</v>
      </c>
      <c r="O68" s="436">
        <f t="shared" si="28"/>
        <v>0</v>
      </c>
      <c r="P68" s="38"/>
      <c r="Q68" s="54"/>
    </row>
    <row r="69" spans="1:17" x14ac:dyDescent="0.2">
      <c r="A69" s="720" t="s">
        <v>1421</v>
      </c>
      <c r="B69" s="991">
        <f>1-D69/C69</f>
        <v>0.86118214423502848</v>
      </c>
      <c r="C69" s="1572">
        <f>SUM(C62:C68)</f>
        <v>69983</v>
      </c>
      <c r="D69" s="1572">
        <f>SUM(D62:D68)</f>
        <v>9714.89</v>
      </c>
      <c r="E69" s="1572">
        <f>SUM(E62:E68)</f>
        <v>6097054</v>
      </c>
      <c r="F69" s="720"/>
      <c r="G69" s="38">
        <f t="shared" si="8"/>
        <v>0</v>
      </c>
      <c r="H69" s="992"/>
      <c r="I69" s="720"/>
      <c r="J69" s="720"/>
      <c r="K69" s="38">
        <f t="shared" si="2"/>
        <v>250</v>
      </c>
      <c r="L69" s="1263"/>
      <c r="M69" s="993">
        <f>SUM(M62:M68)</f>
        <v>814140.00000000012</v>
      </c>
      <c r="N69" s="993">
        <f>SUM(N62:N68)</f>
        <v>649474</v>
      </c>
      <c r="O69" s="993">
        <f>SUM(O62:O68)</f>
        <v>649474</v>
      </c>
      <c r="P69" s="994">
        <f>M69-O69</f>
        <v>164666.00000000012</v>
      </c>
      <c r="Q69" s="610">
        <f>P69/E69</f>
        <v>2.7007469509044878E-2</v>
      </c>
    </row>
    <row r="70" spans="1:17" ht="15" x14ac:dyDescent="0.25">
      <c r="A70" s="987" t="s">
        <v>1271</v>
      </c>
      <c r="B70" s="720"/>
      <c r="C70" s="1572"/>
      <c r="D70" s="1572"/>
      <c r="E70" s="1572"/>
      <c r="F70" s="720"/>
      <c r="G70" s="38">
        <f t="shared" si="8"/>
        <v>0</v>
      </c>
      <c r="H70" s="992"/>
      <c r="I70" s="720"/>
      <c r="J70" s="720"/>
      <c r="K70" s="38">
        <f t="shared" si="2"/>
        <v>250</v>
      </c>
      <c r="L70" s="1263"/>
      <c r="M70" s="1263"/>
      <c r="N70" s="720"/>
      <c r="O70" s="720"/>
      <c r="P70" s="720"/>
      <c r="Q70" s="54"/>
    </row>
    <row r="71" spans="1:17" x14ac:dyDescent="0.2">
      <c r="A71" s="38" t="s">
        <v>27</v>
      </c>
      <c r="B71" s="419">
        <v>0.85</v>
      </c>
      <c r="C71" s="1572">
        <f>VLOOKUP($A71,'[23]נתונים 2010 מפורט'!$D$2:$H$250,C$2,0)</f>
        <v>19179</v>
      </c>
      <c r="D71" s="1572">
        <f t="shared" ref="D71:D77" si="29">C71*(1-B71)</f>
        <v>2876.8500000000004</v>
      </c>
      <c r="E71" s="1572">
        <f>VLOOKUP($A71,'[23]נתונים 2010 מפורט'!$D$2:$H$250,E$2,0)</f>
        <v>1473080</v>
      </c>
      <c r="F71" s="38">
        <v>4002</v>
      </c>
      <c r="G71" s="38">
        <f t="shared" si="8"/>
        <v>600.30000000000018</v>
      </c>
      <c r="H71" s="968">
        <f t="shared" si="1"/>
        <v>150.07500000000005</v>
      </c>
      <c r="I71" s="38">
        <v>1</v>
      </c>
      <c r="J71" s="38">
        <v>1</v>
      </c>
      <c r="K71" s="38">
        <f t="shared" ref="K71:K92" si="30">$K$2</f>
        <v>250</v>
      </c>
      <c r="L71" s="353">
        <f t="shared" si="15"/>
        <v>37518.750000000015</v>
      </c>
      <c r="M71" s="353">
        <f t="shared" si="4"/>
        <v>450225.00000000017</v>
      </c>
      <c r="N71" s="436">
        <f t="shared" ref="N71:N77" si="31">IF(B71&gt;0.899,0,E71*(1-B71))</f>
        <v>220962.00000000003</v>
      </c>
      <c r="O71" s="436">
        <f t="shared" ref="O71:O77" si="32">N71*$O$2</f>
        <v>220962.00000000003</v>
      </c>
      <c r="P71" s="38"/>
      <c r="Q71" s="54"/>
    </row>
    <row r="72" spans="1:17" x14ac:dyDescent="0.2">
      <c r="A72" s="38" t="s">
        <v>32</v>
      </c>
      <c r="B72" s="419">
        <v>0.7</v>
      </c>
      <c r="C72" s="1572">
        <f>VLOOKUP($A72,'[23]נתונים 2010 מפורט'!$D$2:$H$250,C$2,0)</f>
        <v>7196</v>
      </c>
      <c r="D72" s="1572">
        <f t="shared" si="29"/>
        <v>2158.8000000000002</v>
      </c>
      <c r="E72" s="1572">
        <f>VLOOKUP($A72,'[23]נתונים 2010 מפורט'!$D$2:$H$250,E$2,0)</f>
        <v>456560</v>
      </c>
      <c r="F72" s="38">
        <v>1115</v>
      </c>
      <c r="G72" s="38">
        <f t="shared" si="8"/>
        <v>334.5</v>
      </c>
      <c r="H72" s="968">
        <f t="shared" si="1"/>
        <v>83.625</v>
      </c>
      <c r="I72" s="38">
        <v>1</v>
      </c>
      <c r="J72" s="38">
        <v>1</v>
      </c>
      <c r="K72" s="38">
        <f t="shared" si="30"/>
        <v>250</v>
      </c>
      <c r="L72" s="353">
        <f t="shared" si="15"/>
        <v>20906.25</v>
      </c>
      <c r="M72" s="353">
        <f t="shared" si="4"/>
        <v>250875</v>
      </c>
      <c r="N72" s="436">
        <f t="shared" si="31"/>
        <v>136968.00000000003</v>
      </c>
      <c r="O72" s="436">
        <f t="shared" si="32"/>
        <v>136968.00000000003</v>
      </c>
      <c r="P72" s="38"/>
      <c r="Q72" s="54"/>
    </row>
    <row r="73" spans="1:17" x14ac:dyDescent="0.2">
      <c r="A73" s="38" t="s">
        <v>0</v>
      </c>
      <c r="B73" s="419">
        <v>0.85</v>
      </c>
      <c r="C73" s="1572">
        <f>VLOOKUP($A73,'[23]נתונים 2010 מפורט'!$D$2:$H$250,C$2,0)</f>
        <v>12149</v>
      </c>
      <c r="D73" s="1572">
        <f t="shared" si="29"/>
        <v>1822.3500000000004</v>
      </c>
      <c r="E73" s="1572">
        <f>VLOOKUP($A73,'[23]נתונים 2010 מפורט'!$D$2:$H$250,E$2,0)</f>
        <v>962460</v>
      </c>
      <c r="F73" s="38">
        <v>2670</v>
      </c>
      <c r="G73" s="38">
        <f t="shared" si="8"/>
        <v>400.5</v>
      </c>
      <c r="H73" s="968">
        <f t="shared" si="1"/>
        <v>100.125</v>
      </c>
      <c r="I73" s="38">
        <v>1</v>
      </c>
      <c r="J73" s="38">
        <v>1</v>
      </c>
      <c r="K73" s="38">
        <f t="shared" si="30"/>
        <v>250</v>
      </c>
      <c r="L73" s="353">
        <f t="shared" si="15"/>
        <v>25031.25</v>
      </c>
      <c r="M73" s="353">
        <f t="shared" si="4"/>
        <v>300375</v>
      </c>
      <c r="N73" s="436">
        <f t="shared" si="31"/>
        <v>144369.00000000003</v>
      </c>
      <c r="O73" s="436">
        <f t="shared" si="32"/>
        <v>144369.00000000003</v>
      </c>
      <c r="P73" s="38"/>
      <c r="Q73" s="54"/>
    </row>
    <row r="74" spans="1:17" x14ac:dyDescent="0.2">
      <c r="A74" s="38" t="s">
        <v>1472</v>
      </c>
      <c r="B74" s="419">
        <v>0.9</v>
      </c>
      <c r="C74" s="1572">
        <f>VLOOKUP($A74,'[23]נתונים 2010 מפורט'!$D$2:$H$250,C$2,0)</f>
        <v>9133</v>
      </c>
      <c r="D74" s="1572">
        <f t="shared" si="29"/>
        <v>913.29999999999984</v>
      </c>
      <c r="E74" s="1572">
        <f>VLOOKUP($A74,'[23]נתונים 2010 מפורט'!$D$2:$H$250,E$2,0)</f>
        <v>673628</v>
      </c>
      <c r="F74" s="38">
        <v>1951</v>
      </c>
      <c r="G74" s="38">
        <f t="shared" si="8"/>
        <v>0</v>
      </c>
      <c r="H74" s="968">
        <f t="shared" si="1"/>
        <v>0</v>
      </c>
      <c r="I74" s="38">
        <v>1</v>
      </c>
      <c r="J74" s="38">
        <v>1</v>
      </c>
      <c r="K74" s="38">
        <f t="shared" si="30"/>
        <v>250</v>
      </c>
      <c r="L74" s="353">
        <f t="shared" si="15"/>
        <v>0</v>
      </c>
      <c r="M74" s="353">
        <f t="shared" si="4"/>
        <v>0</v>
      </c>
      <c r="N74" s="436">
        <f t="shared" si="31"/>
        <v>0</v>
      </c>
      <c r="O74" s="436">
        <f t="shared" si="32"/>
        <v>0</v>
      </c>
      <c r="P74" s="38"/>
      <c r="Q74" s="54"/>
    </row>
    <row r="75" spans="1:17" x14ac:dyDescent="0.2">
      <c r="A75" s="1573" t="s">
        <v>1473</v>
      </c>
      <c r="B75" s="419">
        <v>0.75</v>
      </c>
      <c r="C75" s="1572">
        <f>VLOOKUP($A75,'[23]נתונים 2010 מפורט'!$D$2:$H$250,C$2,0)</f>
        <v>5105</v>
      </c>
      <c r="D75" s="1572">
        <f t="shared" si="29"/>
        <v>1276.25</v>
      </c>
      <c r="E75" s="1572">
        <f>VLOOKUP($A75,'[23]נתונים 2010 מפורט'!$D$2:$H$250,E$2,0)</f>
        <v>352850</v>
      </c>
      <c r="F75" s="38">
        <v>1342</v>
      </c>
      <c r="G75" s="38">
        <f t="shared" si="8"/>
        <v>335.5</v>
      </c>
      <c r="H75" s="968">
        <f t="shared" si="1"/>
        <v>83.875</v>
      </c>
      <c r="I75" s="38">
        <v>1</v>
      </c>
      <c r="J75" s="38">
        <v>1</v>
      </c>
      <c r="K75" s="38">
        <f t="shared" si="30"/>
        <v>250</v>
      </c>
      <c r="L75" s="353">
        <f t="shared" si="15"/>
        <v>20968.75</v>
      </c>
      <c r="M75" s="353">
        <f t="shared" si="4"/>
        <v>251625</v>
      </c>
      <c r="N75" s="436">
        <f t="shared" si="31"/>
        <v>88212.5</v>
      </c>
      <c r="O75" s="436">
        <f t="shared" si="32"/>
        <v>88212.5</v>
      </c>
      <c r="P75" s="38"/>
      <c r="Q75" s="54"/>
    </row>
    <row r="76" spans="1:17" x14ac:dyDescent="0.2">
      <c r="A76" s="38" t="s">
        <v>1474</v>
      </c>
      <c r="B76" s="419">
        <v>0.8</v>
      </c>
      <c r="C76" s="1572">
        <f>VLOOKUP($A76,'[23]נתונים 2010 מפורט'!$D$2:$H$250,C$2,0)</f>
        <v>8163</v>
      </c>
      <c r="D76" s="1572">
        <f t="shared" si="29"/>
        <v>1632.5999999999997</v>
      </c>
      <c r="E76" s="1572">
        <f>VLOOKUP($A76,'[23]נתונים 2010 מפורט'!$D$2:$H$250,E$2,0)</f>
        <v>366110</v>
      </c>
      <c r="F76" s="38">
        <v>1685</v>
      </c>
      <c r="G76" s="38">
        <f t="shared" ref="G76:G89" si="33">IF(B76&gt;89%,0,F76-F76*B76)</f>
        <v>337</v>
      </c>
      <c r="H76" s="968">
        <f t="shared" si="1"/>
        <v>84.25</v>
      </c>
      <c r="I76" s="38">
        <v>1</v>
      </c>
      <c r="J76" s="38">
        <v>1</v>
      </c>
      <c r="K76" s="38">
        <f t="shared" si="30"/>
        <v>250</v>
      </c>
      <c r="L76" s="353">
        <f t="shared" si="15"/>
        <v>21062.5</v>
      </c>
      <c r="M76" s="353">
        <f t="shared" si="4"/>
        <v>252750</v>
      </c>
      <c r="N76" s="436">
        <f t="shared" si="31"/>
        <v>73221.999999999985</v>
      </c>
      <c r="O76" s="436">
        <f t="shared" si="32"/>
        <v>73221.999999999985</v>
      </c>
      <c r="P76" s="38"/>
      <c r="Q76" s="54"/>
    </row>
    <row r="77" spans="1:17" x14ac:dyDescent="0.2">
      <c r="A77" s="38" t="s">
        <v>36</v>
      </c>
      <c r="B77" s="419">
        <v>0.75</v>
      </c>
      <c r="C77" s="1572">
        <f>VLOOKUP($A77,'[23]נתונים 2010 מפורט'!$D$2:$H$250,C$2,0)</f>
        <v>11397</v>
      </c>
      <c r="D77" s="1572">
        <f t="shared" si="29"/>
        <v>2849.25</v>
      </c>
      <c r="E77" s="1572">
        <f>VLOOKUP($A77,'[23]נתונים 2010 מפורט'!$D$2:$H$250,E$2,0)</f>
        <v>777579</v>
      </c>
      <c r="F77" s="38">
        <v>2673</v>
      </c>
      <c r="G77" s="38">
        <f t="shared" si="33"/>
        <v>668.25</v>
      </c>
      <c r="H77" s="968">
        <f t="shared" ref="H77:H92" si="34">G77*0.25</f>
        <v>167.0625</v>
      </c>
      <c r="I77" s="38">
        <v>1</v>
      </c>
      <c r="J77" s="38">
        <v>1</v>
      </c>
      <c r="K77" s="38">
        <f t="shared" si="30"/>
        <v>250</v>
      </c>
      <c r="L77" s="353">
        <f t="shared" si="15"/>
        <v>41765.625</v>
      </c>
      <c r="M77" s="353">
        <f t="shared" ref="M77:M92" si="35">L77*12</f>
        <v>501187.5</v>
      </c>
      <c r="N77" s="436">
        <f t="shared" si="31"/>
        <v>194394.75</v>
      </c>
      <c r="O77" s="436">
        <f t="shared" si="32"/>
        <v>194394.75</v>
      </c>
      <c r="P77" s="38"/>
      <c r="Q77" s="54"/>
    </row>
    <row r="78" spans="1:17" x14ac:dyDescent="0.2">
      <c r="A78" s="720" t="s">
        <v>1421</v>
      </c>
      <c r="B78" s="991">
        <f>1-D78/C78</f>
        <v>0.81292829291225355</v>
      </c>
      <c r="C78" s="1572">
        <f>SUM(C71:C77)</f>
        <v>72322</v>
      </c>
      <c r="D78" s="1572">
        <f>SUM(D71:D77)</f>
        <v>13529.400000000001</v>
      </c>
      <c r="E78" s="1572">
        <f>SUM(E71:E77)</f>
        <v>5062267</v>
      </c>
      <c r="F78" s="720"/>
      <c r="G78" s="38">
        <f t="shared" si="33"/>
        <v>0</v>
      </c>
      <c r="H78" s="992"/>
      <c r="I78" s="720"/>
      <c r="J78" s="720"/>
      <c r="K78" s="38">
        <f t="shared" si="30"/>
        <v>250</v>
      </c>
      <c r="L78" s="1263">
        <f t="shared" si="15"/>
        <v>0</v>
      </c>
      <c r="M78" s="1263">
        <f>SUM(M71:M77)</f>
        <v>2007037.5000000002</v>
      </c>
      <c r="N78" s="993">
        <f>SUM(N71:N77)</f>
        <v>858128.25000000012</v>
      </c>
      <c r="O78" s="993">
        <f>SUM(O71:O77)</f>
        <v>858128.25000000012</v>
      </c>
      <c r="P78" s="994">
        <f>M78-O78</f>
        <v>1148909.25</v>
      </c>
      <c r="Q78" s="610">
        <f>P78/E78</f>
        <v>0.22695548259307541</v>
      </c>
    </row>
    <row r="79" spans="1:17" ht="15" x14ac:dyDescent="0.25">
      <c r="A79" s="987" t="s">
        <v>1183</v>
      </c>
      <c r="B79" s="720"/>
      <c r="C79" s="1572"/>
      <c r="D79" s="1572"/>
      <c r="E79" s="1572"/>
      <c r="F79" s="720"/>
      <c r="G79" s="38">
        <f t="shared" si="33"/>
        <v>0</v>
      </c>
      <c r="H79" s="992"/>
      <c r="I79" s="720"/>
      <c r="J79" s="720"/>
      <c r="K79" s="38">
        <f t="shared" si="30"/>
        <v>250</v>
      </c>
      <c r="L79" s="1263"/>
      <c r="M79" s="1263"/>
      <c r="N79" s="720"/>
      <c r="O79" s="720"/>
      <c r="P79" s="720"/>
      <c r="Q79" s="54"/>
    </row>
    <row r="80" spans="1:17" x14ac:dyDescent="0.2">
      <c r="A80" s="38" t="s">
        <v>55</v>
      </c>
      <c r="B80" s="419">
        <v>0.95</v>
      </c>
      <c r="C80" s="1572">
        <f>VLOOKUP($A80,'[23]נתונים 2010 מפורט'!$D$2:$H$250,C$2,0)</f>
        <v>72997</v>
      </c>
      <c r="D80" s="1572">
        <f>C80*(1-B80)</f>
        <v>3649.8500000000031</v>
      </c>
      <c r="E80" s="1572">
        <f>VLOOKUP($A80,'[23]נתונים 2010 מפורט'!$D$2:$H$250,E$2,0)</f>
        <v>5851390</v>
      </c>
      <c r="F80" s="38">
        <v>15627</v>
      </c>
      <c r="G80" s="38">
        <f t="shared" si="33"/>
        <v>0</v>
      </c>
      <c r="H80" s="968">
        <f t="shared" si="34"/>
        <v>0</v>
      </c>
      <c r="I80" s="38">
        <v>1</v>
      </c>
      <c r="J80" s="38">
        <v>1</v>
      </c>
      <c r="K80" s="38">
        <f t="shared" si="30"/>
        <v>250</v>
      </c>
      <c r="L80" s="353">
        <f t="shared" si="15"/>
        <v>0</v>
      </c>
      <c r="M80" s="353">
        <f t="shared" si="35"/>
        <v>0</v>
      </c>
      <c r="N80" s="436">
        <f>IF(B80&gt;0.899,0,E80*(1-B80))</f>
        <v>0</v>
      </c>
      <c r="O80" s="436">
        <f>N80*$O$2</f>
        <v>0</v>
      </c>
      <c r="P80" s="38"/>
      <c r="Q80" s="54"/>
    </row>
    <row r="81" spans="1:17" x14ac:dyDescent="0.2">
      <c r="A81" s="1003" t="s">
        <v>20</v>
      </c>
      <c r="B81" s="1004">
        <v>1</v>
      </c>
      <c r="C81" s="1572">
        <f>VLOOKUP($A81,'[23]נתונים 2010 מפורט'!$D$2:$H$250,C$2,0)</f>
        <v>16776</v>
      </c>
      <c r="D81" s="1572">
        <f>C81*(1-B81)</f>
        <v>0</v>
      </c>
      <c r="E81" s="1572">
        <f>VLOOKUP($A81,'[23]נתונים 2010 מפורט'!$D$2:$H$250,E$2,0)</f>
        <v>1108630</v>
      </c>
      <c r="F81" s="1003">
        <v>3745</v>
      </c>
      <c r="G81" s="38">
        <f t="shared" si="33"/>
        <v>0</v>
      </c>
      <c r="H81" s="1005">
        <f t="shared" si="34"/>
        <v>0</v>
      </c>
      <c r="I81" s="38">
        <v>1</v>
      </c>
      <c r="J81" s="38">
        <v>1</v>
      </c>
      <c r="K81" s="38">
        <f t="shared" si="30"/>
        <v>250</v>
      </c>
      <c r="L81" s="353">
        <f t="shared" si="15"/>
        <v>0</v>
      </c>
      <c r="M81" s="1574">
        <f t="shared" si="35"/>
        <v>0</v>
      </c>
      <c r="N81" s="436">
        <f>IF(B81&gt;0.899,0,E81*(1-B81))</f>
        <v>0</v>
      </c>
      <c r="O81" s="436">
        <f>N81*$O$2</f>
        <v>0</v>
      </c>
      <c r="P81" s="38"/>
      <c r="Q81" s="54"/>
    </row>
    <row r="82" spans="1:17" x14ac:dyDescent="0.2">
      <c r="A82" s="38" t="s">
        <v>40</v>
      </c>
      <c r="B82" s="419">
        <v>0.8</v>
      </c>
      <c r="C82" s="1572">
        <f>VLOOKUP($A82,'[23]נתונים 2010 מפורט'!$D$2:$H$250,C$2,0)</f>
        <v>17452</v>
      </c>
      <c r="D82" s="1572">
        <f>C82*(1-B82)</f>
        <v>3490.3999999999992</v>
      </c>
      <c r="E82" s="1572">
        <f>VLOOKUP($A82,'[23]נתונים 2010 מפורט'!$D$2:$H$250,E$2,0)</f>
        <v>1456950</v>
      </c>
      <c r="F82" s="38">
        <v>3547</v>
      </c>
      <c r="G82" s="38">
        <f t="shared" si="33"/>
        <v>709.39999999999964</v>
      </c>
      <c r="H82" s="968">
        <f t="shared" si="34"/>
        <v>177.34999999999991</v>
      </c>
      <c r="I82" s="38">
        <v>1</v>
      </c>
      <c r="J82" s="38">
        <v>1</v>
      </c>
      <c r="K82" s="38">
        <f t="shared" si="30"/>
        <v>250</v>
      </c>
      <c r="L82" s="353">
        <f t="shared" si="15"/>
        <v>44337.499999999978</v>
      </c>
      <c r="M82" s="353">
        <f t="shared" si="35"/>
        <v>532049.99999999977</v>
      </c>
      <c r="N82" s="436">
        <f>IF(B82&gt;0.899,0,E82*(1-B82))</f>
        <v>291389.99999999994</v>
      </c>
      <c r="O82" s="436">
        <f>N82*$O$2</f>
        <v>291389.99999999994</v>
      </c>
      <c r="P82" s="38"/>
      <c r="Q82" s="54"/>
    </row>
    <row r="83" spans="1:17" x14ac:dyDescent="0.2">
      <c r="A83" s="38" t="s">
        <v>46</v>
      </c>
      <c r="B83" s="419">
        <v>0.9</v>
      </c>
      <c r="C83" s="1572">
        <f>VLOOKUP($A83,'[23]נתונים 2010 מפורט'!$D$2:$H$250,C$2,0)</f>
        <v>7039</v>
      </c>
      <c r="D83" s="1572">
        <f>C83*(1-B83)</f>
        <v>703.89999999999986</v>
      </c>
      <c r="E83" s="1572">
        <f>VLOOKUP($A83,'[23]נתונים 2010 מפורט'!$D$2:$H$250,E$2,0)</f>
        <v>419823</v>
      </c>
      <c r="F83" s="38">
        <v>1454</v>
      </c>
      <c r="G83" s="38">
        <f t="shared" si="33"/>
        <v>0</v>
      </c>
      <c r="H83" s="968">
        <f t="shared" si="34"/>
        <v>0</v>
      </c>
      <c r="I83" s="38">
        <v>1</v>
      </c>
      <c r="J83" s="38">
        <v>1</v>
      </c>
      <c r="K83" s="38">
        <f t="shared" si="30"/>
        <v>250</v>
      </c>
      <c r="L83" s="353">
        <f t="shared" si="15"/>
        <v>0</v>
      </c>
      <c r="M83" s="353">
        <f t="shared" si="35"/>
        <v>0</v>
      </c>
      <c r="N83" s="436">
        <f>IF(B83&gt;0.899,0,E83*(1-B83))</f>
        <v>0</v>
      </c>
      <c r="O83" s="436">
        <f>N83*$O$2</f>
        <v>0</v>
      </c>
      <c r="P83" s="38"/>
      <c r="Q83" s="54"/>
    </row>
    <row r="84" spans="1:17" x14ac:dyDescent="0.2">
      <c r="A84" s="1575" t="s">
        <v>1475</v>
      </c>
      <c r="B84" s="1004">
        <v>1</v>
      </c>
      <c r="C84" s="1572">
        <f>VLOOKUP($A84,'[23]נתונים 2010 מפורט'!$D$2:$H$250,C$2,0)</f>
        <v>12429</v>
      </c>
      <c r="D84" s="1572">
        <f>C84*(1-B84)</f>
        <v>0</v>
      </c>
      <c r="E84" s="1572">
        <f>VLOOKUP($A84,'[23]נתונים 2010 מפורט'!$D$2:$H$250,E$2,0)</f>
        <v>863129</v>
      </c>
      <c r="F84" s="1003">
        <v>2730</v>
      </c>
      <c r="G84" s="38">
        <f t="shared" si="33"/>
        <v>0</v>
      </c>
      <c r="H84" s="1005">
        <f t="shared" si="34"/>
        <v>0</v>
      </c>
      <c r="I84" s="38">
        <v>1</v>
      </c>
      <c r="J84" s="38">
        <v>1</v>
      </c>
      <c r="K84" s="38">
        <f t="shared" si="30"/>
        <v>250</v>
      </c>
      <c r="L84" s="353">
        <f t="shared" si="15"/>
        <v>0</v>
      </c>
      <c r="M84" s="1574">
        <f t="shared" si="35"/>
        <v>0</v>
      </c>
      <c r="N84" s="436">
        <f>IF(B84&gt;0.899,0,E84*(1-B84))</f>
        <v>0</v>
      </c>
      <c r="O84" s="436">
        <f>N84*$O$2</f>
        <v>0</v>
      </c>
      <c r="P84" s="38"/>
      <c r="Q84" s="54"/>
    </row>
    <row r="85" spans="1:17" x14ac:dyDescent="0.2">
      <c r="A85" s="720" t="s">
        <v>1421</v>
      </c>
      <c r="B85" s="991">
        <f>1-D85/C85</f>
        <v>0.93808537172535178</v>
      </c>
      <c r="C85" s="1572">
        <f>SUM(C80:C84)</f>
        <v>126693</v>
      </c>
      <c r="D85" s="1572">
        <f>SUM(D80:D84)</f>
        <v>7844.1500000000015</v>
      </c>
      <c r="E85" s="1572">
        <f>SUM(E80:E84)</f>
        <v>9699922</v>
      </c>
      <c r="F85" s="720"/>
      <c r="G85" s="38">
        <f t="shared" si="33"/>
        <v>0</v>
      </c>
      <c r="H85" s="992"/>
      <c r="I85" s="720"/>
      <c r="J85" s="720"/>
      <c r="K85" s="38">
        <f t="shared" si="30"/>
        <v>250</v>
      </c>
      <c r="L85" s="1263"/>
      <c r="M85" s="1263">
        <f>SUM(M80:M84)</f>
        <v>532049.99999999977</v>
      </c>
      <c r="N85" s="993">
        <f>SUM(N80:N84)</f>
        <v>291389.99999999994</v>
      </c>
      <c r="O85" s="993">
        <f>SUM(O80:O84)</f>
        <v>291389.99999999994</v>
      </c>
      <c r="P85" s="994">
        <f>M85-O85</f>
        <v>240659.99999999983</v>
      </c>
      <c r="Q85" s="610">
        <f>P85/E85</f>
        <v>2.4810508785534546E-2</v>
      </c>
    </row>
    <row r="86" spans="1:17" ht="15" x14ac:dyDescent="0.25">
      <c r="A86" s="987" t="s">
        <v>1476</v>
      </c>
      <c r="B86" s="720"/>
      <c r="C86" s="1572"/>
      <c r="D86" s="1572"/>
      <c r="E86" s="1572"/>
      <c r="F86" s="720"/>
      <c r="G86" s="38">
        <f t="shared" si="33"/>
        <v>0</v>
      </c>
      <c r="H86" s="992">
        <f t="shared" si="34"/>
        <v>0</v>
      </c>
      <c r="I86" s="720">
        <v>1</v>
      </c>
      <c r="J86" s="720">
        <v>1</v>
      </c>
      <c r="K86" s="38">
        <f t="shared" si="30"/>
        <v>250</v>
      </c>
      <c r="L86" s="1263">
        <f t="shared" si="15"/>
        <v>0</v>
      </c>
      <c r="M86" s="1263"/>
      <c r="N86" s="720"/>
      <c r="O86" s="720"/>
      <c r="P86" s="720"/>
      <c r="Q86" s="54"/>
    </row>
    <row r="87" spans="1:17" x14ac:dyDescent="0.2">
      <c r="A87" s="38" t="s">
        <v>122</v>
      </c>
      <c r="B87" s="419">
        <v>0.7</v>
      </c>
      <c r="C87" s="1572">
        <f>VLOOKUP($A87,'[23]נתונים 2010 מפורט'!$D$2:$H$250,C$2,0)</f>
        <v>22939</v>
      </c>
      <c r="D87" s="1572">
        <f>C87*(1-B87)</f>
        <v>6881.7000000000007</v>
      </c>
      <c r="E87" s="1572">
        <f>VLOOKUP($A87,'[23]נתונים 2010 מפורט'!$D$2:$H$250,E$2,0)</f>
        <v>1903900</v>
      </c>
      <c r="F87" s="38">
        <v>5315</v>
      </c>
      <c r="G87" s="38">
        <f t="shared" si="33"/>
        <v>1594.5000000000005</v>
      </c>
      <c r="H87" s="968">
        <f t="shared" si="34"/>
        <v>398.62500000000011</v>
      </c>
      <c r="I87" s="38">
        <v>1</v>
      </c>
      <c r="J87" s="38">
        <v>1</v>
      </c>
      <c r="K87" s="38">
        <f t="shared" si="30"/>
        <v>250</v>
      </c>
      <c r="L87" s="353">
        <f t="shared" si="15"/>
        <v>99656.250000000029</v>
      </c>
      <c r="M87" s="353">
        <f t="shared" si="35"/>
        <v>1195875.0000000005</v>
      </c>
      <c r="N87" s="436">
        <f>IF(B87&gt;0.899,0,E87*(1-B87))</f>
        <v>571170.00000000012</v>
      </c>
      <c r="O87" s="436">
        <f>N87*$O$2</f>
        <v>571170.00000000012</v>
      </c>
      <c r="P87" s="38"/>
      <c r="Q87" s="54"/>
    </row>
    <row r="88" spans="1:17" x14ac:dyDescent="0.2">
      <c r="A88" s="54" t="s">
        <v>109</v>
      </c>
      <c r="B88" s="419">
        <v>0.85</v>
      </c>
      <c r="C88" s="1572">
        <f>VLOOKUP($A88,'[23]נתונים 2010 מפורט'!$D$2:$H$250,C$2,0)</f>
        <v>19389</v>
      </c>
      <c r="D88" s="1572">
        <f>C88*(1-B88)</f>
        <v>2908.3500000000004</v>
      </c>
      <c r="E88" s="1572">
        <f>VLOOKUP($A88,'[23]נתונים 2010 מפורט'!$D$2:$H$250,E$2,0)</f>
        <v>2056873</v>
      </c>
      <c r="F88" s="38">
        <v>4269</v>
      </c>
      <c r="G88" s="38">
        <f t="shared" si="33"/>
        <v>640.34999999999991</v>
      </c>
      <c r="H88" s="968">
        <f t="shared" si="34"/>
        <v>160.08749999999998</v>
      </c>
      <c r="I88" s="38">
        <v>1</v>
      </c>
      <c r="J88" s="38">
        <v>1</v>
      </c>
      <c r="K88" s="38">
        <f t="shared" si="30"/>
        <v>250</v>
      </c>
      <c r="L88" s="353">
        <f t="shared" si="15"/>
        <v>40021.874999999993</v>
      </c>
      <c r="M88" s="353">
        <f t="shared" si="35"/>
        <v>480262.49999999988</v>
      </c>
      <c r="N88" s="436">
        <f>IF(B88&gt;0.899,0,E88*(1-B88))</f>
        <v>308530.95000000007</v>
      </c>
      <c r="O88" s="436">
        <f>N88*$O$2</f>
        <v>308530.95000000007</v>
      </c>
      <c r="P88" s="38"/>
      <c r="Q88" s="54"/>
    </row>
    <row r="89" spans="1:17" x14ac:dyDescent="0.2">
      <c r="A89" s="54" t="s">
        <v>117</v>
      </c>
      <c r="B89" s="419">
        <v>0.95</v>
      </c>
      <c r="C89" s="1572">
        <f>VLOOKUP($A89,'[23]נתונים 2010 מפורט'!$D$2:$H$250,C$2,0)</f>
        <v>8651</v>
      </c>
      <c r="D89" s="1572">
        <f>C89*(1-B89)</f>
        <v>432.55000000000041</v>
      </c>
      <c r="E89" s="1572">
        <f>VLOOKUP($A89,'[23]נתונים 2010 מפורט'!$D$2:$H$250,E$2,0)</f>
        <v>1305965</v>
      </c>
      <c r="F89" s="38">
        <v>2010</v>
      </c>
      <c r="G89" s="38">
        <f t="shared" si="33"/>
        <v>0</v>
      </c>
      <c r="H89" s="968">
        <f t="shared" si="34"/>
        <v>0</v>
      </c>
      <c r="I89" s="38">
        <v>1</v>
      </c>
      <c r="J89" s="38">
        <v>1</v>
      </c>
      <c r="K89" s="38">
        <f t="shared" si="30"/>
        <v>250</v>
      </c>
      <c r="L89" s="353">
        <f t="shared" si="15"/>
        <v>0</v>
      </c>
      <c r="M89" s="353">
        <f t="shared" si="35"/>
        <v>0</v>
      </c>
      <c r="N89" s="436">
        <f>IF(B89&gt;0.899,0,E89*(1-B89))</f>
        <v>0</v>
      </c>
      <c r="O89" s="436">
        <f>N89*$O$2</f>
        <v>0</v>
      </c>
      <c r="P89" s="38"/>
      <c r="Q89" s="54"/>
    </row>
    <row r="90" spans="1:17" x14ac:dyDescent="0.2">
      <c r="A90" s="720" t="s">
        <v>1421</v>
      </c>
      <c r="B90" s="991">
        <f>1-D90/C90</f>
        <v>0.7994742933364718</v>
      </c>
      <c r="C90" s="1572">
        <f>SUM(C87:C89)</f>
        <v>50979</v>
      </c>
      <c r="D90" s="1572">
        <f>SUM(D87:D89)</f>
        <v>10222.600000000002</v>
      </c>
      <c r="E90" s="1572">
        <f>SUM(E87:E89)</f>
        <v>5266738</v>
      </c>
      <c r="F90" s="720"/>
      <c r="G90" s="992"/>
      <c r="H90" s="992"/>
      <c r="I90" s="720"/>
      <c r="J90" s="720"/>
      <c r="K90" s="38">
        <f t="shared" si="30"/>
        <v>250</v>
      </c>
      <c r="L90" s="1263"/>
      <c r="M90" s="1263">
        <f>SUM(M87:M89)</f>
        <v>1676137.5000000005</v>
      </c>
      <c r="N90" s="993">
        <f>SUM(N87:N89)</f>
        <v>879700.95000000019</v>
      </c>
      <c r="O90" s="993">
        <f>SUM(O87:O89)</f>
        <v>879700.95000000019</v>
      </c>
      <c r="P90" s="994">
        <f>M90-O90</f>
        <v>796436.55000000028</v>
      </c>
      <c r="Q90" s="610">
        <f>P90/E90</f>
        <v>0.15122008157611036</v>
      </c>
    </row>
    <row r="91" spans="1:17" ht="15" x14ac:dyDescent="0.25">
      <c r="A91" s="987" t="s">
        <v>1477</v>
      </c>
      <c r="B91" s="720"/>
      <c r="C91" s="1572"/>
      <c r="D91" s="1572"/>
      <c r="E91" s="1572"/>
      <c r="F91" s="720"/>
      <c r="G91" s="992">
        <f>IF(B91&gt;94%,0,F91-F91*B91)</f>
        <v>0</v>
      </c>
      <c r="H91" s="992">
        <f t="shared" si="34"/>
        <v>0</v>
      </c>
      <c r="I91" s="720">
        <v>1</v>
      </c>
      <c r="J91" s="720"/>
      <c r="K91" s="38">
        <f t="shared" si="30"/>
        <v>250</v>
      </c>
      <c r="L91" s="1263">
        <f t="shared" si="15"/>
        <v>0</v>
      </c>
      <c r="M91" s="1263">
        <f t="shared" si="35"/>
        <v>0</v>
      </c>
      <c r="N91" s="720"/>
      <c r="O91" s="720"/>
      <c r="P91" s="720"/>
      <c r="Q91" s="54"/>
    </row>
    <row r="92" spans="1:17" x14ac:dyDescent="0.2">
      <c r="A92" s="38" t="s">
        <v>28</v>
      </c>
      <c r="B92" s="1006">
        <v>0.9</v>
      </c>
      <c r="C92" s="1572">
        <f>VLOOKUP($A92,'[23]נתונים 2010 מפורט'!$D$2:$H$250,C$2,0)</f>
        <v>70418</v>
      </c>
      <c r="D92" s="1572"/>
      <c r="E92" s="1572">
        <f>VLOOKUP($A92,'[23]נתונים 2010 מפורט'!$D$2:$H$250,E$2,0)</f>
        <v>5568507</v>
      </c>
      <c r="F92" s="1007"/>
      <c r="G92" s="1008">
        <f>IF(B92&gt;94%,0,F92-F92*B92)</f>
        <v>0</v>
      </c>
      <c r="H92" s="1008">
        <f t="shared" si="34"/>
        <v>0</v>
      </c>
      <c r="I92" s="1007">
        <v>1</v>
      </c>
      <c r="J92" s="1007"/>
      <c r="K92" s="38">
        <f t="shared" si="30"/>
        <v>250</v>
      </c>
      <c r="L92" s="1009">
        <f t="shared" si="15"/>
        <v>0</v>
      </c>
      <c r="M92" s="1009">
        <f t="shared" si="35"/>
        <v>0</v>
      </c>
      <c r="N92" s="1010">
        <f>M92*$N$2/K92</f>
        <v>0</v>
      </c>
      <c r="O92" s="1010">
        <f>N92*$O$2</f>
        <v>0</v>
      </c>
      <c r="P92" s="38"/>
      <c r="Q92" s="54"/>
    </row>
    <row r="93" spans="1:17" x14ac:dyDescent="0.2">
      <c r="B93" s="1011" t="s">
        <v>1478</v>
      </c>
      <c r="C93" s="1011"/>
      <c r="D93" s="1011"/>
      <c r="E93" s="1011"/>
      <c r="F93" s="1011"/>
      <c r="G93" s="1011"/>
      <c r="H93" s="1011"/>
      <c r="I93" s="1011"/>
      <c r="J93" s="1011"/>
      <c r="K93" s="1011"/>
      <c r="L93" s="1576"/>
      <c r="M93" s="1576"/>
      <c r="N93" s="1011"/>
      <c r="O93" s="1011"/>
      <c r="P93" s="1577">
        <f>SUM(P2:P92)</f>
        <v>11836297.984999999</v>
      </c>
      <c r="Q93" s="54"/>
    </row>
  </sheetData>
  <mergeCells count="1">
    <mergeCell ref="A1:B1"/>
  </mergeCells>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59"/>
  <sheetViews>
    <sheetView rightToLeft="1" workbookViewId="0">
      <selection activeCell="D19" sqref="D19"/>
    </sheetView>
  </sheetViews>
  <sheetFormatPr defaultRowHeight="12.75" x14ac:dyDescent="0.2"/>
  <cols>
    <col min="2" max="3" width="28.140625" customWidth="1"/>
    <col min="4" max="4" width="39" bestFit="1" customWidth="1"/>
    <col min="5" max="5" width="33.42578125" bestFit="1" customWidth="1"/>
    <col min="6" max="6" width="34.7109375" bestFit="1" customWidth="1"/>
    <col min="7" max="7" width="15.140625" bestFit="1" customWidth="1"/>
    <col min="9" max="9" width="14.140625" bestFit="1" customWidth="1"/>
  </cols>
  <sheetData>
    <row r="1" spans="1:12" ht="20.25" x14ac:dyDescent="0.3">
      <c r="B1" s="1840" t="s">
        <v>1938</v>
      </c>
      <c r="C1" s="1840"/>
      <c r="D1" s="1840"/>
      <c r="E1" s="1840"/>
      <c r="F1" s="1344"/>
      <c r="G1" s="1344"/>
    </row>
    <row r="2" spans="1:12" ht="15" x14ac:dyDescent="0.25">
      <c r="B2" s="1345"/>
      <c r="C2" s="1345"/>
      <c r="D2" s="1346">
        <v>1</v>
      </c>
      <c r="E2" s="1346">
        <v>2</v>
      </c>
      <c r="F2" s="1346">
        <v>3</v>
      </c>
      <c r="G2" s="1346">
        <v>4</v>
      </c>
      <c r="H2" s="1346">
        <v>402</v>
      </c>
      <c r="I2" s="1346">
        <v>301</v>
      </c>
      <c r="J2" s="1346">
        <v>204</v>
      </c>
      <c r="K2" s="1346">
        <v>104</v>
      </c>
    </row>
    <row r="3" spans="1:12" ht="15" x14ac:dyDescent="0.2">
      <c r="A3">
        <v>1</v>
      </c>
      <c r="B3" s="1347" t="s">
        <v>1939</v>
      </c>
      <c r="C3">
        <v>1</v>
      </c>
      <c r="D3" s="1346" t="s">
        <v>1940</v>
      </c>
      <c r="E3" s="1346" t="s">
        <v>1941</v>
      </c>
      <c r="F3" s="1346" t="s">
        <v>1942</v>
      </c>
      <c r="G3" s="1346" t="s">
        <v>1943</v>
      </c>
      <c r="H3" s="1346" t="s">
        <v>1944</v>
      </c>
      <c r="I3" s="1346" t="s">
        <v>443</v>
      </c>
      <c r="J3" s="1346" t="s">
        <v>1945</v>
      </c>
      <c r="K3" s="1346" t="s">
        <v>251</v>
      </c>
    </row>
    <row r="4" spans="1:12" ht="15" x14ac:dyDescent="0.2">
      <c r="A4">
        <v>2</v>
      </c>
      <c r="B4" s="1347"/>
      <c r="C4">
        <v>2</v>
      </c>
    </row>
    <row r="5" spans="1:12" ht="18.75" customHeight="1" x14ac:dyDescent="0.2">
      <c r="A5">
        <v>3</v>
      </c>
      <c r="B5" s="1348" t="s">
        <v>1309</v>
      </c>
      <c r="C5">
        <v>3</v>
      </c>
      <c r="D5" s="1349">
        <f>+D33</f>
        <v>1353.7499999999998</v>
      </c>
      <c r="E5" s="1349">
        <f>+E33</f>
        <v>1861.134</v>
      </c>
      <c r="F5" s="1349">
        <f>+F33</f>
        <v>2141.5320000000002</v>
      </c>
      <c r="G5" s="1349">
        <f>+G33</f>
        <v>2691.924</v>
      </c>
      <c r="H5" s="1349">
        <f>+H33</f>
        <v>1838.6879999999996</v>
      </c>
      <c r="I5" s="1349">
        <f>+'[24]הוצאות הנהלה תאגיד מרחבי'!B5*0.3</f>
        <v>977.02079999999989</v>
      </c>
      <c r="J5" s="1349">
        <f>+'[24]הוצאות הנהלה תאגיד מרחבי'!B5*1.36</f>
        <v>4429.1609600000002</v>
      </c>
      <c r="K5" s="1349">
        <f>+'[24]הוצאות הנהלה תאגיד מרחבי'!B5*1.35</f>
        <v>4396.5936000000002</v>
      </c>
      <c r="L5" s="41"/>
    </row>
    <row r="6" spans="1:12" ht="18.75" customHeight="1" x14ac:dyDescent="0.2">
      <c r="A6">
        <v>4</v>
      </c>
      <c r="B6" s="1348" t="s">
        <v>1776</v>
      </c>
      <c r="C6">
        <v>4</v>
      </c>
      <c r="D6" s="1349">
        <f>10*12</f>
        <v>120</v>
      </c>
      <c r="E6" s="1349">
        <f>16*12</f>
        <v>192</v>
      </c>
      <c r="F6" s="1349">
        <f>10*12*1.2</f>
        <v>144</v>
      </c>
      <c r="G6" s="1349">
        <f>+F6*1.2</f>
        <v>172.79999999999998</v>
      </c>
      <c r="H6" s="1349">
        <f>60*200*12/1000</f>
        <v>144</v>
      </c>
      <c r="I6" s="1349">
        <f>+'[24]הוצאות הנהלה תאגיד מרחבי'!B6*0.3</f>
        <v>135</v>
      </c>
      <c r="J6" s="1349">
        <f>+'[24]הוצאות הנהלה תאגיד מרחבי'!B6*1.36</f>
        <v>612</v>
      </c>
      <c r="K6" s="1349">
        <f>+'[24]הוצאות הנהלה תאגיד מרחבי'!B6*1.35</f>
        <v>607.5</v>
      </c>
    </row>
    <row r="7" spans="1:12" ht="15.75" customHeight="1" x14ac:dyDescent="0.2">
      <c r="A7">
        <v>5</v>
      </c>
      <c r="B7" s="1348" t="s">
        <v>1777</v>
      </c>
      <c r="C7">
        <v>5</v>
      </c>
      <c r="D7" s="1349">
        <v>50</v>
      </c>
      <c r="E7" s="1349">
        <v>50</v>
      </c>
      <c r="F7" s="1349">
        <f>+E7*1.2</f>
        <v>60</v>
      </c>
      <c r="G7" s="1349">
        <v>80</v>
      </c>
      <c r="H7" s="1349">
        <v>30</v>
      </c>
      <c r="I7" s="1349">
        <f>+'[24]הוצאות הנהלה תאגיד מרחבי'!B7*0.3</f>
        <v>24</v>
      </c>
      <c r="J7" s="1349">
        <f>+'[24]הוצאות הנהלה תאגיד מרחבי'!B7*1.36</f>
        <v>108.80000000000001</v>
      </c>
      <c r="K7" s="1349">
        <f>+'[24]הוצאות הנהלה תאגיד מרחבי'!B7*1.35</f>
        <v>108</v>
      </c>
    </row>
    <row r="8" spans="1:12" ht="16.5" customHeight="1" x14ac:dyDescent="0.2">
      <c r="A8">
        <v>6</v>
      </c>
      <c r="B8" s="1348" t="s">
        <v>1718</v>
      </c>
      <c r="C8">
        <v>6</v>
      </c>
      <c r="D8" s="1349">
        <f>+D6/4</f>
        <v>30</v>
      </c>
      <c r="E8" s="1349">
        <f>+E6/4</f>
        <v>48</v>
      </c>
      <c r="F8" s="1349">
        <f>+F6/4</f>
        <v>36</v>
      </c>
      <c r="G8" s="1349">
        <f>+G6/4</f>
        <v>43.199999999999996</v>
      </c>
      <c r="H8" s="1349">
        <f>+H6*0.25</f>
        <v>36</v>
      </c>
      <c r="I8" s="1349">
        <f>+'[24]הוצאות הנהלה תאגיד מרחבי'!B8*0.3</f>
        <v>45.499999999999993</v>
      </c>
      <c r="J8" s="1349">
        <f>+'[24]הוצאות הנהלה תאגיד מרחבי'!B8*1.36</f>
        <v>206.26666666666668</v>
      </c>
      <c r="K8" s="1349">
        <f>+'[24]הוצאות הנהלה תאגיד מרחבי'!B8*1.35</f>
        <v>204.75</v>
      </c>
    </row>
    <row r="9" spans="1:12" ht="18" customHeight="1" x14ac:dyDescent="0.2">
      <c r="A9">
        <v>7</v>
      </c>
      <c r="B9" s="1348" t="s">
        <v>1315</v>
      </c>
      <c r="C9">
        <v>7</v>
      </c>
      <c r="D9" s="1349">
        <f>+D46</f>
        <v>149.35</v>
      </c>
      <c r="E9" s="1349">
        <f>+E46</f>
        <v>179</v>
      </c>
      <c r="F9" s="1349">
        <f>+F46</f>
        <v>214.79999999999995</v>
      </c>
      <c r="G9" s="1349">
        <f>+G46</f>
        <v>257.76</v>
      </c>
      <c r="H9" s="1349">
        <f>+H46</f>
        <v>150</v>
      </c>
      <c r="I9" s="1349">
        <f>+'[24]הוצאות הנהלה תאגיד מרחבי'!B9*0.3</f>
        <v>162.672</v>
      </c>
      <c r="J9" s="1349">
        <f>+'[24]הוצאות הנהלה תאגיד מרחבי'!B9*1.36</f>
        <v>737.44640000000004</v>
      </c>
      <c r="K9" s="1349">
        <f>+'[24]הוצאות הנהלה תאגיד מרחבי'!B9*1.35</f>
        <v>732.02400000000011</v>
      </c>
    </row>
    <row r="10" spans="1:12" ht="16.5" customHeight="1" x14ac:dyDescent="0.2">
      <c r="A10">
        <v>8</v>
      </c>
      <c r="B10" s="1348" t="s">
        <v>1778</v>
      </c>
      <c r="C10">
        <v>8</v>
      </c>
      <c r="D10" s="1349">
        <f>120*0.95</f>
        <v>114</v>
      </c>
      <c r="E10" s="1349">
        <v>120</v>
      </c>
      <c r="F10" s="1349">
        <v>300</v>
      </c>
      <c r="G10" s="1349">
        <v>246</v>
      </c>
      <c r="H10" s="1349">
        <v>70</v>
      </c>
      <c r="I10" s="1349">
        <f>+'[24]הוצאות הנהלה תאגיד מרחבי'!B10*0.3</f>
        <v>80.7</v>
      </c>
      <c r="J10" s="1349">
        <f>+'[24]הוצאות הנהלה תאגיד מרחבי'!B10*1.36</f>
        <v>365.84000000000003</v>
      </c>
      <c r="K10" s="1349">
        <f>+'[24]הוצאות הנהלה תאגיד מרחבי'!B10*1.35</f>
        <v>363.15000000000003</v>
      </c>
    </row>
    <row r="11" spans="1:12" ht="20.25" customHeight="1" x14ac:dyDescent="0.2">
      <c r="A11">
        <v>9</v>
      </c>
      <c r="B11" s="1348" t="s">
        <v>1775</v>
      </c>
      <c r="C11">
        <v>9</v>
      </c>
      <c r="D11" s="1349">
        <f>+D58</f>
        <v>320</v>
      </c>
      <c r="E11" s="1349">
        <f>+E58</f>
        <v>344</v>
      </c>
      <c r="F11" s="1349">
        <f>+F58</f>
        <v>452</v>
      </c>
      <c r="G11" s="1349">
        <f>+G58</f>
        <v>728</v>
      </c>
      <c r="H11" s="1349">
        <f>+H58</f>
        <v>276</v>
      </c>
      <c r="I11" s="1349">
        <f>+'[24]הוצאות הנהלה תאגיד מרחבי'!B11*0.3</f>
        <v>274.8</v>
      </c>
      <c r="J11" s="1349">
        <f>+'[24]הוצאות הנהלה תאגיד מרחבי'!B11*1.36</f>
        <v>1245.76</v>
      </c>
      <c r="K11" s="1349">
        <f>+'[24]הוצאות הנהלה תאגיד מרחבי'!B11*1.35</f>
        <v>1236.6000000000001</v>
      </c>
    </row>
    <row r="12" spans="1:12" ht="15.75" customHeight="1" x14ac:dyDescent="0.2">
      <c r="A12">
        <v>10</v>
      </c>
      <c r="B12" s="1348" t="s">
        <v>1317</v>
      </c>
      <c r="C12">
        <v>10</v>
      </c>
      <c r="D12" s="1349">
        <f>4500*2*12/1000</f>
        <v>108</v>
      </c>
      <c r="E12" s="1349">
        <f>13500*12/1000</f>
        <v>162</v>
      </c>
      <c r="F12" s="1349">
        <f>18000*12/1000</f>
        <v>216</v>
      </c>
      <c r="G12" s="1349">
        <f>18000*12/1000</f>
        <v>216</v>
      </c>
      <c r="H12" s="1349">
        <v>216</v>
      </c>
      <c r="I12" s="1349">
        <f>+'[24]הוצאות הנהלה תאגיד מרחבי'!B12*0.3</f>
        <v>64.8</v>
      </c>
      <c r="J12" s="1349">
        <f>+'[24]הוצאות הנהלה תאגיד מרחבי'!B12*1.36</f>
        <v>293.76000000000005</v>
      </c>
      <c r="K12" s="1349">
        <f>+'[24]הוצאות הנהלה תאגיד מרחבי'!B12*1.35</f>
        <v>291.60000000000002</v>
      </c>
    </row>
    <row r="13" spans="1:12" ht="14.25" x14ac:dyDescent="0.2">
      <c r="A13">
        <v>11</v>
      </c>
      <c r="B13" s="1348" t="s">
        <v>1782</v>
      </c>
      <c r="C13">
        <v>11</v>
      </c>
      <c r="D13" s="1349">
        <v>200</v>
      </c>
      <c r="E13" s="1349">
        <v>300</v>
      </c>
      <c r="F13" s="1349">
        <v>400</v>
      </c>
      <c r="G13" s="1349">
        <v>500</v>
      </c>
      <c r="H13" s="1349">
        <v>50</v>
      </c>
      <c r="I13" s="1349">
        <f>+'[24]הוצאות הנהלה תאגיד מרחבי'!B14*0.3</f>
        <v>90</v>
      </c>
      <c r="J13" s="1349">
        <f>+'[24]הוצאות הנהלה תאגיד מרחבי'!B13*1.36</f>
        <v>136</v>
      </c>
      <c r="K13" s="1349">
        <f>+'[24]הוצאות הנהלה תאגיד מרחבי'!B13*1.35</f>
        <v>135</v>
      </c>
    </row>
    <row r="14" spans="1:12" ht="14.25" x14ac:dyDescent="0.2">
      <c r="A14">
        <v>12</v>
      </c>
      <c r="B14" s="1348" t="s">
        <v>1717</v>
      </c>
      <c r="C14">
        <v>12</v>
      </c>
      <c r="D14" s="1349">
        <f>+D51</f>
        <v>102</v>
      </c>
      <c r="E14" s="1349">
        <f>+E51</f>
        <v>102</v>
      </c>
      <c r="F14" s="1349">
        <f>+F51</f>
        <v>120</v>
      </c>
      <c r="G14" s="1349">
        <f>+G51</f>
        <v>192</v>
      </c>
      <c r="H14" s="1349">
        <f>+H51</f>
        <v>60</v>
      </c>
      <c r="I14" s="1349">
        <f>+'[24]הוצאות הנהלה תאגיד מרחבי'!B13*0.3</f>
        <v>30</v>
      </c>
      <c r="J14" s="1349">
        <f>+'[24]הוצאות הנהלה תאגיד מרחבי'!B14*1.36</f>
        <v>408.00000000000006</v>
      </c>
      <c r="K14" s="1349">
        <f>+'[24]הוצאות הנהלה תאגיד מרחבי'!B14*1.35</f>
        <v>405</v>
      </c>
    </row>
    <row r="15" spans="1:12" ht="14.25" x14ac:dyDescent="0.2">
      <c r="A15">
        <v>13</v>
      </c>
      <c r="B15" s="1350" t="s">
        <v>1336</v>
      </c>
      <c r="C15">
        <v>13</v>
      </c>
      <c r="D15" s="1349">
        <f>+D55</f>
        <v>36</v>
      </c>
      <c r="E15" s="1349">
        <f>+E55</f>
        <v>36</v>
      </c>
      <c r="F15" s="1349">
        <f>+F55</f>
        <v>48</v>
      </c>
      <c r="G15" s="1349">
        <f>+G55</f>
        <v>96</v>
      </c>
      <c r="H15" s="1349">
        <f>+H55</f>
        <v>36</v>
      </c>
      <c r="I15" s="1349"/>
      <c r="J15" s="1349"/>
      <c r="K15" s="1349"/>
    </row>
    <row r="16" spans="1:12" s="980" customFormat="1" ht="15" x14ac:dyDescent="0.2">
      <c r="A16">
        <v>14</v>
      </c>
      <c r="B16" s="1351" t="s">
        <v>1321</v>
      </c>
      <c r="C16">
        <v>14</v>
      </c>
      <c r="D16" s="1352">
        <f>SUM(D5:D15)</f>
        <v>2583.0999999999995</v>
      </c>
      <c r="E16" s="1352">
        <f>SUM(E5:E15)</f>
        <v>3394.134</v>
      </c>
      <c r="F16" s="1352">
        <f>SUM(F5:F15)</f>
        <v>4132.3320000000003</v>
      </c>
      <c r="G16" s="1352">
        <f>SUM(G5:G15)</f>
        <v>5223.6840000000002</v>
      </c>
      <c r="H16" s="1352">
        <f>SUM(H5:H15)</f>
        <v>2906.6879999999996</v>
      </c>
      <c r="I16" s="1352">
        <f>SUM(I5:I14)</f>
        <v>1884.4927999999998</v>
      </c>
      <c r="J16" s="1352">
        <f>SUM(J5:J14)</f>
        <v>8543.0340266666681</v>
      </c>
      <c r="K16" s="1352">
        <f>SUM(K5:K14)</f>
        <v>8480.2175999999999</v>
      </c>
      <c r="L16" s="1353"/>
    </row>
    <row r="17" spans="1:11" s="980" customFormat="1" ht="15" x14ac:dyDescent="0.2">
      <c r="A17">
        <v>15</v>
      </c>
      <c r="B17" s="1351" t="s">
        <v>1946</v>
      </c>
      <c r="C17">
        <v>15</v>
      </c>
      <c r="D17" s="1352">
        <f>+D16-D10</f>
        <v>2469.0999999999995</v>
      </c>
      <c r="E17" s="1352">
        <f t="shared" ref="E17:K17" si="0">+E16-E10</f>
        <v>3274.134</v>
      </c>
      <c r="F17" s="1352">
        <f t="shared" si="0"/>
        <v>3832.3320000000003</v>
      </c>
      <c r="G17" s="1352">
        <f t="shared" si="0"/>
        <v>4977.6840000000002</v>
      </c>
      <c r="H17" s="1352">
        <f t="shared" si="0"/>
        <v>2836.6879999999996</v>
      </c>
      <c r="I17" s="1352">
        <f t="shared" si="0"/>
        <v>1803.7927999999997</v>
      </c>
      <c r="J17" s="1352">
        <f t="shared" si="0"/>
        <v>8177.1940266666679</v>
      </c>
      <c r="K17" s="1352">
        <f t="shared" si="0"/>
        <v>8117.0676000000003</v>
      </c>
    </row>
    <row r="18" spans="1:11" ht="15" x14ac:dyDescent="0.2">
      <c r="B18" s="1354"/>
      <c r="C18" s="1354"/>
      <c r="D18" s="1355"/>
      <c r="E18" s="1356"/>
      <c r="F18" s="1356"/>
      <c r="G18" s="1356"/>
    </row>
    <row r="19" spans="1:11" ht="14.25" x14ac:dyDescent="0.2">
      <c r="D19" s="1355"/>
      <c r="E19" s="1356"/>
      <c r="F19" s="1356"/>
      <c r="G19" s="1357"/>
    </row>
    <row r="20" spans="1:11" ht="14.25" x14ac:dyDescent="0.2">
      <c r="B20" s="36"/>
      <c r="C20" s="36"/>
      <c r="D20" s="36"/>
      <c r="E20" s="36"/>
      <c r="F20" s="36"/>
      <c r="G20" s="36"/>
    </row>
    <row r="21" spans="1:11" ht="15" x14ac:dyDescent="0.2">
      <c r="B21" s="1358" t="s">
        <v>1947</v>
      </c>
      <c r="C21" s="1358"/>
      <c r="D21" s="1359"/>
      <c r="E21" s="1359"/>
      <c r="F21" s="1359"/>
      <c r="G21" s="1359"/>
    </row>
    <row r="22" spans="1:11" ht="14.25" x14ac:dyDescent="0.2">
      <c r="B22" s="1360"/>
      <c r="C22" s="1360"/>
      <c r="D22" s="1359"/>
      <c r="E22" s="1359"/>
      <c r="F22" s="1359"/>
      <c r="G22" s="1359"/>
    </row>
    <row r="23" spans="1:11" ht="15" x14ac:dyDescent="0.2">
      <c r="B23" s="1346" t="s">
        <v>1361</v>
      </c>
      <c r="C23" s="1346"/>
      <c r="D23" s="1346" t="s">
        <v>1940</v>
      </c>
      <c r="E23" s="1346" t="s">
        <v>1948</v>
      </c>
      <c r="F23" s="1346" t="s">
        <v>1949</v>
      </c>
      <c r="G23" s="1346" t="s">
        <v>1950</v>
      </c>
      <c r="H23" s="1346" t="s">
        <v>1944</v>
      </c>
      <c r="I23" s="1346" t="s">
        <v>1951</v>
      </c>
      <c r="J23" s="1346" t="s">
        <v>1945</v>
      </c>
      <c r="K23" s="1346" t="s">
        <v>251</v>
      </c>
    </row>
    <row r="24" spans="1:11" ht="14.25" x14ac:dyDescent="0.2">
      <c r="B24" s="1361" t="s">
        <v>1338</v>
      </c>
      <c r="C24" s="1361"/>
      <c r="D24" s="1349">
        <f>0.9*(30000*12)*1.35/1000</f>
        <v>437.4</v>
      </c>
      <c r="E24" s="1349">
        <f>0.9*(33000*12)*1.35/1000</f>
        <v>481.14000000000004</v>
      </c>
      <c r="F24" s="1349">
        <f>0.9*(34000*12)*1.35/1000</f>
        <v>495.72000000000008</v>
      </c>
      <c r="G24" s="1349">
        <f>0.9*(38000*12)*1.35/1000</f>
        <v>554.04</v>
      </c>
      <c r="H24" s="1349">
        <v>498.96</v>
      </c>
      <c r="I24" s="38"/>
      <c r="J24" s="38"/>
      <c r="K24" s="38"/>
    </row>
    <row r="25" spans="1:11" ht="14.25" x14ac:dyDescent="0.2">
      <c r="B25" s="1361" t="s">
        <v>1952</v>
      </c>
      <c r="C25" s="1361"/>
      <c r="D25" s="1349">
        <f>+$D$24*0.7</f>
        <v>306.17999999999995</v>
      </c>
      <c r="E25" s="1349">
        <f>+$E$24*0.7</f>
        <v>336.798</v>
      </c>
      <c r="F25" s="1349">
        <f>+$F$24*0.7</f>
        <v>347.00400000000002</v>
      </c>
      <c r="G25" s="1349">
        <f>+$G$24*0.7</f>
        <v>387.82799999999997</v>
      </c>
      <c r="H25" s="1349">
        <v>349.27199999999993</v>
      </c>
      <c r="I25" s="38"/>
      <c r="J25" s="38"/>
      <c r="K25" s="38"/>
    </row>
    <row r="26" spans="1:11" ht="14.25" x14ac:dyDescent="0.2">
      <c r="B26" s="1361" t="s">
        <v>1953</v>
      </c>
      <c r="C26" s="1361"/>
      <c r="D26" s="1349"/>
      <c r="E26" s="1349"/>
      <c r="F26" s="1349"/>
      <c r="G26" s="1349"/>
      <c r="H26" s="1349">
        <v>274.428</v>
      </c>
      <c r="I26" s="38"/>
      <c r="J26" s="38"/>
      <c r="K26" s="38"/>
    </row>
    <row r="27" spans="1:11" ht="14.25" x14ac:dyDescent="0.2">
      <c r="B27" s="1361" t="s">
        <v>1954</v>
      </c>
      <c r="C27" s="1361"/>
      <c r="D27" s="1349">
        <v>0</v>
      </c>
      <c r="E27" s="1349">
        <f>+$E$24*0.7</f>
        <v>336.798</v>
      </c>
      <c r="F27" s="1349">
        <f>+$F$24*0.7</f>
        <v>347.00400000000002</v>
      </c>
      <c r="G27" s="1349">
        <f>+$G$24*0.7</f>
        <v>387.82799999999997</v>
      </c>
      <c r="H27" s="1349"/>
      <c r="I27" s="38"/>
      <c r="J27" s="38"/>
      <c r="K27" s="38"/>
    </row>
    <row r="28" spans="1:11" ht="14.25" x14ac:dyDescent="0.2">
      <c r="B28" s="1361" t="s">
        <v>1955</v>
      </c>
      <c r="C28" s="1361"/>
      <c r="D28" s="1349">
        <f>+$D$24*0.55</f>
        <v>240.57</v>
      </c>
      <c r="E28" s="1349">
        <f>+$E$24*0.7</f>
        <v>336.798</v>
      </c>
      <c r="F28" s="1349">
        <f>+$F$24*0.7</f>
        <v>347.00400000000002</v>
      </c>
      <c r="G28" s="1349">
        <f>+$G$24*0.7</f>
        <v>387.82799999999997</v>
      </c>
      <c r="H28" s="1349">
        <v>274.428</v>
      </c>
      <c r="I28" s="38"/>
      <c r="J28" s="38"/>
      <c r="K28" s="38"/>
    </row>
    <row r="29" spans="1:11" ht="14.25" x14ac:dyDescent="0.2">
      <c r="B29" s="1361" t="s">
        <v>1956</v>
      </c>
      <c r="C29" s="1361"/>
      <c r="D29" s="1349">
        <f>2*(8*12)*1.4</f>
        <v>268.79999999999995</v>
      </c>
      <c r="E29" s="1349">
        <f>2*(8*12)*1.4</f>
        <v>268.79999999999995</v>
      </c>
      <c r="F29" s="1349">
        <f>3*(8*12)*1.4</f>
        <v>403.2</v>
      </c>
      <c r="G29" s="1349">
        <f>5*(8*12)*1.4</f>
        <v>672</v>
      </c>
      <c r="H29" s="1349">
        <v>268.8</v>
      </c>
      <c r="I29" s="38"/>
      <c r="J29" s="38"/>
      <c r="K29" s="38"/>
    </row>
    <row r="30" spans="1:11" ht="14.25" x14ac:dyDescent="0.2">
      <c r="B30" s="1361" t="s">
        <v>1957</v>
      </c>
      <c r="C30" s="1361"/>
      <c r="D30" s="1349">
        <f>6*1.4*12</f>
        <v>100.79999999999998</v>
      </c>
      <c r="E30" s="1349">
        <f>6*1.4*12</f>
        <v>100.79999999999998</v>
      </c>
      <c r="F30" s="1349">
        <f>2*6*1.4*12</f>
        <v>201.59999999999997</v>
      </c>
      <c r="G30" s="1349">
        <f>3*6*1.4*12</f>
        <v>302.39999999999998</v>
      </c>
      <c r="H30" s="1349">
        <v>100.79999999999998</v>
      </c>
      <c r="I30" s="38"/>
      <c r="J30" s="38"/>
      <c r="K30" s="38"/>
    </row>
    <row r="31" spans="1:11" ht="14.25" x14ac:dyDescent="0.2">
      <c r="B31" s="1361" t="s">
        <v>159</v>
      </c>
      <c r="C31" s="1361"/>
      <c r="D31" s="1349"/>
      <c r="E31" s="1349"/>
      <c r="F31" s="1349"/>
      <c r="G31" s="1349"/>
      <c r="H31" s="1349">
        <v>72</v>
      </c>
      <c r="I31" s="38"/>
      <c r="J31" s="38"/>
      <c r="K31" s="38"/>
    </row>
    <row r="32" spans="1:11" ht="14.25" x14ac:dyDescent="0.2">
      <c r="B32" s="1361"/>
      <c r="C32" s="1361"/>
      <c r="D32" s="1349"/>
      <c r="E32" s="1349"/>
      <c r="F32" s="1349"/>
      <c r="G32" s="1349"/>
      <c r="H32" s="38"/>
      <c r="I32" s="38"/>
      <c r="J32" s="38"/>
      <c r="K32" s="38"/>
    </row>
    <row r="33" spans="2:11" s="980" customFormat="1" ht="15" x14ac:dyDescent="0.2">
      <c r="B33" s="1362" t="s">
        <v>164</v>
      </c>
      <c r="C33" s="1362"/>
      <c r="D33" s="1352">
        <f>SUM(D24:D30)</f>
        <v>1353.7499999999998</v>
      </c>
      <c r="E33" s="1352">
        <f>SUM(E24:E32)</f>
        <v>1861.134</v>
      </c>
      <c r="F33" s="1352">
        <f>SUM(F24:F32)</f>
        <v>2141.5320000000002</v>
      </c>
      <c r="G33" s="1352">
        <f>SUM(G24:G32)</f>
        <v>2691.924</v>
      </c>
      <c r="H33" s="1352">
        <f>SUM(H24:H32)</f>
        <v>1838.6879999999996</v>
      </c>
      <c r="I33" s="1363"/>
      <c r="J33" s="1363"/>
      <c r="K33" s="1363"/>
    </row>
    <row r="34" spans="2:11" ht="14.25" x14ac:dyDescent="0.2">
      <c r="B34" s="36"/>
      <c r="C34" s="36"/>
      <c r="D34" s="36"/>
      <c r="E34" s="36"/>
      <c r="F34" s="36"/>
      <c r="G34" s="36"/>
    </row>
    <row r="35" spans="2:11" ht="14.25" x14ac:dyDescent="0.2">
      <c r="B35" s="36"/>
      <c r="C35" s="36"/>
      <c r="D35" s="36"/>
      <c r="E35" s="36"/>
      <c r="F35" s="36"/>
      <c r="G35" s="36"/>
    </row>
    <row r="36" spans="2:11" ht="15" x14ac:dyDescent="0.2">
      <c r="B36" s="1364" t="s">
        <v>1374</v>
      </c>
      <c r="C36" s="1364"/>
      <c r="D36" s="36"/>
      <c r="E36" s="36"/>
      <c r="F36" s="36"/>
      <c r="G36" s="36"/>
    </row>
    <row r="37" spans="2:11" ht="15" x14ac:dyDescent="0.2">
      <c r="B37" s="1365"/>
      <c r="C37" s="1365"/>
      <c r="D37" s="36"/>
      <c r="E37" s="36"/>
      <c r="F37" s="36"/>
      <c r="G37" s="36"/>
    </row>
    <row r="38" spans="2:11" ht="15" x14ac:dyDescent="0.2">
      <c r="B38" s="1366" t="s">
        <v>1315</v>
      </c>
      <c r="C38" s="1366"/>
      <c r="D38" s="1346" t="s">
        <v>1940</v>
      </c>
      <c r="E38" s="1346" t="s">
        <v>1948</v>
      </c>
      <c r="F38" s="1346" t="s">
        <v>1949</v>
      </c>
      <c r="G38" s="1346" t="s">
        <v>1950</v>
      </c>
      <c r="H38" s="1346" t="s">
        <v>1944</v>
      </c>
      <c r="I38" s="1346" t="s">
        <v>1951</v>
      </c>
      <c r="J38" s="1346" t="s">
        <v>1945</v>
      </c>
      <c r="K38" s="1346" t="s">
        <v>251</v>
      </c>
    </row>
    <row r="39" spans="2:11" ht="14.25" x14ac:dyDescent="0.2">
      <c r="B39" s="1350" t="s">
        <v>1323</v>
      </c>
      <c r="C39" s="1350"/>
      <c r="D39" s="1349">
        <f>6*12*0.8</f>
        <v>57.6</v>
      </c>
      <c r="E39" s="1349">
        <f>6*12</f>
        <v>72</v>
      </c>
      <c r="F39" s="1349">
        <f t="shared" ref="F39:G44" si="1">+E39*1.2</f>
        <v>86.399999999999991</v>
      </c>
      <c r="G39" s="1349">
        <f t="shared" si="1"/>
        <v>103.67999999999999</v>
      </c>
      <c r="H39" s="38">
        <f>10*200*12/1000</f>
        <v>24</v>
      </c>
      <c r="I39" s="38"/>
      <c r="J39" s="38"/>
      <c r="K39" s="38"/>
    </row>
    <row r="40" spans="2:11" ht="14.25" x14ac:dyDescent="0.2">
      <c r="B40" s="1350" t="s">
        <v>1325</v>
      </c>
      <c r="C40" s="1350"/>
      <c r="D40" s="1349">
        <f>2.5*12*0.8</f>
        <v>24</v>
      </c>
      <c r="E40" s="1349">
        <f>2.5*12</f>
        <v>30</v>
      </c>
      <c r="F40" s="1349">
        <f t="shared" si="1"/>
        <v>36</v>
      </c>
      <c r="G40" s="1349">
        <f t="shared" si="1"/>
        <v>43.199999999999996</v>
      </c>
      <c r="H40" s="38">
        <f>1.5*12</f>
        <v>18</v>
      </c>
      <c r="I40" s="38"/>
      <c r="J40" s="38"/>
      <c r="K40" s="38"/>
    </row>
    <row r="41" spans="2:11" ht="14.25" x14ac:dyDescent="0.2">
      <c r="B41" s="1350" t="s">
        <v>1326</v>
      </c>
      <c r="C41" s="1350"/>
      <c r="D41" s="1349">
        <f>20*0.95</f>
        <v>19</v>
      </c>
      <c r="E41" s="1349">
        <f>15+5</f>
        <v>20</v>
      </c>
      <c r="F41" s="1349">
        <f t="shared" si="1"/>
        <v>24</v>
      </c>
      <c r="G41" s="1349">
        <f t="shared" si="1"/>
        <v>28.799999999999997</v>
      </c>
      <c r="H41" s="38">
        <f>6*4</f>
        <v>24</v>
      </c>
      <c r="I41" s="38"/>
      <c r="J41" s="38"/>
      <c r="K41" s="38"/>
    </row>
    <row r="42" spans="2:11" ht="14.25" x14ac:dyDescent="0.2">
      <c r="B42" s="1350" t="s">
        <v>1327</v>
      </c>
      <c r="C42" s="1350"/>
      <c r="D42" s="1349">
        <f>30*0.8</f>
        <v>24</v>
      </c>
      <c r="E42" s="1349">
        <v>30</v>
      </c>
      <c r="F42" s="1349">
        <f t="shared" si="1"/>
        <v>36</v>
      </c>
      <c r="G42" s="1349">
        <f t="shared" si="1"/>
        <v>43.199999999999996</v>
      </c>
      <c r="H42" s="38">
        <v>6</v>
      </c>
      <c r="I42" s="38"/>
      <c r="J42" s="38"/>
      <c r="K42" s="38"/>
    </row>
    <row r="43" spans="2:11" ht="14.25" x14ac:dyDescent="0.2">
      <c r="B43" s="1350" t="s">
        <v>1328</v>
      </c>
      <c r="C43" s="1350"/>
      <c r="D43" s="1349">
        <f>6*0.8</f>
        <v>4.8000000000000007</v>
      </c>
      <c r="E43" s="1349">
        <v>6</v>
      </c>
      <c r="F43" s="1349">
        <f t="shared" si="1"/>
        <v>7.1999999999999993</v>
      </c>
      <c r="G43" s="1349">
        <f t="shared" si="1"/>
        <v>8.6399999999999988</v>
      </c>
      <c r="H43" s="38">
        <f>1.5*12</f>
        <v>18</v>
      </c>
      <c r="I43" s="38"/>
      <c r="J43" s="38"/>
      <c r="K43" s="38"/>
    </row>
    <row r="44" spans="2:11" ht="14.25" x14ac:dyDescent="0.2">
      <c r="B44" s="1350" t="s">
        <v>1380</v>
      </c>
      <c r="C44" s="1350"/>
      <c r="D44" s="1349">
        <f>1750*12/1000*0.95</f>
        <v>19.95</v>
      </c>
      <c r="E44" s="1349">
        <f>1750*12/1000</f>
        <v>21</v>
      </c>
      <c r="F44" s="1349">
        <f t="shared" si="1"/>
        <v>25.2</v>
      </c>
      <c r="G44" s="1349">
        <f t="shared" si="1"/>
        <v>30.24</v>
      </c>
      <c r="H44" s="38">
        <v>24</v>
      </c>
      <c r="I44" s="38"/>
      <c r="J44" s="38"/>
      <c r="K44" s="38"/>
    </row>
    <row r="45" spans="2:11" ht="15" x14ac:dyDescent="0.2">
      <c r="B45" s="1367" t="s">
        <v>1958</v>
      </c>
      <c r="C45" s="1367"/>
      <c r="D45" s="1349"/>
      <c r="E45" s="1349"/>
      <c r="F45" s="1349"/>
      <c r="G45" s="1349"/>
      <c r="H45" s="38">
        <v>36</v>
      </c>
      <c r="I45" s="38"/>
      <c r="J45" s="38"/>
      <c r="K45" s="38"/>
    </row>
    <row r="46" spans="2:11" s="980" customFormat="1" ht="15" x14ac:dyDescent="0.2">
      <c r="B46" s="1362" t="s">
        <v>164</v>
      </c>
      <c r="C46" s="1362"/>
      <c r="D46" s="1352">
        <f>SUM(D39:D45)</f>
        <v>149.35</v>
      </c>
      <c r="E46" s="1352">
        <f>SUM(E39:E45)</f>
        <v>179</v>
      </c>
      <c r="F46" s="1352">
        <f>SUM(F39:F45)</f>
        <v>214.79999999999995</v>
      </c>
      <c r="G46" s="1352">
        <f>SUM(G39:G45)</f>
        <v>257.76</v>
      </c>
      <c r="H46" s="1352">
        <f>SUM(H39:H45)</f>
        <v>150</v>
      </c>
      <c r="I46" s="1363"/>
      <c r="J46" s="1363"/>
      <c r="K46" s="1363"/>
    </row>
    <row r="47" spans="2:11" ht="14.25" x14ac:dyDescent="0.2">
      <c r="B47" s="36"/>
      <c r="C47" s="36"/>
      <c r="D47" s="36"/>
      <c r="E47" s="36"/>
      <c r="F47" s="36"/>
      <c r="G47" s="36"/>
    </row>
    <row r="48" spans="2:11" ht="14.25" x14ac:dyDescent="0.2">
      <c r="B48" s="36"/>
      <c r="C48" s="36"/>
      <c r="D48" s="1368"/>
      <c r="E48" s="1369"/>
      <c r="F48" s="1369"/>
      <c r="G48" s="1369"/>
    </row>
    <row r="49" spans="2:11" ht="15" x14ac:dyDescent="0.2">
      <c r="B49" s="1370" t="s">
        <v>1316</v>
      </c>
      <c r="C49" s="1370"/>
      <c r="D49" s="1346" t="s">
        <v>1940</v>
      </c>
      <c r="E49" s="1346" t="s">
        <v>1948</v>
      </c>
      <c r="F49" s="1346" t="s">
        <v>1949</v>
      </c>
      <c r="G49" s="1346" t="s">
        <v>1950</v>
      </c>
      <c r="H49" s="1346" t="s">
        <v>1944</v>
      </c>
      <c r="I49" s="1346" t="s">
        <v>1951</v>
      </c>
      <c r="J49" s="1346" t="s">
        <v>1945</v>
      </c>
      <c r="K49" s="1346" t="s">
        <v>251</v>
      </c>
    </row>
    <row r="50" spans="2:11" ht="14.25" x14ac:dyDescent="0.2">
      <c r="B50" s="1350" t="s">
        <v>1331</v>
      </c>
      <c r="C50" s="1350"/>
      <c r="D50" s="1349">
        <f>10*12</f>
        <v>120</v>
      </c>
      <c r="E50" s="1349">
        <f>12*12</f>
        <v>144</v>
      </c>
      <c r="F50" s="1349">
        <f>12*15</f>
        <v>180</v>
      </c>
      <c r="G50" s="1349">
        <f>21*12</f>
        <v>252</v>
      </c>
      <c r="H50" s="38">
        <f>12*12</f>
        <v>144</v>
      </c>
      <c r="I50" s="38"/>
      <c r="J50" s="38"/>
      <c r="K50" s="38"/>
    </row>
    <row r="51" spans="2:11" ht="14.25" x14ac:dyDescent="0.2">
      <c r="B51" s="1350" t="s">
        <v>1332</v>
      </c>
      <c r="C51" s="1350"/>
      <c r="D51" s="1349">
        <f>12*10*0.85</f>
        <v>102</v>
      </c>
      <c r="E51" s="1349">
        <f>12*10*0.85</f>
        <v>102</v>
      </c>
      <c r="F51" s="1349">
        <f>12*10</f>
        <v>120</v>
      </c>
      <c r="G51" s="1349">
        <f>16*12</f>
        <v>192</v>
      </c>
      <c r="H51" s="38">
        <f>20*3</f>
        <v>60</v>
      </c>
      <c r="I51" s="38"/>
      <c r="J51" s="38"/>
      <c r="K51" s="38"/>
    </row>
    <row r="52" spans="2:11" ht="14.25" x14ac:dyDescent="0.2">
      <c r="B52" s="1350" t="s">
        <v>1333</v>
      </c>
      <c r="C52" s="1350"/>
      <c r="D52" s="1349">
        <f>7*12</f>
        <v>84</v>
      </c>
      <c r="E52" s="1349">
        <f>7*12</f>
        <v>84</v>
      </c>
      <c r="F52" s="1349">
        <f>8*12</f>
        <v>96</v>
      </c>
      <c r="G52" s="1349">
        <f>12*12</f>
        <v>144</v>
      </c>
      <c r="H52" s="38">
        <f>5*12</f>
        <v>60</v>
      </c>
      <c r="I52" s="38"/>
      <c r="J52" s="38"/>
      <c r="K52" s="38"/>
    </row>
    <row r="53" spans="2:11" ht="14.25" x14ac:dyDescent="0.2">
      <c r="B53" s="1350" t="s">
        <v>1334</v>
      </c>
      <c r="C53" s="1350"/>
      <c r="D53" s="1349">
        <f>220*200/1000</f>
        <v>44</v>
      </c>
      <c r="E53" s="1349">
        <f>220*200/1000</f>
        <v>44</v>
      </c>
      <c r="F53" s="1349">
        <f>400*200/1000</f>
        <v>80</v>
      </c>
      <c r="G53" s="1349">
        <f>700*200/1000</f>
        <v>140</v>
      </c>
      <c r="H53" s="38">
        <f>3*12</f>
        <v>36</v>
      </c>
      <c r="I53" s="38"/>
      <c r="J53" s="38"/>
      <c r="K53" s="38"/>
    </row>
    <row r="54" spans="2:11" ht="14.25" x14ac:dyDescent="0.2">
      <c r="B54" s="1350" t="s">
        <v>1335</v>
      </c>
      <c r="C54" s="1350"/>
      <c r="D54" s="1349">
        <f t="shared" ref="D54:E56" si="2">3000*12/1000</f>
        <v>36</v>
      </c>
      <c r="E54" s="1349">
        <f t="shared" si="2"/>
        <v>36</v>
      </c>
      <c r="F54" s="1349">
        <f>4000*12/1000</f>
        <v>48</v>
      </c>
      <c r="G54" s="1349">
        <f>8000*12/1000</f>
        <v>96</v>
      </c>
      <c r="H54" s="38">
        <f>3*12</f>
        <v>36</v>
      </c>
      <c r="I54" s="38"/>
      <c r="J54" s="38"/>
      <c r="K54" s="38"/>
    </row>
    <row r="55" spans="2:11" ht="14.25" x14ac:dyDescent="0.2">
      <c r="B55" s="1350" t="s">
        <v>1336</v>
      </c>
      <c r="C55" s="1350"/>
      <c r="D55" s="1349">
        <f t="shared" si="2"/>
        <v>36</v>
      </c>
      <c r="E55" s="1349">
        <f t="shared" si="2"/>
        <v>36</v>
      </c>
      <c r="F55" s="1349">
        <f>4000*12/1000</f>
        <v>48</v>
      </c>
      <c r="G55" s="1349">
        <f>8000*12/1000</f>
        <v>96</v>
      </c>
      <c r="H55" s="38">
        <f>3*12</f>
        <v>36</v>
      </c>
      <c r="I55" s="38"/>
      <c r="J55" s="38"/>
      <c r="K55" s="38"/>
    </row>
    <row r="56" spans="2:11" ht="14.25" x14ac:dyDescent="0.2">
      <c r="B56" s="1350" t="s">
        <v>1959</v>
      </c>
      <c r="C56" s="1350"/>
      <c r="D56" s="1349">
        <f t="shared" si="2"/>
        <v>36</v>
      </c>
      <c r="E56" s="1349">
        <f t="shared" si="2"/>
        <v>36</v>
      </c>
      <c r="F56" s="1349">
        <f>4000*12/1000</f>
        <v>48</v>
      </c>
      <c r="G56" s="1349">
        <f>8000*12/1000</f>
        <v>96</v>
      </c>
      <c r="H56" s="38"/>
      <c r="I56" s="38"/>
      <c r="J56" s="38"/>
      <c r="K56" s="38"/>
    </row>
    <row r="57" spans="2:11" ht="15" x14ac:dyDescent="0.2">
      <c r="B57" s="1371"/>
      <c r="C57" s="1371"/>
      <c r="D57" s="1349"/>
      <c r="E57" s="1349"/>
      <c r="F57" s="1349"/>
      <c r="G57" s="1349"/>
      <c r="H57" s="38"/>
      <c r="I57" s="38"/>
      <c r="J57" s="38"/>
      <c r="K57" s="38"/>
    </row>
    <row r="58" spans="2:11" s="1372" customFormat="1" ht="15" x14ac:dyDescent="0.2">
      <c r="B58" s="1362" t="s">
        <v>164</v>
      </c>
      <c r="C58" s="1362"/>
      <c r="D58" s="1352">
        <f>SUM(D50:D56)-D51-D55</f>
        <v>320</v>
      </c>
      <c r="E58" s="1352">
        <f>SUM(E50:E56)-E51-E55</f>
        <v>344</v>
      </c>
      <c r="F58" s="1352">
        <f>SUM(F50:F56)-F51-F55</f>
        <v>452</v>
      </c>
      <c r="G58" s="1352">
        <f>SUM(G50:G56)-G51-G55</f>
        <v>728</v>
      </c>
      <c r="H58" s="1352">
        <f>SUM(H50:H56)-H51-H55</f>
        <v>276</v>
      </c>
      <c r="I58" s="428"/>
      <c r="J58" s="428"/>
      <c r="K58" s="428"/>
    </row>
    <row r="59" spans="2:11" ht="14.25" x14ac:dyDescent="0.2">
      <c r="B59" s="36"/>
      <c r="C59" s="36"/>
      <c r="D59" s="36"/>
      <c r="E59" s="36"/>
      <c r="F59" s="36"/>
      <c r="G59" s="36"/>
    </row>
  </sheetData>
  <mergeCells count="1">
    <mergeCell ref="B1:E1"/>
  </mergeCells>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O36"/>
  <sheetViews>
    <sheetView rightToLeft="1" workbookViewId="0">
      <selection activeCell="J20" sqref="J20"/>
    </sheetView>
  </sheetViews>
  <sheetFormatPr defaultRowHeight="12.75" x14ac:dyDescent="0.2"/>
  <cols>
    <col min="6" max="6" width="12.5703125" bestFit="1" customWidth="1"/>
    <col min="7" max="7" width="15.7109375" bestFit="1" customWidth="1"/>
    <col min="10" max="11" width="10.5703125" bestFit="1" customWidth="1"/>
    <col min="12" max="12" width="9.5703125" bestFit="1" customWidth="1"/>
    <col min="13" max="13" width="14" bestFit="1" customWidth="1"/>
    <col min="15" max="15" width="14" bestFit="1" customWidth="1"/>
    <col min="262" max="262" width="12.5703125" bestFit="1" customWidth="1"/>
    <col min="263" max="263" width="9.5703125" bestFit="1" customWidth="1"/>
    <col min="266" max="267" width="10.5703125" bestFit="1" customWidth="1"/>
    <col min="268" max="268" width="9.5703125" bestFit="1" customWidth="1"/>
    <col min="269" max="269" width="14" bestFit="1" customWidth="1"/>
    <col min="271" max="271" width="14" bestFit="1" customWidth="1"/>
    <col min="518" max="518" width="12.5703125" bestFit="1" customWidth="1"/>
    <col min="519" max="519" width="9.5703125" bestFit="1" customWidth="1"/>
    <col min="522" max="523" width="10.5703125" bestFit="1" customWidth="1"/>
    <col min="524" max="524" width="9.5703125" bestFit="1" customWidth="1"/>
    <col min="525" max="525" width="14" bestFit="1" customWidth="1"/>
    <col min="527" max="527" width="14" bestFit="1" customWidth="1"/>
    <col min="774" max="774" width="12.5703125" bestFit="1" customWidth="1"/>
    <col min="775" max="775" width="9.5703125" bestFit="1" customWidth="1"/>
    <col min="778" max="779" width="10.5703125" bestFit="1" customWidth="1"/>
    <col min="780" max="780" width="9.5703125" bestFit="1" customWidth="1"/>
    <col min="781" max="781" width="14" bestFit="1" customWidth="1"/>
    <col min="783" max="783" width="14" bestFit="1" customWidth="1"/>
    <col min="1030" max="1030" width="12.5703125" bestFit="1" customWidth="1"/>
    <col min="1031" max="1031" width="9.5703125" bestFit="1" customWidth="1"/>
    <col min="1034" max="1035" width="10.5703125" bestFit="1" customWidth="1"/>
    <col min="1036" max="1036" width="9.5703125" bestFit="1" customWidth="1"/>
    <col min="1037" max="1037" width="14" bestFit="1" customWidth="1"/>
    <col min="1039" max="1039" width="14" bestFit="1" customWidth="1"/>
    <col min="1286" max="1286" width="12.5703125" bestFit="1" customWidth="1"/>
    <col min="1287" max="1287" width="9.5703125" bestFit="1" customWidth="1"/>
    <col min="1290" max="1291" width="10.5703125" bestFit="1" customWidth="1"/>
    <col min="1292" max="1292" width="9.5703125" bestFit="1" customWidth="1"/>
    <col min="1293" max="1293" width="14" bestFit="1" customWidth="1"/>
    <col min="1295" max="1295" width="14" bestFit="1" customWidth="1"/>
    <col min="1542" max="1542" width="12.5703125" bestFit="1" customWidth="1"/>
    <col min="1543" max="1543" width="9.5703125" bestFit="1" customWidth="1"/>
    <col min="1546" max="1547" width="10.5703125" bestFit="1" customWidth="1"/>
    <col min="1548" max="1548" width="9.5703125" bestFit="1" customWidth="1"/>
    <col min="1549" max="1549" width="14" bestFit="1" customWidth="1"/>
    <col min="1551" max="1551" width="14" bestFit="1" customWidth="1"/>
    <col min="1798" max="1798" width="12.5703125" bestFit="1" customWidth="1"/>
    <col min="1799" max="1799" width="9.5703125" bestFit="1" customWidth="1"/>
    <col min="1802" max="1803" width="10.5703125" bestFit="1" customWidth="1"/>
    <col min="1804" max="1804" width="9.5703125" bestFit="1" customWidth="1"/>
    <col min="1805" max="1805" width="14" bestFit="1" customWidth="1"/>
    <col min="1807" max="1807" width="14" bestFit="1" customWidth="1"/>
    <col min="2054" max="2054" width="12.5703125" bestFit="1" customWidth="1"/>
    <col min="2055" max="2055" width="9.5703125" bestFit="1" customWidth="1"/>
    <col min="2058" max="2059" width="10.5703125" bestFit="1" customWidth="1"/>
    <col min="2060" max="2060" width="9.5703125" bestFit="1" customWidth="1"/>
    <col min="2061" max="2061" width="14" bestFit="1" customWidth="1"/>
    <col min="2063" max="2063" width="14" bestFit="1" customWidth="1"/>
    <col min="2310" max="2310" width="12.5703125" bestFit="1" customWidth="1"/>
    <col min="2311" max="2311" width="9.5703125" bestFit="1" customWidth="1"/>
    <col min="2314" max="2315" width="10.5703125" bestFit="1" customWidth="1"/>
    <col min="2316" max="2316" width="9.5703125" bestFit="1" customWidth="1"/>
    <col min="2317" max="2317" width="14" bestFit="1" customWidth="1"/>
    <col min="2319" max="2319" width="14" bestFit="1" customWidth="1"/>
    <col min="2566" max="2566" width="12.5703125" bestFit="1" customWidth="1"/>
    <col min="2567" max="2567" width="9.5703125" bestFit="1" customWidth="1"/>
    <col min="2570" max="2571" width="10.5703125" bestFit="1" customWidth="1"/>
    <col min="2572" max="2572" width="9.5703125" bestFit="1" customWidth="1"/>
    <col min="2573" max="2573" width="14" bestFit="1" customWidth="1"/>
    <col min="2575" max="2575" width="14" bestFit="1" customWidth="1"/>
    <col min="2822" max="2822" width="12.5703125" bestFit="1" customWidth="1"/>
    <col min="2823" max="2823" width="9.5703125" bestFit="1" customWidth="1"/>
    <col min="2826" max="2827" width="10.5703125" bestFit="1" customWidth="1"/>
    <col min="2828" max="2828" width="9.5703125" bestFit="1" customWidth="1"/>
    <col min="2829" max="2829" width="14" bestFit="1" customWidth="1"/>
    <col min="2831" max="2831" width="14" bestFit="1" customWidth="1"/>
    <col min="3078" max="3078" width="12.5703125" bestFit="1" customWidth="1"/>
    <col min="3079" max="3079" width="9.5703125" bestFit="1" customWidth="1"/>
    <col min="3082" max="3083" width="10.5703125" bestFit="1" customWidth="1"/>
    <col min="3084" max="3084" width="9.5703125" bestFit="1" customWidth="1"/>
    <col min="3085" max="3085" width="14" bestFit="1" customWidth="1"/>
    <col min="3087" max="3087" width="14" bestFit="1" customWidth="1"/>
    <col min="3334" max="3334" width="12.5703125" bestFit="1" customWidth="1"/>
    <col min="3335" max="3335" width="9.5703125" bestFit="1" customWidth="1"/>
    <col min="3338" max="3339" width="10.5703125" bestFit="1" customWidth="1"/>
    <col min="3340" max="3340" width="9.5703125" bestFit="1" customWidth="1"/>
    <col min="3341" max="3341" width="14" bestFit="1" customWidth="1"/>
    <col min="3343" max="3343" width="14" bestFit="1" customWidth="1"/>
    <col min="3590" max="3590" width="12.5703125" bestFit="1" customWidth="1"/>
    <col min="3591" max="3591" width="9.5703125" bestFit="1" customWidth="1"/>
    <col min="3594" max="3595" width="10.5703125" bestFit="1" customWidth="1"/>
    <col min="3596" max="3596" width="9.5703125" bestFit="1" customWidth="1"/>
    <col min="3597" max="3597" width="14" bestFit="1" customWidth="1"/>
    <col min="3599" max="3599" width="14" bestFit="1" customWidth="1"/>
    <col min="3846" max="3846" width="12.5703125" bestFit="1" customWidth="1"/>
    <col min="3847" max="3847" width="9.5703125" bestFit="1" customWidth="1"/>
    <col min="3850" max="3851" width="10.5703125" bestFit="1" customWidth="1"/>
    <col min="3852" max="3852" width="9.5703125" bestFit="1" customWidth="1"/>
    <col min="3853" max="3853" width="14" bestFit="1" customWidth="1"/>
    <col min="3855" max="3855" width="14" bestFit="1" customWidth="1"/>
    <col min="4102" max="4102" width="12.5703125" bestFit="1" customWidth="1"/>
    <col min="4103" max="4103" width="9.5703125" bestFit="1" customWidth="1"/>
    <col min="4106" max="4107" width="10.5703125" bestFit="1" customWidth="1"/>
    <col min="4108" max="4108" width="9.5703125" bestFit="1" customWidth="1"/>
    <col min="4109" max="4109" width="14" bestFit="1" customWidth="1"/>
    <col min="4111" max="4111" width="14" bestFit="1" customWidth="1"/>
    <col min="4358" max="4358" width="12.5703125" bestFit="1" customWidth="1"/>
    <col min="4359" max="4359" width="9.5703125" bestFit="1" customWidth="1"/>
    <col min="4362" max="4363" width="10.5703125" bestFit="1" customWidth="1"/>
    <col min="4364" max="4364" width="9.5703125" bestFit="1" customWidth="1"/>
    <col min="4365" max="4365" width="14" bestFit="1" customWidth="1"/>
    <col min="4367" max="4367" width="14" bestFit="1" customWidth="1"/>
    <col min="4614" max="4614" width="12.5703125" bestFit="1" customWidth="1"/>
    <col min="4615" max="4615" width="9.5703125" bestFit="1" customWidth="1"/>
    <col min="4618" max="4619" width="10.5703125" bestFit="1" customWidth="1"/>
    <col min="4620" max="4620" width="9.5703125" bestFit="1" customWidth="1"/>
    <col min="4621" max="4621" width="14" bestFit="1" customWidth="1"/>
    <col min="4623" max="4623" width="14" bestFit="1" customWidth="1"/>
    <col min="4870" max="4870" width="12.5703125" bestFit="1" customWidth="1"/>
    <col min="4871" max="4871" width="9.5703125" bestFit="1" customWidth="1"/>
    <col min="4874" max="4875" width="10.5703125" bestFit="1" customWidth="1"/>
    <col min="4876" max="4876" width="9.5703125" bestFit="1" customWidth="1"/>
    <col min="4877" max="4877" width="14" bestFit="1" customWidth="1"/>
    <col min="4879" max="4879" width="14" bestFit="1" customWidth="1"/>
    <col min="5126" max="5126" width="12.5703125" bestFit="1" customWidth="1"/>
    <col min="5127" max="5127" width="9.5703125" bestFit="1" customWidth="1"/>
    <col min="5130" max="5131" width="10.5703125" bestFit="1" customWidth="1"/>
    <col min="5132" max="5132" width="9.5703125" bestFit="1" customWidth="1"/>
    <col min="5133" max="5133" width="14" bestFit="1" customWidth="1"/>
    <col min="5135" max="5135" width="14" bestFit="1" customWidth="1"/>
    <col min="5382" max="5382" width="12.5703125" bestFit="1" customWidth="1"/>
    <col min="5383" max="5383" width="9.5703125" bestFit="1" customWidth="1"/>
    <col min="5386" max="5387" width="10.5703125" bestFit="1" customWidth="1"/>
    <col min="5388" max="5388" width="9.5703125" bestFit="1" customWidth="1"/>
    <col min="5389" max="5389" width="14" bestFit="1" customWidth="1"/>
    <col min="5391" max="5391" width="14" bestFit="1" customWidth="1"/>
    <col min="5638" max="5638" width="12.5703125" bestFit="1" customWidth="1"/>
    <col min="5639" max="5639" width="9.5703125" bestFit="1" customWidth="1"/>
    <col min="5642" max="5643" width="10.5703125" bestFit="1" customWidth="1"/>
    <col min="5644" max="5644" width="9.5703125" bestFit="1" customWidth="1"/>
    <col min="5645" max="5645" width="14" bestFit="1" customWidth="1"/>
    <col min="5647" max="5647" width="14" bestFit="1" customWidth="1"/>
    <col min="5894" max="5894" width="12.5703125" bestFit="1" customWidth="1"/>
    <col min="5895" max="5895" width="9.5703125" bestFit="1" customWidth="1"/>
    <col min="5898" max="5899" width="10.5703125" bestFit="1" customWidth="1"/>
    <col min="5900" max="5900" width="9.5703125" bestFit="1" customWidth="1"/>
    <col min="5901" max="5901" width="14" bestFit="1" customWidth="1"/>
    <col min="5903" max="5903" width="14" bestFit="1" customWidth="1"/>
    <col min="6150" max="6150" width="12.5703125" bestFit="1" customWidth="1"/>
    <col min="6151" max="6151" width="9.5703125" bestFit="1" customWidth="1"/>
    <col min="6154" max="6155" width="10.5703125" bestFit="1" customWidth="1"/>
    <col min="6156" max="6156" width="9.5703125" bestFit="1" customWidth="1"/>
    <col min="6157" max="6157" width="14" bestFit="1" customWidth="1"/>
    <col min="6159" max="6159" width="14" bestFit="1" customWidth="1"/>
    <col min="6406" max="6406" width="12.5703125" bestFit="1" customWidth="1"/>
    <col min="6407" max="6407" width="9.5703125" bestFit="1" customWidth="1"/>
    <col min="6410" max="6411" width="10.5703125" bestFit="1" customWidth="1"/>
    <col min="6412" max="6412" width="9.5703125" bestFit="1" customWidth="1"/>
    <col min="6413" max="6413" width="14" bestFit="1" customWidth="1"/>
    <col min="6415" max="6415" width="14" bestFit="1" customWidth="1"/>
    <col min="6662" max="6662" width="12.5703125" bestFit="1" customWidth="1"/>
    <col min="6663" max="6663" width="9.5703125" bestFit="1" customWidth="1"/>
    <col min="6666" max="6667" width="10.5703125" bestFit="1" customWidth="1"/>
    <col min="6668" max="6668" width="9.5703125" bestFit="1" customWidth="1"/>
    <col min="6669" max="6669" width="14" bestFit="1" customWidth="1"/>
    <col min="6671" max="6671" width="14" bestFit="1" customWidth="1"/>
    <col min="6918" max="6918" width="12.5703125" bestFit="1" customWidth="1"/>
    <col min="6919" max="6919" width="9.5703125" bestFit="1" customWidth="1"/>
    <col min="6922" max="6923" width="10.5703125" bestFit="1" customWidth="1"/>
    <col min="6924" max="6924" width="9.5703125" bestFit="1" customWidth="1"/>
    <col min="6925" max="6925" width="14" bestFit="1" customWidth="1"/>
    <col min="6927" max="6927" width="14" bestFit="1" customWidth="1"/>
    <col min="7174" max="7174" width="12.5703125" bestFit="1" customWidth="1"/>
    <col min="7175" max="7175" width="9.5703125" bestFit="1" customWidth="1"/>
    <col min="7178" max="7179" width="10.5703125" bestFit="1" customWidth="1"/>
    <col min="7180" max="7180" width="9.5703125" bestFit="1" customWidth="1"/>
    <col min="7181" max="7181" width="14" bestFit="1" customWidth="1"/>
    <col min="7183" max="7183" width="14" bestFit="1" customWidth="1"/>
    <col min="7430" max="7430" width="12.5703125" bestFit="1" customWidth="1"/>
    <col min="7431" max="7431" width="9.5703125" bestFit="1" customWidth="1"/>
    <col min="7434" max="7435" width="10.5703125" bestFit="1" customWidth="1"/>
    <col min="7436" max="7436" width="9.5703125" bestFit="1" customWidth="1"/>
    <col min="7437" max="7437" width="14" bestFit="1" customWidth="1"/>
    <col min="7439" max="7439" width="14" bestFit="1" customWidth="1"/>
    <col min="7686" max="7686" width="12.5703125" bestFit="1" customWidth="1"/>
    <col min="7687" max="7687" width="9.5703125" bestFit="1" customWidth="1"/>
    <col min="7690" max="7691" width="10.5703125" bestFit="1" customWidth="1"/>
    <col min="7692" max="7692" width="9.5703125" bestFit="1" customWidth="1"/>
    <col min="7693" max="7693" width="14" bestFit="1" customWidth="1"/>
    <col min="7695" max="7695" width="14" bestFit="1" customWidth="1"/>
    <col min="7942" max="7942" width="12.5703125" bestFit="1" customWidth="1"/>
    <col min="7943" max="7943" width="9.5703125" bestFit="1" customWidth="1"/>
    <col min="7946" max="7947" width="10.5703125" bestFit="1" customWidth="1"/>
    <col min="7948" max="7948" width="9.5703125" bestFit="1" customWidth="1"/>
    <col min="7949" max="7949" width="14" bestFit="1" customWidth="1"/>
    <col min="7951" max="7951" width="14" bestFit="1" customWidth="1"/>
    <col min="8198" max="8198" width="12.5703125" bestFit="1" customWidth="1"/>
    <col min="8199" max="8199" width="9.5703125" bestFit="1" customWidth="1"/>
    <col min="8202" max="8203" width="10.5703125" bestFit="1" customWidth="1"/>
    <col min="8204" max="8204" width="9.5703125" bestFit="1" customWidth="1"/>
    <col min="8205" max="8205" width="14" bestFit="1" customWidth="1"/>
    <col min="8207" max="8207" width="14" bestFit="1" customWidth="1"/>
    <col min="8454" max="8454" width="12.5703125" bestFit="1" customWidth="1"/>
    <col min="8455" max="8455" width="9.5703125" bestFit="1" customWidth="1"/>
    <col min="8458" max="8459" width="10.5703125" bestFit="1" customWidth="1"/>
    <col min="8460" max="8460" width="9.5703125" bestFit="1" customWidth="1"/>
    <col min="8461" max="8461" width="14" bestFit="1" customWidth="1"/>
    <col min="8463" max="8463" width="14" bestFit="1" customWidth="1"/>
    <col min="8710" max="8710" width="12.5703125" bestFit="1" customWidth="1"/>
    <col min="8711" max="8711" width="9.5703125" bestFit="1" customWidth="1"/>
    <col min="8714" max="8715" width="10.5703125" bestFit="1" customWidth="1"/>
    <col min="8716" max="8716" width="9.5703125" bestFit="1" customWidth="1"/>
    <col min="8717" max="8717" width="14" bestFit="1" customWidth="1"/>
    <col min="8719" max="8719" width="14" bestFit="1" customWidth="1"/>
    <col min="8966" max="8966" width="12.5703125" bestFit="1" customWidth="1"/>
    <col min="8967" max="8967" width="9.5703125" bestFit="1" customWidth="1"/>
    <col min="8970" max="8971" width="10.5703125" bestFit="1" customWidth="1"/>
    <col min="8972" max="8972" width="9.5703125" bestFit="1" customWidth="1"/>
    <col min="8973" max="8973" width="14" bestFit="1" customWidth="1"/>
    <col min="8975" max="8975" width="14" bestFit="1" customWidth="1"/>
    <col min="9222" max="9222" width="12.5703125" bestFit="1" customWidth="1"/>
    <col min="9223" max="9223" width="9.5703125" bestFit="1" customWidth="1"/>
    <col min="9226" max="9227" width="10.5703125" bestFit="1" customWidth="1"/>
    <col min="9228" max="9228" width="9.5703125" bestFit="1" customWidth="1"/>
    <col min="9229" max="9229" width="14" bestFit="1" customWidth="1"/>
    <col min="9231" max="9231" width="14" bestFit="1" customWidth="1"/>
    <col min="9478" max="9478" width="12.5703125" bestFit="1" customWidth="1"/>
    <col min="9479" max="9479" width="9.5703125" bestFit="1" customWidth="1"/>
    <col min="9482" max="9483" width="10.5703125" bestFit="1" customWidth="1"/>
    <col min="9484" max="9484" width="9.5703125" bestFit="1" customWidth="1"/>
    <col min="9485" max="9485" width="14" bestFit="1" customWidth="1"/>
    <col min="9487" max="9487" width="14" bestFit="1" customWidth="1"/>
    <col min="9734" max="9734" width="12.5703125" bestFit="1" customWidth="1"/>
    <col min="9735" max="9735" width="9.5703125" bestFit="1" customWidth="1"/>
    <col min="9738" max="9739" width="10.5703125" bestFit="1" customWidth="1"/>
    <col min="9740" max="9740" width="9.5703125" bestFit="1" customWidth="1"/>
    <col min="9741" max="9741" width="14" bestFit="1" customWidth="1"/>
    <col min="9743" max="9743" width="14" bestFit="1" customWidth="1"/>
    <col min="9990" max="9990" width="12.5703125" bestFit="1" customWidth="1"/>
    <col min="9991" max="9991" width="9.5703125" bestFit="1" customWidth="1"/>
    <col min="9994" max="9995" width="10.5703125" bestFit="1" customWidth="1"/>
    <col min="9996" max="9996" width="9.5703125" bestFit="1" customWidth="1"/>
    <col min="9997" max="9997" width="14" bestFit="1" customWidth="1"/>
    <col min="9999" max="9999" width="14" bestFit="1" customWidth="1"/>
    <col min="10246" max="10246" width="12.5703125" bestFit="1" customWidth="1"/>
    <col min="10247" max="10247" width="9.5703125" bestFit="1" customWidth="1"/>
    <col min="10250" max="10251" width="10.5703125" bestFit="1" customWidth="1"/>
    <col min="10252" max="10252" width="9.5703125" bestFit="1" customWidth="1"/>
    <col min="10253" max="10253" width="14" bestFit="1" customWidth="1"/>
    <col min="10255" max="10255" width="14" bestFit="1" customWidth="1"/>
    <col min="10502" max="10502" width="12.5703125" bestFit="1" customWidth="1"/>
    <col min="10503" max="10503" width="9.5703125" bestFit="1" customWidth="1"/>
    <col min="10506" max="10507" width="10.5703125" bestFit="1" customWidth="1"/>
    <col min="10508" max="10508" width="9.5703125" bestFit="1" customWidth="1"/>
    <col min="10509" max="10509" width="14" bestFit="1" customWidth="1"/>
    <col min="10511" max="10511" width="14" bestFit="1" customWidth="1"/>
    <col min="10758" max="10758" width="12.5703125" bestFit="1" customWidth="1"/>
    <col min="10759" max="10759" width="9.5703125" bestFit="1" customWidth="1"/>
    <col min="10762" max="10763" width="10.5703125" bestFit="1" customWidth="1"/>
    <col min="10764" max="10764" width="9.5703125" bestFit="1" customWidth="1"/>
    <col min="10765" max="10765" width="14" bestFit="1" customWidth="1"/>
    <col min="10767" max="10767" width="14" bestFit="1" customWidth="1"/>
    <col min="11014" max="11014" width="12.5703125" bestFit="1" customWidth="1"/>
    <col min="11015" max="11015" width="9.5703125" bestFit="1" customWidth="1"/>
    <col min="11018" max="11019" width="10.5703125" bestFit="1" customWidth="1"/>
    <col min="11020" max="11020" width="9.5703125" bestFit="1" customWidth="1"/>
    <col min="11021" max="11021" width="14" bestFit="1" customWidth="1"/>
    <col min="11023" max="11023" width="14" bestFit="1" customWidth="1"/>
    <col min="11270" max="11270" width="12.5703125" bestFit="1" customWidth="1"/>
    <col min="11271" max="11271" width="9.5703125" bestFit="1" customWidth="1"/>
    <col min="11274" max="11275" width="10.5703125" bestFit="1" customWidth="1"/>
    <col min="11276" max="11276" width="9.5703125" bestFit="1" customWidth="1"/>
    <col min="11277" max="11277" width="14" bestFit="1" customWidth="1"/>
    <col min="11279" max="11279" width="14" bestFit="1" customWidth="1"/>
    <col min="11526" max="11526" width="12.5703125" bestFit="1" customWidth="1"/>
    <col min="11527" max="11527" width="9.5703125" bestFit="1" customWidth="1"/>
    <col min="11530" max="11531" width="10.5703125" bestFit="1" customWidth="1"/>
    <col min="11532" max="11532" width="9.5703125" bestFit="1" customWidth="1"/>
    <col min="11533" max="11533" width="14" bestFit="1" customWidth="1"/>
    <col min="11535" max="11535" width="14" bestFit="1" customWidth="1"/>
    <col min="11782" max="11782" width="12.5703125" bestFit="1" customWidth="1"/>
    <col min="11783" max="11783" width="9.5703125" bestFit="1" customWidth="1"/>
    <col min="11786" max="11787" width="10.5703125" bestFit="1" customWidth="1"/>
    <col min="11788" max="11788" width="9.5703125" bestFit="1" customWidth="1"/>
    <col min="11789" max="11789" width="14" bestFit="1" customWidth="1"/>
    <col min="11791" max="11791" width="14" bestFit="1" customWidth="1"/>
    <col min="12038" max="12038" width="12.5703125" bestFit="1" customWidth="1"/>
    <col min="12039" max="12039" width="9.5703125" bestFit="1" customWidth="1"/>
    <col min="12042" max="12043" width="10.5703125" bestFit="1" customWidth="1"/>
    <col min="12044" max="12044" width="9.5703125" bestFit="1" customWidth="1"/>
    <col min="12045" max="12045" width="14" bestFit="1" customWidth="1"/>
    <col min="12047" max="12047" width="14" bestFit="1" customWidth="1"/>
    <col min="12294" max="12294" width="12.5703125" bestFit="1" customWidth="1"/>
    <col min="12295" max="12295" width="9.5703125" bestFit="1" customWidth="1"/>
    <col min="12298" max="12299" width="10.5703125" bestFit="1" customWidth="1"/>
    <col min="12300" max="12300" width="9.5703125" bestFit="1" customWidth="1"/>
    <col min="12301" max="12301" width="14" bestFit="1" customWidth="1"/>
    <col min="12303" max="12303" width="14" bestFit="1" customWidth="1"/>
    <col min="12550" max="12550" width="12.5703125" bestFit="1" customWidth="1"/>
    <col min="12551" max="12551" width="9.5703125" bestFit="1" customWidth="1"/>
    <col min="12554" max="12555" width="10.5703125" bestFit="1" customWidth="1"/>
    <col min="12556" max="12556" width="9.5703125" bestFit="1" customWidth="1"/>
    <col min="12557" max="12557" width="14" bestFit="1" customWidth="1"/>
    <col min="12559" max="12559" width="14" bestFit="1" customWidth="1"/>
    <col min="12806" max="12806" width="12.5703125" bestFit="1" customWidth="1"/>
    <col min="12807" max="12807" width="9.5703125" bestFit="1" customWidth="1"/>
    <col min="12810" max="12811" width="10.5703125" bestFit="1" customWidth="1"/>
    <col min="12812" max="12812" width="9.5703125" bestFit="1" customWidth="1"/>
    <col min="12813" max="12813" width="14" bestFit="1" customWidth="1"/>
    <col min="12815" max="12815" width="14" bestFit="1" customWidth="1"/>
    <col min="13062" max="13062" width="12.5703125" bestFit="1" customWidth="1"/>
    <col min="13063" max="13063" width="9.5703125" bestFit="1" customWidth="1"/>
    <col min="13066" max="13067" width="10.5703125" bestFit="1" customWidth="1"/>
    <col min="13068" max="13068" width="9.5703125" bestFit="1" customWidth="1"/>
    <col min="13069" max="13069" width="14" bestFit="1" customWidth="1"/>
    <col min="13071" max="13071" width="14" bestFit="1" customWidth="1"/>
    <col min="13318" max="13318" width="12.5703125" bestFit="1" customWidth="1"/>
    <col min="13319" max="13319" width="9.5703125" bestFit="1" customWidth="1"/>
    <col min="13322" max="13323" width="10.5703125" bestFit="1" customWidth="1"/>
    <col min="13324" max="13324" width="9.5703125" bestFit="1" customWidth="1"/>
    <col min="13325" max="13325" width="14" bestFit="1" customWidth="1"/>
    <col min="13327" max="13327" width="14" bestFit="1" customWidth="1"/>
    <col min="13574" max="13574" width="12.5703125" bestFit="1" customWidth="1"/>
    <col min="13575" max="13575" width="9.5703125" bestFit="1" customWidth="1"/>
    <col min="13578" max="13579" width="10.5703125" bestFit="1" customWidth="1"/>
    <col min="13580" max="13580" width="9.5703125" bestFit="1" customWidth="1"/>
    <col min="13581" max="13581" width="14" bestFit="1" customWidth="1"/>
    <col min="13583" max="13583" width="14" bestFit="1" customWidth="1"/>
    <col min="13830" max="13830" width="12.5703125" bestFit="1" customWidth="1"/>
    <col min="13831" max="13831" width="9.5703125" bestFit="1" customWidth="1"/>
    <col min="13834" max="13835" width="10.5703125" bestFit="1" customWidth="1"/>
    <col min="13836" max="13836" width="9.5703125" bestFit="1" customWidth="1"/>
    <col min="13837" max="13837" width="14" bestFit="1" customWidth="1"/>
    <col min="13839" max="13839" width="14" bestFit="1" customWidth="1"/>
    <col min="14086" max="14086" width="12.5703125" bestFit="1" customWidth="1"/>
    <col min="14087" max="14087" width="9.5703125" bestFit="1" customWidth="1"/>
    <col min="14090" max="14091" width="10.5703125" bestFit="1" customWidth="1"/>
    <col min="14092" max="14092" width="9.5703125" bestFit="1" customWidth="1"/>
    <col min="14093" max="14093" width="14" bestFit="1" customWidth="1"/>
    <col min="14095" max="14095" width="14" bestFit="1" customWidth="1"/>
    <col min="14342" max="14342" width="12.5703125" bestFit="1" customWidth="1"/>
    <col min="14343" max="14343" width="9.5703125" bestFit="1" customWidth="1"/>
    <col min="14346" max="14347" width="10.5703125" bestFit="1" customWidth="1"/>
    <col min="14348" max="14348" width="9.5703125" bestFit="1" customWidth="1"/>
    <col min="14349" max="14349" width="14" bestFit="1" customWidth="1"/>
    <col min="14351" max="14351" width="14" bestFit="1" customWidth="1"/>
    <col min="14598" max="14598" width="12.5703125" bestFit="1" customWidth="1"/>
    <col min="14599" max="14599" width="9.5703125" bestFit="1" customWidth="1"/>
    <col min="14602" max="14603" width="10.5703125" bestFit="1" customWidth="1"/>
    <col min="14604" max="14604" width="9.5703125" bestFit="1" customWidth="1"/>
    <col min="14605" max="14605" width="14" bestFit="1" customWidth="1"/>
    <col min="14607" max="14607" width="14" bestFit="1" customWidth="1"/>
    <col min="14854" max="14854" width="12.5703125" bestFit="1" customWidth="1"/>
    <col min="14855" max="14855" width="9.5703125" bestFit="1" customWidth="1"/>
    <col min="14858" max="14859" width="10.5703125" bestFit="1" customWidth="1"/>
    <col min="14860" max="14860" width="9.5703125" bestFit="1" customWidth="1"/>
    <col min="14861" max="14861" width="14" bestFit="1" customWidth="1"/>
    <col min="14863" max="14863" width="14" bestFit="1" customWidth="1"/>
    <col min="15110" max="15110" width="12.5703125" bestFit="1" customWidth="1"/>
    <col min="15111" max="15111" width="9.5703125" bestFit="1" customWidth="1"/>
    <col min="15114" max="15115" width="10.5703125" bestFit="1" customWidth="1"/>
    <col min="15116" max="15116" width="9.5703125" bestFit="1" customWidth="1"/>
    <col min="15117" max="15117" width="14" bestFit="1" customWidth="1"/>
    <col min="15119" max="15119" width="14" bestFit="1" customWidth="1"/>
    <col min="15366" max="15366" width="12.5703125" bestFit="1" customWidth="1"/>
    <col min="15367" max="15367" width="9.5703125" bestFit="1" customWidth="1"/>
    <col min="15370" max="15371" width="10.5703125" bestFit="1" customWidth="1"/>
    <col min="15372" max="15372" width="9.5703125" bestFit="1" customWidth="1"/>
    <col min="15373" max="15373" width="14" bestFit="1" customWidth="1"/>
    <col min="15375" max="15375" width="14" bestFit="1" customWidth="1"/>
    <col min="15622" max="15622" width="12.5703125" bestFit="1" customWidth="1"/>
    <col min="15623" max="15623" width="9.5703125" bestFit="1" customWidth="1"/>
    <col min="15626" max="15627" width="10.5703125" bestFit="1" customWidth="1"/>
    <col min="15628" max="15628" width="9.5703125" bestFit="1" customWidth="1"/>
    <col min="15629" max="15629" width="14" bestFit="1" customWidth="1"/>
    <col min="15631" max="15631" width="14" bestFit="1" customWidth="1"/>
    <col min="15878" max="15878" width="12.5703125" bestFit="1" customWidth="1"/>
    <col min="15879" max="15879" width="9.5703125" bestFit="1" customWidth="1"/>
    <col min="15882" max="15883" width="10.5703125" bestFit="1" customWidth="1"/>
    <col min="15884" max="15884" width="9.5703125" bestFit="1" customWidth="1"/>
    <col min="15885" max="15885" width="14" bestFit="1" customWidth="1"/>
    <col min="15887" max="15887" width="14" bestFit="1" customWidth="1"/>
    <col min="16134" max="16134" width="12.5703125" bestFit="1" customWidth="1"/>
    <col min="16135" max="16135" width="9.5703125" bestFit="1" customWidth="1"/>
    <col min="16138" max="16139" width="10.5703125" bestFit="1" customWidth="1"/>
    <col min="16140" max="16140" width="9.5703125" bestFit="1" customWidth="1"/>
    <col min="16141" max="16141" width="14" bestFit="1" customWidth="1"/>
    <col min="16143" max="16143" width="14" bestFit="1" customWidth="1"/>
  </cols>
  <sheetData>
    <row r="2" spans="5:15" x14ac:dyDescent="0.2">
      <c r="G2" t="s">
        <v>2074</v>
      </c>
      <c r="I2" s="1745">
        <v>1.17</v>
      </c>
      <c r="J2" s="1745"/>
      <c r="L2" s="34"/>
    </row>
    <row r="4" spans="5:15" ht="51" x14ac:dyDescent="0.2">
      <c r="F4" s="1746" t="s">
        <v>2075</v>
      </c>
      <c r="G4" s="1746" t="s">
        <v>934</v>
      </c>
      <c r="H4" s="1746" t="s">
        <v>2076</v>
      </c>
      <c r="I4" s="1746" t="s">
        <v>2077</v>
      </c>
      <c r="J4" s="1746" t="s">
        <v>2078</v>
      </c>
      <c r="K4" s="1746" t="s">
        <v>2079</v>
      </c>
      <c r="L4" s="1746" t="s">
        <v>2080</v>
      </c>
      <c r="M4" s="1746" t="s">
        <v>2081</v>
      </c>
    </row>
    <row r="5" spans="5:15" x14ac:dyDescent="0.2">
      <c r="F5" s="1747"/>
      <c r="G5" s="22"/>
      <c r="H5" s="22"/>
      <c r="I5" s="22"/>
      <c r="J5" s="22"/>
      <c r="K5" s="22"/>
      <c r="L5" s="1748"/>
      <c r="M5" s="1748"/>
    </row>
    <row r="6" spans="5:15" x14ac:dyDescent="0.2">
      <c r="F6" s="1749">
        <f>+H14</f>
        <v>1.7747225219624763</v>
      </c>
      <c r="G6" s="22">
        <f>+G14</f>
        <v>5.5656919511319316</v>
      </c>
      <c r="H6" s="22">
        <f>+'ריכוז עלויות'!$B$70</f>
        <v>7.8734012832481559</v>
      </c>
      <c r="I6" s="22">
        <f>+H6*I2</f>
        <v>9.2118795014003414</v>
      </c>
      <c r="J6" s="22">
        <f>+'ריכוז עלויות'!$B$71</f>
        <v>4.0236861267309418</v>
      </c>
      <c r="K6" s="22">
        <f>+J6*I2</f>
        <v>4.7077127682752016</v>
      </c>
      <c r="L6" s="1748">
        <f>I6-G6</f>
        <v>3.6461875502684098</v>
      </c>
      <c r="M6" s="1748">
        <f>K6-F6</f>
        <v>2.9329902463127251</v>
      </c>
    </row>
    <row r="7" spans="5:15" x14ac:dyDescent="0.2">
      <c r="G7" s="22"/>
      <c r="I7" s="22"/>
      <c r="L7" s="52"/>
      <c r="M7" s="52"/>
    </row>
    <row r="8" spans="5:15" x14ac:dyDescent="0.2">
      <c r="H8" s="22"/>
      <c r="I8" s="22"/>
      <c r="J8" s="22"/>
      <c r="K8" s="80"/>
      <c r="M8" s="22"/>
    </row>
    <row r="9" spans="5:15" x14ac:dyDescent="0.2">
      <c r="H9" s="22"/>
      <c r="I9" s="22"/>
      <c r="J9" s="20"/>
      <c r="K9" s="20"/>
      <c r="L9" s="22"/>
      <c r="M9" s="22"/>
    </row>
    <row r="10" spans="5:15" x14ac:dyDescent="0.2">
      <c r="E10" s="12"/>
      <c r="G10" s="1245" t="s">
        <v>2082</v>
      </c>
      <c r="H10" s="1245" t="s">
        <v>2083</v>
      </c>
      <c r="I10" s="1245"/>
      <c r="J10" s="1253"/>
    </row>
    <row r="11" spans="5:15" x14ac:dyDescent="0.2">
      <c r="E11" s="12"/>
      <c r="F11" s="1245" t="s">
        <v>2084</v>
      </c>
      <c r="G11" s="11">
        <f>(+H6-SUM('[25]ספק למספר ישובים'!$C$6:$C$14))*(1-'[25]ספק למספר ישובים'!$C$23)-0.001</f>
        <v>5.5165249338519136</v>
      </c>
      <c r="H11" s="11">
        <f>(+J6-SUM('[25]ספק למספר ישובים'!$C$6:$C$14))*(1-[25]גיליון1!$C$23)</f>
        <v>1.7255555046824584</v>
      </c>
      <c r="I11" s="14"/>
      <c r="J11" s="22"/>
      <c r="M11" s="22"/>
    </row>
    <row r="12" spans="5:15" x14ac:dyDescent="0.2">
      <c r="I12" s="14"/>
      <c r="N12" s="1245"/>
    </row>
    <row r="13" spans="5:15" x14ac:dyDescent="0.2">
      <c r="E13" s="14"/>
      <c r="I13" s="14"/>
      <c r="L13" s="33"/>
      <c r="M13" s="1245"/>
    </row>
    <row r="14" spans="5:15" x14ac:dyDescent="0.2">
      <c r="E14" s="14"/>
      <c r="F14" s="1245" t="s">
        <v>2085</v>
      </c>
      <c r="G14" s="11">
        <f>+(H6-(SUM('[25]ספק לישוב אחד'!$C$6:$C$14)))*(1-'[25]ספק לישוב אחד'!$C$23)-0.001</f>
        <v>5.5656919511319316</v>
      </c>
      <c r="H14" s="11">
        <f>+(J6-(SUM('[25]ספק לישוב אחד'!$C$6:$C$14)))*(1-'[25]ספק לישוב אחד'!$C$23)</f>
        <v>1.7747225219624763</v>
      </c>
      <c r="I14" s="14"/>
      <c r="J14" s="11"/>
      <c r="K14" s="22"/>
      <c r="L14" s="1253"/>
      <c r="M14" s="1253"/>
      <c r="N14" s="1253"/>
      <c r="O14" s="1253"/>
    </row>
    <row r="15" spans="5:15" x14ac:dyDescent="0.2">
      <c r="L15" s="1245"/>
      <c r="N15" s="745"/>
      <c r="O15" s="22"/>
    </row>
    <row r="16" spans="5:15" x14ac:dyDescent="0.2">
      <c r="E16" s="22"/>
      <c r="F16" t="s">
        <v>2086</v>
      </c>
      <c r="G16" s="11">
        <f>+(H6-SUM([25]גיליון1!$C$6:$C$14))/(1-[25]גיליון1!$C$23)+[25]גיליון1!$D$11</f>
        <v>6.4143527886876637</v>
      </c>
      <c r="H16" s="11">
        <f>+(J6-SUM([25]גיליון1!$C$6:$C$14))/(1-[25]גיליון1!$C$23)+[25]גיליון1!$D$11</f>
        <v>2.5060125282640953</v>
      </c>
      <c r="I16" s="14"/>
      <c r="J16" s="11"/>
      <c r="K16" s="22"/>
      <c r="L16" s="1245"/>
      <c r="N16" s="745"/>
      <c r="O16" s="22"/>
    </row>
    <row r="17" spans="5:15" x14ac:dyDescent="0.2">
      <c r="J17" s="20"/>
      <c r="L17" s="1750"/>
      <c r="M17" s="22"/>
      <c r="N17" s="745"/>
      <c r="O17" s="22"/>
    </row>
    <row r="18" spans="5:15" x14ac:dyDescent="0.2">
      <c r="G18" t="s">
        <v>2087</v>
      </c>
      <c r="H18" s="11">
        <f>+[25]גיליון1!$D$11</f>
        <v>0.42660198745619055</v>
      </c>
      <c r="L18" s="1245"/>
      <c r="M18" s="22"/>
      <c r="N18" s="745"/>
      <c r="O18" s="22"/>
    </row>
    <row r="19" spans="5:15" x14ac:dyDescent="0.2">
      <c r="L19" s="1245"/>
      <c r="N19" s="745"/>
      <c r="O19" s="22"/>
    </row>
    <row r="20" spans="5:15" x14ac:dyDescent="0.2">
      <c r="G20" s="22"/>
      <c r="I20" s="22"/>
      <c r="L20" s="1245"/>
      <c r="N20" s="745"/>
      <c r="O20" s="22"/>
    </row>
    <row r="21" spans="5:15" x14ac:dyDescent="0.2">
      <c r="G21">
        <f>0.708/1.18*1.17</f>
        <v>0.70199999999999996</v>
      </c>
      <c r="H21" s="22"/>
      <c r="K21" s="1245"/>
      <c r="L21" s="1245"/>
      <c r="N21" s="745"/>
      <c r="O21" s="22"/>
    </row>
    <row r="22" spans="5:15" x14ac:dyDescent="0.2">
      <c r="I22" s="22"/>
      <c r="L22" s="1245"/>
      <c r="N22" s="745"/>
      <c r="O22" s="22"/>
    </row>
    <row r="23" spans="5:15" x14ac:dyDescent="0.2">
      <c r="L23" s="1245"/>
      <c r="M23" s="2"/>
      <c r="N23" s="745"/>
      <c r="O23" s="2"/>
    </row>
    <row r="24" spans="5:15" x14ac:dyDescent="0.2">
      <c r="L24" s="1245"/>
      <c r="N24" s="745"/>
      <c r="O24" s="22"/>
    </row>
    <row r="25" spans="5:15" x14ac:dyDescent="0.2">
      <c r="G25" s="11">
        <f>+G11-'[26]תעריף רשות מקומית'!$G$18</f>
        <v>-0.47694049788996384</v>
      </c>
      <c r="H25" s="22"/>
      <c r="N25" s="745"/>
      <c r="O25" s="22"/>
    </row>
    <row r="26" spans="5:15" x14ac:dyDescent="0.2">
      <c r="H26" s="22"/>
      <c r="I26" s="22"/>
      <c r="J26" s="22"/>
      <c r="N26" s="745"/>
      <c r="O26" s="22"/>
    </row>
    <row r="27" spans="5:15" x14ac:dyDescent="0.2">
      <c r="E27" s="17">
        <f>+G11/'[26]תעריף רשות מקומית'!$G$18-1</f>
        <v>-7.9576749598662677E-2</v>
      </c>
      <c r="F27" s="17">
        <f>+H11/'[26]תעריף רשות מקומית'!$H$18-1</f>
        <v>-0.15825113273379143</v>
      </c>
      <c r="I27">
        <f>-SUM('[25]ספק למספר ישובים'!$C$6:$C$14)</f>
        <v>-2.2718531270533191</v>
      </c>
      <c r="M27" s="6"/>
      <c r="N27" s="745"/>
      <c r="O27" s="22"/>
    </row>
    <row r="28" spans="5:15" x14ac:dyDescent="0.2">
      <c r="M28" s="14"/>
      <c r="N28" s="745"/>
      <c r="O28" s="22"/>
    </row>
    <row r="29" spans="5:15" x14ac:dyDescent="0.2">
      <c r="E29" s="17">
        <f>+G14/'[26]תעריף רשות מקומית'!$G$21-1</f>
        <v>-7.8991112480971681E-2</v>
      </c>
      <c r="F29" s="17">
        <f>+H14/'[26]תעריף רשות מקומית'!$H$21-1</f>
        <v>-0.15470790503759868</v>
      </c>
      <c r="N29" s="745"/>
      <c r="O29" s="22"/>
    </row>
    <row r="30" spans="5:15" x14ac:dyDescent="0.2">
      <c r="M30" s="2"/>
      <c r="N30" s="745"/>
      <c r="O30" s="2"/>
    </row>
    <row r="31" spans="5:15" x14ac:dyDescent="0.2">
      <c r="E31" s="17">
        <f>+G16/'[26]תעריף רשות מקומית'!$G$23-1</f>
        <v>-2.1163538536532522E-2</v>
      </c>
      <c r="F31" s="17">
        <f>+H16/'[26]תעריף רשות מקומית'!$H$23-1</f>
        <v>-3.9671800622142483E-2</v>
      </c>
      <c r="N31" s="745"/>
      <c r="O31" s="45"/>
    </row>
    <row r="32" spans="5:15" x14ac:dyDescent="0.2">
      <c r="N32" s="745"/>
      <c r="O32" s="18"/>
    </row>
    <row r="33" spans="13:15" x14ac:dyDescent="0.2">
      <c r="M33" s="6"/>
      <c r="N33" s="745"/>
      <c r="O33" s="18"/>
    </row>
    <row r="34" spans="13:15" x14ac:dyDescent="0.2">
      <c r="N34" s="745"/>
      <c r="O34" s="18"/>
    </row>
    <row r="35" spans="13:15" x14ac:dyDescent="0.2">
      <c r="N35" s="745"/>
      <c r="O35" s="18"/>
    </row>
    <row r="36" spans="13:15" x14ac:dyDescent="0.2">
      <c r="N36" s="745"/>
      <c r="O36" s="18"/>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7"/>
  <sheetViews>
    <sheetView rightToLeft="1" workbookViewId="0">
      <selection sqref="A1:XFD1048576"/>
    </sheetView>
  </sheetViews>
  <sheetFormatPr defaultRowHeight="12.75" x14ac:dyDescent="0.2"/>
  <cols>
    <col min="1" max="1" width="35.42578125" style="1308" customWidth="1"/>
    <col min="2" max="2" width="24.42578125" style="1308" customWidth="1"/>
    <col min="3" max="3" width="15.5703125" style="1308" customWidth="1"/>
    <col min="4" max="4" width="106.140625" style="1308" customWidth="1"/>
    <col min="5" max="256" width="9.140625" style="1308"/>
    <col min="257" max="257" width="35.42578125" style="1308" customWidth="1"/>
    <col min="258" max="258" width="24.42578125" style="1308" customWidth="1"/>
    <col min="259" max="259" width="15.5703125" style="1308" customWidth="1"/>
    <col min="260" max="260" width="106.140625" style="1308" customWidth="1"/>
    <col min="261" max="512" width="9.140625" style="1308"/>
    <col min="513" max="513" width="35.42578125" style="1308" customWidth="1"/>
    <col min="514" max="514" width="24.42578125" style="1308" customWidth="1"/>
    <col min="515" max="515" width="15.5703125" style="1308" customWidth="1"/>
    <col min="516" max="516" width="106.140625" style="1308" customWidth="1"/>
    <col min="517" max="768" width="9.140625" style="1308"/>
    <col min="769" max="769" width="35.42578125" style="1308" customWidth="1"/>
    <col min="770" max="770" width="24.42578125" style="1308" customWidth="1"/>
    <col min="771" max="771" width="15.5703125" style="1308" customWidth="1"/>
    <col min="772" max="772" width="106.140625" style="1308" customWidth="1"/>
    <col min="773" max="1024" width="9.140625" style="1308"/>
    <col min="1025" max="1025" width="35.42578125" style="1308" customWidth="1"/>
    <col min="1026" max="1026" width="24.42578125" style="1308" customWidth="1"/>
    <col min="1027" max="1027" width="15.5703125" style="1308" customWidth="1"/>
    <col min="1028" max="1028" width="106.140625" style="1308" customWidth="1"/>
    <col min="1029" max="1280" width="9.140625" style="1308"/>
    <col min="1281" max="1281" width="35.42578125" style="1308" customWidth="1"/>
    <col min="1282" max="1282" width="24.42578125" style="1308" customWidth="1"/>
    <col min="1283" max="1283" width="15.5703125" style="1308" customWidth="1"/>
    <col min="1284" max="1284" width="106.140625" style="1308" customWidth="1"/>
    <col min="1285" max="1536" width="9.140625" style="1308"/>
    <col min="1537" max="1537" width="35.42578125" style="1308" customWidth="1"/>
    <col min="1538" max="1538" width="24.42578125" style="1308" customWidth="1"/>
    <col min="1539" max="1539" width="15.5703125" style="1308" customWidth="1"/>
    <col min="1540" max="1540" width="106.140625" style="1308" customWidth="1"/>
    <col min="1541" max="1792" width="9.140625" style="1308"/>
    <col min="1793" max="1793" width="35.42578125" style="1308" customWidth="1"/>
    <col min="1794" max="1794" width="24.42578125" style="1308" customWidth="1"/>
    <col min="1795" max="1795" width="15.5703125" style="1308" customWidth="1"/>
    <col min="1796" max="1796" width="106.140625" style="1308" customWidth="1"/>
    <col min="1797" max="2048" width="9.140625" style="1308"/>
    <col min="2049" max="2049" width="35.42578125" style="1308" customWidth="1"/>
    <col min="2050" max="2050" width="24.42578125" style="1308" customWidth="1"/>
    <col min="2051" max="2051" width="15.5703125" style="1308" customWidth="1"/>
    <col min="2052" max="2052" width="106.140625" style="1308" customWidth="1"/>
    <col min="2053" max="2304" width="9.140625" style="1308"/>
    <col min="2305" max="2305" width="35.42578125" style="1308" customWidth="1"/>
    <col min="2306" max="2306" width="24.42578125" style="1308" customWidth="1"/>
    <col min="2307" max="2307" width="15.5703125" style="1308" customWidth="1"/>
    <col min="2308" max="2308" width="106.140625" style="1308" customWidth="1"/>
    <col min="2309" max="2560" width="9.140625" style="1308"/>
    <col min="2561" max="2561" width="35.42578125" style="1308" customWidth="1"/>
    <col min="2562" max="2562" width="24.42578125" style="1308" customWidth="1"/>
    <col min="2563" max="2563" width="15.5703125" style="1308" customWidth="1"/>
    <col min="2564" max="2564" width="106.140625" style="1308" customWidth="1"/>
    <col min="2565" max="2816" width="9.140625" style="1308"/>
    <col min="2817" max="2817" width="35.42578125" style="1308" customWidth="1"/>
    <col min="2818" max="2818" width="24.42578125" style="1308" customWidth="1"/>
    <col min="2819" max="2819" width="15.5703125" style="1308" customWidth="1"/>
    <col min="2820" max="2820" width="106.140625" style="1308" customWidth="1"/>
    <col min="2821" max="3072" width="9.140625" style="1308"/>
    <col min="3073" max="3073" width="35.42578125" style="1308" customWidth="1"/>
    <col min="3074" max="3074" width="24.42578125" style="1308" customWidth="1"/>
    <col min="3075" max="3075" width="15.5703125" style="1308" customWidth="1"/>
    <col min="3076" max="3076" width="106.140625" style="1308" customWidth="1"/>
    <col min="3077" max="3328" width="9.140625" style="1308"/>
    <col min="3329" max="3329" width="35.42578125" style="1308" customWidth="1"/>
    <col min="3330" max="3330" width="24.42578125" style="1308" customWidth="1"/>
    <col min="3331" max="3331" width="15.5703125" style="1308" customWidth="1"/>
    <col min="3332" max="3332" width="106.140625" style="1308" customWidth="1"/>
    <col min="3333" max="3584" width="9.140625" style="1308"/>
    <col min="3585" max="3585" width="35.42578125" style="1308" customWidth="1"/>
    <col min="3586" max="3586" width="24.42578125" style="1308" customWidth="1"/>
    <col min="3587" max="3587" width="15.5703125" style="1308" customWidth="1"/>
    <col min="3588" max="3588" width="106.140625" style="1308" customWidth="1"/>
    <col min="3589" max="3840" width="9.140625" style="1308"/>
    <col min="3841" max="3841" width="35.42578125" style="1308" customWidth="1"/>
    <col min="3842" max="3842" width="24.42578125" style="1308" customWidth="1"/>
    <col min="3843" max="3843" width="15.5703125" style="1308" customWidth="1"/>
    <col min="3844" max="3844" width="106.140625" style="1308" customWidth="1"/>
    <col min="3845" max="4096" width="9.140625" style="1308"/>
    <col min="4097" max="4097" width="35.42578125" style="1308" customWidth="1"/>
    <col min="4098" max="4098" width="24.42578125" style="1308" customWidth="1"/>
    <col min="4099" max="4099" width="15.5703125" style="1308" customWidth="1"/>
    <col min="4100" max="4100" width="106.140625" style="1308" customWidth="1"/>
    <col min="4101" max="4352" width="9.140625" style="1308"/>
    <col min="4353" max="4353" width="35.42578125" style="1308" customWidth="1"/>
    <col min="4354" max="4354" width="24.42578125" style="1308" customWidth="1"/>
    <col min="4355" max="4355" width="15.5703125" style="1308" customWidth="1"/>
    <col min="4356" max="4356" width="106.140625" style="1308" customWidth="1"/>
    <col min="4357" max="4608" width="9.140625" style="1308"/>
    <col min="4609" max="4609" width="35.42578125" style="1308" customWidth="1"/>
    <col min="4610" max="4610" width="24.42578125" style="1308" customWidth="1"/>
    <col min="4611" max="4611" width="15.5703125" style="1308" customWidth="1"/>
    <col min="4612" max="4612" width="106.140625" style="1308" customWidth="1"/>
    <col min="4613" max="4864" width="9.140625" style="1308"/>
    <col min="4865" max="4865" width="35.42578125" style="1308" customWidth="1"/>
    <col min="4866" max="4866" width="24.42578125" style="1308" customWidth="1"/>
    <col min="4867" max="4867" width="15.5703125" style="1308" customWidth="1"/>
    <col min="4868" max="4868" width="106.140625" style="1308" customWidth="1"/>
    <col min="4869" max="5120" width="9.140625" style="1308"/>
    <col min="5121" max="5121" width="35.42578125" style="1308" customWidth="1"/>
    <col min="5122" max="5122" width="24.42578125" style="1308" customWidth="1"/>
    <col min="5123" max="5123" width="15.5703125" style="1308" customWidth="1"/>
    <col min="5124" max="5124" width="106.140625" style="1308" customWidth="1"/>
    <col min="5125" max="5376" width="9.140625" style="1308"/>
    <col min="5377" max="5377" width="35.42578125" style="1308" customWidth="1"/>
    <col min="5378" max="5378" width="24.42578125" style="1308" customWidth="1"/>
    <col min="5379" max="5379" width="15.5703125" style="1308" customWidth="1"/>
    <col min="5380" max="5380" width="106.140625" style="1308" customWidth="1"/>
    <col min="5381" max="5632" width="9.140625" style="1308"/>
    <col min="5633" max="5633" width="35.42578125" style="1308" customWidth="1"/>
    <col min="5634" max="5634" width="24.42578125" style="1308" customWidth="1"/>
    <col min="5635" max="5635" width="15.5703125" style="1308" customWidth="1"/>
    <col min="5636" max="5636" width="106.140625" style="1308" customWidth="1"/>
    <col min="5637" max="5888" width="9.140625" style="1308"/>
    <col min="5889" max="5889" width="35.42578125" style="1308" customWidth="1"/>
    <col min="5890" max="5890" width="24.42578125" style="1308" customWidth="1"/>
    <col min="5891" max="5891" width="15.5703125" style="1308" customWidth="1"/>
    <col min="5892" max="5892" width="106.140625" style="1308" customWidth="1"/>
    <col min="5893" max="6144" width="9.140625" style="1308"/>
    <col min="6145" max="6145" width="35.42578125" style="1308" customWidth="1"/>
    <col min="6146" max="6146" width="24.42578125" style="1308" customWidth="1"/>
    <col min="6147" max="6147" width="15.5703125" style="1308" customWidth="1"/>
    <col min="6148" max="6148" width="106.140625" style="1308" customWidth="1"/>
    <col min="6149" max="6400" width="9.140625" style="1308"/>
    <col min="6401" max="6401" width="35.42578125" style="1308" customWidth="1"/>
    <col min="6402" max="6402" width="24.42578125" style="1308" customWidth="1"/>
    <col min="6403" max="6403" width="15.5703125" style="1308" customWidth="1"/>
    <col min="6404" max="6404" width="106.140625" style="1308" customWidth="1"/>
    <col min="6405" max="6656" width="9.140625" style="1308"/>
    <col min="6657" max="6657" width="35.42578125" style="1308" customWidth="1"/>
    <col min="6658" max="6658" width="24.42578125" style="1308" customWidth="1"/>
    <col min="6659" max="6659" width="15.5703125" style="1308" customWidth="1"/>
    <col min="6660" max="6660" width="106.140625" style="1308" customWidth="1"/>
    <col min="6661" max="6912" width="9.140625" style="1308"/>
    <col min="6913" max="6913" width="35.42578125" style="1308" customWidth="1"/>
    <col min="6914" max="6914" width="24.42578125" style="1308" customWidth="1"/>
    <col min="6915" max="6915" width="15.5703125" style="1308" customWidth="1"/>
    <col min="6916" max="6916" width="106.140625" style="1308" customWidth="1"/>
    <col min="6917" max="7168" width="9.140625" style="1308"/>
    <col min="7169" max="7169" width="35.42578125" style="1308" customWidth="1"/>
    <col min="7170" max="7170" width="24.42578125" style="1308" customWidth="1"/>
    <col min="7171" max="7171" width="15.5703125" style="1308" customWidth="1"/>
    <col min="7172" max="7172" width="106.140625" style="1308" customWidth="1"/>
    <col min="7173" max="7424" width="9.140625" style="1308"/>
    <col min="7425" max="7425" width="35.42578125" style="1308" customWidth="1"/>
    <col min="7426" max="7426" width="24.42578125" style="1308" customWidth="1"/>
    <col min="7427" max="7427" width="15.5703125" style="1308" customWidth="1"/>
    <col min="7428" max="7428" width="106.140625" style="1308" customWidth="1"/>
    <col min="7429" max="7680" width="9.140625" style="1308"/>
    <col min="7681" max="7681" width="35.42578125" style="1308" customWidth="1"/>
    <col min="7682" max="7682" width="24.42578125" style="1308" customWidth="1"/>
    <col min="7683" max="7683" width="15.5703125" style="1308" customWidth="1"/>
    <col min="7684" max="7684" width="106.140625" style="1308" customWidth="1"/>
    <col min="7685" max="7936" width="9.140625" style="1308"/>
    <col min="7937" max="7937" width="35.42578125" style="1308" customWidth="1"/>
    <col min="7938" max="7938" width="24.42578125" style="1308" customWidth="1"/>
    <col min="7939" max="7939" width="15.5703125" style="1308" customWidth="1"/>
    <col min="7940" max="7940" width="106.140625" style="1308" customWidth="1"/>
    <col min="7941" max="8192" width="9.140625" style="1308"/>
    <col min="8193" max="8193" width="35.42578125" style="1308" customWidth="1"/>
    <col min="8194" max="8194" width="24.42578125" style="1308" customWidth="1"/>
    <col min="8195" max="8195" width="15.5703125" style="1308" customWidth="1"/>
    <col min="8196" max="8196" width="106.140625" style="1308" customWidth="1"/>
    <col min="8197" max="8448" width="9.140625" style="1308"/>
    <col min="8449" max="8449" width="35.42578125" style="1308" customWidth="1"/>
    <col min="8450" max="8450" width="24.42578125" style="1308" customWidth="1"/>
    <col min="8451" max="8451" width="15.5703125" style="1308" customWidth="1"/>
    <col min="8452" max="8452" width="106.140625" style="1308" customWidth="1"/>
    <col min="8453" max="8704" width="9.140625" style="1308"/>
    <col min="8705" max="8705" width="35.42578125" style="1308" customWidth="1"/>
    <col min="8706" max="8706" width="24.42578125" style="1308" customWidth="1"/>
    <col min="8707" max="8707" width="15.5703125" style="1308" customWidth="1"/>
    <col min="8708" max="8708" width="106.140625" style="1308" customWidth="1"/>
    <col min="8709" max="8960" width="9.140625" style="1308"/>
    <col min="8961" max="8961" width="35.42578125" style="1308" customWidth="1"/>
    <col min="8962" max="8962" width="24.42578125" style="1308" customWidth="1"/>
    <col min="8963" max="8963" width="15.5703125" style="1308" customWidth="1"/>
    <col min="8964" max="8964" width="106.140625" style="1308" customWidth="1"/>
    <col min="8965" max="9216" width="9.140625" style="1308"/>
    <col min="9217" max="9217" width="35.42578125" style="1308" customWidth="1"/>
    <col min="9218" max="9218" width="24.42578125" style="1308" customWidth="1"/>
    <col min="9219" max="9219" width="15.5703125" style="1308" customWidth="1"/>
    <col min="9220" max="9220" width="106.140625" style="1308" customWidth="1"/>
    <col min="9221" max="9472" width="9.140625" style="1308"/>
    <col min="9473" max="9473" width="35.42578125" style="1308" customWidth="1"/>
    <col min="9474" max="9474" width="24.42578125" style="1308" customWidth="1"/>
    <col min="9475" max="9475" width="15.5703125" style="1308" customWidth="1"/>
    <col min="9476" max="9476" width="106.140625" style="1308" customWidth="1"/>
    <col min="9477" max="9728" width="9.140625" style="1308"/>
    <col min="9729" max="9729" width="35.42578125" style="1308" customWidth="1"/>
    <col min="9730" max="9730" width="24.42578125" style="1308" customWidth="1"/>
    <col min="9731" max="9731" width="15.5703125" style="1308" customWidth="1"/>
    <col min="9732" max="9732" width="106.140625" style="1308" customWidth="1"/>
    <col min="9733" max="9984" width="9.140625" style="1308"/>
    <col min="9985" max="9985" width="35.42578125" style="1308" customWidth="1"/>
    <col min="9986" max="9986" width="24.42578125" style="1308" customWidth="1"/>
    <col min="9987" max="9987" width="15.5703125" style="1308" customWidth="1"/>
    <col min="9988" max="9988" width="106.140625" style="1308" customWidth="1"/>
    <col min="9989" max="10240" width="9.140625" style="1308"/>
    <col min="10241" max="10241" width="35.42578125" style="1308" customWidth="1"/>
    <col min="10242" max="10242" width="24.42578125" style="1308" customWidth="1"/>
    <col min="10243" max="10243" width="15.5703125" style="1308" customWidth="1"/>
    <col min="10244" max="10244" width="106.140625" style="1308" customWidth="1"/>
    <col min="10245" max="10496" width="9.140625" style="1308"/>
    <col min="10497" max="10497" width="35.42578125" style="1308" customWidth="1"/>
    <col min="10498" max="10498" width="24.42578125" style="1308" customWidth="1"/>
    <col min="10499" max="10499" width="15.5703125" style="1308" customWidth="1"/>
    <col min="10500" max="10500" width="106.140625" style="1308" customWidth="1"/>
    <col min="10501" max="10752" width="9.140625" style="1308"/>
    <col min="10753" max="10753" width="35.42578125" style="1308" customWidth="1"/>
    <col min="10754" max="10754" width="24.42578125" style="1308" customWidth="1"/>
    <col min="10755" max="10755" width="15.5703125" style="1308" customWidth="1"/>
    <col min="10756" max="10756" width="106.140625" style="1308" customWidth="1"/>
    <col min="10757" max="11008" width="9.140625" style="1308"/>
    <col min="11009" max="11009" width="35.42578125" style="1308" customWidth="1"/>
    <col min="11010" max="11010" width="24.42578125" style="1308" customWidth="1"/>
    <col min="11011" max="11011" width="15.5703125" style="1308" customWidth="1"/>
    <col min="11012" max="11012" width="106.140625" style="1308" customWidth="1"/>
    <col min="11013" max="11264" width="9.140625" style="1308"/>
    <col min="11265" max="11265" width="35.42578125" style="1308" customWidth="1"/>
    <col min="11266" max="11266" width="24.42578125" style="1308" customWidth="1"/>
    <col min="11267" max="11267" width="15.5703125" style="1308" customWidth="1"/>
    <col min="11268" max="11268" width="106.140625" style="1308" customWidth="1"/>
    <col min="11269" max="11520" width="9.140625" style="1308"/>
    <col min="11521" max="11521" width="35.42578125" style="1308" customWidth="1"/>
    <col min="11522" max="11522" width="24.42578125" style="1308" customWidth="1"/>
    <col min="11523" max="11523" width="15.5703125" style="1308" customWidth="1"/>
    <col min="11524" max="11524" width="106.140625" style="1308" customWidth="1"/>
    <col min="11525" max="11776" width="9.140625" style="1308"/>
    <col min="11777" max="11777" width="35.42578125" style="1308" customWidth="1"/>
    <col min="11778" max="11778" width="24.42578125" style="1308" customWidth="1"/>
    <col min="11779" max="11779" width="15.5703125" style="1308" customWidth="1"/>
    <col min="11780" max="11780" width="106.140625" style="1308" customWidth="1"/>
    <col min="11781" max="12032" width="9.140625" style="1308"/>
    <col min="12033" max="12033" width="35.42578125" style="1308" customWidth="1"/>
    <col min="12034" max="12034" width="24.42578125" style="1308" customWidth="1"/>
    <col min="12035" max="12035" width="15.5703125" style="1308" customWidth="1"/>
    <col min="12036" max="12036" width="106.140625" style="1308" customWidth="1"/>
    <col min="12037" max="12288" width="9.140625" style="1308"/>
    <col min="12289" max="12289" width="35.42578125" style="1308" customWidth="1"/>
    <col min="12290" max="12290" width="24.42578125" style="1308" customWidth="1"/>
    <col min="12291" max="12291" width="15.5703125" style="1308" customWidth="1"/>
    <col min="12292" max="12292" width="106.140625" style="1308" customWidth="1"/>
    <col min="12293" max="12544" width="9.140625" style="1308"/>
    <col min="12545" max="12545" width="35.42578125" style="1308" customWidth="1"/>
    <col min="12546" max="12546" width="24.42578125" style="1308" customWidth="1"/>
    <col min="12547" max="12547" width="15.5703125" style="1308" customWidth="1"/>
    <col min="12548" max="12548" width="106.140625" style="1308" customWidth="1"/>
    <col min="12549" max="12800" width="9.140625" style="1308"/>
    <col min="12801" max="12801" width="35.42578125" style="1308" customWidth="1"/>
    <col min="12802" max="12802" width="24.42578125" style="1308" customWidth="1"/>
    <col min="12803" max="12803" width="15.5703125" style="1308" customWidth="1"/>
    <col min="12804" max="12804" width="106.140625" style="1308" customWidth="1"/>
    <col min="12805" max="13056" width="9.140625" style="1308"/>
    <col min="13057" max="13057" width="35.42578125" style="1308" customWidth="1"/>
    <col min="13058" max="13058" width="24.42578125" style="1308" customWidth="1"/>
    <col min="13059" max="13059" width="15.5703125" style="1308" customWidth="1"/>
    <col min="13060" max="13060" width="106.140625" style="1308" customWidth="1"/>
    <col min="13061" max="13312" width="9.140625" style="1308"/>
    <col min="13313" max="13313" width="35.42578125" style="1308" customWidth="1"/>
    <col min="13314" max="13314" width="24.42578125" style="1308" customWidth="1"/>
    <col min="13315" max="13315" width="15.5703125" style="1308" customWidth="1"/>
    <col min="13316" max="13316" width="106.140625" style="1308" customWidth="1"/>
    <col min="13317" max="13568" width="9.140625" style="1308"/>
    <col min="13569" max="13569" width="35.42578125" style="1308" customWidth="1"/>
    <col min="13570" max="13570" width="24.42578125" style="1308" customWidth="1"/>
    <col min="13571" max="13571" width="15.5703125" style="1308" customWidth="1"/>
    <col min="13572" max="13572" width="106.140625" style="1308" customWidth="1"/>
    <col min="13573" max="13824" width="9.140625" style="1308"/>
    <col min="13825" max="13825" width="35.42578125" style="1308" customWidth="1"/>
    <col min="13826" max="13826" width="24.42578125" style="1308" customWidth="1"/>
    <col min="13827" max="13827" width="15.5703125" style="1308" customWidth="1"/>
    <col min="13828" max="13828" width="106.140625" style="1308" customWidth="1"/>
    <col min="13829" max="14080" width="9.140625" style="1308"/>
    <col min="14081" max="14081" width="35.42578125" style="1308" customWidth="1"/>
    <col min="14082" max="14082" width="24.42578125" style="1308" customWidth="1"/>
    <col min="14083" max="14083" width="15.5703125" style="1308" customWidth="1"/>
    <col min="14084" max="14084" width="106.140625" style="1308" customWidth="1"/>
    <col min="14085" max="14336" width="9.140625" style="1308"/>
    <col min="14337" max="14337" width="35.42578125" style="1308" customWidth="1"/>
    <col min="14338" max="14338" width="24.42578125" style="1308" customWidth="1"/>
    <col min="14339" max="14339" width="15.5703125" style="1308" customWidth="1"/>
    <col min="14340" max="14340" width="106.140625" style="1308" customWidth="1"/>
    <col min="14341" max="14592" width="9.140625" style="1308"/>
    <col min="14593" max="14593" width="35.42578125" style="1308" customWidth="1"/>
    <col min="14594" max="14594" width="24.42578125" style="1308" customWidth="1"/>
    <col min="14595" max="14595" width="15.5703125" style="1308" customWidth="1"/>
    <col min="14596" max="14596" width="106.140625" style="1308" customWidth="1"/>
    <col min="14597" max="14848" width="9.140625" style="1308"/>
    <col min="14849" max="14849" width="35.42578125" style="1308" customWidth="1"/>
    <col min="14850" max="14850" width="24.42578125" style="1308" customWidth="1"/>
    <col min="14851" max="14851" width="15.5703125" style="1308" customWidth="1"/>
    <col min="14852" max="14852" width="106.140625" style="1308" customWidth="1"/>
    <col min="14853" max="15104" width="9.140625" style="1308"/>
    <col min="15105" max="15105" width="35.42578125" style="1308" customWidth="1"/>
    <col min="15106" max="15106" width="24.42578125" style="1308" customWidth="1"/>
    <col min="15107" max="15107" width="15.5703125" style="1308" customWidth="1"/>
    <col min="15108" max="15108" width="106.140625" style="1308" customWidth="1"/>
    <col min="15109" max="15360" width="9.140625" style="1308"/>
    <col min="15361" max="15361" width="35.42578125" style="1308" customWidth="1"/>
    <col min="15362" max="15362" width="24.42578125" style="1308" customWidth="1"/>
    <col min="15363" max="15363" width="15.5703125" style="1308" customWidth="1"/>
    <col min="15364" max="15364" width="106.140625" style="1308" customWidth="1"/>
    <col min="15365" max="15616" width="9.140625" style="1308"/>
    <col min="15617" max="15617" width="35.42578125" style="1308" customWidth="1"/>
    <col min="15618" max="15618" width="24.42578125" style="1308" customWidth="1"/>
    <col min="15619" max="15619" width="15.5703125" style="1308" customWidth="1"/>
    <col min="15620" max="15620" width="106.140625" style="1308" customWidth="1"/>
    <col min="15621" max="15872" width="9.140625" style="1308"/>
    <col min="15873" max="15873" width="35.42578125" style="1308" customWidth="1"/>
    <col min="15874" max="15874" width="24.42578125" style="1308" customWidth="1"/>
    <col min="15875" max="15875" width="15.5703125" style="1308" customWidth="1"/>
    <col min="15876" max="15876" width="106.140625" style="1308" customWidth="1"/>
    <col min="15877" max="16128" width="9.140625" style="1308"/>
    <col min="16129" max="16129" width="35.42578125" style="1308" customWidth="1"/>
    <col min="16130" max="16130" width="24.42578125" style="1308" customWidth="1"/>
    <col min="16131" max="16131" width="15.5703125" style="1308" customWidth="1"/>
    <col min="16132" max="16132" width="106.140625" style="1308" customWidth="1"/>
    <col min="16133" max="16384" width="9.140625" style="1308"/>
  </cols>
  <sheetData>
    <row r="1" spans="1:4" ht="15.75" x14ac:dyDescent="0.25">
      <c r="A1" s="1844" t="s">
        <v>1581</v>
      </c>
      <c r="B1" s="1844"/>
      <c r="C1" s="1844"/>
      <c r="D1" s="1844"/>
    </row>
    <row r="2" spans="1:4" x14ac:dyDescent="0.2">
      <c r="D2" s="1309"/>
    </row>
    <row r="3" spans="1:4" ht="38.25" x14ac:dyDescent="0.2">
      <c r="A3" s="1310" t="s">
        <v>1582</v>
      </c>
      <c r="B3" s="1310" t="s">
        <v>1583</v>
      </c>
      <c r="C3" s="1310" t="s">
        <v>1584</v>
      </c>
      <c r="D3" s="1311" t="s">
        <v>1585</v>
      </c>
    </row>
    <row r="4" spans="1:4" ht="38.25" x14ac:dyDescent="0.2">
      <c r="A4" s="1312" t="s">
        <v>1586</v>
      </c>
      <c r="B4" s="1313" t="s">
        <v>1309</v>
      </c>
      <c r="C4" s="1314"/>
      <c r="D4" s="1315" t="s">
        <v>1587</v>
      </c>
    </row>
    <row r="5" spans="1:4" x14ac:dyDescent="0.2">
      <c r="A5" s="1316"/>
      <c r="B5" s="1314" t="s">
        <v>1588</v>
      </c>
      <c r="C5" s="1314"/>
      <c r="D5" s="1317" t="s">
        <v>1589</v>
      </c>
    </row>
    <row r="6" spans="1:4" x14ac:dyDescent="0.2">
      <c r="A6" s="1316"/>
      <c r="B6" s="1314" t="s">
        <v>1590</v>
      </c>
      <c r="C6" s="1313"/>
      <c r="D6" s="1314" t="s">
        <v>1591</v>
      </c>
    </row>
    <row r="7" spans="1:4" x14ac:dyDescent="0.2">
      <c r="A7" s="1314"/>
      <c r="B7" s="1314" t="s">
        <v>1592</v>
      </c>
      <c r="C7" s="1314"/>
      <c r="D7" s="1314" t="s">
        <v>1593</v>
      </c>
    </row>
    <row r="8" spans="1:4" ht="25.5" x14ac:dyDescent="0.2">
      <c r="A8" s="1314"/>
      <c r="B8" s="1314" t="s">
        <v>1594</v>
      </c>
      <c r="C8" s="1314"/>
      <c r="D8" s="1315" t="s">
        <v>1595</v>
      </c>
    </row>
    <row r="9" spans="1:4" ht="25.5" x14ac:dyDescent="0.2">
      <c r="A9" s="1316"/>
      <c r="B9" s="1314" t="s">
        <v>1596</v>
      </c>
      <c r="C9" s="1316"/>
      <c r="D9" s="1317" t="s">
        <v>1597</v>
      </c>
    </row>
    <row r="10" spans="1:4" ht="25.5" x14ac:dyDescent="0.2">
      <c r="A10" s="1316"/>
      <c r="B10" s="1313" t="s">
        <v>1598</v>
      </c>
      <c r="C10" s="1314"/>
      <c r="D10" s="1317" t="s">
        <v>1599</v>
      </c>
    </row>
    <row r="11" spans="1:4" ht="38.25" x14ac:dyDescent="0.2">
      <c r="A11" s="1316"/>
      <c r="B11" s="1313" t="s">
        <v>1600</v>
      </c>
      <c r="C11" s="1314"/>
      <c r="D11" s="1315" t="s">
        <v>1601</v>
      </c>
    </row>
    <row r="12" spans="1:4" x14ac:dyDescent="0.2">
      <c r="A12" s="1314"/>
      <c r="B12" s="1314" t="s">
        <v>1602</v>
      </c>
      <c r="C12" s="1314"/>
      <c r="D12" s="1317"/>
    </row>
    <row r="13" spans="1:4" x14ac:dyDescent="0.2">
      <c r="A13" s="1314"/>
      <c r="B13" s="1313" t="s">
        <v>1407</v>
      </c>
      <c r="C13" s="1314"/>
      <c r="D13" s="1315" t="s">
        <v>1603</v>
      </c>
    </row>
    <row r="14" spans="1:4" x14ac:dyDescent="0.2">
      <c r="A14" s="1314"/>
      <c r="B14" s="1314" t="s">
        <v>1604</v>
      </c>
      <c r="C14" s="1314"/>
      <c r="D14" s="1317" t="s">
        <v>1605</v>
      </c>
    </row>
    <row r="15" spans="1:4" x14ac:dyDescent="0.2">
      <c r="A15" s="1314"/>
      <c r="B15" s="1314" t="s">
        <v>1606</v>
      </c>
      <c r="C15" s="1314"/>
      <c r="D15" s="1317" t="s">
        <v>1607</v>
      </c>
    </row>
    <row r="16" spans="1:4" x14ac:dyDescent="0.2">
      <c r="A16" s="1314"/>
      <c r="B16" s="1313" t="s">
        <v>298</v>
      </c>
      <c r="C16" s="1314"/>
      <c r="D16" s="1317" t="s">
        <v>1608</v>
      </c>
    </row>
    <row r="17" spans="1:4" ht="25.5" x14ac:dyDescent="0.2">
      <c r="A17" s="1314"/>
      <c r="B17" s="1314" t="s">
        <v>1609</v>
      </c>
      <c r="C17" s="1314"/>
      <c r="D17" s="1317" t="s">
        <v>1610</v>
      </c>
    </row>
    <row r="18" spans="1:4" x14ac:dyDescent="0.2">
      <c r="A18" s="1314"/>
      <c r="B18" s="1313" t="s">
        <v>1611</v>
      </c>
      <c r="C18" s="1314"/>
      <c r="D18" s="1317" t="s">
        <v>1612</v>
      </c>
    </row>
    <row r="19" spans="1:4" ht="25.5" x14ac:dyDescent="0.2">
      <c r="A19" s="1314"/>
      <c r="B19" s="1314" t="s">
        <v>1316</v>
      </c>
      <c r="C19" s="1314"/>
      <c r="D19" s="1317" t="s">
        <v>1613</v>
      </c>
    </row>
    <row r="20" spans="1:4" x14ac:dyDescent="0.2">
      <c r="A20" s="1314"/>
      <c r="B20" s="1313" t="s">
        <v>1311</v>
      </c>
      <c r="C20" s="1314"/>
      <c r="D20" s="1317" t="s">
        <v>1614</v>
      </c>
    </row>
    <row r="21" spans="1:4" x14ac:dyDescent="0.2">
      <c r="A21" s="1314"/>
      <c r="B21" s="1314"/>
      <c r="C21" s="1313" t="s">
        <v>1615</v>
      </c>
      <c r="D21" s="1317" t="s">
        <v>1616</v>
      </c>
    </row>
    <row r="22" spans="1:4" ht="25.5" x14ac:dyDescent="0.2">
      <c r="A22" s="1314"/>
      <c r="B22" s="1314"/>
      <c r="C22" s="1313" t="s">
        <v>1617</v>
      </c>
      <c r="D22" s="1317" t="s">
        <v>1618</v>
      </c>
    </row>
    <row r="23" spans="1:4" ht="25.5" x14ac:dyDescent="0.2">
      <c r="A23" s="1314"/>
      <c r="B23" s="1314"/>
      <c r="C23" s="1313" t="s">
        <v>1619</v>
      </c>
      <c r="D23" s="1318" t="s">
        <v>1620</v>
      </c>
    </row>
    <row r="24" spans="1:4" x14ac:dyDescent="0.2">
      <c r="A24" s="1314"/>
      <c r="B24" s="1314"/>
      <c r="C24" s="1313" t="s">
        <v>1621</v>
      </c>
      <c r="D24" s="1317" t="s">
        <v>1622</v>
      </c>
    </row>
    <row r="25" spans="1:4" ht="25.5" x14ac:dyDescent="0.2">
      <c r="A25" s="1314"/>
      <c r="B25" s="1314"/>
      <c r="C25" s="1313" t="s">
        <v>1623</v>
      </c>
      <c r="D25" s="1317" t="s">
        <v>1624</v>
      </c>
    </row>
    <row r="26" spans="1:4" x14ac:dyDescent="0.2">
      <c r="A26" s="1314"/>
      <c r="B26" s="1314"/>
      <c r="C26" s="1313" t="s">
        <v>1625</v>
      </c>
      <c r="D26" s="1317" t="s">
        <v>1626</v>
      </c>
    </row>
    <row r="27" spans="1:4" x14ac:dyDescent="0.2">
      <c r="A27" s="1314"/>
      <c r="B27" s="1316"/>
      <c r="C27" s="1313" t="s">
        <v>1627</v>
      </c>
      <c r="D27" s="1317" t="s">
        <v>1628</v>
      </c>
    </row>
    <row r="28" spans="1:4" x14ac:dyDescent="0.2">
      <c r="A28" s="1842"/>
      <c r="B28" s="1842"/>
      <c r="C28" s="1842"/>
      <c r="D28" s="1843"/>
    </row>
    <row r="29" spans="1:4" x14ac:dyDescent="0.2">
      <c r="A29" s="1312" t="s">
        <v>1629</v>
      </c>
      <c r="B29" s="1314" t="s">
        <v>1630</v>
      </c>
      <c r="C29" s="1316"/>
      <c r="D29" s="1317" t="s">
        <v>1631</v>
      </c>
    </row>
    <row r="30" spans="1:4" x14ac:dyDescent="0.2">
      <c r="A30" s="1316"/>
      <c r="B30" s="1314" t="s">
        <v>1632</v>
      </c>
      <c r="C30" s="1316"/>
      <c r="D30" s="1317" t="s">
        <v>1633</v>
      </c>
    </row>
    <row r="31" spans="1:4" x14ac:dyDescent="0.2">
      <c r="A31" s="1842"/>
      <c r="B31" s="1842"/>
      <c r="C31" s="1842"/>
      <c r="D31" s="1843"/>
    </row>
    <row r="32" spans="1:4" ht="38.25" x14ac:dyDescent="0.2">
      <c r="A32" s="1312" t="s">
        <v>1634</v>
      </c>
      <c r="B32" s="1313" t="s">
        <v>1635</v>
      </c>
      <c r="C32" s="1316"/>
      <c r="D32" s="1319" t="s">
        <v>1587</v>
      </c>
    </row>
    <row r="33" spans="1:4" x14ac:dyDescent="0.2">
      <c r="A33" s="1312"/>
      <c r="B33" s="1314" t="s">
        <v>1588</v>
      </c>
      <c r="C33" s="1316"/>
      <c r="D33" s="1317" t="s">
        <v>1636</v>
      </c>
    </row>
    <row r="34" spans="1:4" ht="25.5" x14ac:dyDescent="0.2">
      <c r="A34" s="1312"/>
      <c r="B34" s="1314" t="s">
        <v>1637</v>
      </c>
      <c r="C34" s="1314"/>
      <c r="D34" s="1314" t="s">
        <v>1638</v>
      </c>
    </row>
    <row r="35" spans="1:4" x14ac:dyDescent="0.2">
      <c r="A35" s="1312"/>
      <c r="B35" s="1314" t="s">
        <v>1639</v>
      </c>
      <c r="C35" s="1313" t="s">
        <v>1640</v>
      </c>
      <c r="D35" s="1314" t="s">
        <v>1641</v>
      </c>
    </row>
    <row r="36" spans="1:4" ht="25.5" x14ac:dyDescent="0.2">
      <c r="A36" s="1312"/>
      <c r="B36" s="1314" t="s">
        <v>1642</v>
      </c>
      <c r="C36" s="1314"/>
      <c r="D36" s="1315" t="s">
        <v>1643</v>
      </c>
    </row>
    <row r="37" spans="1:4" x14ac:dyDescent="0.2">
      <c r="A37" s="1312"/>
      <c r="B37" s="1314" t="s">
        <v>1644</v>
      </c>
      <c r="C37" s="1314"/>
      <c r="D37" s="1317" t="s">
        <v>1645</v>
      </c>
    </row>
    <row r="38" spans="1:4" ht="25.5" x14ac:dyDescent="0.2">
      <c r="A38" s="1312"/>
      <c r="B38" s="1313" t="s">
        <v>1313</v>
      </c>
      <c r="C38" s="1314"/>
      <c r="D38" s="1317" t="s">
        <v>1646</v>
      </c>
    </row>
    <row r="39" spans="1:4" ht="25.5" x14ac:dyDescent="0.2">
      <c r="A39" s="1320"/>
      <c r="B39" s="1314" t="s">
        <v>1647</v>
      </c>
      <c r="C39" s="1314"/>
      <c r="D39" s="1317" t="s">
        <v>1648</v>
      </c>
    </row>
    <row r="40" spans="1:4" ht="15" x14ac:dyDescent="0.2">
      <c r="A40" s="1320"/>
      <c r="B40" s="1313" t="s">
        <v>298</v>
      </c>
      <c r="C40" s="1314"/>
      <c r="D40" s="1317" t="s">
        <v>1649</v>
      </c>
    </row>
    <row r="41" spans="1:4" ht="15" x14ac:dyDescent="0.2">
      <c r="A41" s="1320"/>
      <c r="B41" s="1314" t="s">
        <v>1650</v>
      </c>
      <c r="C41" s="1314"/>
      <c r="D41" s="1317" t="s">
        <v>1651</v>
      </c>
    </row>
    <row r="42" spans="1:4" ht="15" x14ac:dyDescent="0.2">
      <c r="A42" s="1320"/>
      <c r="B42" s="1314" t="s">
        <v>1652</v>
      </c>
      <c r="C42" s="1314"/>
      <c r="D42" s="1317" t="s">
        <v>1651</v>
      </c>
    </row>
    <row r="43" spans="1:4" ht="15" x14ac:dyDescent="0.2">
      <c r="A43" s="1320"/>
      <c r="B43" s="1313" t="s">
        <v>1653</v>
      </c>
      <c r="C43" s="1314"/>
      <c r="D43" s="1317" t="s">
        <v>1654</v>
      </c>
    </row>
    <row r="44" spans="1:4" ht="15" x14ac:dyDescent="0.2">
      <c r="A44" s="1320"/>
      <c r="B44" s="1314" t="s">
        <v>1655</v>
      </c>
      <c r="C44" s="1314"/>
      <c r="D44" s="1317" t="s">
        <v>1656</v>
      </c>
    </row>
    <row r="45" spans="1:4" ht="15" x14ac:dyDescent="0.2">
      <c r="A45" s="1320"/>
      <c r="B45" s="1313" t="s">
        <v>1407</v>
      </c>
      <c r="C45" s="1314"/>
      <c r="D45" s="1315" t="s">
        <v>1603</v>
      </c>
    </row>
    <row r="46" spans="1:4" ht="15" x14ac:dyDescent="0.2">
      <c r="A46" s="1320"/>
      <c r="B46" s="1314" t="s">
        <v>1604</v>
      </c>
      <c r="C46" s="1314"/>
      <c r="D46" s="1317"/>
    </row>
    <row r="47" spans="1:4" ht="15" x14ac:dyDescent="0.2">
      <c r="A47" s="1320"/>
      <c r="B47" s="1314" t="s">
        <v>1606</v>
      </c>
      <c r="C47" s="1314"/>
      <c r="D47" s="1317"/>
    </row>
    <row r="48" spans="1:4" ht="15" x14ac:dyDescent="0.2">
      <c r="A48" s="1320"/>
      <c r="B48" s="1314" t="s">
        <v>1657</v>
      </c>
      <c r="C48" s="1314"/>
      <c r="D48" s="1317"/>
    </row>
    <row r="49" spans="1:4" ht="25.5" x14ac:dyDescent="0.2">
      <c r="A49" s="1320"/>
      <c r="B49" s="1313" t="s">
        <v>1315</v>
      </c>
      <c r="C49" s="1314"/>
      <c r="D49" s="1317" t="s">
        <v>1658</v>
      </c>
    </row>
    <row r="50" spans="1:4" ht="15" x14ac:dyDescent="0.2">
      <c r="A50" s="1320"/>
      <c r="B50" s="1314" t="s">
        <v>1311</v>
      </c>
      <c r="C50" s="1314"/>
      <c r="D50" s="1317" t="s">
        <v>1614</v>
      </c>
    </row>
    <row r="51" spans="1:4" ht="25.5" x14ac:dyDescent="0.2">
      <c r="A51" s="1320"/>
      <c r="B51" s="1314" t="s">
        <v>1659</v>
      </c>
      <c r="C51" s="1314"/>
      <c r="D51" s="1317" t="s">
        <v>1660</v>
      </c>
    </row>
    <row r="52" spans="1:4" ht="15" x14ac:dyDescent="0.2">
      <c r="A52" s="1320"/>
      <c r="B52" s="1314"/>
      <c r="C52" s="1313" t="s">
        <v>1615</v>
      </c>
      <c r="D52" s="1317" t="s">
        <v>1661</v>
      </c>
    </row>
    <row r="53" spans="1:4" ht="15" x14ac:dyDescent="0.2">
      <c r="A53" s="1320"/>
      <c r="B53" s="1314"/>
      <c r="C53" s="1313" t="s">
        <v>1662</v>
      </c>
      <c r="D53" s="1317" t="s">
        <v>1663</v>
      </c>
    </row>
    <row r="54" spans="1:4" ht="15" x14ac:dyDescent="0.2">
      <c r="A54" s="1320"/>
      <c r="B54" s="1314"/>
      <c r="C54" s="1313" t="s">
        <v>1617</v>
      </c>
      <c r="D54" s="1317" t="s">
        <v>1605</v>
      </c>
    </row>
    <row r="55" spans="1:4" ht="25.5" x14ac:dyDescent="0.2">
      <c r="A55" s="1320"/>
      <c r="B55" s="1314"/>
      <c r="C55" s="1313" t="s">
        <v>1664</v>
      </c>
      <c r="D55" s="1317" t="s">
        <v>1665</v>
      </c>
    </row>
    <row r="56" spans="1:4" x14ac:dyDescent="0.2">
      <c r="A56" s="1316"/>
      <c r="B56" s="1314"/>
      <c r="C56" s="1313" t="s">
        <v>1666</v>
      </c>
      <c r="D56" s="1317" t="s">
        <v>1667</v>
      </c>
    </row>
    <row r="57" spans="1:4" x14ac:dyDescent="0.2">
      <c r="A57" s="1842"/>
      <c r="B57" s="1842"/>
      <c r="C57" s="1842"/>
      <c r="D57" s="1843"/>
    </row>
    <row r="58" spans="1:4" x14ac:dyDescent="0.2">
      <c r="A58" s="1312" t="s">
        <v>1668</v>
      </c>
      <c r="B58" s="1314" t="s">
        <v>1669</v>
      </c>
      <c r="C58" s="1316"/>
      <c r="D58" s="1317" t="s">
        <v>1670</v>
      </c>
    </row>
    <row r="59" spans="1:4" x14ac:dyDescent="0.2">
      <c r="A59" s="1316"/>
      <c r="B59" s="1314" t="s">
        <v>1671</v>
      </c>
      <c r="C59" s="1316"/>
      <c r="D59" s="1317" t="s">
        <v>1672</v>
      </c>
    </row>
    <row r="60" spans="1:4" x14ac:dyDescent="0.2">
      <c r="A60" s="1842"/>
      <c r="B60" s="1842"/>
      <c r="C60" s="1842"/>
      <c r="D60" s="1843"/>
    </row>
    <row r="61" spans="1:4" x14ac:dyDescent="0.2">
      <c r="A61" s="1312" t="s">
        <v>1673</v>
      </c>
      <c r="B61" s="1313" t="s">
        <v>1674</v>
      </c>
      <c r="C61" s="1314"/>
      <c r="D61" s="1317" t="s">
        <v>1675</v>
      </c>
    </row>
    <row r="62" spans="1:4" x14ac:dyDescent="0.2">
      <c r="A62" s="1312"/>
      <c r="B62" s="1314" t="s">
        <v>1676</v>
      </c>
      <c r="C62" s="1314"/>
      <c r="D62" s="1317" t="s">
        <v>1677</v>
      </c>
    </row>
    <row r="63" spans="1:4" x14ac:dyDescent="0.2">
      <c r="A63" s="1312"/>
      <c r="B63" s="1314" t="s">
        <v>1678</v>
      </c>
      <c r="C63" s="1314"/>
      <c r="D63" s="1317" t="s">
        <v>1679</v>
      </c>
    </row>
    <row r="64" spans="1:4" ht="25.5" x14ac:dyDescent="0.2">
      <c r="A64" s="1312"/>
      <c r="B64" s="1313" t="s">
        <v>1680</v>
      </c>
      <c r="C64" s="727"/>
      <c r="D64" s="1317" t="s">
        <v>1681</v>
      </c>
    </row>
    <row r="65" spans="1:4" x14ac:dyDescent="0.2">
      <c r="A65" s="1312"/>
      <c r="B65" s="1314" t="s">
        <v>1682</v>
      </c>
      <c r="C65" s="1314"/>
      <c r="D65" s="1317" t="s">
        <v>1683</v>
      </c>
    </row>
    <row r="66" spans="1:4" x14ac:dyDescent="0.2">
      <c r="A66" s="1312"/>
      <c r="B66" s="1314" t="s">
        <v>1684</v>
      </c>
      <c r="C66" s="1314"/>
      <c r="D66" s="1317" t="s">
        <v>1685</v>
      </c>
    </row>
    <row r="67" spans="1:4" ht="15" x14ac:dyDescent="0.2">
      <c r="A67" s="1320"/>
      <c r="B67" s="1314" t="s">
        <v>1686</v>
      </c>
      <c r="C67" s="1316"/>
      <c r="D67" s="1317" t="s">
        <v>1687</v>
      </c>
    </row>
    <row r="68" spans="1:4" ht="25.5" x14ac:dyDescent="0.2">
      <c r="A68" s="1316"/>
      <c r="B68" s="1313" t="s">
        <v>1688</v>
      </c>
      <c r="C68" s="1316"/>
      <c r="D68" s="1317" t="s">
        <v>1689</v>
      </c>
    </row>
    <row r="69" spans="1:4" ht="25.5" x14ac:dyDescent="0.2">
      <c r="A69" s="1316"/>
      <c r="B69" s="1313" t="s">
        <v>1690</v>
      </c>
      <c r="C69" s="1316"/>
      <c r="D69" s="1317" t="s">
        <v>1691</v>
      </c>
    </row>
    <row r="70" spans="1:4" x14ac:dyDescent="0.2">
      <c r="A70" s="1316"/>
      <c r="B70" s="1313" t="s">
        <v>1692</v>
      </c>
      <c r="C70" s="1316"/>
      <c r="D70" s="1317" t="s">
        <v>1693</v>
      </c>
    </row>
    <row r="71" spans="1:4" x14ac:dyDescent="0.2">
      <c r="A71" s="1316"/>
      <c r="B71" s="1321" t="s">
        <v>1694</v>
      </c>
      <c r="C71" s="1316"/>
      <c r="D71" s="1317" t="s">
        <v>1695</v>
      </c>
    </row>
    <row r="72" spans="1:4" x14ac:dyDescent="0.2">
      <c r="A72" s="1316"/>
      <c r="B72" s="1314" t="s">
        <v>1696</v>
      </c>
      <c r="C72" s="1316"/>
      <c r="D72" s="1317" t="s">
        <v>1697</v>
      </c>
    </row>
    <row r="73" spans="1:4" x14ac:dyDescent="0.2">
      <c r="A73" s="1316"/>
      <c r="B73" s="1313" t="s">
        <v>1698</v>
      </c>
      <c r="C73" s="1316"/>
      <c r="D73" s="1317" t="s">
        <v>1699</v>
      </c>
    </row>
    <row r="74" spans="1:4" x14ac:dyDescent="0.2">
      <c r="A74" s="1316"/>
      <c r="B74" s="1314" t="s">
        <v>1700</v>
      </c>
      <c r="C74" s="1316"/>
      <c r="D74" s="1317" t="s">
        <v>1701</v>
      </c>
    </row>
    <row r="75" spans="1:4" ht="25.5" x14ac:dyDescent="0.2">
      <c r="A75" s="1316"/>
      <c r="B75" s="1313" t="s">
        <v>1702</v>
      </c>
      <c r="C75" s="1316"/>
      <c r="D75" s="1317" t="s">
        <v>1703</v>
      </c>
    </row>
    <row r="76" spans="1:4" x14ac:dyDescent="0.2">
      <c r="A76" s="1316"/>
      <c r="B76" s="1314" t="s">
        <v>1704</v>
      </c>
      <c r="C76" s="1316"/>
      <c r="D76" s="1317" t="s">
        <v>1705</v>
      </c>
    </row>
    <row r="77" spans="1:4" ht="38.25" x14ac:dyDescent="0.2">
      <c r="A77" s="1316"/>
      <c r="B77" s="1314" t="s">
        <v>1706</v>
      </c>
      <c r="C77" s="1316"/>
      <c r="D77" s="1317" t="s">
        <v>1707</v>
      </c>
    </row>
    <row r="78" spans="1:4" x14ac:dyDescent="0.2">
      <c r="A78" s="1316"/>
      <c r="B78" s="1314"/>
      <c r="C78" s="1313" t="s">
        <v>1708</v>
      </c>
      <c r="D78" s="1317" t="s">
        <v>1709</v>
      </c>
    </row>
    <row r="79" spans="1:4" x14ac:dyDescent="0.2">
      <c r="A79" s="1316"/>
      <c r="B79" s="1314"/>
      <c r="C79" s="1313" t="s">
        <v>1710</v>
      </c>
      <c r="D79" s="1317" t="s">
        <v>1711</v>
      </c>
    </row>
    <row r="80" spans="1:4" x14ac:dyDescent="0.2">
      <c r="A80" s="1316"/>
      <c r="B80" s="1316"/>
      <c r="C80" s="1313" t="s">
        <v>1712</v>
      </c>
      <c r="D80" s="1317" t="s">
        <v>1713</v>
      </c>
    </row>
    <row r="81" spans="1:4" x14ac:dyDescent="0.2">
      <c r="A81" s="1841"/>
      <c r="B81" s="1842"/>
      <c r="C81" s="1842"/>
      <c r="D81" s="1843"/>
    </row>
    <row r="82" spans="1:4" x14ac:dyDescent="0.2">
      <c r="A82" s="1312" t="s">
        <v>1714</v>
      </c>
      <c r="B82" s="1313" t="s">
        <v>1309</v>
      </c>
      <c r="C82" s="1314"/>
      <c r="D82" s="1317" t="s">
        <v>1715</v>
      </c>
    </row>
    <row r="83" spans="1:4" ht="25.5" x14ac:dyDescent="0.2">
      <c r="A83" s="1320"/>
      <c r="B83" s="1313" t="s">
        <v>1316</v>
      </c>
      <c r="C83" s="1316"/>
      <c r="D83" s="1317" t="s">
        <v>1716</v>
      </c>
    </row>
    <row r="84" spans="1:4" ht="15" x14ac:dyDescent="0.2">
      <c r="A84" s="1320"/>
      <c r="B84" s="1314" t="s">
        <v>1717</v>
      </c>
      <c r="C84" s="1314"/>
      <c r="D84" s="1317"/>
    </row>
    <row r="85" spans="1:4" ht="25.5" x14ac:dyDescent="0.2">
      <c r="A85" s="1320"/>
      <c r="B85" s="1313" t="s">
        <v>1311</v>
      </c>
      <c r="C85" s="1314"/>
      <c r="D85" s="1317" t="s">
        <v>1703</v>
      </c>
    </row>
    <row r="86" spans="1:4" ht="25.5" x14ac:dyDescent="0.2">
      <c r="A86" s="1320"/>
      <c r="B86" s="1313" t="s">
        <v>1313</v>
      </c>
      <c r="C86" s="1314"/>
      <c r="D86" s="1317" t="s">
        <v>1646</v>
      </c>
    </row>
    <row r="87" spans="1:4" ht="15" x14ac:dyDescent="0.2">
      <c r="A87" s="1320"/>
      <c r="B87" s="1314" t="s">
        <v>1718</v>
      </c>
      <c r="C87" s="1314"/>
      <c r="D87" s="1317" t="s">
        <v>1719</v>
      </c>
    </row>
    <row r="88" spans="1:4" ht="15" x14ac:dyDescent="0.2">
      <c r="A88" s="1320"/>
      <c r="B88" s="1314" t="s">
        <v>1315</v>
      </c>
      <c r="C88" s="1314"/>
      <c r="D88" s="1317" t="s">
        <v>1720</v>
      </c>
    </row>
    <row r="89" spans="1:4" ht="15" x14ac:dyDescent="0.2">
      <c r="A89" s="1320"/>
      <c r="B89" s="1313" t="s">
        <v>298</v>
      </c>
      <c r="C89" s="1314"/>
      <c r="D89" s="1317" t="s">
        <v>1721</v>
      </c>
    </row>
    <row r="90" spans="1:4" x14ac:dyDescent="0.2">
      <c r="A90" s="1316"/>
      <c r="B90" s="1313" t="s">
        <v>1698</v>
      </c>
      <c r="C90" s="1316"/>
      <c r="D90" s="1317" t="s">
        <v>1722</v>
      </c>
    </row>
    <row r="91" spans="1:4" x14ac:dyDescent="0.2">
      <c r="A91" s="1316"/>
      <c r="B91" s="1314" t="s">
        <v>1317</v>
      </c>
      <c r="C91" s="1316"/>
      <c r="D91" s="1317" t="s">
        <v>1723</v>
      </c>
    </row>
    <row r="92" spans="1:4" x14ac:dyDescent="0.2">
      <c r="A92" s="1316"/>
      <c r="B92" s="1313" t="s">
        <v>1724</v>
      </c>
      <c r="C92" s="1314"/>
      <c r="D92" s="1317" t="s">
        <v>1725</v>
      </c>
    </row>
    <row r="93" spans="1:4" x14ac:dyDescent="0.2">
      <c r="A93" s="1316"/>
      <c r="B93" s="1313" t="s">
        <v>1726</v>
      </c>
      <c r="C93" s="1314"/>
      <c r="D93" s="1317" t="s">
        <v>1727</v>
      </c>
    </row>
    <row r="94" spans="1:4" x14ac:dyDescent="0.2">
      <c r="A94" s="1316"/>
      <c r="B94" s="1313" t="s">
        <v>1728</v>
      </c>
      <c r="C94" s="1314"/>
      <c r="D94" s="1317" t="s">
        <v>1729</v>
      </c>
    </row>
    <row r="95" spans="1:4" x14ac:dyDescent="0.2">
      <c r="A95" s="1316"/>
      <c r="B95" s="1313" t="s">
        <v>1332</v>
      </c>
      <c r="C95" s="1314"/>
      <c r="D95" s="1317" t="s">
        <v>1730</v>
      </c>
    </row>
    <row r="96" spans="1:4" ht="25.5" x14ac:dyDescent="0.2">
      <c r="A96" s="1316"/>
      <c r="B96" s="1313"/>
      <c r="C96" s="1313" t="s">
        <v>1731</v>
      </c>
      <c r="D96" s="1317" t="s">
        <v>1732</v>
      </c>
    </row>
    <row r="97" spans="1:4" x14ac:dyDescent="0.2">
      <c r="A97" s="1316"/>
      <c r="B97" s="1316"/>
      <c r="C97" s="1313" t="s">
        <v>1733</v>
      </c>
      <c r="D97" s="1317" t="s">
        <v>1734</v>
      </c>
    </row>
  </sheetData>
  <mergeCells count="6">
    <mergeCell ref="A81:D81"/>
    <mergeCell ref="A1:D1"/>
    <mergeCell ref="A28:D28"/>
    <mergeCell ref="A31:D31"/>
    <mergeCell ref="A57:D57"/>
    <mergeCell ref="A60:D60"/>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O132"/>
  <sheetViews>
    <sheetView rightToLeft="1" topLeftCell="A3" workbookViewId="0">
      <pane xSplit="3" ySplit="3" topLeftCell="BD103" activePane="bottomRight" state="frozen"/>
      <selection activeCell="A4" sqref="A4"/>
      <selection pane="topRight" activeCell="D4" sqref="D4"/>
      <selection pane="bottomLeft" activeCell="A6" sqref="A6"/>
      <selection pane="bottomRight" activeCell="D130" sqref="D130:BF132"/>
    </sheetView>
  </sheetViews>
  <sheetFormatPr defaultRowHeight="12.75" x14ac:dyDescent="0.2"/>
  <cols>
    <col min="1" max="1" width="27.42578125" style="374" bestFit="1" customWidth="1"/>
    <col min="2" max="2" width="27.42578125" style="374" customWidth="1"/>
    <col min="3" max="3" width="43.140625" style="374" customWidth="1"/>
    <col min="4" max="4" width="12.140625" style="374" customWidth="1"/>
    <col min="5" max="5" width="18.5703125" style="374" customWidth="1"/>
    <col min="6" max="6" width="14.5703125" style="374" customWidth="1"/>
    <col min="7" max="7" width="11.28515625" style="374" customWidth="1"/>
    <col min="8" max="8" width="12.140625" style="374" customWidth="1"/>
    <col min="9" max="9" width="12.42578125" style="374" customWidth="1"/>
    <col min="10" max="10" width="14.140625" style="374" customWidth="1"/>
    <col min="11" max="11" width="13.28515625" style="374" bestFit="1" customWidth="1"/>
    <col min="12" max="12" width="10.85546875" style="374" bestFit="1" customWidth="1"/>
    <col min="13" max="13" width="9.42578125" style="374" customWidth="1"/>
    <col min="14" max="15" width="9.5703125" style="374" bestFit="1" customWidth="1"/>
    <col min="16" max="16" width="9.28515625" style="374" bestFit="1" customWidth="1"/>
    <col min="17" max="23" width="9.5703125" style="374" bestFit="1" customWidth="1"/>
    <col min="24" max="24" width="9.28515625" style="374" bestFit="1" customWidth="1"/>
    <col min="25" max="25" width="9.5703125" style="374" bestFit="1" customWidth="1"/>
    <col min="26" max="27" width="9.28515625" style="374" bestFit="1" customWidth="1"/>
    <col min="28" max="28" width="9.5703125" style="374" bestFit="1" customWidth="1"/>
    <col min="29" max="29" width="9.28515625" style="374" bestFit="1" customWidth="1"/>
    <col min="30" max="30" width="9.5703125" style="374" bestFit="1" customWidth="1"/>
    <col min="31" max="31" width="9.28515625" style="374" bestFit="1" customWidth="1"/>
    <col min="32" max="32" width="9.5703125" style="374" bestFit="1" customWidth="1"/>
    <col min="33" max="38" width="9.28515625" style="374" bestFit="1" customWidth="1"/>
    <col min="39" max="41" width="9.5703125" style="374" bestFit="1" customWidth="1"/>
    <col min="42" max="44" width="9.28515625" style="374" bestFit="1" customWidth="1"/>
    <col min="45" max="45" width="9.5703125" style="374" bestFit="1" customWidth="1"/>
    <col min="46" max="48" width="9.28515625" style="374" bestFit="1" customWidth="1"/>
    <col min="49" max="52" width="9.5703125" style="374" bestFit="1" customWidth="1"/>
    <col min="53" max="54" width="9.28515625" style="374" bestFit="1" customWidth="1"/>
    <col min="55" max="55" width="14.140625" style="374" bestFit="1" customWidth="1"/>
    <col min="56" max="57" width="9.5703125" style="374" bestFit="1" customWidth="1"/>
    <col min="58" max="58" width="9.28515625" style="374" bestFit="1" customWidth="1"/>
    <col min="59" max="256" width="9.140625" style="374"/>
    <col min="257" max="257" width="27.42578125" style="374" bestFit="1" customWidth="1"/>
    <col min="258" max="258" width="27.42578125" style="374" customWidth="1"/>
    <col min="259" max="259" width="43.140625" style="374" customWidth="1"/>
    <col min="260" max="260" width="12.140625" style="374" customWidth="1"/>
    <col min="261" max="261" width="18.5703125" style="374" customWidth="1"/>
    <col min="262" max="262" width="14.5703125" style="374" customWidth="1"/>
    <col min="263" max="263" width="11.28515625" style="374" customWidth="1"/>
    <col min="264" max="264" width="12.140625" style="374" customWidth="1"/>
    <col min="265" max="265" width="12.42578125" style="374" customWidth="1"/>
    <col min="266" max="266" width="14.140625" style="374" customWidth="1"/>
    <col min="267" max="267" width="13.28515625" style="374" bestFit="1" customWidth="1"/>
    <col min="268" max="268" width="10.85546875" style="374" bestFit="1" customWidth="1"/>
    <col min="269" max="269" width="9.42578125" style="374" customWidth="1"/>
    <col min="270" max="271" width="9.5703125" style="374" bestFit="1" customWidth="1"/>
    <col min="272" max="272" width="9.28515625" style="374" bestFit="1" customWidth="1"/>
    <col min="273" max="279" width="9.5703125" style="374" bestFit="1" customWidth="1"/>
    <col min="280" max="280" width="9.28515625" style="374" bestFit="1" customWidth="1"/>
    <col min="281" max="281" width="9.5703125" style="374" bestFit="1" customWidth="1"/>
    <col min="282" max="283" width="9.28515625" style="374" bestFit="1" customWidth="1"/>
    <col min="284" max="284" width="9.5703125" style="374" bestFit="1" customWidth="1"/>
    <col min="285" max="285" width="9.28515625" style="374" bestFit="1" customWidth="1"/>
    <col min="286" max="286" width="9.5703125" style="374" bestFit="1" customWidth="1"/>
    <col min="287" max="287" width="9.28515625" style="374" bestFit="1" customWidth="1"/>
    <col min="288" max="288" width="9.5703125" style="374" bestFit="1" customWidth="1"/>
    <col min="289" max="294" width="9.28515625" style="374" bestFit="1" customWidth="1"/>
    <col min="295" max="297" width="9.5703125" style="374" bestFit="1" customWidth="1"/>
    <col min="298" max="300" width="9.28515625" style="374" bestFit="1" customWidth="1"/>
    <col min="301" max="301" width="9.5703125" style="374" bestFit="1" customWidth="1"/>
    <col min="302" max="304" width="9.28515625" style="374" bestFit="1" customWidth="1"/>
    <col min="305" max="308" width="9.5703125" style="374" bestFit="1" customWidth="1"/>
    <col min="309" max="310" width="9.28515625" style="374" bestFit="1" customWidth="1"/>
    <col min="311" max="311" width="14.140625" style="374" bestFit="1" customWidth="1"/>
    <col min="312" max="313" width="9.5703125" style="374" bestFit="1" customWidth="1"/>
    <col min="314" max="314" width="9.28515625" style="374" bestFit="1" customWidth="1"/>
    <col min="315" max="512" width="9.140625" style="374"/>
    <col min="513" max="513" width="27.42578125" style="374" bestFit="1" customWidth="1"/>
    <col min="514" max="514" width="27.42578125" style="374" customWidth="1"/>
    <col min="515" max="515" width="43.140625" style="374" customWidth="1"/>
    <col min="516" max="516" width="12.140625" style="374" customWidth="1"/>
    <col min="517" max="517" width="18.5703125" style="374" customWidth="1"/>
    <col min="518" max="518" width="14.5703125" style="374" customWidth="1"/>
    <col min="519" max="519" width="11.28515625" style="374" customWidth="1"/>
    <col min="520" max="520" width="12.140625" style="374" customWidth="1"/>
    <col min="521" max="521" width="12.42578125" style="374" customWidth="1"/>
    <col min="522" max="522" width="14.140625" style="374" customWidth="1"/>
    <col min="523" max="523" width="13.28515625" style="374" bestFit="1" customWidth="1"/>
    <col min="524" max="524" width="10.85546875" style="374" bestFit="1" customWidth="1"/>
    <col min="525" max="525" width="9.42578125" style="374" customWidth="1"/>
    <col min="526" max="527" width="9.5703125" style="374" bestFit="1" customWidth="1"/>
    <col min="528" max="528" width="9.28515625" style="374" bestFit="1" customWidth="1"/>
    <col min="529" max="535" width="9.5703125" style="374" bestFit="1" customWidth="1"/>
    <col min="536" max="536" width="9.28515625" style="374" bestFit="1" customWidth="1"/>
    <col min="537" max="537" width="9.5703125" style="374" bestFit="1" customWidth="1"/>
    <col min="538" max="539" width="9.28515625" style="374" bestFit="1" customWidth="1"/>
    <col min="540" max="540" width="9.5703125" style="374" bestFit="1" customWidth="1"/>
    <col min="541" max="541" width="9.28515625" style="374" bestFit="1" customWidth="1"/>
    <col min="542" max="542" width="9.5703125" style="374" bestFit="1" customWidth="1"/>
    <col min="543" max="543" width="9.28515625" style="374" bestFit="1" customWidth="1"/>
    <col min="544" max="544" width="9.5703125" style="374" bestFit="1" customWidth="1"/>
    <col min="545" max="550" width="9.28515625" style="374" bestFit="1" customWidth="1"/>
    <col min="551" max="553" width="9.5703125" style="374" bestFit="1" customWidth="1"/>
    <col min="554" max="556" width="9.28515625" style="374" bestFit="1" customWidth="1"/>
    <col min="557" max="557" width="9.5703125" style="374" bestFit="1" customWidth="1"/>
    <col min="558" max="560" width="9.28515625" style="374" bestFit="1" customWidth="1"/>
    <col min="561" max="564" width="9.5703125" style="374" bestFit="1" customWidth="1"/>
    <col min="565" max="566" width="9.28515625" style="374" bestFit="1" customWidth="1"/>
    <col min="567" max="567" width="14.140625" style="374" bestFit="1" customWidth="1"/>
    <col min="568" max="569" width="9.5703125" style="374" bestFit="1" customWidth="1"/>
    <col min="570" max="570" width="9.28515625" style="374" bestFit="1" customWidth="1"/>
    <col min="571" max="768" width="9.140625" style="374"/>
    <col min="769" max="769" width="27.42578125" style="374" bestFit="1" customWidth="1"/>
    <col min="770" max="770" width="27.42578125" style="374" customWidth="1"/>
    <col min="771" max="771" width="43.140625" style="374" customWidth="1"/>
    <col min="772" max="772" width="12.140625" style="374" customWidth="1"/>
    <col min="773" max="773" width="18.5703125" style="374" customWidth="1"/>
    <col min="774" max="774" width="14.5703125" style="374" customWidth="1"/>
    <col min="775" max="775" width="11.28515625" style="374" customWidth="1"/>
    <col min="776" max="776" width="12.140625" style="374" customWidth="1"/>
    <col min="777" max="777" width="12.42578125" style="374" customWidth="1"/>
    <col min="778" max="778" width="14.140625" style="374" customWidth="1"/>
    <col min="779" max="779" width="13.28515625" style="374" bestFit="1" customWidth="1"/>
    <col min="780" max="780" width="10.85546875" style="374" bestFit="1" customWidth="1"/>
    <col min="781" max="781" width="9.42578125" style="374" customWidth="1"/>
    <col min="782" max="783" width="9.5703125" style="374" bestFit="1" customWidth="1"/>
    <col min="784" max="784" width="9.28515625" style="374" bestFit="1" customWidth="1"/>
    <col min="785" max="791" width="9.5703125" style="374" bestFit="1" customWidth="1"/>
    <col min="792" max="792" width="9.28515625" style="374" bestFit="1" customWidth="1"/>
    <col min="793" max="793" width="9.5703125" style="374" bestFit="1" customWidth="1"/>
    <col min="794" max="795" width="9.28515625" style="374" bestFit="1" customWidth="1"/>
    <col min="796" max="796" width="9.5703125" style="374" bestFit="1" customWidth="1"/>
    <col min="797" max="797" width="9.28515625" style="374" bestFit="1" customWidth="1"/>
    <col min="798" max="798" width="9.5703125" style="374" bestFit="1" customWidth="1"/>
    <col min="799" max="799" width="9.28515625" style="374" bestFit="1" customWidth="1"/>
    <col min="800" max="800" width="9.5703125" style="374" bestFit="1" customWidth="1"/>
    <col min="801" max="806" width="9.28515625" style="374" bestFit="1" customWidth="1"/>
    <col min="807" max="809" width="9.5703125" style="374" bestFit="1" customWidth="1"/>
    <col min="810" max="812" width="9.28515625" style="374" bestFit="1" customWidth="1"/>
    <col min="813" max="813" width="9.5703125" style="374" bestFit="1" customWidth="1"/>
    <col min="814" max="816" width="9.28515625" style="374" bestFit="1" customWidth="1"/>
    <col min="817" max="820" width="9.5703125" style="374" bestFit="1" customWidth="1"/>
    <col min="821" max="822" width="9.28515625" style="374" bestFit="1" customWidth="1"/>
    <col min="823" max="823" width="14.140625" style="374" bestFit="1" customWidth="1"/>
    <col min="824" max="825" width="9.5703125" style="374" bestFit="1" customWidth="1"/>
    <col min="826" max="826" width="9.28515625" style="374" bestFit="1" customWidth="1"/>
    <col min="827" max="1024" width="9.140625" style="374"/>
    <col min="1025" max="1025" width="27.42578125" style="374" bestFit="1" customWidth="1"/>
    <col min="1026" max="1026" width="27.42578125" style="374" customWidth="1"/>
    <col min="1027" max="1027" width="43.140625" style="374" customWidth="1"/>
    <col min="1028" max="1028" width="12.140625" style="374" customWidth="1"/>
    <col min="1029" max="1029" width="18.5703125" style="374" customWidth="1"/>
    <col min="1030" max="1030" width="14.5703125" style="374" customWidth="1"/>
    <col min="1031" max="1031" width="11.28515625" style="374" customWidth="1"/>
    <col min="1032" max="1032" width="12.140625" style="374" customWidth="1"/>
    <col min="1033" max="1033" width="12.42578125" style="374" customWidth="1"/>
    <col min="1034" max="1034" width="14.140625" style="374" customWidth="1"/>
    <col min="1035" max="1035" width="13.28515625" style="374" bestFit="1" customWidth="1"/>
    <col min="1036" max="1036" width="10.85546875" style="374" bestFit="1" customWidth="1"/>
    <col min="1037" max="1037" width="9.42578125" style="374" customWidth="1"/>
    <col min="1038" max="1039" width="9.5703125" style="374" bestFit="1" customWidth="1"/>
    <col min="1040" max="1040" width="9.28515625" style="374" bestFit="1" customWidth="1"/>
    <col min="1041" max="1047" width="9.5703125" style="374" bestFit="1" customWidth="1"/>
    <col min="1048" max="1048" width="9.28515625" style="374" bestFit="1" customWidth="1"/>
    <col min="1049" max="1049" width="9.5703125" style="374" bestFit="1" customWidth="1"/>
    <col min="1050" max="1051" width="9.28515625" style="374" bestFit="1" customWidth="1"/>
    <col min="1052" max="1052" width="9.5703125" style="374" bestFit="1" customWidth="1"/>
    <col min="1053" max="1053" width="9.28515625" style="374" bestFit="1" customWidth="1"/>
    <col min="1054" max="1054" width="9.5703125" style="374" bestFit="1" customWidth="1"/>
    <col min="1055" max="1055" width="9.28515625" style="374" bestFit="1" customWidth="1"/>
    <col min="1056" max="1056" width="9.5703125" style="374" bestFit="1" customWidth="1"/>
    <col min="1057" max="1062" width="9.28515625" style="374" bestFit="1" customWidth="1"/>
    <col min="1063" max="1065" width="9.5703125" style="374" bestFit="1" customWidth="1"/>
    <col min="1066" max="1068" width="9.28515625" style="374" bestFit="1" customWidth="1"/>
    <col min="1069" max="1069" width="9.5703125" style="374" bestFit="1" customWidth="1"/>
    <col min="1070" max="1072" width="9.28515625" style="374" bestFit="1" customWidth="1"/>
    <col min="1073" max="1076" width="9.5703125" style="374" bestFit="1" customWidth="1"/>
    <col min="1077" max="1078" width="9.28515625" style="374" bestFit="1" customWidth="1"/>
    <col min="1079" max="1079" width="14.140625" style="374" bestFit="1" customWidth="1"/>
    <col min="1080" max="1081" width="9.5703125" style="374" bestFit="1" customWidth="1"/>
    <col min="1082" max="1082" width="9.28515625" style="374" bestFit="1" customWidth="1"/>
    <col min="1083" max="1280" width="9.140625" style="374"/>
    <col min="1281" max="1281" width="27.42578125" style="374" bestFit="1" customWidth="1"/>
    <col min="1282" max="1282" width="27.42578125" style="374" customWidth="1"/>
    <col min="1283" max="1283" width="43.140625" style="374" customWidth="1"/>
    <col min="1284" max="1284" width="12.140625" style="374" customWidth="1"/>
    <col min="1285" max="1285" width="18.5703125" style="374" customWidth="1"/>
    <col min="1286" max="1286" width="14.5703125" style="374" customWidth="1"/>
    <col min="1287" max="1287" width="11.28515625" style="374" customWidth="1"/>
    <col min="1288" max="1288" width="12.140625" style="374" customWidth="1"/>
    <col min="1289" max="1289" width="12.42578125" style="374" customWidth="1"/>
    <col min="1290" max="1290" width="14.140625" style="374" customWidth="1"/>
    <col min="1291" max="1291" width="13.28515625" style="374" bestFit="1" customWidth="1"/>
    <col min="1292" max="1292" width="10.85546875" style="374" bestFit="1" customWidth="1"/>
    <col min="1293" max="1293" width="9.42578125" style="374" customWidth="1"/>
    <col min="1294" max="1295" width="9.5703125" style="374" bestFit="1" customWidth="1"/>
    <col min="1296" max="1296" width="9.28515625" style="374" bestFit="1" customWidth="1"/>
    <col min="1297" max="1303" width="9.5703125" style="374" bestFit="1" customWidth="1"/>
    <col min="1304" max="1304" width="9.28515625" style="374" bestFit="1" customWidth="1"/>
    <col min="1305" max="1305" width="9.5703125" style="374" bestFit="1" customWidth="1"/>
    <col min="1306" max="1307" width="9.28515625" style="374" bestFit="1" customWidth="1"/>
    <col min="1308" max="1308" width="9.5703125" style="374" bestFit="1" customWidth="1"/>
    <col min="1309" max="1309" width="9.28515625" style="374" bestFit="1" customWidth="1"/>
    <col min="1310" max="1310" width="9.5703125" style="374" bestFit="1" customWidth="1"/>
    <col min="1311" max="1311" width="9.28515625" style="374" bestFit="1" customWidth="1"/>
    <col min="1312" max="1312" width="9.5703125" style="374" bestFit="1" customWidth="1"/>
    <col min="1313" max="1318" width="9.28515625" style="374" bestFit="1" customWidth="1"/>
    <col min="1319" max="1321" width="9.5703125" style="374" bestFit="1" customWidth="1"/>
    <col min="1322" max="1324" width="9.28515625" style="374" bestFit="1" customWidth="1"/>
    <col min="1325" max="1325" width="9.5703125" style="374" bestFit="1" customWidth="1"/>
    <col min="1326" max="1328" width="9.28515625" style="374" bestFit="1" customWidth="1"/>
    <col min="1329" max="1332" width="9.5703125" style="374" bestFit="1" customWidth="1"/>
    <col min="1333" max="1334" width="9.28515625" style="374" bestFit="1" customWidth="1"/>
    <col min="1335" max="1335" width="14.140625" style="374" bestFit="1" customWidth="1"/>
    <col min="1336" max="1337" width="9.5703125" style="374" bestFit="1" customWidth="1"/>
    <col min="1338" max="1338" width="9.28515625" style="374" bestFit="1" customWidth="1"/>
    <col min="1339" max="1536" width="9.140625" style="374"/>
    <col min="1537" max="1537" width="27.42578125" style="374" bestFit="1" customWidth="1"/>
    <col min="1538" max="1538" width="27.42578125" style="374" customWidth="1"/>
    <col min="1539" max="1539" width="43.140625" style="374" customWidth="1"/>
    <col min="1540" max="1540" width="12.140625" style="374" customWidth="1"/>
    <col min="1541" max="1541" width="18.5703125" style="374" customWidth="1"/>
    <col min="1542" max="1542" width="14.5703125" style="374" customWidth="1"/>
    <col min="1543" max="1543" width="11.28515625" style="374" customWidth="1"/>
    <col min="1544" max="1544" width="12.140625" style="374" customWidth="1"/>
    <col min="1545" max="1545" width="12.42578125" style="374" customWidth="1"/>
    <col min="1546" max="1546" width="14.140625" style="374" customWidth="1"/>
    <col min="1547" max="1547" width="13.28515625" style="374" bestFit="1" customWidth="1"/>
    <col min="1548" max="1548" width="10.85546875" style="374" bestFit="1" customWidth="1"/>
    <col min="1549" max="1549" width="9.42578125" style="374" customWidth="1"/>
    <col min="1550" max="1551" width="9.5703125" style="374" bestFit="1" customWidth="1"/>
    <col min="1552" max="1552" width="9.28515625" style="374" bestFit="1" customWidth="1"/>
    <col min="1553" max="1559" width="9.5703125" style="374" bestFit="1" customWidth="1"/>
    <col min="1560" max="1560" width="9.28515625" style="374" bestFit="1" customWidth="1"/>
    <col min="1561" max="1561" width="9.5703125" style="374" bestFit="1" customWidth="1"/>
    <col min="1562" max="1563" width="9.28515625" style="374" bestFit="1" customWidth="1"/>
    <col min="1564" max="1564" width="9.5703125" style="374" bestFit="1" customWidth="1"/>
    <col min="1565" max="1565" width="9.28515625" style="374" bestFit="1" customWidth="1"/>
    <col min="1566" max="1566" width="9.5703125" style="374" bestFit="1" customWidth="1"/>
    <col min="1567" max="1567" width="9.28515625" style="374" bestFit="1" customWidth="1"/>
    <col min="1568" max="1568" width="9.5703125" style="374" bestFit="1" customWidth="1"/>
    <col min="1569" max="1574" width="9.28515625" style="374" bestFit="1" customWidth="1"/>
    <col min="1575" max="1577" width="9.5703125" style="374" bestFit="1" customWidth="1"/>
    <col min="1578" max="1580" width="9.28515625" style="374" bestFit="1" customWidth="1"/>
    <col min="1581" max="1581" width="9.5703125" style="374" bestFit="1" customWidth="1"/>
    <col min="1582" max="1584" width="9.28515625" style="374" bestFit="1" customWidth="1"/>
    <col min="1585" max="1588" width="9.5703125" style="374" bestFit="1" customWidth="1"/>
    <col min="1589" max="1590" width="9.28515625" style="374" bestFit="1" customWidth="1"/>
    <col min="1591" max="1591" width="14.140625" style="374" bestFit="1" customWidth="1"/>
    <col min="1592" max="1593" width="9.5703125" style="374" bestFit="1" customWidth="1"/>
    <col min="1594" max="1594" width="9.28515625" style="374" bestFit="1" customWidth="1"/>
    <col min="1595" max="1792" width="9.140625" style="374"/>
    <col min="1793" max="1793" width="27.42578125" style="374" bestFit="1" customWidth="1"/>
    <col min="1794" max="1794" width="27.42578125" style="374" customWidth="1"/>
    <col min="1795" max="1795" width="43.140625" style="374" customWidth="1"/>
    <col min="1796" max="1796" width="12.140625" style="374" customWidth="1"/>
    <col min="1797" max="1797" width="18.5703125" style="374" customWidth="1"/>
    <col min="1798" max="1798" width="14.5703125" style="374" customWidth="1"/>
    <col min="1799" max="1799" width="11.28515625" style="374" customWidth="1"/>
    <col min="1800" max="1800" width="12.140625" style="374" customWidth="1"/>
    <col min="1801" max="1801" width="12.42578125" style="374" customWidth="1"/>
    <col min="1802" max="1802" width="14.140625" style="374" customWidth="1"/>
    <col min="1803" max="1803" width="13.28515625" style="374" bestFit="1" customWidth="1"/>
    <col min="1804" max="1804" width="10.85546875" style="374" bestFit="1" customWidth="1"/>
    <col min="1805" max="1805" width="9.42578125" style="374" customWidth="1"/>
    <col min="1806" max="1807" width="9.5703125" style="374" bestFit="1" customWidth="1"/>
    <col min="1808" max="1808" width="9.28515625" style="374" bestFit="1" customWidth="1"/>
    <col min="1809" max="1815" width="9.5703125" style="374" bestFit="1" customWidth="1"/>
    <col min="1816" max="1816" width="9.28515625" style="374" bestFit="1" customWidth="1"/>
    <col min="1817" max="1817" width="9.5703125" style="374" bestFit="1" customWidth="1"/>
    <col min="1818" max="1819" width="9.28515625" style="374" bestFit="1" customWidth="1"/>
    <col min="1820" max="1820" width="9.5703125" style="374" bestFit="1" customWidth="1"/>
    <col min="1821" max="1821" width="9.28515625" style="374" bestFit="1" customWidth="1"/>
    <col min="1822" max="1822" width="9.5703125" style="374" bestFit="1" customWidth="1"/>
    <col min="1823" max="1823" width="9.28515625" style="374" bestFit="1" customWidth="1"/>
    <col min="1824" max="1824" width="9.5703125" style="374" bestFit="1" customWidth="1"/>
    <col min="1825" max="1830" width="9.28515625" style="374" bestFit="1" customWidth="1"/>
    <col min="1831" max="1833" width="9.5703125" style="374" bestFit="1" customWidth="1"/>
    <col min="1834" max="1836" width="9.28515625" style="374" bestFit="1" customWidth="1"/>
    <col min="1837" max="1837" width="9.5703125" style="374" bestFit="1" customWidth="1"/>
    <col min="1838" max="1840" width="9.28515625" style="374" bestFit="1" customWidth="1"/>
    <col min="1841" max="1844" width="9.5703125" style="374" bestFit="1" customWidth="1"/>
    <col min="1845" max="1846" width="9.28515625" style="374" bestFit="1" customWidth="1"/>
    <col min="1847" max="1847" width="14.140625" style="374" bestFit="1" customWidth="1"/>
    <col min="1848" max="1849" width="9.5703125" style="374" bestFit="1" customWidth="1"/>
    <col min="1850" max="1850" width="9.28515625" style="374" bestFit="1" customWidth="1"/>
    <col min="1851" max="2048" width="9.140625" style="374"/>
    <col min="2049" max="2049" width="27.42578125" style="374" bestFit="1" customWidth="1"/>
    <col min="2050" max="2050" width="27.42578125" style="374" customWidth="1"/>
    <col min="2051" max="2051" width="43.140625" style="374" customWidth="1"/>
    <col min="2052" max="2052" width="12.140625" style="374" customWidth="1"/>
    <col min="2053" max="2053" width="18.5703125" style="374" customWidth="1"/>
    <col min="2054" max="2054" width="14.5703125" style="374" customWidth="1"/>
    <col min="2055" max="2055" width="11.28515625" style="374" customWidth="1"/>
    <col min="2056" max="2056" width="12.140625" style="374" customWidth="1"/>
    <col min="2057" max="2057" width="12.42578125" style="374" customWidth="1"/>
    <col min="2058" max="2058" width="14.140625" style="374" customWidth="1"/>
    <col min="2059" max="2059" width="13.28515625" style="374" bestFit="1" customWidth="1"/>
    <col min="2060" max="2060" width="10.85546875" style="374" bestFit="1" customWidth="1"/>
    <col min="2061" max="2061" width="9.42578125" style="374" customWidth="1"/>
    <col min="2062" max="2063" width="9.5703125" style="374" bestFit="1" customWidth="1"/>
    <col min="2064" max="2064" width="9.28515625" style="374" bestFit="1" customWidth="1"/>
    <col min="2065" max="2071" width="9.5703125" style="374" bestFit="1" customWidth="1"/>
    <col min="2072" max="2072" width="9.28515625" style="374" bestFit="1" customWidth="1"/>
    <col min="2073" max="2073" width="9.5703125" style="374" bestFit="1" customWidth="1"/>
    <col min="2074" max="2075" width="9.28515625" style="374" bestFit="1" customWidth="1"/>
    <col min="2076" max="2076" width="9.5703125" style="374" bestFit="1" customWidth="1"/>
    <col min="2077" max="2077" width="9.28515625" style="374" bestFit="1" customWidth="1"/>
    <col min="2078" max="2078" width="9.5703125" style="374" bestFit="1" customWidth="1"/>
    <col min="2079" max="2079" width="9.28515625" style="374" bestFit="1" customWidth="1"/>
    <col min="2080" max="2080" width="9.5703125" style="374" bestFit="1" customWidth="1"/>
    <col min="2081" max="2086" width="9.28515625" style="374" bestFit="1" customWidth="1"/>
    <col min="2087" max="2089" width="9.5703125" style="374" bestFit="1" customWidth="1"/>
    <col min="2090" max="2092" width="9.28515625" style="374" bestFit="1" customWidth="1"/>
    <col min="2093" max="2093" width="9.5703125" style="374" bestFit="1" customWidth="1"/>
    <col min="2094" max="2096" width="9.28515625" style="374" bestFit="1" customWidth="1"/>
    <col min="2097" max="2100" width="9.5703125" style="374" bestFit="1" customWidth="1"/>
    <col min="2101" max="2102" width="9.28515625" style="374" bestFit="1" customWidth="1"/>
    <col min="2103" max="2103" width="14.140625" style="374" bestFit="1" customWidth="1"/>
    <col min="2104" max="2105" width="9.5703125" style="374" bestFit="1" customWidth="1"/>
    <col min="2106" max="2106" width="9.28515625" style="374" bestFit="1" customWidth="1"/>
    <col min="2107" max="2304" width="9.140625" style="374"/>
    <col min="2305" max="2305" width="27.42578125" style="374" bestFit="1" customWidth="1"/>
    <col min="2306" max="2306" width="27.42578125" style="374" customWidth="1"/>
    <col min="2307" max="2307" width="43.140625" style="374" customWidth="1"/>
    <col min="2308" max="2308" width="12.140625" style="374" customWidth="1"/>
    <col min="2309" max="2309" width="18.5703125" style="374" customWidth="1"/>
    <col min="2310" max="2310" width="14.5703125" style="374" customWidth="1"/>
    <col min="2311" max="2311" width="11.28515625" style="374" customWidth="1"/>
    <col min="2312" max="2312" width="12.140625" style="374" customWidth="1"/>
    <col min="2313" max="2313" width="12.42578125" style="374" customWidth="1"/>
    <col min="2314" max="2314" width="14.140625" style="374" customWidth="1"/>
    <col min="2315" max="2315" width="13.28515625" style="374" bestFit="1" customWidth="1"/>
    <col min="2316" max="2316" width="10.85546875" style="374" bestFit="1" customWidth="1"/>
    <col min="2317" max="2317" width="9.42578125" style="374" customWidth="1"/>
    <col min="2318" max="2319" width="9.5703125" style="374" bestFit="1" customWidth="1"/>
    <col min="2320" max="2320" width="9.28515625" style="374" bestFit="1" customWidth="1"/>
    <col min="2321" max="2327" width="9.5703125" style="374" bestFit="1" customWidth="1"/>
    <col min="2328" max="2328" width="9.28515625" style="374" bestFit="1" customWidth="1"/>
    <col min="2329" max="2329" width="9.5703125" style="374" bestFit="1" customWidth="1"/>
    <col min="2330" max="2331" width="9.28515625" style="374" bestFit="1" customWidth="1"/>
    <col min="2332" max="2332" width="9.5703125" style="374" bestFit="1" customWidth="1"/>
    <col min="2333" max="2333" width="9.28515625" style="374" bestFit="1" customWidth="1"/>
    <col min="2334" max="2334" width="9.5703125" style="374" bestFit="1" customWidth="1"/>
    <col min="2335" max="2335" width="9.28515625" style="374" bestFit="1" customWidth="1"/>
    <col min="2336" max="2336" width="9.5703125" style="374" bestFit="1" customWidth="1"/>
    <col min="2337" max="2342" width="9.28515625" style="374" bestFit="1" customWidth="1"/>
    <col min="2343" max="2345" width="9.5703125" style="374" bestFit="1" customWidth="1"/>
    <col min="2346" max="2348" width="9.28515625" style="374" bestFit="1" customWidth="1"/>
    <col min="2349" max="2349" width="9.5703125" style="374" bestFit="1" customWidth="1"/>
    <col min="2350" max="2352" width="9.28515625" style="374" bestFit="1" customWidth="1"/>
    <col min="2353" max="2356" width="9.5703125" style="374" bestFit="1" customWidth="1"/>
    <col min="2357" max="2358" width="9.28515625" style="374" bestFit="1" customWidth="1"/>
    <col min="2359" max="2359" width="14.140625" style="374" bestFit="1" customWidth="1"/>
    <col min="2360" max="2361" width="9.5703125" style="374" bestFit="1" customWidth="1"/>
    <col min="2362" max="2362" width="9.28515625" style="374" bestFit="1" customWidth="1"/>
    <col min="2363" max="2560" width="9.140625" style="374"/>
    <col min="2561" max="2561" width="27.42578125" style="374" bestFit="1" customWidth="1"/>
    <col min="2562" max="2562" width="27.42578125" style="374" customWidth="1"/>
    <col min="2563" max="2563" width="43.140625" style="374" customWidth="1"/>
    <col min="2564" max="2564" width="12.140625" style="374" customWidth="1"/>
    <col min="2565" max="2565" width="18.5703125" style="374" customWidth="1"/>
    <col min="2566" max="2566" width="14.5703125" style="374" customWidth="1"/>
    <col min="2567" max="2567" width="11.28515625" style="374" customWidth="1"/>
    <col min="2568" max="2568" width="12.140625" style="374" customWidth="1"/>
    <col min="2569" max="2569" width="12.42578125" style="374" customWidth="1"/>
    <col min="2570" max="2570" width="14.140625" style="374" customWidth="1"/>
    <col min="2571" max="2571" width="13.28515625" style="374" bestFit="1" customWidth="1"/>
    <col min="2572" max="2572" width="10.85546875" style="374" bestFit="1" customWidth="1"/>
    <col min="2573" max="2573" width="9.42578125" style="374" customWidth="1"/>
    <col min="2574" max="2575" width="9.5703125" style="374" bestFit="1" customWidth="1"/>
    <col min="2576" max="2576" width="9.28515625" style="374" bestFit="1" customWidth="1"/>
    <col min="2577" max="2583" width="9.5703125" style="374" bestFit="1" customWidth="1"/>
    <col min="2584" max="2584" width="9.28515625" style="374" bestFit="1" customWidth="1"/>
    <col min="2585" max="2585" width="9.5703125" style="374" bestFit="1" customWidth="1"/>
    <col min="2586" max="2587" width="9.28515625" style="374" bestFit="1" customWidth="1"/>
    <col min="2588" max="2588" width="9.5703125" style="374" bestFit="1" customWidth="1"/>
    <col min="2589" max="2589" width="9.28515625" style="374" bestFit="1" customWidth="1"/>
    <col min="2590" max="2590" width="9.5703125" style="374" bestFit="1" customWidth="1"/>
    <col min="2591" max="2591" width="9.28515625" style="374" bestFit="1" customWidth="1"/>
    <col min="2592" max="2592" width="9.5703125" style="374" bestFit="1" customWidth="1"/>
    <col min="2593" max="2598" width="9.28515625" style="374" bestFit="1" customWidth="1"/>
    <col min="2599" max="2601" width="9.5703125" style="374" bestFit="1" customWidth="1"/>
    <col min="2602" max="2604" width="9.28515625" style="374" bestFit="1" customWidth="1"/>
    <col min="2605" max="2605" width="9.5703125" style="374" bestFit="1" customWidth="1"/>
    <col min="2606" max="2608" width="9.28515625" style="374" bestFit="1" customWidth="1"/>
    <col min="2609" max="2612" width="9.5703125" style="374" bestFit="1" customWidth="1"/>
    <col min="2613" max="2614" width="9.28515625" style="374" bestFit="1" customWidth="1"/>
    <col min="2615" max="2615" width="14.140625" style="374" bestFit="1" customWidth="1"/>
    <col min="2616" max="2617" width="9.5703125" style="374" bestFit="1" customWidth="1"/>
    <col min="2618" max="2618" width="9.28515625" style="374" bestFit="1" customWidth="1"/>
    <col min="2619" max="2816" width="9.140625" style="374"/>
    <col min="2817" max="2817" width="27.42578125" style="374" bestFit="1" customWidth="1"/>
    <col min="2818" max="2818" width="27.42578125" style="374" customWidth="1"/>
    <col min="2819" max="2819" width="43.140625" style="374" customWidth="1"/>
    <col min="2820" max="2820" width="12.140625" style="374" customWidth="1"/>
    <col min="2821" max="2821" width="18.5703125" style="374" customWidth="1"/>
    <col min="2822" max="2822" width="14.5703125" style="374" customWidth="1"/>
    <col min="2823" max="2823" width="11.28515625" style="374" customWidth="1"/>
    <col min="2824" max="2824" width="12.140625" style="374" customWidth="1"/>
    <col min="2825" max="2825" width="12.42578125" style="374" customWidth="1"/>
    <col min="2826" max="2826" width="14.140625" style="374" customWidth="1"/>
    <col min="2827" max="2827" width="13.28515625" style="374" bestFit="1" customWidth="1"/>
    <col min="2828" max="2828" width="10.85546875" style="374" bestFit="1" customWidth="1"/>
    <col min="2829" max="2829" width="9.42578125" style="374" customWidth="1"/>
    <col min="2830" max="2831" width="9.5703125" style="374" bestFit="1" customWidth="1"/>
    <col min="2832" max="2832" width="9.28515625" style="374" bestFit="1" customWidth="1"/>
    <col min="2833" max="2839" width="9.5703125" style="374" bestFit="1" customWidth="1"/>
    <col min="2840" max="2840" width="9.28515625" style="374" bestFit="1" customWidth="1"/>
    <col min="2841" max="2841" width="9.5703125" style="374" bestFit="1" customWidth="1"/>
    <col min="2842" max="2843" width="9.28515625" style="374" bestFit="1" customWidth="1"/>
    <col min="2844" max="2844" width="9.5703125" style="374" bestFit="1" customWidth="1"/>
    <col min="2845" max="2845" width="9.28515625" style="374" bestFit="1" customWidth="1"/>
    <col min="2846" max="2846" width="9.5703125" style="374" bestFit="1" customWidth="1"/>
    <col min="2847" max="2847" width="9.28515625" style="374" bestFit="1" customWidth="1"/>
    <col min="2848" max="2848" width="9.5703125" style="374" bestFit="1" customWidth="1"/>
    <col min="2849" max="2854" width="9.28515625" style="374" bestFit="1" customWidth="1"/>
    <col min="2855" max="2857" width="9.5703125" style="374" bestFit="1" customWidth="1"/>
    <col min="2858" max="2860" width="9.28515625" style="374" bestFit="1" customWidth="1"/>
    <col min="2861" max="2861" width="9.5703125" style="374" bestFit="1" customWidth="1"/>
    <col min="2862" max="2864" width="9.28515625" style="374" bestFit="1" customWidth="1"/>
    <col min="2865" max="2868" width="9.5703125" style="374" bestFit="1" customWidth="1"/>
    <col min="2869" max="2870" width="9.28515625" style="374" bestFit="1" customWidth="1"/>
    <col min="2871" max="2871" width="14.140625" style="374" bestFit="1" customWidth="1"/>
    <col min="2872" max="2873" width="9.5703125" style="374" bestFit="1" customWidth="1"/>
    <col min="2874" max="2874" width="9.28515625" style="374" bestFit="1" customWidth="1"/>
    <col min="2875" max="3072" width="9.140625" style="374"/>
    <col min="3073" max="3073" width="27.42578125" style="374" bestFit="1" customWidth="1"/>
    <col min="3074" max="3074" width="27.42578125" style="374" customWidth="1"/>
    <col min="3075" max="3075" width="43.140625" style="374" customWidth="1"/>
    <col min="3076" max="3076" width="12.140625" style="374" customWidth="1"/>
    <col min="3077" max="3077" width="18.5703125" style="374" customWidth="1"/>
    <col min="3078" max="3078" width="14.5703125" style="374" customWidth="1"/>
    <col min="3079" max="3079" width="11.28515625" style="374" customWidth="1"/>
    <col min="3080" max="3080" width="12.140625" style="374" customWidth="1"/>
    <col min="3081" max="3081" width="12.42578125" style="374" customWidth="1"/>
    <col min="3082" max="3082" width="14.140625" style="374" customWidth="1"/>
    <col min="3083" max="3083" width="13.28515625" style="374" bestFit="1" customWidth="1"/>
    <col min="3084" max="3084" width="10.85546875" style="374" bestFit="1" customWidth="1"/>
    <col min="3085" max="3085" width="9.42578125" style="374" customWidth="1"/>
    <col min="3086" max="3087" width="9.5703125" style="374" bestFit="1" customWidth="1"/>
    <col min="3088" max="3088" width="9.28515625" style="374" bestFit="1" customWidth="1"/>
    <col min="3089" max="3095" width="9.5703125" style="374" bestFit="1" customWidth="1"/>
    <col min="3096" max="3096" width="9.28515625" style="374" bestFit="1" customWidth="1"/>
    <col min="3097" max="3097" width="9.5703125" style="374" bestFit="1" customWidth="1"/>
    <col min="3098" max="3099" width="9.28515625" style="374" bestFit="1" customWidth="1"/>
    <col min="3100" max="3100" width="9.5703125" style="374" bestFit="1" customWidth="1"/>
    <col min="3101" max="3101" width="9.28515625" style="374" bestFit="1" customWidth="1"/>
    <col min="3102" max="3102" width="9.5703125" style="374" bestFit="1" customWidth="1"/>
    <col min="3103" max="3103" width="9.28515625" style="374" bestFit="1" customWidth="1"/>
    <col min="3104" max="3104" width="9.5703125" style="374" bestFit="1" customWidth="1"/>
    <col min="3105" max="3110" width="9.28515625" style="374" bestFit="1" customWidth="1"/>
    <col min="3111" max="3113" width="9.5703125" style="374" bestFit="1" customWidth="1"/>
    <col min="3114" max="3116" width="9.28515625" style="374" bestFit="1" customWidth="1"/>
    <col min="3117" max="3117" width="9.5703125" style="374" bestFit="1" customWidth="1"/>
    <col min="3118" max="3120" width="9.28515625" style="374" bestFit="1" customWidth="1"/>
    <col min="3121" max="3124" width="9.5703125" style="374" bestFit="1" customWidth="1"/>
    <col min="3125" max="3126" width="9.28515625" style="374" bestFit="1" customWidth="1"/>
    <col min="3127" max="3127" width="14.140625" style="374" bestFit="1" customWidth="1"/>
    <col min="3128" max="3129" width="9.5703125" style="374" bestFit="1" customWidth="1"/>
    <col min="3130" max="3130" width="9.28515625" style="374" bestFit="1" customWidth="1"/>
    <col min="3131" max="3328" width="9.140625" style="374"/>
    <col min="3329" max="3329" width="27.42578125" style="374" bestFit="1" customWidth="1"/>
    <col min="3330" max="3330" width="27.42578125" style="374" customWidth="1"/>
    <col min="3331" max="3331" width="43.140625" style="374" customWidth="1"/>
    <col min="3332" max="3332" width="12.140625" style="374" customWidth="1"/>
    <col min="3333" max="3333" width="18.5703125" style="374" customWidth="1"/>
    <col min="3334" max="3334" width="14.5703125" style="374" customWidth="1"/>
    <col min="3335" max="3335" width="11.28515625" style="374" customWidth="1"/>
    <col min="3336" max="3336" width="12.140625" style="374" customWidth="1"/>
    <col min="3337" max="3337" width="12.42578125" style="374" customWidth="1"/>
    <col min="3338" max="3338" width="14.140625" style="374" customWidth="1"/>
    <col min="3339" max="3339" width="13.28515625" style="374" bestFit="1" customWidth="1"/>
    <col min="3340" max="3340" width="10.85546875" style="374" bestFit="1" customWidth="1"/>
    <col min="3341" max="3341" width="9.42578125" style="374" customWidth="1"/>
    <col min="3342" max="3343" width="9.5703125" style="374" bestFit="1" customWidth="1"/>
    <col min="3344" max="3344" width="9.28515625" style="374" bestFit="1" customWidth="1"/>
    <col min="3345" max="3351" width="9.5703125" style="374" bestFit="1" customWidth="1"/>
    <col min="3352" max="3352" width="9.28515625" style="374" bestFit="1" customWidth="1"/>
    <col min="3353" max="3353" width="9.5703125" style="374" bestFit="1" customWidth="1"/>
    <col min="3354" max="3355" width="9.28515625" style="374" bestFit="1" customWidth="1"/>
    <col min="3356" max="3356" width="9.5703125" style="374" bestFit="1" customWidth="1"/>
    <col min="3357" max="3357" width="9.28515625" style="374" bestFit="1" customWidth="1"/>
    <col min="3358" max="3358" width="9.5703125" style="374" bestFit="1" customWidth="1"/>
    <col min="3359" max="3359" width="9.28515625" style="374" bestFit="1" customWidth="1"/>
    <col min="3360" max="3360" width="9.5703125" style="374" bestFit="1" customWidth="1"/>
    <col min="3361" max="3366" width="9.28515625" style="374" bestFit="1" customWidth="1"/>
    <col min="3367" max="3369" width="9.5703125" style="374" bestFit="1" customWidth="1"/>
    <col min="3370" max="3372" width="9.28515625" style="374" bestFit="1" customWidth="1"/>
    <col min="3373" max="3373" width="9.5703125" style="374" bestFit="1" customWidth="1"/>
    <col min="3374" max="3376" width="9.28515625" style="374" bestFit="1" customWidth="1"/>
    <col min="3377" max="3380" width="9.5703125" style="374" bestFit="1" customWidth="1"/>
    <col min="3381" max="3382" width="9.28515625" style="374" bestFit="1" customWidth="1"/>
    <col min="3383" max="3383" width="14.140625" style="374" bestFit="1" customWidth="1"/>
    <col min="3384" max="3385" width="9.5703125" style="374" bestFit="1" customWidth="1"/>
    <col min="3386" max="3386" width="9.28515625" style="374" bestFit="1" customWidth="1"/>
    <col min="3387" max="3584" width="9.140625" style="374"/>
    <col min="3585" max="3585" width="27.42578125" style="374" bestFit="1" customWidth="1"/>
    <col min="3586" max="3586" width="27.42578125" style="374" customWidth="1"/>
    <col min="3587" max="3587" width="43.140625" style="374" customWidth="1"/>
    <col min="3588" max="3588" width="12.140625" style="374" customWidth="1"/>
    <col min="3589" max="3589" width="18.5703125" style="374" customWidth="1"/>
    <col min="3590" max="3590" width="14.5703125" style="374" customWidth="1"/>
    <col min="3591" max="3591" width="11.28515625" style="374" customWidth="1"/>
    <col min="3592" max="3592" width="12.140625" style="374" customWidth="1"/>
    <col min="3593" max="3593" width="12.42578125" style="374" customWidth="1"/>
    <col min="3594" max="3594" width="14.140625" style="374" customWidth="1"/>
    <col min="3595" max="3595" width="13.28515625" style="374" bestFit="1" customWidth="1"/>
    <col min="3596" max="3596" width="10.85546875" style="374" bestFit="1" customWidth="1"/>
    <col min="3597" max="3597" width="9.42578125" style="374" customWidth="1"/>
    <col min="3598" max="3599" width="9.5703125" style="374" bestFit="1" customWidth="1"/>
    <col min="3600" max="3600" width="9.28515625" style="374" bestFit="1" customWidth="1"/>
    <col min="3601" max="3607" width="9.5703125" style="374" bestFit="1" customWidth="1"/>
    <col min="3608" max="3608" width="9.28515625" style="374" bestFit="1" customWidth="1"/>
    <col min="3609" max="3609" width="9.5703125" style="374" bestFit="1" customWidth="1"/>
    <col min="3610" max="3611" width="9.28515625" style="374" bestFit="1" customWidth="1"/>
    <col min="3612" max="3612" width="9.5703125" style="374" bestFit="1" customWidth="1"/>
    <col min="3613" max="3613" width="9.28515625" style="374" bestFit="1" customWidth="1"/>
    <col min="3614" max="3614" width="9.5703125" style="374" bestFit="1" customWidth="1"/>
    <col min="3615" max="3615" width="9.28515625" style="374" bestFit="1" customWidth="1"/>
    <col min="3616" max="3616" width="9.5703125" style="374" bestFit="1" customWidth="1"/>
    <col min="3617" max="3622" width="9.28515625" style="374" bestFit="1" customWidth="1"/>
    <col min="3623" max="3625" width="9.5703125" style="374" bestFit="1" customWidth="1"/>
    <col min="3626" max="3628" width="9.28515625" style="374" bestFit="1" customWidth="1"/>
    <col min="3629" max="3629" width="9.5703125" style="374" bestFit="1" customWidth="1"/>
    <col min="3630" max="3632" width="9.28515625" style="374" bestFit="1" customWidth="1"/>
    <col min="3633" max="3636" width="9.5703125" style="374" bestFit="1" customWidth="1"/>
    <col min="3637" max="3638" width="9.28515625" style="374" bestFit="1" customWidth="1"/>
    <col min="3639" max="3639" width="14.140625" style="374" bestFit="1" customWidth="1"/>
    <col min="3640" max="3641" width="9.5703125" style="374" bestFit="1" customWidth="1"/>
    <col min="3642" max="3642" width="9.28515625" style="374" bestFit="1" customWidth="1"/>
    <col min="3643" max="3840" width="9.140625" style="374"/>
    <col min="3841" max="3841" width="27.42578125" style="374" bestFit="1" customWidth="1"/>
    <col min="3842" max="3842" width="27.42578125" style="374" customWidth="1"/>
    <col min="3843" max="3843" width="43.140625" style="374" customWidth="1"/>
    <col min="3844" max="3844" width="12.140625" style="374" customWidth="1"/>
    <col min="3845" max="3845" width="18.5703125" style="374" customWidth="1"/>
    <col min="3846" max="3846" width="14.5703125" style="374" customWidth="1"/>
    <col min="3847" max="3847" width="11.28515625" style="374" customWidth="1"/>
    <col min="3848" max="3848" width="12.140625" style="374" customWidth="1"/>
    <col min="3849" max="3849" width="12.42578125" style="374" customWidth="1"/>
    <col min="3850" max="3850" width="14.140625" style="374" customWidth="1"/>
    <col min="3851" max="3851" width="13.28515625" style="374" bestFit="1" customWidth="1"/>
    <col min="3852" max="3852" width="10.85546875" style="374" bestFit="1" customWidth="1"/>
    <col min="3853" max="3853" width="9.42578125" style="374" customWidth="1"/>
    <col min="3854" max="3855" width="9.5703125" style="374" bestFit="1" customWidth="1"/>
    <col min="3856" max="3856" width="9.28515625" style="374" bestFit="1" customWidth="1"/>
    <col min="3857" max="3863" width="9.5703125" style="374" bestFit="1" customWidth="1"/>
    <col min="3864" max="3864" width="9.28515625" style="374" bestFit="1" customWidth="1"/>
    <col min="3865" max="3865" width="9.5703125" style="374" bestFit="1" customWidth="1"/>
    <col min="3866" max="3867" width="9.28515625" style="374" bestFit="1" customWidth="1"/>
    <col min="3868" max="3868" width="9.5703125" style="374" bestFit="1" customWidth="1"/>
    <col min="3869" max="3869" width="9.28515625" style="374" bestFit="1" customWidth="1"/>
    <col min="3870" max="3870" width="9.5703125" style="374" bestFit="1" customWidth="1"/>
    <col min="3871" max="3871" width="9.28515625" style="374" bestFit="1" customWidth="1"/>
    <col min="3872" max="3872" width="9.5703125" style="374" bestFit="1" customWidth="1"/>
    <col min="3873" max="3878" width="9.28515625" style="374" bestFit="1" customWidth="1"/>
    <col min="3879" max="3881" width="9.5703125" style="374" bestFit="1" customWidth="1"/>
    <col min="3882" max="3884" width="9.28515625" style="374" bestFit="1" customWidth="1"/>
    <col min="3885" max="3885" width="9.5703125" style="374" bestFit="1" customWidth="1"/>
    <col min="3886" max="3888" width="9.28515625" style="374" bestFit="1" customWidth="1"/>
    <col min="3889" max="3892" width="9.5703125" style="374" bestFit="1" customWidth="1"/>
    <col min="3893" max="3894" width="9.28515625" style="374" bestFit="1" customWidth="1"/>
    <col min="3895" max="3895" width="14.140625" style="374" bestFit="1" customWidth="1"/>
    <col min="3896" max="3897" width="9.5703125" style="374" bestFit="1" customWidth="1"/>
    <col min="3898" max="3898" width="9.28515625" style="374" bestFit="1" customWidth="1"/>
    <col min="3899" max="4096" width="9.140625" style="374"/>
    <col min="4097" max="4097" width="27.42578125" style="374" bestFit="1" customWidth="1"/>
    <col min="4098" max="4098" width="27.42578125" style="374" customWidth="1"/>
    <col min="4099" max="4099" width="43.140625" style="374" customWidth="1"/>
    <col min="4100" max="4100" width="12.140625" style="374" customWidth="1"/>
    <col min="4101" max="4101" width="18.5703125" style="374" customWidth="1"/>
    <col min="4102" max="4102" width="14.5703125" style="374" customWidth="1"/>
    <col min="4103" max="4103" width="11.28515625" style="374" customWidth="1"/>
    <col min="4104" max="4104" width="12.140625" style="374" customWidth="1"/>
    <col min="4105" max="4105" width="12.42578125" style="374" customWidth="1"/>
    <col min="4106" max="4106" width="14.140625" style="374" customWidth="1"/>
    <col min="4107" max="4107" width="13.28515625" style="374" bestFit="1" customWidth="1"/>
    <col min="4108" max="4108" width="10.85546875" style="374" bestFit="1" customWidth="1"/>
    <col min="4109" max="4109" width="9.42578125" style="374" customWidth="1"/>
    <col min="4110" max="4111" width="9.5703125" style="374" bestFit="1" customWidth="1"/>
    <col min="4112" max="4112" width="9.28515625" style="374" bestFit="1" customWidth="1"/>
    <col min="4113" max="4119" width="9.5703125" style="374" bestFit="1" customWidth="1"/>
    <col min="4120" max="4120" width="9.28515625" style="374" bestFit="1" customWidth="1"/>
    <col min="4121" max="4121" width="9.5703125" style="374" bestFit="1" customWidth="1"/>
    <col min="4122" max="4123" width="9.28515625" style="374" bestFit="1" customWidth="1"/>
    <col min="4124" max="4124" width="9.5703125" style="374" bestFit="1" customWidth="1"/>
    <col min="4125" max="4125" width="9.28515625" style="374" bestFit="1" customWidth="1"/>
    <col min="4126" max="4126" width="9.5703125" style="374" bestFit="1" customWidth="1"/>
    <col min="4127" max="4127" width="9.28515625" style="374" bestFit="1" customWidth="1"/>
    <col min="4128" max="4128" width="9.5703125" style="374" bestFit="1" customWidth="1"/>
    <col min="4129" max="4134" width="9.28515625" style="374" bestFit="1" customWidth="1"/>
    <col min="4135" max="4137" width="9.5703125" style="374" bestFit="1" customWidth="1"/>
    <col min="4138" max="4140" width="9.28515625" style="374" bestFit="1" customWidth="1"/>
    <col min="4141" max="4141" width="9.5703125" style="374" bestFit="1" customWidth="1"/>
    <col min="4142" max="4144" width="9.28515625" style="374" bestFit="1" customWidth="1"/>
    <col min="4145" max="4148" width="9.5703125" style="374" bestFit="1" customWidth="1"/>
    <col min="4149" max="4150" width="9.28515625" style="374" bestFit="1" customWidth="1"/>
    <col min="4151" max="4151" width="14.140625" style="374" bestFit="1" customWidth="1"/>
    <col min="4152" max="4153" width="9.5703125" style="374" bestFit="1" customWidth="1"/>
    <col min="4154" max="4154" width="9.28515625" style="374" bestFit="1" customWidth="1"/>
    <col min="4155" max="4352" width="9.140625" style="374"/>
    <col min="4353" max="4353" width="27.42578125" style="374" bestFit="1" customWidth="1"/>
    <col min="4354" max="4354" width="27.42578125" style="374" customWidth="1"/>
    <col min="4355" max="4355" width="43.140625" style="374" customWidth="1"/>
    <col min="4356" max="4356" width="12.140625" style="374" customWidth="1"/>
    <col min="4357" max="4357" width="18.5703125" style="374" customWidth="1"/>
    <col min="4358" max="4358" width="14.5703125" style="374" customWidth="1"/>
    <col min="4359" max="4359" width="11.28515625" style="374" customWidth="1"/>
    <col min="4360" max="4360" width="12.140625" style="374" customWidth="1"/>
    <col min="4361" max="4361" width="12.42578125" style="374" customWidth="1"/>
    <col min="4362" max="4362" width="14.140625" style="374" customWidth="1"/>
    <col min="4363" max="4363" width="13.28515625" style="374" bestFit="1" customWidth="1"/>
    <col min="4364" max="4364" width="10.85546875" style="374" bestFit="1" customWidth="1"/>
    <col min="4365" max="4365" width="9.42578125" style="374" customWidth="1"/>
    <col min="4366" max="4367" width="9.5703125" style="374" bestFit="1" customWidth="1"/>
    <col min="4368" max="4368" width="9.28515625" style="374" bestFit="1" customWidth="1"/>
    <col min="4369" max="4375" width="9.5703125" style="374" bestFit="1" customWidth="1"/>
    <col min="4376" max="4376" width="9.28515625" style="374" bestFit="1" customWidth="1"/>
    <col min="4377" max="4377" width="9.5703125" style="374" bestFit="1" customWidth="1"/>
    <col min="4378" max="4379" width="9.28515625" style="374" bestFit="1" customWidth="1"/>
    <col min="4380" max="4380" width="9.5703125" style="374" bestFit="1" customWidth="1"/>
    <col min="4381" max="4381" width="9.28515625" style="374" bestFit="1" customWidth="1"/>
    <col min="4382" max="4382" width="9.5703125" style="374" bestFit="1" customWidth="1"/>
    <col min="4383" max="4383" width="9.28515625" style="374" bestFit="1" customWidth="1"/>
    <col min="4384" max="4384" width="9.5703125" style="374" bestFit="1" customWidth="1"/>
    <col min="4385" max="4390" width="9.28515625" style="374" bestFit="1" customWidth="1"/>
    <col min="4391" max="4393" width="9.5703125" style="374" bestFit="1" customWidth="1"/>
    <col min="4394" max="4396" width="9.28515625" style="374" bestFit="1" customWidth="1"/>
    <col min="4397" max="4397" width="9.5703125" style="374" bestFit="1" customWidth="1"/>
    <col min="4398" max="4400" width="9.28515625" style="374" bestFit="1" customWidth="1"/>
    <col min="4401" max="4404" width="9.5703125" style="374" bestFit="1" customWidth="1"/>
    <col min="4405" max="4406" width="9.28515625" style="374" bestFit="1" customWidth="1"/>
    <col min="4407" max="4407" width="14.140625" style="374" bestFit="1" customWidth="1"/>
    <col min="4408" max="4409" width="9.5703125" style="374" bestFit="1" customWidth="1"/>
    <col min="4410" max="4410" width="9.28515625" style="374" bestFit="1" customWidth="1"/>
    <col min="4411" max="4608" width="9.140625" style="374"/>
    <col min="4609" max="4609" width="27.42578125" style="374" bestFit="1" customWidth="1"/>
    <col min="4610" max="4610" width="27.42578125" style="374" customWidth="1"/>
    <col min="4611" max="4611" width="43.140625" style="374" customWidth="1"/>
    <col min="4612" max="4612" width="12.140625" style="374" customWidth="1"/>
    <col min="4613" max="4613" width="18.5703125" style="374" customWidth="1"/>
    <col min="4614" max="4614" width="14.5703125" style="374" customWidth="1"/>
    <col min="4615" max="4615" width="11.28515625" style="374" customWidth="1"/>
    <col min="4616" max="4616" width="12.140625" style="374" customWidth="1"/>
    <col min="4617" max="4617" width="12.42578125" style="374" customWidth="1"/>
    <col min="4618" max="4618" width="14.140625" style="374" customWidth="1"/>
    <col min="4619" max="4619" width="13.28515625" style="374" bestFit="1" customWidth="1"/>
    <col min="4620" max="4620" width="10.85546875" style="374" bestFit="1" customWidth="1"/>
    <col min="4621" max="4621" width="9.42578125" style="374" customWidth="1"/>
    <col min="4622" max="4623" width="9.5703125" style="374" bestFit="1" customWidth="1"/>
    <col min="4624" max="4624" width="9.28515625" style="374" bestFit="1" customWidth="1"/>
    <col min="4625" max="4631" width="9.5703125" style="374" bestFit="1" customWidth="1"/>
    <col min="4632" max="4632" width="9.28515625" style="374" bestFit="1" customWidth="1"/>
    <col min="4633" max="4633" width="9.5703125" style="374" bestFit="1" customWidth="1"/>
    <col min="4634" max="4635" width="9.28515625" style="374" bestFit="1" customWidth="1"/>
    <col min="4636" max="4636" width="9.5703125" style="374" bestFit="1" customWidth="1"/>
    <col min="4637" max="4637" width="9.28515625" style="374" bestFit="1" customWidth="1"/>
    <col min="4638" max="4638" width="9.5703125" style="374" bestFit="1" customWidth="1"/>
    <col min="4639" max="4639" width="9.28515625" style="374" bestFit="1" customWidth="1"/>
    <col min="4640" max="4640" width="9.5703125" style="374" bestFit="1" customWidth="1"/>
    <col min="4641" max="4646" width="9.28515625" style="374" bestFit="1" customWidth="1"/>
    <col min="4647" max="4649" width="9.5703125" style="374" bestFit="1" customWidth="1"/>
    <col min="4650" max="4652" width="9.28515625" style="374" bestFit="1" customWidth="1"/>
    <col min="4653" max="4653" width="9.5703125" style="374" bestFit="1" customWidth="1"/>
    <col min="4654" max="4656" width="9.28515625" style="374" bestFit="1" customWidth="1"/>
    <col min="4657" max="4660" width="9.5703125" style="374" bestFit="1" customWidth="1"/>
    <col min="4661" max="4662" width="9.28515625" style="374" bestFit="1" customWidth="1"/>
    <col min="4663" max="4663" width="14.140625" style="374" bestFit="1" customWidth="1"/>
    <col min="4664" max="4665" width="9.5703125" style="374" bestFit="1" customWidth="1"/>
    <col min="4666" max="4666" width="9.28515625" style="374" bestFit="1" customWidth="1"/>
    <col min="4667" max="4864" width="9.140625" style="374"/>
    <col min="4865" max="4865" width="27.42578125" style="374" bestFit="1" customWidth="1"/>
    <col min="4866" max="4866" width="27.42578125" style="374" customWidth="1"/>
    <col min="4867" max="4867" width="43.140625" style="374" customWidth="1"/>
    <col min="4868" max="4868" width="12.140625" style="374" customWidth="1"/>
    <col min="4869" max="4869" width="18.5703125" style="374" customWidth="1"/>
    <col min="4870" max="4870" width="14.5703125" style="374" customWidth="1"/>
    <col min="4871" max="4871" width="11.28515625" style="374" customWidth="1"/>
    <col min="4872" max="4872" width="12.140625" style="374" customWidth="1"/>
    <col min="4873" max="4873" width="12.42578125" style="374" customWidth="1"/>
    <col min="4874" max="4874" width="14.140625" style="374" customWidth="1"/>
    <col min="4875" max="4875" width="13.28515625" style="374" bestFit="1" customWidth="1"/>
    <col min="4876" max="4876" width="10.85546875" style="374" bestFit="1" customWidth="1"/>
    <col min="4877" max="4877" width="9.42578125" style="374" customWidth="1"/>
    <col min="4878" max="4879" width="9.5703125" style="374" bestFit="1" customWidth="1"/>
    <col min="4880" max="4880" width="9.28515625" style="374" bestFit="1" customWidth="1"/>
    <col min="4881" max="4887" width="9.5703125" style="374" bestFit="1" customWidth="1"/>
    <col min="4888" max="4888" width="9.28515625" style="374" bestFit="1" customWidth="1"/>
    <col min="4889" max="4889" width="9.5703125" style="374" bestFit="1" customWidth="1"/>
    <col min="4890" max="4891" width="9.28515625" style="374" bestFit="1" customWidth="1"/>
    <col min="4892" max="4892" width="9.5703125" style="374" bestFit="1" customWidth="1"/>
    <col min="4893" max="4893" width="9.28515625" style="374" bestFit="1" customWidth="1"/>
    <col min="4894" max="4894" width="9.5703125" style="374" bestFit="1" customWidth="1"/>
    <col min="4895" max="4895" width="9.28515625" style="374" bestFit="1" customWidth="1"/>
    <col min="4896" max="4896" width="9.5703125" style="374" bestFit="1" customWidth="1"/>
    <col min="4897" max="4902" width="9.28515625" style="374" bestFit="1" customWidth="1"/>
    <col min="4903" max="4905" width="9.5703125" style="374" bestFit="1" customWidth="1"/>
    <col min="4906" max="4908" width="9.28515625" style="374" bestFit="1" customWidth="1"/>
    <col min="4909" max="4909" width="9.5703125" style="374" bestFit="1" customWidth="1"/>
    <col min="4910" max="4912" width="9.28515625" style="374" bestFit="1" customWidth="1"/>
    <col min="4913" max="4916" width="9.5703125" style="374" bestFit="1" customWidth="1"/>
    <col min="4917" max="4918" width="9.28515625" style="374" bestFit="1" customWidth="1"/>
    <col min="4919" max="4919" width="14.140625" style="374" bestFit="1" customWidth="1"/>
    <col min="4920" max="4921" width="9.5703125" style="374" bestFit="1" customWidth="1"/>
    <col min="4922" max="4922" width="9.28515625" style="374" bestFit="1" customWidth="1"/>
    <col min="4923" max="5120" width="9.140625" style="374"/>
    <col min="5121" max="5121" width="27.42578125" style="374" bestFit="1" customWidth="1"/>
    <col min="5122" max="5122" width="27.42578125" style="374" customWidth="1"/>
    <col min="5123" max="5123" width="43.140625" style="374" customWidth="1"/>
    <col min="5124" max="5124" width="12.140625" style="374" customWidth="1"/>
    <col min="5125" max="5125" width="18.5703125" style="374" customWidth="1"/>
    <col min="5126" max="5126" width="14.5703125" style="374" customWidth="1"/>
    <col min="5127" max="5127" width="11.28515625" style="374" customWidth="1"/>
    <col min="5128" max="5128" width="12.140625" style="374" customWidth="1"/>
    <col min="5129" max="5129" width="12.42578125" style="374" customWidth="1"/>
    <col min="5130" max="5130" width="14.140625" style="374" customWidth="1"/>
    <col min="5131" max="5131" width="13.28515625" style="374" bestFit="1" customWidth="1"/>
    <col min="5132" max="5132" width="10.85546875" style="374" bestFit="1" customWidth="1"/>
    <col min="5133" max="5133" width="9.42578125" style="374" customWidth="1"/>
    <col min="5134" max="5135" width="9.5703125" style="374" bestFit="1" customWidth="1"/>
    <col min="5136" max="5136" width="9.28515625" style="374" bestFit="1" customWidth="1"/>
    <col min="5137" max="5143" width="9.5703125" style="374" bestFit="1" customWidth="1"/>
    <col min="5144" max="5144" width="9.28515625" style="374" bestFit="1" customWidth="1"/>
    <col min="5145" max="5145" width="9.5703125" style="374" bestFit="1" customWidth="1"/>
    <col min="5146" max="5147" width="9.28515625" style="374" bestFit="1" customWidth="1"/>
    <col min="5148" max="5148" width="9.5703125" style="374" bestFit="1" customWidth="1"/>
    <col min="5149" max="5149" width="9.28515625" style="374" bestFit="1" customWidth="1"/>
    <col min="5150" max="5150" width="9.5703125" style="374" bestFit="1" customWidth="1"/>
    <col min="5151" max="5151" width="9.28515625" style="374" bestFit="1" customWidth="1"/>
    <col min="5152" max="5152" width="9.5703125" style="374" bestFit="1" customWidth="1"/>
    <col min="5153" max="5158" width="9.28515625" style="374" bestFit="1" customWidth="1"/>
    <col min="5159" max="5161" width="9.5703125" style="374" bestFit="1" customWidth="1"/>
    <col min="5162" max="5164" width="9.28515625" style="374" bestFit="1" customWidth="1"/>
    <col min="5165" max="5165" width="9.5703125" style="374" bestFit="1" customWidth="1"/>
    <col min="5166" max="5168" width="9.28515625" style="374" bestFit="1" customWidth="1"/>
    <col min="5169" max="5172" width="9.5703125" style="374" bestFit="1" customWidth="1"/>
    <col min="5173" max="5174" width="9.28515625" style="374" bestFit="1" customWidth="1"/>
    <col min="5175" max="5175" width="14.140625" style="374" bestFit="1" customWidth="1"/>
    <col min="5176" max="5177" width="9.5703125" style="374" bestFit="1" customWidth="1"/>
    <col min="5178" max="5178" width="9.28515625" style="374" bestFit="1" customWidth="1"/>
    <col min="5179" max="5376" width="9.140625" style="374"/>
    <col min="5377" max="5377" width="27.42578125" style="374" bestFit="1" customWidth="1"/>
    <col min="5378" max="5378" width="27.42578125" style="374" customWidth="1"/>
    <col min="5379" max="5379" width="43.140625" style="374" customWidth="1"/>
    <col min="5380" max="5380" width="12.140625" style="374" customWidth="1"/>
    <col min="5381" max="5381" width="18.5703125" style="374" customWidth="1"/>
    <col min="5382" max="5382" width="14.5703125" style="374" customWidth="1"/>
    <col min="5383" max="5383" width="11.28515625" style="374" customWidth="1"/>
    <col min="5384" max="5384" width="12.140625" style="374" customWidth="1"/>
    <col min="5385" max="5385" width="12.42578125" style="374" customWidth="1"/>
    <col min="5386" max="5386" width="14.140625" style="374" customWidth="1"/>
    <col min="5387" max="5387" width="13.28515625" style="374" bestFit="1" customWidth="1"/>
    <col min="5388" max="5388" width="10.85546875" style="374" bestFit="1" customWidth="1"/>
    <col min="5389" max="5389" width="9.42578125" style="374" customWidth="1"/>
    <col min="5390" max="5391" width="9.5703125" style="374" bestFit="1" customWidth="1"/>
    <col min="5392" max="5392" width="9.28515625" style="374" bestFit="1" customWidth="1"/>
    <col min="5393" max="5399" width="9.5703125" style="374" bestFit="1" customWidth="1"/>
    <col min="5400" max="5400" width="9.28515625" style="374" bestFit="1" customWidth="1"/>
    <col min="5401" max="5401" width="9.5703125" style="374" bestFit="1" customWidth="1"/>
    <col min="5402" max="5403" width="9.28515625" style="374" bestFit="1" customWidth="1"/>
    <col min="5404" max="5404" width="9.5703125" style="374" bestFit="1" customWidth="1"/>
    <col min="5405" max="5405" width="9.28515625" style="374" bestFit="1" customWidth="1"/>
    <col min="5406" max="5406" width="9.5703125" style="374" bestFit="1" customWidth="1"/>
    <col min="5407" max="5407" width="9.28515625" style="374" bestFit="1" customWidth="1"/>
    <col min="5408" max="5408" width="9.5703125" style="374" bestFit="1" customWidth="1"/>
    <col min="5409" max="5414" width="9.28515625" style="374" bestFit="1" customWidth="1"/>
    <col min="5415" max="5417" width="9.5703125" style="374" bestFit="1" customWidth="1"/>
    <col min="5418" max="5420" width="9.28515625" style="374" bestFit="1" customWidth="1"/>
    <col min="5421" max="5421" width="9.5703125" style="374" bestFit="1" customWidth="1"/>
    <col min="5422" max="5424" width="9.28515625" style="374" bestFit="1" customWidth="1"/>
    <col min="5425" max="5428" width="9.5703125" style="374" bestFit="1" customWidth="1"/>
    <col min="5429" max="5430" width="9.28515625" style="374" bestFit="1" customWidth="1"/>
    <col min="5431" max="5431" width="14.140625" style="374" bestFit="1" customWidth="1"/>
    <col min="5432" max="5433" width="9.5703125" style="374" bestFit="1" customWidth="1"/>
    <col min="5434" max="5434" width="9.28515625" style="374" bestFit="1" customWidth="1"/>
    <col min="5435" max="5632" width="9.140625" style="374"/>
    <col min="5633" max="5633" width="27.42578125" style="374" bestFit="1" customWidth="1"/>
    <col min="5634" max="5634" width="27.42578125" style="374" customWidth="1"/>
    <col min="5635" max="5635" width="43.140625" style="374" customWidth="1"/>
    <col min="5636" max="5636" width="12.140625" style="374" customWidth="1"/>
    <col min="5637" max="5637" width="18.5703125" style="374" customWidth="1"/>
    <col min="5638" max="5638" width="14.5703125" style="374" customWidth="1"/>
    <col min="5639" max="5639" width="11.28515625" style="374" customWidth="1"/>
    <col min="5640" max="5640" width="12.140625" style="374" customWidth="1"/>
    <col min="5641" max="5641" width="12.42578125" style="374" customWidth="1"/>
    <col min="5642" max="5642" width="14.140625" style="374" customWidth="1"/>
    <col min="5643" max="5643" width="13.28515625" style="374" bestFit="1" customWidth="1"/>
    <col min="5644" max="5644" width="10.85546875" style="374" bestFit="1" customWidth="1"/>
    <col min="5645" max="5645" width="9.42578125" style="374" customWidth="1"/>
    <col min="5646" max="5647" width="9.5703125" style="374" bestFit="1" customWidth="1"/>
    <col min="5648" max="5648" width="9.28515625" style="374" bestFit="1" customWidth="1"/>
    <col min="5649" max="5655" width="9.5703125" style="374" bestFit="1" customWidth="1"/>
    <col min="5656" max="5656" width="9.28515625" style="374" bestFit="1" customWidth="1"/>
    <col min="5657" max="5657" width="9.5703125" style="374" bestFit="1" customWidth="1"/>
    <col min="5658" max="5659" width="9.28515625" style="374" bestFit="1" customWidth="1"/>
    <col min="5660" max="5660" width="9.5703125" style="374" bestFit="1" customWidth="1"/>
    <col min="5661" max="5661" width="9.28515625" style="374" bestFit="1" customWidth="1"/>
    <col min="5662" max="5662" width="9.5703125" style="374" bestFit="1" customWidth="1"/>
    <col min="5663" max="5663" width="9.28515625" style="374" bestFit="1" customWidth="1"/>
    <col min="5664" max="5664" width="9.5703125" style="374" bestFit="1" customWidth="1"/>
    <col min="5665" max="5670" width="9.28515625" style="374" bestFit="1" customWidth="1"/>
    <col min="5671" max="5673" width="9.5703125" style="374" bestFit="1" customWidth="1"/>
    <col min="5674" max="5676" width="9.28515625" style="374" bestFit="1" customWidth="1"/>
    <col min="5677" max="5677" width="9.5703125" style="374" bestFit="1" customWidth="1"/>
    <col min="5678" max="5680" width="9.28515625" style="374" bestFit="1" customWidth="1"/>
    <col min="5681" max="5684" width="9.5703125" style="374" bestFit="1" customWidth="1"/>
    <col min="5685" max="5686" width="9.28515625" style="374" bestFit="1" customWidth="1"/>
    <col min="5687" max="5687" width="14.140625" style="374" bestFit="1" customWidth="1"/>
    <col min="5688" max="5689" width="9.5703125" style="374" bestFit="1" customWidth="1"/>
    <col min="5690" max="5690" width="9.28515625" style="374" bestFit="1" customWidth="1"/>
    <col min="5691" max="5888" width="9.140625" style="374"/>
    <col min="5889" max="5889" width="27.42578125" style="374" bestFit="1" customWidth="1"/>
    <col min="5890" max="5890" width="27.42578125" style="374" customWidth="1"/>
    <col min="5891" max="5891" width="43.140625" style="374" customWidth="1"/>
    <col min="5892" max="5892" width="12.140625" style="374" customWidth="1"/>
    <col min="5893" max="5893" width="18.5703125" style="374" customWidth="1"/>
    <col min="5894" max="5894" width="14.5703125" style="374" customWidth="1"/>
    <col min="5895" max="5895" width="11.28515625" style="374" customWidth="1"/>
    <col min="5896" max="5896" width="12.140625" style="374" customWidth="1"/>
    <col min="5897" max="5897" width="12.42578125" style="374" customWidth="1"/>
    <col min="5898" max="5898" width="14.140625" style="374" customWidth="1"/>
    <col min="5899" max="5899" width="13.28515625" style="374" bestFit="1" customWidth="1"/>
    <col min="5900" max="5900" width="10.85546875" style="374" bestFit="1" customWidth="1"/>
    <col min="5901" max="5901" width="9.42578125" style="374" customWidth="1"/>
    <col min="5902" max="5903" width="9.5703125" style="374" bestFit="1" customWidth="1"/>
    <col min="5904" max="5904" width="9.28515625" style="374" bestFit="1" customWidth="1"/>
    <col min="5905" max="5911" width="9.5703125" style="374" bestFit="1" customWidth="1"/>
    <col min="5912" max="5912" width="9.28515625" style="374" bestFit="1" customWidth="1"/>
    <col min="5913" max="5913" width="9.5703125" style="374" bestFit="1" customWidth="1"/>
    <col min="5914" max="5915" width="9.28515625" style="374" bestFit="1" customWidth="1"/>
    <col min="5916" max="5916" width="9.5703125" style="374" bestFit="1" customWidth="1"/>
    <col min="5917" max="5917" width="9.28515625" style="374" bestFit="1" customWidth="1"/>
    <col min="5918" max="5918" width="9.5703125" style="374" bestFit="1" customWidth="1"/>
    <col min="5919" max="5919" width="9.28515625" style="374" bestFit="1" customWidth="1"/>
    <col min="5920" max="5920" width="9.5703125" style="374" bestFit="1" customWidth="1"/>
    <col min="5921" max="5926" width="9.28515625" style="374" bestFit="1" customWidth="1"/>
    <col min="5927" max="5929" width="9.5703125" style="374" bestFit="1" customWidth="1"/>
    <col min="5930" max="5932" width="9.28515625" style="374" bestFit="1" customWidth="1"/>
    <col min="5933" max="5933" width="9.5703125" style="374" bestFit="1" customWidth="1"/>
    <col min="5934" max="5936" width="9.28515625" style="374" bestFit="1" customWidth="1"/>
    <col min="5937" max="5940" width="9.5703125" style="374" bestFit="1" customWidth="1"/>
    <col min="5941" max="5942" width="9.28515625" style="374" bestFit="1" customWidth="1"/>
    <col min="5943" max="5943" width="14.140625" style="374" bestFit="1" customWidth="1"/>
    <col min="5944" max="5945" width="9.5703125" style="374" bestFit="1" customWidth="1"/>
    <col min="5946" max="5946" width="9.28515625" style="374" bestFit="1" customWidth="1"/>
    <col min="5947" max="6144" width="9.140625" style="374"/>
    <col min="6145" max="6145" width="27.42578125" style="374" bestFit="1" customWidth="1"/>
    <col min="6146" max="6146" width="27.42578125" style="374" customWidth="1"/>
    <col min="6147" max="6147" width="43.140625" style="374" customWidth="1"/>
    <col min="6148" max="6148" width="12.140625" style="374" customWidth="1"/>
    <col min="6149" max="6149" width="18.5703125" style="374" customWidth="1"/>
    <col min="6150" max="6150" width="14.5703125" style="374" customWidth="1"/>
    <col min="6151" max="6151" width="11.28515625" style="374" customWidth="1"/>
    <col min="6152" max="6152" width="12.140625" style="374" customWidth="1"/>
    <col min="6153" max="6153" width="12.42578125" style="374" customWidth="1"/>
    <col min="6154" max="6154" width="14.140625" style="374" customWidth="1"/>
    <col min="6155" max="6155" width="13.28515625" style="374" bestFit="1" customWidth="1"/>
    <col min="6156" max="6156" width="10.85546875" style="374" bestFit="1" customWidth="1"/>
    <col min="6157" max="6157" width="9.42578125" style="374" customWidth="1"/>
    <col min="6158" max="6159" width="9.5703125" style="374" bestFit="1" customWidth="1"/>
    <col min="6160" max="6160" width="9.28515625" style="374" bestFit="1" customWidth="1"/>
    <col min="6161" max="6167" width="9.5703125" style="374" bestFit="1" customWidth="1"/>
    <col min="6168" max="6168" width="9.28515625" style="374" bestFit="1" customWidth="1"/>
    <col min="6169" max="6169" width="9.5703125" style="374" bestFit="1" customWidth="1"/>
    <col min="6170" max="6171" width="9.28515625" style="374" bestFit="1" customWidth="1"/>
    <col min="6172" max="6172" width="9.5703125" style="374" bestFit="1" customWidth="1"/>
    <col min="6173" max="6173" width="9.28515625" style="374" bestFit="1" customWidth="1"/>
    <col min="6174" max="6174" width="9.5703125" style="374" bestFit="1" customWidth="1"/>
    <col min="6175" max="6175" width="9.28515625" style="374" bestFit="1" customWidth="1"/>
    <col min="6176" max="6176" width="9.5703125" style="374" bestFit="1" customWidth="1"/>
    <col min="6177" max="6182" width="9.28515625" style="374" bestFit="1" customWidth="1"/>
    <col min="6183" max="6185" width="9.5703125" style="374" bestFit="1" customWidth="1"/>
    <col min="6186" max="6188" width="9.28515625" style="374" bestFit="1" customWidth="1"/>
    <col min="6189" max="6189" width="9.5703125" style="374" bestFit="1" customWidth="1"/>
    <col min="6190" max="6192" width="9.28515625" style="374" bestFit="1" customWidth="1"/>
    <col min="6193" max="6196" width="9.5703125" style="374" bestFit="1" customWidth="1"/>
    <col min="6197" max="6198" width="9.28515625" style="374" bestFit="1" customWidth="1"/>
    <col min="6199" max="6199" width="14.140625" style="374" bestFit="1" customWidth="1"/>
    <col min="6200" max="6201" width="9.5703125" style="374" bestFit="1" customWidth="1"/>
    <col min="6202" max="6202" width="9.28515625" style="374" bestFit="1" customWidth="1"/>
    <col min="6203" max="6400" width="9.140625" style="374"/>
    <col min="6401" max="6401" width="27.42578125" style="374" bestFit="1" customWidth="1"/>
    <col min="6402" max="6402" width="27.42578125" style="374" customWidth="1"/>
    <col min="6403" max="6403" width="43.140625" style="374" customWidth="1"/>
    <col min="6404" max="6404" width="12.140625" style="374" customWidth="1"/>
    <col min="6405" max="6405" width="18.5703125" style="374" customWidth="1"/>
    <col min="6406" max="6406" width="14.5703125" style="374" customWidth="1"/>
    <col min="6407" max="6407" width="11.28515625" style="374" customWidth="1"/>
    <col min="6408" max="6408" width="12.140625" style="374" customWidth="1"/>
    <col min="6409" max="6409" width="12.42578125" style="374" customWidth="1"/>
    <col min="6410" max="6410" width="14.140625" style="374" customWidth="1"/>
    <col min="6411" max="6411" width="13.28515625" style="374" bestFit="1" customWidth="1"/>
    <col min="6412" max="6412" width="10.85546875" style="374" bestFit="1" customWidth="1"/>
    <col min="6413" max="6413" width="9.42578125" style="374" customWidth="1"/>
    <col min="6414" max="6415" width="9.5703125" style="374" bestFit="1" customWidth="1"/>
    <col min="6416" max="6416" width="9.28515625" style="374" bestFit="1" customWidth="1"/>
    <col min="6417" max="6423" width="9.5703125" style="374" bestFit="1" customWidth="1"/>
    <col min="6424" max="6424" width="9.28515625" style="374" bestFit="1" customWidth="1"/>
    <col min="6425" max="6425" width="9.5703125" style="374" bestFit="1" customWidth="1"/>
    <col min="6426" max="6427" width="9.28515625" style="374" bestFit="1" customWidth="1"/>
    <col min="6428" max="6428" width="9.5703125" style="374" bestFit="1" customWidth="1"/>
    <col min="6429" max="6429" width="9.28515625" style="374" bestFit="1" customWidth="1"/>
    <col min="6430" max="6430" width="9.5703125" style="374" bestFit="1" customWidth="1"/>
    <col min="6431" max="6431" width="9.28515625" style="374" bestFit="1" customWidth="1"/>
    <col min="6432" max="6432" width="9.5703125" style="374" bestFit="1" customWidth="1"/>
    <col min="6433" max="6438" width="9.28515625" style="374" bestFit="1" customWidth="1"/>
    <col min="6439" max="6441" width="9.5703125" style="374" bestFit="1" customWidth="1"/>
    <col min="6442" max="6444" width="9.28515625" style="374" bestFit="1" customWidth="1"/>
    <col min="6445" max="6445" width="9.5703125" style="374" bestFit="1" customWidth="1"/>
    <col min="6446" max="6448" width="9.28515625" style="374" bestFit="1" customWidth="1"/>
    <col min="6449" max="6452" width="9.5703125" style="374" bestFit="1" customWidth="1"/>
    <col min="6453" max="6454" width="9.28515625" style="374" bestFit="1" customWidth="1"/>
    <col min="6455" max="6455" width="14.140625" style="374" bestFit="1" customWidth="1"/>
    <col min="6456" max="6457" width="9.5703125" style="374" bestFit="1" customWidth="1"/>
    <col min="6458" max="6458" width="9.28515625" style="374" bestFit="1" customWidth="1"/>
    <col min="6459" max="6656" width="9.140625" style="374"/>
    <col min="6657" max="6657" width="27.42578125" style="374" bestFit="1" customWidth="1"/>
    <col min="6658" max="6658" width="27.42578125" style="374" customWidth="1"/>
    <col min="6659" max="6659" width="43.140625" style="374" customWidth="1"/>
    <col min="6660" max="6660" width="12.140625" style="374" customWidth="1"/>
    <col min="6661" max="6661" width="18.5703125" style="374" customWidth="1"/>
    <col min="6662" max="6662" width="14.5703125" style="374" customWidth="1"/>
    <col min="6663" max="6663" width="11.28515625" style="374" customWidth="1"/>
    <col min="6664" max="6664" width="12.140625" style="374" customWidth="1"/>
    <col min="6665" max="6665" width="12.42578125" style="374" customWidth="1"/>
    <col min="6666" max="6666" width="14.140625" style="374" customWidth="1"/>
    <col min="6667" max="6667" width="13.28515625" style="374" bestFit="1" customWidth="1"/>
    <col min="6668" max="6668" width="10.85546875" style="374" bestFit="1" customWidth="1"/>
    <col min="6669" max="6669" width="9.42578125" style="374" customWidth="1"/>
    <col min="6670" max="6671" width="9.5703125" style="374" bestFit="1" customWidth="1"/>
    <col min="6672" max="6672" width="9.28515625" style="374" bestFit="1" customWidth="1"/>
    <col min="6673" max="6679" width="9.5703125" style="374" bestFit="1" customWidth="1"/>
    <col min="6680" max="6680" width="9.28515625" style="374" bestFit="1" customWidth="1"/>
    <col min="6681" max="6681" width="9.5703125" style="374" bestFit="1" customWidth="1"/>
    <col min="6682" max="6683" width="9.28515625" style="374" bestFit="1" customWidth="1"/>
    <col min="6684" max="6684" width="9.5703125" style="374" bestFit="1" customWidth="1"/>
    <col min="6685" max="6685" width="9.28515625" style="374" bestFit="1" customWidth="1"/>
    <col min="6686" max="6686" width="9.5703125" style="374" bestFit="1" customWidth="1"/>
    <col min="6687" max="6687" width="9.28515625" style="374" bestFit="1" customWidth="1"/>
    <col min="6688" max="6688" width="9.5703125" style="374" bestFit="1" customWidth="1"/>
    <col min="6689" max="6694" width="9.28515625" style="374" bestFit="1" customWidth="1"/>
    <col min="6695" max="6697" width="9.5703125" style="374" bestFit="1" customWidth="1"/>
    <col min="6698" max="6700" width="9.28515625" style="374" bestFit="1" customWidth="1"/>
    <col min="6701" max="6701" width="9.5703125" style="374" bestFit="1" customWidth="1"/>
    <col min="6702" max="6704" width="9.28515625" style="374" bestFit="1" customWidth="1"/>
    <col min="6705" max="6708" width="9.5703125" style="374" bestFit="1" customWidth="1"/>
    <col min="6709" max="6710" width="9.28515625" style="374" bestFit="1" customWidth="1"/>
    <col min="6711" max="6711" width="14.140625" style="374" bestFit="1" customWidth="1"/>
    <col min="6712" max="6713" width="9.5703125" style="374" bestFit="1" customWidth="1"/>
    <col min="6714" max="6714" width="9.28515625" style="374" bestFit="1" customWidth="1"/>
    <col min="6715" max="6912" width="9.140625" style="374"/>
    <col min="6913" max="6913" width="27.42578125" style="374" bestFit="1" customWidth="1"/>
    <col min="6914" max="6914" width="27.42578125" style="374" customWidth="1"/>
    <col min="6915" max="6915" width="43.140625" style="374" customWidth="1"/>
    <col min="6916" max="6916" width="12.140625" style="374" customWidth="1"/>
    <col min="6917" max="6917" width="18.5703125" style="374" customWidth="1"/>
    <col min="6918" max="6918" width="14.5703125" style="374" customWidth="1"/>
    <col min="6919" max="6919" width="11.28515625" style="374" customWidth="1"/>
    <col min="6920" max="6920" width="12.140625" style="374" customWidth="1"/>
    <col min="6921" max="6921" width="12.42578125" style="374" customWidth="1"/>
    <col min="6922" max="6922" width="14.140625" style="374" customWidth="1"/>
    <col min="6923" max="6923" width="13.28515625" style="374" bestFit="1" customWidth="1"/>
    <col min="6924" max="6924" width="10.85546875" style="374" bestFit="1" customWidth="1"/>
    <col min="6925" max="6925" width="9.42578125" style="374" customWidth="1"/>
    <col min="6926" max="6927" width="9.5703125" style="374" bestFit="1" customWidth="1"/>
    <col min="6928" max="6928" width="9.28515625" style="374" bestFit="1" customWidth="1"/>
    <col min="6929" max="6935" width="9.5703125" style="374" bestFit="1" customWidth="1"/>
    <col min="6936" max="6936" width="9.28515625" style="374" bestFit="1" customWidth="1"/>
    <col min="6937" max="6937" width="9.5703125" style="374" bestFit="1" customWidth="1"/>
    <col min="6938" max="6939" width="9.28515625" style="374" bestFit="1" customWidth="1"/>
    <col min="6940" max="6940" width="9.5703125" style="374" bestFit="1" customWidth="1"/>
    <col min="6941" max="6941" width="9.28515625" style="374" bestFit="1" customWidth="1"/>
    <col min="6942" max="6942" width="9.5703125" style="374" bestFit="1" customWidth="1"/>
    <col min="6943" max="6943" width="9.28515625" style="374" bestFit="1" customWidth="1"/>
    <col min="6944" max="6944" width="9.5703125" style="374" bestFit="1" customWidth="1"/>
    <col min="6945" max="6950" width="9.28515625" style="374" bestFit="1" customWidth="1"/>
    <col min="6951" max="6953" width="9.5703125" style="374" bestFit="1" customWidth="1"/>
    <col min="6954" max="6956" width="9.28515625" style="374" bestFit="1" customWidth="1"/>
    <col min="6957" max="6957" width="9.5703125" style="374" bestFit="1" customWidth="1"/>
    <col min="6958" max="6960" width="9.28515625" style="374" bestFit="1" customWidth="1"/>
    <col min="6961" max="6964" width="9.5703125" style="374" bestFit="1" customWidth="1"/>
    <col min="6965" max="6966" width="9.28515625" style="374" bestFit="1" customWidth="1"/>
    <col min="6967" max="6967" width="14.140625" style="374" bestFit="1" customWidth="1"/>
    <col min="6968" max="6969" width="9.5703125" style="374" bestFit="1" customWidth="1"/>
    <col min="6970" max="6970" width="9.28515625" style="374" bestFit="1" customWidth="1"/>
    <col min="6971" max="7168" width="9.140625" style="374"/>
    <col min="7169" max="7169" width="27.42578125" style="374" bestFit="1" customWidth="1"/>
    <col min="7170" max="7170" width="27.42578125" style="374" customWidth="1"/>
    <col min="7171" max="7171" width="43.140625" style="374" customWidth="1"/>
    <col min="7172" max="7172" width="12.140625" style="374" customWidth="1"/>
    <col min="7173" max="7173" width="18.5703125" style="374" customWidth="1"/>
    <col min="7174" max="7174" width="14.5703125" style="374" customWidth="1"/>
    <col min="7175" max="7175" width="11.28515625" style="374" customWidth="1"/>
    <col min="7176" max="7176" width="12.140625" style="374" customWidth="1"/>
    <col min="7177" max="7177" width="12.42578125" style="374" customWidth="1"/>
    <col min="7178" max="7178" width="14.140625" style="374" customWidth="1"/>
    <col min="7179" max="7179" width="13.28515625" style="374" bestFit="1" customWidth="1"/>
    <col min="7180" max="7180" width="10.85546875" style="374" bestFit="1" customWidth="1"/>
    <col min="7181" max="7181" width="9.42578125" style="374" customWidth="1"/>
    <col min="7182" max="7183" width="9.5703125" style="374" bestFit="1" customWidth="1"/>
    <col min="7184" max="7184" width="9.28515625" style="374" bestFit="1" customWidth="1"/>
    <col min="7185" max="7191" width="9.5703125" style="374" bestFit="1" customWidth="1"/>
    <col min="7192" max="7192" width="9.28515625" style="374" bestFit="1" customWidth="1"/>
    <col min="7193" max="7193" width="9.5703125" style="374" bestFit="1" customWidth="1"/>
    <col min="7194" max="7195" width="9.28515625" style="374" bestFit="1" customWidth="1"/>
    <col min="7196" max="7196" width="9.5703125" style="374" bestFit="1" customWidth="1"/>
    <col min="7197" max="7197" width="9.28515625" style="374" bestFit="1" customWidth="1"/>
    <col min="7198" max="7198" width="9.5703125" style="374" bestFit="1" customWidth="1"/>
    <col min="7199" max="7199" width="9.28515625" style="374" bestFit="1" customWidth="1"/>
    <col min="7200" max="7200" width="9.5703125" style="374" bestFit="1" customWidth="1"/>
    <col min="7201" max="7206" width="9.28515625" style="374" bestFit="1" customWidth="1"/>
    <col min="7207" max="7209" width="9.5703125" style="374" bestFit="1" customWidth="1"/>
    <col min="7210" max="7212" width="9.28515625" style="374" bestFit="1" customWidth="1"/>
    <col min="7213" max="7213" width="9.5703125" style="374" bestFit="1" customWidth="1"/>
    <col min="7214" max="7216" width="9.28515625" style="374" bestFit="1" customWidth="1"/>
    <col min="7217" max="7220" width="9.5703125" style="374" bestFit="1" customWidth="1"/>
    <col min="7221" max="7222" width="9.28515625" style="374" bestFit="1" customWidth="1"/>
    <col min="7223" max="7223" width="14.140625" style="374" bestFit="1" customWidth="1"/>
    <col min="7224" max="7225" width="9.5703125" style="374" bestFit="1" customWidth="1"/>
    <col min="7226" max="7226" width="9.28515625" style="374" bestFit="1" customWidth="1"/>
    <col min="7227" max="7424" width="9.140625" style="374"/>
    <col min="7425" max="7425" width="27.42578125" style="374" bestFit="1" customWidth="1"/>
    <col min="7426" max="7426" width="27.42578125" style="374" customWidth="1"/>
    <col min="7427" max="7427" width="43.140625" style="374" customWidth="1"/>
    <col min="7428" max="7428" width="12.140625" style="374" customWidth="1"/>
    <col min="7429" max="7429" width="18.5703125" style="374" customWidth="1"/>
    <col min="7430" max="7430" width="14.5703125" style="374" customWidth="1"/>
    <col min="7431" max="7431" width="11.28515625" style="374" customWidth="1"/>
    <col min="7432" max="7432" width="12.140625" style="374" customWidth="1"/>
    <col min="7433" max="7433" width="12.42578125" style="374" customWidth="1"/>
    <col min="7434" max="7434" width="14.140625" style="374" customWidth="1"/>
    <col min="7435" max="7435" width="13.28515625" style="374" bestFit="1" customWidth="1"/>
    <col min="7436" max="7436" width="10.85546875" style="374" bestFit="1" customWidth="1"/>
    <col min="7437" max="7437" width="9.42578125" style="374" customWidth="1"/>
    <col min="7438" max="7439" width="9.5703125" style="374" bestFit="1" customWidth="1"/>
    <col min="7440" max="7440" width="9.28515625" style="374" bestFit="1" customWidth="1"/>
    <col min="7441" max="7447" width="9.5703125" style="374" bestFit="1" customWidth="1"/>
    <col min="7448" max="7448" width="9.28515625" style="374" bestFit="1" customWidth="1"/>
    <col min="7449" max="7449" width="9.5703125" style="374" bestFit="1" customWidth="1"/>
    <col min="7450" max="7451" width="9.28515625" style="374" bestFit="1" customWidth="1"/>
    <col min="7452" max="7452" width="9.5703125" style="374" bestFit="1" customWidth="1"/>
    <col min="7453" max="7453" width="9.28515625" style="374" bestFit="1" customWidth="1"/>
    <col min="7454" max="7454" width="9.5703125" style="374" bestFit="1" customWidth="1"/>
    <col min="7455" max="7455" width="9.28515625" style="374" bestFit="1" customWidth="1"/>
    <col min="7456" max="7456" width="9.5703125" style="374" bestFit="1" customWidth="1"/>
    <col min="7457" max="7462" width="9.28515625" style="374" bestFit="1" customWidth="1"/>
    <col min="7463" max="7465" width="9.5703125" style="374" bestFit="1" customWidth="1"/>
    <col min="7466" max="7468" width="9.28515625" style="374" bestFit="1" customWidth="1"/>
    <col min="7469" max="7469" width="9.5703125" style="374" bestFit="1" customWidth="1"/>
    <col min="7470" max="7472" width="9.28515625" style="374" bestFit="1" customWidth="1"/>
    <col min="7473" max="7476" width="9.5703125" style="374" bestFit="1" customWidth="1"/>
    <col min="7477" max="7478" width="9.28515625" style="374" bestFit="1" customWidth="1"/>
    <col min="7479" max="7479" width="14.140625" style="374" bestFit="1" customWidth="1"/>
    <col min="7480" max="7481" width="9.5703125" style="374" bestFit="1" customWidth="1"/>
    <col min="7482" max="7482" width="9.28515625" style="374" bestFit="1" customWidth="1"/>
    <col min="7483" max="7680" width="9.140625" style="374"/>
    <col min="7681" max="7681" width="27.42578125" style="374" bestFit="1" customWidth="1"/>
    <col min="7682" max="7682" width="27.42578125" style="374" customWidth="1"/>
    <col min="7683" max="7683" width="43.140625" style="374" customWidth="1"/>
    <col min="7684" max="7684" width="12.140625" style="374" customWidth="1"/>
    <col min="7685" max="7685" width="18.5703125" style="374" customWidth="1"/>
    <col min="7686" max="7686" width="14.5703125" style="374" customWidth="1"/>
    <col min="7687" max="7687" width="11.28515625" style="374" customWidth="1"/>
    <col min="7688" max="7688" width="12.140625" style="374" customWidth="1"/>
    <col min="7689" max="7689" width="12.42578125" style="374" customWidth="1"/>
    <col min="7690" max="7690" width="14.140625" style="374" customWidth="1"/>
    <col min="7691" max="7691" width="13.28515625" style="374" bestFit="1" customWidth="1"/>
    <col min="7692" max="7692" width="10.85546875" style="374" bestFit="1" customWidth="1"/>
    <col min="7693" max="7693" width="9.42578125" style="374" customWidth="1"/>
    <col min="7694" max="7695" width="9.5703125" style="374" bestFit="1" customWidth="1"/>
    <col min="7696" max="7696" width="9.28515625" style="374" bestFit="1" customWidth="1"/>
    <col min="7697" max="7703" width="9.5703125" style="374" bestFit="1" customWidth="1"/>
    <col min="7704" max="7704" width="9.28515625" style="374" bestFit="1" customWidth="1"/>
    <col min="7705" max="7705" width="9.5703125" style="374" bestFit="1" customWidth="1"/>
    <col min="7706" max="7707" width="9.28515625" style="374" bestFit="1" customWidth="1"/>
    <col min="7708" max="7708" width="9.5703125" style="374" bestFit="1" customWidth="1"/>
    <col min="7709" max="7709" width="9.28515625" style="374" bestFit="1" customWidth="1"/>
    <col min="7710" max="7710" width="9.5703125" style="374" bestFit="1" customWidth="1"/>
    <col min="7711" max="7711" width="9.28515625" style="374" bestFit="1" customWidth="1"/>
    <col min="7712" max="7712" width="9.5703125" style="374" bestFit="1" customWidth="1"/>
    <col min="7713" max="7718" width="9.28515625" style="374" bestFit="1" customWidth="1"/>
    <col min="7719" max="7721" width="9.5703125" style="374" bestFit="1" customWidth="1"/>
    <col min="7722" max="7724" width="9.28515625" style="374" bestFit="1" customWidth="1"/>
    <col min="7725" max="7725" width="9.5703125" style="374" bestFit="1" customWidth="1"/>
    <col min="7726" max="7728" width="9.28515625" style="374" bestFit="1" customWidth="1"/>
    <col min="7729" max="7732" width="9.5703125" style="374" bestFit="1" customWidth="1"/>
    <col min="7733" max="7734" width="9.28515625" style="374" bestFit="1" customWidth="1"/>
    <col min="7735" max="7735" width="14.140625" style="374" bestFit="1" customWidth="1"/>
    <col min="7736" max="7737" width="9.5703125" style="374" bestFit="1" customWidth="1"/>
    <col min="7738" max="7738" width="9.28515625" style="374" bestFit="1" customWidth="1"/>
    <col min="7739" max="7936" width="9.140625" style="374"/>
    <col min="7937" max="7937" width="27.42578125" style="374" bestFit="1" customWidth="1"/>
    <col min="7938" max="7938" width="27.42578125" style="374" customWidth="1"/>
    <col min="7939" max="7939" width="43.140625" style="374" customWidth="1"/>
    <col min="7940" max="7940" width="12.140625" style="374" customWidth="1"/>
    <col min="7941" max="7941" width="18.5703125" style="374" customWidth="1"/>
    <col min="7942" max="7942" width="14.5703125" style="374" customWidth="1"/>
    <col min="7943" max="7943" width="11.28515625" style="374" customWidth="1"/>
    <col min="7944" max="7944" width="12.140625" style="374" customWidth="1"/>
    <col min="7945" max="7945" width="12.42578125" style="374" customWidth="1"/>
    <col min="7946" max="7946" width="14.140625" style="374" customWidth="1"/>
    <col min="7947" max="7947" width="13.28515625" style="374" bestFit="1" customWidth="1"/>
    <col min="7948" max="7948" width="10.85546875" style="374" bestFit="1" customWidth="1"/>
    <col min="7949" max="7949" width="9.42578125" style="374" customWidth="1"/>
    <col min="7950" max="7951" width="9.5703125" style="374" bestFit="1" customWidth="1"/>
    <col min="7952" max="7952" width="9.28515625" style="374" bestFit="1" customWidth="1"/>
    <col min="7953" max="7959" width="9.5703125" style="374" bestFit="1" customWidth="1"/>
    <col min="7960" max="7960" width="9.28515625" style="374" bestFit="1" customWidth="1"/>
    <col min="7961" max="7961" width="9.5703125" style="374" bestFit="1" customWidth="1"/>
    <col min="7962" max="7963" width="9.28515625" style="374" bestFit="1" customWidth="1"/>
    <col min="7964" max="7964" width="9.5703125" style="374" bestFit="1" customWidth="1"/>
    <col min="7965" max="7965" width="9.28515625" style="374" bestFit="1" customWidth="1"/>
    <col min="7966" max="7966" width="9.5703125" style="374" bestFit="1" customWidth="1"/>
    <col min="7967" max="7967" width="9.28515625" style="374" bestFit="1" customWidth="1"/>
    <col min="7968" max="7968" width="9.5703125" style="374" bestFit="1" customWidth="1"/>
    <col min="7969" max="7974" width="9.28515625" style="374" bestFit="1" customWidth="1"/>
    <col min="7975" max="7977" width="9.5703125" style="374" bestFit="1" customWidth="1"/>
    <col min="7978" max="7980" width="9.28515625" style="374" bestFit="1" customWidth="1"/>
    <col min="7981" max="7981" width="9.5703125" style="374" bestFit="1" customWidth="1"/>
    <col min="7982" max="7984" width="9.28515625" style="374" bestFit="1" customWidth="1"/>
    <col min="7985" max="7988" width="9.5703125" style="374" bestFit="1" customWidth="1"/>
    <col min="7989" max="7990" width="9.28515625" style="374" bestFit="1" customWidth="1"/>
    <col min="7991" max="7991" width="14.140625" style="374" bestFit="1" customWidth="1"/>
    <col min="7992" max="7993" width="9.5703125" style="374" bestFit="1" customWidth="1"/>
    <col min="7994" max="7994" width="9.28515625" style="374" bestFit="1" customWidth="1"/>
    <col min="7995" max="8192" width="9.140625" style="374"/>
    <col min="8193" max="8193" width="27.42578125" style="374" bestFit="1" customWidth="1"/>
    <col min="8194" max="8194" width="27.42578125" style="374" customWidth="1"/>
    <col min="8195" max="8195" width="43.140625" style="374" customWidth="1"/>
    <col min="8196" max="8196" width="12.140625" style="374" customWidth="1"/>
    <col min="8197" max="8197" width="18.5703125" style="374" customWidth="1"/>
    <col min="8198" max="8198" width="14.5703125" style="374" customWidth="1"/>
    <col min="8199" max="8199" width="11.28515625" style="374" customWidth="1"/>
    <col min="8200" max="8200" width="12.140625" style="374" customWidth="1"/>
    <col min="8201" max="8201" width="12.42578125" style="374" customWidth="1"/>
    <col min="8202" max="8202" width="14.140625" style="374" customWidth="1"/>
    <col min="8203" max="8203" width="13.28515625" style="374" bestFit="1" customWidth="1"/>
    <col min="8204" max="8204" width="10.85546875" style="374" bestFit="1" customWidth="1"/>
    <col min="8205" max="8205" width="9.42578125" style="374" customWidth="1"/>
    <col min="8206" max="8207" width="9.5703125" style="374" bestFit="1" customWidth="1"/>
    <col min="8208" max="8208" width="9.28515625" style="374" bestFit="1" customWidth="1"/>
    <col min="8209" max="8215" width="9.5703125" style="374" bestFit="1" customWidth="1"/>
    <col min="8216" max="8216" width="9.28515625" style="374" bestFit="1" customWidth="1"/>
    <col min="8217" max="8217" width="9.5703125" style="374" bestFit="1" customWidth="1"/>
    <col min="8218" max="8219" width="9.28515625" style="374" bestFit="1" customWidth="1"/>
    <col min="8220" max="8220" width="9.5703125" style="374" bestFit="1" customWidth="1"/>
    <col min="8221" max="8221" width="9.28515625" style="374" bestFit="1" customWidth="1"/>
    <col min="8222" max="8222" width="9.5703125" style="374" bestFit="1" customWidth="1"/>
    <col min="8223" max="8223" width="9.28515625" style="374" bestFit="1" customWidth="1"/>
    <col min="8224" max="8224" width="9.5703125" style="374" bestFit="1" customWidth="1"/>
    <col min="8225" max="8230" width="9.28515625" style="374" bestFit="1" customWidth="1"/>
    <col min="8231" max="8233" width="9.5703125" style="374" bestFit="1" customWidth="1"/>
    <col min="8234" max="8236" width="9.28515625" style="374" bestFit="1" customWidth="1"/>
    <col min="8237" max="8237" width="9.5703125" style="374" bestFit="1" customWidth="1"/>
    <col min="8238" max="8240" width="9.28515625" style="374" bestFit="1" customWidth="1"/>
    <col min="8241" max="8244" width="9.5703125" style="374" bestFit="1" customWidth="1"/>
    <col min="8245" max="8246" width="9.28515625" style="374" bestFit="1" customWidth="1"/>
    <col min="8247" max="8247" width="14.140625" style="374" bestFit="1" customWidth="1"/>
    <col min="8248" max="8249" width="9.5703125" style="374" bestFit="1" customWidth="1"/>
    <col min="8250" max="8250" width="9.28515625" style="374" bestFit="1" customWidth="1"/>
    <col min="8251" max="8448" width="9.140625" style="374"/>
    <col min="8449" max="8449" width="27.42578125" style="374" bestFit="1" customWidth="1"/>
    <col min="8450" max="8450" width="27.42578125" style="374" customWidth="1"/>
    <col min="8451" max="8451" width="43.140625" style="374" customWidth="1"/>
    <col min="8452" max="8452" width="12.140625" style="374" customWidth="1"/>
    <col min="8453" max="8453" width="18.5703125" style="374" customWidth="1"/>
    <col min="8454" max="8454" width="14.5703125" style="374" customWidth="1"/>
    <col min="8455" max="8455" width="11.28515625" style="374" customWidth="1"/>
    <col min="8456" max="8456" width="12.140625" style="374" customWidth="1"/>
    <col min="8457" max="8457" width="12.42578125" style="374" customWidth="1"/>
    <col min="8458" max="8458" width="14.140625" style="374" customWidth="1"/>
    <col min="8459" max="8459" width="13.28515625" style="374" bestFit="1" customWidth="1"/>
    <col min="8460" max="8460" width="10.85546875" style="374" bestFit="1" customWidth="1"/>
    <col min="8461" max="8461" width="9.42578125" style="374" customWidth="1"/>
    <col min="8462" max="8463" width="9.5703125" style="374" bestFit="1" customWidth="1"/>
    <col min="8464" max="8464" width="9.28515625" style="374" bestFit="1" customWidth="1"/>
    <col min="8465" max="8471" width="9.5703125" style="374" bestFit="1" customWidth="1"/>
    <col min="8472" max="8472" width="9.28515625" style="374" bestFit="1" customWidth="1"/>
    <col min="8473" max="8473" width="9.5703125" style="374" bestFit="1" customWidth="1"/>
    <col min="8474" max="8475" width="9.28515625" style="374" bestFit="1" customWidth="1"/>
    <col min="8476" max="8476" width="9.5703125" style="374" bestFit="1" customWidth="1"/>
    <col min="8477" max="8477" width="9.28515625" style="374" bestFit="1" customWidth="1"/>
    <col min="8478" max="8478" width="9.5703125" style="374" bestFit="1" customWidth="1"/>
    <col min="8479" max="8479" width="9.28515625" style="374" bestFit="1" customWidth="1"/>
    <col min="8480" max="8480" width="9.5703125" style="374" bestFit="1" customWidth="1"/>
    <col min="8481" max="8486" width="9.28515625" style="374" bestFit="1" customWidth="1"/>
    <col min="8487" max="8489" width="9.5703125" style="374" bestFit="1" customWidth="1"/>
    <col min="8490" max="8492" width="9.28515625" style="374" bestFit="1" customWidth="1"/>
    <col min="8493" max="8493" width="9.5703125" style="374" bestFit="1" customWidth="1"/>
    <col min="8494" max="8496" width="9.28515625" style="374" bestFit="1" customWidth="1"/>
    <col min="8497" max="8500" width="9.5703125" style="374" bestFit="1" customWidth="1"/>
    <col min="8501" max="8502" width="9.28515625" style="374" bestFit="1" customWidth="1"/>
    <col min="8503" max="8503" width="14.140625" style="374" bestFit="1" customWidth="1"/>
    <col min="8504" max="8505" width="9.5703125" style="374" bestFit="1" customWidth="1"/>
    <col min="8506" max="8506" width="9.28515625" style="374" bestFit="1" customWidth="1"/>
    <col min="8507" max="8704" width="9.140625" style="374"/>
    <col min="8705" max="8705" width="27.42578125" style="374" bestFit="1" customWidth="1"/>
    <col min="8706" max="8706" width="27.42578125" style="374" customWidth="1"/>
    <col min="8707" max="8707" width="43.140625" style="374" customWidth="1"/>
    <col min="8708" max="8708" width="12.140625" style="374" customWidth="1"/>
    <col min="8709" max="8709" width="18.5703125" style="374" customWidth="1"/>
    <col min="8710" max="8710" width="14.5703125" style="374" customWidth="1"/>
    <col min="8711" max="8711" width="11.28515625" style="374" customWidth="1"/>
    <col min="8712" max="8712" width="12.140625" style="374" customWidth="1"/>
    <col min="8713" max="8713" width="12.42578125" style="374" customWidth="1"/>
    <col min="8714" max="8714" width="14.140625" style="374" customWidth="1"/>
    <col min="8715" max="8715" width="13.28515625" style="374" bestFit="1" customWidth="1"/>
    <col min="8716" max="8716" width="10.85546875" style="374" bestFit="1" customWidth="1"/>
    <col min="8717" max="8717" width="9.42578125" style="374" customWidth="1"/>
    <col min="8718" max="8719" width="9.5703125" style="374" bestFit="1" customWidth="1"/>
    <col min="8720" max="8720" width="9.28515625" style="374" bestFit="1" customWidth="1"/>
    <col min="8721" max="8727" width="9.5703125" style="374" bestFit="1" customWidth="1"/>
    <col min="8728" max="8728" width="9.28515625" style="374" bestFit="1" customWidth="1"/>
    <col min="8729" max="8729" width="9.5703125" style="374" bestFit="1" customWidth="1"/>
    <col min="8730" max="8731" width="9.28515625" style="374" bestFit="1" customWidth="1"/>
    <col min="8732" max="8732" width="9.5703125" style="374" bestFit="1" customWidth="1"/>
    <col min="8733" max="8733" width="9.28515625" style="374" bestFit="1" customWidth="1"/>
    <col min="8734" max="8734" width="9.5703125" style="374" bestFit="1" customWidth="1"/>
    <col min="8735" max="8735" width="9.28515625" style="374" bestFit="1" customWidth="1"/>
    <col min="8736" max="8736" width="9.5703125" style="374" bestFit="1" customWidth="1"/>
    <col min="8737" max="8742" width="9.28515625" style="374" bestFit="1" customWidth="1"/>
    <col min="8743" max="8745" width="9.5703125" style="374" bestFit="1" customWidth="1"/>
    <col min="8746" max="8748" width="9.28515625" style="374" bestFit="1" customWidth="1"/>
    <col min="8749" max="8749" width="9.5703125" style="374" bestFit="1" customWidth="1"/>
    <col min="8750" max="8752" width="9.28515625" style="374" bestFit="1" customWidth="1"/>
    <col min="8753" max="8756" width="9.5703125" style="374" bestFit="1" customWidth="1"/>
    <col min="8757" max="8758" width="9.28515625" style="374" bestFit="1" customWidth="1"/>
    <col min="8759" max="8759" width="14.140625" style="374" bestFit="1" customWidth="1"/>
    <col min="8760" max="8761" width="9.5703125" style="374" bestFit="1" customWidth="1"/>
    <col min="8762" max="8762" width="9.28515625" style="374" bestFit="1" customWidth="1"/>
    <col min="8763" max="8960" width="9.140625" style="374"/>
    <col min="8961" max="8961" width="27.42578125" style="374" bestFit="1" customWidth="1"/>
    <col min="8962" max="8962" width="27.42578125" style="374" customWidth="1"/>
    <col min="8963" max="8963" width="43.140625" style="374" customWidth="1"/>
    <col min="8964" max="8964" width="12.140625" style="374" customWidth="1"/>
    <col min="8965" max="8965" width="18.5703125" style="374" customWidth="1"/>
    <col min="8966" max="8966" width="14.5703125" style="374" customWidth="1"/>
    <col min="8967" max="8967" width="11.28515625" style="374" customWidth="1"/>
    <col min="8968" max="8968" width="12.140625" style="374" customWidth="1"/>
    <col min="8969" max="8969" width="12.42578125" style="374" customWidth="1"/>
    <col min="8970" max="8970" width="14.140625" style="374" customWidth="1"/>
    <col min="8971" max="8971" width="13.28515625" style="374" bestFit="1" customWidth="1"/>
    <col min="8972" max="8972" width="10.85546875" style="374" bestFit="1" customWidth="1"/>
    <col min="8973" max="8973" width="9.42578125" style="374" customWidth="1"/>
    <col min="8974" max="8975" width="9.5703125" style="374" bestFit="1" customWidth="1"/>
    <col min="8976" max="8976" width="9.28515625" style="374" bestFit="1" customWidth="1"/>
    <col min="8977" max="8983" width="9.5703125" style="374" bestFit="1" customWidth="1"/>
    <col min="8984" max="8984" width="9.28515625" style="374" bestFit="1" customWidth="1"/>
    <col min="8985" max="8985" width="9.5703125" style="374" bestFit="1" customWidth="1"/>
    <col min="8986" max="8987" width="9.28515625" style="374" bestFit="1" customWidth="1"/>
    <col min="8988" max="8988" width="9.5703125" style="374" bestFit="1" customWidth="1"/>
    <col min="8989" max="8989" width="9.28515625" style="374" bestFit="1" customWidth="1"/>
    <col min="8990" max="8990" width="9.5703125" style="374" bestFit="1" customWidth="1"/>
    <col min="8991" max="8991" width="9.28515625" style="374" bestFit="1" customWidth="1"/>
    <col min="8992" max="8992" width="9.5703125" style="374" bestFit="1" customWidth="1"/>
    <col min="8993" max="8998" width="9.28515625" style="374" bestFit="1" customWidth="1"/>
    <col min="8999" max="9001" width="9.5703125" style="374" bestFit="1" customWidth="1"/>
    <col min="9002" max="9004" width="9.28515625" style="374" bestFit="1" customWidth="1"/>
    <col min="9005" max="9005" width="9.5703125" style="374" bestFit="1" customWidth="1"/>
    <col min="9006" max="9008" width="9.28515625" style="374" bestFit="1" customWidth="1"/>
    <col min="9009" max="9012" width="9.5703125" style="374" bestFit="1" customWidth="1"/>
    <col min="9013" max="9014" width="9.28515625" style="374" bestFit="1" customWidth="1"/>
    <col min="9015" max="9015" width="14.140625" style="374" bestFit="1" customWidth="1"/>
    <col min="9016" max="9017" width="9.5703125" style="374" bestFit="1" customWidth="1"/>
    <col min="9018" max="9018" width="9.28515625" style="374" bestFit="1" customWidth="1"/>
    <col min="9019" max="9216" width="9.140625" style="374"/>
    <col min="9217" max="9217" width="27.42578125" style="374" bestFit="1" customWidth="1"/>
    <col min="9218" max="9218" width="27.42578125" style="374" customWidth="1"/>
    <col min="9219" max="9219" width="43.140625" style="374" customWidth="1"/>
    <col min="9220" max="9220" width="12.140625" style="374" customWidth="1"/>
    <col min="9221" max="9221" width="18.5703125" style="374" customWidth="1"/>
    <col min="9222" max="9222" width="14.5703125" style="374" customWidth="1"/>
    <col min="9223" max="9223" width="11.28515625" style="374" customWidth="1"/>
    <col min="9224" max="9224" width="12.140625" style="374" customWidth="1"/>
    <col min="9225" max="9225" width="12.42578125" style="374" customWidth="1"/>
    <col min="9226" max="9226" width="14.140625" style="374" customWidth="1"/>
    <col min="9227" max="9227" width="13.28515625" style="374" bestFit="1" customWidth="1"/>
    <col min="9228" max="9228" width="10.85546875" style="374" bestFit="1" customWidth="1"/>
    <col min="9229" max="9229" width="9.42578125" style="374" customWidth="1"/>
    <col min="9230" max="9231" width="9.5703125" style="374" bestFit="1" customWidth="1"/>
    <col min="9232" max="9232" width="9.28515625" style="374" bestFit="1" customWidth="1"/>
    <col min="9233" max="9239" width="9.5703125" style="374" bestFit="1" customWidth="1"/>
    <col min="9240" max="9240" width="9.28515625" style="374" bestFit="1" customWidth="1"/>
    <col min="9241" max="9241" width="9.5703125" style="374" bestFit="1" customWidth="1"/>
    <col min="9242" max="9243" width="9.28515625" style="374" bestFit="1" customWidth="1"/>
    <col min="9244" max="9244" width="9.5703125" style="374" bestFit="1" customWidth="1"/>
    <col min="9245" max="9245" width="9.28515625" style="374" bestFit="1" customWidth="1"/>
    <col min="9246" max="9246" width="9.5703125" style="374" bestFit="1" customWidth="1"/>
    <col min="9247" max="9247" width="9.28515625" style="374" bestFit="1" customWidth="1"/>
    <col min="9248" max="9248" width="9.5703125" style="374" bestFit="1" customWidth="1"/>
    <col min="9249" max="9254" width="9.28515625" style="374" bestFit="1" customWidth="1"/>
    <col min="9255" max="9257" width="9.5703125" style="374" bestFit="1" customWidth="1"/>
    <col min="9258" max="9260" width="9.28515625" style="374" bestFit="1" customWidth="1"/>
    <col min="9261" max="9261" width="9.5703125" style="374" bestFit="1" customWidth="1"/>
    <col min="9262" max="9264" width="9.28515625" style="374" bestFit="1" customWidth="1"/>
    <col min="9265" max="9268" width="9.5703125" style="374" bestFit="1" customWidth="1"/>
    <col min="9269" max="9270" width="9.28515625" style="374" bestFit="1" customWidth="1"/>
    <col min="9271" max="9271" width="14.140625" style="374" bestFit="1" customWidth="1"/>
    <col min="9272" max="9273" width="9.5703125" style="374" bestFit="1" customWidth="1"/>
    <col min="9274" max="9274" width="9.28515625" style="374" bestFit="1" customWidth="1"/>
    <col min="9275" max="9472" width="9.140625" style="374"/>
    <col min="9473" max="9473" width="27.42578125" style="374" bestFit="1" customWidth="1"/>
    <col min="9474" max="9474" width="27.42578125" style="374" customWidth="1"/>
    <col min="9475" max="9475" width="43.140625" style="374" customWidth="1"/>
    <col min="9476" max="9476" width="12.140625" style="374" customWidth="1"/>
    <col min="9477" max="9477" width="18.5703125" style="374" customWidth="1"/>
    <col min="9478" max="9478" width="14.5703125" style="374" customWidth="1"/>
    <col min="9479" max="9479" width="11.28515625" style="374" customWidth="1"/>
    <col min="9480" max="9480" width="12.140625" style="374" customWidth="1"/>
    <col min="9481" max="9481" width="12.42578125" style="374" customWidth="1"/>
    <col min="9482" max="9482" width="14.140625" style="374" customWidth="1"/>
    <col min="9483" max="9483" width="13.28515625" style="374" bestFit="1" customWidth="1"/>
    <col min="9484" max="9484" width="10.85546875" style="374" bestFit="1" customWidth="1"/>
    <col min="9485" max="9485" width="9.42578125" style="374" customWidth="1"/>
    <col min="9486" max="9487" width="9.5703125" style="374" bestFit="1" customWidth="1"/>
    <col min="9488" max="9488" width="9.28515625" style="374" bestFit="1" customWidth="1"/>
    <col min="9489" max="9495" width="9.5703125" style="374" bestFit="1" customWidth="1"/>
    <col min="9496" max="9496" width="9.28515625" style="374" bestFit="1" customWidth="1"/>
    <col min="9497" max="9497" width="9.5703125" style="374" bestFit="1" customWidth="1"/>
    <col min="9498" max="9499" width="9.28515625" style="374" bestFit="1" customWidth="1"/>
    <col min="9500" max="9500" width="9.5703125" style="374" bestFit="1" customWidth="1"/>
    <col min="9501" max="9501" width="9.28515625" style="374" bestFit="1" customWidth="1"/>
    <col min="9502" max="9502" width="9.5703125" style="374" bestFit="1" customWidth="1"/>
    <col min="9503" max="9503" width="9.28515625" style="374" bestFit="1" customWidth="1"/>
    <col min="9504" max="9504" width="9.5703125" style="374" bestFit="1" customWidth="1"/>
    <col min="9505" max="9510" width="9.28515625" style="374" bestFit="1" customWidth="1"/>
    <col min="9511" max="9513" width="9.5703125" style="374" bestFit="1" customWidth="1"/>
    <col min="9514" max="9516" width="9.28515625" style="374" bestFit="1" customWidth="1"/>
    <col min="9517" max="9517" width="9.5703125" style="374" bestFit="1" customWidth="1"/>
    <col min="9518" max="9520" width="9.28515625" style="374" bestFit="1" customWidth="1"/>
    <col min="9521" max="9524" width="9.5703125" style="374" bestFit="1" customWidth="1"/>
    <col min="9525" max="9526" width="9.28515625" style="374" bestFit="1" customWidth="1"/>
    <col min="9527" max="9527" width="14.140625" style="374" bestFit="1" customWidth="1"/>
    <col min="9528" max="9529" width="9.5703125" style="374" bestFit="1" customWidth="1"/>
    <col min="9530" max="9530" width="9.28515625" style="374" bestFit="1" customWidth="1"/>
    <col min="9531" max="9728" width="9.140625" style="374"/>
    <col min="9729" max="9729" width="27.42578125" style="374" bestFit="1" customWidth="1"/>
    <col min="9730" max="9730" width="27.42578125" style="374" customWidth="1"/>
    <col min="9731" max="9731" width="43.140625" style="374" customWidth="1"/>
    <col min="9732" max="9732" width="12.140625" style="374" customWidth="1"/>
    <col min="9733" max="9733" width="18.5703125" style="374" customWidth="1"/>
    <col min="9734" max="9734" width="14.5703125" style="374" customWidth="1"/>
    <col min="9735" max="9735" width="11.28515625" style="374" customWidth="1"/>
    <col min="9736" max="9736" width="12.140625" style="374" customWidth="1"/>
    <col min="9737" max="9737" width="12.42578125" style="374" customWidth="1"/>
    <col min="9738" max="9738" width="14.140625" style="374" customWidth="1"/>
    <col min="9739" max="9739" width="13.28515625" style="374" bestFit="1" customWidth="1"/>
    <col min="9740" max="9740" width="10.85546875" style="374" bestFit="1" customWidth="1"/>
    <col min="9741" max="9741" width="9.42578125" style="374" customWidth="1"/>
    <col min="9742" max="9743" width="9.5703125" style="374" bestFit="1" customWidth="1"/>
    <col min="9744" max="9744" width="9.28515625" style="374" bestFit="1" customWidth="1"/>
    <col min="9745" max="9751" width="9.5703125" style="374" bestFit="1" customWidth="1"/>
    <col min="9752" max="9752" width="9.28515625" style="374" bestFit="1" customWidth="1"/>
    <col min="9753" max="9753" width="9.5703125" style="374" bestFit="1" customWidth="1"/>
    <col min="9754" max="9755" width="9.28515625" style="374" bestFit="1" customWidth="1"/>
    <col min="9756" max="9756" width="9.5703125" style="374" bestFit="1" customWidth="1"/>
    <col min="9757" max="9757" width="9.28515625" style="374" bestFit="1" customWidth="1"/>
    <col min="9758" max="9758" width="9.5703125" style="374" bestFit="1" customWidth="1"/>
    <col min="9759" max="9759" width="9.28515625" style="374" bestFit="1" customWidth="1"/>
    <col min="9760" max="9760" width="9.5703125" style="374" bestFit="1" customWidth="1"/>
    <col min="9761" max="9766" width="9.28515625" style="374" bestFit="1" customWidth="1"/>
    <col min="9767" max="9769" width="9.5703125" style="374" bestFit="1" customWidth="1"/>
    <col min="9770" max="9772" width="9.28515625" style="374" bestFit="1" customWidth="1"/>
    <col min="9773" max="9773" width="9.5703125" style="374" bestFit="1" customWidth="1"/>
    <col min="9774" max="9776" width="9.28515625" style="374" bestFit="1" customWidth="1"/>
    <col min="9777" max="9780" width="9.5703125" style="374" bestFit="1" customWidth="1"/>
    <col min="9781" max="9782" width="9.28515625" style="374" bestFit="1" customWidth="1"/>
    <col min="9783" max="9783" width="14.140625" style="374" bestFit="1" customWidth="1"/>
    <col min="9784" max="9785" width="9.5703125" style="374" bestFit="1" customWidth="1"/>
    <col min="9786" max="9786" width="9.28515625" style="374" bestFit="1" customWidth="1"/>
    <col min="9787" max="9984" width="9.140625" style="374"/>
    <col min="9985" max="9985" width="27.42578125" style="374" bestFit="1" customWidth="1"/>
    <col min="9986" max="9986" width="27.42578125" style="374" customWidth="1"/>
    <col min="9987" max="9987" width="43.140625" style="374" customWidth="1"/>
    <col min="9988" max="9988" width="12.140625" style="374" customWidth="1"/>
    <col min="9989" max="9989" width="18.5703125" style="374" customWidth="1"/>
    <col min="9990" max="9990" width="14.5703125" style="374" customWidth="1"/>
    <col min="9991" max="9991" width="11.28515625" style="374" customWidth="1"/>
    <col min="9992" max="9992" width="12.140625" style="374" customWidth="1"/>
    <col min="9993" max="9993" width="12.42578125" style="374" customWidth="1"/>
    <col min="9994" max="9994" width="14.140625" style="374" customWidth="1"/>
    <col min="9995" max="9995" width="13.28515625" style="374" bestFit="1" customWidth="1"/>
    <col min="9996" max="9996" width="10.85546875" style="374" bestFit="1" customWidth="1"/>
    <col min="9997" max="9997" width="9.42578125" style="374" customWidth="1"/>
    <col min="9998" max="9999" width="9.5703125" style="374" bestFit="1" customWidth="1"/>
    <col min="10000" max="10000" width="9.28515625" style="374" bestFit="1" customWidth="1"/>
    <col min="10001" max="10007" width="9.5703125" style="374" bestFit="1" customWidth="1"/>
    <col min="10008" max="10008" width="9.28515625" style="374" bestFit="1" customWidth="1"/>
    <col min="10009" max="10009" width="9.5703125" style="374" bestFit="1" customWidth="1"/>
    <col min="10010" max="10011" width="9.28515625" style="374" bestFit="1" customWidth="1"/>
    <col min="10012" max="10012" width="9.5703125" style="374" bestFit="1" customWidth="1"/>
    <col min="10013" max="10013" width="9.28515625" style="374" bestFit="1" customWidth="1"/>
    <col min="10014" max="10014" width="9.5703125" style="374" bestFit="1" customWidth="1"/>
    <col min="10015" max="10015" width="9.28515625" style="374" bestFit="1" customWidth="1"/>
    <col min="10016" max="10016" width="9.5703125" style="374" bestFit="1" customWidth="1"/>
    <col min="10017" max="10022" width="9.28515625" style="374" bestFit="1" customWidth="1"/>
    <col min="10023" max="10025" width="9.5703125" style="374" bestFit="1" customWidth="1"/>
    <col min="10026" max="10028" width="9.28515625" style="374" bestFit="1" customWidth="1"/>
    <col min="10029" max="10029" width="9.5703125" style="374" bestFit="1" customWidth="1"/>
    <col min="10030" max="10032" width="9.28515625" style="374" bestFit="1" customWidth="1"/>
    <col min="10033" max="10036" width="9.5703125" style="374" bestFit="1" customWidth="1"/>
    <col min="10037" max="10038" width="9.28515625" style="374" bestFit="1" customWidth="1"/>
    <col min="10039" max="10039" width="14.140625" style="374" bestFit="1" customWidth="1"/>
    <col min="10040" max="10041" width="9.5703125" style="374" bestFit="1" customWidth="1"/>
    <col min="10042" max="10042" width="9.28515625" style="374" bestFit="1" customWidth="1"/>
    <col min="10043" max="10240" width="9.140625" style="374"/>
    <col min="10241" max="10241" width="27.42578125" style="374" bestFit="1" customWidth="1"/>
    <col min="10242" max="10242" width="27.42578125" style="374" customWidth="1"/>
    <col min="10243" max="10243" width="43.140625" style="374" customWidth="1"/>
    <col min="10244" max="10244" width="12.140625" style="374" customWidth="1"/>
    <col min="10245" max="10245" width="18.5703125" style="374" customWidth="1"/>
    <col min="10246" max="10246" width="14.5703125" style="374" customWidth="1"/>
    <col min="10247" max="10247" width="11.28515625" style="374" customWidth="1"/>
    <col min="10248" max="10248" width="12.140625" style="374" customWidth="1"/>
    <col min="10249" max="10249" width="12.42578125" style="374" customWidth="1"/>
    <col min="10250" max="10250" width="14.140625" style="374" customWidth="1"/>
    <col min="10251" max="10251" width="13.28515625" style="374" bestFit="1" customWidth="1"/>
    <col min="10252" max="10252" width="10.85546875" style="374" bestFit="1" customWidth="1"/>
    <col min="10253" max="10253" width="9.42578125" style="374" customWidth="1"/>
    <col min="10254" max="10255" width="9.5703125" style="374" bestFit="1" customWidth="1"/>
    <col min="10256" max="10256" width="9.28515625" style="374" bestFit="1" customWidth="1"/>
    <col min="10257" max="10263" width="9.5703125" style="374" bestFit="1" customWidth="1"/>
    <col min="10264" max="10264" width="9.28515625" style="374" bestFit="1" customWidth="1"/>
    <col min="10265" max="10265" width="9.5703125" style="374" bestFit="1" customWidth="1"/>
    <col min="10266" max="10267" width="9.28515625" style="374" bestFit="1" customWidth="1"/>
    <col min="10268" max="10268" width="9.5703125" style="374" bestFit="1" customWidth="1"/>
    <col min="10269" max="10269" width="9.28515625" style="374" bestFit="1" customWidth="1"/>
    <col min="10270" max="10270" width="9.5703125" style="374" bestFit="1" customWidth="1"/>
    <col min="10271" max="10271" width="9.28515625" style="374" bestFit="1" customWidth="1"/>
    <col min="10272" max="10272" width="9.5703125" style="374" bestFit="1" customWidth="1"/>
    <col min="10273" max="10278" width="9.28515625" style="374" bestFit="1" customWidth="1"/>
    <col min="10279" max="10281" width="9.5703125" style="374" bestFit="1" customWidth="1"/>
    <col min="10282" max="10284" width="9.28515625" style="374" bestFit="1" customWidth="1"/>
    <col min="10285" max="10285" width="9.5703125" style="374" bestFit="1" customWidth="1"/>
    <col min="10286" max="10288" width="9.28515625" style="374" bestFit="1" customWidth="1"/>
    <col min="10289" max="10292" width="9.5703125" style="374" bestFit="1" customWidth="1"/>
    <col min="10293" max="10294" width="9.28515625" style="374" bestFit="1" customWidth="1"/>
    <col min="10295" max="10295" width="14.140625" style="374" bestFit="1" customWidth="1"/>
    <col min="10296" max="10297" width="9.5703125" style="374" bestFit="1" customWidth="1"/>
    <col min="10298" max="10298" width="9.28515625" style="374" bestFit="1" customWidth="1"/>
    <col min="10299" max="10496" width="9.140625" style="374"/>
    <col min="10497" max="10497" width="27.42578125" style="374" bestFit="1" customWidth="1"/>
    <col min="10498" max="10498" width="27.42578125" style="374" customWidth="1"/>
    <col min="10499" max="10499" width="43.140625" style="374" customWidth="1"/>
    <col min="10500" max="10500" width="12.140625" style="374" customWidth="1"/>
    <col min="10501" max="10501" width="18.5703125" style="374" customWidth="1"/>
    <col min="10502" max="10502" width="14.5703125" style="374" customWidth="1"/>
    <col min="10503" max="10503" width="11.28515625" style="374" customWidth="1"/>
    <col min="10504" max="10504" width="12.140625" style="374" customWidth="1"/>
    <col min="10505" max="10505" width="12.42578125" style="374" customWidth="1"/>
    <col min="10506" max="10506" width="14.140625" style="374" customWidth="1"/>
    <col min="10507" max="10507" width="13.28515625" style="374" bestFit="1" customWidth="1"/>
    <col min="10508" max="10508" width="10.85546875" style="374" bestFit="1" customWidth="1"/>
    <col min="10509" max="10509" width="9.42578125" style="374" customWidth="1"/>
    <col min="10510" max="10511" width="9.5703125" style="374" bestFit="1" customWidth="1"/>
    <col min="10512" max="10512" width="9.28515625" style="374" bestFit="1" customWidth="1"/>
    <col min="10513" max="10519" width="9.5703125" style="374" bestFit="1" customWidth="1"/>
    <col min="10520" max="10520" width="9.28515625" style="374" bestFit="1" customWidth="1"/>
    <col min="10521" max="10521" width="9.5703125" style="374" bestFit="1" customWidth="1"/>
    <col min="10522" max="10523" width="9.28515625" style="374" bestFit="1" customWidth="1"/>
    <col min="10524" max="10524" width="9.5703125" style="374" bestFit="1" customWidth="1"/>
    <col min="10525" max="10525" width="9.28515625" style="374" bestFit="1" customWidth="1"/>
    <col min="10526" max="10526" width="9.5703125" style="374" bestFit="1" customWidth="1"/>
    <col min="10527" max="10527" width="9.28515625" style="374" bestFit="1" customWidth="1"/>
    <col min="10528" max="10528" width="9.5703125" style="374" bestFit="1" customWidth="1"/>
    <col min="10529" max="10534" width="9.28515625" style="374" bestFit="1" customWidth="1"/>
    <col min="10535" max="10537" width="9.5703125" style="374" bestFit="1" customWidth="1"/>
    <col min="10538" max="10540" width="9.28515625" style="374" bestFit="1" customWidth="1"/>
    <col min="10541" max="10541" width="9.5703125" style="374" bestFit="1" customWidth="1"/>
    <col min="10542" max="10544" width="9.28515625" style="374" bestFit="1" customWidth="1"/>
    <col min="10545" max="10548" width="9.5703125" style="374" bestFit="1" customWidth="1"/>
    <col min="10549" max="10550" width="9.28515625" style="374" bestFit="1" customWidth="1"/>
    <col min="10551" max="10551" width="14.140625" style="374" bestFit="1" customWidth="1"/>
    <col min="10552" max="10553" width="9.5703125" style="374" bestFit="1" customWidth="1"/>
    <col min="10554" max="10554" width="9.28515625" style="374" bestFit="1" customWidth="1"/>
    <col min="10555" max="10752" width="9.140625" style="374"/>
    <col min="10753" max="10753" width="27.42578125" style="374" bestFit="1" customWidth="1"/>
    <col min="10754" max="10754" width="27.42578125" style="374" customWidth="1"/>
    <col min="10755" max="10755" width="43.140625" style="374" customWidth="1"/>
    <col min="10756" max="10756" width="12.140625" style="374" customWidth="1"/>
    <col min="10757" max="10757" width="18.5703125" style="374" customWidth="1"/>
    <col min="10758" max="10758" width="14.5703125" style="374" customWidth="1"/>
    <col min="10759" max="10759" width="11.28515625" style="374" customWidth="1"/>
    <col min="10760" max="10760" width="12.140625" style="374" customWidth="1"/>
    <col min="10761" max="10761" width="12.42578125" style="374" customWidth="1"/>
    <col min="10762" max="10762" width="14.140625" style="374" customWidth="1"/>
    <col min="10763" max="10763" width="13.28515625" style="374" bestFit="1" customWidth="1"/>
    <col min="10764" max="10764" width="10.85546875" style="374" bestFit="1" customWidth="1"/>
    <col min="10765" max="10765" width="9.42578125" style="374" customWidth="1"/>
    <col min="10766" max="10767" width="9.5703125" style="374" bestFit="1" customWidth="1"/>
    <col min="10768" max="10768" width="9.28515625" style="374" bestFit="1" customWidth="1"/>
    <col min="10769" max="10775" width="9.5703125" style="374" bestFit="1" customWidth="1"/>
    <col min="10776" max="10776" width="9.28515625" style="374" bestFit="1" customWidth="1"/>
    <col min="10777" max="10777" width="9.5703125" style="374" bestFit="1" customWidth="1"/>
    <col min="10778" max="10779" width="9.28515625" style="374" bestFit="1" customWidth="1"/>
    <col min="10780" max="10780" width="9.5703125" style="374" bestFit="1" customWidth="1"/>
    <col min="10781" max="10781" width="9.28515625" style="374" bestFit="1" customWidth="1"/>
    <col min="10782" max="10782" width="9.5703125" style="374" bestFit="1" customWidth="1"/>
    <col min="10783" max="10783" width="9.28515625" style="374" bestFit="1" customWidth="1"/>
    <col min="10784" max="10784" width="9.5703125" style="374" bestFit="1" customWidth="1"/>
    <col min="10785" max="10790" width="9.28515625" style="374" bestFit="1" customWidth="1"/>
    <col min="10791" max="10793" width="9.5703125" style="374" bestFit="1" customWidth="1"/>
    <col min="10794" max="10796" width="9.28515625" style="374" bestFit="1" customWidth="1"/>
    <col min="10797" max="10797" width="9.5703125" style="374" bestFit="1" customWidth="1"/>
    <col min="10798" max="10800" width="9.28515625" style="374" bestFit="1" customWidth="1"/>
    <col min="10801" max="10804" width="9.5703125" style="374" bestFit="1" customWidth="1"/>
    <col min="10805" max="10806" width="9.28515625" style="374" bestFit="1" customWidth="1"/>
    <col min="10807" max="10807" width="14.140625" style="374" bestFit="1" customWidth="1"/>
    <col min="10808" max="10809" width="9.5703125" style="374" bestFit="1" customWidth="1"/>
    <col min="10810" max="10810" width="9.28515625" style="374" bestFit="1" customWidth="1"/>
    <col min="10811" max="11008" width="9.140625" style="374"/>
    <col min="11009" max="11009" width="27.42578125" style="374" bestFit="1" customWidth="1"/>
    <col min="11010" max="11010" width="27.42578125" style="374" customWidth="1"/>
    <col min="11011" max="11011" width="43.140625" style="374" customWidth="1"/>
    <col min="11012" max="11012" width="12.140625" style="374" customWidth="1"/>
    <col min="11013" max="11013" width="18.5703125" style="374" customWidth="1"/>
    <col min="11014" max="11014" width="14.5703125" style="374" customWidth="1"/>
    <col min="11015" max="11015" width="11.28515625" style="374" customWidth="1"/>
    <col min="11016" max="11016" width="12.140625" style="374" customWidth="1"/>
    <col min="11017" max="11017" width="12.42578125" style="374" customWidth="1"/>
    <col min="11018" max="11018" width="14.140625" style="374" customWidth="1"/>
    <col min="11019" max="11019" width="13.28515625" style="374" bestFit="1" customWidth="1"/>
    <col min="11020" max="11020" width="10.85546875" style="374" bestFit="1" customWidth="1"/>
    <col min="11021" max="11021" width="9.42578125" style="374" customWidth="1"/>
    <col min="11022" max="11023" width="9.5703125" style="374" bestFit="1" customWidth="1"/>
    <col min="11024" max="11024" width="9.28515625" style="374" bestFit="1" customWidth="1"/>
    <col min="11025" max="11031" width="9.5703125" style="374" bestFit="1" customWidth="1"/>
    <col min="11032" max="11032" width="9.28515625" style="374" bestFit="1" customWidth="1"/>
    <col min="11033" max="11033" width="9.5703125" style="374" bestFit="1" customWidth="1"/>
    <col min="11034" max="11035" width="9.28515625" style="374" bestFit="1" customWidth="1"/>
    <col min="11036" max="11036" width="9.5703125" style="374" bestFit="1" customWidth="1"/>
    <col min="11037" max="11037" width="9.28515625" style="374" bestFit="1" customWidth="1"/>
    <col min="11038" max="11038" width="9.5703125" style="374" bestFit="1" customWidth="1"/>
    <col min="11039" max="11039" width="9.28515625" style="374" bestFit="1" customWidth="1"/>
    <col min="11040" max="11040" width="9.5703125" style="374" bestFit="1" customWidth="1"/>
    <col min="11041" max="11046" width="9.28515625" style="374" bestFit="1" customWidth="1"/>
    <col min="11047" max="11049" width="9.5703125" style="374" bestFit="1" customWidth="1"/>
    <col min="11050" max="11052" width="9.28515625" style="374" bestFit="1" customWidth="1"/>
    <col min="11053" max="11053" width="9.5703125" style="374" bestFit="1" customWidth="1"/>
    <col min="11054" max="11056" width="9.28515625" style="374" bestFit="1" customWidth="1"/>
    <col min="11057" max="11060" width="9.5703125" style="374" bestFit="1" customWidth="1"/>
    <col min="11061" max="11062" width="9.28515625" style="374" bestFit="1" customWidth="1"/>
    <col min="11063" max="11063" width="14.140625" style="374" bestFit="1" customWidth="1"/>
    <col min="11064" max="11065" width="9.5703125" style="374" bestFit="1" customWidth="1"/>
    <col min="11066" max="11066" width="9.28515625" style="374" bestFit="1" customWidth="1"/>
    <col min="11067" max="11264" width="9.140625" style="374"/>
    <col min="11265" max="11265" width="27.42578125" style="374" bestFit="1" customWidth="1"/>
    <col min="11266" max="11266" width="27.42578125" style="374" customWidth="1"/>
    <col min="11267" max="11267" width="43.140625" style="374" customWidth="1"/>
    <col min="11268" max="11268" width="12.140625" style="374" customWidth="1"/>
    <col min="11269" max="11269" width="18.5703125" style="374" customWidth="1"/>
    <col min="11270" max="11270" width="14.5703125" style="374" customWidth="1"/>
    <col min="11271" max="11271" width="11.28515625" style="374" customWidth="1"/>
    <col min="11272" max="11272" width="12.140625" style="374" customWidth="1"/>
    <col min="11273" max="11273" width="12.42578125" style="374" customWidth="1"/>
    <col min="11274" max="11274" width="14.140625" style="374" customWidth="1"/>
    <col min="11275" max="11275" width="13.28515625" style="374" bestFit="1" customWidth="1"/>
    <col min="11276" max="11276" width="10.85546875" style="374" bestFit="1" customWidth="1"/>
    <col min="11277" max="11277" width="9.42578125" style="374" customWidth="1"/>
    <col min="11278" max="11279" width="9.5703125" style="374" bestFit="1" customWidth="1"/>
    <col min="11280" max="11280" width="9.28515625" style="374" bestFit="1" customWidth="1"/>
    <col min="11281" max="11287" width="9.5703125" style="374" bestFit="1" customWidth="1"/>
    <col min="11288" max="11288" width="9.28515625" style="374" bestFit="1" customWidth="1"/>
    <col min="11289" max="11289" width="9.5703125" style="374" bestFit="1" customWidth="1"/>
    <col min="11290" max="11291" width="9.28515625" style="374" bestFit="1" customWidth="1"/>
    <col min="11292" max="11292" width="9.5703125" style="374" bestFit="1" customWidth="1"/>
    <col min="11293" max="11293" width="9.28515625" style="374" bestFit="1" customWidth="1"/>
    <col min="11294" max="11294" width="9.5703125" style="374" bestFit="1" customWidth="1"/>
    <col min="11295" max="11295" width="9.28515625" style="374" bestFit="1" customWidth="1"/>
    <col min="11296" max="11296" width="9.5703125" style="374" bestFit="1" customWidth="1"/>
    <col min="11297" max="11302" width="9.28515625" style="374" bestFit="1" customWidth="1"/>
    <col min="11303" max="11305" width="9.5703125" style="374" bestFit="1" customWidth="1"/>
    <col min="11306" max="11308" width="9.28515625" style="374" bestFit="1" customWidth="1"/>
    <col min="11309" max="11309" width="9.5703125" style="374" bestFit="1" customWidth="1"/>
    <col min="11310" max="11312" width="9.28515625" style="374" bestFit="1" customWidth="1"/>
    <col min="11313" max="11316" width="9.5703125" style="374" bestFit="1" customWidth="1"/>
    <col min="11317" max="11318" width="9.28515625" style="374" bestFit="1" customWidth="1"/>
    <col min="11319" max="11319" width="14.140625" style="374" bestFit="1" customWidth="1"/>
    <col min="11320" max="11321" width="9.5703125" style="374" bestFit="1" customWidth="1"/>
    <col min="11322" max="11322" width="9.28515625" style="374" bestFit="1" customWidth="1"/>
    <col min="11323" max="11520" width="9.140625" style="374"/>
    <col min="11521" max="11521" width="27.42578125" style="374" bestFit="1" customWidth="1"/>
    <col min="11522" max="11522" width="27.42578125" style="374" customWidth="1"/>
    <col min="11523" max="11523" width="43.140625" style="374" customWidth="1"/>
    <col min="11524" max="11524" width="12.140625" style="374" customWidth="1"/>
    <col min="11525" max="11525" width="18.5703125" style="374" customWidth="1"/>
    <col min="11526" max="11526" width="14.5703125" style="374" customWidth="1"/>
    <col min="11527" max="11527" width="11.28515625" style="374" customWidth="1"/>
    <col min="11528" max="11528" width="12.140625" style="374" customWidth="1"/>
    <col min="11529" max="11529" width="12.42578125" style="374" customWidth="1"/>
    <col min="11530" max="11530" width="14.140625" style="374" customWidth="1"/>
    <col min="11531" max="11531" width="13.28515625" style="374" bestFit="1" customWidth="1"/>
    <col min="11532" max="11532" width="10.85546875" style="374" bestFit="1" customWidth="1"/>
    <col min="11533" max="11533" width="9.42578125" style="374" customWidth="1"/>
    <col min="11534" max="11535" width="9.5703125" style="374" bestFit="1" customWidth="1"/>
    <col min="11536" max="11536" width="9.28515625" style="374" bestFit="1" customWidth="1"/>
    <col min="11537" max="11543" width="9.5703125" style="374" bestFit="1" customWidth="1"/>
    <col min="11544" max="11544" width="9.28515625" style="374" bestFit="1" customWidth="1"/>
    <col min="11545" max="11545" width="9.5703125" style="374" bestFit="1" customWidth="1"/>
    <col min="11546" max="11547" width="9.28515625" style="374" bestFit="1" customWidth="1"/>
    <col min="11548" max="11548" width="9.5703125" style="374" bestFit="1" customWidth="1"/>
    <col min="11549" max="11549" width="9.28515625" style="374" bestFit="1" customWidth="1"/>
    <col min="11550" max="11550" width="9.5703125" style="374" bestFit="1" customWidth="1"/>
    <col min="11551" max="11551" width="9.28515625" style="374" bestFit="1" customWidth="1"/>
    <col min="11552" max="11552" width="9.5703125" style="374" bestFit="1" customWidth="1"/>
    <col min="11553" max="11558" width="9.28515625" style="374" bestFit="1" customWidth="1"/>
    <col min="11559" max="11561" width="9.5703125" style="374" bestFit="1" customWidth="1"/>
    <col min="11562" max="11564" width="9.28515625" style="374" bestFit="1" customWidth="1"/>
    <col min="11565" max="11565" width="9.5703125" style="374" bestFit="1" customWidth="1"/>
    <col min="11566" max="11568" width="9.28515625" style="374" bestFit="1" customWidth="1"/>
    <col min="11569" max="11572" width="9.5703125" style="374" bestFit="1" customWidth="1"/>
    <col min="11573" max="11574" width="9.28515625" style="374" bestFit="1" customWidth="1"/>
    <col min="11575" max="11575" width="14.140625" style="374" bestFit="1" customWidth="1"/>
    <col min="11576" max="11577" width="9.5703125" style="374" bestFit="1" customWidth="1"/>
    <col min="11578" max="11578" width="9.28515625" style="374" bestFit="1" customWidth="1"/>
    <col min="11579" max="11776" width="9.140625" style="374"/>
    <col min="11777" max="11777" width="27.42578125" style="374" bestFit="1" customWidth="1"/>
    <col min="11778" max="11778" width="27.42578125" style="374" customWidth="1"/>
    <col min="11779" max="11779" width="43.140625" style="374" customWidth="1"/>
    <col min="11780" max="11780" width="12.140625" style="374" customWidth="1"/>
    <col min="11781" max="11781" width="18.5703125" style="374" customWidth="1"/>
    <col min="11782" max="11782" width="14.5703125" style="374" customWidth="1"/>
    <col min="11783" max="11783" width="11.28515625" style="374" customWidth="1"/>
    <col min="11784" max="11784" width="12.140625" style="374" customWidth="1"/>
    <col min="11785" max="11785" width="12.42578125" style="374" customWidth="1"/>
    <col min="11786" max="11786" width="14.140625" style="374" customWidth="1"/>
    <col min="11787" max="11787" width="13.28515625" style="374" bestFit="1" customWidth="1"/>
    <col min="11788" max="11788" width="10.85546875" style="374" bestFit="1" customWidth="1"/>
    <col min="11789" max="11789" width="9.42578125" style="374" customWidth="1"/>
    <col min="11790" max="11791" width="9.5703125" style="374" bestFit="1" customWidth="1"/>
    <col min="11792" max="11792" width="9.28515625" style="374" bestFit="1" customWidth="1"/>
    <col min="11793" max="11799" width="9.5703125" style="374" bestFit="1" customWidth="1"/>
    <col min="11800" max="11800" width="9.28515625" style="374" bestFit="1" customWidth="1"/>
    <col min="11801" max="11801" width="9.5703125" style="374" bestFit="1" customWidth="1"/>
    <col min="11802" max="11803" width="9.28515625" style="374" bestFit="1" customWidth="1"/>
    <col min="11804" max="11804" width="9.5703125" style="374" bestFit="1" customWidth="1"/>
    <col min="11805" max="11805" width="9.28515625" style="374" bestFit="1" customWidth="1"/>
    <col min="11806" max="11806" width="9.5703125" style="374" bestFit="1" customWidth="1"/>
    <col min="11807" max="11807" width="9.28515625" style="374" bestFit="1" customWidth="1"/>
    <col min="11808" max="11808" width="9.5703125" style="374" bestFit="1" customWidth="1"/>
    <col min="11809" max="11814" width="9.28515625" style="374" bestFit="1" customWidth="1"/>
    <col min="11815" max="11817" width="9.5703125" style="374" bestFit="1" customWidth="1"/>
    <col min="11818" max="11820" width="9.28515625" style="374" bestFit="1" customWidth="1"/>
    <col min="11821" max="11821" width="9.5703125" style="374" bestFit="1" customWidth="1"/>
    <col min="11822" max="11824" width="9.28515625" style="374" bestFit="1" customWidth="1"/>
    <col min="11825" max="11828" width="9.5703125" style="374" bestFit="1" customWidth="1"/>
    <col min="11829" max="11830" width="9.28515625" style="374" bestFit="1" customWidth="1"/>
    <col min="11831" max="11831" width="14.140625" style="374" bestFit="1" customWidth="1"/>
    <col min="11832" max="11833" width="9.5703125" style="374" bestFit="1" customWidth="1"/>
    <col min="11834" max="11834" width="9.28515625" style="374" bestFit="1" customWidth="1"/>
    <col min="11835" max="12032" width="9.140625" style="374"/>
    <col min="12033" max="12033" width="27.42578125" style="374" bestFit="1" customWidth="1"/>
    <col min="12034" max="12034" width="27.42578125" style="374" customWidth="1"/>
    <col min="12035" max="12035" width="43.140625" style="374" customWidth="1"/>
    <col min="12036" max="12036" width="12.140625" style="374" customWidth="1"/>
    <col min="12037" max="12037" width="18.5703125" style="374" customWidth="1"/>
    <col min="12038" max="12038" width="14.5703125" style="374" customWidth="1"/>
    <col min="12039" max="12039" width="11.28515625" style="374" customWidth="1"/>
    <col min="12040" max="12040" width="12.140625" style="374" customWidth="1"/>
    <col min="12041" max="12041" width="12.42578125" style="374" customWidth="1"/>
    <col min="12042" max="12042" width="14.140625" style="374" customWidth="1"/>
    <col min="12043" max="12043" width="13.28515625" style="374" bestFit="1" customWidth="1"/>
    <col min="12044" max="12044" width="10.85546875" style="374" bestFit="1" customWidth="1"/>
    <col min="12045" max="12045" width="9.42578125" style="374" customWidth="1"/>
    <col min="12046" max="12047" width="9.5703125" style="374" bestFit="1" customWidth="1"/>
    <col min="12048" max="12048" width="9.28515625" style="374" bestFit="1" customWidth="1"/>
    <col min="12049" max="12055" width="9.5703125" style="374" bestFit="1" customWidth="1"/>
    <col min="12056" max="12056" width="9.28515625" style="374" bestFit="1" customWidth="1"/>
    <col min="12057" max="12057" width="9.5703125" style="374" bestFit="1" customWidth="1"/>
    <col min="12058" max="12059" width="9.28515625" style="374" bestFit="1" customWidth="1"/>
    <col min="12060" max="12060" width="9.5703125" style="374" bestFit="1" customWidth="1"/>
    <col min="12061" max="12061" width="9.28515625" style="374" bestFit="1" customWidth="1"/>
    <col min="12062" max="12062" width="9.5703125" style="374" bestFit="1" customWidth="1"/>
    <col min="12063" max="12063" width="9.28515625" style="374" bestFit="1" customWidth="1"/>
    <col min="12064" max="12064" width="9.5703125" style="374" bestFit="1" customWidth="1"/>
    <col min="12065" max="12070" width="9.28515625" style="374" bestFit="1" customWidth="1"/>
    <col min="12071" max="12073" width="9.5703125" style="374" bestFit="1" customWidth="1"/>
    <col min="12074" max="12076" width="9.28515625" style="374" bestFit="1" customWidth="1"/>
    <col min="12077" max="12077" width="9.5703125" style="374" bestFit="1" customWidth="1"/>
    <col min="12078" max="12080" width="9.28515625" style="374" bestFit="1" customWidth="1"/>
    <col min="12081" max="12084" width="9.5703125" style="374" bestFit="1" customWidth="1"/>
    <col min="12085" max="12086" width="9.28515625" style="374" bestFit="1" customWidth="1"/>
    <col min="12087" max="12087" width="14.140625" style="374" bestFit="1" customWidth="1"/>
    <col min="12088" max="12089" width="9.5703125" style="374" bestFit="1" customWidth="1"/>
    <col min="12090" max="12090" width="9.28515625" style="374" bestFit="1" customWidth="1"/>
    <col min="12091" max="12288" width="9.140625" style="374"/>
    <col min="12289" max="12289" width="27.42578125" style="374" bestFit="1" customWidth="1"/>
    <col min="12290" max="12290" width="27.42578125" style="374" customWidth="1"/>
    <col min="12291" max="12291" width="43.140625" style="374" customWidth="1"/>
    <col min="12292" max="12292" width="12.140625" style="374" customWidth="1"/>
    <col min="12293" max="12293" width="18.5703125" style="374" customWidth="1"/>
    <col min="12294" max="12294" width="14.5703125" style="374" customWidth="1"/>
    <col min="12295" max="12295" width="11.28515625" style="374" customWidth="1"/>
    <col min="12296" max="12296" width="12.140625" style="374" customWidth="1"/>
    <col min="12297" max="12297" width="12.42578125" style="374" customWidth="1"/>
    <col min="12298" max="12298" width="14.140625" style="374" customWidth="1"/>
    <col min="12299" max="12299" width="13.28515625" style="374" bestFit="1" customWidth="1"/>
    <col min="12300" max="12300" width="10.85546875" style="374" bestFit="1" customWidth="1"/>
    <col min="12301" max="12301" width="9.42578125" style="374" customWidth="1"/>
    <col min="12302" max="12303" width="9.5703125" style="374" bestFit="1" customWidth="1"/>
    <col min="12304" max="12304" width="9.28515625" style="374" bestFit="1" customWidth="1"/>
    <col min="12305" max="12311" width="9.5703125" style="374" bestFit="1" customWidth="1"/>
    <col min="12312" max="12312" width="9.28515625" style="374" bestFit="1" customWidth="1"/>
    <col min="12313" max="12313" width="9.5703125" style="374" bestFit="1" customWidth="1"/>
    <col min="12314" max="12315" width="9.28515625" style="374" bestFit="1" customWidth="1"/>
    <col min="12316" max="12316" width="9.5703125" style="374" bestFit="1" customWidth="1"/>
    <col min="12317" max="12317" width="9.28515625" style="374" bestFit="1" customWidth="1"/>
    <col min="12318" max="12318" width="9.5703125" style="374" bestFit="1" customWidth="1"/>
    <col min="12319" max="12319" width="9.28515625" style="374" bestFit="1" customWidth="1"/>
    <col min="12320" max="12320" width="9.5703125" style="374" bestFit="1" customWidth="1"/>
    <col min="12321" max="12326" width="9.28515625" style="374" bestFit="1" customWidth="1"/>
    <col min="12327" max="12329" width="9.5703125" style="374" bestFit="1" customWidth="1"/>
    <col min="12330" max="12332" width="9.28515625" style="374" bestFit="1" customWidth="1"/>
    <col min="12333" max="12333" width="9.5703125" style="374" bestFit="1" customWidth="1"/>
    <col min="12334" max="12336" width="9.28515625" style="374" bestFit="1" customWidth="1"/>
    <col min="12337" max="12340" width="9.5703125" style="374" bestFit="1" customWidth="1"/>
    <col min="12341" max="12342" width="9.28515625" style="374" bestFit="1" customWidth="1"/>
    <col min="12343" max="12343" width="14.140625" style="374" bestFit="1" customWidth="1"/>
    <col min="12344" max="12345" width="9.5703125" style="374" bestFit="1" customWidth="1"/>
    <col min="12346" max="12346" width="9.28515625" style="374" bestFit="1" customWidth="1"/>
    <col min="12347" max="12544" width="9.140625" style="374"/>
    <col min="12545" max="12545" width="27.42578125" style="374" bestFit="1" customWidth="1"/>
    <col min="12546" max="12546" width="27.42578125" style="374" customWidth="1"/>
    <col min="12547" max="12547" width="43.140625" style="374" customWidth="1"/>
    <col min="12548" max="12548" width="12.140625" style="374" customWidth="1"/>
    <col min="12549" max="12549" width="18.5703125" style="374" customWidth="1"/>
    <col min="12550" max="12550" width="14.5703125" style="374" customWidth="1"/>
    <col min="12551" max="12551" width="11.28515625" style="374" customWidth="1"/>
    <col min="12552" max="12552" width="12.140625" style="374" customWidth="1"/>
    <col min="12553" max="12553" width="12.42578125" style="374" customWidth="1"/>
    <col min="12554" max="12554" width="14.140625" style="374" customWidth="1"/>
    <col min="12555" max="12555" width="13.28515625" style="374" bestFit="1" customWidth="1"/>
    <col min="12556" max="12556" width="10.85546875" style="374" bestFit="1" customWidth="1"/>
    <col min="12557" max="12557" width="9.42578125" style="374" customWidth="1"/>
    <col min="12558" max="12559" width="9.5703125" style="374" bestFit="1" customWidth="1"/>
    <col min="12560" max="12560" width="9.28515625" style="374" bestFit="1" customWidth="1"/>
    <col min="12561" max="12567" width="9.5703125" style="374" bestFit="1" customWidth="1"/>
    <col min="12568" max="12568" width="9.28515625" style="374" bestFit="1" customWidth="1"/>
    <col min="12569" max="12569" width="9.5703125" style="374" bestFit="1" customWidth="1"/>
    <col min="12570" max="12571" width="9.28515625" style="374" bestFit="1" customWidth="1"/>
    <col min="12572" max="12572" width="9.5703125" style="374" bestFit="1" customWidth="1"/>
    <col min="12573" max="12573" width="9.28515625" style="374" bestFit="1" customWidth="1"/>
    <col min="12574" max="12574" width="9.5703125" style="374" bestFit="1" customWidth="1"/>
    <col min="12575" max="12575" width="9.28515625" style="374" bestFit="1" customWidth="1"/>
    <col min="12576" max="12576" width="9.5703125" style="374" bestFit="1" customWidth="1"/>
    <col min="12577" max="12582" width="9.28515625" style="374" bestFit="1" customWidth="1"/>
    <col min="12583" max="12585" width="9.5703125" style="374" bestFit="1" customWidth="1"/>
    <col min="12586" max="12588" width="9.28515625" style="374" bestFit="1" customWidth="1"/>
    <col min="12589" max="12589" width="9.5703125" style="374" bestFit="1" customWidth="1"/>
    <col min="12590" max="12592" width="9.28515625" style="374" bestFit="1" customWidth="1"/>
    <col min="12593" max="12596" width="9.5703125" style="374" bestFit="1" customWidth="1"/>
    <col min="12597" max="12598" width="9.28515625" style="374" bestFit="1" customWidth="1"/>
    <col min="12599" max="12599" width="14.140625" style="374" bestFit="1" customWidth="1"/>
    <col min="12600" max="12601" width="9.5703125" style="374" bestFit="1" customWidth="1"/>
    <col min="12602" max="12602" width="9.28515625" style="374" bestFit="1" customWidth="1"/>
    <col min="12603" max="12800" width="9.140625" style="374"/>
    <col min="12801" max="12801" width="27.42578125" style="374" bestFit="1" customWidth="1"/>
    <col min="12802" max="12802" width="27.42578125" style="374" customWidth="1"/>
    <col min="12803" max="12803" width="43.140625" style="374" customWidth="1"/>
    <col min="12804" max="12804" width="12.140625" style="374" customWidth="1"/>
    <col min="12805" max="12805" width="18.5703125" style="374" customWidth="1"/>
    <col min="12806" max="12806" width="14.5703125" style="374" customWidth="1"/>
    <col min="12807" max="12807" width="11.28515625" style="374" customWidth="1"/>
    <col min="12808" max="12808" width="12.140625" style="374" customWidth="1"/>
    <col min="12809" max="12809" width="12.42578125" style="374" customWidth="1"/>
    <col min="12810" max="12810" width="14.140625" style="374" customWidth="1"/>
    <col min="12811" max="12811" width="13.28515625" style="374" bestFit="1" customWidth="1"/>
    <col min="12812" max="12812" width="10.85546875" style="374" bestFit="1" customWidth="1"/>
    <col min="12813" max="12813" width="9.42578125" style="374" customWidth="1"/>
    <col min="12814" max="12815" width="9.5703125" style="374" bestFit="1" customWidth="1"/>
    <col min="12816" max="12816" width="9.28515625" style="374" bestFit="1" customWidth="1"/>
    <col min="12817" max="12823" width="9.5703125" style="374" bestFit="1" customWidth="1"/>
    <col min="12824" max="12824" width="9.28515625" style="374" bestFit="1" customWidth="1"/>
    <col min="12825" max="12825" width="9.5703125" style="374" bestFit="1" customWidth="1"/>
    <col min="12826" max="12827" width="9.28515625" style="374" bestFit="1" customWidth="1"/>
    <col min="12828" max="12828" width="9.5703125" style="374" bestFit="1" customWidth="1"/>
    <col min="12829" max="12829" width="9.28515625" style="374" bestFit="1" customWidth="1"/>
    <col min="12830" max="12830" width="9.5703125" style="374" bestFit="1" customWidth="1"/>
    <col min="12831" max="12831" width="9.28515625" style="374" bestFit="1" customWidth="1"/>
    <col min="12832" max="12832" width="9.5703125" style="374" bestFit="1" customWidth="1"/>
    <col min="12833" max="12838" width="9.28515625" style="374" bestFit="1" customWidth="1"/>
    <col min="12839" max="12841" width="9.5703125" style="374" bestFit="1" customWidth="1"/>
    <col min="12842" max="12844" width="9.28515625" style="374" bestFit="1" customWidth="1"/>
    <col min="12845" max="12845" width="9.5703125" style="374" bestFit="1" customWidth="1"/>
    <col min="12846" max="12848" width="9.28515625" style="374" bestFit="1" customWidth="1"/>
    <col min="12849" max="12852" width="9.5703125" style="374" bestFit="1" customWidth="1"/>
    <col min="12853" max="12854" width="9.28515625" style="374" bestFit="1" customWidth="1"/>
    <col min="12855" max="12855" width="14.140625" style="374" bestFit="1" customWidth="1"/>
    <col min="12856" max="12857" width="9.5703125" style="374" bestFit="1" customWidth="1"/>
    <col min="12858" max="12858" width="9.28515625" style="374" bestFit="1" customWidth="1"/>
    <col min="12859" max="13056" width="9.140625" style="374"/>
    <col min="13057" max="13057" width="27.42578125" style="374" bestFit="1" customWidth="1"/>
    <col min="13058" max="13058" width="27.42578125" style="374" customWidth="1"/>
    <col min="13059" max="13059" width="43.140625" style="374" customWidth="1"/>
    <col min="13060" max="13060" width="12.140625" style="374" customWidth="1"/>
    <col min="13061" max="13061" width="18.5703125" style="374" customWidth="1"/>
    <col min="13062" max="13062" width="14.5703125" style="374" customWidth="1"/>
    <col min="13063" max="13063" width="11.28515625" style="374" customWidth="1"/>
    <col min="13064" max="13064" width="12.140625" style="374" customWidth="1"/>
    <col min="13065" max="13065" width="12.42578125" style="374" customWidth="1"/>
    <col min="13066" max="13066" width="14.140625" style="374" customWidth="1"/>
    <col min="13067" max="13067" width="13.28515625" style="374" bestFit="1" customWidth="1"/>
    <col min="13068" max="13068" width="10.85546875" style="374" bestFit="1" customWidth="1"/>
    <col min="13069" max="13069" width="9.42578125" style="374" customWidth="1"/>
    <col min="13070" max="13071" width="9.5703125" style="374" bestFit="1" customWidth="1"/>
    <col min="13072" max="13072" width="9.28515625" style="374" bestFit="1" customWidth="1"/>
    <col min="13073" max="13079" width="9.5703125" style="374" bestFit="1" customWidth="1"/>
    <col min="13080" max="13080" width="9.28515625" style="374" bestFit="1" customWidth="1"/>
    <col min="13081" max="13081" width="9.5703125" style="374" bestFit="1" customWidth="1"/>
    <col min="13082" max="13083" width="9.28515625" style="374" bestFit="1" customWidth="1"/>
    <col min="13084" max="13084" width="9.5703125" style="374" bestFit="1" customWidth="1"/>
    <col min="13085" max="13085" width="9.28515625" style="374" bestFit="1" customWidth="1"/>
    <col min="13086" max="13086" width="9.5703125" style="374" bestFit="1" customWidth="1"/>
    <col min="13087" max="13087" width="9.28515625" style="374" bestFit="1" customWidth="1"/>
    <col min="13088" max="13088" width="9.5703125" style="374" bestFit="1" customWidth="1"/>
    <col min="13089" max="13094" width="9.28515625" style="374" bestFit="1" customWidth="1"/>
    <col min="13095" max="13097" width="9.5703125" style="374" bestFit="1" customWidth="1"/>
    <col min="13098" max="13100" width="9.28515625" style="374" bestFit="1" customWidth="1"/>
    <col min="13101" max="13101" width="9.5703125" style="374" bestFit="1" customWidth="1"/>
    <col min="13102" max="13104" width="9.28515625" style="374" bestFit="1" customWidth="1"/>
    <col min="13105" max="13108" width="9.5703125" style="374" bestFit="1" customWidth="1"/>
    <col min="13109" max="13110" width="9.28515625" style="374" bestFit="1" customWidth="1"/>
    <col min="13111" max="13111" width="14.140625" style="374" bestFit="1" customWidth="1"/>
    <col min="13112" max="13113" width="9.5703125" style="374" bestFit="1" customWidth="1"/>
    <col min="13114" max="13114" width="9.28515625" style="374" bestFit="1" customWidth="1"/>
    <col min="13115" max="13312" width="9.140625" style="374"/>
    <col min="13313" max="13313" width="27.42578125" style="374" bestFit="1" customWidth="1"/>
    <col min="13314" max="13314" width="27.42578125" style="374" customWidth="1"/>
    <col min="13315" max="13315" width="43.140625" style="374" customWidth="1"/>
    <col min="13316" max="13316" width="12.140625" style="374" customWidth="1"/>
    <col min="13317" max="13317" width="18.5703125" style="374" customWidth="1"/>
    <col min="13318" max="13318" width="14.5703125" style="374" customWidth="1"/>
    <col min="13319" max="13319" width="11.28515625" style="374" customWidth="1"/>
    <col min="13320" max="13320" width="12.140625" style="374" customWidth="1"/>
    <col min="13321" max="13321" width="12.42578125" style="374" customWidth="1"/>
    <col min="13322" max="13322" width="14.140625" style="374" customWidth="1"/>
    <col min="13323" max="13323" width="13.28515625" style="374" bestFit="1" customWidth="1"/>
    <col min="13324" max="13324" width="10.85546875" style="374" bestFit="1" customWidth="1"/>
    <col min="13325" max="13325" width="9.42578125" style="374" customWidth="1"/>
    <col min="13326" max="13327" width="9.5703125" style="374" bestFit="1" customWidth="1"/>
    <col min="13328" max="13328" width="9.28515625" style="374" bestFit="1" customWidth="1"/>
    <col min="13329" max="13335" width="9.5703125" style="374" bestFit="1" customWidth="1"/>
    <col min="13336" max="13336" width="9.28515625" style="374" bestFit="1" customWidth="1"/>
    <col min="13337" max="13337" width="9.5703125" style="374" bestFit="1" customWidth="1"/>
    <col min="13338" max="13339" width="9.28515625" style="374" bestFit="1" customWidth="1"/>
    <col min="13340" max="13340" width="9.5703125" style="374" bestFit="1" customWidth="1"/>
    <col min="13341" max="13341" width="9.28515625" style="374" bestFit="1" customWidth="1"/>
    <col min="13342" max="13342" width="9.5703125" style="374" bestFit="1" customWidth="1"/>
    <col min="13343" max="13343" width="9.28515625" style="374" bestFit="1" customWidth="1"/>
    <col min="13344" max="13344" width="9.5703125" style="374" bestFit="1" customWidth="1"/>
    <col min="13345" max="13350" width="9.28515625" style="374" bestFit="1" customWidth="1"/>
    <col min="13351" max="13353" width="9.5703125" style="374" bestFit="1" customWidth="1"/>
    <col min="13354" max="13356" width="9.28515625" style="374" bestFit="1" customWidth="1"/>
    <col min="13357" max="13357" width="9.5703125" style="374" bestFit="1" customWidth="1"/>
    <col min="13358" max="13360" width="9.28515625" style="374" bestFit="1" customWidth="1"/>
    <col min="13361" max="13364" width="9.5703125" style="374" bestFit="1" customWidth="1"/>
    <col min="13365" max="13366" width="9.28515625" style="374" bestFit="1" customWidth="1"/>
    <col min="13367" max="13367" width="14.140625" style="374" bestFit="1" customWidth="1"/>
    <col min="13368" max="13369" width="9.5703125" style="374" bestFit="1" customWidth="1"/>
    <col min="13370" max="13370" width="9.28515625" style="374" bestFit="1" customWidth="1"/>
    <col min="13371" max="13568" width="9.140625" style="374"/>
    <col min="13569" max="13569" width="27.42578125" style="374" bestFit="1" customWidth="1"/>
    <col min="13570" max="13570" width="27.42578125" style="374" customWidth="1"/>
    <col min="13571" max="13571" width="43.140625" style="374" customWidth="1"/>
    <col min="13572" max="13572" width="12.140625" style="374" customWidth="1"/>
    <col min="13573" max="13573" width="18.5703125" style="374" customWidth="1"/>
    <col min="13574" max="13574" width="14.5703125" style="374" customWidth="1"/>
    <col min="13575" max="13575" width="11.28515625" style="374" customWidth="1"/>
    <col min="13576" max="13576" width="12.140625" style="374" customWidth="1"/>
    <col min="13577" max="13577" width="12.42578125" style="374" customWidth="1"/>
    <col min="13578" max="13578" width="14.140625" style="374" customWidth="1"/>
    <col min="13579" max="13579" width="13.28515625" style="374" bestFit="1" customWidth="1"/>
    <col min="13580" max="13580" width="10.85546875" style="374" bestFit="1" customWidth="1"/>
    <col min="13581" max="13581" width="9.42578125" style="374" customWidth="1"/>
    <col min="13582" max="13583" width="9.5703125" style="374" bestFit="1" customWidth="1"/>
    <col min="13584" max="13584" width="9.28515625" style="374" bestFit="1" customWidth="1"/>
    <col min="13585" max="13591" width="9.5703125" style="374" bestFit="1" customWidth="1"/>
    <col min="13592" max="13592" width="9.28515625" style="374" bestFit="1" customWidth="1"/>
    <col min="13593" max="13593" width="9.5703125" style="374" bestFit="1" customWidth="1"/>
    <col min="13594" max="13595" width="9.28515625" style="374" bestFit="1" customWidth="1"/>
    <col min="13596" max="13596" width="9.5703125" style="374" bestFit="1" customWidth="1"/>
    <col min="13597" max="13597" width="9.28515625" style="374" bestFit="1" customWidth="1"/>
    <col min="13598" max="13598" width="9.5703125" style="374" bestFit="1" customWidth="1"/>
    <col min="13599" max="13599" width="9.28515625" style="374" bestFit="1" customWidth="1"/>
    <col min="13600" max="13600" width="9.5703125" style="374" bestFit="1" customWidth="1"/>
    <col min="13601" max="13606" width="9.28515625" style="374" bestFit="1" customWidth="1"/>
    <col min="13607" max="13609" width="9.5703125" style="374" bestFit="1" customWidth="1"/>
    <col min="13610" max="13612" width="9.28515625" style="374" bestFit="1" customWidth="1"/>
    <col min="13613" max="13613" width="9.5703125" style="374" bestFit="1" customWidth="1"/>
    <col min="13614" max="13616" width="9.28515625" style="374" bestFit="1" customWidth="1"/>
    <col min="13617" max="13620" width="9.5703125" style="374" bestFit="1" customWidth="1"/>
    <col min="13621" max="13622" width="9.28515625" style="374" bestFit="1" customWidth="1"/>
    <col min="13623" max="13623" width="14.140625" style="374" bestFit="1" customWidth="1"/>
    <col min="13624" max="13625" width="9.5703125" style="374" bestFit="1" customWidth="1"/>
    <col min="13626" max="13626" width="9.28515625" style="374" bestFit="1" customWidth="1"/>
    <col min="13627" max="13824" width="9.140625" style="374"/>
    <col min="13825" max="13825" width="27.42578125" style="374" bestFit="1" customWidth="1"/>
    <col min="13826" max="13826" width="27.42578125" style="374" customWidth="1"/>
    <col min="13827" max="13827" width="43.140625" style="374" customWidth="1"/>
    <col min="13828" max="13828" width="12.140625" style="374" customWidth="1"/>
    <col min="13829" max="13829" width="18.5703125" style="374" customWidth="1"/>
    <col min="13830" max="13830" width="14.5703125" style="374" customWidth="1"/>
    <col min="13831" max="13831" width="11.28515625" style="374" customWidth="1"/>
    <col min="13832" max="13832" width="12.140625" style="374" customWidth="1"/>
    <col min="13833" max="13833" width="12.42578125" style="374" customWidth="1"/>
    <col min="13834" max="13834" width="14.140625" style="374" customWidth="1"/>
    <col min="13835" max="13835" width="13.28515625" style="374" bestFit="1" customWidth="1"/>
    <col min="13836" max="13836" width="10.85546875" style="374" bestFit="1" customWidth="1"/>
    <col min="13837" max="13837" width="9.42578125" style="374" customWidth="1"/>
    <col min="13838" max="13839" width="9.5703125" style="374" bestFit="1" customWidth="1"/>
    <col min="13840" max="13840" width="9.28515625" style="374" bestFit="1" customWidth="1"/>
    <col min="13841" max="13847" width="9.5703125" style="374" bestFit="1" customWidth="1"/>
    <col min="13848" max="13848" width="9.28515625" style="374" bestFit="1" customWidth="1"/>
    <col min="13849" max="13849" width="9.5703125" style="374" bestFit="1" customWidth="1"/>
    <col min="13850" max="13851" width="9.28515625" style="374" bestFit="1" customWidth="1"/>
    <col min="13852" max="13852" width="9.5703125" style="374" bestFit="1" customWidth="1"/>
    <col min="13853" max="13853" width="9.28515625" style="374" bestFit="1" customWidth="1"/>
    <col min="13854" max="13854" width="9.5703125" style="374" bestFit="1" customWidth="1"/>
    <col min="13855" max="13855" width="9.28515625" style="374" bestFit="1" customWidth="1"/>
    <col min="13856" max="13856" width="9.5703125" style="374" bestFit="1" customWidth="1"/>
    <col min="13857" max="13862" width="9.28515625" style="374" bestFit="1" customWidth="1"/>
    <col min="13863" max="13865" width="9.5703125" style="374" bestFit="1" customWidth="1"/>
    <col min="13866" max="13868" width="9.28515625" style="374" bestFit="1" customWidth="1"/>
    <col min="13869" max="13869" width="9.5703125" style="374" bestFit="1" customWidth="1"/>
    <col min="13870" max="13872" width="9.28515625" style="374" bestFit="1" customWidth="1"/>
    <col min="13873" max="13876" width="9.5703125" style="374" bestFit="1" customWidth="1"/>
    <col min="13877" max="13878" width="9.28515625" style="374" bestFit="1" customWidth="1"/>
    <col min="13879" max="13879" width="14.140625" style="374" bestFit="1" customWidth="1"/>
    <col min="13880" max="13881" width="9.5703125" style="374" bestFit="1" customWidth="1"/>
    <col min="13882" max="13882" width="9.28515625" style="374" bestFit="1" customWidth="1"/>
    <col min="13883" max="14080" width="9.140625" style="374"/>
    <col min="14081" max="14081" width="27.42578125" style="374" bestFit="1" customWidth="1"/>
    <col min="14082" max="14082" width="27.42578125" style="374" customWidth="1"/>
    <col min="14083" max="14083" width="43.140625" style="374" customWidth="1"/>
    <col min="14084" max="14084" width="12.140625" style="374" customWidth="1"/>
    <col min="14085" max="14085" width="18.5703125" style="374" customWidth="1"/>
    <col min="14086" max="14086" width="14.5703125" style="374" customWidth="1"/>
    <col min="14087" max="14087" width="11.28515625" style="374" customWidth="1"/>
    <col min="14088" max="14088" width="12.140625" style="374" customWidth="1"/>
    <col min="14089" max="14089" width="12.42578125" style="374" customWidth="1"/>
    <col min="14090" max="14090" width="14.140625" style="374" customWidth="1"/>
    <col min="14091" max="14091" width="13.28515625" style="374" bestFit="1" customWidth="1"/>
    <col min="14092" max="14092" width="10.85546875" style="374" bestFit="1" customWidth="1"/>
    <col min="14093" max="14093" width="9.42578125" style="374" customWidth="1"/>
    <col min="14094" max="14095" width="9.5703125" style="374" bestFit="1" customWidth="1"/>
    <col min="14096" max="14096" width="9.28515625" style="374" bestFit="1" customWidth="1"/>
    <col min="14097" max="14103" width="9.5703125" style="374" bestFit="1" customWidth="1"/>
    <col min="14104" max="14104" width="9.28515625" style="374" bestFit="1" customWidth="1"/>
    <col min="14105" max="14105" width="9.5703125" style="374" bestFit="1" customWidth="1"/>
    <col min="14106" max="14107" width="9.28515625" style="374" bestFit="1" customWidth="1"/>
    <col min="14108" max="14108" width="9.5703125" style="374" bestFit="1" customWidth="1"/>
    <col min="14109" max="14109" width="9.28515625" style="374" bestFit="1" customWidth="1"/>
    <col min="14110" max="14110" width="9.5703125" style="374" bestFit="1" customWidth="1"/>
    <col min="14111" max="14111" width="9.28515625" style="374" bestFit="1" customWidth="1"/>
    <col min="14112" max="14112" width="9.5703125" style="374" bestFit="1" customWidth="1"/>
    <col min="14113" max="14118" width="9.28515625" style="374" bestFit="1" customWidth="1"/>
    <col min="14119" max="14121" width="9.5703125" style="374" bestFit="1" customWidth="1"/>
    <col min="14122" max="14124" width="9.28515625" style="374" bestFit="1" customWidth="1"/>
    <col min="14125" max="14125" width="9.5703125" style="374" bestFit="1" customWidth="1"/>
    <col min="14126" max="14128" width="9.28515625" style="374" bestFit="1" customWidth="1"/>
    <col min="14129" max="14132" width="9.5703125" style="374" bestFit="1" customWidth="1"/>
    <col min="14133" max="14134" width="9.28515625" style="374" bestFit="1" customWidth="1"/>
    <col min="14135" max="14135" width="14.140625" style="374" bestFit="1" customWidth="1"/>
    <col min="14136" max="14137" width="9.5703125" style="374" bestFit="1" customWidth="1"/>
    <col min="14138" max="14138" width="9.28515625" style="374" bestFit="1" customWidth="1"/>
    <col min="14139" max="14336" width="9.140625" style="374"/>
    <col min="14337" max="14337" width="27.42578125" style="374" bestFit="1" customWidth="1"/>
    <col min="14338" max="14338" width="27.42578125" style="374" customWidth="1"/>
    <col min="14339" max="14339" width="43.140625" style="374" customWidth="1"/>
    <col min="14340" max="14340" width="12.140625" style="374" customWidth="1"/>
    <col min="14341" max="14341" width="18.5703125" style="374" customWidth="1"/>
    <col min="14342" max="14342" width="14.5703125" style="374" customWidth="1"/>
    <col min="14343" max="14343" width="11.28515625" style="374" customWidth="1"/>
    <col min="14344" max="14344" width="12.140625" style="374" customWidth="1"/>
    <col min="14345" max="14345" width="12.42578125" style="374" customWidth="1"/>
    <col min="14346" max="14346" width="14.140625" style="374" customWidth="1"/>
    <col min="14347" max="14347" width="13.28515625" style="374" bestFit="1" customWidth="1"/>
    <col min="14348" max="14348" width="10.85546875" style="374" bestFit="1" customWidth="1"/>
    <col min="14349" max="14349" width="9.42578125" style="374" customWidth="1"/>
    <col min="14350" max="14351" width="9.5703125" style="374" bestFit="1" customWidth="1"/>
    <col min="14352" max="14352" width="9.28515625" style="374" bestFit="1" customWidth="1"/>
    <col min="14353" max="14359" width="9.5703125" style="374" bestFit="1" customWidth="1"/>
    <col min="14360" max="14360" width="9.28515625" style="374" bestFit="1" customWidth="1"/>
    <col min="14361" max="14361" width="9.5703125" style="374" bestFit="1" customWidth="1"/>
    <col min="14362" max="14363" width="9.28515625" style="374" bestFit="1" customWidth="1"/>
    <col min="14364" max="14364" width="9.5703125" style="374" bestFit="1" customWidth="1"/>
    <col min="14365" max="14365" width="9.28515625" style="374" bestFit="1" customWidth="1"/>
    <col min="14366" max="14366" width="9.5703125" style="374" bestFit="1" customWidth="1"/>
    <col min="14367" max="14367" width="9.28515625" style="374" bestFit="1" customWidth="1"/>
    <col min="14368" max="14368" width="9.5703125" style="374" bestFit="1" customWidth="1"/>
    <col min="14369" max="14374" width="9.28515625" style="374" bestFit="1" customWidth="1"/>
    <col min="14375" max="14377" width="9.5703125" style="374" bestFit="1" customWidth="1"/>
    <col min="14378" max="14380" width="9.28515625" style="374" bestFit="1" customWidth="1"/>
    <col min="14381" max="14381" width="9.5703125" style="374" bestFit="1" customWidth="1"/>
    <col min="14382" max="14384" width="9.28515625" style="374" bestFit="1" customWidth="1"/>
    <col min="14385" max="14388" width="9.5703125" style="374" bestFit="1" customWidth="1"/>
    <col min="14389" max="14390" width="9.28515625" style="374" bestFit="1" customWidth="1"/>
    <col min="14391" max="14391" width="14.140625" style="374" bestFit="1" customWidth="1"/>
    <col min="14392" max="14393" width="9.5703125" style="374" bestFit="1" customWidth="1"/>
    <col min="14394" max="14394" width="9.28515625" style="374" bestFit="1" customWidth="1"/>
    <col min="14395" max="14592" width="9.140625" style="374"/>
    <col min="14593" max="14593" width="27.42578125" style="374" bestFit="1" customWidth="1"/>
    <col min="14594" max="14594" width="27.42578125" style="374" customWidth="1"/>
    <col min="14595" max="14595" width="43.140625" style="374" customWidth="1"/>
    <col min="14596" max="14596" width="12.140625" style="374" customWidth="1"/>
    <col min="14597" max="14597" width="18.5703125" style="374" customWidth="1"/>
    <col min="14598" max="14598" width="14.5703125" style="374" customWidth="1"/>
    <col min="14599" max="14599" width="11.28515625" style="374" customWidth="1"/>
    <col min="14600" max="14600" width="12.140625" style="374" customWidth="1"/>
    <col min="14601" max="14601" width="12.42578125" style="374" customWidth="1"/>
    <col min="14602" max="14602" width="14.140625" style="374" customWidth="1"/>
    <col min="14603" max="14603" width="13.28515625" style="374" bestFit="1" customWidth="1"/>
    <col min="14604" max="14604" width="10.85546875" style="374" bestFit="1" customWidth="1"/>
    <col min="14605" max="14605" width="9.42578125" style="374" customWidth="1"/>
    <col min="14606" max="14607" width="9.5703125" style="374" bestFit="1" customWidth="1"/>
    <col min="14608" max="14608" width="9.28515625" style="374" bestFit="1" customWidth="1"/>
    <col min="14609" max="14615" width="9.5703125" style="374" bestFit="1" customWidth="1"/>
    <col min="14616" max="14616" width="9.28515625" style="374" bestFit="1" customWidth="1"/>
    <col min="14617" max="14617" width="9.5703125" style="374" bestFit="1" customWidth="1"/>
    <col min="14618" max="14619" width="9.28515625" style="374" bestFit="1" customWidth="1"/>
    <col min="14620" max="14620" width="9.5703125" style="374" bestFit="1" customWidth="1"/>
    <col min="14621" max="14621" width="9.28515625" style="374" bestFit="1" customWidth="1"/>
    <col min="14622" max="14622" width="9.5703125" style="374" bestFit="1" customWidth="1"/>
    <col min="14623" max="14623" width="9.28515625" style="374" bestFit="1" customWidth="1"/>
    <col min="14624" max="14624" width="9.5703125" style="374" bestFit="1" customWidth="1"/>
    <col min="14625" max="14630" width="9.28515625" style="374" bestFit="1" customWidth="1"/>
    <col min="14631" max="14633" width="9.5703125" style="374" bestFit="1" customWidth="1"/>
    <col min="14634" max="14636" width="9.28515625" style="374" bestFit="1" customWidth="1"/>
    <col min="14637" max="14637" width="9.5703125" style="374" bestFit="1" customWidth="1"/>
    <col min="14638" max="14640" width="9.28515625" style="374" bestFit="1" customWidth="1"/>
    <col min="14641" max="14644" width="9.5703125" style="374" bestFit="1" customWidth="1"/>
    <col min="14645" max="14646" width="9.28515625" style="374" bestFit="1" customWidth="1"/>
    <col min="14647" max="14647" width="14.140625" style="374" bestFit="1" customWidth="1"/>
    <col min="14648" max="14649" width="9.5703125" style="374" bestFit="1" customWidth="1"/>
    <col min="14650" max="14650" width="9.28515625" style="374" bestFit="1" customWidth="1"/>
    <col min="14651" max="14848" width="9.140625" style="374"/>
    <col min="14849" max="14849" width="27.42578125" style="374" bestFit="1" customWidth="1"/>
    <col min="14850" max="14850" width="27.42578125" style="374" customWidth="1"/>
    <col min="14851" max="14851" width="43.140625" style="374" customWidth="1"/>
    <col min="14852" max="14852" width="12.140625" style="374" customWidth="1"/>
    <col min="14853" max="14853" width="18.5703125" style="374" customWidth="1"/>
    <col min="14854" max="14854" width="14.5703125" style="374" customWidth="1"/>
    <col min="14855" max="14855" width="11.28515625" style="374" customWidth="1"/>
    <col min="14856" max="14856" width="12.140625" style="374" customWidth="1"/>
    <col min="14857" max="14857" width="12.42578125" style="374" customWidth="1"/>
    <col min="14858" max="14858" width="14.140625" style="374" customWidth="1"/>
    <col min="14859" max="14859" width="13.28515625" style="374" bestFit="1" customWidth="1"/>
    <col min="14860" max="14860" width="10.85546875" style="374" bestFit="1" customWidth="1"/>
    <col min="14861" max="14861" width="9.42578125" style="374" customWidth="1"/>
    <col min="14862" max="14863" width="9.5703125" style="374" bestFit="1" customWidth="1"/>
    <col min="14864" max="14864" width="9.28515625" style="374" bestFit="1" customWidth="1"/>
    <col min="14865" max="14871" width="9.5703125" style="374" bestFit="1" customWidth="1"/>
    <col min="14872" max="14872" width="9.28515625" style="374" bestFit="1" customWidth="1"/>
    <col min="14873" max="14873" width="9.5703125" style="374" bestFit="1" customWidth="1"/>
    <col min="14874" max="14875" width="9.28515625" style="374" bestFit="1" customWidth="1"/>
    <col min="14876" max="14876" width="9.5703125" style="374" bestFit="1" customWidth="1"/>
    <col min="14877" max="14877" width="9.28515625" style="374" bestFit="1" customWidth="1"/>
    <col min="14878" max="14878" width="9.5703125" style="374" bestFit="1" customWidth="1"/>
    <col min="14879" max="14879" width="9.28515625" style="374" bestFit="1" customWidth="1"/>
    <col min="14880" max="14880" width="9.5703125" style="374" bestFit="1" customWidth="1"/>
    <col min="14881" max="14886" width="9.28515625" style="374" bestFit="1" customWidth="1"/>
    <col min="14887" max="14889" width="9.5703125" style="374" bestFit="1" customWidth="1"/>
    <col min="14890" max="14892" width="9.28515625" style="374" bestFit="1" customWidth="1"/>
    <col min="14893" max="14893" width="9.5703125" style="374" bestFit="1" customWidth="1"/>
    <col min="14894" max="14896" width="9.28515625" style="374" bestFit="1" customWidth="1"/>
    <col min="14897" max="14900" width="9.5703125" style="374" bestFit="1" customWidth="1"/>
    <col min="14901" max="14902" width="9.28515625" style="374" bestFit="1" customWidth="1"/>
    <col min="14903" max="14903" width="14.140625" style="374" bestFit="1" customWidth="1"/>
    <col min="14904" max="14905" width="9.5703125" style="374" bestFit="1" customWidth="1"/>
    <col min="14906" max="14906" width="9.28515625" style="374" bestFit="1" customWidth="1"/>
    <col min="14907" max="15104" width="9.140625" style="374"/>
    <col min="15105" max="15105" width="27.42578125" style="374" bestFit="1" customWidth="1"/>
    <col min="15106" max="15106" width="27.42578125" style="374" customWidth="1"/>
    <col min="15107" max="15107" width="43.140625" style="374" customWidth="1"/>
    <col min="15108" max="15108" width="12.140625" style="374" customWidth="1"/>
    <col min="15109" max="15109" width="18.5703125" style="374" customWidth="1"/>
    <col min="15110" max="15110" width="14.5703125" style="374" customWidth="1"/>
    <col min="15111" max="15111" width="11.28515625" style="374" customWidth="1"/>
    <col min="15112" max="15112" width="12.140625" style="374" customWidth="1"/>
    <col min="15113" max="15113" width="12.42578125" style="374" customWidth="1"/>
    <col min="15114" max="15114" width="14.140625" style="374" customWidth="1"/>
    <col min="15115" max="15115" width="13.28515625" style="374" bestFit="1" customWidth="1"/>
    <col min="15116" max="15116" width="10.85546875" style="374" bestFit="1" customWidth="1"/>
    <col min="15117" max="15117" width="9.42578125" style="374" customWidth="1"/>
    <col min="15118" max="15119" width="9.5703125" style="374" bestFit="1" customWidth="1"/>
    <col min="15120" max="15120" width="9.28515625" style="374" bestFit="1" customWidth="1"/>
    <col min="15121" max="15127" width="9.5703125" style="374" bestFit="1" customWidth="1"/>
    <col min="15128" max="15128" width="9.28515625" style="374" bestFit="1" customWidth="1"/>
    <col min="15129" max="15129" width="9.5703125" style="374" bestFit="1" customWidth="1"/>
    <col min="15130" max="15131" width="9.28515625" style="374" bestFit="1" customWidth="1"/>
    <col min="15132" max="15132" width="9.5703125" style="374" bestFit="1" customWidth="1"/>
    <col min="15133" max="15133" width="9.28515625" style="374" bestFit="1" customWidth="1"/>
    <col min="15134" max="15134" width="9.5703125" style="374" bestFit="1" customWidth="1"/>
    <col min="15135" max="15135" width="9.28515625" style="374" bestFit="1" customWidth="1"/>
    <col min="15136" max="15136" width="9.5703125" style="374" bestFit="1" customWidth="1"/>
    <col min="15137" max="15142" width="9.28515625" style="374" bestFit="1" customWidth="1"/>
    <col min="15143" max="15145" width="9.5703125" style="374" bestFit="1" customWidth="1"/>
    <col min="15146" max="15148" width="9.28515625" style="374" bestFit="1" customWidth="1"/>
    <col min="15149" max="15149" width="9.5703125" style="374" bestFit="1" customWidth="1"/>
    <col min="15150" max="15152" width="9.28515625" style="374" bestFit="1" customWidth="1"/>
    <col min="15153" max="15156" width="9.5703125" style="374" bestFit="1" customWidth="1"/>
    <col min="15157" max="15158" width="9.28515625" style="374" bestFit="1" customWidth="1"/>
    <col min="15159" max="15159" width="14.140625" style="374" bestFit="1" customWidth="1"/>
    <col min="15160" max="15161" width="9.5703125" style="374" bestFit="1" customWidth="1"/>
    <col min="15162" max="15162" width="9.28515625" style="374" bestFit="1" customWidth="1"/>
    <col min="15163" max="15360" width="9.140625" style="374"/>
    <col min="15361" max="15361" width="27.42578125" style="374" bestFit="1" customWidth="1"/>
    <col min="15362" max="15362" width="27.42578125" style="374" customWidth="1"/>
    <col min="15363" max="15363" width="43.140625" style="374" customWidth="1"/>
    <col min="15364" max="15364" width="12.140625" style="374" customWidth="1"/>
    <col min="15365" max="15365" width="18.5703125" style="374" customWidth="1"/>
    <col min="15366" max="15366" width="14.5703125" style="374" customWidth="1"/>
    <col min="15367" max="15367" width="11.28515625" style="374" customWidth="1"/>
    <col min="15368" max="15368" width="12.140625" style="374" customWidth="1"/>
    <col min="15369" max="15369" width="12.42578125" style="374" customWidth="1"/>
    <col min="15370" max="15370" width="14.140625" style="374" customWidth="1"/>
    <col min="15371" max="15371" width="13.28515625" style="374" bestFit="1" customWidth="1"/>
    <col min="15372" max="15372" width="10.85546875" style="374" bestFit="1" customWidth="1"/>
    <col min="15373" max="15373" width="9.42578125" style="374" customWidth="1"/>
    <col min="15374" max="15375" width="9.5703125" style="374" bestFit="1" customWidth="1"/>
    <col min="15376" max="15376" width="9.28515625" style="374" bestFit="1" customWidth="1"/>
    <col min="15377" max="15383" width="9.5703125" style="374" bestFit="1" customWidth="1"/>
    <col min="15384" max="15384" width="9.28515625" style="374" bestFit="1" customWidth="1"/>
    <col min="15385" max="15385" width="9.5703125" style="374" bestFit="1" customWidth="1"/>
    <col min="15386" max="15387" width="9.28515625" style="374" bestFit="1" customWidth="1"/>
    <col min="15388" max="15388" width="9.5703125" style="374" bestFit="1" customWidth="1"/>
    <col min="15389" max="15389" width="9.28515625" style="374" bestFit="1" customWidth="1"/>
    <col min="15390" max="15390" width="9.5703125" style="374" bestFit="1" customWidth="1"/>
    <col min="15391" max="15391" width="9.28515625" style="374" bestFit="1" customWidth="1"/>
    <col min="15392" max="15392" width="9.5703125" style="374" bestFit="1" customWidth="1"/>
    <col min="15393" max="15398" width="9.28515625" style="374" bestFit="1" customWidth="1"/>
    <col min="15399" max="15401" width="9.5703125" style="374" bestFit="1" customWidth="1"/>
    <col min="15402" max="15404" width="9.28515625" style="374" bestFit="1" customWidth="1"/>
    <col min="15405" max="15405" width="9.5703125" style="374" bestFit="1" customWidth="1"/>
    <col min="15406" max="15408" width="9.28515625" style="374" bestFit="1" customWidth="1"/>
    <col min="15409" max="15412" width="9.5703125" style="374" bestFit="1" customWidth="1"/>
    <col min="15413" max="15414" width="9.28515625" style="374" bestFit="1" customWidth="1"/>
    <col min="15415" max="15415" width="14.140625" style="374" bestFit="1" customWidth="1"/>
    <col min="15416" max="15417" width="9.5703125" style="374" bestFit="1" customWidth="1"/>
    <col min="15418" max="15418" width="9.28515625" style="374" bestFit="1" customWidth="1"/>
    <col min="15419" max="15616" width="9.140625" style="374"/>
    <col min="15617" max="15617" width="27.42578125" style="374" bestFit="1" customWidth="1"/>
    <col min="15618" max="15618" width="27.42578125" style="374" customWidth="1"/>
    <col min="15619" max="15619" width="43.140625" style="374" customWidth="1"/>
    <col min="15620" max="15620" width="12.140625" style="374" customWidth="1"/>
    <col min="15621" max="15621" width="18.5703125" style="374" customWidth="1"/>
    <col min="15622" max="15622" width="14.5703125" style="374" customWidth="1"/>
    <col min="15623" max="15623" width="11.28515625" style="374" customWidth="1"/>
    <col min="15624" max="15624" width="12.140625" style="374" customWidth="1"/>
    <col min="15625" max="15625" width="12.42578125" style="374" customWidth="1"/>
    <col min="15626" max="15626" width="14.140625" style="374" customWidth="1"/>
    <col min="15627" max="15627" width="13.28515625" style="374" bestFit="1" customWidth="1"/>
    <col min="15628" max="15628" width="10.85546875" style="374" bestFit="1" customWidth="1"/>
    <col min="15629" max="15629" width="9.42578125" style="374" customWidth="1"/>
    <col min="15630" max="15631" width="9.5703125" style="374" bestFit="1" customWidth="1"/>
    <col min="15632" max="15632" width="9.28515625" style="374" bestFit="1" customWidth="1"/>
    <col min="15633" max="15639" width="9.5703125" style="374" bestFit="1" customWidth="1"/>
    <col min="15640" max="15640" width="9.28515625" style="374" bestFit="1" customWidth="1"/>
    <col min="15641" max="15641" width="9.5703125" style="374" bestFit="1" customWidth="1"/>
    <col min="15642" max="15643" width="9.28515625" style="374" bestFit="1" customWidth="1"/>
    <col min="15644" max="15644" width="9.5703125" style="374" bestFit="1" customWidth="1"/>
    <col min="15645" max="15645" width="9.28515625" style="374" bestFit="1" customWidth="1"/>
    <col min="15646" max="15646" width="9.5703125" style="374" bestFit="1" customWidth="1"/>
    <col min="15647" max="15647" width="9.28515625" style="374" bestFit="1" customWidth="1"/>
    <col min="15648" max="15648" width="9.5703125" style="374" bestFit="1" customWidth="1"/>
    <col min="15649" max="15654" width="9.28515625" style="374" bestFit="1" customWidth="1"/>
    <col min="15655" max="15657" width="9.5703125" style="374" bestFit="1" customWidth="1"/>
    <col min="15658" max="15660" width="9.28515625" style="374" bestFit="1" customWidth="1"/>
    <col min="15661" max="15661" width="9.5703125" style="374" bestFit="1" customWidth="1"/>
    <col min="15662" max="15664" width="9.28515625" style="374" bestFit="1" customWidth="1"/>
    <col min="15665" max="15668" width="9.5703125" style="374" bestFit="1" customWidth="1"/>
    <col min="15669" max="15670" width="9.28515625" style="374" bestFit="1" customWidth="1"/>
    <col min="15671" max="15671" width="14.140625" style="374" bestFit="1" customWidth="1"/>
    <col min="15672" max="15673" width="9.5703125" style="374" bestFit="1" customWidth="1"/>
    <col min="15674" max="15674" width="9.28515625" style="374" bestFit="1" customWidth="1"/>
    <col min="15675" max="15872" width="9.140625" style="374"/>
    <col min="15873" max="15873" width="27.42578125" style="374" bestFit="1" customWidth="1"/>
    <col min="15874" max="15874" width="27.42578125" style="374" customWidth="1"/>
    <col min="15875" max="15875" width="43.140625" style="374" customWidth="1"/>
    <col min="15876" max="15876" width="12.140625" style="374" customWidth="1"/>
    <col min="15877" max="15877" width="18.5703125" style="374" customWidth="1"/>
    <col min="15878" max="15878" width="14.5703125" style="374" customWidth="1"/>
    <col min="15879" max="15879" width="11.28515625" style="374" customWidth="1"/>
    <col min="15880" max="15880" width="12.140625" style="374" customWidth="1"/>
    <col min="15881" max="15881" width="12.42578125" style="374" customWidth="1"/>
    <col min="15882" max="15882" width="14.140625" style="374" customWidth="1"/>
    <col min="15883" max="15883" width="13.28515625" style="374" bestFit="1" customWidth="1"/>
    <col min="15884" max="15884" width="10.85546875" style="374" bestFit="1" customWidth="1"/>
    <col min="15885" max="15885" width="9.42578125" style="374" customWidth="1"/>
    <col min="15886" max="15887" width="9.5703125" style="374" bestFit="1" customWidth="1"/>
    <col min="15888" max="15888" width="9.28515625" style="374" bestFit="1" customWidth="1"/>
    <col min="15889" max="15895" width="9.5703125" style="374" bestFit="1" customWidth="1"/>
    <col min="15896" max="15896" width="9.28515625" style="374" bestFit="1" customWidth="1"/>
    <col min="15897" max="15897" width="9.5703125" style="374" bestFit="1" customWidth="1"/>
    <col min="15898" max="15899" width="9.28515625" style="374" bestFit="1" customWidth="1"/>
    <col min="15900" max="15900" width="9.5703125" style="374" bestFit="1" customWidth="1"/>
    <col min="15901" max="15901" width="9.28515625" style="374" bestFit="1" customWidth="1"/>
    <col min="15902" max="15902" width="9.5703125" style="374" bestFit="1" customWidth="1"/>
    <col min="15903" max="15903" width="9.28515625" style="374" bestFit="1" customWidth="1"/>
    <col min="15904" max="15904" width="9.5703125" style="374" bestFit="1" customWidth="1"/>
    <col min="15905" max="15910" width="9.28515625" style="374" bestFit="1" customWidth="1"/>
    <col min="15911" max="15913" width="9.5703125" style="374" bestFit="1" customWidth="1"/>
    <col min="15914" max="15916" width="9.28515625" style="374" bestFit="1" customWidth="1"/>
    <col min="15917" max="15917" width="9.5703125" style="374" bestFit="1" customWidth="1"/>
    <col min="15918" max="15920" width="9.28515625" style="374" bestFit="1" customWidth="1"/>
    <col min="15921" max="15924" width="9.5703125" style="374" bestFit="1" customWidth="1"/>
    <col min="15925" max="15926" width="9.28515625" style="374" bestFit="1" customWidth="1"/>
    <col min="15927" max="15927" width="14.140625" style="374" bestFit="1" customWidth="1"/>
    <col min="15928" max="15929" width="9.5703125" style="374" bestFit="1" customWidth="1"/>
    <col min="15930" max="15930" width="9.28515625" style="374" bestFit="1" customWidth="1"/>
    <col min="15931" max="16128" width="9.140625" style="374"/>
    <col min="16129" max="16129" width="27.42578125" style="374" bestFit="1" customWidth="1"/>
    <col min="16130" max="16130" width="27.42578125" style="374" customWidth="1"/>
    <col min="16131" max="16131" width="43.140625" style="374" customWidth="1"/>
    <col min="16132" max="16132" width="12.140625" style="374" customWidth="1"/>
    <col min="16133" max="16133" width="18.5703125" style="374" customWidth="1"/>
    <col min="16134" max="16134" width="14.5703125" style="374" customWidth="1"/>
    <col min="16135" max="16135" width="11.28515625" style="374" customWidth="1"/>
    <col min="16136" max="16136" width="12.140625" style="374" customWidth="1"/>
    <col min="16137" max="16137" width="12.42578125" style="374" customWidth="1"/>
    <col min="16138" max="16138" width="14.140625" style="374" customWidth="1"/>
    <col min="16139" max="16139" width="13.28515625" style="374" bestFit="1" customWidth="1"/>
    <col min="16140" max="16140" width="10.85546875" style="374" bestFit="1" customWidth="1"/>
    <col min="16141" max="16141" width="9.42578125" style="374" customWidth="1"/>
    <col min="16142" max="16143" width="9.5703125" style="374" bestFit="1" customWidth="1"/>
    <col min="16144" max="16144" width="9.28515625" style="374" bestFit="1" customWidth="1"/>
    <col min="16145" max="16151" width="9.5703125" style="374" bestFit="1" customWidth="1"/>
    <col min="16152" max="16152" width="9.28515625" style="374" bestFit="1" customWidth="1"/>
    <col min="16153" max="16153" width="9.5703125" style="374" bestFit="1" customWidth="1"/>
    <col min="16154" max="16155" width="9.28515625" style="374" bestFit="1" customWidth="1"/>
    <col min="16156" max="16156" width="9.5703125" style="374" bestFit="1" customWidth="1"/>
    <col min="16157" max="16157" width="9.28515625" style="374" bestFit="1" customWidth="1"/>
    <col min="16158" max="16158" width="9.5703125" style="374" bestFit="1" customWidth="1"/>
    <col min="16159" max="16159" width="9.28515625" style="374" bestFit="1" customWidth="1"/>
    <col min="16160" max="16160" width="9.5703125" style="374" bestFit="1" customWidth="1"/>
    <col min="16161" max="16166" width="9.28515625" style="374" bestFit="1" customWidth="1"/>
    <col min="16167" max="16169" width="9.5703125" style="374" bestFit="1" customWidth="1"/>
    <col min="16170" max="16172" width="9.28515625" style="374" bestFit="1" customWidth="1"/>
    <col min="16173" max="16173" width="9.5703125" style="374" bestFit="1" customWidth="1"/>
    <col min="16174" max="16176" width="9.28515625" style="374" bestFit="1" customWidth="1"/>
    <col min="16177" max="16180" width="9.5703125" style="374" bestFit="1" customWidth="1"/>
    <col min="16181" max="16182" width="9.28515625" style="374" bestFit="1" customWidth="1"/>
    <col min="16183" max="16183" width="14.140625" style="374" bestFit="1" customWidth="1"/>
    <col min="16184" max="16185" width="9.5703125" style="374" bestFit="1" customWidth="1"/>
    <col min="16186" max="16186" width="9.28515625" style="374" bestFit="1" customWidth="1"/>
    <col min="16187" max="16384" width="9.140625" style="374"/>
  </cols>
  <sheetData>
    <row r="1" spans="1:58" hidden="1" x14ac:dyDescent="0.2"/>
    <row r="2" spans="1:58" hidden="1" x14ac:dyDescent="0.2"/>
    <row r="3" spans="1:58" ht="17.25" customHeight="1" x14ac:dyDescent="0.2">
      <c r="D3" s="613" t="s">
        <v>691</v>
      </c>
      <c r="E3" s="613" t="s">
        <v>439</v>
      </c>
      <c r="F3" s="613" t="s">
        <v>440</v>
      </c>
      <c r="G3" s="613" t="s">
        <v>441</v>
      </c>
      <c r="H3" s="613" t="s">
        <v>442</v>
      </c>
      <c r="I3" s="613" t="s">
        <v>443</v>
      </c>
      <c r="J3" s="613" t="s">
        <v>444</v>
      </c>
      <c r="K3" s="613" t="s">
        <v>445</v>
      </c>
      <c r="L3" s="613" t="s">
        <v>446</v>
      </c>
      <c r="M3" s="613" t="s">
        <v>447</v>
      </c>
      <c r="N3" s="613" t="s">
        <v>448</v>
      </c>
      <c r="O3" s="613" t="s">
        <v>449</v>
      </c>
      <c r="P3" s="613" t="s">
        <v>450</v>
      </c>
      <c r="Q3" s="613" t="s">
        <v>451</v>
      </c>
      <c r="R3" s="613" t="s">
        <v>452</v>
      </c>
      <c r="S3" s="613" t="s">
        <v>453</v>
      </c>
      <c r="T3" s="613" t="s">
        <v>454</v>
      </c>
      <c r="U3" s="613" t="s">
        <v>455</v>
      </c>
      <c r="V3" s="613" t="s">
        <v>456</v>
      </c>
      <c r="W3" s="613" t="s">
        <v>457</v>
      </c>
      <c r="X3" s="613" t="s">
        <v>458</v>
      </c>
      <c r="Y3" s="1" t="s">
        <v>701</v>
      </c>
      <c r="Z3" s="1" t="s">
        <v>709</v>
      </c>
      <c r="AA3" s="1" t="s">
        <v>706</v>
      </c>
      <c r="AB3" s="1" t="s">
        <v>705</v>
      </c>
      <c r="AC3" s="1" t="s">
        <v>703</v>
      </c>
      <c r="AD3" s="1" t="s">
        <v>697</v>
      </c>
      <c r="AE3" s="1" t="s">
        <v>715</v>
      </c>
      <c r="AF3" s="1" t="s">
        <v>700</v>
      </c>
      <c r="AG3" s="1" t="s">
        <v>699</v>
      </c>
      <c r="AH3" s="1" t="s">
        <v>712</v>
      </c>
      <c r="AI3" s="1" t="s">
        <v>704</v>
      </c>
      <c r="AJ3" s="1" t="s">
        <v>711</v>
      </c>
      <c r="AK3" s="1" t="s">
        <v>713</v>
      </c>
      <c r="AL3" s="613" t="s">
        <v>275</v>
      </c>
      <c r="AM3" s="613" t="s">
        <v>687</v>
      </c>
      <c r="AN3" s="1" t="s">
        <v>971</v>
      </c>
      <c r="AO3" s="613" t="s">
        <v>281</v>
      </c>
      <c r="AP3" s="1" t="s">
        <v>693</v>
      </c>
      <c r="AQ3" s="1" t="s">
        <v>692</v>
      </c>
      <c r="AR3" s="1" t="s">
        <v>688</v>
      </c>
      <c r="AS3" s="1" t="s">
        <v>710</v>
      </c>
      <c r="AT3" s="1" t="s">
        <v>702</v>
      </c>
      <c r="AU3" s="613" t="s">
        <v>265</v>
      </c>
      <c r="AV3" s="1" t="s">
        <v>696</v>
      </c>
      <c r="AW3" s="1" t="s">
        <v>686</v>
      </c>
      <c r="AX3" s="1" t="s">
        <v>694</v>
      </c>
      <c r="AY3" s="1" t="s">
        <v>689</v>
      </c>
      <c r="AZ3" s="1" t="s">
        <v>695</v>
      </c>
      <c r="BA3" s="1" t="s">
        <v>708</v>
      </c>
      <c r="BB3" s="1" t="s">
        <v>690</v>
      </c>
      <c r="BC3" s="1" t="s">
        <v>707</v>
      </c>
      <c r="BD3" s="1" t="s">
        <v>698</v>
      </c>
      <c r="BE3" s="1" t="s">
        <v>714</v>
      </c>
      <c r="BF3" s="1" t="s">
        <v>966</v>
      </c>
    </row>
    <row r="4" spans="1:58" ht="16.5" customHeight="1" x14ac:dyDescent="0.2">
      <c r="A4" s="621" t="s">
        <v>839</v>
      </c>
      <c r="B4" s="621"/>
      <c r="C4" s="612" t="s">
        <v>188</v>
      </c>
      <c r="D4" s="613" t="s">
        <v>691</v>
      </c>
      <c r="E4" s="613" t="s">
        <v>439</v>
      </c>
      <c r="F4" s="613" t="s">
        <v>440</v>
      </c>
      <c r="G4" s="613" t="s">
        <v>441</v>
      </c>
      <c r="H4" s="613" t="s">
        <v>442</v>
      </c>
      <c r="I4" s="613" t="s">
        <v>443</v>
      </c>
      <c r="J4" s="613" t="s">
        <v>444</v>
      </c>
      <c r="K4" s="613" t="s">
        <v>445</v>
      </c>
      <c r="L4" s="613" t="s">
        <v>446</v>
      </c>
      <c r="M4" s="613" t="s">
        <v>447</v>
      </c>
      <c r="N4" s="613" t="s">
        <v>448</v>
      </c>
      <c r="O4" s="613" t="s">
        <v>449</v>
      </c>
      <c r="P4" s="613" t="s">
        <v>450</v>
      </c>
      <c r="Q4" s="613" t="s">
        <v>828</v>
      </c>
      <c r="R4" s="613" t="s">
        <v>452</v>
      </c>
      <c r="S4" s="613" t="s">
        <v>453</v>
      </c>
      <c r="T4" s="613" t="s">
        <v>454</v>
      </c>
      <c r="U4" s="613" t="s">
        <v>455</v>
      </c>
      <c r="V4" s="613" t="s">
        <v>456</v>
      </c>
      <c r="W4" s="613" t="s">
        <v>457</v>
      </c>
      <c r="X4" s="613" t="s">
        <v>458</v>
      </c>
      <c r="Y4" s="613" t="s">
        <v>257</v>
      </c>
      <c r="Z4" s="613" t="s">
        <v>260</v>
      </c>
      <c r="AA4" s="613" t="s">
        <v>658</v>
      </c>
      <c r="AB4" s="613" t="s">
        <v>258</v>
      </c>
      <c r="AC4" s="613" t="s">
        <v>659</v>
      </c>
      <c r="AD4" s="613" t="s">
        <v>254</v>
      </c>
      <c r="AE4" s="613" t="s">
        <v>264</v>
      </c>
      <c r="AF4" s="613" t="s">
        <v>256</v>
      </c>
      <c r="AG4" s="613" t="s">
        <v>255</v>
      </c>
      <c r="AH4" s="613" t="s">
        <v>660</v>
      </c>
      <c r="AI4" s="613" t="s">
        <v>269</v>
      </c>
      <c r="AJ4" s="613" t="s">
        <v>262</v>
      </c>
      <c r="AK4" s="613" t="s">
        <v>263</v>
      </c>
      <c r="AL4" s="613" t="s">
        <v>275</v>
      </c>
      <c r="AM4" s="613" t="s">
        <v>687</v>
      </c>
      <c r="AN4" s="613" t="s">
        <v>259</v>
      </c>
      <c r="AO4" s="613" t="s">
        <v>281</v>
      </c>
      <c r="AP4" s="613" t="s">
        <v>529</v>
      </c>
      <c r="AQ4" s="613" t="s">
        <v>530</v>
      </c>
      <c r="AR4" s="613" t="s">
        <v>266</v>
      </c>
      <c r="AS4" s="613" t="s">
        <v>261</v>
      </c>
      <c r="AT4" s="613" t="s">
        <v>268</v>
      </c>
      <c r="AU4" s="613" t="s">
        <v>265</v>
      </c>
      <c r="AV4" s="613" t="s">
        <v>253</v>
      </c>
      <c r="AW4" s="613" t="s">
        <v>250</v>
      </c>
      <c r="AX4" s="613" t="s">
        <v>252</v>
      </c>
      <c r="AY4" s="613" t="s">
        <v>271</v>
      </c>
      <c r="AZ4" s="613" t="s">
        <v>267</v>
      </c>
      <c r="BA4" s="613" t="s">
        <v>270</v>
      </c>
      <c r="BB4" s="613" t="s">
        <v>531</v>
      </c>
      <c r="BC4" s="613" t="s">
        <v>661</v>
      </c>
      <c r="BD4" s="613" t="s">
        <v>578</v>
      </c>
      <c r="BE4" s="613" t="s">
        <v>272</v>
      </c>
      <c r="BF4" s="613" t="s">
        <v>681</v>
      </c>
    </row>
    <row r="5" spans="1:58" ht="16.5" customHeight="1" x14ac:dyDescent="0.2">
      <c r="A5" s="621"/>
      <c r="B5" s="621"/>
      <c r="C5" s="612"/>
      <c r="D5" s="613" t="str">
        <f>+HLOOKUP(D4,'[13]נתוני תאגידים'!$A$1:$IV$3,2,0)</f>
        <v>אזור פ''ת</v>
      </c>
      <c r="E5" s="613" t="str">
        <f>+HLOOKUP(E4,'[13]נתוני תאגידים'!$A$1:$IV$3,2,0)</f>
        <v>אזור נצרת</v>
      </c>
      <c r="F5" s="613" t="str">
        <f>+HLOOKUP(F4,'[13]נתוני תאגידים'!$A$1:$IV$3,2,0)</f>
        <v>אזור הגליל המזרחי</v>
      </c>
      <c r="G5" s="613" t="str">
        <f>+HLOOKUP(G4,'[13]נתוני תאגידים'!$A$1:$IV$3,2,0)</f>
        <v xml:space="preserve">אזור י-ם </v>
      </c>
      <c r="H5" s="613" t="str">
        <f>+HLOOKUP(H4,'[13]נתוני תאגידים'!$A$1:$IV$3,2,0)</f>
        <v xml:space="preserve">אזור הדרום </v>
      </c>
      <c r="I5" s="613" t="str">
        <f>+HLOOKUP(I4,'[13]נתוני תאגידים'!$A$1:$IV$3,2,0)</f>
        <v>אזור יו"ש</v>
      </c>
      <c r="J5" s="613" t="str">
        <f>+HLOOKUP(J4,'[13]נתוני תאגידים'!$A$1:$IV$3,2,0)</f>
        <v>אזור נצרת</v>
      </c>
      <c r="K5" s="613" t="str">
        <f>+HLOOKUP(K4,'[13]נתוני תאגידים'!$A$1:$IV$3,2,0)</f>
        <v xml:space="preserve">אזור שרון צפוני </v>
      </c>
      <c r="L5" s="613" t="str">
        <f>+HLOOKUP(L4,'[13]נתוני תאגידים'!$A$1:$IV$3,2,0)</f>
        <v xml:space="preserve">אזור המרכז </v>
      </c>
      <c r="M5" s="613" t="str">
        <f>+HLOOKUP(M4,'[13]נתוני תאגידים'!$A$1:$IV$3,2,0)</f>
        <v>אזור נצרת</v>
      </c>
      <c r="N5" s="613" t="str">
        <f>+HLOOKUP(N4,'[13]נתוני תאגידים'!$A$1:$IV$3,2,0)</f>
        <v xml:space="preserve">אזור שרון צפוני </v>
      </c>
      <c r="O5" s="613" t="str">
        <f>+HLOOKUP(O4,'[13]נתוני תאגידים'!$A$1:$IV$3,2,0)</f>
        <v xml:space="preserve">אזור שרון צפוני </v>
      </c>
      <c r="P5" s="613" t="str">
        <f>+HLOOKUP(P4,'[13]נתוני תאגידים'!$A$1:$IV$3,2,0)</f>
        <v>אזור השפלה</v>
      </c>
      <c r="Q5" s="613" t="str">
        <f>+HLOOKUP(Q4,'[13]נתוני תאגידים'!$A$1:$IV$3,2,0)</f>
        <v>אזור הגליל המזרחי</v>
      </c>
      <c r="R5" s="613" t="str">
        <f>+HLOOKUP(R4,'[13]נתוני תאגידים'!$A$1:$IV$3,2,0)</f>
        <v>אזור הנגב</v>
      </c>
      <c r="S5" s="613" t="str">
        <f>+HLOOKUP(S4,'[13]נתוני תאגידים'!$A$1:$IV$3,2,0)</f>
        <v>אזור השפלה</v>
      </c>
      <c r="T5" s="613" t="str">
        <f>+HLOOKUP(T4,'[13]נתוני תאגידים'!$A$1:$IV$3,2,0)</f>
        <v>אזור פ''ת</v>
      </c>
      <c r="U5" s="613" t="str">
        <f>+HLOOKUP(U4,'[13]נתוני תאגידים'!$A$1:$IV$3,2,0)</f>
        <v xml:space="preserve">אזור המרכז </v>
      </c>
      <c r="V5" s="613" t="str">
        <f>+HLOOKUP(V4,'[13]נתוני תאגידים'!$A$1:$IV$3,2,0)</f>
        <v xml:space="preserve">אזור הערבה </v>
      </c>
      <c r="W5" s="613" t="str">
        <f>+HLOOKUP(W4,'[13]נתוני תאגידים'!$A$1:$IV$3,2,0)</f>
        <v>אזור הגליל המזרחי</v>
      </c>
      <c r="X5" s="613" t="str">
        <f>+HLOOKUP(X4,'[13]נתוני תאגידים'!$A$1:$IV$3,2,0)</f>
        <v xml:space="preserve">אזור המרכז </v>
      </c>
      <c r="Y5" s="613" t="str">
        <f>+HLOOKUP(Y4,'[13]נתוני תאגידים'!$A$1:$IV$3,2,0)</f>
        <v xml:space="preserve">אזור המרכז </v>
      </c>
      <c r="Z5" s="613" t="str">
        <f>+HLOOKUP(Z4,'[13]נתוני תאגידים'!$A$1:$IV$3,2,0)</f>
        <v>אזור הגליל המערבי</v>
      </c>
      <c r="AA5" s="613" t="str">
        <f>+HLOOKUP(AA4,'[13]נתוני תאגידים'!$A$1:$IV$3,2,0)</f>
        <v>אזור חיפה והקריות</v>
      </c>
      <c r="AB5" s="613" t="str">
        <f>+HLOOKUP(AB4,'[13]נתוני תאגידים'!$A$1:$IV$3,2,0)</f>
        <v>אזור השרון</v>
      </c>
      <c r="AC5" s="613" t="str">
        <f>+HLOOKUP(AC4,'[13]נתוני תאגידים'!$A$1:$IV$3,2,0)</f>
        <v>אזור הנגב</v>
      </c>
      <c r="AD5" s="613" t="str">
        <f>+HLOOKUP(AD4,'[13]נתוני תאגידים'!$A$1:$IV$3,2,0)</f>
        <v>אזור השרון</v>
      </c>
      <c r="AE5" s="613" t="str">
        <f>+HLOOKUP(AE4,'[13]נתוני תאגידים'!$A$1:$IV$3,2,0)</f>
        <v>אזור השרון</v>
      </c>
      <c r="AF5" s="613" t="str">
        <f>+HLOOKUP(AF4,'[13]נתוני תאגידים'!$A$1:$IV$3,2,0)</f>
        <v>אזור חיפה והקריות</v>
      </c>
      <c r="AG5" s="613" t="str">
        <f>+HLOOKUP(AG4,'[13]נתוני תאגידים'!$A$1:$IV$3,2,0)</f>
        <v xml:space="preserve">אזור הדרום </v>
      </c>
      <c r="AH5" s="613" t="str">
        <f>+HLOOKUP(AH4,'[13]נתוני תאגידים'!$A$1:$IV$3,2,0)</f>
        <v>אזור הגליל המערבי</v>
      </c>
      <c r="AI5" s="613" t="str">
        <f>+HLOOKUP(AI4,'[13]נתוני תאגידים'!$A$1:$IV$3,2,0)</f>
        <v>אזור הנגב</v>
      </c>
      <c r="AJ5" s="613" t="str">
        <f>+HLOOKUP(AJ4,'[13]נתוני תאגידים'!$A$1:$IV$3,2,0)</f>
        <v>אזור פ''ת</v>
      </c>
      <c r="AK5" s="613" t="str">
        <f>+HLOOKUP(AK4,'[13]נתוני תאגידים'!$A$1:$IV$3,2,0)</f>
        <v>אזור חיפה והקריות</v>
      </c>
      <c r="AL5" s="613" t="str">
        <f>+HLOOKUP(AL4,'[13]נתוני תאגידים'!$A$1:$IV$3,2,0)</f>
        <v>אזור חיפה והקריות</v>
      </c>
      <c r="AM5" s="613" t="str">
        <f>+HLOOKUP(AM4,'[13]נתוני תאגידים'!$A$1:$IV$3,2,0)</f>
        <v>אזור ת"א מרכז</v>
      </c>
      <c r="AN5" s="613" t="str">
        <f>+HLOOKUP(AN4,'[13]נתוני תאגידים'!$A$1:$IV$3,2,0)</f>
        <v xml:space="preserve">אזור שרון צפוני </v>
      </c>
      <c r="AO5" s="613" t="str">
        <f>+HLOOKUP(AO4,'[13]נתוני תאגידים'!$A$1:$IV$3,2,0)</f>
        <v>אזור ת"א מרכז</v>
      </c>
      <c r="AP5" s="613" t="str">
        <f>+HLOOKUP(AP4,'[13]נתוני תאגידים'!$A$1:$IV$3,2,0)</f>
        <v>אזור ת"א מרכז</v>
      </c>
      <c r="AQ5" s="613" t="str">
        <f>+HLOOKUP(AQ4,'[13]נתוני תאגידים'!$A$1:$IV$3,2,0)</f>
        <v>אזור השפלה</v>
      </c>
      <c r="AR5" s="613" t="str">
        <f>+HLOOKUP(AR4,'[13]נתוני תאגידים'!$A$1:$IV$3,2,0)</f>
        <v>אזור פ''ת</v>
      </c>
      <c r="AS5" s="613" t="str">
        <f>+HLOOKUP(AS4,'[13]נתוני תאגידים'!$A$1:$IV$3,2,0)</f>
        <v>אזור נצרת</v>
      </c>
      <c r="AT5" s="613" t="str">
        <f>+HLOOKUP(AT4,'[13]נתוני תאגידים'!$A$1:$IV$3,2,0)</f>
        <v>אזור חיפה והקריות</v>
      </c>
      <c r="AU5" s="613" t="str">
        <f>+HLOOKUP(AU4,'[13]נתוני תאגידים'!$A$1:$IV$3,2,0)</f>
        <v>אזור חיפה והקריות</v>
      </c>
      <c r="AV5" s="613" t="str">
        <f>+HLOOKUP(AV4,'[13]נתוני תאגידים'!$A$1:$IV$3,2,0)</f>
        <v>אזור השרון</v>
      </c>
      <c r="AW5" s="613" t="str">
        <f>+HLOOKUP(AW4,'[13]נתוני תאגידים'!$A$1:$IV$3,2,0)</f>
        <v>אזור הגליל המערבי</v>
      </c>
      <c r="AX5" s="613" t="str">
        <f>+HLOOKUP(AX4,'[13]נתוני תאגידים'!$A$1:$IV$3,2,0)</f>
        <v>אזור הגליל המערבי</v>
      </c>
      <c r="AY5" s="613" t="str">
        <f>+HLOOKUP(AY4,'[13]נתוני תאגידים'!$A$1:$IV$3,2,0)</f>
        <v xml:space="preserve">אזור הדרום </v>
      </c>
      <c r="AZ5" s="613" t="str">
        <f>+HLOOKUP(AZ4,'[13]נתוני תאגידים'!$A$1:$IV$3,2,0)</f>
        <v>אזור הנגב</v>
      </c>
      <c r="BA5" s="613" t="str">
        <f>+HLOOKUP(BA4,'[13]נתוני תאגידים'!$A$1:$IV$3,2,0)</f>
        <v>אזור נצרת</v>
      </c>
      <c r="BB5" s="613" t="str">
        <f>+HLOOKUP(BB4,'[13]נתוני תאגידים'!$A$1:$IV$3,2,0)</f>
        <v xml:space="preserve">אזור המרכז </v>
      </c>
      <c r="BC5" s="613" t="str">
        <f>+HLOOKUP(BC4,'[13]נתוני תאגידים'!$A$1:$IV$3,2,0)</f>
        <v>אזור השרון</v>
      </c>
      <c r="BD5" s="613" t="str">
        <f>+HLOOKUP(BD4,'[13]נתוני תאגידים'!$A$1:$IV$3,2,0)</f>
        <v>אזור הנגב</v>
      </c>
      <c r="BE5" s="613" t="str">
        <f>+HLOOKUP(BE4,'[13]נתוני תאגידים'!$A$1:$IV$3,2,0)</f>
        <v>אזור השרון</v>
      </c>
      <c r="BF5" s="613" t="str">
        <f>+HLOOKUP(BF4,'[13]נתוני תאגידים'!$A$1:$IV$3,2,0)</f>
        <v>אזור פ''ת</v>
      </c>
    </row>
    <row r="6" spans="1:58" x14ac:dyDescent="0.2">
      <c r="A6" s="622"/>
      <c r="B6" s="622"/>
      <c r="C6" s="654" t="s">
        <v>791</v>
      </c>
      <c r="D6" s="378">
        <f>+HLOOKUP(D4,'נתוני תאגידים'!$1:$530,354,0)</f>
        <v>10780.42</v>
      </c>
      <c r="E6" s="378">
        <f>+HLOOKUP(E4,'נתוני תאגידים'!$1:$530,354,0)</f>
        <v>9340.4369999999999</v>
      </c>
      <c r="F6" s="378">
        <f>+HLOOKUP(F4,'נתוני תאגידים'!$1:$530,354,0)</f>
        <v>4262.473</v>
      </c>
      <c r="G6" s="378">
        <f>+HLOOKUP(G4,'נתוני תאגידים'!$1:$530,354,0)</f>
        <v>54306.558000000005</v>
      </c>
      <c r="H6" s="378">
        <f>+HLOOKUP(H4,'נתוני תאגידים'!$1:$530,354,0)</f>
        <v>17049.447</v>
      </c>
      <c r="I6" s="378">
        <f>+HLOOKUP(I4,'נתוני תאגידים'!$1:$530,354,0)</f>
        <v>2004.4870000000001</v>
      </c>
      <c r="J6" s="378">
        <f>+HLOOKUP(J4,'נתוני תאגידים'!$1:$530,354,0)</f>
        <v>4334.6769999999997</v>
      </c>
      <c r="K6" s="378">
        <f>+HLOOKUP(K4,'נתוני תאגידים'!$1:$530,354,0)</f>
        <v>7271.4120000000003</v>
      </c>
      <c r="L6" s="378">
        <f>+HLOOKUP(L4,'נתוני תאגידים'!$1:$530,354,0)</f>
        <v>5391.3759999999993</v>
      </c>
      <c r="M6" s="378">
        <f>+HLOOKUP(M4,'נתוני תאגידים'!$1:$530,354,0)</f>
        <v>9928.9809999999998</v>
      </c>
      <c r="N6" s="378">
        <f>+HLOOKUP(N4,'נתוני תאגידים'!$1:$530,354,0)</f>
        <v>16724.746999999999</v>
      </c>
      <c r="O6" s="378">
        <f>+HLOOKUP(O4,'נתוני תאגידים'!$1:$530,354,0)</f>
        <v>9228.0609999999997</v>
      </c>
      <c r="P6" s="378">
        <f>+HLOOKUP(P4,'נתוני תאגידים'!$1:$530,354,0)</f>
        <v>5681.5389999999998</v>
      </c>
      <c r="Q6" s="378">
        <f>+HLOOKUP(Q4,'נתוני תאגידים'!$1:$530,354,0)</f>
        <v>4715.7889999999998</v>
      </c>
      <c r="R6" s="378">
        <f>+HLOOKUP(R4,'נתוני תאגידים'!$1:$530,354,0)</f>
        <v>20929.161</v>
      </c>
      <c r="S6" s="378">
        <f>+HLOOKUP(S4,'נתוני תאגידים'!$1:$530,354,0)</f>
        <v>18659.955999999998</v>
      </c>
      <c r="T6" s="378">
        <f>+HLOOKUP(T4,'נתוני תאגידים'!$1:$530,354,0)</f>
        <v>19665.205999999998</v>
      </c>
      <c r="U6" s="378">
        <f>+HLOOKUP(U4,'נתוני תאגידים'!$1:$530,354,0)</f>
        <v>19849.735000000001</v>
      </c>
      <c r="V6" s="378">
        <f>+HLOOKUP(V4,'נתוני תאגידים'!$1:$530,354,0)</f>
        <v>11081.690999999999</v>
      </c>
      <c r="W6" s="378">
        <f>+HLOOKUP(W4,'נתוני תאגידים'!$1:$530,354,0)</f>
        <v>8586.9550000000017</v>
      </c>
      <c r="X6" s="378">
        <f>+HLOOKUP(X4,'נתוני תאגידים'!$1:$530,354,0)</f>
        <v>8741.3060000000005</v>
      </c>
      <c r="Y6" s="378">
        <f>+HLOOKUP(Y4,'נתוני תאגידים'!$1:$530,354,0)</f>
        <v>6495.7709999999997</v>
      </c>
      <c r="Z6" s="378">
        <f>+HLOOKUP(Z4,'נתוני תאגידים'!$1:$530,354,0)</f>
        <v>3201.0769999999998</v>
      </c>
      <c r="AA6" s="378">
        <f>+HLOOKUP(AA4,'נתוני תאגידים'!$1:$530,354,0)</f>
        <v>3917.029</v>
      </c>
      <c r="AB6" s="378">
        <f>+HLOOKUP(AB4,'נתוני תאגידים'!$1:$530,354,0)</f>
        <v>6640.0940000000001</v>
      </c>
      <c r="AC6" s="378">
        <f>+HLOOKUP(AC4,'נתוני תאגידים'!$1:$530,354,0)</f>
        <v>6789.9260000000004</v>
      </c>
      <c r="AD6" s="378">
        <f>+HLOOKUP(AD4,'נתוני תאגידים'!$1:$530,354,0)</f>
        <v>10469.824999999999</v>
      </c>
      <c r="AE6" s="378">
        <f>+HLOOKUP(AE4,'נתוני תאגידים'!$1:$530,354,0)</f>
        <v>4708.6639999999998</v>
      </c>
      <c r="AF6" s="378">
        <f>+HLOOKUP(AF4,'נתוני תאגידים'!$1:$530,354,0)</f>
        <v>23115.748</v>
      </c>
      <c r="AG6" s="378">
        <f>+HLOOKUP(AG4,'נתוני תאגידים'!$1:$530,354,0)</f>
        <v>5412.576</v>
      </c>
      <c r="AH6" s="378">
        <f>+HLOOKUP(AH4,'נתוני תאגידים'!$1:$530,354,0)</f>
        <v>3747.5639999999999</v>
      </c>
      <c r="AI6" s="378">
        <f>+HLOOKUP(AI4,'נתוני תאגידים'!$1:$530,354,0)</f>
        <v>3174.326</v>
      </c>
      <c r="AJ6" s="378">
        <f>+HLOOKUP(AJ4,'נתוני תאגידים'!$1:$530,354,0)</f>
        <v>3853.471</v>
      </c>
      <c r="AK6" s="378">
        <f>+HLOOKUP(AK4,'נתוני תאגידים'!$1:$530,354,0)</f>
        <v>3276.6880000000001</v>
      </c>
      <c r="AL6" s="378">
        <f>+HLOOKUP(AL4,'נתוני תאגידים'!$1:$530,354,0)</f>
        <v>2922.759</v>
      </c>
      <c r="AM6" s="378">
        <f>+HLOOKUP(AM4,'נתוני תאגידים'!$1:$530,354,0)</f>
        <v>46124.361000000004</v>
      </c>
      <c r="AN6" s="378">
        <f>+HLOOKUP(AN4,'נתוני תאגידים'!$1:$530,354,0)</f>
        <v>5738.3119999999999</v>
      </c>
      <c r="AO6" s="378">
        <f>+HLOOKUP(AO4,'נתוני תאגידים'!$1:$530,354,0)</f>
        <v>12026.431</v>
      </c>
      <c r="AP6" s="378">
        <f>+HLOOKUP(AP4,'נתוני תאגידים'!$1:$530,354,0)</f>
        <v>3748.2510000000002</v>
      </c>
      <c r="AQ6" s="378">
        <f>+HLOOKUP(AQ4,'נתוני תאגידים'!$1:$530,354,0)</f>
        <v>9026.4089999999997</v>
      </c>
      <c r="AR6" s="378">
        <f>+HLOOKUP(AR4,'נתוני תאגידים'!$1:$530,354,0)</f>
        <v>5354.7740000000003</v>
      </c>
      <c r="AS6" s="378">
        <f>+HLOOKUP(AS4,'נתוני תאגידים'!$1:$530,354,0)</f>
        <v>10326.152000000002</v>
      </c>
      <c r="AT6" s="378">
        <f>+HLOOKUP(AT4,'נתוני תאגידים'!$1:$530,354,0)</f>
        <v>3423.1089999999999</v>
      </c>
      <c r="AU6" s="378">
        <f>+HLOOKUP(AU4,'נתוני תאגידים'!$1:$530,354,0)</f>
        <v>2910.1680000000001</v>
      </c>
      <c r="AV6" s="378">
        <f>+HLOOKUP(AV4,'נתוני תאגידים'!$1:$530,354,0)</f>
        <v>4710.6399999999994</v>
      </c>
      <c r="AW6" s="378">
        <f>+HLOOKUP(AW4,'נתוני תאגידים'!$1:$530,354,0)</f>
        <v>5711.9690000000001</v>
      </c>
      <c r="AX6" s="378">
        <f>+HLOOKUP(AX4,'נתוני תאגידים'!$1:$530,354,0)</f>
        <v>7207.7849999999999</v>
      </c>
      <c r="AY6" s="378">
        <f>+HLOOKUP(AY4,'נתוני תאגידים'!$1:$530,354,0)</f>
        <v>14360.366</v>
      </c>
      <c r="AZ6" s="378">
        <f>+HLOOKUP(AZ4,'נתוני תאגידים'!$1:$530,354,0)</f>
        <v>6640.4369999999999</v>
      </c>
      <c r="BA6" s="378">
        <f>+HLOOKUP(BA4,'נתוני תאגידים'!$1:$530,354,0)</f>
        <v>5883.2190000000001</v>
      </c>
      <c r="BB6" s="378">
        <f>+HLOOKUP(BB4,'נתוני תאגידים'!$1:$530,354,0)</f>
        <v>5761.5990000000002</v>
      </c>
      <c r="BC6" s="378">
        <f>+HLOOKUP(BC4,'נתוני תאגידים'!$1:$530,354,0)</f>
        <v>4786.3330000000005</v>
      </c>
      <c r="BD6" s="378">
        <f>+HLOOKUP(BD4,'נתוני תאגידים'!$1:$530,354,0)</f>
        <v>6044.5029999999997</v>
      </c>
      <c r="BE6" s="378">
        <f>+HLOOKUP(BE4,'נתוני תאגידים'!$1:$530,354,0)</f>
        <v>975.60500000000002</v>
      </c>
      <c r="BF6" s="378">
        <f>+HLOOKUP(BF4,'נתוני תאגידים'!$1:$530,354,0)</f>
        <v>1173.269</v>
      </c>
    </row>
    <row r="7" spans="1:58" x14ac:dyDescent="0.2">
      <c r="A7" s="622"/>
      <c r="B7" s="622"/>
      <c r="C7" s="654" t="s">
        <v>486</v>
      </c>
      <c r="D7" s="378">
        <f>+D6-HLOOKUP(D4,'נתוני תאגידים'!$1:$530,356,0)</f>
        <v>10687.855</v>
      </c>
      <c r="E7" s="378">
        <f>+E6-HLOOKUP(E4,'נתוני תאגידים'!$1:$530,356,0)</f>
        <v>9055.2800000000007</v>
      </c>
      <c r="F7" s="378">
        <f>+F6-HLOOKUP(F4,'נתוני תאגידים'!$1:$530,356,0)</f>
        <v>4030.194</v>
      </c>
      <c r="G7" s="378">
        <f>+G6-HLOOKUP(G4,'נתוני תאגידים'!$1:$530,356,0)</f>
        <v>52720.276000000005</v>
      </c>
      <c r="H7" s="378">
        <f>+H6-HLOOKUP(H4,'נתוני תאגידים'!$1:$530,356,0)</f>
        <v>16005.333000000001</v>
      </c>
      <c r="I7" s="378">
        <f>+I6-HLOOKUP(I4,'נתוני תאגידים'!$1:$530,356,0)</f>
        <v>1788.1780000000001</v>
      </c>
      <c r="J7" s="378">
        <f>+J6-HLOOKUP(J4,'נתוני תאגידים'!$1:$530,356,0)</f>
        <v>4309.6179999999995</v>
      </c>
      <c r="K7" s="378">
        <f>+K6-HLOOKUP(K4,'נתוני תאגידים'!$1:$530,356,0)</f>
        <v>6909.7800000000007</v>
      </c>
      <c r="L7" s="378">
        <f>+L6-HLOOKUP(L4,'נתוני תאגידים'!$1:$530,356,0)</f>
        <v>5187.3189999999995</v>
      </c>
      <c r="M7" s="378">
        <f>+M6-HLOOKUP(M4,'נתוני תאגידים'!$1:$530,356,0)</f>
        <v>9623.1640000000007</v>
      </c>
      <c r="N7" s="378">
        <f>+N6-HLOOKUP(N4,'נתוני תאגידים'!$1:$530,356,0)</f>
        <v>15637.956999999999</v>
      </c>
      <c r="O7" s="378">
        <f>+O6-HLOOKUP(O4,'נתוני תאגידים'!$1:$530,356,0)</f>
        <v>9167.7950000000001</v>
      </c>
      <c r="P7" s="378">
        <f>+P6-HLOOKUP(P4,'נתוני תאגידים'!$1:$530,356,0)</f>
        <v>5282.7240000000002</v>
      </c>
      <c r="Q7" s="378">
        <f>+Q6-HLOOKUP(Q4,'נתוני תאגידים'!$1:$530,356,0)</f>
        <v>4539.3530000000001</v>
      </c>
      <c r="R7" s="378">
        <f>+R6-HLOOKUP(R4,'נתוני תאגידים'!$1:$530,356,0)</f>
        <v>19454.196</v>
      </c>
      <c r="S7" s="378">
        <f>+S6-HLOOKUP(S4,'נתוני תאגידים'!$1:$530,356,0)</f>
        <v>17691.512999999999</v>
      </c>
      <c r="T7" s="378">
        <f>+T6-HLOOKUP(T4,'נתוני תאגידים'!$1:$530,356,0)</f>
        <v>18837.516</v>
      </c>
      <c r="U7" s="378">
        <f>+U6-HLOOKUP(U4,'נתוני תאגידים'!$1:$530,356,0)</f>
        <v>18472.741000000002</v>
      </c>
      <c r="V7" s="378">
        <f>+V6-HLOOKUP(V4,'נתוני תאגידים'!$1:$530,356,0)</f>
        <v>9784.3889999999992</v>
      </c>
      <c r="W7" s="378">
        <f>+W6-HLOOKUP(W4,'נתוני תאגידים'!$1:$530,356,0)</f>
        <v>8445.7630000000026</v>
      </c>
      <c r="X7" s="378">
        <f>+X6-HLOOKUP(X4,'נתוני תאגידים'!$1:$530,356,0)</f>
        <v>8240.5010000000002</v>
      </c>
      <c r="Y7" s="378">
        <f>+Y6-HLOOKUP(Y4,'נתוני תאגידים'!$1:$530,356,0)</f>
        <v>5832.9979999999996</v>
      </c>
      <c r="Z7" s="378">
        <f>+Z6-HLOOKUP(Z4,'נתוני תאגידים'!$1:$530,356,0)</f>
        <v>2952.962</v>
      </c>
      <c r="AA7" s="378">
        <f>+AA6-HLOOKUP(AA4,'נתוני תאגידים'!$1:$530,356,0)</f>
        <v>3444.9430000000002</v>
      </c>
      <c r="AB7" s="378">
        <f>+AB6-HLOOKUP(AB4,'נתוני תאגידים'!$1:$530,356,0)</f>
        <v>6002.3060000000005</v>
      </c>
      <c r="AC7" s="378">
        <f>+AC6-HLOOKUP(AC4,'נתוני תאגידים'!$1:$530,356,0)</f>
        <v>6493.2190000000001</v>
      </c>
      <c r="AD7" s="378">
        <f>+AD6-HLOOKUP(AD4,'נתוני תאגידים'!$1:$530,356,0)</f>
        <v>9731.9999999999982</v>
      </c>
      <c r="AE7" s="378">
        <f>+AE6-HLOOKUP(AE4,'נתוני תאגידים'!$1:$530,356,0)</f>
        <v>4363.1009999999997</v>
      </c>
      <c r="AF7" s="378">
        <f>+AF6-HLOOKUP(AF4,'נתוני תאגידים'!$1:$530,356,0)</f>
        <v>22111.684000000001</v>
      </c>
      <c r="AG7" s="378">
        <f>+AG6-HLOOKUP(AG4,'נתוני תאגידים'!$1:$530,356,0)</f>
        <v>4985.741</v>
      </c>
      <c r="AH7" s="378">
        <f>+AH6-HLOOKUP(AH4,'נתוני תאגידים'!$1:$530,356,0)</f>
        <v>3259.576</v>
      </c>
      <c r="AI7" s="378">
        <f>+AI6-HLOOKUP(AI4,'נתוני תאגידים'!$1:$530,356,0)</f>
        <v>3128.6480000000001</v>
      </c>
      <c r="AJ7" s="378">
        <f>+AJ6-HLOOKUP(AJ4,'נתוני תאגידים'!$1:$530,356,0)</f>
        <v>3446.8580000000002</v>
      </c>
      <c r="AK7" s="378">
        <f>+AK6-HLOOKUP(AK4,'נתוני תאגידים'!$1:$530,356,0)</f>
        <v>3056.2750000000001</v>
      </c>
      <c r="AL7" s="378">
        <f>+AL6-HLOOKUP(AL4,'נתוני תאגידים'!$1:$530,356,0)</f>
        <v>2686.3910000000001</v>
      </c>
      <c r="AM7" s="378">
        <f>+AM6-HLOOKUP(AM4,'נתוני תאגידים'!$1:$530,356,0)</f>
        <v>42680.793000000005</v>
      </c>
      <c r="AN7" s="378">
        <f>+AN6-HLOOKUP(AN4,'נתוני תאגידים'!$1:$530,356,0)</f>
        <v>5323.2070000000003</v>
      </c>
      <c r="AO7" s="378">
        <f>+AO6-HLOOKUP(AO4,'נתוני תאגידים'!$1:$530,356,0)</f>
        <v>11220.945</v>
      </c>
      <c r="AP7" s="378">
        <f>+AP6-HLOOKUP(AP4,'נתוני תאגידים'!$1:$530,356,0)</f>
        <v>3602.181</v>
      </c>
      <c r="AQ7" s="378">
        <f>+AQ6-HLOOKUP(AQ4,'נתוני תאגידים'!$1:$530,356,0)</f>
        <v>8567.8269999999993</v>
      </c>
      <c r="AR7" s="378">
        <f>+AR6-HLOOKUP(AR4,'נתוני תאגידים'!$1:$530,356,0)</f>
        <v>5051.9580000000005</v>
      </c>
      <c r="AS7" s="378">
        <f>+AS6-HLOOKUP(AS4,'נתוני תאגידים'!$1:$530,356,0)</f>
        <v>10090.055000000002</v>
      </c>
      <c r="AT7" s="378">
        <f>+AT6-HLOOKUP(AT4,'נתוני תאגידים'!$1:$530,356,0)</f>
        <v>3169.9650000000001</v>
      </c>
      <c r="AU7" s="378">
        <f>+AU6-HLOOKUP(AU4,'נתוני תאגידים'!$1:$530,356,0)</f>
        <v>2562.8160000000003</v>
      </c>
      <c r="AV7" s="378">
        <f>+AV6-HLOOKUP(AV4,'נתוני תאגידים'!$1:$530,356,0)</f>
        <v>4253.8219999999992</v>
      </c>
      <c r="AW7" s="378">
        <f>+AW6-HLOOKUP(AW4,'נתוני תאגידים'!$1:$530,356,0)</f>
        <v>5709.3289999999997</v>
      </c>
      <c r="AX7" s="378">
        <f>+AX6-HLOOKUP(AX4,'נתוני תאגידים'!$1:$530,356,0)</f>
        <v>7199.768</v>
      </c>
      <c r="AY7" s="378">
        <f>+AY6-HLOOKUP(AY4,'נתוני תאגידים'!$1:$530,356,0)</f>
        <v>13553.178</v>
      </c>
      <c r="AZ7" s="378">
        <f>+AZ6-HLOOKUP(AZ4,'נתוני תאגידים'!$1:$530,356,0)</f>
        <v>5805.2910000000002</v>
      </c>
      <c r="BA7" s="378">
        <f>+BA6-HLOOKUP(BA4,'נתוני תאגידים'!$1:$530,356,0)</f>
        <v>5512.06</v>
      </c>
      <c r="BB7" s="378">
        <f>+BB6-HLOOKUP(BB4,'נתוני תאגידים'!$1:$530,356,0)</f>
        <v>5548.8330000000005</v>
      </c>
      <c r="BC7" s="378">
        <f>+BC6-HLOOKUP(BC4,'נתוני תאגידים'!$1:$530,356,0)</f>
        <v>4760.7890000000007</v>
      </c>
      <c r="BD7" s="378">
        <f>+BD6-HLOOKUP(BD4,'נתוני תאגידים'!$1:$530,356,0)*0.8</f>
        <v>6019.3278</v>
      </c>
      <c r="BE7" s="378">
        <f>+BE6-HLOOKUP(BE4,'נתוני תאגידים'!$1:$530,356,0)+7747589/1000-697537/1000-519375/1000</f>
        <v>7447.3629999999994</v>
      </c>
      <c r="BF7" s="378">
        <f>+BF6-HLOOKUP(BF4,'נתוני תאגידים'!$1:$530,356,0)</f>
        <v>1061.6970000000001</v>
      </c>
    </row>
    <row r="8" spans="1:58" x14ac:dyDescent="0.2">
      <c r="A8" s="622"/>
      <c r="B8" s="622"/>
      <c r="C8" s="654" t="s">
        <v>1735</v>
      </c>
      <c r="D8" s="378">
        <v>40000</v>
      </c>
      <c r="E8" s="378">
        <v>40000</v>
      </c>
      <c r="F8" s="378">
        <v>40000</v>
      </c>
      <c r="G8" s="378">
        <v>40000</v>
      </c>
      <c r="H8" s="378">
        <v>40000</v>
      </c>
      <c r="I8" s="378">
        <v>40000</v>
      </c>
      <c r="J8" s="378">
        <v>40000</v>
      </c>
      <c r="K8" s="378">
        <v>40000</v>
      </c>
      <c r="L8" s="378">
        <v>40000</v>
      </c>
      <c r="M8" s="378">
        <v>40000</v>
      </c>
      <c r="N8" s="378">
        <v>40000</v>
      </c>
      <c r="O8" s="378">
        <v>40000</v>
      </c>
      <c r="P8" s="378">
        <v>40000</v>
      </c>
      <c r="Q8" s="378">
        <v>40000</v>
      </c>
      <c r="R8" s="378">
        <v>40000</v>
      </c>
      <c r="S8" s="378">
        <v>40000</v>
      </c>
      <c r="T8" s="378">
        <v>40000</v>
      </c>
      <c r="U8" s="378">
        <v>40000</v>
      </c>
      <c r="V8" s="378">
        <v>40000</v>
      </c>
      <c r="W8" s="378">
        <v>40000</v>
      </c>
      <c r="X8" s="378">
        <v>40000</v>
      </c>
      <c r="Y8" s="378">
        <v>40000</v>
      </c>
      <c r="Z8" s="378">
        <v>40000</v>
      </c>
      <c r="AA8" s="378">
        <v>40000</v>
      </c>
      <c r="AB8" s="378">
        <v>40000</v>
      </c>
      <c r="AC8" s="378">
        <v>40000</v>
      </c>
      <c r="AD8" s="378">
        <v>40000</v>
      </c>
      <c r="AE8" s="378">
        <v>40000</v>
      </c>
      <c r="AF8" s="378">
        <v>40000</v>
      </c>
      <c r="AG8" s="378">
        <v>40000</v>
      </c>
      <c r="AH8" s="378">
        <v>40000</v>
      </c>
      <c r="AI8" s="378">
        <v>40000</v>
      </c>
      <c r="AJ8" s="378">
        <v>40000</v>
      </c>
      <c r="AK8" s="378">
        <v>40000</v>
      </c>
      <c r="AL8" s="378">
        <v>40000</v>
      </c>
      <c r="AM8" s="378">
        <v>40000</v>
      </c>
      <c r="AN8" s="378">
        <v>40000</v>
      </c>
      <c r="AO8" s="378">
        <v>40000</v>
      </c>
      <c r="AP8" s="378">
        <v>40000</v>
      </c>
      <c r="AQ8" s="378">
        <v>40000</v>
      </c>
      <c r="AR8" s="378">
        <v>40000</v>
      </c>
      <c r="AS8" s="378">
        <v>40000</v>
      </c>
      <c r="AT8" s="378">
        <v>40000</v>
      </c>
      <c r="AU8" s="378">
        <v>40000</v>
      </c>
      <c r="AV8" s="378">
        <v>40000</v>
      </c>
      <c r="AW8" s="378">
        <v>40000</v>
      </c>
      <c r="AX8" s="378">
        <v>40000</v>
      </c>
      <c r="AY8" s="378">
        <v>40000</v>
      </c>
      <c r="AZ8" s="378">
        <v>40000</v>
      </c>
      <c r="BA8" s="378">
        <v>40000</v>
      </c>
      <c r="BB8" s="378">
        <v>40000</v>
      </c>
      <c r="BC8" s="378">
        <v>40000</v>
      </c>
      <c r="BD8" s="378">
        <v>40000</v>
      </c>
      <c r="BE8" s="378">
        <v>40000</v>
      </c>
      <c r="BF8" s="378">
        <v>40000</v>
      </c>
    </row>
    <row r="9" spans="1:58" x14ac:dyDescent="0.2">
      <c r="A9" s="622"/>
      <c r="B9" s="622"/>
      <c r="C9" s="654" t="s">
        <v>1736</v>
      </c>
      <c r="D9" s="378">
        <f>+VLOOKUP(D5,'צריכה בתאגיד מרחבי'!$B$8:$M$114,6,0)</f>
        <v>42529.130000000005</v>
      </c>
      <c r="E9" s="378">
        <f>+VLOOKUP(E5,'צריכה בתאגיד מרחבי'!$B$8:$M$114,6,0)</f>
        <v>41661.173999999999</v>
      </c>
      <c r="F9" s="378">
        <f>+VLOOKUP(F5,'צריכה בתאגיד מרחבי'!$B$8:$M$114,6,0)</f>
        <v>19864.632000000001</v>
      </c>
      <c r="G9" s="378">
        <f>+VLOOKUP(G5,'צריכה בתאגיד מרחבי'!$B$8:$M$114,6,0)</f>
        <v>54562.883000000002</v>
      </c>
      <c r="H9" s="378">
        <f>+VLOOKUP(H5,'צריכה בתאגיד מרחבי'!$B$8:$M$114,6,0)</f>
        <v>43015.555</v>
      </c>
      <c r="I9" s="378">
        <f>+VLOOKUP(I5,'צריכה בתאגיד מרחבי'!$B$8:$M$114,6,0)</f>
        <v>2004.4870000000001</v>
      </c>
      <c r="J9" s="378">
        <f>+VLOOKUP(J5,'צריכה בתאגיד מרחבי'!$B$8:$M$114,6,0)</f>
        <v>41661.173999999999</v>
      </c>
      <c r="K9" s="378">
        <f>+VLOOKUP(K5,'צריכה בתאגיד מרחבי'!$B$8:$M$114,6,0)</f>
        <v>49599.804999999993</v>
      </c>
      <c r="L9" s="378">
        <f>+VLOOKUP(L5,'צריכה בתאגיד מרחבי'!$B$8:$M$114,6,0)</f>
        <v>52015.728000000003</v>
      </c>
      <c r="M9" s="378">
        <f>+VLOOKUP(M5,'צריכה בתאגיד מרחבי'!$B$8:$M$114,6,0)</f>
        <v>41661.173999999999</v>
      </c>
      <c r="N9" s="378">
        <f>+VLOOKUP(N5,'צריכה בתאגיד מרחבי'!$B$8:$M$114,6,0)</f>
        <v>49599.804999999993</v>
      </c>
      <c r="O9" s="378">
        <f>+VLOOKUP(O5,'צריכה בתאגיד מרחבי'!$B$8:$M$114,6,0)</f>
        <v>49599.804999999993</v>
      </c>
      <c r="P9" s="378">
        <f>+VLOOKUP(P5,'צריכה בתאגיד מרחבי'!$B$8:$M$114,6,0)</f>
        <v>43790.065000000002</v>
      </c>
      <c r="Q9" s="378">
        <f>+VLOOKUP(Q5,'צריכה בתאגיד מרחבי'!$B$8:$M$114,6,0)</f>
        <v>19864.632000000001</v>
      </c>
      <c r="R9" s="378">
        <f>+VLOOKUP(R5,'צריכה בתאגיד מרחבי'!$B$8:$M$114,6,0)</f>
        <v>46056.917999999998</v>
      </c>
      <c r="S9" s="378">
        <f>+VLOOKUP(S5,'צריכה בתאגיד מרחבי'!$B$8:$M$114,6,0)</f>
        <v>43790.065000000002</v>
      </c>
      <c r="T9" s="378">
        <f>+VLOOKUP(T5,'צריכה בתאגיד מרחבי'!$B$8:$M$114,6,0)</f>
        <v>42529.130000000005</v>
      </c>
      <c r="U9" s="378">
        <f>+VLOOKUP(U5,'צריכה בתאגיד מרחבי'!$B$8:$M$114,6,0)</f>
        <v>52015.728000000003</v>
      </c>
      <c r="V9" s="378">
        <f>+VLOOKUP(V5,'צריכה בתאגיד מרחבי'!$B$8:$M$114,6,0)</f>
        <v>11081.690999999999</v>
      </c>
      <c r="W9" s="378">
        <f>+VLOOKUP(W5,'צריכה בתאגיד מרחבי'!$B$8:$M$114,6,0)</f>
        <v>19864.632000000001</v>
      </c>
      <c r="X9" s="378">
        <f>+VLOOKUP(X5,'צריכה בתאגיד מרחבי'!$B$8:$M$114,6,0)</f>
        <v>52015.728000000003</v>
      </c>
      <c r="Y9" s="378">
        <f>+VLOOKUP(Y5,'צריכה בתאגיד מרחבי'!$B$8:$M$114,6,0)</f>
        <v>52015.728000000003</v>
      </c>
      <c r="Z9" s="378">
        <f>+VLOOKUP(Z5,'צריכה בתאגיד מרחבי'!$B$8:$M$114,6,0)</f>
        <v>24802.501</v>
      </c>
      <c r="AA9" s="378">
        <f>+VLOOKUP(AA5,'צריכה בתאגיד מרחבי'!$B$8:$M$114,6,0)</f>
        <v>43120.015999999989</v>
      </c>
      <c r="AB9" s="378">
        <f>+VLOOKUP(AB5,'צריכה בתאגיד מרחבי'!$B$8:$M$114,6,0)</f>
        <v>38318.575999999994</v>
      </c>
      <c r="AC9" s="378">
        <f>+VLOOKUP(AC5,'צריכה בתאגיד מרחבי'!$B$8:$M$114,6,0)</f>
        <v>46056.917999999998</v>
      </c>
      <c r="AD9" s="378">
        <f>+VLOOKUP(AD5,'צריכה בתאגיד מרחבי'!$B$8:$M$114,6,0)</f>
        <v>38318.575999999994</v>
      </c>
      <c r="AE9" s="378">
        <f>+VLOOKUP(AE5,'צריכה בתאגיד מרחבי'!$B$8:$M$114,6,0)</f>
        <v>38318.575999999994</v>
      </c>
      <c r="AF9" s="378">
        <f>+VLOOKUP(AF5,'צריכה בתאגיד מרחבי'!$B$8:$M$114,6,0)</f>
        <v>43120.015999999989</v>
      </c>
      <c r="AG9" s="378">
        <f>+VLOOKUP(AG5,'צריכה בתאגיד מרחבי'!$B$8:$M$114,6,0)</f>
        <v>43015.555</v>
      </c>
      <c r="AH9" s="378">
        <f>+VLOOKUP(AH5,'צריכה בתאגיד מרחבי'!$B$8:$M$114,6,0)</f>
        <v>24802.501</v>
      </c>
      <c r="AI9" s="378">
        <f>+VLOOKUP(AI5,'צריכה בתאגיד מרחבי'!$B$8:$M$114,6,0)</f>
        <v>46056.917999999998</v>
      </c>
      <c r="AJ9" s="378">
        <f>+VLOOKUP(AJ5,'צריכה בתאגיד מרחבי'!$B$8:$M$114,6,0)</f>
        <v>42529.130000000005</v>
      </c>
      <c r="AK9" s="378">
        <f>+VLOOKUP(AK5,'צריכה בתאגיד מרחבי'!$B$8:$M$114,6,0)</f>
        <v>43120.015999999989</v>
      </c>
      <c r="AL9" s="378">
        <f>+VLOOKUP(AL5,'צריכה בתאגיד מרחבי'!$B$8:$M$114,6,0)</f>
        <v>43120.015999999989</v>
      </c>
      <c r="AM9" s="378">
        <f>+VLOOKUP(AM5,'צריכה בתאגיד מרחבי'!$B$8:$M$114,6,0)</f>
        <v>61899.043000000005</v>
      </c>
      <c r="AN9" s="378">
        <f>+VLOOKUP(AN5,'צריכה בתאגיד מרחבי'!$B$8:$M$114,6,0)</f>
        <v>49599.804999999993</v>
      </c>
      <c r="AO9" s="378">
        <f>+VLOOKUP(AO5,'צריכה בתאגיד מרחבי'!$B$8:$M$114,6,0)</f>
        <v>61899.043000000005</v>
      </c>
      <c r="AP9" s="378">
        <f>+VLOOKUP(AP5,'צריכה בתאגיד מרחבי'!$B$8:$M$114,6,0)</f>
        <v>61899.043000000005</v>
      </c>
      <c r="AQ9" s="378">
        <f>+VLOOKUP(AQ5,'צריכה בתאגיד מרחבי'!$B$8:$M$114,6,0)</f>
        <v>43790.065000000002</v>
      </c>
      <c r="AR9" s="378">
        <f>+VLOOKUP(AR5,'צריכה בתאגיד מרחבי'!$B$8:$M$114,6,0)</f>
        <v>42529.130000000005</v>
      </c>
      <c r="AS9" s="378">
        <f>+VLOOKUP(AS5,'צריכה בתאגיד מרחבי'!$B$8:$M$114,6,0)</f>
        <v>41661.173999999999</v>
      </c>
      <c r="AT9" s="378">
        <f>+VLOOKUP(AT5,'צריכה בתאגיד מרחבי'!$B$8:$M$114,6,0)</f>
        <v>43120.015999999989</v>
      </c>
      <c r="AU9" s="378">
        <f>+VLOOKUP(AU5,'צריכה בתאגיד מרחבי'!$B$8:$M$114,6,0)</f>
        <v>43120.015999999989</v>
      </c>
      <c r="AV9" s="378">
        <f>+VLOOKUP(AV5,'צריכה בתאגיד מרחבי'!$B$8:$M$114,6,0)</f>
        <v>38318.575999999994</v>
      </c>
      <c r="AW9" s="378">
        <f>+VLOOKUP(AW5,'צריכה בתאגיד מרחבי'!$B$8:$M$114,6,0)</f>
        <v>24802.501</v>
      </c>
      <c r="AX9" s="378">
        <f>+VLOOKUP(AX5,'צריכה בתאגיד מרחבי'!$B$8:$M$114,6,0)</f>
        <v>24802.501</v>
      </c>
      <c r="AY9" s="378">
        <f>+VLOOKUP(AY5,'צריכה בתאגיד מרחבי'!$B$8:$M$114,6,0)</f>
        <v>43015.555</v>
      </c>
      <c r="AZ9" s="378">
        <f>+VLOOKUP(AZ5,'צריכה בתאגיד מרחבי'!$B$8:$M$114,6,0)</f>
        <v>46056.917999999998</v>
      </c>
      <c r="BA9" s="378">
        <f>+VLOOKUP(BA5,'צריכה בתאגיד מרחבי'!$B$8:$M$114,6,0)</f>
        <v>41661.173999999999</v>
      </c>
      <c r="BB9" s="378">
        <f>+VLOOKUP(BB5,'צריכה בתאגיד מרחבי'!$B$8:$M$114,6,0)</f>
        <v>52015.728000000003</v>
      </c>
      <c r="BC9" s="378">
        <f>+VLOOKUP(BC5,'צריכה בתאגיד מרחבי'!$B$8:$M$114,6,0)</f>
        <v>38318.575999999994</v>
      </c>
      <c r="BD9" s="378">
        <f>+VLOOKUP(BD5,'צריכה בתאגיד מרחבי'!$B$8:$M$114,6,0)</f>
        <v>46056.917999999998</v>
      </c>
      <c r="BE9" s="378">
        <f>+VLOOKUP(BE5,'צריכה בתאגיד מרחבי'!$B$8:$M$114,6,0)</f>
        <v>38318.575999999994</v>
      </c>
      <c r="BF9" s="378">
        <f>+VLOOKUP(BF5,'צריכה בתאגיד מרחבי'!$B$8:$M$114,6,0)</f>
        <v>42529.130000000005</v>
      </c>
    </row>
    <row r="10" spans="1:58" x14ac:dyDescent="0.2">
      <c r="A10" s="622"/>
      <c r="B10" s="622"/>
      <c r="C10" s="654" t="s">
        <v>1737</v>
      </c>
      <c r="D10" s="1322">
        <f>+'הנחות עבודה'!$D$211</f>
        <v>1923</v>
      </c>
      <c r="E10" s="1322">
        <f>+'הנחות עבודה'!$D$211</f>
        <v>1923</v>
      </c>
      <c r="F10" s="1322">
        <f>+'הנחות עבודה'!$D$211</f>
        <v>1923</v>
      </c>
      <c r="G10" s="1322">
        <f>+'הנחות עבודה'!$D$211</f>
        <v>1923</v>
      </c>
      <c r="H10" s="1322">
        <f>+'הנחות עבודה'!$D$211</f>
        <v>1923</v>
      </c>
      <c r="I10" s="1322">
        <f>+'הנחות עבודה'!$D$211</f>
        <v>1923</v>
      </c>
      <c r="J10" s="1322">
        <f>+'הנחות עבודה'!$D$211</f>
        <v>1923</v>
      </c>
      <c r="K10" s="1322">
        <f>+'הנחות עבודה'!$D$211</f>
        <v>1923</v>
      </c>
      <c r="L10" s="1322">
        <f>+'הנחות עבודה'!$D$211</f>
        <v>1923</v>
      </c>
      <c r="M10" s="1322">
        <f>+'הנחות עבודה'!$D$211</f>
        <v>1923</v>
      </c>
      <c r="N10" s="1322">
        <f>+'הנחות עבודה'!$D$211</f>
        <v>1923</v>
      </c>
      <c r="O10" s="1322">
        <f>+'הנחות עבודה'!$D$211</f>
        <v>1923</v>
      </c>
      <c r="P10" s="1322">
        <f>+'הנחות עבודה'!$D$211</f>
        <v>1923</v>
      </c>
      <c r="Q10" s="1322">
        <f>+'הנחות עבודה'!$D$211</f>
        <v>1923</v>
      </c>
      <c r="R10" s="1322">
        <f>+'הנחות עבודה'!$D$211</f>
        <v>1923</v>
      </c>
      <c r="S10" s="1322">
        <f>+'הנחות עבודה'!$D$211</f>
        <v>1923</v>
      </c>
      <c r="T10" s="1322">
        <f>+'הנחות עבודה'!$D$211</f>
        <v>1923</v>
      </c>
      <c r="U10" s="1322">
        <f>+'הנחות עבודה'!$D$211</f>
        <v>1923</v>
      </c>
      <c r="V10" s="1322">
        <f>+'הנחות עבודה'!$D$211</f>
        <v>1923</v>
      </c>
      <c r="W10" s="1322">
        <f>+'הנחות עבודה'!$D$211</f>
        <v>1923</v>
      </c>
      <c r="X10" s="1322">
        <f>+'הנחות עבודה'!$D$211</f>
        <v>1923</v>
      </c>
      <c r="Y10" s="1322">
        <f>+'הנחות עבודה'!$D$211</f>
        <v>1923</v>
      </c>
      <c r="Z10" s="1322">
        <f>+'הנחות עבודה'!$D$211</f>
        <v>1923</v>
      </c>
      <c r="AA10" s="1322">
        <f>+'הנחות עבודה'!$D$211</f>
        <v>1923</v>
      </c>
      <c r="AB10" s="1322">
        <f>+'הנחות עבודה'!$D$211</f>
        <v>1923</v>
      </c>
      <c r="AC10" s="1322">
        <f>+'הנחות עבודה'!$D$211</f>
        <v>1923</v>
      </c>
      <c r="AD10" s="1322">
        <f>+'הנחות עבודה'!$D$211</f>
        <v>1923</v>
      </c>
      <c r="AE10" s="1322">
        <f>+'הנחות עבודה'!$D$211</f>
        <v>1923</v>
      </c>
      <c r="AF10" s="1322">
        <f>+'הנחות עבודה'!$D$211</f>
        <v>1923</v>
      </c>
      <c r="AG10" s="1322">
        <f>+'הנחות עבודה'!$D$211</f>
        <v>1923</v>
      </c>
      <c r="AH10" s="1322">
        <f>+'הנחות עבודה'!$D$211</f>
        <v>1923</v>
      </c>
      <c r="AI10" s="1322">
        <f>+'הנחות עבודה'!$D$211</f>
        <v>1923</v>
      </c>
      <c r="AJ10" s="1322">
        <f>+'הנחות עבודה'!$D$211</f>
        <v>1923</v>
      </c>
      <c r="AK10" s="1322">
        <f>+'הנחות עבודה'!$D$211</f>
        <v>1923</v>
      </c>
      <c r="AL10" s="1322">
        <f>+'הנחות עבודה'!$D$211</f>
        <v>1923</v>
      </c>
      <c r="AM10" s="1322">
        <f>+'הנחות עבודה'!$D$211</f>
        <v>1923</v>
      </c>
      <c r="AN10" s="1322">
        <f>+'הנחות עבודה'!$D$211</f>
        <v>1923</v>
      </c>
      <c r="AO10" s="1322">
        <f>+'הנחות עבודה'!$D$211</f>
        <v>1923</v>
      </c>
      <c r="AP10" s="1322">
        <f>+'הנחות עבודה'!$D$211</f>
        <v>1923</v>
      </c>
      <c r="AQ10" s="1322">
        <f>+'הנחות עבודה'!$D$211</f>
        <v>1923</v>
      </c>
      <c r="AR10" s="1322">
        <f>+'הנחות עבודה'!$D$211</f>
        <v>1923</v>
      </c>
      <c r="AS10" s="1322">
        <f>+'הנחות עבודה'!$D$211</f>
        <v>1923</v>
      </c>
      <c r="AT10" s="1322">
        <f>+'הנחות עבודה'!$D$211</f>
        <v>1923</v>
      </c>
      <c r="AU10" s="1322">
        <f>+'הנחות עבודה'!$D$211</f>
        <v>1923</v>
      </c>
      <c r="AV10" s="1322">
        <f>+'הנחות עבודה'!$D$211</f>
        <v>1923</v>
      </c>
      <c r="AW10" s="1322">
        <f>+'הנחות עבודה'!$D$211</f>
        <v>1923</v>
      </c>
      <c r="AX10" s="1322">
        <f>+'הנחות עבודה'!$D$211</f>
        <v>1923</v>
      </c>
      <c r="AY10" s="1322">
        <f>+'הנחות עבודה'!$D$211</f>
        <v>1923</v>
      </c>
      <c r="AZ10" s="1322">
        <f>+'הנחות עבודה'!$D$211</f>
        <v>1923</v>
      </c>
      <c r="BA10" s="1322">
        <f>+'הנחות עבודה'!$D$211</f>
        <v>1923</v>
      </c>
      <c r="BB10" s="1322">
        <f>+'הנחות עבודה'!$D$211</f>
        <v>1923</v>
      </c>
      <c r="BC10" s="1322">
        <f>+'הנחות עבודה'!$D$211</f>
        <v>1923</v>
      </c>
      <c r="BD10" s="1322">
        <f>+'הנחות עבודה'!$D$211</f>
        <v>1923</v>
      </c>
      <c r="BE10" s="1322">
        <f>+'הנחות עבודה'!$D$211</f>
        <v>1923</v>
      </c>
      <c r="BF10" s="1322">
        <f>+'הנחות עבודה'!$D$211</f>
        <v>1923</v>
      </c>
    </row>
    <row r="11" spans="1:58" x14ac:dyDescent="0.2">
      <c r="A11" s="622"/>
      <c r="B11" s="622"/>
      <c r="C11" s="654" t="s">
        <v>1738</v>
      </c>
      <c r="D11" s="1323">
        <f>+HLOOKUP(D4,'תחשיב עלות תפעול לשנת 2016'!$4:$154,135,0)</f>
        <v>0.15392808447509845</v>
      </c>
      <c r="E11" s="1323">
        <f>+HLOOKUP(E4,'תחשיב עלות תפעול לשנת 2016'!$4:$154,135,0)</f>
        <v>0.15495381122127339</v>
      </c>
      <c r="F11" s="1323">
        <f>+HLOOKUP(F4,'תחשיב עלות תפעול לשנת 2016'!$4:$154,135,0)</f>
        <v>0.28438617604280275</v>
      </c>
      <c r="G11" s="1323">
        <f>+HLOOKUP(G4,'תחשיב עלות תפעול לשנת 2016'!$4:$154,135,0)</f>
        <v>0.1430695989196156</v>
      </c>
      <c r="H11" s="1323">
        <f>+HLOOKUP(H4,'תחשיב עלות תפעול לשנת 2016'!$4:$154,135,0)</f>
        <v>0.15337134010851036</v>
      </c>
      <c r="I11" s="1323">
        <f>+HLOOKUP(I4,'תחשיב עלות תפעול לשנת 2016'!$4:$154,135,0)</f>
        <v>0.94013720218689367</v>
      </c>
      <c r="J11" s="1323">
        <f>+HLOOKUP(J4,'תחשיב עלות תפעול לשנת 2016'!$4:$154,135,0)</f>
        <v>0.15495381122127339</v>
      </c>
      <c r="K11" s="1323">
        <f>+HLOOKUP(K4,'תחשיב עלות תפעול לשנת 2016'!$4:$154,135,0)</f>
        <v>0.14690955091445757</v>
      </c>
      <c r="L11" s="1323">
        <f>+HLOOKUP(L4,'תחשיב עלות תפעול לשנת 2016'!$4:$154,135,0)</f>
        <v>0.14494880909733729</v>
      </c>
      <c r="M11" s="1323">
        <f>+HLOOKUP(M4,'תחשיב עלות תפעול לשנת 2016'!$4:$154,135,0)</f>
        <v>0.15495381122127339</v>
      </c>
      <c r="N11" s="1323">
        <f>+HLOOKUP(N4,'תחשיב עלות תפעול לשנת 2016'!$4:$154,135,0)</f>
        <v>0.14690955091445757</v>
      </c>
      <c r="O11" s="1323">
        <f>+HLOOKUP(O4,'תחשיב עלות תפעול לשנת 2016'!$4:$154,135,0)</f>
        <v>0.14690955091445757</v>
      </c>
      <c r="P11" s="1323">
        <f>+HLOOKUP(P4,'תחשיב עלות תפעול לשנת 2016'!$4:$154,135,0)</f>
        <v>0.15251039020435345</v>
      </c>
      <c r="Q11" s="1323">
        <f>+HLOOKUP(Q4,'תחשיב עלות תפעול לשנת 2016'!$4:$154,135,0)</f>
        <v>0.28438617604280275</v>
      </c>
      <c r="R11" s="1323">
        <f>+HLOOKUP(R4,'תחשיב עלות תפעול לשנת 2016'!$4:$154,135,0)</f>
        <v>0.15015694078694156</v>
      </c>
      <c r="S11" s="1323">
        <f>+HLOOKUP(S4,'תחשיב עלות תפעול לשנת 2016'!$4:$154,135,0)</f>
        <v>0.15251039020435345</v>
      </c>
      <c r="T11" s="1323">
        <f>+HLOOKUP(T4,'תחשיב עלות תפעול לשנת 2016'!$4:$154,135,0)</f>
        <v>0.15392808447509845</v>
      </c>
      <c r="U11" s="1323">
        <f>+HLOOKUP(U4,'תחשיב עלות תפעול לשנת 2016'!$4:$154,135,0)</f>
        <v>0.14494880909733729</v>
      </c>
      <c r="V11" s="1323">
        <f>+HLOOKUP(V4,'תחשיב עלות תפעול לשנת 2016'!$4:$154,135,0)</f>
        <v>0.26641891145794749</v>
      </c>
      <c r="W11" s="1323">
        <f>+HLOOKUP(W4,'תחשיב עלות תפעול לשנת 2016'!$4:$154,135,0)</f>
        <v>0.28438617604280275</v>
      </c>
      <c r="X11" s="1323">
        <f>+HLOOKUP(X4,'תחשיב עלות תפעול לשנת 2016'!$4:$154,135,0)</f>
        <v>0.14494880909733729</v>
      </c>
      <c r="Y11" s="1323">
        <f>+HLOOKUP(Y4,'תחשיב עלות תפעול לשנת 2016'!$4:$154,135,0)</f>
        <v>0.14494880909733729</v>
      </c>
      <c r="Z11" s="1323">
        <f>+HLOOKUP(Z4,'תחשיב עלות תפעול לשנת 2016'!$4:$154,135,0)</f>
        <v>0.23402141485415306</v>
      </c>
      <c r="AA11" s="1323">
        <f>+HLOOKUP(AA4,'תחשיב עלות תפעול לשנת 2016'!$4:$154,135,0)</f>
        <v>0.15325341624265737</v>
      </c>
      <c r="AB11" s="1323">
        <f>+HLOOKUP(AB4,'תחשיב עלות תפעול לשנת 2016'!$4:$154,135,0)</f>
        <v>0.16255385228748798</v>
      </c>
      <c r="AC11" s="1323">
        <f>+HLOOKUP(AC4,'תחשיב עלות תפעול לשנת 2016'!$4:$154,135,0)</f>
        <v>0.15015694078694156</v>
      </c>
      <c r="AD11" s="1323">
        <f>+HLOOKUP(AD4,'תחשיב עלות תפעול לשנת 2016'!$4:$154,135,0)</f>
        <v>0.16255385228748798</v>
      </c>
      <c r="AE11" s="1323">
        <f>+HLOOKUP(AE4,'תחשיב עלות תפעול לשנת 2016'!$4:$154,135,0)</f>
        <v>0.16255385228748798</v>
      </c>
      <c r="AF11" s="1323">
        <f>+HLOOKUP(AF4,'תחשיב עלות תפעול לשנת 2016'!$4:$154,135,0)</f>
        <v>0.15325341624265737</v>
      </c>
      <c r="AG11" s="1323">
        <f>+HLOOKUP(AG4,'תחשיב עלות תפעול לשנת 2016'!$4:$154,135,0)</f>
        <v>0.15337134010851036</v>
      </c>
      <c r="AH11" s="1323">
        <f>+HLOOKUP(AH4,'תחשיב עלות תפעול לשנת 2016'!$4:$154,135,0)</f>
        <v>0.23402141485415306</v>
      </c>
      <c r="AI11" s="1323">
        <f>+HLOOKUP(AI4,'תחשיב עלות תפעול לשנת 2016'!$4:$154,135,0)</f>
        <v>0.15015694078694156</v>
      </c>
      <c r="AJ11" s="1323">
        <f>+HLOOKUP(AJ4,'תחשיב עלות תפעול לשנת 2016'!$4:$154,135,0)</f>
        <v>0.15392808447509845</v>
      </c>
      <c r="AK11" s="1323">
        <f>+HLOOKUP(AK4,'תחשיב עלות תפעול לשנת 2016'!$4:$154,135,0)</f>
        <v>0.15325341624265737</v>
      </c>
      <c r="AL11" s="1323">
        <f>+HLOOKUP(AL4,'תחשיב עלות תפעול לשנת 2016'!$4:$154,135,0)</f>
        <v>0.15325341624265737</v>
      </c>
      <c r="AM11" s="1323">
        <f>+HLOOKUP(AM4,'תחשיב עלות תפעול לשנת 2016'!$4:$154,135,0)</f>
        <v>0.13852139923713308</v>
      </c>
      <c r="AN11" s="1323">
        <f>+HLOOKUP(AN4,'תחשיב עלות תפעול לשנת 2016'!$4:$154,135,0)</f>
        <v>0.14690955091445757</v>
      </c>
      <c r="AO11" s="1323">
        <f>+HLOOKUP(AO4,'תחשיב עלות תפעול לשנת 2016'!$4:$154,135,0)</f>
        <v>0.13852139923713308</v>
      </c>
      <c r="AP11" s="1323">
        <f>+HLOOKUP(AP4,'תחשיב עלות תפעול לשנת 2016'!$4:$154,135,0)</f>
        <v>0.13852139923713308</v>
      </c>
      <c r="AQ11" s="1323">
        <f>+HLOOKUP(AQ4,'תחשיב עלות תפעול לשנת 2016'!$4:$154,135,0)</f>
        <v>0.15251039020435345</v>
      </c>
      <c r="AR11" s="1323">
        <f>+HLOOKUP(AR4,'תחשיב עלות תפעול לשנת 2016'!$4:$154,135,0)</f>
        <v>0.15392808447509845</v>
      </c>
      <c r="AS11" s="1323">
        <f>+HLOOKUP(AS4,'תחשיב עלות תפעול לשנת 2016'!$4:$154,135,0)</f>
        <v>0.15495381122127339</v>
      </c>
      <c r="AT11" s="1323">
        <f>+HLOOKUP(AT4,'תחשיב עלות תפעול לשנת 2016'!$4:$154,135,0)</f>
        <v>0.15325341624265737</v>
      </c>
      <c r="AU11" s="1323">
        <f>+HLOOKUP(AU4,'תחשיב עלות תפעול לשנת 2016'!$4:$154,135,0)</f>
        <v>0.15325341624265737</v>
      </c>
      <c r="AV11" s="1323">
        <f>+HLOOKUP(AV4,'תחשיב עלות תפעול לשנת 2016'!$4:$154,135,0)</f>
        <v>0.16255385228748798</v>
      </c>
      <c r="AW11" s="1323">
        <f>+HLOOKUP(AW4,'תחשיב עלות תפעול לשנת 2016'!$4:$154,135,0)</f>
        <v>0.23402141485415306</v>
      </c>
      <c r="AX11" s="1323">
        <f>+HLOOKUP(AX4,'תחשיב עלות תפעול לשנת 2016'!$4:$154,135,0)</f>
        <v>0.23402141485415306</v>
      </c>
      <c r="AY11" s="1323">
        <f>+HLOOKUP(AY4,'תחשיב עלות תפעול לשנת 2016'!$4:$154,135,0)</f>
        <v>0.15337134010851036</v>
      </c>
      <c r="AZ11" s="1323">
        <f>+HLOOKUP(AZ4,'תחשיב עלות תפעול לשנת 2016'!$4:$154,135,0)</f>
        <v>0.15015694078694156</v>
      </c>
      <c r="BA11" s="1323">
        <f>+HLOOKUP(BA4,'תחשיב עלות תפעול לשנת 2016'!$4:$154,135,0)</f>
        <v>0.15495381122127339</v>
      </c>
      <c r="BB11" s="1323">
        <f>+HLOOKUP(BB4,'תחשיב עלות תפעול לשנת 2016'!$4:$154,135,0)</f>
        <v>0.14494880909733729</v>
      </c>
      <c r="BC11" s="1323">
        <f>+HLOOKUP(BC4,'תחשיב עלות תפעול לשנת 2016'!$4:$154,135,0)</f>
        <v>0.16255385228748798</v>
      </c>
      <c r="BD11" s="1323">
        <f>+HLOOKUP(BD4,'תחשיב עלות תפעול לשנת 2016'!$4:$154,135,0)</f>
        <v>0.15015694078694156</v>
      </c>
      <c r="BE11" s="1323">
        <f>+HLOOKUP(BE4,'תחשיב עלות תפעול לשנת 2016'!$4:$154,135,0)</f>
        <v>0.16255385228748798</v>
      </c>
      <c r="BF11" s="1323">
        <f>+HLOOKUP(BF4,'תחשיב עלות תפעול לשנת 2016'!$4:$154,135,0)</f>
        <v>0.15392808447509845</v>
      </c>
    </row>
    <row r="12" spans="1:58" ht="12" customHeight="1" x14ac:dyDescent="0.2">
      <c r="A12" s="622">
        <v>2.39</v>
      </c>
      <c r="B12" s="622"/>
      <c r="C12" s="654" t="s">
        <v>1739</v>
      </c>
      <c r="D12" s="1324">
        <f>MIN($A$12,D11)</f>
        <v>0.15392808447509845</v>
      </c>
      <c r="E12" s="1324">
        <f t="shared" ref="E12:BF12" si="0">MIN($A$12,E11)</f>
        <v>0.15495381122127339</v>
      </c>
      <c r="F12" s="1324">
        <f t="shared" si="0"/>
        <v>0.28438617604280275</v>
      </c>
      <c r="G12" s="1324">
        <f t="shared" si="0"/>
        <v>0.1430695989196156</v>
      </c>
      <c r="H12" s="1324">
        <f t="shared" si="0"/>
        <v>0.15337134010851036</v>
      </c>
      <c r="I12" s="1324">
        <f t="shared" si="0"/>
        <v>0.94013720218689367</v>
      </c>
      <c r="J12" s="1324">
        <f t="shared" si="0"/>
        <v>0.15495381122127339</v>
      </c>
      <c r="K12" s="1324">
        <f t="shared" si="0"/>
        <v>0.14690955091445757</v>
      </c>
      <c r="L12" s="1324">
        <f t="shared" si="0"/>
        <v>0.14494880909733729</v>
      </c>
      <c r="M12" s="1324">
        <f t="shared" si="0"/>
        <v>0.15495381122127339</v>
      </c>
      <c r="N12" s="1324">
        <f t="shared" si="0"/>
        <v>0.14690955091445757</v>
      </c>
      <c r="O12" s="1324">
        <f t="shared" si="0"/>
        <v>0.14690955091445757</v>
      </c>
      <c r="P12" s="1324">
        <f t="shared" si="0"/>
        <v>0.15251039020435345</v>
      </c>
      <c r="Q12" s="1324">
        <f t="shared" si="0"/>
        <v>0.28438617604280275</v>
      </c>
      <c r="R12" s="1324">
        <f t="shared" si="0"/>
        <v>0.15015694078694156</v>
      </c>
      <c r="S12" s="1324">
        <f t="shared" si="0"/>
        <v>0.15251039020435345</v>
      </c>
      <c r="T12" s="1324">
        <f t="shared" si="0"/>
        <v>0.15392808447509845</v>
      </c>
      <c r="U12" s="1324">
        <f t="shared" si="0"/>
        <v>0.14494880909733729</v>
      </c>
      <c r="V12" s="1324">
        <f t="shared" si="0"/>
        <v>0.26641891145794749</v>
      </c>
      <c r="W12" s="1324">
        <f t="shared" si="0"/>
        <v>0.28438617604280275</v>
      </c>
      <c r="X12" s="1324">
        <f t="shared" si="0"/>
        <v>0.14494880909733729</v>
      </c>
      <c r="Y12" s="1324">
        <f t="shared" si="0"/>
        <v>0.14494880909733729</v>
      </c>
      <c r="Z12" s="1324">
        <f t="shared" si="0"/>
        <v>0.23402141485415306</v>
      </c>
      <c r="AA12" s="1324">
        <f t="shared" si="0"/>
        <v>0.15325341624265737</v>
      </c>
      <c r="AB12" s="1324">
        <f t="shared" si="0"/>
        <v>0.16255385228748798</v>
      </c>
      <c r="AC12" s="1324">
        <f t="shared" si="0"/>
        <v>0.15015694078694156</v>
      </c>
      <c r="AD12" s="1324">
        <f t="shared" si="0"/>
        <v>0.16255385228748798</v>
      </c>
      <c r="AE12" s="1324">
        <f t="shared" si="0"/>
        <v>0.16255385228748798</v>
      </c>
      <c r="AF12" s="1324">
        <f t="shared" si="0"/>
        <v>0.15325341624265737</v>
      </c>
      <c r="AG12" s="1324">
        <f t="shared" si="0"/>
        <v>0.15337134010851036</v>
      </c>
      <c r="AH12" s="1324">
        <f t="shared" si="0"/>
        <v>0.23402141485415306</v>
      </c>
      <c r="AI12" s="1324">
        <f t="shared" si="0"/>
        <v>0.15015694078694156</v>
      </c>
      <c r="AJ12" s="1324">
        <f t="shared" si="0"/>
        <v>0.15392808447509845</v>
      </c>
      <c r="AK12" s="1324">
        <f t="shared" si="0"/>
        <v>0.15325341624265737</v>
      </c>
      <c r="AL12" s="1324">
        <f t="shared" si="0"/>
        <v>0.15325341624265737</v>
      </c>
      <c r="AM12" s="1324">
        <f t="shared" si="0"/>
        <v>0.13852139923713308</v>
      </c>
      <c r="AN12" s="1324">
        <f t="shared" si="0"/>
        <v>0.14690955091445757</v>
      </c>
      <c r="AO12" s="1324">
        <f t="shared" si="0"/>
        <v>0.13852139923713308</v>
      </c>
      <c r="AP12" s="1324">
        <f t="shared" si="0"/>
        <v>0.13852139923713308</v>
      </c>
      <c r="AQ12" s="1324">
        <f t="shared" si="0"/>
        <v>0.15251039020435345</v>
      </c>
      <c r="AR12" s="1324">
        <f t="shared" si="0"/>
        <v>0.15392808447509845</v>
      </c>
      <c r="AS12" s="1324">
        <f t="shared" si="0"/>
        <v>0.15495381122127339</v>
      </c>
      <c r="AT12" s="1324">
        <f t="shared" si="0"/>
        <v>0.15325341624265737</v>
      </c>
      <c r="AU12" s="1324">
        <f t="shared" si="0"/>
        <v>0.15325341624265737</v>
      </c>
      <c r="AV12" s="1324">
        <f t="shared" si="0"/>
        <v>0.16255385228748798</v>
      </c>
      <c r="AW12" s="1324">
        <f t="shared" si="0"/>
        <v>0.23402141485415306</v>
      </c>
      <c r="AX12" s="1324">
        <f t="shared" si="0"/>
        <v>0.23402141485415306</v>
      </c>
      <c r="AY12" s="1324">
        <f t="shared" si="0"/>
        <v>0.15337134010851036</v>
      </c>
      <c r="AZ12" s="1324">
        <f t="shared" si="0"/>
        <v>0.15015694078694156</v>
      </c>
      <c r="BA12" s="1324">
        <f t="shared" si="0"/>
        <v>0.15495381122127339</v>
      </c>
      <c r="BB12" s="1324">
        <f t="shared" si="0"/>
        <v>0.14494880909733729</v>
      </c>
      <c r="BC12" s="1324">
        <f t="shared" si="0"/>
        <v>0.16255385228748798</v>
      </c>
      <c r="BD12" s="1324">
        <f t="shared" si="0"/>
        <v>0.15015694078694156</v>
      </c>
      <c r="BE12" s="1324">
        <f t="shared" si="0"/>
        <v>0.16255385228748798</v>
      </c>
      <c r="BF12" s="1324">
        <f t="shared" si="0"/>
        <v>0.15392808447509845</v>
      </c>
    </row>
    <row r="13" spans="1:58" x14ac:dyDescent="0.2">
      <c r="A13" s="622"/>
      <c r="B13" s="622"/>
      <c r="C13" s="654" t="s">
        <v>1740</v>
      </c>
      <c r="D13" s="1322">
        <f>+'הנחות עבודה'!$D$218</f>
        <v>300</v>
      </c>
      <c r="E13" s="1322">
        <f>+'הנחות עבודה'!$D$218</f>
        <v>300</v>
      </c>
      <c r="F13" s="1322">
        <f>+'הנחות עבודה'!$D$218</f>
        <v>300</v>
      </c>
      <c r="G13" s="1322">
        <f>+'הנחות עבודה'!$D$218</f>
        <v>300</v>
      </c>
      <c r="H13" s="1322">
        <f>+'הנחות עבודה'!$D$218</f>
        <v>300</v>
      </c>
      <c r="I13" s="1322">
        <f>+'הנחות עבודה'!$D$218</f>
        <v>300</v>
      </c>
      <c r="J13" s="1322">
        <f>+'הנחות עבודה'!$D$218</f>
        <v>300</v>
      </c>
      <c r="K13" s="1322">
        <f>+'הנחות עבודה'!$D$218</f>
        <v>300</v>
      </c>
      <c r="L13" s="1322">
        <f>+'הנחות עבודה'!$D$218</f>
        <v>300</v>
      </c>
      <c r="M13" s="1322">
        <f>+'הנחות עבודה'!$D$218</f>
        <v>300</v>
      </c>
      <c r="N13" s="1322">
        <f>+'הנחות עבודה'!$D$218</f>
        <v>300</v>
      </c>
      <c r="O13" s="1322">
        <f>+'הנחות עבודה'!$D$218</f>
        <v>300</v>
      </c>
      <c r="P13" s="1322">
        <f>+'הנחות עבודה'!$D$218</f>
        <v>300</v>
      </c>
      <c r="Q13" s="1322">
        <f>+'הנחות עבודה'!$D$218</f>
        <v>300</v>
      </c>
      <c r="R13" s="1322">
        <f>+'הנחות עבודה'!$D$218</f>
        <v>300</v>
      </c>
      <c r="S13" s="1322">
        <f>+'הנחות עבודה'!$D$218</f>
        <v>300</v>
      </c>
      <c r="T13" s="1322">
        <f>+'הנחות עבודה'!$D$218</f>
        <v>300</v>
      </c>
      <c r="U13" s="1322">
        <f>+'הנחות עבודה'!$D$218</f>
        <v>300</v>
      </c>
      <c r="V13" s="1322">
        <f>+'הנחות עבודה'!$D$218</f>
        <v>300</v>
      </c>
      <c r="W13" s="1322">
        <f>+'הנחות עבודה'!$D$218</f>
        <v>300</v>
      </c>
      <c r="X13" s="1322">
        <f>+'הנחות עבודה'!$D$218</f>
        <v>300</v>
      </c>
      <c r="Y13" s="1322">
        <f>+'הנחות עבודה'!$D$218</f>
        <v>300</v>
      </c>
      <c r="Z13" s="1322">
        <f>+'הנחות עבודה'!$D$218</f>
        <v>300</v>
      </c>
      <c r="AA13" s="1322">
        <f>+'הנחות עבודה'!$D$218</f>
        <v>300</v>
      </c>
      <c r="AB13" s="1322">
        <f>+'הנחות עבודה'!$D$218</f>
        <v>300</v>
      </c>
      <c r="AC13" s="1322">
        <f>+'הנחות עבודה'!$D$218</f>
        <v>300</v>
      </c>
      <c r="AD13" s="1322">
        <f>+'הנחות עבודה'!$D$218</f>
        <v>300</v>
      </c>
      <c r="AE13" s="1322">
        <f>+'הנחות עבודה'!$D$218</f>
        <v>300</v>
      </c>
      <c r="AF13" s="1322">
        <f>+'הנחות עבודה'!$D$218</f>
        <v>300</v>
      </c>
      <c r="AG13" s="1322">
        <f>+'הנחות עבודה'!$D$218</f>
        <v>300</v>
      </c>
      <c r="AH13" s="1322">
        <f>+'הנחות עבודה'!$D$218</f>
        <v>300</v>
      </c>
      <c r="AI13" s="1322">
        <f>+'הנחות עבודה'!$D$218</f>
        <v>300</v>
      </c>
      <c r="AJ13" s="1322">
        <f>+'הנחות עבודה'!$D$218</f>
        <v>300</v>
      </c>
      <c r="AK13" s="1322">
        <f>+'הנחות עבודה'!$D$218</f>
        <v>300</v>
      </c>
      <c r="AL13" s="1322">
        <f>+'הנחות עבודה'!$D$218</f>
        <v>300</v>
      </c>
      <c r="AM13" s="1322">
        <f>+'הנחות עבודה'!$D$218</f>
        <v>300</v>
      </c>
      <c r="AN13" s="1322">
        <f>+'הנחות עבודה'!$D$218</f>
        <v>300</v>
      </c>
      <c r="AO13" s="1322">
        <f>+'הנחות עבודה'!$D$218</f>
        <v>300</v>
      </c>
      <c r="AP13" s="1322">
        <f>+'הנחות עבודה'!$D$218</f>
        <v>300</v>
      </c>
      <c r="AQ13" s="1322">
        <f>+'הנחות עבודה'!$D$218</f>
        <v>300</v>
      </c>
      <c r="AR13" s="1322">
        <f>+'הנחות עבודה'!$D$218</f>
        <v>300</v>
      </c>
      <c r="AS13" s="1322">
        <f>+'הנחות עבודה'!$D$218</f>
        <v>300</v>
      </c>
      <c r="AT13" s="1322">
        <f>+'הנחות עבודה'!$D$218</f>
        <v>300</v>
      </c>
      <c r="AU13" s="1322">
        <f>+'הנחות עבודה'!$D$218</f>
        <v>300</v>
      </c>
      <c r="AV13" s="1322">
        <f>+'הנחות עבודה'!$D$218</f>
        <v>300</v>
      </c>
      <c r="AW13" s="1322">
        <f>+'הנחות עבודה'!$D$218</f>
        <v>300</v>
      </c>
      <c r="AX13" s="1322">
        <f>+'הנחות עבודה'!$D$218</f>
        <v>300</v>
      </c>
      <c r="AY13" s="1322">
        <f>+'הנחות עבודה'!$D$218</f>
        <v>300</v>
      </c>
      <c r="AZ13" s="1322">
        <f>+'הנחות עבודה'!$D$218</f>
        <v>300</v>
      </c>
      <c r="BA13" s="1322">
        <f>+'הנחות עבודה'!$D$218</f>
        <v>300</v>
      </c>
      <c r="BB13" s="1322">
        <f>+'הנחות עבודה'!$D$218</f>
        <v>300</v>
      </c>
      <c r="BC13" s="1322">
        <f>+'הנחות עבודה'!$D$218</f>
        <v>300</v>
      </c>
      <c r="BD13" s="1322">
        <f>+'הנחות עבודה'!$D$218</f>
        <v>300</v>
      </c>
      <c r="BE13" s="1322">
        <f>+'הנחות עבודה'!$D$218</f>
        <v>300</v>
      </c>
      <c r="BF13" s="1322">
        <f>+'הנחות עבודה'!$D$218</f>
        <v>300</v>
      </c>
    </row>
    <row r="14" spans="1:58" x14ac:dyDescent="0.2">
      <c r="A14" s="622"/>
      <c r="B14" s="622"/>
      <c r="C14" s="654" t="s">
        <v>1741</v>
      </c>
      <c r="D14" s="376">
        <f>+'הנחות עבודה'!$D$219</f>
        <v>400</v>
      </c>
      <c r="E14" s="376">
        <f>+'הנחות עבודה'!$D$219</f>
        <v>400</v>
      </c>
      <c r="F14" s="376">
        <f>+'הנחות עבודה'!$D$219</f>
        <v>400</v>
      </c>
      <c r="G14" s="376">
        <f>+'הנחות עבודה'!$D$219</f>
        <v>400</v>
      </c>
      <c r="H14" s="376">
        <f>+'הנחות עבודה'!$D$219</f>
        <v>400</v>
      </c>
      <c r="I14" s="376">
        <f>+'הנחות עבודה'!$D$219</f>
        <v>400</v>
      </c>
      <c r="J14" s="376">
        <f>+'הנחות עבודה'!$D$219</f>
        <v>400</v>
      </c>
      <c r="K14" s="376">
        <f>+'הנחות עבודה'!$D$219</f>
        <v>400</v>
      </c>
      <c r="L14" s="376">
        <f>+'הנחות עבודה'!$D$219</f>
        <v>400</v>
      </c>
      <c r="M14" s="376">
        <f>+'הנחות עבודה'!$D$219</f>
        <v>400</v>
      </c>
      <c r="N14" s="376">
        <f>+'הנחות עבודה'!$D$219</f>
        <v>400</v>
      </c>
      <c r="O14" s="376">
        <f>+'הנחות עבודה'!$D$219</f>
        <v>400</v>
      </c>
      <c r="P14" s="376">
        <f>+'הנחות עבודה'!$D$219</f>
        <v>400</v>
      </c>
      <c r="Q14" s="376">
        <f>+'הנחות עבודה'!$D$219</f>
        <v>400</v>
      </c>
      <c r="R14" s="376">
        <f>+'הנחות עבודה'!$D$219</f>
        <v>400</v>
      </c>
      <c r="S14" s="376">
        <f>+'הנחות עבודה'!$D$219</f>
        <v>400</v>
      </c>
      <c r="T14" s="376">
        <f>+'הנחות עבודה'!$D$219</f>
        <v>400</v>
      </c>
      <c r="U14" s="376">
        <f>+'הנחות עבודה'!$D$219</f>
        <v>400</v>
      </c>
      <c r="V14" s="376">
        <f>+'הנחות עבודה'!$D$219</f>
        <v>400</v>
      </c>
      <c r="W14" s="376">
        <f>+'הנחות עבודה'!$D$219</f>
        <v>400</v>
      </c>
      <c r="X14" s="376">
        <f>+'הנחות עבודה'!$D$219</f>
        <v>400</v>
      </c>
      <c r="Y14" s="376">
        <f>+'הנחות עבודה'!$D$219</f>
        <v>400</v>
      </c>
      <c r="Z14" s="376">
        <f>+'הנחות עבודה'!$D$219</f>
        <v>400</v>
      </c>
      <c r="AA14" s="376">
        <f>+'הנחות עבודה'!$D$219</f>
        <v>400</v>
      </c>
      <c r="AB14" s="376">
        <f>+'הנחות עבודה'!$D$219</f>
        <v>400</v>
      </c>
      <c r="AC14" s="376">
        <f>+'הנחות עבודה'!$D$219</f>
        <v>400</v>
      </c>
      <c r="AD14" s="376">
        <f>+'הנחות עבודה'!$D$219</f>
        <v>400</v>
      </c>
      <c r="AE14" s="376">
        <f>+'הנחות עבודה'!$D$219</f>
        <v>400</v>
      </c>
      <c r="AF14" s="376">
        <f>+'הנחות עבודה'!$D$219</f>
        <v>400</v>
      </c>
      <c r="AG14" s="376">
        <f>+'הנחות עבודה'!$D$219</f>
        <v>400</v>
      </c>
      <c r="AH14" s="376">
        <f>+'הנחות עבודה'!$D$219</f>
        <v>400</v>
      </c>
      <c r="AI14" s="376">
        <f>+'הנחות עבודה'!$D$219</f>
        <v>400</v>
      </c>
      <c r="AJ14" s="376">
        <f>+'הנחות עבודה'!$D$219</f>
        <v>400</v>
      </c>
      <c r="AK14" s="376">
        <f>+'הנחות עבודה'!$D$219</f>
        <v>400</v>
      </c>
      <c r="AL14" s="376">
        <f>+'הנחות עבודה'!$D$219</f>
        <v>400</v>
      </c>
      <c r="AM14" s="376">
        <f>+'הנחות עבודה'!$D$219</f>
        <v>400</v>
      </c>
      <c r="AN14" s="376">
        <f>+'הנחות עבודה'!$D$219</f>
        <v>400</v>
      </c>
      <c r="AO14" s="376">
        <f>+'הנחות עבודה'!$D$219</f>
        <v>400</v>
      </c>
      <c r="AP14" s="376">
        <f>+'הנחות עבודה'!$D$219</f>
        <v>400</v>
      </c>
      <c r="AQ14" s="376">
        <f>+'הנחות עבודה'!$D$219</f>
        <v>400</v>
      </c>
      <c r="AR14" s="376">
        <f>+'הנחות עבודה'!$D$219</f>
        <v>400</v>
      </c>
      <c r="AS14" s="376">
        <f>+'הנחות עבודה'!$D$219</f>
        <v>400</v>
      </c>
      <c r="AT14" s="376">
        <f>+'הנחות עבודה'!$D$219</f>
        <v>400</v>
      </c>
      <c r="AU14" s="376">
        <f>+'הנחות עבודה'!$D$219</f>
        <v>400</v>
      </c>
      <c r="AV14" s="376">
        <f>+'הנחות עבודה'!$D$219</f>
        <v>400</v>
      </c>
      <c r="AW14" s="376">
        <f>+'הנחות עבודה'!$D$219</f>
        <v>400</v>
      </c>
      <c r="AX14" s="376">
        <f>+'הנחות עבודה'!$D$219</f>
        <v>400</v>
      </c>
      <c r="AY14" s="376">
        <f>+'הנחות עבודה'!$D$219</f>
        <v>400</v>
      </c>
      <c r="AZ14" s="376">
        <f>+'הנחות עבודה'!$D$219</f>
        <v>400</v>
      </c>
      <c r="BA14" s="376">
        <f>+'הנחות עבודה'!$D$219</f>
        <v>400</v>
      </c>
      <c r="BB14" s="376">
        <f>+'הנחות עבודה'!$D$219</f>
        <v>400</v>
      </c>
      <c r="BC14" s="376">
        <f>+'הנחות עבודה'!$D$219</f>
        <v>400</v>
      </c>
      <c r="BD14" s="376">
        <f>+'הנחות עבודה'!$D$219</f>
        <v>400</v>
      </c>
      <c r="BE14" s="376">
        <f>+'הנחות עבודה'!$D$219</f>
        <v>400</v>
      </c>
      <c r="BF14" s="376">
        <f>+'הנחות עבודה'!$D$219</f>
        <v>400</v>
      </c>
    </row>
    <row r="15" spans="1:58" x14ac:dyDescent="0.2">
      <c r="A15" s="622"/>
      <c r="B15" s="622"/>
      <c r="C15" s="654" t="s">
        <v>1413</v>
      </c>
      <c r="D15" s="1325">
        <f>+'הנחות עבודה'!$D$216</f>
        <v>250</v>
      </c>
      <c r="E15" s="1325">
        <f>+'הנחות עבודה'!$D$216</f>
        <v>250</v>
      </c>
      <c r="F15" s="1325">
        <f>+'הנחות עבודה'!$D$216</f>
        <v>250</v>
      </c>
      <c r="G15" s="1325">
        <f>+'הנחות עבודה'!$D$216</f>
        <v>250</v>
      </c>
      <c r="H15" s="1325">
        <f>+'הנחות עבודה'!$D$216</f>
        <v>250</v>
      </c>
      <c r="I15" s="1325">
        <f>+'הנחות עבודה'!$D$216</f>
        <v>250</v>
      </c>
      <c r="J15" s="1325">
        <f>+'הנחות עבודה'!$D$216</f>
        <v>250</v>
      </c>
      <c r="K15" s="1325">
        <f>+'הנחות עבודה'!$D$216</f>
        <v>250</v>
      </c>
      <c r="L15" s="1325">
        <f>+'הנחות עבודה'!$D$216</f>
        <v>250</v>
      </c>
      <c r="M15" s="1325">
        <f>+'הנחות עבודה'!$D$216</f>
        <v>250</v>
      </c>
      <c r="N15" s="1325">
        <f>+'הנחות עבודה'!$D$216</f>
        <v>250</v>
      </c>
      <c r="O15" s="1325">
        <f>+'הנחות עבודה'!$D$216</f>
        <v>250</v>
      </c>
      <c r="P15" s="1325">
        <f>+'הנחות עבודה'!$D$216</f>
        <v>250</v>
      </c>
      <c r="Q15" s="1325">
        <f>+'הנחות עבודה'!$D$216</f>
        <v>250</v>
      </c>
      <c r="R15" s="1325">
        <f>+'הנחות עבודה'!$D$216</f>
        <v>250</v>
      </c>
      <c r="S15" s="1325">
        <f>+'הנחות עבודה'!$D$216</f>
        <v>250</v>
      </c>
      <c r="T15" s="1325">
        <f>+'הנחות עבודה'!$D$216</f>
        <v>250</v>
      </c>
      <c r="U15" s="1325">
        <f>+'הנחות עבודה'!$D$216</f>
        <v>250</v>
      </c>
      <c r="V15" s="1325">
        <f>+'הנחות עבודה'!$D$216</f>
        <v>250</v>
      </c>
      <c r="W15" s="1325">
        <f>+'הנחות עבודה'!$D$216</f>
        <v>250</v>
      </c>
      <c r="X15" s="1325">
        <f>+'הנחות עבודה'!$D$216</f>
        <v>250</v>
      </c>
      <c r="Y15" s="1325">
        <f>+'הנחות עבודה'!$D$216</f>
        <v>250</v>
      </c>
      <c r="Z15" s="1325">
        <f>+'הנחות עבודה'!$D$216</f>
        <v>250</v>
      </c>
      <c r="AA15" s="1325">
        <f>+'הנחות עבודה'!$D$216</f>
        <v>250</v>
      </c>
      <c r="AB15" s="1325">
        <f>+'הנחות עבודה'!$D$216</f>
        <v>250</v>
      </c>
      <c r="AC15" s="1325">
        <f>+'הנחות עבודה'!$D$216</f>
        <v>250</v>
      </c>
      <c r="AD15" s="1325">
        <f>+'הנחות עבודה'!$D$216</f>
        <v>250</v>
      </c>
      <c r="AE15" s="1325">
        <f>+'הנחות עבודה'!$D$216</f>
        <v>250</v>
      </c>
      <c r="AF15" s="1325">
        <f>+'הנחות עבודה'!$D$216</f>
        <v>250</v>
      </c>
      <c r="AG15" s="1325">
        <f>+'הנחות עבודה'!$D$216</f>
        <v>250</v>
      </c>
      <c r="AH15" s="1325">
        <f>+'הנחות עבודה'!$D$216</f>
        <v>250</v>
      </c>
      <c r="AI15" s="1325">
        <f>+'הנחות עבודה'!$D$216</f>
        <v>250</v>
      </c>
      <c r="AJ15" s="1325">
        <f>+'הנחות עבודה'!$D$216</f>
        <v>250</v>
      </c>
      <c r="AK15" s="1325">
        <f>+'הנחות עבודה'!$D$216</f>
        <v>250</v>
      </c>
      <c r="AL15" s="1325">
        <f>+'הנחות עבודה'!$D$216</f>
        <v>250</v>
      </c>
      <c r="AM15" s="1325">
        <f>+'הנחות עבודה'!$D$216</f>
        <v>250</v>
      </c>
      <c r="AN15" s="1325">
        <f>+'הנחות עבודה'!$D$216</f>
        <v>250</v>
      </c>
      <c r="AO15" s="1325">
        <f>+'הנחות עבודה'!$D$216</f>
        <v>250</v>
      </c>
      <c r="AP15" s="1325">
        <f>+'הנחות עבודה'!$D$216</f>
        <v>250</v>
      </c>
      <c r="AQ15" s="1325">
        <f>+'הנחות עבודה'!$D$216</f>
        <v>250</v>
      </c>
      <c r="AR15" s="1325">
        <f>+'הנחות עבודה'!$D$216</f>
        <v>250</v>
      </c>
      <c r="AS15" s="1325">
        <f>+'הנחות עבודה'!$D$216</f>
        <v>250</v>
      </c>
      <c r="AT15" s="1325">
        <f>+'הנחות עבודה'!$D$216</f>
        <v>250</v>
      </c>
      <c r="AU15" s="1325">
        <f>+'הנחות עבודה'!$D$216</f>
        <v>250</v>
      </c>
      <c r="AV15" s="1325">
        <f>+'הנחות עבודה'!$D$216</f>
        <v>250</v>
      </c>
      <c r="AW15" s="1325">
        <f>+'הנחות עבודה'!$D$216</f>
        <v>250</v>
      </c>
      <c r="AX15" s="1325">
        <f>+'הנחות עבודה'!$D$216</f>
        <v>250</v>
      </c>
      <c r="AY15" s="1325">
        <f>+'הנחות עבודה'!$D$216</f>
        <v>250</v>
      </c>
      <c r="AZ15" s="1325">
        <f>+'הנחות עבודה'!$D$216</f>
        <v>250</v>
      </c>
      <c r="BA15" s="1325">
        <f>+'הנחות עבודה'!$D$216</f>
        <v>250</v>
      </c>
      <c r="BB15" s="1325">
        <f>+'הנחות עבודה'!$D$216</f>
        <v>250</v>
      </c>
      <c r="BC15" s="1325">
        <f>+'הנחות עבודה'!$D$216</f>
        <v>250</v>
      </c>
      <c r="BD15" s="1325">
        <f>+'הנחות עבודה'!$D$216</f>
        <v>250</v>
      </c>
      <c r="BE15" s="1325">
        <f>+'הנחות עבודה'!$D$216</f>
        <v>250</v>
      </c>
      <c r="BF15" s="1325">
        <f>+'הנחות עבודה'!$D$216</f>
        <v>250</v>
      </c>
    </row>
    <row r="16" spans="1:58" x14ac:dyDescent="0.2">
      <c r="A16" s="622"/>
      <c r="B16" s="622"/>
      <c r="C16" s="654" t="s">
        <v>1742</v>
      </c>
      <c r="D16" s="1325">
        <f>+'[13]הנחות עבודה'!$D$211</f>
        <v>250</v>
      </c>
      <c r="E16" s="1325">
        <f>+'[13]הנחות עבודה'!$D$211</f>
        <v>250</v>
      </c>
      <c r="F16" s="1325">
        <f>+'[13]הנחות עבודה'!$D$211</f>
        <v>250</v>
      </c>
      <c r="G16" s="1325">
        <f>+'[13]הנחות עבודה'!$D$211</f>
        <v>250</v>
      </c>
      <c r="H16" s="1325">
        <f>+'[13]הנחות עבודה'!$D$211</f>
        <v>250</v>
      </c>
      <c r="I16" s="1325">
        <f>+'[13]הנחות עבודה'!$D$211</f>
        <v>250</v>
      </c>
      <c r="J16" s="1325">
        <f>+'[13]הנחות עבודה'!$D$211</f>
        <v>250</v>
      </c>
      <c r="K16" s="1325">
        <f>+'[13]הנחות עבודה'!$D$211</f>
        <v>250</v>
      </c>
      <c r="L16" s="1325">
        <f>+'[13]הנחות עבודה'!$D$211</f>
        <v>250</v>
      </c>
      <c r="M16" s="1325">
        <f>+'[13]הנחות עבודה'!$D$211</f>
        <v>250</v>
      </c>
      <c r="N16" s="1325">
        <f>+'[13]הנחות עבודה'!$D$211</f>
        <v>250</v>
      </c>
      <c r="O16" s="1325">
        <f>+'[13]הנחות עבודה'!$D$211</f>
        <v>250</v>
      </c>
      <c r="P16" s="1325">
        <f>+'[13]הנחות עבודה'!$D$211</f>
        <v>250</v>
      </c>
      <c r="Q16" s="1325">
        <f>+'[13]הנחות עבודה'!$D$211</f>
        <v>250</v>
      </c>
      <c r="R16" s="1325">
        <f>+'[13]הנחות עבודה'!$D$211</f>
        <v>250</v>
      </c>
      <c r="S16" s="1325">
        <f>+'[13]הנחות עבודה'!$D$211</f>
        <v>250</v>
      </c>
      <c r="T16" s="1325">
        <f>+'[13]הנחות עבודה'!$D$211</f>
        <v>250</v>
      </c>
      <c r="U16" s="1325">
        <f>+'[13]הנחות עבודה'!$D$211</f>
        <v>250</v>
      </c>
      <c r="V16" s="1325">
        <f>+'[13]הנחות עבודה'!$D$211</f>
        <v>250</v>
      </c>
      <c r="W16" s="1325">
        <f>+'[13]הנחות עבודה'!$D$211</f>
        <v>250</v>
      </c>
      <c r="X16" s="1325">
        <f>+'[13]הנחות עבודה'!$D$211</f>
        <v>250</v>
      </c>
      <c r="Y16" s="1325">
        <f>+'[13]הנחות עבודה'!$D$211</f>
        <v>250</v>
      </c>
      <c r="Z16" s="1325">
        <f>+'[13]הנחות עבודה'!$D$211</f>
        <v>250</v>
      </c>
      <c r="AA16" s="1325">
        <f>+'[13]הנחות עבודה'!$D$211</f>
        <v>250</v>
      </c>
      <c r="AB16" s="1325">
        <f>+'[13]הנחות עבודה'!$D$211</f>
        <v>250</v>
      </c>
      <c r="AC16" s="1325">
        <f>+'[13]הנחות עבודה'!$D$211</f>
        <v>250</v>
      </c>
      <c r="AD16" s="1325">
        <f>+'[13]הנחות עבודה'!$D$211</f>
        <v>250</v>
      </c>
      <c r="AE16" s="1325">
        <f>+'[13]הנחות עבודה'!$D$211</f>
        <v>250</v>
      </c>
      <c r="AF16" s="1325">
        <f>+'[13]הנחות עבודה'!$D$211</f>
        <v>250</v>
      </c>
      <c r="AG16" s="1325">
        <f>+'[13]הנחות עבודה'!$D$211</f>
        <v>250</v>
      </c>
      <c r="AH16" s="1325">
        <f>+'[13]הנחות עבודה'!$D$211</f>
        <v>250</v>
      </c>
      <c r="AI16" s="1325">
        <f>+'[13]הנחות עבודה'!$D$211</f>
        <v>250</v>
      </c>
      <c r="AJ16" s="1325">
        <f>+'[13]הנחות עבודה'!$D$211</f>
        <v>250</v>
      </c>
      <c r="AK16" s="1325">
        <f>+'[13]הנחות עבודה'!$D$211</f>
        <v>250</v>
      </c>
      <c r="AL16" s="1325">
        <f>+'[13]הנחות עבודה'!$D$211</f>
        <v>250</v>
      </c>
      <c r="AM16" s="1325">
        <f>+'[13]הנחות עבודה'!$D$211</f>
        <v>250</v>
      </c>
      <c r="AN16" s="1325">
        <f>+'[13]הנחות עבודה'!$D$211</f>
        <v>250</v>
      </c>
      <c r="AO16" s="1325">
        <f>+'[13]הנחות עבודה'!$D$211</f>
        <v>250</v>
      </c>
      <c r="AP16" s="1325">
        <f>+'[13]הנחות עבודה'!$D$211</f>
        <v>250</v>
      </c>
      <c r="AQ16" s="1325">
        <f>+'[13]הנחות עבודה'!$D$211</f>
        <v>250</v>
      </c>
      <c r="AR16" s="1325">
        <f>+'[13]הנחות עבודה'!$D$211</f>
        <v>250</v>
      </c>
      <c r="AS16" s="1325">
        <f>+'[13]הנחות עבודה'!$D$211</f>
        <v>250</v>
      </c>
      <c r="AT16" s="1325">
        <f>+'[13]הנחות עבודה'!$D$211</f>
        <v>250</v>
      </c>
      <c r="AU16" s="1325">
        <f>+'[13]הנחות עבודה'!$D$211</f>
        <v>250</v>
      </c>
      <c r="AV16" s="1325">
        <f>+'[13]הנחות עבודה'!$D$211</f>
        <v>250</v>
      </c>
      <c r="AW16" s="1325">
        <f>+'[13]הנחות עבודה'!$D$211</f>
        <v>250</v>
      </c>
      <c r="AX16" s="1325">
        <f>+'[13]הנחות עבודה'!$D$211</f>
        <v>250</v>
      </c>
      <c r="AY16" s="1325">
        <f>+'[13]הנחות עבודה'!$D$211</f>
        <v>250</v>
      </c>
      <c r="AZ16" s="1325">
        <f>+'[13]הנחות עבודה'!$D$211</f>
        <v>250</v>
      </c>
      <c r="BA16" s="1325">
        <f>+'[13]הנחות עבודה'!$D$211</f>
        <v>250</v>
      </c>
      <c r="BB16" s="1325">
        <f>+'[13]הנחות עבודה'!$D$211</f>
        <v>250</v>
      </c>
      <c r="BC16" s="1325">
        <f>+'[13]הנחות עבודה'!$D$211</f>
        <v>250</v>
      </c>
      <c r="BD16" s="1325">
        <f>+'[13]הנחות עבודה'!$D$211</f>
        <v>250</v>
      </c>
      <c r="BE16" s="1325">
        <f>+'[13]הנחות עבודה'!$D$211</f>
        <v>250</v>
      </c>
      <c r="BF16" s="1325">
        <f>+'[13]הנחות עבודה'!$D$211</f>
        <v>250</v>
      </c>
    </row>
    <row r="17" spans="1:58" x14ac:dyDescent="0.2">
      <c r="A17" s="622"/>
      <c r="B17" s="622"/>
      <c r="C17" s="654" t="s">
        <v>1743</v>
      </c>
      <c r="D17" s="1325">
        <f>+'הנחות עבודה'!$D$213</f>
        <v>100</v>
      </c>
      <c r="E17" s="1325">
        <f>+'הנחות עבודה'!$D$213</f>
        <v>100</v>
      </c>
      <c r="F17" s="1325">
        <f>+'הנחות עבודה'!$D$213</f>
        <v>100</v>
      </c>
      <c r="G17" s="1325">
        <f>+'הנחות עבודה'!$D$213</f>
        <v>100</v>
      </c>
      <c r="H17" s="1325">
        <f>+'הנחות עבודה'!$D$213</f>
        <v>100</v>
      </c>
      <c r="I17" s="1325">
        <f>+'הנחות עבודה'!$D$213</f>
        <v>100</v>
      </c>
      <c r="J17" s="1325">
        <f>+'הנחות עבודה'!$D$213</f>
        <v>100</v>
      </c>
      <c r="K17" s="1325">
        <f>+'הנחות עבודה'!$D$213</f>
        <v>100</v>
      </c>
      <c r="L17" s="1325">
        <f>+'הנחות עבודה'!$D$213</f>
        <v>100</v>
      </c>
      <c r="M17" s="1325">
        <f>+'הנחות עבודה'!$D$213</f>
        <v>100</v>
      </c>
      <c r="N17" s="1325">
        <f>+'הנחות עבודה'!$D$213</f>
        <v>100</v>
      </c>
      <c r="O17" s="1325">
        <f>+'הנחות עבודה'!$D$213</f>
        <v>100</v>
      </c>
      <c r="P17" s="1325">
        <f>+'הנחות עבודה'!$D$213</f>
        <v>100</v>
      </c>
      <c r="Q17" s="1325">
        <f>+'הנחות עבודה'!$D$213</f>
        <v>100</v>
      </c>
      <c r="R17" s="1325">
        <f>+'הנחות עבודה'!$D$213</f>
        <v>100</v>
      </c>
      <c r="S17" s="1325">
        <f>+'הנחות עבודה'!$D$213</f>
        <v>100</v>
      </c>
      <c r="T17" s="1325">
        <f>+'הנחות עבודה'!$D$213</f>
        <v>100</v>
      </c>
      <c r="U17" s="1325">
        <f>+'הנחות עבודה'!$D$213</f>
        <v>100</v>
      </c>
      <c r="V17" s="1325">
        <f>+'הנחות עבודה'!$D$213</f>
        <v>100</v>
      </c>
      <c r="W17" s="1325">
        <f>+'הנחות עבודה'!$D$213</f>
        <v>100</v>
      </c>
      <c r="X17" s="1325">
        <f>+'הנחות עבודה'!$D$213</f>
        <v>100</v>
      </c>
      <c r="Y17" s="1325">
        <f>+'הנחות עבודה'!$D$213</f>
        <v>100</v>
      </c>
      <c r="Z17" s="1325">
        <f>+'הנחות עבודה'!$D$213</f>
        <v>100</v>
      </c>
      <c r="AA17" s="1325">
        <f>+'הנחות עבודה'!$D$213</f>
        <v>100</v>
      </c>
      <c r="AB17" s="1325">
        <f>+'הנחות עבודה'!$D$213</f>
        <v>100</v>
      </c>
      <c r="AC17" s="1325">
        <f>+'הנחות עבודה'!$D$213</f>
        <v>100</v>
      </c>
      <c r="AD17" s="1325">
        <f>+'הנחות עבודה'!$D$213</f>
        <v>100</v>
      </c>
      <c r="AE17" s="1325">
        <f>+'הנחות עבודה'!$D$213</f>
        <v>100</v>
      </c>
      <c r="AF17" s="1325">
        <f>+'הנחות עבודה'!$D$213</f>
        <v>100</v>
      </c>
      <c r="AG17" s="1325">
        <f>+'הנחות עבודה'!$D$213</f>
        <v>100</v>
      </c>
      <c r="AH17" s="1325">
        <f>+'הנחות עבודה'!$D$213</f>
        <v>100</v>
      </c>
      <c r="AI17" s="1325">
        <f>+'הנחות עבודה'!$D$213</f>
        <v>100</v>
      </c>
      <c r="AJ17" s="1325">
        <f>+'הנחות עבודה'!$D$213</f>
        <v>100</v>
      </c>
      <c r="AK17" s="1325">
        <f>+'הנחות עבודה'!$D$213</f>
        <v>100</v>
      </c>
      <c r="AL17" s="1325">
        <f>+'הנחות עבודה'!$D$213</f>
        <v>100</v>
      </c>
      <c r="AM17" s="1325">
        <f>+'הנחות עבודה'!$D$213</f>
        <v>100</v>
      </c>
      <c r="AN17" s="1325">
        <f>+'הנחות עבודה'!$D$213</f>
        <v>100</v>
      </c>
      <c r="AO17" s="1325">
        <f>+'הנחות עבודה'!$D$213</f>
        <v>100</v>
      </c>
      <c r="AP17" s="1325">
        <f>+'הנחות עבודה'!$D$213</f>
        <v>100</v>
      </c>
      <c r="AQ17" s="1325">
        <f>+'הנחות עבודה'!$D$213</f>
        <v>100</v>
      </c>
      <c r="AR17" s="1325">
        <f>+'הנחות עבודה'!$D$213</f>
        <v>100</v>
      </c>
      <c r="AS17" s="1325">
        <f>+'הנחות עבודה'!$D$213</f>
        <v>100</v>
      </c>
      <c r="AT17" s="1325">
        <f>+'הנחות עבודה'!$D$213</f>
        <v>100</v>
      </c>
      <c r="AU17" s="1325">
        <f>+'הנחות עבודה'!$D$213</f>
        <v>100</v>
      </c>
      <c r="AV17" s="1325">
        <f>+'הנחות עבודה'!$D$213</f>
        <v>100</v>
      </c>
      <c r="AW17" s="1325">
        <f>+'הנחות עבודה'!$D$213</f>
        <v>100</v>
      </c>
      <c r="AX17" s="1325">
        <f>+'הנחות עבודה'!$D$213</f>
        <v>100</v>
      </c>
      <c r="AY17" s="1325">
        <f>+'הנחות עבודה'!$D$213</f>
        <v>100</v>
      </c>
      <c r="AZ17" s="1325">
        <f>+'הנחות עבודה'!$D$213</f>
        <v>100</v>
      </c>
      <c r="BA17" s="1325">
        <f>+'הנחות עבודה'!$D$213</f>
        <v>100</v>
      </c>
      <c r="BB17" s="1325">
        <f>+'הנחות עבודה'!$D$213</f>
        <v>100</v>
      </c>
      <c r="BC17" s="1325">
        <f>+'הנחות עבודה'!$D$213</f>
        <v>100</v>
      </c>
      <c r="BD17" s="1325">
        <f>+'הנחות עבודה'!$D$213</f>
        <v>100</v>
      </c>
      <c r="BE17" s="1325">
        <f>+'הנחות עבודה'!$D$213</f>
        <v>100</v>
      </c>
      <c r="BF17" s="1325">
        <f>+'הנחות עבודה'!$D$213</f>
        <v>100</v>
      </c>
    </row>
    <row r="18" spans="1:58" x14ac:dyDescent="0.2">
      <c r="A18" s="622"/>
      <c r="B18" s="622"/>
      <c r="C18" s="654" t="s">
        <v>1744</v>
      </c>
      <c r="D18" s="1325">
        <f>+'הנחות עבודה'!$D$214</f>
        <v>100</v>
      </c>
      <c r="E18" s="1325">
        <f>+'הנחות עבודה'!$D$214</f>
        <v>100</v>
      </c>
      <c r="F18" s="1325">
        <f>+'הנחות עבודה'!$D$214</f>
        <v>100</v>
      </c>
      <c r="G18" s="1325">
        <f>+'הנחות עבודה'!$D$214</f>
        <v>100</v>
      </c>
      <c r="H18" s="1325">
        <f>+'הנחות עבודה'!$D$214</f>
        <v>100</v>
      </c>
      <c r="I18" s="1325">
        <f>+'הנחות עבודה'!$D$214</f>
        <v>100</v>
      </c>
      <c r="J18" s="1325">
        <f>+'הנחות עבודה'!$D$214</f>
        <v>100</v>
      </c>
      <c r="K18" s="1325">
        <f>+'הנחות עבודה'!$D$214</f>
        <v>100</v>
      </c>
      <c r="L18" s="1325">
        <f>+'הנחות עבודה'!$D$214</f>
        <v>100</v>
      </c>
      <c r="M18" s="1325">
        <f>+'הנחות עבודה'!$D$214</f>
        <v>100</v>
      </c>
      <c r="N18" s="1325">
        <f>+'הנחות עבודה'!$D$214</f>
        <v>100</v>
      </c>
      <c r="O18" s="1325">
        <f>+'הנחות עבודה'!$D$214</f>
        <v>100</v>
      </c>
      <c r="P18" s="1325">
        <f>+'הנחות עבודה'!$D$214</f>
        <v>100</v>
      </c>
      <c r="Q18" s="1325">
        <f>+'הנחות עבודה'!$D$214</f>
        <v>100</v>
      </c>
      <c r="R18" s="1325">
        <f>+'הנחות עבודה'!$D$214</f>
        <v>100</v>
      </c>
      <c r="S18" s="1325">
        <f>+'הנחות עבודה'!$D$214</f>
        <v>100</v>
      </c>
      <c r="T18" s="1325">
        <f>+'הנחות עבודה'!$D$214</f>
        <v>100</v>
      </c>
      <c r="U18" s="1325">
        <f>+'הנחות עבודה'!$D$214</f>
        <v>100</v>
      </c>
      <c r="V18" s="1325">
        <f>+'הנחות עבודה'!$D$214</f>
        <v>100</v>
      </c>
      <c r="W18" s="1325">
        <f>+'הנחות עבודה'!$D$214</f>
        <v>100</v>
      </c>
      <c r="X18" s="1325">
        <f>+'הנחות עבודה'!$D$214</f>
        <v>100</v>
      </c>
      <c r="Y18" s="1325">
        <f>+'הנחות עבודה'!$D$214</f>
        <v>100</v>
      </c>
      <c r="Z18" s="1325">
        <f>+'הנחות עבודה'!$D$214</f>
        <v>100</v>
      </c>
      <c r="AA18" s="1325">
        <f>+'הנחות עבודה'!$D$214</f>
        <v>100</v>
      </c>
      <c r="AB18" s="1325">
        <f>+'הנחות עבודה'!$D$214</f>
        <v>100</v>
      </c>
      <c r="AC18" s="1325">
        <f>+'הנחות עבודה'!$D$214</f>
        <v>100</v>
      </c>
      <c r="AD18" s="1325">
        <f>+'הנחות עבודה'!$D$214</f>
        <v>100</v>
      </c>
      <c r="AE18" s="1325">
        <f>+'הנחות עבודה'!$D$214</f>
        <v>100</v>
      </c>
      <c r="AF18" s="1325">
        <f>+'הנחות עבודה'!$D$214</f>
        <v>100</v>
      </c>
      <c r="AG18" s="1325">
        <f>+'הנחות עבודה'!$D$214</f>
        <v>100</v>
      </c>
      <c r="AH18" s="1325">
        <f>+'הנחות עבודה'!$D$214</f>
        <v>100</v>
      </c>
      <c r="AI18" s="1325">
        <f>+'הנחות עבודה'!$D$214</f>
        <v>100</v>
      </c>
      <c r="AJ18" s="1325">
        <f>+'הנחות עבודה'!$D$214</f>
        <v>100</v>
      </c>
      <c r="AK18" s="1325">
        <f>+'הנחות עבודה'!$D$214</f>
        <v>100</v>
      </c>
      <c r="AL18" s="1325">
        <f>+'הנחות עבודה'!$D$214</f>
        <v>100</v>
      </c>
      <c r="AM18" s="1325">
        <f>+'הנחות עבודה'!$D$214</f>
        <v>100</v>
      </c>
      <c r="AN18" s="1325">
        <f>+'הנחות עבודה'!$D$214</f>
        <v>100</v>
      </c>
      <c r="AO18" s="1325">
        <f>+'הנחות עבודה'!$D$214</f>
        <v>100</v>
      </c>
      <c r="AP18" s="1325">
        <f>+'הנחות עבודה'!$D$214</f>
        <v>100</v>
      </c>
      <c r="AQ18" s="1325">
        <f>+'הנחות עבודה'!$D$214</f>
        <v>100</v>
      </c>
      <c r="AR18" s="1325">
        <f>+'הנחות עבודה'!$D$214</f>
        <v>100</v>
      </c>
      <c r="AS18" s="1325">
        <f>+'הנחות עבודה'!$D$214</f>
        <v>100</v>
      </c>
      <c r="AT18" s="1325">
        <f>+'הנחות עבודה'!$D$214</f>
        <v>100</v>
      </c>
      <c r="AU18" s="1325">
        <f>+'הנחות עבודה'!$D$214</f>
        <v>100</v>
      </c>
      <c r="AV18" s="1325">
        <f>+'הנחות עבודה'!$D$214</f>
        <v>100</v>
      </c>
      <c r="AW18" s="1325">
        <f>+'הנחות עבודה'!$D$214</f>
        <v>100</v>
      </c>
      <c r="AX18" s="1325">
        <f>+'הנחות עבודה'!$D$214</f>
        <v>100</v>
      </c>
      <c r="AY18" s="1325">
        <f>+'הנחות עבודה'!$D$214</f>
        <v>100</v>
      </c>
      <c r="AZ18" s="1325">
        <f>+'הנחות עבודה'!$D$214</f>
        <v>100</v>
      </c>
      <c r="BA18" s="1325">
        <f>+'הנחות עבודה'!$D$214</f>
        <v>100</v>
      </c>
      <c r="BB18" s="1325">
        <f>+'הנחות עבודה'!$D$214</f>
        <v>100</v>
      </c>
      <c r="BC18" s="1325">
        <f>+'הנחות עבודה'!$D$214</f>
        <v>100</v>
      </c>
      <c r="BD18" s="1325">
        <f>+'הנחות עבודה'!$D$214</f>
        <v>100</v>
      </c>
      <c r="BE18" s="1325">
        <f>+'הנחות עבודה'!$D$214</f>
        <v>100</v>
      </c>
      <c r="BF18" s="1325">
        <f>+'הנחות עבודה'!$D$214</f>
        <v>100</v>
      </c>
    </row>
    <row r="19" spans="1:58" x14ac:dyDescent="0.2">
      <c r="A19" s="622"/>
      <c r="B19" s="622"/>
      <c r="C19" s="654" t="s">
        <v>1745</v>
      </c>
      <c r="D19" s="1325">
        <f>+'הנחות עבודה'!$D$217</f>
        <v>200</v>
      </c>
      <c r="E19" s="1325">
        <f>+'הנחות עבודה'!$D$217</f>
        <v>200</v>
      </c>
      <c r="F19" s="1325">
        <f>+'הנחות עבודה'!$D$217</f>
        <v>200</v>
      </c>
      <c r="G19" s="1325">
        <f>+'הנחות עבודה'!$D$217</f>
        <v>200</v>
      </c>
      <c r="H19" s="1325">
        <f>+'הנחות עבודה'!$D$217</f>
        <v>200</v>
      </c>
      <c r="I19" s="1325">
        <f>+'הנחות עבודה'!$D$217</f>
        <v>200</v>
      </c>
      <c r="J19" s="1325">
        <f>+'הנחות עבודה'!$D$217</f>
        <v>200</v>
      </c>
      <c r="K19" s="1325">
        <f>+'הנחות עבודה'!$D$217</f>
        <v>200</v>
      </c>
      <c r="L19" s="1325">
        <f>+'הנחות עבודה'!$D$217</f>
        <v>200</v>
      </c>
      <c r="M19" s="1325">
        <f>+'הנחות עבודה'!$D$217</f>
        <v>200</v>
      </c>
      <c r="N19" s="1325">
        <f>+'הנחות עבודה'!$D$217</f>
        <v>200</v>
      </c>
      <c r="O19" s="1325">
        <f>+'הנחות עבודה'!$D$217</f>
        <v>200</v>
      </c>
      <c r="P19" s="1325">
        <f>+'הנחות עבודה'!$D$217</f>
        <v>200</v>
      </c>
      <c r="Q19" s="1325">
        <f>+'הנחות עבודה'!$D$217</f>
        <v>200</v>
      </c>
      <c r="R19" s="1325">
        <f>+'הנחות עבודה'!$D$217</f>
        <v>200</v>
      </c>
      <c r="S19" s="1325">
        <f>+'הנחות עבודה'!$D$217</f>
        <v>200</v>
      </c>
      <c r="T19" s="1325">
        <f>+'הנחות עבודה'!$D$217</f>
        <v>200</v>
      </c>
      <c r="U19" s="1325">
        <f>+'הנחות עבודה'!$D$217</f>
        <v>200</v>
      </c>
      <c r="V19" s="1325">
        <f>+'הנחות עבודה'!$D$217</f>
        <v>200</v>
      </c>
      <c r="W19" s="1325">
        <f>+'הנחות עבודה'!$D$217</f>
        <v>200</v>
      </c>
      <c r="X19" s="1325">
        <f>+'הנחות עבודה'!$D$217</f>
        <v>200</v>
      </c>
      <c r="Y19" s="1325">
        <f>+'הנחות עבודה'!$D$217</f>
        <v>200</v>
      </c>
      <c r="Z19" s="1325">
        <f>+'הנחות עבודה'!$D$217</f>
        <v>200</v>
      </c>
      <c r="AA19" s="1325">
        <f>+'הנחות עבודה'!$D$217</f>
        <v>200</v>
      </c>
      <c r="AB19" s="1325">
        <f>+'הנחות עבודה'!$D$217</f>
        <v>200</v>
      </c>
      <c r="AC19" s="1325">
        <f>+'הנחות עבודה'!$D$217</f>
        <v>200</v>
      </c>
      <c r="AD19" s="1325">
        <f>+'הנחות עבודה'!$D$217</f>
        <v>200</v>
      </c>
      <c r="AE19" s="1325">
        <f>+'הנחות עבודה'!$D$217</f>
        <v>200</v>
      </c>
      <c r="AF19" s="1325">
        <f>+'הנחות עבודה'!$D$217</f>
        <v>200</v>
      </c>
      <c r="AG19" s="1325">
        <f>+'הנחות עבודה'!$D$217</f>
        <v>200</v>
      </c>
      <c r="AH19" s="1325">
        <f>+'הנחות עבודה'!$D$217</f>
        <v>200</v>
      </c>
      <c r="AI19" s="1325">
        <f>+'הנחות עבודה'!$D$217</f>
        <v>200</v>
      </c>
      <c r="AJ19" s="1325">
        <f>+'הנחות עבודה'!$D$217</f>
        <v>200</v>
      </c>
      <c r="AK19" s="1325">
        <f>+'הנחות עבודה'!$D$217</f>
        <v>200</v>
      </c>
      <c r="AL19" s="1325">
        <f>+'הנחות עבודה'!$D$217</f>
        <v>200</v>
      </c>
      <c r="AM19" s="1325">
        <f>+'הנחות עבודה'!$D$217</f>
        <v>200</v>
      </c>
      <c r="AN19" s="1325">
        <f>+'הנחות עבודה'!$D$217</f>
        <v>200</v>
      </c>
      <c r="AO19" s="1325">
        <f>+'הנחות עבודה'!$D$217</f>
        <v>200</v>
      </c>
      <c r="AP19" s="1325">
        <f>+'הנחות עבודה'!$D$217</f>
        <v>200</v>
      </c>
      <c r="AQ19" s="1325">
        <f>+'הנחות עבודה'!$D$217</f>
        <v>200</v>
      </c>
      <c r="AR19" s="1325">
        <f>+'הנחות עבודה'!$D$217</f>
        <v>200</v>
      </c>
      <c r="AS19" s="1325">
        <f>+'הנחות עבודה'!$D$217</f>
        <v>200</v>
      </c>
      <c r="AT19" s="1325">
        <f>+'הנחות עבודה'!$D$217</f>
        <v>200</v>
      </c>
      <c r="AU19" s="1325">
        <f>+'הנחות עבודה'!$D$217</f>
        <v>200</v>
      </c>
      <c r="AV19" s="1325">
        <f>+'הנחות עבודה'!$D$217</f>
        <v>200</v>
      </c>
      <c r="AW19" s="1325">
        <f>+'הנחות עבודה'!$D$217</f>
        <v>200</v>
      </c>
      <c r="AX19" s="1325">
        <f>+'הנחות עבודה'!$D$217</f>
        <v>200</v>
      </c>
      <c r="AY19" s="1325">
        <f>+'הנחות עבודה'!$D$217</f>
        <v>200</v>
      </c>
      <c r="AZ19" s="1325">
        <f>+'הנחות עבודה'!$D$217</f>
        <v>200</v>
      </c>
      <c r="BA19" s="1325">
        <f>+'הנחות עבודה'!$D$217</f>
        <v>200</v>
      </c>
      <c r="BB19" s="1325">
        <f>+'הנחות עבודה'!$D$217</f>
        <v>200</v>
      </c>
      <c r="BC19" s="1325">
        <f>+'הנחות עבודה'!$D$217</f>
        <v>200</v>
      </c>
      <c r="BD19" s="1325">
        <f>+'הנחות עבודה'!$D$217</f>
        <v>200</v>
      </c>
      <c r="BE19" s="1325">
        <f>+'הנחות עבודה'!$D$217</f>
        <v>200</v>
      </c>
      <c r="BF19" s="1325">
        <f>+'הנחות עבודה'!$D$217</f>
        <v>200</v>
      </c>
    </row>
    <row r="20" spans="1:58" x14ac:dyDescent="0.2">
      <c r="A20" s="622"/>
      <c r="B20" s="622"/>
      <c r="C20" s="654" t="s">
        <v>1311</v>
      </c>
      <c r="D20" s="1325">
        <f>+'הנחות עבודה'!$D$215</f>
        <v>300</v>
      </c>
      <c r="E20" s="1325">
        <f>+'הנחות עבודה'!$D$215</f>
        <v>300</v>
      </c>
      <c r="F20" s="1325">
        <f>+'הנחות עבודה'!$D$215</f>
        <v>300</v>
      </c>
      <c r="G20" s="1325">
        <f>+'הנחות עבודה'!$D$215</f>
        <v>300</v>
      </c>
      <c r="H20" s="1325">
        <f>+'הנחות עבודה'!$D$215</f>
        <v>300</v>
      </c>
      <c r="I20" s="1325">
        <f>+'הנחות עבודה'!$D$215</f>
        <v>300</v>
      </c>
      <c r="J20" s="1325">
        <f>+'הנחות עבודה'!$D$215</f>
        <v>300</v>
      </c>
      <c r="K20" s="1325">
        <f>+'הנחות עבודה'!$D$215</f>
        <v>300</v>
      </c>
      <c r="L20" s="1325">
        <f>+'הנחות עבודה'!$D$215</f>
        <v>300</v>
      </c>
      <c r="M20" s="1325">
        <f>+'הנחות עבודה'!$D$215</f>
        <v>300</v>
      </c>
      <c r="N20" s="1325">
        <f>+'הנחות עבודה'!$D$215</f>
        <v>300</v>
      </c>
      <c r="O20" s="1325">
        <f>+'הנחות עבודה'!$D$215</f>
        <v>300</v>
      </c>
      <c r="P20" s="1325">
        <f>+'הנחות עבודה'!$D$215</f>
        <v>300</v>
      </c>
      <c r="Q20" s="1325">
        <f>+'הנחות עבודה'!$D$215</f>
        <v>300</v>
      </c>
      <c r="R20" s="1325">
        <f>+'הנחות עבודה'!$D$215</f>
        <v>300</v>
      </c>
      <c r="S20" s="1325">
        <f>+'הנחות עבודה'!$D$215</f>
        <v>300</v>
      </c>
      <c r="T20" s="1325">
        <f>+'הנחות עבודה'!$D$215</f>
        <v>300</v>
      </c>
      <c r="U20" s="1325">
        <f>+'הנחות עבודה'!$D$215</f>
        <v>300</v>
      </c>
      <c r="V20" s="1325">
        <f>+'הנחות עבודה'!$D$215</f>
        <v>300</v>
      </c>
      <c r="W20" s="1325">
        <f>+'הנחות עבודה'!$D$215</f>
        <v>300</v>
      </c>
      <c r="X20" s="1325">
        <f>+'הנחות עבודה'!$D$215</f>
        <v>300</v>
      </c>
      <c r="Y20" s="1325">
        <f>+'הנחות עבודה'!$D$215</f>
        <v>300</v>
      </c>
      <c r="Z20" s="1325">
        <f>+'הנחות עבודה'!$D$215</f>
        <v>300</v>
      </c>
      <c r="AA20" s="1325">
        <f>+'הנחות עבודה'!$D$215</f>
        <v>300</v>
      </c>
      <c r="AB20" s="1325">
        <f>+'הנחות עבודה'!$D$215</f>
        <v>300</v>
      </c>
      <c r="AC20" s="1325">
        <f>+'הנחות עבודה'!$D$215</f>
        <v>300</v>
      </c>
      <c r="AD20" s="1325">
        <f>+'הנחות עבודה'!$D$215</f>
        <v>300</v>
      </c>
      <c r="AE20" s="1325">
        <f>+'הנחות עבודה'!$D$215</f>
        <v>300</v>
      </c>
      <c r="AF20" s="1325">
        <f>+'הנחות עבודה'!$D$215</f>
        <v>300</v>
      </c>
      <c r="AG20" s="1325">
        <f>+'הנחות עבודה'!$D$215</f>
        <v>300</v>
      </c>
      <c r="AH20" s="1325">
        <f>+'הנחות עבודה'!$D$215</f>
        <v>300</v>
      </c>
      <c r="AI20" s="1325">
        <f>+'הנחות עבודה'!$D$215</f>
        <v>300</v>
      </c>
      <c r="AJ20" s="1325">
        <f>+'הנחות עבודה'!$D$215</f>
        <v>300</v>
      </c>
      <c r="AK20" s="1325">
        <f>+'הנחות עבודה'!$D$215</f>
        <v>300</v>
      </c>
      <c r="AL20" s="1325">
        <f>+'הנחות עבודה'!$D$215</f>
        <v>300</v>
      </c>
      <c r="AM20" s="1325">
        <f>+'הנחות עבודה'!$D$215</f>
        <v>300</v>
      </c>
      <c r="AN20" s="1325">
        <f>+'הנחות עבודה'!$D$215</f>
        <v>300</v>
      </c>
      <c r="AO20" s="1325">
        <f>+'הנחות עבודה'!$D$215</f>
        <v>300</v>
      </c>
      <c r="AP20" s="1325">
        <f>+'הנחות עבודה'!$D$215</f>
        <v>300</v>
      </c>
      <c r="AQ20" s="1325">
        <f>+'הנחות עבודה'!$D$215</f>
        <v>300</v>
      </c>
      <c r="AR20" s="1325">
        <f>+'הנחות עבודה'!$D$215</f>
        <v>300</v>
      </c>
      <c r="AS20" s="1325">
        <f>+'הנחות עבודה'!$D$215</f>
        <v>300</v>
      </c>
      <c r="AT20" s="1325">
        <f>+'הנחות עבודה'!$D$215</f>
        <v>300</v>
      </c>
      <c r="AU20" s="1325">
        <f>+'הנחות עבודה'!$D$215</f>
        <v>300</v>
      </c>
      <c r="AV20" s="1325">
        <f>+'הנחות עבודה'!$D$215</f>
        <v>300</v>
      </c>
      <c r="AW20" s="1325">
        <f>+'הנחות עבודה'!$D$215</f>
        <v>300</v>
      </c>
      <c r="AX20" s="1325">
        <f>+'הנחות עבודה'!$D$215</f>
        <v>300</v>
      </c>
      <c r="AY20" s="1325">
        <f>+'הנחות עבודה'!$D$215</f>
        <v>300</v>
      </c>
      <c r="AZ20" s="1325">
        <f>+'הנחות עבודה'!$D$215</f>
        <v>300</v>
      </c>
      <c r="BA20" s="1325">
        <f>+'הנחות עבודה'!$D$215</f>
        <v>300</v>
      </c>
      <c r="BB20" s="1325">
        <f>+'הנחות עבודה'!$D$215</f>
        <v>300</v>
      </c>
      <c r="BC20" s="1325">
        <f>+'הנחות עבודה'!$D$215</f>
        <v>300</v>
      </c>
      <c r="BD20" s="1325">
        <f>+'הנחות עבודה'!$D$215</f>
        <v>300</v>
      </c>
      <c r="BE20" s="1325">
        <f>+'הנחות עבודה'!$D$215</f>
        <v>300</v>
      </c>
      <c r="BF20" s="1325">
        <f>+'הנחות עבודה'!$D$215</f>
        <v>300</v>
      </c>
    </row>
    <row r="21" spans="1:58" x14ac:dyDescent="0.2">
      <c r="A21" s="622"/>
      <c r="B21" s="622"/>
      <c r="C21" s="654" t="s">
        <v>1737</v>
      </c>
      <c r="D21" s="1326">
        <f>+'הנחות עבודה'!$D$211</f>
        <v>1923</v>
      </c>
      <c r="E21" s="1326">
        <f>+'הנחות עבודה'!$D$211</f>
        <v>1923</v>
      </c>
      <c r="F21" s="1326">
        <f>+'הנחות עבודה'!$D$211</f>
        <v>1923</v>
      </c>
      <c r="G21" s="1326">
        <f>+'הנחות עבודה'!$D$211</f>
        <v>1923</v>
      </c>
      <c r="H21" s="1326">
        <f>+'הנחות עבודה'!$D$211</f>
        <v>1923</v>
      </c>
      <c r="I21" s="1326">
        <f>+'הנחות עבודה'!$D$211</f>
        <v>1923</v>
      </c>
      <c r="J21" s="1326">
        <f>+'הנחות עבודה'!$D$211</f>
        <v>1923</v>
      </c>
      <c r="K21" s="1326">
        <f>+'הנחות עבודה'!$D$211</f>
        <v>1923</v>
      </c>
      <c r="L21" s="1326">
        <f>+'הנחות עבודה'!$D$211</f>
        <v>1923</v>
      </c>
      <c r="M21" s="1326">
        <f>+'הנחות עבודה'!$D$211</f>
        <v>1923</v>
      </c>
      <c r="N21" s="1326">
        <f>+'הנחות עבודה'!$D$211</f>
        <v>1923</v>
      </c>
      <c r="O21" s="1326">
        <f>+'הנחות עבודה'!$D$211</f>
        <v>1923</v>
      </c>
      <c r="P21" s="1326">
        <f>+'הנחות עבודה'!$D$211</f>
        <v>1923</v>
      </c>
      <c r="Q21" s="1326">
        <f>+'הנחות עבודה'!$D$211</f>
        <v>1923</v>
      </c>
      <c r="R21" s="1326">
        <f>+'הנחות עבודה'!$D$211</f>
        <v>1923</v>
      </c>
      <c r="S21" s="1326">
        <f>+'הנחות עבודה'!$D$211</f>
        <v>1923</v>
      </c>
      <c r="T21" s="1326">
        <f>+'הנחות עבודה'!$D$211</f>
        <v>1923</v>
      </c>
      <c r="U21" s="1326">
        <f>+'הנחות עבודה'!$D$211</f>
        <v>1923</v>
      </c>
      <c r="V21" s="1326">
        <f>+'הנחות עבודה'!$D$211</f>
        <v>1923</v>
      </c>
      <c r="W21" s="1326">
        <f>+'הנחות עבודה'!$D$211</f>
        <v>1923</v>
      </c>
      <c r="X21" s="1326">
        <f>+'הנחות עבודה'!$D$211</f>
        <v>1923</v>
      </c>
      <c r="Y21" s="1326">
        <f>+'הנחות עבודה'!$D$211</f>
        <v>1923</v>
      </c>
      <c r="Z21" s="1326">
        <f>+'הנחות עבודה'!$D$211</f>
        <v>1923</v>
      </c>
      <c r="AA21" s="1326">
        <f>+'הנחות עבודה'!$D$211</f>
        <v>1923</v>
      </c>
      <c r="AB21" s="1326">
        <f>+'הנחות עבודה'!$D$211</f>
        <v>1923</v>
      </c>
      <c r="AC21" s="1326">
        <f>+'הנחות עבודה'!$D$211</f>
        <v>1923</v>
      </c>
      <c r="AD21" s="1326">
        <f>+'הנחות עבודה'!$D$211</f>
        <v>1923</v>
      </c>
      <c r="AE21" s="1326">
        <f>+'הנחות עבודה'!$D$211</f>
        <v>1923</v>
      </c>
      <c r="AF21" s="1326">
        <f>+'הנחות עבודה'!$D$211</f>
        <v>1923</v>
      </c>
      <c r="AG21" s="1326">
        <f>+'הנחות עבודה'!$D$211</f>
        <v>1923</v>
      </c>
      <c r="AH21" s="1326">
        <f>+'הנחות עבודה'!$D$211</f>
        <v>1923</v>
      </c>
      <c r="AI21" s="1326">
        <f>+'הנחות עבודה'!$D$211</f>
        <v>1923</v>
      </c>
      <c r="AJ21" s="1326">
        <f>+'הנחות עבודה'!$D$211</f>
        <v>1923</v>
      </c>
      <c r="AK21" s="1326">
        <f>+'הנחות עבודה'!$D$211</f>
        <v>1923</v>
      </c>
      <c r="AL21" s="1326">
        <f>+'הנחות עבודה'!$D$211</f>
        <v>1923</v>
      </c>
      <c r="AM21" s="1326">
        <f>+'הנחות עבודה'!$D$211</f>
        <v>1923</v>
      </c>
      <c r="AN21" s="1326">
        <f>+'הנחות עבודה'!$D$211</f>
        <v>1923</v>
      </c>
      <c r="AO21" s="1326">
        <f>+'הנחות עבודה'!$D$211</f>
        <v>1923</v>
      </c>
      <c r="AP21" s="1326">
        <f>+'הנחות עבודה'!$D$211</f>
        <v>1923</v>
      </c>
      <c r="AQ21" s="1326">
        <f>+'הנחות עבודה'!$D$211</f>
        <v>1923</v>
      </c>
      <c r="AR21" s="1326">
        <f>+'הנחות עבודה'!$D$211</f>
        <v>1923</v>
      </c>
      <c r="AS21" s="1326">
        <f>+'הנחות עבודה'!$D$211</f>
        <v>1923</v>
      </c>
      <c r="AT21" s="1326">
        <f>+'הנחות עבודה'!$D$211</f>
        <v>1923</v>
      </c>
      <c r="AU21" s="1326">
        <f>+'הנחות עבודה'!$D$211</f>
        <v>1923</v>
      </c>
      <c r="AV21" s="1326">
        <f>+'הנחות עבודה'!$D$211</f>
        <v>1923</v>
      </c>
      <c r="AW21" s="1326">
        <f>+'הנחות עבודה'!$D$211</f>
        <v>1923</v>
      </c>
      <c r="AX21" s="1326">
        <f>+'הנחות עבודה'!$D$211</f>
        <v>1923</v>
      </c>
      <c r="AY21" s="1326">
        <f>+'הנחות עבודה'!$D$211</f>
        <v>1923</v>
      </c>
      <c r="AZ21" s="1326">
        <f>+'הנחות עבודה'!$D$211</f>
        <v>1923</v>
      </c>
      <c r="BA21" s="1326">
        <f>+'הנחות עבודה'!$D$211</f>
        <v>1923</v>
      </c>
      <c r="BB21" s="1326">
        <f>+'הנחות עבודה'!$D$211</f>
        <v>1923</v>
      </c>
      <c r="BC21" s="1326">
        <f>+'הנחות עבודה'!$D$211</f>
        <v>1923</v>
      </c>
      <c r="BD21" s="1326">
        <f>+'הנחות עבודה'!$D$211</f>
        <v>1923</v>
      </c>
      <c r="BE21" s="1326">
        <f>+'הנחות עבודה'!$D$211</f>
        <v>1923</v>
      </c>
      <c r="BF21" s="1326">
        <f>+'הנחות עבודה'!$D$211</f>
        <v>1923</v>
      </c>
    </row>
    <row r="22" spans="1:58" x14ac:dyDescent="0.2">
      <c r="A22" s="622"/>
      <c r="B22" s="622"/>
      <c r="C22" s="654" t="s">
        <v>1746</v>
      </c>
      <c r="D22" s="1326">
        <f>+'הנחות עבודה'!$D$227</f>
        <v>1928</v>
      </c>
      <c r="E22" s="1326">
        <f>+'הנחות עבודה'!$D$227</f>
        <v>1928</v>
      </c>
      <c r="F22" s="1326">
        <f>+'הנחות עבודה'!$D$227</f>
        <v>1928</v>
      </c>
      <c r="G22" s="1326">
        <f>+'הנחות עבודה'!$D$227</f>
        <v>1928</v>
      </c>
      <c r="H22" s="1326">
        <f>+'הנחות עבודה'!$D$227</f>
        <v>1928</v>
      </c>
      <c r="I22" s="1326">
        <f>+'הנחות עבודה'!$D$227</f>
        <v>1928</v>
      </c>
      <c r="J22" s="1326">
        <f>+'הנחות עבודה'!$D$227</f>
        <v>1928</v>
      </c>
      <c r="K22" s="1326">
        <f>+'הנחות עבודה'!$D$227</f>
        <v>1928</v>
      </c>
      <c r="L22" s="1326">
        <f>+'הנחות עבודה'!$D$227</f>
        <v>1928</v>
      </c>
      <c r="M22" s="1326">
        <f>+'הנחות עבודה'!$D$227</f>
        <v>1928</v>
      </c>
      <c r="N22" s="1326">
        <f>+'הנחות עבודה'!$D$227</f>
        <v>1928</v>
      </c>
      <c r="O22" s="1326">
        <f>+'הנחות עבודה'!$D$227</f>
        <v>1928</v>
      </c>
      <c r="P22" s="1326">
        <f>+'הנחות עבודה'!$D$227</f>
        <v>1928</v>
      </c>
      <c r="Q22" s="1326">
        <f>+'הנחות עבודה'!$D$227</f>
        <v>1928</v>
      </c>
      <c r="R22" s="1326">
        <f>+'הנחות עבודה'!$D$227</f>
        <v>1928</v>
      </c>
      <c r="S22" s="1326">
        <f>+'הנחות עבודה'!$D$227</f>
        <v>1928</v>
      </c>
      <c r="T22" s="1326">
        <f>+'הנחות עבודה'!$D$227</f>
        <v>1928</v>
      </c>
      <c r="U22" s="1326">
        <f>+'הנחות עבודה'!$D$227</f>
        <v>1928</v>
      </c>
      <c r="V22" s="1326">
        <f>+'הנחות עבודה'!$D$227</f>
        <v>1928</v>
      </c>
      <c r="W22" s="1326">
        <f>+'הנחות עבודה'!$D$227</f>
        <v>1928</v>
      </c>
      <c r="X22" s="1326">
        <f>+'הנחות עבודה'!$D$227</f>
        <v>1928</v>
      </c>
      <c r="Y22" s="1326">
        <f>+'הנחות עבודה'!$D$227</f>
        <v>1928</v>
      </c>
      <c r="Z22" s="1326">
        <f>+'הנחות עבודה'!$D$227</f>
        <v>1928</v>
      </c>
      <c r="AA22" s="1326">
        <f>+'הנחות עבודה'!$D$227</f>
        <v>1928</v>
      </c>
      <c r="AB22" s="1326">
        <f>+'הנחות עבודה'!$D$227</f>
        <v>1928</v>
      </c>
      <c r="AC22" s="1326">
        <f>+'הנחות עבודה'!$D$227</f>
        <v>1928</v>
      </c>
      <c r="AD22" s="1326">
        <f>+'הנחות עבודה'!$D$227</f>
        <v>1928</v>
      </c>
      <c r="AE22" s="1326">
        <f>+'הנחות עבודה'!$D$227</f>
        <v>1928</v>
      </c>
      <c r="AF22" s="1326">
        <f>+'הנחות עבודה'!$D$227</f>
        <v>1928</v>
      </c>
      <c r="AG22" s="1326">
        <f>+'הנחות עבודה'!$D$227</f>
        <v>1928</v>
      </c>
      <c r="AH22" s="1326">
        <f>+'הנחות עבודה'!$D$227</f>
        <v>1928</v>
      </c>
      <c r="AI22" s="1326">
        <f>+'הנחות עבודה'!$D$227</f>
        <v>1928</v>
      </c>
      <c r="AJ22" s="1326">
        <f>+'הנחות עבודה'!$D$227</f>
        <v>1928</v>
      </c>
      <c r="AK22" s="1326">
        <f>+'הנחות עבודה'!$D$227</f>
        <v>1928</v>
      </c>
      <c r="AL22" s="1326">
        <f>+'הנחות עבודה'!$D$227</f>
        <v>1928</v>
      </c>
      <c r="AM22" s="1326">
        <f>+'הנחות עבודה'!$D$227</f>
        <v>1928</v>
      </c>
      <c r="AN22" s="1326">
        <f>+'הנחות עבודה'!$D$227</f>
        <v>1928</v>
      </c>
      <c r="AO22" s="1326">
        <f>+'הנחות עבודה'!$D$227</f>
        <v>1928</v>
      </c>
      <c r="AP22" s="1326">
        <f>+'הנחות עבודה'!$D$227</f>
        <v>1928</v>
      </c>
      <c r="AQ22" s="1326">
        <f>+'הנחות עבודה'!$D$227</f>
        <v>1928</v>
      </c>
      <c r="AR22" s="1326">
        <f>+'הנחות עבודה'!$D$227</f>
        <v>1928</v>
      </c>
      <c r="AS22" s="1326">
        <f>+'הנחות עבודה'!$D$227</f>
        <v>1928</v>
      </c>
      <c r="AT22" s="1326">
        <f>+'הנחות עבודה'!$D$227</f>
        <v>1928</v>
      </c>
      <c r="AU22" s="1326">
        <f>+'הנחות עבודה'!$D$227</f>
        <v>1928</v>
      </c>
      <c r="AV22" s="1326">
        <f>+'הנחות עבודה'!$D$227</f>
        <v>1928</v>
      </c>
      <c r="AW22" s="1326">
        <f>+'הנחות עבודה'!$D$227</f>
        <v>1928</v>
      </c>
      <c r="AX22" s="1326">
        <f>+'הנחות עבודה'!$D$227</f>
        <v>1928</v>
      </c>
      <c r="AY22" s="1326">
        <f>+'הנחות עבודה'!$D$227</f>
        <v>1928</v>
      </c>
      <c r="AZ22" s="1326">
        <f>+'הנחות עבודה'!$D$227</f>
        <v>1928</v>
      </c>
      <c r="BA22" s="1326">
        <f>+'הנחות עבודה'!$D$227</f>
        <v>1928</v>
      </c>
      <c r="BB22" s="1326">
        <f>+'הנחות עבודה'!$D$227</f>
        <v>1928</v>
      </c>
      <c r="BC22" s="1326">
        <f>+'הנחות עבודה'!$D$227</f>
        <v>1928</v>
      </c>
      <c r="BD22" s="1326">
        <f>+'הנחות עבודה'!$D$227</f>
        <v>1928</v>
      </c>
      <c r="BE22" s="1326">
        <f>+'הנחות עבודה'!$D$227</f>
        <v>1928</v>
      </c>
      <c r="BF22" s="1326">
        <f>+'הנחות עבודה'!$D$227</f>
        <v>1928</v>
      </c>
    </row>
    <row r="23" spans="1:58" x14ac:dyDescent="0.2">
      <c r="A23" s="622"/>
      <c r="B23" s="622"/>
      <c r="C23" s="654" t="s">
        <v>1747</v>
      </c>
      <c r="D23" s="1325">
        <f>+'הנחות עבודה'!$D$232</f>
        <v>100</v>
      </c>
      <c r="E23" s="1325">
        <f>+'הנחות עבודה'!$D$232</f>
        <v>100</v>
      </c>
      <c r="F23" s="1325">
        <f>+'הנחות עבודה'!$D$232</f>
        <v>100</v>
      </c>
      <c r="G23" s="1325">
        <f>+'הנחות עבודה'!$D$232</f>
        <v>100</v>
      </c>
      <c r="H23" s="1325">
        <f>+'הנחות עבודה'!$D$232</f>
        <v>100</v>
      </c>
      <c r="I23" s="1325">
        <f>+'הנחות עבודה'!$D$232</f>
        <v>100</v>
      </c>
      <c r="J23" s="1325">
        <f>+'הנחות עבודה'!$D$232</f>
        <v>100</v>
      </c>
      <c r="K23" s="1325">
        <f>+'הנחות עבודה'!$D$232</f>
        <v>100</v>
      </c>
      <c r="L23" s="1325">
        <f>+'הנחות עבודה'!$D$232</f>
        <v>100</v>
      </c>
      <c r="M23" s="1325">
        <f>+'הנחות עבודה'!$D$232</f>
        <v>100</v>
      </c>
      <c r="N23" s="1325">
        <f>+'הנחות עבודה'!$D$232</f>
        <v>100</v>
      </c>
      <c r="O23" s="1325">
        <f>+'הנחות עבודה'!$D$232</f>
        <v>100</v>
      </c>
      <c r="P23" s="1325">
        <f>+'הנחות עבודה'!$D$232</f>
        <v>100</v>
      </c>
      <c r="Q23" s="1325">
        <f>+'הנחות עבודה'!$D$232</f>
        <v>100</v>
      </c>
      <c r="R23" s="1325">
        <f>+'הנחות עבודה'!$D$232</f>
        <v>100</v>
      </c>
      <c r="S23" s="1325">
        <f>+'הנחות עבודה'!$D$232</f>
        <v>100</v>
      </c>
      <c r="T23" s="1325">
        <f>+'הנחות עבודה'!$D$232</f>
        <v>100</v>
      </c>
      <c r="U23" s="1325">
        <f>+'הנחות עבודה'!$D$232</f>
        <v>100</v>
      </c>
      <c r="V23" s="1325">
        <f>+'הנחות עבודה'!$D$232</f>
        <v>100</v>
      </c>
      <c r="W23" s="1325">
        <f>+'הנחות עבודה'!$D$232</f>
        <v>100</v>
      </c>
      <c r="X23" s="1325">
        <f>+'הנחות עבודה'!$D$232</f>
        <v>100</v>
      </c>
      <c r="Y23" s="1325">
        <f>+'הנחות עבודה'!$D$232</f>
        <v>100</v>
      </c>
      <c r="Z23" s="1325">
        <f>+'הנחות עבודה'!$D$232</f>
        <v>100</v>
      </c>
      <c r="AA23" s="1325">
        <f>+'הנחות עבודה'!$D$232</f>
        <v>100</v>
      </c>
      <c r="AB23" s="1325">
        <f>+'הנחות עבודה'!$D$232</f>
        <v>100</v>
      </c>
      <c r="AC23" s="1325">
        <f>+'הנחות עבודה'!$D$232</f>
        <v>100</v>
      </c>
      <c r="AD23" s="1325">
        <f>+'הנחות עבודה'!$D$232</f>
        <v>100</v>
      </c>
      <c r="AE23" s="1325">
        <f>+'הנחות עבודה'!$D$232</f>
        <v>100</v>
      </c>
      <c r="AF23" s="1325">
        <f>+'הנחות עבודה'!$D$232</f>
        <v>100</v>
      </c>
      <c r="AG23" s="1325">
        <f>+'הנחות עבודה'!$D$232</f>
        <v>100</v>
      </c>
      <c r="AH23" s="1325">
        <f>+'הנחות עבודה'!$D$232</f>
        <v>100</v>
      </c>
      <c r="AI23" s="1325">
        <f>+'הנחות עבודה'!$D$232</f>
        <v>100</v>
      </c>
      <c r="AJ23" s="1325">
        <f>+'הנחות עבודה'!$D$232</f>
        <v>100</v>
      </c>
      <c r="AK23" s="1325">
        <f>+'הנחות עבודה'!$D$232</f>
        <v>100</v>
      </c>
      <c r="AL23" s="1325">
        <f>+'הנחות עבודה'!$D$232</f>
        <v>100</v>
      </c>
      <c r="AM23" s="1325">
        <f>+'הנחות עבודה'!$D$232</f>
        <v>100</v>
      </c>
      <c r="AN23" s="1325">
        <f>+'הנחות עבודה'!$D$232</f>
        <v>100</v>
      </c>
      <c r="AO23" s="1325">
        <f>+'הנחות עבודה'!$D$232</f>
        <v>100</v>
      </c>
      <c r="AP23" s="1325">
        <f>+'הנחות עבודה'!$D$232</f>
        <v>100</v>
      </c>
      <c r="AQ23" s="1325">
        <f>+'הנחות עבודה'!$D$232</f>
        <v>100</v>
      </c>
      <c r="AR23" s="1325">
        <f>+'הנחות עבודה'!$D$232</f>
        <v>100</v>
      </c>
      <c r="AS23" s="1325">
        <f>+'הנחות עבודה'!$D$232</f>
        <v>100</v>
      </c>
      <c r="AT23" s="1325">
        <f>+'הנחות עבודה'!$D$232</f>
        <v>100</v>
      </c>
      <c r="AU23" s="1325">
        <f>+'הנחות עבודה'!$D$232</f>
        <v>100</v>
      </c>
      <c r="AV23" s="1325">
        <f>+'הנחות עבודה'!$D$232</f>
        <v>100</v>
      </c>
      <c r="AW23" s="1325">
        <f>+'הנחות עבודה'!$D$232</f>
        <v>100</v>
      </c>
      <c r="AX23" s="1325">
        <f>+'הנחות עבודה'!$D$232</f>
        <v>100</v>
      </c>
      <c r="AY23" s="1325">
        <f>+'הנחות עבודה'!$D$232</f>
        <v>100</v>
      </c>
      <c r="AZ23" s="1325">
        <f>+'הנחות עבודה'!$D$232</f>
        <v>100</v>
      </c>
      <c r="BA23" s="1325">
        <f>+'הנחות עבודה'!$D$232</f>
        <v>100</v>
      </c>
      <c r="BB23" s="1325">
        <f>+'הנחות עבודה'!$D$232</f>
        <v>100</v>
      </c>
      <c r="BC23" s="1325">
        <f>+'הנחות עבודה'!$D$232</f>
        <v>100</v>
      </c>
      <c r="BD23" s="1325">
        <f>+'הנחות עבודה'!$D$232</f>
        <v>100</v>
      </c>
      <c r="BE23" s="1325">
        <f>+'הנחות עבודה'!$D$232</f>
        <v>100</v>
      </c>
      <c r="BF23" s="1325">
        <f>+'הנחות עבודה'!$D$232</f>
        <v>100</v>
      </c>
    </row>
    <row r="24" spans="1:58" x14ac:dyDescent="0.2">
      <c r="A24" s="622"/>
      <c r="B24" s="622"/>
      <c r="C24" s="654" t="s">
        <v>1748</v>
      </c>
      <c r="D24" s="1325">
        <f>+'הנחות עבודה'!$D$234</f>
        <v>200</v>
      </c>
      <c r="E24" s="1325">
        <f>+'הנחות עבודה'!$D$234</f>
        <v>200</v>
      </c>
      <c r="F24" s="1325">
        <f>+'הנחות עבודה'!$D$234</f>
        <v>200</v>
      </c>
      <c r="G24" s="1325">
        <f>+'הנחות עבודה'!$D$234</f>
        <v>200</v>
      </c>
      <c r="H24" s="1325">
        <f>+'הנחות עבודה'!$D$234</f>
        <v>200</v>
      </c>
      <c r="I24" s="1325">
        <f>+'הנחות עבודה'!$D$234</f>
        <v>200</v>
      </c>
      <c r="J24" s="1325">
        <f>+'הנחות עבודה'!$D$234</f>
        <v>200</v>
      </c>
      <c r="K24" s="1325">
        <f>+'הנחות עבודה'!$D$234</f>
        <v>200</v>
      </c>
      <c r="L24" s="1325">
        <f>+'הנחות עבודה'!$D$234</f>
        <v>200</v>
      </c>
      <c r="M24" s="1325">
        <f>+'הנחות עבודה'!$D$234</f>
        <v>200</v>
      </c>
      <c r="N24" s="1325">
        <f>+'הנחות עבודה'!$D$234</f>
        <v>200</v>
      </c>
      <c r="O24" s="1325">
        <f>+'הנחות עבודה'!$D$234</f>
        <v>200</v>
      </c>
      <c r="P24" s="1325">
        <f>+'הנחות עבודה'!$D$234</f>
        <v>200</v>
      </c>
      <c r="Q24" s="1325">
        <f>+'הנחות עבודה'!$D$234</f>
        <v>200</v>
      </c>
      <c r="R24" s="1325">
        <f>+'הנחות עבודה'!$D$234</f>
        <v>200</v>
      </c>
      <c r="S24" s="1325">
        <f>+'הנחות עבודה'!$D$234</f>
        <v>200</v>
      </c>
      <c r="T24" s="1325">
        <f>+'הנחות עבודה'!$D$234</f>
        <v>200</v>
      </c>
      <c r="U24" s="1325">
        <f>+'הנחות עבודה'!$D$234</f>
        <v>200</v>
      </c>
      <c r="V24" s="1325">
        <f>+'הנחות עבודה'!$D$234</f>
        <v>200</v>
      </c>
      <c r="W24" s="1325">
        <f>+'הנחות עבודה'!$D$234</f>
        <v>200</v>
      </c>
      <c r="X24" s="1325">
        <f>+'הנחות עבודה'!$D$234</f>
        <v>200</v>
      </c>
      <c r="Y24" s="1325">
        <f>+'הנחות עבודה'!$D$234</f>
        <v>200</v>
      </c>
      <c r="Z24" s="1325">
        <f>+'הנחות עבודה'!$D$234</f>
        <v>200</v>
      </c>
      <c r="AA24" s="1325">
        <f>+'הנחות עבודה'!$D$234</f>
        <v>200</v>
      </c>
      <c r="AB24" s="1325">
        <f>+'הנחות עבודה'!$D$234</f>
        <v>200</v>
      </c>
      <c r="AC24" s="1325">
        <f>+'הנחות עבודה'!$D$234</f>
        <v>200</v>
      </c>
      <c r="AD24" s="1325">
        <f>+'הנחות עבודה'!$D$234</f>
        <v>200</v>
      </c>
      <c r="AE24" s="1325">
        <f>+'הנחות עבודה'!$D$234</f>
        <v>200</v>
      </c>
      <c r="AF24" s="1325">
        <f>+'הנחות עבודה'!$D$234</f>
        <v>200</v>
      </c>
      <c r="AG24" s="1325">
        <f>+'הנחות עבודה'!$D$234</f>
        <v>200</v>
      </c>
      <c r="AH24" s="1325">
        <f>+'הנחות עבודה'!$D$234</f>
        <v>200</v>
      </c>
      <c r="AI24" s="1325">
        <f>+'הנחות עבודה'!$D$234</f>
        <v>200</v>
      </c>
      <c r="AJ24" s="1325">
        <f>+'הנחות עבודה'!$D$234</f>
        <v>200</v>
      </c>
      <c r="AK24" s="1325">
        <f>+'הנחות עבודה'!$D$234</f>
        <v>200</v>
      </c>
      <c r="AL24" s="1325">
        <f>+'הנחות עבודה'!$D$234</f>
        <v>200</v>
      </c>
      <c r="AM24" s="1325">
        <f>+'הנחות עבודה'!$D$234</f>
        <v>200</v>
      </c>
      <c r="AN24" s="1325">
        <f>+'הנחות עבודה'!$D$234</f>
        <v>200</v>
      </c>
      <c r="AO24" s="1325">
        <f>+'הנחות עבודה'!$D$234</f>
        <v>200</v>
      </c>
      <c r="AP24" s="1325">
        <f>+'הנחות עבודה'!$D$234</f>
        <v>200</v>
      </c>
      <c r="AQ24" s="1325">
        <f>+'הנחות עבודה'!$D$234</f>
        <v>200</v>
      </c>
      <c r="AR24" s="1325">
        <f>+'הנחות עבודה'!$D$234</f>
        <v>200</v>
      </c>
      <c r="AS24" s="1325">
        <f>+'הנחות עבודה'!$D$234</f>
        <v>200</v>
      </c>
      <c r="AT24" s="1325">
        <f>+'הנחות עבודה'!$D$234</f>
        <v>200</v>
      </c>
      <c r="AU24" s="1325">
        <f>+'הנחות עבודה'!$D$234</f>
        <v>200</v>
      </c>
      <c r="AV24" s="1325">
        <f>+'הנחות עבודה'!$D$234</f>
        <v>200</v>
      </c>
      <c r="AW24" s="1325">
        <f>+'הנחות עבודה'!$D$234</f>
        <v>200</v>
      </c>
      <c r="AX24" s="1325">
        <f>+'הנחות עבודה'!$D$234</f>
        <v>200</v>
      </c>
      <c r="AY24" s="1325">
        <f>+'הנחות עבודה'!$D$234</f>
        <v>200</v>
      </c>
      <c r="AZ24" s="1325">
        <f>+'הנחות עבודה'!$D$234</f>
        <v>200</v>
      </c>
      <c r="BA24" s="1325">
        <f>+'הנחות עבודה'!$D$234</f>
        <v>200</v>
      </c>
      <c r="BB24" s="1325">
        <f>+'הנחות עבודה'!$D$234</f>
        <v>200</v>
      </c>
      <c r="BC24" s="1325">
        <f>+'הנחות עבודה'!$D$234</f>
        <v>200</v>
      </c>
      <c r="BD24" s="1325">
        <f>+'הנחות עבודה'!$D$234</f>
        <v>200</v>
      </c>
      <c r="BE24" s="1325">
        <f>+'הנחות עבודה'!$D$234</f>
        <v>200</v>
      </c>
      <c r="BF24" s="1325">
        <f>+'הנחות עבודה'!$D$234</f>
        <v>200</v>
      </c>
    </row>
    <row r="25" spans="1:58" x14ac:dyDescent="0.2">
      <c r="A25" s="622"/>
      <c r="B25" s="622"/>
      <c r="C25" s="654" t="s">
        <v>1396</v>
      </c>
      <c r="D25" s="1325">
        <f>+'הנחות עבודה'!$D$201</f>
        <v>16.3</v>
      </c>
      <c r="E25" s="1325">
        <f>+'הנחות עבודה'!$D$201</f>
        <v>16.3</v>
      </c>
      <c r="F25" s="1325">
        <f>+'הנחות עבודה'!$D$201</f>
        <v>16.3</v>
      </c>
      <c r="G25" s="1325">
        <f>+'הנחות עבודה'!$D$201</f>
        <v>16.3</v>
      </c>
      <c r="H25" s="1325">
        <f>+'הנחות עבודה'!$D$201</f>
        <v>16.3</v>
      </c>
      <c r="I25" s="1325">
        <f>+'הנחות עבודה'!$D$201</f>
        <v>16.3</v>
      </c>
      <c r="J25" s="1325">
        <f>+'הנחות עבודה'!$D$201</f>
        <v>16.3</v>
      </c>
      <c r="K25" s="1325">
        <f>+'הנחות עבודה'!$D$201</f>
        <v>16.3</v>
      </c>
      <c r="L25" s="1325">
        <f>+'הנחות עבודה'!$D$201</f>
        <v>16.3</v>
      </c>
      <c r="M25" s="1325">
        <f>+'הנחות עבודה'!$D$201</f>
        <v>16.3</v>
      </c>
      <c r="N25" s="1325">
        <f>+'הנחות עבודה'!$D$201</f>
        <v>16.3</v>
      </c>
      <c r="O25" s="1325">
        <f>+'הנחות עבודה'!$D$201</f>
        <v>16.3</v>
      </c>
      <c r="P25" s="1325">
        <f>+'הנחות עבודה'!$D$201</f>
        <v>16.3</v>
      </c>
      <c r="Q25" s="1325">
        <f>+'הנחות עבודה'!$D$201</f>
        <v>16.3</v>
      </c>
      <c r="R25" s="1325">
        <f>+'הנחות עבודה'!$D$201</f>
        <v>16.3</v>
      </c>
      <c r="S25" s="1325">
        <f>+'הנחות עבודה'!$D$201</f>
        <v>16.3</v>
      </c>
      <c r="T25" s="1325">
        <f>+'הנחות עבודה'!$D$201</f>
        <v>16.3</v>
      </c>
      <c r="U25" s="1325">
        <f>+'הנחות עבודה'!$D$201</f>
        <v>16.3</v>
      </c>
      <c r="V25" s="1325">
        <f>+'הנחות עבודה'!$D$201</f>
        <v>16.3</v>
      </c>
      <c r="W25" s="1325">
        <f>+'הנחות עבודה'!$D$201</f>
        <v>16.3</v>
      </c>
      <c r="X25" s="1325">
        <f>+'הנחות עבודה'!$D$201</f>
        <v>16.3</v>
      </c>
      <c r="Y25" s="1325">
        <f>+'הנחות עבודה'!$D$201</f>
        <v>16.3</v>
      </c>
      <c r="Z25" s="1325">
        <f>+'הנחות עבודה'!$D$201</f>
        <v>16.3</v>
      </c>
      <c r="AA25" s="1325">
        <f>+'הנחות עבודה'!$D$201</f>
        <v>16.3</v>
      </c>
      <c r="AB25" s="1325">
        <f>+'הנחות עבודה'!$D$201</f>
        <v>16.3</v>
      </c>
      <c r="AC25" s="1325">
        <f>+'הנחות עבודה'!$D$201</f>
        <v>16.3</v>
      </c>
      <c r="AD25" s="1325">
        <f>+'הנחות עבודה'!$D$201</f>
        <v>16.3</v>
      </c>
      <c r="AE25" s="1325">
        <f>+'הנחות עבודה'!$D$201</f>
        <v>16.3</v>
      </c>
      <c r="AF25" s="1325">
        <f>+'הנחות עבודה'!$D$201</f>
        <v>16.3</v>
      </c>
      <c r="AG25" s="1325">
        <f>+'הנחות עבודה'!$D$201</f>
        <v>16.3</v>
      </c>
      <c r="AH25" s="1325">
        <f>+'הנחות עבודה'!$D$201</f>
        <v>16.3</v>
      </c>
      <c r="AI25" s="1325">
        <f>+'הנחות עבודה'!$D$201</f>
        <v>16.3</v>
      </c>
      <c r="AJ25" s="1325">
        <f>+'הנחות עבודה'!$D$201</f>
        <v>16.3</v>
      </c>
      <c r="AK25" s="1325">
        <f>+'הנחות עבודה'!$D$201</f>
        <v>16.3</v>
      </c>
      <c r="AL25" s="1325">
        <f>+'הנחות עבודה'!$D$201</f>
        <v>16.3</v>
      </c>
      <c r="AM25" s="1325">
        <f>+'הנחות עבודה'!$D$201</f>
        <v>16.3</v>
      </c>
      <c r="AN25" s="1325">
        <f>+'הנחות עבודה'!$D$201</f>
        <v>16.3</v>
      </c>
      <c r="AO25" s="1325">
        <f>+'הנחות עבודה'!$D$201</f>
        <v>16.3</v>
      </c>
      <c r="AP25" s="1325">
        <f>+'הנחות עבודה'!$D$201</f>
        <v>16.3</v>
      </c>
      <c r="AQ25" s="1325">
        <f>+'הנחות עבודה'!$D$201</f>
        <v>16.3</v>
      </c>
      <c r="AR25" s="1325">
        <f>+'הנחות עבודה'!$D$201</f>
        <v>16.3</v>
      </c>
      <c r="AS25" s="1325">
        <f>+'הנחות עבודה'!$D$201</f>
        <v>16.3</v>
      </c>
      <c r="AT25" s="1325">
        <f>+'הנחות עבודה'!$D$201</f>
        <v>16.3</v>
      </c>
      <c r="AU25" s="1325">
        <f>+'הנחות עבודה'!$D$201</f>
        <v>16.3</v>
      </c>
      <c r="AV25" s="1325">
        <f>+'הנחות עבודה'!$D$201</f>
        <v>16.3</v>
      </c>
      <c r="AW25" s="1325">
        <f>+'הנחות עבודה'!$D$201</f>
        <v>16.3</v>
      </c>
      <c r="AX25" s="1325">
        <f>+'הנחות עבודה'!$D$201</f>
        <v>16.3</v>
      </c>
      <c r="AY25" s="1325">
        <f>+'הנחות עבודה'!$D$201</f>
        <v>16.3</v>
      </c>
      <c r="AZ25" s="1325">
        <f>+'הנחות עבודה'!$D$201</f>
        <v>16.3</v>
      </c>
      <c r="BA25" s="1325">
        <f>+'הנחות עבודה'!$D$201</f>
        <v>16.3</v>
      </c>
      <c r="BB25" s="1325">
        <f>+'הנחות עבודה'!$D$201</f>
        <v>16.3</v>
      </c>
      <c r="BC25" s="1325">
        <f>+'הנחות עבודה'!$D$201</f>
        <v>16.3</v>
      </c>
      <c r="BD25" s="1325">
        <f>+'הנחות עבודה'!$D$201</f>
        <v>16.3</v>
      </c>
      <c r="BE25" s="1325">
        <f>+'הנחות עבודה'!$D$201</f>
        <v>16.3</v>
      </c>
      <c r="BF25" s="1325">
        <f>+'הנחות עבודה'!$D$201</f>
        <v>16.3</v>
      </c>
    </row>
    <row r="26" spans="1:58" x14ac:dyDescent="0.2">
      <c r="A26" s="622"/>
      <c r="B26" s="622"/>
      <c r="C26" s="654" t="s">
        <v>1396</v>
      </c>
      <c r="D26" s="1325">
        <f>+'הנחות עבודה'!$D$198</f>
        <v>10.8</v>
      </c>
      <c r="E26" s="1325">
        <f>+'הנחות עבודה'!$D$198</f>
        <v>10.8</v>
      </c>
      <c r="F26" s="1325">
        <f>+'הנחות עבודה'!$D$198</f>
        <v>10.8</v>
      </c>
      <c r="G26" s="1325">
        <f>+'הנחות עבודה'!$D$198</f>
        <v>10.8</v>
      </c>
      <c r="H26" s="1325">
        <f>+'הנחות עבודה'!$D$198</f>
        <v>10.8</v>
      </c>
      <c r="I26" s="1325">
        <f>+'הנחות עבודה'!$D$198</f>
        <v>10.8</v>
      </c>
      <c r="J26" s="1325">
        <f>+'הנחות עבודה'!$D$198</f>
        <v>10.8</v>
      </c>
      <c r="K26" s="1325">
        <f>+'הנחות עבודה'!$D$198</f>
        <v>10.8</v>
      </c>
      <c r="L26" s="1325">
        <f>+'הנחות עבודה'!$D$198</f>
        <v>10.8</v>
      </c>
      <c r="M26" s="1325">
        <f>+'הנחות עבודה'!$D$198</f>
        <v>10.8</v>
      </c>
      <c r="N26" s="1325">
        <f>+'הנחות עבודה'!$D$198</f>
        <v>10.8</v>
      </c>
      <c r="O26" s="1325">
        <f>+'הנחות עבודה'!$D$198</f>
        <v>10.8</v>
      </c>
      <c r="P26" s="1325">
        <f>+'הנחות עבודה'!$D$198</f>
        <v>10.8</v>
      </c>
      <c r="Q26" s="1325">
        <f>+'הנחות עבודה'!$D$198</f>
        <v>10.8</v>
      </c>
      <c r="R26" s="1325">
        <f>+'הנחות עבודה'!$D$198</f>
        <v>10.8</v>
      </c>
      <c r="S26" s="1325">
        <f>+'הנחות עבודה'!$D$198</f>
        <v>10.8</v>
      </c>
      <c r="T26" s="1325">
        <f>+'הנחות עבודה'!$D$198</f>
        <v>10.8</v>
      </c>
      <c r="U26" s="1325">
        <f>+'הנחות עבודה'!$D$198</f>
        <v>10.8</v>
      </c>
      <c r="V26" s="1325">
        <f>+'הנחות עבודה'!$D$198</f>
        <v>10.8</v>
      </c>
      <c r="W26" s="1325">
        <f>+'הנחות עבודה'!$D$198</f>
        <v>10.8</v>
      </c>
      <c r="X26" s="1325">
        <f>+'הנחות עבודה'!$D$198</f>
        <v>10.8</v>
      </c>
      <c r="Y26" s="1325">
        <f>+'הנחות עבודה'!$D$198</f>
        <v>10.8</v>
      </c>
      <c r="Z26" s="1325">
        <f>+'הנחות עבודה'!$D$198</f>
        <v>10.8</v>
      </c>
      <c r="AA26" s="1325">
        <f>+'הנחות עבודה'!$D$198</f>
        <v>10.8</v>
      </c>
      <c r="AB26" s="1325">
        <f>+'הנחות עבודה'!$D$198</f>
        <v>10.8</v>
      </c>
      <c r="AC26" s="1325">
        <f>+'הנחות עבודה'!$D$198</f>
        <v>10.8</v>
      </c>
      <c r="AD26" s="1325">
        <f>+'הנחות עבודה'!$D$198</f>
        <v>10.8</v>
      </c>
      <c r="AE26" s="1325">
        <f>+'הנחות עבודה'!$D$198</f>
        <v>10.8</v>
      </c>
      <c r="AF26" s="1325">
        <f>+'הנחות עבודה'!$D$198</f>
        <v>10.8</v>
      </c>
      <c r="AG26" s="1325">
        <f>+'הנחות עבודה'!$D$198</f>
        <v>10.8</v>
      </c>
      <c r="AH26" s="1325">
        <f>+'הנחות עבודה'!$D$198</f>
        <v>10.8</v>
      </c>
      <c r="AI26" s="1325">
        <f>+'הנחות עבודה'!$D$198</f>
        <v>10.8</v>
      </c>
      <c r="AJ26" s="1325">
        <f>+'הנחות עבודה'!$D$198</f>
        <v>10.8</v>
      </c>
      <c r="AK26" s="1325">
        <f>+'הנחות עבודה'!$D$198</f>
        <v>10.8</v>
      </c>
      <c r="AL26" s="1325">
        <f>+'הנחות עבודה'!$D$198</f>
        <v>10.8</v>
      </c>
      <c r="AM26" s="1325">
        <f>+'הנחות עבודה'!$D$198</f>
        <v>10.8</v>
      </c>
      <c r="AN26" s="1325">
        <f>+'הנחות עבודה'!$D$198</f>
        <v>10.8</v>
      </c>
      <c r="AO26" s="1325">
        <f>+'הנחות עבודה'!$D$198</f>
        <v>10.8</v>
      </c>
      <c r="AP26" s="1325">
        <f>+'הנחות עבודה'!$D$198</f>
        <v>10.8</v>
      </c>
      <c r="AQ26" s="1325">
        <f>+'הנחות עבודה'!$D$198</f>
        <v>10.8</v>
      </c>
      <c r="AR26" s="1325">
        <f>+'הנחות עבודה'!$D$198</f>
        <v>10.8</v>
      </c>
      <c r="AS26" s="1325">
        <f>+'הנחות עבודה'!$D$198</f>
        <v>10.8</v>
      </c>
      <c r="AT26" s="1325">
        <f>+'הנחות עבודה'!$D$198</f>
        <v>10.8</v>
      </c>
      <c r="AU26" s="1325">
        <f>+'הנחות עבודה'!$D$198</f>
        <v>10.8</v>
      </c>
      <c r="AV26" s="1325">
        <f>+'הנחות עבודה'!$D$198</f>
        <v>10.8</v>
      </c>
      <c r="AW26" s="1325">
        <f>+'הנחות עבודה'!$D$198</f>
        <v>10.8</v>
      </c>
      <c r="AX26" s="1325">
        <f>+'הנחות עבודה'!$D$198</f>
        <v>10.8</v>
      </c>
      <c r="AY26" s="1325">
        <f>+'הנחות עבודה'!$D$198</f>
        <v>10.8</v>
      </c>
      <c r="AZ26" s="1325">
        <f>+'הנחות עבודה'!$D$198</f>
        <v>10.8</v>
      </c>
      <c r="BA26" s="1325">
        <f>+'הנחות עבודה'!$D$198</f>
        <v>10.8</v>
      </c>
      <c r="BB26" s="1325">
        <f>+'הנחות עבודה'!$D$198</f>
        <v>10.8</v>
      </c>
      <c r="BC26" s="1325">
        <f>+'הנחות עבודה'!$D$198</f>
        <v>10.8</v>
      </c>
      <c r="BD26" s="1325">
        <f>+'הנחות עבודה'!$D$198</f>
        <v>10.8</v>
      </c>
      <c r="BE26" s="1325">
        <f>+'הנחות עבודה'!$D$198</f>
        <v>10.8</v>
      </c>
      <c r="BF26" s="1325">
        <f>+'הנחות עבודה'!$D$198</f>
        <v>10.8</v>
      </c>
    </row>
    <row r="27" spans="1:58" x14ac:dyDescent="0.2">
      <c r="A27" s="622"/>
      <c r="B27" s="622"/>
      <c r="C27" s="654" t="s">
        <v>1383</v>
      </c>
      <c r="D27" s="1325">
        <f>+'הנחות עבודה'!$D$197</f>
        <v>7.8000000000000007</v>
      </c>
      <c r="E27" s="1325">
        <f>+'הנחות עבודה'!$D$197</f>
        <v>7.8000000000000007</v>
      </c>
      <c r="F27" s="1325">
        <f>+'הנחות עבודה'!$D$197</f>
        <v>7.8000000000000007</v>
      </c>
      <c r="G27" s="1325">
        <f>+'הנחות עבודה'!$D$197</f>
        <v>7.8000000000000007</v>
      </c>
      <c r="H27" s="1325">
        <f>+'הנחות עבודה'!$D$197</f>
        <v>7.8000000000000007</v>
      </c>
      <c r="I27" s="1325">
        <f>+'הנחות עבודה'!$D$197</f>
        <v>7.8000000000000007</v>
      </c>
      <c r="J27" s="1325">
        <f>+'הנחות עבודה'!$D$197</f>
        <v>7.8000000000000007</v>
      </c>
      <c r="K27" s="1325">
        <f>+'הנחות עבודה'!$D$197</f>
        <v>7.8000000000000007</v>
      </c>
      <c r="L27" s="1325">
        <f>+'הנחות עבודה'!$D$197</f>
        <v>7.8000000000000007</v>
      </c>
      <c r="M27" s="1325">
        <f>+'הנחות עבודה'!$D$197</f>
        <v>7.8000000000000007</v>
      </c>
      <c r="N27" s="1325">
        <f>+'הנחות עבודה'!$D$197</f>
        <v>7.8000000000000007</v>
      </c>
      <c r="O27" s="1325">
        <f>+'הנחות עבודה'!$D$197</f>
        <v>7.8000000000000007</v>
      </c>
      <c r="P27" s="1325">
        <f>+'הנחות עבודה'!$D$197</f>
        <v>7.8000000000000007</v>
      </c>
      <c r="Q27" s="1325">
        <f>+'הנחות עבודה'!$D$197</f>
        <v>7.8000000000000007</v>
      </c>
      <c r="R27" s="1325">
        <f>+'הנחות עבודה'!$D$197</f>
        <v>7.8000000000000007</v>
      </c>
      <c r="S27" s="1325">
        <f>+'הנחות עבודה'!$D$197</f>
        <v>7.8000000000000007</v>
      </c>
      <c r="T27" s="1325">
        <f>+'הנחות עבודה'!$D$197</f>
        <v>7.8000000000000007</v>
      </c>
      <c r="U27" s="1325">
        <f>+'הנחות עבודה'!$D$197</f>
        <v>7.8000000000000007</v>
      </c>
      <c r="V27" s="1325">
        <f>+'הנחות עבודה'!$D$197</f>
        <v>7.8000000000000007</v>
      </c>
      <c r="W27" s="1325">
        <f>+'הנחות עבודה'!$D$197</f>
        <v>7.8000000000000007</v>
      </c>
      <c r="X27" s="1325">
        <f>+'הנחות עבודה'!$D$197</f>
        <v>7.8000000000000007</v>
      </c>
      <c r="Y27" s="1325">
        <f>+'הנחות עבודה'!$D$197</f>
        <v>7.8000000000000007</v>
      </c>
      <c r="Z27" s="1325">
        <f>+'הנחות עבודה'!$D$197</f>
        <v>7.8000000000000007</v>
      </c>
      <c r="AA27" s="1325">
        <f>+'הנחות עבודה'!$D$197</f>
        <v>7.8000000000000007</v>
      </c>
      <c r="AB27" s="1325">
        <f>+'הנחות עבודה'!$D$197</f>
        <v>7.8000000000000007</v>
      </c>
      <c r="AC27" s="1325">
        <f>+'הנחות עבודה'!$D$197</f>
        <v>7.8000000000000007</v>
      </c>
      <c r="AD27" s="1325">
        <f>+'הנחות עבודה'!$D$197</f>
        <v>7.8000000000000007</v>
      </c>
      <c r="AE27" s="1325">
        <f>+'הנחות עבודה'!$D$197</f>
        <v>7.8000000000000007</v>
      </c>
      <c r="AF27" s="1325">
        <f>+'הנחות עבודה'!$D$197</f>
        <v>7.8000000000000007</v>
      </c>
      <c r="AG27" s="1325">
        <f>+'הנחות עבודה'!$D$197</f>
        <v>7.8000000000000007</v>
      </c>
      <c r="AH27" s="1325">
        <f>+'הנחות עבודה'!$D$197</f>
        <v>7.8000000000000007</v>
      </c>
      <c r="AI27" s="1325">
        <f>+'הנחות עבודה'!$D$197</f>
        <v>7.8000000000000007</v>
      </c>
      <c r="AJ27" s="1325">
        <f>+'הנחות עבודה'!$D$197</f>
        <v>7.8000000000000007</v>
      </c>
      <c r="AK27" s="1325">
        <f>+'הנחות עבודה'!$D$197</f>
        <v>7.8000000000000007</v>
      </c>
      <c r="AL27" s="1325">
        <f>+'הנחות עבודה'!$D$197</f>
        <v>7.8000000000000007</v>
      </c>
      <c r="AM27" s="1325">
        <f>+'הנחות עבודה'!$D$197</f>
        <v>7.8000000000000007</v>
      </c>
      <c r="AN27" s="1325">
        <f>+'הנחות עבודה'!$D$197</f>
        <v>7.8000000000000007</v>
      </c>
      <c r="AO27" s="1325">
        <f>+'הנחות עבודה'!$D$197</f>
        <v>7.8000000000000007</v>
      </c>
      <c r="AP27" s="1325">
        <f>+'הנחות עבודה'!$D$197</f>
        <v>7.8000000000000007</v>
      </c>
      <c r="AQ27" s="1325">
        <f>+'הנחות עבודה'!$D$197</f>
        <v>7.8000000000000007</v>
      </c>
      <c r="AR27" s="1325">
        <f>+'הנחות עבודה'!$D$197</f>
        <v>7.8000000000000007</v>
      </c>
      <c r="AS27" s="1325">
        <f>+'הנחות עבודה'!$D$197</f>
        <v>7.8000000000000007</v>
      </c>
      <c r="AT27" s="1325">
        <f>+'הנחות עבודה'!$D$197</f>
        <v>7.8000000000000007</v>
      </c>
      <c r="AU27" s="1325">
        <f>+'הנחות עבודה'!$D$197</f>
        <v>7.8000000000000007</v>
      </c>
      <c r="AV27" s="1325">
        <f>+'הנחות עבודה'!$D$197</f>
        <v>7.8000000000000007</v>
      </c>
      <c r="AW27" s="1325">
        <f>+'הנחות עבודה'!$D$197</f>
        <v>7.8000000000000007</v>
      </c>
      <c r="AX27" s="1325">
        <f>+'הנחות עבודה'!$D$197</f>
        <v>7.8000000000000007</v>
      </c>
      <c r="AY27" s="1325">
        <f>+'הנחות עבודה'!$D$197</f>
        <v>7.8000000000000007</v>
      </c>
      <c r="AZ27" s="1325">
        <f>+'הנחות עבודה'!$D$197</f>
        <v>7.8000000000000007</v>
      </c>
      <c r="BA27" s="1325">
        <f>+'הנחות עבודה'!$D$197</f>
        <v>7.8000000000000007</v>
      </c>
      <c r="BB27" s="1325">
        <f>+'הנחות עבודה'!$D$197</f>
        <v>7.8000000000000007</v>
      </c>
      <c r="BC27" s="1325">
        <f>+'הנחות עבודה'!$D$197</f>
        <v>7.8000000000000007</v>
      </c>
      <c r="BD27" s="1325">
        <f>+'הנחות עבודה'!$D$197</f>
        <v>7.8000000000000007</v>
      </c>
      <c r="BE27" s="1325">
        <f>+'הנחות עבודה'!$D$197</f>
        <v>7.8000000000000007</v>
      </c>
      <c r="BF27" s="1325">
        <f>+'הנחות עבודה'!$D$197</f>
        <v>7.8000000000000007</v>
      </c>
    </row>
    <row r="28" spans="1:58" x14ac:dyDescent="0.2">
      <c r="A28" s="622"/>
      <c r="B28" s="622"/>
      <c r="C28" s="654" t="s">
        <v>1749</v>
      </c>
      <c r="D28" s="1325">
        <f>+'הנחות עבודה'!$D$199+'הנחות עבודה'!$D$200</f>
        <v>11.4</v>
      </c>
      <c r="E28" s="1325">
        <f>+'הנחות עבודה'!$D$199+'הנחות עבודה'!$D$200</f>
        <v>11.4</v>
      </c>
      <c r="F28" s="1325">
        <f>+'הנחות עבודה'!$D$199+'הנחות עבודה'!$D$200</f>
        <v>11.4</v>
      </c>
      <c r="G28" s="1325">
        <f>+'הנחות עבודה'!$D$199+'הנחות עבודה'!$D$200</f>
        <v>11.4</v>
      </c>
      <c r="H28" s="1325">
        <f>+'הנחות עבודה'!$D$199+'הנחות עבודה'!$D$200</f>
        <v>11.4</v>
      </c>
      <c r="I28" s="1325">
        <f>+'הנחות עבודה'!$D$199+'הנחות עבודה'!$D$200</f>
        <v>11.4</v>
      </c>
      <c r="J28" s="1325">
        <f>+'הנחות עבודה'!$D$199+'הנחות עבודה'!$D$200</f>
        <v>11.4</v>
      </c>
      <c r="K28" s="1325">
        <f>+'הנחות עבודה'!$D$199+'הנחות עבודה'!$D$200</f>
        <v>11.4</v>
      </c>
      <c r="L28" s="1325">
        <f>+'הנחות עבודה'!$D$199+'הנחות עבודה'!$D$200</f>
        <v>11.4</v>
      </c>
      <c r="M28" s="1325">
        <f>+'הנחות עבודה'!$D$199+'הנחות עבודה'!$D$200</f>
        <v>11.4</v>
      </c>
      <c r="N28" s="1325">
        <f>+'הנחות עבודה'!$D$199+'הנחות עבודה'!$D$200</f>
        <v>11.4</v>
      </c>
      <c r="O28" s="1325">
        <f>+'הנחות עבודה'!$D$199+'הנחות עבודה'!$D$200</f>
        <v>11.4</v>
      </c>
      <c r="P28" s="1325">
        <f>+'הנחות עבודה'!$D$199+'הנחות עבודה'!$D$200</f>
        <v>11.4</v>
      </c>
      <c r="Q28" s="1325">
        <f>+'הנחות עבודה'!$D$199+'הנחות עבודה'!$D$200</f>
        <v>11.4</v>
      </c>
      <c r="R28" s="1325">
        <f>+'הנחות עבודה'!$D$199+'הנחות עבודה'!$D$200</f>
        <v>11.4</v>
      </c>
      <c r="S28" s="1325">
        <f>+'הנחות עבודה'!$D$199+'הנחות עבודה'!$D$200</f>
        <v>11.4</v>
      </c>
      <c r="T28" s="1325">
        <f>+'הנחות עבודה'!$D$199+'הנחות עבודה'!$D$200</f>
        <v>11.4</v>
      </c>
      <c r="U28" s="1325">
        <f>+'הנחות עבודה'!$D$199+'הנחות עבודה'!$D$200</f>
        <v>11.4</v>
      </c>
      <c r="V28" s="1325">
        <f>+'הנחות עבודה'!$D$199+'הנחות עבודה'!$D$200</f>
        <v>11.4</v>
      </c>
      <c r="W28" s="1325">
        <f>+'הנחות עבודה'!$D$199+'הנחות עבודה'!$D$200</f>
        <v>11.4</v>
      </c>
      <c r="X28" s="1325">
        <f>+'הנחות עבודה'!$D$199+'הנחות עבודה'!$D$200</f>
        <v>11.4</v>
      </c>
      <c r="Y28" s="1325">
        <f>+'הנחות עבודה'!$D$199+'הנחות עבודה'!$D$200</f>
        <v>11.4</v>
      </c>
      <c r="Z28" s="1325">
        <f>+'הנחות עבודה'!$D$199+'הנחות עבודה'!$D$200</f>
        <v>11.4</v>
      </c>
      <c r="AA28" s="1325">
        <f>+'הנחות עבודה'!$D$199+'הנחות עבודה'!$D$200</f>
        <v>11.4</v>
      </c>
      <c r="AB28" s="1325">
        <f>+'הנחות עבודה'!$D$199+'הנחות עבודה'!$D$200</f>
        <v>11.4</v>
      </c>
      <c r="AC28" s="1325">
        <f>+'הנחות עבודה'!$D$199+'הנחות עבודה'!$D$200</f>
        <v>11.4</v>
      </c>
      <c r="AD28" s="1325">
        <f>+'הנחות עבודה'!$D$199+'הנחות עבודה'!$D$200</f>
        <v>11.4</v>
      </c>
      <c r="AE28" s="1325">
        <f>+'הנחות עבודה'!$D$199+'הנחות עבודה'!$D$200</f>
        <v>11.4</v>
      </c>
      <c r="AF28" s="1325">
        <f>+'הנחות עבודה'!$D$199+'הנחות עבודה'!$D$200</f>
        <v>11.4</v>
      </c>
      <c r="AG28" s="1325">
        <f>+'הנחות עבודה'!$D$199+'הנחות עבודה'!$D$200</f>
        <v>11.4</v>
      </c>
      <c r="AH28" s="1325">
        <f>+'הנחות עבודה'!$D$199+'הנחות עבודה'!$D$200</f>
        <v>11.4</v>
      </c>
      <c r="AI28" s="1325">
        <f>+'הנחות עבודה'!$D$199+'הנחות עבודה'!$D$200</f>
        <v>11.4</v>
      </c>
      <c r="AJ28" s="1325">
        <f>+'הנחות עבודה'!$D$199+'הנחות עבודה'!$D$200</f>
        <v>11.4</v>
      </c>
      <c r="AK28" s="1325">
        <f>+'הנחות עבודה'!$D$199+'הנחות עבודה'!$D$200</f>
        <v>11.4</v>
      </c>
      <c r="AL28" s="1325">
        <f>+'הנחות עבודה'!$D$199+'הנחות עבודה'!$D$200</f>
        <v>11.4</v>
      </c>
      <c r="AM28" s="1325">
        <f>+'הנחות עבודה'!$D$199+'הנחות עבודה'!$D$200</f>
        <v>11.4</v>
      </c>
      <c r="AN28" s="1325">
        <f>+'הנחות עבודה'!$D$199+'הנחות עבודה'!$D$200</f>
        <v>11.4</v>
      </c>
      <c r="AO28" s="1325">
        <f>+'הנחות עבודה'!$D$199+'הנחות עבודה'!$D$200</f>
        <v>11.4</v>
      </c>
      <c r="AP28" s="1325">
        <f>+'הנחות עבודה'!$D$199+'הנחות עבודה'!$D$200</f>
        <v>11.4</v>
      </c>
      <c r="AQ28" s="1325">
        <f>+'הנחות עבודה'!$D$199+'הנחות עבודה'!$D$200</f>
        <v>11.4</v>
      </c>
      <c r="AR28" s="1325">
        <f>+'הנחות עבודה'!$D$199+'הנחות עבודה'!$D$200</f>
        <v>11.4</v>
      </c>
      <c r="AS28" s="1325">
        <f>+'הנחות עבודה'!$D$199+'הנחות עבודה'!$D$200</f>
        <v>11.4</v>
      </c>
      <c r="AT28" s="1325">
        <f>+'הנחות עבודה'!$D$199+'הנחות עבודה'!$D$200</f>
        <v>11.4</v>
      </c>
      <c r="AU28" s="1325">
        <f>+'הנחות עבודה'!$D$199+'הנחות עבודה'!$D$200</f>
        <v>11.4</v>
      </c>
      <c r="AV28" s="1325">
        <f>+'הנחות עבודה'!$D$199+'הנחות עבודה'!$D$200</f>
        <v>11.4</v>
      </c>
      <c r="AW28" s="1325">
        <f>+'הנחות עבודה'!$D$199+'הנחות עבודה'!$D$200</f>
        <v>11.4</v>
      </c>
      <c r="AX28" s="1325">
        <f>+'הנחות עבודה'!$D$199+'הנחות עבודה'!$D$200</f>
        <v>11.4</v>
      </c>
      <c r="AY28" s="1325">
        <f>+'הנחות עבודה'!$D$199+'הנחות עבודה'!$D$200</f>
        <v>11.4</v>
      </c>
      <c r="AZ28" s="1325">
        <f>+'הנחות עבודה'!$D$199+'הנחות עבודה'!$D$200</f>
        <v>11.4</v>
      </c>
      <c r="BA28" s="1325">
        <f>+'הנחות עבודה'!$D$199+'הנחות עבודה'!$D$200</f>
        <v>11.4</v>
      </c>
      <c r="BB28" s="1325">
        <f>+'הנחות עבודה'!$D$199+'הנחות עבודה'!$D$200</f>
        <v>11.4</v>
      </c>
      <c r="BC28" s="1325">
        <f>+'הנחות עבודה'!$D$199+'הנחות עבודה'!$D$200</f>
        <v>11.4</v>
      </c>
      <c r="BD28" s="1325">
        <f>+'הנחות עבודה'!$D$199+'הנחות עבודה'!$D$200</f>
        <v>11.4</v>
      </c>
      <c r="BE28" s="1325">
        <f>+'הנחות עבודה'!$D$199+'הנחות עבודה'!$D$200</f>
        <v>11.4</v>
      </c>
      <c r="BF28" s="1325">
        <f>+'הנחות עבודה'!$D$199+'הנחות עבודה'!$D$200</f>
        <v>11.4</v>
      </c>
    </row>
    <row r="29" spans="1:58" x14ac:dyDescent="0.2">
      <c r="A29" s="622"/>
      <c r="B29" s="622"/>
      <c r="C29" s="654" t="s">
        <v>1750</v>
      </c>
      <c r="D29" s="1325">
        <f>+'הנחות עבודה'!$D$146</f>
        <v>180</v>
      </c>
      <c r="E29" s="1325">
        <f>+'הנחות עבודה'!$D$146</f>
        <v>180</v>
      </c>
      <c r="F29" s="1325">
        <f>+'הנחות עבודה'!$D$146</f>
        <v>180</v>
      </c>
      <c r="G29" s="1325">
        <f>+'הנחות עבודה'!$D$146</f>
        <v>180</v>
      </c>
      <c r="H29" s="1325">
        <f>+'הנחות עבודה'!$D$146</f>
        <v>180</v>
      </c>
      <c r="I29" s="1325">
        <f>+'הנחות עבודה'!$D$146</f>
        <v>180</v>
      </c>
      <c r="J29" s="1325">
        <f>+'הנחות עבודה'!$D$146</f>
        <v>180</v>
      </c>
      <c r="K29" s="1325">
        <f>+'הנחות עבודה'!$D$146</f>
        <v>180</v>
      </c>
      <c r="L29" s="1325">
        <f>+'הנחות עבודה'!$D$146</f>
        <v>180</v>
      </c>
      <c r="M29" s="1325">
        <f>+'הנחות עבודה'!$D$146</f>
        <v>180</v>
      </c>
      <c r="N29" s="1325">
        <f>+'הנחות עבודה'!$D$146</f>
        <v>180</v>
      </c>
      <c r="O29" s="1325">
        <f>+'הנחות עבודה'!$D$146</f>
        <v>180</v>
      </c>
      <c r="P29" s="1325">
        <f>+'הנחות עבודה'!$D$146</f>
        <v>180</v>
      </c>
      <c r="Q29" s="1325">
        <f>+'הנחות עבודה'!$D$146</f>
        <v>180</v>
      </c>
      <c r="R29" s="1325">
        <f>+'הנחות עבודה'!$D$146</f>
        <v>180</v>
      </c>
      <c r="S29" s="1325">
        <f>+'הנחות עבודה'!$D$146</f>
        <v>180</v>
      </c>
      <c r="T29" s="1325">
        <f>+'הנחות עבודה'!$D$146</f>
        <v>180</v>
      </c>
      <c r="U29" s="1325">
        <f>+'הנחות עבודה'!$D$146</f>
        <v>180</v>
      </c>
      <c r="V29" s="1325">
        <f>+'הנחות עבודה'!$D$146</f>
        <v>180</v>
      </c>
      <c r="W29" s="1325">
        <f>+'הנחות עבודה'!$D$146</f>
        <v>180</v>
      </c>
      <c r="X29" s="1325">
        <f>+'הנחות עבודה'!$D$146</f>
        <v>180</v>
      </c>
      <c r="Y29" s="1325">
        <f>+'הנחות עבודה'!$D$146</f>
        <v>180</v>
      </c>
      <c r="Z29" s="1325">
        <f>+'הנחות עבודה'!$D$146</f>
        <v>180</v>
      </c>
      <c r="AA29" s="1325">
        <f>+'הנחות עבודה'!$D$146</f>
        <v>180</v>
      </c>
      <c r="AB29" s="1325">
        <f>+'הנחות עבודה'!$D$146</f>
        <v>180</v>
      </c>
      <c r="AC29" s="1325">
        <f>+'הנחות עבודה'!$D$146</f>
        <v>180</v>
      </c>
      <c r="AD29" s="1325">
        <f>+'הנחות עבודה'!$D$146</f>
        <v>180</v>
      </c>
      <c r="AE29" s="1325">
        <f>+'הנחות עבודה'!$D$146</f>
        <v>180</v>
      </c>
      <c r="AF29" s="1325">
        <f>+'הנחות עבודה'!$D$146</f>
        <v>180</v>
      </c>
      <c r="AG29" s="1325">
        <f>+'הנחות עבודה'!$D$146</f>
        <v>180</v>
      </c>
      <c r="AH29" s="1325">
        <f>+'הנחות עבודה'!$D$146</f>
        <v>180</v>
      </c>
      <c r="AI29" s="1325">
        <f>+'הנחות עבודה'!$D$146</f>
        <v>180</v>
      </c>
      <c r="AJ29" s="1325">
        <f>+'הנחות עבודה'!$D$146</f>
        <v>180</v>
      </c>
      <c r="AK29" s="1325">
        <f>+'הנחות עבודה'!$D$146</f>
        <v>180</v>
      </c>
      <c r="AL29" s="1325">
        <f>+'הנחות עבודה'!$D$146</f>
        <v>180</v>
      </c>
      <c r="AM29" s="1325">
        <f>+'הנחות עבודה'!$D$146</f>
        <v>180</v>
      </c>
      <c r="AN29" s="1325">
        <f>+'הנחות עבודה'!$D$146</f>
        <v>180</v>
      </c>
      <c r="AO29" s="1325">
        <f>+'הנחות עבודה'!$D$146</f>
        <v>180</v>
      </c>
      <c r="AP29" s="1325">
        <f>+'הנחות עבודה'!$D$146</f>
        <v>180</v>
      </c>
      <c r="AQ29" s="1325">
        <f>+'הנחות עבודה'!$D$146</f>
        <v>180</v>
      </c>
      <c r="AR29" s="1325">
        <f>+'הנחות עבודה'!$D$146</f>
        <v>180</v>
      </c>
      <c r="AS29" s="1325">
        <f>+'הנחות עבודה'!$D$146</f>
        <v>180</v>
      </c>
      <c r="AT29" s="1325">
        <f>+'הנחות עבודה'!$D$146</f>
        <v>180</v>
      </c>
      <c r="AU29" s="1325">
        <f>+'הנחות עבודה'!$D$146</f>
        <v>180</v>
      </c>
      <c r="AV29" s="1325">
        <f>+'הנחות עבודה'!$D$146</f>
        <v>180</v>
      </c>
      <c r="AW29" s="1325">
        <f>+'הנחות עבודה'!$D$146</f>
        <v>180</v>
      </c>
      <c r="AX29" s="1325">
        <f>+'הנחות עבודה'!$D$146</f>
        <v>180</v>
      </c>
      <c r="AY29" s="1325">
        <f>+'הנחות עבודה'!$D$146</f>
        <v>180</v>
      </c>
      <c r="AZ29" s="1325">
        <f>+'הנחות עבודה'!$D$146</f>
        <v>180</v>
      </c>
      <c r="BA29" s="1325">
        <f>+'הנחות עבודה'!$D$146</f>
        <v>180</v>
      </c>
      <c r="BB29" s="1325">
        <f>+'הנחות עבודה'!$D$146</f>
        <v>180</v>
      </c>
      <c r="BC29" s="1325">
        <f>+'הנחות עבודה'!$D$146</f>
        <v>180</v>
      </c>
      <c r="BD29" s="1325">
        <f>+'הנחות עבודה'!$D$146</f>
        <v>180</v>
      </c>
      <c r="BE29" s="1325">
        <f>+'הנחות עבודה'!$D$146</f>
        <v>180</v>
      </c>
      <c r="BF29" s="1325">
        <f>+'הנחות עבודה'!$D$146</f>
        <v>180</v>
      </c>
    </row>
    <row r="30" spans="1:58" x14ac:dyDescent="0.2">
      <c r="A30" s="622"/>
      <c r="B30" s="622"/>
      <c r="C30" s="654" t="s">
        <v>1728</v>
      </c>
      <c r="D30" s="1327">
        <v>36</v>
      </c>
      <c r="E30" s="1327">
        <v>36</v>
      </c>
      <c r="F30" s="1327">
        <v>36</v>
      </c>
      <c r="G30" s="1327">
        <v>36</v>
      </c>
      <c r="H30" s="1327">
        <v>36</v>
      </c>
      <c r="I30" s="1327">
        <v>36</v>
      </c>
      <c r="J30" s="1327">
        <v>36</v>
      </c>
      <c r="K30" s="1327">
        <v>36</v>
      </c>
      <c r="L30" s="1327">
        <v>36</v>
      </c>
      <c r="M30" s="1327">
        <v>36</v>
      </c>
      <c r="N30" s="1327">
        <v>36</v>
      </c>
      <c r="O30" s="1327">
        <v>36</v>
      </c>
      <c r="P30" s="1327">
        <v>36</v>
      </c>
      <c r="Q30" s="1327">
        <v>36</v>
      </c>
      <c r="R30" s="1327">
        <v>36</v>
      </c>
      <c r="S30" s="1327">
        <v>36</v>
      </c>
      <c r="T30" s="1327">
        <v>36</v>
      </c>
      <c r="U30" s="1327">
        <v>36</v>
      </c>
      <c r="V30" s="1327">
        <v>36</v>
      </c>
      <c r="W30" s="1327">
        <v>36</v>
      </c>
      <c r="X30" s="1327">
        <v>36</v>
      </c>
      <c r="Y30" s="1327">
        <v>36</v>
      </c>
      <c r="Z30" s="1327">
        <v>36</v>
      </c>
      <c r="AA30" s="1327">
        <v>36</v>
      </c>
      <c r="AB30" s="1327">
        <v>36</v>
      </c>
      <c r="AC30" s="1327">
        <v>36</v>
      </c>
      <c r="AD30" s="1327">
        <v>36</v>
      </c>
      <c r="AE30" s="1327">
        <v>36</v>
      </c>
      <c r="AF30" s="1327">
        <v>36</v>
      </c>
      <c r="AG30" s="1327">
        <v>36</v>
      </c>
      <c r="AH30" s="1327">
        <v>36</v>
      </c>
      <c r="AI30" s="1327">
        <v>36</v>
      </c>
      <c r="AJ30" s="1327">
        <v>36</v>
      </c>
      <c r="AK30" s="1327">
        <v>36</v>
      </c>
      <c r="AL30" s="1327">
        <v>36</v>
      </c>
      <c r="AM30" s="1327">
        <v>36</v>
      </c>
      <c r="AN30" s="1327">
        <v>36</v>
      </c>
      <c r="AO30" s="1327">
        <v>36</v>
      </c>
      <c r="AP30" s="1327">
        <v>36</v>
      </c>
      <c r="AQ30" s="1327">
        <v>36</v>
      </c>
      <c r="AR30" s="1327">
        <v>36</v>
      </c>
      <c r="AS30" s="1327">
        <v>36</v>
      </c>
      <c r="AT30" s="1327">
        <v>36</v>
      </c>
      <c r="AU30" s="1327">
        <v>36</v>
      </c>
      <c r="AV30" s="1327">
        <v>36</v>
      </c>
      <c r="AW30" s="1327">
        <v>36</v>
      </c>
      <c r="AX30" s="1327">
        <v>36</v>
      </c>
      <c r="AY30" s="1327">
        <v>36</v>
      </c>
      <c r="AZ30" s="1327">
        <v>36</v>
      </c>
      <c r="BA30" s="1327">
        <v>36</v>
      </c>
      <c r="BB30" s="1327">
        <v>36</v>
      </c>
      <c r="BC30" s="1327">
        <v>36</v>
      </c>
      <c r="BD30" s="1327">
        <v>36</v>
      </c>
      <c r="BE30" s="1327">
        <v>36</v>
      </c>
      <c r="BF30" s="1327">
        <v>36</v>
      </c>
    </row>
    <row r="31" spans="1:58" x14ac:dyDescent="0.2">
      <c r="A31" s="622"/>
      <c r="B31" s="622"/>
      <c r="C31" s="654" t="s">
        <v>657</v>
      </c>
      <c r="D31" s="1328">
        <f>+HLOOKUP(D4,'נתוני תאגידים'!$1:$425,425,0)/1000</f>
        <v>178.28800000000001</v>
      </c>
      <c r="E31" s="1328">
        <f>+HLOOKUP(E4,'נתוני תאגידים'!$1:$425,425,0)/1000</f>
        <v>131.52600000000001</v>
      </c>
      <c r="F31" s="1328">
        <f>+HLOOKUP(F4,'נתוני תאגידים'!$1:$425,425,0)/1000</f>
        <v>53.585999999999999</v>
      </c>
      <c r="G31" s="1328">
        <f>+HLOOKUP(G4,'נתוני תאגידים'!$1:$425,425,0)/1000</f>
        <v>880.83199999999999</v>
      </c>
      <c r="H31" s="1328">
        <f>+HLOOKUP(H4,'נתוני תאגידים'!$1:$425,425,0)/1000</f>
        <v>217.959</v>
      </c>
      <c r="I31" s="1328">
        <f>+HLOOKUP(I4,'נתוני תאגידים'!$1:$425,425,0)/1000</f>
        <v>25.041</v>
      </c>
      <c r="J31" s="1328">
        <f>+HLOOKUP(J4,'נתוני תאגידים'!$1:$425,425,0)/1000</f>
        <v>77.95</v>
      </c>
      <c r="K31" s="1328">
        <f>+HLOOKUP(K4,'נתוני תאגידים'!$1:$425,425,0)/1000</f>
        <v>86.774000000000001</v>
      </c>
      <c r="L31" s="1328">
        <f>+HLOOKUP(L4,'נתוני תאגידים'!$1:$425,425,0)/1000</f>
        <v>72.155000000000001</v>
      </c>
      <c r="M31" s="1328">
        <f>+HLOOKUP(M4,'נתוני תאגידים'!$1:$425,425,0)/1000</f>
        <v>108.91</v>
      </c>
      <c r="N31" s="1328">
        <f>+HLOOKUP(N4,'נתוני תאגידים'!$1:$425,425,0)/1000</f>
        <v>202.428</v>
      </c>
      <c r="O31" s="1328">
        <f>+HLOOKUP(O4,'נתוני תאגידים'!$1:$425,425,0)/1000</f>
        <v>126.61199999999999</v>
      </c>
      <c r="P31" s="1328">
        <f>+HLOOKUP(P4,'נתוני תאגידים'!$1:$425,425,0)/1000</f>
        <v>68.34</v>
      </c>
      <c r="Q31" s="1328">
        <f>+HLOOKUP(Q4,'נתוני תאגידים'!$1:$425,425,0)/1000</f>
        <v>47.243000000000002</v>
      </c>
      <c r="R31" s="1328">
        <f>+HLOOKUP(R4,'נתוני תאגידים'!$1:$425,425,0)/1000</f>
        <v>226.381</v>
      </c>
      <c r="S31" s="1328">
        <f>+HLOOKUP(S4,'נתוני תאגידים'!$1:$425,425,0)/1000</f>
        <v>242.26599999999999</v>
      </c>
      <c r="T31" s="1328">
        <f>+HLOOKUP(T4,'נתוני תאגידים'!$1:$425,425,0)/1000</f>
        <v>272.25700000000001</v>
      </c>
      <c r="U31" s="1328">
        <f>+HLOOKUP(U4,'נתוני תאגידים'!$1:$425,425,0)/1000</f>
        <v>240.666</v>
      </c>
      <c r="V31" s="1328">
        <f>+HLOOKUP(V4,'נתוני תאגידים'!$1:$425,425,0)/1000</f>
        <v>48.945999999999998</v>
      </c>
      <c r="W31" s="1328">
        <f>+HLOOKUP(W4,'נתוני תאגידים'!$1:$425,425,0)/1000</f>
        <v>116.361</v>
      </c>
      <c r="X31" s="1328">
        <f>+HLOOKUP(X4,'נתוני תאגידים'!$1:$425,425,0)/1000</f>
        <v>126.405</v>
      </c>
      <c r="Y31" s="1328">
        <f>+HLOOKUP(Y4,'נתוני תאגידים'!$1:$425,425,0)/1000</f>
        <v>86.97</v>
      </c>
      <c r="Z31" s="1328">
        <f>+HLOOKUP(Z4,'נתוני תאגידים'!$1:$425,425,0)/1000</f>
        <v>40.905000000000001</v>
      </c>
      <c r="AA31" s="1328">
        <f>+HLOOKUP(AA4,'נתוני תאגידים'!$1:$425,425,0)/1000</f>
        <v>54.326999999999998</v>
      </c>
      <c r="AB31" s="1328">
        <f>+HLOOKUP(AB4,'נתוני תאגידים'!$1:$425,425,0)/1000</f>
        <v>70.206000000000003</v>
      </c>
      <c r="AC31" s="1328">
        <f>+HLOOKUP(AC4,'נתוני תאגידים'!$1:$425,425,0)/1000</f>
        <v>50.57</v>
      </c>
      <c r="AD31" s="1328">
        <f>+HLOOKUP(AD4,'נתוני תאגידים'!$1:$425,425,0)/1000</f>
        <v>90.733000000000004</v>
      </c>
      <c r="AE31" s="1328">
        <f>+HLOOKUP(AE4,'נתוני תאגידים'!$1:$425,425,0)/1000</f>
        <v>44.05</v>
      </c>
      <c r="AF31" s="1328">
        <f>+HLOOKUP(AF4,'נתוני תאגידים'!$1:$425,425,0)/1000</f>
        <v>277.08199999999999</v>
      </c>
      <c r="AG31" s="1328">
        <f>+HLOOKUP(AG4,'נתוני תאגידים'!$1:$425,425,0)/1000</f>
        <v>61.442</v>
      </c>
      <c r="AH31" s="1328">
        <f>+HLOOKUP(AH4,'נתוני תאגידים'!$1:$425,425,0)/1000</f>
        <v>44.633000000000003</v>
      </c>
      <c r="AI31" s="1328">
        <f>+HLOOKUP(AI4,'נתוני תאגידים'!$1:$425,425,0)/1000</f>
        <v>60.426000000000002</v>
      </c>
      <c r="AJ31" s="1328">
        <f>+HLOOKUP(AJ4,'נתוני תאגידים'!$1:$425,425,0)/1000</f>
        <v>42.164999999999999</v>
      </c>
      <c r="AK31" s="1328">
        <f>+HLOOKUP(AK4,'נתוני תאגידים'!$1:$425,425,0)/1000</f>
        <v>49.892000000000003</v>
      </c>
      <c r="AL31" s="1328">
        <f>+HLOOKUP(AL4,'נתוני תאגידים'!$1:$425,425,0)/1000</f>
        <v>39.031999999999996</v>
      </c>
      <c r="AM31" s="1328">
        <f>+HLOOKUP(AM4,'נתוני תאגידים'!$1:$425,425,0)/1000</f>
        <v>426.13799999999998</v>
      </c>
      <c r="AN31" s="1328">
        <f>+HLOOKUP(AN4,'נתוני תאגידים'!$1:$425,425,0)/1000</f>
        <v>70.906000000000006</v>
      </c>
      <c r="AO31" s="1328">
        <f>+HLOOKUP(AO4,'נתוני תאגידים'!$1:$425,425,0)/1000</f>
        <v>150.917</v>
      </c>
      <c r="AP31" s="1328">
        <f>+HLOOKUP(AP4,'נתוני תאגידים'!$1:$425,425,0)/1000</f>
        <v>56.848999999999997</v>
      </c>
      <c r="AQ31" s="1328">
        <f>+HLOOKUP(AQ4,'נתוני תאגידים'!$1:$425,425,0)/1000</f>
        <v>128.49799999999999</v>
      </c>
      <c r="AR31" s="1328">
        <f>+HLOOKUP(AR4,'נתוני תאגידים'!$1:$425,425,0)/1000</f>
        <v>65.078999999999994</v>
      </c>
      <c r="AS31" s="1328">
        <f>+HLOOKUP(AS4,'נתוני תאגידים'!$1:$425,425,0)/1000</f>
        <v>147.19499999999999</v>
      </c>
      <c r="AT31" s="1328">
        <f>+HLOOKUP(AT4,'נתוני תאגידים'!$1:$425,425,0)/1000</f>
        <v>47.463999999999999</v>
      </c>
      <c r="AU31" s="1328">
        <f>+HLOOKUP(AU4,'נתוני תאגידים'!$1:$425,425,0)/1000</f>
        <v>38.945</v>
      </c>
      <c r="AV31" s="1328">
        <f>+HLOOKUP(AV4,'נתוני תאגידים'!$1:$425,425,0)/1000</f>
        <v>54.134</v>
      </c>
      <c r="AW31" s="1328">
        <f>+HLOOKUP(AW4,'נתוני תאגידים'!$1:$425,425,0)/1000</f>
        <v>74.117000000000004</v>
      </c>
      <c r="AX31" s="1328">
        <f>+HLOOKUP(AX4,'נתוני תאגידים'!$1:$425,425,0)/1000</f>
        <v>107.274</v>
      </c>
      <c r="AY31" s="1328">
        <f>+HLOOKUP(AY4,'נתוני תאגידים'!$1:$425,425,0)/1000</f>
        <v>157.119</v>
      </c>
      <c r="AZ31" s="1328">
        <f>+HLOOKUP(AZ4,'נתוני תאגידים'!$1:$425,425,0)/1000</f>
        <v>71.39</v>
      </c>
      <c r="BA31" s="1328">
        <f>+HLOOKUP(BA4,'נתוני תאגידים'!$1:$425,425,0)/1000</f>
        <v>68.153000000000006</v>
      </c>
      <c r="BB31" s="1328">
        <f>+HLOOKUP(BB4,'נתוני תאגידים'!$1:$425,425,0)/1000</f>
        <v>98.084000000000003</v>
      </c>
      <c r="BC31" s="1328">
        <f>+HLOOKUP(BC4,'נתוני תאגידים'!$1:$425,425,0)/1000</f>
        <v>55.003999999999998</v>
      </c>
      <c r="BD31" s="1328">
        <f>+HLOOKUP(BD4,'נתוני תאגידים'!$1:$425,425,0)/1000</f>
        <v>90.76</v>
      </c>
      <c r="BE31" s="1328">
        <f>+HLOOKUP(BE4,'נתוני תאגידים'!$1:$425,425,0)/1000</f>
        <v>9.1120000000000001</v>
      </c>
      <c r="BF31" s="1328">
        <f>+HLOOKUP(BF4,'נתוני תאגידים'!$1:$425,425,0)/1000</f>
        <v>15.606</v>
      </c>
    </row>
    <row r="32" spans="1:58" x14ac:dyDescent="0.2">
      <c r="A32" s="622"/>
      <c r="B32" s="622"/>
      <c r="C32" s="654" t="s">
        <v>1074</v>
      </c>
      <c r="D32" s="1328">
        <f>+HLOOKUP(D4,'פירוט נכסי מים וביוב'!$1:$290,279,0)</f>
        <v>1</v>
      </c>
      <c r="E32" s="1328">
        <f>+HLOOKUP(E4,'פירוט נכסי מים וביוב'!$1:$290,279,0)</f>
        <v>5</v>
      </c>
      <c r="F32" s="1328">
        <f>+HLOOKUP(F4,'פירוט נכסי מים וביוב'!$1:$290,279,0)</f>
        <v>7</v>
      </c>
      <c r="G32" s="1328">
        <f>+HLOOKUP(G4,'פירוט נכסי מים וביוב'!$1:$290,279,0)</f>
        <v>3</v>
      </c>
      <c r="H32" s="1328">
        <f>+HLOOKUP(H4,'פירוט נכסי מים וביוב'!$1:$290,279,0)</f>
        <v>1</v>
      </c>
      <c r="I32" s="1328">
        <f>+HLOOKUP(I4,'פירוט נכסי מים וביוב'!$1:$290,279,0)</f>
        <v>2</v>
      </c>
      <c r="J32" s="1328">
        <f>+HLOOKUP(J4,'פירוט נכסי מים וביוב'!$1:$290,279,0)</f>
        <v>7</v>
      </c>
      <c r="K32" s="1328">
        <f>+HLOOKUP(K4,'פירוט נכסי מים וביוב'!$1:$290,279,0)</f>
        <v>1</v>
      </c>
      <c r="L32" s="1328">
        <f>+HLOOKUP(L4,'פירוט נכסי מים וביוב'!$1:$290,279,0)</f>
        <v>1</v>
      </c>
      <c r="M32" s="1328">
        <f>+HLOOKUP(M4,'פירוט נכסי מים וביוב'!$1:$290,279,0)</f>
        <v>3</v>
      </c>
      <c r="N32" s="1328">
        <f>+HLOOKUP(N4,'פירוט נכסי מים וביוב'!$1:$290,279,0)</f>
        <v>1</v>
      </c>
      <c r="O32" s="1328">
        <f>+HLOOKUP(O4,'פירוט נכסי מים וביוב'!$1:$290,279,0)</f>
        <v>7</v>
      </c>
      <c r="P32" s="1328">
        <f>+HLOOKUP(P4,'פירוט נכסי מים וביוב'!$1:$290,279,0)</f>
        <v>3</v>
      </c>
      <c r="Q32" s="1328">
        <f>+HLOOKUP(Q4,'פירוט נכסי מים וביוב'!$1:$290,279,0)</f>
        <v>4</v>
      </c>
      <c r="R32" s="1328">
        <f>+HLOOKUP(R4,'פירוט נכסי מים וביוב'!$1:$290,279,0)</f>
        <v>2</v>
      </c>
      <c r="S32" s="1328">
        <f>+HLOOKUP(S4,'פירוט נכסי מים וביוב'!$1:$290,279,0)</f>
        <v>4</v>
      </c>
      <c r="T32" s="1328">
        <f>+HLOOKUP(T4,'פירוט נכסי מים וביוב'!$1:$290,279,0)</f>
        <v>3</v>
      </c>
      <c r="U32" s="1328">
        <f>+HLOOKUP(U4,'פירוט נכסי מים וביוב'!$1:$290,279,0)</f>
        <v>1</v>
      </c>
      <c r="V32" s="1328">
        <f>+HLOOKUP(V4,'פירוט נכסי מים וביוב'!$1:$290,279,0)</f>
        <v>1</v>
      </c>
      <c r="W32" s="1328">
        <f>+HLOOKUP(W4,'פירוט נכסי מים וביוב'!$1:$290,279,0)</f>
        <v>13</v>
      </c>
      <c r="X32" s="1328">
        <f>+HLOOKUP(X4,'פירוט נכסי מים וביוב'!$1:$290,279,0)</f>
        <v>4</v>
      </c>
      <c r="Y32" s="1328">
        <f>+HLOOKUP(Y4,'פירוט נכסי מים וביוב'!$1:$290,279,0)</f>
        <v>1</v>
      </c>
      <c r="Z32" s="1328">
        <f>+HLOOKUP(Z4,'פירוט נכסי מים וביוב'!$1:$290,279,0)</f>
        <v>4</v>
      </c>
      <c r="AA32" s="1328">
        <f>+HLOOKUP(AA4,'פירוט נכסי מים וביוב'!$1:$290,279,0)</f>
        <v>2</v>
      </c>
      <c r="AB32" s="1328">
        <f>+HLOOKUP(AB4,'פירוט נכסי מים וביוב'!$1:$290,279,0)</f>
        <v>1</v>
      </c>
      <c r="AC32" s="1328">
        <f>+HLOOKUP(AC4,'פירוט נכסי מים וביוב'!$1:$290,279,0)</f>
        <v>1</v>
      </c>
      <c r="AD32" s="1328">
        <f>+HLOOKUP(AD4,'פירוט נכסי מים וביוב'!$1:$290,279,0)</f>
        <v>1</v>
      </c>
      <c r="AE32" s="1328">
        <f>+HLOOKUP(AE4,'פירוט נכסי מים וביוב'!$1:$290,279,0)</f>
        <v>1</v>
      </c>
      <c r="AF32" s="1328">
        <f>+HLOOKUP(AF4,'פירוט נכסי מים וביוב'!$1:$290,279,0)</f>
        <v>1</v>
      </c>
      <c r="AG32" s="1328">
        <f>+HLOOKUP(AG4,'פירוט נכסי מים וביוב'!$1:$290,279,0)</f>
        <v>2</v>
      </c>
      <c r="AH32" s="1328">
        <f>+HLOOKUP(AH4,'פירוט נכסי מים וביוב'!$1:$290,279,0)</f>
        <v>1</v>
      </c>
      <c r="AI32" s="1328">
        <f>+HLOOKUP(AI4,'פירוט נכסי מים וביוב'!$1:$290,279,0)</f>
        <v>1</v>
      </c>
      <c r="AJ32" s="1328">
        <f>+HLOOKUP(AJ4,'פירוט נכסי מים וביוב'!$1:$290,279,0)</f>
        <v>1</v>
      </c>
      <c r="AK32" s="1328">
        <f>+HLOOKUP(AK4,'פירוט נכסי מים וביוב'!$1:$290,279,0)</f>
        <v>2</v>
      </c>
      <c r="AL32" s="1328">
        <f>+HLOOKUP(AL4,'פירוט נכסי מים וביוב'!$1:$290,279,0)</f>
        <v>1</v>
      </c>
      <c r="AM32" s="1328">
        <f>+HLOOKUP(AM4,'פירוט נכסי מים וביוב'!$1:$290,279,0)</f>
        <v>1</v>
      </c>
      <c r="AN32" s="1328">
        <f>+HLOOKUP(AN4,'פירוט נכסי מים וביוב'!$1:$290,279,0)</f>
        <v>5</v>
      </c>
      <c r="AO32" s="1328">
        <f>+HLOOKUP(AO4,'פירוט נכסי מים וביוב'!$1:$290,279,0)</f>
        <v>1</v>
      </c>
      <c r="AP32" s="1328">
        <f>+HLOOKUP(AP4,'פירוט נכסי מים וביוב'!$1:$290,279,0)</f>
        <v>1</v>
      </c>
      <c r="AQ32" s="1328">
        <f>+HLOOKUP(AQ4,'פירוט נכסי מים וביוב'!$1:$290,279,0)</f>
        <v>1</v>
      </c>
      <c r="AR32" s="1328">
        <f>+HLOOKUP(AR4,'פירוט נכסי מים וביוב'!$1:$290,279,0)</f>
        <v>2</v>
      </c>
      <c r="AS32" s="1328">
        <f>+HLOOKUP(AS4,'פירוט נכסי מים וביוב'!$1:$290,279,0)</f>
        <v>11</v>
      </c>
      <c r="AT32" s="1328">
        <f>+HLOOKUP(AT4,'פירוט נכסי מים וביוב'!$1:$290,279,0)</f>
        <v>1</v>
      </c>
      <c r="AU32" s="1328">
        <f>+HLOOKUP(AU4,'פירוט נכסי מים וביוב'!$1:$290,279,0)</f>
        <v>1</v>
      </c>
      <c r="AV32" s="1328">
        <f>+HLOOKUP(AV4,'פירוט נכסי מים וביוב'!$1:$290,279,0)</f>
        <v>1</v>
      </c>
      <c r="AW32" s="1328">
        <f>+HLOOKUP(AW4,'פירוט נכסי מים וביוב'!$1:$290,279,0)</f>
        <v>7</v>
      </c>
      <c r="AX32" s="1328">
        <f>+HLOOKUP(AX4,'פירוט נכסי מים וביוב'!$1:$290,279,0)</f>
        <v>7</v>
      </c>
      <c r="AY32" s="1328">
        <f>+HLOOKUP(AY4,'פירוט נכסי מים וביוב'!$1:$290,279,0)</f>
        <v>2</v>
      </c>
      <c r="AZ32" s="1328">
        <f>+HLOOKUP(AZ4,'פירוט נכסי מים וביוב'!$1:$290,279,0)</f>
        <v>4</v>
      </c>
      <c r="BA32" s="1328">
        <f>+HLOOKUP(BA4,'פירוט נכסי מים וביוב'!$1:$290,279,0)</f>
        <v>4</v>
      </c>
      <c r="BB32" s="1328">
        <f>+HLOOKUP(BB4,'פירוט נכסי מים וביוב'!$1:$290,279,0)</f>
        <v>1</v>
      </c>
      <c r="BC32" s="1328">
        <f>+HLOOKUP(BC4,'פירוט נכסי מים וביוב'!$1:$290,279,0)</f>
        <v>3</v>
      </c>
      <c r="BD32" s="1328">
        <f>+HLOOKUP(BD4,'פירוט נכסי מים וביוב'!$1:$290,279,0)</f>
        <v>6</v>
      </c>
      <c r="BE32" s="1328">
        <f>+HLOOKUP(BE4,'פירוט נכסי מים וביוב'!$1:$290,279,0)</f>
        <v>2</v>
      </c>
      <c r="BF32" s="1328">
        <f>+HLOOKUP(BF4,'פירוט נכסי מים וביוב'!$1:$290,279,0)</f>
        <v>1</v>
      </c>
    </row>
    <row r="33" spans="1:58" x14ac:dyDescent="0.2">
      <c r="A33" s="622"/>
      <c r="B33" s="622"/>
      <c r="C33" s="654" t="s">
        <v>671</v>
      </c>
      <c r="D33" s="1328" t="str">
        <f>+IF(D32=1,"חד רשותי","רב רשותי")</f>
        <v>חד רשותי</v>
      </c>
      <c r="E33" s="1328" t="str">
        <f t="shared" ref="E33:BF33" si="1">+IF(E32=1,"חד רשותי","רב רשותי")</f>
        <v>רב רשותי</v>
      </c>
      <c r="F33" s="1328" t="str">
        <f t="shared" si="1"/>
        <v>רב רשותי</v>
      </c>
      <c r="G33" s="1328" t="str">
        <f t="shared" si="1"/>
        <v>רב רשותי</v>
      </c>
      <c r="H33" s="1328" t="str">
        <f t="shared" si="1"/>
        <v>חד רשותי</v>
      </c>
      <c r="I33" s="1328" t="str">
        <f t="shared" si="1"/>
        <v>רב רשותי</v>
      </c>
      <c r="J33" s="1328" t="str">
        <f t="shared" si="1"/>
        <v>רב רשותי</v>
      </c>
      <c r="K33" s="1328" t="str">
        <f t="shared" si="1"/>
        <v>חד רשותי</v>
      </c>
      <c r="L33" s="1328" t="str">
        <f t="shared" si="1"/>
        <v>חד רשותי</v>
      </c>
      <c r="M33" s="1328" t="str">
        <f t="shared" si="1"/>
        <v>רב רשותי</v>
      </c>
      <c r="N33" s="1328" t="str">
        <f t="shared" si="1"/>
        <v>חד רשותי</v>
      </c>
      <c r="O33" s="1328" t="str">
        <f t="shared" si="1"/>
        <v>רב רשותי</v>
      </c>
      <c r="P33" s="1328" t="str">
        <f t="shared" si="1"/>
        <v>רב רשותי</v>
      </c>
      <c r="Q33" s="1328" t="str">
        <f t="shared" si="1"/>
        <v>רב רשותי</v>
      </c>
      <c r="R33" s="1328" t="str">
        <f t="shared" si="1"/>
        <v>רב רשותי</v>
      </c>
      <c r="S33" s="1328" t="str">
        <f t="shared" si="1"/>
        <v>רב רשותי</v>
      </c>
      <c r="T33" s="1328" t="str">
        <f t="shared" si="1"/>
        <v>רב רשותי</v>
      </c>
      <c r="U33" s="1328" t="str">
        <f t="shared" si="1"/>
        <v>חד רשותי</v>
      </c>
      <c r="V33" s="1328" t="str">
        <f t="shared" si="1"/>
        <v>חד רשותי</v>
      </c>
      <c r="W33" s="1328" t="str">
        <f t="shared" si="1"/>
        <v>רב רשותי</v>
      </c>
      <c r="X33" s="1328" t="str">
        <f t="shared" si="1"/>
        <v>רב רשותי</v>
      </c>
      <c r="Y33" s="1328" t="str">
        <f t="shared" si="1"/>
        <v>חד רשותי</v>
      </c>
      <c r="Z33" s="1328" t="str">
        <f t="shared" si="1"/>
        <v>רב רשותי</v>
      </c>
      <c r="AA33" s="1328" t="str">
        <f t="shared" si="1"/>
        <v>רב רשותי</v>
      </c>
      <c r="AB33" s="1328" t="str">
        <f t="shared" si="1"/>
        <v>חד רשותי</v>
      </c>
      <c r="AC33" s="1328" t="str">
        <f t="shared" si="1"/>
        <v>חד רשותי</v>
      </c>
      <c r="AD33" s="1328" t="str">
        <f t="shared" si="1"/>
        <v>חד רשותי</v>
      </c>
      <c r="AE33" s="1328" t="str">
        <f t="shared" si="1"/>
        <v>חד רשותי</v>
      </c>
      <c r="AF33" s="1328" t="str">
        <f t="shared" si="1"/>
        <v>חד רשותי</v>
      </c>
      <c r="AG33" s="1328" t="str">
        <f t="shared" si="1"/>
        <v>רב רשותי</v>
      </c>
      <c r="AH33" s="1328" t="str">
        <f t="shared" si="1"/>
        <v>חד רשותי</v>
      </c>
      <c r="AI33" s="1328" t="str">
        <f t="shared" si="1"/>
        <v>חד רשותי</v>
      </c>
      <c r="AJ33" s="1328" t="str">
        <f t="shared" si="1"/>
        <v>חד רשותי</v>
      </c>
      <c r="AK33" s="1328" t="str">
        <f t="shared" si="1"/>
        <v>רב רשותי</v>
      </c>
      <c r="AL33" s="1328" t="str">
        <f t="shared" si="1"/>
        <v>חד רשותי</v>
      </c>
      <c r="AM33" s="1328" t="str">
        <f t="shared" si="1"/>
        <v>חד רשותי</v>
      </c>
      <c r="AN33" s="1328" t="str">
        <f t="shared" si="1"/>
        <v>רב רשותי</v>
      </c>
      <c r="AO33" s="1328" t="str">
        <f t="shared" si="1"/>
        <v>חד רשותי</v>
      </c>
      <c r="AP33" s="1328" t="str">
        <f t="shared" si="1"/>
        <v>חד רשותי</v>
      </c>
      <c r="AQ33" s="1328" t="str">
        <f t="shared" si="1"/>
        <v>חד רשותי</v>
      </c>
      <c r="AR33" s="1328" t="str">
        <f t="shared" si="1"/>
        <v>רב רשותי</v>
      </c>
      <c r="AS33" s="1328" t="str">
        <f t="shared" si="1"/>
        <v>רב רשותי</v>
      </c>
      <c r="AT33" s="1328" t="str">
        <f t="shared" si="1"/>
        <v>חד רשותי</v>
      </c>
      <c r="AU33" s="1328" t="str">
        <f t="shared" si="1"/>
        <v>חד רשותי</v>
      </c>
      <c r="AV33" s="1328" t="str">
        <f t="shared" si="1"/>
        <v>חד רשותי</v>
      </c>
      <c r="AW33" s="1328" t="str">
        <f t="shared" si="1"/>
        <v>רב רשותי</v>
      </c>
      <c r="AX33" s="1328" t="str">
        <f t="shared" si="1"/>
        <v>רב רשותי</v>
      </c>
      <c r="AY33" s="1328" t="str">
        <f t="shared" si="1"/>
        <v>רב רשותי</v>
      </c>
      <c r="AZ33" s="1328" t="str">
        <f t="shared" si="1"/>
        <v>רב רשותי</v>
      </c>
      <c r="BA33" s="1328" t="str">
        <f t="shared" si="1"/>
        <v>רב רשותי</v>
      </c>
      <c r="BB33" s="1328" t="str">
        <f t="shared" si="1"/>
        <v>חד רשותי</v>
      </c>
      <c r="BC33" s="1328" t="str">
        <f t="shared" si="1"/>
        <v>רב רשותי</v>
      </c>
      <c r="BD33" s="1328" t="str">
        <f t="shared" si="1"/>
        <v>רב רשותי</v>
      </c>
      <c r="BE33" s="1328" t="str">
        <f t="shared" si="1"/>
        <v>רב רשותי</v>
      </c>
      <c r="BF33" s="1328" t="str">
        <f t="shared" si="1"/>
        <v>חד רשותי</v>
      </c>
    </row>
    <row r="34" spans="1:58" x14ac:dyDescent="0.2">
      <c r="C34" s="1231"/>
      <c r="D34" s="1329"/>
    </row>
    <row r="35" spans="1:58" x14ac:dyDescent="0.2">
      <c r="C35" s="1231"/>
      <c r="D35" s="1330"/>
      <c r="G35" s="1068"/>
    </row>
    <row r="36" spans="1:58" ht="14.25" customHeight="1" x14ac:dyDescent="0.2">
      <c r="A36" s="1845" t="s">
        <v>1751</v>
      </c>
      <c r="B36" s="1331"/>
      <c r="C36" s="376" t="s">
        <v>1752</v>
      </c>
      <c r="D36" s="1332">
        <f>+HLOOKUP(D4,'תחשיב עלות תפעול לשנת 2016'!$4:$150,92,0)*D21*D6/D9</f>
        <v>507.99519271823635</v>
      </c>
      <c r="E36" s="1332">
        <f>+HLOOKUP(E4,'תחשיב עלות תפעול לשנת 2016'!$4:$150,92,0)*E21*E6/E9</f>
        <v>443.07323337868172</v>
      </c>
      <c r="F36" s="1332">
        <f>+HLOOKUP(F4,'תחשיב עלות תפעול לשנת 2016'!$4:$150,92,0)*F21*F6/F9</f>
        <v>371.08737491792999</v>
      </c>
      <c r="G36" s="1332">
        <f>+HLOOKUP(G4,'תחשיב עלות תפעול לשנת 2016'!$4:$150,92,0)*G21*G6/G9</f>
        <v>2378.513900112082</v>
      </c>
      <c r="H36" s="1332">
        <f>+HLOOKUP(H4,'תחשיב עלות תפעול לשנת 2016'!$4:$150,92,0)*H21*H6/H9</f>
        <v>800.49858017631357</v>
      </c>
      <c r="I36" s="1332">
        <f>+HLOOKUP(I4,'תחשיב עלות תפעול לשנת 2016'!$4:$150,92,0)*I21*I6/I9</f>
        <v>576.9</v>
      </c>
      <c r="J36" s="1332">
        <f>+HLOOKUP(J4,'תחשיב עלות תפעול לשנת 2016'!$4:$150,92,0)*J21*J6/J9</f>
        <v>205.61986061703578</v>
      </c>
      <c r="K36" s="1332">
        <f>+HLOOKUP(K4,'תחשיב עלות תפעול לשנת 2016'!$4:$150,92,0)*K21*K6/K9</f>
        <v>327.02039606109048</v>
      </c>
      <c r="L36" s="1332">
        <f>+HLOOKUP(L4,'תחשיב עלות תפעול לשנת 2016'!$4:$150,92,0)*L21*L6/L9</f>
        <v>239.23258279406144</v>
      </c>
      <c r="M36" s="1332">
        <f>+HLOOKUP(M4,'תחשיב עלות תפעול לשנת 2016'!$4:$150,92,0)*M21*M6/M9</f>
        <v>470.99142318774773</v>
      </c>
      <c r="N36" s="1332">
        <f>+HLOOKUP(N4,'תחשיב עלות תפעול לשנת 2016'!$4:$150,92,0)*N21*N6/N9</f>
        <v>752.16937067539766</v>
      </c>
      <c r="O36" s="1332">
        <f>+HLOOKUP(O4,'תחשיב עלות תפעול לשנת 2016'!$4:$150,92,0)*O21*O6/O9</f>
        <v>415.01762836377617</v>
      </c>
      <c r="P36" s="1332">
        <f>+HLOOKUP(P4,'תחשיב עלות תפעול לשנת 2016'!$4:$150,92,0)*P21*P6/P9</f>
        <v>265.25982627855478</v>
      </c>
      <c r="Q36" s="1332">
        <f>+HLOOKUP(Q4,'תחשיב עלות תפעול לשנת 2016'!$4:$150,92,0)*Q21*Q6/Q9</f>
        <v>410.55269104973803</v>
      </c>
      <c r="R36" s="1332">
        <f>+HLOOKUP(R4,'תחשיב עלות תפעול לשנת 2016'!$4:$150,92,0)*R21*R6/R9</f>
        <v>962.06250051609686</v>
      </c>
      <c r="S36" s="1332">
        <f>+HLOOKUP(S4,'תחשיב עלות תפעול לשנת 2016'!$4:$150,92,0)*S21*S6/S9</f>
        <v>871.19646400833926</v>
      </c>
      <c r="T36" s="1332">
        <f>+HLOOKUP(T4,'תחשיב עלות תפעול לשנת 2016'!$4:$150,92,0)*T21*T6/T9</f>
        <v>926.66427762682883</v>
      </c>
      <c r="U36" s="1332">
        <f>+HLOOKUP(U4,'תחשיב עלות תפעול לשנת 2016'!$4:$150,92,0)*U21*U6/U9</f>
        <v>880.7961774188409</v>
      </c>
      <c r="V36" s="1332">
        <f>+HLOOKUP(V4,'תחשיב עלות תפעול לשנת 2016'!$4:$150,92,0)*V21*V6/V9</f>
        <v>903.81</v>
      </c>
      <c r="W36" s="1332">
        <f>+HLOOKUP(W4,'תחשיב עלות תפעול לשנת 2016'!$4:$150,92,0)*W21*W6/W9</f>
        <v>747.57320210319085</v>
      </c>
      <c r="X36" s="1332">
        <f>+HLOOKUP(X4,'תחשיב עלות תפעול לשנת 2016'!$4:$150,92,0)*X21*X6/X9</f>
        <v>387.87968254731749</v>
      </c>
      <c r="Y36" s="1332">
        <f>+HLOOKUP(Y4,'תחשיב עלות תפעול לשנת 2016'!$4:$150,92,0)*Y21*Y6/Y9</f>
        <v>288.23811835211706</v>
      </c>
      <c r="Z36" s="1332">
        <f>+HLOOKUP(Z4,'תחשיב עלות תפעול לשנת 2016'!$4:$150,92,0)*Z21*Z6/Z9</f>
        <v>229.32836677521925</v>
      </c>
      <c r="AA36" s="1332">
        <f>+HLOOKUP(AA4,'תחשיב עלות תפעול לשנת 2016'!$4:$150,92,0)*AA21*AA6/AA9</f>
        <v>183.76931974089419</v>
      </c>
      <c r="AB36" s="1332">
        <f>+HLOOKUP(AB4,'תחשיב עלות תפעול לשנת 2016'!$4:$150,92,0)*AB21*AB6/AB9</f>
        <v>330.42853891610633</v>
      </c>
      <c r="AC36" s="1332">
        <f>+HLOOKUP(AC4,'תחשיב עלות תפעול לשנת 2016'!$4:$150,92,0)*AC21*AC6/AC9</f>
        <v>312.11634264169788</v>
      </c>
      <c r="AD36" s="1332">
        <f>+HLOOKUP(AD4,'תחשיב עלות תפעול לשנת 2016'!$4:$150,92,0)*AD21*AD6/AD9</f>
        <v>521.00602453177953</v>
      </c>
      <c r="AE36" s="1332">
        <f>+HLOOKUP(AE4,'תחשיב עלות תפעול לשנת 2016'!$4:$150,92,0)*AE21*AE6/AE9</f>
        <v>234.3155030285518</v>
      </c>
      <c r="AF36" s="1332">
        <f>+HLOOKUP(AF4,'תחשיב עלות תפעול לשנת 2016'!$4:$150,92,0)*AF21*AF6/AF9</f>
        <v>1084.4865548000628</v>
      </c>
      <c r="AG36" s="1332">
        <f>+HLOOKUP(AG4,'תחשיב עלות תפעול לשנת 2016'!$4:$150,92,0)*AG21*AG6/AG9</f>
        <v>254.129028530743</v>
      </c>
      <c r="AH36" s="1332">
        <f>+HLOOKUP(AH4,'תחשיב עלות תפעול לשנת 2016'!$4:$150,92,0)*AH21*AH6/AH9</f>
        <v>268.47924355009508</v>
      </c>
      <c r="AI36" s="1332">
        <f>+HLOOKUP(AI4,'תחשיב עלות תפעול לשנת 2016'!$4:$150,92,0)*AI21*AI6/AI9</f>
        <v>145.91602640035401</v>
      </c>
      <c r="AJ36" s="1332">
        <f>+HLOOKUP(AJ4,'תחשיב עלות תפעול לשנת 2016'!$4:$150,92,0)*AJ21*AJ6/AJ9</f>
        <v>181.58334677861669</v>
      </c>
      <c r="AK36" s="1332">
        <f>+HLOOKUP(AK4,'תחשיב עלות תפעול לשנת 2016'!$4:$150,92,0)*AK21*AK6/AK9</f>
        <v>153.72741043355845</v>
      </c>
      <c r="AL36" s="1332">
        <f>+HLOOKUP(AL4,'תחשיב עלות תפעול לשנת 2016'!$4:$150,92,0)*AL21*AL6/AL9</f>
        <v>137.12265934119358</v>
      </c>
      <c r="AM36" s="1332">
        <f>+HLOOKUP(AM4,'תחשיב עלות תפעול לשנת 2016'!$4:$150,92,0)*AM21*AM6/AM9</f>
        <v>1955.9299139344221</v>
      </c>
      <c r="AN36" s="1332">
        <f>+HLOOKUP(AN4,'תחשיב עלות תפעול לשנת 2016'!$4:$150,92,0)*AN21*AN6/AN9</f>
        <v>258.07161840947924</v>
      </c>
      <c r="AO36" s="1332">
        <f>+HLOOKUP(AO4,'תחשיב עלות תפעול לשנת 2016'!$4:$150,92,0)*AO21*AO6/AO9</f>
        <v>509.98768635013204</v>
      </c>
      <c r="AP36" s="1332">
        <f>+HLOOKUP(AP4,'תחשיב עלות תפעול לשנת 2016'!$4:$150,92,0)*AP21*AP6/AP9</f>
        <v>158.94672786544643</v>
      </c>
      <c r="AQ36" s="1332">
        <f>+HLOOKUP(AQ4,'תחשיב עלות תפעול לשנת 2016'!$4:$150,92,0)*AQ21*AQ6/AQ9</f>
        <v>421.42519540201749</v>
      </c>
      <c r="AR36" s="1332">
        <f>+HLOOKUP(AR4,'תחשיב עלות תפעול לשנת 2016'!$4:$150,92,0)*AR21*AR6/AR9</f>
        <v>252.3277803733622</v>
      </c>
      <c r="AS36" s="1332">
        <f>+HLOOKUP(AS4,'תחשיב עלות תפעול לשנת 2016'!$4:$150,92,0)*AS21*AS6/AS9</f>
        <v>489.83163796294991</v>
      </c>
      <c r="AT36" s="1332">
        <f>+HLOOKUP(AT4,'תחשיב עלות תפעול לשנת 2016'!$4:$150,92,0)*AT21*AT6/AT9</f>
        <v>160.59682282896873</v>
      </c>
      <c r="AU36" s="1332">
        <f>+HLOOKUP(AU4,'תחשיב עלות תפעול לשנת 2016'!$4:$150,92,0)*AU21*AU6/AU9</f>
        <v>136.53194645526457</v>
      </c>
      <c r="AV36" s="1332">
        <f>+HLOOKUP(AV4,'תחשיב עלות תפעול לשנת 2016'!$4:$150,92,0)*AV21*AV6/AV9</f>
        <v>234.41383398484524</v>
      </c>
      <c r="AW36" s="1332">
        <f>+HLOOKUP(AW4,'תחשיב עלות תפעול לשנת 2016'!$4:$150,92,0)*AW21*AW6/AW9</f>
        <v>409.21118793477399</v>
      </c>
      <c r="AX36" s="1332">
        <f>+HLOOKUP(AX4,'תחשיב עלות תפעול לשנת 2016'!$4:$150,92,0)*AX21*AX6/AX9</f>
        <v>516.37294639176866</v>
      </c>
      <c r="AY36" s="1332">
        <f>+HLOOKUP(AY4,'תחשיב עלות תפעול לשנת 2016'!$4:$150,92,0)*AY21*AY6/AY9</f>
        <v>674.24196185437609</v>
      </c>
      <c r="AZ36" s="1332">
        <f>+HLOOKUP(AZ4,'תחשיב עלות תפעול לשנת 2016'!$4:$150,92,0)*AZ21*AZ6/AZ9</f>
        <v>305.24469780415984</v>
      </c>
      <c r="BA36" s="1332">
        <f>+HLOOKUP(BA4,'תחשיב עלות תפעול לשנת 2016'!$4:$150,92,0)*BA21*BA6/BA9</f>
        <v>279.07654267192152</v>
      </c>
      <c r="BB36" s="1332">
        <f>+HLOOKUP(BB4,'תחשיב עלות תפעול לשנת 2016'!$4:$150,92,0)*BB21*BB6/BB9</f>
        <v>255.66056045686332</v>
      </c>
      <c r="BC36" s="1332">
        <f>+HLOOKUP(BC4,'תחשיב עלות תפעול לשנת 2016'!$4:$150,92,0)*BC21*BC6/BC9</f>
        <v>238.18051671496579</v>
      </c>
      <c r="BD36" s="1332">
        <f>+HLOOKUP(BD4,'תחשיב עלות תפעול לשנת 2016'!$4:$150,92,0)*BD21*BD6/BD9</f>
        <v>277.85106486385428</v>
      </c>
      <c r="BE36" s="1332">
        <f>+HLOOKUP(BE4,'תחשיב עלות תפעול לשנת 2016'!$4:$150,92,0)*BE21*BE6/BE9</f>
        <v>48.548670351541389</v>
      </c>
      <c r="BF36" s="1332">
        <f>+HLOOKUP(BF4,'תחשיב עלות תפעול לשנת 2016'!$4:$150,92,0)*BF21*BF6/BF9</f>
        <v>55.286808098880414</v>
      </c>
    </row>
    <row r="37" spans="1:58" ht="12.75" customHeight="1" x14ac:dyDescent="0.2">
      <c r="A37" s="1846"/>
      <c r="B37" s="1848"/>
      <c r="C37" s="376" t="s">
        <v>1753</v>
      </c>
      <c r="D37" s="624">
        <f>+HLOOKUP(D4,'תחשיב עלות תפעול לשנת 2016'!$4:$148,27,0)*(D11/D12)*D6</f>
        <v>643.25</v>
      </c>
      <c r="E37" s="624">
        <f>+HLOOKUP(E4,'תחשיב עלות תפעול לשנת 2016'!$4:$148,27,0)*(E11/E12)*E6</f>
        <v>0</v>
      </c>
      <c r="F37" s="624">
        <f>+HLOOKUP(F4,'תחשיב עלות תפעול לשנת 2016'!$4:$148,27,0)*(F11/F12)*F6</f>
        <v>142.76</v>
      </c>
      <c r="G37" s="624">
        <f>+HLOOKUP(G4,'תחשיב עלות תפעול לשנת 2016'!$4:$148,27,0)*(G11/G12)*G6</f>
        <v>1579.49</v>
      </c>
      <c r="H37" s="624">
        <f>+HLOOKUP(H4,'תחשיב עלות תפעול לשנת 2016'!$4:$148,27,0)*(H11/H12)*H6</f>
        <v>726.25</v>
      </c>
      <c r="I37" s="624">
        <f>+HLOOKUP(I4,'תחשיב עלות תפעול לשנת 2016'!$4:$148,27,0)*(I11/I12)*I6</f>
        <v>58.099999999999994</v>
      </c>
      <c r="J37" s="624">
        <f>+HLOOKUP(J4,'תחשיב עלות תפעול לשנת 2016'!$4:$148,27,0)*(J11/J12)*J6</f>
        <v>196.70999999999998</v>
      </c>
      <c r="K37" s="624">
        <f>+HLOOKUP(K4,'תחשיב עלות תפעול לשנת 2016'!$4:$148,27,0)*(K11/K12)*K6</f>
        <v>107.89999999999999</v>
      </c>
      <c r="L37" s="624">
        <f>+HLOOKUP(L4,'תחשיב עלות תפעול לשנת 2016'!$4:$148,27,0)*(L11/L12)*L6</f>
        <v>0</v>
      </c>
      <c r="M37" s="624">
        <f>+HLOOKUP(M4,'תחשיב עלות תפעול לשנת 2016'!$4:$148,27,0)*(M11/M12)*M6</f>
        <v>390.93</v>
      </c>
      <c r="N37" s="624">
        <f>+HLOOKUP(N4,'תחשיב עלות תפעול לשנת 2016'!$4:$148,27,0)*(N11/N12)*N6</f>
        <v>361.04999999999995</v>
      </c>
      <c r="O37" s="624">
        <f>+HLOOKUP(O4,'תחשיב עלות תפעול לשנת 2016'!$4:$148,27,0)*(O11/O12)*O6</f>
        <v>716.29</v>
      </c>
      <c r="P37" s="624">
        <f>+HLOOKUP(P4,'תחשיב עלות תפעול לשנת 2016'!$4:$148,27,0)*(P11/P12)*P6</f>
        <v>0</v>
      </c>
      <c r="Q37" s="624">
        <f>+HLOOKUP(Q4,'תחשיב עלות תפעול לשנת 2016'!$4:$148,27,0)*(Q11/Q12)*Q6</f>
        <v>922.95999999999992</v>
      </c>
      <c r="R37" s="624">
        <f>+HLOOKUP(R4,'תחשיב עלות תפעול לשנת 2016'!$4:$148,27,0)*(R11/R12)*R6</f>
        <v>1284.8399999999999</v>
      </c>
      <c r="S37" s="624">
        <f>+HLOOKUP(S4,'תחשיב עלות תפעול לשנת 2016'!$4:$148,27,0)*(S11/S12)*S6</f>
        <v>195.05</v>
      </c>
      <c r="T37" s="624">
        <f>+HLOOKUP(T4,'תחשיב עלות תפעול לשנת 2016'!$4:$148,27,0)*(T11/T12)*T6</f>
        <v>767.74999999999989</v>
      </c>
      <c r="U37" s="624">
        <f>+HLOOKUP(U4,'תחשיב עלות תפעול לשנת 2016'!$4:$148,27,0)*(U11/U12)*U6</f>
        <v>1156.19</v>
      </c>
      <c r="V37" s="624">
        <f>+HLOOKUP(V4,'תחשיב עלות תפעול לשנת 2016'!$4:$148,27,0)*(V11/V12)*V6</f>
        <v>332</v>
      </c>
      <c r="W37" s="624">
        <f>+HLOOKUP(W4,'תחשיב עלות תפעול לשנת 2016'!$4:$148,27,0)*(W11/W12)*W6</f>
        <v>131.97</v>
      </c>
      <c r="X37" s="624">
        <f>+HLOOKUP(X4,'תחשיב עלות תפעול לשנת 2016'!$4:$148,27,0)*(X11/X12)*X6</f>
        <v>735.38</v>
      </c>
      <c r="Y37" s="624">
        <f>+HLOOKUP(Y4,'תחשיב עלות תפעול לשנת 2016'!$4:$148,27,0)*(Y11/Y12)*Y6</f>
        <v>232.39999999999995</v>
      </c>
      <c r="Z37" s="624">
        <f>+HLOOKUP(Z4,'תחשיב עלות תפעול לשנת 2016'!$4:$148,27,0)*(Z11/Z12)*Z6</f>
        <v>0</v>
      </c>
      <c r="AA37" s="624">
        <f>+HLOOKUP(AA4,'תחשיב עלות תפעול לשנת 2016'!$4:$148,27,0)*(AA11/AA12)*AA6</f>
        <v>136.94999999999999</v>
      </c>
      <c r="AB37" s="624">
        <f>+HLOOKUP(AB4,'תחשיב עלות תפעול לשנת 2016'!$4:$148,27,0)*(AB11/AB12)*AB6</f>
        <v>419.9799999999999</v>
      </c>
      <c r="AC37" s="624">
        <f>+HLOOKUP(AC4,'תחשיב עלות תפעול לשנת 2016'!$4:$148,27,0)*(AC11/AC12)*AC6</f>
        <v>0</v>
      </c>
      <c r="AD37" s="624">
        <f>+HLOOKUP(AD4,'תחשיב עלות תפעול לשנת 2016'!$4:$148,27,0)*(AD11/AD12)*AD6</f>
        <v>0</v>
      </c>
      <c r="AE37" s="624">
        <f>+HLOOKUP(AE4,'תחשיב עלות תפעול לשנת 2016'!$4:$148,27,0)*(AE11/AE12)*AE6</f>
        <v>424.13</v>
      </c>
      <c r="AF37" s="624">
        <f>+HLOOKUP(AF4,'תחשיב עלות תפעול לשנת 2016'!$4:$148,27,0)*(AF11/AF12)*AF6</f>
        <v>4846.37</v>
      </c>
      <c r="AG37" s="624">
        <f>+HLOOKUP(AG4,'תחשיב עלות תפעול לשנת 2016'!$4:$148,27,0)*(AG11/AG12)*AG6</f>
        <v>170.14999999999998</v>
      </c>
      <c r="AH37" s="624">
        <f>+HLOOKUP(AH4,'תחשיב עלות תפעול לשנת 2016'!$4:$148,27,0)*(AH11/AH12)*AH6</f>
        <v>47.309999999999995</v>
      </c>
      <c r="AI37" s="624">
        <f>+HLOOKUP(AI4,'תחשיב עלות תפעול לשנת 2016'!$4:$148,27,0)*(AI11/AI12)*AI6</f>
        <v>161.01999999999998</v>
      </c>
      <c r="AJ37" s="624">
        <f>+HLOOKUP(AJ4,'תחשיב עלות תפעול לשנת 2016'!$4:$148,27,0)*(AJ11/AJ12)*AJ6</f>
        <v>278.88</v>
      </c>
      <c r="AK37" s="624">
        <f>+HLOOKUP(AK4,'תחשיב עלות תפעול לשנת 2016'!$4:$148,27,0)*(AK11/AK12)*AK6</f>
        <v>0</v>
      </c>
      <c r="AL37" s="624">
        <f>+HLOOKUP(AL4,'תחשיב עלות תפעול לשנת 2016'!$4:$148,27,0)*(AL11/AL12)*AL6</f>
        <v>0</v>
      </c>
      <c r="AM37" s="624">
        <f>+HLOOKUP(AM4,'תחשיב עלות תפעול לשנת 2016'!$4:$148,27,0)*(AM11/AM12)*AM6</f>
        <v>504.64</v>
      </c>
      <c r="AN37" s="624">
        <f>+HLOOKUP(AN4,'תחשיב עלות תפעול לשנת 2016'!$4:$148,27,0)*(AN11/AN12)*AN6</f>
        <v>111.21999999999998</v>
      </c>
      <c r="AO37" s="624">
        <f>+HLOOKUP(AO4,'תחשיב עלות תפעול לשנת 2016'!$4:$148,27,0)*(AO11/AO12)*AO6</f>
        <v>494.68</v>
      </c>
      <c r="AP37" s="624">
        <f>+HLOOKUP(AP4,'תחשיב עלות תפעול לשנת 2016'!$4:$148,27,0)*(AP11/AP12)*AP6</f>
        <v>0</v>
      </c>
      <c r="AQ37" s="624">
        <f>+HLOOKUP(AQ4,'תחשיב עלות תפעול לשנת 2016'!$4:$148,27,0)*(AQ11/AQ12)*AQ6</f>
        <v>0</v>
      </c>
      <c r="AR37" s="624">
        <f>+HLOOKUP(AR4,'תחשיב עלות תפעול לשנת 2016'!$4:$148,27,0)*(AR11/AR12)*AR6</f>
        <v>0</v>
      </c>
      <c r="AS37" s="624">
        <f>+HLOOKUP(AS4,'תחשיב עלות תפעול לשנת 2016'!$4:$148,27,0)*(AS11/AS12)*AS6</f>
        <v>1376.1399999999999</v>
      </c>
      <c r="AT37" s="624">
        <f>+HLOOKUP(AT4,'תחשיב עלות תפעול לשנת 2016'!$4:$148,27,0)*(AT11/AT12)*AT6</f>
        <v>160.19</v>
      </c>
      <c r="AU37" s="624">
        <f>+HLOOKUP(AU4,'תחשיב עלות תפעול לשנת 2016'!$4:$148,27,0)*(AU11/AU12)*AU6</f>
        <v>0</v>
      </c>
      <c r="AV37" s="624">
        <f>+HLOOKUP(AV4,'תחשיב עלות תפעול לשנת 2016'!$4:$148,27,0)*(AV11/AV12)*AV6</f>
        <v>463.96999999999997</v>
      </c>
      <c r="AW37" s="624">
        <f>+HLOOKUP(AW4,'תחשיב עלות תפעול לשנת 2016'!$4:$148,27,0)*(AW11/AW12)*AW6</f>
        <v>172.64</v>
      </c>
      <c r="AX37" s="624">
        <f>+HLOOKUP(AX4,'תחשיב עלות תפעול לשנת 2016'!$4:$148,27,0)*(AX11/AX12)*AX6</f>
        <v>11.62</v>
      </c>
      <c r="AY37" s="624">
        <f>+HLOOKUP(AY4,'תחשיב עלות תפעול לשנת 2016'!$4:$148,27,0)*(AY11/AY12)*AY6</f>
        <v>43.16</v>
      </c>
      <c r="AZ37" s="624">
        <f>+HLOOKUP(AZ4,'תחשיב עלות תפעול לשנת 2016'!$4:$148,27,0)*(AZ11/AZ12)*AZ6</f>
        <v>0</v>
      </c>
      <c r="BA37" s="624">
        <f>+HLOOKUP(BA4,'תחשיב עלות תפעול לשנת 2016'!$4:$148,27,0)*(BA11/BA12)*BA6</f>
        <v>537.80999999999995</v>
      </c>
      <c r="BB37" s="624">
        <f>+HLOOKUP(BB4,'תחשיב עלות תפעול לשנת 2016'!$4:$148,27,0)*(BB11/BB12)*BB6</f>
        <v>70.55</v>
      </c>
      <c r="BC37" s="624">
        <f>+HLOOKUP(BC4,'תחשיב עלות תפעול לשנת 2016'!$4:$148,27,0)*(BC11/BC12)*BC6</f>
        <v>312.90999999999997</v>
      </c>
      <c r="BD37" s="624">
        <f>+HLOOKUP(BD4,'תחשיב עלות תפעול לשנת 2016'!$4:$148,27,0)*(BD11/BD12)*BD6</f>
        <v>0</v>
      </c>
      <c r="BE37" s="624">
        <f>+HLOOKUP(BE4,'תחשיב עלות תפעול לשנת 2016'!$4:$148,27,0)*(BE11/BE12)*BE6</f>
        <v>0</v>
      </c>
      <c r="BF37" s="624">
        <f>+HLOOKUP(BF4,'תחשיב עלות תפעול לשנת 2016'!$4:$148,27,0)*(BF11/BF12)*BF6</f>
        <v>86.32</v>
      </c>
    </row>
    <row r="38" spans="1:58" ht="12.75" customHeight="1" x14ac:dyDescent="0.2">
      <c r="A38" s="1846"/>
      <c r="B38" s="1848"/>
      <c r="C38" s="376" t="s">
        <v>1590</v>
      </c>
      <c r="D38" s="624">
        <f>+HLOOKUP(D4,'תחשיב עלות תפעול לשנת 2016'!$4:$148,8,0)*(D11/D12)*D6</f>
        <v>1659.0861805714285</v>
      </c>
      <c r="E38" s="624">
        <f>+HLOOKUP(E4,'תחשיב עלות תפעול לשנת 2016'!$4:$148,8,0)*(E11/E12)*E6</f>
        <v>2748.7478000000006</v>
      </c>
      <c r="F38" s="624">
        <f>+HLOOKUP(F4,'תחשיב עלות תפעול לשנת 2016'!$4:$148,8,0)*(F11/F12)*F6</f>
        <v>1476.8819599999999</v>
      </c>
      <c r="G38" s="624">
        <f>+HLOOKUP(G4,'תחשיב עלות תפעול לשנת 2016'!$4:$148,8,0)*(G11/G12)*G6</f>
        <v>18569.306451904762</v>
      </c>
      <c r="H38" s="624">
        <f>+HLOOKUP(H4,'תחשיב עלות תפעול לשנת 2016'!$4:$148,8,0)*(H11/H12)*H6</f>
        <v>2735.2754285714286</v>
      </c>
      <c r="I38" s="624">
        <f>+HLOOKUP(I4,'תחשיב עלות תפעול לשנת 2016'!$4:$148,8,0)*(I11/I12)*I6</f>
        <v>774.97247542857133</v>
      </c>
      <c r="J38" s="624">
        <f>+HLOOKUP(J4,'תחשיב עלות תפעול לשנת 2016'!$4:$148,8,0)*(J11/J12)*J6</f>
        <v>1731.0671400000001</v>
      </c>
      <c r="K38" s="624">
        <f>+HLOOKUP(K4,'תחשיב עלות תפעול לשנת 2016'!$4:$148,8,0)*(K11/K12)*K6</f>
        <v>2022.2102491428573</v>
      </c>
      <c r="L38" s="624">
        <f>+HLOOKUP(L4,'תחשיב עלות תפעול לשנת 2016'!$4:$148,8,0)*(L11/L12)*L6</f>
        <v>1073.3966599999999</v>
      </c>
      <c r="M38" s="624">
        <f>+HLOOKUP(M4,'תחשיב עלות תפעול לשנת 2016'!$4:$148,8,0)*(M11/M12)*M6</f>
        <v>2262.1533222857142</v>
      </c>
      <c r="N38" s="624">
        <f>+HLOOKUP(N4,'תחשיב עלות תפעול לשנת 2016'!$4:$148,8,0)*(N11/N12)*N6</f>
        <v>4320.5369325714282</v>
      </c>
      <c r="O38" s="624">
        <f>+HLOOKUP(O4,'תחשיב עלות תפעול לשנת 2016'!$4:$148,8,0)*(O11/O12)*O6</f>
        <v>2240.1646799999999</v>
      </c>
      <c r="P38" s="624">
        <f>+HLOOKUP(P4,'תחשיב עלות תפעול לשנת 2016'!$4:$148,8,0)*(P11/P12)*P6</f>
        <v>1656.0170102857144</v>
      </c>
      <c r="Q38" s="624">
        <f>+HLOOKUP(Q4,'תחשיב עלות תפעול לשנת 2016'!$4:$148,8,0)*(Q11/Q12)*Q6</f>
        <v>2230.256721714286</v>
      </c>
      <c r="R38" s="624">
        <f>+HLOOKUP(R4,'תחשיב עלות תפעול לשנת 2016'!$4:$148,8,0)*(R11/R12)*R6</f>
        <v>5229.6245708571432</v>
      </c>
      <c r="S38" s="624">
        <f>+HLOOKUP(S4,'תחשיב עלות תפעול לשנת 2016'!$4:$148,8,0)*(S11/S12)*S6</f>
        <v>4402.0163070476192</v>
      </c>
      <c r="T38" s="624">
        <f>+HLOOKUP(T4,'תחשיב עלות תפעול לשנת 2016'!$4:$148,8,0)*(T11/T12)*T6</f>
        <v>5869.4013271428576</v>
      </c>
      <c r="U38" s="624">
        <f>+HLOOKUP(U4,'תחשיב עלות תפעול לשנת 2016'!$4:$148,8,0)*(U11/U12)*U6</f>
        <v>6608.9713600000005</v>
      </c>
      <c r="V38" s="624">
        <f>+HLOOKUP(V4,'תחשיב עלות תפעול לשנת 2016'!$4:$148,8,0)*(V11/V12)*V6</f>
        <v>1459.9926857142859</v>
      </c>
      <c r="W38" s="624">
        <f>+HLOOKUP(W4,'תחשיב עלות תפעול לשנת 2016'!$4:$148,8,0)*(W11/W12)*W6</f>
        <v>3225.5668800000003</v>
      </c>
      <c r="X38" s="624">
        <f>+HLOOKUP(X4,'תחשיב עלות תפעול לשנת 2016'!$4:$148,8,0)*(X11/X12)*X6</f>
        <v>1925.7115804399998</v>
      </c>
      <c r="Y38" s="624">
        <f>+HLOOKUP(Y4,'תחשיב עלות תפעול לשנת 2016'!$4:$148,8,0)*(Y11/Y12)*Y6</f>
        <v>2245.7779582857142</v>
      </c>
      <c r="Z38" s="624">
        <f>+HLOOKUP(Z4,'תחשיב עלות תפעול לשנת 2016'!$4:$148,8,0)*(Z11/Z12)*Z6</f>
        <v>1151.2828662857144</v>
      </c>
      <c r="AA38" s="624">
        <f>+HLOOKUP(AA4,'תחשיב עלות תפעול לשנת 2016'!$4:$148,8,0)*(AA11/AA12)*AA6</f>
        <v>1365.291305142857</v>
      </c>
      <c r="AB38" s="624">
        <f>+HLOOKUP(AB4,'תחשיב עלות תפעול לשנת 2016'!$4:$148,8,0)*(AB11/AB12)*AB6</f>
        <v>2230.2504903809522</v>
      </c>
      <c r="AC38" s="624">
        <f>+HLOOKUP(AC4,'תחשיב עלות תפעול לשנת 2016'!$4:$148,8,0)*(AC11/AC12)*AC6</f>
        <v>1101.0590399999999</v>
      </c>
      <c r="AD38" s="624">
        <f>+HLOOKUP(AD4,'תחשיב עלות תפעול לשנת 2016'!$4:$148,8,0)*(AD11/AD12)*AD6</f>
        <v>2694.9102228571423</v>
      </c>
      <c r="AE38" s="624">
        <f>+HLOOKUP(AE4,'תחשיב עלות תפעול לשנת 2016'!$4:$148,8,0)*(AE11/AE12)*AE6</f>
        <v>1150.3308388571429</v>
      </c>
      <c r="AF38" s="624">
        <f>+HLOOKUP(AF4,'תחשיב עלות תפעול לשנת 2016'!$4:$148,8,0)*(AF11/AF12)*AF6</f>
        <v>8234.9103914285715</v>
      </c>
      <c r="AG38" s="624">
        <f>+HLOOKUP(AG4,'תחשיב עלות תפעול לשנת 2016'!$4:$148,8,0)*(AG11/AG12)*AG6</f>
        <v>1680.1785919999998</v>
      </c>
      <c r="AH38" s="624">
        <f>+HLOOKUP(AH4,'תחשיב עלות תפעול לשנת 2016'!$4:$148,8,0)*(AH11/AH12)*AH6</f>
        <v>1096.854491809524</v>
      </c>
      <c r="AI38" s="624">
        <f>+HLOOKUP(AI4,'תחשיב עלות תפעול לשנת 2016'!$4:$148,8,0)*(AI11/AI12)*AI6</f>
        <v>1342.2970800000001</v>
      </c>
      <c r="AJ38" s="624">
        <f>+HLOOKUP(AJ4,'תחשיב עלות תפעול לשנת 2016'!$4:$148,8,0)*(AJ11/AJ12)*AJ6</f>
        <v>1089.3654457142857</v>
      </c>
      <c r="AK38" s="624">
        <f>+HLOOKUP(AK4,'תחשיב עלות תפעול לשנת 2016'!$4:$148,8,0)*(AK11/AK12)*AK6</f>
        <v>661.99369771428564</v>
      </c>
      <c r="AL38" s="624">
        <f>+HLOOKUP(AL4,'תחשיב עלות תפעול לשנת 2016'!$4:$148,8,0)*(AL11/AL12)*AL6</f>
        <v>544.78897942857145</v>
      </c>
      <c r="AM38" s="624">
        <f>+HLOOKUP(AM4,'תחשיב עלות תפעול לשנת 2016'!$4:$148,8,0)*(AM11/AM12)*AM6</f>
        <v>12136.320404952381</v>
      </c>
      <c r="AN38" s="624">
        <f>+HLOOKUP(AN4,'תחשיב עלות תפעול לשנת 2016'!$4:$148,8,0)*(AN11/AN12)*AN6</f>
        <v>1728.4073030476188</v>
      </c>
      <c r="AO38" s="624">
        <f>+HLOOKUP(AO4,'תחשיב עלות תפעול לשנת 2016'!$4:$148,8,0)*(AO11/AO12)*AO6</f>
        <v>3117.0224594285719</v>
      </c>
      <c r="AP38" s="624">
        <f>+HLOOKUP(AP4,'תחשיב עלות תפעול לשנת 2016'!$4:$148,8,0)*(AP11/AP12)*AP6</f>
        <v>1106.8925142857142</v>
      </c>
      <c r="AQ38" s="624">
        <f>+HLOOKUP(AQ4,'תחשיב עלות תפעול לשנת 2016'!$4:$148,8,0)*(AQ11/AQ12)*AQ6</f>
        <v>2032.0602834285714</v>
      </c>
      <c r="AR38" s="624">
        <f>+HLOOKUP(AR4,'תחשיב עלות תפעול לשנת 2016'!$4:$148,8,0)*(AR11/AR12)*AR6</f>
        <v>1329.0759292380953</v>
      </c>
      <c r="AS38" s="624">
        <f>+HLOOKUP(AS4,'תחשיב עלות תפעול לשנת 2016'!$4:$148,8,0)*(AS11/AS12)*AS6</f>
        <v>2299.4593400000003</v>
      </c>
      <c r="AT38" s="624">
        <f>+HLOOKUP(AT4,'תחשיב עלות תפעול לשנת 2016'!$4:$148,8,0)*(AT11/AT12)*AT6</f>
        <v>1401.9056878095239</v>
      </c>
      <c r="AU38" s="624">
        <f>+HLOOKUP(AU4,'תחשיב עלות תפעול לשנת 2016'!$4:$148,8,0)*(AU11/AU12)*AU6</f>
        <v>482.33733666666666</v>
      </c>
      <c r="AV38" s="624">
        <f>+HLOOKUP(AV4,'תחשיב עלות תפעול לשנת 2016'!$4:$148,8,0)*(AV11/AV12)*AV6</f>
        <v>1665.3821923809521</v>
      </c>
      <c r="AW38" s="624">
        <f>+HLOOKUP(AW4,'תחשיב עלות תפעול לשנת 2016'!$4:$148,8,0)*(AW11/AW12)*AW6</f>
        <v>1959.8679400000003</v>
      </c>
      <c r="AX38" s="624">
        <f>+HLOOKUP(AX4,'תחשיב עלות תפעול לשנת 2016'!$4:$148,8,0)*(AX11/AX12)*AX6</f>
        <v>2183.1723400000001</v>
      </c>
      <c r="AY38" s="624">
        <f>+HLOOKUP(AY4,'תחשיב עלות תפעול לשנת 2016'!$4:$148,8,0)*(AY11/AY12)*AY6</f>
        <v>2852.5755936190476</v>
      </c>
      <c r="AZ38" s="624">
        <f>+HLOOKUP(AZ4,'תחשיב עלות תפעול לשנת 2016'!$4:$148,8,0)*(AZ11/AZ12)*AZ6</f>
        <v>1793.6930500952383</v>
      </c>
      <c r="BA38" s="624">
        <f>+HLOOKUP(BA4,'תחשיב עלות תפעול לשנת 2016'!$4:$148,8,0)*(BA11/BA12)*BA6</f>
        <v>2006.9052593333331</v>
      </c>
      <c r="BB38" s="624">
        <f>+HLOOKUP(BB4,'תחשיב עלות תפעול לשנת 2016'!$4:$148,8,0)*(BB11/BB12)*BB6</f>
        <v>1358.647684</v>
      </c>
      <c r="BC38" s="624">
        <f>+HLOOKUP(BC4,'תחשיב עלות תפעול לשנת 2016'!$4:$148,8,0)*(BC11/BC12)*BC6</f>
        <v>941.30436000000009</v>
      </c>
      <c r="BD38" s="624">
        <f>+HLOOKUP(BD4,'תחשיב עלות תפעול לשנת 2016'!$4:$148,8,0)*(BD11/BD12)*BD6</f>
        <v>1886.34862</v>
      </c>
      <c r="BE38" s="624">
        <f>+HLOOKUP(BE4,'תחשיב עלות תפעול לשנת 2016'!$4:$148,8,0)*(BE11/BE12)*BE6</f>
        <v>478.36980952380952</v>
      </c>
      <c r="BF38" s="624">
        <f>+HLOOKUP(BF4,'תחשיב עלות תפעול לשנת 2016'!$4:$148,8,0)*(BF11/BF12)*BF6</f>
        <v>263.14218857142862</v>
      </c>
    </row>
    <row r="39" spans="1:58" ht="12.75" customHeight="1" x14ac:dyDescent="0.2">
      <c r="A39" s="1846"/>
      <c r="B39" s="1848"/>
      <c r="C39" s="376" t="s">
        <v>1754</v>
      </c>
      <c r="D39" s="780">
        <f>(+HLOOKUP(D4,'תחשיב עלות תפעול לשנת 2016'!$4:$148,13,0)+HLOOKUP(D4,'תחשיב עלות תפעול לשנת 2016'!$4:$149,18,0)*(D11/D12))*D6</f>
        <v>185.1460971428572</v>
      </c>
      <c r="E39" s="780">
        <f>(+HLOOKUP(E4,'תחשיב עלות תפעול לשנת 2016'!$4:$148,13,0)+HLOOKUP(E4,'תחשיב עלות תפעול לשנת 2016'!$4:$149,18,0)*(E11/E12))*E6</f>
        <v>160.45520499999998</v>
      </c>
      <c r="F39" s="780">
        <f>(+HLOOKUP(F4,'תחשיב עלות תפעול לשנת 2016'!$4:$148,13,0)+HLOOKUP(F4,'תחשיב עלות תפעול לשנת 2016'!$4:$149,18,0)*(F11/F12))*F6</f>
        <v>102.19600000000001</v>
      </c>
      <c r="G39" s="780">
        <f>(+HLOOKUP(G4,'תחשיב עלות תפעול לשנת 2016'!$4:$148,13,0)+HLOOKUP(G4,'תחשיב עלות תפעול לשנת 2016'!$4:$149,18,0)*(G11/G12))*G6</f>
        <v>1994.2305224761908</v>
      </c>
      <c r="H39" s="780">
        <f>(+HLOOKUP(H4,'תחשיב עלות תפעול לשנת 2016'!$4:$148,13,0)+HLOOKUP(H4,'תחשיב עלות תפעול לשנת 2016'!$4:$149,18,0)*(H11/H12))*H6</f>
        <v>884.81742857142854</v>
      </c>
      <c r="I39" s="780">
        <f>(+HLOOKUP(I4,'תחשיב עלות תפעול לשנת 2016'!$4:$148,13,0)+HLOOKUP(I4,'תחשיב עלות תפעול לשנת 2016'!$4:$149,18,0)*(I11/I12))*I6</f>
        <v>123.01714285714286</v>
      </c>
      <c r="J39" s="780">
        <f>(+HLOOKUP(J4,'תחשיב עלות תפעול לשנת 2016'!$4:$148,13,0)+HLOOKUP(J4,'תחשיב עלות תפעול לשנת 2016'!$4:$149,18,0)*(J11/J12))*J6</f>
        <v>147.09042500000001</v>
      </c>
      <c r="K39" s="780">
        <f>(+HLOOKUP(K4,'תחשיב עלות תפעול לשנת 2016'!$4:$148,13,0)+HLOOKUP(K4,'תחשיב עלות תפעול לשנת 2016'!$4:$149,18,0)*(K11/K12))*K6</f>
        <v>200.69253485714285</v>
      </c>
      <c r="L39" s="780">
        <f>(+HLOOKUP(L4,'תחשיב עלות תפעול לשנת 2016'!$4:$148,13,0)+HLOOKUP(L4,'תחשיב עלות תפעול לשנת 2016'!$4:$149,18,0)*(L11/L12))*L6</f>
        <v>57.718575000000008</v>
      </c>
      <c r="M39" s="780">
        <f>(+HLOOKUP(M4,'תחשיב עלות תפעול לשנת 2016'!$4:$148,13,0)+HLOOKUP(M4,'תחשיב עלות תפעול לשנת 2016'!$4:$149,18,0)*(M11/M12))*M6</f>
        <v>405.73808500000001</v>
      </c>
      <c r="N39" s="780">
        <f>(+HLOOKUP(N4,'תחשיב עלות תפעול לשנת 2016'!$4:$148,13,0)+HLOOKUP(N4,'תחשיב עלות תפעול לשנת 2016'!$4:$149,18,0)*(N11/N12))*N6</f>
        <v>279.33249999999998</v>
      </c>
      <c r="O39" s="780">
        <f>(+HLOOKUP(O4,'תחשיב עלות תפעול לשנת 2016'!$4:$148,13,0)+HLOOKUP(O4,'תחשיב עלות תפעול לשנת 2016'!$4:$149,18,0)*(O11/O12))*O6</f>
        <v>271.55877750000002</v>
      </c>
      <c r="P39" s="780">
        <f>(+HLOOKUP(P4,'תחשיב עלות תפעול לשנת 2016'!$4:$148,13,0)+HLOOKUP(P4,'תחשיב עלות תפעול לשנת 2016'!$4:$149,18,0)*(P11/P12))*P6</f>
        <v>113.16698757142856</v>
      </c>
      <c r="Q39" s="780">
        <f>(+HLOOKUP(Q4,'תחשיב עלות תפעול לשנת 2016'!$4:$148,13,0)+HLOOKUP(Q4,'תחשיב עלות תפעול לשנת 2016'!$4:$149,18,0)*(Q11/Q12))*Q6</f>
        <v>704.78521428571446</v>
      </c>
      <c r="R39" s="780">
        <f>(+HLOOKUP(R4,'תחשיב עלות תפעול לשנת 2016'!$4:$148,13,0)+HLOOKUP(R4,'תחשיב עלות תפעול לשנת 2016'!$4:$149,18,0)*(R11/R12))*R6</f>
        <v>573.92749523809528</v>
      </c>
      <c r="S39" s="780">
        <f>(+HLOOKUP(S4,'תחשיב עלות תפעול לשנת 2016'!$4:$148,13,0)+HLOOKUP(S4,'תחשיב עלות תפעול לשנת 2016'!$4:$149,18,0)*(S11/S12))*S6</f>
        <v>83.3737142857143</v>
      </c>
      <c r="T39" s="780">
        <f>(+HLOOKUP(T4,'תחשיב עלות תפעול לשנת 2016'!$4:$148,13,0)+HLOOKUP(T4,'תחשיב עלות תפעול לשנת 2016'!$4:$149,18,0)*(T11/T12))*T6</f>
        <v>715.40993166666658</v>
      </c>
      <c r="U39" s="780">
        <f>(+HLOOKUP(U4,'תחשיב עלות תפעול לשנת 2016'!$4:$148,13,0)+HLOOKUP(U4,'תחשיב עלות תפעול לשנת 2016'!$4:$149,18,0)*(U11/U12))*U6</f>
        <v>1155.8856428571428</v>
      </c>
      <c r="V39" s="780">
        <f>(+HLOOKUP(V4,'תחשיב עלות תפעול לשנת 2016'!$4:$148,13,0)+HLOOKUP(V4,'תחשיב עלות תפעול לשנת 2016'!$4:$149,18,0)*(V11/V12))*V6</f>
        <v>125.16114285714286</v>
      </c>
      <c r="W39" s="780">
        <f>(+HLOOKUP(W4,'תחשיב עלות תפעול לשנת 2016'!$4:$148,13,0)+HLOOKUP(W4,'תחשיב עלות תפעול לשנת 2016'!$4:$149,18,0)*(W11/W12))*W6</f>
        <v>200.46749999999997</v>
      </c>
      <c r="X39" s="780">
        <f>(+HLOOKUP(X4,'תחשיב עלות תפעול לשנת 2016'!$4:$148,13,0)+HLOOKUP(X4,'תחשיב עלות תפעול לשנת 2016'!$4:$149,18,0)*(X11/X12))*X6</f>
        <v>464.02336749999995</v>
      </c>
      <c r="Y39" s="780">
        <f>(+HLOOKUP(Y4,'תחשיב עלות תפעול לשנת 2016'!$4:$148,13,0)+HLOOKUP(Y4,'תחשיב עלות תפעול לשנת 2016'!$4:$149,18,0)*(Y11/Y12))*Y6</f>
        <v>274.86198571428577</v>
      </c>
      <c r="Z39" s="780">
        <f>(+HLOOKUP(Z4,'תחשיב עלות תפעול לשנת 2016'!$4:$148,13,0)+HLOOKUP(Z4,'תחשיב עלות תפעול לשנת 2016'!$4:$149,18,0)*(Z11/Z12))*Z6</f>
        <v>59.612000000000009</v>
      </c>
      <c r="AA39" s="780">
        <f>(+HLOOKUP(AA4,'תחשיב עלות תפעול לשנת 2016'!$4:$148,13,0)+HLOOKUP(AA4,'תחשיב עלות תפעול לשנת 2016'!$4:$149,18,0)*(AA11/AA12))*AA6</f>
        <v>85.024999999999991</v>
      </c>
      <c r="AB39" s="780">
        <f>(+HLOOKUP(AB4,'תחשיב עלות תפעול לשנת 2016'!$4:$148,13,0)+HLOOKUP(AB4,'תחשיב עלות תפעול לשנת 2016'!$4:$149,18,0)*(AB11/AB12))*AB6</f>
        <v>384.1437501190477</v>
      </c>
      <c r="AC39" s="780">
        <f>(+HLOOKUP(AC4,'תחשיב עלות תפעול לשנת 2016'!$4:$148,13,0)+HLOOKUP(AC4,'תחשיב עלות תפעול לשנת 2016'!$4:$149,18,0)*(AC11/AC12))*AC6</f>
        <v>54.857142857142868</v>
      </c>
      <c r="AD39" s="780">
        <f>(+HLOOKUP(AD4,'תחשיב עלות תפעול לשנת 2016'!$4:$148,13,0)+HLOOKUP(AD4,'תחשיב עלות תפעול לשנת 2016'!$4:$149,18,0)*(AD11/AD12))*AD6</f>
        <v>306.06708809523809</v>
      </c>
      <c r="AE39" s="780">
        <f>(+HLOOKUP(AE4,'תחשיב עלות תפעול לשנת 2016'!$4:$148,13,0)+HLOOKUP(AE4,'תחשיב עלות תפעול לשנת 2016'!$4:$149,18,0)*(AE11/AE12))*AE6</f>
        <v>468.41035714285715</v>
      </c>
      <c r="AF39" s="780">
        <f>(+HLOOKUP(AF4,'תחשיב עלות תפעול לשנת 2016'!$4:$148,13,0)+HLOOKUP(AF4,'תחשיב עלות תפעול לשנת 2016'!$4:$149,18,0)*(AF11/AF12))*AF6</f>
        <v>2162.0027157142858</v>
      </c>
      <c r="AG39" s="780">
        <f>(+HLOOKUP(AG4,'תחשיב עלות תפעול לשנת 2016'!$4:$148,13,0)+HLOOKUP(AG4,'תחשיב עלות תפעול לשנת 2016'!$4:$149,18,0)*(AG11/AG12))*AG6</f>
        <v>139.36236190476191</v>
      </c>
      <c r="AH39" s="780">
        <f>(+HLOOKUP(AH4,'תחשיב עלות תפעול לשנת 2016'!$4:$148,13,0)+HLOOKUP(AH4,'תחשיב עלות תפעול לשנת 2016'!$4:$149,18,0)*(AH11/AH12))*AH6</f>
        <v>57.220022857142851</v>
      </c>
      <c r="AI39" s="780">
        <f>(+HLOOKUP(AI4,'תחשיב עלות תפעול לשנת 2016'!$4:$148,13,0)+HLOOKUP(AI4,'תחשיב עלות תפעול לשנת 2016'!$4:$149,18,0)*(AI11/AI12))*AI6</f>
        <v>60.250000000000007</v>
      </c>
      <c r="AJ39" s="780">
        <f>(+HLOOKUP(AJ4,'תחשיב עלות תפעול לשנת 2016'!$4:$148,13,0)+HLOOKUP(AJ4,'תחשיב עלות תפעול לשנת 2016'!$4:$149,18,0)*(AJ11/AJ12))*AJ6</f>
        <v>267.22533928571431</v>
      </c>
      <c r="AK39" s="780">
        <f>(+HLOOKUP(AK4,'תחשיב עלות תפעול לשנת 2016'!$4:$148,13,0)+HLOOKUP(AK4,'תחשיב עלות תפעול לשנת 2016'!$4:$149,18,0)*(AK11/AK12))*AK6</f>
        <v>3.0393636428571429</v>
      </c>
      <c r="AL39" s="780">
        <f>(+HLOOKUP(AL4,'תחשיב עלות תפעול לשנת 2016'!$4:$148,13,0)+HLOOKUP(AL4,'תחשיב עלות תפעול לשנת 2016'!$4:$149,18,0)*(AL11/AL12))*AL6</f>
        <v>0</v>
      </c>
      <c r="AM39" s="780">
        <f>(+HLOOKUP(AM4,'תחשיב עלות תפעול לשנת 2016'!$4:$148,13,0)+HLOOKUP(AM4,'תחשיב עלות תפעול לשנת 2016'!$4:$149,18,0)*(AM11/AM12))*AM6</f>
        <v>342.68159047619048</v>
      </c>
      <c r="AN39" s="780">
        <f>(+HLOOKUP(AN4,'תחשיב עלות תפעול לשנת 2016'!$4:$148,13,0)+HLOOKUP(AN4,'תחשיב עלות תפעול לשנת 2016'!$4:$149,18,0)*(AN11/AN12))*AN6</f>
        <v>330.33308583333337</v>
      </c>
      <c r="AO39" s="780">
        <f>(+HLOOKUP(AO4,'תחשיב עלות תפעול לשנת 2016'!$4:$148,13,0)+HLOOKUP(AO4,'תחשיב עלות תפעול לשנת 2016'!$4:$149,18,0)*(AO11/AO12))*AO6</f>
        <v>301.23344000000009</v>
      </c>
      <c r="AP39" s="780">
        <f>(+HLOOKUP(AP4,'תחשיב עלות תפעול לשנת 2016'!$4:$148,13,0)+HLOOKUP(AP4,'תחשיב עלות תפעול לשנת 2016'!$4:$149,18,0)*(AP11/AP12))*AP6</f>
        <v>83.221428571428575</v>
      </c>
      <c r="AQ39" s="780">
        <f>(+HLOOKUP(AQ4,'תחשיב עלות תפעול לשנת 2016'!$4:$148,13,0)+HLOOKUP(AQ4,'תחשיב עלות תפעול לשנת 2016'!$4:$149,18,0)*(AQ11/AQ12))*AQ6</f>
        <v>121.90035714285716</v>
      </c>
      <c r="AR39" s="780">
        <f>(+HLOOKUP(AR4,'תחשיב עלות תפעול לשנת 2016'!$4:$148,13,0)+HLOOKUP(AR4,'תחשיב עלות תפעול לשנת 2016'!$4:$149,18,0)*(AR11/AR12))*AR6</f>
        <v>249.49011904761903</v>
      </c>
      <c r="AS39" s="780">
        <f>(+HLOOKUP(AS4,'תחשיב עלות תפעול לשנת 2016'!$4:$148,13,0)+HLOOKUP(AS4,'תחשיב עלות תפעול לשנת 2016'!$4:$149,18,0)*(AS11/AS12))*AS6</f>
        <v>1428.6946749999997</v>
      </c>
      <c r="AT39" s="780">
        <f>(+HLOOKUP(AT4,'תחשיב עלות תפעול לשנת 2016'!$4:$148,13,0)+HLOOKUP(AT4,'תחשיב עלות תפעול לשנת 2016'!$4:$149,18,0)*(AT11/AT12))*AT6</f>
        <v>45.17499999999999</v>
      </c>
      <c r="AU39" s="780">
        <f>(+HLOOKUP(AU4,'תחשיב עלות תפעול לשנת 2016'!$4:$148,13,0)+HLOOKUP(AU4,'תחשיב עלות תפעול לשנת 2016'!$4:$149,18,0)*(AU11/AU12))*AU6</f>
        <v>0</v>
      </c>
      <c r="AV39" s="780">
        <f>(+HLOOKUP(AV4,'תחשיב עלות תפעול לשנת 2016'!$4:$148,13,0)+HLOOKUP(AV4,'תחשיב עלות תפעול לשנת 2016'!$4:$149,18,0)*(AV11/AV12))*AV6</f>
        <v>200.11023809523812</v>
      </c>
      <c r="AW39" s="780">
        <f>(+HLOOKUP(AW4,'תחשיב עלות תפעול לשנת 2016'!$4:$148,13,0)+HLOOKUP(AW4,'תחשיב עלות תפעול לשנת 2016'!$4:$149,18,0)*(AW11/AW12))*AW6</f>
        <v>190.52279999999999</v>
      </c>
      <c r="AX39" s="780">
        <f>(+HLOOKUP(AX4,'תחשיב עלות תפעול לשנת 2016'!$4:$148,13,0)+HLOOKUP(AX4,'תחשיב עלות תפעול לשנת 2016'!$4:$149,18,0)*(AX11/AX12))*AX6</f>
        <v>87.274747499999989</v>
      </c>
      <c r="AY39" s="780">
        <f>(+HLOOKUP(AY4,'תחשיב עלות תפעול לשנת 2016'!$4:$148,13,0)+HLOOKUP(AY4,'תחשיב עלות תפעול לשנת 2016'!$4:$149,18,0)*(AY11/AY12))*AY6</f>
        <v>87.460028690476193</v>
      </c>
      <c r="AZ39" s="780">
        <f>(+HLOOKUP(AZ4,'תחשיב עלות תפעול לשנת 2016'!$4:$148,13,0)+HLOOKUP(AZ4,'תחשיב עלות תפעול לשנת 2016'!$4:$149,18,0)*(AZ11/AZ12))*AZ6</f>
        <v>149.54217666666668</v>
      </c>
      <c r="BA39" s="780">
        <f>(+HLOOKUP(BA4,'תחשיב עלות תפעול לשנת 2016'!$4:$148,13,0)+HLOOKUP(BA4,'תחשיב עלות תפעול לשנת 2016'!$4:$149,18,0)*(BA11/BA12))*BA6</f>
        <v>196.76464285714286</v>
      </c>
      <c r="BB39" s="780">
        <f>(+HLOOKUP(BB4,'תחשיב עלות תפעול לשנת 2016'!$4:$148,13,0)+HLOOKUP(BB4,'תחשיב עלות תפעול לשנת 2016'!$4:$149,18,0)*(BB11/BB12))*BB6</f>
        <v>131.52703809523808</v>
      </c>
      <c r="BC39" s="780">
        <f>(+HLOOKUP(BC4,'תחשיב עלות תפעול לשנת 2016'!$4:$148,13,0)+HLOOKUP(BC4,'תחשיב עלות תפעול לשנת 2016'!$4:$149,18,0)*(BC11/BC12))*BC6</f>
        <v>51.802625000000006</v>
      </c>
      <c r="BD39" s="780">
        <f>(+HLOOKUP(BD4,'תחשיב עלות תפעול לשנת 2016'!$4:$148,13,0)+HLOOKUP(BD4,'תחשיב עלות תפעול לשנת 2016'!$4:$149,18,0)*(BD11/BD12))*BD6</f>
        <v>26.15</v>
      </c>
      <c r="BE39" s="780">
        <f>(+HLOOKUP(BE4,'תחשיב עלות תפעול לשנת 2016'!$4:$148,13,0)+HLOOKUP(BE4,'תחשיב עלות תפעול לשנת 2016'!$4:$149,18,0)*(BE11/BE12))*BE6</f>
        <v>13.237500000000001</v>
      </c>
      <c r="BF39" s="780">
        <f>(+HLOOKUP(BF4,'תחשיב עלות תפעול לשנת 2016'!$4:$148,13,0)+HLOOKUP(BF4,'תחשיב עלות תפעול לשנת 2016'!$4:$149,18,0)*(BF11/BF12))*BF6</f>
        <v>104.65714285714283</v>
      </c>
    </row>
    <row r="40" spans="1:58" ht="12.75" customHeight="1" x14ac:dyDescent="0.2">
      <c r="A40" s="1846"/>
      <c r="B40" s="1848"/>
      <c r="C40" s="376" t="s">
        <v>1642</v>
      </c>
      <c r="D40" s="1333">
        <v>0</v>
      </c>
      <c r="E40" s="1333">
        <v>0</v>
      </c>
      <c r="F40" s="1333">
        <v>0</v>
      </c>
      <c r="G40" s="1333">
        <v>0</v>
      </c>
      <c r="H40" s="1333">
        <v>0</v>
      </c>
      <c r="I40" s="1333">
        <v>0</v>
      </c>
      <c r="J40" s="1333">
        <v>0</v>
      </c>
      <c r="K40" s="1333">
        <v>0</v>
      </c>
      <c r="L40" s="1333">
        <v>0</v>
      </c>
      <c r="M40" s="1333">
        <v>0</v>
      </c>
      <c r="N40" s="1333">
        <v>0</v>
      </c>
      <c r="O40" s="1333">
        <v>0</v>
      </c>
      <c r="P40" s="1333">
        <v>0</v>
      </c>
      <c r="Q40" s="1333">
        <v>0</v>
      </c>
      <c r="R40" s="1333">
        <v>0</v>
      </c>
      <c r="S40" s="1333">
        <v>0</v>
      </c>
      <c r="T40" s="1333">
        <v>0</v>
      </c>
      <c r="U40" s="1333">
        <v>0</v>
      </c>
      <c r="V40" s="1333">
        <v>0</v>
      </c>
      <c r="W40" s="1333">
        <v>0</v>
      </c>
      <c r="X40" s="1333">
        <v>0</v>
      </c>
      <c r="Y40" s="1333">
        <v>0</v>
      </c>
      <c r="Z40" s="1333">
        <v>0</v>
      </c>
      <c r="AA40" s="1333">
        <v>0</v>
      </c>
      <c r="AB40" s="1333">
        <v>0</v>
      </c>
      <c r="AC40" s="1333">
        <v>0</v>
      </c>
      <c r="AD40" s="1333">
        <v>0</v>
      </c>
      <c r="AE40" s="1333">
        <v>0</v>
      </c>
      <c r="AF40" s="1333">
        <v>0</v>
      </c>
      <c r="AG40" s="1333">
        <v>0</v>
      </c>
      <c r="AH40" s="1333">
        <v>0</v>
      </c>
      <c r="AI40" s="1333">
        <v>0</v>
      </c>
      <c r="AJ40" s="1333">
        <v>0</v>
      </c>
      <c r="AK40" s="1333">
        <v>0</v>
      </c>
      <c r="AL40" s="1333">
        <v>0</v>
      </c>
      <c r="AM40" s="1333">
        <v>0</v>
      </c>
      <c r="AN40" s="1333">
        <v>0</v>
      </c>
      <c r="AO40" s="1333">
        <v>0</v>
      </c>
      <c r="AP40" s="1333">
        <v>0</v>
      </c>
      <c r="AQ40" s="1333">
        <v>0</v>
      </c>
      <c r="AR40" s="1333">
        <v>0</v>
      </c>
      <c r="AS40" s="1333">
        <v>0</v>
      </c>
      <c r="AT40" s="1333">
        <v>0</v>
      </c>
      <c r="AU40" s="1333">
        <v>0</v>
      </c>
      <c r="AV40" s="1333">
        <v>0</v>
      </c>
      <c r="AW40" s="1333">
        <v>0</v>
      </c>
      <c r="AX40" s="1333">
        <v>0</v>
      </c>
      <c r="AY40" s="1333">
        <v>0</v>
      </c>
      <c r="AZ40" s="1333">
        <v>0</v>
      </c>
      <c r="BA40" s="1333">
        <v>0</v>
      </c>
      <c r="BB40" s="1333">
        <v>0</v>
      </c>
      <c r="BC40" s="1333">
        <v>0</v>
      </c>
      <c r="BD40" s="1333">
        <v>0</v>
      </c>
      <c r="BE40" s="1333">
        <v>0</v>
      </c>
      <c r="BF40" s="1333">
        <v>0</v>
      </c>
    </row>
    <row r="41" spans="1:58" ht="12.75" customHeight="1" x14ac:dyDescent="0.2">
      <c r="A41" s="1846"/>
      <c r="B41" s="1848"/>
      <c r="C41" s="376" t="s">
        <v>1596</v>
      </c>
      <c r="D41" s="626">
        <f>+HLOOKUP(D4,'תחשיב עלות תפעול לשנת 2016'!$4:$149,32,0)*(D11/D12)*D6</f>
        <v>256.7128777142857</v>
      </c>
      <c r="E41" s="626">
        <f>+HLOOKUP(E4,'תחשיב עלות תפעול לשנת 2016'!$4:$149,32,0)*(E11/E12)*E6</f>
        <v>259.13387999999998</v>
      </c>
      <c r="F41" s="626">
        <f>+HLOOKUP(F4,'תחשיב עלות תפעול לשנת 2016'!$4:$149,32,0)*(F11/F12)*F6</f>
        <v>193.78479999999999</v>
      </c>
      <c r="G41" s="626">
        <f>+HLOOKUP(G4,'תחשיב עלות תפעול לשנת 2016'!$4:$149,32,0)*(G11/G12)*G6</f>
        <v>4180.0430217142866</v>
      </c>
      <c r="H41" s="626">
        <f>+HLOOKUP(H4,'תחשיב עלות תפעול לשנת 2016'!$4:$149,32,0)*(H11/H12)*H6</f>
        <v>882.30514285714276</v>
      </c>
      <c r="I41" s="626">
        <f>+HLOOKUP(I4,'תחשיב עלות תפעול לשנת 2016'!$4:$149,32,0)*(I11/I12)*I6</f>
        <v>174.57371428571432</v>
      </c>
      <c r="J41" s="626">
        <f>+HLOOKUP(J4,'תחשיב עלות תפעול לשנת 2016'!$4:$149,32,0)*(J11/J12)*J6</f>
        <v>238.73174</v>
      </c>
      <c r="K41" s="626">
        <f>+HLOOKUP(K4,'תחשיב עלות תפעול לשנת 2016'!$4:$149,32,0)*(K11/K12)*K6</f>
        <v>261.29742628571427</v>
      </c>
      <c r="L41" s="626">
        <f>+HLOOKUP(L4,'תחשיב עלות תפעול לשנת 2016'!$4:$149,32,0)*(L11/L12)*L6</f>
        <v>77.142859999999999</v>
      </c>
      <c r="M41" s="626">
        <f>+HLOOKUP(M4,'תחשיב עלות תפעול לשנת 2016'!$4:$149,32,0)*(M11/M12)*M6</f>
        <v>673.91304800000012</v>
      </c>
      <c r="N41" s="626">
        <f>+HLOOKUP(N4,'תחשיב עלות תפעול לשנת 2016'!$4:$149,32,0)*(N11/N12)*N6</f>
        <v>482.42</v>
      </c>
      <c r="O41" s="626">
        <f>+HLOOKUP(O4,'תחשיב עלות תפעול לשנת 2016'!$4:$149,32,0)*(O11/O12)*O6</f>
        <v>404.08748000000003</v>
      </c>
      <c r="P41" s="626">
        <f>+HLOOKUP(P4,'תחשיב עלות תפעול לשנת 2016'!$4:$149,32,0)*(P11/P12)*P6</f>
        <v>154.40679485714284</v>
      </c>
      <c r="Q41" s="626">
        <f>+HLOOKUP(Q4,'תחשיב עלות תפעול לשנת 2016'!$4:$149,32,0)*(Q11/Q12)*Q6</f>
        <v>791.11257142857141</v>
      </c>
      <c r="R41" s="626">
        <f>+HLOOKUP(R4,'תחשיב עלות תפעול לשנת 2016'!$4:$149,32,0)*(R11/R12)*R6</f>
        <v>867.78866285714298</v>
      </c>
      <c r="S41" s="626">
        <f>+HLOOKUP(S4,'תחשיב עלות תפעול לשנת 2016'!$4:$149,32,0)*(S11/S12)*S6</f>
        <v>92.298971428571448</v>
      </c>
      <c r="T41" s="626">
        <f>+HLOOKUP(T4,'תחשיב עלות תפעול לשנת 2016'!$4:$149,32,0)*(T11/T12)*T6</f>
        <v>902.29913733333353</v>
      </c>
      <c r="U41" s="626">
        <f>+HLOOKUP(U4,'תחשיב עלות תפעול לשנת 2016'!$4:$149,32,0)*(U11/U12)*U6</f>
        <v>1697.0001142857143</v>
      </c>
      <c r="V41" s="626">
        <f>+HLOOKUP(V4,'תחשיב עלות תפעול לשנת 2016'!$4:$149,32,0)*(V11/V12)*V6</f>
        <v>258.70811428571432</v>
      </c>
      <c r="W41" s="626">
        <f>+HLOOKUP(W4,'תחשיב עלות תפעול לשנת 2016'!$4:$149,32,0)*(W11/W12)*W6</f>
        <v>418.87</v>
      </c>
      <c r="X41" s="626">
        <f>+HLOOKUP(X4,'תחשיב עלות תפעול לשנת 2016'!$4:$149,32,0)*(X11/X12)*X6</f>
        <v>514.87727199999995</v>
      </c>
      <c r="Y41" s="626">
        <f>+HLOOKUP(Y4,'תחשיב עלות תפעול לשנת 2016'!$4:$149,32,0)*(Y11/Y12)*Y6</f>
        <v>301.80958857142861</v>
      </c>
      <c r="Z41" s="626">
        <f>+HLOOKUP(Z4,'תחשיב עלות תפעול לשנת 2016'!$4:$149,32,0)*(Z11/Z12)*Z6</f>
        <v>146.23360000000002</v>
      </c>
      <c r="AA41" s="626">
        <f>+HLOOKUP(AA4,'תחשיב עלות תפעול לשנת 2016'!$4:$149,32,0)*(AA11/AA12)*AA6</f>
        <v>129.6</v>
      </c>
      <c r="AB41" s="626">
        <f>+HLOOKUP(AB4,'תחשיב עלות תפעול לשנת 2016'!$4:$149,32,0)*(AB11/AB12)*AB6</f>
        <v>671.36100009523818</v>
      </c>
      <c r="AC41" s="626">
        <f>+HLOOKUP(AC4,'תחשיב עלות תפעול לשנת 2016'!$4:$149,32,0)*(AC11/AC12)*AC6</f>
        <v>146.28571428571431</v>
      </c>
      <c r="AD41" s="626">
        <f>+HLOOKUP(AD4,'תחשיב עלות תפעול לשנת 2016'!$4:$149,32,0)*(AD11/AD12)*AD6</f>
        <v>536.1070038095238</v>
      </c>
      <c r="AE41" s="626">
        <f>+HLOOKUP(AE4,'תחשיב עלות תפעול לשנת 2016'!$4:$149,32,0)*(AE11/AE12)*AE6</f>
        <v>566.99428571428564</v>
      </c>
      <c r="AF41" s="626">
        <f>+HLOOKUP(AF4,'תחשיב עלות תפעול לשנת 2016'!$4:$149,32,0)*(AF11/AF12)*AF6</f>
        <v>2660.8545059047615</v>
      </c>
      <c r="AG41" s="626">
        <f>+HLOOKUP(AG4,'תחשיב עלות תפעול לשנת 2016'!$4:$149,32,0)*(AG11/AG12)*AG6</f>
        <v>193.81202285714289</v>
      </c>
      <c r="AH41" s="626">
        <f>+HLOOKUP(AH4,'תחשיב עלות תפעול לשנת 2016'!$4:$149,32,0)*(AH11/AH12)*AH6</f>
        <v>152.58672761904762</v>
      </c>
      <c r="AI41" s="626">
        <f>+HLOOKUP(AI4,'תחשיב עלות תפעול לשנת 2016'!$4:$149,32,0)*(AI11/AI12)*AI6</f>
        <v>119.60000000000001</v>
      </c>
      <c r="AJ41" s="626">
        <f>+HLOOKUP(AJ4,'תחשיב עלות תפעול לשנת 2016'!$4:$149,32,0)*(AJ11/AJ12)*AJ6</f>
        <v>332.82027142857146</v>
      </c>
      <c r="AK41" s="626">
        <f>+HLOOKUP(AK4,'תחשיב עלות תפעול לשנת 2016'!$4:$149,32,0)*(AK11/AK12)*AK6</f>
        <v>8.1049697142857138</v>
      </c>
      <c r="AL41" s="626">
        <f>+HLOOKUP(AL4,'תחשיב עלות תפעול לשנת 2016'!$4:$149,32,0)*(AL11/AL12)*AL6</f>
        <v>0</v>
      </c>
      <c r="AM41" s="626">
        <f>+HLOOKUP(AM4,'תחשיב עלות תפעול לשנת 2016'!$4:$149,32,0)*(AM11/AM12)*AM6</f>
        <v>621.23146571428572</v>
      </c>
      <c r="AN41" s="626">
        <f>+HLOOKUP(AN4,'תחשיב עלות תפעול לשנת 2016'!$4:$149,32,0)*(AN11/AN12)*AN6</f>
        <v>469.52580200000006</v>
      </c>
      <c r="AO41" s="626">
        <f>+HLOOKUP(AO4,'תחשיב עלות תפעול לשנת 2016'!$4:$149,32,0)*(AO11/AO12)*AO6</f>
        <v>396.50675200000006</v>
      </c>
      <c r="AP41" s="626">
        <f>+HLOOKUP(AP4,'תחשיב עלות תפעול לשנת 2016'!$4:$149,32,0)*(AP11/AP12)*AP6</f>
        <v>107.32380952380953</v>
      </c>
      <c r="AQ41" s="626">
        <f>+HLOOKUP(AQ4,'תחשיב עלות תפעול לשנת 2016'!$4:$149,32,0)*(AQ11/AQ12)*AQ6</f>
        <v>187.13428571428574</v>
      </c>
      <c r="AR41" s="626">
        <f>+HLOOKUP(AR4,'תחשיב עלות תפעול לשנת 2016'!$4:$149,32,0)*(AR11/AR12)*AR6</f>
        <v>405.87809523809528</v>
      </c>
      <c r="AS41" s="626">
        <f>+HLOOKUP(AS4,'תחשיב עלות תפעול לשנת 2016'!$4:$149,32,0)*(AS11/AS12)*AS6</f>
        <v>1309.55574</v>
      </c>
      <c r="AT41" s="626">
        <f>+HLOOKUP(AT4,'תחשיב עלות תפעול לשנת 2016'!$4:$149,32,0)*(AT11/AT12)*AT6</f>
        <v>103.62666666666667</v>
      </c>
      <c r="AU41" s="626">
        <f>+HLOOKUP(AU4,'תחשיב עלות תפעול לשנת 2016'!$4:$149,32,0)*(AU11/AU12)*AU6</f>
        <v>0</v>
      </c>
      <c r="AV41" s="626">
        <f>+HLOOKUP(AV4,'תחשיב עלות תפעול לשנת 2016'!$4:$149,32,0)*(AV11/AV12)*AV6</f>
        <v>281.08285714285716</v>
      </c>
      <c r="AW41" s="626">
        <f>+HLOOKUP(AW4,'תחשיב עלות תפעול לשנת 2016'!$4:$149,32,0)*(AW11/AW12)*AW6</f>
        <v>301.56023999999996</v>
      </c>
      <c r="AX41" s="626">
        <f>+HLOOKUP(AX4,'תחשיב עלות תפעול לשנת 2016'!$4:$149,32,0)*(AX11/AX12)*AX6</f>
        <v>201.93266</v>
      </c>
      <c r="AY41" s="626">
        <f>+HLOOKUP(AY4,'תחשיב עלות תפעול לשנת 2016'!$4:$149,32,0)*(AY11/AY12)*AY6</f>
        <v>189.29568961904764</v>
      </c>
      <c r="AZ41" s="626">
        <f>+HLOOKUP(AZ4,'תחשיב עלות תפעול לשנת 2016'!$4:$149,32,0)*(AZ11/AZ12)*AZ6</f>
        <v>339.80580800000001</v>
      </c>
      <c r="BA41" s="626">
        <f>+HLOOKUP(BA4,'תחשיב עלות תפעול לשנת 2016'!$4:$149,32,0)*(BA11/BA12)*BA6</f>
        <v>259.6423809523809</v>
      </c>
      <c r="BB41" s="626">
        <f>+HLOOKUP(BB4,'תחשיב עלות תפעול לשנת 2016'!$4:$149,32,0)*(BB11/BB12)*BB6</f>
        <v>267.36429714285714</v>
      </c>
      <c r="BC41" s="626">
        <f>+HLOOKUP(BC4,'תחשיב עלות תפעול לשנת 2016'!$4:$149,32,0)*(BC11/BC12)*BC6</f>
        <v>76.442099999999996</v>
      </c>
      <c r="BD41" s="626">
        <f>+HLOOKUP(BD4,'תחשיב עלות תפעול לשנת 2016'!$4:$149,32,0)*(BD11/BD12)*BD6</f>
        <v>50.6</v>
      </c>
      <c r="BE41" s="626">
        <f>+HLOOKUP(BE4,'תחשיב עלות תפעול לשנת 2016'!$4:$149,32,0)*(BE11/BE12)*BE6</f>
        <v>10.59</v>
      </c>
      <c r="BF41" s="626">
        <f>+HLOOKUP(BF4,'תחשיב עלות תפעול לשנת 2016'!$4:$149,32,0)*(BF11/BF12)*BF6</f>
        <v>147.08571428571429</v>
      </c>
    </row>
    <row r="42" spans="1:58" ht="12.75" customHeight="1" x14ac:dyDescent="0.2">
      <c r="A42" s="1846"/>
      <c r="B42" s="1848"/>
      <c r="C42" s="1334" t="s">
        <v>1755</v>
      </c>
      <c r="D42" s="626">
        <f>+HLOOKUP(D4,'תחשיב עלות תפעול לשנת 2016'!$4:$149,92,0)*D13*D6/D9</f>
        <v>79.250420080848102</v>
      </c>
      <c r="E42" s="626">
        <f>+HLOOKUP(E4,'תחשיב עלות תפעול לשנת 2016'!$4:$149,92,0)*E13*E6/E9</f>
        <v>69.122189294646148</v>
      </c>
      <c r="F42" s="626">
        <f>+HLOOKUP(F4,'תחשיב עלות תפעול לשנת 2016'!$4:$149,92,0)*F13*F6/F9</f>
        <v>57.891946165043677</v>
      </c>
      <c r="G42" s="626">
        <f>+HLOOKUP(G4,'תחשיב עלות תפעול לשנת 2016'!$4:$149,92,0)*G13*G6/G9</f>
        <v>371.06301093792229</v>
      </c>
      <c r="H42" s="626">
        <f>+HLOOKUP(H4,'תחשיב עלות תפעול לשנת 2016'!$4:$149,92,0)*H13*H6/H9</f>
        <v>124.88277381845766</v>
      </c>
      <c r="I42" s="626">
        <f>+HLOOKUP(I4,'תחשיב עלות תפעול לשנת 2016'!$4:$149,92,0)*I13*I6/I9</f>
        <v>90</v>
      </c>
      <c r="J42" s="626">
        <f>+HLOOKUP(J4,'תחשיב עלות תפעול לשנת 2016'!$4:$149,92,0)*J13*J6/J9</f>
        <v>32.077981375512607</v>
      </c>
      <c r="K42" s="626">
        <f>+HLOOKUP(K4,'תחשיב עלות תפעול לשנת 2016'!$4:$149,92,0)*K13*K6/K9</f>
        <v>51.01722247442909</v>
      </c>
      <c r="L42" s="626">
        <f>+HLOOKUP(L4,'תחשיב עלות תפעול לשנת 2016'!$4:$149,92,0)*L13*L6/L9</f>
        <v>37.321775786905064</v>
      </c>
      <c r="M42" s="626">
        <f>+HLOOKUP(M4,'תחשיב עלות תפעול לשנת 2016'!$4:$149,92,0)*M13*M6/M9</f>
        <v>73.477601121333507</v>
      </c>
      <c r="N42" s="626">
        <f>+HLOOKUP(N4,'תחשיב עלות תפעול לשנת 2016'!$4:$149,92,0)*N13*N6/N9</f>
        <v>117.34311554998402</v>
      </c>
      <c r="O42" s="626">
        <f>+HLOOKUP(O4,'תחשיב עלות תפעול לשנת 2016'!$4:$149,92,0)*O13*O6/O9</f>
        <v>64.745339838342616</v>
      </c>
      <c r="P42" s="626">
        <f>+HLOOKUP(P4,'תחשיב עלות תפעול לשנת 2016'!$4:$149,92,0)*P13*P6/P9</f>
        <v>41.38218818698202</v>
      </c>
      <c r="Q42" s="626">
        <f>+HLOOKUP(Q4,'תחשיב עלות תפעול לשנת 2016'!$4:$149,92,0)*Q13*Q6/Q9</f>
        <v>64.048781755029324</v>
      </c>
      <c r="R42" s="626">
        <f>+HLOOKUP(R4,'תחשיב עלות תפעול לשנת 2016'!$4:$149,92,0)*R13*R6/R9</f>
        <v>150.08775359065476</v>
      </c>
      <c r="S42" s="626">
        <f>+HLOOKUP(S4,'תחשיב עלות תפעול לשנת 2016'!$4:$149,92,0)*S13*S6/S9</f>
        <v>135.91208486869564</v>
      </c>
      <c r="T42" s="626">
        <f>+HLOOKUP(T4,'תחשיב עלות תפעול לשנת 2016'!$4:$149,92,0)*T13*T6/T9</f>
        <v>144.56540992618233</v>
      </c>
      <c r="U42" s="626">
        <f>+HLOOKUP(U4,'תחשיב עלות תפעול לשנת 2016'!$4:$149,92,0)*U13*U6/U9</f>
        <v>137.40970006534178</v>
      </c>
      <c r="V42" s="626">
        <f>+HLOOKUP(V4,'תחשיב עלות תפעול לשנת 2016'!$4:$149,92,0)*V13*V6/V9</f>
        <v>141</v>
      </c>
      <c r="W42" s="626">
        <f>+HLOOKUP(W4,'תחשיב עלות תפעול לשנת 2016'!$4:$149,92,0)*W13*W6/W9</f>
        <v>116.62608457148062</v>
      </c>
      <c r="X42" s="626">
        <f>+HLOOKUP(X4,'תחשיב עלות תפעול לשנת 2016'!$4:$149,92,0)*X13*X6/X9</f>
        <v>60.511650943419269</v>
      </c>
      <c r="Y42" s="626">
        <f>+HLOOKUP(Y4,'תחשיב עלות תפעול לשנת 2016'!$4:$149,92,0)*Y13*Y6/Y9</f>
        <v>44.966945140735888</v>
      </c>
      <c r="Z42" s="626">
        <f>+HLOOKUP(Z4,'תחשיב עלות תפעול לשנת 2016'!$4:$149,92,0)*Z13*Z6/Z9</f>
        <v>35.776656283185531</v>
      </c>
      <c r="AA42" s="626">
        <f>+HLOOKUP(AA4,'תחשיב עלות תפעול לשנת 2016'!$4:$149,92,0)*AA13*AA6/AA9</f>
        <v>28.669160646005331</v>
      </c>
      <c r="AB42" s="626">
        <f>+HLOOKUP(AB4,'תחשיב עלות תפעול לשנת 2016'!$4:$149,92,0)*AB13*AB6/AB9</f>
        <v>51.548914027473685</v>
      </c>
      <c r="AC42" s="626">
        <f>+HLOOKUP(AC4,'תחשיב עלות תפעול לשנת 2016'!$4:$149,92,0)*AC13*AC6/AC9</f>
        <v>48.692097135990309</v>
      </c>
      <c r="AD42" s="626">
        <f>+HLOOKUP(AD4,'תחשיב עלות תפעול לשנת 2016'!$4:$149,92,0)*AD13*AD6/AD9</f>
        <v>81.280191034599</v>
      </c>
      <c r="AE42" s="626">
        <f>+HLOOKUP(AE4,'תחשיב עלות תפעול לשנת 2016'!$4:$149,92,0)*AE13*AE6/AE9</f>
        <v>36.554680659680471</v>
      </c>
      <c r="AF42" s="626">
        <f>+HLOOKUP(AF4,'תחשיב עלות תפעול לשנת 2016'!$4:$149,92,0)*AF13*AF6/AF9</f>
        <v>169.18667001561042</v>
      </c>
      <c r="AG42" s="626">
        <f>+HLOOKUP(AG4,'תחשיב עלות תפעול לשנת 2016'!$4:$149,92,0)*AG13*AG6/AG9</f>
        <v>39.645714279367084</v>
      </c>
      <c r="AH42" s="626">
        <f>+HLOOKUP(AH4,'תחשיב עלות תפעול לשנת 2016'!$4:$149,92,0)*AH13*AH6/AH9</f>
        <v>41.884437371309694</v>
      </c>
      <c r="AI42" s="626">
        <f>+HLOOKUP(AI4,'תחשיב עלות תפעול לשנת 2016'!$4:$149,92,0)*AI13*AI6/AI9</f>
        <v>22.763810670882062</v>
      </c>
      <c r="AJ42" s="626">
        <f>+HLOOKUP(AJ4,'תחשיב עלות תפעול לשנת 2016'!$4:$149,92,0)*AJ13*AJ6/AJ9</f>
        <v>28.328135222873119</v>
      </c>
      <c r="AK42" s="626">
        <f>+HLOOKUP(AK4,'תחשיב עלות תפעול לשנת 2016'!$4:$149,92,0)*AK13*AK6/AK9</f>
        <v>23.982435325048122</v>
      </c>
      <c r="AL42" s="626">
        <f>+HLOOKUP(AL4,'תחשיב עלות תפעול לשנת 2016'!$4:$149,92,0)*AL13*AL6/AL9</f>
        <v>21.391990536847672</v>
      </c>
      <c r="AM42" s="626">
        <f>+HLOOKUP(AM4,'תחשיב עלות תפעול לשנת 2016'!$4:$149,92,0)*AM13*AM6/AM9</f>
        <v>305.13727206465239</v>
      </c>
      <c r="AN42" s="626">
        <f>+HLOOKUP(AN4,'תחשיב עלות תפעול לשנת 2016'!$4:$149,92,0)*AN13*AN6/AN9</f>
        <v>40.26078290319488</v>
      </c>
      <c r="AO42" s="626">
        <f>+HLOOKUP(AO4,'תחשיב עלות תפעול לשנת 2016'!$4:$149,92,0)*AO13*AO6/AO9</f>
        <v>79.561261521081434</v>
      </c>
      <c r="AP42" s="626">
        <f>+HLOOKUP(AP4,'תחשיב עלות תפעול לשנת 2016'!$4:$149,92,0)*AP13*AP6/AP9</f>
        <v>24.796681414266214</v>
      </c>
      <c r="AQ42" s="626">
        <f>+HLOOKUP(AQ4,'תחשיב עלות תפעול לשנת 2016'!$4:$149,92,0)*AQ13*AQ6/AQ9</f>
        <v>65.744960281125984</v>
      </c>
      <c r="AR42" s="626">
        <f>+HLOOKUP(AR4,'תחשיב עלות תפעול לשנת 2016'!$4:$149,92,0)*AR13*AR6/AR9</f>
        <v>39.364708326577563</v>
      </c>
      <c r="AS42" s="626">
        <f>+HLOOKUP(AS4,'תחשיב עלות תפעול לשנת 2016'!$4:$149,92,0)*AS13*AS6/AS9</f>
        <v>76.416792193907952</v>
      </c>
      <c r="AT42" s="626">
        <f>+HLOOKUP(AT4,'תחשיב עלות תפעול לשנת 2016'!$4:$149,92,0)*AT13*AT6/AT9</f>
        <v>25.054106525580142</v>
      </c>
      <c r="AU42" s="626">
        <f>+HLOOKUP(AU4,'תחשיב עלות תפעול לשנת 2016'!$4:$149,92,0)*AU13*AU6/AU9</f>
        <v>21.29983564044689</v>
      </c>
      <c r="AV42" s="626">
        <f>+HLOOKUP(AV4,'תחשיב עלות תפעול לשנת 2016'!$4:$149,92,0)*AV13*AV6/AV9</f>
        <v>36.570020902471953</v>
      </c>
      <c r="AW42" s="626">
        <f>+HLOOKUP(AW4,'תחשיב עלות תפעול לשנת 2016'!$4:$149,92,0)*AW13*AW6/AW9</f>
        <v>63.839498897780651</v>
      </c>
      <c r="AX42" s="626">
        <f>+HLOOKUP(AX4,'תחשיב עלות תפעול לשנת 2016'!$4:$149,92,0)*AX13*AX6/AX9</f>
        <v>80.557401933193248</v>
      </c>
      <c r="AY42" s="626">
        <f>+HLOOKUP(AY4,'תחשיב עלות תפעול לשנת 2016'!$4:$149,92,0)*AY13*AY6/AY9</f>
        <v>105.18595348742218</v>
      </c>
      <c r="AZ42" s="626">
        <f>+HLOOKUP(AZ4,'תחשיב עלות תפעול לשנת 2016'!$4:$149,92,0)*AZ13*AZ6/AZ9</f>
        <v>47.620077660555367</v>
      </c>
      <c r="BA42" s="626">
        <f>+HLOOKUP(BA4,'תחשיב עלות תפעול לשנת 2016'!$4:$149,92,0)*BA13*BA6/BA9</f>
        <v>43.537682164106329</v>
      </c>
      <c r="BB42" s="626">
        <f>+HLOOKUP(BB4,'תחשיב עלות תפעול לשנת 2016'!$4:$149,92,0)*BB13*BB6/BB9</f>
        <v>39.884642816983359</v>
      </c>
      <c r="BC42" s="626">
        <f>+HLOOKUP(BC4,'תחשיב עלות תפעול לשנת 2016'!$4:$149,92,0)*BC13*BC6/BC9</f>
        <v>37.157646913411199</v>
      </c>
      <c r="BD42" s="626">
        <f>+HLOOKUP(BD4,'תחשיב עלות תפעול לשנת 2016'!$4:$149,92,0)*BD13*BD6/BD9</f>
        <v>43.34649997876042</v>
      </c>
      <c r="BE42" s="626">
        <f>+HLOOKUP(BE4,'תחשיב עלות תפעול לשנת 2016'!$4:$149,92,0)*BE13*BE6/BE9</f>
        <v>7.5738955306616829</v>
      </c>
      <c r="BF42" s="626">
        <f>+HLOOKUP(BF4,'תחשיב עלות תפעול לשנת 2016'!$4:$149,92,0)*BF13*BF6/BF9</f>
        <v>8.6250870669080211</v>
      </c>
    </row>
    <row r="43" spans="1:58" ht="12.75" customHeight="1" x14ac:dyDescent="0.2">
      <c r="A43" s="1846"/>
      <c r="B43" s="1848"/>
      <c r="C43" s="1334" t="s">
        <v>1315</v>
      </c>
      <c r="D43" s="629">
        <f>+HLOOKUP(D4,'תחשיב עלות תפעול לשנת 2016'!$4:$148,92,0)*D14*D6/D9</f>
        <v>105.66722677446414</v>
      </c>
      <c r="E43" s="629">
        <f>+HLOOKUP(E4,'תחשיב עלות תפעול לשנת 2016'!$4:$148,92,0)*E14*E6/E9</f>
        <v>92.162919059528193</v>
      </c>
      <c r="F43" s="629">
        <f>+HLOOKUP(F4,'תחשיב עלות תפעול לשנת 2016'!$4:$148,92,0)*F14*F6/F9</f>
        <v>77.189261553391574</v>
      </c>
      <c r="G43" s="629">
        <f>+HLOOKUP(G4,'תחשיב עלות תפעול לשנת 2016'!$4:$148,92,0)*G14*G6/G9</f>
        <v>494.75068125056305</v>
      </c>
      <c r="H43" s="629">
        <f>+HLOOKUP(H4,'תחשיב עלות תפעול לשנת 2016'!$4:$148,92,0)*H14*H6/H9</f>
        <v>166.5103650912769</v>
      </c>
      <c r="I43" s="629">
        <f>+HLOOKUP(I4,'תחשיב עלות תפעול לשנת 2016'!$4:$148,92,0)*I14*I6/I9</f>
        <v>120</v>
      </c>
      <c r="J43" s="629">
        <f>+HLOOKUP(J4,'תחשיב עלות תפעול לשנת 2016'!$4:$148,92,0)*J14*J6/J9</f>
        <v>42.770641834016807</v>
      </c>
      <c r="K43" s="629">
        <f>+HLOOKUP(K4,'תחשיב עלות תפעול לשנת 2016'!$4:$148,92,0)*K14*K6/K9</f>
        <v>68.022963299238796</v>
      </c>
      <c r="L43" s="629">
        <f>+HLOOKUP(L4,'תחשיב עלות תפעול לשנת 2016'!$4:$148,92,0)*L14*L6/L9</f>
        <v>49.762367715873424</v>
      </c>
      <c r="M43" s="629">
        <f>+HLOOKUP(M4,'תחשיב עלות תפעול לשנת 2016'!$4:$148,92,0)*M14*M6/M9</f>
        <v>97.970134828444671</v>
      </c>
      <c r="N43" s="629">
        <f>+HLOOKUP(N4,'תחשיב עלות תפעול לשנת 2016'!$4:$148,92,0)*N14*N6/N9</f>
        <v>156.4574873999787</v>
      </c>
      <c r="O43" s="629">
        <f>+HLOOKUP(O4,'תחשיב עלות תפעול לשנת 2016'!$4:$148,92,0)*O14*O6/O9</f>
        <v>86.327119784456826</v>
      </c>
      <c r="P43" s="629">
        <f>+HLOOKUP(P4,'תחשיב עלות תפעול לשנת 2016'!$4:$148,92,0)*P14*P6/P9</f>
        <v>55.176250915976034</v>
      </c>
      <c r="Q43" s="629">
        <f>+HLOOKUP(Q4,'תחשיב עלות תפעול לשנת 2016'!$4:$148,92,0)*Q14*Q6/Q9</f>
        <v>85.398375673372442</v>
      </c>
      <c r="R43" s="629">
        <f>+HLOOKUP(R4,'תחשיב עלות תפעול לשנת 2016'!$4:$148,92,0)*R14*R6/R9</f>
        <v>200.11700478753966</v>
      </c>
      <c r="S43" s="629">
        <f>+HLOOKUP(S4,'תחשיב עלות תפעול לשנת 2016'!$4:$148,92,0)*S14*S6/S9</f>
        <v>181.21611315826087</v>
      </c>
      <c r="T43" s="629">
        <f>+HLOOKUP(T4,'תחשיב עלות תפעול לשנת 2016'!$4:$148,92,0)*T14*T6/T9</f>
        <v>192.75387990157645</v>
      </c>
      <c r="U43" s="629">
        <f>+HLOOKUP(U4,'תחשיב עלות תפעול לשנת 2016'!$4:$148,92,0)*U14*U6/U9</f>
        <v>183.21293342045573</v>
      </c>
      <c r="V43" s="629">
        <f>+HLOOKUP(V4,'תחשיב עלות תפעול לשנת 2016'!$4:$148,92,0)*V14*V6/V9</f>
        <v>188</v>
      </c>
      <c r="W43" s="629">
        <f>+HLOOKUP(W4,'תחשיב עלות תפעול לשנת 2016'!$4:$148,92,0)*W14*W6/W9</f>
        <v>155.5014460953075</v>
      </c>
      <c r="X43" s="629">
        <f>+HLOOKUP(X4,'תחשיב עלות תפעול לשנת 2016'!$4:$148,92,0)*X14*X6/X9</f>
        <v>80.682201257892359</v>
      </c>
      <c r="Y43" s="629">
        <f>+HLOOKUP(Y4,'תחשיב עלות תפעול לשנת 2016'!$4:$148,92,0)*Y14*Y6/Y9</f>
        <v>59.955926854314527</v>
      </c>
      <c r="Z43" s="629">
        <f>+HLOOKUP(Z4,'תחשיב עלות תפעול לשנת 2016'!$4:$148,92,0)*Z14*Z6/Z9</f>
        <v>47.70220837758071</v>
      </c>
      <c r="AA43" s="629">
        <f>+HLOOKUP(AA4,'תחשיב עלות תפעול לשנת 2016'!$4:$148,92,0)*AA14*AA6/AA9</f>
        <v>38.225547528007112</v>
      </c>
      <c r="AB43" s="629">
        <f>+HLOOKUP(AB4,'תחשיב עלות תפעול לשנת 2016'!$4:$148,92,0)*AB14*AB6/AB9</f>
        <v>68.7318853699649</v>
      </c>
      <c r="AC43" s="629">
        <f>+HLOOKUP(AC4,'תחשיב עלות תפעול לשנת 2016'!$4:$148,92,0)*AC14*AC6/AC9</f>
        <v>64.922796181320408</v>
      </c>
      <c r="AD43" s="629">
        <f>+HLOOKUP(AD4,'תחשיב עלות תפעול לשנת 2016'!$4:$148,92,0)*AD14*AD6/AD9</f>
        <v>108.373588046132</v>
      </c>
      <c r="AE43" s="629">
        <f>+HLOOKUP(AE4,'תחשיב עלות תפעול לשנת 2016'!$4:$148,92,0)*AE14*AE6/AE9</f>
        <v>48.739574212907293</v>
      </c>
      <c r="AF43" s="629">
        <f>+HLOOKUP(AF4,'תחשיב עלות תפעול לשנת 2016'!$4:$148,92,0)*AF14*AF6/AF9</f>
        <v>225.58222668748056</v>
      </c>
      <c r="AG43" s="629">
        <f>+HLOOKUP(AG4,'תחשיב עלות תפעול לשנת 2016'!$4:$148,92,0)*AG14*AG6/AG9</f>
        <v>52.86095237248945</v>
      </c>
      <c r="AH43" s="629">
        <f>+HLOOKUP(AH4,'תחשיב עלות תפעול לשנת 2016'!$4:$148,92,0)*AH14*AH6/AH9</f>
        <v>55.845916495079585</v>
      </c>
      <c r="AI43" s="629">
        <f>+HLOOKUP(AI4,'תחשיב עלות תפעול לשנת 2016'!$4:$148,92,0)*AI14*AI6/AI9</f>
        <v>30.351747561176083</v>
      </c>
      <c r="AJ43" s="629">
        <f>+HLOOKUP(AJ4,'תחשיב עלות תפעול לשנת 2016'!$4:$148,92,0)*AJ14*AJ6/AJ9</f>
        <v>37.770846963830827</v>
      </c>
      <c r="AK43" s="629">
        <f>+HLOOKUP(AK4,'תחשיב עלות תפעול לשנת 2016'!$4:$148,92,0)*AK14*AK6/AK9</f>
        <v>31.976580433397498</v>
      </c>
      <c r="AL43" s="629">
        <f>+HLOOKUP(AL4,'תחשיב עלות תפעול לשנת 2016'!$4:$148,92,0)*AL14*AL6/AL9</f>
        <v>28.522654049130232</v>
      </c>
      <c r="AM43" s="629">
        <f>+HLOOKUP(AM4,'תחשיב עלות תפעול לשנת 2016'!$4:$148,92,0)*AM14*AM6/AM9</f>
        <v>406.84969608620321</v>
      </c>
      <c r="AN43" s="629">
        <f>+HLOOKUP(AN4,'תחשיב עלות תפעול לשנת 2016'!$4:$148,92,0)*AN14*AN6/AN9</f>
        <v>53.681043870926516</v>
      </c>
      <c r="AO43" s="629">
        <f>+HLOOKUP(AO4,'תחשיב עלות תפעול לשנת 2016'!$4:$148,92,0)*AO14*AO6/AO9</f>
        <v>106.08168202810859</v>
      </c>
      <c r="AP43" s="629">
        <f>+HLOOKUP(AP4,'תחשיב עלות תפעול לשנת 2016'!$4:$148,92,0)*AP14*AP6/AP9</f>
        <v>33.062241885688287</v>
      </c>
      <c r="AQ43" s="629">
        <f>+HLOOKUP(AQ4,'תחשיב עלות תפעול לשנת 2016'!$4:$148,92,0)*AQ14*AQ6/AQ9</f>
        <v>87.659947041501312</v>
      </c>
      <c r="AR43" s="629">
        <f>+HLOOKUP(AR4,'תחשיב עלות תפעול לשנת 2016'!$4:$148,92,0)*AR14*AR6/AR9</f>
        <v>52.486277768770087</v>
      </c>
      <c r="AS43" s="629">
        <f>+HLOOKUP(AS4,'תחשיב עלות תפעול לשנת 2016'!$4:$148,92,0)*AS14*AS6/AS9</f>
        <v>101.88905625854395</v>
      </c>
      <c r="AT43" s="629">
        <f>+HLOOKUP(AT4,'תחשיב עלות תפעול לשנת 2016'!$4:$148,92,0)*AT14*AT6/AT9</f>
        <v>33.405475367440189</v>
      </c>
      <c r="AU43" s="629">
        <f>+HLOOKUP(AU4,'תחשיב עלות תפעול לשנת 2016'!$4:$148,92,0)*AU14*AU6/AU9</f>
        <v>28.39978085392919</v>
      </c>
      <c r="AV43" s="629">
        <f>+HLOOKUP(AV4,'תחשיב עלות תפעול לשנת 2016'!$4:$148,92,0)*AV14*AV6/AV9</f>
        <v>48.760027869962606</v>
      </c>
      <c r="AW43" s="629">
        <f>+HLOOKUP(AW4,'תחשיב עלות תפעול לשנת 2016'!$4:$148,92,0)*AW14*AW6/AW9</f>
        <v>85.119331863707529</v>
      </c>
      <c r="AX43" s="629">
        <f>+HLOOKUP(AX4,'תחשיב עלות תפעול לשנת 2016'!$4:$148,92,0)*AX14*AX6/AX9</f>
        <v>107.40986924425768</v>
      </c>
      <c r="AY43" s="629">
        <f>+HLOOKUP(AY4,'תחשיב עלות תפעול לשנת 2016'!$4:$148,92,0)*AY14*AY6/AY9</f>
        <v>140.24793798322958</v>
      </c>
      <c r="AZ43" s="629">
        <f>+HLOOKUP(AZ4,'תחשיב עלות תפעול לשנת 2016'!$4:$148,92,0)*AZ14*AZ6/AZ9</f>
        <v>63.493436880740482</v>
      </c>
      <c r="BA43" s="629">
        <f>+HLOOKUP(BA4,'תחשיב עלות תפעול לשנת 2016'!$4:$148,92,0)*BA14*BA6/BA9</f>
        <v>58.0502428854751</v>
      </c>
      <c r="BB43" s="629">
        <f>+HLOOKUP(BB4,'תחשיב עלות תפעול לשנת 2016'!$4:$148,92,0)*BB14*BB6/BB9</f>
        <v>53.179523755977804</v>
      </c>
      <c r="BC43" s="629">
        <f>+HLOOKUP(BC4,'תחשיב עלות תפעול לשנת 2016'!$4:$148,92,0)*BC14*BC6/BC9</f>
        <v>49.543529217881598</v>
      </c>
      <c r="BD43" s="629">
        <f>+HLOOKUP(BD4,'תחשיב עלות תפעול לשנת 2016'!$4:$148,92,0)*BD14*BD6/BD9</f>
        <v>57.795333305013884</v>
      </c>
      <c r="BE43" s="629">
        <f>+HLOOKUP(BE4,'תחשיב עלות תפעול לשנת 2016'!$4:$148,92,0)*BE14*BE6/BE9</f>
        <v>10.098527374215578</v>
      </c>
      <c r="BF43" s="629">
        <f>+HLOOKUP(BF4,'תחשיב עלות תפעול לשנת 2016'!$4:$148,92,0)*BF14*BF6/BF9</f>
        <v>11.500116089210696</v>
      </c>
    </row>
    <row r="44" spans="1:58" ht="12.75" customHeight="1" x14ac:dyDescent="0.2">
      <c r="A44" s="1846"/>
      <c r="B44" s="1848"/>
      <c r="C44" s="1334" t="s">
        <v>1602</v>
      </c>
      <c r="D44" s="626">
        <f>+HLOOKUP(D4,'תחשיב עלות תפעול לשנת 2016'!$4:$148,92,0)*D15*D6/D9</f>
        <v>66.042016734040104</v>
      </c>
      <c r="E44" s="626">
        <f>+HLOOKUP(E4,'תחשיב עלות תפעול לשנת 2016'!$4:$148,92,0)*E15*E6/E9</f>
        <v>57.601824412205112</v>
      </c>
      <c r="F44" s="626">
        <f>+HLOOKUP(F4,'תחשיב עלות תפעול לשנת 2016'!$4:$148,92,0)*F15*F6/F9</f>
        <v>48.243288470869736</v>
      </c>
      <c r="G44" s="626">
        <f>+HLOOKUP(G4,'תחשיב עלות תפעול לשנת 2016'!$4:$148,92,0)*G15*G6/G9</f>
        <v>309.21917578160196</v>
      </c>
      <c r="H44" s="626">
        <f>+HLOOKUP(H4,'תחשיב עלות תפעול לשנת 2016'!$4:$148,92,0)*H15*H6/H9</f>
        <v>104.06897818204804</v>
      </c>
      <c r="I44" s="626">
        <f>+HLOOKUP(I4,'תחשיב עלות תפעול לשנת 2016'!$4:$148,92,0)*I15*I6/I9</f>
        <v>75</v>
      </c>
      <c r="J44" s="626">
        <f>+HLOOKUP(J4,'תחשיב עלות תפעול לשנת 2016'!$4:$148,92,0)*J15*J6/J9</f>
        <v>26.731651146260504</v>
      </c>
      <c r="K44" s="626">
        <f>+HLOOKUP(K4,'תחשיב עלות תפעול לשנת 2016'!$4:$148,92,0)*K15*K6/K9</f>
        <v>42.514352062024237</v>
      </c>
      <c r="L44" s="626">
        <f>+HLOOKUP(L4,'תחשיב עלות תפעול לשנת 2016'!$4:$148,92,0)*L15*L6/L9</f>
        <v>31.101479822420885</v>
      </c>
      <c r="M44" s="626">
        <f>+HLOOKUP(M4,'תחשיב עלות תפעול לשנת 2016'!$4:$148,92,0)*M15*M6/M9</f>
        <v>61.231334267777918</v>
      </c>
      <c r="N44" s="626">
        <f>+HLOOKUP(N4,'תחשיב עלות תפעול לשנת 2016'!$4:$148,92,0)*N15*N6/N9</f>
        <v>97.785929624986693</v>
      </c>
      <c r="O44" s="626">
        <f>+HLOOKUP(O4,'תחשיב עלות תפעול לשנת 2016'!$4:$148,92,0)*O15*O6/O9</f>
        <v>53.954449865285518</v>
      </c>
      <c r="P44" s="626">
        <f>+HLOOKUP(P4,'תחשיב עלות תפעול לשנת 2016'!$4:$148,92,0)*P15*P6/P9</f>
        <v>34.485156822485017</v>
      </c>
      <c r="Q44" s="626">
        <f>+HLOOKUP(Q4,'תחשיב עלות תפעול לשנת 2016'!$4:$148,92,0)*Q15*Q6/Q9</f>
        <v>53.37398479585778</v>
      </c>
      <c r="R44" s="626">
        <f>+HLOOKUP(R4,'תחשיב עלות תפעול לשנת 2016'!$4:$148,92,0)*R15*R6/R9</f>
        <v>125.07312799221228</v>
      </c>
      <c r="S44" s="626">
        <f>+HLOOKUP(S4,'תחשיב עלות תפעול לשנת 2016'!$4:$148,92,0)*S15*S6/S9</f>
        <v>113.26007072391306</v>
      </c>
      <c r="T44" s="626">
        <f>+HLOOKUP(T4,'תחשיב עלות תפעול לשנת 2016'!$4:$148,92,0)*T15*T6/T9</f>
        <v>120.47117493848529</v>
      </c>
      <c r="U44" s="626">
        <f>+HLOOKUP(U4,'תחשיב עלות תפעול לשנת 2016'!$4:$148,92,0)*U15*U6/U9</f>
        <v>114.50808338778482</v>
      </c>
      <c r="V44" s="626">
        <f>+HLOOKUP(V4,'תחשיב עלות תפעול לשנת 2016'!$4:$148,92,0)*V15*V6/V9</f>
        <v>117.5</v>
      </c>
      <c r="W44" s="626">
        <f>+HLOOKUP(W4,'תחשיב עלות תפעול לשנת 2016'!$4:$148,92,0)*W15*W6/W9</f>
        <v>97.188403809567191</v>
      </c>
      <c r="X44" s="626">
        <f>+HLOOKUP(X4,'תחשיב עלות תפעול לשנת 2016'!$4:$148,92,0)*X15*X6/X9</f>
        <v>50.426375786182724</v>
      </c>
      <c r="Y44" s="626">
        <f>+HLOOKUP(Y4,'תחשיב עלות תפעול לשנת 2016'!$4:$148,92,0)*Y15*Y6/Y9</f>
        <v>37.472454283946576</v>
      </c>
      <c r="Z44" s="626">
        <f>+HLOOKUP(Z4,'תחשיב עלות תפעול לשנת 2016'!$4:$148,92,0)*Z15*Z6/Z9</f>
        <v>29.813880235987945</v>
      </c>
      <c r="AA44" s="626">
        <f>+HLOOKUP(AA4,'תחשיב עלות תפעול לשנת 2016'!$4:$148,92,0)*AA15*AA6/AA9</f>
        <v>23.890967205004447</v>
      </c>
      <c r="AB44" s="626">
        <f>+HLOOKUP(AB4,'תחשיב עלות תפעול לשנת 2016'!$4:$148,92,0)*AB15*AB6/AB9</f>
        <v>42.957428356228064</v>
      </c>
      <c r="AC44" s="626">
        <f>+HLOOKUP(AC4,'תחשיב עלות תפעול לשנת 2016'!$4:$148,92,0)*AC15*AC6/AC9</f>
        <v>40.57674761332526</v>
      </c>
      <c r="AD44" s="626">
        <f>+HLOOKUP(AD4,'תחשיב עלות תפעול לשנת 2016'!$4:$148,92,0)*AD15*AD6/AD9</f>
        <v>67.7334925288325</v>
      </c>
      <c r="AE44" s="626">
        <f>+HLOOKUP(AE4,'תחשיב עלות תפעול לשנת 2016'!$4:$148,92,0)*AE15*AE6/AE9</f>
        <v>30.462233883067057</v>
      </c>
      <c r="AF44" s="626">
        <f>+HLOOKUP(AF4,'תחשיב עלות תפעול לשנת 2016'!$4:$148,92,0)*AF15*AF6/AF9</f>
        <v>140.98889167967536</v>
      </c>
      <c r="AG44" s="626">
        <f>+HLOOKUP(AG4,'תחשיב עלות תפעול לשנת 2016'!$4:$148,92,0)*AG15*AG6/AG9</f>
        <v>33.038095232805901</v>
      </c>
      <c r="AH44" s="626">
        <f>+HLOOKUP(AH4,'תחשיב עלות תפעול לשנת 2016'!$4:$148,92,0)*AH15*AH6/AH9</f>
        <v>34.903697809424742</v>
      </c>
      <c r="AI44" s="626">
        <f>+HLOOKUP(AI4,'תחשיב עלות תפעול לשנת 2016'!$4:$148,92,0)*AI15*AI6/AI9</f>
        <v>18.969842225735054</v>
      </c>
      <c r="AJ44" s="626">
        <f>+HLOOKUP(AJ4,'תחשיב עלות תפעול לשנת 2016'!$4:$148,92,0)*AJ15*AJ6/AJ9</f>
        <v>23.606779352394266</v>
      </c>
      <c r="AK44" s="626">
        <f>+HLOOKUP(AK4,'תחשיב עלות תפעול לשנת 2016'!$4:$148,92,0)*AK15*AK6/AK9</f>
        <v>19.985362770873436</v>
      </c>
      <c r="AL44" s="626">
        <f>+HLOOKUP(AL4,'תחשיב עלות תפעול לשנת 2016'!$4:$148,92,0)*AL15*AL6/AL9</f>
        <v>17.826658780706396</v>
      </c>
      <c r="AM44" s="626">
        <f>+HLOOKUP(AM4,'תחשיב עלות תפעול לשנת 2016'!$4:$148,92,0)*AM15*AM6/AM9</f>
        <v>254.28106005387698</v>
      </c>
      <c r="AN44" s="626">
        <f>+HLOOKUP(AN4,'תחשיב עלות תפעול לשנת 2016'!$4:$148,92,0)*AN15*AN6/AN9</f>
        <v>33.550652419329076</v>
      </c>
      <c r="AO44" s="626">
        <f>+HLOOKUP(AO4,'תחשיב עלות תפעול לשנת 2016'!$4:$148,92,0)*AO15*AO6/AO9</f>
        <v>66.301051267567857</v>
      </c>
      <c r="AP44" s="626">
        <f>+HLOOKUP(AP4,'תחשיב עלות תפעול לשנת 2016'!$4:$148,92,0)*AP15*AP6/AP9</f>
        <v>20.663901178555175</v>
      </c>
      <c r="AQ44" s="626">
        <f>+HLOOKUP(AQ4,'תחשיב עלות תפעול לשנת 2016'!$4:$148,92,0)*AQ15*AQ6/AQ9</f>
        <v>54.787466900938313</v>
      </c>
      <c r="AR44" s="626">
        <f>+HLOOKUP(AR4,'תחשיב עלות תפעול לשנת 2016'!$4:$148,92,0)*AR15*AR6/AR9</f>
        <v>32.803923605481309</v>
      </c>
      <c r="AS44" s="626">
        <f>+HLOOKUP(AS4,'תחשיב עלות תפעול לשנת 2016'!$4:$148,92,0)*AS15*AS6/AS9</f>
        <v>63.680660161589955</v>
      </c>
      <c r="AT44" s="626">
        <f>+HLOOKUP(AT4,'תחשיב עלות תפעול לשנת 2016'!$4:$148,92,0)*AT15*AT6/AT9</f>
        <v>20.87842210465012</v>
      </c>
      <c r="AU44" s="626">
        <f>+HLOOKUP(AU4,'תחשיב עלות תפעול לשנת 2016'!$4:$148,92,0)*AU15*AU6/AU9</f>
        <v>17.749863033705743</v>
      </c>
      <c r="AV44" s="626">
        <f>+HLOOKUP(AV4,'תחשיב עלות תפעול לשנת 2016'!$4:$148,92,0)*AV15*AV6/AV9</f>
        <v>30.47501741872663</v>
      </c>
      <c r="AW44" s="626">
        <f>+HLOOKUP(AW4,'תחשיב עלות תפעול לשנת 2016'!$4:$148,92,0)*AW15*AW6/AW9</f>
        <v>53.199582414817208</v>
      </c>
      <c r="AX44" s="626">
        <f>+HLOOKUP(AX4,'תחשיב עלות תפעול לשנת 2016'!$4:$148,92,0)*AX15*AX6/AX9</f>
        <v>67.131168277661047</v>
      </c>
      <c r="AY44" s="626">
        <f>+HLOOKUP(AY4,'תחשיב עלות תפעול לשנת 2016'!$4:$148,92,0)*AY15*AY6/AY9</f>
        <v>87.654961239518471</v>
      </c>
      <c r="AZ44" s="626">
        <f>+HLOOKUP(AZ4,'תחשיב עלות תפעול לשנת 2016'!$4:$148,92,0)*AZ15*AZ6/AZ9</f>
        <v>39.683398050462799</v>
      </c>
      <c r="BA44" s="626">
        <f>+HLOOKUP(BA4,'תחשיב עלות תפעול לשנת 2016'!$4:$148,92,0)*BA15*BA6/BA9</f>
        <v>36.281401803421936</v>
      </c>
      <c r="BB44" s="626">
        <f>+HLOOKUP(BB4,'תחשיב עלות תפעול לשנת 2016'!$4:$148,92,0)*BB15*BB6/BB9</f>
        <v>33.237202347486132</v>
      </c>
      <c r="BC44" s="626">
        <f>+HLOOKUP(BC4,'תחשיב עלות תפעול לשנת 2016'!$4:$148,92,0)*BC15*BC6/BC9</f>
        <v>30.964705761175999</v>
      </c>
      <c r="BD44" s="626">
        <f>+HLOOKUP(BD4,'תחשיב עלות תפעול לשנת 2016'!$4:$148,92,0)*BD15*BD6/BD9</f>
        <v>36.122083315633674</v>
      </c>
      <c r="BE44" s="626">
        <f>+HLOOKUP(BE4,'תחשיב עלות תפעול לשנת 2016'!$4:$148,92,0)*BE15*BE6/BE9</f>
        <v>6.3115796088847365</v>
      </c>
      <c r="BF44" s="626">
        <f>+HLOOKUP(BF4,'תחשיב עלות תפעול לשנת 2016'!$4:$148,92,0)*BF15*BF6/BF9</f>
        <v>7.1875725557566854</v>
      </c>
    </row>
    <row r="45" spans="1:58" ht="12.75" customHeight="1" x14ac:dyDescent="0.2">
      <c r="A45" s="1846"/>
      <c r="B45" s="1848"/>
      <c r="C45" s="1334" t="s">
        <v>1756</v>
      </c>
      <c r="D45" s="626">
        <f>+HLOOKUP(D4,'תחשיב עלות תפעול לשנת 2016'!$4:$148,92,0)*D16*D6/D9</f>
        <v>66.042016734040104</v>
      </c>
      <c r="E45" s="626">
        <f>+HLOOKUP(E4,'תחשיב עלות תפעול לשנת 2016'!$4:$148,92,0)*E16*E6/E9</f>
        <v>57.601824412205112</v>
      </c>
      <c r="F45" s="626">
        <f>+HLOOKUP(F4,'תחשיב עלות תפעול לשנת 2016'!$4:$148,92,0)*F16*F6/F9</f>
        <v>48.243288470869736</v>
      </c>
      <c r="G45" s="626">
        <f>+HLOOKUP(G4,'תחשיב עלות תפעול לשנת 2016'!$4:$148,92,0)*G16*G6/G9</f>
        <v>309.21917578160196</v>
      </c>
      <c r="H45" s="626">
        <f>+HLOOKUP(H4,'תחשיב עלות תפעול לשנת 2016'!$4:$148,92,0)*H16*H6/H9</f>
        <v>104.06897818204804</v>
      </c>
      <c r="I45" s="626">
        <f>+HLOOKUP(I4,'תחשיב עלות תפעול לשנת 2016'!$4:$148,92,0)*I16*I6/I9</f>
        <v>75</v>
      </c>
      <c r="J45" s="626">
        <f>+HLOOKUP(J4,'תחשיב עלות תפעול לשנת 2016'!$4:$148,92,0)*J16*J6/J9</f>
        <v>26.731651146260504</v>
      </c>
      <c r="K45" s="626">
        <f>+HLOOKUP(K4,'תחשיב עלות תפעול לשנת 2016'!$4:$148,92,0)*K16*K6/K9</f>
        <v>42.514352062024237</v>
      </c>
      <c r="L45" s="626">
        <f>+HLOOKUP(L4,'תחשיב עלות תפעול לשנת 2016'!$4:$148,92,0)*L16*L6/L9</f>
        <v>31.101479822420885</v>
      </c>
      <c r="M45" s="626">
        <f>+HLOOKUP(M4,'תחשיב עלות תפעול לשנת 2016'!$4:$148,92,0)*M16*M6/M9</f>
        <v>61.231334267777918</v>
      </c>
      <c r="N45" s="626">
        <f>+HLOOKUP(N4,'תחשיב עלות תפעול לשנת 2016'!$4:$148,92,0)*N16*N6/N9</f>
        <v>97.785929624986693</v>
      </c>
      <c r="O45" s="626">
        <f>+HLOOKUP(O4,'תחשיב עלות תפעול לשנת 2016'!$4:$148,92,0)*O16*O6/O9</f>
        <v>53.954449865285518</v>
      </c>
      <c r="P45" s="626">
        <f>+HLOOKUP(P4,'תחשיב עלות תפעול לשנת 2016'!$4:$148,92,0)*P16*P6/P9</f>
        <v>34.485156822485017</v>
      </c>
      <c r="Q45" s="626">
        <f>+HLOOKUP(Q4,'תחשיב עלות תפעול לשנת 2016'!$4:$148,92,0)*Q16*Q6/Q9</f>
        <v>53.37398479585778</v>
      </c>
      <c r="R45" s="626">
        <f>+HLOOKUP(R4,'תחשיב עלות תפעול לשנת 2016'!$4:$148,92,0)*R16*R6/R9</f>
        <v>125.07312799221228</v>
      </c>
      <c r="S45" s="626">
        <f>+HLOOKUP(S4,'תחשיב עלות תפעול לשנת 2016'!$4:$148,92,0)*S16*S6/S9</f>
        <v>113.26007072391306</v>
      </c>
      <c r="T45" s="626">
        <f>+HLOOKUP(T4,'תחשיב עלות תפעול לשנת 2016'!$4:$148,92,0)*T16*T6/T9</f>
        <v>120.47117493848529</v>
      </c>
      <c r="U45" s="626">
        <f>+HLOOKUP(U4,'תחשיב עלות תפעול לשנת 2016'!$4:$148,92,0)*U16*U6/U9</f>
        <v>114.50808338778482</v>
      </c>
      <c r="V45" s="626">
        <f>+HLOOKUP(V4,'תחשיב עלות תפעול לשנת 2016'!$4:$148,92,0)*V16*V6/V9</f>
        <v>117.5</v>
      </c>
      <c r="W45" s="626">
        <f>+HLOOKUP(W4,'תחשיב עלות תפעול לשנת 2016'!$4:$148,92,0)*W16*W6/W9</f>
        <v>97.188403809567191</v>
      </c>
      <c r="X45" s="626">
        <f>+HLOOKUP(X4,'תחשיב עלות תפעול לשנת 2016'!$4:$148,92,0)*X16*X6/X9</f>
        <v>50.426375786182724</v>
      </c>
      <c r="Y45" s="626">
        <f>+HLOOKUP(Y4,'תחשיב עלות תפעול לשנת 2016'!$4:$148,92,0)*Y16*Y6/Y9</f>
        <v>37.472454283946576</v>
      </c>
      <c r="Z45" s="626">
        <f>+HLOOKUP(Z4,'תחשיב עלות תפעול לשנת 2016'!$4:$148,92,0)*Z16*Z6/Z9</f>
        <v>29.813880235987945</v>
      </c>
      <c r="AA45" s="626">
        <f>+HLOOKUP(AA4,'תחשיב עלות תפעול לשנת 2016'!$4:$148,92,0)*AA16*AA6/AA9</f>
        <v>23.890967205004447</v>
      </c>
      <c r="AB45" s="626">
        <f>+HLOOKUP(AB4,'תחשיב עלות תפעול לשנת 2016'!$4:$148,92,0)*AB16*AB6/AB9</f>
        <v>42.957428356228064</v>
      </c>
      <c r="AC45" s="626">
        <f>+HLOOKUP(AC4,'תחשיב עלות תפעול לשנת 2016'!$4:$148,92,0)*AC16*AC6/AC9</f>
        <v>40.57674761332526</v>
      </c>
      <c r="AD45" s="626">
        <f>+HLOOKUP(AD4,'תחשיב עלות תפעול לשנת 2016'!$4:$148,92,0)*AD16*AD6/AD9</f>
        <v>67.7334925288325</v>
      </c>
      <c r="AE45" s="626">
        <f>+HLOOKUP(AE4,'תחשיב עלות תפעול לשנת 2016'!$4:$148,92,0)*AE16*AE6/AE9</f>
        <v>30.462233883067057</v>
      </c>
      <c r="AF45" s="626">
        <f>+HLOOKUP(AF4,'תחשיב עלות תפעול לשנת 2016'!$4:$148,92,0)*AF16*AF6/AF9</f>
        <v>140.98889167967536</v>
      </c>
      <c r="AG45" s="626">
        <f>+HLOOKUP(AG4,'תחשיב עלות תפעול לשנת 2016'!$4:$148,92,0)*AG16*AG6/AG9</f>
        <v>33.038095232805901</v>
      </c>
      <c r="AH45" s="626">
        <f>+HLOOKUP(AH4,'תחשיב עלות תפעול לשנת 2016'!$4:$148,92,0)*AH16*AH6/AH9</f>
        <v>34.903697809424742</v>
      </c>
      <c r="AI45" s="626">
        <f>+HLOOKUP(AI4,'תחשיב עלות תפעול לשנת 2016'!$4:$148,92,0)*AI16*AI6/AI9</f>
        <v>18.969842225735054</v>
      </c>
      <c r="AJ45" s="626">
        <f>+HLOOKUP(AJ4,'תחשיב עלות תפעול לשנת 2016'!$4:$148,92,0)*AJ16*AJ6/AJ9</f>
        <v>23.606779352394266</v>
      </c>
      <c r="AK45" s="626">
        <f>+HLOOKUP(AK4,'תחשיב עלות תפעול לשנת 2016'!$4:$148,92,0)*AK16*AK6/AK9</f>
        <v>19.985362770873436</v>
      </c>
      <c r="AL45" s="626">
        <f>+HLOOKUP(AL4,'תחשיב עלות תפעול לשנת 2016'!$4:$148,92,0)*AL16*AL6/AL9</f>
        <v>17.826658780706396</v>
      </c>
      <c r="AM45" s="626">
        <f>+HLOOKUP(AM4,'תחשיב עלות תפעול לשנת 2016'!$4:$148,92,0)*AM16*AM6/AM9</f>
        <v>254.28106005387698</v>
      </c>
      <c r="AN45" s="626">
        <f>+HLOOKUP(AN4,'תחשיב עלות תפעול לשנת 2016'!$4:$148,92,0)*AN16*AN6/AN9</f>
        <v>33.550652419329076</v>
      </c>
      <c r="AO45" s="626">
        <f>+HLOOKUP(AO4,'תחשיב עלות תפעול לשנת 2016'!$4:$148,92,0)*AO16*AO6/AO9</f>
        <v>66.301051267567857</v>
      </c>
      <c r="AP45" s="626">
        <f>+HLOOKUP(AP4,'תחשיב עלות תפעול לשנת 2016'!$4:$148,92,0)*AP16*AP6/AP9</f>
        <v>20.663901178555175</v>
      </c>
      <c r="AQ45" s="626">
        <f>+HLOOKUP(AQ4,'תחשיב עלות תפעול לשנת 2016'!$4:$148,92,0)*AQ16*AQ6/AQ9</f>
        <v>54.787466900938313</v>
      </c>
      <c r="AR45" s="626">
        <f>+HLOOKUP(AR4,'תחשיב עלות תפעול לשנת 2016'!$4:$148,92,0)*AR16*AR6/AR9</f>
        <v>32.803923605481309</v>
      </c>
      <c r="AS45" s="626">
        <f>+HLOOKUP(AS4,'תחשיב עלות תפעול לשנת 2016'!$4:$148,92,0)*AS16*AS6/AS9</f>
        <v>63.680660161589955</v>
      </c>
      <c r="AT45" s="626">
        <f>+HLOOKUP(AT4,'תחשיב עלות תפעול לשנת 2016'!$4:$148,92,0)*AT16*AT6/AT9</f>
        <v>20.87842210465012</v>
      </c>
      <c r="AU45" s="626">
        <f>+HLOOKUP(AU4,'תחשיב עלות תפעול לשנת 2016'!$4:$148,92,0)*AU16*AU6/AU9</f>
        <v>17.749863033705743</v>
      </c>
      <c r="AV45" s="626">
        <f>+HLOOKUP(AV4,'תחשיב עלות תפעול לשנת 2016'!$4:$148,92,0)*AV16*AV6/AV9</f>
        <v>30.47501741872663</v>
      </c>
      <c r="AW45" s="626">
        <f>+HLOOKUP(AW4,'תחשיב עלות תפעול לשנת 2016'!$4:$148,92,0)*AW16*AW6/AW9</f>
        <v>53.199582414817208</v>
      </c>
      <c r="AX45" s="626">
        <f>+HLOOKUP(AX4,'תחשיב עלות תפעול לשנת 2016'!$4:$148,92,0)*AX16*AX6/AX9</f>
        <v>67.131168277661047</v>
      </c>
      <c r="AY45" s="626">
        <f>+HLOOKUP(AY4,'תחשיב עלות תפעול לשנת 2016'!$4:$148,92,0)*AY16*AY6/AY9</f>
        <v>87.654961239518471</v>
      </c>
      <c r="AZ45" s="626">
        <f>+HLOOKUP(AZ4,'תחשיב עלות תפעול לשנת 2016'!$4:$148,92,0)*AZ16*AZ6/AZ9</f>
        <v>39.683398050462799</v>
      </c>
      <c r="BA45" s="626">
        <f>+HLOOKUP(BA4,'תחשיב עלות תפעול לשנת 2016'!$4:$148,92,0)*BA16*BA6/BA9</f>
        <v>36.281401803421936</v>
      </c>
      <c r="BB45" s="626">
        <f>+HLOOKUP(BB4,'תחשיב עלות תפעול לשנת 2016'!$4:$148,92,0)*BB16*BB6/BB9</f>
        <v>33.237202347486132</v>
      </c>
      <c r="BC45" s="626">
        <f>+HLOOKUP(BC4,'תחשיב עלות תפעול לשנת 2016'!$4:$148,92,0)*BC16*BC6/BC9</f>
        <v>30.964705761175999</v>
      </c>
      <c r="BD45" s="626">
        <f>+HLOOKUP(BD4,'תחשיב עלות תפעול לשנת 2016'!$4:$148,92,0)*BD16*BD6/BD9</f>
        <v>36.122083315633674</v>
      </c>
      <c r="BE45" s="626">
        <f>+HLOOKUP(BE4,'תחשיב עלות תפעול לשנת 2016'!$4:$148,92,0)*BE16*BE6/BE9</f>
        <v>6.3115796088847365</v>
      </c>
      <c r="BF45" s="626">
        <f>+HLOOKUP(BF4,'תחשיב עלות תפעול לשנת 2016'!$4:$148,92,0)*BF16*BF6/BF9</f>
        <v>7.1875725557566854</v>
      </c>
    </row>
    <row r="46" spans="1:58" ht="12.75" customHeight="1" x14ac:dyDescent="0.2">
      <c r="A46" s="1846"/>
      <c r="B46" s="1848"/>
      <c r="C46" s="1334" t="s">
        <v>1757</v>
      </c>
      <c r="D46" s="629">
        <f>+HLOOKUP(D4,'תחשיב עלות תפעול לשנת 2016'!$4:$148,92,0)*D17*D6/D9</f>
        <v>26.416806693616035</v>
      </c>
      <c r="E46" s="629">
        <f>+HLOOKUP(E4,'תחשיב עלות תפעול לשנת 2016'!$4:$148,92,0)*E17*E6/E9</f>
        <v>23.040729764882048</v>
      </c>
      <c r="F46" s="629">
        <f>+HLOOKUP(F4,'תחשיב עלות תפעול לשנת 2016'!$4:$148,92,0)*F17*F6/F9</f>
        <v>19.297315388347894</v>
      </c>
      <c r="G46" s="629">
        <f>+HLOOKUP(G4,'תחשיב עלות תפעול לשנת 2016'!$4:$148,92,0)*G17*G6/G9</f>
        <v>123.68767031264076</v>
      </c>
      <c r="H46" s="629">
        <f>+HLOOKUP(H4,'תחשיב עלות תפעול לשנת 2016'!$4:$148,92,0)*H17*H6/H9</f>
        <v>41.627591272819224</v>
      </c>
      <c r="I46" s="629">
        <f>+HLOOKUP(I4,'תחשיב עלות תפעול לשנת 2016'!$4:$148,92,0)*I17*I6/I9</f>
        <v>30</v>
      </c>
      <c r="J46" s="629">
        <f>+HLOOKUP(J4,'תחשיב עלות תפעול לשנת 2016'!$4:$148,92,0)*J17*J6/J9</f>
        <v>10.692660458504202</v>
      </c>
      <c r="K46" s="629">
        <f>+HLOOKUP(K4,'תחשיב עלות תפעול לשנת 2016'!$4:$148,92,0)*K17*K6/K9</f>
        <v>17.005740824809699</v>
      </c>
      <c r="L46" s="629">
        <f>+HLOOKUP(L4,'תחשיב עלות תפעול לשנת 2016'!$4:$148,92,0)*L17*L6/L9</f>
        <v>12.440591928968356</v>
      </c>
      <c r="M46" s="629">
        <f>+HLOOKUP(M4,'תחשיב עלות תפעול לשנת 2016'!$4:$148,92,0)*M17*M6/M9</f>
        <v>24.492533707111168</v>
      </c>
      <c r="N46" s="629">
        <f>+HLOOKUP(N4,'תחשיב עלות תפעול לשנת 2016'!$4:$148,92,0)*N17*N6/N9</f>
        <v>39.114371849994676</v>
      </c>
      <c r="O46" s="629">
        <f>+HLOOKUP(O4,'תחשיב עלות תפעול לשנת 2016'!$4:$148,92,0)*O17*O6/O9</f>
        <v>21.581779946114207</v>
      </c>
      <c r="P46" s="629">
        <f>+HLOOKUP(P4,'תחשיב עלות תפעול לשנת 2016'!$4:$148,92,0)*P17*P6/P9</f>
        <v>13.794062728994009</v>
      </c>
      <c r="Q46" s="629">
        <f>+HLOOKUP(Q4,'תחשיב עלות תפעול לשנת 2016'!$4:$148,92,0)*Q17*Q6/Q9</f>
        <v>21.34959391834311</v>
      </c>
      <c r="R46" s="629">
        <f>+HLOOKUP(R4,'תחשיב עלות תפעול לשנת 2016'!$4:$148,92,0)*R17*R6/R9</f>
        <v>50.029251196884914</v>
      </c>
      <c r="S46" s="629">
        <f>+HLOOKUP(S4,'תחשיב עלות תפעול לשנת 2016'!$4:$148,92,0)*S17*S6/S9</f>
        <v>45.304028289565217</v>
      </c>
      <c r="T46" s="629">
        <f>+HLOOKUP(T4,'תחשיב עלות תפעול לשנת 2016'!$4:$148,92,0)*T17*T6/T9</f>
        <v>48.188469975394113</v>
      </c>
      <c r="U46" s="629">
        <f>+HLOOKUP(U4,'תחשיב עלות תפעול לשנת 2016'!$4:$148,92,0)*U17*U6/U9</f>
        <v>45.803233355113932</v>
      </c>
      <c r="V46" s="629">
        <f>+HLOOKUP(V4,'תחשיב עלות תפעול לשנת 2016'!$4:$148,92,0)*V17*V6/V9</f>
        <v>47</v>
      </c>
      <c r="W46" s="629">
        <f>+HLOOKUP(W4,'תחשיב עלות תפעול לשנת 2016'!$4:$148,92,0)*W17*W6/W9</f>
        <v>38.875361523826875</v>
      </c>
      <c r="X46" s="629">
        <f>+HLOOKUP(X4,'תחשיב עלות תפעול לשנת 2016'!$4:$148,92,0)*X17*X6/X9</f>
        <v>20.17055031447309</v>
      </c>
      <c r="Y46" s="629">
        <f>+HLOOKUP(Y4,'תחשיב עלות תפעול לשנת 2016'!$4:$148,92,0)*Y17*Y6/Y9</f>
        <v>14.988981713578632</v>
      </c>
      <c r="Z46" s="629">
        <f>+HLOOKUP(Z4,'תחשיב עלות תפעול לשנת 2016'!$4:$148,92,0)*Z17*Z6/Z9</f>
        <v>11.925552094395178</v>
      </c>
      <c r="AA46" s="629">
        <f>+HLOOKUP(AA4,'תחשיב עלות תפעול לשנת 2016'!$4:$148,92,0)*AA17*AA6/AA9</f>
        <v>9.5563868820017781</v>
      </c>
      <c r="AB46" s="629">
        <f>+HLOOKUP(AB4,'תחשיב עלות תפעול לשנת 2016'!$4:$148,92,0)*AB17*AB6/AB9</f>
        <v>17.182971342491225</v>
      </c>
      <c r="AC46" s="629">
        <f>+HLOOKUP(AC4,'תחשיב עלות תפעול לשנת 2016'!$4:$148,92,0)*AC17*AC6/AC9</f>
        <v>16.230699045330102</v>
      </c>
      <c r="AD46" s="629">
        <f>+HLOOKUP(AD4,'תחשיב עלות תפעול לשנת 2016'!$4:$148,92,0)*AD17*AD6/AD9</f>
        <v>27.093397011533</v>
      </c>
      <c r="AE46" s="629">
        <f>+HLOOKUP(AE4,'תחשיב עלות תפעול לשנת 2016'!$4:$148,92,0)*AE17*AE6/AE9</f>
        <v>12.184893553226823</v>
      </c>
      <c r="AF46" s="629">
        <f>+HLOOKUP(AF4,'תחשיב עלות תפעול לשנת 2016'!$4:$148,92,0)*AF17*AF6/AF9</f>
        <v>56.395556671870139</v>
      </c>
      <c r="AG46" s="629">
        <f>+HLOOKUP(AG4,'תחשיב עלות תפעול לשנת 2016'!$4:$148,92,0)*AG17*AG6/AG9</f>
        <v>13.215238093122363</v>
      </c>
      <c r="AH46" s="629">
        <f>+HLOOKUP(AH4,'תחשיב עלות תפעול לשנת 2016'!$4:$148,92,0)*AH17*AH6/AH9</f>
        <v>13.961479123769896</v>
      </c>
      <c r="AI46" s="629">
        <f>+HLOOKUP(AI4,'תחשיב עלות תפעול לשנת 2016'!$4:$148,92,0)*AI17*AI6/AI9</f>
        <v>7.5879368902940207</v>
      </c>
      <c r="AJ46" s="629">
        <f>+HLOOKUP(AJ4,'תחשיב עלות תפעול לשנת 2016'!$4:$148,92,0)*AJ17*AJ6/AJ9</f>
        <v>9.4427117409577068</v>
      </c>
      <c r="AK46" s="629">
        <f>+HLOOKUP(AK4,'תחשיב עלות תפעול לשנת 2016'!$4:$148,92,0)*AK17*AK6/AK9</f>
        <v>7.9941451083493744</v>
      </c>
      <c r="AL46" s="629">
        <f>+HLOOKUP(AL4,'תחשיב עלות תפעול לשנת 2016'!$4:$148,92,0)*AL17*AL6/AL9</f>
        <v>7.1306635122825579</v>
      </c>
      <c r="AM46" s="629">
        <f>+HLOOKUP(AM4,'תחשיב עלות תפעול לשנת 2016'!$4:$148,92,0)*AM17*AM6/AM9</f>
        <v>101.7124240215508</v>
      </c>
      <c r="AN46" s="629">
        <f>+HLOOKUP(AN4,'תחשיב עלות תפעול לשנת 2016'!$4:$148,92,0)*AN17*AN6/AN9</f>
        <v>13.420260967731629</v>
      </c>
      <c r="AO46" s="629">
        <f>+HLOOKUP(AO4,'תחשיב עלות תפעול לשנת 2016'!$4:$148,92,0)*AO17*AO6/AO9</f>
        <v>26.520420507027147</v>
      </c>
      <c r="AP46" s="629">
        <f>+HLOOKUP(AP4,'תחשיב עלות תפעול לשנת 2016'!$4:$148,92,0)*AP17*AP6/AP9</f>
        <v>8.2655604714220718</v>
      </c>
      <c r="AQ46" s="629">
        <f>+HLOOKUP(AQ4,'תחשיב עלות תפעול לשנת 2016'!$4:$148,92,0)*AQ17*AQ6/AQ9</f>
        <v>21.914986760375328</v>
      </c>
      <c r="AR46" s="629">
        <f>+HLOOKUP(AR4,'תחשיב עלות תפעול לשנת 2016'!$4:$148,92,0)*AR17*AR6/AR9</f>
        <v>13.121569442192522</v>
      </c>
      <c r="AS46" s="629">
        <f>+HLOOKUP(AS4,'תחשיב עלות תפעול לשנת 2016'!$4:$148,92,0)*AS17*AS6/AS9</f>
        <v>25.472264064635986</v>
      </c>
      <c r="AT46" s="629">
        <f>+HLOOKUP(AT4,'תחשיב עלות תפעול לשנת 2016'!$4:$148,92,0)*AT17*AT6/AT9</f>
        <v>8.3513688418600474</v>
      </c>
      <c r="AU46" s="629">
        <f>+HLOOKUP(AU4,'תחשיב עלות תפעול לשנת 2016'!$4:$148,92,0)*AU17*AU6/AU9</f>
        <v>7.0999452134822976</v>
      </c>
      <c r="AV46" s="629">
        <f>+HLOOKUP(AV4,'תחשיב עלות תפעול לשנת 2016'!$4:$148,92,0)*AV17*AV6/AV9</f>
        <v>12.190006967490651</v>
      </c>
      <c r="AW46" s="629">
        <f>+HLOOKUP(AW4,'תחשיב עלות תפעול לשנת 2016'!$4:$148,92,0)*AW17*AW6/AW9</f>
        <v>21.279832965926882</v>
      </c>
      <c r="AX46" s="629">
        <f>+HLOOKUP(AX4,'תחשיב עלות תפעול לשנת 2016'!$4:$148,92,0)*AX17*AX6/AX9</f>
        <v>26.852467311064419</v>
      </c>
      <c r="AY46" s="629">
        <f>+HLOOKUP(AY4,'תחשיב עלות תפעול לשנת 2016'!$4:$148,92,0)*AY17*AY6/AY9</f>
        <v>35.061984495807394</v>
      </c>
      <c r="AZ46" s="629">
        <f>+HLOOKUP(AZ4,'תחשיב עלות תפעול לשנת 2016'!$4:$148,92,0)*AZ17*AZ6/AZ9</f>
        <v>15.873359220185121</v>
      </c>
      <c r="BA46" s="629">
        <f>+HLOOKUP(BA4,'תחשיב עלות תפעול לשנת 2016'!$4:$148,92,0)*BA17*BA6/BA9</f>
        <v>14.512560721368775</v>
      </c>
      <c r="BB46" s="629">
        <f>+HLOOKUP(BB4,'תחשיב עלות תפעול לשנת 2016'!$4:$148,92,0)*BB17*BB6/BB9</f>
        <v>13.294880938994451</v>
      </c>
      <c r="BC46" s="629">
        <f>+HLOOKUP(BC4,'תחשיב עלות תפעול לשנת 2016'!$4:$148,92,0)*BC17*BC6/BC9</f>
        <v>12.3858823044704</v>
      </c>
      <c r="BD46" s="629">
        <f>+HLOOKUP(BD4,'תחשיב עלות תפעול לשנת 2016'!$4:$148,92,0)*BD17*BD6/BD9</f>
        <v>14.448833326253471</v>
      </c>
      <c r="BE46" s="629">
        <f>+HLOOKUP(BE4,'תחשיב עלות תפעול לשנת 2016'!$4:$148,92,0)*BE17*BE6/BE9</f>
        <v>2.5246318435538946</v>
      </c>
      <c r="BF46" s="629">
        <f>+HLOOKUP(BF4,'תחשיב עלות תפעול לשנת 2016'!$4:$148,92,0)*BF17*BF6/BF9</f>
        <v>2.875029022302674</v>
      </c>
    </row>
    <row r="47" spans="1:58" ht="12.75" customHeight="1" x14ac:dyDescent="0.2">
      <c r="A47" s="1846"/>
      <c r="B47" s="1848"/>
      <c r="C47" s="1334" t="s">
        <v>1758</v>
      </c>
      <c r="D47" s="629">
        <f>+HLOOKUP(D4,'תחשיב עלות תפעול לשנת 2016'!$4:$148,92,0)*D18*D6/D9</f>
        <v>26.416806693616035</v>
      </c>
      <c r="E47" s="629">
        <f>+HLOOKUP(E4,'תחשיב עלות תפעול לשנת 2016'!$4:$148,92,0)*E18*E6/E9</f>
        <v>23.040729764882048</v>
      </c>
      <c r="F47" s="629">
        <f>+HLOOKUP(F4,'תחשיב עלות תפעול לשנת 2016'!$4:$148,92,0)*F18*F6/F9</f>
        <v>19.297315388347894</v>
      </c>
      <c r="G47" s="629">
        <f>+HLOOKUP(G4,'תחשיב עלות תפעול לשנת 2016'!$4:$148,92,0)*G18*G6/G9</f>
        <v>123.68767031264076</v>
      </c>
      <c r="H47" s="629">
        <f>+HLOOKUP(H4,'תחשיב עלות תפעול לשנת 2016'!$4:$148,92,0)*H18*H6/H9</f>
        <v>41.627591272819224</v>
      </c>
      <c r="I47" s="629">
        <f>+HLOOKUP(I4,'תחשיב עלות תפעול לשנת 2016'!$4:$148,92,0)*I18*I6/I9</f>
        <v>30</v>
      </c>
      <c r="J47" s="629">
        <f>+HLOOKUP(J4,'תחשיב עלות תפעול לשנת 2016'!$4:$148,92,0)*J18*J6/J9</f>
        <v>10.692660458504202</v>
      </c>
      <c r="K47" s="629">
        <f>+HLOOKUP(K4,'תחשיב עלות תפעול לשנת 2016'!$4:$148,92,0)*K18*K6/K9</f>
        <v>17.005740824809699</v>
      </c>
      <c r="L47" s="629">
        <f>+HLOOKUP(L4,'תחשיב עלות תפעול לשנת 2016'!$4:$148,92,0)*L18*L6/L9</f>
        <v>12.440591928968356</v>
      </c>
      <c r="M47" s="629">
        <f>+HLOOKUP(M4,'תחשיב עלות תפעול לשנת 2016'!$4:$148,92,0)*M18*M6/M9</f>
        <v>24.492533707111168</v>
      </c>
      <c r="N47" s="629">
        <f>+HLOOKUP(N4,'תחשיב עלות תפעול לשנת 2016'!$4:$148,92,0)*N18*N6/N9</f>
        <v>39.114371849994676</v>
      </c>
      <c r="O47" s="629">
        <f>+HLOOKUP(O4,'תחשיב עלות תפעול לשנת 2016'!$4:$148,92,0)*O18*O6/O9</f>
        <v>21.581779946114207</v>
      </c>
      <c r="P47" s="629">
        <f>+HLOOKUP(P4,'תחשיב עלות תפעול לשנת 2016'!$4:$148,92,0)*P18*P6/P9</f>
        <v>13.794062728994009</v>
      </c>
      <c r="Q47" s="629">
        <f>+HLOOKUP(Q4,'תחשיב עלות תפעול לשנת 2016'!$4:$148,92,0)*Q18*Q6/Q9</f>
        <v>21.34959391834311</v>
      </c>
      <c r="R47" s="629">
        <f>+HLOOKUP(R4,'תחשיב עלות תפעול לשנת 2016'!$4:$148,92,0)*R18*R6/R9</f>
        <v>50.029251196884914</v>
      </c>
      <c r="S47" s="629">
        <f>+HLOOKUP(S4,'תחשיב עלות תפעול לשנת 2016'!$4:$148,92,0)*S18*S6/S9</f>
        <v>45.304028289565217</v>
      </c>
      <c r="T47" s="629">
        <f>+HLOOKUP(T4,'תחשיב עלות תפעול לשנת 2016'!$4:$148,92,0)*T18*T6/T9</f>
        <v>48.188469975394113</v>
      </c>
      <c r="U47" s="629">
        <f>+HLOOKUP(U4,'תחשיב עלות תפעול לשנת 2016'!$4:$148,92,0)*U18*U6/U9</f>
        <v>45.803233355113932</v>
      </c>
      <c r="V47" s="629">
        <f>+HLOOKUP(V4,'תחשיב עלות תפעול לשנת 2016'!$4:$148,92,0)*V18*V6/V9</f>
        <v>47</v>
      </c>
      <c r="W47" s="629">
        <f>+HLOOKUP(W4,'תחשיב עלות תפעול לשנת 2016'!$4:$148,92,0)*W18*W6/W9</f>
        <v>38.875361523826875</v>
      </c>
      <c r="X47" s="629">
        <f>+HLOOKUP(X4,'תחשיב עלות תפעול לשנת 2016'!$4:$148,92,0)*X18*X6/X9</f>
        <v>20.17055031447309</v>
      </c>
      <c r="Y47" s="629">
        <f>+HLOOKUP(Y4,'תחשיב עלות תפעול לשנת 2016'!$4:$148,92,0)*Y18*Y6/Y9</f>
        <v>14.988981713578632</v>
      </c>
      <c r="Z47" s="629">
        <f>+HLOOKUP(Z4,'תחשיב עלות תפעול לשנת 2016'!$4:$148,92,0)*Z18*Z6/Z9</f>
        <v>11.925552094395178</v>
      </c>
      <c r="AA47" s="629">
        <f>+HLOOKUP(AA4,'תחשיב עלות תפעול לשנת 2016'!$4:$148,92,0)*AA18*AA6/AA9</f>
        <v>9.5563868820017781</v>
      </c>
      <c r="AB47" s="629">
        <f>+HLOOKUP(AB4,'תחשיב עלות תפעול לשנת 2016'!$4:$148,92,0)*AB18*AB6/AB9</f>
        <v>17.182971342491225</v>
      </c>
      <c r="AC47" s="629">
        <f>+HLOOKUP(AC4,'תחשיב עלות תפעול לשנת 2016'!$4:$148,92,0)*AC18*AC6/AC9</f>
        <v>16.230699045330102</v>
      </c>
      <c r="AD47" s="629">
        <f>+HLOOKUP(AD4,'תחשיב עלות תפעול לשנת 2016'!$4:$148,92,0)*AD18*AD6/AD9</f>
        <v>27.093397011533</v>
      </c>
      <c r="AE47" s="629">
        <f>+HLOOKUP(AE4,'תחשיב עלות תפעול לשנת 2016'!$4:$148,92,0)*AE18*AE6/AE9</f>
        <v>12.184893553226823</v>
      </c>
      <c r="AF47" s="629">
        <f>+HLOOKUP(AF4,'תחשיב עלות תפעול לשנת 2016'!$4:$148,92,0)*AF18*AF6/AF9</f>
        <v>56.395556671870139</v>
      </c>
      <c r="AG47" s="629">
        <f>+HLOOKUP(AG4,'תחשיב עלות תפעול לשנת 2016'!$4:$148,92,0)*AG18*AG6/AG9</f>
        <v>13.215238093122363</v>
      </c>
      <c r="AH47" s="629">
        <f>+HLOOKUP(AH4,'תחשיב עלות תפעול לשנת 2016'!$4:$148,92,0)*AH18*AH6/AH9</f>
        <v>13.961479123769896</v>
      </c>
      <c r="AI47" s="629">
        <f>+HLOOKUP(AI4,'תחשיב עלות תפעול לשנת 2016'!$4:$148,92,0)*AI18*AI6/AI9</f>
        <v>7.5879368902940207</v>
      </c>
      <c r="AJ47" s="629">
        <f>+HLOOKUP(AJ4,'תחשיב עלות תפעול לשנת 2016'!$4:$148,92,0)*AJ18*AJ6/AJ9</f>
        <v>9.4427117409577068</v>
      </c>
      <c r="AK47" s="629">
        <f>+HLOOKUP(AK4,'תחשיב עלות תפעול לשנת 2016'!$4:$148,92,0)*AK18*AK6/AK9</f>
        <v>7.9941451083493744</v>
      </c>
      <c r="AL47" s="629">
        <f>+HLOOKUP(AL4,'תחשיב עלות תפעול לשנת 2016'!$4:$148,92,0)*AL18*AL6/AL9</f>
        <v>7.1306635122825579</v>
      </c>
      <c r="AM47" s="629">
        <f>+HLOOKUP(AM4,'תחשיב עלות תפעול לשנת 2016'!$4:$148,92,0)*AM18*AM6/AM9</f>
        <v>101.7124240215508</v>
      </c>
      <c r="AN47" s="629">
        <f>+HLOOKUP(AN4,'תחשיב עלות תפעול לשנת 2016'!$4:$148,92,0)*AN18*AN6/AN9</f>
        <v>13.420260967731629</v>
      </c>
      <c r="AO47" s="629">
        <f>+HLOOKUP(AO4,'תחשיב עלות תפעול לשנת 2016'!$4:$148,92,0)*AO18*AO6/AO9</f>
        <v>26.520420507027147</v>
      </c>
      <c r="AP47" s="629">
        <f>+HLOOKUP(AP4,'תחשיב עלות תפעול לשנת 2016'!$4:$148,92,0)*AP18*AP6/AP9</f>
        <v>8.2655604714220718</v>
      </c>
      <c r="AQ47" s="629">
        <f>+HLOOKUP(AQ4,'תחשיב עלות תפעול לשנת 2016'!$4:$148,92,0)*AQ18*AQ6/AQ9</f>
        <v>21.914986760375328</v>
      </c>
      <c r="AR47" s="629">
        <f>+HLOOKUP(AR4,'תחשיב עלות תפעול לשנת 2016'!$4:$148,92,0)*AR18*AR6/AR9</f>
        <v>13.121569442192522</v>
      </c>
      <c r="AS47" s="629">
        <f>+HLOOKUP(AS4,'תחשיב עלות תפעול לשנת 2016'!$4:$148,92,0)*AS18*AS6/AS9</f>
        <v>25.472264064635986</v>
      </c>
      <c r="AT47" s="629">
        <f>+HLOOKUP(AT4,'תחשיב עלות תפעול לשנת 2016'!$4:$148,92,0)*AT18*AT6/AT9</f>
        <v>8.3513688418600474</v>
      </c>
      <c r="AU47" s="629">
        <f>+HLOOKUP(AU4,'תחשיב עלות תפעול לשנת 2016'!$4:$148,92,0)*AU18*AU6/AU9</f>
        <v>7.0999452134822976</v>
      </c>
      <c r="AV47" s="629">
        <f>+HLOOKUP(AV4,'תחשיב עלות תפעול לשנת 2016'!$4:$148,92,0)*AV18*AV6/AV9</f>
        <v>12.190006967490651</v>
      </c>
      <c r="AW47" s="629">
        <f>+HLOOKUP(AW4,'תחשיב עלות תפעול לשנת 2016'!$4:$148,92,0)*AW18*AW6/AW9</f>
        <v>21.279832965926882</v>
      </c>
      <c r="AX47" s="629">
        <f>+HLOOKUP(AX4,'תחשיב עלות תפעול לשנת 2016'!$4:$148,92,0)*AX18*AX6/AX9</f>
        <v>26.852467311064419</v>
      </c>
      <c r="AY47" s="629">
        <f>+HLOOKUP(AY4,'תחשיב עלות תפעול לשנת 2016'!$4:$148,92,0)*AY18*AY6/AY9</f>
        <v>35.061984495807394</v>
      </c>
      <c r="AZ47" s="629">
        <f>+HLOOKUP(AZ4,'תחשיב עלות תפעול לשנת 2016'!$4:$148,92,0)*AZ18*AZ6/AZ9</f>
        <v>15.873359220185121</v>
      </c>
      <c r="BA47" s="629">
        <f>+HLOOKUP(BA4,'תחשיב עלות תפעול לשנת 2016'!$4:$148,92,0)*BA18*BA6/BA9</f>
        <v>14.512560721368775</v>
      </c>
      <c r="BB47" s="629">
        <f>+HLOOKUP(BB4,'תחשיב עלות תפעול לשנת 2016'!$4:$148,92,0)*BB18*BB6/BB9</f>
        <v>13.294880938994451</v>
      </c>
      <c r="BC47" s="629">
        <f>+HLOOKUP(BC4,'תחשיב עלות תפעול לשנת 2016'!$4:$148,92,0)*BC18*BC6/BC9</f>
        <v>12.3858823044704</v>
      </c>
      <c r="BD47" s="629">
        <f>+HLOOKUP(BD4,'תחשיב עלות תפעול לשנת 2016'!$4:$148,92,0)*BD18*BD6/BD9</f>
        <v>14.448833326253471</v>
      </c>
      <c r="BE47" s="629">
        <f>+HLOOKUP(BE4,'תחשיב עלות תפעול לשנת 2016'!$4:$148,92,0)*BE18*BE6/BE9</f>
        <v>2.5246318435538946</v>
      </c>
      <c r="BF47" s="629">
        <f>+HLOOKUP(BF4,'תחשיב עלות תפעול לשנת 2016'!$4:$148,92,0)*BF18*BF6/BF9</f>
        <v>2.875029022302674</v>
      </c>
    </row>
    <row r="48" spans="1:58" ht="12.75" customHeight="1" x14ac:dyDescent="0.2">
      <c r="A48" s="1846"/>
      <c r="B48" s="1848"/>
      <c r="C48" s="376" t="s">
        <v>298</v>
      </c>
      <c r="D48" s="627">
        <v>0</v>
      </c>
      <c r="E48" s="627">
        <v>0</v>
      </c>
      <c r="F48" s="627">
        <v>0</v>
      </c>
      <c r="G48" s="627">
        <v>0</v>
      </c>
      <c r="H48" s="627">
        <v>0</v>
      </c>
      <c r="I48" s="627">
        <v>0</v>
      </c>
      <c r="J48" s="627">
        <v>0</v>
      </c>
      <c r="K48" s="627">
        <v>0</v>
      </c>
      <c r="L48" s="627">
        <v>0</v>
      </c>
      <c r="M48" s="627">
        <v>0</v>
      </c>
      <c r="N48" s="627">
        <v>0</v>
      </c>
      <c r="O48" s="627">
        <v>0</v>
      </c>
      <c r="P48" s="627">
        <v>0</v>
      </c>
      <c r="Q48" s="627">
        <v>0</v>
      </c>
      <c r="R48" s="627">
        <v>0</v>
      </c>
      <c r="S48" s="627">
        <v>0</v>
      </c>
      <c r="T48" s="627">
        <v>0</v>
      </c>
      <c r="U48" s="627">
        <v>0</v>
      </c>
      <c r="V48" s="627">
        <v>0</v>
      </c>
      <c r="W48" s="627">
        <v>0</v>
      </c>
      <c r="X48" s="627">
        <v>0</v>
      </c>
      <c r="Y48" s="627">
        <v>0</v>
      </c>
      <c r="Z48" s="627">
        <v>0</v>
      </c>
      <c r="AA48" s="627">
        <v>0</v>
      </c>
      <c r="AB48" s="627">
        <v>0</v>
      </c>
      <c r="AC48" s="627">
        <v>0</v>
      </c>
      <c r="AD48" s="627">
        <v>0</v>
      </c>
      <c r="AE48" s="627">
        <v>0</v>
      </c>
      <c r="AF48" s="627">
        <v>0</v>
      </c>
      <c r="AG48" s="627">
        <v>0</v>
      </c>
      <c r="AH48" s="627">
        <v>0</v>
      </c>
      <c r="AI48" s="627">
        <v>0</v>
      </c>
      <c r="AJ48" s="627">
        <v>0</v>
      </c>
      <c r="AK48" s="627">
        <v>0</v>
      </c>
      <c r="AL48" s="627">
        <v>0</v>
      </c>
      <c r="AM48" s="627">
        <v>0</v>
      </c>
      <c r="AN48" s="627">
        <v>0</v>
      </c>
      <c r="AO48" s="627">
        <v>0</v>
      </c>
      <c r="AP48" s="627">
        <v>0</v>
      </c>
      <c r="AQ48" s="627">
        <v>0</v>
      </c>
      <c r="AR48" s="627">
        <v>0</v>
      </c>
      <c r="AS48" s="627">
        <v>0</v>
      </c>
      <c r="AT48" s="627">
        <v>0</v>
      </c>
      <c r="AU48" s="627">
        <v>0</v>
      </c>
      <c r="AV48" s="627">
        <v>0</v>
      </c>
      <c r="AW48" s="627">
        <v>0</v>
      </c>
      <c r="AX48" s="627">
        <v>0</v>
      </c>
      <c r="AY48" s="627">
        <v>0</v>
      </c>
      <c r="AZ48" s="627">
        <v>0</v>
      </c>
      <c r="BA48" s="627">
        <v>0</v>
      </c>
      <c r="BB48" s="627">
        <v>0</v>
      </c>
      <c r="BC48" s="627">
        <v>0</v>
      </c>
      <c r="BD48" s="627">
        <v>0</v>
      </c>
      <c r="BE48" s="627">
        <v>0</v>
      </c>
      <c r="BF48" s="627">
        <v>0</v>
      </c>
    </row>
    <row r="49" spans="1:58" ht="12.75" customHeight="1" x14ac:dyDescent="0.2">
      <c r="A49" s="1846"/>
      <c r="B49" s="1848"/>
      <c r="C49" s="376" t="s">
        <v>1609</v>
      </c>
      <c r="D49" s="1333">
        <v>0</v>
      </c>
      <c r="E49" s="1333">
        <v>0</v>
      </c>
      <c r="F49" s="1333">
        <v>0</v>
      </c>
      <c r="G49" s="1333">
        <v>0</v>
      </c>
      <c r="H49" s="1333">
        <v>0</v>
      </c>
      <c r="I49" s="1333">
        <v>0</v>
      </c>
      <c r="J49" s="1333">
        <v>0</v>
      </c>
      <c r="K49" s="1333">
        <v>0</v>
      </c>
      <c r="L49" s="1333">
        <v>0</v>
      </c>
      <c r="M49" s="1333">
        <v>0</v>
      </c>
      <c r="N49" s="1333">
        <v>0</v>
      </c>
      <c r="O49" s="1333">
        <v>0</v>
      </c>
      <c r="P49" s="1333">
        <v>0</v>
      </c>
      <c r="Q49" s="1333">
        <v>0</v>
      </c>
      <c r="R49" s="1333">
        <v>0</v>
      </c>
      <c r="S49" s="1333">
        <v>0</v>
      </c>
      <c r="T49" s="1333">
        <v>0</v>
      </c>
      <c r="U49" s="1333">
        <v>0</v>
      </c>
      <c r="V49" s="1333">
        <v>0</v>
      </c>
      <c r="W49" s="1333">
        <v>0</v>
      </c>
      <c r="X49" s="1333">
        <v>0</v>
      </c>
      <c r="Y49" s="1333">
        <v>0</v>
      </c>
      <c r="Z49" s="1333">
        <v>0</v>
      </c>
      <c r="AA49" s="1333">
        <v>0</v>
      </c>
      <c r="AB49" s="1333">
        <v>0</v>
      </c>
      <c r="AC49" s="1333">
        <v>0</v>
      </c>
      <c r="AD49" s="1333">
        <v>0</v>
      </c>
      <c r="AE49" s="1333">
        <v>0</v>
      </c>
      <c r="AF49" s="1333">
        <v>0</v>
      </c>
      <c r="AG49" s="1333">
        <v>0</v>
      </c>
      <c r="AH49" s="1333">
        <v>0</v>
      </c>
      <c r="AI49" s="1333">
        <v>0</v>
      </c>
      <c r="AJ49" s="1333">
        <v>0</v>
      </c>
      <c r="AK49" s="1333">
        <v>0</v>
      </c>
      <c r="AL49" s="1333">
        <v>0</v>
      </c>
      <c r="AM49" s="1333">
        <v>0</v>
      </c>
      <c r="AN49" s="1333">
        <v>0</v>
      </c>
      <c r="AO49" s="1333">
        <v>0</v>
      </c>
      <c r="AP49" s="1333">
        <v>0</v>
      </c>
      <c r="AQ49" s="1333">
        <v>0</v>
      </c>
      <c r="AR49" s="1333">
        <v>0</v>
      </c>
      <c r="AS49" s="1333">
        <v>0</v>
      </c>
      <c r="AT49" s="1333">
        <v>0</v>
      </c>
      <c r="AU49" s="1333">
        <v>0</v>
      </c>
      <c r="AV49" s="1333">
        <v>0</v>
      </c>
      <c r="AW49" s="1333">
        <v>0</v>
      </c>
      <c r="AX49" s="1333">
        <v>0</v>
      </c>
      <c r="AY49" s="1333">
        <v>0</v>
      </c>
      <c r="AZ49" s="1333">
        <v>0</v>
      </c>
      <c r="BA49" s="1333">
        <v>0</v>
      </c>
      <c r="BB49" s="1333">
        <v>0</v>
      </c>
      <c r="BC49" s="1333">
        <v>0</v>
      </c>
      <c r="BD49" s="1333">
        <v>0</v>
      </c>
      <c r="BE49" s="1333">
        <v>0</v>
      </c>
      <c r="BF49" s="1333">
        <v>0</v>
      </c>
    </row>
    <row r="50" spans="1:58" ht="12.75" customHeight="1" x14ac:dyDescent="0.2">
      <c r="A50" s="1846"/>
      <c r="B50" s="1848"/>
      <c r="C50" s="376" t="s">
        <v>1611</v>
      </c>
      <c r="D50" s="624">
        <f>+HLOOKUP(D4,'תחשיב עלות תפעול לשנת 2016'!$4:$139,23,0)*(D11/D12)*D6</f>
        <v>1249.68</v>
      </c>
      <c r="E50" s="624">
        <f>+HLOOKUP(E4,'תחשיב עלות תפעול לשנת 2016'!$4:$139,23,0)*(E11/E12)*E6</f>
        <v>845.97</v>
      </c>
      <c r="F50" s="624">
        <f>+HLOOKUP(F4,'תחשיב עלות תפעול לשנת 2016'!$4:$139,23,0)*(F11/F12)*F6</f>
        <v>516.48</v>
      </c>
      <c r="G50" s="624">
        <f>+HLOOKUP(G4,'תחשיב עלות תפעול לשנת 2016'!$4:$139,23,0)*(G11/G12)*G6</f>
        <v>6288.18</v>
      </c>
      <c r="H50" s="624">
        <f>+HLOOKUP(H4,'תחשיב עלות תפעול לשנת 2016'!$4:$139,23,0)*(H11/H12)*H6</f>
        <v>2122.65</v>
      </c>
      <c r="I50" s="624">
        <f>+HLOOKUP(I4,'תחשיב עלות תפעול לשנת 2016'!$4:$139,23,0)*(I11/I12)*I6</f>
        <v>224.61</v>
      </c>
      <c r="J50" s="624">
        <f>+HLOOKUP(J4,'תחשיב עלות תפעול לשנת 2016'!$4:$139,23,0)*(J11/J12)*J6</f>
        <v>487.11</v>
      </c>
      <c r="K50" s="624">
        <f>+HLOOKUP(K4,'תחשיב עלות תפעול לשנת 2016'!$4:$139,23,0)*(K11/K12)*K6</f>
        <v>953.88</v>
      </c>
      <c r="L50" s="624">
        <f>+HLOOKUP(L4,'תחשיב עלות תפעול לשנת 2016'!$4:$139,23,0)*(L11/L12)*L6</f>
        <v>689.87999999999988</v>
      </c>
      <c r="M50" s="624">
        <f>+HLOOKUP(M4,'תחשיב עלות תפעול לשנת 2016'!$4:$139,23,0)*(M11/M12)*M6</f>
        <v>1322.85</v>
      </c>
      <c r="N50" s="624">
        <f>+HLOOKUP(N4,'תחשיב עלות תפעול לשנת 2016'!$4:$139,23,0)*(N11/N12)*N6</f>
        <v>2280.36</v>
      </c>
      <c r="O50" s="624">
        <f>+HLOOKUP(O4,'תחשיב עלות תפעול לשנת 2016'!$4:$139,23,0)*(O11/O12)*O6</f>
        <v>855.66</v>
      </c>
      <c r="P50" s="624">
        <f>+HLOOKUP(P4,'תחשיב עלות תפעול לשנת 2016'!$4:$139,23,0)*(P11/P12)*P6</f>
        <v>638.76</v>
      </c>
      <c r="Q50" s="624">
        <f>+HLOOKUP(Q4,'תחשיב עלות תפעול לשנת 2016'!$4:$139,23,0)*(Q11/Q12)*Q6</f>
        <v>537.12</v>
      </c>
      <c r="R50" s="624">
        <f>+HLOOKUP(R4,'תחשיב עלות תפעול לשנת 2016'!$4:$139,23,0)*(R11/R12)*R6</f>
        <v>2665.32</v>
      </c>
      <c r="S50" s="624">
        <f>+HLOOKUP(S4,'תחשיב עלות תפעול לשנת 2016'!$4:$139,23,0)*(S11/S12)*S6</f>
        <v>2730.3</v>
      </c>
      <c r="T50" s="624">
        <f>+HLOOKUP(T4,'תחשיב עלות תפעול לשנת 2016'!$4:$139,23,0)*(T11/T12)*T6</f>
        <v>3184.77</v>
      </c>
      <c r="U50" s="624">
        <f>+HLOOKUP(U4,'תחשיב עלות תפעול לשנת 2016'!$4:$139,23,0)*(U11/U12)*U6</f>
        <v>2390.16</v>
      </c>
      <c r="V50" s="624">
        <f>+HLOOKUP(V4,'תחשיב עלות תפעול לשנת 2016'!$4:$139,23,0)*(V11/V12)*V6</f>
        <v>634.29</v>
      </c>
      <c r="W50" s="624">
        <f>+HLOOKUP(W4,'תחשיב עלות תפעול לשנת 2016'!$4:$139,23,0)*(W11/W12)*W6</f>
        <v>986.49</v>
      </c>
      <c r="X50" s="624">
        <f>+HLOOKUP(X4,'תחשיב עלות תפעול לשנת 2016'!$4:$139,23,0)*(X11/X12)*X6</f>
        <v>1142.48</v>
      </c>
      <c r="Y50" s="624">
        <f>+HLOOKUP(Y4,'תחשיב עלות תפעול לשנת 2016'!$4:$139,23,0)*(Y11/Y12)*Y6</f>
        <v>726.84</v>
      </c>
      <c r="Z50" s="624">
        <f>+HLOOKUP(Z4,'תחשיב עלות תפעול לשנת 2016'!$4:$139,23,0)*(Z11/Z12)*Z6</f>
        <v>376.95</v>
      </c>
      <c r="AA50" s="624">
        <f>+HLOOKUP(AA4,'תחשיב עלות תפעול לשנת 2016'!$4:$139,23,0)*(AA11/AA12)*AA6</f>
        <v>623.54999999999995</v>
      </c>
      <c r="AB50" s="624">
        <f>+HLOOKUP(AB4,'תחשיב עלות תפעול לשנת 2016'!$4:$139,23,0)*(AB11/AB12)*AB6</f>
        <v>752.1</v>
      </c>
      <c r="AC50" s="624">
        <f>+HLOOKUP(AC4,'תחשיב עלות תפעול לשנת 2016'!$4:$139,23,0)*(AC11/AC12)*AC6</f>
        <v>542.52</v>
      </c>
      <c r="AD50" s="624">
        <f>+HLOOKUP(AD4,'תחשיב עלות תפעול לשנת 2016'!$4:$139,23,0)*(AD11/AD12)*AD6</f>
        <v>1135.5</v>
      </c>
      <c r="AE50" s="624">
        <f>+HLOOKUP(AE4,'תחשיב עלות תפעול לשנת 2016'!$4:$139,23,0)*(AE11/AE12)*AE6</f>
        <v>491.55</v>
      </c>
      <c r="AF50" s="624">
        <f>+HLOOKUP(AF4,'תחשיב עלות תפעול לשנת 2016'!$4:$139,23,0)*(AF11/AF12)*AF6</f>
        <v>3294.21</v>
      </c>
      <c r="AG50" s="624">
        <f>+HLOOKUP(AG4,'תחשיב עלות תפעול לשנת 2016'!$4:$139,23,0)*(AG11/AG12)*AG6</f>
        <v>578.54999999999995</v>
      </c>
      <c r="AH50" s="624">
        <f>+HLOOKUP(AH4,'תחשיב עלות תפעול לשנת 2016'!$4:$139,23,0)*(AH11/AH12)*AH6</f>
        <v>523.65</v>
      </c>
      <c r="AI50" s="624">
        <f>+HLOOKUP(AI4,'תחשיב עלות תפעול לשנת 2016'!$4:$139,23,0)*(AI11/AI12)*AI6</f>
        <v>204.36</v>
      </c>
      <c r="AJ50" s="624">
        <f>+HLOOKUP(AJ4,'תחשיב עלות תפעול לשנת 2016'!$4:$139,23,0)*(AJ11/AJ12)*AJ6</f>
        <v>371.61</v>
      </c>
      <c r="AK50" s="624">
        <f>+HLOOKUP(AK4,'תחשיב עלות תפעול לשנת 2016'!$4:$139,23,0)*(AK11/AK12)*AK6</f>
        <v>579.03</v>
      </c>
      <c r="AL50" s="624">
        <f>+HLOOKUP(AL4,'תחשיב עלות תפעול לשנת 2016'!$4:$139,23,0)*(AL11/AL12)*AL6</f>
        <v>556.02</v>
      </c>
      <c r="AM50" s="624">
        <f>+HLOOKUP(AM4,'תחשיב עלות תפעול לשנת 2016'!$4:$139,23,0)*(AM11/AM12)*AM6</f>
        <v>6600</v>
      </c>
      <c r="AN50" s="624">
        <f>+HLOOKUP(AN4,'תחשיב עלות תפעול לשנת 2016'!$4:$139,23,0)*(AN11/AN12)*AN6</f>
        <v>566.85</v>
      </c>
      <c r="AO50" s="624">
        <f>+HLOOKUP(AO4,'תחשיב עלות תפעול לשנת 2016'!$4:$139,23,0)*(AO11/AO12)*AO6</f>
        <v>2068.02</v>
      </c>
      <c r="AP50" s="624">
        <f>+HLOOKUP(AP4,'תחשיב עלות תפעול לשנת 2016'!$4:$139,23,0)*(AP11/AP12)*AP6</f>
        <v>757.53</v>
      </c>
      <c r="AQ50" s="624">
        <f>+HLOOKUP(AQ4,'תחשיב עלות תפעול לשנת 2016'!$4:$139,23,0)*(AQ11/AQ12)*AQ6</f>
        <v>1603.47</v>
      </c>
      <c r="AR50" s="624">
        <f>+HLOOKUP(AR4,'תחשיב עלות תפעול לשנת 2016'!$4:$139,23,0)*(AR11/AR12)*AR6</f>
        <v>682.99000000000012</v>
      </c>
      <c r="AS50" s="624">
        <f>+HLOOKUP(AS4,'תחשיב עלות תפעול לשנת 2016'!$4:$139,23,0)*(AS11/AS12)*AS6</f>
        <v>1029.6300000000001</v>
      </c>
      <c r="AT50" s="624">
        <f>+HLOOKUP(AT4,'תחשיב עלות תפעול לשנת 2016'!$4:$139,23,0)*(AT11/AT12)*AT6</f>
        <v>508.89</v>
      </c>
      <c r="AU50" s="624">
        <f>+HLOOKUP(AU4,'תחשיב עלות תפעול לשנת 2016'!$4:$139,23,0)*(AU11/AU12)*AU6</f>
        <v>485.88</v>
      </c>
      <c r="AV50" s="624">
        <f>+HLOOKUP(AV4,'תחשיב עלות תפעול לשנת 2016'!$4:$139,23,0)*(AV11/AV12)*AV6</f>
        <v>521.13</v>
      </c>
      <c r="AW50" s="624">
        <f>+HLOOKUP(AW4,'תחשיב עלות תפעול לשנת 2016'!$4:$139,23,0)*(AW11/AW12)*AW6</f>
        <v>560.01</v>
      </c>
      <c r="AX50" s="624">
        <f>+HLOOKUP(AX4,'תחשיב עלות תפעול לשנת 2016'!$4:$139,23,0)*(AX11/AX12)*AX6</f>
        <v>703.35</v>
      </c>
      <c r="AY50" s="624">
        <f>+HLOOKUP(AY4,'תחשיב עלות תפעול לשנת 2016'!$4:$139,23,0)*(AY11/AY12)*AY6</f>
        <v>1666.56</v>
      </c>
      <c r="AZ50" s="624">
        <f>+HLOOKUP(AZ4,'תחשיב עלות תפעול לשנת 2016'!$4:$139,23,0)*(AZ11/AZ12)*AZ6</f>
        <v>859.68000000000006</v>
      </c>
      <c r="BA50" s="624">
        <f>+HLOOKUP(BA4,'תחשיב עלות תפעול לשנת 2016'!$4:$139,23,0)*(BA11/BA12)*BA6</f>
        <v>672.92</v>
      </c>
      <c r="BB50" s="624">
        <f>+HLOOKUP(BB4,'תחשיב עלות תפעול לשנת 2016'!$4:$139,23,0)*(BB11/BB12)*BB6</f>
        <v>635.01</v>
      </c>
      <c r="BC50" s="624">
        <f>+HLOOKUP(BC4,'תחשיב עלות תפעול לשנת 2016'!$4:$139,23,0)*(BC11/BC12)*BC6</f>
        <v>384.51</v>
      </c>
      <c r="BD50" s="624">
        <f>+HLOOKUP(BD4,'תחשיב עלות תפעול לשנת 2016'!$4:$139,23,0)*(BD11/BD12)*BD6</f>
        <v>279.24</v>
      </c>
      <c r="BE50" s="624">
        <f>+HLOOKUP(BE4,'תחשיב עלות תפעול לשנת 2016'!$4:$139,23,0)*(BE11/BE12)*BE6</f>
        <v>83.64</v>
      </c>
      <c r="BF50" s="624">
        <f>+HLOOKUP(BF4,'תחשיב עלות תפעול לשנת 2016'!$4:$139,23,0)*(BF11/BF12)*BF6</f>
        <v>158.46</v>
      </c>
    </row>
    <row r="51" spans="1:58" ht="12.75" customHeight="1" x14ac:dyDescent="0.2">
      <c r="A51" s="1846"/>
      <c r="B51" s="1848"/>
      <c r="C51" s="1334" t="s">
        <v>1316</v>
      </c>
      <c r="D51" s="624">
        <f>+HLOOKUP(D4,'תחשיב עלות תפעול לשנת 2016'!$4:$148,92,0)*D19*D6/D9</f>
        <v>52.83361338723207</v>
      </c>
      <c r="E51" s="624">
        <f>+HLOOKUP(E4,'תחשיב עלות תפעול לשנת 2016'!$4:$148,92,0)*E19*E6/E9</f>
        <v>46.081459529764096</v>
      </c>
      <c r="F51" s="624">
        <f>+HLOOKUP(F4,'תחשיב עלות תפעול לשנת 2016'!$4:$148,92,0)*F19*F6/F9</f>
        <v>38.594630776695787</v>
      </c>
      <c r="G51" s="624">
        <f>+HLOOKUP(G4,'תחשיב עלות תפעול לשנת 2016'!$4:$148,92,0)*G19*G6/G9</f>
        <v>247.37534062528152</v>
      </c>
      <c r="H51" s="624">
        <f>+HLOOKUP(H4,'תחשיב עלות תפעול לשנת 2016'!$4:$148,92,0)*H19*H6/H9</f>
        <v>83.255182545638448</v>
      </c>
      <c r="I51" s="624">
        <f>+HLOOKUP(I4,'תחשיב עלות תפעול לשנת 2016'!$4:$148,92,0)*I19*I6/I9</f>
        <v>60</v>
      </c>
      <c r="J51" s="624">
        <f>+HLOOKUP(J4,'תחשיב עלות תפעול לשנת 2016'!$4:$148,92,0)*J19*J6/J9</f>
        <v>21.385320917008404</v>
      </c>
      <c r="K51" s="624">
        <f>+HLOOKUP(K4,'תחשיב עלות תפעול לשנת 2016'!$4:$148,92,0)*K19*K6/K9</f>
        <v>34.011481649619398</v>
      </c>
      <c r="L51" s="624">
        <f>+HLOOKUP(L4,'תחשיב עלות תפעול לשנת 2016'!$4:$148,92,0)*L19*L6/L9</f>
        <v>24.881183857936712</v>
      </c>
      <c r="M51" s="624">
        <f>+HLOOKUP(M4,'תחשיב עלות תפעול לשנת 2016'!$4:$148,92,0)*M19*M6/M9</f>
        <v>48.985067414222335</v>
      </c>
      <c r="N51" s="624">
        <f>+HLOOKUP(N4,'תחשיב עלות תפעול לשנת 2016'!$4:$148,92,0)*N19*N6/N9</f>
        <v>78.228743699989352</v>
      </c>
      <c r="O51" s="624">
        <f>+HLOOKUP(O4,'תחשיב עלות תפעול לשנת 2016'!$4:$148,92,0)*O19*O6/O9</f>
        <v>43.163559892228413</v>
      </c>
      <c r="P51" s="624">
        <f>+HLOOKUP(P4,'תחשיב עלות תפעול לשנת 2016'!$4:$148,92,0)*P19*P6/P9</f>
        <v>27.588125457988017</v>
      </c>
      <c r="Q51" s="624">
        <f>+HLOOKUP(Q4,'תחשיב עלות תפעול לשנת 2016'!$4:$148,92,0)*Q19*Q6/Q9</f>
        <v>42.699187836686221</v>
      </c>
      <c r="R51" s="624">
        <f>+HLOOKUP(R4,'תחשיב עלות תפעול לשנת 2016'!$4:$148,92,0)*R19*R6/R9</f>
        <v>100.05850239376983</v>
      </c>
      <c r="S51" s="624">
        <f>+HLOOKUP(S4,'תחשיב עלות תפעול לשנת 2016'!$4:$148,92,0)*S19*S6/S9</f>
        <v>90.608056579130434</v>
      </c>
      <c r="T51" s="624">
        <f>+HLOOKUP(T4,'תחשיב עלות תפעול לשנת 2016'!$4:$148,92,0)*T19*T6/T9</f>
        <v>96.376939950788227</v>
      </c>
      <c r="U51" s="624">
        <f>+HLOOKUP(U4,'תחשיב עלות תפעול לשנת 2016'!$4:$148,92,0)*U19*U6/U9</f>
        <v>91.606466710227863</v>
      </c>
      <c r="V51" s="624">
        <f>+HLOOKUP(V4,'תחשיב עלות תפעול לשנת 2016'!$4:$148,92,0)*V19*V6/V9</f>
        <v>94</v>
      </c>
      <c r="W51" s="624">
        <f>+HLOOKUP(W4,'תחשיב עלות תפעול לשנת 2016'!$4:$148,92,0)*W19*W6/W9</f>
        <v>77.75072304765375</v>
      </c>
      <c r="X51" s="624">
        <f>+HLOOKUP(X4,'תחשיב עלות תפעול לשנת 2016'!$4:$148,92,0)*X19*X6/X9</f>
        <v>40.34110062894618</v>
      </c>
      <c r="Y51" s="624">
        <f>+HLOOKUP(Y4,'תחשיב עלות תפעול לשנת 2016'!$4:$148,92,0)*Y19*Y6/Y9</f>
        <v>29.977963427157263</v>
      </c>
      <c r="Z51" s="624">
        <f>+HLOOKUP(Z4,'תחשיב עלות תפעול לשנת 2016'!$4:$148,92,0)*Z19*Z6/Z9</f>
        <v>23.851104188790355</v>
      </c>
      <c r="AA51" s="624">
        <f>+HLOOKUP(AA4,'תחשיב עלות תפעול לשנת 2016'!$4:$148,92,0)*AA19*AA6/AA9</f>
        <v>19.112773764003556</v>
      </c>
      <c r="AB51" s="624">
        <f>+HLOOKUP(AB4,'תחשיב עלות תפעול לשנת 2016'!$4:$148,92,0)*AB19*AB6/AB9</f>
        <v>34.36594268498245</v>
      </c>
      <c r="AC51" s="624">
        <f>+HLOOKUP(AC4,'תחשיב עלות תפעול לשנת 2016'!$4:$148,92,0)*AC19*AC6/AC9</f>
        <v>32.461398090660204</v>
      </c>
      <c r="AD51" s="624">
        <f>+HLOOKUP(AD4,'תחשיב עלות תפעול לשנת 2016'!$4:$148,92,0)*AD19*AD6/AD9</f>
        <v>54.186794023066</v>
      </c>
      <c r="AE51" s="624">
        <f>+HLOOKUP(AE4,'תחשיב עלות תפעול לשנת 2016'!$4:$148,92,0)*AE19*AE6/AE9</f>
        <v>24.369787106453646</v>
      </c>
      <c r="AF51" s="624">
        <f>+HLOOKUP(AF4,'תחשיב עלות תפעול לשנת 2016'!$4:$148,92,0)*AF19*AF6/AF9</f>
        <v>112.79111334374028</v>
      </c>
      <c r="AG51" s="624">
        <f>+HLOOKUP(AG4,'תחשיב עלות תפעול לשנת 2016'!$4:$148,92,0)*AG19*AG6/AG9</f>
        <v>26.430476186244725</v>
      </c>
      <c r="AH51" s="624">
        <f>+HLOOKUP(AH4,'תחשיב עלות תפעול לשנת 2016'!$4:$148,92,0)*AH19*AH6/AH9</f>
        <v>27.922958247539793</v>
      </c>
      <c r="AI51" s="624">
        <f>+HLOOKUP(AI4,'תחשיב עלות תפעול לשנת 2016'!$4:$148,92,0)*AI19*AI6/AI9</f>
        <v>15.175873780588041</v>
      </c>
      <c r="AJ51" s="624">
        <f>+HLOOKUP(AJ4,'תחשיב עלות תפעול לשנת 2016'!$4:$148,92,0)*AJ19*AJ6/AJ9</f>
        <v>18.885423481915414</v>
      </c>
      <c r="AK51" s="624">
        <f>+HLOOKUP(AK4,'תחשיב עלות תפעול לשנת 2016'!$4:$148,92,0)*AK19*AK6/AK9</f>
        <v>15.988290216698749</v>
      </c>
      <c r="AL51" s="624">
        <f>+HLOOKUP(AL4,'תחשיב עלות תפעול לשנת 2016'!$4:$148,92,0)*AL19*AL6/AL9</f>
        <v>14.261327024565116</v>
      </c>
      <c r="AM51" s="624">
        <f>+HLOOKUP(AM4,'תחשיב עלות תפעול לשנת 2016'!$4:$148,92,0)*AM19*AM6/AM9</f>
        <v>203.4248480431016</v>
      </c>
      <c r="AN51" s="624">
        <f>+HLOOKUP(AN4,'תחשיב עלות תפעול לשנת 2016'!$4:$148,92,0)*AN19*AN6/AN9</f>
        <v>26.840521935463258</v>
      </c>
      <c r="AO51" s="624">
        <f>+HLOOKUP(AO4,'תחשיב עלות תפעול לשנת 2016'!$4:$148,92,0)*AO19*AO6/AO9</f>
        <v>53.040841014054294</v>
      </c>
      <c r="AP51" s="624">
        <f>+HLOOKUP(AP4,'תחשיב עלות תפעול לשנת 2016'!$4:$148,92,0)*AP19*AP6/AP9</f>
        <v>16.531120942844144</v>
      </c>
      <c r="AQ51" s="624">
        <f>+HLOOKUP(AQ4,'תחשיב עלות תפעול לשנת 2016'!$4:$148,92,0)*AQ19*AQ6/AQ9</f>
        <v>43.829973520750656</v>
      </c>
      <c r="AR51" s="624">
        <f>+HLOOKUP(AR4,'תחשיב עלות תפעול לשנת 2016'!$4:$148,92,0)*AR19*AR6/AR9</f>
        <v>26.243138884385043</v>
      </c>
      <c r="AS51" s="624">
        <f>+HLOOKUP(AS4,'תחשיב עלות תפעול לשנת 2016'!$4:$148,92,0)*AS19*AS6/AS9</f>
        <v>50.944528129271973</v>
      </c>
      <c r="AT51" s="624">
        <f>+HLOOKUP(AT4,'תחשיב עלות תפעול לשנת 2016'!$4:$148,92,0)*AT19*AT6/AT9</f>
        <v>16.702737683720095</v>
      </c>
      <c r="AU51" s="624">
        <f>+HLOOKUP(AU4,'תחשיב עלות תפעול לשנת 2016'!$4:$148,92,0)*AU19*AU6/AU9</f>
        <v>14.199890426964595</v>
      </c>
      <c r="AV51" s="624">
        <f>+HLOOKUP(AV4,'תחשיב עלות תפעול לשנת 2016'!$4:$148,92,0)*AV19*AV6/AV9</f>
        <v>24.380013934981303</v>
      </c>
      <c r="AW51" s="624">
        <f>+HLOOKUP(AW4,'תחשיב עלות תפעול לשנת 2016'!$4:$148,92,0)*AW19*AW6/AW9</f>
        <v>42.559665931853765</v>
      </c>
      <c r="AX51" s="624">
        <f>+HLOOKUP(AX4,'תחשיב עלות תפעול לשנת 2016'!$4:$148,92,0)*AX19*AX6/AX9</f>
        <v>53.704934622128839</v>
      </c>
      <c r="AY51" s="624">
        <f>+HLOOKUP(AY4,'תחשיב עלות תפעול לשנת 2016'!$4:$148,92,0)*AY19*AY6/AY9</f>
        <v>70.123968991614788</v>
      </c>
      <c r="AZ51" s="624">
        <f>+HLOOKUP(AZ4,'תחשיב עלות תפעול לשנת 2016'!$4:$148,92,0)*AZ19*AZ6/AZ9</f>
        <v>31.746718440370241</v>
      </c>
      <c r="BA51" s="624">
        <f>+HLOOKUP(BA4,'תחשיב עלות תפעול לשנת 2016'!$4:$148,92,0)*BA19*BA6/BA9</f>
        <v>29.02512144273755</v>
      </c>
      <c r="BB51" s="624">
        <f>+HLOOKUP(BB4,'תחשיב עלות תפעול לשנת 2016'!$4:$148,92,0)*BB19*BB6/BB9</f>
        <v>26.589761877988902</v>
      </c>
      <c r="BC51" s="624">
        <f>+HLOOKUP(BC4,'תחשיב עלות תפעול לשנת 2016'!$4:$148,92,0)*BC19*BC6/BC9</f>
        <v>24.771764608940799</v>
      </c>
      <c r="BD51" s="624">
        <f>+HLOOKUP(BD4,'תחשיב עלות תפעול לשנת 2016'!$4:$148,92,0)*BD19*BD6/BD9</f>
        <v>28.897666652506942</v>
      </c>
      <c r="BE51" s="624">
        <f>+HLOOKUP(BE4,'תחשיב עלות תפעול לשנת 2016'!$4:$148,92,0)*BE19*BE6/BE9</f>
        <v>5.0492636871077892</v>
      </c>
      <c r="BF51" s="624">
        <f>+HLOOKUP(BF4,'תחשיב עלות תפעול לשנת 2016'!$4:$148,92,0)*BF19*BF6/BF9</f>
        <v>5.750058044605348</v>
      </c>
    </row>
    <row r="52" spans="1:58" ht="12.75" customHeight="1" x14ac:dyDescent="0.2">
      <c r="A52" s="1846"/>
      <c r="B52" s="1848"/>
      <c r="C52" s="1334" t="s">
        <v>1759</v>
      </c>
      <c r="D52" s="627">
        <f>+HLOOKUP(D4,'תחשיב עלות תפעול לשנת 2016'!$4:$148,92,0)*D20*D6/D9</f>
        <v>79.250420080848102</v>
      </c>
      <c r="E52" s="627">
        <f>+HLOOKUP(E4,'תחשיב עלות תפעול לשנת 2016'!$4:$148,92,0)*E20*E6/E9</f>
        <v>69.122189294646148</v>
      </c>
      <c r="F52" s="627">
        <f>+HLOOKUP(F4,'תחשיב עלות תפעול לשנת 2016'!$4:$148,92,0)*F20*F6/F9</f>
        <v>57.891946165043677</v>
      </c>
      <c r="G52" s="627">
        <f>+HLOOKUP(G4,'תחשיב עלות תפעול לשנת 2016'!$4:$148,92,0)*G20*G6/G9</f>
        <v>371.06301093792229</v>
      </c>
      <c r="H52" s="627">
        <f>+HLOOKUP(H4,'תחשיב עלות תפעול לשנת 2016'!$4:$148,92,0)*H20*H6/H9</f>
        <v>124.88277381845766</v>
      </c>
      <c r="I52" s="627">
        <f>+HLOOKUP(I4,'תחשיב עלות תפעול לשנת 2016'!$4:$148,92,0)*I20*I6/I9</f>
        <v>90</v>
      </c>
      <c r="J52" s="627">
        <f>+HLOOKUP(J4,'תחשיב עלות תפעול לשנת 2016'!$4:$148,92,0)*J20*J6/J9</f>
        <v>32.077981375512607</v>
      </c>
      <c r="K52" s="627">
        <f>+HLOOKUP(K4,'תחשיב עלות תפעול לשנת 2016'!$4:$148,92,0)*K20*K6/K9</f>
        <v>51.01722247442909</v>
      </c>
      <c r="L52" s="627">
        <f>+HLOOKUP(L4,'תחשיב עלות תפעול לשנת 2016'!$4:$148,92,0)*L20*L6/L9</f>
        <v>37.321775786905064</v>
      </c>
      <c r="M52" s="627">
        <f>+HLOOKUP(M4,'תחשיב עלות תפעול לשנת 2016'!$4:$148,92,0)*M20*M6/M9</f>
        <v>73.477601121333507</v>
      </c>
      <c r="N52" s="627">
        <f>+HLOOKUP(N4,'תחשיב עלות תפעול לשנת 2016'!$4:$148,92,0)*N20*N6/N9</f>
        <v>117.34311554998402</v>
      </c>
      <c r="O52" s="627">
        <f>+HLOOKUP(O4,'תחשיב עלות תפעול לשנת 2016'!$4:$148,92,0)*O20*O6/O9</f>
        <v>64.745339838342616</v>
      </c>
      <c r="P52" s="627">
        <f>+HLOOKUP(P4,'תחשיב עלות תפעול לשנת 2016'!$4:$148,92,0)*P20*P6/P9</f>
        <v>41.38218818698202</v>
      </c>
      <c r="Q52" s="627">
        <f>+HLOOKUP(Q4,'תחשיב עלות תפעול לשנת 2016'!$4:$148,92,0)*Q20*Q6/Q9</f>
        <v>64.048781755029324</v>
      </c>
      <c r="R52" s="627">
        <f>+HLOOKUP(R4,'תחשיב עלות תפעול לשנת 2016'!$4:$148,92,0)*R20*R6/R9</f>
        <v>150.08775359065476</v>
      </c>
      <c r="S52" s="627">
        <f>+HLOOKUP(S4,'תחשיב עלות תפעול לשנת 2016'!$4:$148,92,0)*S20*S6/S9</f>
        <v>135.91208486869564</v>
      </c>
      <c r="T52" s="627">
        <f>+HLOOKUP(T4,'תחשיב עלות תפעול לשנת 2016'!$4:$148,92,0)*T20*T6/T9</f>
        <v>144.56540992618233</v>
      </c>
      <c r="U52" s="627">
        <f>+HLOOKUP(U4,'תחשיב עלות תפעול לשנת 2016'!$4:$148,92,0)*U20*U6/U9</f>
        <v>137.40970006534178</v>
      </c>
      <c r="V52" s="627">
        <f>+HLOOKUP(V4,'תחשיב עלות תפעול לשנת 2016'!$4:$148,92,0)*V20*V6/V9</f>
        <v>141</v>
      </c>
      <c r="W52" s="627">
        <f>+HLOOKUP(W4,'תחשיב עלות תפעול לשנת 2016'!$4:$148,92,0)*W20*W6/W9</f>
        <v>116.62608457148062</v>
      </c>
      <c r="X52" s="627">
        <f>+HLOOKUP(X4,'תחשיב עלות תפעול לשנת 2016'!$4:$148,92,0)*X20*X6/X9</f>
        <v>60.511650943419269</v>
      </c>
      <c r="Y52" s="627">
        <f>+HLOOKUP(Y4,'תחשיב עלות תפעול לשנת 2016'!$4:$148,92,0)*Y20*Y6/Y9</f>
        <v>44.966945140735888</v>
      </c>
      <c r="Z52" s="627">
        <f>+HLOOKUP(Z4,'תחשיב עלות תפעול לשנת 2016'!$4:$148,92,0)*Z20*Z6/Z9</f>
        <v>35.776656283185531</v>
      </c>
      <c r="AA52" s="627">
        <f>+HLOOKUP(AA4,'תחשיב עלות תפעול לשנת 2016'!$4:$148,92,0)*AA20*AA6/AA9</f>
        <v>28.669160646005331</v>
      </c>
      <c r="AB52" s="627">
        <f>+HLOOKUP(AB4,'תחשיב עלות תפעול לשנת 2016'!$4:$148,92,0)*AB20*AB6/AB9</f>
        <v>51.548914027473685</v>
      </c>
      <c r="AC52" s="627">
        <f>+HLOOKUP(AC4,'תחשיב עלות תפעול לשנת 2016'!$4:$148,92,0)*AC20*AC6/AC9</f>
        <v>48.692097135990309</v>
      </c>
      <c r="AD52" s="627">
        <f>+HLOOKUP(AD4,'תחשיב עלות תפעול לשנת 2016'!$4:$148,92,0)*AD20*AD6/AD9</f>
        <v>81.280191034599</v>
      </c>
      <c r="AE52" s="627">
        <f>+HLOOKUP(AE4,'תחשיב עלות תפעול לשנת 2016'!$4:$148,92,0)*AE20*AE6/AE9</f>
        <v>36.554680659680471</v>
      </c>
      <c r="AF52" s="627">
        <f>+HLOOKUP(AF4,'תחשיב עלות תפעול לשנת 2016'!$4:$148,92,0)*AF20*AF6/AF9</f>
        <v>169.18667001561042</v>
      </c>
      <c r="AG52" s="627">
        <f>+HLOOKUP(AG4,'תחשיב עלות תפעול לשנת 2016'!$4:$148,92,0)*AG20*AG6/AG9</f>
        <v>39.645714279367084</v>
      </c>
      <c r="AH52" s="627">
        <f>+HLOOKUP(AH4,'תחשיב עלות תפעול לשנת 2016'!$4:$148,92,0)*AH20*AH6/AH9</f>
        <v>41.884437371309694</v>
      </c>
      <c r="AI52" s="627">
        <f>+HLOOKUP(AI4,'תחשיב עלות תפעול לשנת 2016'!$4:$148,92,0)*AI20*AI6/AI9</f>
        <v>22.763810670882062</v>
      </c>
      <c r="AJ52" s="627">
        <f>+HLOOKUP(AJ4,'תחשיב עלות תפעול לשנת 2016'!$4:$148,92,0)*AJ20*AJ6/AJ9</f>
        <v>28.328135222873119</v>
      </c>
      <c r="AK52" s="627">
        <f>+HLOOKUP(AK4,'תחשיב עלות תפעול לשנת 2016'!$4:$148,92,0)*AK20*AK6/AK9</f>
        <v>23.982435325048122</v>
      </c>
      <c r="AL52" s="627">
        <f>+HLOOKUP(AL4,'תחשיב עלות תפעול לשנת 2016'!$4:$148,92,0)*AL20*AL6/AL9</f>
        <v>21.391990536847672</v>
      </c>
      <c r="AM52" s="627">
        <f>+HLOOKUP(AM4,'תחשיב עלות תפעול לשנת 2016'!$4:$148,92,0)*AM20*AM6/AM9</f>
        <v>305.13727206465239</v>
      </c>
      <c r="AN52" s="627">
        <f>+HLOOKUP(AN4,'תחשיב עלות תפעול לשנת 2016'!$4:$148,92,0)*AN20*AN6/AN9</f>
        <v>40.26078290319488</v>
      </c>
      <c r="AO52" s="627">
        <f>+HLOOKUP(AO4,'תחשיב עלות תפעול לשנת 2016'!$4:$148,92,0)*AO20*AO6/AO9</f>
        <v>79.561261521081434</v>
      </c>
      <c r="AP52" s="627">
        <f>+HLOOKUP(AP4,'תחשיב עלות תפעול לשנת 2016'!$4:$148,92,0)*AP20*AP6/AP9</f>
        <v>24.796681414266214</v>
      </c>
      <c r="AQ52" s="627">
        <f>+HLOOKUP(AQ4,'תחשיב עלות תפעול לשנת 2016'!$4:$148,92,0)*AQ20*AQ6/AQ9</f>
        <v>65.744960281125984</v>
      </c>
      <c r="AR52" s="627">
        <f>+HLOOKUP(AR4,'תחשיב עלות תפעול לשנת 2016'!$4:$148,92,0)*AR20*AR6/AR9</f>
        <v>39.364708326577563</v>
      </c>
      <c r="AS52" s="627">
        <f>+HLOOKUP(AS4,'תחשיב עלות תפעול לשנת 2016'!$4:$148,92,0)*AS20*AS6/AS9</f>
        <v>76.416792193907952</v>
      </c>
      <c r="AT52" s="627">
        <f>+HLOOKUP(AT4,'תחשיב עלות תפעול לשנת 2016'!$4:$148,92,0)*AT20*AT6/AT9</f>
        <v>25.054106525580142</v>
      </c>
      <c r="AU52" s="627">
        <f>+HLOOKUP(AU4,'תחשיב עלות תפעול לשנת 2016'!$4:$148,92,0)*AU20*AU6/AU9</f>
        <v>21.29983564044689</v>
      </c>
      <c r="AV52" s="627">
        <f>+HLOOKUP(AV4,'תחשיב עלות תפעול לשנת 2016'!$4:$148,92,0)*AV20*AV6/AV9</f>
        <v>36.570020902471953</v>
      </c>
      <c r="AW52" s="627">
        <f>+HLOOKUP(AW4,'תחשיב עלות תפעול לשנת 2016'!$4:$148,92,0)*AW20*AW6/AW9</f>
        <v>63.839498897780651</v>
      </c>
      <c r="AX52" s="627">
        <f>+HLOOKUP(AX4,'תחשיב עלות תפעול לשנת 2016'!$4:$148,92,0)*AX20*AX6/AX9</f>
        <v>80.557401933193248</v>
      </c>
      <c r="AY52" s="627">
        <f>+HLOOKUP(AY4,'תחשיב עלות תפעול לשנת 2016'!$4:$148,92,0)*AY20*AY6/AY9</f>
        <v>105.18595348742218</v>
      </c>
      <c r="AZ52" s="627">
        <f>+HLOOKUP(AZ4,'תחשיב עלות תפעול לשנת 2016'!$4:$148,92,0)*AZ20*AZ6/AZ9</f>
        <v>47.620077660555367</v>
      </c>
      <c r="BA52" s="627">
        <f>+HLOOKUP(BA4,'תחשיב עלות תפעול לשנת 2016'!$4:$148,92,0)*BA20*BA6/BA9</f>
        <v>43.537682164106329</v>
      </c>
      <c r="BB52" s="627">
        <f>+HLOOKUP(BB4,'תחשיב עלות תפעול לשנת 2016'!$4:$148,92,0)*BB20*BB6/BB9</f>
        <v>39.884642816983359</v>
      </c>
      <c r="BC52" s="627">
        <f>+HLOOKUP(BC4,'תחשיב עלות תפעול לשנת 2016'!$4:$148,92,0)*BC20*BC6/BC9</f>
        <v>37.157646913411199</v>
      </c>
      <c r="BD52" s="627">
        <f>+HLOOKUP(BD4,'תחשיב עלות תפעול לשנת 2016'!$4:$148,92,0)*BD20*BD6/BD9</f>
        <v>43.34649997876042</v>
      </c>
      <c r="BE52" s="627">
        <f>+HLOOKUP(BE4,'תחשיב עלות תפעול לשנת 2016'!$4:$148,92,0)*BE20*BE6/BE9</f>
        <v>7.5738955306616829</v>
      </c>
      <c r="BF52" s="627">
        <f>+HLOOKUP(BF4,'תחשיב עלות תפעול לשנת 2016'!$4:$148,92,0)*BF20*BF6/BF9</f>
        <v>8.6250870669080211</v>
      </c>
    </row>
    <row r="53" spans="1:58" ht="12.75" customHeight="1" x14ac:dyDescent="0.2">
      <c r="A53" s="1847"/>
      <c r="B53" s="1849"/>
      <c r="C53" s="376" t="s">
        <v>1760</v>
      </c>
      <c r="D53" s="1332">
        <f>+HLOOKUP(D4,'תחשיב עלות תפעול לשנת 2016'!$4:$148,116,0)</f>
        <v>144.80531000366707</v>
      </c>
      <c r="E53" s="1332">
        <f>+HLOOKUP(E4,'תחשיב עלות תפעול לשנת 2016'!$4:$148,116,0)</f>
        <v>0</v>
      </c>
      <c r="F53" s="1332">
        <f>+HLOOKUP(F4,'תחשיב עלות תפעול לשנת 2016'!$4:$148,116,0)</f>
        <v>0</v>
      </c>
      <c r="G53" s="1332">
        <f>+HLOOKUP(G4,'תחשיב עלות תפעול לשנת 2016'!$4:$148,116,0)</f>
        <v>-3906.0000000000005</v>
      </c>
      <c r="H53" s="1332">
        <f>+HLOOKUP(H4,'תחשיב עלות תפעול לשנת 2016'!$4:$148,116,0)</f>
        <v>0</v>
      </c>
      <c r="I53" s="1332">
        <f>+HLOOKUP(I4,'תחשיב עלות תפעול לשנת 2016'!$4:$148,116,0)</f>
        <v>0</v>
      </c>
      <c r="J53" s="1332">
        <f>+HLOOKUP(J4,'תחשיב עלות תפעול לשנת 2016'!$4:$148,116,0)</f>
        <v>0</v>
      </c>
      <c r="K53" s="1332">
        <f>+HLOOKUP(K4,'תחשיב עלות תפעול לשנת 2016'!$4:$148,116,0)</f>
        <v>0</v>
      </c>
      <c r="L53" s="1332">
        <f>+HLOOKUP(L4,'תחשיב עלות תפעול לשנת 2016'!$4:$148,116,0)</f>
        <v>0</v>
      </c>
      <c r="M53" s="1332">
        <f>+HLOOKUP(M4,'תחשיב עלות תפעול לשנת 2016'!$4:$148,116,0)</f>
        <v>0</v>
      </c>
      <c r="N53" s="1332">
        <f>+HLOOKUP(N4,'תחשיב עלות תפעול לשנת 2016'!$4:$148,116,0)</f>
        <v>0</v>
      </c>
      <c r="O53" s="1332">
        <f>+HLOOKUP(O4,'תחשיב עלות תפעול לשנת 2016'!$4:$148,116,0)</f>
        <v>0</v>
      </c>
      <c r="P53" s="1332">
        <f>+HLOOKUP(P4,'תחשיב עלות תפעול לשנת 2016'!$4:$148,116,0)</f>
        <v>0</v>
      </c>
      <c r="Q53" s="1332">
        <f>+HLOOKUP(Q4,'תחשיב עלות תפעול לשנת 2016'!$4:$148,116,0)</f>
        <v>0</v>
      </c>
      <c r="R53" s="1332">
        <f>+HLOOKUP(R4,'תחשיב עלות תפעול לשנת 2016'!$4:$148,116,0)</f>
        <v>0</v>
      </c>
      <c r="S53" s="1332">
        <f>+HLOOKUP(S4,'תחשיב עלות תפעול לשנת 2016'!$4:$148,116,0)</f>
        <v>0</v>
      </c>
      <c r="T53" s="1332">
        <f>+HLOOKUP(T4,'תחשיב עלות תפעול לשנת 2016'!$4:$148,116,0)</f>
        <v>0</v>
      </c>
      <c r="U53" s="1332">
        <f>+HLOOKUP(U4,'תחשיב עלות תפעול לשנת 2016'!$4:$148,116,0)</f>
        <v>0</v>
      </c>
      <c r="V53" s="1332">
        <f>+HLOOKUP(V4,'תחשיב עלות תפעול לשנת 2016'!$4:$148,116,0)</f>
        <v>0</v>
      </c>
      <c r="W53" s="1332">
        <f>+HLOOKUP(W4,'תחשיב עלות תפעול לשנת 2016'!$4:$148,116,0)</f>
        <v>0</v>
      </c>
      <c r="X53" s="1332">
        <f>+HLOOKUP(X4,'תחשיב עלות תפעול לשנת 2016'!$4:$148,116,0)</f>
        <v>0</v>
      </c>
      <c r="Y53" s="1332">
        <f>+HLOOKUP(Y4,'תחשיב עלות תפעול לשנת 2016'!$4:$148,116,0)</f>
        <v>0</v>
      </c>
      <c r="Z53" s="1332">
        <f>+HLOOKUP(Z4,'תחשיב עלות תפעול לשנת 2016'!$4:$148,116,0)</f>
        <v>0</v>
      </c>
      <c r="AA53" s="1332">
        <f>+HLOOKUP(AA4,'תחשיב עלות תפעול לשנת 2016'!$4:$148,116,0)</f>
        <v>0</v>
      </c>
      <c r="AB53" s="1332">
        <f>+HLOOKUP(AB4,'תחשיב עלות תפעול לשנת 2016'!$4:$148,116,0)</f>
        <v>0</v>
      </c>
      <c r="AC53" s="1332">
        <f>+HLOOKUP(AC4,'תחשיב עלות תפעול לשנת 2016'!$4:$148,116,0)</f>
        <v>0</v>
      </c>
      <c r="AD53" s="1332">
        <f>+HLOOKUP(AD4,'תחשיב עלות תפעול לשנת 2016'!$4:$148,116,0)</f>
        <v>0</v>
      </c>
      <c r="AE53" s="1332">
        <f>+HLOOKUP(AE4,'תחשיב עלות תפעול לשנת 2016'!$4:$148,116,0)</f>
        <v>0</v>
      </c>
      <c r="AF53" s="1332">
        <f>+HLOOKUP(AF4,'תחשיב עלות תפעול לשנת 2016'!$4:$148,116,0)</f>
        <v>0</v>
      </c>
      <c r="AG53" s="1332">
        <f>+HLOOKUP(AG4,'תחשיב עלות תפעול לשנת 2016'!$4:$148,116,0)</f>
        <v>0</v>
      </c>
      <c r="AH53" s="1332">
        <f>+HLOOKUP(AH4,'תחשיב עלות תפעול לשנת 2016'!$4:$148,116,0)</f>
        <v>0</v>
      </c>
      <c r="AI53" s="1332">
        <f>+HLOOKUP(AI4,'תחשיב עלות תפעול לשנת 2016'!$4:$148,116,0)</f>
        <v>0</v>
      </c>
      <c r="AJ53" s="1332">
        <f>+HLOOKUP(AJ4,'תחשיב עלות תפעול לשנת 2016'!$4:$148,116,0)</f>
        <v>0</v>
      </c>
      <c r="AK53" s="1332">
        <f>+HLOOKUP(AK4,'תחשיב עלות תפעול לשנת 2016'!$4:$148,116,0)</f>
        <v>0</v>
      </c>
      <c r="AL53" s="1332">
        <f>+HLOOKUP(AL4,'תחשיב עלות תפעול לשנת 2016'!$4:$148,116,0)</f>
        <v>0</v>
      </c>
      <c r="AM53" s="1332">
        <f>+HLOOKUP(AM4,'תחשיב עלות תפעול לשנת 2016'!$4:$148,116,0)</f>
        <v>458.65214580447457</v>
      </c>
      <c r="AN53" s="1332">
        <f>+HLOOKUP(AN4,'תחשיב עלות תפעול לשנת 2016'!$4:$148,116,0)</f>
        <v>0</v>
      </c>
      <c r="AO53" s="1332">
        <f>+HLOOKUP(AO4,'תחשיב עלות תפעול לשנת 2016'!$4:$148,116,0)</f>
        <v>165.20577628333567</v>
      </c>
      <c r="AP53" s="1332">
        <f>+HLOOKUP(AP4,'תחשיב עלות תפעול לשנת 2016'!$4:$148,116,0)</f>
        <v>51.336767908522425</v>
      </c>
      <c r="AQ53" s="1332">
        <f>+HLOOKUP(AQ4,'תחשיב עלות תפעול לשנת 2016'!$4:$148,116,0)</f>
        <v>0</v>
      </c>
      <c r="AR53" s="1332">
        <f>+HLOOKUP(AR4,'תחשיב עלות תפעול לשנת 2016'!$4:$148,116,0)</f>
        <v>445</v>
      </c>
      <c r="AS53" s="1332">
        <f>+HLOOKUP(AS4,'תחשיב עלות תפעול לשנת 2016'!$4:$148,116,0)</f>
        <v>0</v>
      </c>
      <c r="AT53" s="1332">
        <f>+HLOOKUP(AT4,'תחשיב עלות תפעול לשנת 2016'!$4:$148,116,0)</f>
        <v>0</v>
      </c>
      <c r="AU53" s="1332">
        <f>+HLOOKUP(AU4,'תחשיב עלות תפעול לשנת 2016'!$4:$148,116,0)</f>
        <v>0</v>
      </c>
      <c r="AV53" s="1332">
        <f>+HLOOKUP(AV4,'תחשיב עלות תפעול לשנת 2016'!$4:$148,116,0)</f>
        <v>48.094017094017104</v>
      </c>
      <c r="AW53" s="1332">
        <f>+HLOOKUP(AW4,'תחשיב עלות תפעול לשנת 2016'!$4:$148,116,0)</f>
        <v>0</v>
      </c>
      <c r="AX53" s="1332">
        <f>+HLOOKUP(AX4,'תחשיב עלות תפעול לשנת 2016'!$4:$148,116,0)</f>
        <v>0</v>
      </c>
      <c r="AY53" s="1332">
        <f>+HLOOKUP(AY4,'תחשיב עלות תפעול לשנת 2016'!$4:$148,116,0)</f>
        <v>0</v>
      </c>
      <c r="AZ53" s="1332">
        <f>+HLOOKUP(AZ4,'תחשיב עלות תפעול לשנת 2016'!$4:$148,116,0)</f>
        <v>0</v>
      </c>
      <c r="BA53" s="1332">
        <f>+HLOOKUP(BA4,'תחשיב עלות תפעול לשנת 2016'!$4:$148,116,0)</f>
        <v>0</v>
      </c>
      <c r="BB53" s="1332">
        <f>+HLOOKUP(BB4,'תחשיב עלות תפעול לשנת 2016'!$4:$148,116,0)</f>
        <v>0</v>
      </c>
      <c r="BC53" s="1332">
        <f>+HLOOKUP(BC4,'תחשיב עלות תפעול לשנת 2016'!$4:$148,116,0)</f>
        <v>0</v>
      </c>
      <c r="BD53" s="1332">
        <f>+HLOOKUP(BD4,'תחשיב עלות תפעול לשנת 2016'!$4:$148,116,0)</f>
        <v>0</v>
      </c>
      <c r="BE53" s="1332">
        <f>+HLOOKUP(BE4,'תחשיב עלות תפעול לשנת 2016'!$4:$148,116,0)</f>
        <v>0</v>
      </c>
      <c r="BF53" s="1332">
        <f>+HLOOKUP(BF4,'תחשיב עלות תפעול לשנת 2016'!$4:$148,116,0)</f>
        <v>0</v>
      </c>
    </row>
    <row r="54" spans="1:58" ht="12.75" customHeight="1" x14ac:dyDescent="0.2">
      <c r="A54" s="1335"/>
      <c r="B54" s="1336"/>
      <c r="C54" s="376" t="s">
        <v>1761</v>
      </c>
      <c r="D54" s="1337">
        <f>+HLOOKUP(D4,'תחשיב עלות תפעול לשנת 2016'!$4:$148,108,0)*D6</f>
        <v>0</v>
      </c>
      <c r="E54" s="1337">
        <f>+HLOOKUP(E4,'תחשיב עלות תפעול לשנת 2016'!$4:$148,108,0)*E6</f>
        <v>560.42621999999994</v>
      </c>
      <c r="F54" s="1337">
        <f>+HLOOKUP(F4,'תחשיב עלות תפעול לשנת 2016'!$4:$148,108,0)*F6</f>
        <v>511.49675999999999</v>
      </c>
      <c r="G54" s="1337">
        <f>+HLOOKUP(G4,'תחשיב עלות תפעול לשנת 2016'!$4:$148,108,0)*G6</f>
        <v>1629.1967400000001</v>
      </c>
      <c r="H54" s="1337">
        <f>+HLOOKUP(H4,'תחשיב עלות תפעול לשנת 2016'!$4:$148,108,0)*H6</f>
        <v>0</v>
      </c>
      <c r="I54" s="1337">
        <f>+HLOOKUP(I4,'תחשיב עלות תפעול לשנת 2016'!$4:$148,108,0)*I6</f>
        <v>30.067305000000001</v>
      </c>
      <c r="J54" s="1337">
        <f>+HLOOKUP(J4,'תחשיב עלות תפעול לשנת 2016'!$4:$148,108,0)*J6</f>
        <v>390.12092999999993</v>
      </c>
      <c r="K54" s="1337">
        <f>+HLOOKUP(K4,'תחשיב עלות תפעול לשנת 2016'!$4:$148,108,0)*K6</f>
        <v>0</v>
      </c>
      <c r="L54" s="1337">
        <f>+HLOOKUP(L4,'תחשיב עלות תפעול לשנת 2016'!$4:$148,108,0)*L6</f>
        <v>0</v>
      </c>
      <c r="M54" s="1337">
        <f>+HLOOKUP(M4,'תחשיב עלות תפעול לשנת 2016'!$4:$148,108,0)*M6</f>
        <v>297.86942999999997</v>
      </c>
      <c r="N54" s="1337">
        <f>+HLOOKUP(N4,'תחשיב עלות תפעול לשנת 2016'!$4:$148,108,0)*N6</f>
        <v>0</v>
      </c>
      <c r="O54" s="1337">
        <f>+HLOOKUP(O4,'תחשיב עלות תפעול לשנת 2016'!$4:$148,108,0)*O6</f>
        <v>830.52548999999999</v>
      </c>
      <c r="P54" s="1337">
        <f>+HLOOKUP(P4,'תחשיב עלות תפעול לשנת 2016'!$4:$148,108,0)*P6</f>
        <v>170.44617</v>
      </c>
      <c r="Q54" s="1337">
        <f>+HLOOKUP(Q4,'תחשיב עלות תפעול לשנת 2016'!$4:$148,108,0)*Q6</f>
        <v>212.21050499999998</v>
      </c>
      <c r="R54" s="1337">
        <f>+HLOOKUP(R4,'תחשיב עלות תפעול לשנת 2016'!$4:$148,108,0)*R6</f>
        <v>313.93741499999999</v>
      </c>
      <c r="S54" s="1337">
        <f>+HLOOKUP(S4,'תחשיב עלות תפעול לשנת 2016'!$4:$148,108,0)*S6</f>
        <v>839.69801999999993</v>
      </c>
      <c r="T54" s="1337">
        <f>+HLOOKUP(T4,'תחשיב עלות תפעול לשנת 2016'!$4:$148,108,0)*T6</f>
        <v>589.9561799999999</v>
      </c>
      <c r="U54" s="1337">
        <f>+HLOOKUP(U4,'תחשיב עלות תפעול לשנת 2016'!$4:$148,108,0)*U6</f>
        <v>0</v>
      </c>
      <c r="V54" s="1337">
        <f>+HLOOKUP(V4,'תחשיב עלות תפעול לשנת 2016'!$4:$148,108,0)*V6</f>
        <v>0</v>
      </c>
      <c r="W54" s="1337">
        <f>+HLOOKUP(W4,'תחשיב עלות תפעול לשנת 2016'!$4:$148,108,0)*W6</f>
        <v>1545.6519000000003</v>
      </c>
      <c r="X54" s="1337">
        <f>+HLOOKUP(X4,'תחשיב עלות תפעול לשנת 2016'!$4:$148,108,0)*X6</f>
        <v>786.71753999999999</v>
      </c>
      <c r="Y54" s="1337">
        <f>+HLOOKUP(Y4,'תחשיב עלות תפעול לשנת 2016'!$4:$148,108,0)*Y6</f>
        <v>0</v>
      </c>
      <c r="Z54" s="1337">
        <f>+HLOOKUP(Z4,'תחשיב עלות תפעול לשנת 2016'!$4:$148,108,0)*Z6</f>
        <v>144.04846499999999</v>
      </c>
      <c r="AA54" s="1337">
        <f>+HLOOKUP(AA4,'תחשיב עלות תפעול לשנת 2016'!$4:$148,108,0)*AA6</f>
        <v>58.755434999999999</v>
      </c>
      <c r="AB54" s="1337">
        <f>+HLOOKUP(AB4,'תחשיב עלות תפעול לשנת 2016'!$4:$148,108,0)*AB6</f>
        <v>0</v>
      </c>
      <c r="AC54" s="1337">
        <f>+HLOOKUP(AC4,'תחשיב עלות תפעול לשנת 2016'!$4:$148,108,0)*AC6</f>
        <v>0</v>
      </c>
      <c r="AD54" s="1337">
        <f>+HLOOKUP(AD4,'תחשיב עלות תפעול לשנת 2016'!$4:$148,108,0)*AD6</f>
        <v>0</v>
      </c>
      <c r="AE54" s="1337">
        <f>+HLOOKUP(AE4,'תחשיב עלות תפעול לשנת 2016'!$4:$148,108,0)*AE6</f>
        <v>0</v>
      </c>
      <c r="AF54" s="1337">
        <f>+HLOOKUP(AF4,'תחשיב עלות תפעול לשנת 2016'!$4:$148,108,0)*AF6</f>
        <v>0</v>
      </c>
      <c r="AG54" s="1337">
        <f>+HLOOKUP(AG4,'תחשיב עלות תפעול לשנת 2016'!$4:$148,108,0)*AG6</f>
        <v>81.188639999999992</v>
      </c>
      <c r="AH54" s="1337">
        <f>+HLOOKUP(AH4,'תחשיב עלות תפעול לשנת 2016'!$4:$148,108,0)*AH6</f>
        <v>0</v>
      </c>
      <c r="AI54" s="1337">
        <f>+HLOOKUP(AI4,'תחשיב עלות תפעול לשנת 2016'!$4:$148,108,0)*AI6</f>
        <v>0</v>
      </c>
      <c r="AJ54" s="1337">
        <f>+HLOOKUP(AJ4,'תחשיב עלות תפעול לשנת 2016'!$4:$148,108,0)*AJ6</f>
        <v>0</v>
      </c>
      <c r="AK54" s="1337">
        <f>+HLOOKUP(AK4,'תחשיב עלות תפעול לשנת 2016'!$4:$148,108,0)*AK6</f>
        <v>49.150320000000001</v>
      </c>
      <c r="AL54" s="1337">
        <f>+HLOOKUP(AL4,'תחשיב עלות תפעול לשנת 2016'!$4:$148,108,0)*AL6</f>
        <v>0</v>
      </c>
      <c r="AM54" s="1337">
        <f>+HLOOKUP(AM4,'תחשיב עלות תפעול לשנת 2016'!$4:$148,108,0)*AM6</f>
        <v>0</v>
      </c>
      <c r="AN54" s="1337">
        <f>+HLOOKUP(AN4,'תחשיב עלות תפעול לשנת 2016'!$4:$148,108,0)*AN6</f>
        <v>344.29872</v>
      </c>
      <c r="AO54" s="1337">
        <f>+HLOOKUP(AO4,'תחשיב עלות תפעול לשנת 2016'!$4:$148,108,0)*AO6</f>
        <v>0</v>
      </c>
      <c r="AP54" s="1337">
        <f>+HLOOKUP(AP4,'תחשיב עלות תפעול לשנת 2016'!$4:$148,108,0)*AP6</f>
        <v>0</v>
      </c>
      <c r="AQ54" s="1337">
        <f>+HLOOKUP(AQ4,'תחשיב עלות תפעול לשנת 2016'!$4:$148,108,0)*AQ6</f>
        <v>0</v>
      </c>
      <c r="AR54" s="1337">
        <f>+HLOOKUP(AR4,'תחשיב עלות תפעול לשנת 2016'!$4:$148,108,0)*AR6</f>
        <v>160.64322000000001</v>
      </c>
      <c r="AS54" s="1337">
        <f>+HLOOKUP(AS4,'תחשיב עלות תפעול לשנת 2016'!$4:$148,108,0)*AS6</f>
        <v>1548.9228000000003</v>
      </c>
      <c r="AT54" s="1337">
        <f>+HLOOKUP(AT4,'תחשיב עלות תפעול לשנת 2016'!$4:$148,108,0)*AT6</f>
        <v>0</v>
      </c>
      <c r="AU54" s="1337">
        <f>+HLOOKUP(AU4,'תחשיב עלות תפעול לשנת 2016'!$4:$148,108,0)*AU6</f>
        <v>0</v>
      </c>
      <c r="AV54" s="1337">
        <f>+HLOOKUP(AV4,'תחשיב עלות תפעול לשנת 2016'!$4:$148,108,0)*AV6</f>
        <v>0</v>
      </c>
      <c r="AW54" s="1337">
        <f>+HLOOKUP(AW4,'תחשיב עלות תפעול לשנת 2016'!$4:$148,108,0)*AW6</f>
        <v>514.07721000000004</v>
      </c>
      <c r="AX54" s="1337">
        <f>+HLOOKUP(AX4,'תחשיב עלות תפעול לשנת 2016'!$4:$148,108,0)*AX6</f>
        <v>648.70065</v>
      </c>
      <c r="AY54" s="1337">
        <f>+HLOOKUP(AY4,'תחשיב עלות תפעול לשנת 2016'!$4:$148,108,0)*AY6</f>
        <v>215.40548999999999</v>
      </c>
      <c r="AZ54" s="1337">
        <f>+HLOOKUP(AZ4,'תחשיב עלות תפעול לשנת 2016'!$4:$148,108,0)*AZ6</f>
        <v>298.81966499999999</v>
      </c>
      <c r="BA54" s="1337">
        <f>+HLOOKUP(BA4,'תחשיב עלות תפעול לשנת 2016'!$4:$148,108,0)*BA6</f>
        <v>264.74485499999997</v>
      </c>
      <c r="BB54" s="1337">
        <f>+HLOOKUP(BB4,'תחשיב עלות תפעול לשנת 2016'!$4:$148,108,0)*BB6</f>
        <v>0</v>
      </c>
      <c r="BC54" s="1337">
        <f>+HLOOKUP(BC4,'תחשיב עלות תפעול לשנת 2016'!$4:$148,108,0)*BC6</f>
        <v>143.58999</v>
      </c>
      <c r="BD54" s="1337">
        <f>+HLOOKUP(BD4,'תחשיב עלות תפעול לשנת 2016'!$4:$148,108,0)*BD6</f>
        <v>453.33772499999998</v>
      </c>
      <c r="BE54" s="1337">
        <f>+HLOOKUP(BE4,'תחשיב עלות תפעול לשנת 2016'!$4:$148,108,0)*BE6</f>
        <v>14.634074999999999</v>
      </c>
      <c r="BF54" s="1337">
        <f>+HLOOKUP(BF4,'תחשיב עלות תפעול לשנת 2016'!$4:$148,108,0)*BF6</f>
        <v>0</v>
      </c>
    </row>
    <row r="55" spans="1:58" x14ac:dyDescent="0.2">
      <c r="A55" s="622"/>
      <c r="B55" s="622"/>
      <c r="C55" s="376"/>
      <c r="D55" s="624"/>
      <c r="E55" s="624"/>
      <c r="F55" s="624"/>
      <c r="G55" s="624"/>
      <c r="H55" s="624"/>
      <c r="I55" s="624"/>
      <c r="J55" s="624"/>
      <c r="K55" s="624"/>
      <c r="L55" s="624"/>
      <c r="M55" s="624"/>
      <c r="N55" s="624"/>
      <c r="O55" s="624"/>
      <c r="P55" s="624"/>
      <c r="Q55" s="624"/>
      <c r="R55" s="624"/>
      <c r="S55" s="624"/>
      <c r="T55" s="624"/>
      <c r="U55" s="624"/>
      <c r="V55" s="624"/>
      <c r="W55" s="624"/>
      <c r="X55" s="624"/>
      <c r="Y55" s="624"/>
      <c r="Z55" s="624"/>
      <c r="AA55" s="624"/>
      <c r="AB55" s="624"/>
      <c r="AC55" s="624"/>
      <c r="AD55" s="624"/>
      <c r="AE55" s="624"/>
      <c r="AF55" s="624"/>
      <c r="AG55" s="624"/>
      <c r="AH55" s="624"/>
      <c r="AI55" s="624"/>
      <c r="AJ55" s="624"/>
      <c r="AK55" s="624"/>
      <c r="AL55" s="624"/>
      <c r="AM55" s="624"/>
      <c r="AN55" s="624"/>
      <c r="AO55" s="624"/>
      <c r="AP55" s="624"/>
      <c r="AQ55" s="624"/>
      <c r="AR55" s="624"/>
      <c r="AS55" s="624"/>
      <c r="AT55" s="624"/>
      <c r="AU55" s="624"/>
      <c r="AV55" s="624"/>
      <c r="AW55" s="624"/>
      <c r="AX55" s="624"/>
      <c r="AY55" s="624"/>
      <c r="AZ55" s="624"/>
      <c r="BA55" s="624"/>
      <c r="BB55" s="624"/>
      <c r="BC55" s="624"/>
      <c r="BD55" s="624"/>
      <c r="BE55" s="624"/>
      <c r="BF55" s="624"/>
    </row>
    <row r="56" spans="1:58" ht="12.75" customHeight="1" x14ac:dyDescent="0.2">
      <c r="A56" s="1845" t="s">
        <v>1762</v>
      </c>
      <c r="B56" s="1331"/>
      <c r="C56" s="376" t="s">
        <v>1763</v>
      </c>
      <c r="D56" s="780">
        <f>+HLOOKUP(D4,'תחשיב עלות תפעול לשנת 2016'!$4:$148,92,0)*D22*D7/D9</f>
        <v>504.94284178582888</v>
      </c>
      <c r="E56" s="780">
        <f>+HLOOKUP(E4,'תחשיב עלות תפעול לשנת 2016'!$4:$148,92,0)*E22*E7/E9</f>
        <v>430.66338349271848</v>
      </c>
      <c r="F56" s="780">
        <f>+HLOOKUP(F4,'תחשיב עלות תפעול לשנת 2016'!$4:$148,92,0)*F22*F7/F9</f>
        <v>351.7776436600779</v>
      </c>
      <c r="G56" s="780">
        <f>+HLOOKUP(G4,'תחשיב עלות תפעול לשנת 2016'!$4:$148,92,0)*G22*G7/G9</f>
        <v>2315.0417982590488</v>
      </c>
      <c r="H56" s="780">
        <f>+HLOOKUP(H4,'תחשיב עלות תפעול לשנת 2016'!$4:$148,92,0)*H22*H7/H9</f>
        <v>753.42968688454039</v>
      </c>
      <c r="I56" s="780">
        <f>+HLOOKUP(I4,'תחשיב עלות תפעול לשנת 2016'!$4:$148,92,0)*I22*I7/I9</f>
        <v>515.98346868799842</v>
      </c>
      <c r="J56" s="780">
        <f>+HLOOKUP(J4,'תחשיב עלות תפעול לשנת 2016'!$4:$148,92,0)*J22*J7/J9</f>
        <v>204.96270346594721</v>
      </c>
      <c r="K56" s="780">
        <f>+HLOOKUP(K4,'תחשיב עלות תפעול לשנת 2016'!$4:$148,92,0)*K22*K7/K9</f>
        <v>311.56456114532148</v>
      </c>
      <c r="L56" s="780">
        <f>+HLOOKUP(L4,'תחשיב עלות תפעול לשנת 2016'!$4:$148,92,0)*L22*L7/L9</f>
        <v>230.77640811750607</v>
      </c>
      <c r="M56" s="780">
        <f>+HLOOKUP(M4,'תחשיב עלות תפעול לשנת 2016'!$4:$148,92,0)*M22*M7/M9</f>
        <v>457.67158697967625</v>
      </c>
      <c r="N56" s="780">
        <f>+HLOOKUP(N4,'תחשיב עלות תפעול לשנת 2016'!$4:$148,92,0)*N22*N7/N9</f>
        <v>705.1213222294208</v>
      </c>
      <c r="O56" s="780">
        <f>+HLOOKUP(O4,'תחשיב עלות תפעול לשנת 2016'!$4:$148,92,0)*O22*O7/O9</f>
        <v>413.37930091048804</v>
      </c>
      <c r="P56" s="780">
        <f>+HLOOKUP(P4,'תחשיב עלות תפעול לשנת 2016'!$4:$148,92,0)*P22*P7/P9</f>
        <v>247.28123169256611</v>
      </c>
      <c r="Q56" s="780">
        <f>+HLOOKUP(Q4,'תחשיב עלות תפעול לשנת 2016'!$4:$148,92,0)*Q22*Q7/Q9</f>
        <v>396.21985990781229</v>
      </c>
      <c r="R56" s="780">
        <f>+HLOOKUP(R4,'תחשיב עלות תפעול לשנת 2016'!$4:$148,92,0)*R22*R7/R9</f>
        <v>896.58712990053061</v>
      </c>
      <c r="S56" s="780">
        <f>+HLOOKUP(S4,'תחשיב עלות תפעול לשנת 2016'!$4:$148,92,0)*S22*S7/S9</f>
        <v>828.12941299697741</v>
      </c>
      <c r="T56" s="780">
        <f>+HLOOKUP(T4,'תחשיב עלות תפעול לשנת 2016'!$4:$148,92,0)*T22*T7/T9</f>
        <v>889.96986403969925</v>
      </c>
      <c r="U56" s="780">
        <f>+HLOOKUP(U4,'תחשיב עלות תפעול לשנת 2016'!$4:$148,92,0)*U22*U7/U9</f>
        <v>821.82584415282486</v>
      </c>
      <c r="V56" s="780">
        <f>+HLOOKUP(V4,'תחשיב עלות תפעול לשנת 2016'!$4:$148,92,0)*V22*V7/V9</f>
        <v>800.07842992915073</v>
      </c>
      <c r="W56" s="780">
        <f>+HLOOKUP(W4,'תחשיב עלות תפעול לשנת 2016'!$4:$148,92,0)*W22*W7/W9</f>
        <v>737.19295077395066</v>
      </c>
      <c r="X56" s="780">
        <f>+HLOOKUP(X4,'תחשיב עלות תפעול לשנת 2016'!$4:$148,92,0)*X22*X7/X9</f>
        <v>366.60811140951944</v>
      </c>
      <c r="Y56" s="780">
        <f>+HLOOKUP(Y4,'תחשיב עלות תפעול לשנת 2016'!$4:$148,92,0)*Y22*Y7/Y9</f>
        <v>259.501743963808</v>
      </c>
      <c r="Z56" s="780">
        <f>+HLOOKUP(Z4,'תחשיב עלות תפעול לשנת 2016'!$4:$148,92,0)*Z22*Z7/Z9</f>
        <v>212.10321954688172</v>
      </c>
      <c r="AA56" s="780">
        <f>+HLOOKUP(AA4,'תחשיב עלות תפעול לשנת 2016'!$4:$148,92,0)*AA22*AA7/AA9</f>
        <v>162.04140741895898</v>
      </c>
      <c r="AB56" s="780">
        <f>+HLOOKUP(AB4,'תחשיב עלות תפעול לשנת 2016'!$4:$148,92,0)*AB22*AB7/AB9</f>
        <v>299.46715728824347</v>
      </c>
      <c r="AC56" s="780">
        <f>+HLOOKUP(AC4,'תחשיב עלות תפעול לשנת 2016'!$4:$148,92,0)*AC22*AC7/AC9</f>
        <v>299.25351770001669</v>
      </c>
      <c r="AD56" s="780">
        <f>+HLOOKUP(AD4,'תחשיב עלות תפעול לשנת 2016'!$4:$148,92,0)*AD22*AD7/AD9</f>
        <v>485.54911641112341</v>
      </c>
      <c r="AE56" s="780">
        <f>+HLOOKUP(AE4,'תחשיב עלות תפעול לשנת 2016'!$4:$148,92,0)*AE22*AE7/AE9</f>
        <v>217.68391238825413</v>
      </c>
      <c r="AF56" s="780">
        <f>+HLOOKUP(AF4,'תחשיב עלות תפעול לשנת 2016'!$4:$148,92,0)*AF22*AF7/AF9</f>
        <v>1040.077701071767</v>
      </c>
      <c r="AG56" s="780">
        <f>+HLOOKUP(AG4,'תחשיב עלות תפעול לשנת 2016'!$4:$148,92,0)*AG22*AG7/AG9</f>
        <v>234.6971025543433</v>
      </c>
      <c r="AH56" s="780">
        <f>+HLOOKUP(AH4,'תחשיב עלות תפעול לשנת 2016'!$4:$148,92,0)*AH22*AH7/AH9</f>
        <v>234.12646825720972</v>
      </c>
      <c r="AI56" s="780">
        <f>+HLOOKUP(AI4,'תחשיב עלות תפעול לשנת 2016'!$4:$148,92,0)*AI22*AI7/AI9</f>
        <v>144.19025750480952</v>
      </c>
      <c r="AJ56" s="780">
        <f>+HLOOKUP(AJ4,'תחשיב עלות תפעול לשנת 2016'!$4:$148,92,0)*AJ22*AJ7/AJ9</f>
        <v>162.84523636896446</v>
      </c>
      <c r="AK56" s="780">
        <f>+HLOOKUP(AK4,'תחשיב עלות תפעול לשנת 2016'!$4:$148,92,0)*AK22*AK7/AK9</f>
        <v>143.759447532043</v>
      </c>
      <c r="AL56" s="780">
        <f>+HLOOKUP(AL4,'תחשיב עלות תפעול לשנת 2016'!$4:$148,92,0)*AL22*AL7/AL9</f>
        <v>126.3610395056245</v>
      </c>
      <c r="AM56" s="780">
        <f>+HLOOKUP(AM4,'תחשיב עלות תפעול לשנת 2016'!$4:$148,92,0)*AM22*AM7/AM9</f>
        <v>1814.6093801690276</v>
      </c>
      <c r="AN56" s="780">
        <f>+HLOOKUP(AN4,'תחשיב עלות תפעול לשנת 2016'!$4:$148,92,0)*AN22*AN7/AN9</f>
        <v>240.02539195758814</v>
      </c>
      <c r="AO56" s="780">
        <f>+HLOOKUP(AO4,'תחשיב עלות תפעול לשנת 2016'!$4:$148,92,0)*AO22*AO7/AO9</f>
        <v>477.06780076370057</v>
      </c>
      <c r="AP56" s="780">
        <f>+HLOOKUP(AP4,'תחשיב עלות תפעול לשנת 2016'!$4:$148,92,0)*AP22*AP7/AP9</f>
        <v>153.14971846157232</v>
      </c>
      <c r="AQ56" s="780">
        <f>+HLOOKUP(AQ4,'תחשיב עלות תפעול לשנת 2016'!$4:$148,92,0)*AQ22*AQ7/AQ9</f>
        <v>401.05498857953273</v>
      </c>
      <c r="AR56" s="780">
        <f>+HLOOKUP(AR4,'תחשיב עלות תפעול לשנת 2016'!$4:$148,92,0)*AR22*AR7/AR9</f>
        <v>238.67745484034478</v>
      </c>
      <c r="AS56" s="780">
        <f>+HLOOKUP(AS4,'תחשיב עלות תפעול לשנת 2016'!$4:$148,92,0)*AS22*AS7/AS9</f>
        <v>479.87662732986968</v>
      </c>
      <c r="AT56" s="780">
        <f>+HLOOKUP(AT4,'תחשיב עלות תפעול לשנת 2016'!$4:$148,92,0)*AT22*AT7/AT9</f>
        <v>149.10713764170853</v>
      </c>
      <c r="AU56" s="780">
        <f>+HLOOKUP(AU4,'תחשיב עלות תפעול לשנת 2016'!$4:$148,92,0)*AU22*AU7/AU9</f>
        <v>120.54838399236991</v>
      </c>
      <c r="AV56" s="780">
        <f>+HLOOKUP(AV4,'תחשיב עלות תפעול לשנת 2016'!$4:$148,92,0)*AV22*AV7/AV9</f>
        <v>212.23176258427844</v>
      </c>
      <c r="AW56" s="780">
        <f>+HLOOKUP(AW4,'תחשיב עלות תפעול לשנת 2016'!$4:$148,92,0)*AW22*AW7/AW9</f>
        <v>410.08555557178818</v>
      </c>
      <c r="AX56" s="780">
        <f>+HLOOKUP(AX4,'תחשיב עלות תפעול לשנת 2016'!$4:$148,92,0)*AX22*AX7/AX9</f>
        <v>517.13973047760635</v>
      </c>
      <c r="AY56" s="780">
        <f>+HLOOKUP(AY4,'תחשיב עלות תפעול לשנת 2016'!$4:$148,92,0)*AY22*AY7/AY9</f>
        <v>637.99776342238181</v>
      </c>
      <c r="AZ56" s="780">
        <f>+HLOOKUP(AZ4,'תחשיב עלות תפעול לשנת 2016'!$4:$148,92,0)*AZ22*AZ7/AZ9</f>
        <v>267.54892342646195</v>
      </c>
      <c r="BA56" s="780">
        <f>+HLOOKUP(BA4,'תחשיב עלות תפעול לשנת 2016'!$4:$148,92,0)*BA22*BA7/BA9</f>
        <v>262.15008366553815</v>
      </c>
      <c r="BB56" s="780">
        <f>+HLOOKUP(BB4,'תחשיב עלות תפעול לשנת 2016'!$4:$148,92,0)*BB22*BB7/BB9</f>
        <v>246.85964926851148</v>
      </c>
      <c r="BC56" s="780">
        <f>+HLOOKUP(BC4,'תחשיב עלות תפעול לשנת 2016'!$4:$148,92,0)*BC22*BC7/BC9</f>
        <v>237.52536912965442</v>
      </c>
      <c r="BD56" s="780">
        <f>+HLOOKUP(BD4,'תחשיב עלות תפעול לשנת 2016'!$4:$148,92,0)*BD22*BD7/BD9</f>
        <v>277.41325501873609</v>
      </c>
      <c r="BE56" s="780">
        <f>+HLOOKUP(BE4,'תחשיב עלות תפעול לשנת 2016'!$4:$148,92,0)*BE22*BE7/BE9</f>
        <v>371.56396673272644</v>
      </c>
      <c r="BF56" s="780">
        <f>+HLOOKUP(BF4,'תחשיב עלות תפעול לשנת 2016'!$4:$148,92,0)*BF22*BF7/BF9</f>
        <v>50.159391224477623</v>
      </c>
    </row>
    <row r="57" spans="1:58" ht="14.25" customHeight="1" x14ac:dyDescent="0.2">
      <c r="A57" s="1846"/>
      <c r="B57" s="1846"/>
      <c r="C57" s="376" t="s">
        <v>1764</v>
      </c>
      <c r="D57" s="624">
        <f>+HLOOKUP(D4,'תחשיב עלות תפעול לשנת 2016'!$4:$148,57,0)*(D11/D12)*D7</f>
        <v>0</v>
      </c>
      <c r="E57" s="624">
        <f>+HLOOKUP(E4,'תחשיב עלות תפעול לשנת 2016'!$4:$148,57,0)*(E11/E12)*E7</f>
        <v>0</v>
      </c>
      <c r="F57" s="624">
        <f>+HLOOKUP(F4,'תחשיב עלות תפעול לשנת 2016'!$4:$148,57,0)*(F11/F12)*F7</f>
        <v>191.73</v>
      </c>
      <c r="G57" s="624">
        <f>+HLOOKUP(G4,'תחשיב עלות תפעול לשנת 2016'!$4:$148,57,0)*(G11/G12)*G7</f>
        <v>227.41999999999996</v>
      </c>
      <c r="H57" s="624">
        <f>+HLOOKUP(H4,'תחשיב עלות תפעול לשנת 2016'!$4:$148,57,0)*(H11/H12)*H7</f>
        <v>1254.1299999999999</v>
      </c>
      <c r="I57" s="624">
        <f>+HLOOKUP(I4,'תחשיב עלות תפעול לשנת 2016'!$4:$148,57,0)*(I11/I12)*I7</f>
        <v>37.35</v>
      </c>
      <c r="J57" s="624">
        <f>+HLOOKUP(J4,'תחשיב עלות תפעול לשנת 2016'!$4:$148,57,0)*(J11/J12)*J7</f>
        <v>293.82</v>
      </c>
      <c r="K57" s="624">
        <f>+HLOOKUP(K4,'תחשיב עלות תפעול לשנת 2016'!$4:$148,57,0)*(K11/K12)*K7</f>
        <v>122.83999999999997</v>
      </c>
      <c r="L57" s="624">
        <f>+HLOOKUP(L4,'תחשיב עלות תפעול לשנת 2016'!$4:$148,57,0)*(L11/L12)*L7</f>
        <v>690.56</v>
      </c>
      <c r="M57" s="624">
        <f>+HLOOKUP(M4,'תחשיב עלות תפעול לשנת 2016'!$4:$148,57,0)*(M11/M12)*M7</f>
        <v>395.08</v>
      </c>
      <c r="N57" s="624">
        <f>+HLOOKUP(N4,'תחשיב עלות תפעול לשנת 2016'!$4:$148,57,0)*(N11/N12)*N7</f>
        <v>1008.4499999999999</v>
      </c>
      <c r="O57" s="624">
        <f>+HLOOKUP(O4,'תחשיב עלות תפעול לשנת 2016'!$4:$148,57,0)*(O11/O12)*O7</f>
        <v>0</v>
      </c>
      <c r="P57" s="624">
        <f>+HLOOKUP(P4,'תחשיב עלות תפעול לשנת 2016'!$4:$148,57,0)*(P11/P12)*P7</f>
        <v>211.65</v>
      </c>
      <c r="Q57" s="624">
        <f>+HLOOKUP(Q4,'תחשיב עלות תפעול לשנת 2016'!$4:$148,57,0)*(Q11/Q12)*Q7</f>
        <v>332.83</v>
      </c>
      <c r="R57" s="624">
        <f>+HLOOKUP(R4,'תחשיב עלות תפעול לשנת 2016'!$4:$148,57,0)*(R11/R12)*R7</f>
        <v>1063.23</v>
      </c>
      <c r="S57" s="624">
        <f>+HLOOKUP(S4,'תחשיב עלות תפעול לשנת 2016'!$4:$148,57,0)*(S11/S12)*S7</f>
        <v>174.29999999999998</v>
      </c>
      <c r="T57" s="624">
        <f>+HLOOKUP(T4,'תחשיב עלות תפעול לשנת 2016'!$4:$148,57,0)*(T11/T12)*T7</f>
        <v>0</v>
      </c>
      <c r="U57" s="624">
        <f>+HLOOKUP(U4,'תחשיב עלות תפעול לשנת 2016'!$4:$148,57,0)*(U11/U12)*U7</f>
        <v>1127.1399999999999</v>
      </c>
      <c r="V57" s="624">
        <f>+HLOOKUP(V4,'תחשיב עלות תפעול לשנת 2016'!$4:$148,57,0)*(V11/V12)*V7</f>
        <v>641.58999999999992</v>
      </c>
      <c r="W57" s="624">
        <f>+HLOOKUP(W4,'תחשיב עלות תפעול לשנת 2016'!$4:$148,57,0)*(W11/W12)*W7</f>
        <v>676.44999999999993</v>
      </c>
      <c r="X57" s="624">
        <f>+HLOOKUP(X4,'תחשיב עלות תפעול לשנת 2016'!$4:$148,57,0)*(X11/X12)*X7</f>
        <v>898.06</v>
      </c>
      <c r="Y57" s="624">
        <f>+HLOOKUP(Y4,'תחשיב עלות תפעול לשנת 2016'!$4:$148,57,0)*(Y11/Y12)*Y7</f>
        <v>73.039999999999992</v>
      </c>
      <c r="Z57" s="624">
        <f>+HLOOKUP(Z4,'תחשיב עלות תפעול לשנת 2016'!$4:$148,57,0)*(Z11/Z12)*Z7</f>
        <v>395.08</v>
      </c>
      <c r="AA57" s="624">
        <f>+HLOOKUP(AA4,'תחשיב עלות תפעול לשנת 2016'!$4:$148,57,0)*(AA11/AA12)*AA7</f>
        <v>141.93</v>
      </c>
      <c r="AB57" s="624">
        <f>+HLOOKUP(AB4,'תחשיב עלות תפעול לשנת 2016'!$4:$148,57,0)*(AB11/AB12)*AB7</f>
        <v>310.41999999999996</v>
      </c>
      <c r="AC57" s="624">
        <f>+HLOOKUP(AC4,'תחשיב עלות תפעול לשנת 2016'!$4:$148,57,0)*(AC11/AC12)*AC7</f>
        <v>0</v>
      </c>
      <c r="AD57" s="624">
        <f>+HLOOKUP(AD4,'תחשיב עלות תפעול לשנת 2016'!$4:$148,57,0)*(AD11/AD12)*AD7</f>
        <v>462.31000000000006</v>
      </c>
      <c r="AE57" s="624">
        <f>+HLOOKUP(AE4,'תחשיב עלות תפעול לשנת 2016'!$4:$148,57,0)*(AE11/AE12)*AE7</f>
        <v>169.32</v>
      </c>
      <c r="AF57" s="624">
        <f>+HLOOKUP(AF4,'תחשיב עלות תפעול לשנת 2016'!$4:$148,57,0)*(AF11/AF12)*AF7</f>
        <v>712.13999999999987</v>
      </c>
      <c r="AG57" s="624">
        <f>+HLOOKUP(AG4,'תחשיב עלות תפעול לשנת 2016'!$4:$148,57,0)*(AG11/AG12)*AG7</f>
        <v>570.20999999999992</v>
      </c>
      <c r="AH57" s="624">
        <f>+HLOOKUP(AH4,'תחשיב עלות תפעול לשנת 2016'!$4:$148,57,0)*(AH11/AH12)*AH7</f>
        <v>11.62</v>
      </c>
      <c r="AI57" s="624">
        <f>+HLOOKUP(AI4,'תחשיב עלות תפעול לשנת 2016'!$4:$148,57,0)*(AI11/AI12)*AI7</f>
        <v>0</v>
      </c>
      <c r="AJ57" s="624">
        <f>+HLOOKUP(AJ4,'תחשיב עלות תפעול לשנת 2016'!$4:$148,57,0)*(AJ11/AJ12)*AJ7</f>
        <v>244.85</v>
      </c>
      <c r="AK57" s="624">
        <f>+HLOOKUP(AK4,'תחשיב עלות תפעול לשנת 2016'!$4:$148,57,0)*(AK11/AK12)*AK7</f>
        <v>193.39</v>
      </c>
      <c r="AL57" s="624">
        <f>+HLOOKUP(AL4,'תחשיב עלות תפעול לשנת 2016'!$4:$148,57,0)*(AL11/AL12)*AL7</f>
        <v>297.14</v>
      </c>
      <c r="AM57" s="624">
        <f>+HLOOKUP(AM4,'תחשיב עלות תפעול לשנת 2016'!$4:$148,57,0)*(AM11/AM12)*AM7</f>
        <v>382.63</v>
      </c>
      <c r="AN57" s="624">
        <f>+HLOOKUP(AN4,'תחשיב עלות תפעול לשנת 2016'!$4:$148,57,0)*(AN11/AN12)*AN7</f>
        <v>449.85999999999996</v>
      </c>
      <c r="AO57" s="624">
        <f>+HLOOKUP(AO4,'תחשיב עלות תפעול לשנת 2016'!$4:$148,57,0)*(AO11/AO12)*AO7</f>
        <v>0</v>
      </c>
      <c r="AP57" s="624">
        <f>+HLOOKUP(AP4,'תחשיב עלות תפעול לשנת 2016'!$4:$148,57,0)*(AP11/AP12)*AP7</f>
        <v>0</v>
      </c>
      <c r="AQ57" s="624">
        <f>+HLOOKUP(AQ4,'תחשיב עלות תפעול לשנת 2016'!$4:$148,57,0)*(AQ11/AQ12)*AQ7</f>
        <v>529.54</v>
      </c>
      <c r="AR57" s="624">
        <f>+HLOOKUP(AR4,'תחשיב עלות תפעול לשנת 2016'!$4:$148,57,0)*(AR11/AR12)*AR7</f>
        <v>16.599999999999998</v>
      </c>
      <c r="AS57" s="624">
        <f>+HLOOKUP(AS4,'תחשיב עלות תפעול לשנת 2016'!$4:$148,57,0)*(AS11/AS12)*AS7</f>
        <v>624.99</v>
      </c>
      <c r="AT57" s="624">
        <f>+HLOOKUP(AT4,'תחשיב עלות תפעול לשנת 2016'!$4:$148,57,0)*(AT11/AT12)*AT7</f>
        <v>132.79999999999998</v>
      </c>
      <c r="AU57" s="624">
        <f>+HLOOKUP(AU4,'תחשיב עלות תפעול לשנת 2016'!$4:$148,57,0)*(AU11/AU12)*AU7</f>
        <v>155.20999999999998</v>
      </c>
      <c r="AV57" s="624">
        <f>+HLOOKUP(AV4,'תחשיב עלות תפעול לשנת 2016'!$4:$148,57,0)*(AV11/AV12)*AV7</f>
        <v>342.78999999999996</v>
      </c>
      <c r="AW57" s="624">
        <f>+HLOOKUP(AW4,'תחשיב עלות תפעול לשנת 2016'!$4:$148,57,0)*(AW11/AW12)*AW7</f>
        <v>222.44000000000003</v>
      </c>
      <c r="AX57" s="624">
        <f>+HLOOKUP(AX4,'תחשיב עלות תפעול לשנת 2016'!$4:$148,57,0)*(AX11/AX12)*AX7</f>
        <v>161.01999999999998</v>
      </c>
      <c r="AY57" s="624">
        <f>+HLOOKUP(AY4,'תחשיב עלות תפעול לשנת 2016'!$4:$148,57,0)*(AY11/AY12)*AY7</f>
        <v>537.78106656053251</v>
      </c>
      <c r="AZ57" s="624">
        <f>+HLOOKUP(AZ4,'תחשיב עלות תפעול לשנת 2016'!$4:$148,57,0)*(AZ11/AZ12)*AZ7</f>
        <v>317</v>
      </c>
      <c r="BA57" s="624">
        <f>+HLOOKUP(BA4,'תחשיב עלות תפעול לשנת 2016'!$4:$148,57,0)*(BA11/BA12)*BA7</f>
        <v>341.67999999999995</v>
      </c>
      <c r="BB57" s="624">
        <f>+HLOOKUP(BB4,'תחשיב עלות תפעול לשנת 2016'!$4:$148,57,0)*(BB11/BB12)*BB7</f>
        <v>0</v>
      </c>
      <c r="BC57" s="624">
        <f>+HLOOKUP(BC4,'תחשיב עלות תפעול לשנת 2016'!$4:$148,57,0)*(BC11/BC12)*BC7</f>
        <v>263.94</v>
      </c>
      <c r="BD57" s="624">
        <f>+HLOOKUP(BD4,'תחשיב עלות תפעול לשנת 2016'!$4:$148,57,0)*(BD11/BD12)*BD7</f>
        <v>487.09680768186246</v>
      </c>
      <c r="BE57" s="624">
        <f>+HLOOKUP(BE4,'תחשיב עלות תפעול לשנת 2016'!$4:$148,57,0)*(BE11/BE12)*BE7</f>
        <v>210.52364241948652</v>
      </c>
      <c r="BF57" s="624">
        <f>+HLOOKUP(BF4,'תחשיב עלות תפעול לשנת 2016'!$4:$148,57,0)*(BF11/BF12)*BF7</f>
        <v>48.14</v>
      </c>
    </row>
    <row r="58" spans="1:58" ht="12.75" customHeight="1" x14ac:dyDescent="0.2">
      <c r="A58" s="1846"/>
      <c r="B58" s="1846"/>
      <c r="C58" s="376" t="s">
        <v>1637</v>
      </c>
      <c r="D58" s="1333">
        <f>(+HLOOKUP(D4,'תחשיב עלות תפעול לשנת 2016'!$4:$148,53,0)+HLOOKUP(D4,'[13]תחשיב עלות תפעול לשנת 2015'!$A$4:$IV$150,38,0))*(D11/D12)*D7</f>
        <v>1426.5908621836461</v>
      </c>
      <c r="E58" s="1333">
        <f>(+HLOOKUP(E4,'תחשיב עלות תפעול לשנת 2016'!$4:$148,53,0)+HLOOKUP(E4,'[13]תחשיב עלות תפעול לשנת 2015'!$A$4:$IV$150,38,0))*(E11/E12)*E7</f>
        <v>1709.1829359410269</v>
      </c>
      <c r="F58" s="1333">
        <f>(+HLOOKUP(F4,'תחשיב עלות תפעול לשנת 2016'!$4:$148,53,0)+HLOOKUP(F4,'[13]תחשיב עלות תפעול לשנת 2015'!$A$4:$IV$150,38,0))*(F11/F12)*F7</f>
        <v>1130.6292959072264</v>
      </c>
      <c r="G58" s="1333">
        <f>(+HLOOKUP(G4,'תחשיב עלות תפעול לשנת 2016'!$4:$148,53,0)+HLOOKUP(G4,'[13]תחשיב עלות תפעול לשנת 2015'!$A$4:$IV$150,38,0))*(G11/G12)*G7</f>
        <v>10158.863976859155</v>
      </c>
      <c r="H58" s="1333">
        <f>(+HLOOKUP(H4,'תחשיב עלות תפעול לשנת 2016'!$4:$148,53,0)+HLOOKUP(H4,'[13]תחשיב עלות תפעול לשנת 2015'!$A$4:$IV$150,38,0))*(H11/H12)*H7</f>
        <v>2621.206757692692</v>
      </c>
      <c r="I58" s="1333">
        <f>(+HLOOKUP(I4,'תחשיב עלות תפעול לשנת 2016'!$4:$148,53,0)+HLOOKUP(I4,'[13]תחשיב עלות תפעול לשנת 2015'!$A$4:$IV$150,38,0))*(I11/I12)*I7</f>
        <v>896.14026856904593</v>
      </c>
      <c r="J58" s="1333">
        <f>(+HLOOKUP(J4,'תחשיב עלות תפעול לשנת 2016'!$4:$148,53,0)+HLOOKUP(J4,'[13]תחשיב עלות תפעול לשנת 2015'!$A$4:$IV$150,38,0))*(J11/J12)*J7</f>
        <v>1559.5490914499178</v>
      </c>
      <c r="K58" s="1333">
        <f>(+HLOOKUP(K4,'תחשיב עלות תפעול לשנת 2016'!$4:$148,53,0)+HLOOKUP(K4,'[13]תחשיב עלות תפעול לשנת 2015'!$A$4:$IV$150,38,0))*(K11/K12)*K7</f>
        <v>1279.3693695986447</v>
      </c>
      <c r="L58" s="1333">
        <f>(+HLOOKUP(L4,'תחשיב עלות תפעול לשנת 2016'!$4:$148,53,0)+HLOOKUP(L4,'[13]תחשיב עלות תפעול לשנת 2015'!$A$4:$IV$150,38,0))*(L11/L12)*L7</f>
        <v>1153.6673537558634</v>
      </c>
      <c r="M58" s="1333">
        <f>(+HLOOKUP(M4,'תחשיב עלות תפעול לשנת 2016'!$4:$148,53,0)+HLOOKUP(M4,'[13]תחשיב עלות תפעול לשנת 2015'!$A$4:$IV$150,38,0))*(M11/M12)*M7</f>
        <v>2243.6830272219513</v>
      </c>
      <c r="N58" s="1333">
        <f>(+HLOOKUP(N4,'תחשיב עלות תפעול לשנת 2016'!$4:$148,53,0)+HLOOKUP(N4,'[13]תחשיב עלות תפעול לשנת 2015'!$A$4:$IV$150,38,0))*(N11/N12)*N7</f>
        <v>3251.8009200163206</v>
      </c>
      <c r="O58" s="1333">
        <f>(+HLOOKUP(O4,'תחשיב עלות תפעול לשנת 2016'!$4:$148,53,0)+HLOOKUP(O4,'[13]תחשיב עלות תפעול לשנת 2015'!$A$4:$IV$150,38,0))*(O11/O12)*O7</f>
        <v>1669.254545520349</v>
      </c>
      <c r="P58" s="1333">
        <f>(+HLOOKUP(P4,'תחשיב עלות תפעול לשנת 2016'!$4:$148,53,0)+HLOOKUP(P4,'[13]תחשיב עלות תפעול לשנת 2015'!$A$4:$IV$150,38,0))*(P11/P12)*P7</f>
        <v>1218.1861409646681</v>
      </c>
      <c r="Q58" s="1333">
        <f>(+HLOOKUP(Q4,'תחשיב עלות תפעול לשנת 2016'!$4:$148,53,0)+HLOOKUP(Q4,'[13]תחשיב עלות תפעול לשנת 2015'!$A$4:$IV$150,38,0))*(Q11/Q12)*Q7</f>
        <v>1405.7289582730666</v>
      </c>
      <c r="R58" s="1333">
        <f>(+HLOOKUP(R4,'תחשיב עלות תפעול לשנת 2016'!$4:$148,53,0)+HLOOKUP(R4,'[13]תחשיב עלות תפעול לשנת 2015'!$A$4:$IV$150,38,0))*(R11/R12)*R7</f>
        <v>5810.8064673777571</v>
      </c>
      <c r="S58" s="1333">
        <f>(+HLOOKUP(S4,'תחשיב עלות תפעול לשנת 2016'!$4:$148,53,0)+HLOOKUP(S4,'[13]תחשיב עלות תפעול לשנת 2015'!$A$4:$IV$150,38,0))*(S11/S12)*S7</f>
        <v>2955.507933898753</v>
      </c>
      <c r="T58" s="1333">
        <f>(+HLOOKUP(T4,'תחשיב עלות תפעול לשנת 2016'!$4:$148,53,0)+HLOOKUP(T4,'[13]תחשיב עלות תפעול לשנת 2015'!$A$4:$IV$150,38,0))*(T11/T12)*T7</f>
        <v>4414.8435628213301</v>
      </c>
      <c r="U58" s="1333">
        <f>(+HLOOKUP(U4,'תחשיב עלות תפעול לשנת 2016'!$4:$148,53,0)+HLOOKUP(U4,'[13]תחשיב עלות תפעול לשנת 2015'!$A$4:$IV$150,38,0))*(U11/U12)*U7</f>
        <v>4185.7332458125156</v>
      </c>
      <c r="V58" s="1333">
        <f>(+HLOOKUP(V4,'תחשיב עלות תפעול לשנת 2016'!$4:$148,53,0)+HLOOKUP(V4,'[13]תחשיב עלות תפעול לשנת 2015'!$A$4:$IV$150,38,0))*(V11/V12)*V7</f>
        <v>1754.3899388127129</v>
      </c>
      <c r="W58" s="1333">
        <f>(+HLOOKUP(W4,'תחשיב עלות תפעול לשנת 2016'!$4:$148,53,0)+HLOOKUP(W4,'[13]תחשיב עלות תפעול לשנת 2015'!$A$4:$IV$150,38,0))*(W11/W12)*W7</f>
        <v>2557.0845458695126</v>
      </c>
      <c r="X58" s="1333">
        <f>(+HLOOKUP(X4,'תחשיב עלות תפעול לשנת 2016'!$4:$148,53,0)+HLOOKUP(X4,'[13]תחשיב עלות תפעול לשנת 2015'!$A$4:$IV$150,38,0))*(X11/X12)*X7</f>
        <v>1720.979551842717</v>
      </c>
      <c r="Y58" s="1333">
        <f>(+HLOOKUP(Y4,'תחשיב עלות תפעול לשנת 2016'!$4:$148,53,0)+HLOOKUP(Y4,'[13]תחשיב עלות תפעול לשנת 2015'!$A$4:$IV$150,38,0))*(Y11/Y12)*Y7</f>
        <v>1839.4095579317102</v>
      </c>
      <c r="Z58" s="1333">
        <f>(+HLOOKUP(Z4,'תחשיב עלות תפעול לשנת 2016'!$4:$148,53,0)+HLOOKUP(Z4,'[13]תחשיב עלות תפעול לשנת 2015'!$A$4:$IV$150,38,0))*(Z11/Z12)*Z7</f>
        <v>1143.0062908072287</v>
      </c>
      <c r="AA58" s="1333">
        <f>(+HLOOKUP(AA4,'תחשיב עלות תפעול לשנת 2016'!$4:$148,53,0)+HLOOKUP(AA4,'[13]תחשיב עלות תפעול לשנת 2015'!$A$4:$IV$150,38,0))*(AA11/AA12)*AA7</f>
        <v>994.33131523139355</v>
      </c>
      <c r="AB58" s="1333">
        <f>(+HLOOKUP(AB4,'תחשיב עלות תפעול לשנת 2016'!$4:$148,53,0)+HLOOKUP(AB4,'[13]תחשיב עלות תפעול לשנת 2015'!$A$4:$IV$150,38,0))*(AB11/AB12)*AB7</f>
        <v>1667.3904074635802</v>
      </c>
      <c r="AC58" s="1333">
        <f>(+HLOOKUP(AC4,'תחשיב עלות תפעול לשנת 2016'!$4:$148,53,0)+HLOOKUP(AC4,'[13]תחשיב עלות תפעול לשנת 2015'!$A$4:$IV$150,38,0))*(AC11/AC12)*AC7</f>
        <v>746.3363030325188</v>
      </c>
      <c r="AD58" s="1333">
        <f>(+HLOOKUP(AD4,'תחשיב עלות תפעול לשנת 2016'!$4:$148,53,0)+HLOOKUP(AD4,'[13]תחשיב עלות תפעול לשנת 2015'!$A$4:$IV$150,38,0))*(AD11/AD12)*AD7</f>
        <v>2023.4496215775189</v>
      </c>
      <c r="AE58" s="1333">
        <f>(+HLOOKUP(AE4,'תחשיב עלות תפעול לשנת 2016'!$4:$148,53,0)+HLOOKUP(AE4,'[13]תחשיב עלות תפעול לשנת 2015'!$A$4:$IV$150,38,0))*(AE11/AE12)*AE7</f>
        <v>883.56018327622428</v>
      </c>
      <c r="AF58" s="1333">
        <f>(+HLOOKUP(AF4,'תחשיב עלות תפעול לשנת 2016'!$4:$148,53,0)+HLOOKUP(AF4,'[13]תחשיב עלות תפעול לשנת 2015'!$A$4:$IV$150,38,0))*(AF11/AF12)*AF7</f>
        <v>8103.0026640218648</v>
      </c>
      <c r="AG58" s="1333">
        <f>(+HLOOKUP(AG4,'תחשיב עלות תפעול לשנת 2016'!$4:$148,53,0)+HLOOKUP(AG4,'[13]תחשיב עלות תפעול לשנת 2015'!$A$4:$IV$150,38,0))*(AG11/AG12)*AG7</f>
        <v>1088.4503709261091</v>
      </c>
      <c r="AH58" s="1333">
        <f>(+HLOOKUP(AH4,'תחשיב עלות תפעול לשנת 2016'!$4:$148,53,0)+HLOOKUP(AH4,'[13]תחשיב עלות תפעול לשנת 2015'!$A$4:$IV$150,38,0))*(AH11/AH12)*AH7</f>
        <v>549.0688842086912</v>
      </c>
      <c r="AI58" s="1333">
        <f>(+HLOOKUP(AI4,'תחשיב עלות תפעול לשנת 2016'!$4:$148,53,0)+HLOOKUP(AI4,'[13]תחשיב עלות תפעול לשנת 2015'!$A$4:$IV$150,38,0))*(AI11/AI12)*AI7</f>
        <v>991.7756752584495</v>
      </c>
      <c r="AJ58" s="1333">
        <f>(+HLOOKUP(AJ4,'תחשיב עלות תפעול לשנת 2016'!$4:$148,53,0)+HLOOKUP(AJ4,'[13]תחשיב עלות תפעול לשנת 2015'!$A$4:$IV$150,38,0))*(AJ11/AJ12)*AJ7</f>
        <v>1123.3814330655771</v>
      </c>
      <c r="AK58" s="1333">
        <f>(+HLOOKUP(AK4,'תחשיב עלות תפעול לשנת 2016'!$4:$148,53,0)+HLOOKUP(AK4,'[13]תחשיב עלות תפעול לשנת 2015'!$A$4:$IV$150,38,0))*(AK11/AK12)*AK7</f>
        <v>714.55254624266399</v>
      </c>
      <c r="AL58" s="1333">
        <f>(+HLOOKUP(AL4,'תחשיב עלות תפעול לשנת 2016'!$4:$148,53,0)+HLOOKUP(AL4,'[13]תחשיב עלות תפעול לשנת 2015'!$A$4:$IV$150,38,0))*(AL11/AL12)*AL7</f>
        <v>610.02001741426204</v>
      </c>
      <c r="AM58" s="1333">
        <f>(+HLOOKUP(AM4,'תחשיב עלות תפעול לשנת 2016'!$4:$148,53,0)+HLOOKUP(AM4,'[13]תחשיב עלות תפעול לשנת 2015'!$A$4:$IV$150,38,0))*(AM11/AM12)*AM7</f>
        <v>9203.2242886748645</v>
      </c>
      <c r="AN58" s="1333">
        <f>(+HLOOKUP(AN4,'תחשיב עלות תפעול לשנת 2016'!$4:$148,53,0)+HLOOKUP(AN4,'[13]תחשיב עלות תפעול לשנת 2015'!$A$4:$IV$150,38,0))*(AN11/AN12)*AN7</f>
        <v>1648.1677909972261</v>
      </c>
      <c r="AO58" s="1333">
        <f>(+HLOOKUP(AO4,'תחשיב עלות תפעול לשנת 2016'!$4:$148,53,0)+HLOOKUP(AO4,'[13]תחשיב עלות תפעול לשנת 2015'!$A$4:$IV$150,38,0))*(AO11/AO12)*AO7</f>
        <v>2408.647135880723</v>
      </c>
      <c r="AP58" s="1333">
        <f>(+HLOOKUP(AP4,'תחשיב עלות תפעול לשנת 2016'!$4:$148,53,0)+HLOOKUP(AP4,'[13]תחשיב עלות תפעול לשנת 2015'!$A$4:$IV$150,38,0))*(AP11/AP12)*AP7</f>
        <v>783.74988734942292</v>
      </c>
      <c r="AQ58" s="1333">
        <f>(+HLOOKUP(AQ4,'תחשיב עלות תפעול לשנת 2016'!$4:$148,53,0)+HLOOKUP(AQ4,'[13]תחשיב עלות תפעול לשנת 2015'!$A$4:$IV$150,38,0))*(AQ11/AQ12)*AQ7</f>
        <v>1087.4770311796228</v>
      </c>
      <c r="AR58" s="1333">
        <f>(+HLOOKUP(AR4,'תחשיב עלות תפעול לשנת 2016'!$4:$148,53,0)+HLOOKUP(AR4,'[13]תחשיב עלות תפעול לשנת 2015'!$A$4:$IV$150,38,0))*(AR11/AR12)*AR7</f>
        <v>1120.0387721655397</v>
      </c>
      <c r="AS58" s="1333">
        <f>(+HLOOKUP(AS4,'תחשיב עלות תפעול לשנת 2016'!$4:$148,53,0)+HLOOKUP(AS4,'[13]תחשיב עלות תפעול לשנת 2015'!$A$4:$IV$150,38,0))*(AS11/AS12)*AS7</f>
        <v>2742.6705849425584</v>
      </c>
      <c r="AT58" s="1333">
        <f>(+HLOOKUP(AT4,'תחשיב עלות תפעול לשנת 2016'!$4:$148,53,0)+HLOOKUP(AT4,'[13]תחשיב עלות תפעול לשנת 2015'!$A$4:$IV$150,38,0))*(AT11/AT12)*AT7</f>
        <v>914.29230260201632</v>
      </c>
      <c r="AU58" s="1333">
        <f>(+HLOOKUP(AU4,'תחשיב עלות תפעול לשנת 2016'!$4:$148,53,0)+HLOOKUP(AU4,'[13]תחשיב עלות תפעול לשנת 2015'!$A$4:$IV$150,38,0))*(AU11/AU12)*AU7</f>
        <v>566.47357614414602</v>
      </c>
      <c r="AV58" s="1333">
        <f>(+HLOOKUP(AV4,'תחשיב עלות תפעול לשנת 2016'!$4:$148,53,0)+HLOOKUP(AV4,'[13]תחשיב עלות תפעול לשנת 2015'!$A$4:$IV$150,38,0))*(AV11/AV12)*AV7</f>
        <v>1238.0474696806159</v>
      </c>
      <c r="AW58" s="1333">
        <f>(+HLOOKUP(AW4,'תחשיב עלות תפעול לשנת 2016'!$4:$148,53,0)+HLOOKUP(AW4,'[13]תחשיב עלות תפעול לשנת 2015'!$A$4:$IV$150,38,0))*(AW11/AW12)*AW7</f>
        <v>1543.6431650362388</v>
      </c>
      <c r="AX58" s="1333">
        <f>(+HLOOKUP(AX4,'תחשיב עלות תפעול לשנת 2016'!$4:$148,53,0)+HLOOKUP(AX4,'[13]תחשיב עלות תפעול לשנת 2015'!$A$4:$IV$150,38,0))*(AX11/AX12)*AX7</f>
        <v>1742.328604998278</v>
      </c>
      <c r="AY58" s="1333">
        <f>(+HLOOKUP(AY4,'תחשיב עלות תפעול לשנת 2016'!$4:$148,53,0)+HLOOKUP(AY4,'[13]תחשיב עלות תפעול לשנת 2015'!$A$4:$IV$150,38,0))*(AY11/AY12)*AY7</f>
        <v>2659.9308815522772</v>
      </c>
      <c r="AZ58" s="1333">
        <f>(+HLOOKUP(AZ4,'תחשיב עלות תפעול לשנת 2016'!$4:$148,53,0)+HLOOKUP(AZ4,'[13]תחשיב עלות תפעול לשנת 2015'!$A$4:$IV$150,38,0))*(AZ11/AZ12)*AZ7</f>
        <v>1687.4847073432379</v>
      </c>
      <c r="BA58" s="1333">
        <f>(+HLOOKUP(BA4,'תחשיב עלות תפעול לשנת 2016'!$4:$148,53,0)+HLOOKUP(BA4,'[13]תחשיב עלות תפעול לשנת 2015'!$A$4:$IV$150,38,0))*(BA11/BA12)*BA7</f>
        <v>2267.7772474403969</v>
      </c>
      <c r="BB58" s="1333">
        <f>(+HLOOKUP(BB4,'תחשיב עלות תפעול לשנת 2016'!$4:$148,53,0)+HLOOKUP(BB4,'[13]תחשיב עלות תפעול לשנת 2015'!$A$4:$IV$150,38,0))*(BB11/BB12)*BB7</f>
        <v>861.79864242888561</v>
      </c>
      <c r="BC58" s="1333">
        <f>(+HLOOKUP(BC4,'תחשיב עלות תפעול לשנת 2016'!$4:$148,53,0)+HLOOKUP(BC4,'[13]תחשיב עלות תפעול לשנת 2015'!$A$4:$IV$150,38,0))*(BC11/BC12)*BC7</f>
        <v>685.71850328918561</v>
      </c>
      <c r="BD58" s="1333">
        <f>(+HLOOKUP(BD4,'תחשיב עלות תפעול לשנת 2016'!$4:$148,53,0)+HLOOKUP(BD4,'[13]תחשיב עלות תפעול לשנת 2015'!$A$4:$IV$150,38,0))*(BD11/BD12)*BD7</f>
        <v>1783.0989386834915</v>
      </c>
      <c r="BE58" s="1333">
        <f>(+HLOOKUP(BE4,'תחשיב עלות תפעול לשנת 2016'!$4:$148,53,0)+HLOOKUP(BE4,'[13]תחשיב עלות תפעול לשנת 2015'!$A$4:$IV$150,38,0))*(BE11/BE12)*BE7</f>
        <v>2130.8769639241864</v>
      </c>
      <c r="BF58" s="1333">
        <f>(+HLOOKUP(BF4,'תחשיב עלות תפעול לשנת 2016'!$4:$148,53,0)+HLOOKUP(BF4,'[13]תחשיב עלות תפעול לשנת 2015'!$A$4:$IV$150,38,0))*(BF11/BF12)*BF7</f>
        <v>217.57294409156736</v>
      </c>
    </row>
    <row r="59" spans="1:58" ht="12.75" customHeight="1" x14ac:dyDescent="0.2">
      <c r="A59" s="1846"/>
      <c r="B59" s="1846"/>
      <c r="C59" s="376" t="s">
        <v>1765</v>
      </c>
      <c r="D59" s="627">
        <f>(+HLOOKUP(D4,'תחשיב עלות תפעול לשנת 2016'!$4:$164,43,0)+HLOOKUP(D4,'תחשיב עלות תפעול לשנת 2016'!$4:$148,48,0))*(D11/D12)*D7</f>
        <v>0</v>
      </c>
      <c r="E59" s="627">
        <f>(+HLOOKUP(E4,'תחשיב עלות תפעול לשנת 2016'!$4:$164,43,0)+HLOOKUP(E4,'תחשיב עלות תפעול לשנת 2016'!$4:$148,48,0))*(E11/E12)*E7</f>
        <v>207.07432000000003</v>
      </c>
      <c r="F59" s="627">
        <f>(+HLOOKUP(F4,'תחשיב עלות תפעול לשנת 2016'!$4:$164,43,0)+HLOOKUP(F4,'תחשיב עלות תפעול לשנת 2016'!$4:$148,48,0))*(F11/F12)*F7</f>
        <v>310.40967999999998</v>
      </c>
      <c r="G59" s="627">
        <f>(+HLOOKUP(G4,'תחשיב עלות תפעול לשנת 2016'!$4:$164,43,0)+HLOOKUP(G4,'תחשיב עלות תפעול לשנת 2016'!$4:$148,48,0))*(G11/G12)*G7</f>
        <v>1321.824505904762</v>
      </c>
      <c r="H59" s="627">
        <f>(+HLOOKUP(H4,'תחשיב עלות תפעול לשנת 2016'!$4:$164,43,0)+HLOOKUP(H4,'תחשיב עלות תפעול לשנת 2016'!$4:$148,48,0))*(H11/H12)*H7</f>
        <v>2129.4137142857148</v>
      </c>
      <c r="I59" s="627">
        <f>(+HLOOKUP(I4,'תחשיב עלות תפעול לשנת 2016'!$4:$164,43,0)+HLOOKUP(I4,'תחשיב עלות תפעול לשנת 2016'!$4:$148,48,0))*(I11/I12)*I7</f>
        <v>51.876571428571431</v>
      </c>
      <c r="J59" s="627">
        <f>(+HLOOKUP(J4,'תחשיב עלות תפעול לשנת 2016'!$4:$164,43,0)+HLOOKUP(J4,'תחשיב עלות תפעול לשנת 2016'!$4:$148,48,0))*(J11/J12)*J7</f>
        <v>498.40244000000001</v>
      </c>
      <c r="K59" s="627">
        <f>(+HLOOKUP(K4,'תחשיב עלות תפעול לשנת 2016'!$4:$164,43,0)+HLOOKUP(K4,'תחשיב עלות תפעול לשנת 2016'!$4:$148,48,0))*(K11/K12)*K7</f>
        <v>420.21161142857153</v>
      </c>
      <c r="L59" s="627">
        <f>(+HLOOKUP(L4,'תחשיב עלות תפעול לשנת 2016'!$4:$164,43,0)+HLOOKUP(L4,'תחשיב עלות תפעול לשנת 2016'!$4:$148,48,0))*(L11/L12)*L7</f>
        <v>589.95892000000003</v>
      </c>
      <c r="M59" s="627">
        <f>(+HLOOKUP(M4,'תחשיב עלות תפעול לשנת 2016'!$4:$164,43,0)+HLOOKUP(M4,'תחשיב עלות תפעול לשנת 2016'!$4:$148,48,0))*(M11/M12)*M7</f>
        <v>671.52031771428585</v>
      </c>
      <c r="N59" s="627">
        <f>(+HLOOKUP(N4,'תחשיב עלות תפעול לשנת 2016'!$4:$164,43,0)+HLOOKUP(N4,'תחשיב עלות תפעול לשנת 2016'!$4:$148,48,0))*(N11/N12)*N7</f>
        <v>2047.4434285714287</v>
      </c>
      <c r="O59" s="627">
        <f>(+HLOOKUP(O4,'תחשיב עלות תפעול לשנת 2016'!$4:$164,43,0)+HLOOKUP(O4,'תחשיב עלות תפעול לשנת 2016'!$4:$148,48,0))*(O11/O12)*O7</f>
        <v>668.38092000000006</v>
      </c>
      <c r="P59" s="627">
        <f>(+HLOOKUP(P4,'תחשיב עלות תפעול לשנת 2016'!$4:$164,43,0)+HLOOKUP(P4,'תחשיב עלות תפעול לשנת 2016'!$4:$148,48,0))*(P11/P12)*P7</f>
        <v>402.34692571428565</v>
      </c>
      <c r="Q59" s="627">
        <f>(+HLOOKUP(Q4,'תחשיב עלות תפעול לשנת 2016'!$4:$164,43,0)+HLOOKUP(Q4,'תחשיב עלות תפעול לשנת 2016'!$4:$148,48,0))*(Q11/Q12)*Q7</f>
        <v>897.89297695238088</v>
      </c>
      <c r="R59" s="627">
        <f>(+HLOOKUP(R4,'תחשיב עלות תפעול לשנת 2016'!$4:$164,43,0)+HLOOKUP(R4,'תחשיב עלות תפעול לשנת 2016'!$4:$148,48,0))*(R11/R12)*R7</f>
        <v>1052.3268746666668</v>
      </c>
      <c r="S59" s="627">
        <f>(+HLOOKUP(S4,'תחשיב עלות תפעול לשנת 2016'!$4:$164,43,0)+HLOOKUP(S4,'תחשיב עלות תפעול לשנת 2016'!$4:$148,48,0))*(S11/S12)*S7</f>
        <v>370.67762285714286</v>
      </c>
      <c r="T59" s="627">
        <f>(+HLOOKUP(T4,'תחשיב עלות תפעול לשנת 2016'!$4:$164,43,0)+HLOOKUP(T4,'תחשיב עלות תפעול לשנת 2016'!$4:$148,48,0))*(T11/T12)*T7</f>
        <v>0</v>
      </c>
      <c r="U59" s="627">
        <f>(+HLOOKUP(U4,'תחשיב עלות תפעול לשנת 2016'!$4:$164,43,0)+HLOOKUP(U4,'תחשיב עלות תפעול לשנת 2016'!$4:$148,48,0))*(U11/U12)*U7</f>
        <v>1658.7897142857144</v>
      </c>
      <c r="V59" s="627">
        <f>(+HLOOKUP(V4,'תחשיב עלות תפעול לשנת 2016'!$4:$164,43,0)+HLOOKUP(V4,'תחשיב עלות תפעול לשנת 2016'!$4:$148,48,0))*(V11/V12)*V7</f>
        <v>1383.6377142857143</v>
      </c>
      <c r="W59" s="627">
        <f>(+HLOOKUP(W4,'תחשיב עלות תפעול לשנת 2016'!$4:$164,43,0)+HLOOKUP(W4,'תחשיב עלות תפעול לשנת 2016'!$4:$148,48,0))*(W11/W12)*W7</f>
        <v>397.43082000000004</v>
      </c>
      <c r="X59" s="627">
        <f>(+HLOOKUP(X4,'תחשיב עלות תפעול לשנת 2016'!$4:$164,43,0)+HLOOKUP(X4,'תחשיב עלות תפעול לשנת 2016'!$4:$148,48,0))*(X11/X12)*X7</f>
        <v>772.43832000000009</v>
      </c>
      <c r="Y59" s="627">
        <f>(+HLOOKUP(Y4,'תחשיב עלות תפעול לשנת 2016'!$4:$164,43,0)+HLOOKUP(Y4,'תחשיב עלות תפעול לשנת 2016'!$4:$148,48,0))*(Y11/Y12)*Y7</f>
        <v>385.06082742857149</v>
      </c>
      <c r="Z59" s="627">
        <f>(+HLOOKUP(Z4,'תחשיב עלות תפעול לשנת 2016'!$4:$164,43,0)+HLOOKUP(Z4,'תחשיב עלות תפעול לשנת 2016'!$4:$148,48,0))*(Z11/Z12)*Z7</f>
        <v>811.49275428571411</v>
      </c>
      <c r="AA59" s="627">
        <f>(+HLOOKUP(AA4,'תחשיב עלות תפעול לשנת 2016'!$4:$164,43,0)+HLOOKUP(AA4,'תחשיב עלות תפעול לשנת 2016'!$4:$148,48,0))*(AA11/AA12)*AA7</f>
        <v>381.65257142857143</v>
      </c>
      <c r="AB59" s="627">
        <f>(+HLOOKUP(AB4,'תחשיב עלות תפעול לשנת 2016'!$4:$164,43,0)+HLOOKUP(AB4,'תחשיב עלות תפעול לשנת 2016'!$4:$148,48,0))*(AB11/AB12)*AB7</f>
        <v>838.57809523809522</v>
      </c>
      <c r="AC59" s="627">
        <f>(+HLOOKUP(AC4,'תחשיב עלות תפעול לשנת 2016'!$4:$164,43,0)+HLOOKUP(AC4,'תחשיב עלות תפעול לשנת 2016'!$4:$148,48,0))*(AC11/AC12)*AC7</f>
        <v>93.965714285714299</v>
      </c>
      <c r="AD59" s="627">
        <f>(+HLOOKUP(AD4,'תחשיב עלות תפעול לשנת 2016'!$4:$164,43,0)+HLOOKUP(AD4,'תחשיב עלות תפעול לשנת 2016'!$4:$148,48,0))*(AD11/AD12)*AD7</f>
        <v>998.89813714285719</v>
      </c>
      <c r="AE59" s="627">
        <f>(+HLOOKUP(AE4,'תחשיב עלות תפעול לשנת 2016'!$4:$164,43,0)+HLOOKUP(AE4,'תחשיב עלות תפעול לשנת 2016'!$4:$148,48,0))*(AE11/AE12)*AE7</f>
        <v>528.23228342857146</v>
      </c>
      <c r="AF59" s="627">
        <f>(+HLOOKUP(AF4,'תחשיב עלות תפעול לשנת 2016'!$4:$164,43,0)+HLOOKUP(AF4,'תחשיב עלות תפעול לשנת 2016'!$4:$148,48,0))*(AF11/AF12)*AF7</f>
        <v>1843.3381470476188</v>
      </c>
      <c r="AG59" s="627">
        <f>(+HLOOKUP(AG4,'תחשיב עלות תפעול לשנת 2016'!$4:$164,43,0)+HLOOKUP(AG4,'תחשיב עלות תפעול לשנת 2016'!$4:$148,48,0))*(AG11/AG12)*AG7</f>
        <v>835.69809523809533</v>
      </c>
      <c r="AH59" s="627">
        <f>(+HLOOKUP(AH4,'תחשיב עלות תפעול לשנת 2016'!$4:$164,43,0)+HLOOKUP(AH4,'תחשיב עלות תפעול לשנת 2016'!$4:$148,48,0))*(AH11/AH12)*AH7</f>
        <v>122.01117847619048</v>
      </c>
      <c r="AI59" s="627">
        <f>(+HLOOKUP(AI4,'תחשיב עלות תפעול לשנת 2016'!$4:$164,43,0)+HLOOKUP(AI4,'תחשיב עלות תפעול לשנת 2016'!$4:$148,48,0))*(AI11/AI12)*AI7</f>
        <v>62.375439999999998</v>
      </c>
      <c r="AJ59" s="627">
        <f>(+HLOOKUP(AJ4,'תחשיב עלות תפעול לשנת 2016'!$4:$164,43,0)+HLOOKUP(AJ4,'תחשיב עלות תפעול לשנת 2016'!$4:$148,48,0))*(AJ11/AJ12)*AJ7</f>
        <v>1268.1004514285717</v>
      </c>
      <c r="AK59" s="627">
        <f>(+HLOOKUP(AK4,'תחשיב עלות תפעול לשנת 2016'!$4:$164,43,0)+HLOOKUP(AK4,'תחשיב עלות תפעול לשנת 2016'!$4:$148,48,0))*(AK11/AK12)*AK7</f>
        <v>662.87762285714291</v>
      </c>
      <c r="AL59" s="627">
        <f>(+HLOOKUP(AL4,'תחשיב עלות תפעול לשנת 2016'!$4:$164,43,0)+HLOOKUP(AL4,'תחשיב עלות תפעול לשנת 2016'!$4:$148,48,0))*(AL11/AL12)*AL7</f>
        <v>310.65822857142854</v>
      </c>
      <c r="AM59" s="627">
        <f>(+HLOOKUP(AM4,'תחשיב עלות תפעול לשנת 2016'!$4:$164,43,0)+HLOOKUP(AM4,'תחשיב עלות תפעול לשנת 2016'!$4:$148,48,0))*(AM11/AM12)*AM7</f>
        <v>689.97385714285724</v>
      </c>
      <c r="AN59" s="627">
        <f>(+HLOOKUP(AN4,'תחשיב עלות תפעול לשנת 2016'!$4:$164,43,0)+HLOOKUP(AN4,'תחשיב עלות תפעול לשנת 2016'!$4:$148,48,0))*(AN11/AN12)*AN7</f>
        <v>452.65243347619059</v>
      </c>
      <c r="AO59" s="627">
        <f>(+HLOOKUP(AO4,'תחשיב עלות תפעול לשנת 2016'!$4:$164,43,0)+HLOOKUP(AO4,'תחשיב עלות תפעול לשנת 2016'!$4:$148,48,0))*(AO11/AO12)*AO7</f>
        <v>251.0355657142857</v>
      </c>
      <c r="AP59" s="627">
        <f>(+HLOOKUP(AP4,'תחשיב עלות תפעול לשנת 2016'!$4:$164,43,0)+HLOOKUP(AP4,'תחשיב עלות תפעול לשנת 2016'!$4:$148,48,0))*(AP11/AP12)*AP7</f>
        <v>93.571809523809549</v>
      </c>
      <c r="AQ59" s="627">
        <f>(+HLOOKUP(AQ4,'תחשיב עלות תפעול לשנת 2016'!$4:$164,43,0)+HLOOKUP(AQ4,'תחשיב עלות תפעול לשנת 2016'!$4:$148,48,0))*(AQ11/AQ12)*AQ7</f>
        <v>429.74390857142868</v>
      </c>
      <c r="AR59" s="627">
        <f>(+HLOOKUP(AR4,'תחשיב עלות תפעול לשנת 2016'!$4:$164,43,0)+HLOOKUP(AR4,'תחשיב עלות תפעול לשנת 2016'!$4:$148,48,0))*(AR11/AR12)*AR7</f>
        <v>171.67261904761907</v>
      </c>
      <c r="AS59" s="627">
        <f>(+HLOOKUP(AS4,'תחשיב עלות תפעול לשנת 2016'!$4:$164,43,0)+HLOOKUP(AS4,'תחשיב עלות תפעול לשנת 2016'!$4:$148,48,0))*(AS11/AS12)*AS7</f>
        <v>2568.8377100000002</v>
      </c>
      <c r="AT59" s="627">
        <f>(+HLOOKUP(AT4,'תחשיב עלות תפעול לשנת 2016'!$4:$164,43,0)+HLOOKUP(AT4,'תחשיב עלות תפעול לשנת 2016'!$4:$148,48,0))*(AT11/AT12)*AT7</f>
        <v>869.91693714285702</v>
      </c>
      <c r="AU59" s="627">
        <f>(+HLOOKUP(AU4,'תחשיב עלות תפעול לשנת 2016'!$4:$164,43,0)+HLOOKUP(AU4,'תחשיב עלות תפעול לשנת 2016'!$4:$148,48,0))*(AU11/AU12)*AU7</f>
        <v>244.23260952380954</v>
      </c>
      <c r="AV59" s="627">
        <f>(+HLOOKUP(AV4,'תחשיב עלות תפעול לשנת 2016'!$4:$164,43,0)+HLOOKUP(AV4,'תחשיב עלות תפעול לשנת 2016'!$4:$148,48,0))*(AV11/AV12)*AV7</f>
        <v>52.422380952380948</v>
      </c>
      <c r="AW59" s="627">
        <f>(+HLOOKUP(AW4,'תחשיב עלות תפעול לשנת 2016'!$4:$164,43,0)+HLOOKUP(AW4,'תחשיב עלות תפעול לשנת 2016'!$4:$148,48,0))*(AW11/AW12)*AW7</f>
        <v>217.81397999999999</v>
      </c>
      <c r="AX59" s="627">
        <f>(+HLOOKUP(AX4,'תחשיב עלות תפעול לשנת 2016'!$4:$164,43,0)+HLOOKUP(AX4,'תחשיב עלות תפעול לשנת 2016'!$4:$148,48,0))*(AX11/AX12)*AX7</f>
        <v>184.44772</v>
      </c>
      <c r="AY59" s="627">
        <f>(+HLOOKUP(AY4,'תחשיב עלות תפעול לשנת 2016'!$4:$164,43,0)+HLOOKUP(AY4,'תחשיב עלות תפעול לשנת 2016'!$4:$148,48,0))*(AY11/AY12)*AY7</f>
        <v>391.660480101389</v>
      </c>
      <c r="AZ59" s="627">
        <f>(+HLOOKUP(AZ4,'תחשיב עלות תפעול לשנת 2016'!$4:$164,43,0)+HLOOKUP(AZ4,'תחשיב עלות תפעול לשנת 2016'!$4:$148,48,0))*(AZ11/AZ12)*AZ7</f>
        <v>650.7237825714285</v>
      </c>
      <c r="BA59" s="627">
        <f>(+HLOOKUP(BA4,'תחשיב עלות תפעול לשנת 2016'!$4:$164,43,0)+HLOOKUP(BA4,'תחשיב עלות תפעול לשנת 2016'!$4:$148,48,0))*(BA11/BA12)*BA7</f>
        <v>435.86045733333339</v>
      </c>
      <c r="BB59" s="627">
        <f>(+HLOOKUP(BB4,'תחשיב עלות תפעול לשנת 2016'!$4:$164,43,0)+HLOOKUP(BB4,'תחשיב עלות תפעול לשנת 2016'!$4:$148,48,0))*(BB11/BB12)*BB7</f>
        <v>719.64380952380975</v>
      </c>
      <c r="BC59" s="627">
        <f>(+HLOOKUP(BC4,'תחשיב עלות תפעול לשנת 2016'!$4:$164,43,0)+HLOOKUP(BC4,'תחשיב עלות תפעול לשנת 2016'!$4:$148,48,0))*(BC11/BC12)*BC7</f>
        <v>864.23885999999993</v>
      </c>
      <c r="BD59" s="627">
        <f>(+HLOOKUP(BD4,'תחשיב עלות תפעול לשנת 2016'!$4:$164,43,0)+HLOOKUP(BD4,'תחשיב עלות תפעול לשנת 2016'!$4:$148,48,0))*(BD11/BD12)*BD7</f>
        <v>839.45973782612907</v>
      </c>
      <c r="BE59" s="627">
        <f>(+HLOOKUP(BE4,'תחשיב עלות תפעול לשנת 2016'!$4:$164,43,0)+HLOOKUP(BE4,'תחשיב עלות תפעול לשנת 2016'!$4:$148,48,0))*(BE11/BE12)*BE7</f>
        <v>631.4778669062714</v>
      </c>
      <c r="BF59" s="627">
        <f>(+HLOOKUP(BF4,'תחשיב עלות תפעול לשנת 2016'!$4:$164,43,0)+HLOOKUP(BF4,'תחשיב עלות תפעול לשנת 2016'!$4:$148,48,0))*(BF11/BF12)*BF7</f>
        <v>193.03114285714287</v>
      </c>
    </row>
    <row r="60" spans="1:58" ht="12.75" customHeight="1" x14ac:dyDescent="0.2">
      <c r="A60" s="1846"/>
      <c r="B60" s="1846"/>
      <c r="C60" s="376" t="s">
        <v>1642</v>
      </c>
      <c r="D60" s="1333"/>
      <c r="E60" s="1333"/>
      <c r="F60" s="1333"/>
      <c r="G60" s="1333"/>
      <c r="H60" s="1333"/>
      <c r="I60" s="1333"/>
      <c r="J60" s="1333"/>
      <c r="K60" s="1333"/>
      <c r="L60" s="1333"/>
      <c r="M60" s="1333"/>
      <c r="N60" s="1333"/>
      <c r="O60" s="1333"/>
      <c r="P60" s="1333"/>
      <c r="Q60" s="1333"/>
      <c r="R60" s="1333"/>
      <c r="S60" s="1333"/>
      <c r="T60" s="1333"/>
      <c r="U60" s="1333"/>
      <c r="V60" s="1333"/>
      <c r="W60" s="1333"/>
      <c r="X60" s="1333"/>
      <c r="Y60" s="1333"/>
      <c r="Z60" s="1333"/>
      <c r="AA60" s="1333"/>
      <c r="AB60" s="1333"/>
      <c r="AC60" s="1333"/>
      <c r="AD60" s="1333"/>
      <c r="AE60" s="1333"/>
      <c r="AF60" s="1333"/>
      <c r="AG60" s="1333"/>
      <c r="AH60" s="1333"/>
      <c r="AI60" s="1333"/>
      <c r="AJ60" s="1333"/>
      <c r="AK60" s="1333"/>
      <c r="AL60" s="1333"/>
      <c r="AM60" s="1333"/>
      <c r="AN60" s="1333"/>
      <c r="AO60" s="1333"/>
      <c r="AP60" s="1333"/>
      <c r="AQ60" s="1333"/>
      <c r="AR60" s="1333"/>
      <c r="AS60" s="1333"/>
      <c r="AT60" s="1333"/>
      <c r="AU60" s="1333"/>
      <c r="AV60" s="1333"/>
      <c r="AW60" s="1333"/>
      <c r="AX60" s="1333"/>
      <c r="AY60" s="1333"/>
      <c r="AZ60" s="1333"/>
      <c r="BA60" s="1333"/>
      <c r="BB60" s="1333"/>
      <c r="BC60" s="1333"/>
      <c r="BD60" s="1333"/>
      <c r="BE60" s="1333"/>
      <c r="BF60" s="1333"/>
    </row>
    <row r="61" spans="1:58" ht="12.75" customHeight="1" x14ac:dyDescent="0.2">
      <c r="A61" s="1846"/>
      <c r="B61" s="1846"/>
      <c r="C61" s="376" t="s">
        <v>1644</v>
      </c>
      <c r="D61" s="1333">
        <f>+HLOOKUP(D4,'תחשיב עלות תפעול לשנת 2016'!$4:$148,62,0)*(D11/D12)*D7</f>
        <v>0</v>
      </c>
      <c r="E61" s="1333">
        <f>+HLOOKUP(E4,'תחשיב עלות תפעול לשנת 2016'!$4:$148,62,0)*(E11/E12)*E7</f>
        <v>49.593580000000003</v>
      </c>
      <c r="F61" s="1333">
        <f>+HLOOKUP(F4,'תחשיב עלות תפעול לשנת 2016'!$4:$148,62,0)*(F11/F12)*F7</f>
        <v>72.37867</v>
      </c>
      <c r="G61" s="1333">
        <f>+HLOOKUP(G4,'תחשיב עלות תפעול לשנת 2016'!$4:$148,62,0)*(G11/G12)*G7</f>
        <v>330.45612647619049</v>
      </c>
      <c r="H61" s="1333">
        <f>+HLOOKUP(H4,'תחשיב עלות תפעול לשנת 2016'!$4:$148,62,0)*(H11/H12)*H7</f>
        <v>506.06771428571432</v>
      </c>
      <c r="I61" s="1333">
        <f>+HLOOKUP(I4,'תחשיב עלות תפעול לשנת 2016'!$4:$148,62,0)*(I11/I12)*I7</f>
        <v>12.397714285714287</v>
      </c>
      <c r="J61" s="1333">
        <f>+HLOOKUP(J4,'תחשיב עלות תפעול לשנת 2016'!$4:$148,62,0)*(J11/J12)*J7</f>
        <v>124.60061</v>
      </c>
      <c r="K61" s="1333">
        <f>+HLOOKUP(K4,'תחשיב עלות תפעול לשנת 2016'!$4:$148,62,0)*(K11/K12)*K7</f>
        <v>100.82433142857144</v>
      </c>
      <c r="L61" s="1333">
        <f>+HLOOKUP(L4,'תחשיב עלות תפעול לשנת 2016'!$4:$148,62,0)*(L11/L12)*L7</f>
        <v>145.70848000000001</v>
      </c>
      <c r="M61" s="1333">
        <f>+HLOOKUP(M4,'תחשיב עלות תפעול לשנת 2016'!$4:$148,62,0)*(M11/M12)*M7</f>
        <v>162.18757942857144</v>
      </c>
      <c r="N61" s="1333">
        <f>+HLOOKUP(N4,'תחשיב עלות תפעול לשנת 2016'!$4:$148,62,0)*(N11/N12)*N7</f>
        <v>483.93514285714286</v>
      </c>
      <c r="O61" s="1333">
        <f>+HLOOKUP(O4,'תחשיב עלות תפעול לשנת 2016'!$4:$148,62,0)*(O11/O12)*O7</f>
        <v>167.09523000000002</v>
      </c>
      <c r="P61" s="1333">
        <f>+HLOOKUP(P4,'תחשיב עלות תפעול לשנת 2016'!$4:$148,62,0)*(P11/P12)*P7</f>
        <v>98.872445714285703</v>
      </c>
      <c r="Q61" s="1333">
        <f>+HLOOKUP(Q4,'תחשיב עלות תפעול לשנת 2016'!$4:$148,62,0)*(Q11/Q12)*Q7</f>
        <v>216.59324423809522</v>
      </c>
      <c r="R61" s="1333">
        <f>+HLOOKUP(R4,'תחשיב עלות תפעול לשנת 2016'!$4:$148,62,0)*(R11/R12)*R7</f>
        <v>247.95556414285716</v>
      </c>
      <c r="S61" s="1333">
        <f>+HLOOKUP(S4,'תחשיב עלות תפעול לשנת 2016'!$4:$148,62,0)*(S11/S12)*S7</f>
        <v>90.383691428571424</v>
      </c>
      <c r="T61" s="1333">
        <f>+HLOOKUP(T4,'תחשיב עלות תפעול לשנת 2016'!$4:$148,62,0)*(T11/T12)*T7</f>
        <v>0</v>
      </c>
      <c r="U61" s="1333">
        <f>+HLOOKUP(U4,'תחשיב עלות תפעול לשנת 2016'!$4:$148,62,0)*(U11/U12)*U7</f>
        <v>392.82314285714284</v>
      </c>
      <c r="V61" s="1333">
        <f>+HLOOKUP(V4,'תחשיב עלות תפעול לשנת 2016'!$4:$148,62,0)*(V11/V12)*V7</f>
        <v>331.54714285714289</v>
      </c>
      <c r="W61" s="1333">
        <f>+HLOOKUP(W4,'תחשיב עלות תפעול לשנת 2016'!$4:$148,62,0)*(W11/W12)*W7</f>
        <v>92.023979999999995</v>
      </c>
      <c r="X61" s="1333">
        <f>+HLOOKUP(X4,'תחשיב עלות תפעול לשנת 2016'!$4:$148,62,0)*(X11/X12)*X7</f>
        <v>167.88458</v>
      </c>
      <c r="Y61" s="1333">
        <f>+HLOOKUP(Y4,'תחשיב עלות תפעול לשנת 2016'!$4:$148,62,0)*(Y11/Y12)*Y7</f>
        <v>87.67534400000001</v>
      </c>
      <c r="Z61" s="1333">
        <f>+HLOOKUP(Z4,'תחשיב עלות תפעול לשנת 2016'!$4:$148,62,0)*(Z11/Z12)*Z7</f>
        <v>184.98818285714282</v>
      </c>
      <c r="AA61" s="1333">
        <f>+HLOOKUP(AA4,'תחשיב עלות תפעול לשנת 2016'!$4:$148,62,0)*(AA11/AA12)*AA7</f>
        <v>89.184571428571431</v>
      </c>
      <c r="AB61" s="1333">
        <f>+HLOOKUP(AB4,'תחשיב עלות תפעול לשנת 2016'!$4:$148,62,0)*(AB11/AB12)*AB7</f>
        <v>202.59571428571428</v>
      </c>
      <c r="AC61" s="1333">
        <f>+HLOOKUP(AC4,'תחשיב עלות תפעול לשנת 2016'!$4:$148,62,0)*(AC11/AC12)*AC7</f>
        <v>22.491428571428575</v>
      </c>
      <c r="AD61" s="1333">
        <f>+HLOOKUP(AD4,'תחשיב עלות תפעול לשנת 2016'!$4:$148,62,0)*(AD11/AD12)*AD7</f>
        <v>228.06649857142858</v>
      </c>
      <c r="AE61" s="1333">
        <f>+HLOOKUP(AE4,'תחשיב עלות תפעול לשנת 2016'!$4:$148,62,0)*(AE11/AE12)*AE7</f>
        <v>126.95393371428572</v>
      </c>
      <c r="AF61" s="1333">
        <f>+HLOOKUP(AF4,'תחשיב עלות תפעול לשנת 2016'!$4:$148,62,0)*(AF11/AF12)*AF7</f>
        <v>441.59810819047613</v>
      </c>
      <c r="AG61" s="1333">
        <f>+HLOOKUP(AG4,'תחשיב עלות תפעול לשנת 2016'!$4:$148,62,0)*(AG11/AG12)*AG7</f>
        <v>201.73404761904763</v>
      </c>
      <c r="AH61" s="1333">
        <f>+HLOOKUP(AH4,'תחשיב עלות תפעול לשנת 2016'!$4:$148,62,0)*(AH11/AH12)*AH7</f>
        <v>27.873725095238097</v>
      </c>
      <c r="AI61" s="1333">
        <f>+HLOOKUP(AI4,'תחשיב עלות תפעול לשנת 2016'!$4:$148,62,0)*(AI11/AI12)*AI7</f>
        <v>14.093859999999999</v>
      </c>
      <c r="AJ61" s="1333">
        <f>+HLOOKUP(AJ4,'תחשיב עלות תפעול לשנת 2016'!$4:$148,62,0)*(AJ11/AJ12)*AJ7</f>
        <v>307.08225571428574</v>
      </c>
      <c r="AK61" s="1333">
        <f>+HLOOKUP(AK4,'תחשיב עלות תפעול לשנת 2016'!$4:$148,62,0)*(AK11/AK12)*AK7</f>
        <v>156.39714285714285</v>
      </c>
      <c r="AL61" s="1333">
        <f>+HLOOKUP(AL4,'תחשיב עלות תפעול לשנת 2016'!$4:$148,62,0)*(AL11/AL12)*AL7</f>
        <v>72.396342857142855</v>
      </c>
      <c r="AM61" s="1333">
        <f>+HLOOKUP(AM4,'תחשיב עלות תפעול לשנת 2016'!$4:$148,62,0)*(AM11/AM12)*AM7</f>
        <v>165.16042857142858</v>
      </c>
      <c r="AN61" s="1333">
        <f>+HLOOKUP(AN4,'תחשיב עלות תפעול לשנת 2016'!$4:$148,62,0)*(AN11/AN12)*AN7</f>
        <v>104.23366509523812</v>
      </c>
      <c r="AO61" s="1333">
        <f>+HLOOKUP(AO4,'תחשיב עלות תפעול לשנת 2016'!$4:$148,62,0)*(AO11/AO12)*AO7</f>
        <v>57.651462857142846</v>
      </c>
      <c r="AP61" s="1333">
        <f>+HLOOKUP(AP4,'תחשיב עלות תפעול לשנת 2016'!$4:$148,62,0)*(AP11/AP12)*AP7</f>
        <v>2.928666666666667</v>
      </c>
      <c r="AQ61" s="1333">
        <f>+HLOOKUP(AQ4,'תחשיב עלות תפעול לשנת 2016'!$4:$148,62,0)*(AQ11/AQ12)*AQ7</f>
        <v>98.464548571428594</v>
      </c>
      <c r="AR61" s="1333">
        <f>+HLOOKUP(AR4,'תחשיב עלות תפעול לשנת 2016'!$4:$148,62,0)*(AR11/AR12)*AR7</f>
        <v>40.473809523809528</v>
      </c>
      <c r="AS61" s="1333">
        <f>+HLOOKUP(AS4,'תחשיב עלות תפעול לשנת 2016'!$4:$148,62,0)*(AS11/AS12)*AS7</f>
        <v>634.77683999999999</v>
      </c>
      <c r="AT61" s="1333">
        <f>+HLOOKUP(AT4,'תחשיב עלות תפעול לשנת 2016'!$4:$148,62,0)*(AT11/AT12)*AT7</f>
        <v>210.48727</v>
      </c>
      <c r="AU61" s="1333">
        <f>+HLOOKUP(AU4,'תחשיב עלות תפעול לשנת 2016'!$4:$148,62,0)*(AU11/AU12)*AU7</f>
        <v>57.420057142857146</v>
      </c>
      <c r="AV61" s="1333">
        <f>+HLOOKUP(AV4,'תחשיב עלות תפעול לשנת 2016'!$4:$148,62,0)*(AV11/AV12)*AV7</f>
        <v>11.172857142857142</v>
      </c>
      <c r="AW61" s="1333">
        <f>+HLOOKUP(AW4,'תחשיב עלות תפעול לשנת 2016'!$4:$148,62,0)*(AW11/AW12)*AW7</f>
        <v>49.320119999999996</v>
      </c>
      <c r="AX61" s="1333">
        <f>+HLOOKUP(AX4,'תחשיב עלות תפעול לשנת 2016'!$4:$148,62,0)*(AX11/AX12)*AX7</f>
        <v>43.861930000000001</v>
      </c>
      <c r="AY61" s="1333">
        <f>+HLOOKUP(AY4,'תחשיב עלות תפעול לשנת 2016'!$4:$148,62,0)*(AY11/AY12)*AY7</f>
        <v>92.336483764821111</v>
      </c>
      <c r="AZ61" s="1333">
        <f>+HLOOKUP(AZ4,'תחשיב עלות תפעול לשנת 2016'!$4:$148,62,0)*(AZ11/AZ12)*AZ7</f>
        <v>153.31464671428571</v>
      </c>
      <c r="BA61" s="1333">
        <f>+HLOOKUP(BA4,'תחשיב עלות תפעול לשנת 2016'!$4:$148,62,0)*(BA11/BA12)*BA7</f>
        <v>101.82076909523812</v>
      </c>
      <c r="BB61" s="1333">
        <f>+HLOOKUP(BB4,'תחשיב עלות תפעול לשנת 2016'!$4:$148,62,0)*(BB11/BB12)*BB7</f>
        <v>179.91095238095244</v>
      </c>
      <c r="BC61" s="1333">
        <f>+HLOOKUP(BC4,'תחשיב עלות תפעול לשנת 2016'!$4:$148,62,0)*(BC11/BC12)*BC7</f>
        <v>212.46784</v>
      </c>
      <c r="BD61" s="1333">
        <f>+HLOOKUP(BD4,'תחשיב עלות תפעול לשנת 2016'!$4:$148,62,0)*(BD11/BD12)*BD7</f>
        <v>198.38418019732634</v>
      </c>
      <c r="BE61" s="1333">
        <f>+HLOOKUP(BE4,'תחשיב עלות תפעול לשנת 2016'!$4:$148,62,0)*(BE11/BE12)*BE7</f>
        <v>148.68789081496521</v>
      </c>
      <c r="BF61" s="1333">
        <f>+HLOOKUP(BF4,'תחשיב עלות תפעול לשנת 2016'!$4:$148,62,0)*(BF11/BF12)*BF7</f>
        <v>41.485714285714288</v>
      </c>
    </row>
    <row r="62" spans="1:58" ht="14.25" customHeight="1" x14ac:dyDescent="0.2">
      <c r="A62" s="1846"/>
      <c r="B62" s="1846"/>
      <c r="C62" s="376" t="s">
        <v>1766</v>
      </c>
      <c r="D62" s="1338">
        <f>+HLOOKUP(D4,'תחשיב עלות תפעול לשנת 2016'!$4:$148,92,0)*D13*D7/D9</f>
        <v>78.569944261280426</v>
      </c>
      <c r="E62" s="1338">
        <f>+HLOOKUP(E4,'תחשיב עלות תפעול לשנת 2016'!$4:$148,92,0)*E13*E7/E9</f>
        <v>67.011937265464496</v>
      </c>
      <c r="F62" s="1338">
        <f>+HLOOKUP(F4,'תחשיב עלות תפעול לשנת 2016'!$4:$148,92,0)*F13*F7/F9</f>
        <v>54.737185216817096</v>
      </c>
      <c r="G62" s="1338">
        <f>+HLOOKUP(G4,'תחשיב עלות תפעול לשנת 2016'!$4:$148,92,0)*G13*G7/G9</f>
        <v>360.22434620213426</v>
      </c>
      <c r="H62" s="1338">
        <f>+HLOOKUP(H4,'תחשיב עלות תפעול לשנת 2016'!$4:$148,92,0)*H13*H7/H9</f>
        <v>117.23490978493886</v>
      </c>
      <c r="I62" s="1338">
        <f>+HLOOKUP(I4,'תחשיב עלות תפעול לשנת 2016'!$4:$148,92,0)*I13*I7/I9</f>
        <v>80.28788413194998</v>
      </c>
      <c r="J62" s="1338">
        <f>+HLOOKUP(J4,'תחשיב עלות תפעול לשנת 2016'!$4:$148,92,0)*J13*J7/J9</f>
        <v>31.892536846361075</v>
      </c>
      <c r="K62" s="1338">
        <f>+HLOOKUP(K4,'תחשיב עלות תפעול לשנת 2016'!$4:$148,92,0)*K13*K7/K9</f>
        <v>48.479962833815584</v>
      </c>
      <c r="L62" s="1338">
        <f>+HLOOKUP(L4,'תחשיב עלות תפעול לשנת 2016'!$4:$148,92,0)*L13*L7/L9</f>
        <v>35.909192134466707</v>
      </c>
      <c r="M62" s="1338">
        <f>+HLOOKUP(M4,'תחשיב עלות תפעול לשנת 2016'!$4:$148,92,0)*M13*M7/M9</f>
        <v>71.214458554928868</v>
      </c>
      <c r="N62" s="1338">
        <f>+HLOOKUP(N4,'תחשיב עלות תפעול לשנת 2016'!$4:$148,92,0)*N13*N7/N9</f>
        <v>109.71804806474388</v>
      </c>
      <c r="O62" s="1338">
        <f>+HLOOKUP(O4,'תחשיב עלות תפעול לשנת 2016'!$4:$148,92,0)*O13*O7/O9</f>
        <v>64.322505328395451</v>
      </c>
      <c r="P62" s="1338">
        <f>+HLOOKUP(P4,'תחשיב עלות תפעול לשנת 2016'!$4:$148,92,0)*P13*P7/P9</f>
        <v>38.4773700766441</v>
      </c>
      <c r="Q62" s="1338">
        <f>+HLOOKUP(Q4,'תחשיב עלות תפעול לשנת 2016'!$4:$148,92,0)*Q13*Q7/Q9</f>
        <v>61.652467827979081</v>
      </c>
      <c r="R62" s="1338">
        <f>+HLOOKUP(R4,'תחשיב עלות תפעול לשנת 2016'!$4:$148,92,0)*R13*R7/R9</f>
        <v>139.51044552394151</v>
      </c>
      <c r="S62" s="1338">
        <f>+HLOOKUP(S4,'תחשיב עלות תפעול לשנת 2016'!$4:$148,92,0)*S13*S7/S9</f>
        <v>128.85831115098196</v>
      </c>
      <c r="T62" s="1338">
        <f>+HLOOKUP(T4,'תחשיב עלות תפעול לשנת 2016'!$4:$148,92,0)*T13*T7/T9</f>
        <v>138.48078797298226</v>
      </c>
      <c r="U62" s="1338">
        <f>+HLOOKUP(U4,'תחשיב עלות תפעול לשנת 2016'!$4:$148,92,0)*U13*U7/U9</f>
        <v>127.87746537647691</v>
      </c>
      <c r="V62" s="1338">
        <f>+HLOOKUP(V4,'תחשיב עלות תפעול לשנת 2016'!$4:$148,92,0)*V13*V7/V9</f>
        <v>124.49353162797989</v>
      </c>
      <c r="W62" s="1338">
        <f>+HLOOKUP(W4,'תחשיב עלות תפעול לשנת 2016'!$4:$148,92,0)*W13*W7/W9</f>
        <v>114.70844669719149</v>
      </c>
      <c r="X62" s="1338">
        <f>+HLOOKUP(X4,'תחשיב עלות תפעול לשנת 2016'!$4:$148,92,0)*X13*X7/X9</f>
        <v>57.044830613514435</v>
      </c>
      <c r="Y62" s="1338">
        <f>+HLOOKUP(Y4,'תחשיב עלות תפעול לשנת 2016'!$4:$148,92,0)*Y13*Y7/Y9</f>
        <v>40.378902069057261</v>
      </c>
      <c r="Z62" s="1338">
        <f>+HLOOKUP(Z4,'תחשיב עלות תפעול לשנת 2016'!$4:$148,92,0)*Z13*Z7/Z9</f>
        <v>33.003613000033461</v>
      </c>
      <c r="AA62" s="1338">
        <f>+HLOOKUP(AA4,'תחשיב עלות תפעול לשנת 2016'!$4:$148,92,0)*AA13*AA7/AA9</f>
        <v>25.213911942784076</v>
      </c>
      <c r="AB62" s="1338">
        <f>+HLOOKUP(AB4,'תחשיב עלות תפעול לשנת 2016'!$4:$148,92,0)*AB13*AB7/AB9</f>
        <v>46.597586714975641</v>
      </c>
      <c r="AC62" s="1338">
        <f>+HLOOKUP(AC4,'תחשיב עלות תפעול לשנת 2016'!$4:$148,92,0)*AC13*AC7/AC9</f>
        <v>46.564344040459034</v>
      </c>
      <c r="AD62" s="1338">
        <f>+HLOOKUP(AD4,'תחשיב עלות תפעול לשנת 2016'!$4:$148,92,0)*AD13*AD7/AD9</f>
        <v>75.55224840422045</v>
      </c>
      <c r="AE62" s="1338">
        <f>+HLOOKUP(AE4,'תחשיב עלות תפעול לשנת 2016'!$4:$148,92,0)*AE13*AE7/AE9</f>
        <v>33.871978068711741</v>
      </c>
      <c r="AF62" s="1338">
        <f>+HLOOKUP(AF4,'תחשיב עלות תפעול לשנת 2016'!$4:$148,92,0)*AF13*AF7/AF9</f>
        <v>161.83781655681022</v>
      </c>
      <c r="AG62" s="1338">
        <f>+HLOOKUP(AG4,'תחשיב עלות תפעול לשנת 2016'!$4:$148,92,0)*AG13*AG7/AG9</f>
        <v>36.519258696215246</v>
      </c>
      <c r="AH62" s="1338">
        <f>+HLOOKUP(AH4,'תחשיב עלות תפעול לשנת 2016'!$4:$148,92,0)*AH13*AH7/AH9</f>
        <v>36.430467052470398</v>
      </c>
      <c r="AI62" s="1338">
        <f>+HLOOKUP(AI4,'תחשיב עלות תפעול לשנת 2016'!$4:$148,92,0)*AI13*AI7/AI9</f>
        <v>22.436243387677834</v>
      </c>
      <c r="AJ62" s="1338">
        <f>+HLOOKUP(AJ4,'תחשיב עלות תפעול לשנת 2016'!$4:$148,92,0)*AJ13*AJ7/AJ9</f>
        <v>25.338989061560859</v>
      </c>
      <c r="AK62" s="1338">
        <f>+HLOOKUP(AK4,'תחשיב עלות תפעול לשנת 2016'!$4:$148,92,0)*AK13*AK7/AK9</f>
        <v>22.369208640878064</v>
      </c>
      <c r="AL62" s="1338">
        <f>+HLOOKUP(AL4,'תחשיב עלות תפעול לשנת 2016'!$4:$148,92,0)*AL13*AL7/AL9</f>
        <v>19.661987474941572</v>
      </c>
      <c r="AM62" s="1338">
        <f>+HLOOKUP(AM4,'תחשיב עלות תפעול לשנת 2016'!$4:$148,92,0)*AM13*AM7/AM9</f>
        <v>282.35623135410179</v>
      </c>
      <c r="AN62" s="1338">
        <f>+HLOOKUP(AN4,'תחשיב עלות תפעול לשנת 2016'!$4:$148,92,0)*AN13*AN7/AN9</f>
        <v>37.348349370994001</v>
      </c>
      <c r="AO62" s="1338">
        <f>+HLOOKUP(AO4,'תחשיב עלות תפעול לשנת 2016'!$4:$148,92,0)*AO13*AO7/AO9</f>
        <v>74.232541612609012</v>
      </c>
      <c r="AP62" s="1338">
        <f>+HLOOKUP(AP4,'תחשיב עלות תפעול לשנת 2016'!$4:$148,92,0)*AP13*AP7/AP9</f>
        <v>23.830350383024744</v>
      </c>
      <c r="AQ62" s="1338">
        <f>+HLOOKUP(AQ4,'תחשיב עלות תפעול לשנת 2016'!$4:$148,92,0)*AQ13*AQ7/AQ9</f>
        <v>62.404821874408611</v>
      </c>
      <c r="AR62" s="1338">
        <f>+HLOOKUP(AR4,'תחשיב עלות תפעול לשנת 2016'!$4:$148,92,0)*AR13*AR7/AR9</f>
        <v>37.138608118310906</v>
      </c>
      <c r="AS62" s="1338">
        <f>+HLOOKUP(AS4,'תחשיב עלות תפעול לשנת 2016'!$4:$148,92,0)*AS13*AS7/AS9</f>
        <v>74.669599688257719</v>
      </c>
      <c r="AT62" s="1338">
        <f>+HLOOKUP(AT4,'תחשיב עלות תפעול לשנת 2016'!$4:$148,92,0)*AT13*AT7/AT9</f>
        <v>23.201318097776223</v>
      </c>
      <c r="AU62" s="1338">
        <f>+HLOOKUP(AU4,'תחשיב עלות תפעול לשנת 2016'!$4:$148,92,0)*AU13*AU7/AU9</f>
        <v>18.757528629518141</v>
      </c>
      <c r="AV62" s="1338">
        <f>+HLOOKUP(AV4,'תחשיב עלות תפעול לשנת 2016'!$4:$148,92,0)*AV13*AV7/AV9</f>
        <v>33.023614510001835</v>
      </c>
      <c r="AW62" s="1338">
        <f>+HLOOKUP(AW4,'תחשיב עלות תפעול לשנת 2016'!$4:$148,92,0)*AW13*AW7/AW9</f>
        <v>63.809993086896498</v>
      </c>
      <c r="AX62" s="1338">
        <f>+HLOOKUP(AX4,'תחשיב עלות תפעול לשנת 2016'!$4:$148,92,0)*AX13*AX7/AX9</f>
        <v>80.467800385519666</v>
      </c>
      <c r="AY62" s="1338">
        <f>+HLOOKUP(AY4,'תחשיב עלות תפעול לשנת 2016'!$4:$148,92,0)*AY13*AY7/AY9</f>
        <v>99.273510905972273</v>
      </c>
      <c r="AZ62" s="1338">
        <f>+HLOOKUP(AZ4,'תחשיב עלות תפעול לשנת 2016'!$4:$148,92,0)*AZ13*AZ7/AZ9</f>
        <v>41.631056549760672</v>
      </c>
      <c r="BA62" s="1338">
        <f>+HLOOKUP(BA4,'תחשיב עלות תפעול לשנת 2016'!$4:$148,92,0)*BA13*BA7/BA9</f>
        <v>40.790988122231028</v>
      </c>
      <c r="BB62" s="1338">
        <f>+HLOOKUP(BB4,'תחשיב עלות תפעול לשנת 2016'!$4:$148,92,0)*BB13*BB7/BB9</f>
        <v>38.411771151739337</v>
      </c>
      <c r="BC62" s="1338">
        <f>+HLOOKUP(BC4,'תחשיב עלות תפעול לשנת 2016'!$4:$148,92,0)*BC13*BC7/BC9</f>
        <v>36.959341669552039</v>
      </c>
      <c r="BD62" s="1338">
        <f>+HLOOKUP(BD4,'תחשיב עלות תפעול לשנת 2016'!$4:$148,92,0)*BD13*BD7/BD9</f>
        <v>43.165962917853129</v>
      </c>
      <c r="BE62" s="1338">
        <f>+HLOOKUP(BE4,'תחשיב עלות תפעול לשנת 2016'!$4:$148,92,0)*BE13*BE7/BE9</f>
        <v>57.815969927291462</v>
      </c>
      <c r="BF62" s="1338">
        <f>+HLOOKUP(BF4,'תחשיב עלות תפעול לשנת 2016'!$4:$148,92,0)*BF13*BF7/BF9</f>
        <v>7.8048845266303344</v>
      </c>
    </row>
    <row r="63" spans="1:58" ht="12.75" customHeight="1" x14ac:dyDescent="0.2">
      <c r="A63" s="1846"/>
      <c r="B63" s="1846"/>
      <c r="C63" s="376" t="s">
        <v>1647</v>
      </c>
      <c r="D63" s="1333">
        <v>0</v>
      </c>
      <c r="E63" s="1333">
        <v>0</v>
      </c>
      <c r="F63" s="1333">
        <v>0</v>
      </c>
      <c r="G63" s="1333">
        <v>0</v>
      </c>
      <c r="H63" s="1333">
        <v>0</v>
      </c>
      <c r="I63" s="1333">
        <v>0</v>
      </c>
      <c r="J63" s="1333">
        <v>0</v>
      </c>
      <c r="K63" s="1333">
        <v>0</v>
      </c>
      <c r="L63" s="1333">
        <v>0</v>
      </c>
      <c r="M63" s="1333">
        <v>0</v>
      </c>
      <c r="N63" s="1333">
        <v>0</v>
      </c>
      <c r="O63" s="1333">
        <v>0</v>
      </c>
      <c r="P63" s="1333">
        <v>0</v>
      </c>
      <c r="Q63" s="1333">
        <v>0</v>
      </c>
      <c r="R63" s="1333">
        <v>0</v>
      </c>
      <c r="S63" s="1333">
        <v>0</v>
      </c>
      <c r="T63" s="1333">
        <v>0</v>
      </c>
      <c r="U63" s="1333">
        <v>0</v>
      </c>
      <c r="V63" s="1333">
        <v>0</v>
      </c>
      <c r="W63" s="1333">
        <v>0</v>
      </c>
      <c r="X63" s="1333">
        <v>0</v>
      </c>
      <c r="Y63" s="1333">
        <v>0</v>
      </c>
      <c r="Z63" s="1333">
        <v>0</v>
      </c>
      <c r="AA63" s="1333">
        <v>0</v>
      </c>
      <c r="AB63" s="1333">
        <v>0</v>
      </c>
      <c r="AC63" s="1333">
        <v>0</v>
      </c>
      <c r="AD63" s="1333">
        <v>0</v>
      </c>
      <c r="AE63" s="1333">
        <v>0</v>
      </c>
      <c r="AF63" s="1333">
        <v>0</v>
      </c>
      <c r="AG63" s="1333">
        <v>0</v>
      </c>
      <c r="AH63" s="1333">
        <v>0</v>
      </c>
      <c r="AI63" s="1333">
        <v>0</v>
      </c>
      <c r="AJ63" s="1333">
        <v>0</v>
      </c>
      <c r="AK63" s="1333">
        <v>0</v>
      </c>
      <c r="AL63" s="1333">
        <v>0</v>
      </c>
      <c r="AM63" s="1333">
        <v>0</v>
      </c>
      <c r="AN63" s="1333">
        <v>0</v>
      </c>
      <c r="AO63" s="1333">
        <v>0</v>
      </c>
      <c r="AP63" s="1333">
        <v>0</v>
      </c>
      <c r="AQ63" s="1333">
        <v>0</v>
      </c>
      <c r="AR63" s="1333">
        <v>0</v>
      </c>
      <c r="AS63" s="1333">
        <v>0</v>
      </c>
      <c r="AT63" s="1333">
        <v>0</v>
      </c>
      <c r="AU63" s="1333">
        <v>0</v>
      </c>
      <c r="AV63" s="1333">
        <v>0</v>
      </c>
      <c r="AW63" s="1333">
        <v>0</v>
      </c>
      <c r="AX63" s="1333">
        <v>0</v>
      </c>
      <c r="AY63" s="1333">
        <v>0</v>
      </c>
      <c r="AZ63" s="1333">
        <v>0</v>
      </c>
      <c r="BA63" s="1333">
        <v>0</v>
      </c>
      <c r="BB63" s="1333">
        <v>0</v>
      </c>
      <c r="BC63" s="1333">
        <v>0</v>
      </c>
      <c r="BD63" s="1333">
        <v>0</v>
      </c>
      <c r="BE63" s="1333">
        <v>0</v>
      </c>
      <c r="BF63" s="1333">
        <v>0</v>
      </c>
    </row>
    <row r="64" spans="1:58" ht="12.75" customHeight="1" x14ac:dyDescent="0.2">
      <c r="A64" s="1846"/>
      <c r="B64" s="1846"/>
      <c r="C64" s="376" t="s">
        <v>298</v>
      </c>
      <c r="D64" s="628">
        <v>0</v>
      </c>
      <c r="E64" s="628">
        <v>0</v>
      </c>
      <c r="F64" s="628">
        <v>0</v>
      </c>
      <c r="G64" s="628">
        <v>0</v>
      </c>
      <c r="H64" s="628">
        <v>0</v>
      </c>
      <c r="I64" s="628">
        <v>0</v>
      </c>
      <c r="J64" s="628">
        <v>0</v>
      </c>
      <c r="K64" s="628">
        <v>0</v>
      </c>
      <c r="L64" s="628">
        <v>0</v>
      </c>
      <c r="M64" s="628">
        <v>0</v>
      </c>
      <c r="N64" s="628">
        <v>0</v>
      </c>
      <c r="O64" s="628">
        <v>0</v>
      </c>
      <c r="P64" s="628">
        <v>0</v>
      </c>
      <c r="Q64" s="628">
        <v>0</v>
      </c>
      <c r="R64" s="628">
        <v>0</v>
      </c>
      <c r="S64" s="628">
        <v>0</v>
      </c>
      <c r="T64" s="628">
        <v>0</v>
      </c>
      <c r="U64" s="628">
        <v>0</v>
      </c>
      <c r="V64" s="628">
        <v>0</v>
      </c>
      <c r="W64" s="628">
        <v>0</v>
      </c>
      <c r="X64" s="628">
        <v>0</v>
      </c>
      <c r="Y64" s="628">
        <v>0</v>
      </c>
      <c r="Z64" s="628">
        <v>0</v>
      </c>
      <c r="AA64" s="628">
        <v>0</v>
      </c>
      <c r="AB64" s="628">
        <v>0</v>
      </c>
      <c r="AC64" s="628">
        <v>0</v>
      </c>
      <c r="AD64" s="628">
        <v>0</v>
      </c>
      <c r="AE64" s="628">
        <v>0</v>
      </c>
      <c r="AF64" s="628">
        <v>0</v>
      </c>
      <c r="AG64" s="628">
        <v>0</v>
      </c>
      <c r="AH64" s="628">
        <v>0</v>
      </c>
      <c r="AI64" s="628">
        <v>0</v>
      </c>
      <c r="AJ64" s="628">
        <v>0</v>
      </c>
      <c r="AK64" s="628">
        <v>0</v>
      </c>
      <c r="AL64" s="628">
        <v>0</v>
      </c>
      <c r="AM64" s="628">
        <v>0</v>
      </c>
      <c r="AN64" s="628">
        <v>0</v>
      </c>
      <c r="AO64" s="628">
        <v>0</v>
      </c>
      <c r="AP64" s="628">
        <v>0</v>
      </c>
      <c r="AQ64" s="628">
        <v>0</v>
      </c>
      <c r="AR64" s="628">
        <v>0</v>
      </c>
      <c r="AS64" s="628">
        <v>0</v>
      </c>
      <c r="AT64" s="628">
        <v>0</v>
      </c>
      <c r="AU64" s="628">
        <v>0</v>
      </c>
      <c r="AV64" s="628">
        <v>0</v>
      </c>
      <c r="AW64" s="628">
        <v>0</v>
      </c>
      <c r="AX64" s="628">
        <v>0</v>
      </c>
      <c r="AY64" s="628">
        <v>0</v>
      </c>
      <c r="AZ64" s="628">
        <v>0</v>
      </c>
      <c r="BA64" s="628">
        <v>0</v>
      </c>
      <c r="BB64" s="628">
        <v>0</v>
      </c>
      <c r="BC64" s="628">
        <v>0</v>
      </c>
      <c r="BD64" s="628">
        <v>0</v>
      </c>
      <c r="BE64" s="628">
        <v>0</v>
      </c>
      <c r="BF64" s="628">
        <v>0</v>
      </c>
    </row>
    <row r="65" spans="1:249" ht="12.75" customHeight="1" x14ac:dyDescent="0.2">
      <c r="A65" s="1846"/>
      <c r="B65" s="1846"/>
      <c r="C65" s="376" t="s">
        <v>1650</v>
      </c>
      <c r="D65" s="628">
        <v>0</v>
      </c>
      <c r="E65" s="628">
        <v>0</v>
      </c>
      <c r="F65" s="628">
        <v>0</v>
      </c>
      <c r="G65" s="628">
        <v>0</v>
      </c>
      <c r="H65" s="628">
        <v>0</v>
      </c>
      <c r="I65" s="628">
        <v>0</v>
      </c>
      <c r="J65" s="628">
        <v>0</v>
      </c>
      <c r="K65" s="628">
        <v>0</v>
      </c>
      <c r="L65" s="628">
        <v>0</v>
      </c>
      <c r="M65" s="628">
        <v>0</v>
      </c>
      <c r="N65" s="628">
        <v>0</v>
      </c>
      <c r="O65" s="628">
        <v>0</v>
      </c>
      <c r="P65" s="628">
        <v>0</v>
      </c>
      <c r="Q65" s="628">
        <v>0</v>
      </c>
      <c r="R65" s="628">
        <v>0</v>
      </c>
      <c r="S65" s="628">
        <v>0</v>
      </c>
      <c r="T65" s="628">
        <v>0</v>
      </c>
      <c r="U65" s="628">
        <v>0</v>
      </c>
      <c r="V65" s="628">
        <v>0</v>
      </c>
      <c r="W65" s="628">
        <v>0</v>
      </c>
      <c r="X65" s="628">
        <v>0</v>
      </c>
      <c r="Y65" s="628">
        <v>0</v>
      </c>
      <c r="Z65" s="628">
        <v>0</v>
      </c>
      <c r="AA65" s="628">
        <v>0</v>
      </c>
      <c r="AB65" s="628">
        <v>0</v>
      </c>
      <c r="AC65" s="628">
        <v>0</v>
      </c>
      <c r="AD65" s="628">
        <v>0</v>
      </c>
      <c r="AE65" s="628">
        <v>0</v>
      </c>
      <c r="AF65" s="628">
        <v>0</v>
      </c>
      <c r="AG65" s="628">
        <v>0</v>
      </c>
      <c r="AH65" s="628">
        <v>0</v>
      </c>
      <c r="AI65" s="628">
        <v>0</v>
      </c>
      <c r="AJ65" s="628">
        <v>0</v>
      </c>
      <c r="AK65" s="628">
        <v>0</v>
      </c>
      <c r="AL65" s="628">
        <v>0</v>
      </c>
      <c r="AM65" s="628">
        <v>0</v>
      </c>
      <c r="AN65" s="628">
        <v>0</v>
      </c>
      <c r="AO65" s="628">
        <v>0</v>
      </c>
      <c r="AP65" s="628">
        <v>0</v>
      </c>
      <c r="AQ65" s="628">
        <v>0</v>
      </c>
      <c r="AR65" s="628">
        <v>0</v>
      </c>
      <c r="AS65" s="628">
        <v>0</v>
      </c>
      <c r="AT65" s="628">
        <v>0</v>
      </c>
      <c r="AU65" s="628">
        <v>0</v>
      </c>
      <c r="AV65" s="628">
        <v>0</v>
      </c>
      <c r="AW65" s="628">
        <v>0</v>
      </c>
      <c r="AX65" s="628">
        <v>0</v>
      </c>
      <c r="AY65" s="628">
        <v>0</v>
      </c>
      <c r="AZ65" s="628">
        <v>0</v>
      </c>
      <c r="BA65" s="628">
        <v>0</v>
      </c>
      <c r="BB65" s="628">
        <v>0</v>
      </c>
      <c r="BC65" s="628">
        <v>0</v>
      </c>
      <c r="BD65" s="628">
        <v>0</v>
      </c>
      <c r="BE65" s="628">
        <v>0</v>
      </c>
      <c r="BF65" s="628">
        <v>0</v>
      </c>
    </row>
    <row r="66" spans="1:249" s="628" customFormat="1" ht="12.75" customHeight="1" x14ac:dyDescent="0.2">
      <c r="A66" s="1846"/>
      <c r="B66" s="1846"/>
      <c r="C66" s="376" t="s">
        <v>1652</v>
      </c>
      <c r="D66" s="628">
        <v>0</v>
      </c>
      <c r="E66" s="628">
        <v>0</v>
      </c>
      <c r="F66" s="628">
        <v>0</v>
      </c>
      <c r="G66" s="628">
        <v>0</v>
      </c>
      <c r="H66" s="628">
        <v>0</v>
      </c>
      <c r="I66" s="628">
        <v>0</v>
      </c>
      <c r="J66" s="628">
        <v>0</v>
      </c>
      <c r="K66" s="628">
        <v>0</v>
      </c>
      <c r="L66" s="628">
        <v>0</v>
      </c>
      <c r="M66" s="628">
        <v>0</v>
      </c>
      <c r="N66" s="628">
        <v>0</v>
      </c>
      <c r="O66" s="628">
        <v>0</v>
      </c>
      <c r="P66" s="628">
        <v>0</v>
      </c>
      <c r="Q66" s="628">
        <v>0</v>
      </c>
      <c r="R66" s="628">
        <v>0</v>
      </c>
      <c r="S66" s="628">
        <v>0</v>
      </c>
      <c r="T66" s="628">
        <v>0</v>
      </c>
      <c r="U66" s="628">
        <v>0</v>
      </c>
      <c r="V66" s="628">
        <v>0</v>
      </c>
      <c r="W66" s="628">
        <v>0</v>
      </c>
      <c r="X66" s="628">
        <v>0</v>
      </c>
      <c r="Y66" s="628">
        <v>0</v>
      </c>
      <c r="Z66" s="628">
        <v>0</v>
      </c>
      <c r="AA66" s="628">
        <v>0</v>
      </c>
      <c r="AB66" s="628">
        <v>0</v>
      </c>
      <c r="AC66" s="628">
        <v>0</v>
      </c>
      <c r="AD66" s="628">
        <v>0</v>
      </c>
      <c r="AE66" s="628">
        <v>0</v>
      </c>
      <c r="AF66" s="628">
        <v>0</v>
      </c>
      <c r="AG66" s="628">
        <v>0</v>
      </c>
      <c r="AH66" s="628">
        <v>0</v>
      </c>
      <c r="AI66" s="628">
        <v>0</v>
      </c>
      <c r="AJ66" s="628">
        <v>0</v>
      </c>
      <c r="AK66" s="628">
        <v>0</v>
      </c>
      <c r="AL66" s="628">
        <v>0</v>
      </c>
      <c r="AM66" s="628">
        <v>0</v>
      </c>
      <c r="AN66" s="628">
        <v>0</v>
      </c>
      <c r="AO66" s="628">
        <v>0</v>
      </c>
      <c r="AP66" s="628">
        <v>0</v>
      </c>
      <c r="AQ66" s="628">
        <v>0</v>
      </c>
      <c r="AR66" s="628">
        <v>0</v>
      </c>
      <c r="AS66" s="628">
        <v>0</v>
      </c>
      <c r="AT66" s="628">
        <v>0</v>
      </c>
      <c r="AU66" s="628">
        <v>0</v>
      </c>
      <c r="AV66" s="628">
        <v>0</v>
      </c>
      <c r="AW66" s="628">
        <v>0</v>
      </c>
      <c r="AX66" s="628">
        <v>0</v>
      </c>
      <c r="AY66" s="628">
        <v>0</v>
      </c>
      <c r="AZ66" s="628">
        <v>0</v>
      </c>
      <c r="BA66" s="628">
        <v>0</v>
      </c>
      <c r="BB66" s="628">
        <v>0</v>
      </c>
      <c r="BC66" s="628">
        <v>0</v>
      </c>
      <c r="BD66" s="628">
        <v>0</v>
      </c>
      <c r="BE66" s="628">
        <v>0</v>
      </c>
      <c r="BF66" s="628">
        <v>0</v>
      </c>
      <c r="BG66" s="374"/>
      <c r="BH66" s="374"/>
      <c r="BI66" s="374"/>
      <c r="BJ66" s="374"/>
      <c r="BK66" s="374"/>
      <c r="BL66" s="374"/>
      <c r="BM66" s="374"/>
      <c r="BN66" s="374"/>
      <c r="BO66" s="374"/>
      <c r="BP66" s="374"/>
      <c r="BQ66" s="374"/>
      <c r="BR66" s="374"/>
      <c r="BS66" s="374"/>
      <c r="BT66" s="374"/>
      <c r="BU66" s="374"/>
      <c r="BV66" s="374"/>
      <c r="BW66" s="374"/>
      <c r="BX66" s="374"/>
      <c r="BY66" s="374"/>
      <c r="BZ66" s="374"/>
      <c r="CA66" s="374"/>
      <c r="CB66" s="374"/>
      <c r="CC66" s="374"/>
      <c r="CD66" s="374"/>
      <c r="CE66" s="374"/>
      <c r="CF66" s="374"/>
      <c r="CG66" s="374"/>
      <c r="CH66" s="374"/>
      <c r="CI66" s="374"/>
      <c r="CJ66" s="374"/>
      <c r="CK66" s="374"/>
      <c r="CL66" s="374"/>
      <c r="CM66" s="374"/>
      <c r="CN66" s="374"/>
      <c r="CO66" s="374"/>
      <c r="CP66" s="374"/>
      <c r="CQ66" s="374"/>
      <c r="CR66" s="374"/>
      <c r="CS66" s="374"/>
      <c r="CT66" s="374"/>
      <c r="CU66" s="374"/>
      <c r="CV66" s="374"/>
      <c r="CW66" s="374"/>
      <c r="CX66" s="374"/>
      <c r="CY66" s="374"/>
      <c r="CZ66" s="374"/>
      <c r="DA66" s="374"/>
      <c r="DB66" s="374"/>
      <c r="DC66" s="374"/>
      <c r="DD66" s="374"/>
      <c r="DE66" s="374"/>
      <c r="DF66" s="374"/>
      <c r="DG66" s="374"/>
      <c r="DH66" s="374"/>
      <c r="DI66" s="374"/>
      <c r="DJ66" s="374"/>
      <c r="DK66" s="374"/>
      <c r="DL66" s="374"/>
      <c r="DM66" s="374"/>
      <c r="DN66" s="374"/>
      <c r="DO66" s="374"/>
      <c r="DP66" s="374"/>
      <c r="DQ66" s="374"/>
      <c r="DR66" s="374"/>
      <c r="DS66" s="374"/>
      <c r="DT66" s="374"/>
      <c r="DU66" s="374"/>
      <c r="DV66" s="374"/>
      <c r="DW66" s="374"/>
      <c r="DX66" s="374"/>
      <c r="DY66" s="374"/>
      <c r="DZ66" s="374"/>
      <c r="EA66" s="374"/>
      <c r="EB66" s="374"/>
      <c r="EC66" s="374"/>
      <c r="ED66" s="374"/>
      <c r="EE66" s="374"/>
      <c r="EF66" s="374"/>
      <c r="EG66" s="374"/>
      <c r="EH66" s="374"/>
      <c r="EI66" s="374"/>
      <c r="EJ66" s="374"/>
      <c r="EK66" s="374"/>
      <c r="EL66" s="374"/>
      <c r="EM66" s="374"/>
      <c r="EN66" s="374"/>
      <c r="EO66" s="374"/>
      <c r="EP66" s="374"/>
      <c r="EQ66" s="374"/>
      <c r="ER66" s="374"/>
      <c r="ES66" s="374"/>
      <c r="ET66" s="374"/>
      <c r="EU66" s="374"/>
      <c r="EV66" s="374"/>
      <c r="EW66" s="374"/>
      <c r="EX66" s="374"/>
      <c r="EY66" s="374"/>
      <c r="EZ66" s="374"/>
      <c r="FA66" s="374"/>
      <c r="FB66" s="374"/>
      <c r="FC66" s="374"/>
      <c r="FD66" s="374"/>
      <c r="FE66" s="374"/>
      <c r="FF66" s="374"/>
      <c r="FG66" s="374"/>
      <c r="FH66" s="374"/>
      <c r="FI66" s="374"/>
      <c r="FJ66" s="374"/>
      <c r="FK66" s="374"/>
      <c r="FL66" s="374"/>
      <c r="FM66" s="374"/>
      <c r="FN66" s="374"/>
      <c r="FO66" s="374"/>
      <c r="FP66" s="374"/>
      <c r="FQ66" s="374"/>
      <c r="FR66" s="374"/>
      <c r="FS66" s="374"/>
      <c r="FT66" s="374"/>
      <c r="FU66" s="374"/>
      <c r="FV66" s="374"/>
      <c r="FW66" s="374"/>
      <c r="FX66" s="374"/>
      <c r="FY66" s="374"/>
      <c r="FZ66" s="374"/>
      <c r="GA66" s="374"/>
      <c r="GB66" s="374"/>
      <c r="GC66" s="374"/>
      <c r="GD66" s="374"/>
      <c r="GE66" s="374"/>
      <c r="GF66" s="374"/>
      <c r="GG66" s="374"/>
      <c r="GH66" s="374"/>
      <c r="GI66" s="374"/>
      <c r="GJ66" s="374"/>
      <c r="GK66" s="374"/>
      <c r="GL66" s="374"/>
      <c r="GM66" s="374"/>
      <c r="GN66" s="374"/>
      <c r="GO66" s="374"/>
      <c r="GP66" s="374"/>
      <c r="GQ66" s="374"/>
      <c r="GR66" s="374"/>
      <c r="GS66" s="374"/>
      <c r="GT66" s="374"/>
      <c r="GU66" s="374"/>
      <c r="GV66" s="374"/>
      <c r="GW66" s="374"/>
      <c r="GX66" s="374"/>
      <c r="GY66" s="374"/>
      <c r="GZ66" s="374"/>
      <c r="HA66" s="374"/>
      <c r="HB66" s="374"/>
      <c r="HC66" s="374"/>
      <c r="HD66" s="374"/>
      <c r="HE66" s="374"/>
      <c r="HF66" s="374"/>
      <c r="HG66" s="374"/>
      <c r="HH66" s="374"/>
      <c r="HI66" s="374"/>
      <c r="HJ66" s="374"/>
      <c r="HK66" s="374"/>
      <c r="HL66" s="374"/>
      <c r="HM66" s="374"/>
      <c r="HN66" s="374"/>
      <c r="HO66" s="374"/>
      <c r="HP66" s="374"/>
      <c r="HQ66" s="374"/>
      <c r="HR66" s="374"/>
      <c r="HS66" s="374"/>
      <c r="HT66" s="374"/>
      <c r="HU66" s="374"/>
      <c r="HV66" s="374"/>
      <c r="HW66" s="374"/>
      <c r="HX66" s="374"/>
      <c r="HY66" s="374"/>
      <c r="HZ66" s="374"/>
      <c r="IA66" s="374"/>
      <c r="IB66" s="374"/>
      <c r="IC66" s="374"/>
      <c r="ID66" s="374"/>
      <c r="IE66" s="374"/>
      <c r="IF66" s="374"/>
      <c r="IG66" s="374"/>
      <c r="IH66" s="374"/>
      <c r="II66" s="374"/>
      <c r="IJ66" s="374"/>
      <c r="IK66" s="374"/>
      <c r="IL66" s="374"/>
      <c r="IM66" s="374"/>
      <c r="IN66" s="374"/>
      <c r="IO66" s="374"/>
    </row>
    <row r="67" spans="1:249" ht="12.75" customHeight="1" x14ac:dyDescent="0.2">
      <c r="A67" s="1846"/>
      <c r="B67" s="1846"/>
      <c r="C67" s="376" t="s">
        <v>1653</v>
      </c>
      <c r="D67" s="628">
        <f t="shared" ref="D67:BF67" si="2">+D23*D7/D8</f>
        <v>26.719637500000001</v>
      </c>
      <c r="E67" s="628">
        <f t="shared" si="2"/>
        <v>22.638200000000001</v>
      </c>
      <c r="F67" s="628">
        <f t="shared" si="2"/>
        <v>10.075485</v>
      </c>
      <c r="G67" s="628">
        <f t="shared" si="2"/>
        <v>131.80069</v>
      </c>
      <c r="H67" s="628">
        <f t="shared" si="2"/>
        <v>40.013332500000004</v>
      </c>
      <c r="I67" s="628">
        <f t="shared" si="2"/>
        <v>4.4704450000000007</v>
      </c>
      <c r="J67" s="628">
        <f t="shared" si="2"/>
        <v>10.774044999999997</v>
      </c>
      <c r="K67" s="628">
        <f t="shared" si="2"/>
        <v>17.274450000000002</v>
      </c>
      <c r="L67" s="628">
        <f t="shared" si="2"/>
        <v>12.968297499999998</v>
      </c>
      <c r="M67" s="628">
        <f t="shared" si="2"/>
        <v>24.05791</v>
      </c>
      <c r="N67" s="628">
        <f t="shared" si="2"/>
        <v>39.0948925</v>
      </c>
      <c r="O67" s="628">
        <f t="shared" si="2"/>
        <v>22.919487499999999</v>
      </c>
      <c r="P67" s="628">
        <f t="shared" si="2"/>
        <v>13.206810000000001</v>
      </c>
      <c r="Q67" s="628">
        <f t="shared" si="2"/>
        <v>11.3483825</v>
      </c>
      <c r="R67" s="628">
        <f t="shared" si="2"/>
        <v>48.635490000000004</v>
      </c>
      <c r="S67" s="628">
        <f t="shared" si="2"/>
        <v>44.228782499999994</v>
      </c>
      <c r="T67" s="628">
        <f t="shared" si="2"/>
        <v>47.093789999999998</v>
      </c>
      <c r="U67" s="628">
        <f t="shared" si="2"/>
        <v>46.181852500000005</v>
      </c>
      <c r="V67" s="628">
        <f t="shared" si="2"/>
        <v>24.460972499999997</v>
      </c>
      <c r="W67" s="628">
        <f t="shared" si="2"/>
        <v>21.114407500000006</v>
      </c>
      <c r="X67" s="628">
        <f t="shared" si="2"/>
        <v>20.601252500000001</v>
      </c>
      <c r="Y67" s="628">
        <f t="shared" si="2"/>
        <v>14.582494999999998</v>
      </c>
      <c r="Z67" s="628">
        <f t="shared" si="2"/>
        <v>7.3824050000000003</v>
      </c>
      <c r="AA67" s="628">
        <f t="shared" si="2"/>
        <v>8.6123575000000017</v>
      </c>
      <c r="AB67" s="628">
        <f t="shared" si="2"/>
        <v>15.005765000000002</v>
      </c>
      <c r="AC67" s="628">
        <f t="shared" si="2"/>
        <v>16.233047500000001</v>
      </c>
      <c r="AD67" s="628">
        <f t="shared" si="2"/>
        <v>24.329999999999995</v>
      </c>
      <c r="AE67" s="628">
        <f t="shared" si="2"/>
        <v>10.907752499999999</v>
      </c>
      <c r="AF67" s="628">
        <f t="shared" si="2"/>
        <v>55.279209999999999</v>
      </c>
      <c r="AG67" s="628">
        <f t="shared" si="2"/>
        <v>12.464352499999999</v>
      </c>
      <c r="AH67" s="628">
        <f t="shared" si="2"/>
        <v>8.1489399999999996</v>
      </c>
      <c r="AI67" s="628">
        <f t="shared" si="2"/>
        <v>7.8216199999999994</v>
      </c>
      <c r="AJ67" s="628">
        <f t="shared" si="2"/>
        <v>8.6171450000000007</v>
      </c>
      <c r="AK67" s="628">
        <f t="shared" si="2"/>
        <v>7.6406875000000003</v>
      </c>
      <c r="AL67" s="628">
        <f t="shared" si="2"/>
        <v>6.715977500000001</v>
      </c>
      <c r="AM67" s="628">
        <f t="shared" si="2"/>
        <v>106.70198250000001</v>
      </c>
      <c r="AN67" s="628">
        <f t="shared" si="2"/>
        <v>13.308017500000002</v>
      </c>
      <c r="AO67" s="628">
        <f t="shared" si="2"/>
        <v>28.052362500000001</v>
      </c>
      <c r="AP67" s="628">
        <f t="shared" si="2"/>
        <v>9.0054524999999988</v>
      </c>
      <c r="AQ67" s="628">
        <f t="shared" si="2"/>
        <v>21.419567499999999</v>
      </c>
      <c r="AR67" s="628">
        <f t="shared" si="2"/>
        <v>12.629895000000001</v>
      </c>
      <c r="AS67" s="628">
        <f t="shared" si="2"/>
        <v>25.225137500000006</v>
      </c>
      <c r="AT67" s="628">
        <f t="shared" si="2"/>
        <v>7.9249124999999996</v>
      </c>
      <c r="AU67" s="628">
        <f t="shared" si="2"/>
        <v>6.4070400000000012</v>
      </c>
      <c r="AV67" s="628">
        <f t="shared" si="2"/>
        <v>10.634554999999997</v>
      </c>
      <c r="AW67" s="628">
        <f t="shared" si="2"/>
        <v>14.273322500000001</v>
      </c>
      <c r="AX67" s="628">
        <f t="shared" si="2"/>
        <v>17.999420000000001</v>
      </c>
      <c r="AY67" s="628">
        <f t="shared" si="2"/>
        <v>33.882944999999999</v>
      </c>
      <c r="AZ67" s="628">
        <f t="shared" si="2"/>
        <v>14.513227499999999</v>
      </c>
      <c r="BA67" s="628">
        <f t="shared" si="2"/>
        <v>13.780150000000001</v>
      </c>
      <c r="BB67" s="628">
        <f t="shared" si="2"/>
        <v>13.872082500000001</v>
      </c>
      <c r="BC67" s="628">
        <f t="shared" si="2"/>
        <v>11.901972500000001</v>
      </c>
      <c r="BD67" s="628">
        <f t="shared" si="2"/>
        <v>15.0483195</v>
      </c>
      <c r="BE67" s="628">
        <f t="shared" si="2"/>
        <v>18.6184075</v>
      </c>
      <c r="BF67" s="628">
        <f t="shared" si="2"/>
        <v>2.6542425000000005</v>
      </c>
    </row>
    <row r="68" spans="1:249" ht="12.75" customHeight="1" x14ac:dyDescent="0.2">
      <c r="A68" s="1846"/>
      <c r="B68" s="1846"/>
      <c r="C68" s="376" t="s">
        <v>1655</v>
      </c>
      <c r="D68" s="622"/>
      <c r="E68" s="622"/>
      <c r="F68" s="622"/>
      <c r="G68" s="622"/>
      <c r="H68" s="622"/>
      <c r="I68" s="622"/>
      <c r="J68" s="622"/>
      <c r="K68" s="622"/>
      <c r="L68" s="622"/>
      <c r="M68" s="622"/>
      <c r="N68" s="622"/>
      <c r="O68" s="622"/>
      <c r="P68" s="622"/>
      <c r="Q68" s="622"/>
      <c r="R68" s="622"/>
      <c r="S68" s="622"/>
      <c r="T68" s="622"/>
      <c r="U68" s="622"/>
      <c r="V68" s="622"/>
      <c r="W68" s="622"/>
      <c r="X68" s="622"/>
      <c r="Y68" s="622"/>
      <c r="Z68" s="622"/>
      <c r="AA68" s="622"/>
      <c r="AB68" s="622"/>
      <c r="AC68" s="622"/>
      <c r="AD68" s="622"/>
      <c r="AE68" s="622"/>
      <c r="AF68" s="622"/>
      <c r="AG68" s="622"/>
      <c r="AH68" s="622"/>
      <c r="AI68" s="622"/>
      <c r="AJ68" s="622"/>
      <c r="AK68" s="622"/>
      <c r="AL68" s="622"/>
      <c r="AM68" s="622"/>
      <c r="AN68" s="622"/>
      <c r="AO68" s="622"/>
      <c r="AP68" s="622"/>
      <c r="AQ68" s="622"/>
      <c r="AR68" s="622"/>
      <c r="AS68" s="622"/>
      <c r="AT68" s="622"/>
      <c r="AU68" s="622"/>
      <c r="AV68" s="622"/>
      <c r="AW68" s="622"/>
      <c r="AX68" s="622"/>
      <c r="AY68" s="622"/>
      <c r="AZ68" s="622"/>
      <c r="BA68" s="622"/>
      <c r="BB68" s="622"/>
      <c r="BC68" s="622"/>
      <c r="BD68" s="622"/>
      <c r="BE68" s="622"/>
      <c r="BF68" s="622"/>
    </row>
    <row r="69" spans="1:249" ht="12.75" customHeight="1" x14ac:dyDescent="0.2">
      <c r="A69" s="1846"/>
      <c r="B69" s="1846"/>
      <c r="C69" s="376" t="s">
        <v>1767</v>
      </c>
      <c r="D69" s="1333">
        <f>+HLOOKUP(D4,'תחשיב עלות תפעול לשנת 2016'!$4:$148,92,0)*D16*D7/D9</f>
        <v>65.474953551067031</v>
      </c>
      <c r="E69" s="1333">
        <f>+HLOOKUP(E4,'תחשיב עלות תפעול לשנת 2016'!$4:$148,92,0)*E16*E7/E9</f>
        <v>55.843281054553742</v>
      </c>
      <c r="F69" s="1333">
        <f>+HLOOKUP(F4,'תחשיב עלות תפעול לשנת 2016'!$4:$148,92,0)*F16*F7/F9</f>
        <v>45.614321014014251</v>
      </c>
      <c r="G69" s="1333">
        <f>+HLOOKUP(G4,'תחשיב עלות תפעול לשנת 2016'!$4:$148,92,0)*G16*G7/G9</f>
        <v>300.18695516844519</v>
      </c>
      <c r="H69" s="1333">
        <f>+HLOOKUP(H4,'תחשיב עלות תפעול לשנת 2016'!$4:$148,92,0)*H16*H7/H9</f>
        <v>97.695758154115723</v>
      </c>
      <c r="I69" s="1333">
        <f>+HLOOKUP(I4,'תחשיב עלות תפעול לשנת 2016'!$4:$148,92,0)*I16*I7/I9</f>
        <v>66.906570109958309</v>
      </c>
      <c r="J69" s="1333">
        <f>+HLOOKUP(J4,'תחשיב עלות תפעול לשנת 2016'!$4:$148,92,0)*J16*J7/J9</f>
        <v>26.577114038634228</v>
      </c>
      <c r="K69" s="1333">
        <f>+HLOOKUP(K4,'תחשיב עלות תפעול לשנת 2016'!$4:$148,92,0)*K16*K7/K9</f>
        <v>40.399969028179655</v>
      </c>
      <c r="L69" s="1333">
        <f>+HLOOKUP(L4,'תחשיב עלות תפעול לשנת 2016'!$4:$148,92,0)*L16*L7/L9</f>
        <v>29.924326778722257</v>
      </c>
      <c r="M69" s="1333">
        <f>+HLOOKUP(M4,'תחשיב עלות תפעול לשנת 2016'!$4:$148,92,0)*M16*M7/M9</f>
        <v>59.345382129107392</v>
      </c>
      <c r="N69" s="1333">
        <f>+HLOOKUP(N4,'תחשיב עלות תפעול לשנת 2016'!$4:$148,92,0)*N16*N7/N9</f>
        <v>91.431706720619928</v>
      </c>
      <c r="O69" s="1333">
        <f>+HLOOKUP(O4,'תחשיב עלות תפעול לשנת 2016'!$4:$148,92,0)*O16*O7/O9</f>
        <v>53.60208777366288</v>
      </c>
      <c r="P69" s="1333">
        <f>+HLOOKUP(P4,'תחשיב עלות תפעול לשנת 2016'!$4:$148,92,0)*P16*P7/P9</f>
        <v>32.064475063870077</v>
      </c>
      <c r="Q69" s="1333">
        <f>+HLOOKUP(Q4,'תחשיב עלות תפעול לשנת 2016'!$4:$148,92,0)*Q16*Q7/Q9</f>
        <v>51.377056523315915</v>
      </c>
      <c r="R69" s="1333">
        <f>+HLOOKUP(R4,'תחשיב עלות תפעול לשנת 2016'!$4:$148,92,0)*R16*R7/R9</f>
        <v>116.25870460328458</v>
      </c>
      <c r="S69" s="1333">
        <f>+HLOOKUP(S4,'תחשיב עלות תפעול לשנת 2016'!$4:$148,92,0)*S16*S7/S9</f>
        <v>107.38192595915163</v>
      </c>
      <c r="T69" s="1333">
        <f>+HLOOKUP(T4,'תחשיב עלות תפעול לשנת 2016'!$4:$148,92,0)*T16*T7/T9</f>
        <v>115.40065664415189</v>
      </c>
      <c r="U69" s="1333">
        <f>+HLOOKUP(U4,'תחשיב עלות תפעול לשנת 2016'!$4:$148,92,0)*U16*U7/U9</f>
        <v>106.56455448039742</v>
      </c>
      <c r="V69" s="1333">
        <f>+HLOOKUP(V4,'תחשיב עלות תפעול לשנת 2016'!$4:$148,92,0)*V16*V7/V9</f>
        <v>103.74460968998325</v>
      </c>
      <c r="W69" s="1333">
        <f>+HLOOKUP(W4,'תחשיב עלות תפעול לשנת 2016'!$4:$148,92,0)*W16*W7/W9</f>
        <v>95.590372247659587</v>
      </c>
      <c r="X69" s="1333">
        <f>+HLOOKUP(X4,'תחשיב עלות תפעול לשנת 2016'!$4:$148,92,0)*X16*X7/X9</f>
        <v>47.53735884459536</v>
      </c>
      <c r="Y69" s="1333">
        <f>+HLOOKUP(Y4,'תחשיב עלות תפעול לשנת 2016'!$4:$148,92,0)*Y16*Y7/Y9</f>
        <v>33.649085057547722</v>
      </c>
      <c r="Z69" s="1333">
        <f>+HLOOKUP(Z4,'תחשיב עלות תפעול לשנת 2016'!$4:$148,92,0)*Z16*Z7/Z9</f>
        <v>27.503010833361223</v>
      </c>
      <c r="AA69" s="1333">
        <f>+HLOOKUP(AA4,'תחשיב עלות תפעול לשנת 2016'!$4:$148,92,0)*AA16*AA7/AA9</f>
        <v>21.011593285653397</v>
      </c>
      <c r="AB69" s="1333">
        <f>+HLOOKUP(AB4,'תחשיב עלות תפעול לשנת 2016'!$4:$148,92,0)*AB16*AB7/AB9</f>
        <v>38.831322262479702</v>
      </c>
      <c r="AC69" s="1333">
        <f>+HLOOKUP(AC4,'תחשיב עלות תפעול לשנת 2016'!$4:$148,92,0)*AC16*AC7/AC9</f>
        <v>38.803620033715859</v>
      </c>
      <c r="AD69" s="1333">
        <f>+HLOOKUP(AD4,'תחשיב עלות תפעול לשנת 2016'!$4:$148,92,0)*AD16*AD7/AD9</f>
        <v>62.960207003517048</v>
      </c>
      <c r="AE69" s="1333">
        <f>+HLOOKUP(AE4,'תחשיב עלות תפעול לשנת 2016'!$4:$148,92,0)*AE16*AE7/AE9</f>
        <v>28.22664839059312</v>
      </c>
      <c r="AF69" s="1333">
        <f>+HLOOKUP(AF4,'תחשיב עלות תפעול לשנת 2016'!$4:$148,92,0)*AF16*AF7/AF9</f>
        <v>134.8648471306752</v>
      </c>
      <c r="AG69" s="1333">
        <f>+HLOOKUP(AG4,'תחשיב עלות תפעול לשנת 2016'!$4:$148,92,0)*AG16*AG7/AG9</f>
        <v>30.432715580179369</v>
      </c>
      <c r="AH69" s="1333">
        <f>+HLOOKUP(AH4,'תחשיב עלות תפעול לשנת 2016'!$4:$148,92,0)*AH16*AH7/AH9</f>
        <v>30.358722543725332</v>
      </c>
      <c r="AI69" s="1333">
        <f>+HLOOKUP(AI4,'תחשיב עלות תפעול לשנת 2016'!$4:$148,92,0)*AI16*AI7/AI9</f>
        <v>18.69686948973153</v>
      </c>
      <c r="AJ69" s="1333">
        <f>+HLOOKUP(AJ4,'תחשיב עלות תפעול לשנת 2016'!$4:$148,92,0)*AJ16*AJ7/AJ9</f>
        <v>21.115824217967386</v>
      </c>
      <c r="AK69" s="1333">
        <f>+HLOOKUP(AK4,'תחשיב עלות תפעול לשנת 2016'!$4:$148,92,0)*AK16*AK7/AK9</f>
        <v>18.641007200731718</v>
      </c>
      <c r="AL69" s="1333">
        <f>+HLOOKUP(AL4,'תחשיב עלות תפעול לשנת 2016'!$4:$148,92,0)*AL16*AL7/AL9</f>
        <v>16.384989562451313</v>
      </c>
      <c r="AM69" s="1333">
        <f>+HLOOKUP(AM4,'תחשיב עלות תפעול לשנת 2016'!$4:$148,92,0)*AM16*AM7/AM9</f>
        <v>235.2968594617515</v>
      </c>
      <c r="AN69" s="1333">
        <f>+HLOOKUP(AN4,'תחשיב עלות תפעול לשנת 2016'!$4:$148,92,0)*AN16*AN7/AN9</f>
        <v>31.12362447582834</v>
      </c>
      <c r="AO69" s="1333">
        <f>+HLOOKUP(AO4,'תחשיב עלות תפעול לשנת 2016'!$4:$148,92,0)*AO16*AO7/AO9</f>
        <v>61.860451343840843</v>
      </c>
      <c r="AP69" s="1333">
        <f>+HLOOKUP(AP4,'תחשיב עלות תפעול לשנת 2016'!$4:$148,92,0)*AP16*AP7/AP9</f>
        <v>19.858625319187283</v>
      </c>
      <c r="AQ69" s="1333">
        <f>+HLOOKUP(AQ4,'תחשיב עלות תפעול לשנת 2016'!$4:$148,92,0)*AQ16*AQ7/AQ9</f>
        <v>52.004018228673843</v>
      </c>
      <c r="AR69" s="1333">
        <f>+HLOOKUP(AR4,'תחשיב עלות תפעול לשנת 2016'!$4:$148,92,0)*AR16*AR7/AR9</f>
        <v>30.948840098592424</v>
      </c>
      <c r="AS69" s="1333">
        <f>+HLOOKUP(AS4,'תחשיב עלות תפעול לשנת 2016'!$4:$148,92,0)*AS16*AS7/AS9</f>
        <v>62.22466640688144</v>
      </c>
      <c r="AT69" s="1333">
        <f>+HLOOKUP(AT4,'תחשיב עלות תפעול לשנת 2016'!$4:$148,92,0)*AT16*AT7/AT9</f>
        <v>19.334431748146852</v>
      </c>
      <c r="AU69" s="1333">
        <f>+HLOOKUP(AU4,'תחשיב עלות תפעול לשנת 2016'!$4:$148,92,0)*AU16*AU7/AU9</f>
        <v>15.631273857931783</v>
      </c>
      <c r="AV69" s="1333">
        <f>+HLOOKUP(AV4,'תחשיב עלות תפעול לשנת 2016'!$4:$148,92,0)*AV16*AV7/AV9</f>
        <v>27.519678758334859</v>
      </c>
      <c r="AW69" s="1333">
        <f>+HLOOKUP(AW4,'תחשיב עלות תפעול לשנת 2016'!$4:$148,92,0)*AW16*AW7/AW9</f>
        <v>53.174994239080419</v>
      </c>
      <c r="AX69" s="1333">
        <f>+HLOOKUP(AX4,'תחשיב עלות תפעול לשנת 2016'!$4:$148,92,0)*AX16*AX7/AX9</f>
        <v>67.056500321266398</v>
      </c>
      <c r="AY69" s="1333">
        <f>+HLOOKUP(AY4,'תחשיב עלות תפעול לשנת 2016'!$4:$148,92,0)*AY16*AY7/AY9</f>
        <v>82.727925754976894</v>
      </c>
      <c r="AZ69" s="1333">
        <f>+HLOOKUP(AZ4,'תחשיב עלות תפעול לשנת 2016'!$4:$148,92,0)*AZ16*AZ7/AZ9</f>
        <v>34.692547124800562</v>
      </c>
      <c r="BA69" s="1333">
        <f>+HLOOKUP(BA4,'תחשיב עלות תפעול לשנת 2016'!$4:$148,92,0)*BA16*BA7/BA9</f>
        <v>33.99249010185919</v>
      </c>
      <c r="BB69" s="1333">
        <f>+HLOOKUP(BB4,'תחשיב עלות תפעול לשנת 2016'!$4:$148,92,0)*BB16*BB7/BB9</f>
        <v>32.00980929311612</v>
      </c>
      <c r="BC69" s="1333">
        <f>+HLOOKUP(BC4,'תחשיב עלות תפעול לשנת 2016'!$4:$148,92,0)*BC16*BC7/BC9</f>
        <v>30.799451391293363</v>
      </c>
      <c r="BD69" s="1333">
        <f>+HLOOKUP(BD4,'תחשיב עלות תפעול לשנת 2016'!$4:$148,92,0)*BD16*BD7/BD9</f>
        <v>35.971635764877604</v>
      </c>
      <c r="BE69" s="1333">
        <f>+HLOOKUP(BE4,'תחשיב עלות תפעול לשנת 2016'!$4:$148,92,0)*BE16*BE7/BE9</f>
        <v>48.179974939409554</v>
      </c>
      <c r="BF69" s="1333">
        <f>+HLOOKUP(BF4,'תחשיב עלות תפעול לשנת 2016'!$4:$148,92,0)*BF16*BF7/BF9</f>
        <v>6.504070438858613</v>
      </c>
    </row>
    <row r="70" spans="1:249" ht="12.75" customHeight="1" x14ac:dyDescent="0.2">
      <c r="A70" s="1846"/>
      <c r="B70" s="1846"/>
      <c r="C70" s="376" t="s">
        <v>1768</v>
      </c>
      <c r="D70" s="624">
        <f>+HLOOKUP(D4,'תחשיב עלות תפעול לשנת 2016'!$4:$148,92,0)*D17*D7/D9</f>
        <v>26.189981420426808</v>
      </c>
      <c r="E70" s="624">
        <f>+HLOOKUP(E4,'תחשיב עלות תפעול לשנת 2016'!$4:$148,92,0)*E17*E7/E9</f>
        <v>22.337312421821498</v>
      </c>
      <c r="F70" s="624">
        <f>+HLOOKUP(F4,'תחשיב עלות תפעול לשנת 2016'!$4:$148,92,0)*F17*F7/F9</f>
        <v>18.2457284056057</v>
      </c>
      <c r="G70" s="624">
        <f>+HLOOKUP(G4,'תחשיב עלות תפעול לשנת 2016'!$4:$148,92,0)*G17*G7/G9</f>
        <v>120.07478206737808</v>
      </c>
      <c r="H70" s="624">
        <f>+HLOOKUP(H4,'תחשיב עלות תפעול לשנת 2016'!$4:$148,92,0)*H17*H7/H9</f>
        <v>39.07830326164629</v>
      </c>
      <c r="I70" s="624">
        <f>+HLOOKUP(I4,'תחשיב עלות תפעול לשנת 2016'!$4:$148,92,0)*I17*I7/I9</f>
        <v>26.762628043983323</v>
      </c>
      <c r="J70" s="624">
        <f>+HLOOKUP(J4,'תחשיב עלות תפעול לשנת 2016'!$4:$148,92,0)*J17*J7/J9</f>
        <v>10.630845615453692</v>
      </c>
      <c r="K70" s="624">
        <f>+HLOOKUP(K4,'תחשיב עלות תפעול לשנת 2016'!$4:$148,92,0)*K17*K7/K9</f>
        <v>16.159987611271863</v>
      </c>
      <c r="L70" s="624">
        <f>+HLOOKUP(L4,'תחשיב עלות תפעול לשנת 2016'!$4:$148,92,0)*L17*L7/L9</f>
        <v>11.969730711488904</v>
      </c>
      <c r="M70" s="624">
        <f>+HLOOKUP(M4,'תחשיב עלות תפעול לשנת 2016'!$4:$148,92,0)*M17*M7/M9</f>
        <v>23.738152851642958</v>
      </c>
      <c r="N70" s="624">
        <f>+HLOOKUP(N4,'תחשיב עלות תפעול לשנת 2016'!$4:$148,92,0)*N17*N7/N9</f>
        <v>36.572682688247966</v>
      </c>
      <c r="O70" s="624">
        <f>+HLOOKUP(O4,'תחשיב עלות תפעול לשנת 2016'!$4:$148,92,0)*O17*O7/O9</f>
        <v>21.440835109465151</v>
      </c>
      <c r="P70" s="624">
        <f>+HLOOKUP(P4,'תחשיב עלות תפעול לשנת 2016'!$4:$148,92,0)*P17*P7/P9</f>
        <v>12.825790025548033</v>
      </c>
      <c r="Q70" s="624">
        <f>+HLOOKUP(Q4,'תחשיב עלות תפעול לשנת 2016'!$4:$148,92,0)*Q17*Q7/Q9</f>
        <v>20.550822609326364</v>
      </c>
      <c r="R70" s="624">
        <f>+HLOOKUP(R4,'תחשיב עלות תפעול לשנת 2016'!$4:$148,92,0)*R17*R7/R9</f>
        <v>46.503481841313835</v>
      </c>
      <c r="S70" s="624">
        <f>+HLOOKUP(S4,'תחשיב עלות תפעול לשנת 2016'!$4:$148,92,0)*S17*S7/S9</f>
        <v>42.952770383660649</v>
      </c>
      <c r="T70" s="624">
        <f>+HLOOKUP(T4,'תחשיב עלות תפעול לשנת 2016'!$4:$148,92,0)*T17*T7/T9</f>
        <v>46.160262657660752</v>
      </c>
      <c r="U70" s="624">
        <f>+HLOOKUP(U4,'תחשיב עלות תפעול לשנת 2016'!$4:$148,92,0)*U17*U7/U9</f>
        <v>42.625821792158973</v>
      </c>
      <c r="V70" s="624">
        <f>+HLOOKUP(V4,'תחשיב עלות תפעול לשנת 2016'!$4:$148,92,0)*V17*V7/V9</f>
        <v>41.49784387599329</v>
      </c>
      <c r="W70" s="624">
        <f>+HLOOKUP(W4,'תחשיב עלות תפעול לשנת 2016'!$4:$148,92,0)*W17*W7/W9</f>
        <v>38.236148899063828</v>
      </c>
      <c r="X70" s="624">
        <f>+HLOOKUP(X4,'תחשיב עלות תפעול לשנת 2016'!$4:$148,92,0)*X17*X7/X9</f>
        <v>19.014943537838146</v>
      </c>
      <c r="Y70" s="624">
        <f>+HLOOKUP(Y4,'תחשיב עלות תפעול לשנת 2016'!$4:$148,92,0)*Y17*Y7/Y9</f>
        <v>13.459634023019088</v>
      </c>
      <c r="Z70" s="624">
        <f>+HLOOKUP(Z4,'תחשיב עלות תפעול לשנת 2016'!$4:$148,92,0)*Z17*Z7/Z9</f>
        <v>11.001204333344488</v>
      </c>
      <c r="AA70" s="624">
        <f>+HLOOKUP(AA4,'תחשיב עלות תפעול לשנת 2016'!$4:$148,92,0)*AA17*AA7/AA9</f>
        <v>8.4046373142613575</v>
      </c>
      <c r="AB70" s="624">
        <f>+HLOOKUP(AB4,'תחשיב עלות תפעול לשנת 2016'!$4:$148,92,0)*AB17*AB7/AB9</f>
        <v>15.532528904991882</v>
      </c>
      <c r="AC70" s="624">
        <f>+HLOOKUP(AC4,'תחשיב עלות תפעול לשנת 2016'!$4:$148,92,0)*AC17*AC7/AC9</f>
        <v>15.521448013486342</v>
      </c>
      <c r="AD70" s="624">
        <f>+HLOOKUP(AD4,'תחשיב עלות תפעול לשנת 2016'!$4:$148,92,0)*AD17*AD7/AD9</f>
        <v>25.184082801406817</v>
      </c>
      <c r="AE70" s="624">
        <f>+HLOOKUP(AE4,'תחשיב עלות תפעול לשנת 2016'!$4:$148,92,0)*AE17*AE7/AE9</f>
        <v>11.290659356237247</v>
      </c>
      <c r="AF70" s="624">
        <f>+HLOOKUP(AF4,'תחשיב עלות תפעול לשנת 2016'!$4:$148,92,0)*AF17*AF7/AF9</f>
        <v>53.945938852270075</v>
      </c>
      <c r="AG70" s="624">
        <f>+HLOOKUP(AG4,'תחשיב עלות תפעול לשנת 2016'!$4:$148,92,0)*AG17*AG7/AG9</f>
        <v>12.173086232071748</v>
      </c>
      <c r="AH70" s="624">
        <f>+HLOOKUP(AH4,'תחשיב עלות תפעול לשנת 2016'!$4:$148,92,0)*AH17*AH7/AH9</f>
        <v>12.143489017490133</v>
      </c>
      <c r="AI70" s="624">
        <f>+HLOOKUP(AI4,'תחשיב עלות תפעול לשנת 2016'!$4:$148,92,0)*AI17*AI7/AI9</f>
        <v>7.4787477958926099</v>
      </c>
      <c r="AJ70" s="624">
        <f>+HLOOKUP(AJ4,'תחשיב עלות תפעול לשנת 2016'!$4:$148,92,0)*AJ17*AJ7/AJ9</f>
        <v>8.4463296871869549</v>
      </c>
      <c r="AK70" s="624">
        <f>+HLOOKUP(AK4,'תחשיב עלות תפעול לשנת 2016'!$4:$148,92,0)*AK17*AK7/AK9</f>
        <v>7.4564028802926865</v>
      </c>
      <c r="AL70" s="624">
        <f>+HLOOKUP(AL4,'תחשיב עלות תפעול לשנת 2016'!$4:$148,92,0)*AL17*AL7/AL9</f>
        <v>6.5539958249805235</v>
      </c>
      <c r="AM70" s="624">
        <f>+HLOOKUP(AM4,'תחשיב עלות תפעול לשנת 2016'!$4:$148,92,0)*AM17*AM7/AM9</f>
        <v>94.118743784700612</v>
      </c>
      <c r="AN70" s="624">
        <f>+HLOOKUP(AN4,'תחשיב עלות תפעול לשנת 2016'!$4:$148,92,0)*AN17*AN7/AN9</f>
        <v>12.449449790331336</v>
      </c>
      <c r="AO70" s="624">
        <f>+HLOOKUP(AO4,'תחשיב עלות תפעול לשנת 2016'!$4:$148,92,0)*AO17*AO7/AO9</f>
        <v>24.744180537536341</v>
      </c>
      <c r="AP70" s="624">
        <f>+HLOOKUP(AP4,'תחשיב עלות תפעול לשנת 2016'!$4:$148,92,0)*AP17*AP7/AP9</f>
        <v>7.9434501276749145</v>
      </c>
      <c r="AQ70" s="624">
        <f>+HLOOKUP(AQ4,'תחשיב עלות תפעול לשנת 2016'!$4:$148,92,0)*AQ17*AQ7/AQ9</f>
        <v>20.801607291469537</v>
      </c>
      <c r="AR70" s="624">
        <f>+HLOOKUP(AR4,'תחשיב עלות תפעול לשנת 2016'!$4:$148,92,0)*AR17*AR7/AR9</f>
        <v>12.379536039436969</v>
      </c>
      <c r="AS70" s="624">
        <f>+HLOOKUP(AS4,'תחשיב עלות תפעול לשנת 2016'!$4:$148,92,0)*AS17*AS7/AS9</f>
        <v>24.889866562752573</v>
      </c>
      <c r="AT70" s="624">
        <f>+HLOOKUP(AT4,'תחשיב עלות תפעול לשנת 2016'!$4:$148,92,0)*AT17*AT7/AT9</f>
        <v>7.7337726992587399</v>
      </c>
      <c r="AU70" s="624">
        <f>+HLOOKUP(AU4,'תחשיב עלות תפעול לשנת 2016'!$4:$148,92,0)*AU17*AU7/AU9</f>
        <v>6.2525095431727129</v>
      </c>
      <c r="AV70" s="624">
        <f>+HLOOKUP(AV4,'תחשיב עלות תפעול לשנת 2016'!$4:$148,92,0)*AV17*AV7/AV9</f>
        <v>11.007871503333945</v>
      </c>
      <c r="AW70" s="624">
        <f>+HLOOKUP(AW4,'תחשיב עלות תפעול לשנת 2016'!$4:$148,92,0)*AW17*AW7/AW9</f>
        <v>21.269997695632163</v>
      </c>
      <c r="AX70" s="624">
        <f>+HLOOKUP(AX4,'תחשיב עלות תפעול לשנת 2016'!$4:$148,92,0)*AX17*AX7/AX9</f>
        <v>26.822600128506561</v>
      </c>
      <c r="AY70" s="624">
        <f>+HLOOKUP(AY4,'תחשיב עלות תפעול לשנת 2016'!$4:$148,92,0)*AY17*AY7/AY9</f>
        <v>33.091170301990765</v>
      </c>
      <c r="AZ70" s="624">
        <f>+HLOOKUP(AZ4,'תחשיב עלות תפעול לשנת 2016'!$4:$148,92,0)*AZ17*AZ7/AZ9</f>
        <v>13.877018849920224</v>
      </c>
      <c r="BA70" s="624">
        <f>+HLOOKUP(BA4,'תחשיב עלות תפעול לשנת 2016'!$4:$148,92,0)*BA17*BA7/BA9</f>
        <v>13.596996040743678</v>
      </c>
      <c r="BB70" s="624">
        <f>+HLOOKUP(BB4,'תחשיב עלות תפעול לשנת 2016'!$4:$148,92,0)*BB17*BB7/BB9</f>
        <v>12.803923717246446</v>
      </c>
      <c r="BC70" s="624">
        <f>+HLOOKUP(BC4,'תחשיב עלות תפעול לשנת 2016'!$4:$148,92,0)*BC17*BC7/BC9</f>
        <v>12.319780556517344</v>
      </c>
      <c r="BD70" s="624">
        <f>+HLOOKUP(BD4,'תחשיב עלות תפעול לשנת 2016'!$4:$148,92,0)*BD17*BD7/BD9</f>
        <v>14.388654305951043</v>
      </c>
      <c r="BE70" s="624">
        <f>+HLOOKUP(BE4,'תחשיב עלות תפעול לשנת 2016'!$4:$148,92,0)*BE17*BE7/BE9</f>
        <v>19.27198997576382</v>
      </c>
      <c r="BF70" s="624">
        <f>+HLOOKUP(BF4,'תחשיב עלות תפעול לשנת 2016'!$4:$148,92,0)*BF17*BF7/BF9</f>
        <v>2.6016281755434449</v>
      </c>
    </row>
    <row r="71" spans="1:249" ht="12.75" customHeight="1" x14ac:dyDescent="0.2">
      <c r="A71" s="1846"/>
      <c r="B71" s="1846"/>
      <c r="C71" s="376" t="s">
        <v>1769</v>
      </c>
      <c r="D71" s="628">
        <f>+HLOOKUP(D4,'תחשיב עלות תפעול לשנת 2016'!$4:$148,92,0)*D18*D7/D9</f>
        <v>26.189981420426808</v>
      </c>
      <c r="E71" s="628">
        <f>+HLOOKUP(E4,'תחשיב עלות תפעול לשנת 2016'!$4:$148,92,0)*E18*E7/E9</f>
        <v>22.337312421821498</v>
      </c>
      <c r="F71" s="628">
        <f>+HLOOKUP(F4,'תחשיב עלות תפעול לשנת 2016'!$4:$148,92,0)*F18*F7/F9</f>
        <v>18.2457284056057</v>
      </c>
      <c r="G71" s="628">
        <f>+HLOOKUP(G4,'תחשיב עלות תפעול לשנת 2016'!$4:$148,92,0)*G18*G7/G9</f>
        <v>120.07478206737808</v>
      </c>
      <c r="H71" s="628">
        <f>+HLOOKUP(H4,'תחשיב עלות תפעול לשנת 2016'!$4:$148,92,0)*H18*H7/H9</f>
        <v>39.07830326164629</v>
      </c>
      <c r="I71" s="628">
        <f>+HLOOKUP(I4,'תחשיב עלות תפעול לשנת 2016'!$4:$148,92,0)*I18*I7/I9</f>
        <v>26.762628043983323</v>
      </c>
      <c r="J71" s="628">
        <f>+HLOOKUP(J4,'תחשיב עלות תפעול לשנת 2016'!$4:$148,92,0)*J18*J7/J9</f>
        <v>10.630845615453692</v>
      </c>
      <c r="K71" s="628">
        <f>+HLOOKUP(K4,'תחשיב עלות תפעול לשנת 2016'!$4:$148,92,0)*K18*K7/K9</f>
        <v>16.159987611271863</v>
      </c>
      <c r="L71" s="628">
        <f>+HLOOKUP(L4,'תחשיב עלות תפעול לשנת 2016'!$4:$148,92,0)*L18*L7/L9</f>
        <v>11.969730711488904</v>
      </c>
      <c r="M71" s="628">
        <f>+HLOOKUP(M4,'תחשיב עלות תפעול לשנת 2016'!$4:$148,92,0)*M18*M7/M9</f>
        <v>23.738152851642958</v>
      </c>
      <c r="N71" s="628">
        <f>+HLOOKUP(N4,'תחשיב עלות תפעול לשנת 2016'!$4:$148,92,0)*N18*N7/N9</f>
        <v>36.572682688247966</v>
      </c>
      <c r="O71" s="628">
        <f>+HLOOKUP(O4,'תחשיב עלות תפעול לשנת 2016'!$4:$148,92,0)*O18*O7/O9</f>
        <v>21.440835109465151</v>
      </c>
      <c r="P71" s="628">
        <f>+HLOOKUP(P4,'תחשיב עלות תפעול לשנת 2016'!$4:$148,92,0)*P18*P7/P9</f>
        <v>12.825790025548033</v>
      </c>
      <c r="Q71" s="628">
        <f>+HLOOKUP(Q4,'תחשיב עלות תפעול לשנת 2016'!$4:$148,92,0)*Q18*Q7/Q9</f>
        <v>20.550822609326364</v>
      </c>
      <c r="R71" s="628">
        <f>+HLOOKUP(R4,'תחשיב עלות תפעול לשנת 2016'!$4:$148,92,0)*R18*R7/R9</f>
        <v>46.503481841313835</v>
      </c>
      <c r="S71" s="628">
        <f>+HLOOKUP(S4,'תחשיב עלות תפעול לשנת 2016'!$4:$148,92,0)*S18*S7/S9</f>
        <v>42.952770383660649</v>
      </c>
      <c r="T71" s="628">
        <f>+HLOOKUP(T4,'תחשיב עלות תפעול לשנת 2016'!$4:$148,92,0)*T18*T7/T9</f>
        <v>46.160262657660752</v>
      </c>
      <c r="U71" s="628">
        <f>+HLOOKUP(U4,'תחשיב עלות תפעול לשנת 2016'!$4:$148,92,0)*U18*U7/U9</f>
        <v>42.625821792158973</v>
      </c>
      <c r="V71" s="628">
        <f>+HLOOKUP(V4,'תחשיב עלות תפעול לשנת 2016'!$4:$148,92,0)*V18*V7/V9</f>
        <v>41.49784387599329</v>
      </c>
      <c r="W71" s="628">
        <f>+HLOOKUP(W4,'תחשיב עלות תפעול לשנת 2016'!$4:$148,92,0)*W18*W7/W9</f>
        <v>38.236148899063828</v>
      </c>
      <c r="X71" s="628">
        <f>+HLOOKUP(X4,'תחשיב עלות תפעול לשנת 2016'!$4:$148,92,0)*X18*X7/X9</f>
        <v>19.014943537838146</v>
      </c>
      <c r="Y71" s="628">
        <f>+HLOOKUP(Y4,'תחשיב עלות תפעול לשנת 2016'!$4:$148,92,0)*Y18*Y7/Y9</f>
        <v>13.459634023019088</v>
      </c>
      <c r="Z71" s="628">
        <f>+HLOOKUP(Z4,'תחשיב עלות תפעול לשנת 2016'!$4:$148,92,0)*Z18*Z7/Z9</f>
        <v>11.001204333344488</v>
      </c>
      <c r="AA71" s="628">
        <f>+HLOOKUP(AA4,'תחשיב עלות תפעול לשנת 2016'!$4:$148,92,0)*AA18*AA7/AA9</f>
        <v>8.4046373142613575</v>
      </c>
      <c r="AB71" s="628">
        <f>+HLOOKUP(AB4,'תחשיב עלות תפעול לשנת 2016'!$4:$148,92,0)*AB18*AB7/AB9</f>
        <v>15.532528904991882</v>
      </c>
      <c r="AC71" s="628">
        <f>+HLOOKUP(AC4,'תחשיב עלות תפעול לשנת 2016'!$4:$148,92,0)*AC18*AC7/AC9</f>
        <v>15.521448013486342</v>
      </c>
      <c r="AD71" s="628">
        <f>+HLOOKUP(AD4,'תחשיב עלות תפעול לשנת 2016'!$4:$148,92,0)*AD18*AD7/AD9</f>
        <v>25.184082801406817</v>
      </c>
      <c r="AE71" s="628">
        <f>+HLOOKUP(AE4,'תחשיב עלות תפעול לשנת 2016'!$4:$148,92,0)*AE18*AE7/AE9</f>
        <v>11.290659356237247</v>
      </c>
      <c r="AF71" s="628">
        <f>+HLOOKUP(AF4,'תחשיב עלות תפעול לשנת 2016'!$4:$148,92,0)*AF18*AF7/AF9</f>
        <v>53.945938852270075</v>
      </c>
      <c r="AG71" s="628">
        <f>+HLOOKUP(AG4,'תחשיב עלות תפעול לשנת 2016'!$4:$148,92,0)*AG18*AG7/AG9</f>
        <v>12.173086232071748</v>
      </c>
      <c r="AH71" s="628">
        <f>+HLOOKUP(AH4,'תחשיב עלות תפעול לשנת 2016'!$4:$148,92,0)*AH18*AH7/AH9</f>
        <v>12.143489017490133</v>
      </c>
      <c r="AI71" s="628">
        <f>+HLOOKUP(AI4,'תחשיב עלות תפעול לשנת 2016'!$4:$148,92,0)*AI18*AI7/AI9</f>
        <v>7.4787477958926099</v>
      </c>
      <c r="AJ71" s="628">
        <f>+HLOOKUP(AJ4,'תחשיב עלות תפעול לשנת 2016'!$4:$148,92,0)*AJ18*AJ7/AJ9</f>
        <v>8.4463296871869549</v>
      </c>
      <c r="AK71" s="628">
        <f>+HLOOKUP(AK4,'תחשיב עלות תפעול לשנת 2016'!$4:$148,92,0)*AK18*AK7/AK9</f>
        <v>7.4564028802926865</v>
      </c>
      <c r="AL71" s="628">
        <f>+HLOOKUP(AL4,'תחשיב עלות תפעול לשנת 2016'!$4:$148,92,0)*AL18*AL7/AL9</f>
        <v>6.5539958249805235</v>
      </c>
      <c r="AM71" s="628">
        <f>+HLOOKUP(AM4,'תחשיב עלות תפעול לשנת 2016'!$4:$148,92,0)*AM18*AM7/AM9</f>
        <v>94.118743784700612</v>
      </c>
      <c r="AN71" s="628">
        <f>+HLOOKUP(AN4,'תחשיב עלות תפעול לשנת 2016'!$4:$148,92,0)*AN18*AN7/AN9</f>
        <v>12.449449790331336</v>
      </c>
      <c r="AO71" s="628">
        <f>+HLOOKUP(AO4,'תחשיב עלות תפעול לשנת 2016'!$4:$148,92,0)*AO18*AO7/AO9</f>
        <v>24.744180537536341</v>
      </c>
      <c r="AP71" s="628">
        <f>+HLOOKUP(AP4,'תחשיב עלות תפעול לשנת 2016'!$4:$148,92,0)*AP18*AP7/AP9</f>
        <v>7.9434501276749145</v>
      </c>
      <c r="AQ71" s="628">
        <f>+HLOOKUP(AQ4,'תחשיב עלות תפעול לשנת 2016'!$4:$148,92,0)*AQ18*AQ7/AQ9</f>
        <v>20.801607291469537</v>
      </c>
      <c r="AR71" s="628">
        <f>+HLOOKUP(AR4,'תחשיב עלות תפעול לשנת 2016'!$4:$148,92,0)*AR18*AR7/AR9</f>
        <v>12.379536039436969</v>
      </c>
      <c r="AS71" s="628">
        <f>+HLOOKUP(AS4,'תחשיב עלות תפעול לשנת 2016'!$4:$148,92,0)*AS18*AS7/AS9</f>
        <v>24.889866562752573</v>
      </c>
      <c r="AT71" s="628">
        <f>+HLOOKUP(AT4,'תחשיב עלות תפעול לשנת 2016'!$4:$148,92,0)*AT18*AT7/AT9</f>
        <v>7.7337726992587399</v>
      </c>
      <c r="AU71" s="628">
        <f>+HLOOKUP(AU4,'תחשיב עלות תפעול לשנת 2016'!$4:$148,92,0)*AU18*AU7/AU9</f>
        <v>6.2525095431727129</v>
      </c>
      <c r="AV71" s="628">
        <f>+HLOOKUP(AV4,'תחשיב עלות תפעול לשנת 2016'!$4:$148,92,0)*AV18*AV7/AV9</f>
        <v>11.007871503333945</v>
      </c>
      <c r="AW71" s="628">
        <f>+HLOOKUP(AW4,'תחשיב עלות תפעול לשנת 2016'!$4:$148,92,0)*AW18*AW7/AW9</f>
        <v>21.269997695632163</v>
      </c>
      <c r="AX71" s="628">
        <f>+HLOOKUP(AX4,'תחשיב עלות תפעול לשנת 2016'!$4:$148,92,0)*AX18*AX7/AX9</f>
        <v>26.822600128506561</v>
      </c>
      <c r="AY71" s="628">
        <f>+HLOOKUP(AY4,'תחשיב עלות תפעול לשנת 2016'!$4:$148,92,0)*AY18*AY7/AY9</f>
        <v>33.091170301990765</v>
      </c>
      <c r="AZ71" s="628">
        <f>+HLOOKUP(AZ4,'תחשיב עלות תפעול לשנת 2016'!$4:$148,92,0)*AZ18*AZ7/AZ9</f>
        <v>13.877018849920224</v>
      </c>
      <c r="BA71" s="628">
        <f>+HLOOKUP(BA4,'תחשיב עלות תפעול לשנת 2016'!$4:$148,92,0)*BA18*BA7/BA9</f>
        <v>13.596996040743678</v>
      </c>
      <c r="BB71" s="628">
        <f>+HLOOKUP(BB4,'תחשיב עלות תפעול לשנת 2016'!$4:$148,92,0)*BB18*BB7/BB9</f>
        <v>12.803923717246446</v>
      </c>
      <c r="BC71" s="628">
        <f>+HLOOKUP(BC4,'תחשיב עלות תפעול לשנת 2016'!$4:$148,92,0)*BC18*BC7/BC9</f>
        <v>12.319780556517344</v>
      </c>
      <c r="BD71" s="628">
        <f>+HLOOKUP(BD4,'תחשיב עלות תפעול לשנת 2016'!$4:$148,92,0)*BD18*BD7/BD9</f>
        <v>14.388654305951043</v>
      </c>
      <c r="BE71" s="628">
        <f>+HLOOKUP(BE4,'תחשיב עלות תפעול לשנת 2016'!$4:$148,92,0)*BE18*BE7/BE9</f>
        <v>19.27198997576382</v>
      </c>
      <c r="BF71" s="628">
        <f>+HLOOKUP(BF4,'תחשיב עלות תפעול לשנת 2016'!$4:$148,92,0)*BF18*BF7/BF9</f>
        <v>2.6016281755434449</v>
      </c>
    </row>
    <row r="72" spans="1:249" ht="12.75" customHeight="1" x14ac:dyDescent="0.2">
      <c r="A72" s="1846"/>
      <c r="B72" s="1846"/>
      <c r="C72" s="376" t="s">
        <v>1657</v>
      </c>
      <c r="D72" s="627">
        <f>(+HLOOKUP(D4,'תחשיב עלות תפעול לשנת 2016'!$4:$138,114,0))*D7*(D11/D12)</f>
        <v>0</v>
      </c>
      <c r="E72" s="627">
        <f>(+HLOOKUP(E4,'תחשיב עלות תפעול לשנת 2016'!$4:$138,114,0))*E7*(E11/E12)</f>
        <v>90.552800000000005</v>
      </c>
      <c r="F72" s="627">
        <f>(+HLOOKUP(F4,'תחשיב עלות תפעול לשנת 2016'!$4:$138,114,0))*F7*(F11/F12)</f>
        <v>161.20776000000001</v>
      </c>
      <c r="G72" s="627">
        <f>(+HLOOKUP(G4,'תחשיב עלות תפעול לשנת 2016'!$4:$138,114,0))*G7*(G11/G12)</f>
        <v>1581.6082800000001</v>
      </c>
      <c r="H72" s="627">
        <f>(+HLOOKUP(H4,'תחשיב עלות תפעול לשנת 2016'!$4:$138,114,0))*H7*(H11/H12)</f>
        <v>160.05333000000002</v>
      </c>
      <c r="I72" s="627">
        <f>(+HLOOKUP(I4,'תחשיב עלות תפעול לשנת 2016'!$4:$138,114,0))*I7*(I11/I12)</f>
        <v>17.881780000000003</v>
      </c>
      <c r="J72" s="627">
        <f>(+HLOOKUP(J4,'תחשיב עלות תפעול לשנת 2016'!$4:$138,114,0))*J7*(J11/J12)</f>
        <v>86.192359999999994</v>
      </c>
      <c r="K72" s="627">
        <f>(+HLOOKUP(K4,'תחשיב עלות תפעול לשנת 2016'!$4:$138,114,0))*K7*(K11/K12)</f>
        <v>0</v>
      </c>
      <c r="L72" s="627">
        <f>(+HLOOKUP(L4,'תחשיב עלות תפעול לשנת 2016'!$4:$138,114,0))*L7*(L11/L12)</f>
        <v>0</v>
      </c>
      <c r="M72" s="627">
        <f>(+HLOOKUP(M4,'תחשיב עלות תפעול לשנת 2016'!$4:$138,114,0))*M7*(M11/M12)</f>
        <v>481.15820000000008</v>
      </c>
      <c r="N72" s="627">
        <f>(+HLOOKUP(N4,'תחשיב עלות תפעול לשנת 2016'!$4:$138,114,0))*N7*(N11/N12)</f>
        <v>156.37957</v>
      </c>
      <c r="O72" s="627">
        <f>(+HLOOKUP(O4,'תחשיב עלות תפעול לשנת 2016'!$4:$138,114,0))*O7*(O11/O12)</f>
        <v>183.35589999999999</v>
      </c>
      <c r="P72" s="627">
        <f>(+HLOOKUP(P4,'תחשיב עלות תפעול לשנת 2016'!$4:$138,114,0))*P7*(P11/P12)</f>
        <v>0</v>
      </c>
      <c r="Q72" s="627">
        <f>(+HLOOKUP(Q4,'תחשיב עלות תפעול לשנת 2016'!$4:$138,114,0))*Q7*(Q11/Q12)</f>
        <v>136.18059</v>
      </c>
      <c r="R72" s="627">
        <f>(+HLOOKUP(R4,'תחשיב עלות תפעול לשנת 2016'!$4:$138,114,0))*R7*(R11/R12)</f>
        <v>194.54196000000002</v>
      </c>
      <c r="S72" s="627">
        <f>(+HLOOKUP(S4,'תחשיב עלות תפעול לשנת 2016'!$4:$138,114,0))*S7*(S11/S12)</f>
        <v>0</v>
      </c>
      <c r="T72" s="627">
        <f>(+HLOOKUP(T4,'תחשיב עלות תפעול לשנת 2016'!$4:$138,114,0))*T7*(T11/T12)</f>
        <v>0</v>
      </c>
      <c r="U72" s="627">
        <f>(+HLOOKUP(U4,'תחשיב עלות תפעול לשנת 2016'!$4:$138,114,0))*U7*(U11/U12)</f>
        <v>0</v>
      </c>
      <c r="V72" s="627">
        <f>(+HLOOKUP(V4,'תחשיב עלות תפעול לשנת 2016'!$4:$138,114,0))*V7*(V11/V12)</f>
        <v>97.843889999999988</v>
      </c>
      <c r="W72" s="627">
        <f>(+HLOOKUP(W4,'תחשיב עלות תפעול לשנת 2016'!$4:$138,114,0))*W7*(W11/W12)</f>
        <v>506.74578000000014</v>
      </c>
      <c r="X72" s="627">
        <f>(+HLOOKUP(X4,'תחשיב עלות תפעול לשנת 2016'!$4:$138,114,0))*X7*(X11/X12)</f>
        <v>164.81002000000001</v>
      </c>
      <c r="Y72" s="627">
        <f>(+HLOOKUP(Y4,'תחשיב עלות תפעול לשנת 2016'!$4:$138,114,0))*Y7*(Y11/Y12)</f>
        <v>0</v>
      </c>
      <c r="Z72" s="627">
        <f>(+HLOOKUP(Z4,'תחשיב עלות תפעול לשנת 2016'!$4:$138,114,0))*Z7*(Z11/Z12)</f>
        <v>29.529620000000001</v>
      </c>
      <c r="AA72" s="627">
        <f>(+HLOOKUP(AA4,'תחשיב עלות תפעול לשנת 2016'!$4:$138,114,0))*AA7*(AA11/AA12)</f>
        <v>0</v>
      </c>
      <c r="AB72" s="627">
        <f>(+HLOOKUP(AB4,'תחשיב עלות תפעול לשנת 2016'!$4:$138,114,0))*AB7*(AB11/AB12)</f>
        <v>60.023060000000008</v>
      </c>
      <c r="AC72" s="627">
        <f>(+HLOOKUP(AC4,'תחשיב עלות תפעול לשנת 2016'!$4:$138,114,0))*AC7*(AC11/AC12)</f>
        <v>64.932190000000006</v>
      </c>
      <c r="AD72" s="627">
        <f>(+HLOOKUP(AD4,'תחשיב עלות תפעול לשנת 2016'!$4:$138,114,0))*AD7*(AD11/AD12)</f>
        <v>97.319999999999979</v>
      </c>
      <c r="AE72" s="627">
        <f>(+HLOOKUP(AE4,'תחשיב עלות תפעול לשנת 2016'!$4:$138,114,0))*AE7*(AE11/AE12)</f>
        <v>43.631009999999996</v>
      </c>
      <c r="AF72" s="627">
        <f>(+HLOOKUP(AF4,'תחשיב עלות תפעול לשנת 2016'!$4:$138,114,0))*AF7*(AF11/AF12)</f>
        <v>0</v>
      </c>
      <c r="AG72" s="627">
        <f>(+HLOOKUP(AG4,'תחשיב עלות תפעול לשנת 2016'!$4:$138,114,0))*AG7*(AG11/AG12)</f>
        <v>49.857410000000002</v>
      </c>
      <c r="AH72" s="627">
        <f>(+HLOOKUP(AH4,'תחשיב עלות תפעול לשנת 2016'!$4:$138,114,0))*AH7*(AH11/AH12)</f>
        <v>0</v>
      </c>
      <c r="AI72" s="627">
        <f>(+HLOOKUP(AI4,'תחשיב עלות תפעול לשנת 2016'!$4:$138,114,0))*AI7*(AI11/AI12)</f>
        <v>31.286480000000001</v>
      </c>
      <c r="AJ72" s="627">
        <f>(+HLOOKUP(AJ4,'תחשיב עלות תפעול לשנת 2016'!$4:$138,114,0))*AJ7*(AJ11/AJ12)</f>
        <v>0</v>
      </c>
      <c r="AK72" s="627">
        <f>(+HLOOKUP(AK4,'תחשיב עלות תפעול לשנת 2016'!$4:$138,114,0))*AK7*(AK11/AK12)</f>
        <v>0</v>
      </c>
      <c r="AL72" s="627">
        <f>(+HLOOKUP(AL4,'תחשיב עלות תפעול לשנת 2016'!$4:$138,114,0))*AL7*(AL11/AL12)</f>
        <v>0</v>
      </c>
      <c r="AM72" s="627">
        <f>(+HLOOKUP(AM4,'תחשיב עלות תפעול לשנת 2016'!$4:$138,114,0))*AM7*(AM11/AM12)</f>
        <v>0</v>
      </c>
      <c r="AN72" s="627">
        <f>(+HLOOKUP(AN4,'תחשיב עלות תפעול לשנת 2016'!$4:$138,114,0))*AN7*(AN11/AN12)</f>
        <v>0</v>
      </c>
      <c r="AO72" s="627">
        <f>(+HLOOKUP(AO4,'תחשיב עלות תפעול לשנת 2016'!$4:$138,114,0))*AO7*(AO11/AO12)</f>
        <v>0</v>
      </c>
      <c r="AP72" s="627">
        <f>(+HLOOKUP(AP4,'תחשיב עלות תפעול לשנת 2016'!$4:$138,114,0))*AP7*(AP11/AP12)</f>
        <v>0</v>
      </c>
      <c r="AQ72" s="627">
        <f>(+HLOOKUP(AQ4,'תחשיב עלות תפעול לשנת 2016'!$4:$138,114,0))*AQ7*(AQ11/AQ12)</f>
        <v>0</v>
      </c>
      <c r="AR72" s="627">
        <f>(+HLOOKUP(AR4,'תחשיב עלות תפעול לשנת 2016'!$4:$138,114,0))*AR7*(AR11/AR12)</f>
        <v>0</v>
      </c>
      <c r="AS72" s="627">
        <f>(+HLOOKUP(AS4,'תחשיב עלות תפעול לשנת 2016'!$4:$138,114,0))*AS7*(AS11/AS12)</f>
        <v>201.80110000000005</v>
      </c>
      <c r="AT72" s="627">
        <f>(+HLOOKUP(AT4,'תחשיב עלות תפעול לשנת 2016'!$4:$138,114,0))*AT7*(AT11/AT12)</f>
        <v>31.699650000000002</v>
      </c>
      <c r="AU72" s="627">
        <f>(+HLOOKUP(AU4,'תחשיב עלות תפעול לשנת 2016'!$4:$138,114,0))*AU7*(AU11/AU12)</f>
        <v>0</v>
      </c>
      <c r="AV72" s="627">
        <f>(+HLOOKUP(AV4,'תחשיב עלות תפעול לשנת 2016'!$4:$138,114,0))*AV7*(AV11/AV12)</f>
        <v>42.538219999999995</v>
      </c>
      <c r="AW72" s="627">
        <f>(+HLOOKUP(AW4,'תחשיב עלות תפעול לשנת 2016'!$4:$138,114,0))*AW7*(AW11/AW12)</f>
        <v>57.093289999999996</v>
      </c>
      <c r="AX72" s="627">
        <f>(+HLOOKUP(AX4,'תחשיב עלות תפעול לשנת 2016'!$4:$138,114,0))*AX7*(AX11/AX12)</f>
        <v>0</v>
      </c>
      <c r="AY72" s="627">
        <f>(+HLOOKUP(AY4,'תחשיב עלות תפעול לשנת 2016'!$4:$138,114,0))*AY7*(AY11/AY12)</f>
        <v>271.06356</v>
      </c>
      <c r="AZ72" s="627">
        <f>(+HLOOKUP(AZ4,'תחשיב עלות תפעול לשנת 2016'!$4:$138,114,0))*AZ7*(AZ11/AZ12)</f>
        <v>232.21164000000002</v>
      </c>
      <c r="BA72" s="627">
        <f>(+HLOOKUP(BA4,'תחשיב עלות תפעול לשנת 2016'!$4:$138,114,0))*BA7*(BA11/BA12)</f>
        <v>110.24120000000001</v>
      </c>
      <c r="BB72" s="627">
        <f>(+HLOOKUP(BB4,'תחשיב עלות תפעול לשנת 2016'!$4:$138,114,0))*BB7*(BB11/BB12)</f>
        <v>55.488330000000005</v>
      </c>
      <c r="BC72" s="627">
        <f>(+HLOOKUP(BC4,'תחשיב עלות תפעול לשנת 2016'!$4:$138,114,0))*BC7*(BC11/BC12)</f>
        <v>0</v>
      </c>
      <c r="BD72" s="627">
        <f>(+HLOOKUP(BD4,'תחשיב עלות תפעול לשנת 2016'!$4:$138,114,0))*BD7*(BD11/BD12)</f>
        <v>120.386556</v>
      </c>
      <c r="BE72" s="627">
        <f>(+HLOOKUP(BE4,'תחשיב עלות תפעול לשנת 2016'!$4:$138,114,0))*BE7*(BE11/BE12)</f>
        <v>74.47363</v>
      </c>
      <c r="BF72" s="627">
        <f>(+HLOOKUP(BF4,'תחשיב עלות תפעול לשנת 2016'!$4:$138,114,0))*BF7*(BF11/BF12)</f>
        <v>0</v>
      </c>
    </row>
    <row r="73" spans="1:249" s="622" customFormat="1" ht="12.75" customHeight="1" x14ac:dyDescent="0.2">
      <c r="A73" s="1846"/>
      <c r="B73" s="1846"/>
      <c r="C73" s="376" t="s">
        <v>1415</v>
      </c>
      <c r="D73" s="628">
        <f>+HLOOKUP(D4,'תחשיב עלות תפעול לשנת 2016'!$4:$148,92,0)*D24*D7/D9</f>
        <v>52.379962840853615</v>
      </c>
      <c r="E73" s="628">
        <f>+HLOOKUP(E4,'תחשיב עלות תפעול לשנת 2016'!$4:$148,92,0)*E24*E7/E9</f>
        <v>44.674624843642995</v>
      </c>
      <c r="F73" s="628">
        <f>+HLOOKUP(F4,'תחשיב עלות תפעול לשנת 2016'!$4:$148,92,0)*F24*F7/F9</f>
        <v>36.4914568112114</v>
      </c>
      <c r="G73" s="628">
        <f>+HLOOKUP(G4,'תחשיב עלות תפעול לשנת 2016'!$4:$148,92,0)*G24*G7/G9</f>
        <v>240.14956413475616</v>
      </c>
      <c r="H73" s="628">
        <f>+HLOOKUP(H4,'תחשיב עלות תפעול לשנת 2016'!$4:$148,92,0)*H24*H7/H9</f>
        <v>78.156606523292581</v>
      </c>
      <c r="I73" s="628">
        <f>+HLOOKUP(I4,'תחשיב עלות תפעול לשנת 2016'!$4:$148,92,0)*I24*I7/I9</f>
        <v>53.525256087966646</v>
      </c>
      <c r="J73" s="628">
        <f>+HLOOKUP(J4,'תחשיב עלות תפעול לשנת 2016'!$4:$148,92,0)*J24*J7/J9</f>
        <v>21.261691230907385</v>
      </c>
      <c r="K73" s="628">
        <f>+HLOOKUP(K4,'תחשיב עלות תפעול לשנת 2016'!$4:$148,92,0)*K24*K7/K9</f>
        <v>32.319975222543725</v>
      </c>
      <c r="L73" s="628">
        <f>+HLOOKUP(L4,'תחשיב עלות תפעול לשנת 2016'!$4:$148,92,0)*L24*L7/L9</f>
        <v>23.939461422977807</v>
      </c>
      <c r="M73" s="628">
        <f>+HLOOKUP(M4,'תחשיב עלות תפעול לשנת 2016'!$4:$148,92,0)*M24*M7/M9</f>
        <v>47.476305703285917</v>
      </c>
      <c r="N73" s="628">
        <f>+HLOOKUP(N4,'תחשיב עלות תפעול לשנת 2016'!$4:$148,92,0)*N24*N7/N9</f>
        <v>73.145365376495931</v>
      </c>
      <c r="O73" s="628">
        <f>+HLOOKUP(O4,'תחשיב עלות תפעול לשנת 2016'!$4:$148,92,0)*O24*O7/O9</f>
        <v>42.881670218930303</v>
      </c>
      <c r="P73" s="628">
        <f>+HLOOKUP(P4,'תחשיב עלות תפעול לשנת 2016'!$4:$148,92,0)*P24*P7/P9</f>
        <v>25.651580051096065</v>
      </c>
      <c r="Q73" s="628">
        <f>+HLOOKUP(Q4,'תחשיב עלות תפעול לשנת 2016'!$4:$148,92,0)*Q24*Q7/Q9</f>
        <v>41.101645218652727</v>
      </c>
      <c r="R73" s="628">
        <f>+HLOOKUP(R4,'תחשיב עלות תפעול לשנת 2016'!$4:$148,92,0)*R24*R7/R9</f>
        <v>93.006963682627671</v>
      </c>
      <c r="S73" s="628">
        <f>+HLOOKUP(S4,'תחשיב עלות תפעול לשנת 2016'!$4:$148,92,0)*S24*S7/S9</f>
        <v>85.905540767321298</v>
      </c>
      <c r="T73" s="628">
        <f>+HLOOKUP(T4,'תחשיב עלות תפעול לשנת 2016'!$4:$148,92,0)*T24*T7/T9</f>
        <v>92.320525315321504</v>
      </c>
      <c r="U73" s="628">
        <f>+HLOOKUP(U4,'תחשיב עלות תפעול לשנת 2016'!$4:$148,92,0)*U24*U7/U9</f>
        <v>85.251643584317947</v>
      </c>
      <c r="V73" s="628">
        <f>+HLOOKUP(V4,'תחשיב עלות תפעול לשנת 2016'!$4:$148,92,0)*V24*V7/V9</f>
        <v>82.99568775198658</v>
      </c>
      <c r="W73" s="628">
        <f>+HLOOKUP(W4,'תחשיב עלות תפעול לשנת 2016'!$4:$148,92,0)*W24*W7/W9</f>
        <v>76.472297798127656</v>
      </c>
      <c r="X73" s="628">
        <f>+HLOOKUP(X4,'תחשיב עלות תפעול לשנת 2016'!$4:$148,92,0)*X24*X7/X9</f>
        <v>38.029887075676292</v>
      </c>
      <c r="Y73" s="628">
        <f>+HLOOKUP(Y4,'תחשיב עלות תפעול לשנת 2016'!$4:$148,92,0)*Y24*Y7/Y9</f>
        <v>26.919268046038177</v>
      </c>
      <c r="Z73" s="628">
        <f>+HLOOKUP(Z4,'תחשיב עלות תפעול לשנת 2016'!$4:$148,92,0)*Z24*Z7/Z9</f>
        <v>22.002408666688975</v>
      </c>
      <c r="AA73" s="628">
        <f>+HLOOKUP(AA4,'תחשיב עלות תפעול לשנת 2016'!$4:$148,92,0)*AA24*AA7/AA9</f>
        <v>16.809274628522715</v>
      </c>
      <c r="AB73" s="628">
        <f>+HLOOKUP(AB4,'תחשיב עלות תפעול לשנת 2016'!$4:$148,92,0)*AB24*AB7/AB9</f>
        <v>31.065057809983763</v>
      </c>
      <c r="AC73" s="628">
        <f>+HLOOKUP(AC4,'תחשיב עלות תפעול לשנת 2016'!$4:$148,92,0)*AC24*AC7/AC9</f>
        <v>31.042896026972684</v>
      </c>
      <c r="AD73" s="628">
        <f>+HLOOKUP(AD4,'תחשיב עלות תפעול לשנת 2016'!$4:$148,92,0)*AD24*AD7/AD9</f>
        <v>50.368165602813633</v>
      </c>
      <c r="AE73" s="628">
        <f>+HLOOKUP(AE4,'תחשיב עלות תפעול לשנת 2016'!$4:$148,92,0)*AE24*AE7/AE9</f>
        <v>22.581318712474495</v>
      </c>
      <c r="AF73" s="628">
        <f>+HLOOKUP(AF4,'תחשיב עלות תפעול לשנת 2016'!$4:$148,92,0)*AF24*AF7/AF9</f>
        <v>107.89187770454015</v>
      </c>
      <c r="AG73" s="628">
        <f>+HLOOKUP(AG4,'תחשיב עלות תפעול לשנת 2016'!$4:$148,92,0)*AG24*AG7/AG9</f>
        <v>24.346172464143496</v>
      </c>
      <c r="AH73" s="628">
        <f>+HLOOKUP(AH4,'תחשיב עלות תפעול לשנת 2016'!$4:$148,92,0)*AH24*AH7/AH9</f>
        <v>24.286978034980265</v>
      </c>
      <c r="AI73" s="628">
        <f>+HLOOKUP(AI4,'תחשיב עלות תפעול לשנת 2016'!$4:$148,92,0)*AI24*AI7/AI9</f>
        <v>14.95749559178522</v>
      </c>
      <c r="AJ73" s="628">
        <f>+HLOOKUP(AJ4,'תחשיב עלות תפעול לשנת 2016'!$4:$148,92,0)*AJ24*AJ7/AJ9</f>
        <v>16.89265937437391</v>
      </c>
      <c r="AK73" s="628">
        <f>+HLOOKUP(AK4,'תחשיב עלות תפעול לשנת 2016'!$4:$148,92,0)*AK24*AK7/AK9</f>
        <v>14.912805760585373</v>
      </c>
      <c r="AL73" s="628">
        <f>+HLOOKUP(AL4,'תחשיב עלות תפעול לשנת 2016'!$4:$148,92,0)*AL24*AL7/AL9</f>
        <v>13.107991649961047</v>
      </c>
      <c r="AM73" s="628">
        <f>+HLOOKUP(AM4,'תחשיב עלות תפעול לשנת 2016'!$4:$148,92,0)*AM24*AM7/AM9</f>
        <v>188.23748756940122</v>
      </c>
      <c r="AN73" s="628">
        <f>+HLOOKUP(AN4,'תחשיב עלות תפעול לשנת 2016'!$4:$148,92,0)*AN24*AN7/AN9</f>
        <v>24.898899580662672</v>
      </c>
      <c r="AO73" s="628">
        <f>+HLOOKUP(AO4,'תחשיב עלות תפעול לשנת 2016'!$4:$148,92,0)*AO24*AO7/AO9</f>
        <v>49.488361075072682</v>
      </c>
      <c r="AP73" s="628">
        <f>+HLOOKUP(AP4,'תחשיב עלות תפעול לשנת 2016'!$4:$148,92,0)*AP24*AP7/AP9</f>
        <v>15.886900255349829</v>
      </c>
      <c r="AQ73" s="628">
        <f>+HLOOKUP(AQ4,'תחשיב עלות תפעול לשנת 2016'!$4:$148,92,0)*AQ24*AQ7/AQ9</f>
        <v>41.603214582939074</v>
      </c>
      <c r="AR73" s="628">
        <f>+HLOOKUP(AR4,'תחשיב עלות תפעול לשנת 2016'!$4:$148,92,0)*AR24*AR7/AR9</f>
        <v>24.759072078873938</v>
      </c>
      <c r="AS73" s="628">
        <f>+HLOOKUP(AS4,'תחשיב עלות תפעול לשנת 2016'!$4:$148,92,0)*AS24*AS7/AS9</f>
        <v>49.779733125505146</v>
      </c>
      <c r="AT73" s="628">
        <f>+HLOOKUP(AT4,'תחשיב עלות תפעול לשנת 2016'!$4:$148,92,0)*AT24*AT7/AT9</f>
        <v>15.46754539851748</v>
      </c>
      <c r="AU73" s="628">
        <f>+HLOOKUP(AU4,'תחשיב עלות תפעול לשנת 2016'!$4:$148,92,0)*AU24*AU7/AU9</f>
        <v>12.505019086345426</v>
      </c>
      <c r="AV73" s="628">
        <f>+HLOOKUP(AV4,'תחשיב עלות תפעול לשנת 2016'!$4:$148,92,0)*AV24*AV7/AV9</f>
        <v>22.01574300666789</v>
      </c>
      <c r="AW73" s="628">
        <f>+HLOOKUP(AW4,'תחשיב עלות תפעול לשנת 2016'!$4:$148,92,0)*AW24*AW7/AW9</f>
        <v>42.539995391264327</v>
      </c>
      <c r="AX73" s="628">
        <f>+HLOOKUP(AX4,'תחשיב עלות תפעול לשנת 2016'!$4:$148,92,0)*AX24*AX7/AX9</f>
        <v>53.645200257013123</v>
      </c>
      <c r="AY73" s="628">
        <f>+HLOOKUP(AY4,'תחשיב עלות תפעול לשנת 2016'!$4:$148,92,0)*AY24*AY7/AY9</f>
        <v>66.18234060398153</v>
      </c>
      <c r="AZ73" s="628">
        <f>+HLOOKUP(AZ4,'תחשיב עלות תפעול לשנת 2016'!$4:$148,92,0)*AZ24*AZ7/AZ9</f>
        <v>27.754037699840449</v>
      </c>
      <c r="BA73" s="628">
        <f>+HLOOKUP(BA4,'תחשיב עלות תפעול לשנת 2016'!$4:$148,92,0)*BA24*BA7/BA9</f>
        <v>27.193992081487355</v>
      </c>
      <c r="BB73" s="628">
        <f>+HLOOKUP(BB4,'תחשיב עלות תפעול לשנת 2016'!$4:$148,92,0)*BB24*BB7/BB9</f>
        <v>25.607847434492893</v>
      </c>
      <c r="BC73" s="628">
        <f>+HLOOKUP(BC4,'תחשיב עלות תפעול לשנת 2016'!$4:$148,92,0)*BC24*BC7/BC9</f>
        <v>24.639561113034688</v>
      </c>
      <c r="BD73" s="628">
        <f>+HLOOKUP(BD4,'תחשיב עלות תפעול לשנת 2016'!$4:$148,92,0)*BD24*BD7/BD9</f>
        <v>28.777308611902086</v>
      </c>
      <c r="BE73" s="628">
        <f>+HLOOKUP(BE4,'תחשיב עלות תפעול לשנת 2016'!$4:$148,92,0)*BE24*BE7/BE9</f>
        <v>38.543979951527639</v>
      </c>
      <c r="BF73" s="628">
        <f>+HLOOKUP(BF4,'תחשיב עלות תפעול לשנת 2016'!$4:$148,92,0)*BF24*BF7/BF9</f>
        <v>5.2032563510868899</v>
      </c>
      <c r="BG73" s="374"/>
      <c r="BH73" s="374"/>
      <c r="BI73" s="374"/>
      <c r="BJ73" s="374"/>
      <c r="BK73" s="374"/>
      <c r="BL73" s="374"/>
      <c r="BM73" s="374"/>
      <c r="BN73" s="374"/>
      <c r="BO73" s="374"/>
      <c r="BP73" s="374"/>
      <c r="BQ73" s="374"/>
      <c r="BR73" s="374"/>
      <c r="BS73" s="374"/>
      <c r="BT73" s="374"/>
      <c r="BU73" s="374"/>
      <c r="BV73" s="374"/>
      <c r="BW73" s="374"/>
      <c r="BX73" s="374"/>
      <c r="BY73" s="374"/>
      <c r="BZ73" s="374"/>
      <c r="CA73" s="374"/>
      <c r="CB73" s="374"/>
      <c r="CC73" s="374"/>
      <c r="CD73" s="374"/>
      <c r="CE73" s="374"/>
      <c r="CF73" s="374"/>
      <c r="CG73" s="374"/>
      <c r="CH73" s="374"/>
      <c r="CI73" s="374"/>
      <c r="CJ73" s="374"/>
      <c r="CK73" s="374"/>
      <c r="CL73" s="374"/>
      <c r="CM73" s="374"/>
      <c r="CN73" s="374"/>
      <c r="CO73" s="374"/>
      <c r="CP73" s="374"/>
      <c r="CQ73" s="374"/>
      <c r="CR73" s="374"/>
      <c r="CS73" s="374"/>
      <c r="CT73" s="374"/>
      <c r="CU73" s="374"/>
      <c r="CV73" s="374"/>
      <c r="CW73" s="374"/>
      <c r="CX73" s="374"/>
      <c r="CY73" s="374"/>
      <c r="CZ73" s="374"/>
      <c r="DA73" s="374"/>
      <c r="DB73" s="374"/>
      <c r="DC73" s="374"/>
      <c r="DD73" s="374"/>
      <c r="DE73" s="374"/>
      <c r="DF73" s="374"/>
      <c r="DG73" s="374"/>
      <c r="DH73" s="374"/>
      <c r="DI73" s="374"/>
      <c r="DJ73" s="374"/>
      <c r="DK73" s="374"/>
      <c r="DL73" s="374"/>
      <c r="DM73" s="374"/>
      <c r="DN73" s="374"/>
      <c r="DO73" s="374"/>
      <c r="DP73" s="374"/>
      <c r="DQ73" s="374"/>
      <c r="DR73" s="374"/>
      <c r="DS73" s="374"/>
      <c r="DT73" s="374"/>
      <c r="DU73" s="374"/>
      <c r="DV73" s="374"/>
      <c r="DW73" s="374"/>
      <c r="DX73" s="374"/>
      <c r="DY73" s="374"/>
      <c r="DZ73" s="374"/>
      <c r="EA73" s="374"/>
      <c r="EB73" s="374"/>
      <c r="EC73" s="374"/>
      <c r="ED73" s="374"/>
      <c r="EE73" s="374"/>
      <c r="EF73" s="374"/>
      <c r="EG73" s="374"/>
      <c r="EH73" s="374"/>
      <c r="EI73" s="374"/>
      <c r="EJ73" s="374"/>
      <c r="EK73" s="374"/>
      <c r="EL73" s="374"/>
      <c r="EM73" s="374"/>
      <c r="EN73" s="374"/>
      <c r="EO73" s="374"/>
      <c r="EP73" s="374"/>
      <c r="EQ73" s="374"/>
      <c r="ER73" s="374"/>
      <c r="ES73" s="374"/>
      <c r="ET73" s="374"/>
      <c r="EU73" s="374"/>
      <c r="EV73" s="374"/>
      <c r="EW73" s="374"/>
      <c r="EX73" s="374"/>
      <c r="EY73" s="374"/>
      <c r="EZ73" s="374"/>
      <c r="FA73" s="374"/>
      <c r="FB73" s="374"/>
      <c r="FC73" s="374"/>
      <c r="FD73" s="374"/>
      <c r="FE73" s="374"/>
      <c r="FF73" s="374"/>
      <c r="FG73" s="374"/>
      <c r="FH73" s="374"/>
      <c r="FI73" s="374"/>
      <c r="FJ73" s="374"/>
      <c r="FK73" s="374"/>
      <c r="FL73" s="374"/>
      <c r="FM73" s="374"/>
      <c r="FN73" s="374"/>
      <c r="FO73" s="374"/>
      <c r="FP73" s="374"/>
      <c r="FQ73" s="374"/>
      <c r="FR73" s="374"/>
      <c r="FS73" s="374"/>
      <c r="FT73" s="374"/>
      <c r="FU73" s="374"/>
      <c r="FV73" s="374"/>
      <c r="FW73" s="374"/>
      <c r="FX73" s="374"/>
      <c r="FY73" s="374"/>
      <c r="FZ73" s="374"/>
      <c r="GA73" s="374"/>
      <c r="GB73" s="374"/>
      <c r="GC73" s="374"/>
      <c r="GD73" s="374"/>
      <c r="GE73" s="374"/>
      <c r="GF73" s="374"/>
      <c r="GG73" s="374"/>
      <c r="GH73" s="374"/>
      <c r="GI73" s="374"/>
      <c r="GJ73" s="374"/>
      <c r="GK73" s="374"/>
      <c r="GL73" s="374"/>
      <c r="GM73" s="374"/>
      <c r="GN73" s="374"/>
      <c r="GO73" s="374"/>
      <c r="GP73" s="374"/>
      <c r="GQ73" s="374"/>
      <c r="GR73" s="374"/>
      <c r="GS73" s="374"/>
      <c r="GT73" s="374"/>
      <c r="GU73" s="374"/>
      <c r="GV73" s="374"/>
      <c r="GW73" s="374"/>
      <c r="GX73" s="374"/>
      <c r="GY73" s="374"/>
      <c r="GZ73" s="374"/>
      <c r="HA73" s="374"/>
      <c r="HB73" s="374"/>
      <c r="HC73" s="374"/>
      <c r="HD73" s="374"/>
      <c r="HE73" s="374"/>
      <c r="HF73" s="374"/>
      <c r="HG73" s="374"/>
      <c r="HH73" s="374"/>
      <c r="HI73" s="374"/>
      <c r="HJ73" s="374"/>
      <c r="HK73" s="374"/>
      <c r="HL73" s="374"/>
      <c r="HM73" s="374"/>
      <c r="HN73" s="374"/>
      <c r="HO73" s="374"/>
      <c r="HP73" s="374"/>
      <c r="HQ73" s="374"/>
      <c r="HR73" s="374"/>
      <c r="HS73" s="374"/>
      <c r="HT73" s="374"/>
      <c r="HU73" s="374"/>
      <c r="HV73" s="374"/>
      <c r="HW73" s="374"/>
      <c r="HX73" s="374"/>
      <c r="HY73" s="374"/>
      <c r="HZ73" s="374"/>
      <c r="IA73" s="374"/>
      <c r="IB73" s="374"/>
      <c r="IC73" s="374"/>
      <c r="ID73" s="374"/>
      <c r="IE73" s="374"/>
      <c r="IF73" s="374"/>
      <c r="IG73" s="374"/>
      <c r="IH73" s="374"/>
      <c r="II73" s="374"/>
      <c r="IJ73" s="374"/>
      <c r="IK73" s="374"/>
      <c r="IL73" s="374"/>
      <c r="IM73" s="374"/>
      <c r="IN73" s="374"/>
      <c r="IO73" s="374"/>
    </row>
    <row r="74" spans="1:249" ht="12.75" customHeight="1" x14ac:dyDescent="0.2">
      <c r="A74" s="1846"/>
      <c r="B74" s="1846"/>
      <c r="C74" s="1334" t="s">
        <v>1770</v>
      </c>
      <c r="D74" s="1333">
        <f>+HLOOKUP(D4,'תחשיב עלות תפעול לשנת 2016'!$4:$148,92,0)*D20*D7/D9</f>
        <v>78.569944261280426</v>
      </c>
      <c r="E74" s="1333">
        <f>+HLOOKUP(E4,'תחשיב עלות תפעול לשנת 2016'!$4:$148,92,0)*E20*E7/E9</f>
        <v>67.011937265464496</v>
      </c>
      <c r="F74" s="1333">
        <f>+HLOOKUP(F4,'תחשיב עלות תפעול לשנת 2016'!$4:$148,92,0)*F20*F7/F9</f>
        <v>54.737185216817096</v>
      </c>
      <c r="G74" s="1333">
        <f>+HLOOKUP(G4,'תחשיב עלות תפעול לשנת 2016'!$4:$148,92,0)*G20*G7/G9</f>
        <v>360.22434620213426</v>
      </c>
      <c r="H74" s="1333">
        <f>+HLOOKUP(H4,'תחשיב עלות תפעול לשנת 2016'!$4:$148,92,0)*H20*H7/H9</f>
        <v>117.23490978493886</v>
      </c>
      <c r="I74" s="1333">
        <f>+HLOOKUP(I4,'תחשיב עלות תפעול לשנת 2016'!$4:$148,92,0)*I20*I7/I9</f>
        <v>80.28788413194998</v>
      </c>
      <c r="J74" s="1333">
        <f>+HLOOKUP(J4,'תחשיב עלות תפעול לשנת 2016'!$4:$148,92,0)*J20*J7/J9</f>
        <v>31.892536846361075</v>
      </c>
      <c r="K74" s="1333">
        <f>+HLOOKUP(K4,'תחשיב עלות תפעול לשנת 2016'!$4:$148,92,0)*K20*K7/K9</f>
        <v>48.479962833815584</v>
      </c>
      <c r="L74" s="1333">
        <f>+HLOOKUP(L4,'תחשיב עלות תפעול לשנת 2016'!$4:$148,92,0)*L20*L7/L9</f>
        <v>35.909192134466707</v>
      </c>
      <c r="M74" s="1333">
        <f>+HLOOKUP(M4,'תחשיב עלות תפעול לשנת 2016'!$4:$148,92,0)*M20*M7/M9</f>
        <v>71.214458554928868</v>
      </c>
      <c r="N74" s="1333">
        <f>+HLOOKUP(N4,'תחשיב עלות תפעול לשנת 2016'!$4:$148,92,0)*N20*N7/N9</f>
        <v>109.71804806474388</v>
      </c>
      <c r="O74" s="1333">
        <f>+HLOOKUP(O4,'תחשיב עלות תפעול לשנת 2016'!$4:$148,92,0)*O20*O7/O9</f>
        <v>64.322505328395451</v>
      </c>
      <c r="P74" s="1333">
        <f>+HLOOKUP(P4,'תחשיב עלות תפעול לשנת 2016'!$4:$148,92,0)*P20*P7/P9</f>
        <v>38.4773700766441</v>
      </c>
      <c r="Q74" s="1333">
        <f>+HLOOKUP(Q4,'תחשיב עלות תפעול לשנת 2016'!$4:$148,92,0)*Q20*Q7/Q9</f>
        <v>61.652467827979081</v>
      </c>
      <c r="R74" s="1333">
        <f>+HLOOKUP(R4,'תחשיב עלות תפעול לשנת 2016'!$4:$148,92,0)*R20*R7/R9</f>
        <v>139.51044552394151</v>
      </c>
      <c r="S74" s="1333">
        <f>+HLOOKUP(S4,'תחשיב עלות תפעול לשנת 2016'!$4:$148,92,0)*S20*S7/S9</f>
        <v>128.85831115098196</v>
      </c>
      <c r="T74" s="1333">
        <f>+HLOOKUP(T4,'תחשיב עלות תפעול לשנת 2016'!$4:$148,92,0)*T20*T7/T9</f>
        <v>138.48078797298226</v>
      </c>
      <c r="U74" s="1333">
        <f>+HLOOKUP(U4,'תחשיב עלות תפעול לשנת 2016'!$4:$148,92,0)*U20*U7/U9</f>
        <v>127.87746537647691</v>
      </c>
      <c r="V74" s="1333">
        <f>+HLOOKUP(V4,'תחשיב עלות תפעול לשנת 2016'!$4:$148,92,0)*V20*V7/V9</f>
        <v>124.49353162797989</v>
      </c>
      <c r="W74" s="1333">
        <f>+HLOOKUP(W4,'תחשיב עלות תפעול לשנת 2016'!$4:$148,92,0)*W20*W7/W9</f>
        <v>114.70844669719149</v>
      </c>
      <c r="X74" s="1333">
        <f>+HLOOKUP(X4,'תחשיב עלות תפעול לשנת 2016'!$4:$148,92,0)*X20*X7/X9</f>
        <v>57.044830613514435</v>
      </c>
      <c r="Y74" s="1333">
        <f>+HLOOKUP(Y4,'תחשיב עלות תפעול לשנת 2016'!$4:$148,92,0)*Y20*Y7/Y9</f>
        <v>40.378902069057261</v>
      </c>
      <c r="Z74" s="1333">
        <f>+HLOOKUP(Z4,'תחשיב עלות תפעול לשנת 2016'!$4:$148,92,0)*Z20*Z7/Z9</f>
        <v>33.003613000033461</v>
      </c>
      <c r="AA74" s="1333">
        <f>+HLOOKUP(AA4,'תחשיב עלות תפעול לשנת 2016'!$4:$148,92,0)*AA20*AA7/AA9</f>
        <v>25.213911942784076</v>
      </c>
      <c r="AB74" s="1333">
        <f>+HLOOKUP(AB4,'תחשיב עלות תפעול לשנת 2016'!$4:$148,92,0)*AB20*AB7/AB9</f>
        <v>46.597586714975641</v>
      </c>
      <c r="AC74" s="1333">
        <f>+HLOOKUP(AC4,'תחשיב עלות תפעול לשנת 2016'!$4:$148,92,0)*AC20*AC7/AC9</f>
        <v>46.564344040459034</v>
      </c>
      <c r="AD74" s="1333">
        <f>+HLOOKUP(AD4,'תחשיב עלות תפעול לשנת 2016'!$4:$148,92,0)*AD20*AD7/AD9</f>
        <v>75.55224840422045</v>
      </c>
      <c r="AE74" s="1333">
        <f>+HLOOKUP(AE4,'תחשיב עלות תפעול לשנת 2016'!$4:$148,92,0)*AE20*AE7/AE9</f>
        <v>33.871978068711741</v>
      </c>
      <c r="AF74" s="1333">
        <f>+HLOOKUP(AF4,'תחשיב עלות תפעול לשנת 2016'!$4:$148,92,0)*AF20*AF7/AF9</f>
        <v>161.83781655681022</v>
      </c>
      <c r="AG74" s="1333">
        <f>+HLOOKUP(AG4,'תחשיב עלות תפעול לשנת 2016'!$4:$148,92,0)*AG20*AG7/AG9</f>
        <v>36.519258696215246</v>
      </c>
      <c r="AH74" s="1333">
        <f>+HLOOKUP(AH4,'תחשיב עלות תפעול לשנת 2016'!$4:$148,92,0)*AH20*AH7/AH9</f>
        <v>36.430467052470398</v>
      </c>
      <c r="AI74" s="1333">
        <f>+HLOOKUP(AI4,'תחשיב עלות תפעול לשנת 2016'!$4:$148,92,0)*AI20*AI7/AI9</f>
        <v>22.436243387677834</v>
      </c>
      <c r="AJ74" s="1333">
        <f>+HLOOKUP(AJ4,'תחשיב עלות תפעול לשנת 2016'!$4:$148,92,0)*AJ20*AJ7/AJ9</f>
        <v>25.338989061560859</v>
      </c>
      <c r="AK74" s="1333">
        <f>+HLOOKUP(AK4,'תחשיב עלות תפעול לשנת 2016'!$4:$148,92,0)*AK20*AK7/AK9</f>
        <v>22.369208640878064</v>
      </c>
      <c r="AL74" s="1333">
        <f>+HLOOKUP(AL4,'תחשיב עלות תפעול לשנת 2016'!$4:$148,92,0)*AL20*AL7/AL9</f>
        <v>19.661987474941572</v>
      </c>
      <c r="AM74" s="1333">
        <f>+HLOOKUP(AM4,'תחשיב עלות תפעול לשנת 2016'!$4:$148,92,0)*AM20*AM7/AM9</f>
        <v>282.35623135410179</v>
      </c>
      <c r="AN74" s="1333">
        <f>+HLOOKUP(AN4,'תחשיב עלות תפעול לשנת 2016'!$4:$148,92,0)*AN20*AN7/AN9</f>
        <v>37.348349370994001</v>
      </c>
      <c r="AO74" s="1333">
        <f>+HLOOKUP(AO4,'תחשיב עלות תפעול לשנת 2016'!$4:$148,92,0)*AO20*AO7/AO9</f>
        <v>74.232541612609012</v>
      </c>
      <c r="AP74" s="1333">
        <f>+HLOOKUP(AP4,'תחשיב עלות תפעול לשנת 2016'!$4:$148,92,0)*AP20*AP7/AP9</f>
        <v>23.830350383024744</v>
      </c>
      <c r="AQ74" s="1333">
        <f>+HLOOKUP(AQ4,'תחשיב עלות תפעול לשנת 2016'!$4:$148,92,0)*AQ20*AQ7/AQ9</f>
        <v>62.404821874408611</v>
      </c>
      <c r="AR74" s="1333">
        <f>+HLOOKUP(AR4,'תחשיב עלות תפעול לשנת 2016'!$4:$148,92,0)*AR20*AR7/AR9</f>
        <v>37.138608118310906</v>
      </c>
      <c r="AS74" s="1333">
        <f>+HLOOKUP(AS4,'תחשיב עלות תפעול לשנת 2016'!$4:$148,92,0)*AS20*AS7/AS9</f>
        <v>74.669599688257719</v>
      </c>
      <c r="AT74" s="1333">
        <f>+HLOOKUP(AT4,'תחשיב עלות תפעול לשנת 2016'!$4:$148,92,0)*AT20*AT7/AT9</f>
        <v>23.201318097776223</v>
      </c>
      <c r="AU74" s="1333">
        <f>+HLOOKUP(AU4,'תחשיב עלות תפעול לשנת 2016'!$4:$148,92,0)*AU20*AU7/AU9</f>
        <v>18.757528629518141</v>
      </c>
      <c r="AV74" s="1333">
        <f>+HLOOKUP(AV4,'תחשיב עלות תפעול לשנת 2016'!$4:$148,92,0)*AV20*AV7/AV9</f>
        <v>33.023614510001835</v>
      </c>
      <c r="AW74" s="1333">
        <f>+HLOOKUP(AW4,'תחשיב עלות תפעול לשנת 2016'!$4:$148,92,0)*AW20*AW7/AW9</f>
        <v>63.809993086896498</v>
      </c>
      <c r="AX74" s="1333">
        <f>+HLOOKUP(AX4,'תחשיב עלות תפעול לשנת 2016'!$4:$148,92,0)*AX20*AX7/AX9</f>
        <v>80.467800385519666</v>
      </c>
      <c r="AY74" s="1333">
        <f>+HLOOKUP(AY4,'תחשיב עלות תפעול לשנת 2016'!$4:$148,92,0)*AY20*AY7/AY9</f>
        <v>99.273510905972273</v>
      </c>
      <c r="AZ74" s="1333">
        <f>+HLOOKUP(AZ4,'תחשיב עלות תפעול לשנת 2016'!$4:$148,92,0)*AZ20*AZ7/AZ9</f>
        <v>41.631056549760672</v>
      </c>
      <c r="BA74" s="1333">
        <f>+HLOOKUP(BA4,'תחשיב עלות תפעול לשנת 2016'!$4:$148,92,0)*BA20*BA7/BA9</f>
        <v>40.790988122231028</v>
      </c>
      <c r="BB74" s="1333">
        <f>+HLOOKUP(BB4,'תחשיב עלות תפעול לשנת 2016'!$4:$148,92,0)*BB20*BB7/BB9</f>
        <v>38.411771151739337</v>
      </c>
      <c r="BC74" s="1333">
        <f>+HLOOKUP(BC4,'תחשיב עלות תפעול לשנת 2016'!$4:$148,92,0)*BC20*BC7/BC9</f>
        <v>36.959341669552039</v>
      </c>
      <c r="BD74" s="1333">
        <f>+HLOOKUP(BD4,'תחשיב עלות תפעול לשנת 2016'!$4:$148,92,0)*BD20*BD7/BD9</f>
        <v>43.165962917853129</v>
      </c>
      <c r="BE74" s="1333">
        <f>+HLOOKUP(BE4,'תחשיב עלות תפעול לשנת 2016'!$4:$148,92,0)*BE20*BE7/BE9</f>
        <v>57.815969927291462</v>
      </c>
      <c r="BF74" s="1333">
        <f>+HLOOKUP(BF4,'תחשיב עלות תפעול לשנת 2016'!$4:$148,92,0)*BF20*BF7/BF9</f>
        <v>7.8048845266303344</v>
      </c>
    </row>
    <row r="75" spans="1:249" ht="12.75" customHeight="1" x14ac:dyDescent="0.2">
      <c r="A75" s="1846"/>
      <c r="B75" s="1846"/>
      <c r="C75" s="376" t="s">
        <v>1659</v>
      </c>
      <c r="D75" s="1333">
        <f>+HLOOKUP(D4,'תחשיב עלות תפעול לשנת 2016'!$4:$148,120,0)</f>
        <v>0</v>
      </c>
      <c r="E75" s="1333">
        <f>+HLOOKUP(E4,'תחשיב עלות תפעול לשנת 2016'!$4:$148,120,0)</f>
        <v>0</v>
      </c>
      <c r="F75" s="1333">
        <f>+HLOOKUP(F4,'תחשיב עלות תפעול לשנת 2016'!$4:$148,120,0)</f>
        <v>0</v>
      </c>
      <c r="G75" s="1333">
        <f>+HLOOKUP(G4,'תחשיב עלות תפעול לשנת 2016'!$4:$148,120,0)</f>
        <v>0.92</v>
      </c>
      <c r="H75" s="1333">
        <f>+HLOOKUP(H4,'תחשיב עלות תפעול לשנת 2016'!$4:$148,120,0)</f>
        <v>0</v>
      </c>
      <c r="I75" s="1333">
        <f>+HLOOKUP(I4,'תחשיב עלות תפעול לשנת 2016'!$4:$148,120,0)</f>
        <v>0</v>
      </c>
      <c r="J75" s="1333">
        <f>+HLOOKUP(J4,'תחשיב עלות תפעול לשנת 2016'!$4:$148,120,0)</f>
        <v>0</v>
      </c>
      <c r="K75" s="1333">
        <f>+HLOOKUP(K4,'תחשיב עלות תפעול לשנת 2016'!$4:$148,120,0)</f>
        <v>0</v>
      </c>
      <c r="L75" s="1333">
        <f>+HLOOKUP(L4,'תחשיב עלות תפעול לשנת 2016'!$4:$148,120,0)</f>
        <v>600</v>
      </c>
      <c r="M75" s="1333">
        <f>+HLOOKUP(M4,'תחשיב עלות תפעול לשנת 2016'!$4:$148,120,0)</f>
        <v>0</v>
      </c>
      <c r="N75" s="1333">
        <f>+HLOOKUP(N4,'תחשיב עלות תפעול לשנת 2016'!$4:$148,120,0)</f>
        <v>-475.20000000000022</v>
      </c>
      <c r="O75" s="1333">
        <f>+HLOOKUP(O4,'תחשיב עלות תפעול לשנת 2016'!$4:$148,120,0)</f>
        <v>0</v>
      </c>
      <c r="P75" s="1333">
        <f>+HLOOKUP(P4,'תחשיב עלות תפעול לשנת 2016'!$4:$148,120,0)</f>
        <v>600</v>
      </c>
      <c r="Q75" s="1333">
        <f>+HLOOKUP(Q4,'תחשיב עלות תפעול לשנת 2016'!$4:$148,120,0)</f>
        <v>0</v>
      </c>
      <c r="R75" s="1333">
        <f>+HLOOKUP(R4,'תחשיב עלות תפעול לשנת 2016'!$4:$148,120,0)</f>
        <v>-1265.6610000000001</v>
      </c>
      <c r="S75" s="1333">
        <f>+HLOOKUP(S4,'תחשיב עלות תפעול לשנת 2016'!$4:$148,120,0)</f>
        <v>750</v>
      </c>
      <c r="T75" s="1333">
        <f>+HLOOKUP(T4,'תחשיב עלות תפעול לשנת 2016'!$4:$148,120,0)</f>
        <v>0</v>
      </c>
      <c r="U75" s="1333">
        <f>+HLOOKUP(U4,'תחשיב עלות תפעול לשנת 2016'!$4:$148,120,0)</f>
        <v>0</v>
      </c>
      <c r="V75" s="1333">
        <f>+HLOOKUP(V4,'תחשיב עלות תפעול לשנת 2016'!$4:$148,120,0)</f>
        <v>0</v>
      </c>
      <c r="W75" s="1333">
        <f>+HLOOKUP(W4,'תחשיב עלות תפעול לשנת 2016'!$4:$148,120,0)</f>
        <v>208</v>
      </c>
      <c r="X75" s="1333">
        <f>+HLOOKUP(X4,'תחשיב עלות תפעול לשנת 2016'!$4:$148,120,0)</f>
        <v>-801</v>
      </c>
      <c r="Y75" s="1333">
        <f>+HLOOKUP(Y4,'תחשיב עלות תפעול לשנת 2016'!$4:$148,120,0)</f>
        <v>-60</v>
      </c>
      <c r="Z75" s="1333">
        <f>+HLOOKUP(Z4,'תחשיב עלות תפעול לשנת 2016'!$4:$148,120,0)</f>
        <v>0</v>
      </c>
      <c r="AA75" s="1333">
        <f>+HLOOKUP(AA4,'תחשיב עלות תפעול לשנת 2016'!$4:$148,120,0)</f>
        <v>0</v>
      </c>
      <c r="AB75" s="1333">
        <f>+HLOOKUP(AB4,'תחשיב עלות תפעול לשנת 2016'!$4:$148,120,0)</f>
        <v>0</v>
      </c>
      <c r="AC75" s="1333">
        <f>+HLOOKUP(AC4,'תחשיב עלות תפעול לשנת 2016'!$4:$148,120,0)</f>
        <v>0</v>
      </c>
      <c r="AD75" s="1333">
        <f>+HLOOKUP(AD4,'תחשיב עלות תפעול לשנת 2016'!$4:$148,120,0)</f>
        <v>0</v>
      </c>
      <c r="AE75" s="1333">
        <f>+HLOOKUP(AE4,'תחשיב עלות תפעול לשנת 2016'!$4:$148,120,0)</f>
        <v>0</v>
      </c>
      <c r="AF75" s="1333">
        <f>+HLOOKUP(AF4,'תחשיב עלות תפעול לשנת 2016'!$4:$148,120,0)</f>
        <v>-211.5</v>
      </c>
      <c r="AG75" s="1333">
        <f>+HLOOKUP(AG4,'תחשיב עלות תפעול לשנת 2016'!$4:$148,120,0)</f>
        <v>0</v>
      </c>
      <c r="AH75" s="1333">
        <f>+HLOOKUP(AH4,'תחשיב עלות תפעול לשנת 2016'!$4:$148,120,0)</f>
        <v>0</v>
      </c>
      <c r="AI75" s="1333">
        <f>+HLOOKUP(AI4,'תחשיב עלות תפעול לשנת 2016'!$4:$148,120,0)</f>
        <v>0</v>
      </c>
      <c r="AJ75" s="1333">
        <f>+HLOOKUP(AJ4,'תחשיב עלות תפעול לשנת 2016'!$4:$148,120,0)</f>
        <v>0</v>
      </c>
      <c r="AK75" s="1333">
        <f>+HLOOKUP(AK4,'תחשיב עלות תפעול לשנת 2016'!$4:$148,120,0)</f>
        <v>0</v>
      </c>
      <c r="AL75" s="1333">
        <f>+HLOOKUP(AL4,'תחשיב עלות תפעול לשנת 2016'!$4:$148,120,0)</f>
        <v>-531</v>
      </c>
      <c r="AM75" s="1333">
        <f>+HLOOKUP(AM4,'תחשיב עלות תפעול לשנת 2016'!$4:$148,120,0)</f>
        <v>765</v>
      </c>
      <c r="AN75" s="1333">
        <f>+HLOOKUP(AN4,'תחשיב עלות תפעול לשנת 2016'!$4:$148,120,0)</f>
        <v>528</v>
      </c>
      <c r="AO75" s="1333">
        <f>+HLOOKUP(AO4,'תחשיב עלות תפעול לשנת 2016'!$4:$148,120,0)</f>
        <v>0</v>
      </c>
      <c r="AP75" s="1333">
        <f>+HLOOKUP(AP4,'תחשיב עלות תפעול לשנת 2016'!$4:$148,120,0)</f>
        <v>0</v>
      </c>
      <c r="AQ75" s="1333">
        <f>+HLOOKUP(AQ4,'תחשיב עלות תפעול לשנת 2016'!$4:$148,120,0)</f>
        <v>0</v>
      </c>
      <c r="AR75" s="1333">
        <f>+HLOOKUP(AR4,'תחשיב עלות תפעול לשנת 2016'!$4:$148,120,0)</f>
        <v>0</v>
      </c>
      <c r="AS75" s="1333">
        <f>+HLOOKUP(AS4,'תחשיב עלות תפעול לשנת 2016'!$4:$148,120,0)</f>
        <v>590</v>
      </c>
      <c r="AT75" s="1333">
        <f>+HLOOKUP(AT4,'תחשיב עלות תפעול לשנת 2016'!$4:$148,120,0)</f>
        <v>0</v>
      </c>
      <c r="AU75" s="1333">
        <f>+HLOOKUP(AU4,'תחשיב עלות תפעול לשנת 2016'!$4:$148,120,0)</f>
        <v>0</v>
      </c>
      <c r="AV75" s="1333">
        <f>+HLOOKUP(AV4,'תחשיב עלות תפעול לשנת 2016'!$4:$148,120,0)</f>
        <v>0</v>
      </c>
      <c r="AW75" s="1333">
        <f>+HLOOKUP(AW4,'תחשיב עלות תפעול לשנת 2016'!$4:$148,120,0)</f>
        <v>0</v>
      </c>
      <c r="AX75" s="1333">
        <f>+HLOOKUP(AX4,'תחשיב עלות תפעול לשנת 2016'!$4:$148,120,0)</f>
        <v>0</v>
      </c>
      <c r="AY75" s="1333">
        <f>+HLOOKUP(AY4,'תחשיב עלות תפעול לשנת 2016'!$4:$148,120,0)</f>
        <v>0</v>
      </c>
      <c r="AZ75" s="1333">
        <f>+HLOOKUP(AZ4,'תחשיב עלות תפעול לשנת 2016'!$4:$148,120,0)</f>
        <v>0</v>
      </c>
      <c r="BA75" s="1333">
        <f>+HLOOKUP(BA4,'תחשיב עלות תפעול לשנת 2016'!$4:$148,120,0)</f>
        <v>0</v>
      </c>
      <c r="BB75" s="1333">
        <f>+HLOOKUP(BB4,'תחשיב עלות תפעול לשנת 2016'!$4:$148,120,0)</f>
        <v>0</v>
      </c>
      <c r="BC75" s="1333">
        <f>+HLOOKUP(BC4,'תחשיב עלות תפעול לשנת 2016'!$4:$148,120,0)</f>
        <v>0</v>
      </c>
      <c r="BD75" s="1333">
        <f>+HLOOKUP(BD4,'תחשיב עלות תפעול לשנת 2016'!$4:$148,120,0)</f>
        <v>1406.29</v>
      </c>
      <c r="BE75" s="1333">
        <f>+HLOOKUP(BE4,'תחשיב עלות תפעול לשנת 2016'!$4:$148,120,0)</f>
        <v>0</v>
      </c>
      <c r="BF75" s="1333">
        <f>+HLOOKUP(BF4,'תחשיב עלות תפעול לשנת 2016'!$4:$148,120,0)</f>
        <v>0</v>
      </c>
    </row>
    <row r="76" spans="1:249" ht="12.75" customHeight="1" x14ac:dyDescent="0.2">
      <c r="A76" s="1847"/>
      <c r="B76" s="1847"/>
      <c r="C76" s="376" t="s">
        <v>679</v>
      </c>
      <c r="D76" s="1333">
        <f>+HLOOKUP(D4,'תחשיב עלות תפעול לשנת 2016'!$4:$140,124,0)*+HLOOKUP(D4,'תחשיב עלות תפעול לשנת 2016'!$4:$148,121,0)</f>
        <v>0</v>
      </c>
      <c r="E76" s="1333">
        <f>+HLOOKUP(E4,'תחשיב עלות תפעול לשנת 2016'!$4:$140,124,0)*+HLOOKUP(E4,'תחשיב עלות תפעול לשנת 2016'!$4:$148,121,0)</f>
        <v>126.37468349745484</v>
      </c>
      <c r="F76" s="1333">
        <f>+HLOOKUP(F4,'תחשיב עלות תפעול לשנת 2016'!$4:$140,124,0)*+HLOOKUP(F4,'תחשיב עלות תפעול לשנת 2016'!$4:$148,121,0)</f>
        <v>0</v>
      </c>
      <c r="G76" s="1333">
        <f>+HLOOKUP(G4,'תחשיב עלות תפעול לשנת 2016'!$4:$140,124,0)*+HLOOKUP(G4,'תחשיב עלות תפעול לשנת 2016'!$4:$148,121,0)</f>
        <v>0</v>
      </c>
      <c r="H76" s="1333">
        <f>+HLOOKUP(H4,'תחשיב עלות תפעול לשנת 2016'!$4:$140,124,0)*+HLOOKUP(H4,'תחשיב עלות תפעול לשנת 2016'!$4:$148,121,0)</f>
        <v>0</v>
      </c>
      <c r="I76" s="1333">
        <f>+HLOOKUP(I4,'תחשיב עלות תפעול לשנת 2016'!$4:$140,124,0)*+HLOOKUP(I4,'תחשיב עלות תפעול לשנת 2016'!$4:$148,121,0)</f>
        <v>0</v>
      </c>
      <c r="J76" s="1333">
        <f>+HLOOKUP(J4,'תחשיב עלות תפעול לשנת 2016'!$4:$140,124,0)*+HLOOKUP(J4,'תחשיב עלות תפעול לשנת 2016'!$4:$148,121,0)</f>
        <v>550.176431052265</v>
      </c>
      <c r="K76" s="1333">
        <f>+HLOOKUP(K4,'תחשיב עלות תפעול לשנת 2016'!$4:$140,124,0)*+HLOOKUP(K4,'תחשיב עלות תפעול לשנת 2016'!$4:$148,121,0)</f>
        <v>0</v>
      </c>
      <c r="L76" s="1333">
        <f>+HLOOKUP(L4,'תחשיב עלות תפעול לשנת 2016'!$4:$140,124,0)*+HLOOKUP(L4,'תחשיב עלות תפעול לשנת 2016'!$4:$148,121,0)</f>
        <v>0</v>
      </c>
      <c r="M76" s="1333">
        <f>+HLOOKUP(M4,'תחשיב עלות תפעול לשנת 2016'!$4:$140,124,0)*+HLOOKUP(M4,'תחשיב עלות תפעול לשנת 2016'!$4:$148,121,0)</f>
        <v>0</v>
      </c>
      <c r="N76" s="1333">
        <f>+HLOOKUP(N4,'תחשיב עלות תפעול לשנת 2016'!$4:$140,124,0)*+HLOOKUP(N4,'תחשיב עלות תפעול לשנת 2016'!$4:$148,121,0)</f>
        <v>0</v>
      </c>
      <c r="O76" s="1333">
        <f>+HLOOKUP(O4,'תחשיב עלות תפעול לשנת 2016'!$4:$140,124,0)*+HLOOKUP(O4,'תחשיב עלות תפעול לשנת 2016'!$4:$148,121,0)</f>
        <v>2588.8017608477167</v>
      </c>
      <c r="P76" s="1333">
        <f>+HLOOKUP(P4,'תחשיב עלות תפעול לשנת 2016'!$4:$140,124,0)*+HLOOKUP(P4,'תחשיב עלות תפעול לשנת 2016'!$4:$148,121,0)</f>
        <v>0</v>
      </c>
      <c r="Q76" s="1333">
        <f>+HLOOKUP(Q4,'תחשיב עלות תפעול לשנת 2016'!$4:$140,124,0)*+HLOOKUP(Q4,'תחשיב עלות תפעול לשנת 2016'!$4:$148,121,0)</f>
        <v>0</v>
      </c>
      <c r="R76" s="1333">
        <f>+HLOOKUP(R4,'תחשיב עלות תפעול לשנת 2016'!$4:$140,124,0)*+HLOOKUP(R4,'תחשיב עלות תפעול לשנת 2016'!$4:$148,121,0)</f>
        <v>0</v>
      </c>
      <c r="S76" s="1333">
        <f>+HLOOKUP(S4,'תחשיב עלות תפעול לשנת 2016'!$4:$140,124,0)*+HLOOKUP(S4,'תחשיב עלות תפעול לשנת 2016'!$4:$148,121,0)</f>
        <v>0</v>
      </c>
      <c r="T76" s="1333">
        <f>+HLOOKUP(T4,'תחשיב עלות תפעול לשנת 2016'!$4:$140,124,0)*+HLOOKUP(T4,'תחשיב עלות תפעול לשנת 2016'!$4:$148,121,0)</f>
        <v>0</v>
      </c>
      <c r="U76" s="1333">
        <f>+HLOOKUP(U4,'תחשיב עלות תפעול לשנת 2016'!$4:$140,124,0)*+HLOOKUP(U4,'תחשיב עלות תפעול לשנת 2016'!$4:$148,121,0)</f>
        <v>0</v>
      </c>
      <c r="V76" s="1333">
        <f>+HLOOKUP(V4,'תחשיב עלות תפעול לשנת 2016'!$4:$140,124,0)*+HLOOKUP(V4,'תחשיב עלות תפעול לשנת 2016'!$4:$148,121,0)</f>
        <v>0</v>
      </c>
      <c r="W76" s="1333">
        <f>+HLOOKUP(W4,'תחשיב עלות תפעול לשנת 2016'!$4:$140,124,0)*+HLOOKUP(W4,'תחשיב עלות תפעול לשנת 2016'!$4:$148,121,0)</f>
        <v>511.18823824501686</v>
      </c>
      <c r="X76" s="1333">
        <f>+HLOOKUP(X4,'תחשיב עלות תפעול לשנת 2016'!$4:$140,124,0)*+HLOOKUP(X4,'תחשיב עלות תפעול לשנת 2016'!$4:$148,121,0)</f>
        <v>0</v>
      </c>
      <c r="Y76" s="1333">
        <f>+HLOOKUP(Y4,'תחשיב עלות תפעול לשנת 2016'!$4:$140,124,0)*+HLOOKUP(Y4,'תחשיב עלות תפעול לשנת 2016'!$4:$148,121,0)</f>
        <v>0</v>
      </c>
      <c r="Z76" s="1333">
        <f>+HLOOKUP(Z4,'תחשיב עלות תפעול לשנת 2016'!$4:$140,124,0)*+HLOOKUP(Z4,'תחשיב עלות תפעול לשנת 2016'!$4:$148,121,0)</f>
        <v>0</v>
      </c>
      <c r="AA76" s="1333">
        <f>+HLOOKUP(AA4,'תחשיב עלות תפעול לשנת 2016'!$4:$140,124,0)*+HLOOKUP(AA4,'תחשיב עלות תפעול לשנת 2016'!$4:$148,121,0)</f>
        <v>0</v>
      </c>
      <c r="AB76" s="1333">
        <f>+HLOOKUP(AB4,'תחשיב עלות תפעול לשנת 2016'!$4:$140,124,0)*+HLOOKUP(AB4,'תחשיב עלות תפעול לשנת 2016'!$4:$148,121,0)</f>
        <v>0</v>
      </c>
      <c r="AC76" s="1333">
        <f>+HLOOKUP(AC4,'תחשיב עלות תפעול לשנת 2016'!$4:$140,124,0)*+HLOOKUP(AC4,'תחשיב עלות תפעול לשנת 2016'!$4:$148,121,0)</f>
        <v>0</v>
      </c>
      <c r="AD76" s="1333">
        <f>+HLOOKUP(AD4,'תחשיב עלות תפעול לשנת 2016'!$4:$140,124,0)*+HLOOKUP(AD4,'תחשיב עלות תפעול לשנת 2016'!$4:$148,121,0)</f>
        <v>0</v>
      </c>
      <c r="AE76" s="1333">
        <f>+HLOOKUP(AE4,'תחשיב עלות תפעול לשנת 2016'!$4:$140,124,0)*+HLOOKUP(AE4,'תחשיב עלות תפעול לשנת 2016'!$4:$148,121,0)</f>
        <v>0</v>
      </c>
      <c r="AF76" s="1333">
        <f>+HLOOKUP(AF4,'תחשיב עלות תפעול לשנת 2016'!$4:$140,124,0)*+HLOOKUP(AF4,'תחשיב עלות תפעול לשנת 2016'!$4:$148,121,0)</f>
        <v>0</v>
      </c>
      <c r="AG76" s="1333">
        <f>+HLOOKUP(AG4,'תחשיב עלות תפעול לשנת 2016'!$4:$140,124,0)*+HLOOKUP(AG4,'תחשיב עלות תפעול לשנת 2016'!$4:$148,121,0)</f>
        <v>0</v>
      </c>
      <c r="AH76" s="1333">
        <f>+HLOOKUP(AH4,'תחשיב עלות תפעול לשנת 2016'!$4:$140,124,0)*+HLOOKUP(AH4,'תחשיב עלות תפעול לשנת 2016'!$4:$148,121,0)</f>
        <v>0</v>
      </c>
      <c r="AI76" s="1333">
        <f>+HLOOKUP(AI4,'תחשיב עלות תפעול לשנת 2016'!$4:$140,124,0)*+HLOOKUP(AI4,'תחשיב עלות תפעול לשנת 2016'!$4:$148,121,0)</f>
        <v>0</v>
      </c>
      <c r="AJ76" s="1333">
        <f>+HLOOKUP(AJ4,'תחשיב עלות תפעול לשנת 2016'!$4:$140,124,0)*+HLOOKUP(AJ4,'תחשיב עלות תפעול לשנת 2016'!$4:$148,121,0)</f>
        <v>0</v>
      </c>
      <c r="AK76" s="1333">
        <f>+HLOOKUP(AK4,'תחשיב עלות תפעול לשנת 2016'!$4:$140,124,0)*+HLOOKUP(AK4,'תחשיב עלות תפעול לשנת 2016'!$4:$148,121,0)</f>
        <v>0</v>
      </c>
      <c r="AL76" s="1333">
        <f>+HLOOKUP(AL4,'תחשיב עלות תפעול לשנת 2016'!$4:$140,124,0)*+HLOOKUP(AL4,'תחשיב עלות תפעול לשנת 2016'!$4:$148,121,0)</f>
        <v>0</v>
      </c>
      <c r="AM76" s="1333">
        <f>+HLOOKUP(AM4,'תחשיב עלות תפעול לשנת 2016'!$4:$140,124,0)*+HLOOKUP(AM4,'תחשיב עלות תפעול לשנת 2016'!$4:$148,121,0)</f>
        <v>0</v>
      </c>
      <c r="AN76" s="1333">
        <f>+HLOOKUP(AN4,'תחשיב עלות תפעול לשנת 2016'!$4:$140,124,0)*+HLOOKUP(AN4,'תחשיב עלות תפעול לשנת 2016'!$4:$148,121,0)</f>
        <v>0</v>
      </c>
      <c r="AO76" s="1333">
        <f>+HLOOKUP(AO4,'תחשיב עלות תפעול לשנת 2016'!$4:$140,124,0)*+HLOOKUP(AO4,'תחשיב עלות תפעול לשנת 2016'!$4:$148,121,0)</f>
        <v>0</v>
      </c>
      <c r="AP76" s="1333">
        <f>+HLOOKUP(AP4,'תחשיב עלות תפעול לשנת 2016'!$4:$140,124,0)*+HLOOKUP(AP4,'תחשיב עלות תפעול לשנת 2016'!$4:$148,121,0)</f>
        <v>0</v>
      </c>
      <c r="AQ76" s="1333">
        <f>+HLOOKUP(AQ4,'תחשיב עלות תפעול לשנת 2016'!$4:$140,124,0)*+HLOOKUP(AQ4,'תחשיב עלות תפעול לשנת 2016'!$4:$148,121,0)</f>
        <v>0</v>
      </c>
      <c r="AR76" s="1333">
        <f>+HLOOKUP(AR4,'תחשיב עלות תפעול לשנת 2016'!$4:$140,124,0)*+HLOOKUP(AR4,'תחשיב עלות תפעול לשנת 2016'!$4:$148,121,0)</f>
        <v>0</v>
      </c>
      <c r="AS76" s="1333">
        <f>+HLOOKUP(AS4,'תחשיב עלות תפעול לשנת 2016'!$4:$140,124,0)*+HLOOKUP(AS4,'תחשיב עלות תפעול לשנת 2016'!$4:$148,121,0)</f>
        <v>778.41048286229716</v>
      </c>
      <c r="AT76" s="1333">
        <f>+HLOOKUP(AT4,'תחשיב עלות תפעול לשנת 2016'!$4:$140,124,0)*+HLOOKUP(AT4,'תחשיב עלות תפעול לשנת 2016'!$4:$148,121,0)</f>
        <v>0</v>
      </c>
      <c r="AU76" s="1333">
        <f>+HLOOKUP(AU4,'תחשיב עלות תפעול לשנת 2016'!$4:$140,124,0)*+HLOOKUP(AU4,'תחשיב עלות תפעול לשנת 2016'!$4:$148,121,0)</f>
        <v>0</v>
      </c>
      <c r="AV76" s="1333">
        <f>+HLOOKUP(AV4,'תחשיב עלות תפעול לשנת 2016'!$4:$140,124,0)*+HLOOKUP(AV4,'תחשיב עלות תפעול לשנת 2016'!$4:$148,121,0)</f>
        <v>0</v>
      </c>
      <c r="AW76" s="1333">
        <f>+HLOOKUP(AW4,'תחשיב עלות תפעול לשנת 2016'!$4:$140,124,0)*+HLOOKUP(AW4,'תחשיב עלות תפעול לשנת 2016'!$4:$148,121,0)</f>
        <v>86.734422497590685</v>
      </c>
      <c r="AX76" s="1333">
        <f>+HLOOKUP(AX4,'תחשיב עלות תפעול לשנת 2016'!$4:$140,124,0)*+HLOOKUP(AX4,'תחשיב עלות תפעול לשנת 2016'!$4:$148,121,0)</f>
        <v>190.64780957670732</v>
      </c>
      <c r="AY76" s="1333">
        <f>+HLOOKUP(AY4,'תחשיב עלות תפעול לשנת 2016'!$4:$140,124,0)*+HLOOKUP(AY4,'תחשיב עלות תפעול לשנת 2016'!$4:$148,121,0)</f>
        <v>0</v>
      </c>
      <c r="AZ76" s="1333">
        <f>+HLOOKUP(AZ4,'תחשיב עלות תפעול לשנת 2016'!$4:$140,124,0)*+HLOOKUP(AZ4,'תחשיב עלות תפעול לשנת 2016'!$4:$148,121,0)</f>
        <v>0</v>
      </c>
      <c r="BA76" s="1333">
        <f>+HLOOKUP(BA4,'תחשיב עלות תפעול לשנת 2016'!$4:$140,124,0)*+HLOOKUP(BA4,'תחשיב עלות תפעול לשנת 2016'!$4:$148,121,0)</f>
        <v>0</v>
      </c>
      <c r="BB76" s="1333">
        <f>+HLOOKUP(BB4,'תחשיב עלות תפעול לשנת 2016'!$4:$140,124,0)*+HLOOKUP(BB4,'תחשיב עלות תפעול לשנת 2016'!$4:$148,121,0)</f>
        <v>0</v>
      </c>
      <c r="BC76" s="1333">
        <f>+HLOOKUP(BC4,'תחשיב עלות תפעול לשנת 2016'!$4:$140,124,0)*+HLOOKUP(BC4,'תחשיב עלות תפעול לשנת 2016'!$4:$148,121,0)</f>
        <v>404.9588817824901</v>
      </c>
      <c r="BD76" s="1333">
        <f>+HLOOKUP(BD4,'תחשיב עלות תפעול לשנת 2016'!$4:$140,124,0)*+HLOOKUP(BD4,'תחשיב עלות תפעול לשנת 2016'!$4:$148,121,0)</f>
        <v>938.9625992414168</v>
      </c>
      <c r="BE76" s="1333">
        <f>+HLOOKUP(BE4,'תחשיב עלות תפעול לשנת 2016'!$4:$140,124,0)*+HLOOKUP(BE4,'תחשיב עלות תפעול לשנת 2016'!$4:$148,121,0)</f>
        <v>0</v>
      </c>
      <c r="BF76" s="1333">
        <f>+HLOOKUP(BF4,'תחשיב עלות תפעול לשנת 2016'!$4:$140,124,0)*+HLOOKUP(BF4,'תחשיב עלות תפעול לשנת 2016'!$4:$148,121,0)</f>
        <v>0</v>
      </c>
    </row>
    <row r="77" spans="1:249" ht="12.75" customHeight="1" x14ac:dyDescent="0.2">
      <c r="A77" s="1335"/>
      <c r="B77" s="1335"/>
      <c r="C77" s="376" t="s">
        <v>1771</v>
      </c>
      <c r="D77" s="1333">
        <f>(+HLOOKUP(D4,'תחשיב עלות תפעול לשנת 2016'!$4:$140,111,0))*D7*(D11/D12)</f>
        <v>-189.70942624999998</v>
      </c>
      <c r="E77" s="1333">
        <f>(+HLOOKUP(E4,'תחשיב עלות תפעול לשנת 2016'!$4:$140,111,0))*E7*(E11/E12)</f>
        <v>-160.73122000000001</v>
      </c>
      <c r="F77" s="1333">
        <f>(+HLOOKUP(F4,'תחשיב עלות תפעול לשנת 2016'!$4:$140,111,0))*F7*(F11/F12)</f>
        <v>-71.535943499999988</v>
      </c>
      <c r="G77" s="1333">
        <f>(+HLOOKUP(G4,'תחשיב עלות תפעול לשנת 2016'!$4:$140,111,0))*G7*(G11/G12)</f>
        <v>-935.784899</v>
      </c>
      <c r="H77" s="1333">
        <f>(+HLOOKUP(H4,'תחשיב עלות תפעול לשנת 2016'!$4:$140,111,0))*H7*(H11/H12)</f>
        <v>-284.09466075</v>
      </c>
      <c r="I77" s="1333">
        <f>(+HLOOKUP(I4,'תחשיב עלות תפעול לשנת 2016'!$4:$140,111,0))*I7*(I11/I12)</f>
        <v>-31.740159500000001</v>
      </c>
      <c r="J77" s="1333">
        <f>(+HLOOKUP(J4,'תחשיב עלות תפעול לשנת 2016'!$4:$140,111,0))*J7*(J11/J12)</f>
        <v>-76.495719499999979</v>
      </c>
      <c r="K77" s="1333">
        <f>(+HLOOKUP(K4,'תחשיב עלות תפעול לשנת 2016'!$4:$140,111,0))*K7*(K11/K12)</f>
        <v>-122.648595</v>
      </c>
      <c r="L77" s="1333">
        <f>(+HLOOKUP(L4,'תחשיב עלות תפעול לשנת 2016'!$4:$140,111,0))*L7*(L11/L12)</f>
        <v>-92.074912249999983</v>
      </c>
      <c r="M77" s="1333">
        <f>(+HLOOKUP(M4,'תחשיב עלות תפעול לשנת 2016'!$4:$140,111,0))*M7*(M11/M12)</f>
        <v>-170.811161</v>
      </c>
      <c r="N77" s="1333">
        <f>(+HLOOKUP(N4,'תחשיב עלות תפעול לשנת 2016'!$4:$140,111,0))*N7*(N11/N12)</f>
        <v>-277.57373674999997</v>
      </c>
      <c r="O77" s="1333">
        <f>(+HLOOKUP(O4,'תחשיב עלות תפעול לשנת 2016'!$4:$140,111,0))*O7*(O11/O12)</f>
        <v>-162.72836124999998</v>
      </c>
      <c r="P77" s="1333">
        <f>(+HLOOKUP(P4,'תחשיב עלות תפעול לשנת 2016'!$4:$140,111,0))*P7*(P11/P12)</f>
        <v>-93.768350999999996</v>
      </c>
      <c r="Q77" s="1333">
        <f>(+HLOOKUP(Q4,'תחשיב עלות תפעול לשנת 2016'!$4:$140,111,0))*Q7*(Q11/Q12)</f>
        <v>-80.573515749999999</v>
      </c>
      <c r="R77" s="1333">
        <f>(+HLOOKUP(R4,'תחשיב עלות תפעול לשנת 2016'!$4:$140,111,0))*R7*(R11/R12)</f>
        <v>-345.31197899999995</v>
      </c>
      <c r="S77" s="1333">
        <f>(+HLOOKUP(S4,'תחשיב עלות תפעול לשנת 2016'!$4:$140,111,0))*S7*(S11/S12)</f>
        <v>-314.02435574999993</v>
      </c>
      <c r="T77" s="1333">
        <f>(+HLOOKUP(T4,'תחשיב עלות תפעול לשנת 2016'!$4:$140,111,0))*T7*(T11/T12)</f>
        <v>-334.36590899999999</v>
      </c>
      <c r="U77" s="1333">
        <f>(+HLOOKUP(U4,'תחשיב עלות תפעול לשנת 2016'!$4:$140,111,0))*U7*(U11/U12)</f>
        <v>-327.89115275</v>
      </c>
      <c r="V77" s="1333">
        <f>(+HLOOKUP(V4,'תחשיב עלות תפעול לשנת 2016'!$4:$140,111,0))*V7*(V11/V12)</f>
        <v>-173.67290474999996</v>
      </c>
      <c r="W77" s="1333">
        <f>(+HLOOKUP(W4,'תחשיב עלות תפעול לשנת 2016'!$4:$140,111,0))*W7*(W11/W12)</f>
        <v>-149.91229325000003</v>
      </c>
      <c r="X77" s="1333">
        <f>(+HLOOKUP(X4,'תחשיב עלות תפעול לשנת 2016'!$4:$140,111,0))*X7*(X11/X12)</f>
        <v>-146.26889274999999</v>
      </c>
      <c r="Y77" s="1333">
        <f>(+HLOOKUP(Y4,'תחשיב עלות תפעול לשנת 2016'!$4:$140,111,0))*Y7*(Y11/Y12)</f>
        <v>-103.53571449999998</v>
      </c>
      <c r="Z77" s="1333">
        <f>(+HLOOKUP(Z4,'תחשיב עלות תפעול לשנת 2016'!$4:$140,111,0))*Z7*(Z11/Z12)</f>
        <v>-52.415075499999993</v>
      </c>
      <c r="AA77" s="1333">
        <f>(+HLOOKUP(AA4,'תחשיב עלות תפעול לשנת 2016'!$4:$140,111,0))*AA7*(AA11/AA12)</f>
        <v>-61.147738249999996</v>
      </c>
      <c r="AB77" s="1333">
        <f>(+HLOOKUP(AB4,'תחשיב עלות תפעול לשנת 2016'!$4:$140,111,0))*AB7*(AB11/AB12)</f>
        <v>-106.5409315</v>
      </c>
      <c r="AC77" s="1333">
        <f>(+HLOOKUP(AC4,'תחשיב עלות תפעול לשנת 2016'!$4:$140,111,0))*AC7*(AC11/AC12)</f>
        <v>-115.25463724999999</v>
      </c>
      <c r="AD77" s="1333">
        <f>(+HLOOKUP(AD4,'תחשיב עלות תפעול לשנת 2016'!$4:$140,111,0))*AD7*(AD11/AD12)</f>
        <v>-172.74299999999994</v>
      </c>
      <c r="AE77" s="1333">
        <f>(+HLOOKUP(AE4,'תחשיב עלות תפעול לשנת 2016'!$4:$140,111,0))*AE7*(AE11/AE12)</f>
        <v>-77.445042749999985</v>
      </c>
      <c r="AF77" s="1333">
        <f>(+HLOOKUP(AF4,'תחשיב עלות תפעול לשנת 2016'!$4:$140,111,0))*AF7*(AF11/AF12)</f>
        <v>-392.48239100000001</v>
      </c>
      <c r="AG77" s="1333">
        <f>(+HLOOKUP(AG4,'תחשיב עלות תפעול לשנת 2016'!$4:$140,111,0))*AG7*(AG11/AG12)</f>
        <v>-88.49690274999999</v>
      </c>
      <c r="AH77" s="1333">
        <f>(+HLOOKUP(AH4,'תחשיב עלות תפעול לשנת 2016'!$4:$140,111,0))*AH7*(AH11/AH12)</f>
        <v>-57.857473999999996</v>
      </c>
      <c r="AI77" s="1333">
        <f>(+HLOOKUP(AI4,'תחשיב עלות תפעול לשנת 2016'!$4:$140,111,0))*AI7*(AI11/AI12)</f>
        <v>-55.533501999999999</v>
      </c>
      <c r="AJ77" s="1333">
        <f>(+HLOOKUP(AJ4,'תחשיב עלות תפעול לשנת 2016'!$4:$140,111,0))*AJ7*(AJ11/AJ12)</f>
        <v>-61.181729499999996</v>
      </c>
      <c r="AK77" s="1333">
        <f>(+HLOOKUP(AK4,'תחשיב עלות תפעול לשנת 2016'!$4:$140,111,0))*AK7*(AK11/AK12)</f>
        <v>-54.248881249999997</v>
      </c>
      <c r="AL77" s="1333">
        <f>(+HLOOKUP(AL4,'תחשיב עלות תפעול לשנת 2016'!$4:$140,111,0))*AL7*(AL11/AL12)</f>
        <v>-47.683440249999997</v>
      </c>
      <c r="AM77" s="1333">
        <f>(+HLOOKUP(AM4,'תחשיב עלות תפעול לשנת 2016'!$4:$140,111,0))*AM7*(AM11/AM12)</f>
        <v>-757.58407575000001</v>
      </c>
      <c r="AN77" s="1333">
        <f>(+HLOOKUP(AN4,'תחשיב עלות תפעול לשנת 2016'!$4:$140,111,0))*AN7*(AN11/AN12)</f>
        <v>-94.486924250000001</v>
      </c>
      <c r="AO77" s="1333">
        <f>(+HLOOKUP(AO4,'תחשיב עלות תפעול לשנת 2016'!$4:$140,111,0))*AO7*(AO11/AO12)</f>
        <v>-199.17177374999997</v>
      </c>
      <c r="AP77" s="1333">
        <f>(+HLOOKUP(AP4,'תחשיב עלות תפעול לשנת 2016'!$4:$140,111,0))*AP7*(AP11/AP12)</f>
        <v>-63.938712749999993</v>
      </c>
      <c r="AQ77" s="1333">
        <f>(+HLOOKUP(AQ4,'תחשיב עלות תפעול לשנת 2016'!$4:$140,111,0))*AQ7*(AQ11/AQ12)</f>
        <v>-152.07892924999999</v>
      </c>
      <c r="AR77" s="1333">
        <f>(+HLOOKUP(AR4,'תחשיב עלות תפעול לשנת 2016'!$4:$140,111,0))*AR7*(AR11/AR12)</f>
        <v>-89.672254500000008</v>
      </c>
      <c r="AS77" s="1333">
        <f>(+HLOOKUP(AS4,'תחשיב עלות תפעול לשנת 2016'!$4:$140,111,0))*AS7*(AS11/AS12)</f>
        <v>-179.09847625000003</v>
      </c>
      <c r="AT77" s="1333">
        <f>(+HLOOKUP(AT4,'תחשיב עלות תפעול לשנת 2016'!$4:$140,111,0))*AT7*(AT11/AT12)</f>
        <v>-56.266878749999997</v>
      </c>
      <c r="AU77" s="1333">
        <f>(+HLOOKUP(AU4,'תחשיב עלות תפעול לשנת 2016'!$4:$140,111,0))*AU7*(AU11/AU12)</f>
        <v>-45.489984</v>
      </c>
      <c r="AV77" s="1333">
        <f>(+HLOOKUP(AV4,'תחשיב עלות תפעול לשנת 2016'!$4:$140,111,0))*AV7*(AV11/AV12)</f>
        <v>-75.505340499999974</v>
      </c>
      <c r="AW77" s="1333">
        <f>(+HLOOKUP(AW4,'תחשיב עלות תפעול לשנת 2016'!$4:$140,111,0))*AW7*(AW11/AW12)</f>
        <v>-101.34058974999999</v>
      </c>
      <c r="AX77" s="1333">
        <f>(+HLOOKUP(AX4,'תחשיב עלות תפעול לשנת 2016'!$4:$140,111,0))*AX7*(AX11/AX12)</f>
        <v>-127.79588199999999</v>
      </c>
      <c r="AY77" s="1333">
        <f>(+HLOOKUP(AY4,'תחשיב עלות תפעול לשנת 2016'!$4:$140,111,0))*AY7*(AY11/AY12)</f>
        <v>-240.56890949999999</v>
      </c>
      <c r="AZ77" s="1333">
        <f>(+HLOOKUP(AZ4,'תחשיב עלות תפעול לשנת 2016'!$4:$140,111,0))*AZ7*(AZ11/AZ12)</f>
        <v>-103.04391525</v>
      </c>
      <c r="BA77" s="1333">
        <f>(+HLOOKUP(BA4,'תחשיב עלות תפעול לשנת 2016'!$4:$140,111,0))*BA7*(BA11/BA12)</f>
        <v>-97.839065000000005</v>
      </c>
      <c r="BB77" s="1333">
        <f>(+HLOOKUP(BB4,'תחשיב עלות תפעול לשנת 2016'!$4:$140,111,0))*BB7*(BB11/BB12)</f>
        <v>-98.491785750000005</v>
      </c>
      <c r="BC77" s="1333">
        <f>(+HLOOKUP(BC4,'תחשיב עלות תפעול לשנת 2016'!$4:$140,111,0))*BC7*(BC11/BC12)</f>
        <v>-84.504004750000007</v>
      </c>
      <c r="BD77" s="1333">
        <f>(+HLOOKUP(BD4,'תחשיב עלות תפעול לשנת 2016'!$4:$140,111,0))*BD7*(BD11/BD12)</f>
        <v>-106.84306844999999</v>
      </c>
      <c r="BE77" s="1333">
        <f>(+HLOOKUP(BE4,'תחשיב עלות תפעול לשנת 2016'!$4:$140,111,0))*BE7*(BE11/BE12)</f>
        <v>-132.19069324999998</v>
      </c>
      <c r="BF77" s="1333">
        <f>(+HLOOKUP(BF4,'תחשיב עלות תפעול לשנת 2016'!$4:$140,111,0))*BF7*(BF11/BF12)</f>
        <v>-18.845121750000001</v>
      </c>
    </row>
    <row r="78" spans="1:249" x14ac:dyDescent="0.2">
      <c r="A78" s="622"/>
      <c r="B78" s="624"/>
      <c r="C78" s="622"/>
      <c r="D78" s="1337"/>
      <c r="E78" s="622"/>
      <c r="F78" s="622"/>
      <c r="G78" s="622"/>
      <c r="H78" s="622"/>
      <c r="I78" s="622"/>
      <c r="J78" s="624"/>
      <c r="K78" s="622"/>
      <c r="L78" s="622"/>
      <c r="M78" s="622"/>
      <c r="N78" s="622"/>
      <c r="O78" s="622"/>
      <c r="P78" s="622"/>
      <c r="Q78" s="622"/>
      <c r="R78" s="622"/>
      <c r="S78" s="622"/>
      <c r="T78" s="622"/>
      <c r="U78" s="622"/>
      <c r="V78" s="622"/>
      <c r="W78" s="622"/>
      <c r="X78" s="622"/>
      <c r="Y78" s="622"/>
      <c r="Z78" s="622"/>
      <c r="AA78" s="622"/>
      <c r="AB78" s="622"/>
      <c r="AC78" s="622"/>
      <c r="AD78" s="622"/>
      <c r="AE78" s="622"/>
      <c r="AF78" s="622"/>
      <c r="AG78" s="622"/>
      <c r="AH78" s="622"/>
      <c r="AI78" s="622"/>
      <c r="AJ78" s="622"/>
      <c r="AK78" s="622"/>
      <c r="AL78" s="622"/>
      <c r="AM78" s="622"/>
      <c r="AN78" s="622"/>
      <c r="AO78" s="622"/>
      <c r="AP78" s="622"/>
      <c r="AQ78" s="622"/>
      <c r="AR78" s="622"/>
      <c r="AS78" s="622"/>
      <c r="AT78" s="622"/>
      <c r="AU78" s="622"/>
      <c r="AV78" s="622"/>
      <c r="AW78" s="622"/>
      <c r="AX78" s="622"/>
      <c r="AY78" s="622"/>
      <c r="AZ78" s="622"/>
      <c r="BA78" s="622"/>
      <c r="BB78" s="622"/>
      <c r="BC78" s="622"/>
      <c r="BD78" s="622"/>
      <c r="BE78" s="622"/>
      <c r="BF78" s="622"/>
    </row>
    <row r="79" spans="1:249" ht="14.25" x14ac:dyDescent="0.2">
      <c r="A79" s="1845" t="s">
        <v>1088</v>
      </c>
      <c r="B79" s="1331"/>
      <c r="C79" s="1334" t="s">
        <v>1674</v>
      </c>
      <c r="D79" s="1337">
        <f>(+HLOOKUP(D4,'תחשיב עלות תפעול לשנת 2016'!$4:$149,99,0)+HLOOKUP(D4,'תחשיב עלות תפעול לשנת 2016'!$4:$140,78,0)+HLOOKUP(D4,'תחשיב עלות תפעול לשנת 2016'!$4:$148,72,0))*(D11/D12)*D6</f>
        <v>2043.4077603326546</v>
      </c>
      <c r="E79" s="1337">
        <f>(+HLOOKUP(E4,'תחשיב עלות תפעול לשנת 2016'!$4:$149,99,0)+HLOOKUP(E4,'תחשיב עלות תפעול לשנת 2016'!$4:$140,78,0)+HLOOKUP(E4,'תחשיב עלות תפעול לשנת 2016'!$4:$148,72,0))*(E11/E12)*E6</f>
        <v>1619.8799680261131</v>
      </c>
      <c r="F79" s="1337">
        <f>(+HLOOKUP(F4,'תחשיב עלות תפעול לשנת 2016'!$4:$149,99,0)+HLOOKUP(F4,'תחשיב עלות תפעול לשנת 2016'!$4:$140,78,0)+HLOOKUP(F4,'תחשיב עלות תפעול לשנת 2016'!$4:$148,72,0))*(F11/F12)*F6</f>
        <v>1305.4777627513943</v>
      </c>
      <c r="G79" s="1337">
        <f>(+HLOOKUP(G4,'תחשיב עלות תפעול לשנת 2016'!$4:$149,99,0)+HLOOKUP(G4,'תחשיב עלות תפעול לשנת 2016'!$4:$140,78,0)+HLOOKUP(G4,'תחשיב עלות תפעול לשנת 2016'!$4:$148,72,0))*(G11/G12)*G6</f>
        <v>8867.5964393754912</v>
      </c>
      <c r="H79" s="1337">
        <f>(+HLOOKUP(H4,'תחשיב עלות תפעול לשנת 2016'!$4:$149,99,0)+HLOOKUP(H4,'תחשיב עלות תפעול לשנת 2016'!$4:$140,78,0)+HLOOKUP(H4,'תחשיב עלות תפעול לשנת 2016'!$4:$148,72,0))*(H11/H12)*H6</f>
        <v>3016.8803206444163</v>
      </c>
      <c r="I79" s="1337">
        <f>(+HLOOKUP(I4,'תחשיב עלות תפעול לשנת 2016'!$4:$149,99,0)+HLOOKUP(I4,'תחשיב עלות תפעול לשנת 2016'!$4:$140,78,0)+HLOOKUP(I4,'תחשיב עלות תפעול לשנת 2016'!$4:$148,72,0))*(I11/I12)*I6</f>
        <v>2019.0344778263077</v>
      </c>
      <c r="J79" s="1337">
        <f>(+HLOOKUP(J4,'תחשיב עלות תפעול לשנת 2016'!$4:$149,99,0)+HLOOKUP(J4,'תחשיב עלות תפעול לשנת 2016'!$4:$140,78,0)+HLOOKUP(J4,'תחשיב עלות תפעול לשנת 2016'!$4:$148,72,0))*(J11/J12)*J6</f>
        <v>779.47192548048713</v>
      </c>
      <c r="K79" s="1337">
        <f>(+HLOOKUP(K4,'תחשיב עלות תפעול לשנת 2016'!$4:$149,99,0)+HLOOKUP(K4,'תחשיב עלות תפעול לשנת 2016'!$4:$140,78,0)+HLOOKUP(K4,'תחשיב עלות תפעול לשנת 2016'!$4:$148,72,0))*(K11/K12)*K6</f>
        <v>1398.352642933811</v>
      </c>
      <c r="L79" s="1337">
        <f>(+HLOOKUP(L4,'תחשיב עלות תפעול לשנת 2016'!$4:$149,99,0)+HLOOKUP(L4,'תחשיב עלות תפעול לשנת 2016'!$4:$140,78,0)+HLOOKUP(L4,'תחשיב עלות תפעול לשנת 2016'!$4:$148,72,0))*(L11/L12)*L6</f>
        <v>904.67639995879802</v>
      </c>
      <c r="M79" s="1337">
        <f>(+HLOOKUP(M4,'תחשיב עלות תפעול לשנת 2016'!$4:$149,99,0)+HLOOKUP(M4,'תחשיב עלות תפעול לשנת 2016'!$4:$140,78,0)+HLOOKUP(M4,'תחשיב עלות תפעול לשנת 2016'!$4:$148,72,0))*(M11/M12)*M6</f>
        <v>1631.6824793595833</v>
      </c>
      <c r="N79" s="1337">
        <f>(+HLOOKUP(N4,'תחשיב עלות תפעול לשנת 2016'!$4:$149,99,0)+HLOOKUP(N4,'תחשיב עלות תפעול לשנת 2016'!$4:$140,78,0)+HLOOKUP(N4,'תחשיב עלות תפעול לשנת 2016'!$4:$148,72,0))*(N11/N12)*N6</f>
        <v>2805.5503177026053</v>
      </c>
      <c r="O79" s="1337">
        <f>(+HLOOKUP(O4,'תחשיב עלות תפעול לשנת 2016'!$4:$149,99,0)+HLOOKUP(O4,'תחשיב עלות תפעול לשנת 2016'!$4:$140,78,0)+HLOOKUP(O4,'תחשיב עלות תפעול לשנת 2016'!$4:$148,72,0))*(O11/O12)*O6</f>
        <v>1561.9020731559353</v>
      </c>
      <c r="P79" s="1337">
        <f>(+HLOOKUP(P4,'תחשיב עלות תפעול לשנת 2016'!$4:$149,99,0)+HLOOKUP(P4,'תחשיב עלות תפעול לשנת 2016'!$4:$140,78,0)+HLOOKUP(P4,'תחשיב עלות תפעול לשנת 2016'!$4:$148,72,0))*(P11/P12)*P6</f>
        <v>967.76732829912555</v>
      </c>
      <c r="Q79" s="1337">
        <f>(+HLOOKUP(Q4,'תחשיב עלות תפעול לשנת 2016'!$4:$149,99,0)+HLOOKUP(Q4,'תחשיב עלות תפעול לשנת 2016'!$4:$140,78,0)+HLOOKUP(Q4,'תחשיב עלות תפעול לשנת 2016'!$4:$148,72,0))*(Q11/Q12)*Q6</f>
        <v>1425.9184193688332</v>
      </c>
      <c r="R79" s="1337">
        <f>(+HLOOKUP(R4,'תחשיב עלות תפעול לשנת 2016'!$4:$149,99,0)+HLOOKUP(R4,'תחשיב עלות תפעול לשנת 2016'!$4:$140,78,0)+HLOOKUP(R4,'תחשיב עלות תפעול לשנת 2016'!$4:$148,72,0))*(R11/R12)*R6</f>
        <v>5032.0825517656385</v>
      </c>
      <c r="S79" s="1337">
        <f>(+HLOOKUP(S4,'תחשיב עלות תפעול לשנת 2016'!$4:$149,99,0)+HLOOKUP(S4,'תחשיב עלות תפעול לשנת 2016'!$4:$140,78,0)+HLOOKUP(S4,'תחשיב עלות תפעול לשנת 2016'!$4:$148,72,0))*(S11/S12)*S6</f>
        <v>3249.3434551607979</v>
      </c>
      <c r="T79" s="1337">
        <f>(+HLOOKUP(T4,'תחשיב עלות תפעול לשנת 2016'!$4:$149,99,0)+HLOOKUP(T4,'תחשיב עלות תפעול לשנת 2016'!$4:$140,78,0)+HLOOKUP(T4,'תחשיב עלות תפעול לשנת 2016'!$4:$148,72,0))*(T11/T12)*T6</f>
        <v>3448.9249856755196</v>
      </c>
      <c r="U79" s="1337">
        <f>(+HLOOKUP(U4,'תחשיב עלות תפעול לשנת 2016'!$4:$149,99,0)+HLOOKUP(U4,'תחשיב עלות תפעול לשנת 2016'!$4:$140,78,0)+HLOOKUP(U4,'תחשיב עלות תפעול לשנת 2016'!$4:$148,72,0))*(U11/U12)*U6</f>
        <v>3254.5380869090031</v>
      </c>
      <c r="V79" s="1337">
        <f>(+HLOOKUP(V4,'תחשיב עלות תפעול לשנת 2016'!$4:$149,99,0)+HLOOKUP(V4,'תחשיב עלות תפעול לשנת 2016'!$4:$140,78,0)+HLOOKUP(V4,'תחשיב עלות תפעול לשנת 2016'!$4:$148,72,0))*(V11/V12)*V6</f>
        <v>3118.5486972353965</v>
      </c>
      <c r="W79" s="1337">
        <f>(+HLOOKUP(W4,'תחשיב עלות תפעול לשנת 2016'!$4:$149,99,0)+HLOOKUP(W4,'תחשיב עלות תפעול לשנת 2016'!$4:$140,78,0)+HLOOKUP(W4,'תחשיב עלות תפעול לשנת 2016'!$4:$148,72,0))*(W11/W12)*W6</f>
        <v>3205.2546469127387</v>
      </c>
      <c r="X79" s="1337">
        <f>(+HLOOKUP(X4,'תחשיב עלות תפעול לשנת 2016'!$4:$149,99,0)+HLOOKUP(X4,'תחשיב עלות תפעול לשנת 2016'!$4:$140,78,0)+HLOOKUP(X4,'תחשיב עלות תפעול לשנת 2016'!$4:$148,72,0))*(X11/X12)*X6</f>
        <v>1326.8187996860397</v>
      </c>
      <c r="Y79" s="1337">
        <f>(+HLOOKUP(Y4,'תחשיב עלות תפעול לשנת 2016'!$4:$149,99,0)+HLOOKUP(Y4,'תחשיב עלות תפעול לשנת 2016'!$4:$140,78,0)+HLOOKUP(Y4,'תחשיב עלות תפעול לשנת 2016'!$4:$148,72,0))*(Y11/Y12)*Y6</f>
        <v>1046.1962223195735</v>
      </c>
      <c r="Z79" s="1337">
        <f>(+HLOOKUP(Z4,'תחשיב עלות תפעול לשנת 2016'!$4:$149,99,0)+HLOOKUP(Z4,'תחשיב עלות תפעול לשנת 2016'!$4:$140,78,0)+HLOOKUP(Z4,'תחשיב עלות תפעול לשנת 2016'!$4:$148,72,0))*(Z11/Z12)*Z6</f>
        <v>790.56083034923017</v>
      </c>
      <c r="AA79" s="1337">
        <f>(+HLOOKUP(AA4,'תחשיב עלות תפעול לשנת 2016'!$4:$149,99,0)+HLOOKUP(AA4,'תחשיב עלות תפעול לשנת 2016'!$4:$140,78,0)+HLOOKUP(AA4,'תחשיב עלות תפעול לשנת 2016'!$4:$148,72,0))*(AA11/AA12)*AA6</f>
        <v>631.88243125788244</v>
      </c>
      <c r="AB79" s="1337">
        <f>(+HLOOKUP(AB4,'תחשיב עלות תפעול לשנת 2016'!$4:$149,99,0)+HLOOKUP(AB4,'תחשיב עלות תפעול לשנת 2016'!$4:$140,78,0)+HLOOKUP(AB4,'תחשיב עלות תפעול לשנת 2016'!$4:$148,72,0))*(AB11/AB12)*AB6</f>
        <v>1321.4630948151384</v>
      </c>
      <c r="AC79" s="1337">
        <f>(+HLOOKUP(AC4,'תחשיב עלות תפעול לשנת 2016'!$4:$149,99,0)+HLOOKUP(AC4,'תחשיב עלות תפעול לשנת 2016'!$4:$140,78,0)+HLOOKUP(AC4,'תחשיב עלות תפעול לשנת 2016'!$4:$148,72,0))*(AC11/AC12)*AC6</f>
        <v>1100.4507257818141</v>
      </c>
      <c r="AD79" s="1337">
        <f>(+HLOOKUP(AD4,'תחשיב עלות תפעול לשנת 2016'!$4:$149,99,0)+HLOOKUP(AD4,'תחשיב עלות תפעול לשנת 2016'!$4:$140,78,0)+HLOOKUP(AD4,'תחשיב עלות תפעול לשנת 2016'!$4:$148,72,0))*(AD11/AD12)*AD6</f>
        <v>1889.6142245694909</v>
      </c>
      <c r="AE79" s="1337">
        <f>(+HLOOKUP(AE4,'תחשיב עלות תפעול לשנת 2016'!$4:$149,99,0)+HLOOKUP(AE4,'תחשיב עלות תפעול לשנת 2016'!$4:$140,78,0)+HLOOKUP(AE4,'תחשיב עלות תפעול לשנת 2016'!$4:$148,72,0))*(AE11/AE12)*AE6</f>
        <v>1100.1923057502834</v>
      </c>
      <c r="AF79" s="1337">
        <f>(+HLOOKUP(AF4,'תחשיב עלות תפעול לשנת 2016'!$4:$149,99,0)+HLOOKUP(AF4,'תחשיב עלות תפעול לשנת 2016'!$4:$140,78,0)+HLOOKUP(AF4,'תחשיב עלות תפעול לשנת 2016'!$4:$148,72,0))*(AF11/AF12)*AF6</f>
        <v>6079.5769759509885</v>
      </c>
      <c r="AG79" s="1337">
        <f>(+HLOOKUP(AG4,'תחשיב עלות תפעול לשנת 2016'!$4:$149,99,0)+HLOOKUP(AG4,'תחשיב עלות תפעול לשנת 2016'!$4:$140,78,0)+HLOOKUP(AG4,'תחשיב עלות תפעול לשנת 2016'!$4:$148,72,0))*(AG11/AG12)*AG6</f>
        <v>892.21436005472924</v>
      </c>
      <c r="AH79" s="1337">
        <f>(+HLOOKUP(AH4,'תחשיב עלות תפעול לשנת 2016'!$4:$149,99,0)+HLOOKUP(AH4,'תחשיב עלות תפעול לשנת 2016'!$4:$140,78,0)+HLOOKUP(AH4,'תחשיב עלות תפעול לשנת 2016'!$4:$148,72,0))*(AH11/AH12)*AH6</f>
        <v>985.69464069513185</v>
      </c>
      <c r="AI79" s="1337">
        <f>(+HLOOKUP(AI4,'תחשיב עלות תפעול לשנת 2016'!$4:$149,99,0)+HLOOKUP(AI4,'תחשיב עלות תפעול לשנת 2016'!$4:$140,78,0)+HLOOKUP(AI4,'תחשיב עלות תפעול לשנת 2016'!$4:$148,72,0))*(AI11/AI12)*AI6</f>
        <v>560.46246696354069</v>
      </c>
      <c r="AJ79" s="1337">
        <f>(+HLOOKUP(AJ4,'תחשיב עלות תפעול לשנת 2016'!$4:$149,99,0)+HLOOKUP(AJ4,'תחשיב עלות תפעול לשנת 2016'!$4:$140,78,0)+HLOOKUP(AJ4,'תחשיב עלות תפעול לשנת 2016'!$4:$148,72,0))*(AJ11/AJ12)*AJ6</f>
        <v>639.49378111844396</v>
      </c>
      <c r="AK79" s="1337">
        <f>(+HLOOKUP(AK4,'תחשיב עלות תפעול לשנת 2016'!$4:$149,99,0)+HLOOKUP(AK4,'תחשיב עלות תפעול לשנת 2016'!$4:$140,78,0)+HLOOKUP(AK4,'תחשיב עלות תפעול לשנת 2016'!$4:$148,72,0))*(AK11/AK12)*AK6</f>
        <v>553.21997397209009</v>
      </c>
      <c r="AL79" s="1337">
        <f>(+HLOOKUP(AL4,'תחשיב עלות תפעול לשנת 2016'!$4:$149,99,0)+HLOOKUP(AL4,'תחשיב עלות תפעול לשנת 2016'!$4:$140,78,0)+HLOOKUP(AL4,'תחשיב עלות תפעול לשנת 2016'!$4:$148,72,0))*(AL11/AL12)*AL6</f>
        <v>469.05504583794658</v>
      </c>
      <c r="AM79" s="1337">
        <f>(+HLOOKUP(AM4,'תחשיב עלות תפעול לשנת 2016'!$4:$149,99,0)+HLOOKUP(AM4,'תחשיב עלות תפעול לשנת 2016'!$4:$140,78,0)+HLOOKUP(AM4,'תחשיב עלות תפעול לשנת 2016'!$4:$148,72,0))*(AM11/AM12)*AM6</f>
        <v>7571.538273501983</v>
      </c>
      <c r="AN79" s="1337">
        <f>(+HLOOKUP(AN4,'תחשיב עלות תפעול לשנת 2016'!$4:$149,99,0)+HLOOKUP(AN4,'תחשיב עלות תפעול לשנת 2016'!$4:$140,78,0)+HLOOKUP(AN4,'תחשיב עלות תפעול לשנת 2016'!$4:$148,72,0))*(AN11/AN12)*AN6</f>
        <v>927.98065769565017</v>
      </c>
      <c r="AO79" s="1337">
        <f>(+HLOOKUP(AO4,'תחשיב עלות תפעול לשנת 2016'!$4:$149,99,0)+HLOOKUP(AO4,'תחשיב עלות תפעול לשנת 2016'!$4:$140,78,0)+HLOOKUP(AO4,'תחשיב עלות תפעול לשנת 2016'!$4:$148,72,0))*(AO11/AO12)*AO6</f>
        <v>1744.5132609522457</v>
      </c>
      <c r="AP79" s="1337">
        <f>(+HLOOKUP(AP4,'תחשיב עלות תפעול לשנת 2016'!$4:$149,99,0)+HLOOKUP(AP4,'תחשיב עלות תפעול לשנת 2016'!$4:$140,78,0)+HLOOKUP(AP4,'תחשיב עלות תפעול לשנת 2016'!$4:$148,72,0))*(AP11/AP12)*AP6</f>
        <v>585.29365549798433</v>
      </c>
      <c r="AQ79" s="1337">
        <f>(+HLOOKUP(AQ4,'תחשיב עלות תפעול לשנת 2016'!$4:$149,99,0)+HLOOKUP(AQ4,'תחשיב עלות תפעול לשנת 2016'!$4:$140,78,0)+HLOOKUP(AQ4,'תחשיב עלות תפעול לשנת 2016'!$4:$148,72,0))*(AQ11/AQ12)*AQ6</f>
        <v>1576.1882847041386</v>
      </c>
      <c r="AR79" s="1337">
        <f>(+HLOOKUP(AR4,'תחשיב עלות תפעול לשנת 2016'!$4:$149,99,0)+HLOOKUP(AR4,'תחשיב עלות תפעול לשנת 2016'!$4:$140,78,0)+HLOOKUP(AR4,'תחשיב עלות תפעול לשנת 2016'!$4:$148,72,0))*(AR11/AR12)*AR6</f>
        <v>890.77958824947336</v>
      </c>
      <c r="AS79" s="1337">
        <f>(+HLOOKUP(AS4,'תחשיב עלות תפעול לשנת 2016'!$4:$149,99,0)+HLOOKUP(AS4,'תחשיב עלות תפעול לשנת 2016'!$4:$140,78,0)+HLOOKUP(AS4,'תחשיב עלות תפעול לשנת 2016'!$4:$148,72,0))*(AS11/AS12)*AS6</f>
        <v>1816.2392844786996</v>
      </c>
      <c r="AT79" s="1337">
        <f>(+HLOOKUP(AT4,'תחשיב עלות תפעול לשנת 2016'!$4:$149,99,0)+HLOOKUP(AT4,'תחשיב עלות תפעול לשנת 2016'!$4:$140,78,0)+HLOOKUP(AT4,'תחשיב עלות תפעול לשנת 2016'!$4:$148,72,0))*(AT11/AT12)*AT6</f>
        <v>565.88665888755395</v>
      </c>
      <c r="AU79" s="1337">
        <f>(+HLOOKUP(AU4,'תחשיב עלות תפעול לשנת 2016'!$4:$149,99,0)+HLOOKUP(AU4,'תחשיב עלות תפעול לשנת 2016'!$4:$140,78,0)+HLOOKUP(AU4,'תחשיב עלות תפעול לשנת 2016'!$4:$148,72,0))*(AU11/AU12)*AU6</f>
        <v>467.03439614286549</v>
      </c>
      <c r="AV79" s="1337">
        <f>(+HLOOKUP(AV4,'תחשיב עלות תפעול לשנת 2016'!$4:$149,99,0)+HLOOKUP(AV4,'תחשיב עלות תפעול לשנת 2016'!$4:$140,78,0)+HLOOKUP(AV4,'תחשיב עלות תפעול לשנת 2016'!$4:$148,72,0))*(AV11/AV12)*AV6</f>
        <v>802.75254675266376</v>
      </c>
      <c r="AW79" s="1337">
        <f>(+HLOOKUP(AW4,'תחשיב עלות תפעול לשנת 2016'!$4:$149,99,0)+HLOOKUP(AW4,'תחשיב עלות תפעול לשנת 2016'!$4:$140,78,0)+HLOOKUP(AW4,'תחשיב עלות תפעול לשנת 2016'!$4:$148,72,0))*(AW11/AW12)*AW6</f>
        <v>1481.8896086064137</v>
      </c>
      <c r="AX79" s="1337">
        <f>(+HLOOKUP(AX4,'תחשיב עלות תפעול לשנת 2016'!$4:$149,99,0)+HLOOKUP(AX4,'תחשיב עלות תפעול לשנת 2016'!$4:$140,78,0)+HLOOKUP(AX4,'תחשיב עלות תפעול לשנת 2016'!$4:$148,72,0))*(AX11/AX12)*AX6</f>
        <v>1951.207589781211</v>
      </c>
      <c r="AY79" s="1337">
        <f>(+HLOOKUP(AY4,'תחשיב עלות תפעול לשנת 2016'!$4:$149,99,0)+HLOOKUP(AY4,'תחשיב עלות תפעול לשנת 2016'!$4:$140,78,0)+HLOOKUP(AY4,'תחשיב עלות תפעול לשנת 2016'!$4:$148,72,0))*(AY11/AY12)*AY6</f>
        <v>2488.4268491508187</v>
      </c>
      <c r="AZ79" s="1337">
        <f>(+HLOOKUP(AZ4,'תחשיב עלות תפעול לשנת 2016'!$4:$149,99,0)+HLOOKUP(AZ4,'תחשיב עלות תפעול לשנת 2016'!$4:$140,78,0)+HLOOKUP(AZ4,'תחשיב עלות תפעול לשנת 2016'!$4:$148,72,0))*(AZ11/AZ12)*AZ6</f>
        <v>1077.7982940580368</v>
      </c>
      <c r="BA79" s="1337">
        <f>(+HLOOKUP(BA4,'תחשיב עלות תפעול לשנת 2016'!$4:$149,99,0)+HLOOKUP(BA4,'תחשיב עלות תפעול לשנת 2016'!$4:$140,78,0)+HLOOKUP(BA4,'תחשיב עלות תפעול לשנת 2016'!$4:$148,72,0))*(BA11/BA12)*BA6</f>
        <v>971.30253871761704</v>
      </c>
      <c r="BB79" s="1337">
        <f>(+HLOOKUP(BB4,'תחשיב עלות תפעול לשנת 2016'!$4:$149,99,0)+HLOOKUP(BB4,'תחשיב עלות תפעול לשנת 2016'!$4:$140,78,0)+HLOOKUP(BB4,'תחשיב עלות תפעול לשנת 2016'!$4:$148,72,0))*(BB11/BB12)*BB6</f>
        <v>997.44564789554124</v>
      </c>
      <c r="BC79" s="1337">
        <f>(+HLOOKUP(BC4,'תחשיב עלות תפעול לשנת 2016'!$4:$149,99,0)+HLOOKUP(BC4,'תחשיב עלות תפעול לשנת 2016'!$4:$140,78,0)+HLOOKUP(BC4,'תחשיב עלות תפעול לשנת 2016'!$4:$148,72,0))*(BC11/BC12)*BC6</f>
        <v>867.64462971282092</v>
      </c>
      <c r="BD79" s="1337">
        <f>(+HLOOKUP(BD4,'תחשיב עלות תפעול לשנת 2016'!$4:$149,99,0)+HLOOKUP(BD4,'תחשיב עלות תפעול לשנת 2016'!$4:$140,78,0)+HLOOKUP(BD4,'תחשיב עלות תפעול לשנת 2016'!$4:$148,72,0))*(BD11/BD12)*BD6</f>
        <v>1056.0498204775861</v>
      </c>
      <c r="BE79" s="1337">
        <f>(+HLOOKUP(BE4,'תחשיב עלות תפעול לשנת 2016'!$4:$149,99,0)+HLOOKUP(BE4,'תחשיב עלות תפעול לשנת 2016'!$4:$140,78,0)+HLOOKUP(BE4,'תחשיב עלות תפעול לשנת 2016'!$4:$148,72,0))*(BE11/BE12)*BE6</f>
        <v>166.07176767148673</v>
      </c>
      <c r="BF79" s="1337">
        <f>(+HLOOKUP(BF4,'תחשיב עלות תפעול לשנת 2016'!$4:$149,99,0)+HLOOKUP(BF4,'תחשיב עלות תפעול לשנת 2016'!$4:$140,78,0)+HLOOKUP(BF4,'תחשיב עלות תפעול לשנת 2016'!$4:$148,72,0))*(BF11/BF12)*BF6</f>
        <v>189.1194090870699</v>
      </c>
    </row>
    <row r="80" spans="1:249" ht="14.25" customHeight="1" x14ac:dyDescent="0.2">
      <c r="A80" s="1846"/>
      <c r="B80" s="1339"/>
      <c r="C80" s="1334" t="s">
        <v>1676</v>
      </c>
      <c r="D80" s="1333">
        <v>0</v>
      </c>
      <c r="E80" s="1333">
        <v>0</v>
      </c>
      <c r="F80" s="1333">
        <v>0</v>
      </c>
      <c r="G80" s="1333">
        <v>0</v>
      </c>
      <c r="H80" s="1333">
        <v>0</v>
      </c>
      <c r="I80" s="1333">
        <v>0</v>
      </c>
      <c r="J80" s="1333">
        <v>0</v>
      </c>
      <c r="K80" s="1333">
        <v>0</v>
      </c>
      <c r="L80" s="1333">
        <v>0</v>
      </c>
      <c r="M80" s="1333">
        <v>0</v>
      </c>
      <c r="N80" s="1333">
        <v>0</v>
      </c>
      <c r="O80" s="1333">
        <v>0</v>
      </c>
      <c r="P80" s="1333">
        <v>0</v>
      </c>
      <c r="Q80" s="1333">
        <v>0</v>
      </c>
      <c r="R80" s="1333">
        <v>0</v>
      </c>
      <c r="S80" s="1333">
        <v>0</v>
      </c>
      <c r="T80" s="1333">
        <v>0</v>
      </c>
      <c r="U80" s="1333">
        <v>0</v>
      </c>
      <c r="V80" s="1333">
        <v>0</v>
      </c>
      <c r="W80" s="1333">
        <v>0</v>
      </c>
      <c r="X80" s="1333">
        <v>0</v>
      </c>
      <c r="Y80" s="1333">
        <v>0</v>
      </c>
      <c r="Z80" s="1333">
        <v>0</v>
      </c>
      <c r="AA80" s="1333">
        <v>0</v>
      </c>
      <c r="AB80" s="1333">
        <v>0</v>
      </c>
      <c r="AC80" s="1333">
        <v>0</v>
      </c>
      <c r="AD80" s="1333">
        <v>0</v>
      </c>
      <c r="AE80" s="1333">
        <v>0</v>
      </c>
      <c r="AF80" s="1333">
        <v>0</v>
      </c>
      <c r="AG80" s="1333">
        <v>0</v>
      </c>
      <c r="AH80" s="1333">
        <v>0</v>
      </c>
      <c r="AI80" s="1333">
        <v>0</v>
      </c>
      <c r="AJ80" s="1333">
        <v>0</v>
      </c>
      <c r="AK80" s="1333">
        <v>0</v>
      </c>
      <c r="AL80" s="1333">
        <v>0</v>
      </c>
      <c r="AM80" s="1333">
        <v>0</v>
      </c>
      <c r="AN80" s="1333">
        <v>0</v>
      </c>
      <c r="AO80" s="1333">
        <v>0</v>
      </c>
      <c r="AP80" s="1333">
        <v>0</v>
      </c>
      <c r="AQ80" s="1333">
        <v>0</v>
      </c>
      <c r="AR80" s="1333">
        <v>0</v>
      </c>
      <c r="AS80" s="1333">
        <v>0</v>
      </c>
      <c r="AT80" s="1333">
        <v>0</v>
      </c>
      <c r="AU80" s="1333">
        <v>0</v>
      </c>
      <c r="AV80" s="1333">
        <v>0</v>
      </c>
      <c r="AW80" s="1333">
        <v>0</v>
      </c>
      <c r="AX80" s="1333">
        <v>0</v>
      </c>
      <c r="AY80" s="1333">
        <v>0</v>
      </c>
      <c r="AZ80" s="1333">
        <v>0</v>
      </c>
      <c r="BA80" s="1333">
        <v>0</v>
      </c>
      <c r="BB80" s="1333">
        <v>0</v>
      </c>
      <c r="BC80" s="1333">
        <v>0</v>
      </c>
      <c r="BD80" s="1333">
        <v>0</v>
      </c>
      <c r="BE80" s="1333">
        <v>0</v>
      </c>
      <c r="BF80" s="1333">
        <v>0</v>
      </c>
    </row>
    <row r="81" spans="1:249" ht="14.25" x14ac:dyDescent="0.2">
      <c r="A81" s="1846"/>
      <c r="B81" s="1339"/>
      <c r="C81" s="1334" t="s">
        <v>1678</v>
      </c>
      <c r="D81" s="1333">
        <v>0</v>
      </c>
      <c r="E81" s="1333">
        <v>0</v>
      </c>
      <c r="F81" s="1333">
        <v>0</v>
      </c>
      <c r="G81" s="1333">
        <v>0</v>
      </c>
      <c r="H81" s="1333">
        <v>0</v>
      </c>
      <c r="I81" s="1333">
        <v>0</v>
      </c>
      <c r="J81" s="1333">
        <v>0</v>
      </c>
      <c r="K81" s="1333">
        <v>0</v>
      </c>
      <c r="L81" s="1333">
        <v>0</v>
      </c>
      <c r="M81" s="1333">
        <v>0</v>
      </c>
      <c r="N81" s="1333">
        <v>0</v>
      </c>
      <c r="O81" s="1333">
        <v>0</v>
      </c>
      <c r="P81" s="1333">
        <v>0</v>
      </c>
      <c r="Q81" s="1333">
        <v>0</v>
      </c>
      <c r="R81" s="1333">
        <v>0</v>
      </c>
      <c r="S81" s="1333">
        <v>0</v>
      </c>
      <c r="T81" s="1333">
        <v>0</v>
      </c>
      <c r="U81" s="1333">
        <v>0</v>
      </c>
      <c r="V81" s="1333">
        <v>0</v>
      </c>
      <c r="W81" s="1333">
        <v>0</v>
      </c>
      <c r="X81" s="1333">
        <v>0</v>
      </c>
      <c r="Y81" s="1333">
        <v>0</v>
      </c>
      <c r="Z81" s="1333">
        <v>0</v>
      </c>
      <c r="AA81" s="1333">
        <v>0</v>
      </c>
      <c r="AB81" s="1333">
        <v>0</v>
      </c>
      <c r="AC81" s="1333">
        <v>0</v>
      </c>
      <c r="AD81" s="1333">
        <v>0</v>
      </c>
      <c r="AE81" s="1333">
        <v>0</v>
      </c>
      <c r="AF81" s="1333">
        <v>0</v>
      </c>
      <c r="AG81" s="1333">
        <v>0</v>
      </c>
      <c r="AH81" s="1333">
        <v>0</v>
      </c>
      <c r="AI81" s="1333">
        <v>0</v>
      </c>
      <c r="AJ81" s="1333">
        <v>0</v>
      </c>
      <c r="AK81" s="1333">
        <v>0</v>
      </c>
      <c r="AL81" s="1333">
        <v>0</v>
      </c>
      <c r="AM81" s="1333">
        <v>0</v>
      </c>
      <c r="AN81" s="1333">
        <v>0</v>
      </c>
      <c r="AO81" s="1333">
        <v>0</v>
      </c>
      <c r="AP81" s="1333">
        <v>0</v>
      </c>
      <c r="AQ81" s="1333">
        <v>0</v>
      </c>
      <c r="AR81" s="1333">
        <v>0</v>
      </c>
      <c r="AS81" s="1333">
        <v>0</v>
      </c>
      <c r="AT81" s="1333">
        <v>0</v>
      </c>
      <c r="AU81" s="1333">
        <v>0</v>
      </c>
      <c r="AV81" s="1333">
        <v>0</v>
      </c>
      <c r="AW81" s="1333">
        <v>0</v>
      </c>
      <c r="AX81" s="1333">
        <v>0</v>
      </c>
      <c r="AY81" s="1333">
        <v>0</v>
      </c>
      <c r="AZ81" s="1333">
        <v>0</v>
      </c>
      <c r="BA81" s="1333">
        <v>0</v>
      </c>
      <c r="BB81" s="1333">
        <v>0</v>
      </c>
      <c r="BC81" s="1333">
        <v>0</v>
      </c>
      <c r="BD81" s="1333">
        <v>0</v>
      </c>
      <c r="BE81" s="1333">
        <v>0</v>
      </c>
      <c r="BF81" s="1333">
        <v>0</v>
      </c>
    </row>
    <row r="82" spans="1:249" s="1231" customFormat="1" ht="14.25" x14ac:dyDescent="0.2">
      <c r="A82" s="1846"/>
      <c r="B82" s="1339"/>
      <c r="C82" s="1340" t="s">
        <v>1680</v>
      </c>
      <c r="D82" s="1333">
        <v>0</v>
      </c>
      <c r="E82" s="1333">
        <v>0</v>
      </c>
      <c r="F82" s="1333">
        <v>0</v>
      </c>
      <c r="G82" s="1333">
        <v>0</v>
      </c>
      <c r="H82" s="1333">
        <v>0</v>
      </c>
      <c r="I82" s="1333">
        <v>0</v>
      </c>
      <c r="J82" s="1333">
        <v>0</v>
      </c>
      <c r="K82" s="1333">
        <v>0</v>
      </c>
      <c r="L82" s="1333">
        <v>0</v>
      </c>
      <c r="M82" s="1333">
        <v>0</v>
      </c>
      <c r="N82" s="1333">
        <v>0</v>
      </c>
      <c r="O82" s="1333">
        <v>0</v>
      </c>
      <c r="P82" s="1333">
        <v>0</v>
      </c>
      <c r="Q82" s="1333">
        <v>0</v>
      </c>
      <c r="R82" s="1333">
        <v>0</v>
      </c>
      <c r="S82" s="1333">
        <v>0</v>
      </c>
      <c r="T82" s="1333">
        <v>0</v>
      </c>
      <c r="U82" s="1333">
        <v>0</v>
      </c>
      <c r="V82" s="1333">
        <v>0</v>
      </c>
      <c r="W82" s="1333">
        <v>0</v>
      </c>
      <c r="X82" s="1333">
        <v>0</v>
      </c>
      <c r="Y82" s="1333">
        <v>0</v>
      </c>
      <c r="Z82" s="1333">
        <v>0</v>
      </c>
      <c r="AA82" s="1333">
        <v>0</v>
      </c>
      <c r="AB82" s="1333">
        <v>0</v>
      </c>
      <c r="AC82" s="1333">
        <v>0</v>
      </c>
      <c r="AD82" s="1333">
        <v>0</v>
      </c>
      <c r="AE82" s="1333">
        <v>0</v>
      </c>
      <c r="AF82" s="1333">
        <v>0</v>
      </c>
      <c r="AG82" s="1333">
        <v>0</v>
      </c>
      <c r="AH82" s="1333">
        <v>0</v>
      </c>
      <c r="AI82" s="1333">
        <v>0</v>
      </c>
      <c r="AJ82" s="1333">
        <v>0</v>
      </c>
      <c r="AK82" s="1333">
        <v>0</v>
      </c>
      <c r="AL82" s="1333">
        <v>0</v>
      </c>
      <c r="AM82" s="1333">
        <v>0</v>
      </c>
      <c r="AN82" s="1333">
        <v>0</v>
      </c>
      <c r="AO82" s="1333">
        <v>0</v>
      </c>
      <c r="AP82" s="1333">
        <v>0</v>
      </c>
      <c r="AQ82" s="1333">
        <v>0</v>
      </c>
      <c r="AR82" s="1333">
        <v>0</v>
      </c>
      <c r="AS82" s="1333">
        <v>0</v>
      </c>
      <c r="AT82" s="1333">
        <v>0</v>
      </c>
      <c r="AU82" s="1333">
        <v>0</v>
      </c>
      <c r="AV82" s="1333">
        <v>0</v>
      </c>
      <c r="AW82" s="1333">
        <v>0</v>
      </c>
      <c r="AX82" s="1333">
        <v>0</v>
      </c>
      <c r="AY82" s="1333">
        <v>0</v>
      </c>
      <c r="AZ82" s="1333">
        <v>0</v>
      </c>
      <c r="BA82" s="1333">
        <v>0</v>
      </c>
      <c r="BB82" s="1333">
        <v>0</v>
      </c>
      <c r="BC82" s="1333">
        <v>0</v>
      </c>
      <c r="BD82" s="1333">
        <v>0</v>
      </c>
      <c r="BE82" s="1333">
        <v>0</v>
      </c>
      <c r="BF82" s="1333">
        <v>0</v>
      </c>
      <c r="BG82" s="374"/>
      <c r="BH82" s="374"/>
      <c r="BI82" s="374"/>
      <c r="BJ82" s="374"/>
      <c r="BK82" s="374"/>
      <c r="BL82" s="374"/>
      <c r="BM82" s="374"/>
      <c r="BN82" s="374"/>
      <c r="BO82" s="374"/>
      <c r="BP82" s="374"/>
      <c r="BQ82" s="374"/>
      <c r="BR82" s="374"/>
      <c r="BS82" s="374"/>
      <c r="BT82" s="374"/>
      <c r="BU82" s="374"/>
      <c r="BV82" s="374"/>
      <c r="BW82" s="374"/>
      <c r="BX82" s="374"/>
      <c r="BY82" s="374"/>
      <c r="BZ82" s="374"/>
      <c r="CA82" s="374"/>
      <c r="CB82" s="374"/>
      <c r="CC82" s="374"/>
      <c r="CD82" s="374"/>
      <c r="CE82" s="374"/>
      <c r="CF82" s="374"/>
      <c r="CG82" s="374"/>
      <c r="CH82" s="374"/>
      <c r="CI82" s="374"/>
      <c r="CJ82" s="374"/>
      <c r="CK82" s="374"/>
      <c r="CL82" s="374"/>
      <c r="CM82" s="374"/>
      <c r="CN82" s="374"/>
      <c r="CO82" s="374"/>
      <c r="CP82" s="374"/>
      <c r="CQ82" s="374"/>
      <c r="CR82" s="374"/>
      <c r="CS82" s="374"/>
      <c r="CT82" s="374"/>
      <c r="CU82" s="374"/>
      <c r="CV82" s="374"/>
      <c r="CW82" s="374"/>
      <c r="CX82" s="374"/>
      <c r="CY82" s="374"/>
      <c r="CZ82" s="374"/>
      <c r="DA82" s="374"/>
      <c r="DB82" s="374"/>
      <c r="DC82" s="374"/>
      <c r="DD82" s="374"/>
      <c r="DE82" s="374"/>
      <c r="DF82" s="374"/>
      <c r="DG82" s="374"/>
      <c r="DH82" s="374"/>
      <c r="DI82" s="374"/>
      <c r="DJ82" s="374"/>
      <c r="DK82" s="374"/>
      <c r="DL82" s="374"/>
      <c r="DM82" s="374"/>
      <c r="DN82" s="374"/>
      <c r="DO82" s="374"/>
      <c r="DP82" s="374"/>
      <c r="DQ82" s="374"/>
      <c r="DR82" s="374"/>
      <c r="DS82" s="374"/>
      <c r="DT82" s="374"/>
      <c r="DU82" s="374"/>
      <c r="DV82" s="374"/>
      <c r="DW82" s="374"/>
      <c r="DX82" s="374"/>
      <c r="DY82" s="374"/>
      <c r="DZ82" s="374"/>
      <c r="EA82" s="374"/>
      <c r="EB82" s="374"/>
      <c r="EC82" s="374"/>
      <c r="ED82" s="374"/>
      <c r="EE82" s="374"/>
      <c r="EF82" s="374"/>
      <c r="EG82" s="374"/>
      <c r="EH82" s="374"/>
      <c r="EI82" s="374"/>
      <c r="EJ82" s="374"/>
      <c r="EK82" s="374"/>
      <c r="EL82" s="374"/>
      <c r="EM82" s="374"/>
      <c r="EN82" s="374"/>
      <c r="EO82" s="374"/>
      <c r="EP82" s="374"/>
      <c r="EQ82" s="374"/>
      <c r="ER82" s="374"/>
      <c r="ES82" s="374"/>
      <c r="ET82" s="374"/>
      <c r="EU82" s="374"/>
      <c r="EV82" s="374"/>
      <c r="EW82" s="374"/>
      <c r="EX82" s="374"/>
      <c r="EY82" s="374"/>
      <c r="EZ82" s="374"/>
      <c r="FA82" s="374"/>
      <c r="FB82" s="374"/>
      <c r="FC82" s="374"/>
      <c r="FD82" s="374"/>
      <c r="FE82" s="374"/>
      <c r="FF82" s="374"/>
      <c r="FG82" s="374"/>
      <c r="FH82" s="374"/>
      <c r="FI82" s="374"/>
      <c r="FJ82" s="374"/>
      <c r="FK82" s="374"/>
      <c r="FL82" s="374"/>
      <c r="FM82" s="374"/>
      <c r="FN82" s="374"/>
      <c r="FO82" s="374"/>
      <c r="FP82" s="374"/>
      <c r="FQ82" s="374"/>
      <c r="FR82" s="374"/>
      <c r="FS82" s="374"/>
      <c r="FT82" s="374"/>
      <c r="FU82" s="374"/>
      <c r="FV82" s="374"/>
      <c r="FW82" s="374"/>
      <c r="FX82" s="374"/>
      <c r="FY82" s="374"/>
      <c r="FZ82" s="374"/>
      <c r="GA82" s="374"/>
      <c r="GB82" s="374"/>
      <c r="GC82" s="374"/>
      <c r="GD82" s="374"/>
      <c r="GE82" s="374"/>
      <c r="GF82" s="374"/>
      <c r="GG82" s="374"/>
      <c r="GH82" s="374"/>
      <c r="GI82" s="374"/>
      <c r="GJ82" s="374"/>
      <c r="GK82" s="374"/>
      <c r="GL82" s="374"/>
      <c r="GM82" s="374"/>
      <c r="GN82" s="374"/>
      <c r="GO82" s="374"/>
      <c r="GP82" s="374"/>
      <c r="GQ82" s="374"/>
      <c r="GR82" s="374"/>
      <c r="GS82" s="374"/>
      <c r="GT82" s="374"/>
      <c r="GU82" s="374"/>
      <c r="GV82" s="374"/>
      <c r="GW82" s="374"/>
      <c r="GX82" s="374"/>
      <c r="GY82" s="374"/>
      <c r="GZ82" s="374"/>
      <c r="HA82" s="374"/>
      <c r="HB82" s="374"/>
      <c r="HC82" s="374"/>
      <c r="HD82" s="374"/>
      <c r="HE82" s="374"/>
      <c r="HF82" s="374"/>
      <c r="HG82" s="374"/>
      <c r="HH82" s="374"/>
      <c r="HI82" s="374"/>
      <c r="HJ82" s="374"/>
      <c r="HK82" s="374"/>
      <c r="HL82" s="374"/>
      <c r="HM82" s="374"/>
      <c r="HN82" s="374"/>
      <c r="HO82" s="374"/>
      <c r="HP82" s="374"/>
      <c r="HQ82" s="374"/>
      <c r="HR82" s="374"/>
      <c r="HS82" s="374"/>
      <c r="HT82" s="374"/>
      <c r="HU82" s="374"/>
      <c r="HV82" s="374"/>
      <c r="HW82" s="374"/>
      <c r="HX82" s="374"/>
      <c r="HY82" s="374"/>
      <c r="HZ82" s="374"/>
      <c r="IA82" s="374"/>
      <c r="IB82" s="374"/>
      <c r="IC82" s="374"/>
      <c r="ID82" s="374"/>
      <c r="IE82" s="374"/>
      <c r="IF82" s="374"/>
      <c r="IG82" s="374"/>
      <c r="IH82" s="374"/>
      <c r="II82" s="374"/>
      <c r="IJ82" s="374"/>
      <c r="IK82" s="374"/>
      <c r="IL82" s="374"/>
      <c r="IM82" s="374"/>
      <c r="IN82" s="374"/>
      <c r="IO82" s="374"/>
    </row>
    <row r="83" spans="1:249" ht="14.25" x14ac:dyDescent="0.2">
      <c r="A83" s="1846"/>
      <c r="B83" s="1339"/>
      <c r="C83" s="1334" t="s">
        <v>1682</v>
      </c>
      <c r="D83" s="1333">
        <v>0</v>
      </c>
      <c r="E83" s="1333">
        <v>0</v>
      </c>
      <c r="F83" s="1333">
        <v>0</v>
      </c>
      <c r="G83" s="1333">
        <v>0</v>
      </c>
      <c r="H83" s="1333">
        <v>0</v>
      </c>
      <c r="I83" s="1333">
        <v>0</v>
      </c>
      <c r="J83" s="1333">
        <v>0</v>
      </c>
      <c r="K83" s="1333">
        <v>0</v>
      </c>
      <c r="L83" s="1333">
        <v>0</v>
      </c>
      <c r="M83" s="1333">
        <v>0</v>
      </c>
      <c r="N83" s="1333">
        <v>0</v>
      </c>
      <c r="O83" s="1333">
        <v>0</v>
      </c>
      <c r="P83" s="1333">
        <v>0</v>
      </c>
      <c r="Q83" s="1333">
        <v>0</v>
      </c>
      <c r="R83" s="1333">
        <v>0</v>
      </c>
      <c r="S83" s="1333">
        <v>0</v>
      </c>
      <c r="T83" s="1333">
        <v>0</v>
      </c>
      <c r="U83" s="1333">
        <v>0</v>
      </c>
      <c r="V83" s="1333">
        <v>0</v>
      </c>
      <c r="W83" s="1333">
        <v>0</v>
      </c>
      <c r="X83" s="1333">
        <v>0</v>
      </c>
      <c r="Y83" s="1333">
        <v>0</v>
      </c>
      <c r="Z83" s="1333">
        <v>0</v>
      </c>
      <c r="AA83" s="1333">
        <v>0</v>
      </c>
      <c r="AB83" s="1333">
        <v>0</v>
      </c>
      <c r="AC83" s="1333">
        <v>0</v>
      </c>
      <c r="AD83" s="1333">
        <v>0</v>
      </c>
      <c r="AE83" s="1333">
        <v>0</v>
      </c>
      <c r="AF83" s="1333">
        <v>0</v>
      </c>
      <c r="AG83" s="1333">
        <v>0</v>
      </c>
      <c r="AH83" s="1333">
        <v>0</v>
      </c>
      <c r="AI83" s="1333">
        <v>0</v>
      </c>
      <c r="AJ83" s="1333">
        <v>0</v>
      </c>
      <c r="AK83" s="1333">
        <v>0</v>
      </c>
      <c r="AL83" s="1333">
        <v>0</v>
      </c>
      <c r="AM83" s="1333">
        <v>0</v>
      </c>
      <c r="AN83" s="1333">
        <v>0</v>
      </c>
      <c r="AO83" s="1333">
        <v>0</v>
      </c>
      <c r="AP83" s="1333">
        <v>0</v>
      </c>
      <c r="AQ83" s="1333">
        <v>0</v>
      </c>
      <c r="AR83" s="1333">
        <v>0</v>
      </c>
      <c r="AS83" s="1333">
        <v>0</v>
      </c>
      <c r="AT83" s="1333">
        <v>0</v>
      </c>
      <c r="AU83" s="1333">
        <v>0</v>
      </c>
      <c r="AV83" s="1333">
        <v>0</v>
      </c>
      <c r="AW83" s="1333">
        <v>0</v>
      </c>
      <c r="AX83" s="1333">
        <v>0</v>
      </c>
      <c r="AY83" s="1333">
        <v>0</v>
      </c>
      <c r="AZ83" s="1333">
        <v>0</v>
      </c>
      <c r="BA83" s="1333">
        <v>0</v>
      </c>
      <c r="BB83" s="1333">
        <v>0</v>
      </c>
      <c r="BC83" s="1333">
        <v>0</v>
      </c>
      <c r="BD83" s="1333">
        <v>0</v>
      </c>
      <c r="BE83" s="1333">
        <v>0</v>
      </c>
      <c r="BF83" s="1333">
        <v>0</v>
      </c>
    </row>
    <row r="84" spans="1:249" ht="14.25" x14ac:dyDescent="0.2">
      <c r="A84" s="1846"/>
      <c r="B84" s="1339"/>
      <c r="C84" s="1334" t="s">
        <v>1684</v>
      </c>
      <c r="D84" s="1337">
        <f>(+HLOOKUP(D4,'תחשיב עלות תפעול לשנת 2016'!$4:$151,82,0))/1000*D25</f>
        <v>678.99279999999999</v>
      </c>
      <c r="E84" s="1337">
        <f>(+HLOOKUP(E4,'תחשיב עלות תפעול לשנת 2016'!$4:$151,82,0))/1000*E25</f>
        <v>459.64370000000002</v>
      </c>
      <c r="F84" s="1337">
        <f>(+HLOOKUP(F4,'תחשיב עלות תפעול לשנת 2016'!$4:$151,82,0))/1000*F25</f>
        <v>280.62080000000003</v>
      </c>
      <c r="G84" s="1337">
        <f>(+HLOOKUP(G4,'תחשיב עלות תפעול לשנת 2016'!$4:$151,82,0))/1000*G25</f>
        <v>3416.5778</v>
      </c>
      <c r="H84" s="1337">
        <f>(+HLOOKUP(H4,'תחשיב עלות תפעול לשנת 2016'!$4:$151,82,0))/1000*H25</f>
        <v>1153.3064999999999</v>
      </c>
      <c r="I84" s="1337">
        <f>(+HLOOKUP(I4,'תחשיב עלות תפעול לשנת 2016'!$4:$151,82,0))/1000*I25</f>
        <v>122.0381</v>
      </c>
      <c r="J84" s="1337">
        <f>(+HLOOKUP(J4,'תחשיב עלות תפעול לשנת 2016'!$4:$151,82,0))/1000*J25</f>
        <v>264.66309999999999</v>
      </c>
      <c r="K84" s="1337">
        <f>(+HLOOKUP(K4,'תחשיב עלות תפעול לשנת 2016'!$4:$151,82,0))/1000*K25</f>
        <v>518.27480000000003</v>
      </c>
      <c r="L84" s="1337">
        <f>(+HLOOKUP(L4,'תחשיב עלות תפעול לשנת 2016'!$4:$151,82,0))/1000*L25</f>
        <v>374.83479999999997</v>
      </c>
      <c r="M84" s="1337">
        <f>(+HLOOKUP(M4,'תחשיב עלות תפעול לשנת 2016'!$4:$151,82,0))/1000*M25</f>
        <v>718.74850000000004</v>
      </c>
      <c r="N84" s="1337">
        <f>(+HLOOKUP(N4,'תחשיב עלות תפעול לשנת 2016'!$4:$151,82,0))/1000*N25</f>
        <v>1238.9956</v>
      </c>
      <c r="O84" s="1337">
        <f>(+HLOOKUP(O4,'תחשיב עלות תפעול לשנת 2016'!$4:$151,82,0))/1000*O25</f>
        <v>464.90859999999998</v>
      </c>
      <c r="P84" s="1337">
        <f>(+HLOOKUP(P4,'תחשיב עלות תפעול לשנת 2016'!$4:$151,82,0))/1000*P25</f>
        <v>347.05960000000005</v>
      </c>
      <c r="Q84" s="1337">
        <f>(+HLOOKUP(Q4,'תחשיב עלות תפעול לשנת 2016'!$4:$151,82,0))/1000*Q25</f>
        <v>291.83519999999999</v>
      </c>
      <c r="R84" s="1337">
        <f>(+HLOOKUP(R4,'תחשיב עלות תפעול לשנת 2016'!$4:$151,82,0))/1000*R25</f>
        <v>1448.1571999999999</v>
      </c>
      <c r="S84" s="1337">
        <f>(+HLOOKUP(S4,'תחשיב עלות תפעול לשנת 2016'!$4:$151,82,0))/1000*S25</f>
        <v>1483.4630000000002</v>
      </c>
      <c r="T84" s="1337">
        <f>(+HLOOKUP(T4,'תחשיב עלות תפעול לשנת 2016'!$4:$151,82,0))/1000*T25</f>
        <v>1730.3917000000001</v>
      </c>
      <c r="U84" s="1337">
        <f>(+HLOOKUP(U4,'תחשיב עלות תפעול לשנת 2016'!$4:$151,82,0))/1000*U25</f>
        <v>1298.6536000000001</v>
      </c>
      <c r="V84" s="1337">
        <f>(+HLOOKUP(V4,'תחשיב עלות תפעול לשנת 2016'!$4:$151,82,0))/1000*V25</f>
        <v>344.63090000000005</v>
      </c>
      <c r="W84" s="1337">
        <f>(+HLOOKUP(W4,'תחשיב עלות תפעול לשנת 2016'!$4:$151,82,0))/1000*W25</f>
        <v>535.99290000000008</v>
      </c>
      <c r="X84" s="1337">
        <f>(+HLOOKUP(X4,'תחשיב עלות תפעול לשנת 2016'!$4:$151,82,0))/1000*X25</f>
        <v>620.74746666666658</v>
      </c>
      <c r="Y84" s="1337">
        <f>(+HLOOKUP(Y4,'תחשיב עלות תפעול לשנת 2016'!$4:$151,82,0))/1000*Y25</f>
        <v>394.91640000000007</v>
      </c>
      <c r="Z84" s="1337">
        <f>(+HLOOKUP(Z4,'תחשיב עלות תפעול לשנת 2016'!$4:$151,82,0))/1000*Z25</f>
        <v>204.80950000000001</v>
      </c>
      <c r="AA84" s="1337">
        <f>(+HLOOKUP(AA4,'תחשיב עלות תפעול לשנת 2016'!$4:$151,82,0))/1000*AA25</f>
        <v>338.7955</v>
      </c>
      <c r="AB84" s="1337">
        <f>(+HLOOKUP(AB4,'תחשיב עלות תפעול לשנת 2016'!$4:$151,82,0))/1000*AB25</f>
        <v>408.64100000000002</v>
      </c>
      <c r="AC84" s="1337">
        <f>(+HLOOKUP(AC4,'תחשיב עלות תפעול לשנת 2016'!$4:$151,82,0))/1000*AC25</f>
        <v>294.76920000000001</v>
      </c>
      <c r="AD84" s="1337">
        <f>(+HLOOKUP(AD4,'תחשיב עלות תפעול לשנת 2016'!$4:$151,82,0))/1000*AD25</f>
        <v>616.95500000000004</v>
      </c>
      <c r="AE84" s="1337">
        <f>(+HLOOKUP(AE4,'תחשיב עלות תפעול לשנת 2016'!$4:$151,82,0))/1000*AE25</f>
        <v>267.07550000000003</v>
      </c>
      <c r="AF84" s="1337">
        <f>(+HLOOKUP(AF4,'תחשיב עלות תפעול לשנת 2016'!$4:$151,82,0))/1000*AF25</f>
        <v>1789.8541</v>
      </c>
      <c r="AG84" s="1337">
        <f>(+HLOOKUP(AG4,'תחשיב עלות תפעול לשנת 2016'!$4:$151,82,0))/1000*AG25</f>
        <v>314.34550000000002</v>
      </c>
      <c r="AH84" s="1337">
        <f>(+HLOOKUP(AH4,'תחשיב עלות תפעול לשנת 2016'!$4:$151,82,0))/1000*AH25</f>
        <v>284.51650000000001</v>
      </c>
      <c r="AI84" s="1337">
        <f>(+HLOOKUP(AI4,'תחשיב עלות תפעול לשנת 2016'!$4:$151,82,0))/1000*AI25</f>
        <v>111.0356</v>
      </c>
      <c r="AJ84" s="1337">
        <f>(+HLOOKUP(AJ4,'תחשיב עלות תפעול לשנת 2016'!$4:$151,82,0))/1000*AJ25</f>
        <v>201.90810000000002</v>
      </c>
      <c r="AK84" s="1337">
        <f>(+HLOOKUP(AK4,'תחשיב עלות תפעול לשנת 2016'!$4:$151,82,0))/1000*AK25</f>
        <v>314.60629999999998</v>
      </c>
      <c r="AL84" s="1337">
        <f>(+HLOOKUP(AL4,'תחשיב עלות תפעול לשנת 2016'!$4:$151,82,0))/1000*AL25</f>
        <v>302.10419999999999</v>
      </c>
      <c r="AM84" s="1337">
        <f>(+HLOOKUP(AM4,'תחשיב עלות תפעול לשנת 2016'!$4:$151,82,0))/1000*AM25</f>
        <v>3586</v>
      </c>
      <c r="AN84" s="1337">
        <f>(+HLOOKUP(AN4,'תחשיב עלות תפעול לשנת 2016'!$4:$151,82,0))/1000*AN25</f>
        <v>307.98849999999999</v>
      </c>
      <c r="AO84" s="1337">
        <f>(+HLOOKUP(AO4,'תחשיב עלות תפעול לשנת 2016'!$4:$151,82,0))/1000*AO25</f>
        <v>1123.6242</v>
      </c>
      <c r="AP84" s="1337">
        <f>(+HLOOKUP(AP4,'תחשיב עלות תפעול לשנת 2016'!$4:$151,82,0))/1000*AP25</f>
        <v>411.59130000000005</v>
      </c>
      <c r="AQ84" s="1337">
        <f>(+HLOOKUP(AQ4,'תחשיב עלות תפעול לשנת 2016'!$4:$151,82,0))/1000*AQ25</f>
        <v>871.21870000000001</v>
      </c>
      <c r="AR84" s="1337">
        <f>(+HLOOKUP(AR4,'תחשיב עלות תפעול לשנת 2016'!$4:$151,82,0))/1000*AR25</f>
        <v>371.09123333333338</v>
      </c>
      <c r="AS84" s="1337">
        <f>(+HLOOKUP(AS4,'תחשיב עלות תפעול לשנת 2016'!$4:$151,82,0))/1000*AS25</f>
        <v>559.43229999999994</v>
      </c>
      <c r="AT84" s="1337">
        <f>(+HLOOKUP(AT4,'תחשיב עלות תפעול לשנת 2016'!$4:$151,82,0))/1000*AT25</f>
        <v>276.49690000000004</v>
      </c>
      <c r="AU84" s="1337">
        <f>(+HLOOKUP(AU4,'תחשיב עלות תפעול לשנת 2016'!$4:$151,82,0))/1000*AU25</f>
        <v>263.99480000000005</v>
      </c>
      <c r="AV84" s="1337">
        <f>(+HLOOKUP(AV4,'תחשיב עלות תפעול לשנת 2016'!$4:$151,82,0))/1000*AV25</f>
        <v>283.14729999999997</v>
      </c>
      <c r="AW84" s="1337">
        <f>(+HLOOKUP(AW4,'תחשיב עלות תפעול לשנת 2016'!$4:$151,82,0))/1000*AW25</f>
        <v>304.27210000000002</v>
      </c>
      <c r="AX84" s="1337">
        <f>(+HLOOKUP(AX4,'תחשיב עלות תפעול לשנת 2016'!$4:$151,82,0))/1000*AX25</f>
        <v>382.15350000000001</v>
      </c>
      <c r="AY84" s="1337">
        <f>(+HLOOKUP(AY4,'תחשיב עלות תפעול לשנת 2016'!$4:$151,82,0))/1000*AY25</f>
        <v>905.49760000000003</v>
      </c>
      <c r="AZ84" s="1337">
        <f>(+HLOOKUP(AZ4,'תחשיב עלות תפעול לשנת 2016'!$4:$151,82,0))/1000*AZ25</f>
        <v>467.09280000000001</v>
      </c>
      <c r="BA84" s="1337">
        <f>(+HLOOKUP(BA4,'תחשיב עלות תפעול לשנת 2016'!$4:$151,82,0))/1000*BA25</f>
        <v>365.61986666666667</v>
      </c>
      <c r="BB84" s="1337">
        <f>(+HLOOKUP(BB4,'תחשיב עלות תפעול לשנת 2016'!$4:$151,82,0))/1000*BB25</f>
        <v>345.02210000000002</v>
      </c>
      <c r="BC84" s="1337">
        <f>(+HLOOKUP(BC4,'תחשיב עלות תפעול לשנת 2016'!$4:$151,82,0))/1000*BC25</f>
        <v>208.9171</v>
      </c>
      <c r="BD84" s="1337">
        <f>(+HLOOKUP(BD4,'תחשיב עלות תפעול לשנת 2016'!$4:$151,82,0))/1000*BD25</f>
        <v>151.72040000000001</v>
      </c>
      <c r="BE84" s="1337">
        <f>(+HLOOKUP(BE4,'תחשיב עלות תפעול לשנת 2016'!$4:$151,82,0))/1000*BE25</f>
        <v>45.444400000000002</v>
      </c>
      <c r="BF84" s="1337">
        <f>(+HLOOKUP(BF4,'תחשיב עלות תפעול לשנת 2016'!$4:$151,82,0))/1000*BF25</f>
        <v>86.096600000000009</v>
      </c>
    </row>
    <row r="85" spans="1:249" ht="14.25" x14ac:dyDescent="0.2">
      <c r="A85" s="1846"/>
      <c r="B85" s="1339"/>
      <c r="C85" s="1334" t="s">
        <v>1686</v>
      </c>
      <c r="D85" s="1333">
        <v>0</v>
      </c>
      <c r="E85" s="1333">
        <v>0</v>
      </c>
      <c r="F85" s="1333">
        <v>0</v>
      </c>
      <c r="G85" s="1333">
        <v>0</v>
      </c>
      <c r="H85" s="1333">
        <v>0</v>
      </c>
      <c r="I85" s="1333">
        <v>0</v>
      </c>
      <c r="J85" s="1333">
        <v>0</v>
      </c>
      <c r="K85" s="1333">
        <v>0</v>
      </c>
      <c r="L85" s="1333">
        <v>0</v>
      </c>
      <c r="M85" s="1333">
        <v>0</v>
      </c>
      <c r="N85" s="1333">
        <v>0</v>
      </c>
      <c r="O85" s="1333">
        <v>0</v>
      </c>
      <c r="P85" s="1333">
        <v>0</v>
      </c>
      <c r="Q85" s="1333">
        <v>0</v>
      </c>
      <c r="R85" s="1333">
        <v>0</v>
      </c>
      <c r="S85" s="1333">
        <v>0</v>
      </c>
      <c r="T85" s="1333">
        <v>0</v>
      </c>
      <c r="U85" s="1333">
        <v>0</v>
      </c>
      <c r="V85" s="1333">
        <v>0</v>
      </c>
      <c r="W85" s="1333">
        <v>0</v>
      </c>
      <c r="X85" s="1333">
        <v>0</v>
      </c>
      <c r="Y85" s="1333">
        <v>0</v>
      </c>
      <c r="Z85" s="1333">
        <v>0</v>
      </c>
      <c r="AA85" s="1333">
        <v>0</v>
      </c>
      <c r="AB85" s="1333">
        <v>0</v>
      </c>
      <c r="AC85" s="1333">
        <v>0</v>
      </c>
      <c r="AD85" s="1333">
        <v>0</v>
      </c>
      <c r="AE85" s="1333">
        <v>0</v>
      </c>
      <c r="AF85" s="1333">
        <v>0</v>
      </c>
      <c r="AG85" s="1333">
        <v>0</v>
      </c>
      <c r="AH85" s="1333">
        <v>0</v>
      </c>
      <c r="AI85" s="1333">
        <v>0</v>
      </c>
      <c r="AJ85" s="1333">
        <v>0</v>
      </c>
      <c r="AK85" s="1333">
        <v>0</v>
      </c>
      <c r="AL85" s="1333">
        <v>0</v>
      </c>
      <c r="AM85" s="1333">
        <v>0</v>
      </c>
      <c r="AN85" s="1333">
        <v>0</v>
      </c>
      <c r="AO85" s="1333">
        <v>0</v>
      </c>
      <c r="AP85" s="1333">
        <v>0</v>
      </c>
      <c r="AQ85" s="1333">
        <v>0</v>
      </c>
      <c r="AR85" s="1333">
        <v>0</v>
      </c>
      <c r="AS85" s="1333">
        <v>0</v>
      </c>
      <c r="AT85" s="1333">
        <v>0</v>
      </c>
      <c r="AU85" s="1333">
        <v>0</v>
      </c>
      <c r="AV85" s="1333">
        <v>0</v>
      </c>
      <c r="AW85" s="1333">
        <v>0</v>
      </c>
      <c r="AX85" s="1333">
        <v>0</v>
      </c>
      <c r="AY85" s="1333">
        <v>0</v>
      </c>
      <c r="AZ85" s="1333">
        <v>0</v>
      </c>
      <c r="BA85" s="1333">
        <v>0</v>
      </c>
      <c r="BB85" s="1333">
        <v>0</v>
      </c>
      <c r="BC85" s="1333">
        <v>0</v>
      </c>
      <c r="BD85" s="1333">
        <v>0</v>
      </c>
      <c r="BE85" s="1333">
        <v>0</v>
      </c>
      <c r="BF85" s="1333">
        <v>0</v>
      </c>
    </row>
    <row r="86" spans="1:249" ht="14.25" x14ac:dyDescent="0.2">
      <c r="A86" s="1846"/>
      <c r="B86" s="1339"/>
      <c r="C86" s="1334" t="s">
        <v>1688</v>
      </c>
      <c r="D86" s="1333">
        <v>0</v>
      </c>
      <c r="E86" s="1333">
        <v>0</v>
      </c>
      <c r="F86" s="1333">
        <v>0</v>
      </c>
      <c r="G86" s="1333">
        <v>0</v>
      </c>
      <c r="H86" s="1333">
        <v>0</v>
      </c>
      <c r="I86" s="1333">
        <v>0</v>
      </c>
      <c r="J86" s="1333">
        <v>0</v>
      </c>
      <c r="K86" s="1333">
        <v>0</v>
      </c>
      <c r="L86" s="1333">
        <v>0</v>
      </c>
      <c r="M86" s="1333">
        <v>0</v>
      </c>
      <c r="N86" s="1333">
        <v>0</v>
      </c>
      <c r="O86" s="1333">
        <v>0</v>
      </c>
      <c r="P86" s="1333">
        <v>0</v>
      </c>
      <c r="Q86" s="1333">
        <v>0</v>
      </c>
      <c r="R86" s="1333">
        <v>0</v>
      </c>
      <c r="S86" s="1333">
        <v>0</v>
      </c>
      <c r="T86" s="1333">
        <v>0</v>
      </c>
      <c r="U86" s="1333">
        <v>0</v>
      </c>
      <c r="V86" s="1333">
        <v>0</v>
      </c>
      <c r="W86" s="1333">
        <v>0</v>
      </c>
      <c r="X86" s="1333">
        <v>0</v>
      </c>
      <c r="Y86" s="1333">
        <v>0</v>
      </c>
      <c r="Z86" s="1333">
        <v>0</v>
      </c>
      <c r="AA86" s="1333">
        <v>0</v>
      </c>
      <c r="AB86" s="1333">
        <v>0</v>
      </c>
      <c r="AC86" s="1333">
        <v>0</v>
      </c>
      <c r="AD86" s="1333">
        <v>0</v>
      </c>
      <c r="AE86" s="1333">
        <v>0</v>
      </c>
      <c r="AF86" s="1333">
        <v>0</v>
      </c>
      <c r="AG86" s="1333">
        <v>0</v>
      </c>
      <c r="AH86" s="1333">
        <v>0</v>
      </c>
      <c r="AI86" s="1333">
        <v>0</v>
      </c>
      <c r="AJ86" s="1333">
        <v>0</v>
      </c>
      <c r="AK86" s="1333">
        <v>0</v>
      </c>
      <c r="AL86" s="1333">
        <v>0</v>
      </c>
      <c r="AM86" s="1333">
        <v>0</v>
      </c>
      <c r="AN86" s="1333">
        <v>0</v>
      </c>
      <c r="AO86" s="1333">
        <v>0</v>
      </c>
      <c r="AP86" s="1333">
        <v>0</v>
      </c>
      <c r="AQ86" s="1333">
        <v>0</v>
      </c>
      <c r="AR86" s="1333">
        <v>0</v>
      </c>
      <c r="AS86" s="1333">
        <v>0</v>
      </c>
      <c r="AT86" s="1333">
        <v>0</v>
      </c>
      <c r="AU86" s="1333">
        <v>0</v>
      </c>
      <c r="AV86" s="1333">
        <v>0</v>
      </c>
      <c r="AW86" s="1333">
        <v>0</v>
      </c>
      <c r="AX86" s="1333">
        <v>0</v>
      </c>
      <c r="AY86" s="1333">
        <v>0</v>
      </c>
      <c r="AZ86" s="1333">
        <v>0</v>
      </c>
      <c r="BA86" s="1333">
        <v>0</v>
      </c>
      <c r="BB86" s="1333">
        <v>0</v>
      </c>
      <c r="BC86" s="1333">
        <v>0</v>
      </c>
      <c r="BD86" s="1333">
        <v>0</v>
      </c>
      <c r="BE86" s="1333">
        <v>0</v>
      </c>
      <c r="BF86" s="1333">
        <v>0</v>
      </c>
    </row>
    <row r="87" spans="1:249" ht="14.25" x14ac:dyDescent="0.2">
      <c r="A87" s="1846"/>
      <c r="B87" s="1339"/>
      <c r="C87" s="1334" t="s">
        <v>1690</v>
      </c>
      <c r="D87" s="1333">
        <v>0</v>
      </c>
      <c r="E87" s="1333">
        <v>0</v>
      </c>
      <c r="F87" s="1333">
        <v>0</v>
      </c>
      <c r="G87" s="1333">
        <v>0</v>
      </c>
      <c r="H87" s="1333">
        <v>0</v>
      </c>
      <c r="I87" s="1333">
        <v>0</v>
      </c>
      <c r="J87" s="1333">
        <v>0</v>
      </c>
      <c r="K87" s="1333">
        <v>0</v>
      </c>
      <c r="L87" s="1333">
        <v>0</v>
      </c>
      <c r="M87" s="1333">
        <v>0</v>
      </c>
      <c r="N87" s="1333">
        <v>0</v>
      </c>
      <c r="O87" s="1333">
        <v>0</v>
      </c>
      <c r="P87" s="1333">
        <v>0</v>
      </c>
      <c r="Q87" s="1333">
        <v>0</v>
      </c>
      <c r="R87" s="1333">
        <v>0</v>
      </c>
      <c r="S87" s="1333">
        <v>0</v>
      </c>
      <c r="T87" s="1333">
        <v>0</v>
      </c>
      <c r="U87" s="1333">
        <v>0</v>
      </c>
      <c r="V87" s="1333">
        <v>0</v>
      </c>
      <c r="W87" s="1333">
        <v>0</v>
      </c>
      <c r="X87" s="1333">
        <v>0</v>
      </c>
      <c r="Y87" s="1333">
        <v>0</v>
      </c>
      <c r="Z87" s="1333">
        <v>0</v>
      </c>
      <c r="AA87" s="1333">
        <v>0</v>
      </c>
      <c r="AB87" s="1333">
        <v>0</v>
      </c>
      <c r="AC87" s="1333">
        <v>0</v>
      </c>
      <c r="AD87" s="1333">
        <v>0</v>
      </c>
      <c r="AE87" s="1333">
        <v>0</v>
      </c>
      <c r="AF87" s="1333">
        <v>0</v>
      </c>
      <c r="AG87" s="1333">
        <v>0</v>
      </c>
      <c r="AH87" s="1333">
        <v>0</v>
      </c>
      <c r="AI87" s="1333">
        <v>0</v>
      </c>
      <c r="AJ87" s="1333">
        <v>0</v>
      </c>
      <c r="AK87" s="1333">
        <v>0</v>
      </c>
      <c r="AL87" s="1333">
        <v>0</v>
      </c>
      <c r="AM87" s="1333">
        <v>0</v>
      </c>
      <c r="AN87" s="1333">
        <v>0</v>
      </c>
      <c r="AO87" s="1333">
        <v>0</v>
      </c>
      <c r="AP87" s="1333">
        <v>0</v>
      </c>
      <c r="AQ87" s="1333">
        <v>0</v>
      </c>
      <c r="AR87" s="1333">
        <v>0</v>
      </c>
      <c r="AS87" s="1333">
        <v>0</v>
      </c>
      <c r="AT87" s="1333">
        <v>0</v>
      </c>
      <c r="AU87" s="1333">
        <v>0</v>
      </c>
      <c r="AV87" s="1333">
        <v>0</v>
      </c>
      <c r="AW87" s="1333">
        <v>0</v>
      </c>
      <c r="AX87" s="1333">
        <v>0</v>
      </c>
      <c r="AY87" s="1333">
        <v>0</v>
      </c>
      <c r="AZ87" s="1333">
        <v>0</v>
      </c>
      <c r="BA87" s="1333">
        <v>0</v>
      </c>
      <c r="BB87" s="1333">
        <v>0</v>
      </c>
      <c r="BC87" s="1333">
        <v>0</v>
      </c>
      <c r="BD87" s="1333">
        <v>0</v>
      </c>
      <c r="BE87" s="1333">
        <v>0</v>
      </c>
      <c r="BF87" s="1333">
        <v>0</v>
      </c>
    </row>
    <row r="88" spans="1:249" ht="14.25" x14ac:dyDescent="0.2">
      <c r="A88" s="1846"/>
      <c r="B88" s="1339"/>
      <c r="C88" s="1341" t="s">
        <v>1692</v>
      </c>
      <c r="D88" s="1342">
        <v>0</v>
      </c>
      <c r="E88" s="1342">
        <v>0</v>
      </c>
      <c r="F88" s="1342">
        <v>0</v>
      </c>
      <c r="G88" s="1342">
        <v>0</v>
      </c>
      <c r="H88" s="1342">
        <v>0</v>
      </c>
      <c r="I88" s="1342">
        <v>0</v>
      </c>
      <c r="J88" s="1342">
        <v>0</v>
      </c>
      <c r="K88" s="1342">
        <v>0</v>
      </c>
      <c r="L88" s="1342">
        <v>0</v>
      </c>
      <c r="M88" s="1342">
        <v>0</v>
      </c>
      <c r="N88" s="1342">
        <v>0</v>
      </c>
      <c r="O88" s="1342">
        <v>0</v>
      </c>
      <c r="P88" s="1342">
        <v>0</v>
      </c>
      <c r="Q88" s="1342">
        <v>0</v>
      </c>
      <c r="R88" s="1342">
        <v>0</v>
      </c>
      <c r="S88" s="1342">
        <v>0</v>
      </c>
      <c r="T88" s="1342">
        <v>0</v>
      </c>
      <c r="U88" s="1342">
        <v>0</v>
      </c>
      <c r="V88" s="1342">
        <v>0</v>
      </c>
      <c r="W88" s="1342">
        <v>0</v>
      </c>
      <c r="X88" s="1342">
        <v>0</v>
      </c>
      <c r="Y88" s="1342">
        <v>0</v>
      </c>
      <c r="Z88" s="1342">
        <v>0</v>
      </c>
      <c r="AA88" s="1342">
        <v>0</v>
      </c>
      <c r="AB88" s="1342">
        <v>0</v>
      </c>
      <c r="AC88" s="1342">
        <v>0</v>
      </c>
      <c r="AD88" s="1342">
        <v>0</v>
      </c>
      <c r="AE88" s="1342">
        <v>0</v>
      </c>
      <c r="AF88" s="1342">
        <v>0</v>
      </c>
      <c r="AG88" s="1342">
        <v>0</v>
      </c>
      <c r="AH88" s="1342">
        <v>0</v>
      </c>
      <c r="AI88" s="1342">
        <v>0</v>
      </c>
      <c r="AJ88" s="1342">
        <v>0</v>
      </c>
      <c r="AK88" s="1342">
        <v>0</v>
      </c>
      <c r="AL88" s="1342">
        <v>0</v>
      </c>
      <c r="AM88" s="1342">
        <v>0</v>
      </c>
      <c r="AN88" s="1342">
        <v>0</v>
      </c>
      <c r="AO88" s="1342">
        <v>0</v>
      </c>
      <c r="AP88" s="1342">
        <v>0</v>
      </c>
      <c r="AQ88" s="1342">
        <v>0</v>
      </c>
      <c r="AR88" s="1342">
        <v>0</v>
      </c>
      <c r="AS88" s="1342">
        <v>0</v>
      </c>
      <c r="AT88" s="1342">
        <v>0</v>
      </c>
      <c r="AU88" s="1342">
        <v>0</v>
      </c>
      <c r="AV88" s="1342">
        <v>0</v>
      </c>
      <c r="AW88" s="1342">
        <v>0</v>
      </c>
      <c r="AX88" s="1342">
        <v>0</v>
      </c>
      <c r="AY88" s="1342">
        <v>0</v>
      </c>
      <c r="AZ88" s="1342">
        <v>0</v>
      </c>
      <c r="BA88" s="1342">
        <v>0</v>
      </c>
      <c r="BB88" s="1342">
        <v>0</v>
      </c>
      <c r="BC88" s="1342">
        <v>0</v>
      </c>
      <c r="BD88" s="1342">
        <v>0</v>
      </c>
      <c r="BE88" s="1342">
        <v>0</v>
      </c>
      <c r="BF88" s="1342">
        <v>0</v>
      </c>
    </row>
    <row r="89" spans="1:249" s="622" customFormat="1" ht="14.25" x14ac:dyDescent="0.2">
      <c r="A89" s="1846"/>
      <c r="B89" s="1339"/>
      <c r="C89" s="1334" t="s">
        <v>1772</v>
      </c>
      <c r="D89" s="1333">
        <v>0</v>
      </c>
      <c r="E89" s="1333">
        <v>0</v>
      </c>
      <c r="F89" s="1333">
        <v>0</v>
      </c>
      <c r="G89" s="1333">
        <v>0</v>
      </c>
      <c r="H89" s="1333">
        <v>0</v>
      </c>
      <c r="I89" s="1333">
        <v>0</v>
      </c>
      <c r="J89" s="1333">
        <v>0</v>
      </c>
      <c r="K89" s="1333">
        <v>0</v>
      </c>
      <c r="L89" s="1333">
        <v>0</v>
      </c>
      <c r="M89" s="1333">
        <v>0</v>
      </c>
      <c r="N89" s="1333">
        <v>0</v>
      </c>
      <c r="O89" s="1333">
        <v>0</v>
      </c>
      <c r="P89" s="1333">
        <v>0</v>
      </c>
      <c r="Q89" s="1333">
        <v>0</v>
      </c>
      <c r="R89" s="1333">
        <v>0</v>
      </c>
      <c r="S89" s="1333">
        <v>0</v>
      </c>
      <c r="T89" s="1333">
        <v>0</v>
      </c>
      <c r="U89" s="1333">
        <v>0</v>
      </c>
      <c r="V89" s="1333">
        <v>0</v>
      </c>
      <c r="W89" s="1333">
        <v>0</v>
      </c>
      <c r="X89" s="1333">
        <v>0</v>
      </c>
      <c r="Y89" s="1333">
        <v>0</v>
      </c>
      <c r="Z89" s="1333">
        <v>0</v>
      </c>
      <c r="AA89" s="1333">
        <v>0</v>
      </c>
      <c r="AB89" s="1333">
        <v>0</v>
      </c>
      <c r="AC89" s="1333">
        <v>0</v>
      </c>
      <c r="AD89" s="1333">
        <v>0</v>
      </c>
      <c r="AE89" s="1333">
        <v>0</v>
      </c>
      <c r="AF89" s="1333">
        <v>0</v>
      </c>
      <c r="AG89" s="1333">
        <v>0</v>
      </c>
      <c r="AH89" s="1333">
        <v>0</v>
      </c>
      <c r="AI89" s="1333">
        <v>0</v>
      </c>
      <c r="AJ89" s="1333">
        <v>0</v>
      </c>
      <c r="AK89" s="1333">
        <v>0</v>
      </c>
      <c r="AL89" s="1333">
        <v>0</v>
      </c>
      <c r="AM89" s="1333">
        <v>0</v>
      </c>
      <c r="AN89" s="1333">
        <v>0</v>
      </c>
      <c r="AO89" s="1333">
        <v>0</v>
      </c>
      <c r="AP89" s="1333">
        <v>0</v>
      </c>
      <c r="AQ89" s="1333">
        <v>0</v>
      </c>
      <c r="AR89" s="1333">
        <v>0</v>
      </c>
      <c r="AS89" s="1333">
        <v>0</v>
      </c>
      <c r="AT89" s="1333">
        <v>0</v>
      </c>
      <c r="AU89" s="1333">
        <v>0</v>
      </c>
      <c r="AV89" s="1333">
        <v>0</v>
      </c>
      <c r="AW89" s="1333">
        <v>0</v>
      </c>
      <c r="AX89" s="1333">
        <v>0</v>
      </c>
      <c r="AY89" s="1333">
        <v>0</v>
      </c>
      <c r="AZ89" s="1333">
        <v>0</v>
      </c>
      <c r="BA89" s="1333">
        <v>0</v>
      </c>
      <c r="BB89" s="1333">
        <v>0</v>
      </c>
      <c r="BC89" s="1333">
        <v>0</v>
      </c>
      <c r="BD89" s="1333">
        <v>0</v>
      </c>
      <c r="BE89" s="1333">
        <v>0</v>
      </c>
      <c r="BF89" s="1333">
        <v>0</v>
      </c>
      <c r="BG89" s="374"/>
      <c r="BH89" s="374"/>
      <c r="BI89" s="374"/>
      <c r="BJ89" s="374"/>
      <c r="BK89" s="374"/>
      <c r="BL89" s="374"/>
      <c r="BM89" s="374"/>
      <c r="BN89" s="374"/>
      <c r="BO89" s="374"/>
      <c r="BP89" s="374"/>
      <c r="BQ89" s="374"/>
      <c r="BR89" s="374"/>
      <c r="BS89" s="374"/>
      <c r="BT89" s="374"/>
      <c r="BU89" s="374"/>
      <c r="BV89" s="374"/>
      <c r="BW89" s="374"/>
      <c r="BX89" s="374"/>
      <c r="BY89" s="374"/>
      <c r="BZ89" s="374"/>
      <c r="CA89" s="374"/>
      <c r="CB89" s="374"/>
      <c r="CC89" s="374"/>
      <c r="CD89" s="374"/>
      <c r="CE89" s="374"/>
      <c r="CF89" s="374"/>
      <c r="CG89" s="374"/>
      <c r="CH89" s="374"/>
      <c r="CI89" s="374"/>
      <c r="CJ89" s="374"/>
      <c r="CK89" s="374"/>
      <c r="CL89" s="374"/>
      <c r="CM89" s="374"/>
      <c r="CN89" s="374"/>
      <c r="CO89" s="374"/>
      <c r="CP89" s="374"/>
      <c r="CQ89" s="374"/>
      <c r="CR89" s="374"/>
      <c r="CS89" s="374"/>
      <c r="CT89" s="374"/>
      <c r="CU89" s="374"/>
      <c r="CV89" s="374"/>
      <c r="CW89" s="374"/>
      <c r="CX89" s="374"/>
      <c r="CY89" s="374"/>
      <c r="CZ89" s="374"/>
      <c r="DA89" s="374"/>
      <c r="DB89" s="374"/>
      <c r="DC89" s="374"/>
      <c r="DD89" s="374"/>
      <c r="DE89" s="374"/>
      <c r="DF89" s="374"/>
      <c r="DG89" s="374"/>
      <c r="DH89" s="374"/>
      <c r="DI89" s="374"/>
      <c r="DJ89" s="374"/>
      <c r="DK89" s="374"/>
      <c r="DL89" s="374"/>
      <c r="DM89" s="374"/>
      <c r="DN89" s="374"/>
      <c r="DO89" s="374"/>
      <c r="DP89" s="374"/>
      <c r="DQ89" s="374"/>
      <c r="DR89" s="374"/>
      <c r="DS89" s="374"/>
      <c r="DT89" s="374"/>
      <c r="DU89" s="374"/>
      <c r="DV89" s="374"/>
      <c r="DW89" s="374"/>
      <c r="DX89" s="374"/>
      <c r="DY89" s="374"/>
      <c r="DZ89" s="374"/>
      <c r="EA89" s="374"/>
      <c r="EB89" s="374"/>
      <c r="EC89" s="374"/>
      <c r="ED89" s="374"/>
      <c r="EE89" s="374"/>
      <c r="EF89" s="374"/>
      <c r="EG89" s="374"/>
      <c r="EH89" s="374"/>
      <c r="EI89" s="374"/>
      <c r="EJ89" s="374"/>
      <c r="EK89" s="374"/>
      <c r="EL89" s="374"/>
      <c r="EM89" s="374"/>
      <c r="EN89" s="374"/>
      <c r="EO89" s="374"/>
      <c r="EP89" s="374"/>
      <c r="EQ89" s="374"/>
      <c r="ER89" s="374"/>
      <c r="ES89" s="374"/>
      <c r="ET89" s="374"/>
      <c r="EU89" s="374"/>
      <c r="EV89" s="374"/>
      <c r="EW89" s="374"/>
      <c r="EX89" s="374"/>
      <c r="EY89" s="374"/>
      <c r="EZ89" s="374"/>
      <c r="FA89" s="374"/>
      <c r="FB89" s="374"/>
      <c r="FC89" s="374"/>
      <c r="FD89" s="374"/>
      <c r="FE89" s="374"/>
      <c r="FF89" s="374"/>
      <c r="FG89" s="374"/>
      <c r="FH89" s="374"/>
      <c r="FI89" s="374"/>
      <c r="FJ89" s="374"/>
      <c r="FK89" s="374"/>
      <c r="FL89" s="374"/>
      <c r="FM89" s="374"/>
      <c r="FN89" s="374"/>
      <c r="FO89" s="374"/>
      <c r="FP89" s="374"/>
      <c r="FQ89" s="374"/>
      <c r="FR89" s="374"/>
      <c r="FS89" s="374"/>
      <c r="FT89" s="374"/>
      <c r="FU89" s="374"/>
      <c r="FV89" s="374"/>
      <c r="FW89" s="374"/>
      <c r="FX89" s="374"/>
      <c r="FY89" s="374"/>
      <c r="FZ89" s="374"/>
      <c r="GA89" s="374"/>
      <c r="GB89" s="374"/>
      <c r="GC89" s="374"/>
      <c r="GD89" s="374"/>
      <c r="GE89" s="374"/>
      <c r="GF89" s="374"/>
      <c r="GG89" s="374"/>
      <c r="GH89" s="374"/>
      <c r="GI89" s="374"/>
      <c r="GJ89" s="374"/>
      <c r="GK89" s="374"/>
      <c r="GL89" s="374"/>
      <c r="GM89" s="374"/>
      <c r="GN89" s="374"/>
      <c r="GO89" s="374"/>
      <c r="GP89" s="374"/>
      <c r="GQ89" s="374"/>
      <c r="GR89" s="374"/>
      <c r="GS89" s="374"/>
      <c r="GT89" s="374"/>
      <c r="GU89" s="374"/>
      <c r="GV89" s="374"/>
      <c r="GW89" s="374"/>
      <c r="GX89" s="374"/>
      <c r="GY89" s="374"/>
      <c r="GZ89" s="374"/>
      <c r="HA89" s="374"/>
      <c r="HB89" s="374"/>
      <c r="HC89" s="374"/>
      <c r="HD89" s="374"/>
      <c r="HE89" s="374"/>
      <c r="HF89" s="374"/>
      <c r="HG89" s="374"/>
      <c r="HH89" s="374"/>
      <c r="HI89" s="374"/>
      <c r="HJ89" s="374"/>
      <c r="HK89" s="374"/>
      <c r="HL89" s="374"/>
      <c r="HM89" s="374"/>
      <c r="HN89" s="374"/>
      <c r="HO89" s="374"/>
      <c r="HP89" s="374"/>
      <c r="HQ89" s="374"/>
      <c r="HR89" s="374"/>
      <c r="HS89" s="374"/>
      <c r="HT89" s="374"/>
      <c r="HU89" s="374"/>
      <c r="HV89" s="374"/>
      <c r="HW89" s="374"/>
      <c r="HX89" s="374"/>
      <c r="HY89" s="374"/>
      <c r="HZ89" s="374"/>
      <c r="IA89" s="374"/>
      <c r="IB89" s="374"/>
      <c r="IC89" s="374"/>
      <c r="ID89" s="374"/>
      <c r="IE89" s="374"/>
      <c r="IF89" s="374"/>
      <c r="IG89" s="374"/>
      <c r="IH89" s="374"/>
      <c r="II89" s="374"/>
      <c r="IJ89" s="374"/>
      <c r="IK89" s="374"/>
      <c r="IL89" s="374"/>
      <c r="IM89" s="374"/>
      <c r="IN89" s="374"/>
      <c r="IO89" s="374"/>
    </row>
    <row r="90" spans="1:249" s="622" customFormat="1" ht="14.25" x14ac:dyDescent="0.2">
      <c r="A90" s="1846"/>
      <c r="B90" s="1339"/>
      <c r="C90" s="1334" t="s">
        <v>1696</v>
      </c>
      <c r="D90" s="1333">
        <f>(+HLOOKUP(D4,'תחשיב עלות תפעול לשנת 2016'!$4:$151,82,0))/1000*D26</f>
        <v>449.88480000000004</v>
      </c>
      <c r="E90" s="1333">
        <f>(+HLOOKUP(E4,'תחשיב עלות תפעול לשנת 2016'!$4:$151,82,0))/1000*E26</f>
        <v>304.54920000000004</v>
      </c>
      <c r="F90" s="1333">
        <f>(+HLOOKUP(F4,'תחשיב עלות תפעול לשנת 2016'!$4:$151,82,0))/1000*F26</f>
        <v>185.93280000000001</v>
      </c>
      <c r="G90" s="1333">
        <f>(+HLOOKUP(G4,'תחשיב עלות תפעול לשנת 2016'!$4:$151,82,0))/1000*G26</f>
        <v>2263.7447999999999</v>
      </c>
      <c r="H90" s="1333">
        <f>(+HLOOKUP(H4,'תחשיב עלות תפעול לשנת 2016'!$4:$151,82,0))/1000*H26</f>
        <v>764.154</v>
      </c>
      <c r="I90" s="1333">
        <f>(+HLOOKUP(I4,'תחשיב עלות תפעול לשנת 2016'!$4:$151,82,0))/1000*I26</f>
        <v>80.8596</v>
      </c>
      <c r="J90" s="1333">
        <f>(+HLOOKUP(J4,'תחשיב עלות תפעול לשנת 2016'!$4:$151,82,0))/1000*J26</f>
        <v>175.3596</v>
      </c>
      <c r="K90" s="1333">
        <f>(+HLOOKUP(K4,'תחשיב עלות תפעול לשנת 2016'!$4:$151,82,0))/1000*K26</f>
        <v>343.39680000000004</v>
      </c>
      <c r="L90" s="1333">
        <f>(+HLOOKUP(L4,'תחשיב עלות תפעול לשנת 2016'!$4:$151,82,0))/1000*L26</f>
        <v>248.35679999999999</v>
      </c>
      <c r="M90" s="1333">
        <f>(+HLOOKUP(M4,'תחשיב עלות תפעול לשנת 2016'!$4:$151,82,0))/1000*M26</f>
        <v>476.226</v>
      </c>
      <c r="N90" s="1333">
        <f>(+HLOOKUP(N4,'תחשיב עלות תפעול לשנת 2016'!$4:$151,82,0))/1000*N26</f>
        <v>820.92960000000005</v>
      </c>
      <c r="O90" s="1333">
        <f>(+HLOOKUP(O4,'תחשיב עלות תפעול לשנת 2016'!$4:$151,82,0))/1000*O26</f>
        <v>308.0376</v>
      </c>
      <c r="P90" s="1333">
        <f>(+HLOOKUP(P4,'תחשיב עלות תפעול לשנת 2016'!$4:$151,82,0))/1000*P26</f>
        <v>229.95360000000002</v>
      </c>
      <c r="Q90" s="1333">
        <f>(+HLOOKUP(Q4,'תחשיב עלות תפעול לשנת 2016'!$4:$151,82,0))/1000*Q26</f>
        <v>193.36320000000001</v>
      </c>
      <c r="R90" s="1333">
        <f>(+HLOOKUP(R4,'תחשיב עלות תפעול לשנת 2016'!$4:$151,82,0))/1000*R26</f>
        <v>959.51520000000005</v>
      </c>
      <c r="S90" s="1333">
        <f>(+HLOOKUP(S4,'תחשיב עלות תפעול לשנת 2016'!$4:$151,82,0))/1000*S26</f>
        <v>982.90800000000013</v>
      </c>
      <c r="T90" s="1333">
        <f>(+HLOOKUP(T4,'תחשיב עלות תפעול לשנת 2016'!$4:$151,82,0))/1000*T26</f>
        <v>1146.5172000000002</v>
      </c>
      <c r="U90" s="1333">
        <f>(+HLOOKUP(U4,'תחשיב עלות תפעול לשנת 2016'!$4:$151,82,0))/1000*U26</f>
        <v>860.45760000000007</v>
      </c>
      <c r="V90" s="1333">
        <f>(+HLOOKUP(V4,'תחשיב עלות תפעול לשנת 2016'!$4:$151,82,0))/1000*V26</f>
        <v>228.34440000000004</v>
      </c>
      <c r="W90" s="1333">
        <f>(+HLOOKUP(W4,'תחשיב עלות תפעול לשנת 2016'!$4:$151,82,0))/1000*W26</f>
        <v>355.13640000000004</v>
      </c>
      <c r="X90" s="1333">
        <f>(+HLOOKUP(X4,'תחשיב עלות תפעול לשנת 2016'!$4:$151,82,0))/1000*X26</f>
        <v>411.29279999999994</v>
      </c>
      <c r="Y90" s="1333">
        <f>(+HLOOKUP(Y4,'תחשיב עלות תפעול לשנת 2016'!$4:$151,82,0))/1000*Y26</f>
        <v>261.66240000000005</v>
      </c>
      <c r="Z90" s="1333">
        <f>(+HLOOKUP(Z4,'תחשיב עלות תפעול לשנת 2016'!$4:$151,82,0))/1000*Z26</f>
        <v>135.702</v>
      </c>
      <c r="AA90" s="1333">
        <f>(+HLOOKUP(AA4,'תחשיב עלות תפעול לשנת 2016'!$4:$151,82,0))/1000*AA26</f>
        <v>224.47800000000001</v>
      </c>
      <c r="AB90" s="1333">
        <f>(+HLOOKUP(AB4,'תחשיב עלות תפעול לשנת 2016'!$4:$151,82,0))/1000*AB26</f>
        <v>270.75600000000003</v>
      </c>
      <c r="AC90" s="1333">
        <f>(+HLOOKUP(AC4,'תחשיב עלות תפעול לשנת 2016'!$4:$151,82,0))/1000*AC26</f>
        <v>195.30720000000002</v>
      </c>
      <c r="AD90" s="1333">
        <f>(+HLOOKUP(AD4,'תחשיב עלות תפעול לשנת 2016'!$4:$151,82,0))/1000*AD26</f>
        <v>408.78000000000003</v>
      </c>
      <c r="AE90" s="1333">
        <f>(+HLOOKUP(AE4,'תחשיב עלות תפעול לשנת 2016'!$4:$151,82,0))/1000*AE26</f>
        <v>176.95800000000003</v>
      </c>
      <c r="AF90" s="1333">
        <f>(+HLOOKUP(AF4,'תחשיב עלות תפעול לשנת 2016'!$4:$151,82,0))/1000*AF26</f>
        <v>1185.9156</v>
      </c>
      <c r="AG90" s="1333">
        <f>(+HLOOKUP(AG4,'תחשיב עלות תפעול לשנת 2016'!$4:$151,82,0))/1000*AG26</f>
        <v>208.27800000000002</v>
      </c>
      <c r="AH90" s="1333">
        <f>(+HLOOKUP(AH4,'תחשיב עלות תפעול לשנת 2016'!$4:$151,82,0))/1000*AH26</f>
        <v>188.51399999999998</v>
      </c>
      <c r="AI90" s="1333">
        <f>(+HLOOKUP(AI4,'תחשיב עלות תפעול לשנת 2016'!$4:$151,82,0))/1000*AI26</f>
        <v>73.569600000000008</v>
      </c>
      <c r="AJ90" s="1333">
        <f>(+HLOOKUP(AJ4,'תחשיב עלות תפעול לשנת 2016'!$4:$151,82,0))/1000*AJ26</f>
        <v>133.77960000000002</v>
      </c>
      <c r="AK90" s="1333">
        <f>(+HLOOKUP(AK4,'תחשיב עלות תפעול לשנת 2016'!$4:$151,82,0))/1000*AK26</f>
        <v>208.45079999999999</v>
      </c>
      <c r="AL90" s="1333">
        <f>(+HLOOKUP(AL4,'תחשיב עלות תפעול לשנת 2016'!$4:$151,82,0))/1000*AL26</f>
        <v>200.16720000000001</v>
      </c>
      <c r="AM90" s="1333">
        <f>(+HLOOKUP(AM4,'תחשיב עלות תפעול לשנת 2016'!$4:$151,82,0))/1000*AM26</f>
        <v>2376</v>
      </c>
      <c r="AN90" s="1333">
        <f>(+HLOOKUP(AN4,'תחשיב עלות תפעול לשנת 2016'!$4:$151,82,0))/1000*AN26</f>
        <v>204.066</v>
      </c>
      <c r="AO90" s="1333">
        <f>(+HLOOKUP(AO4,'תחשיב עלות תפעול לשנת 2016'!$4:$151,82,0))/1000*AO26</f>
        <v>744.48720000000003</v>
      </c>
      <c r="AP90" s="1333">
        <f>(+HLOOKUP(AP4,'תחשיב עלות תפעול לשנת 2016'!$4:$151,82,0))/1000*AP26</f>
        <v>272.71080000000001</v>
      </c>
      <c r="AQ90" s="1333">
        <f>(+HLOOKUP(AQ4,'תחשיב עלות תפעול לשנת 2016'!$4:$151,82,0))/1000*AQ26</f>
        <v>577.24919999999997</v>
      </c>
      <c r="AR90" s="1333">
        <f>(+HLOOKUP(AR4,'תחשיב עלות תפעול לשנת 2016'!$4:$151,82,0))/1000*AR26</f>
        <v>245.87640000000005</v>
      </c>
      <c r="AS90" s="1333">
        <f>(+HLOOKUP(AS4,'תחשיב עלות תפעול לשנת 2016'!$4:$151,82,0))/1000*AS26</f>
        <v>370.66680000000002</v>
      </c>
      <c r="AT90" s="1333">
        <f>(+HLOOKUP(AT4,'תחשיב עלות תפעול לשנת 2016'!$4:$151,82,0))/1000*AT26</f>
        <v>183.20040000000003</v>
      </c>
      <c r="AU90" s="1333">
        <f>(+HLOOKUP(AU4,'תחשיב עלות תפעול לשנת 2016'!$4:$151,82,0))/1000*AU26</f>
        <v>174.91680000000002</v>
      </c>
      <c r="AV90" s="1333">
        <f>(+HLOOKUP(AV4,'תחשיב עלות תפעול לשנת 2016'!$4:$151,82,0))/1000*AV26</f>
        <v>187.60679999999999</v>
      </c>
      <c r="AW90" s="1333">
        <f>(+HLOOKUP(AW4,'תחשיב עלות תפעול לשנת 2016'!$4:$151,82,0))/1000*AW26</f>
        <v>201.60360000000003</v>
      </c>
      <c r="AX90" s="1333">
        <f>(+HLOOKUP(AX4,'תחשיב עלות תפעול לשנת 2016'!$4:$151,82,0))/1000*AX26</f>
        <v>253.20600000000002</v>
      </c>
      <c r="AY90" s="1333">
        <f>(+HLOOKUP(AY4,'תחשיב עלות תפעול לשנת 2016'!$4:$151,82,0))/1000*AY26</f>
        <v>599.96160000000009</v>
      </c>
      <c r="AZ90" s="1333">
        <f>(+HLOOKUP(AZ4,'תחשיב עלות תפעול לשנת 2016'!$4:$151,82,0))/1000*AZ26</f>
        <v>309.48480000000001</v>
      </c>
      <c r="BA90" s="1333">
        <f>(+HLOOKUP(BA4,'תחשיב עלות תפעול לשנת 2016'!$4:$151,82,0))/1000*BA26</f>
        <v>242.25120000000001</v>
      </c>
      <c r="BB90" s="1333">
        <f>(+HLOOKUP(BB4,'תחשיב עלות תפעול לשנת 2016'!$4:$151,82,0))/1000*BB26</f>
        <v>228.60360000000003</v>
      </c>
      <c r="BC90" s="1333">
        <f>(+HLOOKUP(BC4,'תחשיב עלות תפעול לשנת 2016'!$4:$151,82,0))/1000*BC26</f>
        <v>138.42360000000002</v>
      </c>
      <c r="BD90" s="1333">
        <f>(+HLOOKUP(BD4,'תחשיב עלות תפעול לשנת 2016'!$4:$151,82,0))/1000*BD26</f>
        <v>100.52640000000001</v>
      </c>
      <c r="BE90" s="1333">
        <f>(+HLOOKUP(BE4,'תחשיב עלות תפעול לשנת 2016'!$4:$151,82,0))/1000*BE26</f>
        <v>30.110399999999998</v>
      </c>
      <c r="BF90" s="1333">
        <f>(+HLOOKUP(BF4,'תחשיב עלות תפעול לשנת 2016'!$4:$151,82,0))/1000*BF26</f>
        <v>57.045600000000007</v>
      </c>
      <c r="BG90" s="374"/>
      <c r="BH90" s="374"/>
      <c r="BI90" s="374"/>
      <c r="BJ90" s="374"/>
      <c r="BK90" s="374"/>
      <c r="BL90" s="374"/>
      <c r="BM90" s="374"/>
      <c r="BN90" s="374"/>
      <c r="BO90" s="374"/>
      <c r="BP90" s="374"/>
      <c r="BQ90" s="374"/>
      <c r="BR90" s="374"/>
      <c r="BS90" s="374"/>
      <c r="BT90" s="374"/>
      <c r="BU90" s="374"/>
      <c r="BV90" s="374"/>
      <c r="BW90" s="374"/>
      <c r="BX90" s="374"/>
      <c r="BY90" s="374"/>
      <c r="BZ90" s="374"/>
      <c r="CA90" s="374"/>
      <c r="CB90" s="374"/>
      <c r="CC90" s="374"/>
      <c r="CD90" s="374"/>
      <c r="CE90" s="374"/>
      <c r="CF90" s="374"/>
      <c r="CG90" s="374"/>
      <c r="CH90" s="374"/>
      <c r="CI90" s="374"/>
      <c r="CJ90" s="374"/>
      <c r="CK90" s="374"/>
      <c r="CL90" s="374"/>
      <c r="CM90" s="374"/>
      <c r="CN90" s="374"/>
      <c r="CO90" s="374"/>
      <c r="CP90" s="374"/>
      <c r="CQ90" s="374"/>
      <c r="CR90" s="374"/>
      <c r="CS90" s="374"/>
      <c r="CT90" s="374"/>
      <c r="CU90" s="374"/>
      <c r="CV90" s="374"/>
      <c r="CW90" s="374"/>
      <c r="CX90" s="374"/>
      <c r="CY90" s="374"/>
      <c r="CZ90" s="374"/>
      <c r="DA90" s="374"/>
      <c r="DB90" s="374"/>
      <c r="DC90" s="374"/>
      <c r="DD90" s="374"/>
      <c r="DE90" s="374"/>
      <c r="DF90" s="374"/>
      <c r="DG90" s="374"/>
      <c r="DH90" s="374"/>
      <c r="DI90" s="374"/>
      <c r="DJ90" s="374"/>
      <c r="DK90" s="374"/>
      <c r="DL90" s="374"/>
      <c r="DM90" s="374"/>
      <c r="DN90" s="374"/>
      <c r="DO90" s="374"/>
      <c r="DP90" s="374"/>
      <c r="DQ90" s="374"/>
      <c r="DR90" s="374"/>
      <c r="DS90" s="374"/>
      <c r="DT90" s="374"/>
      <c r="DU90" s="374"/>
      <c r="DV90" s="374"/>
      <c r="DW90" s="374"/>
      <c r="DX90" s="374"/>
      <c r="DY90" s="374"/>
      <c r="DZ90" s="374"/>
      <c r="EA90" s="374"/>
      <c r="EB90" s="374"/>
      <c r="EC90" s="374"/>
      <c r="ED90" s="374"/>
      <c r="EE90" s="374"/>
      <c r="EF90" s="374"/>
      <c r="EG90" s="374"/>
      <c r="EH90" s="374"/>
      <c r="EI90" s="374"/>
      <c r="EJ90" s="374"/>
      <c r="EK90" s="374"/>
      <c r="EL90" s="374"/>
      <c r="EM90" s="374"/>
      <c r="EN90" s="374"/>
      <c r="EO90" s="374"/>
      <c r="EP90" s="374"/>
      <c r="EQ90" s="374"/>
      <c r="ER90" s="374"/>
      <c r="ES90" s="374"/>
      <c r="ET90" s="374"/>
      <c r="EU90" s="374"/>
      <c r="EV90" s="374"/>
      <c r="EW90" s="374"/>
      <c r="EX90" s="374"/>
      <c r="EY90" s="374"/>
      <c r="EZ90" s="374"/>
      <c r="FA90" s="374"/>
      <c r="FB90" s="374"/>
      <c r="FC90" s="374"/>
      <c r="FD90" s="374"/>
      <c r="FE90" s="374"/>
      <c r="FF90" s="374"/>
      <c r="FG90" s="374"/>
      <c r="FH90" s="374"/>
      <c r="FI90" s="374"/>
      <c r="FJ90" s="374"/>
      <c r="FK90" s="374"/>
      <c r="FL90" s="374"/>
      <c r="FM90" s="374"/>
      <c r="FN90" s="374"/>
      <c r="FO90" s="374"/>
      <c r="FP90" s="374"/>
      <c r="FQ90" s="374"/>
      <c r="FR90" s="374"/>
      <c r="FS90" s="374"/>
      <c r="FT90" s="374"/>
      <c r="FU90" s="374"/>
      <c r="FV90" s="374"/>
      <c r="FW90" s="374"/>
      <c r="FX90" s="374"/>
      <c r="FY90" s="374"/>
      <c r="FZ90" s="374"/>
      <c r="GA90" s="374"/>
      <c r="GB90" s="374"/>
      <c r="GC90" s="374"/>
      <c r="GD90" s="374"/>
      <c r="GE90" s="374"/>
      <c r="GF90" s="374"/>
      <c r="GG90" s="374"/>
      <c r="GH90" s="374"/>
      <c r="GI90" s="374"/>
      <c r="GJ90" s="374"/>
      <c r="GK90" s="374"/>
      <c r="GL90" s="374"/>
      <c r="GM90" s="374"/>
      <c r="GN90" s="374"/>
      <c r="GO90" s="374"/>
      <c r="GP90" s="374"/>
      <c r="GQ90" s="374"/>
      <c r="GR90" s="374"/>
      <c r="GS90" s="374"/>
      <c r="GT90" s="374"/>
      <c r="GU90" s="374"/>
      <c r="GV90" s="374"/>
      <c r="GW90" s="374"/>
      <c r="GX90" s="374"/>
      <c r="GY90" s="374"/>
      <c r="GZ90" s="374"/>
      <c r="HA90" s="374"/>
      <c r="HB90" s="374"/>
      <c r="HC90" s="374"/>
      <c r="HD90" s="374"/>
      <c r="HE90" s="374"/>
      <c r="HF90" s="374"/>
      <c r="HG90" s="374"/>
      <c r="HH90" s="374"/>
      <c r="HI90" s="374"/>
      <c r="HJ90" s="374"/>
      <c r="HK90" s="374"/>
      <c r="HL90" s="374"/>
      <c r="HM90" s="374"/>
      <c r="HN90" s="374"/>
      <c r="HO90" s="374"/>
      <c r="HP90" s="374"/>
      <c r="HQ90" s="374"/>
      <c r="HR90" s="374"/>
      <c r="HS90" s="374"/>
      <c r="HT90" s="374"/>
      <c r="HU90" s="374"/>
      <c r="HV90" s="374"/>
      <c r="HW90" s="374"/>
      <c r="HX90" s="374"/>
      <c r="HY90" s="374"/>
      <c r="HZ90" s="374"/>
      <c r="IA90" s="374"/>
      <c r="IB90" s="374"/>
      <c r="IC90" s="374"/>
      <c r="ID90" s="374"/>
      <c r="IE90" s="374"/>
      <c r="IF90" s="374"/>
      <c r="IG90" s="374"/>
      <c r="IH90" s="374"/>
      <c r="II90" s="374"/>
      <c r="IJ90" s="374"/>
      <c r="IK90" s="374"/>
      <c r="IL90" s="374"/>
      <c r="IM90" s="374"/>
      <c r="IN90" s="374"/>
      <c r="IO90" s="374"/>
    </row>
    <row r="91" spans="1:249" s="622" customFormat="1" ht="14.25" x14ac:dyDescent="0.2">
      <c r="A91" s="1846"/>
      <c r="B91" s="1339"/>
      <c r="C91" s="1334" t="s">
        <v>1698</v>
      </c>
      <c r="D91" s="622">
        <f>(+HLOOKUP(D4,'תחשיב עלות תפעול לשנת 2016'!$4:$151,82,0))/1000*D27</f>
        <v>324.91680000000002</v>
      </c>
      <c r="E91" s="622">
        <f>(+HLOOKUP(E4,'תחשיב עלות תפעול לשנת 2016'!$4:$151,82,0))/1000*E27</f>
        <v>219.95220000000003</v>
      </c>
      <c r="F91" s="622">
        <f>(+HLOOKUP(F4,'תחשיב עלות תפעול לשנת 2016'!$4:$151,82,0))/1000*F27</f>
        <v>134.28480000000002</v>
      </c>
      <c r="G91" s="622">
        <f>(+HLOOKUP(G4,'תחשיב עלות תפעול לשנת 2016'!$4:$151,82,0))/1000*G27</f>
        <v>1634.9268000000002</v>
      </c>
      <c r="H91" s="622">
        <f>(+HLOOKUP(H4,'תחשיב עלות תפעול לשנת 2016'!$4:$151,82,0))/1000*H27</f>
        <v>551.88900000000001</v>
      </c>
      <c r="I91" s="622">
        <f>(+HLOOKUP(I4,'תחשיב עלות תפעול לשנת 2016'!$4:$151,82,0))/1000*I27</f>
        <v>58.398600000000009</v>
      </c>
      <c r="J91" s="622">
        <f>(+HLOOKUP(J4,'תחשיב עלות תפעול לשנת 2016'!$4:$151,82,0))/1000*J27</f>
        <v>126.6486</v>
      </c>
      <c r="K91" s="622">
        <f>(+HLOOKUP(K4,'תחשיב עלות תפעול לשנת 2016'!$4:$151,82,0))/1000*K27</f>
        <v>248.00880000000001</v>
      </c>
      <c r="L91" s="622">
        <f>(+HLOOKUP(L4,'תחשיב עלות תפעול לשנת 2016'!$4:$151,82,0))/1000*L27</f>
        <v>179.36879999999999</v>
      </c>
      <c r="M91" s="622">
        <f>(+HLOOKUP(M4,'תחשיב עלות תפעול לשנת 2016'!$4:$151,82,0))/1000*M27</f>
        <v>343.94100000000003</v>
      </c>
      <c r="N91" s="622">
        <f>(+HLOOKUP(N4,'תחשיב עלות תפעול לשנת 2016'!$4:$151,82,0))/1000*N27</f>
        <v>592.89360000000011</v>
      </c>
      <c r="O91" s="622">
        <f>(+HLOOKUP(O4,'תחשיב עלות תפעול לשנת 2016'!$4:$151,82,0))/1000*O27</f>
        <v>222.4716</v>
      </c>
      <c r="P91" s="622">
        <f>(+HLOOKUP(P4,'תחשיב עלות תפעול לשנת 2016'!$4:$151,82,0))/1000*P27</f>
        <v>166.07760000000002</v>
      </c>
      <c r="Q91" s="622">
        <f>(+HLOOKUP(Q4,'תחשיב עלות תפעול לשנת 2016'!$4:$151,82,0))/1000*Q27</f>
        <v>139.65120000000002</v>
      </c>
      <c r="R91" s="622">
        <f>(+HLOOKUP(R4,'תחשיב עלות תפעול לשנת 2016'!$4:$151,82,0))/1000*R27</f>
        <v>692.98320000000001</v>
      </c>
      <c r="S91" s="622">
        <f>(+HLOOKUP(S4,'תחשיב עלות תפעול לשנת 2016'!$4:$151,82,0))/1000*S27</f>
        <v>709.87800000000016</v>
      </c>
      <c r="T91" s="622">
        <f>(+HLOOKUP(T4,'תחשיב עלות תפעול לשנת 2016'!$4:$151,82,0))/1000*T27</f>
        <v>828.04020000000014</v>
      </c>
      <c r="U91" s="622">
        <f>(+HLOOKUP(U4,'תחשיב עלות תפעול לשנת 2016'!$4:$151,82,0))/1000*U27</f>
        <v>621.44159999999999</v>
      </c>
      <c r="V91" s="622">
        <f>(+HLOOKUP(V4,'תחשיב עלות תפעול לשנת 2016'!$4:$151,82,0))/1000*V27</f>
        <v>164.91540000000003</v>
      </c>
      <c r="W91" s="622">
        <f>(+HLOOKUP(W4,'תחשיב עלות תפעול לשנת 2016'!$4:$151,82,0))/1000*W27</f>
        <v>256.48740000000004</v>
      </c>
      <c r="X91" s="622">
        <f>(+HLOOKUP(X4,'תחשיב עלות תפעול לשנת 2016'!$4:$151,82,0))/1000*X27</f>
        <v>297.04480000000001</v>
      </c>
      <c r="Y91" s="622">
        <f>(+HLOOKUP(Y4,'תחשיב עלות תפעול לשנת 2016'!$4:$151,82,0))/1000*Y27</f>
        <v>188.97840000000002</v>
      </c>
      <c r="Z91" s="622">
        <f>(+HLOOKUP(Z4,'תחשיב עלות תפעול לשנת 2016'!$4:$151,82,0))/1000*Z27</f>
        <v>98.007000000000005</v>
      </c>
      <c r="AA91" s="622">
        <f>(+HLOOKUP(AA4,'תחשיב עלות תפעול לשנת 2016'!$4:$151,82,0))/1000*AA27</f>
        <v>162.12300000000002</v>
      </c>
      <c r="AB91" s="622">
        <f>(+HLOOKUP(AB4,'תחשיב עלות תפעול לשנת 2016'!$4:$151,82,0))/1000*AB27</f>
        <v>195.54600000000002</v>
      </c>
      <c r="AC91" s="622">
        <f>(+HLOOKUP(AC4,'תחשיב עלות תפעול לשנת 2016'!$4:$151,82,0))/1000*AC27</f>
        <v>141.05520000000001</v>
      </c>
      <c r="AD91" s="622">
        <f>(+HLOOKUP(AD4,'תחשיב עלות תפעול לשנת 2016'!$4:$151,82,0))/1000*AD27</f>
        <v>295.23</v>
      </c>
      <c r="AE91" s="622">
        <f>(+HLOOKUP(AE4,'תחשיב עלות תפעול לשנת 2016'!$4:$151,82,0))/1000*AE27</f>
        <v>127.80300000000003</v>
      </c>
      <c r="AF91" s="622">
        <f>(+HLOOKUP(AF4,'תחשיב עלות תפעול לשנת 2016'!$4:$151,82,0))/1000*AF27</f>
        <v>856.4946000000001</v>
      </c>
      <c r="AG91" s="622">
        <f>(+HLOOKUP(AG4,'תחשיב עלות תפעול לשנת 2016'!$4:$151,82,0))/1000*AG27</f>
        <v>150.423</v>
      </c>
      <c r="AH91" s="622">
        <f>(+HLOOKUP(AH4,'תחשיב עלות תפעול לשנת 2016'!$4:$151,82,0))/1000*AH27</f>
        <v>136.149</v>
      </c>
      <c r="AI91" s="622">
        <f>(+HLOOKUP(AI4,'תחשיב עלות תפעול לשנת 2016'!$4:$151,82,0))/1000*AI27</f>
        <v>53.133600000000008</v>
      </c>
      <c r="AJ91" s="622">
        <f>(+HLOOKUP(AJ4,'תחשיב עלות תפעול לשנת 2016'!$4:$151,82,0))/1000*AJ27</f>
        <v>96.618600000000015</v>
      </c>
      <c r="AK91" s="622">
        <f>(+HLOOKUP(AK4,'תחשיב עלות תפעול לשנת 2016'!$4:$151,82,0))/1000*AK27</f>
        <v>150.5478</v>
      </c>
      <c r="AL91" s="622">
        <f>(+HLOOKUP(AL4,'תחשיב עלות תפעול לשנת 2016'!$4:$151,82,0))/1000*AL27</f>
        <v>144.5652</v>
      </c>
      <c r="AM91" s="622">
        <f>(+HLOOKUP(AM4,'תחשיב עלות תפעול לשנת 2016'!$4:$151,82,0))/1000*AM27</f>
        <v>1716.0000000000002</v>
      </c>
      <c r="AN91" s="622">
        <f>(+HLOOKUP(AN4,'תחשיב עלות תפעול לשנת 2016'!$4:$151,82,0))/1000*AN27</f>
        <v>147.381</v>
      </c>
      <c r="AO91" s="622">
        <f>(+HLOOKUP(AO4,'תחשיב עלות תפעול לשנת 2016'!$4:$151,82,0))/1000*AO27</f>
        <v>537.68520000000001</v>
      </c>
      <c r="AP91" s="622">
        <f>(+HLOOKUP(AP4,'תחשיב עלות תפעול לשנת 2016'!$4:$151,82,0))/1000*AP27</f>
        <v>196.95780000000002</v>
      </c>
      <c r="AQ91" s="622">
        <f>(+HLOOKUP(AQ4,'תחשיב עלות תפעול לשנת 2016'!$4:$151,82,0))/1000*AQ27</f>
        <v>416.90220000000005</v>
      </c>
      <c r="AR91" s="622">
        <f>(+HLOOKUP(AR4,'תחשיב עלות תפעול לשנת 2016'!$4:$151,82,0))/1000*AR27</f>
        <v>177.57740000000004</v>
      </c>
      <c r="AS91" s="622">
        <f>(+HLOOKUP(AS4,'תחשיב עלות תפעול לשנת 2016'!$4:$151,82,0))/1000*AS27</f>
        <v>267.7038</v>
      </c>
      <c r="AT91" s="622">
        <f>(+HLOOKUP(AT4,'תחשיב עלות תפעול לשנת 2016'!$4:$151,82,0))/1000*AT27</f>
        <v>132.31140000000002</v>
      </c>
      <c r="AU91" s="622">
        <f>(+HLOOKUP(AU4,'תחשיב עלות תפעול לשנת 2016'!$4:$151,82,0))/1000*AU27</f>
        <v>126.32880000000003</v>
      </c>
      <c r="AV91" s="622">
        <f>(+HLOOKUP(AV4,'תחשיב עלות תפעול לשנת 2016'!$4:$151,82,0))/1000*AV27</f>
        <v>135.49379999999999</v>
      </c>
      <c r="AW91" s="622">
        <f>(+HLOOKUP(AW4,'תחשיב עלות תפעול לשנת 2016'!$4:$151,82,0))/1000*AW27</f>
        <v>145.60260000000002</v>
      </c>
      <c r="AX91" s="622">
        <f>(+HLOOKUP(AX4,'תחשיב עלות תפעול לשנת 2016'!$4:$151,82,0))/1000*AX27</f>
        <v>182.87100000000001</v>
      </c>
      <c r="AY91" s="622">
        <f>(+HLOOKUP(AY4,'תחשיב עלות תפעול לשנת 2016'!$4:$151,82,0))/1000*AY27</f>
        <v>433.30560000000003</v>
      </c>
      <c r="AZ91" s="622">
        <f>(+HLOOKUP(AZ4,'תחשיב עלות תפעול לשנת 2016'!$4:$151,82,0))/1000*AZ27</f>
        <v>223.51680000000002</v>
      </c>
      <c r="BA91" s="622">
        <f>(+HLOOKUP(BA4,'תחשיב עלות תפעול לשנת 2016'!$4:$151,82,0))/1000*BA27</f>
        <v>174.95920000000001</v>
      </c>
      <c r="BB91" s="622">
        <f>(+HLOOKUP(BB4,'תחשיב עלות תפעול לשנת 2016'!$4:$151,82,0))/1000*BB27</f>
        <v>165.10260000000002</v>
      </c>
      <c r="BC91" s="622">
        <f>(+HLOOKUP(BC4,'תחשיב עלות תפעול לשנת 2016'!$4:$151,82,0))/1000*BC27</f>
        <v>99.972600000000014</v>
      </c>
      <c r="BD91" s="622">
        <f>(+HLOOKUP(BD4,'תחשיב עלות תפעול לשנת 2016'!$4:$151,82,0))/1000*BD27</f>
        <v>72.602400000000003</v>
      </c>
      <c r="BE91" s="622">
        <f>(+HLOOKUP(BE4,'תחשיב עלות תפעול לשנת 2016'!$4:$151,82,0))/1000*BE27</f>
        <v>21.746400000000001</v>
      </c>
      <c r="BF91" s="622">
        <f>(+HLOOKUP(BF4,'תחשיב עלות תפעול לשנת 2016'!$4:$151,82,0))/1000*BF27</f>
        <v>41.199600000000004</v>
      </c>
      <c r="BG91" s="374"/>
      <c r="BH91" s="374"/>
      <c r="BI91" s="374"/>
      <c r="BJ91" s="374"/>
      <c r="BK91" s="374"/>
      <c r="BL91" s="374"/>
      <c r="BM91" s="374"/>
      <c r="BN91" s="374"/>
      <c r="BO91" s="374"/>
      <c r="BP91" s="374"/>
      <c r="BQ91" s="374"/>
      <c r="BR91" s="374"/>
      <c r="BS91" s="374"/>
      <c r="BT91" s="374"/>
      <c r="BU91" s="374"/>
      <c r="BV91" s="374"/>
      <c r="BW91" s="374"/>
      <c r="BX91" s="374"/>
      <c r="BY91" s="374"/>
      <c r="BZ91" s="374"/>
      <c r="CA91" s="374"/>
      <c r="CB91" s="374"/>
      <c r="CC91" s="374"/>
      <c r="CD91" s="374"/>
      <c r="CE91" s="374"/>
      <c r="CF91" s="374"/>
      <c r="CG91" s="374"/>
      <c r="CH91" s="374"/>
      <c r="CI91" s="374"/>
      <c r="CJ91" s="374"/>
      <c r="CK91" s="374"/>
      <c r="CL91" s="374"/>
      <c r="CM91" s="374"/>
      <c r="CN91" s="374"/>
      <c r="CO91" s="374"/>
      <c r="CP91" s="374"/>
      <c r="CQ91" s="374"/>
      <c r="CR91" s="374"/>
      <c r="CS91" s="374"/>
      <c r="CT91" s="374"/>
      <c r="CU91" s="374"/>
      <c r="CV91" s="374"/>
      <c r="CW91" s="374"/>
      <c r="CX91" s="374"/>
      <c r="CY91" s="374"/>
      <c r="CZ91" s="374"/>
      <c r="DA91" s="374"/>
      <c r="DB91" s="374"/>
      <c r="DC91" s="374"/>
      <c r="DD91" s="374"/>
      <c r="DE91" s="374"/>
      <c r="DF91" s="374"/>
      <c r="DG91" s="374"/>
      <c r="DH91" s="374"/>
      <c r="DI91" s="374"/>
      <c r="DJ91" s="374"/>
      <c r="DK91" s="374"/>
      <c r="DL91" s="374"/>
      <c r="DM91" s="374"/>
      <c r="DN91" s="374"/>
      <c r="DO91" s="374"/>
      <c r="DP91" s="374"/>
      <c r="DQ91" s="374"/>
      <c r="DR91" s="374"/>
      <c r="DS91" s="374"/>
      <c r="DT91" s="374"/>
      <c r="DU91" s="374"/>
      <c r="DV91" s="374"/>
      <c r="DW91" s="374"/>
      <c r="DX91" s="374"/>
      <c r="DY91" s="374"/>
      <c r="DZ91" s="374"/>
      <c r="EA91" s="374"/>
      <c r="EB91" s="374"/>
      <c r="EC91" s="374"/>
      <c r="ED91" s="374"/>
      <c r="EE91" s="374"/>
      <c r="EF91" s="374"/>
      <c r="EG91" s="374"/>
      <c r="EH91" s="374"/>
      <c r="EI91" s="374"/>
      <c r="EJ91" s="374"/>
      <c r="EK91" s="374"/>
      <c r="EL91" s="374"/>
      <c r="EM91" s="374"/>
      <c r="EN91" s="374"/>
      <c r="EO91" s="374"/>
      <c r="EP91" s="374"/>
      <c r="EQ91" s="374"/>
      <c r="ER91" s="374"/>
      <c r="ES91" s="374"/>
      <c r="ET91" s="374"/>
      <c r="EU91" s="374"/>
      <c r="EV91" s="374"/>
      <c r="EW91" s="374"/>
      <c r="EX91" s="374"/>
      <c r="EY91" s="374"/>
      <c r="EZ91" s="374"/>
      <c r="FA91" s="374"/>
      <c r="FB91" s="374"/>
      <c r="FC91" s="374"/>
      <c r="FD91" s="374"/>
      <c r="FE91" s="374"/>
      <c r="FF91" s="374"/>
      <c r="FG91" s="374"/>
      <c r="FH91" s="374"/>
      <c r="FI91" s="374"/>
      <c r="FJ91" s="374"/>
      <c r="FK91" s="374"/>
      <c r="FL91" s="374"/>
      <c r="FM91" s="374"/>
      <c r="FN91" s="374"/>
      <c r="FO91" s="374"/>
      <c r="FP91" s="374"/>
      <c r="FQ91" s="374"/>
      <c r="FR91" s="374"/>
      <c r="FS91" s="374"/>
      <c r="FT91" s="374"/>
      <c r="FU91" s="374"/>
      <c r="FV91" s="374"/>
      <c r="FW91" s="374"/>
      <c r="FX91" s="374"/>
      <c r="FY91" s="374"/>
      <c r="FZ91" s="374"/>
      <c r="GA91" s="374"/>
      <c r="GB91" s="374"/>
      <c r="GC91" s="374"/>
      <c r="GD91" s="374"/>
      <c r="GE91" s="374"/>
      <c r="GF91" s="374"/>
      <c r="GG91" s="374"/>
      <c r="GH91" s="374"/>
      <c r="GI91" s="374"/>
      <c r="GJ91" s="374"/>
      <c r="GK91" s="374"/>
      <c r="GL91" s="374"/>
      <c r="GM91" s="374"/>
      <c r="GN91" s="374"/>
      <c r="GO91" s="374"/>
      <c r="GP91" s="374"/>
      <c r="GQ91" s="374"/>
      <c r="GR91" s="374"/>
      <c r="GS91" s="374"/>
      <c r="GT91" s="374"/>
      <c r="GU91" s="374"/>
      <c r="GV91" s="374"/>
      <c r="GW91" s="374"/>
      <c r="GX91" s="374"/>
      <c r="GY91" s="374"/>
      <c r="GZ91" s="374"/>
      <c r="HA91" s="374"/>
      <c r="HB91" s="374"/>
      <c r="HC91" s="374"/>
      <c r="HD91" s="374"/>
      <c r="HE91" s="374"/>
      <c r="HF91" s="374"/>
      <c r="HG91" s="374"/>
      <c r="HH91" s="374"/>
      <c r="HI91" s="374"/>
      <c r="HJ91" s="374"/>
      <c r="HK91" s="374"/>
      <c r="HL91" s="374"/>
      <c r="HM91" s="374"/>
      <c r="HN91" s="374"/>
      <c r="HO91" s="374"/>
      <c r="HP91" s="374"/>
      <c r="HQ91" s="374"/>
      <c r="HR91" s="374"/>
      <c r="HS91" s="374"/>
      <c r="HT91" s="374"/>
      <c r="HU91" s="374"/>
      <c r="HV91" s="374"/>
      <c r="HW91" s="374"/>
      <c r="HX91" s="374"/>
      <c r="HY91" s="374"/>
      <c r="HZ91" s="374"/>
      <c r="IA91" s="374"/>
      <c r="IB91" s="374"/>
      <c r="IC91" s="374"/>
      <c r="ID91" s="374"/>
      <c r="IE91" s="374"/>
      <c r="IF91" s="374"/>
      <c r="IG91" s="374"/>
      <c r="IH91" s="374"/>
      <c r="II91" s="374"/>
      <c r="IJ91" s="374"/>
      <c r="IK91" s="374"/>
      <c r="IL91" s="374"/>
      <c r="IM91" s="374"/>
      <c r="IN91" s="374"/>
      <c r="IO91" s="374"/>
    </row>
    <row r="92" spans="1:249" s="622" customFormat="1" ht="14.25" x14ac:dyDescent="0.2">
      <c r="A92" s="1846"/>
      <c r="B92" s="1339"/>
      <c r="C92" s="1334" t="s">
        <v>1773</v>
      </c>
      <c r="D92" s="1338">
        <f>(+HLOOKUP(D4,'תחשיב עלות תפעול לשנת 2016'!$4:$151,82,0))/1000*D28</f>
        <v>474.8784</v>
      </c>
      <c r="E92" s="1338">
        <f>(+HLOOKUP(E4,'תחשיב עלות תפעול לשנת 2016'!$4:$151,82,0))/1000*E28</f>
        <v>321.46860000000004</v>
      </c>
      <c r="F92" s="1338">
        <f>(+HLOOKUP(F4,'תחשיב עלות תפעול לשנת 2016'!$4:$151,82,0))/1000*F28</f>
        <v>196.26240000000001</v>
      </c>
      <c r="G92" s="1338">
        <f>(+HLOOKUP(G4,'תחשיב עלות תפעול לשנת 2016'!$4:$151,82,0))/1000*G28</f>
        <v>2389.5084000000002</v>
      </c>
      <c r="H92" s="1338">
        <f>(+HLOOKUP(H4,'תחשיב עלות תפעול לשנת 2016'!$4:$151,82,0))/1000*H28</f>
        <v>806.60699999999997</v>
      </c>
      <c r="I92" s="1338">
        <f>(+HLOOKUP(I4,'תחשיב עלות תפעול לשנת 2016'!$4:$151,82,0))/1000*I28</f>
        <v>85.351799999999997</v>
      </c>
      <c r="J92" s="1338">
        <f>(+HLOOKUP(J4,'תחשיב עלות תפעול לשנת 2016'!$4:$151,82,0))/1000*J28</f>
        <v>185.1018</v>
      </c>
      <c r="K92" s="1338">
        <f>(+HLOOKUP(K4,'תחשיב עלות תפעול לשנת 2016'!$4:$151,82,0))/1000*K28</f>
        <v>362.4744</v>
      </c>
      <c r="L92" s="1338">
        <f>(+HLOOKUP(L4,'תחשיב עלות תפעול לשנת 2016'!$4:$151,82,0))/1000*L28</f>
        <v>262.15440000000001</v>
      </c>
      <c r="M92" s="1338">
        <f>(+HLOOKUP(M4,'תחשיב עלות תפעול לשנת 2016'!$4:$151,82,0))/1000*M28</f>
        <v>502.68299999999999</v>
      </c>
      <c r="N92" s="1338">
        <f>(+HLOOKUP(N4,'תחשיב עלות תפעול לשנת 2016'!$4:$151,82,0))/1000*N28</f>
        <v>866.53680000000008</v>
      </c>
      <c r="O92" s="1338">
        <f>(+HLOOKUP(O4,'תחשיב עלות תפעול לשנת 2016'!$4:$151,82,0))/1000*O28</f>
        <v>325.1508</v>
      </c>
      <c r="P92" s="1338">
        <f>(+HLOOKUP(P4,'תחשיב עלות תפעול לשנת 2016'!$4:$151,82,0))/1000*P28</f>
        <v>242.72880000000004</v>
      </c>
      <c r="Q92" s="1338">
        <f>(+HLOOKUP(Q4,'תחשיב עלות תפעול לשנת 2016'!$4:$151,82,0))/1000*Q28</f>
        <v>204.10560000000001</v>
      </c>
      <c r="R92" s="1338">
        <f>(+HLOOKUP(R4,'תחשיב עלות תפעול לשנת 2016'!$4:$151,82,0))/1000*R28</f>
        <v>1012.8216</v>
      </c>
      <c r="S92" s="1338">
        <f>(+HLOOKUP(S4,'תחשיב עלות תפעול לשנת 2016'!$4:$151,82,0))/1000*S28</f>
        <v>1037.5140000000001</v>
      </c>
      <c r="T92" s="1338">
        <f>(+HLOOKUP(T4,'תחשיב עלות תפעול לשנת 2016'!$4:$151,82,0))/1000*T28</f>
        <v>1210.2126000000001</v>
      </c>
      <c r="U92" s="1338">
        <f>(+HLOOKUP(U4,'תחשיב עלות תפעול לשנת 2016'!$4:$151,82,0))/1000*U28</f>
        <v>908.26080000000002</v>
      </c>
      <c r="V92" s="1338">
        <f>(+HLOOKUP(V4,'תחשיב עלות תפעול לשנת 2016'!$4:$151,82,0))/1000*V28</f>
        <v>241.03020000000001</v>
      </c>
      <c r="W92" s="1338">
        <f>(+HLOOKUP(W4,'תחשיב עלות תפעול לשנת 2016'!$4:$151,82,0))/1000*W28</f>
        <v>374.86620000000005</v>
      </c>
      <c r="X92" s="1338">
        <f>(+HLOOKUP(X4,'תחשיב עלות תפעול לשנת 2016'!$4:$151,82,0))/1000*X28</f>
        <v>434.14239999999995</v>
      </c>
      <c r="Y92" s="1338">
        <f>(+HLOOKUP(Y4,'תחשיב עלות תפעול לשנת 2016'!$4:$151,82,0))/1000*Y28</f>
        <v>276.19920000000002</v>
      </c>
      <c r="Z92" s="1338">
        <f>(+HLOOKUP(Z4,'תחשיב עלות תפעול לשנת 2016'!$4:$151,82,0))/1000*Z28</f>
        <v>143.24099999999999</v>
      </c>
      <c r="AA92" s="1338">
        <f>(+HLOOKUP(AA4,'תחשיב עלות תפעול לשנת 2016'!$4:$151,82,0))/1000*AA28</f>
        <v>236.94900000000001</v>
      </c>
      <c r="AB92" s="1338">
        <f>(+HLOOKUP(AB4,'תחשיב עלות תפעול לשנת 2016'!$4:$151,82,0))/1000*AB28</f>
        <v>285.798</v>
      </c>
      <c r="AC92" s="1338">
        <f>(+HLOOKUP(AC4,'תחשיב עלות תפעול לשנת 2016'!$4:$151,82,0))/1000*AC28</f>
        <v>206.1576</v>
      </c>
      <c r="AD92" s="1338">
        <f>(+HLOOKUP(AD4,'תחשיב עלות תפעול לשנת 2016'!$4:$151,82,0))/1000*AD28</f>
        <v>431.49</v>
      </c>
      <c r="AE92" s="1338">
        <f>(+HLOOKUP(AE4,'תחשיב עלות תפעול לשנת 2016'!$4:$151,82,0))/1000*AE28</f>
        <v>186.78900000000002</v>
      </c>
      <c r="AF92" s="1338">
        <f>(+HLOOKUP(AF4,'תחשיב עלות תפעול לשנת 2016'!$4:$151,82,0))/1000*AF28</f>
        <v>1251.7998</v>
      </c>
      <c r="AG92" s="1338">
        <f>(+HLOOKUP(AG4,'תחשיב עלות תפעול לשנת 2016'!$4:$151,82,0))/1000*AG28</f>
        <v>219.84900000000002</v>
      </c>
      <c r="AH92" s="1338">
        <f>(+HLOOKUP(AH4,'תחשיב עלות תפעול לשנת 2016'!$4:$151,82,0))/1000*AH28</f>
        <v>198.98699999999999</v>
      </c>
      <c r="AI92" s="1338">
        <f>(+HLOOKUP(AI4,'תחשיב עלות תפעול לשנת 2016'!$4:$151,82,0))/1000*AI28</f>
        <v>77.656800000000004</v>
      </c>
      <c r="AJ92" s="1338">
        <f>(+HLOOKUP(AJ4,'תחשיב עלות תפעול לשנת 2016'!$4:$151,82,0))/1000*AJ28</f>
        <v>141.21180000000001</v>
      </c>
      <c r="AK92" s="1338">
        <f>(+HLOOKUP(AK4,'תחשיב עלות תפעול לשנת 2016'!$4:$151,82,0))/1000*AK28</f>
        <v>220.03139999999999</v>
      </c>
      <c r="AL92" s="1338">
        <f>(+HLOOKUP(AL4,'תחשיב עלות תפעול לשנת 2016'!$4:$151,82,0))/1000*AL28</f>
        <v>211.2876</v>
      </c>
      <c r="AM92" s="1338">
        <f>(+HLOOKUP(AM4,'תחשיב עלות תפעול לשנת 2016'!$4:$151,82,0))/1000*AM28</f>
        <v>2508</v>
      </c>
      <c r="AN92" s="1338">
        <f>(+HLOOKUP(AN4,'תחשיב עלות תפעול לשנת 2016'!$4:$151,82,0))/1000*AN28</f>
        <v>215.40299999999999</v>
      </c>
      <c r="AO92" s="1338">
        <f>(+HLOOKUP(AO4,'תחשיב עלות תפעול לשנת 2016'!$4:$151,82,0))/1000*AO28</f>
        <v>785.84759999999994</v>
      </c>
      <c r="AP92" s="1338">
        <f>(+HLOOKUP(AP4,'תחשיב עלות תפעול לשנת 2016'!$4:$151,82,0))/1000*AP28</f>
        <v>287.8614</v>
      </c>
      <c r="AQ92" s="1338">
        <f>(+HLOOKUP(AQ4,'תחשיב עלות תפעול לשנת 2016'!$4:$151,82,0))/1000*AQ28</f>
        <v>609.31859999999995</v>
      </c>
      <c r="AR92" s="1338">
        <f>(+HLOOKUP(AR4,'תחשיב עלות תפעול לשנת 2016'!$4:$151,82,0))/1000*AR28</f>
        <v>259.53620000000001</v>
      </c>
      <c r="AS92" s="1338">
        <f>(+HLOOKUP(AS4,'תחשיב עלות תפעול לשנת 2016'!$4:$151,82,0))/1000*AS28</f>
        <v>391.25939999999997</v>
      </c>
      <c r="AT92" s="1338">
        <f>(+HLOOKUP(AT4,'תחשיב עלות תפעול לשנת 2016'!$4:$151,82,0))/1000*AT28</f>
        <v>193.37820000000002</v>
      </c>
      <c r="AU92" s="1338">
        <f>(+HLOOKUP(AU4,'תחשיב עלות תפעול לשנת 2016'!$4:$151,82,0))/1000*AU28</f>
        <v>184.63440000000003</v>
      </c>
      <c r="AV92" s="1338">
        <f>(+HLOOKUP(AV4,'תחשיב עלות תפעול לשנת 2016'!$4:$151,82,0))/1000*AV28</f>
        <v>198.02939999999998</v>
      </c>
      <c r="AW92" s="1338">
        <f>(+HLOOKUP(AW4,'תחשיב עלות תפעול לשנת 2016'!$4:$151,82,0))/1000*AW28</f>
        <v>212.80380000000002</v>
      </c>
      <c r="AX92" s="1338">
        <f>(+HLOOKUP(AX4,'תחשיב עלות תפעול לשנת 2016'!$4:$151,82,0))/1000*AX28</f>
        <v>267.27300000000002</v>
      </c>
      <c r="AY92" s="1338">
        <f>(+HLOOKUP(AY4,'תחשיב עלות תפעול לשנת 2016'!$4:$151,82,0))/1000*AY28</f>
        <v>633.29280000000006</v>
      </c>
      <c r="AZ92" s="1338">
        <f>(+HLOOKUP(AZ4,'תחשיב עלות תפעול לשנת 2016'!$4:$151,82,0))/1000*AZ28</f>
        <v>326.67840000000001</v>
      </c>
      <c r="BA92" s="1338">
        <f>(+HLOOKUP(BA4,'תחשיב עלות תפעול לשנת 2016'!$4:$151,82,0))/1000*BA28</f>
        <v>255.70960000000002</v>
      </c>
      <c r="BB92" s="1338">
        <f>(+HLOOKUP(BB4,'תחשיב עלות תפעול לשנת 2016'!$4:$151,82,0))/1000*BB28</f>
        <v>241.30380000000002</v>
      </c>
      <c r="BC92" s="1338">
        <f>(+HLOOKUP(BC4,'תחשיב עלות תפעול לשנת 2016'!$4:$151,82,0))/1000*BC28</f>
        <v>146.1138</v>
      </c>
      <c r="BD92" s="1338">
        <f>(+HLOOKUP(BD4,'תחשיב עלות תפעול לשנת 2016'!$4:$151,82,0))/1000*BD28</f>
        <v>106.1112</v>
      </c>
      <c r="BE92" s="1338">
        <f>(+HLOOKUP(BE4,'תחשיב עלות תפעול לשנת 2016'!$4:$151,82,0))/1000*BE28</f>
        <v>31.783199999999997</v>
      </c>
      <c r="BF92" s="1338">
        <f>(+HLOOKUP(BF4,'תחשיב עלות תפעול לשנת 2016'!$4:$151,82,0))/1000*BF28</f>
        <v>60.214800000000004</v>
      </c>
      <c r="BG92" s="374"/>
      <c r="BH92" s="374"/>
      <c r="BI92" s="374"/>
      <c r="BJ92" s="374"/>
      <c r="BK92" s="374"/>
      <c r="BL92" s="374"/>
      <c r="BM92" s="374"/>
      <c r="BN92" s="374"/>
      <c r="BO92" s="374"/>
      <c r="BP92" s="374"/>
      <c r="BQ92" s="374"/>
      <c r="BR92" s="374"/>
      <c r="BS92" s="374"/>
      <c r="BT92" s="374"/>
      <c r="BU92" s="374"/>
      <c r="BV92" s="374"/>
      <c r="BW92" s="374"/>
      <c r="BX92" s="374"/>
      <c r="BY92" s="374"/>
      <c r="BZ92" s="374"/>
      <c r="CA92" s="374"/>
      <c r="CB92" s="374"/>
      <c r="CC92" s="374"/>
      <c r="CD92" s="374"/>
      <c r="CE92" s="374"/>
      <c r="CF92" s="374"/>
      <c r="CG92" s="374"/>
      <c r="CH92" s="374"/>
      <c r="CI92" s="374"/>
      <c r="CJ92" s="374"/>
      <c r="CK92" s="374"/>
      <c r="CL92" s="374"/>
      <c r="CM92" s="374"/>
      <c r="CN92" s="374"/>
      <c r="CO92" s="374"/>
      <c r="CP92" s="374"/>
      <c r="CQ92" s="374"/>
      <c r="CR92" s="374"/>
      <c r="CS92" s="374"/>
      <c r="CT92" s="374"/>
      <c r="CU92" s="374"/>
      <c r="CV92" s="374"/>
      <c r="CW92" s="374"/>
      <c r="CX92" s="374"/>
      <c r="CY92" s="374"/>
      <c r="CZ92" s="374"/>
      <c r="DA92" s="374"/>
      <c r="DB92" s="374"/>
      <c r="DC92" s="374"/>
      <c r="DD92" s="374"/>
      <c r="DE92" s="374"/>
      <c r="DF92" s="374"/>
      <c r="DG92" s="374"/>
      <c r="DH92" s="374"/>
      <c r="DI92" s="374"/>
      <c r="DJ92" s="374"/>
      <c r="DK92" s="374"/>
      <c r="DL92" s="374"/>
      <c r="DM92" s="374"/>
      <c r="DN92" s="374"/>
      <c r="DO92" s="374"/>
      <c r="DP92" s="374"/>
      <c r="DQ92" s="374"/>
      <c r="DR92" s="374"/>
      <c r="DS92" s="374"/>
      <c r="DT92" s="374"/>
      <c r="DU92" s="374"/>
      <c r="DV92" s="374"/>
      <c r="DW92" s="374"/>
      <c r="DX92" s="374"/>
      <c r="DY92" s="374"/>
      <c r="DZ92" s="374"/>
      <c r="EA92" s="374"/>
      <c r="EB92" s="374"/>
      <c r="EC92" s="374"/>
      <c r="ED92" s="374"/>
      <c r="EE92" s="374"/>
      <c r="EF92" s="374"/>
      <c r="EG92" s="374"/>
      <c r="EH92" s="374"/>
      <c r="EI92" s="374"/>
      <c r="EJ92" s="374"/>
      <c r="EK92" s="374"/>
      <c r="EL92" s="374"/>
      <c r="EM92" s="374"/>
      <c r="EN92" s="374"/>
      <c r="EO92" s="374"/>
      <c r="EP92" s="374"/>
      <c r="EQ92" s="374"/>
      <c r="ER92" s="374"/>
      <c r="ES92" s="374"/>
      <c r="ET92" s="374"/>
      <c r="EU92" s="374"/>
      <c r="EV92" s="374"/>
      <c r="EW92" s="374"/>
      <c r="EX92" s="374"/>
      <c r="EY92" s="374"/>
      <c r="EZ92" s="374"/>
      <c r="FA92" s="374"/>
      <c r="FB92" s="374"/>
      <c r="FC92" s="374"/>
      <c r="FD92" s="374"/>
      <c r="FE92" s="374"/>
      <c r="FF92" s="374"/>
      <c r="FG92" s="374"/>
      <c r="FH92" s="374"/>
      <c r="FI92" s="374"/>
      <c r="FJ92" s="374"/>
      <c r="FK92" s="374"/>
      <c r="FL92" s="374"/>
      <c r="FM92" s="374"/>
      <c r="FN92" s="374"/>
      <c r="FO92" s="374"/>
      <c r="FP92" s="374"/>
      <c r="FQ92" s="374"/>
      <c r="FR92" s="374"/>
      <c r="FS92" s="374"/>
      <c r="FT92" s="374"/>
      <c r="FU92" s="374"/>
      <c r="FV92" s="374"/>
      <c r="FW92" s="374"/>
      <c r="FX92" s="374"/>
      <c r="FY92" s="374"/>
      <c r="FZ92" s="374"/>
      <c r="GA92" s="374"/>
      <c r="GB92" s="374"/>
      <c r="GC92" s="374"/>
      <c r="GD92" s="374"/>
      <c r="GE92" s="374"/>
      <c r="GF92" s="374"/>
      <c r="GG92" s="374"/>
      <c r="GH92" s="374"/>
      <c r="GI92" s="374"/>
      <c r="GJ92" s="374"/>
      <c r="GK92" s="374"/>
      <c r="GL92" s="374"/>
      <c r="GM92" s="374"/>
      <c r="GN92" s="374"/>
      <c r="GO92" s="374"/>
      <c r="GP92" s="374"/>
      <c r="GQ92" s="374"/>
      <c r="GR92" s="374"/>
      <c r="GS92" s="374"/>
      <c r="GT92" s="374"/>
      <c r="GU92" s="374"/>
      <c r="GV92" s="374"/>
      <c r="GW92" s="374"/>
      <c r="GX92" s="374"/>
      <c r="GY92" s="374"/>
      <c r="GZ92" s="374"/>
      <c r="HA92" s="374"/>
      <c r="HB92" s="374"/>
      <c r="HC92" s="374"/>
      <c r="HD92" s="374"/>
      <c r="HE92" s="374"/>
      <c r="HF92" s="374"/>
      <c r="HG92" s="374"/>
      <c r="HH92" s="374"/>
      <c r="HI92" s="374"/>
      <c r="HJ92" s="374"/>
      <c r="HK92" s="374"/>
      <c r="HL92" s="374"/>
      <c r="HM92" s="374"/>
      <c r="HN92" s="374"/>
      <c r="HO92" s="374"/>
      <c r="HP92" s="374"/>
      <c r="HQ92" s="374"/>
      <c r="HR92" s="374"/>
      <c r="HS92" s="374"/>
      <c r="HT92" s="374"/>
      <c r="HU92" s="374"/>
      <c r="HV92" s="374"/>
      <c r="HW92" s="374"/>
      <c r="HX92" s="374"/>
      <c r="HY92" s="374"/>
      <c r="HZ92" s="374"/>
      <c r="IA92" s="374"/>
      <c r="IB92" s="374"/>
      <c r="IC92" s="374"/>
      <c r="ID92" s="374"/>
      <c r="IE92" s="374"/>
      <c r="IF92" s="374"/>
      <c r="IG92" s="374"/>
      <c r="IH92" s="374"/>
      <c r="II92" s="374"/>
      <c r="IJ92" s="374"/>
      <c r="IK92" s="374"/>
      <c r="IL92" s="374"/>
      <c r="IM92" s="374"/>
      <c r="IN92" s="374"/>
      <c r="IO92" s="374"/>
    </row>
    <row r="93" spans="1:249" s="622" customFormat="1" ht="14.25" x14ac:dyDescent="0.2">
      <c r="A93" s="1846"/>
      <c r="B93" s="1339"/>
      <c r="C93" s="1334" t="s">
        <v>1702</v>
      </c>
      <c r="D93" s="1338">
        <v>0</v>
      </c>
      <c r="E93" s="1338">
        <v>0</v>
      </c>
      <c r="F93" s="1338">
        <v>0</v>
      </c>
      <c r="G93" s="1338">
        <v>0</v>
      </c>
      <c r="H93" s="1338">
        <v>0</v>
      </c>
      <c r="I93" s="1338">
        <v>0</v>
      </c>
      <c r="J93" s="1338">
        <v>0</v>
      </c>
      <c r="K93" s="1338">
        <v>0</v>
      </c>
      <c r="L93" s="1338">
        <v>0</v>
      </c>
      <c r="M93" s="1338">
        <v>0</v>
      </c>
      <c r="N93" s="1338">
        <v>0</v>
      </c>
      <c r="O93" s="1338">
        <v>0</v>
      </c>
      <c r="P93" s="1338">
        <v>0</v>
      </c>
      <c r="Q93" s="1338">
        <v>0</v>
      </c>
      <c r="R93" s="1338">
        <v>0</v>
      </c>
      <c r="S93" s="1338">
        <v>0</v>
      </c>
      <c r="T93" s="1338">
        <v>0</v>
      </c>
      <c r="U93" s="1338">
        <v>0</v>
      </c>
      <c r="V93" s="1338">
        <v>0</v>
      </c>
      <c r="W93" s="1338">
        <v>0</v>
      </c>
      <c r="X93" s="1338">
        <v>0</v>
      </c>
      <c r="Y93" s="1338">
        <v>0</v>
      </c>
      <c r="Z93" s="1338">
        <v>0</v>
      </c>
      <c r="AA93" s="1338">
        <v>0</v>
      </c>
      <c r="AB93" s="1338">
        <v>0</v>
      </c>
      <c r="AC93" s="1338">
        <v>0</v>
      </c>
      <c r="AD93" s="1338">
        <v>0</v>
      </c>
      <c r="AE93" s="1338">
        <v>0</v>
      </c>
      <c r="AF93" s="1338">
        <v>0</v>
      </c>
      <c r="AG93" s="1338">
        <v>0</v>
      </c>
      <c r="AH93" s="1338">
        <v>0</v>
      </c>
      <c r="AI93" s="1338">
        <v>0</v>
      </c>
      <c r="AJ93" s="1338">
        <v>0</v>
      </c>
      <c r="AK93" s="1338">
        <v>0</v>
      </c>
      <c r="AL93" s="1338">
        <v>0</v>
      </c>
      <c r="AM93" s="1338">
        <v>0</v>
      </c>
      <c r="AN93" s="1338">
        <v>0</v>
      </c>
      <c r="AO93" s="1338">
        <v>0</v>
      </c>
      <c r="AP93" s="1338">
        <v>0</v>
      </c>
      <c r="AQ93" s="1338">
        <v>0</v>
      </c>
      <c r="AR93" s="1338">
        <v>0</v>
      </c>
      <c r="AS93" s="1338">
        <v>0</v>
      </c>
      <c r="AT93" s="1338">
        <v>0</v>
      </c>
      <c r="AU93" s="1338">
        <v>0</v>
      </c>
      <c r="AV93" s="1338">
        <v>0</v>
      </c>
      <c r="AW93" s="1338">
        <v>0</v>
      </c>
      <c r="AX93" s="1338">
        <v>0</v>
      </c>
      <c r="AY93" s="1338">
        <v>0</v>
      </c>
      <c r="AZ93" s="1338">
        <v>0</v>
      </c>
      <c r="BA93" s="1338">
        <v>0</v>
      </c>
      <c r="BB93" s="1338">
        <v>0</v>
      </c>
      <c r="BC93" s="1338">
        <v>0</v>
      </c>
      <c r="BD93" s="1338">
        <v>0</v>
      </c>
      <c r="BE93" s="1338">
        <v>0</v>
      </c>
      <c r="BF93" s="1338">
        <v>0</v>
      </c>
      <c r="BG93" s="374"/>
      <c r="BH93" s="374"/>
      <c r="BI93" s="374"/>
      <c r="BJ93" s="374"/>
      <c r="BK93" s="374"/>
      <c r="BL93" s="374"/>
      <c r="BM93" s="374"/>
      <c r="BN93" s="374"/>
      <c r="BO93" s="374"/>
      <c r="BP93" s="374"/>
      <c r="BQ93" s="374"/>
      <c r="BR93" s="374"/>
      <c r="BS93" s="374"/>
      <c r="BT93" s="374"/>
      <c r="BU93" s="374"/>
      <c r="BV93" s="374"/>
      <c r="BW93" s="374"/>
      <c r="BX93" s="374"/>
      <c r="BY93" s="374"/>
      <c r="BZ93" s="374"/>
      <c r="CA93" s="374"/>
      <c r="CB93" s="374"/>
      <c r="CC93" s="374"/>
      <c r="CD93" s="374"/>
      <c r="CE93" s="374"/>
      <c r="CF93" s="374"/>
      <c r="CG93" s="374"/>
      <c r="CH93" s="374"/>
      <c r="CI93" s="374"/>
      <c r="CJ93" s="374"/>
      <c r="CK93" s="374"/>
      <c r="CL93" s="374"/>
      <c r="CM93" s="374"/>
      <c r="CN93" s="374"/>
      <c r="CO93" s="374"/>
      <c r="CP93" s="374"/>
      <c r="CQ93" s="374"/>
      <c r="CR93" s="374"/>
      <c r="CS93" s="374"/>
      <c r="CT93" s="374"/>
      <c r="CU93" s="374"/>
      <c r="CV93" s="374"/>
      <c r="CW93" s="374"/>
      <c r="CX93" s="374"/>
      <c r="CY93" s="374"/>
      <c r="CZ93" s="374"/>
      <c r="DA93" s="374"/>
      <c r="DB93" s="374"/>
      <c r="DC93" s="374"/>
      <c r="DD93" s="374"/>
      <c r="DE93" s="374"/>
      <c r="DF93" s="374"/>
      <c r="DG93" s="374"/>
      <c r="DH93" s="374"/>
      <c r="DI93" s="374"/>
      <c r="DJ93" s="374"/>
      <c r="DK93" s="374"/>
      <c r="DL93" s="374"/>
      <c r="DM93" s="374"/>
      <c r="DN93" s="374"/>
      <c r="DO93" s="374"/>
      <c r="DP93" s="374"/>
      <c r="DQ93" s="374"/>
      <c r="DR93" s="374"/>
      <c r="DS93" s="374"/>
      <c r="DT93" s="374"/>
      <c r="DU93" s="374"/>
      <c r="DV93" s="374"/>
      <c r="DW93" s="374"/>
      <c r="DX93" s="374"/>
      <c r="DY93" s="374"/>
      <c r="DZ93" s="374"/>
      <c r="EA93" s="374"/>
      <c r="EB93" s="374"/>
      <c r="EC93" s="374"/>
      <c r="ED93" s="374"/>
      <c r="EE93" s="374"/>
      <c r="EF93" s="374"/>
      <c r="EG93" s="374"/>
      <c r="EH93" s="374"/>
      <c r="EI93" s="374"/>
      <c r="EJ93" s="374"/>
      <c r="EK93" s="374"/>
      <c r="EL93" s="374"/>
      <c r="EM93" s="374"/>
      <c r="EN93" s="374"/>
      <c r="EO93" s="374"/>
      <c r="EP93" s="374"/>
      <c r="EQ93" s="374"/>
      <c r="ER93" s="374"/>
      <c r="ES93" s="374"/>
      <c r="ET93" s="374"/>
      <c r="EU93" s="374"/>
      <c r="EV93" s="374"/>
      <c r="EW93" s="374"/>
      <c r="EX93" s="374"/>
      <c r="EY93" s="374"/>
      <c r="EZ93" s="374"/>
      <c r="FA93" s="374"/>
      <c r="FB93" s="374"/>
      <c r="FC93" s="374"/>
      <c r="FD93" s="374"/>
      <c r="FE93" s="374"/>
      <c r="FF93" s="374"/>
      <c r="FG93" s="374"/>
      <c r="FH93" s="374"/>
      <c r="FI93" s="374"/>
      <c r="FJ93" s="374"/>
      <c r="FK93" s="374"/>
      <c r="FL93" s="374"/>
      <c r="FM93" s="374"/>
      <c r="FN93" s="374"/>
      <c r="FO93" s="374"/>
      <c r="FP93" s="374"/>
      <c r="FQ93" s="374"/>
      <c r="FR93" s="374"/>
      <c r="FS93" s="374"/>
      <c r="FT93" s="374"/>
      <c r="FU93" s="374"/>
      <c r="FV93" s="374"/>
      <c r="FW93" s="374"/>
      <c r="FX93" s="374"/>
      <c r="FY93" s="374"/>
      <c r="FZ93" s="374"/>
      <c r="GA93" s="374"/>
      <c r="GB93" s="374"/>
      <c r="GC93" s="374"/>
      <c r="GD93" s="374"/>
      <c r="GE93" s="374"/>
      <c r="GF93" s="374"/>
      <c r="GG93" s="374"/>
      <c r="GH93" s="374"/>
      <c r="GI93" s="374"/>
      <c r="GJ93" s="374"/>
      <c r="GK93" s="374"/>
      <c r="GL93" s="374"/>
      <c r="GM93" s="374"/>
      <c r="GN93" s="374"/>
      <c r="GO93" s="374"/>
      <c r="GP93" s="374"/>
      <c r="GQ93" s="374"/>
      <c r="GR93" s="374"/>
      <c r="GS93" s="374"/>
      <c r="GT93" s="374"/>
      <c r="GU93" s="374"/>
      <c r="GV93" s="374"/>
      <c r="GW93" s="374"/>
      <c r="GX93" s="374"/>
      <c r="GY93" s="374"/>
      <c r="GZ93" s="374"/>
      <c r="HA93" s="374"/>
      <c r="HB93" s="374"/>
      <c r="HC93" s="374"/>
      <c r="HD93" s="374"/>
      <c r="HE93" s="374"/>
      <c r="HF93" s="374"/>
      <c r="HG93" s="374"/>
      <c r="HH93" s="374"/>
      <c r="HI93" s="374"/>
      <c r="HJ93" s="374"/>
      <c r="HK93" s="374"/>
      <c r="HL93" s="374"/>
      <c r="HM93" s="374"/>
      <c r="HN93" s="374"/>
      <c r="HO93" s="374"/>
      <c r="HP93" s="374"/>
      <c r="HQ93" s="374"/>
      <c r="HR93" s="374"/>
      <c r="HS93" s="374"/>
      <c r="HT93" s="374"/>
      <c r="HU93" s="374"/>
      <c r="HV93" s="374"/>
      <c r="HW93" s="374"/>
      <c r="HX93" s="374"/>
      <c r="HY93" s="374"/>
      <c r="HZ93" s="374"/>
      <c r="IA93" s="374"/>
      <c r="IB93" s="374"/>
      <c r="IC93" s="374"/>
      <c r="ID93" s="374"/>
      <c r="IE93" s="374"/>
      <c r="IF93" s="374"/>
      <c r="IG93" s="374"/>
      <c r="IH93" s="374"/>
      <c r="II93" s="374"/>
      <c r="IJ93" s="374"/>
      <c r="IK93" s="374"/>
      <c r="IL93" s="374"/>
      <c r="IM93" s="374"/>
      <c r="IN93" s="374"/>
      <c r="IO93" s="374"/>
    </row>
    <row r="94" spans="1:249" s="622" customFormat="1" ht="14.25" x14ac:dyDescent="0.2">
      <c r="A94" s="1846"/>
      <c r="B94" s="1339"/>
      <c r="C94" s="1334" t="s">
        <v>1704</v>
      </c>
      <c r="D94" s="1338">
        <f t="shared" ref="D94:BF94" si="3">+D29*D6*(D11/D12)/D8</f>
        <v>48.511890000000001</v>
      </c>
      <c r="E94" s="1338">
        <f t="shared" si="3"/>
        <v>42.031966499999996</v>
      </c>
      <c r="F94" s="1338">
        <f t="shared" si="3"/>
        <v>19.1811285</v>
      </c>
      <c r="G94" s="1338">
        <f t="shared" si="3"/>
        <v>244.37951100000004</v>
      </c>
      <c r="H94" s="1338">
        <f t="shared" si="3"/>
        <v>76.722511499999996</v>
      </c>
      <c r="I94" s="1338">
        <f t="shared" si="3"/>
        <v>9.020191500000001</v>
      </c>
      <c r="J94" s="1338">
        <f t="shared" si="3"/>
        <v>19.5060465</v>
      </c>
      <c r="K94" s="1338">
        <f t="shared" si="3"/>
        <v>32.721354000000005</v>
      </c>
      <c r="L94" s="1338">
        <f t="shared" si="3"/>
        <v>24.261191999999994</v>
      </c>
      <c r="M94" s="1338">
        <f t="shared" si="3"/>
        <v>44.680414500000005</v>
      </c>
      <c r="N94" s="1338">
        <f t="shared" si="3"/>
        <v>75.261361499999992</v>
      </c>
      <c r="O94" s="1338">
        <f t="shared" si="3"/>
        <v>41.5262745</v>
      </c>
      <c r="P94" s="1338">
        <f t="shared" si="3"/>
        <v>25.566925499999996</v>
      </c>
      <c r="Q94" s="1338">
        <f t="shared" si="3"/>
        <v>21.221050499999997</v>
      </c>
      <c r="R94" s="1338">
        <f t="shared" si="3"/>
        <v>94.181224499999999</v>
      </c>
      <c r="S94" s="1338">
        <f t="shared" si="3"/>
        <v>83.969801999999987</v>
      </c>
      <c r="T94" s="1338">
        <f t="shared" si="3"/>
        <v>88.493426999999997</v>
      </c>
      <c r="U94" s="1338">
        <f t="shared" si="3"/>
        <v>89.323807500000001</v>
      </c>
      <c r="V94" s="1338">
        <f t="shared" si="3"/>
        <v>49.8676095</v>
      </c>
      <c r="W94" s="1338">
        <f t="shared" si="3"/>
        <v>38.641297500000007</v>
      </c>
      <c r="X94" s="1338">
        <f t="shared" si="3"/>
        <v>39.335877000000004</v>
      </c>
      <c r="Y94" s="1338">
        <f t="shared" si="3"/>
        <v>29.2309695</v>
      </c>
      <c r="Z94" s="1338">
        <f t="shared" si="3"/>
        <v>14.4048465</v>
      </c>
      <c r="AA94" s="1338">
        <f t="shared" si="3"/>
        <v>17.626630500000001</v>
      </c>
      <c r="AB94" s="1338">
        <f t="shared" si="3"/>
        <v>29.880422999999997</v>
      </c>
      <c r="AC94" s="1338">
        <f t="shared" si="3"/>
        <v>30.554667000000006</v>
      </c>
      <c r="AD94" s="1338">
        <f t="shared" si="3"/>
        <v>47.114212499999994</v>
      </c>
      <c r="AE94" s="1338">
        <f t="shared" si="3"/>
        <v>21.188987999999998</v>
      </c>
      <c r="AF94" s="1338">
        <f t="shared" si="3"/>
        <v>104.020866</v>
      </c>
      <c r="AG94" s="1338">
        <f t="shared" si="3"/>
        <v>24.356592000000003</v>
      </c>
      <c r="AH94" s="1338">
        <f t="shared" si="3"/>
        <v>16.864038000000001</v>
      </c>
      <c r="AI94" s="1338">
        <f t="shared" si="3"/>
        <v>14.284467000000001</v>
      </c>
      <c r="AJ94" s="1338">
        <f t="shared" si="3"/>
        <v>17.340619499999999</v>
      </c>
      <c r="AK94" s="1338">
        <f t="shared" si="3"/>
        <v>14.745095999999998</v>
      </c>
      <c r="AL94" s="1338">
        <f t="shared" si="3"/>
        <v>13.1524155</v>
      </c>
      <c r="AM94" s="1338">
        <f t="shared" si="3"/>
        <v>207.55962450000001</v>
      </c>
      <c r="AN94" s="1338">
        <f t="shared" si="3"/>
        <v>25.822404000000002</v>
      </c>
      <c r="AO94" s="1338">
        <f t="shared" si="3"/>
        <v>54.118939500000003</v>
      </c>
      <c r="AP94" s="1338">
        <f t="shared" si="3"/>
        <v>16.867129500000001</v>
      </c>
      <c r="AQ94" s="1338">
        <f t="shared" si="3"/>
        <v>40.618840499999997</v>
      </c>
      <c r="AR94" s="1338">
        <f t="shared" si="3"/>
        <v>24.096483000000003</v>
      </c>
      <c r="AS94" s="1338">
        <f t="shared" si="3"/>
        <v>46.467684000000006</v>
      </c>
      <c r="AT94" s="1338">
        <f t="shared" si="3"/>
        <v>15.403990499999999</v>
      </c>
      <c r="AU94" s="1338">
        <f t="shared" si="3"/>
        <v>13.095756000000002</v>
      </c>
      <c r="AV94" s="1338">
        <f t="shared" si="3"/>
        <v>21.197879999999998</v>
      </c>
      <c r="AW94" s="1338">
        <f t="shared" si="3"/>
        <v>25.703860500000001</v>
      </c>
      <c r="AX94" s="1338">
        <f t="shared" si="3"/>
        <v>32.435032499999998</v>
      </c>
      <c r="AY94" s="1338">
        <f t="shared" si="3"/>
        <v>64.621646999999996</v>
      </c>
      <c r="AZ94" s="1338">
        <f t="shared" si="3"/>
        <v>29.881966499999997</v>
      </c>
      <c r="BA94" s="1338">
        <f t="shared" si="3"/>
        <v>26.474485499999997</v>
      </c>
      <c r="BB94" s="1338">
        <f t="shared" si="3"/>
        <v>25.927195500000003</v>
      </c>
      <c r="BC94" s="1338">
        <f t="shared" si="3"/>
        <v>21.538498500000003</v>
      </c>
      <c r="BD94" s="1338">
        <f t="shared" si="3"/>
        <v>27.200263500000002</v>
      </c>
      <c r="BE94" s="1338">
        <f t="shared" si="3"/>
        <v>4.3902225000000001</v>
      </c>
      <c r="BF94" s="1338">
        <f t="shared" si="3"/>
        <v>5.2797105000000002</v>
      </c>
      <c r="BG94" s="374"/>
      <c r="BH94" s="374"/>
      <c r="BI94" s="374"/>
      <c r="BJ94" s="374"/>
      <c r="BK94" s="374"/>
      <c r="BL94" s="374"/>
      <c r="BM94" s="374"/>
      <c r="BN94" s="374"/>
      <c r="BO94" s="374"/>
      <c r="BP94" s="374"/>
      <c r="BQ94" s="374"/>
      <c r="BR94" s="374"/>
      <c r="BS94" s="374"/>
      <c r="BT94" s="374"/>
      <c r="BU94" s="374"/>
      <c r="BV94" s="374"/>
      <c r="BW94" s="374"/>
      <c r="BX94" s="374"/>
      <c r="BY94" s="374"/>
      <c r="BZ94" s="374"/>
      <c r="CA94" s="374"/>
      <c r="CB94" s="374"/>
      <c r="CC94" s="374"/>
      <c r="CD94" s="374"/>
      <c r="CE94" s="374"/>
      <c r="CF94" s="374"/>
      <c r="CG94" s="374"/>
      <c r="CH94" s="374"/>
      <c r="CI94" s="374"/>
      <c r="CJ94" s="374"/>
      <c r="CK94" s="374"/>
      <c r="CL94" s="374"/>
      <c r="CM94" s="374"/>
      <c r="CN94" s="374"/>
      <c r="CO94" s="374"/>
      <c r="CP94" s="374"/>
      <c r="CQ94" s="374"/>
      <c r="CR94" s="374"/>
      <c r="CS94" s="374"/>
      <c r="CT94" s="374"/>
      <c r="CU94" s="374"/>
      <c r="CV94" s="374"/>
      <c r="CW94" s="374"/>
      <c r="CX94" s="374"/>
      <c r="CY94" s="374"/>
      <c r="CZ94" s="374"/>
      <c r="DA94" s="374"/>
      <c r="DB94" s="374"/>
      <c r="DC94" s="374"/>
      <c r="DD94" s="374"/>
      <c r="DE94" s="374"/>
      <c r="DF94" s="374"/>
      <c r="DG94" s="374"/>
      <c r="DH94" s="374"/>
      <c r="DI94" s="374"/>
      <c r="DJ94" s="374"/>
      <c r="DK94" s="374"/>
      <c r="DL94" s="374"/>
      <c r="DM94" s="374"/>
      <c r="DN94" s="374"/>
      <c r="DO94" s="374"/>
      <c r="DP94" s="374"/>
      <c r="DQ94" s="374"/>
      <c r="DR94" s="374"/>
      <c r="DS94" s="374"/>
      <c r="DT94" s="374"/>
      <c r="DU94" s="374"/>
      <c r="DV94" s="374"/>
      <c r="DW94" s="374"/>
      <c r="DX94" s="374"/>
      <c r="DY94" s="374"/>
      <c r="DZ94" s="374"/>
      <c r="EA94" s="374"/>
      <c r="EB94" s="374"/>
      <c r="EC94" s="374"/>
      <c r="ED94" s="374"/>
      <c r="EE94" s="374"/>
      <c r="EF94" s="374"/>
      <c r="EG94" s="374"/>
      <c r="EH94" s="374"/>
      <c r="EI94" s="374"/>
      <c r="EJ94" s="374"/>
      <c r="EK94" s="374"/>
      <c r="EL94" s="374"/>
      <c r="EM94" s="374"/>
      <c r="EN94" s="374"/>
      <c r="EO94" s="374"/>
      <c r="EP94" s="374"/>
      <c r="EQ94" s="374"/>
      <c r="ER94" s="374"/>
      <c r="ES94" s="374"/>
      <c r="ET94" s="374"/>
      <c r="EU94" s="374"/>
      <c r="EV94" s="374"/>
      <c r="EW94" s="374"/>
      <c r="EX94" s="374"/>
      <c r="EY94" s="374"/>
      <c r="EZ94" s="374"/>
      <c r="FA94" s="374"/>
      <c r="FB94" s="374"/>
      <c r="FC94" s="374"/>
      <c r="FD94" s="374"/>
      <c r="FE94" s="374"/>
      <c r="FF94" s="374"/>
      <c r="FG94" s="374"/>
      <c r="FH94" s="374"/>
      <c r="FI94" s="374"/>
      <c r="FJ94" s="374"/>
      <c r="FK94" s="374"/>
      <c r="FL94" s="374"/>
      <c r="FM94" s="374"/>
      <c r="FN94" s="374"/>
      <c r="FO94" s="374"/>
      <c r="FP94" s="374"/>
      <c r="FQ94" s="374"/>
      <c r="FR94" s="374"/>
      <c r="FS94" s="374"/>
      <c r="FT94" s="374"/>
      <c r="FU94" s="374"/>
      <c r="FV94" s="374"/>
      <c r="FW94" s="374"/>
      <c r="FX94" s="374"/>
      <c r="FY94" s="374"/>
      <c r="FZ94" s="374"/>
      <c r="GA94" s="374"/>
      <c r="GB94" s="374"/>
      <c r="GC94" s="374"/>
      <c r="GD94" s="374"/>
      <c r="GE94" s="374"/>
      <c r="GF94" s="374"/>
      <c r="GG94" s="374"/>
      <c r="GH94" s="374"/>
      <c r="GI94" s="374"/>
      <c r="GJ94" s="374"/>
      <c r="GK94" s="374"/>
      <c r="GL94" s="374"/>
      <c r="GM94" s="374"/>
      <c r="GN94" s="374"/>
      <c r="GO94" s="374"/>
      <c r="GP94" s="374"/>
      <c r="GQ94" s="374"/>
      <c r="GR94" s="374"/>
      <c r="GS94" s="374"/>
      <c r="GT94" s="374"/>
      <c r="GU94" s="374"/>
      <c r="GV94" s="374"/>
      <c r="GW94" s="374"/>
      <c r="GX94" s="374"/>
      <c r="GY94" s="374"/>
      <c r="GZ94" s="374"/>
      <c r="HA94" s="374"/>
      <c r="HB94" s="374"/>
      <c r="HC94" s="374"/>
      <c r="HD94" s="374"/>
      <c r="HE94" s="374"/>
      <c r="HF94" s="374"/>
      <c r="HG94" s="374"/>
      <c r="HH94" s="374"/>
      <c r="HI94" s="374"/>
      <c r="HJ94" s="374"/>
      <c r="HK94" s="374"/>
      <c r="HL94" s="374"/>
      <c r="HM94" s="374"/>
      <c r="HN94" s="374"/>
      <c r="HO94" s="374"/>
      <c r="HP94" s="374"/>
      <c r="HQ94" s="374"/>
      <c r="HR94" s="374"/>
      <c r="HS94" s="374"/>
      <c r="HT94" s="374"/>
      <c r="HU94" s="374"/>
      <c r="HV94" s="374"/>
      <c r="HW94" s="374"/>
      <c r="HX94" s="374"/>
      <c r="HY94" s="374"/>
      <c r="HZ94" s="374"/>
      <c r="IA94" s="374"/>
      <c r="IB94" s="374"/>
      <c r="IC94" s="374"/>
      <c r="ID94" s="374"/>
      <c r="IE94" s="374"/>
      <c r="IF94" s="374"/>
      <c r="IG94" s="374"/>
      <c r="IH94" s="374"/>
      <c r="II94" s="374"/>
      <c r="IJ94" s="374"/>
      <c r="IK94" s="374"/>
      <c r="IL94" s="374"/>
      <c r="IM94" s="374"/>
      <c r="IN94" s="374"/>
      <c r="IO94" s="374"/>
    </row>
    <row r="95" spans="1:249" s="622" customFormat="1" ht="14.25" x14ac:dyDescent="0.2">
      <c r="A95" s="1846"/>
      <c r="B95" s="1339"/>
      <c r="C95" s="1334" t="s">
        <v>1706</v>
      </c>
      <c r="D95" s="1333">
        <f>(+HLOOKUP(D4,'תחשיב עלות תפעול לשנת 2016'!$4:$148,84,0))*(D11/D12)*D6-D90-D91-D92-D84-D85</f>
        <v>0.80479392000006555</v>
      </c>
      <c r="E95" s="1333">
        <f>(+HLOOKUP(E4,'תחשיב עלות תפעול לשנת 2016'!$4:$148,84,0))*(E11/E12)*E6-E90-E91-E92-E84-E85</f>
        <v>0.31476571028014178</v>
      </c>
      <c r="F95" s="1333">
        <f>(+HLOOKUP(F4,'תחשיב עלות תפעול לשנת 2016'!$4:$148,84,0))*(F11/F12)*F6-F90-F91-F92-F84-F85</f>
        <v>0.11458926714243489</v>
      </c>
      <c r="G95" s="1333">
        <f>(+HLOOKUP(G4,'תחשיב עלות תפעול לשנת 2016'!$4:$148,84,0))*(G11/G12)*G6-G90-G91-G92-G84-G85</f>
        <v>1.4892560297539603E-2</v>
      </c>
      <c r="H95" s="1333">
        <f>(+HLOOKUP(H4,'תחשיב עלות תפעול לשנת 2016'!$4:$148,84,0))*(H11/H12)*H6-H90-H91-H92-H84-H85</f>
        <v>-2.2737367544323206E-13</v>
      </c>
      <c r="I95" s="1333">
        <f>(+HLOOKUP(I4,'תחשיב עלות תפעול לשנת 2016'!$4:$148,84,0))*(I11/I12)*I6-I90-I91-I92-I84-I85</f>
        <v>-1.4210854715202004E-14</v>
      </c>
      <c r="J95" s="1333">
        <f>(+HLOOKUP(J4,'תחשיב עלות תפעול לשנת 2016'!$4:$148,84,0))*(J11/J12)*J6-J90-J91-J92-J84-J85</f>
        <v>0.28509097565620323</v>
      </c>
      <c r="K95" s="1333">
        <f>(+HLOOKUP(K4,'תחשיב עלות תפעול לשנת 2016'!$4:$148,84,0))*(K11/K12)*K6-K90-K91-K92-K84-K85</f>
        <v>-3.4106051316484809E-13</v>
      </c>
      <c r="L95" s="1333">
        <f>(+HLOOKUP(L4,'תחשיב עלות תפעול לשנת 2016'!$4:$148,84,0))*(L11/L12)*L6-L90-L91-L92-L84-L85</f>
        <v>0.11107068000001163</v>
      </c>
      <c r="M95" s="1333">
        <f>(+HLOOKUP(M4,'תחשיב עלות תפעול לשנת 2016'!$4:$148,84,0))*(M11/M12)*M6-M90-M91-M92-M84-M85</f>
        <v>-1.1368683772161603E-13</v>
      </c>
      <c r="N95" s="1333">
        <f>(+HLOOKUP(N4,'תחשיב עלות תפעול לשנת 2016'!$4:$148,84,0))*(N11/N12)*N6-N90-N91-N92-N84-N85</f>
        <v>-9.0949470177292824E-13</v>
      </c>
      <c r="O95" s="1333">
        <f>(+HLOOKUP(O4,'תחשיב עלות תפעול לשנת 2016'!$4:$148,84,0))*(O11/O12)*O6-O90-O91-O92-O84-O85</f>
        <v>0.38809390241260644</v>
      </c>
      <c r="P95" s="1333">
        <f>(+HLOOKUP(P4,'תחשיב עלות תפעול לשנת 2016'!$4:$148,84,0))*(P11/P12)*P6-P90-P91-P92-P84-P85</f>
        <v>-1.7053025658242404E-13</v>
      </c>
      <c r="Q95" s="1333">
        <f>(+HLOOKUP(Q4,'תחשיב עלות תפעול לשנת 2016'!$4:$148,84,0))*(Q11/Q12)*Q6-Q90-Q91-Q92-Q84-Q85</f>
        <v>8.178701823760548E-2</v>
      </c>
      <c r="R95" s="1333">
        <f>(+HLOOKUP(R4,'תחשיב עלות תפעול לשנת 2016'!$4:$148,84,0))*(R11/R12)*R6-R90-R91-R92-R84-R85</f>
        <v>4.7325972027010721E-2</v>
      </c>
      <c r="S95" s="1333">
        <f>(+HLOOKUP(S4,'תחשיב עלות תפעול לשנת 2016'!$4:$148,84,0))*(S11/S12)*S6-S90-S91-S92-S84-S85</f>
        <v>-9.0949470177292824E-13</v>
      </c>
      <c r="T95" s="1333">
        <f>(+HLOOKUP(T4,'תחשיב עלות תפעול לשנת 2016'!$4:$148,84,0))*(T11/T12)*T6-T90-T91-T92-T84-T85</f>
        <v>0.22219994170677637</v>
      </c>
      <c r="U95" s="1333">
        <f>(+HLOOKUP(U4,'תחשיב עלות תפעול לשנת 2016'!$4:$148,84,0))*(U11/U12)*U6-U90-U91-U92-U84-U85</f>
        <v>-9.0949470177292824E-13</v>
      </c>
      <c r="V95" s="1333">
        <f>(+HLOOKUP(V4,'תחשיב עלות תפעול לשנת 2016'!$4:$148,84,0))*(V11/V12)*V6-V90-V91-V92-V84-V85</f>
        <v>-2.8421709430404007E-13</v>
      </c>
      <c r="W95" s="1333">
        <f>(+HLOOKUP(W4,'תחשיב עלות תפעול לשנת 2016'!$4:$148,84,0))*(W11/W12)*W6-W90-W91-W92-W84-W85</f>
        <v>0.26632534253849371</v>
      </c>
      <c r="X95" s="1333">
        <f>(+HLOOKUP(X4,'תחשיב עלות תפעול לשנת 2016'!$4:$148,84,0))*(X11/X12)*X6-X90-X91-X92-X84-X85</f>
        <v>-1.1368683772161603E-13</v>
      </c>
      <c r="Y95" s="1333">
        <f>(+HLOOKUP(Y4,'תחשיב עלות תפעול לשנת 2016'!$4:$148,84,0))*(Y11/Y12)*Y6-Y90-Y91-Y92-Y84-Y85</f>
        <v>-2.2737367544323206E-13</v>
      </c>
      <c r="Z95" s="1333">
        <f>(+HLOOKUP(Z4,'תחשיב עלות תפעול לשנת 2016'!$4:$148,84,0))*(Z11/Z12)*Z6-Z90-Z91-Z92-Z84-Z85</f>
        <v>2.3936175428389106E-2</v>
      </c>
      <c r="AA95" s="1333">
        <f>(+HLOOKUP(AA4,'תחשיב עלות תפעול לשנת 2016'!$4:$148,84,0))*(AA11/AA12)*AA6-AA90-AA91-AA92-AA84-AA85</f>
        <v>-2.2737367544323206E-13</v>
      </c>
      <c r="AB95" s="1333">
        <f>(+HLOOKUP(AB4,'תחשיב עלות תפעול לשנת 2016'!$4:$148,84,0))*(AB11/AB12)*AB6-AB90-AB91-AB92-AB84-AB85</f>
        <v>-1.7053025658242404E-13</v>
      </c>
      <c r="AC95" s="1333">
        <f>(+HLOOKUP(AC4,'תחשיב עלות תפעול לשנת 2016'!$4:$148,84,0))*(AC11/AC12)*AC6-AC90-AC91-AC92-AC84-AC85</f>
        <v>8.7345719999973426E-2</v>
      </c>
      <c r="AD95" s="1333">
        <f>(+HLOOKUP(AD4,'תחשיב עלות תפעול לשנת 2016'!$4:$148,84,0))*(AD11/AD12)*AD6-AD90-AD91-AD92-AD84-AD85</f>
        <v>-1.1368683772161603E-13</v>
      </c>
      <c r="AE95" s="1333">
        <f>(+HLOOKUP(AE4,'תחשיב עלות תפעול לשנת 2016'!$4:$148,84,0))*(AE11/AE12)*AE6-AE90-AE91-AE92-AE84-AE85</f>
        <v>0</v>
      </c>
      <c r="AF95" s="1333">
        <f>(+HLOOKUP(AF4,'תחשיב עלות תפעול לשנת 2016'!$4:$148,84,0))*(AF11/AF12)*AF6-AF90-AF91-AF92-AF84-AF85</f>
        <v>-6.8212102632969618E-13</v>
      </c>
      <c r="AG95" s="1333">
        <f>(+HLOOKUP(AG4,'תחשיב עלות תפעול לשנת 2016'!$4:$148,84,0))*(AG11/AG12)*AG6-AG90-AG91-AG92-AG84-AG85</f>
        <v>0</v>
      </c>
      <c r="AH95" s="1333">
        <f>(+HLOOKUP(AH4,'תחשיב עלות תפעול לשנת 2016'!$4:$148,84,0))*(AH11/AH12)*AH6-AH90-AH91-AH92-AH84-AH85</f>
        <v>5.6843418860808015E-14</v>
      </c>
      <c r="AI95" s="1333">
        <f>(+HLOOKUP(AI4,'תחשיב עלות תפעול לשנת 2016'!$4:$148,84,0))*(AI11/AI12)*AI6-AI90-AI91-AI92-AI84-AI85</f>
        <v>0.13160784000000092</v>
      </c>
      <c r="AJ95" s="1333">
        <f>(+HLOOKUP(AJ4,'תחשיב עלות תפעול לשנת 2016'!$4:$148,84,0))*(AJ11/AJ12)*AJ6-AJ90-AJ91-AJ92-AJ84-AJ85</f>
        <v>-5.6843418860808015E-14</v>
      </c>
      <c r="AK95" s="1333">
        <f>(+HLOOKUP(AK4,'תחשיב עלות תפעול לשנת 2016'!$4:$148,84,0))*(AK11/AK12)*AK6-AK90-AK91-AK92-AK84-AK85</f>
        <v>6.7828389068438355E-2</v>
      </c>
      <c r="AL95" s="1333">
        <f>(+HLOOKUP(AL4,'תחשיב עלות תפעול לשנת 2016'!$4:$148,84,0))*(AL11/AL12)*AL6-AL90-AL91-AL92-AL84-AL85</f>
        <v>1.1368683772161603E-13</v>
      </c>
      <c r="AM95" s="1333">
        <f>(+HLOOKUP(AM4,'תחשיב עלות תפעול לשנת 2016'!$4:$148,84,0))*(AM11/AM12)*AM6-AM90-AM91-AM92-AM84-AM85</f>
        <v>0</v>
      </c>
      <c r="AN95" s="1333">
        <f>(+HLOOKUP(AN4,'תחשיב עלות תפעול לשנת 2016'!$4:$148,84,0))*(AN11/AN12)*AN6-AN90-AN91-AN92-AN84-AN85</f>
        <v>5.6843418860808015E-14</v>
      </c>
      <c r="AO95" s="1333">
        <f>(+HLOOKUP(AO4,'תחשיב עלות תפעול לשנת 2016'!$4:$148,84,0))*(AO11/AO12)*AO6-AO90-AO91-AO92-AO84-AO85</f>
        <v>-2.2737367544323206E-13</v>
      </c>
      <c r="AP95" s="1333">
        <f>(+HLOOKUP(AP4,'תחשיב עלות תפעול לשנת 2016'!$4:$148,84,0))*(AP11/AP12)*AP6-AP90-AP91-AP92-AP84-AP85</f>
        <v>-3.4106051316484809E-13</v>
      </c>
      <c r="AQ95" s="1333">
        <f>(+HLOOKUP(AQ4,'תחשיב עלות תפעול לשנת 2016'!$4:$148,84,0))*(AQ11/AQ12)*AQ6-AQ90-AQ91-AQ92-AQ84-AQ85</f>
        <v>-2.2737367544323206E-13</v>
      </c>
      <c r="AR95" s="1333">
        <f>(+HLOOKUP(AR4,'תחשיב עלות תפעול לשנת 2016'!$4:$148,84,0))*(AR11/AR12)*AR6-AR90-AR91-AR92-AR84-AR85</f>
        <v>-1.7053025658242404E-13</v>
      </c>
      <c r="AS95" s="1333">
        <f>(+HLOOKUP(AS4,'תחשיב עלות תפעול לשנת 2016'!$4:$148,84,0))*(AS11/AS12)*AS6-AS90-AS91-AS92-AS84-AS85</f>
        <v>0.46755692939336768</v>
      </c>
      <c r="AT95" s="1333">
        <f>(+HLOOKUP(AT4,'תחשיב עלות תפעול לשנת 2016'!$4:$148,84,0))*(AT11/AT12)*AT6-AT90-AT91-AT92-AT84-AT85</f>
        <v>8.1931289999658929E-2</v>
      </c>
      <c r="AU95" s="1333">
        <f>(+HLOOKUP(AU4,'תחשיב עלות תפעול לשנת 2016'!$4:$148,84,0))*(AU11/AU12)*AU6-AU90-AU91-AU92-AU84-AU85</f>
        <v>-2.2737367544323206E-13</v>
      </c>
      <c r="AV95" s="1333">
        <f>(+HLOOKUP(AV4,'תחשיב עלות תפעול לשנת 2016'!$4:$148,84,0))*(AV11/AV12)*AV6-AV90-AV91-AV92-AV84-AV85</f>
        <v>0</v>
      </c>
      <c r="AW95" s="1333">
        <f>(+HLOOKUP(AW4,'תחשיב עלות תפעול לשנת 2016'!$4:$148,84,0))*(AW11/AW12)*AW6-AW90-AW91-AW92-AW84-AW85</f>
        <v>0.26831407781492089</v>
      </c>
      <c r="AX95" s="1333">
        <f>(+HLOOKUP(AX4,'תחשיב עלות תפעול לשנת 2016'!$4:$148,84,0))*(AX11/AX12)*AX6-AX90-AX91-AX92-AX84-AX85</f>
        <v>0.43467097083043882</v>
      </c>
      <c r="AY95" s="1333">
        <f>(+HLOOKUP(AY4,'תחשיב עלות תפעול לשנת 2016'!$4:$148,84,0))*(AY11/AY12)*AY6-AY90-AY91-AY92-AY84-AY85</f>
        <v>9.3566333640637822E-2</v>
      </c>
      <c r="AZ95" s="1333">
        <f>(+HLOOKUP(AZ4,'תחשיב עלות תפעול לשנת 2016'!$4:$148,84,0))*(AZ11/AZ12)*AZ6-AZ90-AZ91-AZ92-AZ84-AZ85</f>
        <v>9.3666605436965256E-2</v>
      </c>
      <c r="BA95" s="1333">
        <f>(+HLOOKUP(BA4,'תחשיב עלות תפעול לשנת 2016'!$4:$148,84,0))*(BA11/BA12)*BA6-BA90-BA91-BA92-BA84-BA85</f>
        <v>0</v>
      </c>
      <c r="BB95" s="1333">
        <f>(+HLOOKUP(BB4,'תחשיב עלות תפעול לשנת 2016'!$4:$148,84,0))*(BB11/BB12)*BB6-BB90-BB91-BB92-BB84-BB85</f>
        <v>0.20447321999984069</v>
      </c>
      <c r="BC95" s="1333">
        <f>(+HLOOKUP(BC4,'תחשיב עלות תפעול לשנת 2016'!$4:$148,84,0))*(BC11/BC12)*BC6-BC90-BC91-BC92-BC84-BC85</f>
        <v>0.12524916607171122</v>
      </c>
      <c r="BD95" s="1333">
        <f>(+HLOOKUP(BD4,'תחשיב עלות תפעול לשנת 2016'!$4:$148,84,0))*(BD11/BD12)*BD6-BD90-BD91-BD92-BD84-BD85</f>
        <v>0.16262322845844324</v>
      </c>
      <c r="BE95" s="1333">
        <f>(+HLOOKUP(BE4,'תחשיב עלות תפעול לשנת 2016'!$4:$148,84,0))*(BE11/BE12)*BE6-BE90-BE91-BE92-BE84-BE85</f>
        <v>224.55947985514277</v>
      </c>
      <c r="BF95" s="1333">
        <f>(+HLOOKUP(BF4,'תחשיב עלות תפעול לשנת 2016'!$4:$148,84,0))*(BF11/BF12)*BF6-BF90-BF91-BF92-BF84-BF85</f>
        <v>-4.2632564145606011E-14</v>
      </c>
      <c r="BG95" s="374"/>
      <c r="BH95" s="374"/>
      <c r="BI95" s="374"/>
      <c r="BJ95" s="374"/>
      <c r="BK95" s="374"/>
      <c r="BL95" s="374"/>
      <c r="BM95" s="374"/>
      <c r="BN95" s="374"/>
      <c r="BO95" s="374"/>
      <c r="BP95" s="374"/>
      <c r="BQ95" s="374"/>
      <c r="BR95" s="374"/>
      <c r="BS95" s="374"/>
      <c r="BT95" s="374"/>
      <c r="BU95" s="374"/>
      <c r="BV95" s="374"/>
      <c r="BW95" s="374"/>
      <c r="BX95" s="374"/>
      <c r="BY95" s="374"/>
      <c r="BZ95" s="374"/>
      <c r="CA95" s="374"/>
      <c r="CB95" s="374"/>
      <c r="CC95" s="374"/>
      <c r="CD95" s="374"/>
      <c r="CE95" s="374"/>
      <c r="CF95" s="374"/>
      <c r="CG95" s="374"/>
      <c r="CH95" s="374"/>
      <c r="CI95" s="374"/>
      <c r="CJ95" s="374"/>
      <c r="CK95" s="374"/>
      <c r="CL95" s="374"/>
      <c r="CM95" s="374"/>
      <c r="CN95" s="374"/>
      <c r="CO95" s="374"/>
      <c r="CP95" s="374"/>
      <c r="CQ95" s="374"/>
      <c r="CR95" s="374"/>
      <c r="CS95" s="374"/>
      <c r="CT95" s="374"/>
      <c r="CU95" s="374"/>
      <c r="CV95" s="374"/>
      <c r="CW95" s="374"/>
      <c r="CX95" s="374"/>
      <c r="CY95" s="374"/>
      <c r="CZ95" s="374"/>
      <c r="DA95" s="374"/>
      <c r="DB95" s="374"/>
      <c r="DC95" s="374"/>
      <c r="DD95" s="374"/>
      <c r="DE95" s="374"/>
      <c r="DF95" s="374"/>
      <c r="DG95" s="374"/>
      <c r="DH95" s="374"/>
      <c r="DI95" s="374"/>
      <c r="DJ95" s="374"/>
      <c r="DK95" s="374"/>
      <c r="DL95" s="374"/>
      <c r="DM95" s="374"/>
      <c r="DN95" s="374"/>
      <c r="DO95" s="374"/>
      <c r="DP95" s="374"/>
      <c r="DQ95" s="374"/>
      <c r="DR95" s="374"/>
      <c r="DS95" s="374"/>
      <c r="DT95" s="374"/>
      <c r="DU95" s="374"/>
      <c r="DV95" s="374"/>
      <c r="DW95" s="374"/>
      <c r="DX95" s="374"/>
      <c r="DY95" s="374"/>
      <c r="DZ95" s="374"/>
      <c r="EA95" s="374"/>
      <c r="EB95" s="374"/>
      <c r="EC95" s="374"/>
      <c r="ED95" s="374"/>
      <c r="EE95" s="374"/>
      <c r="EF95" s="374"/>
      <c r="EG95" s="374"/>
      <c r="EH95" s="374"/>
      <c r="EI95" s="374"/>
      <c r="EJ95" s="374"/>
      <c r="EK95" s="374"/>
      <c r="EL95" s="374"/>
      <c r="EM95" s="374"/>
      <c r="EN95" s="374"/>
      <c r="EO95" s="374"/>
      <c r="EP95" s="374"/>
      <c r="EQ95" s="374"/>
      <c r="ER95" s="374"/>
      <c r="ES95" s="374"/>
      <c r="ET95" s="374"/>
      <c r="EU95" s="374"/>
      <c r="EV95" s="374"/>
      <c r="EW95" s="374"/>
      <c r="EX95" s="374"/>
      <c r="EY95" s="374"/>
      <c r="EZ95" s="374"/>
      <c r="FA95" s="374"/>
      <c r="FB95" s="374"/>
      <c r="FC95" s="374"/>
      <c r="FD95" s="374"/>
      <c r="FE95" s="374"/>
      <c r="FF95" s="374"/>
      <c r="FG95" s="374"/>
      <c r="FH95" s="374"/>
      <c r="FI95" s="374"/>
      <c r="FJ95" s="374"/>
      <c r="FK95" s="374"/>
      <c r="FL95" s="374"/>
      <c r="FM95" s="374"/>
      <c r="FN95" s="374"/>
      <c r="FO95" s="374"/>
      <c r="FP95" s="374"/>
      <c r="FQ95" s="374"/>
      <c r="FR95" s="374"/>
      <c r="FS95" s="374"/>
      <c r="FT95" s="374"/>
      <c r="FU95" s="374"/>
      <c r="FV95" s="374"/>
      <c r="FW95" s="374"/>
      <c r="FX95" s="374"/>
      <c r="FY95" s="374"/>
      <c r="FZ95" s="374"/>
      <c r="GA95" s="374"/>
      <c r="GB95" s="374"/>
      <c r="GC95" s="374"/>
      <c r="GD95" s="374"/>
      <c r="GE95" s="374"/>
      <c r="GF95" s="374"/>
      <c r="GG95" s="374"/>
      <c r="GH95" s="374"/>
      <c r="GI95" s="374"/>
      <c r="GJ95" s="374"/>
      <c r="GK95" s="374"/>
      <c r="GL95" s="374"/>
      <c r="GM95" s="374"/>
      <c r="GN95" s="374"/>
      <c r="GO95" s="374"/>
      <c r="GP95" s="374"/>
      <c r="GQ95" s="374"/>
      <c r="GR95" s="374"/>
      <c r="GS95" s="374"/>
      <c r="GT95" s="374"/>
      <c r="GU95" s="374"/>
      <c r="GV95" s="374"/>
      <c r="GW95" s="374"/>
      <c r="GX95" s="374"/>
      <c r="GY95" s="374"/>
      <c r="GZ95" s="374"/>
      <c r="HA95" s="374"/>
      <c r="HB95" s="374"/>
      <c r="HC95" s="374"/>
      <c r="HD95" s="374"/>
      <c r="HE95" s="374"/>
      <c r="HF95" s="374"/>
      <c r="HG95" s="374"/>
      <c r="HH95" s="374"/>
      <c r="HI95" s="374"/>
      <c r="HJ95" s="374"/>
      <c r="HK95" s="374"/>
      <c r="HL95" s="374"/>
      <c r="HM95" s="374"/>
      <c r="HN95" s="374"/>
      <c r="HO95" s="374"/>
      <c r="HP95" s="374"/>
      <c r="HQ95" s="374"/>
      <c r="HR95" s="374"/>
      <c r="HS95" s="374"/>
      <c r="HT95" s="374"/>
      <c r="HU95" s="374"/>
      <c r="HV95" s="374"/>
      <c r="HW95" s="374"/>
      <c r="HX95" s="374"/>
      <c r="HY95" s="374"/>
      <c r="HZ95" s="374"/>
      <c r="IA95" s="374"/>
      <c r="IB95" s="374"/>
      <c r="IC95" s="374"/>
      <c r="ID95" s="374"/>
      <c r="IE95" s="374"/>
      <c r="IF95" s="374"/>
      <c r="IG95" s="374"/>
      <c r="IH95" s="374"/>
      <c r="II95" s="374"/>
      <c r="IJ95" s="374"/>
      <c r="IK95" s="374"/>
      <c r="IL95" s="374"/>
      <c r="IM95" s="374"/>
      <c r="IN95" s="374"/>
      <c r="IO95" s="374"/>
    </row>
    <row r="96" spans="1:249" s="622" customFormat="1" ht="14.25" x14ac:dyDescent="0.2">
      <c r="A96" s="1339"/>
      <c r="B96" s="1339"/>
      <c r="C96" s="1334" t="s">
        <v>1774</v>
      </c>
      <c r="D96" s="1343">
        <f>(+HLOOKUP(D4,'תחשיב עלות תפעול לשנת 2016'!$4:$150,104,0))*D6</f>
        <v>622.53546249809972</v>
      </c>
      <c r="E96" s="1343">
        <f>(+HLOOKUP(E4,'תחשיב עלות תפעול לשנת 2016'!$4:$150,104,0))*E6</f>
        <v>0</v>
      </c>
      <c r="F96" s="1343">
        <f>(+HLOOKUP(F4,'תחשיב עלות תפעול לשנת 2016'!$4:$150,104,0))*F6</f>
        <v>82.040980602196129</v>
      </c>
      <c r="G96" s="1343">
        <f>(+HLOOKUP(G4,'תחשיב עלות תפעול לשנת 2016'!$4:$150,104,0))*G6</f>
        <v>1245.3584827453171</v>
      </c>
      <c r="H96" s="1343">
        <f>(+HLOOKUP(H4,'תחשיב עלות תפעול לשנת 2016'!$4:$150,104,0))*H6</f>
        <v>2005.4660753104833</v>
      </c>
      <c r="I96" s="1343">
        <f>(+HLOOKUP(I4,'תחשיב עלות תפעול לשנת 2016'!$4:$150,104,0))*I6</f>
        <v>0</v>
      </c>
      <c r="J96" s="1343">
        <f>(+HLOOKUP(J4,'תחשיב עלות תפעול לשנת 2016'!$4:$150,104,0))*J6</f>
        <v>11.735194670957595</v>
      </c>
      <c r="K96" s="1343">
        <f>(+HLOOKUP(K4,'תחשיב עלות תפעול לשנת 2016'!$4:$150,104,0))*K6</f>
        <v>110.43941681532733</v>
      </c>
      <c r="L96" s="1343">
        <f>(+HLOOKUP(L4,'תחשיב עלות תפעול לשנת 2016'!$4:$150,104,0))*L6</f>
        <v>99.017289309001512</v>
      </c>
      <c r="M96" s="1343">
        <f>(+HLOOKUP(M4,'תחשיב עלות תפעול לשנת 2016'!$4:$150,104,0))*M6</f>
        <v>1590.2425631283306</v>
      </c>
      <c r="N96" s="1343">
        <f>(+HLOOKUP(N4,'תחשיב עלות תפעול לשנת 2016'!$4:$150,104,0))*N6</f>
        <v>719.2596914857935</v>
      </c>
      <c r="O96" s="1343">
        <f>(+HLOOKUP(O4,'תחשיב עלות תפעול לשנת 2016'!$4:$150,104,0))*O6</f>
        <v>85.351212544493549</v>
      </c>
      <c r="P96" s="1343">
        <f>(+HLOOKUP(P4,'תחשיב עלות תפעול לשנת 2016'!$4:$150,104,0))*P6</f>
        <v>67.741597009625934</v>
      </c>
      <c r="Q96" s="1343">
        <f>(+HLOOKUP(Q4,'תחשיב עלות תפעול לשנת 2016'!$4:$150,104,0))*Q6</f>
        <v>436.70877330074399</v>
      </c>
      <c r="R96" s="1343">
        <f>(+HLOOKUP(R4,'תחשיב עלות תפעול לשנת 2016'!$4:$150,104,0))*R6</f>
        <v>470.62686272678826</v>
      </c>
      <c r="S96" s="1343">
        <f>(+HLOOKUP(S4,'תחשיב עלות תפעול לשנת 2016'!$4:$150,104,0))*S6</f>
        <v>251.96235262445839</v>
      </c>
      <c r="T96" s="1343">
        <f>(+HLOOKUP(T4,'תחשיב עלות תפעול לשנת 2016'!$4:$150,104,0))*T6</f>
        <v>29.529586931962136</v>
      </c>
      <c r="U96" s="1343">
        <f>(+HLOOKUP(U4,'תחשיב עלות תפעול לשנת 2016'!$4:$150,104,0))*U6</f>
        <v>274.14327866848322</v>
      </c>
      <c r="V96" s="1343">
        <f>(+HLOOKUP(V4,'תחשיב עלות תפעול לשנת 2016'!$4:$150,104,0))*V6</f>
        <v>4623.4139598406755</v>
      </c>
      <c r="W96" s="1343">
        <f>(+HLOOKUP(W4,'תחשיב עלות תפעול לשנת 2016'!$4:$150,104,0))*W6</f>
        <v>6.0029792367162589</v>
      </c>
      <c r="X96" s="1343">
        <f>(+HLOOKUP(X4,'תחשיב עלות תפעול לשנת 2016'!$4:$150,104,0))*X6</f>
        <v>109.50325252345759</v>
      </c>
      <c r="Y96" s="1343">
        <f>(+HLOOKUP(Y4,'תחשיב עלות תפעול לשנת 2016'!$4:$150,104,0))*Y6</f>
        <v>0</v>
      </c>
      <c r="Z96" s="1343">
        <f>(+HLOOKUP(Z4,'תחשיב עלות תפעול לשנת 2016'!$4:$150,104,0))*Z6</f>
        <v>368.01671400538385</v>
      </c>
      <c r="AA96" s="1343">
        <f>(+HLOOKUP(AA4,'תחשיב עלות תפעול לשנת 2016'!$4:$150,104,0))*AA6</f>
        <v>15.414809215056708</v>
      </c>
      <c r="AB96" s="1343">
        <f>(+HLOOKUP(AB4,'תחשיב עלות תפעול לשנת 2016'!$4:$150,104,0))*AB6</f>
        <v>0</v>
      </c>
      <c r="AC96" s="1343">
        <f>(+HLOOKUP(AC4,'תחשיב עלות תפעול לשנת 2016'!$4:$150,104,0))*AC6</f>
        <v>9579.7074063625096</v>
      </c>
      <c r="AD96" s="1343">
        <f>(+HLOOKUP(AD4,'תחשיב עלות תפעול לשנת 2016'!$4:$150,104,0))*AD6</f>
        <v>86.741205692900493</v>
      </c>
      <c r="AE96" s="1343">
        <f>(+HLOOKUP(AE4,'תחשיב עלות תפעול לשנת 2016'!$4:$150,104,0))*AE6</f>
        <v>3.7103457006788112</v>
      </c>
      <c r="AF96" s="1343">
        <f>(+HLOOKUP(AF4,'תחשיב עלות תפעול לשנת 2016'!$4:$150,104,0))*AF6</f>
        <v>990.03998584424016</v>
      </c>
      <c r="AG96" s="1343">
        <f>(+HLOOKUP(AG4,'תחשיב עלות תפעול לשנת 2016'!$4:$150,104,0))*AG6</f>
        <v>277.84445035974875</v>
      </c>
      <c r="AH96" s="1343">
        <f>(+HLOOKUP(AH4,'תחשיב עלות תפעול לשנת 2016'!$4:$150,104,0))*AH6</f>
        <v>1.0019975861955754</v>
      </c>
      <c r="AI96" s="1343">
        <f>(+HLOOKUP(AI4,'תחשיב עלות תפעול לשנת 2016'!$4:$150,104,0))*AI6</f>
        <v>36.459428917094137</v>
      </c>
      <c r="AJ96" s="1343">
        <f>(+HLOOKUP(AJ4,'תחשיב עלות תפעול לשנת 2016'!$4:$150,104,0))*AJ6</f>
        <v>0</v>
      </c>
      <c r="AK96" s="1343">
        <f>(+HLOOKUP(AK4,'תחשיב עלות תפעול לשנת 2016'!$4:$150,104,0))*AK6</f>
        <v>0</v>
      </c>
      <c r="AL96" s="1343">
        <f>(+HLOOKUP(AL4,'תחשיב עלות תפעול לשנת 2016'!$4:$150,104,0))*AL6</f>
        <v>69.277713633773089</v>
      </c>
      <c r="AM96" s="1343">
        <f>(+HLOOKUP(AM4,'תחשיב עלות תפעול לשנת 2016'!$4:$150,104,0))*AM6</f>
        <v>1766.455127073275</v>
      </c>
      <c r="AN96" s="1343">
        <f>(+HLOOKUP(AN4,'תחשיב עלות תפעול לשנת 2016'!$4:$150,104,0))*AN6</f>
        <v>0</v>
      </c>
      <c r="AO96" s="1343">
        <f>(+HLOOKUP(AO4,'תחשיב עלות תפעול לשנת 2016'!$4:$150,104,0))*AO6</f>
        <v>136.70505768946919</v>
      </c>
      <c r="AP96" s="1343">
        <f>(+HLOOKUP(AP4,'תחשיב עלות תפעול לשנת 2016'!$4:$150,104,0))*AP6</f>
        <v>0</v>
      </c>
      <c r="AQ96" s="1343">
        <f>(+HLOOKUP(AQ4,'תחשיב עלות תפעול לשנת 2016'!$4:$150,104,0))*AQ6</f>
        <v>126.81056566133054</v>
      </c>
      <c r="AR96" s="1343">
        <f>(+HLOOKUP(AR4,'תחשיב עלות תפעול לשנת 2016'!$4:$150,104,0))*AR6</f>
        <v>0</v>
      </c>
      <c r="AS96" s="1343">
        <f>(+HLOOKUP(AS4,'תחשיב עלות תפעול לשנת 2016'!$4:$150,104,0))*AS6</f>
        <v>14.358248864956655</v>
      </c>
      <c r="AT96" s="1343">
        <f>(+HLOOKUP(AT4,'תחשיב עלות תפעול לשנת 2016'!$4:$150,104,0))*AT6</f>
        <v>242.72709352247276</v>
      </c>
      <c r="AU96" s="1343">
        <f>(+HLOOKUP(AU4,'תחשיב עלות תפעול לשנת 2016'!$4:$150,104,0))*AU6</f>
        <v>0</v>
      </c>
      <c r="AV96" s="1343">
        <f>(+HLOOKUP(AV4,'תחשיב עלות תפעול לשנת 2016'!$4:$150,104,0))*AV6</f>
        <v>4.4705090556557421</v>
      </c>
      <c r="AW96" s="1343">
        <f>(+HLOOKUP(AW4,'תחשיב עלות תפעול לשנת 2016'!$4:$150,104,0))*AW6</f>
        <v>0</v>
      </c>
      <c r="AX96" s="1343">
        <f>(+HLOOKUP(AX4,'תחשיב עלות תפעול לשנת 2016'!$4:$150,104,0))*AX6</f>
        <v>12.624521166534723</v>
      </c>
      <c r="AY96" s="1343">
        <f>(+HLOOKUP(AY4,'תחשיב עלות תפעול לשנת 2016'!$4:$150,104,0))*AY6</f>
        <v>1583.3166601965918</v>
      </c>
      <c r="AZ96" s="1343">
        <f>(+HLOOKUP(AZ4,'תחשיב עלות תפעול לשנת 2016'!$4:$150,104,0))*AZ6</f>
        <v>528.20951742617058</v>
      </c>
      <c r="BA96" s="1343">
        <f>(+HLOOKUP(BA4,'תחשיב עלות תפעול לשנת 2016'!$4:$150,104,0))*BA6</f>
        <v>0</v>
      </c>
      <c r="BB96" s="1343">
        <f>(+HLOOKUP(BB4,'תחשיב עלות תפעול לשנת 2016'!$4:$150,104,0))*BB6</f>
        <v>0</v>
      </c>
      <c r="BC96" s="1343">
        <f>(+HLOOKUP(BC4,'תחשיב עלות תפעול לשנת 2016'!$4:$150,104,0))*BC6</f>
        <v>0</v>
      </c>
      <c r="BD96" s="1343">
        <f>(+HLOOKUP(BD4,'תחשיב עלות תפעול לשנת 2016'!$4:$150,104,0))*BD6</f>
        <v>0</v>
      </c>
      <c r="BE96" s="1343">
        <f>(+HLOOKUP(BE4,'תחשיב עלות תפעול לשנת 2016'!$4:$150,104,0))*BE6</f>
        <v>0</v>
      </c>
      <c r="BF96" s="1343">
        <f>(+HLOOKUP(BF4,'תחשיב עלות תפעול לשנת 2016'!$4:$150,104,0))*BF6</f>
        <v>0</v>
      </c>
      <c r="BG96" s="374"/>
      <c r="BH96" s="374"/>
      <c r="BI96" s="374"/>
      <c r="BJ96" s="374"/>
      <c r="BK96" s="374"/>
      <c r="BL96" s="374"/>
      <c r="BM96" s="374"/>
      <c r="BN96" s="374"/>
      <c r="BO96" s="374"/>
      <c r="BP96" s="374"/>
      <c r="BQ96" s="374"/>
      <c r="BR96" s="374"/>
      <c r="BS96" s="374"/>
      <c r="BT96" s="374"/>
      <c r="BU96" s="374"/>
      <c r="BV96" s="374"/>
      <c r="BW96" s="374"/>
      <c r="BX96" s="374"/>
      <c r="BY96" s="374"/>
      <c r="BZ96" s="374"/>
      <c r="CA96" s="374"/>
      <c r="CB96" s="374"/>
      <c r="CC96" s="374"/>
      <c r="CD96" s="374"/>
      <c r="CE96" s="374"/>
      <c r="CF96" s="374"/>
      <c r="CG96" s="374"/>
      <c r="CH96" s="374"/>
      <c r="CI96" s="374"/>
      <c r="CJ96" s="374"/>
      <c r="CK96" s="374"/>
      <c r="CL96" s="374"/>
      <c r="CM96" s="374"/>
      <c r="CN96" s="374"/>
      <c r="CO96" s="374"/>
      <c r="CP96" s="374"/>
      <c r="CQ96" s="374"/>
      <c r="CR96" s="374"/>
      <c r="CS96" s="374"/>
      <c r="CT96" s="374"/>
      <c r="CU96" s="374"/>
      <c r="CV96" s="374"/>
      <c r="CW96" s="374"/>
      <c r="CX96" s="374"/>
      <c r="CY96" s="374"/>
      <c r="CZ96" s="374"/>
      <c r="DA96" s="374"/>
      <c r="DB96" s="374"/>
      <c r="DC96" s="374"/>
      <c r="DD96" s="374"/>
      <c r="DE96" s="374"/>
      <c r="DF96" s="374"/>
      <c r="DG96" s="374"/>
      <c r="DH96" s="374"/>
      <c r="DI96" s="374"/>
      <c r="DJ96" s="374"/>
      <c r="DK96" s="374"/>
      <c r="DL96" s="374"/>
      <c r="DM96" s="374"/>
      <c r="DN96" s="374"/>
      <c r="DO96" s="374"/>
      <c r="DP96" s="374"/>
      <c r="DQ96" s="374"/>
      <c r="DR96" s="374"/>
      <c r="DS96" s="374"/>
      <c r="DT96" s="374"/>
      <c r="DU96" s="374"/>
      <c r="DV96" s="374"/>
      <c r="DW96" s="374"/>
      <c r="DX96" s="374"/>
      <c r="DY96" s="374"/>
      <c r="DZ96" s="374"/>
      <c r="EA96" s="374"/>
      <c r="EB96" s="374"/>
      <c r="EC96" s="374"/>
      <c r="ED96" s="374"/>
      <c r="EE96" s="374"/>
      <c r="EF96" s="374"/>
      <c r="EG96" s="374"/>
      <c r="EH96" s="374"/>
      <c r="EI96" s="374"/>
      <c r="EJ96" s="374"/>
      <c r="EK96" s="374"/>
      <c r="EL96" s="374"/>
      <c r="EM96" s="374"/>
      <c r="EN96" s="374"/>
      <c r="EO96" s="374"/>
      <c r="EP96" s="374"/>
      <c r="EQ96" s="374"/>
      <c r="ER96" s="374"/>
      <c r="ES96" s="374"/>
      <c r="ET96" s="374"/>
      <c r="EU96" s="374"/>
      <c r="EV96" s="374"/>
      <c r="EW96" s="374"/>
      <c r="EX96" s="374"/>
      <c r="EY96" s="374"/>
      <c r="EZ96" s="374"/>
      <c r="FA96" s="374"/>
      <c r="FB96" s="374"/>
      <c r="FC96" s="374"/>
      <c r="FD96" s="374"/>
      <c r="FE96" s="374"/>
      <c r="FF96" s="374"/>
      <c r="FG96" s="374"/>
      <c r="FH96" s="374"/>
      <c r="FI96" s="374"/>
      <c r="FJ96" s="374"/>
      <c r="FK96" s="374"/>
      <c r="FL96" s="374"/>
      <c r="FM96" s="374"/>
      <c r="FN96" s="374"/>
      <c r="FO96" s="374"/>
      <c r="FP96" s="374"/>
      <c r="FQ96" s="374"/>
      <c r="FR96" s="374"/>
      <c r="FS96" s="374"/>
      <c r="FT96" s="374"/>
      <c r="FU96" s="374"/>
      <c r="FV96" s="374"/>
      <c r="FW96" s="374"/>
      <c r="FX96" s="374"/>
      <c r="FY96" s="374"/>
      <c r="FZ96" s="374"/>
      <c r="GA96" s="374"/>
      <c r="GB96" s="374"/>
      <c r="GC96" s="374"/>
      <c r="GD96" s="374"/>
      <c r="GE96" s="374"/>
      <c r="GF96" s="374"/>
      <c r="GG96" s="374"/>
      <c r="GH96" s="374"/>
      <c r="GI96" s="374"/>
      <c r="GJ96" s="374"/>
      <c r="GK96" s="374"/>
      <c r="GL96" s="374"/>
      <c r="GM96" s="374"/>
      <c r="GN96" s="374"/>
      <c r="GO96" s="374"/>
      <c r="GP96" s="374"/>
      <c r="GQ96" s="374"/>
      <c r="GR96" s="374"/>
      <c r="GS96" s="374"/>
      <c r="GT96" s="374"/>
      <c r="GU96" s="374"/>
      <c r="GV96" s="374"/>
      <c r="GW96" s="374"/>
      <c r="GX96" s="374"/>
      <c r="GY96" s="374"/>
      <c r="GZ96" s="374"/>
      <c r="HA96" s="374"/>
      <c r="HB96" s="374"/>
      <c r="HC96" s="374"/>
      <c r="HD96" s="374"/>
      <c r="HE96" s="374"/>
      <c r="HF96" s="374"/>
      <c r="HG96" s="374"/>
      <c r="HH96" s="374"/>
      <c r="HI96" s="374"/>
      <c r="HJ96" s="374"/>
      <c r="HK96" s="374"/>
      <c r="HL96" s="374"/>
      <c r="HM96" s="374"/>
      <c r="HN96" s="374"/>
      <c r="HO96" s="374"/>
      <c r="HP96" s="374"/>
      <c r="HQ96" s="374"/>
      <c r="HR96" s="374"/>
      <c r="HS96" s="374"/>
      <c r="HT96" s="374"/>
      <c r="HU96" s="374"/>
      <c r="HV96" s="374"/>
      <c r="HW96" s="374"/>
      <c r="HX96" s="374"/>
      <c r="HY96" s="374"/>
      <c r="HZ96" s="374"/>
      <c r="IA96" s="374"/>
      <c r="IB96" s="374"/>
      <c r="IC96" s="374"/>
      <c r="ID96" s="374"/>
      <c r="IE96" s="374"/>
      <c r="IF96" s="374"/>
      <c r="IG96" s="374"/>
      <c r="IH96" s="374"/>
      <c r="II96" s="374"/>
      <c r="IJ96" s="374"/>
      <c r="IK96" s="374"/>
      <c r="IL96" s="374"/>
      <c r="IM96" s="374"/>
      <c r="IN96" s="374"/>
      <c r="IO96" s="374"/>
    </row>
    <row r="97" spans="1:249" s="622" customFormat="1" ht="14.25" x14ac:dyDescent="0.2">
      <c r="A97" s="1339"/>
      <c r="B97" s="1339"/>
      <c r="C97" s="1334"/>
      <c r="D97" s="1343"/>
      <c r="E97" s="1343"/>
      <c r="F97" s="1343"/>
      <c r="G97" s="1343"/>
      <c r="H97" s="1332"/>
      <c r="I97" s="1343"/>
      <c r="J97" s="1343"/>
      <c r="K97" s="1343"/>
      <c r="L97" s="1343"/>
      <c r="M97" s="1343"/>
      <c r="N97" s="1343"/>
      <c r="O97" s="1343"/>
      <c r="P97" s="1343"/>
      <c r="Q97" s="1343"/>
      <c r="R97" s="1343"/>
      <c r="S97" s="1343"/>
      <c r="T97" s="1343"/>
      <c r="U97" s="1343"/>
      <c r="V97" s="1343"/>
      <c r="W97" s="1343"/>
      <c r="X97" s="1343"/>
      <c r="Y97" s="1343"/>
      <c r="Z97" s="1343"/>
      <c r="AA97" s="1343"/>
      <c r="AB97" s="1343"/>
      <c r="AC97" s="1343"/>
      <c r="AD97" s="1343"/>
      <c r="AE97" s="1343"/>
      <c r="AF97" s="1343"/>
      <c r="AG97" s="1343"/>
      <c r="AH97" s="1343"/>
      <c r="AI97" s="1343"/>
      <c r="AJ97" s="1343"/>
      <c r="AK97" s="1343"/>
      <c r="AL97" s="1343"/>
      <c r="AM97" s="1343"/>
      <c r="AN97" s="1343"/>
      <c r="AO97" s="1343"/>
      <c r="AP97" s="1343"/>
      <c r="AQ97" s="1343"/>
      <c r="AR97" s="1343"/>
      <c r="AS97" s="1343"/>
      <c r="AT97" s="1343"/>
      <c r="AU97" s="1343"/>
      <c r="AV97" s="1343"/>
      <c r="AW97" s="1343"/>
      <c r="AX97" s="1343"/>
      <c r="AY97" s="1343"/>
      <c r="AZ97" s="1343"/>
      <c r="BA97" s="1343"/>
      <c r="BB97" s="1343"/>
      <c r="BC97" s="1343"/>
      <c r="BD97" s="1343"/>
      <c r="BE97" s="1343"/>
      <c r="BF97" s="1343"/>
      <c r="BG97" s="374"/>
      <c r="BH97" s="374"/>
      <c r="BI97" s="374"/>
      <c r="BJ97" s="374"/>
      <c r="BK97" s="374"/>
      <c r="BL97" s="374"/>
      <c r="BM97" s="374"/>
      <c r="BN97" s="374"/>
      <c r="BO97" s="374"/>
      <c r="BP97" s="374"/>
      <c r="BQ97" s="374"/>
      <c r="BR97" s="374"/>
      <c r="BS97" s="374"/>
      <c r="BT97" s="374"/>
      <c r="BU97" s="374"/>
      <c r="BV97" s="374"/>
      <c r="BW97" s="374"/>
      <c r="BX97" s="374"/>
      <c r="BY97" s="374"/>
      <c r="BZ97" s="374"/>
      <c r="CA97" s="374"/>
      <c r="CB97" s="374"/>
      <c r="CC97" s="374"/>
      <c r="CD97" s="374"/>
      <c r="CE97" s="374"/>
      <c r="CF97" s="374"/>
      <c r="CG97" s="374"/>
      <c r="CH97" s="374"/>
      <c r="CI97" s="374"/>
      <c r="CJ97" s="374"/>
      <c r="CK97" s="374"/>
      <c r="CL97" s="374"/>
      <c r="CM97" s="374"/>
      <c r="CN97" s="374"/>
      <c r="CO97" s="374"/>
      <c r="CP97" s="374"/>
      <c r="CQ97" s="374"/>
      <c r="CR97" s="374"/>
      <c r="CS97" s="374"/>
      <c r="CT97" s="374"/>
      <c r="CU97" s="374"/>
      <c r="CV97" s="374"/>
      <c r="CW97" s="374"/>
      <c r="CX97" s="374"/>
      <c r="CY97" s="374"/>
      <c r="CZ97" s="374"/>
      <c r="DA97" s="374"/>
      <c r="DB97" s="374"/>
      <c r="DC97" s="374"/>
      <c r="DD97" s="374"/>
      <c r="DE97" s="374"/>
      <c r="DF97" s="374"/>
      <c r="DG97" s="374"/>
      <c r="DH97" s="374"/>
      <c r="DI97" s="374"/>
      <c r="DJ97" s="374"/>
      <c r="DK97" s="374"/>
      <c r="DL97" s="374"/>
      <c r="DM97" s="374"/>
      <c r="DN97" s="374"/>
      <c r="DO97" s="374"/>
      <c r="DP97" s="374"/>
      <c r="DQ97" s="374"/>
      <c r="DR97" s="374"/>
      <c r="DS97" s="374"/>
      <c r="DT97" s="374"/>
      <c r="DU97" s="374"/>
      <c r="DV97" s="374"/>
      <c r="DW97" s="374"/>
      <c r="DX97" s="374"/>
      <c r="DY97" s="374"/>
      <c r="DZ97" s="374"/>
      <c r="EA97" s="374"/>
      <c r="EB97" s="374"/>
      <c r="EC97" s="374"/>
      <c r="ED97" s="374"/>
      <c r="EE97" s="374"/>
      <c r="EF97" s="374"/>
      <c r="EG97" s="374"/>
      <c r="EH97" s="374"/>
      <c r="EI97" s="374"/>
      <c r="EJ97" s="374"/>
      <c r="EK97" s="374"/>
      <c r="EL97" s="374"/>
      <c r="EM97" s="374"/>
      <c r="EN97" s="374"/>
      <c r="EO97" s="374"/>
      <c r="EP97" s="374"/>
      <c r="EQ97" s="374"/>
      <c r="ER97" s="374"/>
      <c r="ES97" s="374"/>
      <c r="ET97" s="374"/>
      <c r="EU97" s="374"/>
      <c r="EV97" s="374"/>
      <c r="EW97" s="374"/>
      <c r="EX97" s="374"/>
      <c r="EY97" s="374"/>
      <c r="EZ97" s="374"/>
      <c r="FA97" s="374"/>
      <c r="FB97" s="374"/>
      <c r="FC97" s="374"/>
      <c r="FD97" s="374"/>
      <c r="FE97" s="374"/>
      <c r="FF97" s="374"/>
      <c r="FG97" s="374"/>
      <c r="FH97" s="374"/>
      <c r="FI97" s="374"/>
      <c r="FJ97" s="374"/>
      <c r="FK97" s="374"/>
      <c r="FL97" s="374"/>
      <c r="FM97" s="374"/>
      <c r="FN97" s="374"/>
      <c r="FO97" s="374"/>
      <c r="FP97" s="374"/>
      <c r="FQ97" s="374"/>
      <c r="FR97" s="374"/>
      <c r="FS97" s="374"/>
      <c r="FT97" s="374"/>
      <c r="FU97" s="374"/>
      <c r="FV97" s="374"/>
      <c r="FW97" s="374"/>
      <c r="FX97" s="374"/>
      <c r="FY97" s="374"/>
      <c r="FZ97" s="374"/>
      <c r="GA97" s="374"/>
      <c r="GB97" s="374"/>
      <c r="GC97" s="374"/>
      <c r="GD97" s="374"/>
      <c r="GE97" s="374"/>
      <c r="GF97" s="374"/>
      <c r="GG97" s="374"/>
      <c r="GH97" s="374"/>
      <c r="GI97" s="374"/>
      <c r="GJ97" s="374"/>
      <c r="GK97" s="374"/>
      <c r="GL97" s="374"/>
      <c r="GM97" s="374"/>
      <c r="GN97" s="374"/>
      <c r="GO97" s="374"/>
      <c r="GP97" s="374"/>
      <c r="GQ97" s="374"/>
      <c r="GR97" s="374"/>
      <c r="GS97" s="374"/>
      <c r="GT97" s="374"/>
      <c r="GU97" s="374"/>
      <c r="GV97" s="374"/>
      <c r="GW97" s="374"/>
      <c r="GX97" s="374"/>
      <c r="GY97" s="374"/>
      <c r="GZ97" s="374"/>
      <c r="HA97" s="374"/>
      <c r="HB97" s="374"/>
      <c r="HC97" s="374"/>
      <c r="HD97" s="374"/>
      <c r="HE97" s="374"/>
      <c r="HF97" s="374"/>
      <c r="HG97" s="374"/>
      <c r="HH97" s="374"/>
      <c r="HI97" s="374"/>
      <c r="HJ97" s="374"/>
      <c r="HK97" s="374"/>
      <c r="HL97" s="374"/>
      <c r="HM97" s="374"/>
      <c r="HN97" s="374"/>
      <c r="HO97" s="374"/>
      <c r="HP97" s="374"/>
      <c r="HQ97" s="374"/>
      <c r="HR97" s="374"/>
      <c r="HS97" s="374"/>
      <c r="HT97" s="374"/>
      <c r="HU97" s="374"/>
      <c r="HV97" s="374"/>
      <c r="HW97" s="374"/>
      <c r="HX97" s="374"/>
      <c r="HY97" s="374"/>
      <c r="HZ97" s="374"/>
      <c r="IA97" s="374"/>
      <c r="IB97" s="374"/>
      <c r="IC97" s="374"/>
      <c r="ID97" s="374"/>
      <c r="IE97" s="374"/>
      <c r="IF97" s="374"/>
      <c r="IG97" s="374"/>
      <c r="IH97" s="374"/>
      <c r="II97" s="374"/>
      <c r="IJ97" s="374"/>
      <c r="IK97" s="374"/>
      <c r="IL97" s="374"/>
      <c r="IM97" s="374"/>
      <c r="IN97" s="374"/>
      <c r="IO97" s="374"/>
    </row>
    <row r="98" spans="1:249" s="622" customFormat="1" x14ac:dyDescent="0.2">
      <c r="BG98" s="374"/>
      <c r="BH98" s="374"/>
      <c r="BI98" s="374"/>
      <c r="BJ98" s="374"/>
      <c r="BK98" s="374"/>
      <c r="BL98" s="374"/>
      <c r="BM98" s="374"/>
      <c r="BN98" s="374"/>
      <c r="BO98" s="374"/>
      <c r="BP98" s="374"/>
      <c r="BQ98" s="374"/>
      <c r="BR98" s="374"/>
      <c r="BS98" s="374"/>
      <c r="BT98" s="374"/>
      <c r="BU98" s="374"/>
      <c r="BV98" s="374"/>
      <c r="BW98" s="374"/>
      <c r="BX98" s="374"/>
      <c r="BY98" s="374"/>
      <c r="BZ98" s="374"/>
      <c r="CA98" s="374"/>
      <c r="CB98" s="374"/>
      <c r="CC98" s="374"/>
      <c r="CD98" s="374"/>
      <c r="CE98" s="374"/>
      <c r="CF98" s="374"/>
      <c r="CG98" s="374"/>
      <c r="CH98" s="374"/>
      <c r="CI98" s="374"/>
      <c r="CJ98" s="374"/>
      <c r="CK98" s="374"/>
      <c r="CL98" s="374"/>
      <c r="CM98" s="374"/>
      <c r="CN98" s="374"/>
      <c r="CO98" s="374"/>
      <c r="CP98" s="374"/>
      <c r="CQ98" s="374"/>
      <c r="CR98" s="374"/>
      <c r="CS98" s="374"/>
      <c r="CT98" s="374"/>
      <c r="CU98" s="374"/>
      <c r="CV98" s="374"/>
      <c r="CW98" s="374"/>
      <c r="CX98" s="374"/>
      <c r="CY98" s="374"/>
      <c r="CZ98" s="374"/>
      <c r="DA98" s="374"/>
      <c r="DB98" s="374"/>
      <c r="DC98" s="374"/>
      <c r="DD98" s="374"/>
      <c r="DE98" s="374"/>
      <c r="DF98" s="374"/>
      <c r="DG98" s="374"/>
      <c r="DH98" s="374"/>
      <c r="DI98" s="374"/>
      <c r="DJ98" s="374"/>
      <c r="DK98" s="374"/>
      <c r="DL98" s="374"/>
      <c r="DM98" s="374"/>
      <c r="DN98" s="374"/>
      <c r="DO98" s="374"/>
      <c r="DP98" s="374"/>
      <c r="DQ98" s="374"/>
      <c r="DR98" s="374"/>
      <c r="DS98" s="374"/>
      <c r="DT98" s="374"/>
      <c r="DU98" s="374"/>
      <c r="DV98" s="374"/>
      <c r="DW98" s="374"/>
      <c r="DX98" s="374"/>
      <c r="DY98" s="374"/>
      <c r="DZ98" s="374"/>
      <c r="EA98" s="374"/>
      <c r="EB98" s="374"/>
      <c r="EC98" s="374"/>
      <c r="ED98" s="374"/>
      <c r="EE98" s="374"/>
      <c r="EF98" s="374"/>
      <c r="EG98" s="374"/>
      <c r="EH98" s="374"/>
      <c r="EI98" s="374"/>
      <c r="EJ98" s="374"/>
      <c r="EK98" s="374"/>
      <c r="EL98" s="374"/>
      <c r="EM98" s="374"/>
      <c r="EN98" s="374"/>
      <c r="EO98" s="374"/>
      <c r="EP98" s="374"/>
      <c r="EQ98" s="374"/>
      <c r="ER98" s="374"/>
      <c r="ES98" s="374"/>
      <c r="ET98" s="374"/>
      <c r="EU98" s="374"/>
      <c r="EV98" s="374"/>
      <c r="EW98" s="374"/>
      <c r="EX98" s="374"/>
      <c r="EY98" s="374"/>
      <c r="EZ98" s="374"/>
      <c r="FA98" s="374"/>
      <c r="FB98" s="374"/>
      <c r="FC98" s="374"/>
      <c r="FD98" s="374"/>
      <c r="FE98" s="374"/>
      <c r="FF98" s="374"/>
      <c r="FG98" s="374"/>
      <c r="FH98" s="374"/>
      <c r="FI98" s="374"/>
      <c r="FJ98" s="374"/>
      <c r="FK98" s="374"/>
      <c r="FL98" s="374"/>
      <c r="FM98" s="374"/>
      <c r="FN98" s="374"/>
      <c r="FO98" s="374"/>
      <c r="FP98" s="374"/>
      <c r="FQ98" s="374"/>
      <c r="FR98" s="374"/>
      <c r="FS98" s="374"/>
      <c r="FT98" s="374"/>
      <c r="FU98" s="374"/>
      <c r="FV98" s="374"/>
      <c r="FW98" s="374"/>
      <c r="FX98" s="374"/>
      <c r="FY98" s="374"/>
      <c r="FZ98" s="374"/>
      <c r="GA98" s="374"/>
      <c r="GB98" s="374"/>
      <c r="GC98" s="374"/>
      <c r="GD98" s="374"/>
      <c r="GE98" s="374"/>
      <c r="GF98" s="374"/>
      <c r="GG98" s="374"/>
      <c r="GH98" s="374"/>
      <c r="GI98" s="374"/>
      <c r="GJ98" s="374"/>
      <c r="GK98" s="374"/>
      <c r="GL98" s="374"/>
      <c r="GM98" s="374"/>
      <c r="GN98" s="374"/>
      <c r="GO98" s="374"/>
      <c r="GP98" s="374"/>
      <c r="GQ98" s="374"/>
      <c r="GR98" s="374"/>
      <c r="GS98" s="374"/>
      <c r="GT98" s="374"/>
      <c r="GU98" s="374"/>
      <c r="GV98" s="374"/>
      <c r="GW98" s="374"/>
      <c r="GX98" s="374"/>
      <c r="GY98" s="374"/>
      <c r="GZ98" s="374"/>
      <c r="HA98" s="374"/>
      <c r="HB98" s="374"/>
      <c r="HC98" s="374"/>
      <c r="HD98" s="374"/>
      <c r="HE98" s="374"/>
      <c r="HF98" s="374"/>
      <c r="HG98" s="374"/>
      <c r="HH98" s="374"/>
      <c r="HI98" s="374"/>
      <c r="HJ98" s="374"/>
      <c r="HK98" s="374"/>
      <c r="HL98" s="374"/>
      <c r="HM98" s="374"/>
      <c r="HN98" s="374"/>
      <c r="HO98" s="374"/>
      <c r="HP98" s="374"/>
      <c r="HQ98" s="374"/>
      <c r="HR98" s="374"/>
      <c r="HS98" s="374"/>
      <c r="HT98" s="374"/>
      <c r="HU98" s="374"/>
      <c r="HV98" s="374"/>
      <c r="HW98" s="374"/>
      <c r="HX98" s="374"/>
      <c r="HY98" s="374"/>
      <c r="HZ98" s="374"/>
      <c r="IA98" s="374"/>
      <c r="IB98" s="374"/>
      <c r="IC98" s="374"/>
      <c r="ID98" s="374"/>
      <c r="IE98" s="374"/>
      <c r="IF98" s="374"/>
      <c r="IG98" s="374"/>
      <c r="IH98" s="374"/>
      <c r="II98" s="374"/>
      <c r="IJ98" s="374"/>
      <c r="IK98" s="374"/>
      <c r="IL98" s="374"/>
      <c r="IM98" s="374"/>
      <c r="IN98" s="374"/>
      <c r="IO98" s="374"/>
    </row>
    <row r="99" spans="1:249" s="622" customFormat="1" ht="12.75" customHeight="1" x14ac:dyDescent="0.2">
      <c r="A99" s="1845" t="s">
        <v>1089</v>
      </c>
      <c r="B99" s="1331">
        <f>IFERROR(VLOOKUP(C99:C100,'[24]ניתוח הוצאות הנהלה'!$B$3:$C$17,2,0),0)</f>
        <v>3</v>
      </c>
      <c r="C99" s="1334" t="s">
        <v>1309</v>
      </c>
      <c r="D99" s="1337">
        <f>+IFERROR(HLOOKUP(D$122,'ניתוח עלויות תפעול'!$D$3:$K$17,$B99,0),0)</f>
        <v>2141.5320000000002</v>
      </c>
      <c r="E99" s="1337">
        <f>+IFERROR(HLOOKUP(E$122,'ניתוח עלויות תפעול'!$D$3:$K$17,$B99,0),0)</f>
        <v>2141.5320000000002</v>
      </c>
      <c r="F99" s="1337">
        <f>+IFERROR(HLOOKUP(F$122,'ניתוח עלויות תפעול'!$D$3:$K$17,$B99,0),0)</f>
        <v>1353.7499999999998</v>
      </c>
      <c r="G99" s="1337">
        <f>+IFERROR(HLOOKUP(G$122,'ניתוח עלויות תפעול'!$D$3:$K$17,$B99,0),0)</f>
        <v>4396.5936000000002</v>
      </c>
      <c r="H99" s="1337">
        <f>+IFERROR(HLOOKUP(H$122,'ניתוח עלויות תפעול'!$D$3:$K$17,$B99,0),0)</f>
        <v>2141.5320000000002</v>
      </c>
      <c r="I99" s="1337">
        <f>+IFERROR(HLOOKUP(I$122,'ניתוח עלויות תפעול'!$D$3:$K$17,$B99,0),0)</f>
        <v>977.02079999999989</v>
      </c>
      <c r="J99" s="1337">
        <f>+IFERROR(HLOOKUP(J$122,'ניתוח עלויות תפעול'!$D$3:$K$17,$B99,0),0)</f>
        <v>1861.134</v>
      </c>
      <c r="K99" s="1337">
        <f>+IFERROR(HLOOKUP(K$122,'ניתוח עלויות תפעול'!$D$3:$K$17,$B99,0),0)</f>
        <v>1861.134</v>
      </c>
      <c r="L99" s="1337">
        <f>+IFERROR(HLOOKUP(L$122,'ניתוח עלויות תפעול'!$D$3:$K$17,$B99,0),0)</f>
        <v>1861.134</v>
      </c>
      <c r="M99" s="1337">
        <f>+IFERROR(HLOOKUP(M$122,'ניתוח עלויות תפעול'!$D$3:$K$17,$B99,0),0)</f>
        <v>1861.134</v>
      </c>
      <c r="N99" s="1337">
        <f>+IFERROR(HLOOKUP(N$122,'ניתוח עלויות תפעול'!$D$3:$K$17,$B99,0),0)</f>
        <v>2141.5320000000002</v>
      </c>
      <c r="O99" s="1337">
        <f>+IFERROR(HLOOKUP(O$122,'ניתוח עלויות תפעול'!$D$3:$K$17,$B99,0),0)</f>
        <v>2141.5320000000002</v>
      </c>
      <c r="P99" s="1337">
        <f>+IFERROR(HLOOKUP(P$122,'ניתוח עלויות תפעול'!$D$3:$K$17,$B99,0),0)</f>
        <v>1861.134</v>
      </c>
      <c r="Q99" s="1337">
        <f>+IFERROR(HLOOKUP(Q$122,'ניתוח עלויות תפעול'!$D$3:$K$17,$B99,0),0)</f>
        <v>1353.7499999999998</v>
      </c>
      <c r="R99" s="1337">
        <f>+IFERROR(HLOOKUP(R$122,'ניתוח עלויות תפעול'!$D$3:$K$17,$B99,0),0)</f>
        <v>2141.5320000000002</v>
      </c>
      <c r="S99" s="1337">
        <f>+IFERROR(HLOOKUP(S$122,'ניתוח עלויות תפעול'!$D$3:$K$17,$B99,0),0)</f>
        <v>2141.5320000000002</v>
      </c>
      <c r="T99" s="1337">
        <f>+IFERROR(HLOOKUP(T$122,'ניתוח עלויות תפעול'!$D$3:$K$17,$B99,0),0)</f>
        <v>2691.924</v>
      </c>
      <c r="U99" s="1337">
        <f>+IFERROR(HLOOKUP(U$122,'ניתוח עלויות תפעול'!$D$3:$K$17,$B99,0),0)</f>
        <v>2141.5320000000002</v>
      </c>
      <c r="V99" s="1337">
        <f>+IFERROR(HLOOKUP(V$122,'ניתוח עלויות תפעול'!$D$3:$K$17,$B99,0),0)</f>
        <v>0</v>
      </c>
      <c r="W99" s="1337">
        <f>+IFERROR(HLOOKUP(W$122,'ניתוח עלויות תפעול'!$D$3:$K$17,$B99,0),0)</f>
        <v>1861.134</v>
      </c>
      <c r="X99" s="1337">
        <f>+IFERROR(HLOOKUP(X$122,'ניתוח עלויות תפעול'!$D$3:$K$17,$B99,0),0)</f>
        <v>2141.5320000000002</v>
      </c>
      <c r="Y99" s="1337">
        <f>+IFERROR(HLOOKUP(Y$122,'ניתוח עלויות תפעול'!$D$3:$K$17,$B99,0),0)</f>
        <v>1861.134</v>
      </c>
      <c r="Z99" s="1337">
        <f>+IFERROR(HLOOKUP(Z$122,'ניתוח עלויות תפעול'!$D$3:$K$17,$B99,0),0)</f>
        <v>1353.7499999999998</v>
      </c>
      <c r="AA99" s="1337">
        <f>+IFERROR(HLOOKUP(AA$122,'ניתוח עלויות תפעול'!$D$3:$K$17,$B99,0),0)</f>
        <v>1353.7499999999998</v>
      </c>
      <c r="AB99" s="1337">
        <f>+IFERROR(HLOOKUP(AB$122,'ניתוח עלויות תפעול'!$D$3:$K$17,$B99,0),0)</f>
        <v>1861.134</v>
      </c>
      <c r="AC99" s="1337">
        <f>+IFERROR(HLOOKUP(AC$122,'ניתוח עלויות תפעול'!$D$3:$K$17,$B99,0),0)</f>
        <v>1353.7499999999998</v>
      </c>
      <c r="AD99" s="1337">
        <f>+IFERROR(HLOOKUP(AD$122,'ניתוח עלויות תפעול'!$D$3:$K$17,$B99,0),0)</f>
        <v>1861.134</v>
      </c>
      <c r="AE99" s="1337">
        <f>+IFERROR(HLOOKUP(AE$122,'ניתוח עלויות תפעול'!$D$3:$K$17,$B99,0),0)</f>
        <v>1353.7499999999998</v>
      </c>
      <c r="AF99" s="1337">
        <f>+IFERROR(HLOOKUP(AF$122,'ניתוח עלויות תפעול'!$D$3:$K$17,$B99,0),0)</f>
        <v>2691.924</v>
      </c>
      <c r="AG99" s="1337">
        <f>+IFERROR(HLOOKUP(AG$122,'ניתוח עלויות תפעול'!$D$3:$K$17,$B99,0),0)</f>
        <v>1861.134</v>
      </c>
      <c r="AH99" s="1337">
        <f>+IFERROR(HLOOKUP(AH$122,'ניתוח עלויות תפעול'!$D$3:$K$17,$B99,0),0)</f>
        <v>1353.7499999999998</v>
      </c>
      <c r="AI99" s="1337">
        <f>+IFERROR(HLOOKUP(AI$122,'ניתוח עלויות תפעול'!$D$3:$K$17,$B99,0),0)</f>
        <v>1861.134</v>
      </c>
      <c r="AJ99" s="1337">
        <f>+IFERROR(HLOOKUP(AJ$122,'ניתוח עלויות תפעול'!$D$3:$K$17,$B99,0),0)</f>
        <v>1353.7499999999998</v>
      </c>
      <c r="AK99" s="1337">
        <f>+IFERROR(HLOOKUP(AK$122,'ניתוח עלויות תפעול'!$D$3:$K$17,$B99,0),0)</f>
        <v>1353.7499999999998</v>
      </c>
      <c r="AL99" s="1337">
        <f>+IFERROR(HLOOKUP(AL$122,'ניתוח עלויות תפעול'!$D$3:$K$17,$B99,0),0)</f>
        <v>1353.7499999999998</v>
      </c>
      <c r="AM99" s="1337">
        <f>+IFERROR(HLOOKUP(AM$122,'ניתוח עלויות תפעול'!$D$3:$K$17,$B99,0),0)</f>
        <v>4429.1609600000002</v>
      </c>
      <c r="AN99" s="1337">
        <f>+IFERROR(HLOOKUP(AN$122,'ניתוח עלויות תפעול'!$D$3:$K$17,$B99,0),0)</f>
        <v>1861.134</v>
      </c>
      <c r="AO99" s="1337">
        <f>+IFERROR(HLOOKUP(AO$122,'ניתוח עלויות תפעול'!$D$3:$K$17,$B99,0),0)</f>
        <v>2141.5320000000002</v>
      </c>
      <c r="AP99" s="1337">
        <f>+IFERROR(HLOOKUP(AP$122,'ניתוח עלויות תפעול'!$D$3:$K$17,$B99,0),0)</f>
        <v>1353.7499999999998</v>
      </c>
      <c r="AQ99" s="1337">
        <f>+IFERROR(HLOOKUP(AQ$122,'ניתוח עלויות תפעול'!$D$3:$K$17,$B99,0),0)</f>
        <v>2141.5320000000002</v>
      </c>
      <c r="AR99" s="1337">
        <f>+IFERROR(HLOOKUP(AR$122,'ניתוח עלויות תפעול'!$D$3:$K$17,$B99,0),0)</f>
        <v>1861.134</v>
      </c>
      <c r="AS99" s="1337">
        <f>+IFERROR(HLOOKUP(AS$122,'ניתוח עלויות תפעול'!$D$3:$K$17,$B99,0),0)</f>
        <v>2141.5320000000002</v>
      </c>
      <c r="AT99" s="1337">
        <f>+IFERROR(HLOOKUP(AT$122,'ניתוח עלויות תפעול'!$D$3:$K$17,$B99,0),0)</f>
        <v>1353.7499999999998</v>
      </c>
      <c r="AU99" s="1337">
        <f>+IFERROR(HLOOKUP(AU$122,'ניתוח עלויות תפעול'!$D$3:$K$17,$B99,0),0)</f>
        <v>1353.7499999999998</v>
      </c>
      <c r="AV99" s="1337">
        <f>+IFERROR(HLOOKUP(AV$122,'ניתוח עלויות תפעול'!$D$3:$K$17,$B99,0),0)</f>
        <v>1353.7499999999998</v>
      </c>
      <c r="AW99" s="1337">
        <f>+IFERROR(HLOOKUP(AW$122,'ניתוח עלויות תפעול'!$D$3:$K$17,$B99,0),0)</f>
        <v>1861.134</v>
      </c>
      <c r="AX99" s="1337">
        <f>+IFERROR(HLOOKUP(AX$122,'ניתוח עלויות תפעול'!$D$3:$K$17,$B99,0),0)</f>
        <v>1861.134</v>
      </c>
      <c r="AY99" s="1337">
        <f>+IFERROR(HLOOKUP(AY$122,'ניתוח עלויות תפעול'!$D$3:$K$17,$B99,0),0)</f>
        <v>2141.5320000000002</v>
      </c>
      <c r="AZ99" s="1337">
        <f>+IFERROR(HLOOKUP(AZ$122,'ניתוח עלויות תפעול'!$D$3:$K$17,$B99,0),0)</f>
        <v>1861.134</v>
      </c>
      <c r="BA99" s="1337">
        <f>+IFERROR(HLOOKUP(BA$122,'ניתוח עלויות תפעול'!$D$3:$K$17,$B99,0),0)</f>
        <v>1861.134</v>
      </c>
      <c r="BB99" s="1337">
        <f>+IFERROR(HLOOKUP(BB$122,'ניתוח עלויות תפעול'!$D$3:$K$17,$B99,0),0)</f>
        <v>1861.134</v>
      </c>
      <c r="BC99" s="1337">
        <f>+IFERROR(HLOOKUP(BC$122,'ניתוח עלויות תפעול'!$D$3:$K$17,$B99,0),0)</f>
        <v>1353.7499999999998</v>
      </c>
      <c r="BD99" s="1337">
        <f>+IFERROR(HLOOKUP(BD$122,'ניתוח עלויות תפעול'!$D$3:$K$17,$B99,0),0)</f>
        <v>1861.134</v>
      </c>
      <c r="BE99" s="1337">
        <f>+IFERROR(HLOOKUP(BE$122,'ניתוח עלויות תפעול'!$D$3:$K$17,$B99,0),0)</f>
        <v>1353.7499999999998</v>
      </c>
      <c r="BF99" s="1337">
        <f>+IFERROR(HLOOKUP(BF$122,'ניתוח עלויות תפעול'!$D$3:$K$17,$B99,0),0)</f>
        <v>1353.7499999999998</v>
      </c>
      <c r="BG99" s="374"/>
      <c r="BH99" s="374"/>
      <c r="BI99" s="374"/>
      <c r="BJ99" s="374"/>
      <c r="BK99" s="374"/>
      <c r="BL99" s="374"/>
      <c r="BM99" s="374"/>
      <c r="BN99" s="374"/>
      <c r="BO99" s="374"/>
      <c r="BP99" s="374"/>
      <c r="BQ99" s="374"/>
      <c r="BR99" s="374"/>
      <c r="BS99" s="374"/>
      <c r="BT99" s="374"/>
      <c r="BU99" s="374"/>
      <c r="BV99" s="374"/>
      <c r="BW99" s="374"/>
      <c r="BX99" s="374"/>
      <c r="BY99" s="374"/>
      <c r="BZ99" s="374"/>
      <c r="CA99" s="374"/>
      <c r="CB99" s="374"/>
      <c r="CC99" s="374"/>
      <c r="CD99" s="374"/>
      <c r="CE99" s="374"/>
      <c r="CF99" s="374"/>
      <c r="CG99" s="374"/>
      <c r="CH99" s="374"/>
      <c r="CI99" s="374"/>
      <c r="CJ99" s="374"/>
      <c r="CK99" s="374"/>
      <c r="CL99" s="374"/>
      <c r="CM99" s="374"/>
      <c r="CN99" s="374"/>
      <c r="CO99" s="374"/>
      <c r="CP99" s="374"/>
      <c r="CQ99" s="374"/>
      <c r="CR99" s="374"/>
      <c r="CS99" s="374"/>
      <c r="CT99" s="374"/>
      <c r="CU99" s="374"/>
      <c r="CV99" s="374"/>
      <c r="CW99" s="374"/>
      <c r="CX99" s="374"/>
      <c r="CY99" s="374"/>
      <c r="CZ99" s="374"/>
      <c r="DA99" s="374"/>
      <c r="DB99" s="374"/>
      <c r="DC99" s="374"/>
      <c r="DD99" s="374"/>
      <c r="DE99" s="374"/>
      <c r="DF99" s="374"/>
      <c r="DG99" s="374"/>
      <c r="DH99" s="374"/>
      <c r="DI99" s="374"/>
      <c r="DJ99" s="374"/>
      <c r="DK99" s="374"/>
      <c r="DL99" s="374"/>
      <c r="DM99" s="374"/>
      <c r="DN99" s="374"/>
      <c r="DO99" s="374"/>
      <c r="DP99" s="374"/>
      <c r="DQ99" s="374"/>
      <c r="DR99" s="374"/>
      <c r="DS99" s="374"/>
      <c r="DT99" s="374"/>
      <c r="DU99" s="374"/>
      <c r="DV99" s="374"/>
      <c r="DW99" s="374"/>
      <c r="DX99" s="374"/>
      <c r="DY99" s="374"/>
      <c r="DZ99" s="374"/>
      <c r="EA99" s="374"/>
      <c r="EB99" s="374"/>
      <c r="EC99" s="374"/>
      <c r="ED99" s="374"/>
      <c r="EE99" s="374"/>
      <c r="EF99" s="374"/>
      <c r="EG99" s="374"/>
      <c r="EH99" s="374"/>
      <c r="EI99" s="374"/>
      <c r="EJ99" s="374"/>
      <c r="EK99" s="374"/>
      <c r="EL99" s="374"/>
      <c r="EM99" s="374"/>
      <c r="EN99" s="374"/>
      <c r="EO99" s="374"/>
      <c r="EP99" s="374"/>
      <c r="EQ99" s="374"/>
      <c r="ER99" s="374"/>
      <c r="ES99" s="374"/>
      <c r="ET99" s="374"/>
      <c r="EU99" s="374"/>
      <c r="EV99" s="374"/>
      <c r="EW99" s="374"/>
      <c r="EX99" s="374"/>
      <c r="EY99" s="374"/>
      <c r="EZ99" s="374"/>
      <c r="FA99" s="374"/>
      <c r="FB99" s="374"/>
      <c r="FC99" s="374"/>
      <c r="FD99" s="374"/>
      <c r="FE99" s="374"/>
      <c r="FF99" s="374"/>
      <c r="FG99" s="374"/>
      <c r="FH99" s="374"/>
      <c r="FI99" s="374"/>
      <c r="FJ99" s="374"/>
      <c r="FK99" s="374"/>
      <c r="FL99" s="374"/>
      <c r="FM99" s="374"/>
      <c r="FN99" s="374"/>
      <c r="FO99" s="374"/>
      <c r="FP99" s="374"/>
      <c r="FQ99" s="374"/>
      <c r="FR99" s="374"/>
      <c r="FS99" s="374"/>
      <c r="FT99" s="374"/>
      <c r="FU99" s="374"/>
      <c r="FV99" s="374"/>
      <c r="FW99" s="374"/>
      <c r="FX99" s="374"/>
      <c r="FY99" s="374"/>
      <c r="FZ99" s="374"/>
      <c r="GA99" s="374"/>
      <c r="GB99" s="374"/>
      <c r="GC99" s="374"/>
      <c r="GD99" s="374"/>
      <c r="GE99" s="374"/>
      <c r="GF99" s="374"/>
      <c r="GG99" s="374"/>
      <c r="GH99" s="374"/>
      <c r="GI99" s="374"/>
      <c r="GJ99" s="374"/>
      <c r="GK99" s="374"/>
      <c r="GL99" s="374"/>
      <c r="GM99" s="374"/>
      <c r="GN99" s="374"/>
      <c r="GO99" s="374"/>
      <c r="GP99" s="374"/>
      <c r="GQ99" s="374"/>
      <c r="GR99" s="374"/>
      <c r="GS99" s="374"/>
      <c r="GT99" s="374"/>
      <c r="GU99" s="374"/>
      <c r="GV99" s="374"/>
      <c r="GW99" s="374"/>
      <c r="GX99" s="374"/>
      <c r="GY99" s="374"/>
      <c r="GZ99" s="374"/>
      <c r="HA99" s="374"/>
      <c r="HB99" s="374"/>
      <c r="HC99" s="374"/>
      <c r="HD99" s="374"/>
      <c r="HE99" s="374"/>
      <c r="HF99" s="374"/>
      <c r="HG99" s="374"/>
      <c r="HH99" s="374"/>
      <c r="HI99" s="374"/>
      <c r="HJ99" s="374"/>
      <c r="HK99" s="374"/>
      <c r="HL99" s="374"/>
      <c r="HM99" s="374"/>
      <c r="HN99" s="374"/>
      <c r="HO99" s="374"/>
      <c r="HP99" s="374"/>
      <c r="HQ99" s="374"/>
      <c r="HR99" s="374"/>
      <c r="HS99" s="374"/>
      <c r="HT99" s="374"/>
      <c r="HU99" s="374"/>
      <c r="HV99" s="374"/>
      <c r="HW99" s="374"/>
      <c r="HX99" s="374"/>
      <c r="HY99" s="374"/>
      <c r="HZ99" s="374"/>
      <c r="IA99" s="374"/>
      <c r="IB99" s="374"/>
      <c r="IC99" s="374"/>
      <c r="ID99" s="374"/>
      <c r="IE99" s="374"/>
      <c r="IF99" s="374"/>
      <c r="IG99" s="374"/>
      <c r="IH99" s="374"/>
      <c r="II99" s="374"/>
      <c r="IJ99" s="374"/>
      <c r="IK99" s="374"/>
      <c r="IL99" s="374"/>
      <c r="IM99" s="374"/>
      <c r="IN99" s="374"/>
      <c r="IO99" s="374"/>
    </row>
    <row r="100" spans="1:249" s="622" customFormat="1" ht="12.75" customHeight="1" x14ac:dyDescent="0.2">
      <c r="A100" s="1846"/>
      <c r="B100" s="1331">
        <f>IFERROR(VLOOKUP(C100:C101,'[24]ניתוח הוצאות הנהלה'!$B$3:$C$17,2,0),0)</f>
        <v>9</v>
      </c>
      <c r="C100" s="1334" t="s">
        <v>1775</v>
      </c>
      <c r="D100" s="1337">
        <f>+IFERROR(HLOOKUP(D$122,'ניתוח עלויות תפעול'!$D$3:$K$17,$B100,0),0)</f>
        <v>452</v>
      </c>
      <c r="E100" s="1337">
        <f>+IFERROR(HLOOKUP(E$122,'ניתוח עלויות תפעול'!$D$3:$K$17,$B100,0),0)</f>
        <v>452</v>
      </c>
      <c r="F100" s="1337">
        <f>+IFERROR(HLOOKUP(F$122,'ניתוח עלויות תפעול'!$D$3:$K$17,$B100,0),0)</f>
        <v>320</v>
      </c>
      <c r="G100" s="1337">
        <f>+IFERROR(HLOOKUP(G$122,'ניתוח עלויות תפעול'!$D$3:$K$17,$B100,0),0)</f>
        <v>1236.6000000000001</v>
      </c>
      <c r="H100" s="1337">
        <f>+IFERROR(HLOOKUP(H$122,'ניתוח עלויות תפעול'!$D$3:$K$17,$B100,0),0)</f>
        <v>452</v>
      </c>
      <c r="I100" s="1337">
        <f>+IFERROR(HLOOKUP(I$122,'ניתוח עלויות תפעול'!$D$3:$K$17,$B100,0),0)</f>
        <v>274.8</v>
      </c>
      <c r="J100" s="1337">
        <f>+IFERROR(HLOOKUP(J$122,'ניתוח עלויות תפעול'!$D$3:$K$17,$B100,0),0)</f>
        <v>344</v>
      </c>
      <c r="K100" s="1337">
        <f>+IFERROR(HLOOKUP(K$122,'ניתוח עלויות תפעול'!$D$3:$K$17,$B100,0),0)</f>
        <v>344</v>
      </c>
      <c r="L100" s="1337">
        <f>+IFERROR(HLOOKUP(L$122,'ניתוח עלויות תפעול'!$D$3:$K$17,$B100,0),0)</f>
        <v>344</v>
      </c>
      <c r="M100" s="1337">
        <f>+IFERROR(HLOOKUP(M$122,'ניתוח עלויות תפעול'!$D$3:$K$17,$B100,0),0)</f>
        <v>344</v>
      </c>
      <c r="N100" s="1337">
        <f>+IFERROR(HLOOKUP(N$122,'ניתוח עלויות תפעול'!$D$3:$K$17,$B100,0),0)</f>
        <v>452</v>
      </c>
      <c r="O100" s="1337">
        <f>+IFERROR(HLOOKUP(O$122,'ניתוח עלויות תפעול'!$D$3:$K$17,$B100,0),0)</f>
        <v>452</v>
      </c>
      <c r="P100" s="1337">
        <f>+IFERROR(HLOOKUP(P$122,'ניתוח עלויות תפעול'!$D$3:$K$17,$B100,0),0)</f>
        <v>344</v>
      </c>
      <c r="Q100" s="1337">
        <f>+IFERROR(HLOOKUP(Q$122,'ניתוח עלויות תפעול'!$D$3:$K$17,$B100,0),0)</f>
        <v>320</v>
      </c>
      <c r="R100" s="1337">
        <f>+IFERROR(HLOOKUP(R$122,'ניתוח עלויות תפעול'!$D$3:$K$17,$B100,0),0)</f>
        <v>452</v>
      </c>
      <c r="S100" s="1337">
        <f>+IFERROR(HLOOKUP(S$122,'ניתוח עלויות תפעול'!$D$3:$K$17,$B100,0),0)</f>
        <v>452</v>
      </c>
      <c r="T100" s="1337">
        <f>+IFERROR(HLOOKUP(T$122,'ניתוח עלויות תפעול'!$D$3:$K$17,$B100,0),0)</f>
        <v>728</v>
      </c>
      <c r="U100" s="1337">
        <f>+IFERROR(HLOOKUP(U$122,'ניתוח עלויות תפעול'!$D$3:$K$17,$B100,0),0)</f>
        <v>452</v>
      </c>
      <c r="V100" s="1337">
        <f>+IFERROR(HLOOKUP(V$122,'ניתוח עלויות תפעול'!$D$3:$K$17,$B100,0),0)</f>
        <v>0</v>
      </c>
      <c r="W100" s="1337">
        <f>+IFERROR(HLOOKUP(W$122,'ניתוח עלויות תפעול'!$D$3:$K$17,$B100,0),0)</f>
        <v>344</v>
      </c>
      <c r="X100" s="1337">
        <f>+IFERROR(HLOOKUP(X$122,'ניתוח עלויות תפעול'!$D$3:$K$17,$B100,0),0)</f>
        <v>452</v>
      </c>
      <c r="Y100" s="1337">
        <f>+IFERROR(HLOOKUP(Y$122,'ניתוח עלויות תפעול'!$D$3:$K$17,$B100,0),0)</f>
        <v>344</v>
      </c>
      <c r="Z100" s="1337">
        <f>+IFERROR(HLOOKUP(Z$122,'ניתוח עלויות תפעול'!$D$3:$K$17,$B100,0),0)</f>
        <v>320</v>
      </c>
      <c r="AA100" s="1337">
        <f>+IFERROR(HLOOKUP(AA$122,'ניתוח עלויות תפעול'!$D$3:$K$17,$B100,0),0)</f>
        <v>320</v>
      </c>
      <c r="AB100" s="1337">
        <f>+IFERROR(HLOOKUP(AB$122,'ניתוח עלויות תפעול'!$D$3:$K$17,$B100,0),0)</f>
        <v>344</v>
      </c>
      <c r="AC100" s="1337">
        <f>+IFERROR(HLOOKUP(AC$122,'ניתוח עלויות תפעול'!$D$3:$K$17,$B100,0),0)</f>
        <v>320</v>
      </c>
      <c r="AD100" s="1337">
        <f>+IFERROR(HLOOKUP(AD$122,'ניתוח עלויות תפעול'!$D$3:$K$17,$B100,0),0)</f>
        <v>344</v>
      </c>
      <c r="AE100" s="1337">
        <f>+IFERROR(HLOOKUP(AE$122,'ניתוח עלויות תפעול'!$D$3:$K$17,$B100,0),0)</f>
        <v>320</v>
      </c>
      <c r="AF100" s="1337">
        <f>+IFERROR(HLOOKUP(AF$122,'ניתוח עלויות תפעול'!$D$3:$K$17,$B100,0),0)</f>
        <v>728</v>
      </c>
      <c r="AG100" s="1337">
        <f>+IFERROR(HLOOKUP(AG$122,'ניתוח עלויות תפעול'!$D$3:$K$17,$B100,0),0)</f>
        <v>344</v>
      </c>
      <c r="AH100" s="1337">
        <f>+IFERROR(HLOOKUP(AH$122,'ניתוח עלויות תפעול'!$D$3:$K$17,$B100,0),0)</f>
        <v>320</v>
      </c>
      <c r="AI100" s="1337">
        <f>+IFERROR(HLOOKUP(AI$122,'ניתוח עלויות תפעול'!$D$3:$K$17,$B100,0),0)</f>
        <v>344</v>
      </c>
      <c r="AJ100" s="1337">
        <f>+IFERROR(HLOOKUP(AJ$122,'ניתוח עלויות תפעול'!$D$3:$K$17,$B100,0),0)</f>
        <v>320</v>
      </c>
      <c r="AK100" s="1337">
        <f>+IFERROR(HLOOKUP(AK$122,'ניתוח עלויות תפעול'!$D$3:$K$17,$B100,0),0)</f>
        <v>320</v>
      </c>
      <c r="AL100" s="1337">
        <f>+IFERROR(HLOOKUP(AL$122,'ניתוח עלויות תפעול'!$D$3:$K$17,$B100,0),0)</f>
        <v>320</v>
      </c>
      <c r="AM100" s="1337">
        <f>+IFERROR(HLOOKUP(AM$122,'ניתוח עלויות תפעול'!$D$3:$K$17,$B100,0),0)</f>
        <v>1245.76</v>
      </c>
      <c r="AN100" s="1337">
        <f>+IFERROR(HLOOKUP(AN$122,'ניתוח עלויות תפעול'!$D$3:$K$17,$B100,0),0)</f>
        <v>344</v>
      </c>
      <c r="AO100" s="1337">
        <f>+IFERROR(HLOOKUP(AO$122,'ניתוח עלויות תפעול'!$D$3:$K$17,$B100,0),0)</f>
        <v>452</v>
      </c>
      <c r="AP100" s="1337">
        <f>+IFERROR(HLOOKUP(AP$122,'ניתוח עלויות תפעול'!$D$3:$K$17,$B100,0),0)</f>
        <v>320</v>
      </c>
      <c r="AQ100" s="1337">
        <f>+IFERROR(HLOOKUP(AQ$122,'ניתוח עלויות תפעול'!$D$3:$K$17,$B100,0),0)</f>
        <v>452</v>
      </c>
      <c r="AR100" s="1337">
        <f>+IFERROR(HLOOKUP(AR$122,'ניתוח עלויות תפעול'!$D$3:$K$17,$B100,0),0)</f>
        <v>344</v>
      </c>
      <c r="AS100" s="1337">
        <f>+IFERROR(HLOOKUP(AS$122,'ניתוח עלויות תפעול'!$D$3:$K$17,$B100,0),0)</f>
        <v>452</v>
      </c>
      <c r="AT100" s="1337">
        <f>+IFERROR(HLOOKUP(AT$122,'ניתוח עלויות תפעול'!$D$3:$K$17,$B100,0),0)</f>
        <v>320</v>
      </c>
      <c r="AU100" s="1337">
        <f>+IFERROR(HLOOKUP(AU$122,'ניתוח עלויות תפעול'!$D$3:$K$17,$B100,0),0)</f>
        <v>320</v>
      </c>
      <c r="AV100" s="1337">
        <f>+IFERROR(HLOOKUP(AV$122,'ניתוח עלויות תפעול'!$D$3:$K$17,$B100,0),0)</f>
        <v>320</v>
      </c>
      <c r="AW100" s="1337">
        <f>+IFERROR(HLOOKUP(AW$122,'ניתוח עלויות תפעול'!$D$3:$K$17,$B100,0),0)</f>
        <v>344</v>
      </c>
      <c r="AX100" s="1337">
        <f>+IFERROR(HLOOKUP(AX$122,'ניתוח עלויות תפעול'!$D$3:$K$17,$B100,0),0)</f>
        <v>344</v>
      </c>
      <c r="AY100" s="1337">
        <f>+IFERROR(HLOOKUP(AY$122,'ניתוח עלויות תפעול'!$D$3:$K$17,$B100,0),0)</f>
        <v>452</v>
      </c>
      <c r="AZ100" s="1337">
        <f>+IFERROR(HLOOKUP(AZ$122,'ניתוח עלויות תפעול'!$D$3:$K$17,$B100,0),0)</f>
        <v>344</v>
      </c>
      <c r="BA100" s="1337">
        <f>+IFERROR(HLOOKUP(BA$122,'ניתוח עלויות תפעול'!$D$3:$K$17,$B100,0),0)</f>
        <v>344</v>
      </c>
      <c r="BB100" s="1337">
        <f>+IFERROR(HLOOKUP(BB$122,'ניתוח עלויות תפעול'!$D$3:$K$17,$B100,0),0)</f>
        <v>344</v>
      </c>
      <c r="BC100" s="1337">
        <f>+IFERROR(HLOOKUP(BC$122,'ניתוח עלויות תפעול'!$D$3:$K$17,$B100,0),0)</f>
        <v>320</v>
      </c>
      <c r="BD100" s="1337">
        <f>+IFERROR(HLOOKUP(BD$122,'ניתוח עלויות תפעול'!$D$3:$K$17,$B100,0),0)</f>
        <v>344</v>
      </c>
      <c r="BE100" s="1337">
        <f>+IFERROR(HLOOKUP(BE$122,'ניתוח עלויות תפעול'!$D$3:$K$17,$B100,0),0)</f>
        <v>320</v>
      </c>
      <c r="BF100" s="1337">
        <f>+IFERROR(HLOOKUP(BF$122,'ניתוח עלויות תפעול'!$D$3:$K$17,$B100,0),0)</f>
        <v>320</v>
      </c>
      <c r="BG100" s="374"/>
      <c r="BH100" s="374"/>
      <c r="BI100" s="374"/>
      <c r="BJ100" s="374"/>
      <c r="BK100" s="374"/>
      <c r="BL100" s="374"/>
      <c r="BM100" s="374"/>
      <c r="BN100" s="374"/>
      <c r="BO100" s="374"/>
      <c r="BP100" s="374"/>
      <c r="BQ100" s="374"/>
      <c r="BR100" s="374"/>
      <c r="BS100" s="374"/>
      <c r="BT100" s="374"/>
      <c r="BU100" s="374"/>
      <c r="BV100" s="374"/>
      <c r="BW100" s="374"/>
      <c r="BX100" s="374"/>
      <c r="BY100" s="374"/>
      <c r="BZ100" s="374"/>
      <c r="CA100" s="374"/>
      <c r="CB100" s="374"/>
      <c r="CC100" s="374"/>
      <c r="CD100" s="374"/>
      <c r="CE100" s="374"/>
      <c r="CF100" s="374"/>
      <c r="CG100" s="374"/>
      <c r="CH100" s="374"/>
      <c r="CI100" s="374"/>
      <c r="CJ100" s="374"/>
      <c r="CK100" s="374"/>
      <c r="CL100" s="374"/>
      <c r="CM100" s="374"/>
      <c r="CN100" s="374"/>
      <c r="CO100" s="374"/>
      <c r="CP100" s="374"/>
      <c r="CQ100" s="374"/>
      <c r="CR100" s="374"/>
      <c r="CS100" s="374"/>
      <c r="CT100" s="374"/>
      <c r="CU100" s="374"/>
      <c r="CV100" s="374"/>
      <c r="CW100" s="374"/>
      <c r="CX100" s="374"/>
      <c r="CY100" s="374"/>
      <c r="CZ100" s="374"/>
      <c r="DA100" s="374"/>
      <c r="DB100" s="374"/>
      <c r="DC100" s="374"/>
      <c r="DD100" s="374"/>
      <c r="DE100" s="374"/>
      <c r="DF100" s="374"/>
      <c r="DG100" s="374"/>
      <c r="DH100" s="374"/>
      <c r="DI100" s="374"/>
      <c r="DJ100" s="374"/>
      <c r="DK100" s="374"/>
      <c r="DL100" s="374"/>
      <c r="DM100" s="374"/>
      <c r="DN100" s="374"/>
      <c r="DO100" s="374"/>
      <c r="DP100" s="374"/>
      <c r="DQ100" s="374"/>
      <c r="DR100" s="374"/>
      <c r="DS100" s="374"/>
      <c r="DT100" s="374"/>
      <c r="DU100" s="374"/>
      <c r="DV100" s="374"/>
      <c r="DW100" s="374"/>
      <c r="DX100" s="374"/>
      <c r="DY100" s="374"/>
      <c r="DZ100" s="374"/>
      <c r="EA100" s="374"/>
      <c r="EB100" s="374"/>
      <c r="EC100" s="374"/>
      <c r="ED100" s="374"/>
      <c r="EE100" s="374"/>
      <c r="EF100" s="374"/>
      <c r="EG100" s="374"/>
      <c r="EH100" s="374"/>
      <c r="EI100" s="374"/>
      <c r="EJ100" s="374"/>
      <c r="EK100" s="374"/>
      <c r="EL100" s="374"/>
      <c r="EM100" s="374"/>
      <c r="EN100" s="374"/>
      <c r="EO100" s="374"/>
      <c r="EP100" s="374"/>
      <c r="EQ100" s="374"/>
      <c r="ER100" s="374"/>
      <c r="ES100" s="374"/>
      <c r="ET100" s="374"/>
      <c r="EU100" s="374"/>
      <c r="EV100" s="374"/>
      <c r="EW100" s="374"/>
      <c r="EX100" s="374"/>
      <c r="EY100" s="374"/>
      <c r="EZ100" s="374"/>
      <c r="FA100" s="374"/>
      <c r="FB100" s="374"/>
      <c r="FC100" s="374"/>
      <c r="FD100" s="374"/>
      <c r="FE100" s="374"/>
      <c r="FF100" s="374"/>
      <c r="FG100" s="374"/>
      <c r="FH100" s="374"/>
      <c r="FI100" s="374"/>
      <c r="FJ100" s="374"/>
      <c r="FK100" s="374"/>
      <c r="FL100" s="374"/>
      <c r="FM100" s="374"/>
      <c r="FN100" s="374"/>
      <c r="FO100" s="374"/>
      <c r="FP100" s="374"/>
      <c r="FQ100" s="374"/>
      <c r="FR100" s="374"/>
      <c r="FS100" s="374"/>
      <c r="FT100" s="374"/>
      <c r="FU100" s="374"/>
      <c r="FV100" s="374"/>
      <c r="FW100" s="374"/>
      <c r="FX100" s="374"/>
      <c r="FY100" s="374"/>
      <c r="FZ100" s="374"/>
      <c r="GA100" s="374"/>
      <c r="GB100" s="374"/>
      <c r="GC100" s="374"/>
      <c r="GD100" s="374"/>
      <c r="GE100" s="374"/>
      <c r="GF100" s="374"/>
      <c r="GG100" s="374"/>
      <c r="GH100" s="374"/>
      <c r="GI100" s="374"/>
      <c r="GJ100" s="374"/>
      <c r="GK100" s="374"/>
      <c r="GL100" s="374"/>
      <c r="GM100" s="374"/>
      <c r="GN100" s="374"/>
      <c r="GO100" s="374"/>
      <c r="GP100" s="374"/>
      <c r="GQ100" s="374"/>
      <c r="GR100" s="374"/>
      <c r="GS100" s="374"/>
      <c r="GT100" s="374"/>
      <c r="GU100" s="374"/>
      <c r="GV100" s="374"/>
      <c r="GW100" s="374"/>
      <c r="GX100" s="374"/>
      <c r="GY100" s="374"/>
      <c r="GZ100" s="374"/>
      <c r="HA100" s="374"/>
      <c r="HB100" s="374"/>
      <c r="HC100" s="374"/>
      <c r="HD100" s="374"/>
      <c r="HE100" s="374"/>
      <c r="HF100" s="374"/>
      <c r="HG100" s="374"/>
      <c r="HH100" s="374"/>
      <c r="HI100" s="374"/>
      <c r="HJ100" s="374"/>
      <c r="HK100" s="374"/>
      <c r="HL100" s="374"/>
      <c r="HM100" s="374"/>
      <c r="HN100" s="374"/>
      <c r="HO100" s="374"/>
      <c r="HP100" s="374"/>
      <c r="HQ100" s="374"/>
      <c r="HR100" s="374"/>
      <c r="HS100" s="374"/>
      <c r="HT100" s="374"/>
      <c r="HU100" s="374"/>
      <c r="HV100" s="374"/>
      <c r="HW100" s="374"/>
      <c r="HX100" s="374"/>
      <c r="HY100" s="374"/>
      <c r="HZ100" s="374"/>
      <c r="IA100" s="374"/>
      <c r="IB100" s="374"/>
      <c r="IC100" s="374"/>
      <c r="ID100" s="374"/>
      <c r="IE100" s="374"/>
      <c r="IF100" s="374"/>
      <c r="IG100" s="374"/>
      <c r="IH100" s="374"/>
      <c r="II100" s="374"/>
      <c r="IJ100" s="374"/>
      <c r="IK100" s="374"/>
      <c r="IL100" s="374"/>
      <c r="IM100" s="374"/>
      <c r="IN100" s="374"/>
      <c r="IO100" s="374"/>
    </row>
    <row r="101" spans="1:249" s="622" customFormat="1" ht="12.75" customHeight="1" x14ac:dyDescent="0.2">
      <c r="A101" s="1846"/>
      <c r="B101" s="1331">
        <f>IFERROR(VLOOKUP(C101:C102,'[24]ניתוח הוצאות הנהלה'!$B$3:$C$17,2,0),0)</f>
        <v>12</v>
      </c>
      <c r="C101" s="1334" t="s">
        <v>1717</v>
      </c>
      <c r="D101" s="1337">
        <f>+IFERROR(HLOOKUP(D$122,'ניתוח עלויות תפעול'!$D$3:$K$17,$B101,0),0)</f>
        <v>120</v>
      </c>
      <c r="E101" s="1337">
        <f>+IFERROR(HLOOKUP(E$122,'ניתוח עלויות תפעול'!$D$3:$K$17,$B101,0),0)</f>
        <v>120</v>
      </c>
      <c r="F101" s="1337">
        <f>+IFERROR(HLOOKUP(F$122,'ניתוח עלויות תפעול'!$D$3:$K$17,$B101,0),0)</f>
        <v>102</v>
      </c>
      <c r="G101" s="1337">
        <f>+IFERROR(HLOOKUP(G$122,'ניתוח עלויות תפעול'!$D$3:$K$17,$B101,0),0)</f>
        <v>405</v>
      </c>
      <c r="H101" s="1337">
        <f>+IFERROR(HLOOKUP(H$122,'ניתוח עלויות תפעול'!$D$3:$K$17,$B101,0),0)</f>
        <v>120</v>
      </c>
      <c r="I101" s="1337">
        <f>+IFERROR(HLOOKUP(I$122,'ניתוח עלויות תפעול'!$D$3:$K$17,$B101,0),0)</f>
        <v>30</v>
      </c>
      <c r="J101" s="1337">
        <f>+IFERROR(HLOOKUP(J$122,'ניתוח עלויות תפעול'!$D$3:$K$17,$B101,0),0)</f>
        <v>102</v>
      </c>
      <c r="K101" s="1337">
        <f>+IFERROR(HLOOKUP(K$122,'ניתוח עלויות תפעול'!$D$3:$K$17,$B101,0),0)</f>
        <v>102</v>
      </c>
      <c r="L101" s="1337">
        <f>+IFERROR(HLOOKUP(L$122,'ניתוח עלויות תפעול'!$D$3:$K$17,$B101,0),0)</f>
        <v>102</v>
      </c>
      <c r="M101" s="1337">
        <f>+IFERROR(HLOOKUP(M$122,'ניתוח עלויות תפעול'!$D$3:$K$17,$B101,0),0)</f>
        <v>102</v>
      </c>
      <c r="N101" s="1337">
        <f>+IFERROR(HLOOKUP(N$122,'ניתוח עלויות תפעול'!$D$3:$K$17,$B101,0),0)</f>
        <v>120</v>
      </c>
      <c r="O101" s="1337">
        <f>+IFERROR(HLOOKUP(O$122,'ניתוח עלויות תפעול'!$D$3:$K$17,$B101,0),0)</f>
        <v>120</v>
      </c>
      <c r="P101" s="1337">
        <f>+IFERROR(HLOOKUP(P$122,'ניתוח עלויות תפעול'!$D$3:$K$17,$B101,0),0)</f>
        <v>102</v>
      </c>
      <c r="Q101" s="1337">
        <f>+IFERROR(HLOOKUP(Q$122,'ניתוח עלויות תפעול'!$D$3:$K$17,$B101,0),0)</f>
        <v>102</v>
      </c>
      <c r="R101" s="1337">
        <f>+IFERROR(HLOOKUP(R$122,'ניתוח עלויות תפעול'!$D$3:$K$17,$B101,0),0)</f>
        <v>120</v>
      </c>
      <c r="S101" s="1337">
        <f>+IFERROR(HLOOKUP(S$122,'ניתוח עלויות תפעול'!$D$3:$K$17,$B101,0),0)</f>
        <v>120</v>
      </c>
      <c r="T101" s="1337">
        <f>+IFERROR(HLOOKUP(T$122,'ניתוח עלויות תפעול'!$D$3:$K$17,$B101,0),0)</f>
        <v>192</v>
      </c>
      <c r="U101" s="1337">
        <f>+IFERROR(HLOOKUP(U$122,'ניתוח עלויות תפעול'!$D$3:$K$17,$B101,0),0)</f>
        <v>120</v>
      </c>
      <c r="V101" s="1337">
        <f>+IFERROR(HLOOKUP(V$122,'ניתוח עלויות תפעול'!$D$3:$K$17,$B101,0),0)</f>
        <v>0</v>
      </c>
      <c r="W101" s="1337">
        <f>+IFERROR(HLOOKUP(W$122,'ניתוח עלויות תפעול'!$D$3:$K$17,$B101,0),0)</f>
        <v>102</v>
      </c>
      <c r="X101" s="1337">
        <f>+IFERROR(HLOOKUP(X$122,'ניתוח עלויות תפעול'!$D$3:$K$17,$B101,0),0)</f>
        <v>120</v>
      </c>
      <c r="Y101" s="1337">
        <f>+IFERROR(HLOOKUP(Y$122,'ניתוח עלויות תפעול'!$D$3:$K$17,$B101,0),0)</f>
        <v>102</v>
      </c>
      <c r="Z101" s="1337">
        <f>+IFERROR(HLOOKUP(Z$122,'ניתוח עלויות תפעול'!$D$3:$K$17,$B101,0),0)</f>
        <v>102</v>
      </c>
      <c r="AA101" s="1337">
        <f>+IFERROR(HLOOKUP(AA$122,'ניתוח עלויות תפעול'!$D$3:$K$17,$B101,0),0)</f>
        <v>102</v>
      </c>
      <c r="AB101" s="1337">
        <f>+IFERROR(HLOOKUP(AB$122,'ניתוח עלויות תפעול'!$D$3:$K$17,$B101,0),0)</f>
        <v>102</v>
      </c>
      <c r="AC101" s="1337">
        <f>+IFERROR(HLOOKUP(AC$122,'ניתוח עלויות תפעול'!$D$3:$K$17,$B101,0),0)</f>
        <v>102</v>
      </c>
      <c r="AD101" s="1337">
        <f>+IFERROR(HLOOKUP(AD$122,'ניתוח עלויות תפעול'!$D$3:$K$17,$B101,0),0)</f>
        <v>102</v>
      </c>
      <c r="AE101" s="1337">
        <f>+IFERROR(HLOOKUP(AE$122,'ניתוח עלויות תפעול'!$D$3:$K$17,$B101,0),0)</f>
        <v>102</v>
      </c>
      <c r="AF101" s="1337">
        <f>+IFERROR(HLOOKUP(AF$122,'ניתוח עלויות תפעול'!$D$3:$K$17,$B101,0),0)</f>
        <v>192</v>
      </c>
      <c r="AG101" s="1337">
        <f>+IFERROR(HLOOKUP(AG$122,'ניתוח עלויות תפעול'!$D$3:$K$17,$B101,0),0)</f>
        <v>102</v>
      </c>
      <c r="AH101" s="1337">
        <f>+IFERROR(HLOOKUP(AH$122,'ניתוח עלויות תפעול'!$D$3:$K$17,$B101,0),0)</f>
        <v>102</v>
      </c>
      <c r="AI101" s="1337">
        <f>+IFERROR(HLOOKUP(AI$122,'ניתוח עלויות תפעול'!$D$3:$K$17,$B101,0),0)</f>
        <v>102</v>
      </c>
      <c r="AJ101" s="1337">
        <f>+IFERROR(HLOOKUP(AJ$122,'ניתוח עלויות תפעול'!$D$3:$K$17,$B101,0),0)</f>
        <v>102</v>
      </c>
      <c r="AK101" s="1337">
        <f>+IFERROR(HLOOKUP(AK$122,'ניתוח עלויות תפעול'!$D$3:$K$17,$B101,0),0)</f>
        <v>102</v>
      </c>
      <c r="AL101" s="1337">
        <f>+IFERROR(HLOOKUP(AL$122,'ניתוח עלויות תפעול'!$D$3:$K$17,$B101,0),0)</f>
        <v>102</v>
      </c>
      <c r="AM101" s="1337">
        <f>+IFERROR(HLOOKUP(AM$122,'ניתוח עלויות תפעול'!$D$3:$K$17,$B101,0),0)</f>
        <v>408.00000000000006</v>
      </c>
      <c r="AN101" s="1337">
        <f>+IFERROR(HLOOKUP(AN$122,'ניתוח עלויות תפעול'!$D$3:$K$17,$B101,0),0)</f>
        <v>102</v>
      </c>
      <c r="AO101" s="1337">
        <f>+IFERROR(HLOOKUP(AO$122,'ניתוח עלויות תפעול'!$D$3:$K$17,$B101,0),0)</f>
        <v>120</v>
      </c>
      <c r="AP101" s="1337">
        <f>+IFERROR(HLOOKUP(AP$122,'ניתוח עלויות תפעול'!$D$3:$K$17,$B101,0),0)</f>
        <v>102</v>
      </c>
      <c r="AQ101" s="1337">
        <f>+IFERROR(HLOOKUP(AQ$122,'ניתוח עלויות תפעול'!$D$3:$K$17,$B101,0),0)</f>
        <v>120</v>
      </c>
      <c r="AR101" s="1337">
        <f>+IFERROR(HLOOKUP(AR$122,'ניתוח עלויות תפעול'!$D$3:$K$17,$B101,0),0)</f>
        <v>102</v>
      </c>
      <c r="AS101" s="1337">
        <f>+IFERROR(HLOOKUP(AS$122,'ניתוח עלויות תפעול'!$D$3:$K$17,$B101,0),0)</f>
        <v>120</v>
      </c>
      <c r="AT101" s="1337">
        <f>+IFERROR(HLOOKUP(AT$122,'ניתוח עלויות תפעול'!$D$3:$K$17,$B101,0),0)</f>
        <v>102</v>
      </c>
      <c r="AU101" s="1337">
        <f>+IFERROR(HLOOKUP(AU$122,'ניתוח עלויות תפעול'!$D$3:$K$17,$B101,0),0)</f>
        <v>102</v>
      </c>
      <c r="AV101" s="1337">
        <f>+IFERROR(HLOOKUP(AV$122,'ניתוח עלויות תפעול'!$D$3:$K$17,$B101,0),0)</f>
        <v>102</v>
      </c>
      <c r="AW101" s="1337">
        <f>+IFERROR(HLOOKUP(AW$122,'ניתוח עלויות תפעול'!$D$3:$K$17,$B101,0),0)</f>
        <v>102</v>
      </c>
      <c r="AX101" s="1337">
        <f>+IFERROR(HLOOKUP(AX$122,'ניתוח עלויות תפעול'!$D$3:$K$17,$B101,0),0)</f>
        <v>102</v>
      </c>
      <c r="AY101" s="1337">
        <f>+IFERROR(HLOOKUP(AY$122,'ניתוח עלויות תפעול'!$D$3:$K$17,$B101,0),0)</f>
        <v>120</v>
      </c>
      <c r="AZ101" s="1337">
        <f>+IFERROR(HLOOKUP(AZ$122,'ניתוח עלויות תפעול'!$D$3:$K$17,$B101,0),0)</f>
        <v>102</v>
      </c>
      <c r="BA101" s="1337">
        <f>+IFERROR(HLOOKUP(BA$122,'ניתוח עלויות תפעול'!$D$3:$K$17,$B101,0),0)</f>
        <v>102</v>
      </c>
      <c r="BB101" s="1337">
        <f>+IFERROR(HLOOKUP(BB$122,'ניתוח עלויות תפעול'!$D$3:$K$17,$B101,0),0)</f>
        <v>102</v>
      </c>
      <c r="BC101" s="1337">
        <f>+IFERROR(HLOOKUP(BC$122,'ניתוח עלויות תפעול'!$D$3:$K$17,$B101,0),0)</f>
        <v>102</v>
      </c>
      <c r="BD101" s="1337">
        <f>+IFERROR(HLOOKUP(BD$122,'ניתוח עלויות תפעול'!$D$3:$K$17,$B101,0),0)</f>
        <v>102</v>
      </c>
      <c r="BE101" s="1337">
        <f>+IFERROR(HLOOKUP(BE$122,'ניתוח עלויות תפעול'!$D$3:$K$17,$B101,0),0)</f>
        <v>102</v>
      </c>
      <c r="BF101" s="1337">
        <f>+IFERROR(HLOOKUP(BF$122,'ניתוח עלויות תפעול'!$D$3:$K$17,$B101,0),0)</f>
        <v>102</v>
      </c>
      <c r="BG101" s="374"/>
      <c r="BH101" s="374"/>
      <c r="BI101" s="374"/>
      <c r="BJ101" s="374"/>
      <c r="BK101" s="374"/>
      <c r="BL101" s="374"/>
      <c r="BM101" s="374"/>
      <c r="BN101" s="374"/>
      <c r="BO101" s="374"/>
      <c r="BP101" s="374"/>
      <c r="BQ101" s="374"/>
      <c r="BR101" s="374"/>
      <c r="BS101" s="374"/>
      <c r="BT101" s="374"/>
      <c r="BU101" s="374"/>
      <c r="BV101" s="374"/>
      <c r="BW101" s="374"/>
      <c r="BX101" s="374"/>
      <c r="BY101" s="374"/>
      <c r="BZ101" s="374"/>
      <c r="CA101" s="374"/>
      <c r="CB101" s="374"/>
      <c r="CC101" s="374"/>
      <c r="CD101" s="374"/>
      <c r="CE101" s="374"/>
      <c r="CF101" s="374"/>
      <c r="CG101" s="374"/>
      <c r="CH101" s="374"/>
      <c r="CI101" s="374"/>
      <c r="CJ101" s="374"/>
      <c r="CK101" s="374"/>
      <c r="CL101" s="374"/>
      <c r="CM101" s="374"/>
      <c r="CN101" s="374"/>
      <c r="CO101" s="374"/>
      <c r="CP101" s="374"/>
      <c r="CQ101" s="374"/>
      <c r="CR101" s="374"/>
      <c r="CS101" s="374"/>
      <c r="CT101" s="374"/>
      <c r="CU101" s="374"/>
      <c r="CV101" s="374"/>
      <c r="CW101" s="374"/>
      <c r="CX101" s="374"/>
      <c r="CY101" s="374"/>
      <c r="CZ101" s="374"/>
      <c r="DA101" s="374"/>
      <c r="DB101" s="374"/>
      <c r="DC101" s="374"/>
      <c r="DD101" s="374"/>
      <c r="DE101" s="374"/>
      <c r="DF101" s="374"/>
      <c r="DG101" s="374"/>
      <c r="DH101" s="374"/>
      <c r="DI101" s="374"/>
      <c r="DJ101" s="374"/>
      <c r="DK101" s="374"/>
      <c r="DL101" s="374"/>
      <c r="DM101" s="374"/>
      <c r="DN101" s="374"/>
      <c r="DO101" s="374"/>
      <c r="DP101" s="374"/>
      <c r="DQ101" s="374"/>
      <c r="DR101" s="374"/>
      <c r="DS101" s="374"/>
      <c r="DT101" s="374"/>
      <c r="DU101" s="374"/>
      <c r="DV101" s="374"/>
      <c r="DW101" s="374"/>
      <c r="DX101" s="374"/>
      <c r="DY101" s="374"/>
      <c r="DZ101" s="374"/>
      <c r="EA101" s="374"/>
      <c r="EB101" s="374"/>
      <c r="EC101" s="374"/>
      <c r="ED101" s="374"/>
      <c r="EE101" s="374"/>
      <c r="EF101" s="374"/>
      <c r="EG101" s="374"/>
      <c r="EH101" s="374"/>
      <c r="EI101" s="374"/>
      <c r="EJ101" s="374"/>
      <c r="EK101" s="374"/>
      <c r="EL101" s="374"/>
      <c r="EM101" s="374"/>
      <c r="EN101" s="374"/>
      <c r="EO101" s="374"/>
      <c r="EP101" s="374"/>
      <c r="EQ101" s="374"/>
      <c r="ER101" s="374"/>
      <c r="ES101" s="374"/>
      <c r="ET101" s="374"/>
      <c r="EU101" s="374"/>
      <c r="EV101" s="374"/>
      <c r="EW101" s="374"/>
      <c r="EX101" s="374"/>
      <c r="EY101" s="374"/>
      <c r="EZ101" s="374"/>
      <c r="FA101" s="374"/>
      <c r="FB101" s="374"/>
      <c r="FC101" s="374"/>
      <c r="FD101" s="374"/>
      <c r="FE101" s="374"/>
      <c r="FF101" s="374"/>
      <c r="FG101" s="374"/>
      <c r="FH101" s="374"/>
      <c r="FI101" s="374"/>
      <c r="FJ101" s="374"/>
      <c r="FK101" s="374"/>
      <c r="FL101" s="374"/>
      <c r="FM101" s="374"/>
      <c r="FN101" s="374"/>
      <c r="FO101" s="374"/>
      <c r="FP101" s="374"/>
      <c r="FQ101" s="374"/>
      <c r="FR101" s="374"/>
      <c r="FS101" s="374"/>
      <c r="FT101" s="374"/>
      <c r="FU101" s="374"/>
      <c r="FV101" s="374"/>
      <c r="FW101" s="374"/>
      <c r="FX101" s="374"/>
      <c r="FY101" s="374"/>
      <c r="FZ101" s="374"/>
      <c r="GA101" s="374"/>
      <c r="GB101" s="374"/>
      <c r="GC101" s="374"/>
      <c r="GD101" s="374"/>
      <c r="GE101" s="374"/>
      <c r="GF101" s="374"/>
      <c r="GG101" s="374"/>
      <c r="GH101" s="374"/>
      <c r="GI101" s="374"/>
      <c r="GJ101" s="374"/>
      <c r="GK101" s="374"/>
      <c r="GL101" s="374"/>
      <c r="GM101" s="374"/>
      <c r="GN101" s="374"/>
      <c r="GO101" s="374"/>
      <c r="GP101" s="374"/>
      <c r="GQ101" s="374"/>
      <c r="GR101" s="374"/>
      <c r="GS101" s="374"/>
      <c r="GT101" s="374"/>
      <c r="GU101" s="374"/>
      <c r="GV101" s="374"/>
      <c r="GW101" s="374"/>
      <c r="GX101" s="374"/>
      <c r="GY101" s="374"/>
      <c r="GZ101" s="374"/>
      <c r="HA101" s="374"/>
      <c r="HB101" s="374"/>
      <c r="HC101" s="374"/>
      <c r="HD101" s="374"/>
      <c r="HE101" s="374"/>
      <c r="HF101" s="374"/>
      <c r="HG101" s="374"/>
      <c r="HH101" s="374"/>
      <c r="HI101" s="374"/>
      <c r="HJ101" s="374"/>
      <c r="HK101" s="374"/>
      <c r="HL101" s="374"/>
      <c r="HM101" s="374"/>
      <c r="HN101" s="374"/>
      <c r="HO101" s="374"/>
      <c r="HP101" s="374"/>
      <c r="HQ101" s="374"/>
      <c r="HR101" s="374"/>
      <c r="HS101" s="374"/>
      <c r="HT101" s="374"/>
      <c r="HU101" s="374"/>
      <c r="HV101" s="374"/>
      <c r="HW101" s="374"/>
      <c r="HX101" s="374"/>
      <c r="HY101" s="374"/>
      <c r="HZ101" s="374"/>
      <c r="IA101" s="374"/>
      <c r="IB101" s="374"/>
      <c r="IC101" s="374"/>
      <c r="ID101" s="374"/>
      <c r="IE101" s="374"/>
      <c r="IF101" s="374"/>
      <c r="IG101" s="374"/>
      <c r="IH101" s="374"/>
      <c r="II101" s="374"/>
      <c r="IJ101" s="374"/>
      <c r="IK101" s="374"/>
      <c r="IL101" s="374"/>
      <c r="IM101" s="374"/>
      <c r="IN101" s="374"/>
      <c r="IO101" s="374"/>
    </row>
    <row r="102" spans="1:249" s="622" customFormat="1" ht="12.75" customHeight="1" x14ac:dyDescent="0.2">
      <c r="A102" s="1846"/>
      <c r="B102" s="1331">
        <f>IFERROR(VLOOKUP(C102:C103,'[24]ניתוח הוצאות הנהלה'!$B$3:$C$17,2,0),0)</f>
        <v>4</v>
      </c>
      <c r="C102" s="1334" t="s">
        <v>1776</v>
      </c>
      <c r="D102" s="1337">
        <f>+IFERROR(HLOOKUP(D$122,'ניתוח עלויות תפעול'!$D$3:$K$17,$B102,0),0)</f>
        <v>144</v>
      </c>
      <c r="E102" s="1337">
        <f>+IFERROR(HLOOKUP(E$122,'ניתוח עלויות תפעול'!$D$3:$K$17,$B102,0),0)</f>
        <v>144</v>
      </c>
      <c r="F102" s="1337">
        <f>+IFERROR(HLOOKUP(F$122,'ניתוח עלויות תפעול'!$D$3:$K$17,$B102,0),0)</f>
        <v>120</v>
      </c>
      <c r="G102" s="1337">
        <f>+IFERROR(HLOOKUP(G$122,'ניתוח עלויות תפעול'!$D$3:$K$17,$B102,0),0)</f>
        <v>607.5</v>
      </c>
      <c r="H102" s="1337">
        <f>+IFERROR(HLOOKUP(H$122,'ניתוח עלויות תפעול'!$D$3:$K$17,$B102,0),0)</f>
        <v>144</v>
      </c>
      <c r="I102" s="1337">
        <f>+IFERROR(HLOOKUP(I$122,'ניתוח עלויות תפעול'!$D$3:$K$17,$B102,0),0)</f>
        <v>135</v>
      </c>
      <c r="J102" s="1337">
        <f>+IFERROR(HLOOKUP(J$122,'ניתוח עלויות תפעול'!$D$3:$K$17,$B102,0),0)</f>
        <v>192</v>
      </c>
      <c r="K102" s="1337">
        <f>+IFERROR(HLOOKUP(K$122,'ניתוח עלויות תפעול'!$D$3:$K$17,$B102,0),0)</f>
        <v>192</v>
      </c>
      <c r="L102" s="1337">
        <f>+IFERROR(HLOOKUP(L$122,'ניתוח עלויות תפעול'!$D$3:$K$17,$B102,0),0)</f>
        <v>192</v>
      </c>
      <c r="M102" s="1337">
        <f>+IFERROR(HLOOKUP(M$122,'ניתוח עלויות תפעול'!$D$3:$K$17,$B102,0),0)</f>
        <v>192</v>
      </c>
      <c r="N102" s="1337">
        <f>+IFERROR(HLOOKUP(N$122,'ניתוח עלויות תפעול'!$D$3:$K$17,$B102,0),0)</f>
        <v>144</v>
      </c>
      <c r="O102" s="1337">
        <f>+IFERROR(HLOOKUP(O$122,'ניתוח עלויות תפעול'!$D$3:$K$17,$B102,0),0)</f>
        <v>144</v>
      </c>
      <c r="P102" s="1337">
        <f>+IFERROR(HLOOKUP(P$122,'ניתוח עלויות תפעול'!$D$3:$K$17,$B102,0),0)</f>
        <v>192</v>
      </c>
      <c r="Q102" s="1337">
        <f>+IFERROR(HLOOKUP(Q$122,'ניתוח עלויות תפעול'!$D$3:$K$17,$B102,0),0)</f>
        <v>120</v>
      </c>
      <c r="R102" s="1337">
        <f>+IFERROR(HLOOKUP(R$122,'ניתוח עלויות תפעול'!$D$3:$K$17,$B102,0),0)</f>
        <v>144</v>
      </c>
      <c r="S102" s="1337">
        <f>+IFERROR(HLOOKUP(S$122,'ניתוח עלויות תפעול'!$D$3:$K$17,$B102,0),0)</f>
        <v>144</v>
      </c>
      <c r="T102" s="1337">
        <f>+IFERROR(HLOOKUP(T$122,'ניתוח עלויות תפעול'!$D$3:$K$17,$B102,0),0)</f>
        <v>172.79999999999998</v>
      </c>
      <c r="U102" s="1337">
        <f>+IFERROR(HLOOKUP(U$122,'ניתוח עלויות תפעול'!$D$3:$K$17,$B102,0),0)</f>
        <v>144</v>
      </c>
      <c r="V102" s="1337">
        <f>+IFERROR(HLOOKUP(V$122,'ניתוח עלויות תפעול'!$D$3:$K$17,$B102,0),0)</f>
        <v>0</v>
      </c>
      <c r="W102" s="1337">
        <f>+IFERROR(HLOOKUP(W$122,'ניתוח עלויות תפעול'!$D$3:$K$17,$B102,0),0)</f>
        <v>192</v>
      </c>
      <c r="X102" s="1337">
        <f>+IFERROR(HLOOKUP(X$122,'ניתוח עלויות תפעול'!$D$3:$K$17,$B102,0),0)</f>
        <v>144</v>
      </c>
      <c r="Y102" s="1337">
        <f>+IFERROR(HLOOKUP(Y$122,'ניתוח עלויות תפעול'!$D$3:$K$17,$B102,0),0)</f>
        <v>192</v>
      </c>
      <c r="Z102" s="1337">
        <f>+IFERROR(HLOOKUP(Z$122,'ניתוח עלויות תפעול'!$D$3:$K$17,$B102,0),0)</f>
        <v>120</v>
      </c>
      <c r="AA102" s="1337">
        <f>+IFERROR(HLOOKUP(AA$122,'ניתוח עלויות תפעול'!$D$3:$K$17,$B102,0),0)</f>
        <v>120</v>
      </c>
      <c r="AB102" s="1337">
        <f>+IFERROR(HLOOKUP(AB$122,'ניתוח עלויות תפעול'!$D$3:$K$17,$B102,0),0)</f>
        <v>192</v>
      </c>
      <c r="AC102" s="1337">
        <f>+IFERROR(HLOOKUP(AC$122,'ניתוח עלויות תפעול'!$D$3:$K$17,$B102,0),0)</f>
        <v>120</v>
      </c>
      <c r="AD102" s="1337">
        <f>+IFERROR(HLOOKUP(AD$122,'ניתוח עלויות תפעול'!$D$3:$K$17,$B102,0),0)</f>
        <v>192</v>
      </c>
      <c r="AE102" s="1337">
        <f>+IFERROR(HLOOKUP(AE$122,'ניתוח עלויות תפעול'!$D$3:$K$17,$B102,0),0)</f>
        <v>120</v>
      </c>
      <c r="AF102" s="1337">
        <f>+IFERROR(HLOOKUP(AF$122,'ניתוח עלויות תפעול'!$D$3:$K$17,$B102,0),0)</f>
        <v>172.79999999999998</v>
      </c>
      <c r="AG102" s="1337">
        <f>+IFERROR(HLOOKUP(AG$122,'ניתוח עלויות תפעול'!$D$3:$K$17,$B102,0),0)</f>
        <v>192</v>
      </c>
      <c r="AH102" s="1337">
        <f>+IFERROR(HLOOKUP(AH$122,'ניתוח עלויות תפעול'!$D$3:$K$17,$B102,0),0)</f>
        <v>120</v>
      </c>
      <c r="AI102" s="1337">
        <f>+IFERROR(HLOOKUP(AI$122,'ניתוח עלויות תפעול'!$D$3:$K$17,$B102,0),0)</f>
        <v>192</v>
      </c>
      <c r="AJ102" s="1337">
        <f>+IFERROR(HLOOKUP(AJ$122,'ניתוח עלויות תפעול'!$D$3:$K$17,$B102,0),0)</f>
        <v>120</v>
      </c>
      <c r="AK102" s="1337">
        <f>+IFERROR(HLOOKUP(AK$122,'ניתוח עלויות תפעול'!$D$3:$K$17,$B102,0),0)</f>
        <v>120</v>
      </c>
      <c r="AL102" s="1337">
        <f>+IFERROR(HLOOKUP(AL$122,'ניתוח עלויות תפעול'!$D$3:$K$17,$B102,0),0)</f>
        <v>120</v>
      </c>
      <c r="AM102" s="1337">
        <f>+IFERROR(HLOOKUP(AM$122,'ניתוח עלויות תפעול'!$D$3:$K$17,$B102,0),0)</f>
        <v>612</v>
      </c>
      <c r="AN102" s="1337">
        <f>+IFERROR(HLOOKUP(AN$122,'ניתוח עלויות תפעול'!$D$3:$K$17,$B102,0),0)</f>
        <v>192</v>
      </c>
      <c r="AO102" s="1337">
        <f>+IFERROR(HLOOKUP(AO$122,'ניתוח עלויות תפעול'!$D$3:$K$17,$B102,0),0)</f>
        <v>144</v>
      </c>
      <c r="AP102" s="1337">
        <f>+IFERROR(HLOOKUP(AP$122,'ניתוח עלויות תפעול'!$D$3:$K$17,$B102,0),0)</f>
        <v>120</v>
      </c>
      <c r="AQ102" s="1337">
        <f>+IFERROR(HLOOKUP(AQ$122,'ניתוח עלויות תפעול'!$D$3:$K$17,$B102,0),0)</f>
        <v>144</v>
      </c>
      <c r="AR102" s="1337">
        <f>+IFERROR(HLOOKUP(AR$122,'ניתוח עלויות תפעול'!$D$3:$K$17,$B102,0),0)</f>
        <v>192</v>
      </c>
      <c r="AS102" s="1337">
        <f>+IFERROR(HLOOKUP(AS$122,'ניתוח עלויות תפעול'!$D$3:$K$17,$B102,0),0)</f>
        <v>144</v>
      </c>
      <c r="AT102" s="1337">
        <f>+IFERROR(HLOOKUP(AT$122,'ניתוח עלויות תפעול'!$D$3:$K$17,$B102,0),0)</f>
        <v>120</v>
      </c>
      <c r="AU102" s="1337">
        <f>+IFERROR(HLOOKUP(AU$122,'ניתוח עלויות תפעול'!$D$3:$K$17,$B102,0),0)</f>
        <v>120</v>
      </c>
      <c r="AV102" s="1337">
        <f>+IFERROR(HLOOKUP(AV$122,'ניתוח עלויות תפעול'!$D$3:$K$17,$B102,0),0)</f>
        <v>120</v>
      </c>
      <c r="AW102" s="1337">
        <f>+IFERROR(HLOOKUP(AW$122,'ניתוח עלויות תפעול'!$D$3:$K$17,$B102,0),0)</f>
        <v>192</v>
      </c>
      <c r="AX102" s="1337">
        <f>+IFERROR(HLOOKUP(AX$122,'ניתוח עלויות תפעול'!$D$3:$K$17,$B102,0),0)</f>
        <v>192</v>
      </c>
      <c r="AY102" s="1337">
        <f>+IFERROR(HLOOKUP(AY$122,'ניתוח עלויות תפעול'!$D$3:$K$17,$B102,0),0)</f>
        <v>144</v>
      </c>
      <c r="AZ102" s="1337">
        <f>+IFERROR(HLOOKUP(AZ$122,'ניתוח עלויות תפעול'!$D$3:$K$17,$B102,0),0)</f>
        <v>192</v>
      </c>
      <c r="BA102" s="1337">
        <f>+IFERROR(HLOOKUP(BA$122,'ניתוח עלויות תפעול'!$D$3:$K$17,$B102,0),0)</f>
        <v>192</v>
      </c>
      <c r="BB102" s="1337">
        <f>+IFERROR(HLOOKUP(BB$122,'ניתוח עלויות תפעול'!$D$3:$K$17,$B102,0),0)</f>
        <v>192</v>
      </c>
      <c r="BC102" s="1337">
        <f>+IFERROR(HLOOKUP(BC$122,'ניתוח עלויות תפעול'!$D$3:$K$17,$B102,0),0)</f>
        <v>120</v>
      </c>
      <c r="BD102" s="1337">
        <f>+IFERROR(HLOOKUP(BD$122,'ניתוח עלויות תפעול'!$D$3:$K$17,$B102,0),0)</f>
        <v>192</v>
      </c>
      <c r="BE102" s="1337">
        <f>+IFERROR(HLOOKUP(BE$122,'ניתוח עלויות תפעול'!$D$3:$K$17,$B102,0),0)</f>
        <v>120</v>
      </c>
      <c r="BF102" s="1337">
        <f>+IFERROR(HLOOKUP(BF$122,'ניתוח עלויות תפעול'!$D$3:$K$17,$B102,0),0)</f>
        <v>120</v>
      </c>
      <c r="BG102" s="374"/>
      <c r="BH102" s="374"/>
      <c r="BI102" s="374"/>
      <c r="BJ102" s="374"/>
      <c r="BK102" s="374"/>
      <c r="BL102" s="374"/>
      <c r="BM102" s="374"/>
      <c r="BN102" s="374"/>
      <c r="BO102" s="374"/>
      <c r="BP102" s="374"/>
      <c r="BQ102" s="374"/>
      <c r="BR102" s="374"/>
      <c r="BS102" s="374"/>
      <c r="BT102" s="374"/>
      <c r="BU102" s="374"/>
      <c r="BV102" s="374"/>
      <c r="BW102" s="374"/>
      <c r="BX102" s="374"/>
      <c r="BY102" s="374"/>
      <c r="BZ102" s="374"/>
      <c r="CA102" s="374"/>
      <c r="CB102" s="374"/>
      <c r="CC102" s="374"/>
      <c r="CD102" s="374"/>
      <c r="CE102" s="374"/>
      <c r="CF102" s="374"/>
      <c r="CG102" s="374"/>
      <c r="CH102" s="374"/>
      <c r="CI102" s="374"/>
      <c r="CJ102" s="374"/>
      <c r="CK102" s="374"/>
      <c r="CL102" s="374"/>
      <c r="CM102" s="374"/>
      <c r="CN102" s="374"/>
      <c r="CO102" s="374"/>
      <c r="CP102" s="374"/>
      <c r="CQ102" s="374"/>
      <c r="CR102" s="374"/>
      <c r="CS102" s="374"/>
      <c r="CT102" s="374"/>
      <c r="CU102" s="374"/>
      <c r="CV102" s="374"/>
      <c r="CW102" s="374"/>
      <c r="CX102" s="374"/>
      <c r="CY102" s="374"/>
      <c r="CZ102" s="374"/>
      <c r="DA102" s="374"/>
      <c r="DB102" s="374"/>
      <c r="DC102" s="374"/>
      <c r="DD102" s="374"/>
      <c r="DE102" s="374"/>
      <c r="DF102" s="374"/>
      <c r="DG102" s="374"/>
      <c r="DH102" s="374"/>
      <c r="DI102" s="374"/>
      <c r="DJ102" s="374"/>
      <c r="DK102" s="374"/>
      <c r="DL102" s="374"/>
      <c r="DM102" s="374"/>
      <c r="DN102" s="374"/>
      <c r="DO102" s="374"/>
      <c r="DP102" s="374"/>
      <c r="DQ102" s="374"/>
      <c r="DR102" s="374"/>
      <c r="DS102" s="374"/>
      <c r="DT102" s="374"/>
      <c r="DU102" s="374"/>
      <c r="DV102" s="374"/>
      <c r="DW102" s="374"/>
      <c r="DX102" s="374"/>
      <c r="DY102" s="374"/>
      <c r="DZ102" s="374"/>
      <c r="EA102" s="374"/>
      <c r="EB102" s="374"/>
      <c r="EC102" s="374"/>
      <c r="ED102" s="374"/>
      <c r="EE102" s="374"/>
      <c r="EF102" s="374"/>
      <c r="EG102" s="374"/>
      <c r="EH102" s="374"/>
      <c r="EI102" s="374"/>
      <c r="EJ102" s="374"/>
      <c r="EK102" s="374"/>
      <c r="EL102" s="374"/>
      <c r="EM102" s="374"/>
      <c r="EN102" s="374"/>
      <c r="EO102" s="374"/>
      <c r="EP102" s="374"/>
      <c r="EQ102" s="374"/>
      <c r="ER102" s="374"/>
      <c r="ES102" s="374"/>
      <c r="ET102" s="374"/>
      <c r="EU102" s="374"/>
      <c r="EV102" s="374"/>
      <c r="EW102" s="374"/>
      <c r="EX102" s="374"/>
      <c r="EY102" s="374"/>
      <c r="EZ102" s="374"/>
      <c r="FA102" s="374"/>
      <c r="FB102" s="374"/>
      <c r="FC102" s="374"/>
      <c r="FD102" s="374"/>
      <c r="FE102" s="374"/>
      <c r="FF102" s="374"/>
      <c r="FG102" s="374"/>
      <c r="FH102" s="374"/>
      <c r="FI102" s="374"/>
      <c r="FJ102" s="374"/>
      <c r="FK102" s="374"/>
      <c r="FL102" s="374"/>
      <c r="FM102" s="374"/>
      <c r="FN102" s="374"/>
      <c r="FO102" s="374"/>
      <c r="FP102" s="374"/>
      <c r="FQ102" s="374"/>
      <c r="FR102" s="374"/>
      <c r="FS102" s="374"/>
      <c r="FT102" s="374"/>
      <c r="FU102" s="374"/>
      <c r="FV102" s="374"/>
      <c r="FW102" s="374"/>
      <c r="FX102" s="374"/>
      <c r="FY102" s="374"/>
      <c r="FZ102" s="374"/>
      <c r="GA102" s="374"/>
      <c r="GB102" s="374"/>
      <c r="GC102" s="374"/>
      <c r="GD102" s="374"/>
      <c r="GE102" s="374"/>
      <c r="GF102" s="374"/>
      <c r="GG102" s="374"/>
      <c r="GH102" s="374"/>
      <c r="GI102" s="374"/>
      <c r="GJ102" s="374"/>
      <c r="GK102" s="374"/>
      <c r="GL102" s="374"/>
      <c r="GM102" s="374"/>
      <c r="GN102" s="374"/>
      <c r="GO102" s="374"/>
      <c r="GP102" s="374"/>
      <c r="GQ102" s="374"/>
      <c r="GR102" s="374"/>
      <c r="GS102" s="374"/>
      <c r="GT102" s="374"/>
      <c r="GU102" s="374"/>
      <c r="GV102" s="374"/>
      <c r="GW102" s="374"/>
      <c r="GX102" s="374"/>
      <c r="GY102" s="374"/>
      <c r="GZ102" s="374"/>
      <c r="HA102" s="374"/>
      <c r="HB102" s="374"/>
      <c r="HC102" s="374"/>
      <c r="HD102" s="374"/>
      <c r="HE102" s="374"/>
      <c r="HF102" s="374"/>
      <c r="HG102" s="374"/>
      <c r="HH102" s="374"/>
      <c r="HI102" s="374"/>
      <c r="HJ102" s="374"/>
      <c r="HK102" s="374"/>
      <c r="HL102" s="374"/>
      <c r="HM102" s="374"/>
      <c r="HN102" s="374"/>
      <c r="HO102" s="374"/>
      <c r="HP102" s="374"/>
      <c r="HQ102" s="374"/>
      <c r="HR102" s="374"/>
      <c r="HS102" s="374"/>
      <c r="HT102" s="374"/>
      <c r="HU102" s="374"/>
      <c r="HV102" s="374"/>
      <c r="HW102" s="374"/>
      <c r="HX102" s="374"/>
      <c r="HY102" s="374"/>
      <c r="HZ102" s="374"/>
      <c r="IA102" s="374"/>
      <c r="IB102" s="374"/>
      <c r="IC102" s="374"/>
      <c r="ID102" s="374"/>
      <c r="IE102" s="374"/>
      <c r="IF102" s="374"/>
      <c r="IG102" s="374"/>
      <c r="IH102" s="374"/>
      <c r="II102" s="374"/>
      <c r="IJ102" s="374"/>
      <c r="IK102" s="374"/>
      <c r="IL102" s="374"/>
      <c r="IM102" s="374"/>
      <c r="IN102" s="374"/>
      <c r="IO102" s="374"/>
    </row>
    <row r="103" spans="1:249" s="622" customFormat="1" ht="12.75" customHeight="1" x14ac:dyDescent="0.2">
      <c r="A103" s="1846"/>
      <c r="B103" s="1331">
        <f>IFERROR(VLOOKUP(C103:C104,'[24]ניתוח הוצאות הנהלה'!$B$3:$C$17,2,0),0)</f>
        <v>5</v>
      </c>
      <c r="C103" s="1334" t="s">
        <v>1777</v>
      </c>
      <c r="D103" s="1337">
        <f>+IFERROR(HLOOKUP(D$122,'ניתוח עלויות תפעול'!$D$3:$K$17,$B103,0),0)</f>
        <v>60</v>
      </c>
      <c r="E103" s="1337">
        <f>+IFERROR(HLOOKUP(E$122,'ניתוח עלויות תפעול'!$D$3:$K$17,$B103,0),0)</f>
        <v>60</v>
      </c>
      <c r="F103" s="1337">
        <f>+IFERROR(HLOOKUP(F$122,'ניתוח עלויות תפעול'!$D$3:$K$17,$B103,0),0)</f>
        <v>50</v>
      </c>
      <c r="G103" s="1337">
        <f>+IFERROR(HLOOKUP(G$122,'ניתוח עלויות תפעול'!$D$3:$K$17,$B103,0),0)</f>
        <v>108</v>
      </c>
      <c r="H103" s="1337">
        <f>+IFERROR(HLOOKUP(H$122,'ניתוח עלויות תפעול'!$D$3:$K$17,$B103,0),0)</f>
        <v>60</v>
      </c>
      <c r="I103" s="1337">
        <f>+IFERROR(HLOOKUP(I$122,'ניתוח עלויות תפעול'!$D$3:$K$17,$B103,0),0)</f>
        <v>24</v>
      </c>
      <c r="J103" s="1337">
        <f>+IFERROR(HLOOKUP(J$122,'ניתוח עלויות תפעול'!$D$3:$K$17,$B103,0),0)</f>
        <v>50</v>
      </c>
      <c r="K103" s="1337">
        <f>+IFERROR(HLOOKUP(K$122,'ניתוח עלויות תפעול'!$D$3:$K$17,$B103,0),0)</f>
        <v>50</v>
      </c>
      <c r="L103" s="1337">
        <f>+IFERROR(HLOOKUP(L$122,'ניתוח עלויות תפעול'!$D$3:$K$17,$B103,0),0)</f>
        <v>50</v>
      </c>
      <c r="M103" s="1337">
        <f>+IFERROR(HLOOKUP(M$122,'ניתוח עלויות תפעול'!$D$3:$K$17,$B103,0),0)</f>
        <v>50</v>
      </c>
      <c r="N103" s="1337">
        <f>+IFERROR(HLOOKUP(N$122,'ניתוח עלויות תפעול'!$D$3:$K$17,$B103,0),0)</f>
        <v>60</v>
      </c>
      <c r="O103" s="1337">
        <f>+IFERROR(HLOOKUP(O$122,'ניתוח עלויות תפעול'!$D$3:$K$17,$B103,0),0)</f>
        <v>60</v>
      </c>
      <c r="P103" s="1337">
        <f>+IFERROR(HLOOKUP(P$122,'ניתוח עלויות תפעול'!$D$3:$K$17,$B103,0),0)</f>
        <v>50</v>
      </c>
      <c r="Q103" s="1337">
        <f>+IFERROR(HLOOKUP(Q$122,'ניתוח עלויות תפעול'!$D$3:$K$17,$B103,0),0)</f>
        <v>50</v>
      </c>
      <c r="R103" s="1337">
        <f>+IFERROR(HLOOKUP(R$122,'ניתוח עלויות תפעול'!$D$3:$K$17,$B103,0),0)</f>
        <v>60</v>
      </c>
      <c r="S103" s="1337">
        <f>+IFERROR(HLOOKUP(S$122,'ניתוח עלויות תפעול'!$D$3:$K$17,$B103,0),0)</f>
        <v>60</v>
      </c>
      <c r="T103" s="1337">
        <f>+IFERROR(HLOOKUP(T$122,'ניתוח עלויות תפעול'!$D$3:$K$17,$B103,0),0)</f>
        <v>80</v>
      </c>
      <c r="U103" s="1337">
        <f>+IFERROR(HLOOKUP(U$122,'ניתוח עלויות תפעול'!$D$3:$K$17,$B103,0),0)</f>
        <v>60</v>
      </c>
      <c r="V103" s="1337">
        <f>+IFERROR(HLOOKUP(V$122,'ניתוח עלויות תפעול'!$D$3:$K$17,$B103,0),0)</f>
        <v>0</v>
      </c>
      <c r="W103" s="1337">
        <f>+IFERROR(HLOOKUP(W$122,'ניתוח עלויות תפעול'!$D$3:$K$17,$B103,0),0)</f>
        <v>50</v>
      </c>
      <c r="X103" s="1337">
        <f>+IFERROR(HLOOKUP(X$122,'ניתוח עלויות תפעול'!$D$3:$K$17,$B103,0),0)</f>
        <v>60</v>
      </c>
      <c r="Y103" s="1337">
        <f>+IFERROR(HLOOKUP(Y$122,'ניתוח עלויות תפעול'!$D$3:$K$17,$B103,0),0)</f>
        <v>50</v>
      </c>
      <c r="Z103" s="1337">
        <f>+IFERROR(HLOOKUP(Z$122,'ניתוח עלויות תפעול'!$D$3:$K$17,$B103,0),0)</f>
        <v>50</v>
      </c>
      <c r="AA103" s="1337">
        <f>+IFERROR(HLOOKUP(AA$122,'ניתוח עלויות תפעול'!$D$3:$K$17,$B103,0),0)</f>
        <v>50</v>
      </c>
      <c r="AB103" s="1337">
        <f>+IFERROR(HLOOKUP(AB$122,'ניתוח עלויות תפעול'!$D$3:$K$17,$B103,0),0)</f>
        <v>50</v>
      </c>
      <c r="AC103" s="1337">
        <f>+IFERROR(HLOOKUP(AC$122,'ניתוח עלויות תפעול'!$D$3:$K$17,$B103,0),0)</f>
        <v>50</v>
      </c>
      <c r="AD103" s="1337">
        <f>+IFERROR(HLOOKUP(AD$122,'ניתוח עלויות תפעול'!$D$3:$K$17,$B103,0),0)</f>
        <v>50</v>
      </c>
      <c r="AE103" s="1337">
        <f>+IFERROR(HLOOKUP(AE$122,'ניתוח עלויות תפעול'!$D$3:$K$17,$B103,0),0)</f>
        <v>50</v>
      </c>
      <c r="AF103" s="1337">
        <f>+IFERROR(HLOOKUP(AF$122,'ניתוח עלויות תפעול'!$D$3:$K$17,$B103,0),0)</f>
        <v>80</v>
      </c>
      <c r="AG103" s="1337">
        <f>+IFERROR(HLOOKUP(AG$122,'ניתוח עלויות תפעול'!$D$3:$K$17,$B103,0),0)</f>
        <v>50</v>
      </c>
      <c r="AH103" s="1337">
        <f>+IFERROR(HLOOKUP(AH$122,'ניתוח עלויות תפעול'!$D$3:$K$17,$B103,0),0)</f>
        <v>50</v>
      </c>
      <c r="AI103" s="1337">
        <f>+IFERROR(HLOOKUP(AI$122,'ניתוח עלויות תפעול'!$D$3:$K$17,$B103,0),0)</f>
        <v>50</v>
      </c>
      <c r="AJ103" s="1337">
        <f>+IFERROR(HLOOKUP(AJ$122,'ניתוח עלויות תפעול'!$D$3:$K$17,$B103,0),0)</f>
        <v>50</v>
      </c>
      <c r="AK103" s="1337">
        <f>+IFERROR(HLOOKUP(AK$122,'ניתוח עלויות תפעול'!$D$3:$K$17,$B103,0),0)</f>
        <v>50</v>
      </c>
      <c r="AL103" s="1337">
        <f>+IFERROR(HLOOKUP(AL$122,'ניתוח עלויות תפעול'!$D$3:$K$17,$B103,0),0)</f>
        <v>50</v>
      </c>
      <c r="AM103" s="1337">
        <f>+IFERROR(HLOOKUP(AM$122,'ניתוח עלויות תפעול'!$D$3:$K$17,$B103,0),0)</f>
        <v>108.80000000000001</v>
      </c>
      <c r="AN103" s="1337">
        <f>+IFERROR(HLOOKUP(AN$122,'ניתוח עלויות תפעול'!$D$3:$K$17,$B103,0),0)</f>
        <v>50</v>
      </c>
      <c r="AO103" s="1337">
        <f>+IFERROR(HLOOKUP(AO$122,'ניתוח עלויות תפעול'!$D$3:$K$17,$B103,0),0)</f>
        <v>60</v>
      </c>
      <c r="AP103" s="1337">
        <f>+IFERROR(HLOOKUP(AP$122,'ניתוח עלויות תפעול'!$D$3:$K$17,$B103,0),0)</f>
        <v>50</v>
      </c>
      <c r="AQ103" s="1337">
        <f>+IFERROR(HLOOKUP(AQ$122,'ניתוח עלויות תפעול'!$D$3:$K$17,$B103,0),0)</f>
        <v>60</v>
      </c>
      <c r="AR103" s="1337">
        <f>+IFERROR(HLOOKUP(AR$122,'ניתוח עלויות תפעול'!$D$3:$K$17,$B103,0),0)</f>
        <v>50</v>
      </c>
      <c r="AS103" s="1337">
        <f>+IFERROR(HLOOKUP(AS$122,'ניתוח עלויות תפעול'!$D$3:$K$17,$B103,0),0)</f>
        <v>60</v>
      </c>
      <c r="AT103" s="1337">
        <f>+IFERROR(HLOOKUP(AT$122,'ניתוח עלויות תפעול'!$D$3:$K$17,$B103,0),0)</f>
        <v>50</v>
      </c>
      <c r="AU103" s="1337">
        <f>+IFERROR(HLOOKUP(AU$122,'ניתוח עלויות תפעול'!$D$3:$K$17,$B103,0),0)</f>
        <v>50</v>
      </c>
      <c r="AV103" s="1337">
        <f>+IFERROR(HLOOKUP(AV$122,'ניתוח עלויות תפעול'!$D$3:$K$17,$B103,0),0)</f>
        <v>50</v>
      </c>
      <c r="AW103" s="1337">
        <f>+IFERROR(HLOOKUP(AW$122,'ניתוח עלויות תפעול'!$D$3:$K$17,$B103,0),0)</f>
        <v>50</v>
      </c>
      <c r="AX103" s="1337">
        <f>+IFERROR(HLOOKUP(AX$122,'ניתוח עלויות תפעול'!$D$3:$K$17,$B103,0),0)</f>
        <v>50</v>
      </c>
      <c r="AY103" s="1337">
        <f>+IFERROR(HLOOKUP(AY$122,'ניתוח עלויות תפעול'!$D$3:$K$17,$B103,0),0)</f>
        <v>60</v>
      </c>
      <c r="AZ103" s="1337">
        <f>+IFERROR(HLOOKUP(AZ$122,'ניתוח עלויות תפעול'!$D$3:$K$17,$B103,0),0)</f>
        <v>50</v>
      </c>
      <c r="BA103" s="1337">
        <f>+IFERROR(HLOOKUP(BA$122,'ניתוח עלויות תפעול'!$D$3:$K$17,$B103,0),0)</f>
        <v>50</v>
      </c>
      <c r="BB103" s="1337">
        <f>+IFERROR(HLOOKUP(BB$122,'ניתוח עלויות תפעול'!$D$3:$K$17,$B103,0),0)</f>
        <v>50</v>
      </c>
      <c r="BC103" s="1337">
        <f>+IFERROR(HLOOKUP(BC$122,'ניתוח עלויות תפעול'!$D$3:$K$17,$B103,0),0)</f>
        <v>50</v>
      </c>
      <c r="BD103" s="1337">
        <f>+IFERROR(HLOOKUP(BD$122,'ניתוח עלויות תפעול'!$D$3:$K$17,$B103,0),0)</f>
        <v>50</v>
      </c>
      <c r="BE103" s="1337">
        <f>+IFERROR(HLOOKUP(BE$122,'ניתוח עלויות תפעול'!$D$3:$K$17,$B103,0),0)</f>
        <v>50</v>
      </c>
      <c r="BF103" s="1337">
        <f>+IFERROR(HLOOKUP(BF$122,'ניתוח עלויות תפעול'!$D$3:$K$17,$B103,0),0)</f>
        <v>50</v>
      </c>
      <c r="BG103" s="374"/>
      <c r="BH103" s="374"/>
      <c r="BI103" s="374"/>
      <c r="BJ103" s="374"/>
      <c r="BK103" s="374"/>
      <c r="BL103" s="374"/>
      <c r="BM103" s="374"/>
      <c r="BN103" s="374"/>
      <c r="BO103" s="374"/>
      <c r="BP103" s="374"/>
      <c r="BQ103" s="374"/>
      <c r="BR103" s="374"/>
      <c r="BS103" s="374"/>
      <c r="BT103" s="374"/>
      <c r="BU103" s="374"/>
      <c r="BV103" s="374"/>
      <c r="BW103" s="374"/>
      <c r="BX103" s="374"/>
      <c r="BY103" s="374"/>
      <c r="BZ103" s="374"/>
      <c r="CA103" s="374"/>
      <c r="CB103" s="374"/>
      <c r="CC103" s="374"/>
      <c r="CD103" s="374"/>
      <c r="CE103" s="374"/>
      <c r="CF103" s="374"/>
      <c r="CG103" s="374"/>
      <c r="CH103" s="374"/>
      <c r="CI103" s="374"/>
      <c r="CJ103" s="374"/>
      <c r="CK103" s="374"/>
      <c r="CL103" s="374"/>
      <c r="CM103" s="374"/>
      <c r="CN103" s="374"/>
      <c r="CO103" s="374"/>
      <c r="CP103" s="374"/>
      <c r="CQ103" s="374"/>
      <c r="CR103" s="374"/>
      <c r="CS103" s="374"/>
      <c r="CT103" s="374"/>
      <c r="CU103" s="374"/>
      <c r="CV103" s="374"/>
      <c r="CW103" s="374"/>
      <c r="CX103" s="374"/>
      <c r="CY103" s="374"/>
      <c r="CZ103" s="374"/>
      <c r="DA103" s="374"/>
      <c r="DB103" s="374"/>
      <c r="DC103" s="374"/>
      <c r="DD103" s="374"/>
      <c r="DE103" s="374"/>
      <c r="DF103" s="374"/>
      <c r="DG103" s="374"/>
      <c r="DH103" s="374"/>
      <c r="DI103" s="374"/>
      <c r="DJ103" s="374"/>
      <c r="DK103" s="374"/>
      <c r="DL103" s="374"/>
      <c r="DM103" s="374"/>
      <c r="DN103" s="374"/>
      <c r="DO103" s="374"/>
      <c r="DP103" s="374"/>
      <c r="DQ103" s="374"/>
      <c r="DR103" s="374"/>
      <c r="DS103" s="374"/>
      <c r="DT103" s="374"/>
      <c r="DU103" s="374"/>
      <c r="DV103" s="374"/>
      <c r="DW103" s="374"/>
      <c r="DX103" s="374"/>
      <c r="DY103" s="374"/>
      <c r="DZ103" s="374"/>
      <c r="EA103" s="374"/>
      <c r="EB103" s="374"/>
      <c r="EC103" s="374"/>
      <c r="ED103" s="374"/>
      <c r="EE103" s="374"/>
      <c r="EF103" s="374"/>
      <c r="EG103" s="374"/>
      <c r="EH103" s="374"/>
      <c r="EI103" s="374"/>
      <c r="EJ103" s="374"/>
      <c r="EK103" s="374"/>
      <c r="EL103" s="374"/>
      <c r="EM103" s="374"/>
      <c r="EN103" s="374"/>
      <c r="EO103" s="374"/>
      <c r="EP103" s="374"/>
      <c r="EQ103" s="374"/>
      <c r="ER103" s="374"/>
      <c r="ES103" s="374"/>
      <c r="ET103" s="374"/>
      <c r="EU103" s="374"/>
      <c r="EV103" s="374"/>
      <c r="EW103" s="374"/>
      <c r="EX103" s="374"/>
      <c r="EY103" s="374"/>
      <c r="EZ103" s="374"/>
      <c r="FA103" s="374"/>
      <c r="FB103" s="374"/>
      <c r="FC103" s="374"/>
      <c r="FD103" s="374"/>
      <c r="FE103" s="374"/>
      <c r="FF103" s="374"/>
      <c r="FG103" s="374"/>
      <c r="FH103" s="374"/>
      <c r="FI103" s="374"/>
      <c r="FJ103" s="374"/>
      <c r="FK103" s="374"/>
      <c r="FL103" s="374"/>
      <c r="FM103" s="374"/>
      <c r="FN103" s="374"/>
      <c r="FO103" s="374"/>
      <c r="FP103" s="374"/>
      <c r="FQ103" s="374"/>
      <c r="FR103" s="374"/>
      <c r="FS103" s="374"/>
      <c r="FT103" s="374"/>
      <c r="FU103" s="374"/>
      <c r="FV103" s="374"/>
      <c r="FW103" s="374"/>
      <c r="FX103" s="374"/>
      <c r="FY103" s="374"/>
      <c r="FZ103" s="374"/>
      <c r="GA103" s="374"/>
      <c r="GB103" s="374"/>
      <c r="GC103" s="374"/>
      <c r="GD103" s="374"/>
      <c r="GE103" s="374"/>
      <c r="GF103" s="374"/>
      <c r="GG103" s="374"/>
      <c r="GH103" s="374"/>
      <c r="GI103" s="374"/>
      <c r="GJ103" s="374"/>
      <c r="GK103" s="374"/>
      <c r="GL103" s="374"/>
      <c r="GM103" s="374"/>
      <c r="GN103" s="374"/>
      <c r="GO103" s="374"/>
      <c r="GP103" s="374"/>
      <c r="GQ103" s="374"/>
      <c r="GR103" s="374"/>
      <c r="GS103" s="374"/>
      <c r="GT103" s="374"/>
      <c r="GU103" s="374"/>
      <c r="GV103" s="374"/>
      <c r="GW103" s="374"/>
      <c r="GX103" s="374"/>
      <c r="GY103" s="374"/>
      <c r="GZ103" s="374"/>
      <c r="HA103" s="374"/>
      <c r="HB103" s="374"/>
      <c r="HC103" s="374"/>
      <c r="HD103" s="374"/>
      <c r="HE103" s="374"/>
      <c r="HF103" s="374"/>
      <c r="HG103" s="374"/>
      <c r="HH103" s="374"/>
      <c r="HI103" s="374"/>
      <c r="HJ103" s="374"/>
      <c r="HK103" s="374"/>
      <c r="HL103" s="374"/>
      <c r="HM103" s="374"/>
      <c r="HN103" s="374"/>
      <c r="HO103" s="374"/>
      <c r="HP103" s="374"/>
      <c r="HQ103" s="374"/>
      <c r="HR103" s="374"/>
      <c r="HS103" s="374"/>
      <c r="HT103" s="374"/>
      <c r="HU103" s="374"/>
      <c r="HV103" s="374"/>
      <c r="HW103" s="374"/>
      <c r="HX103" s="374"/>
      <c r="HY103" s="374"/>
      <c r="HZ103" s="374"/>
      <c r="IA103" s="374"/>
      <c r="IB103" s="374"/>
      <c r="IC103" s="374"/>
      <c r="ID103" s="374"/>
      <c r="IE103" s="374"/>
      <c r="IF103" s="374"/>
      <c r="IG103" s="374"/>
      <c r="IH103" s="374"/>
      <c r="II103" s="374"/>
      <c r="IJ103" s="374"/>
      <c r="IK103" s="374"/>
      <c r="IL103" s="374"/>
      <c r="IM103" s="374"/>
      <c r="IN103" s="374"/>
      <c r="IO103" s="374"/>
    </row>
    <row r="104" spans="1:249" s="622" customFormat="1" ht="12.75" customHeight="1" x14ac:dyDescent="0.2">
      <c r="A104" s="1846"/>
      <c r="B104" s="1331">
        <f>IFERROR(VLOOKUP(C104:C105,'[24]ניתוח הוצאות הנהלה'!$B$3:$C$17,2,0),0)</f>
        <v>6</v>
      </c>
      <c r="C104" s="1334" t="s">
        <v>1718</v>
      </c>
      <c r="D104" s="1337">
        <f>+IFERROR(HLOOKUP(D$122,'ניתוח עלויות תפעול'!$D$3:$K$17,$B104,0),0)</f>
        <v>36</v>
      </c>
      <c r="E104" s="1337">
        <f>+IFERROR(HLOOKUP(E$122,'ניתוח עלויות תפעול'!$D$3:$K$17,$B104,0),0)</f>
        <v>36</v>
      </c>
      <c r="F104" s="1337">
        <f>+IFERROR(HLOOKUP(F$122,'ניתוח עלויות תפעול'!$D$3:$K$17,$B104,0),0)</f>
        <v>30</v>
      </c>
      <c r="G104" s="1337">
        <f>+IFERROR(HLOOKUP(G$122,'ניתוח עלויות תפעול'!$D$3:$K$17,$B104,0),0)</f>
        <v>204.75</v>
      </c>
      <c r="H104" s="1337">
        <f>+IFERROR(HLOOKUP(H$122,'ניתוח עלויות תפעול'!$D$3:$K$17,$B104,0),0)</f>
        <v>36</v>
      </c>
      <c r="I104" s="1337">
        <f>+IFERROR(HLOOKUP(I$122,'ניתוח עלויות תפעול'!$D$3:$K$17,$B104,0),0)</f>
        <v>45.499999999999993</v>
      </c>
      <c r="J104" s="1337">
        <f>+IFERROR(HLOOKUP(J$122,'ניתוח עלויות תפעול'!$D$3:$K$17,$B104,0),0)</f>
        <v>48</v>
      </c>
      <c r="K104" s="1337">
        <f>+IFERROR(HLOOKUP(K$122,'ניתוח עלויות תפעול'!$D$3:$K$17,$B104,0),0)</f>
        <v>48</v>
      </c>
      <c r="L104" s="1337">
        <f>+IFERROR(HLOOKUP(L$122,'ניתוח עלויות תפעול'!$D$3:$K$17,$B104,0),0)</f>
        <v>48</v>
      </c>
      <c r="M104" s="1337">
        <f>+IFERROR(HLOOKUP(M$122,'ניתוח עלויות תפעול'!$D$3:$K$17,$B104,0),0)</f>
        <v>48</v>
      </c>
      <c r="N104" s="1337">
        <f>+IFERROR(HLOOKUP(N$122,'ניתוח עלויות תפעול'!$D$3:$K$17,$B104,0),0)</f>
        <v>36</v>
      </c>
      <c r="O104" s="1337">
        <f>+IFERROR(HLOOKUP(O$122,'ניתוח עלויות תפעול'!$D$3:$K$17,$B104,0),0)</f>
        <v>36</v>
      </c>
      <c r="P104" s="1337">
        <f>+IFERROR(HLOOKUP(P$122,'ניתוח עלויות תפעול'!$D$3:$K$17,$B104,0),0)</f>
        <v>48</v>
      </c>
      <c r="Q104" s="1337">
        <f>+IFERROR(HLOOKUP(Q$122,'ניתוח עלויות תפעול'!$D$3:$K$17,$B104,0),0)</f>
        <v>30</v>
      </c>
      <c r="R104" s="1337">
        <f>+IFERROR(HLOOKUP(R$122,'ניתוח עלויות תפעול'!$D$3:$K$17,$B104,0),0)</f>
        <v>36</v>
      </c>
      <c r="S104" s="1337">
        <f>+IFERROR(HLOOKUP(S$122,'ניתוח עלויות תפעול'!$D$3:$K$17,$B104,0),0)</f>
        <v>36</v>
      </c>
      <c r="T104" s="1337">
        <f>+IFERROR(HLOOKUP(T$122,'ניתוח עלויות תפעול'!$D$3:$K$17,$B104,0),0)</f>
        <v>43.199999999999996</v>
      </c>
      <c r="U104" s="1337">
        <f>+IFERROR(HLOOKUP(U$122,'ניתוח עלויות תפעול'!$D$3:$K$17,$B104,0),0)</f>
        <v>36</v>
      </c>
      <c r="V104" s="1337">
        <f>+IFERROR(HLOOKUP(V$122,'ניתוח עלויות תפעול'!$D$3:$K$17,$B104,0),0)</f>
        <v>0</v>
      </c>
      <c r="W104" s="1337">
        <f>+IFERROR(HLOOKUP(W$122,'ניתוח עלויות תפעול'!$D$3:$K$17,$B104,0),0)</f>
        <v>48</v>
      </c>
      <c r="X104" s="1337">
        <f>+IFERROR(HLOOKUP(X$122,'ניתוח עלויות תפעול'!$D$3:$K$17,$B104,0),0)</f>
        <v>36</v>
      </c>
      <c r="Y104" s="1337">
        <f>+IFERROR(HLOOKUP(Y$122,'ניתוח עלויות תפעול'!$D$3:$K$17,$B104,0),0)</f>
        <v>48</v>
      </c>
      <c r="Z104" s="1337">
        <f>+IFERROR(HLOOKUP(Z$122,'ניתוח עלויות תפעול'!$D$3:$K$17,$B104,0),0)</f>
        <v>30</v>
      </c>
      <c r="AA104" s="1337">
        <f>+IFERROR(HLOOKUP(AA$122,'ניתוח עלויות תפעול'!$D$3:$K$17,$B104,0),0)</f>
        <v>30</v>
      </c>
      <c r="AB104" s="1337">
        <f>+IFERROR(HLOOKUP(AB$122,'ניתוח עלויות תפעול'!$D$3:$K$17,$B104,0),0)</f>
        <v>48</v>
      </c>
      <c r="AC104" s="1337">
        <f>+IFERROR(HLOOKUP(AC$122,'ניתוח עלויות תפעול'!$D$3:$K$17,$B104,0),0)</f>
        <v>30</v>
      </c>
      <c r="AD104" s="1337">
        <f>+IFERROR(HLOOKUP(AD$122,'ניתוח עלויות תפעול'!$D$3:$K$17,$B104,0),0)</f>
        <v>48</v>
      </c>
      <c r="AE104" s="1337">
        <f>+IFERROR(HLOOKUP(AE$122,'ניתוח עלויות תפעול'!$D$3:$K$17,$B104,0),0)</f>
        <v>30</v>
      </c>
      <c r="AF104" s="1337">
        <f>+IFERROR(HLOOKUP(AF$122,'ניתוח עלויות תפעול'!$D$3:$K$17,$B104,0),0)</f>
        <v>43.199999999999996</v>
      </c>
      <c r="AG104" s="1337">
        <f>+IFERROR(HLOOKUP(AG$122,'ניתוח עלויות תפעול'!$D$3:$K$17,$B104,0),0)</f>
        <v>48</v>
      </c>
      <c r="AH104" s="1337">
        <f>+IFERROR(HLOOKUP(AH$122,'ניתוח עלויות תפעול'!$D$3:$K$17,$B104,0),0)</f>
        <v>30</v>
      </c>
      <c r="AI104" s="1337">
        <f>+IFERROR(HLOOKUP(AI$122,'ניתוח עלויות תפעול'!$D$3:$K$17,$B104,0),0)</f>
        <v>48</v>
      </c>
      <c r="AJ104" s="1337">
        <f>+IFERROR(HLOOKUP(AJ$122,'ניתוח עלויות תפעול'!$D$3:$K$17,$B104,0),0)</f>
        <v>30</v>
      </c>
      <c r="AK104" s="1337">
        <f>+IFERROR(HLOOKUP(AK$122,'ניתוח עלויות תפעול'!$D$3:$K$17,$B104,0),0)</f>
        <v>30</v>
      </c>
      <c r="AL104" s="1337">
        <f>+IFERROR(HLOOKUP(AL$122,'ניתוח עלויות תפעול'!$D$3:$K$17,$B104,0),0)</f>
        <v>30</v>
      </c>
      <c r="AM104" s="1337">
        <f>+IFERROR(HLOOKUP(AM$122,'ניתוח עלויות תפעול'!$D$3:$K$17,$B104,0),0)</f>
        <v>206.26666666666668</v>
      </c>
      <c r="AN104" s="1337">
        <f>+IFERROR(HLOOKUP(AN$122,'ניתוח עלויות תפעול'!$D$3:$K$17,$B104,0),0)</f>
        <v>48</v>
      </c>
      <c r="AO104" s="1337">
        <f>+IFERROR(HLOOKUP(AO$122,'ניתוח עלויות תפעול'!$D$3:$K$17,$B104,0),0)</f>
        <v>36</v>
      </c>
      <c r="AP104" s="1337">
        <f>+IFERROR(HLOOKUP(AP$122,'ניתוח עלויות תפעול'!$D$3:$K$17,$B104,0),0)</f>
        <v>30</v>
      </c>
      <c r="AQ104" s="1337">
        <f>+IFERROR(HLOOKUP(AQ$122,'ניתוח עלויות תפעול'!$D$3:$K$17,$B104,0),0)</f>
        <v>36</v>
      </c>
      <c r="AR104" s="1337">
        <f>+IFERROR(HLOOKUP(AR$122,'ניתוח עלויות תפעול'!$D$3:$K$17,$B104,0),0)</f>
        <v>48</v>
      </c>
      <c r="AS104" s="1337">
        <f>+IFERROR(HLOOKUP(AS$122,'ניתוח עלויות תפעול'!$D$3:$K$17,$B104,0),0)</f>
        <v>36</v>
      </c>
      <c r="AT104" s="1337">
        <f>+IFERROR(HLOOKUP(AT$122,'ניתוח עלויות תפעול'!$D$3:$K$17,$B104,0),0)</f>
        <v>30</v>
      </c>
      <c r="AU104" s="1337">
        <f>+IFERROR(HLOOKUP(AU$122,'ניתוח עלויות תפעול'!$D$3:$K$17,$B104,0),0)</f>
        <v>30</v>
      </c>
      <c r="AV104" s="1337">
        <f>+IFERROR(HLOOKUP(AV$122,'ניתוח עלויות תפעול'!$D$3:$K$17,$B104,0),0)</f>
        <v>30</v>
      </c>
      <c r="AW104" s="1337">
        <f>+IFERROR(HLOOKUP(AW$122,'ניתוח עלויות תפעול'!$D$3:$K$17,$B104,0),0)</f>
        <v>48</v>
      </c>
      <c r="AX104" s="1337">
        <f>+IFERROR(HLOOKUP(AX$122,'ניתוח עלויות תפעול'!$D$3:$K$17,$B104,0),0)</f>
        <v>48</v>
      </c>
      <c r="AY104" s="1337">
        <f>+IFERROR(HLOOKUP(AY$122,'ניתוח עלויות תפעול'!$D$3:$K$17,$B104,0),0)</f>
        <v>36</v>
      </c>
      <c r="AZ104" s="1337">
        <f>+IFERROR(HLOOKUP(AZ$122,'ניתוח עלויות תפעול'!$D$3:$K$17,$B104,0),0)</f>
        <v>48</v>
      </c>
      <c r="BA104" s="1337">
        <f>+IFERROR(HLOOKUP(BA$122,'ניתוח עלויות תפעול'!$D$3:$K$17,$B104,0),0)</f>
        <v>48</v>
      </c>
      <c r="BB104" s="1337">
        <f>+IFERROR(HLOOKUP(BB$122,'ניתוח עלויות תפעול'!$D$3:$K$17,$B104,0),0)</f>
        <v>48</v>
      </c>
      <c r="BC104" s="1337">
        <f>+IFERROR(HLOOKUP(BC$122,'ניתוח עלויות תפעול'!$D$3:$K$17,$B104,0),0)</f>
        <v>30</v>
      </c>
      <c r="BD104" s="1337">
        <f>+IFERROR(HLOOKUP(BD$122,'ניתוח עלויות תפעול'!$D$3:$K$17,$B104,0),0)</f>
        <v>48</v>
      </c>
      <c r="BE104" s="1337">
        <f>+IFERROR(HLOOKUP(BE$122,'ניתוח עלויות תפעול'!$D$3:$K$17,$B104,0),0)</f>
        <v>30</v>
      </c>
      <c r="BF104" s="1337">
        <f>+IFERROR(HLOOKUP(BF$122,'ניתוח עלויות תפעול'!$D$3:$K$17,$B104,0),0)</f>
        <v>30</v>
      </c>
      <c r="BG104" s="374"/>
      <c r="BH104" s="374"/>
      <c r="BI104" s="374"/>
      <c r="BJ104" s="374"/>
      <c r="BK104" s="374"/>
      <c r="BL104" s="374"/>
      <c r="BM104" s="374"/>
      <c r="BN104" s="374"/>
      <c r="BO104" s="374"/>
      <c r="BP104" s="374"/>
      <c r="BQ104" s="374"/>
      <c r="BR104" s="374"/>
      <c r="BS104" s="374"/>
      <c r="BT104" s="374"/>
      <c r="BU104" s="374"/>
      <c r="BV104" s="374"/>
      <c r="BW104" s="374"/>
      <c r="BX104" s="374"/>
      <c r="BY104" s="374"/>
      <c r="BZ104" s="374"/>
      <c r="CA104" s="374"/>
      <c r="CB104" s="374"/>
      <c r="CC104" s="374"/>
      <c r="CD104" s="374"/>
      <c r="CE104" s="374"/>
      <c r="CF104" s="374"/>
      <c r="CG104" s="374"/>
      <c r="CH104" s="374"/>
      <c r="CI104" s="374"/>
      <c r="CJ104" s="374"/>
      <c r="CK104" s="374"/>
      <c r="CL104" s="374"/>
      <c r="CM104" s="374"/>
      <c r="CN104" s="374"/>
      <c r="CO104" s="374"/>
      <c r="CP104" s="374"/>
      <c r="CQ104" s="374"/>
      <c r="CR104" s="374"/>
      <c r="CS104" s="374"/>
      <c r="CT104" s="374"/>
      <c r="CU104" s="374"/>
      <c r="CV104" s="374"/>
      <c r="CW104" s="374"/>
      <c r="CX104" s="374"/>
      <c r="CY104" s="374"/>
      <c r="CZ104" s="374"/>
      <c r="DA104" s="374"/>
      <c r="DB104" s="374"/>
      <c r="DC104" s="374"/>
      <c r="DD104" s="374"/>
      <c r="DE104" s="374"/>
      <c r="DF104" s="374"/>
      <c r="DG104" s="374"/>
      <c r="DH104" s="374"/>
      <c r="DI104" s="374"/>
      <c r="DJ104" s="374"/>
      <c r="DK104" s="374"/>
      <c r="DL104" s="374"/>
      <c r="DM104" s="374"/>
      <c r="DN104" s="374"/>
      <c r="DO104" s="374"/>
      <c r="DP104" s="374"/>
      <c r="DQ104" s="374"/>
      <c r="DR104" s="374"/>
      <c r="DS104" s="374"/>
      <c r="DT104" s="374"/>
      <c r="DU104" s="374"/>
      <c r="DV104" s="374"/>
      <c r="DW104" s="374"/>
      <c r="DX104" s="374"/>
      <c r="DY104" s="374"/>
      <c r="DZ104" s="374"/>
      <c r="EA104" s="374"/>
      <c r="EB104" s="374"/>
      <c r="EC104" s="374"/>
      <c r="ED104" s="374"/>
      <c r="EE104" s="374"/>
      <c r="EF104" s="374"/>
      <c r="EG104" s="374"/>
      <c r="EH104" s="374"/>
      <c r="EI104" s="374"/>
      <c r="EJ104" s="374"/>
      <c r="EK104" s="374"/>
      <c r="EL104" s="374"/>
      <c r="EM104" s="374"/>
      <c r="EN104" s="374"/>
      <c r="EO104" s="374"/>
      <c r="EP104" s="374"/>
      <c r="EQ104" s="374"/>
      <c r="ER104" s="374"/>
      <c r="ES104" s="374"/>
      <c r="ET104" s="374"/>
      <c r="EU104" s="374"/>
      <c r="EV104" s="374"/>
      <c r="EW104" s="374"/>
      <c r="EX104" s="374"/>
      <c r="EY104" s="374"/>
      <c r="EZ104" s="374"/>
      <c r="FA104" s="374"/>
      <c r="FB104" s="374"/>
      <c r="FC104" s="374"/>
      <c r="FD104" s="374"/>
      <c r="FE104" s="374"/>
      <c r="FF104" s="374"/>
      <c r="FG104" s="374"/>
      <c r="FH104" s="374"/>
      <c r="FI104" s="374"/>
      <c r="FJ104" s="374"/>
      <c r="FK104" s="374"/>
      <c r="FL104" s="374"/>
      <c r="FM104" s="374"/>
      <c r="FN104" s="374"/>
      <c r="FO104" s="374"/>
      <c r="FP104" s="374"/>
      <c r="FQ104" s="374"/>
      <c r="FR104" s="374"/>
      <c r="FS104" s="374"/>
      <c r="FT104" s="374"/>
      <c r="FU104" s="374"/>
      <c r="FV104" s="374"/>
      <c r="FW104" s="374"/>
      <c r="FX104" s="374"/>
      <c r="FY104" s="374"/>
      <c r="FZ104" s="374"/>
      <c r="GA104" s="374"/>
      <c r="GB104" s="374"/>
      <c r="GC104" s="374"/>
      <c r="GD104" s="374"/>
      <c r="GE104" s="374"/>
      <c r="GF104" s="374"/>
      <c r="GG104" s="374"/>
      <c r="GH104" s="374"/>
      <c r="GI104" s="374"/>
      <c r="GJ104" s="374"/>
      <c r="GK104" s="374"/>
      <c r="GL104" s="374"/>
      <c r="GM104" s="374"/>
      <c r="GN104" s="374"/>
      <c r="GO104" s="374"/>
      <c r="GP104" s="374"/>
      <c r="GQ104" s="374"/>
      <c r="GR104" s="374"/>
      <c r="GS104" s="374"/>
      <c r="GT104" s="374"/>
      <c r="GU104" s="374"/>
      <c r="GV104" s="374"/>
      <c r="GW104" s="374"/>
      <c r="GX104" s="374"/>
      <c r="GY104" s="374"/>
      <c r="GZ104" s="374"/>
      <c r="HA104" s="374"/>
      <c r="HB104" s="374"/>
      <c r="HC104" s="374"/>
      <c r="HD104" s="374"/>
      <c r="HE104" s="374"/>
      <c r="HF104" s="374"/>
      <c r="HG104" s="374"/>
      <c r="HH104" s="374"/>
      <c r="HI104" s="374"/>
      <c r="HJ104" s="374"/>
      <c r="HK104" s="374"/>
      <c r="HL104" s="374"/>
      <c r="HM104" s="374"/>
      <c r="HN104" s="374"/>
      <c r="HO104" s="374"/>
      <c r="HP104" s="374"/>
      <c r="HQ104" s="374"/>
      <c r="HR104" s="374"/>
      <c r="HS104" s="374"/>
      <c r="HT104" s="374"/>
      <c r="HU104" s="374"/>
      <c r="HV104" s="374"/>
      <c r="HW104" s="374"/>
      <c r="HX104" s="374"/>
      <c r="HY104" s="374"/>
      <c r="HZ104" s="374"/>
      <c r="IA104" s="374"/>
      <c r="IB104" s="374"/>
      <c r="IC104" s="374"/>
      <c r="ID104" s="374"/>
      <c r="IE104" s="374"/>
      <c r="IF104" s="374"/>
      <c r="IG104" s="374"/>
      <c r="IH104" s="374"/>
      <c r="II104" s="374"/>
      <c r="IJ104" s="374"/>
      <c r="IK104" s="374"/>
      <c r="IL104" s="374"/>
      <c r="IM104" s="374"/>
      <c r="IN104" s="374"/>
      <c r="IO104" s="374"/>
    </row>
    <row r="105" spans="1:249" s="622" customFormat="1" ht="12.75" customHeight="1" x14ac:dyDescent="0.2">
      <c r="A105" s="1846"/>
      <c r="B105" s="1331">
        <f>IFERROR(VLOOKUP(C105:C106,'[24]ניתוח הוצאות הנהלה'!$B$3:$C$17,2,0),0)</f>
        <v>7</v>
      </c>
      <c r="C105" s="1334" t="s">
        <v>1315</v>
      </c>
      <c r="D105" s="1337">
        <f>+IFERROR(HLOOKUP(D$122,'ניתוח עלויות תפעול'!$D$3:$K$17,$B105,0),0)</f>
        <v>214.79999999999995</v>
      </c>
      <c r="E105" s="1337">
        <f>+IFERROR(HLOOKUP(E$122,'ניתוח עלויות תפעול'!$D$3:$K$17,$B105,0),0)</f>
        <v>214.79999999999995</v>
      </c>
      <c r="F105" s="1337">
        <f>+IFERROR(HLOOKUP(F$122,'ניתוח עלויות תפעול'!$D$3:$K$17,$B105,0),0)</f>
        <v>149.35</v>
      </c>
      <c r="G105" s="1337">
        <f>+IFERROR(HLOOKUP(G$122,'ניתוח עלויות תפעול'!$D$3:$K$17,$B105,0),0)</f>
        <v>732.02400000000011</v>
      </c>
      <c r="H105" s="1337">
        <f>+IFERROR(HLOOKUP(H$122,'ניתוח עלויות תפעול'!$D$3:$K$17,$B105,0),0)</f>
        <v>214.79999999999995</v>
      </c>
      <c r="I105" s="1337">
        <f>+IFERROR(HLOOKUP(I$122,'ניתוח עלויות תפעול'!$D$3:$K$17,$B105,0),0)</f>
        <v>162.672</v>
      </c>
      <c r="J105" s="1337">
        <f>+IFERROR(HLOOKUP(J$122,'ניתוח עלויות תפעול'!$D$3:$K$17,$B105,0),0)</f>
        <v>179</v>
      </c>
      <c r="K105" s="1337">
        <f>+IFERROR(HLOOKUP(K$122,'ניתוח עלויות תפעול'!$D$3:$K$17,$B105,0),0)</f>
        <v>179</v>
      </c>
      <c r="L105" s="1337">
        <f>+IFERROR(HLOOKUP(L$122,'ניתוח עלויות תפעול'!$D$3:$K$17,$B105,0),0)</f>
        <v>179</v>
      </c>
      <c r="M105" s="1337">
        <f>+IFERROR(HLOOKUP(M$122,'ניתוח עלויות תפעול'!$D$3:$K$17,$B105,0),0)</f>
        <v>179</v>
      </c>
      <c r="N105" s="1337">
        <f>+IFERROR(HLOOKUP(N$122,'ניתוח עלויות תפעול'!$D$3:$K$17,$B105,0),0)</f>
        <v>214.79999999999995</v>
      </c>
      <c r="O105" s="1337">
        <f>+IFERROR(HLOOKUP(O$122,'ניתוח עלויות תפעול'!$D$3:$K$17,$B105,0),0)</f>
        <v>214.79999999999995</v>
      </c>
      <c r="P105" s="1337">
        <f>+IFERROR(HLOOKUP(P$122,'ניתוח עלויות תפעול'!$D$3:$K$17,$B105,0),0)</f>
        <v>179</v>
      </c>
      <c r="Q105" s="1337">
        <f>+IFERROR(HLOOKUP(Q$122,'ניתוח עלויות תפעול'!$D$3:$K$17,$B105,0),0)</f>
        <v>149.35</v>
      </c>
      <c r="R105" s="1337">
        <f>+IFERROR(HLOOKUP(R$122,'ניתוח עלויות תפעול'!$D$3:$K$17,$B105,0),0)</f>
        <v>214.79999999999995</v>
      </c>
      <c r="S105" s="1337">
        <f>+IFERROR(HLOOKUP(S$122,'ניתוח עלויות תפעול'!$D$3:$K$17,$B105,0),0)</f>
        <v>214.79999999999995</v>
      </c>
      <c r="T105" s="1337">
        <f>+IFERROR(HLOOKUP(T$122,'ניתוח עלויות תפעול'!$D$3:$K$17,$B105,0),0)</f>
        <v>257.76</v>
      </c>
      <c r="U105" s="1337">
        <f>+IFERROR(HLOOKUP(U$122,'ניתוח עלויות תפעול'!$D$3:$K$17,$B105,0),0)</f>
        <v>214.79999999999995</v>
      </c>
      <c r="V105" s="1337">
        <f>+IFERROR(HLOOKUP(V$122,'ניתוח עלויות תפעול'!$D$3:$K$17,$B105,0),0)</f>
        <v>0</v>
      </c>
      <c r="W105" s="1337">
        <f>+IFERROR(HLOOKUP(W$122,'ניתוח עלויות תפעול'!$D$3:$K$17,$B105,0),0)</f>
        <v>179</v>
      </c>
      <c r="X105" s="1337">
        <f>+IFERROR(HLOOKUP(X$122,'ניתוח עלויות תפעול'!$D$3:$K$17,$B105,0),0)</f>
        <v>214.79999999999995</v>
      </c>
      <c r="Y105" s="1337">
        <f>+IFERROR(HLOOKUP(Y$122,'ניתוח עלויות תפעול'!$D$3:$K$17,$B105,0),0)</f>
        <v>179</v>
      </c>
      <c r="Z105" s="1337">
        <f>+IFERROR(HLOOKUP(Z$122,'ניתוח עלויות תפעול'!$D$3:$K$17,$B105,0),0)</f>
        <v>149.35</v>
      </c>
      <c r="AA105" s="1337">
        <f>+IFERROR(HLOOKUP(AA$122,'ניתוח עלויות תפעול'!$D$3:$K$17,$B105,0),0)</f>
        <v>149.35</v>
      </c>
      <c r="AB105" s="1337">
        <f>+IFERROR(HLOOKUP(AB$122,'ניתוח עלויות תפעול'!$D$3:$K$17,$B105,0),0)</f>
        <v>179</v>
      </c>
      <c r="AC105" s="1337">
        <f>+IFERROR(HLOOKUP(AC$122,'ניתוח עלויות תפעול'!$D$3:$K$17,$B105,0),0)</f>
        <v>149.35</v>
      </c>
      <c r="AD105" s="1337">
        <f>+IFERROR(HLOOKUP(AD$122,'ניתוח עלויות תפעול'!$D$3:$K$17,$B105,0),0)</f>
        <v>179</v>
      </c>
      <c r="AE105" s="1337">
        <f>+IFERROR(HLOOKUP(AE$122,'ניתוח עלויות תפעול'!$D$3:$K$17,$B105,0),0)</f>
        <v>149.35</v>
      </c>
      <c r="AF105" s="1337">
        <f>+IFERROR(HLOOKUP(AF$122,'ניתוח עלויות תפעול'!$D$3:$K$17,$B105,0),0)</f>
        <v>257.76</v>
      </c>
      <c r="AG105" s="1337">
        <f>+IFERROR(HLOOKUP(AG$122,'ניתוח עלויות תפעול'!$D$3:$K$17,$B105,0),0)</f>
        <v>179</v>
      </c>
      <c r="AH105" s="1337">
        <f>+IFERROR(HLOOKUP(AH$122,'ניתוח עלויות תפעול'!$D$3:$K$17,$B105,0),0)</f>
        <v>149.35</v>
      </c>
      <c r="AI105" s="1337">
        <f>+IFERROR(HLOOKUP(AI$122,'ניתוח עלויות תפעול'!$D$3:$K$17,$B105,0),0)</f>
        <v>179</v>
      </c>
      <c r="AJ105" s="1337">
        <f>+IFERROR(HLOOKUP(AJ$122,'ניתוח עלויות תפעול'!$D$3:$K$17,$B105,0),0)</f>
        <v>149.35</v>
      </c>
      <c r="AK105" s="1337">
        <f>+IFERROR(HLOOKUP(AK$122,'ניתוח עלויות תפעול'!$D$3:$K$17,$B105,0),0)</f>
        <v>149.35</v>
      </c>
      <c r="AL105" s="1337">
        <f>+IFERROR(HLOOKUP(AL$122,'ניתוח עלויות תפעול'!$D$3:$K$17,$B105,0),0)</f>
        <v>149.35</v>
      </c>
      <c r="AM105" s="1337">
        <f>+IFERROR(HLOOKUP(AM$122,'ניתוח עלויות תפעול'!$D$3:$K$17,$B105,0),0)</f>
        <v>737.44640000000004</v>
      </c>
      <c r="AN105" s="1337">
        <f>+IFERROR(HLOOKUP(AN$122,'ניתוח עלויות תפעול'!$D$3:$K$17,$B105,0),0)</f>
        <v>179</v>
      </c>
      <c r="AO105" s="1337">
        <f>+IFERROR(HLOOKUP(AO$122,'ניתוח עלויות תפעול'!$D$3:$K$17,$B105,0),0)</f>
        <v>214.79999999999995</v>
      </c>
      <c r="AP105" s="1337">
        <f>+IFERROR(HLOOKUP(AP$122,'ניתוח עלויות תפעול'!$D$3:$K$17,$B105,0),0)</f>
        <v>149.35</v>
      </c>
      <c r="AQ105" s="1337">
        <f>+IFERROR(HLOOKUP(AQ$122,'ניתוח עלויות תפעול'!$D$3:$K$17,$B105,0),0)</f>
        <v>214.79999999999995</v>
      </c>
      <c r="AR105" s="1337">
        <f>+IFERROR(HLOOKUP(AR$122,'ניתוח עלויות תפעול'!$D$3:$K$17,$B105,0),0)</f>
        <v>179</v>
      </c>
      <c r="AS105" s="1337">
        <f>+IFERROR(HLOOKUP(AS$122,'ניתוח עלויות תפעול'!$D$3:$K$17,$B105,0),0)</f>
        <v>214.79999999999995</v>
      </c>
      <c r="AT105" s="1337">
        <f>+IFERROR(HLOOKUP(AT$122,'ניתוח עלויות תפעול'!$D$3:$K$17,$B105,0),0)</f>
        <v>149.35</v>
      </c>
      <c r="AU105" s="1337">
        <f>+IFERROR(HLOOKUP(AU$122,'ניתוח עלויות תפעול'!$D$3:$K$17,$B105,0),0)</f>
        <v>149.35</v>
      </c>
      <c r="AV105" s="1337">
        <f>+IFERROR(HLOOKUP(AV$122,'ניתוח עלויות תפעול'!$D$3:$K$17,$B105,0),0)</f>
        <v>149.35</v>
      </c>
      <c r="AW105" s="1337">
        <f>+IFERROR(HLOOKUP(AW$122,'ניתוח עלויות תפעול'!$D$3:$K$17,$B105,0),0)</f>
        <v>179</v>
      </c>
      <c r="AX105" s="1337">
        <f>+IFERROR(HLOOKUP(AX$122,'ניתוח עלויות תפעול'!$D$3:$K$17,$B105,0),0)</f>
        <v>179</v>
      </c>
      <c r="AY105" s="1337">
        <f>+IFERROR(HLOOKUP(AY$122,'ניתוח עלויות תפעול'!$D$3:$K$17,$B105,0),0)</f>
        <v>214.79999999999995</v>
      </c>
      <c r="AZ105" s="1337">
        <f>+IFERROR(HLOOKUP(AZ$122,'ניתוח עלויות תפעול'!$D$3:$K$17,$B105,0),0)</f>
        <v>179</v>
      </c>
      <c r="BA105" s="1337">
        <f>+IFERROR(HLOOKUP(BA$122,'ניתוח עלויות תפעול'!$D$3:$K$17,$B105,0),0)</f>
        <v>179</v>
      </c>
      <c r="BB105" s="1337">
        <f>+IFERROR(HLOOKUP(BB$122,'ניתוח עלויות תפעול'!$D$3:$K$17,$B105,0),0)</f>
        <v>179</v>
      </c>
      <c r="BC105" s="1337">
        <f>+IFERROR(HLOOKUP(BC$122,'ניתוח עלויות תפעול'!$D$3:$K$17,$B105,0),0)</f>
        <v>149.35</v>
      </c>
      <c r="BD105" s="1337">
        <f>+IFERROR(HLOOKUP(BD$122,'ניתוח עלויות תפעול'!$D$3:$K$17,$B105,0),0)</f>
        <v>179</v>
      </c>
      <c r="BE105" s="1337">
        <f>+IFERROR(HLOOKUP(BE$122,'ניתוח עלויות תפעול'!$D$3:$K$17,$B105,0),0)</f>
        <v>149.35</v>
      </c>
      <c r="BF105" s="1337">
        <f>+IFERROR(HLOOKUP(BF$122,'ניתוח עלויות תפעול'!$D$3:$K$17,$B105,0),0)</f>
        <v>149.35</v>
      </c>
      <c r="BG105" s="374"/>
      <c r="BH105" s="374"/>
      <c r="BI105" s="374"/>
      <c r="BJ105" s="374"/>
      <c r="BK105" s="374"/>
      <c r="BL105" s="374"/>
      <c r="BM105" s="374"/>
      <c r="BN105" s="374"/>
      <c r="BO105" s="374"/>
      <c r="BP105" s="374"/>
      <c r="BQ105" s="374"/>
      <c r="BR105" s="374"/>
      <c r="BS105" s="374"/>
      <c r="BT105" s="374"/>
      <c r="BU105" s="374"/>
      <c r="BV105" s="374"/>
      <c r="BW105" s="374"/>
      <c r="BX105" s="374"/>
      <c r="BY105" s="374"/>
      <c r="BZ105" s="374"/>
      <c r="CA105" s="374"/>
      <c r="CB105" s="374"/>
      <c r="CC105" s="374"/>
      <c r="CD105" s="374"/>
      <c r="CE105" s="374"/>
      <c r="CF105" s="374"/>
      <c r="CG105" s="374"/>
      <c r="CH105" s="374"/>
      <c r="CI105" s="374"/>
      <c r="CJ105" s="374"/>
      <c r="CK105" s="374"/>
      <c r="CL105" s="374"/>
      <c r="CM105" s="374"/>
      <c r="CN105" s="374"/>
      <c r="CO105" s="374"/>
      <c r="CP105" s="374"/>
      <c r="CQ105" s="374"/>
      <c r="CR105" s="374"/>
      <c r="CS105" s="374"/>
      <c r="CT105" s="374"/>
      <c r="CU105" s="374"/>
      <c r="CV105" s="374"/>
      <c r="CW105" s="374"/>
      <c r="CX105" s="374"/>
      <c r="CY105" s="374"/>
      <c r="CZ105" s="374"/>
      <c r="DA105" s="374"/>
      <c r="DB105" s="374"/>
      <c r="DC105" s="374"/>
      <c r="DD105" s="374"/>
      <c r="DE105" s="374"/>
      <c r="DF105" s="374"/>
      <c r="DG105" s="374"/>
      <c r="DH105" s="374"/>
      <c r="DI105" s="374"/>
      <c r="DJ105" s="374"/>
      <c r="DK105" s="374"/>
      <c r="DL105" s="374"/>
      <c r="DM105" s="374"/>
      <c r="DN105" s="374"/>
      <c r="DO105" s="374"/>
      <c r="DP105" s="374"/>
      <c r="DQ105" s="374"/>
      <c r="DR105" s="374"/>
      <c r="DS105" s="374"/>
      <c r="DT105" s="374"/>
      <c r="DU105" s="374"/>
      <c r="DV105" s="374"/>
      <c r="DW105" s="374"/>
      <c r="DX105" s="374"/>
      <c r="DY105" s="374"/>
      <c r="DZ105" s="374"/>
      <c r="EA105" s="374"/>
      <c r="EB105" s="374"/>
      <c r="EC105" s="374"/>
      <c r="ED105" s="374"/>
      <c r="EE105" s="374"/>
      <c r="EF105" s="374"/>
      <c r="EG105" s="374"/>
      <c r="EH105" s="374"/>
      <c r="EI105" s="374"/>
      <c r="EJ105" s="374"/>
      <c r="EK105" s="374"/>
      <c r="EL105" s="374"/>
      <c r="EM105" s="374"/>
      <c r="EN105" s="374"/>
      <c r="EO105" s="374"/>
      <c r="EP105" s="374"/>
      <c r="EQ105" s="374"/>
      <c r="ER105" s="374"/>
      <c r="ES105" s="374"/>
      <c r="ET105" s="374"/>
      <c r="EU105" s="374"/>
      <c r="EV105" s="374"/>
      <c r="EW105" s="374"/>
      <c r="EX105" s="374"/>
      <c r="EY105" s="374"/>
      <c r="EZ105" s="374"/>
      <c r="FA105" s="374"/>
      <c r="FB105" s="374"/>
      <c r="FC105" s="374"/>
      <c r="FD105" s="374"/>
      <c r="FE105" s="374"/>
      <c r="FF105" s="374"/>
      <c r="FG105" s="374"/>
      <c r="FH105" s="374"/>
      <c r="FI105" s="374"/>
      <c r="FJ105" s="374"/>
      <c r="FK105" s="374"/>
      <c r="FL105" s="374"/>
      <c r="FM105" s="374"/>
      <c r="FN105" s="374"/>
      <c r="FO105" s="374"/>
      <c r="FP105" s="374"/>
      <c r="FQ105" s="374"/>
      <c r="FR105" s="374"/>
      <c r="FS105" s="374"/>
      <c r="FT105" s="374"/>
      <c r="FU105" s="374"/>
      <c r="FV105" s="374"/>
      <c r="FW105" s="374"/>
      <c r="FX105" s="374"/>
      <c r="FY105" s="374"/>
      <c r="FZ105" s="374"/>
      <c r="GA105" s="374"/>
      <c r="GB105" s="374"/>
      <c r="GC105" s="374"/>
      <c r="GD105" s="374"/>
      <c r="GE105" s="374"/>
      <c r="GF105" s="374"/>
      <c r="GG105" s="374"/>
      <c r="GH105" s="374"/>
      <c r="GI105" s="374"/>
      <c r="GJ105" s="374"/>
      <c r="GK105" s="374"/>
      <c r="GL105" s="374"/>
      <c r="GM105" s="374"/>
      <c r="GN105" s="374"/>
      <c r="GO105" s="374"/>
      <c r="GP105" s="374"/>
      <c r="GQ105" s="374"/>
      <c r="GR105" s="374"/>
      <c r="GS105" s="374"/>
      <c r="GT105" s="374"/>
      <c r="GU105" s="374"/>
      <c r="GV105" s="374"/>
      <c r="GW105" s="374"/>
      <c r="GX105" s="374"/>
      <c r="GY105" s="374"/>
      <c r="GZ105" s="374"/>
      <c r="HA105" s="374"/>
      <c r="HB105" s="374"/>
      <c r="HC105" s="374"/>
      <c r="HD105" s="374"/>
      <c r="HE105" s="374"/>
      <c r="HF105" s="374"/>
      <c r="HG105" s="374"/>
      <c r="HH105" s="374"/>
      <c r="HI105" s="374"/>
      <c r="HJ105" s="374"/>
      <c r="HK105" s="374"/>
      <c r="HL105" s="374"/>
      <c r="HM105" s="374"/>
      <c r="HN105" s="374"/>
      <c r="HO105" s="374"/>
      <c r="HP105" s="374"/>
      <c r="HQ105" s="374"/>
      <c r="HR105" s="374"/>
      <c r="HS105" s="374"/>
      <c r="HT105" s="374"/>
      <c r="HU105" s="374"/>
      <c r="HV105" s="374"/>
      <c r="HW105" s="374"/>
      <c r="HX105" s="374"/>
      <c r="HY105" s="374"/>
      <c r="HZ105" s="374"/>
      <c r="IA105" s="374"/>
      <c r="IB105" s="374"/>
      <c r="IC105" s="374"/>
      <c r="ID105" s="374"/>
      <c r="IE105" s="374"/>
      <c r="IF105" s="374"/>
      <c r="IG105" s="374"/>
      <c r="IH105" s="374"/>
      <c r="II105" s="374"/>
      <c r="IJ105" s="374"/>
      <c r="IK105" s="374"/>
      <c r="IL105" s="374"/>
      <c r="IM105" s="374"/>
      <c r="IN105" s="374"/>
      <c r="IO105" s="374"/>
    </row>
    <row r="106" spans="1:249" s="622" customFormat="1" ht="12.75" customHeight="1" x14ac:dyDescent="0.2">
      <c r="A106" s="1846"/>
      <c r="B106" s="1331">
        <f>IFERROR(VLOOKUP(C106:C107,'[24]ניתוח הוצאות הנהלה'!$B$3:$C$17,2,0),0)</f>
        <v>8</v>
      </c>
      <c r="C106" s="1334" t="s">
        <v>1778</v>
      </c>
      <c r="D106" s="1337">
        <f>+IFERROR(HLOOKUP(D$122,'ניתוח עלויות תפעול'!$D$3:$K$17,$B106,0),0)</f>
        <v>300</v>
      </c>
      <c r="E106" s="1337">
        <f>+IFERROR(HLOOKUP(E$122,'ניתוח עלויות תפעול'!$D$3:$K$17,$B106,0),0)</f>
        <v>300</v>
      </c>
      <c r="F106" s="1337">
        <f>+IFERROR(HLOOKUP(F$122,'ניתוח עלויות תפעול'!$D$3:$K$17,$B106,0),0)</f>
        <v>114</v>
      </c>
      <c r="G106" s="1337">
        <f>+IFERROR(HLOOKUP(G$122,'ניתוח עלויות תפעול'!$D$3:$K$17,$B106,0),0)</f>
        <v>363.15000000000003</v>
      </c>
      <c r="H106" s="1337">
        <f>+IFERROR(HLOOKUP(H$122,'ניתוח עלויות תפעול'!$D$3:$K$17,$B106,0),0)</f>
        <v>300</v>
      </c>
      <c r="I106" s="1337">
        <f>+IFERROR(HLOOKUP(I$122,'ניתוח עלויות תפעול'!$D$3:$K$17,$B106,0),0)</f>
        <v>80.7</v>
      </c>
      <c r="J106" s="1337">
        <f>+IFERROR(HLOOKUP(J$122,'ניתוח עלויות תפעול'!$D$3:$K$17,$B106,0),0)</f>
        <v>120</v>
      </c>
      <c r="K106" s="1337">
        <f>+IFERROR(HLOOKUP(K$122,'ניתוח עלויות תפעול'!$D$3:$K$17,$B106,0),0)</f>
        <v>120</v>
      </c>
      <c r="L106" s="1337">
        <f>+IFERROR(HLOOKUP(L$122,'ניתוח עלויות תפעול'!$D$3:$K$17,$B106,0),0)</f>
        <v>120</v>
      </c>
      <c r="M106" s="1337">
        <f>+IFERROR(HLOOKUP(M$122,'ניתוח עלויות תפעול'!$D$3:$K$17,$B106,0),0)</f>
        <v>120</v>
      </c>
      <c r="N106" s="1337">
        <f>+IFERROR(HLOOKUP(N$122,'ניתוח עלויות תפעול'!$D$3:$K$17,$B106,0),0)</f>
        <v>300</v>
      </c>
      <c r="O106" s="1337">
        <f>+IFERROR(HLOOKUP(O$122,'ניתוח עלויות תפעול'!$D$3:$K$17,$B106,0),0)</f>
        <v>300</v>
      </c>
      <c r="P106" s="1337">
        <f>+IFERROR(HLOOKUP(P$122,'ניתוח עלויות תפעול'!$D$3:$K$17,$B106,0),0)</f>
        <v>120</v>
      </c>
      <c r="Q106" s="1337">
        <f>+IFERROR(HLOOKUP(Q$122,'ניתוח עלויות תפעול'!$D$3:$K$17,$B106,0),0)</f>
        <v>114</v>
      </c>
      <c r="R106" s="1337">
        <f>+IFERROR(HLOOKUP(R$122,'ניתוח עלויות תפעול'!$D$3:$K$17,$B106,0),0)</f>
        <v>300</v>
      </c>
      <c r="S106" s="1337">
        <f>+IFERROR(HLOOKUP(S$122,'ניתוח עלויות תפעול'!$D$3:$K$17,$B106,0),0)</f>
        <v>300</v>
      </c>
      <c r="T106" s="1337">
        <f>+IFERROR(HLOOKUP(T$122,'ניתוח עלויות תפעול'!$D$3:$K$17,$B106,0),0)</f>
        <v>246</v>
      </c>
      <c r="U106" s="1337">
        <f>+IFERROR(HLOOKUP(U$122,'ניתוח עלויות תפעול'!$D$3:$K$17,$B106,0),0)</f>
        <v>300</v>
      </c>
      <c r="V106" s="1337">
        <f>+IFERROR(HLOOKUP(V$122,'ניתוח עלויות תפעול'!$D$3:$K$17,$B106,0),0)</f>
        <v>0</v>
      </c>
      <c r="W106" s="1337">
        <f>+IFERROR(HLOOKUP(W$122,'ניתוח עלויות תפעול'!$D$3:$K$17,$B106,0),0)</f>
        <v>120</v>
      </c>
      <c r="X106" s="1337">
        <f>+IFERROR(HLOOKUP(X$122,'ניתוח עלויות תפעול'!$D$3:$K$17,$B106,0),0)</f>
        <v>300</v>
      </c>
      <c r="Y106" s="1337">
        <f>+IFERROR(HLOOKUP(Y$122,'ניתוח עלויות תפעול'!$D$3:$K$17,$B106,0),0)</f>
        <v>120</v>
      </c>
      <c r="Z106" s="1337">
        <f>+IFERROR(HLOOKUP(Z$122,'ניתוח עלויות תפעול'!$D$3:$K$17,$B106,0),0)</f>
        <v>114</v>
      </c>
      <c r="AA106" s="1337">
        <f>+IFERROR(HLOOKUP(AA$122,'ניתוח עלויות תפעול'!$D$3:$K$17,$B106,0),0)</f>
        <v>114</v>
      </c>
      <c r="AB106" s="1337">
        <f>+IFERROR(HLOOKUP(AB$122,'ניתוח עלויות תפעול'!$D$3:$K$17,$B106,0),0)</f>
        <v>120</v>
      </c>
      <c r="AC106" s="1337">
        <f>+IFERROR(HLOOKUP(AC$122,'ניתוח עלויות תפעול'!$D$3:$K$17,$B106,0),0)</f>
        <v>114</v>
      </c>
      <c r="AD106" s="1337">
        <f>+IFERROR(HLOOKUP(AD$122,'ניתוח עלויות תפעול'!$D$3:$K$17,$B106,0),0)</f>
        <v>120</v>
      </c>
      <c r="AE106" s="1337">
        <f>+IFERROR(HLOOKUP(AE$122,'ניתוח עלויות תפעול'!$D$3:$K$17,$B106,0),0)</f>
        <v>114</v>
      </c>
      <c r="AF106" s="1337">
        <f>+IFERROR(HLOOKUP(AF$122,'ניתוח עלויות תפעול'!$D$3:$K$17,$B106,0),0)</f>
        <v>246</v>
      </c>
      <c r="AG106" s="1337">
        <f>+IFERROR(HLOOKUP(AG$122,'ניתוח עלויות תפעול'!$D$3:$K$17,$B106,0),0)</f>
        <v>120</v>
      </c>
      <c r="AH106" s="1337">
        <f>+IFERROR(HLOOKUP(AH$122,'ניתוח עלויות תפעול'!$D$3:$K$17,$B106,0),0)</f>
        <v>114</v>
      </c>
      <c r="AI106" s="1337">
        <f>+IFERROR(HLOOKUP(AI$122,'ניתוח עלויות תפעול'!$D$3:$K$17,$B106,0),0)</f>
        <v>120</v>
      </c>
      <c r="AJ106" s="1337">
        <f>+IFERROR(HLOOKUP(AJ$122,'ניתוח עלויות תפעול'!$D$3:$K$17,$B106,0),0)</f>
        <v>114</v>
      </c>
      <c r="AK106" s="1337">
        <f>+IFERROR(HLOOKUP(AK$122,'ניתוח עלויות תפעול'!$D$3:$K$17,$B106,0),0)</f>
        <v>114</v>
      </c>
      <c r="AL106" s="1337">
        <f>+IFERROR(HLOOKUP(AL$122,'ניתוח עלויות תפעול'!$D$3:$K$17,$B106,0),0)</f>
        <v>114</v>
      </c>
      <c r="AM106" s="1337">
        <f>+IFERROR(HLOOKUP(AM$122,'ניתוח עלויות תפעול'!$D$3:$K$17,$B106,0),0)</f>
        <v>365.84000000000003</v>
      </c>
      <c r="AN106" s="1337">
        <f>+IFERROR(HLOOKUP(AN$122,'ניתוח עלויות תפעול'!$D$3:$K$17,$B106,0),0)</f>
        <v>120</v>
      </c>
      <c r="AO106" s="1337">
        <f>+IFERROR(HLOOKUP(AO$122,'ניתוח עלויות תפעול'!$D$3:$K$17,$B106,0),0)</f>
        <v>300</v>
      </c>
      <c r="AP106" s="1337">
        <f>+IFERROR(HLOOKUP(AP$122,'ניתוח עלויות תפעול'!$D$3:$K$17,$B106,0),0)</f>
        <v>114</v>
      </c>
      <c r="AQ106" s="1337">
        <f>+IFERROR(HLOOKUP(AQ$122,'ניתוח עלויות תפעול'!$D$3:$K$17,$B106,0),0)</f>
        <v>300</v>
      </c>
      <c r="AR106" s="1337">
        <f>+IFERROR(HLOOKUP(AR$122,'ניתוח עלויות תפעול'!$D$3:$K$17,$B106,0),0)</f>
        <v>120</v>
      </c>
      <c r="AS106" s="1337">
        <f>+IFERROR(HLOOKUP(AS$122,'ניתוח עלויות תפעול'!$D$3:$K$17,$B106,0),0)</f>
        <v>300</v>
      </c>
      <c r="AT106" s="1337">
        <f>+IFERROR(HLOOKUP(AT$122,'ניתוח עלויות תפעול'!$D$3:$K$17,$B106,0),0)</f>
        <v>114</v>
      </c>
      <c r="AU106" s="1337">
        <f>+IFERROR(HLOOKUP(AU$122,'ניתוח עלויות תפעול'!$D$3:$K$17,$B106,0),0)</f>
        <v>114</v>
      </c>
      <c r="AV106" s="1337">
        <f>+IFERROR(HLOOKUP(AV$122,'ניתוח עלויות תפעול'!$D$3:$K$17,$B106,0),0)</f>
        <v>114</v>
      </c>
      <c r="AW106" s="1337">
        <f>+IFERROR(HLOOKUP(AW$122,'ניתוח עלויות תפעול'!$D$3:$K$17,$B106,0),0)</f>
        <v>120</v>
      </c>
      <c r="AX106" s="1337">
        <f>+IFERROR(HLOOKUP(AX$122,'ניתוח עלויות תפעול'!$D$3:$K$17,$B106,0),0)</f>
        <v>120</v>
      </c>
      <c r="AY106" s="1337">
        <f>+IFERROR(HLOOKUP(AY$122,'ניתוח עלויות תפעול'!$D$3:$K$17,$B106,0),0)</f>
        <v>300</v>
      </c>
      <c r="AZ106" s="1337">
        <f>+IFERROR(HLOOKUP(AZ$122,'ניתוח עלויות תפעול'!$D$3:$K$17,$B106,0),0)</f>
        <v>120</v>
      </c>
      <c r="BA106" s="1337">
        <f>+IFERROR(HLOOKUP(BA$122,'ניתוח עלויות תפעול'!$D$3:$K$17,$B106,0),0)</f>
        <v>120</v>
      </c>
      <c r="BB106" s="1337">
        <f>+IFERROR(HLOOKUP(BB$122,'ניתוח עלויות תפעול'!$D$3:$K$17,$B106,0),0)</f>
        <v>120</v>
      </c>
      <c r="BC106" s="1337">
        <f>+IFERROR(HLOOKUP(BC$122,'ניתוח עלויות תפעול'!$D$3:$K$17,$B106,0),0)</f>
        <v>114</v>
      </c>
      <c r="BD106" s="1337">
        <f>+IFERROR(HLOOKUP(BD$122,'ניתוח עלויות תפעול'!$D$3:$K$17,$B106,0),0)</f>
        <v>120</v>
      </c>
      <c r="BE106" s="1337">
        <f>+IFERROR(HLOOKUP(BE$122,'ניתוח עלויות תפעול'!$D$3:$K$17,$B106,0),0)</f>
        <v>114</v>
      </c>
      <c r="BF106" s="1337">
        <f>+IFERROR(HLOOKUP(BF$122,'ניתוח עלויות תפעול'!$D$3:$K$17,$B106,0),0)</f>
        <v>114</v>
      </c>
      <c r="BG106" s="374"/>
      <c r="BH106" s="374"/>
      <c r="BI106" s="374"/>
      <c r="BJ106" s="374"/>
      <c r="BK106" s="374"/>
      <c r="BL106" s="374"/>
      <c r="BM106" s="374"/>
      <c r="BN106" s="374"/>
      <c r="BO106" s="374"/>
      <c r="BP106" s="374"/>
      <c r="BQ106" s="374"/>
      <c r="BR106" s="374"/>
      <c r="BS106" s="374"/>
      <c r="BT106" s="374"/>
      <c r="BU106" s="374"/>
      <c r="BV106" s="374"/>
      <c r="BW106" s="374"/>
      <c r="BX106" s="374"/>
      <c r="BY106" s="374"/>
      <c r="BZ106" s="374"/>
      <c r="CA106" s="374"/>
      <c r="CB106" s="374"/>
      <c r="CC106" s="374"/>
      <c r="CD106" s="374"/>
      <c r="CE106" s="374"/>
      <c r="CF106" s="374"/>
      <c r="CG106" s="374"/>
      <c r="CH106" s="374"/>
      <c r="CI106" s="374"/>
      <c r="CJ106" s="374"/>
      <c r="CK106" s="374"/>
      <c r="CL106" s="374"/>
      <c r="CM106" s="374"/>
      <c r="CN106" s="374"/>
      <c r="CO106" s="374"/>
      <c r="CP106" s="374"/>
      <c r="CQ106" s="374"/>
      <c r="CR106" s="374"/>
      <c r="CS106" s="374"/>
      <c r="CT106" s="374"/>
      <c r="CU106" s="374"/>
      <c r="CV106" s="374"/>
      <c r="CW106" s="374"/>
      <c r="CX106" s="374"/>
      <c r="CY106" s="374"/>
      <c r="CZ106" s="374"/>
      <c r="DA106" s="374"/>
      <c r="DB106" s="374"/>
      <c r="DC106" s="374"/>
      <c r="DD106" s="374"/>
      <c r="DE106" s="374"/>
      <c r="DF106" s="374"/>
      <c r="DG106" s="374"/>
      <c r="DH106" s="374"/>
      <c r="DI106" s="374"/>
      <c r="DJ106" s="374"/>
      <c r="DK106" s="374"/>
      <c r="DL106" s="374"/>
      <c r="DM106" s="374"/>
      <c r="DN106" s="374"/>
      <c r="DO106" s="374"/>
      <c r="DP106" s="374"/>
      <c r="DQ106" s="374"/>
      <c r="DR106" s="374"/>
      <c r="DS106" s="374"/>
      <c r="DT106" s="374"/>
      <c r="DU106" s="374"/>
      <c r="DV106" s="374"/>
      <c r="DW106" s="374"/>
      <c r="DX106" s="374"/>
      <c r="DY106" s="374"/>
      <c r="DZ106" s="374"/>
      <c r="EA106" s="374"/>
      <c r="EB106" s="374"/>
      <c r="EC106" s="374"/>
      <c r="ED106" s="374"/>
      <c r="EE106" s="374"/>
      <c r="EF106" s="374"/>
      <c r="EG106" s="374"/>
      <c r="EH106" s="374"/>
      <c r="EI106" s="374"/>
      <c r="EJ106" s="374"/>
      <c r="EK106" s="374"/>
      <c r="EL106" s="374"/>
      <c r="EM106" s="374"/>
      <c r="EN106" s="374"/>
      <c r="EO106" s="374"/>
      <c r="EP106" s="374"/>
      <c r="EQ106" s="374"/>
      <c r="ER106" s="374"/>
      <c r="ES106" s="374"/>
      <c r="ET106" s="374"/>
      <c r="EU106" s="374"/>
      <c r="EV106" s="374"/>
      <c r="EW106" s="374"/>
      <c r="EX106" s="374"/>
      <c r="EY106" s="374"/>
      <c r="EZ106" s="374"/>
      <c r="FA106" s="374"/>
      <c r="FB106" s="374"/>
      <c r="FC106" s="374"/>
      <c r="FD106" s="374"/>
      <c r="FE106" s="374"/>
      <c r="FF106" s="374"/>
      <c r="FG106" s="374"/>
      <c r="FH106" s="374"/>
      <c r="FI106" s="374"/>
      <c r="FJ106" s="374"/>
      <c r="FK106" s="374"/>
      <c r="FL106" s="374"/>
      <c r="FM106" s="374"/>
      <c r="FN106" s="374"/>
      <c r="FO106" s="374"/>
      <c r="FP106" s="374"/>
      <c r="FQ106" s="374"/>
      <c r="FR106" s="374"/>
      <c r="FS106" s="374"/>
      <c r="FT106" s="374"/>
      <c r="FU106" s="374"/>
      <c r="FV106" s="374"/>
      <c r="FW106" s="374"/>
      <c r="FX106" s="374"/>
      <c r="FY106" s="374"/>
      <c r="FZ106" s="374"/>
      <c r="GA106" s="374"/>
      <c r="GB106" s="374"/>
      <c r="GC106" s="374"/>
      <c r="GD106" s="374"/>
      <c r="GE106" s="374"/>
      <c r="GF106" s="374"/>
      <c r="GG106" s="374"/>
      <c r="GH106" s="374"/>
      <c r="GI106" s="374"/>
      <c r="GJ106" s="374"/>
      <c r="GK106" s="374"/>
      <c r="GL106" s="374"/>
      <c r="GM106" s="374"/>
      <c r="GN106" s="374"/>
      <c r="GO106" s="374"/>
      <c r="GP106" s="374"/>
      <c r="GQ106" s="374"/>
      <c r="GR106" s="374"/>
      <c r="GS106" s="374"/>
      <c r="GT106" s="374"/>
      <c r="GU106" s="374"/>
      <c r="GV106" s="374"/>
      <c r="GW106" s="374"/>
      <c r="GX106" s="374"/>
      <c r="GY106" s="374"/>
      <c r="GZ106" s="374"/>
      <c r="HA106" s="374"/>
      <c r="HB106" s="374"/>
      <c r="HC106" s="374"/>
      <c r="HD106" s="374"/>
      <c r="HE106" s="374"/>
      <c r="HF106" s="374"/>
      <c r="HG106" s="374"/>
      <c r="HH106" s="374"/>
      <c r="HI106" s="374"/>
      <c r="HJ106" s="374"/>
      <c r="HK106" s="374"/>
      <c r="HL106" s="374"/>
      <c r="HM106" s="374"/>
      <c r="HN106" s="374"/>
      <c r="HO106" s="374"/>
      <c r="HP106" s="374"/>
      <c r="HQ106" s="374"/>
      <c r="HR106" s="374"/>
      <c r="HS106" s="374"/>
      <c r="HT106" s="374"/>
      <c r="HU106" s="374"/>
      <c r="HV106" s="374"/>
      <c r="HW106" s="374"/>
      <c r="HX106" s="374"/>
      <c r="HY106" s="374"/>
      <c r="HZ106" s="374"/>
      <c r="IA106" s="374"/>
      <c r="IB106" s="374"/>
      <c r="IC106" s="374"/>
      <c r="ID106" s="374"/>
      <c r="IE106" s="374"/>
      <c r="IF106" s="374"/>
      <c r="IG106" s="374"/>
      <c r="IH106" s="374"/>
      <c r="II106" s="374"/>
      <c r="IJ106" s="374"/>
      <c r="IK106" s="374"/>
      <c r="IL106" s="374"/>
      <c r="IM106" s="374"/>
      <c r="IN106" s="374"/>
      <c r="IO106" s="374"/>
    </row>
    <row r="107" spans="1:249" s="622" customFormat="1" ht="12.75" customHeight="1" x14ac:dyDescent="0.2">
      <c r="A107" s="1846"/>
      <c r="B107" s="1331">
        <f>IFERROR(VLOOKUP(C107:C108,'[24]ניתוח הוצאות הנהלה'!$B$3:$C$17,2,0),0)</f>
        <v>0</v>
      </c>
      <c r="C107" s="1334" t="s">
        <v>1779</v>
      </c>
      <c r="D107" s="1337">
        <f>+IFERROR(HLOOKUP(D$122,'ניתוח עלויות תפעול'!$D$3:$K$17,$B107,0),0)</f>
        <v>0</v>
      </c>
      <c r="E107" s="1337">
        <f>+IFERROR(HLOOKUP(E$122,'ניתוח עלויות תפעול'!$D$3:$K$17,$B107,0),0)</f>
        <v>0</v>
      </c>
      <c r="F107" s="1337">
        <f>+IFERROR(HLOOKUP(F$122,'ניתוח עלויות תפעול'!$D$3:$K$17,$B107,0),0)</f>
        <v>0</v>
      </c>
      <c r="G107" s="1337">
        <f>+IFERROR(HLOOKUP(G$122,'ניתוח עלויות תפעול'!$D$3:$K$17,$B107,0),0)</f>
        <v>0</v>
      </c>
      <c r="H107" s="1337">
        <f>+IFERROR(HLOOKUP(H$122,'ניתוח עלויות תפעול'!$D$3:$K$17,$B107,0),0)</f>
        <v>0</v>
      </c>
      <c r="I107" s="1337">
        <f>+IFERROR(HLOOKUP(I$122,'ניתוח עלויות תפעול'!$D$3:$K$17,$B107,0),0)</f>
        <v>0</v>
      </c>
      <c r="J107" s="1337">
        <f>+IFERROR(HLOOKUP(J$122,'ניתוח עלויות תפעול'!$D$3:$K$17,$B107,0),0)</f>
        <v>0</v>
      </c>
      <c r="K107" s="1337">
        <f>+IFERROR(HLOOKUP(K$122,'ניתוח עלויות תפעול'!$D$3:$K$17,$B107,0),0)</f>
        <v>0</v>
      </c>
      <c r="L107" s="1337">
        <f>+IFERROR(HLOOKUP(L$122,'ניתוח עלויות תפעול'!$D$3:$K$17,$B107,0),0)</f>
        <v>0</v>
      </c>
      <c r="M107" s="1337">
        <f>+IFERROR(HLOOKUP(M$122,'ניתוח עלויות תפעול'!$D$3:$K$17,$B107,0),0)</f>
        <v>0</v>
      </c>
      <c r="N107" s="1337">
        <f>+IFERROR(HLOOKUP(N$122,'ניתוח עלויות תפעול'!$D$3:$K$17,$B107,0),0)</f>
        <v>0</v>
      </c>
      <c r="O107" s="1337">
        <f>+IFERROR(HLOOKUP(O$122,'ניתוח עלויות תפעול'!$D$3:$K$17,$B107,0),0)</f>
        <v>0</v>
      </c>
      <c r="P107" s="1337">
        <f>+IFERROR(HLOOKUP(P$122,'ניתוח עלויות תפעול'!$D$3:$K$17,$B107,0),0)</f>
        <v>0</v>
      </c>
      <c r="Q107" s="1337">
        <f>+IFERROR(HLOOKUP(Q$122,'ניתוח עלויות תפעול'!$D$3:$K$17,$B107,0),0)</f>
        <v>0</v>
      </c>
      <c r="R107" s="1337">
        <f>+IFERROR(HLOOKUP(R$122,'ניתוח עלויות תפעול'!$D$3:$K$17,$B107,0),0)</f>
        <v>0</v>
      </c>
      <c r="S107" s="1337">
        <f>+IFERROR(HLOOKUP(S$122,'ניתוח עלויות תפעול'!$D$3:$K$17,$B107,0),0)</f>
        <v>0</v>
      </c>
      <c r="T107" s="1337">
        <f>+IFERROR(HLOOKUP(T$122,'ניתוח עלויות תפעול'!$D$3:$K$17,$B107,0),0)</f>
        <v>0</v>
      </c>
      <c r="U107" s="1337">
        <f>+IFERROR(HLOOKUP(U$122,'ניתוח עלויות תפעול'!$D$3:$K$17,$B107,0),0)</f>
        <v>0</v>
      </c>
      <c r="V107" s="1337">
        <f>+IFERROR(HLOOKUP(V$122,'ניתוח עלויות תפעול'!$D$3:$K$17,$B107,0),0)</f>
        <v>0</v>
      </c>
      <c r="W107" s="1337">
        <f>+IFERROR(HLOOKUP(W$122,'ניתוח עלויות תפעול'!$D$3:$K$17,$B107,0),0)</f>
        <v>0</v>
      </c>
      <c r="X107" s="1337">
        <f>+IFERROR(HLOOKUP(X$122,'ניתוח עלויות תפעול'!$D$3:$K$17,$B107,0),0)</f>
        <v>0</v>
      </c>
      <c r="Y107" s="1337">
        <f>+IFERROR(HLOOKUP(Y$122,'ניתוח עלויות תפעול'!$D$3:$K$17,$B107,0),0)</f>
        <v>0</v>
      </c>
      <c r="Z107" s="1337">
        <f>+IFERROR(HLOOKUP(Z$122,'ניתוח עלויות תפעול'!$D$3:$K$17,$B107,0),0)</f>
        <v>0</v>
      </c>
      <c r="AA107" s="1337">
        <f>+IFERROR(HLOOKUP(AA$122,'ניתוח עלויות תפעול'!$D$3:$K$17,$B107,0),0)</f>
        <v>0</v>
      </c>
      <c r="AB107" s="1337">
        <f>+IFERROR(HLOOKUP(AB$122,'ניתוח עלויות תפעול'!$D$3:$K$17,$B107,0),0)</f>
        <v>0</v>
      </c>
      <c r="AC107" s="1337">
        <f>+IFERROR(HLOOKUP(AC$122,'ניתוח עלויות תפעול'!$D$3:$K$17,$B107,0),0)</f>
        <v>0</v>
      </c>
      <c r="AD107" s="1337">
        <f>+IFERROR(HLOOKUP(AD$122,'ניתוח עלויות תפעול'!$D$3:$K$17,$B107,0),0)</f>
        <v>0</v>
      </c>
      <c r="AE107" s="1337">
        <f>+IFERROR(HLOOKUP(AE$122,'ניתוח עלויות תפעול'!$D$3:$K$17,$B107,0),0)</f>
        <v>0</v>
      </c>
      <c r="AF107" s="1337">
        <f>+IFERROR(HLOOKUP(AF$122,'ניתוח עלויות תפעול'!$D$3:$K$17,$B107,0),0)</f>
        <v>0</v>
      </c>
      <c r="AG107" s="1337">
        <f>+IFERROR(HLOOKUP(AG$122,'ניתוח עלויות תפעול'!$D$3:$K$17,$B107,0),0)</f>
        <v>0</v>
      </c>
      <c r="AH107" s="1337">
        <f>+IFERROR(HLOOKUP(AH$122,'ניתוח עלויות תפעול'!$D$3:$K$17,$B107,0),0)</f>
        <v>0</v>
      </c>
      <c r="AI107" s="1337">
        <f>+IFERROR(HLOOKUP(AI$122,'ניתוח עלויות תפעול'!$D$3:$K$17,$B107,0),0)</f>
        <v>0</v>
      </c>
      <c r="AJ107" s="1337">
        <f>+IFERROR(HLOOKUP(AJ$122,'ניתוח עלויות תפעול'!$D$3:$K$17,$B107,0),0)</f>
        <v>0</v>
      </c>
      <c r="AK107" s="1337">
        <f>+IFERROR(HLOOKUP(AK$122,'ניתוח עלויות תפעול'!$D$3:$K$17,$B107,0),0)</f>
        <v>0</v>
      </c>
      <c r="AL107" s="1337">
        <f>+IFERROR(HLOOKUP(AL$122,'ניתוח עלויות תפעול'!$D$3:$K$17,$B107,0),0)</f>
        <v>0</v>
      </c>
      <c r="AM107" s="1337">
        <f>+IFERROR(HLOOKUP(AM$122,'ניתוח עלויות תפעול'!$D$3:$K$17,$B107,0),0)</f>
        <v>0</v>
      </c>
      <c r="AN107" s="1337">
        <f>+IFERROR(HLOOKUP(AN$122,'ניתוח עלויות תפעול'!$D$3:$K$17,$B107,0),0)</f>
        <v>0</v>
      </c>
      <c r="AO107" s="1337">
        <f>+IFERROR(HLOOKUP(AO$122,'ניתוח עלויות תפעול'!$D$3:$K$17,$B107,0),0)</f>
        <v>0</v>
      </c>
      <c r="AP107" s="1337">
        <f>+IFERROR(HLOOKUP(AP$122,'ניתוח עלויות תפעול'!$D$3:$K$17,$B107,0),0)</f>
        <v>0</v>
      </c>
      <c r="AQ107" s="1337">
        <f>+IFERROR(HLOOKUP(AQ$122,'ניתוח עלויות תפעול'!$D$3:$K$17,$B107,0),0)</f>
        <v>0</v>
      </c>
      <c r="AR107" s="1337">
        <f>+IFERROR(HLOOKUP(AR$122,'ניתוח עלויות תפעול'!$D$3:$K$17,$B107,0),0)</f>
        <v>0</v>
      </c>
      <c r="AS107" s="1337">
        <f>+IFERROR(HLOOKUP(AS$122,'ניתוח עלויות תפעול'!$D$3:$K$17,$B107,0),0)</f>
        <v>0</v>
      </c>
      <c r="AT107" s="1337">
        <f>+IFERROR(HLOOKUP(AT$122,'ניתוח עלויות תפעול'!$D$3:$K$17,$B107,0),0)</f>
        <v>0</v>
      </c>
      <c r="AU107" s="1337">
        <f>+IFERROR(HLOOKUP(AU$122,'ניתוח עלויות תפעול'!$D$3:$K$17,$B107,0),0)</f>
        <v>0</v>
      </c>
      <c r="AV107" s="1337">
        <f>+IFERROR(HLOOKUP(AV$122,'ניתוח עלויות תפעול'!$D$3:$K$17,$B107,0),0)</f>
        <v>0</v>
      </c>
      <c r="AW107" s="1337">
        <f>+IFERROR(HLOOKUP(AW$122,'ניתוח עלויות תפעול'!$D$3:$K$17,$B107,0),0)</f>
        <v>0</v>
      </c>
      <c r="AX107" s="1337">
        <f>+IFERROR(HLOOKUP(AX$122,'ניתוח עלויות תפעול'!$D$3:$K$17,$B107,0),0)</f>
        <v>0</v>
      </c>
      <c r="AY107" s="1337">
        <f>+IFERROR(HLOOKUP(AY$122,'ניתוח עלויות תפעול'!$D$3:$K$17,$B107,0),0)</f>
        <v>0</v>
      </c>
      <c r="AZ107" s="1337">
        <f>+IFERROR(HLOOKUP(AZ$122,'ניתוח עלויות תפעול'!$D$3:$K$17,$B107,0),0)</f>
        <v>0</v>
      </c>
      <c r="BA107" s="1337">
        <f>+IFERROR(HLOOKUP(BA$122,'ניתוח עלויות תפעול'!$D$3:$K$17,$B107,0),0)</f>
        <v>0</v>
      </c>
      <c r="BB107" s="1337">
        <f>+IFERROR(HLOOKUP(BB$122,'ניתוח עלויות תפעול'!$D$3:$K$17,$B107,0),0)</f>
        <v>0</v>
      </c>
      <c r="BC107" s="1337">
        <f>+IFERROR(HLOOKUP(BC$122,'ניתוח עלויות תפעול'!$D$3:$K$17,$B107,0),0)</f>
        <v>0</v>
      </c>
      <c r="BD107" s="1337">
        <f>+IFERROR(HLOOKUP(BD$122,'ניתוח עלויות תפעול'!$D$3:$K$17,$B107,0),0)</f>
        <v>0</v>
      </c>
      <c r="BE107" s="1337">
        <f>+IFERROR(HLOOKUP(BE$122,'ניתוח עלויות תפעול'!$D$3:$K$17,$B107,0),0)</f>
        <v>0</v>
      </c>
      <c r="BF107" s="1337">
        <f>+IFERROR(HLOOKUP(BF$122,'ניתוח עלויות תפעול'!$D$3:$K$17,$B107,0),0)</f>
        <v>0</v>
      </c>
      <c r="BG107" s="374"/>
      <c r="BH107" s="374"/>
      <c r="BI107" s="374"/>
      <c r="BJ107" s="374"/>
      <c r="BK107" s="374"/>
      <c r="BL107" s="374"/>
      <c r="BM107" s="374"/>
      <c r="BN107" s="374"/>
      <c r="BO107" s="374"/>
      <c r="BP107" s="374"/>
      <c r="BQ107" s="374"/>
      <c r="BR107" s="374"/>
      <c r="BS107" s="374"/>
      <c r="BT107" s="374"/>
      <c r="BU107" s="374"/>
      <c r="BV107" s="374"/>
      <c r="BW107" s="374"/>
      <c r="BX107" s="374"/>
      <c r="BY107" s="374"/>
      <c r="BZ107" s="374"/>
      <c r="CA107" s="374"/>
      <c r="CB107" s="374"/>
      <c r="CC107" s="374"/>
      <c r="CD107" s="374"/>
      <c r="CE107" s="374"/>
      <c r="CF107" s="374"/>
      <c r="CG107" s="374"/>
      <c r="CH107" s="374"/>
      <c r="CI107" s="374"/>
      <c r="CJ107" s="374"/>
      <c r="CK107" s="374"/>
      <c r="CL107" s="374"/>
      <c r="CM107" s="374"/>
      <c r="CN107" s="374"/>
      <c r="CO107" s="374"/>
      <c r="CP107" s="374"/>
      <c r="CQ107" s="374"/>
      <c r="CR107" s="374"/>
      <c r="CS107" s="374"/>
      <c r="CT107" s="374"/>
      <c r="CU107" s="374"/>
      <c r="CV107" s="374"/>
      <c r="CW107" s="374"/>
      <c r="CX107" s="374"/>
      <c r="CY107" s="374"/>
      <c r="CZ107" s="374"/>
      <c r="DA107" s="374"/>
      <c r="DB107" s="374"/>
      <c r="DC107" s="374"/>
      <c r="DD107" s="374"/>
      <c r="DE107" s="374"/>
      <c r="DF107" s="374"/>
      <c r="DG107" s="374"/>
      <c r="DH107" s="374"/>
      <c r="DI107" s="374"/>
      <c r="DJ107" s="374"/>
      <c r="DK107" s="374"/>
      <c r="DL107" s="374"/>
      <c r="DM107" s="374"/>
      <c r="DN107" s="374"/>
      <c r="DO107" s="374"/>
      <c r="DP107" s="374"/>
      <c r="DQ107" s="374"/>
      <c r="DR107" s="374"/>
      <c r="DS107" s="374"/>
      <c r="DT107" s="374"/>
      <c r="DU107" s="374"/>
      <c r="DV107" s="374"/>
      <c r="DW107" s="374"/>
      <c r="DX107" s="374"/>
      <c r="DY107" s="374"/>
      <c r="DZ107" s="374"/>
      <c r="EA107" s="374"/>
      <c r="EB107" s="374"/>
      <c r="EC107" s="374"/>
      <c r="ED107" s="374"/>
      <c r="EE107" s="374"/>
      <c r="EF107" s="374"/>
      <c r="EG107" s="374"/>
      <c r="EH107" s="374"/>
      <c r="EI107" s="374"/>
      <c r="EJ107" s="374"/>
      <c r="EK107" s="374"/>
      <c r="EL107" s="374"/>
      <c r="EM107" s="374"/>
      <c r="EN107" s="374"/>
      <c r="EO107" s="374"/>
      <c r="EP107" s="374"/>
      <c r="EQ107" s="374"/>
      <c r="ER107" s="374"/>
      <c r="ES107" s="374"/>
      <c r="ET107" s="374"/>
      <c r="EU107" s="374"/>
      <c r="EV107" s="374"/>
      <c r="EW107" s="374"/>
      <c r="EX107" s="374"/>
      <c r="EY107" s="374"/>
      <c r="EZ107" s="374"/>
      <c r="FA107" s="374"/>
      <c r="FB107" s="374"/>
      <c r="FC107" s="374"/>
      <c r="FD107" s="374"/>
      <c r="FE107" s="374"/>
      <c r="FF107" s="374"/>
      <c r="FG107" s="374"/>
      <c r="FH107" s="374"/>
      <c r="FI107" s="374"/>
      <c r="FJ107" s="374"/>
      <c r="FK107" s="374"/>
      <c r="FL107" s="374"/>
      <c r="FM107" s="374"/>
      <c r="FN107" s="374"/>
      <c r="FO107" s="374"/>
      <c r="FP107" s="374"/>
      <c r="FQ107" s="374"/>
      <c r="FR107" s="374"/>
      <c r="FS107" s="374"/>
      <c r="FT107" s="374"/>
      <c r="FU107" s="374"/>
      <c r="FV107" s="374"/>
      <c r="FW107" s="374"/>
      <c r="FX107" s="374"/>
      <c r="FY107" s="374"/>
      <c r="FZ107" s="374"/>
      <c r="GA107" s="374"/>
      <c r="GB107" s="374"/>
      <c r="GC107" s="374"/>
      <c r="GD107" s="374"/>
      <c r="GE107" s="374"/>
      <c r="GF107" s="374"/>
      <c r="GG107" s="374"/>
      <c r="GH107" s="374"/>
      <c r="GI107" s="374"/>
      <c r="GJ107" s="374"/>
      <c r="GK107" s="374"/>
      <c r="GL107" s="374"/>
      <c r="GM107" s="374"/>
      <c r="GN107" s="374"/>
      <c r="GO107" s="374"/>
      <c r="GP107" s="374"/>
      <c r="GQ107" s="374"/>
      <c r="GR107" s="374"/>
      <c r="GS107" s="374"/>
      <c r="GT107" s="374"/>
      <c r="GU107" s="374"/>
      <c r="GV107" s="374"/>
      <c r="GW107" s="374"/>
      <c r="GX107" s="374"/>
      <c r="GY107" s="374"/>
      <c r="GZ107" s="374"/>
      <c r="HA107" s="374"/>
      <c r="HB107" s="374"/>
      <c r="HC107" s="374"/>
      <c r="HD107" s="374"/>
      <c r="HE107" s="374"/>
      <c r="HF107" s="374"/>
      <c r="HG107" s="374"/>
      <c r="HH107" s="374"/>
      <c r="HI107" s="374"/>
      <c r="HJ107" s="374"/>
      <c r="HK107" s="374"/>
      <c r="HL107" s="374"/>
      <c r="HM107" s="374"/>
      <c r="HN107" s="374"/>
      <c r="HO107" s="374"/>
      <c r="HP107" s="374"/>
      <c r="HQ107" s="374"/>
      <c r="HR107" s="374"/>
      <c r="HS107" s="374"/>
      <c r="HT107" s="374"/>
      <c r="HU107" s="374"/>
      <c r="HV107" s="374"/>
      <c r="HW107" s="374"/>
      <c r="HX107" s="374"/>
      <c r="HY107" s="374"/>
      <c r="HZ107" s="374"/>
      <c r="IA107" s="374"/>
      <c r="IB107" s="374"/>
      <c r="IC107" s="374"/>
      <c r="ID107" s="374"/>
      <c r="IE107" s="374"/>
      <c r="IF107" s="374"/>
      <c r="IG107" s="374"/>
      <c r="IH107" s="374"/>
      <c r="II107" s="374"/>
      <c r="IJ107" s="374"/>
      <c r="IK107" s="374"/>
      <c r="IL107" s="374"/>
      <c r="IM107" s="374"/>
      <c r="IN107" s="374"/>
      <c r="IO107" s="374"/>
    </row>
    <row r="108" spans="1:249" s="622" customFormat="1" ht="12.75" customHeight="1" x14ac:dyDescent="0.2">
      <c r="A108" s="1846"/>
      <c r="B108" s="1331">
        <f>IFERROR(VLOOKUP(C108:C109,'[24]ניתוח הוצאות הנהלה'!$B$3:$C$17,2,0),0)</f>
        <v>10</v>
      </c>
      <c r="C108" s="1334" t="s">
        <v>1317</v>
      </c>
      <c r="D108" s="1337">
        <f>+IFERROR(HLOOKUP(D$122,'ניתוח עלויות תפעול'!$D$3:$K$17,$B108,0),0)</f>
        <v>216</v>
      </c>
      <c r="E108" s="1337">
        <f>+IFERROR(HLOOKUP(E$122,'ניתוח עלויות תפעול'!$D$3:$K$17,$B108,0),0)</f>
        <v>216</v>
      </c>
      <c r="F108" s="1337">
        <f>+IFERROR(HLOOKUP(F$122,'ניתוח עלויות תפעול'!$D$3:$K$17,$B108,0),0)</f>
        <v>108</v>
      </c>
      <c r="G108" s="1337">
        <f>+IFERROR(HLOOKUP(G$122,'ניתוח עלויות תפעול'!$D$3:$K$17,$B108,0),0)</f>
        <v>291.60000000000002</v>
      </c>
      <c r="H108" s="1337">
        <f>+IFERROR(HLOOKUP(H$122,'ניתוח עלויות תפעול'!$D$3:$K$17,$B108,0),0)</f>
        <v>216</v>
      </c>
      <c r="I108" s="1337">
        <f>+IFERROR(HLOOKUP(I$122,'ניתוח עלויות תפעול'!$D$3:$K$17,$B108,0),0)</f>
        <v>64.8</v>
      </c>
      <c r="J108" s="1337">
        <f>+IFERROR(HLOOKUP(J$122,'ניתוח עלויות תפעול'!$D$3:$K$17,$B108,0),0)</f>
        <v>162</v>
      </c>
      <c r="K108" s="1337">
        <f>+IFERROR(HLOOKUP(K$122,'ניתוח עלויות תפעול'!$D$3:$K$17,$B108,0),0)</f>
        <v>162</v>
      </c>
      <c r="L108" s="1337">
        <f>+IFERROR(HLOOKUP(L$122,'ניתוח עלויות תפעול'!$D$3:$K$17,$B108,0),0)</f>
        <v>162</v>
      </c>
      <c r="M108" s="1337">
        <f>+IFERROR(HLOOKUP(M$122,'ניתוח עלויות תפעול'!$D$3:$K$17,$B108,0),0)</f>
        <v>162</v>
      </c>
      <c r="N108" s="1337">
        <f>+IFERROR(HLOOKUP(N$122,'ניתוח עלויות תפעול'!$D$3:$K$17,$B108,0),0)</f>
        <v>216</v>
      </c>
      <c r="O108" s="1337">
        <f>+IFERROR(HLOOKUP(O$122,'ניתוח עלויות תפעול'!$D$3:$K$17,$B108,0),0)</f>
        <v>216</v>
      </c>
      <c r="P108" s="1337">
        <f>+IFERROR(HLOOKUP(P$122,'ניתוח עלויות תפעול'!$D$3:$K$17,$B108,0),0)</f>
        <v>162</v>
      </c>
      <c r="Q108" s="1337">
        <f>+IFERROR(HLOOKUP(Q$122,'ניתוח עלויות תפעול'!$D$3:$K$17,$B108,0),0)</f>
        <v>108</v>
      </c>
      <c r="R108" s="1337">
        <f>+IFERROR(HLOOKUP(R$122,'ניתוח עלויות תפעול'!$D$3:$K$17,$B108,0),0)</f>
        <v>216</v>
      </c>
      <c r="S108" s="1337">
        <f>+IFERROR(HLOOKUP(S$122,'ניתוח עלויות תפעול'!$D$3:$K$17,$B108,0),0)</f>
        <v>216</v>
      </c>
      <c r="T108" s="1337">
        <f>+IFERROR(HLOOKUP(T$122,'ניתוח עלויות תפעול'!$D$3:$K$17,$B108,0),0)</f>
        <v>216</v>
      </c>
      <c r="U108" s="1337">
        <f>+IFERROR(HLOOKUP(U$122,'ניתוח עלויות תפעול'!$D$3:$K$17,$B108,0),0)</f>
        <v>216</v>
      </c>
      <c r="V108" s="1337">
        <f>+IFERROR(HLOOKUP(V$122,'ניתוח עלויות תפעול'!$D$3:$K$17,$B108,0),0)</f>
        <v>0</v>
      </c>
      <c r="W108" s="1337">
        <f>+IFERROR(HLOOKUP(W$122,'ניתוח עלויות תפעול'!$D$3:$K$17,$B108,0),0)</f>
        <v>162</v>
      </c>
      <c r="X108" s="1337">
        <f>+IFERROR(HLOOKUP(X$122,'ניתוח עלויות תפעול'!$D$3:$K$17,$B108,0),0)</f>
        <v>216</v>
      </c>
      <c r="Y108" s="1337">
        <f>+IFERROR(HLOOKUP(Y$122,'ניתוח עלויות תפעול'!$D$3:$K$17,$B108,0),0)</f>
        <v>162</v>
      </c>
      <c r="Z108" s="1337">
        <f>+IFERROR(HLOOKUP(Z$122,'ניתוח עלויות תפעול'!$D$3:$K$17,$B108,0),0)</f>
        <v>108</v>
      </c>
      <c r="AA108" s="1337">
        <f>+IFERROR(HLOOKUP(AA$122,'ניתוח עלויות תפעול'!$D$3:$K$17,$B108,0),0)</f>
        <v>108</v>
      </c>
      <c r="AB108" s="1337">
        <f>+IFERROR(HLOOKUP(AB$122,'ניתוח עלויות תפעול'!$D$3:$K$17,$B108,0),0)</f>
        <v>162</v>
      </c>
      <c r="AC108" s="1337">
        <f>+IFERROR(HLOOKUP(AC$122,'ניתוח עלויות תפעול'!$D$3:$K$17,$B108,0),0)</f>
        <v>108</v>
      </c>
      <c r="AD108" s="1337">
        <f>+IFERROR(HLOOKUP(AD$122,'ניתוח עלויות תפעול'!$D$3:$K$17,$B108,0),0)</f>
        <v>162</v>
      </c>
      <c r="AE108" s="1337">
        <f>+IFERROR(HLOOKUP(AE$122,'ניתוח עלויות תפעול'!$D$3:$K$17,$B108,0),0)</f>
        <v>108</v>
      </c>
      <c r="AF108" s="1337">
        <f>+IFERROR(HLOOKUP(AF$122,'ניתוח עלויות תפעול'!$D$3:$K$17,$B108,0),0)</f>
        <v>216</v>
      </c>
      <c r="AG108" s="1337">
        <f>+IFERROR(HLOOKUP(AG$122,'ניתוח עלויות תפעול'!$D$3:$K$17,$B108,0),0)</f>
        <v>162</v>
      </c>
      <c r="AH108" s="1337">
        <f>+IFERROR(HLOOKUP(AH$122,'ניתוח עלויות תפעול'!$D$3:$K$17,$B108,0),0)</f>
        <v>108</v>
      </c>
      <c r="AI108" s="1337">
        <f>+IFERROR(HLOOKUP(AI$122,'ניתוח עלויות תפעול'!$D$3:$K$17,$B108,0),0)</f>
        <v>162</v>
      </c>
      <c r="AJ108" s="1337">
        <f>+IFERROR(HLOOKUP(AJ$122,'ניתוח עלויות תפעול'!$D$3:$K$17,$B108,0),0)</f>
        <v>108</v>
      </c>
      <c r="AK108" s="1337">
        <f>+IFERROR(HLOOKUP(AK$122,'ניתוח עלויות תפעול'!$D$3:$K$17,$B108,0),0)</f>
        <v>108</v>
      </c>
      <c r="AL108" s="1337">
        <f>+IFERROR(HLOOKUP(AL$122,'ניתוח עלויות תפעול'!$D$3:$K$17,$B108,0),0)</f>
        <v>108</v>
      </c>
      <c r="AM108" s="1337">
        <f>+IFERROR(HLOOKUP(AM$122,'ניתוח עלויות תפעול'!$D$3:$K$17,$B108,0),0)</f>
        <v>293.76000000000005</v>
      </c>
      <c r="AN108" s="1337">
        <f>+IFERROR(HLOOKUP(AN$122,'ניתוח עלויות תפעול'!$D$3:$K$17,$B108,0),0)</f>
        <v>162</v>
      </c>
      <c r="AO108" s="1337">
        <f>+IFERROR(HLOOKUP(AO$122,'ניתוח עלויות תפעול'!$D$3:$K$17,$B108,0),0)</f>
        <v>216</v>
      </c>
      <c r="AP108" s="1337">
        <f>+IFERROR(HLOOKUP(AP$122,'ניתוח עלויות תפעול'!$D$3:$K$17,$B108,0),0)</f>
        <v>108</v>
      </c>
      <c r="AQ108" s="1337">
        <f>+IFERROR(HLOOKUP(AQ$122,'ניתוח עלויות תפעול'!$D$3:$K$17,$B108,0),0)</f>
        <v>216</v>
      </c>
      <c r="AR108" s="1337">
        <f>+IFERROR(HLOOKUP(AR$122,'ניתוח עלויות תפעול'!$D$3:$K$17,$B108,0),0)</f>
        <v>162</v>
      </c>
      <c r="AS108" s="1337">
        <f>+IFERROR(HLOOKUP(AS$122,'ניתוח עלויות תפעול'!$D$3:$K$17,$B108,0),0)</f>
        <v>216</v>
      </c>
      <c r="AT108" s="1337">
        <f>+IFERROR(HLOOKUP(AT$122,'ניתוח עלויות תפעול'!$D$3:$K$17,$B108,0),0)</f>
        <v>108</v>
      </c>
      <c r="AU108" s="1337">
        <f>+IFERROR(HLOOKUP(AU$122,'ניתוח עלויות תפעול'!$D$3:$K$17,$B108,0),0)</f>
        <v>108</v>
      </c>
      <c r="AV108" s="1337">
        <f>+IFERROR(HLOOKUP(AV$122,'ניתוח עלויות תפעול'!$D$3:$K$17,$B108,0),0)</f>
        <v>108</v>
      </c>
      <c r="AW108" s="1337">
        <f>+IFERROR(HLOOKUP(AW$122,'ניתוח עלויות תפעול'!$D$3:$K$17,$B108,0),0)</f>
        <v>162</v>
      </c>
      <c r="AX108" s="1337">
        <f>+IFERROR(HLOOKUP(AX$122,'ניתוח עלויות תפעול'!$D$3:$K$17,$B108,0),0)</f>
        <v>162</v>
      </c>
      <c r="AY108" s="1337">
        <f>+IFERROR(HLOOKUP(AY$122,'ניתוח עלויות תפעול'!$D$3:$K$17,$B108,0),0)</f>
        <v>216</v>
      </c>
      <c r="AZ108" s="1337">
        <f>+IFERROR(HLOOKUP(AZ$122,'ניתוח עלויות תפעול'!$D$3:$K$17,$B108,0),0)</f>
        <v>162</v>
      </c>
      <c r="BA108" s="1337">
        <f>+IFERROR(HLOOKUP(BA$122,'ניתוח עלויות תפעול'!$D$3:$K$17,$B108,0),0)</f>
        <v>162</v>
      </c>
      <c r="BB108" s="1337">
        <f>+IFERROR(HLOOKUP(BB$122,'ניתוח עלויות תפעול'!$D$3:$K$17,$B108,0),0)</f>
        <v>162</v>
      </c>
      <c r="BC108" s="1337">
        <f>+IFERROR(HLOOKUP(BC$122,'ניתוח עלויות תפעול'!$D$3:$K$17,$B108,0),0)</f>
        <v>108</v>
      </c>
      <c r="BD108" s="1337">
        <f>+IFERROR(HLOOKUP(BD$122,'ניתוח עלויות תפעול'!$D$3:$K$17,$B108,0),0)</f>
        <v>162</v>
      </c>
      <c r="BE108" s="1337">
        <f>+IFERROR(HLOOKUP(BE$122,'ניתוח עלויות תפעול'!$D$3:$K$17,$B108,0),0)</f>
        <v>108</v>
      </c>
      <c r="BF108" s="1337">
        <f>+IFERROR(HLOOKUP(BF$122,'ניתוח עלויות תפעול'!$D$3:$K$17,$B108,0),0)</f>
        <v>108</v>
      </c>
      <c r="BG108" s="374"/>
      <c r="BH108" s="374"/>
      <c r="BI108" s="374"/>
      <c r="BJ108" s="374"/>
      <c r="BK108" s="374"/>
      <c r="BL108" s="374"/>
      <c r="BM108" s="374"/>
      <c r="BN108" s="374"/>
      <c r="BO108" s="374"/>
      <c r="BP108" s="374"/>
      <c r="BQ108" s="374"/>
      <c r="BR108" s="374"/>
      <c r="BS108" s="374"/>
      <c r="BT108" s="374"/>
      <c r="BU108" s="374"/>
      <c r="BV108" s="374"/>
      <c r="BW108" s="374"/>
      <c r="BX108" s="374"/>
      <c r="BY108" s="374"/>
      <c r="BZ108" s="374"/>
      <c r="CA108" s="374"/>
      <c r="CB108" s="374"/>
      <c r="CC108" s="374"/>
      <c r="CD108" s="374"/>
      <c r="CE108" s="374"/>
      <c r="CF108" s="374"/>
      <c r="CG108" s="374"/>
      <c r="CH108" s="374"/>
      <c r="CI108" s="374"/>
      <c r="CJ108" s="374"/>
      <c r="CK108" s="374"/>
      <c r="CL108" s="374"/>
      <c r="CM108" s="374"/>
      <c r="CN108" s="374"/>
      <c r="CO108" s="374"/>
      <c r="CP108" s="374"/>
      <c r="CQ108" s="374"/>
      <c r="CR108" s="374"/>
      <c r="CS108" s="374"/>
      <c r="CT108" s="374"/>
      <c r="CU108" s="374"/>
      <c r="CV108" s="374"/>
      <c r="CW108" s="374"/>
      <c r="CX108" s="374"/>
      <c r="CY108" s="374"/>
      <c r="CZ108" s="374"/>
      <c r="DA108" s="374"/>
      <c r="DB108" s="374"/>
      <c r="DC108" s="374"/>
      <c r="DD108" s="374"/>
      <c r="DE108" s="374"/>
      <c r="DF108" s="374"/>
      <c r="DG108" s="374"/>
      <c r="DH108" s="374"/>
      <c r="DI108" s="374"/>
      <c r="DJ108" s="374"/>
      <c r="DK108" s="374"/>
      <c r="DL108" s="374"/>
      <c r="DM108" s="374"/>
      <c r="DN108" s="374"/>
      <c r="DO108" s="374"/>
      <c r="DP108" s="374"/>
      <c r="DQ108" s="374"/>
      <c r="DR108" s="374"/>
      <c r="DS108" s="374"/>
      <c r="DT108" s="374"/>
      <c r="DU108" s="374"/>
      <c r="DV108" s="374"/>
      <c r="DW108" s="374"/>
      <c r="DX108" s="374"/>
      <c r="DY108" s="374"/>
      <c r="DZ108" s="374"/>
      <c r="EA108" s="374"/>
      <c r="EB108" s="374"/>
      <c r="EC108" s="374"/>
      <c r="ED108" s="374"/>
      <c r="EE108" s="374"/>
      <c r="EF108" s="374"/>
      <c r="EG108" s="374"/>
      <c r="EH108" s="374"/>
      <c r="EI108" s="374"/>
      <c r="EJ108" s="374"/>
      <c r="EK108" s="374"/>
      <c r="EL108" s="374"/>
      <c r="EM108" s="374"/>
      <c r="EN108" s="374"/>
      <c r="EO108" s="374"/>
      <c r="EP108" s="374"/>
      <c r="EQ108" s="374"/>
      <c r="ER108" s="374"/>
      <c r="ES108" s="374"/>
      <c r="ET108" s="374"/>
      <c r="EU108" s="374"/>
      <c r="EV108" s="374"/>
      <c r="EW108" s="374"/>
      <c r="EX108" s="374"/>
      <c r="EY108" s="374"/>
      <c r="EZ108" s="374"/>
      <c r="FA108" s="374"/>
      <c r="FB108" s="374"/>
      <c r="FC108" s="374"/>
      <c r="FD108" s="374"/>
      <c r="FE108" s="374"/>
      <c r="FF108" s="374"/>
      <c r="FG108" s="374"/>
      <c r="FH108" s="374"/>
      <c r="FI108" s="374"/>
      <c r="FJ108" s="374"/>
      <c r="FK108" s="374"/>
      <c r="FL108" s="374"/>
      <c r="FM108" s="374"/>
      <c r="FN108" s="374"/>
      <c r="FO108" s="374"/>
      <c r="FP108" s="374"/>
      <c r="FQ108" s="374"/>
      <c r="FR108" s="374"/>
      <c r="FS108" s="374"/>
      <c r="FT108" s="374"/>
      <c r="FU108" s="374"/>
      <c r="FV108" s="374"/>
      <c r="FW108" s="374"/>
      <c r="FX108" s="374"/>
      <c r="FY108" s="374"/>
      <c r="FZ108" s="374"/>
      <c r="GA108" s="374"/>
      <c r="GB108" s="374"/>
      <c r="GC108" s="374"/>
      <c r="GD108" s="374"/>
      <c r="GE108" s="374"/>
      <c r="GF108" s="374"/>
      <c r="GG108" s="374"/>
      <c r="GH108" s="374"/>
      <c r="GI108" s="374"/>
      <c r="GJ108" s="374"/>
      <c r="GK108" s="374"/>
      <c r="GL108" s="374"/>
      <c r="GM108" s="374"/>
      <c r="GN108" s="374"/>
      <c r="GO108" s="374"/>
      <c r="GP108" s="374"/>
      <c r="GQ108" s="374"/>
      <c r="GR108" s="374"/>
      <c r="GS108" s="374"/>
      <c r="GT108" s="374"/>
      <c r="GU108" s="374"/>
      <c r="GV108" s="374"/>
      <c r="GW108" s="374"/>
      <c r="GX108" s="374"/>
      <c r="GY108" s="374"/>
      <c r="GZ108" s="374"/>
      <c r="HA108" s="374"/>
      <c r="HB108" s="374"/>
      <c r="HC108" s="374"/>
      <c r="HD108" s="374"/>
      <c r="HE108" s="374"/>
      <c r="HF108" s="374"/>
      <c r="HG108" s="374"/>
      <c r="HH108" s="374"/>
      <c r="HI108" s="374"/>
      <c r="HJ108" s="374"/>
      <c r="HK108" s="374"/>
      <c r="HL108" s="374"/>
      <c r="HM108" s="374"/>
      <c r="HN108" s="374"/>
      <c r="HO108" s="374"/>
      <c r="HP108" s="374"/>
      <c r="HQ108" s="374"/>
      <c r="HR108" s="374"/>
      <c r="HS108" s="374"/>
      <c r="HT108" s="374"/>
      <c r="HU108" s="374"/>
      <c r="HV108" s="374"/>
      <c r="HW108" s="374"/>
      <c r="HX108" s="374"/>
      <c r="HY108" s="374"/>
      <c r="HZ108" s="374"/>
      <c r="IA108" s="374"/>
      <c r="IB108" s="374"/>
      <c r="IC108" s="374"/>
      <c r="ID108" s="374"/>
      <c r="IE108" s="374"/>
      <c r="IF108" s="374"/>
      <c r="IG108" s="374"/>
      <c r="IH108" s="374"/>
      <c r="II108" s="374"/>
      <c r="IJ108" s="374"/>
      <c r="IK108" s="374"/>
      <c r="IL108" s="374"/>
      <c r="IM108" s="374"/>
      <c r="IN108" s="374"/>
      <c r="IO108" s="374"/>
    </row>
    <row r="109" spans="1:249" s="622" customFormat="1" ht="12.75" customHeight="1" x14ac:dyDescent="0.2">
      <c r="A109" s="1846"/>
      <c r="B109" s="1331">
        <f>IFERROR(VLOOKUP(C109:C110,'[24]ניתוח הוצאות הנהלה'!$B$3:$C$17,2,0),0)</f>
        <v>0</v>
      </c>
      <c r="C109" s="1334" t="s">
        <v>1780</v>
      </c>
      <c r="D109" s="1337">
        <f>+IFERROR(HLOOKUP(D$122,'ניתוח עלויות תפעול'!$D$3:$K$17,$B109,0),0)</f>
        <v>0</v>
      </c>
      <c r="E109" s="1337">
        <f>+IFERROR(HLOOKUP(E$122,'ניתוח עלויות תפעול'!$D$3:$K$17,$B109,0),0)</f>
        <v>0</v>
      </c>
      <c r="F109" s="1337">
        <f>+IFERROR(HLOOKUP(F$122,'ניתוח עלויות תפעול'!$D$3:$K$17,$B109,0),0)</f>
        <v>0</v>
      </c>
      <c r="G109" s="1337">
        <f>+IFERROR(HLOOKUP(G$122,'ניתוח עלויות תפעול'!$D$3:$K$17,$B109,0),0)</f>
        <v>0</v>
      </c>
      <c r="H109" s="1337">
        <f>+IFERROR(HLOOKUP(H$122,'ניתוח עלויות תפעול'!$D$3:$K$17,$B109,0),0)</f>
        <v>0</v>
      </c>
      <c r="I109" s="1337">
        <f>+IFERROR(HLOOKUP(I$122,'ניתוח עלויות תפעול'!$D$3:$K$17,$B109,0),0)</f>
        <v>0</v>
      </c>
      <c r="J109" s="1337">
        <f>+IFERROR(HLOOKUP(J$122,'ניתוח עלויות תפעול'!$D$3:$K$17,$B109,0),0)</f>
        <v>0</v>
      </c>
      <c r="K109" s="1337">
        <f>+IFERROR(HLOOKUP(K$122,'ניתוח עלויות תפעול'!$D$3:$K$17,$B109,0),0)</f>
        <v>0</v>
      </c>
      <c r="L109" s="1337">
        <f>+IFERROR(HLOOKUP(L$122,'ניתוח עלויות תפעול'!$D$3:$K$17,$B109,0),0)</f>
        <v>0</v>
      </c>
      <c r="M109" s="1337">
        <f>+IFERROR(HLOOKUP(M$122,'ניתוח עלויות תפעול'!$D$3:$K$17,$B109,0),0)</f>
        <v>0</v>
      </c>
      <c r="N109" s="1337">
        <f>+IFERROR(HLOOKUP(N$122,'ניתוח עלויות תפעול'!$D$3:$K$17,$B109,0),0)</f>
        <v>0</v>
      </c>
      <c r="O109" s="1337">
        <f>+IFERROR(HLOOKUP(O$122,'ניתוח עלויות תפעול'!$D$3:$K$17,$B109,0),0)</f>
        <v>0</v>
      </c>
      <c r="P109" s="1337">
        <f>+IFERROR(HLOOKUP(P$122,'ניתוח עלויות תפעול'!$D$3:$K$17,$B109,0),0)</f>
        <v>0</v>
      </c>
      <c r="Q109" s="1337">
        <f>+IFERROR(HLOOKUP(Q$122,'ניתוח עלויות תפעול'!$D$3:$K$17,$B109,0),0)</f>
        <v>0</v>
      </c>
      <c r="R109" s="1337">
        <f>+IFERROR(HLOOKUP(R$122,'ניתוח עלויות תפעול'!$D$3:$K$17,$B109,0),0)</f>
        <v>0</v>
      </c>
      <c r="S109" s="1337">
        <f>+IFERROR(HLOOKUP(S$122,'ניתוח עלויות תפעול'!$D$3:$K$17,$B109,0),0)</f>
        <v>0</v>
      </c>
      <c r="T109" s="1337">
        <f>+IFERROR(HLOOKUP(T$122,'ניתוח עלויות תפעול'!$D$3:$K$17,$B109,0),0)</f>
        <v>0</v>
      </c>
      <c r="U109" s="1337">
        <f>+IFERROR(HLOOKUP(U$122,'ניתוח עלויות תפעול'!$D$3:$K$17,$B109,0),0)</f>
        <v>0</v>
      </c>
      <c r="V109" s="1337">
        <f>+IFERROR(HLOOKUP(V$122,'ניתוח עלויות תפעול'!$D$3:$K$17,$B109,0),0)</f>
        <v>0</v>
      </c>
      <c r="W109" s="1337">
        <f>+IFERROR(HLOOKUP(W$122,'ניתוח עלויות תפעול'!$D$3:$K$17,$B109,0),0)</f>
        <v>0</v>
      </c>
      <c r="X109" s="1337">
        <f>+IFERROR(HLOOKUP(X$122,'ניתוח עלויות תפעול'!$D$3:$K$17,$B109,0),0)</f>
        <v>0</v>
      </c>
      <c r="Y109" s="1337">
        <f>+IFERROR(HLOOKUP(Y$122,'ניתוח עלויות תפעול'!$D$3:$K$17,$B109,0),0)</f>
        <v>0</v>
      </c>
      <c r="Z109" s="1337">
        <f>+IFERROR(HLOOKUP(Z$122,'ניתוח עלויות תפעול'!$D$3:$K$17,$B109,0),0)</f>
        <v>0</v>
      </c>
      <c r="AA109" s="1337">
        <f>+IFERROR(HLOOKUP(AA$122,'ניתוח עלויות תפעול'!$D$3:$K$17,$B109,0),0)</f>
        <v>0</v>
      </c>
      <c r="AB109" s="1337">
        <f>+IFERROR(HLOOKUP(AB$122,'ניתוח עלויות תפעול'!$D$3:$K$17,$B109,0),0)</f>
        <v>0</v>
      </c>
      <c r="AC109" s="1337">
        <f>+IFERROR(HLOOKUP(AC$122,'ניתוח עלויות תפעול'!$D$3:$K$17,$B109,0),0)</f>
        <v>0</v>
      </c>
      <c r="AD109" s="1337">
        <f>+IFERROR(HLOOKUP(AD$122,'ניתוח עלויות תפעול'!$D$3:$K$17,$B109,0),0)</f>
        <v>0</v>
      </c>
      <c r="AE109" s="1337">
        <f>+IFERROR(HLOOKUP(AE$122,'ניתוח עלויות תפעול'!$D$3:$K$17,$B109,0),0)</f>
        <v>0</v>
      </c>
      <c r="AF109" s="1337">
        <f>+IFERROR(HLOOKUP(AF$122,'ניתוח עלויות תפעול'!$D$3:$K$17,$B109,0),0)</f>
        <v>0</v>
      </c>
      <c r="AG109" s="1337">
        <f>+IFERROR(HLOOKUP(AG$122,'ניתוח עלויות תפעול'!$D$3:$K$17,$B109,0),0)</f>
        <v>0</v>
      </c>
      <c r="AH109" s="1337">
        <f>+IFERROR(HLOOKUP(AH$122,'ניתוח עלויות תפעול'!$D$3:$K$17,$B109,0),0)</f>
        <v>0</v>
      </c>
      <c r="AI109" s="1337">
        <f>+IFERROR(HLOOKUP(AI$122,'ניתוח עלויות תפעול'!$D$3:$K$17,$B109,0),0)</f>
        <v>0</v>
      </c>
      <c r="AJ109" s="1337">
        <f>+IFERROR(HLOOKUP(AJ$122,'ניתוח עלויות תפעול'!$D$3:$K$17,$B109,0),0)</f>
        <v>0</v>
      </c>
      <c r="AK109" s="1337">
        <f>+IFERROR(HLOOKUP(AK$122,'ניתוח עלויות תפעול'!$D$3:$K$17,$B109,0),0)</f>
        <v>0</v>
      </c>
      <c r="AL109" s="1337">
        <f>+IFERROR(HLOOKUP(AL$122,'ניתוח עלויות תפעול'!$D$3:$K$17,$B109,0),0)</f>
        <v>0</v>
      </c>
      <c r="AM109" s="1337">
        <f>+IFERROR(HLOOKUP(AM$122,'ניתוח עלויות תפעול'!$D$3:$K$17,$B109,0),0)</f>
        <v>0</v>
      </c>
      <c r="AN109" s="1337">
        <f>+IFERROR(HLOOKUP(AN$122,'ניתוח עלויות תפעול'!$D$3:$K$17,$B109,0),0)</f>
        <v>0</v>
      </c>
      <c r="AO109" s="1337">
        <f>+IFERROR(HLOOKUP(AO$122,'ניתוח עלויות תפעול'!$D$3:$K$17,$B109,0),0)</f>
        <v>0</v>
      </c>
      <c r="AP109" s="1337">
        <f>+IFERROR(HLOOKUP(AP$122,'ניתוח עלויות תפעול'!$D$3:$K$17,$B109,0),0)</f>
        <v>0</v>
      </c>
      <c r="AQ109" s="1337">
        <f>+IFERROR(HLOOKUP(AQ$122,'ניתוח עלויות תפעול'!$D$3:$K$17,$B109,0),0)</f>
        <v>0</v>
      </c>
      <c r="AR109" s="1337">
        <f>+IFERROR(HLOOKUP(AR$122,'ניתוח עלויות תפעול'!$D$3:$K$17,$B109,0),0)</f>
        <v>0</v>
      </c>
      <c r="AS109" s="1337">
        <f>+IFERROR(HLOOKUP(AS$122,'ניתוח עלויות תפעול'!$D$3:$K$17,$B109,0),0)</f>
        <v>0</v>
      </c>
      <c r="AT109" s="1337">
        <f>+IFERROR(HLOOKUP(AT$122,'ניתוח עלויות תפעול'!$D$3:$K$17,$B109,0),0)</f>
        <v>0</v>
      </c>
      <c r="AU109" s="1337">
        <f>+IFERROR(HLOOKUP(AU$122,'ניתוח עלויות תפעול'!$D$3:$K$17,$B109,0),0)</f>
        <v>0</v>
      </c>
      <c r="AV109" s="1337">
        <f>+IFERROR(HLOOKUP(AV$122,'ניתוח עלויות תפעול'!$D$3:$K$17,$B109,0),0)</f>
        <v>0</v>
      </c>
      <c r="AW109" s="1337">
        <f>+IFERROR(HLOOKUP(AW$122,'ניתוח עלויות תפעול'!$D$3:$K$17,$B109,0),0)</f>
        <v>0</v>
      </c>
      <c r="AX109" s="1337">
        <f>+IFERROR(HLOOKUP(AX$122,'ניתוח עלויות תפעול'!$D$3:$K$17,$B109,0),0)</f>
        <v>0</v>
      </c>
      <c r="AY109" s="1337">
        <f>+IFERROR(HLOOKUP(AY$122,'ניתוח עלויות תפעול'!$D$3:$K$17,$B109,0),0)</f>
        <v>0</v>
      </c>
      <c r="AZ109" s="1337">
        <f>+IFERROR(HLOOKUP(AZ$122,'ניתוח עלויות תפעול'!$D$3:$K$17,$B109,0),0)</f>
        <v>0</v>
      </c>
      <c r="BA109" s="1337">
        <f>+IFERROR(HLOOKUP(BA$122,'ניתוח עלויות תפעול'!$D$3:$K$17,$B109,0),0)</f>
        <v>0</v>
      </c>
      <c r="BB109" s="1337">
        <f>+IFERROR(HLOOKUP(BB$122,'ניתוח עלויות תפעול'!$D$3:$K$17,$B109,0),0)</f>
        <v>0</v>
      </c>
      <c r="BC109" s="1337">
        <f>+IFERROR(HLOOKUP(BC$122,'ניתוח עלויות תפעול'!$D$3:$K$17,$B109,0),0)</f>
        <v>0</v>
      </c>
      <c r="BD109" s="1337">
        <f>+IFERROR(HLOOKUP(BD$122,'ניתוח עלויות תפעול'!$D$3:$K$17,$B109,0),0)</f>
        <v>0</v>
      </c>
      <c r="BE109" s="1337">
        <f>+IFERROR(HLOOKUP(BE$122,'ניתוח עלויות תפעול'!$D$3:$K$17,$B109,0),0)</f>
        <v>0</v>
      </c>
      <c r="BF109" s="1337">
        <f>+IFERROR(HLOOKUP(BF$122,'ניתוח עלויות תפעול'!$D$3:$K$17,$B109,0),0)</f>
        <v>0</v>
      </c>
      <c r="BG109" s="374"/>
      <c r="BH109" s="374"/>
      <c r="BI109" s="374"/>
      <c r="BJ109" s="374"/>
      <c r="BK109" s="374"/>
      <c r="BL109" s="374"/>
      <c r="BM109" s="374"/>
      <c r="BN109" s="374"/>
      <c r="BO109" s="374"/>
      <c r="BP109" s="374"/>
      <c r="BQ109" s="374"/>
      <c r="BR109" s="374"/>
      <c r="BS109" s="374"/>
      <c r="BT109" s="374"/>
      <c r="BU109" s="374"/>
      <c r="BV109" s="374"/>
      <c r="BW109" s="374"/>
      <c r="BX109" s="374"/>
      <c r="BY109" s="374"/>
      <c r="BZ109" s="374"/>
      <c r="CA109" s="374"/>
      <c r="CB109" s="374"/>
      <c r="CC109" s="374"/>
      <c r="CD109" s="374"/>
      <c r="CE109" s="374"/>
      <c r="CF109" s="374"/>
      <c r="CG109" s="374"/>
      <c r="CH109" s="374"/>
      <c r="CI109" s="374"/>
      <c r="CJ109" s="374"/>
      <c r="CK109" s="374"/>
      <c r="CL109" s="374"/>
      <c r="CM109" s="374"/>
      <c r="CN109" s="374"/>
      <c r="CO109" s="374"/>
      <c r="CP109" s="374"/>
      <c r="CQ109" s="374"/>
      <c r="CR109" s="374"/>
      <c r="CS109" s="374"/>
      <c r="CT109" s="374"/>
      <c r="CU109" s="374"/>
      <c r="CV109" s="374"/>
      <c r="CW109" s="374"/>
      <c r="CX109" s="374"/>
      <c r="CY109" s="374"/>
      <c r="CZ109" s="374"/>
      <c r="DA109" s="374"/>
      <c r="DB109" s="374"/>
      <c r="DC109" s="374"/>
      <c r="DD109" s="374"/>
      <c r="DE109" s="374"/>
      <c r="DF109" s="374"/>
      <c r="DG109" s="374"/>
      <c r="DH109" s="374"/>
      <c r="DI109" s="374"/>
      <c r="DJ109" s="374"/>
      <c r="DK109" s="374"/>
      <c r="DL109" s="374"/>
      <c r="DM109" s="374"/>
      <c r="DN109" s="374"/>
      <c r="DO109" s="374"/>
      <c r="DP109" s="374"/>
      <c r="DQ109" s="374"/>
      <c r="DR109" s="374"/>
      <c r="DS109" s="374"/>
      <c r="DT109" s="374"/>
      <c r="DU109" s="374"/>
      <c r="DV109" s="374"/>
      <c r="DW109" s="374"/>
      <c r="DX109" s="374"/>
      <c r="DY109" s="374"/>
      <c r="DZ109" s="374"/>
      <c r="EA109" s="374"/>
      <c r="EB109" s="374"/>
      <c r="EC109" s="374"/>
      <c r="ED109" s="374"/>
      <c r="EE109" s="374"/>
      <c r="EF109" s="374"/>
      <c r="EG109" s="374"/>
      <c r="EH109" s="374"/>
      <c r="EI109" s="374"/>
      <c r="EJ109" s="374"/>
      <c r="EK109" s="374"/>
      <c r="EL109" s="374"/>
      <c r="EM109" s="374"/>
      <c r="EN109" s="374"/>
      <c r="EO109" s="374"/>
      <c r="EP109" s="374"/>
      <c r="EQ109" s="374"/>
      <c r="ER109" s="374"/>
      <c r="ES109" s="374"/>
      <c r="ET109" s="374"/>
      <c r="EU109" s="374"/>
      <c r="EV109" s="374"/>
      <c r="EW109" s="374"/>
      <c r="EX109" s="374"/>
      <c r="EY109" s="374"/>
      <c r="EZ109" s="374"/>
      <c r="FA109" s="374"/>
      <c r="FB109" s="374"/>
      <c r="FC109" s="374"/>
      <c r="FD109" s="374"/>
      <c r="FE109" s="374"/>
      <c r="FF109" s="374"/>
      <c r="FG109" s="374"/>
      <c r="FH109" s="374"/>
      <c r="FI109" s="374"/>
      <c r="FJ109" s="374"/>
      <c r="FK109" s="374"/>
      <c r="FL109" s="374"/>
      <c r="FM109" s="374"/>
      <c r="FN109" s="374"/>
      <c r="FO109" s="374"/>
      <c r="FP109" s="374"/>
      <c r="FQ109" s="374"/>
      <c r="FR109" s="374"/>
      <c r="FS109" s="374"/>
      <c r="FT109" s="374"/>
      <c r="FU109" s="374"/>
      <c r="FV109" s="374"/>
      <c r="FW109" s="374"/>
      <c r="FX109" s="374"/>
      <c r="FY109" s="374"/>
      <c r="FZ109" s="374"/>
      <c r="GA109" s="374"/>
      <c r="GB109" s="374"/>
      <c r="GC109" s="374"/>
      <c r="GD109" s="374"/>
      <c r="GE109" s="374"/>
      <c r="GF109" s="374"/>
      <c r="GG109" s="374"/>
      <c r="GH109" s="374"/>
      <c r="GI109" s="374"/>
      <c r="GJ109" s="374"/>
      <c r="GK109" s="374"/>
      <c r="GL109" s="374"/>
      <c r="GM109" s="374"/>
      <c r="GN109" s="374"/>
      <c r="GO109" s="374"/>
      <c r="GP109" s="374"/>
      <c r="GQ109" s="374"/>
      <c r="GR109" s="374"/>
      <c r="GS109" s="374"/>
      <c r="GT109" s="374"/>
      <c r="GU109" s="374"/>
      <c r="GV109" s="374"/>
      <c r="GW109" s="374"/>
      <c r="GX109" s="374"/>
      <c r="GY109" s="374"/>
      <c r="GZ109" s="374"/>
      <c r="HA109" s="374"/>
      <c r="HB109" s="374"/>
      <c r="HC109" s="374"/>
      <c r="HD109" s="374"/>
      <c r="HE109" s="374"/>
      <c r="HF109" s="374"/>
      <c r="HG109" s="374"/>
      <c r="HH109" s="374"/>
      <c r="HI109" s="374"/>
      <c r="HJ109" s="374"/>
      <c r="HK109" s="374"/>
      <c r="HL109" s="374"/>
      <c r="HM109" s="374"/>
      <c r="HN109" s="374"/>
      <c r="HO109" s="374"/>
      <c r="HP109" s="374"/>
      <c r="HQ109" s="374"/>
      <c r="HR109" s="374"/>
      <c r="HS109" s="374"/>
      <c r="HT109" s="374"/>
      <c r="HU109" s="374"/>
      <c r="HV109" s="374"/>
      <c r="HW109" s="374"/>
      <c r="HX109" s="374"/>
      <c r="HY109" s="374"/>
      <c r="HZ109" s="374"/>
      <c r="IA109" s="374"/>
      <c r="IB109" s="374"/>
      <c r="IC109" s="374"/>
      <c r="ID109" s="374"/>
      <c r="IE109" s="374"/>
      <c r="IF109" s="374"/>
      <c r="IG109" s="374"/>
      <c r="IH109" s="374"/>
      <c r="II109" s="374"/>
      <c r="IJ109" s="374"/>
      <c r="IK109" s="374"/>
      <c r="IL109" s="374"/>
      <c r="IM109" s="374"/>
      <c r="IN109" s="374"/>
      <c r="IO109" s="374"/>
    </row>
    <row r="110" spans="1:249" ht="12.75" customHeight="1" x14ac:dyDescent="0.2">
      <c r="A110" s="1846"/>
      <c r="B110" s="1331">
        <f>IFERROR(VLOOKUP(C110:C112,'[24]ניתוח הוצאות הנהלה'!$B$3:$C$17,2,0),0)</f>
        <v>0</v>
      </c>
      <c r="C110" s="1334" t="s">
        <v>1781</v>
      </c>
      <c r="D110" s="1337">
        <f>+IFERROR(HLOOKUP(D$122,'ניתוח עלויות תפעול'!$D$3:$K$17,$B110,0),0)</f>
        <v>0</v>
      </c>
      <c r="E110" s="1337">
        <f>+IFERROR(HLOOKUP(E$122,'ניתוח עלויות תפעול'!$D$3:$K$17,$B110,0),0)</f>
        <v>0</v>
      </c>
      <c r="F110" s="1337">
        <f>+IFERROR(HLOOKUP(F$122,'ניתוח עלויות תפעול'!$D$3:$K$17,$B110,0),0)</f>
        <v>0</v>
      </c>
      <c r="G110" s="1337">
        <f>+IFERROR(HLOOKUP(G$122,'ניתוח עלויות תפעול'!$D$3:$K$17,$B110,0),0)</f>
        <v>0</v>
      </c>
      <c r="H110" s="1337">
        <f>+IFERROR(HLOOKUP(H$122,'ניתוח עלויות תפעול'!$D$3:$K$17,$B110,0),0)</f>
        <v>0</v>
      </c>
      <c r="I110" s="1337">
        <f>+IFERROR(HLOOKUP(I$122,'ניתוח עלויות תפעול'!$D$3:$K$17,$B110,0),0)</f>
        <v>0</v>
      </c>
      <c r="J110" s="1337">
        <f>+IFERROR(HLOOKUP(J$122,'ניתוח עלויות תפעול'!$D$3:$K$17,$B110,0),0)</f>
        <v>0</v>
      </c>
      <c r="K110" s="1337">
        <f>+IFERROR(HLOOKUP(K$122,'ניתוח עלויות תפעול'!$D$3:$K$17,$B110,0),0)</f>
        <v>0</v>
      </c>
      <c r="L110" s="1337">
        <f>+IFERROR(HLOOKUP(L$122,'ניתוח עלויות תפעול'!$D$3:$K$17,$B110,0),0)</f>
        <v>0</v>
      </c>
      <c r="M110" s="1337">
        <f>+IFERROR(HLOOKUP(M$122,'ניתוח עלויות תפעול'!$D$3:$K$17,$B110,0),0)</f>
        <v>0</v>
      </c>
      <c r="N110" s="1337">
        <f>+IFERROR(HLOOKUP(N$122,'ניתוח עלויות תפעול'!$D$3:$K$17,$B110,0),0)</f>
        <v>0</v>
      </c>
      <c r="O110" s="1337">
        <f>+IFERROR(HLOOKUP(O$122,'ניתוח עלויות תפעול'!$D$3:$K$17,$B110,0),0)</f>
        <v>0</v>
      </c>
      <c r="P110" s="1337">
        <f>+IFERROR(HLOOKUP(P$122,'ניתוח עלויות תפעול'!$D$3:$K$17,$B110,0),0)</f>
        <v>0</v>
      </c>
      <c r="Q110" s="1337">
        <f>+IFERROR(HLOOKUP(Q$122,'ניתוח עלויות תפעול'!$D$3:$K$17,$B110,0),0)</f>
        <v>0</v>
      </c>
      <c r="R110" s="1337">
        <f>+IFERROR(HLOOKUP(R$122,'ניתוח עלויות תפעול'!$D$3:$K$17,$B110,0),0)</f>
        <v>0</v>
      </c>
      <c r="S110" s="1337">
        <f>+IFERROR(HLOOKUP(S$122,'ניתוח עלויות תפעול'!$D$3:$K$17,$B110,0),0)</f>
        <v>0</v>
      </c>
      <c r="T110" s="1337">
        <f>+IFERROR(HLOOKUP(T$122,'ניתוח עלויות תפעול'!$D$3:$K$17,$B110,0),0)</f>
        <v>0</v>
      </c>
      <c r="U110" s="1337">
        <f>+IFERROR(HLOOKUP(U$122,'ניתוח עלויות תפעול'!$D$3:$K$17,$B110,0),0)</f>
        <v>0</v>
      </c>
      <c r="V110" s="1337">
        <f>+IFERROR(HLOOKUP(V$122,'ניתוח עלויות תפעול'!$D$3:$K$17,$B110,0),0)</f>
        <v>0</v>
      </c>
      <c r="W110" s="1337">
        <f>+IFERROR(HLOOKUP(W$122,'ניתוח עלויות תפעול'!$D$3:$K$17,$B110,0),0)</f>
        <v>0</v>
      </c>
      <c r="X110" s="1337">
        <f>+IFERROR(HLOOKUP(X$122,'ניתוח עלויות תפעול'!$D$3:$K$17,$B110,0),0)</f>
        <v>0</v>
      </c>
      <c r="Y110" s="1337">
        <f>+IFERROR(HLOOKUP(Y$122,'ניתוח עלויות תפעול'!$D$3:$K$17,$B110,0),0)</f>
        <v>0</v>
      </c>
      <c r="Z110" s="1337">
        <f>+IFERROR(HLOOKUP(Z$122,'ניתוח עלויות תפעול'!$D$3:$K$17,$B110,0),0)</f>
        <v>0</v>
      </c>
      <c r="AA110" s="1337">
        <f>+IFERROR(HLOOKUP(AA$122,'ניתוח עלויות תפעול'!$D$3:$K$17,$B110,0),0)</f>
        <v>0</v>
      </c>
      <c r="AB110" s="1337">
        <f>+IFERROR(HLOOKUP(AB$122,'ניתוח עלויות תפעול'!$D$3:$K$17,$B110,0),0)</f>
        <v>0</v>
      </c>
      <c r="AC110" s="1337">
        <f>+IFERROR(HLOOKUP(AC$122,'ניתוח עלויות תפעול'!$D$3:$K$17,$B110,0),0)</f>
        <v>0</v>
      </c>
      <c r="AD110" s="1337">
        <f>+IFERROR(HLOOKUP(AD$122,'ניתוח עלויות תפעול'!$D$3:$K$17,$B110,0),0)</f>
        <v>0</v>
      </c>
      <c r="AE110" s="1337">
        <f>+IFERROR(HLOOKUP(AE$122,'ניתוח עלויות תפעול'!$D$3:$K$17,$B110,0),0)</f>
        <v>0</v>
      </c>
      <c r="AF110" s="1337">
        <f>+IFERROR(HLOOKUP(AF$122,'ניתוח עלויות תפעול'!$D$3:$K$17,$B110,0),0)</f>
        <v>0</v>
      </c>
      <c r="AG110" s="1337">
        <f>+IFERROR(HLOOKUP(AG$122,'ניתוח עלויות תפעול'!$D$3:$K$17,$B110,0),0)</f>
        <v>0</v>
      </c>
      <c r="AH110" s="1337">
        <f>+IFERROR(HLOOKUP(AH$122,'ניתוח עלויות תפעול'!$D$3:$K$17,$B110,0),0)</f>
        <v>0</v>
      </c>
      <c r="AI110" s="1337">
        <f>+IFERROR(HLOOKUP(AI$122,'ניתוח עלויות תפעול'!$D$3:$K$17,$B110,0),0)</f>
        <v>0</v>
      </c>
      <c r="AJ110" s="1337">
        <f>+IFERROR(HLOOKUP(AJ$122,'ניתוח עלויות תפעול'!$D$3:$K$17,$B110,0),0)</f>
        <v>0</v>
      </c>
      <c r="AK110" s="1337">
        <f>+IFERROR(HLOOKUP(AK$122,'ניתוח עלויות תפעול'!$D$3:$K$17,$B110,0),0)</f>
        <v>0</v>
      </c>
      <c r="AL110" s="1337">
        <f>+IFERROR(HLOOKUP(AL$122,'ניתוח עלויות תפעול'!$D$3:$K$17,$B110,0),0)</f>
        <v>0</v>
      </c>
      <c r="AM110" s="1337">
        <f>+IFERROR(HLOOKUP(AM$122,'ניתוח עלויות תפעול'!$D$3:$K$17,$B110,0),0)</f>
        <v>0</v>
      </c>
      <c r="AN110" s="1337">
        <f>+IFERROR(HLOOKUP(AN$122,'ניתוח עלויות תפעול'!$D$3:$K$17,$B110,0),0)</f>
        <v>0</v>
      </c>
      <c r="AO110" s="1337">
        <f>+IFERROR(HLOOKUP(AO$122,'ניתוח עלויות תפעול'!$D$3:$K$17,$B110,0),0)</f>
        <v>0</v>
      </c>
      <c r="AP110" s="1337">
        <f>+IFERROR(HLOOKUP(AP$122,'ניתוח עלויות תפעול'!$D$3:$K$17,$B110,0),0)</f>
        <v>0</v>
      </c>
      <c r="AQ110" s="1337">
        <f>+IFERROR(HLOOKUP(AQ$122,'ניתוח עלויות תפעול'!$D$3:$K$17,$B110,0),0)</f>
        <v>0</v>
      </c>
      <c r="AR110" s="1337">
        <f>+IFERROR(HLOOKUP(AR$122,'ניתוח עלויות תפעול'!$D$3:$K$17,$B110,0),0)</f>
        <v>0</v>
      </c>
      <c r="AS110" s="1337">
        <f>+IFERROR(HLOOKUP(AS$122,'ניתוח עלויות תפעול'!$D$3:$K$17,$B110,0),0)</f>
        <v>0</v>
      </c>
      <c r="AT110" s="1337">
        <f>+IFERROR(HLOOKUP(AT$122,'ניתוח עלויות תפעול'!$D$3:$K$17,$B110,0),0)</f>
        <v>0</v>
      </c>
      <c r="AU110" s="1337">
        <f>+IFERROR(HLOOKUP(AU$122,'ניתוח עלויות תפעול'!$D$3:$K$17,$B110,0),0)</f>
        <v>0</v>
      </c>
      <c r="AV110" s="1337">
        <f>+IFERROR(HLOOKUP(AV$122,'ניתוח עלויות תפעול'!$D$3:$K$17,$B110,0),0)</f>
        <v>0</v>
      </c>
      <c r="AW110" s="1337">
        <f>+IFERROR(HLOOKUP(AW$122,'ניתוח עלויות תפעול'!$D$3:$K$17,$B110,0),0)</f>
        <v>0</v>
      </c>
      <c r="AX110" s="1337">
        <f>+IFERROR(HLOOKUP(AX$122,'ניתוח עלויות תפעול'!$D$3:$K$17,$B110,0),0)</f>
        <v>0</v>
      </c>
      <c r="AY110" s="1337">
        <f>+IFERROR(HLOOKUP(AY$122,'ניתוח עלויות תפעול'!$D$3:$K$17,$B110,0),0)</f>
        <v>0</v>
      </c>
      <c r="AZ110" s="1337">
        <f>+IFERROR(HLOOKUP(AZ$122,'ניתוח עלויות תפעול'!$D$3:$K$17,$B110,0),0)</f>
        <v>0</v>
      </c>
      <c r="BA110" s="1337">
        <f>+IFERROR(HLOOKUP(BA$122,'ניתוח עלויות תפעול'!$D$3:$K$17,$B110,0),0)</f>
        <v>0</v>
      </c>
      <c r="BB110" s="1337">
        <f>+IFERROR(HLOOKUP(BB$122,'ניתוח עלויות תפעול'!$D$3:$K$17,$B110,0),0)</f>
        <v>0</v>
      </c>
      <c r="BC110" s="1337">
        <f>+IFERROR(HLOOKUP(BC$122,'ניתוח עלויות תפעול'!$D$3:$K$17,$B110,0),0)</f>
        <v>0</v>
      </c>
      <c r="BD110" s="1337">
        <f>+IFERROR(HLOOKUP(BD$122,'ניתוח עלויות תפעול'!$D$3:$K$17,$B110,0),0)</f>
        <v>0</v>
      </c>
      <c r="BE110" s="1337">
        <f>+IFERROR(HLOOKUP(BE$122,'ניתוח עלויות תפעול'!$D$3:$K$17,$B110,0),0)</f>
        <v>0</v>
      </c>
      <c r="BF110" s="1337">
        <f>+IFERROR(HLOOKUP(BF$122,'ניתוח עלויות תפעול'!$D$3:$K$17,$B110,0),0)</f>
        <v>0</v>
      </c>
    </row>
    <row r="111" spans="1:249" ht="12.75" customHeight="1" x14ac:dyDescent="0.2">
      <c r="A111" s="1846"/>
      <c r="B111" s="1331">
        <f>IFERROR(VLOOKUP(C111:C113,'[24]ניתוח הוצאות הנהלה'!$B$3:$C$17,2,0),0)</f>
        <v>13</v>
      </c>
      <c r="C111" s="1334" t="s">
        <v>1336</v>
      </c>
      <c r="D111" s="1337">
        <f>+IFERROR(HLOOKUP(D$122,'ניתוח עלויות תפעול'!$D$3:$K$17,$B111,0),0)</f>
        <v>48</v>
      </c>
      <c r="E111" s="1337">
        <f>+IFERROR(HLOOKUP(E$122,'ניתוח עלויות תפעול'!$D$3:$K$17,$B111,0),0)</f>
        <v>48</v>
      </c>
      <c r="F111" s="1337">
        <f>+IFERROR(HLOOKUP(F$122,'ניתוח עלויות תפעול'!$D$3:$K$17,$B111,0),0)</f>
        <v>36</v>
      </c>
      <c r="G111" s="1337">
        <f>+IFERROR(HLOOKUP(G$122,'ניתוח עלויות תפעול'!$D$3:$K$17,$B111,0),0)</f>
        <v>0</v>
      </c>
      <c r="H111" s="1337">
        <f>+IFERROR(HLOOKUP(H$122,'ניתוח עלויות תפעול'!$D$3:$K$17,$B111,0),0)</f>
        <v>48</v>
      </c>
      <c r="I111" s="1337">
        <f>+IFERROR(HLOOKUP(I$122,'ניתוח עלויות תפעול'!$D$3:$K$17,$B111,0),0)</f>
        <v>0</v>
      </c>
      <c r="J111" s="1337">
        <f>+IFERROR(HLOOKUP(J$122,'ניתוח עלויות תפעול'!$D$3:$K$17,$B111,0),0)</f>
        <v>36</v>
      </c>
      <c r="K111" s="1337">
        <f>+IFERROR(HLOOKUP(K$122,'ניתוח עלויות תפעול'!$D$3:$K$17,$B111,0),0)</f>
        <v>36</v>
      </c>
      <c r="L111" s="1337">
        <f>+IFERROR(HLOOKUP(L$122,'ניתוח עלויות תפעול'!$D$3:$K$17,$B111,0),0)</f>
        <v>36</v>
      </c>
      <c r="M111" s="1337">
        <f>+IFERROR(HLOOKUP(M$122,'ניתוח עלויות תפעול'!$D$3:$K$17,$B111,0),0)</f>
        <v>36</v>
      </c>
      <c r="N111" s="1337">
        <f>+IFERROR(HLOOKUP(N$122,'ניתוח עלויות תפעול'!$D$3:$K$17,$B111,0),0)</f>
        <v>48</v>
      </c>
      <c r="O111" s="1337">
        <f>+IFERROR(HLOOKUP(O$122,'ניתוח עלויות תפעול'!$D$3:$K$17,$B111,0),0)</f>
        <v>48</v>
      </c>
      <c r="P111" s="1337">
        <f>+IFERROR(HLOOKUP(P$122,'ניתוח עלויות תפעול'!$D$3:$K$17,$B111,0),0)</f>
        <v>36</v>
      </c>
      <c r="Q111" s="1337">
        <f>+IFERROR(HLOOKUP(Q$122,'ניתוח עלויות תפעול'!$D$3:$K$17,$B111,0),0)</f>
        <v>36</v>
      </c>
      <c r="R111" s="1337">
        <f>+IFERROR(HLOOKUP(R$122,'ניתוח עלויות תפעול'!$D$3:$K$17,$B111,0),0)</f>
        <v>48</v>
      </c>
      <c r="S111" s="1337">
        <f>+IFERROR(HLOOKUP(S$122,'ניתוח עלויות תפעול'!$D$3:$K$17,$B111,0),0)</f>
        <v>48</v>
      </c>
      <c r="T111" s="1337">
        <f>+IFERROR(HLOOKUP(T$122,'ניתוח עלויות תפעול'!$D$3:$K$17,$B111,0),0)</f>
        <v>96</v>
      </c>
      <c r="U111" s="1337">
        <f>+IFERROR(HLOOKUP(U$122,'ניתוח עלויות תפעול'!$D$3:$K$17,$B111,0),0)</f>
        <v>48</v>
      </c>
      <c r="V111" s="1337">
        <f>+IFERROR(HLOOKUP(V$122,'ניתוח עלויות תפעול'!$D$3:$K$17,$B111,0),0)</f>
        <v>0</v>
      </c>
      <c r="W111" s="1337">
        <f>+IFERROR(HLOOKUP(W$122,'ניתוח עלויות תפעול'!$D$3:$K$17,$B111,0),0)</f>
        <v>36</v>
      </c>
      <c r="X111" s="1337">
        <f>+IFERROR(HLOOKUP(X$122,'ניתוח עלויות תפעול'!$D$3:$K$17,$B111,0),0)</f>
        <v>48</v>
      </c>
      <c r="Y111" s="1337">
        <f>+IFERROR(HLOOKUP(Y$122,'ניתוח עלויות תפעול'!$D$3:$K$17,$B111,0),0)</f>
        <v>36</v>
      </c>
      <c r="Z111" s="1337">
        <f>+IFERROR(HLOOKUP(Z$122,'ניתוח עלויות תפעול'!$D$3:$K$17,$B111,0),0)</f>
        <v>36</v>
      </c>
      <c r="AA111" s="1337">
        <f>+IFERROR(HLOOKUP(AA$122,'ניתוח עלויות תפעול'!$D$3:$K$17,$B111,0),0)</f>
        <v>36</v>
      </c>
      <c r="AB111" s="1337">
        <f>+IFERROR(HLOOKUP(AB$122,'ניתוח עלויות תפעול'!$D$3:$K$17,$B111,0),0)</f>
        <v>36</v>
      </c>
      <c r="AC111" s="1337">
        <f>+IFERROR(HLOOKUP(AC$122,'ניתוח עלויות תפעול'!$D$3:$K$17,$B111,0),0)</f>
        <v>36</v>
      </c>
      <c r="AD111" s="1337">
        <f>+IFERROR(HLOOKUP(AD$122,'ניתוח עלויות תפעול'!$D$3:$K$17,$B111,0),0)</f>
        <v>36</v>
      </c>
      <c r="AE111" s="1337">
        <f>+IFERROR(HLOOKUP(AE$122,'ניתוח עלויות תפעול'!$D$3:$K$17,$B111,0),0)</f>
        <v>36</v>
      </c>
      <c r="AF111" s="1337">
        <f>+IFERROR(HLOOKUP(AF$122,'ניתוח עלויות תפעול'!$D$3:$K$17,$B111,0),0)</f>
        <v>96</v>
      </c>
      <c r="AG111" s="1337">
        <f>+IFERROR(HLOOKUP(AG$122,'ניתוח עלויות תפעול'!$D$3:$K$17,$B111,0),0)</f>
        <v>36</v>
      </c>
      <c r="AH111" s="1337">
        <f>+IFERROR(HLOOKUP(AH$122,'ניתוח עלויות תפעול'!$D$3:$K$17,$B111,0),0)</f>
        <v>36</v>
      </c>
      <c r="AI111" s="1337">
        <f>+IFERROR(HLOOKUP(AI$122,'ניתוח עלויות תפעול'!$D$3:$K$17,$B111,0),0)</f>
        <v>36</v>
      </c>
      <c r="AJ111" s="1337">
        <f>+IFERROR(HLOOKUP(AJ$122,'ניתוח עלויות תפעול'!$D$3:$K$17,$B111,0),0)</f>
        <v>36</v>
      </c>
      <c r="AK111" s="1337">
        <f>+IFERROR(HLOOKUP(AK$122,'ניתוח עלויות תפעול'!$D$3:$K$17,$B111,0),0)</f>
        <v>36</v>
      </c>
      <c r="AL111" s="1337">
        <f>+IFERROR(HLOOKUP(AL$122,'ניתוח עלויות תפעול'!$D$3:$K$17,$B111,0),0)</f>
        <v>36</v>
      </c>
      <c r="AM111" s="1337">
        <f>+IFERROR(HLOOKUP(AM$122,'ניתוח עלויות תפעול'!$D$3:$K$17,$B111,0),0)</f>
        <v>0</v>
      </c>
      <c r="AN111" s="1337">
        <f>+IFERROR(HLOOKUP(AN$122,'ניתוח עלויות תפעול'!$D$3:$K$17,$B111,0),0)</f>
        <v>36</v>
      </c>
      <c r="AO111" s="1337">
        <f>+IFERROR(HLOOKUP(AO$122,'ניתוח עלויות תפעול'!$D$3:$K$17,$B111,0),0)</f>
        <v>48</v>
      </c>
      <c r="AP111" s="1337">
        <f>+IFERROR(HLOOKUP(AP$122,'ניתוח עלויות תפעול'!$D$3:$K$17,$B111,0),0)</f>
        <v>36</v>
      </c>
      <c r="AQ111" s="1337">
        <f>+IFERROR(HLOOKUP(AQ$122,'ניתוח עלויות תפעול'!$D$3:$K$17,$B111,0),0)</f>
        <v>48</v>
      </c>
      <c r="AR111" s="1337">
        <f>+IFERROR(HLOOKUP(AR$122,'ניתוח עלויות תפעול'!$D$3:$K$17,$B111,0),0)</f>
        <v>36</v>
      </c>
      <c r="AS111" s="1337">
        <f>+IFERROR(HLOOKUP(AS$122,'ניתוח עלויות תפעול'!$D$3:$K$17,$B111,0),0)</f>
        <v>48</v>
      </c>
      <c r="AT111" s="1337">
        <f>+IFERROR(HLOOKUP(AT$122,'ניתוח עלויות תפעול'!$D$3:$K$17,$B111,0),0)</f>
        <v>36</v>
      </c>
      <c r="AU111" s="1337">
        <f>+IFERROR(HLOOKUP(AU$122,'ניתוח עלויות תפעול'!$D$3:$K$17,$B111,0),0)</f>
        <v>36</v>
      </c>
      <c r="AV111" s="1337">
        <f>+IFERROR(HLOOKUP(AV$122,'ניתוח עלויות תפעול'!$D$3:$K$17,$B111,0),0)</f>
        <v>36</v>
      </c>
      <c r="AW111" s="1337">
        <f>+IFERROR(HLOOKUP(AW$122,'ניתוח עלויות תפעול'!$D$3:$K$17,$B111,0),0)</f>
        <v>36</v>
      </c>
      <c r="AX111" s="1337">
        <f>+IFERROR(HLOOKUP(AX$122,'ניתוח עלויות תפעול'!$D$3:$K$17,$B111,0),0)</f>
        <v>36</v>
      </c>
      <c r="AY111" s="1337">
        <f>+IFERROR(HLOOKUP(AY$122,'ניתוח עלויות תפעול'!$D$3:$K$17,$B111,0),0)</f>
        <v>48</v>
      </c>
      <c r="AZ111" s="1337">
        <f>+IFERROR(HLOOKUP(AZ$122,'ניתוח עלויות תפעול'!$D$3:$K$17,$B111,0),0)</f>
        <v>36</v>
      </c>
      <c r="BA111" s="1337">
        <f>+IFERROR(HLOOKUP(BA$122,'ניתוח עלויות תפעול'!$D$3:$K$17,$B111,0),0)</f>
        <v>36</v>
      </c>
      <c r="BB111" s="1337">
        <f>+IFERROR(HLOOKUP(BB$122,'ניתוח עלויות תפעול'!$D$3:$K$17,$B111,0),0)</f>
        <v>36</v>
      </c>
      <c r="BC111" s="1337">
        <f>+IFERROR(HLOOKUP(BC$122,'ניתוח עלויות תפעול'!$D$3:$K$17,$B111,0),0)</f>
        <v>36</v>
      </c>
      <c r="BD111" s="1337">
        <f>+IFERROR(HLOOKUP(BD$122,'ניתוח עלויות תפעול'!$D$3:$K$17,$B111,0),0)</f>
        <v>36</v>
      </c>
      <c r="BE111" s="1337">
        <f>+IFERROR(HLOOKUP(BE$122,'ניתוח עלויות תפעול'!$D$3:$K$17,$B111,0),0)</f>
        <v>36</v>
      </c>
      <c r="BF111" s="1337">
        <f>+IFERROR(HLOOKUP(BF$122,'ניתוח עלויות תפעול'!$D$3:$K$17,$B111,0),0)</f>
        <v>36</v>
      </c>
    </row>
    <row r="112" spans="1:249" ht="14.25" x14ac:dyDescent="0.2">
      <c r="A112" s="1846"/>
      <c r="B112" s="1331">
        <f>IFERROR(VLOOKUP(C112:C113,'[24]ניתוח הוצאות הנהלה'!$B$3:$C$17,2,0),0)</f>
        <v>11</v>
      </c>
      <c r="C112" s="1334" t="s">
        <v>1782</v>
      </c>
      <c r="D112" s="1337">
        <f>+IFERROR(HLOOKUP(D$122,'ניתוח עלויות תפעול'!$D$3:$K$17,$B112,0),0)</f>
        <v>400</v>
      </c>
      <c r="E112" s="1337">
        <f>+IFERROR(HLOOKUP(E$122,'ניתוח עלויות תפעול'!$D$3:$K$17,$B112,0),0)</f>
        <v>400</v>
      </c>
      <c r="F112" s="1337">
        <f>+IFERROR(HLOOKUP(F$122,'ניתוח עלויות תפעול'!$D$3:$K$17,$B112,0),0)</f>
        <v>200</v>
      </c>
      <c r="G112" s="1337">
        <f>+IFERROR(HLOOKUP(G$122,'ניתוח עלויות תפעול'!$D$3:$K$17,$B112,0),0)</f>
        <v>135</v>
      </c>
      <c r="H112" s="1337">
        <f>+IFERROR(HLOOKUP(H$122,'ניתוח עלויות תפעול'!$D$3:$K$17,$B112,0),0)</f>
        <v>400</v>
      </c>
      <c r="I112" s="1337">
        <f>+IFERROR(HLOOKUP(I$122,'ניתוח עלויות תפעול'!$D$3:$K$17,$B112,0),0)</f>
        <v>90</v>
      </c>
      <c r="J112" s="1337">
        <f>+IFERROR(HLOOKUP(J$122,'ניתוח עלויות תפעול'!$D$3:$K$17,$B112,0),0)</f>
        <v>300</v>
      </c>
      <c r="K112" s="1337">
        <f>+IFERROR(HLOOKUP(K$122,'ניתוח עלויות תפעול'!$D$3:$K$17,$B112,0),0)</f>
        <v>300</v>
      </c>
      <c r="L112" s="1337">
        <f>+IFERROR(HLOOKUP(L$122,'ניתוח עלויות תפעול'!$D$3:$K$17,$B112,0),0)</f>
        <v>300</v>
      </c>
      <c r="M112" s="1337">
        <f>+IFERROR(HLOOKUP(M$122,'ניתוח עלויות תפעול'!$D$3:$K$17,$B112,0),0)</f>
        <v>300</v>
      </c>
      <c r="N112" s="1337">
        <f>+IFERROR(HLOOKUP(N$122,'ניתוח עלויות תפעול'!$D$3:$K$17,$B112,0),0)</f>
        <v>400</v>
      </c>
      <c r="O112" s="1337">
        <f>+IFERROR(HLOOKUP(O$122,'ניתוח עלויות תפעול'!$D$3:$K$17,$B112,0),0)</f>
        <v>400</v>
      </c>
      <c r="P112" s="1337">
        <f>+IFERROR(HLOOKUP(P$122,'ניתוח עלויות תפעול'!$D$3:$K$17,$B112,0),0)</f>
        <v>300</v>
      </c>
      <c r="Q112" s="1337">
        <f>+IFERROR(HLOOKUP(Q$122,'ניתוח עלויות תפעול'!$D$3:$K$17,$B112,0),0)</f>
        <v>200</v>
      </c>
      <c r="R112" s="1337">
        <f>+IFERROR(HLOOKUP(R$122,'ניתוח עלויות תפעול'!$D$3:$K$17,$B112,0),0)</f>
        <v>400</v>
      </c>
      <c r="S112" s="1337">
        <f>+IFERROR(HLOOKUP(S$122,'ניתוח עלויות תפעול'!$D$3:$K$17,$B112,0),0)</f>
        <v>400</v>
      </c>
      <c r="T112" s="1337">
        <f>+IFERROR(HLOOKUP(T$122,'ניתוח עלויות תפעול'!$D$3:$K$17,$B112,0),0)</f>
        <v>500</v>
      </c>
      <c r="U112" s="1337">
        <f>+IFERROR(HLOOKUP(U$122,'ניתוח עלויות תפעול'!$D$3:$K$17,$B112,0),0)</f>
        <v>400</v>
      </c>
      <c r="V112" s="1337">
        <f>+IFERROR(HLOOKUP(V$122,'ניתוח עלויות תפעול'!$D$3:$K$17,$B112,0),0)</f>
        <v>0</v>
      </c>
      <c r="W112" s="1337">
        <f>+IFERROR(HLOOKUP(W$122,'ניתוח עלויות תפעול'!$D$3:$K$17,$B112,0),0)</f>
        <v>300</v>
      </c>
      <c r="X112" s="1337">
        <f>+IFERROR(HLOOKUP(X$122,'ניתוח עלויות תפעול'!$D$3:$K$17,$B112,0),0)</f>
        <v>400</v>
      </c>
      <c r="Y112" s="1337">
        <f>+IFERROR(HLOOKUP(Y$122,'ניתוח עלויות תפעול'!$D$3:$K$17,$B112,0),0)</f>
        <v>300</v>
      </c>
      <c r="Z112" s="1337">
        <f>+IFERROR(HLOOKUP(Z$122,'ניתוח עלויות תפעול'!$D$3:$K$17,$B112,0),0)</f>
        <v>200</v>
      </c>
      <c r="AA112" s="1337">
        <f>+IFERROR(HLOOKUP(AA$122,'ניתוח עלויות תפעול'!$D$3:$K$17,$B112,0),0)</f>
        <v>200</v>
      </c>
      <c r="AB112" s="1337">
        <f>+IFERROR(HLOOKUP(AB$122,'ניתוח עלויות תפעול'!$D$3:$K$17,$B112,0),0)</f>
        <v>300</v>
      </c>
      <c r="AC112" s="1337">
        <f>+IFERROR(HLOOKUP(AC$122,'ניתוח עלויות תפעול'!$D$3:$K$17,$B112,0),0)</f>
        <v>200</v>
      </c>
      <c r="AD112" s="1337">
        <f>+IFERROR(HLOOKUP(AD$122,'ניתוח עלויות תפעול'!$D$3:$K$17,$B112,0),0)</f>
        <v>300</v>
      </c>
      <c r="AE112" s="1337">
        <f>+IFERROR(HLOOKUP(AE$122,'ניתוח עלויות תפעול'!$D$3:$K$17,$B112,0),0)</f>
        <v>200</v>
      </c>
      <c r="AF112" s="1337">
        <f>+IFERROR(HLOOKUP(AF$122,'ניתוח עלויות תפעול'!$D$3:$K$17,$B112,0),0)</f>
        <v>500</v>
      </c>
      <c r="AG112" s="1337">
        <f>+IFERROR(HLOOKUP(AG$122,'ניתוח עלויות תפעול'!$D$3:$K$17,$B112,0),0)</f>
        <v>300</v>
      </c>
      <c r="AH112" s="1337">
        <f>+IFERROR(HLOOKUP(AH$122,'ניתוח עלויות תפעול'!$D$3:$K$17,$B112,0),0)</f>
        <v>200</v>
      </c>
      <c r="AI112" s="1337">
        <f>+IFERROR(HLOOKUP(AI$122,'ניתוח עלויות תפעול'!$D$3:$K$17,$B112,0),0)</f>
        <v>300</v>
      </c>
      <c r="AJ112" s="1337">
        <f>+IFERROR(HLOOKUP(AJ$122,'ניתוח עלויות תפעול'!$D$3:$K$17,$B112,0),0)</f>
        <v>200</v>
      </c>
      <c r="AK112" s="1337">
        <f>+IFERROR(HLOOKUP(AK$122,'ניתוח עלויות תפעול'!$D$3:$K$17,$B112,0),0)</f>
        <v>200</v>
      </c>
      <c r="AL112" s="1337">
        <f>+IFERROR(HLOOKUP(AL$122,'ניתוח עלויות תפעול'!$D$3:$K$17,$B112,0),0)</f>
        <v>200</v>
      </c>
      <c r="AM112" s="1337">
        <f>+IFERROR(HLOOKUP(AM$122,'ניתוח עלויות תפעול'!$D$3:$K$17,$B112,0),0)</f>
        <v>136</v>
      </c>
      <c r="AN112" s="1337">
        <f>+IFERROR(HLOOKUP(AN$122,'ניתוח עלויות תפעול'!$D$3:$K$17,$B112,0),0)</f>
        <v>300</v>
      </c>
      <c r="AO112" s="1337">
        <f>+IFERROR(HLOOKUP(AO$122,'ניתוח עלויות תפעול'!$D$3:$K$17,$B112,0),0)</f>
        <v>400</v>
      </c>
      <c r="AP112" s="1337">
        <f>+IFERROR(HLOOKUP(AP$122,'ניתוח עלויות תפעול'!$D$3:$K$17,$B112,0),0)</f>
        <v>200</v>
      </c>
      <c r="AQ112" s="1337">
        <f>+IFERROR(HLOOKUP(AQ$122,'ניתוח עלויות תפעול'!$D$3:$K$17,$B112,0),0)</f>
        <v>400</v>
      </c>
      <c r="AR112" s="1337">
        <f>+IFERROR(HLOOKUP(AR$122,'ניתוח עלויות תפעול'!$D$3:$K$17,$B112,0),0)</f>
        <v>300</v>
      </c>
      <c r="AS112" s="1337">
        <f>+IFERROR(HLOOKUP(AS$122,'ניתוח עלויות תפעול'!$D$3:$K$17,$B112,0),0)</f>
        <v>400</v>
      </c>
      <c r="AT112" s="1337">
        <f>+IFERROR(HLOOKUP(AT$122,'ניתוח עלויות תפעול'!$D$3:$K$17,$B112,0),0)</f>
        <v>200</v>
      </c>
      <c r="AU112" s="1337">
        <f>+IFERROR(HLOOKUP(AU$122,'ניתוח עלויות תפעול'!$D$3:$K$17,$B112,0),0)</f>
        <v>200</v>
      </c>
      <c r="AV112" s="1337">
        <f>+IFERROR(HLOOKUP(AV$122,'ניתוח עלויות תפעול'!$D$3:$K$17,$B112,0),0)</f>
        <v>200</v>
      </c>
      <c r="AW112" s="1337">
        <f>+IFERROR(HLOOKUP(AW$122,'ניתוח עלויות תפעול'!$D$3:$K$17,$B112,0),0)</f>
        <v>300</v>
      </c>
      <c r="AX112" s="1337">
        <f>+IFERROR(HLOOKUP(AX$122,'ניתוח עלויות תפעול'!$D$3:$K$17,$B112,0),0)</f>
        <v>300</v>
      </c>
      <c r="AY112" s="1337">
        <f>+IFERROR(HLOOKUP(AY$122,'ניתוח עלויות תפעול'!$D$3:$K$17,$B112,0),0)</f>
        <v>400</v>
      </c>
      <c r="AZ112" s="1337">
        <f>+IFERROR(HLOOKUP(AZ$122,'ניתוח עלויות תפעול'!$D$3:$K$17,$B112,0),0)</f>
        <v>300</v>
      </c>
      <c r="BA112" s="1337">
        <f>+IFERROR(HLOOKUP(BA$122,'ניתוח עלויות תפעול'!$D$3:$K$17,$B112,0),0)</f>
        <v>300</v>
      </c>
      <c r="BB112" s="1337">
        <f>+IFERROR(HLOOKUP(BB$122,'ניתוח עלויות תפעול'!$D$3:$K$17,$B112,0),0)</f>
        <v>300</v>
      </c>
      <c r="BC112" s="1337">
        <f>+IFERROR(HLOOKUP(BC$122,'ניתוח עלויות תפעול'!$D$3:$K$17,$B112,0),0)</f>
        <v>200</v>
      </c>
      <c r="BD112" s="1337">
        <f>+IFERROR(HLOOKUP(BD$122,'ניתוח עלויות תפעול'!$D$3:$K$17,$B112,0),0)</f>
        <v>300</v>
      </c>
      <c r="BE112" s="1337">
        <f>+IFERROR(HLOOKUP(BE$122,'ניתוח עלויות תפעול'!$D$3:$K$17,$B112,0),0)</f>
        <v>200</v>
      </c>
      <c r="BF112" s="1337">
        <f>+IFERROR(HLOOKUP(BF$122,'ניתוח עלויות תפעול'!$D$3:$K$17,$B112,0),0)</f>
        <v>200</v>
      </c>
    </row>
    <row r="113" spans="1:58" ht="14.25" x14ac:dyDescent="0.2">
      <c r="A113" s="1846"/>
      <c r="B113" s="1331">
        <f>IFERROR(VLOOKUP(C113:C114,'[24]ניתוח הוצאות הנהלה'!$B$3:$C$17,2,0),0)</f>
        <v>0</v>
      </c>
      <c r="C113" s="1334" t="s">
        <v>1783</v>
      </c>
      <c r="D113" s="625">
        <f>SUM(D99:D112)</f>
        <v>4132.3320000000003</v>
      </c>
      <c r="E113" s="625">
        <f t="shared" ref="E113:BF113" si="4">SUM(E99:E112)</f>
        <v>4132.3320000000003</v>
      </c>
      <c r="F113" s="625">
        <f t="shared" si="4"/>
        <v>2583.1</v>
      </c>
      <c r="G113" s="625">
        <f t="shared" si="4"/>
        <v>8480.2175999999999</v>
      </c>
      <c r="H113" s="625">
        <f t="shared" si="4"/>
        <v>4132.3320000000003</v>
      </c>
      <c r="I113" s="625">
        <f t="shared" si="4"/>
        <v>1884.4928</v>
      </c>
      <c r="J113" s="625">
        <f t="shared" si="4"/>
        <v>3394.134</v>
      </c>
      <c r="K113" s="625">
        <f t="shared" si="4"/>
        <v>3394.134</v>
      </c>
      <c r="L113" s="625">
        <f t="shared" si="4"/>
        <v>3394.134</v>
      </c>
      <c r="M113" s="625">
        <f t="shared" si="4"/>
        <v>3394.134</v>
      </c>
      <c r="N113" s="625">
        <f t="shared" si="4"/>
        <v>4132.3320000000003</v>
      </c>
      <c r="O113" s="625">
        <f t="shared" si="4"/>
        <v>4132.3320000000003</v>
      </c>
      <c r="P113" s="625">
        <f t="shared" si="4"/>
        <v>3394.134</v>
      </c>
      <c r="Q113" s="625">
        <f t="shared" si="4"/>
        <v>2583.1</v>
      </c>
      <c r="R113" s="625">
        <f t="shared" si="4"/>
        <v>4132.3320000000003</v>
      </c>
      <c r="S113" s="625">
        <f t="shared" si="4"/>
        <v>4132.3320000000003</v>
      </c>
      <c r="T113" s="625">
        <f t="shared" si="4"/>
        <v>5223.6840000000002</v>
      </c>
      <c r="U113" s="625">
        <f t="shared" si="4"/>
        <v>4132.3320000000003</v>
      </c>
      <c r="V113" s="625">
        <f t="shared" si="4"/>
        <v>0</v>
      </c>
      <c r="W113" s="625">
        <f t="shared" si="4"/>
        <v>3394.134</v>
      </c>
      <c r="X113" s="625">
        <f t="shared" si="4"/>
        <v>4132.3320000000003</v>
      </c>
      <c r="Y113" s="625">
        <f t="shared" si="4"/>
        <v>3394.134</v>
      </c>
      <c r="Z113" s="625">
        <f t="shared" si="4"/>
        <v>2583.1</v>
      </c>
      <c r="AA113" s="625">
        <f t="shared" si="4"/>
        <v>2583.1</v>
      </c>
      <c r="AB113" s="625">
        <f t="shared" si="4"/>
        <v>3394.134</v>
      </c>
      <c r="AC113" s="625">
        <f t="shared" si="4"/>
        <v>2583.1</v>
      </c>
      <c r="AD113" s="625">
        <f t="shared" si="4"/>
        <v>3394.134</v>
      </c>
      <c r="AE113" s="625">
        <f t="shared" si="4"/>
        <v>2583.1</v>
      </c>
      <c r="AF113" s="625">
        <f t="shared" si="4"/>
        <v>5223.6840000000002</v>
      </c>
      <c r="AG113" s="625">
        <f t="shared" si="4"/>
        <v>3394.134</v>
      </c>
      <c r="AH113" s="625">
        <f t="shared" si="4"/>
        <v>2583.1</v>
      </c>
      <c r="AI113" s="625">
        <f t="shared" si="4"/>
        <v>3394.134</v>
      </c>
      <c r="AJ113" s="625">
        <f t="shared" si="4"/>
        <v>2583.1</v>
      </c>
      <c r="AK113" s="625">
        <f t="shared" si="4"/>
        <v>2583.1</v>
      </c>
      <c r="AL113" s="625">
        <f t="shared" si="4"/>
        <v>2583.1</v>
      </c>
      <c r="AM113" s="625">
        <f t="shared" si="4"/>
        <v>8543.0340266666663</v>
      </c>
      <c r="AN113" s="625">
        <f t="shared" si="4"/>
        <v>3394.134</v>
      </c>
      <c r="AO113" s="625">
        <f t="shared" si="4"/>
        <v>4132.3320000000003</v>
      </c>
      <c r="AP113" s="625">
        <f t="shared" si="4"/>
        <v>2583.1</v>
      </c>
      <c r="AQ113" s="625">
        <f t="shared" si="4"/>
        <v>4132.3320000000003</v>
      </c>
      <c r="AR113" s="625">
        <f t="shared" si="4"/>
        <v>3394.134</v>
      </c>
      <c r="AS113" s="625">
        <f t="shared" si="4"/>
        <v>4132.3320000000003</v>
      </c>
      <c r="AT113" s="625">
        <f t="shared" si="4"/>
        <v>2583.1</v>
      </c>
      <c r="AU113" s="625">
        <f t="shared" si="4"/>
        <v>2583.1</v>
      </c>
      <c r="AV113" s="625">
        <f t="shared" si="4"/>
        <v>2583.1</v>
      </c>
      <c r="AW113" s="625">
        <f t="shared" si="4"/>
        <v>3394.134</v>
      </c>
      <c r="AX113" s="625">
        <f t="shared" si="4"/>
        <v>3394.134</v>
      </c>
      <c r="AY113" s="625">
        <f t="shared" si="4"/>
        <v>4132.3320000000003</v>
      </c>
      <c r="AZ113" s="625">
        <f t="shared" si="4"/>
        <v>3394.134</v>
      </c>
      <c r="BA113" s="625">
        <f t="shared" si="4"/>
        <v>3394.134</v>
      </c>
      <c r="BB113" s="625">
        <f t="shared" si="4"/>
        <v>3394.134</v>
      </c>
      <c r="BC113" s="625">
        <f t="shared" si="4"/>
        <v>2583.1</v>
      </c>
      <c r="BD113" s="625">
        <f t="shared" si="4"/>
        <v>3394.134</v>
      </c>
      <c r="BE113" s="625">
        <f t="shared" si="4"/>
        <v>2583.1</v>
      </c>
      <c r="BF113" s="625">
        <f t="shared" si="4"/>
        <v>2583.1</v>
      </c>
    </row>
    <row r="114" spans="1:58" ht="14.25" x14ac:dyDescent="0.2">
      <c r="A114" s="1847"/>
      <c r="B114" s="1331"/>
      <c r="C114" s="376" t="s">
        <v>1049</v>
      </c>
      <c r="D114" s="1338">
        <f>+HLOOKUP(D4,'תחשיב עלות תפעול לשנת 2016'!$4:$151,70,0)</f>
        <v>0.15392808447509845</v>
      </c>
      <c r="E114" s="1338">
        <f>+HLOOKUP(E4,'תחשיב עלות תפעול לשנת 2016'!$4:$151,70,0)</f>
        <v>0.15495381122127339</v>
      </c>
      <c r="F114" s="1338">
        <f>+HLOOKUP(F4,'תחשיב עלות תפעול לשנת 2016'!$4:$151,70,0)</f>
        <v>0.28438617604280275</v>
      </c>
      <c r="G114" s="1338">
        <f>+HLOOKUP(G4,'תחשיב עלות תפעול לשנת 2016'!$4:$151,70,0)</f>
        <v>0.1430695989196156</v>
      </c>
      <c r="H114" s="1338">
        <f>+HLOOKUP(H4,'תחשיב עלות תפעול לשנת 2016'!$4:$151,70,0)</f>
        <v>0.15337134010851036</v>
      </c>
      <c r="I114" s="1338">
        <f>+HLOOKUP(I4,'תחשיב עלות תפעול לשנת 2016'!$4:$151,70,0)</f>
        <v>0.94013720218689367</v>
      </c>
      <c r="J114" s="1338">
        <f>+HLOOKUP(J4,'תחשיב עלות תפעול לשנת 2016'!$4:$151,70,0)</f>
        <v>0.15495381122127339</v>
      </c>
      <c r="K114" s="1338">
        <f>+HLOOKUP(K4,'תחשיב עלות תפעול לשנת 2016'!$4:$151,70,0)</f>
        <v>0.14690955091445757</v>
      </c>
      <c r="L114" s="1338">
        <f>+HLOOKUP(L4,'תחשיב עלות תפעול לשנת 2016'!$4:$151,70,0)</f>
        <v>0.14494880909733729</v>
      </c>
      <c r="M114" s="1338">
        <f>+HLOOKUP(M4,'תחשיב עלות תפעול לשנת 2016'!$4:$151,70,0)</f>
        <v>0.15495381122127339</v>
      </c>
      <c r="N114" s="1338">
        <f>+HLOOKUP(N4,'תחשיב עלות תפעול לשנת 2016'!$4:$151,70,0)</f>
        <v>0.14690955091445757</v>
      </c>
      <c r="O114" s="1338">
        <f>+HLOOKUP(O4,'תחשיב עלות תפעול לשנת 2016'!$4:$151,70,0)</f>
        <v>0.14690955091445757</v>
      </c>
      <c r="P114" s="1338">
        <f>+HLOOKUP(P4,'תחשיב עלות תפעול לשנת 2016'!$4:$151,70,0)</f>
        <v>0.15251039020435345</v>
      </c>
      <c r="Q114" s="1338">
        <f>+HLOOKUP(Q4,'תחשיב עלות תפעול לשנת 2016'!$4:$151,70,0)</f>
        <v>0.28438617604280275</v>
      </c>
      <c r="R114" s="1338">
        <f>+HLOOKUP(R4,'תחשיב עלות תפעול לשנת 2016'!$4:$151,70,0)</f>
        <v>0.15015694078694156</v>
      </c>
      <c r="S114" s="1338">
        <f>+HLOOKUP(S4,'תחשיב עלות תפעול לשנת 2016'!$4:$151,70,0)</f>
        <v>0.15251039020435345</v>
      </c>
      <c r="T114" s="1338">
        <f>+HLOOKUP(T4,'תחשיב עלות תפעול לשנת 2016'!$4:$151,70,0)</f>
        <v>0.15392808447509845</v>
      </c>
      <c r="U114" s="1338">
        <f>+HLOOKUP(U4,'תחשיב עלות תפעול לשנת 2016'!$4:$151,70,0)</f>
        <v>0.14494880909733729</v>
      </c>
      <c r="V114" s="1338">
        <f>+HLOOKUP(V4,'תחשיב עלות תפעול לשנת 2016'!$4:$151,70,0)</f>
        <v>0.26641891145794749</v>
      </c>
      <c r="W114" s="1338">
        <f>+HLOOKUP(W4,'תחשיב עלות תפעול לשנת 2016'!$4:$151,70,0)</f>
        <v>0.28438617604280275</v>
      </c>
      <c r="X114" s="1338">
        <f>+HLOOKUP(X4,'תחשיב עלות תפעול לשנת 2016'!$4:$151,70,0)</f>
        <v>0.14494880909733729</v>
      </c>
      <c r="Y114" s="1338">
        <f>+HLOOKUP(Y4,'תחשיב עלות תפעול לשנת 2016'!$4:$151,70,0)</f>
        <v>0.14494880909733729</v>
      </c>
      <c r="Z114" s="1338">
        <f>+HLOOKUP(Z4,'תחשיב עלות תפעול לשנת 2016'!$4:$151,70,0)</f>
        <v>0.23402141485415306</v>
      </c>
      <c r="AA114" s="1338">
        <f>+HLOOKUP(AA4,'תחשיב עלות תפעול לשנת 2016'!$4:$151,70,0)</f>
        <v>0.15325341624265737</v>
      </c>
      <c r="AB114" s="1338">
        <f>+HLOOKUP(AB4,'תחשיב עלות תפעול לשנת 2016'!$4:$151,70,0)</f>
        <v>0.16255385228748798</v>
      </c>
      <c r="AC114" s="1338">
        <f>+HLOOKUP(AC4,'תחשיב עלות תפעול לשנת 2016'!$4:$151,70,0)</f>
        <v>0.15015694078694156</v>
      </c>
      <c r="AD114" s="1338">
        <f>+HLOOKUP(AD4,'תחשיב עלות תפעול לשנת 2016'!$4:$151,70,0)</f>
        <v>0.16255385228748798</v>
      </c>
      <c r="AE114" s="1338">
        <f>+HLOOKUP(AE4,'תחשיב עלות תפעול לשנת 2016'!$4:$151,70,0)</f>
        <v>0.16255385228748798</v>
      </c>
      <c r="AF114" s="1338">
        <f>+HLOOKUP(AF4,'תחשיב עלות תפעול לשנת 2016'!$4:$151,70,0)</f>
        <v>0.15325341624265737</v>
      </c>
      <c r="AG114" s="1338">
        <f>+HLOOKUP(AG4,'תחשיב עלות תפעול לשנת 2016'!$4:$151,70,0)</f>
        <v>0.15337134010851036</v>
      </c>
      <c r="AH114" s="1338">
        <f>+HLOOKUP(AH4,'תחשיב עלות תפעול לשנת 2016'!$4:$151,70,0)</f>
        <v>0.23402141485415306</v>
      </c>
      <c r="AI114" s="1338">
        <f>+HLOOKUP(AI4,'תחשיב עלות תפעול לשנת 2016'!$4:$151,70,0)</f>
        <v>0.15015694078694156</v>
      </c>
      <c r="AJ114" s="1338">
        <f>+HLOOKUP(AJ4,'תחשיב עלות תפעול לשנת 2016'!$4:$151,70,0)</f>
        <v>0.15392808447509845</v>
      </c>
      <c r="AK114" s="1338">
        <f>+HLOOKUP(AK4,'תחשיב עלות תפעול לשנת 2016'!$4:$151,70,0)</f>
        <v>0.15325341624265737</v>
      </c>
      <c r="AL114" s="1338">
        <f>+HLOOKUP(AL4,'תחשיב עלות תפעול לשנת 2016'!$4:$151,70,0)</f>
        <v>0.15325341624265737</v>
      </c>
      <c r="AM114" s="1338">
        <f>+HLOOKUP(AM4,'תחשיב עלות תפעול לשנת 2016'!$4:$151,70,0)</f>
        <v>0.13852139923713308</v>
      </c>
      <c r="AN114" s="1338">
        <f>+HLOOKUP(AN4,'תחשיב עלות תפעול לשנת 2016'!$4:$151,70,0)</f>
        <v>0.14690955091445757</v>
      </c>
      <c r="AO114" s="1338">
        <f>+HLOOKUP(AO4,'תחשיב עלות תפעול לשנת 2016'!$4:$151,70,0)</f>
        <v>0.13852139923713308</v>
      </c>
      <c r="AP114" s="1338">
        <f>+HLOOKUP(AP4,'תחשיב עלות תפעול לשנת 2016'!$4:$151,70,0)</f>
        <v>0.13852139923713308</v>
      </c>
      <c r="AQ114" s="1338">
        <f>+HLOOKUP(AQ4,'תחשיב עלות תפעול לשנת 2016'!$4:$151,70,0)</f>
        <v>0.15251039020435345</v>
      </c>
      <c r="AR114" s="1338">
        <f>+HLOOKUP(AR4,'תחשיב עלות תפעול לשנת 2016'!$4:$151,70,0)</f>
        <v>0.15392808447509845</v>
      </c>
      <c r="AS114" s="1338">
        <f>+HLOOKUP(AS4,'תחשיב עלות תפעול לשנת 2016'!$4:$151,70,0)</f>
        <v>0.15495381122127339</v>
      </c>
      <c r="AT114" s="1338">
        <f>+HLOOKUP(AT4,'תחשיב עלות תפעול לשנת 2016'!$4:$151,70,0)</f>
        <v>0.15325341624265737</v>
      </c>
      <c r="AU114" s="1338">
        <f>+HLOOKUP(AU4,'תחשיב עלות תפעול לשנת 2016'!$4:$151,70,0)</f>
        <v>0.15325341624265737</v>
      </c>
      <c r="AV114" s="1338">
        <f>+HLOOKUP(AV4,'תחשיב עלות תפעול לשנת 2016'!$4:$151,70,0)</f>
        <v>0.16255385228748798</v>
      </c>
      <c r="AW114" s="1338">
        <f>+HLOOKUP(AW4,'תחשיב עלות תפעול לשנת 2016'!$4:$151,70,0)</f>
        <v>0.23402141485415306</v>
      </c>
      <c r="AX114" s="1338">
        <f>+HLOOKUP(AX4,'תחשיב עלות תפעול לשנת 2016'!$4:$151,70,0)</f>
        <v>0.23402141485415306</v>
      </c>
      <c r="AY114" s="1338">
        <f>+HLOOKUP(AY4,'תחשיב עלות תפעול לשנת 2016'!$4:$151,70,0)</f>
        <v>0.15337134010851036</v>
      </c>
      <c r="AZ114" s="1338">
        <f>+HLOOKUP(AZ4,'תחשיב עלות תפעול לשנת 2016'!$4:$151,70,0)</f>
        <v>0.15015694078694156</v>
      </c>
      <c r="BA114" s="1338">
        <f>+HLOOKUP(BA4,'תחשיב עלות תפעול לשנת 2016'!$4:$151,70,0)</f>
        <v>0.15495381122127339</v>
      </c>
      <c r="BB114" s="1338">
        <f>+HLOOKUP(BB4,'תחשיב עלות תפעול לשנת 2016'!$4:$151,70,0)</f>
        <v>0.14494880909733729</v>
      </c>
      <c r="BC114" s="1338">
        <f>+HLOOKUP(BC4,'תחשיב עלות תפעול לשנת 2016'!$4:$151,70,0)</f>
        <v>0.16255385228748798</v>
      </c>
      <c r="BD114" s="1338">
        <f>+HLOOKUP(BD4,'תחשיב עלות תפעול לשנת 2016'!$4:$151,70,0)</f>
        <v>0.15015694078694156</v>
      </c>
      <c r="BE114" s="1338">
        <f>+HLOOKUP(BE4,'תחשיב עלות תפעול לשנת 2016'!$4:$151,70,0)</f>
        <v>0.16255385228748798</v>
      </c>
      <c r="BF114" s="1338">
        <f>+HLOOKUP(BF4,'תחשיב עלות תפעול לשנת 2016'!$4:$151,70,0)</f>
        <v>0.15392808447509845</v>
      </c>
    </row>
    <row r="115" spans="1:58" ht="14.25" hidden="1" x14ac:dyDescent="0.2">
      <c r="A115" s="1231" t="s">
        <v>1784</v>
      </c>
      <c r="B115" s="1331"/>
      <c r="C115" s="1231" t="s">
        <v>1785</v>
      </c>
      <c r="D115" s="374">
        <f t="shared" ref="D115:BF115" si="5">+IF(D31&lt;=60,1,IF(D31&lt;120,2,IF(D31&lt;250,3,4)))</f>
        <v>3</v>
      </c>
      <c r="E115" s="374">
        <f t="shared" si="5"/>
        <v>3</v>
      </c>
      <c r="F115" s="374">
        <f t="shared" si="5"/>
        <v>1</v>
      </c>
      <c r="G115" s="374">
        <f t="shared" si="5"/>
        <v>4</v>
      </c>
      <c r="H115" s="374">
        <f t="shared" si="5"/>
        <v>3</v>
      </c>
      <c r="I115" s="374">
        <f t="shared" si="5"/>
        <v>1</v>
      </c>
      <c r="J115" s="374">
        <f t="shared" si="5"/>
        <v>2</v>
      </c>
      <c r="K115" s="374">
        <f t="shared" si="5"/>
        <v>2</v>
      </c>
      <c r="L115" s="374">
        <f t="shared" si="5"/>
        <v>2</v>
      </c>
      <c r="M115" s="374">
        <f t="shared" si="5"/>
        <v>2</v>
      </c>
      <c r="N115" s="374">
        <f t="shared" si="5"/>
        <v>3</v>
      </c>
      <c r="O115" s="374">
        <f t="shared" si="5"/>
        <v>3</v>
      </c>
      <c r="P115" s="374">
        <f t="shared" si="5"/>
        <v>2</v>
      </c>
      <c r="Q115" s="374">
        <f t="shared" si="5"/>
        <v>1</v>
      </c>
      <c r="R115" s="374">
        <f t="shared" si="5"/>
        <v>3</v>
      </c>
      <c r="S115" s="374">
        <f t="shared" si="5"/>
        <v>3</v>
      </c>
      <c r="T115" s="374">
        <f t="shared" si="5"/>
        <v>4</v>
      </c>
      <c r="U115" s="374">
        <f t="shared" si="5"/>
        <v>3</v>
      </c>
      <c r="V115" s="374">
        <f t="shared" si="5"/>
        <v>1</v>
      </c>
      <c r="W115" s="374">
        <f t="shared" si="5"/>
        <v>2</v>
      </c>
      <c r="X115" s="374">
        <f t="shared" si="5"/>
        <v>3</v>
      </c>
      <c r="Y115" s="374">
        <f t="shared" si="5"/>
        <v>2</v>
      </c>
      <c r="Z115" s="374">
        <f t="shared" si="5"/>
        <v>1</v>
      </c>
      <c r="AA115" s="374">
        <f t="shared" si="5"/>
        <v>1</v>
      </c>
      <c r="AB115" s="374">
        <f t="shared" si="5"/>
        <v>2</v>
      </c>
      <c r="AC115" s="374">
        <f t="shared" si="5"/>
        <v>1</v>
      </c>
      <c r="AD115" s="374">
        <f t="shared" si="5"/>
        <v>2</v>
      </c>
      <c r="AE115" s="374">
        <f t="shared" si="5"/>
        <v>1</v>
      </c>
      <c r="AF115" s="374">
        <f t="shared" si="5"/>
        <v>4</v>
      </c>
      <c r="AG115" s="374">
        <f t="shared" si="5"/>
        <v>2</v>
      </c>
      <c r="AH115" s="374">
        <f t="shared" si="5"/>
        <v>1</v>
      </c>
      <c r="AI115" s="374">
        <f t="shared" si="5"/>
        <v>2</v>
      </c>
      <c r="AJ115" s="374">
        <f t="shared" si="5"/>
        <v>1</v>
      </c>
      <c r="AK115" s="374">
        <f t="shared" si="5"/>
        <v>1</v>
      </c>
      <c r="AL115" s="374">
        <f t="shared" si="5"/>
        <v>1</v>
      </c>
      <c r="AM115" s="374">
        <f t="shared" si="5"/>
        <v>4</v>
      </c>
      <c r="AN115" s="374">
        <f t="shared" si="5"/>
        <v>2</v>
      </c>
      <c r="AO115" s="374">
        <f t="shared" si="5"/>
        <v>3</v>
      </c>
      <c r="AP115" s="374">
        <f t="shared" si="5"/>
        <v>1</v>
      </c>
      <c r="AQ115" s="374">
        <f t="shared" si="5"/>
        <v>3</v>
      </c>
      <c r="AR115" s="374">
        <f t="shared" si="5"/>
        <v>2</v>
      </c>
      <c r="AS115" s="374">
        <f t="shared" si="5"/>
        <v>3</v>
      </c>
      <c r="AT115" s="374">
        <f t="shared" si="5"/>
        <v>1</v>
      </c>
      <c r="AU115" s="374">
        <f t="shared" si="5"/>
        <v>1</v>
      </c>
      <c r="AV115" s="374">
        <f t="shared" si="5"/>
        <v>1</v>
      </c>
      <c r="AW115" s="374">
        <f t="shared" si="5"/>
        <v>2</v>
      </c>
      <c r="AX115" s="374">
        <f t="shared" si="5"/>
        <v>2</v>
      </c>
      <c r="AY115" s="374">
        <f t="shared" si="5"/>
        <v>3</v>
      </c>
      <c r="AZ115" s="374">
        <f t="shared" si="5"/>
        <v>2</v>
      </c>
      <c r="BA115" s="374">
        <f t="shared" si="5"/>
        <v>2</v>
      </c>
      <c r="BB115" s="374">
        <f t="shared" si="5"/>
        <v>2</v>
      </c>
      <c r="BC115" s="374">
        <f t="shared" si="5"/>
        <v>1</v>
      </c>
      <c r="BD115" s="374">
        <f t="shared" si="5"/>
        <v>2</v>
      </c>
      <c r="BE115" s="374">
        <f t="shared" si="5"/>
        <v>1</v>
      </c>
      <c r="BF115" s="374">
        <f t="shared" si="5"/>
        <v>1</v>
      </c>
    </row>
    <row r="116" spans="1:58" ht="14.25" hidden="1" x14ac:dyDescent="0.2">
      <c r="B116" s="1331"/>
      <c r="C116" s="1231" t="s">
        <v>1786</v>
      </c>
      <c r="D116" s="374">
        <f t="shared" ref="D116:BF116" si="6">+IF(D32=1,0,1)</f>
        <v>0</v>
      </c>
      <c r="E116" s="374">
        <f t="shared" si="6"/>
        <v>1</v>
      </c>
      <c r="F116" s="374">
        <f t="shared" si="6"/>
        <v>1</v>
      </c>
      <c r="G116" s="374">
        <f t="shared" si="6"/>
        <v>1</v>
      </c>
      <c r="H116" s="374">
        <f t="shared" si="6"/>
        <v>0</v>
      </c>
      <c r="I116" s="374">
        <f t="shared" si="6"/>
        <v>1</v>
      </c>
      <c r="J116" s="374">
        <f t="shared" si="6"/>
        <v>1</v>
      </c>
      <c r="K116" s="374">
        <f t="shared" si="6"/>
        <v>0</v>
      </c>
      <c r="L116" s="374">
        <f t="shared" si="6"/>
        <v>0</v>
      </c>
      <c r="M116" s="374">
        <f t="shared" si="6"/>
        <v>1</v>
      </c>
      <c r="N116" s="374">
        <f t="shared" si="6"/>
        <v>0</v>
      </c>
      <c r="O116" s="374">
        <f t="shared" si="6"/>
        <v>1</v>
      </c>
      <c r="P116" s="374">
        <f t="shared" si="6"/>
        <v>1</v>
      </c>
      <c r="Q116" s="374">
        <f t="shared" si="6"/>
        <v>1</v>
      </c>
      <c r="R116" s="374">
        <f t="shared" si="6"/>
        <v>1</v>
      </c>
      <c r="S116" s="374">
        <f t="shared" si="6"/>
        <v>1</v>
      </c>
      <c r="T116" s="374">
        <f t="shared" si="6"/>
        <v>1</v>
      </c>
      <c r="U116" s="374">
        <f t="shared" si="6"/>
        <v>0</v>
      </c>
      <c r="V116" s="374">
        <f t="shared" si="6"/>
        <v>0</v>
      </c>
      <c r="W116" s="374">
        <f t="shared" si="6"/>
        <v>1</v>
      </c>
      <c r="X116" s="374">
        <f t="shared" si="6"/>
        <v>1</v>
      </c>
      <c r="Y116" s="374">
        <f t="shared" si="6"/>
        <v>0</v>
      </c>
      <c r="Z116" s="374">
        <f t="shared" si="6"/>
        <v>1</v>
      </c>
      <c r="AA116" s="374">
        <f t="shared" si="6"/>
        <v>1</v>
      </c>
      <c r="AB116" s="374">
        <f t="shared" si="6"/>
        <v>0</v>
      </c>
      <c r="AC116" s="374">
        <f t="shared" si="6"/>
        <v>0</v>
      </c>
      <c r="AD116" s="374">
        <f t="shared" si="6"/>
        <v>0</v>
      </c>
      <c r="AE116" s="374">
        <f t="shared" si="6"/>
        <v>0</v>
      </c>
      <c r="AF116" s="374">
        <f t="shared" si="6"/>
        <v>0</v>
      </c>
      <c r="AG116" s="374">
        <f t="shared" si="6"/>
        <v>1</v>
      </c>
      <c r="AH116" s="374">
        <f t="shared" si="6"/>
        <v>0</v>
      </c>
      <c r="AI116" s="374">
        <f t="shared" si="6"/>
        <v>0</v>
      </c>
      <c r="AJ116" s="374">
        <f t="shared" si="6"/>
        <v>0</v>
      </c>
      <c r="AK116" s="374">
        <f t="shared" si="6"/>
        <v>1</v>
      </c>
      <c r="AL116" s="374">
        <f t="shared" si="6"/>
        <v>0</v>
      </c>
      <c r="AM116" s="374">
        <f t="shared" si="6"/>
        <v>0</v>
      </c>
      <c r="AN116" s="374">
        <f t="shared" si="6"/>
        <v>1</v>
      </c>
      <c r="AO116" s="374">
        <f t="shared" si="6"/>
        <v>0</v>
      </c>
      <c r="AP116" s="374">
        <f t="shared" si="6"/>
        <v>0</v>
      </c>
      <c r="AQ116" s="374">
        <f t="shared" si="6"/>
        <v>0</v>
      </c>
      <c r="AR116" s="374">
        <f t="shared" si="6"/>
        <v>1</v>
      </c>
      <c r="AS116" s="374">
        <f t="shared" si="6"/>
        <v>1</v>
      </c>
      <c r="AT116" s="374">
        <f t="shared" si="6"/>
        <v>0</v>
      </c>
      <c r="AU116" s="374">
        <f t="shared" si="6"/>
        <v>0</v>
      </c>
      <c r="AV116" s="374">
        <f t="shared" si="6"/>
        <v>0</v>
      </c>
      <c r="AW116" s="374">
        <f t="shared" si="6"/>
        <v>1</v>
      </c>
      <c r="AX116" s="374">
        <f t="shared" si="6"/>
        <v>1</v>
      </c>
      <c r="AY116" s="374">
        <f t="shared" si="6"/>
        <v>1</v>
      </c>
      <c r="AZ116" s="374">
        <f t="shared" si="6"/>
        <v>1</v>
      </c>
      <c r="BA116" s="374">
        <f t="shared" si="6"/>
        <v>1</v>
      </c>
      <c r="BB116" s="374">
        <f t="shared" si="6"/>
        <v>0</v>
      </c>
      <c r="BC116" s="374">
        <f t="shared" si="6"/>
        <v>1</v>
      </c>
      <c r="BD116" s="374">
        <f t="shared" si="6"/>
        <v>1</v>
      </c>
      <c r="BE116" s="374">
        <f t="shared" si="6"/>
        <v>1</v>
      </c>
      <c r="BF116" s="374">
        <f t="shared" si="6"/>
        <v>0</v>
      </c>
    </row>
    <row r="117" spans="1:58" ht="14.25" hidden="1" x14ac:dyDescent="0.2">
      <c r="B117" s="1331"/>
      <c r="C117" s="1231" t="s">
        <v>441</v>
      </c>
      <c r="D117" s="374">
        <f t="shared" ref="D117:BF117" si="7">+IF(D4=$C117,100,0)</f>
        <v>0</v>
      </c>
      <c r="E117" s="374">
        <f t="shared" si="7"/>
        <v>0</v>
      </c>
      <c r="F117" s="374">
        <f t="shared" si="7"/>
        <v>0</v>
      </c>
      <c r="G117" s="374">
        <f t="shared" si="7"/>
        <v>100</v>
      </c>
      <c r="H117" s="374">
        <f t="shared" si="7"/>
        <v>0</v>
      </c>
      <c r="I117" s="374">
        <f t="shared" si="7"/>
        <v>0</v>
      </c>
      <c r="J117" s="374">
        <f t="shared" si="7"/>
        <v>0</v>
      </c>
      <c r="K117" s="374">
        <f t="shared" si="7"/>
        <v>0</v>
      </c>
      <c r="L117" s="374">
        <f t="shared" si="7"/>
        <v>0</v>
      </c>
      <c r="M117" s="374">
        <f t="shared" si="7"/>
        <v>0</v>
      </c>
      <c r="N117" s="374">
        <f t="shared" si="7"/>
        <v>0</v>
      </c>
      <c r="O117" s="374">
        <f t="shared" si="7"/>
        <v>0</v>
      </c>
      <c r="P117" s="374">
        <f t="shared" si="7"/>
        <v>0</v>
      </c>
      <c r="Q117" s="374">
        <f t="shared" si="7"/>
        <v>0</v>
      </c>
      <c r="R117" s="374">
        <f t="shared" si="7"/>
        <v>0</v>
      </c>
      <c r="S117" s="374">
        <f t="shared" si="7"/>
        <v>0</v>
      </c>
      <c r="T117" s="374">
        <f t="shared" si="7"/>
        <v>0</v>
      </c>
      <c r="U117" s="374">
        <f t="shared" si="7"/>
        <v>0</v>
      </c>
      <c r="V117" s="374">
        <f t="shared" si="7"/>
        <v>0</v>
      </c>
      <c r="W117" s="374">
        <f t="shared" si="7"/>
        <v>0</v>
      </c>
      <c r="X117" s="374">
        <f t="shared" si="7"/>
        <v>0</v>
      </c>
      <c r="Y117" s="374">
        <f t="shared" si="7"/>
        <v>0</v>
      </c>
      <c r="Z117" s="374">
        <f t="shared" si="7"/>
        <v>0</v>
      </c>
      <c r="AA117" s="374">
        <f t="shared" si="7"/>
        <v>0</v>
      </c>
      <c r="AB117" s="374">
        <f t="shared" si="7"/>
        <v>0</v>
      </c>
      <c r="AC117" s="374">
        <f t="shared" si="7"/>
        <v>0</v>
      </c>
      <c r="AD117" s="374">
        <f t="shared" si="7"/>
        <v>0</v>
      </c>
      <c r="AE117" s="374">
        <f t="shared" si="7"/>
        <v>0</v>
      </c>
      <c r="AF117" s="374">
        <f t="shared" si="7"/>
        <v>0</v>
      </c>
      <c r="AG117" s="374">
        <f t="shared" si="7"/>
        <v>0</v>
      </c>
      <c r="AH117" s="374">
        <f t="shared" si="7"/>
        <v>0</v>
      </c>
      <c r="AI117" s="374">
        <f t="shared" si="7"/>
        <v>0</v>
      </c>
      <c r="AJ117" s="374">
        <f t="shared" si="7"/>
        <v>0</v>
      </c>
      <c r="AK117" s="374">
        <f t="shared" si="7"/>
        <v>0</v>
      </c>
      <c r="AL117" s="374">
        <f t="shared" si="7"/>
        <v>0</v>
      </c>
      <c r="AM117" s="374">
        <f t="shared" si="7"/>
        <v>0</v>
      </c>
      <c r="AN117" s="374">
        <f t="shared" si="7"/>
        <v>0</v>
      </c>
      <c r="AO117" s="374">
        <f t="shared" si="7"/>
        <v>0</v>
      </c>
      <c r="AP117" s="374">
        <f t="shared" si="7"/>
        <v>0</v>
      </c>
      <c r="AQ117" s="374">
        <f t="shared" si="7"/>
        <v>0</v>
      </c>
      <c r="AR117" s="374">
        <f t="shared" si="7"/>
        <v>0</v>
      </c>
      <c r="AS117" s="374">
        <f t="shared" si="7"/>
        <v>0</v>
      </c>
      <c r="AT117" s="374">
        <f t="shared" si="7"/>
        <v>0</v>
      </c>
      <c r="AU117" s="374">
        <f t="shared" si="7"/>
        <v>0</v>
      </c>
      <c r="AV117" s="374">
        <f t="shared" si="7"/>
        <v>0</v>
      </c>
      <c r="AW117" s="374">
        <f t="shared" si="7"/>
        <v>0</v>
      </c>
      <c r="AX117" s="374">
        <f t="shared" si="7"/>
        <v>0</v>
      </c>
      <c r="AY117" s="374">
        <f t="shared" si="7"/>
        <v>0</v>
      </c>
      <c r="AZ117" s="374">
        <f t="shared" si="7"/>
        <v>0</v>
      </c>
      <c r="BA117" s="374">
        <f t="shared" si="7"/>
        <v>0</v>
      </c>
      <c r="BB117" s="374">
        <f t="shared" si="7"/>
        <v>0</v>
      </c>
      <c r="BC117" s="374">
        <f t="shared" si="7"/>
        <v>0</v>
      </c>
      <c r="BD117" s="374">
        <f t="shared" si="7"/>
        <v>0</v>
      </c>
      <c r="BE117" s="374">
        <f t="shared" si="7"/>
        <v>0</v>
      </c>
      <c r="BF117" s="374">
        <f t="shared" si="7"/>
        <v>0</v>
      </c>
    </row>
    <row r="118" spans="1:58" ht="14.25" hidden="1" x14ac:dyDescent="0.2">
      <c r="B118" s="1331"/>
      <c r="C118" s="1231" t="s">
        <v>687</v>
      </c>
      <c r="D118" s="374">
        <f t="shared" ref="D118:BF118" si="8">+IF(D4=$C118,200,0)</f>
        <v>0</v>
      </c>
      <c r="E118" s="374">
        <f t="shared" si="8"/>
        <v>0</v>
      </c>
      <c r="F118" s="374">
        <f t="shared" si="8"/>
        <v>0</v>
      </c>
      <c r="G118" s="374">
        <f t="shared" si="8"/>
        <v>0</v>
      </c>
      <c r="H118" s="374">
        <f t="shared" si="8"/>
        <v>0</v>
      </c>
      <c r="I118" s="374">
        <f t="shared" si="8"/>
        <v>0</v>
      </c>
      <c r="J118" s="374">
        <f t="shared" si="8"/>
        <v>0</v>
      </c>
      <c r="K118" s="374">
        <f t="shared" si="8"/>
        <v>0</v>
      </c>
      <c r="L118" s="374">
        <f t="shared" si="8"/>
        <v>0</v>
      </c>
      <c r="M118" s="374">
        <f t="shared" si="8"/>
        <v>0</v>
      </c>
      <c r="N118" s="374">
        <f t="shared" si="8"/>
        <v>0</v>
      </c>
      <c r="O118" s="374">
        <f t="shared" si="8"/>
        <v>0</v>
      </c>
      <c r="P118" s="374">
        <f t="shared" si="8"/>
        <v>0</v>
      </c>
      <c r="Q118" s="374">
        <f t="shared" si="8"/>
        <v>0</v>
      </c>
      <c r="R118" s="374">
        <f t="shared" si="8"/>
        <v>0</v>
      </c>
      <c r="S118" s="374">
        <f t="shared" si="8"/>
        <v>0</v>
      </c>
      <c r="T118" s="374">
        <f t="shared" si="8"/>
        <v>0</v>
      </c>
      <c r="U118" s="374">
        <f t="shared" si="8"/>
        <v>0</v>
      </c>
      <c r="V118" s="374">
        <f t="shared" si="8"/>
        <v>0</v>
      </c>
      <c r="W118" s="374">
        <f t="shared" si="8"/>
        <v>0</v>
      </c>
      <c r="X118" s="374">
        <f t="shared" si="8"/>
        <v>0</v>
      </c>
      <c r="Y118" s="374">
        <f t="shared" si="8"/>
        <v>0</v>
      </c>
      <c r="Z118" s="374">
        <f t="shared" si="8"/>
        <v>0</v>
      </c>
      <c r="AA118" s="374">
        <f t="shared" si="8"/>
        <v>0</v>
      </c>
      <c r="AB118" s="374">
        <f t="shared" si="8"/>
        <v>0</v>
      </c>
      <c r="AC118" s="374">
        <f t="shared" si="8"/>
        <v>0</v>
      </c>
      <c r="AD118" s="374">
        <f t="shared" si="8"/>
        <v>0</v>
      </c>
      <c r="AE118" s="374">
        <f t="shared" si="8"/>
        <v>0</v>
      </c>
      <c r="AF118" s="374">
        <f t="shared" si="8"/>
        <v>0</v>
      </c>
      <c r="AG118" s="374">
        <f t="shared" si="8"/>
        <v>0</v>
      </c>
      <c r="AH118" s="374">
        <f t="shared" si="8"/>
        <v>0</v>
      </c>
      <c r="AI118" s="374">
        <f t="shared" si="8"/>
        <v>0</v>
      </c>
      <c r="AJ118" s="374">
        <f t="shared" si="8"/>
        <v>0</v>
      </c>
      <c r="AK118" s="374">
        <f t="shared" si="8"/>
        <v>0</v>
      </c>
      <c r="AL118" s="374">
        <f t="shared" si="8"/>
        <v>0</v>
      </c>
      <c r="AM118" s="374">
        <f t="shared" si="8"/>
        <v>200</v>
      </c>
      <c r="AN118" s="374">
        <f t="shared" si="8"/>
        <v>0</v>
      </c>
      <c r="AO118" s="374">
        <f t="shared" si="8"/>
        <v>0</v>
      </c>
      <c r="AP118" s="374">
        <f t="shared" si="8"/>
        <v>0</v>
      </c>
      <c r="AQ118" s="374">
        <f t="shared" si="8"/>
        <v>0</v>
      </c>
      <c r="AR118" s="374">
        <f t="shared" si="8"/>
        <v>0</v>
      </c>
      <c r="AS118" s="374">
        <f t="shared" si="8"/>
        <v>0</v>
      </c>
      <c r="AT118" s="374">
        <f t="shared" si="8"/>
        <v>0</v>
      </c>
      <c r="AU118" s="374">
        <f t="shared" si="8"/>
        <v>0</v>
      </c>
      <c r="AV118" s="374">
        <f t="shared" si="8"/>
        <v>0</v>
      </c>
      <c r="AW118" s="374">
        <f t="shared" si="8"/>
        <v>0</v>
      </c>
      <c r="AX118" s="374">
        <f t="shared" si="8"/>
        <v>0</v>
      </c>
      <c r="AY118" s="374">
        <f t="shared" si="8"/>
        <v>0</v>
      </c>
      <c r="AZ118" s="374">
        <f t="shared" si="8"/>
        <v>0</v>
      </c>
      <c r="BA118" s="374">
        <f t="shared" si="8"/>
        <v>0</v>
      </c>
      <c r="BB118" s="374">
        <f t="shared" si="8"/>
        <v>0</v>
      </c>
      <c r="BC118" s="374">
        <f t="shared" si="8"/>
        <v>0</v>
      </c>
      <c r="BD118" s="374">
        <f t="shared" si="8"/>
        <v>0</v>
      </c>
      <c r="BE118" s="374">
        <f t="shared" si="8"/>
        <v>0</v>
      </c>
      <c r="BF118" s="374">
        <f t="shared" si="8"/>
        <v>0</v>
      </c>
    </row>
    <row r="119" spans="1:58" ht="14.25" hidden="1" x14ac:dyDescent="0.2">
      <c r="B119" s="1331"/>
      <c r="C119" s="1231" t="s">
        <v>443</v>
      </c>
      <c r="D119" s="374">
        <f t="shared" ref="D119:BF119" si="9">+IF(D4=$C119,300,0)</f>
        <v>0</v>
      </c>
      <c r="E119" s="374">
        <f t="shared" si="9"/>
        <v>0</v>
      </c>
      <c r="F119" s="374">
        <f t="shared" si="9"/>
        <v>0</v>
      </c>
      <c r="G119" s="374">
        <f t="shared" si="9"/>
        <v>0</v>
      </c>
      <c r="H119" s="374">
        <f t="shared" si="9"/>
        <v>0</v>
      </c>
      <c r="I119" s="374">
        <f t="shared" si="9"/>
        <v>300</v>
      </c>
      <c r="J119" s="374">
        <f t="shared" si="9"/>
        <v>0</v>
      </c>
      <c r="K119" s="374">
        <f t="shared" si="9"/>
        <v>0</v>
      </c>
      <c r="L119" s="374">
        <f t="shared" si="9"/>
        <v>0</v>
      </c>
      <c r="M119" s="374">
        <f t="shared" si="9"/>
        <v>0</v>
      </c>
      <c r="N119" s="374">
        <f t="shared" si="9"/>
        <v>0</v>
      </c>
      <c r="O119" s="374">
        <f t="shared" si="9"/>
        <v>0</v>
      </c>
      <c r="P119" s="374">
        <f t="shared" si="9"/>
        <v>0</v>
      </c>
      <c r="Q119" s="374">
        <f t="shared" si="9"/>
        <v>0</v>
      </c>
      <c r="R119" s="374">
        <f t="shared" si="9"/>
        <v>0</v>
      </c>
      <c r="S119" s="374">
        <f t="shared" si="9"/>
        <v>0</v>
      </c>
      <c r="T119" s="374">
        <f t="shared" si="9"/>
        <v>0</v>
      </c>
      <c r="U119" s="374">
        <f t="shared" si="9"/>
        <v>0</v>
      </c>
      <c r="V119" s="374">
        <f t="shared" si="9"/>
        <v>0</v>
      </c>
      <c r="W119" s="374">
        <f t="shared" si="9"/>
        <v>0</v>
      </c>
      <c r="X119" s="374">
        <f t="shared" si="9"/>
        <v>0</v>
      </c>
      <c r="Y119" s="374">
        <f t="shared" si="9"/>
        <v>0</v>
      </c>
      <c r="Z119" s="374">
        <f t="shared" si="9"/>
        <v>0</v>
      </c>
      <c r="AA119" s="374">
        <f t="shared" si="9"/>
        <v>0</v>
      </c>
      <c r="AB119" s="374">
        <f t="shared" si="9"/>
        <v>0</v>
      </c>
      <c r="AC119" s="374">
        <f t="shared" si="9"/>
        <v>0</v>
      </c>
      <c r="AD119" s="374">
        <f t="shared" si="9"/>
        <v>0</v>
      </c>
      <c r="AE119" s="374">
        <f t="shared" si="9"/>
        <v>0</v>
      </c>
      <c r="AF119" s="374">
        <f t="shared" si="9"/>
        <v>0</v>
      </c>
      <c r="AG119" s="374">
        <f t="shared" si="9"/>
        <v>0</v>
      </c>
      <c r="AH119" s="374">
        <f t="shared" si="9"/>
        <v>0</v>
      </c>
      <c r="AI119" s="374">
        <f t="shared" si="9"/>
        <v>0</v>
      </c>
      <c r="AJ119" s="374">
        <f t="shared" si="9"/>
        <v>0</v>
      </c>
      <c r="AK119" s="374">
        <f t="shared" si="9"/>
        <v>0</v>
      </c>
      <c r="AL119" s="374">
        <f t="shared" si="9"/>
        <v>0</v>
      </c>
      <c r="AM119" s="374">
        <f t="shared" si="9"/>
        <v>0</v>
      </c>
      <c r="AN119" s="374">
        <f t="shared" si="9"/>
        <v>0</v>
      </c>
      <c r="AO119" s="374">
        <f t="shared" si="9"/>
        <v>0</v>
      </c>
      <c r="AP119" s="374">
        <f t="shared" si="9"/>
        <v>0</v>
      </c>
      <c r="AQ119" s="374">
        <f t="shared" si="9"/>
        <v>0</v>
      </c>
      <c r="AR119" s="374">
        <f t="shared" si="9"/>
        <v>0</v>
      </c>
      <c r="AS119" s="374">
        <f t="shared" si="9"/>
        <v>0</v>
      </c>
      <c r="AT119" s="374">
        <f t="shared" si="9"/>
        <v>0</v>
      </c>
      <c r="AU119" s="374">
        <f t="shared" si="9"/>
        <v>0</v>
      </c>
      <c r="AV119" s="374">
        <f t="shared" si="9"/>
        <v>0</v>
      </c>
      <c r="AW119" s="374">
        <f t="shared" si="9"/>
        <v>0</v>
      </c>
      <c r="AX119" s="374">
        <f t="shared" si="9"/>
        <v>0</v>
      </c>
      <c r="AY119" s="374">
        <f t="shared" si="9"/>
        <v>0</v>
      </c>
      <c r="AZ119" s="374">
        <f t="shared" si="9"/>
        <v>0</v>
      </c>
      <c r="BA119" s="374">
        <f t="shared" si="9"/>
        <v>0</v>
      </c>
      <c r="BB119" s="374">
        <f t="shared" si="9"/>
        <v>0</v>
      </c>
      <c r="BC119" s="374">
        <f t="shared" si="9"/>
        <v>0</v>
      </c>
      <c r="BD119" s="374">
        <f t="shared" si="9"/>
        <v>0</v>
      </c>
      <c r="BE119" s="374">
        <f t="shared" si="9"/>
        <v>0</v>
      </c>
      <c r="BF119" s="374">
        <f t="shared" si="9"/>
        <v>0</v>
      </c>
    </row>
    <row r="120" spans="1:58" ht="14.25" hidden="1" x14ac:dyDescent="0.2">
      <c r="B120" s="1331"/>
      <c r="C120" s="1231" t="s">
        <v>456</v>
      </c>
      <c r="D120" s="374">
        <f t="shared" ref="D120:BF120" si="10">+IF(D4=$C120,400,0)</f>
        <v>0</v>
      </c>
      <c r="E120" s="374">
        <f t="shared" si="10"/>
        <v>0</v>
      </c>
      <c r="F120" s="374">
        <f t="shared" si="10"/>
        <v>0</v>
      </c>
      <c r="G120" s="374">
        <f t="shared" si="10"/>
        <v>0</v>
      </c>
      <c r="H120" s="374">
        <f t="shared" si="10"/>
        <v>0</v>
      </c>
      <c r="I120" s="374">
        <f t="shared" si="10"/>
        <v>0</v>
      </c>
      <c r="J120" s="374">
        <f t="shared" si="10"/>
        <v>0</v>
      </c>
      <c r="K120" s="374">
        <f t="shared" si="10"/>
        <v>0</v>
      </c>
      <c r="L120" s="374">
        <f t="shared" si="10"/>
        <v>0</v>
      </c>
      <c r="M120" s="374">
        <f t="shared" si="10"/>
        <v>0</v>
      </c>
      <c r="N120" s="374">
        <f t="shared" si="10"/>
        <v>0</v>
      </c>
      <c r="O120" s="374">
        <f t="shared" si="10"/>
        <v>0</v>
      </c>
      <c r="P120" s="374">
        <f t="shared" si="10"/>
        <v>0</v>
      </c>
      <c r="Q120" s="374">
        <f t="shared" si="10"/>
        <v>0</v>
      </c>
      <c r="R120" s="374">
        <f t="shared" si="10"/>
        <v>0</v>
      </c>
      <c r="S120" s="374">
        <f t="shared" si="10"/>
        <v>0</v>
      </c>
      <c r="T120" s="374">
        <f t="shared" si="10"/>
        <v>0</v>
      </c>
      <c r="U120" s="374">
        <f t="shared" si="10"/>
        <v>0</v>
      </c>
      <c r="V120" s="374">
        <f t="shared" si="10"/>
        <v>400</v>
      </c>
      <c r="W120" s="374">
        <f t="shared" si="10"/>
        <v>0</v>
      </c>
      <c r="X120" s="374">
        <f t="shared" si="10"/>
        <v>0</v>
      </c>
      <c r="Y120" s="374">
        <f t="shared" si="10"/>
        <v>0</v>
      </c>
      <c r="Z120" s="374">
        <f t="shared" si="10"/>
        <v>0</v>
      </c>
      <c r="AA120" s="374">
        <f t="shared" si="10"/>
        <v>0</v>
      </c>
      <c r="AB120" s="374">
        <f t="shared" si="10"/>
        <v>0</v>
      </c>
      <c r="AC120" s="374">
        <f t="shared" si="10"/>
        <v>0</v>
      </c>
      <c r="AD120" s="374">
        <f t="shared" si="10"/>
        <v>0</v>
      </c>
      <c r="AE120" s="374">
        <f t="shared" si="10"/>
        <v>0</v>
      </c>
      <c r="AF120" s="374">
        <f t="shared" si="10"/>
        <v>0</v>
      </c>
      <c r="AG120" s="374">
        <f t="shared" si="10"/>
        <v>0</v>
      </c>
      <c r="AH120" s="374">
        <f t="shared" si="10"/>
        <v>0</v>
      </c>
      <c r="AI120" s="374">
        <f t="shared" si="10"/>
        <v>0</v>
      </c>
      <c r="AJ120" s="374">
        <f t="shared" si="10"/>
        <v>0</v>
      </c>
      <c r="AK120" s="374">
        <f t="shared" si="10"/>
        <v>0</v>
      </c>
      <c r="AL120" s="374">
        <f t="shared" si="10"/>
        <v>0</v>
      </c>
      <c r="AM120" s="374">
        <f t="shared" si="10"/>
        <v>0</v>
      </c>
      <c r="AN120" s="374">
        <f t="shared" si="10"/>
        <v>0</v>
      </c>
      <c r="AO120" s="374">
        <f t="shared" si="10"/>
        <v>0</v>
      </c>
      <c r="AP120" s="374">
        <f t="shared" si="10"/>
        <v>0</v>
      </c>
      <c r="AQ120" s="374">
        <f t="shared" si="10"/>
        <v>0</v>
      </c>
      <c r="AR120" s="374">
        <f t="shared" si="10"/>
        <v>0</v>
      </c>
      <c r="AS120" s="374">
        <f t="shared" si="10"/>
        <v>0</v>
      </c>
      <c r="AT120" s="374">
        <f t="shared" si="10"/>
        <v>0</v>
      </c>
      <c r="AU120" s="374">
        <f t="shared" si="10"/>
        <v>0</v>
      </c>
      <c r="AV120" s="374">
        <f t="shared" si="10"/>
        <v>0</v>
      </c>
      <c r="AW120" s="374">
        <f t="shared" si="10"/>
        <v>0</v>
      </c>
      <c r="AX120" s="374">
        <f t="shared" si="10"/>
        <v>0</v>
      </c>
      <c r="AY120" s="374">
        <f t="shared" si="10"/>
        <v>0</v>
      </c>
      <c r="AZ120" s="374">
        <f t="shared" si="10"/>
        <v>0</v>
      </c>
      <c r="BA120" s="374">
        <f t="shared" si="10"/>
        <v>0</v>
      </c>
      <c r="BB120" s="374">
        <f t="shared" si="10"/>
        <v>0</v>
      </c>
      <c r="BC120" s="374">
        <f t="shared" si="10"/>
        <v>0</v>
      </c>
      <c r="BD120" s="374">
        <f t="shared" si="10"/>
        <v>0</v>
      </c>
      <c r="BE120" s="374">
        <f t="shared" si="10"/>
        <v>0</v>
      </c>
      <c r="BF120" s="374">
        <f t="shared" si="10"/>
        <v>0</v>
      </c>
    </row>
    <row r="121" spans="1:58" ht="14.25" hidden="1" x14ac:dyDescent="0.2">
      <c r="B121" s="1331"/>
      <c r="C121" s="1231" t="s">
        <v>1787</v>
      </c>
      <c r="D121" s="374">
        <f>SUM(D115:D120)-D116</f>
        <v>3</v>
      </c>
      <c r="E121" s="374">
        <f t="shared" ref="E121:BF121" si="11">SUM(E115:E120)-E116</f>
        <v>3</v>
      </c>
      <c r="F121" s="374">
        <f t="shared" si="11"/>
        <v>1</v>
      </c>
      <c r="G121" s="374">
        <f t="shared" si="11"/>
        <v>104</v>
      </c>
      <c r="H121" s="374">
        <f t="shared" si="11"/>
        <v>3</v>
      </c>
      <c r="I121" s="374">
        <f t="shared" si="11"/>
        <v>301</v>
      </c>
      <c r="J121" s="374">
        <f t="shared" si="11"/>
        <v>2</v>
      </c>
      <c r="K121" s="374">
        <f t="shared" si="11"/>
        <v>2</v>
      </c>
      <c r="L121" s="374">
        <f t="shared" si="11"/>
        <v>2</v>
      </c>
      <c r="M121" s="374">
        <f t="shared" si="11"/>
        <v>2</v>
      </c>
      <c r="N121" s="374">
        <f t="shared" si="11"/>
        <v>3</v>
      </c>
      <c r="O121" s="374">
        <f t="shared" si="11"/>
        <v>3</v>
      </c>
      <c r="P121" s="374">
        <f t="shared" si="11"/>
        <v>2</v>
      </c>
      <c r="Q121" s="374">
        <f t="shared" si="11"/>
        <v>1</v>
      </c>
      <c r="R121" s="374">
        <f t="shared" si="11"/>
        <v>3</v>
      </c>
      <c r="S121" s="374">
        <f t="shared" si="11"/>
        <v>3</v>
      </c>
      <c r="T121" s="374">
        <f t="shared" si="11"/>
        <v>4</v>
      </c>
      <c r="U121" s="374">
        <f t="shared" si="11"/>
        <v>3</v>
      </c>
      <c r="V121" s="374">
        <f t="shared" si="11"/>
        <v>401</v>
      </c>
      <c r="W121" s="374">
        <f t="shared" si="11"/>
        <v>2</v>
      </c>
      <c r="X121" s="374">
        <f t="shared" si="11"/>
        <v>3</v>
      </c>
      <c r="Y121" s="374">
        <f t="shared" si="11"/>
        <v>2</v>
      </c>
      <c r="Z121" s="374">
        <f t="shared" si="11"/>
        <v>1</v>
      </c>
      <c r="AA121" s="374">
        <f t="shared" si="11"/>
        <v>1</v>
      </c>
      <c r="AB121" s="374">
        <f t="shared" si="11"/>
        <v>2</v>
      </c>
      <c r="AC121" s="374">
        <f t="shared" si="11"/>
        <v>1</v>
      </c>
      <c r="AD121" s="374">
        <f t="shared" si="11"/>
        <v>2</v>
      </c>
      <c r="AE121" s="374">
        <f t="shared" si="11"/>
        <v>1</v>
      </c>
      <c r="AF121" s="374">
        <f t="shared" si="11"/>
        <v>4</v>
      </c>
      <c r="AG121" s="374">
        <f t="shared" si="11"/>
        <v>2</v>
      </c>
      <c r="AH121" s="374">
        <f t="shared" si="11"/>
        <v>1</v>
      </c>
      <c r="AI121" s="374">
        <f t="shared" si="11"/>
        <v>2</v>
      </c>
      <c r="AJ121" s="374">
        <f t="shared" si="11"/>
        <v>1</v>
      </c>
      <c r="AK121" s="374">
        <f t="shared" si="11"/>
        <v>1</v>
      </c>
      <c r="AL121" s="374">
        <f t="shared" si="11"/>
        <v>1</v>
      </c>
      <c r="AM121" s="374">
        <f t="shared" si="11"/>
        <v>204</v>
      </c>
      <c r="AN121" s="374">
        <f t="shared" si="11"/>
        <v>2</v>
      </c>
      <c r="AO121" s="374">
        <f t="shared" si="11"/>
        <v>3</v>
      </c>
      <c r="AP121" s="374">
        <f t="shared" si="11"/>
        <v>1</v>
      </c>
      <c r="AQ121" s="374">
        <f t="shared" si="11"/>
        <v>3</v>
      </c>
      <c r="AR121" s="374">
        <f t="shared" si="11"/>
        <v>2</v>
      </c>
      <c r="AS121" s="374">
        <f t="shared" si="11"/>
        <v>3</v>
      </c>
      <c r="AT121" s="374">
        <f t="shared" si="11"/>
        <v>1</v>
      </c>
      <c r="AU121" s="374">
        <f t="shared" si="11"/>
        <v>1</v>
      </c>
      <c r="AV121" s="374">
        <f t="shared" si="11"/>
        <v>1</v>
      </c>
      <c r="AW121" s="374">
        <f t="shared" si="11"/>
        <v>2</v>
      </c>
      <c r="AX121" s="374">
        <f t="shared" si="11"/>
        <v>2</v>
      </c>
      <c r="AY121" s="374">
        <f t="shared" si="11"/>
        <v>3</v>
      </c>
      <c r="AZ121" s="374">
        <f t="shared" si="11"/>
        <v>2</v>
      </c>
      <c r="BA121" s="374">
        <f t="shared" si="11"/>
        <v>2</v>
      </c>
      <c r="BB121" s="374">
        <f t="shared" si="11"/>
        <v>2</v>
      </c>
      <c r="BC121" s="374">
        <f t="shared" si="11"/>
        <v>1</v>
      </c>
      <c r="BD121" s="374">
        <f t="shared" si="11"/>
        <v>2</v>
      </c>
      <c r="BE121" s="374">
        <f t="shared" si="11"/>
        <v>1</v>
      </c>
      <c r="BF121" s="374">
        <f t="shared" si="11"/>
        <v>1</v>
      </c>
    </row>
    <row r="122" spans="1:58" ht="14.25" hidden="1" x14ac:dyDescent="0.2">
      <c r="B122" s="1331"/>
      <c r="C122" s="1231" t="s">
        <v>1788</v>
      </c>
      <c r="D122" s="374" t="str">
        <f>+HLOOKUP(D121,'ניתוח עלויות תפעול'!$D$2:$K$3,2,0)</f>
        <v>תאגיד חד ורב רשותי מעל 120 עד 250</v>
      </c>
      <c r="E122" s="374" t="str">
        <f>+HLOOKUP(E121,'ניתוח עלויות תפעול'!$D$2:$K$3,2,0)</f>
        <v>תאגיד חד ורב רשותי מעל 120 עד 250</v>
      </c>
      <c r="F122" s="374" t="str">
        <f>+HLOOKUP(F121,'ניתוח עלויות תפעול'!$D$2:$K$3,2,0)</f>
        <v xml:space="preserve">תאגיד חד רשותי מתחת ל 60 אלף תושבים </v>
      </c>
      <c r="G122" s="374" t="str">
        <f>+HLOOKUP(G121,'ניתוח עלויות תפעול'!$D$2:$K$3,2,0)</f>
        <v>הגיחון</v>
      </c>
      <c r="H122" s="374" t="str">
        <f>+HLOOKUP(H121,'ניתוח עלויות תפעול'!$D$2:$K$3,2,0)</f>
        <v>תאגיד חד ורב רשותי מעל 120 עד 250</v>
      </c>
      <c r="I122" s="374" t="str">
        <f>+HLOOKUP(I121,'ניתוח עלויות תפעול'!$D$2:$K$3,2,0)</f>
        <v>יובלים בשומרון בע"מ</v>
      </c>
      <c r="J122" s="374" t="str">
        <f>+HLOOKUP(J121,'ניתוח עלויות תפעול'!$D$2:$K$3,2,0)</f>
        <v>תאגיד חד ורב רשותי מעל 60 עד 120</v>
      </c>
      <c r="K122" s="374" t="str">
        <f>+HLOOKUP(K121,'ניתוח עלויות תפעול'!$D$2:$K$3,2,0)</f>
        <v>תאגיד חד ורב רשותי מעל 60 עד 120</v>
      </c>
      <c r="L122" s="374" t="str">
        <f>+HLOOKUP(L121,'ניתוח עלויות תפעול'!$D$2:$K$3,2,0)</f>
        <v>תאגיד חד ורב רשותי מעל 60 עד 120</v>
      </c>
      <c r="M122" s="374" t="str">
        <f>+HLOOKUP(M121,'ניתוח עלויות תפעול'!$D$2:$K$3,2,0)</f>
        <v>תאגיד חד ורב רשותי מעל 60 עד 120</v>
      </c>
      <c r="N122" s="374" t="str">
        <f>+HLOOKUP(N121,'ניתוח עלויות תפעול'!$D$2:$K$3,2,0)</f>
        <v>תאגיד חד ורב רשותי מעל 120 עד 250</v>
      </c>
      <c r="O122" s="374" t="str">
        <f>+HLOOKUP(O121,'ניתוח עלויות תפעול'!$D$2:$K$3,2,0)</f>
        <v>תאגיד חד ורב רשותי מעל 120 עד 250</v>
      </c>
      <c r="P122" s="374" t="str">
        <f>+HLOOKUP(P121,'ניתוח עלויות תפעול'!$D$2:$K$3,2,0)</f>
        <v>תאגיד חד ורב רשותי מעל 60 עד 120</v>
      </c>
      <c r="Q122" s="374" t="str">
        <f>+HLOOKUP(Q121,'ניתוח עלויות תפעול'!$D$2:$K$3,2,0)</f>
        <v xml:space="preserve">תאגיד חד רשותי מתחת ל 60 אלף תושבים </v>
      </c>
      <c r="R122" s="374" t="str">
        <f>+HLOOKUP(R121,'ניתוח עלויות תפעול'!$D$2:$K$3,2,0)</f>
        <v>תאגיד חד ורב רשותי מעל 120 עד 250</v>
      </c>
      <c r="S122" s="374" t="str">
        <f>+HLOOKUP(S121,'ניתוח עלויות תפעול'!$D$2:$K$3,2,0)</f>
        <v>תאגיד חד ורב רשותי מעל 120 עד 250</v>
      </c>
      <c r="T122" s="374" t="str">
        <f>+HLOOKUP(T121,'ניתוח עלויות תפעול'!$D$2:$K$3,2,0)</f>
        <v xml:space="preserve">תאגיד מעל 250 </v>
      </c>
      <c r="U122" s="374" t="str">
        <f>+HLOOKUP(U121,'ניתוח עלויות תפעול'!$D$2:$K$3,2,0)</f>
        <v>תאגיד חד ורב רשותי מעל 120 עד 250</v>
      </c>
      <c r="V122" s="374" t="e">
        <f>+HLOOKUP(V121,'ניתוח עלויות תפעול'!$D$2:$K$3,2,0)</f>
        <v>#N/A</v>
      </c>
      <c r="W122" s="374" t="str">
        <f>+HLOOKUP(W121,'ניתוח עלויות תפעול'!$D$2:$K$3,2,0)</f>
        <v>תאגיד חד ורב רשותי מעל 60 עד 120</v>
      </c>
      <c r="X122" s="374" t="str">
        <f>+HLOOKUP(X121,'ניתוח עלויות תפעול'!$D$2:$K$3,2,0)</f>
        <v>תאגיד חד ורב רשותי מעל 120 עד 250</v>
      </c>
      <c r="Y122" s="374" t="str">
        <f>+HLOOKUP(Y121,'ניתוח עלויות תפעול'!$D$2:$K$3,2,0)</f>
        <v>תאגיד חד ורב רשותי מעל 60 עד 120</v>
      </c>
      <c r="Z122" s="374" t="str">
        <f>+HLOOKUP(Z121,'ניתוח עלויות תפעול'!$D$2:$K$3,2,0)</f>
        <v xml:space="preserve">תאגיד חד רשותי מתחת ל 60 אלף תושבים </v>
      </c>
      <c r="AA122" s="374" t="str">
        <f>+HLOOKUP(AA121,'ניתוח עלויות תפעול'!$D$2:$K$3,2,0)</f>
        <v xml:space="preserve">תאגיד חד רשותי מתחת ל 60 אלף תושבים </v>
      </c>
      <c r="AB122" s="374" t="str">
        <f>+HLOOKUP(AB121,'ניתוח עלויות תפעול'!$D$2:$K$3,2,0)</f>
        <v>תאגיד חד ורב רשותי מעל 60 עד 120</v>
      </c>
      <c r="AC122" s="374" t="str">
        <f>+HLOOKUP(AC121,'ניתוח עלויות תפעול'!$D$2:$K$3,2,0)</f>
        <v xml:space="preserve">תאגיד חד רשותי מתחת ל 60 אלף תושבים </v>
      </c>
      <c r="AD122" s="374" t="str">
        <f>+HLOOKUP(AD121,'ניתוח עלויות תפעול'!$D$2:$K$3,2,0)</f>
        <v>תאגיד חד ורב רשותי מעל 60 עד 120</v>
      </c>
      <c r="AE122" s="374" t="str">
        <f>+HLOOKUP(AE121,'ניתוח עלויות תפעול'!$D$2:$K$3,2,0)</f>
        <v xml:space="preserve">תאגיד חד רשותי מתחת ל 60 אלף תושבים </v>
      </c>
      <c r="AF122" s="374" t="str">
        <f>+HLOOKUP(AF121,'ניתוח עלויות תפעול'!$D$2:$K$3,2,0)</f>
        <v xml:space="preserve">תאגיד מעל 250 </v>
      </c>
      <c r="AG122" s="374" t="str">
        <f>+HLOOKUP(AG121,'ניתוח עלויות תפעול'!$D$2:$K$3,2,0)</f>
        <v>תאגיד חד ורב רשותי מעל 60 עד 120</v>
      </c>
      <c r="AH122" s="374" t="str">
        <f>+HLOOKUP(AH121,'ניתוח עלויות תפעול'!$D$2:$K$3,2,0)</f>
        <v xml:space="preserve">תאגיד חד רשותי מתחת ל 60 אלף תושבים </v>
      </c>
      <c r="AI122" s="374" t="str">
        <f>+HLOOKUP(AI121,'ניתוח עלויות תפעול'!$D$2:$K$3,2,0)</f>
        <v>תאגיד חד ורב רשותי מעל 60 עד 120</v>
      </c>
      <c r="AJ122" s="374" t="str">
        <f>+HLOOKUP(AJ121,'ניתוח עלויות תפעול'!$D$2:$K$3,2,0)</f>
        <v xml:space="preserve">תאגיד חד רשותי מתחת ל 60 אלף תושבים </v>
      </c>
      <c r="AK122" s="374" t="str">
        <f>+HLOOKUP(AK121,'ניתוח עלויות תפעול'!$D$2:$K$3,2,0)</f>
        <v xml:space="preserve">תאגיד חד רשותי מתחת ל 60 אלף תושבים </v>
      </c>
      <c r="AL122" s="374" t="str">
        <f>+HLOOKUP(AL121,'ניתוח עלויות תפעול'!$D$2:$K$3,2,0)</f>
        <v xml:space="preserve">תאגיד חד רשותי מתחת ל 60 אלף תושבים </v>
      </c>
      <c r="AM122" s="374" t="str">
        <f>+HLOOKUP(AM121,'ניתוח עלויות תפעול'!$D$2:$K$3,2,0)</f>
        <v>מי אביבים</v>
      </c>
      <c r="AN122" s="374" t="str">
        <f>+HLOOKUP(AN121,'ניתוח עלויות תפעול'!$D$2:$K$3,2,0)</f>
        <v>תאגיד חד ורב רשותי מעל 60 עד 120</v>
      </c>
      <c r="AO122" s="374" t="str">
        <f>+HLOOKUP(AO121,'ניתוח עלויות תפעול'!$D$2:$K$3,2,0)</f>
        <v>תאגיד חד ורב רשותי מעל 120 עד 250</v>
      </c>
      <c r="AP122" s="374" t="str">
        <f>+HLOOKUP(AP121,'ניתוח עלויות תפעול'!$D$2:$K$3,2,0)</f>
        <v xml:space="preserve">תאגיד חד רשותי מתחת ל 60 אלף תושבים </v>
      </c>
      <c r="AQ122" s="374" t="str">
        <f>+HLOOKUP(AQ121,'ניתוח עלויות תפעול'!$D$2:$K$3,2,0)</f>
        <v>תאגיד חד ורב רשותי מעל 120 עד 250</v>
      </c>
      <c r="AR122" s="374" t="str">
        <f>+HLOOKUP(AR121,'ניתוח עלויות תפעול'!$D$2:$K$3,2,0)</f>
        <v>תאגיד חד ורב רשותי מעל 60 עד 120</v>
      </c>
      <c r="AS122" s="374" t="str">
        <f>+HLOOKUP(AS121,'ניתוח עלויות תפעול'!$D$2:$K$3,2,0)</f>
        <v>תאגיד חד ורב רשותי מעל 120 עד 250</v>
      </c>
      <c r="AT122" s="374" t="str">
        <f>+HLOOKUP(AT121,'ניתוח עלויות תפעול'!$D$2:$K$3,2,0)</f>
        <v xml:space="preserve">תאגיד חד רשותי מתחת ל 60 אלף תושבים </v>
      </c>
      <c r="AU122" s="374" t="str">
        <f>+HLOOKUP(AU121,'ניתוח עלויות תפעול'!$D$2:$K$3,2,0)</f>
        <v xml:space="preserve">תאגיד חד רשותי מתחת ל 60 אלף תושבים </v>
      </c>
      <c r="AV122" s="374" t="str">
        <f>+HLOOKUP(AV121,'ניתוח עלויות תפעול'!$D$2:$K$3,2,0)</f>
        <v xml:space="preserve">תאגיד חד רשותי מתחת ל 60 אלף תושבים </v>
      </c>
      <c r="AW122" s="374" t="str">
        <f>+HLOOKUP(AW121,'ניתוח עלויות תפעול'!$D$2:$K$3,2,0)</f>
        <v>תאגיד חד ורב רשותי מעל 60 עד 120</v>
      </c>
      <c r="AX122" s="374" t="str">
        <f>+HLOOKUP(AX121,'ניתוח עלויות תפעול'!$D$2:$K$3,2,0)</f>
        <v>תאגיד חד ורב רשותי מעל 60 עד 120</v>
      </c>
      <c r="AY122" s="374" t="str">
        <f>+HLOOKUP(AY121,'ניתוח עלויות תפעול'!$D$2:$K$3,2,0)</f>
        <v>תאגיד חד ורב רשותי מעל 120 עד 250</v>
      </c>
      <c r="AZ122" s="374" t="str">
        <f>+HLOOKUP(AZ121,'ניתוח עלויות תפעול'!$D$2:$K$3,2,0)</f>
        <v>תאגיד חד ורב רשותי מעל 60 עד 120</v>
      </c>
      <c r="BA122" s="374" t="str">
        <f>+HLOOKUP(BA121,'ניתוח עלויות תפעול'!$D$2:$K$3,2,0)</f>
        <v>תאגיד חד ורב רשותי מעל 60 עד 120</v>
      </c>
      <c r="BB122" s="374" t="str">
        <f>+HLOOKUP(BB121,'ניתוח עלויות תפעול'!$D$2:$K$3,2,0)</f>
        <v>תאגיד חד ורב רשותי מעל 60 עד 120</v>
      </c>
      <c r="BC122" s="374" t="str">
        <f>+HLOOKUP(BC121,'ניתוח עלויות תפעול'!$D$2:$K$3,2,0)</f>
        <v xml:space="preserve">תאגיד חד רשותי מתחת ל 60 אלף תושבים </v>
      </c>
      <c r="BD122" s="374" t="str">
        <f>+HLOOKUP(BD121,'ניתוח עלויות תפעול'!$D$2:$K$3,2,0)</f>
        <v>תאגיד חד ורב רשותי מעל 60 עד 120</v>
      </c>
      <c r="BE122" s="374" t="str">
        <f>+HLOOKUP(BE121,'ניתוח עלויות תפעול'!$D$2:$K$3,2,0)</f>
        <v xml:space="preserve">תאגיד חד רשותי מתחת ל 60 אלף תושבים </v>
      </c>
      <c r="BF122" s="374" t="str">
        <f>+HLOOKUP(BF121,'ניתוח עלויות תפעול'!$D$2:$K$3,2,0)</f>
        <v xml:space="preserve">תאגיד חד רשותי מתחת ל 60 אלף תושבים </v>
      </c>
    </row>
    <row r="123" spans="1:58" hidden="1" x14ac:dyDescent="0.2"/>
    <row r="124" spans="1:58" hidden="1" x14ac:dyDescent="0.2">
      <c r="D124" s="374">
        <f>+IF(D4="יובלים בשומרון בע""מ",'[24]ניתוח הוצאות הנהלה'!$I$5,IF(D4="עין נטפים מפעלי מים וביוב אילת בע""מ",'[24]ניתוח הוצאות הנהלה'!H5,IF(D4="חברת הגיחון בע""מ תאגיד המים והביוב של ירושלים",'[24]ניתוח הוצאות הנהלה'!$K$5,IF(D4="מי אביבים 2010 בע""מ",'[24]ניתוח הוצאות הנהלה'!$J$5,IF(AND(D$32&gt;=1,D$31&lt;=60),'[24]ניתוח הוצאות הנהלה'!$D$5,IF(AND(D$31&gt;60,D$31&lt;=120),'[24]ניתוח הוצאות הנהלה'!$E$5,IF(AND(D$31&gt;120,D$31&lt;=250),'[24]ניתוח הוצאות הנהלה'!$F$5,'[24]ניתוח הוצאות הנהלה'!$G$5)))))))</f>
        <v>2141.5320000000002</v>
      </c>
      <c r="E124" s="374">
        <f>+IF(E4="יובלים בשומרון בע""מ",'[24]ניתוח הוצאות הנהלה'!$I$5,IF(E4="עין נטפים מפעלי מים וביוב אילת בע""מ",'[24]ניתוח הוצאות הנהלה'!I5,IF(E4="חברת הגיחון בע""מ תאגיד המים והביוב של ירושלים",'[24]ניתוח הוצאות הנהלה'!$K$5,IF(E4="מי אביבים 2010 בע""מ",'[24]ניתוח הוצאות הנהלה'!$J$5,IF(AND(E$32&gt;=1,E$31&lt;=60),'[24]ניתוח הוצאות הנהלה'!$D$5,IF(AND(E$31&gt;60,E$31&lt;=120),'[24]ניתוח הוצאות הנהלה'!$E$5,IF(AND(E$31&gt;120,E$31&lt;=250),'[24]ניתוח הוצאות הנהלה'!$F$5,'[24]ניתוח הוצאות הנהלה'!$G$5)))))))</f>
        <v>2141.5320000000002</v>
      </c>
      <c r="F124" s="374">
        <f>+IF(F4="יובלים בשומרון בע""מ",'[24]ניתוח הוצאות הנהלה'!$I$5,IF(F4="עין נטפים מפעלי מים וביוב אילת בע""מ",'[24]ניתוח הוצאות הנהלה'!J5,IF(F4="חברת הגיחון בע""מ תאגיד המים והביוב של ירושלים",'[24]ניתוח הוצאות הנהלה'!$K$5,IF(F4="מי אביבים 2010 בע""מ",'[24]ניתוח הוצאות הנהלה'!$J$5,IF(AND(F$32&gt;=1,F$31&lt;=60),'[24]ניתוח הוצאות הנהלה'!$D$5,IF(AND(F$31&gt;60,F$31&lt;=120),'[24]ניתוח הוצאות הנהלה'!$E$5,IF(AND(F$31&gt;120,F$31&lt;=250),'[24]ניתוח הוצאות הנהלה'!$F$5,'[24]ניתוח הוצאות הנהלה'!$G$5)))))))</f>
        <v>1353.7499999999998</v>
      </c>
      <c r="G124" s="374">
        <f>+IF(G4="יובלים בשומרון בע""מ",'[24]ניתוח הוצאות הנהלה'!$I$5,IF(G4="עין נטפים מפעלי מים וביוב אילת בע""מ",'[24]ניתוח הוצאות הנהלה'!K5,IF(G4="חברת הגיחון בע""מ תאגיד המים והביוב של ירושלים",'[24]ניתוח הוצאות הנהלה'!$K$5,IF(G4="מי אביבים 2010 בע""מ",'[24]ניתוח הוצאות הנהלה'!$J$5,IF(AND(G$32&gt;=1,G$31&lt;=60),'[24]ניתוח הוצאות הנהלה'!$D$5,IF(AND(G$31&gt;60,G$31&lt;=120),'[24]ניתוח הוצאות הנהלה'!$E$5,IF(AND(G$31&gt;120,G$31&lt;=250),'[24]ניתוח הוצאות הנהלה'!$F$5,'[24]ניתוח הוצאות הנהלה'!$G$5)))))))</f>
        <v>4396.5936000000002</v>
      </c>
      <c r="H124" s="374">
        <f>+IF(H4="יובלים בשומרון בע""מ",'[24]ניתוח הוצאות הנהלה'!$I$5,IF(H4="עין נטפים מפעלי מים וביוב אילת בע""מ",'[24]ניתוח הוצאות הנהלה'!L5,IF(H4="חברת הגיחון בע""מ תאגיד המים והביוב של ירושלים",'[24]ניתוח הוצאות הנהלה'!$K$5,IF(H4="מי אביבים 2010 בע""מ",'[24]ניתוח הוצאות הנהלה'!$J$5,IF(AND(H$32&gt;=1,H$31&lt;=60),'[24]ניתוח הוצאות הנהלה'!$D$5,IF(AND(H$31&gt;60,H$31&lt;=120),'[24]ניתוח הוצאות הנהלה'!$E$5,IF(AND(H$31&gt;120,H$31&lt;=250),'[24]ניתוח הוצאות הנהלה'!$F$5,'[24]ניתוח הוצאות הנהלה'!$G$5)))))))</f>
        <v>2141.5320000000002</v>
      </c>
      <c r="I124" s="374">
        <f>+IF(I4="יובלים בשומרון בע""מ",'[24]ניתוח הוצאות הנהלה'!$I$5,IF(I4="עין נטפים מפעלי מים וביוב אילת בע""מ",'[24]ניתוח הוצאות הנהלה'!M5,IF(I4="חברת הגיחון בע""מ תאגיד המים והביוב של ירושלים",'[24]ניתוח הוצאות הנהלה'!$K$5,IF(I4="מי אביבים 2010 בע""מ",'[24]ניתוח הוצאות הנהלה'!$J$5,IF(AND(I$32&gt;=1,I$31&lt;=60),'[24]ניתוח הוצאות הנהלה'!$D$5,IF(AND(I$31&gt;60,I$31&lt;=120),'[24]ניתוח הוצאות הנהלה'!$E$5,IF(AND(I$31&gt;120,I$31&lt;=250),'[24]ניתוח הוצאות הנהלה'!$F$5,'[24]ניתוח הוצאות הנהלה'!$G$5)))))))</f>
        <v>977.02079999999989</v>
      </c>
      <c r="J124" s="374">
        <f>+IF(J4="יובלים בשומרון בע""מ",'[24]ניתוח הוצאות הנהלה'!$I$5,IF(J4="עין נטפים מפעלי מים וביוב אילת בע""מ",'[24]ניתוח הוצאות הנהלה'!N5,IF(J4="חברת הגיחון בע""מ תאגיד המים והביוב של ירושלים",'[24]ניתוח הוצאות הנהלה'!$K$5,IF(J4="מי אביבים 2010 בע""מ",'[24]ניתוח הוצאות הנהלה'!$J$5,IF(AND(J$32&gt;=1,J$31&lt;=60),'[24]ניתוח הוצאות הנהלה'!$D$5,IF(AND(J$31&gt;60,J$31&lt;=120),'[24]ניתוח הוצאות הנהלה'!$E$5,IF(AND(J$31&gt;120,J$31&lt;=250),'[24]ניתוח הוצאות הנהלה'!$F$5,'[24]ניתוח הוצאות הנהלה'!$G$5)))))))</f>
        <v>1861.134</v>
      </c>
      <c r="K124" s="374">
        <f>+IF(K4="יובלים בשומרון בע""מ",'[24]ניתוח הוצאות הנהלה'!$I$5,IF(K4="עין נטפים מפעלי מים וביוב אילת בע""מ",'[24]ניתוח הוצאות הנהלה'!O5,IF(K4="חברת הגיחון בע""מ תאגיד המים והביוב של ירושלים",'[24]ניתוח הוצאות הנהלה'!$K$5,IF(K4="מי אביבים 2010 בע""מ",'[24]ניתוח הוצאות הנהלה'!$J$5,IF(AND(K$32&gt;=1,K$31&lt;=60),'[24]ניתוח הוצאות הנהלה'!$D$5,IF(AND(K$31&gt;60,K$31&lt;=120),'[24]ניתוח הוצאות הנהלה'!$E$5,IF(AND(K$31&gt;120,K$31&lt;=250),'[24]ניתוח הוצאות הנהלה'!$F$5,'[24]ניתוח הוצאות הנהלה'!$G$5)))))))</f>
        <v>1861.134</v>
      </c>
      <c r="L124" s="374">
        <f>+IF(L4="יובלים בשומרון בע""מ",'[24]ניתוח הוצאות הנהלה'!$I$5,IF(L4="עין נטפים מפעלי מים וביוב אילת בע""מ",'[24]ניתוח הוצאות הנהלה'!P5,IF(L4="חברת הגיחון בע""מ תאגיד המים והביוב של ירושלים",'[24]ניתוח הוצאות הנהלה'!$K$5,IF(L4="מי אביבים 2010 בע""מ",'[24]ניתוח הוצאות הנהלה'!$J$5,IF(AND(L$32&gt;=1,L$31&lt;=60),'[24]ניתוח הוצאות הנהלה'!$D$5,IF(AND(L$31&gt;60,L$31&lt;=120),'[24]ניתוח הוצאות הנהלה'!$E$5,IF(AND(L$31&gt;120,L$31&lt;=250),'[24]ניתוח הוצאות הנהלה'!$F$5,'[24]ניתוח הוצאות הנהלה'!$G$5)))))))</f>
        <v>1861.134</v>
      </c>
      <c r="M124" s="374">
        <f>+IF(M4="יובלים בשומרון בע""מ",'[24]ניתוח הוצאות הנהלה'!$I$5,IF(M4="עין נטפים מפעלי מים וביוב אילת בע""מ",'[24]ניתוח הוצאות הנהלה'!Q5,IF(M4="חברת הגיחון בע""מ תאגיד המים והביוב של ירושלים",'[24]ניתוח הוצאות הנהלה'!$K$5,IF(M4="מי אביבים 2010 בע""מ",'[24]ניתוח הוצאות הנהלה'!$J$5,IF(AND(M$32&gt;=1,M$31&lt;=60),'[24]ניתוח הוצאות הנהלה'!$D$5,IF(AND(M$31&gt;60,M$31&lt;=120),'[24]ניתוח הוצאות הנהלה'!$E$5,IF(AND(M$31&gt;120,M$31&lt;=250),'[24]ניתוח הוצאות הנהלה'!$F$5,'[24]ניתוח הוצאות הנהלה'!$G$5)))))))</f>
        <v>1861.134</v>
      </c>
      <c r="N124" s="374">
        <f>+IF(N4="יובלים בשומרון בע""מ",'[24]ניתוח הוצאות הנהלה'!$I$5,IF(N4="עין נטפים מפעלי מים וביוב אילת בע""מ",'[24]ניתוח הוצאות הנהלה'!R5,IF(N4="חברת הגיחון בע""מ תאגיד המים והביוב של ירושלים",'[24]ניתוח הוצאות הנהלה'!$K$5,IF(N4="מי אביבים 2010 בע""מ",'[24]ניתוח הוצאות הנהלה'!$J$5,IF(AND(N$32&gt;=1,N$31&lt;=60),'[24]ניתוח הוצאות הנהלה'!$D$5,IF(AND(N$31&gt;60,N$31&lt;=120),'[24]ניתוח הוצאות הנהלה'!$E$5,IF(AND(N$31&gt;120,N$31&lt;=250),'[24]ניתוח הוצאות הנהלה'!$F$5,'[24]ניתוח הוצאות הנהלה'!$G$5)))))))</f>
        <v>2141.5320000000002</v>
      </c>
      <c r="O124" s="374">
        <f>+IF(O4="יובלים בשומרון בע""מ",'[24]ניתוח הוצאות הנהלה'!$I$5,IF(O4="עין נטפים מפעלי מים וביוב אילת בע""מ",'[24]ניתוח הוצאות הנהלה'!S5,IF(O4="חברת הגיחון בע""מ תאגיד המים והביוב של ירושלים",'[24]ניתוח הוצאות הנהלה'!$K$5,IF(O4="מי אביבים 2010 בע""מ",'[24]ניתוח הוצאות הנהלה'!$J$5,IF(AND(O$32&gt;=1,O$31&lt;=60),'[24]ניתוח הוצאות הנהלה'!$D$5,IF(AND(O$31&gt;60,O$31&lt;=120),'[24]ניתוח הוצאות הנהלה'!$E$5,IF(AND(O$31&gt;120,O$31&lt;=250),'[24]ניתוח הוצאות הנהלה'!$F$5,'[24]ניתוח הוצאות הנהלה'!$G$5)))))))</f>
        <v>2141.5320000000002</v>
      </c>
      <c r="P124" s="374">
        <f>+IF(P4="יובלים בשומרון בע""מ",'[24]ניתוח הוצאות הנהלה'!$I$5,IF(P4="עין נטפים מפעלי מים וביוב אילת בע""מ",'[24]ניתוח הוצאות הנהלה'!T5,IF(P4="חברת הגיחון בע""מ תאגיד המים והביוב של ירושלים",'[24]ניתוח הוצאות הנהלה'!$K$5,IF(P4="מי אביבים 2010 בע""מ",'[24]ניתוח הוצאות הנהלה'!$J$5,IF(AND(P$32&gt;=1,P$31&lt;=60),'[24]ניתוח הוצאות הנהלה'!$D$5,IF(AND(P$31&gt;60,P$31&lt;=120),'[24]ניתוח הוצאות הנהלה'!$E$5,IF(AND(P$31&gt;120,P$31&lt;=250),'[24]ניתוח הוצאות הנהלה'!$F$5,'[24]ניתוח הוצאות הנהלה'!$G$5)))))))</f>
        <v>1861.134</v>
      </c>
      <c r="Q124" s="374">
        <f>+IF(Q4="יובלים בשומרון בע""מ",'[24]ניתוח הוצאות הנהלה'!$I$5,IF(Q4="עין נטפים מפעלי מים וביוב אילת בע""מ",'[24]ניתוח הוצאות הנהלה'!U5,IF(Q4="חברת הגיחון בע""מ תאגיד המים והביוב של ירושלים",'[24]ניתוח הוצאות הנהלה'!$K$5,IF(Q4="מי אביבים 2010 בע""מ",'[24]ניתוח הוצאות הנהלה'!$J$5,IF(AND(Q$32&gt;=1,Q$31&lt;=60),'[24]ניתוח הוצאות הנהלה'!$D$5,IF(AND(Q$31&gt;60,Q$31&lt;=120),'[24]ניתוח הוצאות הנהלה'!$E$5,IF(AND(Q$31&gt;120,Q$31&lt;=250),'[24]ניתוח הוצאות הנהלה'!$F$5,'[24]ניתוח הוצאות הנהלה'!$G$5)))))))</f>
        <v>1353.7499999999998</v>
      </c>
      <c r="R124" s="374">
        <f>+IF(R4="יובלים בשומרון בע""מ",'[24]ניתוח הוצאות הנהלה'!$I$5,IF(R4="עין נטפים מפעלי מים וביוב אילת בע""מ",'[24]ניתוח הוצאות הנהלה'!V5,IF(R4="חברת הגיחון בע""מ תאגיד המים והביוב של ירושלים",'[24]ניתוח הוצאות הנהלה'!$K$5,IF(R4="מי אביבים 2010 בע""מ",'[24]ניתוח הוצאות הנהלה'!$J$5,IF(AND(R$32&gt;=1,R$31&lt;=60),'[24]ניתוח הוצאות הנהלה'!$D$5,IF(AND(R$31&gt;60,R$31&lt;=120),'[24]ניתוח הוצאות הנהלה'!$E$5,IF(AND(R$31&gt;120,R$31&lt;=250),'[24]ניתוח הוצאות הנהלה'!$F$5,'[24]ניתוח הוצאות הנהלה'!$G$5)))))))</f>
        <v>2141.5320000000002</v>
      </c>
      <c r="S124" s="374">
        <f>+IF(S4="יובלים בשומרון בע""מ",'[24]ניתוח הוצאות הנהלה'!$I$5,IF(S4="עין נטפים מפעלי מים וביוב אילת בע""מ",'[24]ניתוח הוצאות הנהלה'!W5,IF(S4="חברת הגיחון בע""מ תאגיד המים והביוב של ירושלים",'[24]ניתוח הוצאות הנהלה'!$K$5,IF(S4="מי אביבים 2010 בע""מ",'[24]ניתוח הוצאות הנהלה'!$J$5,IF(AND(S$32&gt;=1,S$31&lt;=60),'[24]ניתוח הוצאות הנהלה'!$D$5,IF(AND(S$31&gt;60,S$31&lt;=120),'[24]ניתוח הוצאות הנהלה'!$E$5,IF(AND(S$31&gt;120,S$31&lt;=250),'[24]ניתוח הוצאות הנהלה'!$F$5,'[24]ניתוח הוצאות הנהלה'!$G$5)))))))</f>
        <v>2141.5320000000002</v>
      </c>
      <c r="T124" s="374">
        <f>+IF(T4="יובלים בשומרון בע""מ",'[24]ניתוח הוצאות הנהלה'!$I$5,IF(T4="עין נטפים מפעלי מים וביוב אילת בע""מ",'[24]ניתוח הוצאות הנהלה'!X5,IF(T4="חברת הגיחון בע""מ תאגיד המים והביוב של ירושלים",'[24]ניתוח הוצאות הנהלה'!$K$5,IF(T4="מי אביבים 2010 בע""מ",'[24]ניתוח הוצאות הנהלה'!$J$5,IF(AND(T$32&gt;=1,T$31&lt;=60),'[24]ניתוח הוצאות הנהלה'!$D$5,IF(AND(T$31&gt;60,T$31&lt;=120),'[24]ניתוח הוצאות הנהלה'!$E$5,IF(AND(T$31&gt;120,T$31&lt;=250),'[24]ניתוח הוצאות הנהלה'!$F$5,'[24]ניתוח הוצאות הנהלה'!$G$5)))))))</f>
        <v>2691.924</v>
      </c>
      <c r="U124" s="374">
        <f>+IF(U4="יובלים בשומרון בע""מ",'[24]ניתוח הוצאות הנהלה'!$I$5,IF(U4="עין נטפים מפעלי מים וביוב אילת בע""מ",'[24]ניתוח הוצאות הנהלה'!Y5,IF(U4="חברת הגיחון בע""מ תאגיד המים והביוב של ירושלים",'[24]ניתוח הוצאות הנהלה'!$K$5,IF(U4="מי אביבים 2010 בע""מ",'[24]ניתוח הוצאות הנהלה'!$J$5,IF(AND(U$32&gt;=1,U$31&lt;=60),'[24]ניתוח הוצאות הנהלה'!$D$5,IF(AND(U$31&gt;60,U$31&lt;=120),'[24]ניתוח הוצאות הנהלה'!$E$5,IF(AND(U$31&gt;120,U$31&lt;=250),'[24]ניתוח הוצאות הנהלה'!$F$5,'[24]ניתוח הוצאות הנהלה'!$G$5)))))))</f>
        <v>2141.5320000000002</v>
      </c>
      <c r="V124" s="374">
        <f>+IF(V4="יובלים בשומרון בע""מ",'[24]ניתוח הוצאות הנהלה'!$I$5,IF(V4="עין נטפים מפעלי מים וביוב אילת בע""מ",'[24]ניתוח הוצאות הנהלה'!Z5,IF(V4="חברת הגיחון בע""מ תאגיד המים והביוב של ירושלים",'[24]ניתוח הוצאות הנהלה'!$K$5,IF(V4="מי אביבים 2010 בע""מ",'[24]ניתוח הוצאות הנהלה'!$J$5,IF(AND(V$32&gt;=1,V$31&lt;=60),'[24]ניתוח הוצאות הנהלה'!$D$5,IF(AND(V$31&gt;60,V$31&lt;=120),'[24]ניתוח הוצאות הנהלה'!$E$5,IF(AND(V$31&gt;120,V$31&lt;=250),'[24]ניתוח הוצאות הנהלה'!$F$5,'[24]ניתוח הוצאות הנהלה'!$G$5)))))))</f>
        <v>0</v>
      </c>
      <c r="W124" s="374">
        <f>+IF(W4="יובלים בשומרון בע""מ",'[24]ניתוח הוצאות הנהלה'!$I$5,IF(W4="עין נטפים מפעלי מים וביוב אילת בע""מ",'[24]ניתוח הוצאות הנהלה'!AA5,IF(W4="חברת הגיחון בע""מ תאגיד המים והביוב של ירושלים",'[24]ניתוח הוצאות הנהלה'!$K$5,IF(W4="מי אביבים 2010 בע""מ",'[24]ניתוח הוצאות הנהלה'!$J$5,IF(AND(W$32&gt;=1,W$31&lt;=60),'[24]ניתוח הוצאות הנהלה'!$D$5,IF(AND(W$31&gt;60,W$31&lt;=120),'[24]ניתוח הוצאות הנהלה'!$E$5,IF(AND(W$31&gt;120,W$31&lt;=250),'[24]ניתוח הוצאות הנהלה'!$F$5,'[24]ניתוח הוצאות הנהלה'!$G$5)))))))</f>
        <v>1861.134</v>
      </c>
      <c r="X124" s="374">
        <f>+IF(X4="יובלים בשומרון בע""מ",'[24]ניתוח הוצאות הנהלה'!$I$5,IF(X4="עין נטפים מפעלי מים וביוב אילת בע""מ",'[24]ניתוח הוצאות הנהלה'!AB5,IF(X4="חברת הגיחון בע""מ תאגיד המים והביוב של ירושלים",'[24]ניתוח הוצאות הנהלה'!$K$5,IF(X4="מי אביבים 2010 בע""מ",'[24]ניתוח הוצאות הנהלה'!$J$5,IF(AND(X$32&gt;=1,X$31&lt;=60),'[24]ניתוח הוצאות הנהלה'!$D$5,IF(AND(X$31&gt;60,X$31&lt;=120),'[24]ניתוח הוצאות הנהלה'!$E$5,IF(AND(X$31&gt;120,X$31&lt;=250),'[24]ניתוח הוצאות הנהלה'!$F$5,'[24]ניתוח הוצאות הנהלה'!$G$5)))))))</f>
        <v>2141.5320000000002</v>
      </c>
      <c r="Y124" s="374">
        <f>+IF(Y4="יובלים בשומרון בע""מ",'[24]ניתוח הוצאות הנהלה'!$I$5,IF(Y4="עין נטפים מפעלי מים וביוב אילת בע""מ",'[24]ניתוח הוצאות הנהלה'!AC5,IF(Y4="חברת הגיחון בע""מ תאגיד המים והביוב של ירושלים",'[24]ניתוח הוצאות הנהלה'!$K$5,IF(Y4="מי אביבים 2010 בע""מ",'[24]ניתוח הוצאות הנהלה'!$J$5,IF(AND(Y$32&gt;=1,Y$31&lt;=60),'[24]ניתוח הוצאות הנהלה'!$D$5,IF(AND(Y$31&gt;60,Y$31&lt;=120),'[24]ניתוח הוצאות הנהלה'!$E$5,IF(AND(Y$31&gt;120,Y$31&lt;=250),'[24]ניתוח הוצאות הנהלה'!$F$5,'[24]ניתוח הוצאות הנהלה'!$G$5)))))))</f>
        <v>1861.134</v>
      </c>
      <c r="Z124" s="374">
        <f>+IF(Z4="יובלים בשומרון בע""מ",'[24]ניתוח הוצאות הנהלה'!$I$5,IF(Z4="עין נטפים מפעלי מים וביוב אילת בע""מ",'[24]ניתוח הוצאות הנהלה'!AD5,IF(Z4="חברת הגיחון בע""מ תאגיד המים והביוב של ירושלים",'[24]ניתוח הוצאות הנהלה'!$K$5,IF(Z4="מי אביבים 2010 בע""מ",'[24]ניתוח הוצאות הנהלה'!$J$5,IF(AND(Z$32&gt;=1,Z$31&lt;=60),'[24]ניתוח הוצאות הנהלה'!$D$5,IF(AND(Z$31&gt;60,Z$31&lt;=120),'[24]ניתוח הוצאות הנהלה'!$E$5,IF(AND(Z$31&gt;120,Z$31&lt;=250),'[24]ניתוח הוצאות הנהלה'!$F$5,'[24]ניתוח הוצאות הנהלה'!$G$5)))))))</f>
        <v>1353.7499999999998</v>
      </c>
      <c r="AA124" s="374">
        <f>+IF(AA4="יובלים בשומרון בע""מ",'[24]ניתוח הוצאות הנהלה'!$I$5,IF(AA4="עין נטפים מפעלי מים וביוב אילת בע""מ",'[24]ניתוח הוצאות הנהלה'!AE5,IF(AA4="חברת הגיחון בע""מ תאגיד המים והביוב של ירושלים",'[24]ניתוח הוצאות הנהלה'!$K$5,IF(AA4="מי אביבים 2010 בע""מ",'[24]ניתוח הוצאות הנהלה'!$J$5,IF(AND(AA$32&gt;=1,AA$31&lt;=60),'[24]ניתוח הוצאות הנהלה'!$D$5,IF(AND(AA$31&gt;60,AA$31&lt;=120),'[24]ניתוח הוצאות הנהלה'!$E$5,IF(AND(AA$31&gt;120,AA$31&lt;=250),'[24]ניתוח הוצאות הנהלה'!$F$5,'[24]ניתוח הוצאות הנהלה'!$G$5)))))))</f>
        <v>1353.7499999999998</v>
      </c>
      <c r="AB124" s="374">
        <f>+IF(AB4="יובלים בשומרון בע""מ",'[24]ניתוח הוצאות הנהלה'!$I$5,IF(AB4="עין נטפים מפעלי מים וביוב אילת בע""מ",'[24]ניתוח הוצאות הנהלה'!AF5,IF(AB4="חברת הגיחון בע""מ תאגיד המים והביוב של ירושלים",'[24]ניתוח הוצאות הנהלה'!$K$5,IF(AB4="מי אביבים 2010 בע""מ",'[24]ניתוח הוצאות הנהלה'!$J$5,IF(AND(AB$32&gt;=1,AB$31&lt;=60),'[24]ניתוח הוצאות הנהלה'!$D$5,IF(AND(AB$31&gt;60,AB$31&lt;=120),'[24]ניתוח הוצאות הנהלה'!$E$5,IF(AND(AB$31&gt;120,AB$31&lt;=250),'[24]ניתוח הוצאות הנהלה'!$F$5,'[24]ניתוח הוצאות הנהלה'!$G$5)))))))</f>
        <v>1861.134</v>
      </c>
      <c r="AC124" s="374">
        <f>+IF(AC4="יובלים בשומרון בע""מ",'[24]ניתוח הוצאות הנהלה'!$I$5,IF(AC4="עין נטפים מפעלי מים וביוב אילת בע""מ",'[24]ניתוח הוצאות הנהלה'!AG5,IF(AC4="חברת הגיחון בע""מ תאגיד המים והביוב של ירושלים",'[24]ניתוח הוצאות הנהלה'!$K$5,IF(AC4="מי אביבים 2010 בע""מ",'[24]ניתוח הוצאות הנהלה'!$J$5,IF(AND(AC$32&gt;=1,AC$31&lt;=60),'[24]ניתוח הוצאות הנהלה'!$D$5,IF(AND(AC$31&gt;60,AC$31&lt;=120),'[24]ניתוח הוצאות הנהלה'!$E$5,IF(AND(AC$31&gt;120,AC$31&lt;=250),'[24]ניתוח הוצאות הנהלה'!$F$5,'[24]ניתוח הוצאות הנהלה'!$G$5)))))))</f>
        <v>1353.7499999999998</v>
      </c>
      <c r="AD124" s="374">
        <f>+IF(AD4="יובלים בשומרון בע""מ",'[24]ניתוח הוצאות הנהלה'!$I$5,IF(AD4="עין נטפים מפעלי מים וביוב אילת בע""מ",'[24]ניתוח הוצאות הנהלה'!AH5,IF(AD4="חברת הגיחון בע""מ תאגיד המים והביוב של ירושלים",'[24]ניתוח הוצאות הנהלה'!$K$5,IF(AD4="מי אביבים 2010 בע""מ",'[24]ניתוח הוצאות הנהלה'!$J$5,IF(AND(AD$32&gt;=1,AD$31&lt;=60),'[24]ניתוח הוצאות הנהלה'!$D$5,IF(AND(AD$31&gt;60,AD$31&lt;=120),'[24]ניתוח הוצאות הנהלה'!$E$5,IF(AND(AD$31&gt;120,AD$31&lt;=250),'[24]ניתוח הוצאות הנהלה'!$F$5,'[24]ניתוח הוצאות הנהלה'!$G$5)))))))</f>
        <v>1861.134</v>
      </c>
      <c r="AE124" s="374">
        <f>+IF(AE4="יובלים בשומרון בע""מ",'[24]ניתוח הוצאות הנהלה'!$I$5,IF(AE4="עין נטפים מפעלי מים וביוב אילת בע""מ",'[24]ניתוח הוצאות הנהלה'!AI5,IF(AE4="חברת הגיחון בע""מ תאגיד המים והביוב של ירושלים",'[24]ניתוח הוצאות הנהלה'!$K$5,IF(AE4="מי אביבים 2010 בע""מ",'[24]ניתוח הוצאות הנהלה'!$J$5,IF(AND(AE$32&gt;=1,AE$31&lt;=60),'[24]ניתוח הוצאות הנהלה'!$D$5,IF(AND(AE$31&gt;60,AE$31&lt;=120),'[24]ניתוח הוצאות הנהלה'!$E$5,IF(AND(AE$31&gt;120,AE$31&lt;=250),'[24]ניתוח הוצאות הנהלה'!$F$5,'[24]ניתוח הוצאות הנהלה'!$G$5)))))))</f>
        <v>1353.7499999999998</v>
      </c>
      <c r="AF124" s="374">
        <f>+IF(AF4="יובלים בשומרון בע""מ",'[24]ניתוח הוצאות הנהלה'!$I$5,IF(AF4="עין נטפים מפעלי מים וביוב אילת בע""מ",'[24]ניתוח הוצאות הנהלה'!AJ5,IF(AF4="חברת הגיחון בע""מ תאגיד המים והביוב של ירושלים",'[24]ניתוח הוצאות הנהלה'!$K$5,IF(AF4="מי אביבים 2010 בע""מ",'[24]ניתוח הוצאות הנהלה'!$J$5,IF(AND(AF$32&gt;=1,AF$31&lt;=60),'[24]ניתוח הוצאות הנהלה'!$D$5,IF(AND(AF$31&gt;60,AF$31&lt;=120),'[24]ניתוח הוצאות הנהלה'!$E$5,IF(AND(AF$31&gt;120,AF$31&lt;=250),'[24]ניתוח הוצאות הנהלה'!$F$5,'[24]ניתוח הוצאות הנהלה'!$G$5)))))))</f>
        <v>2691.924</v>
      </c>
      <c r="AG124" s="374">
        <f>+IF(AG4="יובלים בשומרון בע""מ",'[24]ניתוח הוצאות הנהלה'!$I$5,IF(AG4="עין נטפים מפעלי מים וביוב אילת בע""מ",'[24]ניתוח הוצאות הנהלה'!AK5,IF(AG4="חברת הגיחון בע""מ תאגיד המים והביוב של ירושלים",'[24]ניתוח הוצאות הנהלה'!$K$5,IF(AG4="מי אביבים 2010 בע""מ",'[24]ניתוח הוצאות הנהלה'!$J$5,IF(AND(AG$32&gt;=1,AG$31&lt;=60),'[24]ניתוח הוצאות הנהלה'!$D$5,IF(AND(AG$31&gt;60,AG$31&lt;=120),'[24]ניתוח הוצאות הנהלה'!$E$5,IF(AND(AG$31&gt;120,AG$31&lt;=250),'[24]ניתוח הוצאות הנהלה'!$F$5,'[24]ניתוח הוצאות הנהלה'!$G$5)))))))</f>
        <v>1861.134</v>
      </c>
      <c r="AH124" s="374">
        <f>+IF(AH4="יובלים בשומרון בע""מ",'[24]ניתוח הוצאות הנהלה'!$I$5,IF(AH4="עין נטפים מפעלי מים וביוב אילת בע""מ",'[24]ניתוח הוצאות הנהלה'!AL5,IF(AH4="חברת הגיחון בע""מ תאגיד המים והביוב של ירושלים",'[24]ניתוח הוצאות הנהלה'!$K$5,IF(AH4="מי אביבים 2010 בע""מ",'[24]ניתוח הוצאות הנהלה'!$J$5,IF(AND(AH$32&gt;=1,AH$31&lt;=60),'[24]ניתוח הוצאות הנהלה'!$D$5,IF(AND(AH$31&gt;60,AH$31&lt;=120),'[24]ניתוח הוצאות הנהלה'!$E$5,IF(AND(AH$31&gt;120,AH$31&lt;=250),'[24]ניתוח הוצאות הנהלה'!$F$5,'[24]ניתוח הוצאות הנהלה'!$G$5)))))))</f>
        <v>1353.7499999999998</v>
      </c>
      <c r="AI124" s="374">
        <f>+IF(AI4="יובלים בשומרון בע""מ",'[24]ניתוח הוצאות הנהלה'!$I$5,IF(AI4="עין נטפים מפעלי מים וביוב אילת בע""מ",'[24]ניתוח הוצאות הנהלה'!AM5,IF(AI4="חברת הגיחון בע""מ תאגיד המים והביוב של ירושלים",'[24]ניתוח הוצאות הנהלה'!$K$5,IF(AI4="מי אביבים 2010 בע""מ",'[24]ניתוח הוצאות הנהלה'!$J$5,IF(AND(AI$32&gt;=1,AI$31&lt;=60),'[24]ניתוח הוצאות הנהלה'!$D$5,IF(AND(AI$31&gt;60,AI$31&lt;=120),'[24]ניתוח הוצאות הנהלה'!$E$5,IF(AND(AI$31&gt;120,AI$31&lt;=250),'[24]ניתוח הוצאות הנהלה'!$F$5,'[24]ניתוח הוצאות הנהלה'!$G$5)))))))</f>
        <v>1861.134</v>
      </c>
      <c r="AJ124" s="374">
        <f>+IF(AJ4="יובלים בשומרון בע""מ",'[24]ניתוח הוצאות הנהלה'!$I$5,IF(AJ4="עין נטפים מפעלי מים וביוב אילת בע""מ",'[24]ניתוח הוצאות הנהלה'!AN5,IF(AJ4="חברת הגיחון בע""מ תאגיד המים והביוב של ירושלים",'[24]ניתוח הוצאות הנהלה'!$K$5,IF(AJ4="מי אביבים 2010 בע""מ",'[24]ניתוח הוצאות הנהלה'!$J$5,IF(AND(AJ$32&gt;=1,AJ$31&lt;=60),'[24]ניתוח הוצאות הנהלה'!$D$5,IF(AND(AJ$31&gt;60,AJ$31&lt;=120),'[24]ניתוח הוצאות הנהלה'!$E$5,IF(AND(AJ$31&gt;120,AJ$31&lt;=250),'[24]ניתוח הוצאות הנהלה'!$F$5,'[24]ניתוח הוצאות הנהלה'!$G$5)))))))</f>
        <v>1353.7499999999998</v>
      </c>
      <c r="AK124" s="374">
        <f>+IF(AK4="יובלים בשומרון בע""מ",'[24]ניתוח הוצאות הנהלה'!$I$5,IF(AK4="עין נטפים מפעלי מים וביוב אילת בע""מ",'[24]ניתוח הוצאות הנהלה'!AO5,IF(AK4="חברת הגיחון בע""מ תאגיד המים והביוב של ירושלים",'[24]ניתוח הוצאות הנהלה'!$K$5,IF(AK4="מי אביבים 2010 בע""מ",'[24]ניתוח הוצאות הנהלה'!$J$5,IF(AND(AK$32&gt;=1,AK$31&lt;=60),'[24]ניתוח הוצאות הנהלה'!$D$5,IF(AND(AK$31&gt;60,AK$31&lt;=120),'[24]ניתוח הוצאות הנהלה'!$E$5,IF(AND(AK$31&gt;120,AK$31&lt;=250),'[24]ניתוח הוצאות הנהלה'!$F$5,'[24]ניתוח הוצאות הנהלה'!$G$5)))))))</f>
        <v>1353.7499999999998</v>
      </c>
      <c r="AL124" s="374">
        <f>+IF(AL4="יובלים בשומרון בע""מ",'[24]ניתוח הוצאות הנהלה'!$I$5,IF(AL4="עין נטפים מפעלי מים וביוב אילת בע""מ",'[24]ניתוח הוצאות הנהלה'!AP5,IF(AL4="חברת הגיחון בע""מ תאגיד המים והביוב של ירושלים",'[24]ניתוח הוצאות הנהלה'!$K$5,IF(AL4="מי אביבים 2010 בע""מ",'[24]ניתוח הוצאות הנהלה'!$J$5,IF(AND(AL$32&gt;=1,AL$31&lt;=60),'[24]ניתוח הוצאות הנהלה'!$D$5,IF(AND(AL$31&gt;60,AL$31&lt;=120),'[24]ניתוח הוצאות הנהלה'!$E$5,IF(AND(AL$31&gt;120,AL$31&lt;=250),'[24]ניתוח הוצאות הנהלה'!$F$5,'[24]ניתוח הוצאות הנהלה'!$G$5)))))))</f>
        <v>1353.7499999999998</v>
      </c>
      <c r="AM124" s="374">
        <f>+IF(AM4="יובלים בשומרון בע""מ",'[24]ניתוח הוצאות הנהלה'!$I$5,IF(AM4="עין נטפים מפעלי מים וביוב אילת בע""מ",'[24]ניתוח הוצאות הנהלה'!AQ5,IF(AM4="חברת הגיחון בע""מ תאגיד המים והביוב של ירושלים",'[24]ניתוח הוצאות הנהלה'!$K$5,IF(AM4="מי אביבים 2010 בע""מ",'[24]ניתוח הוצאות הנהלה'!$J$5,IF(AND(AM$32&gt;=1,AM$31&lt;=60),'[24]ניתוח הוצאות הנהלה'!$D$5,IF(AND(AM$31&gt;60,AM$31&lt;=120),'[24]ניתוח הוצאות הנהלה'!$E$5,IF(AND(AM$31&gt;120,AM$31&lt;=250),'[24]ניתוח הוצאות הנהלה'!$F$5,'[24]ניתוח הוצאות הנהלה'!$G$5)))))))</f>
        <v>4429.1609600000002</v>
      </c>
      <c r="AN124" s="374">
        <f>+IF(AN4="יובלים בשומרון בע""מ",'[24]ניתוח הוצאות הנהלה'!$I$5,IF(AN4="עין נטפים מפעלי מים וביוב אילת בע""מ",'[24]ניתוח הוצאות הנהלה'!AR5,IF(AN4="חברת הגיחון בע""מ תאגיד המים והביוב של ירושלים",'[24]ניתוח הוצאות הנהלה'!$K$5,IF(AN4="מי אביבים 2010 בע""מ",'[24]ניתוח הוצאות הנהלה'!$J$5,IF(AND(AN$32&gt;=1,AN$31&lt;=60),'[24]ניתוח הוצאות הנהלה'!$D$5,IF(AND(AN$31&gt;60,AN$31&lt;=120),'[24]ניתוח הוצאות הנהלה'!$E$5,IF(AND(AN$31&gt;120,AN$31&lt;=250),'[24]ניתוח הוצאות הנהלה'!$F$5,'[24]ניתוח הוצאות הנהלה'!$G$5)))))))</f>
        <v>1861.134</v>
      </c>
      <c r="AO124" s="374">
        <f>+IF(AO4="יובלים בשומרון בע""מ",'[24]ניתוח הוצאות הנהלה'!$I$5,IF(AO4="עין נטפים מפעלי מים וביוב אילת בע""מ",'[24]ניתוח הוצאות הנהלה'!AS5,IF(AO4="חברת הגיחון בע""מ תאגיד המים והביוב של ירושלים",'[24]ניתוח הוצאות הנהלה'!$K$5,IF(AO4="מי אביבים 2010 בע""מ",'[24]ניתוח הוצאות הנהלה'!$J$5,IF(AND(AO$32&gt;=1,AO$31&lt;=60),'[24]ניתוח הוצאות הנהלה'!$D$5,IF(AND(AO$31&gt;60,AO$31&lt;=120),'[24]ניתוח הוצאות הנהלה'!$E$5,IF(AND(AO$31&gt;120,AO$31&lt;=250),'[24]ניתוח הוצאות הנהלה'!$F$5,'[24]ניתוח הוצאות הנהלה'!$G$5)))))))</f>
        <v>2141.5320000000002</v>
      </c>
      <c r="AP124" s="374">
        <f>+IF(AP4="יובלים בשומרון בע""מ",'[24]ניתוח הוצאות הנהלה'!$I$5,IF(AP4="עין נטפים מפעלי מים וביוב אילת בע""מ",'[24]ניתוח הוצאות הנהלה'!AT5,IF(AP4="חברת הגיחון בע""מ תאגיד המים והביוב של ירושלים",'[24]ניתוח הוצאות הנהלה'!$K$5,IF(AP4="מי אביבים 2010 בע""מ",'[24]ניתוח הוצאות הנהלה'!$J$5,IF(AND(AP$32&gt;=1,AP$31&lt;=60),'[24]ניתוח הוצאות הנהלה'!$D$5,IF(AND(AP$31&gt;60,AP$31&lt;=120),'[24]ניתוח הוצאות הנהלה'!$E$5,IF(AND(AP$31&gt;120,AP$31&lt;=250),'[24]ניתוח הוצאות הנהלה'!$F$5,'[24]ניתוח הוצאות הנהלה'!$G$5)))))))</f>
        <v>1353.7499999999998</v>
      </c>
      <c r="AQ124" s="374">
        <f>+IF(AQ4="יובלים בשומרון בע""מ",'[24]ניתוח הוצאות הנהלה'!$I$5,IF(AQ4="עין נטפים מפעלי מים וביוב אילת בע""מ",'[24]ניתוח הוצאות הנהלה'!AU5,IF(AQ4="חברת הגיחון בע""מ תאגיד המים והביוב של ירושלים",'[24]ניתוח הוצאות הנהלה'!$K$5,IF(AQ4="מי אביבים 2010 בע""מ",'[24]ניתוח הוצאות הנהלה'!$J$5,IF(AND(AQ$32&gt;=1,AQ$31&lt;=60),'[24]ניתוח הוצאות הנהלה'!$D$5,IF(AND(AQ$31&gt;60,AQ$31&lt;=120),'[24]ניתוח הוצאות הנהלה'!$E$5,IF(AND(AQ$31&gt;120,AQ$31&lt;=250),'[24]ניתוח הוצאות הנהלה'!$F$5,'[24]ניתוח הוצאות הנהלה'!$G$5)))))))</f>
        <v>2141.5320000000002</v>
      </c>
      <c r="AR124" s="374">
        <f>+IF(AR4="יובלים בשומרון בע""מ",'[24]ניתוח הוצאות הנהלה'!$I$5,IF(AR4="עין נטפים מפעלי מים וביוב אילת בע""מ",'[24]ניתוח הוצאות הנהלה'!AV5,IF(AR4="חברת הגיחון בע""מ תאגיד המים והביוב של ירושלים",'[24]ניתוח הוצאות הנהלה'!$K$5,IF(AR4="מי אביבים 2010 בע""מ",'[24]ניתוח הוצאות הנהלה'!$J$5,IF(AND(AR$32&gt;=1,AR$31&lt;=60),'[24]ניתוח הוצאות הנהלה'!$D$5,IF(AND(AR$31&gt;60,AR$31&lt;=120),'[24]ניתוח הוצאות הנהלה'!$E$5,IF(AND(AR$31&gt;120,AR$31&lt;=250),'[24]ניתוח הוצאות הנהלה'!$F$5,'[24]ניתוח הוצאות הנהלה'!$G$5)))))))</f>
        <v>1861.134</v>
      </c>
      <c r="AS124" s="374">
        <f>+IF(AS4="יובלים בשומרון בע""מ",'[24]ניתוח הוצאות הנהלה'!$I$5,IF(AS4="עין נטפים מפעלי מים וביוב אילת בע""מ",'[24]ניתוח הוצאות הנהלה'!AW5,IF(AS4="חברת הגיחון בע""מ תאגיד המים והביוב של ירושלים",'[24]ניתוח הוצאות הנהלה'!$K$5,IF(AS4="מי אביבים 2010 בע""מ",'[24]ניתוח הוצאות הנהלה'!$J$5,IF(AND(AS$32&gt;=1,AS$31&lt;=60),'[24]ניתוח הוצאות הנהלה'!$D$5,IF(AND(AS$31&gt;60,AS$31&lt;=120),'[24]ניתוח הוצאות הנהלה'!$E$5,IF(AND(AS$31&gt;120,AS$31&lt;=250),'[24]ניתוח הוצאות הנהלה'!$F$5,'[24]ניתוח הוצאות הנהלה'!$G$5)))))))</f>
        <v>2141.5320000000002</v>
      </c>
      <c r="AT124" s="374">
        <f>+IF(AT4="יובלים בשומרון בע""מ",'[24]ניתוח הוצאות הנהלה'!$I$5,IF(AT4="עין נטפים מפעלי מים וביוב אילת בע""מ",'[24]ניתוח הוצאות הנהלה'!AX5,IF(AT4="חברת הגיחון בע""מ תאגיד המים והביוב של ירושלים",'[24]ניתוח הוצאות הנהלה'!$K$5,IF(AT4="מי אביבים 2010 בע""מ",'[24]ניתוח הוצאות הנהלה'!$J$5,IF(AND(AT$32&gt;=1,AT$31&lt;=60),'[24]ניתוח הוצאות הנהלה'!$D$5,IF(AND(AT$31&gt;60,AT$31&lt;=120),'[24]ניתוח הוצאות הנהלה'!$E$5,IF(AND(AT$31&gt;120,AT$31&lt;=250),'[24]ניתוח הוצאות הנהלה'!$F$5,'[24]ניתוח הוצאות הנהלה'!$G$5)))))))</f>
        <v>1353.7499999999998</v>
      </c>
      <c r="AU124" s="374">
        <f>+IF(AU4="יובלים בשומרון בע""מ",'[24]ניתוח הוצאות הנהלה'!$I$5,IF(AU4="עין נטפים מפעלי מים וביוב אילת בע""מ",'[24]ניתוח הוצאות הנהלה'!AY5,IF(AU4="חברת הגיחון בע""מ תאגיד המים והביוב של ירושלים",'[24]ניתוח הוצאות הנהלה'!$K$5,IF(AU4="מי אביבים 2010 בע""מ",'[24]ניתוח הוצאות הנהלה'!$J$5,IF(AND(AU$32&gt;=1,AU$31&lt;=60),'[24]ניתוח הוצאות הנהלה'!$D$5,IF(AND(AU$31&gt;60,AU$31&lt;=120),'[24]ניתוח הוצאות הנהלה'!$E$5,IF(AND(AU$31&gt;120,AU$31&lt;=250),'[24]ניתוח הוצאות הנהלה'!$F$5,'[24]ניתוח הוצאות הנהלה'!$G$5)))))))</f>
        <v>1353.7499999999998</v>
      </c>
      <c r="AV124" s="374">
        <f>+IF(AV4="יובלים בשומרון בע""מ",'[24]ניתוח הוצאות הנהלה'!$I$5,IF(AV4="עין נטפים מפעלי מים וביוב אילת בע""מ",'[24]ניתוח הוצאות הנהלה'!AZ5,IF(AV4="חברת הגיחון בע""מ תאגיד המים והביוב של ירושלים",'[24]ניתוח הוצאות הנהלה'!$K$5,IF(AV4="מי אביבים 2010 בע""מ",'[24]ניתוח הוצאות הנהלה'!$J$5,IF(AND(AV$32&gt;=1,AV$31&lt;=60),'[24]ניתוח הוצאות הנהלה'!$D$5,IF(AND(AV$31&gt;60,AV$31&lt;=120),'[24]ניתוח הוצאות הנהלה'!$E$5,IF(AND(AV$31&gt;120,AV$31&lt;=250),'[24]ניתוח הוצאות הנהלה'!$F$5,'[24]ניתוח הוצאות הנהלה'!$G$5)))))))</f>
        <v>1353.7499999999998</v>
      </c>
      <c r="AW124" s="374">
        <f>+IF(AW4="יובלים בשומרון בע""מ",'[24]ניתוח הוצאות הנהלה'!$I$5,IF(AW4="עין נטפים מפעלי מים וביוב אילת בע""מ",'[24]ניתוח הוצאות הנהלה'!BA5,IF(AW4="חברת הגיחון בע""מ תאגיד המים והביוב של ירושלים",'[24]ניתוח הוצאות הנהלה'!$K$5,IF(AW4="מי אביבים 2010 בע""מ",'[24]ניתוח הוצאות הנהלה'!$J$5,IF(AND(AW$32&gt;=1,AW$31&lt;=60),'[24]ניתוח הוצאות הנהלה'!$D$5,IF(AND(AW$31&gt;60,AW$31&lt;=120),'[24]ניתוח הוצאות הנהלה'!$E$5,IF(AND(AW$31&gt;120,AW$31&lt;=250),'[24]ניתוח הוצאות הנהלה'!$F$5,'[24]ניתוח הוצאות הנהלה'!$G$5)))))))</f>
        <v>1861.134</v>
      </c>
      <c r="AX124" s="374">
        <f>+IF(AX4="יובלים בשומרון בע""מ",'[24]ניתוח הוצאות הנהלה'!$I$5,IF(AX4="עין נטפים מפעלי מים וביוב אילת בע""מ",'[24]ניתוח הוצאות הנהלה'!BB5,IF(AX4="חברת הגיחון בע""מ תאגיד המים והביוב של ירושלים",'[24]ניתוח הוצאות הנהלה'!$K$5,IF(AX4="מי אביבים 2010 בע""מ",'[24]ניתוח הוצאות הנהלה'!$J$5,IF(AND(AX$32&gt;=1,AX$31&lt;=60),'[24]ניתוח הוצאות הנהלה'!$D$5,IF(AND(AX$31&gt;60,AX$31&lt;=120),'[24]ניתוח הוצאות הנהלה'!$E$5,IF(AND(AX$31&gt;120,AX$31&lt;=250),'[24]ניתוח הוצאות הנהלה'!$F$5,'[24]ניתוח הוצאות הנהלה'!$G$5)))))))</f>
        <v>1861.134</v>
      </c>
      <c r="AY124" s="374">
        <f>+IF(AY4="יובלים בשומרון בע""מ",'[24]ניתוח הוצאות הנהלה'!$I$5,IF(AY4="עין נטפים מפעלי מים וביוב אילת בע""מ",'[24]ניתוח הוצאות הנהלה'!BC5,IF(AY4="חברת הגיחון בע""מ תאגיד המים והביוב של ירושלים",'[24]ניתוח הוצאות הנהלה'!$K$5,IF(AY4="מי אביבים 2010 בע""מ",'[24]ניתוח הוצאות הנהלה'!$J$5,IF(AND(AY$32&gt;=1,AY$31&lt;=60),'[24]ניתוח הוצאות הנהלה'!$D$5,IF(AND(AY$31&gt;60,AY$31&lt;=120),'[24]ניתוח הוצאות הנהלה'!$E$5,IF(AND(AY$31&gt;120,AY$31&lt;=250),'[24]ניתוח הוצאות הנהלה'!$F$5,'[24]ניתוח הוצאות הנהלה'!$G$5)))))))</f>
        <v>2141.5320000000002</v>
      </c>
      <c r="AZ124" s="374">
        <f>+IF(AZ4="יובלים בשומרון בע""מ",'[24]ניתוח הוצאות הנהלה'!$I$5,IF(AZ4="עין נטפים מפעלי מים וביוב אילת בע""מ",'[24]ניתוח הוצאות הנהלה'!BD5,IF(AZ4="חברת הגיחון בע""מ תאגיד המים והביוב של ירושלים",'[24]ניתוח הוצאות הנהלה'!$K$5,IF(AZ4="מי אביבים 2010 בע""מ",'[24]ניתוח הוצאות הנהלה'!$J$5,IF(AND(AZ$32&gt;=1,AZ$31&lt;=60),'[24]ניתוח הוצאות הנהלה'!$D$5,IF(AND(AZ$31&gt;60,AZ$31&lt;=120),'[24]ניתוח הוצאות הנהלה'!$E$5,IF(AND(AZ$31&gt;120,AZ$31&lt;=250),'[24]ניתוח הוצאות הנהלה'!$F$5,'[24]ניתוח הוצאות הנהלה'!$G$5)))))))</f>
        <v>1861.134</v>
      </c>
      <c r="BA124" s="374">
        <f>+IF(BA4="יובלים בשומרון בע""מ",'[24]ניתוח הוצאות הנהלה'!$I$5,IF(BA4="עין נטפים מפעלי מים וביוב אילת בע""מ",'[24]ניתוח הוצאות הנהלה'!BE5,IF(BA4="חברת הגיחון בע""מ תאגיד המים והביוב של ירושלים",'[24]ניתוח הוצאות הנהלה'!$K$5,IF(BA4="מי אביבים 2010 בע""מ",'[24]ניתוח הוצאות הנהלה'!$J$5,IF(AND(BA$32&gt;=1,BA$31&lt;=60),'[24]ניתוח הוצאות הנהלה'!$D$5,IF(AND(BA$31&gt;60,BA$31&lt;=120),'[24]ניתוח הוצאות הנהלה'!$E$5,IF(AND(BA$31&gt;120,BA$31&lt;=250),'[24]ניתוח הוצאות הנהלה'!$F$5,'[24]ניתוח הוצאות הנהלה'!$G$5)))))))</f>
        <v>1861.134</v>
      </c>
      <c r="BB124" s="374">
        <f>+IF(BB4="יובלים בשומרון בע""מ",'[24]ניתוח הוצאות הנהלה'!$I$5,IF(BB4="עין נטפים מפעלי מים וביוב אילת בע""מ",'[24]ניתוח הוצאות הנהלה'!BF5,IF(BB4="חברת הגיחון בע""מ תאגיד המים והביוב של ירושלים",'[24]ניתוח הוצאות הנהלה'!$K$5,IF(BB4="מי אביבים 2010 בע""מ",'[24]ניתוח הוצאות הנהלה'!$J$5,IF(AND(BB$32&gt;=1,BB$31&lt;=60),'[24]ניתוח הוצאות הנהלה'!$D$5,IF(AND(BB$31&gt;60,BB$31&lt;=120),'[24]ניתוח הוצאות הנהלה'!$E$5,IF(AND(BB$31&gt;120,BB$31&lt;=250),'[24]ניתוח הוצאות הנהלה'!$F$5,'[24]ניתוח הוצאות הנהלה'!$G$5)))))))</f>
        <v>1861.134</v>
      </c>
      <c r="BC124" s="374">
        <f>+IF(BC4="יובלים בשומרון בע""מ",'[24]ניתוח הוצאות הנהלה'!$I$5,IF(BC4="עין נטפים מפעלי מים וביוב אילת בע""מ",'[24]ניתוח הוצאות הנהלה'!BG5,IF(BC4="חברת הגיחון בע""מ תאגיד המים והביוב של ירושלים",'[24]ניתוח הוצאות הנהלה'!$K$5,IF(BC4="מי אביבים 2010 בע""מ",'[24]ניתוח הוצאות הנהלה'!$J$5,IF(AND(BC$32&gt;=1,BC$31&lt;=60),'[24]ניתוח הוצאות הנהלה'!$D$5,IF(AND(BC$31&gt;60,BC$31&lt;=120),'[24]ניתוח הוצאות הנהלה'!$E$5,IF(AND(BC$31&gt;120,BC$31&lt;=250),'[24]ניתוח הוצאות הנהלה'!$F$5,'[24]ניתוח הוצאות הנהלה'!$G$5)))))))</f>
        <v>1353.7499999999998</v>
      </c>
      <c r="BD124" s="374">
        <f>+IF(BD4="יובלים בשומרון בע""מ",'[24]ניתוח הוצאות הנהלה'!$I$5,IF(BD4="עין נטפים מפעלי מים וביוב אילת בע""מ",'[24]ניתוח הוצאות הנהלה'!BH5,IF(BD4="חברת הגיחון בע""מ תאגיד המים והביוב של ירושלים",'[24]ניתוח הוצאות הנהלה'!$K$5,IF(BD4="מי אביבים 2010 בע""מ",'[24]ניתוח הוצאות הנהלה'!$J$5,IF(AND(BD$32&gt;=1,BD$31&lt;=60),'[24]ניתוח הוצאות הנהלה'!$D$5,IF(AND(BD$31&gt;60,BD$31&lt;=120),'[24]ניתוח הוצאות הנהלה'!$E$5,IF(AND(BD$31&gt;120,BD$31&lt;=250),'[24]ניתוח הוצאות הנהלה'!$F$5,'[24]ניתוח הוצאות הנהלה'!$G$5)))))))</f>
        <v>1861.134</v>
      </c>
      <c r="BE124" s="374">
        <f>+IF(BE4="יובלים בשומרון בע""מ",'[24]ניתוח הוצאות הנהלה'!$I$5,IF(BE4="עין נטפים מפעלי מים וביוב אילת בע""מ",'[24]ניתוח הוצאות הנהלה'!BI5,IF(BE4="חברת הגיחון בע""מ תאגיד המים והביוב של ירושלים",'[24]ניתוח הוצאות הנהלה'!$K$5,IF(BE4="מי אביבים 2010 בע""מ",'[24]ניתוח הוצאות הנהלה'!$J$5,IF(AND(BE$32&gt;=1,BE$31&lt;=60),'[24]ניתוח הוצאות הנהלה'!$D$5,IF(AND(BE$31&gt;60,BE$31&lt;=120),'[24]ניתוח הוצאות הנהלה'!$E$5,IF(AND(BE$31&gt;120,BE$31&lt;=250),'[24]ניתוח הוצאות הנהלה'!$F$5,'[24]ניתוח הוצאות הנהלה'!$G$5)))))))</f>
        <v>1353.7499999999998</v>
      </c>
      <c r="BF124" s="374">
        <f>+IF(BF4="יובלים בשומרון בע""מ",'[24]ניתוח הוצאות הנהלה'!$I$5,IF(BF4="עין נטפים מפעלי מים וביוב אילת בע""מ",'[24]ניתוח הוצאות הנהלה'!BJ5,IF(BF4="חברת הגיחון בע""מ תאגיד המים והביוב של ירושלים",'[24]ניתוח הוצאות הנהלה'!$K$5,IF(BF4="מי אביבים 2010 בע""מ",'[24]ניתוח הוצאות הנהלה'!$J$5,IF(AND(BF$32&gt;=1,BF$31&lt;=60),'[24]ניתוח הוצאות הנהלה'!$D$5,IF(AND(BF$31&gt;60,BF$31&lt;=120),'[24]ניתוח הוצאות הנהלה'!$E$5,IF(AND(BF$31&gt;120,BF$31&lt;=250),'[24]ניתוח הוצאות הנהלה'!$F$5,'[24]ניתוח הוצאות הנהלה'!$G$5)))))))</f>
        <v>1353.7499999999998</v>
      </c>
    </row>
    <row r="125" spans="1:58" hidden="1" x14ac:dyDescent="0.2"/>
    <row r="126" spans="1:58" hidden="1" x14ac:dyDescent="0.2">
      <c r="D126" s="762">
        <f>+D124-D99</f>
        <v>0</v>
      </c>
      <c r="E126" s="762">
        <f t="shared" ref="E126:BF126" si="12">+E124-E99</f>
        <v>0</v>
      </c>
      <c r="F126" s="762">
        <f t="shared" si="12"/>
        <v>0</v>
      </c>
      <c r="G126" s="762">
        <f t="shared" si="12"/>
        <v>0</v>
      </c>
      <c r="H126" s="762">
        <f t="shared" si="12"/>
        <v>0</v>
      </c>
      <c r="I126" s="762">
        <f t="shared" si="12"/>
        <v>0</v>
      </c>
      <c r="J126" s="762">
        <f t="shared" si="12"/>
        <v>0</v>
      </c>
      <c r="K126" s="762">
        <f t="shared" si="12"/>
        <v>0</v>
      </c>
      <c r="L126" s="762">
        <f t="shared" si="12"/>
        <v>0</v>
      </c>
      <c r="M126" s="762">
        <f t="shared" si="12"/>
        <v>0</v>
      </c>
      <c r="N126" s="762">
        <f t="shared" si="12"/>
        <v>0</v>
      </c>
      <c r="O126" s="762">
        <f t="shared" si="12"/>
        <v>0</v>
      </c>
      <c r="P126" s="762">
        <f t="shared" si="12"/>
        <v>0</v>
      </c>
      <c r="Q126" s="762">
        <f t="shared" si="12"/>
        <v>0</v>
      </c>
      <c r="R126" s="762">
        <f t="shared" si="12"/>
        <v>0</v>
      </c>
      <c r="S126" s="762">
        <f t="shared" si="12"/>
        <v>0</v>
      </c>
      <c r="T126" s="762">
        <f t="shared" si="12"/>
        <v>0</v>
      </c>
      <c r="U126" s="762">
        <f t="shared" si="12"/>
        <v>0</v>
      </c>
      <c r="V126" s="762">
        <f t="shared" si="12"/>
        <v>0</v>
      </c>
      <c r="W126" s="762">
        <f t="shared" si="12"/>
        <v>0</v>
      </c>
      <c r="X126" s="762">
        <f t="shared" si="12"/>
        <v>0</v>
      </c>
      <c r="Y126" s="762">
        <f t="shared" si="12"/>
        <v>0</v>
      </c>
      <c r="Z126" s="762">
        <f t="shared" si="12"/>
        <v>0</v>
      </c>
      <c r="AA126" s="762">
        <f t="shared" si="12"/>
        <v>0</v>
      </c>
      <c r="AB126" s="762">
        <f t="shared" si="12"/>
        <v>0</v>
      </c>
      <c r="AC126" s="762">
        <f t="shared" si="12"/>
        <v>0</v>
      </c>
      <c r="AD126" s="762">
        <f t="shared" si="12"/>
        <v>0</v>
      </c>
      <c r="AE126" s="762">
        <f t="shared" si="12"/>
        <v>0</v>
      </c>
      <c r="AF126" s="762">
        <f t="shared" si="12"/>
        <v>0</v>
      </c>
      <c r="AG126" s="762">
        <f t="shared" si="12"/>
        <v>0</v>
      </c>
      <c r="AH126" s="762">
        <f t="shared" si="12"/>
        <v>0</v>
      </c>
      <c r="AI126" s="762">
        <f t="shared" si="12"/>
        <v>0</v>
      </c>
      <c r="AJ126" s="762">
        <f t="shared" si="12"/>
        <v>0</v>
      </c>
      <c r="AK126" s="762">
        <f t="shared" si="12"/>
        <v>0</v>
      </c>
      <c r="AL126" s="762">
        <f t="shared" si="12"/>
        <v>0</v>
      </c>
      <c r="AM126" s="762">
        <f t="shared" si="12"/>
        <v>0</v>
      </c>
      <c r="AN126" s="762">
        <f t="shared" si="12"/>
        <v>0</v>
      </c>
      <c r="AO126" s="762">
        <f t="shared" si="12"/>
        <v>0</v>
      </c>
      <c r="AP126" s="762">
        <f t="shared" si="12"/>
        <v>0</v>
      </c>
      <c r="AQ126" s="762">
        <f t="shared" si="12"/>
        <v>0</v>
      </c>
      <c r="AR126" s="762">
        <f t="shared" si="12"/>
        <v>0</v>
      </c>
      <c r="AS126" s="762">
        <f t="shared" si="12"/>
        <v>0</v>
      </c>
      <c r="AT126" s="762">
        <f t="shared" si="12"/>
        <v>0</v>
      </c>
      <c r="AU126" s="762">
        <f t="shared" si="12"/>
        <v>0</v>
      </c>
      <c r="AV126" s="762">
        <f t="shared" si="12"/>
        <v>0</v>
      </c>
      <c r="AW126" s="762">
        <f t="shared" si="12"/>
        <v>0</v>
      </c>
      <c r="AX126" s="762">
        <f t="shared" si="12"/>
        <v>0</v>
      </c>
      <c r="AY126" s="762">
        <f t="shared" si="12"/>
        <v>0</v>
      </c>
      <c r="AZ126" s="762">
        <f t="shared" si="12"/>
        <v>0</v>
      </c>
      <c r="BA126" s="762">
        <f t="shared" si="12"/>
        <v>0</v>
      </c>
      <c r="BB126" s="762">
        <f t="shared" si="12"/>
        <v>0</v>
      </c>
      <c r="BC126" s="762">
        <f t="shared" si="12"/>
        <v>0</v>
      </c>
      <c r="BD126" s="762">
        <f t="shared" si="12"/>
        <v>0</v>
      </c>
      <c r="BE126" s="762">
        <f t="shared" si="12"/>
        <v>0</v>
      </c>
      <c r="BF126" s="762">
        <f t="shared" si="12"/>
        <v>0</v>
      </c>
    </row>
    <row r="127" spans="1:58" hidden="1" x14ac:dyDescent="0.2">
      <c r="C127" s="376" t="s">
        <v>1091</v>
      </c>
      <c r="D127" s="1068">
        <f>+HLOOKUP(D4,'תחשיב עלות תפעול לשנת 2016'!$4:$150,147,0)</f>
        <v>1.2593784236208194</v>
      </c>
      <c r="E127" s="1068">
        <f>+HLOOKUP(E4,'תחשיב עלות תפעול לשנת 2016'!$4:$150,147,0)</f>
        <v>1.3833775172127034</v>
      </c>
      <c r="F127" s="1068">
        <f>+HLOOKUP(F4,'תחשיב עלות תפעול לשנת 2016'!$4:$150,147,0)</f>
        <v>2.3005691573108509</v>
      </c>
      <c r="G127" s="1068">
        <f>+HLOOKUP(G4,'תחשיב עלות תפעול לשנת 2016'!$4:$150,147,0)</f>
        <v>1.4664537366228558</v>
      </c>
      <c r="H127" s="1068">
        <f>+HLOOKUP(H4,'תחשיב עלות תפעול לשנת 2016'!$4:$150,147,0)</f>
        <v>1.6388173744995458</v>
      </c>
      <c r="I127" s="1068">
        <f>+HLOOKUP(I4,'תחשיב עלות תפעול לשנת 2016'!$4:$150,147,0)</f>
        <v>3</v>
      </c>
      <c r="J127" s="1068">
        <f>+HLOOKUP(J4,'תחשיב עלות תפעול לשנת 2016'!$4:$150,147,0)</f>
        <v>2.1914242994878368</v>
      </c>
      <c r="K127" s="1068">
        <f>+HLOOKUP(K4,'תחשיב עלות תפעול לשנת 2016'!$4:$150,147,0)</f>
        <v>1.4882878889245734</v>
      </c>
      <c r="L127" s="1068">
        <f>+HLOOKUP(L4,'תחשיב עלות תפעול לשנת 2016'!$4:$150,147,0)</f>
        <v>1.6886924758013824</v>
      </c>
      <c r="M127" s="1068">
        <f>+HLOOKUP(M4,'תחשיב עלות תפעול לשנת 2016'!$4:$150,147,0)</f>
        <v>1.80745734953076</v>
      </c>
      <c r="N127" s="1068">
        <f>+HLOOKUP(N4,'תחשיב עלות תפעול לשנת 2016'!$4:$150,147,0)</f>
        <v>1.6088576640693448</v>
      </c>
      <c r="O127" s="1068">
        <f>+HLOOKUP(O4,'תחשיב עלות תפעול לשנת 2016'!$4:$150,147,0)</f>
        <v>1.8670020308822994</v>
      </c>
      <c r="P127" s="1068">
        <f>+HLOOKUP(P4,'תחשיב עלות תפעול לשנת 2016'!$4:$150,147,0)</f>
        <v>1.6090017390039113</v>
      </c>
      <c r="Q127" s="1068">
        <f>+HLOOKUP(Q4,'תחשיב עלות תפעול לשנת 2016'!$4:$150,147,0)</f>
        <v>2.9451569689732207</v>
      </c>
      <c r="R127" s="1068">
        <f>+HLOOKUP(R4,'תחשיב עלות תפעול לשנת 2016'!$4:$150,147,0)</f>
        <v>1.6556721191356591</v>
      </c>
      <c r="S127" s="1068">
        <f>+HLOOKUP(S4,'תחשיב עלות תפעול לשנת 2016'!$4:$150,147,0)</f>
        <v>1.4469122219723198</v>
      </c>
      <c r="T127" s="1068">
        <f>+HLOOKUP(T4,'תחשיב עלות תפעול לשנת 2016'!$4:$150,147,0)</f>
        <v>1.5878288709149155</v>
      </c>
      <c r="U127" s="1068">
        <f>+HLOOKUP(U4,'תחשיב עלות תפעול לשנת 2016'!$4:$150,147,0)</f>
        <v>1.7528734429342487</v>
      </c>
      <c r="V127" s="1068">
        <f>+HLOOKUP(V4,'תחשיב עלות תפעול לשנת 2016'!$4:$150,147,0)</f>
        <v>2.0295841217374799</v>
      </c>
      <c r="W127" s="1068">
        <f>+HLOOKUP(W4,'תחשיב עלות תפעול לשנת 2016'!$4:$150,147,0)</f>
        <v>2.5668385680799815</v>
      </c>
      <c r="X127" s="1068">
        <f>+HLOOKUP(X4,'תחשיב עלות תפעול לשנת 2016'!$4:$150,147,0)</f>
        <v>1.6673786252079659</v>
      </c>
      <c r="Y127" s="1068">
        <f>+HLOOKUP(Y4,'תחשיב עלות תפעול לשנת 2016'!$4:$150,147,0)</f>
        <v>1.5731715783888689</v>
      </c>
      <c r="Z127" s="1068">
        <f>+HLOOKUP(Z4,'תחשיב עלות תפעול לשנת 2016'!$4:$150,147,0)</f>
        <v>2.5176766557628492</v>
      </c>
      <c r="AA127" s="1068">
        <f>+HLOOKUP(AA4,'תחשיב עלות תפעול לשנת 2016'!$4:$150,147,0)</f>
        <v>1.8765923606388208</v>
      </c>
      <c r="AB127" s="1068">
        <f>+HLOOKUP(AB4,'תחשיב עלות תפעול לשנת 2016'!$4:$150,147,0)</f>
        <v>1.885101275134748</v>
      </c>
      <c r="AC127" s="1068">
        <f>+HLOOKUP(AC4,'תחשיב עלות תפעול לשנת 2016'!$4:$150,147,0)</f>
        <v>2.4426841642844819</v>
      </c>
      <c r="AD127" s="1068">
        <f>+HLOOKUP(AD4,'תחשיב עלות תפעול לשנת 2016'!$4:$150,147,0)</f>
        <v>1.5208150499082298</v>
      </c>
      <c r="AE127" s="1068">
        <f>+HLOOKUP(AE4,'תחשיב עלות תפעול לשנת 2016'!$4:$150,147,0)</f>
        <v>1.8226179907975411</v>
      </c>
      <c r="AF127" s="1068">
        <f>+HLOOKUP(AF4,'תחשיב עלות תפעול לשנת 2016'!$4:$150,147,0)</f>
        <v>2.2515061845673592</v>
      </c>
      <c r="AG127" s="1068">
        <f>+HLOOKUP(AG4,'תחשיב עלות תפעול לשנת 2016'!$4:$150,147,0)</f>
        <v>1.7639804685379183</v>
      </c>
      <c r="AH127" s="1068">
        <f>+HLOOKUP(AH4,'תחשיב עלות תפעול לשנת 2016'!$4:$150,147,0)</f>
        <v>1.7379964869232158</v>
      </c>
      <c r="AI127" s="1068">
        <f>+HLOOKUP(AI4,'תחשיב עלות תפעול לשנת 2016'!$4:$150,147,0)</f>
        <v>1.5117922339019383</v>
      </c>
      <c r="AJ127" s="1068">
        <f>+HLOOKUP(AJ4,'תחשיב עלות תפעול לשנת 2016'!$4:$150,147,0)</f>
        <v>2.0828119117165524</v>
      </c>
      <c r="AK127" s="1068">
        <f>+HLOOKUP(AK4,'תחשיב עלות תפעול לשנת 2016'!$4:$150,147,0)</f>
        <v>1.785395938926392</v>
      </c>
      <c r="AL127" s="1068">
        <f>+HLOOKUP(AL4,'תחשיב עלות תפעול לשנת 2016'!$4:$150,147,0)</f>
        <v>1.4487549437020741</v>
      </c>
      <c r="AM127" s="1068">
        <f>+HLOOKUP(AM4,'תחשיב עלות תפעול לשנת 2016'!$4:$150,147,0)</f>
        <v>1.4259118281426908</v>
      </c>
      <c r="AN127" s="1068">
        <f>+HLOOKUP(AN4,'תחשיב עלות תפעול לשנת 2016'!$4:$150,147,0)</f>
        <v>1.800839461007087</v>
      </c>
      <c r="AO127" s="1068">
        <f>+HLOOKUP(AO4,'תחשיב עלות תפעול לשנת 2016'!$4:$150,147,0)</f>
        <v>1.4963222215542116</v>
      </c>
      <c r="AP127" s="1068">
        <f>+HLOOKUP(AP4,'תחשיב עלות תפעול לשנת 2016'!$4:$150,147,0)</f>
        <v>1.5708459587471819</v>
      </c>
      <c r="AQ127" s="1068">
        <f>+HLOOKUP(AQ4,'תחשיב עלות תפעול לשנת 2016'!$4:$150,147,0)</f>
        <v>1.4549457540751718</v>
      </c>
      <c r="AR127" s="1068">
        <f>+HLOOKUP(AR4,'תחשיב עלות תפעול לשנת 2016'!$4:$150,147,0)</f>
        <v>1.5496613334283884</v>
      </c>
      <c r="AS127" s="1068">
        <f>+HLOOKUP(AS4,'תחשיב עלות תפעול לשנת 2016'!$4:$150,147,0)</f>
        <v>2.3161685247307053</v>
      </c>
      <c r="AT127" s="1068">
        <f>+HLOOKUP(AT4,'תחשיב עלות תפעול לשנת 2016'!$4:$150,147,0)</f>
        <v>2.0934946791947753</v>
      </c>
      <c r="AU127" s="1068">
        <f>+HLOOKUP(AU4,'תחשיב עלות תפעול לשנת 2016'!$4:$150,147,0)</f>
        <v>1.499685611158192</v>
      </c>
      <c r="AV127" s="1068">
        <f>+HLOOKUP(AV4,'תחשיב עלות תפעול לשנת 2016'!$4:$150,147,0)</f>
        <v>1.8115924441083209</v>
      </c>
      <c r="AW127" s="1068">
        <f>+HLOOKUP(AW4,'תחשיב עלות תפעול לשנת 2016'!$4:$150,147,0)</f>
        <v>1.9310502295294578</v>
      </c>
      <c r="AX127" s="1068">
        <f>+HLOOKUP(AX4,'תחשיב עלות תפעול לשנת 2016'!$4:$150,147,0)</f>
        <v>1.7754932698796768</v>
      </c>
      <c r="AY127" s="1068">
        <f>+HLOOKUP(AY4,'תחשיב עלות תפעול לשנת 2016'!$4:$150,147,0)</f>
        <v>1.422177281747111</v>
      </c>
      <c r="AZ127" s="1068">
        <f>+HLOOKUP(AZ4,'תחשיב עלות תפעול לשנת 2016'!$4:$150,147,0)</f>
        <v>1.7958437498783448</v>
      </c>
      <c r="BA127" s="1068">
        <f>+HLOOKUP(BA4,'תחשיב עלות תפעול לשנת 2016'!$4:$150,147,0)</f>
        <v>1.8893182466443377</v>
      </c>
      <c r="BB127" s="1068">
        <f>+HLOOKUP(BB4,'תחשיב עלות תפעול לשנת 2016'!$4:$150,147,0)</f>
        <v>1.3853119669675904</v>
      </c>
      <c r="BC127" s="1068">
        <f>+HLOOKUP(BC4,'תחשיב עלות תפעול לשנת 2016'!$4:$150,147,0)</f>
        <v>1.5940070645011835</v>
      </c>
      <c r="BD127" s="1068">
        <f>+HLOOKUP(BD4,'תחשיב עלות תפעול לשנת 2016'!$4:$150,147,0)</f>
        <v>2.1995988908472386</v>
      </c>
      <c r="BE127" s="1068">
        <f>+HLOOKUP(BE4,'תחשיב עלות תפעול לשנת 2016'!$4:$150,147,0)</f>
        <v>1.8887356619444251</v>
      </c>
      <c r="BF127" s="1068">
        <f>+HLOOKUP(BF4,'תחשיב עלות תפעול לשנת 2016'!$4:$150,147,0)</f>
        <v>1.7948753618814077</v>
      </c>
    </row>
    <row r="128" spans="1:58" hidden="1" x14ac:dyDescent="0.2"/>
    <row r="130" spans="3:58" ht="27" customHeight="1" x14ac:dyDescent="0.2">
      <c r="C130" s="1545" t="s">
        <v>955</v>
      </c>
      <c r="D130" s="1068">
        <f>+IFERROR(VLOOKUP(D4,'תעריפי 2016 לכללים'!$B:$F,3,0),VLOOKUP(D3,'תעריפי 2016 לכללים'!$B:$F,3,0))</f>
        <v>0.96768963014608311</v>
      </c>
      <c r="E130" s="1068">
        <f>+IFERROR(VLOOKUP(E4,'תעריפי 2016 לכללים'!$B:$F,3,0),VLOOKUP(E3,'תעריפי 2016 לכללים'!$B:$F,3,0))</f>
        <v>0.87667263461070755</v>
      </c>
      <c r="F130" s="1068">
        <f>+IFERROR(VLOOKUP(F4,'תעריפי 2016 לכללים'!$B:$F,3,0),VLOOKUP(F3,'תעריפי 2016 לכללים'!$B:$F,3,0))</f>
        <v>0.55000000000000004</v>
      </c>
      <c r="G130" s="1068">
        <f>+IFERROR(VLOOKUP(G4,'תעריפי 2016 לכללים'!$B:$F,3,0),VLOOKUP(G3,'תעריפי 2016 לכללים'!$B:$F,3,0))</f>
        <v>1.8132650977398053</v>
      </c>
      <c r="H130" s="1068">
        <f>+IFERROR(VLOOKUP(H4,'תעריפי 2016 לכללים'!$B:$F,3,0),VLOOKUP(H3,'תעריפי 2016 לכללים'!$B:$F,3,0))</f>
        <v>2.3427638880035859</v>
      </c>
      <c r="I130" s="1068">
        <f>+IFERROR(VLOOKUP(I4,'תעריפי 2016 לכללים'!$B:$F,3,0),VLOOKUP(I3,'תעריפי 2016 לכללים'!$B:$F,3,0))</f>
        <v>0.55000000000000004</v>
      </c>
      <c r="J130" s="1068">
        <f>+IFERROR(VLOOKUP(J4,'תעריפי 2016 לכללים'!$B:$F,3,0),VLOOKUP(J3,'תעריפי 2016 לכללים'!$B:$F,3,0))</f>
        <v>0.55000000000000004</v>
      </c>
      <c r="K130" s="1068">
        <f>+IFERROR(VLOOKUP(K4,'תעריפי 2016 לכללים'!$B:$F,3,0),VLOOKUP(K3,'תעריפי 2016 לכללים'!$B:$F,3,0))</f>
        <v>1.9773260730007463</v>
      </c>
      <c r="L130" s="1068">
        <f>+IFERROR(VLOOKUP(L4,'תעריפי 2016 לכללים'!$B:$F,3,0),VLOOKUP(L3,'תעריפי 2016 לכללים'!$B:$F,3,0))</f>
        <v>1.025732852762151</v>
      </c>
      <c r="M130" s="1068">
        <f>+IFERROR(VLOOKUP(M4,'תעריפי 2016 לכללים'!$B:$F,3,0),VLOOKUP(M3,'תעריפי 2016 לכללים'!$B:$F,3,0))</f>
        <v>1.9514914760636128</v>
      </c>
      <c r="N130" s="1068">
        <f>+IFERROR(VLOOKUP(N4,'תעריפי 2016 לכללים'!$B:$F,3,0),VLOOKUP(N3,'תעריפי 2016 לכללים'!$B:$F,3,0))</f>
        <v>1.6396551746016061</v>
      </c>
      <c r="O130" s="1068">
        <f>+IFERROR(VLOOKUP(O4,'תעריפי 2016 לכללים'!$B:$F,3,0),VLOOKUP(O3,'תעריפי 2016 לכללים'!$B:$F,3,0))</f>
        <v>0.55000000000000004</v>
      </c>
      <c r="P130" s="1068">
        <f>+IFERROR(VLOOKUP(P4,'תעריפי 2016 לכללים'!$B:$F,3,0),VLOOKUP(P3,'תעריפי 2016 לכללים'!$B:$F,3,0))</f>
        <v>1.4507817077424887</v>
      </c>
      <c r="Q130" s="1068">
        <f>+IFERROR(VLOOKUP(Q4,'תעריפי 2016 לכללים'!$B:$F,3,0),VLOOKUP(Q3,'תעריפי 2016 לכללים'!$B:$F,3,0))</f>
        <v>0.55000000000000004</v>
      </c>
      <c r="R130" s="1068">
        <f>+IFERROR(VLOOKUP(R4,'תעריפי 2016 לכללים'!$B:$F,3,0),VLOOKUP(R3,'תעריפי 2016 לכללים'!$B:$F,3,0))</f>
        <v>1.325390177495553</v>
      </c>
      <c r="S130" s="1068">
        <f>+IFERROR(VLOOKUP(S4,'תעריפי 2016 לכללים'!$B:$F,3,0),VLOOKUP(S3,'תעריפי 2016 לכללים'!$B:$F,3,0))</f>
        <v>1.1859923259228464</v>
      </c>
      <c r="T130" s="1068">
        <f>+IFERROR(VLOOKUP(T4,'תעריפי 2016 לכללים'!$B:$F,3,0),VLOOKUP(T3,'תעריפי 2016 לכללים'!$B:$F,3,0))</f>
        <v>1.2428290241393927</v>
      </c>
      <c r="U130" s="1068">
        <f>+IFERROR(VLOOKUP(U4,'תעריפי 2016 לכללים'!$B:$F,3,0),VLOOKUP(U3,'תעריפי 2016 לכללים'!$B:$F,3,0))</f>
        <v>1.4663378412412185</v>
      </c>
      <c r="V130" s="1068">
        <f>+IFERROR(VLOOKUP(V4,'תעריפי 2016 לכללים'!$B:$F,3,0),VLOOKUP(V3,'תעריפי 2016 לכללים'!$B:$F,3,0))</f>
        <v>1.0774554424863565</v>
      </c>
      <c r="W130" s="1068">
        <f>+IFERROR(VLOOKUP(W4,'תעריפי 2016 לכללים'!$B:$F,3,0),VLOOKUP(W3,'תעריפי 2016 לכללים'!$B:$F,3,0))</f>
        <v>0.55000000000000004</v>
      </c>
      <c r="X130" s="1068">
        <f>+IFERROR(VLOOKUP(X4,'תעריפי 2016 לכללים'!$B:$F,3,0),VLOOKUP(X3,'תעריפי 2016 לכללים'!$B:$F,3,0))</f>
        <v>1.0404944211059219</v>
      </c>
      <c r="Y130" s="1068">
        <f>+IFERROR(VLOOKUP(Y4,'תעריפי 2016 לכללים'!$B:$F,3,0),VLOOKUP(Y3,'תעריפי 2016 לכללים'!$B:$F,3,0))</f>
        <v>2.0778960258234593</v>
      </c>
      <c r="Z130" s="1068">
        <f>+IFERROR(VLOOKUP(Z4,'תעריפי 2016 לכללים'!$B:$F,3,0),VLOOKUP(Z3,'תעריפי 2016 לכללים'!$B:$F,3,0))</f>
        <v>0.55000000000000004</v>
      </c>
      <c r="AA130" s="1068">
        <f>+IFERROR(VLOOKUP(AA4,'תעריפי 2016 לכללים'!$B:$F,3,0),VLOOKUP(AA3,'תעריפי 2016 לכללים'!$B:$F,3,0))</f>
        <v>0.61760317784525087</v>
      </c>
      <c r="AB130" s="1068">
        <f>+IFERROR(VLOOKUP(AB4,'תעריפי 2016 לכללים'!$B:$F,3,0),VLOOKUP(AB3,'תעריפי 2016 לכללים'!$B:$F,3,0))</f>
        <v>1.2989348544983084</v>
      </c>
      <c r="AC130" s="1068">
        <f>+IFERROR(VLOOKUP(AC4,'תעריפי 2016 לכללים'!$B:$F,3,0),VLOOKUP(AC3,'תעריפי 2016 לכללים'!$B:$F,3,0))</f>
        <v>1.0238463101266504</v>
      </c>
      <c r="AD130" s="1068">
        <f>+IFERROR(VLOOKUP(AD4,'תעריפי 2016 לכללים'!$B:$F,3,0),VLOOKUP(AD3,'תעריפי 2016 לכללים'!$B:$F,3,0))</f>
        <v>1.7687105197906099</v>
      </c>
      <c r="AE130" s="1068">
        <f>+IFERROR(VLOOKUP(AE4,'תעריפי 2016 לכללים'!$B:$F,3,0),VLOOKUP(AE3,'תעריפי 2016 לכללים'!$B:$F,3,0))</f>
        <v>0.69488773214788413</v>
      </c>
      <c r="AF130" s="1068">
        <f>+IFERROR(VLOOKUP(AF4,'תעריפי 2016 לכללים'!$B:$F,3,0),VLOOKUP(AF3,'תעריפי 2016 לכללים'!$B:$F,3,0))</f>
        <v>0.55000000000000004</v>
      </c>
      <c r="AG130" s="1068">
        <f>+IFERROR(VLOOKUP(AG4,'תעריפי 2016 לכללים'!$B:$F,3,0),VLOOKUP(AG3,'תעריפי 2016 לכללים'!$B:$F,3,0))</f>
        <v>1.187011322415108</v>
      </c>
      <c r="AH130" s="1068">
        <f>+IFERROR(VLOOKUP(AH4,'תעריפי 2016 לכללים'!$B:$F,3,0),VLOOKUP(AH3,'תעריפי 2016 לכללים'!$B:$F,3,0))</f>
        <v>0.83529091187687665</v>
      </c>
      <c r="AI130" s="1068">
        <f>+IFERROR(VLOOKUP(AI4,'תעריפי 2016 לכללים'!$B:$F,3,0),VLOOKUP(AI3,'תעריפי 2016 לכללים'!$B:$F,3,0))</f>
        <v>0.55027905833562329</v>
      </c>
      <c r="AJ130" s="1068">
        <f>+IFERROR(VLOOKUP(AJ4,'תעריפי 2016 לכללים'!$B:$F,3,0),VLOOKUP(AJ3,'תעריפי 2016 לכללים'!$B:$F,3,0))</f>
        <v>0.82840162160721731</v>
      </c>
      <c r="AK130" s="1068">
        <f>+IFERROR(VLOOKUP(AK4,'תעריפי 2016 לכללים'!$B:$F,3,0),VLOOKUP(AK3,'תעריפי 2016 לכללים'!$B:$F,3,0))</f>
        <v>0.89420349927290699</v>
      </c>
      <c r="AL130" s="1068">
        <f>+IFERROR(VLOOKUP(AL4,'תעריפי 2016 לכללים'!$B:$F,3,0),VLOOKUP(AL3,'תעריפי 2016 לכללים'!$B:$F,3,0))</f>
        <v>1.6705287561252233</v>
      </c>
      <c r="AM130" s="1068">
        <f>+IFERROR(VLOOKUP(AM4,'תעריפי 2016 לכללים'!$B:$F,3,0),VLOOKUP(AM3,'תעריפי 2016 לכללים'!$B:$F,3,0))</f>
        <v>1.0364180392940001</v>
      </c>
      <c r="AN130" s="1068">
        <f>+IFERROR(VLOOKUP(AN4,'תעריפי 2016 לכללים'!$B:$F,3,0),VLOOKUP(AN3,'תעריפי 2016 לכללים'!$B:$F,3,0))</f>
        <v>1.2537949339587093</v>
      </c>
      <c r="AO130" s="1068">
        <f>+IFERROR(VLOOKUP(AO4,'תעריפי 2016 לכללים'!$B:$F,3,0),VLOOKUP(AO3,'תעריפי 2016 לכללים'!$B:$F,3,0))</f>
        <v>1.074293148656146</v>
      </c>
      <c r="AP130" s="1068">
        <f>+IFERROR(VLOOKUP(AP4,'תעריפי 2016 לכללים'!$B:$F,3,0),VLOOKUP(AP3,'תעריפי 2016 לכללים'!$B:$F,3,0))</f>
        <v>0.9329883280748229</v>
      </c>
      <c r="AQ130" s="1068">
        <f>+IFERROR(VLOOKUP(AQ4,'תעריפי 2016 לכללים'!$B:$F,3,0),VLOOKUP(AQ3,'תעריפי 2016 לכללים'!$B:$F,3,0))</f>
        <v>1.3399708680461135</v>
      </c>
      <c r="AR130" s="1068">
        <f>+IFERROR(VLOOKUP(AR4,'תעריפי 2016 לכללים'!$B:$F,3,0),VLOOKUP(AR3,'תעריפי 2016 לכללים'!$B:$F,3,0))</f>
        <v>0.99561684708236053</v>
      </c>
      <c r="AS130" s="1068">
        <f>+IFERROR(VLOOKUP(AS4,'תעריפי 2016 לכללים'!$B:$F,3,0),VLOOKUP(AS3,'תעריפי 2016 לכללים'!$B:$F,3,0))</f>
        <v>0.55000000000000004</v>
      </c>
      <c r="AT130" s="1068">
        <f>+IFERROR(VLOOKUP(AT4,'תעריפי 2016 לכללים'!$B:$F,3,0),VLOOKUP(AT3,'תעריפי 2016 לכללים'!$B:$F,3,0))</f>
        <v>0.55000000000000004</v>
      </c>
      <c r="AU130" s="1068">
        <f>+IFERROR(VLOOKUP(AU4,'תעריפי 2016 לכללים'!$B:$F,3,0),VLOOKUP(AU3,'תעריפי 2016 לכללים'!$B:$F,3,0))</f>
        <v>1.1063997922574056</v>
      </c>
      <c r="AV130" s="1068">
        <f>+IFERROR(VLOOKUP(AV4,'תעריפי 2016 לכללים'!$B:$F,3,0),VLOOKUP(AV3,'תעריפי 2016 לכללים'!$B:$F,3,0))</f>
        <v>1.1460354778797033</v>
      </c>
      <c r="AW130" s="1068">
        <f>+IFERROR(VLOOKUP(AW4,'תעריפי 2016 לכללים'!$B:$F,3,0),VLOOKUP(AW3,'תעריפי 2016 לכללים'!$B:$F,3,0))</f>
        <v>0.55000000000000004</v>
      </c>
      <c r="AX130" s="1068">
        <f>+IFERROR(VLOOKUP(AX4,'תעריפי 2016 לכללים'!$B:$F,3,0),VLOOKUP(AX3,'תעריפי 2016 לכללים'!$B:$F,3,0))</f>
        <v>0.55000000000000004</v>
      </c>
      <c r="AY130" s="1068">
        <f>+IFERROR(VLOOKUP(AY4,'תעריפי 2016 לכללים'!$B:$F,3,0),VLOOKUP(AY3,'תעריפי 2016 לכללים'!$B:$F,3,0))</f>
        <v>1.9926984472293323</v>
      </c>
      <c r="AZ130" s="1068">
        <f>+IFERROR(VLOOKUP(AZ4,'תעריפי 2016 לכללים'!$B:$F,3,0),VLOOKUP(AZ3,'תעריפי 2016 לכללים'!$B:$F,3,0))</f>
        <v>0.55000000000000004</v>
      </c>
      <c r="BA130" s="1068">
        <f>+IFERROR(VLOOKUP(BA4,'תעריפי 2016 לכללים'!$B:$F,3,0),VLOOKUP(BA3,'תעריפי 2016 לכללים'!$B:$F,3,0))</f>
        <v>0.55000000000000004</v>
      </c>
      <c r="BB130" s="1068">
        <f>+IFERROR(VLOOKUP(BB4,'תעריפי 2016 לכללים'!$B:$F,3,0),VLOOKUP(BB3,'תעריפי 2016 לכללים'!$B:$F,3,0))</f>
        <v>1.7624084608696076</v>
      </c>
      <c r="BC130" s="1068">
        <f>+IFERROR(VLOOKUP(BC4,'תעריפי 2016 לכללים'!$B:$F,3,0),VLOOKUP(BC3,'תעריפי 2016 לכללים'!$B:$F,3,0))</f>
        <v>0.90502566698185505</v>
      </c>
      <c r="BD130" s="1068">
        <f>+IFERROR(VLOOKUP(BD4,'תעריפי 2016 לכללים'!$B:$F,3,0),VLOOKUP(BD3,'תעריפי 2016 לכללים'!$B:$F,3,0))</f>
        <v>0.55000000000000004</v>
      </c>
      <c r="BE130" s="1068">
        <f>+IFERROR(VLOOKUP(BE4,'תעריפי 2016 לכללים'!$B:$F,3,0),VLOOKUP(BE3,'תעריפי 2016 לכללים'!$B:$F,3,0))</f>
        <v>0.55000000000000004</v>
      </c>
      <c r="BF130" s="1068">
        <f>+IFERROR(VLOOKUP(BF4,'תעריפי 2016 לכללים'!$B:$F,3,0),VLOOKUP(BF3,'תעריפי 2016 לכללים'!$B:$F,3,0))</f>
        <v>0.70464160480847837</v>
      </c>
    </row>
    <row r="131" spans="3:58" ht="29.25" customHeight="1" x14ac:dyDescent="0.2">
      <c r="C131" s="1545" t="s">
        <v>956</v>
      </c>
      <c r="D131" s="1068">
        <f>+IFERROR(VLOOKUP(D4,'תעריפי 2016 לכללים'!$B:$F,4,0),VLOOKUP(D3,'תעריפי 2016 לכללים'!$B:$F,4,0))</f>
        <v>4.3833622866958235</v>
      </c>
      <c r="E131" s="1068">
        <f>+IFERROR(VLOOKUP(E4,'תעריפי 2016 לכללים'!$B:$F,4,0),VLOOKUP(E3,'תעריפי 2016 לכללים'!$B:$F,4,0))</f>
        <v>4.4930257807474794</v>
      </c>
      <c r="F131" s="1068">
        <f>+IFERROR(VLOOKUP(F4,'תעריפי 2016 לכללים'!$B:$F,4,0),VLOOKUP(F3,'תעריפי 2016 לכללים'!$B:$F,4,0))</f>
        <v>2.5839676047312956</v>
      </c>
      <c r="G131" s="1068">
        <f>+IFERROR(VLOOKUP(G4,'תעריפי 2016 לכללים'!$B:$F,4,0),VLOOKUP(G3,'תעריפי 2016 לכללים'!$B:$F,4,0))</f>
        <v>5.6824945381809391</v>
      </c>
      <c r="H131" s="1068">
        <f>+IFERROR(VLOOKUP(H4,'תעריפי 2016 לכללים'!$B:$F,4,0),VLOOKUP(H3,'תעריפי 2016 לכללים'!$B:$F,4,0))</f>
        <v>6.0836115091512122</v>
      </c>
      <c r="I131" s="1068">
        <f>+IFERROR(VLOOKUP(I4,'תעריפי 2016 לכללים'!$B:$F,4,0),VLOOKUP(I3,'תעריפי 2016 לכללים'!$B:$F,4,0))</f>
        <v>1.5501393849805685</v>
      </c>
      <c r="J131" s="1068">
        <f>+IFERROR(VLOOKUP(J4,'תעריפי 2016 לכללים'!$B:$F,4,0),VLOOKUP(J3,'תעריפי 2016 לכללים'!$B:$F,4,0))</f>
        <v>1.6026543495414303</v>
      </c>
      <c r="K131" s="1068">
        <f>+IFERROR(VLOOKUP(K4,'תעריפי 2016 לכללים'!$B:$F,4,0),VLOOKUP(K3,'תעריפי 2016 לכללים'!$B:$F,4,0))</f>
        <v>5.7165354917793225</v>
      </c>
      <c r="L131" s="1068">
        <f>+IFERROR(VLOOKUP(L4,'תעריפי 2016 לכללים'!$B:$F,4,0),VLOOKUP(L3,'תעריפי 2016 לכללים'!$B:$F,4,0))</f>
        <v>4.6082141712410456</v>
      </c>
      <c r="M131" s="1068">
        <f>+IFERROR(VLOOKUP(M4,'תעריפי 2016 לכללים'!$B:$F,4,0),VLOOKUP(M3,'תעריפי 2016 לכללים'!$B:$F,4,0))</f>
        <v>5.7619689701272643</v>
      </c>
      <c r="N131" s="1068">
        <f>+IFERROR(VLOOKUP(N4,'תעריפי 2016 לכללים'!$B:$F,4,0),VLOOKUP(N3,'תעריפי 2016 לכללים'!$B:$F,4,0))</f>
        <v>5.4882602107350458</v>
      </c>
      <c r="O131" s="1068">
        <f>+IFERROR(VLOOKUP(O4,'תעריפי 2016 לכללים'!$B:$F,4,0),VLOOKUP(O3,'תעריפי 2016 לכללים'!$B:$F,4,0))</f>
        <v>1.1776078145160578</v>
      </c>
      <c r="P131" s="1068">
        <f>+IFERROR(VLOOKUP(P4,'תעריפי 2016 לכללים'!$B:$F,4,0),VLOOKUP(P3,'תעריפי 2016 לכללים'!$B:$F,4,0))</f>
        <v>5.2097620004935852</v>
      </c>
      <c r="Q131" s="1068">
        <f>+IFERROR(VLOOKUP(Q4,'תעריפי 2016 לכללים'!$B:$F,4,0),VLOOKUP(Q3,'תעריפי 2016 לכללים'!$B:$F,4,0))</f>
        <v>0.55000000000000004</v>
      </c>
      <c r="R131" s="1068">
        <f>+IFERROR(VLOOKUP(R4,'תעריפי 2016 לכללים'!$B:$F,4,0),VLOOKUP(R3,'תעריפי 2016 לכללים'!$B:$F,4,0))</f>
        <v>5.0776227883007454</v>
      </c>
      <c r="S131" s="1068">
        <f>+IFERROR(VLOOKUP(S4,'תעריפי 2016 לכללים'!$B:$F,4,0),VLOOKUP(S3,'תעריפי 2016 לכללים'!$B:$F,4,0))</f>
        <v>5.0384660289409542</v>
      </c>
      <c r="T131" s="1068">
        <f>+IFERROR(VLOOKUP(T4,'תעריפי 2016 לכללים'!$B:$F,4,0),VLOOKUP(T3,'תעריפי 2016 לכללים'!$B:$F,4,0))</f>
        <v>4.944632908806379</v>
      </c>
      <c r="U131" s="1068">
        <f>+IFERROR(VLOOKUP(U4,'תעריפי 2016 לכללים'!$B:$F,4,0),VLOOKUP(U3,'תעריפי 2016 לכללים'!$B:$F,4,0))</f>
        <v>5.2205225832986226</v>
      </c>
      <c r="V131" s="1068">
        <f>+IFERROR(VLOOKUP(V4,'תעריפי 2016 לכללים'!$B:$F,4,0),VLOOKUP(V3,'תעריפי 2016 לכללים'!$B:$F,4,0))</f>
        <v>4.9291489727605189</v>
      </c>
      <c r="W131" s="1068">
        <f>+IFERROR(VLOOKUP(W4,'תעריפי 2016 לכללים'!$B:$F,4,0),VLOOKUP(W3,'תעריפי 2016 לכללים'!$B:$F,4,0))</f>
        <v>0.55000000000000004</v>
      </c>
      <c r="X131" s="1068">
        <f>+IFERROR(VLOOKUP(X4,'תעריפי 2016 לכללים'!$B:$F,4,0),VLOOKUP(X3,'תעריפי 2016 לכללים'!$B:$F,4,0))</f>
        <v>4.6453034792377856</v>
      </c>
      <c r="Y131" s="1068">
        <f>+IFERROR(VLOOKUP(Y4,'תעריפי 2016 לכללים'!$B:$F,4,0),VLOOKUP(Y3,'תעריפי 2016 לכללים'!$B:$F,4,0))</f>
        <v>5.7221549566178451</v>
      </c>
      <c r="Z131" s="1068">
        <f>+IFERROR(VLOOKUP(Z4,'תעריפי 2016 לכללים'!$B:$F,4,0),VLOOKUP(Z3,'תעריפי 2016 לכללים'!$B:$F,4,0))</f>
        <v>2.3864483034267376</v>
      </c>
      <c r="AA131" s="1068">
        <f>+IFERROR(VLOOKUP(AA4,'תעריפי 2016 לכללים'!$B:$F,4,0),VLOOKUP(AA3,'תעריפי 2016 לכללים'!$B:$F,4,0))</f>
        <v>4.480894781895767</v>
      </c>
      <c r="AB131" s="1068">
        <f>+IFERROR(VLOOKUP(AB4,'תעריפי 2016 לכללים'!$B:$F,4,0),VLOOKUP(AB3,'תעריפי 2016 לכללים'!$B:$F,4,0))</f>
        <v>5.1629900161360185</v>
      </c>
      <c r="AC131" s="1068">
        <f>+IFERROR(VLOOKUP(AC4,'תעריפי 2016 לכללים'!$B:$F,4,0),VLOOKUP(AC3,'תעריפי 2016 לכללים'!$B:$F,4,0))</f>
        <v>4.8340763499168355</v>
      </c>
      <c r="AD131" s="1068">
        <f>+IFERROR(VLOOKUP(AD4,'תעריפי 2016 לכללים'!$B:$F,4,0),VLOOKUP(AD3,'תעריפי 2016 לכללים'!$B:$F,4,0))</f>
        <v>5.5475740269836429</v>
      </c>
      <c r="AE131" s="1068">
        <f>+IFERROR(VLOOKUP(AE4,'תעריפי 2016 לכללים'!$B:$F,4,0),VLOOKUP(AE3,'תעריפי 2016 לכללים'!$B:$F,4,0))</f>
        <v>4.5249799561132535</v>
      </c>
      <c r="AF131" s="1068">
        <f>+IFERROR(VLOOKUP(AF4,'תעריפי 2016 לכללים'!$B:$F,4,0),VLOOKUP(AF3,'תעריפי 2016 לכללים'!$B:$F,4,0))</f>
        <v>3.4059734801062631</v>
      </c>
      <c r="AG131" s="1068">
        <f>+IFERROR(VLOOKUP(AG4,'תעריפי 2016 לכללים'!$B:$F,4,0),VLOOKUP(AG3,'תעריפי 2016 לכללים'!$B:$F,4,0))</f>
        <v>4.9600214846248134</v>
      </c>
      <c r="AH131" s="1068">
        <f>+IFERROR(VLOOKUP(AH4,'תעריפי 2016 לכללים'!$B:$F,4,0),VLOOKUP(AH3,'תעריפי 2016 לכללים'!$B:$F,4,0))</f>
        <v>4.566614890854531</v>
      </c>
      <c r="AI131" s="1068">
        <f>+IFERROR(VLOOKUP(AI4,'תעריפי 2016 לכללים'!$B:$F,4,0),VLOOKUP(AI3,'תעריפי 2016 לכללים'!$B:$F,4,0))</f>
        <v>3.8624092249674709</v>
      </c>
      <c r="AJ131" s="1068">
        <f>+IFERROR(VLOOKUP(AJ4,'תעריפי 2016 לכללים'!$B:$F,4,0),VLOOKUP(AJ3,'תעריפי 2016 לכללים'!$B:$F,4,0))</f>
        <v>4.6390469562789853</v>
      </c>
      <c r="AK131" s="1068">
        <f>+IFERROR(VLOOKUP(AK4,'תעריפי 2016 לכללים'!$B:$F,4,0),VLOOKUP(AK3,'תעריפי 2016 לכללים'!$B:$F,4,0))</f>
        <v>4.2370416632174779</v>
      </c>
      <c r="AL131" s="1068">
        <f>+IFERROR(VLOOKUP(AL4,'תעריפי 2016 לכללים'!$B:$F,4,0),VLOOKUP(AL3,'תעריפי 2016 לכללים'!$B:$F,4,0))</f>
        <v>5.332113937267283</v>
      </c>
      <c r="AM131" s="1068">
        <f>+IFERROR(VLOOKUP(AM4,'תעריפי 2016 לכללים'!$B:$F,4,0),VLOOKUP(AM3,'תעריפי 2016 לכללים'!$B:$F,4,0))</f>
        <v>4.9144376604851479</v>
      </c>
      <c r="AN131" s="1068">
        <f>+IFERROR(VLOOKUP(AN4,'תעריפי 2016 לכללים'!$B:$F,4,0),VLOOKUP(AN3,'תעריפי 2016 לכללים'!$B:$F,4,0))</f>
        <v>4.9617156958434254</v>
      </c>
      <c r="AO131" s="1068">
        <f>+IFERROR(VLOOKUP(AO4,'תעריפי 2016 לכללים'!$B:$F,4,0),VLOOKUP(AO3,'תעריפי 2016 לכללים'!$B:$F,4,0))</f>
        <v>4.8858499780902722</v>
      </c>
      <c r="AP131" s="1068">
        <f>+IFERROR(VLOOKUP(AP4,'תעריפי 2016 לכללים'!$B:$F,4,0),VLOOKUP(AP3,'תעריפי 2016 לכללים'!$B:$F,4,0))</f>
        <v>4.7638787857872211</v>
      </c>
      <c r="AQ131" s="1068">
        <f>+IFERROR(VLOOKUP(AQ4,'תעריפי 2016 לכללים'!$B:$F,4,0),VLOOKUP(AQ3,'תעריפי 2016 לכללים'!$B:$F,4,0))</f>
        <v>5.0391230520283301</v>
      </c>
      <c r="AR131" s="1068">
        <f>+IFERROR(VLOOKUP(AR4,'תעריפי 2016 לכללים'!$B:$F,4,0),VLOOKUP(AR3,'תעריפי 2016 לכללים'!$B:$F,4,0))</f>
        <v>4.8222354183549747</v>
      </c>
      <c r="AS131" s="1068">
        <f>+IFERROR(VLOOKUP(AS4,'תעריפי 2016 לכללים'!$B:$F,4,0),VLOOKUP(AS3,'תעריפי 2016 לכללים'!$B:$F,4,0))</f>
        <v>1.8049561414465976</v>
      </c>
      <c r="AT131" s="1068">
        <f>+IFERROR(VLOOKUP(AT4,'תעריפי 2016 לכללים'!$B:$F,4,0),VLOOKUP(AT3,'תעריפי 2016 לכללים'!$B:$F,4,0))</f>
        <v>2.9714391288726079</v>
      </c>
      <c r="AU131" s="1068">
        <f>+IFERROR(VLOOKUP(AU4,'תעריפי 2016 לכללים'!$B:$F,4,0),VLOOKUP(AU3,'תעריפי 2016 לכללים'!$B:$F,4,0))</f>
        <v>4.7077834539718095</v>
      </c>
      <c r="AV131" s="1068">
        <f>+IFERROR(VLOOKUP(AV4,'תעריפי 2016 לכללים'!$B:$F,4,0),VLOOKUP(AV3,'תעריפי 2016 לכללים'!$B:$F,4,0))</f>
        <v>4.8990132872360226</v>
      </c>
      <c r="AW131" s="1068">
        <f>+IFERROR(VLOOKUP(AW4,'תעריפי 2016 לכללים'!$B:$F,4,0),VLOOKUP(AW3,'תעריפי 2016 לכללים'!$B:$F,4,0))</f>
        <v>2.5535013527571495</v>
      </c>
      <c r="AX131" s="1068">
        <f>+IFERROR(VLOOKUP(AX4,'תעריפי 2016 לכללים'!$B:$F,4,0),VLOOKUP(AX3,'תעריפי 2016 לכללים'!$B:$F,4,0))</f>
        <v>2.6968639745798972</v>
      </c>
      <c r="AY131" s="1068">
        <f>+IFERROR(VLOOKUP(AY4,'תעריפי 2016 לכללים'!$B:$F,4,0),VLOOKUP(AY3,'תעריפי 2016 לכללים'!$B:$F,4,0))</f>
        <v>5.7615439236517947</v>
      </c>
      <c r="AZ131" s="1068">
        <f>+IFERROR(VLOOKUP(AZ4,'תעריפי 2016 לכללים'!$B:$F,4,0),VLOOKUP(AZ3,'תעריפי 2016 לכללים'!$B:$F,4,0))</f>
        <v>3.4167931372182521</v>
      </c>
      <c r="BA131" s="1068">
        <f>+IFERROR(VLOOKUP(BA4,'תעריפי 2016 לכללים'!$B:$F,4,0),VLOOKUP(BA3,'תעריפי 2016 לכללים'!$B:$F,4,0))</f>
        <v>4.1465122441343532</v>
      </c>
      <c r="BB131" s="1068">
        <f>+IFERROR(VLOOKUP(BB4,'תעריפי 2016 לכללים'!$B:$F,4,0),VLOOKUP(BB3,'תעריפי 2016 לכללים'!$B:$F,4,0))</f>
        <v>5.0412861996658469</v>
      </c>
      <c r="BC131" s="1068">
        <f>+IFERROR(VLOOKUP(BC4,'תעריפי 2016 לכללים'!$B:$F,4,0),VLOOKUP(BC3,'תעריפי 2016 לכללים'!$B:$F,4,0))</f>
        <v>4.5681530037266702</v>
      </c>
      <c r="BD131" s="1068">
        <f>+IFERROR(VLOOKUP(BD4,'תעריפי 2016 לכללים'!$B:$F,4,0),VLOOKUP(BD3,'תעריפי 2016 לכללים'!$B:$F,4,0))</f>
        <v>0.7190506699868533</v>
      </c>
      <c r="BE131" s="1068">
        <f>+IFERROR(VLOOKUP(BE4,'תעריפי 2016 לכללים'!$B:$F,4,0),VLOOKUP(BE3,'תעריפי 2016 לכללים'!$B:$F,4,0))</f>
        <v>3.1079975289172661</v>
      </c>
      <c r="BF131" s="1068">
        <f>+IFERROR(VLOOKUP(BF4,'תעריפי 2016 לכללים'!$B:$F,4,0),VLOOKUP(BF3,'תעריפי 2016 לכללים'!$B:$F,4,0))</f>
        <v>4.4081020477591419</v>
      </c>
    </row>
    <row r="132" spans="3:58" ht="40.5" customHeight="1" x14ac:dyDescent="0.2">
      <c r="C132" s="1545" t="s">
        <v>957</v>
      </c>
      <c r="D132" s="1068">
        <f>+IFERROR(VLOOKUP(D4,'תעריפי 2016 לכללים'!$B:$F,5,0),VLOOKUP(D3,'תעריפי 2016 לכללים'!$B:$F,5,0))</f>
        <v>3.6443403299779744</v>
      </c>
      <c r="E132" s="1068">
        <f>+IFERROR(VLOOKUP(E4,'תעריפי 2016 לכללים'!$B:$F,5,0),VLOOKUP(E3,'תעריפי 2016 לכללים'!$B:$F,5,0))</f>
        <v>3.2533424438754586</v>
      </c>
      <c r="F132" s="1068">
        <f>+IFERROR(VLOOKUP(F4,'תעריפי 2016 לכללים'!$B:$F,5,0),VLOOKUP(F3,'תעריפי 2016 לכללים'!$B:$F,5,0))</f>
        <v>2.6655594017591997</v>
      </c>
      <c r="G132" s="1068">
        <f>+IFERROR(VLOOKUP(G4,'תעריפי 2016 לכללים'!$B:$F,5,0),VLOOKUP(G3,'תעריפי 2016 לכללים'!$B:$F,5,0))</f>
        <v>3.5598689178437413</v>
      </c>
      <c r="H132" s="1068">
        <f>+IFERROR(VLOOKUP(H4,'תעריפי 2016 לכללים'!$B:$F,5,0),VLOOKUP(H3,'תעריפי 2016 לכללים'!$B:$F,5,0))</f>
        <v>4.1095868214780644</v>
      </c>
      <c r="I132" s="1068">
        <f>+IFERROR(VLOOKUP(I4,'תעריפי 2016 לכללים'!$B:$F,5,0),VLOOKUP(I3,'תעריפי 2016 לכללים'!$B:$F,5,0))</f>
        <v>3.1003699091364085</v>
      </c>
      <c r="J132" s="1068">
        <f>+IFERROR(VLOOKUP(J4,'תעריפי 2016 לכללים'!$B:$F,5,0),VLOOKUP(J3,'תעריפי 2016 לכללים'!$B:$F,5,0))</f>
        <v>2.7589385359569873</v>
      </c>
      <c r="K132" s="1068">
        <f>+IFERROR(VLOOKUP(K4,'תעריפי 2016 לכללים'!$B:$F,5,0),VLOOKUP(K3,'תעריפי 2016 לכללים'!$B:$F,5,0))</f>
        <v>4.0511807253408758</v>
      </c>
      <c r="L132" s="1068">
        <f>+IFERROR(VLOOKUP(L4,'תעריפי 2016 לכללים'!$B:$F,5,0),VLOOKUP(L3,'תעריפי 2016 לכללים'!$B:$F,5,0))</f>
        <v>3.7445668829819891</v>
      </c>
      <c r="M132" s="1068">
        <f>+IFERROR(VLOOKUP(M4,'תעריפי 2016 לכללים'!$B:$F,5,0),VLOOKUP(M3,'תעריפי 2016 לכללים'!$B:$F,5,0))</f>
        <v>3.7357978619999104</v>
      </c>
      <c r="N132" s="1068">
        <f>+IFERROR(VLOOKUP(N4,'תעריפי 2016 לכללים'!$B:$F,5,0),VLOOKUP(N3,'תעריפי 2016 לכללים'!$B:$F,5,0))</f>
        <v>4.0103386389569415</v>
      </c>
      <c r="O132" s="1068">
        <f>+IFERROR(VLOOKUP(O4,'תעריפי 2016 לכללים'!$B:$F,5,0),VLOOKUP(O3,'תעריפי 2016 לכללים'!$B:$F,5,0))</f>
        <v>3.2838871096109923</v>
      </c>
      <c r="P132" s="1068">
        <f>+IFERROR(VLOOKUP(P4,'תעריפי 2016 לכללים'!$B:$F,5,0),VLOOKUP(P3,'תעריפי 2016 לכללים'!$B:$F,5,0))</f>
        <v>3.873790378644645</v>
      </c>
      <c r="Q132" s="1068">
        <f>+IFERROR(VLOOKUP(Q4,'תעריפי 2016 לכללים'!$B:$F,5,0),VLOOKUP(Q3,'תעריפי 2016 לכללים'!$B:$F,5,0))</f>
        <v>2.0260477250388411</v>
      </c>
      <c r="R132" s="1068">
        <f>+IFERROR(VLOOKUP(R4,'תעריפי 2016 לכללים'!$B:$F,5,0),VLOOKUP(R3,'תעריפי 2016 לכללים'!$B:$F,5,0))</f>
        <v>3.789590412818737</v>
      </c>
      <c r="S132" s="1068">
        <f>+IFERROR(VLOOKUP(S4,'תעריפי 2016 לכללים'!$B:$F,5,0),VLOOKUP(S3,'תעריפי 2016 לכללים'!$B:$F,5,0))</f>
        <v>4.04775394559951</v>
      </c>
      <c r="T132" s="1068">
        <f>+IFERROR(VLOOKUP(T4,'תעריפי 2016 לכללים'!$B:$F,5,0),VLOOKUP(T3,'תעריפי 2016 לכללים'!$B:$F,5,0))</f>
        <v>3.8830136579610688</v>
      </c>
      <c r="U132" s="1068">
        <f>+IFERROR(VLOOKUP(U4,'תעריפי 2016 לכללים'!$B:$F,5,0),VLOOKUP(U3,'תעריפי 2016 לכללים'!$B:$F,5,0))</f>
        <v>3.3527239565065083</v>
      </c>
      <c r="V132" s="1068">
        <f>+IFERROR(VLOOKUP(V4,'תעריפי 2016 לכללים'!$B:$F,5,0),VLOOKUP(V3,'תעריפי 2016 לכללים'!$B:$F,5,0))</f>
        <v>4.025549172829936</v>
      </c>
      <c r="W132" s="1068">
        <f>+IFERROR(VLOOKUP(W4,'תעריפי 2016 לכללים'!$B:$F,5,0),VLOOKUP(W3,'תעריפי 2016 לכללים'!$B:$F,5,0))</f>
        <v>2.5441200376616875</v>
      </c>
      <c r="X132" s="1068">
        <f>+IFERROR(VLOOKUP(X4,'תעריפי 2016 לכללים'!$B:$F,5,0),VLOOKUP(X3,'תעריפי 2016 לכללים'!$B:$F,5,0))</f>
        <v>3.2182501096862417</v>
      </c>
      <c r="Y132" s="1068">
        <f>+IFERROR(VLOOKUP(Y4,'תעריפי 2016 לכללים'!$B:$F,5,0),VLOOKUP(Y3,'תעריפי 2016 לכללים'!$B:$F,5,0))</f>
        <v>3.5719258427278757</v>
      </c>
      <c r="Z132" s="1068">
        <f>+IFERROR(VLOOKUP(Z4,'תעריפי 2016 לכללים'!$B:$F,5,0),VLOOKUP(Z3,'תעריפי 2016 לכללים'!$B:$F,5,0))</f>
        <v>3.5156717176103123</v>
      </c>
      <c r="AA132" s="1068">
        <f>+IFERROR(VLOOKUP(AA4,'תעריפי 2016 לכללים'!$B:$F,5,0),VLOOKUP(AA3,'תעריפי 2016 לכללים'!$B:$F,5,0))</f>
        <v>3.8076694815998566</v>
      </c>
      <c r="AB132" s="1068">
        <f>+IFERROR(VLOOKUP(AB4,'תעריפי 2016 לכללים'!$B:$F,5,0),VLOOKUP(AB3,'תעריפי 2016 לכללים'!$B:$F,5,0))</f>
        <v>3.701232946844573</v>
      </c>
      <c r="AC132" s="1068">
        <f>+IFERROR(VLOOKUP(AC4,'תעריפי 2016 לכללים'!$B:$F,5,0),VLOOKUP(AC3,'תעריפי 2016 לכללים'!$B:$F,5,0))</f>
        <v>3.5219607758120262</v>
      </c>
      <c r="AD132" s="1068">
        <f>+IFERROR(VLOOKUP(AD4,'תעריפי 2016 לכללים'!$B:$F,5,0),VLOOKUP(AD3,'תעריפי 2016 לכללים'!$B:$F,5,0))</f>
        <v>4.2010252526251675</v>
      </c>
      <c r="AE132" s="1068">
        <f>+IFERROR(VLOOKUP(AE4,'תעריפי 2016 לכללים'!$B:$F,5,0),VLOOKUP(AE3,'תעריפי 2016 לכללים'!$B:$F,5,0))</f>
        <v>3.5213328666101233</v>
      </c>
      <c r="AF132" s="1068">
        <f>+IFERROR(VLOOKUP(AF4,'תעריפי 2016 לכללים'!$B:$F,5,0),VLOOKUP(AF3,'תעריפי 2016 לכללים'!$B:$F,5,0))</f>
        <v>3.0650163455850099</v>
      </c>
      <c r="AG132" s="1068">
        <f>+IFERROR(VLOOKUP(AG4,'תעריפי 2016 לכללים'!$B:$F,5,0),VLOOKUP(AG3,'תעריפי 2016 לכללים'!$B:$F,5,0))</f>
        <v>3.4290718765826078</v>
      </c>
      <c r="AH132" s="1068">
        <f>+IFERROR(VLOOKUP(AH4,'תעריפי 2016 לכללים'!$B:$F,5,0),VLOOKUP(AH3,'תעריפי 2016 לכללים'!$B:$F,5,0))</f>
        <v>3.6197803619268734</v>
      </c>
      <c r="AI132" s="1068">
        <f>+IFERROR(VLOOKUP(AI4,'תעריפי 2016 לכללים'!$B:$F,5,0),VLOOKUP(AI3,'תעריפי 2016 לכללים'!$B:$F,5,0))</f>
        <v>3.2107194997288531</v>
      </c>
      <c r="AJ132" s="1068">
        <f>+IFERROR(VLOOKUP(AJ4,'תעריפי 2016 לכללים'!$B:$F,5,0),VLOOKUP(AJ3,'תעריפי 2016 לכללים'!$B:$F,5,0))</f>
        <v>3.8587245562697206</v>
      </c>
      <c r="AK132" s="1068">
        <f>+IFERROR(VLOOKUP(AK4,'תעריפי 2016 לכללים'!$B:$F,5,0),VLOOKUP(AK3,'תעריפי 2016 לכללים'!$B:$F,5,0))</f>
        <v>4.0939667537854936</v>
      </c>
      <c r="AL132" s="1068">
        <f>+IFERROR(VLOOKUP(AL4,'תעריפי 2016 לכללים'!$B:$F,5,0),VLOOKUP(AL3,'תעריפי 2016 לכללים'!$B:$F,5,0))</f>
        <v>4.1054769426728193</v>
      </c>
      <c r="AM132" s="1068">
        <f>+IFERROR(VLOOKUP(AM4,'תעריפי 2016 לכללים'!$B:$F,5,0),VLOOKUP(AM3,'תעריפי 2016 לכללים'!$B:$F,5,0))</f>
        <v>4.1711787425252957</v>
      </c>
      <c r="AN132" s="1068">
        <f>+IFERROR(VLOOKUP(AN4,'תעריפי 2016 לכללים'!$B:$F,5,0),VLOOKUP(AN3,'תעריפי 2016 לכללים'!$B:$F,5,0))</f>
        <v>3.6349849937132857</v>
      </c>
      <c r="AO132" s="1068">
        <f>+IFERROR(VLOOKUP(AO4,'תעריפי 2016 לכללים'!$B:$F,5,0),VLOOKUP(AO3,'תעריפי 2016 לכללים'!$B:$F,5,0))</f>
        <v>4.0908752876122776</v>
      </c>
      <c r="AP132" s="1068">
        <f>+IFERROR(VLOOKUP(AP4,'תעריפי 2016 לכללים'!$B:$F,5,0),VLOOKUP(AP3,'תעריפי 2016 לכללים'!$B:$F,5,0))</f>
        <v>3.8774221272444844</v>
      </c>
      <c r="AQ132" s="1068">
        <f>+IFERROR(VLOOKUP(AQ4,'תעריפי 2016 לכללים'!$B:$F,5,0),VLOOKUP(AQ3,'תעריפי 2016 לכללים'!$B:$F,5,0))</f>
        <v>4.0393095082611108</v>
      </c>
      <c r="AR132" s="1068">
        <f>+IFERROR(VLOOKUP(AR4,'תעריפי 2016 לכללים'!$B:$F,5,0),VLOOKUP(AR3,'תעריפי 2016 לכללים'!$B:$F,5,0))</f>
        <v>3.6361500284823061</v>
      </c>
      <c r="AS132" s="1068">
        <f>+IFERROR(VLOOKUP(AS4,'תעריפי 2016 לכללים'!$B:$F,5,0),VLOOKUP(AS3,'תעריפי 2016 לכללים'!$B:$F,5,0))</f>
        <v>2.8094067524644148</v>
      </c>
      <c r="AT132" s="1068">
        <f>+IFERROR(VLOOKUP(AT4,'תעריפי 2016 לכללים'!$B:$F,5,0),VLOOKUP(AT3,'תעריפי 2016 לכללים'!$B:$F,5,0))</f>
        <v>3.1295763293803387</v>
      </c>
      <c r="AU132" s="1068">
        <f>+IFERROR(VLOOKUP(AU4,'תעריפי 2016 לכללים'!$B:$F,5,0),VLOOKUP(AU3,'תעריפי 2016 לכללים'!$B:$F,5,0))</f>
        <v>3.928342107488294</v>
      </c>
      <c r="AV132" s="1068">
        <f>+IFERROR(VLOOKUP(AV4,'תעריפי 2016 לכללים'!$B:$F,5,0),VLOOKUP(AV3,'תעריפי 2016 לכללים'!$B:$F,5,0))</f>
        <v>4.0296794089843804</v>
      </c>
      <c r="AW132" s="1068">
        <f>+IFERROR(VLOOKUP(AW4,'תעריפי 2016 לכללים'!$B:$F,5,0),VLOOKUP(AW3,'תעריפי 2016 לכללים'!$B:$F,5,0))</f>
        <v>2.9052346258380535</v>
      </c>
      <c r="AX132" s="1068">
        <f>+IFERROR(VLOOKUP(AX4,'תעריפי 2016 לכללים'!$B:$F,5,0),VLOOKUP(AX3,'תעריפי 2016 לכללים'!$B:$F,5,0))</f>
        <v>3.0778928965812895</v>
      </c>
      <c r="AY132" s="1068">
        <f>+IFERROR(VLOOKUP(AY4,'תעריפי 2016 לכללים'!$B:$F,5,0),VLOOKUP(AY3,'תעריפי 2016 לכללים'!$B:$F,5,0))</f>
        <v>4.2033781003153603</v>
      </c>
      <c r="AZ132" s="1068">
        <f>+IFERROR(VLOOKUP(AZ4,'תעריפי 2016 לכללים'!$B:$F,5,0),VLOOKUP(AZ3,'תעריפי 2016 לכללים'!$B:$F,5,0))</f>
        <v>3.3244560620848818</v>
      </c>
      <c r="BA132" s="1068">
        <f>+IFERROR(VLOOKUP(BA4,'תעריפי 2016 לכללים'!$B:$F,5,0),VLOOKUP(BA3,'תעריפי 2016 לכללים'!$B:$F,5,0))</f>
        <v>3.4819997303609305</v>
      </c>
      <c r="BB132" s="1068">
        <f>+IFERROR(VLOOKUP(BB4,'תעריפי 2016 לכללים'!$B:$F,5,0),VLOOKUP(BB3,'תעריפי 2016 לכללים'!$B:$F,5,0))</f>
        <v>3.5603274724898299</v>
      </c>
      <c r="BC132" s="1068">
        <f>+IFERROR(VLOOKUP(BC4,'תעריפי 2016 לכללים'!$B:$F,5,0),VLOOKUP(BC3,'תעריפי 2016 לכללים'!$B:$F,5,0))</f>
        <v>3.5557467675499739</v>
      </c>
      <c r="BD132" s="1068">
        <f>+IFERROR(VLOOKUP(BD4,'תעריפי 2016 לכללים'!$B:$F,5,0),VLOOKUP(BD3,'תעריפי 2016 לכללים'!$B:$F,5,0))</f>
        <v>3.5253676672320302</v>
      </c>
      <c r="BE132" s="1068">
        <f>+IFERROR(VLOOKUP(BE4,'תעריפי 2016 לכללים'!$B:$F,5,0),VLOOKUP(BE3,'תעריפי 2016 לכללים'!$B:$F,5,0))</f>
        <v>2.6619434491735618</v>
      </c>
      <c r="BF132" s="1068">
        <f>+IFERROR(VLOOKUP(BF4,'תעריפי 2016 לכללים'!$B:$F,5,0),VLOOKUP(BF3,'תעריפי 2016 לכללים'!$B:$F,5,0))</f>
        <v>3.6218096604910044</v>
      </c>
    </row>
  </sheetData>
  <mergeCells count="6">
    <mergeCell ref="A99:A114"/>
    <mergeCell ref="A36:A53"/>
    <mergeCell ref="B37:B53"/>
    <mergeCell ref="A56:A76"/>
    <mergeCell ref="B57:B76"/>
    <mergeCell ref="A79:A95"/>
  </mergeCells>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L40"/>
  <sheetViews>
    <sheetView rightToLeft="1" workbookViewId="0">
      <selection activeCell="E13" sqref="E13"/>
    </sheetView>
  </sheetViews>
  <sheetFormatPr defaultRowHeight="12.75" x14ac:dyDescent="0.2"/>
  <cols>
    <col min="1" max="2" width="9.140625" style="1492"/>
    <col min="3" max="3" width="13.42578125" style="1492" customWidth="1"/>
    <col min="4" max="4" width="5.85546875" style="1492" customWidth="1"/>
    <col min="5" max="5" width="18.28515625" style="1492" customWidth="1"/>
    <col min="6" max="6" width="9.5703125" style="1492" customWidth="1"/>
    <col min="7" max="7" width="30.5703125" style="1492" customWidth="1"/>
    <col min="8" max="8" width="9.140625" style="1492"/>
    <col min="9" max="9" width="24.5703125" style="1492" customWidth="1"/>
    <col min="10" max="10" width="9" style="1492" customWidth="1"/>
    <col min="11" max="17" width="9.140625" style="1492" customWidth="1"/>
    <col min="18" max="16384" width="9.140625" style="1492"/>
  </cols>
  <sheetData>
    <row r="1" spans="1:9" ht="17.100000000000001" customHeight="1" x14ac:dyDescent="0.2">
      <c r="A1" s="1489"/>
      <c r="B1" s="1490"/>
      <c r="C1" s="1490"/>
      <c r="D1" s="1490"/>
      <c r="E1" s="1490"/>
      <c r="F1" s="1490"/>
      <c r="G1" s="1490"/>
      <c r="H1" s="1490"/>
      <c r="I1" s="1491"/>
    </row>
    <row r="2" spans="1:9" ht="17.100000000000001" customHeight="1" x14ac:dyDescent="0.3">
      <c r="A2" s="1493"/>
      <c r="B2" s="1494"/>
      <c r="C2" s="1494"/>
      <c r="D2" s="1494"/>
      <c r="E2" s="1494"/>
      <c r="F2" s="1495" t="str">
        <f>"תאגיד המים והביוב "</f>
        <v xml:space="preserve">תאגיד המים והביוב </v>
      </c>
      <c r="G2" s="1494"/>
      <c r="H2" s="1494"/>
      <c r="I2" s="1496"/>
    </row>
    <row r="3" spans="1:9" ht="17.100000000000001" customHeight="1" x14ac:dyDescent="0.3">
      <c r="A3" s="1493"/>
      <c r="B3" s="1494"/>
      <c r="C3" s="1494"/>
      <c r="D3" s="1494"/>
      <c r="E3" s="1494"/>
      <c r="F3" s="1497"/>
      <c r="G3" s="1494"/>
      <c r="H3" s="1494"/>
      <c r="I3" s="1496"/>
    </row>
    <row r="4" spans="1:9" ht="17.100000000000001" customHeight="1" x14ac:dyDescent="0.3">
      <c r="A4" s="1493"/>
      <c r="B4" s="1494"/>
      <c r="C4" s="1494"/>
      <c r="D4" s="1494"/>
      <c r="E4" s="1494"/>
      <c r="F4" s="1495" t="s">
        <v>2025</v>
      </c>
      <c r="G4" s="1494"/>
      <c r="H4" s="1494"/>
      <c r="I4" s="1496"/>
    </row>
    <row r="5" spans="1:9" ht="17.100000000000001" customHeight="1" thickBot="1" x14ac:dyDescent="0.3">
      <c r="A5" s="1498"/>
      <c r="B5" s="1499"/>
      <c r="C5" s="1499"/>
      <c r="D5" s="1499"/>
      <c r="E5" s="1499"/>
      <c r="F5" s="1500"/>
      <c r="G5" s="1499"/>
      <c r="H5" s="1499"/>
      <c r="I5" s="1501"/>
    </row>
    <row r="6" spans="1:9" ht="15.75" x14ac:dyDescent="0.25">
      <c r="A6" s="1502" t="s">
        <v>2026</v>
      </c>
      <c r="B6" s="1503"/>
      <c r="C6" s="1504"/>
      <c r="D6" s="1504"/>
      <c r="E6" s="1504"/>
      <c r="F6" s="1504"/>
      <c r="G6" s="1504"/>
      <c r="H6" s="1504"/>
      <c r="I6" s="1505"/>
    </row>
    <row r="7" spans="1:9" ht="15.75" x14ac:dyDescent="0.25">
      <c r="A7" s="1506"/>
      <c r="B7" s="1504"/>
      <c r="C7" s="1504"/>
      <c r="D7" s="1504"/>
      <c r="E7" s="1504"/>
      <c r="F7" s="1504"/>
      <c r="G7" s="1504"/>
      <c r="H7" s="1504"/>
      <c r="I7" s="1505"/>
    </row>
    <row r="8" spans="1:9" ht="15.75" x14ac:dyDescent="0.25">
      <c r="A8" s="1506"/>
      <c r="B8" s="1504"/>
      <c r="C8" s="1504"/>
      <c r="D8" s="1507"/>
      <c r="E8" s="1508"/>
      <c r="F8" s="1509"/>
      <c r="G8" s="1509"/>
      <c r="H8" s="1510"/>
      <c r="I8" s="1505"/>
    </row>
    <row r="9" spans="1:9" ht="15.75" x14ac:dyDescent="0.25">
      <c r="A9" s="1506"/>
      <c r="B9" s="1504"/>
      <c r="C9" s="1504"/>
      <c r="D9" s="1511"/>
      <c r="E9" s="1512" t="s">
        <v>556</v>
      </c>
      <c r="F9" s="1504"/>
      <c r="G9" s="1513"/>
      <c r="H9" s="1514"/>
      <c r="I9" s="1505"/>
    </row>
    <row r="10" spans="1:9" ht="15.75" x14ac:dyDescent="0.25">
      <c r="A10" s="1506"/>
      <c r="B10" s="1504"/>
      <c r="C10" s="1504"/>
      <c r="D10" s="1511"/>
      <c r="E10" s="1512"/>
      <c r="F10" s="1504"/>
      <c r="G10" s="1515"/>
      <c r="H10" s="1514"/>
      <c r="I10" s="1505"/>
    </row>
    <row r="11" spans="1:9" ht="15.75" x14ac:dyDescent="0.25">
      <c r="A11" s="1506"/>
      <c r="B11" s="1504"/>
      <c r="C11" s="1504"/>
      <c r="D11" s="1511"/>
      <c r="E11" s="1512" t="s">
        <v>2027</v>
      </c>
      <c r="F11" s="1504"/>
      <c r="G11" s="1513">
        <v>2016</v>
      </c>
      <c r="H11" s="1514"/>
      <c r="I11" s="1505"/>
    </row>
    <row r="12" spans="1:9" ht="15.75" x14ac:dyDescent="0.25">
      <c r="A12" s="1506"/>
      <c r="B12" s="1504"/>
      <c r="C12" s="1504"/>
      <c r="D12" s="1511"/>
      <c r="E12" s="1512"/>
      <c r="F12" s="1504"/>
      <c r="G12" s="1515"/>
      <c r="H12" s="1514"/>
      <c r="I12" s="1505"/>
    </row>
    <row r="13" spans="1:9" ht="15.75" x14ac:dyDescent="0.25">
      <c r="A13" s="1506"/>
      <c r="B13" s="1504"/>
      <c r="C13" s="1504"/>
      <c r="D13" s="1511"/>
      <c r="E13" s="1512" t="s">
        <v>2028</v>
      </c>
      <c r="F13" s="1504"/>
      <c r="G13" s="1513">
        <v>2015</v>
      </c>
      <c r="H13" s="1514"/>
      <c r="I13" s="1505"/>
    </row>
    <row r="14" spans="1:9" ht="15.75" x14ac:dyDescent="0.25">
      <c r="A14" s="1506"/>
      <c r="B14" s="1504"/>
      <c r="C14" s="1504"/>
      <c r="D14" s="1511"/>
      <c r="E14" s="1512"/>
      <c r="F14" s="1504"/>
      <c r="G14" s="1515"/>
      <c r="H14" s="1514"/>
      <c r="I14" s="1505"/>
    </row>
    <row r="15" spans="1:9" ht="15.75" x14ac:dyDescent="0.25">
      <c r="A15" s="1506"/>
      <c r="B15" s="1504"/>
      <c r="C15" s="1504"/>
      <c r="D15" s="1504"/>
      <c r="E15" s="1516" t="s">
        <v>2029</v>
      </c>
      <c r="F15" s="1517"/>
      <c r="G15" s="1513">
        <v>2014</v>
      </c>
      <c r="H15" s="1518"/>
      <c r="I15" s="1505"/>
    </row>
    <row r="16" spans="1:9" ht="16.5" thickBot="1" x14ac:dyDescent="0.3">
      <c r="A16" s="1519"/>
      <c r="B16" s="1520"/>
      <c r="C16" s="1520"/>
      <c r="D16" s="1520"/>
      <c r="E16" s="1520"/>
      <c r="F16" s="1520"/>
      <c r="G16" s="1520"/>
      <c r="H16" s="1520"/>
      <c r="I16" s="1521"/>
    </row>
    <row r="22" spans="5:5" x14ac:dyDescent="0.2">
      <c r="E22" s="1522"/>
    </row>
    <row r="23" spans="5:5" x14ac:dyDescent="0.2">
      <c r="E23" s="1523"/>
    </row>
    <row r="34" spans="11:12" x14ac:dyDescent="0.2">
      <c r="K34" s="1524"/>
      <c r="L34" s="1524"/>
    </row>
    <row r="36" spans="11:12" x14ac:dyDescent="0.2">
      <c r="K36" s="1524"/>
      <c r="L36" s="1524"/>
    </row>
    <row r="40" spans="11:12" x14ac:dyDescent="0.2">
      <c r="K40" s="1524"/>
      <c r="L40" s="1524"/>
    </row>
  </sheetData>
  <sheetProtection formatColumns="0" formatRows="0"/>
  <dataValidations count="1">
    <dataValidation type="textLength" operator="notBetween" allowBlank="1" showInputMessage="1" showErrorMessage="1" errorTitle="שגיאה בהקלדת התאריך" error="במידה והדוחות מתייחסים לשנה שלמה יש להכניס את השנה בלבד, במידה והדוחות מתיחסים לחלק מהשנה יש לרשום את השנה תוך סימון &quot;.&quot; בין הנתונים לדוגמה_x000a_ 01.05.2000" sqref="G11 G13">
      <formula1>5</formula1>
      <formula2>9</formula2>
    </dataValidation>
  </dataValidations>
  <hyperlinks>
    <hyperlink ref="A6" location="'תוכן עניינים'!A1" display="תוכן עניינים"/>
  </hyperlinks>
  <pageMargins left="0.75" right="0.75" top="1" bottom="1" header="0.5" footer="0.5"/>
  <pageSetup paperSize="9" orientation="landscape" blackAndWhite="1" verticalDpi="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15042" r:id="rId4" name="Drop Down 2">
              <controlPr defaultSize="0" autoLine="0" autoPict="0">
                <anchor moveWithCells="1">
                  <from>
                    <xdr:col>6</xdr:col>
                    <xdr:colOff>0</xdr:colOff>
                    <xdr:row>7</xdr:row>
                    <xdr:rowOff>190500</xdr:rowOff>
                  </from>
                  <to>
                    <xdr:col>6</xdr:col>
                    <xdr:colOff>2019300</xdr:colOff>
                    <xdr:row>9</xdr:row>
                    <xdr:rowOff>28575</xdr:rowOff>
                  </to>
                </anchor>
              </controlPr>
            </control>
          </mc:Choice>
        </mc:AlternateContent>
      </controls>
    </mc:Choice>
  </mc:AlternateContent>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גיליון1">
    <tabColor rgb="FFFF0000"/>
  </sheetPr>
  <dimension ref="A1:L273"/>
  <sheetViews>
    <sheetView rightToLeft="1" zoomScale="90" zoomScaleNormal="90" workbookViewId="0">
      <selection activeCell="G11" sqref="G11"/>
    </sheetView>
  </sheetViews>
  <sheetFormatPr defaultRowHeight="12.75" x14ac:dyDescent="0.2"/>
  <cols>
    <col min="1" max="1" width="9.140625" style="1488"/>
    <col min="2" max="2" width="40.42578125" style="1488" bestFit="1" customWidth="1"/>
    <col min="3" max="3" width="9.140625" style="1488"/>
    <col min="4" max="4" width="20.28515625" style="1488" customWidth="1"/>
    <col min="5" max="5" width="7.5703125" style="1488" customWidth="1"/>
    <col min="6" max="6" width="15.42578125" style="1488" customWidth="1"/>
    <col min="7" max="7" width="16.140625" style="1488" customWidth="1"/>
    <col min="8" max="8" width="1.5703125" style="1488" customWidth="1"/>
    <col min="9" max="9" width="14.85546875" style="1488" customWidth="1"/>
    <col min="10" max="10" width="19.85546875" style="1488" bestFit="1" customWidth="1"/>
    <col min="11" max="11" width="9.140625" style="1488"/>
    <col min="12" max="16384" width="9.140625" style="1398"/>
  </cols>
  <sheetData>
    <row r="1" spans="1:11" ht="29.25" customHeight="1" thickBot="1" x14ac:dyDescent="0.3">
      <c r="A1" s="1373" t="s">
        <v>1976</v>
      </c>
      <c r="B1" s="1373"/>
      <c r="C1" s="1396"/>
      <c r="D1" s="1396"/>
      <c r="E1" s="1396"/>
      <c r="F1" s="1396"/>
      <c r="G1" s="1396"/>
      <c r="H1" s="1396"/>
      <c r="I1" s="1396" t="s">
        <v>1977</v>
      </c>
      <c r="J1" s="1396"/>
      <c r="K1" s="1397"/>
    </row>
    <row r="2" spans="1:11" ht="15" x14ac:dyDescent="0.25">
      <c r="A2" s="1399"/>
      <c r="B2" s="1851"/>
      <c r="C2" s="1851"/>
      <c r="D2" s="1851"/>
      <c r="E2" s="1851"/>
      <c r="F2" s="1851"/>
      <c r="G2" s="1851"/>
      <c r="H2" s="1851"/>
      <c r="I2" s="1851"/>
      <c r="J2" s="1400"/>
      <c r="K2" s="1397"/>
    </row>
    <row r="3" spans="1:11" ht="15" x14ac:dyDescent="0.25">
      <c r="A3" s="1399"/>
      <c r="B3" s="1850"/>
      <c r="C3" s="1850"/>
      <c r="D3" s="1850"/>
      <c r="E3" s="1850"/>
      <c r="F3" s="1850"/>
      <c r="G3" s="1850"/>
      <c r="H3" s="1850"/>
      <c r="I3" s="1850"/>
      <c r="J3" s="1400"/>
      <c r="K3" s="1397"/>
    </row>
    <row r="4" spans="1:11" ht="15" x14ac:dyDescent="0.25">
      <c r="A4" s="1399"/>
      <c r="B4" s="1850"/>
      <c r="C4" s="1850"/>
      <c r="D4" s="1850"/>
      <c r="E4" s="1850"/>
      <c r="F4" s="1850"/>
      <c r="G4" s="1850"/>
      <c r="H4" s="1850"/>
      <c r="I4" s="1850"/>
      <c r="J4" s="1400"/>
      <c r="K4" s="1397"/>
    </row>
    <row r="5" spans="1:11" ht="15" x14ac:dyDescent="0.25">
      <c r="A5" s="1399"/>
      <c r="B5" s="1854" t="s">
        <v>1978</v>
      </c>
      <c r="C5" s="1854"/>
      <c r="D5" s="1854"/>
      <c r="E5" s="1854"/>
      <c r="F5" s="1854"/>
      <c r="G5" s="1854"/>
      <c r="H5" s="1854"/>
      <c r="I5" s="1854"/>
      <c r="J5" s="1400"/>
      <c r="K5" s="1397"/>
    </row>
    <row r="6" spans="1:11" ht="15.75" x14ac:dyDescent="0.25">
      <c r="A6" s="1401"/>
      <c r="B6" s="1402"/>
      <c r="C6" s="1400"/>
      <c r="D6" s="1400"/>
      <c r="E6" s="1400"/>
      <c r="F6" s="1400"/>
      <c r="G6" s="1853" t="s">
        <v>1979</v>
      </c>
      <c r="H6" s="1853"/>
      <c r="I6" s="1853"/>
      <c r="J6" s="1400"/>
      <c r="K6" s="1397"/>
    </row>
    <row r="7" spans="1:11" ht="15.75" x14ac:dyDescent="0.25">
      <c r="A7" s="1399"/>
      <c r="B7" s="1403"/>
      <c r="C7" s="1404"/>
      <c r="D7" s="1404"/>
      <c r="E7" s="1405" t="s">
        <v>1980</v>
      </c>
      <c r="F7" s="1405"/>
      <c r="G7" s="1406">
        <v>2016</v>
      </c>
      <c r="H7" s="1405"/>
      <c r="I7" s="1406">
        <v>2015</v>
      </c>
      <c r="J7" s="1406" t="s">
        <v>2060</v>
      </c>
      <c r="K7" s="1407"/>
    </row>
    <row r="8" spans="1:11" ht="15.75" x14ac:dyDescent="0.25">
      <c r="A8" s="1399"/>
      <c r="B8" s="1408"/>
      <c r="C8" s="1409"/>
      <c r="D8" s="1409"/>
      <c r="E8" s="1410"/>
      <c r="F8" s="1409"/>
      <c r="G8" s="1409"/>
      <c r="H8" s="1409"/>
      <c r="I8" s="1409"/>
      <c r="J8" s="1409"/>
      <c r="K8" s="1411"/>
    </row>
    <row r="9" spans="1:11" ht="15.75" x14ac:dyDescent="0.25">
      <c r="A9" s="1399"/>
      <c r="B9" s="1412" t="s">
        <v>1981</v>
      </c>
      <c r="C9" s="1413"/>
      <c r="D9" s="1409"/>
      <c r="E9" s="1410">
        <v>1</v>
      </c>
      <c r="F9" s="1414"/>
      <c r="G9" s="1566">
        <f>+'ביאור הכנסות'!$H$27</f>
        <v>0</v>
      </c>
      <c r="H9" s="1414"/>
      <c r="I9" s="1415"/>
      <c r="J9" s="1415"/>
      <c r="K9" s="1411"/>
    </row>
    <row r="10" spans="1:11" ht="15.75" x14ac:dyDescent="0.25">
      <c r="A10" s="1399"/>
      <c r="B10" s="1412" t="s">
        <v>1982</v>
      </c>
      <c r="C10" s="1413"/>
      <c r="D10" s="1409"/>
      <c r="E10" s="1410">
        <v>2</v>
      </c>
      <c r="F10" s="1414"/>
      <c r="G10" s="1566">
        <f>+'ביאור הכנסות'!$K$27</f>
        <v>0</v>
      </c>
      <c r="H10" s="1414"/>
      <c r="I10" s="1415"/>
      <c r="J10" s="1415"/>
      <c r="K10" s="1411"/>
    </row>
    <row r="11" spans="1:11" ht="15.75" x14ac:dyDescent="0.25">
      <c r="A11" s="1399"/>
      <c r="B11" s="1412" t="s">
        <v>1983</v>
      </c>
      <c r="C11" s="1413"/>
      <c r="D11" s="1409"/>
      <c r="E11" s="1410">
        <v>3</v>
      </c>
      <c r="F11" s="1414"/>
      <c r="G11" s="1566">
        <f>+G56</f>
        <v>0</v>
      </c>
      <c r="H11" s="1414"/>
      <c r="I11" s="1415"/>
      <c r="J11" s="1415"/>
      <c r="K11" s="1411"/>
    </row>
    <row r="12" spans="1:11" ht="15.75" x14ac:dyDescent="0.25">
      <c r="A12" s="1399"/>
      <c r="B12" s="1412" t="s">
        <v>2059</v>
      </c>
      <c r="C12" s="1413"/>
      <c r="D12" s="1409"/>
      <c r="E12" s="1410" t="s">
        <v>1984</v>
      </c>
      <c r="F12" s="1414"/>
      <c r="G12" s="1566">
        <f>+VLOOKUP(B12,'עלויות תפעול מול הנורמה לתאגיד'!$C$346:$K$362,9,0)</f>
        <v>0</v>
      </c>
      <c r="H12" s="1414"/>
      <c r="I12" s="1415"/>
      <c r="J12" s="1415"/>
      <c r="K12" s="1411"/>
    </row>
    <row r="13" spans="1:11" ht="15.75" x14ac:dyDescent="0.25">
      <c r="A13" s="1399"/>
      <c r="B13" s="1412" t="s">
        <v>1820</v>
      </c>
      <c r="C13" s="1413"/>
      <c r="D13" s="1409"/>
      <c r="E13" s="1410" t="s">
        <v>1984</v>
      </c>
      <c r="F13" s="1414"/>
      <c r="G13" s="1566">
        <f>+VLOOKUP(B13,'עלויות תפעול מול הנורמה לתאגיד'!$C$346:$K$364,9,0)</f>
        <v>0</v>
      </c>
      <c r="H13" s="1414"/>
      <c r="I13" s="1415"/>
      <c r="J13" s="1415"/>
      <c r="K13" s="1411"/>
    </row>
    <row r="14" spans="1:11" ht="15.75" x14ac:dyDescent="0.25">
      <c r="A14" s="1399"/>
      <c r="B14" s="1412" t="s">
        <v>2030</v>
      </c>
      <c r="C14" s="1413"/>
      <c r="D14" s="1409"/>
      <c r="E14" s="1410">
        <v>4</v>
      </c>
      <c r="F14" s="1414"/>
      <c r="G14" s="1566">
        <f>+G80</f>
        <v>0</v>
      </c>
      <c r="H14" s="1414"/>
      <c r="I14" s="1415"/>
      <c r="J14" s="1415"/>
      <c r="K14" s="1411"/>
    </row>
    <row r="15" spans="1:11" ht="15.75" x14ac:dyDescent="0.25">
      <c r="A15" s="1399"/>
      <c r="B15" s="1412" t="s">
        <v>1986</v>
      </c>
      <c r="C15" s="1413"/>
      <c r="D15" s="1409"/>
      <c r="E15" s="1410"/>
      <c r="F15" s="1414"/>
      <c r="G15" s="1416">
        <f>G9-G10-G11-G12-G13-G14</f>
        <v>0</v>
      </c>
      <c r="H15" s="1416">
        <f t="shared" ref="H15:J15" si="0">H9-H10-H11-H12-H13-H14</f>
        <v>0</v>
      </c>
      <c r="I15" s="1416">
        <f t="shared" si="0"/>
        <v>0</v>
      </c>
      <c r="J15" s="1416">
        <f t="shared" si="0"/>
        <v>0</v>
      </c>
      <c r="K15" s="1417"/>
    </row>
    <row r="16" spans="1:11" ht="15.75" x14ac:dyDescent="0.25">
      <c r="A16" s="1399"/>
      <c r="B16" s="1412"/>
      <c r="C16" s="1413"/>
      <c r="D16" s="1409"/>
      <c r="E16" s="1410"/>
      <c r="F16" s="1414"/>
      <c r="G16" s="1414"/>
      <c r="H16" s="1414"/>
      <c r="I16" s="1414"/>
      <c r="J16" s="1414"/>
      <c r="K16" s="1417"/>
    </row>
    <row r="17" spans="1:11" ht="15.75" x14ac:dyDescent="0.25">
      <c r="A17" s="1399"/>
      <c r="B17" s="1412" t="s">
        <v>1848</v>
      </c>
      <c r="C17" s="1413"/>
      <c r="D17" s="1409"/>
      <c r="E17" s="1410" t="s">
        <v>1984</v>
      </c>
      <c r="F17" s="1414"/>
      <c r="G17" s="1566">
        <f>+VLOOKUP(B17,'עלויות תפעול מול הנורמה לתאגיד'!$C$345:$K$362,9,0)</f>
        <v>0</v>
      </c>
      <c r="H17" s="1414"/>
      <c r="I17" s="1415"/>
      <c r="J17" s="1415"/>
      <c r="K17" s="1417"/>
    </row>
    <row r="18" spans="1:11" ht="15.75" x14ac:dyDescent="0.25">
      <c r="A18" s="1399"/>
      <c r="B18" s="1412" t="s">
        <v>1932</v>
      </c>
      <c r="C18" s="1413"/>
      <c r="D18" s="1409"/>
      <c r="E18" s="1410" t="s">
        <v>1984</v>
      </c>
      <c r="F18" s="1414"/>
      <c r="G18" s="1566">
        <f>+VLOOKUP(B18,'עלויות תפעול מול הנורמה לתאגיד'!$C$345:$K$362,9,0)</f>
        <v>0</v>
      </c>
      <c r="H18" s="1414"/>
      <c r="I18" s="1415"/>
      <c r="J18" s="1415"/>
      <c r="K18" s="1411"/>
    </row>
    <row r="19" spans="1:11" ht="15.75" x14ac:dyDescent="0.25">
      <c r="A19" s="1399"/>
      <c r="B19" s="1412" t="s">
        <v>1987</v>
      </c>
      <c r="C19" s="1413"/>
      <c r="D19" s="1409"/>
      <c r="E19" s="1410"/>
      <c r="F19" s="1409"/>
      <c r="G19" s="1416">
        <f>G15-G17-G18</f>
        <v>0</v>
      </c>
      <c r="H19" s="1414"/>
      <c r="I19" s="1416">
        <f t="shared" ref="I19:J19" si="1">I15-I17-I18</f>
        <v>0</v>
      </c>
      <c r="J19" s="1416">
        <f t="shared" si="1"/>
        <v>0</v>
      </c>
      <c r="K19" s="1417"/>
    </row>
    <row r="20" spans="1:11" ht="15.75" x14ac:dyDescent="0.25">
      <c r="A20" s="1399"/>
      <c r="B20" s="1412"/>
      <c r="C20" s="1413"/>
      <c r="D20" s="1409"/>
      <c r="E20" s="1410"/>
      <c r="F20" s="1409"/>
      <c r="G20" s="1409"/>
      <c r="H20" s="1409"/>
      <c r="I20" s="1409"/>
      <c r="J20" s="1409"/>
      <c r="K20" s="1417"/>
    </row>
    <row r="21" spans="1:11" ht="15.75" x14ac:dyDescent="0.25">
      <c r="A21" s="1399"/>
      <c r="B21" s="1412" t="s">
        <v>1988</v>
      </c>
      <c r="C21" s="1413"/>
      <c r="D21" s="1409"/>
      <c r="E21" s="1410">
        <v>5</v>
      </c>
      <c r="F21" s="1414"/>
      <c r="G21" s="1418">
        <f>G92</f>
        <v>0</v>
      </c>
      <c r="H21" s="1419"/>
      <c r="I21" s="1418"/>
      <c r="J21" s="1418"/>
      <c r="K21" s="1411"/>
    </row>
    <row r="22" spans="1:11" ht="15.75" x14ac:dyDescent="0.25">
      <c r="A22" s="1399"/>
      <c r="B22" s="1412" t="s">
        <v>1989</v>
      </c>
      <c r="C22" s="1413"/>
      <c r="D22" s="1409"/>
      <c r="E22" s="1410"/>
      <c r="F22" s="1414"/>
      <c r="G22" s="1420">
        <f>G19+G21</f>
        <v>0</v>
      </c>
      <c r="H22" s="1414"/>
      <c r="I22" s="1420">
        <f>I19+I21</f>
        <v>0</v>
      </c>
      <c r="J22" s="1420"/>
      <c r="K22" s="1417"/>
    </row>
    <row r="23" spans="1:11" ht="15.75" x14ac:dyDescent="0.25">
      <c r="A23" s="1399"/>
      <c r="B23" s="1412"/>
      <c r="C23" s="1413"/>
      <c r="D23" s="1409"/>
      <c r="E23" s="1410"/>
      <c r="F23" s="1409"/>
      <c r="G23" s="1409"/>
      <c r="H23" s="1414"/>
      <c r="I23" s="1409"/>
      <c r="J23" s="1409"/>
      <c r="K23" s="1417"/>
    </row>
    <row r="24" spans="1:11" ht="15.75" x14ac:dyDescent="0.25">
      <c r="A24" s="1399"/>
      <c r="B24" s="1412" t="s">
        <v>1990</v>
      </c>
      <c r="C24" s="1413"/>
      <c r="D24" s="1409"/>
      <c r="E24" s="1410">
        <v>4</v>
      </c>
      <c r="F24" s="1414"/>
      <c r="G24" s="1415"/>
      <c r="H24" s="1414"/>
      <c r="I24" s="1415"/>
      <c r="J24" s="1415"/>
      <c r="K24" s="1411"/>
    </row>
    <row r="25" spans="1:11" ht="15.75" x14ac:dyDescent="0.25">
      <c r="A25" s="1399"/>
      <c r="B25" s="1412" t="s">
        <v>1991</v>
      </c>
      <c r="C25" s="1413"/>
      <c r="D25" s="1409"/>
      <c r="E25" s="1410"/>
      <c r="F25" s="1409"/>
      <c r="G25" s="1416">
        <f>G22+G24</f>
        <v>0</v>
      </c>
      <c r="H25" s="1414"/>
      <c r="I25" s="1416">
        <f>I22+I24</f>
        <v>0</v>
      </c>
      <c r="J25" s="1416"/>
      <c r="K25" s="1417"/>
    </row>
    <row r="26" spans="1:11" ht="15.75" x14ac:dyDescent="0.25">
      <c r="A26" s="1399"/>
      <c r="B26" s="1412"/>
      <c r="C26" s="1413"/>
      <c r="D26" s="1409"/>
      <c r="E26" s="1410"/>
      <c r="F26" s="1409"/>
      <c r="G26" s="1409"/>
      <c r="H26" s="1409"/>
      <c r="I26" s="1409"/>
      <c r="J26" s="1409"/>
      <c r="K26" s="1417"/>
    </row>
    <row r="27" spans="1:11" ht="15.75" x14ac:dyDescent="0.25">
      <c r="A27" s="1399"/>
      <c r="B27" s="1412" t="s">
        <v>1992</v>
      </c>
      <c r="C27" s="1413"/>
      <c r="D27" s="1409"/>
      <c r="E27" s="1410"/>
      <c r="F27" s="1414"/>
      <c r="G27" s="1421"/>
      <c r="H27" s="1414"/>
      <c r="I27" s="1421"/>
      <c r="J27" s="1421"/>
      <c r="K27" s="1411"/>
    </row>
    <row r="28" spans="1:11" ht="15.75" x14ac:dyDescent="0.25">
      <c r="A28" s="1399"/>
      <c r="B28" s="1412"/>
      <c r="C28" s="1413"/>
      <c r="D28" s="1409"/>
      <c r="E28" s="1409"/>
      <c r="F28" s="1409"/>
      <c r="G28" s="1566"/>
      <c r="H28" s="1414"/>
      <c r="I28" s="1415"/>
      <c r="J28" s="1415"/>
      <c r="K28" s="1417"/>
    </row>
    <row r="29" spans="1:11" ht="16.5" thickBot="1" x14ac:dyDescent="0.3">
      <c r="A29" s="1399"/>
      <c r="B29" s="1422" t="s">
        <v>1993</v>
      </c>
      <c r="C29" s="1413"/>
      <c r="D29" s="1409"/>
      <c r="E29" s="1409"/>
      <c r="F29" s="1409"/>
      <c r="G29" s="1423">
        <f>G28+G27+G25</f>
        <v>0</v>
      </c>
      <c r="H29" s="1424"/>
      <c r="I29" s="1423">
        <f>I28+I25+I27</f>
        <v>0</v>
      </c>
      <c r="J29" s="1423"/>
      <c r="K29" s="1417"/>
    </row>
    <row r="30" spans="1:11" ht="16.5" thickTop="1" x14ac:dyDescent="0.25">
      <c r="A30" s="1399"/>
      <c r="B30" s="1425"/>
      <c r="C30" s="1426"/>
      <c r="D30" s="1426"/>
      <c r="E30" s="1426"/>
      <c r="F30" s="1426"/>
      <c r="G30" s="1426"/>
      <c r="H30" s="1426"/>
      <c r="I30" s="1426"/>
      <c r="J30" s="1426"/>
      <c r="K30" s="1427"/>
    </row>
    <row r="31" spans="1:11" ht="15.75" x14ac:dyDescent="0.25">
      <c r="A31" s="1399"/>
      <c r="B31" s="1409"/>
      <c r="C31" s="1409"/>
      <c r="D31" s="1409"/>
      <c r="E31" s="1409"/>
      <c r="F31" s="1409"/>
      <c r="G31" s="1409"/>
      <c r="H31" s="1409"/>
      <c r="I31" s="1409"/>
      <c r="J31" s="1409"/>
      <c r="K31" s="1409"/>
    </row>
    <row r="32" spans="1:11" ht="15.75" x14ac:dyDescent="0.25">
      <c r="A32" s="1399"/>
      <c r="B32" s="1409" t="s">
        <v>1994</v>
      </c>
      <c r="C32" s="1409"/>
      <c r="D32" s="1409"/>
      <c r="E32" s="1409"/>
      <c r="F32" s="1409"/>
      <c r="G32" s="1415"/>
      <c r="H32" s="1414"/>
      <c r="I32" s="1415"/>
      <c r="J32" s="1415"/>
      <c r="K32" s="1409"/>
    </row>
    <row r="33" spans="1:11" ht="15.75" x14ac:dyDescent="0.25">
      <c r="A33" s="1399"/>
      <c r="B33" s="1409" t="s">
        <v>1995</v>
      </c>
      <c r="C33" s="1409"/>
      <c r="D33" s="1409"/>
      <c r="E33" s="1409"/>
      <c r="F33" s="1409"/>
      <c r="G33" s="1415"/>
      <c r="H33" s="1414"/>
      <c r="I33" s="1415"/>
      <c r="J33" s="1415"/>
      <c r="K33" s="1409"/>
    </row>
    <row r="34" spans="1:11" ht="15.75" x14ac:dyDescent="0.25">
      <c r="A34" s="1399"/>
      <c r="B34" s="1409"/>
      <c r="C34" s="1409"/>
      <c r="D34" s="1409"/>
      <c r="E34" s="1409"/>
      <c r="F34" s="1409"/>
      <c r="G34" s="1409"/>
      <c r="H34" s="1409"/>
      <c r="I34" s="1409"/>
      <c r="J34" s="1409"/>
      <c r="K34" s="1409"/>
    </row>
    <row r="35" spans="1:11" ht="16.5" thickBot="1" x14ac:dyDescent="0.3">
      <c r="A35" s="1428"/>
      <c r="B35" s="1409" t="s">
        <v>1996</v>
      </c>
      <c r="C35" s="1429"/>
      <c r="D35" s="1429"/>
      <c r="E35" s="1429"/>
      <c r="F35" s="1429"/>
      <c r="G35" s="1423">
        <f>G29-G32+G33</f>
        <v>0</v>
      </c>
      <c r="H35" s="1423">
        <f t="shared" ref="H35:J35" si="2">H29-H32+H33</f>
        <v>0</v>
      </c>
      <c r="I35" s="1423">
        <f t="shared" si="2"/>
        <v>0</v>
      </c>
      <c r="J35" s="1423">
        <f t="shared" si="2"/>
        <v>0</v>
      </c>
      <c r="K35" s="1417"/>
    </row>
    <row r="36" spans="1:11" x14ac:dyDescent="0.2">
      <c r="A36" s="1398"/>
      <c r="B36" s="1398"/>
      <c r="C36" s="1398"/>
      <c r="D36" s="1398"/>
      <c r="E36" s="1398"/>
      <c r="F36" s="1398"/>
      <c r="G36" s="1398"/>
      <c r="H36" s="1398"/>
      <c r="I36" s="1398"/>
      <c r="J36" s="1398"/>
      <c r="K36" s="1398"/>
    </row>
    <row r="37" spans="1:11" x14ac:dyDescent="0.2">
      <c r="A37" s="1398"/>
      <c r="B37" s="1398"/>
      <c r="C37" s="1398"/>
      <c r="D37" s="1398"/>
      <c r="E37" s="1398"/>
      <c r="F37" s="1398"/>
      <c r="G37" s="1398"/>
      <c r="H37" s="1398"/>
      <c r="I37" s="1398"/>
      <c r="J37" s="1398"/>
      <c r="K37" s="1398"/>
    </row>
    <row r="38" spans="1:11" x14ac:dyDescent="0.2">
      <c r="A38" s="1398"/>
      <c r="B38" s="1398"/>
      <c r="C38" s="1398"/>
      <c r="D38" s="1398"/>
      <c r="E38" s="1398"/>
      <c r="F38" s="1398"/>
      <c r="G38" s="1398"/>
      <c r="H38" s="1398"/>
      <c r="I38" s="1398"/>
      <c r="J38" s="1398"/>
      <c r="K38" s="1398"/>
    </row>
    <row r="39" spans="1:11" ht="13.5" thickBot="1" x14ac:dyDescent="0.25">
      <c r="A39" s="1398"/>
      <c r="B39" s="1398"/>
      <c r="C39" s="1398"/>
      <c r="D39" s="1398"/>
      <c r="E39" s="1398"/>
      <c r="F39" s="1398"/>
      <c r="G39" s="1398"/>
      <c r="H39" s="1398"/>
      <c r="I39" s="1398"/>
      <c r="J39" s="1398"/>
      <c r="K39" s="1398"/>
    </row>
    <row r="40" spans="1:11" ht="15.75" x14ac:dyDescent="0.25">
      <c r="A40" s="1398">
        <v>3</v>
      </c>
      <c r="B40" s="1445"/>
      <c r="C40" s="1446"/>
      <c r="D40" s="1446"/>
      <c r="E40" s="1446"/>
      <c r="F40" s="1446"/>
      <c r="G40" s="1447" t="s">
        <v>1979</v>
      </c>
      <c r="H40" s="1447"/>
      <c r="I40" s="1447"/>
      <c r="J40" s="1434"/>
      <c r="K40" s="1448"/>
    </row>
    <row r="41" spans="1:11" ht="15.75" x14ac:dyDescent="0.25">
      <c r="A41" s="1398"/>
      <c r="B41" s="1449"/>
      <c r="C41" s="1450"/>
      <c r="D41" s="1450"/>
      <c r="E41" s="1450"/>
      <c r="F41" s="1450"/>
      <c r="G41" s="1406">
        <v>2016</v>
      </c>
      <c r="H41" s="1405">
        <v>2015</v>
      </c>
      <c r="I41" s="1406">
        <v>2015</v>
      </c>
      <c r="J41" s="1406" t="s">
        <v>2060</v>
      </c>
      <c r="K41" s="1451"/>
    </row>
    <row r="42" spans="1:11" ht="15.75" x14ac:dyDescent="0.25">
      <c r="A42" s="1398"/>
      <c r="B42" s="1452"/>
      <c r="C42" s="1453" t="s">
        <v>1983</v>
      </c>
      <c r="D42" s="1413"/>
      <c r="E42" s="1454"/>
      <c r="F42" s="1453"/>
      <c r="G42" s="1413"/>
      <c r="H42" s="1413"/>
      <c r="I42" s="1413"/>
      <c r="J42" s="1413"/>
      <c r="K42" s="1455"/>
    </row>
    <row r="43" spans="1:11" ht="15.75" x14ac:dyDescent="0.25">
      <c r="A43" s="1398"/>
      <c r="B43" s="1452"/>
      <c r="C43" s="1456" t="s">
        <v>1309</v>
      </c>
      <c r="D43" s="1413"/>
      <c r="E43" s="1413"/>
      <c r="F43" s="1457"/>
      <c r="G43" s="1415"/>
      <c r="H43" s="1415"/>
      <c r="I43" s="1415"/>
      <c r="J43" s="1415"/>
      <c r="K43" s="1458"/>
    </row>
    <row r="44" spans="1:11" ht="15.75" x14ac:dyDescent="0.25">
      <c r="A44" s="1398"/>
      <c r="B44" s="1452"/>
      <c r="C44" s="1456" t="s">
        <v>1588</v>
      </c>
      <c r="D44" s="1413"/>
      <c r="E44" s="1413"/>
      <c r="F44" s="1457"/>
      <c r="G44" s="1415"/>
      <c r="H44" s="1415"/>
      <c r="I44" s="1415"/>
      <c r="J44" s="1415"/>
      <c r="K44" s="1458"/>
    </row>
    <row r="45" spans="1:11" ht="15.75" x14ac:dyDescent="0.25">
      <c r="A45" s="1398"/>
      <c r="B45" s="1452"/>
      <c r="C45" s="1456" t="s">
        <v>1809</v>
      </c>
      <c r="D45" s="1413"/>
      <c r="E45" s="1413"/>
      <c r="F45" s="1457"/>
      <c r="G45" s="1415"/>
      <c r="H45" s="1415"/>
      <c r="I45" s="1415"/>
      <c r="J45" s="1415"/>
      <c r="K45" s="1458"/>
    </row>
    <row r="46" spans="1:11" ht="15.75" x14ac:dyDescent="0.25">
      <c r="A46" s="1398"/>
      <c r="B46" s="1452"/>
      <c r="C46" s="1456" t="s">
        <v>1642</v>
      </c>
      <c r="D46" s="1413"/>
      <c r="E46" s="1413"/>
      <c r="F46" s="1457"/>
      <c r="G46" s="1415"/>
      <c r="H46" s="1415"/>
      <c r="I46" s="1415"/>
      <c r="J46" s="1415"/>
      <c r="K46" s="1458"/>
    </row>
    <row r="47" spans="1:11" ht="15.75" x14ac:dyDescent="0.25">
      <c r="A47" s="1398"/>
      <c r="B47" s="1452"/>
      <c r="C47" s="1456" t="s">
        <v>1314</v>
      </c>
      <c r="D47" s="1413"/>
      <c r="E47" s="1413"/>
      <c r="F47" s="1457"/>
      <c r="G47" s="1415"/>
      <c r="H47" s="1415"/>
      <c r="I47" s="1415"/>
      <c r="J47" s="1415"/>
      <c r="K47" s="1458"/>
    </row>
    <row r="48" spans="1:11" ht="15.75" x14ac:dyDescent="0.25">
      <c r="A48" s="1398"/>
      <c r="B48" s="1452"/>
      <c r="C48" s="1456" t="s">
        <v>1313</v>
      </c>
      <c r="D48" s="1413"/>
      <c r="E48" s="1413"/>
      <c r="F48" s="1457"/>
      <c r="G48" s="1415"/>
      <c r="H48" s="1415"/>
      <c r="I48" s="1415"/>
      <c r="J48" s="1415"/>
      <c r="K48" s="1458"/>
    </row>
    <row r="49" spans="1:11" ht="15.75" x14ac:dyDescent="0.25">
      <c r="A49" s="1398"/>
      <c r="B49" s="1452"/>
      <c r="C49" s="1456" t="s">
        <v>1997</v>
      </c>
      <c r="D49" s="1413"/>
      <c r="E49" s="1413"/>
      <c r="F49" s="1457"/>
      <c r="G49" s="1415"/>
      <c r="H49" s="1415"/>
      <c r="I49" s="1415"/>
      <c r="J49" s="1415"/>
      <c r="K49" s="1458"/>
    </row>
    <row r="50" spans="1:11" ht="15.75" x14ac:dyDescent="0.25">
      <c r="A50" s="1398"/>
      <c r="B50" s="1452"/>
      <c r="C50" s="1456" t="s">
        <v>1998</v>
      </c>
      <c r="D50" s="1413"/>
      <c r="E50" s="1413"/>
      <c r="F50" s="1457"/>
      <c r="G50" s="1415"/>
      <c r="H50" s="1415"/>
      <c r="I50" s="1415"/>
      <c r="J50" s="1415"/>
      <c r="K50" s="1458"/>
    </row>
    <row r="51" spans="1:11" ht="15.75" x14ac:dyDescent="0.25">
      <c r="A51" s="1398"/>
      <c r="B51" s="1452"/>
      <c r="C51" s="1456" t="s">
        <v>1999</v>
      </c>
      <c r="D51" s="1413"/>
      <c r="E51" s="1413"/>
      <c r="F51" s="1459"/>
      <c r="G51" s="1415"/>
      <c r="H51" s="1415"/>
      <c r="I51" s="1415"/>
      <c r="J51" s="1415"/>
      <c r="K51" s="1458"/>
    </row>
    <row r="52" spans="1:11" ht="15.75" x14ac:dyDescent="0.25">
      <c r="A52" s="1398"/>
      <c r="B52" s="1452"/>
      <c r="C52" s="1456" t="s">
        <v>1813</v>
      </c>
      <c r="D52" s="1413"/>
      <c r="E52" s="1413"/>
      <c r="F52" s="1457"/>
      <c r="G52" s="1415"/>
      <c r="H52" s="1415"/>
      <c r="I52" s="1415"/>
      <c r="J52" s="1415"/>
      <c r="K52" s="1458"/>
    </row>
    <row r="53" spans="1:11" ht="15.75" x14ac:dyDescent="0.25">
      <c r="A53" s="1398"/>
      <c r="B53" s="1452"/>
      <c r="C53" s="1456" t="s">
        <v>1316</v>
      </c>
      <c r="D53" s="1413"/>
      <c r="E53" s="1413"/>
      <c r="F53" s="1457"/>
      <c r="G53" s="1415"/>
      <c r="H53" s="1415"/>
      <c r="I53" s="1415"/>
      <c r="J53" s="1415"/>
      <c r="K53" s="1458"/>
    </row>
    <row r="54" spans="1:11" ht="15.75" x14ac:dyDescent="0.25">
      <c r="A54" s="1398"/>
      <c r="B54" s="1452"/>
      <c r="C54" s="1456" t="s">
        <v>298</v>
      </c>
      <c r="D54" s="1413"/>
      <c r="E54" s="1413"/>
      <c r="F54" s="1457"/>
      <c r="G54" s="1415"/>
      <c r="H54" s="1415"/>
      <c r="I54" s="1415"/>
      <c r="J54" s="1415"/>
      <c r="K54" s="1458"/>
    </row>
    <row r="55" spans="1:11" ht="15.75" x14ac:dyDescent="0.25">
      <c r="A55" s="1398"/>
      <c r="B55" s="1452"/>
      <c r="C55" s="1456" t="s">
        <v>1830</v>
      </c>
      <c r="D55" s="1413"/>
      <c r="E55" s="1413"/>
      <c r="F55" s="1460"/>
      <c r="G55" s="1415"/>
      <c r="H55" s="1415"/>
      <c r="I55" s="1415"/>
      <c r="J55" s="1415"/>
      <c r="K55" s="1458"/>
    </row>
    <row r="56" spans="1:11" ht="16.5" thickBot="1" x14ac:dyDescent="0.3">
      <c r="A56" s="1398"/>
      <c r="B56" s="1461"/>
      <c r="C56" s="1462"/>
      <c r="D56" s="1463"/>
      <c r="E56" s="1463"/>
      <c r="F56" s="1463"/>
      <c r="G56" s="1464">
        <f>SUM(G43:G55)</f>
        <v>0</v>
      </c>
      <c r="H56" s="1464">
        <f>SUM(H43:H54)</f>
        <v>0</v>
      </c>
      <c r="I56" s="1464"/>
      <c r="J56" s="1464">
        <f>SUM(J43:J54)</f>
        <v>0</v>
      </c>
      <c r="K56" s="1465">
        <f>SUM(K43:K54)</f>
        <v>0</v>
      </c>
    </row>
    <row r="57" spans="1:11" x14ac:dyDescent="0.2">
      <c r="A57" s="1398"/>
      <c r="B57" s="1398"/>
      <c r="C57" s="1398"/>
      <c r="D57" s="1398"/>
      <c r="E57" s="1398"/>
      <c r="F57" s="1398"/>
      <c r="G57" s="1398"/>
      <c r="H57" s="1398"/>
      <c r="I57" s="1398"/>
      <c r="J57" s="1398"/>
      <c r="K57" s="1398"/>
    </row>
    <row r="58" spans="1:11" ht="13.5" thickBot="1" x14ac:dyDescent="0.25">
      <c r="A58" s="1398"/>
      <c r="B58" s="1398"/>
      <c r="C58" s="1398"/>
      <c r="D58" s="1398"/>
      <c r="E58" s="1398"/>
      <c r="F58" s="1398"/>
      <c r="G58" s="1398"/>
      <c r="H58" s="1398"/>
      <c r="I58" s="1398"/>
      <c r="J58" s="1398"/>
      <c r="K58" s="1398"/>
    </row>
    <row r="59" spans="1:11" ht="15.75" x14ac:dyDescent="0.25">
      <c r="A59" s="1398">
        <v>4</v>
      </c>
      <c r="B59" s="1445"/>
      <c r="C59" s="1446"/>
      <c r="D59" s="1446"/>
      <c r="E59" s="1446"/>
      <c r="F59" s="1446"/>
      <c r="G59" s="1447" t="s">
        <v>1979</v>
      </c>
      <c r="H59" s="1447"/>
      <c r="I59" s="1447"/>
      <c r="J59" s="1434"/>
      <c r="K59" s="1448"/>
    </row>
    <row r="60" spans="1:11" ht="15.75" x14ac:dyDescent="0.25">
      <c r="A60" s="1398"/>
      <c r="B60" s="1449"/>
      <c r="C60" s="1450"/>
      <c r="D60" s="1450"/>
      <c r="E60" s="1450"/>
      <c r="F60" s="1450"/>
      <c r="G60" s="1406">
        <v>2016</v>
      </c>
      <c r="H60" s="1405">
        <v>2015</v>
      </c>
      <c r="I60" s="1406">
        <v>2015</v>
      </c>
      <c r="J60" s="1406" t="s">
        <v>2060</v>
      </c>
      <c r="K60" s="1451"/>
    </row>
    <row r="61" spans="1:11" ht="15.75" x14ac:dyDescent="0.25">
      <c r="A61" s="1398"/>
      <c r="B61" s="1452"/>
      <c r="C61" s="1453" t="s">
        <v>1985</v>
      </c>
      <c r="D61" s="1413"/>
      <c r="E61" s="1454"/>
      <c r="F61" s="1453"/>
      <c r="G61" s="1413"/>
      <c r="H61" s="1413"/>
      <c r="I61" s="1413"/>
      <c r="J61" s="1413"/>
      <c r="K61" s="1455"/>
    </row>
    <row r="62" spans="1:11" ht="15.75" x14ac:dyDescent="0.25">
      <c r="A62" s="1398"/>
      <c r="B62" s="1452"/>
      <c r="C62" s="1456" t="s">
        <v>1825</v>
      </c>
      <c r="D62" s="1413"/>
      <c r="E62" s="1413"/>
      <c r="F62" s="1457"/>
      <c r="G62" s="1415"/>
      <c r="H62" s="1415"/>
      <c r="I62" s="1415"/>
      <c r="J62" s="1415"/>
      <c r="K62" s="1438"/>
    </row>
    <row r="63" spans="1:11" ht="15.75" x14ac:dyDescent="0.25">
      <c r="A63" s="1398"/>
      <c r="B63" s="1452"/>
      <c r="C63" s="1456" t="s">
        <v>1309</v>
      </c>
      <c r="D63" s="1413"/>
      <c r="E63" s="1413"/>
      <c r="F63" s="1457"/>
      <c r="G63" s="1415"/>
      <c r="H63" s="1415"/>
      <c r="I63" s="1415"/>
      <c r="J63" s="1415"/>
      <c r="K63" s="1438"/>
    </row>
    <row r="64" spans="1:11" ht="15.75" x14ac:dyDescent="0.25">
      <c r="A64" s="1398"/>
      <c r="B64" s="1452"/>
      <c r="C64" s="1456" t="s">
        <v>1809</v>
      </c>
      <c r="D64" s="1413"/>
      <c r="E64" s="1413"/>
      <c r="F64" s="1457"/>
      <c r="G64" s="1415"/>
      <c r="H64" s="1415"/>
      <c r="I64" s="1415"/>
      <c r="J64" s="1415"/>
      <c r="K64" s="1438"/>
    </row>
    <row r="65" spans="1:11" ht="15.75" x14ac:dyDescent="0.25">
      <c r="A65" s="1398"/>
      <c r="B65" s="1452"/>
      <c r="C65" s="1456" t="s">
        <v>1588</v>
      </c>
      <c r="D65" s="1413"/>
      <c r="E65" s="1413"/>
      <c r="F65" s="1457"/>
      <c r="G65" s="1415"/>
      <c r="H65" s="1415"/>
      <c r="I65" s="1415"/>
      <c r="J65" s="1415"/>
      <c r="K65" s="1438"/>
    </row>
    <row r="66" spans="1:11" ht="15.75" x14ac:dyDescent="0.25">
      <c r="A66" s="1398"/>
      <c r="B66" s="1452"/>
      <c r="C66" s="1456" t="s">
        <v>1642</v>
      </c>
      <c r="D66" s="1413"/>
      <c r="E66" s="1413"/>
      <c r="F66" s="1457"/>
      <c r="G66" s="1415"/>
      <c r="H66" s="1415"/>
      <c r="I66" s="1415"/>
      <c r="J66" s="1415"/>
      <c r="K66" s="1438"/>
    </row>
    <row r="67" spans="1:11" ht="15.75" x14ac:dyDescent="0.25">
      <c r="A67" s="1398"/>
      <c r="B67" s="1452"/>
      <c r="C67" s="1456" t="s">
        <v>2000</v>
      </c>
      <c r="D67" s="1413"/>
      <c r="E67" s="1413"/>
      <c r="F67" s="1457"/>
      <c r="G67" s="1415"/>
      <c r="H67" s="1415"/>
      <c r="I67" s="1415"/>
      <c r="J67" s="1415"/>
      <c r="K67" s="1438"/>
    </row>
    <row r="68" spans="1:11" ht="15.75" x14ac:dyDescent="0.25">
      <c r="A68" s="1398"/>
      <c r="B68" s="1452"/>
      <c r="C68" s="1456" t="s">
        <v>1313</v>
      </c>
      <c r="D68" s="1413"/>
      <c r="E68" s="1413"/>
      <c r="F68" s="1457"/>
      <c r="G68" s="1415"/>
      <c r="H68" s="1415"/>
      <c r="I68" s="1415"/>
      <c r="J68" s="1415"/>
      <c r="K68" s="1438"/>
    </row>
    <row r="69" spans="1:11" ht="15.75" x14ac:dyDescent="0.25">
      <c r="A69" s="1398"/>
      <c r="B69" s="1452"/>
      <c r="C69" s="1456" t="s">
        <v>1827</v>
      </c>
      <c r="D69" s="1413"/>
      <c r="E69" s="1413"/>
      <c r="F69" s="1457"/>
      <c r="G69" s="1415"/>
      <c r="H69" s="1415"/>
      <c r="I69" s="1415"/>
      <c r="J69" s="1415"/>
      <c r="K69" s="1438"/>
    </row>
    <row r="70" spans="1:11" ht="15.75" x14ac:dyDescent="0.25">
      <c r="A70" s="1398"/>
      <c r="B70" s="1452"/>
      <c r="C70" s="1456" t="s">
        <v>1813</v>
      </c>
      <c r="D70" s="1413"/>
      <c r="E70" s="1413"/>
      <c r="F70" s="1457"/>
      <c r="G70" s="1415"/>
      <c r="H70" s="1415"/>
      <c r="I70" s="1415"/>
      <c r="J70" s="1415"/>
      <c r="K70" s="1438"/>
    </row>
    <row r="71" spans="1:11" ht="15.75" x14ac:dyDescent="0.25">
      <c r="A71" s="1398"/>
      <c r="B71" s="1452"/>
      <c r="C71" s="1456" t="s">
        <v>298</v>
      </c>
      <c r="D71" s="1413"/>
      <c r="E71" s="1413"/>
      <c r="F71" s="1457"/>
      <c r="G71" s="1415"/>
      <c r="H71" s="1415"/>
      <c r="I71" s="1415"/>
      <c r="J71" s="1415"/>
      <c r="K71" s="1438"/>
    </row>
    <row r="72" spans="1:11" ht="15.75" x14ac:dyDescent="0.25">
      <c r="A72" s="1398"/>
      <c r="B72" s="1452"/>
      <c r="C72" s="1456" t="s">
        <v>2001</v>
      </c>
      <c r="D72" s="1413"/>
      <c r="E72" s="1413"/>
      <c r="F72" s="1457"/>
      <c r="G72" s="1415"/>
      <c r="H72" s="1415"/>
      <c r="I72" s="1415"/>
      <c r="J72" s="1415"/>
      <c r="K72" s="1438"/>
    </row>
    <row r="73" spans="1:11" ht="15.75" x14ac:dyDescent="0.25">
      <c r="A73" s="1398"/>
      <c r="B73" s="1452"/>
      <c r="C73" s="1456" t="s">
        <v>1316</v>
      </c>
      <c r="D73" s="1413"/>
      <c r="E73" s="1413"/>
      <c r="F73" s="1457"/>
      <c r="G73" s="1415"/>
      <c r="H73" s="1415"/>
      <c r="I73" s="1415"/>
      <c r="J73" s="1415"/>
      <c r="K73" s="1438"/>
    </row>
    <row r="74" spans="1:11" ht="15.75" x14ac:dyDescent="0.25">
      <c r="A74" s="1398"/>
      <c r="B74" s="1452"/>
      <c r="C74" s="1456" t="s">
        <v>1830</v>
      </c>
      <c r="D74" s="1413"/>
      <c r="E74" s="1413"/>
      <c r="F74" s="1457"/>
      <c r="G74" s="1415"/>
      <c r="H74" s="1415"/>
      <c r="I74" s="1415"/>
      <c r="J74" s="1415"/>
      <c r="K74" s="1438"/>
    </row>
    <row r="75" spans="1:11" ht="15.75" x14ac:dyDescent="0.25">
      <c r="A75" s="1398"/>
      <c r="B75" s="1452"/>
      <c r="C75" s="1456"/>
      <c r="D75" s="1413"/>
      <c r="E75" s="1413"/>
      <c r="F75" s="1459"/>
      <c r="G75" s="1415"/>
      <c r="H75" s="1415"/>
      <c r="I75" s="1415"/>
      <c r="J75" s="1415"/>
      <c r="K75" s="1438"/>
    </row>
    <row r="76" spans="1:11" ht="15.75" x14ac:dyDescent="0.25">
      <c r="A76" s="1398"/>
      <c r="B76" s="1452"/>
      <c r="C76" s="1456"/>
      <c r="D76" s="1413"/>
      <c r="E76" s="1413"/>
      <c r="F76" s="1457"/>
      <c r="G76" s="1415"/>
      <c r="H76" s="1415"/>
      <c r="I76" s="1415"/>
      <c r="J76" s="1415"/>
      <c r="K76" s="1438"/>
    </row>
    <row r="77" spans="1:11" ht="15.75" x14ac:dyDescent="0.25">
      <c r="A77" s="1398"/>
      <c r="B77" s="1452"/>
      <c r="C77" s="1456" t="s">
        <v>1831</v>
      </c>
      <c r="D77" s="1413"/>
      <c r="E77" s="1413"/>
      <c r="F77" s="1457"/>
      <c r="G77" s="1415"/>
      <c r="H77" s="1415"/>
      <c r="I77" s="1415"/>
      <c r="J77" s="1415"/>
      <c r="K77" s="1438"/>
    </row>
    <row r="78" spans="1:11" ht="15.75" x14ac:dyDescent="0.25">
      <c r="A78" s="1398"/>
      <c r="B78" s="1452"/>
      <c r="C78" s="1456" t="s">
        <v>1832</v>
      </c>
      <c r="D78" s="1413"/>
      <c r="E78" s="1413"/>
      <c r="F78" s="1457"/>
      <c r="G78" s="1415"/>
      <c r="H78" s="1415"/>
      <c r="I78" s="1415"/>
      <c r="J78" s="1415"/>
      <c r="K78" s="1438"/>
    </row>
    <row r="79" spans="1:11" ht="15.75" x14ac:dyDescent="0.25">
      <c r="A79" s="1398"/>
      <c r="B79" s="1452"/>
      <c r="C79" s="1456"/>
      <c r="D79" s="1413"/>
      <c r="E79" s="1413"/>
      <c r="F79" s="1460"/>
      <c r="G79" s="1415"/>
      <c r="H79" s="1415"/>
      <c r="I79" s="1415"/>
      <c r="J79" s="1415"/>
      <c r="K79" s="1438"/>
    </row>
    <row r="80" spans="1:11" ht="16.5" thickBot="1" x14ac:dyDescent="0.3">
      <c r="A80" s="1398"/>
      <c r="B80" s="1461"/>
      <c r="C80" s="1462"/>
      <c r="D80" s="1463"/>
      <c r="E80" s="1463"/>
      <c r="F80" s="1463"/>
      <c r="G80" s="1464">
        <f>SUM(G62:G79)</f>
        <v>0</v>
      </c>
      <c r="H80" s="1464">
        <f t="shared" ref="H80:I80" si="3">SUM(H62:H79)</f>
        <v>0</v>
      </c>
      <c r="I80" s="1464">
        <f t="shared" si="3"/>
        <v>0</v>
      </c>
      <c r="J80" s="1464"/>
      <c r="K80" s="1438"/>
    </row>
    <row r="81" spans="1:12" x14ac:dyDescent="0.2">
      <c r="A81" s="1398"/>
      <c r="B81" s="1398"/>
      <c r="C81" s="1398"/>
      <c r="D81" s="1398"/>
      <c r="E81" s="1398"/>
      <c r="F81" s="1398"/>
      <c r="G81" s="1398"/>
      <c r="H81" s="1398"/>
      <c r="I81" s="1398"/>
      <c r="J81" s="1398"/>
      <c r="K81" s="1398"/>
    </row>
    <row r="82" spans="1:12" ht="13.5" thickBot="1" x14ac:dyDescent="0.25">
      <c r="A82" s="1398"/>
      <c r="B82" s="1398"/>
      <c r="C82" s="1398"/>
      <c r="D82" s="1398"/>
      <c r="E82" s="1398"/>
      <c r="F82" s="1398"/>
      <c r="G82" s="1398"/>
      <c r="H82" s="1398"/>
      <c r="I82" s="1398"/>
      <c r="J82" s="1398"/>
      <c r="K82" s="1398"/>
    </row>
    <row r="83" spans="1:12" s="1436" customFormat="1" ht="15.75" x14ac:dyDescent="0.25">
      <c r="A83" s="1466">
        <v>5</v>
      </c>
      <c r="B83" s="1467" t="s">
        <v>2002</v>
      </c>
      <c r="C83" s="1430"/>
      <c r="D83" s="1431"/>
      <c r="E83" s="1432"/>
      <c r="F83" s="1433"/>
      <c r="G83" s="1852" t="s">
        <v>1979</v>
      </c>
      <c r="H83" s="1852"/>
      <c r="I83" s="1852"/>
      <c r="J83" s="1434"/>
      <c r="K83" s="1435"/>
      <c r="L83" s="1398"/>
    </row>
    <row r="84" spans="1:12" s="1436" customFormat="1" ht="15.75" x14ac:dyDescent="0.25">
      <c r="A84" s="1466"/>
      <c r="B84" s="1468"/>
      <c r="C84" s="1404"/>
      <c r="D84" s="1404"/>
      <c r="E84" s="1405"/>
      <c r="F84" s="1405"/>
      <c r="G84" s="1406">
        <v>2016</v>
      </c>
      <c r="H84" s="1405"/>
      <c r="I84" s="1406">
        <v>2015</v>
      </c>
      <c r="J84" s="1406" t="s">
        <v>2060</v>
      </c>
      <c r="K84" s="1437"/>
      <c r="L84" s="1398"/>
    </row>
    <row r="85" spans="1:12" ht="15.75" x14ac:dyDescent="0.25">
      <c r="A85" s="1399"/>
      <c r="B85" s="1469" t="s">
        <v>2003</v>
      </c>
      <c r="C85" s="1413"/>
      <c r="D85" s="1409"/>
      <c r="E85" s="1410"/>
      <c r="F85" s="1414"/>
      <c r="G85" s="1415"/>
      <c r="H85" s="1414"/>
      <c r="I85" s="1415"/>
      <c r="J85" s="1415"/>
      <c r="K85" s="1438"/>
    </row>
    <row r="86" spans="1:12" ht="15.75" x14ac:dyDescent="0.25">
      <c r="A86" s="1399"/>
      <c r="B86" s="1469" t="s">
        <v>2004</v>
      </c>
      <c r="C86" s="1413"/>
      <c r="D86" s="1409"/>
      <c r="E86" s="1410"/>
      <c r="F86" s="1414"/>
      <c r="G86" s="1415"/>
      <c r="H86" s="1414"/>
      <c r="I86" s="1415"/>
      <c r="J86" s="1415"/>
      <c r="K86" s="1438"/>
    </row>
    <row r="87" spans="1:12" ht="15.75" x14ac:dyDescent="0.25">
      <c r="A87" s="1399"/>
      <c r="B87" s="1469" t="s">
        <v>2005</v>
      </c>
      <c r="C87" s="1413"/>
      <c r="D87" s="1409"/>
      <c r="E87" s="1410"/>
      <c r="F87" s="1414"/>
      <c r="G87" s="1415"/>
      <c r="H87" s="1414"/>
      <c r="I87" s="1415"/>
      <c r="J87" s="1415"/>
      <c r="K87" s="1438"/>
    </row>
    <row r="88" spans="1:12" ht="15.75" x14ac:dyDescent="0.25">
      <c r="A88" s="1399"/>
      <c r="B88" s="1469" t="s">
        <v>2006</v>
      </c>
      <c r="C88" s="1413"/>
      <c r="D88" s="1409"/>
      <c r="E88" s="1410"/>
      <c r="F88" s="1414"/>
      <c r="G88" s="1415"/>
      <c r="H88" s="1414"/>
      <c r="I88" s="1415"/>
      <c r="J88" s="1415"/>
      <c r="K88" s="1438"/>
    </row>
    <row r="89" spans="1:12" ht="15.75" x14ac:dyDescent="0.25">
      <c r="A89" s="1399"/>
      <c r="B89" s="1469" t="s">
        <v>2007</v>
      </c>
      <c r="C89" s="1413"/>
      <c r="D89" s="1409"/>
      <c r="E89" s="1410"/>
      <c r="F89" s="1414"/>
      <c r="G89" s="1415"/>
      <c r="H89" s="1414"/>
      <c r="I89" s="1415"/>
      <c r="J89" s="1415"/>
      <c r="K89" s="1438"/>
    </row>
    <row r="90" spans="1:12" ht="15.75" x14ac:dyDescent="0.25">
      <c r="A90" s="1399"/>
      <c r="B90" s="1469" t="s">
        <v>2008</v>
      </c>
      <c r="C90" s="1413"/>
      <c r="D90" s="1409"/>
      <c r="E90" s="1410"/>
      <c r="F90" s="1414"/>
      <c r="G90" s="1415"/>
      <c r="H90" s="1414"/>
      <c r="I90" s="1415"/>
      <c r="J90" s="1415"/>
      <c r="K90" s="1438"/>
    </row>
    <row r="91" spans="1:12" ht="15.75" x14ac:dyDescent="0.25">
      <c r="A91" s="1399"/>
      <c r="B91" s="1469" t="s">
        <v>2009</v>
      </c>
      <c r="C91" s="1413"/>
      <c r="D91" s="1409"/>
      <c r="E91" s="1410"/>
      <c r="F91" s="1414"/>
      <c r="G91" s="1415"/>
      <c r="H91" s="1414"/>
      <c r="I91" s="1415"/>
      <c r="J91" s="1415"/>
      <c r="K91" s="1438"/>
    </row>
    <row r="92" spans="1:12" ht="16.5" thickBot="1" x14ac:dyDescent="0.3">
      <c r="A92" s="1399"/>
      <c r="B92" s="1470" t="s">
        <v>2010</v>
      </c>
      <c r="C92" s="1413"/>
      <c r="D92" s="1409"/>
      <c r="E92" s="1409"/>
      <c r="F92" s="1409"/>
      <c r="G92" s="1423">
        <f>SUM(G85:G91)</f>
        <v>0</v>
      </c>
      <c r="H92" s="1423">
        <f t="shared" ref="H92:J92" si="4">SUM(H85:H91)</f>
        <v>0</v>
      </c>
      <c r="I92" s="1423">
        <f t="shared" si="4"/>
        <v>0</v>
      </c>
      <c r="J92" s="1423">
        <f t="shared" si="4"/>
        <v>0</v>
      </c>
      <c r="K92" s="1471"/>
    </row>
    <row r="93" spans="1:12" s="1436" customFormat="1" ht="13.5" thickTop="1" x14ac:dyDescent="0.2">
      <c r="B93" s="1472"/>
      <c r="C93" s="1473"/>
      <c r="D93" s="1473"/>
      <c r="E93" s="1473"/>
      <c r="F93" s="1473"/>
      <c r="G93" s="1473"/>
      <c r="H93" s="1473"/>
      <c r="I93" s="1473"/>
      <c r="J93" s="1473"/>
      <c r="K93" s="1474"/>
      <c r="L93" s="1398"/>
    </row>
    <row r="94" spans="1:12" s="1436" customFormat="1" ht="15.75" x14ac:dyDescent="0.25">
      <c r="A94" s="1466"/>
      <c r="B94" s="1475"/>
      <c r="C94" s="1476"/>
      <c r="D94" s="1477"/>
      <c r="E94" s="1478"/>
      <c r="F94" s="1479"/>
      <c r="G94" s="1480"/>
      <c r="H94" s="1479"/>
      <c r="I94" s="1480"/>
      <c r="J94" s="1480"/>
      <c r="K94" s="1481"/>
      <c r="L94" s="1398"/>
    </row>
    <row r="95" spans="1:12" s="1436" customFormat="1" ht="15.75" x14ac:dyDescent="0.25">
      <c r="A95" s="1466"/>
      <c r="B95" s="1482" t="s">
        <v>2011</v>
      </c>
      <c r="C95" s="1483"/>
      <c r="D95" s="1441"/>
      <c r="E95" s="1442"/>
      <c r="F95" s="1443"/>
      <c r="G95" s="1853" t="s">
        <v>1979</v>
      </c>
      <c r="H95" s="1853"/>
      <c r="I95" s="1853"/>
      <c r="J95" s="1484"/>
      <c r="K95" s="1444"/>
      <c r="L95" s="1398"/>
    </row>
    <row r="96" spans="1:12" s="1436" customFormat="1" ht="15.75" x14ac:dyDescent="0.25">
      <c r="A96" s="1466"/>
      <c r="B96" s="1468"/>
      <c r="C96" s="1404"/>
      <c r="D96" s="1404"/>
      <c r="E96" s="1405"/>
      <c r="F96" s="1405"/>
      <c r="G96" s="1406">
        <v>2016</v>
      </c>
      <c r="H96" s="1405"/>
      <c r="I96" s="1406">
        <v>2015</v>
      </c>
      <c r="J96" s="1406" t="s">
        <v>2060</v>
      </c>
      <c r="K96" s="1437"/>
      <c r="L96" s="1398"/>
    </row>
    <row r="97" spans="1:11" ht="15.75" x14ac:dyDescent="0.25">
      <c r="A97" s="1399"/>
      <c r="B97" s="1469"/>
      <c r="C97" s="1413"/>
      <c r="D97" s="1409"/>
      <c r="E97" s="1410"/>
      <c r="F97" s="1414"/>
      <c r="G97" s="1415"/>
      <c r="H97" s="1414"/>
      <c r="I97" s="1415"/>
      <c r="J97" s="1415"/>
      <c r="K97" s="1438"/>
    </row>
    <row r="98" spans="1:11" ht="15.75" x14ac:dyDescent="0.25">
      <c r="A98" s="1399"/>
      <c r="B98" s="1469"/>
      <c r="C98" s="1413"/>
      <c r="D98" s="1409"/>
      <c r="E98" s="1410"/>
      <c r="F98" s="1414"/>
      <c r="G98" s="1415"/>
      <c r="H98" s="1414"/>
      <c r="I98" s="1415"/>
      <c r="J98" s="1415"/>
      <c r="K98" s="1438"/>
    </row>
    <row r="99" spans="1:11" ht="15.75" x14ac:dyDescent="0.25">
      <c r="A99" s="1399"/>
      <c r="B99" s="1469" t="s">
        <v>2012</v>
      </c>
      <c r="C99" s="1413"/>
      <c r="D99" s="1409"/>
      <c r="E99" s="1410"/>
      <c r="F99" s="1414"/>
      <c r="G99" s="1415"/>
      <c r="H99" s="1414"/>
      <c r="I99" s="1415"/>
      <c r="J99" s="1415"/>
      <c r="K99" s="1438"/>
    </row>
    <row r="100" spans="1:11" ht="15.75" x14ac:dyDescent="0.25">
      <c r="A100" s="1399"/>
      <c r="B100" s="1469" t="s">
        <v>2013</v>
      </c>
      <c r="C100" s="1413"/>
      <c r="D100" s="1409"/>
      <c r="E100" s="1410"/>
      <c r="F100" s="1414"/>
      <c r="G100" s="1415"/>
      <c r="H100" s="1414"/>
      <c r="I100" s="1415"/>
      <c r="J100" s="1415"/>
      <c r="K100" s="1438"/>
    </row>
    <row r="101" spans="1:11" ht="15.75" x14ac:dyDescent="0.25">
      <c r="A101" s="1399"/>
      <c r="B101" s="1469" t="s">
        <v>2014</v>
      </c>
      <c r="C101" s="1413"/>
      <c r="D101" s="1409"/>
      <c r="E101" s="1410"/>
      <c r="F101" s="1414"/>
      <c r="G101" s="1415"/>
      <c r="H101" s="1414"/>
      <c r="I101" s="1415"/>
      <c r="J101" s="1415"/>
      <c r="K101" s="1438"/>
    </row>
    <row r="102" spans="1:11" ht="15.75" x14ac:dyDescent="0.25">
      <c r="A102" s="1399"/>
      <c r="B102" s="1469" t="s">
        <v>2015</v>
      </c>
      <c r="C102" s="1413"/>
      <c r="D102" s="1409"/>
      <c r="E102" s="1410"/>
      <c r="F102" s="1414"/>
      <c r="G102" s="1415"/>
      <c r="H102" s="1414"/>
      <c r="I102" s="1415"/>
      <c r="J102" s="1415"/>
      <c r="K102" s="1438"/>
    </row>
    <row r="103" spans="1:11" ht="15.75" x14ac:dyDescent="0.25">
      <c r="A103" s="1399"/>
      <c r="B103" s="1469" t="s">
        <v>2016</v>
      </c>
      <c r="C103" s="1413"/>
      <c r="D103" s="1409"/>
      <c r="E103" s="1410"/>
      <c r="F103" s="1414"/>
      <c r="G103" s="1415"/>
      <c r="H103" s="1414"/>
      <c r="I103" s="1415"/>
      <c r="J103" s="1415"/>
      <c r="K103" s="1438"/>
    </row>
    <row r="104" spans="1:11" ht="15.75" x14ac:dyDescent="0.25">
      <c r="A104" s="1399"/>
      <c r="B104" s="1469" t="s">
        <v>2017</v>
      </c>
      <c r="C104" s="1413"/>
      <c r="D104" s="1409"/>
      <c r="E104" s="1410"/>
      <c r="F104" s="1414"/>
      <c r="G104" s="1415"/>
      <c r="H104" s="1414"/>
      <c r="I104" s="1415"/>
      <c r="J104" s="1415"/>
      <c r="K104" s="1438"/>
    </row>
    <row r="105" spans="1:11" ht="15.75" x14ac:dyDescent="0.25">
      <c r="A105" s="1399"/>
      <c r="B105" s="1469" t="s">
        <v>2018</v>
      </c>
      <c r="C105" s="1413"/>
      <c r="D105" s="1409"/>
      <c r="E105" s="1410"/>
      <c r="F105" s="1414"/>
      <c r="G105" s="1415"/>
      <c r="H105" s="1414"/>
      <c r="I105" s="1415"/>
      <c r="J105" s="1415"/>
      <c r="K105" s="1438"/>
    </row>
    <row r="106" spans="1:11" ht="15.75" x14ac:dyDescent="0.25">
      <c r="A106" s="1399"/>
      <c r="B106" s="1469" t="s">
        <v>2019</v>
      </c>
      <c r="C106" s="1413"/>
      <c r="D106" s="1409"/>
      <c r="E106" s="1410"/>
      <c r="F106" s="1414"/>
      <c r="G106" s="1415"/>
      <c r="H106" s="1414"/>
      <c r="I106" s="1415"/>
      <c r="J106" s="1415"/>
      <c r="K106" s="1438"/>
    </row>
    <row r="107" spans="1:11" ht="15.75" x14ac:dyDescent="0.25">
      <c r="A107" s="1399"/>
      <c r="B107" s="1469" t="s">
        <v>2020</v>
      </c>
      <c r="C107" s="1413"/>
      <c r="D107" s="1409"/>
      <c r="E107" s="1410"/>
      <c r="F107" s="1414"/>
      <c r="G107" s="1415"/>
      <c r="H107" s="1414"/>
      <c r="I107" s="1415"/>
      <c r="J107" s="1415"/>
      <c r="K107" s="1438"/>
    </row>
    <row r="108" spans="1:11" ht="15.75" x14ac:dyDescent="0.25">
      <c r="A108" s="1399"/>
      <c r="B108" s="1469" t="s">
        <v>2021</v>
      </c>
      <c r="C108" s="1413"/>
      <c r="D108" s="1409"/>
      <c r="E108" s="1410"/>
      <c r="F108" s="1414"/>
      <c r="G108" s="1415"/>
      <c r="H108" s="1414"/>
      <c r="I108" s="1415"/>
      <c r="J108" s="1415"/>
      <c r="K108" s="1438"/>
    </row>
    <row r="109" spans="1:11" ht="15.75" x14ac:dyDescent="0.25">
      <c r="A109" s="1399"/>
      <c r="B109" s="1469" t="s">
        <v>2022</v>
      </c>
      <c r="C109" s="1413"/>
      <c r="D109" s="1409"/>
      <c r="E109" s="1410"/>
      <c r="F109" s="1414"/>
      <c r="G109" s="1415"/>
      <c r="H109" s="1414"/>
      <c r="I109" s="1415"/>
      <c r="J109" s="1415"/>
      <c r="K109" s="1438"/>
    </row>
    <row r="110" spans="1:11" ht="15.75" x14ac:dyDescent="0.25">
      <c r="A110" s="1399"/>
      <c r="B110" s="1469" t="s">
        <v>2023</v>
      </c>
      <c r="C110" s="1413"/>
      <c r="D110" s="1409"/>
      <c r="E110" s="1410"/>
      <c r="F110" s="1414"/>
      <c r="G110" s="1415"/>
      <c r="H110" s="1414"/>
      <c r="I110" s="1415"/>
      <c r="J110" s="1415"/>
      <c r="K110" s="1438"/>
    </row>
    <row r="111" spans="1:11" ht="15.75" x14ac:dyDescent="0.25">
      <c r="A111" s="1399"/>
      <c r="B111" s="1469" t="s">
        <v>2024</v>
      </c>
      <c r="C111" s="1413"/>
      <c r="D111" s="1409"/>
      <c r="E111" s="1410"/>
      <c r="F111" s="1414"/>
      <c r="G111" s="1415"/>
      <c r="H111" s="1414"/>
      <c r="I111" s="1415"/>
      <c r="J111" s="1415"/>
      <c r="K111" s="1438"/>
    </row>
    <row r="112" spans="1:11" ht="15.75" x14ac:dyDescent="0.25">
      <c r="A112" s="1399"/>
      <c r="B112" s="1469" t="s">
        <v>2009</v>
      </c>
      <c r="C112" s="1413"/>
      <c r="D112" s="1409"/>
      <c r="E112" s="1410"/>
      <c r="F112" s="1414"/>
      <c r="G112" s="1415"/>
      <c r="H112" s="1414"/>
      <c r="I112" s="1415"/>
      <c r="J112" s="1415"/>
      <c r="K112" s="1438"/>
    </row>
    <row r="113" spans="1:11" ht="16.5" thickBot="1" x14ac:dyDescent="0.3">
      <c r="A113" s="1399"/>
      <c r="B113" s="1485"/>
      <c r="C113" s="1463"/>
      <c r="D113" s="1439"/>
      <c r="E113" s="1486"/>
      <c r="F113" s="1487"/>
      <c r="G113" s="1464">
        <f>SUM(G97:G112)</f>
        <v>0</v>
      </c>
      <c r="H113" s="1464">
        <f t="shared" ref="H113:J113" si="5">SUM(H97:H112)</f>
        <v>0</v>
      </c>
      <c r="I113" s="1464">
        <f t="shared" si="5"/>
        <v>0</v>
      </c>
      <c r="J113" s="1464">
        <f t="shared" si="5"/>
        <v>0</v>
      </c>
      <c r="K113" s="1440"/>
    </row>
    <row r="114" spans="1:11" x14ac:dyDescent="0.2">
      <c r="A114" s="1398"/>
      <c r="B114" s="1398"/>
      <c r="C114" s="1398"/>
      <c r="D114" s="1398"/>
      <c r="E114" s="1398"/>
      <c r="F114" s="1398"/>
      <c r="G114" s="1398"/>
      <c r="H114" s="1398"/>
      <c r="I114" s="1398"/>
      <c r="J114" s="1398"/>
      <c r="K114" s="1398"/>
    </row>
    <row r="115" spans="1:11" x14ac:dyDescent="0.2">
      <c r="A115" s="1398"/>
      <c r="B115" s="1398"/>
      <c r="C115" s="1398"/>
      <c r="D115" s="1398"/>
      <c r="E115" s="1398"/>
      <c r="F115" s="1398"/>
      <c r="G115" s="1398"/>
      <c r="H115" s="1398"/>
      <c r="I115" s="1398"/>
      <c r="J115" s="1398"/>
      <c r="K115" s="1398"/>
    </row>
    <row r="116" spans="1:11" x14ac:dyDescent="0.2">
      <c r="A116" s="1398"/>
      <c r="B116" s="1398"/>
      <c r="C116" s="1398"/>
      <c r="D116" s="1398"/>
      <c r="E116" s="1398"/>
      <c r="F116" s="1398"/>
      <c r="G116" s="1398"/>
      <c r="H116" s="1398"/>
      <c r="I116" s="1398"/>
      <c r="J116" s="1398"/>
      <c r="K116" s="1398"/>
    </row>
    <row r="117" spans="1:11" x14ac:dyDescent="0.2">
      <c r="A117" s="1398"/>
      <c r="B117" s="1398"/>
      <c r="C117" s="1398"/>
      <c r="D117" s="1398"/>
      <c r="E117" s="1398"/>
      <c r="F117" s="1398"/>
      <c r="G117" s="1398"/>
      <c r="H117" s="1398"/>
      <c r="I117" s="1398"/>
      <c r="J117" s="1398"/>
      <c r="K117" s="1398"/>
    </row>
    <row r="118" spans="1:11" x14ac:dyDescent="0.2">
      <c r="A118" s="1398"/>
      <c r="B118" s="1398"/>
      <c r="C118" s="1398"/>
      <c r="D118" s="1398"/>
      <c r="E118" s="1398"/>
      <c r="F118" s="1398"/>
      <c r="G118" s="1398"/>
      <c r="H118" s="1398"/>
      <c r="I118" s="1398"/>
      <c r="J118" s="1398"/>
      <c r="K118" s="1398"/>
    </row>
    <row r="119" spans="1:11" x14ac:dyDescent="0.2">
      <c r="A119" s="1398"/>
      <c r="B119" s="1398"/>
      <c r="C119" s="1398"/>
      <c r="D119" s="1398"/>
      <c r="E119" s="1398"/>
      <c r="F119" s="1398"/>
      <c r="G119" s="1398"/>
      <c r="H119" s="1398"/>
      <c r="I119" s="1398"/>
      <c r="J119" s="1398"/>
      <c r="K119" s="1398"/>
    </row>
    <row r="120" spans="1:11" x14ac:dyDescent="0.2">
      <c r="A120" s="1398"/>
      <c r="B120" s="1398"/>
      <c r="C120" s="1398"/>
      <c r="D120" s="1398"/>
      <c r="E120" s="1398"/>
      <c r="F120" s="1398"/>
      <c r="G120" s="1398"/>
      <c r="H120" s="1398"/>
      <c r="I120" s="1398"/>
      <c r="J120" s="1398"/>
      <c r="K120" s="1398"/>
    </row>
    <row r="121" spans="1:11" x14ac:dyDescent="0.2">
      <c r="A121" s="1398"/>
      <c r="B121" s="1398"/>
      <c r="C121" s="1398"/>
      <c r="D121" s="1398"/>
      <c r="E121" s="1398"/>
      <c r="F121" s="1398"/>
      <c r="G121" s="1398"/>
      <c r="H121" s="1398"/>
      <c r="I121" s="1398"/>
      <c r="J121" s="1398"/>
      <c r="K121" s="1398"/>
    </row>
    <row r="122" spans="1:11" x14ac:dyDescent="0.2">
      <c r="A122" s="1398"/>
      <c r="B122" s="1398"/>
      <c r="C122" s="1398"/>
      <c r="D122" s="1398"/>
      <c r="E122" s="1398"/>
      <c r="F122" s="1398"/>
      <c r="G122" s="1398"/>
      <c r="H122" s="1398"/>
      <c r="I122" s="1398"/>
      <c r="J122" s="1398"/>
      <c r="K122" s="1398"/>
    </row>
    <row r="123" spans="1:11" x14ac:dyDescent="0.2">
      <c r="A123" s="1398"/>
      <c r="B123" s="1398"/>
      <c r="C123" s="1398"/>
      <c r="D123" s="1398"/>
      <c r="E123" s="1398"/>
      <c r="F123" s="1398"/>
      <c r="G123" s="1398"/>
      <c r="H123" s="1398"/>
      <c r="I123" s="1398"/>
      <c r="J123" s="1398"/>
      <c r="K123" s="1398"/>
    </row>
    <row r="124" spans="1:11" x14ac:dyDescent="0.2">
      <c r="A124" s="1398"/>
      <c r="B124" s="1398"/>
      <c r="C124" s="1398"/>
      <c r="D124" s="1398"/>
      <c r="E124" s="1398"/>
      <c r="F124" s="1398"/>
      <c r="G124" s="1398"/>
      <c r="H124" s="1398"/>
      <c r="I124" s="1398"/>
      <c r="J124" s="1398"/>
      <c r="K124" s="1398"/>
    </row>
    <row r="125" spans="1:11" x14ac:dyDescent="0.2">
      <c r="A125" s="1398"/>
      <c r="B125" s="1398"/>
      <c r="C125" s="1398"/>
      <c r="D125" s="1398"/>
      <c r="E125" s="1398"/>
      <c r="F125" s="1398"/>
      <c r="G125" s="1398"/>
      <c r="H125" s="1398"/>
      <c r="I125" s="1398"/>
      <c r="J125" s="1398"/>
      <c r="K125" s="1398"/>
    </row>
    <row r="126" spans="1:11" x14ac:dyDescent="0.2">
      <c r="A126" s="1398"/>
      <c r="B126" s="1398"/>
      <c r="C126" s="1398"/>
      <c r="D126" s="1398"/>
      <c r="E126" s="1398"/>
      <c r="F126" s="1398"/>
      <c r="G126" s="1398"/>
      <c r="H126" s="1398"/>
      <c r="I126" s="1398"/>
      <c r="J126" s="1398"/>
      <c r="K126" s="1398"/>
    </row>
    <row r="127" spans="1:11" x14ac:dyDescent="0.2">
      <c r="A127" s="1398"/>
      <c r="B127" s="1398"/>
      <c r="C127" s="1398"/>
      <c r="D127" s="1398"/>
      <c r="E127" s="1398"/>
      <c r="F127" s="1398"/>
      <c r="G127" s="1398"/>
      <c r="H127" s="1398"/>
      <c r="I127" s="1398"/>
      <c r="J127" s="1398"/>
      <c r="K127" s="1398"/>
    </row>
    <row r="128" spans="1:11" x14ac:dyDescent="0.2">
      <c r="A128" s="1398"/>
      <c r="B128" s="1398"/>
      <c r="C128" s="1398"/>
      <c r="D128" s="1398"/>
      <c r="E128" s="1398"/>
      <c r="F128" s="1398"/>
      <c r="G128" s="1398"/>
      <c r="H128" s="1398"/>
      <c r="I128" s="1398"/>
      <c r="J128" s="1398"/>
      <c r="K128" s="1398"/>
    </row>
    <row r="129" spans="1:11" x14ac:dyDescent="0.2">
      <c r="A129" s="1398"/>
      <c r="B129" s="1398"/>
      <c r="C129" s="1398"/>
      <c r="D129" s="1398"/>
      <c r="E129" s="1398"/>
      <c r="F129" s="1398"/>
      <c r="G129" s="1398"/>
      <c r="H129" s="1398"/>
      <c r="I129" s="1398"/>
      <c r="J129" s="1398"/>
      <c r="K129" s="1398"/>
    </row>
    <row r="130" spans="1:11" x14ac:dyDescent="0.2">
      <c r="A130" s="1398"/>
      <c r="B130" s="1398"/>
      <c r="C130" s="1398"/>
      <c r="D130" s="1398"/>
      <c r="E130" s="1398"/>
      <c r="F130" s="1398"/>
      <c r="G130" s="1398"/>
      <c r="H130" s="1398"/>
      <c r="I130" s="1398"/>
      <c r="J130" s="1398"/>
      <c r="K130" s="1398"/>
    </row>
    <row r="131" spans="1:11" x14ac:dyDescent="0.2">
      <c r="A131" s="1398"/>
      <c r="B131" s="1398"/>
      <c r="C131" s="1398"/>
      <c r="D131" s="1398"/>
      <c r="E131" s="1398"/>
      <c r="F131" s="1398"/>
      <c r="G131" s="1398"/>
      <c r="H131" s="1398"/>
      <c r="I131" s="1398"/>
      <c r="J131" s="1398"/>
      <c r="K131" s="1398"/>
    </row>
    <row r="132" spans="1:11" x14ac:dyDescent="0.2">
      <c r="A132" s="1398"/>
      <c r="B132" s="1398"/>
      <c r="C132" s="1398"/>
      <c r="D132" s="1398"/>
      <c r="E132" s="1398"/>
      <c r="F132" s="1398"/>
      <c r="G132" s="1398"/>
      <c r="H132" s="1398"/>
      <c r="I132" s="1398"/>
      <c r="J132" s="1398"/>
      <c r="K132" s="1398"/>
    </row>
    <row r="133" spans="1:11" x14ac:dyDescent="0.2">
      <c r="A133" s="1398"/>
      <c r="B133" s="1398"/>
      <c r="C133" s="1398"/>
      <c r="D133" s="1398"/>
      <c r="E133" s="1398"/>
      <c r="F133" s="1398"/>
      <c r="G133" s="1398"/>
      <c r="H133" s="1398"/>
      <c r="I133" s="1398"/>
      <c r="J133" s="1398"/>
      <c r="K133" s="1398"/>
    </row>
    <row r="134" spans="1:11" x14ac:dyDescent="0.2">
      <c r="A134" s="1398"/>
      <c r="B134" s="1398"/>
      <c r="C134" s="1398"/>
      <c r="D134" s="1398"/>
      <c r="E134" s="1398"/>
      <c r="F134" s="1398"/>
      <c r="G134" s="1398"/>
      <c r="H134" s="1398"/>
      <c r="I134" s="1398"/>
      <c r="J134" s="1398"/>
      <c r="K134" s="1398"/>
    </row>
    <row r="135" spans="1:11" x14ac:dyDescent="0.2">
      <c r="A135" s="1398"/>
      <c r="B135" s="1398"/>
      <c r="C135" s="1398"/>
      <c r="D135" s="1398"/>
      <c r="E135" s="1398"/>
      <c r="F135" s="1398"/>
      <c r="G135" s="1398"/>
      <c r="H135" s="1398"/>
      <c r="I135" s="1398"/>
      <c r="J135" s="1398"/>
      <c r="K135" s="1398"/>
    </row>
    <row r="136" spans="1:11" x14ac:dyDescent="0.2">
      <c r="A136" s="1398"/>
      <c r="B136" s="1398"/>
      <c r="C136" s="1398"/>
      <c r="D136" s="1398"/>
      <c r="E136" s="1398"/>
      <c r="F136" s="1398"/>
      <c r="G136" s="1398"/>
      <c r="H136" s="1398"/>
      <c r="I136" s="1398"/>
      <c r="J136" s="1398"/>
      <c r="K136" s="1398"/>
    </row>
    <row r="137" spans="1:11" x14ac:dyDescent="0.2">
      <c r="A137" s="1398"/>
      <c r="B137" s="1398"/>
      <c r="C137" s="1398"/>
      <c r="D137" s="1398"/>
      <c r="E137" s="1398"/>
      <c r="F137" s="1398"/>
      <c r="G137" s="1398"/>
      <c r="H137" s="1398"/>
      <c r="I137" s="1398"/>
      <c r="J137" s="1398"/>
      <c r="K137" s="1398"/>
    </row>
    <row r="138" spans="1:11" x14ac:dyDescent="0.2">
      <c r="A138" s="1398"/>
      <c r="B138" s="1398"/>
      <c r="C138" s="1398"/>
      <c r="D138" s="1398"/>
      <c r="E138" s="1398"/>
      <c r="F138" s="1398"/>
      <c r="G138" s="1398"/>
      <c r="H138" s="1398"/>
      <c r="I138" s="1398"/>
      <c r="J138" s="1398"/>
      <c r="K138" s="1398"/>
    </row>
    <row r="139" spans="1:11" x14ac:dyDescent="0.2">
      <c r="A139" s="1398"/>
      <c r="B139" s="1398"/>
      <c r="C139" s="1398"/>
      <c r="D139" s="1398"/>
      <c r="E139" s="1398"/>
      <c r="F139" s="1398"/>
      <c r="G139" s="1398"/>
      <c r="H139" s="1398"/>
      <c r="I139" s="1398"/>
      <c r="J139" s="1398"/>
      <c r="K139" s="1398"/>
    </row>
    <row r="140" spans="1:11" x14ac:dyDescent="0.2">
      <c r="A140" s="1398"/>
      <c r="B140" s="1398"/>
      <c r="C140" s="1398"/>
      <c r="D140" s="1398"/>
      <c r="E140" s="1398"/>
      <c r="F140" s="1398"/>
      <c r="G140" s="1398"/>
      <c r="H140" s="1398"/>
      <c r="I140" s="1398"/>
      <c r="J140" s="1398"/>
      <c r="K140" s="1398"/>
    </row>
    <row r="141" spans="1:11" x14ac:dyDescent="0.2">
      <c r="A141" s="1398"/>
      <c r="B141" s="1398"/>
      <c r="C141" s="1398"/>
      <c r="D141" s="1398"/>
      <c r="E141" s="1398"/>
      <c r="F141" s="1398"/>
      <c r="G141" s="1398"/>
      <c r="H141" s="1398"/>
      <c r="I141" s="1398"/>
      <c r="J141" s="1398"/>
      <c r="K141" s="1398"/>
    </row>
    <row r="142" spans="1:11" x14ac:dyDescent="0.2">
      <c r="A142" s="1398"/>
      <c r="B142" s="1398"/>
      <c r="C142" s="1398"/>
      <c r="D142" s="1398"/>
      <c r="E142" s="1398"/>
      <c r="F142" s="1398"/>
      <c r="G142" s="1398"/>
      <c r="H142" s="1398"/>
      <c r="I142" s="1398"/>
      <c r="J142" s="1398"/>
      <c r="K142" s="1398"/>
    </row>
    <row r="143" spans="1:11" x14ac:dyDescent="0.2">
      <c r="A143" s="1398"/>
      <c r="B143" s="1398"/>
      <c r="C143" s="1398"/>
      <c r="D143" s="1398"/>
      <c r="E143" s="1398"/>
      <c r="F143" s="1398"/>
      <c r="G143" s="1398"/>
      <c r="H143" s="1398"/>
      <c r="I143" s="1398"/>
      <c r="J143" s="1398"/>
      <c r="K143" s="1398"/>
    </row>
    <row r="144" spans="1:11" x14ac:dyDescent="0.2">
      <c r="A144" s="1398"/>
      <c r="B144" s="1398"/>
      <c r="C144" s="1398"/>
      <c r="D144" s="1398"/>
      <c r="E144" s="1398"/>
      <c r="F144" s="1398"/>
      <c r="G144" s="1398"/>
      <c r="H144" s="1398"/>
      <c r="I144" s="1398"/>
      <c r="J144" s="1398"/>
      <c r="K144" s="1398"/>
    </row>
    <row r="145" spans="1:11" x14ac:dyDescent="0.2">
      <c r="A145" s="1398"/>
      <c r="B145" s="1398"/>
      <c r="C145" s="1398"/>
      <c r="D145" s="1398"/>
      <c r="E145" s="1398"/>
      <c r="F145" s="1398"/>
      <c r="G145" s="1398"/>
      <c r="H145" s="1398"/>
      <c r="I145" s="1398"/>
      <c r="J145" s="1398"/>
      <c r="K145" s="1398"/>
    </row>
    <row r="146" spans="1:11" x14ac:dyDescent="0.2">
      <c r="A146" s="1398"/>
      <c r="B146" s="1398"/>
      <c r="C146" s="1398"/>
      <c r="D146" s="1398"/>
      <c r="E146" s="1398"/>
      <c r="F146" s="1398"/>
      <c r="G146" s="1398"/>
      <c r="H146" s="1398"/>
      <c r="I146" s="1398"/>
      <c r="J146" s="1398"/>
      <c r="K146" s="1398"/>
    </row>
    <row r="147" spans="1:11" x14ac:dyDescent="0.2">
      <c r="A147" s="1398"/>
      <c r="B147" s="1398"/>
      <c r="C147" s="1398"/>
      <c r="D147" s="1398"/>
      <c r="E147" s="1398"/>
      <c r="F147" s="1398"/>
      <c r="G147" s="1398"/>
      <c r="H147" s="1398"/>
      <c r="I147" s="1398"/>
      <c r="J147" s="1398"/>
      <c r="K147" s="1398"/>
    </row>
    <row r="148" spans="1:11" x14ac:dyDescent="0.2">
      <c r="A148" s="1398"/>
      <c r="B148" s="1398"/>
      <c r="C148" s="1398"/>
      <c r="D148" s="1398"/>
      <c r="E148" s="1398"/>
      <c r="F148" s="1398"/>
      <c r="G148" s="1398"/>
      <c r="H148" s="1398"/>
      <c r="I148" s="1398"/>
      <c r="J148" s="1398"/>
      <c r="K148" s="1398"/>
    </row>
    <row r="149" spans="1:11" x14ac:dyDescent="0.2">
      <c r="A149" s="1398"/>
      <c r="B149" s="1398"/>
      <c r="C149" s="1398"/>
      <c r="D149" s="1398"/>
      <c r="E149" s="1398"/>
      <c r="F149" s="1398"/>
      <c r="G149" s="1398"/>
      <c r="H149" s="1398"/>
      <c r="I149" s="1398"/>
      <c r="J149" s="1398"/>
      <c r="K149" s="1398"/>
    </row>
    <row r="150" spans="1:11" x14ac:dyDescent="0.2">
      <c r="A150" s="1398"/>
      <c r="B150" s="1398"/>
      <c r="C150" s="1398"/>
      <c r="D150" s="1398"/>
      <c r="E150" s="1398"/>
      <c r="F150" s="1398"/>
      <c r="G150" s="1398"/>
      <c r="H150" s="1398"/>
      <c r="I150" s="1398"/>
      <c r="J150" s="1398"/>
      <c r="K150" s="1398"/>
    </row>
    <row r="151" spans="1:11" x14ac:dyDescent="0.2">
      <c r="A151" s="1398"/>
      <c r="B151" s="1398"/>
      <c r="C151" s="1398"/>
      <c r="D151" s="1398"/>
      <c r="E151" s="1398"/>
      <c r="F151" s="1398"/>
      <c r="G151" s="1398"/>
      <c r="H151" s="1398"/>
      <c r="I151" s="1398"/>
      <c r="J151" s="1398"/>
      <c r="K151" s="1398"/>
    </row>
    <row r="152" spans="1:11" x14ac:dyDescent="0.2">
      <c r="A152" s="1398"/>
      <c r="B152" s="1398"/>
      <c r="C152" s="1398"/>
      <c r="D152" s="1398"/>
      <c r="E152" s="1398"/>
      <c r="F152" s="1398"/>
      <c r="G152" s="1398"/>
      <c r="H152" s="1398"/>
      <c r="I152" s="1398"/>
      <c r="J152" s="1398"/>
      <c r="K152" s="1398"/>
    </row>
    <row r="153" spans="1:11" x14ac:dyDescent="0.2">
      <c r="A153" s="1398"/>
      <c r="B153" s="1398"/>
      <c r="C153" s="1398"/>
      <c r="D153" s="1398"/>
      <c r="E153" s="1398"/>
      <c r="F153" s="1398"/>
      <c r="G153" s="1398"/>
      <c r="H153" s="1398"/>
      <c r="I153" s="1398"/>
      <c r="J153" s="1398"/>
      <c r="K153" s="1398"/>
    </row>
    <row r="154" spans="1:11" x14ac:dyDescent="0.2">
      <c r="A154" s="1398"/>
      <c r="B154" s="1398"/>
      <c r="C154" s="1398"/>
      <c r="D154" s="1398"/>
      <c r="E154" s="1398"/>
      <c r="F154" s="1398"/>
      <c r="G154" s="1398"/>
      <c r="H154" s="1398"/>
      <c r="I154" s="1398"/>
      <c r="J154" s="1398"/>
      <c r="K154" s="1398"/>
    </row>
    <row r="155" spans="1:11" x14ac:dyDescent="0.2">
      <c r="A155" s="1398"/>
      <c r="B155" s="1398"/>
      <c r="C155" s="1398"/>
      <c r="D155" s="1398"/>
      <c r="E155" s="1398"/>
      <c r="F155" s="1398"/>
      <c r="G155" s="1398"/>
      <c r="H155" s="1398"/>
      <c r="I155" s="1398"/>
      <c r="J155" s="1398"/>
      <c r="K155" s="1398"/>
    </row>
    <row r="156" spans="1:11" x14ac:dyDescent="0.2">
      <c r="A156" s="1398"/>
      <c r="B156" s="1398"/>
      <c r="C156" s="1398"/>
      <c r="D156" s="1398"/>
      <c r="E156" s="1398"/>
      <c r="F156" s="1398"/>
      <c r="G156" s="1398"/>
      <c r="H156" s="1398"/>
      <c r="I156" s="1398"/>
      <c r="J156" s="1398"/>
      <c r="K156" s="1398"/>
    </row>
    <row r="157" spans="1:11" x14ac:dyDescent="0.2">
      <c r="A157" s="1398"/>
      <c r="B157" s="1398"/>
      <c r="C157" s="1398"/>
      <c r="D157" s="1398"/>
      <c r="E157" s="1398"/>
      <c r="F157" s="1398"/>
      <c r="G157" s="1398"/>
      <c r="H157" s="1398"/>
      <c r="I157" s="1398"/>
      <c r="J157" s="1398"/>
      <c r="K157" s="1398"/>
    </row>
    <row r="158" spans="1:11" x14ac:dyDescent="0.2">
      <c r="A158" s="1398"/>
      <c r="B158" s="1398"/>
      <c r="C158" s="1398"/>
      <c r="D158" s="1398"/>
      <c r="E158" s="1398"/>
      <c r="F158" s="1398"/>
      <c r="G158" s="1398"/>
      <c r="H158" s="1398"/>
      <c r="I158" s="1398"/>
      <c r="J158" s="1398"/>
      <c r="K158" s="1398"/>
    </row>
    <row r="159" spans="1:11" x14ac:dyDescent="0.2">
      <c r="A159" s="1398"/>
      <c r="B159" s="1398"/>
      <c r="C159" s="1398"/>
      <c r="D159" s="1398"/>
      <c r="E159" s="1398"/>
      <c r="F159" s="1398"/>
      <c r="G159" s="1398"/>
      <c r="H159" s="1398"/>
      <c r="I159" s="1398"/>
      <c r="J159" s="1398"/>
      <c r="K159" s="1398"/>
    </row>
    <row r="160" spans="1:11" x14ac:dyDescent="0.2">
      <c r="A160" s="1398"/>
      <c r="B160" s="1398"/>
      <c r="C160" s="1398"/>
      <c r="D160" s="1398"/>
      <c r="E160" s="1398"/>
      <c r="F160" s="1398"/>
      <c r="G160" s="1398"/>
      <c r="H160" s="1398"/>
      <c r="I160" s="1398"/>
      <c r="J160" s="1398"/>
      <c r="K160" s="1398"/>
    </row>
    <row r="161" spans="1:11" x14ac:dyDescent="0.2">
      <c r="A161" s="1398"/>
      <c r="B161" s="1398"/>
      <c r="C161" s="1398"/>
      <c r="D161" s="1398"/>
      <c r="E161" s="1398"/>
      <c r="F161" s="1398"/>
      <c r="G161" s="1398"/>
      <c r="H161" s="1398"/>
      <c r="I161" s="1398"/>
      <c r="J161" s="1398"/>
      <c r="K161" s="1398"/>
    </row>
    <row r="162" spans="1:11" x14ac:dyDescent="0.2">
      <c r="A162" s="1398"/>
      <c r="B162" s="1398"/>
      <c r="C162" s="1398"/>
      <c r="D162" s="1398"/>
      <c r="E162" s="1398"/>
      <c r="F162" s="1398"/>
      <c r="G162" s="1398"/>
      <c r="H162" s="1398"/>
      <c r="I162" s="1398"/>
      <c r="J162" s="1398"/>
      <c r="K162" s="1398"/>
    </row>
    <row r="163" spans="1:11" x14ac:dyDescent="0.2">
      <c r="A163" s="1398"/>
      <c r="B163" s="1398"/>
      <c r="C163" s="1398"/>
      <c r="D163" s="1398"/>
      <c r="E163" s="1398"/>
      <c r="F163" s="1398"/>
      <c r="G163" s="1398"/>
      <c r="H163" s="1398"/>
      <c r="I163" s="1398"/>
      <c r="J163" s="1398"/>
      <c r="K163" s="1398"/>
    </row>
    <row r="164" spans="1:11" x14ac:dyDescent="0.2">
      <c r="A164" s="1398"/>
      <c r="B164" s="1398"/>
      <c r="C164" s="1398"/>
      <c r="D164" s="1398"/>
      <c r="E164" s="1398"/>
      <c r="F164" s="1398"/>
      <c r="G164" s="1398"/>
      <c r="H164" s="1398"/>
      <c r="I164" s="1398"/>
      <c r="J164" s="1398"/>
      <c r="K164" s="1398"/>
    </row>
    <row r="165" spans="1:11" x14ac:dyDescent="0.2">
      <c r="A165" s="1398"/>
      <c r="B165" s="1398"/>
      <c r="C165" s="1398"/>
      <c r="D165" s="1398"/>
      <c r="E165" s="1398"/>
      <c r="F165" s="1398"/>
      <c r="G165" s="1398"/>
      <c r="H165" s="1398"/>
      <c r="I165" s="1398"/>
      <c r="J165" s="1398"/>
      <c r="K165" s="1398"/>
    </row>
    <row r="166" spans="1:11" x14ac:dyDescent="0.2">
      <c r="A166" s="1398"/>
      <c r="B166" s="1398"/>
      <c r="C166" s="1398"/>
      <c r="D166" s="1398"/>
      <c r="E166" s="1398"/>
      <c r="F166" s="1398"/>
      <c r="G166" s="1398"/>
      <c r="H166" s="1398"/>
      <c r="I166" s="1398"/>
      <c r="J166" s="1398"/>
      <c r="K166" s="1398"/>
    </row>
    <row r="167" spans="1:11" x14ac:dyDescent="0.2">
      <c r="A167" s="1398"/>
      <c r="B167" s="1398"/>
      <c r="C167" s="1398"/>
      <c r="D167" s="1398"/>
      <c r="E167" s="1398"/>
      <c r="F167" s="1398"/>
      <c r="G167" s="1398"/>
      <c r="H167" s="1398"/>
      <c r="I167" s="1398"/>
      <c r="J167" s="1398"/>
      <c r="K167" s="1398"/>
    </row>
    <row r="168" spans="1:11" x14ac:dyDescent="0.2">
      <c r="A168" s="1398"/>
      <c r="B168" s="1398"/>
      <c r="C168" s="1398"/>
      <c r="D168" s="1398"/>
      <c r="E168" s="1398"/>
      <c r="F168" s="1398"/>
      <c r="G168" s="1398"/>
      <c r="H168" s="1398"/>
      <c r="I168" s="1398"/>
      <c r="J168" s="1398"/>
      <c r="K168" s="1398"/>
    </row>
    <row r="169" spans="1:11" x14ac:dyDescent="0.2">
      <c r="A169" s="1398"/>
      <c r="B169" s="1398"/>
      <c r="C169" s="1398"/>
      <c r="D169" s="1398"/>
      <c r="E169" s="1398"/>
      <c r="F169" s="1398"/>
      <c r="G169" s="1398"/>
      <c r="H169" s="1398"/>
      <c r="I169" s="1398"/>
      <c r="J169" s="1398"/>
      <c r="K169" s="1398"/>
    </row>
    <row r="170" spans="1:11" x14ac:dyDescent="0.2">
      <c r="A170" s="1398"/>
      <c r="B170" s="1398"/>
      <c r="C170" s="1398"/>
      <c r="D170" s="1398"/>
      <c r="E170" s="1398"/>
      <c r="F170" s="1398"/>
      <c r="G170" s="1398"/>
      <c r="H170" s="1398"/>
      <c r="I170" s="1398"/>
      <c r="J170" s="1398"/>
      <c r="K170" s="1398"/>
    </row>
    <row r="171" spans="1:11" x14ac:dyDescent="0.2">
      <c r="A171" s="1398"/>
      <c r="B171" s="1398"/>
      <c r="C171" s="1398"/>
      <c r="D171" s="1398"/>
      <c r="E171" s="1398"/>
      <c r="F171" s="1398"/>
      <c r="G171" s="1398"/>
      <c r="H171" s="1398"/>
      <c r="I171" s="1398"/>
      <c r="J171" s="1398"/>
      <c r="K171" s="1398"/>
    </row>
    <row r="172" spans="1:11" x14ac:dyDescent="0.2">
      <c r="A172" s="1398"/>
      <c r="B172" s="1398"/>
      <c r="C172" s="1398"/>
      <c r="D172" s="1398"/>
      <c r="E172" s="1398"/>
      <c r="F172" s="1398"/>
      <c r="G172" s="1398"/>
      <c r="H172" s="1398"/>
      <c r="I172" s="1398"/>
      <c r="J172" s="1398"/>
      <c r="K172" s="1398"/>
    </row>
    <row r="173" spans="1:11" x14ac:dyDescent="0.2">
      <c r="A173" s="1398"/>
      <c r="B173" s="1398"/>
      <c r="C173" s="1398"/>
      <c r="D173" s="1398"/>
      <c r="E173" s="1398"/>
      <c r="F173" s="1398"/>
      <c r="G173" s="1398"/>
      <c r="H173" s="1398"/>
      <c r="I173" s="1398"/>
      <c r="J173" s="1398"/>
      <c r="K173" s="1398"/>
    </row>
    <row r="174" spans="1:11" x14ac:dyDescent="0.2">
      <c r="A174" s="1398"/>
      <c r="B174" s="1398"/>
      <c r="C174" s="1398"/>
      <c r="D174" s="1398"/>
      <c r="E174" s="1398"/>
      <c r="F174" s="1398"/>
      <c r="G174" s="1398"/>
      <c r="H174" s="1398"/>
      <c r="I174" s="1398"/>
      <c r="J174" s="1398"/>
      <c r="K174" s="1398"/>
    </row>
    <row r="175" spans="1:11" x14ac:dyDescent="0.2">
      <c r="A175" s="1398"/>
      <c r="B175" s="1398"/>
      <c r="C175" s="1398"/>
      <c r="D175" s="1398"/>
      <c r="E175" s="1398"/>
      <c r="F175" s="1398"/>
      <c r="G175" s="1398"/>
      <c r="H175" s="1398"/>
      <c r="I175" s="1398"/>
      <c r="J175" s="1398"/>
      <c r="K175" s="1398"/>
    </row>
    <row r="176" spans="1:11" x14ac:dyDescent="0.2">
      <c r="A176" s="1398"/>
      <c r="B176" s="1398"/>
      <c r="C176" s="1398"/>
      <c r="D176" s="1398"/>
      <c r="E176" s="1398"/>
      <c r="F176" s="1398"/>
      <c r="G176" s="1398"/>
      <c r="H176" s="1398"/>
      <c r="I176" s="1398"/>
      <c r="J176" s="1398"/>
      <c r="K176" s="1398"/>
    </row>
    <row r="177" spans="1:11" x14ac:dyDescent="0.2">
      <c r="A177" s="1398"/>
      <c r="B177" s="1398"/>
      <c r="C177" s="1398"/>
      <c r="D177" s="1398"/>
      <c r="E177" s="1398"/>
      <c r="F177" s="1398"/>
      <c r="G177" s="1398"/>
      <c r="H177" s="1398"/>
      <c r="I177" s="1398"/>
      <c r="J177" s="1398"/>
      <c r="K177" s="1398"/>
    </row>
    <row r="178" spans="1:11" x14ac:dyDescent="0.2">
      <c r="A178" s="1398"/>
      <c r="B178" s="1398"/>
      <c r="C178" s="1398"/>
      <c r="D178" s="1398"/>
      <c r="E178" s="1398"/>
      <c r="F178" s="1398"/>
      <c r="G178" s="1398"/>
      <c r="H178" s="1398"/>
      <c r="I178" s="1398"/>
      <c r="J178" s="1398"/>
      <c r="K178" s="1398"/>
    </row>
    <row r="179" spans="1:11" x14ac:dyDescent="0.2">
      <c r="A179" s="1398"/>
      <c r="B179" s="1398"/>
      <c r="C179" s="1398"/>
      <c r="D179" s="1398"/>
      <c r="E179" s="1398"/>
      <c r="F179" s="1398"/>
      <c r="G179" s="1398"/>
      <c r="H179" s="1398"/>
      <c r="I179" s="1398"/>
      <c r="J179" s="1398"/>
      <c r="K179" s="1398"/>
    </row>
    <row r="180" spans="1:11" x14ac:dyDescent="0.2">
      <c r="A180" s="1398"/>
      <c r="B180" s="1398"/>
      <c r="C180" s="1398"/>
      <c r="D180" s="1398"/>
      <c r="E180" s="1398"/>
      <c r="F180" s="1398"/>
      <c r="G180" s="1398"/>
      <c r="H180" s="1398"/>
      <c r="I180" s="1398"/>
      <c r="J180" s="1398"/>
      <c r="K180" s="1398"/>
    </row>
    <row r="181" spans="1:11" x14ac:dyDescent="0.2">
      <c r="A181" s="1398"/>
      <c r="B181" s="1398"/>
      <c r="C181" s="1398"/>
      <c r="D181" s="1398"/>
      <c r="E181" s="1398"/>
      <c r="F181" s="1398"/>
      <c r="G181" s="1398"/>
      <c r="H181" s="1398"/>
      <c r="I181" s="1398"/>
      <c r="J181" s="1398"/>
      <c r="K181" s="1398"/>
    </row>
    <row r="182" spans="1:11" x14ac:dyDescent="0.2">
      <c r="A182" s="1398"/>
      <c r="B182" s="1398"/>
      <c r="C182" s="1398"/>
      <c r="D182" s="1398"/>
      <c r="E182" s="1398"/>
      <c r="F182" s="1398"/>
      <c r="G182" s="1398"/>
      <c r="H182" s="1398"/>
      <c r="I182" s="1398"/>
      <c r="J182" s="1398"/>
      <c r="K182" s="1398"/>
    </row>
    <row r="183" spans="1:11" x14ac:dyDescent="0.2">
      <c r="A183" s="1398"/>
      <c r="B183" s="1398"/>
      <c r="C183" s="1398"/>
      <c r="D183" s="1398"/>
      <c r="E183" s="1398"/>
      <c r="F183" s="1398"/>
      <c r="G183" s="1398"/>
      <c r="H183" s="1398"/>
      <c r="I183" s="1398"/>
      <c r="J183" s="1398"/>
      <c r="K183" s="1398"/>
    </row>
    <row r="184" spans="1:11" x14ac:dyDescent="0.2">
      <c r="A184" s="1398"/>
      <c r="B184" s="1398"/>
      <c r="C184" s="1398"/>
      <c r="D184" s="1398"/>
      <c r="E184" s="1398"/>
      <c r="F184" s="1398"/>
      <c r="G184" s="1398"/>
      <c r="H184" s="1398"/>
      <c r="I184" s="1398"/>
      <c r="J184" s="1398"/>
      <c r="K184" s="1398"/>
    </row>
    <row r="185" spans="1:11" x14ac:dyDescent="0.2">
      <c r="A185" s="1398"/>
      <c r="B185" s="1398"/>
      <c r="C185" s="1398"/>
      <c r="D185" s="1398"/>
      <c r="E185" s="1398"/>
      <c r="F185" s="1398"/>
      <c r="G185" s="1398"/>
      <c r="H185" s="1398"/>
      <c r="I185" s="1398"/>
      <c r="J185" s="1398"/>
      <c r="K185" s="1398"/>
    </row>
    <row r="186" spans="1:11" x14ac:dyDescent="0.2">
      <c r="A186" s="1398"/>
      <c r="B186" s="1398"/>
      <c r="C186" s="1398"/>
      <c r="D186" s="1398"/>
      <c r="E186" s="1398"/>
      <c r="F186" s="1398"/>
      <c r="G186" s="1398"/>
      <c r="H186" s="1398"/>
      <c r="I186" s="1398"/>
      <c r="J186" s="1398"/>
      <c r="K186" s="1398"/>
    </row>
    <row r="187" spans="1:11" x14ac:dyDescent="0.2">
      <c r="A187" s="1398"/>
      <c r="B187" s="1398"/>
      <c r="C187" s="1398"/>
      <c r="D187" s="1398"/>
      <c r="E187" s="1398"/>
      <c r="F187" s="1398"/>
      <c r="G187" s="1398"/>
      <c r="H187" s="1398"/>
      <c r="I187" s="1398"/>
      <c r="J187" s="1398"/>
      <c r="K187" s="1398"/>
    </row>
    <row r="188" spans="1:11" x14ac:dyDescent="0.2">
      <c r="A188" s="1398"/>
      <c r="B188" s="1398"/>
      <c r="C188" s="1398"/>
      <c r="D188" s="1398"/>
      <c r="E188" s="1398"/>
      <c r="F188" s="1398"/>
      <c r="G188" s="1398"/>
      <c r="H188" s="1398"/>
      <c r="I188" s="1398"/>
      <c r="J188" s="1398"/>
      <c r="K188" s="1398"/>
    </row>
    <row r="189" spans="1:11" x14ac:dyDescent="0.2">
      <c r="A189" s="1398"/>
      <c r="B189" s="1398"/>
      <c r="C189" s="1398"/>
      <c r="D189" s="1398"/>
      <c r="E189" s="1398"/>
      <c r="F189" s="1398"/>
      <c r="G189" s="1398"/>
      <c r="H189" s="1398"/>
      <c r="I189" s="1398"/>
      <c r="J189" s="1398"/>
      <c r="K189" s="1398"/>
    </row>
    <row r="190" spans="1:11" x14ac:dyDescent="0.2">
      <c r="A190" s="1398"/>
      <c r="B190" s="1398"/>
      <c r="C190" s="1398"/>
      <c r="D190" s="1398"/>
      <c r="E190" s="1398"/>
      <c r="F190" s="1398"/>
      <c r="G190" s="1398"/>
      <c r="H190" s="1398"/>
      <c r="I190" s="1398"/>
      <c r="J190" s="1398"/>
      <c r="K190" s="1398"/>
    </row>
    <row r="191" spans="1:11" x14ac:dyDescent="0.2">
      <c r="A191" s="1398"/>
      <c r="B191" s="1398"/>
      <c r="C191" s="1398"/>
      <c r="D191" s="1398"/>
      <c r="E191" s="1398"/>
      <c r="F191" s="1398"/>
      <c r="G191" s="1398"/>
      <c r="H191" s="1398"/>
      <c r="I191" s="1398"/>
      <c r="J191" s="1398"/>
      <c r="K191" s="1398"/>
    </row>
    <row r="192" spans="1:11" x14ac:dyDescent="0.2">
      <c r="A192" s="1398"/>
      <c r="B192" s="1398"/>
      <c r="C192" s="1398"/>
      <c r="D192" s="1398"/>
      <c r="E192" s="1398"/>
      <c r="F192" s="1398"/>
      <c r="G192" s="1398"/>
      <c r="H192" s="1398"/>
      <c r="I192" s="1398"/>
      <c r="J192" s="1398"/>
      <c r="K192" s="1398"/>
    </row>
    <row r="193" spans="1:11" x14ac:dyDescent="0.2">
      <c r="A193" s="1398"/>
      <c r="B193" s="1398"/>
      <c r="C193" s="1398"/>
      <c r="D193" s="1398"/>
      <c r="E193" s="1398"/>
      <c r="F193" s="1398"/>
      <c r="G193" s="1398"/>
      <c r="H193" s="1398"/>
      <c r="I193" s="1398"/>
      <c r="J193" s="1398"/>
      <c r="K193" s="1398"/>
    </row>
    <row r="194" spans="1:11" x14ac:dyDescent="0.2">
      <c r="A194" s="1398"/>
      <c r="B194" s="1398"/>
      <c r="C194" s="1398"/>
      <c r="D194" s="1398"/>
      <c r="E194" s="1398"/>
      <c r="F194" s="1398"/>
      <c r="G194" s="1398"/>
      <c r="H194" s="1398"/>
      <c r="I194" s="1398"/>
      <c r="J194" s="1398"/>
      <c r="K194" s="1398"/>
    </row>
    <row r="195" spans="1:11" x14ac:dyDescent="0.2">
      <c r="A195" s="1398"/>
      <c r="B195" s="1398"/>
      <c r="C195" s="1398"/>
      <c r="D195" s="1398"/>
      <c r="E195" s="1398"/>
      <c r="F195" s="1398"/>
      <c r="G195" s="1398"/>
      <c r="H195" s="1398"/>
      <c r="I195" s="1398"/>
      <c r="J195" s="1398"/>
      <c r="K195" s="1398"/>
    </row>
    <row r="196" spans="1:11" x14ac:dyDescent="0.2">
      <c r="A196" s="1398"/>
      <c r="B196" s="1398"/>
      <c r="C196" s="1398"/>
      <c r="D196" s="1398"/>
      <c r="E196" s="1398"/>
      <c r="F196" s="1398"/>
      <c r="G196" s="1398"/>
      <c r="H196" s="1398"/>
      <c r="I196" s="1398"/>
      <c r="J196" s="1398"/>
      <c r="K196" s="1398"/>
    </row>
    <row r="197" spans="1:11" x14ac:dyDescent="0.2">
      <c r="A197" s="1398"/>
      <c r="B197" s="1398"/>
      <c r="C197" s="1398"/>
      <c r="D197" s="1398"/>
      <c r="E197" s="1398"/>
      <c r="F197" s="1398"/>
      <c r="G197" s="1398"/>
      <c r="H197" s="1398"/>
      <c r="I197" s="1398"/>
      <c r="J197" s="1398"/>
      <c r="K197" s="1398"/>
    </row>
    <row r="198" spans="1:11" x14ac:dyDescent="0.2">
      <c r="A198" s="1398"/>
      <c r="B198" s="1398"/>
      <c r="C198" s="1398"/>
      <c r="D198" s="1398"/>
      <c r="E198" s="1398"/>
      <c r="F198" s="1398"/>
      <c r="G198" s="1398"/>
      <c r="H198" s="1398"/>
      <c r="I198" s="1398"/>
      <c r="J198" s="1398"/>
      <c r="K198" s="1398"/>
    </row>
    <row r="199" spans="1:11" x14ac:dyDescent="0.2">
      <c r="A199" s="1398"/>
      <c r="B199" s="1398"/>
      <c r="C199" s="1398"/>
      <c r="D199" s="1398"/>
      <c r="E199" s="1398"/>
      <c r="F199" s="1398"/>
      <c r="G199" s="1398"/>
      <c r="H199" s="1398"/>
      <c r="I199" s="1398"/>
      <c r="J199" s="1398"/>
      <c r="K199" s="1398"/>
    </row>
    <row r="200" spans="1:11" x14ac:dyDescent="0.2">
      <c r="A200" s="1398"/>
      <c r="B200" s="1398"/>
      <c r="C200" s="1398"/>
      <c r="D200" s="1398"/>
      <c r="E200" s="1398"/>
      <c r="F200" s="1398"/>
      <c r="G200" s="1398"/>
      <c r="H200" s="1398"/>
      <c r="I200" s="1398"/>
      <c r="J200" s="1398"/>
      <c r="K200" s="1398"/>
    </row>
    <row r="201" spans="1:11" x14ac:dyDescent="0.2">
      <c r="A201" s="1398"/>
      <c r="B201" s="1398"/>
      <c r="C201" s="1398"/>
      <c r="D201" s="1398"/>
      <c r="E201" s="1398"/>
      <c r="F201" s="1398"/>
      <c r="G201" s="1398"/>
      <c r="H201" s="1398"/>
      <c r="I201" s="1398"/>
      <c r="J201" s="1398"/>
      <c r="K201" s="1398"/>
    </row>
    <row r="202" spans="1:11" x14ac:dyDescent="0.2">
      <c r="A202" s="1398"/>
      <c r="B202" s="1398"/>
      <c r="C202" s="1398"/>
      <c r="D202" s="1398"/>
      <c r="E202" s="1398"/>
      <c r="F202" s="1398"/>
      <c r="G202" s="1398"/>
      <c r="H202" s="1398"/>
      <c r="I202" s="1398"/>
      <c r="J202" s="1398"/>
      <c r="K202" s="1398"/>
    </row>
    <row r="203" spans="1:11" x14ac:dyDescent="0.2">
      <c r="A203" s="1398"/>
      <c r="B203" s="1398"/>
      <c r="C203" s="1398"/>
      <c r="D203" s="1398"/>
      <c r="E203" s="1398"/>
      <c r="F203" s="1398"/>
      <c r="G203" s="1398"/>
      <c r="H203" s="1398"/>
      <c r="I203" s="1398"/>
      <c r="J203" s="1398"/>
      <c r="K203" s="1398"/>
    </row>
    <row r="204" spans="1:11" x14ac:dyDescent="0.2">
      <c r="A204" s="1398"/>
      <c r="B204" s="1398"/>
      <c r="C204" s="1398"/>
      <c r="D204" s="1398"/>
      <c r="E204" s="1398"/>
      <c r="F204" s="1398"/>
      <c r="G204" s="1398"/>
      <c r="H204" s="1398"/>
      <c r="I204" s="1398"/>
      <c r="J204" s="1398"/>
      <c r="K204" s="1398"/>
    </row>
    <row r="205" spans="1:11" x14ac:dyDescent="0.2">
      <c r="A205" s="1398"/>
      <c r="B205" s="1398"/>
      <c r="C205" s="1398"/>
      <c r="D205" s="1398"/>
      <c r="E205" s="1398"/>
      <c r="F205" s="1398"/>
      <c r="G205" s="1398"/>
      <c r="H205" s="1398"/>
      <c r="I205" s="1398"/>
      <c r="J205" s="1398"/>
      <c r="K205" s="1398"/>
    </row>
    <row r="206" spans="1:11" x14ac:dyDescent="0.2">
      <c r="A206" s="1398"/>
      <c r="B206" s="1398"/>
      <c r="C206" s="1398"/>
      <c r="D206" s="1398"/>
      <c r="E206" s="1398"/>
      <c r="F206" s="1398"/>
      <c r="G206" s="1398"/>
      <c r="H206" s="1398"/>
      <c r="I206" s="1398"/>
      <c r="J206" s="1398"/>
      <c r="K206" s="1398"/>
    </row>
    <row r="207" spans="1:11" x14ac:dyDescent="0.2">
      <c r="A207" s="1398"/>
      <c r="B207" s="1398"/>
      <c r="C207" s="1398"/>
      <c r="D207" s="1398"/>
      <c r="E207" s="1398"/>
      <c r="F207" s="1398"/>
      <c r="G207" s="1398"/>
      <c r="H207" s="1398"/>
      <c r="I207" s="1398"/>
      <c r="J207" s="1398"/>
      <c r="K207" s="1398"/>
    </row>
    <row r="208" spans="1:11" x14ac:dyDescent="0.2">
      <c r="A208" s="1398"/>
      <c r="B208" s="1398"/>
      <c r="C208" s="1398"/>
      <c r="D208" s="1398"/>
      <c r="E208" s="1398"/>
      <c r="F208" s="1398"/>
      <c r="G208" s="1398"/>
      <c r="H208" s="1398"/>
      <c r="I208" s="1398"/>
      <c r="J208" s="1398"/>
      <c r="K208" s="1398"/>
    </row>
    <row r="209" spans="1:11" x14ac:dyDescent="0.2">
      <c r="A209" s="1398"/>
      <c r="B209" s="1398"/>
      <c r="C209" s="1398"/>
      <c r="D209" s="1398"/>
      <c r="E209" s="1398"/>
      <c r="F209" s="1398"/>
      <c r="G209" s="1398"/>
      <c r="H209" s="1398"/>
      <c r="I209" s="1398"/>
      <c r="J209" s="1398"/>
      <c r="K209" s="1398"/>
    </row>
    <row r="210" spans="1:11" x14ac:dyDescent="0.2">
      <c r="A210" s="1398"/>
      <c r="B210" s="1398"/>
      <c r="C210" s="1398"/>
      <c r="D210" s="1398"/>
      <c r="E210" s="1398"/>
      <c r="F210" s="1398"/>
      <c r="G210" s="1398"/>
      <c r="H210" s="1398"/>
      <c r="I210" s="1398"/>
      <c r="J210" s="1398"/>
      <c r="K210" s="1398"/>
    </row>
    <row r="211" spans="1:11" x14ac:dyDescent="0.2">
      <c r="A211" s="1398"/>
      <c r="B211" s="1398"/>
      <c r="C211" s="1398"/>
      <c r="D211" s="1398"/>
      <c r="E211" s="1398"/>
      <c r="F211" s="1398"/>
      <c r="G211" s="1398"/>
      <c r="H211" s="1398"/>
      <c r="I211" s="1398"/>
      <c r="J211" s="1398"/>
      <c r="K211" s="1398"/>
    </row>
    <row r="212" spans="1:11" x14ac:dyDescent="0.2">
      <c r="A212" s="1398"/>
      <c r="B212" s="1398"/>
      <c r="C212" s="1398"/>
      <c r="D212" s="1398"/>
      <c r="E212" s="1398"/>
      <c r="F212" s="1398"/>
      <c r="G212" s="1398"/>
      <c r="H212" s="1398"/>
      <c r="I212" s="1398"/>
      <c r="J212" s="1398"/>
      <c r="K212" s="1398"/>
    </row>
    <row r="213" spans="1:11" x14ac:dyDescent="0.2">
      <c r="A213" s="1398"/>
      <c r="B213" s="1398"/>
      <c r="C213" s="1398"/>
      <c r="D213" s="1398"/>
      <c r="E213" s="1398"/>
      <c r="F213" s="1398"/>
      <c r="G213" s="1398"/>
      <c r="H213" s="1398"/>
      <c r="I213" s="1398"/>
      <c r="J213" s="1398"/>
      <c r="K213" s="1398"/>
    </row>
    <row r="214" spans="1:11" x14ac:dyDescent="0.2">
      <c r="A214" s="1398"/>
      <c r="B214" s="1398"/>
      <c r="C214" s="1398"/>
      <c r="D214" s="1398"/>
      <c r="E214" s="1398"/>
      <c r="F214" s="1398"/>
      <c r="G214" s="1398"/>
      <c r="H214" s="1398"/>
      <c r="I214" s="1398"/>
      <c r="J214" s="1398"/>
      <c r="K214" s="1398"/>
    </row>
    <row r="215" spans="1:11" x14ac:dyDescent="0.2">
      <c r="A215" s="1398"/>
      <c r="B215" s="1398"/>
      <c r="C215" s="1398"/>
      <c r="D215" s="1398"/>
      <c r="E215" s="1398"/>
      <c r="F215" s="1398"/>
      <c r="G215" s="1398"/>
      <c r="H215" s="1398"/>
      <c r="I215" s="1398"/>
      <c r="J215" s="1398"/>
      <c r="K215" s="1398"/>
    </row>
    <row r="216" spans="1:11" x14ac:dyDescent="0.2">
      <c r="A216" s="1398"/>
      <c r="B216" s="1398"/>
      <c r="C216" s="1398"/>
      <c r="D216" s="1398"/>
      <c r="E216" s="1398"/>
      <c r="F216" s="1398"/>
      <c r="G216" s="1398"/>
      <c r="H216" s="1398"/>
      <c r="I216" s="1398"/>
      <c r="J216" s="1398"/>
      <c r="K216" s="1398"/>
    </row>
    <row r="217" spans="1:11" x14ac:dyDescent="0.2">
      <c r="A217" s="1398"/>
      <c r="B217" s="1398"/>
      <c r="C217" s="1398"/>
      <c r="D217" s="1398"/>
      <c r="E217" s="1398"/>
      <c r="F217" s="1398"/>
      <c r="G217" s="1398"/>
      <c r="H217" s="1398"/>
      <c r="I217" s="1398"/>
      <c r="J217" s="1398"/>
      <c r="K217" s="1398"/>
    </row>
    <row r="218" spans="1:11" x14ac:dyDescent="0.2">
      <c r="A218" s="1398"/>
      <c r="B218" s="1398"/>
      <c r="C218" s="1398"/>
      <c r="D218" s="1398"/>
      <c r="E218" s="1398"/>
      <c r="F218" s="1398"/>
      <c r="G218" s="1398"/>
      <c r="H218" s="1398"/>
      <c r="I218" s="1398"/>
      <c r="J218" s="1398"/>
      <c r="K218" s="1398"/>
    </row>
    <row r="219" spans="1:11" x14ac:dyDescent="0.2">
      <c r="A219" s="1398"/>
      <c r="B219" s="1398"/>
      <c r="C219" s="1398"/>
      <c r="D219" s="1398"/>
      <c r="E219" s="1398"/>
      <c r="F219" s="1398"/>
      <c r="G219" s="1398"/>
      <c r="H219" s="1398"/>
      <c r="I219" s="1398"/>
      <c r="J219" s="1398"/>
      <c r="K219" s="1398"/>
    </row>
    <row r="220" spans="1:11" x14ac:dyDescent="0.2">
      <c r="A220" s="1398"/>
      <c r="B220" s="1398"/>
      <c r="C220" s="1398"/>
      <c r="D220" s="1398"/>
      <c r="E220" s="1398"/>
      <c r="F220" s="1398"/>
      <c r="G220" s="1398"/>
      <c r="H220" s="1398"/>
      <c r="I220" s="1398"/>
      <c r="J220" s="1398"/>
      <c r="K220" s="1398"/>
    </row>
    <row r="221" spans="1:11" x14ac:dyDescent="0.2">
      <c r="A221" s="1398"/>
      <c r="B221" s="1398"/>
      <c r="C221" s="1398"/>
      <c r="D221" s="1398"/>
      <c r="E221" s="1398"/>
      <c r="F221" s="1398"/>
      <c r="G221" s="1398"/>
      <c r="H221" s="1398"/>
      <c r="I221" s="1398"/>
      <c r="J221" s="1398"/>
      <c r="K221" s="1398"/>
    </row>
    <row r="222" spans="1:11" x14ac:dyDescent="0.2">
      <c r="A222" s="1398"/>
      <c r="B222" s="1398"/>
      <c r="C222" s="1398"/>
      <c r="D222" s="1398"/>
      <c r="E222" s="1398"/>
      <c r="F222" s="1398"/>
      <c r="G222" s="1398"/>
      <c r="H222" s="1398"/>
      <c r="I222" s="1398"/>
      <c r="J222" s="1398"/>
      <c r="K222" s="1398"/>
    </row>
    <row r="223" spans="1:11" x14ac:dyDescent="0.2">
      <c r="A223" s="1398"/>
      <c r="B223" s="1398"/>
      <c r="C223" s="1398"/>
      <c r="D223" s="1398"/>
      <c r="E223" s="1398"/>
      <c r="F223" s="1398"/>
      <c r="G223" s="1398"/>
      <c r="H223" s="1398"/>
      <c r="I223" s="1398"/>
      <c r="J223" s="1398"/>
      <c r="K223" s="1398"/>
    </row>
    <row r="224" spans="1:11" x14ac:dyDescent="0.2">
      <c r="A224" s="1398"/>
      <c r="B224" s="1398"/>
      <c r="C224" s="1398"/>
      <c r="D224" s="1398"/>
      <c r="E224" s="1398"/>
      <c r="F224" s="1398"/>
      <c r="G224" s="1398"/>
      <c r="H224" s="1398"/>
      <c r="I224" s="1398"/>
      <c r="J224" s="1398"/>
      <c r="K224" s="1398"/>
    </row>
    <row r="225" spans="1:11" x14ac:dyDescent="0.2">
      <c r="A225" s="1398"/>
      <c r="B225" s="1398"/>
      <c r="C225" s="1398"/>
      <c r="D225" s="1398"/>
      <c r="E225" s="1398"/>
      <c r="F225" s="1398"/>
      <c r="G225" s="1398"/>
      <c r="H225" s="1398"/>
      <c r="I225" s="1398"/>
      <c r="J225" s="1398"/>
      <c r="K225" s="1398"/>
    </row>
    <row r="226" spans="1:11" x14ac:dyDescent="0.2">
      <c r="A226" s="1398"/>
      <c r="B226" s="1398"/>
      <c r="C226" s="1398"/>
      <c r="D226" s="1398"/>
      <c r="E226" s="1398"/>
      <c r="F226" s="1398"/>
      <c r="G226" s="1398"/>
      <c r="H226" s="1398"/>
      <c r="I226" s="1398"/>
      <c r="J226" s="1398"/>
      <c r="K226" s="1398"/>
    </row>
    <row r="227" spans="1:11" x14ac:dyDescent="0.2">
      <c r="A227" s="1398"/>
      <c r="B227" s="1398"/>
      <c r="C227" s="1398"/>
      <c r="D227" s="1398"/>
      <c r="E227" s="1398"/>
      <c r="F227" s="1398"/>
      <c r="G227" s="1398"/>
      <c r="H227" s="1398"/>
      <c r="I227" s="1398"/>
      <c r="J227" s="1398"/>
      <c r="K227" s="1398"/>
    </row>
    <row r="228" spans="1:11" x14ac:dyDescent="0.2">
      <c r="A228" s="1398"/>
      <c r="B228" s="1398"/>
      <c r="C228" s="1398"/>
      <c r="D228" s="1398"/>
      <c r="E228" s="1398"/>
      <c r="F228" s="1398"/>
      <c r="G228" s="1398"/>
      <c r="H228" s="1398"/>
      <c r="I228" s="1398"/>
      <c r="J228" s="1398"/>
      <c r="K228" s="1398"/>
    </row>
    <row r="229" spans="1:11" x14ac:dyDescent="0.2">
      <c r="A229" s="1398"/>
      <c r="B229" s="1398"/>
      <c r="C229" s="1398"/>
      <c r="D229" s="1398"/>
      <c r="E229" s="1398"/>
      <c r="F229" s="1398"/>
      <c r="G229" s="1398"/>
      <c r="H229" s="1398"/>
      <c r="I229" s="1398"/>
      <c r="J229" s="1398"/>
      <c r="K229" s="1398"/>
    </row>
    <row r="230" spans="1:11" x14ac:dyDescent="0.2">
      <c r="A230" s="1398"/>
      <c r="B230" s="1398"/>
      <c r="C230" s="1398"/>
      <c r="D230" s="1398"/>
      <c r="E230" s="1398"/>
      <c r="F230" s="1398"/>
      <c r="G230" s="1398"/>
      <c r="H230" s="1398"/>
      <c r="I230" s="1398"/>
      <c r="J230" s="1398"/>
      <c r="K230" s="1398"/>
    </row>
    <row r="231" spans="1:11" x14ac:dyDescent="0.2">
      <c r="A231" s="1398"/>
      <c r="B231" s="1398"/>
      <c r="C231" s="1398"/>
      <c r="D231" s="1398"/>
      <c r="E231" s="1398"/>
      <c r="F231" s="1398"/>
      <c r="G231" s="1398"/>
      <c r="H231" s="1398"/>
      <c r="I231" s="1398"/>
      <c r="J231" s="1398"/>
      <c r="K231" s="1398"/>
    </row>
    <row r="232" spans="1:11" x14ac:dyDescent="0.2">
      <c r="A232" s="1398"/>
      <c r="B232" s="1398"/>
      <c r="C232" s="1398"/>
      <c r="D232" s="1398"/>
      <c r="E232" s="1398"/>
      <c r="F232" s="1398"/>
      <c r="G232" s="1398"/>
      <c r="H232" s="1398"/>
      <c r="I232" s="1398"/>
      <c r="J232" s="1398"/>
      <c r="K232" s="1398"/>
    </row>
    <row r="233" spans="1:11" x14ac:dyDescent="0.2">
      <c r="A233" s="1398"/>
      <c r="B233" s="1398"/>
      <c r="C233" s="1398"/>
      <c r="D233" s="1398"/>
      <c r="E233" s="1398"/>
      <c r="F233" s="1398"/>
      <c r="G233" s="1398"/>
      <c r="H233" s="1398"/>
      <c r="I233" s="1398"/>
      <c r="J233" s="1398"/>
      <c r="K233" s="1398"/>
    </row>
    <row r="234" spans="1:11" x14ac:dyDescent="0.2">
      <c r="A234" s="1398"/>
      <c r="B234" s="1398"/>
      <c r="C234" s="1398"/>
      <c r="D234" s="1398"/>
      <c r="E234" s="1398"/>
      <c r="F234" s="1398"/>
      <c r="G234" s="1398"/>
      <c r="H234" s="1398"/>
      <c r="I234" s="1398"/>
      <c r="J234" s="1398"/>
      <c r="K234" s="1398"/>
    </row>
    <row r="235" spans="1:11" x14ac:dyDescent="0.2">
      <c r="A235" s="1398"/>
      <c r="B235" s="1398"/>
      <c r="C235" s="1398"/>
      <c r="D235" s="1398"/>
      <c r="E235" s="1398"/>
      <c r="F235" s="1398"/>
      <c r="G235" s="1398"/>
      <c r="H235" s="1398"/>
      <c r="I235" s="1398"/>
      <c r="J235" s="1398"/>
      <c r="K235" s="1398"/>
    </row>
    <row r="236" spans="1:11" x14ac:dyDescent="0.2">
      <c r="A236" s="1398"/>
      <c r="B236" s="1398"/>
      <c r="C236" s="1398"/>
      <c r="D236" s="1398"/>
      <c r="E236" s="1398"/>
      <c r="F236" s="1398"/>
      <c r="G236" s="1398"/>
      <c r="H236" s="1398"/>
      <c r="I236" s="1398"/>
      <c r="J236" s="1398"/>
      <c r="K236" s="1398"/>
    </row>
    <row r="237" spans="1:11" x14ac:dyDescent="0.2">
      <c r="A237" s="1398"/>
      <c r="B237" s="1398"/>
      <c r="C237" s="1398"/>
      <c r="D237" s="1398"/>
      <c r="E237" s="1398"/>
      <c r="F237" s="1398"/>
      <c r="G237" s="1398"/>
      <c r="H237" s="1398"/>
      <c r="I237" s="1398"/>
      <c r="J237" s="1398"/>
      <c r="K237" s="1398"/>
    </row>
    <row r="238" spans="1:11" x14ac:dyDescent="0.2">
      <c r="A238" s="1398"/>
      <c r="B238" s="1398"/>
      <c r="C238" s="1398"/>
      <c r="D238" s="1398"/>
      <c r="E238" s="1398"/>
      <c r="F238" s="1398"/>
      <c r="G238" s="1398"/>
      <c r="H238" s="1398"/>
      <c r="I238" s="1398"/>
      <c r="J238" s="1398"/>
      <c r="K238" s="1398"/>
    </row>
    <row r="239" spans="1:11" x14ac:dyDescent="0.2">
      <c r="A239" s="1398"/>
      <c r="B239" s="1398"/>
      <c r="C239" s="1398"/>
      <c r="D239" s="1398"/>
      <c r="E239" s="1398"/>
      <c r="F239" s="1398"/>
      <c r="G239" s="1398"/>
      <c r="H239" s="1398"/>
      <c r="I239" s="1398"/>
      <c r="J239" s="1398"/>
      <c r="K239" s="1398"/>
    </row>
    <row r="240" spans="1:11" x14ac:dyDescent="0.2">
      <c r="A240" s="1398"/>
      <c r="B240" s="1398"/>
      <c r="C240" s="1398"/>
      <c r="D240" s="1398"/>
      <c r="E240" s="1398"/>
      <c r="F240" s="1398"/>
      <c r="G240" s="1398"/>
      <c r="H240" s="1398"/>
      <c r="I240" s="1398"/>
      <c r="J240" s="1398"/>
      <c r="K240" s="1398"/>
    </row>
    <row r="241" spans="1:11" x14ac:dyDescent="0.2">
      <c r="A241" s="1398"/>
      <c r="B241" s="1398"/>
      <c r="C241" s="1398"/>
      <c r="D241" s="1398"/>
      <c r="E241" s="1398"/>
      <c r="F241" s="1398"/>
      <c r="G241" s="1398"/>
      <c r="H241" s="1398"/>
      <c r="I241" s="1398"/>
      <c r="J241" s="1398"/>
      <c r="K241" s="1398"/>
    </row>
    <row r="242" spans="1:11" x14ac:dyDescent="0.2">
      <c r="A242" s="1398"/>
      <c r="B242" s="1398"/>
      <c r="C242" s="1398"/>
      <c r="D242" s="1398"/>
      <c r="E242" s="1398"/>
      <c r="F242" s="1398"/>
      <c r="G242" s="1398"/>
      <c r="H242" s="1398"/>
      <c r="I242" s="1398"/>
      <c r="J242" s="1398"/>
      <c r="K242" s="1398"/>
    </row>
    <row r="243" spans="1:11" x14ac:dyDescent="0.2">
      <c r="A243" s="1398"/>
      <c r="B243" s="1398"/>
      <c r="C243" s="1398"/>
      <c r="D243" s="1398"/>
      <c r="E243" s="1398"/>
      <c r="F243" s="1398"/>
      <c r="G243" s="1398"/>
      <c r="H243" s="1398"/>
      <c r="I243" s="1398"/>
      <c r="J243" s="1398"/>
      <c r="K243" s="1398"/>
    </row>
    <row r="244" spans="1:11" x14ac:dyDescent="0.2">
      <c r="A244" s="1398"/>
      <c r="B244" s="1398"/>
      <c r="C244" s="1398"/>
      <c r="D244" s="1398"/>
      <c r="E244" s="1398"/>
      <c r="F244" s="1398"/>
      <c r="G244" s="1398"/>
      <c r="H244" s="1398"/>
      <c r="I244" s="1398"/>
      <c r="J244" s="1398"/>
      <c r="K244" s="1398"/>
    </row>
    <row r="245" spans="1:11" x14ac:dyDescent="0.2">
      <c r="A245" s="1398"/>
      <c r="B245" s="1398"/>
      <c r="C245" s="1398"/>
      <c r="D245" s="1398"/>
      <c r="E245" s="1398"/>
      <c r="F245" s="1398"/>
      <c r="G245" s="1398"/>
      <c r="H245" s="1398"/>
      <c r="I245" s="1398"/>
      <c r="J245" s="1398"/>
      <c r="K245" s="1398"/>
    </row>
    <row r="246" spans="1:11" x14ac:dyDescent="0.2">
      <c r="A246" s="1398"/>
      <c r="B246" s="1398"/>
      <c r="C246" s="1398"/>
      <c r="D246" s="1398"/>
      <c r="E246" s="1398"/>
      <c r="F246" s="1398"/>
      <c r="G246" s="1398"/>
      <c r="H246" s="1398"/>
      <c r="I246" s="1398"/>
      <c r="J246" s="1398"/>
      <c r="K246" s="1398"/>
    </row>
    <row r="247" spans="1:11" x14ac:dyDescent="0.2">
      <c r="A247" s="1398"/>
      <c r="B247" s="1398"/>
      <c r="C247" s="1398"/>
      <c r="D247" s="1398"/>
      <c r="E247" s="1398"/>
      <c r="F247" s="1398"/>
      <c r="G247" s="1398"/>
      <c r="H247" s="1398"/>
      <c r="I247" s="1398"/>
      <c r="J247" s="1398"/>
      <c r="K247" s="1398"/>
    </row>
    <row r="248" spans="1:11" x14ac:dyDescent="0.2">
      <c r="A248" s="1398"/>
      <c r="B248" s="1398"/>
      <c r="C248" s="1398"/>
      <c r="D248" s="1398"/>
      <c r="E248" s="1398"/>
      <c r="F248" s="1398"/>
      <c r="G248" s="1398"/>
      <c r="H248" s="1398"/>
      <c r="I248" s="1398"/>
      <c r="J248" s="1398"/>
      <c r="K248" s="1398"/>
    </row>
    <row r="249" spans="1:11" x14ac:dyDescent="0.2">
      <c r="A249" s="1398"/>
      <c r="B249" s="1398"/>
      <c r="C249" s="1398"/>
      <c r="D249" s="1398"/>
      <c r="E249" s="1398"/>
      <c r="F249" s="1398"/>
      <c r="G249" s="1398"/>
      <c r="H249" s="1398"/>
      <c r="I249" s="1398"/>
      <c r="J249" s="1398"/>
      <c r="K249" s="1398"/>
    </row>
    <row r="250" spans="1:11" x14ac:dyDescent="0.2">
      <c r="A250" s="1398"/>
      <c r="B250" s="1398"/>
      <c r="C250" s="1398"/>
      <c r="D250" s="1398"/>
      <c r="E250" s="1398"/>
      <c r="F250" s="1398"/>
      <c r="G250" s="1398"/>
      <c r="H250" s="1398"/>
      <c r="I250" s="1398"/>
      <c r="J250" s="1398"/>
      <c r="K250" s="1398"/>
    </row>
    <row r="251" spans="1:11" x14ac:dyDescent="0.2">
      <c r="A251" s="1398"/>
      <c r="B251" s="1398"/>
      <c r="C251" s="1398"/>
      <c r="D251" s="1398"/>
      <c r="E251" s="1398"/>
      <c r="F251" s="1398"/>
      <c r="G251" s="1398"/>
      <c r="H251" s="1398"/>
      <c r="I251" s="1398"/>
      <c r="J251" s="1398"/>
      <c r="K251" s="1398"/>
    </row>
    <row r="252" spans="1:11" x14ac:dyDescent="0.2">
      <c r="A252" s="1398"/>
      <c r="B252" s="1398"/>
      <c r="C252" s="1398"/>
      <c r="D252" s="1398"/>
      <c r="E252" s="1398"/>
      <c r="F252" s="1398"/>
      <c r="G252" s="1398"/>
      <c r="H252" s="1398"/>
      <c r="I252" s="1398"/>
      <c r="J252" s="1398"/>
      <c r="K252" s="1398"/>
    </row>
    <row r="253" spans="1:11" x14ac:dyDescent="0.2">
      <c r="A253" s="1398"/>
      <c r="B253" s="1398"/>
      <c r="C253" s="1398"/>
      <c r="D253" s="1398"/>
      <c r="E253" s="1398"/>
      <c r="F253" s="1398"/>
      <c r="G253" s="1398"/>
      <c r="H253" s="1398"/>
      <c r="I253" s="1398"/>
      <c r="J253" s="1398"/>
      <c r="K253" s="1398"/>
    </row>
    <row r="254" spans="1:11" x14ac:dyDescent="0.2">
      <c r="A254" s="1398"/>
      <c r="B254" s="1398"/>
      <c r="C254" s="1398"/>
      <c r="D254" s="1398"/>
      <c r="E254" s="1398"/>
      <c r="F254" s="1398"/>
      <c r="G254" s="1398"/>
      <c r="H254" s="1398"/>
      <c r="I254" s="1398"/>
      <c r="J254" s="1398"/>
      <c r="K254" s="1398"/>
    </row>
    <row r="255" spans="1:11" x14ac:dyDescent="0.2">
      <c r="A255" s="1398"/>
      <c r="B255" s="1398"/>
      <c r="C255" s="1398"/>
      <c r="D255" s="1398"/>
      <c r="E255" s="1398"/>
      <c r="F255" s="1398"/>
      <c r="G255" s="1398"/>
      <c r="H255" s="1398"/>
      <c r="I255" s="1398"/>
      <c r="J255" s="1398"/>
      <c r="K255" s="1398"/>
    </row>
    <row r="256" spans="1:11" x14ac:dyDescent="0.2">
      <c r="A256" s="1398"/>
      <c r="B256" s="1398"/>
      <c r="C256" s="1398"/>
      <c r="D256" s="1398"/>
      <c r="E256" s="1398"/>
      <c r="F256" s="1398"/>
      <c r="G256" s="1398"/>
      <c r="H256" s="1398"/>
      <c r="I256" s="1398"/>
      <c r="J256" s="1398"/>
      <c r="K256" s="1398"/>
    </row>
    <row r="257" spans="1:11" x14ac:dyDescent="0.2">
      <c r="A257" s="1398"/>
      <c r="B257" s="1398"/>
      <c r="C257" s="1398"/>
      <c r="D257" s="1398"/>
      <c r="E257" s="1398"/>
      <c r="F257" s="1398"/>
      <c r="G257" s="1398"/>
      <c r="H257" s="1398"/>
      <c r="I257" s="1398"/>
      <c r="J257" s="1398"/>
      <c r="K257" s="1398"/>
    </row>
    <row r="258" spans="1:11" x14ac:dyDescent="0.2">
      <c r="A258" s="1398"/>
      <c r="B258" s="1398"/>
      <c r="C258" s="1398"/>
      <c r="D258" s="1398"/>
      <c r="E258" s="1398"/>
      <c r="F258" s="1398"/>
      <c r="G258" s="1398"/>
      <c r="H258" s="1398"/>
      <c r="I258" s="1398"/>
      <c r="J258" s="1398"/>
      <c r="K258" s="1398"/>
    </row>
    <row r="259" spans="1:11" x14ac:dyDescent="0.2">
      <c r="A259" s="1398"/>
      <c r="B259" s="1398"/>
      <c r="C259" s="1398"/>
      <c r="D259" s="1398"/>
      <c r="E259" s="1398"/>
      <c r="F259" s="1398"/>
      <c r="G259" s="1398"/>
      <c r="H259" s="1398"/>
      <c r="I259" s="1398"/>
      <c r="J259" s="1398"/>
      <c r="K259" s="1398"/>
    </row>
    <row r="260" spans="1:11" x14ac:dyDescent="0.2">
      <c r="A260" s="1398"/>
      <c r="B260" s="1398"/>
      <c r="C260" s="1398"/>
      <c r="D260" s="1398"/>
      <c r="E260" s="1398"/>
      <c r="F260" s="1398"/>
      <c r="G260" s="1398"/>
      <c r="H260" s="1398"/>
      <c r="I260" s="1398"/>
      <c r="J260" s="1398"/>
      <c r="K260" s="1398"/>
    </row>
    <row r="261" spans="1:11" x14ac:dyDescent="0.2">
      <c r="A261" s="1398"/>
      <c r="B261" s="1398"/>
      <c r="C261" s="1398"/>
      <c r="D261" s="1398"/>
      <c r="E261" s="1398"/>
      <c r="F261" s="1398"/>
      <c r="G261" s="1398"/>
      <c r="H261" s="1398"/>
      <c r="I261" s="1398"/>
      <c r="J261" s="1398"/>
      <c r="K261" s="1398"/>
    </row>
    <row r="262" spans="1:11" x14ac:dyDescent="0.2">
      <c r="A262" s="1398"/>
      <c r="B262" s="1398"/>
      <c r="C262" s="1398"/>
      <c r="D262" s="1398"/>
      <c r="E262" s="1398"/>
      <c r="F262" s="1398"/>
      <c r="G262" s="1398"/>
      <c r="H262" s="1398"/>
      <c r="I262" s="1398"/>
      <c r="J262" s="1398"/>
      <c r="K262" s="1398"/>
    </row>
    <row r="263" spans="1:11" x14ac:dyDescent="0.2">
      <c r="A263" s="1398"/>
      <c r="B263" s="1398"/>
      <c r="C263" s="1398"/>
      <c r="D263" s="1398"/>
      <c r="E263" s="1398"/>
      <c r="F263" s="1398"/>
      <c r="G263" s="1398"/>
      <c r="H263" s="1398"/>
      <c r="I263" s="1398"/>
      <c r="J263" s="1398"/>
      <c r="K263" s="1398"/>
    </row>
    <row r="264" spans="1:11" x14ac:dyDescent="0.2">
      <c r="A264" s="1398"/>
      <c r="B264" s="1398"/>
      <c r="C264" s="1398"/>
      <c r="D264" s="1398"/>
      <c r="E264" s="1398"/>
      <c r="F264" s="1398"/>
      <c r="G264" s="1398"/>
      <c r="H264" s="1398"/>
      <c r="I264" s="1398"/>
      <c r="J264" s="1398"/>
      <c r="K264" s="1398"/>
    </row>
    <row r="265" spans="1:11" x14ac:dyDescent="0.2">
      <c r="A265" s="1398"/>
      <c r="B265" s="1398"/>
      <c r="C265" s="1398"/>
      <c r="D265" s="1398"/>
      <c r="E265" s="1398"/>
      <c r="F265" s="1398"/>
      <c r="G265" s="1398"/>
      <c r="H265" s="1398"/>
      <c r="I265" s="1398"/>
      <c r="J265" s="1398"/>
      <c r="K265" s="1398"/>
    </row>
    <row r="266" spans="1:11" x14ac:dyDescent="0.2">
      <c r="A266" s="1398"/>
      <c r="B266" s="1398"/>
      <c r="C266" s="1398"/>
      <c r="D266" s="1398"/>
      <c r="E266" s="1398"/>
      <c r="F266" s="1398"/>
      <c r="G266" s="1398"/>
      <c r="H266" s="1398"/>
      <c r="I266" s="1398"/>
      <c r="J266" s="1398"/>
      <c r="K266" s="1398"/>
    </row>
    <row r="267" spans="1:11" x14ac:dyDescent="0.2">
      <c r="A267" s="1398"/>
      <c r="B267" s="1398"/>
      <c r="C267" s="1398"/>
      <c r="D267" s="1398"/>
      <c r="E267" s="1398"/>
      <c r="F267" s="1398"/>
      <c r="G267" s="1398"/>
      <c r="H267" s="1398"/>
      <c r="I267" s="1398"/>
      <c r="J267" s="1398"/>
      <c r="K267" s="1398"/>
    </row>
    <row r="268" spans="1:11" x14ac:dyDescent="0.2">
      <c r="A268" s="1398"/>
      <c r="B268" s="1398"/>
      <c r="C268" s="1398"/>
      <c r="D268" s="1398"/>
      <c r="E268" s="1398"/>
      <c r="F268" s="1398"/>
      <c r="G268" s="1398"/>
      <c r="H268" s="1398"/>
      <c r="I268" s="1398"/>
      <c r="J268" s="1398"/>
      <c r="K268" s="1398"/>
    </row>
    <row r="269" spans="1:11" x14ac:dyDescent="0.2">
      <c r="A269" s="1398"/>
      <c r="B269" s="1398"/>
      <c r="C269" s="1398"/>
      <c r="D269" s="1398"/>
      <c r="E269" s="1398"/>
      <c r="F269" s="1398"/>
      <c r="G269" s="1398"/>
      <c r="H269" s="1398"/>
      <c r="I269" s="1398"/>
      <c r="J269" s="1398"/>
      <c r="K269" s="1398"/>
    </row>
    <row r="270" spans="1:11" x14ac:dyDescent="0.2">
      <c r="A270" s="1398"/>
      <c r="B270" s="1398"/>
      <c r="C270" s="1398"/>
      <c r="D270" s="1398"/>
      <c r="E270" s="1398"/>
      <c r="F270" s="1398"/>
      <c r="G270" s="1398"/>
      <c r="H270" s="1398"/>
      <c r="I270" s="1398"/>
      <c r="J270" s="1398"/>
      <c r="K270" s="1398"/>
    </row>
    <row r="271" spans="1:11" x14ac:dyDescent="0.2">
      <c r="A271" s="1398"/>
      <c r="B271" s="1398"/>
      <c r="C271" s="1398"/>
      <c r="D271" s="1398"/>
      <c r="E271" s="1398"/>
      <c r="F271" s="1398"/>
      <c r="G271" s="1398"/>
      <c r="H271" s="1398"/>
      <c r="I271" s="1398"/>
      <c r="J271" s="1398"/>
      <c r="K271" s="1398"/>
    </row>
    <row r="272" spans="1:11" x14ac:dyDescent="0.2">
      <c r="A272" s="1398"/>
      <c r="B272" s="1398"/>
      <c r="C272" s="1398"/>
      <c r="D272" s="1398"/>
      <c r="E272" s="1398"/>
      <c r="F272" s="1398"/>
      <c r="G272" s="1398"/>
      <c r="H272" s="1398"/>
      <c r="I272" s="1398"/>
      <c r="J272" s="1398"/>
      <c r="K272" s="1398"/>
    </row>
    <row r="273" spans="1:11" x14ac:dyDescent="0.2">
      <c r="A273" s="1398"/>
      <c r="B273" s="1398"/>
      <c r="C273" s="1398"/>
      <c r="D273" s="1398"/>
      <c r="E273" s="1398"/>
      <c r="F273" s="1398"/>
      <c r="G273" s="1398"/>
      <c r="H273" s="1398"/>
      <c r="I273" s="1398"/>
      <c r="J273" s="1398"/>
      <c r="K273" s="1398"/>
    </row>
  </sheetData>
  <sheetProtection sheet="1" objects="1" scenarios="1"/>
  <mergeCells count="7">
    <mergeCell ref="B3:I3"/>
    <mergeCell ref="B2:I2"/>
    <mergeCell ref="G83:I83"/>
    <mergeCell ref="G95:I95"/>
    <mergeCell ref="B4:I4"/>
    <mergeCell ref="B5:I5"/>
    <mergeCell ref="G6:I6"/>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2994" r:id="rId4" name="Drop Down 2">
              <controlPr defaultSize="0" autoLine="0" autoPict="0">
                <anchor moveWithCells="1">
                  <from>
                    <xdr:col>8</xdr:col>
                    <xdr:colOff>885825</xdr:colOff>
                    <xdr:row>0</xdr:row>
                    <xdr:rowOff>171450</xdr:rowOff>
                  </from>
                  <to>
                    <xdr:col>9</xdr:col>
                    <xdr:colOff>1238250</xdr:colOff>
                    <xdr:row>1</xdr:row>
                    <xdr:rowOff>9525</xdr:rowOff>
                  </to>
                </anchor>
              </controlPr>
            </control>
          </mc:Choice>
        </mc:AlternateContent>
      </controls>
    </mc:Choice>
  </mc:AlternateContent>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AD366"/>
  <sheetViews>
    <sheetView rightToLeft="1" zoomScale="80" zoomScaleNormal="80" workbookViewId="0">
      <selection activeCell="G11" sqref="G11"/>
    </sheetView>
  </sheetViews>
  <sheetFormatPr defaultRowHeight="12.75" x14ac:dyDescent="0.2"/>
  <cols>
    <col min="1" max="1" width="5.7109375" style="1734" customWidth="1"/>
    <col min="2" max="2" width="3.28515625" style="1609" customWidth="1"/>
    <col min="3" max="3" width="37.7109375" style="1609" customWidth="1"/>
    <col min="4" max="4" width="27.140625" style="1609" customWidth="1"/>
    <col min="5" max="5" width="9.140625" style="1609" hidden="1" customWidth="1"/>
    <col min="6" max="6" width="8.28515625" style="1609" bestFit="1" customWidth="1"/>
    <col min="7" max="7" width="8.7109375" style="1609" customWidth="1"/>
    <col min="8" max="8" width="3.140625" style="1609" customWidth="1"/>
    <col min="9" max="9" width="11.140625" style="1609" bestFit="1" customWidth="1"/>
    <col min="10" max="10" width="6.42578125" style="1609" customWidth="1"/>
    <col min="11" max="11" width="9.7109375" style="1609" customWidth="1"/>
    <col min="12" max="12" width="3.5703125" style="1609" customWidth="1"/>
    <col min="13" max="13" width="10.5703125" style="1609" customWidth="1"/>
    <col min="14" max="16" width="9.85546875" style="1609" customWidth="1"/>
    <col min="17" max="17" width="11.140625" style="1609" customWidth="1"/>
    <col min="18" max="18" width="2.42578125" style="1609" customWidth="1"/>
    <col min="19" max="19" width="13.42578125" style="1609" customWidth="1"/>
    <col min="20" max="20" width="12.28515625" style="1609" customWidth="1"/>
    <col min="21" max="21" width="11.85546875" style="1609" customWidth="1"/>
    <col min="22" max="22" width="14.140625" style="1609" customWidth="1"/>
    <col min="23" max="23" width="9.5703125" style="1607" bestFit="1" customWidth="1"/>
    <col min="24" max="24" width="14" style="1607" customWidth="1"/>
    <col min="25" max="28" width="9.140625" style="1609" hidden="1" customWidth="1"/>
    <col min="29" max="16384" width="9.140625" style="1609"/>
  </cols>
  <sheetData>
    <row r="1" spans="1:28" ht="36" x14ac:dyDescent="0.4">
      <c r="A1" s="1602" t="s">
        <v>1789</v>
      </c>
      <c r="B1" s="1603" t="s">
        <v>166</v>
      </c>
      <c r="C1" s="1604" t="s">
        <v>1790</v>
      </c>
      <c r="D1" s="1605"/>
      <c r="E1" s="1605"/>
      <c r="F1" s="1605"/>
      <c r="G1" s="1605"/>
      <c r="H1" s="1605"/>
      <c r="I1" s="1605"/>
      <c r="J1" s="1605"/>
      <c r="K1" s="1605"/>
      <c r="L1" s="1605"/>
      <c r="M1" s="1605"/>
      <c r="N1" s="1605"/>
      <c r="O1" s="1605"/>
      <c r="P1" s="1605"/>
      <c r="Q1" s="1605"/>
      <c r="R1" s="1388"/>
      <c r="S1" s="1605"/>
      <c r="T1" s="1605"/>
      <c r="U1" s="1606" t="s">
        <v>1793</v>
      </c>
      <c r="V1" s="1378"/>
      <c r="W1" s="1378"/>
      <c r="Y1" s="1608">
        <v>2013</v>
      </c>
      <c r="Z1" s="1608">
        <v>2014</v>
      </c>
      <c r="AA1" s="1608">
        <v>2015</v>
      </c>
      <c r="AB1" s="1608">
        <v>2016</v>
      </c>
    </row>
    <row r="2" spans="1:28" ht="33.75" x14ac:dyDescent="0.4">
      <c r="A2" s="1602"/>
      <c r="B2" s="1603"/>
      <c r="C2" s="1604"/>
      <c r="D2" s="1605"/>
      <c r="E2" s="1605"/>
      <c r="F2" s="1605"/>
      <c r="G2" s="1605"/>
      <c r="H2" s="1605"/>
      <c r="I2" s="1605"/>
      <c r="J2" s="1605"/>
      <c r="K2" s="1605"/>
      <c r="L2" s="1605"/>
      <c r="M2" s="1605"/>
      <c r="N2" s="1605"/>
      <c r="O2" s="1605"/>
      <c r="P2" s="1605"/>
      <c r="Q2" s="1605"/>
      <c r="R2" s="1388"/>
      <c r="S2" s="1610" t="s">
        <v>1960</v>
      </c>
      <c r="T2" s="1610" t="s">
        <v>1791</v>
      </c>
      <c r="U2" s="1611" t="s">
        <v>1961</v>
      </c>
      <c r="V2" s="1378"/>
      <c r="W2" s="1378"/>
      <c r="Y2" s="1612">
        <v>0</v>
      </c>
      <c r="Z2" s="1612">
        <v>0</v>
      </c>
      <c r="AA2" s="1612">
        <v>0</v>
      </c>
      <c r="AB2" s="1613">
        <v>975</v>
      </c>
    </row>
    <row r="3" spans="1:28" ht="20.25" x14ac:dyDescent="0.4">
      <c r="A3" s="1614">
        <v>22.1</v>
      </c>
      <c r="B3" s="1378"/>
      <c r="C3" s="1615" t="s">
        <v>1792</v>
      </c>
      <c r="D3" s="1616" t="s">
        <v>791</v>
      </c>
      <c r="E3" s="1378"/>
      <c r="F3" s="1378"/>
      <c r="G3" s="1378"/>
      <c r="H3" s="1378"/>
      <c r="I3" s="1617">
        <f>+VLOOKUP(D3,'עלויות תפעול בהתאם לנורמה'!$C$6:$BF$114,$Z$62+1,0)</f>
        <v>10780.42</v>
      </c>
      <c r="J3" s="1378"/>
      <c r="K3" s="1388"/>
      <c r="L3" s="1388"/>
      <c r="M3" s="1388"/>
      <c r="N3" s="1388"/>
      <c r="O3" s="1388"/>
      <c r="P3" s="1388"/>
      <c r="Q3" s="1388"/>
      <c r="R3" s="1378"/>
      <c r="S3" s="1617">
        <f>+I3*(1+$T$3)</f>
        <v>10888.224200000001</v>
      </c>
      <c r="T3" s="1618">
        <v>0.01</v>
      </c>
      <c r="U3" s="1390"/>
      <c r="V3" s="1378"/>
      <c r="W3" s="1378"/>
      <c r="Y3" s="1619"/>
      <c r="Z3" s="1619"/>
      <c r="AA3" s="1620"/>
      <c r="AB3" s="1613">
        <v>1.1673858106647219</v>
      </c>
    </row>
    <row r="4" spans="1:28" ht="20.25" x14ac:dyDescent="0.4">
      <c r="A4" s="1614"/>
      <c r="B4" s="1378"/>
      <c r="C4" s="1615"/>
      <c r="D4" s="1616" t="s">
        <v>486</v>
      </c>
      <c r="E4" s="1378"/>
      <c r="F4" s="1378"/>
      <c r="G4" s="1378"/>
      <c r="H4" s="1378"/>
      <c r="I4" s="1617">
        <f>+VLOOKUP(D4,'עלויות תפעול בהתאם לנורמה'!$C$6:$BF$114,$Z$62+1,0)</f>
        <v>10687.855</v>
      </c>
      <c r="J4" s="1378"/>
      <c r="K4" s="1388"/>
      <c r="L4" s="1388"/>
      <c r="M4" s="1388"/>
      <c r="N4" s="1388"/>
      <c r="O4" s="1388"/>
      <c r="P4" s="1388"/>
      <c r="Q4" s="1388"/>
      <c r="R4" s="1378"/>
      <c r="S4" s="1617">
        <f>+I4*(1+$T$3)</f>
        <v>10794.733549999999</v>
      </c>
      <c r="T4" s="1618"/>
      <c r="U4" s="1390"/>
      <c r="V4" s="1378"/>
      <c r="W4" s="1378"/>
      <c r="Y4" s="1621"/>
      <c r="Z4" s="1621"/>
      <c r="AA4" s="1620"/>
      <c r="AB4" s="1613"/>
    </row>
    <row r="5" spans="1:28" ht="31.5" x14ac:dyDescent="0.25">
      <c r="A5" s="1622"/>
      <c r="B5" s="1378"/>
      <c r="C5" s="1859" t="s">
        <v>188</v>
      </c>
      <c r="D5" s="1378"/>
      <c r="E5" s="1378"/>
      <c r="F5" s="1378"/>
      <c r="G5" s="1378"/>
      <c r="H5" s="1378"/>
      <c r="I5" s="1378"/>
      <c r="J5" s="1378"/>
      <c r="K5" s="1606" t="s">
        <v>1793</v>
      </c>
      <c r="L5" s="1378"/>
      <c r="M5" s="1378"/>
      <c r="N5" s="1606" t="s">
        <v>1793</v>
      </c>
      <c r="O5" s="1606" t="s">
        <v>1793</v>
      </c>
      <c r="P5" s="1606" t="s">
        <v>1793</v>
      </c>
      <c r="Q5" s="1606" t="s">
        <v>1793</v>
      </c>
      <c r="R5" s="1378"/>
      <c r="S5" s="1378"/>
      <c r="T5" s="1378"/>
      <c r="U5" s="1378"/>
      <c r="V5" s="1378"/>
      <c r="W5" s="1378"/>
      <c r="X5" s="1623"/>
      <c r="AA5" s="1613"/>
      <c r="AB5" s="1624">
        <f>AA3-AA5</f>
        <v>0</v>
      </c>
    </row>
    <row r="6" spans="1:28" ht="94.5" x14ac:dyDescent="0.25">
      <c r="A6" s="1622"/>
      <c r="B6" s="1625"/>
      <c r="C6" s="1859"/>
      <c r="D6" s="1388"/>
      <c r="E6" s="1378"/>
      <c r="F6" s="1378"/>
      <c r="G6" s="1626" t="s">
        <v>1800</v>
      </c>
      <c r="H6" s="1378"/>
      <c r="I6" s="1626" t="s">
        <v>1962</v>
      </c>
      <c r="J6" s="1378"/>
      <c r="K6" s="1627" t="s">
        <v>1963</v>
      </c>
      <c r="L6" s="1378"/>
      <c r="M6" s="1626" t="s">
        <v>1801</v>
      </c>
      <c r="N6" s="1627" t="s">
        <v>1964</v>
      </c>
      <c r="O6" s="1628" t="s">
        <v>1965</v>
      </c>
      <c r="P6" s="1629" t="s">
        <v>1966</v>
      </c>
      <c r="Q6" s="1630" t="s">
        <v>1967</v>
      </c>
      <c r="R6" s="1388"/>
      <c r="S6" s="1631" t="s">
        <v>1968</v>
      </c>
      <c r="T6" s="1632" t="s">
        <v>1969</v>
      </c>
      <c r="U6" s="1633" t="s">
        <v>1970</v>
      </c>
      <c r="V6" s="1634" t="s">
        <v>1971</v>
      </c>
      <c r="W6" s="1632" t="s">
        <v>1972</v>
      </c>
      <c r="X6" s="1635"/>
      <c r="Y6" s="1609">
        <v>1</v>
      </c>
      <c r="Z6" s="1636" t="s">
        <v>691</v>
      </c>
    </row>
    <row r="7" spans="1:28" ht="15.75" x14ac:dyDescent="0.25">
      <c r="A7" s="1622"/>
      <c r="B7" s="1625"/>
      <c r="C7" s="1637" t="s">
        <v>1794</v>
      </c>
      <c r="D7" s="1388" t="s">
        <v>1795</v>
      </c>
      <c r="E7" s="1378"/>
      <c r="F7" s="1378"/>
      <c r="G7" s="1378"/>
      <c r="H7" s="1378"/>
      <c r="I7" s="1378"/>
      <c r="J7" s="1378"/>
      <c r="K7" s="1378"/>
      <c r="L7" s="1378"/>
      <c r="M7" s="1378"/>
      <c r="N7" s="1378"/>
      <c r="O7" s="1378"/>
      <c r="P7" s="1378"/>
      <c r="Q7" s="1378"/>
      <c r="R7" s="1638"/>
      <c r="S7" s="1639"/>
      <c r="T7" s="1639"/>
      <c r="U7" s="1639"/>
      <c r="V7" s="1639"/>
      <c r="W7" s="1639"/>
      <c r="Y7" s="1609">
        <v>2</v>
      </c>
      <c r="Z7" s="1636" t="s">
        <v>439</v>
      </c>
    </row>
    <row r="8" spans="1:28" ht="15.75" x14ac:dyDescent="0.25">
      <c r="A8" s="1622"/>
      <c r="B8" s="1378"/>
      <c r="C8" s="1378"/>
      <c r="D8" s="1378" t="s">
        <v>1796</v>
      </c>
      <c r="E8" s="1378"/>
      <c r="F8" s="1378"/>
      <c r="G8" s="1567">
        <f>+I8</f>
        <v>0</v>
      </c>
      <c r="H8" s="1378"/>
      <c r="I8" s="1567"/>
      <c r="J8" s="1378"/>
      <c r="K8" s="1376"/>
      <c r="L8" s="1378"/>
      <c r="M8" s="1375"/>
      <c r="N8" s="1376"/>
      <c r="O8" s="1376"/>
      <c r="P8" s="1376"/>
      <c r="Q8" s="1376"/>
      <c r="R8" s="1378"/>
      <c r="S8" s="1375">
        <f>I8-K8</f>
        <v>0</v>
      </c>
      <c r="T8" s="1375">
        <f>M8-Q8</f>
        <v>0</v>
      </c>
      <c r="U8" s="1375">
        <f>M8-P8</f>
        <v>0</v>
      </c>
      <c r="V8" s="1375">
        <f>M8-O8</f>
        <v>0</v>
      </c>
      <c r="W8" s="1375">
        <f>Q8-K8</f>
        <v>0</v>
      </c>
      <c r="Y8" s="1609">
        <v>3</v>
      </c>
      <c r="Z8" s="1636" t="s">
        <v>440</v>
      </c>
    </row>
    <row r="9" spans="1:28" ht="15.75" x14ac:dyDescent="0.25">
      <c r="A9" s="1622"/>
      <c r="B9" s="1378"/>
      <c r="C9" s="1378"/>
      <c r="D9" s="1378" t="s">
        <v>1797</v>
      </c>
      <c r="E9" s="1378"/>
      <c r="F9" s="1378"/>
      <c r="G9" s="1567">
        <f>+I9</f>
        <v>0</v>
      </c>
      <c r="H9" s="1378"/>
      <c r="I9" s="1567"/>
      <c r="J9" s="1378"/>
      <c r="K9" s="1376"/>
      <c r="L9" s="1378"/>
      <c r="M9" s="1375"/>
      <c r="N9" s="1376"/>
      <c r="O9" s="1376"/>
      <c r="P9" s="1376"/>
      <c r="Q9" s="1376"/>
      <c r="R9" s="1378"/>
      <c r="S9" s="1375">
        <f t="shared" ref="S9:S11" si="0">I9-K9</f>
        <v>0</v>
      </c>
      <c r="T9" s="1375">
        <f t="shared" ref="T9:T11" si="1">M9-Q9</f>
        <v>0</v>
      </c>
      <c r="U9" s="1375">
        <f t="shared" ref="U9:U11" si="2">M9-P9</f>
        <v>0</v>
      </c>
      <c r="V9" s="1375">
        <f t="shared" ref="V9:V11" si="3">M9-O9</f>
        <v>0</v>
      </c>
      <c r="W9" s="1375">
        <f t="shared" ref="W9:W11" si="4">Q9-K9</f>
        <v>0</v>
      </c>
      <c r="Y9" s="1609">
        <v>4</v>
      </c>
      <c r="Z9" s="1636" t="s">
        <v>441</v>
      </c>
    </row>
    <row r="10" spans="1:28" ht="15.75" x14ac:dyDescent="0.25">
      <c r="A10" s="1622"/>
      <c r="B10" s="1378"/>
      <c r="C10" s="1378"/>
      <c r="D10" s="1378" t="s">
        <v>1798</v>
      </c>
      <c r="E10" s="1378"/>
      <c r="F10" s="1378"/>
      <c r="G10" s="1567">
        <f>+I10</f>
        <v>0</v>
      </c>
      <c r="H10" s="1378"/>
      <c r="I10" s="1567"/>
      <c r="J10" s="1378"/>
      <c r="K10" s="1376"/>
      <c r="L10" s="1378"/>
      <c r="M10" s="1375"/>
      <c r="N10" s="1376"/>
      <c r="O10" s="1376"/>
      <c r="P10" s="1376"/>
      <c r="Q10" s="1376"/>
      <c r="R10" s="1378"/>
      <c r="S10" s="1375">
        <f t="shared" si="0"/>
        <v>0</v>
      </c>
      <c r="T10" s="1375">
        <f t="shared" si="1"/>
        <v>0</v>
      </c>
      <c r="U10" s="1375">
        <f t="shared" si="2"/>
        <v>0</v>
      </c>
      <c r="V10" s="1375">
        <f t="shared" si="3"/>
        <v>0</v>
      </c>
      <c r="W10" s="1375">
        <f t="shared" si="4"/>
        <v>0</v>
      </c>
      <c r="Y10" s="1609">
        <v>5</v>
      </c>
      <c r="Z10" s="1636" t="s">
        <v>442</v>
      </c>
    </row>
    <row r="11" spans="1:28" ht="15.75" x14ac:dyDescent="0.25">
      <c r="A11" s="1622"/>
      <c r="B11" s="1378"/>
      <c r="C11" s="1378"/>
      <c r="D11" s="1378"/>
      <c r="E11" s="1378"/>
      <c r="F11" s="1378"/>
      <c r="G11" s="1640">
        <f>SUM(G8:G10)</f>
        <v>0</v>
      </c>
      <c r="H11" s="1378"/>
      <c r="I11" s="1640">
        <f>SUM(I8:I10)</f>
        <v>0</v>
      </c>
      <c r="J11" s="1378"/>
      <c r="K11" s="1640">
        <f>SUM(K8:K10)</f>
        <v>0</v>
      </c>
      <c r="L11" s="1378"/>
      <c r="M11" s="1640">
        <f>SUM(M8:M10)</f>
        <v>0</v>
      </c>
      <c r="N11" s="1640">
        <f>SUM(N8:N10)</f>
        <v>0</v>
      </c>
      <c r="O11" s="1640">
        <f t="shared" ref="O11:P11" si="5">SUM(O8:O10)</f>
        <v>0</v>
      </c>
      <c r="P11" s="1640">
        <f t="shared" si="5"/>
        <v>0</v>
      </c>
      <c r="Q11" s="1640">
        <f>SUM(Q8:Q10)</f>
        <v>0</v>
      </c>
      <c r="R11" s="1388"/>
      <c r="S11" s="1640">
        <f t="shared" si="0"/>
        <v>0</v>
      </c>
      <c r="T11" s="1640">
        <f t="shared" si="1"/>
        <v>0</v>
      </c>
      <c r="U11" s="1640">
        <f t="shared" si="2"/>
        <v>0</v>
      </c>
      <c r="V11" s="1640">
        <f t="shared" si="3"/>
        <v>0</v>
      </c>
      <c r="W11" s="1640">
        <f t="shared" si="4"/>
        <v>0</v>
      </c>
      <c r="Y11" s="1609">
        <v>6</v>
      </c>
      <c r="Z11" s="1636" t="s">
        <v>443</v>
      </c>
    </row>
    <row r="12" spans="1:28" ht="15.75" x14ac:dyDescent="0.25">
      <c r="A12" s="1622"/>
      <c r="B12" s="1378"/>
      <c r="C12" s="1378"/>
      <c r="D12" s="1378"/>
      <c r="E12" s="1378"/>
      <c r="F12" s="1378"/>
      <c r="G12" s="1378"/>
      <c r="H12" s="1378"/>
      <c r="I12" s="1378"/>
      <c r="J12" s="1378"/>
      <c r="K12" s="1378"/>
      <c r="L12" s="1378"/>
      <c r="M12" s="1378"/>
      <c r="N12" s="1378"/>
      <c r="O12" s="1378"/>
      <c r="P12" s="1378"/>
      <c r="Q12" s="1378"/>
      <c r="R12" s="1378"/>
      <c r="S12" s="1378"/>
      <c r="T12" s="1378"/>
      <c r="U12" s="1378"/>
      <c r="V12" s="1378"/>
      <c r="W12" s="1378"/>
      <c r="Y12" s="1609">
        <v>7</v>
      </c>
      <c r="Z12" s="1636" t="s">
        <v>444</v>
      </c>
    </row>
    <row r="13" spans="1:28" ht="94.5" x14ac:dyDescent="0.25">
      <c r="A13" s="1622"/>
      <c r="B13" s="1625"/>
      <c r="C13" s="1641" t="s">
        <v>1799</v>
      </c>
      <c r="D13" s="1641" t="s">
        <v>1799</v>
      </c>
      <c r="E13" s="1378"/>
      <c r="F13" s="1378"/>
      <c r="G13" s="1626" t="s">
        <v>1800</v>
      </c>
      <c r="H13" s="1378"/>
      <c r="I13" s="1626" t="s">
        <v>1962</v>
      </c>
      <c r="J13" s="1378"/>
      <c r="K13" s="1631" t="s">
        <v>1963</v>
      </c>
      <c r="L13" s="1378"/>
      <c r="M13" s="1626" t="s">
        <v>1801</v>
      </c>
      <c r="N13" s="1631" t="s">
        <v>1964</v>
      </c>
      <c r="O13" s="1634" t="s">
        <v>1965</v>
      </c>
      <c r="P13" s="1633" t="s">
        <v>1966</v>
      </c>
      <c r="Q13" s="1632" t="s">
        <v>1967</v>
      </c>
      <c r="R13" s="1388"/>
      <c r="S13" s="1631" t="s">
        <v>1968</v>
      </c>
      <c r="T13" s="1632" t="s">
        <v>1969</v>
      </c>
      <c r="U13" s="1633" t="s">
        <v>1970</v>
      </c>
      <c r="V13" s="1634" t="s">
        <v>1971</v>
      </c>
      <c r="W13" s="1632" t="s">
        <v>1972</v>
      </c>
      <c r="Y13" s="1609">
        <v>8</v>
      </c>
      <c r="Z13" s="1636" t="s">
        <v>445</v>
      </c>
    </row>
    <row r="14" spans="1:28" ht="15.75" x14ac:dyDescent="0.25">
      <c r="A14" s="1622"/>
      <c r="B14" s="1378"/>
      <c r="C14" s="1642"/>
      <c r="D14" s="1388" t="s">
        <v>1802</v>
      </c>
      <c r="E14" s="1378"/>
      <c r="F14" s="1378"/>
      <c r="G14" s="1378"/>
      <c r="H14" s="1378"/>
      <c r="I14" s="1378"/>
      <c r="J14" s="1378"/>
      <c r="K14" s="1643"/>
      <c r="L14" s="1378"/>
      <c r="M14" s="1643"/>
      <c r="N14" s="1643"/>
      <c r="O14" s="1643"/>
      <c r="P14" s="1643"/>
      <c r="Q14" s="1643"/>
      <c r="R14" s="1378"/>
      <c r="S14" s="1643"/>
      <c r="T14" s="1643"/>
      <c r="U14" s="1643"/>
      <c r="V14" s="1643"/>
      <c r="W14" s="1643"/>
      <c r="Y14" s="1609">
        <v>9</v>
      </c>
      <c r="Z14" s="1636" t="s">
        <v>446</v>
      </c>
    </row>
    <row r="15" spans="1:28" ht="15.75" x14ac:dyDescent="0.25">
      <c r="A15" s="1622"/>
      <c r="B15" s="1378"/>
      <c r="C15" s="1642"/>
      <c r="D15" s="1644" t="s">
        <v>1752</v>
      </c>
      <c r="E15" s="1378"/>
      <c r="F15" s="1378"/>
      <c r="G15" s="1645">
        <f>+VLOOKUP(D15,'עלויות תפעול בהתאם לנורמה'!$C$6:$BF$114,$Z$62+1,0)/$I$3*$S$3/$S$3</f>
        <v>4.7122022399705796E-2</v>
      </c>
      <c r="H15" s="1378"/>
      <c r="I15" s="1375">
        <f>+VLOOKUP(D15,'עלויות תפעול בהתאם לנורמה'!$C$6:$BF$114,$Z$62+1,0)/$I$3*$S$3</f>
        <v>513.07514464541873</v>
      </c>
      <c r="J15" s="1378"/>
      <c r="K15" s="1376"/>
      <c r="L15" s="1378"/>
      <c r="M15" s="1375">
        <f>G15*$AB$2*$AB$3</f>
        <v>53.634340811260692</v>
      </c>
      <c r="N15" s="1376"/>
      <c r="O15" s="1376"/>
      <c r="P15" s="1376"/>
      <c r="Q15" s="1376"/>
      <c r="R15" s="1378"/>
      <c r="S15" s="1375">
        <f t="shared" ref="S15:S36" si="6">I15-K15</f>
        <v>513.07514464541873</v>
      </c>
      <c r="T15" s="1375">
        <f>M15-Q15</f>
        <v>53.634340811260692</v>
      </c>
      <c r="U15" s="1375">
        <f t="shared" ref="U15:U36" si="7">M15-P15</f>
        <v>53.634340811260692</v>
      </c>
      <c r="V15" s="1375">
        <f t="shared" ref="V15:V36" si="8">M15-O15</f>
        <v>53.634340811260692</v>
      </c>
      <c r="W15" s="1375">
        <f t="shared" ref="W15:W36" si="9">Q15-K15</f>
        <v>0</v>
      </c>
      <c r="X15" s="1646"/>
      <c r="Y15" s="1609">
        <v>10</v>
      </c>
      <c r="Z15" s="1636" t="s">
        <v>447</v>
      </c>
    </row>
    <row r="16" spans="1:28" ht="15.75" x14ac:dyDescent="0.25">
      <c r="A16" s="1622"/>
      <c r="B16" s="1378"/>
      <c r="C16" s="1642"/>
      <c r="D16" s="1644" t="s">
        <v>1753</v>
      </c>
      <c r="E16" s="1378"/>
      <c r="F16" s="1378"/>
      <c r="G16" s="1645">
        <f>+VLOOKUP(D16,'עלויות תפעול בהתאם לנורמה'!$C$6:$BF$114,$Z$62+1,0)/$I$3*$S$3/$S$3</f>
        <v>5.9668361715035222E-2</v>
      </c>
      <c r="H16" s="1378"/>
      <c r="I16" s="1375">
        <f>+VLOOKUP(D16,'עלויות תפעול בהתאם לנורמה'!$C$6:$BF$114,$Z$62+1,0)/$I$3*$S$3</f>
        <v>649.6825</v>
      </c>
      <c r="J16" s="1378"/>
      <c r="K16" s="1376"/>
      <c r="L16" s="1378"/>
      <c r="M16" s="1375">
        <f t="shared" ref="M16:M35" si="10">G16*$AB$2*$AB$3</f>
        <v>67.914598841448694</v>
      </c>
      <c r="N16" s="1376"/>
      <c r="O16" s="1376"/>
      <c r="P16" s="1376"/>
      <c r="Q16" s="1376"/>
      <c r="R16" s="1378"/>
      <c r="S16" s="1375">
        <f t="shared" si="6"/>
        <v>649.6825</v>
      </c>
      <c r="T16" s="1375">
        <f t="shared" ref="T16:T36" si="11">M16-Q16</f>
        <v>67.914598841448694</v>
      </c>
      <c r="U16" s="1375">
        <f t="shared" si="7"/>
        <v>67.914598841448694</v>
      </c>
      <c r="V16" s="1375">
        <f t="shared" si="8"/>
        <v>67.914598841448694</v>
      </c>
      <c r="W16" s="1375">
        <f t="shared" si="9"/>
        <v>0</v>
      </c>
      <c r="X16" s="1646"/>
      <c r="Y16" s="1609">
        <v>11</v>
      </c>
      <c r="Z16" s="1636" t="s">
        <v>448</v>
      </c>
    </row>
    <row r="17" spans="1:30" ht="15.75" x14ac:dyDescent="0.25">
      <c r="A17" s="1622"/>
      <c r="B17" s="1378"/>
      <c r="C17" s="1642"/>
      <c r="D17" s="1644" t="s">
        <v>1590</v>
      </c>
      <c r="E17" s="1378"/>
      <c r="F17" s="1378"/>
      <c r="G17" s="1645">
        <f>+VLOOKUP(D17,'עלויות תפעול בהתאם לנורמה'!$C$6:$BF$114,$Z$62+1,0)/$I$3*$S$3/$S$3</f>
        <v>0.15389810235328757</v>
      </c>
      <c r="H17" s="1378"/>
      <c r="I17" s="1375">
        <f>+VLOOKUP(D17,'עלויות תפעול בהתאם לנורמה'!$C$6:$BF$114,$Z$62+1,0)/$I$3*$S$3</f>
        <v>1675.6770423771427</v>
      </c>
      <c r="J17" s="1378"/>
      <c r="K17" s="1376"/>
      <c r="L17" s="1378"/>
      <c r="M17" s="1375">
        <f t="shared" si="10"/>
        <v>175.16699945106859</v>
      </c>
      <c r="N17" s="1376"/>
      <c r="O17" s="1376"/>
      <c r="P17" s="1376"/>
      <c r="Q17" s="1376"/>
      <c r="R17" s="1378"/>
      <c r="S17" s="1375">
        <f t="shared" si="6"/>
        <v>1675.6770423771427</v>
      </c>
      <c r="T17" s="1375">
        <f t="shared" si="11"/>
        <v>175.16699945106859</v>
      </c>
      <c r="U17" s="1375">
        <f t="shared" si="7"/>
        <v>175.16699945106859</v>
      </c>
      <c r="V17" s="1375">
        <f t="shared" si="8"/>
        <v>175.16699945106859</v>
      </c>
      <c r="W17" s="1375">
        <f t="shared" si="9"/>
        <v>0</v>
      </c>
      <c r="X17" s="1646"/>
      <c r="Y17" s="1609">
        <v>12</v>
      </c>
      <c r="Z17" s="1636" t="s">
        <v>449</v>
      </c>
    </row>
    <row r="18" spans="1:30" ht="15.75" x14ac:dyDescent="0.25">
      <c r="A18" s="1622"/>
      <c r="B18" s="1378"/>
      <c r="C18" s="1642"/>
      <c r="D18" s="1644" t="s">
        <v>1754</v>
      </c>
      <c r="E18" s="1378"/>
      <c r="F18" s="1378"/>
      <c r="G18" s="1645">
        <f>+VLOOKUP(D18,'עלויות תפעול בהתאם לנורמה'!$C$6:$BF$114,$Z$62+1,0)/$I$3*$S$3/$S$3</f>
        <v>1.7174293500889316E-2</v>
      </c>
      <c r="H18" s="1378"/>
      <c r="I18" s="1375">
        <f>+VLOOKUP(D18,'עלויות תפעול בהתאם לנורמה'!$C$6:$BF$114,$Z$62+1,0)/$I$3*$S$3</f>
        <v>186.99755811428579</v>
      </c>
      <c r="J18" s="1378"/>
      <c r="K18" s="1376"/>
      <c r="L18" s="1378"/>
      <c r="M18" s="1375">
        <f t="shared" si="10"/>
        <v>19.547800877601301</v>
      </c>
      <c r="N18" s="1376"/>
      <c r="O18" s="1376"/>
      <c r="P18" s="1376"/>
      <c r="Q18" s="1376"/>
      <c r="R18" s="1378"/>
      <c r="S18" s="1375">
        <f t="shared" si="6"/>
        <v>186.99755811428579</v>
      </c>
      <c r="T18" s="1375">
        <f t="shared" si="11"/>
        <v>19.547800877601301</v>
      </c>
      <c r="U18" s="1375">
        <f t="shared" si="7"/>
        <v>19.547800877601301</v>
      </c>
      <c r="V18" s="1375">
        <f t="shared" si="8"/>
        <v>19.547800877601301</v>
      </c>
      <c r="W18" s="1375">
        <f t="shared" si="9"/>
        <v>0</v>
      </c>
      <c r="X18" s="1646"/>
      <c r="Y18" s="1609">
        <v>13</v>
      </c>
      <c r="Z18" s="1636" t="s">
        <v>450</v>
      </c>
    </row>
    <row r="19" spans="1:30" ht="15.75" x14ac:dyDescent="0.25">
      <c r="A19" s="1622"/>
      <c r="B19" s="1378"/>
      <c r="C19" s="1642"/>
      <c r="D19" s="1644" t="s">
        <v>1642</v>
      </c>
      <c r="E19" s="1378"/>
      <c r="F19" s="1378"/>
      <c r="G19" s="1645">
        <f>+VLOOKUP(D19,'עלויות תפעול בהתאם לנורמה'!$C$6:$BF$114,$Z$62+1,0)/$I$3*$S$3/$S$3</f>
        <v>0</v>
      </c>
      <c r="H19" s="1378"/>
      <c r="I19" s="1375">
        <f>+VLOOKUP(D19,'עלויות תפעול בהתאם לנורמה'!$C$6:$BF$114,$Z$62+1,0)/$I$3*$S$3</f>
        <v>0</v>
      </c>
      <c r="J19" s="1378"/>
      <c r="K19" s="1376"/>
      <c r="L19" s="1378"/>
      <c r="M19" s="1375">
        <f t="shared" si="10"/>
        <v>0</v>
      </c>
      <c r="N19" s="1376"/>
      <c r="O19" s="1376"/>
      <c r="P19" s="1376"/>
      <c r="Q19" s="1376"/>
      <c r="R19" s="1378"/>
      <c r="S19" s="1375">
        <f t="shared" si="6"/>
        <v>0</v>
      </c>
      <c r="T19" s="1375">
        <f t="shared" si="11"/>
        <v>0</v>
      </c>
      <c r="U19" s="1375">
        <f t="shared" si="7"/>
        <v>0</v>
      </c>
      <c r="V19" s="1375">
        <f t="shared" si="8"/>
        <v>0</v>
      </c>
      <c r="W19" s="1375">
        <f t="shared" si="9"/>
        <v>0</v>
      </c>
      <c r="X19" s="1646"/>
      <c r="Y19" s="1609">
        <v>14</v>
      </c>
      <c r="Z19" s="1636" t="s">
        <v>828</v>
      </c>
    </row>
    <row r="20" spans="1:30" ht="15.75" x14ac:dyDescent="0.25">
      <c r="A20" s="1622"/>
      <c r="B20" s="1378"/>
      <c r="C20" s="1642"/>
      <c r="D20" s="1644" t="s">
        <v>1596</v>
      </c>
      <c r="E20" s="1378"/>
      <c r="F20" s="1378"/>
      <c r="G20" s="1645">
        <f>+VLOOKUP(D20,'עלויות תפעול בהתאם לנורמה'!$C$6:$BF$114,$Z$62+1,0)/$I$3*$S$3/$S$3</f>
        <v>2.3812882773981501E-2</v>
      </c>
      <c r="H20" s="1378"/>
      <c r="I20" s="1375">
        <f>+VLOOKUP(D20,'עלויות תפעול בהתאם לנורמה'!$C$6:$BF$114,$Z$62+1,0)/$I$3*$S$3</f>
        <v>259.28000649142854</v>
      </c>
      <c r="J20" s="1378"/>
      <c r="K20" s="1376"/>
      <c r="L20" s="1378"/>
      <c r="M20" s="1375">
        <f t="shared" si="10"/>
        <v>27.103850924834177</v>
      </c>
      <c r="N20" s="1376"/>
      <c r="O20" s="1376"/>
      <c r="P20" s="1376"/>
      <c r="Q20" s="1376"/>
      <c r="R20" s="1378"/>
      <c r="S20" s="1375">
        <f t="shared" si="6"/>
        <v>259.28000649142854</v>
      </c>
      <c r="T20" s="1375">
        <f t="shared" si="11"/>
        <v>27.103850924834177</v>
      </c>
      <c r="U20" s="1375">
        <f t="shared" si="7"/>
        <v>27.103850924834177</v>
      </c>
      <c r="V20" s="1375">
        <f t="shared" si="8"/>
        <v>27.103850924834177</v>
      </c>
      <c r="W20" s="1375">
        <f t="shared" si="9"/>
        <v>0</v>
      </c>
      <c r="X20" s="1646"/>
      <c r="Y20" s="1609">
        <v>15</v>
      </c>
      <c r="Z20" s="1636" t="s">
        <v>452</v>
      </c>
    </row>
    <row r="21" spans="1:30" ht="15.75" x14ac:dyDescent="0.25">
      <c r="A21" s="1622"/>
      <c r="B21" s="1378"/>
      <c r="C21" s="1642"/>
      <c r="D21" s="1644" t="s">
        <v>1755</v>
      </c>
      <c r="E21" s="1378"/>
      <c r="F21" s="1378"/>
      <c r="G21" s="1645">
        <f>+VLOOKUP(D21,'עלויות תפעול בהתאם לנורמה'!$C$6:$BF$114,$Z$62+1,0)/$I$3*$S$3/$S$3</f>
        <v>7.3513295475360063E-3</v>
      </c>
      <c r="H21" s="1378"/>
      <c r="I21" s="1375">
        <f>+VLOOKUP(D21,'עלויות תפעול בהתאם לנורמה'!$C$6:$BF$114,$Z$62+1,0)/$I$3*$S$3</f>
        <v>80.042924281656596</v>
      </c>
      <c r="J21" s="1378"/>
      <c r="K21" s="1376"/>
      <c r="L21" s="1378"/>
      <c r="M21" s="1375">
        <f t="shared" si="10"/>
        <v>8.3672918582309972</v>
      </c>
      <c r="N21" s="1376"/>
      <c r="O21" s="1376"/>
      <c r="P21" s="1376"/>
      <c r="Q21" s="1376"/>
      <c r="R21" s="1378"/>
      <c r="S21" s="1375">
        <f t="shared" si="6"/>
        <v>80.042924281656596</v>
      </c>
      <c r="T21" s="1375">
        <f t="shared" si="11"/>
        <v>8.3672918582309972</v>
      </c>
      <c r="U21" s="1375">
        <f t="shared" si="7"/>
        <v>8.3672918582309972</v>
      </c>
      <c r="V21" s="1375">
        <f t="shared" si="8"/>
        <v>8.3672918582309972</v>
      </c>
      <c r="W21" s="1375">
        <f t="shared" si="9"/>
        <v>0</v>
      </c>
      <c r="X21" s="1646"/>
      <c r="Y21" s="1609">
        <v>16</v>
      </c>
      <c r="Z21" s="1636" t="s">
        <v>453</v>
      </c>
    </row>
    <row r="22" spans="1:30" ht="15.75" x14ac:dyDescent="0.25">
      <c r="A22" s="1622"/>
      <c r="B22" s="1378"/>
      <c r="C22" s="1642"/>
      <c r="D22" s="1644" t="s">
        <v>1315</v>
      </c>
      <c r="E22" s="1625"/>
      <c r="F22" s="1625"/>
      <c r="G22" s="1645">
        <f>+VLOOKUP(D22,'עלויות תפעול בהתאם לנורמה'!$C$6:$BF$114,$Z$62+1,0)/$I$3*$S$3/$S$3</f>
        <v>9.8017727300480067E-3</v>
      </c>
      <c r="H22" s="1625"/>
      <c r="I22" s="1375">
        <f>+VLOOKUP(D22,'עלויות תפעול בהתאם לנורמה'!$C$6:$BF$114,$Z$62+1,0)/$I$3*$S$3</f>
        <v>106.72389904220879</v>
      </c>
      <c r="J22" s="1378"/>
      <c r="K22" s="1376"/>
      <c r="L22" s="1625"/>
      <c r="M22" s="1375">
        <f t="shared" si="10"/>
        <v>11.156389144307996</v>
      </c>
      <c r="N22" s="1376"/>
      <c r="O22" s="1376"/>
      <c r="P22" s="1376"/>
      <c r="Q22" s="1376"/>
      <c r="R22" s="1378"/>
      <c r="S22" s="1375">
        <f t="shared" si="6"/>
        <v>106.72389904220879</v>
      </c>
      <c r="T22" s="1375">
        <f t="shared" si="11"/>
        <v>11.156389144307996</v>
      </c>
      <c r="U22" s="1375">
        <f t="shared" si="7"/>
        <v>11.156389144307996</v>
      </c>
      <c r="V22" s="1375">
        <f t="shared" si="8"/>
        <v>11.156389144307996</v>
      </c>
      <c r="W22" s="1375">
        <f t="shared" si="9"/>
        <v>0</v>
      </c>
      <c r="X22" s="1646"/>
      <c r="Y22" s="1609">
        <v>17</v>
      </c>
      <c r="Z22" s="1636" t="s">
        <v>454</v>
      </c>
    </row>
    <row r="23" spans="1:30" ht="15.75" x14ac:dyDescent="0.25">
      <c r="A23" s="1622"/>
      <c r="B23" s="1378"/>
      <c r="C23" s="1642"/>
      <c r="D23" s="1644" t="s">
        <v>1602</v>
      </c>
      <c r="E23" s="1625"/>
      <c r="F23" s="1625"/>
      <c r="G23" s="1645">
        <f>+VLOOKUP(D23,'עלויות תפעול בהתאם לנורמה'!$C$6:$BF$114,$Z$62+1,0)/$I$3*$S$3/$S$3</f>
        <v>6.1261079562800061E-3</v>
      </c>
      <c r="H23" s="1625"/>
      <c r="I23" s="1375">
        <f>+VLOOKUP(D23,'עלויות תפעול בהתאם לנורמה'!$C$6:$BF$114,$Z$62+1,0)/$I$3*$S$3</f>
        <v>66.702436901380509</v>
      </c>
      <c r="J23" s="1378"/>
      <c r="K23" s="1376"/>
      <c r="L23" s="1625"/>
      <c r="M23" s="1375">
        <f t="shared" si="10"/>
        <v>6.9727432151924997</v>
      </c>
      <c r="N23" s="1376"/>
      <c r="O23" s="1376"/>
      <c r="P23" s="1376"/>
      <c r="Q23" s="1376"/>
      <c r="R23" s="1378"/>
      <c r="S23" s="1375">
        <f t="shared" si="6"/>
        <v>66.702436901380509</v>
      </c>
      <c r="T23" s="1375">
        <f t="shared" si="11"/>
        <v>6.9727432151924997</v>
      </c>
      <c r="U23" s="1375">
        <f t="shared" si="7"/>
        <v>6.9727432151924997</v>
      </c>
      <c r="V23" s="1375">
        <f t="shared" si="8"/>
        <v>6.9727432151924997</v>
      </c>
      <c r="W23" s="1375">
        <f t="shared" si="9"/>
        <v>0</v>
      </c>
      <c r="X23" s="1646"/>
      <c r="Y23" s="1609">
        <v>18</v>
      </c>
      <c r="Z23" s="1636" t="s">
        <v>455</v>
      </c>
    </row>
    <row r="24" spans="1:30" ht="15.75" x14ac:dyDescent="0.25">
      <c r="A24" s="1622"/>
      <c r="B24" s="1378"/>
      <c r="C24" s="1642"/>
      <c r="D24" s="1644" t="s">
        <v>1756</v>
      </c>
      <c r="E24" s="1625"/>
      <c r="F24" s="1625"/>
      <c r="G24" s="1645">
        <f>+VLOOKUP(D24,'עלויות תפעול בהתאם לנורמה'!$C$6:$BF$114,$Z$62+1,0)/$I$3*$S$3/$S$3</f>
        <v>6.1261079562800061E-3</v>
      </c>
      <c r="H24" s="1625"/>
      <c r="I24" s="1375">
        <f>+VLOOKUP(D24,'עלויות תפעול בהתאם לנורמה'!$C$6:$BF$114,$Z$62+1,0)/$I$3*$S$3</f>
        <v>66.702436901380509</v>
      </c>
      <c r="J24" s="1378"/>
      <c r="K24" s="1376"/>
      <c r="L24" s="1625"/>
      <c r="M24" s="1375">
        <f t="shared" si="10"/>
        <v>6.9727432151924997</v>
      </c>
      <c r="N24" s="1376"/>
      <c r="O24" s="1376"/>
      <c r="P24" s="1376"/>
      <c r="Q24" s="1376"/>
      <c r="R24" s="1378"/>
      <c r="S24" s="1375">
        <f t="shared" si="6"/>
        <v>66.702436901380509</v>
      </c>
      <c r="T24" s="1375">
        <f t="shared" si="11"/>
        <v>6.9727432151924997</v>
      </c>
      <c r="U24" s="1375">
        <f t="shared" si="7"/>
        <v>6.9727432151924997</v>
      </c>
      <c r="V24" s="1375">
        <f t="shared" si="8"/>
        <v>6.9727432151924997</v>
      </c>
      <c r="W24" s="1375">
        <f t="shared" si="9"/>
        <v>0</v>
      </c>
      <c r="X24" s="1646"/>
      <c r="Y24" s="1609">
        <v>19</v>
      </c>
      <c r="Z24" s="1636" t="s">
        <v>456</v>
      </c>
    </row>
    <row r="25" spans="1:30" ht="15.75" x14ac:dyDescent="0.25">
      <c r="A25" s="1622"/>
      <c r="B25" s="1378"/>
      <c r="C25" s="1642"/>
      <c r="D25" s="1644" t="s">
        <v>1757</v>
      </c>
      <c r="E25" s="1625"/>
      <c r="F25" s="1625"/>
      <c r="G25" s="1645">
        <f>+VLOOKUP(D25,'עלויות תפעול בהתאם לנורמה'!$C$6:$BF$114,$Z$62+1,0)/$I$3*$S$3/$S$3</f>
        <v>2.4504431825120017E-3</v>
      </c>
      <c r="H25" s="1625"/>
      <c r="I25" s="1375">
        <f>+VLOOKUP(D25,'עלויות תפעול בהתאם לנורמה'!$C$6:$BF$114,$Z$62+1,0)/$I$3*$S$3</f>
        <v>26.680974760552196</v>
      </c>
      <c r="J25" s="1378"/>
      <c r="K25" s="1376"/>
      <c r="L25" s="1625"/>
      <c r="M25" s="1375">
        <f t="shared" si="10"/>
        <v>2.7890972860769989</v>
      </c>
      <c r="N25" s="1376"/>
      <c r="O25" s="1376"/>
      <c r="P25" s="1376"/>
      <c r="Q25" s="1376"/>
      <c r="R25" s="1378"/>
      <c r="S25" s="1375">
        <f t="shared" si="6"/>
        <v>26.680974760552196</v>
      </c>
      <c r="T25" s="1375">
        <f t="shared" si="11"/>
        <v>2.7890972860769989</v>
      </c>
      <c r="U25" s="1375">
        <f t="shared" si="7"/>
        <v>2.7890972860769989</v>
      </c>
      <c r="V25" s="1375">
        <f t="shared" si="8"/>
        <v>2.7890972860769989</v>
      </c>
      <c r="W25" s="1375">
        <f t="shared" si="9"/>
        <v>0</v>
      </c>
      <c r="X25" s="1646"/>
      <c r="Y25" s="1609">
        <v>20</v>
      </c>
      <c r="Z25" s="1636" t="s">
        <v>457</v>
      </c>
    </row>
    <row r="26" spans="1:30" ht="15.75" x14ac:dyDescent="0.25">
      <c r="A26" s="1622"/>
      <c r="B26" s="1378"/>
      <c r="C26" s="1642"/>
      <c r="D26" s="1644" t="s">
        <v>1758</v>
      </c>
      <c r="E26" s="1625"/>
      <c r="F26" s="1625"/>
      <c r="G26" s="1645">
        <f>+VLOOKUP(D26,'עלויות תפעול בהתאם לנורמה'!$C$6:$BF$114,$Z$62+1,0)/$I$3*$S$3/$S$3</f>
        <v>2.4504431825120017E-3</v>
      </c>
      <c r="H26" s="1625"/>
      <c r="I26" s="1375">
        <f>+VLOOKUP(D26,'עלויות תפעול בהתאם לנורמה'!$C$6:$BF$114,$Z$62+1,0)/$I$3*$S$3</f>
        <v>26.680974760552196</v>
      </c>
      <c r="J26" s="1378"/>
      <c r="K26" s="1376"/>
      <c r="L26" s="1625"/>
      <c r="M26" s="1375">
        <f t="shared" si="10"/>
        <v>2.7890972860769989</v>
      </c>
      <c r="N26" s="1376"/>
      <c r="O26" s="1376"/>
      <c r="P26" s="1376"/>
      <c r="Q26" s="1376"/>
      <c r="R26" s="1378"/>
      <c r="S26" s="1375">
        <f t="shared" si="6"/>
        <v>26.680974760552196</v>
      </c>
      <c r="T26" s="1375">
        <f t="shared" si="11"/>
        <v>2.7890972860769989</v>
      </c>
      <c r="U26" s="1375">
        <f t="shared" si="7"/>
        <v>2.7890972860769989</v>
      </c>
      <c r="V26" s="1375">
        <f t="shared" si="8"/>
        <v>2.7890972860769989</v>
      </c>
      <c r="W26" s="1375">
        <f t="shared" si="9"/>
        <v>0</v>
      </c>
      <c r="X26" s="1646"/>
      <c r="Y26" s="1609">
        <v>21</v>
      </c>
      <c r="Z26" s="1636" t="s">
        <v>458</v>
      </c>
    </row>
    <row r="27" spans="1:30" ht="15.75" x14ac:dyDescent="0.25">
      <c r="A27" s="1622"/>
      <c r="B27" s="1378"/>
      <c r="C27" s="1642"/>
      <c r="D27" s="1644" t="s">
        <v>298</v>
      </c>
      <c r="E27" s="1625"/>
      <c r="F27" s="1625"/>
      <c r="G27" s="1645">
        <f>+VLOOKUP(D27,'עלויות תפעול בהתאם לנורמה'!$C$6:$BF$114,$Z$62+1,0)/$I$3*$S$3/$S$3</f>
        <v>0</v>
      </c>
      <c r="H27" s="1625"/>
      <c r="I27" s="1375">
        <f>+VLOOKUP(D27,'עלויות תפעול בהתאם לנורמה'!$C$6:$BF$114,$Z$62+1,0)/$I$3*$S$3</f>
        <v>0</v>
      </c>
      <c r="J27" s="1378"/>
      <c r="K27" s="1376"/>
      <c r="L27" s="1625"/>
      <c r="M27" s="1375">
        <f t="shared" si="10"/>
        <v>0</v>
      </c>
      <c r="N27" s="1376"/>
      <c r="O27" s="1376"/>
      <c r="P27" s="1376"/>
      <c r="Q27" s="1376"/>
      <c r="R27" s="1378"/>
      <c r="S27" s="1375">
        <f t="shared" si="6"/>
        <v>0</v>
      </c>
      <c r="T27" s="1375">
        <f t="shared" si="11"/>
        <v>0</v>
      </c>
      <c r="U27" s="1375">
        <f t="shared" si="7"/>
        <v>0</v>
      </c>
      <c r="V27" s="1375">
        <f t="shared" si="8"/>
        <v>0</v>
      </c>
      <c r="W27" s="1375">
        <f t="shared" si="9"/>
        <v>0</v>
      </c>
      <c r="X27" s="1646"/>
      <c r="Y27" s="1609">
        <v>22</v>
      </c>
      <c r="Z27" s="1636" t="s">
        <v>257</v>
      </c>
    </row>
    <row r="28" spans="1:30" ht="14.25" customHeight="1" x14ac:dyDescent="0.25">
      <c r="A28" s="1622"/>
      <c r="B28" s="1378"/>
      <c r="C28" s="1642"/>
      <c r="D28" s="1647" t="s">
        <v>1609</v>
      </c>
      <c r="E28" s="1648"/>
      <c r="F28" s="1648"/>
      <c r="G28" s="1645">
        <f>+VLOOKUP(D28,'עלויות תפעול בהתאם לנורמה'!$C$6:$BF$114,$Z$62+1,0)/$I$3*$S$3/$S$3</f>
        <v>0</v>
      </c>
      <c r="H28" s="1648"/>
      <c r="I28" s="1375">
        <f>+VLOOKUP(D28,'עלויות תפעול בהתאם לנורמה'!$C$6:$BF$114,$Z$62+1,0)/$I$3*$S$3</f>
        <v>0</v>
      </c>
      <c r="J28" s="1378"/>
      <c r="K28" s="1376"/>
      <c r="L28" s="1648"/>
      <c r="M28" s="1375">
        <f t="shared" si="10"/>
        <v>0</v>
      </c>
      <c r="N28" s="1376"/>
      <c r="O28" s="1376"/>
      <c r="P28" s="1376"/>
      <c r="Q28" s="1376"/>
      <c r="R28" s="1378"/>
      <c r="S28" s="1375">
        <f t="shared" si="6"/>
        <v>0</v>
      </c>
      <c r="T28" s="1375">
        <f t="shared" si="11"/>
        <v>0</v>
      </c>
      <c r="U28" s="1375">
        <f t="shared" si="7"/>
        <v>0</v>
      </c>
      <c r="V28" s="1375">
        <f t="shared" si="8"/>
        <v>0</v>
      </c>
      <c r="W28" s="1375">
        <f t="shared" si="9"/>
        <v>0</v>
      </c>
      <c r="X28" s="1646"/>
      <c r="Y28" s="1609">
        <v>23</v>
      </c>
      <c r="Z28" s="1636" t="s">
        <v>260</v>
      </c>
    </row>
    <row r="29" spans="1:30" ht="26.25" x14ac:dyDescent="0.25">
      <c r="A29" s="1622"/>
      <c r="B29" s="1378"/>
      <c r="C29" s="1642"/>
      <c r="D29" s="1647" t="s">
        <v>1611</v>
      </c>
      <c r="E29" s="1648"/>
      <c r="F29" s="1648"/>
      <c r="G29" s="1645">
        <f>+VLOOKUP(D29,'עלויות תפעול בהתאם לנורמה'!$C$6:$BF$114,$Z$62+1,0)/$I$3*$S$3/$S$3</f>
        <v>0.11592127208401901</v>
      </c>
      <c r="H29" s="1648"/>
      <c r="I29" s="1375">
        <f>+VLOOKUP(D29,'עלויות תפעול בהתאם לנורמה'!$C$6:$BF$114,$Z$62+1,0)/$I$3*$S$3</f>
        <v>1262.1768000000002</v>
      </c>
      <c r="J29" s="1378"/>
      <c r="K29" s="1376"/>
      <c r="L29" s="1648"/>
      <c r="M29" s="1375">
        <f t="shared" si="10"/>
        <v>131.94172698046111</v>
      </c>
      <c r="N29" s="1376"/>
      <c r="O29" s="1376"/>
      <c r="P29" s="1376"/>
      <c r="Q29" s="1376"/>
      <c r="R29" s="1378"/>
      <c r="S29" s="1375">
        <f t="shared" si="6"/>
        <v>1262.1768000000002</v>
      </c>
      <c r="T29" s="1375">
        <f t="shared" si="11"/>
        <v>131.94172698046111</v>
      </c>
      <c r="U29" s="1375">
        <f t="shared" si="7"/>
        <v>131.94172698046111</v>
      </c>
      <c r="V29" s="1375">
        <f t="shared" si="8"/>
        <v>131.94172698046111</v>
      </c>
      <c r="W29" s="1375">
        <f t="shared" si="9"/>
        <v>0</v>
      </c>
      <c r="X29" s="1649" t="s">
        <v>1973</v>
      </c>
      <c r="Y29" s="1609">
        <v>24</v>
      </c>
      <c r="Z29" s="1636" t="s">
        <v>658</v>
      </c>
    </row>
    <row r="30" spans="1:30" ht="15.75" x14ac:dyDescent="0.25">
      <c r="A30" s="1622"/>
      <c r="B30" s="1378"/>
      <c r="C30" s="1642"/>
      <c r="D30" s="1378" t="s">
        <v>1316</v>
      </c>
      <c r="E30" s="1648"/>
      <c r="F30" s="1648"/>
      <c r="G30" s="1645">
        <f>+VLOOKUP(D30,'עלויות תפעול בהתאם לנורמה'!$C$6:$BF$114,$Z$62+1,0)/$I$3*$S$3/$S$3</f>
        <v>4.9008863650240033E-3</v>
      </c>
      <c r="H30" s="1648"/>
      <c r="I30" s="1375">
        <f>+VLOOKUP(D30,'עלויות תפעול בהתאם לנורמה'!$C$6:$BF$114,$Z$62+1,0)/$I$3*$S$3</f>
        <v>53.361949521104393</v>
      </c>
      <c r="J30" s="1378"/>
      <c r="K30" s="1376"/>
      <c r="L30" s="1648"/>
      <c r="M30" s="1375">
        <f t="shared" si="10"/>
        <v>5.5781945721539978</v>
      </c>
      <c r="N30" s="1376"/>
      <c r="O30" s="1376"/>
      <c r="P30" s="1376"/>
      <c r="Q30" s="1376"/>
      <c r="R30" s="1378"/>
      <c r="S30" s="1375">
        <f t="shared" si="6"/>
        <v>53.361949521104393</v>
      </c>
      <c r="T30" s="1375">
        <f t="shared" si="11"/>
        <v>5.5781945721539978</v>
      </c>
      <c r="U30" s="1375">
        <f t="shared" si="7"/>
        <v>5.5781945721539978</v>
      </c>
      <c r="V30" s="1375">
        <f t="shared" si="8"/>
        <v>5.5781945721539978</v>
      </c>
      <c r="W30" s="1375">
        <f t="shared" si="9"/>
        <v>0</v>
      </c>
      <c r="X30" s="1646"/>
      <c r="Y30" s="1609">
        <v>25</v>
      </c>
      <c r="Z30" s="1636" t="s">
        <v>258</v>
      </c>
    </row>
    <row r="31" spans="1:30" ht="15.75" x14ac:dyDescent="0.25">
      <c r="A31" s="1622"/>
      <c r="B31" s="1378"/>
      <c r="C31" s="1378"/>
      <c r="D31" s="1378" t="s">
        <v>1759</v>
      </c>
      <c r="E31" s="1378"/>
      <c r="F31" s="1378"/>
      <c r="G31" s="1645">
        <f>+VLOOKUP(D31,'עלויות תפעול בהתאם לנורמה'!$C$6:$BF$114,$Z$62+1,0)/$I$3*$S$3/$S$3</f>
        <v>7.3513295475360063E-3</v>
      </c>
      <c r="H31" s="1378"/>
      <c r="I31" s="1375">
        <f>+VLOOKUP(D31,'עלויות תפעול בהתאם לנורמה'!$C$6:$BF$114,$Z$62+1,0)/$I$3*$S$3</f>
        <v>80.042924281656596</v>
      </c>
      <c r="J31" s="1378"/>
      <c r="K31" s="1376"/>
      <c r="L31" s="1378"/>
      <c r="M31" s="1375">
        <f t="shared" si="10"/>
        <v>8.3672918582309972</v>
      </c>
      <c r="N31" s="1376"/>
      <c r="O31" s="1376"/>
      <c r="P31" s="1376"/>
      <c r="Q31" s="1376"/>
      <c r="R31" s="1378"/>
      <c r="S31" s="1375">
        <f t="shared" si="6"/>
        <v>80.042924281656596</v>
      </c>
      <c r="T31" s="1375">
        <f t="shared" si="11"/>
        <v>8.3672918582309972</v>
      </c>
      <c r="U31" s="1375">
        <f t="shared" si="7"/>
        <v>8.3672918582309972</v>
      </c>
      <c r="V31" s="1375">
        <f t="shared" si="8"/>
        <v>8.3672918582309972</v>
      </c>
      <c r="W31" s="1375">
        <f t="shared" si="9"/>
        <v>0</v>
      </c>
      <c r="X31" s="1646"/>
      <c r="Y31" s="1609">
        <v>26</v>
      </c>
      <c r="Z31" s="1636" t="s">
        <v>659</v>
      </c>
    </row>
    <row r="32" spans="1:30" s="1654" customFormat="1" ht="15.75" x14ac:dyDescent="0.25">
      <c r="A32" s="1650"/>
      <c r="B32" s="1377"/>
      <c r="C32" s="1377"/>
      <c r="D32" s="1651" t="s">
        <v>1760</v>
      </c>
      <c r="E32" s="1377"/>
      <c r="F32" s="1377"/>
      <c r="G32" s="1645">
        <f>+VLOOKUP(D32,'עלויות תפעול בהתאם לנורמה'!$C$6:$BF$114,$Z$62+1,0)/$I$3*$S$3/$S$3</f>
        <v>1.3432251248436245E-2</v>
      </c>
      <c r="H32" s="1377"/>
      <c r="I32" s="1375">
        <f>+VLOOKUP(D32,'עלויות תפעול בהתאם לנורמה'!$C$6:$BF$114,$Z$62+1,0)/$I$3*$S$3</f>
        <v>146.25336310370375</v>
      </c>
      <c r="J32" s="1377"/>
      <c r="K32" s="1394"/>
      <c r="L32" s="1377"/>
      <c r="M32" s="1652">
        <f t="shared" si="10"/>
        <v>15.288604024890269</v>
      </c>
      <c r="N32" s="1392"/>
      <c r="O32" s="1392"/>
      <c r="P32" s="1392"/>
      <c r="Q32" s="1392"/>
      <c r="R32" s="1377"/>
      <c r="S32" s="1652">
        <f t="shared" si="6"/>
        <v>146.25336310370375</v>
      </c>
      <c r="T32" s="1652">
        <f t="shared" si="11"/>
        <v>15.288604024890269</v>
      </c>
      <c r="U32" s="1652">
        <f t="shared" si="7"/>
        <v>15.288604024890269</v>
      </c>
      <c r="V32" s="1652">
        <f t="shared" si="8"/>
        <v>15.288604024890269</v>
      </c>
      <c r="W32" s="1652">
        <f t="shared" si="9"/>
        <v>0</v>
      </c>
      <c r="X32" s="1653"/>
      <c r="Y32" s="1609">
        <v>27</v>
      </c>
      <c r="Z32" s="1636" t="s">
        <v>254</v>
      </c>
      <c r="AB32" s="1609"/>
      <c r="AC32" s="1609"/>
      <c r="AD32" s="1609"/>
    </row>
    <row r="33" spans="1:30" s="1654" customFormat="1" ht="15.75" x14ac:dyDescent="0.25">
      <c r="A33" s="1650"/>
      <c r="B33" s="1377"/>
      <c r="C33" s="1377"/>
      <c r="D33" s="1377" t="s">
        <v>1803</v>
      </c>
      <c r="E33" s="1377"/>
      <c r="F33" s="1377"/>
      <c r="G33" s="1655"/>
      <c r="H33" s="1377"/>
      <c r="I33" s="1652"/>
      <c r="J33" s="1377"/>
      <c r="K33" s="1394"/>
      <c r="L33" s="1377"/>
      <c r="M33" s="1652">
        <f t="shared" si="10"/>
        <v>0</v>
      </c>
      <c r="N33" s="1392"/>
      <c r="O33" s="1392"/>
      <c r="P33" s="1392"/>
      <c r="Q33" s="1392"/>
      <c r="R33" s="1377"/>
      <c r="S33" s="1652">
        <f t="shared" si="6"/>
        <v>0</v>
      </c>
      <c r="T33" s="1652">
        <f t="shared" si="11"/>
        <v>0</v>
      </c>
      <c r="U33" s="1652">
        <f t="shared" si="7"/>
        <v>0</v>
      </c>
      <c r="V33" s="1652">
        <f t="shared" si="8"/>
        <v>0</v>
      </c>
      <c r="W33" s="1652">
        <f t="shared" si="9"/>
        <v>0</v>
      </c>
      <c r="X33" s="1653"/>
      <c r="Y33" s="1609">
        <v>28</v>
      </c>
      <c r="Z33" s="1636" t="s">
        <v>264</v>
      </c>
      <c r="AB33" s="1609"/>
      <c r="AC33" s="1609"/>
      <c r="AD33" s="1609"/>
    </row>
    <row r="34" spans="1:30" s="1654" customFormat="1" ht="15.75" x14ac:dyDescent="0.25">
      <c r="A34" s="1650"/>
      <c r="B34" s="1377"/>
      <c r="C34" s="1377"/>
      <c r="D34" s="1377" t="s">
        <v>1804</v>
      </c>
      <c r="E34" s="1377"/>
      <c r="F34" s="1377"/>
      <c r="G34" s="1655"/>
      <c r="H34" s="1377"/>
      <c r="I34" s="1652"/>
      <c r="J34" s="1377"/>
      <c r="K34" s="1395"/>
      <c r="L34" s="1377"/>
      <c r="M34" s="1652">
        <f t="shared" si="10"/>
        <v>0</v>
      </c>
      <c r="N34" s="1392"/>
      <c r="O34" s="1392"/>
      <c r="P34" s="1392"/>
      <c r="Q34" s="1392"/>
      <c r="R34" s="1377"/>
      <c r="S34" s="1652">
        <f t="shared" si="6"/>
        <v>0</v>
      </c>
      <c r="T34" s="1652">
        <f t="shared" si="11"/>
        <v>0</v>
      </c>
      <c r="U34" s="1652">
        <f t="shared" si="7"/>
        <v>0</v>
      </c>
      <c r="V34" s="1652">
        <f t="shared" si="8"/>
        <v>0</v>
      </c>
      <c r="W34" s="1652">
        <f t="shared" si="9"/>
        <v>0</v>
      </c>
      <c r="X34" s="1653"/>
      <c r="Y34" s="1609">
        <v>29</v>
      </c>
      <c r="Z34" s="1636" t="s">
        <v>256</v>
      </c>
      <c r="AB34" s="1609"/>
      <c r="AC34" s="1609"/>
      <c r="AD34" s="1609"/>
    </row>
    <row r="35" spans="1:30" s="1654" customFormat="1" ht="15.75" x14ac:dyDescent="0.25">
      <c r="A35" s="1650"/>
      <c r="B35" s="1377"/>
      <c r="C35" s="1377"/>
      <c r="D35" s="1377" t="s">
        <v>1761</v>
      </c>
      <c r="E35" s="1377"/>
      <c r="F35" s="1377"/>
      <c r="G35" s="1645">
        <f>+VLOOKUP(D35,'עלויות תפעול בהתאם לנורמה'!$C$6:$BF$114,$Z$62+1,0)/$I$3*$S$3/$S$3</f>
        <v>0</v>
      </c>
      <c r="H35" s="1377"/>
      <c r="I35" s="1652">
        <f>+VLOOKUP(D35,'עלויות תפעול בהתאם לנורמה'!$C$6:$BF$114,$Z$62+1,0)/$I$3*$S$3</f>
        <v>0</v>
      </c>
      <c r="J35" s="1377"/>
      <c r="K35" s="1394"/>
      <c r="L35" s="1377"/>
      <c r="M35" s="1652">
        <f t="shared" si="10"/>
        <v>0</v>
      </c>
      <c r="N35" s="1392"/>
      <c r="O35" s="1392"/>
      <c r="P35" s="1392"/>
      <c r="Q35" s="1392"/>
      <c r="R35" s="1377"/>
      <c r="S35" s="1652">
        <f t="shared" si="6"/>
        <v>0</v>
      </c>
      <c r="T35" s="1652">
        <f t="shared" si="11"/>
        <v>0</v>
      </c>
      <c r="U35" s="1652">
        <f t="shared" si="7"/>
        <v>0</v>
      </c>
      <c r="V35" s="1652">
        <f t="shared" si="8"/>
        <v>0</v>
      </c>
      <c r="W35" s="1652">
        <f t="shared" si="9"/>
        <v>0</v>
      </c>
      <c r="X35" s="1653"/>
      <c r="Y35" s="1609">
        <v>30</v>
      </c>
      <c r="Z35" s="1636" t="s">
        <v>255</v>
      </c>
      <c r="AB35" s="1609"/>
      <c r="AC35" s="1609"/>
      <c r="AD35" s="1609"/>
    </row>
    <row r="36" spans="1:30" ht="15.75" x14ac:dyDescent="0.25">
      <c r="A36" s="1622"/>
      <c r="B36" s="1378"/>
      <c r="C36" s="1642"/>
      <c r="D36" s="1378"/>
      <c r="E36" s="1378"/>
      <c r="F36" s="1378"/>
      <c r="G36" s="1656">
        <f>SUM(G15:G35)</f>
        <v>0.47758760654308258</v>
      </c>
      <c r="H36" s="1378"/>
      <c r="I36" s="1640">
        <f>SUM(I15:I35)</f>
        <v>5200.080935182471</v>
      </c>
      <c r="J36" s="1378"/>
      <c r="K36" s="1640">
        <f>SUM(K15:K31)</f>
        <v>0</v>
      </c>
      <c r="L36" s="1378"/>
      <c r="M36" s="1640">
        <f>SUM(M15:M35)</f>
        <v>543.59077034702761</v>
      </c>
      <c r="N36" s="1640">
        <f>SUM(N15:N31)</f>
        <v>0</v>
      </c>
      <c r="O36" s="1640">
        <f t="shared" ref="O36:Q36" si="12">SUM(O15:O31)</f>
        <v>0</v>
      </c>
      <c r="P36" s="1640">
        <f t="shared" si="12"/>
        <v>0</v>
      </c>
      <c r="Q36" s="1640">
        <f t="shared" si="12"/>
        <v>0</v>
      </c>
      <c r="R36" s="1388"/>
      <c r="S36" s="1640">
        <f t="shared" si="6"/>
        <v>5200.080935182471</v>
      </c>
      <c r="T36" s="1640">
        <f t="shared" si="11"/>
        <v>543.59077034702761</v>
      </c>
      <c r="U36" s="1640">
        <f t="shared" si="7"/>
        <v>543.59077034702761</v>
      </c>
      <c r="V36" s="1640">
        <f t="shared" si="8"/>
        <v>543.59077034702761</v>
      </c>
      <c r="W36" s="1640">
        <f t="shared" si="9"/>
        <v>0</v>
      </c>
      <c r="X36" s="1657"/>
      <c r="Y36" s="1609">
        <v>31</v>
      </c>
      <c r="Z36" s="1636" t="s">
        <v>660</v>
      </c>
    </row>
    <row r="37" spans="1:30" ht="15.75" x14ac:dyDescent="0.25">
      <c r="A37" s="1622"/>
      <c r="B37" s="1378"/>
      <c r="C37" s="1642"/>
      <c r="D37" s="1641" t="s">
        <v>1805</v>
      </c>
      <c r="E37" s="1388"/>
      <c r="F37" s="1378"/>
      <c r="G37" s="1658"/>
      <c r="H37" s="1378"/>
      <c r="I37" s="1658">
        <f>I36/I3</f>
        <v>0.48236348260851347</v>
      </c>
      <c r="J37" s="1378"/>
      <c r="K37" s="1659">
        <f>K36/I3</f>
        <v>0</v>
      </c>
      <c r="L37" s="1378"/>
      <c r="M37" s="1643"/>
      <c r="N37" s="1643"/>
      <c r="O37" s="1643"/>
      <c r="P37" s="1643"/>
      <c r="Q37" s="1643"/>
      <c r="R37" s="1378"/>
      <c r="S37" s="1659">
        <f>I37-K37</f>
        <v>0.48236348260851347</v>
      </c>
      <c r="T37" s="1659"/>
      <c r="U37" s="1660"/>
      <c r="V37" s="1660"/>
      <c r="W37" s="1660"/>
      <c r="X37" s="1609"/>
      <c r="Y37" s="1609">
        <v>32</v>
      </c>
      <c r="Z37" s="1636" t="s">
        <v>269</v>
      </c>
    </row>
    <row r="38" spans="1:30" ht="15.75" x14ac:dyDescent="0.25">
      <c r="A38" s="1622"/>
      <c r="B38" s="1378"/>
      <c r="C38" s="1642" t="s">
        <v>1806</v>
      </c>
      <c r="D38" s="1388" t="s">
        <v>1807</v>
      </c>
      <c r="E38" s="1378"/>
      <c r="F38" s="1378"/>
      <c r="G38" s="1378"/>
      <c r="H38" s="1378"/>
      <c r="I38" s="1661"/>
      <c r="J38" s="1378"/>
      <c r="K38" s="1378"/>
      <c r="L38" s="1378"/>
      <c r="M38" s="1643"/>
      <c r="N38" s="1643"/>
      <c r="O38" s="1643"/>
      <c r="P38" s="1643"/>
      <c r="Q38" s="1643"/>
      <c r="R38" s="1378"/>
      <c r="S38" s="1378"/>
      <c r="T38" s="1378"/>
      <c r="U38" s="1378"/>
      <c r="V38" s="1378"/>
      <c r="W38" s="1378"/>
      <c r="X38" s="1609"/>
      <c r="Y38" s="1609">
        <v>33</v>
      </c>
      <c r="Z38" s="1636" t="s">
        <v>262</v>
      </c>
    </row>
    <row r="39" spans="1:30" ht="15.75" x14ac:dyDescent="0.25">
      <c r="A39" s="1622"/>
      <c r="B39" s="1378"/>
      <c r="C39" s="1378"/>
      <c r="D39" s="1378" t="s">
        <v>1808</v>
      </c>
      <c r="E39" s="1378"/>
      <c r="F39" s="1378"/>
      <c r="G39" s="1375"/>
      <c r="H39" s="1378"/>
      <c r="I39" s="1375"/>
      <c r="J39" s="1378"/>
      <c r="K39" s="1376"/>
      <c r="L39" s="1378"/>
      <c r="M39" s="1375"/>
      <c r="N39" s="1376"/>
      <c r="O39" s="1376"/>
      <c r="P39" s="1376"/>
      <c r="Q39" s="1376"/>
      <c r="R39" s="1378"/>
      <c r="S39" s="1375">
        <f t="shared" ref="S39:S52" si="13">I39-K39</f>
        <v>0</v>
      </c>
      <c r="T39" s="1375">
        <f t="shared" ref="T39:T52" si="14">M39-Q39</f>
        <v>0</v>
      </c>
      <c r="U39" s="1375">
        <f t="shared" ref="U39:U52" si="15">M39-P39</f>
        <v>0</v>
      </c>
      <c r="V39" s="1375">
        <f t="shared" ref="V39:V52" si="16">M39-O39</f>
        <v>0</v>
      </c>
      <c r="W39" s="1375">
        <f t="shared" ref="W39:W52" si="17">Q39-K39</f>
        <v>0</v>
      </c>
      <c r="X39" s="1609"/>
      <c r="Y39" s="1609">
        <v>34</v>
      </c>
      <c r="Z39" s="1636" t="s">
        <v>263</v>
      </c>
    </row>
    <row r="40" spans="1:30" ht="15.75" x14ac:dyDescent="0.25">
      <c r="A40" s="1622"/>
      <c r="B40" s="1378"/>
      <c r="C40" s="1378"/>
      <c r="D40" s="1644" t="s">
        <v>1309</v>
      </c>
      <c r="E40" s="1378"/>
      <c r="F40" s="1378"/>
      <c r="G40" s="1375"/>
      <c r="H40" s="1378"/>
      <c r="I40" s="1375"/>
      <c r="J40" s="1378"/>
      <c r="K40" s="1376"/>
      <c r="L40" s="1378"/>
      <c r="M40" s="1375"/>
      <c r="N40" s="1376"/>
      <c r="O40" s="1376"/>
      <c r="P40" s="1376"/>
      <c r="Q40" s="1376"/>
      <c r="R40" s="1378"/>
      <c r="S40" s="1375">
        <f t="shared" si="13"/>
        <v>0</v>
      </c>
      <c r="T40" s="1375">
        <f t="shared" si="14"/>
        <v>0</v>
      </c>
      <c r="U40" s="1375">
        <f t="shared" si="15"/>
        <v>0</v>
      </c>
      <c r="V40" s="1375">
        <f t="shared" si="16"/>
        <v>0</v>
      </c>
      <c r="W40" s="1375">
        <f t="shared" si="17"/>
        <v>0</v>
      </c>
      <c r="X40" s="1609"/>
      <c r="Y40" s="1609">
        <v>35</v>
      </c>
      <c r="Z40" s="1636" t="s">
        <v>275</v>
      </c>
    </row>
    <row r="41" spans="1:30" ht="15.75" x14ac:dyDescent="0.25">
      <c r="A41" s="1622"/>
      <c r="B41" s="1378"/>
      <c r="C41" s="1378"/>
      <c r="D41" s="1644" t="s">
        <v>1588</v>
      </c>
      <c r="E41" s="1378"/>
      <c r="F41" s="1378"/>
      <c r="G41" s="1375"/>
      <c r="H41" s="1378"/>
      <c r="I41" s="1375"/>
      <c r="J41" s="1378"/>
      <c r="K41" s="1376"/>
      <c r="L41" s="1378"/>
      <c r="M41" s="1375"/>
      <c r="N41" s="1376"/>
      <c r="O41" s="1376"/>
      <c r="P41" s="1376"/>
      <c r="Q41" s="1376"/>
      <c r="R41" s="1378"/>
      <c r="S41" s="1375">
        <f t="shared" si="13"/>
        <v>0</v>
      </c>
      <c r="T41" s="1375">
        <f t="shared" si="14"/>
        <v>0</v>
      </c>
      <c r="U41" s="1375">
        <f t="shared" si="15"/>
        <v>0</v>
      </c>
      <c r="V41" s="1375">
        <f t="shared" si="16"/>
        <v>0</v>
      </c>
      <c r="W41" s="1375">
        <f t="shared" si="17"/>
        <v>0</v>
      </c>
      <c r="X41" s="1609"/>
      <c r="Y41" s="1609">
        <v>36</v>
      </c>
      <c r="Z41" s="1636" t="s">
        <v>687</v>
      </c>
    </row>
    <row r="42" spans="1:30" ht="15.75" x14ac:dyDescent="0.25">
      <c r="A42" s="1622"/>
      <c r="B42" s="1378"/>
      <c r="C42" s="1378"/>
      <c r="D42" s="1644" t="s">
        <v>1809</v>
      </c>
      <c r="E42" s="1378"/>
      <c r="F42" s="1378"/>
      <c r="G42" s="1375"/>
      <c r="H42" s="1378"/>
      <c r="I42" s="1375"/>
      <c r="J42" s="1378"/>
      <c r="K42" s="1376"/>
      <c r="L42" s="1378"/>
      <c r="M42" s="1375"/>
      <c r="N42" s="1376"/>
      <c r="O42" s="1376"/>
      <c r="P42" s="1376"/>
      <c r="Q42" s="1376"/>
      <c r="R42" s="1378"/>
      <c r="S42" s="1375">
        <f t="shared" si="13"/>
        <v>0</v>
      </c>
      <c r="T42" s="1375">
        <f t="shared" si="14"/>
        <v>0</v>
      </c>
      <c r="U42" s="1375">
        <f t="shared" si="15"/>
        <v>0</v>
      </c>
      <c r="V42" s="1375">
        <f t="shared" si="16"/>
        <v>0</v>
      </c>
      <c r="W42" s="1375">
        <f t="shared" si="17"/>
        <v>0</v>
      </c>
      <c r="X42" s="1609"/>
      <c r="Y42" s="1609">
        <v>37</v>
      </c>
      <c r="Z42" s="1636" t="s">
        <v>259</v>
      </c>
    </row>
    <row r="43" spans="1:30" ht="15.75" x14ac:dyDescent="0.25">
      <c r="A43" s="1622"/>
      <c r="B43" s="1378"/>
      <c r="C43" s="1378"/>
      <c r="D43" s="1644" t="s">
        <v>1642</v>
      </c>
      <c r="E43" s="1378"/>
      <c r="F43" s="1378"/>
      <c r="G43" s="1375"/>
      <c r="H43" s="1378"/>
      <c r="I43" s="1375"/>
      <c r="J43" s="1378"/>
      <c r="K43" s="1376"/>
      <c r="L43" s="1378"/>
      <c r="M43" s="1375"/>
      <c r="N43" s="1376"/>
      <c r="O43" s="1376"/>
      <c r="P43" s="1376"/>
      <c r="Q43" s="1376"/>
      <c r="R43" s="1378"/>
      <c r="S43" s="1375">
        <f t="shared" si="13"/>
        <v>0</v>
      </c>
      <c r="T43" s="1375">
        <f t="shared" si="14"/>
        <v>0</v>
      </c>
      <c r="U43" s="1375">
        <f t="shared" si="15"/>
        <v>0</v>
      </c>
      <c r="V43" s="1375">
        <f t="shared" si="16"/>
        <v>0</v>
      </c>
      <c r="W43" s="1375">
        <f t="shared" si="17"/>
        <v>0</v>
      </c>
      <c r="X43" s="1609"/>
      <c r="Y43" s="1609">
        <v>38</v>
      </c>
      <c r="Z43" s="1636" t="s">
        <v>281</v>
      </c>
    </row>
    <row r="44" spans="1:30" ht="15.75" x14ac:dyDescent="0.25">
      <c r="A44" s="1622"/>
      <c r="B44" s="1378"/>
      <c r="C44" s="1378"/>
      <c r="D44" s="1644" t="s">
        <v>1314</v>
      </c>
      <c r="E44" s="1378"/>
      <c r="F44" s="1378"/>
      <c r="G44" s="1375"/>
      <c r="H44" s="1378"/>
      <c r="I44" s="1375"/>
      <c r="J44" s="1378"/>
      <c r="K44" s="1376"/>
      <c r="L44" s="1378"/>
      <c r="M44" s="1375"/>
      <c r="N44" s="1376"/>
      <c r="O44" s="1376"/>
      <c r="P44" s="1376"/>
      <c r="Q44" s="1376"/>
      <c r="R44" s="1378"/>
      <c r="S44" s="1375">
        <f t="shared" si="13"/>
        <v>0</v>
      </c>
      <c r="T44" s="1375">
        <f t="shared" si="14"/>
        <v>0</v>
      </c>
      <c r="U44" s="1375">
        <f t="shared" si="15"/>
        <v>0</v>
      </c>
      <c r="V44" s="1375">
        <f t="shared" si="16"/>
        <v>0</v>
      </c>
      <c r="W44" s="1375">
        <f t="shared" si="17"/>
        <v>0</v>
      </c>
      <c r="X44" s="1609"/>
      <c r="Y44" s="1609">
        <v>39</v>
      </c>
      <c r="Z44" s="1636" t="s">
        <v>529</v>
      </c>
    </row>
    <row r="45" spans="1:30" ht="15.75" x14ac:dyDescent="0.25">
      <c r="A45" s="1622"/>
      <c r="B45" s="1378"/>
      <c r="C45" s="1378"/>
      <c r="D45" s="1644" t="s">
        <v>1313</v>
      </c>
      <c r="E45" s="1378"/>
      <c r="F45" s="1378"/>
      <c r="G45" s="1375"/>
      <c r="H45" s="1378"/>
      <c r="I45" s="1375"/>
      <c r="J45" s="1378"/>
      <c r="K45" s="1376"/>
      <c r="L45" s="1378"/>
      <c r="M45" s="1375"/>
      <c r="N45" s="1376"/>
      <c r="O45" s="1376"/>
      <c r="P45" s="1376"/>
      <c r="Q45" s="1376"/>
      <c r="R45" s="1378"/>
      <c r="S45" s="1375">
        <f t="shared" si="13"/>
        <v>0</v>
      </c>
      <c r="T45" s="1375">
        <f t="shared" si="14"/>
        <v>0</v>
      </c>
      <c r="U45" s="1375">
        <f t="shared" si="15"/>
        <v>0</v>
      </c>
      <c r="V45" s="1375">
        <f t="shared" si="16"/>
        <v>0</v>
      </c>
      <c r="W45" s="1375">
        <f t="shared" si="17"/>
        <v>0</v>
      </c>
      <c r="X45" s="1609"/>
      <c r="Y45" s="1609">
        <v>40</v>
      </c>
      <c r="Z45" s="1636" t="s">
        <v>530</v>
      </c>
    </row>
    <row r="46" spans="1:30" ht="15.75" x14ac:dyDescent="0.25">
      <c r="A46" s="1622"/>
      <c r="B46" s="1378"/>
      <c r="C46" s="1378"/>
      <c r="D46" s="1378" t="s">
        <v>1810</v>
      </c>
      <c r="E46" s="1378"/>
      <c r="F46" s="1378"/>
      <c r="G46" s="1375"/>
      <c r="H46" s="1378"/>
      <c r="I46" s="1375"/>
      <c r="J46" s="1378"/>
      <c r="K46" s="1376"/>
      <c r="L46" s="1378"/>
      <c r="M46" s="1375"/>
      <c r="N46" s="1376"/>
      <c r="O46" s="1376"/>
      <c r="P46" s="1376"/>
      <c r="Q46" s="1376"/>
      <c r="R46" s="1378"/>
      <c r="S46" s="1375">
        <f t="shared" si="13"/>
        <v>0</v>
      </c>
      <c r="T46" s="1375">
        <f t="shared" si="14"/>
        <v>0</v>
      </c>
      <c r="U46" s="1375">
        <f t="shared" si="15"/>
        <v>0</v>
      </c>
      <c r="V46" s="1375">
        <f t="shared" si="16"/>
        <v>0</v>
      </c>
      <c r="W46" s="1375">
        <f t="shared" si="17"/>
        <v>0</v>
      </c>
      <c r="Y46" s="1609">
        <v>41</v>
      </c>
      <c r="Z46" s="1636" t="s">
        <v>266</v>
      </c>
    </row>
    <row r="47" spans="1:30" ht="15.75" x14ac:dyDescent="0.25">
      <c r="A47" s="1622"/>
      <c r="B47" s="1378"/>
      <c r="C47" s="1378"/>
      <c r="D47" s="1378" t="s">
        <v>1811</v>
      </c>
      <c r="E47" s="1378"/>
      <c r="F47" s="1378"/>
      <c r="G47" s="1375"/>
      <c r="H47" s="1378"/>
      <c r="I47" s="1375"/>
      <c r="J47" s="1378"/>
      <c r="K47" s="1376"/>
      <c r="L47" s="1378"/>
      <c r="M47" s="1375"/>
      <c r="N47" s="1376"/>
      <c r="O47" s="1376"/>
      <c r="P47" s="1376"/>
      <c r="Q47" s="1376"/>
      <c r="R47" s="1378"/>
      <c r="S47" s="1375">
        <f t="shared" si="13"/>
        <v>0</v>
      </c>
      <c r="T47" s="1375">
        <f t="shared" si="14"/>
        <v>0</v>
      </c>
      <c r="U47" s="1375">
        <f t="shared" si="15"/>
        <v>0</v>
      </c>
      <c r="V47" s="1375">
        <f t="shared" si="16"/>
        <v>0</v>
      </c>
      <c r="W47" s="1375">
        <f t="shared" si="17"/>
        <v>0</v>
      </c>
      <c r="Y47" s="1609">
        <v>42</v>
      </c>
      <c r="Z47" s="1636" t="s">
        <v>261</v>
      </c>
    </row>
    <row r="48" spans="1:30" ht="15.75" x14ac:dyDescent="0.25">
      <c r="A48" s="1622"/>
      <c r="B48" s="1378"/>
      <c r="C48" s="1378"/>
      <c r="D48" s="1378" t="s">
        <v>1812</v>
      </c>
      <c r="E48" s="1378"/>
      <c r="F48" s="1378"/>
      <c r="G48" s="1375"/>
      <c r="H48" s="1378"/>
      <c r="I48" s="1375"/>
      <c r="J48" s="1378"/>
      <c r="K48" s="1376"/>
      <c r="L48" s="1378"/>
      <c r="M48" s="1375"/>
      <c r="N48" s="1376"/>
      <c r="O48" s="1376"/>
      <c r="P48" s="1376"/>
      <c r="Q48" s="1376"/>
      <c r="R48" s="1378"/>
      <c r="S48" s="1375">
        <f t="shared" si="13"/>
        <v>0</v>
      </c>
      <c r="T48" s="1375">
        <f t="shared" si="14"/>
        <v>0</v>
      </c>
      <c r="U48" s="1375">
        <f t="shared" si="15"/>
        <v>0</v>
      </c>
      <c r="V48" s="1375">
        <f t="shared" si="16"/>
        <v>0</v>
      </c>
      <c r="W48" s="1375">
        <f t="shared" si="17"/>
        <v>0</v>
      </c>
      <c r="Y48" s="1609">
        <v>43</v>
      </c>
      <c r="Z48" s="1636" t="s">
        <v>268</v>
      </c>
    </row>
    <row r="49" spans="1:26" ht="15.75" x14ac:dyDescent="0.25">
      <c r="A49" s="1622"/>
      <c r="B49" s="1378"/>
      <c r="C49" s="1378"/>
      <c r="D49" s="1378" t="s">
        <v>1415</v>
      </c>
      <c r="E49" s="1378"/>
      <c r="F49" s="1378"/>
      <c r="G49" s="1375"/>
      <c r="H49" s="1378"/>
      <c r="I49" s="1375"/>
      <c r="J49" s="1378"/>
      <c r="K49" s="1376"/>
      <c r="L49" s="1378"/>
      <c r="M49" s="1375"/>
      <c r="N49" s="1376"/>
      <c r="O49" s="1376"/>
      <c r="P49" s="1376"/>
      <c r="Q49" s="1376"/>
      <c r="R49" s="1378"/>
      <c r="S49" s="1375">
        <f t="shared" si="13"/>
        <v>0</v>
      </c>
      <c r="T49" s="1375">
        <f t="shared" si="14"/>
        <v>0</v>
      </c>
      <c r="U49" s="1375">
        <f t="shared" si="15"/>
        <v>0</v>
      </c>
      <c r="V49" s="1375">
        <f t="shared" si="16"/>
        <v>0</v>
      </c>
      <c r="W49" s="1375">
        <f t="shared" si="17"/>
        <v>0</v>
      </c>
      <c r="Y49" s="1609">
        <v>44</v>
      </c>
      <c r="Z49" s="1636" t="s">
        <v>265</v>
      </c>
    </row>
    <row r="50" spans="1:26" ht="15.75" x14ac:dyDescent="0.25">
      <c r="A50" s="1622"/>
      <c r="B50" s="1378"/>
      <c r="C50" s="1378"/>
      <c r="D50" s="1644" t="s">
        <v>1813</v>
      </c>
      <c r="E50" s="1378"/>
      <c r="F50" s="1378"/>
      <c r="G50" s="1375"/>
      <c r="H50" s="1378"/>
      <c r="I50" s="1375"/>
      <c r="J50" s="1378"/>
      <c r="K50" s="1376"/>
      <c r="L50" s="1378"/>
      <c r="M50" s="1375"/>
      <c r="N50" s="1376"/>
      <c r="O50" s="1376"/>
      <c r="P50" s="1376"/>
      <c r="Q50" s="1376"/>
      <c r="R50" s="1378"/>
      <c r="S50" s="1375">
        <f t="shared" si="13"/>
        <v>0</v>
      </c>
      <c r="T50" s="1375">
        <f t="shared" si="14"/>
        <v>0</v>
      </c>
      <c r="U50" s="1375">
        <f t="shared" si="15"/>
        <v>0</v>
      </c>
      <c r="V50" s="1375">
        <f t="shared" si="16"/>
        <v>0</v>
      </c>
      <c r="W50" s="1375">
        <f t="shared" si="17"/>
        <v>0</v>
      </c>
      <c r="Y50" s="1609">
        <v>45</v>
      </c>
      <c r="Z50" s="1636" t="s">
        <v>253</v>
      </c>
    </row>
    <row r="51" spans="1:26" ht="15.75" x14ac:dyDescent="0.25">
      <c r="A51" s="1622"/>
      <c r="B51" s="1378"/>
      <c r="C51" s="1378"/>
      <c r="D51" s="1644" t="s">
        <v>298</v>
      </c>
      <c r="E51" s="1378"/>
      <c r="F51" s="1378"/>
      <c r="G51" s="1375"/>
      <c r="H51" s="1378"/>
      <c r="I51" s="1375"/>
      <c r="J51" s="1378"/>
      <c r="K51" s="1376"/>
      <c r="L51" s="1378"/>
      <c r="M51" s="1375"/>
      <c r="N51" s="1376"/>
      <c r="O51" s="1376"/>
      <c r="P51" s="1376"/>
      <c r="Q51" s="1376"/>
      <c r="R51" s="1378"/>
      <c r="S51" s="1375">
        <f t="shared" si="13"/>
        <v>0</v>
      </c>
      <c r="T51" s="1375">
        <f t="shared" si="14"/>
        <v>0</v>
      </c>
      <c r="U51" s="1375">
        <f t="shared" si="15"/>
        <v>0</v>
      </c>
      <c r="V51" s="1375">
        <f t="shared" si="16"/>
        <v>0</v>
      </c>
      <c r="W51" s="1375">
        <f t="shared" si="17"/>
        <v>0</v>
      </c>
      <c r="Y51" s="1609">
        <v>46</v>
      </c>
      <c r="Z51" s="1636" t="s">
        <v>250</v>
      </c>
    </row>
    <row r="52" spans="1:26" ht="15.75" x14ac:dyDescent="0.25">
      <c r="A52" s="1622"/>
      <c r="B52" s="1378"/>
      <c r="C52" s="1378"/>
      <c r="D52" s="1378"/>
      <c r="E52" s="1378"/>
      <c r="F52" s="1378"/>
      <c r="G52" s="1640"/>
      <c r="H52" s="1378"/>
      <c r="I52" s="1640"/>
      <c r="J52" s="1378"/>
      <c r="K52" s="1640">
        <f>SUM(K39:K51)</f>
        <v>0</v>
      </c>
      <c r="L52" s="1378"/>
      <c r="M52" s="1640">
        <f>SUM(M39:M51)</f>
        <v>0</v>
      </c>
      <c r="N52" s="1640">
        <f>SUM(N39:N51)</f>
        <v>0</v>
      </c>
      <c r="O52" s="1640">
        <f t="shared" ref="O52:P52" si="18">SUM(O39:O51)</f>
        <v>0</v>
      </c>
      <c r="P52" s="1640">
        <f t="shared" si="18"/>
        <v>0</v>
      </c>
      <c r="Q52" s="1640">
        <f>SUM(Q39:Q51)</f>
        <v>0</v>
      </c>
      <c r="R52" s="1388"/>
      <c r="S52" s="1640">
        <f t="shared" si="13"/>
        <v>0</v>
      </c>
      <c r="T52" s="1640">
        <f t="shared" si="14"/>
        <v>0</v>
      </c>
      <c r="U52" s="1640">
        <f t="shared" si="15"/>
        <v>0</v>
      </c>
      <c r="V52" s="1640">
        <f t="shared" si="16"/>
        <v>0</v>
      </c>
      <c r="W52" s="1640">
        <f t="shared" si="17"/>
        <v>0</v>
      </c>
      <c r="Y52" s="1609">
        <v>47</v>
      </c>
      <c r="Z52" s="1636" t="s">
        <v>252</v>
      </c>
    </row>
    <row r="53" spans="1:26" ht="15.75" x14ac:dyDescent="0.25">
      <c r="A53" s="1622"/>
      <c r="B53" s="1378"/>
      <c r="C53" s="1378"/>
      <c r="D53" s="1378"/>
      <c r="E53" s="1378"/>
      <c r="F53" s="1378"/>
      <c r="G53" s="1662"/>
      <c r="H53" s="1378"/>
      <c r="I53" s="1662"/>
      <c r="J53" s="1378"/>
      <c r="K53" s="1662"/>
      <c r="L53" s="1378"/>
      <c r="M53" s="1662"/>
      <c r="N53" s="1662"/>
      <c r="O53" s="1662"/>
      <c r="P53" s="1662"/>
      <c r="Q53" s="1662"/>
      <c r="R53" s="1388"/>
      <c r="S53" s="1663"/>
      <c r="T53" s="1663"/>
      <c r="U53" s="1639"/>
      <c r="V53" s="1639"/>
      <c r="W53" s="1378"/>
      <c r="Y53" s="1609">
        <v>48</v>
      </c>
      <c r="Z53" s="1636" t="s">
        <v>271</v>
      </c>
    </row>
    <row r="54" spans="1:26" ht="16.5" thickBot="1" x14ac:dyDescent="0.3">
      <c r="A54" s="1622"/>
      <c r="B54" s="1378"/>
      <c r="C54" s="1378"/>
      <c r="D54" s="1378" t="s">
        <v>1814</v>
      </c>
      <c r="E54" s="1378"/>
      <c r="F54" s="1378"/>
      <c r="G54" s="1664"/>
      <c r="H54" s="1378"/>
      <c r="I54" s="1664"/>
      <c r="J54" s="1378"/>
      <c r="K54" s="1664"/>
      <c r="L54" s="1378"/>
      <c r="M54" s="1664">
        <f>M11-M36-M52</f>
        <v>-543.59077034702761</v>
      </c>
      <c r="N54" s="1664">
        <f>N11-N36-N52</f>
        <v>0</v>
      </c>
      <c r="O54" s="1664"/>
      <c r="P54" s="1664"/>
      <c r="Q54" s="1664">
        <f>Q11-Q36-Q52</f>
        <v>0</v>
      </c>
      <c r="R54" s="1388"/>
      <c r="S54" s="1665"/>
      <c r="T54" s="1665"/>
      <c r="U54" s="1665"/>
      <c r="V54" s="1665"/>
      <c r="W54" s="1665"/>
      <c r="Y54" s="1609">
        <v>49</v>
      </c>
      <c r="Z54" s="1636" t="s">
        <v>267</v>
      </c>
    </row>
    <row r="55" spans="1:26" ht="16.5" thickTop="1" x14ac:dyDescent="0.25">
      <c r="A55" s="1622"/>
      <c r="B55" s="1378"/>
      <c r="C55" s="1378"/>
      <c r="D55" s="1378"/>
      <c r="E55" s="1378"/>
      <c r="F55" s="1378"/>
      <c r="G55" s="1378"/>
      <c r="H55" s="1378"/>
      <c r="I55" s="1378"/>
      <c r="J55" s="1378"/>
      <c r="K55" s="1378"/>
      <c r="L55" s="1378"/>
      <c r="M55" s="1378"/>
      <c r="N55" s="1378"/>
      <c r="O55" s="1378"/>
      <c r="P55" s="1378"/>
      <c r="Q55" s="1378"/>
      <c r="R55" s="1378"/>
      <c r="S55" s="1378"/>
      <c r="T55" s="1378"/>
      <c r="U55" s="1378"/>
      <c r="V55" s="1378"/>
      <c r="W55" s="1378"/>
      <c r="Y55" s="1609">
        <v>50</v>
      </c>
      <c r="Z55" s="1636" t="s">
        <v>270</v>
      </c>
    </row>
    <row r="56" spans="1:26" ht="15.75" x14ac:dyDescent="0.25">
      <c r="A56" s="1622"/>
      <c r="B56" s="1378"/>
      <c r="C56" s="1378"/>
      <c r="D56" s="1378"/>
      <c r="E56" s="1378"/>
      <c r="F56" s="1378"/>
      <c r="G56" s="1378"/>
      <c r="H56" s="1378"/>
      <c r="I56" s="1378"/>
      <c r="J56" s="1378"/>
      <c r="K56" s="1378"/>
      <c r="L56" s="1378"/>
      <c r="M56" s="1378"/>
      <c r="N56" s="1378"/>
      <c r="O56" s="1378"/>
      <c r="P56" s="1378"/>
      <c r="Q56" s="1378"/>
      <c r="R56" s="1378"/>
      <c r="S56" s="1378"/>
      <c r="T56" s="1378"/>
      <c r="U56" s="1378"/>
      <c r="V56" s="1378"/>
      <c r="W56" s="1378"/>
      <c r="Y56" s="1609">
        <v>51</v>
      </c>
      <c r="Z56" s="1636" t="s">
        <v>531</v>
      </c>
    </row>
    <row r="57" spans="1:26" ht="18" x14ac:dyDescent="0.4">
      <c r="A57" s="1614">
        <v>22.2</v>
      </c>
      <c r="B57" s="1643"/>
      <c r="C57" s="1666" t="s">
        <v>1815</v>
      </c>
      <c r="D57" s="1378"/>
      <c r="E57" s="1378"/>
      <c r="F57" s="1378"/>
      <c r="G57" s="1378"/>
      <c r="H57" s="1378"/>
      <c r="I57" s="1378"/>
      <c r="J57" s="1378"/>
      <c r="K57" s="1378"/>
      <c r="L57" s="1378"/>
      <c r="M57" s="1378"/>
      <c r="N57" s="1378"/>
      <c r="O57" s="1378"/>
      <c r="P57" s="1378"/>
      <c r="Q57" s="1378"/>
      <c r="R57" s="1378"/>
      <c r="S57" s="1378"/>
      <c r="T57" s="1378"/>
      <c r="U57" s="1378"/>
      <c r="V57" s="1378"/>
      <c r="W57" s="1378"/>
      <c r="Y57" s="1609">
        <v>52</v>
      </c>
      <c r="Z57" s="1636" t="s">
        <v>661</v>
      </c>
    </row>
    <row r="58" spans="1:26" ht="15.75" x14ac:dyDescent="0.25">
      <c r="A58" s="1622"/>
      <c r="B58" s="1378"/>
      <c r="C58" s="1378"/>
      <c r="D58" s="1378"/>
      <c r="E58" s="1378"/>
      <c r="F58" s="1378"/>
      <c r="G58" s="1378"/>
      <c r="H58" s="1378"/>
      <c r="I58" s="1378"/>
      <c r="J58" s="1378"/>
      <c r="K58" s="1378"/>
      <c r="L58" s="1378"/>
      <c r="M58" s="1378"/>
      <c r="N58" s="1378"/>
      <c r="O58" s="1378"/>
      <c r="P58" s="1378"/>
      <c r="Q58" s="1378"/>
      <c r="R58" s="1378"/>
      <c r="S58" s="1378"/>
      <c r="T58" s="1378"/>
      <c r="U58" s="1378"/>
      <c r="V58" s="1378"/>
      <c r="W58" s="1378"/>
      <c r="X58" s="1609"/>
      <c r="Y58" s="1609">
        <v>53</v>
      </c>
      <c r="Z58" s="1636" t="s">
        <v>578</v>
      </c>
    </row>
    <row r="59" spans="1:26" ht="15.75" x14ac:dyDescent="0.25">
      <c r="A59" s="1622"/>
      <c r="B59" s="1378"/>
      <c r="C59" s="1667" t="s">
        <v>1816</v>
      </c>
      <c r="D59" s="1378"/>
      <c r="E59" s="1378"/>
      <c r="F59" s="1378"/>
      <c r="G59" s="1378"/>
      <c r="H59" s="1378"/>
      <c r="I59" s="1378"/>
      <c r="J59" s="1378"/>
      <c r="K59" s="1378"/>
      <c r="L59" s="1378"/>
      <c r="M59" s="1378"/>
      <c r="N59" s="1378"/>
      <c r="O59" s="1378"/>
      <c r="P59" s="1378"/>
      <c r="Q59" s="1378"/>
      <c r="R59" s="1378"/>
      <c r="S59" s="1378"/>
      <c r="T59" s="1378"/>
      <c r="U59" s="1378"/>
      <c r="V59" s="1378"/>
      <c r="W59" s="1378"/>
      <c r="X59" s="1609"/>
      <c r="Y59" s="1609">
        <v>54</v>
      </c>
      <c r="Z59" s="1636" t="s">
        <v>272</v>
      </c>
    </row>
    <row r="60" spans="1:26" ht="94.5" x14ac:dyDescent="0.25">
      <c r="A60" s="1622"/>
      <c r="B60" s="1378"/>
      <c r="C60" s="1642"/>
      <c r="D60" s="1388"/>
      <c r="E60" s="1378"/>
      <c r="F60" s="1378"/>
      <c r="G60" s="1626" t="s">
        <v>1800</v>
      </c>
      <c r="H60" s="1378"/>
      <c r="I60" s="1626" t="s">
        <v>1962</v>
      </c>
      <c r="J60" s="1378"/>
      <c r="K60" s="1631" t="s">
        <v>1963</v>
      </c>
      <c r="L60" s="1378"/>
      <c r="M60" s="1626" t="s">
        <v>1801</v>
      </c>
      <c r="N60" s="1631" t="s">
        <v>1964</v>
      </c>
      <c r="O60" s="1634" t="s">
        <v>1965</v>
      </c>
      <c r="P60" s="1633" t="s">
        <v>1966</v>
      </c>
      <c r="Q60" s="1632" t="s">
        <v>1967</v>
      </c>
      <c r="R60" s="1388"/>
      <c r="S60" s="1631" t="s">
        <v>1968</v>
      </c>
      <c r="T60" s="1632" t="s">
        <v>1969</v>
      </c>
      <c r="U60" s="1633" t="s">
        <v>1970</v>
      </c>
      <c r="V60" s="1634" t="s">
        <v>1971</v>
      </c>
      <c r="W60" s="1632" t="s">
        <v>1972</v>
      </c>
      <c r="X60" s="1609"/>
      <c r="Y60" s="1609">
        <v>55</v>
      </c>
      <c r="Z60" s="1636" t="s">
        <v>681</v>
      </c>
    </row>
    <row r="61" spans="1:26" ht="15.75" x14ac:dyDescent="0.25">
      <c r="A61" s="1622"/>
      <c r="B61" s="1378"/>
      <c r="C61" s="1642" t="s">
        <v>1817</v>
      </c>
      <c r="D61" s="1388" t="s">
        <v>1795</v>
      </c>
      <c r="E61" s="1378"/>
      <c r="F61" s="1378"/>
      <c r="G61" s="1378"/>
      <c r="H61" s="1378"/>
      <c r="I61" s="1378"/>
      <c r="J61" s="1378"/>
      <c r="K61" s="1378"/>
      <c r="L61" s="1378"/>
      <c r="M61" s="1638"/>
      <c r="N61" s="1638"/>
      <c r="O61" s="1638"/>
      <c r="P61" s="1638"/>
      <c r="Q61" s="1638"/>
      <c r="R61" s="1638"/>
      <c r="S61" s="1639"/>
      <c r="T61" s="1639"/>
      <c r="U61" s="1639"/>
      <c r="V61" s="1639"/>
      <c r="W61" s="1378"/>
      <c r="X61" s="1609"/>
    </row>
    <row r="62" spans="1:26" ht="15.75" x14ac:dyDescent="0.25">
      <c r="A62" s="1622"/>
      <c r="B62" s="1378"/>
      <c r="C62" s="1378"/>
      <c r="D62" s="1378" t="s">
        <v>1818</v>
      </c>
      <c r="E62" s="1378"/>
      <c r="F62" s="1378"/>
      <c r="G62" s="1375"/>
      <c r="H62" s="1378"/>
      <c r="I62" s="1375"/>
      <c r="J62" s="1378"/>
      <c r="K62" s="1376"/>
      <c r="L62" s="1378"/>
      <c r="M62" s="1375"/>
      <c r="N62" s="1376"/>
      <c r="O62" s="1376"/>
      <c r="P62" s="1376"/>
      <c r="Q62" s="1376"/>
      <c r="R62" s="1378"/>
      <c r="S62" s="1375">
        <f t="shared" ref="S62:S65" si="19">I62-K62</f>
        <v>0</v>
      </c>
      <c r="T62" s="1375">
        <f t="shared" ref="T62:T65" si="20">M62-Q62</f>
        <v>0</v>
      </c>
      <c r="U62" s="1375">
        <f t="shared" ref="U62:U65" si="21">M62-P62</f>
        <v>0</v>
      </c>
      <c r="V62" s="1375">
        <f t="shared" ref="V62:V65" si="22">M62-O62</f>
        <v>0</v>
      </c>
      <c r="W62" s="1375">
        <f t="shared" ref="W62:W65" si="23">Q62-K62</f>
        <v>0</v>
      </c>
      <c r="X62" s="1609"/>
      <c r="Z62" s="1609">
        <v>1</v>
      </c>
    </row>
    <row r="63" spans="1:26" ht="15.75" x14ac:dyDescent="0.25">
      <c r="A63" s="1622"/>
      <c r="B63" s="1378"/>
      <c r="C63" s="1378"/>
      <c r="D63" s="1378" t="s">
        <v>1819</v>
      </c>
      <c r="E63" s="1378"/>
      <c r="F63" s="1378"/>
      <c r="G63" s="1375"/>
      <c r="H63" s="1378"/>
      <c r="I63" s="1375"/>
      <c r="J63" s="1378"/>
      <c r="K63" s="1376"/>
      <c r="L63" s="1378"/>
      <c r="M63" s="1375"/>
      <c r="N63" s="1376"/>
      <c r="O63" s="1376"/>
      <c r="P63" s="1376"/>
      <c r="Q63" s="1376"/>
      <c r="R63" s="1378"/>
      <c r="S63" s="1375">
        <f t="shared" si="19"/>
        <v>0</v>
      </c>
      <c r="T63" s="1375">
        <f t="shared" si="20"/>
        <v>0</v>
      </c>
      <c r="U63" s="1375">
        <f t="shared" si="21"/>
        <v>0</v>
      </c>
      <c r="V63" s="1375">
        <f t="shared" si="22"/>
        <v>0</v>
      </c>
      <c r="W63" s="1375">
        <f t="shared" si="23"/>
        <v>0</v>
      </c>
      <c r="X63" s="1609"/>
    </row>
    <row r="64" spans="1:26" ht="15.75" x14ac:dyDescent="0.25">
      <c r="A64" s="1622"/>
      <c r="B64" s="1378"/>
      <c r="C64" s="1378"/>
      <c r="D64" s="1378" t="s">
        <v>181</v>
      </c>
      <c r="E64" s="1378"/>
      <c r="F64" s="1378"/>
      <c r="G64" s="1375"/>
      <c r="H64" s="1378"/>
      <c r="I64" s="1375"/>
      <c r="J64" s="1378"/>
      <c r="K64" s="1374"/>
      <c r="L64" s="1378"/>
      <c r="M64" s="1375"/>
      <c r="N64" s="1374"/>
      <c r="O64" s="1374"/>
      <c r="P64" s="1374"/>
      <c r="Q64" s="1376"/>
      <c r="R64" s="1378"/>
      <c r="S64" s="1375">
        <f t="shared" si="19"/>
        <v>0</v>
      </c>
      <c r="T64" s="1375">
        <f t="shared" si="20"/>
        <v>0</v>
      </c>
      <c r="U64" s="1375">
        <f t="shared" si="21"/>
        <v>0</v>
      </c>
      <c r="V64" s="1375">
        <f t="shared" si="22"/>
        <v>0</v>
      </c>
      <c r="W64" s="1375">
        <f t="shared" si="23"/>
        <v>0</v>
      </c>
      <c r="X64" s="1609"/>
    </row>
    <row r="65" spans="1:24" ht="15.75" x14ac:dyDescent="0.25">
      <c r="A65" s="1622"/>
      <c r="B65" s="1378"/>
      <c r="C65" s="1378"/>
      <c r="D65" s="1378"/>
      <c r="E65" s="1378"/>
      <c r="F65" s="1378"/>
      <c r="G65" s="1640"/>
      <c r="H65" s="1378"/>
      <c r="I65" s="1640"/>
      <c r="J65" s="1378"/>
      <c r="K65" s="1640"/>
      <c r="L65" s="1378"/>
      <c r="M65" s="1640">
        <f>SUM(M62:M64)</f>
        <v>0</v>
      </c>
      <c r="N65" s="1640">
        <f>SUM(N62:N64)</f>
        <v>0</v>
      </c>
      <c r="O65" s="1640">
        <f t="shared" ref="O65:P65" si="24">SUM(O62:O64)</f>
        <v>0</v>
      </c>
      <c r="P65" s="1640">
        <f t="shared" si="24"/>
        <v>0</v>
      </c>
      <c r="Q65" s="1640">
        <f>SUM(Q62:Q64)</f>
        <v>0</v>
      </c>
      <c r="R65" s="1388"/>
      <c r="S65" s="1640">
        <f t="shared" si="19"/>
        <v>0</v>
      </c>
      <c r="T65" s="1640">
        <f t="shared" si="20"/>
        <v>0</v>
      </c>
      <c r="U65" s="1640">
        <f t="shared" si="21"/>
        <v>0</v>
      </c>
      <c r="V65" s="1640">
        <f t="shared" si="22"/>
        <v>0</v>
      </c>
      <c r="W65" s="1640">
        <f t="shared" si="23"/>
        <v>0</v>
      </c>
      <c r="X65" s="1609"/>
    </row>
    <row r="66" spans="1:24" ht="15.75" x14ac:dyDescent="0.25">
      <c r="A66" s="1622"/>
      <c r="B66" s="1378"/>
      <c r="C66" s="1378"/>
      <c r="D66" s="1378"/>
      <c r="E66" s="1378"/>
      <c r="F66" s="1378"/>
      <c r="G66" s="1378"/>
      <c r="H66" s="1378"/>
      <c r="I66" s="1378"/>
      <c r="J66" s="1378"/>
      <c r="K66" s="1378"/>
      <c r="L66" s="1378"/>
      <c r="M66" s="1378"/>
      <c r="N66" s="1378"/>
      <c r="O66" s="1378"/>
      <c r="P66" s="1378"/>
      <c r="Q66" s="1378"/>
      <c r="R66" s="1378"/>
      <c r="S66" s="1378"/>
      <c r="T66" s="1378"/>
      <c r="U66" s="1378"/>
      <c r="V66" s="1378"/>
      <c r="W66" s="1378"/>
      <c r="X66" s="1609"/>
    </row>
    <row r="67" spans="1:24" ht="94.5" x14ac:dyDescent="0.25">
      <c r="A67" s="1622"/>
      <c r="B67" s="1378"/>
      <c r="C67" s="1642"/>
      <c r="D67" s="1641" t="s">
        <v>1820</v>
      </c>
      <c r="E67" s="1378"/>
      <c r="F67" s="1378"/>
      <c r="G67" s="1626" t="s">
        <v>1800</v>
      </c>
      <c r="H67" s="1378"/>
      <c r="I67" s="1626" t="s">
        <v>1962</v>
      </c>
      <c r="J67" s="1378"/>
      <c r="K67" s="1631" t="s">
        <v>1963</v>
      </c>
      <c r="L67" s="1378"/>
      <c r="M67" s="1626" t="s">
        <v>1801</v>
      </c>
      <c r="N67" s="1631" t="s">
        <v>1964</v>
      </c>
      <c r="O67" s="1634" t="s">
        <v>1965</v>
      </c>
      <c r="P67" s="1633" t="s">
        <v>1966</v>
      </c>
      <c r="Q67" s="1632" t="s">
        <v>1967</v>
      </c>
      <c r="R67" s="1388"/>
      <c r="S67" s="1631" t="s">
        <v>1968</v>
      </c>
      <c r="T67" s="1632" t="s">
        <v>1969</v>
      </c>
      <c r="U67" s="1633" t="s">
        <v>1970</v>
      </c>
      <c r="V67" s="1634" t="s">
        <v>1971</v>
      </c>
      <c r="W67" s="1632" t="s">
        <v>1972</v>
      </c>
      <c r="X67" s="1609"/>
    </row>
    <row r="68" spans="1:24" ht="15.75" x14ac:dyDescent="0.25">
      <c r="A68" s="1622"/>
      <c r="B68" s="1378"/>
      <c r="C68" s="1642" t="s">
        <v>1821</v>
      </c>
      <c r="D68" s="1643"/>
      <c r="E68" s="1378"/>
      <c r="F68" s="1378"/>
      <c r="G68" s="1378"/>
      <c r="H68" s="1378"/>
      <c r="I68" s="1643"/>
      <c r="J68" s="1378"/>
      <c r="K68" s="1643"/>
      <c r="L68" s="1378"/>
      <c r="M68" s="1643"/>
      <c r="N68" s="1643"/>
      <c r="O68" s="1643"/>
      <c r="P68" s="1643"/>
      <c r="Q68" s="1643"/>
      <c r="R68" s="1378"/>
      <c r="S68" s="1643"/>
      <c r="T68" s="1643"/>
      <c r="U68" s="1643"/>
      <c r="V68" s="1643"/>
      <c r="W68" s="1378"/>
      <c r="X68" s="1609"/>
    </row>
    <row r="69" spans="1:24" ht="15.75" x14ac:dyDescent="0.25">
      <c r="A69" s="1622"/>
      <c r="B69" s="1378"/>
      <c r="C69" s="1378"/>
      <c r="D69" s="1378" t="s">
        <v>1763</v>
      </c>
      <c r="E69" s="1378"/>
      <c r="F69" s="1378"/>
      <c r="G69" s="1645">
        <f>+VLOOKUP(D69,'עלויות תפעול בהתאם לנורמה'!$C$6:$BF$114,$Z$62+1,0)/$I$3*$S$3/$S$3</f>
        <v>4.6838883993928701E-2</v>
      </c>
      <c r="H69" s="1378"/>
      <c r="I69" s="1645">
        <f>+VLOOKUP(D69,'עלויות תפעול בהתאם לנורמה'!$C$6:$BF$114,$Z$62+1,0)/$I$4*$S$4</f>
        <v>509.9922702036871</v>
      </c>
      <c r="J69" s="1378"/>
      <c r="K69" s="1376"/>
      <c r="L69" s="1378"/>
      <c r="M69" s="1645">
        <f>G69*$AB$2*$AB$3</f>
        <v>53.312072347836242</v>
      </c>
      <c r="N69" s="1376"/>
      <c r="O69" s="1376"/>
      <c r="P69" s="1376"/>
      <c r="Q69" s="1376"/>
      <c r="R69" s="1378"/>
      <c r="S69" s="1375">
        <f t="shared" ref="S69:S94" si="25">I69-K69</f>
        <v>509.9922702036871</v>
      </c>
      <c r="T69" s="1375">
        <f t="shared" ref="T69:T94" si="26">M69-Q69</f>
        <v>53.312072347836242</v>
      </c>
      <c r="U69" s="1375">
        <f t="shared" ref="U69:U94" si="27">M69-P69</f>
        <v>53.312072347836242</v>
      </c>
      <c r="V69" s="1375">
        <f t="shared" ref="V69:V94" si="28">M69-O69</f>
        <v>53.312072347836242</v>
      </c>
      <c r="W69" s="1375">
        <f t="shared" ref="W69:W94" si="29">Q69-K69</f>
        <v>0</v>
      </c>
    </row>
    <row r="70" spans="1:24" ht="15.75" x14ac:dyDescent="0.25">
      <c r="A70" s="1622"/>
      <c r="B70" s="1378"/>
      <c r="C70" s="1378"/>
      <c r="D70" s="1378" t="s">
        <v>1764</v>
      </c>
      <c r="E70" s="1625"/>
      <c r="F70" s="1625"/>
      <c r="G70" s="1645">
        <f>+VLOOKUP(D70,'עלויות תפעול בהתאם לנורמה'!$C$6:$BF$114,$Z$62+1,0)/$I$3*$S$3/$S$3</f>
        <v>0</v>
      </c>
      <c r="H70" s="1625"/>
      <c r="I70" s="1645">
        <f>+VLOOKUP(D70,'עלויות תפעול בהתאם לנורמה'!$C$6:$BF$114,$Z$62+1,0)/$I$4*$S$4</f>
        <v>0</v>
      </c>
      <c r="J70" s="1378"/>
      <c r="K70" s="1376"/>
      <c r="L70" s="1625"/>
      <c r="M70" s="1645">
        <f t="shared" ref="M70:M93" si="30">G70*$AB$2*$AB$3</f>
        <v>0</v>
      </c>
      <c r="N70" s="1376"/>
      <c r="O70" s="1376"/>
      <c r="P70" s="1376"/>
      <c r="Q70" s="1376"/>
      <c r="R70" s="1378"/>
      <c r="S70" s="1375">
        <f t="shared" si="25"/>
        <v>0</v>
      </c>
      <c r="T70" s="1375">
        <f t="shared" si="26"/>
        <v>0</v>
      </c>
      <c r="U70" s="1375">
        <f t="shared" si="27"/>
        <v>0</v>
      </c>
      <c r="V70" s="1375">
        <f t="shared" si="28"/>
        <v>0</v>
      </c>
      <c r="W70" s="1375">
        <f t="shared" si="29"/>
        <v>0</v>
      </c>
    </row>
    <row r="71" spans="1:24" ht="15.75" x14ac:dyDescent="0.25">
      <c r="A71" s="1622"/>
      <c r="B71" s="1378"/>
      <c r="C71" s="1378"/>
      <c r="D71" s="1644" t="s">
        <v>1637</v>
      </c>
      <c r="E71" s="1625"/>
      <c r="F71" s="1625"/>
      <c r="G71" s="1645">
        <f>+VLOOKUP(D71,'עלויות תפעול בהתאם לנורמה'!$C$6:$BF$114,$Z$62+1,0)/$I$3*$S$3/$S$3</f>
        <v>0.13233165889488963</v>
      </c>
      <c r="H71" s="1625"/>
      <c r="I71" s="1645">
        <f>+VLOOKUP(D71,'עלויות תפעול בהתאם לנורמה'!$C$6:$BF$114,$Z$62+1,0)/$I$4*$S$4</f>
        <v>1440.8567708054825</v>
      </c>
      <c r="J71" s="1378"/>
      <c r="K71" s="1376"/>
      <c r="L71" s="1625"/>
      <c r="M71" s="1645">
        <f t="shared" si="30"/>
        <v>150.62004837322775</v>
      </c>
      <c r="N71" s="1376"/>
      <c r="O71" s="1376"/>
      <c r="P71" s="1376"/>
      <c r="Q71" s="1376"/>
      <c r="R71" s="1378"/>
      <c r="S71" s="1375">
        <f t="shared" si="25"/>
        <v>1440.8567708054825</v>
      </c>
      <c r="T71" s="1375">
        <f t="shared" si="26"/>
        <v>150.62004837322775</v>
      </c>
      <c r="U71" s="1375">
        <f t="shared" si="27"/>
        <v>150.62004837322775</v>
      </c>
      <c r="V71" s="1375">
        <f t="shared" si="28"/>
        <v>150.62004837322775</v>
      </c>
      <c r="W71" s="1375">
        <f t="shared" si="29"/>
        <v>0</v>
      </c>
    </row>
    <row r="72" spans="1:24" ht="15.75" x14ac:dyDescent="0.25">
      <c r="A72" s="1622"/>
      <c r="B72" s="1378"/>
      <c r="C72" s="1378"/>
      <c r="D72" s="1644" t="s">
        <v>1765</v>
      </c>
      <c r="E72" s="1625"/>
      <c r="F72" s="1625"/>
      <c r="G72" s="1645">
        <f>+VLOOKUP(D72,'עלויות תפעול בהתאם לנורמה'!$C$6:$BF$114,$Z$62+1,0)/$I$3*$S$3/$S$3</f>
        <v>0</v>
      </c>
      <c r="H72" s="1625"/>
      <c r="I72" s="1645">
        <f>+VLOOKUP(D72,'עלויות תפעול בהתאם לנורמה'!$C$6:$BF$114,$Z$62+1,0)/$I$4*$S$4</f>
        <v>0</v>
      </c>
      <c r="J72" s="1378"/>
      <c r="K72" s="1376"/>
      <c r="L72" s="1625"/>
      <c r="M72" s="1645">
        <f t="shared" si="30"/>
        <v>0</v>
      </c>
      <c r="N72" s="1376"/>
      <c r="O72" s="1376"/>
      <c r="P72" s="1376"/>
      <c r="Q72" s="1376"/>
      <c r="R72" s="1378"/>
      <c r="S72" s="1375">
        <f t="shared" si="25"/>
        <v>0</v>
      </c>
      <c r="T72" s="1375">
        <f t="shared" si="26"/>
        <v>0</v>
      </c>
      <c r="U72" s="1375">
        <f t="shared" si="27"/>
        <v>0</v>
      </c>
      <c r="V72" s="1375">
        <f t="shared" si="28"/>
        <v>0</v>
      </c>
      <c r="W72" s="1375">
        <f t="shared" si="29"/>
        <v>0</v>
      </c>
    </row>
    <row r="73" spans="1:24" ht="15.75" x14ac:dyDescent="0.25">
      <c r="A73" s="1622"/>
      <c r="B73" s="1378"/>
      <c r="C73" s="1378"/>
      <c r="D73" s="1378" t="s">
        <v>1642</v>
      </c>
      <c r="E73" s="1625"/>
      <c r="F73" s="1625"/>
      <c r="G73" s="1645">
        <f>+VLOOKUP(D73,'עלויות תפעול בהתאם לנורמה'!$C$6:$BF$114,$Z$62+1,0)/$I$3*$S$3/$S$3</f>
        <v>0</v>
      </c>
      <c r="H73" s="1625"/>
      <c r="I73" s="1645">
        <f>+VLOOKUP(D73,'עלויות תפעול בהתאם לנורמה'!$C$6:$BF$114,$Z$62+1,0)/$I$4*$S$4</f>
        <v>0</v>
      </c>
      <c r="J73" s="1378"/>
      <c r="K73" s="1376"/>
      <c r="L73" s="1625"/>
      <c r="M73" s="1645">
        <f t="shared" si="30"/>
        <v>0</v>
      </c>
      <c r="N73" s="1376"/>
      <c r="O73" s="1376"/>
      <c r="P73" s="1376"/>
      <c r="Q73" s="1376"/>
      <c r="R73" s="1378"/>
      <c r="S73" s="1375">
        <f t="shared" si="25"/>
        <v>0</v>
      </c>
      <c r="T73" s="1375">
        <f t="shared" si="26"/>
        <v>0</v>
      </c>
      <c r="U73" s="1375">
        <f t="shared" si="27"/>
        <v>0</v>
      </c>
      <c r="V73" s="1375">
        <f t="shared" si="28"/>
        <v>0</v>
      </c>
      <c r="W73" s="1375">
        <f t="shared" si="29"/>
        <v>0</v>
      </c>
    </row>
    <row r="74" spans="1:24" ht="15.75" x14ac:dyDescent="0.25">
      <c r="A74" s="1622"/>
      <c r="B74" s="1378"/>
      <c r="C74" s="1378"/>
      <c r="D74" s="1378" t="s">
        <v>1644</v>
      </c>
      <c r="E74" s="1625"/>
      <c r="F74" s="1625"/>
      <c r="G74" s="1645">
        <f>+VLOOKUP(D74,'עלויות תפעול בהתאם לנורמה'!$C$6:$BF$114,$Z$62+1,0)/$I$3*$S$3/$S$3</f>
        <v>0</v>
      </c>
      <c r="H74" s="1625"/>
      <c r="I74" s="1645">
        <f>+VLOOKUP(D74,'עלויות תפעול בהתאם לנורמה'!$C$6:$BF$114,$Z$62+1,0)/$I$4*$S$4</f>
        <v>0</v>
      </c>
      <c r="J74" s="1378"/>
      <c r="K74" s="1376"/>
      <c r="L74" s="1625"/>
      <c r="M74" s="1645">
        <f t="shared" si="30"/>
        <v>0</v>
      </c>
      <c r="N74" s="1376"/>
      <c r="O74" s="1376"/>
      <c r="P74" s="1376"/>
      <c r="Q74" s="1376"/>
      <c r="R74" s="1378"/>
      <c r="S74" s="1375">
        <f t="shared" si="25"/>
        <v>0</v>
      </c>
      <c r="T74" s="1375">
        <f t="shared" si="26"/>
        <v>0</v>
      </c>
      <c r="U74" s="1375">
        <f t="shared" si="27"/>
        <v>0</v>
      </c>
      <c r="V74" s="1375">
        <f t="shared" si="28"/>
        <v>0</v>
      </c>
      <c r="W74" s="1375">
        <f t="shared" si="29"/>
        <v>0</v>
      </c>
    </row>
    <row r="75" spans="1:24" ht="15.75" x14ac:dyDescent="0.25">
      <c r="A75" s="1622"/>
      <c r="B75" s="1378"/>
      <c r="C75" s="1378"/>
      <c r="D75" s="1378" t="s">
        <v>1766</v>
      </c>
      <c r="E75" s="1625"/>
      <c r="F75" s="1625"/>
      <c r="G75" s="1645">
        <f>+VLOOKUP(D75,'עלויות תפעול בהתאם לנורמה'!$C$6:$BF$114,$Z$62+1,0)/$I$3*$S$3/$S$3</f>
        <v>7.2882080903416031E-3</v>
      </c>
      <c r="H75" s="1625"/>
      <c r="I75" s="1645">
        <f>+VLOOKUP(D75,'עלויות תפעול בהתאם לנורמה'!$C$6:$BF$114,$Z$62+1,0)/$I$4*$S$4</f>
        <v>79.355643703893236</v>
      </c>
      <c r="J75" s="1378"/>
      <c r="K75" s="1376"/>
      <c r="L75" s="1625"/>
      <c r="M75" s="1645">
        <f t="shared" si="30"/>
        <v>8.2954469420907024</v>
      </c>
      <c r="N75" s="1376"/>
      <c r="O75" s="1376"/>
      <c r="P75" s="1376"/>
      <c r="Q75" s="1376"/>
      <c r="R75" s="1378"/>
      <c r="S75" s="1375">
        <f t="shared" si="25"/>
        <v>79.355643703893236</v>
      </c>
      <c r="T75" s="1375">
        <f t="shared" si="26"/>
        <v>8.2954469420907024</v>
      </c>
      <c r="U75" s="1375">
        <f t="shared" si="27"/>
        <v>8.2954469420907024</v>
      </c>
      <c r="V75" s="1375">
        <f t="shared" si="28"/>
        <v>8.2954469420907024</v>
      </c>
      <c r="W75" s="1375">
        <f t="shared" si="29"/>
        <v>0</v>
      </c>
    </row>
    <row r="76" spans="1:24" ht="31.5" x14ac:dyDescent="0.25">
      <c r="A76" s="1622"/>
      <c r="B76" s="1378"/>
      <c r="C76" s="1378"/>
      <c r="D76" s="1383" t="s">
        <v>1647</v>
      </c>
      <c r="E76" s="1625"/>
      <c r="F76" s="1625"/>
      <c r="G76" s="1645">
        <f>+VLOOKUP(D76,'עלויות תפעול בהתאם לנורמה'!$C$6:$BF$114,$Z$62+1,0)/$I$3*$S$3/$S$3</f>
        <v>0</v>
      </c>
      <c r="H76" s="1625"/>
      <c r="I76" s="1645">
        <f>+VLOOKUP(D76,'עלויות תפעול בהתאם לנורמה'!$C$6:$BF$114,$Z$62+1,0)/$I$4*$S$4</f>
        <v>0</v>
      </c>
      <c r="J76" s="1378"/>
      <c r="K76" s="1376"/>
      <c r="L76" s="1625"/>
      <c r="M76" s="1645">
        <f t="shared" si="30"/>
        <v>0</v>
      </c>
      <c r="N76" s="1376"/>
      <c r="O76" s="1376"/>
      <c r="P76" s="1376"/>
      <c r="Q76" s="1376"/>
      <c r="R76" s="1378"/>
      <c r="S76" s="1375">
        <f t="shared" si="25"/>
        <v>0</v>
      </c>
      <c r="T76" s="1375">
        <f t="shared" si="26"/>
        <v>0</v>
      </c>
      <c r="U76" s="1375">
        <f t="shared" si="27"/>
        <v>0</v>
      </c>
      <c r="V76" s="1375">
        <f t="shared" si="28"/>
        <v>0</v>
      </c>
      <c r="W76" s="1375">
        <f t="shared" si="29"/>
        <v>0</v>
      </c>
    </row>
    <row r="77" spans="1:24" ht="15.75" x14ac:dyDescent="0.25">
      <c r="A77" s="1622"/>
      <c r="B77" s="1378"/>
      <c r="C77" s="1378"/>
      <c r="D77" s="1378" t="s">
        <v>298</v>
      </c>
      <c r="E77" s="1625"/>
      <c r="F77" s="1625"/>
      <c r="G77" s="1645">
        <f>+VLOOKUP(D77,'עלויות תפעול בהתאם לנורמה'!$C$6:$BF$114,$Z$62+1,0)/$I$3*$S$3/$S$3</f>
        <v>0</v>
      </c>
      <c r="H77" s="1625"/>
      <c r="I77" s="1645">
        <f>+VLOOKUP(D77,'עלויות תפעול בהתאם לנורמה'!$C$6:$BF$114,$Z$62+1,0)/$I$4*$S$4</f>
        <v>0</v>
      </c>
      <c r="J77" s="1378"/>
      <c r="K77" s="1376"/>
      <c r="L77" s="1625"/>
      <c r="M77" s="1645">
        <f t="shared" si="30"/>
        <v>0</v>
      </c>
      <c r="N77" s="1376"/>
      <c r="O77" s="1376"/>
      <c r="P77" s="1376"/>
      <c r="Q77" s="1376"/>
      <c r="R77" s="1378"/>
      <c r="S77" s="1375">
        <f t="shared" si="25"/>
        <v>0</v>
      </c>
      <c r="T77" s="1375">
        <f t="shared" si="26"/>
        <v>0</v>
      </c>
      <c r="U77" s="1375">
        <f t="shared" si="27"/>
        <v>0</v>
      </c>
      <c r="V77" s="1375">
        <f t="shared" si="28"/>
        <v>0</v>
      </c>
      <c r="W77" s="1375">
        <f t="shared" si="29"/>
        <v>0</v>
      </c>
    </row>
    <row r="78" spans="1:24" ht="15.75" x14ac:dyDescent="0.25">
      <c r="A78" s="1622"/>
      <c r="B78" s="1378"/>
      <c r="C78" s="1378"/>
      <c r="D78" s="1378" t="s">
        <v>1650</v>
      </c>
      <c r="E78" s="1625"/>
      <c r="F78" s="1625"/>
      <c r="G78" s="1645">
        <f>+VLOOKUP(D78,'עלויות תפעול בהתאם לנורמה'!$C$6:$BF$114,$Z$62+1,0)/$I$3*$S$3/$S$3</f>
        <v>0</v>
      </c>
      <c r="H78" s="1625"/>
      <c r="I78" s="1645">
        <f>+VLOOKUP(D78,'עלויות תפעול בהתאם לנורמה'!$C$6:$BF$114,$Z$62+1,0)/$I$4*$S$4</f>
        <v>0</v>
      </c>
      <c r="J78" s="1378"/>
      <c r="K78" s="1376"/>
      <c r="L78" s="1625"/>
      <c r="M78" s="1645">
        <f t="shared" si="30"/>
        <v>0</v>
      </c>
      <c r="N78" s="1376"/>
      <c r="O78" s="1376"/>
      <c r="P78" s="1376"/>
      <c r="Q78" s="1376"/>
      <c r="R78" s="1378"/>
      <c r="S78" s="1375">
        <f t="shared" si="25"/>
        <v>0</v>
      </c>
      <c r="T78" s="1375">
        <f t="shared" si="26"/>
        <v>0</v>
      </c>
      <c r="U78" s="1375">
        <f t="shared" si="27"/>
        <v>0</v>
      </c>
      <c r="V78" s="1375">
        <f t="shared" si="28"/>
        <v>0</v>
      </c>
      <c r="W78" s="1375">
        <f t="shared" si="29"/>
        <v>0</v>
      </c>
    </row>
    <row r="79" spans="1:24" ht="15.75" x14ac:dyDescent="0.25">
      <c r="A79" s="1622"/>
      <c r="B79" s="1378"/>
      <c r="C79" s="1378"/>
      <c r="D79" s="1378" t="s">
        <v>1652</v>
      </c>
      <c r="E79" s="1625"/>
      <c r="F79" s="1625"/>
      <c r="G79" s="1645">
        <f>+VLOOKUP(D79,'עלויות תפעול בהתאם לנורמה'!$C$6:$BF$114,$Z$62+1,0)/$I$3*$S$3/$S$3</f>
        <v>0</v>
      </c>
      <c r="H79" s="1625"/>
      <c r="I79" s="1645">
        <f>+VLOOKUP(D79,'עלויות תפעול בהתאם לנורמה'!$C$6:$BF$114,$Z$62+1,0)/$I$4*$S$4</f>
        <v>0</v>
      </c>
      <c r="J79" s="1378"/>
      <c r="K79" s="1376"/>
      <c r="L79" s="1625"/>
      <c r="M79" s="1645">
        <f t="shared" si="30"/>
        <v>0</v>
      </c>
      <c r="N79" s="1376"/>
      <c r="O79" s="1376"/>
      <c r="P79" s="1376"/>
      <c r="Q79" s="1376"/>
      <c r="R79" s="1378"/>
      <c r="S79" s="1375">
        <f t="shared" si="25"/>
        <v>0</v>
      </c>
      <c r="T79" s="1375">
        <f t="shared" si="26"/>
        <v>0</v>
      </c>
      <c r="U79" s="1375">
        <f t="shared" si="27"/>
        <v>0</v>
      </c>
      <c r="V79" s="1375">
        <f t="shared" si="28"/>
        <v>0</v>
      </c>
      <c r="W79" s="1375">
        <f t="shared" si="29"/>
        <v>0</v>
      </c>
    </row>
    <row r="80" spans="1:24" ht="15.75" x14ac:dyDescent="0.25">
      <c r="A80" s="1622"/>
      <c r="B80" s="1378"/>
      <c r="C80" s="1378"/>
      <c r="D80" s="1378" t="s">
        <v>1653</v>
      </c>
      <c r="E80" s="1625"/>
      <c r="F80" s="1625"/>
      <c r="G80" s="1645">
        <f>+VLOOKUP(D80,'עלויות תפעול בהתאם לנורמה'!$C$6:$BF$114,$Z$62+1,0)/$I$3*$S$3/$S$3</f>
        <v>2.4785339996029839E-3</v>
      </c>
      <c r="H80" s="1625"/>
      <c r="I80" s="1645">
        <f>+VLOOKUP(D80,'עלויות תפעול בהתאם לנורמה'!$C$6:$BF$114,$Z$62+1,0)/$I$4*$S$4</f>
        <v>26.986833874999999</v>
      </c>
      <c r="J80" s="1378"/>
      <c r="K80" s="1376"/>
      <c r="L80" s="1625"/>
      <c r="M80" s="1645">
        <f t="shared" si="30"/>
        <v>2.8210702868269397</v>
      </c>
      <c r="N80" s="1376"/>
      <c r="O80" s="1376"/>
      <c r="P80" s="1376"/>
      <c r="Q80" s="1379"/>
      <c r="R80" s="1378"/>
      <c r="S80" s="1375">
        <f t="shared" si="25"/>
        <v>26.986833874999999</v>
      </c>
      <c r="T80" s="1375">
        <f t="shared" si="26"/>
        <v>2.8210702868269397</v>
      </c>
      <c r="U80" s="1375">
        <f t="shared" si="27"/>
        <v>2.8210702868269397</v>
      </c>
      <c r="V80" s="1375">
        <f t="shared" si="28"/>
        <v>2.8210702868269397</v>
      </c>
      <c r="W80" s="1375">
        <f t="shared" si="29"/>
        <v>0</v>
      </c>
    </row>
    <row r="81" spans="1:30" ht="15.75" x14ac:dyDescent="0.25">
      <c r="A81" s="1622"/>
      <c r="B81" s="1378"/>
      <c r="C81" s="1642"/>
      <c r="D81" s="1378" t="s">
        <v>1655</v>
      </c>
      <c r="E81" s="1625"/>
      <c r="F81" s="1625"/>
      <c r="G81" s="1645">
        <f>+VLOOKUP(D81,'עלויות תפעול בהתאם לנורמה'!$C$6:$BF$114,$Z$62+1,0)/$I$3*$S$3/$S$3</f>
        <v>0</v>
      </c>
      <c r="H81" s="1625"/>
      <c r="I81" s="1645">
        <f>+VLOOKUP(D81,'עלויות תפעול בהתאם לנורמה'!$C$6:$BF$114,$Z$62+1,0)/$I$4*$S$4</f>
        <v>0</v>
      </c>
      <c r="J81" s="1378"/>
      <c r="K81" s="1376"/>
      <c r="L81" s="1625"/>
      <c r="M81" s="1645">
        <f t="shared" si="30"/>
        <v>0</v>
      </c>
      <c r="N81" s="1376"/>
      <c r="O81" s="1376"/>
      <c r="P81" s="1376"/>
      <c r="Q81" s="1376"/>
      <c r="R81" s="1378"/>
      <c r="S81" s="1375">
        <f t="shared" si="25"/>
        <v>0</v>
      </c>
      <c r="T81" s="1375">
        <f t="shared" si="26"/>
        <v>0</v>
      </c>
      <c r="U81" s="1375">
        <f t="shared" si="27"/>
        <v>0</v>
      </c>
      <c r="V81" s="1375">
        <f t="shared" si="28"/>
        <v>0</v>
      </c>
      <c r="W81" s="1375">
        <f t="shared" si="29"/>
        <v>0</v>
      </c>
    </row>
    <row r="82" spans="1:30" ht="15.75" x14ac:dyDescent="0.25">
      <c r="A82" s="1622"/>
      <c r="B82" s="1378"/>
      <c r="C82" s="1642"/>
      <c r="D82" s="1378" t="s">
        <v>1767</v>
      </c>
      <c r="E82" s="1625"/>
      <c r="F82" s="1625"/>
      <c r="G82" s="1645">
        <f>+VLOOKUP(D82,'עלויות תפעול בהתאם לנורמה'!$C$6:$BF$114,$Z$62+1,0)/$I$3*$S$3/$S$3</f>
        <v>6.0735067419513374E-3</v>
      </c>
      <c r="H82" s="1625"/>
      <c r="I82" s="1645">
        <f>+VLOOKUP(D82,'עלויות תפעול בהתאם לנורמה'!$C$6:$BF$114,$Z$62+1,0)/$I$4*$S$4</f>
        <v>66.129703086577706</v>
      </c>
      <c r="J82" s="1378"/>
      <c r="K82" s="1376"/>
      <c r="L82" s="1625"/>
      <c r="M82" s="1645">
        <f t="shared" si="30"/>
        <v>6.9128724517422526</v>
      </c>
      <c r="N82" s="1376"/>
      <c r="O82" s="1376"/>
      <c r="P82" s="1376"/>
      <c r="Q82" s="1376"/>
      <c r="R82" s="1378"/>
      <c r="S82" s="1375">
        <f t="shared" si="25"/>
        <v>66.129703086577706</v>
      </c>
      <c r="T82" s="1375">
        <f t="shared" si="26"/>
        <v>6.9128724517422526</v>
      </c>
      <c r="U82" s="1375">
        <f t="shared" si="27"/>
        <v>6.9128724517422526</v>
      </c>
      <c r="V82" s="1375">
        <f t="shared" si="28"/>
        <v>6.9128724517422526</v>
      </c>
      <c r="W82" s="1375">
        <f t="shared" si="29"/>
        <v>0</v>
      </c>
    </row>
    <row r="83" spans="1:30" ht="15.75" x14ac:dyDescent="0.25">
      <c r="A83" s="1622"/>
      <c r="B83" s="1378"/>
      <c r="C83" s="1642"/>
      <c r="D83" s="1378" t="s">
        <v>1768</v>
      </c>
      <c r="E83" s="1625"/>
      <c r="F83" s="1625"/>
      <c r="G83" s="1645">
        <f>+VLOOKUP(D83,'עלויות תפעול בהתאם לנורמה'!$C$6:$BF$114,$Z$62+1,0)/$I$3*$S$3/$S$3</f>
        <v>2.4294026967805341E-3</v>
      </c>
      <c r="H83" s="1625"/>
      <c r="I83" s="1645">
        <f>+VLOOKUP(D83,'עלויות תפעול בהתאם לנורמה'!$C$6:$BF$114,$Z$62+1,0)/$I$4*$S$4</f>
        <v>26.451881234631074</v>
      </c>
      <c r="J83" s="1378"/>
      <c r="K83" s="1376"/>
      <c r="L83" s="1625"/>
      <c r="M83" s="1645">
        <f t="shared" si="30"/>
        <v>2.7651489806969005</v>
      </c>
      <c r="N83" s="1376"/>
      <c r="O83" s="1376"/>
      <c r="P83" s="1376"/>
      <c r="Q83" s="1376"/>
      <c r="R83" s="1378"/>
      <c r="S83" s="1375">
        <f t="shared" si="25"/>
        <v>26.451881234631074</v>
      </c>
      <c r="T83" s="1375">
        <f t="shared" si="26"/>
        <v>2.7651489806969005</v>
      </c>
      <c r="U83" s="1375">
        <f t="shared" si="27"/>
        <v>2.7651489806969005</v>
      </c>
      <c r="V83" s="1375">
        <f t="shared" si="28"/>
        <v>2.7651489806969005</v>
      </c>
      <c r="W83" s="1375">
        <f t="shared" si="29"/>
        <v>0</v>
      </c>
    </row>
    <row r="84" spans="1:30" ht="15.75" x14ac:dyDescent="0.25">
      <c r="A84" s="1622"/>
      <c r="B84" s="1378"/>
      <c r="C84" s="1642"/>
      <c r="D84" s="1378" t="s">
        <v>1769</v>
      </c>
      <c r="E84" s="1625"/>
      <c r="F84" s="1625"/>
      <c r="G84" s="1645">
        <f>+VLOOKUP(D84,'עלויות תפעול בהתאם לנורמה'!$C$6:$BF$114,$Z$62+1,0)/$I$3*$S$3/$S$3</f>
        <v>2.4294026967805341E-3</v>
      </c>
      <c r="H84" s="1625"/>
      <c r="I84" s="1645">
        <f>+VLOOKUP(D84,'עלויות תפעול בהתאם לנורמה'!$C$6:$BF$114,$Z$62+1,0)/$I$4*$S$4</f>
        <v>26.451881234631074</v>
      </c>
      <c r="J84" s="1378"/>
      <c r="K84" s="1376"/>
      <c r="L84" s="1625"/>
      <c r="M84" s="1645">
        <f t="shared" si="30"/>
        <v>2.7651489806969005</v>
      </c>
      <c r="N84" s="1376"/>
      <c r="O84" s="1376"/>
      <c r="P84" s="1376"/>
      <c r="Q84" s="1376"/>
      <c r="R84" s="1378"/>
      <c r="S84" s="1375">
        <f t="shared" si="25"/>
        <v>26.451881234631074</v>
      </c>
      <c r="T84" s="1375">
        <f t="shared" si="26"/>
        <v>2.7651489806969005</v>
      </c>
      <c r="U84" s="1375">
        <f t="shared" si="27"/>
        <v>2.7651489806969005</v>
      </c>
      <c r="V84" s="1375">
        <f t="shared" si="28"/>
        <v>2.7651489806969005</v>
      </c>
      <c r="W84" s="1375">
        <f t="shared" si="29"/>
        <v>0</v>
      </c>
      <c r="X84" s="1609"/>
    </row>
    <row r="85" spans="1:30" ht="15.75" x14ac:dyDescent="0.25">
      <c r="A85" s="1622"/>
      <c r="B85" s="1378"/>
      <c r="C85" s="1378"/>
      <c r="D85" s="1644" t="s">
        <v>1657</v>
      </c>
      <c r="E85" s="1625"/>
      <c r="F85" s="1625"/>
      <c r="G85" s="1645">
        <f>+VLOOKUP(D85,'עלויות תפעול בהתאם לנורמה'!$C$6:$BF$114,$Z$62+1,0)/$I$3*$S$3/$S$3</f>
        <v>0</v>
      </c>
      <c r="H85" s="1625"/>
      <c r="I85" s="1645">
        <f>+VLOOKUP(D85,'עלויות תפעול בהתאם לנורמה'!$C$6:$BF$114,$Z$62+1,0)/$I$4*$S$4</f>
        <v>0</v>
      </c>
      <c r="J85" s="1378"/>
      <c r="K85" s="1376"/>
      <c r="L85" s="1625"/>
      <c r="M85" s="1645">
        <f t="shared" si="30"/>
        <v>0</v>
      </c>
      <c r="N85" s="1376"/>
      <c r="O85" s="1376"/>
      <c r="P85" s="1376"/>
      <c r="Q85" s="1376"/>
      <c r="R85" s="1378"/>
      <c r="S85" s="1375">
        <f t="shared" si="25"/>
        <v>0</v>
      </c>
      <c r="T85" s="1375">
        <f t="shared" si="26"/>
        <v>0</v>
      </c>
      <c r="U85" s="1375">
        <f t="shared" si="27"/>
        <v>0</v>
      </c>
      <c r="V85" s="1375">
        <f t="shared" si="28"/>
        <v>0</v>
      </c>
      <c r="W85" s="1375">
        <f t="shared" si="29"/>
        <v>0</v>
      </c>
      <c r="X85" s="1609"/>
    </row>
    <row r="86" spans="1:30" ht="15.75" x14ac:dyDescent="0.25">
      <c r="A86" s="1622"/>
      <c r="B86" s="1378"/>
      <c r="C86" s="1378"/>
      <c r="D86" s="1644" t="s">
        <v>1415</v>
      </c>
      <c r="E86" s="1625"/>
      <c r="F86" s="1625"/>
      <c r="G86" s="1645">
        <f>+VLOOKUP(D86,'עלויות תפעול בהתאם לנורמה'!$C$6:$BF$114,$Z$62+1,0)/$I$3*$S$3/$S$3</f>
        <v>4.8588053935610682E-3</v>
      </c>
      <c r="H86" s="1625"/>
      <c r="I86" s="1645">
        <f>+VLOOKUP(D86,'עלויות תפעול בהתאם לנורמה'!$C$6:$BF$114,$Z$62+1,0)/$I$4*$S$4</f>
        <v>52.903762469262148</v>
      </c>
      <c r="J86" s="1378"/>
      <c r="K86" s="1376"/>
      <c r="L86" s="1625"/>
      <c r="M86" s="1645">
        <f t="shared" si="30"/>
        <v>5.530297961393801</v>
      </c>
      <c r="N86" s="1376"/>
      <c r="O86" s="1376"/>
      <c r="P86" s="1376"/>
      <c r="Q86" s="1379"/>
      <c r="R86" s="1378"/>
      <c r="S86" s="1375">
        <f t="shared" si="25"/>
        <v>52.903762469262148</v>
      </c>
      <c r="T86" s="1375">
        <f t="shared" si="26"/>
        <v>5.530297961393801</v>
      </c>
      <c r="U86" s="1375">
        <f t="shared" si="27"/>
        <v>5.530297961393801</v>
      </c>
      <c r="V86" s="1375">
        <f t="shared" si="28"/>
        <v>5.530297961393801</v>
      </c>
      <c r="W86" s="1375">
        <f t="shared" si="29"/>
        <v>0</v>
      </c>
      <c r="X86" s="1609"/>
    </row>
    <row r="87" spans="1:30" ht="15.75" x14ac:dyDescent="0.25">
      <c r="A87" s="1622"/>
      <c r="B87" s="1378"/>
      <c r="C87" s="1378"/>
      <c r="D87" s="1378" t="s">
        <v>1770</v>
      </c>
      <c r="E87" s="1625"/>
      <c r="F87" s="1625"/>
      <c r="G87" s="1645">
        <f>+VLOOKUP(D87,'עלויות תפעול בהתאם לנורמה'!$C$6:$BF$114,$Z$62+1,0)/$I$3*$S$3/$S$3</f>
        <v>7.2882080903416031E-3</v>
      </c>
      <c r="H87" s="1625"/>
      <c r="I87" s="1645">
        <f>+VLOOKUP(D87,'עלויות תפעול בהתאם לנורמה'!$C$6:$BF$114,$Z$62+1,0)/$I$4*$S$4</f>
        <v>79.355643703893236</v>
      </c>
      <c r="J87" s="1378"/>
      <c r="K87" s="1376"/>
      <c r="L87" s="1625"/>
      <c r="M87" s="1645">
        <f t="shared" si="30"/>
        <v>8.2954469420907024</v>
      </c>
      <c r="N87" s="1376"/>
      <c r="O87" s="1376"/>
      <c r="P87" s="1376"/>
      <c r="Q87" s="1376"/>
      <c r="R87" s="1378"/>
      <c r="S87" s="1375">
        <f t="shared" si="25"/>
        <v>79.355643703893236</v>
      </c>
      <c r="T87" s="1375">
        <f t="shared" si="26"/>
        <v>8.2954469420907024</v>
      </c>
      <c r="U87" s="1375">
        <f t="shared" si="27"/>
        <v>8.2954469420907024</v>
      </c>
      <c r="V87" s="1375">
        <f t="shared" si="28"/>
        <v>8.2954469420907024</v>
      </c>
      <c r="W87" s="1375">
        <f t="shared" si="29"/>
        <v>0</v>
      </c>
      <c r="X87" s="1609"/>
    </row>
    <row r="88" spans="1:30" ht="31.5" x14ac:dyDescent="0.25">
      <c r="A88" s="1622"/>
      <c r="B88" s="1378"/>
      <c r="C88" s="1378"/>
      <c r="D88" s="1383" t="s">
        <v>1659</v>
      </c>
      <c r="E88" s="1625"/>
      <c r="F88" s="1625"/>
      <c r="G88" s="1645"/>
      <c r="H88" s="1625"/>
      <c r="I88" s="1645">
        <f>+VLOOKUP(D88,'עלויות תפעול בהתאם לנורמה'!$C$6:$BF$114,$Z$62+1,0)/$I$4*$S$4</f>
        <v>0</v>
      </c>
      <c r="J88" s="1378"/>
      <c r="K88" s="1376"/>
      <c r="L88" s="1625"/>
      <c r="M88" s="1645">
        <f t="shared" si="30"/>
        <v>0</v>
      </c>
      <c r="N88" s="1376"/>
      <c r="O88" s="1376"/>
      <c r="P88" s="1376"/>
      <c r="Q88" s="1376"/>
      <c r="R88" s="1378"/>
      <c r="S88" s="1375">
        <f t="shared" si="25"/>
        <v>0</v>
      </c>
      <c r="T88" s="1375">
        <f t="shared" si="26"/>
        <v>0</v>
      </c>
      <c r="U88" s="1375">
        <f t="shared" si="27"/>
        <v>0</v>
      </c>
      <c r="V88" s="1375">
        <f t="shared" si="28"/>
        <v>0</v>
      </c>
      <c r="W88" s="1375">
        <f t="shared" si="29"/>
        <v>0</v>
      </c>
      <c r="X88" s="1609"/>
    </row>
    <row r="89" spans="1:30" ht="15.75" x14ac:dyDescent="0.25">
      <c r="A89" s="1622"/>
      <c r="B89" s="1378"/>
      <c r="C89" s="1378"/>
      <c r="D89" s="1383" t="s">
        <v>679</v>
      </c>
      <c r="E89" s="1625"/>
      <c r="F89" s="1625"/>
      <c r="G89" s="1645">
        <f>+VLOOKUP(D89,'עלויות תפעול בהתאם לנורמה'!$C$6:$BF$114,$Z$62+1,0)/$I$3*$S$3/$S$3</f>
        <v>0</v>
      </c>
      <c r="H89" s="1625"/>
      <c r="I89" s="1645">
        <f>+VLOOKUP(D89,'עלויות תפעול בהתאם לנורמה'!$C$6:$BF$114,$Z$62+1,0)/$I$4*$S$4</f>
        <v>0</v>
      </c>
      <c r="J89" s="1378"/>
      <c r="K89" s="1376"/>
      <c r="L89" s="1625"/>
      <c r="M89" s="1645">
        <f t="shared" si="30"/>
        <v>0</v>
      </c>
      <c r="N89" s="1376"/>
      <c r="O89" s="1376"/>
      <c r="P89" s="1376"/>
      <c r="Q89" s="1376"/>
      <c r="R89" s="1378"/>
      <c r="S89" s="1375">
        <f t="shared" ref="S89:S93" si="31">I89-K89</f>
        <v>0</v>
      </c>
      <c r="T89" s="1375">
        <f t="shared" ref="T89:T93" si="32">M89-Q89</f>
        <v>0</v>
      </c>
      <c r="U89" s="1375">
        <f t="shared" ref="U89:U93" si="33">M89-P89</f>
        <v>0</v>
      </c>
      <c r="V89" s="1375">
        <f t="shared" ref="V89:V93" si="34">M89-O89</f>
        <v>0</v>
      </c>
      <c r="W89" s="1375">
        <f t="shared" ref="W89:W93" si="35">Q89-K89</f>
        <v>0</v>
      </c>
      <c r="X89" s="1609"/>
    </row>
    <row r="90" spans="1:30" s="1654" customFormat="1" ht="15.75" x14ac:dyDescent="0.25">
      <c r="A90" s="1650"/>
      <c r="B90" s="1377"/>
      <c r="C90" s="1377"/>
      <c r="D90" s="1377" t="s">
        <v>1822</v>
      </c>
      <c r="E90" s="1377"/>
      <c r="F90" s="1377"/>
      <c r="G90" s="1655"/>
      <c r="H90" s="1377"/>
      <c r="I90" s="1655"/>
      <c r="J90" s="1377"/>
      <c r="K90" s="1392"/>
      <c r="L90" s="1377"/>
      <c r="M90" s="1655">
        <f t="shared" si="30"/>
        <v>0</v>
      </c>
      <c r="N90" s="1392"/>
      <c r="O90" s="1392"/>
      <c r="P90" s="1392"/>
      <c r="Q90" s="1392"/>
      <c r="R90" s="1377"/>
      <c r="S90" s="1652">
        <f t="shared" si="31"/>
        <v>0</v>
      </c>
      <c r="T90" s="1652">
        <f t="shared" si="32"/>
        <v>0</v>
      </c>
      <c r="U90" s="1652">
        <f t="shared" si="33"/>
        <v>0</v>
      </c>
      <c r="V90" s="1652">
        <f t="shared" si="34"/>
        <v>0</v>
      </c>
      <c r="W90" s="1652">
        <f t="shared" si="35"/>
        <v>0</v>
      </c>
      <c r="AB90" s="1609"/>
      <c r="AC90" s="1609"/>
      <c r="AD90" s="1609"/>
    </row>
    <row r="91" spans="1:30" s="1654" customFormat="1" ht="15.75" x14ac:dyDescent="0.25">
      <c r="A91" s="1650"/>
      <c r="B91" s="1377"/>
      <c r="C91" s="1377"/>
      <c r="D91" s="1377" t="s">
        <v>1803</v>
      </c>
      <c r="E91" s="1377"/>
      <c r="F91" s="1377"/>
      <c r="G91" s="1655"/>
      <c r="H91" s="1377"/>
      <c r="I91" s="1655"/>
      <c r="J91" s="1377"/>
      <c r="K91" s="1392"/>
      <c r="L91" s="1377"/>
      <c r="M91" s="1655">
        <f t="shared" si="30"/>
        <v>0</v>
      </c>
      <c r="N91" s="1392"/>
      <c r="O91" s="1392"/>
      <c r="P91" s="1392"/>
      <c r="Q91" s="1392"/>
      <c r="R91" s="1377"/>
      <c r="S91" s="1652">
        <f t="shared" si="31"/>
        <v>0</v>
      </c>
      <c r="T91" s="1652">
        <f t="shared" si="32"/>
        <v>0</v>
      </c>
      <c r="U91" s="1652">
        <f t="shared" si="33"/>
        <v>0</v>
      </c>
      <c r="V91" s="1652">
        <f t="shared" si="34"/>
        <v>0</v>
      </c>
      <c r="W91" s="1652">
        <f t="shared" si="35"/>
        <v>0</v>
      </c>
      <c r="AB91" s="1609"/>
      <c r="AC91" s="1609"/>
      <c r="AD91" s="1609"/>
    </row>
    <row r="92" spans="1:30" s="1654" customFormat="1" ht="15.75" x14ac:dyDescent="0.25">
      <c r="A92" s="1650"/>
      <c r="B92" s="1377"/>
      <c r="C92" s="1377"/>
      <c r="D92" s="1377" t="s">
        <v>1804</v>
      </c>
      <c r="E92" s="1377"/>
      <c r="F92" s="1377"/>
      <c r="G92" s="1655"/>
      <c r="H92" s="1377"/>
      <c r="I92" s="1655"/>
      <c r="J92" s="1377"/>
      <c r="K92" s="1392"/>
      <c r="L92" s="1377"/>
      <c r="M92" s="1655">
        <f t="shared" si="30"/>
        <v>0</v>
      </c>
      <c r="N92" s="1392"/>
      <c r="O92" s="1392"/>
      <c r="P92" s="1392"/>
      <c r="Q92" s="1392"/>
      <c r="R92" s="1377"/>
      <c r="S92" s="1652">
        <f t="shared" si="31"/>
        <v>0</v>
      </c>
      <c r="T92" s="1652">
        <f t="shared" si="32"/>
        <v>0</v>
      </c>
      <c r="U92" s="1652">
        <f t="shared" si="33"/>
        <v>0</v>
      </c>
      <c r="V92" s="1652">
        <f t="shared" si="34"/>
        <v>0</v>
      </c>
      <c r="W92" s="1652">
        <f t="shared" si="35"/>
        <v>0</v>
      </c>
      <c r="AB92" s="1609"/>
      <c r="AC92" s="1609"/>
      <c r="AD92" s="1609"/>
    </row>
    <row r="93" spans="1:30" s="1654" customFormat="1" ht="15.75" x14ac:dyDescent="0.25">
      <c r="A93" s="1650"/>
      <c r="B93" s="1377"/>
      <c r="C93" s="1377"/>
      <c r="D93" s="1377" t="s">
        <v>1771</v>
      </c>
      <c r="E93" s="1377"/>
      <c r="F93" s="1377"/>
      <c r="G93" s="1645">
        <f>+VLOOKUP(D93,'עלויות תפעול בהתאם לנורמה'!$C$6:$BF$114,$Z$62+1,0)/$I$3*$S$3/$S$3</f>
        <v>-1.7597591397181183E-2</v>
      </c>
      <c r="H93" s="1377"/>
      <c r="I93" s="1645">
        <f>+VLOOKUP(D93,'עלויות תפעול בהתאם לנורמה'!$C$6:$BF$114,$Z$62+1,0)/$I$4*$S$4</f>
        <v>-191.60652051249997</v>
      </c>
      <c r="J93" s="1377"/>
      <c r="K93" s="1392"/>
      <c r="L93" s="1377"/>
      <c r="M93" s="1655">
        <f t="shared" si="30"/>
        <v>-20.029599036471271</v>
      </c>
      <c r="N93" s="1392"/>
      <c r="O93" s="1392"/>
      <c r="P93" s="1392"/>
      <c r="Q93" s="1392"/>
      <c r="R93" s="1377"/>
      <c r="S93" s="1652">
        <f t="shared" si="31"/>
        <v>-191.60652051249997</v>
      </c>
      <c r="T93" s="1652">
        <f t="shared" si="32"/>
        <v>-20.029599036471271</v>
      </c>
      <c r="U93" s="1652">
        <f t="shared" si="33"/>
        <v>-20.029599036471271</v>
      </c>
      <c r="V93" s="1652">
        <f t="shared" si="34"/>
        <v>-20.029599036471271</v>
      </c>
      <c r="W93" s="1652">
        <f t="shared" si="35"/>
        <v>0</v>
      </c>
      <c r="AB93" s="1609"/>
      <c r="AC93" s="1609"/>
      <c r="AD93" s="1609"/>
    </row>
    <row r="94" spans="1:30" ht="15.75" x14ac:dyDescent="0.25">
      <c r="A94" s="1622"/>
      <c r="B94" s="1378"/>
      <c r="C94" s="1378"/>
      <c r="D94" s="1378"/>
      <c r="E94" s="1378"/>
      <c r="F94" s="1378"/>
      <c r="G94" s="1656">
        <f>SUM(G69:G93)</f>
        <v>0.19441901920099688</v>
      </c>
      <c r="H94" s="1378"/>
      <c r="I94" s="1640">
        <f>SUM(I69:I93)</f>
        <v>2116.8778698045576</v>
      </c>
      <c r="J94" s="1378"/>
      <c r="K94" s="1640">
        <f>SUM(K69:K88)</f>
        <v>0</v>
      </c>
      <c r="L94" s="1378"/>
      <c r="M94" s="1640">
        <f>SUM(M69:M93)</f>
        <v>221.28795423013094</v>
      </c>
      <c r="N94" s="1640">
        <f>SUM(N69:N89)</f>
        <v>0</v>
      </c>
      <c r="O94" s="1640">
        <f t="shared" ref="O94:Q94" si="36">SUM(O69:O89)</f>
        <v>0</v>
      </c>
      <c r="P94" s="1640">
        <f t="shared" si="36"/>
        <v>0</v>
      </c>
      <c r="Q94" s="1640">
        <f t="shared" si="36"/>
        <v>0</v>
      </c>
      <c r="R94" s="1388"/>
      <c r="S94" s="1640">
        <f t="shared" si="25"/>
        <v>2116.8778698045576</v>
      </c>
      <c r="T94" s="1640">
        <f t="shared" si="26"/>
        <v>221.28795423013094</v>
      </c>
      <c r="U94" s="1640">
        <f t="shared" si="27"/>
        <v>221.28795423013094</v>
      </c>
      <c r="V94" s="1640">
        <f t="shared" si="28"/>
        <v>221.28795423013094</v>
      </c>
      <c r="W94" s="1640">
        <f t="shared" si="29"/>
        <v>0</v>
      </c>
      <c r="X94" s="1609"/>
      <c r="Z94" s="1646"/>
    </row>
    <row r="95" spans="1:30" ht="15.75" x14ac:dyDescent="0.25">
      <c r="A95" s="1622"/>
      <c r="B95" s="1378"/>
      <c r="C95" s="1378"/>
      <c r="D95" s="1641" t="s">
        <v>1823</v>
      </c>
      <c r="E95" s="1378"/>
      <c r="F95" s="1378"/>
      <c r="G95" s="1658"/>
      <c r="H95" s="1378"/>
      <c r="I95" s="1658">
        <f>I94/I4</f>
        <v>0.19806386499485235</v>
      </c>
      <c r="J95" s="1668"/>
      <c r="K95" s="1659">
        <f>K94/I3</f>
        <v>0</v>
      </c>
      <c r="L95" s="1378"/>
      <c r="M95" s="1669"/>
      <c r="N95" s="1669"/>
      <c r="O95" s="1669"/>
      <c r="P95" s="1669"/>
      <c r="Q95" s="1669"/>
      <c r="R95" s="1388"/>
      <c r="S95" s="1659">
        <f>I95-K95</f>
        <v>0.19806386499485235</v>
      </c>
      <c r="T95" s="1659"/>
      <c r="U95" s="1659"/>
      <c r="V95" s="1659"/>
      <c r="W95" s="1659"/>
      <c r="X95" s="1609"/>
    </row>
    <row r="96" spans="1:30" ht="15.75" x14ac:dyDescent="0.25">
      <c r="A96" s="1670"/>
      <c r="B96" s="1378"/>
      <c r="C96" s="1642" t="s">
        <v>1824</v>
      </c>
      <c r="D96" s="1388" t="s">
        <v>1825</v>
      </c>
      <c r="E96" s="1378"/>
      <c r="F96" s="1378"/>
      <c r="G96" s="1671"/>
      <c r="H96" s="1378"/>
      <c r="I96" s="1671"/>
      <c r="J96" s="1378"/>
      <c r="L96" s="1378"/>
      <c r="M96" s="1643"/>
      <c r="N96" s="1643"/>
      <c r="O96" s="1643"/>
      <c r="P96" s="1643"/>
      <c r="Q96" s="1643"/>
      <c r="R96" s="1378"/>
      <c r="S96" s="1643"/>
      <c r="T96" s="1643"/>
      <c r="U96" s="1643"/>
      <c r="V96" s="1643"/>
      <c r="W96" s="1643"/>
      <c r="X96" s="1609"/>
    </row>
    <row r="97" spans="1:24" ht="15.75" x14ac:dyDescent="0.25">
      <c r="A97" s="1622"/>
      <c r="B97" s="1378"/>
      <c r="C97" s="1378"/>
      <c r="D97" s="1378" t="s">
        <v>1309</v>
      </c>
      <c r="E97" s="1378"/>
      <c r="F97" s="1625"/>
      <c r="G97" s="1375"/>
      <c r="H97" s="1625"/>
      <c r="I97" s="1375"/>
      <c r="J97" s="1625"/>
      <c r="K97" s="1376"/>
      <c r="L97" s="1625"/>
      <c r="M97" s="1672"/>
      <c r="N97" s="1376"/>
      <c r="O97" s="1376"/>
      <c r="P97" s="1376"/>
      <c r="Q97" s="1379"/>
      <c r="R97" s="1378"/>
      <c r="S97" s="1375">
        <f t="shared" ref="S97:S110" si="37">I97-K97</f>
        <v>0</v>
      </c>
      <c r="T97" s="1375">
        <f t="shared" ref="T97:T110" si="38">M97-Q97</f>
        <v>0</v>
      </c>
      <c r="U97" s="1375">
        <f t="shared" ref="U97:U110" si="39">M97-P97</f>
        <v>0</v>
      </c>
      <c r="V97" s="1375">
        <f t="shared" ref="V97:V110" si="40">M97-O97</f>
        <v>0</v>
      </c>
      <c r="W97" s="1375">
        <f t="shared" ref="W97:W110" si="41">Q97-K97</f>
        <v>0</v>
      </c>
      <c r="X97" s="1609"/>
    </row>
    <row r="98" spans="1:24" ht="15.75" x14ac:dyDescent="0.25">
      <c r="A98" s="1622"/>
      <c r="B98" s="1378"/>
      <c r="C98" s="1378"/>
      <c r="D98" s="1378" t="s">
        <v>1809</v>
      </c>
      <c r="E98" s="1378"/>
      <c r="F98" s="1625"/>
      <c r="G98" s="1375"/>
      <c r="H98" s="1625"/>
      <c r="I98" s="1375"/>
      <c r="J98" s="1625"/>
      <c r="K98" s="1376"/>
      <c r="L98" s="1625"/>
      <c r="M98" s="1672"/>
      <c r="N98" s="1376"/>
      <c r="O98" s="1376"/>
      <c r="P98" s="1376"/>
      <c r="Q98" s="1379"/>
      <c r="R98" s="1378"/>
      <c r="S98" s="1375">
        <f t="shared" si="37"/>
        <v>0</v>
      </c>
      <c r="T98" s="1375">
        <f t="shared" si="38"/>
        <v>0</v>
      </c>
      <c r="U98" s="1375">
        <f t="shared" si="39"/>
        <v>0</v>
      </c>
      <c r="V98" s="1375">
        <f t="shared" si="40"/>
        <v>0</v>
      </c>
      <c r="W98" s="1375">
        <f t="shared" si="41"/>
        <v>0</v>
      </c>
      <c r="X98" s="1609"/>
    </row>
    <row r="99" spans="1:24" ht="15.75" x14ac:dyDescent="0.25">
      <c r="A99" s="1622"/>
      <c r="B99" s="1378"/>
      <c r="C99" s="1378"/>
      <c r="D99" s="1378" t="s">
        <v>1588</v>
      </c>
      <c r="E99" s="1378"/>
      <c r="F99" s="1625"/>
      <c r="G99" s="1375"/>
      <c r="H99" s="1625"/>
      <c r="I99" s="1375"/>
      <c r="J99" s="1625"/>
      <c r="K99" s="1376"/>
      <c r="L99" s="1625"/>
      <c r="M99" s="1672"/>
      <c r="N99" s="1376"/>
      <c r="O99" s="1376"/>
      <c r="P99" s="1376"/>
      <c r="Q99" s="1379"/>
      <c r="R99" s="1378"/>
      <c r="S99" s="1375">
        <f t="shared" si="37"/>
        <v>0</v>
      </c>
      <c r="T99" s="1375">
        <f t="shared" si="38"/>
        <v>0</v>
      </c>
      <c r="U99" s="1375">
        <f t="shared" si="39"/>
        <v>0</v>
      </c>
      <c r="V99" s="1375">
        <f t="shared" si="40"/>
        <v>0</v>
      </c>
      <c r="W99" s="1375">
        <f t="shared" si="41"/>
        <v>0</v>
      </c>
      <c r="X99" s="1609"/>
    </row>
    <row r="100" spans="1:24" ht="15.75" x14ac:dyDescent="0.25">
      <c r="A100" s="1622"/>
      <c r="B100" s="1378"/>
      <c r="C100" s="1378"/>
      <c r="D100" s="1378" t="s">
        <v>1642</v>
      </c>
      <c r="E100" s="1378"/>
      <c r="F100" s="1625"/>
      <c r="G100" s="1375"/>
      <c r="H100" s="1625"/>
      <c r="I100" s="1375"/>
      <c r="J100" s="1625"/>
      <c r="K100" s="1376"/>
      <c r="L100" s="1625"/>
      <c r="M100" s="1672"/>
      <c r="N100" s="1376"/>
      <c r="O100" s="1376"/>
      <c r="P100" s="1376"/>
      <c r="Q100" s="1379"/>
      <c r="R100" s="1378"/>
      <c r="S100" s="1375">
        <f t="shared" si="37"/>
        <v>0</v>
      </c>
      <c r="T100" s="1375">
        <f t="shared" si="38"/>
        <v>0</v>
      </c>
      <c r="U100" s="1375">
        <f t="shared" si="39"/>
        <v>0</v>
      </c>
      <c r="V100" s="1375">
        <f t="shared" si="40"/>
        <v>0</v>
      </c>
      <c r="W100" s="1375">
        <f t="shared" si="41"/>
        <v>0</v>
      </c>
      <c r="X100" s="1609"/>
    </row>
    <row r="101" spans="1:24" ht="15.75" x14ac:dyDescent="0.25">
      <c r="A101" s="1622"/>
      <c r="B101" s="1378"/>
      <c r="C101" s="1378"/>
      <c r="D101" s="1378" t="s">
        <v>1826</v>
      </c>
      <c r="E101" s="1378"/>
      <c r="F101" s="1625"/>
      <c r="G101" s="1375"/>
      <c r="H101" s="1625"/>
      <c r="I101" s="1375"/>
      <c r="J101" s="1625"/>
      <c r="K101" s="1376"/>
      <c r="L101" s="1625"/>
      <c r="M101" s="1672"/>
      <c r="N101" s="1376"/>
      <c r="O101" s="1376"/>
      <c r="P101" s="1376"/>
      <c r="Q101" s="1379"/>
      <c r="R101" s="1378"/>
      <c r="S101" s="1375">
        <f t="shared" si="37"/>
        <v>0</v>
      </c>
      <c r="T101" s="1375">
        <f t="shared" si="38"/>
        <v>0</v>
      </c>
      <c r="U101" s="1375">
        <f t="shared" si="39"/>
        <v>0</v>
      </c>
      <c r="V101" s="1375">
        <f t="shared" si="40"/>
        <v>0</v>
      </c>
      <c r="W101" s="1375">
        <f t="shared" si="41"/>
        <v>0</v>
      </c>
      <c r="X101" s="1609"/>
    </row>
    <row r="102" spans="1:24" ht="15.75" x14ac:dyDescent="0.25">
      <c r="A102" s="1622"/>
      <c r="B102" s="1378"/>
      <c r="C102" s="1378"/>
      <c r="D102" s="1378" t="s">
        <v>1313</v>
      </c>
      <c r="E102" s="1378"/>
      <c r="F102" s="1625"/>
      <c r="G102" s="1375"/>
      <c r="H102" s="1625"/>
      <c r="I102" s="1375"/>
      <c r="J102" s="1625"/>
      <c r="K102" s="1376"/>
      <c r="L102" s="1625"/>
      <c r="M102" s="1672"/>
      <c r="N102" s="1376"/>
      <c r="O102" s="1376"/>
      <c r="P102" s="1376"/>
      <c r="Q102" s="1379"/>
      <c r="R102" s="1378"/>
      <c r="S102" s="1375">
        <f t="shared" si="37"/>
        <v>0</v>
      </c>
      <c r="T102" s="1375">
        <f t="shared" si="38"/>
        <v>0</v>
      </c>
      <c r="U102" s="1375">
        <f t="shared" si="39"/>
        <v>0</v>
      </c>
      <c r="V102" s="1375">
        <f t="shared" si="40"/>
        <v>0</v>
      </c>
      <c r="W102" s="1375">
        <f t="shared" si="41"/>
        <v>0</v>
      </c>
      <c r="X102" s="1609"/>
    </row>
    <row r="103" spans="1:24" ht="15.75" x14ac:dyDescent="0.25">
      <c r="A103" s="1622"/>
      <c r="B103" s="1378"/>
      <c r="C103" s="1378"/>
      <c r="D103" s="1378" t="s">
        <v>1827</v>
      </c>
      <c r="E103" s="1378"/>
      <c r="F103" s="1625"/>
      <c r="G103" s="1375"/>
      <c r="H103" s="1625"/>
      <c r="I103" s="1375"/>
      <c r="J103" s="1625"/>
      <c r="K103" s="1376"/>
      <c r="L103" s="1625"/>
      <c r="M103" s="1672"/>
      <c r="N103" s="1376"/>
      <c r="O103" s="1376"/>
      <c r="P103" s="1376"/>
      <c r="Q103" s="1379"/>
      <c r="R103" s="1378"/>
      <c r="S103" s="1375">
        <f t="shared" si="37"/>
        <v>0</v>
      </c>
      <c r="T103" s="1375">
        <f t="shared" si="38"/>
        <v>0</v>
      </c>
      <c r="U103" s="1375">
        <f t="shared" si="39"/>
        <v>0</v>
      </c>
      <c r="V103" s="1375">
        <f t="shared" si="40"/>
        <v>0</v>
      </c>
      <c r="W103" s="1375">
        <f t="shared" si="41"/>
        <v>0</v>
      </c>
      <c r="X103" s="1609"/>
    </row>
    <row r="104" spans="1:24" ht="15.75" x14ac:dyDescent="0.25">
      <c r="A104" s="1622"/>
      <c r="B104" s="1378"/>
      <c r="C104" s="1378"/>
      <c r="D104" s="1378" t="s">
        <v>1813</v>
      </c>
      <c r="E104" s="1378"/>
      <c r="F104" s="1625"/>
      <c r="G104" s="1375"/>
      <c r="H104" s="1625"/>
      <c r="I104" s="1375"/>
      <c r="J104" s="1625"/>
      <c r="K104" s="1376"/>
      <c r="L104" s="1625"/>
      <c r="M104" s="1672"/>
      <c r="N104" s="1376"/>
      <c r="O104" s="1376"/>
      <c r="P104" s="1376"/>
      <c r="Q104" s="1379"/>
      <c r="R104" s="1378"/>
      <c r="S104" s="1375">
        <f t="shared" si="37"/>
        <v>0</v>
      </c>
      <c r="T104" s="1375">
        <f t="shared" si="38"/>
        <v>0</v>
      </c>
      <c r="U104" s="1375">
        <f t="shared" si="39"/>
        <v>0</v>
      </c>
      <c r="V104" s="1375">
        <f t="shared" si="40"/>
        <v>0</v>
      </c>
      <c r="W104" s="1375">
        <f t="shared" si="41"/>
        <v>0</v>
      </c>
      <c r="X104" s="1609"/>
    </row>
    <row r="105" spans="1:24" ht="15.75" x14ac:dyDescent="0.25">
      <c r="A105" s="1622"/>
      <c r="B105" s="1378"/>
      <c r="C105" s="1378"/>
      <c r="D105" s="1378" t="s">
        <v>298</v>
      </c>
      <c r="E105" s="1378"/>
      <c r="F105" s="1625"/>
      <c r="G105" s="1375"/>
      <c r="H105" s="1625"/>
      <c r="I105" s="1375"/>
      <c r="J105" s="1625"/>
      <c r="K105" s="1376"/>
      <c r="L105" s="1625"/>
      <c r="M105" s="1672"/>
      <c r="N105" s="1376"/>
      <c r="O105" s="1376"/>
      <c r="P105" s="1376"/>
      <c r="Q105" s="1379"/>
      <c r="R105" s="1378"/>
      <c r="S105" s="1375">
        <f t="shared" si="37"/>
        <v>0</v>
      </c>
      <c r="T105" s="1375">
        <f t="shared" si="38"/>
        <v>0</v>
      </c>
      <c r="U105" s="1375">
        <f t="shared" si="39"/>
        <v>0</v>
      </c>
      <c r="V105" s="1375">
        <f t="shared" si="40"/>
        <v>0</v>
      </c>
      <c r="W105" s="1375">
        <f t="shared" si="41"/>
        <v>0</v>
      </c>
      <c r="X105" s="1609"/>
    </row>
    <row r="106" spans="1:24" ht="15.75" x14ac:dyDescent="0.25">
      <c r="A106" s="1622"/>
      <c r="B106" s="1378"/>
      <c r="C106" s="1378"/>
      <c r="D106" s="1378" t="s">
        <v>1828</v>
      </c>
      <c r="E106" s="1378"/>
      <c r="F106" s="1625"/>
      <c r="G106" s="1375"/>
      <c r="H106" s="1625"/>
      <c r="I106" s="1375"/>
      <c r="J106" s="1625"/>
      <c r="K106" s="1376"/>
      <c r="L106" s="1625"/>
      <c r="M106" s="1375"/>
      <c r="N106" s="1376"/>
      <c r="O106" s="1376"/>
      <c r="P106" s="1376"/>
      <c r="Q106" s="1376"/>
      <c r="R106" s="1378"/>
      <c r="S106" s="1375">
        <f t="shared" si="37"/>
        <v>0</v>
      </c>
      <c r="T106" s="1375">
        <f t="shared" si="38"/>
        <v>0</v>
      </c>
      <c r="U106" s="1375">
        <f t="shared" si="39"/>
        <v>0</v>
      </c>
      <c r="V106" s="1375">
        <f t="shared" si="40"/>
        <v>0</v>
      </c>
      <c r="W106" s="1375">
        <f t="shared" si="41"/>
        <v>0</v>
      </c>
      <c r="X106" s="1609"/>
    </row>
    <row r="107" spans="1:24" ht="15.75" x14ac:dyDescent="0.25">
      <c r="A107" s="1622"/>
      <c r="B107" s="1378"/>
      <c r="C107" s="1378"/>
      <c r="D107" s="1378" t="s">
        <v>1314</v>
      </c>
      <c r="E107" s="1378"/>
      <c r="F107" s="1625"/>
      <c r="G107" s="1375"/>
      <c r="H107" s="1625"/>
      <c r="I107" s="1375"/>
      <c r="J107" s="1625"/>
      <c r="K107" s="1376"/>
      <c r="L107" s="1625"/>
      <c r="M107" s="1672"/>
      <c r="N107" s="1376"/>
      <c r="O107" s="1376"/>
      <c r="P107" s="1376"/>
      <c r="Q107" s="1379"/>
      <c r="R107" s="1378"/>
      <c r="S107" s="1375">
        <f t="shared" si="37"/>
        <v>0</v>
      </c>
      <c r="T107" s="1375">
        <f t="shared" si="38"/>
        <v>0</v>
      </c>
      <c r="U107" s="1375">
        <f t="shared" si="39"/>
        <v>0</v>
      </c>
      <c r="V107" s="1375">
        <f t="shared" si="40"/>
        <v>0</v>
      </c>
      <c r="W107" s="1375">
        <f t="shared" si="41"/>
        <v>0</v>
      </c>
      <c r="X107" s="1609"/>
    </row>
    <row r="108" spans="1:24" ht="15.75" x14ac:dyDescent="0.25">
      <c r="A108" s="1622"/>
      <c r="B108" s="1378"/>
      <c r="C108" s="1378"/>
      <c r="D108" s="1378" t="s">
        <v>1829</v>
      </c>
      <c r="E108" s="1378"/>
      <c r="F108" s="1625"/>
      <c r="G108" s="1375"/>
      <c r="H108" s="1625"/>
      <c r="I108" s="1375"/>
      <c r="J108" s="1625"/>
      <c r="K108" s="1376"/>
      <c r="L108" s="1625"/>
      <c r="M108" s="1672"/>
      <c r="N108" s="1376"/>
      <c r="O108" s="1376"/>
      <c r="P108" s="1376"/>
      <c r="Q108" s="1379"/>
      <c r="R108" s="1378"/>
      <c r="S108" s="1375">
        <f t="shared" si="37"/>
        <v>0</v>
      </c>
      <c r="T108" s="1375">
        <f t="shared" si="38"/>
        <v>0</v>
      </c>
      <c r="U108" s="1375">
        <f t="shared" si="39"/>
        <v>0</v>
      </c>
      <c r="V108" s="1375">
        <f t="shared" si="40"/>
        <v>0</v>
      </c>
      <c r="W108" s="1375">
        <f t="shared" si="41"/>
        <v>0</v>
      </c>
      <c r="X108" s="1609"/>
    </row>
    <row r="109" spans="1:24" ht="15.75" x14ac:dyDescent="0.25">
      <c r="A109" s="1622"/>
      <c r="B109" s="1378"/>
      <c r="C109" s="1378"/>
      <c r="D109" s="1378" t="s">
        <v>1830</v>
      </c>
      <c r="E109" s="1378"/>
      <c r="F109" s="1625"/>
      <c r="G109" s="1375"/>
      <c r="H109" s="1625"/>
      <c r="I109" s="1375"/>
      <c r="J109" s="1625"/>
      <c r="K109" s="1376"/>
      <c r="L109" s="1625"/>
      <c r="M109" s="1672"/>
      <c r="N109" s="1379"/>
      <c r="O109" s="1379"/>
      <c r="P109" s="1379"/>
      <c r="Q109" s="1379"/>
      <c r="R109" s="1378"/>
      <c r="S109" s="1375">
        <f t="shared" si="37"/>
        <v>0</v>
      </c>
      <c r="T109" s="1375">
        <f t="shared" si="38"/>
        <v>0</v>
      </c>
      <c r="U109" s="1375">
        <f t="shared" si="39"/>
        <v>0</v>
      </c>
      <c r="V109" s="1375">
        <f t="shared" si="40"/>
        <v>0</v>
      </c>
      <c r="W109" s="1375">
        <f t="shared" si="41"/>
        <v>0</v>
      </c>
      <c r="X109" s="1609"/>
    </row>
    <row r="110" spans="1:24" ht="15.75" x14ac:dyDescent="0.25">
      <c r="A110" s="1622"/>
      <c r="B110" s="1378"/>
      <c r="C110" s="1378"/>
      <c r="D110" s="1378"/>
      <c r="E110" s="1378"/>
      <c r="F110" s="1378"/>
      <c r="G110" s="1656">
        <f>SUM(G85:G109)</f>
        <v>0.18896844128771836</v>
      </c>
      <c r="H110" s="1378"/>
      <c r="I110" s="1640">
        <f>SUM(I85:I109)</f>
        <v>2057.7288193302079</v>
      </c>
      <c r="J110" s="1378"/>
      <c r="K110" s="1640">
        <f>SUM(K97:K109)</f>
        <v>0</v>
      </c>
      <c r="L110" s="1378"/>
      <c r="M110" s="1640">
        <f t="shared" ref="M110:Q110" si="42">SUM(M97:M109)</f>
        <v>0</v>
      </c>
      <c r="N110" s="1640">
        <f t="shared" si="42"/>
        <v>0</v>
      </c>
      <c r="O110" s="1640">
        <f t="shared" si="42"/>
        <v>0</v>
      </c>
      <c r="P110" s="1640">
        <f t="shared" si="42"/>
        <v>0</v>
      </c>
      <c r="Q110" s="1640">
        <f t="shared" si="42"/>
        <v>0</v>
      </c>
      <c r="R110" s="1388"/>
      <c r="S110" s="1640">
        <f t="shared" si="37"/>
        <v>2057.7288193302079</v>
      </c>
      <c r="T110" s="1640">
        <f t="shared" si="38"/>
        <v>0</v>
      </c>
      <c r="U110" s="1640">
        <f t="shared" si="39"/>
        <v>0</v>
      </c>
      <c r="V110" s="1640">
        <f t="shared" si="40"/>
        <v>0</v>
      </c>
      <c r="W110" s="1640">
        <f t="shared" si="41"/>
        <v>0</v>
      </c>
      <c r="X110" s="1609"/>
    </row>
    <row r="111" spans="1:24" ht="15.75" x14ac:dyDescent="0.25">
      <c r="A111" s="1622"/>
      <c r="B111" s="1378"/>
      <c r="C111" s="1378"/>
      <c r="D111" s="1378"/>
      <c r="E111" s="1378"/>
      <c r="F111" s="1378"/>
      <c r="G111" s="1378"/>
      <c r="H111" s="1378"/>
      <c r="I111" s="1643"/>
      <c r="J111" s="1378"/>
      <c r="K111" s="1643"/>
      <c r="L111" s="1378"/>
      <c r="M111" s="1643"/>
      <c r="N111" s="1643"/>
      <c r="O111" s="1643"/>
      <c r="P111" s="1643"/>
      <c r="Q111" s="1643"/>
      <c r="R111" s="1378"/>
      <c r="S111" s="1643"/>
      <c r="T111" s="1643"/>
      <c r="U111" s="1643"/>
      <c r="V111" s="1643"/>
      <c r="W111" s="1643"/>
      <c r="X111" s="1609"/>
    </row>
    <row r="112" spans="1:24" ht="15.75" x14ac:dyDescent="0.25">
      <c r="A112" s="1622"/>
      <c r="B112" s="1378"/>
      <c r="C112" s="1378"/>
      <c r="D112" s="1378" t="s">
        <v>1831</v>
      </c>
      <c r="E112" s="1378"/>
      <c r="F112" s="1378"/>
      <c r="G112" s="1378"/>
      <c r="H112" s="1378"/>
      <c r="I112" s="1643"/>
      <c r="J112" s="1378"/>
      <c r="K112" s="1643"/>
      <c r="L112" s="1378"/>
      <c r="M112" s="1643"/>
      <c r="N112" s="1643"/>
      <c r="O112" s="1643"/>
      <c r="P112" s="1643"/>
      <c r="Q112" s="1643"/>
      <c r="R112" s="1378"/>
      <c r="S112" s="1643"/>
      <c r="T112" s="1643"/>
      <c r="U112" s="1643"/>
      <c r="V112" s="1643"/>
      <c r="W112" s="1643"/>
      <c r="X112" s="1609"/>
    </row>
    <row r="113" spans="1:24" ht="15.75" x14ac:dyDescent="0.25">
      <c r="A113" s="1622"/>
      <c r="B113" s="1378"/>
      <c r="C113" s="1378"/>
      <c r="D113" s="1378" t="s">
        <v>1832</v>
      </c>
      <c r="E113" s="1378"/>
      <c r="F113" s="1378"/>
      <c r="G113" s="1380"/>
      <c r="H113" s="1378"/>
      <c r="I113" s="1380"/>
      <c r="J113" s="1378"/>
      <c r="K113" s="1380"/>
      <c r="L113" s="1378"/>
      <c r="M113" s="1380"/>
      <c r="N113" s="1380"/>
      <c r="O113" s="1380"/>
      <c r="P113" s="1380"/>
      <c r="Q113" s="1380"/>
      <c r="R113" s="1378"/>
      <c r="S113" s="1380"/>
      <c r="T113" s="1380"/>
      <c r="U113" s="1380"/>
      <c r="V113" s="1380"/>
      <c r="W113" s="1380"/>
      <c r="X113" s="1609"/>
    </row>
    <row r="114" spans="1:24" ht="15.75" x14ac:dyDescent="0.25">
      <c r="A114" s="1622"/>
      <c r="B114" s="1378"/>
      <c r="C114" s="1378"/>
      <c r="D114" s="1378"/>
      <c r="E114" s="1378"/>
      <c r="F114" s="1378"/>
      <c r="G114" s="1673"/>
      <c r="H114" s="1378"/>
      <c r="I114" s="1673"/>
      <c r="J114" s="1378"/>
      <c r="K114" s="1673"/>
      <c r="L114" s="1378"/>
      <c r="M114" s="1673"/>
      <c r="N114" s="1673"/>
      <c r="O114" s="1673"/>
      <c r="P114" s="1673"/>
      <c r="Q114" s="1673"/>
      <c r="R114" s="1378"/>
      <c r="S114" s="1673"/>
      <c r="T114" s="1673"/>
      <c r="U114" s="1673"/>
      <c r="V114" s="1673"/>
      <c r="W114" s="1673"/>
      <c r="X114" s="1609"/>
    </row>
    <row r="115" spans="1:24" ht="16.5" thickBot="1" x14ac:dyDescent="0.3">
      <c r="A115" s="1622"/>
      <c r="B115" s="1378"/>
      <c r="C115" s="1378"/>
      <c r="D115" s="1378" t="s">
        <v>1833</v>
      </c>
      <c r="E115" s="1378"/>
      <c r="F115" s="1378"/>
      <c r="G115" s="1664"/>
      <c r="H115" s="1378"/>
      <c r="I115" s="1664"/>
      <c r="J115" s="1378"/>
      <c r="K115" s="1664"/>
      <c r="L115" s="1378"/>
      <c r="M115" s="1664"/>
      <c r="N115" s="1664">
        <f>N65-N94-N110+N113</f>
        <v>0</v>
      </c>
      <c r="O115" s="1664"/>
      <c r="P115" s="1664"/>
      <c r="Q115" s="1664">
        <f>Q65-Q94-Q110+Q113</f>
        <v>0</v>
      </c>
      <c r="R115" s="1388"/>
      <c r="S115" s="1664"/>
      <c r="T115" s="1664"/>
      <c r="U115" s="1664"/>
      <c r="V115" s="1664"/>
      <c r="W115" s="1664"/>
      <c r="X115" s="1609"/>
    </row>
    <row r="116" spans="1:24" ht="16.5" thickTop="1" x14ac:dyDescent="0.25">
      <c r="A116" s="1622"/>
      <c r="B116" s="1378"/>
      <c r="C116" s="1378"/>
      <c r="D116" s="1378"/>
      <c r="E116" s="1378"/>
      <c r="F116" s="1378"/>
      <c r="G116" s="1378"/>
      <c r="H116" s="1378"/>
      <c r="I116" s="1378"/>
      <c r="J116" s="1378"/>
      <c r="K116" s="1378"/>
      <c r="L116" s="1378"/>
      <c r="M116" s="1378"/>
      <c r="N116" s="1378"/>
      <c r="O116" s="1378"/>
      <c r="P116" s="1378"/>
      <c r="Q116" s="1378"/>
      <c r="R116" s="1378"/>
      <c r="S116" s="1378"/>
      <c r="T116" s="1378"/>
      <c r="U116" s="1378"/>
      <c r="V116" s="1378"/>
      <c r="W116" s="1378"/>
      <c r="X116" s="1609"/>
    </row>
    <row r="117" spans="1:24" ht="15.75" x14ac:dyDescent="0.25">
      <c r="A117" s="1674"/>
      <c r="B117" s="1378"/>
      <c r="C117" s="1675" t="s">
        <v>1545</v>
      </c>
      <c r="D117" s="1855" t="s">
        <v>1834</v>
      </c>
      <c r="E117" s="1860"/>
      <c r="F117" s="1860"/>
      <c r="G117" s="1860"/>
      <c r="H117" s="1860"/>
      <c r="I117" s="1860"/>
      <c r="J117" s="1860"/>
      <c r="K117" s="1860"/>
      <c r="L117" s="1860"/>
      <c r="M117" s="1860"/>
      <c r="N117" s="1860"/>
      <c r="O117" s="1860"/>
      <c r="P117" s="1860"/>
      <c r="Q117" s="1860"/>
      <c r="R117" s="1378"/>
      <c r="S117" s="1378"/>
      <c r="T117" s="1378"/>
      <c r="U117" s="1378"/>
      <c r="V117" s="1378"/>
      <c r="W117" s="1378"/>
      <c r="X117" s="1609"/>
    </row>
    <row r="118" spans="1:24" ht="15.75" x14ac:dyDescent="0.25">
      <c r="A118" s="1670"/>
      <c r="B118" s="1378"/>
      <c r="C118" s="1378"/>
      <c r="D118" s="1860"/>
      <c r="E118" s="1860"/>
      <c r="F118" s="1860"/>
      <c r="G118" s="1860"/>
      <c r="H118" s="1860"/>
      <c r="I118" s="1860"/>
      <c r="J118" s="1860"/>
      <c r="K118" s="1860"/>
      <c r="L118" s="1860"/>
      <c r="M118" s="1860"/>
      <c r="N118" s="1860"/>
      <c r="O118" s="1860"/>
      <c r="P118" s="1860"/>
      <c r="Q118" s="1860"/>
      <c r="R118" s="1378"/>
      <c r="S118" s="1378"/>
      <c r="T118" s="1378"/>
      <c r="U118" s="1378"/>
      <c r="V118" s="1378"/>
      <c r="W118" s="1378"/>
      <c r="X118" s="1609"/>
    </row>
    <row r="119" spans="1:24" ht="15.75" x14ac:dyDescent="0.25">
      <c r="A119" s="1676"/>
      <c r="B119" s="1677"/>
      <c r="C119" s="1677"/>
      <c r="D119" s="1677"/>
      <c r="E119" s="1677"/>
      <c r="F119" s="1677"/>
      <c r="G119" s="1677"/>
      <c r="H119" s="1677"/>
      <c r="I119" s="1677"/>
      <c r="J119" s="1677"/>
      <c r="K119" s="1677"/>
      <c r="L119" s="1677"/>
      <c r="M119" s="1677"/>
      <c r="N119" s="1677"/>
      <c r="O119" s="1677"/>
      <c r="P119" s="1677"/>
      <c r="Q119" s="1677"/>
      <c r="R119" s="1677"/>
      <c r="S119" s="1378"/>
      <c r="T119" s="1378"/>
      <c r="U119" s="1378"/>
      <c r="V119" s="1378"/>
      <c r="W119" s="1378"/>
      <c r="X119" s="1609"/>
    </row>
    <row r="120" spans="1:24" ht="15.75" hidden="1" x14ac:dyDescent="0.25">
      <c r="A120" s="1676"/>
      <c r="B120" s="1677"/>
      <c r="C120" s="1677"/>
      <c r="D120" s="1677"/>
      <c r="E120" s="1677"/>
      <c r="F120" s="1677"/>
      <c r="G120" s="1677"/>
      <c r="H120" s="1677"/>
      <c r="I120" s="1677"/>
      <c r="J120" s="1677"/>
      <c r="K120" s="1677"/>
      <c r="L120" s="1677"/>
      <c r="M120" s="1677"/>
      <c r="N120" s="1677"/>
      <c r="O120" s="1677"/>
      <c r="P120" s="1677"/>
      <c r="Q120" s="1677"/>
      <c r="R120" s="1677"/>
      <c r="S120" s="1378"/>
      <c r="T120" s="1378"/>
      <c r="U120" s="1378"/>
      <c r="V120" s="1378"/>
      <c r="W120" s="1378"/>
      <c r="X120" s="1609"/>
    </row>
    <row r="121" spans="1:24" ht="18" hidden="1" x14ac:dyDescent="0.4">
      <c r="A121" s="1614">
        <v>22.3</v>
      </c>
      <c r="B121" s="1678"/>
      <c r="C121" s="1678" t="s">
        <v>1835</v>
      </c>
      <c r="D121" s="1678"/>
      <c r="E121" s="1678"/>
      <c r="F121" s="1678"/>
      <c r="G121" s="1678"/>
      <c r="H121" s="1678"/>
      <c r="I121" s="1678"/>
      <c r="J121" s="1678"/>
      <c r="K121" s="1678"/>
      <c r="L121" s="1678"/>
      <c r="M121" s="1678"/>
      <c r="N121" s="1678"/>
      <c r="O121" s="1678"/>
      <c r="P121" s="1678"/>
      <c r="Q121" s="1678"/>
      <c r="R121" s="1677"/>
      <c r="S121" s="1378"/>
      <c r="T121" s="1378"/>
      <c r="U121" s="1378"/>
      <c r="V121" s="1378"/>
      <c r="W121" s="1378"/>
      <c r="X121" s="1609"/>
    </row>
    <row r="122" spans="1:24" ht="15.75" hidden="1" x14ac:dyDescent="0.25">
      <c r="A122" s="1676"/>
      <c r="B122" s="1677"/>
      <c r="C122" s="1677"/>
      <c r="D122" s="1677"/>
      <c r="E122" s="1677"/>
      <c r="F122" s="1677"/>
      <c r="G122" s="1677"/>
      <c r="H122" s="1677"/>
      <c r="I122" s="1677"/>
      <c r="J122" s="1677"/>
      <c r="K122" s="1677"/>
      <c r="L122" s="1677"/>
      <c r="M122" s="1679"/>
      <c r="N122" s="1679"/>
      <c r="O122" s="1679"/>
      <c r="P122" s="1679"/>
      <c r="Q122" s="1679"/>
      <c r="R122" s="1679"/>
      <c r="S122" s="1378"/>
      <c r="T122" s="1378"/>
      <c r="U122" s="1378"/>
      <c r="V122" s="1378"/>
      <c r="W122" s="1378"/>
      <c r="X122" s="1609"/>
    </row>
    <row r="123" spans="1:24" ht="15.75" hidden="1" x14ac:dyDescent="0.25">
      <c r="A123" s="1676"/>
      <c r="B123" s="1677"/>
      <c r="C123" s="1677"/>
      <c r="D123" s="1677"/>
      <c r="E123" s="1677"/>
      <c r="F123" s="1677"/>
      <c r="G123" s="1677"/>
      <c r="H123" s="1677"/>
      <c r="I123" s="1856" t="str">
        <f>IF(OR(LEN('[27]פרטים על התאגיד'!$G$13)&gt;4, LEN('[27]פרטים על התאגיד'!$G$11)&gt;4), "לתקופה", " לשנה שנסתיימה ביום 31 בדצמבר")</f>
        <v xml:space="preserve"> לשנה שנסתיימה ביום 31 בדצמבר</v>
      </c>
      <c r="J123" s="1856"/>
      <c r="K123" s="1856"/>
      <c r="L123" s="1856"/>
      <c r="M123" s="1856"/>
      <c r="N123" s="1856"/>
      <c r="O123" s="1856"/>
      <c r="P123" s="1856"/>
      <c r="Q123" s="1856"/>
      <c r="R123" s="1856"/>
      <c r="S123" s="1856"/>
      <c r="T123" s="1680"/>
      <c r="U123" s="1681"/>
      <c r="V123" s="1681"/>
      <c r="W123" s="1378"/>
      <c r="X123" s="1609"/>
    </row>
    <row r="124" spans="1:24" ht="15.75" hidden="1" x14ac:dyDescent="0.25">
      <c r="A124" s="1676"/>
      <c r="B124" s="1677"/>
      <c r="C124" s="1677"/>
      <c r="D124" s="1677"/>
      <c r="E124" s="1677"/>
      <c r="F124" s="1677"/>
      <c r="G124" s="1677"/>
      <c r="H124" s="1677"/>
      <c r="I124" s="1682" t="s">
        <v>1836</v>
      </c>
      <c r="J124" s="1677"/>
      <c r="K124" s="1682" t="s">
        <v>1837</v>
      </c>
      <c r="L124" s="1677"/>
      <c r="M124" s="1682" t="s">
        <v>1838</v>
      </c>
      <c r="N124" s="1682" t="s">
        <v>1838</v>
      </c>
      <c r="O124" s="1682"/>
      <c r="P124" s="1682"/>
      <c r="Q124" s="1682" t="s">
        <v>1838</v>
      </c>
      <c r="R124" s="1683"/>
      <c r="S124" s="1682" t="s">
        <v>194</v>
      </c>
      <c r="T124" s="1682" t="s">
        <v>194</v>
      </c>
      <c r="U124" s="1684"/>
      <c r="V124" s="1684"/>
      <c r="W124" s="1378"/>
      <c r="X124" s="1609"/>
    </row>
    <row r="125" spans="1:24" ht="15.75" hidden="1" x14ac:dyDescent="0.25">
      <c r="A125" s="1676"/>
      <c r="B125" s="1677"/>
      <c r="C125" s="1677"/>
      <c r="D125" s="1677"/>
      <c r="E125" s="1677" t="s">
        <v>1839</v>
      </c>
      <c r="F125" s="1677"/>
      <c r="G125" s="1677"/>
      <c r="H125" s="1677"/>
      <c r="I125" s="1381"/>
      <c r="J125" s="1677"/>
      <c r="K125" s="1381"/>
      <c r="L125" s="1677"/>
      <c r="M125" s="1381"/>
      <c r="N125" s="1381"/>
      <c r="O125" s="1381"/>
      <c r="P125" s="1381"/>
      <c r="Q125" s="1381"/>
      <c r="R125" s="1378"/>
      <c r="S125" s="1381"/>
      <c r="T125" s="1381"/>
      <c r="U125" s="1374"/>
      <c r="V125" s="1374"/>
      <c r="W125" s="1378"/>
      <c r="X125" s="1609"/>
    </row>
    <row r="126" spans="1:24" ht="15.75" hidden="1" x14ac:dyDescent="0.25">
      <c r="A126" s="1676"/>
      <c r="B126" s="1677"/>
      <c r="C126" s="1677"/>
      <c r="D126" s="1677"/>
      <c r="E126" s="1677" t="s">
        <v>1840</v>
      </c>
      <c r="F126" s="1677"/>
      <c r="G126" s="1677"/>
      <c r="H126" s="1677"/>
      <c r="I126" s="1382"/>
      <c r="J126" s="1677"/>
      <c r="K126" s="1382"/>
      <c r="L126" s="1677"/>
      <c r="M126" s="1382"/>
      <c r="N126" s="1382"/>
      <c r="O126" s="1382"/>
      <c r="P126" s="1382"/>
      <c r="Q126" s="1382"/>
      <c r="R126" s="1378"/>
      <c r="S126" s="1382"/>
      <c r="T126" s="1382"/>
      <c r="U126" s="1374"/>
      <c r="V126" s="1374"/>
      <c r="W126" s="1378"/>
      <c r="X126" s="1609"/>
    </row>
    <row r="127" spans="1:24" ht="16.5" hidden="1" thickBot="1" x14ac:dyDescent="0.3">
      <c r="A127" s="1676"/>
      <c r="B127" s="1677"/>
      <c r="C127" s="1677"/>
      <c r="D127" s="1677"/>
      <c r="E127" s="1677" t="s">
        <v>164</v>
      </c>
      <c r="F127" s="1677"/>
      <c r="G127" s="1677"/>
      <c r="H127" s="1677"/>
      <c r="I127" s="1664"/>
      <c r="J127" s="1677"/>
      <c r="K127" s="1664"/>
      <c r="L127" s="1677"/>
      <c r="M127" s="1664">
        <f>M125-M126</f>
        <v>0</v>
      </c>
      <c r="N127" s="1664">
        <f>N125-N126</f>
        <v>0</v>
      </c>
      <c r="O127" s="1664"/>
      <c r="P127" s="1664"/>
      <c r="Q127" s="1664">
        <f>Q125-Q126</f>
        <v>0</v>
      </c>
      <c r="R127" s="1388"/>
      <c r="S127" s="1664"/>
      <c r="T127" s="1664"/>
      <c r="U127" s="1669"/>
      <c r="V127" s="1669"/>
      <c r="W127" s="1378"/>
      <c r="X127" s="1609"/>
    </row>
    <row r="128" spans="1:24" ht="15.75" hidden="1" x14ac:dyDescent="0.25">
      <c r="A128" s="1676"/>
      <c r="B128" s="1677"/>
      <c r="C128" s="1677"/>
      <c r="D128" s="1677"/>
      <c r="E128" s="1677"/>
      <c r="F128" s="1677"/>
      <c r="G128" s="1677"/>
      <c r="H128" s="1677"/>
      <c r="I128" s="1677"/>
      <c r="J128" s="1677"/>
      <c r="K128" s="1677"/>
      <c r="L128" s="1677"/>
      <c r="M128" s="1677"/>
      <c r="N128" s="1677"/>
      <c r="O128" s="1677"/>
      <c r="P128" s="1677"/>
      <c r="Q128" s="1677"/>
      <c r="R128" s="1677"/>
      <c r="S128" s="1378"/>
      <c r="T128" s="1378"/>
      <c r="U128" s="1378"/>
      <c r="V128" s="1378"/>
      <c r="W128" s="1378"/>
      <c r="X128" s="1609"/>
    </row>
    <row r="129" spans="1:24" ht="15.75" hidden="1" x14ac:dyDescent="0.25">
      <c r="A129" s="1676"/>
      <c r="B129" s="1677"/>
      <c r="C129" s="1677"/>
      <c r="D129" s="1677"/>
      <c r="E129" s="1677"/>
      <c r="F129" s="1677"/>
      <c r="G129" s="1677"/>
      <c r="H129" s="1677"/>
      <c r="I129" s="1677"/>
      <c r="J129" s="1677"/>
      <c r="K129" s="1677"/>
      <c r="L129" s="1677"/>
      <c r="M129" s="1677"/>
      <c r="N129" s="1677"/>
      <c r="O129" s="1677"/>
      <c r="P129" s="1677"/>
      <c r="Q129" s="1677"/>
      <c r="R129" s="1677"/>
      <c r="S129" s="1378"/>
      <c r="T129" s="1378"/>
      <c r="U129" s="1378"/>
      <c r="V129" s="1378"/>
      <c r="W129" s="1378"/>
      <c r="X129" s="1609"/>
    </row>
    <row r="130" spans="1:24" ht="18" hidden="1" x14ac:dyDescent="0.4">
      <c r="A130" s="1614">
        <v>22.4</v>
      </c>
      <c r="B130" s="1677"/>
      <c r="C130" s="1678" t="s">
        <v>1841</v>
      </c>
      <c r="D130" s="1678"/>
      <c r="E130" s="1678"/>
      <c r="F130" s="1677"/>
      <c r="G130" s="1677"/>
      <c r="H130" s="1677"/>
      <c r="I130" s="1856" t="str">
        <f>IF(OR(LEN('[27]פרטים על התאגיד'!$G$13)&gt;4, LEN('[27]פרטים על התאגיד'!$G$11)&gt;4), "לתקופה", " לשנה שנסתיימה ביום 31 בדצמבר")</f>
        <v xml:space="preserve"> לשנה שנסתיימה ביום 31 בדצמבר</v>
      </c>
      <c r="J130" s="1856"/>
      <c r="K130" s="1856"/>
      <c r="L130" s="1856"/>
      <c r="M130" s="1856"/>
      <c r="N130" s="1856"/>
      <c r="O130" s="1856"/>
      <c r="P130" s="1856"/>
      <c r="Q130" s="1856"/>
      <c r="R130" s="1856"/>
      <c r="S130" s="1856"/>
      <c r="T130" s="1680"/>
      <c r="U130" s="1681"/>
      <c r="V130" s="1681"/>
      <c r="W130" s="1378"/>
      <c r="X130" s="1609"/>
    </row>
    <row r="131" spans="1:24" ht="15.75" hidden="1" x14ac:dyDescent="0.25">
      <c r="A131" s="1676"/>
      <c r="B131" s="1677"/>
      <c r="C131" s="1677"/>
      <c r="D131" s="1677"/>
      <c r="E131" s="1685"/>
      <c r="F131" s="1677"/>
      <c r="G131" s="1677"/>
      <c r="H131" s="1677"/>
      <c r="I131" s="1682" t="s">
        <v>1836</v>
      </c>
      <c r="J131" s="1677"/>
      <c r="K131" s="1682" t="s">
        <v>1837</v>
      </c>
      <c r="L131" s="1677"/>
      <c r="M131" s="1682" t="s">
        <v>1838</v>
      </c>
      <c r="N131" s="1682" t="s">
        <v>1838</v>
      </c>
      <c r="O131" s="1682"/>
      <c r="P131" s="1682"/>
      <c r="Q131" s="1682" t="s">
        <v>1838</v>
      </c>
      <c r="R131" s="1683"/>
      <c r="S131" s="1682" t="s">
        <v>194</v>
      </c>
      <c r="T131" s="1682" t="s">
        <v>194</v>
      </c>
      <c r="U131" s="1684"/>
      <c r="V131" s="1684"/>
      <c r="W131" s="1378"/>
      <c r="X131" s="1609"/>
    </row>
    <row r="132" spans="1:24" ht="15.75" hidden="1" x14ac:dyDescent="0.25">
      <c r="A132" s="1676"/>
      <c r="B132" s="1677"/>
      <c r="C132" s="1677"/>
      <c r="D132" s="1677" t="s">
        <v>1842</v>
      </c>
      <c r="E132" s="1685" t="s">
        <v>1843</v>
      </c>
      <c r="F132" s="1677"/>
      <c r="G132" s="1677"/>
      <c r="H132" s="1677"/>
      <c r="I132" s="1677"/>
      <c r="J132" s="1677"/>
      <c r="K132" s="1677"/>
      <c r="L132" s="1677"/>
      <c r="M132" s="1638"/>
      <c r="N132" s="1638"/>
      <c r="O132" s="1638"/>
      <c r="P132" s="1638"/>
      <c r="Q132" s="1638"/>
      <c r="R132" s="1638"/>
      <c r="S132" s="1378"/>
      <c r="T132" s="1378"/>
      <c r="U132" s="1378"/>
      <c r="V132" s="1378"/>
      <c r="W132" s="1378"/>
      <c r="X132" s="1609"/>
    </row>
    <row r="133" spans="1:24" ht="15.75" hidden="1" x14ac:dyDescent="0.25">
      <c r="A133" s="1676"/>
      <c r="B133" s="1677"/>
      <c r="C133" s="1677"/>
      <c r="D133" s="1677"/>
      <c r="E133" s="1677" t="s">
        <v>1844</v>
      </c>
      <c r="F133" s="1677"/>
      <c r="G133" s="1677"/>
      <c r="H133" s="1677"/>
      <c r="I133" s="1381"/>
      <c r="J133" s="1677"/>
      <c r="K133" s="1381"/>
      <c r="L133" s="1677"/>
      <c r="M133" s="1381"/>
      <c r="N133" s="1381"/>
      <c r="O133" s="1381"/>
      <c r="P133" s="1381"/>
      <c r="Q133" s="1381"/>
      <c r="R133" s="1378"/>
      <c r="S133" s="1381"/>
      <c r="T133" s="1381"/>
      <c r="U133" s="1374"/>
      <c r="V133" s="1374"/>
      <c r="W133" s="1378"/>
      <c r="X133" s="1609"/>
    </row>
    <row r="134" spans="1:24" ht="15.75" hidden="1" x14ac:dyDescent="0.25">
      <c r="A134" s="1676"/>
      <c r="B134" s="1677"/>
      <c r="C134" s="1677"/>
      <c r="D134" s="1677"/>
      <c r="E134" s="1677" t="s">
        <v>1845</v>
      </c>
      <c r="F134" s="1677"/>
      <c r="G134" s="1677"/>
      <c r="H134" s="1677"/>
      <c r="I134" s="1376"/>
      <c r="J134" s="1677"/>
      <c r="K134" s="1376"/>
      <c r="L134" s="1677"/>
      <c r="M134" s="1376"/>
      <c r="N134" s="1376"/>
      <c r="O134" s="1376"/>
      <c r="P134" s="1376"/>
      <c r="Q134" s="1376"/>
      <c r="R134" s="1378"/>
      <c r="S134" s="1376"/>
      <c r="T134" s="1376"/>
      <c r="U134" s="1374"/>
      <c r="V134" s="1374"/>
      <c r="W134" s="1378"/>
      <c r="X134" s="1609"/>
    </row>
    <row r="135" spans="1:24" ht="15.75" hidden="1" x14ac:dyDescent="0.25">
      <c r="A135" s="1676"/>
      <c r="B135" s="1677"/>
      <c r="C135" s="1677"/>
      <c r="D135" s="1677"/>
      <c r="E135" s="1378" t="s">
        <v>1830</v>
      </c>
      <c r="F135" s="1677"/>
      <c r="G135" s="1677"/>
      <c r="H135" s="1677"/>
      <c r="I135" s="1376"/>
      <c r="J135" s="1677"/>
      <c r="K135" s="1376"/>
      <c r="L135" s="1677"/>
      <c r="M135" s="1376"/>
      <c r="N135" s="1376"/>
      <c r="O135" s="1376"/>
      <c r="P135" s="1376"/>
      <c r="Q135" s="1376"/>
      <c r="R135" s="1378"/>
      <c r="S135" s="1376"/>
      <c r="T135" s="1376"/>
      <c r="U135" s="1374"/>
      <c r="V135" s="1374"/>
      <c r="W135" s="1378"/>
      <c r="X135" s="1609"/>
    </row>
    <row r="136" spans="1:24" ht="15.75" hidden="1" x14ac:dyDescent="0.25">
      <c r="A136" s="1676"/>
      <c r="B136" s="1677"/>
      <c r="C136" s="1677"/>
      <c r="D136" s="1677"/>
      <c r="E136" s="1378" t="s">
        <v>1830</v>
      </c>
      <c r="F136" s="1677"/>
      <c r="G136" s="1677"/>
      <c r="H136" s="1677"/>
      <c r="I136" s="1382"/>
      <c r="J136" s="1677"/>
      <c r="K136" s="1382"/>
      <c r="L136" s="1677"/>
      <c r="M136" s="1382"/>
      <c r="N136" s="1382"/>
      <c r="O136" s="1382"/>
      <c r="P136" s="1382"/>
      <c r="Q136" s="1382"/>
      <c r="R136" s="1378"/>
      <c r="S136" s="1382"/>
      <c r="T136" s="1382"/>
      <c r="U136" s="1374"/>
      <c r="V136" s="1374"/>
      <c r="W136" s="1378"/>
      <c r="X136" s="1609"/>
    </row>
    <row r="137" spans="1:24" ht="16.5" hidden="1" thickBot="1" x14ac:dyDescent="0.3">
      <c r="A137" s="1676"/>
      <c r="B137" s="1677"/>
      <c r="C137" s="1686"/>
      <c r="D137" s="1686"/>
      <c r="E137" s="1677" t="s">
        <v>164</v>
      </c>
      <c r="F137" s="1686"/>
      <c r="G137" s="1686"/>
      <c r="H137" s="1686"/>
      <c r="I137" s="1664"/>
      <c r="J137" s="1686"/>
      <c r="K137" s="1664"/>
      <c r="L137" s="1686"/>
      <c r="M137" s="1664">
        <f>SUM(M133:M136)</f>
        <v>0</v>
      </c>
      <c r="N137" s="1664">
        <f>SUM(N133:N136)</f>
        <v>0</v>
      </c>
      <c r="O137" s="1664"/>
      <c r="P137" s="1664"/>
      <c r="Q137" s="1664">
        <f>SUM(Q133:Q136)</f>
        <v>0</v>
      </c>
      <c r="R137" s="1388"/>
      <c r="S137" s="1664"/>
      <c r="T137" s="1664"/>
      <c r="U137" s="1669"/>
      <c r="V137" s="1669"/>
      <c r="W137" s="1378"/>
      <c r="X137" s="1609"/>
    </row>
    <row r="138" spans="1:24" ht="15.75" hidden="1" x14ac:dyDescent="0.25">
      <c r="A138" s="1676"/>
      <c r="B138" s="1677"/>
      <c r="C138" s="1677"/>
      <c r="D138" s="1677"/>
      <c r="E138" s="1677"/>
      <c r="F138" s="1677"/>
      <c r="G138" s="1677"/>
      <c r="H138" s="1677"/>
      <c r="I138" s="1677"/>
      <c r="J138" s="1677"/>
      <c r="K138" s="1677"/>
      <c r="L138" s="1677"/>
      <c r="M138" s="1677"/>
      <c r="N138" s="1677"/>
      <c r="O138" s="1677"/>
      <c r="P138" s="1677"/>
      <c r="Q138" s="1677"/>
      <c r="R138" s="1677"/>
      <c r="S138" s="1378"/>
      <c r="T138" s="1378"/>
      <c r="U138" s="1378"/>
      <c r="V138" s="1378"/>
      <c r="W138" s="1378"/>
      <c r="X138" s="1609"/>
    </row>
    <row r="139" spans="1:24" ht="15.75" hidden="1" x14ac:dyDescent="0.25">
      <c r="A139" s="1676"/>
      <c r="B139" s="1677"/>
      <c r="C139" s="1677"/>
      <c r="D139" s="1677"/>
      <c r="E139" s="1677"/>
      <c r="F139" s="1677"/>
      <c r="G139" s="1677"/>
      <c r="H139" s="1677"/>
      <c r="I139" s="1677"/>
      <c r="J139" s="1677"/>
      <c r="K139" s="1677"/>
      <c r="L139" s="1677"/>
      <c r="M139" s="1677"/>
      <c r="N139" s="1677"/>
      <c r="O139" s="1677"/>
      <c r="P139" s="1677"/>
      <c r="Q139" s="1677"/>
      <c r="R139" s="1677"/>
      <c r="S139" s="1378"/>
      <c r="T139" s="1378"/>
      <c r="U139" s="1378"/>
      <c r="V139" s="1378"/>
      <c r="W139" s="1378"/>
      <c r="X139" s="1609"/>
    </row>
    <row r="140" spans="1:24" ht="15.75" hidden="1" x14ac:dyDescent="0.25">
      <c r="A140" s="1687"/>
      <c r="B140" s="1677"/>
      <c r="C140" s="1678"/>
      <c r="D140" s="1678"/>
      <c r="E140" s="1678"/>
      <c r="F140" s="1677"/>
      <c r="G140" s="1677"/>
      <c r="H140" s="1677"/>
      <c r="I140" s="1856" t="str">
        <f>IF(OR(LEN('[27]פרטים על התאגיד'!$G$13)&gt;4, LEN('[27]פרטים על התאגיד'!$G$11)&gt;4), "לתקופה", " לשנה שנסתיימה ביום 31 בדצמבר")</f>
        <v xml:space="preserve"> לשנה שנסתיימה ביום 31 בדצמבר</v>
      </c>
      <c r="J140" s="1856"/>
      <c r="K140" s="1856"/>
      <c r="L140" s="1856"/>
      <c r="M140" s="1856"/>
      <c r="N140" s="1856"/>
      <c r="O140" s="1856"/>
      <c r="P140" s="1856"/>
      <c r="Q140" s="1856"/>
      <c r="R140" s="1856"/>
      <c r="S140" s="1856"/>
      <c r="T140" s="1680"/>
      <c r="U140" s="1681"/>
      <c r="V140" s="1681"/>
      <c r="W140" s="1378"/>
      <c r="X140" s="1609"/>
    </row>
    <row r="141" spans="1:24" ht="15.75" hidden="1" x14ac:dyDescent="0.25">
      <c r="A141" s="1676"/>
      <c r="B141" s="1677"/>
      <c r="C141" s="1677"/>
      <c r="D141" s="1677"/>
      <c r="E141" s="1677"/>
      <c r="F141" s="1677"/>
      <c r="G141" s="1677"/>
      <c r="H141" s="1677"/>
      <c r="I141" s="1682" t="s">
        <v>1836</v>
      </c>
      <c r="J141" s="1677"/>
      <c r="K141" s="1682" t="s">
        <v>1837</v>
      </c>
      <c r="L141" s="1677"/>
      <c r="M141" s="1682" t="s">
        <v>1838</v>
      </c>
      <c r="N141" s="1682" t="s">
        <v>1838</v>
      </c>
      <c r="O141" s="1682"/>
      <c r="P141" s="1682"/>
      <c r="Q141" s="1682" t="s">
        <v>1838</v>
      </c>
      <c r="R141" s="1683"/>
      <c r="S141" s="1682" t="s">
        <v>194</v>
      </c>
      <c r="T141" s="1682" t="s">
        <v>194</v>
      </c>
      <c r="U141" s="1684"/>
      <c r="V141" s="1684"/>
      <c r="W141" s="1378"/>
      <c r="X141" s="1609"/>
    </row>
    <row r="142" spans="1:24" ht="15.75" hidden="1" x14ac:dyDescent="0.25">
      <c r="A142" s="1676"/>
      <c r="B142" s="1677"/>
      <c r="C142" s="1677"/>
      <c r="D142" s="1677" t="s">
        <v>1842</v>
      </c>
      <c r="E142" s="1685" t="s">
        <v>1846</v>
      </c>
      <c r="F142" s="1677"/>
      <c r="G142" s="1677"/>
      <c r="H142" s="1677"/>
      <c r="I142" s="1677"/>
      <c r="J142" s="1677"/>
      <c r="K142" s="1677"/>
      <c r="L142" s="1677"/>
      <c r="M142" s="1688"/>
      <c r="N142" s="1688"/>
      <c r="O142" s="1688"/>
      <c r="P142" s="1688"/>
      <c r="Q142" s="1688"/>
      <c r="R142" s="1378"/>
      <c r="S142" s="1378"/>
      <c r="T142" s="1378"/>
      <c r="U142" s="1378"/>
      <c r="V142" s="1378"/>
      <c r="W142" s="1378"/>
      <c r="X142" s="1609"/>
    </row>
    <row r="143" spans="1:24" ht="15.75" hidden="1" x14ac:dyDescent="0.25">
      <c r="A143" s="1676"/>
      <c r="B143" s="1677"/>
      <c r="C143" s="1677"/>
      <c r="D143" s="1677"/>
      <c r="E143" s="1677" t="s">
        <v>1844</v>
      </c>
      <c r="F143" s="1677"/>
      <c r="G143" s="1677"/>
      <c r="H143" s="1677"/>
      <c r="I143" s="1381"/>
      <c r="J143" s="1677"/>
      <c r="K143" s="1381"/>
      <c r="L143" s="1677"/>
      <c r="M143" s="1381"/>
      <c r="N143" s="1381"/>
      <c r="O143" s="1381"/>
      <c r="P143" s="1381"/>
      <c r="Q143" s="1381"/>
      <c r="R143" s="1378"/>
      <c r="S143" s="1381"/>
      <c r="T143" s="1381"/>
      <c r="U143" s="1374"/>
      <c r="V143" s="1374"/>
      <c r="W143" s="1378"/>
      <c r="X143" s="1609"/>
    </row>
    <row r="144" spans="1:24" ht="15.75" hidden="1" x14ac:dyDescent="0.25">
      <c r="A144" s="1676"/>
      <c r="B144" s="1677"/>
      <c r="C144" s="1677"/>
      <c r="D144" s="1677"/>
      <c r="E144" s="1677" t="s">
        <v>1845</v>
      </c>
      <c r="F144" s="1677"/>
      <c r="G144" s="1677"/>
      <c r="H144" s="1677"/>
      <c r="I144" s="1376"/>
      <c r="J144" s="1677"/>
      <c r="K144" s="1376"/>
      <c r="L144" s="1677"/>
      <c r="M144" s="1376"/>
      <c r="N144" s="1376"/>
      <c r="O144" s="1376"/>
      <c r="P144" s="1376"/>
      <c r="Q144" s="1376"/>
      <c r="R144" s="1378"/>
      <c r="S144" s="1376"/>
      <c r="T144" s="1376"/>
      <c r="U144" s="1374"/>
      <c r="V144" s="1374"/>
      <c r="W144" s="1378"/>
      <c r="X144" s="1609"/>
    </row>
    <row r="145" spans="1:30" ht="15.75" hidden="1" x14ac:dyDescent="0.25">
      <c r="A145" s="1676"/>
      <c r="B145" s="1677"/>
      <c r="C145" s="1677"/>
      <c r="D145" s="1677"/>
      <c r="E145" s="1378" t="s">
        <v>1830</v>
      </c>
      <c r="F145" s="1677"/>
      <c r="G145" s="1677"/>
      <c r="H145" s="1677"/>
      <c r="I145" s="1376"/>
      <c r="J145" s="1677"/>
      <c r="K145" s="1376"/>
      <c r="L145" s="1677"/>
      <c r="M145" s="1376"/>
      <c r="N145" s="1376"/>
      <c r="O145" s="1376"/>
      <c r="P145" s="1376"/>
      <c r="Q145" s="1376"/>
      <c r="R145" s="1378"/>
      <c r="S145" s="1376"/>
      <c r="T145" s="1376"/>
      <c r="U145" s="1374"/>
      <c r="V145" s="1374"/>
      <c r="W145" s="1378"/>
      <c r="X145" s="1609"/>
    </row>
    <row r="146" spans="1:30" ht="15.75" hidden="1" x14ac:dyDescent="0.25">
      <c r="A146" s="1676"/>
      <c r="B146" s="1677"/>
      <c r="C146" s="1677"/>
      <c r="D146" s="1677"/>
      <c r="E146" s="1378" t="s">
        <v>1830</v>
      </c>
      <c r="F146" s="1677"/>
      <c r="G146" s="1677"/>
      <c r="H146" s="1677"/>
      <c r="I146" s="1382"/>
      <c r="J146" s="1677"/>
      <c r="K146" s="1382"/>
      <c r="L146" s="1677"/>
      <c r="M146" s="1382"/>
      <c r="N146" s="1382"/>
      <c r="O146" s="1382"/>
      <c r="P146" s="1382"/>
      <c r="Q146" s="1382"/>
      <c r="R146" s="1378"/>
      <c r="S146" s="1382"/>
      <c r="T146" s="1382"/>
      <c r="U146" s="1374"/>
      <c r="V146" s="1374"/>
      <c r="W146" s="1378"/>
      <c r="X146" s="1609"/>
    </row>
    <row r="147" spans="1:30" ht="16.5" hidden="1" thickBot="1" x14ac:dyDescent="0.3">
      <c r="A147" s="1676"/>
      <c r="B147" s="1677"/>
      <c r="C147" s="1686"/>
      <c r="D147" s="1686"/>
      <c r="E147" s="1677" t="s">
        <v>164</v>
      </c>
      <c r="F147" s="1686"/>
      <c r="G147" s="1686"/>
      <c r="H147" s="1686"/>
      <c r="I147" s="1664"/>
      <c r="J147" s="1686"/>
      <c r="K147" s="1664"/>
      <c r="L147" s="1686"/>
      <c r="M147" s="1664">
        <f>SUM(M143:M146)</f>
        <v>0</v>
      </c>
      <c r="N147" s="1664">
        <f>SUM(N143:N146)</f>
        <v>0</v>
      </c>
      <c r="O147" s="1664"/>
      <c r="P147" s="1664"/>
      <c r="Q147" s="1664">
        <f>SUM(Q143:Q146)</f>
        <v>0</v>
      </c>
      <c r="R147" s="1388"/>
      <c r="S147" s="1664"/>
      <c r="T147" s="1664"/>
      <c r="U147" s="1669"/>
      <c r="V147" s="1669"/>
      <c r="W147" s="1378"/>
      <c r="X147" s="1609"/>
    </row>
    <row r="148" spans="1:30" ht="15.75" hidden="1" x14ac:dyDescent="0.25">
      <c r="A148" s="1676"/>
      <c r="B148" s="1677"/>
      <c r="C148" s="1677"/>
      <c r="D148" s="1677"/>
      <c r="E148" s="1677"/>
      <c r="F148" s="1677"/>
      <c r="G148" s="1677"/>
      <c r="H148" s="1677"/>
      <c r="I148" s="1677"/>
      <c r="J148" s="1677"/>
      <c r="K148" s="1677"/>
      <c r="L148" s="1677"/>
      <c r="M148" s="1677"/>
      <c r="N148" s="1677"/>
      <c r="O148" s="1677"/>
      <c r="P148" s="1677"/>
      <c r="Q148" s="1677"/>
      <c r="R148" s="1677"/>
      <c r="S148" s="1378"/>
      <c r="T148" s="1378"/>
      <c r="U148" s="1378"/>
      <c r="V148" s="1378"/>
      <c r="W148" s="1378"/>
      <c r="X148" s="1609"/>
    </row>
    <row r="149" spans="1:30" ht="36" x14ac:dyDescent="0.4">
      <c r="A149" s="1602" t="s">
        <v>1847</v>
      </c>
      <c r="B149" s="1603" t="s">
        <v>166</v>
      </c>
      <c r="C149" s="1689" t="s">
        <v>1848</v>
      </c>
      <c r="D149" s="1690"/>
      <c r="E149" s="1690"/>
      <c r="F149" s="1690"/>
      <c r="G149" s="1690"/>
      <c r="H149" s="1690"/>
      <c r="I149" s="1690"/>
      <c r="J149" s="1690"/>
      <c r="K149" s="1690"/>
      <c r="L149" s="1690"/>
      <c r="M149" s="1605"/>
      <c r="N149" s="1605"/>
      <c r="O149" s="1605"/>
      <c r="P149" s="1605"/>
      <c r="Q149" s="1605"/>
      <c r="R149" s="1605"/>
      <c r="S149" s="1605"/>
      <c r="T149" s="1605"/>
      <c r="U149" s="1605"/>
      <c r="V149" s="1605"/>
      <c r="W149" s="1605"/>
      <c r="X149" s="1609"/>
    </row>
    <row r="150" spans="1:30" ht="15.75" x14ac:dyDescent="0.25">
      <c r="A150" s="1622"/>
      <c r="B150" s="1378"/>
      <c r="C150" s="1378"/>
      <c r="D150" s="1378"/>
      <c r="E150" s="1378"/>
      <c r="F150" s="1378"/>
      <c r="G150" s="1378"/>
      <c r="H150" s="1378"/>
      <c r="I150" s="1378"/>
      <c r="J150" s="1378"/>
      <c r="K150" s="1378"/>
      <c r="L150" s="1378"/>
      <c r="M150" s="1378"/>
      <c r="N150" s="1378"/>
      <c r="O150" s="1378"/>
      <c r="P150" s="1378"/>
      <c r="Q150" s="1378"/>
      <c r="R150" s="1378"/>
      <c r="S150" s="1378"/>
      <c r="T150" s="1378"/>
      <c r="U150" s="1378"/>
      <c r="V150" s="1378"/>
      <c r="W150" s="1378"/>
      <c r="X150" s="1609"/>
    </row>
    <row r="151" spans="1:30" ht="15.75" customHeight="1" x14ac:dyDescent="0.25">
      <c r="A151" s="1622"/>
      <c r="B151" s="1378"/>
      <c r="C151" s="1667" t="s">
        <v>1816</v>
      </c>
      <c r="D151" s="1378"/>
      <c r="E151" s="1378"/>
      <c r="F151" s="1378"/>
      <c r="G151" s="1378"/>
      <c r="H151" s="1378"/>
      <c r="I151" s="1856" t="str">
        <f>IF(OR(LEN('[27]פרטים על התאגיד'!$G$13)&gt;4, LEN('[27]פרטים על התאגיד'!$G$11)&gt;4), "לתקופה", " לשנה שנסתיימה ביום 31 בדצמבר")</f>
        <v xml:space="preserve"> לשנה שנסתיימה ביום 31 בדצמבר</v>
      </c>
      <c r="J151" s="1856"/>
      <c r="K151" s="1856"/>
      <c r="L151" s="1856"/>
      <c r="M151" s="1856"/>
      <c r="N151" s="1856"/>
      <c r="O151" s="1856"/>
      <c r="P151" s="1856"/>
      <c r="Q151" s="1856"/>
      <c r="R151" s="1856"/>
      <c r="S151" s="1856"/>
      <c r="T151" s="1378"/>
      <c r="U151" s="1378"/>
      <c r="V151" s="1378"/>
      <c r="W151" s="1378"/>
      <c r="X151" s="1609"/>
    </row>
    <row r="152" spans="1:30" ht="94.5" x14ac:dyDescent="0.25">
      <c r="A152" s="1622"/>
      <c r="B152" s="1378"/>
      <c r="C152" s="1378"/>
      <c r="D152" s="1388"/>
      <c r="E152" s="1378"/>
      <c r="F152" s="1668"/>
      <c r="G152" s="1626" t="s">
        <v>1800</v>
      </c>
      <c r="H152" s="1378"/>
      <c r="I152" s="1626" t="s">
        <v>1962</v>
      </c>
      <c r="J152" s="1378"/>
      <c r="K152" s="1631" t="s">
        <v>1963</v>
      </c>
      <c r="L152" s="1378"/>
      <c r="M152" s="1626" t="s">
        <v>1801</v>
      </c>
      <c r="N152" s="1631" t="s">
        <v>1964</v>
      </c>
      <c r="O152" s="1634" t="s">
        <v>1965</v>
      </c>
      <c r="P152" s="1633" t="s">
        <v>1966</v>
      </c>
      <c r="Q152" s="1632" t="s">
        <v>1967</v>
      </c>
      <c r="R152" s="1388"/>
      <c r="S152" s="1631" t="s">
        <v>1968</v>
      </c>
      <c r="T152" s="1632" t="s">
        <v>1969</v>
      </c>
      <c r="U152" s="1633" t="s">
        <v>1970</v>
      </c>
      <c r="V152" s="1634" t="s">
        <v>1971</v>
      </c>
      <c r="W152" s="1632" t="s">
        <v>1972</v>
      </c>
      <c r="X152" s="1609"/>
    </row>
    <row r="153" spans="1:30" ht="15.75" x14ac:dyDescent="0.25">
      <c r="A153" s="1622"/>
      <c r="B153" s="1378"/>
      <c r="C153" s="1378" t="s">
        <v>1674</v>
      </c>
      <c r="D153" s="1378"/>
      <c r="E153" s="1378"/>
      <c r="F153" s="1668"/>
      <c r="G153" s="1691">
        <f>+VLOOKUP(C153,'עלויות תפעול בהתאם לנורמה'!$C$6:$BF$114,$Z$62+1,0)/$I$3*$S$3/$S$3</f>
        <v>0.18954806587615827</v>
      </c>
      <c r="H153" s="1668"/>
      <c r="I153" s="1692">
        <f>G153*$I$3/2+G153*$I$4/2</f>
        <v>2034.6350019737408</v>
      </c>
      <c r="J153" s="1668"/>
      <c r="K153" s="1381"/>
      <c r="L153" s="1668"/>
      <c r="M153" s="1692">
        <f>I153</f>
        <v>2034.6350019737408</v>
      </c>
      <c r="N153" s="1381"/>
      <c r="O153" s="1381"/>
      <c r="P153" s="1381"/>
      <c r="Q153" s="1381"/>
      <c r="R153" s="1693"/>
      <c r="S153" s="1375">
        <f t="shared" ref="S153:S171" si="43">I153-K153</f>
        <v>2034.6350019737408</v>
      </c>
      <c r="T153" s="1375">
        <f t="shared" ref="T153:T171" si="44">M153-Q153</f>
        <v>2034.6350019737408</v>
      </c>
      <c r="U153" s="1375">
        <f t="shared" ref="U153:U171" si="45">M153-P153</f>
        <v>2034.6350019737408</v>
      </c>
      <c r="V153" s="1375">
        <f t="shared" ref="V153:V171" si="46">M153-O153</f>
        <v>2034.6350019737408</v>
      </c>
      <c r="W153" s="1375">
        <f t="shared" ref="W153:W171" si="47">Q153-K153</f>
        <v>0</v>
      </c>
      <c r="X153" s="1609"/>
    </row>
    <row r="154" spans="1:30" ht="15.75" x14ac:dyDescent="0.25">
      <c r="A154" s="1622"/>
      <c r="B154" s="1378"/>
      <c r="C154" s="1378" t="s">
        <v>1676</v>
      </c>
      <c r="D154" s="1378"/>
      <c r="E154" s="1378"/>
      <c r="F154" s="1668"/>
      <c r="G154" s="1691">
        <f>+VLOOKUP(C154,'עלויות תפעול בהתאם לנורמה'!$C$6:$BF$114,$Z$62+1,0)/$I$3*$S$3/$S$3</f>
        <v>0</v>
      </c>
      <c r="H154" s="1668"/>
      <c r="I154" s="1692">
        <f t="shared" ref="I154:I170" si="48">G154*$I$3/2+G154*$I$4/2</f>
        <v>0</v>
      </c>
      <c r="J154" s="1668"/>
      <c r="K154" s="1381"/>
      <c r="L154" s="1668"/>
      <c r="M154" s="1692">
        <f t="shared" ref="M154:M170" si="49">I154</f>
        <v>0</v>
      </c>
      <c r="N154" s="1381"/>
      <c r="O154" s="1381"/>
      <c r="P154" s="1381"/>
      <c r="Q154" s="1381"/>
      <c r="R154" s="1693"/>
      <c r="S154" s="1375">
        <f t="shared" si="43"/>
        <v>0</v>
      </c>
      <c r="T154" s="1375">
        <f t="shared" si="44"/>
        <v>0</v>
      </c>
      <c r="U154" s="1375">
        <f t="shared" si="45"/>
        <v>0</v>
      </c>
      <c r="V154" s="1375">
        <f t="shared" si="46"/>
        <v>0</v>
      </c>
      <c r="W154" s="1375">
        <f t="shared" si="47"/>
        <v>0</v>
      </c>
      <c r="X154" s="1609"/>
    </row>
    <row r="155" spans="1:30" ht="15.75" x14ac:dyDescent="0.25">
      <c r="A155" s="1622"/>
      <c r="B155" s="1378"/>
      <c r="C155" s="1378" t="s">
        <v>1678</v>
      </c>
      <c r="D155" s="1378"/>
      <c r="E155" s="1378"/>
      <c r="F155" s="1668"/>
      <c r="G155" s="1691">
        <f>+VLOOKUP(C155,'עלויות תפעול בהתאם לנורמה'!$C$6:$BF$114,$Z$62+1,0)/$I$3*$S$3/$S$3</f>
        <v>0</v>
      </c>
      <c r="H155" s="1668"/>
      <c r="I155" s="1692">
        <f t="shared" si="48"/>
        <v>0</v>
      </c>
      <c r="J155" s="1668"/>
      <c r="K155" s="1381"/>
      <c r="L155" s="1668"/>
      <c r="M155" s="1692">
        <f t="shared" si="49"/>
        <v>0</v>
      </c>
      <c r="N155" s="1381"/>
      <c r="O155" s="1381"/>
      <c r="P155" s="1381"/>
      <c r="Q155" s="1381"/>
      <c r="R155" s="1693"/>
      <c r="S155" s="1375">
        <f t="shared" si="43"/>
        <v>0</v>
      </c>
      <c r="T155" s="1375">
        <f t="shared" si="44"/>
        <v>0</v>
      </c>
      <c r="U155" s="1375">
        <f t="shared" si="45"/>
        <v>0</v>
      </c>
      <c r="V155" s="1375">
        <f t="shared" si="46"/>
        <v>0</v>
      </c>
      <c r="W155" s="1375">
        <f t="shared" si="47"/>
        <v>0</v>
      </c>
      <c r="X155" s="1609"/>
    </row>
    <row r="156" spans="1:30" s="1654" customFormat="1" ht="15.75" x14ac:dyDescent="0.25">
      <c r="A156" s="1650"/>
      <c r="B156" s="1377"/>
      <c r="C156" s="1377" t="s">
        <v>1680</v>
      </c>
      <c r="D156" s="1377"/>
      <c r="E156" s="1377"/>
      <c r="F156" s="1694"/>
      <c r="G156" s="1691">
        <f>+VLOOKUP(C156,'עלויות תפעול בהתאם לנורמה'!$C$6:$BF$114,$Z$62+1,0)/$I$3*$S$3/$S$3</f>
        <v>0</v>
      </c>
      <c r="H156" s="1694"/>
      <c r="I156" s="1695">
        <f t="shared" si="48"/>
        <v>0</v>
      </c>
      <c r="J156" s="1694"/>
      <c r="K156" s="1391"/>
      <c r="L156" s="1694"/>
      <c r="M156" s="1695">
        <f t="shared" si="49"/>
        <v>0</v>
      </c>
      <c r="N156" s="1391"/>
      <c r="O156" s="1391"/>
      <c r="P156" s="1391"/>
      <c r="Q156" s="1391"/>
      <c r="R156" s="1696"/>
      <c r="S156" s="1652">
        <f t="shared" si="43"/>
        <v>0</v>
      </c>
      <c r="T156" s="1652">
        <f t="shared" si="44"/>
        <v>0</v>
      </c>
      <c r="U156" s="1652">
        <f t="shared" si="45"/>
        <v>0</v>
      </c>
      <c r="V156" s="1652">
        <f t="shared" si="46"/>
        <v>0</v>
      </c>
      <c r="W156" s="1652">
        <f t="shared" si="47"/>
        <v>0</v>
      </c>
      <c r="X156" s="1654" t="s">
        <v>1974</v>
      </c>
      <c r="AB156" s="1609"/>
      <c r="AC156" s="1609"/>
      <c r="AD156" s="1609"/>
    </row>
    <row r="157" spans="1:30" s="1654" customFormat="1" ht="15.75" x14ac:dyDescent="0.25">
      <c r="A157" s="1650"/>
      <c r="B157" s="1377"/>
      <c r="C157" s="1377" t="s">
        <v>1682</v>
      </c>
      <c r="D157" s="1377"/>
      <c r="E157" s="1377"/>
      <c r="F157" s="1694"/>
      <c r="G157" s="1691">
        <f>+VLOOKUP(C157,'עלויות תפעול בהתאם לנורמה'!$C$6:$BF$114,$Z$62+1,0)/$I$3*$S$3/$S$3</f>
        <v>0</v>
      </c>
      <c r="H157" s="1694"/>
      <c r="I157" s="1695">
        <f t="shared" si="48"/>
        <v>0</v>
      </c>
      <c r="J157" s="1694"/>
      <c r="K157" s="1391"/>
      <c r="L157" s="1694"/>
      <c r="M157" s="1695">
        <f t="shared" si="49"/>
        <v>0</v>
      </c>
      <c r="N157" s="1391"/>
      <c r="O157" s="1391"/>
      <c r="P157" s="1391"/>
      <c r="Q157" s="1391"/>
      <c r="R157" s="1696"/>
      <c r="S157" s="1652">
        <f t="shared" si="43"/>
        <v>0</v>
      </c>
      <c r="T157" s="1652">
        <f t="shared" si="44"/>
        <v>0</v>
      </c>
      <c r="U157" s="1652">
        <f t="shared" si="45"/>
        <v>0</v>
      </c>
      <c r="V157" s="1652">
        <f t="shared" si="46"/>
        <v>0</v>
      </c>
      <c r="W157" s="1652">
        <f t="shared" si="47"/>
        <v>0</v>
      </c>
      <c r="X157" s="1654" t="s">
        <v>1974</v>
      </c>
      <c r="AB157" s="1609"/>
      <c r="AC157" s="1609"/>
      <c r="AD157" s="1609"/>
    </row>
    <row r="158" spans="1:30" ht="15.75" x14ac:dyDescent="0.25">
      <c r="A158" s="1622"/>
      <c r="B158" s="1378"/>
      <c r="C158" s="1378" t="s">
        <v>1684</v>
      </c>
      <c r="D158" s="1378"/>
      <c r="E158" s="1378"/>
      <c r="F158" s="1668"/>
      <c r="G158" s="1691">
        <f>+VLOOKUP(C158,'עלויות תפעול בהתאם לנורמה'!$C$6:$BF$114,$Z$62+1,0)/$I$3*$S$3/$S$3</f>
        <v>6.2983891165650313E-2</v>
      </c>
      <c r="H158" s="1668"/>
      <c r="I158" s="1692">
        <f t="shared" si="48"/>
        <v>676.07774805712575</v>
      </c>
      <c r="J158" s="1668"/>
      <c r="K158" s="1381"/>
      <c r="L158" s="1668"/>
      <c r="M158" s="1692">
        <f t="shared" si="49"/>
        <v>676.07774805712575</v>
      </c>
      <c r="N158" s="1381"/>
      <c r="O158" s="1381"/>
      <c r="P158" s="1381"/>
      <c r="Q158" s="1381"/>
      <c r="R158" s="1693"/>
      <c r="S158" s="1375">
        <f t="shared" si="43"/>
        <v>676.07774805712575</v>
      </c>
      <c r="T158" s="1375">
        <f t="shared" si="44"/>
        <v>676.07774805712575</v>
      </c>
      <c r="U158" s="1375">
        <f t="shared" si="45"/>
        <v>676.07774805712575</v>
      </c>
      <c r="V158" s="1375">
        <f t="shared" si="46"/>
        <v>676.07774805712575</v>
      </c>
      <c r="W158" s="1375">
        <f t="shared" si="47"/>
        <v>0</v>
      </c>
      <c r="X158" s="1609"/>
    </row>
    <row r="159" spans="1:30" ht="15.75" x14ac:dyDescent="0.25">
      <c r="A159" s="1622"/>
      <c r="B159" s="1378"/>
      <c r="C159" s="1378" t="s">
        <v>1686</v>
      </c>
      <c r="D159" s="1378"/>
      <c r="E159" s="1378"/>
      <c r="F159" s="1668"/>
      <c r="G159" s="1691">
        <f>+VLOOKUP(C159,'עלויות תפעול בהתאם לנורמה'!$C$6:$BF$114,$Z$62+1,0)/$I$3*$S$3/$S$3</f>
        <v>0</v>
      </c>
      <c r="H159" s="1668"/>
      <c r="I159" s="1692">
        <f t="shared" si="48"/>
        <v>0</v>
      </c>
      <c r="J159" s="1668"/>
      <c r="K159" s="1376"/>
      <c r="L159" s="1668"/>
      <c r="M159" s="1692">
        <f t="shared" si="49"/>
        <v>0</v>
      </c>
      <c r="N159" s="1376"/>
      <c r="O159" s="1376"/>
      <c r="P159" s="1376"/>
      <c r="Q159" s="1376"/>
      <c r="R159" s="1693"/>
      <c r="S159" s="1375">
        <f t="shared" si="43"/>
        <v>0</v>
      </c>
      <c r="T159" s="1375">
        <f t="shared" si="44"/>
        <v>0</v>
      </c>
      <c r="U159" s="1375">
        <f t="shared" si="45"/>
        <v>0</v>
      </c>
      <c r="V159" s="1375">
        <f t="shared" si="46"/>
        <v>0</v>
      </c>
      <c r="W159" s="1375">
        <f t="shared" si="47"/>
        <v>0</v>
      </c>
      <c r="X159" s="1609"/>
    </row>
    <row r="160" spans="1:30" s="1654" customFormat="1" ht="15.75" x14ac:dyDescent="0.25">
      <c r="A160" s="1650"/>
      <c r="B160" s="1377"/>
      <c r="C160" s="1377" t="s">
        <v>1688</v>
      </c>
      <c r="D160" s="1377"/>
      <c r="E160" s="1377"/>
      <c r="F160" s="1694"/>
      <c r="G160" s="1691">
        <f>+VLOOKUP(C160,'עלויות תפעול בהתאם לנורמה'!$C$6:$BF$114,$Z$62+1,0)/$I$3*$S$3/$S$3</f>
        <v>0</v>
      </c>
      <c r="H160" s="1694"/>
      <c r="I160" s="1695">
        <f t="shared" si="48"/>
        <v>0</v>
      </c>
      <c r="J160" s="1694"/>
      <c r="K160" s="1392"/>
      <c r="L160" s="1694"/>
      <c r="M160" s="1695">
        <f t="shared" si="49"/>
        <v>0</v>
      </c>
      <c r="N160" s="1392"/>
      <c r="O160" s="1392"/>
      <c r="P160" s="1392"/>
      <c r="Q160" s="1392"/>
      <c r="R160" s="1696"/>
      <c r="S160" s="1652">
        <f t="shared" si="43"/>
        <v>0</v>
      </c>
      <c r="T160" s="1652">
        <f t="shared" si="44"/>
        <v>0</v>
      </c>
      <c r="U160" s="1652">
        <f t="shared" si="45"/>
        <v>0</v>
      </c>
      <c r="V160" s="1652">
        <f t="shared" si="46"/>
        <v>0</v>
      </c>
      <c r="W160" s="1652">
        <f t="shared" si="47"/>
        <v>0</v>
      </c>
      <c r="X160" s="1654" t="s">
        <v>1974</v>
      </c>
    </row>
    <row r="161" spans="1:24" ht="15.75" x14ac:dyDescent="0.25">
      <c r="A161" s="1622"/>
      <c r="B161" s="1378"/>
      <c r="C161" s="1378" t="s">
        <v>1690</v>
      </c>
      <c r="D161" s="1378"/>
      <c r="E161" s="1378"/>
      <c r="F161" s="1697"/>
      <c r="G161" s="1691">
        <f>+VLOOKUP(C161,'עלויות תפעול בהתאם לנורמה'!$C$6:$BF$114,$Z$62+1,0)/$I$3*$S$3/$S$3</f>
        <v>0</v>
      </c>
      <c r="H161" s="1697"/>
      <c r="I161" s="1692">
        <f t="shared" si="48"/>
        <v>0</v>
      </c>
      <c r="J161" s="1697"/>
      <c r="K161" s="1376"/>
      <c r="L161" s="1697"/>
      <c r="M161" s="1692">
        <f t="shared" si="49"/>
        <v>0</v>
      </c>
      <c r="N161" s="1376"/>
      <c r="O161" s="1376"/>
      <c r="P161" s="1376"/>
      <c r="Q161" s="1376"/>
      <c r="R161" s="1378"/>
      <c r="S161" s="1375">
        <f t="shared" si="43"/>
        <v>0</v>
      </c>
      <c r="T161" s="1375">
        <f t="shared" si="44"/>
        <v>0</v>
      </c>
      <c r="U161" s="1375">
        <f t="shared" si="45"/>
        <v>0</v>
      </c>
      <c r="V161" s="1375">
        <f t="shared" si="46"/>
        <v>0</v>
      </c>
      <c r="W161" s="1375">
        <f t="shared" si="47"/>
        <v>0</v>
      </c>
      <c r="X161" s="1609"/>
    </row>
    <row r="162" spans="1:24" ht="15.75" x14ac:dyDescent="0.25">
      <c r="A162" s="1622"/>
      <c r="B162" s="1378"/>
      <c r="C162" s="1378" t="s">
        <v>1692</v>
      </c>
      <c r="D162" s="1378"/>
      <c r="E162" s="1378"/>
      <c r="F162" s="1697"/>
      <c r="G162" s="1691">
        <f>+VLOOKUP(C162,'עלויות תפעול בהתאם לנורמה'!$C$6:$BF$114,$Z$62+1,0)/$I$3*$S$3/$S$3</f>
        <v>0</v>
      </c>
      <c r="H162" s="1697"/>
      <c r="I162" s="1692">
        <f t="shared" si="48"/>
        <v>0</v>
      </c>
      <c r="J162" s="1697"/>
      <c r="K162" s="1376"/>
      <c r="L162" s="1697"/>
      <c r="M162" s="1692">
        <f t="shared" si="49"/>
        <v>0</v>
      </c>
      <c r="N162" s="1376"/>
      <c r="O162" s="1376"/>
      <c r="P162" s="1376"/>
      <c r="Q162" s="1376"/>
      <c r="R162" s="1378"/>
      <c r="S162" s="1375">
        <f t="shared" si="43"/>
        <v>0</v>
      </c>
      <c r="T162" s="1375">
        <f t="shared" si="44"/>
        <v>0</v>
      </c>
      <c r="U162" s="1375">
        <f t="shared" si="45"/>
        <v>0</v>
      </c>
      <c r="V162" s="1375">
        <f t="shared" si="46"/>
        <v>0</v>
      </c>
      <c r="W162" s="1375">
        <f t="shared" si="47"/>
        <v>0</v>
      </c>
      <c r="X162" s="1609"/>
    </row>
    <row r="163" spans="1:24" s="1654" customFormat="1" ht="15.75" customHeight="1" x14ac:dyDescent="0.25">
      <c r="A163" s="1650"/>
      <c r="B163" s="1377"/>
      <c r="C163" s="1384" t="s">
        <v>1772</v>
      </c>
      <c r="D163" s="1384"/>
      <c r="E163" s="1377"/>
      <c r="F163" s="1698"/>
      <c r="G163" s="1691">
        <f>+VLOOKUP(C163,'עלויות תפעול בהתאם לנורמה'!$C$6:$BF$114,$Z$62+1,0)/$I$3*$S$3/$S$3</f>
        <v>0</v>
      </c>
      <c r="H163" s="1698"/>
      <c r="I163" s="1695">
        <f t="shared" si="48"/>
        <v>0</v>
      </c>
      <c r="J163" s="1698"/>
      <c r="K163" s="1392"/>
      <c r="L163" s="1698"/>
      <c r="M163" s="1695">
        <f t="shared" si="49"/>
        <v>0</v>
      </c>
      <c r="N163" s="1393"/>
      <c r="O163" s="1393"/>
      <c r="P163" s="1393"/>
      <c r="Q163" s="1392"/>
      <c r="R163" s="1377"/>
      <c r="S163" s="1652">
        <f t="shared" si="43"/>
        <v>0</v>
      </c>
      <c r="T163" s="1652">
        <f t="shared" si="44"/>
        <v>0</v>
      </c>
      <c r="U163" s="1652">
        <f t="shared" si="45"/>
        <v>0</v>
      </c>
      <c r="V163" s="1652">
        <f t="shared" si="46"/>
        <v>0</v>
      </c>
      <c r="W163" s="1652">
        <f t="shared" si="47"/>
        <v>0</v>
      </c>
      <c r="X163" s="1654" t="s">
        <v>1975</v>
      </c>
    </row>
    <row r="164" spans="1:24" ht="15.75" x14ac:dyDescent="0.25">
      <c r="A164" s="1622"/>
      <c r="B164" s="1378"/>
      <c r="C164" s="1378" t="s">
        <v>1696</v>
      </c>
      <c r="D164" s="1378"/>
      <c r="E164" s="1378"/>
      <c r="F164" s="1697"/>
      <c r="G164" s="1691">
        <f>+VLOOKUP(C164,'עלויות תפעול בהתאם לנורמה'!$C$6:$BF$114,$Z$62+1,0)/$I$3*$S$3/$S$3</f>
        <v>4.1731657950246838E-2</v>
      </c>
      <c r="H164" s="1697"/>
      <c r="I164" s="1692">
        <f t="shared" si="48"/>
        <v>447.95335454091776</v>
      </c>
      <c r="J164" s="1697"/>
      <c r="K164" s="1376"/>
      <c r="L164" s="1697"/>
      <c r="M164" s="1692">
        <f t="shared" si="49"/>
        <v>447.95335454091776</v>
      </c>
      <c r="N164" s="1376"/>
      <c r="O164" s="1376"/>
      <c r="P164" s="1376"/>
      <c r="Q164" s="1376"/>
      <c r="R164" s="1378"/>
      <c r="S164" s="1375">
        <f t="shared" si="43"/>
        <v>447.95335454091776</v>
      </c>
      <c r="T164" s="1375">
        <f t="shared" si="44"/>
        <v>447.95335454091776</v>
      </c>
      <c r="U164" s="1375">
        <f t="shared" si="45"/>
        <v>447.95335454091776</v>
      </c>
      <c r="V164" s="1375">
        <f t="shared" si="46"/>
        <v>447.95335454091776</v>
      </c>
      <c r="W164" s="1375">
        <f t="shared" si="47"/>
        <v>0</v>
      </c>
      <c r="X164" s="1609"/>
    </row>
    <row r="165" spans="1:24" ht="15.75" x14ac:dyDescent="0.25">
      <c r="A165" s="1622"/>
      <c r="B165" s="1378"/>
      <c r="C165" s="1378" t="s">
        <v>1698</v>
      </c>
      <c r="D165" s="1378"/>
      <c r="E165" s="1378"/>
      <c r="F165" s="1697"/>
      <c r="G165" s="1691">
        <f>+VLOOKUP(C165,'עלויות תפעול בהתאם לנורמה'!$C$6:$BF$114,$Z$62+1,0)/$I$3*$S$3/$S$3</f>
        <v>3.0139530741844944E-2</v>
      </c>
      <c r="H165" s="1697"/>
      <c r="I165" s="1692">
        <f t="shared" si="48"/>
        <v>323.52186716844062</v>
      </c>
      <c r="J165" s="1697"/>
      <c r="K165" s="1376"/>
      <c r="L165" s="1697"/>
      <c r="M165" s="1692">
        <f t="shared" si="49"/>
        <v>323.52186716844062</v>
      </c>
      <c r="N165" s="1376"/>
      <c r="O165" s="1376"/>
      <c r="P165" s="1376"/>
      <c r="Q165" s="1376"/>
      <c r="R165" s="1378"/>
      <c r="S165" s="1375">
        <f t="shared" si="43"/>
        <v>323.52186716844062</v>
      </c>
      <c r="T165" s="1375">
        <f t="shared" si="44"/>
        <v>323.52186716844062</v>
      </c>
      <c r="U165" s="1375">
        <f t="shared" si="45"/>
        <v>323.52186716844062</v>
      </c>
      <c r="V165" s="1375">
        <f t="shared" si="46"/>
        <v>323.52186716844062</v>
      </c>
      <c r="W165" s="1375">
        <f t="shared" si="47"/>
        <v>0</v>
      </c>
      <c r="X165" s="1609"/>
    </row>
    <row r="166" spans="1:24" ht="15.75" x14ac:dyDescent="0.25">
      <c r="A166" s="1622"/>
      <c r="B166" s="1378"/>
      <c r="C166" s="1378" t="s">
        <v>1773</v>
      </c>
      <c r="D166" s="1378"/>
      <c r="E166" s="1378"/>
      <c r="F166" s="1378"/>
      <c r="G166" s="1691">
        <f>+VLOOKUP(C166,'עלויות תפעול בהתאם לנורמה'!$C$6:$BF$114,$Z$62+1,0)/$I$3*$S$3/$S$3</f>
        <v>4.4050083391927217E-2</v>
      </c>
      <c r="H166" s="1378"/>
      <c r="I166" s="1692">
        <f t="shared" si="48"/>
        <v>472.83965201541309</v>
      </c>
      <c r="J166" s="1378"/>
      <c r="K166" s="1376"/>
      <c r="L166" s="1378"/>
      <c r="M166" s="1692">
        <f t="shared" si="49"/>
        <v>472.83965201541309</v>
      </c>
      <c r="N166" s="1381"/>
      <c r="O166" s="1381"/>
      <c r="P166" s="1381"/>
      <c r="Q166" s="1376"/>
      <c r="R166" s="1378"/>
      <c r="S166" s="1375">
        <f t="shared" si="43"/>
        <v>472.83965201541309</v>
      </c>
      <c r="T166" s="1375">
        <f t="shared" si="44"/>
        <v>472.83965201541309</v>
      </c>
      <c r="U166" s="1375">
        <f t="shared" si="45"/>
        <v>472.83965201541309</v>
      </c>
      <c r="V166" s="1375">
        <f t="shared" si="46"/>
        <v>472.83965201541309</v>
      </c>
      <c r="W166" s="1375">
        <f t="shared" si="47"/>
        <v>0</v>
      </c>
      <c r="X166" s="1609"/>
    </row>
    <row r="167" spans="1:24" ht="15.75" x14ac:dyDescent="0.25">
      <c r="A167" s="1622"/>
      <c r="B167" s="1378"/>
      <c r="C167" s="1378" t="s">
        <v>1702</v>
      </c>
      <c r="D167" s="1378"/>
      <c r="E167" s="1378"/>
      <c r="F167" s="1378"/>
      <c r="G167" s="1691">
        <f>+VLOOKUP(C167,'עלויות תפעול בהתאם לנורמה'!$C$6:$BF$114,$Z$62+1,0)/$I$3*$S$3/$S$3</f>
        <v>0</v>
      </c>
      <c r="H167" s="1378"/>
      <c r="I167" s="1692">
        <f t="shared" si="48"/>
        <v>0</v>
      </c>
      <c r="J167" s="1378"/>
      <c r="K167" s="1376"/>
      <c r="L167" s="1378"/>
      <c r="M167" s="1692">
        <f t="shared" si="49"/>
        <v>0</v>
      </c>
      <c r="N167" s="1376"/>
      <c r="O167" s="1376"/>
      <c r="P167" s="1376"/>
      <c r="Q167" s="1376"/>
      <c r="R167" s="1378"/>
      <c r="S167" s="1375">
        <f t="shared" si="43"/>
        <v>0</v>
      </c>
      <c r="T167" s="1375">
        <f t="shared" si="44"/>
        <v>0</v>
      </c>
      <c r="U167" s="1375">
        <f t="shared" si="45"/>
        <v>0</v>
      </c>
      <c r="V167" s="1375">
        <f t="shared" si="46"/>
        <v>0</v>
      </c>
      <c r="W167" s="1375">
        <f t="shared" si="47"/>
        <v>0</v>
      </c>
      <c r="X167" s="1609"/>
    </row>
    <row r="168" spans="1:24" ht="15.75" x14ac:dyDescent="0.25">
      <c r="A168" s="1622"/>
      <c r="B168" s="1378"/>
      <c r="C168" s="1378" t="s">
        <v>1704</v>
      </c>
      <c r="D168" s="1378"/>
      <c r="E168" s="1378"/>
      <c r="F168" s="1378"/>
      <c r="G168" s="1691">
        <f>+VLOOKUP(C168,'עלויות תפעול בהתאם לנורמה'!$C$6:$BF$114,$Z$62+1,0)/$I$3*$S$3/$S$3</f>
        <v>4.4999999999999997E-3</v>
      </c>
      <c r="H168" s="1378"/>
      <c r="I168" s="1692">
        <f t="shared" si="48"/>
        <v>48.303618749999998</v>
      </c>
      <c r="J168" s="1378"/>
      <c r="K168" s="1376"/>
      <c r="L168" s="1378"/>
      <c r="M168" s="1692">
        <f t="shared" si="49"/>
        <v>48.303618749999998</v>
      </c>
      <c r="N168" s="1376"/>
      <c r="O168" s="1376"/>
      <c r="P168" s="1376"/>
      <c r="Q168" s="1376"/>
      <c r="R168" s="1378"/>
      <c r="S168" s="1375">
        <f t="shared" si="43"/>
        <v>48.303618749999998</v>
      </c>
      <c r="T168" s="1375">
        <f t="shared" si="44"/>
        <v>48.303618749999998</v>
      </c>
      <c r="U168" s="1375">
        <f t="shared" si="45"/>
        <v>48.303618749999998</v>
      </c>
      <c r="V168" s="1375">
        <f t="shared" si="46"/>
        <v>48.303618749999998</v>
      </c>
      <c r="W168" s="1375">
        <f t="shared" si="47"/>
        <v>0</v>
      </c>
      <c r="X168" s="1609"/>
    </row>
    <row r="169" spans="1:24" ht="31.5" x14ac:dyDescent="0.25">
      <c r="A169" s="1622"/>
      <c r="B169" s="1378"/>
      <c r="C169" s="1383" t="s">
        <v>1706</v>
      </c>
      <c r="D169" s="1378"/>
      <c r="E169" s="1378"/>
      <c r="F169" s="1378"/>
      <c r="G169" s="1691">
        <f>+VLOOKUP(C169,'עלויות תפעול בהתאם לנורמה'!$C$6:$BF$114,$Z$62+1,0)/$I$3*$S$3/$S$3</f>
        <v>7.4653299222114309E-5</v>
      </c>
      <c r="H169" s="1378"/>
      <c r="I169" s="1692">
        <f t="shared" si="48"/>
        <v>0.80133877867881798</v>
      </c>
      <c r="J169" s="1378"/>
      <c r="K169" s="1374"/>
      <c r="L169" s="1378"/>
      <c r="M169" s="1692">
        <f t="shared" si="49"/>
        <v>0.80133877867881798</v>
      </c>
      <c r="N169" s="1374"/>
      <c r="O169" s="1374"/>
      <c r="P169" s="1374"/>
      <c r="Q169" s="1374"/>
      <c r="R169" s="1378"/>
      <c r="S169" s="1375">
        <f t="shared" si="43"/>
        <v>0.80133877867881798</v>
      </c>
      <c r="T169" s="1375">
        <f t="shared" si="44"/>
        <v>0.80133877867881798</v>
      </c>
      <c r="U169" s="1375">
        <f t="shared" si="45"/>
        <v>0.80133877867881798</v>
      </c>
      <c r="V169" s="1375">
        <f t="shared" si="46"/>
        <v>0.80133877867881798</v>
      </c>
      <c r="W169" s="1375">
        <f t="shared" si="47"/>
        <v>0</v>
      </c>
      <c r="X169" s="1609"/>
    </row>
    <row r="170" spans="1:24" s="1699" customFormat="1" ht="15.75" x14ac:dyDescent="0.25">
      <c r="A170" s="1622"/>
      <c r="B170" s="1378"/>
      <c r="C170" s="1383" t="s">
        <v>1774</v>
      </c>
      <c r="D170" s="1378"/>
      <c r="E170" s="1378"/>
      <c r="F170" s="1378"/>
      <c r="G170" s="1691">
        <f>+VLOOKUP(C170,'עלויות תפעול בהתאם לנורמה'!$C$6:$BF$114,$Z$62+1,0)/$I$3*$S$3/$S$3</f>
        <v>5.7746865381691971E-2</v>
      </c>
      <c r="H170" s="1378"/>
      <c r="I170" s="1692">
        <f t="shared" si="48"/>
        <v>619.86279320107155</v>
      </c>
      <c r="J170" s="1378"/>
      <c r="K170" s="1374"/>
      <c r="L170" s="1378"/>
      <c r="M170" s="1692">
        <f t="shared" si="49"/>
        <v>619.86279320107155</v>
      </c>
      <c r="N170" s="1374"/>
      <c r="O170" s="1374"/>
      <c r="P170" s="1374"/>
      <c r="Q170" s="1374"/>
      <c r="R170" s="1378"/>
      <c r="S170" s="1375">
        <f t="shared" si="43"/>
        <v>619.86279320107155</v>
      </c>
      <c r="T170" s="1375">
        <f t="shared" si="44"/>
        <v>619.86279320107155</v>
      </c>
      <c r="U170" s="1375">
        <f t="shared" si="45"/>
        <v>619.86279320107155</v>
      </c>
      <c r="V170" s="1375">
        <f t="shared" si="46"/>
        <v>619.86279320107155</v>
      </c>
      <c r="W170" s="1375">
        <f t="shared" si="47"/>
        <v>0</v>
      </c>
    </row>
    <row r="171" spans="1:24" ht="16.5" thickBot="1" x14ac:dyDescent="0.3">
      <c r="A171" s="1622"/>
      <c r="B171" s="1378"/>
      <c r="C171" s="1378"/>
      <c r="D171" s="1378"/>
      <c r="E171" s="1378"/>
      <c r="F171" s="1378"/>
      <c r="G171" s="1700">
        <f>SUM(G153:G170)</f>
        <v>0.43077474780674174</v>
      </c>
      <c r="H171" s="1378"/>
      <c r="I171" s="1664">
        <f>SUM(I153:I170)</f>
        <v>4623.9953744853883</v>
      </c>
      <c r="J171" s="1378"/>
      <c r="K171" s="1664">
        <f>SUM(K153:K169)</f>
        <v>0</v>
      </c>
      <c r="L171" s="1378"/>
      <c r="M171" s="1664">
        <f>SUM(M153:M170)</f>
        <v>4623.9953744853883</v>
      </c>
      <c r="N171" s="1664">
        <f>SUM(N153:N170)-N156-N157-N160+N163</f>
        <v>0</v>
      </c>
      <c r="O171" s="1664">
        <f t="shared" ref="O171:Q171" si="50">SUM(O153:O170)-O156-O157-O160+O163</f>
        <v>0</v>
      </c>
      <c r="P171" s="1664">
        <f t="shared" si="50"/>
        <v>0</v>
      </c>
      <c r="Q171" s="1664">
        <f t="shared" si="50"/>
        <v>0</v>
      </c>
      <c r="R171" s="1388"/>
      <c r="S171" s="1640">
        <f t="shared" si="43"/>
        <v>4623.9953744853883</v>
      </c>
      <c r="T171" s="1640">
        <f t="shared" si="44"/>
        <v>4623.9953744853883</v>
      </c>
      <c r="U171" s="1640">
        <f t="shared" si="45"/>
        <v>4623.9953744853883</v>
      </c>
      <c r="V171" s="1640">
        <f t="shared" si="46"/>
        <v>4623.9953744853883</v>
      </c>
      <c r="W171" s="1640">
        <f t="shared" si="47"/>
        <v>0</v>
      </c>
      <c r="X171" s="1609"/>
    </row>
    <row r="172" spans="1:24" ht="17.25" thickTop="1" thickBot="1" x14ac:dyDescent="0.3">
      <c r="A172" s="1622"/>
      <c r="B172" s="1378"/>
      <c r="C172" s="1689" t="s">
        <v>1805</v>
      </c>
      <c r="D172" s="1378"/>
      <c r="E172" s="1378"/>
      <c r="F172" s="1378"/>
      <c r="G172" s="1701"/>
      <c r="H172" s="1378"/>
      <c r="I172" s="1701">
        <f>+I171/2/I3+I171/2/I4</f>
        <v>0.43078275642553981</v>
      </c>
      <c r="J172" s="1668"/>
      <c r="K172" s="1702">
        <f>K171/I3</f>
        <v>0</v>
      </c>
      <c r="L172" s="1378"/>
      <c r="M172" s="1378"/>
      <c r="N172" s="1378"/>
      <c r="O172" s="1378"/>
      <c r="P172" s="1378"/>
      <c r="Q172" s="1378"/>
      <c r="R172" s="1378"/>
      <c r="S172" s="1702">
        <f>I172-K172</f>
        <v>0.43078275642553981</v>
      </c>
      <c r="T172" s="1702"/>
      <c r="U172" s="1702"/>
      <c r="V172" s="1702"/>
      <c r="W172" s="1702"/>
      <c r="X172" s="1609"/>
    </row>
    <row r="173" spans="1:24" ht="36.75" thickTop="1" x14ac:dyDescent="0.4">
      <c r="A173" s="1602" t="s">
        <v>1849</v>
      </c>
      <c r="B173" s="1603" t="s">
        <v>166</v>
      </c>
      <c r="C173" s="1703" t="s">
        <v>1850</v>
      </c>
      <c r="D173" s="1378"/>
      <c r="E173" s="1378"/>
      <c r="F173" s="1378"/>
      <c r="G173" s="1378"/>
      <c r="H173" s="1378"/>
      <c r="I173" s="1704"/>
      <c r="J173" s="1378"/>
      <c r="K173" s="1378"/>
      <c r="L173" s="1378"/>
      <c r="M173" s="1378"/>
      <c r="N173" s="1378"/>
      <c r="O173" s="1378"/>
      <c r="P173" s="1378"/>
      <c r="Q173" s="1378"/>
      <c r="R173" s="1378"/>
      <c r="S173" s="1378"/>
      <c r="T173" s="1378"/>
      <c r="U173" s="1378"/>
      <c r="V173" s="1378"/>
      <c r="W173" s="1378"/>
      <c r="X173" s="1609"/>
    </row>
    <row r="174" spans="1:24" ht="15.75" x14ac:dyDescent="0.25">
      <c r="A174" s="1705"/>
      <c r="B174" s="1706"/>
      <c r="C174" s="1706"/>
      <c r="D174" s="1706"/>
      <c r="E174" s="1706"/>
      <c r="F174" s="1706"/>
      <c r="G174" s="1706"/>
      <c r="H174" s="1706"/>
      <c r="I174" s="1706"/>
      <c r="J174" s="1706"/>
      <c r="K174" s="1706"/>
      <c r="L174" s="1706"/>
      <c r="M174" s="1706"/>
      <c r="N174" s="1706"/>
      <c r="O174" s="1706"/>
      <c r="P174" s="1706"/>
      <c r="Q174" s="1706"/>
      <c r="R174" s="1706"/>
      <c r="S174" s="1706"/>
      <c r="T174" s="1706"/>
      <c r="U174" s="1706"/>
      <c r="V174" s="1706"/>
      <c r="W174" s="1378"/>
      <c r="X174" s="1609"/>
    </row>
    <row r="175" spans="1:24" ht="18" hidden="1" x14ac:dyDescent="0.4">
      <c r="A175" s="1707"/>
      <c r="B175" s="1708"/>
      <c r="C175" s="1667" t="s">
        <v>1816</v>
      </c>
      <c r="D175" s="1706"/>
      <c r="E175" s="1706"/>
      <c r="F175" s="1706"/>
      <c r="G175" s="1706"/>
      <c r="H175" s="1706"/>
      <c r="I175" s="1856" t="str">
        <f>IF(OR(LEN('[27]פרטים על התאגיד'!$G$13)&gt;4, LEN('[27]פרטים על התאגיד'!$G$11)&gt;4), "לתקופה", " לשנה שנסתיימה ביום 31 בדצמבר")</f>
        <v xml:space="preserve"> לשנה שנסתיימה ביום 31 בדצמבר</v>
      </c>
      <c r="J175" s="1856"/>
      <c r="K175" s="1856"/>
      <c r="L175" s="1856"/>
      <c r="M175" s="1856"/>
      <c r="N175" s="1856"/>
      <c r="O175" s="1856"/>
      <c r="P175" s="1856"/>
      <c r="Q175" s="1856"/>
      <c r="R175" s="1856"/>
      <c r="S175" s="1856"/>
      <c r="T175" s="1680"/>
      <c r="U175" s="1680"/>
      <c r="V175" s="1680"/>
      <c r="W175" s="1680"/>
      <c r="X175" s="1609"/>
    </row>
    <row r="176" spans="1:24" ht="94.5" x14ac:dyDescent="0.25">
      <c r="A176" s="1622"/>
      <c r="B176" s="1378"/>
      <c r="C176" s="1703" t="s">
        <v>1850</v>
      </c>
      <c r="D176" s="1378"/>
      <c r="E176" s="1378"/>
      <c r="F176" s="1378"/>
      <c r="G176" s="1626" t="s">
        <v>1800</v>
      </c>
      <c r="H176" s="1378"/>
      <c r="I176" s="1626" t="s">
        <v>1962</v>
      </c>
      <c r="J176" s="1378"/>
      <c r="K176" s="1631" t="s">
        <v>1963</v>
      </c>
      <c r="L176" s="1378"/>
      <c r="M176" s="1626" t="s">
        <v>1801</v>
      </c>
      <c r="N176" s="1631" t="s">
        <v>1964</v>
      </c>
      <c r="O176" s="1634" t="s">
        <v>1965</v>
      </c>
      <c r="P176" s="1633" t="s">
        <v>1966</v>
      </c>
      <c r="Q176" s="1632" t="s">
        <v>1967</v>
      </c>
      <c r="R176" s="1388"/>
      <c r="S176" s="1631" t="s">
        <v>1968</v>
      </c>
      <c r="T176" s="1632" t="s">
        <v>1969</v>
      </c>
      <c r="U176" s="1633" t="s">
        <v>1970</v>
      </c>
      <c r="V176" s="1634" t="s">
        <v>1971</v>
      </c>
      <c r="W176" s="1632" t="s">
        <v>1972</v>
      </c>
      <c r="X176" s="1609"/>
    </row>
    <row r="177" spans="1:24" ht="15.75" x14ac:dyDescent="0.25">
      <c r="A177" s="1622"/>
      <c r="B177" s="1378"/>
      <c r="C177" s="1378" t="s">
        <v>1309</v>
      </c>
      <c r="D177" s="1378"/>
      <c r="E177" s="1378"/>
      <c r="F177" s="1378"/>
      <c r="G177" s="1691">
        <f>+VLOOKUP(C177,'עלויות תפעול בהתאם לנורמה'!$C$6:$BF$114,$Z$62+1,0)/$I$3*$S$3/$S$3</f>
        <v>0.19865014535611786</v>
      </c>
      <c r="H177" s="1378"/>
      <c r="I177" s="1692">
        <f>+VLOOKUP(C177,'עלויות תפעול בהתאם לנורמה'!$C$6:$BF$114,$Z$62+1,0)/$I$3*$S$3</f>
        <v>2162.9473200000002</v>
      </c>
      <c r="J177" s="1378"/>
      <c r="K177" s="1381"/>
      <c r="L177" s="1378"/>
      <c r="M177" s="1692"/>
      <c r="N177" s="1381"/>
      <c r="O177" s="1381"/>
      <c r="P177" s="1381"/>
      <c r="Q177" s="1381"/>
      <c r="R177" s="1378"/>
      <c r="S177" s="1375">
        <f t="shared" ref="S177:S190" si="51">I177-K177</f>
        <v>2162.9473200000002</v>
      </c>
      <c r="T177" s="1375">
        <f t="shared" ref="T177:T190" si="52">M177-Q177</f>
        <v>0</v>
      </c>
      <c r="U177" s="1375">
        <f t="shared" ref="U177:U190" si="53">M177-P177</f>
        <v>0</v>
      </c>
      <c r="V177" s="1375">
        <f t="shared" ref="V177:V190" si="54">M177-O177</f>
        <v>0</v>
      </c>
      <c r="W177" s="1375">
        <f t="shared" ref="W177:W190" si="55">Q177-K177</f>
        <v>0</v>
      </c>
      <c r="X177" s="1609"/>
    </row>
    <row r="178" spans="1:24" ht="15.75" x14ac:dyDescent="0.25">
      <c r="A178" s="1622"/>
      <c r="B178" s="1378"/>
      <c r="C178" s="1378" t="s">
        <v>1775</v>
      </c>
      <c r="D178" s="1625"/>
      <c r="E178" s="1625"/>
      <c r="F178" s="1378"/>
      <c r="G178" s="1691">
        <f>+VLOOKUP(C178,'עלויות תפעול בהתאם לנורמה'!$C$6:$BF$114,$Z$62+1,0)/$I$3*$S$3/$S$3</f>
        <v>4.1927865519154173E-2</v>
      </c>
      <c r="H178" s="1378"/>
      <c r="I178" s="1692">
        <f>+VLOOKUP(C178,'עלויות תפעול בהתאם לנורמה'!$C$6:$BF$114,$Z$62+1,0)/$I$3*$S$3</f>
        <v>456.52000000000004</v>
      </c>
      <c r="J178" s="1378"/>
      <c r="K178" s="1376"/>
      <c r="L178" s="1378"/>
      <c r="M178" s="1375"/>
      <c r="N178" s="1376"/>
      <c r="O178" s="1376"/>
      <c r="P178" s="1376"/>
      <c r="Q178" s="1376"/>
      <c r="R178" s="1378"/>
      <c r="S178" s="1375">
        <f t="shared" si="51"/>
        <v>456.52000000000004</v>
      </c>
      <c r="T178" s="1375">
        <f t="shared" si="52"/>
        <v>0</v>
      </c>
      <c r="U178" s="1375">
        <f t="shared" si="53"/>
        <v>0</v>
      </c>
      <c r="V178" s="1375">
        <f t="shared" si="54"/>
        <v>0</v>
      </c>
      <c r="W178" s="1375">
        <f t="shared" si="55"/>
        <v>0</v>
      </c>
      <c r="X178" s="1609"/>
    </row>
    <row r="179" spans="1:24" ht="15.75" x14ac:dyDescent="0.25">
      <c r="A179" s="1622"/>
      <c r="B179" s="1378"/>
      <c r="C179" s="1378" t="s">
        <v>1717</v>
      </c>
      <c r="D179" s="1625"/>
      <c r="E179" s="1625"/>
      <c r="F179" s="1378"/>
      <c r="G179" s="1691">
        <f>+VLOOKUP(C179,'עלויות תפעול בהתאם לנורמה'!$C$6:$BF$114,$Z$62+1,0)/$I$3*$S$3/$S$3</f>
        <v>1.1131291730748895E-2</v>
      </c>
      <c r="H179" s="1378"/>
      <c r="I179" s="1692">
        <f>+VLOOKUP(C179,'עלויות תפעול בהתאם לנורמה'!$C$6:$BF$114,$Z$62+1,0)/$I$3*$S$3</f>
        <v>121.20000000000002</v>
      </c>
      <c r="J179" s="1378"/>
      <c r="K179" s="1376"/>
      <c r="L179" s="1389"/>
      <c r="M179" s="1375"/>
      <c r="N179" s="1376"/>
      <c r="O179" s="1376"/>
      <c r="P179" s="1376"/>
      <c r="Q179" s="1376"/>
      <c r="R179" s="1378"/>
      <c r="S179" s="1375">
        <f t="shared" si="51"/>
        <v>121.20000000000002</v>
      </c>
      <c r="T179" s="1375">
        <f t="shared" si="52"/>
        <v>0</v>
      </c>
      <c r="U179" s="1375">
        <f t="shared" si="53"/>
        <v>0</v>
      </c>
      <c r="V179" s="1375">
        <f t="shared" si="54"/>
        <v>0</v>
      </c>
      <c r="W179" s="1375">
        <f t="shared" si="55"/>
        <v>0</v>
      </c>
      <c r="X179" s="1609"/>
    </row>
    <row r="180" spans="1:24" ht="15.75" x14ac:dyDescent="0.25">
      <c r="A180" s="1622"/>
      <c r="B180" s="1378"/>
      <c r="C180" s="1378" t="s">
        <v>1776</v>
      </c>
      <c r="D180" s="1625"/>
      <c r="E180" s="1625"/>
      <c r="F180" s="1378"/>
      <c r="G180" s="1691">
        <f>+VLOOKUP(C180,'עלויות תפעול בהתאם לנורמה'!$C$6:$BF$114,$Z$62+1,0)/$I$3*$S$3/$S$3</f>
        <v>1.3357550076898676E-2</v>
      </c>
      <c r="H180" s="1378"/>
      <c r="I180" s="1692">
        <f>+VLOOKUP(C180,'עלויות תפעול בהתאם לנורמה'!$C$6:$BF$114,$Z$62+1,0)/$I$3*$S$3</f>
        <v>145.44000000000003</v>
      </c>
      <c r="J180" s="1378"/>
      <c r="K180" s="1376"/>
      <c r="L180" s="1378"/>
      <c r="M180" s="1375"/>
      <c r="N180" s="1376"/>
      <c r="O180" s="1376"/>
      <c r="P180" s="1376"/>
      <c r="Q180" s="1376"/>
      <c r="R180" s="1378"/>
      <c r="S180" s="1375">
        <f t="shared" si="51"/>
        <v>145.44000000000003</v>
      </c>
      <c r="T180" s="1375">
        <f t="shared" si="52"/>
        <v>0</v>
      </c>
      <c r="U180" s="1375">
        <f t="shared" si="53"/>
        <v>0</v>
      </c>
      <c r="V180" s="1375">
        <f t="shared" si="54"/>
        <v>0</v>
      </c>
      <c r="W180" s="1375">
        <f t="shared" si="55"/>
        <v>0</v>
      </c>
      <c r="X180" s="1609"/>
    </row>
    <row r="181" spans="1:24" ht="15.75" x14ac:dyDescent="0.25">
      <c r="A181" s="1622"/>
      <c r="B181" s="1378"/>
      <c r="C181" s="1378" t="s">
        <v>1777</v>
      </c>
      <c r="D181" s="1625"/>
      <c r="E181" s="1625"/>
      <c r="F181" s="1378"/>
      <c r="G181" s="1691">
        <f>+VLOOKUP(C181,'עלויות תפעול בהתאם לנורמה'!$C$6:$BF$114,$Z$62+1,0)/$I$3*$S$3/$S$3</f>
        <v>5.5656458653744476E-3</v>
      </c>
      <c r="H181" s="1378"/>
      <c r="I181" s="1692">
        <f>+VLOOKUP(C181,'עלויות תפעול בהתאם לנורמה'!$C$6:$BF$114,$Z$62+1,0)/$I$3*$S$3</f>
        <v>60.600000000000009</v>
      </c>
      <c r="J181" s="1378"/>
      <c r="K181" s="1376"/>
      <c r="L181" s="1378"/>
      <c r="M181" s="1375"/>
      <c r="N181" s="1376"/>
      <c r="O181" s="1376"/>
      <c r="P181" s="1376"/>
      <c r="Q181" s="1376"/>
      <c r="R181" s="1378"/>
      <c r="S181" s="1375">
        <f t="shared" si="51"/>
        <v>60.600000000000009</v>
      </c>
      <c r="T181" s="1375">
        <f t="shared" si="52"/>
        <v>0</v>
      </c>
      <c r="U181" s="1375">
        <f t="shared" si="53"/>
        <v>0</v>
      </c>
      <c r="V181" s="1375">
        <f t="shared" si="54"/>
        <v>0</v>
      </c>
      <c r="W181" s="1375">
        <f t="shared" si="55"/>
        <v>0</v>
      </c>
      <c r="X181" s="1609"/>
    </row>
    <row r="182" spans="1:24" ht="15.75" x14ac:dyDescent="0.25">
      <c r="A182" s="1622"/>
      <c r="B182" s="1378"/>
      <c r="C182" s="1378" t="s">
        <v>1718</v>
      </c>
      <c r="D182" s="1625"/>
      <c r="E182" s="1625"/>
      <c r="F182" s="1378"/>
      <c r="G182" s="1691">
        <f>+VLOOKUP(C182,'עלויות תפעול בהתאם לנורמה'!$C$6:$BF$114,$Z$62+1,0)/$I$3*$S$3/$S$3</f>
        <v>3.339387519224669E-3</v>
      </c>
      <c r="H182" s="1378"/>
      <c r="I182" s="1692">
        <f>+VLOOKUP(C182,'עלויות תפעול בהתאם לנורמה'!$C$6:$BF$114,$Z$62+1,0)/$I$3*$S$3</f>
        <v>36.360000000000007</v>
      </c>
      <c r="J182" s="1378"/>
      <c r="K182" s="1376"/>
      <c r="L182" s="1378"/>
      <c r="M182" s="1375"/>
      <c r="N182" s="1376"/>
      <c r="O182" s="1376"/>
      <c r="P182" s="1376"/>
      <c r="Q182" s="1376"/>
      <c r="R182" s="1378"/>
      <c r="S182" s="1375">
        <f t="shared" si="51"/>
        <v>36.360000000000007</v>
      </c>
      <c r="T182" s="1375">
        <f t="shared" si="52"/>
        <v>0</v>
      </c>
      <c r="U182" s="1375">
        <f t="shared" si="53"/>
        <v>0</v>
      </c>
      <c r="V182" s="1375">
        <f t="shared" si="54"/>
        <v>0</v>
      </c>
      <c r="W182" s="1375">
        <f t="shared" si="55"/>
        <v>0</v>
      </c>
      <c r="X182" s="1609"/>
    </row>
    <row r="183" spans="1:24" ht="15.75" x14ac:dyDescent="0.25">
      <c r="A183" s="1622"/>
      <c r="B183" s="1378"/>
      <c r="C183" s="1378" t="s">
        <v>1315</v>
      </c>
      <c r="D183" s="1378"/>
      <c r="E183" s="1378"/>
      <c r="F183" s="1378"/>
      <c r="G183" s="1691">
        <f>+VLOOKUP(C183,'עלויות תפעול בהתאם לנורמה'!$C$6:$BF$114,$Z$62+1,0)/$I$3*$S$3/$S$3</f>
        <v>9.8017727300480067E-3</v>
      </c>
      <c r="H183" s="1378"/>
      <c r="I183" s="1692">
        <f>+VLOOKUP(C183,'עלויות תפעול בהתאם לנורמה'!$C$6:$BF$114,$Z$62+1,0)/$I$3*$S$3</f>
        <v>106.72389904220879</v>
      </c>
      <c r="J183" s="1378"/>
      <c r="K183" s="1376"/>
      <c r="L183" s="1378"/>
      <c r="M183" s="1375"/>
      <c r="N183" s="1376"/>
      <c r="O183" s="1376"/>
      <c r="P183" s="1376"/>
      <c r="Q183" s="1376"/>
      <c r="R183" s="1378"/>
      <c r="S183" s="1375">
        <f t="shared" si="51"/>
        <v>106.72389904220879</v>
      </c>
      <c r="T183" s="1375">
        <f t="shared" si="52"/>
        <v>0</v>
      </c>
      <c r="U183" s="1375">
        <f t="shared" si="53"/>
        <v>0</v>
      </c>
      <c r="V183" s="1375">
        <f t="shared" si="54"/>
        <v>0</v>
      </c>
      <c r="W183" s="1375">
        <f t="shared" si="55"/>
        <v>0</v>
      </c>
      <c r="X183" s="1609"/>
    </row>
    <row r="184" spans="1:24" ht="15.75" x14ac:dyDescent="0.25">
      <c r="A184" s="1622"/>
      <c r="B184" s="1378"/>
      <c r="C184" s="1377" t="s">
        <v>1778</v>
      </c>
      <c r="D184" s="1378"/>
      <c r="E184" s="1378"/>
      <c r="F184" s="1378"/>
      <c r="G184" s="1691">
        <f>+VLOOKUP(C184,'עלויות תפעול בהתאם לנורמה'!$C$6:$BF$114,$Z$62+1,0)/$I$3*$S$3/$S$3</f>
        <v>2.7828229326872237E-2</v>
      </c>
      <c r="H184" s="1378"/>
      <c r="I184" s="1692">
        <f>+VLOOKUP(C184,'עלויות תפעול בהתאם לנורמה'!$C$6:$BF$114,$Z$62+1,0)/$I$3*$S$3</f>
        <v>303</v>
      </c>
      <c r="J184" s="1378"/>
      <c r="K184" s="1376"/>
      <c r="L184" s="1378"/>
      <c r="M184" s="1375"/>
      <c r="N184" s="1376"/>
      <c r="O184" s="1376"/>
      <c r="P184" s="1376"/>
      <c r="Q184" s="1376"/>
      <c r="R184" s="1378"/>
      <c r="S184" s="1375">
        <f t="shared" si="51"/>
        <v>303</v>
      </c>
      <c r="T184" s="1375">
        <f t="shared" si="52"/>
        <v>0</v>
      </c>
      <c r="U184" s="1375">
        <f t="shared" si="53"/>
        <v>0</v>
      </c>
      <c r="V184" s="1375">
        <f t="shared" si="54"/>
        <v>0</v>
      </c>
      <c r="W184" s="1375">
        <f t="shared" si="55"/>
        <v>0</v>
      </c>
      <c r="X184" s="1709" t="s">
        <v>1973</v>
      </c>
    </row>
    <row r="185" spans="1:24" ht="15.75" x14ac:dyDescent="0.25">
      <c r="A185" s="1622"/>
      <c r="B185" s="1378"/>
      <c r="C185" s="1378" t="s">
        <v>1779</v>
      </c>
      <c r="D185" s="1378"/>
      <c r="E185" s="1378"/>
      <c r="F185" s="1378"/>
      <c r="G185" s="1691">
        <f>+VLOOKUP(C185,'עלויות תפעול בהתאם לנורמה'!$C$6:$BF$114,$Z$62+1,0)/$I$3*$S$3/$S$3</f>
        <v>0</v>
      </c>
      <c r="H185" s="1378"/>
      <c r="I185" s="1692">
        <f>+VLOOKUP(C185,'עלויות תפעול בהתאם לנורמה'!$C$6:$BF$114,$Z$62+1,0)/$I$3*$S$3</f>
        <v>0</v>
      </c>
      <c r="J185" s="1378"/>
      <c r="K185" s="1376"/>
      <c r="L185" s="1378"/>
      <c r="M185" s="1375"/>
      <c r="N185" s="1376"/>
      <c r="O185" s="1376"/>
      <c r="P185" s="1376"/>
      <c r="Q185" s="1376"/>
      <c r="R185" s="1378"/>
      <c r="S185" s="1375">
        <f t="shared" si="51"/>
        <v>0</v>
      </c>
      <c r="T185" s="1375">
        <f t="shared" si="52"/>
        <v>0</v>
      </c>
      <c r="U185" s="1375">
        <f t="shared" si="53"/>
        <v>0</v>
      </c>
      <c r="V185" s="1375">
        <f t="shared" si="54"/>
        <v>0</v>
      </c>
      <c r="W185" s="1375">
        <f t="shared" si="55"/>
        <v>0</v>
      </c>
      <c r="X185" s="1609"/>
    </row>
    <row r="186" spans="1:24" ht="15.75" x14ac:dyDescent="0.25">
      <c r="A186" s="1622"/>
      <c r="B186" s="1378"/>
      <c r="C186" s="1648" t="s">
        <v>1317</v>
      </c>
      <c r="D186" s="1378"/>
      <c r="E186" s="1378"/>
      <c r="F186" s="1378"/>
      <c r="G186" s="1691">
        <f>+VLOOKUP(C186,'עלויות תפעול בהתאם לנורמה'!$C$6:$BF$114,$Z$62+1,0)/$I$3*$S$3/$S$3</f>
        <v>2.003632511534801E-2</v>
      </c>
      <c r="H186" s="1378"/>
      <c r="I186" s="1692">
        <f>+VLOOKUP(C186,'עלויות תפעול בהתאם לנורמה'!$C$6:$BF$114,$Z$62+1,0)/$I$3*$S$3</f>
        <v>218.16</v>
      </c>
      <c r="J186" s="1378"/>
      <c r="K186" s="1376"/>
      <c r="L186" s="1378"/>
      <c r="M186" s="1375"/>
      <c r="N186" s="1376"/>
      <c r="O186" s="1376"/>
      <c r="P186" s="1376"/>
      <c r="Q186" s="1376"/>
      <c r="R186" s="1378"/>
      <c r="S186" s="1375">
        <f t="shared" si="51"/>
        <v>218.16</v>
      </c>
      <c r="T186" s="1375">
        <f t="shared" si="52"/>
        <v>0</v>
      </c>
      <c r="U186" s="1375">
        <f t="shared" si="53"/>
        <v>0</v>
      </c>
      <c r="V186" s="1375">
        <f t="shared" si="54"/>
        <v>0</v>
      </c>
      <c r="W186" s="1375">
        <f t="shared" si="55"/>
        <v>0</v>
      </c>
      <c r="X186" s="1609"/>
    </row>
    <row r="187" spans="1:24" ht="15.75" x14ac:dyDescent="0.25">
      <c r="A187" s="1622"/>
      <c r="B187" s="1378"/>
      <c r="C187" s="1378" t="s">
        <v>1851</v>
      </c>
      <c r="D187" s="1378"/>
      <c r="E187" s="1378"/>
      <c r="F187" s="1378"/>
      <c r="G187" s="1691">
        <v>0</v>
      </c>
      <c r="H187" s="1378"/>
      <c r="I187" s="1692">
        <v>0</v>
      </c>
      <c r="J187" s="1378"/>
      <c r="K187" s="1376"/>
      <c r="L187" s="1378"/>
      <c r="M187" s="1375"/>
      <c r="N187" s="1376"/>
      <c r="O187" s="1376"/>
      <c r="P187" s="1376"/>
      <c r="Q187" s="1376"/>
      <c r="R187" s="1378"/>
      <c r="S187" s="1375">
        <f t="shared" si="51"/>
        <v>0</v>
      </c>
      <c r="T187" s="1375">
        <f t="shared" si="52"/>
        <v>0</v>
      </c>
      <c r="U187" s="1375">
        <f t="shared" si="53"/>
        <v>0</v>
      </c>
      <c r="V187" s="1375">
        <f t="shared" si="54"/>
        <v>0</v>
      </c>
      <c r="W187" s="1375">
        <f t="shared" si="55"/>
        <v>0</v>
      </c>
      <c r="X187" s="1609"/>
    </row>
    <row r="188" spans="1:24" ht="15.75" x14ac:dyDescent="0.25">
      <c r="A188" s="1622"/>
      <c r="B188" s="1378"/>
      <c r="C188" s="1378" t="s">
        <v>1726</v>
      </c>
      <c r="D188" s="1378"/>
      <c r="E188" s="1378"/>
      <c r="F188" s="1378"/>
      <c r="G188" s="1691">
        <v>0</v>
      </c>
      <c r="H188" s="1378"/>
      <c r="I188" s="1692">
        <v>0</v>
      </c>
      <c r="J188" s="1378"/>
      <c r="K188" s="1376"/>
      <c r="L188" s="1378"/>
      <c r="M188" s="1375"/>
      <c r="N188" s="1376"/>
      <c r="O188" s="1376"/>
      <c r="P188" s="1376"/>
      <c r="Q188" s="1376"/>
      <c r="R188" s="1378"/>
      <c r="S188" s="1375">
        <f t="shared" si="51"/>
        <v>0</v>
      </c>
      <c r="T188" s="1375">
        <f t="shared" si="52"/>
        <v>0</v>
      </c>
      <c r="U188" s="1375">
        <f t="shared" si="53"/>
        <v>0</v>
      </c>
      <c r="V188" s="1375">
        <f t="shared" si="54"/>
        <v>0</v>
      </c>
      <c r="W188" s="1375">
        <f t="shared" si="55"/>
        <v>0</v>
      </c>
      <c r="X188" s="1609"/>
    </row>
    <row r="189" spans="1:24" ht="15.75" x14ac:dyDescent="0.25">
      <c r="A189" s="1622"/>
      <c r="B189" s="1378"/>
      <c r="C189" s="1378" t="s">
        <v>1336</v>
      </c>
      <c r="D189" s="1378"/>
      <c r="E189" s="1378"/>
      <c r="F189" s="1378"/>
      <c r="G189" s="1691">
        <f>+VLOOKUP(C189,'עלויות תפעול בהתאם לנורמה'!$C$6:$BF$114,$Z$62+1,0)/$I$3*$S$3/$S$3</f>
        <v>4.4525166922995581E-3</v>
      </c>
      <c r="H189" s="1378"/>
      <c r="I189" s="1692">
        <f>+VLOOKUP(C189,'עלויות תפעול בהתאם לנורמה'!$C$6:$BF$114,$Z$62+1,0)/$I$3*$S$3</f>
        <v>48.480000000000004</v>
      </c>
      <c r="J189" s="1378"/>
      <c r="K189" s="1376"/>
      <c r="L189" s="1378"/>
      <c r="M189" s="1375"/>
      <c r="N189" s="1376"/>
      <c r="O189" s="1376"/>
      <c r="P189" s="1376"/>
      <c r="Q189" s="1376"/>
      <c r="R189" s="1378"/>
      <c r="S189" s="1375">
        <f t="shared" si="51"/>
        <v>48.480000000000004</v>
      </c>
      <c r="T189" s="1375">
        <f t="shared" si="52"/>
        <v>0</v>
      </c>
      <c r="U189" s="1375">
        <f t="shared" si="53"/>
        <v>0</v>
      </c>
      <c r="V189" s="1375">
        <f t="shared" si="54"/>
        <v>0</v>
      </c>
      <c r="W189" s="1375">
        <f t="shared" si="55"/>
        <v>0</v>
      </c>
      <c r="X189" s="1609"/>
    </row>
    <row r="190" spans="1:24" ht="15.75" x14ac:dyDescent="0.25">
      <c r="A190" s="1622"/>
      <c r="B190" s="1378"/>
      <c r="C190" s="1378" t="s">
        <v>1782</v>
      </c>
      <c r="D190" s="1648"/>
      <c r="E190" s="1648"/>
      <c r="F190" s="1378"/>
      <c r="G190" s="1691">
        <f>+VLOOKUP(C190,'עלויות תפעול בהתאם לנורמה'!$C$6:$BF$114,$Z$62+1,0)/$I$3*$S$3/$S$3</f>
        <v>3.710430576916298E-2</v>
      </c>
      <c r="H190" s="1378"/>
      <c r="I190" s="1692">
        <f>+VLOOKUP(C190,'עלויות תפעול בהתאם לנורמה'!$C$6:$BF$114,$Z$62+1,0)/$I$3*$S$3</f>
        <v>404</v>
      </c>
      <c r="J190" s="1378"/>
      <c r="K190" s="1376"/>
      <c r="L190" s="1378"/>
      <c r="M190" s="1375"/>
      <c r="N190" s="1376"/>
      <c r="O190" s="1376"/>
      <c r="P190" s="1376"/>
      <c r="Q190" s="1376"/>
      <c r="R190" s="1378"/>
      <c r="S190" s="1375">
        <f t="shared" si="51"/>
        <v>404</v>
      </c>
      <c r="T190" s="1375">
        <f t="shared" si="52"/>
        <v>0</v>
      </c>
      <c r="U190" s="1375">
        <f t="shared" si="53"/>
        <v>0</v>
      </c>
      <c r="V190" s="1375">
        <f t="shared" si="54"/>
        <v>0</v>
      </c>
      <c r="W190" s="1375">
        <f t="shared" si="55"/>
        <v>0</v>
      </c>
      <c r="X190" s="1609"/>
    </row>
    <row r="191" spans="1:24" ht="20.25" customHeight="1" x14ac:dyDescent="0.25">
      <c r="A191" s="1622"/>
      <c r="B191" s="1378"/>
      <c r="C191" s="1384" t="s">
        <v>1852</v>
      </c>
      <c r="D191" s="1383"/>
      <c r="E191" s="1648"/>
      <c r="F191" s="1378"/>
      <c r="G191" s="1691">
        <v>0</v>
      </c>
      <c r="H191" s="1378"/>
      <c r="I191" s="1385">
        <f>+I192*I3</f>
        <v>1774.01953870744</v>
      </c>
      <c r="J191" s="1378"/>
      <c r="K191" s="1385"/>
      <c r="L191" s="1378"/>
      <c r="M191" s="1385"/>
      <c r="N191" s="1385"/>
      <c r="O191" s="1385"/>
      <c r="P191" s="1385"/>
      <c r="Q191" s="1385"/>
      <c r="R191" s="1378"/>
      <c r="S191" s="1385">
        <f>I191-K193</f>
        <v>1774.01953870744</v>
      </c>
      <c r="T191" s="1385">
        <f>M191-Q193</f>
        <v>0</v>
      </c>
      <c r="U191" s="1385"/>
      <c r="V191" s="1385"/>
      <c r="W191" s="1385"/>
      <c r="X191" s="1609"/>
    </row>
    <row r="192" spans="1:24" ht="20.25" customHeight="1" x14ac:dyDescent="0.25">
      <c r="A192" s="1622"/>
      <c r="B192" s="1378"/>
      <c r="C192" s="1384" t="s">
        <v>1049</v>
      </c>
      <c r="D192" s="1383"/>
      <c r="E192" s="1648"/>
      <c r="F192" s="1378"/>
      <c r="G192" s="1691">
        <f>+VLOOKUP(C192,'עלויות תפעול בהתאם לנורמה'!$C$6:$BF$114,$Z$62+1,0)/$I$3*$S$3/$S$3</f>
        <v>1.4278486782064006E-5</v>
      </c>
      <c r="H192" s="1378"/>
      <c r="I192" s="1710">
        <f>+VLOOKUP(C192,'[28]עלויות תפעול בהתאם לנורמות'!$C$6:$DF$122,$Z$62+1,0)/$I$3*$S$3</f>
        <v>0.1645594085116758</v>
      </c>
      <c r="J192" s="1378"/>
      <c r="K192" s="1385"/>
      <c r="L192" s="1378"/>
      <c r="M192" s="1385"/>
      <c r="N192" s="1385"/>
      <c r="O192" s="1385"/>
      <c r="P192" s="1385"/>
      <c r="Q192" s="1385"/>
      <c r="R192" s="1378"/>
      <c r="S192" s="1385"/>
      <c r="T192" s="1385"/>
      <c r="U192" s="1385"/>
      <c r="V192" s="1385"/>
      <c r="W192" s="1385"/>
      <c r="X192" s="1609"/>
    </row>
    <row r="193" spans="1:24" ht="33.75" customHeight="1" thickBot="1" x14ac:dyDescent="0.3">
      <c r="A193" s="1622"/>
      <c r="B193" s="1378"/>
      <c r="C193" s="1383" t="s">
        <v>1853</v>
      </c>
      <c r="D193" s="1383"/>
      <c r="E193" s="1378"/>
      <c r="F193" s="1378"/>
      <c r="G193" s="1700">
        <f>SUM(G177:G190)</f>
        <v>0.37319503570124951</v>
      </c>
      <c r="H193" s="1378"/>
      <c r="I193" s="1664">
        <f>SUM(I177:I190)</f>
        <v>4063.4312190422088</v>
      </c>
      <c r="J193" s="1378"/>
      <c r="K193" s="1664">
        <f>SUM(K177:K190)</f>
        <v>0</v>
      </c>
      <c r="L193" s="1378"/>
      <c r="M193" s="1664">
        <f>SUM(M177:M190)</f>
        <v>0</v>
      </c>
      <c r="N193" s="1664">
        <f>SUM(N177:N190)</f>
        <v>0</v>
      </c>
      <c r="O193" s="1664">
        <f t="shared" ref="O193:P193" si="56">SUM(O177:O190)</f>
        <v>0</v>
      </c>
      <c r="P193" s="1664">
        <f t="shared" si="56"/>
        <v>0</v>
      </c>
      <c r="Q193" s="1664">
        <f>SUM(Q177:Q190)</f>
        <v>0</v>
      </c>
      <c r="R193" s="1388"/>
      <c r="S193" s="1640">
        <f t="shared" ref="S193" si="57">I193-K193</f>
        <v>4063.4312190422088</v>
      </c>
      <c r="T193" s="1640">
        <f t="shared" ref="T193" si="58">M193-Q193</f>
        <v>0</v>
      </c>
      <c r="U193" s="1640">
        <f t="shared" ref="U193" si="59">M193-P193</f>
        <v>0</v>
      </c>
      <c r="V193" s="1640">
        <f t="shared" ref="V193" si="60">M193-O193</f>
        <v>0</v>
      </c>
      <c r="W193" s="1640">
        <f t="shared" ref="W193" si="61">Q193-K193</f>
        <v>0</v>
      </c>
      <c r="X193" s="1646"/>
    </row>
    <row r="194" spans="1:24" ht="17.25" thickTop="1" thickBot="1" x14ac:dyDescent="0.3">
      <c r="A194" s="1622"/>
      <c r="B194" s="1378"/>
      <c r="C194" s="1703" t="s">
        <v>1823</v>
      </c>
      <c r="D194" s="1661"/>
      <c r="E194" s="1378"/>
      <c r="F194" s="1378"/>
      <c r="G194" s="1700"/>
      <c r="H194" s="1378"/>
      <c r="I194" s="1700">
        <f>I193/I3</f>
        <v>0.37692698605826197</v>
      </c>
      <c r="J194" s="1378"/>
      <c r="K194" s="1700">
        <f>K193/I3</f>
        <v>0</v>
      </c>
      <c r="L194" s="1378"/>
      <c r="M194" s="1643"/>
      <c r="N194" s="1643"/>
      <c r="O194" s="1643"/>
      <c r="P194" s="1643"/>
      <c r="Q194" s="1643"/>
      <c r="R194" s="1378"/>
      <c r="S194" s="1700">
        <f>I194-K194</f>
        <v>0.37692698605826197</v>
      </c>
      <c r="T194" s="1700"/>
      <c r="U194" s="1700"/>
      <c r="V194" s="1700"/>
      <c r="W194" s="1700"/>
      <c r="X194" s="1609"/>
    </row>
    <row r="195" spans="1:24" ht="36.75" thickTop="1" x14ac:dyDescent="0.4">
      <c r="A195" s="1602" t="s">
        <v>1854</v>
      </c>
      <c r="B195" s="1603" t="s">
        <v>166</v>
      </c>
      <c r="C195" s="1703" t="s">
        <v>1855</v>
      </c>
      <c r="D195" s="1605"/>
      <c r="E195" s="1605"/>
      <c r="F195" s="1605"/>
      <c r="G195" s="1605"/>
      <c r="H195" s="1605"/>
      <c r="I195" s="1605"/>
      <c r="J195" s="1605"/>
      <c r="K195" s="1605"/>
      <c r="L195" s="1605"/>
      <c r="M195" s="1605"/>
      <c r="N195" s="1605"/>
      <c r="O195" s="1605"/>
      <c r="P195" s="1605"/>
      <c r="Q195" s="1605"/>
      <c r="R195" s="1605"/>
      <c r="S195" s="1605"/>
      <c r="T195" s="1605"/>
      <c r="U195" s="1605"/>
      <c r="V195" s="1605"/>
      <c r="W195" s="1605"/>
      <c r="X195" s="1609"/>
    </row>
    <row r="196" spans="1:24" ht="15.75" hidden="1" x14ac:dyDescent="0.25">
      <c r="A196" s="1622"/>
      <c r="B196" s="1378"/>
      <c r="C196" s="1378"/>
      <c r="D196" s="1378"/>
      <c r="E196" s="1378"/>
      <c r="F196" s="1378"/>
      <c r="G196" s="1378"/>
      <c r="H196" s="1378"/>
      <c r="I196" s="1378"/>
      <c r="J196" s="1378"/>
      <c r="K196" s="1378"/>
      <c r="L196" s="1378"/>
      <c r="M196" s="1378"/>
      <c r="N196" s="1378"/>
      <c r="O196" s="1378"/>
      <c r="P196" s="1378"/>
      <c r="Q196" s="1378"/>
      <c r="R196" s="1378"/>
      <c r="S196" s="1378"/>
      <c r="T196" s="1378"/>
      <c r="U196" s="1378"/>
      <c r="V196" s="1378"/>
      <c r="X196" s="1609"/>
    </row>
    <row r="197" spans="1:24" ht="15.75" hidden="1" x14ac:dyDescent="0.25">
      <c r="A197" s="1622"/>
      <c r="B197" s="1378"/>
      <c r="C197" s="1667" t="s">
        <v>1816</v>
      </c>
      <c r="D197" s="1378"/>
      <c r="E197" s="1378"/>
      <c r="F197" s="1378"/>
      <c r="G197" s="1378"/>
      <c r="H197" s="1378"/>
      <c r="I197" s="1856" t="str">
        <f>IF(OR(LEN('[27]פרטים על התאגיד'!$G$13)&gt;4, LEN('[27]פרטים על התאגיד'!$G$11)&gt;4), "לתקופה", " לשנה שנסתיימה ביום 31 בדצמבר")</f>
        <v xml:space="preserve"> לשנה שנסתיימה ביום 31 בדצמבר</v>
      </c>
      <c r="J197" s="1856"/>
      <c r="K197" s="1856"/>
      <c r="L197" s="1856"/>
      <c r="M197" s="1856"/>
      <c r="N197" s="1856"/>
      <c r="O197" s="1856"/>
      <c r="P197" s="1856"/>
      <c r="Q197" s="1856"/>
      <c r="R197" s="1856"/>
      <c r="S197" s="1856"/>
      <c r="T197" s="1607"/>
      <c r="U197" s="1607"/>
      <c r="V197" s="1607"/>
      <c r="X197" s="1609"/>
    </row>
    <row r="198" spans="1:24" ht="15.75" hidden="1" x14ac:dyDescent="0.25">
      <c r="A198" s="1622"/>
      <c r="B198" s="1378"/>
      <c r="C198" s="1388"/>
      <c r="D198" s="1388"/>
      <c r="E198" s="1378"/>
      <c r="F198" s="1378"/>
      <c r="G198" s="1378"/>
      <c r="H198" s="1378"/>
      <c r="I198" s="1682" t="s">
        <v>1836</v>
      </c>
      <c r="J198" s="1677"/>
      <c r="K198" s="1682" t="s">
        <v>1837</v>
      </c>
      <c r="L198" s="1677"/>
      <c r="M198" s="1682" t="s">
        <v>1838</v>
      </c>
      <c r="N198" s="1682" t="s">
        <v>1838</v>
      </c>
      <c r="O198" s="1682"/>
      <c r="P198" s="1682"/>
      <c r="Q198" s="1682" t="s">
        <v>1838</v>
      </c>
      <c r="R198" s="1683"/>
      <c r="S198" s="1682" t="s">
        <v>194</v>
      </c>
      <c r="T198" s="1682" t="s">
        <v>194</v>
      </c>
      <c r="U198" s="1684"/>
      <c r="V198" s="1684"/>
      <c r="X198" s="1609"/>
    </row>
    <row r="199" spans="1:24" ht="15.75" hidden="1" x14ac:dyDescent="0.25">
      <c r="A199" s="1622"/>
      <c r="B199" s="1378"/>
      <c r="C199" s="1388" t="s">
        <v>1795</v>
      </c>
      <c r="D199" s="1388"/>
      <c r="E199" s="1378"/>
      <c r="F199" s="1378"/>
      <c r="G199" s="1378"/>
      <c r="H199" s="1378"/>
      <c r="I199" s="1378"/>
      <c r="J199" s="1378"/>
      <c r="K199" s="1378"/>
      <c r="L199" s="1378"/>
      <c r="M199" s="1638"/>
      <c r="N199" s="1638"/>
      <c r="O199" s="1638"/>
      <c r="P199" s="1638"/>
      <c r="Q199" s="1638"/>
      <c r="R199" s="1638"/>
      <c r="S199" s="1639"/>
      <c r="T199" s="1639"/>
      <c r="U199" s="1639"/>
      <c r="V199" s="1639"/>
      <c r="X199" s="1609"/>
    </row>
    <row r="200" spans="1:24" ht="15.75" hidden="1" x14ac:dyDescent="0.25">
      <c r="A200" s="1622"/>
      <c r="B200" s="1378"/>
      <c r="C200" s="1378" t="s">
        <v>1856</v>
      </c>
      <c r="D200" s="1378"/>
      <c r="E200" s="1378"/>
      <c r="F200" s="1378"/>
      <c r="G200" s="1378"/>
      <c r="H200" s="1378"/>
      <c r="I200" s="1381"/>
      <c r="J200" s="1378"/>
      <c r="K200" s="1381"/>
      <c r="L200" s="1378"/>
      <c r="M200" s="1381">
        <v>2370</v>
      </c>
      <c r="N200" s="1381">
        <v>2370</v>
      </c>
      <c r="O200" s="1381"/>
      <c r="P200" s="1381"/>
      <c r="Q200" s="1381">
        <v>2370</v>
      </c>
      <c r="R200" s="1378"/>
      <c r="S200" s="1381"/>
      <c r="T200" s="1381"/>
      <c r="U200" s="1374"/>
      <c r="V200" s="1374"/>
      <c r="X200" s="1609"/>
    </row>
    <row r="201" spans="1:24" ht="15.75" hidden="1" x14ac:dyDescent="0.25">
      <c r="A201" s="1622"/>
      <c r="B201" s="1378"/>
      <c r="C201" s="1378" t="s">
        <v>1857</v>
      </c>
      <c r="D201" s="1378"/>
      <c r="E201" s="1378"/>
      <c r="F201" s="1378"/>
      <c r="G201" s="1378"/>
      <c r="H201" s="1378"/>
      <c r="I201" s="1376"/>
      <c r="J201" s="1378"/>
      <c r="K201" s="1376"/>
      <c r="L201" s="1378"/>
      <c r="M201" s="1376">
        <v>19</v>
      </c>
      <c r="N201" s="1376">
        <v>19</v>
      </c>
      <c r="O201" s="1376"/>
      <c r="P201" s="1376"/>
      <c r="Q201" s="1376">
        <v>19</v>
      </c>
      <c r="R201" s="1378"/>
      <c r="S201" s="1376"/>
      <c r="T201" s="1376"/>
      <c r="U201" s="1374"/>
      <c r="V201" s="1374"/>
      <c r="X201" s="1609"/>
    </row>
    <row r="202" spans="1:24" ht="15.75" hidden="1" x14ac:dyDescent="0.25">
      <c r="A202" s="1622"/>
      <c r="B202" s="1378"/>
      <c r="C202" s="1378" t="s">
        <v>1830</v>
      </c>
      <c r="D202" s="1711"/>
      <c r="E202" s="1378"/>
      <c r="F202" s="1378"/>
      <c r="G202" s="1378"/>
      <c r="H202" s="1378"/>
      <c r="I202" s="1376"/>
      <c r="J202" s="1378"/>
      <c r="K202" s="1376"/>
      <c r="L202" s="1378"/>
      <c r="M202" s="1376"/>
      <c r="N202" s="1376"/>
      <c r="O202" s="1376"/>
      <c r="P202" s="1376"/>
      <c r="Q202" s="1376"/>
      <c r="R202" s="1378"/>
      <c r="S202" s="1376"/>
      <c r="T202" s="1376"/>
      <c r="U202" s="1374"/>
      <c r="V202" s="1374"/>
      <c r="X202" s="1609"/>
    </row>
    <row r="203" spans="1:24" ht="15.75" hidden="1" x14ac:dyDescent="0.25">
      <c r="A203" s="1622"/>
      <c r="B203" s="1378"/>
      <c r="C203" s="1378" t="s">
        <v>1830</v>
      </c>
      <c r="D203" s="1711"/>
      <c r="E203" s="1378"/>
      <c r="F203" s="1378"/>
      <c r="G203" s="1378"/>
      <c r="H203" s="1378"/>
      <c r="I203" s="1374"/>
      <c r="J203" s="1378"/>
      <c r="K203" s="1374"/>
      <c r="L203" s="1378"/>
      <c r="M203" s="1374"/>
      <c r="N203" s="1374"/>
      <c r="O203" s="1374"/>
      <c r="P203" s="1374"/>
      <c r="Q203" s="1374"/>
      <c r="R203" s="1378"/>
      <c r="S203" s="1374"/>
      <c r="T203" s="1374"/>
      <c r="U203" s="1374"/>
      <c r="V203" s="1374"/>
      <c r="X203" s="1609"/>
    </row>
    <row r="204" spans="1:24" ht="15.75" hidden="1" x14ac:dyDescent="0.25">
      <c r="A204" s="1622"/>
      <c r="B204" s="1378"/>
      <c r="C204" s="1378"/>
      <c r="D204" s="1378"/>
      <c r="E204" s="1378"/>
      <c r="F204" s="1378"/>
      <c r="G204" s="1378"/>
      <c r="H204" s="1378"/>
      <c r="I204" s="1640"/>
      <c r="J204" s="1378"/>
      <c r="K204" s="1640"/>
      <c r="L204" s="1378"/>
      <c r="M204" s="1640">
        <f>SUM(M200:M203)</f>
        <v>2389</v>
      </c>
      <c r="N204" s="1640">
        <f>SUM(N200:N203)</f>
        <v>2389</v>
      </c>
      <c r="O204" s="1640"/>
      <c r="P204" s="1640"/>
      <c r="Q204" s="1640">
        <f>SUM(Q200:Q203)</f>
        <v>2389</v>
      </c>
      <c r="R204" s="1388"/>
      <c r="S204" s="1640"/>
      <c r="T204" s="1640"/>
      <c r="U204" s="1669"/>
      <c r="V204" s="1669"/>
      <c r="X204" s="1609"/>
    </row>
    <row r="205" spans="1:24" ht="15.75" hidden="1" x14ac:dyDescent="0.25">
      <c r="A205" s="1622"/>
      <c r="B205" s="1378"/>
      <c r="C205" s="1388" t="s">
        <v>1858</v>
      </c>
      <c r="D205" s="1388"/>
      <c r="E205" s="1378"/>
      <c r="F205" s="1378"/>
      <c r="G205" s="1378"/>
      <c r="H205" s="1378"/>
      <c r="I205" s="1643"/>
      <c r="J205" s="1378"/>
      <c r="K205" s="1643"/>
      <c r="L205" s="1378"/>
      <c r="M205" s="1643"/>
      <c r="N205" s="1643"/>
      <c r="O205" s="1643"/>
      <c r="P205" s="1643"/>
      <c r="Q205" s="1643"/>
      <c r="R205" s="1378"/>
      <c r="S205" s="1643"/>
      <c r="T205" s="1643"/>
      <c r="U205" s="1643"/>
      <c r="V205" s="1643"/>
      <c r="X205" s="1609"/>
    </row>
    <row r="206" spans="1:24" ht="15.75" hidden="1" x14ac:dyDescent="0.25">
      <c r="A206" s="1622"/>
      <c r="B206" s="1378"/>
      <c r="C206" s="1378" t="s">
        <v>1859</v>
      </c>
      <c r="D206" s="1378"/>
      <c r="E206" s="1378"/>
      <c r="F206" s="1378"/>
      <c r="G206" s="1378"/>
      <c r="H206" s="1378"/>
      <c r="I206" s="1643"/>
      <c r="J206" s="1378"/>
      <c r="K206" s="1643"/>
      <c r="L206" s="1378"/>
      <c r="M206" s="1643"/>
      <c r="N206" s="1643"/>
      <c r="O206" s="1643"/>
      <c r="P206" s="1643"/>
      <c r="Q206" s="1643"/>
      <c r="R206" s="1378"/>
      <c r="S206" s="1643"/>
      <c r="T206" s="1643"/>
      <c r="U206" s="1643"/>
      <c r="V206" s="1643"/>
      <c r="X206" s="1609"/>
    </row>
    <row r="207" spans="1:24" ht="15.75" hidden="1" x14ac:dyDescent="0.25">
      <c r="A207" s="1622"/>
      <c r="B207" s="1378"/>
      <c r="C207" s="1378"/>
      <c r="D207" s="1378" t="s">
        <v>1860</v>
      </c>
      <c r="E207" s="1378"/>
      <c r="F207" s="1378"/>
      <c r="G207" s="1378"/>
      <c r="H207" s="1378"/>
      <c r="I207" s="1376"/>
      <c r="J207" s="1378"/>
      <c r="K207" s="1376"/>
      <c r="L207" s="1378"/>
      <c r="M207" s="1376">
        <v>4429</v>
      </c>
      <c r="N207" s="1376">
        <v>4429</v>
      </c>
      <c r="O207" s="1376"/>
      <c r="P207" s="1376"/>
      <c r="Q207" s="1376">
        <v>4429</v>
      </c>
      <c r="R207" s="1378"/>
      <c r="S207" s="1376"/>
      <c r="T207" s="1376"/>
      <c r="U207" s="1374"/>
      <c r="V207" s="1374"/>
      <c r="X207" s="1609"/>
    </row>
    <row r="208" spans="1:24" ht="15.75" hidden="1" x14ac:dyDescent="0.25">
      <c r="A208" s="1622"/>
      <c r="B208" s="1378"/>
      <c r="C208" s="1378"/>
      <c r="D208" s="1378" t="s">
        <v>1861</v>
      </c>
      <c r="E208" s="1378"/>
      <c r="F208" s="1378"/>
      <c r="G208" s="1378"/>
      <c r="H208" s="1378"/>
      <c r="I208" s="1376"/>
      <c r="J208" s="1378"/>
      <c r="K208" s="1376"/>
      <c r="L208" s="1378"/>
      <c r="M208" s="1376">
        <f>3690+348</f>
        <v>4038</v>
      </c>
      <c r="N208" s="1376">
        <f>3690+348</f>
        <v>4038</v>
      </c>
      <c r="O208" s="1376"/>
      <c r="P208" s="1376"/>
      <c r="Q208" s="1376">
        <f>3690+348</f>
        <v>4038</v>
      </c>
      <c r="R208" s="1378"/>
      <c r="S208" s="1376"/>
      <c r="T208" s="1376"/>
      <c r="U208" s="1374"/>
      <c r="V208" s="1374"/>
      <c r="X208" s="1609"/>
    </row>
    <row r="209" spans="1:24" ht="15.75" hidden="1" x14ac:dyDescent="0.25">
      <c r="A209" s="1622"/>
      <c r="B209" s="1378"/>
      <c r="C209" s="1711"/>
      <c r="D209" s="1378" t="s">
        <v>1830</v>
      </c>
      <c r="E209" s="1711"/>
      <c r="F209" s="1378"/>
      <c r="G209" s="1378"/>
      <c r="H209" s="1378"/>
      <c r="I209" s="1376"/>
      <c r="J209" s="1378"/>
      <c r="K209" s="1376"/>
      <c r="L209" s="1378"/>
      <c r="M209" s="1376"/>
      <c r="N209" s="1376"/>
      <c r="O209" s="1376"/>
      <c r="P209" s="1376"/>
      <c r="Q209" s="1376"/>
      <c r="R209" s="1378"/>
      <c r="S209" s="1376"/>
      <c r="T209" s="1376"/>
      <c r="U209" s="1374"/>
      <c r="V209" s="1374"/>
      <c r="X209" s="1609"/>
    </row>
    <row r="210" spans="1:24" ht="15.75" hidden="1" x14ac:dyDescent="0.25">
      <c r="A210" s="1622"/>
      <c r="B210" s="1378"/>
      <c r="C210" s="1378" t="s">
        <v>1862</v>
      </c>
      <c r="D210" s="1378"/>
      <c r="E210" s="1378"/>
      <c r="F210" s="1378"/>
      <c r="G210" s="1378"/>
      <c r="H210" s="1378"/>
      <c r="I210" s="1376"/>
      <c r="J210" s="1378"/>
      <c r="K210" s="1376"/>
      <c r="L210" s="1378"/>
      <c r="M210" s="1376"/>
      <c r="N210" s="1376"/>
      <c r="O210" s="1376"/>
      <c r="P210" s="1376"/>
      <c r="Q210" s="1376"/>
      <c r="R210" s="1378"/>
      <c r="S210" s="1376"/>
      <c r="T210" s="1376"/>
      <c r="U210" s="1374"/>
      <c r="V210" s="1374"/>
      <c r="X210" s="1609"/>
    </row>
    <row r="211" spans="1:24" ht="15.75" hidden="1" x14ac:dyDescent="0.25">
      <c r="A211" s="1622"/>
      <c r="B211" s="1378"/>
      <c r="C211" s="1378" t="s">
        <v>1863</v>
      </c>
      <c r="D211" s="1378"/>
      <c r="E211" s="1378"/>
      <c r="F211" s="1378"/>
      <c r="G211" s="1378"/>
      <c r="H211" s="1378"/>
      <c r="I211" s="1376"/>
      <c r="J211" s="1378"/>
      <c r="K211" s="1376"/>
      <c r="L211" s="1378"/>
      <c r="M211" s="1376"/>
      <c r="N211" s="1376"/>
      <c r="O211" s="1376"/>
      <c r="P211" s="1376"/>
      <c r="Q211" s="1376"/>
      <c r="R211" s="1378"/>
      <c r="S211" s="1376"/>
      <c r="T211" s="1376"/>
      <c r="U211" s="1374"/>
      <c r="V211" s="1374"/>
      <c r="X211" s="1609"/>
    </row>
    <row r="212" spans="1:24" ht="15.75" hidden="1" x14ac:dyDescent="0.25">
      <c r="A212" s="1622"/>
      <c r="B212" s="1378"/>
      <c r="C212" s="1378" t="s">
        <v>1864</v>
      </c>
      <c r="D212" s="1378"/>
      <c r="E212" s="1378"/>
      <c r="F212" s="1378"/>
      <c r="G212" s="1378"/>
      <c r="H212" s="1378"/>
      <c r="I212" s="1376"/>
      <c r="J212" s="1378"/>
      <c r="K212" s="1376"/>
      <c r="L212" s="1378"/>
      <c r="M212" s="1376">
        <v>276</v>
      </c>
      <c r="N212" s="1376">
        <v>276</v>
      </c>
      <c r="O212" s="1376"/>
      <c r="P212" s="1376"/>
      <c r="Q212" s="1376">
        <v>276</v>
      </c>
      <c r="R212" s="1378"/>
      <c r="S212" s="1376"/>
      <c r="T212" s="1376"/>
      <c r="U212" s="1374"/>
      <c r="V212" s="1374"/>
      <c r="X212" s="1609"/>
    </row>
    <row r="213" spans="1:24" ht="15.75" hidden="1" x14ac:dyDescent="0.25">
      <c r="A213" s="1622"/>
      <c r="B213" s="1378"/>
      <c r="C213" s="1378" t="s">
        <v>1865</v>
      </c>
      <c r="D213" s="1378"/>
      <c r="E213" s="1378"/>
      <c r="F213" s="1378"/>
      <c r="G213" s="1378"/>
      <c r="H213" s="1378"/>
      <c r="I213" s="1376"/>
      <c r="J213" s="1378"/>
      <c r="K213" s="1376"/>
      <c r="L213" s="1378"/>
      <c r="M213" s="1376"/>
      <c r="N213" s="1376"/>
      <c r="O213" s="1376"/>
      <c r="P213" s="1376"/>
      <c r="Q213" s="1376"/>
      <c r="R213" s="1378"/>
      <c r="S213" s="1376"/>
      <c r="T213" s="1376"/>
      <c r="U213" s="1374"/>
      <c r="V213" s="1374"/>
      <c r="X213" s="1609"/>
    </row>
    <row r="214" spans="1:24" ht="15.75" hidden="1" x14ac:dyDescent="0.25">
      <c r="A214" s="1622"/>
      <c r="B214" s="1378"/>
      <c r="C214" s="1378" t="s">
        <v>1830</v>
      </c>
      <c r="D214" s="1378"/>
      <c r="E214" s="1378"/>
      <c r="F214" s="1378"/>
      <c r="G214" s="1378"/>
      <c r="H214" s="1378"/>
      <c r="I214" s="1374"/>
      <c r="J214" s="1378"/>
      <c r="K214" s="1374"/>
      <c r="L214" s="1378"/>
      <c r="M214" s="1374"/>
      <c r="N214" s="1374"/>
      <c r="O214" s="1374"/>
      <c r="P214" s="1374"/>
      <c r="Q214" s="1374"/>
      <c r="R214" s="1378"/>
      <c r="S214" s="1374"/>
      <c r="T214" s="1374"/>
      <c r="U214" s="1374"/>
      <c r="V214" s="1374"/>
      <c r="X214" s="1609"/>
    </row>
    <row r="215" spans="1:24" ht="15.75" hidden="1" x14ac:dyDescent="0.25">
      <c r="A215" s="1622"/>
      <c r="B215" s="1378"/>
      <c r="C215" s="1378" t="s">
        <v>1830</v>
      </c>
      <c r="D215" s="1378"/>
      <c r="E215" s="1378"/>
      <c r="F215" s="1378"/>
      <c r="G215" s="1378"/>
      <c r="H215" s="1378"/>
      <c r="I215" s="1374"/>
      <c r="J215" s="1378"/>
      <c r="K215" s="1374"/>
      <c r="L215" s="1378"/>
      <c r="M215" s="1374"/>
      <c r="N215" s="1374"/>
      <c r="O215" s="1374"/>
      <c r="P215" s="1374"/>
      <c r="Q215" s="1374"/>
      <c r="R215" s="1378"/>
      <c r="S215" s="1374"/>
      <c r="T215" s="1374"/>
      <c r="U215" s="1374"/>
      <c r="V215" s="1374"/>
      <c r="X215" s="1609"/>
    </row>
    <row r="216" spans="1:24" ht="15.75" hidden="1" x14ac:dyDescent="0.25">
      <c r="A216" s="1622"/>
      <c r="B216" s="1378"/>
      <c r="C216" s="1378"/>
      <c r="D216" s="1378"/>
      <c r="E216" s="1378"/>
      <c r="F216" s="1378"/>
      <c r="G216" s="1378"/>
      <c r="H216" s="1378"/>
      <c r="I216" s="1640"/>
      <c r="J216" s="1378"/>
      <c r="K216" s="1640"/>
      <c r="L216" s="1378"/>
      <c r="M216" s="1640">
        <f>SUM(M207:M215)</f>
        <v>8743</v>
      </c>
      <c r="N216" s="1640">
        <f>SUM(N207:N215)</f>
        <v>8743</v>
      </c>
      <c r="O216" s="1640"/>
      <c r="P216" s="1640"/>
      <c r="Q216" s="1640">
        <f>SUM(Q207:Q215)</f>
        <v>8743</v>
      </c>
      <c r="R216" s="1388"/>
      <c r="S216" s="1640"/>
      <c r="T216" s="1640"/>
      <c r="U216" s="1669"/>
      <c r="V216" s="1669"/>
      <c r="X216" s="1609"/>
    </row>
    <row r="217" spans="1:24" ht="15.75" hidden="1" x14ac:dyDescent="0.25">
      <c r="A217" s="1622"/>
      <c r="B217" s="1378"/>
      <c r="C217" s="1378"/>
      <c r="D217" s="1378"/>
      <c r="E217" s="1378"/>
      <c r="F217" s="1378"/>
      <c r="G217" s="1378"/>
      <c r="H217" s="1378"/>
      <c r="I217" s="1643"/>
      <c r="J217" s="1378"/>
      <c r="K217" s="1643"/>
      <c r="L217" s="1378"/>
      <c r="M217" s="1643"/>
      <c r="N217" s="1643"/>
      <c r="O217" s="1643"/>
      <c r="P217" s="1643"/>
      <c r="Q217" s="1643"/>
      <c r="R217" s="1378"/>
      <c r="S217" s="1643"/>
      <c r="T217" s="1643"/>
      <c r="U217" s="1643"/>
      <c r="V217" s="1643"/>
      <c r="X217" s="1609"/>
    </row>
    <row r="218" spans="1:24" ht="16.5" hidden="1" thickBot="1" x14ac:dyDescent="0.3">
      <c r="A218" s="1622"/>
      <c r="B218" s="1378"/>
      <c r="C218" s="1378"/>
      <c r="D218" s="1378"/>
      <c r="E218" s="1378"/>
      <c r="F218" s="1378"/>
      <c r="G218" s="1378"/>
      <c r="H218" s="1378"/>
      <c r="I218" s="1665"/>
      <c r="J218" s="1378"/>
      <c r="K218" s="1665"/>
      <c r="L218" s="1378"/>
      <c r="M218" s="1665">
        <f>M204-M216</f>
        <v>-6354</v>
      </c>
      <c r="N218" s="1665">
        <f>N204-N216</f>
        <v>-6354</v>
      </c>
      <c r="O218" s="1665"/>
      <c r="P218" s="1665"/>
      <c r="Q218" s="1665">
        <f>Q204-Q216</f>
        <v>-6354</v>
      </c>
      <c r="R218" s="1388"/>
      <c r="S218" s="1665"/>
      <c r="T218" s="1665"/>
      <c r="U218" s="1669"/>
      <c r="V218" s="1669"/>
      <c r="X218" s="1609"/>
    </row>
    <row r="219" spans="1:24" ht="15.75" hidden="1" x14ac:dyDescent="0.25">
      <c r="A219" s="1622"/>
      <c r="B219" s="1378"/>
      <c r="C219" s="1378"/>
      <c r="D219" s="1378"/>
      <c r="E219" s="1378"/>
      <c r="F219" s="1378"/>
      <c r="G219" s="1378"/>
      <c r="H219" s="1378"/>
      <c r="I219" s="1378"/>
      <c r="J219" s="1378"/>
      <c r="K219" s="1378"/>
      <c r="L219" s="1378"/>
      <c r="M219" s="1378"/>
      <c r="N219" s="1378"/>
      <c r="O219" s="1378"/>
      <c r="P219" s="1378"/>
      <c r="Q219" s="1378"/>
      <c r="R219" s="1378"/>
      <c r="S219" s="1378"/>
      <c r="T219" s="1378"/>
      <c r="U219" s="1378"/>
      <c r="V219" s="1378"/>
      <c r="X219" s="1609"/>
    </row>
    <row r="220" spans="1:24" ht="15.75" hidden="1" x14ac:dyDescent="0.25">
      <c r="A220" s="1622"/>
      <c r="B220" s="1378"/>
      <c r="C220" s="1378"/>
      <c r="D220" s="1378"/>
      <c r="E220" s="1378"/>
      <c r="F220" s="1378"/>
      <c r="G220" s="1378"/>
      <c r="H220" s="1378"/>
      <c r="I220" s="1378"/>
      <c r="J220" s="1378"/>
      <c r="K220" s="1378"/>
      <c r="L220" s="1378"/>
      <c r="M220" s="1378"/>
      <c r="N220" s="1378"/>
      <c r="O220" s="1378"/>
      <c r="P220" s="1378"/>
      <c r="Q220" s="1378"/>
      <c r="R220" s="1378"/>
      <c r="S220" s="1378"/>
      <c r="T220" s="1378"/>
      <c r="U220" s="1378"/>
      <c r="V220" s="1378"/>
      <c r="X220" s="1609"/>
    </row>
    <row r="221" spans="1:24" ht="36" hidden="1" x14ac:dyDescent="0.4">
      <c r="A221" s="1602" t="s">
        <v>1866</v>
      </c>
      <c r="B221" s="1603" t="s">
        <v>166</v>
      </c>
      <c r="C221" s="1703" t="s">
        <v>1867</v>
      </c>
      <c r="D221" s="1605"/>
      <c r="E221" s="1605"/>
      <c r="F221" s="1605"/>
      <c r="G221" s="1605"/>
      <c r="H221" s="1605"/>
      <c r="I221" s="1605"/>
      <c r="J221" s="1605"/>
      <c r="K221" s="1605"/>
      <c r="L221" s="1605"/>
      <c r="M221" s="1605"/>
      <c r="N221" s="1605"/>
      <c r="O221" s="1605"/>
      <c r="P221" s="1605"/>
      <c r="Q221" s="1605"/>
      <c r="R221" s="1605"/>
      <c r="S221" s="1605"/>
      <c r="T221" s="1605"/>
      <c r="U221" s="1605"/>
      <c r="V221" s="1605"/>
      <c r="X221" s="1609"/>
    </row>
    <row r="222" spans="1:24" ht="15.75" hidden="1" x14ac:dyDescent="0.25">
      <c r="A222" s="1622"/>
      <c r="B222" s="1378"/>
      <c r="C222" s="1378"/>
      <c r="D222" s="1378"/>
      <c r="E222" s="1378"/>
      <c r="F222" s="1378"/>
      <c r="G222" s="1378"/>
      <c r="H222" s="1378"/>
      <c r="I222" s="1378"/>
      <c r="J222" s="1378"/>
      <c r="K222" s="1378"/>
      <c r="L222" s="1378"/>
      <c r="M222" s="1378"/>
      <c r="N222" s="1378"/>
      <c r="O222" s="1378"/>
      <c r="P222" s="1378"/>
      <c r="Q222" s="1378"/>
      <c r="R222" s="1378"/>
      <c r="S222" s="1378"/>
      <c r="T222" s="1378"/>
      <c r="U222" s="1378"/>
      <c r="V222" s="1378"/>
      <c r="X222" s="1609"/>
    </row>
    <row r="223" spans="1:24" ht="15.75" hidden="1" x14ac:dyDescent="0.25">
      <c r="A223" s="1622"/>
      <c r="B223" s="1378"/>
      <c r="C223" s="1667" t="s">
        <v>1816</v>
      </c>
      <c r="D223" s="1378"/>
      <c r="E223" s="1378"/>
      <c r="F223" s="1378"/>
      <c r="G223" s="1378"/>
      <c r="H223" s="1378"/>
      <c r="I223" s="1856" t="str">
        <f>IF(OR(LEN('[27]פרטים על התאגיד'!$G$13)&gt;4, LEN('[27]פרטים על התאגיד'!$G$11)&gt;4), "לתקופה", " לשנה שנסתיימה ביום 31 בדצמבר")</f>
        <v xml:space="preserve"> לשנה שנסתיימה ביום 31 בדצמבר</v>
      </c>
      <c r="J223" s="1856"/>
      <c r="K223" s="1856"/>
      <c r="L223" s="1856"/>
      <c r="M223" s="1856"/>
      <c r="N223" s="1856"/>
      <c r="O223" s="1856"/>
      <c r="P223" s="1856"/>
      <c r="Q223" s="1856"/>
      <c r="R223" s="1856"/>
      <c r="S223" s="1856"/>
      <c r="T223" s="1607"/>
      <c r="U223" s="1607"/>
      <c r="V223" s="1607"/>
      <c r="X223" s="1609"/>
    </row>
    <row r="224" spans="1:24" ht="15.75" hidden="1" x14ac:dyDescent="0.25">
      <c r="A224" s="1622"/>
      <c r="B224" s="1378"/>
      <c r="C224" s="1378"/>
      <c r="D224" s="1388"/>
      <c r="E224" s="1378"/>
      <c r="F224" s="1378"/>
      <c r="G224" s="1378"/>
      <c r="H224" s="1378"/>
      <c r="I224" s="1682" t="s">
        <v>1836</v>
      </c>
      <c r="J224" s="1677"/>
      <c r="K224" s="1682" t="s">
        <v>1837</v>
      </c>
      <c r="L224" s="1677"/>
      <c r="M224" s="1682" t="s">
        <v>1838</v>
      </c>
      <c r="N224" s="1682" t="s">
        <v>1838</v>
      </c>
      <c r="O224" s="1682"/>
      <c r="P224" s="1682"/>
      <c r="Q224" s="1682" t="s">
        <v>1838</v>
      </c>
      <c r="R224" s="1683"/>
      <c r="S224" s="1682" t="s">
        <v>194</v>
      </c>
      <c r="T224" s="1682" t="s">
        <v>194</v>
      </c>
      <c r="U224" s="1684"/>
      <c r="V224" s="1684"/>
      <c r="X224" s="1609"/>
    </row>
    <row r="225" spans="1:24" ht="15.75" hidden="1" x14ac:dyDescent="0.25">
      <c r="A225" s="1622"/>
      <c r="B225" s="1378"/>
      <c r="C225" s="1378" t="s">
        <v>1868</v>
      </c>
      <c r="D225" s="1378"/>
      <c r="E225" s="1378"/>
      <c r="F225" s="1378"/>
      <c r="G225" s="1378"/>
      <c r="H225" s="1378"/>
      <c r="I225" s="1381"/>
      <c r="J225" s="1378"/>
      <c r="K225" s="1381"/>
      <c r="L225" s="1378"/>
      <c r="M225" s="1381">
        <v>7095</v>
      </c>
      <c r="N225" s="1381">
        <v>7095</v>
      </c>
      <c r="O225" s="1381"/>
      <c r="P225" s="1381"/>
      <c r="Q225" s="1381">
        <v>7095</v>
      </c>
      <c r="R225" s="1378"/>
      <c r="S225" s="1381"/>
      <c r="T225" s="1381"/>
      <c r="U225" s="1374"/>
      <c r="V225" s="1374"/>
      <c r="X225" s="1609"/>
    </row>
    <row r="226" spans="1:24" ht="15.75" hidden="1" x14ac:dyDescent="0.25">
      <c r="A226" s="1622"/>
      <c r="B226" s="1378"/>
      <c r="C226" s="1378" t="s">
        <v>1869</v>
      </c>
      <c r="D226" s="1378"/>
      <c r="E226" s="1378"/>
      <c r="F226" s="1378"/>
      <c r="G226" s="1378"/>
      <c r="H226" s="1378"/>
      <c r="I226" s="1381"/>
      <c r="J226" s="1378"/>
      <c r="K226" s="1381"/>
      <c r="L226" s="1378"/>
      <c r="M226" s="1381"/>
      <c r="N226" s="1381"/>
      <c r="O226" s="1381"/>
      <c r="P226" s="1381"/>
      <c r="Q226" s="1381"/>
      <c r="R226" s="1378"/>
      <c r="S226" s="1381"/>
      <c r="T226" s="1381"/>
      <c r="U226" s="1374"/>
      <c r="V226" s="1374"/>
      <c r="X226" s="1609"/>
    </row>
    <row r="227" spans="1:24" ht="15.75" hidden="1" x14ac:dyDescent="0.25">
      <c r="A227" s="1622"/>
      <c r="B227" s="1378"/>
      <c r="C227" s="1861" t="s">
        <v>1870</v>
      </c>
      <c r="D227" s="1861"/>
      <c r="E227" s="1861"/>
      <c r="F227" s="1861"/>
      <c r="G227" s="1383"/>
      <c r="H227" s="1383"/>
      <c r="I227" s="1381"/>
      <c r="J227" s="1383"/>
      <c r="K227" s="1381"/>
      <c r="L227" s="1383"/>
      <c r="M227" s="1381"/>
      <c r="N227" s="1381"/>
      <c r="O227" s="1381"/>
      <c r="P227" s="1381"/>
      <c r="Q227" s="1381"/>
      <c r="R227" s="1378"/>
      <c r="S227" s="1381"/>
      <c r="T227" s="1381"/>
      <c r="U227" s="1374"/>
      <c r="V227" s="1374"/>
      <c r="X227" s="1609"/>
    </row>
    <row r="228" spans="1:24" ht="15.75" hidden="1" x14ac:dyDescent="0.25">
      <c r="A228" s="1622"/>
      <c r="B228" s="1378"/>
      <c r="C228" s="1378" t="s">
        <v>1871</v>
      </c>
      <c r="D228" s="1378"/>
      <c r="E228" s="1378"/>
      <c r="F228" s="1378"/>
      <c r="G228" s="1378"/>
      <c r="H228" s="1378"/>
      <c r="I228" s="1376"/>
      <c r="J228" s="1378"/>
      <c r="K228" s="1376"/>
      <c r="L228" s="1378"/>
      <c r="M228" s="1376">
        <v>-136</v>
      </c>
      <c r="N228" s="1376">
        <v>-136</v>
      </c>
      <c r="O228" s="1376"/>
      <c r="P228" s="1376"/>
      <c r="Q228" s="1376">
        <v>-136</v>
      </c>
      <c r="R228" s="1378"/>
      <c r="S228" s="1376"/>
      <c r="T228" s="1376"/>
      <c r="U228" s="1374"/>
      <c r="V228" s="1374"/>
      <c r="X228" s="1609"/>
    </row>
    <row r="229" spans="1:24" ht="15.75" hidden="1" x14ac:dyDescent="0.25">
      <c r="A229" s="1622"/>
      <c r="B229" s="1378"/>
      <c r="C229" s="1378" t="s">
        <v>1872</v>
      </c>
      <c r="D229" s="1378"/>
      <c r="E229" s="1648"/>
      <c r="F229" s="1648"/>
      <c r="G229" s="1648"/>
      <c r="H229" s="1648"/>
      <c r="I229" s="1376"/>
      <c r="J229" s="1648"/>
      <c r="K229" s="1376"/>
      <c r="L229" s="1648"/>
      <c r="M229" s="1376"/>
      <c r="N229" s="1376"/>
      <c r="O229" s="1376"/>
      <c r="P229" s="1376"/>
      <c r="Q229" s="1376"/>
      <c r="R229" s="1378"/>
      <c r="S229" s="1376"/>
      <c r="T229" s="1376"/>
      <c r="U229" s="1374"/>
      <c r="V229" s="1374"/>
      <c r="X229" s="1609"/>
    </row>
    <row r="230" spans="1:24" ht="15.75" hidden="1" x14ac:dyDescent="0.25">
      <c r="A230" s="1622"/>
      <c r="B230" s="1378"/>
      <c r="C230" s="1378" t="s">
        <v>1873</v>
      </c>
      <c r="D230" s="1378"/>
      <c r="E230" s="1648"/>
      <c r="F230" s="1648"/>
      <c r="G230" s="1648"/>
      <c r="H230" s="1648"/>
      <c r="I230" s="1376"/>
      <c r="J230" s="1648"/>
      <c r="K230" s="1376"/>
      <c r="L230" s="1648"/>
      <c r="M230" s="1376">
        <v>24</v>
      </c>
      <c r="N230" s="1376">
        <v>24</v>
      </c>
      <c r="O230" s="1376"/>
      <c r="P230" s="1376"/>
      <c r="Q230" s="1376">
        <v>24</v>
      </c>
      <c r="R230" s="1378"/>
      <c r="S230" s="1376"/>
      <c r="T230" s="1376"/>
      <c r="U230" s="1374"/>
      <c r="V230" s="1374"/>
      <c r="X230" s="1609"/>
    </row>
    <row r="231" spans="1:24" ht="15.75" hidden="1" x14ac:dyDescent="0.25">
      <c r="A231" s="1622"/>
      <c r="B231" s="1378"/>
      <c r="C231" s="1378" t="s">
        <v>1415</v>
      </c>
      <c r="D231" s="1378"/>
      <c r="E231" s="1648"/>
      <c r="F231" s="1648"/>
      <c r="G231" s="1648"/>
      <c r="H231" s="1648"/>
      <c r="I231" s="1376"/>
      <c r="J231" s="1648"/>
      <c r="K231" s="1376"/>
      <c r="L231" s="1648"/>
      <c r="M231" s="1376">
        <v>483</v>
      </c>
      <c r="N231" s="1376">
        <v>483</v>
      </c>
      <c r="O231" s="1376"/>
      <c r="P231" s="1376"/>
      <c r="Q231" s="1376">
        <v>483</v>
      </c>
      <c r="R231" s="1378"/>
      <c r="S231" s="1376"/>
      <c r="T231" s="1376"/>
      <c r="U231" s="1374"/>
      <c r="V231" s="1374"/>
      <c r="X231" s="1609"/>
    </row>
    <row r="232" spans="1:24" ht="15.75" hidden="1" x14ac:dyDescent="0.25">
      <c r="A232" s="1622"/>
      <c r="B232" s="1378"/>
      <c r="C232" s="1378" t="s">
        <v>1830</v>
      </c>
      <c r="D232" s="1711"/>
      <c r="E232" s="1648"/>
      <c r="F232" s="1648"/>
      <c r="G232" s="1648"/>
      <c r="H232" s="1648"/>
      <c r="I232" s="1376"/>
      <c r="J232" s="1648"/>
      <c r="K232" s="1376"/>
      <c r="L232" s="1648"/>
      <c r="M232" s="1376"/>
      <c r="N232" s="1376"/>
      <c r="O232" s="1376"/>
      <c r="P232" s="1376"/>
      <c r="Q232" s="1376"/>
      <c r="R232" s="1378"/>
      <c r="S232" s="1376"/>
      <c r="T232" s="1376"/>
      <c r="U232" s="1374"/>
      <c r="V232" s="1374"/>
      <c r="X232" s="1609"/>
    </row>
    <row r="233" spans="1:24" ht="16.5" hidden="1" thickBot="1" x14ac:dyDescent="0.3">
      <c r="A233" s="1622"/>
      <c r="B233" s="1378"/>
      <c r="C233" s="1378"/>
      <c r="D233" s="1378"/>
      <c r="E233" s="1378"/>
      <c r="F233" s="1378"/>
      <c r="G233" s="1378"/>
      <c r="H233" s="1378"/>
      <c r="I233" s="1665"/>
      <c r="J233" s="1378"/>
      <c r="K233" s="1665"/>
      <c r="L233" s="1378"/>
      <c r="M233" s="1665">
        <f>SUM(M225:M232)</f>
        <v>7466</v>
      </c>
      <c r="N233" s="1665">
        <f>SUM(N225:N232)</f>
        <v>7466</v>
      </c>
      <c r="O233" s="1665"/>
      <c r="P233" s="1665"/>
      <c r="Q233" s="1665">
        <f>SUM(Q225:Q232)</f>
        <v>7466</v>
      </c>
      <c r="R233" s="1388"/>
      <c r="S233" s="1665"/>
      <c r="T233" s="1665"/>
      <c r="U233" s="1669"/>
      <c r="V233" s="1669"/>
      <c r="X233" s="1609"/>
    </row>
    <row r="234" spans="1:24" ht="15.75" hidden="1" x14ac:dyDescent="0.25">
      <c r="A234" s="1712"/>
      <c r="B234" s="1378"/>
      <c r="C234" s="1378"/>
      <c r="D234" s="1378"/>
      <c r="E234" s="1378"/>
      <c r="F234" s="1378"/>
      <c r="G234" s="1378"/>
      <c r="H234" s="1378"/>
      <c r="I234" s="1378"/>
      <c r="J234" s="1378"/>
      <c r="K234" s="1378"/>
      <c r="L234" s="1378"/>
      <c r="M234" s="1378"/>
      <c r="N234" s="1378"/>
      <c r="O234" s="1378"/>
      <c r="P234" s="1378"/>
      <c r="Q234" s="1378"/>
      <c r="R234" s="1378"/>
      <c r="S234" s="1378"/>
      <c r="T234" s="1378"/>
      <c r="U234" s="1378"/>
      <c r="V234" s="1378"/>
      <c r="X234" s="1609"/>
    </row>
    <row r="235" spans="1:24" ht="36" hidden="1" x14ac:dyDescent="0.4">
      <c r="A235" s="1602" t="s">
        <v>1874</v>
      </c>
      <c r="B235" s="1603" t="s">
        <v>166</v>
      </c>
      <c r="C235" s="1703" t="s">
        <v>1875</v>
      </c>
      <c r="D235" s="1605"/>
      <c r="E235" s="1605"/>
      <c r="F235" s="1605"/>
      <c r="G235" s="1605"/>
      <c r="H235" s="1605"/>
      <c r="I235" s="1605"/>
      <c r="J235" s="1605"/>
      <c r="K235" s="1605"/>
      <c r="L235" s="1605"/>
      <c r="M235" s="1605"/>
      <c r="N235" s="1605"/>
      <c r="O235" s="1605"/>
      <c r="P235" s="1605"/>
      <c r="Q235" s="1605"/>
      <c r="R235" s="1605"/>
      <c r="S235" s="1605"/>
      <c r="T235" s="1605"/>
      <c r="U235" s="1605"/>
      <c r="V235" s="1605"/>
      <c r="X235" s="1609"/>
    </row>
    <row r="236" spans="1:24" ht="18" hidden="1" x14ac:dyDescent="0.4">
      <c r="A236" s="1713"/>
      <c r="B236" s="1643"/>
      <c r="C236" s="1666"/>
      <c r="D236" s="1388"/>
      <c r="E236" s="1388"/>
      <c r="F236" s="1388"/>
      <c r="G236" s="1388"/>
      <c r="H236" s="1388"/>
      <c r="I236" s="1388"/>
      <c r="J236" s="1388"/>
      <c r="K236" s="1388"/>
      <c r="L236" s="1388"/>
      <c r="M236" s="1388"/>
      <c r="N236" s="1388"/>
      <c r="O236" s="1388"/>
      <c r="P236" s="1388"/>
      <c r="Q236" s="1388"/>
      <c r="R236" s="1388"/>
      <c r="S236" s="1378"/>
      <c r="T236" s="1378"/>
      <c r="U236" s="1378"/>
      <c r="V236" s="1378"/>
      <c r="X236" s="1609"/>
    </row>
    <row r="237" spans="1:24" ht="18" hidden="1" x14ac:dyDescent="0.4">
      <c r="A237" s="1713"/>
      <c r="B237" s="1643"/>
      <c r="C237" s="1862" t="s">
        <v>1876</v>
      </c>
      <c r="D237" s="1862"/>
      <c r="E237" s="1862"/>
      <c r="F237" s="1862"/>
      <c r="G237" s="1862"/>
      <c r="H237" s="1862"/>
      <c r="I237" s="1862"/>
      <c r="J237" s="1862"/>
      <c r="K237" s="1862"/>
      <c r="L237" s="1862"/>
      <c r="M237" s="1862"/>
      <c r="N237" s="1862"/>
      <c r="O237" s="1862"/>
      <c r="P237" s="1862"/>
      <c r="Q237" s="1862"/>
      <c r="R237" s="1597"/>
      <c r="S237" s="1378"/>
      <c r="T237" s="1378"/>
      <c r="U237" s="1378"/>
      <c r="V237" s="1378"/>
      <c r="X237" s="1609"/>
    </row>
    <row r="238" spans="1:24" ht="18" hidden="1" x14ac:dyDescent="0.4">
      <c r="A238" s="1713"/>
      <c r="B238" s="1643"/>
      <c r="C238" s="1858" t="s">
        <v>1877</v>
      </c>
      <c r="D238" s="1858"/>
      <c r="E238" s="1858"/>
      <c r="F238" s="1858"/>
      <c r="G238" s="1858"/>
      <c r="H238" s="1858"/>
      <c r="I238" s="1858"/>
      <c r="J238" s="1858"/>
      <c r="K238" s="1858"/>
      <c r="L238" s="1858"/>
      <c r="M238" s="1858"/>
      <c r="N238" s="1858"/>
      <c r="O238" s="1858"/>
      <c r="P238" s="1858"/>
      <c r="Q238" s="1858"/>
      <c r="R238" s="1596"/>
      <c r="S238" s="1378"/>
      <c r="T238" s="1378"/>
      <c r="U238" s="1378"/>
      <c r="V238" s="1378"/>
      <c r="X238" s="1609"/>
    </row>
    <row r="239" spans="1:24" ht="15.75" hidden="1" x14ac:dyDescent="0.25">
      <c r="A239" s="1622"/>
      <c r="B239" s="1378"/>
      <c r="C239" s="1686"/>
      <c r="D239" s="1378"/>
      <c r="E239" s="1378"/>
      <c r="F239" s="1378"/>
      <c r="G239" s="1378"/>
      <c r="H239" s="1378"/>
      <c r="I239" s="1378"/>
      <c r="J239" s="1378"/>
      <c r="K239" s="1378"/>
      <c r="L239" s="1378"/>
      <c r="M239" s="1378"/>
      <c r="N239" s="1378"/>
      <c r="O239" s="1378"/>
      <c r="P239" s="1378"/>
      <c r="Q239" s="1378"/>
      <c r="R239" s="1378"/>
      <c r="S239" s="1378"/>
      <c r="T239" s="1378"/>
      <c r="U239" s="1378"/>
      <c r="V239" s="1378"/>
      <c r="X239" s="1609"/>
    </row>
    <row r="240" spans="1:24" ht="15.75" hidden="1" x14ac:dyDescent="0.25">
      <c r="A240" s="1622"/>
      <c r="B240" s="1378"/>
      <c r="C240" s="1714" t="s">
        <v>1878</v>
      </c>
      <c r="D240" s="1667" t="s">
        <v>1879</v>
      </c>
      <c r="E240" s="1378"/>
      <c r="F240" s="1378"/>
      <c r="G240" s="1378"/>
      <c r="H240" s="1378"/>
      <c r="I240" s="1856" t="str">
        <f>IF(OR(LEN('[27]פרטים על התאגיד'!$G$13)&gt;4, LEN('[27]פרטים על התאגיד'!$G$11)&gt;4), "לתקופה", " לשנה שנסתיימה ביום 31 בדצמבר")</f>
        <v xml:space="preserve"> לשנה שנסתיימה ביום 31 בדצמבר</v>
      </c>
      <c r="J240" s="1856"/>
      <c r="K240" s="1856"/>
      <c r="L240" s="1856"/>
      <c r="M240" s="1856"/>
      <c r="N240" s="1856"/>
      <c r="O240" s="1856"/>
      <c r="P240" s="1856"/>
      <c r="Q240" s="1856"/>
      <c r="R240" s="1856"/>
      <c r="S240" s="1856"/>
      <c r="T240" s="1607"/>
      <c r="U240" s="1607"/>
      <c r="V240" s="1607"/>
      <c r="X240" s="1609"/>
    </row>
    <row r="241" spans="1:24" ht="15.75" hidden="1" x14ac:dyDescent="0.25">
      <c r="A241" s="1622"/>
      <c r="B241" s="1378"/>
      <c r="C241" s="1378"/>
      <c r="D241" s="1388"/>
      <c r="E241" s="1378"/>
      <c r="F241" s="1378"/>
      <c r="G241" s="1378"/>
      <c r="H241" s="1378"/>
      <c r="I241" s="1682" t="s">
        <v>1836</v>
      </c>
      <c r="J241" s="1677"/>
      <c r="K241" s="1682" t="s">
        <v>1837</v>
      </c>
      <c r="L241" s="1677"/>
      <c r="M241" s="1682" t="s">
        <v>1838</v>
      </c>
      <c r="N241" s="1682" t="s">
        <v>1838</v>
      </c>
      <c r="O241" s="1682"/>
      <c r="P241" s="1682"/>
      <c r="Q241" s="1682" t="s">
        <v>1838</v>
      </c>
      <c r="R241" s="1683"/>
      <c r="S241" s="1682" t="s">
        <v>194</v>
      </c>
      <c r="T241" s="1682" t="s">
        <v>194</v>
      </c>
      <c r="U241" s="1684"/>
      <c r="V241" s="1684"/>
      <c r="X241" s="1609"/>
    </row>
    <row r="242" spans="1:24" ht="15.75" hidden="1" x14ac:dyDescent="0.25">
      <c r="A242" s="1622"/>
      <c r="B242" s="1378"/>
      <c r="C242" s="1378"/>
      <c r="D242" s="1378" t="s">
        <v>1880</v>
      </c>
      <c r="E242" s="1378"/>
      <c r="F242" s="1378"/>
      <c r="G242" s="1378"/>
      <c r="H242" s="1378"/>
      <c r="I242" s="1381"/>
      <c r="J242" s="1378"/>
      <c r="K242" s="1381"/>
      <c r="L242" s="1378"/>
      <c r="M242" s="1381"/>
      <c r="N242" s="1381"/>
      <c r="O242" s="1381"/>
      <c r="P242" s="1381"/>
      <c r="Q242" s="1381"/>
      <c r="R242" s="1378"/>
      <c r="S242" s="1381"/>
      <c r="T242" s="1381"/>
      <c r="U242" s="1374"/>
      <c r="V242" s="1374"/>
      <c r="X242" s="1609"/>
    </row>
    <row r="243" spans="1:24" ht="15.75" hidden="1" x14ac:dyDescent="0.25">
      <c r="A243" s="1622"/>
      <c r="B243" s="1378"/>
      <c r="C243" s="1378"/>
      <c r="D243" s="1378" t="s">
        <v>1881</v>
      </c>
      <c r="E243" s="1378"/>
      <c r="F243" s="1378"/>
      <c r="G243" s="1378"/>
      <c r="H243" s="1378"/>
      <c r="I243" s="1374"/>
      <c r="J243" s="1378"/>
      <c r="K243" s="1374"/>
      <c r="L243" s="1378"/>
      <c r="M243" s="1374"/>
      <c r="N243" s="1374"/>
      <c r="O243" s="1374"/>
      <c r="P243" s="1374"/>
      <c r="Q243" s="1374"/>
      <c r="R243" s="1378"/>
      <c r="S243" s="1374"/>
      <c r="T243" s="1374"/>
      <c r="U243" s="1374"/>
      <c r="V243" s="1374"/>
      <c r="X243" s="1609"/>
    </row>
    <row r="244" spans="1:24" ht="15.75" hidden="1" x14ac:dyDescent="0.25">
      <c r="A244" s="1622"/>
      <c r="B244" s="1378"/>
      <c r="C244" s="1378"/>
      <c r="D244" s="1378" t="s">
        <v>1882</v>
      </c>
      <c r="E244" s="1378"/>
      <c r="F244" s="1378"/>
      <c r="G244" s="1378"/>
      <c r="H244" s="1378"/>
      <c r="I244" s="1715"/>
      <c r="J244" s="1378"/>
      <c r="K244" s="1715"/>
      <c r="L244" s="1378"/>
      <c r="M244" s="1715">
        <f>-M252</f>
        <v>2746</v>
      </c>
      <c r="N244" s="1715">
        <f>-N252</f>
        <v>2746</v>
      </c>
      <c r="O244" s="1715"/>
      <c r="P244" s="1715"/>
      <c r="Q244" s="1715">
        <f>-Q252</f>
        <v>2746</v>
      </c>
      <c r="R244" s="1378"/>
      <c r="S244" s="1715"/>
      <c r="T244" s="1715"/>
      <c r="U244" s="1715"/>
      <c r="V244" s="1715"/>
      <c r="X244" s="1609"/>
    </row>
    <row r="245" spans="1:24" ht="16.5" hidden="1" thickBot="1" x14ac:dyDescent="0.3">
      <c r="A245" s="1622"/>
      <c r="B245" s="1378"/>
      <c r="C245" s="1378"/>
      <c r="D245" s="1378"/>
      <c r="E245" s="1378"/>
      <c r="F245" s="1378"/>
      <c r="G245" s="1378"/>
      <c r="H245" s="1378"/>
      <c r="I245" s="1665"/>
      <c r="J245" s="1378"/>
      <c r="K245" s="1665"/>
      <c r="L245" s="1378"/>
      <c r="M245" s="1665">
        <f>SUM(M242:M244)</f>
        <v>2746</v>
      </c>
      <c r="N245" s="1665">
        <f>SUM(N242:N244)</f>
        <v>2746</v>
      </c>
      <c r="O245" s="1665"/>
      <c r="P245" s="1665"/>
      <c r="Q245" s="1665">
        <f>SUM(Q242:Q244)</f>
        <v>2746</v>
      </c>
      <c r="R245" s="1388"/>
      <c r="S245" s="1665"/>
      <c r="T245" s="1665"/>
      <c r="U245" s="1669"/>
      <c r="V245" s="1669"/>
      <c r="X245" s="1609"/>
    </row>
    <row r="246" spans="1:24" ht="15.75" hidden="1" x14ac:dyDescent="0.25">
      <c r="A246" s="1622"/>
      <c r="B246" s="1378"/>
      <c r="C246" s="1378"/>
      <c r="D246" s="1378"/>
      <c r="E246" s="1378"/>
      <c r="F246" s="1378"/>
      <c r="G246" s="1378"/>
      <c r="H246" s="1378"/>
      <c r="I246" s="1378"/>
      <c r="J246" s="1378"/>
      <c r="K246" s="1378"/>
      <c r="L246" s="1378"/>
      <c r="M246" s="1378"/>
      <c r="N246" s="1378"/>
      <c r="O246" s="1378"/>
      <c r="P246" s="1378"/>
      <c r="Q246" s="1378"/>
      <c r="R246" s="1378"/>
      <c r="S246" s="1378"/>
      <c r="T246" s="1378"/>
      <c r="U246" s="1378"/>
      <c r="V246" s="1378"/>
      <c r="X246" s="1609"/>
    </row>
    <row r="247" spans="1:24" ht="15.75" hidden="1" x14ac:dyDescent="0.25">
      <c r="A247" s="1622"/>
      <c r="B247" s="1378"/>
      <c r="C247" s="1378"/>
      <c r="D247" s="1378"/>
      <c r="E247" s="1378"/>
      <c r="F247" s="1378"/>
      <c r="G247" s="1378"/>
      <c r="H247" s="1378"/>
      <c r="I247" s="1378"/>
      <c r="J247" s="1378"/>
      <c r="K247" s="1378"/>
      <c r="L247" s="1378"/>
      <c r="M247" s="1378"/>
      <c r="N247" s="1378"/>
      <c r="O247" s="1378"/>
      <c r="P247" s="1378"/>
      <c r="Q247" s="1378"/>
      <c r="R247" s="1378"/>
      <c r="S247" s="1378"/>
      <c r="T247" s="1378"/>
      <c r="U247" s="1378"/>
      <c r="V247" s="1378"/>
      <c r="X247" s="1609"/>
    </row>
    <row r="248" spans="1:24" ht="15.75" hidden="1" x14ac:dyDescent="0.25">
      <c r="A248" s="1622"/>
      <c r="B248" s="1378"/>
      <c r="C248" s="1378"/>
      <c r="D248" s="1378"/>
      <c r="E248" s="1378"/>
      <c r="F248" s="1378"/>
      <c r="G248" s="1378"/>
      <c r="H248" s="1378"/>
      <c r="I248" s="1378"/>
      <c r="J248" s="1378"/>
      <c r="K248" s="1378"/>
      <c r="L248" s="1378"/>
      <c r="M248" s="1378"/>
      <c r="N248" s="1378"/>
      <c r="O248" s="1378"/>
      <c r="P248" s="1378"/>
      <c r="Q248" s="1378"/>
      <c r="R248" s="1378"/>
      <c r="S248" s="1378"/>
      <c r="T248" s="1378"/>
      <c r="U248" s="1378"/>
      <c r="V248" s="1378"/>
      <c r="X248" s="1609"/>
    </row>
    <row r="249" spans="1:24" ht="15.75" hidden="1" x14ac:dyDescent="0.25">
      <c r="A249" s="1622"/>
      <c r="B249" s="1378"/>
      <c r="C249" s="1714" t="s">
        <v>1883</v>
      </c>
      <c r="D249" s="1667" t="s">
        <v>1884</v>
      </c>
      <c r="E249" s="1378"/>
      <c r="F249" s="1643"/>
      <c r="G249" s="1643"/>
      <c r="H249" s="1643"/>
      <c r="I249" s="1856" t="str">
        <f>IF(OR(LEN('[27]פרטים על התאגיד'!$G$13)&gt;4, LEN('[27]פרטים על התאגיד'!$G$11)&gt;4), "לתקופה", " לשנה שנסתיימה ביום 31 בדצמבר")</f>
        <v xml:space="preserve"> לשנה שנסתיימה ביום 31 בדצמבר</v>
      </c>
      <c r="J249" s="1856"/>
      <c r="K249" s="1856"/>
      <c r="L249" s="1856"/>
      <c r="M249" s="1856"/>
      <c r="N249" s="1856"/>
      <c r="O249" s="1856"/>
      <c r="P249" s="1856"/>
      <c r="Q249" s="1856"/>
      <c r="R249" s="1856"/>
      <c r="S249" s="1856"/>
      <c r="T249" s="1607"/>
      <c r="U249" s="1607"/>
      <c r="V249" s="1607"/>
      <c r="X249" s="1609"/>
    </row>
    <row r="250" spans="1:24" ht="15.75" hidden="1" x14ac:dyDescent="0.25">
      <c r="A250" s="1622"/>
      <c r="B250" s="1378"/>
      <c r="C250" s="1378"/>
      <c r="D250" s="1378"/>
      <c r="E250" s="1378"/>
      <c r="F250" s="1378"/>
      <c r="G250" s="1378"/>
      <c r="H250" s="1378"/>
      <c r="I250" s="1682" t="s">
        <v>1836</v>
      </c>
      <c r="J250" s="1677"/>
      <c r="K250" s="1682" t="s">
        <v>1837</v>
      </c>
      <c r="L250" s="1677"/>
      <c r="M250" s="1682" t="s">
        <v>1838</v>
      </c>
      <c r="N250" s="1682" t="s">
        <v>1838</v>
      </c>
      <c r="O250" s="1682"/>
      <c r="P250" s="1682"/>
      <c r="Q250" s="1682" t="s">
        <v>1838</v>
      </c>
      <c r="R250" s="1683"/>
      <c r="S250" s="1682" t="s">
        <v>194</v>
      </c>
      <c r="T250" s="1682" t="s">
        <v>194</v>
      </c>
      <c r="U250" s="1684"/>
      <c r="V250" s="1684"/>
      <c r="X250" s="1609"/>
    </row>
    <row r="251" spans="1:24" ht="15.75" hidden="1" x14ac:dyDescent="0.25">
      <c r="A251" s="1622"/>
      <c r="B251" s="1378"/>
      <c r="C251" s="1378"/>
      <c r="D251" s="1378" t="s">
        <v>1885</v>
      </c>
      <c r="E251" s="1378"/>
      <c r="F251" s="1378"/>
      <c r="G251" s="1378"/>
      <c r="H251" s="1378"/>
      <c r="I251" s="1715"/>
      <c r="J251" s="1378"/>
      <c r="K251" s="1715"/>
      <c r="L251" s="1378"/>
      <c r="M251" s="1381">
        <v>2746</v>
      </c>
      <c r="N251" s="1381">
        <v>2746</v>
      </c>
      <c r="O251" s="1381"/>
      <c r="P251" s="1381"/>
      <c r="Q251" s="1381">
        <v>2746</v>
      </c>
      <c r="R251" s="1378"/>
      <c r="S251" s="1715"/>
      <c r="T251" s="1715"/>
      <c r="U251" s="1715"/>
      <c r="V251" s="1715"/>
      <c r="X251" s="1609"/>
    </row>
    <row r="252" spans="1:24" ht="15.75" hidden="1" x14ac:dyDescent="0.25">
      <c r="A252" s="1622"/>
      <c r="B252" s="1378"/>
      <c r="C252" s="1378"/>
      <c r="D252" s="1378" t="s">
        <v>1886</v>
      </c>
      <c r="E252" s="1378"/>
      <c r="F252" s="1378"/>
      <c r="G252" s="1378"/>
      <c r="H252" s="1378"/>
      <c r="I252" s="1715"/>
      <c r="J252" s="1378"/>
      <c r="K252" s="1715"/>
      <c r="L252" s="1378"/>
      <c r="M252" s="1381">
        <v>-2746</v>
      </c>
      <c r="N252" s="1381">
        <v>-2746</v>
      </c>
      <c r="O252" s="1381"/>
      <c r="P252" s="1381"/>
      <c r="Q252" s="1381">
        <v>-2746</v>
      </c>
      <c r="R252" s="1378"/>
      <c r="S252" s="1715"/>
      <c r="T252" s="1715"/>
      <c r="U252" s="1715"/>
      <c r="V252" s="1715"/>
      <c r="X252" s="1609"/>
    </row>
    <row r="253" spans="1:24" ht="16.5" hidden="1" thickBot="1" x14ac:dyDescent="0.3">
      <c r="A253" s="1622"/>
      <c r="B253" s="1378"/>
      <c r="C253" s="1378"/>
      <c r="D253" s="1378"/>
      <c r="E253" s="1378"/>
      <c r="F253" s="1378"/>
      <c r="G253" s="1378"/>
      <c r="H253" s="1378"/>
      <c r="I253" s="1665"/>
      <c r="J253" s="1378"/>
      <c r="K253" s="1665"/>
      <c r="L253" s="1378"/>
      <c r="M253" s="1665">
        <f>SUM(M251:M252)</f>
        <v>0</v>
      </c>
      <c r="N253" s="1665">
        <f>SUM(N251:N252)</f>
        <v>0</v>
      </c>
      <c r="O253" s="1665"/>
      <c r="P253" s="1665"/>
      <c r="Q253" s="1665">
        <f>SUM(Q251:Q252)</f>
        <v>0</v>
      </c>
      <c r="R253" s="1388"/>
      <c r="S253" s="1665"/>
      <c r="T253" s="1665"/>
      <c r="U253" s="1669"/>
      <c r="V253" s="1669"/>
      <c r="X253" s="1609"/>
    </row>
    <row r="254" spans="1:24" ht="15.75" hidden="1" x14ac:dyDescent="0.25">
      <c r="A254" s="1674"/>
      <c r="B254" s="1686"/>
      <c r="C254" s="1686"/>
      <c r="D254" s="1686"/>
      <c r="E254" s="1686"/>
      <c r="F254" s="1378"/>
      <c r="G254" s="1378"/>
      <c r="H254" s="1378"/>
      <c r="I254" s="1378"/>
      <c r="J254" s="1378"/>
      <c r="K254" s="1378"/>
      <c r="L254" s="1378"/>
      <c r="M254" s="1378"/>
      <c r="N254" s="1378"/>
      <c r="O254" s="1378"/>
      <c r="P254" s="1378"/>
      <c r="Q254" s="1378"/>
      <c r="R254" s="1378"/>
      <c r="S254" s="1378"/>
      <c r="T254" s="1378"/>
      <c r="U254" s="1378"/>
      <c r="V254" s="1378"/>
      <c r="X254" s="1609"/>
    </row>
    <row r="255" spans="1:24" ht="15.75" hidden="1" x14ac:dyDescent="0.25">
      <c r="A255" s="1674"/>
      <c r="B255" s="1686"/>
      <c r="C255" s="1686"/>
      <c r="D255" s="1378" t="s">
        <v>1887</v>
      </c>
      <c r="E255" s="1686"/>
      <c r="F255" s="1378"/>
      <c r="G255" s="1378"/>
      <c r="H255" s="1378"/>
      <c r="I255" s="1381"/>
      <c r="J255" s="1378"/>
      <c r="K255" s="1381"/>
      <c r="L255" s="1378"/>
      <c r="M255" s="1381"/>
      <c r="N255" s="1381"/>
      <c r="O255" s="1381"/>
      <c r="P255" s="1381"/>
      <c r="Q255" s="1381"/>
      <c r="R255" s="1378"/>
      <c r="S255" s="1381"/>
      <c r="T255" s="1381"/>
      <c r="U255" s="1374"/>
      <c r="V255" s="1374"/>
      <c r="X255" s="1609"/>
    </row>
    <row r="256" spans="1:24" ht="15.75" hidden="1" x14ac:dyDescent="0.25">
      <c r="A256" s="1674"/>
      <c r="B256" s="1686"/>
      <c r="C256" s="1686"/>
      <c r="D256" s="1378" t="s">
        <v>1888</v>
      </c>
      <c r="E256" s="1686"/>
      <c r="F256" s="1378"/>
      <c r="G256" s="1378"/>
      <c r="H256" s="1378"/>
      <c r="I256" s="1381"/>
      <c r="J256" s="1378"/>
      <c r="K256" s="1381"/>
      <c r="L256" s="1378"/>
      <c r="M256" s="1381"/>
      <c r="N256" s="1381"/>
      <c r="O256" s="1381"/>
      <c r="P256" s="1381"/>
      <c r="Q256" s="1381"/>
      <c r="R256" s="1378"/>
      <c r="S256" s="1381"/>
      <c r="T256" s="1381"/>
      <c r="U256" s="1374"/>
      <c r="V256" s="1374"/>
      <c r="X256" s="1609"/>
    </row>
    <row r="257" spans="1:24" ht="15.75" hidden="1" x14ac:dyDescent="0.25">
      <c r="A257" s="1622"/>
      <c r="B257" s="1378"/>
      <c r="C257" s="1378"/>
      <c r="D257" s="1378"/>
      <c r="E257" s="1378"/>
      <c r="F257" s="1378"/>
      <c r="G257" s="1378"/>
      <c r="H257" s="1378"/>
      <c r="I257" s="1378"/>
      <c r="J257" s="1378"/>
      <c r="K257" s="1378"/>
      <c r="L257" s="1378"/>
      <c r="M257" s="1378">
        <f>M253-M255-M256</f>
        <v>0</v>
      </c>
      <c r="N257" s="1378">
        <f>N253-N255-N256</f>
        <v>0</v>
      </c>
      <c r="O257" s="1378"/>
      <c r="P257" s="1378"/>
      <c r="Q257" s="1378">
        <f>Q253-Q255-Q256</f>
        <v>0</v>
      </c>
      <c r="R257" s="1378"/>
      <c r="S257" s="1378"/>
      <c r="T257" s="1378"/>
      <c r="U257" s="1378"/>
      <c r="V257" s="1378"/>
      <c r="X257" s="1609"/>
    </row>
    <row r="258" spans="1:24" ht="36" hidden="1" x14ac:dyDescent="0.4">
      <c r="A258" s="1602" t="s">
        <v>1889</v>
      </c>
      <c r="B258" s="1690" t="s">
        <v>166</v>
      </c>
      <c r="C258" s="1689" t="s">
        <v>1890</v>
      </c>
      <c r="D258" s="1605"/>
      <c r="E258" s="1605"/>
      <c r="F258" s="1605"/>
      <c r="G258" s="1605"/>
      <c r="H258" s="1605"/>
      <c r="I258" s="1605"/>
      <c r="J258" s="1605"/>
      <c r="K258" s="1605"/>
      <c r="L258" s="1605"/>
      <c r="M258" s="1605"/>
      <c r="N258" s="1605"/>
      <c r="O258" s="1605"/>
      <c r="P258" s="1605"/>
      <c r="Q258" s="1605"/>
      <c r="R258" s="1605"/>
      <c r="S258" s="1605"/>
      <c r="T258" s="1605"/>
      <c r="U258" s="1605"/>
      <c r="V258" s="1605"/>
      <c r="X258" s="1609"/>
    </row>
    <row r="259" spans="1:24" ht="18" hidden="1" x14ac:dyDescent="0.4">
      <c r="A259" s="1707"/>
      <c r="B259" s="1706"/>
      <c r="C259" s="1716"/>
      <c r="D259" s="1706"/>
      <c r="E259" s="1706"/>
      <c r="F259" s="1706"/>
      <c r="G259" s="1706"/>
      <c r="H259" s="1706"/>
      <c r="I259" s="1706"/>
      <c r="J259" s="1706"/>
      <c r="K259" s="1706"/>
      <c r="L259" s="1706"/>
      <c r="M259" s="1706"/>
      <c r="N259" s="1706"/>
      <c r="O259" s="1706"/>
      <c r="P259" s="1706"/>
      <c r="Q259" s="1706"/>
      <c r="R259" s="1706"/>
      <c r="S259" s="1706"/>
      <c r="T259" s="1706"/>
      <c r="U259" s="1706"/>
      <c r="V259" s="1706"/>
      <c r="X259" s="1609"/>
    </row>
    <row r="260" spans="1:24" ht="15.75" hidden="1" x14ac:dyDescent="0.25">
      <c r="A260" s="1622"/>
      <c r="B260" s="1378"/>
      <c r="C260" s="1667" t="s">
        <v>1816</v>
      </c>
      <c r="D260" s="1378"/>
      <c r="E260" s="1378"/>
      <c r="F260" s="1717" t="s">
        <v>1308</v>
      </c>
      <c r="G260" s="1717"/>
      <c r="H260" s="1717"/>
      <c r="I260" s="1856" t="str">
        <f>IF(OR(LEN('[27]פרטים על התאגיד'!$G$13)&gt;4, LEN('[27]פרטים על התאגיד'!$G$11)&gt;4), "לתקופה", " לשנה שנסתיימה ביום 31 בדצמבר")</f>
        <v xml:space="preserve"> לשנה שנסתיימה ביום 31 בדצמבר</v>
      </c>
      <c r="J260" s="1856"/>
      <c r="K260" s="1856"/>
      <c r="L260" s="1856"/>
      <c r="M260" s="1856"/>
      <c r="N260" s="1856"/>
      <c r="O260" s="1856"/>
      <c r="P260" s="1856"/>
      <c r="Q260" s="1856"/>
      <c r="R260" s="1856"/>
      <c r="S260" s="1856"/>
      <c r="T260" s="1607"/>
      <c r="U260" s="1607"/>
      <c r="V260" s="1607"/>
      <c r="X260" s="1609"/>
    </row>
    <row r="261" spans="1:24" ht="15.75" hidden="1" x14ac:dyDescent="0.25">
      <c r="A261" s="1622"/>
      <c r="B261" s="1378"/>
      <c r="C261" s="1378"/>
      <c r="D261" s="1388"/>
      <c r="E261" s="1378"/>
      <c r="F261" s="1718"/>
      <c r="G261" s="1718"/>
      <c r="H261" s="1718"/>
      <c r="I261" s="1682" t="s">
        <v>1836</v>
      </c>
      <c r="J261" s="1677"/>
      <c r="K261" s="1682" t="s">
        <v>1837</v>
      </c>
      <c r="L261" s="1677"/>
      <c r="M261" s="1682" t="s">
        <v>1838</v>
      </c>
      <c r="N261" s="1682" t="s">
        <v>1838</v>
      </c>
      <c r="O261" s="1682"/>
      <c r="P261" s="1682"/>
      <c r="Q261" s="1682" t="s">
        <v>1838</v>
      </c>
      <c r="R261" s="1683"/>
      <c r="S261" s="1682" t="s">
        <v>194</v>
      </c>
      <c r="T261" s="1682" t="s">
        <v>194</v>
      </c>
      <c r="U261" s="1684"/>
      <c r="V261" s="1684"/>
      <c r="X261" s="1609"/>
    </row>
    <row r="262" spans="1:24" ht="15.75" hidden="1" x14ac:dyDescent="0.25">
      <c r="A262" s="1622"/>
      <c r="B262" s="1378"/>
      <c r="C262" s="1378" t="s">
        <v>1891</v>
      </c>
      <c r="D262" s="1378"/>
      <c r="E262" s="1378"/>
      <c r="F262" s="1719" t="s">
        <v>1892</v>
      </c>
      <c r="G262" s="1719"/>
      <c r="H262" s="1719"/>
      <c r="I262" s="1720"/>
      <c r="J262" s="1719"/>
      <c r="K262" s="1720"/>
      <c r="L262" s="1719"/>
      <c r="M262" s="1720" t="e">
        <f>#REF!</f>
        <v>#REF!</v>
      </c>
      <c r="N262" s="1720" t="e">
        <f>#REF!</f>
        <v>#REF!</v>
      </c>
      <c r="O262" s="1720"/>
      <c r="P262" s="1720"/>
      <c r="Q262" s="1720" t="e">
        <f>#REF!</f>
        <v>#REF!</v>
      </c>
      <c r="R262" s="1378"/>
      <c r="S262" s="1720"/>
      <c r="T262" s="1720"/>
      <c r="U262" s="1721"/>
      <c r="V262" s="1721"/>
      <c r="X262" s="1609"/>
    </row>
    <row r="263" spans="1:24" ht="15.75" hidden="1" x14ac:dyDescent="0.25">
      <c r="A263" s="1622"/>
      <c r="B263" s="1378"/>
      <c r="C263" s="1378" t="s">
        <v>1893</v>
      </c>
      <c r="D263" s="1378"/>
      <c r="E263" s="1378"/>
      <c r="F263" s="1719" t="s">
        <v>1806</v>
      </c>
      <c r="G263" s="1719"/>
      <c r="H263" s="1719"/>
      <c r="I263" s="1722"/>
      <c r="J263" s="1719"/>
      <c r="K263" s="1722"/>
      <c r="L263" s="1719"/>
      <c r="M263" s="1722" t="e">
        <f>#REF!</f>
        <v>#REF!</v>
      </c>
      <c r="N263" s="1722" t="e">
        <f>#REF!</f>
        <v>#REF!</v>
      </c>
      <c r="O263" s="1722"/>
      <c r="P263" s="1722"/>
      <c r="Q263" s="1722" t="e">
        <f>#REF!</f>
        <v>#REF!</v>
      </c>
      <c r="R263" s="1378"/>
      <c r="S263" s="1722"/>
      <c r="T263" s="1722"/>
      <c r="U263" s="1721"/>
      <c r="V263" s="1721"/>
      <c r="X263" s="1609"/>
    </row>
    <row r="264" spans="1:24" ht="15.75" hidden="1" x14ac:dyDescent="0.25">
      <c r="A264" s="1622"/>
      <c r="B264" s="1378"/>
      <c r="C264" s="1378" t="s">
        <v>1894</v>
      </c>
      <c r="D264" s="1378"/>
      <c r="E264" s="1378"/>
      <c r="F264" s="1719" t="s">
        <v>1821</v>
      </c>
      <c r="G264" s="1719"/>
      <c r="H264" s="1719"/>
      <c r="I264" s="1722"/>
      <c r="J264" s="1719"/>
      <c r="K264" s="1722"/>
      <c r="L264" s="1719"/>
      <c r="M264" s="1722" t="e">
        <f>#REF!</f>
        <v>#REF!</v>
      </c>
      <c r="N264" s="1722" t="e">
        <f>#REF!</f>
        <v>#REF!</v>
      </c>
      <c r="O264" s="1722"/>
      <c r="P264" s="1722"/>
      <c r="Q264" s="1722" t="e">
        <f>#REF!</f>
        <v>#REF!</v>
      </c>
      <c r="R264" s="1378"/>
      <c r="S264" s="1722"/>
      <c r="T264" s="1722"/>
      <c r="U264" s="1721"/>
      <c r="V264" s="1721"/>
      <c r="X264" s="1609"/>
    </row>
    <row r="265" spans="1:24" ht="15.75" hidden="1" x14ac:dyDescent="0.25">
      <c r="A265" s="1622"/>
      <c r="B265" s="1378"/>
      <c r="C265" s="1378" t="s">
        <v>1895</v>
      </c>
      <c r="D265" s="1378"/>
      <c r="E265" s="1378"/>
      <c r="F265" s="1719" t="s">
        <v>1824</v>
      </c>
      <c r="G265" s="1719"/>
      <c r="H265" s="1719"/>
      <c r="I265" s="1722"/>
      <c r="J265" s="1719"/>
      <c r="K265" s="1722"/>
      <c r="L265" s="1719"/>
      <c r="M265" s="1722" t="e">
        <f>#REF!</f>
        <v>#REF!</v>
      </c>
      <c r="N265" s="1722" t="e">
        <f>#REF!</f>
        <v>#REF!</v>
      </c>
      <c r="O265" s="1722"/>
      <c r="P265" s="1722"/>
      <c r="Q265" s="1722" t="e">
        <f>#REF!</f>
        <v>#REF!</v>
      </c>
      <c r="R265" s="1378"/>
      <c r="S265" s="1722"/>
      <c r="T265" s="1722"/>
      <c r="U265" s="1721"/>
      <c r="V265" s="1721"/>
      <c r="X265" s="1609"/>
    </row>
    <row r="266" spans="1:24" ht="15.75" hidden="1" x14ac:dyDescent="0.25">
      <c r="A266" s="1622"/>
      <c r="B266" s="1378"/>
      <c r="C266" s="1378" t="s">
        <v>1896</v>
      </c>
      <c r="D266" s="1378"/>
      <c r="E266" s="1378"/>
      <c r="F266" s="1723">
        <v>24</v>
      </c>
      <c r="G266" s="1723"/>
      <c r="H266" s="1723"/>
      <c r="I266" s="1722"/>
      <c r="J266" s="1723"/>
      <c r="K266" s="1722"/>
      <c r="L266" s="1723"/>
      <c r="M266" s="1722" t="e">
        <f>#REF!</f>
        <v>#REF!</v>
      </c>
      <c r="N266" s="1722" t="e">
        <f>#REF!</f>
        <v>#REF!</v>
      </c>
      <c r="O266" s="1722"/>
      <c r="P266" s="1722"/>
      <c r="Q266" s="1722" t="e">
        <f>#REF!</f>
        <v>#REF!</v>
      </c>
      <c r="R266" s="1378"/>
      <c r="S266" s="1722"/>
      <c r="T266" s="1722"/>
      <c r="U266" s="1721"/>
      <c r="V266" s="1721"/>
      <c r="X266" s="1609"/>
    </row>
    <row r="267" spans="1:24" ht="15.75" hidden="1" x14ac:dyDescent="0.25">
      <c r="A267" s="1622"/>
      <c r="B267" s="1378"/>
      <c r="C267" s="1378" t="s">
        <v>1897</v>
      </c>
      <c r="D267" s="1378"/>
      <c r="E267" s="1378"/>
      <c r="F267" s="1723">
        <v>23</v>
      </c>
      <c r="G267" s="1723"/>
      <c r="H267" s="1723"/>
      <c r="I267" s="1722"/>
      <c r="J267" s="1723"/>
      <c r="K267" s="1722"/>
      <c r="L267" s="1723"/>
      <c r="M267" s="1722" t="e">
        <f>#REF!</f>
        <v>#REF!</v>
      </c>
      <c r="N267" s="1722" t="e">
        <f>#REF!</f>
        <v>#REF!</v>
      </c>
      <c r="O267" s="1722"/>
      <c r="P267" s="1722"/>
      <c r="Q267" s="1722" t="e">
        <f>#REF!</f>
        <v>#REF!</v>
      </c>
      <c r="R267" s="1378"/>
      <c r="S267" s="1722"/>
      <c r="T267" s="1722"/>
      <c r="U267" s="1721"/>
      <c r="V267" s="1721"/>
      <c r="X267" s="1609"/>
    </row>
    <row r="268" spans="1:24" ht="15.75" hidden="1" x14ac:dyDescent="0.25">
      <c r="A268" s="1622"/>
      <c r="B268" s="1378"/>
      <c r="C268" s="1378" t="s">
        <v>1898</v>
      </c>
      <c r="D268" s="1378"/>
      <c r="E268" s="1378"/>
      <c r="F268" s="1724"/>
      <c r="G268" s="1724"/>
      <c r="H268" s="1724"/>
      <c r="I268" s="1376"/>
      <c r="J268" s="1724"/>
      <c r="K268" s="1376"/>
      <c r="L268" s="1724"/>
      <c r="M268" s="1376"/>
      <c r="N268" s="1376"/>
      <c r="O268" s="1376"/>
      <c r="P268" s="1376"/>
      <c r="Q268" s="1376"/>
      <c r="R268" s="1378"/>
      <c r="S268" s="1376"/>
      <c r="T268" s="1376"/>
      <c r="U268" s="1374"/>
      <c r="V268" s="1374"/>
      <c r="X268" s="1609"/>
    </row>
    <row r="269" spans="1:24" ht="15.75" hidden="1" x14ac:dyDescent="0.25">
      <c r="A269" s="1622"/>
      <c r="B269" s="1378"/>
      <c r="C269" s="1378" t="s">
        <v>1899</v>
      </c>
      <c r="D269" s="1378"/>
      <c r="E269" s="1378"/>
      <c r="F269" s="1724"/>
      <c r="G269" s="1724"/>
      <c r="H269" s="1724"/>
      <c r="I269" s="1376"/>
      <c r="J269" s="1724"/>
      <c r="K269" s="1376"/>
      <c r="L269" s="1724"/>
      <c r="M269" s="1376"/>
      <c r="N269" s="1376"/>
      <c r="O269" s="1376"/>
      <c r="P269" s="1376"/>
      <c r="Q269" s="1376"/>
      <c r="R269" s="1378"/>
      <c r="S269" s="1376"/>
      <c r="T269" s="1376"/>
      <c r="U269" s="1374"/>
      <c r="V269" s="1374"/>
      <c r="X269" s="1609"/>
    </row>
    <row r="270" spans="1:24" ht="16.5" hidden="1" thickBot="1" x14ac:dyDescent="0.3">
      <c r="A270" s="1622"/>
      <c r="B270" s="1378"/>
      <c r="C270" s="1378"/>
      <c r="D270" s="1378"/>
      <c r="E270" s="1378"/>
      <c r="F270" s="1697"/>
      <c r="G270" s="1697"/>
      <c r="H270" s="1697"/>
      <c r="I270" s="1665"/>
      <c r="J270" s="1697"/>
      <c r="K270" s="1665"/>
      <c r="L270" s="1697"/>
      <c r="M270" s="1665" t="e">
        <f>SUM(M262:M269)</f>
        <v>#REF!</v>
      </c>
      <c r="N270" s="1665" t="e">
        <f>SUM(N262:N269)</f>
        <v>#REF!</v>
      </c>
      <c r="O270" s="1665"/>
      <c r="P270" s="1665"/>
      <c r="Q270" s="1665" t="e">
        <f>SUM(Q262:Q269)</f>
        <v>#REF!</v>
      </c>
      <c r="R270" s="1388"/>
      <c r="S270" s="1665"/>
      <c r="T270" s="1665"/>
      <c r="U270" s="1669"/>
      <c r="V270" s="1669"/>
      <c r="X270" s="1609"/>
    </row>
    <row r="271" spans="1:24" ht="15.75" hidden="1" x14ac:dyDescent="0.25">
      <c r="A271" s="1622"/>
      <c r="B271" s="1378"/>
      <c r="C271" s="1378"/>
      <c r="D271" s="1378"/>
      <c r="E271" s="1378"/>
      <c r="F271" s="1697"/>
      <c r="G271" s="1697"/>
      <c r="H271" s="1697"/>
      <c r="I271" s="1697"/>
      <c r="J271" s="1697"/>
      <c r="K271" s="1697"/>
      <c r="L271" s="1697"/>
      <c r="M271" s="1378"/>
      <c r="N271" s="1378"/>
      <c r="O271" s="1378"/>
      <c r="P271" s="1378"/>
      <c r="Q271" s="1378"/>
      <c r="R271" s="1378"/>
      <c r="S271" s="1378"/>
      <c r="T271" s="1378"/>
      <c r="U271" s="1378"/>
      <c r="V271" s="1378"/>
      <c r="X271" s="1609"/>
    </row>
    <row r="272" spans="1:24" ht="15.75" hidden="1" x14ac:dyDescent="0.25">
      <c r="A272" s="1622"/>
      <c r="B272" s="1378"/>
      <c r="C272" s="1378"/>
      <c r="D272" s="1378"/>
      <c r="E272" s="1378"/>
      <c r="F272" s="1697"/>
      <c r="G272" s="1697"/>
      <c r="H272" s="1697"/>
      <c r="I272" s="1697"/>
      <c r="J272" s="1697"/>
      <c r="K272" s="1697"/>
      <c r="L272" s="1697"/>
      <c r="M272" s="1378"/>
      <c r="N272" s="1378"/>
      <c r="O272" s="1378"/>
      <c r="P272" s="1378"/>
      <c r="Q272" s="1378"/>
      <c r="R272" s="1378"/>
      <c r="S272" s="1378"/>
      <c r="T272" s="1378"/>
      <c r="U272" s="1378"/>
      <c r="V272" s="1378"/>
      <c r="X272" s="1609"/>
    </row>
    <row r="273" spans="1:24" ht="36" hidden="1" x14ac:dyDescent="0.4">
      <c r="A273" s="1602" t="s">
        <v>1900</v>
      </c>
      <c r="B273" s="1603" t="s">
        <v>166</v>
      </c>
      <c r="C273" s="1703" t="s">
        <v>1901</v>
      </c>
      <c r="D273" s="1605"/>
      <c r="E273" s="1605"/>
      <c r="F273" s="1605"/>
      <c r="G273" s="1605"/>
      <c r="H273" s="1605"/>
      <c r="I273" s="1605"/>
      <c r="J273" s="1605"/>
      <c r="K273" s="1605"/>
      <c r="L273" s="1605"/>
      <c r="M273" s="1605"/>
      <c r="N273" s="1605"/>
      <c r="O273" s="1605"/>
      <c r="P273" s="1605"/>
      <c r="Q273" s="1605"/>
      <c r="R273" s="1605"/>
      <c r="S273" s="1605"/>
      <c r="T273" s="1605"/>
      <c r="U273" s="1605"/>
      <c r="V273" s="1605"/>
      <c r="X273" s="1609"/>
    </row>
    <row r="274" spans="1:24" ht="15.75" hidden="1" x14ac:dyDescent="0.25">
      <c r="A274" s="1725"/>
      <c r="B274" s="1686"/>
      <c r="C274" s="1378" t="s">
        <v>1902</v>
      </c>
      <c r="D274" s="1378"/>
      <c r="E274" s="1378"/>
      <c r="F274" s="1378"/>
      <c r="G274" s="1378"/>
      <c r="H274" s="1378"/>
      <c r="I274" s="1378"/>
      <c r="J274" s="1378"/>
      <c r="K274" s="1378"/>
      <c r="L274" s="1378"/>
      <c r="M274" s="1378"/>
      <c r="N274" s="1378"/>
      <c r="O274" s="1378"/>
      <c r="P274" s="1378"/>
      <c r="Q274" s="1378"/>
      <c r="R274" s="1686"/>
      <c r="S274" s="1686"/>
      <c r="T274" s="1686"/>
      <c r="U274" s="1686"/>
      <c r="V274" s="1686"/>
      <c r="X274" s="1609"/>
    </row>
    <row r="275" spans="1:24" hidden="1" x14ac:dyDescent="0.2">
      <c r="A275" s="1725"/>
      <c r="B275" s="1686"/>
      <c r="C275" s="1726"/>
      <c r="D275" s="1726"/>
      <c r="E275" s="1726"/>
      <c r="F275" s="1686"/>
      <c r="G275" s="1686"/>
      <c r="H275" s="1686"/>
      <c r="I275" s="1686"/>
      <c r="J275" s="1686"/>
      <c r="K275" s="1686"/>
      <c r="L275" s="1686"/>
      <c r="M275" s="1726"/>
      <c r="N275" s="1726"/>
      <c r="O275" s="1726"/>
      <c r="P275" s="1726"/>
      <c r="Q275" s="1726"/>
      <c r="R275" s="1726"/>
      <c r="S275" s="1726"/>
      <c r="T275" s="1726"/>
      <c r="U275" s="1726"/>
      <c r="V275" s="1726"/>
      <c r="X275" s="1609"/>
    </row>
    <row r="276" spans="1:24" ht="15.75" hidden="1" x14ac:dyDescent="0.25">
      <c r="A276" s="1725"/>
      <c r="B276" s="1686"/>
      <c r="C276" s="1686"/>
      <c r="D276" s="1686"/>
      <c r="E276" s="1686"/>
      <c r="F276" s="1726"/>
      <c r="G276" s="1726"/>
      <c r="H276" s="1726"/>
      <c r="I276" s="1856" t="str">
        <f>IF(OR(LEN('[27]פרטים על התאגיד'!$G$13)&gt;4, LEN('[27]פרטים על התאגיד'!$G$11)&gt;4), "לתקופה", " לשנה שנסתיימה ביום 31 בדצמבר")</f>
        <v xml:space="preserve"> לשנה שנסתיימה ביום 31 בדצמבר</v>
      </c>
      <c r="J276" s="1856"/>
      <c r="K276" s="1856"/>
      <c r="L276" s="1856"/>
      <c r="M276" s="1856"/>
      <c r="N276" s="1856"/>
      <c r="O276" s="1856"/>
      <c r="P276" s="1856"/>
      <c r="Q276" s="1856"/>
      <c r="R276" s="1856"/>
      <c r="S276" s="1856"/>
      <c r="T276" s="1607"/>
      <c r="U276" s="1607"/>
      <c r="V276" s="1607"/>
      <c r="X276" s="1609"/>
    </row>
    <row r="277" spans="1:24" ht="15.75" hidden="1" x14ac:dyDescent="0.25">
      <c r="A277" s="1725"/>
      <c r="B277" s="1686"/>
      <c r="C277" s="1686"/>
      <c r="D277" s="1378"/>
      <c r="E277" s="1378"/>
      <c r="F277" s="1726"/>
      <c r="G277" s="1726"/>
      <c r="H277" s="1726"/>
      <c r="I277" s="1682" t="s">
        <v>1836</v>
      </c>
      <c r="J277" s="1677"/>
      <c r="K277" s="1682" t="s">
        <v>1837</v>
      </c>
      <c r="L277" s="1677"/>
      <c r="M277" s="1682" t="s">
        <v>1838</v>
      </c>
      <c r="N277" s="1682" t="s">
        <v>1838</v>
      </c>
      <c r="O277" s="1682"/>
      <c r="P277" s="1682"/>
      <c r="Q277" s="1682" t="s">
        <v>1838</v>
      </c>
      <c r="R277" s="1683"/>
      <c r="S277" s="1682" t="s">
        <v>194</v>
      </c>
      <c r="T277" s="1682" t="s">
        <v>194</v>
      </c>
      <c r="U277" s="1684"/>
      <c r="V277" s="1684"/>
      <c r="X277" s="1609"/>
    </row>
    <row r="278" spans="1:24" ht="15.75" hidden="1" x14ac:dyDescent="0.25">
      <c r="A278" s="1725"/>
      <c r="B278" s="1686"/>
      <c r="C278" s="1686"/>
      <c r="D278" s="1378" t="s">
        <v>1903</v>
      </c>
      <c r="E278" s="1378"/>
      <c r="F278" s="1726"/>
      <c r="G278" s="1726"/>
      <c r="H278" s="1726"/>
      <c r="I278" s="1381"/>
      <c r="J278" s="1726"/>
      <c r="K278" s="1381"/>
      <c r="L278" s="1726"/>
      <c r="M278" s="1381">
        <v>18296</v>
      </c>
      <c r="N278" s="1381">
        <v>18296</v>
      </c>
      <c r="O278" s="1381"/>
      <c r="P278" s="1381"/>
      <c r="Q278" s="1381">
        <v>18296</v>
      </c>
      <c r="R278" s="1378"/>
      <c r="S278" s="1381"/>
      <c r="T278" s="1381"/>
      <c r="U278" s="1374"/>
      <c r="V278" s="1374"/>
      <c r="X278" s="1609"/>
    </row>
    <row r="279" spans="1:24" ht="15.75" hidden="1" x14ac:dyDescent="0.25">
      <c r="A279" s="1725"/>
      <c r="B279" s="1686"/>
      <c r="C279" s="1686"/>
      <c r="D279" s="1378" t="s">
        <v>1904</v>
      </c>
      <c r="E279" s="1378"/>
      <c r="F279" s="1686"/>
      <c r="G279" s="1686"/>
      <c r="H279" s="1686"/>
      <c r="I279" s="1376"/>
      <c r="J279" s="1686"/>
      <c r="K279" s="1376"/>
      <c r="L279" s="1686"/>
      <c r="M279" s="1376"/>
      <c r="N279" s="1376"/>
      <c r="O279" s="1376"/>
      <c r="P279" s="1376"/>
      <c r="Q279" s="1376"/>
      <c r="R279" s="1378"/>
      <c r="S279" s="1376"/>
      <c r="T279" s="1376"/>
      <c r="U279" s="1374"/>
      <c r="V279" s="1374"/>
      <c r="X279" s="1609"/>
    </row>
    <row r="280" spans="1:24" ht="15.75" hidden="1" x14ac:dyDescent="0.25">
      <c r="A280" s="1725"/>
      <c r="B280" s="1686"/>
      <c r="C280" s="1686"/>
      <c r="D280" s="1378" t="s">
        <v>1905</v>
      </c>
      <c r="E280" s="1378"/>
      <c r="F280" s="1686"/>
      <c r="G280" s="1686"/>
      <c r="H280" s="1686"/>
      <c r="I280" s="1376"/>
      <c r="J280" s="1686"/>
      <c r="K280" s="1376"/>
      <c r="L280" s="1686"/>
      <c r="M280" s="1376">
        <v>4038</v>
      </c>
      <c r="N280" s="1376">
        <v>4038</v>
      </c>
      <c r="O280" s="1376"/>
      <c r="P280" s="1376"/>
      <c r="Q280" s="1376">
        <v>4038</v>
      </c>
      <c r="R280" s="1378"/>
      <c r="S280" s="1376"/>
      <c r="T280" s="1376"/>
      <c r="U280" s="1374"/>
      <c r="V280" s="1374"/>
      <c r="X280" s="1609"/>
    </row>
    <row r="281" spans="1:24" ht="15.75" hidden="1" x14ac:dyDescent="0.25">
      <c r="A281" s="1725"/>
      <c r="B281" s="1686"/>
      <c r="C281" s="1686"/>
      <c r="D281" s="1378" t="s">
        <v>1906</v>
      </c>
      <c r="E281" s="1378"/>
      <c r="F281" s="1686"/>
      <c r="G281" s="1686"/>
      <c r="H281" s="1686"/>
      <c r="I281" s="1376"/>
      <c r="J281" s="1686"/>
      <c r="K281" s="1376"/>
      <c r="L281" s="1686"/>
      <c r="M281" s="1376"/>
      <c r="N281" s="1376"/>
      <c r="O281" s="1376"/>
      <c r="P281" s="1376"/>
      <c r="Q281" s="1376"/>
      <c r="R281" s="1378"/>
      <c r="S281" s="1376"/>
      <c r="T281" s="1376"/>
      <c r="U281" s="1374"/>
      <c r="V281" s="1374"/>
      <c r="X281" s="1609"/>
    </row>
    <row r="282" spans="1:24" ht="15.75" hidden="1" x14ac:dyDescent="0.25">
      <c r="A282" s="1725"/>
      <c r="B282" s="1686"/>
      <c r="C282" s="1686"/>
      <c r="D282" s="1378" t="s">
        <v>1907</v>
      </c>
      <c r="E282" s="1378"/>
      <c r="F282" s="1686"/>
      <c r="G282" s="1686"/>
      <c r="H282" s="1686"/>
      <c r="I282" s="1376"/>
      <c r="J282" s="1686"/>
      <c r="K282" s="1376"/>
      <c r="L282" s="1686"/>
      <c r="M282" s="1376"/>
      <c r="N282" s="1376"/>
      <c r="O282" s="1376"/>
      <c r="P282" s="1376"/>
      <c r="Q282" s="1376"/>
      <c r="R282" s="1378"/>
      <c r="S282" s="1376"/>
      <c r="T282" s="1376"/>
      <c r="U282" s="1374"/>
      <c r="V282" s="1374"/>
      <c r="X282" s="1609"/>
    </row>
    <row r="283" spans="1:24" ht="15.75" hidden="1" x14ac:dyDescent="0.25">
      <c r="A283" s="1725"/>
      <c r="B283" s="1686"/>
      <c r="C283" s="1686"/>
      <c r="D283" s="1378" t="s">
        <v>1908</v>
      </c>
      <c r="E283" s="1378"/>
      <c r="F283" s="1686"/>
      <c r="G283" s="1686"/>
      <c r="H283" s="1686"/>
      <c r="I283" s="1376"/>
      <c r="J283" s="1686"/>
      <c r="K283" s="1376"/>
      <c r="L283" s="1686"/>
      <c r="M283" s="1376">
        <v>2556</v>
      </c>
      <c r="N283" s="1376">
        <v>2556</v>
      </c>
      <c r="O283" s="1376"/>
      <c r="P283" s="1376"/>
      <c r="Q283" s="1376">
        <v>2556</v>
      </c>
      <c r="R283" s="1378"/>
      <c r="S283" s="1376"/>
      <c r="T283" s="1376"/>
      <c r="U283" s="1374"/>
      <c r="V283" s="1374"/>
      <c r="X283" s="1609"/>
    </row>
    <row r="284" spans="1:24" ht="15.75" hidden="1" x14ac:dyDescent="0.25">
      <c r="A284" s="1725"/>
      <c r="B284" s="1686"/>
      <c r="C284" s="1686"/>
      <c r="D284" s="1378" t="s">
        <v>1909</v>
      </c>
      <c r="E284" s="1378"/>
      <c r="F284" s="1686"/>
      <c r="G284" s="1686"/>
      <c r="H284" s="1686"/>
      <c r="I284" s="1376"/>
      <c r="J284" s="1686"/>
      <c r="K284" s="1376"/>
      <c r="L284" s="1686"/>
      <c r="M284" s="1376"/>
      <c r="N284" s="1376"/>
      <c r="O284" s="1376"/>
      <c r="P284" s="1376"/>
      <c r="Q284" s="1376"/>
      <c r="R284" s="1378"/>
      <c r="S284" s="1376"/>
      <c r="T284" s="1376"/>
      <c r="U284" s="1374"/>
      <c r="V284" s="1374"/>
      <c r="X284" s="1609"/>
    </row>
    <row r="285" spans="1:24" ht="15.75" hidden="1" x14ac:dyDescent="0.25">
      <c r="A285" s="1725"/>
      <c r="B285" s="1686"/>
      <c r="C285" s="1686"/>
      <c r="D285" s="1378" t="s">
        <v>1910</v>
      </c>
      <c r="E285" s="1378"/>
      <c r="F285" s="1686"/>
      <c r="G285" s="1686"/>
      <c r="H285" s="1686"/>
      <c r="I285" s="1376"/>
      <c r="J285" s="1686"/>
      <c r="K285" s="1376"/>
      <c r="L285" s="1686"/>
      <c r="M285" s="1376"/>
      <c r="N285" s="1376"/>
      <c r="O285" s="1376"/>
      <c r="P285" s="1376"/>
      <c r="Q285" s="1376"/>
      <c r="R285" s="1378"/>
      <c r="S285" s="1376"/>
      <c r="T285" s="1376"/>
      <c r="U285" s="1374"/>
      <c r="V285" s="1374"/>
      <c r="X285" s="1609"/>
    </row>
    <row r="286" spans="1:24" ht="15.75" hidden="1" x14ac:dyDescent="0.25">
      <c r="A286" s="1725"/>
      <c r="B286" s="1686"/>
      <c r="C286" s="1686"/>
      <c r="D286" s="1378" t="s">
        <v>1911</v>
      </c>
      <c r="E286" s="1378"/>
      <c r="F286" s="1686"/>
      <c r="G286" s="1686"/>
      <c r="H286" s="1686"/>
      <c r="I286" s="1376"/>
      <c r="J286" s="1686"/>
      <c r="K286" s="1376"/>
      <c r="L286" s="1686"/>
      <c r="M286" s="1376"/>
      <c r="N286" s="1376"/>
      <c r="O286" s="1376"/>
      <c r="P286" s="1376"/>
      <c r="Q286" s="1376"/>
      <c r="R286" s="1378"/>
      <c r="S286" s="1376"/>
      <c r="T286" s="1376"/>
      <c r="U286" s="1374"/>
      <c r="V286" s="1374"/>
      <c r="X286" s="1609"/>
    </row>
    <row r="287" spans="1:24" ht="15.75" hidden="1" x14ac:dyDescent="0.25">
      <c r="A287" s="1725"/>
      <c r="B287" s="1686"/>
      <c r="C287" s="1686"/>
      <c r="D287" s="1378" t="s">
        <v>1588</v>
      </c>
      <c r="E287" s="1378"/>
      <c r="F287" s="1686"/>
      <c r="G287" s="1686"/>
      <c r="H287" s="1686"/>
      <c r="I287" s="1376"/>
      <c r="J287" s="1686"/>
      <c r="K287" s="1376"/>
      <c r="L287" s="1686"/>
      <c r="M287" s="1376"/>
      <c r="N287" s="1376"/>
      <c r="O287" s="1376"/>
      <c r="P287" s="1376"/>
      <c r="Q287" s="1376"/>
      <c r="R287" s="1378"/>
      <c r="S287" s="1376"/>
      <c r="T287" s="1376"/>
      <c r="U287" s="1374"/>
      <c r="V287" s="1374"/>
      <c r="X287" s="1609"/>
    </row>
    <row r="288" spans="1:24" ht="15.75" hidden="1" x14ac:dyDescent="0.25">
      <c r="A288" s="1725"/>
      <c r="B288" s="1686"/>
      <c r="C288" s="1686"/>
      <c r="D288" s="1378" t="s">
        <v>1912</v>
      </c>
      <c r="E288" s="1378"/>
      <c r="F288" s="1686"/>
      <c r="G288" s="1686"/>
      <c r="H288" s="1686"/>
      <c r="I288" s="1376"/>
      <c r="J288" s="1686"/>
      <c r="K288" s="1376"/>
      <c r="L288" s="1686"/>
      <c r="M288" s="1376"/>
      <c r="N288" s="1376"/>
      <c r="O288" s="1376"/>
      <c r="P288" s="1376"/>
      <c r="Q288" s="1376"/>
      <c r="R288" s="1378"/>
      <c r="S288" s="1376"/>
      <c r="T288" s="1376"/>
      <c r="U288" s="1374"/>
      <c r="V288" s="1374"/>
      <c r="X288" s="1609"/>
    </row>
    <row r="289" spans="1:24" ht="15.75" hidden="1" x14ac:dyDescent="0.25">
      <c r="A289" s="1725"/>
      <c r="B289" s="1686"/>
      <c r="C289" s="1686"/>
      <c r="D289" s="1378" t="s">
        <v>1313</v>
      </c>
      <c r="E289" s="1378"/>
      <c r="F289" s="1686"/>
      <c r="G289" s="1686"/>
      <c r="H289" s="1686"/>
      <c r="I289" s="1376"/>
      <c r="J289" s="1686"/>
      <c r="K289" s="1376"/>
      <c r="L289" s="1686"/>
      <c r="M289" s="1376"/>
      <c r="N289" s="1376"/>
      <c r="O289" s="1376"/>
      <c r="P289" s="1376"/>
      <c r="Q289" s="1376"/>
      <c r="R289" s="1378"/>
      <c r="S289" s="1376"/>
      <c r="T289" s="1376"/>
      <c r="U289" s="1374"/>
      <c r="V289" s="1374"/>
      <c r="X289" s="1609"/>
    </row>
    <row r="290" spans="1:24" ht="15.75" hidden="1" x14ac:dyDescent="0.25">
      <c r="A290" s="1725"/>
      <c r="B290" s="1686"/>
      <c r="C290" s="1686"/>
      <c r="D290" s="1378" t="s">
        <v>1698</v>
      </c>
      <c r="E290" s="1378"/>
      <c r="F290" s="1686"/>
      <c r="G290" s="1686"/>
      <c r="H290" s="1686"/>
      <c r="I290" s="1376"/>
      <c r="J290" s="1686"/>
      <c r="K290" s="1376"/>
      <c r="L290" s="1686"/>
      <c r="M290" s="1376"/>
      <c r="N290" s="1376"/>
      <c r="O290" s="1376"/>
      <c r="P290" s="1376"/>
      <c r="Q290" s="1376"/>
      <c r="R290" s="1378"/>
      <c r="S290" s="1376"/>
      <c r="T290" s="1376"/>
      <c r="U290" s="1374"/>
      <c r="V290" s="1374"/>
      <c r="X290" s="1609"/>
    </row>
    <row r="291" spans="1:24" ht="15.75" hidden="1" x14ac:dyDescent="0.25">
      <c r="A291" s="1725"/>
      <c r="B291" s="1686"/>
      <c r="C291" s="1686"/>
      <c r="D291" s="1378" t="s">
        <v>1913</v>
      </c>
      <c r="E291" s="1378"/>
      <c r="F291" s="1686"/>
      <c r="G291" s="1686"/>
      <c r="H291" s="1686"/>
      <c r="I291" s="1376"/>
      <c r="J291" s="1686"/>
      <c r="K291" s="1376"/>
      <c r="L291" s="1686"/>
      <c r="M291" s="1376"/>
      <c r="N291" s="1376"/>
      <c r="O291" s="1376"/>
      <c r="P291" s="1376"/>
      <c r="Q291" s="1376"/>
      <c r="R291" s="1378"/>
      <c r="S291" s="1376"/>
      <c r="T291" s="1376"/>
      <c r="U291" s="1374"/>
      <c r="V291" s="1374"/>
      <c r="X291" s="1609"/>
    </row>
    <row r="292" spans="1:24" ht="15.75" hidden="1" x14ac:dyDescent="0.25">
      <c r="A292" s="1725"/>
      <c r="B292" s="1686"/>
      <c r="C292" s="1686"/>
      <c r="D292" s="1378" t="s">
        <v>1914</v>
      </c>
      <c r="E292" s="1378"/>
      <c r="F292" s="1686"/>
      <c r="G292" s="1686"/>
      <c r="H292" s="1686"/>
      <c r="I292" s="1376"/>
      <c r="J292" s="1686"/>
      <c r="K292" s="1376"/>
      <c r="L292" s="1686"/>
      <c r="M292" s="1376">
        <v>273</v>
      </c>
      <c r="N292" s="1376">
        <v>273</v>
      </c>
      <c r="O292" s="1376"/>
      <c r="P292" s="1376"/>
      <c r="Q292" s="1376">
        <v>273</v>
      </c>
      <c r="R292" s="1378"/>
      <c r="S292" s="1376"/>
      <c r="T292" s="1376"/>
      <c r="U292" s="1374"/>
      <c r="V292" s="1374"/>
      <c r="X292" s="1609"/>
    </row>
    <row r="293" spans="1:24" ht="15.75" hidden="1" x14ac:dyDescent="0.25">
      <c r="A293" s="1725"/>
      <c r="B293" s="1686"/>
      <c r="C293" s="1686"/>
      <c r="D293" s="1378" t="s">
        <v>1311</v>
      </c>
      <c r="E293" s="1378"/>
      <c r="F293" s="1686"/>
      <c r="G293" s="1686"/>
      <c r="H293" s="1686"/>
      <c r="I293" s="1376"/>
      <c r="J293" s="1686"/>
      <c r="K293" s="1376"/>
      <c r="L293" s="1686"/>
      <c r="M293" s="1376"/>
      <c r="N293" s="1376"/>
      <c r="O293" s="1376"/>
      <c r="P293" s="1376"/>
      <c r="Q293" s="1376"/>
      <c r="R293" s="1378"/>
      <c r="S293" s="1376"/>
      <c r="T293" s="1376"/>
      <c r="U293" s="1374"/>
      <c r="V293" s="1374"/>
      <c r="X293" s="1609"/>
    </row>
    <row r="294" spans="1:24" ht="15.75" hidden="1" x14ac:dyDescent="0.25">
      <c r="A294" s="1725"/>
      <c r="B294" s="1686"/>
      <c r="C294" s="1686"/>
      <c r="D294" s="1378" t="s">
        <v>1915</v>
      </c>
      <c r="E294" s="1378"/>
      <c r="F294" s="1686"/>
      <c r="G294" s="1686"/>
      <c r="H294" s="1686"/>
      <c r="I294" s="1376"/>
      <c r="J294" s="1686"/>
      <c r="K294" s="1376"/>
      <c r="L294" s="1686"/>
      <c r="M294" s="1376"/>
      <c r="N294" s="1376"/>
      <c r="O294" s="1376"/>
      <c r="P294" s="1376"/>
      <c r="Q294" s="1376"/>
      <c r="R294" s="1378"/>
      <c r="S294" s="1376"/>
      <c r="T294" s="1376"/>
      <c r="U294" s="1374"/>
      <c r="V294" s="1374"/>
      <c r="X294" s="1609"/>
    </row>
    <row r="295" spans="1:24" ht="15.75" hidden="1" x14ac:dyDescent="0.25">
      <c r="A295" s="1725"/>
      <c r="B295" s="1686"/>
      <c r="C295" s="1686"/>
      <c r="D295" s="1378" t="s">
        <v>1916</v>
      </c>
      <c r="E295" s="1378"/>
      <c r="F295" s="1686"/>
      <c r="G295" s="1686"/>
      <c r="H295" s="1686"/>
      <c r="I295" s="1376"/>
      <c r="J295" s="1686"/>
      <c r="K295" s="1376"/>
      <c r="L295" s="1686"/>
      <c r="M295" s="1376"/>
      <c r="N295" s="1376"/>
      <c r="O295" s="1376"/>
      <c r="P295" s="1376"/>
      <c r="Q295" s="1376"/>
      <c r="R295" s="1378"/>
      <c r="S295" s="1376"/>
      <c r="T295" s="1376"/>
      <c r="U295" s="1374"/>
      <c r="V295" s="1374"/>
      <c r="X295" s="1609"/>
    </row>
    <row r="296" spans="1:24" ht="15.75" hidden="1" x14ac:dyDescent="0.25">
      <c r="A296" s="1725"/>
      <c r="B296" s="1686"/>
      <c r="C296" s="1686"/>
      <c r="D296" s="1378" t="s">
        <v>1917</v>
      </c>
      <c r="E296" s="1378"/>
      <c r="F296" s="1686"/>
      <c r="G296" s="1686"/>
      <c r="H296" s="1686"/>
      <c r="I296" s="1376"/>
      <c r="J296" s="1686"/>
      <c r="K296" s="1376"/>
      <c r="L296" s="1686"/>
      <c r="M296" s="1376"/>
      <c r="N296" s="1376"/>
      <c r="O296" s="1376"/>
      <c r="P296" s="1376"/>
      <c r="Q296" s="1376"/>
      <c r="R296" s="1378"/>
      <c r="S296" s="1376"/>
      <c r="T296" s="1376"/>
      <c r="U296" s="1374"/>
      <c r="V296" s="1374"/>
      <c r="X296" s="1609"/>
    </row>
    <row r="297" spans="1:24" ht="15.75" hidden="1" x14ac:dyDescent="0.25">
      <c r="A297" s="1725"/>
      <c r="B297" s="1686"/>
      <c r="C297" s="1686"/>
      <c r="D297" s="1378" t="s">
        <v>1918</v>
      </c>
      <c r="E297" s="1378"/>
      <c r="F297" s="1686"/>
      <c r="G297" s="1686"/>
      <c r="H297" s="1686"/>
      <c r="I297" s="1376"/>
      <c r="J297" s="1686"/>
      <c r="K297" s="1376"/>
      <c r="L297" s="1686"/>
      <c r="M297" s="1376"/>
      <c r="N297" s="1376"/>
      <c r="O297" s="1376"/>
      <c r="P297" s="1376"/>
      <c r="Q297" s="1376"/>
      <c r="R297" s="1378"/>
      <c r="S297" s="1376"/>
      <c r="T297" s="1376"/>
      <c r="U297" s="1374"/>
      <c r="V297" s="1374"/>
      <c r="X297" s="1609"/>
    </row>
    <row r="298" spans="1:24" ht="15.75" hidden="1" x14ac:dyDescent="0.25">
      <c r="A298" s="1725"/>
      <c r="B298" s="1686"/>
      <c r="C298" s="1686"/>
      <c r="D298" s="1378" t="s">
        <v>1919</v>
      </c>
      <c r="E298" s="1378"/>
      <c r="F298" s="1686"/>
      <c r="G298" s="1686"/>
      <c r="H298" s="1686"/>
      <c r="I298" s="1376"/>
      <c r="J298" s="1686"/>
      <c r="K298" s="1376"/>
      <c r="L298" s="1686"/>
      <c r="M298" s="1376"/>
      <c r="N298" s="1376"/>
      <c r="O298" s="1376"/>
      <c r="P298" s="1376"/>
      <c r="Q298" s="1376"/>
      <c r="R298" s="1378"/>
      <c r="S298" s="1376"/>
      <c r="T298" s="1376"/>
      <c r="U298" s="1374"/>
      <c r="V298" s="1374"/>
      <c r="X298" s="1609"/>
    </row>
    <row r="299" spans="1:24" ht="15.75" hidden="1" x14ac:dyDescent="0.25">
      <c r="A299" s="1725"/>
      <c r="B299" s="1686"/>
      <c r="C299" s="1686"/>
      <c r="D299" s="1378" t="s">
        <v>1830</v>
      </c>
      <c r="E299" s="1378"/>
      <c r="F299" s="1686"/>
      <c r="G299" s="1686"/>
      <c r="H299" s="1686"/>
      <c r="I299" s="1376"/>
      <c r="J299" s="1686"/>
      <c r="K299" s="1376"/>
      <c r="L299" s="1686"/>
      <c r="M299" s="1376"/>
      <c r="N299" s="1376"/>
      <c r="O299" s="1376"/>
      <c r="P299" s="1376"/>
      <c r="Q299" s="1376"/>
      <c r="R299" s="1378"/>
      <c r="S299" s="1376"/>
      <c r="T299" s="1376"/>
      <c r="U299" s="1374"/>
      <c r="V299" s="1374"/>
      <c r="X299" s="1609"/>
    </row>
    <row r="300" spans="1:24" ht="15.75" hidden="1" x14ac:dyDescent="0.25">
      <c r="A300" s="1725"/>
      <c r="B300" s="1686"/>
      <c r="C300" s="1686"/>
      <c r="D300" s="1378" t="s">
        <v>1830</v>
      </c>
      <c r="E300" s="1378"/>
      <c r="F300" s="1686"/>
      <c r="G300" s="1686"/>
      <c r="H300" s="1686"/>
      <c r="I300" s="1376"/>
      <c r="J300" s="1686"/>
      <c r="K300" s="1376"/>
      <c r="L300" s="1686"/>
      <c r="M300" s="1376"/>
      <c r="N300" s="1376"/>
      <c r="O300" s="1376"/>
      <c r="P300" s="1376"/>
      <c r="Q300" s="1376"/>
      <c r="R300" s="1378"/>
      <c r="S300" s="1376"/>
      <c r="T300" s="1376"/>
      <c r="U300" s="1374"/>
      <c r="V300" s="1374"/>
      <c r="X300" s="1609"/>
    </row>
    <row r="301" spans="1:24" ht="15.75" hidden="1" x14ac:dyDescent="0.25">
      <c r="A301" s="1725"/>
      <c r="B301" s="1686"/>
      <c r="C301" s="1686"/>
      <c r="D301" s="1378" t="s">
        <v>1830</v>
      </c>
      <c r="E301" s="1686"/>
      <c r="F301" s="1686"/>
      <c r="G301" s="1686"/>
      <c r="H301" s="1686"/>
      <c r="I301" s="1374"/>
      <c r="J301" s="1686"/>
      <c r="K301" s="1374"/>
      <c r="L301" s="1686"/>
      <c r="M301" s="1374"/>
      <c r="N301" s="1374"/>
      <c r="O301" s="1374"/>
      <c r="P301" s="1374"/>
      <c r="Q301" s="1374"/>
      <c r="R301" s="1378"/>
      <c r="S301" s="1374"/>
      <c r="T301" s="1374"/>
      <c r="U301" s="1374"/>
      <c r="V301" s="1374"/>
      <c r="X301" s="1609"/>
    </row>
    <row r="302" spans="1:24" ht="16.5" hidden="1" thickBot="1" x14ac:dyDescent="0.3">
      <c r="A302" s="1725"/>
      <c r="B302" s="1686"/>
      <c r="C302" s="1686"/>
      <c r="D302" s="1686"/>
      <c r="E302" s="1686"/>
      <c r="F302" s="1686"/>
      <c r="G302" s="1686"/>
      <c r="H302" s="1686"/>
      <c r="I302" s="1665"/>
      <c r="J302" s="1686"/>
      <c r="K302" s="1665"/>
      <c r="L302" s="1686"/>
      <c r="M302" s="1665">
        <f>SUM(M278:M301)</f>
        <v>25163</v>
      </c>
      <c r="N302" s="1665">
        <f>SUM(N278:N301)</f>
        <v>25163</v>
      </c>
      <c r="O302" s="1665"/>
      <c r="P302" s="1665"/>
      <c r="Q302" s="1665">
        <f>SUM(Q278:Q301)</f>
        <v>25163</v>
      </c>
      <c r="R302" s="1388"/>
      <c r="S302" s="1665"/>
      <c r="T302" s="1665"/>
      <c r="U302" s="1669"/>
      <c r="V302" s="1669"/>
      <c r="X302" s="1609"/>
    </row>
    <row r="303" spans="1:24" hidden="1" x14ac:dyDescent="0.2">
      <c r="A303" s="1725"/>
      <c r="B303" s="1686"/>
      <c r="C303" s="1686"/>
      <c r="D303" s="1686"/>
      <c r="E303" s="1686"/>
      <c r="F303" s="1686"/>
      <c r="G303" s="1686"/>
      <c r="H303" s="1686"/>
      <c r="I303" s="1686"/>
      <c r="J303" s="1686"/>
      <c r="K303" s="1686"/>
      <c r="L303" s="1686"/>
      <c r="M303" s="1686"/>
      <c r="N303" s="1686"/>
      <c r="O303" s="1686"/>
      <c r="P303" s="1686"/>
      <c r="Q303" s="1686"/>
      <c r="R303" s="1686"/>
      <c r="S303" s="1686"/>
      <c r="T303" s="1686"/>
      <c r="U303" s="1686"/>
      <c r="V303" s="1686"/>
      <c r="X303" s="1609"/>
    </row>
    <row r="304" spans="1:24" hidden="1" x14ac:dyDescent="0.2">
      <c r="A304" s="1725"/>
      <c r="B304" s="1686"/>
      <c r="C304" s="1726"/>
      <c r="D304" s="1726"/>
      <c r="E304" s="1726"/>
      <c r="F304" s="1686"/>
      <c r="G304" s="1686"/>
      <c r="H304" s="1686"/>
      <c r="I304" s="1686"/>
      <c r="J304" s="1686"/>
      <c r="K304" s="1686"/>
      <c r="L304" s="1686"/>
      <c r="M304" s="1726"/>
      <c r="N304" s="1726"/>
      <c r="O304" s="1726"/>
      <c r="P304" s="1726"/>
      <c r="Q304" s="1726"/>
      <c r="R304" s="1726"/>
      <c r="S304" s="1686"/>
      <c r="T304" s="1686"/>
      <c r="U304" s="1686"/>
      <c r="V304" s="1686"/>
      <c r="X304" s="1609"/>
    </row>
    <row r="305" spans="1:24" hidden="1" x14ac:dyDescent="0.2">
      <c r="A305" s="1725"/>
      <c r="B305" s="1686"/>
      <c r="C305" s="1857"/>
      <c r="D305" s="1857"/>
      <c r="E305" s="1857"/>
      <c r="F305" s="1686"/>
      <c r="G305" s="1686"/>
      <c r="H305" s="1686"/>
      <c r="I305" s="1686"/>
      <c r="J305" s="1686"/>
      <c r="K305" s="1686"/>
      <c r="L305" s="1686"/>
      <c r="M305" s="1726"/>
      <c r="N305" s="1726"/>
      <c r="O305" s="1726"/>
      <c r="P305" s="1726"/>
      <c r="Q305" s="1726"/>
      <c r="R305" s="1726"/>
      <c r="S305" s="1686"/>
      <c r="T305" s="1686"/>
      <c r="U305" s="1686"/>
      <c r="V305" s="1686"/>
      <c r="X305" s="1609"/>
    </row>
    <row r="306" spans="1:24" hidden="1" x14ac:dyDescent="0.2">
      <c r="A306" s="1725"/>
      <c r="B306" s="1686"/>
      <c r="C306" s="1727"/>
      <c r="D306" s="1727"/>
      <c r="E306" s="1727"/>
      <c r="F306" s="1686"/>
      <c r="G306" s="1686"/>
      <c r="H306" s="1686"/>
      <c r="I306" s="1686"/>
      <c r="J306" s="1686"/>
      <c r="K306" s="1686"/>
      <c r="L306" s="1686"/>
      <c r="M306" s="1726"/>
      <c r="N306" s="1726"/>
      <c r="O306" s="1726"/>
      <c r="P306" s="1726"/>
      <c r="Q306" s="1726"/>
      <c r="R306" s="1726"/>
      <c r="S306" s="1686"/>
      <c r="T306" s="1686"/>
      <c r="U306" s="1686"/>
      <c r="V306" s="1686"/>
      <c r="X306" s="1609"/>
    </row>
    <row r="307" spans="1:24" ht="15.75" hidden="1" x14ac:dyDescent="0.25">
      <c r="A307" s="1725"/>
      <c r="B307" s="1686"/>
      <c r="C307" s="1686"/>
      <c r="D307" s="1378"/>
      <c r="E307" s="1378"/>
      <c r="F307" s="1378"/>
      <c r="G307" s="1378"/>
      <c r="H307" s="1378"/>
      <c r="I307" s="1378"/>
      <c r="J307" s="1378"/>
      <c r="K307" s="1378"/>
      <c r="L307" s="1378"/>
      <c r="M307" s="1728"/>
      <c r="N307" s="1728"/>
      <c r="O307" s="1728"/>
      <c r="P307" s="1728"/>
      <c r="Q307" s="1728"/>
      <c r="R307" s="1728"/>
      <c r="S307" s="1728"/>
      <c r="T307" s="1728"/>
      <c r="U307" s="1728"/>
      <c r="V307" s="1728"/>
      <c r="X307" s="1609"/>
    </row>
    <row r="308" spans="1:24" ht="15.75" hidden="1" x14ac:dyDescent="0.25">
      <c r="A308" s="1725"/>
      <c r="B308" s="1686"/>
      <c r="C308" s="1378" t="s">
        <v>1920</v>
      </c>
      <c r="D308" s="1378"/>
      <c r="E308" s="1378"/>
      <c r="F308" s="1378"/>
      <c r="G308" s="1378"/>
      <c r="H308" s="1378"/>
      <c r="I308" s="1378"/>
      <c r="J308" s="1378"/>
      <c r="K308" s="1378"/>
      <c r="L308" s="1378"/>
      <c r="M308" s="1378"/>
      <c r="N308" s="1378"/>
      <c r="O308" s="1378"/>
      <c r="P308" s="1378"/>
      <c r="Q308" s="1378"/>
      <c r="R308" s="1378"/>
      <c r="S308" s="1728"/>
      <c r="T308" s="1728"/>
      <c r="U308" s="1728"/>
      <c r="V308" s="1728"/>
      <c r="X308" s="1609"/>
    </row>
    <row r="309" spans="1:24" ht="15.75" hidden="1" x14ac:dyDescent="0.25">
      <c r="A309" s="1725"/>
      <c r="B309" s="1686"/>
      <c r="C309" s="1378"/>
      <c r="D309" s="1378"/>
      <c r="E309" s="1378"/>
      <c r="F309" s="1378"/>
      <c r="G309" s="1378"/>
      <c r="H309" s="1378"/>
      <c r="I309" s="1378"/>
      <c r="J309" s="1378"/>
      <c r="K309" s="1378"/>
      <c r="L309" s="1378"/>
      <c r="M309" s="1378"/>
      <c r="N309" s="1378"/>
      <c r="O309" s="1378"/>
      <c r="P309" s="1378"/>
      <c r="Q309" s="1378"/>
      <c r="R309" s="1378"/>
      <c r="S309" s="1728"/>
      <c r="T309" s="1728"/>
      <c r="U309" s="1728"/>
      <c r="V309" s="1728"/>
      <c r="X309" s="1609"/>
    </row>
    <row r="310" spans="1:24" ht="15.75" hidden="1" x14ac:dyDescent="0.25">
      <c r="A310" s="1725"/>
      <c r="B310" s="1686"/>
      <c r="C310" s="1378"/>
      <c r="D310" s="1686"/>
      <c r="E310" s="1686"/>
      <c r="F310" s="1726"/>
      <c r="G310" s="1726"/>
      <c r="H310" s="1726"/>
      <c r="I310" s="1856" t="str">
        <f>IF(OR(LEN('[27]פרטים על התאגיד'!$G$13)&gt;4, LEN('[27]פרטים על התאגיד'!$G$11)&gt;4), "לתקופה", " לשנה שנסתיימה ביום 31 בדצמבר")</f>
        <v xml:space="preserve"> לשנה שנסתיימה ביום 31 בדצמבר</v>
      </c>
      <c r="J310" s="1856"/>
      <c r="K310" s="1856"/>
      <c r="L310" s="1856"/>
      <c r="M310" s="1856"/>
      <c r="N310" s="1856"/>
      <c r="O310" s="1856"/>
      <c r="P310" s="1856"/>
      <c r="Q310" s="1856"/>
      <c r="R310" s="1856"/>
      <c r="S310" s="1856"/>
      <c r="T310" s="1607"/>
      <c r="U310" s="1607"/>
      <c r="V310" s="1607"/>
      <c r="X310" s="1609"/>
    </row>
    <row r="311" spans="1:24" ht="15.75" hidden="1" x14ac:dyDescent="0.25">
      <c r="A311" s="1725"/>
      <c r="B311" s="1686"/>
      <c r="C311" s="1378"/>
      <c r="D311" s="1378"/>
      <c r="E311" s="1378"/>
      <c r="F311" s="1726"/>
      <c r="G311" s="1726"/>
      <c r="H311" s="1726"/>
      <c r="I311" s="1682" t="s">
        <v>1836</v>
      </c>
      <c r="J311" s="1677"/>
      <c r="K311" s="1682" t="s">
        <v>1837</v>
      </c>
      <c r="L311" s="1677"/>
      <c r="M311" s="1682" t="s">
        <v>1838</v>
      </c>
      <c r="N311" s="1682" t="s">
        <v>1838</v>
      </c>
      <c r="O311" s="1682"/>
      <c r="P311" s="1682"/>
      <c r="Q311" s="1682" t="s">
        <v>1838</v>
      </c>
      <c r="R311" s="1683"/>
      <c r="S311" s="1682" t="s">
        <v>194</v>
      </c>
      <c r="T311" s="1682" t="s">
        <v>194</v>
      </c>
      <c r="U311" s="1684"/>
      <c r="V311" s="1684"/>
      <c r="X311" s="1609"/>
    </row>
    <row r="312" spans="1:24" ht="15.75" hidden="1" x14ac:dyDescent="0.25">
      <c r="A312" s="1725"/>
      <c r="B312" s="1686"/>
      <c r="C312" s="1378"/>
      <c r="D312" s="1378" t="s">
        <v>1921</v>
      </c>
      <c r="E312" s="1378"/>
      <c r="F312" s="1726"/>
      <c r="G312" s="1726"/>
      <c r="H312" s="1726"/>
      <c r="I312" s="1381"/>
      <c r="J312" s="1726"/>
      <c r="K312" s="1381"/>
      <c r="L312" s="1726"/>
      <c r="M312" s="1381">
        <f>11668+2070</f>
        <v>13738</v>
      </c>
      <c r="N312" s="1381">
        <f>11668+2070</f>
        <v>13738</v>
      </c>
      <c r="O312" s="1381"/>
      <c r="P312" s="1381"/>
      <c r="Q312" s="1381">
        <f>11668+2070</f>
        <v>13738</v>
      </c>
      <c r="R312" s="1378"/>
      <c r="S312" s="1381"/>
      <c r="T312" s="1381"/>
      <c r="U312" s="1374"/>
      <c r="V312" s="1374"/>
    </row>
    <row r="313" spans="1:24" ht="15.75" hidden="1" x14ac:dyDescent="0.25">
      <c r="A313" s="1725"/>
      <c r="B313" s="1686"/>
      <c r="C313" s="1378"/>
      <c r="D313" s="1378" t="s">
        <v>1922</v>
      </c>
      <c r="E313" s="1378"/>
      <c r="F313" s="1686"/>
      <c r="G313" s="1686"/>
      <c r="H313" s="1686"/>
      <c r="I313" s="1376"/>
      <c r="J313" s="1686"/>
      <c r="K313" s="1376"/>
      <c r="L313" s="1686"/>
      <c r="M313" s="1376"/>
      <c r="N313" s="1376"/>
      <c r="O313" s="1376"/>
      <c r="P313" s="1376"/>
      <c r="Q313" s="1376"/>
      <c r="R313" s="1378"/>
      <c r="S313" s="1376"/>
      <c r="T313" s="1376"/>
      <c r="U313" s="1374"/>
      <c r="V313" s="1374"/>
    </row>
    <row r="314" spans="1:24" ht="15.75" hidden="1" x14ac:dyDescent="0.25">
      <c r="A314" s="1725"/>
      <c r="B314" s="1686"/>
      <c r="C314" s="1378"/>
      <c r="D314" s="1378" t="s">
        <v>1923</v>
      </c>
      <c r="E314" s="1378"/>
      <c r="F314" s="1686"/>
      <c r="G314" s="1686"/>
      <c r="H314" s="1686"/>
      <c r="I314" s="1376"/>
      <c r="J314" s="1686"/>
      <c r="K314" s="1376"/>
      <c r="L314" s="1686"/>
      <c r="M314" s="1376"/>
      <c r="N314" s="1376"/>
      <c r="O314" s="1376"/>
      <c r="P314" s="1376"/>
      <c r="Q314" s="1376"/>
      <c r="R314" s="1378"/>
      <c r="S314" s="1376"/>
      <c r="T314" s="1376"/>
      <c r="U314" s="1374"/>
      <c r="V314" s="1374"/>
    </row>
    <row r="315" spans="1:24" ht="15.75" hidden="1" x14ac:dyDescent="0.25">
      <c r="A315" s="1725"/>
      <c r="B315" s="1686"/>
      <c r="C315" s="1378"/>
      <c r="D315" s="1378" t="s">
        <v>1924</v>
      </c>
      <c r="E315" s="1378"/>
      <c r="F315" s="1686"/>
      <c r="G315" s="1686"/>
      <c r="H315" s="1686"/>
      <c r="I315" s="1376"/>
      <c r="J315" s="1686"/>
      <c r="K315" s="1376"/>
      <c r="L315" s="1686"/>
      <c r="M315" s="1376"/>
      <c r="N315" s="1376"/>
      <c r="O315" s="1376"/>
      <c r="P315" s="1376"/>
      <c r="Q315" s="1376"/>
      <c r="R315" s="1378"/>
      <c r="S315" s="1376"/>
      <c r="T315" s="1376"/>
      <c r="U315" s="1374"/>
      <c r="V315" s="1374"/>
    </row>
    <row r="316" spans="1:24" ht="15.75" hidden="1" x14ac:dyDescent="0.25">
      <c r="A316" s="1725"/>
      <c r="B316" s="1686"/>
      <c r="C316" s="1378"/>
      <c r="D316" s="1378" t="s">
        <v>1925</v>
      </c>
      <c r="E316" s="1378"/>
      <c r="F316" s="1686"/>
      <c r="G316" s="1686"/>
      <c r="H316" s="1686"/>
      <c r="I316" s="1376"/>
      <c r="J316" s="1686"/>
      <c r="K316" s="1376"/>
      <c r="L316" s="1686"/>
      <c r="M316" s="1376"/>
      <c r="N316" s="1376"/>
      <c r="O316" s="1376"/>
      <c r="P316" s="1376"/>
      <c r="Q316" s="1376"/>
      <c r="R316" s="1378"/>
      <c r="S316" s="1376"/>
      <c r="T316" s="1376"/>
      <c r="U316" s="1374"/>
      <c r="V316" s="1374"/>
    </row>
    <row r="317" spans="1:24" ht="15.75" hidden="1" x14ac:dyDescent="0.25">
      <c r="A317" s="1725"/>
      <c r="B317" s="1686"/>
      <c r="C317" s="1378"/>
      <c r="D317" s="1378" t="s">
        <v>1926</v>
      </c>
      <c r="E317" s="1378"/>
      <c r="F317" s="1686"/>
      <c r="G317" s="1686"/>
      <c r="H317" s="1686"/>
      <c r="I317" s="1376"/>
      <c r="J317" s="1686"/>
      <c r="K317" s="1376"/>
      <c r="L317" s="1686"/>
      <c r="M317" s="1376"/>
      <c r="N317" s="1376"/>
      <c r="O317" s="1376"/>
      <c r="P317" s="1376"/>
      <c r="Q317" s="1376"/>
      <c r="R317" s="1378"/>
      <c r="S317" s="1376"/>
      <c r="T317" s="1376"/>
      <c r="U317" s="1374"/>
      <c r="V317" s="1374"/>
    </row>
    <row r="318" spans="1:24" ht="15.75" hidden="1" x14ac:dyDescent="0.25">
      <c r="A318" s="1725"/>
      <c r="B318" s="1686"/>
      <c r="C318" s="1378"/>
      <c r="D318" s="1378" t="s">
        <v>1927</v>
      </c>
      <c r="E318" s="1378"/>
      <c r="F318" s="1686"/>
      <c r="G318" s="1686"/>
      <c r="H318" s="1686"/>
      <c r="I318" s="1376"/>
      <c r="J318" s="1686"/>
      <c r="K318" s="1376"/>
      <c r="L318" s="1686"/>
      <c r="M318" s="1376"/>
      <c r="N318" s="1376"/>
      <c r="O318" s="1376"/>
      <c r="P318" s="1376"/>
      <c r="Q318" s="1376"/>
      <c r="R318" s="1378"/>
      <c r="S318" s="1376"/>
      <c r="T318" s="1376"/>
      <c r="U318" s="1374"/>
      <c r="V318" s="1374"/>
    </row>
    <row r="319" spans="1:24" ht="15.75" hidden="1" x14ac:dyDescent="0.25">
      <c r="A319" s="1725"/>
      <c r="B319" s="1686"/>
      <c r="C319" s="1378"/>
      <c r="D319" s="1378" t="s">
        <v>1928</v>
      </c>
      <c r="E319" s="1378"/>
      <c r="F319" s="1686"/>
      <c r="G319" s="1686"/>
      <c r="H319" s="1686"/>
      <c r="I319" s="1376"/>
      <c r="J319" s="1686"/>
      <c r="K319" s="1376"/>
      <c r="L319" s="1686"/>
      <c r="M319" s="1376"/>
      <c r="N319" s="1376"/>
      <c r="O319" s="1376"/>
      <c r="P319" s="1376"/>
      <c r="Q319" s="1376"/>
      <c r="R319" s="1378"/>
      <c r="S319" s="1376"/>
      <c r="T319" s="1376"/>
      <c r="U319" s="1374"/>
      <c r="V319" s="1374"/>
    </row>
    <row r="320" spans="1:24" ht="15.75" hidden="1" x14ac:dyDescent="0.25">
      <c r="A320" s="1725"/>
      <c r="B320" s="1686"/>
      <c r="C320" s="1378"/>
      <c r="D320" s="1378" t="s">
        <v>812</v>
      </c>
      <c r="E320" s="1378"/>
      <c r="F320" s="1686"/>
      <c r="G320" s="1686"/>
      <c r="H320" s="1686"/>
      <c r="I320" s="1376"/>
      <c r="J320" s="1686"/>
      <c r="K320" s="1376"/>
      <c r="L320" s="1686"/>
      <c r="M320" s="1376">
        <v>67686</v>
      </c>
      <c r="N320" s="1376">
        <v>67686</v>
      </c>
      <c r="O320" s="1376"/>
      <c r="P320" s="1376"/>
      <c r="Q320" s="1376">
        <v>67686</v>
      </c>
      <c r="R320" s="1378"/>
      <c r="S320" s="1376"/>
      <c r="T320" s="1376"/>
      <c r="U320" s="1374"/>
      <c r="V320" s="1374"/>
    </row>
    <row r="321" spans="1:25" ht="15.75" hidden="1" x14ac:dyDescent="0.25">
      <c r="A321" s="1725"/>
      <c r="B321" s="1686"/>
      <c r="C321" s="1378"/>
      <c r="D321" s="1378" t="s">
        <v>1830</v>
      </c>
      <c r="E321" s="1378"/>
      <c r="F321" s="1686"/>
      <c r="G321" s="1686"/>
      <c r="H321" s="1686"/>
      <c r="I321" s="1376"/>
      <c r="J321" s="1686"/>
      <c r="K321" s="1376"/>
      <c r="L321" s="1686"/>
      <c r="M321" s="1376"/>
      <c r="N321" s="1376"/>
      <c r="O321" s="1376"/>
      <c r="P321" s="1376"/>
      <c r="Q321" s="1376"/>
      <c r="R321" s="1378"/>
      <c r="S321" s="1376"/>
      <c r="T321" s="1376"/>
      <c r="U321" s="1374"/>
      <c r="V321" s="1374"/>
    </row>
    <row r="322" spans="1:25" ht="15.75" hidden="1" x14ac:dyDescent="0.25">
      <c r="A322" s="1725"/>
      <c r="B322" s="1686"/>
      <c r="C322" s="1378"/>
      <c r="D322" s="1378" t="s">
        <v>1830</v>
      </c>
      <c r="E322" s="1378"/>
      <c r="F322" s="1686"/>
      <c r="G322" s="1686"/>
      <c r="H322" s="1686"/>
      <c r="I322" s="1376"/>
      <c r="J322" s="1686"/>
      <c r="K322" s="1376"/>
      <c r="L322" s="1686"/>
      <c r="M322" s="1376"/>
      <c r="N322" s="1376"/>
      <c r="O322" s="1376"/>
      <c r="P322" s="1376"/>
      <c r="Q322" s="1376"/>
      <c r="R322" s="1378"/>
      <c r="S322" s="1376"/>
      <c r="T322" s="1376"/>
      <c r="U322" s="1374"/>
      <c r="V322" s="1374"/>
    </row>
    <row r="323" spans="1:25" ht="15.75" hidden="1" x14ac:dyDescent="0.25">
      <c r="A323" s="1725"/>
      <c r="B323" s="1686"/>
      <c r="C323" s="1378"/>
      <c r="D323" s="1378" t="s">
        <v>1830</v>
      </c>
      <c r="E323" s="1378"/>
      <c r="F323" s="1686"/>
      <c r="G323" s="1686"/>
      <c r="H323" s="1686"/>
      <c r="I323" s="1376"/>
      <c r="J323" s="1686"/>
      <c r="K323" s="1376"/>
      <c r="L323" s="1686"/>
      <c r="M323" s="1376"/>
      <c r="N323" s="1376"/>
      <c r="O323" s="1376"/>
      <c r="P323" s="1376"/>
      <c r="Q323" s="1376"/>
      <c r="R323" s="1378"/>
      <c r="S323" s="1376"/>
      <c r="T323" s="1376"/>
      <c r="U323" s="1374"/>
      <c r="V323" s="1374"/>
    </row>
    <row r="324" spans="1:25" ht="15.75" hidden="1" x14ac:dyDescent="0.25">
      <c r="A324" s="1725"/>
      <c r="B324" s="1686"/>
      <c r="C324" s="1378"/>
      <c r="D324" s="1378" t="s">
        <v>1830</v>
      </c>
      <c r="E324" s="1378"/>
      <c r="F324" s="1686"/>
      <c r="G324" s="1686"/>
      <c r="H324" s="1686"/>
      <c r="I324" s="1376"/>
      <c r="J324" s="1686"/>
      <c r="K324" s="1376"/>
      <c r="L324" s="1686"/>
      <c r="M324" s="1376"/>
      <c r="N324" s="1376"/>
      <c r="O324" s="1376"/>
      <c r="P324" s="1376"/>
      <c r="Q324" s="1376"/>
      <c r="R324" s="1378"/>
      <c r="S324" s="1376"/>
      <c r="T324" s="1376"/>
      <c r="U324" s="1374"/>
      <c r="V324" s="1374"/>
      <c r="Y324" s="1729"/>
    </row>
    <row r="325" spans="1:25" ht="15.75" hidden="1" x14ac:dyDescent="0.25">
      <c r="A325" s="1725"/>
      <c r="B325" s="1686"/>
      <c r="C325" s="1378"/>
      <c r="D325" s="1378" t="s">
        <v>1830</v>
      </c>
      <c r="E325" s="1378"/>
      <c r="F325" s="1686"/>
      <c r="G325" s="1686"/>
      <c r="H325" s="1686"/>
      <c r="I325" s="1376"/>
      <c r="J325" s="1686"/>
      <c r="K325" s="1376"/>
      <c r="L325" s="1686"/>
      <c r="M325" s="1376"/>
      <c r="N325" s="1376"/>
      <c r="O325" s="1376"/>
      <c r="P325" s="1376"/>
      <c r="Q325" s="1376"/>
      <c r="R325" s="1378"/>
      <c r="S325" s="1376"/>
      <c r="T325" s="1376"/>
      <c r="U325" s="1374"/>
      <c r="V325" s="1374"/>
    </row>
    <row r="326" spans="1:25" ht="16.5" hidden="1" thickBot="1" x14ac:dyDescent="0.3">
      <c r="A326" s="1725"/>
      <c r="B326" s="1686"/>
      <c r="C326" s="1686"/>
      <c r="D326" s="1686"/>
      <c r="E326" s="1686"/>
      <c r="F326" s="1686"/>
      <c r="G326" s="1686"/>
      <c r="H326" s="1686"/>
      <c r="I326" s="1665"/>
      <c r="J326" s="1686"/>
      <c r="K326" s="1665"/>
      <c r="L326" s="1686"/>
      <c r="M326" s="1665">
        <f>SUM(M312:M325)</f>
        <v>81424</v>
      </c>
      <c r="N326" s="1665">
        <f>SUM(N312:N325)</f>
        <v>81424</v>
      </c>
      <c r="O326" s="1665"/>
      <c r="P326" s="1665"/>
      <c r="Q326" s="1665">
        <f>SUM(Q312:Q325)</f>
        <v>81424</v>
      </c>
      <c r="R326" s="1388"/>
      <c r="S326" s="1665"/>
      <c r="T326" s="1665"/>
      <c r="U326" s="1669"/>
      <c r="V326" s="1669"/>
    </row>
    <row r="327" spans="1:25" ht="15.75" hidden="1" x14ac:dyDescent="0.25">
      <c r="A327" s="1725"/>
      <c r="B327" s="1686"/>
      <c r="C327" s="1727"/>
      <c r="D327" s="1378"/>
      <c r="E327" s="1378"/>
      <c r="F327" s="1378"/>
      <c r="G327" s="1378"/>
      <c r="H327" s="1378"/>
      <c r="I327" s="1378"/>
      <c r="J327" s="1378"/>
      <c r="K327" s="1378"/>
      <c r="L327" s="1378"/>
      <c r="M327" s="1726"/>
      <c r="N327" s="1726"/>
      <c r="O327" s="1726"/>
      <c r="P327" s="1726"/>
      <c r="Q327" s="1726"/>
      <c r="R327" s="1726"/>
      <c r="S327" s="1686"/>
      <c r="T327" s="1686"/>
      <c r="U327" s="1686"/>
      <c r="V327" s="1686"/>
    </row>
    <row r="328" spans="1:25" ht="15.75" hidden="1" x14ac:dyDescent="0.25">
      <c r="A328" s="1725"/>
      <c r="B328" s="1686"/>
      <c r="C328" s="1378" t="s">
        <v>1929</v>
      </c>
      <c r="D328" s="1378"/>
      <c r="E328" s="1378"/>
      <c r="F328" s="1726"/>
      <c r="G328" s="1726"/>
      <c r="H328" s="1726"/>
      <c r="I328" s="1726"/>
      <c r="J328" s="1726"/>
      <c r="K328" s="1726"/>
      <c r="L328" s="1726"/>
      <c r="M328" s="1726"/>
      <c r="N328" s="1726"/>
      <c r="O328" s="1726"/>
      <c r="P328" s="1726"/>
      <c r="Q328" s="1726"/>
      <c r="R328" s="1726"/>
      <c r="S328" s="1686"/>
      <c r="T328" s="1686"/>
      <c r="U328" s="1686"/>
      <c r="V328" s="1686"/>
    </row>
    <row r="329" spans="1:25" ht="15.75" hidden="1" x14ac:dyDescent="0.2">
      <c r="A329" s="1725"/>
      <c r="B329" s="1730"/>
      <c r="C329" s="1855" t="s">
        <v>1930</v>
      </c>
      <c r="D329" s="1855"/>
      <c r="E329" s="1855"/>
      <c r="F329" s="1855"/>
      <c r="G329" s="1855"/>
      <c r="H329" s="1855"/>
      <c r="I329" s="1855"/>
      <c r="J329" s="1855"/>
      <c r="K329" s="1855"/>
      <c r="L329" s="1855"/>
      <c r="M329" s="1855"/>
      <c r="N329" s="1855"/>
      <c r="O329" s="1855"/>
      <c r="P329" s="1855"/>
      <c r="Q329" s="1855"/>
      <c r="R329" s="1595"/>
      <c r="S329" s="1730"/>
      <c r="T329" s="1730"/>
      <c r="U329" s="1730"/>
      <c r="V329" s="1730"/>
    </row>
    <row r="330" spans="1:25" ht="15.75" hidden="1" x14ac:dyDescent="0.2">
      <c r="A330" s="1725"/>
      <c r="B330" s="1730"/>
      <c r="C330" s="1855"/>
      <c r="D330" s="1855"/>
      <c r="E330" s="1855"/>
      <c r="F330" s="1855"/>
      <c r="G330" s="1855"/>
      <c r="H330" s="1855"/>
      <c r="I330" s="1855"/>
      <c r="J330" s="1855"/>
      <c r="K330" s="1855"/>
      <c r="L330" s="1855"/>
      <c r="M330" s="1855"/>
      <c r="N330" s="1855"/>
      <c r="O330" s="1855"/>
      <c r="P330" s="1855"/>
      <c r="Q330" s="1855"/>
      <c r="R330" s="1595"/>
      <c r="S330" s="1730"/>
      <c r="T330" s="1730"/>
      <c r="U330" s="1730"/>
      <c r="V330" s="1730"/>
    </row>
    <row r="331" spans="1:25" ht="15.75" hidden="1" x14ac:dyDescent="0.2">
      <c r="A331" s="1725"/>
      <c r="B331" s="1730"/>
      <c r="C331" s="1855"/>
      <c r="D331" s="1855"/>
      <c r="E331" s="1855"/>
      <c r="F331" s="1855"/>
      <c r="G331" s="1855"/>
      <c r="H331" s="1855"/>
      <c r="I331" s="1855"/>
      <c r="J331" s="1855"/>
      <c r="K331" s="1855"/>
      <c r="L331" s="1855"/>
      <c r="M331" s="1855"/>
      <c r="N331" s="1855"/>
      <c r="O331" s="1855"/>
      <c r="P331" s="1855"/>
      <c r="Q331" s="1855"/>
      <c r="R331" s="1595"/>
      <c r="S331" s="1730"/>
      <c r="T331" s="1730"/>
      <c r="U331" s="1730"/>
      <c r="V331" s="1730"/>
    </row>
    <row r="332" spans="1:25" ht="15.75" hidden="1" x14ac:dyDescent="0.2">
      <c r="A332" s="1725"/>
      <c r="B332" s="1730"/>
      <c r="C332" s="1855"/>
      <c r="D332" s="1855"/>
      <c r="E332" s="1855"/>
      <c r="F332" s="1855"/>
      <c r="G332" s="1855"/>
      <c r="H332" s="1855"/>
      <c r="I332" s="1855"/>
      <c r="J332" s="1855"/>
      <c r="K332" s="1855"/>
      <c r="L332" s="1855"/>
      <c r="M332" s="1855"/>
      <c r="N332" s="1855"/>
      <c r="O332" s="1855"/>
      <c r="P332" s="1855"/>
      <c r="Q332" s="1855"/>
      <c r="R332" s="1595"/>
      <c r="S332" s="1730"/>
      <c r="T332" s="1730"/>
      <c r="U332" s="1730"/>
      <c r="V332" s="1730"/>
    </row>
    <row r="333" spans="1:25" ht="15.75" hidden="1" x14ac:dyDescent="0.2">
      <c r="A333" s="1725"/>
      <c r="B333" s="1730"/>
      <c r="C333" s="1855"/>
      <c r="D333" s="1855"/>
      <c r="E333" s="1855"/>
      <c r="F333" s="1855"/>
      <c r="G333" s="1855"/>
      <c r="H333" s="1855"/>
      <c r="I333" s="1855"/>
      <c r="J333" s="1855"/>
      <c r="K333" s="1855"/>
      <c r="L333" s="1855"/>
      <c r="M333" s="1855"/>
      <c r="N333" s="1855"/>
      <c r="O333" s="1855"/>
      <c r="P333" s="1855"/>
      <c r="Q333" s="1855"/>
      <c r="R333" s="1595"/>
      <c r="S333" s="1730"/>
      <c r="T333" s="1730"/>
      <c r="U333" s="1730"/>
      <c r="V333" s="1730"/>
    </row>
    <row r="334" spans="1:25" ht="15.75" hidden="1" x14ac:dyDescent="0.2">
      <c r="A334" s="1731"/>
      <c r="B334" s="1730"/>
      <c r="C334" s="1855"/>
      <c r="D334" s="1855"/>
      <c r="E334" s="1855"/>
      <c r="F334" s="1855"/>
      <c r="G334" s="1855"/>
      <c r="H334" s="1855"/>
      <c r="I334" s="1855"/>
      <c r="J334" s="1855"/>
      <c r="K334" s="1855"/>
      <c r="L334" s="1855"/>
      <c r="M334" s="1855"/>
      <c r="N334" s="1855"/>
      <c r="O334" s="1855"/>
      <c r="P334" s="1855"/>
      <c r="Q334" s="1855"/>
      <c r="R334" s="1595"/>
      <c r="S334" s="1730"/>
      <c r="T334" s="1730"/>
      <c r="U334" s="1730"/>
      <c r="V334" s="1730"/>
    </row>
    <row r="335" spans="1:25" ht="15.75" hidden="1" x14ac:dyDescent="0.2">
      <c r="A335" s="1731"/>
      <c r="B335" s="1730"/>
      <c r="C335" s="1855"/>
      <c r="D335" s="1855"/>
      <c r="E335" s="1855"/>
      <c r="F335" s="1855"/>
      <c r="G335" s="1855"/>
      <c r="H335" s="1855"/>
      <c r="I335" s="1855"/>
      <c r="J335" s="1855"/>
      <c r="K335" s="1855"/>
      <c r="L335" s="1855"/>
      <c r="M335" s="1855"/>
      <c r="N335" s="1855"/>
      <c r="O335" s="1855"/>
      <c r="P335" s="1855"/>
      <c r="Q335" s="1855"/>
      <c r="R335" s="1595"/>
      <c r="S335" s="1730"/>
      <c r="T335" s="1730"/>
      <c r="U335" s="1730"/>
      <c r="V335" s="1730"/>
    </row>
    <row r="336" spans="1:25" ht="15.75" hidden="1" x14ac:dyDescent="0.2">
      <c r="A336" s="1731"/>
      <c r="B336" s="1730"/>
      <c r="C336" s="1855"/>
      <c r="D336" s="1855"/>
      <c r="E336" s="1855"/>
      <c r="F336" s="1855"/>
      <c r="G336" s="1855"/>
      <c r="H336" s="1855"/>
      <c r="I336" s="1855"/>
      <c r="J336" s="1855"/>
      <c r="K336" s="1855"/>
      <c r="L336" s="1855"/>
      <c r="M336" s="1855"/>
      <c r="N336" s="1855"/>
      <c r="O336" s="1855"/>
      <c r="P336" s="1855"/>
      <c r="Q336" s="1855"/>
      <c r="R336" s="1595"/>
      <c r="S336" s="1730"/>
      <c r="T336" s="1730"/>
      <c r="U336" s="1730"/>
      <c r="V336" s="1730"/>
    </row>
    <row r="337" spans="1:26" ht="15.75" hidden="1" x14ac:dyDescent="0.2">
      <c r="A337" s="1731"/>
      <c r="B337" s="1730"/>
      <c r="C337" s="1855"/>
      <c r="D337" s="1855"/>
      <c r="E337" s="1855"/>
      <c r="F337" s="1855"/>
      <c r="G337" s="1855"/>
      <c r="H337" s="1855"/>
      <c r="I337" s="1855"/>
      <c r="J337" s="1855"/>
      <c r="K337" s="1855"/>
      <c r="L337" s="1855"/>
      <c r="M337" s="1855"/>
      <c r="N337" s="1855"/>
      <c r="O337" s="1855"/>
      <c r="P337" s="1855"/>
      <c r="Q337" s="1855"/>
      <c r="R337" s="1595"/>
      <c r="S337" s="1730"/>
      <c r="T337" s="1730"/>
      <c r="U337" s="1730"/>
      <c r="V337" s="1730"/>
    </row>
    <row r="338" spans="1:26" ht="15.75" hidden="1" x14ac:dyDescent="0.25">
      <c r="A338" s="1732"/>
      <c r="B338" s="1733"/>
      <c r="C338" s="1733"/>
      <c r="D338" s="1733"/>
      <c r="E338" s="1733"/>
      <c r="F338" s="1733"/>
      <c r="G338" s="1733"/>
      <c r="H338" s="1733"/>
      <c r="I338" s="1733"/>
      <c r="J338" s="1733"/>
      <c r="K338" s="1733"/>
      <c r="L338" s="1733"/>
      <c r="M338" s="1733"/>
      <c r="N338" s="1733"/>
      <c r="O338" s="1733"/>
      <c r="P338" s="1733"/>
      <c r="Q338" s="1733"/>
      <c r="R338" s="1733"/>
      <c r="S338" s="1733"/>
      <c r="T338" s="1733"/>
      <c r="U338" s="1730"/>
      <c r="V338" s="1730"/>
      <c r="Z338" s="1729"/>
    </row>
    <row r="339" spans="1:26" x14ac:dyDescent="0.2">
      <c r="D339" s="1735"/>
      <c r="I339" s="1736"/>
      <c r="J339" s="1737"/>
      <c r="K339" s="1736"/>
    </row>
    <row r="341" spans="1:26" ht="94.5" x14ac:dyDescent="0.25">
      <c r="A341" s="1622"/>
      <c r="B341" s="1378"/>
      <c r="C341" s="1378"/>
      <c r="D341" s="1378"/>
      <c r="E341" s="1378"/>
      <c r="F341" s="1378"/>
      <c r="G341" s="1626" t="s">
        <v>1800</v>
      </c>
      <c r="H341" s="1378"/>
      <c r="I341" s="1626" t="s">
        <v>1962</v>
      </c>
      <c r="J341" s="1378"/>
      <c r="K341" s="1631" t="s">
        <v>1963</v>
      </c>
      <c r="L341" s="1378"/>
      <c r="M341" s="1626" t="s">
        <v>1801</v>
      </c>
      <c r="N341" s="1631" t="s">
        <v>1964</v>
      </c>
      <c r="O341" s="1634" t="s">
        <v>1965</v>
      </c>
      <c r="P341" s="1633" t="s">
        <v>1966</v>
      </c>
      <c r="Q341" s="1632" t="s">
        <v>1967</v>
      </c>
      <c r="R341" s="1388"/>
      <c r="S341" s="1631" t="s">
        <v>1968</v>
      </c>
      <c r="T341" s="1632" t="s">
        <v>1969</v>
      </c>
      <c r="U341" s="1633" t="s">
        <v>1970</v>
      </c>
      <c r="V341" s="1634" t="s">
        <v>1971</v>
      </c>
      <c r="W341" s="1632" t="s">
        <v>1972</v>
      </c>
    </row>
    <row r="342" spans="1:26" s="1729" customFormat="1" ht="30.75" customHeight="1" x14ac:dyDescent="0.25">
      <c r="A342" s="1738"/>
      <c r="C342" s="1641" t="s">
        <v>1931</v>
      </c>
      <c r="D342" s="1641"/>
      <c r="E342" s="1378"/>
      <c r="F342" s="1378"/>
      <c r="G342" s="1739">
        <f>G80+G30+G168+G178+G190+G189</f>
        <v>9.5364108345243684E-2</v>
      </c>
      <c r="H342" s="1378"/>
      <c r="I342" s="1740">
        <f>I80+I30+I168+I178+I190+I189</f>
        <v>1037.6524021461044</v>
      </c>
      <c r="J342" s="1378"/>
      <c r="K342" s="1376">
        <f>K178+K168+K80+K30+K189+K190</f>
        <v>0</v>
      </c>
      <c r="L342" s="1643"/>
      <c r="M342" s="1740">
        <f>M178+M168+M80+M30+M189+M190</f>
        <v>56.702883608980933</v>
      </c>
      <c r="N342" s="1376">
        <f>N178+N168+N80+N30+N189+N190</f>
        <v>0</v>
      </c>
      <c r="O342" s="1376">
        <f>O178+O168+O80+O30+O189+O190</f>
        <v>0</v>
      </c>
      <c r="P342" s="1376">
        <f>P178+P168+P80+P30+P189+P190</f>
        <v>0</v>
      </c>
      <c r="Q342" s="1376">
        <f>Q178+Q168+Q80+Q30+Q189+Q190</f>
        <v>0</v>
      </c>
      <c r="R342" s="1378"/>
      <c r="S342" s="1375">
        <f t="shared" ref="S342" si="62">I342-K342</f>
        <v>1037.6524021461044</v>
      </c>
      <c r="T342" s="1375">
        <f t="shared" ref="T342" si="63">M342-Q342</f>
        <v>56.702883608980933</v>
      </c>
      <c r="U342" s="1375">
        <f t="shared" ref="U342" si="64">M342-P342</f>
        <v>56.702883608980933</v>
      </c>
      <c r="V342" s="1375">
        <f t="shared" ref="V342" si="65">M342-O342</f>
        <v>56.702883608980933</v>
      </c>
      <c r="W342" s="1375">
        <f t="shared" ref="W342" si="66">Q342-K342</f>
        <v>0</v>
      </c>
      <c r="X342" s="1607"/>
      <c r="Y342" s="1609"/>
      <c r="Z342" s="1609"/>
    </row>
    <row r="345" spans="1:26" ht="94.5" x14ac:dyDescent="0.25">
      <c r="C345" s="1378"/>
      <c r="D345" s="1378"/>
      <c r="E345" s="1378"/>
      <c r="F345" s="1378"/>
      <c r="G345" s="1626" t="s">
        <v>1800</v>
      </c>
      <c r="H345" s="1378"/>
      <c r="I345" s="1626" t="s">
        <v>1962</v>
      </c>
      <c r="J345" s="1378"/>
      <c r="K345" s="1631" t="s">
        <v>1963</v>
      </c>
      <c r="L345" s="1378"/>
      <c r="M345" s="1626" t="s">
        <v>1801</v>
      </c>
      <c r="N345" s="1631" t="s">
        <v>1964</v>
      </c>
      <c r="O345" s="1634" t="s">
        <v>1965</v>
      </c>
      <c r="P345" s="1633" t="s">
        <v>1966</v>
      </c>
      <c r="Q345" s="1632" t="s">
        <v>1967</v>
      </c>
      <c r="R345" s="1388"/>
      <c r="S345" s="1631" t="s">
        <v>1968</v>
      </c>
      <c r="T345" s="1632" t="s">
        <v>1969</v>
      </c>
      <c r="U345" s="1633" t="s">
        <v>1970</v>
      </c>
      <c r="V345" s="1634" t="s">
        <v>1971</v>
      </c>
      <c r="W345" s="1632" t="s">
        <v>1972</v>
      </c>
      <c r="X345" s="1609"/>
    </row>
    <row r="346" spans="1:26" ht="15.75" x14ac:dyDescent="0.25">
      <c r="C346" s="1641" t="s">
        <v>1932</v>
      </c>
      <c r="D346" s="1682"/>
      <c r="E346" s="1378"/>
      <c r="F346" s="1378"/>
      <c r="G346" s="1691">
        <f>G193</f>
        <v>0.37319503570124951</v>
      </c>
      <c r="H346" s="1378"/>
      <c r="I346" s="1375">
        <f>I193</f>
        <v>4063.4312190422088</v>
      </c>
      <c r="J346" s="1378"/>
      <c r="K346" s="1376">
        <f>K193</f>
        <v>0</v>
      </c>
      <c r="L346" s="1378"/>
      <c r="M346" s="1375">
        <f>M193</f>
        <v>0</v>
      </c>
      <c r="N346" s="1376">
        <f>N193</f>
        <v>0</v>
      </c>
      <c r="O346" s="1376"/>
      <c r="P346" s="1376"/>
      <c r="Q346" s="1376">
        <f>Q193</f>
        <v>0</v>
      </c>
      <c r="R346" s="1378"/>
      <c r="S346" s="1375">
        <f t="shared" ref="S346:S356" si="67">I346-K346</f>
        <v>4063.4312190422088</v>
      </c>
      <c r="T346" s="1375">
        <f t="shared" ref="T346:T356" si="68">M346-Q346</f>
        <v>0</v>
      </c>
      <c r="U346" s="1375">
        <f t="shared" ref="U346:U356" si="69">M346-P346</f>
        <v>0</v>
      </c>
      <c r="V346" s="1375">
        <f t="shared" ref="V346:V356" si="70">M346-O346</f>
        <v>0</v>
      </c>
      <c r="W346" s="1375">
        <f t="shared" ref="W346:W356" si="71">Q346-K346</f>
        <v>0</v>
      </c>
      <c r="X346" s="1609"/>
    </row>
    <row r="347" spans="1:26" ht="15.75" x14ac:dyDescent="0.25">
      <c r="C347" s="1378"/>
      <c r="D347" s="1378"/>
      <c r="E347" s="1378"/>
      <c r="F347" s="1378"/>
      <c r="G347" s="1691"/>
      <c r="H347" s="1378"/>
      <c r="I347" s="1375"/>
      <c r="J347" s="1378"/>
      <c r="K347" s="1376"/>
      <c r="L347" s="1378"/>
      <c r="M347" s="1375"/>
      <c r="N347" s="1376"/>
      <c r="O347" s="1376"/>
      <c r="P347" s="1376"/>
      <c r="Q347" s="1376"/>
      <c r="R347" s="1378"/>
      <c r="S347" s="1375"/>
      <c r="T347" s="1375"/>
      <c r="U347" s="1375"/>
      <c r="V347" s="1375"/>
      <c r="W347" s="1375"/>
      <c r="X347" s="1609"/>
    </row>
    <row r="348" spans="1:26" ht="15.75" x14ac:dyDescent="0.25">
      <c r="C348" s="1741" t="s">
        <v>1933</v>
      </c>
      <c r="D348" s="1385"/>
      <c r="E348" s="1378"/>
      <c r="F348" s="1378"/>
      <c r="G348" s="1710">
        <f>G191</f>
        <v>0</v>
      </c>
      <c r="H348" s="1378"/>
      <c r="I348" s="1385">
        <f>I191</f>
        <v>1774.01953870744</v>
      </c>
      <c r="J348" s="1378"/>
      <c r="K348" s="1385">
        <f>K191</f>
        <v>0</v>
      </c>
      <c r="L348" s="1378"/>
      <c r="M348" s="1385">
        <f>M191</f>
        <v>0</v>
      </c>
      <c r="N348" s="1385">
        <f t="shared" ref="N348:Q348" si="72">N191</f>
        <v>0</v>
      </c>
      <c r="O348" s="1385">
        <f t="shared" si="72"/>
        <v>0</v>
      </c>
      <c r="P348" s="1385">
        <f t="shared" si="72"/>
        <v>0</v>
      </c>
      <c r="Q348" s="1385">
        <f t="shared" si="72"/>
        <v>0</v>
      </c>
      <c r="R348" s="1378"/>
      <c r="S348" s="1375">
        <f t="shared" si="67"/>
        <v>1774.01953870744</v>
      </c>
      <c r="T348" s="1375">
        <f t="shared" si="68"/>
        <v>0</v>
      </c>
      <c r="U348" s="1375">
        <f t="shared" si="69"/>
        <v>0</v>
      </c>
      <c r="V348" s="1375">
        <f t="shared" si="70"/>
        <v>0</v>
      </c>
      <c r="W348" s="1375">
        <f t="shared" si="71"/>
        <v>0</v>
      </c>
      <c r="X348" s="1609"/>
    </row>
    <row r="349" spans="1:26" ht="15.75" x14ac:dyDescent="0.25">
      <c r="C349" s="1378"/>
      <c r="D349" s="1378"/>
      <c r="E349" s="1378"/>
      <c r="F349" s="1378"/>
      <c r="G349" s="1691"/>
      <c r="H349" s="1378"/>
      <c r="I349" s="1375"/>
      <c r="J349" s="1378"/>
      <c r="K349" s="1376"/>
      <c r="L349" s="1378"/>
      <c r="M349" s="1375"/>
      <c r="N349" s="1376"/>
      <c r="O349" s="1376"/>
      <c r="P349" s="1376"/>
      <c r="Q349" s="1376"/>
      <c r="R349" s="1378"/>
      <c r="S349" s="1375"/>
      <c r="T349" s="1375"/>
      <c r="U349" s="1375"/>
      <c r="V349" s="1375"/>
      <c r="W349" s="1375"/>
      <c r="X349" s="1609"/>
    </row>
    <row r="350" spans="1:26" ht="15.75" x14ac:dyDescent="0.25">
      <c r="C350" s="1641" t="str">
        <f>C149</f>
        <v>עלויות גבייה</v>
      </c>
      <c r="D350" s="1682"/>
      <c r="E350" s="1378"/>
      <c r="F350" s="1378"/>
      <c r="G350" s="1691">
        <f>G171</f>
        <v>0.43077474780674174</v>
      </c>
      <c r="H350" s="1378"/>
      <c r="I350" s="1375">
        <f>I171</f>
        <v>4623.9953744853883</v>
      </c>
      <c r="J350" s="1378"/>
      <c r="K350" s="1376">
        <f>K171</f>
        <v>0</v>
      </c>
      <c r="L350" s="1378"/>
      <c r="M350" s="1375">
        <f>M171</f>
        <v>4623.9953744853883</v>
      </c>
      <c r="N350" s="1376">
        <f>N171</f>
        <v>0</v>
      </c>
      <c r="O350" s="1376"/>
      <c r="P350" s="1376"/>
      <c r="Q350" s="1376">
        <f>Q171</f>
        <v>0</v>
      </c>
      <c r="R350" s="1378"/>
      <c r="S350" s="1375">
        <f t="shared" si="67"/>
        <v>4623.9953744853883</v>
      </c>
      <c r="T350" s="1375">
        <f t="shared" si="68"/>
        <v>4623.9953744853883</v>
      </c>
      <c r="U350" s="1375">
        <f t="shared" si="69"/>
        <v>4623.9953744853883</v>
      </c>
      <c r="V350" s="1375">
        <f t="shared" si="70"/>
        <v>4623.9953744853883</v>
      </c>
      <c r="W350" s="1375">
        <f t="shared" si="71"/>
        <v>0</v>
      </c>
      <c r="X350" s="1609"/>
    </row>
    <row r="351" spans="1:26" ht="15.75" x14ac:dyDescent="0.25">
      <c r="C351" s="1378"/>
      <c r="D351" s="1378"/>
      <c r="E351" s="1378"/>
      <c r="F351" s="1378"/>
      <c r="G351" s="1691"/>
      <c r="H351" s="1378"/>
      <c r="I351" s="1375"/>
      <c r="J351" s="1378"/>
      <c r="K351" s="1376"/>
      <c r="L351" s="1378"/>
      <c r="M351" s="1375"/>
      <c r="N351" s="1376"/>
      <c r="O351" s="1376"/>
      <c r="P351" s="1376"/>
      <c r="Q351" s="1376"/>
      <c r="R351" s="1378"/>
      <c r="S351" s="1375"/>
      <c r="T351" s="1375"/>
      <c r="U351" s="1375"/>
      <c r="V351" s="1375"/>
      <c r="W351" s="1375"/>
      <c r="X351" s="1609"/>
    </row>
    <row r="352" spans="1:26" ht="15.75" x14ac:dyDescent="0.25">
      <c r="C352" s="1641" t="s">
        <v>2059</v>
      </c>
      <c r="D352" s="1682"/>
      <c r="E352" s="1378"/>
      <c r="F352" s="1378"/>
      <c r="G352" s="1691">
        <f>G36</f>
        <v>0.47758760654308258</v>
      </c>
      <c r="H352" s="1378"/>
      <c r="I352" s="1375">
        <f>I36</f>
        <v>5200.080935182471</v>
      </c>
      <c r="J352" s="1378"/>
      <c r="K352" s="1376">
        <f>K36</f>
        <v>0</v>
      </c>
      <c r="L352" s="1378"/>
      <c r="M352" s="1375">
        <f>M36</f>
        <v>543.59077034702761</v>
      </c>
      <c r="N352" s="1376">
        <f>N36</f>
        <v>0</v>
      </c>
      <c r="O352" s="1376"/>
      <c r="P352" s="1376"/>
      <c r="Q352" s="1376">
        <f>Q36</f>
        <v>0</v>
      </c>
      <c r="R352" s="1378"/>
      <c r="S352" s="1375">
        <f t="shared" si="67"/>
        <v>5200.080935182471</v>
      </c>
      <c r="T352" s="1375">
        <f t="shared" si="68"/>
        <v>543.59077034702761</v>
      </c>
      <c r="U352" s="1375">
        <f t="shared" si="69"/>
        <v>543.59077034702761</v>
      </c>
      <c r="V352" s="1375">
        <f t="shared" si="70"/>
        <v>543.59077034702761</v>
      </c>
      <c r="W352" s="1375">
        <f t="shared" si="71"/>
        <v>0</v>
      </c>
      <c r="X352" s="1609"/>
    </row>
    <row r="353" spans="3:24" ht="15.75" x14ac:dyDescent="0.25">
      <c r="C353" s="1378"/>
      <c r="D353" s="1378"/>
      <c r="E353" s="1378"/>
      <c r="F353" s="1378"/>
      <c r="G353" s="1691"/>
      <c r="H353" s="1378"/>
      <c r="I353" s="1375"/>
      <c r="J353" s="1378"/>
      <c r="K353" s="1376"/>
      <c r="L353" s="1378"/>
      <c r="M353" s="1375"/>
      <c r="N353" s="1376"/>
      <c r="O353" s="1376"/>
      <c r="P353" s="1376"/>
      <c r="Q353" s="1376"/>
      <c r="R353" s="1378"/>
      <c r="S353" s="1375"/>
      <c r="T353" s="1375"/>
      <c r="U353" s="1375"/>
      <c r="V353" s="1375"/>
      <c r="W353" s="1375"/>
      <c r="X353" s="1609"/>
    </row>
    <row r="354" spans="3:24" ht="15.75" x14ac:dyDescent="0.25">
      <c r="C354" s="1641" t="str">
        <f>D67</f>
        <v xml:space="preserve">עלויות איסוף והולכת שפכים </v>
      </c>
      <c r="D354" s="1682"/>
      <c r="E354" s="1378"/>
      <c r="F354" s="1378"/>
      <c r="G354" s="1691">
        <f>G94</f>
        <v>0.19441901920099688</v>
      </c>
      <c r="H354" s="1378"/>
      <c r="I354" s="1375">
        <f>I94</f>
        <v>2116.8778698045576</v>
      </c>
      <c r="J354" s="1378"/>
      <c r="K354" s="1376">
        <f>K94</f>
        <v>0</v>
      </c>
      <c r="L354" s="1378"/>
      <c r="M354" s="1375">
        <f>I354</f>
        <v>2116.8778698045576</v>
      </c>
      <c r="N354" s="1376">
        <f>N94</f>
        <v>0</v>
      </c>
      <c r="O354" s="1376"/>
      <c r="P354" s="1376"/>
      <c r="Q354" s="1376">
        <f>Q94</f>
        <v>0</v>
      </c>
      <c r="R354" s="1378"/>
      <c r="S354" s="1375">
        <f t="shared" si="67"/>
        <v>2116.8778698045576</v>
      </c>
      <c r="T354" s="1375">
        <f t="shared" si="68"/>
        <v>2116.8778698045576</v>
      </c>
      <c r="U354" s="1375">
        <f t="shared" si="69"/>
        <v>2116.8778698045576</v>
      </c>
      <c r="V354" s="1375">
        <f t="shared" si="70"/>
        <v>2116.8778698045576</v>
      </c>
      <c r="W354" s="1375">
        <f t="shared" si="71"/>
        <v>0</v>
      </c>
      <c r="X354" s="1609"/>
    </row>
    <row r="355" spans="3:24" ht="15.75" x14ac:dyDescent="0.25">
      <c r="C355" s="1378"/>
      <c r="D355" s="1378"/>
      <c r="E355" s="1378"/>
      <c r="F355" s="1378"/>
      <c r="G355" s="1691"/>
      <c r="H355" s="1378"/>
      <c r="I355" s="1375"/>
      <c r="J355" s="1378"/>
      <c r="K355" s="1376"/>
      <c r="L355" s="1378"/>
      <c r="M355" s="1375"/>
      <c r="N355" s="1376"/>
      <c r="O355" s="1376"/>
      <c r="P355" s="1376"/>
      <c r="Q355" s="1376"/>
      <c r="R355" s="1378"/>
      <c r="S355" s="1375"/>
      <c r="T355" s="1375"/>
      <c r="U355" s="1375"/>
      <c r="V355" s="1375"/>
      <c r="W355" s="1375"/>
      <c r="X355" s="1609"/>
    </row>
    <row r="356" spans="3:24" ht="16.5" thickBot="1" x14ac:dyDescent="0.3">
      <c r="C356" s="1700" t="s">
        <v>1934</v>
      </c>
      <c r="D356" s="1700"/>
      <c r="E356" s="1378"/>
      <c r="F356" s="1378"/>
      <c r="G356" s="1700">
        <f>G346+G350+G352+G354</f>
        <v>1.4759764092520709</v>
      </c>
      <c r="H356" s="1378"/>
      <c r="I356" s="1664">
        <f>I346+I350+I352+I354</f>
        <v>16004.385398514627</v>
      </c>
      <c r="J356" s="1378"/>
      <c r="K356" s="1664">
        <f>K346+K350+K352+K354</f>
        <v>0</v>
      </c>
      <c r="L356" s="1378"/>
      <c r="M356" s="1664">
        <f>M346+M350+M352+M354</f>
        <v>7284.4640146369729</v>
      </c>
      <c r="N356" s="1664">
        <f>N346+N350+N352+N354</f>
        <v>0</v>
      </c>
      <c r="O356" s="1664">
        <f t="shared" ref="O356:P356" si="73">O346+O350+O352+O354</f>
        <v>0</v>
      </c>
      <c r="P356" s="1664">
        <f t="shared" si="73"/>
        <v>0</v>
      </c>
      <c r="Q356" s="1664">
        <f>Q346+Q350+Q352+Q354</f>
        <v>0</v>
      </c>
      <c r="R356" s="1378"/>
      <c r="S356" s="1640">
        <f t="shared" si="67"/>
        <v>16004.385398514627</v>
      </c>
      <c r="T356" s="1640">
        <f t="shared" si="68"/>
        <v>7284.4640146369729</v>
      </c>
      <c r="U356" s="1640">
        <f t="shared" si="69"/>
        <v>7284.4640146369729</v>
      </c>
      <c r="V356" s="1640">
        <f t="shared" si="70"/>
        <v>7284.4640146369729</v>
      </c>
      <c r="W356" s="1640">
        <f t="shared" si="71"/>
        <v>0</v>
      </c>
      <c r="X356" s="1609"/>
    </row>
    <row r="357" spans="3:24" ht="16.5" thickTop="1" x14ac:dyDescent="0.25">
      <c r="C357" s="1378"/>
      <c r="D357" s="1378"/>
      <c r="E357" s="1378"/>
      <c r="F357" s="1378"/>
      <c r="G357" s="1378"/>
      <c r="H357" s="1378"/>
      <c r="I357" s="1378"/>
      <c r="J357" s="1378"/>
      <c r="K357" s="1378"/>
      <c r="L357" s="1378"/>
      <c r="M357" s="1378"/>
      <c r="N357" s="1378"/>
      <c r="O357" s="1378"/>
      <c r="P357" s="1378"/>
      <c r="Q357" s="1378"/>
      <c r="R357" s="1378"/>
      <c r="S357" s="1378"/>
      <c r="T357" s="1378"/>
      <c r="U357" s="1378"/>
      <c r="V357" s="1378"/>
      <c r="W357" s="1378"/>
      <c r="X357" s="1609"/>
    </row>
    <row r="358" spans="3:24" ht="16.5" thickBot="1" x14ac:dyDescent="0.3">
      <c r="C358" s="1742" t="s">
        <v>1935</v>
      </c>
      <c r="D358" s="1700"/>
      <c r="E358" s="1378"/>
      <c r="F358" s="1378"/>
      <c r="G358" s="1700">
        <f>+G356</f>
        <v>1.4759764092520709</v>
      </c>
      <c r="H358" s="1378"/>
      <c r="I358" s="1700">
        <f>I356/I3</f>
        <v>1.4845790236850351</v>
      </c>
      <c r="J358" s="1378"/>
      <c r="K358" s="1700">
        <f>K356/I3</f>
        <v>0</v>
      </c>
      <c r="L358" s="1378"/>
      <c r="M358" s="1700"/>
      <c r="N358" s="1700"/>
      <c r="O358" s="1700"/>
      <c r="P358" s="1700"/>
      <c r="Q358" s="1700"/>
      <c r="R358" s="1378"/>
      <c r="S358" s="1700">
        <f>I358-K358</f>
        <v>1.4845790236850351</v>
      </c>
      <c r="T358" s="1700"/>
      <c r="U358" s="1700"/>
      <c r="V358" s="1700"/>
      <c r="W358" s="1700"/>
      <c r="X358" s="1609"/>
    </row>
    <row r="359" spans="3:24" ht="16.5" thickTop="1" x14ac:dyDescent="0.25">
      <c r="C359" s="1378"/>
      <c r="D359" s="1378"/>
      <c r="E359" s="1378"/>
      <c r="F359" s="1378"/>
      <c r="G359" s="1378"/>
      <c r="H359" s="1378"/>
      <c r="I359" s="1378"/>
      <c r="J359" s="1378"/>
      <c r="K359" s="1378"/>
      <c r="L359" s="1378"/>
      <c r="M359" s="1378"/>
      <c r="N359" s="1378"/>
      <c r="O359" s="1378"/>
      <c r="P359" s="1378"/>
      <c r="Q359" s="1378"/>
      <c r="R359" s="1378"/>
      <c r="S359" s="1378"/>
      <c r="T359" s="1378"/>
      <c r="U359" s="1378"/>
      <c r="V359" s="1378"/>
      <c r="W359" s="1378"/>
      <c r="X359" s="1609"/>
    </row>
    <row r="360" spans="3:24" ht="16.5" thickBot="1" x14ac:dyDescent="0.3">
      <c r="C360" s="1741" t="s">
        <v>1936</v>
      </c>
      <c r="D360" s="1385"/>
      <c r="E360" s="1378"/>
      <c r="F360" s="1378"/>
      <c r="G360" s="1386">
        <f>G348+G350+G352+G354</f>
        <v>1.1027813735508212</v>
      </c>
      <c r="H360" s="1378"/>
      <c r="I360" s="1387">
        <f>I348+I350+I352+I354</f>
        <v>13714.973718179855</v>
      </c>
      <c r="J360" s="1388"/>
      <c r="K360" s="1387">
        <f>K348+K350+K352+K354</f>
        <v>0</v>
      </c>
      <c r="L360" s="1388"/>
      <c r="M360" s="1387">
        <f>M348+M350+M352+M354</f>
        <v>7284.4640146369729</v>
      </c>
      <c r="N360" s="1387"/>
      <c r="O360" s="1387"/>
      <c r="P360" s="1387"/>
      <c r="Q360" s="1387"/>
      <c r="R360" s="1388"/>
      <c r="S360" s="1387">
        <f>I360-K360</f>
        <v>13714.973718179855</v>
      </c>
      <c r="T360" s="1387">
        <f t="shared" ref="T360" si="74">M360-Q360</f>
        <v>7284.4640146369729</v>
      </c>
      <c r="U360" s="1387">
        <f t="shared" ref="U360" si="75">M360-P360</f>
        <v>7284.4640146369729</v>
      </c>
      <c r="V360" s="1387">
        <f t="shared" ref="V360" si="76">M360-O360</f>
        <v>7284.4640146369729</v>
      </c>
      <c r="W360" s="1387">
        <f t="shared" ref="W360" si="77">Q360-K360</f>
        <v>0</v>
      </c>
      <c r="X360" s="1609"/>
    </row>
    <row r="361" spans="3:24" ht="16.5" thickTop="1" x14ac:dyDescent="0.25">
      <c r="C361" s="1378"/>
      <c r="D361" s="1378"/>
      <c r="F361" s="1378"/>
      <c r="G361" s="1388"/>
      <c r="H361" s="1378"/>
      <c r="I361" s="1388"/>
      <c r="J361" s="1388"/>
      <c r="K361" s="1388"/>
      <c r="L361" s="1388"/>
      <c r="M361" s="1388"/>
      <c r="N361" s="1388"/>
      <c r="O361" s="1388"/>
      <c r="P361" s="1388"/>
      <c r="Q361" s="1388"/>
      <c r="R361" s="1388"/>
      <c r="S361" s="1388"/>
      <c r="T361" s="1388"/>
      <c r="U361" s="1388"/>
      <c r="V361" s="1388"/>
      <c r="W361" s="1378"/>
      <c r="X361" s="1609"/>
    </row>
    <row r="362" spans="3:24" ht="16.5" thickBot="1" x14ac:dyDescent="0.3">
      <c r="C362" s="1641" t="s">
        <v>1091</v>
      </c>
      <c r="D362" s="1641"/>
      <c r="F362" s="1378"/>
      <c r="G362" s="1386">
        <v>0</v>
      </c>
      <c r="H362" s="1378"/>
      <c r="I362" s="1386">
        <f>+VLOOKUP(C362,'[28]עלויות תפעול בהתאם לנורמות'!$C$6:$DF$170,$Z$62+1,0)</f>
        <v>1.2777882778683798</v>
      </c>
      <c r="J362" s="1388"/>
      <c r="K362" s="1386">
        <f>K360/I3</f>
        <v>0</v>
      </c>
      <c r="L362" s="1388"/>
      <c r="M362" s="1386"/>
      <c r="N362" s="1386"/>
      <c r="O362" s="1386"/>
      <c r="P362" s="1386"/>
      <c r="Q362" s="1386"/>
      <c r="R362" s="1388"/>
      <c r="S362" s="1386">
        <f>I362-K362</f>
        <v>1.2777882778683798</v>
      </c>
      <c r="T362" s="1386"/>
      <c r="U362" s="1386"/>
      <c r="V362" s="1386"/>
      <c r="W362" s="1387"/>
      <c r="X362" s="1609"/>
    </row>
    <row r="363" spans="3:24" ht="16.5" thickTop="1" x14ac:dyDescent="0.25">
      <c r="C363" s="1378"/>
      <c r="D363" s="1378"/>
      <c r="F363" s="1378"/>
      <c r="G363" s="1378"/>
      <c r="H363" s="1378"/>
      <c r="I363" s="1378"/>
      <c r="J363" s="1378"/>
      <c r="K363" s="1378"/>
      <c r="L363" s="1378"/>
      <c r="M363" s="1378"/>
      <c r="N363" s="1378"/>
      <c r="O363" s="1378"/>
      <c r="P363" s="1378"/>
      <c r="Q363" s="1378"/>
      <c r="R363" s="1378"/>
      <c r="S363" s="1378"/>
      <c r="T363" s="1378"/>
      <c r="U363" s="1378"/>
      <c r="V363" s="1378"/>
      <c r="W363" s="1378"/>
      <c r="X363" s="1609"/>
    </row>
    <row r="364" spans="3:24" ht="16.5" thickBot="1" x14ac:dyDescent="0.3">
      <c r="C364" s="1641" t="s">
        <v>1937</v>
      </c>
      <c r="D364" s="1641"/>
      <c r="F364" s="1378"/>
      <c r="G364" s="1743">
        <f>G358-G362</f>
        <v>1.4759764092520709</v>
      </c>
      <c r="H364" s="1378"/>
      <c r="I364" s="1743">
        <f>I358-I362</f>
        <v>0.20679074581665535</v>
      </c>
      <c r="J364" s="1378"/>
      <c r="K364" s="1378"/>
      <c r="L364" s="1378"/>
      <c r="M364" s="1378"/>
      <c r="N364" s="1378"/>
      <c r="O364" s="1378"/>
      <c r="P364" s="1378"/>
      <c r="Q364" s="1378"/>
      <c r="R364" s="1378"/>
      <c r="S364" s="1389"/>
      <c r="T364" s="1389"/>
      <c r="U364" s="1389"/>
      <c r="V364" s="1389"/>
      <c r="W364" s="1378"/>
      <c r="X364" s="1609"/>
    </row>
    <row r="365" spans="3:24" ht="15" thickTop="1" x14ac:dyDescent="0.2">
      <c r="C365" s="1744"/>
      <c r="D365" s="1744"/>
      <c r="E365" s="1744"/>
      <c r="F365" s="1744"/>
      <c r="G365" s="1744"/>
      <c r="H365" s="1744"/>
      <c r="I365" s="1744"/>
      <c r="X365" s="1609"/>
    </row>
    <row r="366" spans="3:24" ht="14.25" x14ac:dyDescent="0.2">
      <c r="C366" s="1744"/>
      <c r="D366" s="1744"/>
      <c r="E366" s="1744"/>
      <c r="F366" s="1744"/>
      <c r="G366" s="1744"/>
      <c r="H366" s="1744"/>
      <c r="I366" s="1744"/>
      <c r="X366" s="1609"/>
    </row>
  </sheetData>
  <mergeCells count="19">
    <mergeCell ref="C238:Q238"/>
    <mergeCell ref="C5:C6"/>
    <mergeCell ref="D117:Q118"/>
    <mergeCell ref="I123:S123"/>
    <mergeCell ref="I130:S130"/>
    <mergeCell ref="I140:S140"/>
    <mergeCell ref="I151:S151"/>
    <mergeCell ref="I175:S175"/>
    <mergeCell ref="I197:S197"/>
    <mergeCell ref="I223:S223"/>
    <mergeCell ref="C227:F227"/>
    <mergeCell ref="C237:Q237"/>
    <mergeCell ref="C329:Q337"/>
    <mergeCell ref="I240:S240"/>
    <mergeCell ref="I249:S249"/>
    <mergeCell ref="I260:S260"/>
    <mergeCell ref="I276:S276"/>
    <mergeCell ref="C305:E305"/>
    <mergeCell ref="I310:S310"/>
  </mergeCells>
  <dataValidations disablePrompts="1" count="1">
    <dataValidation type="list" allowBlank="1" showInputMessage="1" showErrorMessage="1" sqref="X5">
      <formula1>#REF!</formula1>
    </dataValidation>
  </dataValidation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91489" r:id="rId4" name="Drop Down 1">
              <controlPr locked="0" defaultSize="0" autoLine="0" autoPict="0">
                <anchor moveWithCells="1">
                  <from>
                    <xdr:col>3</xdr:col>
                    <xdr:colOff>0</xdr:colOff>
                    <xdr:row>4</xdr:row>
                    <xdr:rowOff>104775</xdr:rowOff>
                  </from>
                  <to>
                    <xdr:col>3</xdr:col>
                    <xdr:colOff>1343025</xdr:colOff>
                    <xdr:row>4</xdr:row>
                    <xdr:rowOff>314325</xdr:rowOff>
                  </to>
                </anchor>
              </controlPr>
            </control>
          </mc:Choice>
        </mc:AlternateContent>
      </controls>
    </mc:Choice>
  </mc:AlternateContent>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5"/>
  <sheetViews>
    <sheetView rightToLeft="1" topLeftCell="C1" workbookViewId="0">
      <selection activeCell="G11" sqref="G11"/>
    </sheetView>
  </sheetViews>
  <sheetFormatPr defaultRowHeight="12.75" x14ac:dyDescent="0.2"/>
  <cols>
    <col min="5" max="5" width="14.5703125" bestFit="1" customWidth="1"/>
    <col min="6" max="6" width="20.7109375" bestFit="1" customWidth="1"/>
    <col min="7" max="7" width="21.85546875" bestFit="1" customWidth="1"/>
    <col min="8" max="8" width="11.5703125" style="15" bestFit="1" customWidth="1"/>
    <col min="9" max="9" width="21.5703125" bestFit="1" customWidth="1"/>
    <col min="10" max="10" width="19.42578125" bestFit="1" customWidth="1"/>
    <col min="11" max="11" width="22.7109375" bestFit="1" customWidth="1"/>
    <col min="12" max="12" width="21.42578125" bestFit="1" customWidth="1"/>
    <col min="13" max="13" width="5.7109375" bestFit="1" customWidth="1"/>
  </cols>
  <sheetData>
    <row r="1" spans="1:14" x14ac:dyDescent="0.2">
      <c r="A1" s="1525"/>
      <c r="B1" s="1526"/>
      <c r="C1" s="1526"/>
      <c r="D1" s="1526"/>
      <c r="E1" s="1526"/>
      <c r="F1" s="1526"/>
      <c r="G1" s="1526"/>
      <c r="H1" s="1558"/>
      <c r="I1" s="1526"/>
      <c r="J1" s="1526"/>
      <c r="K1" s="1526"/>
      <c r="L1" s="1526"/>
      <c r="M1" s="1526"/>
      <c r="N1" s="1526"/>
    </row>
    <row r="2" spans="1:14" ht="20.25" x14ac:dyDescent="0.3">
      <c r="A2" s="1527"/>
      <c r="B2" s="1528"/>
      <c r="C2" s="1528"/>
      <c r="D2" s="1528"/>
      <c r="E2" s="1528"/>
      <c r="F2" s="1528"/>
      <c r="G2" s="1529" t="s">
        <v>2031</v>
      </c>
      <c r="H2" s="1530"/>
      <c r="I2" s="1530"/>
      <c r="J2" s="1530"/>
      <c r="K2" s="1530"/>
      <c r="L2" s="1530"/>
      <c r="M2" s="1530"/>
      <c r="N2" s="1528"/>
    </row>
    <row r="3" spans="1:14" ht="20.25" x14ac:dyDescent="0.3">
      <c r="A3" s="1527"/>
      <c r="B3" s="1528"/>
      <c r="C3" s="1528"/>
      <c r="D3" s="1528"/>
      <c r="E3" s="1528"/>
      <c r="F3" s="1528"/>
      <c r="G3" s="1530"/>
      <c r="H3" s="1530"/>
      <c r="I3" s="1530"/>
      <c r="J3" s="1530"/>
      <c r="K3" s="1530"/>
      <c r="L3" s="1530"/>
      <c r="M3" s="1530"/>
      <c r="N3" s="1528"/>
    </row>
    <row r="4" spans="1:14" ht="20.25" x14ac:dyDescent="0.3">
      <c r="A4" s="1527"/>
      <c r="B4" s="1528"/>
      <c r="C4" s="1528"/>
      <c r="D4" s="1528"/>
      <c r="E4" s="1528"/>
      <c r="F4" s="1396" t="s">
        <v>1977</v>
      </c>
      <c r="G4" s="1529"/>
      <c r="H4" s="1530"/>
      <c r="I4" s="1530"/>
      <c r="J4" s="1530"/>
      <c r="K4" s="1530"/>
      <c r="L4" s="1530"/>
      <c r="M4" s="1530"/>
      <c r="N4" s="1531"/>
    </row>
    <row r="5" spans="1:14" x14ac:dyDescent="0.2">
      <c r="A5" s="1527"/>
      <c r="B5" s="1528"/>
      <c r="C5" s="1528"/>
      <c r="D5" s="1528"/>
      <c r="E5" s="1528"/>
      <c r="F5" s="1528"/>
      <c r="G5" s="1528"/>
      <c r="H5" s="1559"/>
      <c r="I5" s="1528"/>
      <c r="J5" s="1528"/>
      <c r="K5" s="1528"/>
      <c r="L5" s="1528"/>
      <c r="M5" s="1528"/>
      <c r="N5" s="1528"/>
    </row>
    <row r="6" spans="1:14" x14ac:dyDescent="0.2">
      <c r="A6" s="1401"/>
      <c r="B6" s="1402"/>
      <c r="C6" s="1532"/>
      <c r="D6" s="1533"/>
      <c r="E6" s="1533"/>
      <c r="F6" s="1533"/>
      <c r="G6" s="1533"/>
      <c r="H6" s="1560"/>
      <c r="I6" s="1533"/>
      <c r="J6" s="1533"/>
      <c r="K6" s="1533"/>
      <c r="L6" s="1533"/>
      <c r="M6" s="1533"/>
      <c r="N6" s="1533"/>
    </row>
    <row r="7" spans="1:14" x14ac:dyDescent="0.2">
      <c r="A7" s="1534"/>
      <c r="B7" s="1535"/>
      <c r="C7" s="1532"/>
      <c r="D7" s="1533"/>
      <c r="E7" s="1533"/>
      <c r="F7" s="1533"/>
      <c r="G7" s="1533"/>
      <c r="H7" s="1560"/>
      <c r="I7" s="1533"/>
      <c r="J7" s="1533"/>
      <c r="K7" s="1533"/>
      <c r="L7" s="1533"/>
      <c r="M7" s="1533"/>
      <c r="N7" s="1533"/>
    </row>
    <row r="8" spans="1:14" ht="25.5" x14ac:dyDescent="0.2">
      <c r="A8" s="1536"/>
      <c r="B8" s="1537"/>
      <c r="C8" s="1537" t="s">
        <v>2032</v>
      </c>
      <c r="D8" s="1537"/>
      <c r="E8" s="1538"/>
      <c r="F8" s="1539" t="s">
        <v>2033</v>
      </c>
      <c r="G8" s="1533"/>
      <c r="H8" s="1560"/>
      <c r="I8" s="1533"/>
      <c r="J8" s="1533"/>
      <c r="K8" s="1533"/>
      <c r="L8" s="1533"/>
      <c r="M8" s="1533"/>
      <c r="N8" s="1533"/>
    </row>
    <row r="9" spans="1:14" x14ac:dyDescent="0.2">
      <c r="A9" s="1536"/>
      <c r="B9" s="1863"/>
      <c r="C9" s="1864"/>
      <c r="D9" s="1864"/>
      <c r="E9" s="1865"/>
      <c r="F9" s="1540">
        <v>2016</v>
      </c>
      <c r="G9" s="1533"/>
      <c r="H9" s="1560"/>
      <c r="I9" s="1533"/>
      <c r="J9" s="1533"/>
      <c r="K9" s="1533"/>
      <c r="L9" s="1533"/>
      <c r="M9" s="1533"/>
      <c r="N9" s="1533"/>
    </row>
    <row r="10" spans="1:14" ht="15.75" x14ac:dyDescent="0.25">
      <c r="A10" s="1536"/>
      <c r="B10" s="1541"/>
      <c r="C10" s="1542"/>
      <c r="D10" s="1542"/>
      <c r="E10" s="1866" t="s">
        <v>2034</v>
      </c>
      <c r="F10" s="1866"/>
      <c r="G10" s="1543"/>
      <c r="H10" s="1560"/>
      <c r="I10" s="1533"/>
      <c r="J10" s="1533"/>
      <c r="K10" s="1533"/>
      <c r="L10" s="1533"/>
      <c r="M10" s="1533"/>
      <c r="N10" s="1533"/>
    </row>
    <row r="11" spans="1:14" ht="25.5" x14ac:dyDescent="0.25">
      <c r="A11" s="1536"/>
      <c r="B11" s="1544"/>
      <c r="C11" s="1543"/>
      <c r="D11" s="1543"/>
      <c r="E11" s="1545" t="s">
        <v>2035</v>
      </c>
      <c r="F11" s="1546">
        <v>0</v>
      </c>
      <c r="G11" s="1543"/>
      <c r="H11" s="1560"/>
      <c r="I11" s="1533"/>
      <c r="J11" s="1533"/>
      <c r="K11" s="1533"/>
      <c r="L11" s="1533"/>
      <c r="M11" s="1533"/>
      <c r="N11" s="1533"/>
    </row>
    <row r="12" spans="1:14" ht="15.75" x14ac:dyDescent="0.25">
      <c r="A12" s="1536"/>
      <c r="B12" s="1544"/>
      <c r="C12" s="1543"/>
      <c r="D12" s="1547"/>
      <c r="E12" s="1545" t="s">
        <v>2036</v>
      </c>
      <c r="F12" s="1546"/>
      <c r="G12" s="1543"/>
      <c r="H12" s="1560"/>
      <c r="I12" s="1533"/>
      <c r="J12" s="1533"/>
      <c r="K12" s="1533"/>
      <c r="L12" s="1533"/>
      <c r="M12" s="1533"/>
      <c r="N12" s="1533"/>
    </row>
    <row r="13" spans="1:14" ht="15.75" x14ac:dyDescent="0.25">
      <c r="A13" s="1536"/>
      <c r="B13" s="1544"/>
      <c r="C13" s="1543"/>
      <c r="D13" s="1547"/>
      <c r="E13" s="1545" t="s">
        <v>2037</v>
      </c>
      <c r="F13" s="1546"/>
      <c r="G13" s="1543"/>
      <c r="H13" s="1560"/>
      <c r="I13" s="1533"/>
      <c r="J13" s="1533"/>
      <c r="K13" s="1533"/>
      <c r="L13" s="1533"/>
      <c r="M13" s="1533"/>
      <c r="N13" s="1533"/>
    </row>
    <row r="14" spans="1:14" ht="25.5" x14ac:dyDescent="0.25">
      <c r="A14" s="1536"/>
      <c r="B14" s="1544"/>
      <c r="C14" s="1543"/>
      <c r="D14" s="1547"/>
      <c r="E14" s="1548" t="s">
        <v>2038</v>
      </c>
      <c r="F14" s="1549">
        <f>SUM(F11:F13)</f>
        <v>0</v>
      </c>
      <c r="G14" s="1543"/>
      <c r="H14" s="1560"/>
      <c r="I14" s="1533"/>
      <c r="J14" s="1533"/>
      <c r="K14" s="1533"/>
      <c r="L14" s="1533"/>
      <c r="M14" s="1533"/>
      <c r="N14" s="1533"/>
    </row>
    <row r="15" spans="1:14" ht="15.75" customHeight="1" x14ac:dyDescent="0.25">
      <c r="A15" s="1536"/>
      <c r="B15" s="1544"/>
      <c r="C15" s="1543"/>
      <c r="D15" s="1543"/>
      <c r="E15" s="1867" t="s">
        <v>2039</v>
      </c>
      <c r="F15" s="1868"/>
      <c r="G15" s="1557" t="s">
        <v>2055</v>
      </c>
      <c r="H15" s="1557" t="s">
        <v>2040</v>
      </c>
      <c r="I15" s="1557" t="s">
        <v>2058</v>
      </c>
      <c r="J15" s="1557" t="s">
        <v>2056</v>
      </c>
      <c r="K15" s="1557" t="s">
        <v>2057</v>
      </c>
      <c r="L15" s="1557" t="s">
        <v>2041</v>
      </c>
      <c r="M15" s="1557" t="s">
        <v>2042</v>
      </c>
      <c r="N15" s="1543"/>
    </row>
    <row r="16" spans="1:14" ht="49.5" customHeight="1" x14ac:dyDescent="0.25">
      <c r="A16" s="1536"/>
      <c r="B16" s="1544"/>
      <c r="C16" s="1543"/>
      <c r="D16" s="1543"/>
      <c r="E16" s="1545" t="s">
        <v>955</v>
      </c>
      <c r="F16" s="1546"/>
      <c r="G16" s="1550">
        <f>+'תחשיב תעריף 2016'!$C$63</f>
        <v>6.5610803233590609</v>
      </c>
      <c r="H16" s="1561">
        <f>+G16*F16</f>
        <v>0</v>
      </c>
      <c r="I16" s="1546"/>
      <c r="J16" s="1564">
        <f>+VLOOKUP(E16,'עלויות תפעול בהתאם לנורמה'!$C$6:$BF$132,'עלויות תפעול מול הנורמה לתאגיד'!$Z$62+1,0)</f>
        <v>0.96768963014608311</v>
      </c>
      <c r="K16" s="1550">
        <f>+J16*I16</f>
        <v>0</v>
      </c>
      <c r="L16" s="1550"/>
      <c r="M16" s="1550"/>
      <c r="N16" s="1543"/>
    </row>
    <row r="17" spans="1:14" ht="38.25" customHeight="1" x14ac:dyDescent="0.25">
      <c r="A17" s="1536"/>
      <c r="B17" s="1544"/>
      <c r="C17" s="1543"/>
      <c r="D17" s="1543"/>
      <c r="E17" s="1545" t="s">
        <v>956</v>
      </c>
      <c r="F17" s="1546"/>
      <c r="G17" s="1550">
        <f>+'תחשיב תעריף 2016'!$C$56</f>
        <v>10.5597463205149</v>
      </c>
      <c r="H17" s="1561">
        <f t="shared" ref="H17:H26" si="0">+G17*F17</f>
        <v>0</v>
      </c>
      <c r="I17" s="1546"/>
      <c r="J17" s="1564">
        <f>+VLOOKUP(E17,'עלויות תפעול בהתאם לנורמה'!$C$6:$BF$132,'עלויות תפעול מול הנורמה לתאגיד'!$Z$62+1,0)</f>
        <v>4.3833622866958235</v>
      </c>
      <c r="K17" s="1550">
        <f t="shared" ref="K17:K25" si="1">+J17*I17</f>
        <v>0</v>
      </c>
      <c r="L17" s="1550"/>
      <c r="M17" s="1550"/>
      <c r="N17" s="1543"/>
    </row>
    <row r="18" spans="1:14" ht="15.75" x14ac:dyDescent="0.25">
      <c r="A18" s="1536"/>
      <c r="B18" s="1544"/>
      <c r="C18" s="1543"/>
      <c r="D18" s="1543"/>
      <c r="E18" s="1545" t="s">
        <v>2043</v>
      </c>
      <c r="F18" s="1546"/>
      <c r="G18" s="1564">
        <f>+'ריכוז עלויות'!$B$69</f>
        <v>8.5530000000000008</v>
      </c>
      <c r="H18" s="1561">
        <f t="shared" si="0"/>
        <v>0</v>
      </c>
      <c r="I18" s="1546"/>
      <c r="J18" s="1564">
        <f>+J17</f>
        <v>4.3833622866958235</v>
      </c>
      <c r="K18" s="1550">
        <f t="shared" si="1"/>
        <v>0</v>
      </c>
      <c r="L18" s="1550"/>
      <c r="M18" s="1550"/>
      <c r="N18" s="1543"/>
    </row>
    <row r="19" spans="1:14" ht="15.75" x14ac:dyDescent="0.25">
      <c r="A19" s="1536"/>
      <c r="B19" s="1544"/>
      <c r="C19" s="1543"/>
      <c r="D19" s="1543"/>
      <c r="E19" s="1545" t="s">
        <v>2044</v>
      </c>
      <c r="F19" s="1546"/>
      <c r="G19" s="1550">
        <f>+G17</f>
        <v>10.5597463205149</v>
      </c>
      <c r="H19" s="1561">
        <f t="shared" si="0"/>
        <v>0</v>
      </c>
      <c r="I19" s="1546"/>
      <c r="J19" s="1564">
        <f>+J18</f>
        <v>4.3833622866958235</v>
      </c>
      <c r="K19" s="1550">
        <f t="shared" si="1"/>
        <v>0</v>
      </c>
      <c r="L19" s="1550"/>
      <c r="M19" s="1550"/>
      <c r="N19" s="1543"/>
    </row>
    <row r="20" spans="1:14" ht="15.75" x14ac:dyDescent="0.25">
      <c r="A20" s="1536"/>
      <c r="B20" s="1544"/>
      <c r="C20" s="1543"/>
      <c r="D20" s="1543"/>
      <c r="E20" s="1545" t="s">
        <v>2045</v>
      </c>
      <c r="F20" s="1546"/>
      <c r="G20" s="1550">
        <f>+G19</f>
        <v>10.5597463205149</v>
      </c>
      <c r="H20" s="1561">
        <f t="shared" si="0"/>
        <v>0</v>
      </c>
      <c r="I20" s="1546"/>
      <c r="J20" s="1564">
        <f>+J19</f>
        <v>4.3833622866958235</v>
      </c>
      <c r="K20" s="1550">
        <f t="shared" si="1"/>
        <v>0</v>
      </c>
      <c r="L20" s="1550"/>
      <c r="M20" s="1550"/>
      <c r="N20" s="1543"/>
    </row>
    <row r="21" spans="1:14" ht="15.75" x14ac:dyDescent="0.25">
      <c r="A21" s="1536"/>
      <c r="B21" s="1544"/>
      <c r="C21" s="1543"/>
      <c r="D21" s="1543"/>
      <c r="E21" s="1545" t="s">
        <v>2046</v>
      </c>
      <c r="F21" s="1546"/>
      <c r="G21" s="1550">
        <f>+G20</f>
        <v>10.5597463205149</v>
      </c>
      <c r="H21" s="1561">
        <f t="shared" si="0"/>
        <v>0</v>
      </c>
      <c r="I21" s="1546"/>
      <c r="J21" s="1564">
        <f>+J20</f>
        <v>4.3833622866958235</v>
      </c>
      <c r="K21" s="1550">
        <f t="shared" si="1"/>
        <v>0</v>
      </c>
      <c r="L21" s="1550"/>
      <c r="M21" s="1550"/>
      <c r="N21" s="1543"/>
    </row>
    <row r="22" spans="1:14" ht="15.75" x14ac:dyDescent="0.25">
      <c r="A22" s="1536"/>
      <c r="B22" s="1544"/>
      <c r="C22" s="1543"/>
      <c r="D22" s="1543"/>
      <c r="E22" s="1545" t="s">
        <v>2061</v>
      </c>
      <c r="F22" s="1546"/>
      <c r="G22" s="1546"/>
      <c r="H22" s="1561">
        <f>+G22*F22</f>
        <v>0</v>
      </c>
      <c r="I22" s="1546"/>
      <c r="J22" s="1546"/>
      <c r="K22" s="1550">
        <f t="shared" si="1"/>
        <v>0</v>
      </c>
      <c r="L22" s="1550"/>
      <c r="M22" s="1550"/>
      <c r="N22" s="1543"/>
    </row>
    <row r="23" spans="1:14" ht="15.75" x14ac:dyDescent="0.25">
      <c r="A23" s="1536"/>
      <c r="B23" s="1544"/>
      <c r="C23" s="1543"/>
      <c r="D23" s="1543"/>
      <c r="E23" s="1545" t="s">
        <v>2047</v>
      </c>
      <c r="F23" s="1546"/>
      <c r="G23" s="1546"/>
      <c r="H23" s="1561">
        <f t="shared" si="0"/>
        <v>0</v>
      </c>
      <c r="I23" s="1546"/>
      <c r="J23" s="1546"/>
      <c r="K23" s="1550">
        <f t="shared" si="1"/>
        <v>0</v>
      </c>
      <c r="L23" s="1550"/>
      <c r="M23" s="1550"/>
      <c r="N23" s="1543"/>
    </row>
    <row r="24" spans="1:14" ht="38.25" customHeight="1" x14ac:dyDescent="0.25">
      <c r="A24" s="1536"/>
      <c r="B24" s="1544"/>
      <c r="C24" s="1543"/>
      <c r="D24" s="1543"/>
      <c r="E24" s="1545" t="s">
        <v>957</v>
      </c>
      <c r="F24" s="1546"/>
      <c r="G24" s="1564">
        <f>+'ריכוז עלויות'!$B$68</f>
        <v>5.8829401268363268</v>
      </c>
      <c r="H24" s="1561"/>
      <c r="I24" s="1546"/>
      <c r="J24" s="1564">
        <f>+VLOOKUP(E24,'עלויות תפעול בהתאם לנורמה'!$C$6:$BF$132,'עלויות תפעול מול הנורמה לתאגיד'!$Z$62+1,0)</f>
        <v>3.6443403299779744</v>
      </c>
      <c r="K24" s="1550">
        <f>+J24*I24</f>
        <v>0</v>
      </c>
      <c r="L24" s="1550"/>
      <c r="M24" s="1550"/>
      <c r="N24" s="1543"/>
    </row>
    <row r="25" spans="1:14" ht="15.75" x14ac:dyDescent="0.25">
      <c r="A25" s="1536"/>
      <c r="B25" s="1544"/>
      <c r="C25" s="1543"/>
      <c r="D25" s="1543"/>
      <c r="E25" s="1545" t="s">
        <v>2048</v>
      </c>
      <c r="F25" s="1546"/>
      <c r="G25" s="1550">
        <f>+G21</f>
        <v>10.5597463205149</v>
      </c>
      <c r="H25" s="1561">
        <f t="shared" si="0"/>
        <v>0</v>
      </c>
      <c r="I25" s="1546"/>
      <c r="J25" s="1564">
        <f>+J21</f>
        <v>4.3833622866958235</v>
      </c>
      <c r="K25" s="1550">
        <f t="shared" si="1"/>
        <v>0</v>
      </c>
      <c r="L25" s="1550"/>
      <c r="M25" s="1550"/>
      <c r="N25" s="1543"/>
    </row>
    <row r="26" spans="1:14" ht="38.25" x14ac:dyDescent="0.25">
      <c r="A26" s="1536"/>
      <c r="B26" s="1544"/>
      <c r="C26" s="1543"/>
      <c r="D26" s="1543"/>
      <c r="E26" s="1551" t="s">
        <v>2049</v>
      </c>
      <c r="F26" s="1546"/>
      <c r="G26" s="1550"/>
      <c r="H26" s="1561">
        <f t="shared" si="0"/>
        <v>0</v>
      </c>
      <c r="I26" s="1546"/>
      <c r="J26" s="1550"/>
      <c r="K26" s="1550"/>
      <c r="L26" s="1550"/>
      <c r="M26" s="1550"/>
      <c r="N26" s="1543"/>
    </row>
    <row r="27" spans="1:14" ht="15.75" x14ac:dyDescent="0.25">
      <c r="A27" s="1536"/>
      <c r="B27" s="1544"/>
      <c r="C27" s="1543"/>
      <c r="D27" s="1543"/>
      <c r="E27" s="1548" t="s">
        <v>2050</v>
      </c>
      <c r="F27" s="1552">
        <f>SUM(F16:F26)</f>
        <v>0</v>
      </c>
      <c r="G27" s="1552"/>
      <c r="H27" s="1552">
        <f t="shared" ref="H27:M27" si="2">SUM(H16:H26)</f>
        <v>0</v>
      </c>
      <c r="I27" s="1552">
        <f t="shared" si="2"/>
        <v>0</v>
      </c>
      <c r="J27" s="1552"/>
      <c r="K27" s="1552">
        <f>SUM(K16:K26)</f>
        <v>0</v>
      </c>
      <c r="L27" s="1552">
        <f t="shared" si="2"/>
        <v>0</v>
      </c>
      <c r="M27" s="1552">
        <f t="shared" si="2"/>
        <v>0</v>
      </c>
      <c r="N27" s="1543"/>
    </row>
    <row r="28" spans="1:14" ht="25.5" x14ac:dyDescent="0.25">
      <c r="A28" s="1536"/>
      <c r="B28" s="1544"/>
      <c r="C28" s="1543"/>
      <c r="D28" s="1543"/>
      <c r="E28" s="1545" t="s">
        <v>2051</v>
      </c>
      <c r="F28" s="1546"/>
      <c r="G28" s="1550"/>
      <c r="H28" s="1561"/>
      <c r="I28" s="1550"/>
      <c r="J28" s="1550"/>
      <c r="K28" s="1550"/>
      <c r="L28" s="1550"/>
      <c r="M28" s="1550"/>
      <c r="N28" s="1543"/>
    </row>
    <row r="29" spans="1:14" ht="25.5" x14ac:dyDescent="0.25">
      <c r="A29" s="1536"/>
      <c r="B29" s="1544"/>
      <c r="C29" s="1543"/>
      <c r="D29" s="1543"/>
      <c r="E29" s="1548" t="s">
        <v>2052</v>
      </c>
      <c r="F29" s="1553"/>
      <c r="G29" s="1550"/>
      <c r="H29" s="1561"/>
      <c r="I29" s="1550"/>
      <c r="J29" s="1550"/>
      <c r="K29" s="1550"/>
      <c r="L29" s="1550"/>
      <c r="M29" s="1550"/>
      <c r="N29" s="1543"/>
    </row>
    <row r="30" spans="1:14" ht="15.75" x14ac:dyDescent="0.25">
      <c r="A30" s="1536"/>
      <c r="B30" s="1544"/>
      <c r="C30" s="1543"/>
      <c r="D30" s="1543"/>
      <c r="E30" s="1548"/>
      <c r="F30" s="1554"/>
      <c r="G30" s="1550"/>
      <c r="H30" s="1561"/>
      <c r="I30" s="1550"/>
      <c r="J30" s="1550"/>
      <c r="K30" s="1550"/>
      <c r="L30" s="1550"/>
      <c r="M30" s="1550"/>
      <c r="N30" s="1543"/>
    </row>
    <row r="31" spans="1:14" ht="25.5" x14ac:dyDescent="0.25">
      <c r="A31" s="1536"/>
      <c r="B31" s="1544"/>
      <c r="C31" s="1543"/>
      <c r="D31" s="1543"/>
      <c r="E31" s="1548" t="s">
        <v>2053</v>
      </c>
      <c r="F31" s="1553"/>
      <c r="G31" s="1550"/>
      <c r="H31" s="1561"/>
      <c r="I31" s="1550"/>
      <c r="J31" s="1550"/>
      <c r="K31" s="1550"/>
      <c r="L31" s="1550"/>
      <c r="M31" s="1550"/>
      <c r="N31" s="1555"/>
    </row>
    <row r="32" spans="1:14" ht="15.75" x14ac:dyDescent="0.25">
      <c r="A32" s="1536"/>
      <c r="B32" s="1544"/>
      <c r="C32" s="1543"/>
      <c r="D32" s="1543"/>
      <c r="E32" s="1548"/>
      <c r="F32" s="1550"/>
      <c r="G32" s="1550"/>
      <c r="H32" s="1561"/>
      <c r="I32" s="1550"/>
      <c r="J32" s="1550"/>
      <c r="K32" s="1550"/>
      <c r="L32" s="1550"/>
      <c r="M32" s="1550"/>
      <c r="N32" s="1543"/>
    </row>
    <row r="33" spans="1:14" ht="25.5" x14ac:dyDescent="0.25">
      <c r="A33" s="1536"/>
      <c r="B33" s="1544"/>
      <c r="C33" s="1543"/>
      <c r="D33" s="1543"/>
      <c r="E33" s="1548" t="s">
        <v>2054</v>
      </c>
      <c r="F33" s="1556"/>
      <c r="G33" s="1550"/>
      <c r="H33" s="1561"/>
      <c r="I33" s="1550"/>
      <c r="J33" s="1550"/>
      <c r="K33" s="1550"/>
      <c r="L33" s="1550"/>
      <c r="M33" s="1550"/>
      <c r="N33" s="1543"/>
    </row>
    <row r="34" spans="1:14" ht="15.75" x14ac:dyDescent="0.25">
      <c r="A34" s="1536"/>
      <c r="B34" s="1544"/>
      <c r="C34" s="1543"/>
      <c r="D34" s="1543"/>
      <c r="E34" s="1543"/>
      <c r="F34" s="1543"/>
      <c r="G34" s="1543"/>
      <c r="H34" s="1562"/>
      <c r="I34" s="1543"/>
      <c r="J34" s="1543"/>
      <c r="K34" s="1543"/>
      <c r="L34" s="1543"/>
      <c r="M34" s="1543"/>
      <c r="N34" s="1543"/>
    </row>
    <row r="35" spans="1:14" ht="15.75" x14ac:dyDescent="0.25">
      <c r="A35" s="1536"/>
      <c r="B35" s="1544"/>
      <c r="C35" s="1543"/>
      <c r="D35" s="1543"/>
      <c r="E35" s="1543"/>
      <c r="F35" s="1543"/>
      <c r="G35" s="1543"/>
      <c r="H35" s="1562"/>
      <c r="I35" s="1543"/>
      <c r="J35" s="1543"/>
      <c r="K35" s="1543"/>
      <c r="L35" s="1543"/>
      <c r="M35" s="1543"/>
      <c r="N35" s="1543"/>
    </row>
  </sheetData>
  <sheetProtection sheet="1" objects="1" scenarios="1"/>
  <mergeCells count="3">
    <mergeCell ref="B9:E9"/>
    <mergeCell ref="E10:F10"/>
    <mergeCell ref="E15:F15"/>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234497" r:id="rId4" name="Drop Down 1">
              <controlPr defaultSize="0" autoLine="0" autoPict="0">
                <anchor moveWithCells="1">
                  <from>
                    <xdr:col>6</xdr:col>
                    <xdr:colOff>76200</xdr:colOff>
                    <xdr:row>3</xdr:row>
                    <xdr:rowOff>0</xdr:rowOff>
                  </from>
                  <to>
                    <xdr:col>6</xdr:col>
                    <xdr:colOff>1419225</xdr:colOff>
                    <xdr:row>3</xdr:row>
                    <xdr:rowOff>209550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קבצים להורדה" ma:contentTypeID="0x0101009B062CC07971A94494097F37B7CF51C70073D90BEFD4AAD3478D802B7FD2C15ACE" ma:contentTypeVersion="13" ma:contentTypeDescription="" ma:contentTypeScope="" ma:versionID="f0aeed38f181ddea05cafba8a5bae5f8">
  <xsd:schema xmlns:xsd="http://www.w3.org/2001/XMLSchema" xmlns:p="http://schemas.microsoft.com/office/2006/metadata/properties" xmlns:ns2="7c9e7d92-4d2e-4d6f-8ea5-12e4091e13b4" targetNamespace="http://schemas.microsoft.com/office/2006/metadata/properties" ma:root="true" ma:fieldsID="e5c9ff000327c0f228d934ef27bfe234" ns2:_="">
    <xsd:import namespace="7c9e7d92-4d2e-4d6f-8ea5-12e4091e13b4"/>
    <xsd:element name="properties">
      <xsd:complexType>
        <xsd:sequence>
          <xsd:element name="documentManagement">
            <xsd:complexType>
              <xsd:all>
                <xsd:element ref="ns2:Description"/>
                <xsd:element ref="ns2:FileGroup" minOccurs="0"/>
                <xsd:element ref="ns2:ToPublish" minOccurs="0"/>
                <xsd:element ref="ns2:PublishStartDate" minOccurs="0"/>
                <xsd:element ref="ns2:PublishEndDate" minOccurs="0"/>
                <xsd:element ref="ns2:OrderIndex"/>
              </xsd:all>
            </xsd:complexType>
          </xsd:element>
        </xsd:sequence>
      </xsd:complexType>
    </xsd:element>
  </xsd:schema>
  <xsd:schema xmlns:xsd="http://www.w3.org/2001/XMLSchema" xmlns:dms="http://schemas.microsoft.com/office/2006/documentManagement/types" targetNamespace="7c9e7d92-4d2e-4d6f-8ea5-12e4091e13b4" elementFormDefault="qualified">
    <xsd:import namespace="http://schemas.microsoft.com/office/2006/documentManagement/types"/>
    <xsd:element name="Description" ma:index="2" ma:displayName="תאור" ma:internalName="Description">
      <xsd:simpleType>
        <xsd:restriction base="dms:Note"/>
      </xsd:simpleType>
    </xsd:element>
    <xsd:element name="FileGroup" ma:index="3" nillable="true" ma:displayName="נושא המסמך" ma:list="{1d967b34-d578-438a-8871-0342ca02cdc7}" ma:internalName="FileGroup" ma:showField="Title" ma:web="7c9e7d92-4d2e-4d6f-8ea5-12e4091e13b4">
      <xsd:simpleType>
        <xsd:restriction base="dms:Lookup"/>
      </xsd:simpleType>
    </xsd:element>
    <xsd:element name="ToPublish" ma:index="4" nillable="true" ma:displayName="לפרסום" ma:default="1" ma:internalName="ToPublish">
      <xsd:simpleType>
        <xsd:restriction base="dms:Boolean"/>
      </xsd:simpleType>
    </xsd:element>
    <xsd:element name="PublishStartDate" ma:index="5" nillable="true" ma:displayName="תאריך תחילת פרסום" ma:format="DateTime" ma:internalName="PublishStartDate">
      <xsd:simpleType>
        <xsd:restriction base="dms:DateTime"/>
      </xsd:simpleType>
    </xsd:element>
    <xsd:element name="PublishEndDate" ma:index="6" nillable="true" ma:displayName="תאריך סיום פרסום" ma:format="DateTime" ma:internalName="PublishEndDate">
      <xsd:simpleType>
        <xsd:restriction base="dms:DateTime"/>
      </xsd:simpleType>
    </xsd:element>
    <xsd:element name="OrderIndex" ma:index="7" ma:displayName="סדר הצגה" ma:internalName="OrderIndex" ma:percentage="FALSE">
      <xsd:simpleType>
        <xsd:restriction base="dms:Number"/>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סוג תוכן"/>
        <xsd:element ref="dc:title" minOccurs="0" maxOccurs="1" ma:index="1"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ublishStartDate xmlns="7c9e7d92-4d2e-4d6f-8ea5-12e4091e13b4" xsi:nil="true"/>
    <OrderIndex xmlns="7c9e7d92-4d2e-4d6f-8ea5-12e4091e13b4">5</OrderIndex>
    <Description xmlns="7c9e7d92-4d2e-4d6f-8ea5-12e4091e13b4"/>
    <ToPublish xmlns="7c9e7d92-4d2e-4d6f-8ea5-12e4091e13b4">true</ToPublish>
    <PublishEndDate xmlns="7c9e7d92-4d2e-4d6f-8ea5-12e4091e13b4" xsi:nil="true"/>
    <FileGroup xmlns="7c9e7d92-4d2e-4d6f-8ea5-12e4091e13b4" xsi:nil="true"/>
  </documentManagement>
</p:properties>
</file>

<file path=customXml/itemProps1.xml><?xml version="1.0" encoding="utf-8"?>
<ds:datastoreItem xmlns:ds="http://schemas.openxmlformats.org/officeDocument/2006/customXml" ds:itemID="{679B5011-27FB-4327-B5D4-0F89CC97F33E}"/>
</file>

<file path=customXml/itemProps2.xml><?xml version="1.0" encoding="utf-8"?>
<ds:datastoreItem xmlns:ds="http://schemas.openxmlformats.org/officeDocument/2006/customXml" ds:itemID="{FB695B07-08D5-4998-99B9-8B4B7B280712}"/>
</file>

<file path=customXml/itemProps3.xml><?xml version="1.0" encoding="utf-8"?>
<ds:datastoreItem xmlns:ds="http://schemas.openxmlformats.org/officeDocument/2006/customXml" ds:itemID="{DE77949F-D4A1-40E2-A9F5-ECBAE8BF919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38</vt:i4>
      </vt:variant>
      <vt:variant>
        <vt:lpstr>טווחים בעלי שם</vt:lpstr>
      </vt:variant>
      <vt:variant>
        <vt:i4>1</vt:i4>
      </vt:variant>
    </vt:vector>
  </HeadingPairs>
  <TitlesOfParts>
    <vt:vector size="39" baseType="lpstr">
      <vt:lpstr>אשכול חברתי מעודכן</vt:lpstr>
      <vt:lpstr>הנחות עבודה</vt:lpstr>
      <vt:lpstr>התפלגות מים 2012</vt:lpstr>
      <vt:lpstr>תחשיב להיטל מופחת</vt:lpstr>
      <vt:lpstr>התפלגות מים 2011 מעודכן</vt:lpstr>
      <vt:lpstr>מטשים 2016</vt:lpstr>
      <vt:lpstr>נתוני מים 2012</vt:lpstr>
      <vt:lpstr>סל מדדים</vt:lpstr>
      <vt:lpstr>מדד שכר ממוצע</vt:lpstr>
      <vt:lpstr>מדד חשמל</vt:lpstr>
      <vt:lpstr>מדד מחירים</vt:lpstr>
      <vt:lpstr>תחשיב תעריף לתאגיד בודד</vt:lpstr>
      <vt:lpstr>נתוני מים 2011 מעודכן</vt:lpstr>
      <vt:lpstr>תעריפי 2016 לכללים</vt:lpstr>
      <vt:lpstr>ריכוז עלויות</vt:lpstr>
      <vt:lpstr>נתוני תאגידים</vt:lpstr>
      <vt:lpstr>תוספת נכסים</vt:lpstr>
      <vt:lpstr>תחשיב תעריף 2016</vt:lpstr>
      <vt:lpstr>פחתי מים לרשויות מצטרפות</vt:lpstr>
      <vt:lpstr>פחת מים וגביה</vt:lpstr>
      <vt:lpstr>בדיקת החזר צרכנים</vt:lpstr>
      <vt:lpstr>סקרי נכסים-יתרות פתיחה</vt:lpstr>
      <vt:lpstr>כמויות מים 2014</vt:lpstr>
      <vt:lpstr>תחשיב עלות תפעול לשנת 2016</vt:lpstr>
      <vt:lpstr>השקעות 2012-2014</vt:lpstr>
      <vt:lpstr>השקעות בניכוי גריעות</vt:lpstr>
      <vt:lpstr>פירוט נכסי מים וביוב</vt:lpstr>
      <vt:lpstr>נתוני מים 2014</vt:lpstr>
      <vt:lpstr>צריכה בתאגיד מרחבי</vt:lpstr>
      <vt:lpstr>ביוביות</vt:lpstr>
      <vt:lpstr>ניתוח עלויות תפעול</vt:lpstr>
      <vt:lpstr>תעריפים לספקים מקומיים</vt:lpstr>
      <vt:lpstr>הנחיות למילוי הנתונים</vt:lpstr>
      <vt:lpstr>עלויות תפעול בהתאם לנורמה</vt:lpstr>
      <vt:lpstr>פרטים על התאגיד</vt:lpstr>
      <vt:lpstr>ריכוז התקציב</vt:lpstr>
      <vt:lpstr>עלויות תפעול מול הנורמה לתאגיד</vt:lpstr>
      <vt:lpstr>ביאור הכנסות</vt:lpstr>
      <vt:lpstr>'פרטים על התאגיד'!WPrint_Area_W</vt:lpstr>
    </vt:vector>
  </TitlesOfParts>
  <Company>Water Authority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קובץ תעריפים 2016</dc:title>
  <dc:creator>Shirani</dc:creator>
  <cp:lastModifiedBy>BackUp</cp:lastModifiedBy>
  <cp:lastPrinted>2014-02-19T11:25:32Z</cp:lastPrinted>
  <dcterms:created xsi:type="dcterms:W3CDTF">2010-07-07T08:27:07Z</dcterms:created>
  <dcterms:modified xsi:type="dcterms:W3CDTF">2016-01-07T10:15:24Z</dcterms:modified>
  <cp:contentType>קבצים להורדה</cp:contentTyp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0x0101009B062CC07971A94494097F37B7CF51C70073D90BEFD4AAD3478D802B7FD2C15ACE</vt:lpwstr>
  </property>
</Properties>
</file>